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Recherche" sheetId="2" state="visible" r:id="rId4"/>
    <sheet name="Apparitions" sheetId="3" state="visible" r:id="rId5"/>
    <sheet name="Pubs" sheetId="4" state="visible" r:id="rId6"/>
    <sheet name="Jeux" sheetId="5" state="visible" r:id="rId7"/>
    <sheet name="Numéros" sheetId="6" state="visible" r:id="rId8"/>
    <sheet name="Magazines" sheetId="7" state="visible" r:id="rId9"/>
    <sheet name="Séries" sheetId="8" state="visible" r:id="rId10"/>
    <sheet name="Plateformes" sheetId="9" state="visible" r:id="rId11"/>
  </sheets>
  <definedNames>
    <definedName function="false" hidden="true" localSheetId="2" name="_xlnm._FilterDatabase" vbProcedure="false">Apparitions!$A$1:$N$5001</definedName>
    <definedName function="false" hidden="true" localSheetId="4" name="_xlnm._FilterDatabase" vbProcedure="false">Jeux!$A$1:$J$3001</definedName>
    <definedName function="false" hidden="true" localSheetId="6" name="_xlnm._FilterDatabase" vbProcedure="false">Magazines!$A$1:$G$301</definedName>
    <definedName function="false" hidden="true" localSheetId="5" name="_xlnm._FilterDatabase" vbProcedure="false">Numéros!$A$1:$F$3001</definedName>
    <definedName function="false" hidden="true" localSheetId="8" name="_xlnm._FilterDatabase" vbProcedure="false">Plateformes!$A$1:$E$201</definedName>
    <definedName function="false" hidden="true" localSheetId="3" name="_xlnm._FilterDatabase" vbProcedure="false">Pubs!$A$1:$L$3001</definedName>
    <definedName function="false" hidden="true" localSheetId="7" name="_xlnm._FilterDatabase" vbProcedure="false">Séries!$A$1:$E$1001</definedName>
    <definedName function="false" hidden="false" name="L_Jeux" vbProcedure="false">OFFSET(Jeux!$A$2,0,0,MAX(1,SUMPRODUCT(--(LEN(Jeux!$A$2:$A$3001)&gt;0))),1)</definedName>
    <definedName function="false" hidden="false" name="L_Magazines" vbProcedure="false">OFFSET(Magazines!$A$2,0,0,MAX(1,SUMPRODUCT(--(LEN(Magazines!$A$2:$A$301)&gt;0))),1)</definedName>
    <definedName function="false" hidden="false" name="L_Plateformes" vbProcedure="false">OFFSET(Plateformes!$A$2,0,0,MAX(1,SUMPRODUCT(--(LEN(Plateformes!$A$2:$A$201)&gt;0))),1)</definedName>
    <definedName function="false" hidden="false" name="L_Pubs" vbProcedure="false">OFFSET(Pubs!$L$2,0,0,MAX(1,SUMPRODUCT(--(LEN(Pubs!$L$2:$L$3001)&gt;0))),1)</definedName>
    <definedName function="false" hidden="false" name="L_Series" vbProcedure="false">OFFSET(Séries!$A$2,0,0,MAX(1,SUMPRODUCT(--(LEN(Séries!$A$2:$A$1001)&gt;0))),1)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Choisir dans la liste (onglet Magazines).</t>
        </r>
      </text>
    </comment>
    <comment ref="B1" authorId="0">
      <text>
        <r>
          <rPr>
            <sz val="10"/>
            <rFont val="Arial"/>
            <family val="2"/>
          </rPr>
          <t xml:space="preserve">Numéro du magazine, tel qu'imprimé (ex. 425 ou 1997-04).</t>
        </r>
      </text>
    </comment>
    <comment ref="C1" authorId="0">
      <text>
        <r>
          <rPr>
            <sz val="10"/>
            <rFont val="Arial"/>
            <family val="2"/>
          </rPr>
          <t xml:space="preserve">Page où commence la pub.</t>
        </r>
      </text>
    </comment>
    <comment ref="D1" authorId="0">
      <text>
        <r>
          <rPr>
            <sz val="10"/>
            <rFont val="Arial"/>
            <family val="2"/>
          </rPr>
          <t xml:space="preserve">Choisir la pub dans la liste (tapez le début : ID ou nom du jeu). On peut aussi taper directement le n° d'ID de la pub.</t>
        </r>
      </text>
    </comment>
    <comment ref="E1" authorId="0">
      <text>
        <r>
          <rPr>
            <sz val="10"/>
            <rFont val="Arial"/>
            <family val="2"/>
          </rPr>
          <t xml:space="preserve">○ = en vente, × = pas en vente.</t>
        </r>
      </text>
    </comment>
    <comment ref="F1" authorId="0">
      <text>
        <r>
          <rPr>
            <sz val="10"/>
            <rFont val="Arial"/>
            <family val="2"/>
          </rPr>
          <t xml:space="preserve">État, scan fait, prix, etc.</t>
        </r>
      </text>
    </comment>
    <comment ref="L1" authorId="0">
      <text>
        <r>
          <rPr>
            <sz val="10"/>
            <rFont val="Arial"/>
            <family val="2"/>
          </rPr>
          <t xml:space="preserve">Reprise de l'onglet Numéros (si le numéro y est saisi).</t>
        </r>
      </text>
    </comment>
    <comment ref="N1" authorId="0">
      <text>
        <r>
          <rPr>
            <sz val="10"/>
            <rFont val="Arial"/>
            <family val="2"/>
          </rPr>
          <t xml:space="preserve">Colonne technique pour l'onglet Recherche. Ne pas modifier.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Numéro unique de la pub, à ne jamais réutiliser. Le prochain ID libre est affiché à droite (colonne M).</t>
        </r>
      </text>
    </comment>
    <comment ref="B1" authorId="0">
      <text>
        <r>
          <rPr>
            <sz val="10"/>
            <rFont val="Arial"/>
            <family val="2"/>
          </rPr>
          <t xml:space="preserve">Choisir dans la liste (onglet Jeux).</t>
        </r>
      </text>
    </comment>
    <comment ref="C1" authorId="0">
      <text>
        <r>
          <rPr>
            <sz val="10"/>
            <rFont val="Arial"/>
            <family val="2"/>
          </rPr>
          <t xml:space="preserve">Plateforme annoncée sur la pub (onglet Plateformes).</t>
        </r>
      </text>
    </comment>
    <comment ref="D1" authorId="0">
      <text>
        <r>
          <rPr>
            <sz val="10"/>
            <rFont val="Arial"/>
            <family val="2"/>
          </rPr>
          <t xml:space="preserve">Ce qui permet de reconnaître cette pub parmi les autres du même jeu.</t>
        </r>
      </text>
    </comment>
    <comment ref="E1" authorId="0">
      <text>
        <r>
          <rPr>
            <sz val="10"/>
            <rFont val="Arial"/>
            <family val="2"/>
          </rPr>
          <t xml:space="preserve">1, 2 (double page), 0.5 (demi-page)...</t>
        </r>
      </text>
    </comment>
    <comment ref="K1" authorId="0">
      <text>
        <r>
          <rPr>
            <sz val="10"/>
            <rFont val="Arial"/>
            <family val="2"/>
          </rPr>
          <t xml:space="preserve">Date du plus ancien numéro où la pub apparaît (Excel 2019 / 365).</t>
        </r>
      </text>
    </comment>
    <comment ref="L1" authorId="0">
      <text>
        <r>
          <rPr>
            <sz val="10"/>
            <rFont val="Arial"/>
            <family val="2"/>
          </rPr>
          <t xml:space="preserve">Texte proposé dans la liste déroulante de l'onglet Apparitions.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Titre unique du jeu (doublons surlignés en rouge).</t>
        </r>
      </text>
    </comment>
    <comment ref="B1" authorId="0">
      <text>
        <r>
          <rPr>
            <sz val="10"/>
            <rFont val="Arial"/>
            <family val="2"/>
          </rPr>
          <t xml:space="preserve">Titre japonais, facultatif.</t>
        </r>
      </text>
    </comment>
    <comment ref="C1" authorId="0">
      <text>
        <r>
          <rPr>
            <sz val="10"/>
            <rFont val="Arial"/>
            <family val="2"/>
          </rPr>
          <t xml:space="preserve">Choisir dans la liste (onglet Séries). Laisser vide si aucune.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Choisir dans la liste (onglet Magazines).</t>
        </r>
      </text>
    </comment>
    <comment ref="B1" authorId="0">
      <text>
        <r>
          <rPr>
            <sz val="10"/>
            <rFont val="Arial"/>
            <family val="2"/>
          </rPr>
          <t xml:space="preserve">Même écriture que dans l'onglet Apparitions.</t>
        </r>
      </text>
    </comment>
    <comment ref="C1" authorId="0">
      <text>
        <r>
          <rPr>
            <sz val="10"/>
            <rFont val="Arial"/>
            <family val="2"/>
          </rPr>
          <t xml:space="preserve">Format AAAA-MM-JJ conseillé.</t>
        </r>
      </text>
    </comment>
    <comment ref="F1" authorId="0">
      <text>
        <r>
          <rPr>
            <sz val="10"/>
            <rFont val="Arial"/>
            <family val="2"/>
          </rPr>
          <t xml:space="preserve">Colonne technique. Ne pas modifier.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Nom unique du magazine.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Nom unique de la série.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Nom unique de la plateforme.</t>
        </r>
      </text>
    </comment>
  </commentList>
</comments>
</file>

<file path=xl/sharedStrings.xml><?xml version="1.0" encoding="utf-8"?>
<sst xmlns="http://schemas.openxmlformats.org/spreadsheetml/2006/main" count="345" uniqueCount="205">
  <si>
    <t xml:space="preserve">Base de données des pubs de jeux vidéo dans les magazines</t>
  </si>
  <si>
    <t xml:space="preserve">Comment c'est organisé</t>
  </si>
  <si>
    <t xml:space="preserve">Plateformes</t>
  </si>
  <si>
    <t xml:space="preserve">Liste des consoles / machines (déjà pré-remplie, complétez si besoin).</t>
  </si>
  <si>
    <t xml:space="preserve">Séries</t>
  </si>
  <si>
    <t xml:space="preserve">Liste des séries de jeux (Final Fantasy, Dragon Quest...).</t>
  </si>
  <si>
    <t xml:space="preserve">Magazines</t>
  </si>
  <si>
    <t xml:space="preserve">Liste des magazines (Famitsu, Dengeki PlayStation...).</t>
  </si>
  <si>
    <t xml:space="preserve">Numéros</t>
  </si>
  <si>
    <t xml:space="preserve">Facultatif : un numéro par ligne avec sa date de parution. Sert à dater les pubs et à chercher par année.</t>
  </si>
  <si>
    <t xml:space="preserve">Jeux</t>
  </si>
  <si>
    <t xml:space="preserve">Un jeu par ligne : titre, série, éditeur, année. Les compteurs (nb de pubs, d'apparitions...) sont calculés.</t>
  </si>
  <si>
    <t xml:space="preserve">Pubs</t>
  </si>
  <si>
    <t xml:space="preserve">Un visuel publicitaire par ligne, avec un ID unique. Un même jeu peut avoir plusieurs pubs (visuels différents).</t>
  </si>
  <si>
    <t xml:space="preserve">Apparitions</t>
  </si>
  <si>
    <t xml:space="preserve">LE carnet de saisie : une ligne = une pub trouvée dans un numéro de magazine (magazine, n°, page, pub, en vente ○/×).</t>
  </si>
  <si>
    <t xml:space="preserve">Recherche</t>
  </si>
  <si>
    <t xml:space="preserve">Recherche croisée : pubs d'un numéro, parutions d'un jeu ou d'une pub, par série, plateforme, année, en vente...</t>
  </si>
  <si>
    <t xml:space="preserve">Saisie au quotidien</t>
  </si>
  <si>
    <t xml:space="preserve">1. Nouveau jeu ?</t>
  </si>
  <si>
    <t xml:space="preserve">L'ajouter dans Jeux (et sa série dans Séries si elle n'existe pas).</t>
  </si>
  <si>
    <t xml:space="preserve">2. Nouvelle pub ?</t>
  </si>
  <si>
    <t xml:space="preserve">L'ajouter dans Pubs avec le « Prochain ID libre » affiché en haut à droite de l'onglet, et une description qui permet de la reconnaître.</t>
  </si>
  <si>
    <t xml:space="preserve">3. Chaque pub trouvée</t>
  </si>
  <si>
    <t xml:space="preserve">Une ligne dans Apparitions : choisir le magazine, taper le numéro et la page, choisir la pub dans la liste (on peut taper le début du nom du jeu ou juste l'ID), puis ○ ou ×.</t>
  </si>
  <si>
    <t xml:space="preserve">Astuce</t>
  </si>
  <si>
    <t xml:space="preserve">Pour enchaîner les pubs d'un même numéro : Ctrl+D recopie la cellule du dessus (magazine, numéro).</t>
  </si>
  <si>
    <t xml:space="preserve">Codes couleur</t>
  </si>
  <si>
    <t xml:space="preserve">En-tête jaune</t>
  </si>
  <si>
    <t xml:space="preserve">Colonne à remplir à la main.</t>
  </si>
  <si>
    <t xml:space="preserve">En-tête / cellules grises</t>
  </si>
  <si>
    <t xml:space="preserve">Calculé automatiquement : ne pas modifier.</t>
  </si>
  <si>
    <t xml:space="preserve">Rouge</t>
  </si>
  <si>
    <t xml:space="preserve">Doublon (nom ou ID déjà utilisé) ou ×.</t>
  </si>
  <si>
    <t xml:space="preserve">Orange</t>
  </si>
  <si>
    <t xml:space="preserve">Pub / jeu inconnu, ou même magazine + n° + page saisi deux fois.</t>
  </si>
  <si>
    <t xml:space="preserve">Bon à savoir</t>
  </si>
  <si>
    <t xml:space="preserve">Données d'exemple</t>
  </si>
  <si>
    <t xml:space="preserve">Les lignes marquées « EXEMPLE » (Numéros, Jeux, Pubs, Apparitions) sont fictives : sélectionnez-les, clic droit &gt; Supprimer.</t>
  </si>
  <si>
    <t xml:space="preserve">Filtres et tris</t>
  </si>
  <si>
    <t xml:space="preserve">Chaque onglet a des filtres (flèches dans l'en-tête) : trier les jeux par nb d'apparitions, filtrer les pubs d'un jeu, etc.</t>
  </si>
  <si>
    <t xml:space="preserve">Faire évoluer</t>
  </si>
  <si>
    <t xml:space="preserve">On peut ajouter des colonnes à droite de chaque onglet (format, état, prix...). Ne pas renommer les onglets ni supprimer les colonnes grises.</t>
  </si>
  <si>
    <t xml:space="preserve">Capacité</t>
  </si>
  <si>
    <t xml:space="preserve">Lignes préparées : 5000 apparitions, 3000 pubs, 3000 jeux. Au-delà, recopier la dernière ligne vers le bas.</t>
  </si>
  <si>
    <t xml:space="preserve">Renommer un jeu</t>
  </si>
  <si>
    <t xml:space="preserve">Si on corrige le titre d'un jeu dans Jeux, le corriger aussi dans Pubs (Rechercher/Remplacer).</t>
  </si>
  <si>
    <t xml:space="preserve">Compatibilité</t>
  </si>
  <si>
    <t xml:space="preserve">Excel 2010 et plus, LibreOffice. La « 1re parution » demande Excel 2019 / Microsoft 365 (sinon la colonne reste vide).</t>
  </si>
  <si>
    <t xml:space="preserve">Chiffres clés</t>
  </si>
  <si>
    <t xml:space="preserve">Pubs différentes</t>
  </si>
  <si>
    <t xml:space="preserve">Numéros répertoriés</t>
  </si>
  <si>
    <t xml:space="preserve">Apparitions en vente (○)</t>
  </si>
  <si>
    <t xml:space="preserve">Prochain ID de pub libre</t>
  </si>
  <si>
    <t xml:space="preserve">Recherche croisée</t>
  </si>
  <si>
    <t xml:space="preserve">Remplissez un ou plusieurs critères (cases jaunes) : les résultats se mettent à jour tout seuls. Critère vide = ignoré. Tous les critères remplis doivent être vrais.</t>
  </si>
  <si>
    <t xml:space="preserve">Critère</t>
  </si>
  <si>
    <t xml:space="preserve">Valeur</t>
  </si>
  <si>
    <t xml:space="preserve">Aide</t>
  </si>
  <si>
    <t xml:space="preserve">Synthèse</t>
  </si>
  <si>
    <t xml:space="preserve">Magazine</t>
  </si>
  <si>
    <t xml:space="preserve">Liste déroulante</t>
  </si>
  <si>
    <t xml:space="preserve">Apparitions trouvées</t>
  </si>
  <si>
    <t xml:space="preserve">Numéro</t>
  </si>
  <si>
    <t xml:space="preserve">Exact (ex. 425)</t>
  </si>
  <si>
    <t xml:space="preserve">Année de parution</t>
  </si>
  <si>
    <t xml:space="preserve">Ex. 1997 (nécessite la date dans Numéros)</t>
  </si>
  <si>
    <t xml:space="preserve">Jeux différents</t>
  </si>
  <si>
    <t xml:space="preserve">Jeu (contient)</t>
  </si>
  <si>
    <t xml:space="preserve">Ex. « Final » trouve tous les Final Fantasy</t>
  </si>
  <si>
    <t xml:space="preserve">Numéros différents</t>
  </si>
  <si>
    <t xml:space="preserve">Série</t>
  </si>
  <si>
    <t xml:space="preserve">Dont en vente (○)</t>
  </si>
  <si>
    <t xml:space="preserve">Plateforme</t>
  </si>
  <si>
    <t xml:space="preserve">Total pages de pub</t>
  </si>
  <si>
    <t xml:space="preserve">ID pub</t>
  </si>
  <si>
    <t xml:space="preserve">Toutes les parutions d'une même pub</t>
  </si>
  <si>
    <t xml:space="preserve">En vente (○ / ×)</t>
  </si>
  <si>
    <t xml:space="preserve">Mot-clé</t>
  </si>
  <si>
    <t xml:space="preserve">Cherché dans la description de la pub et les remarques</t>
  </si>
  <si>
    <t xml:space="preserve">Astuce : pour trouver toutes les parutions d'une pub précise, mettez juste son ID. Pour la liste des pubs d'un numéro : Magazine + Numéro.</t>
  </si>
  <si>
    <t xml:space="preserve">(ligne)</t>
  </si>
  <si>
    <t xml:space="preserve">N°</t>
  </si>
  <si>
    <t xml:space="preserve">Date</t>
  </si>
  <si>
    <t xml:space="preserve">Page</t>
  </si>
  <si>
    <t xml:space="preserve">Jeu</t>
  </si>
  <si>
    <t xml:space="preserve">Description pub</t>
  </si>
  <si>
    <t xml:space="preserve">Nb p.</t>
  </si>
  <si>
    <t xml:space="preserve">En vente</t>
  </si>
  <si>
    <t xml:space="preserve">Remarques</t>
  </si>
  <si>
    <t xml:space="preserve">Pub</t>
  </si>
  <si>
    <t xml:space="preserve">En vente
○ / ×</t>
  </si>
  <si>
    <t xml:space="preserve">Nb pages</t>
  </si>
  <si>
    <t xml:space="preserve">Date parution</t>
  </si>
  <si>
    <t xml:space="preserve">(technique)</t>
  </si>
  <si>
    <t xml:space="preserve">Weekly Famitsu</t>
  </si>
  <si>
    <t xml:space="preserve">1 | Final Fantasy VII (PlayStation) - Cloud devant Midgar</t>
  </si>
  <si>
    <t xml:space="preserve">○</t>
  </si>
  <si>
    <t xml:space="preserve">EXEMPLE - à supprimer</t>
  </si>
  <si>
    <t xml:space="preserve">4 | Sakura Taisen (Sega Saturn) - Sakura au sabre</t>
  </si>
  <si>
    <t xml:space="preserve">×</t>
  </si>
  <si>
    <t xml:space="preserve">2 | Final Fantasy VII (PlayStation) - Aerith, fond fleurs</t>
  </si>
  <si>
    <t xml:space="preserve">Dengeki PlayStation</t>
  </si>
  <si>
    <t xml:space="preserve">3 | Biohazard 2 (PlayStation) - Leon &amp; Claire</t>
  </si>
  <si>
    <t xml:space="preserve">Sega Saturn Magazine</t>
  </si>
  <si>
    <t xml:space="preserve">5 | Dragon Quest VII (PlayStation) - Logo + illustration</t>
  </si>
  <si>
    <t xml:space="preserve">ID</t>
  </si>
  <si>
    <t xml:space="preserve">Description / visuel</t>
  </si>
  <si>
    <t xml:space="preserve">Éditeur</t>
  </si>
  <si>
    <t xml:space="preserve">Nb apparitions</t>
  </si>
  <si>
    <t xml:space="preserve">Dont en vente</t>
  </si>
  <si>
    <t xml:space="preserve">1re parution</t>
  </si>
  <si>
    <t xml:space="preserve">Libellé (liste)</t>
  </si>
  <si>
    <t xml:space="preserve">Prochain ID libre →</t>
  </si>
  <si>
    <t xml:space="preserve">Final Fantasy VII</t>
  </si>
  <si>
    <t xml:space="preserve">PlayStation</t>
  </si>
  <si>
    <t xml:space="preserve">Cloud devant Midgar</t>
  </si>
  <si>
    <t xml:space="preserve">Aerith, fond fleurs</t>
  </si>
  <si>
    <t xml:space="preserve">Biohazard 2</t>
  </si>
  <si>
    <t xml:space="preserve">Leon &amp; Claire</t>
  </si>
  <si>
    <t xml:space="preserve">Sakura Taisen</t>
  </si>
  <si>
    <t xml:space="preserve">Sega Saturn</t>
  </si>
  <si>
    <t xml:space="preserve">Sakura au sabre</t>
  </si>
  <si>
    <t xml:space="preserve">Dragon Quest VII</t>
  </si>
  <si>
    <t xml:space="preserve">Logo + illustration</t>
  </si>
  <si>
    <t xml:space="preserve">Titre</t>
  </si>
  <si>
    <t xml:space="preserve">Titre original</t>
  </si>
  <si>
    <t xml:space="preserve">Année</t>
  </si>
  <si>
    <t xml:space="preserve">Nb pubs
différentes</t>
  </si>
  <si>
    <r>
      <rPr>
        <sz val="10"/>
        <rFont val="WenQuanYi Zen Hei"/>
        <family val="2"/>
      </rPr>
      <t xml:space="preserve">ファイナルファンタジー</t>
    </r>
    <r>
      <rPr>
        <sz val="10"/>
        <rFont val="Arial"/>
        <family val="0"/>
        <charset val="1"/>
      </rPr>
      <t xml:space="preserve">VII</t>
    </r>
  </si>
  <si>
    <t xml:space="preserve">Final Fantasy</t>
  </si>
  <si>
    <t xml:space="preserve">Square</t>
  </si>
  <si>
    <r>
      <rPr>
        <sz val="10"/>
        <rFont val="WenQuanYi Zen Hei"/>
        <family val="2"/>
      </rPr>
      <t xml:space="preserve">バイオハザード</t>
    </r>
    <r>
      <rPr>
        <sz val="10"/>
        <rFont val="Arial"/>
        <family val="0"/>
        <charset val="1"/>
      </rPr>
      <t xml:space="preserve">2</t>
    </r>
  </si>
  <si>
    <t xml:space="preserve">Biohazard</t>
  </si>
  <si>
    <t xml:space="preserve">Capcom</t>
  </si>
  <si>
    <t xml:space="preserve">サクラ大戦</t>
  </si>
  <si>
    <t xml:space="preserve">Sega</t>
  </si>
  <si>
    <r>
      <rPr>
        <sz val="10"/>
        <rFont val="WenQuanYi Zen Hei"/>
        <family val="2"/>
      </rPr>
      <t xml:space="preserve">ドラゴンクエスト</t>
    </r>
    <r>
      <rPr>
        <sz val="10"/>
        <rFont val="Arial"/>
        <family val="0"/>
        <charset val="1"/>
      </rPr>
      <t xml:space="preserve">VII </t>
    </r>
    <r>
      <rPr>
        <sz val="10"/>
        <rFont val="WenQuanYi Zen Hei"/>
        <family val="2"/>
      </rPr>
      <t xml:space="preserve">エデンの戦士たち</t>
    </r>
  </si>
  <si>
    <t xml:space="preserve">Dragon Quest</t>
  </si>
  <si>
    <t xml:space="preserve">Enix</t>
  </si>
  <si>
    <t xml:space="preserve">Date de parution</t>
  </si>
  <si>
    <t xml:space="preserve">Nb pubs
référencées</t>
  </si>
  <si>
    <t xml:space="preserve">(clé)</t>
  </si>
  <si>
    <t xml:space="preserve">Périodicité</t>
  </si>
  <si>
    <t xml:space="preserve">Nb numéros
répertoriés</t>
  </si>
  <si>
    <t xml:space="preserve">ASCII / Enterbrain</t>
  </si>
  <si>
    <t xml:space="preserve">Hebdomadaire</t>
  </si>
  <si>
    <t xml:space="preserve">MediaWorks</t>
  </si>
  <si>
    <t xml:space="preserve">SoftBank</t>
  </si>
  <si>
    <t xml:space="preserve">Nb jeux</t>
  </si>
  <si>
    <t xml:space="preserve">Constructeur</t>
  </si>
  <si>
    <t xml:space="preserve">Famicom</t>
  </si>
  <si>
    <t xml:space="preserve">Nintendo</t>
  </si>
  <si>
    <t xml:space="preserve">Super Famicom</t>
  </si>
  <si>
    <t xml:space="preserve">Nintendo 64</t>
  </si>
  <si>
    <t xml:space="preserve">GameCube</t>
  </si>
  <si>
    <t xml:space="preserve">Wii</t>
  </si>
  <si>
    <t xml:space="preserve">Wii U</t>
  </si>
  <si>
    <t xml:space="preserve">Switch</t>
  </si>
  <si>
    <t xml:space="preserve">Game Boy</t>
  </si>
  <si>
    <t xml:space="preserve">Game Boy Color</t>
  </si>
  <si>
    <t xml:space="preserve">Game Boy Advance</t>
  </si>
  <si>
    <t xml:space="preserve">Nintendo DS</t>
  </si>
  <si>
    <t xml:space="preserve">Nintendo 3DS</t>
  </si>
  <si>
    <t xml:space="preserve">Virtual Boy</t>
  </si>
  <si>
    <t xml:space="preserve">SG-1000</t>
  </si>
  <si>
    <t xml:space="preserve">Mark III / Master System</t>
  </si>
  <si>
    <t xml:space="preserve">Mega Drive</t>
  </si>
  <si>
    <t xml:space="preserve">Mega-CD</t>
  </si>
  <si>
    <t xml:space="preserve">Super 32X</t>
  </si>
  <si>
    <t xml:space="preserve">Dreamcast</t>
  </si>
  <si>
    <t xml:space="preserve">Game Gear</t>
  </si>
  <si>
    <t xml:space="preserve">PC Engine</t>
  </si>
  <si>
    <t xml:space="preserve">NEC</t>
  </si>
  <si>
    <t xml:space="preserve">PC Engine CD-ROM²</t>
  </si>
  <si>
    <t xml:space="preserve">PC Engine SuperGrafx</t>
  </si>
  <si>
    <t xml:space="preserve">PC-FX</t>
  </si>
  <si>
    <t xml:space="preserve">Sony</t>
  </si>
  <si>
    <t xml:space="preserve">PlayStation 2</t>
  </si>
  <si>
    <t xml:space="preserve">PlayStation 3</t>
  </si>
  <si>
    <t xml:space="preserve">PlayStation 4</t>
  </si>
  <si>
    <t xml:space="preserve">PlayStation 5</t>
  </si>
  <si>
    <t xml:space="preserve">PSP</t>
  </si>
  <si>
    <t xml:space="preserve">PS Vita</t>
  </si>
  <si>
    <t xml:space="preserve">Neo Geo</t>
  </si>
  <si>
    <t xml:space="preserve">SNK</t>
  </si>
  <si>
    <t xml:space="preserve">Neo Geo CD</t>
  </si>
  <si>
    <t xml:space="preserve">Neo Geo Pocket</t>
  </si>
  <si>
    <t xml:space="preserve">WonderSwan</t>
  </si>
  <si>
    <t xml:space="preserve">Bandai</t>
  </si>
  <si>
    <t xml:space="preserve">3DO</t>
  </si>
  <si>
    <t xml:space="preserve">Panasonic / 3DO</t>
  </si>
  <si>
    <t xml:space="preserve">Xbox</t>
  </si>
  <si>
    <t xml:space="preserve">Microsoft</t>
  </si>
  <si>
    <t xml:space="preserve">Xbox 360</t>
  </si>
  <si>
    <t xml:space="preserve">MSX</t>
  </si>
  <si>
    <t xml:space="preserve">PC-8801</t>
  </si>
  <si>
    <t xml:space="preserve">PC-9801</t>
  </si>
  <si>
    <t xml:space="preserve">X68000</t>
  </si>
  <si>
    <t xml:space="preserve">Sharp</t>
  </si>
  <si>
    <t xml:space="preserve">FM Towns</t>
  </si>
  <si>
    <t xml:space="preserve">Fujitsu</t>
  </si>
  <si>
    <t xml:space="preserve">PC (Windows)</t>
  </si>
  <si>
    <t xml:space="preserve">Arcade</t>
  </si>
  <si>
    <t xml:space="preserve">Multi-plateformes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</si>
</sst>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0.#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2"/>
    </font>
    <font>
      <b val="true"/>
      <sz val="12"/>
      <color rgb="FFC00000"/>
      <name val="Arial"/>
      <family val="0"/>
      <charset val="1"/>
    </font>
    <font>
      <sz val="10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5B9BD5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7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2" customFormat="false" ht="15" hidden="false" customHeight="false" outlineLevel="0" collapsed="false">
      <c r="B12" s="3" t="s">
        <v>16</v>
      </c>
      <c r="C12" s="4" t="s">
        <v>17</v>
      </c>
    </row>
    <row r="14" customFormat="false" ht="15" hidden="false" customHeight="false" outlineLevel="0" collapsed="false">
      <c r="B14" s="2" t="s">
        <v>18</v>
      </c>
    </row>
    <row r="15" customFormat="false" ht="15" hidden="false" customHeight="false" outlineLevel="0" collapsed="false">
      <c r="B15" s="3" t="s">
        <v>19</v>
      </c>
      <c r="C15" s="4" t="s">
        <v>20</v>
      </c>
    </row>
    <row r="16" customFormat="false" ht="15" hidden="false" customHeight="false" outlineLevel="0" collapsed="false">
      <c r="B16" s="3" t="s">
        <v>21</v>
      </c>
      <c r="C16" s="4" t="s">
        <v>22</v>
      </c>
    </row>
    <row r="17" customFormat="false" ht="23.85" hidden="false" customHeight="false" outlineLevel="0" collapsed="false">
      <c r="B17" s="3" t="s">
        <v>23</v>
      </c>
      <c r="C17" s="4" t="s">
        <v>24</v>
      </c>
    </row>
    <row r="18" customFormat="false" ht="15" hidden="false" customHeight="false" outlineLevel="0" collapsed="false">
      <c r="B18" s="3" t="s">
        <v>25</v>
      </c>
      <c r="C18" s="4" t="s">
        <v>26</v>
      </c>
    </row>
    <row r="20" customFormat="false" ht="15" hidden="false" customHeight="false" outlineLevel="0" collapsed="false">
      <c r="B20" s="2" t="s">
        <v>27</v>
      </c>
    </row>
    <row r="21" customFormat="false" ht="15" hidden="false" customHeight="false" outlineLevel="0" collapsed="false">
      <c r="B21" s="5" t="s">
        <v>28</v>
      </c>
      <c r="C21" s="4" t="s">
        <v>29</v>
      </c>
    </row>
    <row r="22" customFormat="false" ht="15" hidden="false" customHeight="false" outlineLevel="0" collapsed="false">
      <c r="B22" s="6" t="s">
        <v>30</v>
      </c>
      <c r="C22" s="4" t="s">
        <v>31</v>
      </c>
    </row>
    <row r="23" customFormat="false" ht="15" hidden="false" customHeight="false" outlineLevel="0" collapsed="false">
      <c r="B23" s="7" t="s">
        <v>32</v>
      </c>
      <c r="C23" s="4" t="s">
        <v>33</v>
      </c>
    </row>
    <row r="24" customFormat="false" ht="15" hidden="false" customHeight="false" outlineLevel="0" collapsed="false">
      <c r="B24" s="8" t="s">
        <v>34</v>
      </c>
      <c r="C24" s="4" t="s">
        <v>35</v>
      </c>
    </row>
    <row r="26" customFormat="false" ht="15" hidden="false" customHeight="false" outlineLevel="0" collapsed="false">
      <c r="B26" s="2" t="s">
        <v>36</v>
      </c>
    </row>
    <row r="27" customFormat="false" ht="15" hidden="false" customHeight="false" outlineLevel="0" collapsed="false">
      <c r="B27" s="3" t="s">
        <v>37</v>
      </c>
      <c r="C27" s="4" t="s">
        <v>38</v>
      </c>
    </row>
    <row r="28" customFormat="false" ht="15" hidden="false" customHeight="false" outlineLevel="0" collapsed="false">
      <c r="B28" s="3" t="s">
        <v>39</v>
      </c>
      <c r="C28" s="4" t="s">
        <v>40</v>
      </c>
    </row>
    <row r="29" customFormat="false" ht="15" hidden="false" customHeight="false" outlineLevel="0" collapsed="false">
      <c r="B29" s="3" t="s">
        <v>41</v>
      </c>
      <c r="C29" s="4" t="s">
        <v>42</v>
      </c>
    </row>
    <row r="30" customFormat="false" ht="15" hidden="false" customHeight="false" outlineLevel="0" collapsed="false">
      <c r="B30" s="3" t="s">
        <v>43</v>
      </c>
      <c r="C30" s="4" t="s">
        <v>44</v>
      </c>
    </row>
    <row r="31" customFormat="false" ht="15" hidden="false" customHeight="false" outlineLevel="0" collapsed="false">
      <c r="B31" s="3" t="s">
        <v>45</v>
      </c>
      <c r="C31" s="4" t="s">
        <v>46</v>
      </c>
    </row>
    <row r="32" customFormat="false" ht="15" hidden="false" customHeight="false" outlineLevel="0" collapsed="false">
      <c r="B32" s="3" t="s">
        <v>47</v>
      </c>
      <c r="C32" s="4" t="s">
        <v>48</v>
      </c>
    </row>
    <row r="34" customFormat="false" ht="15" hidden="false" customHeight="false" outlineLevel="0" collapsed="false">
      <c r="B34" s="2" t="s">
        <v>49</v>
      </c>
    </row>
    <row r="35" customFormat="false" ht="15" hidden="false" customHeight="false" outlineLevel="0" collapsed="false">
      <c r="B35" s="9" t="s">
        <v>14</v>
      </c>
      <c r="C35" s="10" t="n">
        <f aca="false">COUNTIF(Apparitions!$A$2:$A$5001,"?*")</f>
        <v>8</v>
      </c>
    </row>
    <row r="36" customFormat="false" ht="15" hidden="false" customHeight="false" outlineLevel="0" collapsed="false">
      <c r="B36" s="9" t="s">
        <v>50</v>
      </c>
      <c r="C36" s="10" t="n">
        <f aca="false">COUNT(Pubs!$A$2:$A$3001)</f>
        <v>5</v>
      </c>
    </row>
    <row r="37" customFormat="false" ht="15" hidden="false" customHeight="false" outlineLevel="0" collapsed="false">
      <c r="B37" s="9" t="s">
        <v>10</v>
      </c>
      <c r="C37" s="10" t="n">
        <f aca="false">SUMPRODUCT(--(LEN(Jeux!$A$2:$A$3001)&gt;0))</f>
        <v>4</v>
      </c>
    </row>
    <row r="38" customFormat="false" ht="15" hidden="false" customHeight="false" outlineLevel="0" collapsed="false">
      <c r="B38" s="9" t="s">
        <v>4</v>
      </c>
      <c r="C38" s="10" t="n">
        <f aca="false">SUMPRODUCT(--(LEN(Séries!$A$2:$A$1001)&gt;0))</f>
        <v>4</v>
      </c>
    </row>
    <row r="39" customFormat="false" ht="15" hidden="false" customHeight="false" outlineLevel="0" collapsed="false">
      <c r="B39" s="9" t="s">
        <v>6</v>
      </c>
      <c r="C39" s="10" t="n">
        <f aca="false">SUMPRODUCT(--(LEN(Magazines!$A$2:$A$301)&gt;0))</f>
        <v>3</v>
      </c>
    </row>
    <row r="40" customFormat="false" ht="15" hidden="false" customHeight="false" outlineLevel="0" collapsed="false">
      <c r="B40" s="9" t="s">
        <v>51</v>
      </c>
      <c r="C40" s="10" t="n">
        <f aca="false">SUMPRODUCT(--(LEN(Numéros!$A$2:$A$3001)&gt;0))</f>
        <v>5</v>
      </c>
    </row>
    <row r="41" customFormat="false" ht="15" hidden="false" customHeight="false" outlineLevel="0" collapsed="false">
      <c r="B41" s="9" t="s">
        <v>52</v>
      </c>
      <c r="C41" s="10" t="n">
        <f aca="false">COUNTIF(Apparitions!$E$2:$E$5001,"○")</f>
        <v>4</v>
      </c>
    </row>
    <row r="42" customFormat="false" ht="15" hidden="false" customHeight="false" outlineLevel="0" collapsed="false">
      <c r="B42" s="9" t="s">
        <v>53</v>
      </c>
      <c r="C42" s="10" t="n">
        <f aca="false">MAX(Pubs!$A$2:$A$3001)+1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13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13" min="13" style="0" width="28"/>
    <col collapsed="false" customWidth="true" hidden="true" outlineLevel="0" max="18" min="15" style="0" width="13"/>
  </cols>
  <sheetData>
    <row r="1" customFormat="false" ht="19.7" hidden="false" customHeight="false" outlineLevel="0" collapsed="false">
      <c r="B1" s="1" t="s">
        <v>54</v>
      </c>
    </row>
    <row r="2" customFormat="false" ht="15" hidden="false" customHeight="false" outlineLevel="0" collapsed="false">
      <c r="B2" s="11" t="s">
        <v>55</v>
      </c>
    </row>
    <row r="3" customFormat="false" ht="15" hidden="false" customHeight="false" outlineLevel="0" collapsed="false">
      <c r="B3" s="12" t="s">
        <v>56</v>
      </c>
      <c r="C3" s="12" t="s">
        <v>57</v>
      </c>
      <c r="D3" s="12" t="s">
        <v>58</v>
      </c>
      <c r="J3" s="12" t="s">
        <v>59</v>
      </c>
      <c r="K3" s="13"/>
    </row>
    <row r="4" customFormat="false" ht="15" hidden="false" customHeight="false" outlineLevel="0" collapsed="false">
      <c r="B4" s="9" t="s">
        <v>60</v>
      </c>
      <c r="C4" s="14"/>
      <c r="D4" s="11" t="s">
        <v>61</v>
      </c>
      <c r="J4" s="15" t="s">
        <v>62</v>
      </c>
      <c r="K4" s="16" t="n">
        <f aca="false">MAX(Apparitions!$N$1:$N$5001)</f>
        <v>8</v>
      </c>
    </row>
    <row r="5" customFormat="false" ht="15" hidden="false" customHeight="false" outlineLevel="0" collapsed="false">
      <c r="B5" s="9" t="s">
        <v>63</v>
      </c>
      <c r="C5" s="14"/>
      <c r="D5" s="11" t="s">
        <v>64</v>
      </c>
      <c r="J5" s="15" t="s">
        <v>50</v>
      </c>
      <c r="K5" s="16" t="n">
        <f aca="false">SUM(O16:O515)</f>
        <v>5</v>
      </c>
    </row>
    <row r="6" customFormat="false" ht="15" hidden="false" customHeight="false" outlineLevel="0" collapsed="false">
      <c r="B6" s="9" t="s">
        <v>65</v>
      </c>
      <c r="C6" s="14"/>
      <c r="D6" s="11" t="s">
        <v>66</v>
      </c>
      <c r="J6" s="15" t="s">
        <v>67</v>
      </c>
      <c r="K6" s="16" t="n">
        <f aca="false">SUM(P16:P515)</f>
        <v>4</v>
      </c>
    </row>
    <row r="7" customFormat="false" ht="15" hidden="false" customHeight="false" outlineLevel="0" collapsed="false">
      <c r="B7" s="9" t="s">
        <v>68</v>
      </c>
      <c r="C7" s="14"/>
      <c r="D7" s="11" t="s">
        <v>69</v>
      </c>
      <c r="J7" s="15" t="s">
        <v>70</v>
      </c>
      <c r="K7" s="16" t="n">
        <f aca="false">SUM(R16:R515)</f>
        <v>6</v>
      </c>
    </row>
    <row r="8" customFormat="false" ht="15" hidden="false" customHeight="false" outlineLevel="0" collapsed="false">
      <c r="B8" s="9" t="s">
        <v>71</v>
      </c>
      <c r="C8" s="14"/>
      <c r="D8" s="11" t="s">
        <v>61</v>
      </c>
      <c r="J8" s="15" t="s">
        <v>72</v>
      </c>
      <c r="K8" s="16" t="n">
        <f aca="false">COUNTIF(L16:L515,"○")</f>
        <v>4</v>
      </c>
    </row>
    <row r="9" customFormat="false" ht="15" hidden="false" customHeight="false" outlineLevel="0" collapsed="false">
      <c r="B9" s="9" t="s">
        <v>73</v>
      </c>
      <c r="C9" s="14"/>
      <c r="D9" s="11" t="s">
        <v>61</v>
      </c>
      <c r="J9" s="15" t="s">
        <v>74</v>
      </c>
      <c r="K9" s="16" t="n">
        <f aca="false">SUM(K16:K515)</f>
        <v>13</v>
      </c>
    </row>
    <row r="10" customFormat="false" ht="15" hidden="false" customHeight="false" outlineLevel="0" collapsed="false">
      <c r="B10" s="9" t="s">
        <v>75</v>
      </c>
      <c r="C10" s="14"/>
      <c r="D10" s="11" t="s">
        <v>76</v>
      </c>
    </row>
    <row r="11" customFormat="false" ht="15" hidden="false" customHeight="false" outlineLevel="0" collapsed="false">
      <c r="B11" s="9" t="s">
        <v>77</v>
      </c>
      <c r="C11" s="14"/>
      <c r="D11" s="11" t="s">
        <v>61</v>
      </c>
      <c r="J11" s="17" t="str">
        <f aca="false">IF(K4&gt;500,"⚠ Seuls les 500 premiers résultats sont affichés : affinez la recherche.","")</f>
        <v/>
      </c>
    </row>
    <row r="12" customFormat="false" ht="15" hidden="false" customHeight="false" outlineLevel="0" collapsed="false">
      <c r="B12" s="9" t="s">
        <v>78</v>
      </c>
      <c r="C12" s="14"/>
      <c r="D12" s="11" t="s">
        <v>79</v>
      </c>
    </row>
    <row r="13" customFormat="false" ht="15" hidden="false" customHeight="false" outlineLevel="0" collapsed="false">
      <c r="B13" s="11" t="s">
        <v>80</v>
      </c>
    </row>
    <row r="15" customFormat="false" ht="15" hidden="false" customHeight="false" outlineLevel="0" collapsed="false">
      <c r="A15" s="11" t="s">
        <v>81</v>
      </c>
      <c r="B15" s="18" t="s">
        <v>60</v>
      </c>
      <c r="C15" s="18" t="s">
        <v>82</v>
      </c>
      <c r="D15" s="18" t="s">
        <v>83</v>
      </c>
      <c r="E15" s="18" t="s">
        <v>84</v>
      </c>
      <c r="F15" s="18" t="s">
        <v>85</v>
      </c>
      <c r="G15" s="18" t="s">
        <v>73</v>
      </c>
      <c r="H15" s="18" t="s">
        <v>71</v>
      </c>
      <c r="I15" s="18" t="s">
        <v>75</v>
      </c>
      <c r="J15" s="18" t="s">
        <v>86</v>
      </c>
      <c r="K15" s="18" t="s">
        <v>87</v>
      </c>
      <c r="L15" s="18" t="s">
        <v>88</v>
      </c>
      <c r="M15" s="18" t="s">
        <v>89</v>
      </c>
    </row>
    <row r="16" customFormat="false" ht="15" hidden="false" customHeight="false" outlineLevel="0" collapsed="false">
      <c r="A16" s="0" t="n">
        <f aca="false">IFERROR(MATCH(1,Apparitions!$N$1:$N$5001,0),"")</f>
        <v>2</v>
      </c>
      <c r="B16" s="19" t="str">
        <f aca="false">IF($A16="","",INDEX(Apparitions!$A$1:$A$5001,$A16)&amp;"")</f>
        <v>Weekly Famitsu</v>
      </c>
      <c r="C16" s="19" t="str">
        <f aca="false">IF($A16="","",INDEX(Apparitions!$B$1:$B$5001,$A16)&amp;"")</f>
        <v>421</v>
      </c>
      <c r="D16" s="20" t="n">
        <f aca="false">IF($A16="","",INDEX(Apparitions!$L$1:$L$5001,$A16))</f>
        <v>35433</v>
      </c>
      <c r="E16" s="19" t="str">
        <f aca="false">IF($A16="","",INDEX(Apparitions!$C$1:$C$5001,$A16)&amp;"")</f>
        <v>12</v>
      </c>
      <c r="F16" s="19" t="str">
        <f aca="false">IF($A16="","",INDEX(Apparitions!$H$1:$H$5001,$A16)&amp;"")</f>
        <v>Final Fantasy VII</v>
      </c>
      <c r="G16" s="19" t="str">
        <f aca="false">IF($A16="","",INDEX(Apparitions!$I$1:$I$5001,$A16)&amp;"")</f>
        <v>PlayStation</v>
      </c>
      <c r="H16" s="19" t="str">
        <f aca="false">IF($A16="","",INDEX(Apparitions!$J$1:$J$5001,$A16)&amp;"")</f>
        <v>Final Fantasy</v>
      </c>
      <c r="I16" s="19" t="str">
        <f aca="false">IF($A16="","",INDEX(Apparitions!$G$1:$G$5001,$A16)&amp;"")</f>
        <v>1</v>
      </c>
      <c r="J16" s="19" t="str">
        <f aca="false">IF($A16="","",INDEX(Apparitions!$M$1:$M$5001,$A16)&amp;"")</f>
        <v>Cloud devant Midgar</v>
      </c>
      <c r="K16" s="21" t="n">
        <f aca="false">IF($A16="","",INDEX(Apparitions!$K$1:$K$5001,$A16))</f>
        <v>2</v>
      </c>
      <c r="L16" s="22" t="str">
        <f aca="false">IF($A16="","",INDEX(Apparitions!$E$1:$E$5001,$A16)&amp;"")</f>
        <v>○</v>
      </c>
      <c r="M16" s="19" t="str">
        <f aca="false">IF($A16="","",INDEX(Apparitions!$F$1:$F$5001,$A16)&amp;"")</f>
        <v>EXEMPLE - à supprimer</v>
      </c>
      <c r="O16" s="23" t="n">
        <f aca="false">IF(I16="",0,IF(COUNTIF(I$16:I16,I16)=1,1,0))</f>
        <v>1</v>
      </c>
      <c r="P16" s="23" t="n">
        <f aca="false">IF(F16="",0,IF(COUNTIF(F$16:F16,F16)=1,1,0))</f>
        <v>1</v>
      </c>
      <c r="Q16" s="0" t="str">
        <f aca="false">IF(B16="","",B16&amp;"|"&amp;C16)</f>
        <v>Weekly Famitsu|421</v>
      </c>
      <c r="R16" s="23" t="n">
        <f aca="false">IF(Q16="",0,IF(COUNTIF(Q$16:Q16,Q16)=1,1,0))</f>
        <v>1</v>
      </c>
    </row>
    <row r="17" customFormat="false" ht="15" hidden="false" customHeight="false" outlineLevel="0" collapsed="false">
      <c r="A17" s="0" t="n">
        <f aca="false">IFERROR(MATCH(2,Apparitions!$N$1:$N$5001,0),"")</f>
        <v>3</v>
      </c>
      <c r="B17" s="19" t="str">
        <f aca="false">IF($A17="","",INDEX(Apparitions!$A$1:$A$5001,$A17)&amp;"")</f>
        <v>Weekly Famitsu</v>
      </c>
      <c r="C17" s="19" t="str">
        <f aca="false">IF($A17="","",INDEX(Apparitions!$B$1:$B$5001,$A17)&amp;"")</f>
        <v>421</v>
      </c>
      <c r="D17" s="20" t="n">
        <f aca="false">IF($A17="","",INDEX(Apparitions!$L$1:$L$5001,$A17))</f>
        <v>35433</v>
      </c>
      <c r="E17" s="19" t="str">
        <f aca="false">IF($A17="","",INDEX(Apparitions!$C$1:$C$5001,$A17)&amp;"")</f>
        <v>40</v>
      </c>
      <c r="F17" s="19" t="str">
        <f aca="false">IF($A17="","",INDEX(Apparitions!$H$1:$H$5001,$A17)&amp;"")</f>
        <v>Sakura Taisen</v>
      </c>
      <c r="G17" s="19" t="str">
        <f aca="false">IF($A17="","",INDEX(Apparitions!$I$1:$I$5001,$A17)&amp;"")</f>
        <v>Sega Saturn</v>
      </c>
      <c r="H17" s="19" t="str">
        <f aca="false">IF($A17="","",INDEX(Apparitions!$J$1:$J$5001,$A17)&amp;"")</f>
        <v>Sakura Taisen</v>
      </c>
      <c r="I17" s="19" t="str">
        <f aca="false">IF($A17="","",INDEX(Apparitions!$G$1:$G$5001,$A17)&amp;"")</f>
        <v>4</v>
      </c>
      <c r="J17" s="19" t="str">
        <f aca="false">IF($A17="","",INDEX(Apparitions!$M$1:$M$5001,$A17)&amp;"")</f>
        <v>Sakura au sabre</v>
      </c>
      <c r="K17" s="21" t="n">
        <f aca="false">IF($A17="","",INDEX(Apparitions!$K$1:$K$5001,$A17))</f>
        <v>1</v>
      </c>
      <c r="L17" s="22" t="str">
        <f aca="false">IF($A17="","",INDEX(Apparitions!$E$1:$E$5001,$A17)&amp;"")</f>
        <v>×</v>
      </c>
      <c r="M17" s="19" t="str">
        <f aca="false">IF($A17="","",INDEX(Apparitions!$F$1:$F$5001,$A17)&amp;"")</f>
        <v>EXEMPLE - à supprimer</v>
      </c>
      <c r="O17" s="23" t="n">
        <f aca="false">IF(I17="",0,IF(COUNTIF(I$16:I17,I17)=1,1,0))</f>
        <v>1</v>
      </c>
      <c r="P17" s="23" t="n">
        <f aca="false">IF(F17="",0,IF(COUNTIF(F$16:F17,F17)=1,1,0))</f>
        <v>1</v>
      </c>
      <c r="Q17" s="0" t="str">
        <f aca="false">IF(B17="","",B17&amp;"|"&amp;C17)</f>
        <v>Weekly Famitsu|421</v>
      </c>
      <c r="R17" s="23" t="n">
        <f aca="false">IF(Q17="",0,IF(COUNTIF(Q$16:Q17,Q17)=1,1,0))</f>
        <v>0</v>
      </c>
    </row>
    <row r="18" customFormat="false" ht="15" hidden="false" customHeight="false" outlineLevel="0" collapsed="false">
      <c r="A18" s="0" t="n">
        <f aca="false">IFERROR(MATCH(3,Apparitions!$N$1:$N$5001,0),"")</f>
        <v>4</v>
      </c>
      <c r="B18" s="19" t="str">
        <f aca="false">IF($A18="","",INDEX(Apparitions!$A$1:$A$5001,$A18)&amp;"")</f>
        <v>Weekly Famitsu</v>
      </c>
      <c r="C18" s="19" t="str">
        <f aca="false">IF($A18="","",INDEX(Apparitions!$B$1:$B$5001,$A18)&amp;"")</f>
        <v>425</v>
      </c>
      <c r="D18" s="20" t="n">
        <f aca="false">IF($A18="","",INDEX(Apparitions!$L$1:$L$5001,$A18))</f>
        <v>35461</v>
      </c>
      <c r="E18" s="19" t="str">
        <f aca="false">IF($A18="","",INDEX(Apparitions!$C$1:$C$5001,$A18)&amp;"")</f>
        <v>8</v>
      </c>
      <c r="F18" s="19" t="str">
        <f aca="false">IF($A18="","",INDEX(Apparitions!$H$1:$H$5001,$A18)&amp;"")</f>
        <v>Final Fantasy VII</v>
      </c>
      <c r="G18" s="19" t="str">
        <f aca="false">IF($A18="","",INDEX(Apparitions!$I$1:$I$5001,$A18)&amp;"")</f>
        <v>PlayStation</v>
      </c>
      <c r="H18" s="19" t="str">
        <f aca="false">IF($A18="","",INDEX(Apparitions!$J$1:$J$5001,$A18)&amp;"")</f>
        <v>Final Fantasy</v>
      </c>
      <c r="I18" s="19" t="str">
        <f aca="false">IF($A18="","",INDEX(Apparitions!$G$1:$G$5001,$A18)&amp;"")</f>
        <v>1</v>
      </c>
      <c r="J18" s="19" t="str">
        <f aca="false">IF($A18="","",INDEX(Apparitions!$M$1:$M$5001,$A18)&amp;"")</f>
        <v>Cloud devant Midgar</v>
      </c>
      <c r="K18" s="21" t="n">
        <f aca="false">IF($A18="","",INDEX(Apparitions!$K$1:$K$5001,$A18))</f>
        <v>2</v>
      </c>
      <c r="L18" s="22" t="str">
        <f aca="false">IF($A18="","",INDEX(Apparitions!$E$1:$E$5001,$A18)&amp;"")</f>
        <v>×</v>
      </c>
      <c r="M18" s="19" t="str">
        <f aca="false">IF($A18="","",INDEX(Apparitions!$F$1:$F$5001,$A18)&amp;"")</f>
        <v>EXEMPLE - à supprimer</v>
      </c>
      <c r="O18" s="23" t="n">
        <f aca="false">IF(I18="",0,IF(COUNTIF(I$16:I18,I18)=1,1,0))</f>
        <v>0</v>
      </c>
      <c r="P18" s="23" t="n">
        <f aca="false">IF(F18="",0,IF(COUNTIF(F$16:F18,F18)=1,1,0))</f>
        <v>0</v>
      </c>
      <c r="Q18" s="0" t="str">
        <f aca="false">IF(B18="","",B18&amp;"|"&amp;C18)</f>
        <v>Weekly Famitsu|425</v>
      </c>
      <c r="R18" s="23" t="n">
        <f aca="false">IF(Q18="",0,IF(COUNTIF(Q$16:Q18,Q18)=1,1,0))</f>
        <v>1</v>
      </c>
    </row>
    <row r="19" customFormat="false" ht="15" hidden="false" customHeight="false" outlineLevel="0" collapsed="false">
      <c r="A19" s="0" t="n">
        <f aca="false">IFERROR(MATCH(4,Apparitions!$N$1:$N$5001,0),"")</f>
        <v>5</v>
      </c>
      <c r="B19" s="19" t="str">
        <f aca="false">IF($A19="","",INDEX(Apparitions!$A$1:$A$5001,$A19)&amp;"")</f>
        <v>Weekly Famitsu</v>
      </c>
      <c r="C19" s="19" t="str">
        <f aca="false">IF($A19="","",INDEX(Apparitions!$B$1:$B$5001,$A19)&amp;"")</f>
        <v>430</v>
      </c>
      <c r="D19" s="20" t="n">
        <f aca="false">IF($A19="","",INDEX(Apparitions!$L$1:$L$5001,$A19))</f>
        <v>35496</v>
      </c>
      <c r="E19" s="19" t="str">
        <f aca="false">IF($A19="","",INDEX(Apparitions!$C$1:$C$5001,$A19)&amp;"")</f>
        <v>2</v>
      </c>
      <c r="F19" s="19" t="str">
        <f aca="false">IF($A19="","",INDEX(Apparitions!$H$1:$H$5001,$A19)&amp;"")</f>
        <v>Final Fantasy VII</v>
      </c>
      <c r="G19" s="19" t="str">
        <f aca="false">IF($A19="","",INDEX(Apparitions!$I$1:$I$5001,$A19)&amp;"")</f>
        <v>PlayStation</v>
      </c>
      <c r="H19" s="19" t="str">
        <f aca="false">IF($A19="","",INDEX(Apparitions!$J$1:$J$5001,$A19)&amp;"")</f>
        <v>Final Fantasy</v>
      </c>
      <c r="I19" s="19" t="str">
        <f aca="false">IF($A19="","",INDEX(Apparitions!$G$1:$G$5001,$A19)&amp;"")</f>
        <v>2</v>
      </c>
      <c r="J19" s="19" t="str">
        <f aca="false">IF($A19="","",INDEX(Apparitions!$M$1:$M$5001,$A19)&amp;"")</f>
        <v>Aerith, fond fleurs</v>
      </c>
      <c r="K19" s="21" t="n">
        <f aca="false">IF($A19="","",INDEX(Apparitions!$K$1:$K$5001,$A19))</f>
        <v>1</v>
      </c>
      <c r="L19" s="22" t="str">
        <f aca="false">IF($A19="","",INDEX(Apparitions!$E$1:$E$5001,$A19)&amp;"")</f>
        <v>○</v>
      </c>
      <c r="M19" s="19" t="str">
        <f aca="false">IF($A19="","",INDEX(Apparitions!$F$1:$F$5001,$A19)&amp;"")</f>
        <v>EXEMPLE - à supprimer</v>
      </c>
      <c r="O19" s="23" t="n">
        <f aca="false">IF(I19="",0,IF(COUNTIF(I$16:I19,I19)=1,1,0))</f>
        <v>1</v>
      </c>
      <c r="P19" s="23" t="n">
        <f aca="false">IF(F19="",0,IF(COUNTIF(F$16:F19,F19)=1,1,0))</f>
        <v>0</v>
      </c>
      <c r="Q19" s="0" t="str">
        <f aca="false">IF(B19="","",B19&amp;"|"&amp;C19)</f>
        <v>Weekly Famitsu|430</v>
      </c>
      <c r="R19" s="23" t="n">
        <f aca="false">IF(Q19="",0,IF(COUNTIF(Q$16:Q19,Q19)=1,1,0))</f>
        <v>1</v>
      </c>
    </row>
    <row r="20" customFormat="false" ht="15" hidden="false" customHeight="false" outlineLevel="0" collapsed="false">
      <c r="A20" s="0" t="n">
        <f aca="false">IFERROR(MATCH(5,Apparitions!$N$1:$N$5001,0),"")</f>
        <v>6</v>
      </c>
      <c r="B20" s="19" t="str">
        <f aca="false">IF($A20="","",INDEX(Apparitions!$A$1:$A$5001,$A20)&amp;"")</f>
        <v>Dengeki PlayStation</v>
      </c>
      <c r="C20" s="19" t="str">
        <f aca="false">IF($A20="","",INDEX(Apparitions!$B$1:$B$5001,$A20)&amp;"")</f>
        <v>38</v>
      </c>
      <c r="D20" s="20" t="n">
        <f aca="false">IF($A20="","",INDEX(Apparitions!$L$1:$L$5001,$A20))</f>
        <v>35440</v>
      </c>
      <c r="E20" s="19" t="str">
        <f aca="false">IF($A20="","",INDEX(Apparitions!$C$1:$C$5001,$A20)&amp;"")</f>
        <v>2</v>
      </c>
      <c r="F20" s="19" t="str">
        <f aca="false">IF($A20="","",INDEX(Apparitions!$H$1:$H$5001,$A20)&amp;"")</f>
        <v>Final Fantasy VII</v>
      </c>
      <c r="G20" s="19" t="str">
        <f aca="false">IF($A20="","",INDEX(Apparitions!$I$1:$I$5001,$A20)&amp;"")</f>
        <v>PlayStation</v>
      </c>
      <c r="H20" s="19" t="str">
        <f aca="false">IF($A20="","",INDEX(Apparitions!$J$1:$J$5001,$A20)&amp;"")</f>
        <v>Final Fantasy</v>
      </c>
      <c r="I20" s="19" t="str">
        <f aca="false">IF($A20="","",INDEX(Apparitions!$G$1:$G$5001,$A20)&amp;"")</f>
        <v>1</v>
      </c>
      <c r="J20" s="19" t="str">
        <f aca="false">IF($A20="","",INDEX(Apparitions!$M$1:$M$5001,$A20)&amp;"")</f>
        <v>Cloud devant Midgar</v>
      </c>
      <c r="K20" s="21" t="n">
        <f aca="false">IF($A20="","",INDEX(Apparitions!$K$1:$K$5001,$A20))</f>
        <v>2</v>
      </c>
      <c r="L20" s="22" t="str">
        <f aca="false">IF($A20="","",INDEX(Apparitions!$E$1:$E$5001,$A20)&amp;"")</f>
        <v>○</v>
      </c>
      <c r="M20" s="19" t="str">
        <f aca="false">IF($A20="","",INDEX(Apparitions!$F$1:$F$5001,$A20)&amp;"")</f>
        <v>EXEMPLE - à supprimer</v>
      </c>
      <c r="O20" s="23" t="n">
        <f aca="false">IF(I20="",0,IF(COUNTIF(I$16:I20,I20)=1,1,0))</f>
        <v>0</v>
      </c>
      <c r="P20" s="23" t="n">
        <f aca="false">IF(F20="",0,IF(COUNTIF(F$16:F20,F20)=1,1,0))</f>
        <v>0</v>
      </c>
      <c r="Q20" s="0" t="str">
        <f aca="false">IF(B20="","",B20&amp;"|"&amp;C20)</f>
        <v>Dengeki PlayStation|38</v>
      </c>
      <c r="R20" s="23" t="n">
        <f aca="false">IF(Q20="",0,IF(COUNTIF(Q$16:Q20,Q20)=1,1,0))</f>
        <v>1</v>
      </c>
    </row>
    <row r="21" customFormat="false" ht="15" hidden="false" customHeight="false" outlineLevel="0" collapsed="false">
      <c r="A21" s="0" t="n">
        <f aca="false">IFERROR(MATCH(6,Apparitions!$N$1:$N$5001,0),"")</f>
        <v>7</v>
      </c>
      <c r="B21" s="19" t="str">
        <f aca="false">IF($A21="","",INDEX(Apparitions!$A$1:$A$5001,$A21)&amp;"")</f>
        <v>Dengeki PlayStation</v>
      </c>
      <c r="C21" s="19" t="str">
        <f aca="false">IF($A21="","",INDEX(Apparitions!$B$1:$B$5001,$A21)&amp;"")</f>
        <v>38</v>
      </c>
      <c r="D21" s="20" t="n">
        <f aca="false">IF($A21="","",INDEX(Apparitions!$L$1:$L$5001,$A21))</f>
        <v>35440</v>
      </c>
      <c r="E21" s="19" t="str">
        <f aca="false">IF($A21="","",INDEX(Apparitions!$C$1:$C$5001,$A21)&amp;"")</f>
        <v>100</v>
      </c>
      <c r="F21" s="19" t="str">
        <f aca="false">IF($A21="","",INDEX(Apparitions!$H$1:$H$5001,$A21)&amp;"")</f>
        <v>Biohazard 2</v>
      </c>
      <c r="G21" s="19" t="str">
        <f aca="false">IF($A21="","",INDEX(Apparitions!$I$1:$I$5001,$A21)&amp;"")</f>
        <v>PlayStation</v>
      </c>
      <c r="H21" s="19" t="str">
        <f aca="false">IF($A21="","",INDEX(Apparitions!$J$1:$J$5001,$A21)&amp;"")</f>
        <v>Biohazard</v>
      </c>
      <c r="I21" s="19" t="str">
        <f aca="false">IF($A21="","",INDEX(Apparitions!$G$1:$G$5001,$A21)&amp;"")</f>
        <v>3</v>
      </c>
      <c r="J21" s="19" t="str">
        <f aca="false">IF($A21="","",INDEX(Apparitions!$M$1:$M$5001,$A21)&amp;"")</f>
        <v>Leon &amp; Claire</v>
      </c>
      <c r="K21" s="21" t="n">
        <f aca="false">IF($A21="","",INDEX(Apparitions!$K$1:$K$5001,$A21))</f>
        <v>2</v>
      </c>
      <c r="L21" s="22" t="str">
        <f aca="false">IF($A21="","",INDEX(Apparitions!$E$1:$E$5001,$A21)&amp;"")</f>
        <v>×</v>
      </c>
      <c r="M21" s="19" t="str">
        <f aca="false">IF($A21="","",INDEX(Apparitions!$F$1:$F$5001,$A21)&amp;"")</f>
        <v>EXEMPLE - à supprimer</v>
      </c>
      <c r="O21" s="23" t="n">
        <f aca="false">IF(I21="",0,IF(COUNTIF(I$16:I21,I21)=1,1,0))</f>
        <v>1</v>
      </c>
      <c r="P21" s="23" t="n">
        <f aca="false">IF(F21="",0,IF(COUNTIF(F$16:F21,F21)=1,1,0))</f>
        <v>1</v>
      </c>
      <c r="Q21" s="0" t="str">
        <f aca="false">IF(B21="","",B21&amp;"|"&amp;C21)</f>
        <v>Dengeki PlayStation|38</v>
      </c>
      <c r="R21" s="23" t="n">
        <f aca="false">IF(Q21="",0,IF(COUNTIF(Q$16:Q21,Q21)=1,1,0))</f>
        <v>0</v>
      </c>
    </row>
    <row r="22" customFormat="false" ht="15" hidden="false" customHeight="false" outlineLevel="0" collapsed="false">
      <c r="A22" s="0" t="n">
        <f aca="false">IFERROR(MATCH(7,Apparitions!$N$1:$N$5001,0),"")</f>
        <v>8</v>
      </c>
      <c r="B22" s="19" t="str">
        <f aca="false">IF($A22="","",INDEX(Apparitions!$A$1:$A$5001,$A22)&amp;"")</f>
        <v>Sega Saturn Magazine</v>
      </c>
      <c r="C22" s="19" t="str">
        <f aca="false">IF($A22="","",INDEX(Apparitions!$B$1:$B$5001,$A22)&amp;"")</f>
        <v>5</v>
      </c>
      <c r="D22" s="20" t="n">
        <f aca="false">IF($A22="","",INDEX(Apparitions!$L$1:$L$5001,$A22))</f>
        <v>35309</v>
      </c>
      <c r="E22" s="19" t="str">
        <f aca="false">IF($A22="","",INDEX(Apparitions!$C$1:$C$5001,$A22)&amp;"")</f>
        <v>1</v>
      </c>
      <c r="F22" s="19" t="str">
        <f aca="false">IF($A22="","",INDEX(Apparitions!$H$1:$H$5001,$A22)&amp;"")</f>
        <v>Sakura Taisen</v>
      </c>
      <c r="G22" s="19" t="str">
        <f aca="false">IF($A22="","",INDEX(Apparitions!$I$1:$I$5001,$A22)&amp;"")</f>
        <v>Sega Saturn</v>
      </c>
      <c r="H22" s="19" t="str">
        <f aca="false">IF($A22="","",INDEX(Apparitions!$J$1:$J$5001,$A22)&amp;"")</f>
        <v>Sakura Taisen</v>
      </c>
      <c r="I22" s="19" t="str">
        <f aca="false">IF($A22="","",INDEX(Apparitions!$G$1:$G$5001,$A22)&amp;"")</f>
        <v>4</v>
      </c>
      <c r="J22" s="19" t="str">
        <f aca="false">IF($A22="","",INDEX(Apparitions!$M$1:$M$5001,$A22)&amp;"")</f>
        <v>Sakura au sabre</v>
      </c>
      <c r="K22" s="21" t="n">
        <f aca="false">IF($A22="","",INDEX(Apparitions!$K$1:$K$5001,$A22))</f>
        <v>1</v>
      </c>
      <c r="L22" s="22" t="str">
        <f aca="false">IF($A22="","",INDEX(Apparitions!$E$1:$E$5001,$A22)&amp;"")</f>
        <v>○</v>
      </c>
      <c r="M22" s="19" t="str">
        <f aca="false">IF($A22="","",INDEX(Apparitions!$F$1:$F$5001,$A22)&amp;"")</f>
        <v>EXEMPLE - à supprimer</v>
      </c>
      <c r="O22" s="23" t="n">
        <f aca="false">IF(I22="",0,IF(COUNTIF(I$16:I22,I22)=1,1,0))</f>
        <v>0</v>
      </c>
      <c r="P22" s="23" t="n">
        <f aca="false">IF(F22="",0,IF(COUNTIF(F$16:F22,F22)=1,1,0))</f>
        <v>0</v>
      </c>
      <c r="Q22" s="0" t="str">
        <f aca="false">IF(B22="","",B22&amp;"|"&amp;C22)</f>
        <v>Sega Saturn Magazine|5</v>
      </c>
      <c r="R22" s="23" t="n">
        <f aca="false">IF(Q22="",0,IF(COUNTIF(Q$16:Q22,Q22)=1,1,0))</f>
        <v>1</v>
      </c>
    </row>
    <row r="23" customFormat="false" ht="15" hidden="false" customHeight="false" outlineLevel="0" collapsed="false">
      <c r="A23" s="0" t="n">
        <f aca="false">IFERROR(MATCH(8,Apparitions!$N$1:$N$5001,0),"")</f>
        <v>9</v>
      </c>
      <c r="B23" s="19" t="str">
        <f aca="false">IF($A23="","",INDEX(Apparitions!$A$1:$A$5001,$A23)&amp;"")</f>
        <v>Weekly Famitsu</v>
      </c>
      <c r="C23" s="19" t="str">
        <f aca="false">IF($A23="","",INDEX(Apparitions!$B$1:$B$5001,$A23)&amp;"")</f>
        <v>600</v>
      </c>
      <c r="D23" s="20" t="str">
        <f aca="false">IF($A23="","",INDEX(Apparitions!$L$1:$L$5001,$A23))</f>
        <v/>
      </c>
      <c r="E23" s="19" t="str">
        <f aca="false">IF($A23="","",INDEX(Apparitions!$C$1:$C$5001,$A23)&amp;"")</f>
        <v>4</v>
      </c>
      <c r="F23" s="19" t="str">
        <f aca="false">IF($A23="","",INDEX(Apparitions!$H$1:$H$5001,$A23)&amp;"")</f>
        <v>Dragon Quest VII</v>
      </c>
      <c r="G23" s="19" t="str">
        <f aca="false">IF($A23="","",INDEX(Apparitions!$I$1:$I$5001,$A23)&amp;"")</f>
        <v>PlayStation</v>
      </c>
      <c r="H23" s="19" t="str">
        <f aca="false">IF($A23="","",INDEX(Apparitions!$J$1:$J$5001,$A23)&amp;"")</f>
        <v>Dragon Quest</v>
      </c>
      <c r="I23" s="19" t="str">
        <f aca="false">IF($A23="","",INDEX(Apparitions!$G$1:$G$5001,$A23)&amp;"")</f>
        <v>5</v>
      </c>
      <c r="J23" s="19" t="str">
        <f aca="false">IF($A23="","",INDEX(Apparitions!$M$1:$M$5001,$A23)&amp;"")</f>
        <v>Logo + illustration</v>
      </c>
      <c r="K23" s="21" t="n">
        <f aca="false">IF($A23="","",INDEX(Apparitions!$K$1:$K$5001,$A23))</f>
        <v>2</v>
      </c>
      <c r="L23" s="22" t="str">
        <f aca="false">IF($A23="","",INDEX(Apparitions!$E$1:$E$5001,$A23)&amp;"")</f>
        <v>×</v>
      </c>
      <c r="M23" s="19" t="str">
        <f aca="false">IF($A23="","",INDEX(Apparitions!$F$1:$F$5001,$A23)&amp;"")</f>
        <v>EXEMPLE - à supprimer</v>
      </c>
      <c r="O23" s="23" t="n">
        <f aca="false">IF(I23="",0,IF(COUNTIF(I$16:I23,I23)=1,1,0))</f>
        <v>1</v>
      </c>
      <c r="P23" s="23" t="n">
        <f aca="false">IF(F23="",0,IF(COUNTIF(F$16:F23,F23)=1,1,0))</f>
        <v>1</v>
      </c>
      <c r="Q23" s="0" t="str">
        <f aca="false">IF(B23="","",B23&amp;"|"&amp;C23)</f>
        <v>Weekly Famitsu|600</v>
      </c>
      <c r="R23" s="23" t="n">
        <f aca="false">IF(Q23="",0,IF(COUNTIF(Q$16:Q23,Q23)=1,1,0))</f>
        <v>1</v>
      </c>
    </row>
    <row r="24" customFormat="false" ht="15" hidden="false" customHeight="false" outlineLevel="0" collapsed="false">
      <c r="A24" s="0" t="str">
        <f aca="false">IFERROR(MATCH(9,Apparitions!$N$1:$N$5001,0),"")</f>
        <v/>
      </c>
      <c r="B24" s="19" t="str">
        <f aca="false">IF($A24="","",INDEX(Apparitions!$A$1:$A$5001,$A24)&amp;"")</f>
        <v/>
      </c>
      <c r="C24" s="19" t="str">
        <f aca="false">IF($A24="","",INDEX(Apparitions!$B$1:$B$5001,$A24)&amp;"")</f>
        <v/>
      </c>
      <c r="D24" s="20" t="str">
        <f aca="false">IF($A24="","",INDEX(Apparitions!$L$1:$L$5001,$A24))</f>
        <v/>
      </c>
      <c r="E24" s="19" t="str">
        <f aca="false">IF($A24="","",INDEX(Apparitions!$C$1:$C$5001,$A24)&amp;"")</f>
        <v/>
      </c>
      <c r="F24" s="19" t="str">
        <f aca="false">IF($A24="","",INDEX(Apparitions!$H$1:$H$5001,$A24)&amp;"")</f>
        <v/>
      </c>
      <c r="G24" s="19" t="str">
        <f aca="false">IF($A24="","",INDEX(Apparitions!$I$1:$I$5001,$A24)&amp;"")</f>
        <v/>
      </c>
      <c r="H24" s="19" t="str">
        <f aca="false">IF($A24="","",INDEX(Apparitions!$J$1:$J$5001,$A24)&amp;"")</f>
        <v/>
      </c>
      <c r="I24" s="19" t="str">
        <f aca="false">IF($A24="","",INDEX(Apparitions!$G$1:$G$5001,$A24)&amp;"")</f>
        <v/>
      </c>
      <c r="J24" s="19" t="str">
        <f aca="false">IF($A24="","",INDEX(Apparitions!$M$1:$M$5001,$A24)&amp;"")</f>
        <v/>
      </c>
      <c r="K24" s="21" t="str">
        <f aca="false">IF($A24="","",INDEX(Apparitions!$K$1:$K$5001,$A24))</f>
        <v/>
      </c>
      <c r="L24" s="22" t="str">
        <f aca="false">IF($A24="","",INDEX(Apparitions!$E$1:$E$5001,$A24)&amp;"")</f>
        <v/>
      </c>
      <c r="M24" s="19" t="str">
        <f aca="false">IF($A24="","",INDEX(Apparitions!$F$1:$F$5001,$A24)&amp;"")</f>
        <v/>
      </c>
      <c r="O24" s="23" t="n">
        <f aca="false">IF(I24="",0,IF(COUNTIF(I$16:I24,I24)=1,1,0))</f>
        <v>0</v>
      </c>
      <c r="P24" s="23" t="n">
        <f aca="false">IF(F24="",0,IF(COUNTIF(F$16:F24,F24)=1,1,0))</f>
        <v>0</v>
      </c>
      <c r="Q24" s="0" t="str">
        <f aca="false">IF(B24="","",B24&amp;"|"&amp;C24)</f>
        <v/>
      </c>
      <c r="R24" s="23" t="n">
        <f aca="false">IF(Q24="",0,IF(COUNTIF(Q$16:Q24,Q24)=1,1,0))</f>
        <v>0</v>
      </c>
    </row>
    <row r="25" customFormat="false" ht="15" hidden="false" customHeight="false" outlineLevel="0" collapsed="false">
      <c r="A25" s="0" t="str">
        <f aca="false">IFERROR(MATCH(10,Apparitions!$N$1:$N$5001,0),"")</f>
        <v/>
      </c>
      <c r="B25" s="19" t="str">
        <f aca="false">IF($A25="","",INDEX(Apparitions!$A$1:$A$5001,$A25)&amp;"")</f>
        <v/>
      </c>
      <c r="C25" s="19" t="str">
        <f aca="false">IF($A25="","",INDEX(Apparitions!$B$1:$B$5001,$A25)&amp;"")</f>
        <v/>
      </c>
      <c r="D25" s="20" t="str">
        <f aca="false">IF($A25="","",INDEX(Apparitions!$L$1:$L$5001,$A25))</f>
        <v/>
      </c>
      <c r="E25" s="19" t="str">
        <f aca="false">IF($A25="","",INDEX(Apparitions!$C$1:$C$5001,$A25)&amp;"")</f>
        <v/>
      </c>
      <c r="F25" s="19" t="str">
        <f aca="false">IF($A25="","",INDEX(Apparitions!$H$1:$H$5001,$A25)&amp;"")</f>
        <v/>
      </c>
      <c r="G25" s="19" t="str">
        <f aca="false">IF($A25="","",INDEX(Apparitions!$I$1:$I$5001,$A25)&amp;"")</f>
        <v/>
      </c>
      <c r="H25" s="19" t="str">
        <f aca="false">IF($A25="","",INDEX(Apparitions!$J$1:$J$5001,$A25)&amp;"")</f>
        <v/>
      </c>
      <c r="I25" s="19" t="str">
        <f aca="false">IF($A25="","",INDEX(Apparitions!$G$1:$G$5001,$A25)&amp;"")</f>
        <v/>
      </c>
      <c r="J25" s="19" t="str">
        <f aca="false">IF($A25="","",INDEX(Apparitions!$M$1:$M$5001,$A25)&amp;"")</f>
        <v/>
      </c>
      <c r="K25" s="21" t="str">
        <f aca="false">IF($A25="","",INDEX(Apparitions!$K$1:$K$5001,$A25))</f>
        <v/>
      </c>
      <c r="L25" s="22" t="str">
        <f aca="false">IF($A25="","",INDEX(Apparitions!$E$1:$E$5001,$A25)&amp;"")</f>
        <v/>
      </c>
      <c r="M25" s="19" t="str">
        <f aca="false">IF($A25="","",INDEX(Apparitions!$F$1:$F$5001,$A25)&amp;"")</f>
        <v/>
      </c>
      <c r="O25" s="23" t="n">
        <f aca="false">IF(I25="",0,IF(COUNTIF(I$16:I25,I25)=1,1,0))</f>
        <v>0</v>
      </c>
      <c r="P25" s="23" t="n">
        <f aca="false">IF(F25="",0,IF(COUNTIF(F$16:F25,F25)=1,1,0))</f>
        <v>0</v>
      </c>
      <c r="Q25" s="0" t="str">
        <f aca="false">IF(B25="","",B25&amp;"|"&amp;C25)</f>
        <v/>
      </c>
      <c r="R25" s="23" t="n">
        <f aca="false">IF(Q25="",0,IF(COUNTIF(Q$16:Q25,Q25)=1,1,0))</f>
        <v>0</v>
      </c>
    </row>
    <row r="26" customFormat="false" ht="15" hidden="false" customHeight="false" outlineLevel="0" collapsed="false">
      <c r="A26" s="0" t="str">
        <f aca="false">IFERROR(MATCH(11,Apparitions!$N$1:$N$5001,0),"")</f>
        <v/>
      </c>
      <c r="B26" s="19" t="str">
        <f aca="false">IF($A26="","",INDEX(Apparitions!$A$1:$A$5001,$A26)&amp;"")</f>
        <v/>
      </c>
      <c r="C26" s="19" t="str">
        <f aca="false">IF($A26="","",INDEX(Apparitions!$B$1:$B$5001,$A26)&amp;"")</f>
        <v/>
      </c>
      <c r="D26" s="20" t="str">
        <f aca="false">IF($A26="","",INDEX(Apparitions!$L$1:$L$5001,$A26))</f>
        <v/>
      </c>
      <c r="E26" s="19" t="str">
        <f aca="false">IF($A26="","",INDEX(Apparitions!$C$1:$C$5001,$A26)&amp;"")</f>
        <v/>
      </c>
      <c r="F26" s="19" t="str">
        <f aca="false">IF($A26="","",INDEX(Apparitions!$H$1:$H$5001,$A26)&amp;"")</f>
        <v/>
      </c>
      <c r="G26" s="19" t="str">
        <f aca="false">IF($A26="","",INDEX(Apparitions!$I$1:$I$5001,$A26)&amp;"")</f>
        <v/>
      </c>
      <c r="H26" s="19" t="str">
        <f aca="false">IF($A26="","",INDEX(Apparitions!$J$1:$J$5001,$A26)&amp;"")</f>
        <v/>
      </c>
      <c r="I26" s="19" t="str">
        <f aca="false">IF($A26="","",INDEX(Apparitions!$G$1:$G$5001,$A26)&amp;"")</f>
        <v/>
      </c>
      <c r="J26" s="19" t="str">
        <f aca="false">IF($A26="","",INDEX(Apparitions!$M$1:$M$5001,$A26)&amp;"")</f>
        <v/>
      </c>
      <c r="K26" s="21" t="str">
        <f aca="false">IF($A26="","",INDEX(Apparitions!$K$1:$K$5001,$A26))</f>
        <v/>
      </c>
      <c r="L26" s="22" t="str">
        <f aca="false">IF($A26="","",INDEX(Apparitions!$E$1:$E$5001,$A26)&amp;"")</f>
        <v/>
      </c>
      <c r="M26" s="19" t="str">
        <f aca="false">IF($A26="","",INDEX(Apparitions!$F$1:$F$5001,$A26)&amp;"")</f>
        <v/>
      </c>
      <c r="O26" s="23" t="n">
        <f aca="false">IF(I26="",0,IF(COUNTIF(I$16:I26,I26)=1,1,0))</f>
        <v>0</v>
      </c>
      <c r="P26" s="23" t="n">
        <f aca="false">IF(F26="",0,IF(COUNTIF(F$16:F26,F26)=1,1,0))</f>
        <v>0</v>
      </c>
      <c r="Q26" s="0" t="str">
        <f aca="false">IF(B26="","",B26&amp;"|"&amp;C26)</f>
        <v/>
      </c>
      <c r="R26" s="23" t="n">
        <f aca="false">IF(Q26="",0,IF(COUNTIF(Q$16:Q26,Q26)=1,1,0))</f>
        <v>0</v>
      </c>
    </row>
    <row r="27" customFormat="false" ht="15" hidden="false" customHeight="false" outlineLevel="0" collapsed="false">
      <c r="A27" s="0" t="str">
        <f aca="false">IFERROR(MATCH(12,Apparitions!$N$1:$N$5001,0),"")</f>
        <v/>
      </c>
      <c r="B27" s="19" t="str">
        <f aca="false">IF($A27="","",INDEX(Apparitions!$A$1:$A$5001,$A27)&amp;"")</f>
        <v/>
      </c>
      <c r="C27" s="19" t="str">
        <f aca="false">IF($A27="","",INDEX(Apparitions!$B$1:$B$5001,$A27)&amp;"")</f>
        <v/>
      </c>
      <c r="D27" s="20" t="str">
        <f aca="false">IF($A27="","",INDEX(Apparitions!$L$1:$L$5001,$A27))</f>
        <v/>
      </c>
      <c r="E27" s="19" t="str">
        <f aca="false">IF($A27="","",INDEX(Apparitions!$C$1:$C$5001,$A27)&amp;"")</f>
        <v/>
      </c>
      <c r="F27" s="19" t="str">
        <f aca="false">IF($A27="","",INDEX(Apparitions!$H$1:$H$5001,$A27)&amp;"")</f>
        <v/>
      </c>
      <c r="G27" s="19" t="str">
        <f aca="false">IF($A27="","",INDEX(Apparitions!$I$1:$I$5001,$A27)&amp;"")</f>
        <v/>
      </c>
      <c r="H27" s="19" t="str">
        <f aca="false">IF($A27="","",INDEX(Apparitions!$J$1:$J$5001,$A27)&amp;"")</f>
        <v/>
      </c>
      <c r="I27" s="19" t="str">
        <f aca="false">IF($A27="","",INDEX(Apparitions!$G$1:$G$5001,$A27)&amp;"")</f>
        <v/>
      </c>
      <c r="J27" s="19" t="str">
        <f aca="false">IF($A27="","",INDEX(Apparitions!$M$1:$M$5001,$A27)&amp;"")</f>
        <v/>
      </c>
      <c r="K27" s="21" t="str">
        <f aca="false">IF($A27="","",INDEX(Apparitions!$K$1:$K$5001,$A27))</f>
        <v/>
      </c>
      <c r="L27" s="22" t="str">
        <f aca="false">IF($A27="","",INDEX(Apparitions!$E$1:$E$5001,$A27)&amp;"")</f>
        <v/>
      </c>
      <c r="M27" s="19" t="str">
        <f aca="false">IF($A27="","",INDEX(Apparitions!$F$1:$F$5001,$A27)&amp;"")</f>
        <v/>
      </c>
      <c r="O27" s="23" t="n">
        <f aca="false">IF(I27="",0,IF(COUNTIF(I$16:I27,I27)=1,1,0))</f>
        <v>0</v>
      </c>
      <c r="P27" s="23" t="n">
        <f aca="false">IF(F27="",0,IF(COUNTIF(F$16:F27,F27)=1,1,0))</f>
        <v>0</v>
      </c>
      <c r="Q27" s="0" t="str">
        <f aca="false">IF(B27="","",B27&amp;"|"&amp;C27)</f>
        <v/>
      </c>
      <c r="R27" s="23" t="n">
        <f aca="false">IF(Q27="",0,IF(COUNTIF(Q$16:Q27,Q27)=1,1,0))</f>
        <v>0</v>
      </c>
    </row>
    <row r="28" customFormat="false" ht="15" hidden="false" customHeight="false" outlineLevel="0" collapsed="false">
      <c r="A28" s="0" t="str">
        <f aca="false">IFERROR(MATCH(13,Apparitions!$N$1:$N$5001,0),"")</f>
        <v/>
      </c>
      <c r="B28" s="19" t="str">
        <f aca="false">IF($A28="","",INDEX(Apparitions!$A$1:$A$5001,$A28)&amp;"")</f>
        <v/>
      </c>
      <c r="C28" s="19" t="str">
        <f aca="false">IF($A28="","",INDEX(Apparitions!$B$1:$B$5001,$A28)&amp;"")</f>
        <v/>
      </c>
      <c r="D28" s="20" t="str">
        <f aca="false">IF($A28="","",INDEX(Apparitions!$L$1:$L$5001,$A28))</f>
        <v/>
      </c>
      <c r="E28" s="19" t="str">
        <f aca="false">IF($A28="","",INDEX(Apparitions!$C$1:$C$5001,$A28)&amp;"")</f>
        <v/>
      </c>
      <c r="F28" s="19" t="str">
        <f aca="false">IF($A28="","",INDEX(Apparitions!$H$1:$H$5001,$A28)&amp;"")</f>
        <v/>
      </c>
      <c r="G28" s="19" t="str">
        <f aca="false">IF($A28="","",INDEX(Apparitions!$I$1:$I$5001,$A28)&amp;"")</f>
        <v/>
      </c>
      <c r="H28" s="19" t="str">
        <f aca="false">IF($A28="","",INDEX(Apparitions!$J$1:$J$5001,$A28)&amp;"")</f>
        <v/>
      </c>
      <c r="I28" s="19" t="str">
        <f aca="false">IF($A28="","",INDEX(Apparitions!$G$1:$G$5001,$A28)&amp;"")</f>
        <v/>
      </c>
      <c r="J28" s="19" t="str">
        <f aca="false">IF($A28="","",INDEX(Apparitions!$M$1:$M$5001,$A28)&amp;"")</f>
        <v/>
      </c>
      <c r="K28" s="21" t="str">
        <f aca="false">IF($A28="","",INDEX(Apparitions!$K$1:$K$5001,$A28))</f>
        <v/>
      </c>
      <c r="L28" s="22" t="str">
        <f aca="false">IF($A28="","",INDEX(Apparitions!$E$1:$E$5001,$A28)&amp;"")</f>
        <v/>
      </c>
      <c r="M28" s="19" t="str">
        <f aca="false">IF($A28="","",INDEX(Apparitions!$F$1:$F$5001,$A28)&amp;"")</f>
        <v/>
      </c>
      <c r="O28" s="23" t="n">
        <f aca="false">IF(I28="",0,IF(COUNTIF(I$16:I28,I28)=1,1,0))</f>
        <v>0</v>
      </c>
      <c r="P28" s="23" t="n">
        <f aca="false">IF(F28="",0,IF(COUNTIF(F$16:F28,F28)=1,1,0))</f>
        <v>0</v>
      </c>
      <c r="Q28" s="0" t="str">
        <f aca="false">IF(B28="","",B28&amp;"|"&amp;C28)</f>
        <v/>
      </c>
      <c r="R28" s="23" t="n">
        <f aca="false">IF(Q28="",0,IF(COUNTIF(Q$16:Q28,Q28)=1,1,0))</f>
        <v>0</v>
      </c>
    </row>
    <row r="29" customFormat="false" ht="15" hidden="false" customHeight="false" outlineLevel="0" collapsed="false">
      <c r="A29" s="0" t="str">
        <f aca="false">IFERROR(MATCH(14,Apparitions!$N$1:$N$5001,0),"")</f>
        <v/>
      </c>
      <c r="B29" s="19" t="str">
        <f aca="false">IF($A29="","",INDEX(Apparitions!$A$1:$A$5001,$A29)&amp;"")</f>
        <v/>
      </c>
      <c r="C29" s="19" t="str">
        <f aca="false">IF($A29="","",INDEX(Apparitions!$B$1:$B$5001,$A29)&amp;"")</f>
        <v/>
      </c>
      <c r="D29" s="20" t="str">
        <f aca="false">IF($A29="","",INDEX(Apparitions!$L$1:$L$5001,$A29))</f>
        <v/>
      </c>
      <c r="E29" s="19" t="str">
        <f aca="false">IF($A29="","",INDEX(Apparitions!$C$1:$C$5001,$A29)&amp;"")</f>
        <v/>
      </c>
      <c r="F29" s="19" t="str">
        <f aca="false">IF($A29="","",INDEX(Apparitions!$H$1:$H$5001,$A29)&amp;"")</f>
        <v/>
      </c>
      <c r="G29" s="19" t="str">
        <f aca="false">IF($A29="","",INDEX(Apparitions!$I$1:$I$5001,$A29)&amp;"")</f>
        <v/>
      </c>
      <c r="H29" s="19" t="str">
        <f aca="false">IF($A29="","",INDEX(Apparitions!$J$1:$J$5001,$A29)&amp;"")</f>
        <v/>
      </c>
      <c r="I29" s="19" t="str">
        <f aca="false">IF($A29="","",INDEX(Apparitions!$G$1:$G$5001,$A29)&amp;"")</f>
        <v/>
      </c>
      <c r="J29" s="19" t="str">
        <f aca="false">IF($A29="","",INDEX(Apparitions!$M$1:$M$5001,$A29)&amp;"")</f>
        <v/>
      </c>
      <c r="K29" s="21" t="str">
        <f aca="false">IF($A29="","",INDEX(Apparitions!$K$1:$K$5001,$A29))</f>
        <v/>
      </c>
      <c r="L29" s="22" t="str">
        <f aca="false">IF($A29="","",INDEX(Apparitions!$E$1:$E$5001,$A29)&amp;"")</f>
        <v/>
      </c>
      <c r="M29" s="19" t="str">
        <f aca="false">IF($A29="","",INDEX(Apparitions!$F$1:$F$5001,$A29)&amp;"")</f>
        <v/>
      </c>
      <c r="O29" s="23" t="n">
        <f aca="false">IF(I29="",0,IF(COUNTIF(I$16:I29,I29)=1,1,0))</f>
        <v>0</v>
      </c>
      <c r="P29" s="23" t="n">
        <f aca="false">IF(F29="",0,IF(COUNTIF(F$16:F29,F29)=1,1,0))</f>
        <v>0</v>
      </c>
      <c r="Q29" s="0" t="str">
        <f aca="false">IF(B29="","",B29&amp;"|"&amp;C29)</f>
        <v/>
      </c>
      <c r="R29" s="23" t="n">
        <f aca="false">IF(Q29="",0,IF(COUNTIF(Q$16:Q29,Q29)=1,1,0))</f>
        <v>0</v>
      </c>
    </row>
    <row r="30" customFormat="false" ht="15" hidden="false" customHeight="false" outlineLevel="0" collapsed="false">
      <c r="A30" s="0" t="str">
        <f aca="false">IFERROR(MATCH(15,Apparitions!$N$1:$N$5001,0),"")</f>
        <v/>
      </c>
      <c r="B30" s="19" t="str">
        <f aca="false">IF($A30="","",INDEX(Apparitions!$A$1:$A$5001,$A30)&amp;"")</f>
        <v/>
      </c>
      <c r="C30" s="19" t="str">
        <f aca="false">IF($A30="","",INDEX(Apparitions!$B$1:$B$5001,$A30)&amp;"")</f>
        <v/>
      </c>
      <c r="D30" s="20" t="str">
        <f aca="false">IF($A30="","",INDEX(Apparitions!$L$1:$L$5001,$A30))</f>
        <v/>
      </c>
      <c r="E30" s="19" t="str">
        <f aca="false">IF($A30="","",INDEX(Apparitions!$C$1:$C$5001,$A30)&amp;"")</f>
        <v/>
      </c>
      <c r="F30" s="19" t="str">
        <f aca="false">IF($A30="","",INDEX(Apparitions!$H$1:$H$5001,$A30)&amp;"")</f>
        <v/>
      </c>
      <c r="G30" s="19" t="str">
        <f aca="false">IF($A30="","",INDEX(Apparitions!$I$1:$I$5001,$A30)&amp;"")</f>
        <v/>
      </c>
      <c r="H30" s="19" t="str">
        <f aca="false">IF($A30="","",INDEX(Apparitions!$J$1:$J$5001,$A30)&amp;"")</f>
        <v/>
      </c>
      <c r="I30" s="19" t="str">
        <f aca="false">IF($A30="","",INDEX(Apparitions!$G$1:$G$5001,$A30)&amp;"")</f>
        <v/>
      </c>
      <c r="J30" s="19" t="str">
        <f aca="false">IF($A30="","",INDEX(Apparitions!$M$1:$M$5001,$A30)&amp;"")</f>
        <v/>
      </c>
      <c r="K30" s="21" t="str">
        <f aca="false">IF($A30="","",INDEX(Apparitions!$K$1:$K$5001,$A30))</f>
        <v/>
      </c>
      <c r="L30" s="22" t="str">
        <f aca="false">IF($A30="","",INDEX(Apparitions!$E$1:$E$5001,$A30)&amp;"")</f>
        <v/>
      </c>
      <c r="M30" s="19" t="str">
        <f aca="false">IF($A30="","",INDEX(Apparitions!$F$1:$F$5001,$A30)&amp;"")</f>
        <v/>
      </c>
      <c r="O30" s="23" t="n">
        <f aca="false">IF(I30="",0,IF(COUNTIF(I$16:I30,I30)=1,1,0))</f>
        <v>0</v>
      </c>
      <c r="P30" s="23" t="n">
        <f aca="false">IF(F30="",0,IF(COUNTIF(F$16:F30,F30)=1,1,0))</f>
        <v>0</v>
      </c>
      <c r="Q30" s="0" t="str">
        <f aca="false">IF(B30="","",B30&amp;"|"&amp;C30)</f>
        <v/>
      </c>
      <c r="R30" s="23" t="n">
        <f aca="false">IF(Q30="",0,IF(COUNTIF(Q$16:Q30,Q30)=1,1,0))</f>
        <v>0</v>
      </c>
    </row>
    <row r="31" customFormat="false" ht="15" hidden="false" customHeight="false" outlineLevel="0" collapsed="false">
      <c r="A31" s="0" t="str">
        <f aca="false">IFERROR(MATCH(16,Apparitions!$N$1:$N$5001,0),"")</f>
        <v/>
      </c>
      <c r="B31" s="19" t="str">
        <f aca="false">IF($A31="","",INDEX(Apparitions!$A$1:$A$5001,$A31)&amp;"")</f>
        <v/>
      </c>
      <c r="C31" s="19" t="str">
        <f aca="false">IF($A31="","",INDEX(Apparitions!$B$1:$B$5001,$A31)&amp;"")</f>
        <v/>
      </c>
      <c r="D31" s="20" t="str">
        <f aca="false">IF($A31="","",INDEX(Apparitions!$L$1:$L$5001,$A31))</f>
        <v/>
      </c>
      <c r="E31" s="19" t="str">
        <f aca="false">IF($A31="","",INDEX(Apparitions!$C$1:$C$5001,$A31)&amp;"")</f>
        <v/>
      </c>
      <c r="F31" s="19" t="str">
        <f aca="false">IF($A31="","",INDEX(Apparitions!$H$1:$H$5001,$A31)&amp;"")</f>
        <v/>
      </c>
      <c r="G31" s="19" t="str">
        <f aca="false">IF($A31="","",INDEX(Apparitions!$I$1:$I$5001,$A31)&amp;"")</f>
        <v/>
      </c>
      <c r="H31" s="19" t="str">
        <f aca="false">IF($A31="","",INDEX(Apparitions!$J$1:$J$5001,$A31)&amp;"")</f>
        <v/>
      </c>
      <c r="I31" s="19" t="str">
        <f aca="false">IF($A31="","",INDEX(Apparitions!$G$1:$G$5001,$A31)&amp;"")</f>
        <v/>
      </c>
      <c r="J31" s="19" t="str">
        <f aca="false">IF($A31="","",INDEX(Apparitions!$M$1:$M$5001,$A31)&amp;"")</f>
        <v/>
      </c>
      <c r="K31" s="21" t="str">
        <f aca="false">IF($A31="","",INDEX(Apparitions!$K$1:$K$5001,$A31))</f>
        <v/>
      </c>
      <c r="L31" s="22" t="str">
        <f aca="false">IF($A31="","",INDEX(Apparitions!$E$1:$E$5001,$A31)&amp;"")</f>
        <v/>
      </c>
      <c r="M31" s="19" t="str">
        <f aca="false">IF($A31="","",INDEX(Apparitions!$F$1:$F$5001,$A31)&amp;"")</f>
        <v/>
      </c>
      <c r="O31" s="23" t="n">
        <f aca="false">IF(I31="",0,IF(COUNTIF(I$16:I31,I31)=1,1,0))</f>
        <v>0</v>
      </c>
      <c r="P31" s="23" t="n">
        <f aca="false">IF(F31="",0,IF(COUNTIF(F$16:F31,F31)=1,1,0))</f>
        <v>0</v>
      </c>
      <c r="Q31" s="0" t="str">
        <f aca="false">IF(B31="","",B31&amp;"|"&amp;C31)</f>
        <v/>
      </c>
      <c r="R31" s="23" t="n">
        <f aca="false">IF(Q31="",0,IF(COUNTIF(Q$16:Q31,Q31)=1,1,0))</f>
        <v>0</v>
      </c>
    </row>
    <row r="32" customFormat="false" ht="15" hidden="false" customHeight="false" outlineLevel="0" collapsed="false">
      <c r="A32" s="0" t="str">
        <f aca="false">IFERROR(MATCH(17,Apparitions!$N$1:$N$5001,0),"")</f>
        <v/>
      </c>
      <c r="B32" s="19" t="str">
        <f aca="false">IF($A32="","",INDEX(Apparitions!$A$1:$A$5001,$A32)&amp;"")</f>
        <v/>
      </c>
      <c r="C32" s="19" t="str">
        <f aca="false">IF($A32="","",INDEX(Apparitions!$B$1:$B$5001,$A32)&amp;"")</f>
        <v/>
      </c>
      <c r="D32" s="20" t="str">
        <f aca="false">IF($A32="","",INDEX(Apparitions!$L$1:$L$5001,$A32))</f>
        <v/>
      </c>
      <c r="E32" s="19" t="str">
        <f aca="false">IF($A32="","",INDEX(Apparitions!$C$1:$C$5001,$A32)&amp;"")</f>
        <v/>
      </c>
      <c r="F32" s="19" t="str">
        <f aca="false">IF($A32="","",INDEX(Apparitions!$H$1:$H$5001,$A32)&amp;"")</f>
        <v/>
      </c>
      <c r="G32" s="19" t="str">
        <f aca="false">IF($A32="","",INDEX(Apparitions!$I$1:$I$5001,$A32)&amp;"")</f>
        <v/>
      </c>
      <c r="H32" s="19" t="str">
        <f aca="false">IF($A32="","",INDEX(Apparitions!$J$1:$J$5001,$A32)&amp;"")</f>
        <v/>
      </c>
      <c r="I32" s="19" t="str">
        <f aca="false">IF($A32="","",INDEX(Apparitions!$G$1:$G$5001,$A32)&amp;"")</f>
        <v/>
      </c>
      <c r="J32" s="19" t="str">
        <f aca="false">IF($A32="","",INDEX(Apparitions!$M$1:$M$5001,$A32)&amp;"")</f>
        <v/>
      </c>
      <c r="K32" s="21" t="str">
        <f aca="false">IF($A32="","",INDEX(Apparitions!$K$1:$K$5001,$A32))</f>
        <v/>
      </c>
      <c r="L32" s="22" t="str">
        <f aca="false">IF($A32="","",INDEX(Apparitions!$E$1:$E$5001,$A32)&amp;"")</f>
        <v/>
      </c>
      <c r="M32" s="19" t="str">
        <f aca="false">IF($A32="","",INDEX(Apparitions!$F$1:$F$5001,$A32)&amp;"")</f>
        <v/>
      </c>
      <c r="O32" s="23" t="n">
        <f aca="false">IF(I32="",0,IF(COUNTIF(I$16:I32,I32)=1,1,0))</f>
        <v>0</v>
      </c>
      <c r="P32" s="23" t="n">
        <f aca="false">IF(F32="",0,IF(COUNTIF(F$16:F32,F32)=1,1,0))</f>
        <v>0</v>
      </c>
      <c r="Q32" s="0" t="str">
        <f aca="false">IF(B32="","",B32&amp;"|"&amp;C32)</f>
        <v/>
      </c>
      <c r="R32" s="23" t="n">
        <f aca="false">IF(Q32="",0,IF(COUNTIF(Q$16:Q32,Q32)=1,1,0))</f>
        <v>0</v>
      </c>
    </row>
    <row r="33" customFormat="false" ht="15" hidden="false" customHeight="false" outlineLevel="0" collapsed="false">
      <c r="A33" s="0" t="str">
        <f aca="false">IFERROR(MATCH(18,Apparitions!$N$1:$N$5001,0),"")</f>
        <v/>
      </c>
      <c r="B33" s="19" t="str">
        <f aca="false">IF($A33="","",INDEX(Apparitions!$A$1:$A$5001,$A33)&amp;"")</f>
        <v/>
      </c>
      <c r="C33" s="19" t="str">
        <f aca="false">IF($A33="","",INDEX(Apparitions!$B$1:$B$5001,$A33)&amp;"")</f>
        <v/>
      </c>
      <c r="D33" s="20" t="str">
        <f aca="false">IF($A33="","",INDEX(Apparitions!$L$1:$L$5001,$A33))</f>
        <v/>
      </c>
      <c r="E33" s="19" t="str">
        <f aca="false">IF($A33="","",INDEX(Apparitions!$C$1:$C$5001,$A33)&amp;"")</f>
        <v/>
      </c>
      <c r="F33" s="19" t="str">
        <f aca="false">IF($A33="","",INDEX(Apparitions!$H$1:$H$5001,$A33)&amp;"")</f>
        <v/>
      </c>
      <c r="G33" s="19" t="str">
        <f aca="false">IF($A33="","",INDEX(Apparitions!$I$1:$I$5001,$A33)&amp;"")</f>
        <v/>
      </c>
      <c r="H33" s="19" t="str">
        <f aca="false">IF($A33="","",INDEX(Apparitions!$J$1:$J$5001,$A33)&amp;"")</f>
        <v/>
      </c>
      <c r="I33" s="19" t="str">
        <f aca="false">IF($A33="","",INDEX(Apparitions!$G$1:$G$5001,$A33)&amp;"")</f>
        <v/>
      </c>
      <c r="J33" s="19" t="str">
        <f aca="false">IF($A33="","",INDEX(Apparitions!$M$1:$M$5001,$A33)&amp;"")</f>
        <v/>
      </c>
      <c r="K33" s="21" t="str">
        <f aca="false">IF($A33="","",INDEX(Apparitions!$K$1:$K$5001,$A33))</f>
        <v/>
      </c>
      <c r="L33" s="22" t="str">
        <f aca="false">IF($A33="","",INDEX(Apparitions!$E$1:$E$5001,$A33)&amp;"")</f>
        <v/>
      </c>
      <c r="M33" s="19" t="str">
        <f aca="false">IF($A33="","",INDEX(Apparitions!$F$1:$F$5001,$A33)&amp;"")</f>
        <v/>
      </c>
      <c r="O33" s="23" t="n">
        <f aca="false">IF(I33="",0,IF(COUNTIF(I$16:I33,I33)=1,1,0))</f>
        <v>0</v>
      </c>
      <c r="P33" s="23" t="n">
        <f aca="false">IF(F33="",0,IF(COUNTIF(F$16:F33,F33)=1,1,0))</f>
        <v>0</v>
      </c>
      <c r="Q33" s="0" t="str">
        <f aca="false">IF(B33="","",B33&amp;"|"&amp;C33)</f>
        <v/>
      </c>
      <c r="R33" s="23" t="n">
        <f aca="false">IF(Q33="",0,IF(COUNTIF(Q$16:Q33,Q33)=1,1,0))</f>
        <v>0</v>
      </c>
    </row>
    <row r="34" customFormat="false" ht="15" hidden="false" customHeight="false" outlineLevel="0" collapsed="false">
      <c r="A34" s="0" t="str">
        <f aca="false">IFERROR(MATCH(19,Apparitions!$N$1:$N$5001,0),"")</f>
        <v/>
      </c>
      <c r="B34" s="19" t="str">
        <f aca="false">IF($A34="","",INDEX(Apparitions!$A$1:$A$5001,$A34)&amp;"")</f>
        <v/>
      </c>
      <c r="C34" s="19" t="str">
        <f aca="false">IF($A34="","",INDEX(Apparitions!$B$1:$B$5001,$A34)&amp;"")</f>
        <v/>
      </c>
      <c r="D34" s="20" t="str">
        <f aca="false">IF($A34="","",INDEX(Apparitions!$L$1:$L$5001,$A34))</f>
        <v/>
      </c>
      <c r="E34" s="19" t="str">
        <f aca="false">IF($A34="","",INDEX(Apparitions!$C$1:$C$5001,$A34)&amp;"")</f>
        <v/>
      </c>
      <c r="F34" s="19" t="str">
        <f aca="false">IF($A34="","",INDEX(Apparitions!$H$1:$H$5001,$A34)&amp;"")</f>
        <v/>
      </c>
      <c r="G34" s="19" t="str">
        <f aca="false">IF($A34="","",INDEX(Apparitions!$I$1:$I$5001,$A34)&amp;"")</f>
        <v/>
      </c>
      <c r="H34" s="19" t="str">
        <f aca="false">IF($A34="","",INDEX(Apparitions!$J$1:$J$5001,$A34)&amp;"")</f>
        <v/>
      </c>
      <c r="I34" s="19" t="str">
        <f aca="false">IF($A34="","",INDEX(Apparitions!$G$1:$G$5001,$A34)&amp;"")</f>
        <v/>
      </c>
      <c r="J34" s="19" t="str">
        <f aca="false">IF($A34="","",INDEX(Apparitions!$M$1:$M$5001,$A34)&amp;"")</f>
        <v/>
      </c>
      <c r="K34" s="21" t="str">
        <f aca="false">IF($A34="","",INDEX(Apparitions!$K$1:$K$5001,$A34))</f>
        <v/>
      </c>
      <c r="L34" s="22" t="str">
        <f aca="false">IF($A34="","",INDEX(Apparitions!$E$1:$E$5001,$A34)&amp;"")</f>
        <v/>
      </c>
      <c r="M34" s="19" t="str">
        <f aca="false">IF($A34="","",INDEX(Apparitions!$F$1:$F$5001,$A34)&amp;"")</f>
        <v/>
      </c>
      <c r="O34" s="23" t="n">
        <f aca="false">IF(I34="",0,IF(COUNTIF(I$16:I34,I34)=1,1,0))</f>
        <v>0</v>
      </c>
      <c r="P34" s="23" t="n">
        <f aca="false">IF(F34="",0,IF(COUNTIF(F$16:F34,F34)=1,1,0))</f>
        <v>0</v>
      </c>
      <c r="Q34" s="0" t="str">
        <f aca="false">IF(B34="","",B34&amp;"|"&amp;C34)</f>
        <v/>
      </c>
      <c r="R34" s="23" t="n">
        <f aca="false">IF(Q34="",0,IF(COUNTIF(Q$16:Q34,Q34)=1,1,0))</f>
        <v>0</v>
      </c>
    </row>
    <row r="35" customFormat="false" ht="15" hidden="false" customHeight="false" outlineLevel="0" collapsed="false">
      <c r="A35" s="0" t="str">
        <f aca="false">IFERROR(MATCH(20,Apparitions!$N$1:$N$5001,0),"")</f>
        <v/>
      </c>
      <c r="B35" s="19" t="str">
        <f aca="false">IF($A35="","",INDEX(Apparitions!$A$1:$A$5001,$A35)&amp;"")</f>
        <v/>
      </c>
      <c r="C35" s="19" t="str">
        <f aca="false">IF($A35="","",INDEX(Apparitions!$B$1:$B$5001,$A35)&amp;"")</f>
        <v/>
      </c>
      <c r="D35" s="20" t="str">
        <f aca="false">IF($A35="","",INDEX(Apparitions!$L$1:$L$5001,$A35))</f>
        <v/>
      </c>
      <c r="E35" s="19" t="str">
        <f aca="false">IF($A35="","",INDEX(Apparitions!$C$1:$C$5001,$A35)&amp;"")</f>
        <v/>
      </c>
      <c r="F35" s="19" t="str">
        <f aca="false">IF($A35="","",INDEX(Apparitions!$H$1:$H$5001,$A35)&amp;"")</f>
        <v/>
      </c>
      <c r="G35" s="19" t="str">
        <f aca="false">IF($A35="","",INDEX(Apparitions!$I$1:$I$5001,$A35)&amp;"")</f>
        <v/>
      </c>
      <c r="H35" s="19" t="str">
        <f aca="false">IF($A35="","",INDEX(Apparitions!$J$1:$J$5001,$A35)&amp;"")</f>
        <v/>
      </c>
      <c r="I35" s="19" t="str">
        <f aca="false">IF($A35="","",INDEX(Apparitions!$G$1:$G$5001,$A35)&amp;"")</f>
        <v/>
      </c>
      <c r="J35" s="19" t="str">
        <f aca="false">IF($A35="","",INDEX(Apparitions!$M$1:$M$5001,$A35)&amp;"")</f>
        <v/>
      </c>
      <c r="K35" s="21" t="str">
        <f aca="false">IF($A35="","",INDEX(Apparitions!$K$1:$K$5001,$A35))</f>
        <v/>
      </c>
      <c r="L35" s="22" t="str">
        <f aca="false">IF($A35="","",INDEX(Apparitions!$E$1:$E$5001,$A35)&amp;"")</f>
        <v/>
      </c>
      <c r="M35" s="19" t="str">
        <f aca="false">IF($A35="","",INDEX(Apparitions!$F$1:$F$5001,$A35)&amp;"")</f>
        <v/>
      </c>
      <c r="O35" s="23" t="n">
        <f aca="false">IF(I35="",0,IF(COUNTIF(I$16:I35,I35)=1,1,0))</f>
        <v>0</v>
      </c>
      <c r="P35" s="23" t="n">
        <f aca="false">IF(F35="",0,IF(COUNTIF(F$16:F35,F35)=1,1,0))</f>
        <v>0</v>
      </c>
      <c r="Q35" s="0" t="str">
        <f aca="false">IF(B35="","",B35&amp;"|"&amp;C35)</f>
        <v/>
      </c>
      <c r="R35" s="23" t="n">
        <f aca="false">IF(Q35="",0,IF(COUNTIF(Q$16:Q35,Q35)=1,1,0))</f>
        <v>0</v>
      </c>
    </row>
    <row r="36" customFormat="false" ht="15" hidden="false" customHeight="false" outlineLevel="0" collapsed="false">
      <c r="A36" s="0" t="str">
        <f aca="false">IFERROR(MATCH(21,Apparitions!$N$1:$N$5001,0),"")</f>
        <v/>
      </c>
      <c r="B36" s="19" t="str">
        <f aca="false">IF($A36="","",INDEX(Apparitions!$A$1:$A$5001,$A36)&amp;"")</f>
        <v/>
      </c>
      <c r="C36" s="19" t="str">
        <f aca="false">IF($A36="","",INDEX(Apparitions!$B$1:$B$5001,$A36)&amp;"")</f>
        <v/>
      </c>
      <c r="D36" s="20" t="str">
        <f aca="false">IF($A36="","",INDEX(Apparitions!$L$1:$L$5001,$A36))</f>
        <v/>
      </c>
      <c r="E36" s="19" t="str">
        <f aca="false">IF($A36="","",INDEX(Apparitions!$C$1:$C$5001,$A36)&amp;"")</f>
        <v/>
      </c>
      <c r="F36" s="19" t="str">
        <f aca="false">IF($A36="","",INDEX(Apparitions!$H$1:$H$5001,$A36)&amp;"")</f>
        <v/>
      </c>
      <c r="G36" s="19" t="str">
        <f aca="false">IF($A36="","",INDEX(Apparitions!$I$1:$I$5001,$A36)&amp;"")</f>
        <v/>
      </c>
      <c r="H36" s="19" t="str">
        <f aca="false">IF($A36="","",INDEX(Apparitions!$J$1:$J$5001,$A36)&amp;"")</f>
        <v/>
      </c>
      <c r="I36" s="19" t="str">
        <f aca="false">IF($A36="","",INDEX(Apparitions!$G$1:$G$5001,$A36)&amp;"")</f>
        <v/>
      </c>
      <c r="J36" s="19" t="str">
        <f aca="false">IF($A36="","",INDEX(Apparitions!$M$1:$M$5001,$A36)&amp;"")</f>
        <v/>
      </c>
      <c r="K36" s="21" t="str">
        <f aca="false">IF($A36="","",INDEX(Apparitions!$K$1:$K$5001,$A36))</f>
        <v/>
      </c>
      <c r="L36" s="22" t="str">
        <f aca="false">IF($A36="","",INDEX(Apparitions!$E$1:$E$5001,$A36)&amp;"")</f>
        <v/>
      </c>
      <c r="M36" s="19" t="str">
        <f aca="false">IF($A36="","",INDEX(Apparitions!$F$1:$F$5001,$A36)&amp;"")</f>
        <v/>
      </c>
      <c r="O36" s="23" t="n">
        <f aca="false">IF(I36="",0,IF(COUNTIF(I$16:I36,I36)=1,1,0))</f>
        <v>0</v>
      </c>
      <c r="P36" s="23" t="n">
        <f aca="false">IF(F36="",0,IF(COUNTIF(F$16:F36,F36)=1,1,0))</f>
        <v>0</v>
      </c>
      <c r="Q36" s="0" t="str">
        <f aca="false">IF(B36="","",B36&amp;"|"&amp;C36)</f>
        <v/>
      </c>
      <c r="R36" s="23" t="n">
        <f aca="false">IF(Q36="",0,IF(COUNTIF(Q$16:Q36,Q36)=1,1,0))</f>
        <v>0</v>
      </c>
    </row>
    <row r="37" customFormat="false" ht="15" hidden="false" customHeight="false" outlineLevel="0" collapsed="false">
      <c r="A37" s="0" t="str">
        <f aca="false">IFERROR(MATCH(22,Apparitions!$N$1:$N$5001,0),"")</f>
        <v/>
      </c>
      <c r="B37" s="19" t="str">
        <f aca="false">IF($A37="","",INDEX(Apparitions!$A$1:$A$5001,$A37)&amp;"")</f>
        <v/>
      </c>
      <c r="C37" s="19" t="str">
        <f aca="false">IF($A37="","",INDEX(Apparitions!$B$1:$B$5001,$A37)&amp;"")</f>
        <v/>
      </c>
      <c r="D37" s="20" t="str">
        <f aca="false">IF($A37="","",INDEX(Apparitions!$L$1:$L$5001,$A37))</f>
        <v/>
      </c>
      <c r="E37" s="19" t="str">
        <f aca="false">IF($A37="","",INDEX(Apparitions!$C$1:$C$5001,$A37)&amp;"")</f>
        <v/>
      </c>
      <c r="F37" s="19" t="str">
        <f aca="false">IF($A37="","",INDEX(Apparitions!$H$1:$H$5001,$A37)&amp;"")</f>
        <v/>
      </c>
      <c r="G37" s="19" t="str">
        <f aca="false">IF($A37="","",INDEX(Apparitions!$I$1:$I$5001,$A37)&amp;"")</f>
        <v/>
      </c>
      <c r="H37" s="19" t="str">
        <f aca="false">IF($A37="","",INDEX(Apparitions!$J$1:$J$5001,$A37)&amp;"")</f>
        <v/>
      </c>
      <c r="I37" s="19" t="str">
        <f aca="false">IF($A37="","",INDEX(Apparitions!$G$1:$G$5001,$A37)&amp;"")</f>
        <v/>
      </c>
      <c r="J37" s="19" t="str">
        <f aca="false">IF($A37="","",INDEX(Apparitions!$M$1:$M$5001,$A37)&amp;"")</f>
        <v/>
      </c>
      <c r="K37" s="21" t="str">
        <f aca="false">IF($A37="","",INDEX(Apparitions!$K$1:$K$5001,$A37))</f>
        <v/>
      </c>
      <c r="L37" s="22" t="str">
        <f aca="false">IF($A37="","",INDEX(Apparitions!$E$1:$E$5001,$A37)&amp;"")</f>
        <v/>
      </c>
      <c r="M37" s="19" t="str">
        <f aca="false">IF($A37="","",INDEX(Apparitions!$F$1:$F$5001,$A37)&amp;"")</f>
        <v/>
      </c>
      <c r="O37" s="23" t="n">
        <f aca="false">IF(I37="",0,IF(COUNTIF(I$16:I37,I37)=1,1,0))</f>
        <v>0</v>
      </c>
      <c r="P37" s="23" t="n">
        <f aca="false">IF(F37="",0,IF(COUNTIF(F$16:F37,F37)=1,1,0))</f>
        <v>0</v>
      </c>
      <c r="Q37" s="0" t="str">
        <f aca="false">IF(B37="","",B37&amp;"|"&amp;C37)</f>
        <v/>
      </c>
      <c r="R37" s="23" t="n">
        <f aca="false">IF(Q37="",0,IF(COUNTIF(Q$16:Q37,Q37)=1,1,0))</f>
        <v>0</v>
      </c>
    </row>
    <row r="38" customFormat="false" ht="15" hidden="false" customHeight="false" outlineLevel="0" collapsed="false">
      <c r="A38" s="0" t="str">
        <f aca="false">IFERROR(MATCH(23,Apparitions!$N$1:$N$5001,0),"")</f>
        <v/>
      </c>
      <c r="B38" s="19" t="str">
        <f aca="false">IF($A38="","",INDEX(Apparitions!$A$1:$A$5001,$A38)&amp;"")</f>
        <v/>
      </c>
      <c r="C38" s="19" t="str">
        <f aca="false">IF($A38="","",INDEX(Apparitions!$B$1:$B$5001,$A38)&amp;"")</f>
        <v/>
      </c>
      <c r="D38" s="20" t="str">
        <f aca="false">IF($A38="","",INDEX(Apparitions!$L$1:$L$5001,$A38))</f>
        <v/>
      </c>
      <c r="E38" s="19" t="str">
        <f aca="false">IF($A38="","",INDEX(Apparitions!$C$1:$C$5001,$A38)&amp;"")</f>
        <v/>
      </c>
      <c r="F38" s="19" t="str">
        <f aca="false">IF($A38="","",INDEX(Apparitions!$H$1:$H$5001,$A38)&amp;"")</f>
        <v/>
      </c>
      <c r="G38" s="19" t="str">
        <f aca="false">IF($A38="","",INDEX(Apparitions!$I$1:$I$5001,$A38)&amp;"")</f>
        <v/>
      </c>
      <c r="H38" s="19" t="str">
        <f aca="false">IF($A38="","",INDEX(Apparitions!$J$1:$J$5001,$A38)&amp;"")</f>
        <v/>
      </c>
      <c r="I38" s="19" t="str">
        <f aca="false">IF($A38="","",INDEX(Apparitions!$G$1:$G$5001,$A38)&amp;"")</f>
        <v/>
      </c>
      <c r="J38" s="19" t="str">
        <f aca="false">IF($A38="","",INDEX(Apparitions!$M$1:$M$5001,$A38)&amp;"")</f>
        <v/>
      </c>
      <c r="K38" s="21" t="str">
        <f aca="false">IF($A38="","",INDEX(Apparitions!$K$1:$K$5001,$A38))</f>
        <v/>
      </c>
      <c r="L38" s="22" t="str">
        <f aca="false">IF($A38="","",INDEX(Apparitions!$E$1:$E$5001,$A38)&amp;"")</f>
        <v/>
      </c>
      <c r="M38" s="19" t="str">
        <f aca="false">IF($A38="","",INDEX(Apparitions!$F$1:$F$5001,$A38)&amp;"")</f>
        <v/>
      </c>
      <c r="O38" s="23" t="n">
        <f aca="false">IF(I38="",0,IF(COUNTIF(I$16:I38,I38)=1,1,0))</f>
        <v>0</v>
      </c>
      <c r="P38" s="23" t="n">
        <f aca="false">IF(F38="",0,IF(COUNTIF(F$16:F38,F38)=1,1,0))</f>
        <v>0</v>
      </c>
      <c r="Q38" s="0" t="str">
        <f aca="false">IF(B38="","",B38&amp;"|"&amp;C38)</f>
        <v/>
      </c>
      <c r="R38" s="23" t="n">
        <f aca="false">IF(Q38="",0,IF(COUNTIF(Q$16:Q38,Q38)=1,1,0))</f>
        <v>0</v>
      </c>
    </row>
    <row r="39" customFormat="false" ht="15" hidden="false" customHeight="false" outlineLevel="0" collapsed="false">
      <c r="A39" s="0" t="str">
        <f aca="false">IFERROR(MATCH(24,Apparitions!$N$1:$N$5001,0),"")</f>
        <v/>
      </c>
      <c r="B39" s="19" t="str">
        <f aca="false">IF($A39="","",INDEX(Apparitions!$A$1:$A$5001,$A39)&amp;"")</f>
        <v/>
      </c>
      <c r="C39" s="19" t="str">
        <f aca="false">IF($A39="","",INDEX(Apparitions!$B$1:$B$5001,$A39)&amp;"")</f>
        <v/>
      </c>
      <c r="D39" s="20" t="str">
        <f aca="false">IF($A39="","",INDEX(Apparitions!$L$1:$L$5001,$A39))</f>
        <v/>
      </c>
      <c r="E39" s="19" t="str">
        <f aca="false">IF($A39="","",INDEX(Apparitions!$C$1:$C$5001,$A39)&amp;"")</f>
        <v/>
      </c>
      <c r="F39" s="19" t="str">
        <f aca="false">IF($A39="","",INDEX(Apparitions!$H$1:$H$5001,$A39)&amp;"")</f>
        <v/>
      </c>
      <c r="G39" s="19" t="str">
        <f aca="false">IF($A39="","",INDEX(Apparitions!$I$1:$I$5001,$A39)&amp;"")</f>
        <v/>
      </c>
      <c r="H39" s="19" t="str">
        <f aca="false">IF($A39="","",INDEX(Apparitions!$J$1:$J$5001,$A39)&amp;"")</f>
        <v/>
      </c>
      <c r="I39" s="19" t="str">
        <f aca="false">IF($A39="","",INDEX(Apparitions!$G$1:$G$5001,$A39)&amp;"")</f>
        <v/>
      </c>
      <c r="J39" s="19" t="str">
        <f aca="false">IF($A39="","",INDEX(Apparitions!$M$1:$M$5001,$A39)&amp;"")</f>
        <v/>
      </c>
      <c r="K39" s="21" t="str">
        <f aca="false">IF($A39="","",INDEX(Apparitions!$K$1:$K$5001,$A39))</f>
        <v/>
      </c>
      <c r="L39" s="22" t="str">
        <f aca="false">IF($A39="","",INDEX(Apparitions!$E$1:$E$5001,$A39)&amp;"")</f>
        <v/>
      </c>
      <c r="M39" s="19" t="str">
        <f aca="false">IF($A39="","",INDEX(Apparitions!$F$1:$F$5001,$A39)&amp;"")</f>
        <v/>
      </c>
      <c r="O39" s="23" t="n">
        <f aca="false">IF(I39="",0,IF(COUNTIF(I$16:I39,I39)=1,1,0))</f>
        <v>0</v>
      </c>
      <c r="P39" s="23" t="n">
        <f aca="false">IF(F39="",0,IF(COUNTIF(F$16:F39,F39)=1,1,0))</f>
        <v>0</v>
      </c>
      <c r="Q39" s="0" t="str">
        <f aca="false">IF(B39="","",B39&amp;"|"&amp;C39)</f>
        <v/>
      </c>
      <c r="R39" s="23" t="n">
        <f aca="false">IF(Q39="",0,IF(COUNTIF(Q$16:Q39,Q39)=1,1,0))</f>
        <v>0</v>
      </c>
    </row>
    <row r="40" customFormat="false" ht="15" hidden="false" customHeight="false" outlineLevel="0" collapsed="false">
      <c r="A40" s="0" t="str">
        <f aca="false">IFERROR(MATCH(25,Apparitions!$N$1:$N$5001,0),"")</f>
        <v/>
      </c>
      <c r="B40" s="19" t="str">
        <f aca="false">IF($A40="","",INDEX(Apparitions!$A$1:$A$5001,$A40)&amp;"")</f>
        <v/>
      </c>
      <c r="C40" s="19" t="str">
        <f aca="false">IF($A40="","",INDEX(Apparitions!$B$1:$B$5001,$A40)&amp;"")</f>
        <v/>
      </c>
      <c r="D40" s="20" t="str">
        <f aca="false">IF($A40="","",INDEX(Apparitions!$L$1:$L$5001,$A40))</f>
        <v/>
      </c>
      <c r="E40" s="19" t="str">
        <f aca="false">IF($A40="","",INDEX(Apparitions!$C$1:$C$5001,$A40)&amp;"")</f>
        <v/>
      </c>
      <c r="F40" s="19" t="str">
        <f aca="false">IF($A40="","",INDEX(Apparitions!$H$1:$H$5001,$A40)&amp;"")</f>
        <v/>
      </c>
      <c r="G40" s="19" t="str">
        <f aca="false">IF($A40="","",INDEX(Apparitions!$I$1:$I$5001,$A40)&amp;"")</f>
        <v/>
      </c>
      <c r="H40" s="19" t="str">
        <f aca="false">IF($A40="","",INDEX(Apparitions!$J$1:$J$5001,$A40)&amp;"")</f>
        <v/>
      </c>
      <c r="I40" s="19" t="str">
        <f aca="false">IF($A40="","",INDEX(Apparitions!$G$1:$G$5001,$A40)&amp;"")</f>
        <v/>
      </c>
      <c r="J40" s="19" t="str">
        <f aca="false">IF($A40="","",INDEX(Apparitions!$M$1:$M$5001,$A40)&amp;"")</f>
        <v/>
      </c>
      <c r="K40" s="21" t="str">
        <f aca="false">IF($A40="","",INDEX(Apparitions!$K$1:$K$5001,$A40))</f>
        <v/>
      </c>
      <c r="L40" s="22" t="str">
        <f aca="false">IF($A40="","",INDEX(Apparitions!$E$1:$E$5001,$A40)&amp;"")</f>
        <v/>
      </c>
      <c r="M40" s="19" t="str">
        <f aca="false">IF($A40="","",INDEX(Apparitions!$F$1:$F$5001,$A40)&amp;"")</f>
        <v/>
      </c>
      <c r="O40" s="23" t="n">
        <f aca="false">IF(I40="",0,IF(COUNTIF(I$16:I40,I40)=1,1,0))</f>
        <v>0</v>
      </c>
      <c r="P40" s="23" t="n">
        <f aca="false">IF(F40="",0,IF(COUNTIF(F$16:F40,F40)=1,1,0))</f>
        <v>0</v>
      </c>
      <c r="Q40" s="0" t="str">
        <f aca="false">IF(B40="","",B40&amp;"|"&amp;C40)</f>
        <v/>
      </c>
      <c r="R40" s="23" t="n">
        <f aca="false">IF(Q40="",0,IF(COUNTIF(Q$16:Q40,Q40)=1,1,0))</f>
        <v>0</v>
      </c>
    </row>
    <row r="41" customFormat="false" ht="15" hidden="false" customHeight="false" outlineLevel="0" collapsed="false">
      <c r="A41" s="0" t="str">
        <f aca="false">IFERROR(MATCH(26,Apparitions!$N$1:$N$5001,0),"")</f>
        <v/>
      </c>
      <c r="B41" s="19" t="str">
        <f aca="false">IF($A41="","",INDEX(Apparitions!$A$1:$A$5001,$A41)&amp;"")</f>
        <v/>
      </c>
      <c r="C41" s="19" t="str">
        <f aca="false">IF($A41="","",INDEX(Apparitions!$B$1:$B$5001,$A41)&amp;"")</f>
        <v/>
      </c>
      <c r="D41" s="20" t="str">
        <f aca="false">IF($A41="","",INDEX(Apparitions!$L$1:$L$5001,$A41))</f>
        <v/>
      </c>
      <c r="E41" s="19" t="str">
        <f aca="false">IF($A41="","",INDEX(Apparitions!$C$1:$C$5001,$A41)&amp;"")</f>
        <v/>
      </c>
      <c r="F41" s="19" t="str">
        <f aca="false">IF($A41="","",INDEX(Apparitions!$H$1:$H$5001,$A41)&amp;"")</f>
        <v/>
      </c>
      <c r="G41" s="19" t="str">
        <f aca="false">IF($A41="","",INDEX(Apparitions!$I$1:$I$5001,$A41)&amp;"")</f>
        <v/>
      </c>
      <c r="H41" s="19" t="str">
        <f aca="false">IF($A41="","",INDEX(Apparitions!$J$1:$J$5001,$A41)&amp;"")</f>
        <v/>
      </c>
      <c r="I41" s="19" t="str">
        <f aca="false">IF($A41="","",INDEX(Apparitions!$G$1:$G$5001,$A41)&amp;"")</f>
        <v/>
      </c>
      <c r="J41" s="19" t="str">
        <f aca="false">IF($A41="","",INDEX(Apparitions!$M$1:$M$5001,$A41)&amp;"")</f>
        <v/>
      </c>
      <c r="K41" s="21" t="str">
        <f aca="false">IF($A41="","",INDEX(Apparitions!$K$1:$K$5001,$A41))</f>
        <v/>
      </c>
      <c r="L41" s="22" t="str">
        <f aca="false">IF($A41="","",INDEX(Apparitions!$E$1:$E$5001,$A41)&amp;"")</f>
        <v/>
      </c>
      <c r="M41" s="19" t="str">
        <f aca="false">IF($A41="","",INDEX(Apparitions!$F$1:$F$5001,$A41)&amp;"")</f>
        <v/>
      </c>
      <c r="O41" s="23" t="n">
        <f aca="false">IF(I41="",0,IF(COUNTIF(I$16:I41,I41)=1,1,0))</f>
        <v>0</v>
      </c>
      <c r="P41" s="23" t="n">
        <f aca="false">IF(F41="",0,IF(COUNTIF(F$16:F41,F41)=1,1,0))</f>
        <v>0</v>
      </c>
      <c r="Q41" s="0" t="str">
        <f aca="false">IF(B41="","",B41&amp;"|"&amp;C41)</f>
        <v/>
      </c>
      <c r="R41" s="23" t="n">
        <f aca="false">IF(Q41="",0,IF(COUNTIF(Q$16:Q41,Q41)=1,1,0))</f>
        <v>0</v>
      </c>
    </row>
    <row r="42" customFormat="false" ht="15" hidden="false" customHeight="false" outlineLevel="0" collapsed="false">
      <c r="A42" s="0" t="str">
        <f aca="false">IFERROR(MATCH(27,Apparitions!$N$1:$N$5001,0),"")</f>
        <v/>
      </c>
      <c r="B42" s="19" t="str">
        <f aca="false">IF($A42="","",INDEX(Apparitions!$A$1:$A$5001,$A42)&amp;"")</f>
        <v/>
      </c>
      <c r="C42" s="19" t="str">
        <f aca="false">IF($A42="","",INDEX(Apparitions!$B$1:$B$5001,$A42)&amp;"")</f>
        <v/>
      </c>
      <c r="D42" s="20" t="str">
        <f aca="false">IF($A42="","",INDEX(Apparitions!$L$1:$L$5001,$A42))</f>
        <v/>
      </c>
      <c r="E42" s="19" t="str">
        <f aca="false">IF($A42="","",INDEX(Apparitions!$C$1:$C$5001,$A42)&amp;"")</f>
        <v/>
      </c>
      <c r="F42" s="19" t="str">
        <f aca="false">IF($A42="","",INDEX(Apparitions!$H$1:$H$5001,$A42)&amp;"")</f>
        <v/>
      </c>
      <c r="G42" s="19" t="str">
        <f aca="false">IF($A42="","",INDEX(Apparitions!$I$1:$I$5001,$A42)&amp;"")</f>
        <v/>
      </c>
      <c r="H42" s="19" t="str">
        <f aca="false">IF($A42="","",INDEX(Apparitions!$J$1:$J$5001,$A42)&amp;"")</f>
        <v/>
      </c>
      <c r="I42" s="19" t="str">
        <f aca="false">IF($A42="","",INDEX(Apparitions!$G$1:$G$5001,$A42)&amp;"")</f>
        <v/>
      </c>
      <c r="J42" s="19" t="str">
        <f aca="false">IF($A42="","",INDEX(Apparitions!$M$1:$M$5001,$A42)&amp;"")</f>
        <v/>
      </c>
      <c r="K42" s="21" t="str">
        <f aca="false">IF($A42="","",INDEX(Apparitions!$K$1:$K$5001,$A42))</f>
        <v/>
      </c>
      <c r="L42" s="22" t="str">
        <f aca="false">IF($A42="","",INDEX(Apparitions!$E$1:$E$5001,$A42)&amp;"")</f>
        <v/>
      </c>
      <c r="M42" s="19" t="str">
        <f aca="false">IF($A42="","",INDEX(Apparitions!$F$1:$F$5001,$A42)&amp;"")</f>
        <v/>
      </c>
      <c r="O42" s="23" t="n">
        <f aca="false">IF(I42="",0,IF(COUNTIF(I$16:I42,I42)=1,1,0))</f>
        <v>0</v>
      </c>
      <c r="P42" s="23" t="n">
        <f aca="false">IF(F42="",0,IF(COUNTIF(F$16:F42,F42)=1,1,0))</f>
        <v>0</v>
      </c>
      <c r="Q42" s="0" t="str">
        <f aca="false">IF(B42="","",B42&amp;"|"&amp;C42)</f>
        <v/>
      </c>
      <c r="R42" s="23" t="n">
        <f aca="false">IF(Q42="",0,IF(COUNTIF(Q$16:Q42,Q42)=1,1,0))</f>
        <v>0</v>
      </c>
    </row>
    <row r="43" customFormat="false" ht="15" hidden="false" customHeight="false" outlineLevel="0" collapsed="false">
      <c r="A43" s="0" t="str">
        <f aca="false">IFERROR(MATCH(28,Apparitions!$N$1:$N$5001,0),"")</f>
        <v/>
      </c>
      <c r="B43" s="19" t="str">
        <f aca="false">IF($A43="","",INDEX(Apparitions!$A$1:$A$5001,$A43)&amp;"")</f>
        <v/>
      </c>
      <c r="C43" s="19" t="str">
        <f aca="false">IF($A43="","",INDEX(Apparitions!$B$1:$B$5001,$A43)&amp;"")</f>
        <v/>
      </c>
      <c r="D43" s="20" t="str">
        <f aca="false">IF($A43="","",INDEX(Apparitions!$L$1:$L$5001,$A43))</f>
        <v/>
      </c>
      <c r="E43" s="19" t="str">
        <f aca="false">IF($A43="","",INDEX(Apparitions!$C$1:$C$5001,$A43)&amp;"")</f>
        <v/>
      </c>
      <c r="F43" s="19" t="str">
        <f aca="false">IF($A43="","",INDEX(Apparitions!$H$1:$H$5001,$A43)&amp;"")</f>
        <v/>
      </c>
      <c r="G43" s="19" t="str">
        <f aca="false">IF($A43="","",INDEX(Apparitions!$I$1:$I$5001,$A43)&amp;"")</f>
        <v/>
      </c>
      <c r="H43" s="19" t="str">
        <f aca="false">IF($A43="","",INDEX(Apparitions!$J$1:$J$5001,$A43)&amp;"")</f>
        <v/>
      </c>
      <c r="I43" s="19" t="str">
        <f aca="false">IF($A43="","",INDEX(Apparitions!$G$1:$G$5001,$A43)&amp;"")</f>
        <v/>
      </c>
      <c r="J43" s="19" t="str">
        <f aca="false">IF($A43="","",INDEX(Apparitions!$M$1:$M$5001,$A43)&amp;"")</f>
        <v/>
      </c>
      <c r="K43" s="21" t="str">
        <f aca="false">IF($A43="","",INDEX(Apparitions!$K$1:$K$5001,$A43))</f>
        <v/>
      </c>
      <c r="L43" s="22" t="str">
        <f aca="false">IF($A43="","",INDEX(Apparitions!$E$1:$E$5001,$A43)&amp;"")</f>
        <v/>
      </c>
      <c r="M43" s="19" t="str">
        <f aca="false">IF($A43="","",INDEX(Apparitions!$F$1:$F$5001,$A43)&amp;"")</f>
        <v/>
      </c>
      <c r="O43" s="23" t="n">
        <f aca="false">IF(I43="",0,IF(COUNTIF(I$16:I43,I43)=1,1,0))</f>
        <v>0</v>
      </c>
      <c r="P43" s="23" t="n">
        <f aca="false">IF(F43="",0,IF(COUNTIF(F$16:F43,F43)=1,1,0))</f>
        <v>0</v>
      </c>
      <c r="Q43" s="0" t="str">
        <f aca="false">IF(B43="","",B43&amp;"|"&amp;C43)</f>
        <v/>
      </c>
      <c r="R43" s="23" t="n">
        <f aca="false">IF(Q43="",0,IF(COUNTIF(Q$16:Q43,Q43)=1,1,0))</f>
        <v>0</v>
      </c>
    </row>
    <row r="44" customFormat="false" ht="15" hidden="false" customHeight="false" outlineLevel="0" collapsed="false">
      <c r="A44" s="0" t="str">
        <f aca="false">IFERROR(MATCH(29,Apparitions!$N$1:$N$5001,0),"")</f>
        <v/>
      </c>
      <c r="B44" s="19" t="str">
        <f aca="false">IF($A44="","",INDEX(Apparitions!$A$1:$A$5001,$A44)&amp;"")</f>
        <v/>
      </c>
      <c r="C44" s="19" t="str">
        <f aca="false">IF($A44="","",INDEX(Apparitions!$B$1:$B$5001,$A44)&amp;"")</f>
        <v/>
      </c>
      <c r="D44" s="20" t="str">
        <f aca="false">IF($A44="","",INDEX(Apparitions!$L$1:$L$5001,$A44))</f>
        <v/>
      </c>
      <c r="E44" s="19" t="str">
        <f aca="false">IF($A44="","",INDEX(Apparitions!$C$1:$C$5001,$A44)&amp;"")</f>
        <v/>
      </c>
      <c r="F44" s="19" t="str">
        <f aca="false">IF($A44="","",INDEX(Apparitions!$H$1:$H$5001,$A44)&amp;"")</f>
        <v/>
      </c>
      <c r="G44" s="19" t="str">
        <f aca="false">IF($A44="","",INDEX(Apparitions!$I$1:$I$5001,$A44)&amp;"")</f>
        <v/>
      </c>
      <c r="H44" s="19" t="str">
        <f aca="false">IF($A44="","",INDEX(Apparitions!$J$1:$J$5001,$A44)&amp;"")</f>
        <v/>
      </c>
      <c r="I44" s="19" t="str">
        <f aca="false">IF($A44="","",INDEX(Apparitions!$G$1:$G$5001,$A44)&amp;"")</f>
        <v/>
      </c>
      <c r="J44" s="19" t="str">
        <f aca="false">IF($A44="","",INDEX(Apparitions!$M$1:$M$5001,$A44)&amp;"")</f>
        <v/>
      </c>
      <c r="K44" s="21" t="str">
        <f aca="false">IF($A44="","",INDEX(Apparitions!$K$1:$K$5001,$A44))</f>
        <v/>
      </c>
      <c r="L44" s="22" t="str">
        <f aca="false">IF($A44="","",INDEX(Apparitions!$E$1:$E$5001,$A44)&amp;"")</f>
        <v/>
      </c>
      <c r="M44" s="19" t="str">
        <f aca="false">IF($A44="","",INDEX(Apparitions!$F$1:$F$5001,$A44)&amp;"")</f>
        <v/>
      </c>
      <c r="O44" s="23" t="n">
        <f aca="false">IF(I44="",0,IF(COUNTIF(I$16:I44,I44)=1,1,0))</f>
        <v>0</v>
      </c>
      <c r="P44" s="23" t="n">
        <f aca="false">IF(F44="",0,IF(COUNTIF(F$16:F44,F44)=1,1,0))</f>
        <v>0</v>
      </c>
      <c r="Q44" s="0" t="str">
        <f aca="false">IF(B44="","",B44&amp;"|"&amp;C44)</f>
        <v/>
      </c>
      <c r="R44" s="23" t="n">
        <f aca="false">IF(Q44="",0,IF(COUNTIF(Q$16:Q44,Q44)=1,1,0))</f>
        <v>0</v>
      </c>
    </row>
    <row r="45" customFormat="false" ht="15" hidden="false" customHeight="false" outlineLevel="0" collapsed="false">
      <c r="A45" s="0" t="str">
        <f aca="false">IFERROR(MATCH(30,Apparitions!$N$1:$N$5001,0),"")</f>
        <v/>
      </c>
      <c r="B45" s="19" t="str">
        <f aca="false">IF($A45="","",INDEX(Apparitions!$A$1:$A$5001,$A45)&amp;"")</f>
        <v/>
      </c>
      <c r="C45" s="19" t="str">
        <f aca="false">IF($A45="","",INDEX(Apparitions!$B$1:$B$5001,$A45)&amp;"")</f>
        <v/>
      </c>
      <c r="D45" s="20" t="str">
        <f aca="false">IF($A45="","",INDEX(Apparitions!$L$1:$L$5001,$A45))</f>
        <v/>
      </c>
      <c r="E45" s="19" t="str">
        <f aca="false">IF($A45="","",INDEX(Apparitions!$C$1:$C$5001,$A45)&amp;"")</f>
        <v/>
      </c>
      <c r="F45" s="19" t="str">
        <f aca="false">IF($A45="","",INDEX(Apparitions!$H$1:$H$5001,$A45)&amp;"")</f>
        <v/>
      </c>
      <c r="G45" s="19" t="str">
        <f aca="false">IF($A45="","",INDEX(Apparitions!$I$1:$I$5001,$A45)&amp;"")</f>
        <v/>
      </c>
      <c r="H45" s="19" t="str">
        <f aca="false">IF($A45="","",INDEX(Apparitions!$J$1:$J$5001,$A45)&amp;"")</f>
        <v/>
      </c>
      <c r="I45" s="19" t="str">
        <f aca="false">IF($A45="","",INDEX(Apparitions!$G$1:$G$5001,$A45)&amp;"")</f>
        <v/>
      </c>
      <c r="J45" s="19" t="str">
        <f aca="false">IF($A45="","",INDEX(Apparitions!$M$1:$M$5001,$A45)&amp;"")</f>
        <v/>
      </c>
      <c r="K45" s="21" t="str">
        <f aca="false">IF($A45="","",INDEX(Apparitions!$K$1:$K$5001,$A45))</f>
        <v/>
      </c>
      <c r="L45" s="22" t="str">
        <f aca="false">IF($A45="","",INDEX(Apparitions!$E$1:$E$5001,$A45)&amp;"")</f>
        <v/>
      </c>
      <c r="M45" s="19" t="str">
        <f aca="false">IF($A45="","",INDEX(Apparitions!$F$1:$F$5001,$A45)&amp;"")</f>
        <v/>
      </c>
      <c r="O45" s="23" t="n">
        <f aca="false">IF(I45="",0,IF(COUNTIF(I$16:I45,I45)=1,1,0))</f>
        <v>0</v>
      </c>
      <c r="P45" s="23" t="n">
        <f aca="false">IF(F45="",0,IF(COUNTIF(F$16:F45,F45)=1,1,0))</f>
        <v>0</v>
      </c>
      <c r="Q45" s="0" t="str">
        <f aca="false">IF(B45="","",B45&amp;"|"&amp;C45)</f>
        <v/>
      </c>
      <c r="R45" s="23" t="n">
        <f aca="false">IF(Q45="",0,IF(COUNTIF(Q$16:Q45,Q45)=1,1,0))</f>
        <v>0</v>
      </c>
    </row>
    <row r="46" customFormat="false" ht="15" hidden="false" customHeight="false" outlineLevel="0" collapsed="false">
      <c r="A46" s="0" t="str">
        <f aca="false">IFERROR(MATCH(31,Apparitions!$N$1:$N$5001,0),"")</f>
        <v/>
      </c>
      <c r="B46" s="19" t="str">
        <f aca="false">IF($A46="","",INDEX(Apparitions!$A$1:$A$5001,$A46)&amp;"")</f>
        <v/>
      </c>
      <c r="C46" s="19" t="str">
        <f aca="false">IF($A46="","",INDEX(Apparitions!$B$1:$B$5001,$A46)&amp;"")</f>
        <v/>
      </c>
      <c r="D46" s="20" t="str">
        <f aca="false">IF($A46="","",INDEX(Apparitions!$L$1:$L$5001,$A46))</f>
        <v/>
      </c>
      <c r="E46" s="19" t="str">
        <f aca="false">IF($A46="","",INDEX(Apparitions!$C$1:$C$5001,$A46)&amp;"")</f>
        <v/>
      </c>
      <c r="F46" s="19" t="str">
        <f aca="false">IF($A46="","",INDEX(Apparitions!$H$1:$H$5001,$A46)&amp;"")</f>
        <v/>
      </c>
      <c r="G46" s="19" t="str">
        <f aca="false">IF($A46="","",INDEX(Apparitions!$I$1:$I$5001,$A46)&amp;"")</f>
        <v/>
      </c>
      <c r="H46" s="19" t="str">
        <f aca="false">IF($A46="","",INDEX(Apparitions!$J$1:$J$5001,$A46)&amp;"")</f>
        <v/>
      </c>
      <c r="I46" s="19" t="str">
        <f aca="false">IF($A46="","",INDEX(Apparitions!$G$1:$G$5001,$A46)&amp;"")</f>
        <v/>
      </c>
      <c r="J46" s="19" t="str">
        <f aca="false">IF($A46="","",INDEX(Apparitions!$M$1:$M$5001,$A46)&amp;"")</f>
        <v/>
      </c>
      <c r="K46" s="21" t="str">
        <f aca="false">IF($A46="","",INDEX(Apparitions!$K$1:$K$5001,$A46))</f>
        <v/>
      </c>
      <c r="L46" s="22" t="str">
        <f aca="false">IF($A46="","",INDEX(Apparitions!$E$1:$E$5001,$A46)&amp;"")</f>
        <v/>
      </c>
      <c r="M46" s="19" t="str">
        <f aca="false">IF($A46="","",INDEX(Apparitions!$F$1:$F$5001,$A46)&amp;"")</f>
        <v/>
      </c>
      <c r="O46" s="23" t="n">
        <f aca="false">IF(I46="",0,IF(COUNTIF(I$16:I46,I46)=1,1,0))</f>
        <v>0</v>
      </c>
      <c r="P46" s="23" t="n">
        <f aca="false">IF(F46="",0,IF(COUNTIF(F$16:F46,F46)=1,1,0))</f>
        <v>0</v>
      </c>
      <c r="Q46" s="0" t="str">
        <f aca="false">IF(B46="","",B46&amp;"|"&amp;C46)</f>
        <v/>
      </c>
      <c r="R46" s="23" t="n">
        <f aca="false">IF(Q46="",0,IF(COUNTIF(Q$16:Q46,Q46)=1,1,0))</f>
        <v>0</v>
      </c>
    </row>
    <row r="47" customFormat="false" ht="15" hidden="false" customHeight="false" outlineLevel="0" collapsed="false">
      <c r="A47" s="0" t="str">
        <f aca="false">IFERROR(MATCH(32,Apparitions!$N$1:$N$5001,0),"")</f>
        <v/>
      </c>
      <c r="B47" s="19" t="str">
        <f aca="false">IF($A47="","",INDEX(Apparitions!$A$1:$A$5001,$A47)&amp;"")</f>
        <v/>
      </c>
      <c r="C47" s="19" t="str">
        <f aca="false">IF($A47="","",INDEX(Apparitions!$B$1:$B$5001,$A47)&amp;"")</f>
        <v/>
      </c>
      <c r="D47" s="20" t="str">
        <f aca="false">IF($A47="","",INDEX(Apparitions!$L$1:$L$5001,$A47))</f>
        <v/>
      </c>
      <c r="E47" s="19" t="str">
        <f aca="false">IF($A47="","",INDEX(Apparitions!$C$1:$C$5001,$A47)&amp;"")</f>
        <v/>
      </c>
      <c r="F47" s="19" t="str">
        <f aca="false">IF($A47="","",INDEX(Apparitions!$H$1:$H$5001,$A47)&amp;"")</f>
        <v/>
      </c>
      <c r="G47" s="19" t="str">
        <f aca="false">IF($A47="","",INDEX(Apparitions!$I$1:$I$5001,$A47)&amp;"")</f>
        <v/>
      </c>
      <c r="H47" s="19" t="str">
        <f aca="false">IF($A47="","",INDEX(Apparitions!$J$1:$J$5001,$A47)&amp;"")</f>
        <v/>
      </c>
      <c r="I47" s="19" t="str">
        <f aca="false">IF($A47="","",INDEX(Apparitions!$G$1:$G$5001,$A47)&amp;"")</f>
        <v/>
      </c>
      <c r="J47" s="19" t="str">
        <f aca="false">IF($A47="","",INDEX(Apparitions!$M$1:$M$5001,$A47)&amp;"")</f>
        <v/>
      </c>
      <c r="K47" s="21" t="str">
        <f aca="false">IF($A47="","",INDEX(Apparitions!$K$1:$K$5001,$A47))</f>
        <v/>
      </c>
      <c r="L47" s="22" t="str">
        <f aca="false">IF($A47="","",INDEX(Apparitions!$E$1:$E$5001,$A47)&amp;"")</f>
        <v/>
      </c>
      <c r="M47" s="19" t="str">
        <f aca="false">IF($A47="","",INDEX(Apparitions!$F$1:$F$5001,$A47)&amp;"")</f>
        <v/>
      </c>
      <c r="O47" s="23" t="n">
        <f aca="false">IF(I47="",0,IF(COUNTIF(I$16:I47,I47)=1,1,0))</f>
        <v>0</v>
      </c>
      <c r="P47" s="23" t="n">
        <f aca="false">IF(F47="",0,IF(COUNTIF(F$16:F47,F47)=1,1,0))</f>
        <v>0</v>
      </c>
      <c r="Q47" s="0" t="str">
        <f aca="false">IF(B47="","",B47&amp;"|"&amp;C47)</f>
        <v/>
      </c>
      <c r="R47" s="23" t="n">
        <f aca="false">IF(Q47="",0,IF(COUNTIF(Q$16:Q47,Q47)=1,1,0))</f>
        <v>0</v>
      </c>
    </row>
    <row r="48" customFormat="false" ht="15" hidden="false" customHeight="false" outlineLevel="0" collapsed="false">
      <c r="A48" s="0" t="str">
        <f aca="false">IFERROR(MATCH(33,Apparitions!$N$1:$N$5001,0),"")</f>
        <v/>
      </c>
      <c r="B48" s="19" t="str">
        <f aca="false">IF($A48="","",INDEX(Apparitions!$A$1:$A$5001,$A48)&amp;"")</f>
        <v/>
      </c>
      <c r="C48" s="19" t="str">
        <f aca="false">IF($A48="","",INDEX(Apparitions!$B$1:$B$5001,$A48)&amp;"")</f>
        <v/>
      </c>
      <c r="D48" s="20" t="str">
        <f aca="false">IF($A48="","",INDEX(Apparitions!$L$1:$L$5001,$A48))</f>
        <v/>
      </c>
      <c r="E48" s="19" t="str">
        <f aca="false">IF($A48="","",INDEX(Apparitions!$C$1:$C$5001,$A48)&amp;"")</f>
        <v/>
      </c>
      <c r="F48" s="19" t="str">
        <f aca="false">IF($A48="","",INDEX(Apparitions!$H$1:$H$5001,$A48)&amp;"")</f>
        <v/>
      </c>
      <c r="G48" s="19" t="str">
        <f aca="false">IF($A48="","",INDEX(Apparitions!$I$1:$I$5001,$A48)&amp;"")</f>
        <v/>
      </c>
      <c r="H48" s="19" t="str">
        <f aca="false">IF($A48="","",INDEX(Apparitions!$J$1:$J$5001,$A48)&amp;"")</f>
        <v/>
      </c>
      <c r="I48" s="19" t="str">
        <f aca="false">IF($A48="","",INDEX(Apparitions!$G$1:$G$5001,$A48)&amp;"")</f>
        <v/>
      </c>
      <c r="J48" s="19" t="str">
        <f aca="false">IF($A48="","",INDEX(Apparitions!$M$1:$M$5001,$A48)&amp;"")</f>
        <v/>
      </c>
      <c r="K48" s="21" t="str">
        <f aca="false">IF($A48="","",INDEX(Apparitions!$K$1:$K$5001,$A48))</f>
        <v/>
      </c>
      <c r="L48" s="22" t="str">
        <f aca="false">IF($A48="","",INDEX(Apparitions!$E$1:$E$5001,$A48)&amp;"")</f>
        <v/>
      </c>
      <c r="M48" s="19" t="str">
        <f aca="false">IF($A48="","",INDEX(Apparitions!$F$1:$F$5001,$A48)&amp;"")</f>
        <v/>
      </c>
      <c r="O48" s="23" t="n">
        <f aca="false">IF(I48="",0,IF(COUNTIF(I$16:I48,I48)=1,1,0))</f>
        <v>0</v>
      </c>
      <c r="P48" s="23" t="n">
        <f aca="false">IF(F48="",0,IF(COUNTIF(F$16:F48,F48)=1,1,0))</f>
        <v>0</v>
      </c>
      <c r="Q48" s="0" t="str">
        <f aca="false">IF(B48="","",B48&amp;"|"&amp;C48)</f>
        <v/>
      </c>
      <c r="R48" s="23" t="n">
        <f aca="false">IF(Q48="",0,IF(COUNTIF(Q$16:Q48,Q48)=1,1,0))</f>
        <v>0</v>
      </c>
    </row>
    <row r="49" customFormat="false" ht="15" hidden="false" customHeight="false" outlineLevel="0" collapsed="false">
      <c r="A49" s="0" t="str">
        <f aca="false">IFERROR(MATCH(34,Apparitions!$N$1:$N$5001,0),"")</f>
        <v/>
      </c>
      <c r="B49" s="19" t="str">
        <f aca="false">IF($A49="","",INDEX(Apparitions!$A$1:$A$5001,$A49)&amp;"")</f>
        <v/>
      </c>
      <c r="C49" s="19" t="str">
        <f aca="false">IF($A49="","",INDEX(Apparitions!$B$1:$B$5001,$A49)&amp;"")</f>
        <v/>
      </c>
      <c r="D49" s="20" t="str">
        <f aca="false">IF($A49="","",INDEX(Apparitions!$L$1:$L$5001,$A49))</f>
        <v/>
      </c>
      <c r="E49" s="19" t="str">
        <f aca="false">IF($A49="","",INDEX(Apparitions!$C$1:$C$5001,$A49)&amp;"")</f>
        <v/>
      </c>
      <c r="F49" s="19" t="str">
        <f aca="false">IF($A49="","",INDEX(Apparitions!$H$1:$H$5001,$A49)&amp;"")</f>
        <v/>
      </c>
      <c r="G49" s="19" t="str">
        <f aca="false">IF($A49="","",INDEX(Apparitions!$I$1:$I$5001,$A49)&amp;"")</f>
        <v/>
      </c>
      <c r="H49" s="19" t="str">
        <f aca="false">IF($A49="","",INDEX(Apparitions!$J$1:$J$5001,$A49)&amp;"")</f>
        <v/>
      </c>
      <c r="I49" s="19" t="str">
        <f aca="false">IF($A49="","",INDEX(Apparitions!$G$1:$G$5001,$A49)&amp;"")</f>
        <v/>
      </c>
      <c r="J49" s="19" t="str">
        <f aca="false">IF($A49="","",INDEX(Apparitions!$M$1:$M$5001,$A49)&amp;"")</f>
        <v/>
      </c>
      <c r="K49" s="21" t="str">
        <f aca="false">IF($A49="","",INDEX(Apparitions!$K$1:$K$5001,$A49))</f>
        <v/>
      </c>
      <c r="L49" s="22" t="str">
        <f aca="false">IF($A49="","",INDEX(Apparitions!$E$1:$E$5001,$A49)&amp;"")</f>
        <v/>
      </c>
      <c r="M49" s="19" t="str">
        <f aca="false">IF($A49="","",INDEX(Apparitions!$F$1:$F$5001,$A49)&amp;"")</f>
        <v/>
      </c>
      <c r="O49" s="23" t="n">
        <f aca="false">IF(I49="",0,IF(COUNTIF(I$16:I49,I49)=1,1,0))</f>
        <v>0</v>
      </c>
      <c r="P49" s="23" t="n">
        <f aca="false">IF(F49="",0,IF(COUNTIF(F$16:F49,F49)=1,1,0))</f>
        <v>0</v>
      </c>
      <c r="Q49" s="0" t="str">
        <f aca="false">IF(B49="","",B49&amp;"|"&amp;C49)</f>
        <v/>
      </c>
      <c r="R49" s="23" t="n">
        <f aca="false">IF(Q49="",0,IF(COUNTIF(Q$16:Q49,Q49)=1,1,0))</f>
        <v>0</v>
      </c>
    </row>
    <row r="50" customFormat="false" ht="15" hidden="false" customHeight="false" outlineLevel="0" collapsed="false">
      <c r="A50" s="0" t="str">
        <f aca="false">IFERROR(MATCH(35,Apparitions!$N$1:$N$5001,0),"")</f>
        <v/>
      </c>
      <c r="B50" s="19" t="str">
        <f aca="false">IF($A50="","",INDEX(Apparitions!$A$1:$A$5001,$A50)&amp;"")</f>
        <v/>
      </c>
      <c r="C50" s="19" t="str">
        <f aca="false">IF($A50="","",INDEX(Apparitions!$B$1:$B$5001,$A50)&amp;"")</f>
        <v/>
      </c>
      <c r="D50" s="20" t="str">
        <f aca="false">IF($A50="","",INDEX(Apparitions!$L$1:$L$5001,$A50))</f>
        <v/>
      </c>
      <c r="E50" s="19" t="str">
        <f aca="false">IF($A50="","",INDEX(Apparitions!$C$1:$C$5001,$A50)&amp;"")</f>
        <v/>
      </c>
      <c r="F50" s="19" t="str">
        <f aca="false">IF($A50="","",INDEX(Apparitions!$H$1:$H$5001,$A50)&amp;"")</f>
        <v/>
      </c>
      <c r="G50" s="19" t="str">
        <f aca="false">IF($A50="","",INDEX(Apparitions!$I$1:$I$5001,$A50)&amp;"")</f>
        <v/>
      </c>
      <c r="H50" s="19" t="str">
        <f aca="false">IF($A50="","",INDEX(Apparitions!$J$1:$J$5001,$A50)&amp;"")</f>
        <v/>
      </c>
      <c r="I50" s="19" t="str">
        <f aca="false">IF($A50="","",INDEX(Apparitions!$G$1:$G$5001,$A50)&amp;"")</f>
        <v/>
      </c>
      <c r="J50" s="19" t="str">
        <f aca="false">IF($A50="","",INDEX(Apparitions!$M$1:$M$5001,$A50)&amp;"")</f>
        <v/>
      </c>
      <c r="K50" s="21" t="str">
        <f aca="false">IF($A50="","",INDEX(Apparitions!$K$1:$K$5001,$A50))</f>
        <v/>
      </c>
      <c r="L50" s="22" t="str">
        <f aca="false">IF($A50="","",INDEX(Apparitions!$E$1:$E$5001,$A50)&amp;"")</f>
        <v/>
      </c>
      <c r="M50" s="19" t="str">
        <f aca="false">IF($A50="","",INDEX(Apparitions!$F$1:$F$5001,$A50)&amp;"")</f>
        <v/>
      </c>
      <c r="O50" s="23" t="n">
        <f aca="false">IF(I50="",0,IF(COUNTIF(I$16:I50,I50)=1,1,0))</f>
        <v>0</v>
      </c>
      <c r="P50" s="23" t="n">
        <f aca="false">IF(F50="",0,IF(COUNTIF(F$16:F50,F50)=1,1,0))</f>
        <v>0</v>
      </c>
      <c r="Q50" s="0" t="str">
        <f aca="false">IF(B50="","",B50&amp;"|"&amp;C50)</f>
        <v/>
      </c>
      <c r="R50" s="23" t="n">
        <f aca="false">IF(Q50="",0,IF(COUNTIF(Q$16:Q50,Q50)=1,1,0))</f>
        <v>0</v>
      </c>
    </row>
    <row r="51" customFormat="false" ht="15" hidden="false" customHeight="false" outlineLevel="0" collapsed="false">
      <c r="A51" s="0" t="str">
        <f aca="false">IFERROR(MATCH(36,Apparitions!$N$1:$N$5001,0),"")</f>
        <v/>
      </c>
      <c r="B51" s="19" t="str">
        <f aca="false">IF($A51="","",INDEX(Apparitions!$A$1:$A$5001,$A51)&amp;"")</f>
        <v/>
      </c>
      <c r="C51" s="19" t="str">
        <f aca="false">IF($A51="","",INDEX(Apparitions!$B$1:$B$5001,$A51)&amp;"")</f>
        <v/>
      </c>
      <c r="D51" s="20" t="str">
        <f aca="false">IF($A51="","",INDEX(Apparitions!$L$1:$L$5001,$A51))</f>
        <v/>
      </c>
      <c r="E51" s="19" t="str">
        <f aca="false">IF($A51="","",INDEX(Apparitions!$C$1:$C$5001,$A51)&amp;"")</f>
        <v/>
      </c>
      <c r="F51" s="19" t="str">
        <f aca="false">IF($A51="","",INDEX(Apparitions!$H$1:$H$5001,$A51)&amp;"")</f>
        <v/>
      </c>
      <c r="G51" s="19" t="str">
        <f aca="false">IF($A51="","",INDEX(Apparitions!$I$1:$I$5001,$A51)&amp;"")</f>
        <v/>
      </c>
      <c r="H51" s="19" t="str">
        <f aca="false">IF($A51="","",INDEX(Apparitions!$J$1:$J$5001,$A51)&amp;"")</f>
        <v/>
      </c>
      <c r="I51" s="19" t="str">
        <f aca="false">IF($A51="","",INDEX(Apparitions!$G$1:$G$5001,$A51)&amp;"")</f>
        <v/>
      </c>
      <c r="J51" s="19" t="str">
        <f aca="false">IF($A51="","",INDEX(Apparitions!$M$1:$M$5001,$A51)&amp;"")</f>
        <v/>
      </c>
      <c r="K51" s="21" t="str">
        <f aca="false">IF($A51="","",INDEX(Apparitions!$K$1:$K$5001,$A51))</f>
        <v/>
      </c>
      <c r="L51" s="22" t="str">
        <f aca="false">IF($A51="","",INDEX(Apparitions!$E$1:$E$5001,$A51)&amp;"")</f>
        <v/>
      </c>
      <c r="M51" s="19" t="str">
        <f aca="false">IF($A51="","",INDEX(Apparitions!$F$1:$F$5001,$A51)&amp;"")</f>
        <v/>
      </c>
      <c r="O51" s="23" t="n">
        <f aca="false">IF(I51="",0,IF(COUNTIF(I$16:I51,I51)=1,1,0))</f>
        <v>0</v>
      </c>
      <c r="P51" s="23" t="n">
        <f aca="false">IF(F51="",0,IF(COUNTIF(F$16:F51,F51)=1,1,0))</f>
        <v>0</v>
      </c>
      <c r="Q51" s="0" t="str">
        <f aca="false">IF(B51="","",B51&amp;"|"&amp;C51)</f>
        <v/>
      </c>
      <c r="R51" s="23" t="n">
        <f aca="false">IF(Q51="",0,IF(COUNTIF(Q$16:Q51,Q51)=1,1,0))</f>
        <v>0</v>
      </c>
    </row>
    <row r="52" customFormat="false" ht="15" hidden="false" customHeight="false" outlineLevel="0" collapsed="false">
      <c r="A52" s="0" t="str">
        <f aca="false">IFERROR(MATCH(37,Apparitions!$N$1:$N$5001,0),"")</f>
        <v/>
      </c>
      <c r="B52" s="19" t="str">
        <f aca="false">IF($A52="","",INDEX(Apparitions!$A$1:$A$5001,$A52)&amp;"")</f>
        <v/>
      </c>
      <c r="C52" s="19" t="str">
        <f aca="false">IF($A52="","",INDEX(Apparitions!$B$1:$B$5001,$A52)&amp;"")</f>
        <v/>
      </c>
      <c r="D52" s="20" t="str">
        <f aca="false">IF($A52="","",INDEX(Apparitions!$L$1:$L$5001,$A52))</f>
        <v/>
      </c>
      <c r="E52" s="19" t="str">
        <f aca="false">IF($A52="","",INDEX(Apparitions!$C$1:$C$5001,$A52)&amp;"")</f>
        <v/>
      </c>
      <c r="F52" s="19" t="str">
        <f aca="false">IF($A52="","",INDEX(Apparitions!$H$1:$H$5001,$A52)&amp;"")</f>
        <v/>
      </c>
      <c r="G52" s="19" t="str">
        <f aca="false">IF($A52="","",INDEX(Apparitions!$I$1:$I$5001,$A52)&amp;"")</f>
        <v/>
      </c>
      <c r="H52" s="19" t="str">
        <f aca="false">IF($A52="","",INDEX(Apparitions!$J$1:$J$5001,$A52)&amp;"")</f>
        <v/>
      </c>
      <c r="I52" s="19" t="str">
        <f aca="false">IF($A52="","",INDEX(Apparitions!$G$1:$G$5001,$A52)&amp;"")</f>
        <v/>
      </c>
      <c r="J52" s="19" t="str">
        <f aca="false">IF($A52="","",INDEX(Apparitions!$M$1:$M$5001,$A52)&amp;"")</f>
        <v/>
      </c>
      <c r="K52" s="21" t="str">
        <f aca="false">IF($A52="","",INDEX(Apparitions!$K$1:$K$5001,$A52))</f>
        <v/>
      </c>
      <c r="L52" s="22" t="str">
        <f aca="false">IF($A52="","",INDEX(Apparitions!$E$1:$E$5001,$A52)&amp;"")</f>
        <v/>
      </c>
      <c r="M52" s="19" t="str">
        <f aca="false">IF($A52="","",INDEX(Apparitions!$F$1:$F$5001,$A52)&amp;"")</f>
        <v/>
      </c>
      <c r="O52" s="23" t="n">
        <f aca="false">IF(I52="",0,IF(COUNTIF(I$16:I52,I52)=1,1,0))</f>
        <v>0</v>
      </c>
      <c r="P52" s="23" t="n">
        <f aca="false">IF(F52="",0,IF(COUNTIF(F$16:F52,F52)=1,1,0))</f>
        <v>0</v>
      </c>
      <c r="Q52" s="0" t="str">
        <f aca="false">IF(B52="","",B52&amp;"|"&amp;C52)</f>
        <v/>
      </c>
      <c r="R52" s="23" t="n">
        <f aca="false">IF(Q52="",0,IF(COUNTIF(Q$16:Q52,Q52)=1,1,0))</f>
        <v>0</v>
      </c>
    </row>
    <row r="53" customFormat="false" ht="15" hidden="false" customHeight="false" outlineLevel="0" collapsed="false">
      <c r="A53" s="0" t="str">
        <f aca="false">IFERROR(MATCH(38,Apparitions!$N$1:$N$5001,0),"")</f>
        <v/>
      </c>
      <c r="B53" s="19" t="str">
        <f aca="false">IF($A53="","",INDEX(Apparitions!$A$1:$A$5001,$A53)&amp;"")</f>
        <v/>
      </c>
      <c r="C53" s="19" t="str">
        <f aca="false">IF($A53="","",INDEX(Apparitions!$B$1:$B$5001,$A53)&amp;"")</f>
        <v/>
      </c>
      <c r="D53" s="20" t="str">
        <f aca="false">IF($A53="","",INDEX(Apparitions!$L$1:$L$5001,$A53))</f>
        <v/>
      </c>
      <c r="E53" s="19" t="str">
        <f aca="false">IF($A53="","",INDEX(Apparitions!$C$1:$C$5001,$A53)&amp;"")</f>
        <v/>
      </c>
      <c r="F53" s="19" t="str">
        <f aca="false">IF($A53="","",INDEX(Apparitions!$H$1:$H$5001,$A53)&amp;"")</f>
        <v/>
      </c>
      <c r="G53" s="19" t="str">
        <f aca="false">IF($A53="","",INDEX(Apparitions!$I$1:$I$5001,$A53)&amp;"")</f>
        <v/>
      </c>
      <c r="H53" s="19" t="str">
        <f aca="false">IF($A53="","",INDEX(Apparitions!$J$1:$J$5001,$A53)&amp;"")</f>
        <v/>
      </c>
      <c r="I53" s="19" t="str">
        <f aca="false">IF($A53="","",INDEX(Apparitions!$G$1:$G$5001,$A53)&amp;"")</f>
        <v/>
      </c>
      <c r="J53" s="19" t="str">
        <f aca="false">IF($A53="","",INDEX(Apparitions!$M$1:$M$5001,$A53)&amp;"")</f>
        <v/>
      </c>
      <c r="K53" s="21" t="str">
        <f aca="false">IF($A53="","",INDEX(Apparitions!$K$1:$K$5001,$A53))</f>
        <v/>
      </c>
      <c r="L53" s="22" t="str">
        <f aca="false">IF($A53="","",INDEX(Apparitions!$E$1:$E$5001,$A53)&amp;"")</f>
        <v/>
      </c>
      <c r="M53" s="19" t="str">
        <f aca="false">IF($A53="","",INDEX(Apparitions!$F$1:$F$5001,$A53)&amp;"")</f>
        <v/>
      </c>
      <c r="O53" s="23" t="n">
        <f aca="false">IF(I53="",0,IF(COUNTIF(I$16:I53,I53)=1,1,0))</f>
        <v>0</v>
      </c>
      <c r="P53" s="23" t="n">
        <f aca="false">IF(F53="",0,IF(COUNTIF(F$16:F53,F53)=1,1,0))</f>
        <v>0</v>
      </c>
      <c r="Q53" s="0" t="str">
        <f aca="false">IF(B53="","",B53&amp;"|"&amp;C53)</f>
        <v/>
      </c>
      <c r="R53" s="23" t="n">
        <f aca="false">IF(Q53="",0,IF(COUNTIF(Q$16:Q53,Q53)=1,1,0))</f>
        <v>0</v>
      </c>
    </row>
    <row r="54" customFormat="false" ht="15" hidden="false" customHeight="false" outlineLevel="0" collapsed="false">
      <c r="A54" s="0" t="str">
        <f aca="false">IFERROR(MATCH(39,Apparitions!$N$1:$N$5001,0),"")</f>
        <v/>
      </c>
      <c r="B54" s="19" t="str">
        <f aca="false">IF($A54="","",INDEX(Apparitions!$A$1:$A$5001,$A54)&amp;"")</f>
        <v/>
      </c>
      <c r="C54" s="19" t="str">
        <f aca="false">IF($A54="","",INDEX(Apparitions!$B$1:$B$5001,$A54)&amp;"")</f>
        <v/>
      </c>
      <c r="D54" s="20" t="str">
        <f aca="false">IF($A54="","",INDEX(Apparitions!$L$1:$L$5001,$A54))</f>
        <v/>
      </c>
      <c r="E54" s="19" t="str">
        <f aca="false">IF($A54="","",INDEX(Apparitions!$C$1:$C$5001,$A54)&amp;"")</f>
        <v/>
      </c>
      <c r="F54" s="19" t="str">
        <f aca="false">IF($A54="","",INDEX(Apparitions!$H$1:$H$5001,$A54)&amp;"")</f>
        <v/>
      </c>
      <c r="G54" s="19" t="str">
        <f aca="false">IF($A54="","",INDEX(Apparitions!$I$1:$I$5001,$A54)&amp;"")</f>
        <v/>
      </c>
      <c r="H54" s="19" t="str">
        <f aca="false">IF($A54="","",INDEX(Apparitions!$J$1:$J$5001,$A54)&amp;"")</f>
        <v/>
      </c>
      <c r="I54" s="19" t="str">
        <f aca="false">IF($A54="","",INDEX(Apparitions!$G$1:$G$5001,$A54)&amp;"")</f>
        <v/>
      </c>
      <c r="J54" s="19" t="str">
        <f aca="false">IF($A54="","",INDEX(Apparitions!$M$1:$M$5001,$A54)&amp;"")</f>
        <v/>
      </c>
      <c r="K54" s="21" t="str">
        <f aca="false">IF($A54="","",INDEX(Apparitions!$K$1:$K$5001,$A54))</f>
        <v/>
      </c>
      <c r="L54" s="22" t="str">
        <f aca="false">IF($A54="","",INDEX(Apparitions!$E$1:$E$5001,$A54)&amp;"")</f>
        <v/>
      </c>
      <c r="M54" s="19" t="str">
        <f aca="false">IF($A54="","",INDEX(Apparitions!$F$1:$F$5001,$A54)&amp;"")</f>
        <v/>
      </c>
      <c r="O54" s="23" t="n">
        <f aca="false">IF(I54="",0,IF(COUNTIF(I$16:I54,I54)=1,1,0))</f>
        <v>0</v>
      </c>
      <c r="P54" s="23" t="n">
        <f aca="false">IF(F54="",0,IF(COUNTIF(F$16:F54,F54)=1,1,0))</f>
        <v>0</v>
      </c>
      <c r="Q54" s="0" t="str">
        <f aca="false">IF(B54="","",B54&amp;"|"&amp;C54)</f>
        <v/>
      </c>
      <c r="R54" s="23" t="n">
        <f aca="false">IF(Q54="",0,IF(COUNTIF(Q$16:Q54,Q54)=1,1,0))</f>
        <v>0</v>
      </c>
    </row>
    <row r="55" customFormat="false" ht="15" hidden="false" customHeight="false" outlineLevel="0" collapsed="false">
      <c r="A55" s="0" t="str">
        <f aca="false">IFERROR(MATCH(40,Apparitions!$N$1:$N$5001,0),"")</f>
        <v/>
      </c>
      <c r="B55" s="19" t="str">
        <f aca="false">IF($A55="","",INDEX(Apparitions!$A$1:$A$5001,$A55)&amp;"")</f>
        <v/>
      </c>
      <c r="C55" s="19" t="str">
        <f aca="false">IF($A55="","",INDEX(Apparitions!$B$1:$B$5001,$A55)&amp;"")</f>
        <v/>
      </c>
      <c r="D55" s="20" t="str">
        <f aca="false">IF($A55="","",INDEX(Apparitions!$L$1:$L$5001,$A55))</f>
        <v/>
      </c>
      <c r="E55" s="19" t="str">
        <f aca="false">IF($A55="","",INDEX(Apparitions!$C$1:$C$5001,$A55)&amp;"")</f>
        <v/>
      </c>
      <c r="F55" s="19" t="str">
        <f aca="false">IF($A55="","",INDEX(Apparitions!$H$1:$H$5001,$A55)&amp;"")</f>
        <v/>
      </c>
      <c r="G55" s="19" t="str">
        <f aca="false">IF($A55="","",INDEX(Apparitions!$I$1:$I$5001,$A55)&amp;"")</f>
        <v/>
      </c>
      <c r="H55" s="19" t="str">
        <f aca="false">IF($A55="","",INDEX(Apparitions!$J$1:$J$5001,$A55)&amp;"")</f>
        <v/>
      </c>
      <c r="I55" s="19" t="str">
        <f aca="false">IF($A55="","",INDEX(Apparitions!$G$1:$G$5001,$A55)&amp;"")</f>
        <v/>
      </c>
      <c r="J55" s="19" t="str">
        <f aca="false">IF($A55="","",INDEX(Apparitions!$M$1:$M$5001,$A55)&amp;"")</f>
        <v/>
      </c>
      <c r="K55" s="21" t="str">
        <f aca="false">IF($A55="","",INDEX(Apparitions!$K$1:$K$5001,$A55))</f>
        <v/>
      </c>
      <c r="L55" s="22" t="str">
        <f aca="false">IF($A55="","",INDEX(Apparitions!$E$1:$E$5001,$A55)&amp;"")</f>
        <v/>
      </c>
      <c r="M55" s="19" t="str">
        <f aca="false">IF($A55="","",INDEX(Apparitions!$F$1:$F$5001,$A55)&amp;"")</f>
        <v/>
      </c>
      <c r="O55" s="23" t="n">
        <f aca="false">IF(I55="",0,IF(COUNTIF(I$16:I55,I55)=1,1,0))</f>
        <v>0</v>
      </c>
      <c r="P55" s="23" t="n">
        <f aca="false">IF(F55="",0,IF(COUNTIF(F$16:F55,F55)=1,1,0))</f>
        <v>0</v>
      </c>
      <c r="Q55" s="0" t="str">
        <f aca="false">IF(B55="","",B55&amp;"|"&amp;C55)</f>
        <v/>
      </c>
      <c r="R55" s="23" t="n">
        <f aca="false">IF(Q55="",0,IF(COUNTIF(Q$16:Q55,Q55)=1,1,0))</f>
        <v>0</v>
      </c>
    </row>
    <row r="56" customFormat="false" ht="15" hidden="false" customHeight="false" outlineLevel="0" collapsed="false">
      <c r="A56" s="0" t="str">
        <f aca="false">IFERROR(MATCH(41,Apparitions!$N$1:$N$5001,0),"")</f>
        <v/>
      </c>
      <c r="B56" s="19" t="str">
        <f aca="false">IF($A56="","",INDEX(Apparitions!$A$1:$A$5001,$A56)&amp;"")</f>
        <v/>
      </c>
      <c r="C56" s="19" t="str">
        <f aca="false">IF($A56="","",INDEX(Apparitions!$B$1:$B$5001,$A56)&amp;"")</f>
        <v/>
      </c>
      <c r="D56" s="20" t="str">
        <f aca="false">IF($A56="","",INDEX(Apparitions!$L$1:$L$5001,$A56))</f>
        <v/>
      </c>
      <c r="E56" s="19" t="str">
        <f aca="false">IF($A56="","",INDEX(Apparitions!$C$1:$C$5001,$A56)&amp;"")</f>
        <v/>
      </c>
      <c r="F56" s="19" t="str">
        <f aca="false">IF($A56="","",INDEX(Apparitions!$H$1:$H$5001,$A56)&amp;"")</f>
        <v/>
      </c>
      <c r="G56" s="19" t="str">
        <f aca="false">IF($A56="","",INDEX(Apparitions!$I$1:$I$5001,$A56)&amp;"")</f>
        <v/>
      </c>
      <c r="H56" s="19" t="str">
        <f aca="false">IF($A56="","",INDEX(Apparitions!$J$1:$J$5001,$A56)&amp;"")</f>
        <v/>
      </c>
      <c r="I56" s="19" t="str">
        <f aca="false">IF($A56="","",INDEX(Apparitions!$G$1:$G$5001,$A56)&amp;"")</f>
        <v/>
      </c>
      <c r="J56" s="19" t="str">
        <f aca="false">IF($A56="","",INDEX(Apparitions!$M$1:$M$5001,$A56)&amp;"")</f>
        <v/>
      </c>
      <c r="K56" s="21" t="str">
        <f aca="false">IF($A56="","",INDEX(Apparitions!$K$1:$K$5001,$A56))</f>
        <v/>
      </c>
      <c r="L56" s="22" t="str">
        <f aca="false">IF($A56="","",INDEX(Apparitions!$E$1:$E$5001,$A56)&amp;"")</f>
        <v/>
      </c>
      <c r="M56" s="19" t="str">
        <f aca="false">IF($A56="","",INDEX(Apparitions!$F$1:$F$5001,$A56)&amp;"")</f>
        <v/>
      </c>
      <c r="O56" s="23" t="n">
        <f aca="false">IF(I56="",0,IF(COUNTIF(I$16:I56,I56)=1,1,0))</f>
        <v>0</v>
      </c>
      <c r="P56" s="23" t="n">
        <f aca="false">IF(F56="",0,IF(COUNTIF(F$16:F56,F56)=1,1,0))</f>
        <v>0</v>
      </c>
      <c r="Q56" s="0" t="str">
        <f aca="false">IF(B56="","",B56&amp;"|"&amp;C56)</f>
        <v/>
      </c>
      <c r="R56" s="23" t="n">
        <f aca="false">IF(Q56="",0,IF(COUNTIF(Q$16:Q56,Q56)=1,1,0))</f>
        <v>0</v>
      </c>
    </row>
    <row r="57" customFormat="false" ht="15" hidden="false" customHeight="false" outlineLevel="0" collapsed="false">
      <c r="A57" s="0" t="str">
        <f aca="false">IFERROR(MATCH(42,Apparitions!$N$1:$N$5001,0),"")</f>
        <v/>
      </c>
      <c r="B57" s="19" t="str">
        <f aca="false">IF($A57="","",INDEX(Apparitions!$A$1:$A$5001,$A57)&amp;"")</f>
        <v/>
      </c>
      <c r="C57" s="19" t="str">
        <f aca="false">IF($A57="","",INDEX(Apparitions!$B$1:$B$5001,$A57)&amp;"")</f>
        <v/>
      </c>
      <c r="D57" s="20" t="str">
        <f aca="false">IF($A57="","",INDEX(Apparitions!$L$1:$L$5001,$A57))</f>
        <v/>
      </c>
      <c r="E57" s="19" t="str">
        <f aca="false">IF($A57="","",INDEX(Apparitions!$C$1:$C$5001,$A57)&amp;"")</f>
        <v/>
      </c>
      <c r="F57" s="19" t="str">
        <f aca="false">IF($A57="","",INDEX(Apparitions!$H$1:$H$5001,$A57)&amp;"")</f>
        <v/>
      </c>
      <c r="G57" s="19" t="str">
        <f aca="false">IF($A57="","",INDEX(Apparitions!$I$1:$I$5001,$A57)&amp;"")</f>
        <v/>
      </c>
      <c r="H57" s="19" t="str">
        <f aca="false">IF($A57="","",INDEX(Apparitions!$J$1:$J$5001,$A57)&amp;"")</f>
        <v/>
      </c>
      <c r="I57" s="19" t="str">
        <f aca="false">IF($A57="","",INDEX(Apparitions!$G$1:$G$5001,$A57)&amp;"")</f>
        <v/>
      </c>
      <c r="J57" s="19" t="str">
        <f aca="false">IF($A57="","",INDEX(Apparitions!$M$1:$M$5001,$A57)&amp;"")</f>
        <v/>
      </c>
      <c r="K57" s="21" t="str">
        <f aca="false">IF($A57="","",INDEX(Apparitions!$K$1:$K$5001,$A57))</f>
        <v/>
      </c>
      <c r="L57" s="22" t="str">
        <f aca="false">IF($A57="","",INDEX(Apparitions!$E$1:$E$5001,$A57)&amp;"")</f>
        <v/>
      </c>
      <c r="M57" s="19" t="str">
        <f aca="false">IF($A57="","",INDEX(Apparitions!$F$1:$F$5001,$A57)&amp;"")</f>
        <v/>
      </c>
      <c r="O57" s="23" t="n">
        <f aca="false">IF(I57="",0,IF(COUNTIF(I$16:I57,I57)=1,1,0))</f>
        <v>0</v>
      </c>
      <c r="P57" s="23" t="n">
        <f aca="false">IF(F57="",0,IF(COUNTIF(F$16:F57,F57)=1,1,0))</f>
        <v>0</v>
      </c>
      <c r="Q57" s="0" t="str">
        <f aca="false">IF(B57="","",B57&amp;"|"&amp;C57)</f>
        <v/>
      </c>
      <c r="R57" s="23" t="n">
        <f aca="false">IF(Q57="",0,IF(COUNTIF(Q$16:Q57,Q57)=1,1,0))</f>
        <v>0</v>
      </c>
    </row>
    <row r="58" customFormat="false" ht="15" hidden="false" customHeight="false" outlineLevel="0" collapsed="false">
      <c r="A58" s="0" t="str">
        <f aca="false">IFERROR(MATCH(43,Apparitions!$N$1:$N$5001,0),"")</f>
        <v/>
      </c>
      <c r="B58" s="19" t="str">
        <f aca="false">IF($A58="","",INDEX(Apparitions!$A$1:$A$5001,$A58)&amp;"")</f>
        <v/>
      </c>
      <c r="C58" s="19" t="str">
        <f aca="false">IF($A58="","",INDEX(Apparitions!$B$1:$B$5001,$A58)&amp;"")</f>
        <v/>
      </c>
      <c r="D58" s="20" t="str">
        <f aca="false">IF($A58="","",INDEX(Apparitions!$L$1:$L$5001,$A58))</f>
        <v/>
      </c>
      <c r="E58" s="19" t="str">
        <f aca="false">IF($A58="","",INDEX(Apparitions!$C$1:$C$5001,$A58)&amp;"")</f>
        <v/>
      </c>
      <c r="F58" s="19" t="str">
        <f aca="false">IF($A58="","",INDEX(Apparitions!$H$1:$H$5001,$A58)&amp;"")</f>
        <v/>
      </c>
      <c r="G58" s="19" t="str">
        <f aca="false">IF($A58="","",INDEX(Apparitions!$I$1:$I$5001,$A58)&amp;"")</f>
        <v/>
      </c>
      <c r="H58" s="19" t="str">
        <f aca="false">IF($A58="","",INDEX(Apparitions!$J$1:$J$5001,$A58)&amp;"")</f>
        <v/>
      </c>
      <c r="I58" s="19" t="str">
        <f aca="false">IF($A58="","",INDEX(Apparitions!$G$1:$G$5001,$A58)&amp;"")</f>
        <v/>
      </c>
      <c r="J58" s="19" t="str">
        <f aca="false">IF($A58="","",INDEX(Apparitions!$M$1:$M$5001,$A58)&amp;"")</f>
        <v/>
      </c>
      <c r="K58" s="21" t="str">
        <f aca="false">IF($A58="","",INDEX(Apparitions!$K$1:$K$5001,$A58))</f>
        <v/>
      </c>
      <c r="L58" s="22" t="str">
        <f aca="false">IF($A58="","",INDEX(Apparitions!$E$1:$E$5001,$A58)&amp;"")</f>
        <v/>
      </c>
      <c r="M58" s="19" t="str">
        <f aca="false">IF($A58="","",INDEX(Apparitions!$F$1:$F$5001,$A58)&amp;"")</f>
        <v/>
      </c>
      <c r="O58" s="23" t="n">
        <f aca="false">IF(I58="",0,IF(COUNTIF(I$16:I58,I58)=1,1,0))</f>
        <v>0</v>
      </c>
      <c r="P58" s="23" t="n">
        <f aca="false">IF(F58="",0,IF(COUNTIF(F$16:F58,F58)=1,1,0))</f>
        <v>0</v>
      </c>
      <c r="Q58" s="0" t="str">
        <f aca="false">IF(B58="","",B58&amp;"|"&amp;C58)</f>
        <v/>
      </c>
      <c r="R58" s="23" t="n">
        <f aca="false">IF(Q58="",0,IF(COUNTIF(Q$16:Q58,Q58)=1,1,0))</f>
        <v>0</v>
      </c>
    </row>
    <row r="59" customFormat="false" ht="15" hidden="false" customHeight="false" outlineLevel="0" collapsed="false">
      <c r="A59" s="0" t="str">
        <f aca="false">IFERROR(MATCH(44,Apparitions!$N$1:$N$5001,0),"")</f>
        <v/>
      </c>
      <c r="B59" s="19" t="str">
        <f aca="false">IF($A59="","",INDEX(Apparitions!$A$1:$A$5001,$A59)&amp;"")</f>
        <v/>
      </c>
      <c r="C59" s="19" t="str">
        <f aca="false">IF($A59="","",INDEX(Apparitions!$B$1:$B$5001,$A59)&amp;"")</f>
        <v/>
      </c>
      <c r="D59" s="20" t="str">
        <f aca="false">IF($A59="","",INDEX(Apparitions!$L$1:$L$5001,$A59))</f>
        <v/>
      </c>
      <c r="E59" s="19" t="str">
        <f aca="false">IF($A59="","",INDEX(Apparitions!$C$1:$C$5001,$A59)&amp;"")</f>
        <v/>
      </c>
      <c r="F59" s="19" t="str">
        <f aca="false">IF($A59="","",INDEX(Apparitions!$H$1:$H$5001,$A59)&amp;"")</f>
        <v/>
      </c>
      <c r="G59" s="19" t="str">
        <f aca="false">IF($A59="","",INDEX(Apparitions!$I$1:$I$5001,$A59)&amp;"")</f>
        <v/>
      </c>
      <c r="H59" s="19" t="str">
        <f aca="false">IF($A59="","",INDEX(Apparitions!$J$1:$J$5001,$A59)&amp;"")</f>
        <v/>
      </c>
      <c r="I59" s="19" t="str">
        <f aca="false">IF($A59="","",INDEX(Apparitions!$G$1:$G$5001,$A59)&amp;"")</f>
        <v/>
      </c>
      <c r="J59" s="19" t="str">
        <f aca="false">IF($A59="","",INDEX(Apparitions!$M$1:$M$5001,$A59)&amp;"")</f>
        <v/>
      </c>
      <c r="K59" s="21" t="str">
        <f aca="false">IF($A59="","",INDEX(Apparitions!$K$1:$K$5001,$A59))</f>
        <v/>
      </c>
      <c r="L59" s="22" t="str">
        <f aca="false">IF($A59="","",INDEX(Apparitions!$E$1:$E$5001,$A59)&amp;"")</f>
        <v/>
      </c>
      <c r="M59" s="19" t="str">
        <f aca="false">IF($A59="","",INDEX(Apparitions!$F$1:$F$5001,$A59)&amp;"")</f>
        <v/>
      </c>
      <c r="O59" s="23" t="n">
        <f aca="false">IF(I59="",0,IF(COUNTIF(I$16:I59,I59)=1,1,0))</f>
        <v>0</v>
      </c>
      <c r="P59" s="23" t="n">
        <f aca="false">IF(F59="",0,IF(COUNTIF(F$16:F59,F59)=1,1,0))</f>
        <v>0</v>
      </c>
      <c r="Q59" s="0" t="str">
        <f aca="false">IF(B59="","",B59&amp;"|"&amp;C59)</f>
        <v/>
      </c>
      <c r="R59" s="23" t="n">
        <f aca="false">IF(Q59="",0,IF(COUNTIF(Q$16:Q59,Q59)=1,1,0))</f>
        <v>0</v>
      </c>
    </row>
    <row r="60" customFormat="false" ht="15" hidden="false" customHeight="false" outlineLevel="0" collapsed="false">
      <c r="A60" s="0" t="str">
        <f aca="false">IFERROR(MATCH(45,Apparitions!$N$1:$N$5001,0),"")</f>
        <v/>
      </c>
      <c r="B60" s="19" t="str">
        <f aca="false">IF($A60="","",INDEX(Apparitions!$A$1:$A$5001,$A60)&amp;"")</f>
        <v/>
      </c>
      <c r="C60" s="19" t="str">
        <f aca="false">IF($A60="","",INDEX(Apparitions!$B$1:$B$5001,$A60)&amp;"")</f>
        <v/>
      </c>
      <c r="D60" s="20" t="str">
        <f aca="false">IF($A60="","",INDEX(Apparitions!$L$1:$L$5001,$A60))</f>
        <v/>
      </c>
      <c r="E60" s="19" t="str">
        <f aca="false">IF($A60="","",INDEX(Apparitions!$C$1:$C$5001,$A60)&amp;"")</f>
        <v/>
      </c>
      <c r="F60" s="19" t="str">
        <f aca="false">IF($A60="","",INDEX(Apparitions!$H$1:$H$5001,$A60)&amp;"")</f>
        <v/>
      </c>
      <c r="G60" s="19" t="str">
        <f aca="false">IF($A60="","",INDEX(Apparitions!$I$1:$I$5001,$A60)&amp;"")</f>
        <v/>
      </c>
      <c r="H60" s="19" t="str">
        <f aca="false">IF($A60="","",INDEX(Apparitions!$J$1:$J$5001,$A60)&amp;"")</f>
        <v/>
      </c>
      <c r="I60" s="19" t="str">
        <f aca="false">IF($A60="","",INDEX(Apparitions!$G$1:$G$5001,$A60)&amp;"")</f>
        <v/>
      </c>
      <c r="J60" s="19" t="str">
        <f aca="false">IF($A60="","",INDEX(Apparitions!$M$1:$M$5001,$A60)&amp;"")</f>
        <v/>
      </c>
      <c r="K60" s="21" t="str">
        <f aca="false">IF($A60="","",INDEX(Apparitions!$K$1:$K$5001,$A60))</f>
        <v/>
      </c>
      <c r="L60" s="22" t="str">
        <f aca="false">IF($A60="","",INDEX(Apparitions!$E$1:$E$5001,$A60)&amp;"")</f>
        <v/>
      </c>
      <c r="M60" s="19" t="str">
        <f aca="false">IF($A60="","",INDEX(Apparitions!$F$1:$F$5001,$A60)&amp;"")</f>
        <v/>
      </c>
      <c r="O60" s="23" t="n">
        <f aca="false">IF(I60="",0,IF(COUNTIF(I$16:I60,I60)=1,1,0))</f>
        <v>0</v>
      </c>
      <c r="P60" s="23" t="n">
        <f aca="false">IF(F60="",0,IF(COUNTIF(F$16:F60,F60)=1,1,0))</f>
        <v>0</v>
      </c>
      <c r="Q60" s="0" t="str">
        <f aca="false">IF(B60="","",B60&amp;"|"&amp;C60)</f>
        <v/>
      </c>
      <c r="R60" s="23" t="n">
        <f aca="false">IF(Q60="",0,IF(COUNTIF(Q$16:Q60,Q60)=1,1,0))</f>
        <v>0</v>
      </c>
    </row>
    <row r="61" customFormat="false" ht="15" hidden="false" customHeight="false" outlineLevel="0" collapsed="false">
      <c r="A61" s="0" t="str">
        <f aca="false">IFERROR(MATCH(46,Apparitions!$N$1:$N$5001,0),"")</f>
        <v/>
      </c>
      <c r="B61" s="19" t="str">
        <f aca="false">IF($A61="","",INDEX(Apparitions!$A$1:$A$5001,$A61)&amp;"")</f>
        <v/>
      </c>
      <c r="C61" s="19" t="str">
        <f aca="false">IF($A61="","",INDEX(Apparitions!$B$1:$B$5001,$A61)&amp;"")</f>
        <v/>
      </c>
      <c r="D61" s="20" t="str">
        <f aca="false">IF($A61="","",INDEX(Apparitions!$L$1:$L$5001,$A61))</f>
        <v/>
      </c>
      <c r="E61" s="19" t="str">
        <f aca="false">IF($A61="","",INDEX(Apparitions!$C$1:$C$5001,$A61)&amp;"")</f>
        <v/>
      </c>
      <c r="F61" s="19" t="str">
        <f aca="false">IF($A61="","",INDEX(Apparitions!$H$1:$H$5001,$A61)&amp;"")</f>
        <v/>
      </c>
      <c r="G61" s="19" t="str">
        <f aca="false">IF($A61="","",INDEX(Apparitions!$I$1:$I$5001,$A61)&amp;"")</f>
        <v/>
      </c>
      <c r="H61" s="19" t="str">
        <f aca="false">IF($A61="","",INDEX(Apparitions!$J$1:$J$5001,$A61)&amp;"")</f>
        <v/>
      </c>
      <c r="I61" s="19" t="str">
        <f aca="false">IF($A61="","",INDEX(Apparitions!$G$1:$G$5001,$A61)&amp;"")</f>
        <v/>
      </c>
      <c r="J61" s="19" t="str">
        <f aca="false">IF($A61="","",INDEX(Apparitions!$M$1:$M$5001,$A61)&amp;"")</f>
        <v/>
      </c>
      <c r="K61" s="21" t="str">
        <f aca="false">IF($A61="","",INDEX(Apparitions!$K$1:$K$5001,$A61))</f>
        <v/>
      </c>
      <c r="L61" s="22" t="str">
        <f aca="false">IF($A61="","",INDEX(Apparitions!$E$1:$E$5001,$A61)&amp;"")</f>
        <v/>
      </c>
      <c r="M61" s="19" t="str">
        <f aca="false">IF($A61="","",INDEX(Apparitions!$F$1:$F$5001,$A61)&amp;"")</f>
        <v/>
      </c>
      <c r="O61" s="23" t="n">
        <f aca="false">IF(I61="",0,IF(COUNTIF(I$16:I61,I61)=1,1,0))</f>
        <v>0</v>
      </c>
      <c r="P61" s="23" t="n">
        <f aca="false">IF(F61="",0,IF(COUNTIF(F$16:F61,F61)=1,1,0))</f>
        <v>0</v>
      </c>
      <c r="Q61" s="0" t="str">
        <f aca="false">IF(B61="","",B61&amp;"|"&amp;C61)</f>
        <v/>
      </c>
      <c r="R61" s="23" t="n">
        <f aca="false">IF(Q61="",0,IF(COUNTIF(Q$16:Q61,Q61)=1,1,0))</f>
        <v>0</v>
      </c>
    </row>
    <row r="62" customFormat="false" ht="15" hidden="false" customHeight="false" outlineLevel="0" collapsed="false">
      <c r="A62" s="0" t="str">
        <f aca="false">IFERROR(MATCH(47,Apparitions!$N$1:$N$5001,0),"")</f>
        <v/>
      </c>
      <c r="B62" s="19" t="str">
        <f aca="false">IF($A62="","",INDEX(Apparitions!$A$1:$A$5001,$A62)&amp;"")</f>
        <v/>
      </c>
      <c r="C62" s="19" t="str">
        <f aca="false">IF($A62="","",INDEX(Apparitions!$B$1:$B$5001,$A62)&amp;"")</f>
        <v/>
      </c>
      <c r="D62" s="20" t="str">
        <f aca="false">IF($A62="","",INDEX(Apparitions!$L$1:$L$5001,$A62))</f>
        <v/>
      </c>
      <c r="E62" s="19" t="str">
        <f aca="false">IF($A62="","",INDEX(Apparitions!$C$1:$C$5001,$A62)&amp;"")</f>
        <v/>
      </c>
      <c r="F62" s="19" t="str">
        <f aca="false">IF($A62="","",INDEX(Apparitions!$H$1:$H$5001,$A62)&amp;"")</f>
        <v/>
      </c>
      <c r="G62" s="19" t="str">
        <f aca="false">IF($A62="","",INDEX(Apparitions!$I$1:$I$5001,$A62)&amp;"")</f>
        <v/>
      </c>
      <c r="H62" s="19" t="str">
        <f aca="false">IF($A62="","",INDEX(Apparitions!$J$1:$J$5001,$A62)&amp;"")</f>
        <v/>
      </c>
      <c r="I62" s="19" t="str">
        <f aca="false">IF($A62="","",INDEX(Apparitions!$G$1:$G$5001,$A62)&amp;"")</f>
        <v/>
      </c>
      <c r="J62" s="19" t="str">
        <f aca="false">IF($A62="","",INDEX(Apparitions!$M$1:$M$5001,$A62)&amp;"")</f>
        <v/>
      </c>
      <c r="K62" s="21" t="str">
        <f aca="false">IF($A62="","",INDEX(Apparitions!$K$1:$K$5001,$A62))</f>
        <v/>
      </c>
      <c r="L62" s="22" t="str">
        <f aca="false">IF($A62="","",INDEX(Apparitions!$E$1:$E$5001,$A62)&amp;"")</f>
        <v/>
      </c>
      <c r="M62" s="19" t="str">
        <f aca="false">IF($A62="","",INDEX(Apparitions!$F$1:$F$5001,$A62)&amp;"")</f>
        <v/>
      </c>
      <c r="O62" s="23" t="n">
        <f aca="false">IF(I62="",0,IF(COUNTIF(I$16:I62,I62)=1,1,0))</f>
        <v>0</v>
      </c>
      <c r="P62" s="23" t="n">
        <f aca="false">IF(F62="",0,IF(COUNTIF(F$16:F62,F62)=1,1,0))</f>
        <v>0</v>
      </c>
      <c r="Q62" s="0" t="str">
        <f aca="false">IF(B62="","",B62&amp;"|"&amp;C62)</f>
        <v/>
      </c>
      <c r="R62" s="23" t="n">
        <f aca="false">IF(Q62="",0,IF(COUNTIF(Q$16:Q62,Q62)=1,1,0))</f>
        <v>0</v>
      </c>
    </row>
    <row r="63" customFormat="false" ht="15" hidden="false" customHeight="false" outlineLevel="0" collapsed="false">
      <c r="A63" s="0" t="str">
        <f aca="false">IFERROR(MATCH(48,Apparitions!$N$1:$N$5001,0),"")</f>
        <v/>
      </c>
      <c r="B63" s="19" t="str">
        <f aca="false">IF($A63="","",INDEX(Apparitions!$A$1:$A$5001,$A63)&amp;"")</f>
        <v/>
      </c>
      <c r="C63" s="19" t="str">
        <f aca="false">IF($A63="","",INDEX(Apparitions!$B$1:$B$5001,$A63)&amp;"")</f>
        <v/>
      </c>
      <c r="D63" s="20" t="str">
        <f aca="false">IF($A63="","",INDEX(Apparitions!$L$1:$L$5001,$A63))</f>
        <v/>
      </c>
      <c r="E63" s="19" t="str">
        <f aca="false">IF($A63="","",INDEX(Apparitions!$C$1:$C$5001,$A63)&amp;"")</f>
        <v/>
      </c>
      <c r="F63" s="19" t="str">
        <f aca="false">IF($A63="","",INDEX(Apparitions!$H$1:$H$5001,$A63)&amp;"")</f>
        <v/>
      </c>
      <c r="G63" s="19" t="str">
        <f aca="false">IF($A63="","",INDEX(Apparitions!$I$1:$I$5001,$A63)&amp;"")</f>
        <v/>
      </c>
      <c r="H63" s="19" t="str">
        <f aca="false">IF($A63="","",INDEX(Apparitions!$J$1:$J$5001,$A63)&amp;"")</f>
        <v/>
      </c>
      <c r="I63" s="19" t="str">
        <f aca="false">IF($A63="","",INDEX(Apparitions!$G$1:$G$5001,$A63)&amp;"")</f>
        <v/>
      </c>
      <c r="J63" s="19" t="str">
        <f aca="false">IF($A63="","",INDEX(Apparitions!$M$1:$M$5001,$A63)&amp;"")</f>
        <v/>
      </c>
      <c r="K63" s="21" t="str">
        <f aca="false">IF($A63="","",INDEX(Apparitions!$K$1:$K$5001,$A63))</f>
        <v/>
      </c>
      <c r="L63" s="22" t="str">
        <f aca="false">IF($A63="","",INDEX(Apparitions!$E$1:$E$5001,$A63)&amp;"")</f>
        <v/>
      </c>
      <c r="M63" s="19" t="str">
        <f aca="false">IF($A63="","",INDEX(Apparitions!$F$1:$F$5001,$A63)&amp;"")</f>
        <v/>
      </c>
      <c r="O63" s="23" t="n">
        <f aca="false">IF(I63="",0,IF(COUNTIF(I$16:I63,I63)=1,1,0))</f>
        <v>0</v>
      </c>
      <c r="P63" s="23" t="n">
        <f aca="false">IF(F63="",0,IF(COUNTIF(F$16:F63,F63)=1,1,0))</f>
        <v>0</v>
      </c>
      <c r="Q63" s="0" t="str">
        <f aca="false">IF(B63="","",B63&amp;"|"&amp;C63)</f>
        <v/>
      </c>
      <c r="R63" s="23" t="n">
        <f aca="false">IF(Q63="",0,IF(COUNTIF(Q$16:Q63,Q63)=1,1,0))</f>
        <v>0</v>
      </c>
    </row>
    <row r="64" customFormat="false" ht="15" hidden="false" customHeight="false" outlineLevel="0" collapsed="false">
      <c r="A64" s="0" t="str">
        <f aca="false">IFERROR(MATCH(49,Apparitions!$N$1:$N$5001,0),"")</f>
        <v/>
      </c>
      <c r="B64" s="19" t="str">
        <f aca="false">IF($A64="","",INDEX(Apparitions!$A$1:$A$5001,$A64)&amp;"")</f>
        <v/>
      </c>
      <c r="C64" s="19" t="str">
        <f aca="false">IF($A64="","",INDEX(Apparitions!$B$1:$B$5001,$A64)&amp;"")</f>
        <v/>
      </c>
      <c r="D64" s="20" t="str">
        <f aca="false">IF($A64="","",INDEX(Apparitions!$L$1:$L$5001,$A64))</f>
        <v/>
      </c>
      <c r="E64" s="19" t="str">
        <f aca="false">IF($A64="","",INDEX(Apparitions!$C$1:$C$5001,$A64)&amp;"")</f>
        <v/>
      </c>
      <c r="F64" s="19" t="str">
        <f aca="false">IF($A64="","",INDEX(Apparitions!$H$1:$H$5001,$A64)&amp;"")</f>
        <v/>
      </c>
      <c r="G64" s="19" t="str">
        <f aca="false">IF($A64="","",INDEX(Apparitions!$I$1:$I$5001,$A64)&amp;"")</f>
        <v/>
      </c>
      <c r="H64" s="19" t="str">
        <f aca="false">IF($A64="","",INDEX(Apparitions!$J$1:$J$5001,$A64)&amp;"")</f>
        <v/>
      </c>
      <c r="I64" s="19" t="str">
        <f aca="false">IF($A64="","",INDEX(Apparitions!$G$1:$G$5001,$A64)&amp;"")</f>
        <v/>
      </c>
      <c r="J64" s="19" t="str">
        <f aca="false">IF($A64="","",INDEX(Apparitions!$M$1:$M$5001,$A64)&amp;"")</f>
        <v/>
      </c>
      <c r="K64" s="21" t="str">
        <f aca="false">IF($A64="","",INDEX(Apparitions!$K$1:$K$5001,$A64))</f>
        <v/>
      </c>
      <c r="L64" s="22" t="str">
        <f aca="false">IF($A64="","",INDEX(Apparitions!$E$1:$E$5001,$A64)&amp;"")</f>
        <v/>
      </c>
      <c r="M64" s="19" t="str">
        <f aca="false">IF($A64="","",INDEX(Apparitions!$F$1:$F$5001,$A64)&amp;"")</f>
        <v/>
      </c>
      <c r="O64" s="23" t="n">
        <f aca="false">IF(I64="",0,IF(COUNTIF(I$16:I64,I64)=1,1,0))</f>
        <v>0</v>
      </c>
      <c r="P64" s="23" t="n">
        <f aca="false">IF(F64="",0,IF(COUNTIF(F$16:F64,F64)=1,1,0))</f>
        <v>0</v>
      </c>
      <c r="Q64" s="0" t="str">
        <f aca="false">IF(B64="","",B64&amp;"|"&amp;C64)</f>
        <v/>
      </c>
      <c r="R64" s="23" t="n">
        <f aca="false">IF(Q64="",0,IF(COUNTIF(Q$16:Q64,Q64)=1,1,0))</f>
        <v>0</v>
      </c>
    </row>
    <row r="65" customFormat="false" ht="15" hidden="false" customHeight="false" outlineLevel="0" collapsed="false">
      <c r="A65" s="0" t="str">
        <f aca="false">IFERROR(MATCH(50,Apparitions!$N$1:$N$5001,0),"")</f>
        <v/>
      </c>
      <c r="B65" s="19" t="str">
        <f aca="false">IF($A65="","",INDEX(Apparitions!$A$1:$A$5001,$A65)&amp;"")</f>
        <v/>
      </c>
      <c r="C65" s="19" t="str">
        <f aca="false">IF($A65="","",INDEX(Apparitions!$B$1:$B$5001,$A65)&amp;"")</f>
        <v/>
      </c>
      <c r="D65" s="20" t="str">
        <f aca="false">IF($A65="","",INDEX(Apparitions!$L$1:$L$5001,$A65))</f>
        <v/>
      </c>
      <c r="E65" s="19" t="str">
        <f aca="false">IF($A65="","",INDEX(Apparitions!$C$1:$C$5001,$A65)&amp;"")</f>
        <v/>
      </c>
      <c r="F65" s="19" t="str">
        <f aca="false">IF($A65="","",INDEX(Apparitions!$H$1:$H$5001,$A65)&amp;"")</f>
        <v/>
      </c>
      <c r="G65" s="19" t="str">
        <f aca="false">IF($A65="","",INDEX(Apparitions!$I$1:$I$5001,$A65)&amp;"")</f>
        <v/>
      </c>
      <c r="H65" s="19" t="str">
        <f aca="false">IF($A65="","",INDEX(Apparitions!$J$1:$J$5001,$A65)&amp;"")</f>
        <v/>
      </c>
      <c r="I65" s="19" t="str">
        <f aca="false">IF($A65="","",INDEX(Apparitions!$G$1:$G$5001,$A65)&amp;"")</f>
        <v/>
      </c>
      <c r="J65" s="19" t="str">
        <f aca="false">IF($A65="","",INDEX(Apparitions!$M$1:$M$5001,$A65)&amp;"")</f>
        <v/>
      </c>
      <c r="K65" s="21" t="str">
        <f aca="false">IF($A65="","",INDEX(Apparitions!$K$1:$K$5001,$A65))</f>
        <v/>
      </c>
      <c r="L65" s="22" t="str">
        <f aca="false">IF($A65="","",INDEX(Apparitions!$E$1:$E$5001,$A65)&amp;"")</f>
        <v/>
      </c>
      <c r="M65" s="19" t="str">
        <f aca="false">IF($A65="","",INDEX(Apparitions!$F$1:$F$5001,$A65)&amp;"")</f>
        <v/>
      </c>
      <c r="O65" s="23" t="n">
        <f aca="false">IF(I65="",0,IF(COUNTIF(I$16:I65,I65)=1,1,0))</f>
        <v>0</v>
      </c>
      <c r="P65" s="23" t="n">
        <f aca="false">IF(F65="",0,IF(COUNTIF(F$16:F65,F65)=1,1,0))</f>
        <v>0</v>
      </c>
      <c r="Q65" s="0" t="str">
        <f aca="false">IF(B65="","",B65&amp;"|"&amp;C65)</f>
        <v/>
      </c>
      <c r="R65" s="23" t="n">
        <f aca="false">IF(Q65="",0,IF(COUNTIF(Q$16:Q65,Q65)=1,1,0))</f>
        <v>0</v>
      </c>
    </row>
    <row r="66" customFormat="false" ht="15" hidden="false" customHeight="false" outlineLevel="0" collapsed="false">
      <c r="A66" s="0" t="str">
        <f aca="false">IFERROR(MATCH(51,Apparitions!$N$1:$N$5001,0),"")</f>
        <v/>
      </c>
      <c r="B66" s="19" t="str">
        <f aca="false">IF($A66="","",INDEX(Apparitions!$A$1:$A$5001,$A66)&amp;"")</f>
        <v/>
      </c>
      <c r="C66" s="19" t="str">
        <f aca="false">IF($A66="","",INDEX(Apparitions!$B$1:$B$5001,$A66)&amp;"")</f>
        <v/>
      </c>
      <c r="D66" s="20" t="str">
        <f aca="false">IF($A66="","",INDEX(Apparitions!$L$1:$L$5001,$A66))</f>
        <v/>
      </c>
      <c r="E66" s="19" t="str">
        <f aca="false">IF($A66="","",INDEX(Apparitions!$C$1:$C$5001,$A66)&amp;"")</f>
        <v/>
      </c>
      <c r="F66" s="19" t="str">
        <f aca="false">IF($A66="","",INDEX(Apparitions!$H$1:$H$5001,$A66)&amp;"")</f>
        <v/>
      </c>
      <c r="G66" s="19" t="str">
        <f aca="false">IF($A66="","",INDEX(Apparitions!$I$1:$I$5001,$A66)&amp;"")</f>
        <v/>
      </c>
      <c r="H66" s="19" t="str">
        <f aca="false">IF($A66="","",INDEX(Apparitions!$J$1:$J$5001,$A66)&amp;"")</f>
        <v/>
      </c>
      <c r="I66" s="19" t="str">
        <f aca="false">IF($A66="","",INDEX(Apparitions!$G$1:$G$5001,$A66)&amp;"")</f>
        <v/>
      </c>
      <c r="J66" s="19" t="str">
        <f aca="false">IF($A66="","",INDEX(Apparitions!$M$1:$M$5001,$A66)&amp;"")</f>
        <v/>
      </c>
      <c r="K66" s="21" t="str">
        <f aca="false">IF($A66="","",INDEX(Apparitions!$K$1:$K$5001,$A66))</f>
        <v/>
      </c>
      <c r="L66" s="22" t="str">
        <f aca="false">IF($A66="","",INDEX(Apparitions!$E$1:$E$5001,$A66)&amp;"")</f>
        <v/>
      </c>
      <c r="M66" s="19" t="str">
        <f aca="false">IF($A66="","",INDEX(Apparitions!$F$1:$F$5001,$A66)&amp;"")</f>
        <v/>
      </c>
      <c r="O66" s="23" t="n">
        <f aca="false">IF(I66="",0,IF(COUNTIF(I$16:I66,I66)=1,1,0))</f>
        <v>0</v>
      </c>
      <c r="P66" s="23" t="n">
        <f aca="false">IF(F66="",0,IF(COUNTIF(F$16:F66,F66)=1,1,0))</f>
        <v>0</v>
      </c>
      <c r="Q66" s="0" t="str">
        <f aca="false">IF(B66="","",B66&amp;"|"&amp;C66)</f>
        <v/>
      </c>
      <c r="R66" s="23" t="n">
        <f aca="false">IF(Q66="",0,IF(COUNTIF(Q$16:Q66,Q66)=1,1,0))</f>
        <v>0</v>
      </c>
    </row>
    <row r="67" customFormat="false" ht="15" hidden="false" customHeight="false" outlineLevel="0" collapsed="false">
      <c r="A67" s="0" t="str">
        <f aca="false">IFERROR(MATCH(52,Apparitions!$N$1:$N$5001,0),"")</f>
        <v/>
      </c>
      <c r="B67" s="19" t="str">
        <f aca="false">IF($A67="","",INDEX(Apparitions!$A$1:$A$5001,$A67)&amp;"")</f>
        <v/>
      </c>
      <c r="C67" s="19" t="str">
        <f aca="false">IF($A67="","",INDEX(Apparitions!$B$1:$B$5001,$A67)&amp;"")</f>
        <v/>
      </c>
      <c r="D67" s="20" t="str">
        <f aca="false">IF($A67="","",INDEX(Apparitions!$L$1:$L$5001,$A67))</f>
        <v/>
      </c>
      <c r="E67" s="19" t="str">
        <f aca="false">IF($A67="","",INDEX(Apparitions!$C$1:$C$5001,$A67)&amp;"")</f>
        <v/>
      </c>
      <c r="F67" s="19" t="str">
        <f aca="false">IF($A67="","",INDEX(Apparitions!$H$1:$H$5001,$A67)&amp;"")</f>
        <v/>
      </c>
      <c r="G67" s="19" t="str">
        <f aca="false">IF($A67="","",INDEX(Apparitions!$I$1:$I$5001,$A67)&amp;"")</f>
        <v/>
      </c>
      <c r="H67" s="19" t="str">
        <f aca="false">IF($A67="","",INDEX(Apparitions!$J$1:$J$5001,$A67)&amp;"")</f>
        <v/>
      </c>
      <c r="I67" s="19" t="str">
        <f aca="false">IF($A67="","",INDEX(Apparitions!$G$1:$G$5001,$A67)&amp;"")</f>
        <v/>
      </c>
      <c r="J67" s="19" t="str">
        <f aca="false">IF($A67="","",INDEX(Apparitions!$M$1:$M$5001,$A67)&amp;"")</f>
        <v/>
      </c>
      <c r="K67" s="21" t="str">
        <f aca="false">IF($A67="","",INDEX(Apparitions!$K$1:$K$5001,$A67))</f>
        <v/>
      </c>
      <c r="L67" s="22" t="str">
        <f aca="false">IF($A67="","",INDEX(Apparitions!$E$1:$E$5001,$A67)&amp;"")</f>
        <v/>
      </c>
      <c r="M67" s="19" t="str">
        <f aca="false">IF($A67="","",INDEX(Apparitions!$F$1:$F$5001,$A67)&amp;"")</f>
        <v/>
      </c>
      <c r="O67" s="23" t="n">
        <f aca="false">IF(I67="",0,IF(COUNTIF(I$16:I67,I67)=1,1,0))</f>
        <v>0</v>
      </c>
      <c r="P67" s="23" t="n">
        <f aca="false">IF(F67="",0,IF(COUNTIF(F$16:F67,F67)=1,1,0))</f>
        <v>0</v>
      </c>
      <c r="Q67" s="0" t="str">
        <f aca="false">IF(B67="","",B67&amp;"|"&amp;C67)</f>
        <v/>
      </c>
      <c r="R67" s="23" t="n">
        <f aca="false">IF(Q67="",0,IF(COUNTIF(Q$16:Q67,Q67)=1,1,0))</f>
        <v>0</v>
      </c>
    </row>
    <row r="68" customFormat="false" ht="15" hidden="false" customHeight="false" outlineLevel="0" collapsed="false">
      <c r="A68" s="0" t="str">
        <f aca="false">IFERROR(MATCH(53,Apparitions!$N$1:$N$5001,0),"")</f>
        <v/>
      </c>
      <c r="B68" s="19" t="str">
        <f aca="false">IF($A68="","",INDEX(Apparitions!$A$1:$A$5001,$A68)&amp;"")</f>
        <v/>
      </c>
      <c r="C68" s="19" t="str">
        <f aca="false">IF($A68="","",INDEX(Apparitions!$B$1:$B$5001,$A68)&amp;"")</f>
        <v/>
      </c>
      <c r="D68" s="20" t="str">
        <f aca="false">IF($A68="","",INDEX(Apparitions!$L$1:$L$5001,$A68))</f>
        <v/>
      </c>
      <c r="E68" s="19" t="str">
        <f aca="false">IF($A68="","",INDEX(Apparitions!$C$1:$C$5001,$A68)&amp;"")</f>
        <v/>
      </c>
      <c r="F68" s="19" t="str">
        <f aca="false">IF($A68="","",INDEX(Apparitions!$H$1:$H$5001,$A68)&amp;"")</f>
        <v/>
      </c>
      <c r="G68" s="19" t="str">
        <f aca="false">IF($A68="","",INDEX(Apparitions!$I$1:$I$5001,$A68)&amp;"")</f>
        <v/>
      </c>
      <c r="H68" s="19" t="str">
        <f aca="false">IF($A68="","",INDEX(Apparitions!$J$1:$J$5001,$A68)&amp;"")</f>
        <v/>
      </c>
      <c r="I68" s="19" t="str">
        <f aca="false">IF($A68="","",INDEX(Apparitions!$G$1:$G$5001,$A68)&amp;"")</f>
        <v/>
      </c>
      <c r="J68" s="19" t="str">
        <f aca="false">IF($A68="","",INDEX(Apparitions!$M$1:$M$5001,$A68)&amp;"")</f>
        <v/>
      </c>
      <c r="K68" s="21" t="str">
        <f aca="false">IF($A68="","",INDEX(Apparitions!$K$1:$K$5001,$A68))</f>
        <v/>
      </c>
      <c r="L68" s="22" t="str">
        <f aca="false">IF($A68="","",INDEX(Apparitions!$E$1:$E$5001,$A68)&amp;"")</f>
        <v/>
      </c>
      <c r="M68" s="19" t="str">
        <f aca="false">IF($A68="","",INDEX(Apparitions!$F$1:$F$5001,$A68)&amp;"")</f>
        <v/>
      </c>
      <c r="O68" s="23" t="n">
        <f aca="false">IF(I68="",0,IF(COUNTIF(I$16:I68,I68)=1,1,0))</f>
        <v>0</v>
      </c>
      <c r="P68" s="23" t="n">
        <f aca="false">IF(F68="",0,IF(COUNTIF(F$16:F68,F68)=1,1,0))</f>
        <v>0</v>
      </c>
      <c r="Q68" s="0" t="str">
        <f aca="false">IF(B68="","",B68&amp;"|"&amp;C68)</f>
        <v/>
      </c>
      <c r="R68" s="23" t="n">
        <f aca="false">IF(Q68="",0,IF(COUNTIF(Q$16:Q68,Q68)=1,1,0))</f>
        <v>0</v>
      </c>
    </row>
    <row r="69" customFormat="false" ht="15" hidden="false" customHeight="false" outlineLevel="0" collapsed="false">
      <c r="A69" s="0" t="str">
        <f aca="false">IFERROR(MATCH(54,Apparitions!$N$1:$N$5001,0),"")</f>
        <v/>
      </c>
      <c r="B69" s="19" t="str">
        <f aca="false">IF($A69="","",INDEX(Apparitions!$A$1:$A$5001,$A69)&amp;"")</f>
        <v/>
      </c>
      <c r="C69" s="19" t="str">
        <f aca="false">IF($A69="","",INDEX(Apparitions!$B$1:$B$5001,$A69)&amp;"")</f>
        <v/>
      </c>
      <c r="D69" s="20" t="str">
        <f aca="false">IF($A69="","",INDEX(Apparitions!$L$1:$L$5001,$A69))</f>
        <v/>
      </c>
      <c r="E69" s="19" t="str">
        <f aca="false">IF($A69="","",INDEX(Apparitions!$C$1:$C$5001,$A69)&amp;"")</f>
        <v/>
      </c>
      <c r="F69" s="19" t="str">
        <f aca="false">IF($A69="","",INDEX(Apparitions!$H$1:$H$5001,$A69)&amp;"")</f>
        <v/>
      </c>
      <c r="G69" s="19" t="str">
        <f aca="false">IF($A69="","",INDEX(Apparitions!$I$1:$I$5001,$A69)&amp;"")</f>
        <v/>
      </c>
      <c r="H69" s="19" t="str">
        <f aca="false">IF($A69="","",INDEX(Apparitions!$J$1:$J$5001,$A69)&amp;"")</f>
        <v/>
      </c>
      <c r="I69" s="19" t="str">
        <f aca="false">IF($A69="","",INDEX(Apparitions!$G$1:$G$5001,$A69)&amp;"")</f>
        <v/>
      </c>
      <c r="J69" s="19" t="str">
        <f aca="false">IF($A69="","",INDEX(Apparitions!$M$1:$M$5001,$A69)&amp;"")</f>
        <v/>
      </c>
      <c r="K69" s="21" t="str">
        <f aca="false">IF($A69="","",INDEX(Apparitions!$K$1:$K$5001,$A69))</f>
        <v/>
      </c>
      <c r="L69" s="22" t="str">
        <f aca="false">IF($A69="","",INDEX(Apparitions!$E$1:$E$5001,$A69)&amp;"")</f>
        <v/>
      </c>
      <c r="M69" s="19" t="str">
        <f aca="false">IF($A69="","",INDEX(Apparitions!$F$1:$F$5001,$A69)&amp;"")</f>
        <v/>
      </c>
      <c r="O69" s="23" t="n">
        <f aca="false">IF(I69="",0,IF(COUNTIF(I$16:I69,I69)=1,1,0))</f>
        <v>0</v>
      </c>
      <c r="P69" s="23" t="n">
        <f aca="false">IF(F69="",0,IF(COUNTIF(F$16:F69,F69)=1,1,0))</f>
        <v>0</v>
      </c>
      <c r="Q69" s="0" t="str">
        <f aca="false">IF(B69="","",B69&amp;"|"&amp;C69)</f>
        <v/>
      </c>
      <c r="R69" s="23" t="n">
        <f aca="false">IF(Q69="",0,IF(COUNTIF(Q$16:Q69,Q69)=1,1,0))</f>
        <v>0</v>
      </c>
    </row>
    <row r="70" customFormat="false" ht="15" hidden="false" customHeight="false" outlineLevel="0" collapsed="false">
      <c r="A70" s="0" t="str">
        <f aca="false">IFERROR(MATCH(55,Apparitions!$N$1:$N$5001,0),"")</f>
        <v/>
      </c>
      <c r="B70" s="19" t="str">
        <f aca="false">IF($A70="","",INDEX(Apparitions!$A$1:$A$5001,$A70)&amp;"")</f>
        <v/>
      </c>
      <c r="C70" s="19" t="str">
        <f aca="false">IF($A70="","",INDEX(Apparitions!$B$1:$B$5001,$A70)&amp;"")</f>
        <v/>
      </c>
      <c r="D70" s="20" t="str">
        <f aca="false">IF($A70="","",INDEX(Apparitions!$L$1:$L$5001,$A70))</f>
        <v/>
      </c>
      <c r="E70" s="19" t="str">
        <f aca="false">IF($A70="","",INDEX(Apparitions!$C$1:$C$5001,$A70)&amp;"")</f>
        <v/>
      </c>
      <c r="F70" s="19" t="str">
        <f aca="false">IF($A70="","",INDEX(Apparitions!$H$1:$H$5001,$A70)&amp;"")</f>
        <v/>
      </c>
      <c r="G70" s="19" t="str">
        <f aca="false">IF($A70="","",INDEX(Apparitions!$I$1:$I$5001,$A70)&amp;"")</f>
        <v/>
      </c>
      <c r="H70" s="19" t="str">
        <f aca="false">IF($A70="","",INDEX(Apparitions!$J$1:$J$5001,$A70)&amp;"")</f>
        <v/>
      </c>
      <c r="I70" s="19" t="str">
        <f aca="false">IF($A70="","",INDEX(Apparitions!$G$1:$G$5001,$A70)&amp;"")</f>
        <v/>
      </c>
      <c r="J70" s="19" t="str">
        <f aca="false">IF($A70="","",INDEX(Apparitions!$M$1:$M$5001,$A70)&amp;"")</f>
        <v/>
      </c>
      <c r="K70" s="21" t="str">
        <f aca="false">IF($A70="","",INDEX(Apparitions!$K$1:$K$5001,$A70))</f>
        <v/>
      </c>
      <c r="L70" s="22" t="str">
        <f aca="false">IF($A70="","",INDEX(Apparitions!$E$1:$E$5001,$A70)&amp;"")</f>
        <v/>
      </c>
      <c r="M70" s="19" t="str">
        <f aca="false">IF($A70="","",INDEX(Apparitions!$F$1:$F$5001,$A70)&amp;"")</f>
        <v/>
      </c>
      <c r="O70" s="23" t="n">
        <f aca="false">IF(I70="",0,IF(COUNTIF(I$16:I70,I70)=1,1,0))</f>
        <v>0</v>
      </c>
      <c r="P70" s="23" t="n">
        <f aca="false">IF(F70="",0,IF(COUNTIF(F$16:F70,F70)=1,1,0))</f>
        <v>0</v>
      </c>
      <c r="Q70" s="0" t="str">
        <f aca="false">IF(B70="","",B70&amp;"|"&amp;C70)</f>
        <v/>
      </c>
      <c r="R70" s="23" t="n">
        <f aca="false">IF(Q70="",0,IF(COUNTIF(Q$16:Q70,Q70)=1,1,0))</f>
        <v>0</v>
      </c>
    </row>
    <row r="71" customFormat="false" ht="15" hidden="false" customHeight="false" outlineLevel="0" collapsed="false">
      <c r="A71" s="0" t="str">
        <f aca="false">IFERROR(MATCH(56,Apparitions!$N$1:$N$5001,0),"")</f>
        <v/>
      </c>
      <c r="B71" s="19" t="str">
        <f aca="false">IF($A71="","",INDEX(Apparitions!$A$1:$A$5001,$A71)&amp;"")</f>
        <v/>
      </c>
      <c r="C71" s="19" t="str">
        <f aca="false">IF($A71="","",INDEX(Apparitions!$B$1:$B$5001,$A71)&amp;"")</f>
        <v/>
      </c>
      <c r="D71" s="20" t="str">
        <f aca="false">IF($A71="","",INDEX(Apparitions!$L$1:$L$5001,$A71))</f>
        <v/>
      </c>
      <c r="E71" s="19" t="str">
        <f aca="false">IF($A71="","",INDEX(Apparitions!$C$1:$C$5001,$A71)&amp;"")</f>
        <v/>
      </c>
      <c r="F71" s="19" t="str">
        <f aca="false">IF($A71="","",INDEX(Apparitions!$H$1:$H$5001,$A71)&amp;"")</f>
        <v/>
      </c>
      <c r="G71" s="19" t="str">
        <f aca="false">IF($A71="","",INDEX(Apparitions!$I$1:$I$5001,$A71)&amp;"")</f>
        <v/>
      </c>
      <c r="H71" s="19" t="str">
        <f aca="false">IF($A71="","",INDEX(Apparitions!$J$1:$J$5001,$A71)&amp;"")</f>
        <v/>
      </c>
      <c r="I71" s="19" t="str">
        <f aca="false">IF($A71="","",INDEX(Apparitions!$G$1:$G$5001,$A71)&amp;"")</f>
        <v/>
      </c>
      <c r="J71" s="19" t="str">
        <f aca="false">IF($A71="","",INDEX(Apparitions!$M$1:$M$5001,$A71)&amp;"")</f>
        <v/>
      </c>
      <c r="K71" s="21" t="str">
        <f aca="false">IF($A71="","",INDEX(Apparitions!$K$1:$K$5001,$A71))</f>
        <v/>
      </c>
      <c r="L71" s="22" t="str">
        <f aca="false">IF($A71="","",INDEX(Apparitions!$E$1:$E$5001,$A71)&amp;"")</f>
        <v/>
      </c>
      <c r="M71" s="19" t="str">
        <f aca="false">IF($A71="","",INDEX(Apparitions!$F$1:$F$5001,$A71)&amp;"")</f>
        <v/>
      </c>
      <c r="O71" s="23" t="n">
        <f aca="false">IF(I71="",0,IF(COUNTIF(I$16:I71,I71)=1,1,0))</f>
        <v>0</v>
      </c>
      <c r="P71" s="23" t="n">
        <f aca="false">IF(F71="",0,IF(COUNTIF(F$16:F71,F71)=1,1,0))</f>
        <v>0</v>
      </c>
      <c r="Q71" s="0" t="str">
        <f aca="false">IF(B71="","",B71&amp;"|"&amp;C71)</f>
        <v/>
      </c>
      <c r="R71" s="23" t="n">
        <f aca="false">IF(Q71="",0,IF(COUNTIF(Q$16:Q71,Q71)=1,1,0))</f>
        <v>0</v>
      </c>
    </row>
    <row r="72" customFormat="false" ht="15" hidden="false" customHeight="false" outlineLevel="0" collapsed="false">
      <c r="A72" s="0" t="str">
        <f aca="false">IFERROR(MATCH(57,Apparitions!$N$1:$N$5001,0),"")</f>
        <v/>
      </c>
      <c r="B72" s="19" t="str">
        <f aca="false">IF($A72="","",INDEX(Apparitions!$A$1:$A$5001,$A72)&amp;"")</f>
        <v/>
      </c>
      <c r="C72" s="19" t="str">
        <f aca="false">IF($A72="","",INDEX(Apparitions!$B$1:$B$5001,$A72)&amp;"")</f>
        <v/>
      </c>
      <c r="D72" s="20" t="str">
        <f aca="false">IF($A72="","",INDEX(Apparitions!$L$1:$L$5001,$A72))</f>
        <v/>
      </c>
      <c r="E72" s="19" t="str">
        <f aca="false">IF($A72="","",INDEX(Apparitions!$C$1:$C$5001,$A72)&amp;"")</f>
        <v/>
      </c>
      <c r="F72" s="19" t="str">
        <f aca="false">IF($A72="","",INDEX(Apparitions!$H$1:$H$5001,$A72)&amp;"")</f>
        <v/>
      </c>
      <c r="G72" s="19" t="str">
        <f aca="false">IF($A72="","",INDEX(Apparitions!$I$1:$I$5001,$A72)&amp;"")</f>
        <v/>
      </c>
      <c r="H72" s="19" t="str">
        <f aca="false">IF($A72="","",INDEX(Apparitions!$J$1:$J$5001,$A72)&amp;"")</f>
        <v/>
      </c>
      <c r="I72" s="19" t="str">
        <f aca="false">IF($A72="","",INDEX(Apparitions!$G$1:$G$5001,$A72)&amp;"")</f>
        <v/>
      </c>
      <c r="J72" s="19" t="str">
        <f aca="false">IF($A72="","",INDEX(Apparitions!$M$1:$M$5001,$A72)&amp;"")</f>
        <v/>
      </c>
      <c r="K72" s="21" t="str">
        <f aca="false">IF($A72="","",INDEX(Apparitions!$K$1:$K$5001,$A72))</f>
        <v/>
      </c>
      <c r="L72" s="22" t="str">
        <f aca="false">IF($A72="","",INDEX(Apparitions!$E$1:$E$5001,$A72)&amp;"")</f>
        <v/>
      </c>
      <c r="M72" s="19" t="str">
        <f aca="false">IF($A72="","",INDEX(Apparitions!$F$1:$F$5001,$A72)&amp;"")</f>
        <v/>
      </c>
      <c r="O72" s="23" t="n">
        <f aca="false">IF(I72="",0,IF(COUNTIF(I$16:I72,I72)=1,1,0))</f>
        <v>0</v>
      </c>
      <c r="P72" s="23" t="n">
        <f aca="false">IF(F72="",0,IF(COUNTIF(F$16:F72,F72)=1,1,0))</f>
        <v>0</v>
      </c>
      <c r="Q72" s="0" t="str">
        <f aca="false">IF(B72="","",B72&amp;"|"&amp;C72)</f>
        <v/>
      </c>
      <c r="R72" s="23" t="n">
        <f aca="false">IF(Q72="",0,IF(COUNTIF(Q$16:Q72,Q72)=1,1,0))</f>
        <v>0</v>
      </c>
    </row>
    <row r="73" customFormat="false" ht="15" hidden="false" customHeight="false" outlineLevel="0" collapsed="false">
      <c r="A73" s="0" t="str">
        <f aca="false">IFERROR(MATCH(58,Apparitions!$N$1:$N$5001,0),"")</f>
        <v/>
      </c>
      <c r="B73" s="19" t="str">
        <f aca="false">IF($A73="","",INDEX(Apparitions!$A$1:$A$5001,$A73)&amp;"")</f>
        <v/>
      </c>
      <c r="C73" s="19" t="str">
        <f aca="false">IF($A73="","",INDEX(Apparitions!$B$1:$B$5001,$A73)&amp;"")</f>
        <v/>
      </c>
      <c r="D73" s="20" t="str">
        <f aca="false">IF($A73="","",INDEX(Apparitions!$L$1:$L$5001,$A73))</f>
        <v/>
      </c>
      <c r="E73" s="19" t="str">
        <f aca="false">IF($A73="","",INDEX(Apparitions!$C$1:$C$5001,$A73)&amp;"")</f>
        <v/>
      </c>
      <c r="F73" s="19" t="str">
        <f aca="false">IF($A73="","",INDEX(Apparitions!$H$1:$H$5001,$A73)&amp;"")</f>
        <v/>
      </c>
      <c r="G73" s="19" t="str">
        <f aca="false">IF($A73="","",INDEX(Apparitions!$I$1:$I$5001,$A73)&amp;"")</f>
        <v/>
      </c>
      <c r="H73" s="19" t="str">
        <f aca="false">IF($A73="","",INDEX(Apparitions!$J$1:$J$5001,$A73)&amp;"")</f>
        <v/>
      </c>
      <c r="I73" s="19" t="str">
        <f aca="false">IF($A73="","",INDEX(Apparitions!$G$1:$G$5001,$A73)&amp;"")</f>
        <v/>
      </c>
      <c r="J73" s="19" t="str">
        <f aca="false">IF($A73="","",INDEX(Apparitions!$M$1:$M$5001,$A73)&amp;"")</f>
        <v/>
      </c>
      <c r="K73" s="21" t="str">
        <f aca="false">IF($A73="","",INDEX(Apparitions!$K$1:$K$5001,$A73))</f>
        <v/>
      </c>
      <c r="L73" s="22" t="str">
        <f aca="false">IF($A73="","",INDEX(Apparitions!$E$1:$E$5001,$A73)&amp;"")</f>
        <v/>
      </c>
      <c r="M73" s="19" t="str">
        <f aca="false">IF($A73="","",INDEX(Apparitions!$F$1:$F$5001,$A73)&amp;"")</f>
        <v/>
      </c>
      <c r="O73" s="23" t="n">
        <f aca="false">IF(I73="",0,IF(COUNTIF(I$16:I73,I73)=1,1,0))</f>
        <v>0</v>
      </c>
      <c r="P73" s="23" t="n">
        <f aca="false">IF(F73="",0,IF(COUNTIF(F$16:F73,F73)=1,1,0))</f>
        <v>0</v>
      </c>
      <c r="Q73" s="0" t="str">
        <f aca="false">IF(B73="","",B73&amp;"|"&amp;C73)</f>
        <v/>
      </c>
      <c r="R73" s="23" t="n">
        <f aca="false">IF(Q73="",0,IF(COUNTIF(Q$16:Q73,Q73)=1,1,0))</f>
        <v>0</v>
      </c>
    </row>
    <row r="74" customFormat="false" ht="15" hidden="false" customHeight="false" outlineLevel="0" collapsed="false">
      <c r="A74" s="0" t="str">
        <f aca="false">IFERROR(MATCH(59,Apparitions!$N$1:$N$5001,0),"")</f>
        <v/>
      </c>
      <c r="B74" s="19" t="str">
        <f aca="false">IF($A74="","",INDEX(Apparitions!$A$1:$A$5001,$A74)&amp;"")</f>
        <v/>
      </c>
      <c r="C74" s="19" t="str">
        <f aca="false">IF($A74="","",INDEX(Apparitions!$B$1:$B$5001,$A74)&amp;"")</f>
        <v/>
      </c>
      <c r="D74" s="20" t="str">
        <f aca="false">IF($A74="","",INDEX(Apparitions!$L$1:$L$5001,$A74))</f>
        <v/>
      </c>
      <c r="E74" s="19" t="str">
        <f aca="false">IF($A74="","",INDEX(Apparitions!$C$1:$C$5001,$A74)&amp;"")</f>
        <v/>
      </c>
      <c r="F74" s="19" t="str">
        <f aca="false">IF($A74="","",INDEX(Apparitions!$H$1:$H$5001,$A74)&amp;"")</f>
        <v/>
      </c>
      <c r="G74" s="19" t="str">
        <f aca="false">IF($A74="","",INDEX(Apparitions!$I$1:$I$5001,$A74)&amp;"")</f>
        <v/>
      </c>
      <c r="H74" s="19" t="str">
        <f aca="false">IF($A74="","",INDEX(Apparitions!$J$1:$J$5001,$A74)&amp;"")</f>
        <v/>
      </c>
      <c r="I74" s="19" t="str">
        <f aca="false">IF($A74="","",INDEX(Apparitions!$G$1:$G$5001,$A74)&amp;"")</f>
        <v/>
      </c>
      <c r="J74" s="19" t="str">
        <f aca="false">IF($A74="","",INDEX(Apparitions!$M$1:$M$5001,$A74)&amp;"")</f>
        <v/>
      </c>
      <c r="K74" s="21" t="str">
        <f aca="false">IF($A74="","",INDEX(Apparitions!$K$1:$K$5001,$A74))</f>
        <v/>
      </c>
      <c r="L74" s="22" t="str">
        <f aca="false">IF($A74="","",INDEX(Apparitions!$E$1:$E$5001,$A74)&amp;"")</f>
        <v/>
      </c>
      <c r="M74" s="19" t="str">
        <f aca="false">IF($A74="","",INDEX(Apparitions!$F$1:$F$5001,$A74)&amp;"")</f>
        <v/>
      </c>
      <c r="O74" s="23" t="n">
        <f aca="false">IF(I74="",0,IF(COUNTIF(I$16:I74,I74)=1,1,0))</f>
        <v>0</v>
      </c>
      <c r="P74" s="23" t="n">
        <f aca="false">IF(F74="",0,IF(COUNTIF(F$16:F74,F74)=1,1,0))</f>
        <v>0</v>
      </c>
      <c r="Q74" s="0" t="str">
        <f aca="false">IF(B74="","",B74&amp;"|"&amp;C74)</f>
        <v/>
      </c>
      <c r="R74" s="23" t="n">
        <f aca="false">IF(Q74="",0,IF(COUNTIF(Q$16:Q74,Q74)=1,1,0))</f>
        <v>0</v>
      </c>
    </row>
    <row r="75" customFormat="false" ht="15" hidden="false" customHeight="false" outlineLevel="0" collapsed="false">
      <c r="A75" s="0" t="str">
        <f aca="false">IFERROR(MATCH(60,Apparitions!$N$1:$N$5001,0),"")</f>
        <v/>
      </c>
      <c r="B75" s="19" t="str">
        <f aca="false">IF($A75="","",INDEX(Apparitions!$A$1:$A$5001,$A75)&amp;"")</f>
        <v/>
      </c>
      <c r="C75" s="19" t="str">
        <f aca="false">IF($A75="","",INDEX(Apparitions!$B$1:$B$5001,$A75)&amp;"")</f>
        <v/>
      </c>
      <c r="D75" s="20" t="str">
        <f aca="false">IF($A75="","",INDEX(Apparitions!$L$1:$L$5001,$A75))</f>
        <v/>
      </c>
      <c r="E75" s="19" t="str">
        <f aca="false">IF($A75="","",INDEX(Apparitions!$C$1:$C$5001,$A75)&amp;"")</f>
        <v/>
      </c>
      <c r="F75" s="19" t="str">
        <f aca="false">IF($A75="","",INDEX(Apparitions!$H$1:$H$5001,$A75)&amp;"")</f>
        <v/>
      </c>
      <c r="G75" s="19" t="str">
        <f aca="false">IF($A75="","",INDEX(Apparitions!$I$1:$I$5001,$A75)&amp;"")</f>
        <v/>
      </c>
      <c r="H75" s="19" t="str">
        <f aca="false">IF($A75="","",INDEX(Apparitions!$J$1:$J$5001,$A75)&amp;"")</f>
        <v/>
      </c>
      <c r="I75" s="19" t="str">
        <f aca="false">IF($A75="","",INDEX(Apparitions!$G$1:$G$5001,$A75)&amp;"")</f>
        <v/>
      </c>
      <c r="J75" s="19" t="str">
        <f aca="false">IF($A75="","",INDEX(Apparitions!$M$1:$M$5001,$A75)&amp;"")</f>
        <v/>
      </c>
      <c r="K75" s="21" t="str">
        <f aca="false">IF($A75="","",INDEX(Apparitions!$K$1:$K$5001,$A75))</f>
        <v/>
      </c>
      <c r="L75" s="22" t="str">
        <f aca="false">IF($A75="","",INDEX(Apparitions!$E$1:$E$5001,$A75)&amp;"")</f>
        <v/>
      </c>
      <c r="M75" s="19" t="str">
        <f aca="false">IF($A75="","",INDEX(Apparitions!$F$1:$F$5001,$A75)&amp;"")</f>
        <v/>
      </c>
      <c r="O75" s="23" t="n">
        <f aca="false">IF(I75="",0,IF(COUNTIF(I$16:I75,I75)=1,1,0))</f>
        <v>0</v>
      </c>
      <c r="P75" s="23" t="n">
        <f aca="false">IF(F75="",0,IF(COUNTIF(F$16:F75,F75)=1,1,0))</f>
        <v>0</v>
      </c>
      <c r="Q75" s="0" t="str">
        <f aca="false">IF(B75="","",B75&amp;"|"&amp;C75)</f>
        <v/>
      </c>
      <c r="R75" s="23" t="n">
        <f aca="false">IF(Q75="",0,IF(COUNTIF(Q$16:Q75,Q75)=1,1,0))</f>
        <v>0</v>
      </c>
    </row>
    <row r="76" customFormat="false" ht="15" hidden="false" customHeight="false" outlineLevel="0" collapsed="false">
      <c r="A76" s="0" t="str">
        <f aca="false">IFERROR(MATCH(61,Apparitions!$N$1:$N$5001,0),"")</f>
        <v/>
      </c>
      <c r="B76" s="19" t="str">
        <f aca="false">IF($A76="","",INDEX(Apparitions!$A$1:$A$5001,$A76)&amp;"")</f>
        <v/>
      </c>
      <c r="C76" s="19" t="str">
        <f aca="false">IF($A76="","",INDEX(Apparitions!$B$1:$B$5001,$A76)&amp;"")</f>
        <v/>
      </c>
      <c r="D76" s="20" t="str">
        <f aca="false">IF($A76="","",INDEX(Apparitions!$L$1:$L$5001,$A76))</f>
        <v/>
      </c>
      <c r="E76" s="19" t="str">
        <f aca="false">IF($A76="","",INDEX(Apparitions!$C$1:$C$5001,$A76)&amp;"")</f>
        <v/>
      </c>
      <c r="F76" s="19" t="str">
        <f aca="false">IF($A76="","",INDEX(Apparitions!$H$1:$H$5001,$A76)&amp;"")</f>
        <v/>
      </c>
      <c r="G76" s="19" t="str">
        <f aca="false">IF($A76="","",INDEX(Apparitions!$I$1:$I$5001,$A76)&amp;"")</f>
        <v/>
      </c>
      <c r="H76" s="19" t="str">
        <f aca="false">IF($A76="","",INDEX(Apparitions!$J$1:$J$5001,$A76)&amp;"")</f>
        <v/>
      </c>
      <c r="I76" s="19" t="str">
        <f aca="false">IF($A76="","",INDEX(Apparitions!$G$1:$G$5001,$A76)&amp;"")</f>
        <v/>
      </c>
      <c r="J76" s="19" t="str">
        <f aca="false">IF($A76="","",INDEX(Apparitions!$M$1:$M$5001,$A76)&amp;"")</f>
        <v/>
      </c>
      <c r="K76" s="21" t="str">
        <f aca="false">IF($A76="","",INDEX(Apparitions!$K$1:$K$5001,$A76))</f>
        <v/>
      </c>
      <c r="L76" s="22" t="str">
        <f aca="false">IF($A76="","",INDEX(Apparitions!$E$1:$E$5001,$A76)&amp;"")</f>
        <v/>
      </c>
      <c r="M76" s="19" t="str">
        <f aca="false">IF($A76="","",INDEX(Apparitions!$F$1:$F$5001,$A76)&amp;"")</f>
        <v/>
      </c>
      <c r="O76" s="23" t="n">
        <f aca="false">IF(I76="",0,IF(COUNTIF(I$16:I76,I76)=1,1,0))</f>
        <v>0</v>
      </c>
      <c r="P76" s="23" t="n">
        <f aca="false">IF(F76="",0,IF(COUNTIF(F$16:F76,F76)=1,1,0))</f>
        <v>0</v>
      </c>
      <c r="Q76" s="0" t="str">
        <f aca="false">IF(B76="","",B76&amp;"|"&amp;C76)</f>
        <v/>
      </c>
      <c r="R76" s="23" t="n">
        <f aca="false">IF(Q76="",0,IF(COUNTIF(Q$16:Q76,Q76)=1,1,0))</f>
        <v>0</v>
      </c>
    </row>
    <row r="77" customFormat="false" ht="15" hidden="false" customHeight="false" outlineLevel="0" collapsed="false">
      <c r="A77" s="0" t="str">
        <f aca="false">IFERROR(MATCH(62,Apparitions!$N$1:$N$5001,0),"")</f>
        <v/>
      </c>
      <c r="B77" s="19" t="str">
        <f aca="false">IF($A77="","",INDEX(Apparitions!$A$1:$A$5001,$A77)&amp;"")</f>
        <v/>
      </c>
      <c r="C77" s="19" t="str">
        <f aca="false">IF($A77="","",INDEX(Apparitions!$B$1:$B$5001,$A77)&amp;"")</f>
        <v/>
      </c>
      <c r="D77" s="20" t="str">
        <f aca="false">IF($A77="","",INDEX(Apparitions!$L$1:$L$5001,$A77))</f>
        <v/>
      </c>
      <c r="E77" s="19" t="str">
        <f aca="false">IF($A77="","",INDEX(Apparitions!$C$1:$C$5001,$A77)&amp;"")</f>
        <v/>
      </c>
      <c r="F77" s="19" t="str">
        <f aca="false">IF($A77="","",INDEX(Apparitions!$H$1:$H$5001,$A77)&amp;"")</f>
        <v/>
      </c>
      <c r="G77" s="19" t="str">
        <f aca="false">IF($A77="","",INDEX(Apparitions!$I$1:$I$5001,$A77)&amp;"")</f>
        <v/>
      </c>
      <c r="H77" s="19" t="str">
        <f aca="false">IF($A77="","",INDEX(Apparitions!$J$1:$J$5001,$A77)&amp;"")</f>
        <v/>
      </c>
      <c r="I77" s="19" t="str">
        <f aca="false">IF($A77="","",INDEX(Apparitions!$G$1:$G$5001,$A77)&amp;"")</f>
        <v/>
      </c>
      <c r="J77" s="19" t="str">
        <f aca="false">IF($A77="","",INDEX(Apparitions!$M$1:$M$5001,$A77)&amp;"")</f>
        <v/>
      </c>
      <c r="K77" s="21" t="str">
        <f aca="false">IF($A77="","",INDEX(Apparitions!$K$1:$K$5001,$A77))</f>
        <v/>
      </c>
      <c r="L77" s="22" t="str">
        <f aca="false">IF($A77="","",INDEX(Apparitions!$E$1:$E$5001,$A77)&amp;"")</f>
        <v/>
      </c>
      <c r="M77" s="19" t="str">
        <f aca="false">IF($A77="","",INDEX(Apparitions!$F$1:$F$5001,$A77)&amp;"")</f>
        <v/>
      </c>
      <c r="O77" s="23" t="n">
        <f aca="false">IF(I77="",0,IF(COUNTIF(I$16:I77,I77)=1,1,0))</f>
        <v>0</v>
      </c>
      <c r="P77" s="23" t="n">
        <f aca="false">IF(F77="",0,IF(COUNTIF(F$16:F77,F77)=1,1,0))</f>
        <v>0</v>
      </c>
      <c r="Q77" s="0" t="str">
        <f aca="false">IF(B77="","",B77&amp;"|"&amp;C77)</f>
        <v/>
      </c>
      <c r="R77" s="23" t="n">
        <f aca="false">IF(Q77="",0,IF(COUNTIF(Q$16:Q77,Q77)=1,1,0))</f>
        <v>0</v>
      </c>
    </row>
    <row r="78" customFormat="false" ht="15" hidden="false" customHeight="false" outlineLevel="0" collapsed="false">
      <c r="A78" s="0" t="str">
        <f aca="false">IFERROR(MATCH(63,Apparitions!$N$1:$N$5001,0),"")</f>
        <v/>
      </c>
      <c r="B78" s="19" t="str">
        <f aca="false">IF($A78="","",INDEX(Apparitions!$A$1:$A$5001,$A78)&amp;"")</f>
        <v/>
      </c>
      <c r="C78" s="19" t="str">
        <f aca="false">IF($A78="","",INDEX(Apparitions!$B$1:$B$5001,$A78)&amp;"")</f>
        <v/>
      </c>
      <c r="D78" s="20" t="str">
        <f aca="false">IF($A78="","",INDEX(Apparitions!$L$1:$L$5001,$A78))</f>
        <v/>
      </c>
      <c r="E78" s="19" t="str">
        <f aca="false">IF($A78="","",INDEX(Apparitions!$C$1:$C$5001,$A78)&amp;"")</f>
        <v/>
      </c>
      <c r="F78" s="19" t="str">
        <f aca="false">IF($A78="","",INDEX(Apparitions!$H$1:$H$5001,$A78)&amp;"")</f>
        <v/>
      </c>
      <c r="G78" s="19" t="str">
        <f aca="false">IF($A78="","",INDEX(Apparitions!$I$1:$I$5001,$A78)&amp;"")</f>
        <v/>
      </c>
      <c r="H78" s="19" t="str">
        <f aca="false">IF($A78="","",INDEX(Apparitions!$J$1:$J$5001,$A78)&amp;"")</f>
        <v/>
      </c>
      <c r="I78" s="19" t="str">
        <f aca="false">IF($A78="","",INDEX(Apparitions!$G$1:$G$5001,$A78)&amp;"")</f>
        <v/>
      </c>
      <c r="J78" s="19" t="str">
        <f aca="false">IF($A78="","",INDEX(Apparitions!$M$1:$M$5001,$A78)&amp;"")</f>
        <v/>
      </c>
      <c r="K78" s="21" t="str">
        <f aca="false">IF($A78="","",INDEX(Apparitions!$K$1:$K$5001,$A78))</f>
        <v/>
      </c>
      <c r="L78" s="22" t="str">
        <f aca="false">IF($A78="","",INDEX(Apparitions!$E$1:$E$5001,$A78)&amp;"")</f>
        <v/>
      </c>
      <c r="M78" s="19" t="str">
        <f aca="false">IF($A78="","",INDEX(Apparitions!$F$1:$F$5001,$A78)&amp;"")</f>
        <v/>
      </c>
      <c r="O78" s="23" t="n">
        <f aca="false">IF(I78="",0,IF(COUNTIF(I$16:I78,I78)=1,1,0))</f>
        <v>0</v>
      </c>
      <c r="P78" s="23" t="n">
        <f aca="false">IF(F78="",0,IF(COUNTIF(F$16:F78,F78)=1,1,0))</f>
        <v>0</v>
      </c>
      <c r="Q78" s="0" t="str">
        <f aca="false">IF(B78="","",B78&amp;"|"&amp;C78)</f>
        <v/>
      </c>
      <c r="R78" s="23" t="n">
        <f aca="false">IF(Q78="",0,IF(COUNTIF(Q$16:Q78,Q78)=1,1,0))</f>
        <v>0</v>
      </c>
    </row>
    <row r="79" customFormat="false" ht="15" hidden="false" customHeight="false" outlineLevel="0" collapsed="false">
      <c r="A79" s="0" t="str">
        <f aca="false">IFERROR(MATCH(64,Apparitions!$N$1:$N$5001,0),"")</f>
        <v/>
      </c>
      <c r="B79" s="19" t="str">
        <f aca="false">IF($A79="","",INDEX(Apparitions!$A$1:$A$5001,$A79)&amp;"")</f>
        <v/>
      </c>
      <c r="C79" s="19" t="str">
        <f aca="false">IF($A79="","",INDEX(Apparitions!$B$1:$B$5001,$A79)&amp;"")</f>
        <v/>
      </c>
      <c r="D79" s="20" t="str">
        <f aca="false">IF($A79="","",INDEX(Apparitions!$L$1:$L$5001,$A79))</f>
        <v/>
      </c>
      <c r="E79" s="19" t="str">
        <f aca="false">IF($A79="","",INDEX(Apparitions!$C$1:$C$5001,$A79)&amp;"")</f>
        <v/>
      </c>
      <c r="F79" s="19" t="str">
        <f aca="false">IF($A79="","",INDEX(Apparitions!$H$1:$H$5001,$A79)&amp;"")</f>
        <v/>
      </c>
      <c r="G79" s="19" t="str">
        <f aca="false">IF($A79="","",INDEX(Apparitions!$I$1:$I$5001,$A79)&amp;"")</f>
        <v/>
      </c>
      <c r="H79" s="19" t="str">
        <f aca="false">IF($A79="","",INDEX(Apparitions!$J$1:$J$5001,$A79)&amp;"")</f>
        <v/>
      </c>
      <c r="I79" s="19" t="str">
        <f aca="false">IF($A79="","",INDEX(Apparitions!$G$1:$G$5001,$A79)&amp;"")</f>
        <v/>
      </c>
      <c r="J79" s="19" t="str">
        <f aca="false">IF($A79="","",INDEX(Apparitions!$M$1:$M$5001,$A79)&amp;"")</f>
        <v/>
      </c>
      <c r="K79" s="21" t="str">
        <f aca="false">IF($A79="","",INDEX(Apparitions!$K$1:$K$5001,$A79))</f>
        <v/>
      </c>
      <c r="L79" s="22" t="str">
        <f aca="false">IF($A79="","",INDEX(Apparitions!$E$1:$E$5001,$A79)&amp;"")</f>
        <v/>
      </c>
      <c r="M79" s="19" t="str">
        <f aca="false">IF($A79="","",INDEX(Apparitions!$F$1:$F$5001,$A79)&amp;"")</f>
        <v/>
      </c>
      <c r="O79" s="23" t="n">
        <f aca="false">IF(I79="",0,IF(COUNTIF(I$16:I79,I79)=1,1,0))</f>
        <v>0</v>
      </c>
      <c r="P79" s="23" t="n">
        <f aca="false">IF(F79="",0,IF(COUNTIF(F$16:F79,F79)=1,1,0))</f>
        <v>0</v>
      </c>
      <c r="Q79" s="0" t="str">
        <f aca="false">IF(B79="","",B79&amp;"|"&amp;C79)</f>
        <v/>
      </c>
      <c r="R79" s="23" t="n">
        <f aca="false">IF(Q79="",0,IF(COUNTIF(Q$16:Q79,Q79)=1,1,0))</f>
        <v>0</v>
      </c>
    </row>
    <row r="80" customFormat="false" ht="15" hidden="false" customHeight="false" outlineLevel="0" collapsed="false">
      <c r="A80" s="0" t="str">
        <f aca="false">IFERROR(MATCH(65,Apparitions!$N$1:$N$5001,0),"")</f>
        <v/>
      </c>
      <c r="B80" s="19" t="str">
        <f aca="false">IF($A80="","",INDEX(Apparitions!$A$1:$A$5001,$A80)&amp;"")</f>
        <v/>
      </c>
      <c r="C80" s="19" t="str">
        <f aca="false">IF($A80="","",INDEX(Apparitions!$B$1:$B$5001,$A80)&amp;"")</f>
        <v/>
      </c>
      <c r="D80" s="20" t="str">
        <f aca="false">IF($A80="","",INDEX(Apparitions!$L$1:$L$5001,$A80))</f>
        <v/>
      </c>
      <c r="E80" s="19" t="str">
        <f aca="false">IF($A80="","",INDEX(Apparitions!$C$1:$C$5001,$A80)&amp;"")</f>
        <v/>
      </c>
      <c r="F80" s="19" t="str">
        <f aca="false">IF($A80="","",INDEX(Apparitions!$H$1:$H$5001,$A80)&amp;"")</f>
        <v/>
      </c>
      <c r="G80" s="19" t="str">
        <f aca="false">IF($A80="","",INDEX(Apparitions!$I$1:$I$5001,$A80)&amp;"")</f>
        <v/>
      </c>
      <c r="H80" s="19" t="str">
        <f aca="false">IF($A80="","",INDEX(Apparitions!$J$1:$J$5001,$A80)&amp;"")</f>
        <v/>
      </c>
      <c r="I80" s="19" t="str">
        <f aca="false">IF($A80="","",INDEX(Apparitions!$G$1:$G$5001,$A80)&amp;"")</f>
        <v/>
      </c>
      <c r="J80" s="19" t="str">
        <f aca="false">IF($A80="","",INDEX(Apparitions!$M$1:$M$5001,$A80)&amp;"")</f>
        <v/>
      </c>
      <c r="K80" s="21" t="str">
        <f aca="false">IF($A80="","",INDEX(Apparitions!$K$1:$K$5001,$A80))</f>
        <v/>
      </c>
      <c r="L80" s="22" t="str">
        <f aca="false">IF($A80="","",INDEX(Apparitions!$E$1:$E$5001,$A80)&amp;"")</f>
        <v/>
      </c>
      <c r="M80" s="19" t="str">
        <f aca="false">IF($A80="","",INDEX(Apparitions!$F$1:$F$5001,$A80)&amp;"")</f>
        <v/>
      </c>
      <c r="O80" s="23" t="n">
        <f aca="false">IF(I80="",0,IF(COUNTIF(I$16:I80,I80)=1,1,0))</f>
        <v>0</v>
      </c>
      <c r="P80" s="23" t="n">
        <f aca="false">IF(F80="",0,IF(COUNTIF(F$16:F80,F80)=1,1,0))</f>
        <v>0</v>
      </c>
      <c r="Q80" s="0" t="str">
        <f aca="false">IF(B80="","",B80&amp;"|"&amp;C80)</f>
        <v/>
      </c>
      <c r="R80" s="23" t="n">
        <f aca="false">IF(Q80="",0,IF(COUNTIF(Q$16:Q80,Q80)=1,1,0))</f>
        <v>0</v>
      </c>
    </row>
    <row r="81" customFormat="false" ht="15" hidden="false" customHeight="false" outlineLevel="0" collapsed="false">
      <c r="A81" s="0" t="str">
        <f aca="false">IFERROR(MATCH(66,Apparitions!$N$1:$N$5001,0),"")</f>
        <v/>
      </c>
      <c r="B81" s="19" t="str">
        <f aca="false">IF($A81="","",INDEX(Apparitions!$A$1:$A$5001,$A81)&amp;"")</f>
        <v/>
      </c>
      <c r="C81" s="19" t="str">
        <f aca="false">IF($A81="","",INDEX(Apparitions!$B$1:$B$5001,$A81)&amp;"")</f>
        <v/>
      </c>
      <c r="D81" s="20" t="str">
        <f aca="false">IF($A81="","",INDEX(Apparitions!$L$1:$L$5001,$A81))</f>
        <v/>
      </c>
      <c r="E81" s="19" t="str">
        <f aca="false">IF($A81="","",INDEX(Apparitions!$C$1:$C$5001,$A81)&amp;"")</f>
        <v/>
      </c>
      <c r="F81" s="19" t="str">
        <f aca="false">IF($A81="","",INDEX(Apparitions!$H$1:$H$5001,$A81)&amp;"")</f>
        <v/>
      </c>
      <c r="G81" s="19" t="str">
        <f aca="false">IF($A81="","",INDEX(Apparitions!$I$1:$I$5001,$A81)&amp;"")</f>
        <v/>
      </c>
      <c r="H81" s="19" t="str">
        <f aca="false">IF($A81="","",INDEX(Apparitions!$J$1:$J$5001,$A81)&amp;"")</f>
        <v/>
      </c>
      <c r="I81" s="19" t="str">
        <f aca="false">IF($A81="","",INDEX(Apparitions!$G$1:$G$5001,$A81)&amp;"")</f>
        <v/>
      </c>
      <c r="J81" s="19" t="str">
        <f aca="false">IF($A81="","",INDEX(Apparitions!$M$1:$M$5001,$A81)&amp;"")</f>
        <v/>
      </c>
      <c r="K81" s="21" t="str">
        <f aca="false">IF($A81="","",INDEX(Apparitions!$K$1:$K$5001,$A81))</f>
        <v/>
      </c>
      <c r="L81" s="22" t="str">
        <f aca="false">IF($A81="","",INDEX(Apparitions!$E$1:$E$5001,$A81)&amp;"")</f>
        <v/>
      </c>
      <c r="M81" s="19" t="str">
        <f aca="false">IF($A81="","",INDEX(Apparitions!$F$1:$F$5001,$A81)&amp;"")</f>
        <v/>
      </c>
      <c r="O81" s="23" t="n">
        <f aca="false">IF(I81="",0,IF(COUNTIF(I$16:I81,I81)=1,1,0))</f>
        <v>0</v>
      </c>
      <c r="P81" s="23" t="n">
        <f aca="false">IF(F81="",0,IF(COUNTIF(F$16:F81,F81)=1,1,0))</f>
        <v>0</v>
      </c>
      <c r="Q81" s="0" t="str">
        <f aca="false">IF(B81="","",B81&amp;"|"&amp;C81)</f>
        <v/>
      </c>
      <c r="R81" s="23" t="n">
        <f aca="false">IF(Q81="",0,IF(COUNTIF(Q$16:Q81,Q81)=1,1,0))</f>
        <v>0</v>
      </c>
    </row>
    <row r="82" customFormat="false" ht="15" hidden="false" customHeight="false" outlineLevel="0" collapsed="false">
      <c r="A82" s="0" t="str">
        <f aca="false">IFERROR(MATCH(67,Apparitions!$N$1:$N$5001,0),"")</f>
        <v/>
      </c>
      <c r="B82" s="19" t="str">
        <f aca="false">IF($A82="","",INDEX(Apparitions!$A$1:$A$5001,$A82)&amp;"")</f>
        <v/>
      </c>
      <c r="C82" s="19" t="str">
        <f aca="false">IF($A82="","",INDEX(Apparitions!$B$1:$B$5001,$A82)&amp;"")</f>
        <v/>
      </c>
      <c r="D82" s="20" t="str">
        <f aca="false">IF($A82="","",INDEX(Apparitions!$L$1:$L$5001,$A82))</f>
        <v/>
      </c>
      <c r="E82" s="19" t="str">
        <f aca="false">IF($A82="","",INDEX(Apparitions!$C$1:$C$5001,$A82)&amp;"")</f>
        <v/>
      </c>
      <c r="F82" s="19" t="str">
        <f aca="false">IF($A82="","",INDEX(Apparitions!$H$1:$H$5001,$A82)&amp;"")</f>
        <v/>
      </c>
      <c r="G82" s="19" t="str">
        <f aca="false">IF($A82="","",INDEX(Apparitions!$I$1:$I$5001,$A82)&amp;"")</f>
        <v/>
      </c>
      <c r="H82" s="19" t="str">
        <f aca="false">IF($A82="","",INDEX(Apparitions!$J$1:$J$5001,$A82)&amp;"")</f>
        <v/>
      </c>
      <c r="I82" s="19" t="str">
        <f aca="false">IF($A82="","",INDEX(Apparitions!$G$1:$G$5001,$A82)&amp;"")</f>
        <v/>
      </c>
      <c r="J82" s="19" t="str">
        <f aca="false">IF($A82="","",INDEX(Apparitions!$M$1:$M$5001,$A82)&amp;"")</f>
        <v/>
      </c>
      <c r="K82" s="21" t="str">
        <f aca="false">IF($A82="","",INDEX(Apparitions!$K$1:$K$5001,$A82))</f>
        <v/>
      </c>
      <c r="L82" s="22" t="str">
        <f aca="false">IF($A82="","",INDEX(Apparitions!$E$1:$E$5001,$A82)&amp;"")</f>
        <v/>
      </c>
      <c r="M82" s="19" t="str">
        <f aca="false">IF($A82="","",INDEX(Apparitions!$F$1:$F$5001,$A82)&amp;"")</f>
        <v/>
      </c>
      <c r="O82" s="23" t="n">
        <f aca="false">IF(I82="",0,IF(COUNTIF(I$16:I82,I82)=1,1,0))</f>
        <v>0</v>
      </c>
      <c r="P82" s="23" t="n">
        <f aca="false">IF(F82="",0,IF(COUNTIF(F$16:F82,F82)=1,1,0))</f>
        <v>0</v>
      </c>
      <c r="Q82" s="0" t="str">
        <f aca="false">IF(B82="","",B82&amp;"|"&amp;C82)</f>
        <v/>
      </c>
      <c r="R82" s="23" t="n">
        <f aca="false">IF(Q82="",0,IF(COUNTIF(Q$16:Q82,Q82)=1,1,0))</f>
        <v>0</v>
      </c>
    </row>
    <row r="83" customFormat="false" ht="15" hidden="false" customHeight="false" outlineLevel="0" collapsed="false">
      <c r="A83" s="0" t="str">
        <f aca="false">IFERROR(MATCH(68,Apparitions!$N$1:$N$5001,0),"")</f>
        <v/>
      </c>
      <c r="B83" s="19" t="str">
        <f aca="false">IF($A83="","",INDEX(Apparitions!$A$1:$A$5001,$A83)&amp;"")</f>
        <v/>
      </c>
      <c r="C83" s="19" t="str">
        <f aca="false">IF($A83="","",INDEX(Apparitions!$B$1:$B$5001,$A83)&amp;"")</f>
        <v/>
      </c>
      <c r="D83" s="20" t="str">
        <f aca="false">IF($A83="","",INDEX(Apparitions!$L$1:$L$5001,$A83))</f>
        <v/>
      </c>
      <c r="E83" s="19" t="str">
        <f aca="false">IF($A83="","",INDEX(Apparitions!$C$1:$C$5001,$A83)&amp;"")</f>
        <v/>
      </c>
      <c r="F83" s="19" t="str">
        <f aca="false">IF($A83="","",INDEX(Apparitions!$H$1:$H$5001,$A83)&amp;"")</f>
        <v/>
      </c>
      <c r="G83" s="19" t="str">
        <f aca="false">IF($A83="","",INDEX(Apparitions!$I$1:$I$5001,$A83)&amp;"")</f>
        <v/>
      </c>
      <c r="H83" s="19" t="str">
        <f aca="false">IF($A83="","",INDEX(Apparitions!$J$1:$J$5001,$A83)&amp;"")</f>
        <v/>
      </c>
      <c r="I83" s="19" t="str">
        <f aca="false">IF($A83="","",INDEX(Apparitions!$G$1:$G$5001,$A83)&amp;"")</f>
        <v/>
      </c>
      <c r="J83" s="19" t="str">
        <f aca="false">IF($A83="","",INDEX(Apparitions!$M$1:$M$5001,$A83)&amp;"")</f>
        <v/>
      </c>
      <c r="K83" s="21" t="str">
        <f aca="false">IF($A83="","",INDEX(Apparitions!$K$1:$K$5001,$A83))</f>
        <v/>
      </c>
      <c r="L83" s="22" t="str">
        <f aca="false">IF($A83="","",INDEX(Apparitions!$E$1:$E$5001,$A83)&amp;"")</f>
        <v/>
      </c>
      <c r="M83" s="19" t="str">
        <f aca="false">IF($A83="","",INDEX(Apparitions!$F$1:$F$5001,$A83)&amp;"")</f>
        <v/>
      </c>
      <c r="O83" s="23" t="n">
        <f aca="false">IF(I83="",0,IF(COUNTIF(I$16:I83,I83)=1,1,0))</f>
        <v>0</v>
      </c>
      <c r="P83" s="23" t="n">
        <f aca="false">IF(F83="",0,IF(COUNTIF(F$16:F83,F83)=1,1,0))</f>
        <v>0</v>
      </c>
      <c r="Q83" s="0" t="str">
        <f aca="false">IF(B83="","",B83&amp;"|"&amp;C83)</f>
        <v/>
      </c>
      <c r="R83" s="23" t="n">
        <f aca="false">IF(Q83="",0,IF(COUNTIF(Q$16:Q83,Q83)=1,1,0))</f>
        <v>0</v>
      </c>
    </row>
    <row r="84" customFormat="false" ht="15" hidden="false" customHeight="false" outlineLevel="0" collapsed="false">
      <c r="A84" s="0" t="str">
        <f aca="false">IFERROR(MATCH(69,Apparitions!$N$1:$N$5001,0),"")</f>
        <v/>
      </c>
      <c r="B84" s="19" t="str">
        <f aca="false">IF($A84="","",INDEX(Apparitions!$A$1:$A$5001,$A84)&amp;"")</f>
        <v/>
      </c>
      <c r="C84" s="19" t="str">
        <f aca="false">IF($A84="","",INDEX(Apparitions!$B$1:$B$5001,$A84)&amp;"")</f>
        <v/>
      </c>
      <c r="D84" s="20" t="str">
        <f aca="false">IF($A84="","",INDEX(Apparitions!$L$1:$L$5001,$A84))</f>
        <v/>
      </c>
      <c r="E84" s="19" t="str">
        <f aca="false">IF($A84="","",INDEX(Apparitions!$C$1:$C$5001,$A84)&amp;"")</f>
        <v/>
      </c>
      <c r="F84" s="19" t="str">
        <f aca="false">IF($A84="","",INDEX(Apparitions!$H$1:$H$5001,$A84)&amp;"")</f>
        <v/>
      </c>
      <c r="G84" s="19" t="str">
        <f aca="false">IF($A84="","",INDEX(Apparitions!$I$1:$I$5001,$A84)&amp;"")</f>
        <v/>
      </c>
      <c r="H84" s="19" t="str">
        <f aca="false">IF($A84="","",INDEX(Apparitions!$J$1:$J$5001,$A84)&amp;"")</f>
        <v/>
      </c>
      <c r="I84" s="19" t="str">
        <f aca="false">IF($A84="","",INDEX(Apparitions!$G$1:$G$5001,$A84)&amp;"")</f>
        <v/>
      </c>
      <c r="J84" s="19" t="str">
        <f aca="false">IF($A84="","",INDEX(Apparitions!$M$1:$M$5001,$A84)&amp;"")</f>
        <v/>
      </c>
      <c r="K84" s="21" t="str">
        <f aca="false">IF($A84="","",INDEX(Apparitions!$K$1:$K$5001,$A84))</f>
        <v/>
      </c>
      <c r="L84" s="22" t="str">
        <f aca="false">IF($A84="","",INDEX(Apparitions!$E$1:$E$5001,$A84)&amp;"")</f>
        <v/>
      </c>
      <c r="M84" s="19" t="str">
        <f aca="false">IF($A84="","",INDEX(Apparitions!$F$1:$F$5001,$A84)&amp;"")</f>
        <v/>
      </c>
      <c r="O84" s="23" t="n">
        <f aca="false">IF(I84="",0,IF(COUNTIF(I$16:I84,I84)=1,1,0))</f>
        <v>0</v>
      </c>
      <c r="P84" s="23" t="n">
        <f aca="false">IF(F84="",0,IF(COUNTIF(F$16:F84,F84)=1,1,0))</f>
        <v>0</v>
      </c>
      <c r="Q84" s="0" t="str">
        <f aca="false">IF(B84="","",B84&amp;"|"&amp;C84)</f>
        <v/>
      </c>
      <c r="R84" s="23" t="n">
        <f aca="false">IF(Q84="",0,IF(COUNTIF(Q$16:Q84,Q84)=1,1,0))</f>
        <v>0</v>
      </c>
    </row>
    <row r="85" customFormat="false" ht="15" hidden="false" customHeight="false" outlineLevel="0" collapsed="false">
      <c r="A85" s="0" t="str">
        <f aca="false">IFERROR(MATCH(70,Apparitions!$N$1:$N$5001,0),"")</f>
        <v/>
      </c>
      <c r="B85" s="19" t="str">
        <f aca="false">IF($A85="","",INDEX(Apparitions!$A$1:$A$5001,$A85)&amp;"")</f>
        <v/>
      </c>
      <c r="C85" s="19" t="str">
        <f aca="false">IF($A85="","",INDEX(Apparitions!$B$1:$B$5001,$A85)&amp;"")</f>
        <v/>
      </c>
      <c r="D85" s="20" t="str">
        <f aca="false">IF($A85="","",INDEX(Apparitions!$L$1:$L$5001,$A85))</f>
        <v/>
      </c>
      <c r="E85" s="19" t="str">
        <f aca="false">IF($A85="","",INDEX(Apparitions!$C$1:$C$5001,$A85)&amp;"")</f>
        <v/>
      </c>
      <c r="F85" s="19" t="str">
        <f aca="false">IF($A85="","",INDEX(Apparitions!$H$1:$H$5001,$A85)&amp;"")</f>
        <v/>
      </c>
      <c r="G85" s="19" t="str">
        <f aca="false">IF($A85="","",INDEX(Apparitions!$I$1:$I$5001,$A85)&amp;"")</f>
        <v/>
      </c>
      <c r="H85" s="19" t="str">
        <f aca="false">IF($A85="","",INDEX(Apparitions!$J$1:$J$5001,$A85)&amp;"")</f>
        <v/>
      </c>
      <c r="I85" s="19" t="str">
        <f aca="false">IF($A85="","",INDEX(Apparitions!$G$1:$G$5001,$A85)&amp;"")</f>
        <v/>
      </c>
      <c r="J85" s="19" t="str">
        <f aca="false">IF($A85="","",INDEX(Apparitions!$M$1:$M$5001,$A85)&amp;"")</f>
        <v/>
      </c>
      <c r="K85" s="21" t="str">
        <f aca="false">IF($A85="","",INDEX(Apparitions!$K$1:$K$5001,$A85))</f>
        <v/>
      </c>
      <c r="L85" s="22" t="str">
        <f aca="false">IF($A85="","",INDEX(Apparitions!$E$1:$E$5001,$A85)&amp;"")</f>
        <v/>
      </c>
      <c r="M85" s="19" t="str">
        <f aca="false">IF($A85="","",INDEX(Apparitions!$F$1:$F$5001,$A85)&amp;"")</f>
        <v/>
      </c>
      <c r="O85" s="23" t="n">
        <f aca="false">IF(I85="",0,IF(COUNTIF(I$16:I85,I85)=1,1,0))</f>
        <v>0</v>
      </c>
      <c r="P85" s="23" t="n">
        <f aca="false">IF(F85="",0,IF(COUNTIF(F$16:F85,F85)=1,1,0))</f>
        <v>0</v>
      </c>
      <c r="Q85" s="0" t="str">
        <f aca="false">IF(B85="","",B85&amp;"|"&amp;C85)</f>
        <v/>
      </c>
      <c r="R85" s="23" t="n">
        <f aca="false">IF(Q85="",0,IF(COUNTIF(Q$16:Q85,Q85)=1,1,0))</f>
        <v>0</v>
      </c>
    </row>
    <row r="86" customFormat="false" ht="15" hidden="false" customHeight="false" outlineLevel="0" collapsed="false">
      <c r="A86" s="0" t="str">
        <f aca="false">IFERROR(MATCH(71,Apparitions!$N$1:$N$5001,0),"")</f>
        <v/>
      </c>
      <c r="B86" s="19" t="str">
        <f aca="false">IF($A86="","",INDEX(Apparitions!$A$1:$A$5001,$A86)&amp;"")</f>
        <v/>
      </c>
      <c r="C86" s="19" t="str">
        <f aca="false">IF($A86="","",INDEX(Apparitions!$B$1:$B$5001,$A86)&amp;"")</f>
        <v/>
      </c>
      <c r="D86" s="20" t="str">
        <f aca="false">IF($A86="","",INDEX(Apparitions!$L$1:$L$5001,$A86))</f>
        <v/>
      </c>
      <c r="E86" s="19" t="str">
        <f aca="false">IF($A86="","",INDEX(Apparitions!$C$1:$C$5001,$A86)&amp;"")</f>
        <v/>
      </c>
      <c r="F86" s="19" t="str">
        <f aca="false">IF($A86="","",INDEX(Apparitions!$H$1:$H$5001,$A86)&amp;"")</f>
        <v/>
      </c>
      <c r="G86" s="19" t="str">
        <f aca="false">IF($A86="","",INDEX(Apparitions!$I$1:$I$5001,$A86)&amp;"")</f>
        <v/>
      </c>
      <c r="H86" s="19" t="str">
        <f aca="false">IF($A86="","",INDEX(Apparitions!$J$1:$J$5001,$A86)&amp;"")</f>
        <v/>
      </c>
      <c r="I86" s="19" t="str">
        <f aca="false">IF($A86="","",INDEX(Apparitions!$G$1:$G$5001,$A86)&amp;"")</f>
        <v/>
      </c>
      <c r="J86" s="19" t="str">
        <f aca="false">IF($A86="","",INDEX(Apparitions!$M$1:$M$5001,$A86)&amp;"")</f>
        <v/>
      </c>
      <c r="K86" s="21" t="str">
        <f aca="false">IF($A86="","",INDEX(Apparitions!$K$1:$K$5001,$A86))</f>
        <v/>
      </c>
      <c r="L86" s="22" t="str">
        <f aca="false">IF($A86="","",INDEX(Apparitions!$E$1:$E$5001,$A86)&amp;"")</f>
        <v/>
      </c>
      <c r="M86" s="19" t="str">
        <f aca="false">IF($A86="","",INDEX(Apparitions!$F$1:$F$5001,$A86)&amp;"")</f>
        <v/>
      </c>
      <c r="O86" s="23" t="n">
        <f aca="false">IF(I86="",0,IF(COUNTIF(I$16:I86,I86)=1,1,0))</f>
        <v>0</v>
      </c>
      <c r="P86" s="23" t="n">
        <f aca="false">IF(F86="",0,IF(COUNTIF(F$16:F86,F86)=1,1,0))</f>
        <v>0</v>
      </c>
      <c r="Q86" s="0" t="str">
        <f aca="false">IF(B86="","",B86&amp;"|"&amp;C86)</f>
        <v/>
      </c>
      <c r="R86" s="23" t="n">
        <f aca="false">IF(Q86="",0,IF(COUNTIF(Q$16:Q86,Q86)=1,1,0))</f>
        <v>0</v>
      </c>
    </row>
    <row r="87" customFormat="false" ht="15" hidden="false" customHeight="false" outlineLevel="0" collapsed="false">
      <c r="A87" s="0" t="str">
        <f aca="false">IFERROR(MATCH(72,Apparitions!$N$1:$N$5001,0),"")</f>
        <v/>
      </c>
      <c r="B87" s="19" t="str">
        <f aca="false">IF($A87="","",INDEX(Apparitions!$A$1:$A$5001,$A87)&amp;"")</f>
        <v/>
      </c>
      <c r="C87" s="19" t="str">
        <f aca="false">IF($A87="","",INDEX(Apparitions!$B$1:$B$5001,$A87)&amp;"")</f>
        <v/>
      </c>
      <c r="D87" s="20" t="str">
        <f aca="false">IF($A87="","",INDEX(Apparitions!$L$1:$L$5001,$A87))</f>
        <v/>
      </c>
      <c r="E87" s="19" t="str">
        <f aca="false">IF($A87="","",INDEX(Apparitions!$C$1:$C$5001,$A87)&amp;"")</f>
        <v/>
      </c>
      <c r="F87" s="19" t="str">
        <f aca="false">IF($A87="","",INDEX(Apparitions!$H$1:$H$5001,$A87)&amp;"")</f>
        <v/>
      </c>
      <c r="G87" s="19" t="str">
        <f aca="false">IF($A87="","",INDEX(Apparitions!$I$1:$I$5001,$A87)&amp;"")</f>
        <v/>
      </c>
      <c r="H87" s="19" t="str">
        <f aca="false">IF($A87="","",INDEX(Apparitions!$J$1:$J$5001,$A87)&amp;"")</f>
        <v/>
      </c>
      <c r="I87" s="19" t="str">
        <f aca="false">IF($A87="","",INDEX(Apparitions!$G$1:$G$5001,$A87)&amp;"")</f>
        <v/>
      </c>
      <c r="J87" s="19" t="str">
        <f aca="false">IF($A87="","",INDEX(Apparitions!$M$1:$M$5001,$A87)&amp;"")</f>
        <v/>
      </c>
      <c r="K87" s="21" t="str">
        <f aca="false">IF($A87="","",INDEX(Apparitions!$K$1:$K$5001,$A87))</f>
        <v/>
      </c>
      <c r="L87" s="22" t="str">
        <f aca="false">IF($A87="","",INDEX(Apparitions!$E$1:$E$5001,$A87)&amp;"")</f>
        <v/>
      </c>
      <c r="M87" s="19" t="str">
        <f aca="false">IF($A87="","",INDEX(Apparitions!$F$1:$F$5001,$A87)&amp;"")</f>
        <v/>
      </c>
      <c r="O87" s="23" t="n">
        <f aca="false">IF(I87="",0,IF(COUNTIF(I$16:I87,I87)=1,1,0))</f>
        <v>0</v>
      </c>
      <c r="P87" s="23" t="n">
        <f aca="false">IF(F87="",0,IF(COUNTIF(F$16:F87,F87)=1,1,0))</f>
        <v>0</v>
      </c>
      <c r="Q87" s="0" t="str">
        <f aca="false">IF(B87="","",B87&amp;"|"&amp;C87)</f>
        <v/>
      </c>
      <c r="R87" s="23" t="n">
        <f aca="false">IF(Q87="",0,IF(COUNTIF(Q$16:Q87,Q87)=1,1,0))</f>
        <v>0</v>
      </c>
    </row>
    <row r="88" customFormat="false" ht="15" hidden="false" customHeight="false" outlineLevel="0" collapsed="false">
      <c r="A88" s="0" t="str">
        <f aca="false">IFERROR(MATCH(73,Apparitions!$N$1:$N$5001,0),"")</f>
        <v/>
      </c>
      <c r="B88" s="19" t="str">
        <f aca="false">IF($A88="","",INDEX(Apparitions!$A$1:$A$5001,$A88)&amp;"")</f>
        <v/>
      </c>
      <c r="C88" s="19" t="str">
        <f aca="false">IF($A88="","",INDEX(Apparitions!$B$1:$B$5001,$A88)&amp;"")</f>
        <v/>
      </c>
      <c r="D88" s="20" t="str">
        <f aca="false">IF($A88="","",INDEX(Apparitions!$L$1:$L$5001,$A88))</f>
        <v/>
      </c>
      <c r="E88" s="19" t="str">
        <f aca="false">IF($A88="","",INDEX(Apparitions!$C$1:$C$5001,$A88)&amp;"")</f>
        <v/>
      </c>
      <c r="F88" s="19" t="str">
        <f aca="false">IF($A88="","",INDEX(Apparitions!$H$1:$H$5001,$A88)&amp;"")</f>
        <v/>
      </c>
      <c r="G88" s="19" t="str">
        <f aca="false">IF($A88="","",INDEX(Apparitions!$I$1:$I$5001,$A88)&amp;"")</f>
        <v/>
      </c>
      <c r="H88" s="19" t="str">
        <f aca="false">IF($A88="","",INDEX(Apparitions!$J$1:$J$5001,$A88)&amp;"")</f>
        <v/>
      </c>
      <c r="I88" s="19" t="str">
        <f aca="false">IF($A88="","",INDEX(Apparitions!$G$1:$G$5001,$A88)&amp;"")</f>
        <v/>
      </c>
      <c r="J88" s="19" t="str">
        <f aca="false">IF($A88="","",INDEX(Apparitions!$M$1:$M$5001,$A88)&amp;"")</f>
        <v/>
      </c>
      <c r="K88" s="21" t="str">
        <f aca="false">IF($A88="","",INDEX(Apparitions!$K$1:$K$5001,$A88))</f>
        <v/>
      </c>
      <c r="L88" s="22" t="str">
        <f aca="false">IF($A88="","",INDEX(Apparitions!$E$1:$E$5001,$A88)&amp;"")</f>
        <v/>
      </c>
      <c r="M88" s="19" t="str">
        <f aca="false">IF($A88="","",INDEX(Apparitions!$F$1:$F$5001,$A88)&amp;"")</f>
        <v/>
      </c>
      <c r="O88" s="23" t="n">
        <f aca="false">IF(I88="",0,IF(COUNTIF(I$16:I88,I88)=1,1,0))</f>
        <v>0</v>
      </c>
      <c r="P88" s="23" t="n">
        <f aca="false">IF(F88="",0,IF(COUNTIF(F$16:F88,F88)=1,1,0))</f>
        <v>0</v>
      </c>
      <c r="Q88" s="0" t="str">
        <f aca="false">IF(B88="","",B88&amp;"|"&amp;C88)</f>
        <v/>
      </c>
      <c r="R88" s="23" t="n">
        <f aca="false">IF(Q88="",0,IF(COUNTIF(Q$16:Q88,Q88)=1,1,0))</f>
        <v>0</v>
      </c>
    </row>
    <row r="89" customFormat="false" ht="15" hidden="false" customHeight="false" outlineLevel="0" collapsed="false">
      <c r="A89" s="0" t="str">
        <f aca="false">IFERROR(MATCH(74,Apparitions!$N$1:$N$5001,0),"")</f>
        <v/>
      </c>
      <c r="B89" s="19" t="str">
        <f aca="false">IF($A89="","",INDEX(Apparitions!$A$1:$A$5001,$A89)&amp;"")</f>
        <v/>
      </c>
      <c r="C89" s="19" t="str">
        <f aca="false">IF($A89="","",INDEX(Apparitions!$B$1:$B$5001,$A89)&amp;"")</f>
        <v/>
      </c>
      <c r="D89" s="20" t="str">
        <f aca="false">IF($A89="","",INDEX(Apparitions!$L$1:$L$5001,$A89))</f>
        <v/>
      </c>
      <c r="E89" s="19" t="str">
        <f aca="false">IF($A89="","",INDEX(Apparitions!$C$1:$C$5001,$A89)&amp;"")</f>
        <v/>
      </c>
      <c r="F89" s="19" t="str">
        <f aca="false">IF($A89="","",INDEX(Apparitions!$H$1:$H$5001,$A89)&amp;"")</f>
        <v/>
      </c>
      <c r="G89" s="19" t="str">
        <f aca="false">IF($A89="","",INDEX(Apparitions!$I$1:$I$5001,$A89)&amp;"")</f>
        <v/>
      </c>
      <c r="H89" s="19" t="str">
        <f aca="false">IF($A89="","",INDEX(Apparitions!$J$1:$J$5001,$A89)&amp;"")</f>
        <v/>
      </c>
      <c r="I89" s="19" t="str">
        <f aca="false">IF($A89="","",INDEX(Apparitions!$G$1:$G$5001,$A89)&amp;"")</f>
        <v/>
      </c>
      <c r="J89" s="19" t="str">
        <f aca="false">IF($A89="","",INDEX(Apparitions!$M$1:$M$5001,$A89)&amp;"")</f>
        <v/>
      </c>
      <c r="K89" s="21" t="str">
        <f aca="false">IF($A89="","",INDEX(Apparitions!$K$1:$K$5001,$A89))</f>
        <v/>
      </c>
      <c r="L89" s="22" t="str">
        <f aca="false">IF($A89="","",INDEX(Apparitions!$E$1:$E$5001,$A89)&amp;"")</f>
        <v/>
      </c>
      <c r="M89" s="19" t="str">
        <f aca="false">IF($A89="","",INDEX(Apparitions!$F$1:$F$5001,$A89)&amp;"")</f>
        <v/>
      </c>
      <c r="O89" s="23" t="n">
        <f aca="false">IF(I89="",0,IF(COUNTIF(I$16:I89,I89)=1,1,0))</f>
        <v>0</v>
      </c>
      <c r="P89" s="23" t="n">
        <f aca="false">IF(F89="",0,IF(COUNTIF(F$16:F89,F89)=1,1,0))</f>
        <v>0</v>
      </c>
      <c r="Q89" s="0" t="str">
        <f aca="false">IF(B89="","",B89&amp;"|"&amp;C89)</f>
        <v/>
      </c>
      <c r="R89" s="23" t="n">
        <f aca="false">IF(Q89="",0,IF(COUNTIF(Q$16:Q89,Q89)=1,1,0))</f>
        <v>0</v>
      </c>
    </row>
    <row r="90" customFormat="false" ht="15" hidden="false" customHeight="false" outlineLevel="0" collapsed="false">
      <c r="A90" s="0" t="str">
        <f aca="false">IFERROR(MATCH(75,Apparitions!$N$1:$N$5001,0),"")</f>
        <v/>
      </c>
      <c r="B90" s="19" t="str">
        <f aca="false">IF($A90="","",INDEX(Apparitions!$A$1:$A$5001,$A90)&amp;"")</f>
        <v/>
      </c>
      <c r="C90" s="19" t="str">
        <f aca="false">IF($A90="","",INDEX(Apparitions!$B$1:$B$5001,$A90)&amp;"")</f>
        <v/>
      </c>
      <c r="D90" s="20" t="str">
        <f aca="false">IF($A90="","",INDEX(Apparitions!$L$1:$L$5001,$A90))</f>
        <v/>
      </c>
      <c r="E90" s="19" t="str">
        <f aca="false">IF($A90="","",INDEX(Apparitions!$C$1:$C$5001,$A90)&amp;"")</f>
        <v/>
      </c>
      <c r="F90" s="19" t="str">
        <f aca="false">IF($A90="","",INDEX(Apparitions!$H$1:$H$5001,$A90)&amp;"")</f>
        <v/>
      </c>
      <c r="G90" s="19" t="str">
        <f aca="false">IF($A90="","",INDEX(Apparitions!$I$1:$I$5001,$A90)&amp;"")</f>
        <v/>
      </c>
      <c r="H90" s="19" t="str">
        <f aca="false">IF($A90="","",INDEX(Apparitions!$J$1:$J$5001,$A90)&amp;"")</f>
        <v/>
      </c>
      <c r="I90" s="19" t="str">
        <f aca="false">IF($A90="","",INDEX(Apparitions!$G$1:$G$5001,$A90)&amp;"")</f>
        <v/>
      </c>
      <c r="J90" s="19" t="str">
        <f aca="false">IF($A90="","",INDEX(Apparitions!$M$1:$M$5001,$A90)&amp;"")</f>
        <v/>
      </c>
      <c r="K90" s="21" t="str">
        <f aca="false">IF($A90="","",INDEX(Apparitions!$K$1:$K$5001,$A90))</f>
        <v/>
      </c>
      <c r="L90" s="22" t="str">
        <f aca="false">IF($A90="","",INDEX(Apparitions!$E$1:$E$5001,$A90)&amp;"")</f>
        <v/>
      </c>
      <c r="M90" s="19" t="str">
        <f aca="false">IF($A90="","",INDEX(Apparitions!$F$1:$F$5001,$A90)&amp;"")</f>
        <v/>
      </c>
      <c r="O90" s="23" t="n">
        <f aca="false">IF(I90="",0,IF(COUNTIF(I$16:I90,I90)=1,1,0))</f>
        <v>0</v>
      </c>
      <c r="P90" s="23" t="n">
        <f aca="false">IF(F90="",0,IF(COUNTIF(F$16:F90,F90)=1,1,0))</f>
        <v>0</v>
      </c>
      <c r="Q90" s="0" t="str">
        <f aca="false">IF(B90="","",B90&amp;"|"&amp;C90)</f>
        <v/>
      </c>
      <c r="R90" s="23" t="n">
        <f aca="false">IF(Q90="",0,IF(COUNTIF(Q$16:Q90,Q90)=1,1,0))</f>
        <v>0</v>
      </c>
    </row>
    <row r="91" customFormat="false" ht="15" hidden="false" customHeight="false" outlineLevel="0" collapsed="false">
      <c r="A91" s="0" t="str">
        <f aca="false">IFERROR(MATCH(76,Apparitions!$N$1:$N$5001,0),"")</f>
        <v/>
      </c>
      <c r="B91" s="19" t="str">
        <f aca="false">IF($A91="","",INDEX(Apparitions!$A$1:$A$5001,$A91)&amp;"")</f>
        <v/>
      </c>
      <c r="C91" s="19" t="str">
        <f aca="false">IF($A91="","",INDEX(Apparitions!$B$1:$B$5001,$A91)&amp;"")</f>
        <v/>
      </c>
      <c r="D91" s="20" t="str">
        <f aca="false">IF($A91="","",INDEX(Apparitions!$L$1:$L$5001,$A91))</f>
        <v/>
      </c>
      <c r="E91" s="19" t="str">
        <f aca="false">IF($A91="","",INDEX(Apparitions!$C$1:$C$5001,$A91)&amp;"")</f>
        <v/>
      </c>
      <c r="F91" s="19" t="str">
        <f aca="false">IF($A91="","",INDEX(Apparitions!$H$1:$H$5001,$A91)&amp;"")</f>
        <v/>
      </c>
      <c r="G91" s="19" t="str">
        <f aca="false">IF($A91="","",INDEX(Apparitions!$I$1:$I$5001,$A91)&amp;"")</f>
        <v/>
      </c>
      <c r="H91" s="19" t="str">
        <f aca="false">IF($A91="","",INDEX(Apparitions!$J$1:$J$5001,$A91)&amp;"")</f>
        <v/>
      </c>
      <c r="I91" s="19" t="str">
        <f aca="false">IF($A91="","",INDEX(Apparitions!$G$1:$G$5001,$A91)&amp;"")</f>
        <v/>
      </c>
      <c r="J91" s="19" t="str">
        <f aca="false">IF($A91="","",INDEX(Apparitions!$M$1:$M$5001,$A91)&amp;"")</f>
        <v/>
      </c>
      <c r="K91" s="21" t="str">
        <f aca="false">IF($A91="","",INDEX(Apparitions!$K$1:$K$5001,$A91))</f>
        <v/>
      </c>
      <c r="L91" s="22" t="str">
        <f aca="false">IF($A91="","",INDEX(Apparitions!$E$1:$E$5001,$A91)&amp;"")</f>
        <v/>
      </c>
      <c r="M91" s="19" t="str">
        <f aca="false">IF($A91="","",INDEX(Apparitions!$F$1:$F$5001,$A91)&amp;"")</f>
        <v/>
      </c>
      <c r="O91" s="23" t="n">
        <f aca="false">IF(I91="",0,IF(COUNTIF(I$16:I91,I91)=1,1,0))</f>
        <v>0</v>
      </c>
      <c r="P91" s="23" t="n">
        <f aca="false">IF(F91="",0,IF(COUNTIF(F$16:F91,F91)=1,1,0))</f>
        <v>0</v>
      </c>
      <c r="Q91" s="0" t="str">
        <f aca="false">IF(B91="","",B91&amp;"|"&amp;C91)</f>
        <v/>
      </c>
      <c r="R91" s="23" t="n">
        <f aca="false">IF(Q91="",0,IF(COUNTIF(Q$16:Q91,Q91)=1,1,0))</f>
        <v>0</v>
      </c>
    </row>
    <row r="92" customFormat="false" ht="15" hidden="false" customHeight="false" outlineLevel="0" collapsed="false">
      <c r="A92" s="0" t="str">
        <f aca="false">IFERROR(MATCH(77,Apparitions!$N$1:$N$5001,0),"")</f>
        <v/>
      </c>
      <c r="B92" s="19" t="str">
        <f aca="false">IF($A92="","",INDEX(Apparitions!$A$1:$A$5001,$A92)&amp;"")</f>
        <v/>
      </c>
      <c r="C92" s="19" t="str">
        <f aca="false">IF($A92="","",INDEX(Apparitions!$B$1:$B$5001,$A92)&amp;"")</f>
        <v/>
      </c>
      <c r="D92" s="20" t="str">
        <f aca="false">IF($A92="","",INDEX(Apparitions!$L$1:$L$5001,$A92))</f>
        <v/>
      </c>
      <c r="E92" s="19" t="str">
        <f aca="false">IF($A92="","",INDEX(Apparitions!$C$1:$C$5001,$A92)&amp;"")</f>
        <v/>
      </c>
      <c r="F92" s="19" t="str">
        <f aca="false">IF($A92="","",INDEX(Apparitions!$H$1:$H$5001,$A92)&amp;"")</f>
        <v/>
      </c>
      <c r="G92" s="19" t="str">
        <f aca="false">IF($A92="","",INDEX(Apparitions!$I$1:$I$5001,$A92)&amp;"")</f>
        <v/>
      </c>
      <c r="H92" s="19" t="str">
        <f aca="false">IF($A92="","",INDEX(Apparitions!$J$1:$J$5001,$A92)&amp;"")</f>
        <v/>
      </c>
      <c r="I92" s="19" t="str">
        <f aca="false">IF($A92="","",INDEX(Apparitions!$G$1:$G$5001,$A92)&amp;"")</f>
        <v/>
      </c>
      <c r="J92" s="19" t="str">
        <f aca="false">IF($A92="","",INDEX(Apparitions!$M$1:$M$5001,$A92)&amp;"")</f>
        <v/>
      </c>
      <c r="K92" s="21" t="str">
        <f aca="false">IF($A92="","",INDEX(Apparitions!$K$1:$K$5001,$A92))</f>
        <v/>
      </c>
      <c r="L92" s="22" t="str">
        <f aca="false">IF($A92="","",INDEX(Apparitions!$E$1:$E$5001,$A92)&amp;"")</f>
        <v/>
      </c>
      <c r="M92" s="19" t="str">
        <f aca="false">IF($A92="","",INDEX(Apparitions!$F$1:$F$5001,$A92)&amp;"")</f>
        <v/>
      </c>
      <c r="O92" s="23" t="n">
        <f aca="false">IF(I92="",0,IF(COUNTIF(I$16:I92,I92)=1,1,0))</f>
        <v>0</v>
      </c>
      <c r="P92" s="23" t="n">
        <f aca="false">IF(F92="",0,IF(COUNTIF(F$16:F92,F92)=1,1,0))</f>
        <v>0</v>
      </c>
      <c r="Q92" s="0" t="str">
        <f aca="false">IF(B92="","",B92&amp;"|"&amp;C92)</f>
        <v/>
      </c>
      <c r="R92" s="23" t="n">
        <f aca="false">IF(Q92="",0,IF(COUNTIF(Q$16:Q92,Q92)=1,1,0))</f>
        <v>0</v>
      </c>
    </row>
    <row r="93" customFormat="false" ht="15" hidden="false" customHeight="false" outlineLevel="0" collapsed="false">
      <c r="A93" s="0" t="str">
        <f aca="false">IFERROR(MATCH(78,Apparitions!$N$1:$N$5001,0),"")</f>
        <v/>
      </c>
      <c r="B93" s="19" t="str">
        <f aca="false">IF($A93="","",INDEX(Apparitions!$A$1:$A$5001,$A93)&amp;"")</f>
        <v/>
      </c>
      <c r="C93" s="19" t="str">
        <f aca="false">IF($A93="","",INDEX(Apparitions!$B$1:$B$5001,$A93)&amp;"")</f>
        <v/>
      </c>
      <c r="D93" s="20" t="str">
        <f aca="false">IF($A93="","",INDEX(Apparitions!$L$1:$L$5001,$A93))</f>
        <v/>
      </c>
      <c r="E93" s="19" t="str">
        <f aca="false">IF($A93="","",INDEX(Apparitions!$C$1:$C$5001,$A93)&amp;"")</f>
        <v/>
      </c>
      <c r="F93" s="19" t="str">
        <f aca="false">IF($A93="","",INDEX(Apparitions!$H$1:$H$5001,$A93)&amp;"")</f>
        <v/>
      </c>
      <c r="G93" s="19" t="str">
        <f aca="false">IF($A93="","",INDEX(Apparitions!$I$1:$I$5001,$A93)&amp;"")</f>
        <v/>
      </c>
      <c r="H93" s="19" t="str">
        <f aca="false">IF($A93="","",INDEX(Apparitions!$J$1:$J$5001,$A93)&amp;"")</f>
        <v/>
      </c>
      <c r="I93" s="19" t="str">
        <f aca="false">IF($A93="","",INDEX(Apparitions!$G$1:$G$5001,$A93)&amp;"")</f>
        <v/>
      </c>
      <c r="J93" s="19" t="str">
        <f aca="false">IF($A93="","",INDEX(Apparitions!$M$1:$M$5001,$A93)&amp;"")</f>
        <v/>
      </c>
      <c r="K93" s="21" t="str">
        <f aca="false">IF($A93="","",INDEX(Apparitions!$K$1:$K$5001,$A93))</f>
        <v/>
      </c>
      <c r="L93" s="22" t="str">
        <f aca="false">IF($A93="","",INDEX(Apparitions!$E$1:$E$5001,$A93)&amp;"")</f>
        <v/>
      </c>
      <c r="M93" s="19" t="str">
        <f aca="false">IF($A93="","",INDEX(Apparitions!$F$1:$F$5001,$A93)&amp;"")</f>
        <v/>
      </c>
      <c r="O93" s="23" t="n">
        <f aca="false">IF(I93="",0,IF(COUNTIF(I$16:I93,I93)=1,1,0))</f>
        <v>0</v>
      </c>
      <c r="P93" s="23" t="n">
        <f aca="false">IF(F93="",0,IF(COUNTIF(F$16:F93,F93)=1,1,0))</f>
        <v>0</v>
      </c>
      <c r="Q93" s="0" t="str">
        <f aca="false">IF(B93="","",B93&amp;"|"&amp;C93)</f>
        <v/>
      </c>
      <c r="R93" s="23" t="n">
        <f aca="false">IF(Q93="",0,IF(COUNTIF(Q$16:Q93,Q93)=1,1,0))</f>
        <v>0</v>
      </c>
    </row>
    <row r="94" customFormat="false" ht="15" hidden="false" customHeight="false" outlineLevel="0" collapsed="false">
      <c r="A94" s="0" t="str">
        <f aca="false">IFERROR(MATCH(79,Apparitions!$N$1:$N$5001,0),"")</f>
        <v/>
      </c>
      <c r="B94" s="19" t="str">
        <f aca="false">IF($A94="","",INDEX(Apparitions!$A$1:$A$5001,$A94)&amp;"")</f>
        <v/>
      </c>
      <c r="C94" s="19" t="str">
        <f aca="false">IF($A94="","",INDEX(Apparitions!$B$1:$B$5001,$A94)&amp;"")</f>
        <v/>
      </c>
      <c r="D94" s="20" t="str">
        <f aca="false">IF($A94="","",INDEX(Apparitions!$L$1:$L$5001,$A94))</f>
        <v/>
      </c>
      <c r="E94" s="19" t="str">
        <f aca="false">IF($A94="","",INDEX(Apparitions!$C$1:$C$5001,$A94)&amp;"")</f>
        <v/>
      </c>
      <c r="F94" s="19" t="str">
        <f aca="false">IF($A94="","",INDEX(Apparitions!$H$1:$H$5001,$A94)&amp;"")</f>
        <v/>
      </c>
      <c r="G94" s="19" t="str">
        <f aca="false">IF($A94="","",INDEX(Apparitions!$I$1:$I$5001,$A94)&amp;"")</f>
        <v/>
      </c>
      <c r="H94" s="19" t="str">
        <f aca="false">IF($A94="","",INDEX(Apparitions!$J$1:$J$5001,$A94)&amp;"")</f>
        <v/>
      </c>
      <c r="I94" s="19" t="str">
        <f aca="false">IF($A94="","",INDEX(Apparitions!$G$1:$G$5001,$A94)&amp;"")</f>
        <v/>
      </c>
      <c r="J94" s="19" t="str">
        <f aca="false">IF($A94="","",INDEX(Apparitions!$M$1:$M$5001,$A94)&amp;"")</f>
        <v/>
      </c>
      <c r="K94" s="21" t="str">
        <f aca="false">IF($A94="","",INDEX(Apparitions!$K$1:$K$5001,$A94))</f>
        <v/>
      </c>
      <c r="L94" s="22" t="str">
        <f aca="false">IF($A94="","",INDEX(Apparitions!$E$1:$E$5001,$A94)&amp;"")</f>
        <v/>
      </c>
      <c r="M94" s="19" t="str">
        <f aca="false">IF($A94="","",INDEX(Apparitions!$F$1:$F$5001,$A94)&amp;"")</f>
        <v/>
      </c>
      <c r="O94" s="23" t="n">
        <f aca="false">IF(I94="",0,IF(COUNTIF(I$16:I94,I94)=1,1,0))</f>
        <v>0</v>
      </c>
      <c r="P94" s="23" t="n">
        <f aca="false">IF(F94="",0,IF(COUNTIF(F$16:F94,F94)=1,1,0))</f>
        <v>0</v>
      </c>
      <c r="Q94" s="0" t="str">
        <f aca="false">IF(B94="","",B94&amp;"|"&amp;C94)</f>
        <v/>
      </c>
      <c r="R94" s="23" t="n">
        <f aca="false">IF(Q94="",0,IF(COUNTIF(Q$16:Q94,Q94)=1,1,0))</f>
        <v>0</v>
      </c>
    </row>
    <row r="95" customFormat="false" ht="15" hidden="false" customHeight="false" outlineLevel="0" collapsed="false">
      <c r="A95" s="0" t="str">
        <f aca="false">IFERROR(MATCH(80,Apparitions!$N$1:$N$5001,0),"")</f>
        <v/>
      </c>
      <c r="B95" s="19" t="str">
        <f aca="false">IF($A95="","",INDEX(Apparitions!$A$1:$A$5001,$A95)&amp;"")</f>
        <v/>
      </c>
      <c r="C95" s="19" t="str">
        <f aca="false">IF($A95="","",INDEX(Apparitions!$B$1:$B$5001,$A95)&amp;"")</f>
        <v/>
      </c>
      <c r="D95" s="20" t="str">
        <f aca="false">IF($A95="","",INDEX(Apparitions!$L$1:$L$5001,$A95))</f>
        <v/>
      </c>
      <c r="E95" s="19" t="str">
        <f aca="false">IF($A95="","",INDEX(Apparitions!$C$1:$C$5001,$A95)&amp;"")</f>
        <v/>
      </c>
      <c r="F95" s="19" t="str">
        <f aca="false">IF($A95="","",INDEX(Apparitions!$H$1:$H$5001,$A95)&amp;"")</f>
        <v/>
      </c>
      <c r="G95" s="19" t="str">
        <f aca="false">IF($A95="","",INDEX(Apparitions!$I$1:$I$5001,$A95)&amp;"")</f>
        <v/>
      </c>
      <c r="H95" s="19" t="str">
        <f aca="false">IF($A95="","",INDEX(Apparitions!$J$1:$J$5001,$A95)&amp;"")</f>
        <v/>
      </c>
      <c r="I95" s="19" t="str">
        <f aca="false">IF($A95="","",INDEX(Apparitions!$G$1:$G$5001,$A95)&amp;"")</f>
        <v/>
      </c>
      <c r="J95" s="19" t="str">
        <f aca="false">IF($A95="","",INDEX(Apparitions!$M$1:$M$5001,$A95)&amp;"")</f>
        <v/>
      </c>
      <c r="K95" s="21" t="str">
        <f aca="false">IF($A95="","",INDEX(Apparitions!$K$1:$K$5001,$A95))</f>
        <v/>
      </c>
      <c r="L95" s="22" t="str">
        <f aca="false">IF($A95="","",INDEX(Apparitions!$E$1:$E$5001,$A95)&amp;"")</f>
        <v/>
      </c>
      <c r="M95" s="19" t="str">
        <f aca="false">IF($A95="","",INDEX(Apparitions!$F$1:$F$5001,$A95)&amp;"")</f>
        <v/>
      </c>
      <c r="O95" s="23" t="n">
        <f aca="false">IF(I95="",0,IF(COUNTIF(I$16:I95,I95)=1,1,0))</f>
        <v>0</v>
      </c>
      <c r="P95" s="23" t="n">
        <f aca="false">IF(F95="",0,IF(COUNTIF(F$16:F95,F95)=1,1,0))</f>
        <v>0</v>
      </c>
      <c r="Q95" s="0" t="str">
        <f aca="false">IF(B95="","",B95&amp;"|"&amp;C95)</f>
        <v/>
      </c>
      <c r="R95" s="23" t="n">
        <f aca="false">IF(Q95="",0,IF(COUNTIF(Q$16:Q95,Q95)=1,1,0))</f>
        <v>0</v>
      </c>
    </row>
    <row r="96" customFormat="false" ht="15" hidden="false" customHeight="false" outlineLevel="0" collapsed="false">
      <c r="A96" s="0" t="str">
        <f aca="false">IFERROR(MATCH(81,Apparitions!$N$1:$N$5001,0),"")</f>
        <v/>
      </c>
      <c r="B96" s="19" t="str">
        <f aca="false">IF($A96="","",INDEX(Apparitions!$A$1:$A$5001,$A96)&amp;"")</f>
        <v/>
      </c>
      <c r="C96" s="19" t="str">
        <f aca="false">IF($A96="","",INDEX(Apparitions!$B$1:$B$5001,$A96)&amp;"")</f>
        <v/>
      </c>
      <c r="D96" s="20" t="str">
        <f aca="false">IF($A96="","",INDEX(Apparitions!$L$1:$L$5001,$A96))</f>
        <v/>
      </c>
      <c r="E96" s="19" t="str">
        <f aca="false">IF($A96="","",INDEX(Apparitions!$C$1:$C$5001,$A96)&amp;"")</f>
        <v/>
      </c>
      <c r="F96" s="19" t="str">
        <f aca="false">IF($A96="","",INDEX(Apparitions!$H$1:$H$5001,$A96)&amp;"")</f>
        <v/>
      </c>
      <c r="G96" s="19" t="str">
        <f aca="false">IF($A96="","",INDEX(Apparitions!$I$1:$I$5001,$A96)&amp;"")</f>
        <v/>
      </c>
      <c r="H96" s="19" t="str">
        <f aca="false">IF($A96="","",INDEX(Apparitions!$J$1:$J$5001,$A96)&amp;"")</f>
        <v/>
      </c>
      <c r="I96" s="19" t="str">
        <f aca="false">IF($A96="","",INDEX(Apparitions!$G$1:$G$5001,$A96)&amp;"")</f>
        <v/>
      </c>
      <c r="J96" s="19" t="str">
        <f aca="false">IF($A96="","",INDEX(Apparitions!$M$1:$M$5001,$A96)&amp;"")</f>
        <v/>
      </c>
      <c r="K96" s="21" t="str">
        <f aca="false">IF($A96="","",INDEX(Apparitions!$K$1:$K$5001,$A96))</f>
        <v/>
      </c>
      <c r="L96" s="22" t="str">
        <f aca="false">IF($A96="","",INDEX(Apparitions!$E$1:$E$5001,$A96)&amp;"")</f>
        <v/>
      </c>
      <c r="M96" s="19" t="str">
        <f aca="false">IF($A96="","",INDEX(Apparitions!$F$1:$F$5001,$A96)&amp;"")</f>
        <v/>
      </c>
      <c r="O96" s="23" t="n">
        <f aca="false">IF(I96="",0,IF(COUNTIF(I$16:I96,I96)=1,1,0))</f>
        <v>0</v>
      </c>
      <c r="P96" s="23" t="n">
        <f aca="false">IF(F96="",0,IF(COUNTIF(F$16:F96,F96)=1,1,0))</f>
        <v>0</v>
      </c>
      <c r="Q96" s="0" t="str">
        <f aca="false">IF(B96="","",B96&amp;"|"&amp;C96)</f>
        <v/>
      </c>
      <c r="R96" s="23" t="n">
        <f aca="false">IF(Q96="",0,IF(COUNTIF(Q$16:Q96,Q96)=1,1,0))</f>
        <v>0</v>
      </c>
    </row>
    <row r="97" customFormat="false" ht="15" hidden="false" customHeight="false" outlineLevel="0" collapsed="false">
      <c r="A97" s="0" t="str">
        <f aca="false">IFERROR(MATCH(82,Apparitions!$N$1:$N$5001,0),"")</f>
        <v/>
      </c>
      <c r="B97" s="19" t="str">
        <f aca="false">IF($A97="","",INDEX(Apparitions!$A$1:$A$5001,$A97)&amp;"")</f>
        <v/>
      </c>
      <c r="C97" s="19" t="str">
        <f aca="false">IF($A97="","",INDEX(Apparitions!$B$1:$B$5001,$A97)&amp;"")</f>
        <v/>
      </c>
      <c r="D97" s="20" t="str">
        <f aca="false">IF($A97="","",INDEX(Apparitions!$L$1:$L$5001,$A97))</f>
        <v/>
      </c>
      <c r="E97" s="19" t="str">
        <f aca="false">IF($A97="","",INDEX(Apparitions!$C$1:$C$5001,$A97)&amp;"")</f>
        <v/>
      </c>
      <c r="F97" s="19" t="str">
        <f aca="false">IF($A97="","",INDEX(Apparitions!$H$1:$H$5001,$A97)&amp;"")</f>
        <v/>
      </c>
      <c r="G97" s="19" t="str">
        <f aca="false">IF($A97="","",INDEX(Apparitions!$I$1:$I$5001,$A97)&amp;"")</f>
        <v/>
      </c>
      <c r="H97" s="19" t="str">
        <f aca="false">IF($A97="","",INDEX(Apparitions!$J$1:$J$5001,$A97)&amp;"")</f>
        <v/>
      </c>
      <c r="I97" s="19" t="str">
        <f aca="false">IF($A97="","",INDEX(Apparitions!$G$1:$G$5001,$A97)&amp;"")</f>
        <v/>
      </c>
      <c r="J97" s="19" t="str">
        <f aca="false">IF($A97="","",INDEX(Apparitions!$M$1:$M$5001,$A97)&amp;"")</f>
        <v/>
      </c>
      <c r="K97" s="21" t="str">
        <f aca="false">IF($A97="","",INDEX(Apparitions!$K$1:$K$5001,$A97))</f>
        <v/>
      </c>
      <c r="L97" s="22" t="str">
        <f aca="false">IF($A97="","",INDEX(Apparitions!$E$1:$E$5001,$A97)&amp;"")</f>
        <v/>
      </c>
      <c r="M97" s="19" t="str">
        <f aca="false">IF($A97="","",INDEX(Apparitions!$F$1:$F$5001,$A97)&amp;"")</f>
        <v/>
      </c>
      <c r="O97" s="23" t="n">
        <f aca="false">IF(I97="",0,IF(COUNTIF(I$16:I97,I97)=1,1,0))</f>
        <v>0</v>
      </c>
      <c r="P97" s="23" t="n">
        <f aca="false">IF(F97="",0,IF(COUNTIF(F$16:F97,F97)=1,1,0))</f>
        <v>0</v>
      </c>
      <c r="Q97" s="0" t="str">
        <f aca="false">IF(B97="","",B97&amp;"|"&amp;C97)</f>
        <v/>
      </c>
      <c r="R97" s="23" t="n">
        <f aca="false">IF(Q97="",0,IF(COUNTIF(Q$16:Q97,Q97)=1,1,0))</f>
        <v>0</v>
      </c>
    </row>
    <row r="98" customFormat="false" ht="15" hidden="false" customHeight="false" outlineLevel="0" collapsed="false">
      <c r="A98" s="0" t="str">
        <f aca="false">IFERROR(MATCH(83,Apparitions!$N$1:$N$5001,0),"")</f>
        <v/>
      </c>
      <c r="B98" s="19" t="str">
        <f aca="false">IF($A98="","",INDEX(Apparitions!$A$1:$A$5001,$A98)&amp;"")</f>
        <v/>
      </c>
      <c r="C98" s="19" t="str">
        <f aca="false">IF($A98="","",INDEX(Apparitions!$B$1:$B$5001,$A98)&amp;"")</f>
        <v/>
      </c>
      <c r="D98" s="20" t="str">
        <f aca="false">IF($A98="","",INDEX(Apparitions!$L$1:$L$5001,$A98))</f>
        <v/>
      </c>
      <c r="E98" s="19" t="str">
        <f aca="false">IF($A98="","",INDEX(Apparitions!$C$1:$C$5001,$A98)&amp;"")</f>
        <v/>
      </c>
      <c r="F98" s="19" t="str">
        <f aca="false">IF($A98="","",INDEX(Apparitions!$H$1:$H$5001,$A98)&amp;"")</f>
        <v/>
      </c>
      <c r="G98" s="19" t="str">
        <f aca="false">IF($A98="","",INDEX(Apparitions!$I$1:$I$5001,$A98)&amp;"")</f>
        <v/>
      </c>
      <c r="H98" s="19" t="str">
        <f aca="false">IF($A98="","",INDEX(Apparitions!$J$1:$J$5001,$A98)&amp;"")</f>
        <v/>
      </c>
      <c r="I98" s="19" t="str">
        <f aca="false">IF($A98="","",INDEX(Apparitions!$G$1:$G$5001,$A98)&amp;"")</f>
        <v/>
      </c>
      <c r="J98" s="19" t="str">
        <f aca="false">IF($A98="","",INDEX(Apparitions!$M$1:$M$5001,$A98)&amp;"")</f>
        <v/>
      </c>
      <c r="K98" s="21" t="str">
        <f aca="false">IF($A98="","",INDEX(Apparitions!$K$1:$K$5001,$A98))</f>
        <v/>
      </c>
      <c r="L98" s="22" t="str">
        <f aca="false">IF($A98="","",INDEX(Apparitions!$E$1:$E$5001,$A98)&amp;"")</f>
        <v/>
      </c>
      <c r="M98" s="19" t="str">
        <f aca="false">IF($A98="","",INDEX(Apparitions!$F$1:$F$5001,$A98)&amp;"")</f>
        <v/>
      </c>
      <c r="O98" s="23" t="n">
        <f aca="false">IF(I98="",0,IF(COUNTIF(I$16:I98,I98)=1,1,0))</f>
        <v>0</v>
      </c>
      <c r="P98" s="23" t="n">
        <f aca="false">IF(F98="",0,IF(COUNTIF(F$16:F98,F98)=1,1,0))</f>
        <v>0</v>
      </c>
      <c r="Q98" s="0" t="str">
        <f aca="false">IF(B98="","",B98&amp;"|"&amp;C98)</f>
        <v/>
      </c>
      <c r="R98" s="23" t="n">
        <f aca="false">IF(Q98="",0,IF(COUNTIF(Q$16:Q98,Q98)=1,1,0))</f>
        <v>0</v>
      </c>
    </row>
    <row r="99" customFormat="false" ht="15" hidden="false" customHeight="false" outlineLevel="0" collapsed="false">
      <c r="A99" s="0" t="str">
        <f aca="false">IFERROR(MATCH(84,Apparitions!$N$1:$N$5001,0),"")</f>
        <v/>
      </c>
      <c r="B99" s="19" t="str">
        <f aca="false">IF($A99="","",INDEX(Apparitions!$A$1:$A$5001,$A99)&amp;"")</f>
        <v/>
      </c>
      <c r="C99" s="19" t="str">
        <f aca="false">IF($A99="","",INDEX(Apparitions!$B$1:$B$5001,$A99)&amp;"")</f>
        <v/>
      </c>
      <c r="D99" s="20" t="str">
        <f aca="false">IF($A99="","",INDEX(Apparitions!$L$1:$L$5001,$A99))</f>
        <v/>
      </c>
      <c r="E99" s="19" t="str">
        <f aca="false">IF($A99="","",INDEX(Apparitions!$C$1:$C$5001,$A99)&amp;"")</f>
        <v/>
      </c>
      <c r="F99" s="19" t="str">
        <f aca="false">IF($A99="","",INDEX(Apparitions!$H$1:$H$5001,$A99)&amp;"")</f>
        <v/>
      </c>
      <c r="G99" s="19" t="str">
        <f aca="false">IF($A99="","",INDEX(Apparitions!$I$1:$I$5001,$A99)&amp;"")</f>
        <v/>
      </c>
      <c r="H99" s="19" t="str">
        <f aca="false">IF($A99="","",INDEX(Apparitions!$J$1:$J$5001,$A99)&amp;"")</f>
        <v/>
      </c>
      <c r="I99" s="19" t="str">
        <f aca="false">IF($A99="","",INDEX(Apparitions!$G$1:$G$5001,$A99)&amp;"")</f>
        <v/>
      </c>
      <c r="J99" s="19" t="str">
        <f aca="false">IF($A99="","",INDEX(Apparitions!$M$1:$M$5001,$A99)&amp;"")</f>
        <v/>
      </c>
      <c r="K99" s="21" t="str">
        <f aca="false">IF($A99="","",INDEX(Apparitions!$K$1:$K$5001,$A99))</f>
        <v/>
      </c>
      <c r="L99" s="22" t="str">
        <f aca="false">IF($A99="","",INDEX(Apparitions!$E$1:$E$5001,$A99)&amp;"")</f>
        <v/>
      </c>
      <c r="M99" s="19" t="str">
        <f aca="false">IF($A99="","",INDEX(Apparitions!$F$1:$F$5001,$A99)&amp;"")</f>
        <v/>
      </c>
      <c r="O99" s="23" t="n">
        <f aca="false">IF(I99="",0,IF(COUNTIF(I$16:I99,I99)=1,1,0))</f>
        <v>0</v>
      </c>
      <c r="P99" s="23" t="n">
        <f aca="false">IF(F99="",0,IF(COUNTIF(F$16:F99,F99)=1,1,0))</f>
        <v>0</v>
      </c>
      <c r="Q99" s="0" t="str">
        <f aca="false">IF(B99="","",B99&amp;"|"&amp;C99)</f>
        <v/>
      </c>
      <c r="R99" s="23" t="n">
        <f aca="false">IF(Q99="",0,IF(COUNTIF(Q$16:Q99,Q99)=1,1,0))</f>
        <v>0</v>
      </c>
    </row>
    <row r="100" customFormat="false" ht="15" hidden="false" customHeight="false" outlineLevel="0" collapsed="false">
      <c r="A100" s="0" t="str">
        <f aca="false">IFERROR(MATCH(85,Apparitions!$N$1:$N$5001,0),"")</f>
        <v/>
      </c>
      <c r="B100" s="19" t="str">
        <f aca="false">IF($A100="","",INDEX(Apparitions!$A$1:$A$5001,$A100)&amp;"")</f>
        <v/>
      </c>
      <c r="C100" s="19" t="str">
        <f aca="false">IF($A100="","",INDEX(Apparitions!$B$1:$B$5001,$A100)&amp;"")</f>
        <v/>
      </c>
      <c r="D100" s="20" t="str">
        <f aca="false">IF($A100="","",INDEX(Apparitions!$L$1:$L$5001,$A100))</f>
        <v/>
      </c>
      <c r="E100" s="19" t="str">
        <f aca="false">IF($A100="","",INDEX(Apparitions!$C$1:$C$5001,$A100)&amp;"")</f>
        <v/>
      </c>
      <c r="F100" s="19" t="str">
        <f aca="false">IF($A100="","",INDEX(Apparitions!$H$1:$H$5001,$A100)&amp;"")</f>
        <v/>
      </c>
      <c r="G100" s="19" t="str">
        <f aca="false">IF($A100="","",INDEX(Apparitions!$I$1:$I$5001,$A100)&amp;"")</f>
        <v/>
      </c>
      <c r="H100" s="19" t="str">
        <f aca="false">IF($A100="","",INDEX(Apparitions!$J$1:$J$5001,$A100)&amp;"")</f>
        <v/>
      </c>
      <c r="I100" s="19" t="str">
        <f aca="false">IF($A100="","",INDEX(Apparitions!$G$1:$G$5001,$A100)&amp;"")</f>
        <v/>
      </c>
      <c r="J100" s="19" t="str">
        <f aca="false">IF($A100="","",INDEX(Apparitions!$M$1:$M$5001,$A100)&amp;"")</f>
        <v/>
      </c>
      <c r="K100" s="21" t="str">
        <f aca="false">IF($A100="","",INDEX(Apparitions!$K$1:$K$5001,$A100))</f>
        <v/>
      </c>
      <c r="L100" s="22" t="str">
        <f aca="false">IF($A100="","",INDEX(Apparitions!$E$1:$E$5001,$A100)&amp;"")</f>
        <v/>
      </c>
      <c r="M100" s="19" t="str">
        <f aca="false">IF($A100="","",INDEX(Apparitions!$F$1:$F$5001,$A100)&amp;"")</f>
        <v/>
      </c>
      <c r="O100" s="23" t="n">
        <f aca="false">IF(I100="",0,IF(COUNTIF(I$16:I100,I100)=1,1,0))</f>
        <v>0</v>
      </c>
      <c r="P100" s="23" t="n">
        <f aca="false">IF(F100="",0,IF(COUNTIF(F$16:F100,F100)=1,1,0))</f>
        <v>0</v>
      </c>
      <c r="Q100" s="0" t="str">
        <f aca="false">IF(B100="","",B100&amp;"|"&amp;C100)</f>
        <v/>
      </c>
      <c r="R100" s="23" t="n">
        <f aca="false">IF(Q100="",0,IF(COUNTIF(Q$16:Q100,Q100)=1,1,0))</f>
        <v>0</v>
      </c>
    </row>
    <row r="101" customFormat="false" ht="15" hidden="false" customHeight="false" outlineLevel="0" collapsed="false">
      <c r="A101" s="0" t="str">
        <f aca="false">IFERROR(MATCH(86,Apparitions!$N$1:$N$5001,0),"")</f>
        <v/>
      </c>
      <c r="B101" s="19" t="str">
        <f aca="false">IF($A101="","",INDEX(Apparitions!$A$1:$A$5001,$A101)&amp;"")</f>
        <v/>
      </c>
      <c r="C101" s="19" t="str">
        <f aca="false">IF($A101="","",INDEX(Apparitions!$B$1:$B$5001,$A101)&amp;"")</f>
        <v/>
      </c>
      <c r="D101" s="20" t="str">
        <f aca="false">IF($A101="","",INDEX(Apparitions!$L$1:$L$5001,$A101))</f>
        <v/>
      </c>
      <c r="E101" s="19" t="str">
        <f aca="false">IF($A101="","",INDEX(Apparitions!$C$1:$C$5001,$A101)&amp;"")</f>
        <v/>
      </c>
      <c r="F101" s="19" t="str">
        <f aca="false">IF($A101="","",INDEX(Apparitions!$H$1:$H$5001,$A101)&amp;"")</f>
        <v/>
      </c>
      <c r="G101" s="19" t="str">
        <f aca="false">IF($A101="","",INDEX(Apparitions!$I$1:$I$5001,$A101)&amp;"")</f>
        <v/>
      </c>
      <c r="H101" s="19" t="str">
        <f aca="false">IF($A101="","",INDEX(Apparitions!$J$1:$J$5001,$A101)&amp;"")</f>
        <v/>
      </c>
      <c r="I101" s="19" t="str">
        <f aca="false">IF($A101="","",INDEX(Apparitions!$G$1:$G$5001,$A101)&amp;"")</f>
        <v/>
      </c>
      <c r="J101" s="19" t="str">
        <f aca="false">IF($A101="","",INDEX(Apparitions!$M$1:$M$5001,$A101)&amp;"")</f>
        <v/>
      </c>
      <c r="K101" s="21" t="str">
        <f aca="false">IF($A101="","",INDEX(Apparitions!$K$1:$K$5001,$A101))</f>
        <v/>
      </c>
      <c r="L101" s="22" t="str">
        <f aca="false">IF($A101="","",INDEX(Apparitions!$E$1:$E$5001,$A101)&amp;"")</f>
        <v/>
      </c>
      <c r="M101" s="19" t="str">
        <f aca="false">IF($A101="","",INDEX(Apparitions!$F$1:$F$5001,$A101)&amp;"")</f>
        <v/>
      </c>
      <c r="O101" s="23" t="n">
        <f aca="false">IF(I101="",0,IF(COUNTIF(I$16:I101,I101)=1,1,0))</f>
        <v>0</v>
      </c>
      <c r="P101" s="23" t="n">
        <f aca="false">IF(F101="",0,IF(COUNTIF(F$16:F101,F101)=1,1,0))</f>
        <v>0</v>
      </c>
      <c r="Q101" s="0" t="str">
        <f aca="false">IF(B101="","",B101&amp;"|"&amp;C101)</f>
        <v/>
      </c>
      <c r="R101" s="23" t="n">
        <f aca="false">IF(Q101="",0,IF(COUNTIF(Q$16:Q101,Q101)=1,1,0))</f>
        <v>0</v>
      </c>
    </row>
    <row r="102" customFormat="false" ht="15" hidden="false" customHeight="false" outlineLevel="0" collapsed="false">
      <c r="A102" s="0" t="str">
        <f aca="false">IFERROR(MATCH(87,Apparitions!$N$1:$N$5001,0),"")</f>
        <v/>
      </c>
      <c r="B102" s="19" t="str">
        <f aca="false">IF($A102="","",INDEX(Apparitions!$A$1:$A$5001,$A102)&amp;"")</f>
        <v/>
      </c>
      <c r="C102" s="19" t="str">
        <f aca="false">IF($A102="","",INDEX(Apparitions!$B$1:$B$5001,$A102)&amp;"")</f>
        <v/>
      </c>
      <c r="D102" s="20" t="str">
        <f aca="false">IF($A102="","",INDEX(Apparitions!$L$1:$L$5001,$A102))</f>
        <v/>
      </c>
      <c r="E102" s="19" t="str">
        <f aca="false">IF($A102="","",INDEX(Apparitions!$C$1:$C$5001,$A102)&amp;"")</f>
        <v/>
      </c>
      <c r="F102" s="19" t="str">
        <f aca="false">IF($A102="","",INDEX(Apparitions!$H$1:$H$5001,$A102)&amp;"")</f>
        <v/>
      </c>
      <c r="G102" s="19" t="str">
        <f aca="false">IF($A102="","",INDEX(Apparitions!$I$1:$I$5001,$A102)&amp;"")</f>
        <v/>
      </c>
      <c r="H102" s="19" t="str">
        <f aca="false">IF($A102="","",INDEX(Apparitions!$J$1:$J$5001,$A102)&amp;"")</f>
        <v/>
      </c>
      <c r="I102" s="19" t="str">
        <f aca="false">IF($A102="","",INDEX(Apparitions!$G$1:$G$5001,$A102)&amp;"")</f>
        <v/>
      </c>
      <c r="J102" s="19" t="str">
        <f aca="false">IF($A102="","",INDEX(Apparitions!$M$1:$M$5001,$A102)&amp;"")</f>
        <v/>
      </c>
      <c r="K102" s="21" t="str">
        <f aca="false">IF($A102="","",INDEX(Apparitions!$K$1:$K$5001,$A102))</f>
        <v/>
      </c>
      <c r="L102" s="22" t="str">
        <f aca="false">IF($A102="","",INDEX(Apparitions!$E$1:$E$5001,$A102)&amp;"")</f>
        <v/>
      </c>
      <c r="M102" s="19" t="str">
        <f aca="false">IF($A102="","",INDEX(Apparitions!$F$1:$F$5001,$A102)&amp;"")</f>
        <v/>
      </c>
      <c r="O102" s="23" t="n">
        <f aca="false">IF(I102="",0,IF(COUNTIF(I$16:I102,I102)=1,1,0))</f>
        <v>0</v>
      </c>
      <c r="P102" s="23" t="n">
        <f aca="false">IF(F102="",0,IF(COUNTIF(F$16:F102,F102)=1,1,0))</f>
        <v>0</v>
      </c>
      <c r="Q102" s="0" t="str">
        <f aca="false">IF(B102="","",B102&amp;"|"&amp;C102)</f>
        <v/>
      </c>
      <c r="R102" s="23" t="n">
        <f aca="false">IF(Q102="",0,IF(COUNTIF(Q$16:Q102,Q102)=1,1,0))</f>
        <v>0</v>
      </c>
    </row>
    <row r="103" customFormat="false" ht="15" hidden="false" customHeight="false" outlineLevel="0" collapsed="false">
      <c r="A103" s="0" t="str">
        <f aca="false">IFERROR(MATCH(88,Apparitions!$N$1:$N$5001,0),"")</f>
        <v/>
      </c>
      <c r="B103" s="19" t="str">
        <f aca="false">IF($A103="","",INDEX(Apparitions!$A$1:$A$5001,$A103)&amp;"")</f>
        <v/>
      </c>
      <c r="C103" s="19" t="str">
        <f aca="false">IF($A103="","",INDEX(Apparitions!$B$1:$B$5001,$A103)&amp;"")</f>
        <v/>
      </c>
      <c r="D103" s="20" t="str">
        <f aca="false">IF($A103="","",INDEX(Apparitions!$L$1:$L$5001,$A103))</f>
        <v/>
      </c>
      <c r="E103" s="19" t="str">
        <f aca="false">IF($A103="","",INDEX(Apparitions!$C$1:$C$5001,$A103)&amp;"")</f>
        <v/>
      </c>
      <c r="F103" s="19" t="str">
        <f aca="false">IF($A103="","",INDEX(Apparitions!$H$1:$H$5001,$A103)&amp;"")</f>
        <v/>
      </c>
      <c r="G103" s="19" t="str">
        <f aca="false">IF($A103="","",INDEX(Apparitions!$I$1:$I$5001,$A103)&amp;"")</f>
        <v/>
      </c>
      <c r="H103" s="19" t="str">
        <f aca="false">IF($A103="","",INDEX(Apparitions!$J$1:$J$5001,$A103)&amp;"")</f>
        <v/>
      </c>
      <c r="I103" s="19" t="str">
        <f aca="false">IF($A103="","",INDEX(Apparitions!$G$1:$G$5001,$A103)&amp;"")</f>
        <v/>
      </c>
      <c r="J103" s="19" t="str">
        <f aca="false">IF($A103="","",INDEX(Apparitions!$M$1:$M$5001,$A103)&amp;"")</f>
        <v/>
      </c>
      <c r="K103" s="21" t="str">
        <f aca="false">IF($A103="","",INDEX(Apparitions!$K$1:$K$5001,$A103))</f>
        <v/>
      </c>
      <c r="L103" s="22" t="str">
        <f aca="false">IF($A103="","",INDEX(Apparitions!$E$1:$E$5001,$A103)&amp;"")</f>
        <v/>
      </c>
      <c r="M103" s="19" t="str">
        <f aca="false">IF($A103="","",INDEX(Apparitions!$F$1:$F$5001,$A103)&amp;"")</f>
        <v/>
      </c>
      <c r="O103" s="23" t="n">
        <f aca="false">IF(I103="",0,IF(COUNTIF(I$16:I103,I103)=1,1,0))</f>
        <v>0</v>
      </c>
      <c r="P103" s="23" t="n">
        <f aca="false">IF(F103="",0,IF(COUNTIF(F$16:F103,F103)=1,1,0))</f>
        <v>0</v>
      </c>
      <c r="Q103" s="0" t="str">
        <f aca="false">IF(B103="","",B103&amp;"|"&amp;C103)</f>
        <v/>
      </c>
      <c r="R103" s="23" t="n">
        <f aca="false">IF(Q103="",0,IF(COUNTIF(Q$16:Q103,Q103)=1,1,0))</f>
        <v>0</v>
      </c>
    </row>
    <row r="104" customFormat="false" ht="15" hidden="false" customHeight="false" outlineLevel="0" collapsed="false">
      <c r="A104" s="0" t="str">
        <f aca="false">IFERROR(MATCH(89,Apparitions!$N$1:$N$5001,0),"")</f>
        <v/>
      </c>
      <c r="B104" s="19" t="str">
        <f aca="false">IF($A104="","",INDEX(Apparitions!$A$1:$A$5001,$A104)&amp;"")</f>
        <v/>
      </c>
      <c r="C104" s="19" t="str">
        <f aca="false">IF($A104="","",INDEX(Apparitions!$B$1:$B$5001,$A104)&amp;"")</f>
        <v/>
      </c>
      <c r="D104" s="20" t="str">
        <f aca="false">IF($A104="","",INDEX(Apparitions!$L$1:$L$5001,$A104))</f>
        <v/>
      </c>
      <c r="E104" s="19" t="str">
        <f aca="false">IF($A104="","",INDEX(Apparitions!$C$1:$C$5001,$A104)&amp;"")</f>
        <v/>
      </c>
      <c r="F104" s="19" t="str">
        <f aca="false">IF($A104="","",INDEX(Apparitions!$H$1:$H$5001,$A104)&amp;"")</f>
        <v/>
      </c>
      <c r="G104" s="19" t="str">
        <f aca="false">IF($A104="","",INDEX(Apparitions!$I$1:$I$5001,$A104)&amp;"")</f>
        <v/>
      </c>
      <c r="H104" s="19" t="str">
        <f aca="false">IF($A104="","",INDEX(Apparitions!$J$1:$J$5001,$A104)&amp;"")</f>
        <v/>
      </c>
      <c r="I104" s="19" t="str">
        <f aca="false">IF($A104="","",INDEX(Apparitions!$G$1:$G$5001,$A104)&amp;"")</f>
        <v/>
      </c>
      <c r="J104" s="19" t="str">
        <f aca="false">IF($A104="","",INDEX(Apparitions!$M$1:$M$5001,$A104)&amp;"")</f>
        <v/>
      </c>
      <c r="K104" s="21" t="str">
        <f aca="false">IF($A104="","",INDEX(Apparitions!$K$1:$K$5001,$A104))</f>
        <v/>
      </c>
      <c r="L104" s="22" t="str">
        <f aca="false">IF($A104="","",INDEX(Apparitions!$E$1:$E$5001,$A104)&amp;"")</f>
        <v/>
      </c>
      <c r="M104" s="19" t="str">
        <f aca="false">IF($A104="","",INDEX(Apparitions!$F$1:$F$5001,$A104)&amp;"")</f>
        <v/>
      </c>
      <c r="O104" s="23" t="n">
        <f aca="false">IF(I104="",0,IF(COUNTIF(I$16:I104,I104)=1,1,0))</f>
        <v>0</v>
      </c>
      <c r="P104" s="23" t="n">
        <f aca="false">IF(F104="",0,IF(COUNTIF(F$16:F104,F104)=1,1,0))</f>
        <v>0</v>
      </c>
      <c r="Q104" s="0" t="str">
        <f aca="false">IF(B104="","",B104&amp;"|"&amp;C104)</f>
        <v/>
      </c>
      <c r="R104" s="23" t="n">
        <f aca="false">IF(Q104="",0,IF(COUNTIF(Q$16:Q104,Q104)=1,1,0))</f>
        <v>0</v>
      </c>
    </row>
    <row r="105" customFormat="false" ht="15" hidden="false" customHeight="false" outlineLevel="0" collapsed="false">
      <c r="A105" s="0" t="str">
        <f aca="false">IFERROR(MATCH(90,Apparitions!$N$1:$N$5001,0),"")</f>
        <v/>
      </c>
      <c r="B105" s="19" t="str">
        <f aca="false">IF($A105="","",INDEX(Apparitions!$A$1:$A$5001,$A105)&amp;"")</f>
        <v/>
      </c>
      <c r="C105" s="19" t="str">
        <f aca="false">IF($A105="","",INDEX(Apparitions!$B$1:$B$5001,$A105)&amp;"")</f>
        <v/>
      </c>
      <c r="D105" s="20" t="str">
        <f aca="false">IF($A105="","",INDEX(Apparitions!$L$1:$L$5001,$A105))</f>
        <v/>
      </c>
      <c r="E105" s="19" t="str">
        <f aca="false">IF($A105="","",INDEX(Apparitions!$C$1:$C$5001,$A105)&amp;"")</f>
        <v/>
      </c>
      <c r="F105" s="19" t="str">
        <f aca="false">IF($A105="","",INDEX(Apparitions!$H$1:$H$5001,$A105)&amp;"")</f>
        <v/>
      </c>
      <c r="G105" s="19" t="str">
        <f aca="false">IF($A105="","",INDEX(Apparitions!$I$1:$I$5001,$A105)&amp;"")</f>
        <v/>
      </c>
      <c r="H105" s="19" t="str">
        <f aca="false">IF($A105="","",INDEX(Apparitions!$J$1:$J$5001,$A105)&amp;"")</f>
        <v/>
      </c>
      <c r="I105" s="19" t="str">
        <f aca="false">IF($A105="","",INDEX(Apparitions!$G$1:$G$5001,$A105)&amp;"")</f>
        <v/>
      </c>
      <c r="J105" s="19" t="str">
        <f aca="false">IF($A105="","",INDEX(Apparitions!$M$1:$M$5001,$A105)&amp;"")</f>
        <v/>
      </c>
      <c r="K105" s="21" t="str">
        <f aca="false">IF($A105="","",INDEX(Apparitions!$K$1:$K$5001,$A105))</f>
        <v/>
      </c>
      <c r="L105" s="22" t="str">
        <f aca="false">IF($A105="","",INDEX(Apparitions!$E$1:$E$5001,$A105)&amp;"")</f>
        <v/>
      </c>
      <c r="M105" s="19" t="str">
        <f aca="false">IF($A105="","",INDEX(Apparitions!$F$1:$F$5001,$A105)&amp;"")</f>
        <v/>
      </c>
      <c r="O105" s="23" t="n">
        <f aca="false">IF(I105="",0,IF(COUNTIF(I$16:I105,I105)=1,1,0))</f>
        <v>0</v>
      </c>
      <c r="P105" s="23" t="n">
        <f aca="false">IF(F105="",0,IF(COUNTIF(F$16:F105,F105)=1,1,0))</f>
        <v>0</v>
      </c>
      <c r="Q105" s="0" t="str">
        <f aca="false">IF(B105="","",B105&amp;"|"&amp;C105)</f>
        <v/>
      </c>
      <c r="R105" s="23" t="n">
        <f aca="false">IF(Q105="",0,IF(COUNTIF(Q$16:Q105,Q105)=1,1,0))</f>
        <v>0</v>
      </c>
    </row>
    <row r="106" customFormat="false" ht="15" hidden="false" customHeight="false" outlineLevel="0" collapsed="false">
      <c r="A106" s="0" t="str">
        <f aca="false">IFERROR(MATCH(91,Apparitions!$N$1:$N$5001,0),"")</f>
        <v/>
      </c>
      <c r="B106" s="19" t="str">
        <f aca="false">IF($A106="","",INDEX(Apparitions!$A$1:$A$5001,$A106)&amp;"")</f>
        <v/>
      </c>
      <c r="C106" s="19" t="str">
        <f aca="false">IF($A106="","",INDEX(Apparitions!$B$1:$B$5001,$A106)&amp;"")</f>
        <v/>
      </c>
      <c r="D106" s="20" t="str">
        <f aca="false">IF($A106="","",INDEX(Apparitions!$L$1:$L$5001,$A106))</f>
        <v/>
      </c>
      <c r="E106" s="19" t="str">
        <f aca="false">IF($A106="","",INDEX(Apparitions!$C$1:$C$5001,$A106)&amp;"")</f>
        <v/>
      </c>
      <c r="F106" s="19" t="str">
        <f aca="false">IF($A106="","",INDEX(Apparitions!$H$1:$H$5001,$A106)&amp;"")</f>
        <v/>
      </c>
      <c r="G106" s="19" t="str">
        <f aca="false">IF($A106="","",INDEX(Apparitions!$I$1:$I$5001,$A106)&amp;"")</f>
        <v/>
      </c>
      <c r="H106" s="19" t="str">
        <f aca="false">IF($A106="","",INDEX(Apparitions!$J$1:$J$5001,$A106)&amp;"")</f>
        <v/>
      </c>
      <c r="I106" s="19" t="str">
        <f aca="false">IF($A106="","",INDEX(Apparitions!$G$1:$G$5001,$A106)&amp;"")</f>
        <v/>
      </c>
      <c r="J106" s="19" t="str">
        <f aca="false">IF($A106="","",INDEX(Apparitions!$M$1:$M$5001,$A106)&amp;"")</f>
        <v/>
      </c>
      <c r="K106" s="21" t="str">
        <f aca="false">IF($A106="","",INDEX(Apparitions!$K$1:$K$5001,$A106))</f>
        <v/>
      </c>
      <c r="L106" s="22" t="str">
        <f aca="false">IF($A106="","",INDEX(Apparitions!$E$1:$E$5001,$A106)&amp;"")</f>
        <v/>
      </c>
      <c r="M106" s="19" t="str">
        <f aca="false">IF($A106="","",INDEX(Apparitions!$F$1:$F$5001,$A106)&amp;"")</f>
        <v/>
      </c>
      <c r="O106" s="23" t="n">
        <f aca="false">IF(I106="",0,IF(COUNTIF(I$16:I106,I106)=1,1,0))</f>
        <v>0</v>
      </c>
      <c r="P106" s="23" t="n">
        <f aca="false">IF(F106="",0,IF(COUNTIF(F$16:F106,F106)=1,1,0))</f>
        <v>0</v>
      </c>
      <c r="Q106" s="0" t="str">
        <f aca="false">IF(B106="","",B106&amp;"|"&amp;C106)</f>
        <v/>
      </c>
      <c r="R106" s="23" t="n">
        <f aca="false">IF(Q106="",0,IF(COUNTIF(Q$16:Q106,Q106)=1,1,0))</f>
        <v>0</v>
      </c>
    </row>
    <row r="107" customFormat="false" ht="15" hidden="false" customHeight="false" outlineLevel="0" collapsed="false">
      <c r="A107" s="0" t="str">
        <f aca="false">IFERROR(MATCH(92,Apparitions!$N$1:$N$5001,0),"")</f>
        <v/>
      </c>
      <c r="B107" s="19" t="str">
        <f aca="false">IF($A107="","",INDEX(Apparitions!$A$1:$A$5001,$A107)&amp;"")</f>
        <v/>
      </c>
      <c r="C107" s="19" t="str">
        <f aca="false">IF($A107="","",INDEX(Apparitions!$B$1:$B$5001,$A107)&amp;"")</f>
        <v/>
      </c>
      <c r="D107" s="20" t="str">
        <f aca="false">IF($A107="","",INDEX(Apparitions!$L$1:$L$5001,$A107))</f>
        <v/>
      </c>
      <c r="E107" s="19" t="str">
        <f aca="false">IF($A107="","",INDEX(Apparitions!$C$1:$C$5001,$A107)&amp;"")</f>
        <v/>
      </c>
      <c r="F107" s="19" t="str">
        <f aca="false">IF($A107="","",INDEX(Apparitions!$H$1:$H$5001,$A107)&amp;"")</f>
        <v/>
      </c>
      <c r="G107" s="19" t="str">
        <f aca="false">IF($A107="","",INDEX(Apparitions!$I$1:$I$5001,$A107)&amp;"")</f>
        <v/>
      </c>
      <c r="H107" s="19" t="str">
        <f aca="false">IF($A107="","",INDEX(Apparitions!$J$1:$J$5001,$A107)&amp;"")</f>
        <v/>
      </c>
      <c r="I107" s="19" t="str">
        <f aca="false">IF($A107="","",INDEX(Apparitions!$G$1:$G$5001,$A107)&amp;"")</f>
        <v/>
      </c>
      <c r="J107" s="19" t="str">
        <f aca="false">IF($A107="","",INDEX(Apparitions!$M$1:$M$5001,$A107)&amp;"")</f>
        <v/>
      </c>
      <c r="K107" s="21" t="str">
        <f aca="false">IF($A107="","",INDEX(Apparitions!$K$1:$K$5001,$A107))</f>
        <v/>
      </c>
      <c r="L107" s="22" t="str">
        <f aca="false">IF($A107="","",INDEX(Apparitions!$E$1:$E$5001,$A107)&amp;"")</f>
        <v/>
      </c>
      <c r="M107" s="19" t="str">
        <f aca="false">IF($A107="","",INDEX(Apparitions!$F$1:$F$5001,$A107)&amp;"")</f>
        <v/>
      </c>
      <c r="O107" s="23" t="n">
        <f aca="false">IF(I107="",0,IF(COUNTIF(I$16:I107,I107)=1,1,0))</f>
        <v>0</v>
      </c>
      <c r="P107" s="23" t="n">
        <f aca="false">IF(F107="",0,IF(COUNTIF(F$16:F107,F107)=1,1,0))</f>
        <v>0</v>
      </c>
      <c r="Q107" s="0" t="str">
        <f aca="false">IF(B107="","",B107&amp;"|"&amp;C107)</f>
        <v/>
      </c>
      <c r="R107" s="23" t="n">
        <f aca="false">IF(Q107="",0,IF(COUNTIF(Q$16:Q107,Q107)=1,1,0))</f>
        <v>0</v>
      </c>
    </row>
    <row r="108" customFormat="false" ht="15" hidden="false" customHeight="false" outlineLevel="0" collapsed="false">
      <c r="A108" s="0" t="str">
        <f aca="false">IFERROR(MATCH(93,Apparitions!$N$1:$N$5001,0),"")</f>
        <v/>
      </c>
      <c r="B108" s="19" t="str">
        <f aca="false">IF($A108="","",INDEX(Apparitions!$A$1:$A$5001,$A108)&amp;"")</f>
        <v/>
      </c>
      <c r="C108" s="19" t="str">
        <f aca="false">IF($A108="","",INDEX(Apparitions!$B$1:$B$5001,$A108)&amp;"")</f>
        <v/>
      </c>
      <c r="D108" s="20" t="str">
        <f aca="false">IF($A108="","",INDEX(Apparitions!$L$1:$L$5001,$A108))</f>
        <v/>
      </c>
      <c r="E108" s="19" t="str">
        <f aca="false">IF($A108="","",INDEX(Apparitions!$C$1:$C$5001,$A108)&amp;"")</f>
        <v/>
      </c>
      <c r="F108" s="19" t="str">
        <f aca="false">IF($A108="","",INDEX(Apparitions!$H$1:$H$5001,$A108)&amp;"")</f>
        <v/>
      </c>
      <c r="G108" s="19" t="str">
        <f aca="false">IF($A108="","",INDEX(Apparitions!$I$1:$I$5001,$A108)&amp;"")</f>
        <v/>
      </c>
      <c r="H108" s="19" t="str">
        <f aca="false">IF($A108="","",INDEX(Apparitions!$J$1:$J$5001,$A108)&amp;"")</f>
        <v/>
      </c>
      <c r="I108" s="19" t="str">
        <f aca="false">IF($A108="","",INDEX(Apparitions!$G$1:$G$5001,$A108)&amp;"")</f>
        <v/>
      </c>
      <c r="J108" s="19" t="str">
        <f aca="false">IF($A108="","",INDEX(Apparitions!$M$1:$M$5001,$A108)&amp;"")</f>
        <v/>
      </c>
      <c r="K108" s="21" t="str">
        <f aca="false">IF($A108="","",INDEX(Apparitions!$K$1:$K$5001,$A108))</f>
        <v/>
      </c>
      <c r="L108" s="22" t="str">
        <f aca="false">IF($A108="","",INDEX(Apparitions!$E$1:$E$5001,$A108)&amp;"")</f>
        <v/>
      </c>
      <c r="M108" s="19" t="str">
        <f aca="false">IF($A108="","",INDEX(Apparitions!$F$1:$F$5001,$A108)&amp;"")</f>
        <v/>
      </c>
      <c r="O108" s="23" t="n">
        <f aca="false">IF(I108="",0,IF(COUNTIF(I$16:I108,I108)=1,1,0))</f>
        <v>0</v>
      </c>
      <c r="P108" s="23" t="n">
        <f aca="false">IF(F108="",0,IF(COUNTIF(F$16:F108,F108)=1,1,0))</f>
        <v>0</v>
      </c>
      <c r="Q108" s="0" t="str">
        <f aca="false">IF(B108="","",B108&amp;"|"&amp;C108)</f>
        <v/>
      </c>
      <c r="R108" s="23" t="n">
        <f aca="false">IF(Q108="",0,IF(COUNTIF(Q$16:Q108,Q108)=1,1,0))</f>
        <v>0</v>
      </c>
    </row>
    <row r="109" customFormat="false" ht="15" hidden="false" customHeight="false" outlineLevel="0" collapsed="false">
      <c r="A109" s="0" t="str">
        <f aca="false">IFERROR(MATCH(94,Apparitions!$N$1:$N$5001,0),"")</f>
        <v/>
      </c>
      <c r="B109" s="19" t="str">
        <f aca="false">IF($A109="","",INDEX(Apparitions!$A$1:$A$5001,$A109)&amp;"")</f>
        <v/>
      </c>
      <c r="C109" s="19" t="str">
        <f aca="false">IF($A109="","",INDEX(Apparitions!$B$1:$B$5001,$A109)&amp;"")</f>
        <v/>
      </c>
      <c r="D109" s="20" t="str">
        <f aca="false">IF($A109="","",INDEX(Apparitions!$L$1:$L$5001,$A109))</f>
        <v/>
      </c>
      <c r="E109" s="19" t="str">
        <f aca="false">IF($A109="","",INDEX(Apparitions!$C$1:$C$5001,$A109)&amp;"")</f>
        <v/>
      </c>
      <c r="F109" s="19" t="str">
        <f aca="false">IF($A109="","",INDEX(Apparitions!$H$1:$H$5001,$A109)&amp;"")</f>
        <v/>
      </c>
      <c r="G109" s="19" t="str">
        <f aca="false">IF($A109="","",INDEX(Apparitions!$I$1:$I$5001,$A109)&amp;"")</f>
        <v/>
      </c>
      <c r="H109" s="19" t="str">
        <f aca="false">IF($A109="","",INDEX(Apparitions!$J$1:$J$5001,$A109)&amp;"")</f>
        <v/>
      </c>
      <c r="I109" s="19" t="str">
        <f aca="false">IF($A109="","",INDEX(Apparitions!$G$1:$G$5001,$A109)&amp;"")</f>
        <v/>
      </c>
      <c r="J109" s="19" t="str">
        <f aca="false">IF($A109="","",INDEX(Apparitions!$M$1:$M$5001,$A109)&amp;"")</f>
        <v/>
      </c>
      <c r="K109" s="21" t="str">
        <f aca="false">IF($A109="","",INDEX(Apparitions!$K$1:$K$5001,$A109))</f>
        <v/>
      </c>
      <c r="L109" s="22" t="str">
        <f aca="false">IF($A109="","",INDEX(Apparitions!$E$1:$E$5001,$A109)&amp;"")</f>
        <v/>
      </c>
      <c r="M109" s="19" t="str">
        <f aca="false">IF($A109="","",INDEX(Apparitions!$F$1:$F$5001,$A109)&amp;"")</f>
        <v/>
      </c>
      <c r="O109" s="23" t="n">
        <f aca="false">IF(I109="",0,IF(COUNTIF(I$16:I109,I109)=1,1,0))</f>
        <v>0</v>
      </c>
      <c r="P109" s="23" t="n">
        <f aca="false">IF(F109="",0,IF(COUNTIF(F$16:F109,F109)=1,1,0))</f>
        <v>0</v>
      </c>
      <c r="Q109" s="0" t="str">
        <f aca="false">IF(B109="","",B109&amp;"|"&amp;C109)</f>
        <v/>
      </c>
      <c r="R109" s="23" t="n">
        <f aca="false">IF(Q109="",0,IF(COUNTIF(Q$16:Q109,Q109)=1,1,0))</f>
        <v>0</v>
      </c>
    </row>
    <row r="110" customFormat="false" ht="15" hidden="false" customHeight="false" outlineLevel="0" collapsed="false">
      <c r="A110" s="0" t="str">
        <f aca="false">IFERROR(MATCH(95,Apparitions!$N$1:$N$5001,0),"")</f>
        <v/>
      </c>
      <c r="B110" s="19" t="str">
        <f aca="false">IF($A110="","",INDEX(Apparitions!$A$1:$A$5001,$A110)&amp;"")</f>
        <v/>
      </c>
      <c r="C110" s="19" t="str">
        <f aca="false">IF($A110="","",INDEX(Apparitions!$B$1:$B$5001,$A110)&amp;"")</f>
        <v/>
      </c>
      <c r="D110" s="20" t="str">
        <f aca="false">IF($A110="","",INDEX(Apparitions!$L$1:$L$5001,$A110))</f>
        <v/>
      </c>
      <c r="E110" s="19" t="str">
        <f aca="false">IF($A110="","",INDEX(Apparitions!$C$1:$C$5001,$A110)&amp;"")</f>
        <v/>
      </c>
      <c r="F110" s="19" t="str">
        <f aca="false">IF($A110="","",INDEX(Apparitions!$H$1:$H$5001,$A110)&amp;"")</f>
        <v/>
      </c>
      <c r="G110" s="19" t="str">
        <f aca="false">IF($A110="","",INDEX(Apparitions!$I$1:$I$5001,$A110)&amp;"")</f>
        <v/>
      </c>
      <c r="H110" s="19" t="str">
        <f aca="false">IF($A110="","",INDEX(Apparitions!$J$1:$J$5001,$A110)&amp;"")</f>
        <v/>
      </c>
      <c r="I110" s="19" t="str">
        <f aca="false">IF($A110="","",INDEX(Apparitions!$G$1:$G$5001,$A110)&amp;"")</f>
        <v/>
      </c>
      <c r="J110" s="19" t="str">
        <f aca="false">IF($A110="","",INDEX(Apparitions!$M$1:$M$5001,$A110)&amp;"")</f>
        <v/>
      </c>
      <c r="K110" s="21" t="str">
        <f aca="false">IF($A110="","",INDEX(Apparitions!$K$1:$K$5001,$A110))</f>
        <v/>
      </c>
      <c r="L110" s="22" t="str">
        <f aca="false">IF($A110="","",INDEX(Apparitions!$E$1:$E$5001,$A110)&amp;"")</f>
        <v/>
      </c>
      <c r="M110" s="19" t="str">
        <f aca="false">IF($A110="","",INDEX(Apparitions!$F$1:$F$5001,$A110)&amp;"")</f>
        <v/>
      </c>
      <c r="O110" s="23" t="n">
        <f aca="false">IF(I110="",0,IF(COUNTIF(I$16:I110,I110)=1,1,0))</f>
        <v>0</v>
      </c>
      <c r="P110" s="23" t="n">
        <f aca="false">IF(F110="",0,IF(COUNTIF(F$16:F110,F110)=1,1,0))</f>
        <v>0</v>
      </c>
      <c r="Q110" s="0" t="str">
        <f aca="false">IF(B110="","",B110&amp;"|"&amp;C110)</f>
        <v/>
      </c>
      <c r="R110" s="23" t="n">
        <f aca="false">IF(Q110="",0,IF(COUNTIF(Q$16:Q110,Q110)=1,1,0))</f>
        <v>0</v>
      </c>
    </row>
    <row r="111" customFormat="false" ht="15" hidden="false" customHeight="false" outlineLevel="0" collapsed="false">
      <c r="A111" s="0" t="str">
        <f aca="false">IFERROR(MATCH(96,Apparitions!$N$1:$N$5001,0),"")</f>
        <v/>
      </c>
      <c r="B111" s="19" t="str">
        <f aca="false">IF($A111="","",INDEX(Apparitions!$A$1:$A$5001,$A111)&amp;"")</f>
        <v/>
      </c>
      <c r="C111" s="19" t="str">
        <f aca="false">IF($A111="","",INDEX(Apparitions!$B$1:$B$5001,$A111)&amp;"")</f>
        <v/>
      </c>
      <c r="D111" s="20" t="str">
        <f aca="false">IF($A111="","",INDEX(Apparitions!$L$1:$L$5001,$A111))</f>
        <v/>
      </c>
      <c r="E111" s="19" t="str">
        <f aca="false">IF($A111="","",INDEX(Apparitions!$C$1:$C$5001,$A111)&amp;"")</f>
        <v/>
      </c>
      <c r="F111" s="19" t="str">
        <f aca="false">IF($A111="","",INDEX(Apparitions!$H$1:$H$5001,$A111)&amp;"")</f>
        <v/>
      </c>
      <c r="G111" s="19" t="str">
        <f aca="false">IF($A111="","",INDEX(Apparitions!$I$1:$I$5001,$A111)&amp;"")</f>
        <v/>
      </c>
      <c r="H111" s="19" t="str">
        <f aca="false">IF($A111="","",INDEX(Apparitions!$J$1:$J$5001,$A111)&amp;"")</f>
        <v/>
      </c>
      <c r="I111" s="19" t="str">
        <f aca="false">IF($A111="","",INDEX(Apparitions!$G$1:$G$5001,$A111)&amp;"")</f>
        <v/>
      </c>
      <c r="J111" s="19" t="str">
        <f aca="false">IF($A111="","",INDEX(Apparitions!$M$1:$M$5001,$A111)&amp;"")</f>
        <v/>
      </c>
      <c r="K111" s="21" t="str">
        <f aca="false">IF($A111="","",INDEX(Apparitions!$K$1:$K$5001,$A111))</f>
        <v/>
      </c>
      <c r="L111" s="22" t="str">
        <f aca="false">IF($A111="","",INDEX(Apparitions!$E$1:$E$5001,$A111)&amp;"")</f>
        <v/>
      </c>
      <c r="M111" s="19" t="str">
        <f aca="false">IF($A111="","",INDEX(Apparitions!$F$1:$F$5001,$A111)&amp;"")</f>
        <v/>
      </c>
      <c r="O111" s="23" t="n">
        <f aca="false">IF(I111="",0,IF(COUNTIF(I$16:I111,I111)=1,1,0))</f>
        <v>0</v>
      </c>
      <c r="P111" s="23" t="n">
        <f aca="false">IF(F111="",0,IF(COUNTIF(F$16:F111,F111)=1,1,0))</f>
        <v>0</v>
      </c>
      <c r="Q111" s="0" t="str">
        <f aca="false">IF(B111="","",B111&amp;"|"&amp;C111)</f>
        <v/>
      </c>
      <c r="R111" s="23" t="n">
        <f aca="false">IF(Q111="",0,IF(COUNTIF(Q$16:Q111,Q111)=1,1,0))</f>
        <v>0</v>
      </c>
    </row>
    <row r="112" customFormat="false" ht="15" hidden="false" customHeight="false" outlineLevel="0" collapsed="false">
      <c r="A112" s="0" t="str">
        <f aca="false">IFERROR(MATCH(97,Apparitions!$N$1:$N$5001,0),"")</f>
        <v/>
      </c>
      <c r="B112" s="19" t="str">
        <f aca="false">IF($A112="","",INDEX(Apparitions!$A$1:$A$5001,$A112)&amp;"")</f>
        <v/>
      </c>
      <c r="C112" s="19" t="str">
        <f aca="false">IF($A112="","",INDEX(Apparitions!$B$1:$B$5001,$A112)&amp;"")</f>
        <v/>
      </c>
      <c r="D112" s="20" t="str">
        <f aca="false">IF($A112="","",INDEX(Apparitions!$L$1:$L$5001,$A112))</f>
        <v/>
      </c>
      <c r="E112" s="19" t="str">
        <f aca="false">IF($A112="","",INDEX(Apparitions!$C$1:$C$5001,$A112)&amp;"")</f>
        <v/>
      </c>
      <c r="F112" s="19" t="str">
        <f aca="false">IF($A112="","",INDEX(Apparitions!$H$1:$H$5001,$A112)&amp;"")</f>
        <v/>
      </c>
      <c r="G112" s="19" t="str">
        <f aca="false">IF($A112="","",INDEX(Apparitions!$I$1:$I$5001,$A112)&amp;"")</f>
        <v/>
      </c>
      <c r="H112" s="19" t="str">
        <f aca="false">IF($A112="","",INDEX(Apparitions!$J$1:$J$5001,$A112)&amp;"")</f>
        <v/>
      </c>
      <c r="I112" s="19" t="str">
        <f aca="false">IF($A112="","",INDEX(Apparitions!$G$1:$G$5001,$A112)&amp;"")</f>
        <v/>
      </c>
      <c r="J112" s="19" t="str">
        <f aca="false">IF($A112="","",INDEX(Apparitions!$M$1:$M$5001,$A112)&amp;"")</f>
        <v/>
      </c>
      <c r="K112" s="21" t="str">
        <f aca="false">IF($A112="","",INDEX(Apparitions!$K$1:$K$5001,$A112))</f>
        <v/>
      </c>
      <c r="L112" s="22" t="str">
        <f aca="false">IF($A112="","",INDEX(Apparitions!$E$1:$E$5001,$A112)&amp;"")</f>
        <v/>
      </c>
      <c r="M112" s="19" t="str">
        <f aca="false">IF($A112="","",INDEX(Apparitions!$F$1:$F$5001,$A112)&amp;"")</f>
        <v/>
      </c>
      <c r="O112" s="23" t="n">
        <f aca="false">IF(I112="",0,IF(COUNTIF(I$16:I112,I112)=1,1,0))</f>
        <v>0</v>
      </c>
      <c r="P112" s="23" t="n">
        <f aca="false">IF(F112="",0,IF(COUNTIF(F$16:F112,F112)=1,1,0))</f>
        <v>0</v>
      </c>
      <c r="Q112" s="0" t="str">
        <f aca="false">IF(B112="","",B112&amp;"|"&amp;C112)</f>
        <v/>
      </c>
      <c r="R112" s="23" t="n">
        <f aca="false">IF(Q112="",0,IF(COUNTIF(Q$16:Q112,Q112)=1,1,0))</f>
        <v>0</v>
      </c>
    </row>
    <row r="113" customFormat="false" ht="15" hidden="false" customHeight="false" outlineLevel="0" collapsed="false">
      <c r="A113" s="0" t="str">
        <f aca="false">IFERROR(MATCH(98,Apparitions!$N$1:$N$5001,0),"")</f>
        <v/>
      </c>
      <c r="B113" s="19" t="str">
        <f aca="false">IF($A113="","",INDEX(Apparitions!$A$1:$A$5001,$A113)&amp;"")</f>
        <v/>
      </c>
      <c r="C113" s="19" t="str">
        <f aca="false">IF($A113="","",INDEX(Apparitions!$B$1:$B$5001,$A113)&amp;"")</f>
        <v/>
      </c>
      <c r="D113" s="20" t="str">
        <f aca="false">IF($A113="","",INDEX(Apparitions!$L$1:$L$5001,$A113))</f>
        <v/>
      </c>
      <c r="E113" s="19" t="str">
        <f aca="false">IF($A113="","",INDEX(Apparitions!$C$1:$C$5001,$A113)&amp;"")</f>
        <v/>
      </c>
      <c r="F113" s="19" t="str">
        <f aca="false">IF($A113="","",INDEX(Apparitions!$H$1:$H$5001,$A113)&amp;"")</f>
        <v/>
      </c>
      <c r="G113" s="19" t="str">
        <f aca="false">IF($A113="","",INDEX(Apparitions!$I$1:$I$5001,$A113)&amp;"")</f>
        <v/>
      </c>
      <c r="H113" s="19" t="str">
        <f aca="false">IF($A113="","",INDEX(Apparitions!$J$1:$J$5001,$A113)&amp;"")</f>
        <v/>
      </c>
      <c r="I113" s="19" t="str">
        <f aca="false">IF($A113="","",INDEX(Apparitions!$G$1:$G$5001,$A113)&amp;"")</f>
        <v/>
      </c>
      <c r="J113" s="19" t="str">
        <f aca="false">IF($A113="","",INDEX(Apparitions!$M$1:$M$5001,$A113)&amp;"")</f>
        <v/>
      </c>
      <c r="K113" s="21" t="str">
        <f aca="false">IF($A113="","",INDEX(Apparitions!$K$1:$K$5001,$A113))</f>
        <v/>
      </c>
      <c r="L113" s="22" t="str">
        <f aca="false">IF($A113="","",INDEX(Apparitions!$E$1:$E$5001,$A113)&amp;"")</f>
        <v/>
      </c>
      <c r="M113" s="19" t="str">
        <f aca="false">IF($A113="","",INDEX(Apparitions!$F$1:$F$5001,$A113)&amp;"")</f>
        <v/>
      </c>
      <c r="O113" s="23" t="n">
        <f aca="false">IF(I113="",0,IF(COUNTIF(I$16:I113,I113)=1,1,0))</f>
        <v>0</v>
      </c>
      <c r="P113" s="23" t="n">
        <f aca="false">IF(F113="",0,IF(COUNTIF(F$16:F113,F113)=1,1,0))</f>
        <v>0</v>
      </c>
      <c r="Q113" s="0" t="str">
        <f aca="false">IF(B113="","",B113&amp;"|"&amp;C113)</f>
        <v/>
      </c>
      <c r="R113" s="23" t="n">
        <f aca="false">IF(Q113="",0,IF(COUNTIF(Q$16:Q113,Q113)=1,1,0))</f>
        <v>0</v>
      </c>
    </row>
    <row r="114" customFormat="false" ht="15" hidden="false" customHeight="false" outlineLevel="0" collapsed="false">
      <c r="A114" s="0" t="str">
        <f aca="false">IFERROR(MATCH(99,Apparitions!$N$1:$N$5001,0),"")</f>
        <v/>
      </c>
      <c r="B114" s="19" t="str">
        <f aca="false">IF($A114="","",INDEX(Apparitions!$A$1:$A$5001,$A114)&amp;"")</f>
        <v/>
      </c>
      <c r="C114" s="19" t="str">
        <f aca="false">IF($A114="","",INDEX(Apparitions!$B$1:$B$5001,$A114)&amp;"")</f>
        <v/>
      </c>
      <c r="D114" s="20" t="str">
        <f aca="false">IF($A114="","",INDEX(Apparitions!$L$1:$L$5001,$A114))</f>
        <v/>
      </c>
      <c r="E114" s="19" t="str">
        <f aca="false">IF($A114="","",INDEX(Apparitions!$C$1:$C$5001,$A114)&amp;"")</f>
        <v/>
      </c>
      <c r="F114" s="19" t="str">
        <f aca="false">IF($A114="","",INDEX(Apparitions!$H$1:$H$5001,$A114)&amp;"")</f>
        <v/>
      </c>
      <c r="G114" s="19" t="str">
        <f aca="false">IF($A114="","",INDEX(Apparitions!$I$1:$I$5001,$A114)&amp;"")</f>
        <v/>
      </c>
      <c r="H114" s="19" t="str">
        <f aca="false">IF($A114="","",INDEX(Apparitions!$J$1:$J$5001,$A114)&amp;"")</f>
        <v/>
      </c>
      <c r="I114" s="19" t="str">
        <f aca="false">IF($A114="","",INDEX(Apparitions!$G$1:$G$5001,$A114)&amp;"")</f>
        <v/>
      </c>
      <c r="J114" s="19" t="str">
        <f aca="false">IF($A114="","",INDEX(Apparitions!$M$1:$M$5001,$A114)&amp;"")</f>
        <v/>
      </c>
      <c r="K114" s="21" t="str">
        <f aca="false">IF($A114="","",INDEX(Apparitions!$K$1:$K$5001,$A114))</f>
        <v/>
      </c>
      <c r="L114" s="22" t="str">
        <f aca="false">IF($A114="","",INDEX(Apparitions!$E$1:$E$5001,$A114)&amp;"")</f>
        <v/>
      </c>
      <c r="M114" s="19" t="str">
        <f aca="false">IF($A114="","",INDEX(Apparitions!$F$1:$F$5001,$A114)&amp;"")</f>
        <v/>
      </c>
      <c r="O114" s="23" t="n">
        <f aca="false">IF(I114="",0,IF(COUNTIF(I$16:I114,I114)=1,1,0))</f>
        <v>0</v>
      </c>
      <c r="P114" s="23" t="n">
        <f aca="false">IF(F114="",0,IF(COUNTIF(F$16:F114,F114)=1,1,0))</f>
        <v>0</v>
      </c>
      <c r="Q114" s="0" t="str">
        <f aca="false">IF(B114="","",B114&amp;"|"&amp;C114)</f>
        <v/>
      </c>
      <c r="R114" s="23" t="n">
        <f aca="false">IF(Q114="",0,IF(COUNTIF(Q$16:Q114,Q114)=1,1,0))</f>
        <v>0</v>
      </c>
    </row>
    <row r="115" customFormat="false" ht="15" hidden="false" customHeight="false" outlineLevel="0" collapsed="false">
      <c r="A115" s="0" t="str">
        <f aca="false">IFERROR(MATCH(100,Apparitions!$N$1:$N$5001,0),"")</f>
        <v/>
      </c>
      <c r="B115" s="19" t="str">
        <f aca="false">IF($A115="","",INDEX(Apparitions!$A$1:$A$5001,$A115)&amp;"")</f>
        <v/>
      </c>
      <c r="C115" s="19" t="str">
        <f aca="false">IF($A115="","",INDEX(Apparitions!$B$1:$B$5001,$A115)&amp;"")</f>
        <v/>
      </c>
      <c r="D115" s="20" t="str">
        <f aca="false">IF($A115="","",INDEX(Apparitions!$L$1:$L$5001,$A115))</f>
        <v/>
      </c>
      <c r="E115" s="19" t="str">
        <f aca="false">IF($A115="","",INDEX(Apparitions!$C$1:$C$5001,$A115)&amp;"")</f>
        <v/>
      </c>
      <c r="F115" s="19" t="str">
        <f aca="false">IF($A115="","",INDEX(Apparitions!$H$1:$H$5001,$A115)&amp;"")</f>
        <v/>
      </c>
      <c r="G115" s="19" t="str">
        <f aca="false">IF($A115="","",INDEX(Apparitions!$I$1:$I$5001,$A115)&amp;"")</f>
        <v/>
      </c>
      <c r="H115" s="19" t="str">
        <f aca="false">IF($A115="","",INDEX(Apparitions!$J$1:$J$5001,$A115)&amp;"")</f>
        <v/>
      </c>
      <c r="I115" s="19" t="str">
        <f aca="false">IF($A115="","",INDEX(Apparitions!$G$1:$G$5001,$A115)&amp;"")</f>
        <v/>
      </c>
      <c r="J115" s="19" t="str">
        <f aca="false">IF($A115="","",INDEX(Apparitions!$M$1:$M$5001,$A115)&amp;"")</f>
        <v/>
      </c>
      <c r="K115" s="21" t="str">
        <f aca="false">IF($A115="","",INDEX(Apparitions!$K$1:$K$5001,$A115))</f>
        <v/>
      </c>
      <c r="L115" s="22" t="str">
        <f aca="false">IF($A115="","",INDEX(Apparitions!$E$1:$E$5001,$A115)&amp;"")</f>
        <v/>
      </c>
      <c r="M115" s="19" t="str">
        <f aca="false">IF($A115="","",INDEX(Apparitions!$F$1:$F$5001,$A115)&amp;"")</f>
        <v/>
      </c>
      <c r="O115" s="23" t="n">
        <f aca="false">IF(I115="",0,IF(COUNTIF(I$16:I115,I115)=1,1,0))</f>
        <v>0</v>
      </c>
      <c r="P115" s="23" t="n">
        <f aca="false">IF(F115="",0,IF(COUNTIF(F$16:F115,F115)=1,1,0))</f>
        <v>0</v>
      </c>
      <c r="Q115" s="0" t="str">
        <f aca="false">IF(B115="","",B115&amp;"|"&amp;C115)</f>
        <v/>
      </c>
      <c r="R115" s="23" t="n">
        <f aca="false">IF(Q115="",0,IF(COUNTIF(Q$16:Q115,Q115)=1,1,0))</f>
        <v>0</v>
      </c>
    </row>
    <row r="116" customFormat="false" ht="15" hidden="false" customHeight="false" outlineLevel="0" collapsed="false">
      <c r="A116" s="0" t="str">
        <f aca="false">IFERROR(MATCH(101,Apparitions!$N$1:$N$5001,0),"")</f>
        <v/>
      </c>
      <c r="B116" s="19" t="str">
        <f aca="false">IF($A116="","",INDEX(Apparitions!$A$1:$A$5001,$A116)&amp;"")</f>
        <v/>
      </c>
      <c r="C116" s="19" t="str">
        <f aca="false">IF($A116="","",INDEX(Apparitions!$B$1:$B$5001,$A116)&amp;"")</f>
        <v/>
      </c>
      <c r="D116" s="20" t="str">
        <f aca="false">IF($A116="","",INDEX(Apparitions!$L$1:$L$5001,$A116))</f>
        <v/>
      </c>
      <c r="E116" s="19" t="str">
        <f aca="false">IF($A116="","",INDEX(Apparitions!$C$1:$C$5001,$A116)&amp;"")</f>
        <v/>
      </c>
      <c r="F116" s="19" t="str">
        <f aca="false">IF($A116="","",INDEX(Apparitions!$H$1:$H$5001,$A116)&amp;"")</f>
        <v/>
      </c>
      <c r="G116" s="19" t="str">
        <f aca="false">IF($A116="","",INDEX(Apparitions!$I$1:$I$5001,$A116)&amp;"")</f>
        <v/>
      </c>
      <c r="H116" s="19" t="str">
        <f aca="false">IF($A116="","",INDEX(Apparitions!$J$1:$J$5001,$A116)&amp;"")</f>
        <v/>
      </c>
      <c r="I116" s="19" t="str">
        <f aca="false">IF($A116="","",INDEX(Apparitions!$G$1:$G$5001,$A116)&amp;"")</f>
        <v/>
      </c>
      <c r="J116" s="19" t="str">
        <f aca="false">IF($A116="","",INDEX(Apparitions!$M$1:$M$5001,$A116)&amp;"")</f>
        <v/>
      </c>
      <c r="K116" s="21" t="str">
        <f aca="false">IF($A116="","",INDEX(Apparitions!$K$1:$K$5001,$A116))</f>
        <v/>
      </c>
      <c r="L116" s="22" t="str">
        <f aca="false">IF($A116="","",INDEX(Apparitions!$E$1:$E$5001,$A116)&amp;"")</f>
        <v/>
      </c>
      <c r="M116" s="19" t="str">
        <f aca="false">IF($A116="","",INDEX(Apparitions!$F$1:$F$5001,$A116)&amp;"")</f>
        <v/>
      </c>
      <c r="O116" s="23" t="n">
        <f aca="false">IF(I116="",0,IF(COUNTIF(I$16:I116,I116)=1,1,0))</f>
        <v>0</v>
      </c>
      <c r="P116" s="23" t="n">
        <f aca="false">IF(F116="",0,IF(COUNTIF(F$16:F116,F116)=1,1,0))</f>
        <v>0</v>
      </c>
      <c r="Q116" s="0" t="str">
        <f aca="false">IF(B116="","",B116&amp;"|"&amp;C116)</f>
        <v/>
      </c>
      <c r="R116" s="23" t="n">
        <f aca="false">IF(Q116="",0,IF(COUNTIF(Q$16:Q116,Q116)=1,1,0))</f>
        <v>0</v>
      </c>
    </row>
    <row r="117" customFormat="false" ht="15" hidden="false" customHeight="false" outlineLevel="0" collapsed="false">
      <c r="A117" s="0" t="str">
        <f aca="false">IFERROR(MATCH(102,Apparitions!$N$1:$N$5001,0),"")</f>
        <v/>
      </c>
      <c r="B117" s="19" t="str">
        <f aca="false">IF($A117="","",INDEX(Apparitions!$A$1:$A$5001,$A117)&amp;"")</f>
        <v/>
      </c>
      <c r="C117" s="19" t="str">
        <f aca="false">IF($A117="","",INDEX(Apparitions!$B$1:$B$5001,$A117)&amp;"")</f>
        <v/>
      </c>
      <c r="D117" s="20" t="str">
        <f aca="false">IF($A117="","",INDEX(Apparitions!$L$1:$L$5001,$A117))</f>
        <v/>
      </c>
      <c r="E117" s="19" t="str">
        <f aca="false">IF($A117="","",INDEX(Apparitions!$C$1:$C$5001,$A117)&amp;"")</f>
        <v/>
      </c>
      <c r="F117" s="19" t="str">
        <f aca="false">IF($A117="","",INDEX(Apparitions!$H$1:$H$5001,$A117)&amp;"")</f>
        <v/>
      </c>
      <c r="G117" s="19" t="str">
        <f aca="false">IF($A117="","",INDEX(Apparitions!$I$1:$I$5001,$A117)&amp;"")</f>
        <v/>
      </c>
      <c r="H117" s="19" t="str">
        <f aca="false">IF($A117="","",INDEX(Apparitions!$J$1:$J$5001,$A117)&amp;"")</f>
        <v/>
      </c>
      <c r="I117" s="19" t="str">
        <f aca="false">IF($A117="","",INDEX(Apparitions!$G$1:$G$5001,$A117)&amp;"")</f>
        <v/>
      </c>
      <c r="J117" s="19" t="str">
        <f aca="false">IF($A117="","",INDEX(Apparitions!$M$1:$M$5001,$A117)&amp;"")</f>
        <v/>
      </c>
      <c r="K117" s="21" t="str">
        <f aca="false">IF($A117="","",INDEX(Apparitions!$K$1:$K$5001,$A117))</f>
        <v/>
      </c>
      <c r="L117" s="22" t="str">
        <f aca="false">IF($A117="","",INDEX(Apparitions!$E$1:$E$5001,$A117)&amp;"")</f>
        <v/>
      </c>
      <c r="M117" s="19" t="str">
        <f aca="false">IF($A117="","",INDEX(Apparitions!$F$1:$F$5001,$A117)&amp;"")</f>
        <v/>
      </c>
      <c r="O117" s="23" t="n">
        <f aca="false">IF(I117="",0,IF(COUNTIF(I$16:I117,I117)=1,1,0))</f>
        <v>0</v>
      </c>
      <c r="P117" s="23" t="n">
        <f aca="false">IF(F117="",0,IF(COUNTIF(F$16:F117,F117)=1,1,0))</f>
        <v>0</v>
      </c>
      <c r="Q117" s="0" t="str">
        <f aca="false">IF(B117="","",B117&amp;"|"&amp;C117)</f>
        <v/>
      </c>
      <c r="R117" s="23" t="n">
        <f aca="false">IF(Q117="",0,IF(COUNTIF(Q$16:Q117,Q117)=1,1,0))</f>
        <v>0</v>
      </c>
    </row>
    <row r="118" customFormat="false" ht="15" hidden="false" customHeight="false" outlineLevel="0" collapsed="false">
      <c r="A118" s="0" t="str">
        <f aca="false">IFERROR(MATCH(103,Apparitions!$N$1:$N$5001,0),"")</f>
        <v/>
      </c>
      <c r="B118" s="19" t="str">
        <f aca="false">IF($A118="","",INDEX(Apparitions!$A$1:$A$5001,$A118)&amp;"")</f>
        <v/>
      </c>
      <c r="C118" s="19" t="str">
        <f aca="false">IF($A118="","",INDEX(Apparitions!$B$1:$B$5001,$A118)&amp;"")</f>
        <v/>
      </c>
      <c r="D118" s="20" t="str">
        <f aca="false">IF($A118="","",INDEX(Apparitions!$L$1:$L$5001,$A118))</f>
        <v/>
      </c>
      <c r="E118" s="19" t="str">
        <f aca="false">IF($A118="","",INDEX(Apparitions!$C$1:$C$5001,$A118)&amp;"")</f>
        <v/>
      </c>
      <c r="F118" s="19" t="str">
        <f aca="false">IF($A118="","",INDEX(Apparitions!$H$1:$H$5001,$A118)&amp;"")</f>
        <v/>
      </c>
      <c r="G118" s="19" t="str">
        <f aca="false">IF($A118="","",INDEX(Apparitions!$I$1:$I$5001,$A118)&amp;"")</f>
        <v/>
      </c>
      <c r="H118" s="19" t="str">
        <f aca="false">IF($A118="","",INDEX(Apparitions!$J$1:$J$5001,$A118)&amp;"")</f>
        <v/>
      </c>
      <c r="I118" s="19" t="str">
        <f aca="false">IF($A118="","",INDEX(Apparitions!$G$1:$G$5001,$A118)&amp;"")</f>
        <v/>
      </c>
      <c r="J118" s="19" t="str">
        <f aca="false">IF($A118="","",INDEX(Apparitions!$M$1:$M$5001,$A118)&amp;"")</f>
        <v/>
      </c>
      <c r="K118" s="21" t="str">
        <f aca="false">IF($A118="","",INDEX(Apparitions!$K$1:$K$5001,$A118))</f>
        <v/>
      </c>
      <c r="L118" s="22" t="str">
        <f aca="false">IF($A118="","",INDEX(Apparitions!$E$1:$E$5001,$A118)&amp;"")</f>
        <v/>
      </c>
      <c r="M118" s="19" t="str">
        <f aca="false">IF($A118="","",INDEX(Apparitions!$F$1:$F$5001,$A118)&amp;"")</f>
        <v/>
      </c>
      <c r="O118" s="23" t="n">
        <f aca="false">IF(I118="",0,IF(COUNTIF(I$16:I118,I118)=1,1,0))</f>
        <v>0</v>
      </c>
      <c r="P118" s="23" t="n">
        <f aca="false">IF(F118="",0,IF(COUNTIF(F$16:F118,F118)=1,1,0))</f>
        <v>0</v>
      </c>
      <c r="Q118" s="0" t="str">
        <f aca="false">IF(B118="","",B118&amp;"|"&amp;C118)</f>
        <v/>
      </c>
      <c r="R118" s="23" t="n">
        <f aca="false">IF(Q118="",0,IF(COUNTIF(Q$16:Q118,Q118)=1,1,0))</f>
        <v>0</v>
      </c>
    </row>
    <row r="119" customFormat="false" ht="15" hidden="false" customHeight="false" outlineLevel="0" collapsed="false">
      <c r="A119" s="0" t="str">
        <f aca="false">IFERROR(MATCH(104,Apparitions!$N$1:$N$5001,0),"")</f>
        <v/>
      </c>
      <c r="B119" s="19" t="str">
        <f aca="false">IF($A119="","",INDEX(Apparitions!$A$1:$A$5001,$A119)&amp;"")</f>
        <v/>
      </c>
      <c r="C119" s="19" t="str">
        <f aca="false">IF($A119="","",INDEX(Apparitions!$B$1:$B$5001,$A119)&amp;"")</f>
        <v/>
      </c>
      <c r="D119" s="20" t="str">
        <f aca="false">IF($A119="","",INDEX(Apparitions!$L$1:$L$5001,$A119))</f>
        <v/>
      </c>
      <c r="E119" s="19" t="str">
        <f aca="false">IF($A119="","",INDEX(Apparitions!$C$1:$C$5001,$A119)&amp;"")</f>
        <v/>
      </c>
      <c r="F119" s="19" t="str">
        <f aca="false">IF($A119="","",INDEX(Apparitions!$H$1:$H$5001,$A119)&amp;"")</f>
        <v/>
      </c>
      <c r="G119" s="19" t="str">
        <f aca="false">IF($A119="","",INDEX(Apparitions!$I$1:$I$5001,$A119)&amp;"")</f>
        <v/>
      </c>
      <c r="H119" s="19" t="str">
        <f aca="false">IF($A119="","",INDEX(Apparitions!$J$1:$J$5001,$A119)&amp;"")</f>
        <v/>
      </c>
      <c r="I119" s="19" t="str">
        <f aca="false">IF($A119="","",INDEX(Apparitions!$G$1:$G$5001,$A119)&amp;"")</f>
        <v/>
      </c>
      <c r="J119" s="19" t="str">
        <f aca="false">IF($A119="","",INDEX(Apparitions!$M$1:$M$5001,$A119)&amp;"")</f>
        <v/>
      </c>
      <c r="K119" s="21" t="str">
        <f aca="false">IF($A119="","",INDEX(Apparitions!$K$1:$K$5001,$A119))</f>
        <v/>
      </c>
      <c r="L119" s="22" t="str">
        <f aca="false">IF($A119="","",INDEX(Apparitions!$E$1:$E$5001,$A119)&amp;"")</f>
        <v/>
      </c>
      <c r="M119" s="19" t="str">
        <f aca="false">IF($A119="","",INDEX(Apparitions!$F$1:$F$5001,$A119)&amp;"")</f>
        <v/>
      </c>
      <c r="O119" s="23" t="n">
        <f aca="false">IF(I119="",0,IF(COUNTIF(I$16:I119,I119)=1,1,0))</f>
        <v>0</v>
      </c>
      <c r="P119" s="23" t="n">
        <f aca="false">IF(F119="",0,IF(COUNTIF(F$16:F119,F119)=1,1,0))</f>
        <v>0</v>
      </c>
      <c r="Q119" s="0" t="str">
        <f aca="false">IF(B119="","",B119&amp;"|"&amp;C119)</f>
        <v/>
      </c>
      <c r="R119" s="23" t="n">
        <f aca="false">IF(Q119="",0,IF(COUNTIF(Q$16:Q119,Q119)=1,1,0))</f>
        <v>0</v>
      </c>
    </row>
    <row r="120" customFormat="false" ht="15" hidden="false" customHeight="false" outlineLevel="0" collapsed="false">
      <c r="A120" s="0" t="str">
        <f aca="false">IFERROR(MATCH(105,Apparitions!$N$1:$N$5001,0),"")</f>
        <v/>
      </c>
      <c r="B120" s="19" t="str">
        <f aca="false">IF($A120="","",INDEX(Apparitions!$A$1:$A$5001,$A120)&amp;"")</f>
        <v/>
      </c>
      <c r="C120" s="19" t="str">
        <f aca="false">IF($A120="","",INDEX(Apparitions!$B$1:$B$5001,$A120)&amp;"")</f>
        <v/>
      </c>
      <c r="D120" s="20" t="str">
        <f aca="false">IF($A120="","",INDEX(Apparitions!$L$1:$L$5001,$A120))</f>
        <v/>
      </c>
      <c r="E120" s="19" t="str">
        <f aca="false">IF($A120="","",INDEX(Apparitions!$C$1:$C$5001,$A120)&amp;"")</f>
        <v/>
      </c>
      <c r="F120" s="19" t="str">
        <f aca="false">IF($A120="","",INDEX(Apparitions!$H$1:$H$5001,$A120)&amp;"")</f>
        <v/>
      </c>
      <c r="G120" s="19" t="str">
        <f aca="false">IF($A120="","",INDEX(Apparitions!$I$1:$I$5001,$A120)&amp;"")</f>
        <v/>
      </c>
      <c r="H120" s="19" t="str">
        <f aca="false">IF($A120="","",INDEX(Apparitions!$J$1:$J$5001,$A120)&amp;"")</f>
        <v/>
      </c>
      <c r="I120" s="19" t="str">
        <f aca="false">IF($A120="","",INDEX(Apparitions!$G$1:$G$5001,$A120)&amp;"")</f>
        <v/>
      </c>
      <c r="J120" s="19" t="str">
        <f aca="false">IF($A120="","",INDEX(Apparitions!$M$1:$M$5001,$A120)&amp;"")</f>
        <v/>
      </c>
      <c r="K120" s="21" t="str">
        <f aca="false">IF($A120="","",INDEX(Apparitions!$K$1:$K$5001,$A120))</f>
        <v/>
      </c>
      <c r="L120" s="22" t="str">
        <f aca="false">IF($A120="","",INDEX(Apparitions!$E$1:$E$5001,$A120)&amp;"")</f>
        <v/>
      </c>
      <c r="M120" s="19" t="str">
        <f aca="false">IF($A120="","",INDEX(Apparitions!$F$1:$F$5001,$A120)&amp;"")</f>
        <v/>
      </c>
      <c r="O120" s="23" t="n">
        <f aca="false">IF(I120="",0,IF(COUNTIF(I$16:I120,I120)=1,1,0))</f>
        <v>0</v>
      </c>
      <c r="P120" s="23" t="n">
        <f aca="false">IF(F120="",0,IF(COUNTIF(F$16:F120,F120)=1,1,0))</f>
        <v>0</v>
      </c>
      <c r="Q120" s="0" t="str">
        <f aca="false">IF(B120="","",B120&amp;"|"&amp;C120)</f>
        <v/>
      </c>
      <c r="R120" s="23" t="n">
        <f aca="false">IF(Q120="",0,IF(COUNTIF(Q$16:Q120,Q120)=1,1,0))</f>
        <v>0</v>
      </c>
    </row>
    <row r="121" customFormat="false" ht="15" hidden="false" customHeight="false" outlineLevel="0" collapsed="false">
      <c r="A121" s="0" t="str">
        <f aca="false">IFERROR(MATCH(106,Apparitions!$N$1:$N$5001,0),"")</f>
        <v/>
      </c>
      <c r="B121" s="19" t="str">
        <f aca="false">IF($A121="","",INDEX(Apparitions!$A$1:$A$5001,$A121)&amp;"")</f>
        <v/>
      </c>
      <c r="C121" s="19" t="str">
        <f aca="false">IF($A121="","",INDEX(Apparitions!$B$1:$B$5001,$A121)&amp;"")</f>
        <v/>
      </c>
      <c r="D121" s="20" t="str">
        <f aca="false">IF($A121="","",INDEX(Apparitions!$L$1:$L$5001,$A121))</f>
        <v/>
      </c>
      <c r="E121" s="19" t="str">
        <f aca="false">IF($A121="","",INDEX(Apparitions!$C$1:$C$5001,$A121)&amp;"")</f>
        <v/>
      </c>
      <c r="F121" s="19" t="str">
        <f aca="false">IF($A121="","",INDEX(Apparitions!$H$1:$H$5001,$A121)&amp;"")</f>
        <v/>
      </c>
      <c r="G121" s="19" t="str">
        <f aca="false">IF($A121="","",INDEX(Apparitions!$I$1:$I$5001,$A121)&amp;"")</f>
        <v/>
      </c>
      <c r="H121" s="19" t="str">
        <f aca="false">IF($A121="","",INDEX(Apparitions!$J$1:$J$5001,$A121)&amp;"")</f>
        <v/>
      </c>
      <c r="I121" s="19" t="str">
        <f aca="false">IF($A121="","",INDEX(Apparitions!$G$1:$G$5001,$A121)&amp;"")</f>
        <v/>
      </c>
      <c r="J121" s="19" t="str">
        <f aca="false">IF($A121="","",INDEX(Apparitions!$M$1:$M$5001,$A121)&amp;"")</f>
        <v/>
      </c>
      <c r="K121" s="21" t="str">
        <f aca="false">IF($A121="","",INDEX(Apparitions!$K$1:$K$5001,$A121))</f>
        <v/>
      </c>
      <c r="L121" s="22" t="str">
        <f aca="false">IF($A121="","",INDEX(Apparitions!$E$1:$E$5001,$A121)&amp;"")</f>
        <v/>
      </c>
      <c r="M121" s="19" t="str">
        <f aca="false">IF($A121="","",INDEX(Apparitions!$F$1:$F$5001,$A121)&amp;"")</f>
        <v/>
      </c>
      <c r="O121" s="23" t="n">
        <f aca="false">IF(I121="",0,IF(COUNTIF(I$16:I121,I121)=1,1,0))</f>
        <v>0</v>
      </c>
      <c r="P121" s="23" t="n">
        <f aca="false">IF(F121="",0,IF(COUNTIF(F$16:F121,F121)=1,1,0))</f>
        <v>0</v>
      </c>
      <c r="Q121" s="0" t="str">
        <f aca="false">IF(B121="","",B121&amp;"|"&amp;C121)</f>
        <v/>
      </c>
      <c r="R121" s="23" t="n">
        <f aca="false">IF(Q121="",0,IF(COUNTIF(Q$16:Q121,Q121)=1,1,0))</f>
        <v>0</v>
      </c>
    </row>
    <row r="122" customFormat="false" ht="15" hidden="false" customHeight="false" outlineLevel="0" collapsed="false">
      <c r="A122" s="0" t="str">
        <f aca="false">IFERROR(MATCH(107,Apparitions!$N$1:$N$5001,0),"")</f>
        <v/>
      </c>
      <c r="B122" s="19" t="str">
        <f aca="false">IF($A122="","",INDEX(Apparitions!$A$1:$A$5001,$A122)&amp;"")</f>
        <v/>
      </c>
      <c r="C122" s="19" t="str">
        <f aca="false">IF($A122="","",INDEX(Apparitions!$B$1:$B$5001,$A122)&amp;"")</f>
        <v/>
      </c>
      <c r="D122" s="20" t="str">
        <f aca="false">IF($A122="","",INDEX(Apparitions!$L$1:$L$5001,$A122))</f>
        <v/>
      </c>
      <c r="E122" s="19" t="str">
        <f aca="false">IF($A122="","",INDEX(Apparitions!$C$1:$C$5001,$A122)&amp;"")</f>
        <v/>
      </c>
      <c r="F122" s="19" t="str">
        <f aca="false">IF($A122="","",INDEX(Apparitions!$H$1:$H$5001,$A122)&amp;"")</f>
        <v/>
      </c>
      <c r="G122" s="19" t="str">
        <f aca="false">IF($A122="","",INDEX(Apparitions!$I$1:$I$5001,$A122)&amp;"")</f>
        <v/>
      </c>
      <c r="H122" s="19" t="str">
        <f aca="false">IF($A122="","",INDEX(Apparitions!$J$1:$J$5001,$A122)&amp;"")</f>
        <v/>
      </c>
      <c r="I122" s="19" t="str">
        <f aca="false">IF($A122="","",INDEX(Apparitions!$G$1:$G$5001,$A122)&amp;"")</f>
        <v/>
      </c>
      <c r="J122" s="19" t="str">
        <f aca="false">IF($A122="","",INDEX(Apparitions!$M$1:$M$5001,$A122)&amp;"")</f>
        <v/>
      </c>
      <c r="K122" s="21" t="str">
        <f aca="false">IF($A122="","",INDEX(Apparitions!$K$1:$K$5001,$A122))</f>
        <v/>
      </c>
      <c r="L122" s="22" t="str">
        <f aca="false">IF($A122="","",INDEX(Apparitions!$E$1:$E$5001,$A122)&amp;"")</f>
        <v/>
      </c>
      <c r="M122" s="19" t="str">
        <f aca="false">IF($A122="","",INDEX(Apparitions!$F$1:$F$5001,$A122)&amp;"")</f>
        <v/>
      </c>
      <c r="O122" s="23" t="n">
        <f aca="false">IF(I122="",0,IF(COUNTIF(I$16:I122,I122)=1,1,0))</f>
        <v>0</v>
      </c>
      <c r="P122" s="23" t="n">
        <f aca="false">IF(F122="",0,IF(COUNTIF(F$16:F122,F122)=1,1,0))</f>
        <v>0</v>
      </c>
      <c r="Q122" s="0" t="str">
        <f aca="false">IF(B122="","",B122&amp;"|"&amp;C122)</f>
        <v/>
      </c>
      <c r="R122" s="23" t="n">
        <f aca="false">IF(Q122="",0,IF(COUNTIF(Q$16:Q122,Q122)=1,1,0))</f>
        <v>0</v>
      </c>
    </row>
    <row r="123" customFormat="false" ht="15" hidden="false" customHeight="false" outlineLevel="0" collapsed="false">
      <c r="A123" s="0" t="str">
        <f aca="false">IFERROR(MATCH(108,Apparitions!$N$1:$N$5001,0),"")</f>
        <v/>
      </c>
      <c r="B123" s="19" t="str">
        <f aca="false">IF($A123="","",INDEX(Apparitions!$A$1:$A$5001,$A123)&amp;"")</f>
        <v/>
      </c>
      <c r="C123" s="19" t="str">
        <f aca="false">IF($A123="","",INDEX(Apparitions!$B$1:$B$5001,$A123)&amp;"")</f>
        <v/>
      </c>
      <c r="D123" s="20" t="str">
        <f aca="false">IF($A123="","",INDEX(Apparitions!$L$1:$L$5001,$A123))</f>
        <v/>
      </c>
      <c r="E123" s="19" t="str">
        <f aca="false">IF($A123="","",INDEX(Apparitions!$C$1:$C$5001,$A123)&amp;"")</f>
        <v/>
      </c>
      <c r="F123" s="19" t="str">
        <f aca="false">IF($A123="","",INDEX(Apparitions!$H$1:$H$5001,$A123)&amp;"")</f>
        <v/>
      </c>
      <c r="G123" s="19" t="str">
        <f aca="false">IF($A123="","",INDEX(Apparitions!$I$1:$I$5001,$A123)&amp;"")</f>
        <v/>
      </c>
      <c r="H123" s="19" t="str">
        <f aca="false">IF($A123="","",INDEX(Apparitions!$J$1:$J$5001,$A123)&amp;"")</f>
        <v/>
      </c>
      <c r="I123" s="19" t="str">
        <f aca="false">IF($A123="","",INDEX(Apparitions!$G$1:$G$5001,$A123)&amp;"")</f>
        <v/>
      </c>
      <c r="J123" s="19" t="str">
        <f aca="false">IF($A123="","",INDEX(Apparitions!$M$1:$M$5001,$A123)&amp;"")</f>
        <v/>
      </c>
      <c r="K123" s="21" t="str">
        <f aca="false">IF($A123="","",INDEX(Apparitions!$K$1:$K$5001,$A123))</f>
        <v/>
      </c>
      <c r="L123" s="22" t="str">
        <f aca="false">IF($A123="","",INDEX(Apparitions!$E$1:$E$5001,$A123)&amp;"")</f>
        <v/>
      </c>
      <c r="M123" s="19" t="str">
        <f aca="false">IF($A123="","",INDEX(Apparitions!$F$1:$F$5001,$A123)&amp;"")</f>
        <v/>
      </c>
      <c r="O123" s="23" t="n">
        <f aca="false">IF(I123="",0,IF(COUNTIF(I$16:I123,I123)=1,1,0))</f>
        <v>0</v>
      </c>
      <c r="P123" s="23" t="n">
        <f aca="false">IF(F123="",0,IF(COUNTIF(F$16:F123,F123)=1,1,0))</f>
        <v>0</v>
      </c>
      <c r="Q123" s="0" t="str">
        <f aca="false">IF(B123="","",B123&amp;"|"&amp;C123)</f>
        <v/>
      </c>
      <c r="R123" s="23" t="n">
        <f aca="false">IF(Q123="",0,IF(COUNTIF(Q$16:Q123,Q123)=1,1,0))</f>
        <v>0</v>
      </c>
    </row>
    <row r="124" customFormat="false" ht="15" hidden="false" customHeight="false" outlineLevel="0" collapsed="false">
      <c r="A124" s="0" t="str">
        <f aca="false">IFERROR(MATCH(109,Apparitions!$N$1:$N$5001,0),"")</f>
        <v/>
      </c>
      <c r="B124" s="19" t="str">
        <f aca="false">IF($A124="","",INDEX(Apparitions!$A$1:$A$5001,$A124)&amp;"")</f>
        <v/>
      </c>
      <c r="C124" s="19" t="str">
        <f aca="false">IF($A124="","",INDEX(Apparitions!$B$1:$B$5001,$A124)&amp;"")</f>
        <v/>
      </c>
      <c r="D124" s="20" t="str">
        <f aca="false">IF($A124="","",INDEX(Apparitions!$L$1:$L$5001,$A124))</f>
        <v/>
      </c>
      <c r="E124" s="19" t="str">
        <f aca="false">IF($A124="","",INDEX(Apparitions!$C$1:$C$5001,$A124)&amp;"")</f>
        <v/>
      </c>
      <c r="F124" s="19" t="str">
        <f aca="false">IF($A124="","",INDEX(Apparitions!$H$1:$H$5001,$A124)&amp;"")</f>
        <v/>
      </c>
      <c r="G124" s="19" t="str">
        <f aca="false">IF($A124="","",INDEX(Apparitions!$I$1:$I$5001,$A124)&amp;"")</f>
        <v/>
      </c>
      <c r="H124" s="19" t="str">
        <f aca="false">IF($A124="","",INDEX(Apparitions!$J$1:$J$5001,$A124)&amp;"")</f>
        <v/>
      </c>
      <c r="I124" s="19" t="str">
        <f aca="false">IF($A124="","",INDEX(Apparitions!$G$1:$G$5001,$A124)&amp;"")</f>
        <v/>
      </c>
      <c r="J124" s="19" t="str">
        <f aca="false">IF($A124="","",INDEX(Apparitions!$M$1:$M$5001,$A124)&amp;"")</f>
        <v/>
      </c>
      <c r="K124" s="21" t="str">
        <f aca="false">IF($A124="","",INDEX(Apparitions!$K$1:$K$5001,$A124))</f>
        <v/>
      </c>
      <c r="L124" s="22" t="str">
        <f aca="false">IF($A124="","",INDEX(Apparitions!$E$1:$E$5001,$A124)&amp;"")</f>
        <v/>
      </c>
      <c r="M124" s="19" t="str">
        <f aca="false">IF($A124="","",INDEX(Apparitions!$F$1:$F$5001,$A124)&amp;"")</f>
        <v/>
      </c>
      <c r="O124" s="23" t="n">
        <f aca="false">IF(I124="",0,IF(COUNTIF(I$16:I124,I124)=1,1,0))</f>
        <v>0</v>
      </c>
      <c r="P124" s="23" t="n">
        <f aca="false">IF(F124="",0,IF(COUNTIF(F$16:F124,F124)=1,1,0))</f>
        <v>0</v>
      </c>
      <c r="Q124" s="0" t="str">
        <f aca="false">IF(B124="","",B124&amp;"|"&amp;C124)</f>
        <v/>
      </c>
      <c r="R124" s="23" t="n">
        <f aca="false">IF(Q124="",0,IF(COUNTIF(Q$16:Q124,Q124)=1,1,0))</f>
        <v>0</v>
      </c>
    </row>
    <row r="125" customFormat="false" ht="15" hidden="false" customHeight="false" outlineLevel="0" collapsed="false">
      <c r="A125" s="0" t="str">
        <f aca="false">IFERROR(MATCH(110,Apparitions!$N$1:$N$5001,0),"")</f>
        <v/>
      </c>
      <c r="B125" s="19" t="str">
        <f aca="false">IF($A125="","",INDEX(Apparitions!$A$1:$A$5001,$A125)&amp;"")</f>
        <v/>
      </c>
      <c r="C125" s="19" t="str">
        <f aca="false">IF($A125="","",INDEX(Apparitions!$B$1:$B$5001,$A125)&amp;"")</f>
        <v/>
      </c>
      <c r="D125" s="20" t="str">
        <f aca="false">IF($A125="","",INDEX(Apparitions!$L$1:$L$5001,$A125))</f>
        <v/>
      </c>
      <c r="E125" s="19" t="str">
        <f aca="false">IF($A125="","",INDEX(Apparitions!$C$1:$C$5001,$A125)&amp;"")</f>
        <v/>
      </c>
      <c r="F125" s="19" t="str">
        <f aca="false">IF($A125="","",INDEX(Apparitions!$H$1:$H$5001,$A125)&amp;"")</f>
        <v/>
      </c>
      <c r="G125" s="19" t="str">
        <f aca="false">IF($A125="","",INDEX(Apparitions!$I$1:$I$5001,$A125)&amp;"")</f>
        <v/>
      </c>
      <c r="H125" s="19" t="str">
        <f aca="false">IF($A125="","",INDEX(Apparitions!$J$1:$J$5001,$A125)&amp;"")</f>
        <v/>
      </c>
      <c r="I125" s="19" t="str">
        <f aca="false">IF($A125="","",INDEX(Apparitions!$G$1:$G$5001,$A125)&amp;"")</f>
        <v/>
      </c>
      <c r="J125" s="19" t="str">
        <f aca="false">IF($A125="","",INDEX(Apparitions!$M$1:$M$5001,$A125)&amp;"")</f>
        <v/>
      </c>
      <c r="K125" s="21" t="str">
        <f aca="false">IF($A125="","",INDEX(Apparitions!$K$1:$K$5001,$A125))</f>
        <v/>
      </c>
      <c r="L125" s="22" t="str">
        <f aca="false">IF($A125="","",INDEX(Apparitions!$E$1:$E$5001,$A125)&amp;"")</f>
        <v/>
      </c>
      <c r="M125" s="19" t="str">
        <f aca="false">IF($A125="","",INDEX(Apparitions!$F$1:$F$5001,$A125)&amp;"")</f>
        <v/>
      </c>
      <c r="O125" s="23" t="n">
        <f aca="false">IF(I125="",0,IF(COUNTIF(I$16:I125,I125)=1,1,0))</f>
        <v>0</v>
      </c>
      <c r="P125" s="23" t="n">
        <f aca="false">IF(F125="",0,IF(COUNTIF(F$16:F125,F125)=1,1,0))</f>
        <v>0</v>
      </c>
      <c r="Q125" s="0" t="str">
        <f aca="false">IF(B125="","",B125&amp;"|"&amp;C125)</f>
        <v/>
      </c>
      <c r="R125" s="23" t="n">
        <f aca="false">IF(Q125="",0,IF(COUNTIF(Q$16:Q125,Q125)=1,1,0))</f>
        <v>0</v>
      </c>
    </row>
    <row r="126" customFormat="false" ht="15" hidden="false" customHeight="false" outlineLevel="0" collapsed="false">
      <c r="A126" s="0" t="str">
        <f aca="false">IFERROR(MATCH(111,Apparitions!$N$1:$N$5001,0),"")</f>
        <v/>
      </c>
      <c r="B126" s="19" t="str">
        <f aca="false">IF($A126="","",INDEX(Apparitions!$A$1:$A$5001,$A126)&amp;"")</f>
        <v/>
      </c>
      <c r="C126" s="19" t="str">
        <f aca="false">IF($A126="","",INDEX(Apparitions!$B$1:$B$5001,$A126)&amp;"")</f>
        <v/>
      </c>
      <c r="D126" s="20" t="str">
        <f aca="false">IF($A126="","",INDEX(Apparitions!$L$1:$L$5001,$A126))</f>
        <v/>
      </c>
      <c r="E126" s="19" t="str">
        <f aca="false">IF($A126="","",INDEX(Apparitions!$C$1:$C$5001,$A126)&amp;"")</f>
        <v/>
      </c>
      <c r="F126" s="19" t="str">
        <f aca="false">IF($A126="","",INDEX(Apparitions!$H$1:$H$5001,$A126)&amp;"")</f>
        <v/>
      </c>
      <c r="G126" s="19" t="str">
        <f aca="false">IF($A126="","",INDEX(Apparitions!$I$1:$I$5001,$A126)&amp;"")</f>
        <v/>
      </c>
      <c r="H126" s="19" t="str">
        <f aca="false">IF($A126="","",INDEX(Apparitions!$J$1:$J$5001,$A126)&amp;"")</f>
        <v/>
      </c>
      <c r="I126" s="19" t="str">
        <f aca="false">IF($A126="","",INDEX(Apparitions!$G$1:$G$5001,$A126)&amp;"")</f>
        <v/>
      </c>
      <c r="J126" s="19" t="str">
        <f aca="false">IF($A126="","",INDEX(Apparitions!$M$1:$M$5001,$A126)&amp;"")</f>
        <v/>
      </c>
      <c r="K126" s="21" t="str">
        <f aca="false">IF($A126="","",INDEX(Apparitions!$K$1:$K$5001,$A126))</f>
        <v/>
      </c>
      <c r="L126" s="22" t="str">
        <f aca="false">IF($A126="","",INDEX(Apparitions!$E$1:$E$5001,$A126)&amp;"")</f>
        <v/>
      </c>
      <c r="M126" s="19" t="str">
        <f aca="false">IF($A126="","",INDEX(Apparitions!$F$1:$F$5001,$A126)&amp;"")</f>
        <v/>
      </c>
      <c r="O126" s="23" t="n">
        <f aca="false">IF(I126="",0,IF(COUNTIF(I$16:I126,I126)=1,1,0))</f>
        <v>0</v>
      </c>
      <c r="P126" s="23" t="n">
        <f aca="false">IF(F126="",0,IF(COUNTIF(F$16:F126,F126)=1,1,0))</f>
        <v>0</v>
      </c>
      <c r="Q126" s="0" t="str">
        <f aca="false">IF(B126="","",B126&amp;"|"&amp;C126)</f>
        <v/>
      </c>
      <c r="R126" s="23" t="n">
        <f aca="false">IF(Q126="",0,IF(COUNTIF(Q$16:Q126,Q126)=1,1,0))</f>
        <v>0</v>
      </c>
    </row>
    <row r="127" customFormat="false" ht="15" hidden="false" customHeight="false" outlineLevel="0" collapsed="false">
      <c r="A127" s="0" t="str">
        <f aca="false">IFERROR(MATCH(112,Apparitions!$N$1:$N$5001,0),"")</f>
        <v/>
      </c>
      <c r="B127" s="19" t="str">
        <f aca="false">IF($A127="","",INDEX(Apparitions!$A$1:$A$5001,$A127)&amp;"")</f>
        <v/>
      </c>
      <c r="C127" s="19" t="str">
        <f aca="false">IF($A127="","",INDEX(Apparitions!$B$1:$B$5001,$A127)&amp;"")</f>
        <v/>
      </c>
      <c r="D127" s="20" t="str">
        <f aca="false">IF($A127="","",INDEX(Apparitions!$L$1:$L$5001,$A127))</f>
        <v/>
      </c>
      <c r="E127" s="19" t="str">
        <f aca="false">IF($A127="","",INDEX(Apparitions!$C$1:$C$5001,$A127)&amp;"")</f>
        <v/>
      </c>
      <c r="F127" s="19" t="str">
        <f aca="false">IF($A127="","",INDEX(Apparitions!$H$1:$H$5001,$A127)&amp;"")</f>
        <v/>
      </c>
      <c r="G127" s="19" t="str">
        <f aca="false">IF($A127="","",INDEX(Apparitions!$I$1:$I$5001,$A127)&amp;"")</f>
        <v/>
      </c>
      <c r="H127" s="19" t="str">
        <f aca="false">IF($A127="","",INDEX(Apparitions!$J$1:$J$5001,$A127)&amp;"")</f>
        <v/>
      </c>
      <c r="I127" s="19" t="str">
        <f aca="false">IF($A127="","",INDEX(Apparitions!$G$1:$G$5001,$A127)&amp;"")</f>
        <v/>
      </c>
      <c r="J127" s="19" t="str">
        <f aca="false">IF($A127="","",INDEX(Apparitions!$M$1:$M$5001,$A127)&amp;"")</f>
        <v/>
      </c>
      <c r="K127" s="21" t="str">
        <f aca="false">IF($A127="","",INDEX(Apparitions!$K$1:$K$5001,$A127))</f>
        <v/>
      </c>
      <c r="L127" s="22" t="str">
        <f aca="false">IF($A127="","",INDEX(Apparitions!$E$1:$E$5001,$A127)&amp;"")</f>
        <v/>
      </c>
      <c r="M127" s="19" t="str">
        <f aca="false">IF($A127="","",INDEX(Apparitions!$F$1:$F$5001,$A127)&amp;"")</f>
        <v/>
      </c>
      <c r="O127" s="23" t="n">
        <f aca="false">IF(I127="",0,IF(COUNTIF(I$16:I127,I127)=1,1,0))</f>
        <v>0</v>
      </c>
      <c r="P127" s="23" t="n">
        <f aca="false">IF(F127="",0,IF(COUNTIF(F$16:F127,F127)=1,1,0))</f>
        <v>0</v>
      </c>
      <c r="Q127" s="0" t="str">
        <f aca="false">IF(B127="","",B127&amp;"|"&amp;C127)</f>
        <v/>
      </c>
      <c r="R127" s="23" t="n">
        <f aca="false">IF(Q127="",0,IF(COUNTIF(Q$16:Q127,Q127)=1,1,0))</f>
        <v>0</v>
      </c>
    </row>
    <row r="128" customFormat="false" ht="15" hidden="false" customHeight="false" outlineLevel="0" collapsed="false">
      <c r="A128" s="0" t="str">
        <f aca="false">IFERROR(MATCH(113,Apparitions!$N$1:$N$5001,0),"")</f>
        <v/>
      </c>
      <c r="B128" s="19" t="str">
        <f aca="false">IF($A128="","",INDEX(Apparitions!$A$1:$A$5001,$A128)&amp;"")</f>
        <v/>
      </c>
      <c r="C128" s="19" t="str">
        <f aca="false">IF($A128="","",INDEX(Apparitions!$B$1:$B$5001,$A128)&amp;"")</f>
        <v/>
      </c>
      <c r="D128" s="20" t="str">
        <f aca="false">IF($A128="","",INDEX(Apparitions!$L$1:$L$5001,$A128))</f>
        <v/>
      </c>
      <c r="E128" s="19" t="str">
        <f aca="false">IF($A128="","",INDEX(Apparitions!$C$1:$C$5001,$A128)&amp;"")</f>
        <v/>
      </c>
      <c r="F128" s="19" t="str">
        <f aca="false">IF($A128="","",INDEX(Apparitions!$H$1:$H$5001,$A128)&amp;"")</f>
        <v/>
      </c>
      <c r="G128" s="19" t="str">
        <f aca="false">IF($A128="","",INDEX(Apparitions!$I$1:$I$5001,$A128)&amp;"")</f>
        <v/>
      </c>
      <c r="H128" s="19" t="str">
        <f aca="false">IF($A128="","",INDEX(Apparitions!$J$1:$J$5001,$A128)&amp;"")</f>
        <v/>
      </c>
      <c r="I128" s="19" t="str">
        <f aca="false">IF($A128="","",INDEX(Apparitions!$G$1:$G$5001,$A128)&amp;"")</f>
        <v/>
      </c>
      <c r="J128" s="19" t="str">
        <f aca="false">IF($A128="","",INDEX(Apparitions!$M$1:$M$5001,$A128)&amp;"")</f>
        <v/>
      </c>
      <c r="K128" s="21" t="str">
        <f aca="false">IF($A128="","",INDEX(Apparitions!$K$1:$K$5001,$A128))</f>
        <v/>
      </c>
      <c r="L128" s="22" t="str">
        <f aca="false">IF($A128="","",INDEX(Apparitions!$E$1:$E$5001,$A128)&amp;"")</f>
        <v/>
      </c>
      <c r="M128" s="19" t="str">
        <f aca="false">IF($A128="","",INDEX(Apparitions!$F$1:$F$5001,$A128)&amp;"")</f>
        <v/>
      </c>
      <c r="O128" s="23" t="n">
        <f aca="false">IF(I128="",0,IF(COUNTIF(I$16:I128,I128)=1,1,0))</f>
        <v>0</v>
      </c>
      <c r="P128" s="23" t="n">
        <f aca="false">IF(F128="",0,IF(COUNTIF(F$16:F128,F128)=1,1,0))</f>
        <v>0</v>
      </c>
      <c r="Q128" s="0" t="str">
        <f aca="false">IF(B128="","",B128&amp;"|"&amp;C128)</f>
        <v/>
      </c>
      <c r="R128" s="23" t="n">
        <f aca="false">IF(Q128="",0,IF(COUNTIF(Q$16:Q128,Q128)=1,1,0))</f>
        <v>0</v>
      </c>
    </row>
    <row r="129" customFormat="false" ht="15" hidden="false" customHeight="false" outlineLevel="0" collapsed="false">
      <c r="A129" s="0" t="str">
        <f aca="false">IFERROR(MATCH(114,Apparitions!$N$1:$N$5001,0),"")</f>
        <v/>
      </c>
      <c r="B129" s="19" t="str">
        <f aca="false">IF($A129="","",INDEX(Apparitions!$A$1:$A$5001,$A129)&amp;"")</f>
        <v/>
      </c>
      <c r="C129" s="19" t="str">
        <f aca="false">IF($A129="","",INDEX(Apparitions!$B$1:$B$5001,$A129)&amp;"")</f>
        <v/>
      </c>
      <c r="D129" s="20" t="str">
        <f aca="false">IF($A129="","",INDEX(Apparitions!$L$1:$L$5001,$A129))</f>
        <v/>
      </c>
      <c r="E129" s="19" t="str">
        <f aca="false">IF($A129="","",INDEX(Apparitions!$C$1:$C$5001,$A129)&amp;"")</f>
        <v/>
      </c>
      <c r="F129" s="19" t="str">
        <f aca="false">IF($A129="","",INDEX(Apparitions!$H$1:$H$5001,$A129)&amp;"")</f>
        <v/>
      </c>
      <c r="G129" s="19" t="str">
        <f aca="false">IF($A129="","",INDEX(Apparitions!$I$1:$I$5001,$A129)&amp;"")</f>
        <v/>
      </c>
      <c r="H129" s="19" t="str">
        <f aca="false">IF($A129="","",INDEX(Apparitions!$J$1:$J$5001,$A129)&amp;"")</f>
        <v/>
      </c>
      <c r="I129" s="19" t="str">
        <f aca="false">IF($A129="","",INDEX(Apparitions!$G$1:$G$5001,$A129)&amp;"")</f>
        <v/>
      </c>
      <c r="J129" s="19" t="str">
        <f aca="false">IF($A129="","",INDEX(Apparitions!$M$1:$M$5001,$A129)&amp;"")</f>
        <v/>
      </c>
      <c r="K129" s="21" t="str">
        <f aca="false">IF($A129="","",INDEX(Apparitions!$K$1:$K$5001,$A129))</f>
        <v/>
      </c>
      <c r="L129" s="22" t="str">
        <f aca="false">IF($A129="","",INDEX(Apparitions!$E$1:$E$5001,$A129)&amp;"")</f>
        <v/>
      </c>
      <c r="M129" s="19" t="str">
        <f aca="false">IF($A129="","",INDEX(Apparitions!$F$1:$F$5001,$A129)&amp;"")</f>
        <v/>
      </c>
      <c r="O129" s="23" t="n">
        <f aca="false">IF(I129="",0,IF(COUNTIF(I$16:I129,I129)=1,1,0))</f>
        <v>0</v>
      </c>
      <c r="P129" s="23" t="n">
        <f aca="false">IF(F129="",0,IF(COUNTIF(F$16:F129,F129)=1,1,0))</f>
        <v>0</v>
      </c>
      <c r="Q129" s="0" t="str">
        <f aca="false">IF(B129="","",B129&amp;"|"&amp;C129)</f>
        <v/>
      </c>
      <c r="R129" s="23" t="n">
        <f aca="false">IF(Q129="",0,IF(COUNTIF(Q$16:Q129,Q129)=1,1,0))</f>
        <v>0</v>
      </c>
    </row>
    <row r="130" customFormat="false" ht="15" hidden="false" customHeight="false" outlineLevel="0" collapsed="false">
      <c r="A130" s="0" t="str">
        <f aca="false">IFERROR(MATCH(115,Apparitions!$N$1:$N$5001,0),"")</f>
        <v/>
      </c>
      <c r="B130" s="19" t="str">
        <f aca="false">IF($A130="","",INDEX(Apparitions!$A$1:$A$5001,$A130)&amp;"")</f>
        <v/>
      </c>
      <c r="C130" s="19" t="str">
        <f aca="false">IF($A130="","",INDEX(Apparitions!$B$1:$B$5001,$A130)&amp;"")</f>
        <v/>
      </c>
      <c r="D130" s="20" t="str">
        <f aca="false">IF($A130="","",INDEX(Apparitions!$L$1:$L$5001,$A130))</f>
        <v/>
      </c>
      <c r="E130" s="19" t="str">
        <f aca="false">IF($A130="","",INDEX(Apparitions!$C$1:$C$5001,$A130)&amp;"")</f>
        <v/>
      </c>
      <c r="F130" s="19" t="str">
        <f aca="false">IF($A130="","",INDEX(Apparitions!$H$1:$H$5001,$A130)&amp;"")</f>
        <v/>
      </c>
      <c r="G130" s="19" t="str">
        <f aca="false">IF($A130="","",INDEX(Apparitions!$I$1:$I$5001,$A130)&amp;"")</f>
        <v/>
      </c>
      <c r="H130" s="19" t="str">
        <f aca="false">IF($A130="","",INDEX(Apparitions!$J$1:$J$5001,$A130)&amp;"")</f>
        <v/>
      </c>
      <c r="I130" s="19" t="str">
        <f aca="false">IF($A130="","",INDEX(Apparitions!$G$1:$G$5001,$A130)&amp;"")</f>
        <v/>
      </c>
      <c r="J130" s="19" t="str">
        <f aca="false">IF($A130="","",INDEX(Apparitions!$M$1:$M$5001,$A130)&amp;"")</f>
        <v/>
      </c>
      <c r="K130" s="21" t="str">
        <f aca="false">IF($A130="","",INDEX(Apparitions!$K$1:$K$5001,$A130))</f>
        <v/>
      </c>
      <c r="L130" s="22" t="str">
        <f aca="false">IF($A130="","",INDEX(Apparitions!$E$1:$E$5001,$A130)&amp;"")</f>
        <v/>
      </c>
      <c r="M130" s="19" t="str">
        <f aca="false">IF($A130="","",INDEX(Apparitions!$F$1:$F$5001,$A130)&amp;"")</f>
        <v/>
      </c>
      <c r="O130" s="23" t="n">
        <f aca="false">IF(I130="",0,IF(COUNTIF(I$16:I130,I130)=1,1,0))</f>
        <v>0</v>
      </c>
      <c r="P130" s="23" t="n">
        <f aca="false">IF(F130="",0,IF(COUNTIF(F$16:F130,F130)=1,1,0))</f>
        <v>0</v>
      </c>
      <c r="Q130" s="0" t="str">
        <f aca="false">IF(B130="","",B130&amp;"|"&amp;C130)</f>
        <v/>
      </c>
      <c r="R130" s="23" t="n">
        <f aca="false">IF(Q130="",0,IF(COUNTIF(Q$16:Q130,Q130)=1,1,0))</f>
        <v>0</v>
      </c>
    </row>
    <row r="131" customFormat="false" ht="15" hidden="false" customHeight="false" outlineLevel="0" collapsed="false">
      <c r="A131" s="0" t="str">
        <f aca="false">IFERROR(MATCH(116,Apparitions!$N$1:$N$5001,0),"")</f>
        <v/>
      </c>
      <c r="B131" s="19" t="str">
        <f aca="false">IF($A131="","",INDEX(Apparitions!$A$1:$A$5001,$A131)&amp;"")</f>
        <v/>
      </c>
      <c r="C131" s="19" t="str">
        <f aca="false">IF($A131="","",INDEX(Apparitions!$B$1:$B$5001,$A131)&amp;"")</f>
        <v/>
      </c>
      <c r="D131" s="20" t="str">
        <f aca="false">IF($A131="","",INDEX(Apparitions!$L$1:$L$5001,$A131))</f>
        <v/>
      </c>
      <c r="E131" s="19" t="str">
        <f aca="false">IF($A131="","",INDEX(Apparitions!$C$1:$C$5001,$A131)&amp;"")</f>
        <v/>
      </c>
      <c r="F131" s="19" t="str">
        <f aca="false">IF($A131="","",INDEX(Apparitions!$H$1:$H$5001,$A131)&amp;"")</f>
        <v/>
      </c>
      <c r="G131" s="19" t="str">
        <f aca="false">IF($A131="","",INDEX(Apparitions!$I$1:$I$5001,$A131)&amp;"")</f>
        <v/>
      </c>
      <c r="H131" s="19" t="str">
        <f aca="false">IF($A131="","",INDEX(Apparitions!$J$1:$J$5001,$A131)&amp;"")</f>
        <v/>
      </c>
      <c r="I131" s="19" t="str">
        <f aca="false">IF($A131="","",INDEX(Apparitions!$G$1:$G$5001,$A131)&amp;"")</f>
        <v/>
      </c>
      <c r="J131" s="19" t="str">
        <f aca="false">IF($A131="","",INDEX(Apparitions!$M$1:$M$5001,$A131)&amp;"")</f>
        <v/>
      </c>
      <c r="K131" s="21" t="str">
        <f aca="false">IF($A131="","",INDEX(Apparitions!$K$1:$K$5001,$A131))</f>
        <v/>
      </c>
      <c r="L131" s="22" t="str">
        <f aca="false">IF($A131="","",INDEX(Apparitions!$E$1:$E$5001,$A131)&amp;"")</f>
        <v/>
      </c>
      <c r="M131" s="19" t="str">
        <f aca="false">IF($A131="","",INDEX(Apparitions!$F$1:$F$5001,$A131)&amp;"")</f>
        <v/>
      </c>
      <c r="O131" s="23" t="n">
        <f aca="false">IF(I131="",0,IF(COUNTIF(I$16:I131,I131)=1,1,0))</f>
        <v>0</v>
      </c>
      <c r="P131" s="23" t="n">
        <f aca="false">IF(F131="",0,IF(COUNTIF(F$16:F131,F131)=1,1,0))</f>
        <v>0</v>
      </c>
      <c r="Q131" s="0" t="str">
        <f aca="false">IF(B131="","",B131&amp;"|"&amp;C131)</f>
        <v/>
      </c>
      <c r="R131" s="23" t="n">
        <f aca="false">IF(Q131="",0,IF(COUNTIF(Q$16:Q131,Q131)=1,1,0))</f>
        <v>0</v>
      </c>
    </row>
    <row r="132" customFormat="false" ht="15" hidden="false" customHeight="false" outlineLevel="0" collapsed="false">
      <c r="A132" s="0" t="str">
        <f aca="false">IFERROR(MATCH(117,Apparitions!$N$1:$N$5001,0),"")</f>
        <v/>
      </c>
      <c r="B132" s="19" t="str">
        <f aca="false">IF($A132="","",INDEX(Apparitions!$A$1:$A$5001,$A132)&amp;"")</f>
        <v/>
      </c>
      <c r="C132" s="19" t="str">
        <f aca="false">IF($A132="","",INDEX(Apparitions!$B$1:$B$5001,$A132)&amp;"")</f>
        <v/>
      </c>
      <c r="D132" s="20" t="str">
        <f aca="false">IF($A132="","",INDEX(Apparitions!$L$1:$L$5001,$A132))</f>
        <v/>
      </c>
      <c r="E132" s="19" t="str">
        <f aca="false">IF($A132="","",INDEX(Apparitions!$C$1:$C$5001,$A132)&amp;"")</f>
        <v/>
      </c>
      <c r="F132" s="19" t="str">
        <f aca="false">IF($A132="","",INDEX(Apparitions!$H$1:$H$5001,$A132)&amp;"")</f>
        <v/>
      </c>
      <c r="G132" s="19" t="str">
        <f aca="false">IF($A132="","",INDEX(Apparitions!$I$1:$I$5001,$A132)&amp;"")</f>
        <v/>
      </c>
      <c r="H132" s="19" t="str">
        <f aca="false">IF($A132="","",INDEX(Apparitions!$J$1:$J$5001,$A132)&amp;"")</f>
        <v/>
      </c>
      <c r="I132" s="19" t="str">
        <f aca="false">IF($A132="","",INDEX(Apparitions!$G$1:$G$5001,$A132)&amp;"")</f>
        <v/>
      </c>
      <c r="J132" s="19" t="str">
        <f aca="false">IF($A132="","",INDEX(Apparitions!$M$1:$M$5001,$A132)&amp;"")</f>
        <v/>
      </c>
      <c r="K132" s="21" t="str">
        <f aca="false">IF($A132="","",INDEX(Apparitions!$K$1:$K$5001,$A132))</f>
        <v/>
      </c>
      <c r="L132" s="22" t="str">
        <f aca="false">IF($A132="","",INDEX(Apparitions!$E$1:$E$5001,$A132)&amp;"")</f>
        <v/>
      </c>
      <c r="M132" s="19" t="str">
        <f aca="false">IF($A132="","",INDEX(Apparitions!$F$1:$F$5001,$A132)&amp;"")</f>
        <v/>
      </c>
      <c r="O132" s="23" t="n">
        <f aca="false">IF(I132="",0,IF(COUNTIF(I$16:I132,I132)=1,1,0))</f>
        <v>0</v>
      </c>
      <c r="P132" s="23" t="n">
        <f aca="false">IF(F132="",0,IF(COUNTIF(F$16:F132,F132)=1,1,0))</f>
        <v>0</v>
      </c>
      <c r="Q132" s="0" t="str">
        <f aca="false">IF(B132="","",B132&amp;"|"&amp;C132)</f>
        <v/>
      </c>
      <c r="R132" s="23" t="n">
        <f aca="false">IF(Q132="",0,IF(COUNTIF(Q$16:Q132,Q132)=1,1,0))</f>
        <v>0</v>
      </c>
    </row>
    <row r="133" customFormat="false" ht="15" hidden="false" customHeight="false" outlineLevel="0" collapsed="false">
      <c r="A133" s="0" t="str">
        <f aca="false">IFERROR(MATCH(118,Apparitions!$N$1:$N$5001,0),"")</f>
        <v/>
      </c>
      <c r="B133" s="19" t="str">
        <f aca="false">IF($A133="","",INDEX(Apparitions!$A$1:$A$5001,$A133)&amp;"")</f>
        <v/>
      </c>
      <c r="C133" s="19" t="str">
        <f aca="false">IF($A133="","",INDEX(Apparitions!$B$1:$B$5001,$A133)&amp;"")</f>
        <v/>
      </c>
      <c r="D133" s="20" t="str">
        <f aca="false">IF($A133="","",INDEX(Apparitions!$L$1:$L$5001,$A133))</f>
        <v/>
      </c>
      <c r="E133" s="19" t="str">
        <f aca="false">IF($A133="","",INDEX(Apparitions!$C$1:$C$5001,$A133)&amp;"")</f>
        <v/>
      </c>
      <c r="F133" s="19" t="str">
        <f aca="false">IF($A133="","",INDEX(Apparitions!$H$1:$H$5001,$A133)&amp;"")</f>
        <v/>
      </c>
      <c r="G133" s="19" t="str">
        <f aca="false">IF($A133="","",INDEX(Apparitions!$I$1:$I$5001,$A133)&amp;"")</f>
        <v/>
      </c>
      <c r="H133" s="19" t="str">
        <f aca="false">IF($A133="","",INDEX(Apparitions!$J$1:$J$5001,$A133)&amp;"")</f>
        <v/>
      </c>
      <c r="I133" s="19" t="str">
        <f aca="false">IF($A133="","",INDEX(Apparitions!$G$1:$G$5001,$A133)&amp;"")</f>
        <v/>
      </c>
      <c r="J133" s="19" t="str">
        <f aca="false">IF($A133="","",INDEX(Apparitions!$M$1:$M$5001,$A133)&amp;"")</f>
        <v/>
      </c>
      <c r="K133" s="21" t="str">
        <f aca="false">IF($A133="","",INDEX(Apparitions!$K$1:$K$5001,$A133))</f>
        <v/>
      </c>
      <c r="L133" s="22" t="str">
        <f aca="false">IF($A133="","",INDEX(Apparitions!$E$1:$E$5001,$A133)&amp;"")</f>
        <v/>
      </c>
      <c r="M133" s="19" t="str">
        <f aca="false">IF($A133="","",INDEX(Apparitions!$F$1:$F$5001,$A133)&amp;"")</f>
        <v/>
      </c>
      <c r="O133" s="23" t="n">
        <f aca="false">IF(I133="",0,IF(COUNTIF(I$16:I133,I133)=1,1,0))</f>
        <v>0</v>
      </c>
      <c r="P133" s="23" t="n">
        <f aca="false">IF(F133="",0,IF(COUNTIF(F$16:F133,F133)=1,1,0))</f>
        <v>0</v>
      </c>
      <c r="Q133" s="0" t="str">
        <f aca="false">IF(B133="","",B133&amp;"|"&amp;C133)</f>
        <v/>
      </c>
      <c r="R133" s="23" t="n">
        <f aca="false">IF(Q133="",0,IF(COUNTIF(Q$16:Q133,Q133)=1,1,0))</f>
        <v>0</v>
      </c>
    </row>
    <row r="134" customFormat="false" ht="15" hidden="false" customHeight="false" outlineLevel="0" collapsed="false">
      <c r="A134" s="0" t="str">
        <f aca="false">IFERROR(MATCH(119,Apparitions!$N$1:$N$5001,0),"")</f>
        <v/>
      </c>
      <c r="B134" s="19" t="str">
        <f aca="false">IF($A134="","",INDEX(Apparitions!$A$1:$A$5001,$A134)&amp;"")</f>
        <v/>
      </c>
      <c r="C134" s="19" t="str">
        <f aca="false">IF($A134="","",INDEX(Apparitions!$B$1:$B$5001,$A134)&amp;"")</f>
        <v/>
      </c>
      <c r="D134" s="20" t="str">
        <f aca="false">IF($A134="","",INDEX(Apparitions!$L$1:$L$5001,$A134))</f>
        <v/>
      </c>
      <c r="E134" s="19" t="str">
        <f aca="false">IF($A134="","",INDEX(Apparitions!$C$1:$C$5001,$A134)&amp;"")</f>
        <v/>
      </c>
      <c r="F134" s="19" t="str">
        <f aca="false">IF($A134="","",INDEX(Apparitions!$H$1:$H$5001,$A134)&amp;"")</f>
        <v/>
      </c>
      <c r="G134" s="19" t="str">
        <f aca="false">IF($A134="","",INDEX(Apparitions!$I$1:$I$5001,$A134)&amp;"")</f>
        <v/>
      </c>
      <c r="H134" s="19" t="str">
        <f aca="false">IF($A134="","",INDEX(Apparitions!$J$1:$J$5001,$A134)&amp;"")</f>
        <v/>
      </c>
      <c r="I134" s="19" t="str">
        <f aca="false">IF($A134="","",INDEX(Apparitions!$G$1:$G$5001,$A134)&amp;"")</f>
        <v/>
      </c>
      <c r="J134" s="19" t="str">
        <f aca="false">IF($A134="","",INDEX(Apparitions!$M$1:$M$5001,$A134)&amp;"")</f>
        <v/>
      </c>
      <c r="K134" s="21" t="str">
        <f aca="false">IF($A134="","",INDEX(Apparitions!$K$1:$K$5001,$A134))</f>
        <v/>
      </c>
      <c r="L134" s="22" t="str">
        <f aca="false">IF($A134="","",INDEX(Apparitions!$E$1:$E$5001,$A134)&amp;"")</f>
        <v/>
      </c>
      <c r="M134" s="19" t="str">
        <f aca="false">IF($A134="","",INDEX(Apparitions!$F$1:$F$5001,$A134)&amp;"")</f>
        <v/>
      </c>
      <c r="O134" s="23" t="n">
        <f aca="false">IF(I134="",0,IF(COUNTIF(I$16:I134,I134)=1,1,0))</f>
        <v>0</v>
      </c>
      <c r="P134" s="23" t="n">
        <f aca="false">IF(F134="",0,IF(COUNTIF(F$16:F134,F134)=1,1,0))</f>
        <v>0</v>
      </c>
      <c r="Q134" s="0" t="str">
        <f aca="false">IF(B134="","",B134&amp;"|"&amp;C134)</f>
        <v/>
      </c>
      <c r="R134" s="23" t="n">
        <f aca="false">IF(Q134="",0,IF(COUNTIF(Q$16:Q134,Q134)=1,1,0))</f>
        <v>0</v>
      </c>
    </row>
    <row r="135" customFormat="false" ht="15" hidden="false" customHeight="false" outlineLevel="0" collapsed="false">
      <c r="A135" s="0" t="str">
        <f aca="false">IFERROR(MATCH(120,Apparitions!$N$1:$N$5001,0),"")</f>
        <v/>
      </c>
      <c r="B135" s="19" t="str">
        <f aca="false">IF($A135="","",INDEX(Apparitions!$A$1:$A$5001,$A135)&amp;"")</f>
        <v/>
      </c>
      <c r="C135" s="19" t="str">
        <f aca="false">IF($A135="","",INDEX(Apparitions!$B$1:$B$5001,$A135)&amp;"")</f>
        <v/>
      </c>
      <c r="D135" s="20" t="str">
        <f aca="false">IF($A135="","",INDEX(Apparitions!$L$1:$L$5001,$A135))</f>
        <v/>
      </c>
      <c r="E135" s="19" t="str">
        <f aca="false">IF($A135="","",INDEX(Apparitions!$C$1:$C$5001,$A135)&amp;"")</f>
        <v/>
      </c>
      <c r="F135" s="19" t="str">
        <f aca="false">IF($A135="","",INDEX(Apparitions!$H$1:$H$5001,$A135)&amp;"")</f>
        <v/>
      </c>
      <c r="G135" s="19" t="str">
        <f aca="false">IF($A135="","",INDEX(Apparitions!$I$1:$I$5001,$A135)&amp;"")</f>
        <v/>
      </c>
      <c r="H135" s="19" t="str">
        <f aca="false">IF($A135="","",INDEX(Apparitions!$J$1:$J$5001,$A135)&amp;"")</f>
        <v/>
      </c>
      <c r="I135" s="19" t="str">
        <f aca="false">IF($A135="","",INDEX(Apparitions!$G$1:$G$5001,$A135)&amp;"")</f>
        <v/>
      </c>
      <c r="J135" s="19" t="str">
        <f aca="false">IF($A135="","",INDEX(Apparitions!$M$1:$M$5001,$A135)&amp;"")</f>
        <v/>
      </c>
      <c r="K135" s="21" t="str">
        <f aca="false">IF($A135="","",INDEX(Apparitions!$K$1:$K$5001,$A135))</f>
        <v/>
      </c>
      <c r="L135" s="22" t="str">
        <f aca="false">IF($A135="","",INDEX(Apparitions!$E$1:$E$5001,$A135)&amp;"")</f>
        <v/>
      </c>
      <c r="M135" s="19" t="str">
        <f aca="false">IF($A135="","",INDEX(Apparitions!$F$1:$F$5001,$A135)&amp;"")</f>
        <v/>
      </c>
      <c r="O135" s="23" t="n">
        <f aca="false">IF(I135="",0,IF(COUNTIF(I$16:I135,I135)=1,1,0))</f>
        <v>0</v>
      </c>
      <c r="P135" s="23" t="n">
        <f aca="false">IF(F135="",0,IF(COUNTIF(F$16:F135,F135)=1,1,0))</f>
        <v>0</v>
      </c>
      <c r="Q135" s="0" t="str">
        <f aca="false">IF(B135="","",B135&amp;"|"&amp;C135)</f>
        <v/>
      </c>
      <c r="R135" s="23" t="n">
        <f aca="false">IF(Q135="",0,IF(COUNTIF(Q$16:Q135,Q135)=1,1,0))</f>
        <v>0</v>
      </c>
    </row>
    <row r="136" customFormat="false" ht="15" hidden="false" customHeight="false" outlineLevel="0" collapsed="false">
      <c r="A136" s="0" t="str">
        <f aca="false">IFERROR(MATCH(121,Apparitions!$N$1:$N$5001,0),"")</f>
        <v/>
      </c>
      <c r="B136" s="19" t="str">
        <f aca="false">IF($A136="","",INDEX(Apparitions!$A$1:$A$5001,$A136)&amp;"")</f>
        <v/>
      </c>
      <c r="C136" s="19" t="str">
        <f aca="false">IF($A136="","",INDEX(Apparitions!$B$1:$B$5001,$A136)&amp;"")</f>
        <v/>
      </c>
      <c r="D136" s="20" t="str">
        <f aca="false">IF($A136="","",INDEX(Apparitions!$L$1:$L$5001,$A136))</f>
        <v/>
      </c>
      <c r="E136" s="19" t="str">
        <f aca="false">IF($A136="","",INDEX(Apparitions!$C$1:$C$5001,$A136)&amp;"")</f>
        <v/>
      </c>
      <c r="F136" s="19" t="str">
        <f aca="false">IF($A136="","",INDEX(Apparitions!$H$1:$H$5001,$A136)&amp;"")</f>
        <v/>
      </c>
      <c r="G136" s="19" t="str">
        <f aca="false">IF($A136="","",INDEX(Apparitions!$I$1:$I$5001,$A136)&amp;"")</f>
        <v/>
      </c>
      <c r="H136" s="19" t="str">
        <f aca="false">IF($A136="","",INDEX(Apparitions!$J$1:$J$5001,$A136)&amp;"")</f>
        <v/>
      </c>
      <c r="I136" s="19" t="str">
        <f aca="false">IF($A136="","",INDEX(Apparitions!$G$1:$G$5001,$A136)&amp;"")</f>
        <v/>
      </c>
      <c r="J136" s="19" t="str">
        <f aca="false">IF($A136="","",INDEX(Apparitions!$M$1:$M$5001,$A136)&amp;"")</f>
        <v/>
      </c>
      <c r="K136" s="21" t="str">
        <f aca="false">IF($A136="","",INDEX(Apparitions!$K$1:$K$5001,$A136))</f>
        <v/>
      </c>
      <c r="L136" s="22" t="str">
        <f aca="false">IF($A136="","",INDEX(Apparitions!$E$1:$E$5001,$A136)&amp;"")</f>
        <v/>
      </c>
      <c r="M136" s="19" t="str">
        <f aca="false">IF($A136="","",INDEX(Apparitions!$F$1:$F$5001,$A136)&amp;"")</f>
        <v/>
      </c>
      <c r="O136" s="23" t="n">
        <f aca="false">IF(I136="",0,IF(COUNTIF(I$16:I136,I136)=1,1,0))</f>
        <v>0</v>
      </c>
      <c r="P136" s="23" t="n">
        <f aca="false">IF(F136="",0,IF(COUNTIF(F$16:F136,F136)=1,1,0))</f>
        <v>0</v>
      </c>
      <c r="Q136" s="0" t="str">
        <f aca="false">IF(B136="","",B136&amp;"|"&amp;C136)</f>
        <v/>
      </c>
      <c r="R136" s="23" t="n">
        <f aca="false">IF(Q136="",0,IF(COUNTIF(Q$16:Q136,Q136)=1,1,0))</f>
        <v>0</v>
      </c>
    </row>
    <row r="137" customFormat="false" ht="15" hidden="false" customHeight="false" outlineLevel="0" collapsed="false">
      <c r="A137" s="0" t="str">
        <f aca="false">IFERROR(MATCH(122,Apparitions!$N$1:$N$5001,0),"")</f>
        <v/>
      </c>
      <c r="B137" s="19" t="str">
        <f aca="false">IF($A137="","",INDEX(Apparitions!$A$1:$A$5001,$A137)&amp;"")</f>
        <v/>
      </c>
      <c r="C137" s="19" t="str">
        <f aca="false">IF($A137="","",INDEX(Apparitions!$B$1:$B$5001,$A137)&amp;"")</f>
        <v/>
      </c>
      <c r="D137" s="20" t="str">
        <f aca="false">IF($A137="","",INDEX(Apparitions!$L$1:$L$5001,$A137))</f>
        <v/>
      </c>
      <c r="E137" s="19" t="str">
        <f aca="false">IF($A137="","",INDEX(Apparitions!$C$1:$C$5001,$A137)&amp;"")</f>
        <v/>
      </c>
      <c r="F137" s="19" t="str">
        <f aca="false">IF($A137="","",INDEX(Apparitions!$H$1:$H$5001,$A137)&amp;"")</f>
        <v/>
      </c>
      <c r="G137" s="19" t="str">
        <f aca="false">IF($A137="","",INDEX(Apparitions!$I$1:$I$5001,$A137)&amp;"")</f>
        <v/>
      </c>
      <c r="H137" s="19" t="str">
        <f aca="false">IF($A137="","",INDEX(Apparitions!$J$1:$J$5001,$A137)&amp;"")</f>
        <v/>
      </c>
      <c r="I137" s="19" t="str">
        <f aca="false">IF($A137="","",INDEX(Apparitions!$G$1:$G$5001,$A137)&amp;"")</f>
        <v/>
      </c>
      <c r="J137" s="19" t="str">
        <f aca="false">IF($A137="","",INDEX(Apparitions!$M$1:$M$5001,$A137)&amp;"")</f>
        <v/>
      </c>
      <c r="K137" s="21" t="str">
        <f aca="false">IF($A137="","",INDEX(Apparitions!$K$1:$K$5001,$A137))</f>
        <v/>
      </c>
      <c r="L137" s="22" t="str">
        <f aca="false">IF($A137="","",INDEX(Apparitions!$E$1:$E$5001,$A137)&amp;"")</f>
        <v/>
      </c>
      <c r="M137" s="19" t="str">
        <f aca="false">IF($A137="","",INDEX(Apparitions!$F$1:$F$5001,$A137)&amp;"")</f>
        <v/>
      </c>
      <c r="O137" s="23" t="n">
        <f aca="false">IF(I137="",0,IF(COUNTIF(I$16:I137,I137)=1,1,0))</f>
        <v>0</v>
      </c>
      <c r="P137" s="23" t="n">
        <f aca="false">IF(F137="",0,IF(COUNTIF(F$16:F137,F137)=1,1,0))</f>
        <v>0</v>
      </c>
      <c r="Q137" s="0" t="str">
        <f aca="false">IF(B137="","",B137&amp;"|"&amp;C137)</f>
        <v/>
      </c>
      <c r="R137" s="23" t="n">
        <f aca="false">IF(Q137="",0,IF(COUNTIF(Q$16:Q137,Q137)=1,1,0))</f>
        <v>0</v>
      </c>
    </row>
    <row r="138" customFormat="false" ht="15" hidden="false" customHeight="false" outlineLevel="0" collapsed="false">
      <c r="A138" s="0" t="str">
        <f aca="false">IFERROR(MATCH(123,Apparitions!$N$1:$N$5001,0),"")</f>
        <v/>
      </c>
      <c r="B138" s="19" t="str">
        <f aca="false">IF($A138="","",INDEX(Apparitions!$A$1:$A$5001,$A138)&amp;"")</f>
        <v/>
      </c>
      <c r="C138" s="19" t="str">
        <f aca="false">IF($A138="","",INDEX(Apparitions!$B$1:$B$5001,$A138)&amp;"")</f>
        <v/>
      </c>
      <c r="D138" s="20" t="str">
        <f aca="false">IF($A138="","",INDEX(Apparitions!$L$1:$L$5001,$A138))</f>
        <v/>
      </c>
      <c r="E138" s="19" t="str">
        <f aca="false">IF($A138="","",INDEX(Apparitions!$C$1:$C$5001,$A138)&amp;"")</f>
        <v/>
      </c>
      <c r="F138" s="19" t="str">
        <f aca="false">IF($A138="","",INDEX(Apparitions!$H$1:$H$5001,$A138)&amp;"")</f>
        <v/>
      </c>
      <c r="G138" s="19" t="str">
        <f aca="false">IF($A138="","",INDEX(Apparitions!$I$1:$I$5001,$A138)&amp;"")</f>
        <v/>
      </c>
      <c r="H138" s="19" t="str">
        <f aca="false">IF($A138="","",INDEX(Apparitions!$J$1:$J$5001,$A138)&amp;"")</f>
        <v/>
      </c>
      <c r="I138" s="19" t="str">
        <f aca="false">IF($A138="","",INDEX(Apparitions!$G$1:$G$5001,$A138)&amp;"")</f>
        <v/>
      </c>
      <c r="J138" s="19" t="str">
        <f aca="false">IF($A138="","",INDEX(Apparitions!$M$1:$M$5001,$A138)&amp;"")</f>
        <v/>
      </c>
      <c r="K138" s="21" t="str">
        <f aca="false">IF($A138="","",INDEX(Apparitions!$K$1:$K$5001,$A138))</f>
        <v/>
      </c>
      <c r="L138" s="22" t="str">
        <f aca="false">IF($A138="","",INDEX(Apparitions!$E$1:$E$5001,$A138)&amp;"")</f>
        <v/>
      </c>
      <c r="M138" s="19" t="str">
        <f aca="false">IF($A138="","",INDEX(Apparitions!$F$1:$F$5001,$A138)&amp;"")</f>
        <v/>
      </c>
      <c r="O138" s="23" t="n">
        <f aca="false">IF(I138="",0,IF(COUNTIF(I$16:I138,I138)=1,1,0))</f>
        <v>0</v>
      </c>
      <c r="P138" s="23" t="n">
        <f aca="false">IF(F138="",0,IF(COUNTIF(F$16:F138,F138)=1,1,0))</f>
        <v>0</v>
      </c>
      <c r="Q138" s="0" t="str">
        <f aca="false">IF(B138="","",B138&amp;"|"&amp;C138)</f>
        <v/>
      </c>
      <c r="R138" s="23" t="n">
        <f aca="false">IF(Q138="",0,IF(COUNTIF(Q$16:Q138,Q138)=1,1,0))</f>
        <v>0</v>
      </c>
    </row>
    <row r="139" customFormat="false" ht="15" hidden="false" customHeight="false" outlineLevel="0" collapsed="false">
      <c r="A139" s="0" t="str">
        <f aca="false">IFERROR(MATCH(124,Apparitions!$N$1:$N$5001,0),"")</f>
        <v/>
      </c>
      <c r="B139" s="19" t="str">
        <f aca="false">IF($A139="","",INDEX(Apparitions!$A$1:$A$5001,$A139)&amp;"")</f>
        <v/>
      </c>
      <c r="C139" s="19" t="str">
        <f aca="false">IF($A139="","",INDEX(Apparitions!$B$1:$B$5001,$A139)&amp;"")</f>
        <v/>
      </c>
      <c r="D139" s="20" t="str">
        <f aca="false">IF($A139="","",INDEX(Apparitions!$L$1:$L$5001,$A139))</f>
        <v/>
      </c>
      <c r="E139" s="19" t="str">
        <f aca="false">IF($A139="","",INDEX(Apparitions!$C$1:$C$5001,$A139)&amp;"")</f>
        <v/>
      </c>
      <c r="F139" s="19" t="str">
        <f aca="false">IF($A139="","",INDEX(Apparitions!$H$1:$H$5001,$A139)&amp;"")</f>
        <v/>
      </c>
      <c r="G139" s="19" t="str">
        <f aca="false">IF($A139="","",INDEX(Apparitions!$I$1:$I$5001,$A139)&amp;"")</f>
        <v/>
      </c>
      <c r="H139" s="19" t="str">
        <f aca="false">IF($A139="","",INDEX(Apparitions!$J$1:$J$5001,$A139)&amp;"")</f>
        <v/>
      </c>
      <c r="I139" s="19" t="str">
        <f aca="false">IF($A139="","",INDEX(Apparitions!$G$1:$G$5001,$A139)&amp;"")</f>
        <v/>
      </c>
      <c r="J139" s="19" t="str">
        <f aca="false">IF($A139="","",INDEX(Apparitions!$M$1:$M$5001,$A139)&amp;"")</f>
        <v/>
      </c>
      <c r="K139" s="21" t="str">
        <f aca="false">IF($A139="","",INDEX(Apparitions!$K$1:$K$5001,$A139))</f>
        <v/>
      </c>
      <c r="L139" s="22" t="str">
        <f aca="false">IF($A139="","",INDEX(Apparitions!$E$1:$E$5001,$A139)&amp;"")</f>
        <v/>
      </c>
      <c r="M139" s="19" t="str">
        <f aca="false">IF($A139="","",INDEX(Apparitions!$F$1:$F$5001,$A139)&amp;"")</f>
        <v/>
      </c>
      <c r="O139" s="23" t="n">
        <f aca="false">IF(I139="",0,IF(COUNTIF(I$16:I139,I139)=1,1,0))</f>
        <v>0</v>
      </c>
      <c r="P139" s="23" t="n">
        <f aca="false">IF(F139="",0,IF(COUNTIF(F$16:F139,F139)=1,1,0))</f>
        <v>0</v>
      </c>
      <c r="Q139" s="0" t="str">
        <f aca="false">IF(B139="","",B139&amp;"|"&amp;C139)</f>
        <v/>
      </c>
      <c r="R139" s="23" t="n">
        <f aca="false">IF(Q139="",0,IF(COUNTIF(Q$16:Q139,Q139)=1,1,0))</f>
        <v>0</v>
      </c>
    </row>
    <row r="140" customFormat="false" ht="15" hidden="false" customHeight="false" outlineLevel="0" collapsed="false">
      <c r="A140" s="0" t="str">
        <f aca="false">IFERROR(MATCH(125,Apparitions!$N$1:$N$5001,0),"")</f>
        <v/>
      </c>
      <c r="B140" s="19" t="str">
        <f aca="false">IF($A140="","",INDEX(Apparitions!$A$1:$A$5001,$A140)&amp;"")</f>
        <v/>
      </c>
      <c r="C140" s="19" t="str">
        <f aca="false">IF($A140="","",INDEX(Apparitions!$B$1:$B$5001,$A140)&amp;"")</f>
        <v/>
      </c>
      <c r="D140" s="20" t="str">
        <f aca="false">IF($A140="","",INDEX(Apparitions!$L$1:$L$5001,$A140))</f>
        <v/>
      </c>
      <c r="E140" s="19" t="str">
        <f aca="false">IF($A140="","",INDEX(Apparitions!$C$1:$C$5001,$A140)&amp;"")</f>
        <v/>
      </c>
      <c r="F140" s="19" t="str">
        <f aca="false">IF($A140="","",INDEX(Apparitions!$H$1:$H$5001,$A140)&amp;"")</f>
        <v/>
      </c>
      <c r="G140" s="19" t="str">
        <f aca="false">IF($A140="","",INDEX(Apparitions!$I$1:$I$5001,$A140)&amp;"")</f>
        <v/>
      </c>
      <c r="H140" s="19" t="str">
        <f aca="false">IF($A140="","",INDEX(Apparitions!$J$1:$J$5001,$A140)&amp;"")</f>
        <v/>
      </c>
      <c r="I140" s="19" t="str">
        <f aca="false">IF($A140="","",INDEX(Apparitions!$G$1:$G$5001,$A140)&amp;"")</f>
        <v/>
      </c>
      <c r="J140" s="19" t="str">
        <f aca="false">IF($A140="","",INDEX(Apparitions!$M$1:$M$5001,$A140)&amp;"")</f>
        <v/>
      </c>
      <c r="K140" s="21" t="str">
        <f aca="false">IF($A140="","",INDEX(Apparitions!$K$1:$K$5001,$A140))</f>
        <v/>
      </c>
      <c r="L140" s="22" t="str">
        <f aca="false">IF($A140="","",INDEX(Apparitions!$E$1:$E$5001,$A140)&amp;"")</f>
        <v/>
      </c>
      <c r="M140" s="19" t="str">
        <f aca="false">IF($A140="","",INDEX(Apparitions!$F$1:$F$5001,$A140)&amp;"")</f>
        <v/>
      </c>
      <c r="O140" s="23" t="n">
        <f aca="false">IF(I140="",0,IF(COUNTIF(I$16:I140,I140)=1,1,0))</f>
        <v>0</v>
      </c>
      <c r="P140" s="23" t="n">
        <f aca="false">IF(F140="",0,IF(COUNTIF(F$16:F140,F140)=1,1,0))</f>
        <v>0</v>
      </c>
      <c r="Q140" s="0" t="str">
        <f aca="false">IF(B140="","",B140&amp;"|"&amp;C140)</f>
        <v/>
      </c>
      <c r="R140" s="23" t="n">
        <f aca="false">IF(Q140="",0,IF(COUNTIF(Q$16:Q140,Q140)=1,1,0))</f>
        <v>0</v>
      </c>
    </row>
    <row r="141" customFormat="false" ht="15" hidden="false" customHeight="false" outlineLevel="0" collapsed="false">
      <c r="A141" s="0" t="str">
        <f aca="false">IFERROR(MATCH(126,Apparitions!$N$1:$N$5001,0),"")</f>
        <v/>
      </c>
      <c r="B141" s="19" t="str">
        <f aca="false">IF($A141="","",INDEX(Apparitions!$A$1:$A$5001,$A141)&amp;"")</f>
        <v/>
      </c>
      <c r="C141" s="19" t="str">
        <f aca="false">IF($A141="","",INDEX(Apparitions!$B$1:$B$5001,$A141)&amp;"")</f>
        <v/>
      </c>
      <c r="D141" s="20" t="str">
        <f aca="false">IF($A141="","",INDEX(Apparitions!$L$1:$L$5001,$A141))</f>
        <v/>
      </c>
      <c r="E141" s="19" t="str">
        <f aca="false">IF($A141="","",INDEX(Apparitions!$C$1:$C$5001,$A141)&amp;"")</f>
        <v/>
      </c>
      <c r="F141" s="19" t="str">
        <f aca="false">IF($A141="","",INDEX(Apparitions!$H$1:$H$5001,$A141)&amp;"")</f>
        <v/>
      </c>
      <c r="G141" s="19" t="str">
        <f aca="false">IF($A141="","",INDEX(Apparitions!$I$1:$I$5001,$A141)&amp;"")</f>
        <v/>
      </c>
      <c r="H141" s="19" t="str">
        <f aca="false">IF($A141="","",INDEX(Apparitions!$J$1:$J$5001,$A141)&amp;"")</f>
        <v/>
      </c>
      <c r="I141" s="19" t="str">
        <f aca="false">IF($A141="","",INDEX(Apparitions!$G$1:$G$5001,$A141)&amp;"")</f>
        <v/>
      </c>
      <c r="J141" s="19" t="str">
        <f aca="false">IF($A141="","",INDEX(Apparitions!$M$1:$M$5001,$A141)&amp;"")</f>
        <v/>
      </c>
      <c r="K141" s="21" t="str">
        <f aca="false">IF($A141="","",INDEX(Apparitions!$K$1:$K$5001,$A141))</f>
        <v/>
      </c>
      <c r="L141" s="22" t="str">
        <f aca="false">IF($A141="","",INDEX(Apparitions!$E$1:$E$5001,$A141)&amp;"")</f>
        <v/>
      </c>
      <c r="M141" s="19" t="str">
        <f aca="false">IF($A141="","",INDEX(Apparitions!$F$1:$F$5001,$A141)&amp;"")</f>
        <v/>
      </c>
      <c r="O141" s="23" t="n">
        <f aca="false">IF(I141="",0,IF(COUNTIF(I$16:I141,I141)=1,1,0))</f>
        <v>0</v>
      </c>
      <c r="P141" s="23" t="n">
        <f aca="false">IF(F141="",0,IF(COUNTIF(F$16:F141,F141)=1,1,0))</f>
        <v>0</v>
      </c>
      <c r="Q141" s="0" t="str">
        <f aca="false">IF(B141="","",B141&amp;"|"&amp;C141)</f>
        <v/>
      </c>
      <c r="R141" s="23" t="n">
        <f aca="false">IF(Q141="",0,IF(COUNTIF(Q$16:Q141,Q141)=1,1,0))</f>
        <v>0</v>
      </c>
    </row>
    <row r="142" customFormat="false" ht="15" hidden="false" customHeight="false" outlineLevel="0" collapsed="false">
      <c r="A142" s="0" t="str">
        <f aca="false">IFERROR(MATCH(127,Apparitions!$N$1:$N$5001,0),"")</f>
        <v/>
      </c>
      <c r="B142" s="19" t="str">
        <f aca="false">IF($A142="","",INDEX(Apparitions!$A$1:$A$5001,$A142)&amp;"")</f>
        <v/>
      </c>
      <c r="C142" s="19" t="str">
        <f aca="false">IF($A142="","",INDEX(Apparitions!$B$1:$B$5001,$A142)&amp;"")</f>
        <v/>
      </c>
      <c r="D142" s="20" t="str">
        <f aca="false">IF($A142="","",INDEX(Apparitions!$L$1:$L$5001,$A142))</f>
        <v/>
      </c>
      <c r="E142" s="19" t="str">
        <f aca="false">IF($A142="","",INDEX(Apparitions!$C$1:$C$5001,$A142)&amp;"")</f>
        <v/>
      </c>
      <c r="F142" s="19" t="str">
        <f aca="false">IF($A142="","",INDEX(Apparitions!$H$1:$H$5001,$A142)&amp;"")</f>
        <v/>
      </c>
      <c r="G142" s="19" t="str">
        <f aca="false">IF($A142="","",INDEX(Apparitions!$I$1:$I$5001,$A142)&amp;"")</f>
        <v/>
      </c>
      <c r="H142" s="19" t="str">
        <f aca="false">IF($A142="","",INDEX(Apparitions!$J$1:$J$5001,$A142)&amp;"")</f>
        <v/>
      </c>
      <c r="I142" s="19" t="str">
        <f aca="false">IF($A142="","",INDEX(Apparitions!$G$1:$G$5001,$A142)&amp;"")</f>
        <v/>
      </c>
      <c r="J142" s="19" t="str">
        <f aca="false">IF($A142="","",INDEX(Apparitions!$M$1:$M$5001,$A142)&amp;"")</f>
        <v/>
      </c>
      <c r="K142" s="21" t="str">
        <f aca="false">IF($A142="","",INDEX(Apparitions!$K$1:$K$5001,$A142))</f>
        <v/>
      </c>
      <c r="L142" s="22" t="str">
        <f aca="false">IF($A142="","",INDEX(Apparitions!$E$1:$E$5001,$A142)&amp;"")</f>
        <v/>
      </c>
      <c r="M142" s="19" t="str">
        <f aca="false">IF($A142="","",INDEX(Apparitions!$F$1:$F$5001,$A142)&amp;"")</f>
        <v/>
      </c>
      <c r="O142" s="23" t="n">
        <f aca="false">IF(I142="",0,IF(COUNTIF(I$16:I142,I142)=1,1,0))</f>
        <v>0</v>
      </c>
      <c r="P142" s="23" t="n">
        <f aca="false">IF(F142="",0,IF(COUNTIF(F$16:F142,F142)=1,1,0))</f>
        <v>0</v>
      </c>
      <c r="Q142" s="0" t="str">
        <f aca="false">IF(B142="","",B142&amp;"|"&amp;C142)</f>
        <v/>
      </c>
      <c r="R142" s="23" t="n">
        <f aca="false">IF(Q142="",0,IF(COUNTIF(Q$16:Q142,Q142)=1,1,0))</f>
        <v>0</v>
      </c>
    </row>
    <row r="143" customFormat="false" ht="15" hidden="false" customHeight="false" outlineLevel="0" collapsed="false">
      <c r="A143" s="0" t="str">
        <f aca="false">IFERROR(MATCH(128,Apparitions!$N$1:$N$5001,0),"")</f>
        <v/>
      </c>
      <c r="B143" s="19" t="str">
        <f aca="false">IF($A143="","",INDEX(Apparitions!$A$1:$A$5001,$A143)&amp;"")</f>
        <v/>
      </c>
      <c r="C143" s="19" t="str">
        <f aca="false">IF($A143="","",INDEX(Apparitions!$B$1:$B$5001,$A143)&amp;"")</f>
        <v/>
      </c>
      <c r="D143" s="20" t="str">
        <f aca="false">IF($A143="","",INDEX(Apparitions!$L$1:$L$5001,$A143))</f>
        <v/>
      </c>
      <c r="E143" s="19" t="str">
        <f aca="false">IF($A143="","",INDEX(Apparitions!$C$1:$C$5001,$A143)&amp;"")</f>
        <v/>
      </c>
      <c r="F143" s="19" t="str">
        <f aca="false">IF($A143="","",INDEX(Apparitions!$H$1:$H$5001,$A143)&amp;"")</f>
        <v/>
      </c>
      <c r="G143" s="19" t="str">
        <f aca="false">IF($A143="","",INDEX(Apparitions!$I$1:$I$5001,$A143)&amp;"")</f>
        <v/>
      </c>
      <c r="H143" s="19" t="str">
        <f aca="false">IF($A143="","",INDEX(Apparitions!$J$1:$J$5001,$A143)&amp;"")</f>
        <v/>
      </c>
      <c r="I143" s="19" t="str">
        <f aca="false">IF($A143="","",INDEX(Apparitions!$G$1:$G$5001,$A143)&amp;"")</f>
        <v/>
      </c>
      <c r="J143" s="19" t="str">
        <f aca="false">IF($A143="","",INDEX(Apparitions!$M$1:$M$5001,$A143)&amp;"")</f>
        <v/>
      </c>
      <c r="K143" s="21" t="str">
        <f aca="false">IF($A143="","",INDEX(Apparitions!$K$1:$K$5001,$A143))</f>
        <v/>
      </c>
      <c r="L143" s="22" t="str">
        <f aca="false">IF($A143="","",INDEX(Apparitions!$E$1:$E$5001,$A143)&amp;"")</f>
        <v/>
      </c>
      <c r="M143" s="19" t="str">
        <f aca="false">IF($A143="","",INDEX(Apparitions!$F$1:$F$5001,$A143)&amp;"")</f>
        <v/>
      </c>
      <c r="O143" s="23" t="n">
        <f aca="false">IF(I143="",0,IF(COUNTIF(I$16:I143,I143)=1,1,0))</f>
        <v>0</v>
      </c>
      <c r="P143" s="23" t="n">
        <f aca="false">IF(F143="",0,IF(COUNTIF(F$16:F143,F143)=1,1,0))</f>
        <v>0</v>
      </c>
      <c r="Q143" s="0" t="str">
        <f aca="false">IF(B143="","",B143&amp;"|"&amp;C143)</f>
        <v/>
      </c>
      <c r="R143" s="23" t="n">
        <f aca="false">IF(Q143="",0,IF(COUNTIF(Q$16:Q143,Q143)=1,1,0))</f>
        <v>0</v>
      </c>
    </row>
    <row r="144" customFormat="false" ht="15" hidden="false" customHeight="false" outlineLevel="0" collapsed="false">
      <c r="A144" s="0" t="str">
        <f aca="false">IFERROR(MATCH(129,Apparitions!$N$1:$N$5001,0),"")</f>
        <v/>
      </c>
      <c r="B144" s="19" t="str">
        <f aca="false">IF($A144="","",INDEX(Apparitions!$A$1:$A$5001,$A144)&amp;"")</f>
        <v/>
      </c>
      <c r="C144" s="19" t="str">
        <f aca="false">IF($A144="","",INDEX(Apparitions!$B$1:$B$5001,$A144)&amp;"")</f>
        <v/>
      </c>
      <c r="D144" s="20" t="str">
        <f aca="false">IF($A144="","",INDEX(Apparitions!$L$1:$L$5001,$A144))</f>
        <v/>
      </c>
      <c r="E144" s="19" t="str">
        <f aca="false">IF($A144="","",INDEX(Apparitions!$C$1:$C$5001,$A144)&amp;"")</f>
        <v/>
      </c>
      <c r="F144" s="19" t="str">
        <f aca="false">IF($A144="","",INDEX(Apparitions!$H$1:$H$5001,$A144)&amp;"")</f>
        <v/>
      </c>
      <c r="G144" s="19" t="str">
        <f aca="false">IF($A144="","",INDEX(Apparitions!$I$1:$I$5001,$A144)&amp;"")</f>
        <v/>
      </c>
      <c r="H144" s="19" t="str">
        <f aca="false">IF($A144="","",INDEX(Apparitions!$J$1:$J$5001,$A144)&amp;"")</f>
        <v/>
      </c>
      <c r="I144" s="19" t="str">
        <f aca="false">IF($A144="","",INDEX(Apparitions!$G$1:$G$5001,$A144)&amp;"")</f>
        <v/>
      </c>
      <c r="J144" s="19" t="str">
        <f aca="false">IF($A144="","",INDEX(Apparitions!$M$1:$M$5001,$A144)&amp;"")</f>
        <v/>
      </c>
      <c r="K144" s="21" t="str">
        <f aca="false">IF($A144="","",INDEX(Apparitions!$K$1:$K$5001,$A144))</f>
        <v/>
      </c>
      <c r="L144" s="22" t="str">
        <f aca="false">IF($A144="","",INDEX(Apparitions!$E$1:$E$5001,$A144)&amp;"")</f>
        <v/>
      </c>
      <c r="M144" s="19" t="str">
        <f aca="false">IF($A144="","",INDEX(Apparitions!$F$1:$F$5001,$A144)&amp;"")</f>
        <v/>
      </c>
      <c r="O144" s="23" t="n">
        <f aca="false">IF(I144="",0,IF(COUNTIF(I$16:I144,I144)=1,1,0))</f>
        <v>0</v>
      </c>
      <c r="P144" s="23" t="n">
        <f aca="false">IF(F144="",0,IF(COUNTIF(F$16:F144,F144)=1,1,0))</f>
        <v>0</v>
      </c>
      <c r="Q144" s="0" t="str">
        <f aca="false">IF(B144="","",B144&amp;"|"&amp;C144)</f>
        <v/>
      </c>
      <c r="R144" s="23" t="n">
        <f aca="false">IF(Q144="",0,IF(COUNTIF(Q$16:Q144,Q144)=1,1,0))</f>
        <v>0</v>
      </c>
    </row>
    <row r="145" customFormat="false" ht="15" hidden="false" customHeight="false" outlineLevel="0" collapsed="false">
      <c r="A145" s="0" t="str">
        <f aca="false">IFERROR(MATCH(130,Apparitions!$N$1:$N$5001,0),"")</f>
        <v/>
      </c>
      <c r="B145" s="19" t="str">
        <f aca="false">IF($A145="","",INDEX(Apparitions!$A$1:$A$5001,$A145)&amp;"")</f>
        <v/>
      </c>
      <c r="C145" s="19" t="str">
        <f aca="false">IF($A145="","",INDEX(Apparitions!$B$1:$B$5001,$A145)&amp;"")</f>
        <v/>
      </c>
      <c r="D145" s="20" t="str">
        <f aca="false">IF($A145="","",INDEX(Apparitions!$L$1:$L$5001,$A145))</f>
        <v/>
      </c>
      <c r="E145" s="19" t="str">
        <f aca="false">IF($A145="","",INDEX(Apparitions!$C$1:$C$5001,$A145)&amp;"")</f>
        <v/>
      </c>
      <c r="F145" s="19" t="str">
        <f aca="false">IF($A145="","",INDEX(Apparitions!$H$1:$H$5001,$A145)&amp;"")</f>
        <v/>
      </c>
      <c r="G145" s="19" t="str">
        <f aca="false">IF($A145="","",INDEX(Apparitions!$I$1:$I$5001,$A145)&amp;"")</f>
        <v/>
      </c>
      <c r="H145" s="19" t="str">
        <f aca="false">IF($A145="","",INDEX(Apparitions!$J$1:$J$5001,$A145)&amp;"")</f>
        <v/>
      </c>
      <c r="I145" s="19" t="str">
        <f aca="false">IF($A145="","",INDEX(Apparitions!$G$1:$G$5001,$A145)&amp;"")</f>
        <v/>
      </c>
      <c r="J145" s="19" t="str">
        <f aca="false">IF($A145="","",INDEX(Apparitions!$M$1:$M$5001,$A145)&amp;"")</f>
        <v/>
      </c>
      <c r="K145" s="21" t="str">
        <f aca="false">IF($A145="","",INDEX(Apparitions!$K$1:$K$5001,$A145))</f>
        <v/>
      </c>
      <c r="L145" s="22" t="str">
        <f aca="false">IF($A145="","",INDEX(Apparitions!$E$1:$E$5001,$A145)&amp;"")</f>
        <v/>
      </c>
      <c r="M145" s="19" t="str">
        <f aca="false">IF($A145="","",INDEX(Apparitions!$F$1:$F$5001,$A145)&amp;"")</f>
        <v/>
      </c>
      <c r="O145" s="23" t="n">
        <f aca="false">IF(I145="",0,IF(COUNTIF(I$16:I145,I145)=1,1,0))</f>
        <v>0</v>
      </c>
      <c r="P145" s="23" t="n">
        <f aca="false">IF(F145="",0,IF(COUNTIF(F$16:F145,F145)=1,1,0))</f>
        <v>0</v>
      </c>
      <c r="Q145" s="0" t="str">
        <f aca="false">IF(B145="","",B145&amp;"|"&amp;C145)</f>
        <v/>
      </c>
      <c r="R145" s="23" t="n">
        <f aca="false">IF(Q145="",0,IF(COUNTIF(Q$16:Q145,Q145)=1,1,0))</f>
        <v>0</v>
      </c>
    </row>
    <row r="146" customFormat="false" ht="15" hidden="false" customHeight="false" outlineLevel="0" collapsed="false">
      <c r="A146" s="0" t="str">
        <f aca="false">IFERROR(MATCH(131,Apparitions!$N$1:$N$5001,0),"")</f>
        <v/>
      </c>
      <c r="B146" s="19" t="str">
        <f aca="false">IF($A146="","",INDEX(Apparitions!$A$1:$A$5001,$A146)&amp;"")</f>
        <v/>
      </c>
      <c r="C146" s="19" t="str">
        <f aca="false">IF($A146="","",INDEX(Apparitions!$B$1:$B$5001,$A146)&amp;"")</f>
        <v/>
      </c>
      <c r="D146" s="20" t="str">
        <f aca="false">IF($A146="","",INDEX(Apparitions!$L$1:$L$5001,$A146))</f>
        <v/>
      </c>
      <c r="E146" s="19" t="str">
        <f aca="false">IF($A146="","",INDEX(Apparitions!$C$1:$C$5001,$A146)&amp;"")</f>
        <v/>
      </c>
      <c r="F146" s="19" t="str">
        <f aca="false">IF($A146="","",INDEX(Apparitions!$H$1:$H$5001,$A146)&amp;"")</f>
        <v/>
      </c>
      <c r="G146" s="19" t="str">
        <f aca="false">IF($A146="","",INDEX(Apparitions!$I$1:$I$5001,$A146)&amp;"")</f>
        <v/>
      </c>
      <c r="H146" s="19" t="str">
        <f aca="false">IF($A146="","",INDEX(Apparitions!$J$1:$J$5001,$A146)&amp;"")</f>
        <v/>
      </c>
      <c r="I146" s="19" t="str">
        <f aca="false">IF($A146="","",INDEX(Apparitions!$G$1:$G$5001,$A146)&amp;"")</f>
        <v/>
      </c>
      <c r="J146" s="19" t="str">
        <f aca="false">IF($A146="","",INDEX(Apparitions!$M$1:$M$5001,$A146)&amp;"")</f>
        <v/>
      </c>
      <c r="K146" s="21" t="str">
        <f aca="false">IF($A146="","",INDEX(Apparitions!$K$1:$K$5001,$A146))</f>
        <v/>
      </c>
      <c r="L146" s="22" t="str">
        <f aca="false">IF($A146="","",INDEX(Apparitions!$E$1:$E$5001,$A146)&amp;"")</f>
        <v/>
      </c>
      <c r="M146" s="19" t="str">
        <f aca="false">IF($A146="","",INDEX(Apparitions!$F$1:$F$5001,$A146)&amp;"")</f>
        <v/>
      </c>
      <c r="O146" s="23" t="n">
        <f aca="false">IF(I146="",0,IF(COUNTIF(I$16:I146,I146)=1,1,0))</f>
        <v>0</v>
      </c>
      <c r="P146" s="23" t="n">
        <f aca="false">IF(F146="",0,IF(COUNTIF(F$16:F146,F146)=1,1,0))</f>
        <v>0</v>
      </c>
      <c r="Q146" s="0" t="str">
        <f aca="false">IF(B146="","",B146&amp;"|"&amp;C146)</f>
        <v/>
      </c>
      <c r="R146" s="23" t="n">
        <f aca="false">IF(Q146="",0,IF(COUNTIF(Q$16:Q146,Q146)=1,1,0))</f>
        <v>0</v>
      </c>
    </row>
    <row r="147" customFormat="false" ht="15" hidden="false" customHeight="false" outlineLevel="0" collapsed="false">
      <c r="A147" s="0" t="str">
        <f aca="false">IFERROR(MATCH(132,Apparitions!$N$1:$N$5001,0),"")</f>
        <v/>
      </c>
      <c r="B147" s="19" t="str">
        <f aca="false">IF($A147="","",INDEX(Apparitions!$A$1:$A$5001,$A147)&amp;"")</f>
        <v/>
      </c>
      <c r="C147" s="19" t="str">
        <f aca="false">IF($A147="","",INDEX(Apparitions!$B$1:$B$5001,$A147)&amp;"")</f>
        <v/>
      </c>
      <c r="D147" s="20" t="str">
        <f aca="false">IF($A147="","",INDEX(Apparitions!$L$1:$L$5001,$A147))</f>
        <v/>
      </c>
      <c r="E147" s="19" t="str">
        <f aca="false">IF($A147="","",INDEX(Apparitions!$C$1:$C$5001,$A147)&amp;"")</f>
        <v/>
      </c>
      <c r="F147" s="19" t="str">
        <f aca="false">IF($A147="","",INDEX(Apparitions!$H$1:$H$5001,$A147)&amp;"")</f>
        <v/>
      </c>
      <c r="G147" s="19" t="str">
        <f aca="false">IF($A147="","",INDEX(Apparitions!$I$1:$I$5001,$A147)&amp;"")</f>
        <v/>
      </c>
      <c r="H147" s="19" t="str">
        <f aca="false">IF($A147="","",INDEX(Apparitions!$J$1:$J$5001,$A147)&amp;"")</f>
        <v/>
      </c>
      <c r="I147" s="19" t="str">
        <f aca="false">IF($A147="","",INDEX(Apparitions!$G$1:$G$5001,$A147)&amp;"")</f>
        <v/>
      </c>
      <c r="J147" s="19" t="str">
        <f aca="false">IF($A147="","",INDEX(Apparitions!$M$1:$M$5001,$A147)&amp;"")</f>
        <v/>
      </c>
      <c r="K147" s="21" t="str">
        <f aca="false">IF($A147="","",INDEX(Apparitions!$K$1:$K$5001,$A147))</f>
        <v/>
      </c>
      <c r="L147" s="22" t="str">
        <f aca="false">IF($A147="","",INDEX(Apparitions!$E$1:$E$5001,$A147)&amp;"")</f>
        <v/>
      </c>
      <c r="M147" s="19" t="str">
        <f aca="false">IF($A147="","",INDEX(Apparitions!$F$1:$F$5001,$A147)&amp;"")</f>
        <v/>
      </c>
      <c r="O147" s="23" t="n">
        <f aca="false">IF(I147="",0,IF(COUNTIF(I$16:I147,I147)=1,1,0))</f>
        <v>0</v>
      </c>
      <c r="P147" s="23" t="n">
        <f aca="false">IF(F147="",0,IF(COUNTIF(F$16:F147,F147)=1,1,0))</f>
        <v>0</v>
      </c>
      <c r="Q147" s="0" t="str">
        <f aca="false">IF(B147="","",B147&amp;"|"&amp;C147)</f>
        <v/>
      </c>
      <c r="R147" s="23" t="n">
        <f aca="false">IF(Q147="",0,IF(COUNTIF(Q$16:Q147,Q147)=1,1,0))</f>
        <v>0</v>
      </c>
    </row>
    <row r="148" customFormat="false" ht="15" hidden="false" customHeight="false" outlineLevel="0" collapsed="false">
      <c r="A148" s="0" t="str">
        <f aca="false">IFERROR(MATCH(133,Apparitions!$N$1:$N$5001,0),"")</f>
        <v/>
      </c>
      <c r="B148" s="19" t="str">
        <f aca="false">IF($A148="","",INDEX(Apparitions!$A$1:$A$5001,$A148)&amp;"")</f>
        <v/>
      </c>
      <c r="C148" s="19" t="str">
        <f aca="false">IF($A148="","",INDEX(Apparitions!$B$1:$B$5001,$A148)&amp;"")</f>
        <v/>
      </c>
      <c r="D148" s="20" t="str">
        <f aca="false">IF($A148="","",INDEX(Apparitions!$L$1:$L$5001,$A148))</f>
        <v/>
      </c>
      <c r="E148" s="19" t="str">
        <f aca="false">IF($A148="","",INDEX(Apparitions!$C$1:$C$5001,$A148)&amp;"")</f>
        <v/>
      </c>
      <c r="F148" s="19" t="str">
        <f aca="false">IF($A148="","",INDEX(Apparitions!$H$1:$H$5001,$A148)&amp;"")</f>
        <v/>
      </c>
      <c r="G148" s="19" t="str">
        <f aca="false">IF($A148="","",INDEX(Apparitions!$I$1:$I$5001,$A148)&amp;"")</f>
        <v/>
      </c>
      <c r="H148" s="19" t="str">
        <f aca="false">IF($A148="","",INDEX(Apparitions!$J$1:$J$5001,$A148)&amp;"")</f>
        <v/>
      </c>
      <c r="I148" s="19" t="str">
        <f aca="false">IF($A148="","",INDEX(Apparitions!$G$1:$G$5001,$A148)&amp;"")</f>
        <v/>
      </c>
      <c r="J148" s="19" t="str">
        <f aca="false">IF($A148="","",INDEX(Apparitions!$M$1:$M$5001,$A148)&amp;"")</f>
        <v/>
      </c>
      <c r="K148" s="21" t="str">
        <f aca="false">IF($A148="","",INDEX(Apparitions!$K$1:$K$5001,$A148))</f>
        <v/>
      </c>
      <c r="L148" s="22" t="str">
        <f aca="false">IF($A148="","",INDEX(Apparitions!$E$1:$E$5001,$A148)&amp;"")</f>
        <v/>
      </c>
      <c r="M148" s="19" t="str">
        <f aca="false">IF($A148="","",INDEX(Apparitions!$F$1:$F$5001,$A148)&amp;"")</f>
        <v/>
      </c>
      <c r="O148" s="23" t="n">
        <f aca="false">IF(I148="",0,IF(COUNTIF(I$16:I148,I148)=1,1,0))</f>
        <v>0</v>
      </c>
      <c r="P148" s="23" t="n">
        <f aca="false">IF(F148="",0,IF(COUNTIF(F$16:F148,F148)=1,1,0))</f>
        <v>0</v>
      </c>
      <c r="Q148" s="0" t="str">
        <f aca="false">IF(B148="","",B148&amp;"|"&amp;C148)</f>
        <v/>
      </c>
      <c r="R148" s="23" t="n">
        <f aca="false">IF(Q148="",0,IF(COUNTIF(Q$16:Q148,Q148)=1,1,0))</f>
        <v>0</v>
      </c>
    </row>
    <row r="149" customFormat="false" ht="15" hidden="false" customHeight="false" outlineLevel="0" collapsed="false">
      <c r="A149" s="0" t="str">
        <f aca="false">IFERROR(MATCH(134,Apparitions!$N$1:$N$5001,0),"")</f>
        <v/>
      </c>
      <c r="B149" s="19" t="str">
        <f aca="false">IF($A149="","",INDEX(Apparitions!$A$1:$A$5001,$A149)&amp;"")</f>
        <v/>
      </c>
      <c r="C149" s="19" t="str">
        <f aca="false">IF($A149="","",INDEX(Apparitions!$B$1:$B$5001,$A149)&amp;"")</f>
        <v/>
      </c>
      <c r="D149" s="20" t="str">
        <f aca="false">IF($A149="","",INDEX(Apparitions!$L$1:$L$5001,$A149))</f>
        <v/>
      </c>
      <c r="E149" s="19" t="str">
        <f aca="false">IF($A149="","",INDEX(Apparitions!$C$1:$C$5001,$A149)&amp;"")</f>
        <v/>
      </c>
      <c r="F149" s="19" t="str">
        <f aca="false">IF($A149="","",INDEX(Apparitions!$H$1:$H$5001,$A149)&amp;"")</f>
        <v/>
      </c>
      <c r="G149" s="19" t="str">
        <f aca="false">IF($A149="","",INDEX(Apparitions!$I$1:$I$5001,$A149)&amp;"")</f>
        <v/>
      </c>
      <c r="H149" s="19" t="str">
        <f aca="false">IF($A149="","",INDEX(Apparitions!$J$1:$J$5001,$A149)&amp;"")</f>
        <v/>
      </c>
      <c r="I149" s="19" t="str">
        <f aca="false">IF($A149="","",INDEX(Apparitions!$G$1:$G$5001,$A149)&amp;"")</f>
        <v/>
      </c>
      <c r="J149" s="19" t="str">
        <f aca="false">IF($A149="","",INDEX(Apparitions!$M$1:$M$5001,$A149)&amp;"")</f>
        <v/>
      </c>
      <c r="K149" s="21" t="str">
        <f aca="false">IF($A149="","",INDEX(Apparitions!$K$1:$K$5001,$A149))</f>
        <v/>
      </c>
      <c r="L149" s="22" t="str">
        <f aca="false">IF($A149="","",INDEX(Apparitions!$E$1:$E$5001,$A149)&amp;"")</f>
        <v/>
      </c>
      <c r="M149" s="19" t="str">
        <f aca="false">IF($A149="","",INDEX(Apparitions!$F$1:$F$5001,$A149)&amp;"")</f>
        <v/>
      </c>
      <c r="O149" s="23" t="n">
        <f aca="false">IF(I149="",0,IF(COUNTIF(I$16:I149,I149)=1,1,0))</f>
        <v>0</v>
      </c>
      <c r="P149" s="23" t="n">
        <f aca="false">IF(F149="",0,IF(COUNTIF(F$16:F149,F149)=1,1,0))</f>
        <v>0</v>
      </c>
      <c r="Q149" s="0" t="str">
        <f aca="false">IF(B149="","",B149&amp;"|"&amp;C149)</f>
        <v/>
      </c>
      <c r="R149" s="23" t="n">
        <f aca="false">IF(Q149="",0,IF(COUNTIF(Q$16:Q149,Q149)=1,1,0))</f>
        <v>0</v>
      </c>
    </row>
    <row r="150" customFormat="false" ht="15" hidden="false" customHeight="false" outlineLevel="0" collapsed="false">
      <c r="A150" s="0" t="str">
        <f aca="false">IFERROR(MATCH(135,Apparitions!$N$1:$N$5001,0),"")</f>
        <v/>
      </c>
      <c r="B150" s="19" t="str">
        <f aca="false">IF($A150="","",INDEX(Apparitions!$A$1:$A$5001,$A150)&amp;"")</f>
        <v/>
      </c>
      <c r="C150" s="19" t="str">
        <f aca="false">IF($A150="","",INDEX(Apparitions!$B$1:$B$5001,$A150)&amp;"")</f>
        <v/>
      </c>
      <c r="D150" s="20" t="str">
        <f aca="false">IF($A150="","",INDEX(Apparitions!$L$1:$L$5001,$A150))</f>
        <v/>
      </c>
      <c r="E150" s="19" t="str">
        <f aca="false">IF($A150="","",INDEX(Apparitions!$C$1:$C$5001,$A150)&amp;"")</f>
        <v/>
      </c>
      <c r="F150" s="19" t="str">
        <f aca="false">IF($A150="","",INDEX(Apparitions!$H$1:$H$5001,$A150)&amp;"")</f>
        <v/>
      </c>
      <c r="G150" s="19" t="str">
        <f aca="false">IF($A150="","",INDEX(Apparitions!$I$1:$I$5001,$A150)&amp;"")</f>
        <v/>
      </c>
      <c r="H150" s="19" t="str">
        <f aca="false">IF($A150="","",INDEX(Apparitions!$J$1:$J$5001,$A150)&amp;"")</f>
        <v/>
      </c>
      <c r="I150" s="19" t="str">
        <f aca="false">IF($A150="","",INDEX(Apparitions!$G$1:$G$5001,$A150)&amp;"")</f>
        <v/>
      </c>
      <c r="J150" s="19" t="str">
        <f aca="false">IF($A150="","",INDEX(Apparitions!$M$1:$M$5001,$A150)&amp;"")</f>
        <v/>
      </c>
      <c r="K150" s="21" t="str">
        <f aca="false">IF($A150="","",INDEX(Apparitions!$K$1:$K$5001,$A150))</f>
        <v/>
      </c>
      <c r="L150" s="22" t="str">
        <f aca="false">IF($A150="","",INDEX(Apparitions!$E$1:$E$5001,$A150)&amp;"")</f>
        <v/>
      </c>
      <c r="M150" s="19" t="str">
        <f aca="false">IF($A150="","",INDEX(Apparitions!$F$1:$F$5001,$A150)&amp;"")</f>
        <v/>
      </c>
      <c r="O150" s="23" t="n">
        <f aca="false">IF(I150="",0,IF(COUNTIF(I$16:I150,I150)=1,1,0))</f>
        <v>0</v>
      </c>
      <c r="P150" s="23" t="n">
        <f aca="false">IF(F150="",0,IF(COUNTIF(F$16:F150,F150)=1,1,0))</f>
        <v>0</v>
      </c>
      <c r="Q150" s="0" t="str">
        <f aca="false">IF(B150="","",B150&amp;"|"&amp;C150)</f>
        <v/>
      </c>
      <c r="R150" s="23" t="n">
        <f aca="false">IF(Q150="",0,IF(COUNTIF(Q$16:Q150,Q150)=1,1,0))</f>
        <v>0</v>
      </c>
    </row>
    <row r="151" customFormat="false" ht="15" hidden="false" customHeight="false" outlineLevel="0" collapsed="false">
      <c r="A151" s="0" t="str">
        <f aca="false">IFERROR(MATCH(136,Apparitions!$N$1:$N$5001,0),"")</f>
        <v/>
      </c>
      <c r="B151" s="19" t="str">
        <f aca="false">IF($A151="","",INDEX(Apparitions!$A$1:$A$5001,$A151)&amp;"")</f>
        <v/>
      </c>
      <c r="C151" s="19" t="str">
        <f aca="false">IF($A151="","",INDEX(Apparitions!$B$1:$B$5001,$A151)&amp;"")</f>
        <v/>
      </c>
      <c r="D151" s="20" t="str">
        <f aca="false">IF($A151="","",INDEX(Apparitions!$L$1:$L$5001,$A151))</f>
        <v/>
      </c>
      <c r="E151" s="19" t="str">
        <f aca="false">IF($A151="","",INDEX(Apparitions!$C$1:$C$5001,$A151)&amp;"")</f>
        <v/>
      </c>
      <c r="F151" s="19" t="str">
        <f aca="false">IF($A151="","",INDEX(Apparitions!$H$1:$H$5001,$A151)&amp;"")</f>
        <v/>
      </c>
      <c r="G151" s="19" t="str">
        <f aca="false">IF($A151="","",INDEX(Apparitions!$I$1:$I$5001,$A151)&amp;"")</f>
        <v/>
      </c>
      <c r="H151" s="19" t="str">
        <f aca="false">IF($A151="","",INDEX(Apparitions!$J$1:$J$5001,$A151)&amp;"")</f>
        <v/>
      </c>
      <c r="I151" s="19" t="str">
        <f aca="false">IF($A151="","",INDEX(Apparitions!$G$1:$G$5001,$A151)&amp;"")</f>
        <v/>
      </c>
      <c r="J151" s="19" t="str">
        <f aca="false">IF($A151="","",INDEX(Apparitions!$M$1:$M$5001,$A151)&amp;"")</f>
        <v/>
      </c>
      <c r="K151" s="21" t="str">
        <f aca="false">IF($A151="","",INDEX(Apparitions!$K$1:$K$5001,$A151))</f>
        <v/>
      </c>
      <c r="L151" s="22" t="str">
        <f aca="false">IF($A151="","",INDEX(Apparitions!$E$1:$E$5001,$A151)&amp;"")</f>
        <v/>
      </c>
      <c r="M151" s="19" t="str">
        <f aca="false">IF($A151="","",INDEX(Apparitions!$F$1:$F$5001,$A151)&amp;"")</f>
        <v/>
      </c>
      <c r="O151" s="23" t="n">
        <f aca="false">IF(I151="",0,IF(COUNTIF(I$16:I151,I151)=1,1,0))</f>
        <v>0</v>
      </c>
      <c r="P151" s="23" t="n">
        <f aca="false">IF(F151="",0,IF(COUNTIF(F$16:F151,F151)=1,1,0))</f>
        <v>0</v>
      </c>
      <c r="Q151" s="0" t="str">
        <f aca="false">IF(B151="","",B151&amp;"|"&amp;C151)</f>
        <v/>
      </c>
      <c r="R151" s="23" t="n">
        <f aca="false">IF(Q151="",0,IF(COUNTIF(Q$16:Q151,Q151)=1,1,0))</f>
        <v>0</v>
      </c>
    </row>
    <row r="152" customFormat="false" ht="15" hidden="false" customHeight="false" outlineLevel="0" collapsed="false">
      <c r="A152" s="0" t="str">
        <f aca="false">IFERROR(MATCH(137,Apparitions!$N$1:$N$5001,0),"")</f>
        <v/>
      </c>
      <c r="B152" s="19" t="str">
        <f aca="false">IF($A152="","",INDEX(Apparitions!$A$1:$A$5001,$A152)&amp;"")</f>
        <v/>
      </c>
      <c r="C152" s="19" t="str">
        <f aca="false">IF($A152="","",INDEX(Apparitions!$B$1:$B$5001,$A152)&amp;"")</f>
        <v/>
      </c>
      <c r="D152" s="20" t="str">
        <f aca="false">IF($A152="","",INDEX(Apparitions!$L$1:$L$5001,$A152))</f>
        <v/>
      </c>
      <c r="E152" s="19" t="str">
        <f aca="false">IF($A152="","",INDEX(Apparitions!$C$1:$C$5001,$A152)&amp;"")</f>
        <v/>
      </c>
      <c r="F152" s="19" t="str">
        <f aca="false">IF($A152="","",INDEX(Apparitions!$H$1:$H$5001,$A152)&amp;"")</f>
        <v/>
      </c>
      <c r="G152" s="19" t="str">
        <f aca="false">IF($A152="","",INDEX(Apparitions!$I$1:$I$5001,$A152)&amp;"")</f>
        <v/>
      </c>
      <c r="H152" s="19" t="str">
        <f aca="false">IF($A152="","",INDEX(Apparitions!$J$1:$J$5001,$A152)&amp;"")</f>
        <v/>
      </c>
      <c r="I152" s="19" t="str">
        <f aca="false">IF($A152="","",INDEX(Apparitions!$G$1:$G$5001,$A152)&amp;"")</f>
        <v/>
      </c>
      <c r="J152" s="19" t="str">
        <f aca="false">IF($A152="","",INDEX(Apparitions!$M$1:$M$5001,$A152)&amp;"")</f>
        <v/>
      </c>
      <c r="K152" s="21" t="str">
        <f aca="false">IF($A152="","",INDEX(Apparitions!$K$1:$K$5001,$A152))</f>
        <v/>
      </c>
      <c r="L152" s="22" t="str">
        <f aca="false">IF($A152="","",INDEX(Apparitions!$E$1:$E$5001,$A152)&amp;"")</f>
        <v/>
      </c>
      <c r="M152" s="19" t="str">
        <f aca="false">IF($A152="","",INDEX(Apparitions!$F$1:$F$5001,$A152)&amp;"")</f>
        <v/>
      </c>
      <c r="O152" s="23" t="n">
        <f aca="false">IF(I152="",0,IF(COUNTIF(I$16:I152,I152)=1,1,0))</f>
        <v>0</v>
      </c>
      <c r="P152" s="23" t="n">
        <f aca="false">IF(F152="",0,IF(COUNTIF(F$16:F152,F152)=1,1,0))</f>
        <v>0</v>
      </c>
      <c r="Q152" s="0" t="str">
        <f aca="false">IF(B152="","",B152&amp;"|"&amp;C152)</f>
        <v/>
      </c>
      <c r="R152" s="23" t="n">
        <f aca="false">IF(Q152="",0,IF(COUNTIF(Q$16:Q152,Q152)=1,1,0))</f>
        <v>0</v>
      </c>
    </row>
    <row r="153" customFormat="false" ht="15" hidden="false" customHeight="false" outlineLevel="0" collapsed="false">
      <c r="A153" s="0" t="str">
        <f aca="false">IFERROR(MATCH(138,Apparitions!$N$1:$N$5001,0),"")</f>
        <v/>
      </c>
      <c r="B153" s="19" t="str">
        <f aca="false">IF($A153="","",INDEX(Apparitions!$A$1:$A$5001,$A153)&amp;"")</f>
        <v/>
      </c>
      <c r="C153" s="19" t="str">
        <f aca="false">IF($A153="","",INDEX(Apparitions!$B$1:$B$5001,$A153)&amp;"")</f>
        <v/>
      </c>
      <c r="D153" s="20" t="str">
        <f aca="false">IF($A153="","",INDEX(Apparitions!$L$1:$L$5001,$A153))</f>
        <v/>
      </c>
      <c r="E153" s="19" t="str">
        <f aca="false">IF($A153="","",INDEX(Apparitions!$C$1:$C$5001,$A153)&amp;"")</f>
        <v/>
      </c>
      <c r="F153" s="19" t="str">
        <f aca="false">IF($A153="","",INDEX(Apparitions!$H$1:$H$5001,$A153)&amp;"")</f>
        <v/>
      </c>
      <c r="G153" s="19" t="str">
        <f aca="false">IF($A153="","",INDEX(Apparitions!$I$1:$I$5001,$A153)&amp;"")</f>
        <v/>
      </c>
      <c r="H153" s="19" t="str">
        <f aca="false">IF($A153="","",INDEX(Apparitions!$J$1:$J$5001,$A153)&amp;"")</f>
        <v/>
      </c>
      <c r="I153" s="19" t="str">
        <f aca="false">IF($A153="","",INDEX(Apparitions!$G$1:$G$5001,$A153)&amp;"")</f>
        <v/>
      </c>
      <c r="J153" s="19" t="str">
        <f aca="false">IF($A153="","",INDEX(Apparitions!$M$1:$M$5001,$A153)&amp;"")</f>
        <v/>
      </c>
      <c r="K153" s="21" t="str">
        <f aca="false">IF($A153="","",INDEX(Apparitions!$K$1:$K$5001,$A153))</f>
        <v/>
      </c>
      <c r="L153" s="22" t="str">
        <f aca="false">IF($A153="","",INDEX(Apparitions!$E$1:$E$5001,$A153)&amp;"")</f>
        <v/>
      </c>
      <c r="M153" s="19" t="str">
        <f aca="false">IF($A153="","",INDEX(Apparitions!$F$1:$F$5001,$A153)&amp;"")</f>
        <v/>
      </c>
      <c r="O153" s="23" t="n">
        <f aca="false">IF(I153="",0,IF(COUNTIF(I$16:I153,I153)=1,1,0))</f>
        <v>0</v>
      </c>
      <c r="P153" s="23" t="n">
        <f aca="false">IF(F153="",0,IF(COUNTIF(F$16:F153,F153)=1,1,0))</f>
        <v>0</v>
      </c>
      <c r="Q153" s="0" t="str">
        <f aca="false">IF(B153="","",B153&amp;"|"&amp;C153)</f>
        <v/>
      </c>
      <c r="R153" s="23" t="n">
        <f aca="false">IF(Q153="",0,IF(COUNTIF(Q$16:Q153,Q153)=1,1,0))</f>
        <v>0</v>
      </c>
    </row>
    <row r="154" customFormat="false" ht="15" hidden="false" customHeight="false" outlineLevel="0" collapsed="false">
      <c r="A154" s="0" t="str">
        <f aca="false">IFERROR(MATCH(139,Apparitions!$N$1:$N$5001,0),"")</f>
        <v/>
      </c>
      <c r="B154" s="19" t="str">
        <f aca="false">IF($A154="","",INDEX(Apparitions!$A$1:$A$5001,$A154)&amp;"")</f>
        <v/>
      </c>
      <c r="C154" s="19" t="str">
        <f aca="false">IF($A154="","",INDEX(Apparitions!$B$1:$B$5001,$A154)&amp;"")</f>
        <v/>
      </c>
      <c r="D154" s="20" t="str">
        <f aca="false">IF($A154="","",INDEX(Apparitions!$L$1:$L$5001,$A154))</f>
        <v/>
      </c>
      <c r="E154" s="19" t="str">
        <f aca="false">IF($A154="","",INDEX(Apparitions!$C$1:$C$5001,$A154)&amp;"")</f>
        <v/>
      </c>
      <c r="F154" s="19" t="str">
        <f aca="false">IF($A154="","",INDEX(Apparitions!$H$1:$H$5001,$A154)&amp;"")</f>
        <v/>
      </c>
      <c r="G154" s="19" t="str">
        <f aca="false">IF($A154="","",INDEX(Apparitions!$I$1:$I$5001,$A154)&amp;"")</f>
        <v/>
      </c>
      <c r="H154" s="19" t="str">
        <f aca="false">IF($A154="","",INDEX(Apparitions!$J$1:$J$5001,$A154)&amp;"")</f>
        <v/>
      </c>
      <c r="I154" s="19" t="str">
        <f aca="false">IF($A154="","",INDEX(Apparitions!$G$1:$G$5001,$A154)&amp;"")</f>
        <v/>
      </c>
      <c r="J154" s="19" t="str">
        <f aca="false">IF($A154="","",INDEX(Apparitions!$M$1:$M$5001,$A154)&amp;"")</f>
        <v/>
      </c>
      <c r="K154" s="21" t="str">
        <f aca="false">IF($A154="","",INDEX(Apparitions!$K$1:$K$5001,$A154))</f>
        <v/>
      </c>
      <c r="L154" s="22" t="str">
        <f aca="false">IF($A154="","",INDEX(Apparitions!$E$1:$E$5001,$A154)&amp;"")</f>
        <v/>
      </c>
      <c r="M154" s="19" t="str">
        <f aca="false">IF($A154="","",INDEX(Apparitions!$F$1:$F$5001,$A154)&amp;"")</f>
        <v/>
      </c>
      <c r="O154" s="23" t="n">
        <f aca="false">IF(I154="",0,IF(COUNTIF(I$16:I154,I154)=1,1,0))</f>
        <v>0</v>
      </c>
      <c r="P154" s="23" t="n">
        <f aca="false">IF(F154="",0,IF(COUNTIF(F$16:F154,F154)=1,1,0))</f>
        <v>0</v>
      </c>
      <c r="Q154" s="0" t="str">
        <f aca="false">IF(B154="","",B154&amp;"|"&amp;C154)</f>
        <v/>
      </c>
      <c r="R154" s="23" t="n">
        <f aca="false">IF(Q154="",0,IF(COUNTIF(Q$16:Q154,Q154)=1,1,0))</f>
        <v>0</v>
      </c>
    </row>
    <row r="155" customFormat="false" ht="15" hidden="false" customHeight="false" outlineLevel="0" collapsed="false">
      <c r="A155" s="0" t="str">
        <f aca="false">IFERROR(MATCH(140,Apparitions!$N$1:$N$5001,0),"")</f>
        <v/>
      </c>
      <c r="B155" s="19" t="str">
        <f aca="false">IF($A155="","",INDEX(Apparitions!$A$1:$A$5001,$A155)&amp;"")</f>
        <v/>
      </c>
      <c r="C155" s="19" t="str">
        <f aca="false">IF($A155="","",INDEX(Apparitions!$B$1:$B$5001,$A155)&amp;"")</f>
        <v/>
      </c>
      <c r="D155" s="20" t="str">
        <f aca="false">IF($A155="","",INDEX(Apparitions!$L$1:$L$5001,$A155))</f>
        <v/>
      </c>
      <c r="E155" s="19" t="str">
        <f aca="false">IF($A155="","",INDEX(Apparitions!$C$1:$C$5001,$A155)&amp;"")</f>
        <v/>
      </c>
      <c r="F155" s="19" t="str">
        <f aca="false">IF($A155="","",INDEX(Apparitions!$H$1:$H$5001,$A155)&amp;"")</f>
        <v/>
      </c>
      <c r="G155" s="19" t="str">
        <f aca="false">IF($A155="","",INDEX(Apparitions!$I$1:$I$5001,$A155)&amp;"")</f>
        <v/>
      </c>
      <c r="H155" s="19" t="str">
        <f aca="false">IF($A155="","",INDEX(Apparitions!$J$1:$J$5001,$A155)&amp;"")</f>
        <v/>
      </c>
      <c r="I155" s="19" t="str">
        <f aca="false">IF($A155="","",INDEX(Apparitions!$G$1:$G$5001,$A155)&amp;"")</f>
        <v/>
      </c>
      <c r="J155" s="19" t="str">
        <f aca="false">IF($A155="","",INDEX(Apparitions!$M$1:$M$5001,$A155)&amp;"")</f>
        <v/>
      </c>
      <c r="K155" s="21" t="str">
        <f aca="false">IF($A155="","",INDEX(Apparitions!$K$1:$K$5001,$A155))</f>
        <v/>
      </c>
      <c r="L155" s="22" t="str">
        <f aca="false">IF($A155="","",INDEX(Apparitions!$E$1:$E$5001,$A155)&amp;"")</f>
        <v/>
      </c>
      <c r="M155" s="19" t="str">
        <f aca="false">IF($A155="","",INDEX(Apparitions!$F$1:$F$5001,$A155)&amp;"")</f>
        <v/>
      </c>
      <c r="O155" s="23" t="n">
        <f aca="false">IF(I155="",0,IF(COUNTIF(I$16:I155,I155)=1,1,0))</f>
        <v>0</v>
      </c>
      <c r="P155" s="23" t="n">
        <f aca="false">IF(F155="",0,IF(COUNTIF(F$16:F155,F155)=1,1,0))</f>
        <v>0</v>
      </c>
      <c r="Q155" s="0" t="str">
        <f aca="false">IF(B155="","",B155&amp;"|"&amp;C155)</f>
        <v/>
      </c>
      <c r="R155" s="23" t="n">
        <f aca="false">IF(Q155="",0,IF(COUNTIF(Q$16:Q155,Q155)=1,1,0))</f>
        <v>0</v>
      </c>
    </row>
    <row r="156" customFormat="false" ht="15" hidden="false" customHeight="false" outlineLevel="0" collapsed="false">
      <c r="A156" s="0" t="str">
        <f aca="false">IFERROR(MATCH(141,Apparitions!$N$1:$N$5001,0),"")</f>
        <v/>
      </c>
      <c r="B156" s="19" t="str">
        <f aca="false">IF($A156="","",INDEX(Apparitions!$A$1:$A$5001,$A156)&amp;"")</f>
        <v/>
      </c>
      <c r="C156" s="19" t="str">
        <f aca="false">IF($A156="","",INDEX(Apparitions!$B$1:$B$5001,$A156)&amp;"")</f>
        <v/>
      </c>
      <c r="D156" s="20" t="str">
        <f aca="false">IF($A156="","",INDEX(Apparitions!$L$1:$L$5001,$A156))</f>
        <v/>
      </c>
      <c r="E156" s="19" t="str">
        <f aca="false">IF($A156="","",INDEX(Apparitions!$C$1:$C$5001,$A156)&amp;"")</f>
        <v/>
      </c>
      <c r="F156" s="19" t="str">
        <f aca="false">IF($A156="","",INDEX(Apparitions!$H$1:$H$5001,$A156)&amp;"")</f>
        <v/>
      </c>
      <c r="G156" s="19" t="str">
        <f aca="false">IF($A156="","",INDEX(Apparitions!$I$1:$I$5001,$A156)&amp;"")</f>
        <v/>
      </c>
      <c r="H156" s="19" t="str">
        <f aca="false">IF($A156="","",INDEX(Apparitions!$J$1:$J$5001,$A156)&amp;"")</f>
        <v/>
      </c>
      <c r="I156" s="19" t="str">
        <f aca="false">IF($A156="","",INDEX(Apparitions!$G$1:$G$5001,$A156)&amp;"")</f>
        <v/>
      </c>
      <c r="J156" s="19" t="str">
        <f aca="false">IF($A156="","",INDEX(Apparitions!$M$1:$M$5001,$A156)&amp;"")</f>
        <v/>
      </c>
      <c r="K156" s="21" t="str">
        <f aca="false">IF($A156="","",INDEX(Apparitions!$K$1:$K$5001,$A156))</f>
        <v/>
      </c>
      <c r="L156" s="22" t="str">
        <f aca="false">IF($A156="","",INDEX(Apparitions!$E$1:$E$5001,$A156)&amp;"")</f>
        <v/>
      </c>
      <c r="M156" s="19" t="str">
        <f aca="false">IF($A156="","",INDEX(Apparitions!$F$1:$F$5001,$A156)&amp;"")</f>
        <v/>
      </c>
      <c r="O156" s="23" t="n">
        <f aca="false">IF(I156="",0,IF(COUNTIF(I$16:I156,I156)=1,1,0))</f>
        <v>0</v>
      </c>
      <c r="P156" s="23" t="n">
        <f aca="false">IF(F156="",0,IF(COUNTIF(F$16:F156,F156)=1,1,0))</f>
        <v>0</v>
      </c>
      <c r="Q156" s="0" t="str">
        <f aca="false">IF(B156="","",B156&amp;"|"&amp;C156)</f>
        <v/>
      </c>
      <c r="R156" s="23" t="n">
        <f aca="false">IF(Q156="",0,IF(COUNTIF(Q$16:Q156,Q156)=1,1,0))</f>
        <v>0</v>
      </c>
    </row>
    <row r="157" customFormat="false" ht="15" hidden="false" customHeight="false" outlineLevel="0" collapsed="false">
      <c r="A157" s="0" t="str">
        <f aca="false">IFERROR(MATCH(142,Apparitions!$N$1:$N$5001,0),"")</f>
        <v/>
      </c>
      <c r="B157" s="19" t="str">
        <f aca="false">IF($A157="","",INDEX(Apparitions!$A$1:$A$5001,$A157)&amp;"")</f>
        <v/>
      </c>
      <c r="C157" s="19" t="str">
        <f aca="false">IF($A157="","",INDEX(Apparitions!$B$1:$B$5001,$A157)&amp;"")</f>
        <v/>
      </c>
      <c r="D157" s="20" t="str">
        <f aca="false">IF($A157="","",INDEX(Apparitions!$L$1:$L$5001,$A157))</f>
        <v/>
      </c>
      <c r="E157" s="19" t="str">
        <f aca="false">IF($A157="","",INDEX(Apparitions!$C$1:$C$5001,$A157)&amp;"")</f>
        <v/>
      </c>
      <c r="F157" s="19" t="str">
        <f aca="false">IF($A157="","",INDEX(Apparitions!$H$1:$H$5001,$A157)&amp;"")</f>
        <v/>
      </c>
      <c r="G157" s="19" t="str">
        <f aca="false">IF($A157="","",INDEX(Apparitions!$I$1:$I$5001,$A157)&amp;"")</f>
        <v/>
      </c>
      <c r="H157" s="19" t="str">
        <f aca="false">IF($A157="","",INDEX(Apparitions!$J$1:$J$5001,$A157)&amp;"")</f>
        <v/>
      </c>
      <c r="I157" s="19" t="str">
        <f aca="false">IF($A157="","",INDEX(Apparitions!$G$1:$G$5001,$A157)&amp;"")</f>
        <v/>
      </c>
      <c r="J157" s="19" t="str">
        <f aca="false">IF($A157="","",INDEX(Apparitions!$M$1:$M$5001,$A157)&amp;"")</f>
        <v/>
      </c>
      <c r="K157" s="21" t="str">
        <f aca="false">IF($A157="","",INDEX(Apparitions!$K$1:$K$5001,$A157))</f>
        <v/>
      </c>
      <c r="L157" s="22" t="str">
        <f aca="false">IF($A157="","",INDEX(Apparitions!$E$1:$E$5001,$A157)&amp;"")</f>
        <v/>
      </c>
      <c r="M157" s="19" t="str">
        <f aca="false">IF($A157="","",INDEX(Apparitions!$F$1:$F$5001,$A157)&amp;"")</f>
        <v/>
      </c>
      <c r="O157" s="23" t="n">
        <f aca="false">IF(I157="",0,IF(COUNTIF(I$16:I157,I157)=1,1,0))</f>
        <v>0</v>
      </c>
      <c r="P157" s="23" t="n">
        <f aca="false">IF(F157="",0,IF(COUNTIF(F$16:F157,F157)=1,1,0))</f>
        <v>0</v>
      </c>
      <c r="Q157" s="0" t="str">
        <f aca="false">IF(B157="","",B157&amp;"|"&amp;C157)</f>
        <v/>
      </c>
      <c r="R157" s="23" t="n">
        <f aca="false">IF(Q157="",0,IF(COUNTIF(Q$16:Q157,Q157)=1,1,0))</f>
        <v>0</v>
      </c>
    </row>
    <row r="158" customFormat="false" ht="15" hidden="false" customHeight="false" outlineLevel="0" collapsed="false">
      <c r="A158" s="0" t="str">
        <f aca="false">IFERROR(MATCH(143,Apparitions!$N$1:$N$5001,0),"")</f>
        <v/>
      </c>
      <c r="B158" s="19" t="str">
        <f aca="false">IF($A158="","",INDEX(Apparitions!$A$1:$A$5001,$A158)&amp;"")</f>
        <v/>
      </c>
      <c r="C158" s="19" t="str">
        <f aca="false">IF($A158="","",INDEX(Apparitions!$B$1:$B$5001,$A158)&amp;"")</f>
        <v/>
      </c>
      <c r="D158" s="20" t="str">
        <f aca="false">IF($A158="","",INDEX(Apparitions!$L$1:$L$5001,$A158))</f>
        <v/>
      </c>
      <c r="E158" s="19" t="str">
        <f aca="false">IF($A158="","",INDEX(Apparitions!$C$1:$C$5001,$A158)&amp;"")</f>
        <v/>
      </c>
      <c r="F158" s="19" t="str">
        <f aca="false">IF($A158="","",INDEX(Apparitions!$H$1:$H$5001,$A158)&amp;"")</f>
        <v/>
      </c>
      <c r="G158" s="19" t="str">
        <f aca="false">IF($A158="","",INDEX(Apparitions!$I$1:$I$5001,$A158)&amp;"")</f>
        <v/>
      </c>
      <c r="H158" s="19" t="str">
        <f aca="false">IF($A158="","",INDEX(Apparitions!$J$1:$J$5001,$A158)&amp;"")</f>
        <v/>
      </c>
      <c r="I158" s="19" t="str">
        <f aca="false">IF($A158="","",INDEX(Apparitions!$G$1:$G$5001,$A158)&amp;"")</f>
        <v/>
      </c>
      <c r="J158" s="19" t="str">
        <f aca="false">IF($A158="","",INDEX(Apparitions!$M$1:$M$5001,$A158)&amp;"")</f>
        <v/>
      </c>
      <c r="K158" s="21" t="str">
        <f aca="false">IF($A158="","",INDEX(Apparitions!$K$1:$K$5001,$A158))</f>
        <v/>
      </c>
      <c r="L158" s="22" t="str">
        <f aca="false">IF($A158="","",INDEX(Apparitions!$E$1:$E$5001,$A158)&amp;"")</f>
        <v/>
      </c>
      <c r="M158" s="19" t="str">
        <f aca="false">IF($A158="","",INDEX(Apparitions!$F$1:$F$5001,$A158)&amp;"")</f>
        <v/>
      </c>
      <c r="O158" s="23" t="n">
        <f aca="false">IF(I158="",0,IF(COUNTIF(I$16:I158,I158)=1,1,0))</f>
        <v>0</v>
      </c>
      <c r="P158" s="23" t="n">
        <f aca="false">IF(F158="",0,IF(COUNTIF(F$16:F158,F158)=1,1,0))</f>
        <v>0</v>
      </c>
      <c r="Q158" s="0" t="str">
        <f aca="false">IF(B158="","",B158&amp;"|"&amp;C158)</f>
        <v/>
      </c>
      <c r="R158" s="23" t="n">
        <f aca="false">IF(Q158="",0,IF(COUNTIF(Q$16:Q158,Q158)=1,1,0))</f>
        <v>0</v>
      </c>
    </row>
    <row r="159" customFormat="false" ht="15" hidden="false" customHeight="false" outlineLevel="0" collapsed="false">
      <c r="A159" s="0" t="str">
        <f aca="false">IFERROR(MATCH(144,Apparitions!$N$1:$N$5001,0),"")</f>
        <v/>
      </c>
      <c r="B159" s="19" t="str">
        <f aca="false">IF($A159="","",INDEX(Apparitions!$A$1:$A$5001,$A159)&amp;"")</f>
        <v/>
      </c>
      <c r="C159" s="19" t="str">
        <f aca="false">IF($A159="","",INDEX(Apparitions!$B$1:$B$5001,$A159)&amp;"")</f>
        <v/>
      </c>
      <c r="D159" s="20" t="str">
        <f aca="false">IF($A159="","",INDEX(Apparitions!$L$1:$L$5001,$A159))</f>
        <v/>
      </c>
      <c r="E159" s="19" t="str">
        <f aca="false">IF($A159="","",INDEX(Apparitions!$C$1:$C$5001,$A159)&amp;"")</f>
        <v/>
      </c>
      <c r="F159" s="19" t="str">
        <f aca="false">IF($A159="","",INDEX(Apparitions!$H$1:$H$5001,$A159)&amp;"")</f>
        <v/>
      </c>
      <c r="G159" s="19" t="str">
        <f aca="false">IF($A159="","",INDEX(Apparitions!$I$1:$I$5001,$A159)&amp;"")</f>
        <v/>
      </c>
      <c r="H159" s="19" t="str">
        <f aca="false">IF($A159="","",INDEX(Apparitions!$J$1:$J$5001,$A159)&amp;"")</f>
        <v/>
      </c>
      <c r="I159" s="19" t="str">
        <f aca="false">IF($A159="","",INDEX(Apparitions!$G$1:$G$5001,$A159)&amp;"")</f>
        <v/>
      </c>
      <c r="J159" s="19" t="str">
        <f aca="false">IF($A159="","",INDEX(Apparitions!$M$1:$M$5001,$A159)&amp;"")</f>
        <v/>
      </c>
      <c r="K159" s="21" t="str">
        <f aca="false">IF($A159="","",INDEX(Apparitions!$K$1:$K$5001,$A159))</f>
        <v/>
      </c>
      <c r="L159" s="22" t="str">
        <f aca="false">IF($A159="","",INDEX(Apparitions!$E$1:$E$5001,$A159)&amp;"")</f>
        <v/>
      </c>
      <c r="M159" s="19" t="str">
        <f aca="false">IF($A159="","",INDEX(Apparitions!$F$1:$F$5001,$A159)&amp;"")</f>
        <v/>
      </c>
      <c r="O159" s="23" t="n">
        <f aca="false">IF(I159="",0,IF(COUNTIF(I$16:I159,I159)=1,1,0))</f>
        <v>0</v>
      </c>
      <c r="P159" s="23" t="n">
        <f aca="false">IF(F159="",0,IF(COUNTIF(F$16:F159,F159)=1,1,0))</f>
        <v>0</v>
      </c>
      <c r="Q159" s="0" t="str">
        <f aca="false">IF(B159="","",B159&amp;"|"&amp;C159)</f>
        <v/>
      </c>
      <c r="R159" s="23" t="n">
        <f aca="false">IF(Q159="",0,IF(COUNTIF(Q$16:Q159,Q159)=1,1,0))</f>
        <v>0</v>
      </c>
    </row>
    <row r="160" customFormat="false" ht="15" hidden="false" customHeight="false" outlineLevel="0" collapsed="false">
      <c r="A160" s="0" t="str">
        <f aca="false">IFERROR(MATCH(145,Apparitions!$N$1:$N$5001,0),"")</f>
        <v/>
      </c>
      <c r="B160" s="19" t="str">
        <f aca="false">IF($A160="","",INDEX(Apparitions!$A$1:$A$5001,$A160)&amp;"")</f>
        <v/>
      </c>
      <c r="C160" s="19" t="str">
        <f aca="false">IF($A160="","",INDEX(Apparitions!$B$1:$B$5001,$A160)&amp;"")</f>
        <v/>
      </c>
      <c r="D160" s="20" t="str">
        <f aca="false">IF($A160="","",INDEX(Apparitions!$L$1:$L$5001,$A160))</f>
        <v/>
      </c>
      <c r="E160" s="19" t="str">
        <f aca="false">IF($A160="","",INDEX(Apparitions!$C$1:$C$5001,$A160)&amp;"")</f>
        <v/>
      </c>
      <c r="F160" s="19" t="str">
        <f aca="false">IF($A160="","",INDEX(Apparitions!$H$1:$H$5001,$A160)&amp;"")</f>
        <v/>
      </c>
      <c r="G160" s="19" t="str">
        <f aca="false">IF($A160="","",INDEX(Apparitions!$I$1:$I$5001,$A160)&amp;"")</f>
        <v/>
      </c>
      <c r="H160" s="19" t="str">
        <f aca="false">IF($A160="","",INDEX(Apparitions!$J$1:$J$5001,$A160)&amp;"")</f>
        <v/>
      </c>
      <c r="I160" s="19" t="str">
        <f aca="false">IF($A160="","",INDEX(Apparitions!$G$1:$G$5001,$A160)&amp;"")</f>
        <v/>
      </c>
      <c r="J160" s="19" t="str">
        <f aca="false">IF($A160="","",INDEX(Apparitions!$M$1:$M$5001,$A160)&amp;"")</f>
        <v/>
      </c>
      <c r="K160" s="21" t="str">
        <f aca="false">IF($A160="","",INDEX(Apparitions!$K$1:$K$5001,$A160))</f>
        <v/>
      </c>
      <c r="L160" s="22" t="str">
        <f aca="false">IF($A160="","",INDEX(Apparitions!$E$1:$E$5001,$A160)&amp;"")</f>
        <v/>
      </c>
      <c r="M160" s="19" t="str">
        <f aca="false">IF($A160="","",INDEX(Apparitions!$F$1:$F$5001,$A160)&amp;"")</f>
        <v/>
      </c>
      <c r="O160" s="23" t="n">
        <f aca="false">IF(I160="",0,IF(COUNTIF(I$16:I160,I160)=1,1,0))</f>
        <v>0</v>
      </c>
      <c r="P160" s="23" t="n">
        <f aca="false">IF(F160="",0,IF(COUNTIF(F$16:F160,F160)=1,1,0))</f>
        <v>0</v>
      </c>
      <c r="Q160" s="0" t="str">
        <f aca="false">IF(B160="","",B160&amp;"|"&amp;C160)</f>
        <v/>
      </c>
      <c r="R160" s="23" t="n">
        <f aca="false">IF(Q160="",0,IF(COUNTIF(Q$16:Q160,Q160)=1,1,0))</f>
        <v>0</v>
      </c>
    </row>
    <row r="161" customFormat="false" ht="15" hidden="false" customHeight="false" outlineLevel="0" collapsed="false">
      <c r="A161" s="0" t="str">
        <f aca="false">IFERROR(MATCH(146,Apparitions!$N$1:$N$5001,0),"")</f>
        <v/>
      </c>
      <c r="B161" s="19" t="str">
        <f aca="false">IF($A161="","",INDEX(Apparitions!$A$1:$A$5001,$A161)&amp;"")</f>
        <v/>
      </c>
      <c r="C161" s="19" t="str">
        <f aca="false">IF($A161="","",INDEX(Apparitions!$B$1:$B$5001,$A161)&amp;"")</f>
        <v/>
      </c>
      <c r="D161" s="20" t="str">
        <f aca="false">IF($A161="","",INDEX(Apparitions!$L$1:$L$5001,$A161))</f>
        <v/>
      </c>
      <c r="E161" s="19" t="str">
        <f aca="false">IF($A161="","",INDEX(Apparitions!$C$1:$C$5001,$A161)&amp;"")</f>
        <v/>
      </c>
      <c r="F161" s="19" t="str">
        <f aca="false">IF($A161="","",INDEX(Apparitions!$H$1:$H$5001,$A161)&amp;"")</f>
        <v/>
      </c>
      <c r="G161" s="19" t="str">
        <f aca="false">IF($A161="","",INDEX(Apparitions!$I$1:$I$5001,$A161)&amp;"")</f>
        <v/>
      </c>
      <c r="H161" s="19" t="str">
        <f aca="false">IF($A161="","",INDEX(Apparitions!$J$1:$J$5001,$A161)&amp;"")</f>
        <v/>
      </c>
      <c r="I161" s="19" t="str">
        <f aca="false">IF($A161="","",INDEX(Apparitions!$G$1:$G$5001,$A161)&amp;"")</f>
        <v/>
      </c>
      <c r="J161" s="19" t="str">
        <f aca="false">IF($A161="","",INDEX(Apparitions!$M$1:$M$5001,$A161)&amp;"")</f>
        <v/>
      </c>
      <c r="K161" s="21" t="str">
        <f aca="false">IF($A161="","",INDEX(Apparitions!$K$1:$K$5001,$A161))</f>
        <v/>
      </c>
      <c r="L161" s="22" t="str">
        <f aca="false">IF($A161="","",INDEX(Apparitions!$E$1:$E$5001,$A161)&amp;"")</f>
        <v/>
      </c>
      <c r="M161" s="19" t="str">
        <f aca="false">IF($A161="","",INDEX(Apparitions!$F$1:$F$5001,$A161)&amp;"")</f>
        <v/>
      </c>
      <c r="O161" s="23" t="n">
        <f aca="false">IF(I161="",0,IF(COUNTIF(I$16:I161,I161)=1,1,0))</f>
        <v>0</v>
      </c>
      <c r="P161" s="23" t="n">
        <f aca="false">IF(F161="",0,IF(COUNTIF(F$16:F161,F161)=1,1,0))</f>
        <v>0</v>
      </c>
      <c r="Q161" s="0" t="str">
        <f aca="false">IF(B161="","",B161&amp;"|"&amp;C161)</f>
        <v/>
      </c>
      <c r="R161" s="23" t="n">
        <f aca="false">IF(Q161="",0,IF(COUNTIF(Q$16:Q161,Q161)=1,1,0))</f>
        <v>0</v>
      </c>
    </row>
    <row r="162" customFormat="false" ht="15" hidden="false" customHeight="false" outlineLevel="0" collapsed="false">
      <c r="A162" s="0" t="str">
        <f aca="false">IFERROR(MATCH(147,Apparitions!$N$1:$N$5001,0),"")</f>
        <v/>
      </c>
      <c r="B162" s="19" t="str">
        <f aca="false">IF($A162="","",INDEX(Apparitions!$A$1:$A$5001,$A162)&amp;"")</f>
        <v/>
      </c>
      <c r="C162" s="19" t="str">
        <f aca="false">IF($A162="","",INDEX(Apparitions!$B$1:$B$5001,$A162)&amp;"")</f>
        <v/>
      </c>
      <c r="D162" s="20" t="str">
        <f aca="false">IF($A162="","",INDEX(Apparitions!$L$1:$L$5001,$A162))</f>
        <v/>
      </c>
      <c r="E162" s="19" t="str">
        <f aca="false">IF($A162="","",INDEX(Apparitions!$C$1:$C$5001,$A162)&amp;"")</f>
        <v/>
      </c>
      <c r="F162" s="19" t="str">
        <f aca="false">IF($A162="","",INDEX(Apparitions!$H$1:$H$5001,$A162)&amp;"")</f>
        <v/>
      </c>
      <c r="G162" s="19" t="str">
        <f aca="false">IF($A162="","",INDEX(Apparitions!$I$1:$I$5001,$A162)&amp;"")</f>
        <v/>
      </c>
      <c r="H162" s="19" t="str">
        <f aca="false">IF($A162="","",INDEX(Apparitions!$J$1:$J$5001,$A162)&amp;"")</f>
        <v/>
      </c>
      <c r="I162" s="19" t="str">
        <f aca="false">IF($A162="","",INDEX(Apparitions!$G$1:$G$5001,$A162)&amp;"")</f>
        <v/>
      </c>
      <c r="J162" s="19" t="str">
        <f aca="false">IF($A162="","",INDEX(Apparitions!$M$1:$M$5001,$A162)&amp;"")</f>
        <v/>
      </c>
      <c r="K162" s="21" t="str">
        <f aca="false">IF($A162="","",INDEX(Apparitions!$K$1:$K$5001,$A162))</f>
        <v/>
      </c>
      <c r="L162" s="22" t="str">
        <f aca="false">IF($A162="","",INDEX(Apparitions!$E$1:$E$5001,$A162)&amp;"")</f>
        <v/>
      </c>
      <c r="M162" s="19" t="str">
        <f aca="false">IF($A162="","",INDEX(Apparitions!$F$1:$F$5001,$A162)&amp;"")</f>
        <v/>
      </c>
      <c r="O162" s="23" t="n">
        <f aca="false">IF(I162="",0,IF(COUNTIF(I$16:I162,I162)=1,1,0))</f>
        <v>0</v>
      </c>
      <c r="P162" s="23" t="n">
        <f aca="false">IF(F162="",0,IF(COUNTIF(F$16:F162,F162)=1,1,0))</f>
        <v>0</v>
      </c>
      <c r="Q162" s="0" t="str">
        <f aca="false">IF(B162="","",B162&amp;"|"&amp;C162)</f>
        <v/>
      </c>
      <c r="R162" s="23" t="n">
        <f aca="false">IF(Q162="",0,IF(COUNTIF(Q$16:Q162,Q162)=1,1,0))</f>
        <v>0</v>
      </c>
    </row>
    <row r="163" customFormat="false" ht="15" hidden="false" customHeight="false" outlineLevel="0" collapsed="false">
      <c r="A163" s="0" t="str">
        <f aca="false">IFERROR(MATCH(148,Apparitions!$N$1:$N$5001,0),"")</f>
        <v/>
      </c>
      <c r="B163" s="19" t="str">
        <f aca="false">IF($A163="","",INDEX(Apparitions!$A$1:$A$5001,$A163)&amp;"")</f>
        <v/>
      </c>
      <c r="C163" s="19" t="str">
        <f aca="false">IF($A163="","",INDEX(Apparitions!$B$1:$B$5001,$A163)&amp;"")</f>
        <v/>
      </c>
      <c r="D163" s="20" t="str">
        <f aca="false">IF($A163="","",INDEX(Apparitions!$L$1:$L$5001,$A163))</f>
        <v/>
      </c>
      <c r="E163" s="19" t="str">
        <f aca="false">IF($A163="","",INDEX(Apparitions!$C$1:$C$5001,$A163)&amp;"")</f>
        <v/>
      </c>
      <c r="F163" s="19" t="str">
        <f aca="false">IF($A163="","",INDEX(Apparitions!$H$1:$H$5001,$A163)&amp;"")</f>
        <v/>
      </c>
      <c r="G163" s="19" t="str">
        <f aca="false">IF($A163="","",INDEX(Apparitions!$I$1:$I$5001,$A163)&amp;"")</f>
        <v/>
      </c>
      <c r="H163" s="19" t="str">
        <f aca="false">IF($A163="","",INDEX(Apparitions!$J$1:$J$5001,$A163)&amp;"")</f>
        <v/>
      </c>
      <c r="I163" s="19" t="str">
        <f aca="false">IF($A163="","",INDEX(Apparitions!$G$1:$G$5001,$A163)&amp;"")</f>
        <v/>
      </c>
      <c r="J163" s="19" t="str">
        <f aca="false">IF($A163="","",INDEX(Apparitions!$M$1:$M$5001,$A163)&amp;"")</f>
        <v/>
      </c>
      <c r="K163" s="21" t="str">
        <f aca="false">IF($A163="","",INDEX(Apparitions!$K$1:$K$5001,$A163))</f>
        <v/>
      </c>
      <c r="L163" s="22" t="str">
        <f aca="false">IF($A163="","",INDEX(Apparitions!$E$1:$E$5001,$A163)&amp;"")</f>
        <v/>
      </c>
      <c r="M163" s="19" t="str">
        <f aca="false">IF($A163="","",INDEX(Apparitions!$F$1:$F$5001,$A163)&amp;"")</f>
        <v/>
      </c>
      <c r="O163" s="23" t="n">
        <f aca="false">IF(I163="",0,IF(COUNTIF(I$16:I163,I163)=1,1,0))</f>
        <v>0</v>
      </c>
      <c r="P163" s="23" t="n">
        <f aca="false">IF(F163="",0,IF(COUNTIF(F$16:F163,F163)=1,1,0))</f>
        <v>0</v>
      </c>
      <c r="Q163" s="0" t="str">
        <f aca="false">IF(B163="","",B163&amp;"|"&amp;C163)</f>
        <v/>
      </c>
      <c r="R163" s="23" t="n">
        <f aca="false">IF(Q163="",0,IF(COUNTIF(Q$16:Q163,Q163)=1,1,0))</f>
        <v>0</v>
      </c>
    </row>
    <row r="164" customFormat="false" ht="15" hidden="false" customHeight="false" outlineLevel="0" collapsed="false">
      <c r="A164" s="0" t="str">
        <f aca="false">IFERROR(MATCH(149,Apparitions!$N$1:$N$5001,0),"")</f>
        <v/>
      </c>
      <c r="B164" s="19" t="str">
        <f aca="false">IF($A164="","",INDEX(Apparitions!$A$1:$A$5001,$A164)&amp;"")</f>
        <v/>
      </c>
      <c r="C164" s="19" t="str">
        <f aca="false">IF($A164="","",INDEX(Apparitions!$B$1:$B$5001,$A164)&amp;"")</f>
        <v/>
      </c>
      <c r="D164" s="20" t="str">
        <f aca="false">IF($A164="","",INDEX(Apparitions!$L$1:$L$5001,$A164))</f>
        <v/>
      </c>
      <c r="E164" s="19" t="str">
        <f aca="false">IF($A164="","",INDEX(Apparitions!$C$1:$C$5001,$A164)&amp;"")</f>
        <v/>
      </c>
      <c r="F164" s="19" t="str">
        <f aca="false">IF($A164="","",INDEX(Apparitions!$H$1:$H$5001,$A164)&amp;"")</f>
        <v/>
      </c>
      <c r="G164" s="19" t="str">
        <f aca="false">IF($A164="","",INDEX(Apparitions!$I$1:$I$5001,$A164)&amp;"")</f>
        <v/>
      </c>
      <c r="H164" s="19" t="str">
        <f aca="false">IF($A164="","",INDEX(Apparitions!$J$1:$J$5001,$A164)&amp;"")</f>
        <v/>
      </c>
      <c r="I164" s="19" t="str">
        <f aca="false">IF($A164="","",INDEX(Apparitions!$G$1:$G$5001,$A164)&amp;"")</f>
        <v/>
      </c>
      <c r="J164" s="19" t="str">
        <f aca="false">IF($A164="","",INDEX(Apparitions!$M$1:$M$5001,$A164)&amp;"")</f>
        <v/>
      </c>
      <c r="K164" s="21" t="str">
        <f aca="false">IF($A164="","",INDEX(Apparitions!$K$1:$K$5001,$A164))</f>
        <v/>
      </c>
      <c r="L164" s="22" t="str">
        <f aca="false">IF($A164="","",INDEX(Apparitions!$E$1:$E$5001,$A164)&amp;"")</f>
        <v/>
      </c>
      <c r="M164" s="19" t="str">
        <f aca="false">IF($A164="","",INDEX(Apparitions!$F$1:$F$5001,$A164)&amp;"")</f>
        <v/>
      </c>
      <c r="O164" s="23" t="n">
        <f aca="false">IF(I164="",0,IF(COUNTIF(I$16:I164,I164)=1,1,0))</f>
        <v>0</v>
      </c>
      <c r="P164" s="23" t="n">
        <f aca="false">IF(F164="",0,IF(COUNTIF(F$16:F164,F164)=1,1,0))</f>
        <v>0</v>
      </c>
      <c r="Q164" s="0" t="str">
        <f aca="false">IF(B164="","",B164&amp;"|"&amp;C164)</f>
        <v/>
      </c>
      <c r="R164" s="23" t="n">
        <f aca="false">IF(Q164="",0,IF(COUNTIF(Q$16:Q164,Q164)=1,1,0))</f>
        <v>0</v>
      </c>
    </row>
    <row r="165" customFormat="false" ht="15" hidden="false" customHeight="false" outlineLevel="0" collapsed="false">
      <c r="A165" s="0" t="str">
        <f aca="false">IFERROR(MATCH(150,Apparitions!$N$1:$N$5001,0),"")</f>
        <v/>
      </c>
      <c r="B165" s="19" t="str">
        <f aca="false">IF($A165="","",INDEX(Apparitions!$A$1:$A$5001,$A165)&amp;"")</f>
        <v/>
      </c>
      <c r="C165" s="19" t="str">
        <f aca="false">IF($A165="","",INDEX(Apparitions!$B$1:$B$5001,$A165)&amp;"")</f>
        <v/>
      </c>
      <c r="D165" s="20" t="str">
        <f aca="false">IF($A165="","",INDEX(Apparitions!$L$1:$L$5001,$A165))</f>
        <v/>
      </c>
      <c r="E165" s="19" t="str">
        <f aca="false">IF($A165="","",INDEX(Apparitions!$C$1:$C$5001,$A165)&amp;"")</f>
        <v/>
      </c>
      <c r="F165" s="19" t="str">
        <f aca="false">IF($A165="","",INDEX(Apparitions!$H$1:$H$5001,$A165)&amp;"")</f>
        <v/>
      </c>
      <c r="G165" s="19" t="str">
        <f aca="false">IF($A165="","",INDEX(Apparitions!$I$1:$I$5001,$A165)&amp;"")</f>
        <v/>
      </c>
      <c r="H165" s="19" t="str">
        <f aca="false">IF($A165="","",INDEX(Apparitions!$J$1:$J$5001,$A165)&amp;"")</f>
        <v/>
      </c>
      <c r="I165" s="19" t="str">
        <f aca="false">IF($A165="","",INDEX(Apparitions!$G$1:$G$5001,$A165)&amp;"")</f>
        <v/>
      </c>
      <c r="J165" s="19" t="str">
        <f aca="false">IF($A165="","",INDEX(Apparitions!$M$1:$M$5001,$A165)&amp;"")</f>
        <v/>
      </c>
      <c r="K165" s="21" t="str">
        <f aca="false">IF($A165="","",INDEX(Apparitions!$K$1:$K$5001,$A165))</f>
        <v/>
      </c>
      <c r="L165" s="22" t="str">
        <f aca="false">IF($A165="","",INDEX(Apparitions!$E$1:$E$5001,$A165)&amp;"")</f>
        <v/>
      </c>
      <c r="M165" s="19" t="str">
        <f aca="false">IF($A165="","",INDEX(Apparitions!$F$1:$F$5001,$A165)&amp;"")</f>
        <v/>
      </c>
      <c r="O165" s="23" t="n">
        <f aca="false">IF(I165="",0,IF(COUNTIF(I$16:I165,I165)=1,1,0))</f>
        <v>0</v>
      </c>
      <c r="P165" s="23" t="n">
        <f aca="false">IF(F165="",0,IF(COUNTIF(F$16:F165,F165)=1,1,0))</f>
        <v>0</v>
      </c>
      <c r="Q165" s="0" t="str">
        <f aca="false">IF(B165="","",B165&amp;"|"&amp;C165)</f>
        <v/>
      </c>
      <c r="R165" s="23" t="n">
        <f aca="false">IF(Q165="",0,IF(COUNTIF(Q$16:Q165,Q165)=1,1,0))</f>
        <v>0</v>
      </c>
    </row>
    <row r="166" customFormat="false" ht="15" hidden="false" customHeight="false" outlineLevel="0" collapsed="false">
      <c r="A166" s="0" t="str">
        <f aca="false">IFERROR(MATCH(151,Apparitions!$N$1:$N$5001,0),"")</f>
        <v/>
      </c>
      <c r="B166" s="19" t="str">
        <f aca="false">IF($A166="","",INDEX(Apparitions!$A$1:$A$5001,$A166)&amp;"")</f>
        <v/>
      </c>
      <c r="C166" s="19" t="str">
        <f aca="false">IF($A166="","",INDEX(Apparitions!$B$1:$B$5001,$A166)&amp;"")</f>
        <v/>
      </c>
      <c r="D166" s="20" t="str">
        <f aca="false">IF($A166="","",INDEX(Apparitions!$L$1:$L$5001,$A166))</f>
        <v/>
      </c>
      <c r="E166" s="19" t="str">
        <f aca="false">IF($A166="","",INDEX(Apparitions!$C$1:$C$5001,$A166)&amp;"")</f>
        <v/>
      </c>
      <c r="F166" s="19" t="str">
        <f aca="false">IF($A166="","",INDEX(Apparitions!$H$1:$H$5001,$A166)&amp;"")</f>
        <v/>
      </c>
      <c r="G166" s="19" t="str">
        <f aca="false">IF($A166="","",INDEX(Apparitions!$I$1:$I$5001,$A166)&amp;"")</f>
        <v/>
      </c>
      <c r="H166" s="19" t="str">
        <f aca="false">IF($A166="","",INDEX(Apparitions!$J$1:$J$5001,$A166)&amp;"")</f>
        <v/>
      </c>
      <c r="I166" s="19" t="str">
        <f aca="false">IF($A166="","",INDEX(Apparitions!$G$1:$G$5001,$A166)&amp;"")</f>
        <v/>
      </c>
      <c r="J166" s="19" t="str">
        <f aca="false">IF($A166="","",INDEX(Apparitions!$M$1:$M$5001,$A166)&amp;"")</f>
        <v/>
      </c>
      <c r="K166" s="21" t="str">
        <f aca="false">IF($A166="","",INDEX(Apparitions!$K$1:$K$5001,$A166))</f>
        <v/>
      </c>
      <c r="L166" s="22" t="str">
        <f aca="false">IF($A166="","",INDEX(Apparitions!$E$1:$E$5001,$A166)&amp;"")</f>
        <v/>
      </c>
      <c r="M166" s="19" t="str">
        <f aca="false">IF($A166="","",INDEX(Apparitions!$F$1:$F$5001,$A166)&amp;"")</f>
        <v/>
      </c>
      <c r="O166" s="23" t="n">
        <f aca="false">IF(I166="",0,IF(COUNTIF(I$16:I166,I166)=1,1,0))</f>
        <v>0</v>
      </c>
      <c r="P166" s="23" t="n">
        <f aca="false">IF(F166="",0,IF(COUNTIF(F$16:F166,F166)=1,1,0))</f>
        <v>0</v>
      </c>
      <c r="Q166" s="0" t="str">
        <f aca="false">IF(B166="","",B166&amp;"|"&amp;C166)</f>
        <v/>
      </c>
      <c r="R166" s="23" t="n">
        <f aca="false">IF(Q166="",0,IF(COUNTIF(Q$16:Q166,Q166)=1,1,0))</f>
        <v>0</v>
      </c>
    </row>
    <row r="167" customFormat="false" ht="15" hidden="false" customHeight="false" outlineLevel="0" collapsed="false">
      <c r="A167" s="0" t="str">
        <f aca="false">IFERROR(MATCH(152,Apparitions!$N$1:$N$5001,0),"")</f>
        <v/>
      </c>
      <c r="B167" s="19" t="str">
        <f aca="false">IF($A167="","",INDEX(Apparitions!$A$1:$A$5001,$A167)&amp;"")</f>
        <v/>
      </c>
      <c r="C167" s="19" t="str">
        <f aca="false">IF($A167="","",INDEX(Apparitions!$B$1:$B$5001,$A167)&amp;"")</f>
        <v/>
      </c>
      <c r="D167" s="20" t="str">
        <f aca="false">IF($A167="","",INDEX(Apparitions!$L$1:$L$5001,$A167))</f>
        <v/>
      </c>
      <c r="E167" s="19" t="str">
        <f aca="false">IF($A167="","",INDEX(Apparitions!$C$1:$C$5001,$A167)&amp;"")</f>
        <v/>
      </c>
      <c r="F167" s="19" t="str">
        <f aca="false">IF($A167="","",INDEX(Apparitions!$H$1:$H$5001,$A167)&amp;"")</f>
        <v/>
      </c>
      <c r="G167" s="19" t="str">
        <f aca="false">IF($A167="","",INDEX(Apparitions!$I$1:$I$5001,$A167)&amp;"")</f>
        <v/>
      </c>
      <c r="H167" s="19" t="str">
        <f aca="false">IF($A167="","",INDEX(Apparitions!$J$1:$J$5001,$A167)&amp;"")</f>
        <v/>
      </c>
      <c r="I167" s="19" t="str">
        <f aca="false">IF($A167="","",INDEX(Apparitions!$G$1:$G$5001,$A167)&amp;"")</f>
        <v/>
      </c>
      <c r="J167" s="19" t="str">
        <f aca="false">IF($A167="","",INDEX(Apparitions!$M$1:$M$5001,$A167)&amp;"")</f>
        <v/>
      </c>
      <c r="K167" s="21" t="str">
        <f aca="false">IF($A167="","",INDEX(Apparitions!$K$1:$K$5001,$A167))</f>
        <v/>
      </c>
      <c r="L167" s="22" t="str">
        <f aca="false">IF($A167="","",INDEX(Apparitions!$E$1:$E$5001,$A167)&amp;"")</f>
        <v/>
      </c>
      <c r="M167" s="19" t="str">
        <f aca="false">IF($A167="","",INDEX(Apparitions!$F$1:$F$5001,$A167)&amp;"")</f>
        <v/>
      </c>
      <c r="O167" s="23" t="n">
        <f aca="false">IF(I167="",0,IF(COUNTIF(I$16:I167,I167)=1,1,0))</f>
        <v>0</v>
      </c>
      <c r="P167" s="23" t="n">
        <f aca="false">IF(F167="",0,IF(COUNTIF(F$16:F167,F167)=1,1,0))</f>
        <v>0</v>
      </c>
      <c r="Q167" s="0" t="str">
        <f aca="false">IF(B167="","",B167&amp;"|"&amp;C167)</f>
        <v/>
      </c>
      <c r="R167" s="23" t="n">
        <f aca="false">IF(Q167="",0,IF(COUNTIF(Q$16:Q167,Q167)=1,1,0))</f>
        <v>0</v>
      </c>
    </row>
    <row r="168" customFormat="false" ht="15" hidden="false" customHeight="false" outlineLevel="0" collapsed="false">
      <c r="A168" s="0" t="str">
        <f aca="false">IFERROR(MATCH(153,Apparitions!$N$1:$N$5001,0),"")</f>
        <v/>
      </c>
      <c r="B168" s="19" t="str">
        <f aca="false">IF($A168="","",INDEX(Apparitions!$A$1:$A$5001,$A168)&amp;"")</f>
        <v/>
      </c>
      <c r="C168" s="19" t="str">
        <f aca="false">IF($A168="","",INDEX(Apparitions!$B$1:$B$5001,$A168)&amp;"")</f>
        <v/>
      </c>
      <c r="D168" s="20" t="str">
        <f aca="false">IF($A168="","",INDEX(Apparitions!$L$1:$L$5001,$A168))</f>
        <v/>
      </c>
      <c r="E168" s="19" t="str">
        <f aca="false">IF($A168="","",INDEX(Apparitions!$C$1:$C$5001,$A168)&amp;"")</f>
        <v/>
      </c>
      <c r="F168" s="19" t="str">
        <f aca="false">IF($A168="","",INDEX(Apparitions!$H$1:$H$5001,$A168)&amp;"")</f>
        <v/>
      </c>
      <c r="G168" s="19" t="str">
        <f aca="false">IF($A168="","",INDEX(Apparitions!$I$1:$I$5001,$A168)&amp;"")</f>
        <v/>
      </c>
      <c r="H168" s="19" t="str">
        <f aca="false">IF($A168="","",INDEX(Apparitions!$J$1:$J$5001,$A168)&amp;"")</f>
        <v/>
      </c>
      <c r="I168" s="19" t="str">
        <f aca="false">IF($A168="","",INDEX(Apparitions!$G$1:$G$5001,$A168)&amp;"")</f>
        <v/>
      </c>
      <c r="J168" s="19" t="str">
        <f aca="false">IF($A168="","",INDEX(Apparitions!$M$1:$M$5001,$A168)&amp;"")</f>
        <v/>
      </c>
      <c r="K168" s="21" t="str">
        <f aca="false">IF($A168="","",INDEX(Apparitions!$K$1:$K$5001,$A168))</f>
        <v/>
      </c>
      <c r="L168" s="22" t="str">
        <f aca="false">IF($A168="","",INDEX(Apparitions!$E$1:$E$5001,$A168)&amp;"")</f>
        <v/>
      </c>
      <c r="M168" s="19" t="str">
        <f aca="false">IF($A168="","",INDEX(Apparitions!$F$1:$F$5001,$A168)&amp;"")</f>
        <v/>
      </c>
      <c r="O168" s="23" t="n">
        <f aca="false">IF(I168="",0,IF(COUNTIF(I$16:I168,I168)=1,1,0))</f>
        <v>0</v>
      </c>
      <c r="P168" s="23" t="n">
        <f aca="false">IF(F168="",0,IF(COUNTIF(F$16:F168,F168)=1,1,0))</f>
        <v>0</v>
      </c>
      <c r="Q168" s="0" t="str">
        <f aca="false">IF(B168="","",B168&amp;"|"&amp;C168)</f>
        <v/>
      </c>
      <c r="R168" s="23" t="n">
        <f aca="false">IF(Q168="",0,IF(COUNTIF(Q$16:Q168,Q168)=1,1,0))</f>
        <v>0</v>
      </c>
    </row>
    <row r="169" customFormat="false" ht="15" hidden="false" customHeight="false" outlineLevel="0" collapsed="false">
      <c r="A169" s="0" t="str">
        <f aca="false">IFERROR(MATCH(154,Apparitions!$N$1:$N$5001,0),"")</f>
        <v/>
      </c>
      <c r="B169" s="19" t="str">
        <f aca="false">IF($A169="","",INDEX(Apparitions!$A$1:$A$5001,$A169)&amp;"")</f>
        <v/>
      </c>
      <c r="C169" s="19" t="str">
        <f aca="false">IF($A169="","",INDEX(Apparitions!$B$1:$B$5001,$A169)&amp;"")</f>
        <v/>
      </c>
      <c r="D169" s="20" t="str">
        <f aca="false">IF($A169="","",INDEX(Apparitions!$L$1:$L$5001,$A169))</f>
        <v/>
      </c>
      <c r="E169" s="19" t="str">
        <f aca="false">IF($A169="","",INDEX(Apparitions!$C$1:$C$5001,$A169)&amp;"")</f>
        <v/>
      </c>
      <c r="F169" s="19" t="str">
        <f aca="false">IF($A169="","",INDEX(Apparitions!$H$1:$H$5001,$A169)&amp;"")</f>
        <v/>
      </c>
      <c r="G169" s="19" t="str">
        <f aca="false">IF($A169="","",INDEX(Apparitions!$I$1:$I$5001,$A169)&amp;"")</f>
        <v/>
      </c>
      <c r="H169" s="19" t="str">
        <f aca="false">IF($A169="","",INDEX(Apparitions!$J$1:$J$5001,$A169)&amp;"")</f>
        <v/>
      </c>
      <c r="I169" s="19" t="str">
        <f aca="false">IF($A169="","",INDEX(Apparitions!$G$1:$G$5001,$A169)&amp;"")</f>
        <v/>
      </c>
      <c r="J169" s="19" t="str">
        <f aca="false">IF($A169="","",INDEX(Apparitions!$M$1:$M$5001,$A169)&amp;"")</f>
        <v/>
      </c>
      <c r="K169" s="21" t="str">
        <f aca="false">IF($A169="","",INDEX(Apparitions!$K$1:$K$5001,$A169))</f>
        <v/>
      </c>
      <c r="L169" s="22" t="str">
        <f aca="false">IF($A169="","",INDEX(Apparitions!$E$1:$E$5001,$A169)&amp;"")</f>
        <v/>
      </c>
      <c r="M169" s="19" t="str">
        <f aca="false">IF($A169="","",INDEX(Apparitions!$F$1:$F$5001,$A169)&amp;"")</f>
        <v/>
      </c>
      <c r="O169" s="23" t="n">
        <f aca="false">IF(I169="",0,IF(COUNTIF(I$16:I169,I169)=1,1,0))</f>
        <v>0</v>
      </c>
      <c r="P169" s="23" t="n">
        <f aca="false">IF(F169="",0,IF(COUNTIF(F$16:F169,F169)=1,1,0))</f>
        <v>0</v>
      </c>
      <c r="Q169" s="0" t="str">
        <f aca="false">IF(B169="","",B169&amp;"|"&amp;C169)</f>
        <v/>
      </c>
      <c r="R169" s="23" t="n">
        <f aca="false">IF(Q169="",0,IF(COUNTIF(Q$16:Q169,Q169)=1,1,0))</f>
        <v>0</v>
      </c>
    </row>
    <row r="170" customFormat="false" ht="15" hidden="false" customHeight="false" outlineLevel="0" collapsed="false">
      <c r="A170" s="0" t="str">
        <f aca="false">IFERROR(MATCH(155,Apparitions!$N$1:$N$5001,0),"")</f>
        <v/>
      </c>
      <c r="B170" s="19" t="str">
        <f aca="false">IF($A170="","",INDEX(Apparitions!$A$1:$A$5001,$A170)&amp;"")</f>
        <v/>
      </c>
      <c r="C170" s="19" t="str">
        <f aca="false">IF($A170="","",INDEX(Apparitions!$B$1:$B$5001,$A170)&amp;"")</f>
        <v/>
      </c>
      <c r="D170" s="20" t="str">
        <f aca="false">IF($A170="","",INDEX(Apparitions!$L$1:$L$5001,$A170))</f>
        <v/>
      </c>
      <c r="E170" s="19" t="str">
        <f aca="false">IF($A170="","",INDEX(Apparitions!$C$1:$C$5001,$A170)&amp;"")</f>
        <v/>
      </c>
      <c r="F170" s="19" t="str">
        <f aca="false">IF($A170="","",INDEX(Apparitions!$H$1:$H$5001,$A170)&amp;"")</f>
        <v/>
      </c>
      <c r="G170" s="19" t="str">
        <f aca="false">IF($A170="","",INDEX(Apparitions!$I$1:$I$5001,$A170)&amp;"")</f>
        <v/>
      </c>
      <c r="H170" s="19" t="str">
        <f aca="false">IF($A170="","",INDEX(Apparitions!$J$1:$J$5001,$A170)&amp;"")</f>
        <v/>
      </c>
      <c r="I170" s="19" t="str">
        <f aca="false">IF($A170="","",INDEX(Apparitions!$G$1:$G$5001,$A170)&amp;"")</f>
        <v/>
      </c>
      <c r="J170" s="19" t="str">
        <f aca="false">IF($A170="","",INDEX(Apparitions!$M$1:$M$5001,$A170)&amp;"")</f>
        <v/>
      </c>
      <c r="K170" s="21" t="str">
        <f aca="false">IF($A170="","",INDEX(Apparitions!$K$1:$K$5001,$A170))</f>
        <v/>
      </c>
      <c r="L170" s="22" t="str">
        <f aca="false">IF($A170="","",INDEX(Apparitions!$E$1:$E$5001,$A170)&amp;"")</f>
        <v/>
      </c>
      <c r="M170" s="19" t="str">
        <f aca="false">IF($A170="","",INDEX(Apparitions!$F$1:$F$5001,$A170)&amp;"")</f>
        <v/>
      </c>
      <c r="O170" s="23" t="n">
        <f aca="false">IF(I170="",0,IF(COUNTIF(I$16:I170,I170)=1,1,0))</f>
        <v>0</v>
      </c>
      <c r="P170" s="23" t="n">
        <f aca="false">IF(F170="",0,IF(COUNTIF(F$16:F170,F170)=1,1,0))</f>
        <v>0</v>
      </c>
      <c r="Q170" s="0" t="str">
        <f aca="false">IF(B170="","",B170&amp;"|"&amp;C170)</f>
        <v/>
      </c>
      <c r="R170" s="23" t="n">
        <f aca="false">IF(Q170="",0,IF(COUNTIF(Q$16:Q170,Q170)=1,1,0))</f>
        <v>0</v>
      </c>
    </row>
    <row r="171" customFormat="false" ht="15" hidden="false" customHeight="false" outlineLevel="0" collapsed="false">
      <c r="A171" s="0" t="str">
        <f aca="false">IFERROR(MATCH(156,Apparitions!$N$1:$N$5001,0),"")</f>
        <v/>
      </c>
      <c r="B171" s="19" t="str">
        <f aca="false">IF($A171="","",INDEX(Apparitions!$A$1:$A$5001,$A171)&amp;"")</f>
        <v/>
      </c>
      <c r="C171" s="19" t="str">
        <f aca="false">IF($A171="","",INDEX(Apparitions!$B$1:$B$5001,$A171)&amp;"")</f>
        <v/>
      </c>
      <c r="D171" s="20" t="str">
        <f aca="false">IF($A171="","",INDEX(Apparitions!$L$1:$L$5001,$A171))</f>
        <v/>
      </c>
      <c r="E171" s="19" t="str">
        <f aca="false">IF($A171="","",INDEX(Apparitions!$C$1:$C$5001,$A171)&amp;"")</f>
        <v/>
      </c>
      <c r="F171" s="19" t="str">
        <f aca="false">IF($A171="","",INDEX(Apparitions!$H$1:$H$5001,$A171)&amp;"")</f>
        <v/>
      </c>
      <c r="G171" s="19" t="str">
        <f aca="false">IF($A171="","",INDEX(Apparitions!$I$1:$I$5001,$A171)&amp;"")</f>
        <v/>
      </c>
      <c r="H171" s="19" t="str">
        <f aca="false">IF($A171="","",INDEX(Apparitions!$J$1:$J$5001,$A171)&amp;"")</f>
        <v/>
      </c>
      <c r="I171" s="19" t="str">
        <f aca="false">IF($A171="","",INDEX(Apparitions!$G$1:$G$5001,$A171)&amp;"")</f>
        <v/>
      </c>
      <c r="J171" s="19" t="str">
        <f aca="false">IF($A171="","",INDEX(Apparitions!$M$1:$M$5001,$A171)&amp;"")</f>
        <v/>
      </c>
      <c r="K171" s="21" t="str">
        <f aca="false">IF($A171="","",INDEX(Apparitions!$K$1:$K$5001,$A171))</f>
        <v/>
      </c>
      <c r="L171" s="22" t="str">
        <f aca="false">IF($A171="","",INDEX(Apparitions!$E$1:$E$5001,$A171)&amp;"")</f>
        <v/>
      </c>
      <c r="M171" s="19" t="str">
        <f aca="false">IF($A171="","",INDEX(Apparitions!$F$1:$F$5001,$A171)&amp;"")</f>
        <v/>
      </c>
      <c r="O171" s="23" t="n">
        <f aca="false">IF(I171="",0,IF(COUNTIF(I$16:I171,I171)=1,1,0))</f>
        <v>0</v>
      </c>
      <c r="P171" s="23" t="n">
        <f aca="false">IF(F171="",0,IF(COUNTIF(F$16:F171,F171)=1,1,0))</f>
        <v>0</v>
      </c>
      <c r="Q171" s="0" t="str">
        <f aca="false">IF(B171="","",B171&amp;"|"&amp;C171)</f>
        <v/>
      </c>
      <c r="R171" s="23" t="n">
        <f aca="false">IF(Q171="",0,IF(COUNTIF(Q$16:Q171,Q171)=1,1,0))</f>
        <v>0</v>
      </c>
    </row>
    <row r="172" customFormat="false" ht="15" hidden="false" customHeight="false" outlineLevel="0" collapsed="false">
      <c r="A172" s="0" t="str">
        <f aca="false">IFERROR(MATCH(157,Apparitions!$N$1:$N$5001,0),"")</f>
        <v/>
      </c>
      <c r="B172" s="19" t="str">
        <f aca="false">IF($A172="","",INDEX(Apparitions!$A$1:$A$5001,$A172)&amp;"")</f>
        <v/>
      </c>
      <c r="C172" s="19" t="str">
        <f aca="false">IF($A172="","",INDEX(Apparitions!$B$1:$B$5001,$A172)&amp;"")</f>
        <v/>
      </c>
      <c r="D172" s="20" t="str">
        <f aca="false">IF($A172="","",INDEX(Apparitions!$L$1:$L$5001,$A172))</f>
        <v/>
      </c>
      <c r="E172" s="19" t="str">
        <f aca="false">IF($A172="","",INDEX(Apparitions!$C$1:$C$5001,$A172)&amp;"")</f>
        <v/>
      </c>
      <c r="F172" s="19" t="str">
        <f aca="false">IF($A172="","",INDEX(Apparitions!$H$1:$H$5001,$A172)&amp;"")</f>
        <v/>
      </c>
      <c r="G172" s="19" t="str">
        <f aca="false">IF($A172="","",INDEX(Apparitions!$I$1:$I$5001,$A172)&amp;"")</f>
        <v/>
      </c>
      <c r="H172" s="19" t="str">
        <f aca="false">IF($A172="","",INDEX(Apparitions!$J$1:$J$5001,$A172)&amp;"")</f>
        <v/>
      </c>
      <c r="I172" s="19" t="str">
        <f aca="false">IF($A172="","",INDEX(Apparitions!$G$1:$G$5001,$A172)&amp;"")</f>
        <v/>
      </c>
      <c r="J172" s="19" t="str">
        <f aca="false">IF($A172="","",INDEX(Apparitions!$M$1:$M$5001,$A172)&amp;"")</f>
        <v/>
      </c>
      <c r="K172" s="21" t="str">
        <f aca="false">IF($A172="","",INDEX(Apparitions!$K$1:$K$5001,$A172))</f>
        <v/>
      </c>
      <c r="L172" s="22" t="str">
        <f aca="false">IF($A172="","",INDEX(Apparitions!$E$1:$E$5001,$A172)&amp;"")</f>
        <v/>
      </c>
      <c r="M172" s="19" t="str">
        <f aca="false">IF($A172="","",INDEX(Apparitions!$F$1:$F$5001,$A172)&amp;"")</f>
        <v/>
      </c>
      <c r="O172" s="23" t="n">
        <f aca="false">IF(I172="",0,IF(COUNTIF(I$16:I172,I172)=1,1,0))</f>
        <v>0</v>
      </c>
      <c r="P172" s="23" t="n">
        <f aca="false">IF(F172="",0,IF(COUNTIF(F$16:F172,F172)=1,1,0))</f>
        <v>0</v>
      </c>
      <c r="Q172" s="0" t="str">
        <f aca="false">IF(B172="","",B172&amp;"|"&amp;C172)</f>
        <v/>
      </c>
      <c r="R172" s="23" t="n">
        <f aca="false">IF(Q172="",0,IF(COUNTIF(Q$16:Q172,Q172)=1,1,0))</f>
        <v>0</v>
      </c>
    </row>
    <row r="173" customFormat="false" ht="15" hidden="false" customHeight="false" outlineLevel="0" collapsed="false">
      <c r="A173" s="0" t="str">
        <f aca="false">IFERROR(MATCH(158,Apparitions!$N$1:$N$5001,0),"")</f>
        <v/>
      </c>
      <c r="B173" s="19" t="str">
        <f aca="false">IF($A173="","",INDEX(Apparitions!$A$1:$A$5001,$A173)&amp;"")</f>
        <v/>
      </c>
      <c r="C173" s="19" t="str">
        <f aca="false">IF($A173="","",INDEX(Apparitions!$B$1:$B$5001,$A173)&amp;"")</f>
        <v/>
      </c>
      <c r="D173" s="20" t="str">
        <f aca="false">IF($A173="","",INDEX(Apparitions!$L$1:$L$5001,$A173))</f>
        <v/>
      </c>
      <c r="E173" s="19" t="str">
        <f aca="false">IF($A173="","",INDEX(Apparitions!$C$1:$C$5001,$A173)&amp;"")</f>
        <v/>
      </c>
      <c r="F173" s="19" t="str">
        <f aca="false">IF($A173="","",INDEX(Apparitions!$H$1:$H$5001,$A173)&amp;"")</f>
        <v/>
      </c>
      <c r="G173" s="19" t="str">
        <f aca="false">IF($A173="","",INDEX(Apparitions!$I$1:$I$5001,$A173)&amp;"")</f>
        <v/>
      </c>
      <c r="H173" s="19" t="str">
        <f aca="false">IF($A173="","",INDEX(Apparitions!$J$1:$J$5001,$A173)&amp;"")</f>
        <v/>
      </c>
      <c r="I173" s="19" t="str">
        <f aca="false">IF($A173="","",INDEX(Apparitions!$G$1:$G$5001,$A173)&amp;"")</f>
        <v/>
      </c>
      <c r="J173" s="19" t="str">
        <f aca="false">IF($A173="","",INDEX(Apparitions!$M$1:$M$5001,$A173)&amp;"")</f>
        <v/>
      </c>
      <c r="K173" s="21" t="str">
        <f aca="false">IF($A173="","",INDEX(Apparitions!$K$1:$K$5001,$A173))</f>
        <v/>
      </c>
      <c r="L173" s="22" t="str">
        <f aca="false">IF($A173="","",INDEX(Apparitions!$E$1:$E$5001,$A173)&amp;"")</f>
        <v/>
      </c>
      <c r="M173" s="19" t="str">
        <f aca="false">IF($A173="","",INDEX(Apparitions!$F$1:$F$5001,$A173)&amp;"")</f>
        <v/>
      </c>
      <c r="O173" s="23" t="n">
        <f aca="false">IF(I173="",0,IF(COUNTIF(I$16:I173,I173)=1,1,0))</f>
        <v>0</v>
      </c>
      <c r="P173" s="23" t="n">
        <f aca="false">IF(F173="",0,IF(COUNTIF(F$16:F173,F173)=1,1,0))</f>
        <v>0</v>
      </c>
      <c r="Q173" s="0" t="str">
        <f aca="false">IF(B173="","",B173&amp;"|"&amp;C173)</f>
        <v/>
      </c>
      <c r="R173" s="23" t="n">
        <f aca="false">IF(Q173="",0,IF(COUNTIF(Q$16:Q173,Q173)=1,1,0))</f>
        <v>0</v>
      </c>
    </row>
    <row r="174" customFormat="false" ht="15" hidden="false" customHeight="false" outlineLevel="0" collapsed="false">
      <c r="A174" s="0" t="str">
        <f aca="false">IFERROR(MATCH(159,Apparitions!$N$1:$N$5001,0),"")</f>
        <v/>
      </c>
      <c r="B174" s="19" t="str">
        <f aca="false">IF($A174="","",INDEX(Apparitions!$A$1:$A$5001,$A174)&amp;"")</f>
        <v/>
      </c>
      <c r="C174" s="19" t="str">
        <f aca="false">IF($A174="","",INDEX(Apparitions!$B$1:$B$5001,$A174)&amp;"")</f>
        <v/>
      </c>
      <c r="D174" s="20" t="str">
        <f aca="false">IF($A174="","",INDEX(Apparitions!$L$1:$L$5001,$A174))</f>
        <v/>
      </c>
      <c r="E174" s="19" t="str">
        <f aca="false">IF($A174="","",INDEX(Apparitions!$C$1:$C$5001,$A174)&amp;"")</f>
        <v/>
      </c>
      <c r="F174" s="19" t="str">
        <f aca="false">IF($A174="","",INDEX(Apparitions!$H$1:$H$5001,$A174)&amp;"")</f>
        <v/>
      </c>
      <c r="G174" s="19" t="str">
        <f aca="false">IF($A174="","",INDEX(Apparitions!$I$1:$I$5001,$A174)&amp;"")</f>
        <v/>
      </c>
      <c r="H174" s="19" t="str">
        <f aca="false">IF($A174="","",INDEX(Apparitions!$J$1:$J$5001,$A174)&amp;"")</f>
        <v/>
      </c>
      <c r="I174" s="19" t="str">
        <f aca="false">IF($A174="","",INDEX(Apparitions!$G$1:$G$5001,$A174)&amp;"")</f>
        <v/>
      </c>
      <c r="J174" s="19" t="str">
        <f aca="false">IF($A174="","",INDEX(Apparitions!$M$1:$M$5001,$A174)&amp;"")</f>
        <v/>
      </c>
      <c r="K174" s="21" t="str">
        <f aca="false">IF($A174="","",INDEX(Apparitions!$K$1:$K$5001,$A174))</f>
        <v/>
      </c>
      <c r="L174" s="22" t="str">
        <f aca="false">IF($A174="","",INDEX(Apparitions!$E$1:$E$5001,$A174)&amp;"")</f>
        <v/>
      </c>
      <c r="M174" s="19" t="str">
        <f aca="false">IF($A174="","",INDEX(Apparitions!$F$1:$F$5001,$A174)&amp;"")</f>
        <v/>
      </c>
      <c r="O174" s="23" t="n">
        <f aca="false">IF(I174="",0,IF(COUNTIF(I$16:I174,I174)=1,1,0))</f>
        <v>0</v>
      </c>
      <c r="P174" s="23" t="n">
        <f aca="false">IF(F174="",0,IF(COUNTIF(F$16:F174,F174)=1,1,0))</f>
        <v>0</v>
      </c>
      <c r="Q174" s="0" t="str">
        <f aca="false">IF(B174="","",B174&amp;"|"&amp;C174)</f>
        <v/>
      </c>
      <c r="R174" s="23" t="n">
        <f aca="false">IF(Q174="",0,IF(COUNTIF(Q$16:Q174,Q174)=1,1,0))</f>
        <v>0</v>
      </c>
    </row>
    <row r="175" customFormat="false" ht="15" hidden="false" customHeight="false" outlineLevel="0" collapsed="false">
      <c r="A175" s="0" t="str">
        <f aca="false">IFERROR(MATCH(160,Apparitions!$N$1:$N$5001,0),"")</f>
        <v/>
      </c>
      <c r="B175" s="19" t="str">
        <f aca="false">IF($A175="","",INDEX(Apparitions!$A$1:$A$5001,$A175)&amp;"")</f>
        <v/>
      </c>
      <c r="C175" s="19" t="str">
        <f aca="false">IF($A175="","",INDEX(Apparitions!$B$1:$B$5001,$A175)&amp;"")</f>
        <v/>
      </c>
      <c r="D175" s="20" t="str">
        <f aca="false">IF($A175="","",INDEX(Apparitions!$L$1:$L$5001,$A175))</f>
        <v/>
      </c>
      <c r="E175" s="19" t="str">
        <f aca="false">IF($A175="","",INDEX(Apparitions!$C$1:$C$5001,$A175)&amp;"")</f>
        <v/>
      </c>
      <c r="F175" s="19" t="str">
        <f aca="false">IF($A175="","",INDEX(Apparitions!$H$1:$H$5001,$A175)&amp;"")</f>
        <v/>
      </c>
      <c r="G175" s="19" t="str">
        <f aca="false">IF($A175="","",INDEX(Apparitions!$I$1:$I$5001,$A175)&amp;"")</f>
        <v/>
      </c>
      <c r="H175" s="19" t="str">
        <f aca="false">IF($A175="","",INDEX(Apparitions!$J$1:$J$5001,$A175)&amp;"")</f>
        <v/>
      </c>
      <c r="I175" s="19" t="str">
        <f aca="false">IF($A175="","",INDEX(Apparitions!$G$1:$G$5001,$A175)&amp;"")</f>
        <v/>
      </c>
      <c r="J175" s="19" t="str">
        <f aca="false">IF($A175="","",INDEX(Apparitions!$M$1:$M$5001,$A175)&amp;"")</f>
        <v/>
      </c>
      <c r="K175" s="21" t="str">
        <f aca="false">IF($A175="","",INDEX(Apparitions!$K$1:$K$5001,$A175))</f>
        <v/>
      </c>
      <c r="L175" s="22" t="str">
        <f aca="false">IF($A175="","",INDEX(Apparitions!$E$1:$E$5001,$A175)&amp;"")</f>
        <v/>
      </c>
      <c r="M175" s="19" t="str">
        <f aca="false">IF($A175="","",INDEX(Apparitions!$F$1:$F$5001,$A175)&amp;"")</f>
        <v/>
      </c>
      <c r="O175" s="23" t="n">
        <f aca="false">IF(I175="",0,IF(COUNTIF(I$16:I175,I175)=1,1,0))</f>
        <v>0</v>
      </c>
      <c r="P175" s="23" t="n">
        <f aca="false">IF(F175="",0,IF(COUNTIF(F$16:F175,F175)=1,1,0))</f>
        <v>0</v>
      </c>
      <c r="Q175" s="0" t="str">
        <f aca="false">IF(B175="","",B175&amp;"|"&amp;C175)</f>
        <v/>
      </c>
      <c r="R175" s="23" t="n">
        <f aca="false">IF(Q175="",0,IF(COUNTIF(Q$16:Q175,Q175)=1,1,0))</f>
        <v>0</v>
      </c>
    </row>
    <row r="176" customFormat="false" ht="15" hidden="false" customHeight="false" outlineLevel="0" collapsed="false">
      <c r="A176" s="0" t="str">
        <f aca="false">IFERROR(MATCH(161,Apparitions!$N$1:$N$5001,0),"")</f>
        <v/>
      </c>
      <c r="B176" s="19" t="str">
        <f aca="false">IF($A176="","",INDEX(Apparitions!$A$1:$A$5001,$A176)&amp;"")</f>
        <v/>
      </c>
      <c r="C176" s="19" t="str">
        <f aca="false">IF($A176="","",INDEX(Apparitions!$B$1:$B$5001,$A176)&amp;"")</f>
        <v/>
      </c>
      <c r="D176" s="20" t="str">
        <f aca="false">IF($A176="","",INDEX(Apparitions!$L$1:$L$5001,$A176))</f>
        <v/>
      </c>
      <c r="E176" s="19" t="str">
        <f aca="false">IF($A176="","",INDEX(Apparitions!$C$1:$C$5001,$A176)&amp;"")</f>
        <v/>
      </c>
      <c r="F176" s="19" t="str">
        <f aca="false">IF($A176="","",INDEX(Apparitions!$H$1:$H$5001,$A176)&amp;"")</f>
        <v/>
      </c>
      <c r="G176" s="19" t="str">
        <f aca="false">IF($A176="","",INDEX(Apparitions!$I$1:$I$5001,$A176)&amp;"")</f>
        <v/>
      </c>
      <c r="H176" s="19" t="str">
        <f aca="false">IF($A176="","",INDEX(Apparitions!$J$1:$J$5001,$A176)&amp;"")</f>
        <v/>
      </c>
      <c r="I176" s="19" t="str">
        <f aca="false">IF($A176="","",INDEX(Apparitions!$G$1:$G$5001,$A176)&amp;"")</f>
        <v/>
      </c>
      <c r="J176" s="19" t="str">
        <f aca="false">IF($A176="","",INDEX(Apparitions!$M$1:$M$5001,$A176)&amp;"")</f>
        <v/>
      </c>
      <c r="K176" s="21" t="str">
        <f aca="false">IF($A176="","",INDEX(Apparitions!$K$1:$K$5001,$A176))</f>
        <v/>
      </c>
      <c r="L176" s="22" t="str">
        <f aca="false">IF($A176="","",INDEX(Apparitions!$E$1:$E$5001,$A176)&amp;"")</f>
        <v/>
      </c>
      <c r="M176" s="19" t="str">
        <f aca="false">IF($A176="","",INDEX(Apparitions!$F$1:$F$5001,$A176)&amp;"")</f>
        <v/>
      </c>
      <c r="O176" s="23" t="n">
        <f aca="false">IF(I176="",0,IF(COUNTIF(I$16:I176,I176)=1,1,0))</f>
        <v>0</v>
      </c>
      <c r="P176" s="23" t="n">
        <f aca="false">IF(F176="",0,IF(COUNTIF(F$16:F176,F176)=1,1,0))</f>
        <v>0</v>
      </c>
      <c r="Q176" s="0" t="str">
        <f aca="false">IF(B176="","",B176&amp;"|"&amp;C176)</f>
        <v/>
      </c>
      <c r="R176" s="23" t="n">
        <f aca="false">IF(Q176="",0,IF(COUNTIF(Q$16:Q176,Q176)=1,1,0))</f>
        <v>0</v>
      </c>
    </row>
    <row r="177" customFormat="false" ht="15" hidden="false" customHeight="false" outlineLevel="0" collapsed="false">
      <c r="A177" s="0" t="str">
        <f aca="false">IFERROR(MATCH(162,Apparitions!$N$1:$N$5001,0),"")</f>
        <v/>
      </c>
      <c r="B177" s="19" t="str">
        <f aca="false">IF($A177="","",INDEX(Apparitions!$A$1:$A$5001,$A177)&amp;"")</f>
        <v/>
      </c>
      <c r="C177" s="19" t="str">
        <f aca="false">IF($A177="","",INDEX(Apparitions!$B$1:$B$5001,$A177)&amp;"")</f>
        <v/>
      </c>
      <c r="D177" s="20" t="str">
        <f aca="false">IF($A177="","",INDEX(Apparitions!$L$1:$L$5001,$A177))</f>
        <v/>
      </c>
      <c r="E177" s="19" t="str">
        <f aca="false">IF($A177="","",INDEX(Apparitions!$C$1:$C$5001,$A177)&amp;"")</f>
        <v/>
      </c>
      <c r="F177" s="19" t="str">
        <f aca="false">IF($A177="","",INDEX(Apparitions!$H$1:$H$5001,$A177)&amp;"")</f>
        <v/>
      </c>
      <c r="G177" s="19" t="str">
        <f aca="false">IF($A177="","",INDEX(Apparitions!$I$1:$I$5001,$A177)&amp;"")</f>
        <v/>
      </c>
      <c r="H177" s="19" t="str">
        <f aca="false">IF($A177="","",INDEX(Apparitions!$J$1:$J$5001,$A177)&amp;"")</f>
        <v/>
      </c>
      <c r="I177" s="19" t="str">
        <f aca="false">IF($A177="","",INDEX(Apparitions!$G$1:$G$5001,$A177)&amp;"")</f>
        <v/>
      </c>
      <c r="J177" s="19" t="str">
        <f aca="false">IF($A177="","",INDEX(Apparitions!$M$1:$M$5001,$A177)&amp;"")</f>
        <v/>
      </c>
      <c r="K177" s="21" t="str">
        <f aca="false">IF($A177="","",INDEX(Apparitions!$K$1:$K$5001,$A177))</f>
        <v/>
      </c>
      <c r="L177" s="22" t="str">
        <f aca="false">IF($A177="","",INDEX(Apparitions!$E$1:$E$5001,$A177)&amp;"")</f>
        <v/>
      </c>
      <c r="M177" s="19" t="str">
        <f aca="false">IF($A177="","",INDEX(Apparitions!$F$1:$F$5001,$A177)&amp;"")</f>
        <v/>
      </c>
      <c r="O177" s="23" t="n">
        <f aca="false">IF(I177="",0,IF(COUNTIF(I$16:I177,I177)=1,1,0))</f>
        <v>0</v>
      </c>
      <c r="P177" s="23" t="n">
        <f aca="false">IF(F177="",0,IF(COUNTIF(F$16:F177,F177)=1,1,0))</f>
        <v>0</v>
      </c>
      <c r="Q177" s="0" t="str">
        <f aca="false">IF(B177="","",B177&amp;"|"&amp;C177)</f>
        <v/>
      </c>
      <c r="R177" s="23" t="n">
        <f aca="false">IF(Q177="",0,IF(COUNTIF(Q$16:Q177,Q177)=1,1,0))</f>
        <v>0</v>
      </c>
    </row>
    <row r="178" customFormat="false" ht="15" hidden="false" customHeight="false" outlineLevel="0" collapsed="false">
      <c r="A178" s="0" t="str">
        <f aca="false">IFERROR(MATCH(163,Apparitions!$N$1:$N$5001,0),"")</f>
        <v/>
      </c>
      <c r="B178" s="19" t="str">
        <f aca="false">IF($A178="","",INDEX(Apparitions!$A$1:$A$5001,$A178)&amp;"")</f>
        <v/>
      </c>
      <c r="C178" s="19" t="str">
        <f aca="false">IF($A178="","",INDEX(Apparitions!$B$1:$B$5001,$A178)&amp;"")</f>
        <v/>
      </c>
      <c r="D178" s="20" t="str">
        <f aca="false">IF($A178="","",INDEX(Apparitions!$L$1:$L$5001,$A178))</f>
        <v/>
      </c>
      <c r="E178" s="19" t="str">
        <f aca="false">IF($A178="","",INDEX(Apparitions!$C$1:$C$5001,$A178)&amp;"")</f>
        <v/>
      </c>
      <c r="F178" s="19" t="str">
        <f aca="false">IF($A178="","",INDEX(Apparitions!$H$1:$H$5001,$A178)&amp;"")</f>
        <v/>
      </c>
      <c r="G178" s="19" t="str">
        <f aca="false">IF($A178="","",INDEX(Apparitions!$I$1:$I$5001,$A178)&amp;"")</f>
        <v/>
      </c>
      <c r="H178" s="19" t="str">
        <f aca="false">IF($A178="","",INDEX(Apparitions!$J$1:$J$5001,$A178)&amp;"")</f>
        <v/>
      </c>
      <c r="I178" s="19" t="str">
        <f aca="false">IF($A178="","",INDEX(Apparitions!$G$1:$G$5001,$A178)&amp;"")</f>
        <v/>
      </c>
      <c r="J178" s="19" t="str">
        <f aca="false">IF($A178="","",INDEX(Apparitions!$M$1:$M$5001,$A178)&amp;"")</f>
        <v/>
      </c>
      <c r="K178" s="21" t="str">
        <f aca="false">IF($A178="","",INDEX(Apparitions!$K$1:$K$5001,$A178))</f>
        <v/>
      </c>
      <c r="L178" s="22" t="str">
        <f aca="false">IF($A178="","",INDEX(Apparitions!$E$1:$E$5001,$A178)&amp;"")</f>
        <v/>
      </c>
      <c r="M178" s="19" t="str">
        <f aca="false">IF($A178="","",INDEX(Apparitions!$F$1:$F$5001,$A178)&amp;"")</f>
        <v/>
      </c>
      <c r="O178" s="23" t="n">
        <f aca="false">IF(I178="",0,IF(COUNTIF(I$16:I178,I178)=1,1,0))</f>
        <v>0</v>
      </c>
      <c r="P178" s="23" t="n">
        <f aca="false">IF(F178="",0,IF(COUNTIF(F$16:F178,F178)=1,1,0))</f>
        <v>0</v>
      </c>
      <c r="Q178" s="0" t="str">
        <f aca="false">IF(B178="","",B178&amp;"|"&amp;C178)</f>
        <v/>
      </c>
      <c r="R178" s="23" t="n">
        <f aca="false">IF(Q178="",0,IF(COUNTIF(Q$16:Q178,Q178)=1,1,0))</f>
        <v>0</v>
      </c>
    </row>
    <row r="179" customFormat="false" ht="15" hidden="false" customHeight="false" outlineLevel="0" collapsed="false">
      <c r="A179" s="0" t="str">
        <f aca="false">IFERROR(MATCH(164,Apparitions!$N$1:$N$5001,0),"")</f>
        <v/>
      </c>
      <c r="B179" s="19" t="str">
        <f aca="false">IF($A179="","",INDEX(Apparitions!$A$1:$A$5001,$A179)&amp;"")</f>
        <v/>
      </c>
      <c r="C179" s="19" t="str">
        <f aca="false">IF($A179="","",INDEX(Apparitions!$B$1:$B$5001,$A179)&amp;"")</f>
        <v/>
      </c>
      <c r="D179" s="20" t="str">
        <f aca="false">IF($A179="","",INDEX(Apparitions!$L$1:$L$5001,$A179))</f>
        <v/>
      </c>
      <c r="E179" s="19" t="str">
        <f aca="false">IF($A179="","",INDEX(Apparitions!$C$1:$C$5001,$A179)&amp;"")</f>
        <v/>
      </c>
      <c r="F179" s="19" t="str">
        <f aca="false">IF($A179="","",INDEX(Apparitions!$H$1:$H$5001,$A179)&amp;"")</f>
        <v/>
      </c>
      <c r="G179" s="19" t="str">
        <f aca="false">IF($A179="","",INDEX(Apparitions!$I$1:$I$5001,$A179)&amp;"")</f>
        <v/>
      </c>
      <c r="H179" s="19" t="str">
        <f aca="false">IF($A179="","",INDEX(Apparitions!$J$1:$J$5001,$A179)&amp;"")</f>
        <v/>
      </c>
      <c r="I179" s="19" t="str">
        <f aca="false">IF($A179="","",INDEX(Apparitions!$G$1:$G$5001,$A179)&amp;"")</f>
        <v/>
      </c>
      <c r="J179" s="19" t="str">
        <f aca="false">IF($A179="","",INDEX(Apparitions!$M$1:$M$5001,$A179)&amp;"")</f>
        <v/>
      </c>
      <c r="K179" s="21" t="str">
        <f aca="false">IF($A179="","",INDEX(Apparitions!$K$1:$K$5001,$A179))</f>
        <v/>
      </c>
      <c r="L179" s="22" t="str">
        <f aca="false">IF($A179="","",INDEX(Apparitions!$E$1:$E$5001,$A179)&amp;"")</f>
        <v/>
      </c>
      <c r="M179" s="19" t="str">
        <f aca="false">IF($A179="","",INDEX(Apparitions!$F$1:$F$5001,$A179)&amp;"")</f>
        <v/>
      </c>
      <c r="O179" s="23" t="n">
        <f aca="false">IF(I179="",0,IF(COUNTIF(I$16:I179,I179)=1,1,0))</f>
        <v>0</v>
      </c>
      <c r="P179" s="23" t="n">
        <f aca="false">IF(F179="",0,IF(COUNTIF(F$16:F179,F179)=1,1,0))</f>
        <v>0</v>
      </c>
      <c r="Q179" s="0" t="str">
        <f aca="false">IF(B179="","",B179&amp;"|"&amp;C179)</f>
        <v/>
      </c>
      <c r="R179" s="23" t="n">
        <f aca="false">IF(Q179="",0,IF(COUNTIF(Q$16:Q179,Q179)=1,1,0))</f>
        <v>0</v>
      </c>
    </row>
    <row r="180" customFormat="false" ht="15" hidden="false" customHeight="false" outlineLevel="0" collapsed="false">
      <c r="A180" s="0" t="str">
        <f aca="false">IFERROR(MATCH(165,Apparitions!$N$1:$N$5001,0),"")</f>
        <v/>
      </c>
      <c r="B180" s="19" t="str">
        <f aca="false">IF($A180="","",INDEX(Apparitions!$A$1:$A$5001,$A180)&amp;"")</f>
        <v/>
      </c>
      <c r="C180" s="19" t="str">
        <f aca="false">IF($A180="","",INDEX(Apparitions!$B$1:$B$5001,$A180)&amp;"")</f>
        <v/>
      </c>
      <c r="D180" s="20" t="str">
        <f aca="false">IF($A180="","",INDEX(Apparitions!$L$1:$L$5001,$A180))</f>
        <v/>
      </c>
      <c r="E180" s="19" t="str">
        <f aca="false">IF($A180="","",INDEX(Apparitions!$C$1:$C$5001,$A180)&amp;"")</f>
        <v/>
      </c>
      <c r="F180" s="19" t="str">
        <f aca="false">IF($A180="","",INDEX(Apparitions!$H$1:$H$5001,$A180)&amp;"")</f>
        <v/>
      </c>
      <c r="G180" s="19" t="str">
        <f aca="false">IF($A180="","",INDEX(Apparitions!$I$1:$I$5001,$A180)&amp;"")</f>
        <v/>
      </c>
      <c r="H180" s="19" t="str">
        <f aca="false">IF($A180="","",INDEX(Apparitions!$J$1:$J$5001,$A180)&amp;"")</f>
        <v/>
      </c>
      <c r="I180" s="19" t="str">
        <f aca="false">IF($A180="","",INDEX(Apparitions!$G$1:$G$5001,$A180)&amp;"")</f>
        <v/>
      </c>
      <c r="J180" s="19" t="str">
        <f aca="false">IF($A180="","",INDEX(Apparitions!$M$1:$M$5001,$A180)&amp;"")</f>
        <v/>
      </c>
      <c r="K180" s="21" t="str">
        <f aca="false">IF($A180="","",INDEX(Apparitions!$K$1:$K$5001,$A180))</f>
        <v/>
      </c>
      <c r="L180" s="22" t="str">
        <f aca="false">IF($A180="","",INDEX(Apparitions!$E$1:$E$5001,$A180)&amp;"")</f>
        <v/>
      </c>
      <c r="M180" s="19" t="str">
        <f aca="false">IF($A180="","",INDEX(Apparitions!$F$1:$F$5001,$A180)&amp;"")</f>
        <v/>
      </c>
      <c r="O180" s="23" t="n">
        <f aca="false">IF(I180="",0,IF(COUNTIF(I$16:I180,I180)=1,1,0))</f>
        <v>0</v>
      </c>
      <c r="P180" s="23" t="n">
        <f aca="false">IF(F180="",0,IF(COUNTIF(F$16:F180,F180)=1,1,0))</f>
        <v>0</v>
      </c>
      <c r="Q180" s="0" t="str">
        <f aca="false">IF(B180="","",B180&amp;"|"&amp;C180)</f>
        <v/>
      </c>
      <c r="R180" s="23" t="n">
        <f aca="false">IF(Q180="",0,IF(COUNTIF(Q$16:Q180,Q180)=1,1,0))</f>
        <v>0</v>
      </c>
    </row>
    <row r="181" customFormat="false" ht="15" hidden="false" customHeight="false" outlineLevel="0" collapsed="false">
      <c r="A181" s="0" t="str">
        <f aca="false">IFERROR(MATCH(166,Apparitions!$N$1:$N$5001,0),"")</f>
        <v/>
      </c>
      <c r="B181" s="19" t="str">
        <f aca="false">IF($A181="","",INDEX(Apparitions!$A$1:$A$5001,$A181)&amp;"")</f>
        <v/>
      </c>
      <c r="C181" s="19" t="str">
        <f aca="false">IF($A181="","",INDEX(Apparitions!$B$1:$B$5001,$A181)&amp;"")</f>
        <v/>
      </c>
      <c r="D181" s="20" t="str">
        <f aca="false">IF($A181="","",INDEX(Apparitions!$L$1:$L$5001,$A181))</f>
        <v/>
      </c>
      <c r="E181" s="19" t="str">
        <f aca="false">IF($A181="","",INDEX(Apparitions!$C$1:$C$5001,$A181)&amp;"")</f>
        <v/>
      </c>
      <c r="F181" s="19" t="str">
        <f aca="false">IF($A181="","",INDEX(Apparitions!$H$1:$H$5001,$A181)&amp;"")</f>
        <v/>
      </c>
      <c r="G181" s="19" t="str">
        <f aca="false">IF($A181="","",INDEX(Apparitions!$I$1:$I$5001,$A181)&amp;"")</f>
        <v/>
      </c>
      <c r="H181" s="19" t="str">
        <f aca="false">IF($A181="","",INDEX(Apparitions!$J$1:$J$5001,$A181)&amp;"")</f>
        <v/>
      </c>
      <c r="I181" s="19" t="str">
        <f aca="false">IF($A181="","",INDEX(Apparitions!$G$1:$G$5001,$A181)&amp;"")</f>
        <v/>
      </c>
      <c r="J181" s="19" t="str">
        <f aca="false">IF($A181="","",INDEX(Apparitions!$M$1:$M$5001,$A181)&amp;"")</f>
        <v/>
      </c>
      <c r="K181" s="21" t="str">
        <f aca="false">IF($A181="","",INDEX(Apparitions!$K$1:$K$5001,$A181))</f>
        <v/>
      </c>
      <c r="L181" s="22" t="str">
        <f aca="false">IF($A181="","",INDEX(Apparitions!$E$1:$E$5001,$A181)&amp;"")</f>
        <v/>
      </c>
      <c r="M181" s="19" t="str">
        <f aca="false">IF($A181="","",INDEX(Apparitions!$F$1:$F$5001,$A181)&amp;"")</f>
        <v/>
      </c>
      <c r="O181" s="23" t="n">
        <f aca="false">IF(I181="",0,IF(COUNTIF(I$16:I181,I181)=1,1,0))</f>
        <v>0</v>
      </c>
      <c r="P181" s="23" t="n">
        <f aca="false">IF(F181="",0,IF(COUNTIF(F$16:F181,F181)=1,1,0))</f>
        <v>0</v>
      </c>
      <c r="Q181" s="0" t="str">
        <f aca="false">IF(B181="","",B181&amp;"|"&amp;C181)</f>
        <v/>
      </c>
      <c r="R181" s="23" t="n">
        <f aca="false">IF(Q181="",0,IF(COUNTIF(Q$16:Q181,Q181)=1,1,0))</f>
        <v>0</v>
      </c>
    </row>
    <row r="182" customFormat="false" ht="15" hidden="false" customHeight="false" outlineLevel="0" collapsed="false">
      <c r="A182" s="0" t="str">
        <f aca="false">IFERROR(MATCH(167,Apparitions!$N$1:$N$5001,0),"")</f>
        <v/>
      </c>
      <c r="B182" s="19" t="str">
        <f aca="false">IF($A182="","",INDEX(Apparitions!$A$1:$A$5001,$A182)&amp;"")</f>
        <v/>
      </c>
      <c r="C182" s="19" t="str">
        <f aca="false">IF($A182="","",INDEX(Apparitions!$B$1:$B$5001,$A182)&amp;"")</f>
        <v/>
      </c>
      <c r="D182" s="20" t="str">
        <f aca="false">IF($A182="","",INDEX(Apparitions!$L$1:$L$5001,$A182))</f>
        <v/>
      </c>
      <c r="E182" s="19" t="str">
        <f aca="false">IF($A182="","",INDEX(Apparitions!$C$1:$C$5001,$A182)&amp;"")</f>
        <v/>
      </c>
      <c r="F182" s="19" t="str">
        <f aca="false">IF($A182="","",INDEX(Apparitions!$H$1:$H$5001,$A182)&amp;"")</f>
        <v/>
      </c>
      <c r="G182" s="19" t="str">
        <f aca="false">IF($A182="","",INDEX(Apparitions!$I$1:$I$5001,$A182)&amp;"")</f>
        <v/>
      </c>
      <c r="H182" s="19" t="str">
        <f aca="false">IF($A182="","",INDEX(Apparitions!$J$1:$J$5001,$A182)&amp;"")</f>
        <v/>
      </c>
      <c r="I182" s="19" t="str">
        <f aca="false">IF($A182="","",INDEX(Apparitions!$G$1:$G$5001,$A182)&amp;"")</f>
        <v/>
      </c>
      <c r="J182" s="19" t="str">
        <f aca="false">IF($A182="","",INDEX(Apparitions!$M$1:$M$5001,$A182)&amp;"")</f>
        <v/>
      </c>
      <c r="K182" s="21" t="str">
        <f aca="false">IF($A182="","",INDEX(Apparitions!$K$1:$K$5001,$A182))</f>
        <v/>
      </c>
      <c r="L182" s="22" t="str">
        <f aca="false">IF($A182="","",INDEX(Apparitions!$E$1:$E$5001,$A182)&amp;"")</f>
        <v/>
      </c>
      <c r="M182" s="19" t="str">
        <f aca="false">IF($A182="","",INDEX(Apparitions!$F$1:$F$5001,$A182)&amp;"")</f>
        <v/>
      </c>
      <c r="O182" s="23" t="n">
        <f aca="false">IF(I182="",0,IF(COUNTIF(I$16:I182,I182)=1,1,0))</f>
        <v>0</v>
      </c>
      <c r="P182" s="23" t="n">
        <f aca="false">IF(F182="",0,IF(COUNTIF(F$16:F182,F182)=1,1,0))</f>
        <v>0</v>
      </c>
      <c r="Q182" s="0" t="str">
        <f aca="false">IF(B182="","",B182&amp;"|"&amp;C182)</f>
        <v/>
      </c>
      <c r="R182" s="23" t="n">
        <f aca="false">IF(Q182="",0,IF(COUNTIF(Q$16:Q182,Q182)=1,1,0))</f>
        <v>0</v>
      </c>
    </row>
    <row r="183" customFormat="false" ht="15" hidden="false" customHeight="false" outlineLevel="0" collapsed="false">
      <c r="A183" s="0" t="str">
        <f aca="false">IFERROR(MATCH(168,Apparitions!$N$1:$N$5001,0),"")</f>
        <v/>
      </c>
      <c r="B183" s="19" t="str">
        <f aca="false">IF($A183="","",INDEX(Apparitions!$A$1:$A$5001,$A183)&amp;"")</f>
        <v/>
      </c>
      <c r="C183" s="19" t="str">
        <f aca="false">IF($A183="","",INDEX(Apparitions!$B$1:$B$5001,$A183)&amp;"")</f>
        <v/>
      </c>
      <c r="D183" s="20" t="str">
        <f aca="false">IF($A183="","",INDEX(Apparitions!$L$1:$L$5001,$A183))</f>
        <v/>
      </c>
      <c r="E183" s="19" t="str">
        <f aca="false">IF($A183="","",INDEX(Apparitions!$C$1:$C$5001,$A183)&amp;"")</f>
        <v/>
      </c>
      <c r="F183" s="19" t="str">
        <f aca="false">IF($A183="","",INDEX(Apparitions!$H$1:$H$5001,$A183)&amp;"")</f>
        <v/>
      </c>
      <c r="G183" s="19" t="str">
        <f aca="false">IF($A183="","",INDEX(Apparitions!$I$1:$I$5001,$A183)&amp;"")</f>
        <v/>
      </c>
      <c r="H183" s="19" t="str">
        <f aca="false">IF($A183="","",INDEX(Apparitions!$J$1:$J$5001,$A183)&amp;"")</f>
        <v/>
      </c>
      <c r="I183" s="19" t="str">
        <f aca="false">IF($A183="","",INDEX(Apparitions!$G$1:$G$5001,$A183)&amp;"")</f>
        <v/>
      </c>
      <c r="J183" s="19" t="str">
        <f aca="false">IF($A183="","",INDEX(Apparitions!$M$1:$M$5001,$A183)&amp;"")</f>
        <v/>
      </c>
      <c r="K183" s="21" t="str">
        <f aca="false">IF($A183="","",INDEX(Apparitions!$K$1:$K$5001,$A183))</f>
        <v/>
      </c>
      <c r="L183" s="22" t="str">
        <f aca="false">IF($A183="","",INDEX(Apparitions!$E$1:$E$5001,$A183)&amp;"")</f>
        <v/>
      </c>
      <c r="M183" s="19" t="str">
        <f aca="false">IF($A183="","",INDEX(Apparitions!$F$1:$F$5001,$A183)&amp;"")</f>
        <v/>
      </c>
      <c r="O183" s="23" t="n">
        <f aca="false">IF(I183="",0,IF(COUNTIF(I$16:I183,I183)=1,1,0))</f>
        <v>0</v>
      </c>
      <c r="P183" s="23" t="n">
        <f aca="false">IF(F183="",0,IF(COUNTIF(F$16:F183,F183)=1,1,0))</f>
        <v>0</v>
      </c>
      <c r="Q183" s="0" t="str">
        <f aca="false">IF(B183="","",B183&amp;"|"&amp;C183)</f>
        <v/>
      </c>
      <c r="R183" s="23" t="n">
        <f aca="false">IF(Q183="",0,IF(COUNTIF(Q$16:Q183,Q183)=1,1,0))</f>
        <v>0</v>
      </c>
    </row>
    <row r="184" customFormat="false" ht="15" hidden="false" customHeight="false" outlineLevel="0" collapsed="false">
      <c r="A184" s="0" t="str">
        <f aca="false">IFERROR(MATCH(169,Apparitions!$N$1:$N$5001,0),"")</f>
        <v/>
      </c>
      <c r="B184" s="19" t="str">
        <f aca="false">IF($A184="","",INDEX(Apparitions!$A$1:$A$5001,$A184)&amp;"")</f>
        <v/>
      </c>
      <c r="C184" s="19" t="str">
        <f aca="false">IF($A184="","",INDEX(Apparitions!$B$1:$B$5001,$A184)&amp;"")</f>
        <v/>
      </c>
      <c r="D184" s="20" t="str">
        <f aca="false">IF($A184="","",INDEX(Apparitions!$L$1:$L$5001,$A184))</f>
        <v/>
      </c>
      <c r="E184" s="19" t="str">
        <f aca="false">IF($A184="","",INDEX(Apparitions!$C$1:$C$5001,$A184)&amp;"")</f>
        <v/>
      </c>
      <c r="F184" s="19" t="str">
        <f aca="false">IF($A184="","",INDEX(Apparitions!$H$1:$H$5001,$A184)&amp;"")</f>
        <v/>
      </c>
      <c r="G184" s="19" t="str">
        <f aca="false">IF($A184="","",INDEX(Apparitions!$I$1:$I$5001,$A184)&amp;"")</f>
        <v/>
      </c>
      <c r="H184" s="19" t="str">
        <f aca="false">IF($A184="","",INDEX(Apparitions!$J$1:$J$5001,$A184)&amp;"")</f>
        <v/>
      </c>
      <c r="I184" s="19" t="str">
        <f aca="false">IF($A184="","",INDEX(Apparitions!$G$1:$G$5001,$A184)&amp;"")</f>
        <v/>
      </c>
      <c r="J184" s="19" t="str">
        <f aca="false">IF($A184="","",INDEX(Apparitions!$M$1:$M$5001,$A184)&amp;"")</f>
        <v/>
      </c>
      <c r="K184" s="21" t="str">
        <f aca="false">IF($A184="","",INDEX(Apparitions!$K$1:$K$5001,$A184))</f>
        <v/>
      </c>
      <c r="L184" s="22" t="str">
        <f aca="false">IF($A184="","",INDEX(Apparitions!$E$1:$E$5001,$A184)&amp;"")</f>
        <v/>
      </c>
      <c r="M184" s="19" t="str">
        <f aca="false">IF($A184="","",INDEX(Apparitions!$F$1:$F$5001,$A184)&amp;"")</f>
        <v/>
      </c>
      <c r="O184" s="23" t="n">
        <f aca="false">IF(I184="",0,IF(COUNTIF(I$16:I184,I184)=1,1,0))</f>
        <v>0</v>
      </c>
      <c r="P184" s="23" t="n">
        <f aca="false">IF(F184="",0,IF(COUNTIF(F$16:F184,F184)=1,1,0))</f>
        <v>0</v>
      </c>
      <c r="Q184" s="0" t="str">
        <f aca="false">IF(B184="","",B184&amp;"|"&amp;C184)</f>
        <v/>
      </c>
      <c r="R184" s="23" t="n">
        <f aca="false">IF(Q184="",0,IF(COUNTIF(Q$16:Q184,Q184)=1,1,0))</f>
        <v>0</v>
      </c>
    </row>
    <row r="185" customFormat="false" ht="15" hidden="false" customHeight="false" outlineLevel="0" collapsed="false">
      <c r="A185" s="0" t="str">
        <f aca="false">IFERROR(MATCH(170,Apparitions!$N$1:$N$5001,0),"")</f>
        <v/>
      </c>
      <c r="B185" s="19" t="str">
        <f aca="false">IF($A185="","",INDEX(Apparitions!$A$1:$A$5001,$A185)&amp;"")</f>
        <v/>
      </c>
      <c r="C185" s="19" t="str">
        <f aca="false">IF($A185="","",INDEX(Apparitions!$B$1:$B$5001,$A185)&amp;"")</f>
        <v/>
      </c>
      <c r="D185" s="20" t="str">
        <f aca="false">IF($A185="","",INDEX(Apparitions!$L$1:$L$5001,$A185))</f>
        <v/>
      </c>
      <c r="E185" s="19" t="str">
        <f aca="false">IF($A185="","",INDEX(Apparitions!$C$1:$C$5001,$A185)&amp;"")</f>
        <v/>
      </c>
      <c r="F185" s="19" t="str">
        <f aca="false">IF($A185="","",INDEX(Apparitions!$H$1:$H$5001,$A185)&amp;"")</f>
        <v/>
      </c>
      <c r="G185" s="19" t="str">
        <f aca="false">IF($A185="","",INDEX(Apparitions!$I$1:$I$5001,$A185)&amp;"")</f>
        <v/>
      </c>
      <c r="H185" s="19" t="str">
        <f aca="false">IF($A185="","",INDEX(Apparitions!$J$1:$J$5001,$A185)&amp;"")</f>
        <v/>
      </c>
      <c r="I185" s="19" t="str">
        <f aca="false">IF($A185="","",INDEX(Apparitions!$G$1:$G$5001,$A185)&amp;"")</f>
        <v/>
      </c>
      <c r="J185" s="19" t="str">
        <f aca="false">IF($A185="","",INDEX(Apparitions!$M$1:$M$5001,$A185)&amp;"")</f>
        <v/>
      </c>
      <c r="K185" s="21" t="str">
        <f aca="false">IF($A185="","",INDEX(Apparitions!$K$1:$K$5001,$A185))</f>
        <v/>
      </c>
      <c r="L185" s="22" t="str">
        <f aca="false">IF($A185="","",INDEX(Apparitions!$E$1:$E$5001,$A185)&amp;"")</f>
        <v/>
      </c>
      <c r="M185" s="19" t="str">
        <f aca="false">IF($A185="","",INDEX(Apparitions!$F$1:$F$5001,$A185)&amp;"")</f>
        <v/>
      </c>
      <c r="O185" s="23" t="n">
        <f aca="false">IF(I185="",0,IF(COUNTIF(I$16:I185,I185)=1,1,0))</f>
        <v>0</v>
      </c>
      <c r="P185" s="23" t="n">
        <f aca="false">IF(F185="",0,IF(COUNTIF(F$16:F185,F185)=1,1,0))</f>
        <v>0</v>
      </c>
      <c r="Q185" s="0" t="str">
        <f aca="false">IF(B185="","",B185&amp;"|"&amp;C185)</f>
        <v/>
      </c>
      <c r="R185" s="23" t="n">
        <f aca="false">IF(Q185="",0,IF(COUNTIF(Q$16:Q185,Q185)=1,1,0))</f>
        <v>0</v>
      </c>
    </row>
    <row r="186" customFormat="false" ht="15" hidden="false" customHeight="false" outlineLevel="0" collapsed="false">
      <c r="A186" s="0" t="str">
        <f aca="false">IFERROR(MATCH(171,Apparitions!$N$1:$N$5001,0),"")</f>
        <v/>
      </c>
      <c r="B186" s="19" t="str">
        <f aca="false">IF($A186="","",INDEX(Apparitions!$A$1:$A$5001,$A186)&amp;"")</f>
        <v/>
      </c>
      <c r="C186" s="19" t="str">
        <f aca="false">IF($A186="","",INDEX(Apparitions!$B$1:$B$5001,$A186)&amp;"")</f>
        <v/>
      </c>
      <c r="D186" s="20" t="str">
        <f aca="false">IF($A186="","",INDEX(Apparitions!$L$1:$L$5001,$A186))</f>
        <v/>
      </c>
      <c r="E186" s="19" t="str">
        <f aca="false">IF($A186="","",INDEX(Apparitions!$C$1:$C$5001,$A186)&amp;"")</f>
        <v/>
      </c>
      <c r="F186" s="19" t="str">
        <f aca="false">IF($A186="","",INDEX(Apparitions!$H$1:$H$5001,$A186)&amp;"")</f>
        <v/>
      </c>
      <c r="G186" s="19" t="str">
        <f aca="false">IF($A186="","",INDEX(Apparitions!$I$1:$I$5001,$A186)&amp;"")</f>
        <v/>
      </c>
      <c r="H186" s="19" t="str">
        <f aca="false">IF($A186="","",INDEX(Apparitions!$J$1:$J$5001,$A186)&amp;"")</f>
        <v/>
      </c>
      <c r="I186" s="19" t="str">
        <f aca="false">IF($A186="","",INDEX(Apparitions!$G$1:$G$5001,$A186)&amp;"")</f>
        <v/>
      </c>
      <c r="J186" s="19" t="str">
        <f aca="false">IF($A186="","",INDEX(Apparitions!$M$1:$M$5001,$A186)&amp;"")</f>
        <v/>
      </c>
      <c r="K186" s="21" t="str">
        <f aca="false">IF($A186="","",INDEX(Apparitions!$K$1:$K$5001,$A186))</f>
        <v/>
      </c>
      <c r="L186" s="22" t="str">
        <f aca="false">IF($A186="","",INDEX(Apparitions!$E$1:$E$5001,$A186)&amp;"")</f>
        <v/>
      </c>
      <c r="M186" s="19" t="str">
        <f aca="false">IF($A186="","",INDEX(Apparitions!$F$1:$F$5001,$A186)&amp;"")</f>
        <v/>
      </c>
      <c r="O186" s="23" t="n">
        <f aca="false">IF(I186="",0,IF(COUNTIF(I$16:I186,I186)=1,1,0))</f>
        <v>0</v>
      </c>
      <c r="P186" s="23" t="n">
        <f aca="false">IF(F186="",0,IF(COUNTIF(F$16:F186,F186)=1,1,0))</f>
        <v>0</v>
      </c>
      <c r="Q186" s="0" t="str">
        <f aca="false">IF(B186="","",B186&amp;"|"&amp;C186)</f>
        <v/>
      </c>
      <c r="R186" s="23" t="n">
        <f aca="false">IF(Q186="",0,IF(COUNTIF(Q$16:Q186,Q186)=1,1,0))</f>
        <v>0</v>
      </c>
    </row>
    <row r="187" customFormat="false" ht="15" hidden="false" customHeight="false" outlineLevel="0" collapsed="false">
      <c r="A187" s="0" t="str">
        <f aca="false">IFERROR(MATCH(172,Apparitions!$N$1:$N$5001,0),"")</f>
        <v/>
      </c>
      <c r="B187" s="19" t="str">
        <f aca="false">IF($A187="","",INDEX(Apparitions!$A$1:$A$5001,$A187)&amp;"")</f>
        <v/>
      </c>
      <c r="C187" s="19" t="str">
        <f aca="false">IF($A187="","",INDEX(Apparitions!$B$1:$B$5001,$A187)&amp;"")</f>
        <v/>
      </c>
      <c r="D187" s="20" t="str">
        <f aca="false">IF($A187="","",INDEX(Apparitions!$L$1:$L$5001,$A187))</f>
        <v/>
      </c>
      <c r="E187" s="19" t="str">
        <f aca="false">IF($A187="","",INDEX(Apparitions!$C$1:$C$5001,$A187)&amp;"")</f>
        <v/>
      </c>
      <c r="F187" s="19" t="str">
        <f aca="false">IF($A187="","",INDEX(Apparitions!$H$1:$H$5001,$A187)&amp;"")</f>
        <v/>
      </c>
      <c r="G187" s="19" t="str">
        <f aca="false">IF($A187="","",INDEX(Apparitions!$I$1:$I$5001,$A187)&amp;"")</f>
        <v/>
      </c>
      <c r="H187" s="19" t="str">
        <f aca="false">IF($A187="","",INDEX(Apparitions!$J$1:$J$5001,$A187)&amp;"")</f>
        <v/>
      </c>
      <c r="I187" s="19" t="str">
        <f aca="false">IF($A187="","",INDEX(Apparitions!$G$1:$G$5001,$A187)&amp;"")</f>
        <v/>
      </c>
      <c r="J187" s="19" t="str">
        <f aca="false">IF($A187="","",INDEX(Apparitions!$M$1:$M$5001,$A187)&amp;"")</f>
        <v/>
      </c>
      <c r="K187" s="21" t="str">
        <f aca="false">IF($A187="","",INDEX(Apparitions!$K$1:$K$5001,$A187))</f>
        <v/>
      </c>
      <c r="L187" s="22" t="str">
        <f aca="false">IF($A187="","",INDEX(Apparitions!$E$1:$E$5001,$A187)&amp;"")</f>
        <v/>
      </c>
      <c r="M187" s="19" t="str">
        <f aca="false">IF($A187="","",INDEX(Apparitions!$F$1:$F$5001,$A187)&amp;"")</f>
        <v/>
      </c>
      <c r="O187" s="23" t="n">
        <f aca="false">IF(I187="",0,IF(COUNTIF(I$16:I187,I187)=1,1,0))</f>
        <v>0</v>
      </c>
      <c r="P187" s="23" t="n">
        <f aca="false">IF(F187="",0,IF(COUNTIF(F$16:F187,F187)=1,1,0))</f>
        <v>0</v>
      </c>
      <c r="Q187" s="0" t="str">
        <f aca="false">IF(B187="","",B187&amp;"|"&amp;C187)</f>
        <v/>
      </c>
      <c r="R187" s="23" t="n">
        <f aca="false">IF(Q187="",0,IF(COUNTIF(Q$16:Q187,Q187)=1,1,0))</f>
        <v>0</v>
      </c>
    </row>
    <row r="188" customFormat="false" ht="15" hidden="false" customHeight="false" outlineLevel="0" collapsed="false">
      <c r="A188" s="0" t="str">
        <f aca="false">IFERROR(MATCH(173,Apparitions!$N$1:$N$5001,0),"")</f>
        <v/>
      </c>
      <c r="B188" s="19" t="str">
        <f aca="false">IF($A188="","",INDEX(Apparitions!$A$1:$A$5001,$A188)&amp;"")</f>
        <v/>
      </c>
      <c r="C188" s="19" t="str">
        <f aca="false">IF($A188="","",INDEX(Apparitions!$B$1:$B$5001,$A188)&amp;"")</f>
        <v/>
      </c>
      <c r="D188" s="20" t="str">
        <f aca="false">IF($A188="","",INDEX(Apparitions!$L$1:$L$5001,$A188))</f>
        <v/>
      </c>
      <c r="E188" s="19" t="str">
        <f aca="false">IF($A188="","",INDEX(Apparitions!$C$1:$C$5001,$A188)&amp;"")</f>
        <v/>
      </c>
      <c r="F188" s="19" t="str">
        <f aca="false">IF($A188="","",INDEX(Apparitions!$H$1:$H$5001,$A188)&amp;"")</f>
        <v/>
      </c>
      <c r="G188" s="19" t="str">
        <f aca="false">IF($A188="","",INDEX(Apparitions!$I$1:$I$5001,$A188)&amp;"")</f>
        <v/>
      </c>
      <c r="H188" s="19" t="str">
        <f aca="false">IF($A188="","",INDEX(Apparitions!$J$1:$J$5001,$A188)&amp;"")</f>
        <v/>
      </c>
      <c r="I188" s="19" t="str">
        <f aca="false">IF($A188="","",INDEX(Apparitions!$G$1:$G$5001,$A188)&amp;"")</f>
        <v/>
      </c>
      <c r="J188" s="19" t="str">
        <f aca="false">IF($A188="","",INDEX(Apparitions!$M$1:$M$5001,$A188)&amp;"")</f>
        <v/>
      </c>
      <c r="K188" s="21" t="str">
        <f aca="false">IF($A188="","",INDEX(Apparitions!$K$1:$K$5001,$A188))</f>
        <v/>
      </c>
      <c r="L188" s="22" t="str">
        <f aca="false">IF($A188="","",INDEX(Apparitions!$E$1:$E$5001,$A188)&amp;"")</f>
        <v/>
      </c>
      <c r="M188" s="19" t="str">
        <f aca="false">IF($A188="","",INDEX(Apparitions!$F$1:$F$5001,$A188)&amp;"")</f>
        <v/>
      </c>
      <c r="O188" s="23" t="n">
        <f aca="false">IF(I188="",0,IF(COUNTIF(I$16:I188,I188)=1,1,0))</f>
        <v>0</v>
      </c>
      <c r="P188" s="23" t="n">
        <f aca="false">IF(F188="",0,IF(COUNTIF(F$16:F188,F188)=1,1,0))</f>
        <v>0</v>
      </c>
      <c r="Q188" s="0" t="str">
        <f aca="false">IF(B188="","",B188&amp;"|"&amp;C188)</f>
        <v/>
      </c>
      <c r="R188" s="23" t="n">
        <f aca="false">IF(Q188="",0,IF(COUNTIF(Q$16:Q188,Q188)=1,1,0))</f>
        <v>0</v>
      </c>
    </row>
    <row r="189" customFormat="false" ht="15" hidden="false" customHeight="false" outlineLevel="0" collapsed="false">
      <c r="A189" s="0" t="str">
        <f aca="false">IFERROR(MATCH(174,Apparitions!$N$1:$N$5001,0),"")</f>
        <v/>
      </c>
      <c r="B189" s="19" t="str">
        <f aca="false">IF($A189="","",INDEX(Apparitions!$A$1:$A$5001,$A189)&amp;"")</f>
        <v/>
      </c>
      <c r="C189" s="19" t="str">
        <f aca="false">IF($A189="","",INDEX(Apparitions!$B$1:$B$5001,$A189)&amp;"")</f>
        <v/>
      </c>
      <c r="D189" s="20" t="str">
        <f aca="false">IF($A189="","",INDEX(Apparitions!$L$1:$L$5001,$A189))</f>
        <v/>
      </c>
      <c r="E189" s="19" t="str">
        <f aca="false">IF($A189="","",INDEX(Apparitions!$C$1:$C$5001,$A189)&amp;"")</f>
        <v/>
      </c>
      <c r="F189" s="19" t="str">
        <f aca="false">IF($A189="","",INDEX(Apparitions!$H$1:$H$5001,$A189)&amp;"")</f>
        <v/>
      </c>
      <c r="G189" s="19" t="str">
        <f aca="false">IF($A189="","",INDEX(Apparitions!$I$1:$I$5001,$A189)&amp;"")</f>
        <v/>
      </c>
      <c r="H189" s="19" t="str">
        <f aca="false">IF($A189="","",INDEX(Apparitions!$J$1:$J$5001,$A189)&amp;"")</f>
        <v/>
      </c>
      <c r="I189" s="19" t="str">
        <f aca="false">IF($A189="","",INDEX(Apparitions!$G$1:$G$5001,$A189)&amp;"")</f>
        <v/>
      </c>
      <c r="J189" s="19" t="str">
        <f aca="false">IF($A189="","",INDEX(Apparitions!$M$1:$M$5001,$A189)&amp;"")</f>
        <v/>
      </c>
      <c r="K189" s="21" t="str">
        <f aca="false">IF($A189="","",INDEX(Apparitions!$K$1:$K$5001,$A189))</f>
        <v/>
      </c>
      <c r="L189" s="22" t="str">
        <f aca="false">IF($A189="","",INDEX(Apparitions!$E$1:$E$5001,$A189)&amp;"")</f>
        <v/>
      </c>
      <c r="M189" s="19" t="str">
        <f aca="false">IF($A189="","",INDEX(Apparitions!$F$1:$F$5001,$A189)&amp;"")</f>
        <v/>
      </c>
      <c r="O189" s="23" t="n">
        <f aca="false">IF(I189="",0,IF(COUNTIF(I$16:I189,I189)=1,1,0))</f>
        <v>0</v>
      </c>
      <c r="P189" s="23" t="n">
        <f aca="false">IF(F189="",0,IF(COUNTIF(F$16:F189,F189)=1,1,0))</f>
        <v>0</v>
      </c>
      <c r="Q189" s="0" t="str">
        <f aca="false">IF(B189="","",B189&amp;"|"&amp;C189)</f>
        <v/>
      </c>
      <c r="R189" s="23" t="n">
        <f aca="false">IF(Q189="",0,IF(COUNTIF(Q$16:Q189,Q189)=1,1,0))</f>
        <v>0</v>
      </c>
    </row>
    <row r="190" customFormat="false" ht="15" hidden="false" customHeight="false" outlineLevel="0" collapsed="false">
      <c r="A190" s="0" t="str">
        <f aca="false">IFERROR(MATCH(175,Apparitions!$N$1:$N$5001,0),"")</f>
        <v/>
      </c>
      <c r="B190" s="19" t="str">
        <f aca="false">IF($A190="","",INDEX(Apparitions!$A$1:$A$5001,$A190)&amp;"")</f>
        <v/>
      </c>
      <c r="C190" s="19" t="str">
        <f aca="false">IF($A190="","",INDEX(Apparitions!$B$1:$B$5001,$A190)&amp;"")</f>
        <v/>
      </c>
      <c r="D190" s="20" t="str">
        <f aca="false">IF($A190="","",INDEX(Apparitions!$L$1:$L$5001,$A190))</f>
        <v/>
      </c>
      <c r="E190" s="19" t="str">
        <f aca="false">IF($A190="","",INDEX(Apparitions!$C$1:$C$5001,$A190)&amp;"")</f>
        <v/>
      </c>
      <c r="F190" s="19" t="str">
        <f aca="false">IF($A190="","",INDEX(Apparitions!$H$1:$H$5001,$A190)&amp;"")</f>
        <v/>
      </c>
      <c r="G190" s="19" t="str">
        <f aca="false">IF($A190="","",INDEX(Apparitions!$I$1:$I$5001,$A190)&amp;"")</f>
        <v/>
      </c>
      <c r="H190" s="19" t="str">
        <f aca="false">IF($A190="","",INDEX(Apparitions!$J$1:$J$5001,$A190)&amp;"")</f>
        <v/>
      </c>
      <c r="I190" s="19" t="str">
        <f aca="false">IF($A190="","",INDEX(Apparitions!$G$1:$G$5001,$A190)&amp;"")</f>
        <v/>
      </c>
      <c r="J190" s="19" t="str">
        <f aca="false">IF($A190="","",INDEX(Apparitions!$M$1:$M$5001,$A190)&amp;"")</f>
        <v/>
      </c>
      <c r="K190" s="21" t="str">
        <f aca="false">IF($A190="","",INDEX(Apparitions!$K$1:$K$5001,$A190))</f>
        <v/>
      </c>
      <c r="L190" s="22" t="str">
        <f aca="false">IF($A190="","",INDEX(Apparitions!$E$1:$E$5001,$A190)&amp;"")</f>
        <v/>
      </c>
      <c r="M190" s="19" t="str">
        <f aca="false">IF($A190="","",INDEX(Apparitions!$F$1:$F$5001,$A190)&amp;"")</f>
        <v/>
      </c>
      <c r="O190" s="23" t="n">
        <f aca="false">IF(I190="",0,IF(COUNTIF(I$16:I190,I190)=1,1,0))</f>
        <v>0</v>
      </c>
      <c r="P190" s="23" t="n">
        <f aca="false">IF(F190="",0,IF(COUNTIF(F$16:F190,F190)=1,1,0))</f>
        <v>0</v>
      </c>
      <c r="Q190" s="0" t="str">
        <f aca="false">IF(B190="","",B190&amp;"|"&amp;C190)</f>
        <v/>
      </c>
      <c r="R190" s="23" t="n">
        <f aca="false">IF(Q190="",0,IF(COUNTIF(Q$16:Q190,Q190)=1,1,0))</f>
        <v>0</v>
      </c>
    </row>
    <row r="191" customFormat="false" ht="15" hidden="false" customHeight="false" outlineLevel="0" collapsed="false">
      <c r="A191" s="0" t="str">
        <f aca="false">IFERROR(MATCH(176,Apparitions!$N$1:$N$5001,0),"")</f>
        <v/>
      </c>
      <c r="B191" s="19" t="str">
        <f aca="false">IF($A191="","",INDEX(Apparitions!$A$1:$A$5001,$A191)&amp;"")</f>
        <v/>
      </c>
      <c r="C191" s="19" t="str">
        <f aca="false">IF($A191="","",INDEX(Apparitions!$B$1:$B$5001,$A191)&amp;"")</f>
        <v/>
      </c>
      <c r="D191" s="20" t="str">
        <f aca="false">IF($A191="","",INDEX(Apparitions!$L$1:$L$5001,$A191))</f>
        <v/>
      </c>
      <c r="E191" s="19" t="str">
        <f aca="false">IF($A191="","",INDEX(Apparitions!$C$1:$C$5001,$A191)&amp;"")</f>
        <v/>
      </c>
      <c r="F191" s="19" t="str">
        <f aca="false">IF($A191="","",INDEX(Apparitions!$H$1:$H$5001,$A191)&amp;"")</f>
        <v/>
      </c>
      <c r="G191" s="19" t="str">
        <f aca="false">IF($A191="","",INDEX(Apparitions!$I$1:$I$5001,$A191)&amp;"")</f>
        <v/>
      </c>
      <c r="H191" s="19" t="str">
        <f aca="false">IF($A191="","",INDEX(Apparitions!$J$1:$J$5001,$A191)&amp;"")</f>
        <v/>
      </c>
      <c r="I191" s="19" t="str">
        <f aca="false">IF($A191="","",INDEX(Apparitions!$G$1:$G$5001,$A191)&amp;"")</f>
        <v/>
      </c>
      <c r="J191" s="19" t="str">
        <f aca="false">IF($A191="","",INDEX(Apparitions!$M$1:$M$5001,$A191)&amp;"")</f>
        <v/>
      </c>
      <c r="K191" s="21" t="str">
        <f aca="false">IF($A191="","",INDEX(Apparitions!$K$1:$K$5001,$A191))</f>
        <v/>
      </c>
      <c r="L191" s="22" t="str">
        <f aca="false">IF($A191="","",INDEX(Apparitions!$E$1:$E$5001,$A191)&amp;"")</f>
        <v/>
      </c>
      <c r="M191" s="19" t="str">
        <f aca="false">IF($A191="","",INDEX(Apparitions!$F$1:$F$5001,$A191)&amp;"")</f>
        <v/>
      </c>
      <c r="O191" s="23" t="n">
        <f aca="false">IF(I191="",0,IF(COUNTIF(I$16:I191,I191)=1,1,0))</f>
        <v>0</v>
      </c>
      <c r="P191" s="23" t="n">
        <f aca="false">IF(F191="",0,IF(COUNTIF(F$16:F191,F191)=1,1,0))</f>
        <v>0</v>
      </c>
      <c r="Q191" s="0" t="str">
        <f aca="false">IF(B191="","",B191&amp;"|"&amp;C191)</f>
        <v/>
      </c>
      <c r="R191" s="23" t="n">
        <f aca="false">IF(Q191="",0,IF(COUNTIF(Q$16:Q191,Q191)=1,1,0))</f>
        <v>0</v>
      </c>
    </row>
    <row r="192" customFormat="false" ht="15" hidden="false" customHeight="false" outlineLevel="0" collapsed="false">
      <c r="A192" s="0" t="str">
        <f aca="false">IFERROR(MATCH(177,Apparitions!$N$1:$N$5001,0),"")</f>
        <v/>
      </c>
      <c r="B192" s="19" t="str">
        <f aca="false">IF($A192="","",INDEX(Apparitions!$A$1:$A$5001,$A192)&amp;"")</f>
        <v/>
      </c>
      <c r="C192" s="19" t="str">
        <f aca="false">IF($A192="","",INDEX(Apparitions!$B$1:$B$5001,$A192)&amp;"")</f>
        <v/>
      </c>
      <c r="D192" s="20" t="str">
        <f aca="false">IF($A192="","",INDEX(Apparitions!$L$1:$L$5001,$A192))</f>
        <v/>
      </c>
      <c r="E192" s="19" t="str">
        <f aca="false">IF($A192="","",INDEX(Apparitions!$C$1:$C$5001,$A192)&amp;"")</f>
        <v/>
      </c>
      <c r="F192" s="19" t="str">
        <f aca="false">IF($A192="","",INDEX(Apparitions!$H$1:$H$5001,$A192)&amp;"")</f>
        <v/>
      </c>
      <c r="G192" s="19" t="str">
        <f aca="false">IF($A192="","",INDEX(Apparitions!$I$1:$I$5001,$A192)&amp;"")</f>
        <v/>
      </c>
      <c r="H192" s="19" t="str">
        <f aca="false">IF($A192="","",INDEX(Apparitions!$J$1:$J$5001,$A192)&amp;"")</f>
        <v/>
      </c>
      <c r="I192" s="19" t="str">
        <f aca="false">IF($A192="","",INDEX(Apparitions!$G$1:$G$5001,$A192)&amp;"")</f>
        <v/>
      </c>
      <c r="J192" s="19" t="str">
        <f aca="false">IF($A192="","",INDEX(Apparitions!$M$1:$M$5001,$A192)&amp;"")</f>
        <v/>
      </c>
      <c r="K192" s="21" t="str">
        <f aca="false">IF($A192="","",INDEX(Apparitions!$K$1:$K$5001,$A192))</f>
        <v/>
      </c>
      <c r="L192" s="22" t="str">
        <f aca="false">IF($A192="","",INDEX(Apparitions!$E$1:$E$5001,$A192)&amp;"")</f>
        <v/>
      </c>
      <c r="M192" s="19" t="str">
        <f aca="false">IF($A192="","",INDEX(Apparitions!$F$1:$F$5001,$A192)&amp;"")</f>
        <v/>
      </c>
      <c r="O192" s="23" t="n">
        <f aca="false">IF(I192="",0,IF(COUNTIF(I$16:I192,I192)=1,1,0))</f>
        <v>0</v>
      </c>
      <c r="P192" s="23" t="n">
        <f aca="false">IF(F192="",0,IF(COUNTIF(F$16:F192,F192)=1,1,0))</f>
        <v>0</v>
      </c>
      <c r="Q192" s="0" t="str">
        <f aca="false">IF(B192="","",B192&amp;"|"&amp;C192)</f>
        <v/>
      </c>
      <c r="R192" s="23" t="n">
        <f aca="false">IF(Q192="",0,IF(COUNTIF(Q$16:Q192,Q192)=1,1,0))</f>
        <v>0</v>
      </c>
    </row>
    <row r="193" customFormat="false" ht="15" hidden="false" customHeight="false" outlineLevel="0" collapsed="false">
      <c r="A193" s="0" t="str">
        <f aca="false">IFERROR(MATCH(178,Apparitions!$N$1:$N$5001,0),"")</f>
        <v/>
      </c>
      <c r="B193" s="19" t="str">
        <f aca="false">IF($A193="","",INDEX(Apparitions!$A$1:$A$5001,$A193)&amp;"")</f>
        <v/>
      </c>
      <c r="C193" s="19" t="str">
        <f aca="false">IF($A193="","",INDEX(Apparitions!$B$1:$B$5001,$A193)&amp;"")</f>
        <v/>
      </c>
      <c r="D193" s="20" t="str">
        <f aca="false">IF($A193="","",INDEX(Apparitions!$L$1:$L$5001,$A193))</f>
        <v/>
      </c>
      <c r="E193" s="19" t="str">
        <f aca="false">IF($A193="","",INDEX(Apparitions!$C$1:$C$5001,$A193)&amp;"")</f>
        <v/>
      </c>
      <c r="F193" s="19" t="str">
        <f aca="false">IF($A193="","",INDEX(Apparitions!$H$1:$H$5001,$A193)&amp;"")</f>
        <v/>
      </c>
      <c r="G193" s="19" t="str">
        <f aca="false">IF($A193="","",INDEX(Apparitions!$I$1:$I$5001,$A193)&amp;"")</f>
        <v/>
      </c>
      <c r="H193" s="19" t="str">
        <f aca="false">IF($A193="","",INDEX(Apparitions!$J$1:$J$5001,$A193)&amp;"")</f>
        <v/>
      </c>
      <c r="I193" s="19" t="str">
        <f aca="false">IF($A193="","",INDEX(Apparitions!$G$1:$G$5001,$A193)&amp;"")</f>
        <v/>
      </c>
      <c r="J193" s="19" t="str">
        <f aca="false">IF($A193="","",INDEX(Apparitions!$M$1:$M$5001,$A193)&amp;"")</f>
        <v/>
      </c>
      <c r="K193" s="21" t="str">
        <f aca="false">IF($A193="","",INDEX(Apparitions!$K$1:$K$5001,$A193))</f>
        <v/>
      </c>
      <c r="L193" s="22" t="str">
        <f aca="false">IF($A193="","",INDEX(Apparitions!$E$1:$E$5001,$A193)&amp;"")</f>
        <v/>
      </c>
      <c r="M193" s="19" t="str">
        <f aca="false">IF($A193="","",INDEX(Apparitions!$F$1:$F$5001,$A193)&amp;"")</f>
        <v/>
      </c>
      <c r="O193" s="23" t="n">
        <f aca="false">IF(I193="",0,IF(COUNTIF(I$16:I193,I193)=1,1,0))</f>
        <v>0</v>
      </c>
      <c r="P193" s="23" t="n">
        <f aca="false">IF(F193="",0,IF(COUNTIF(F$16:F193,F193)=1,1,0))</f>
        <v>0</v>
      </c>
      <c r="Q193" s="0" t="str">
        <f aca="false">IF(B193="","",B193&amp;"|"&amp;C193)</f>
        <v/>
      </c>
      <c r="R193" s="23" t="n">
        <f aca="false">IF(Q193="",0,IF(COUNTIF(Q$16:Q193,Q193)=1,1,0))</f>
        <v>0</v>
      </c>
    </row>
    <row r="194" customFormat="false" ht="15" hidden="false" customHeight="false" outlineLevel="0" collapsed="false">
      <c r="A194" s="0" t="str">
        <f aca="false">IFERROR(MATCH(179,Apparitions!$N$1:$N$5001,0),"")</f>
        <v/>
      </c>
      <c r="B194" s="19" t="str">
        <f aca="false">IF($A194="","",INDEX(Apparitions!$A$1:$A$5001,$A194)&amp;"")</f>
        <v/>
      </c>
      <c r="C194" s="19" t="str">
        <f aca="false">IF($A194="","",INDEX(Apparitions!$B$1:$B$5001,$A194)&amp;"")</f>
        <v/>
      </c>
      <c r="D194" s="20" t="str">
        <f aca="false">IF($A194="","",INDEX(Apparitions!$L$1:$L$5001,$A194))</f>
        <v/>
      </c>
      <c r="E194" s="19" t="str">
        <f aca="false">IF($A194="","",INDEX(Apparitions!$C$1:$C$5001,$A194)&amp;"")</f>
        <v/>
      </c>
      <c r="F194" s="19" t="str">
        <f aca="false">IF($A194="","",INDEX(Apparitions!$H$1:$H$5001,$A194)&amp;"")</f>
        <v/>
      </c>
      <c r="G194" s="19" t="str">
        <f aca="false">IF($A194="","",INDEX(Apparitions!$I$1:$I$5001,$A194)&amp;"")</f>
        <v/>
      </c>
      <c r="H194" s="19" t="str">
        <f aca="false">IF($A194="","",INDEX(Apparitions!$J$1:$J$5001,$A194)&amp;"")</f>
        <v/>
      </c>
      <c r="I194" s="19" t="str">
        <f aca="false">IF($A194="","",INDEX(Apparitions!$G$1:$G$5001,$A194)&amp;"")</f>
        <v/>
      </c>
      <c r="J194" s="19" t="str">
        <f aca="false">IF($A194="","",INDEX(Apparitions!$M$1:$M$5001,$A194)&amp;"")</f>
        <v/>
      </c>
      <c r="K194" s="21" t="str">
        <f aca="false">IF($A194="","",INDEX(Apparitions!$K$1:$K$5001,$A194))</f>
        <v/>
      </c>
      <c r="L194" s="22" t="str">
        <f aca="false">IF($A194="","",INDEX(Apparitions!$E$1:$E$5001,$A194)&amp;"")</f>
        <v/>
      </c>
      <c r="M194" s="19" t="str">
        <f aca="false">IF($A194="","",INDEX(Apparitions!$F$1:$F$5001,$A194)&amp;"")</f>
        <v/>
      </c>
      <c r="O194" s="23" t="n">
        <f aca="false">IF(I194="",0,IF(COUNTIF(I$16:I194,I194)=1,1,0))</f>
        <v>0</v>
      </c>
      <c r="P194" s="23" t="n">
        <f aca="false">IF(F194="",0,IF(COUNTIF(F$16:F194,F194)=1,1,0))</f>
        <v>0</v>
      </c>
      <c r="Q194" s="0" t="str">
        <f aca="false">IF(B194="","",B194&amp;"|"&amp;C194)</f>
        <v/>
      </c>
      <c r="R194" s="23" t="n">
        <f aca="false">IF(Q194="",0,IF(COUNTIF(Q$16:Q194,Q194)=1,1,0))</f>
        <v>0</v>
      </c>
    </row>
    <row r="195" customFormat="false" ht="15" hidden="false" customHeight="false" outlineLevel="0" collapsed="false">
      <c r="A195" s="0" t="str">
        <f aca="false">IFERROR(MATCH(180,Apparitions!$N$1:$N$5001,0),"")</f>
        <v/>
      </c>
      <c r="B195" s="19" t="str">
        <f aca="false">IF($A195="","",INDEX(Apparitions!$A$1:$A$5001,$A195)&amp;"")</f>
        <v/>
      </c>
      <c r="C195" s="19" t="str">
        <f aca="false">IF($A195="","",INDEX(Apparitions!$B$1:$B$5001,$A195)&amp;"")</f>
        <v/>
      </c>
      <c r="D195" s="20" t="str">
        <f aca="false">IF($A195="","",INDEX(Apparitions!$L$1:$L$5001,$A195))</f>
        <v/>
      </c>
      <c r="E195" s="19" t="str">
        <f aca="false">IF($A195="","",INDEX(Apparitions!$C$1:$C$5001,$A195)&amp;"")</f>
        <v/>
      </c>
      <c r="F195" s="19" t="str">
        <f aca="false">IF($A195="","",INDEX(Apparitions!$H$1:$H$5001,$A195)&amp;"")</f>
        <v/>
      </c>
      <c r="G195" s="19" t="str">
        <f aca="false">IF($A195="","",INDEX(Apparitions!$I$1:$I$5001,$A195)&amp;"")</f>
        <v/>
      </c>
      <c r="H195" s="19" t="str">
        <f aca="false">IF($A195="","",INDEX(Apparitions!$J$1:$J$5001,$A195)&amp;"")</f>
        <v/>
      </c>
      <c r="I195" s="19" t="str">
        <f aca="false">IF($A195="","",INDEX(Apparitions!$G$1:$G$5001,$A195)&amp;"")</f>
        <v/>
      </c>
      <c r="J195" s="19" t="str">
        <f aca="false">IF($A195="","",INDEX(Apparitions!$M$1:$M$5001,$A195)&amp;"")</f>
        <v/>
      </c>
      <c r="K195" s="21" t="str">
        <f aca="false">IF($A195="","",INDEX(Apparitions!$K$1:$K$5001,$A195))</f>
        <v/>
      </c>
      <c r="L195" s="22" t="str">
        <f aca="false">IF($A195="","",INDEX(Apparitions!$E$1:$E$5001,$A195)&amp;"")</f>
        <v/>
      </c>
      <c r="M195" s="19" t="str">
        <f aca="false">IF($A195="","",INDEX(Apparitions!$F$1:$F$5001,$A195)&amp;"")</f>
        <v/>
      </c>
      <c r="O195" s="23" t="n">
        <f aca="false">IF(I195="",0,IF(COUNTIF(I$16:I195,I195)=1,1,0))</f>
        <v>0</v>
      </c>
      <c r="P195" s="23" t="n">
        <f aca="false">IF(F195="",0,IF(COUNTIF(F$16:F195,F195)=1,1,0))</f>
        <v>0</v>
      </c>
      <c r="Q195" s="0" t="str">
        <f aca="false">IF(B195="","",B195&amp;"|"&amp;C195)</f>
        <v/>
      </c>
      <c r="R195" s="23" t="n">
        <f aca="false">IF(Q195="",0,IF(COUNTIF(Q$16:Q195,Q195)=1,1,0))</f>
        <v>0</v>
      </c>
    </row>
    <row r="196" customFormat="false" ht="15" hidden="false" customHeight="false" outlineLevel="0" collapsed="false">
      <c r="A196" s="0" t="str">
        <f aca="false">IFERROR(MATCH(181,Apparitions!$N$1:$N$5001,0),"")</f>
        <v/>
      </c>
      <c r="B196" s="19" t="str">
        <f aca="false">IF($A196="","",INDEX(Apparitions!$A$1:$A$5001,$A196)&amp;"")</f>
        <v/>
      </c>
      <c r="C196" s="19" t="str">
        <f aca="false">IF($A196="","",INDEX(Apparitions!$B$1:$B$5001,$A196)&amp;"")</f>
        <v/>
      </c>
      <c r="D196" s="20" t="str">
        <f aca="false">IF($A196="","",INDEX(Apparitions!$L$1:$L$5001,$A196))</f>
        <v/>
      </c>
      <c r="E196" s="19" t="str">
        <f aca="false">IF($A196="","",INDEX(Apparitions!$C$1:$C$5001,$A196)&amp;"")</f>
        <v/>
      </c>
      <c r="F196" s="19" t="str">
        <f aca="false">IF($A196="","",INDEX(Apparitions!$H$1:$H$5001,$A196)&amp;"")</f>
        <v/>
      </c>
      <c r="G196" s="19" t="str">
        <f aca="false">IF($A196="","",INDEX(Apparitions!$I$1:$I$5001,$A196)&amp;"")</f>
        <v/>
      </c>
      <c r="H196" s="19" t="str">
        <f aca="false">IF($A196="","",INDEX(Apparitions!$J$1:$J$5001,$A196)&amp;"")</f>
        <v/>
      </c>
      <c r="I196" s="19" t="str">
        <f aca="false">IF($A196="","",INDEX(Apparitions!$G$1:$G$5001,$A196)&amp;"")</f>
        <v/>
      </c>
      <c r="J196" s="19" t="str">
        <f aca="false">IF($A196="","",INDEX(Apparitions!$M$1:$M$5001,$A196)&amp;"")</f>
        <v/>
      </c>
      <c r="K196" s="21" t="str">
        <f aca="false">IF($A196="","",INDEX(Apparitions!$K$1:$K$5001,$A196))</f>
        <v/>
      </c>
      <c r="L196" s="22" t="str">
        <f aca="false">IF($A196="","",INDEX(Apparitions!$E$1:$E$5001,$A196)&amp;"")</f>
        <v/>
      </c>
      <c r="M196" s="19" t="str">
        <f aca="false">IF($A196="","",INDEX(Apparitions!$F$1:$F$5001,$A196)&amp;"")</f>
        <v/>
      </c>
      <c r="O196" s="23" t="n">
        <f aca="false">IF(I196="",0,IF(COUNTIF(I$16:I196,I196)=1,1,0))</f>
        <v>0</v>
      </c>
      <c r="P196" s="23" t="n">
        <f aca="false">IF(F196="",0,IF(COUNTIF(F$16:F196,F196)=1,1,0))</f>
        <v>0</v>
      </c>
      <c r="Q196" s="0" t="str">
        <f aca="false">IF(B196="","",B196&amp;"|"&amp;C196)</f>
        <v/>
      </c>
      <c r="R196" s="23" t="n">
        <f aca="false">IF(Q196="",0,IF(COUNTIF(Q$16:Q196,Q196)=1,1,0))</f>
        <v>0</v>
      </c>
    </row>
    <row r="197" customFormat="false" ht="15" hidden="false" customHeight="false" outlineLevel="0" collapsed="false">
      <c r="A197" s="0" t="str">
        <f aca="false">IFERROR(MATCH(182,Apparitions!$N$1:$N$5001,0),"")</f>
        <v/>
      </c>
      <c r="B197" s="19" t="str">
        <f aca="false">IF($A197="","",INDEX(Apparitions!$A$1:$A$5001,$A197)&amp;"")</f>
        <v/>
      </c>
      <c r="C197" s="19" t="str">
        <f aca="false">IF($A197="","",INDEX(Apparitions!$B$1:$B$5001,$A197)&amp;"")</f>
        <v/>
      </c>
      <c r="D197" s="20" t="str">
        <f aca="false">IF($A197="","",INDEX(Apparitions!$L$1:$L$5001,$A197))</f>
        <v/>
      </c>
      <c r="E197" s="19" t="str">
        <f aca="false">IF($A197="","",INDEX(Apparitions!$C$1:$C$5001,$A197)&amp;"")</f>
        <v/>
      </c>
      <c r="F197" s="19" t="str">
        <f aca="false">IF($A197="","",INDEX(Apparitions!$H$1:$H$5001,$A197)&amp;"")</f>
        <v/>
      </c>
      <c r="G197" s="19" t="str">
        <f aca="false">IF($A197="","",INDEX(Apparitions!$I$1:$I$5001,$A197)&amp;"")</f>
        <v/>
      </c>
      <c r="H197" s="19" t="str">
        <f aca="false">IF($A197="","",INDEX(Apparitions!$J$1:$J$5001,$A197)&amp;"")</f>
        <v/>
      </c>
      <c r="I197" s="19" t="str">
        <f aca="false">IF($A197="","",INDEX(Apparitions!$G$1:$G$5001,$A197)&amp;"")</f>
        <v/>
      </c>
      <c r="J197" s="19" t="str">
        <f aca="false">IF($A197="","",INDEX(Apparitions!$M$1:$M$5001,$A197)&amp;"")</f>
        <v/>
      </c>
      <c r="K197" s="21" t="str">
        <f aca="false">IF($A197="","",INDEX(Apparitions!$K$1:$K$5001,$A197))</f>
        <v/>
      </c>
      <c r="L197" s="22" t="str">
        <f aca="false">IF($A197="","",INDEX(Apparitions!$E$1:$E$5001,$A197)&amp;"")</f>
        <v/>
      </c>
      <c r="M197" s="19" t="str">
        <f aca="false">IF($A197="","",INDEX(Apparitions!$F$1:$F$5001,$A197)&amp;"")</f>
        <v/>
      </c>
      <c r="O197" s="23" t="n">
        <f aca="false">IF(I197="",0,IF(COUNTIF(I$16:I197,I197)=1,1,0))</f>
        <v>0</v>
      </c>
      <c r="P197" s="23" t="n">
        <f aca="false">IF(F197="",0,IF(COUNTIF(F$16:F197,F197)=1,1,0))</f>
        <v>0</v>
      </c>
      <c r="Q197" s="0" t="str">
        <f aca="false">IF(B197="","",B197&amp;"|"&amp;C197)</f>
        <v/>
      </c>
      <c r="R197" s="23" t="n">
        <f aca="false">IF(Q197="",0,IF(COUNTIF(Q$16:Q197,Q197)=1,1,0))</f>
        <v>0</v>
      </c>
    </row>
    <row r="198" customFormat="false" ht="15" hidden="false" customHeight="false" outlineLevel="0" collapsed="false">
      <c r="A198" s="0" t="str">
        <f aca="false">IFERROR(MATCH(183,Apparitions!$N$1:$N$5001,0),"")</f>
        <v/>
      </c>
      <c r="B198" s="19" t="str">
        <f aca="false">IF($A198="","",INDEX(Apparitions!$A$1:$A$5001,$A198)&amp;"")</f>
        <v/>
      </c>
      <c r="C198" s="19" t="str">
        <f aca="false">IF($A198="","",INDEX(Apparitions!$B$1:$B$5001,$A198)&amp;"")</f>
        <v/>
      </c>
      <c r="D198" s="20" t="str">
        <f aca="false">IF($A198="","",INDEX(Apparitions!$L$1:$L$5001,$A198))</f>
        <v/>
      </c>
      <c r="E198" s="19" t="str">
        <f aca="false">IF($A198="","",INDEX(Apparitions!$C$1:$C$5001,$A198)&amp;"")</f>
        <v/>
      </c>
      <c r="F198" s="19" t="str">
        <f aca="false">IF($A198="","",INDEX(Apparitions!$H$1:$H$5001,$A198)&amp;"")</f>
        <v/>
      </c>
      <c r="G198" s="19" t="str">
        <f aca="false">IF($A198="","",INDEX(Apparitions!$I$1:$I$5001,$A198)&amp;"")</f>
        <v/>
      </c>
      <c r="H198" s="19" t="str">
        <f aca="false">IF($A198="","",INDEX(Apparitions!$J$1:$J$5001,$A198)&amp;"")</f>
        <v/>
      </c>
      <c r="I198" s="19" t="str">
        <f aca="false">IF($A198="","",INDEX(Apparitions!$G$1:$G$5001,$A198)&amp;"")</f>
        <v/>
      </c>
      <c r="J198" s="19" t="str">
        <f aca="false">IF($A198="","",INDEX(Apparitions!$M$1:$M$5001,$A198)&amp;"")</f>
        <v/>
      </c>
      <c r="K198" s="21" t="str">
        <f aca="false">IF($A198="","",INDEX(Apparitions!$K$1:$K$5001,$A198))</f>
        <v/>
      </c>
      <c r="L198" s="22" t="str">
        <f aca="false">IF($A198="","",INDEX(Apparitions!$E$1:$E$5001,$A198)&amp;"")</f>
        <v/>
      </c>
      <c r="M198" s="19" t="str">
        <f aca="false">IF($A198="","",INDEX(Apparitions!$F$1:$F$5001,$A198)&amp;"")</f>
        <v/>
      </c>
      <c r="O198" s="23" t="n">
        <f aca="false">IF(I198="",0,IF(COUNTIF(I$16:I198,I198)=1,1,0))</f>
        <v>0</v>
      </c>
      <c r="P198" s="23" t="n">
        <f aca="false">IF(F198="",0,IF(COUNTIF(F$16:F198,F198)=1,1,0))</f>
        <v>0</v>
      </c>
      <c r="Q198" s="0" t="str">
        <f aca="false">IF(B198="","",B198&amp;"|"&amp;C198)</f>
        <v/>
      </c>
      <c r="R198" s="23" t="n">
        <f aca="false">IF(Q198="",0,IF(COUNTIF(Q$16:Q198,Q198)=1,1,0))</f>
        <v>0</v>
      </c>
    </row>
    <row r="199" customFormat="false" ht="15" hidden="false" customHeight="false" outlineLevel="0" collapsed="false">
      <c r="A199" s="0" t="str">
        <f aca="false">IFERROR(MATCH(184,Apparitions!$N$1:$N$5001,0),"")</f>
        <v/>
      </c>
      <c r="B199" s="19" t="str">
        <f aca="false">IF($A199="","",INDEX(Apparitions!$A$1:$A$5001,$A199)&amp;"")</f>
        <v/>
      </c>
      <c r="C199" s="19" t="str">
        <f aca="false">IF($A199="","",INDEX(Apparitions!$B$1:$B$5001,$A199)&amp;"")</f>
        <v/>
      </c>
      <c r="D199" s="20" t="str">
        <f aca="false">IF($A199="","",INDEX(Apparitions!$L$1:$L$5001,$A199))</f>
        <v/>
      </c>
      <c r="E199" s="19" t="str">
        <f aca="false">IF($A199="","",INDEX(Apparitions!$C$1:$C$5001,$A199)&amp;"")</f>
        <v/>
      </c>
      <c r="F199" s="19" t="str">
        <f aca="false">IF($A199="","",INDEX(Apparitions!$H$1:$H$5001,$A199)&amp;"")</f>
        <v/>
      </c>
      <c r="G199" s="19" t="str">
        <f aca="false">IF($A199="","",INDEX(Apparitions!$I$1:$I$5001,$A199)&amp;"")</f>
        <v/>
      </c>
      <c r="H199" s="19" t="str">
        <f aca="false">IF($A199="","",INDEX(Apparitions!$J$1:$J$5001,$A199)&amp;"")</f>
        <v/>
      </c>
      <c r="I199" s="19" t="str">
        <f aca="false">IF($A199="","",INDEX(Apparitions!$G$1:$G$5001,$A199)&amp;"")</f>
        <v/>
      </c>
      <c r="J199" s="19" t="str">
        <f aca="false">IF($A199="","",INDEX(Apparitions!$M$1:$M$5001,$A199)&amp;"")</f>
        <v/>
      </c>
      <c r="K199" s="21" t="str">
        <f aca="false">IF($A199="","",INDEX(Apparitions!$K$1:$K$5001,$A199))</f>
        <v/>
      </c>
      <c r="L199" s="22" t="str">
        <f aca="false">IF($A199="","",INDEX(Apparitions!$E$1:$E$5001,$A199)&amp;"")</f>
        <v/>
      </c>
      <c r="M199" s="19" t="str">
        <f aca="false">IF($A199="","",INDEX(Apparitions!$F$1:$F$5001,$A199)&amp;"")</f>
        <v/>
      </c>
      <c r="O199" s="23" t="n">
        <f aca="false">IF(I199="",0,IF(COUNTIF(I$16:I199,I199)=1,1,0))</f>
        <v>0</v>
      </c>
      <c r="P199" s="23" t="n">
        <f aca="false">IF(F199="",0,IF(COUNTIF(F$16:F199,F199)=1,1,0))</f>
        <v>0</v>
      </c>
      <c r="Q199" s="0" t="str">
        <f aca="false">IF(B199="","",B199&amp;"|"&amp;C199)</f>
        <v/>
      </c>
      <c r="R199" s="23" t="n">
        <f aca="false">IF(Q199="",0,IF(COUNTIF(Q$16:Q199,Q199)=1,1,0))</f>
        <v>0</v>
      </c>
    </row>
    <row r="200" customFormat="false" ht="15" hidden="false" customHeight="false" outlineLevel="0" collapsed="false">
      <c r="A200" s="0" t="str">
        <f aca="false">IFERROR(MATCH(185,Apparitions!$N$1:$N$5001,0),"")</f>
        <v/>
      </c>
      <c r="B200" s="19" t="str">
        <f aca="false">IF($A200="","",INDEX(Apparitions!$A$1:$A$5001,$A200)&amp;"")</f>
        <v/>
      </c>
      <c r="C200" s="19" t="str">
        <f aca="false">IF($A200="","",INDEX(Apparitions!$B$1:$B$5001,$A200)&amp;"")</f>
        <v/>
      </c>
      <c r="D200" s="20" t="str">
        <f aca="false">IF($A200="","",INDEX(Apparitions!$L$1:$L$5001,$A200))</f>
        <v/>
      </c>
      <c r="E200" s="19" t="str">
        <f aca="false">IF($A200="","",INDEX(Apparitions!$C$1:$C$5001,$A200)&amp;"")</f>
        <v/>
      </c>
      <c r="F200" s="19" t="str">
        <f aca="false">IF($A200="","",INDEX(Apparitions!$H$1:$H$5001,$A200)&amp;"")</f>
        <v/>
      </c>
      <c r="G200" s="19" t="str">
        <f aca="false">IF($A200="","",INDEX(Apparitions!$I$1:$I$5001,$A200)&amp;"")</f>
        <v/>
      </c>
      <c r="H200" s="19" t="str">
        <f aca="false">IF($A200="","",INDEX(Apparitions!$J$1:$J$5001,$A200)&amp;"")</f>
        <v/>
      </c>
      <c r="I200" s="19" t="str">
        <f aca="false">IF($A200="","",INDEX(Apparitions!$G$1:$G$5001,$A200)&amp;"")</f>
        <v/>
      </c>
      <c r="J200" s="19" t="str">
        <f aca="false">IF($A200="","",INDEX(Apparitions!$M$1:$M$5001,$A200)&amp;"")</f>
        <v/>
      </c>
      <c r="K200" s="21" t="str">
        <f aca="false">IF($A200="","",INDEX(Apparitions!$K$1:$K$5001,$A200))</f>
        <v/>
      </c>
      <c r="L200" s="22" t="str">
        <f aca="false">IF($A200="","",INDEX(Apparitions!$E$1:$E$5001,$A200)&amp;"")</f>
        <v/>
      </c>
      <c r="M200" s="19" t="str">
        <f aca="false">IF($A200="","",INDEX(Apparitions!$F$1:$F$5001,$A200)&amp;"")</f>
        <v/>
      </c>
      <c r="O200" s="23" t="n">
        <f aca="false">IF(I200="",0,IF(COUNTIF(I$16:I200,I200)=1,1,0))</f>
        <v>0</v>
      </c>
      <c r="P200" s="23" t="n">
        <f aca="false">IF(F200="",0,IF(COUNTIF(F$16:F200,F200)=1,1,0))</f>
        <v>0</v>
      </c>
      <c r="Q200" s="0" t="str">
        <f aca="false">IF(B200="","",B200&amp;"|"&amp;C200)</f>
        <v/>
      </c>
      <c r="R200" s="23" t="n">
        <f aca="false">IF(Q200="",0,IF(COUNTIF(Q$16:Q200,Q200)=1,1,0))</f>
        <v>0</v>
      </c>
    </row>
    <row r="201" customFormat="false" ht="15" hidden="false" customHeight="false" outlineLevel="0" collapsed="false">
      <c r="A201" s="0" t="str">
        <f aca="false">IFERROR(MATCH(186,Apparitions!$N$1:$N$5001,0),"")</f>
        <v/>
      </c>
      <c r="B201" s="19" t="str">
        <f aca="false">IF($A201="","",INDEX(Apparitions!$A$1:$A$5001,$A201)&amp;"")</f>
        <v/>
      </c>
      <c r="C201" s="19" t="str">
        <f aca="false">IF($A201="","",INDEX(Apparitions!$B$1:$B$5001,$A201)&amp;"")</f>
        <v/>
      </c>
      <c r="D201" s="20" t="str">
        <f aca="false">IF($A201="","",INDEX(Apparitions!$L$1:$L$5001,$A201))</f>
        <v/>
      </c>
      <c r="E201" s="19" t="str">
        <f aca="false">IF($A201="","",INDEX(Apparitions!$C$1:$C$5001,$A201)&amp;"")</f>
        <v/>
      </c>
      <c r="F201" s="19" t="str">
        <f aca="false">IF($A201="","",INDEX(Apparitions!$H$1:$H$5001,$A201)&amp;"")</f>
        <v/>
      </c>
      <c r="G201" s="19" t="str">
        <f aca="false">IF($A201="","",INDEX(Apparitions!$I$1:$I$5001,$A201)&amp;"")</f>
        <v/>
      </c>
      <c r="H201" s="19" t="str">
        <f aca="false">IF($A201="","",INDEX(Apparitions!$J$1:$J$5001,$A201)&amp;"")</f>
        <v/>
      </c>
      <c r="I201" s="19" t="str">
        <f aca="false">IF($A201="","",INDEX(Apparitions!$G$1:$G$5001,$A201)&amp;"")</f>
        <v/>
      </c>
      <c r="J201" s="19" t="str">
        <f aca="false">IF($A201="","",INDEX(Apparitions!$M$1:$M$5001,$A201)&amp;"")</f>
        <v/>
      </c>
      <c r="K201" s="21" t="str">
        <f aca="false">IF($A201="","",INDEX(Apparitions!$K$1:$K$5001,$A201))</f>
        <v/>
      </c>
      <c r="L201" s="22" t="str">
        <f aca="false">IF($A201="","",INDEX(Apparitions!$E$1:$E$5001,$A201)&amp;"")</f>
        <v/>
      </c>
      <c r="M201" s="19" t="str">
        <f aca="false">IF($A201="","",INDEX(Apparitions!$F$1:$F$5001,$A201)&amp;"")</f>
        <v/>
      </c>
      <c r="O201" s="23" t="n">
        <f aca="false">IF(I201="",0,IF(COUNTIF(I$16:I201,I201)=1,1,0))</f>
        <v>0</v>
      </c>
      <c r="P201" s="23" t="n">
        <f aca="false">IF(F201="",0,IF(COUNTIF(F$16:F201,F201)=1,1,0))</f>
        <v>0</v>
      </c>
      <c r="Q201" s="0" t="str">
        <f aca="false">IF(B201="","",B201&amp;"|"&amp;C201)</f>
        <v/>
      </c>
      <c r="R201" s="23" t="n">
        <f aca="false">IF(Q201="",0,IF(COUNTIF(Q$16:Q201,Q201)=1,1,0))</f>
        <v>0</v>
      </c>
    </row>
    <row r="202" customFormat="false" ht="15" hidden="false" customHeight="false" outlineLevel="0" collapsed="false">
      <c r="A202" s="0" t="str">
        <f aca="false">IFERROR(MATCH(187,Apparitions!$N$1:$N$5001,0),"")</f>
        <v/>
      </c>
      <c r="B202" s="19" t="str">
        <f aca="false">IF($A202="","",INDEX(Apparitions!$A$1:$A$5001,$A202)&amp;"")</f>
        <v/>
      </c>
      <c r="C202" s="19" t="str">
        <f aca="false">IF($A202="","",INDEX(Apparitions!$B$1:$B$5001,$A202)&amp;"")</f>
        <v/>
      </c>
      <c r="D202" s="20" t="str">
        <f aca="false">IF($A202="","",INDEX(Apparitions!$L$1:$L$5001,$A202))</f>
        <v/>
      </c>
      <c r="E202" s="19" t="str">
        <f aca="false">IF($A202="","",INDEX(Apparitions!$C$1:$C$5001,$A202)&amp;"")</f>
        <v/>
      </c>
      <c r="F202" s="19" t="str">
        <f aca="false">IF($A202="","",INDEX(Apparitions!$H$1:$H$5001,$A202)&amp;"")</f>
        <v/>
      </c>
      <c r="G202" s="19" t="str">
        <f aca="false">IF($A202="","",INDEX(Apparitions!$I$1:$I$5001,$A202)&amp;"")</f>
        <v/>
      </c>
      <c r="H202" s="19" t="str">
        <f aca="false">IF($A202="","",INDEX(Apparitions!$J$1:$J$5001,$A202)&amp;"")</f>
        <v/>
      </c>
      <c r="I202" s="19" t="str">
        <f aca="false">IF($A202="","",INDEX(Apparitions!$G$1:$G$5001,$A202)&amp;"")</f>
        <v/>
      </c>
      <c r="J202" s="19" t="str">
        <f aca="false">IF($A202="","",INDEX(Apparitions!$M$1:$M$5001,$A202)&amp;"")</f>
        <v/>
      </c>
      <c r="K202" s="21" t="str">
        <f aca="false">IF($A202="","",INDEX(Apparitions!$K$1:$K$5001,$A202))</f>
        <v/>
      </c>
      <c r="L202" s="22" t="str">
        <f aca="false">IF($A202="","",INDEX(Apparitions!$E$1:$E$5001,$A202)&amp;"")</f>
        <v/>
      </c>
      <c r="M202" s="19" t="str">
        <f aca="false">IF($A202="","",INDEX(Apparitions!$F$1:$F$5001,$A202)&amp;"")</f>
        <v/>
      </c>
      <c r="O202" s="23" t="n">
        <f aca="false">IF(I202="",0,IF(COUNTIF(I$16:I202,I202)=1,1,0))</f>
        <v>0</v>
      </c>
      <c r="P202" s="23" t="n">
        <f aca="false">IF(F202="",0,IF(COUNTIF(F$16:F202,F202)=1,1,0))</f>
        <v>0</v>
      </c>
      <c r="Q202" s="0" t="str">
        <f aca="false">IF(B202="","",B202&amp;"|"&amp;C202)</f>
        <v/>
      </c>
      <c r="R202" s="23" t="n">
        <f aca="false">IF(Q202="",0,IF(COUNTIF(Q$16:Q202,Q202)=1,1,0))</f>
        <v>0</v>
      </c>
    </row>
    <row r="203" customFormat="false" ht="15" hidden="false" customHeight="false" outlineLevel="0" collapsed="false">
      <c r="A203" s="0" t="str">
        <f aca="false">IFERROR(MATCH(188,Apparitions!$N$1:$N$5001,0),"")</f>
        <v/>
      </c>
      <c r="B203" s="19" t="str">
        <f aca="false">IF($A203="","",INDEX(Apparitions!$A$1:$A$5001,$A203)&amp;"")</f>
        <v/>
      </c>
      <c r="C203" s="19" t="str">
        <f aca="false">IF($A203="","",INDEX(Apparitions!$B$1:$B$5001,$A203)&amp;"")</f>
        <v/>
      </c>
      <c r="D203" s="20" t="str">
        <f aca="false">IF($A203="","",INDEX(Apparitions!$L$1:$L$5001,$A203))</f>
        <v/>
      </c>
      <c r="E203" s="19" t="str">
        <f aca="false">IF($A203="","",INDEX(Apparitions!$C$1:$C$5001,$A203)&amp;"")</f>
        <v/>
      </c>
      <c r="F203" s="19" t="str">
        <f aca="false">IF($A203="","",INDEX(Apparitions!$H$1:$H$5001,$A203)&amp;"")</f>
        <v/>
      </c>
      <c r="G203" s="19" t="str">
        <f aca="false">IF($A203="","",INDEX(Apparitions!$I$1:$I$5001,$A203)&amp;"")</f>
        <v/>
      </c>
      <c r="H203" s="19" t="str">
        <f aca="false">IF($A203="","",INDEX(Apparitions!$J$1:$J$5001,$A203)&amp;"")</f>
        <v/>
      </c>
      <c r="I203" s="19" t="str">
        <f aca="false">IF($A203="","",INDEX(Apparitions!$G$1:$G$5001,$A203)&amp;"")</f>
        <v/>
      </c>
      <c r="J203" s="19" t="str">
        <f aca="false">IF($A203="","",INDEX(Apparitions!$M$1:$M$5001,$A203)&amp;"")</f>
        <v/>
      </c>
      <c r="K203" s="21" t="str">
        <f aca="false">IF($A203="","",INDEX(Apparitions!$K$1:$K$5001,$A203))</f>
        <v/>
      </c>
      <c r="L203" s="22" t="str">
        <f aca="false">IF($A203="","",INDEX(Apparitions!$E$1:$E$5001,$A203)&amp;"")</f>
        <v/>
      </c>
      <c r="M203" s="19" t="str">
        <f aca="false">IF($A203="","",INDEX(Apparitions!$F$1:$F$5001,$A203)&amp;"")</f>
        <v/>
      </c>
      <c r="O203" s="23" t="n">
        <f aca="false">IF(I203="",0,IF(COUNTIF(I$16:I203,I203)=1,1,0))</f>
        <v>0</v>
      </c>
      <c r="P203" s="23" t="n">
        <f aca="false">IF(F203="",0,IF(COUNTIF(F$16:F203,F203)=1,1,0))</f>
        <v>0</v>
      </c>
      <c r="Q203" s="0" t="str">
        <f aca="false">IF(B203="","",B203&amp;"|"&amp;C203)</f>
        <v/>
      </c>
      <c r="R203" s="23" t="n">
        <f aca="false">IF(Q203="",0,IF(COUNTIF(Q$16:Q203,Q203)=1,1,0))</f>
        <v>0</v>
      </c>
    </row>
    <row r="204" customFormat="false" ht="15" hidden="false" customHeight="false" outlineLevel="0" collapsed="false">
      <c r="A204" s="0" t="str">
        <f aca="false">IFERROR(MATCH(189,Apparitions!$N$1:$N$5001,0),"")</f>
        <v/>
      </c>
      <c r="B204" s="19" t="str">
        <f aca="false">IF($A204="","",INDEX(Apparitions!$A$1:$A$5001,$A204)&amp;"")</f>
        <v/>
      </c>
      <c r="C204" s="19" t="str">
        <f aca="false">IF($A204="","",INDEX(Apparitions!$B$1:$B$5001,$A204)&amp;"")</f>
        <v/>
      </c>
      <c r="D204" s="20" t="str">
        <f aca="false">IF($A204="","",INDEX(Apparitions!$L$1:$L$5001,$A204))</f>
        <v/>
      </c>
      <c r="E204" s="19" t="str">
        <f aca="false">IF($A204="","",INDEX(Apparitions!$C$1:$C$5001,$A204)&amp;"")</f>
        <v/>
      </c>
      <c r="F204" s="19" t="str">
        <f aca="false">IF($A204="","",INDEX(Apparitions!$H$1:$H$5001,$A204)&amp;"")</f>
        <v/>
      </c>
      <c r="G204" s="19" t="str">
        <f aca="false">IF($A204="","",INDEX(Apparitions!$I$1:$I$5001,$A204)&amp;"")</f>
        <v/>
      </c>
      <c r="H204" s="19" t="str">
        <f aca="false">IF($A204="","",INDEX(Apparitions!$J$1:$J$5001,$A204)&amp;"")</f>
        <v/>
      </c>
      <c r="I204" s="19" t="str">
        <f aca="false">IF($A204="","",INDEX(Apparitions!$G$1:$G$5001,$A204)&amp;"")</f>
        <v/>
      </c>
      <c r="J204" s="19" t="str">
        <f aca="false">IF($A204="","",INDEX(Apparitions!$M$1:$M$5001,$A204)&amp;"")</f>
        <v/>
      </c>
      <c r="K204" s="21" t="str">
        <f aca="false">IF($A204="","",INDEX(Apparitions!$K$1:$K$5001,$A204))</f>
        <v/>
      </c>
      <c r="L204" s="22" t="str">
        <f aca="false">IF($A204="","",INDEX(Apparitions!$E$1:$E$5001,$A204)&amp;"")</f>
        <v/>
      </c>
      <c r="M204" s="19" t="str">
        <f aca="false">IF($A204="","",INDEX(Apparitions!$F$1:$F$5001,$A204)&amp;"")</f>
        <v/>
      </c>
      <c r="O204" s="23" t="n">
        <f aca="false">IF(I204="",0,IF(COUNTIF(I$16:I204,I204)=1,1,0))</f>
        <v>0</v>
      </c>
      <c r="P204" s="23" t="n">
        <f aca="false">IF(F204="",0,IF(COUNTIF(F$16:F204,F204)=1,1,0))</f>
        <v>0</v>
      </c>
      <c r="Q204" s="0" t="str">
        <f aca="false">IF(B204="","",B204&amp;"|"&amp;C204)</f>
        <v/>
      </c>
      <c r="R204" s="23" t="n">
        <f aca="false">IF(Q204="",0,IF(COUNTIF(Q$16:Q204,Q204)=1,1,0))</f>
        <v>0</v>
      </c>
    </row>
    <row r="205" customFormat="false" ht="15" hidden="false" customHeight="false" outlineLevel="0" collapsed="false">
      <c r="A205" s="0" t="str">
        <f aca="false">IFERROR(MATCH(190,Apparitions!$N$1:$N$5001,0),"")</f>
        <v/>
      </c>
      <c r="B205" s="19" t="str">
        <f aca="false">IF($A205="","",INDEX(Apparitions!$A$1:$A$5001,$A205)&amp;"")</f>
        <v/>
      </c>
      <c r="C205" s="19" t="str">
        <f aca="false">IF($A205="","",INDEX(Apparitions!$B$1:$B$5001,$A205)&amp;"")</f>
        <v/>
      </c>
      <c r="D205" s="20" t="str">
        <f aca="false">IF($A205="","",INDEX(Apparitions!$L$1:$L$5001,$A205))</f>
        <v/>
      </c>
      <c r="E205" s="19" t="str">
        <f aca="false">IF($A205="","",INDEX(Apparitions!$C$1:$C$5001,$A205)&amp;"")</f>
        <v/>
      </c>
      <c r="F205" s="19" t="str">
        <f aca="false">IF($A205="","",INDEX(Apparitions!$H$1:$H$5001,$A205)&amp;"")</f>
        <v/>
      </c>
      <c r="G205" s="19" t="str">
        <f aca="false">IF($A205="","",INDEX(Apparitions!$I$1:$I$5001,$A205)&amp;"")</f>
        <v/>
      </c>
      <c r="H205" s="19" t="str">
        <f aca="false">IF($A205="","",INDEX(Apparitions!$J$1:$J$5001,$A205)&amp;"")</f>
        <v/>
      </c>
      <c r="I205" s="19" t="str">
        <f aca="false">IF($A205="","",INDEX(Apparitions!$G$1:$G$5001,$A205)&amp;"")</f>
        <v/>
      </c>
      <c r="J205" s="19" t="str">
        <f aca="false">IF($A205="","",INDEX(Apparitions!$M$1:$M$5001,$A205)&amp;"")</f>
        <v/>
      </c>
      <c r="K205" s="21" t="str">
        <f aca="false">IF($A205="","",INDEX(Apparitions!$K$1:$K$5001,$A205))</f>
        <v/>
      </c>
      <c r="L205" s="22" t="str">
        <f aca="false">IF($A205="","",INDEX(Apparitions!$E$1:$E$5001,$A205)&amp;"")</f>
        <v/>
      </c>
      <c r="M205" s="19" t="str">
        <f aca="false">IF($A205="","",INDEX(Apparitions!$F$1:$F$5001,$A205)&amp;"")</f>
        <v/>
      </c>
      <c r="O205" s="23" t="n">
        <f aca="false">IF(I205="",0,IF(COUNTIF(I$16:I205,I205)=1,1,0))</f>
        <v>0</v>
      </c>
      <c r="P205" s="23" t="n">
        <f aca="false">IF(F205="",0,IF(COUNTIF(F$16:F205,F205)=1,1,0))</f>
        <v>0</v>
      </c>
      <c r="Q205" s="0" t="str">
        <f aca="false">IF(B205="","",B205&amp;"|"&amp;C205)</f>
        <v/>
      </c>
      <c r="R205" s="23" t="n">
        <f aca="false">IF(Q205="",0,IF(COUNTIF(Q$16:Q205,Q205)=1,1,0))</f>
        <v>0</v>
      </c>
    </row>
    <row r="206" customFormat="false" ht="15" hidden="false" customHeight="false" outlineLevel="0" collapsed="false">
      <c r="A206" s="0" t="str">
        <f aca="false">IFERROR(MATCH(191,Apparitions!$N$1:$N$5001,0),"")</f>
        <v/>
      </c>
      <c r="B206" s="19" t="str">
        <f aca="false">IF($A206="","",INDEX(Apparitions!$A$1:$A$5001,$A206)&amp;"")</f>
        <v/>
      </c>
      <c r="C206" s="19" t="str">
        <f aca="false">IF($A206="","",INDEX(Apparitions!$B$1:$B$5001,$A206)&amp;"")</f>
        <v/>
      </c>
      <c r="D206" s="20" t="str">
        <f aca="false">IF($A206="","",INDEX(Apparitions!$L$1:$L$5001,$A206))</f>
        <v/>
      </c>
      <c r="E206" s="19" t="str">
        <f aca="false">IF($A206="","",INDEX(Apparitions!$C$1:$C$5001,$A206)&amp;"")</f>
        <v/>
      </c>
      <c r="F206" s="19" t="str">
        <f aca="false">IF($A206="","",INDEX(Apparitions!$H$1:$H$5001,$A206)&amp;"")</f>
        <v/>
      </c>
      <c r="G206" s="19" t="str">
        <f aca="false">IF($A206="","",INDEX(Apparitions!$I$1:$I$5001,$A206)&amp;"")</f>
        <v/>
      </c>
      <c r="H206" s="19" t="str">
        <f aca="false">IF($A206="","",INDEX(Apparitions!$J$1:$J$5001,$A206)&amp;"")</f>
        <v/>
      </c>
      <c r="I206" s="19" t="str">
        <f aca="false">IF($A206="","",INDEX(Apparitions!$G$1:$G$5001,$A206)&amp;"")</f>
        <v/>
      </c>
      <c r="J206" s="19" t="str">
        <f aca="false">IF($A206="","",INDEX(Apparitions!$M$1:$M$5001,$A206)&amp;"")</f>
        <v/>
      </c>
      <c r="K206" s="21" t="str">
        <f aca="false">IF($A206="","",INDEX(Apparitions!$K$1:$K$5001,$A206))</f>
        <v/>
      </c>
      <c r="L206" s="22" t="str">
        <f aca="false">IF($A206="","",INDEX(Apparitions!$E$1:$E$5001,$A206)&amp;"")</f>
        <v/>
      </c>
      <c r="M206" s="19" t="str">
        <f aca="false">IF($A206="","",INDEX(Apparitions!$F$1:$F$5001,$A206)&amp;"")</f>
        <v/>
      </c>
      <c r="O206" s="23" t="n">
        <f aca="false">IF(I206="",0,IF(COUNTIF(I$16:I206,I206)=1,1,0))</f>
        <v>0</v>
      </c>
      <c r="P206" s="23" t="n">
        <f aca="false">IF(F206="",0,IF(COUNTIF(F$16:F206,F206)=1,1,0))</f>
        <v>0</v>
      </c>
      <c r="Q206" s="0" t="str">
        <f aca="false">IF(B206="","",B206&amp;"|"&amp;C206)</f>
        <v/>
      </c>
      <c r="R206" s="23" t="n">
        <f aca="false">IF(Q206="",0,IF(COUNTIF(Q$16:Q206,Q206)=1,1,0))</f>
        <v>0</v>
      </c>
    </row>
    <row r="207" customFormat="false" ht="15" hidden="false" customHeight="false" outlineLevel="0" collapsed="false">
      <c r="A207" s="0" t="str">
        <f aca="false">IFERROR(MATCH(192,Apparitions!$N$1:$N$5001,0),"")</f>
        <v/>
      </c>
      <c r="B207" s="19" t="str">
        <f aca="false">IF($A207="","",INDEX(Apparitions!$A$1:$A$5001,$A207)&amp;"")</f>
        <v/>
      </c>
      <c r="C207" s="19" t="str">
        <f aca="false">IF($A207="","",INDEX(Apparitions!$B$1:$B$5001,$A207)&amp;"")</f>
        <v/>
      </c>
      <c r="D207" s="20" t="str">
        <f aca="false">IF($A207="","",INDEX(Apparitions!$L$1:$L$5001,$A207))</f>
        <v/>
      </c>
      <c r="E207" s="19" t="str">
        <f aca="false">IF($A207="","",INDEX(Apparitions!$C$1:$C$5001,$A207)&amp;"")</f>
        <v/>
      </c>
      <c r="F207" s="19" t="str">
        <f aca="false">IF($A207="","",INDEX(Apparitions!$H$1:$H$5001,$A207)&amp;"")</f>
        <v/>
      </c>
      <c r="G207" s="19" t="str">
        <f aca="false">IF($A207="","",INDEX(Apparitions!$I$1:$I$5001,$A207)&amp;"")</f>
        <v/>
      </c>
      <c r="H207" s="19" t="str">
        <f aca="false">IF($A207="","",INDEX(Apparitions!$J$1:$J$5001,$A207)&amp;"")</f>
        <v/>
      </c>
      <c r="I207" s="19" t="str">
        <f aca="false">IF($A207="","",INDEX(Apparitions!$G$1:$G$5001,$A207)&amp;"")</f>
        <v/>
      </c>
      <c r="J207" s="19" t="str">
        <f aca="false">IF($A207="","",INDEX(Apparitions!$M$1:$M$5001,$A207)&amp;"")</f>
        <v/>
      </c>
      <c r="K207" s="21" t="str">
        <f aca="false">IF($A207="","",INDEX(Apparitions!$K$1:$K$5001,$A207))</f>
        <v/>
      </c>
      <c r="L207" s="22" t="str">
        <f aca="false">IF($A207="","",INDEX(Apparitions!$E$1:$E$5001,$A207)&amp;"")</f>
        <v/>
      </c>
      <c r="M207" s="19" t="str">
        <f aca="false">IF($A207="","",INDEX(Apparitions!$F$1:$F$5001,$A207)&amp;"")</f>
        <v/>
      </c>
      <c r="O207" s="23" t="n">
        <f aca="false">IF(I207="",0,IF(COUNTIF(I$16:I207,I207)=1,1,0))</f>
        <v>0</v>
      </c>
      <c r="P207" s="23" t="n">
        <f aca="false">IF(F207="",0,IF(COUNTIF(F$16:F207,F207)=1,1,0))</f>
        <v>0</v>
      </c>
      <c r="Q207" s="0" t="str">
        <f aca="false">IF(B207="","",B207&amp;"|"&amp;C207)</f>
        <v/>
      </c>
      <c r="R207" s="23" t="n">
        <f aca="false">IF(Q207="",0,IF(COUNTIF(Q$16:Q207,Q207)=1,1,0))</f>
        <v>0</v>
      </c>
    </row>
    <row r="208" customFormat="false" ht="15" hidden="false" customHeight="false" outlineLevel="0" collapsed="false">
      <c r="A208" s="0" t="str">
        <f aca="false">IFERROR(MATCH(193,Apparitions!$N$1:$N$5001,0),"")</f>
        <v/>
      </c>
      <c r="B208" s="19" t="str">
        <f aca="false">IF($A208="","",INDEX(Apparitions!$A$1:$A$5001,$A208)&amp;"")</f>
        <v/>
      </c>
      <c r="C208" s="19" t="str">
        <f aca="false">IF($A208="","",INDEX(Apparitions!$B$1:$B$5001,$A208)&amp;"")</f>
        <v/>
      </c>
      <c r="D208" s="20" t="str">
        <f aca="false">IF($A208="","",INDEX(Apparitions!$L$1:$L$5001,$A208))</f>
        <v/>
      </c>
      <c r="E208" s="19" t="str">
        <f aca="false">IF($A208="","",INDEX(Apparitions!$C$1:$C$5001,$A208)&amp;"")</f>
        <v/>
      </c>
      <c r="F208" s="19" t="str">
        <f aca="false">IF($A208="","",INDEX(Apparitions!$H$1:$H$5001,$A208)&amp;"")</f>
        <v/>
      </c>
      <c r="G208" s="19" t="str">
        <f aca="false">IF($A208="","",INDEX(Apparitions!$I$1:$I$5001,$A208)&amp;"")</f>
        <v/>
      </c>
      <c r="H208" s="19" t="str">
        <f aca="false">IF($A208="","",INDEX(Apparitions!$J$1:$J$5001,$A208)&amp;"")</f>
        <v/>
      </c>
      <c r="I208" s="19" t="str">
        <f aca="false">IF($A208="","",INDEX(Apparitions!$G$1:$G$5001,$A208)&amp;"")</f>
        <v/>
      </c>
      <c r="J208" s="19" t="str">
        <f aca="false">IF($A208="","",INDEX(Apparitions!$M$1:$M$5001,$A208)&amp;"")</f>
        <v/>
      </c>
      <c r="K208" s="21" t="str">
        <f aca="false">IF($A208="","",INDEX(Apparitions!$K$1:$K$5001,$A208))</f>
        <v/>
      </c>
      <c r="L208" s="22" t="str">
        <f aca="false">IF($A208="","",INDEX(Apparitions!$E$1:$E$5001,$A208)&amp;"")</f>
        <v/>
      </c>
      <c r="M208" s="19" t="str">
        <f aca="false">IF($A208="","",INDEX(Apparitions!$F$1:$F$5001,$A208)&amp;"")</f>
        <v/>
      </c>
      <c r="O208" s="23" t="n">
        <f aca="false">IF(I208="",0,IF(COUNTIF(I$16:I208,I208)=1,1,0))</f>
        <v>0</v>
      </c>
      <c r="P208" s="23" t="n">
        <f aca="false">IF(F208="",0,IF(COUNTIF(F$16:F208,F208)=1,1,0))</f>
        <v>0</v>
      </c>
      <c r="Q208" s="0" t="str">
        <f aca="false">IF(B208="","",B208&amp;"|"&amp;C208)</f>
        <v/>
      </c>
      <c r="R208" s="23" t="n">
        <f aca="false">IF(Q208="",0,IF(COUNTIF(Q$16:Q208,Q208)=1,1,0))</f>
        <v>0</v>
      </c>
    </row>
    <row r="209" customFormat="false" ht="15" hidden="false" customHeight="false" outlineLevel="0" collapsed="false">
      <c r="A209" s="0" t="str">
        <f aca="false">IFERROR(MATCH(194,Apparitions!$N$1:$N$5001,0),"")</f>
        <v/>
      </c>
      <c r="B209" s="19" t="str">
        <f aca="false">IF($A209="","",INDEX(Apparitions!$A$1:$A$5001,$A209)&amp;"")</f>
        <v/>
      </c>
      <c r="C209" s="19" t="str">
        <f aca="false">IF($A209="","",INDEX(Apparitions!$B$1:$B$5001,$A209)&amp;"")</f>
        <v/>
      </c>
      <c r="D209" s="20" t="str">
        <f aca="false">IF($A209="","",INDEX(Apparitions!$L$1:$L$5001,$A209))</f>
        <v/>
      </c>
      <c r="E209" s="19" t="str">
        <f aca="false">IF($A209="","",INDEX(Apparitions!$C$1:$C$5001,$A209)&amp;"")</f>
        <v/>
      </c>
      <c r="F209" s="19" t="str">
        <f aca="false">IF($A209="","",INDEX(Apparitions!$H$1:$H$5001,$A209)&amp;"")</f>
        <v/>
      </c>
      <c r="G209" s="19" t="str">
        <f aca="false">IF($A209="","",INDEX(Apparitions!$I$1:$I$5001,$A209)&amp;"")</f>
        <v/>
      </c>
      <c r="H209" s="19" t="str">
        <f aca="false">IF($A209="","",INDEX(Apparitions!$J$1:$J$5001,$A209)&amp;"")</f>
        <v/>
      </c>
      <c r="I209" s="19" t="str">
        <f aca="false">IF($A209="","",INDEX(Apparitions!$G$1:$G$5001,$A209)&amp;"")</f>
        <v/>
      </c>
      <c r="J209" s="19" t="str">
        <f aca="false">IF($A209="","",INDEX(Apparitions!$M$1:$M$5001,$A209)&amp;"")</f>
        <v/>
      </c>
      <c r="K209" s="21" t="str">
        <f aca="false">IF($A209="","",INDEX(Apparitions!$K$1:$K$5001,$A209))</f>
        <v/>
      </c>
      <c r="L209" s="22" t="str">
        <f aca="false">IF($A209="","",INDEX(Apparitions!$E$1:$E$5001,$A209)&amp;"")</f>
        <v/>
      </c>
      <c r="M209" s="19" t="str">
        <f aca="false">IF($A209="","",INDEX(Apparitions!$F$1:$F$5001,$A209)&amp;"")</f>
        <v/>
      </c>
      <c r="O209" s="23" t="n">
        <f aca="false">IF(I209="",0,IF(COUNTIF(I$16:I209,I209)=1,1,0))</f>
        <v>0</v>
      </c>
      <c r="P209" s="23" t="n">
        <f aca="false">IF(F209="",0,IF(COUNTIF(F$16:F209,F209)=1,1,0))</f>
        <v>0</v>
      </c>
      <c r="Q209" s="0" t="str">
        <f aca="false">IF(B209="","",B209&amp;"|"&amp;C209)</f>
        <v/>
      </c>
      <c r="R209" s="23" t="n">
        <f aca="false">IF(Q209="",0,IF(COUNTIF(Q$16:Q209,Q209)=1,1,0))</f>
        <v>0</v>
      </c>
    </row>
    <row r="210" customFormat="false" ht="15" hidden="false" customHeight="false" outlineLevel="0" collapsed="false">
      <c r="A210" s="0" t="str">
        <f aca="false">IFERROR(MATCH(195,Apparitions!$N$1:$N$5001,0),"")</f>
        <v/>
      </c>
      <c r="B210" s="19" t="str">
        <f aca="false">IF($A210="","",INDEX(Apparitions!$A$1:$A$5001,$A210)&amp;"")</f>
        <v/>
      </c>
      <c r="C210" s="19" t="str">
        <f aca="false">IF($A210="","",INDEX(Apparitions!$B$1:$B$5001,$A210)&amp;"")</f>
        <v/>
      </c>
      <c r="D210" s="20" t="str">
        <f aca="false">IF($A210="","",INDEX(Apparitions!$L$1:$L$5001,$A210))</f>
        <v/>
      </c>
      <c r="E210" s="19" t="str">
        <f aca="false">IF($A210="","",INDEX(Apparitions!$C$1:$C$5001,$A210)&amp;"")</f>
        <v/>
      </c>
      <c r="F210" s="19" t="str">
        <f aca="false">IF($A210="","",INDEX(Apparitions!$H$1:$H$5001,$A210)&amp;"")</f>
        <v/>
      </c>
      <c r="G210" s="19" t="str">
        <f aca="false">IF($A210="","",INDEX(Apparitions!$I$1:$I$5001,$A210)&amp;"")</f>
        <v/>
      </c>
      <c r="H210" s="19" t="str">
        <f aca="false">IF($A210="","",INDEX(Apparitions!$J$1:$J$5001,$A210)&amp;"")</f>
        <v/>
      </c>
      <c r="I210" s="19" t="str">
        <f aca="false">IF($A210="","",INDEX(Apparitions!$G$1:$G$5001,$A210)&amp;"")</f>
        <v/>
      </c>
      <c r="J210" s="19" t="str">
        <f aca="false">IF($A210="","",INDEX(Apparitions!$M$1:$M$5001,$A210)&amp;"")</f>
        <v/>
      </c>
      <c r="K210" s="21" t="str">
        <f aca="false">IF($A210="","",INDEX(Apparitions!$K$1:$K$5001,$A210))</f>
        <v/>
      </c>
      <c r="L210" s="22" t="str">
        <f aca="false">IF($A210="","",INDEX(Apparitions!$E$1:$E$5001,$A210)&amp;"")</f>
        <v/>
      </c>
      <c r="M210" s="19" t="str">
        <f aca="false">IF($A210="","",INDEX(Apparitions!$F$1:$F$5001,$A210)&amp;"")</f>
        <v/>
      </c>
      <c r="O210" s="23" t="n">
        <f aca="false">IF(I210="",0,IF(COUNTIF(I$16:I210,I210)=1,1,0))</f>
        <v>0</v>
      </c>
      <c r="P210" s="23" t="n">
        <f aca="false">IF(F210="",0,IF(COUNTIF(F$16:F210,F210)=1,1,0))</f>
        <v>0</v>
      </c>
      <c r="Q210" s="0" t="str">
        <f aca="false">IF(B210="","",B210&amp;"|"&amp;C210)</f>
        <v/>
      </c>
      <c r="R210" s="23" t="n">
        <f aca="false">IF(Q210="",0,IF(COUNTIF(Q$16:Q210,Q210)=1,1,0))</f>
        <v>0</v>
      </c>
    </row>
    <row r="211" customFormat="false" ht="15" hidden="false" customHeight="false" outlineLevel="0" collapsed="false">
      <c r="A211" s="0" t="str">
        <f aca="false">IFERROR(MATCH(196,Apparitions!$N$1:$N$5001,0),"")</f>
        <v/>
      </c>
      <c r="B211" s="19" t="str">
        <f aca="false">IF($A211="","",INDEX(Apparitions!$A$1:$A$5001,$A211)&amp;"")</f>
        <v/>
      </c>
      <c r="C211" s="19" t="str">
        <f aca="false">IF($A211="","",INDEX(Apparitions!$B$1:$B$5001,$A211)&amp;"")</f>
        <v/>
      </c>
      <c r="D211" s="20" t="str">
        <f aca="false">IF($A211="","",INDEX(Apparitions!$L$1:$L$5001,$A211))</f>
        <v/>
      </c>
      <c r="E211" s="19" t="str">
        <f aca="false">IF($A211="","",INDEX(Apparitions!$C$1:$C$5001,$A211)&amp;"")</f>
        <v/>
      </c>
      <c r="F211" s="19" t="str">
        <f aca="false">IF($A211="","",INDEX(Apparitions!$H$1:$H$5001,$A211)&amp;"")</f>
        <v/>
      </c>
      <c r="G211" s="19" t="str">
        <f aca="false">IF($A211="","",INDEX(Apparitions!$I$1:$I$5001,$A211)&amp;"")</f>
        <v/>
      </c>
      <c r="H211" s="19" t="str">
        <f aca="false">IF($A211="","",INDEX(Apparitions!$J$1:$J$5001,$A211)&amp;"")</f>
        <v/>
      </c>
      <c r="I211" s="19" t="str">
        <f aca="false">IF($A211="","",INDEX(Apparitions!$G$1:$G$5001,$A211)&amp;"")</f>
        <v/>
      </c>
      <c r="J211" s="19" t="str">
        <f aca="false">IF($A211="","",INDEX(Apparitions!$M$1:$M$5001,$A211)&amp;"")</f>
        <v/>
      </c>
      <c r="K211" s="21" t="str">
        <f aca="false">IF($A211="","",INDEX(Apparitions!$K$1:$K$5001,$A211))</f>
        <v/>
      </c>
      <c r="L211" s="22" t="str">
        <f aca="false">IF($A211="","",INDEX(Apparitions!$E$1:$E$5001,$A211)&amp;"")</f>
        <v/>
      </c>
      <c r="M211" s="19" t="str">
        <f aca="false">IF($A211="","",INDEX(Apparitions!$F$1:$F$5001,$A211)&amp;"")</f>
        <v/>
      </c>
      <c r="O211" s="23" t="n">
        <f aca="false">IF(I211="",0,IF(COUNTIF(I$16:I211,I211)=1,1,0))</f>
        <v>0</v>
      </c>
      <c r="P211" s="23" t="n">
        <f aca="false">IF(F211="",0,IF(COUNTIF(F$16:F211,F211)=1,1,0))</f>
        <v>0</v>
      </c>
      <c r="Q211" s="0" t="str">
        <f aca="false">IF(B211="","",B211&amp;"|"&amp;C211)</f>
        <v/>
      </c>
      <c r="R211" s="23" t="n">
        <f aca="false">IF(Q211="",0,IF(COUNTIF(Q$16:Q211,Q211)=1,1,0))</f>
        <v>0</v>
      </c>
    </row>
    <row r="212" customFormat="false" ht="15" hidden="false" customHeight="false" outlineLevel="0" collapsed="false">
      <c r="A212" s="0" t="str">
        <f aca="false">IFERROR(MATCH(197,Apparitions!$N$1:$N$5001,0),"")</f>
        <v/>
      </c>
      <c r="B212" s="19" t="str">
        <f aca="false">IF($A212="","",INDEX(Apparitions!$A$1:$A$5001,$A212)&amp;"")</f>
        <v/>
      </c>
      <c r="C212" s="19" t="str">
        <f aca="false">IF($A212="","",INDEX(Apparitions!$B$1:$B$5001,$A212)&amp;"")</f>
        <v/>
      </c>
      <c r="D212" s="20" t="str">
        <f aca="false">IF($A212="","",INDEX(Apparitions!$L$1:$L$5001,$A212))</f>
        <v/>
      </c>
      <c r="E212" s="19" t="str">
        <f aca="false">IF($A212="","",INDEX(Apparitions!$C$1:$C$5001,$A212)&amp;"")</f>
        <v/>
      </c>
      <c r="F212" s="19" t="str">
        <f aca="false">IF($A212="","",INDEX(Apparitions!$H$1:$H$5001,$A212)&amp;"")</f>
        <v/>
      </c>
      <c r="G212" s="19" t="str">
        <f aca="false">IF($A212="","",INDEX(Apparitions!$I$1:$I$5001,$A212)&amp;"")</f>
        <v/>
      </c>
      <c r="H212" s="19" t="str">
        <f aca="false">IF($A212="","",INDEX(Apparitions!$J$1:$J$5001,$A212)&amp;"")</f>
        <v/>
      </c>
      <c r="I212" s="19" t="str">
        <f aca="false">IF($A212="","",INDEX(Apparitions!$G$1:$G$5001,$A212)&amp;"")</f>
        <v/>
      </c>
      <c r="J212" s="19" t="str">
        <f aca="false">IF($A212="","",INDEX(Apparitions!$M$1:$M$5001,$A212)&amp;"")</f>
        <v/>
      </c>
      <c r="K212" s="21" t="str">
        <f aca="false">IF($A212="","",INDEX(Apparitions!$K$1:$K$5001,$A212))</f>
        <v/>
      </c>
      <c r="L212" s="22" t="str">
        <f aca="false">IF($A212="","",INDEX(Apparitions!$E$1:$E$5001,$A212)&amp;"")</f>
        <v/>
      </c>
      <c r="M212" s="19" t="str">
        <f aca="false">IF($A212="","",INDEX(Apparitions!$F$1:$F$5001,$A212)&amp;"")</f>
        <v/>
      </c>
      <c r="O212" s="23" t="n">
        <f aca="false">IF(I212="",0,IF(COUNTIF(I$16:I212,I212)=1,1,0))</f>
        <v>0</v>
      </c>
      <c r="P212" s="23" t="n">
        <f aca="false">IF(F212="",0,IF(COUNTIF(F$16:F212,F212)=1,1,0))</f>
        <v>0</v>
      </c>
      <c r="Q212" s="0" t="str">
        <f aca="false">IF(B212="","",B212&amp;"|"&amp;C212)</f>
        <v/>
      </c>
      <c r="R212" s="23" t="n">
        <f aca="false">IF(Q212="",0,IF(COUNTIF(Q$16:Q212,Q212)=1,1,0))</f>
        <v>0</v>
      </c>
    </row>
    <row r="213" customFormat="false" ht="15" hidden="false" customHeight="false" outlineLevel="0" collapsed="false">
      <c r="A213" s="0" t="str">
        <f aca="false">IFERROR(MATCH(198,Apparitions!$N$1:$N$5001,0),"")</f>
        <v/>
      </c>
      <c r="B213" s="19" t="str">
        <f aca="false">IF($A213="","",INDEX(Apparitions!$A$1:$A$5001,$A213)&amp;"")</f>
        <v/>
      </c>
      <c r="C213" s="19" t="str">
        <f aca="false">IF($A213="","",INDEX(Apparitions!$B$1:$B$5001,$A213)&amp;"")</f>
        <v/>
      </c>
      <c r="D213" s="20" t="str">
        <f aca="false">IF($A213="","",INDEX(Apparitions!$L$1:$L$5001,$A213))</f>
        <v/>
      </c>
      <c r="E213" s="19" t="str">
        <f aca="false">IF($A213="","",INDEX(Apparitions!$C$1:$C$5001,$A213)&amp;"")</f>
        <v/>
      </c>
      <c r="F213" s="19" t="str">
        <f aca="false">IF($A213="","",INDEX(Apparitions!$H$1:$H$5001,$A213)&amp;"")</f>
        <v/>
      </c>
      <c r="G213" s="19" t="str">
        <f aca="false">IF($A213="","",INDEX(Apparitions!$I$1:$I$5001,$A213)&amp;"")</f>
        <v/>
      </c>
      <c r="H213" s="19" t="str">
        <f aca="false">IF($A213="","",INDEX(Apparitions!$J$1:$J$5001,$A213)&amp;"")</f>
        <v/>
      </c>
      <c r="I213" s="19" t="str">
        <f aca="false">IF($A213="","",INDEX(Apparitions!$G$1:$G$5001,$A213)&amp;"")</f>
        <v/>
      </c>
      <c r="J213" s="19" t="str">
        <f aca="false">IF($A213="","",INDEX(Apparitions!$M$1:$M$5001,$A213)&amp;"")</f>
        <v/>
      </c>
      <c r="K213" s="21" t="str">
        <f aca="false">IF($A213="","",INDEX(Apparitions!$K$1:$K$5001,$A213))</f>
        <v/>
      </c>
      <c r="L213" s="22" t="str">
        <f aca="false">IF($A213="","",INDEX(Apparitions!$E$1:$E$5001,$A213)&amp;"")</f>
        <v/>
      </c>
      <c r="M213" s="19" t="str">
        <f aca="false">IF($A213="","",INDEX(Apparitions!$F$1:$F$5001,$A213)&amp;"")</f>
        <v/>
      </c>
      <c r="O213" s="23" t="n">
        <f aca="false">IF(I213="",0,IF(COUNTIF(I$16:I213,I213)=1,1,0))</f>
        <v>0</v>
      </c>
      <c r="P213" s="23" t="n">
        <f aca="false">IF(F213="",0,IF(COUNTIF(F$16:F213,F213)=1,1,0))</f>
        <v>0</v>
      </c>
      <c r="Q213" s="0" t="str">
        <f aca="false">IF(B213="","",B213&amp;"|"&amp;C213)</f>
        <v/>
      </c>
      <c r="R213" s="23" t="n">
        <f aca="false">IF(Q213="",0,IF(COUNTIF(Q$16:Q213,Q213)=1,1,0))</f>
        <v>0</v>
      </c>
    </row>
    <row r="214" customFormat="false" ht="15" hidden="false" customHeight="false" outlineLevel="0" collapsed="false">
      <c r="A214" s="0" t="str">
        <f aca="false">IFERROR(MATCH(199,Apparitions!$N$1:$N$5001,0),"")</f>
        <v/>
      </c>
      <c r="B214" s="19" t="str">
        <f aca="false">IF($A214="","",INDEX(Apparitions!$A$1:$A$5001,$A214)&amp;"")</f>
        <v/>
      </c>
      <c r="C214" s="19" t="str">
        <f aca="false">IF($A214="","",INDEX(Apparitions!$B$1:$B$5001,$A214)&amp;"")</f>
        <v/>
      </c>
      <c r="D214" s="20" t="str">
        <f aca="false">IF($A214="","",INDEX(Apparitions!$L$1:$L$5001,$A214))</f>
        <v/>
      </c>
      <c r="E214" s="19" t="str">
        <f aca="false">IF($A214="","",INDEX(Apparitions!$C$1:$C$5001,$A214)&amp;"")</f>
        <v/>
      </c>
      <c r="F214" s="19" t="str">
        <f aca="false">IF($A214="","",INDEX(Apparitions!$H$1:$H$5001,$A214)&amp;"")</f>
        <v/>
      </c>
      <c r="G214" s="19" t="str">
        <f aca="false">IF($A214="","",INDEX(Apparitions!$I$1:$I$5001,$A214)&amp;"")</f>
        <v/>
      </c>
      <c r="H214" s="19" t="str">
        <f aca="false">IF($A214="","",INDEX(Apparitions!$J$1:$J$5001,$A214)&amp;"")</f>
        <v/>
      </c>
      <c r="I214" s="19" t="str">
        <f aca="false">IF($A214="","",INDEX(Apparitions!$G$1:$G$5001,$A214)&amp;"")</f>
        <v/>
      </c>
      <c r="J214" s="19" t="str">
        <f aca="false">IF($A214="","",INDEX(Apparitions!$M$1:$M$5001,$A214)&amp;"")</f>
        <v/>
      </c>
      <c r="K214" s="21" t="str">
        <f aca="false">IF($A214="","",INDEX(Apparitions!$K$1:$K$5001,$A214))</f>
        <v/>
      </c>
      <c r="L214" s="22" t="str">
        <f aca="false">IF($A214="","",INDEX(Apparitions!$E$1:$E$5001,$A214)&amp;"")</f>
        <v/>
      </c>
      <c r="M214" s="19" t="str">
        <f aca="false">IF($A214="","",INDEX(Apparitions!$F$1:$F$5001,$A214)&amp;"")</f>
        <v/>
      </c>
      <c r="O214" s="23" t="n">
        <f aca="false">IF(I214="",0,IF(COUNTIF(I$16:I214,I214)=1,1,0))</f>
        <v>0</v>
      </c>
      <c r="P214" s="23" t="n">
        <f aca="false">IF(F214="",0,IF(COUNTIF(F$16:F214,F214)=1,1,0))</f>
        <v>0</v>
      </c>
      <c r="Q214" s="0" t="str">
        <f aca="false">IF(B214="","",B214&amp;"|"&amp;C214)</f>
        <v/>
      </c>
      <c r="R214" s="23" t="n">
        <f aca="false">IF(Q214="",0,IF(COUNTIF(Q$16:Q214,Q214)=1,1,0))</f>
        <v>0</v>
      </c>
    </row>
    <row r="215" customFormat="false" ht="15" hidden="false" customHeight="false" outlineLevel="0" collapsed="false">
      <c r="A215" s="0" t="str">
        <f aca="false">IFERROR(MATCH(200,Apparitions!$N$1:$N$5001,0),"")</f>
        <v/>
      </c>
      <c r="B215" s="19" t="str">
        <f aca="false">IF($A215="","",INDEX(Apparitions!$A$1:$A$5001,$A215)&amp;"")</f>
        <v/>
      </c>
      <c r="C215" s="19" t="str">
        <f aca="false">IF($A215="","",INDEX(Apparitions!$B$1:$B$5001,$A215)&amp;"")</f>
        <v/>
      </c>
      <c r="D215" s="20" t="str">
        <f aca="false">IF($A215="","",INDEX(Apparitions!$L$1:$L$5001,$A215))</f>
        <v/>
      </c>
      <c r="E215" s="19" t="str">
        <f aca="false">IF($A215="","",INDEX(Apparitions!$C$1:$C$5001,$A215)&amp;"")</f>
        <v/>
      </c>
      <c r="F215" s="19" t="str">
        <f aca="false">IF($A215="","",INDEX(Apparitions!$H$1:$H$5001,$A215)&amp;"")</f>
        <v/>
      </c>
      <c r="G215" s="19" t="str">
        <f aca="false">IF($A215="","",INDEX(Apparitions!$I$1:$I$5001,$A215)&amp;"")</f>
        <v/>
      </c>
      <c r="H215" s="19" t="str">
        <f aca="false">IF($A215="","",INDEX(Apparitions!$J$1:$J$5001,$A215)&amp;"")</f>
        <v/>
      </c>
      <c r="I215" s="19" t="str">
        <f aca="false">IF($A215="","",INDEX(Apparitions!$G$1:$G$5001,$A215)&amp;"")</f>
        <v/>
      </c>
      <c r="J215" s="19" t="str">
        <f aca="false">IF($A215="","",INDEX(Apparitions!$M$1:$M$5001,$A215)&amp;"")</f>
        <v/>
      </c>
      <c r="K215" s="21" t="str">
        <f aca="false">IF($A215="","",INDEX(Apparitions!$K$1:$K$5001,$A215))</f>
        <v/>
      </c>
      <c r="L215" s="22" t="str">
        <f aca="false">IF($A215="","",INDEX(Apparitions!$E$1:$E$5001,$A215)&amp;"")</f>
        <v/>
      </c>
      <c r="M215" s="19" t="str">
        <f aca="false">IF($A215="","",INDEX(Apparitions!$F$1:$F$5001,$A215)&amp;"")</f>
        <v/>
      </c>
      <c r="O215" s="23" t="n">
        <f aca="false">IF(I215="",0,IF(COUNTIF(I$16:I215,I215)=1,1,0))</f>
        <v>0</v>
      </c>
      <c r="P215" s="23" t="n">
        <f aca="false">IF(F215="",0,IF(COUNTIF(F$16:F215,F215)=1,1,0))</f>
        <v>0</v>
      </c>
      <c r="Q215" s="0" t="str">
        <f aca="false">IF(B215="","",B215&amp;"|"&amp;C215)</f>
        <v/>
      </c>
      <c r="R215" s="23" t="n">
        <f aca="false">IF(Q215="",0,IF(COUNTIF(Q$16:Q215,Q215)=1,1,0))</f>
        <v>0</v>
      </c>
    </row>
    <row r="216" customFormat="false" ht="15" hidden="false" customHeight="false" outlineLevel="0" collapsed="false">
      <c r="A216" s="0" t="str">
        <f aca="false">IFERROR(MATCH(201,Apparitions!$N$1:$N$5001,0),"")</f>
        <v/>
      </c>
      <c r="B216" s="19" t="str">
        <f aca="false">IF($A216="","",INDEX(Apparitions!$A$1:$A$5001,$A216)&amp;"")</f>
        <v/>
      </c>
      <c r="C216" s="19" t="str">
        <f aca="false">IF($A216="","",INDEX(Apparitions!$B$1:$B$5001,$A216)&amp;"")</f>
        <v/>
      </c>
      <c r="D216" s="20" t="str">
        <f aca="false">IF($A216="","",INDEX(Apparitions!$L$1:$L$5001,$A216))</f>
        <v/>
      </c>
      <c r="E216" s="19" t="str">
        <f aca="false">IF($A216="","",INDEX(Apparitions!$C$1:$C$5001,$A216)&amp;"")</f>
        <v/>
      </c>
      <c r="F216" s="19" t="str">
        <f aca="false">IF($A216="","",INDEX(Apparitions!$H$1:$H$5001,$A216)&amp;"")</f>
        <v/>
      </c>
      <c r="G216" s="19" t="str">
        <f aca="false">IF($A216="","",INDEX(Apparitions!$I$1:$I$5001,$A216)&amp;"")</f>
        <v/>
      </c>
      <c r="H216" s="19" t="str">
        <f aca="false">IF($A216="","",INDEX(Apparitions!$J$1:$J$5001,$A216)&amp;"")</f>
        <v/>
      </c>
      <c r="I216" s="19" t="str">
        <f aca="false">IF($A216="","",INDEX(Apparitions!$G$1:$G$5001,$A216)&amp;"")</f>
        <v/>
      </c>
      <c r="J216" s="19" t="str">
        <f aca="false">IF($A216="","",INDEX(Apparitions!$M$1:$M$5001,$A216)&amp;"")</f>
        <v/>
      </c>
      <c r="K216" s="21" t="str">
        <f aca="false">IF($A216="","",INDEX(Apparitions!$K$1:$K$5001,$A216))</f>
        <v/>
      </c>
      <c r="L216" s="22" t="str">
        <f aca="false">IF($A216="","",INDEX(Apparitions!$E$1:$E$5001,$A216)&amp;"")</f>
        <v/>
      </c>
      <c r="M216" s="19" t="str">
        <f aca="false">IF($A216="","",INDEX(Apparitions!$F$1:$F$5001,$A216)&amp;"")</f>
        <v/>
      </c>
      <c r="O216" s="23" t="n">
        <f aca="false">IF(I216="",0,IF(COUNTIF(I$16:I216,I216)=1,1,0))</f>
        <v>0</v>
      </c>
      <c r="P216" s="23" t="n">
        <f aca="false">IF(F216="",0,IF(COUNTIF(F$16:F216,F216)=1,1,0))</f>
        <v>0</v>
      </c>
      <c r="Q216" s="0" t="str">
        <f aca="false">IF(B216="","",B216&amp;"|"&amp;C216)</f>
        <v/>
      </c>
      <c r="R216" s="23" t="n">
        <f aca="false">IF(Q216="",0,IF(COUNTIF(Q$16:Q216,Q216)=1,1,0))</f>
        <v>0</v>
      </c>
    </row>
    <row r="217" customFormat="false" ht="15" hidden="false" customHeight="false" outlineLevel="0" collapsed="false">
      <c r="A217" s="0" t="str">
        <f aca="false">IFERROR(MATCH(202,Apparitions!$N$1:$N$5001,0),"")</f>
        <v/>
      </c>
      <c r="B217" s="19" t="str">
        <f aca="false">IF($A217="","",INDEX(Apparitions!$A$1:$A$5001,$A217)&amp;"")</f>
        <v/>
      </c>
      <c r="C217" s="19" t="str">
        <f aca="false">IF($A217="","",INDEX(Apparitions!$B$1:$B$5001,$A217)&amp;"")</f>
        <v/>
      </c>
      <c r="D217" s="20" t="str">
        <f aca="false">IF($A217="","",INDEX(Apparitions!$L$1:$L$5001,$A217))</f>
        <v/>
      </c>
      <c r="E217" s="19" t="str">
        <f aca="false">IF($A217="","",INDEX(Apparitions!$C$1:$C$5001,$A217)&amp;"")</f>
        <v/>
      </c>
      <c r="F217" s="19" t="str">
        <f aca="false">IF($A217="","",INDEX(Apparitions!$H$1:$H$5001,$A217)&amp;"")</f>
        <v/>
      </c>
      <c r="G217" s="19" t="str">
        <f aca="false">IF($A217="","",INDEX(Apparitions!$I$1:$I$5001,$A217)&amp;"")</f>
        <v/>
      </c>
      <c r="H217" s="19" t="str">
        <f aca="false">IF($A217="","",INDEX(Apparitions!$J$1:$J$5001,$A217)&amp;"")</f>
        <v/>
      </c>
      <c r="I217" s="19" t="str">
        <f aca="false">IF($A217="","",INDEX(Apparitions!$G$1:$G$5001,$A217)&amp;"")</f>
        <v/>
      </c>
      <c r="J217" s="19" t="str">
        <f aca="false">IF($A217="","",INDEX(Apparitions!$M$1:$M$5001,$A217)&amp;"")</f>
        <v/>
      </c>
      <c r="K217" s="21" t="str">
        <f aca="false">IF($A217="","",INDEX(Apparitions!$K$1:$K$5001,$A217))</f>
        <v/>
      </c>
      <c r="L217" s="22" t="str">
        <f aca="false">IF($A217="","",INDEX(Apparitions!$E$1:$E$5001,$A217)&amp;"")</f>
        <v/>
      </c>
      <c r="M217" s="19" t="str">
        <f aca="false">IF($A217="","",INDEX(Apparitions!$F$1:$F$5001,$A217)&amp;"")</f>
        <v/>
      </c>
      <c r="O217" s="23" t="n">
        <f aca="false">IF(I217="",0,IF(COUNTIF(I$16:I217,I217)=1,1,0))</f>
        <v>0</v>
      </c>
      <c r="P217" s="23" t="n">
        <f aca="false">IF(F217="",0,IF(COUNTIF(F$16:F217,F217)=1,1,0))</f>
        <v>0</v>
      </c>
      <c r="Q217" s="0" t="str">
        <f aca="false">IF(B217="","",B217&amp;"|"&amp;C217)</f>
        <v/>
      </c>
      <c r="R217" s="23" t="n">
        <f aca="false">IF(Q217="",0,IF(COUNTIF(Q$16:Q217,Q217)=1,1,0))</f>
        <v>0</v>
      </c>
    </row>
    <row r="218" customFormat="false" ht="15" hidden="false" customHeight="false" outlineLevel="0" collapsed="false">
      <c r="A218" s="0" t="str">
        <f aca="false">IFERROR(MATCH(203,Apparitions!$N$1:$N$5001,0),"")</f>
        <v/>
      </c>
      <c r="B218" s="19" t="str">
        <f aca="false">IF($A218="","",INDEX(Apparitions!$A$1:$A$5001,$A218)&amp;"")</f>
        <v/>
      </c>
      <c r="C218" s="19" t="str">
        <f aca="false">IF($A218="","",INDEX(Apparitions!$B$1:$B$5001,$A218)&amp;"")</f>
        <v/>
      </c>
      <c r="D218" s="20" t="str">
        <f aca="false">IF($A218="","",INDEX(Apparitions!$L$1:$L$5001,$A218))</f>
        <v/>
      </c>
      <c r="E218" s="19" t="str">
        <f aca="false">IF($A218="","",INDEX(Apparitions!$C$1:$C$5001,$A218)&amp;"")</f>
        <v/>
      </c>
      <c r="F218" s="19" t="str">
        <f aca="false">IF($A218="","",INDEX(Apparitions!$H$1:$H$5001,$A218)&amp;"")</f>
        <v/>
      </c>
      <c r="G218" s="19" t="str">
        <f aca="false">IF($A218="","",INDEX(Apparitions!$I$1:$I$5001,$A218)&amp;"")</f>
        <v/>
      </c>
      <c r="H218" s="19" t="str">
        <f aca="false">IF($A218="","",INDEX(Apparitions!$J$1:$J$5001,$A218)&amp;"")</f>
        <v/>
      </c>
      <c r="I218" s="19" t="str">
        <f aca="false">IF($A218="","",INDEX(Apparitions!$G$1:$G$5001,$A218)&amp;"")</f>
        <v/>
      </c>
      <c r="J218" s="19" t="str">
        <f aca="false">IF($A218="","",INDEX(Apparitions!$M$1:$M$5001,$A218)&amp;"")</f>
        <v/>
      </c>
      <c r="K218" s="21" t="str">
        <f aca="false">IF($A218="","",INDEX(Apparitions!$K$1:$K$5001,$A218))</f>
        <v/>
      </c>
      <c r="L218" s="22" t="str">
        <f aca="false">IF($A218="","",INDEX(Apparitions!$E$1:$E$5001,$A218)&amp;"")</f>
        <v/>
      </c>
      <c r="M218" s="19" t="str">
        <f aca="false">IF($A218="","",INDEX(Apparitions!$F$1:$F$5001,$A218)&amp;"")</f>
        <v/>
      </c>
      <c r="O218" s="23" t="n">
        <f aca="false">IF(I218="",0,IF(COUNTIF(I$16:I218,I218)=1,1,0))</f>
        <v>0</v>
      </c>
      <c r="P218" s="23" t="n">
        <f aca="false">IF(F218="",0,IF(COUNTIF(F$16:F218,F218)=1,1,0))</f>
        <v>0</v>
      </c>
      <c r="Q218" s="0" t="str">
        <f aca="false">IF(B218="","",B218&amp;"|"&amp;C218)</f>
        <v/>
      </c>
      <c r="R218" s="23" t="n">
        <f aca="false">IF(Q218="",0,IF(COUNTIF(Q$16:Q218,Q218)=1,1,0))</f>
        <v>0</v>
      </c>
    </row>
    <row r="219" customFormat="false" ht="15" hidden="false" customHeight="false" outlineLevel="0" collapsed="false">
      <c r="A219" s="0" t="str">
        <f aca="false">IFERROR(MATCH(204,Apparitions!$N$1:$N$5001,0),"")</f>
        <v/>
      </c>
      <c r="B219" s="19" t="str">
        <f aca="false">IF($A219="","",INDEX(Apparitions!$A$1:$A$5001,$A219)&amp;"")</f>
        <v/>
      </c>
      <c r="C219" s="19" t="str">
        <f aca="false">IF($A219="","",INDEX(Apparitions!$B$1:$B$5001,$A219)&amp;"")</f>
        <v/>
      </c>
      <c r="D219" s="20" t="str">
        <f aca="false">IF($A219="","",INDEX(Apparitions!$L$1:$L$5001,$A219))</f>
        <v/>
      </c>
      <c r="E219" s="19" t="str">
        <f aca="false">IF($A219="","",INDEX(Apparitions!$C$1:$C$5001,$A219)&amp;"")</f>
        <v/>
      </c>
      <c r="F219" s="19" t="str">
        <f aca="false">IF($A219="","",INDEX(Apparitions!$H$1:$H$5001,$A219)&amp;"")</f>
        <v/>
      </c>
      <c r="G219" s="19" t="str">
        <f aca="false">IF($A219="","",INDEX(Apparitions!$I$1:$I$5001,$A219)&amp;"")</f>
        <v/>
      </c>
      <c r="H219" s="19" t="str">
        <f aca="false">IF($A219="","",INDEX(Apparitions!$J$1:$J$5001,$A219)&amp;"")</f>
        <v/>
      </c>
      <c r="I219" s="19" t="str">
        <f aca="false">IF($A219="","",INDEX(Apparitions!$G$1:$G$5001,$A219)&amp;"")</f>
        <v/>
      </c>
      <c r="J219" s="19" t="str">
        <f aca="false">IF($A219="","",INDEX(Apparitions!$M$1:$M$5001,$A219)&amp;"")</f>
        <v/>
      </c>
      <c r="K219" s="21" t="str">
        <f aca="false">IF($A219="","",INDEX(Apparitions!$K$1:$K$5001,$A219))</f>
        <v/>
      </c>
      <c r="L219" s="22" t="str">
        <f aca="false">IF($A219="","",INDEX(Apparitions!$E$1:$E$5001,$A219)&amp;"")</f>
        <v/>
      </c>
      <c r="M219" s="19" t="str">
        <f aca="false">IF($A219="","",INDEX(Apparitions!$F$1:$F$5001,$A219)&amp;"")</f>
        <v/>
      </c>
      <c r="O219" s="23" t="n">
        <f aca="false">IF(I219="",0,IF(COUNTIF(I$16:I219,I219)=1,1,0))</f>
        <v>0</v>
      </c>
      <c r="P219" s="23" t="n">
        <f aca="false">IF(F219="",0,IF(COUNTIF(F$16:F219,F219)=1,1,0))</f>
        <v>0</v>
      </c>
      <c r="Q219" s="0" t="str">
        <f aca="false">IF(B219="","",B219&amp;"|"&amp;C219)</f>
        <v/>
      </c>
      <c r="R219" s="23" t="n">
        <f aca="false">IF(Q219="",0,IF(COUNTIF(Q$16:Q219,Q219)=1,1,0))</f>
        <v>0</v>
      </c>
    </row>
    <row r="220" customFormat="false" ht="15" hidden="false" customHeight="false" outlineLevel="0" collapsed="false">
      <c r="A220" s="0" t="str">
        <f aca="false">IFERROR(MATCH(205,Apparitions!$N$1:$N$5001,0),"")</f>
        <v/>
      </c>
      <c r="B220" s="19" t="str">
        <f aca="false">IF($A220="","",INDEX(Apparitions!$A$1:$A$5001,$A220)&amp;"")</f>
        <v/>
      </c>
      <c r="C220" s="19" t="str">
        <f aca="false">IF($A220="","",INDEX(Apparitions!$B$1:$B$5001,$A220)&amp;"")</f>
        <v/>
      </c>
      <c r="D220" s="20" t="str">
        <f aca="false">IF($A220="","",INDEX(Apparitions!$L$1:$L$5001,$A220))</f>
        <v/>
      </c>
      <c r="E220" s="19" t="str">
        <f aca="false">IF($A220="","",INDEX(Apparitions!$C$1:$C$5001,$A220)&amp;"")</f>
        <v/>
      </c>
      <c r="F220" s="19" t="str">
        <f aca="false">IF($A220="","",INDEX(Apparitions!$H$1:$H$5001,$A220)&amp;"")</f>
        <v/>
      </c>
      <c r="G220" s="19" t="str">
        <f aca="false">IF($A220="","",INDEX(Apparitions!$I$1:$I$5001,$A220)&amp;"")</f>
        <v/>
      </c>
      <c r="H220" s="19" t="str">
        <f aca="false">IF($A220="","",INDEX(Apparitions!$J$1:$J$5001,$A220)&amp;"")</f>
        <v/>
      </c>
      <c r="I220" s="19" t="str">
        <f aca="false">IF($A220="","",INDEX(Apparitions!$G$1:$G$5001,$A220)&amp;"")</f>
        <v/>
      </c>
      <c r="J220" s="19" t="str">
        <f aca="false">IF($A220="","",INDEX(Apparitions!$M$1:$M$5001,$A220)&amp;"")</f>
        <v/>
      </c>
      <c r="K220" s="21" t="str">
        <f aca="false">IF($A220="","",INDEX(Apparitions!$K$1:$K$5001,$A220))</f>
        <v/>
      </c>
      <c r="L220" s="22" t="str">
        <f aca="false">IF($A220="","",INDEX(Apparitions!$E$1:$E$5001,$A220)&amp;"")</f>
        <v/>
      </c>
      <c r="M220" s="19" t="str">
        <f aca="false">IF($A220="","",INDEX(Apparitions!$F$1:$F$5001,$A220)&amp;"")</f>
        <v/>
      </c>
      <c r="O220" s="23" t="n">
        <f aca="false">IF(I220="",0,IF(COUNTIF(I$16:I220,I220)=1,1,0))</f>
        <v>0</v>
      </c>
      <c r="P220" s="23" t="n">
        <f aca="false">IF(F220="",0,IF(COUNTIF(F$16:F220,F220)=1,1,0))</f>
        <v>0</v>
      </c>
      <c r="Q220" s="0" t="str">
        <f aca="false">IF(B220="","",B220&amp;"|"&amp;C220)</f>
        <v/>
      </c>
      <c r="R220" s="23" t="n">
        <f aca="false">IF(Q220="",0,IF(COUNTIF(Q$16:Q220,Q220)=1,1,0))</f>
        <v>0</v>
      </c>
    </row>
    <row r="221" customFormat="false" ht="15" hidden="false" customHeight="false" outlineLevel="0" collapsed="false">
      <c r="A221" s="0" t="str">
        <f aca="false">IFERROR(MATCH(206,Apparitions!$N$1:$N$5001,0),"")</f>
        <v/>
      </c>
      <c r="B221" s="19" t="str">
        <f aca="false">IF($A221="","",INDEX(Apparitions!$A$1:$A$5001,$A221)&amp;"")</f>
        <v/>
      </c>
      <c r="C221" s="19" t="str">
        <f aca="false">IF($A221="","",INDEX(Apparitions!$B$1:$B$5001,$A221)&amp;"")</f>
        <v/>
      </c>
      <c r="D221" s="20" t="str">
        <f aca="false">IF($A221="","",INDEX(Apparitions!$L$1:$L$5001,$A221))</f>
        <v/>
      </c>
      <c r="E221" s="19" t="str">
        <f aca="false">IF($A221="","",INDEX(Apparitions!$C$1:$C$5001,$A221)&amp;"")</f>
        <v/>
      </c>
      <c r="F221" s="19" t="str">
        <f aca="false">IF($A221="","",INDEX(Apparitions!$H$1:$H$5001,$A221)&amp;"")</f>
        <v/>
      </c>
      <c r="G221" s="19" t="str">
        <f aca="false">IF($A221="","",INDEX(Apparitions!$I$1:$I$5001,$A221)&amp;"")</f>
        <v/>
      </c>
      <c r="H221" s="19" t="str">
        <f aca="false">IF($A221="","",INDEX(Apparitions!$J$1:$J$5001,$A221)&amp;"")</f>
        <v/>
      </c>
      <c r="I221" s="19" t="str">
        <f aca="false">IF($A221="","",INDEX(Apparitions!$G$1:$G$5001,$A221)&amp;"")</f>
        <v/>
      </c>
      <c r="J221" s="19" t="str">
        <f aca="false">IF($A221="","",INDEX(Apparitions!$M$1:$M$5001,$A221)&amp;"")</f>
        <v/>
      </c>
      <c r="K221" s="21" t="str">
        <f aca="false">IF($A221="","",INDEX(Apparitions!$K$1:$K$5001,$A221))</f>
        <v/>
      </c>
      <c r="L221" s="22" t="str">
        <f aca="false">IF($A221="","",INDEX(Apparitions!$E$1:$E$5001,$A221)&amp;"")</f>
        <v/>
      </c>
      <c r="M221" s="19" t="str">
        <f aca="false">IF($A221="","",INDEX(Apparitions!$F$1:$F$5001,$A221)&amp;"")</f>
        <v/>
      </c>
      <c r="O221" s="23" t="n">
        <f aca="false">IF(I221="",0,IF(COUNTIF(I$16:I221,I221)=1,1,0))</f>
        <v>0</v>
      </c>
      <c r="P221" s="23" t="n">
        <f aca="false">IF(F221="",0,IF(COUNTIF(F$16:F221,F221)=1,1,0))</f>
        <v>0</v>
      </c>
      <c r="Q221" s="0" t="str">
        <f aca="false">IF(B221="","",B221&amp;"|"&amp;C221)</f>
        <v/>
      </c>
      <c r="R221" s="23" t="n">
        <f aca="false">IF(Q221="",0,IF(COUNTIF(Q$16:Q221,Q221)=1,1,0))</f>
        <v>0</v>
      </c>
    </row>
    <row r="222" customFormat="false" ht="15" hidden="false" customHeight="false" outlineLevel="0" collapsed="false">
      <c r="A222" s="0" t="str">
        <f aca="false">IFERROR(MATCH(207,Apparitions!$N$1:$N$5001,0),"")</f>
        <v/>
      </c>
      <c r="B222" s="19" t="str">
        <f aca="false">IF($A222="","",INDEX(Apparitions!$A$1:$A$5001,$A222)&amp;"")</f>
        <v/>
      </c>
      <c r="C222" s="19" t="str">
        <f aca="false">IF($A222="","",INDEX(Apparitions!$B$1:$B$5001,$A222)&amp;"")</f>
        <v/>
      </c>
      <c r="D222" s="20" t="str">
        <f aca="false">IF($A222="","",INDEX(Apparitions!$L$1:$L$5001,$A222))</f>
        <v/>
      </c>
      <c r="E222" s="19" t="str">
        <f aca="false">IF($A222="","",INDEX(Apparitions!$C$1:$C$5001,$A222)&amp;"")</f>
        <v/>
      </c>
      <c r="F222" s="19" t="str">
        <f aca="false">IF($A222="","",INDEX(Apparitions!$H$1:$H$5001,$A222)&amp;"")</f>
        <v/>
      </c>
      <c r="G222" s="19" t="str">
        <f aca="false">IF($A222="","",INDEX(Apparitions!$I$1:$I$5001,$A222)&amp;"")</f>
        <v/>
      </c>
      <c r="H222" s="19" t="str">
        <f aca="false">IF($A222="","",INDEX(Apparitions!$J$1:$J$5001,$A222)&amp;"")</f>
        <v/>
      </c>
      <c r="I222" s="19" t="str">
        <f aca="false">IF($A222="","",INDEX(Apparitions!$G$1:$G$5001,$A222)&amp;"")</f>
        <v/>
      </c>
      <c r="J222" s="19" t="str">
        <f aca="false">IF($A222="","",INDEX(Apparitions!$M$1:$M$5001,$A222)&amp;"")</f>
        <v/>
      </c>
      <c r="K222" s="21" t="str">
        <f aca="false">IF($A222="","",INDEX(Apparitions!$K$1:$K$5001,$A222))</f>
        <v/>
      </c>
      <c r="L222" s="22" t="str">
        <f aca="false">IF($A222="","",INDEX(Apparitions!$E$1:$E$5001,$A222)&amp;"")</f>
        <v/>
      </c>
      <c r="M222" s="19" t="str">
        <f aca="false">IF($A222="","",INDEX(Apparitions!$F$1:$F$5001,$A222)&amp;"")</f>
        <v/>
      </c>
      <c r="O222" s="23" t="n">
        <f aca="false">IF(I222="",0,IF(COUNTIF(I$16:I222,I222)=1,1,0))</f>
        <v>0</v>
      </c>
      <c r="P222" s="23" t="n">
        <f aca="false">IF(F222="",0,IF(COUNTIF(F$16:F222,F222)=1,1,0))</f>
        <v>0</v>
      </c>
      <c r="Q222" s="0" t="str">
        <f aca="false">IF(B222="","",B222&amp;"|"&amp;C222)</f>
        <v/>
      </c>
      <c r="R222" s="23" t="n">
        <f aca="false">IF(Q222="",0,IF(COUNTIF(Q$16:Q222,Q222)=1,1,0))</f>
        <v>0</v>
      </c>
    </row>
    <row r="223" customFormat="false" ht="15" hidden="false" customHeight="false" outlineLevel="0" collapsed="false">
      <c r="A223" s="0" t="str">
        <f aca="false">IFERROR(MATCH(208,Apparitions!$N$1:$N$5001,0),"")</f>
        <v/>
      </c>
      <c r="B223" s="19" t="str">
        <f aca="false">IF($A223="","",INDEX(Apparitions!$A$1:$A$5001,$A223)&amp;"")</f>
        <v/>
      </c>
      <c r="C223" s="19" t="str">
        <f aca="false">IF($A223="","",INDEX(Apparitions!$B$1:$B$5001,$A223)&amp;"")</f>
        <v/>
      </c>
      <c r="D223" s="20" t="str">
        <f aca="false">IF($A223="","",INDEX(Apparitions!$L$1:$L$5001,$A223))</f>
        <v/>
      </c>
      <c r="E223" s="19" t="str">
        <f aca="false">IF($A223="","",INDEX(Apparitions!$C$1:$C$5001,$A223)&amp;"")</f>
        <v/>
      </c>
      <c r="F223" s="19" t="str">
        <f aca="false">IF($A223="","",INDEX(Apparitions!$H$1:$H$5001,$A223)&amp;"")</f>
        <v/>
      </c>
      <c r="G223" s="19" t="str">
        <f aca="false">IF($A223="","",INDEX(Apparitions!$I$1:$I$5001,$A223)&amp;"")</f>
        <v/>
      </c>
      <c r="H223" s="19" t="str">
        <f aca="false">IF($A223="","",INDEX(Apparitions!$J$1:$J$5001,$A223)&amp;"")</f>
        <v/>
      </c>
      <c r="I223" s="19" t="str">
        <f aca="false">IF($A223="","",INDEX(Apparitions!$G$1:$G$5001,$A223)&amp;"")</f>
        <v/>
      </c>
      <c r="J223" s="19" t="str">
        <f aca="false">IF($A223="","",INDEX(Apparitions!$M$1:$M$5001,$A223)&amp;"")</f>
        <v/>
      </c>
      <c r="K223" s="21" t="str">
        <f aca="false">IF($A223="","",INDEX(Apparitions!$K$1:$K$5001,$A223))</f>
        <v/>
      </c>
      <c r="L223" s="22" t="str">
        <f aca="false">IF($A223="","",INDEX(Apparitions!$E$1:$E$5001,$A223)&amp;"")</f>
        <v/>
      </c>
      <c r="M223" s="19" t="str">
        <f aca="false">IF($A223="","",INDEX(Apparitions!$F$1:$F$5001,$A223)&amp;"")</f>
        <v/>
      </c>
      <c r="O223" s="23" t="n">
        <f aca="false">IF(I223="",0,IF(COUNTIF(I$16:I223,I223)=1,1,0))</f>
        <v>0</v>
      </c>
      <c r="P223" s="23" t="n">
        <f aca="false">IF(F223="",0,IF(COUNTIF(F$16:F223,F223)=1,1,0))</f>
        <v>0</v>
      </c>
      <c r="Q223" s="0" t="str">
        <f aca="false">IF(B223="","",B223&amp;"|"&amp;C223)</f>
        <v/>
      </c>
      <c r="R223" s="23" t="n">
        <f aca="false">IF(Q223="",0,IF(COUNTIF(Q$16:Q223,Q223)=1,1,0))</f>
        <v>0</v>
      </c>
    </row>
    <row r="224" customFormat="false" ht="15" hidden="false" customHeight="false" outlineLevel="0" collapsed="false">
      <c r="A224" s="0" t="str">
        <f aca="false">IFERROR(MATCH(209,Apparitions!$N$1:$N$5001,0),"")</f>
        <v/>
      </c>
      <c r="B224" s="19" t="str">
        <f aca="false">IF($A224="","",INDEX(Apparitions!$A$1:$A$5001,$A224)&amp;"")</f>
        <v/>
      </c>
      <c r="C224" s="19" t="str">
        <f aca="false">IF($A224="","",INDEX(Apparitions!$B$1:$B$5001,$A224)&amp;"")</f>
        <v/>
      </c>
      <c r="D224" s="20" t="str">
        <f aca="false">IF($A224="","",INDEX(Apparitions!$L$1:$L$5001,$A224))</f>
        <v/>
      </c>
      <c r="E224" s="19" t="str">
        <f aca="false">IF($A224="","",INDEX(Apparitions!$C$1:$C$5001,$A224)&amp;"")</f>
        <v/>
      </c>
      <c r="F224" s="19" t="str">
        <f aca="false">IF($A224="","",INDEX(Apparitions!$H$1:$H$5001,$A224)&amp;"")</f>
        <v/>
      </c>
      <c r="G224" s="19" t="str">
        <f aca="false">IF($A224="","",INDEX(Apparitions!$I$1:$I$5001,$A224)&amp;"")</f>
        <v/>
      </c>
      <c r="H224" s="19" t="str">
        <f aca="false">IF($A224="","",INDEX(Apparitions!$J$1:$J$5001,$A224)&amp;"")</f>
        <v/>
      </c>
      <c r="I224" s="19" t="str">
        <f aca="false">IF($A224="","",INDEX(Apparitions!$G$1:$G$5001,$A224)&amp;"")</f>
        <v/>
      </c>
      <c r="J224" s="19" t="str">
        <f aca="false">IF($A224="","",INDEX(Apparitions!$M$1:$M$5001,$A224)&amp;"")</f>
        <v/>
      </c>
      <c r="K224" s="21" t="str">
        <f aca="false">IF($A224="","",INDEX(Apparitions!$K$1:$K$5001,$A224))</f>
        <v/>
      </c>
      <c r="L224" s="22" t="str">
        <f aca="false">IF($A224="","",INDEX(Apparitions!$E$1:$E$5001,$A224)&amp;"")</f>
        <v/>
      </c>
      <c r="M224" s="19" t="str">
        <f aca="false">IF($A224="","",INDEX(Apparitions!$F$1:$F$5001,$A224)&amp;"")</f>
        <v/>
      </c>
      <c r="O224" s="23" t="n">
        <f aca="false">IF(I224="",0,IF(COUNTIF(I$16:I224,I224)=1,1,0))</f>
        <v>0</v>
      </c>
      <c r="P224" s="23" t="n">
        <f aca="false">IF(F224="",0,IF(COUNTIF(F$16:F224,F224)=1,1,0))</f>
        <v>0</v>
      </c>
      <c r="Q224" s="0" t="str">
        <f aca="false">IF(B224="","",B224&amp;"|"&amp;C224)</f>
        <v/>
      </c>
      <c r="R224" s="23" t="n">
        <f aca="false">IF(Q224="",0,IF(COUNTIF(Q$16:Q224,Q224)=1,1,0))</f>
        <v>0</v>
      </c>
    </row>
    <row r="225" customFormat="false" ht="15" hidden="false" customHeight="false" outlineLevel="0" collapsed="false">
      <c r="A225" s="0" t="str">
        <f aca="false">IFERROR(MATCH(210,Apparitions!$N$1:$N$5001,0),"")</f>
        <v/>
      </c>
      <c r="B225" s="19" t="str">
        <f aca="false">IF($A225="","",INDEX(Apparitions!$A$1:$A$5001,$A225)&amp;"")</f>
        <v/>
      </c>
      <c r="C225" s="19" t="str">
        <f aca="false">IF($A225="","",INDEX(Apparitions!$B$1:$B$5001,$A225)&amp;"")</f>
        <v/>
      </c>
      <c r="D225" s="20" t="str">
        <f aca="false">IF($A225="","",INDEX(Apparitions!$L$1:$L$5001,$A225))</f>
        <v/>
      </c>
      <c r="E225" s="19" t="str">
        <f aca="false">IF($A225="","",INDEX(Apparitions!$C$1:$C$5001,$A225)&amp;"")</f>
        <v/>
      </c>
      <c r="F225" s="19" t="str">
        <f aca="false">IF($A225="","",INDEX(Apparitions!$H$1:$H$5001,$A225)&amp;"")</f>
        <v/>
      </c>
      <c r="G225" s="19" t="str">
        <f aca="false">IF($A225="","",INDEX(Apparitions!$I$1:$I$5001,$A225)&amp;"")</f>
        <v/>
      </c>
      <c r="H225" s="19" t="str">
        <f aca="false">IF($A225="","",INDEX(Apparitions!$J$1:$J$5001,$A225)&amp;"")</f>
        <v/>
      </c>
      <c r="I225" s="19" t="str">
        <f aca="false">IF($A225="","",INDEX(Apparitions!$G$1:$G$5001,$A225)&amp;"")</f>
        <v/>
      </c>
      <c r="J225" s="19" t="str">
        <f aca="false">IF($A225="","",INDEX(Apparitions!$M$1:$M$5001,$A225)&amp;"")</f>
        <v/>
      </c>
      <c r="K225" s="21" t="str">
        <f aca="false">IF($A225="","",INDEX(Apparitions!$K$1:$K$5001,$A225))</f>
        <v/>
      </c>
      <c r="L225" s="22" t="str">
        <f aca="false">IF($A225="","",INDEX(Apparitions!$E$1:$E$5001,$A225)&amp;"")</f>
        <v/>
      </c>
      <c r="M225" s="19" t="str">
        <f aca="false">IF($A225="","",INDEX(Apparitions!$F$1:$F$5001,$A225)&amp;"")</f>
        <v/>
      </c>
      <c r="O225" s="23" t="n">
        <f aca="false">IF(I225="",0,IF(COUNTIF(I$16:I225,I225)=1,1,0))</f>
        <v>0</v>
      </c>
      <c r="P225" s="23" t="n">
        <f aca="false">IF(F225="",0,IF(COUNTIF(F$16:F225,F225)=1,1,0))</f>
        <v>0</v>
      </c>
      <c r="Q225" s="0" t="str">
        <f aca="false">IF(B225="","",B225&amp;"|"&amp;C225)</f>
        <v/>
      </c>
      <c r="R225" s="23" t="n">
        <f aca="false">IF(Q225="",0,IF(COUNTIF(Q$16:Q225,Q225)=1,1,0))</f>
        <v>0</v>
      </c>
    </row>
    <row r="226" customFormat="false" ht="15" hidden="false" customHeight="false" outlineLevel="0" collapsed="false">
      <c r="A226" s="0" t="str">
        <f aca="false">IFERROR(MATCH(211,Apparitions!$N$1:$N$5001,0),"")</f>
        <v/>
      </c>
      <c r="B226" s="19" t="str">
        <f aca="false">IF($A226="","",INDEX(Apparitions!$A$1:$A$5001,$A226)&amp;"")</f>
        <v/>
      </c>
      <c r="C226" s="19" t="str">
        <f aca="false">IF($A226="","",INDEX(Apparitions!$B$1:$B$5001,$A226)&amp;"")</f>
        <v/>
      </c>
      <c r="D226" s="20" t="str">
        <f aca="false">IF($A226="","",INDEX(Apparitions!$L$1:$L$5001,$A226))</f>
        <v/>
      </c>
      <c r="E226" s="19" t="str">
        <f aca="false">IF($A226="","",INDEX(Apparitions!$C$1:$C$5001,$A226)&amp;"")</f>
        <v/>
      </c>
      <c r="F226" s="19" t="str">
        <f aca="false">IF($A226="","",INDEX(Apparitions!$H$1:$H$5001,$A226)&amp;"")</f>
        <v/>
      </c>
      <c r="G226" s="19" t="str">
        <f aca="false">IF($A226="","",INDEX(Apparitions!$I$1:$I$5001,$A226)&amp;"")</f>
        <v/>
      </c>
      <c r="H226" s="19" t="str">
        <f aca="false">IF($A226="","",INDEX(Apparitions!$J$1:$J$5001,$A226)&amp;"")</f>
        <v/>
      </c>
      <c r="I226" s="19" t="str">
        <f aca="false">IF($A226="","",INDEX(Apparitions!$G$1:$G$5001,$A226)&amp;"")</f>
        <v/>
      </c>
      <c r="J226" s="19" t="str">
        <f aca="false">IF($A226="","",INDEX(Apparitions!$M$1:$M$5001,$A226)&amp;"")</f>
        <v/>
      </c>
      <c r="K226" s="21" t="str">
        <f aca="false">IF($A226="","",INDEX(Apparitions!$K$1:$K$5001,$A226))</f>
        <v/>
      </c>
      <c r="L226" s="22" t="str">
        <f aca="false">IF($A226="","",INDEX(Apparitions!$E$1:$E$5001,$A226)&amp;"")</f>
        <v/>
      </c>
      <c r="M226" s="19" t="str">
        <f aca="false">IF($A226="","",INDEX(Apparitions!$F$1:$F$5001,$A226)&amp;"")</f>
        <v/>
      </c>
      <c r="O226" s="23" t="n">
        <f aca="false">IF(I226="",0,IF(COUNTIF(I$16:I226,I226)=1,1,0))</f>
        <v>0</v>
      </c>
      <c r="P226" s="23" t="n">
        <f aca="false">IF(F226="",0,IF(COUNTIF(F$16:F226,F226)=1,1,0))</f>
        <v>0</v>
      </c>
      <c r="Q226" s="0" t="str">
        <f aca="false">IF(B226="","",B226&amp;"|"&amp;C226)</f>
        <v/>
      </c>
      <c r="R226" s="23" t="n">
        <f aca="false">IF(Q226="",0,IF(COUNTIF(Q$16:Q226,Q226)=1,1,0))</f>
        <v>0</v>
      </c>
    </row>
    <row r="227" customFormat="false" ht="15" hidden="false" customHeight="false" outlineLevel="0" collapsed="false">
      <c r="A227" s="0" t="str">
        <f aca="false">IFERROR(MATCH(212,Apparitions!$N$1:$N$5001,0),"")</f>
        <v/>
      </c>
      <c r="B227" s="19" t="str">
        <f aca="false">IF($A227="","",INDEX(Apparitions!$A$1:$A$5001,$A227)&amp;"")</f>
        <v/>
      </c>
      <c r="C227" s="19" t="str">
        <f aca="false">IF($A227="","",INDEX(Apparitions!$B$1:$B$5001,$A227)&amp;"")</f>
        <v/>
      </c>
      <c r="D227" s="20" t="str">
        <f aca="false">IF($A227="","",INDEX(Apparitions!$L$1:$L$5001,$A227))</f>
        <v/>
      </c>
      <c r="E227" s="19" t="str">
        <f aca="false">IF($A227="","",INDEX(Apparitions!$C$1:$C$5001,$A227)&amp;"")</f>
        <v/>
      </c>
      <c r="F227" s="19" t="str">
        <f aca="false">IF($A227="","",INDEX(Apparitions!$H$1:$H$5001,$A227)&amp;"")</f>
        <v/>
      </c>
      <c r="G227" s="19" t="str">
        <f aca="false">IF($A227="","",INDEX(Apparitions!$I$1:$I$5001,$A227)&amp;"")</f>
        <v/>
      </c>
      <c r="H227" s="19" t="str">
        <f aca="false">IF($A227="","",INDEX(Apparitions!$J$1:$J$5001,$A227)&amp;"")</f>
        <v/>
      </c>
      <c r="I227" s="19" t="str">
        <f aca="false">IF($A227="","",INDEX(Apparitions!$G$1:$G$5001,$A227)&amp;"")</f>
        <v/>
      </c>
      <c r="J227" s="19" t="str">
        <f aca="false">IF($A227="","",INDEX(Apparitions!$M$1:$M$5001,$A227)&amp;"")</f>
        <v/>
      </c>
      <c r="K227" s="21" t="str">
        <f aca="false">IF($A227="","",INDEX(Apparitions!$K$1:$K$5001,$A227))</f>
        <v/>
      </c>
      <c r="L227" s="22" t="str">
        <f aca="false">IF($A227="","",INDEX(Apparitions!$E$1:$E$5001,$A227)&amp;"")</f>
        <v/>
      </c>
      <c r="M227" s="19" t="str">
        <f aca="false">IF($A227="","",INDEX(Apparitions!$F$1:$F$5001,$A227)&amp;"")</f>
        <v/>
      </c>
      <c r="O227" s="23" t="n">
        <f aca="false">IF(I227="",0,IF(COUNTIF(I$16:I227,I227)=1,1,0))</f>
        <v>0</v>
      </c>
      <c r="P227" s="23" t="n">
        <f aca="false">IF(F227="",0,IF(COUNTIF(F$16:F227,F227)=1,1,0))</f>
        <v>0</v>
      </c>
      <c r="Q227" s="0" t="str">
        <f aca="false">IF(B227="","",B227&amp;"|"&amp;C227)</f>
        <v/>
      </c>
      <c r="R227" s="23" t="n">
        <f aca="false">IF(Q227="",0,IF(COUNTIF(Q$16:Q227,Q227)=1,1,0))</f>
        <v>0</v>
      </c>
    </row>
    <row r="228" customFormat="false" ht="15" hidden="false" customHeight="false" outlineLevel="0" collapsed="false">
      <c r="A228" s="0" t="str">
        <f aca="false">IFERROR(MATCH(213,Apparitions!$N$1:$N$5001,0),"")</f>
        <v/>
      </c>
      <c r="B228" s="19" t="str">
        <f aca="false">IF($A228="","",INDEX(Apparitions!$A$1:$A$5001,$A228)&amp;"")</f>
        <v/>
      </c>
      <c r="C228" s="19" t="str">
        <f aca="false">IF($A228="","",INDEX(Apparitions!$B$1:$B$5001,$A228)&amp;"")</f>
        <v/>
      </c>
      <c r="D228" s="20" t="str">
        <f aca="false">IF($A228="","",INDEX(Apparitions!$L$1:$L$5001,$A228))</f>
        <v/>
      </c>
      <c r="E228" s="19" t="str">
        <f aca="false">IF($A228="","",INDEX(Apparitions!$C$1:$C$5001,$A228)&amp;"")</f>
        <v/>
      </c>
      <c r="F228" s="19" t="str">
        <f aca="false">IF($A228="","",INDEX(Apparitions!$H$1:$H$5001,$A228)&amp;"")</f>
        <v/>
      </c>
      <c r="G228" s="19" t="str">
        <f aca="false">IF($A228="","",INDEX(Apparitions!$I$1:$I$5001,$A228)&amp;"")</f>
        <v/>
      </c>
      <c r="H228" s="19" t="str">
        <f aca="false">IF($A228="","",INDEX(Apparitions!$J$1:$J$5001,$A228)&amp;"")</f>
        <v/>
      </c>
      <c r="I228" s="19" t="str">
        <f aca="false">IF($A228="","",INDEX(Apparitions!$G$1:$G$5001,$A228)&amp;"")</f>
        <v/>
      </c>
      <c r="J228" s="19" t="str">
        <f aca="false">IF($A228="","",INDEX(Apparitions!$M$1:$M$5001,$A228)&amp;"")</f>
        <v/>
      </c>
      <c r="K228" s="21" t="str">
        <f aca="false">IF($A228="","",INDEX(Apparitions!$K$1:$K$5001,$A228))</f>
        <v/>
      </c>
      <c r="L228" s="22" t="str">
        <f aca="false">IF($A228="","",INDEX(Apparitions!$E$1:$E$5001,$A228)&amp;"")</f>
        <v/>
      </c>
      <c r="M228" s="19" t="str">
        <f aca="false">IF($A228="","",INDEX(Apparitions!$F$1:$F$5001,$A228)&amp;"")</f>
        <v/>
      </c>
      <c r="O228" s="23" t="n">
        <f aca="false">IF(I228="",0,IF(COUNTIF(I$16:I228,I228)=1,1,0))</f>
        <v>0</v>
      </c>
      <c r="P228" s="23" t="n">
        <f aca="false">IF(F228="",0,IF(COUNTIF(F$16:F228,F228)=1,1,0))</f>
        <v>0</v>
      </c>
      <c r="Q228" s="0" t="str">
        <f aca="false">IF(B228="","",B228&amp;"|"&amp;C228)</f>
        <v/>
      </c>
      <c r="R228" s="23" t="n">
        <f aca="false">IF(Q228="",0,IF(COUNTIF(Q$16:Q228,Q228)=1,1,0))</f>
        <v>0</v>
      </c>
    </row>
    <row r="229" customFormat="false" ht="15" hidden="false" customHeight="false" outlineLevel="0" collapsed="false">
      <c r="A229" s="0" t="str">
        <f aca="false">IFERROR(MATCH(214,Apparitions!$N$1:$N$5001,0),"")</f>
        <v/>
      </c>
      <c r="B229" s="19" t="str">
        <f aca="false">IF($A229="","",INDEX(Apparitions!$A$1:$A$5001,$A229)&amp;"")</f>
        <v/>
      </c>
      <c r="C229" s="19" t="str">
        <f aca="false">IF($A229="","",INDEX(Apparitions!$B$1:$B$5001,$A229)&amp;"")</f>
        <v/>
      </c>
      <c r="D229" s="20" t="str">
        <f aca="false">IF($A229="","",INDEX(Apparitions!$L$1:$L$5001,$A229))</f>
        <v/>
      </c>
      <c r="E229" s="19" t="str">
        <f aca="false">IF($A229="","",INDEX(Apparitions!$C$1:$C$5001,$A229)&amp;"")</f>
        <v/>
      </c>
      <c r="F229" s="19" t="str">
        <f aca="false">IF($A229="","",INDEX(Apparitions!$H$1:$H$5001,$A229)&amp;"")</f>
        <v/>
      </c>
      <c r="G229" s="19" t="str">
        <f aca="false">IF($A229="","",INDEX(Apparitions!$I$1:$I$5001,$A229)&amp;"")</f>
        <v/>
      </c>
      <c r="H229" s="19" t="str">
        <f aca="false">IF($A229="","",INDEX(Apparitions!$J$1:$J$5001,$A229)&amp;"")</f>
        <v/>
      </c>
      <c r="I229" s="19" t="str">
        <f aca="false">IF($A229="","",INDEX(Apparitions!$G$1:$G$5001,$A229)&amp;"")</f>
        <v/>
      </c>
      <c r="J229" s="19" t="str">
        <f aca="false">IF($A229="","",INDEX(Apparitions!$M$1:$M$5001,$A229)&amp;"")</f>
        <v/>
      </c>
      <c r="K229" s="21" t="str">
        <f aca="false">IF($A229="","",INDEX(Apparitions!$K$1:$K$5001,$A229))</f>
        <v/>
      </c>
      <c r="L229" s="22" t="str">
        <f aca="false">IF($A229="","",INDEX(Apparitions!$E$1:$E$5001,$A229)&amp;"")</f>
        <v/>
      </c>
      <c r="M229" s="19" t="str">
        <f aca="false">IF($A229="","",INDEX(Apparitions!$F$1:$F$5001,$A229)&amp;"")</f>
        <v/>
      </c>
      <c r="O229" s="23" t="n">
        <f aca="false">IF(I229="",0,IF(COUNTIF(I$16:I229,I229)=1,1,0))</f>
        <v>0</v>
      </c>
      <c r="P229" s="23" t="n">
        <f aca="false">IF(F229="",0,IF(COUNTIF(F$16:F229,F229)=1,1,0))</f>
        <v>0</v>
      </c>
      <c r="Q229" s="0" t="str">
        <f aca="false">IF(B229="","",B229&amp;"|"&amp;C229)</f>
        <v/>
      </c>
      <c r="R229" s="23" t="n">
        <f aca="false">IF(Q229="",0,IF(COUNTIF(Q$16:Q229,Q229)=1,1,0))</f>
        <v>0</v>
      </c>
    </row>
    <row r="230" customFormat="false" ht="15" hidden="false" customHeight="false" outlineLevel="0" collapsed="false">
      <c r="A230" s="0" t="str">
        <f aca="false">IFERROR(MATCH(215,Apparitions!$N$1:$N$5001,0),"")</f>
        <v/>
      </c>
      <c r="B230" s="19" t="str">
        <f aca="false">IF($A230="","",INDEX(Apparitions!$A$1:$A$5001,$A230)&amp;"")</f>
        <v/>
      </c>
      <c r="C230" s="19" t="str">
        <f aca="false">IF($A230="","",INDEX(Apparitions!$B$1:$B$5001,$A230)&amp;"")</f>
        <v/>
      </c>
      <c r="D230" s="20" t="str">
        <f aca="false">IF($A230="","",INDEX(Apparitions!$L$1:$L$5001,$A230))</f>
        <v/>
      </c>
      <c r="E230" s="19" t="str">
        <f aca="false">IF($A230="","",INDEX(Apparitions!$C$1:$C$5001,$A230)&amp;"")</f>
        <v/>
      </c>
      <c r="F230" s="19" t="str">
        <f aca="false">IF($A230="","",INDEX(Apparitions!$H$1:$H$5001,$A230)&amp;"")</f>
        <v/>
      </c>
      <c r="G230" s="19" t="str">
        <f aca="false">IF($A230="","",INDEX(Apparitions!$I$1:$I$5001,$A230)&amp;"")</f>
        <v/>
      </c>
      <c r="H230" s="19" t="str">
        <f aca="false">IF($A230="","",INDEX(Apparitions!$J$1:$J$5001,$A230)&amp;"")</f>
        <v/>
      </c>
      <c r="I230" s="19" t="str">
        <f aca="false">IF($A230="","",INDEX(Apparitions!$G$1:$G$5001,$A230)&amp;"")</f>
        <v/>
      </c>
      <c r="J230" s="19" t="str">
        <f aca="false">IF($A230="","",INDEX(Apparitions!$M$1:$M$5001,$A230)&amp;"")</f>
        <v/>
      </c>
      <c r="K230" s="21" t="str">
        <f aca="false">IF($A230="","",INDEX(Apparitions!$K$1:$K$5001,$A230))</f>
        <v/>
      </c>
      <c r="L230" s="22" t="str">
        <f aca="false">IF($A230="","",INDEX(Apparitions!$E$1:$E$5001,$A230)&amp;"")</f>
        <v/>
      </c>
      <c r="M230" s="19" t="str">
        <f aca="false">IF($A230="","",INDEX(Apparitions!$F$1:$F$5001,$A230)&amp;"")</f>
        <v/>
      </c>
      <c r="O230" s="23" t="n">
        <f aca="false">IF(I230="",0,IF(COUNTIF(I$16:I230,I230)=1,1,0))</f>
        <v>0</v>
      </c>
      <c r="P230" s="23" t="n">
        <f aca="false">IF(F230="",0,IF(COUNTIF(F$16:F230,F230)=1,1,0))</f>
        <v>0</v>
      </c>
      <c r="Q230" s="0" t="str">
        <f aca="false">IF(B230="","",B230&amp;"|"&amp;C230)</f>
        <v/>
      </c>
      <c r="R230" s="23" t="n">
        <f aca="false">IF(Q230="",0,IF(COUNTIF(Q$16:Q230,Q230)=1,1,0))</f>
        <v>0</v>
      </c>
    </row>
    <row r="231" customFormat="false" ht="15" hidden="false" customHeight="false" outlineLevel="0" collapsed="false">
      <c r="A231" s="0" t="str">
        <f aca="false">IFERROR(MATCH(216,Apparitions!$N$1:$N$5001,0),"")</f>
        <v/>
      </c>
      <c r="B231" s="19" t="str">
        <f aca="false">IF($A231="","",INDEX(Apparitions!$A$1:$A$5001,$A231)&amp;"")</f>
        <v/>
      </c>
      <c r="C231" s="19" t="str">
        <f aca="false">IF($A231="","",INDEX(Apparitions!$B$1:$B$5001,$A231)&amp;"")</f>
        <v/>
      </c>
      <c r="D231" s="20" t="str">
        <f aca="false">IF($A231="","",INDEX(Apparitions!$L$1:$L$5001,$A231))</f>
        <v/>
      </c>
      <c r="E231" s="19" t="str">
        <f aca="false">IF($A231="","",INDEX(Apparitions!$C$1:$C$5001,$A231)&amp;"")</f>
        <v/>
      </c>
      <c r="F231" s="19" t="str">
        <f aca="false">IF($A231="","",INDEX(Apparitions!$H$1:$H$5001,$A231)&amp;"")</f>
        <v/>
      </c>
      <c r="G231" s="19" t="str">
        <f aca="false">IF($A231="","",INDEX(Apparitions!$I$1:$I$5001,$A231)&amp;"")</f>
        <v/>
      </c>
      <c r="H231" s="19" t="str">
        <f aca="false">IF($A231="","",INDEX(Apparitions!$J$1:$J$5001,$A231)&amp;"")</f>
        <v/>
      </c>
      <c r="I231" s="19" t="str">
        <f aca="false">IF($A231="","",INDEX(Apparitions!$G$1:$G$5001,$A231)&amp;"")</f>
        <v/>
      </c>
      <c r="J231" s="19" t="str">
        <f aca="false">IF($A231="","",INDEX(Apparitions!$M$1:$M$5001,$A231)&amp;"")</f>
        <v/>
      </c>
      <c r="K231" s="21" t="str">
        <f aca="false">IF($A231="","",INDEX(Apparitions!$K$1:$K$5001,$A231))</f>
        <v/>
      </c>
      <c r="L231" s="22" t="str">
        <f aca="false">IF($A231="","",INDEX(Apparitions!$E$1:$E$5001,$A231)&amp;"")</f>
        <v/>
      </c>
      <c r="M231" s="19" t="str">
        <f aca="false">IF($A231="","",INDEX(Apparitions!$F$1:$F$5001,$A231)&amp;"")</f>
        <v/>
      </c>
      <c r="O231" s="23" t="n">
        <f aca="false">IF(I231="",0,IF(COUNTIF(I$16:I231,I231)=1,1,0))</f>
        <v>0</v>
      </c>
      <c r="P231" s="23" t="n">
        <f aca="false">IF(F231="",0,IF(COUNTIF(F$16:F231,F231)=1,1,0))</f>
        <v>0</v>
      </c>
      <c r="Q231" s="0" t="str">
        <f aca="false">IF(B231="","",B231&amp;"|"&amp;C231)</f>
        <v/>
      </c>
      <c r="R231" s="23" t="n">
        <f aca="false">IF(Q231="",0,IF(COUNTIF(Q$16:Q231,Q231)=1,1,0))</f>
        <v>0</v>
      </c>
    </row>
    <row r="232" customFormat="false" ht="15" hidden="false" customHeight="false" outlineLevel="0" collapsed="false">
      <c r="A232" s="0" t="str">
        <f aca="false">IFERROR(MATCH(217,Apparitions!$N$1:$N$5001,0),"")</f>
        <v/>
      </c>
      <c r="B232" s="19" t="str">
        <f aca="false">IF($A232="","",INDEX(Apparitions!$A$1:$A$5001,$A232)&amp;"")</f>
        <v/>
      </c>
      <c r="C232" s="19" t="str">
        <f aca="false">IF($A232="","",INDEX(Apparitions!$B$1:$B$5001,$A232)&amp;"")</f>
        <v/>
      </c>
      <c r="D232" s="20" t="str">
        <f aca="false">IF($A232="","",INDEX(Apparitions!$L$1:$L$5001,$A232))</f>
        <v/>
      </c>
      <c r="E232" s="19" t="str">
        <f aca="false">IF($A232="","",INDEX(Apparitions!$C$1:$C$5001,$A232)&amp;"")</f>
        <v/>
      </c>
      <c r="F232" s="19" t="str">
        <f aca="false">IF($A232="","",INDEX(Apparitions!$H$1:$H$5001,$A232)&amp;"")</f>
        <v/>
      </c>
      <c r="G232" s="19" t="str">
        <f aca="false">IF($A232="","",INDEX(Apparitions!$I$1:$I$5001,$A232)&amp;"")</f>
        <v/>
      </c>
      <c r="H232" s="19" t="str">
        <f aca="false">IF($A232="","",INDEX(Apparitions!$J$1:$J$5001,$A232)&amp;"")</f>
        <v/>
      </c>
      <c r="I232" s="19" t="str">
        <f aca="false">IF($A232="","",INDEX(Apparitions!$G$1:$G$5001,$A232)&amp;"")</f>
        <v/>
      </c>
      <c r="J232" s="19" t="str">
        <f aca="false">IF($A232="","",INDEX(Apparitions!$M$1:$M$5001,$A232)&amp;"")</f>
        <v/>
      </c>
      <c r="K232" s="21" t="str">
        <f aca="false">IF($A232="","",INDEX(Apparitions!$K$1:$K$5001,$A232))</f>
        <v/>
      </c>
      <c r="L232" s="22" t="str">
        <f aca="false">IF($A232="","",INDEX(Apparitions!$E$1:$E$5001,$A232)&amp;"")</f>
        <v/>
      </c>
      <c r="M232" s="19" t="str">
        <f aca="false">IF($A232="","",INDEX(Apparitions!$F$1:$F$5001,$A232)&amp;"")</f>
        <v/>
      </c>
      <c r="O232" s="23" t="n">
        <f aca="false">IF(I232="",0,IF(COUNTIF(I$16:I232,I232)=1,1,0))</f>
        <v>0</v>
      </c>
      <c r="P232" s="23" t="n">
        <f aca="false">IF(F232="",0,IF(COUNTIF(F$16:F232,F232)=1,1,0))</f>
        <v>0</v>
      </c>
      <c r="Q232" s="0" t="str">
        <f aca="false">IF(B232="","",B232&amp;"|"&amp;C232)</f>
        <v/>
      </c>
      <c r="R232" s="23" t="n">
        <f aca="false">IF(Q232="",0,IF(COUNTIF(Q$16:Q232,Q232)=1,1,0))</f>
        <v>0</v>
      </c>
    </row>
    <row r="233" customFormat="false" ht="15" hidden="false" customHeight="false" outlineLevel="0" collapsed="false">
      <c r="A233" s="0" t="str">
        <f aca="false">IFERROR(MATCH(218,Apparitions!$N$1:$N$5001,0),"")</f>
        <v/>
      </c>
      <c r="B233" s="19" t="str">
        <f aca="false">IF($A233="","",INDEX(Apparitions!$A$1:$A$5001,$A233)&amp;"")</f>
        <v/>
      </c>
      <c r="C233" s="19" t="str">
        <f aca="false">IF($A233="","",INDEX(Apparitions!$B$1:$B$5001,$A233)&amp;"")</f>
        <v/>
      </c>
      <c r="D233" s="20" t="str">
        <f aca="false">IF($A233="","",INDEX(Apparitions!$L$1:$L$5001,$A233))</f>
        <v/>
      </c>
      <c r="E233" s="19" t="str">
        <f aca="false">IF($A233="","",INDEX(Apparitions!$C$1:$C$5001,$A233)&amp;"")</f>
        <v/>
      </c>
      <c r="F233" s="19" t="str">
        <f aca="false">IF($A233="","",INDEX(Apparitions!$H$1:$H$5001,$A233)&amp;"")</f>
        <v/>
      </c>
      <c r="G233" s="19" t="str">
        <f aca="false">IF($A233="","",INDEX(Apparitions!$I$1:$I$5001,$A233)&amp;"")</f>
        <v/>
      </c>
      <c r="H233" s="19" t="str">
        <f aca="false">IF($A233="","",INDEX(Apparitions!$J$1:$J$5001,$A233)&amp;"")</f>
        <v/>
      </c>
      <c r="I233" s="19" t="str">
        <f aca="false">IF($A233="","",INDEX(Apparitions!$G$1:$G$5001,$A233)&amp;"")</f>
        <v/>
      </c>
      <c r="J233" s="19" t="str">
        <f aca="false">IF($A233="","",INDEX(Apparitions!$M$1:$M$5001,$A233)&amp;"")</f>
        <v/>
      </c>
      <c r="K233" s="21" t="str">
        <f aca="false">IF($A233="","",INDEX(Apparitions!$K$1:$K$5001,$A233))</f>
        <v/>
      </c>
      <c r="L233" s="22" t="str">
        <f aca="false">IF($A233="","",INDEX(Apparitions!$E$1:$E$5001,$A233)&amp;"")</f>
        <v/>
      </c>
      <c r="M233" s="19" t="str">
        <f aca="false">IF($A233="","",INDEX(Apparitions!$F$1:$F$5001,$A233)&amp;"")</f>
        <v/>
      </c>
      <c r="O233" s="23" t="n">
        <f aca="false">IF(I233="",0,IF(COUNTIF(I$16:I233,I233)=1,1,0))</f>
        <v>0</v>
      </c>
      <c r="P233" s="23" t="n">
        <f aca="false">IF(F233="",0,IF(COUNTIF(F$16:F233,F233)=1,1,0))</f>
        <v>0</v>
      </c>
      <c r="Q233" s="0" t="str">
        <f aca="false">IF(B233="","",B233&amp;"|"&amp;C233)</f>
        <v/>
      </c>
      <c r="R233" s="23" t="n">
        <f aca="false">IF(Q233="",0,IF(COUNTIF(Q$16:Q233,Q233)=1,1,0))</f>
        <v>0</v>
      </c>
    </row>
    <row r="234" customFormat="false" ht="15" hidden="false" customHeight="false" outlineLevel="0" collapsed="false">
      <c r="A234" s="0" t="str">
        <f aca="false">IFERROR(MATCH(219,Apparitions!$N$1:$N$5001,0),"")</f>
        <v/>
      </c>
      <c r="B234" s="19" t="str">
        <f aca="false">IF($A234="","",INDEX(Apparitions!$A$1:$A$5001,$A234)&amp;"")</f>
        <v/>
      </c>
      <c r="C234" s="19" t="str">
        <f aca="false">IF($A234="","",INDEX(Apparitions!$B$1:$B$5001,$A234)&amp;"")</f>
        <v/>
      </c>
      <c r="D234" s="20" t="str">
        <f aca="false">IF($A234="","",INDEX(Apparitions!$L$1:$L$5001,$A234))</f>
        <v/>
      </c>
      <c r="E234" s="19" t="str">
        <f aca="false">IF($A234="","",INDEX(Apparitions!$C$1:$C$5001,$A234)&amp;"")</f>
        <v/>
      </c>
      <c r="F234" s="19" t="str">
        <f aca="false">IF($A234="","",INDEX(Apparitions!$H$1:$H$5001,$A234)&amp;"")</f>
        <v/>
      </c>
      <c r="G234" s="19" t="str">
        <f aca="false">IF($A234="","",INDEX(Apparitions!$I$1:$I$5001,$A234)&amp;"")</f>
        <v/>
      </c>
      <c r="H234" s="19" t="str">
        <f aca="false">IF($A234="","",INDEX(Apparitions!$J$1:$J$5001,$A234)&amp;"")</f>
        <v/>
      </c>
      <c r="I234" s="19" t="str">
        <f aca="false">IF($A234="","",INDEX(Apparitions!$G$1:$G$5001,$A234)&amp;"")</f>
        <v/>
      </c>
      <c r="J234" s="19" t="str">
        <f aca="false">IF($A234="","",INDEX(Apparitions!$M$1:$M$5001,$A234)&amp;"")</f>
        <v/>
      </c>
      <c r="K234" s="21" t="str">
        <f aca="false">IF($A234="","",INDEX(Apparitions!$K$1:$K$5001,$A234))</f>
        <v/>
      </c>
      <c r="L234" s="22" t="str">
        <f aca="false">IF($A234="","",INDEX(Apparitions!$E$1:$E$5001,$A234)&amp;"")</f>
        <v/>
      </c>
      <c r="M234" s="19" t="str">
        <f aca="false">IF($A234="","",INDEX(Apparitions!$F$1:$F$5001,$A234)&amp;"")</f>
        <v/>
      </c>
      <c r="O234" s="23" t="n">
        <f aca="false">IF(I234="",0,IF(COUNTIF(I$16:I234,I234)=1,1,0))</f>
        <v>0</v>
      </c>
      <c r="P234" s="23" t="n">
        <f aca="false">IF(F234="",0,IF(COUNTIF(F$16:F234,F234)=1,1,0))</f>
        <v>0</v>
      </c>
      <c r="Q234" s="0" t="str">
        <f aca="false">IF(B234="","",B234&amp;"|"&amp;C234)</f>
        <v/>
      </c>
      <c r="R234" s="23" t="n">
        <f aca="false">IF(Q234="",0,IF(COUNTIF(Q$16:Q234,Q234)=1,1,0))</f>
        <v>0</v>
      </c>
    </row>
    <row r="235" customFormat="false" ht="15" hidden="false" customHeight="false" outlineLevel="0" collapsed="false">
      <c r="A235" s="0" t="str">
        <f aca="false">IFERROR(MATCH(220,Apparitions!$N$1:$N$5001,0),"")</f>
        <v/>
      </c>
      <c r="B235" s="19" t="str">
        <f aca="false">IF($A235="","",INDEX(Apparitions!$A$1:$A$5001,$A235)&amp;"")</f>
        <v/>
      </c>
      <c r="C235" s="19" t="str">
        <f aca="false">IF($A235="","",INDEX(Apparitions!$B$1:$B$5001,$A235)&amp;"")</f>
        <v/>
      </c>
      <c r="D235" s="20" t="str">
        <f aca="false">IF($A235="","",INDEX(Apparitions!$L$1:$L$5001,$A235))</f>
        <v/>
      </c>
      <c r="E235" s="19" t="str">
        <f aca="false">IF($A235="","",INDEX(Apparitions!$C$1:$C$5001,$A235)&amp;"")</f>
        <v/>
      </c>
      <c r="F235" s="19" t="str">
        <f aca="false">IF($A235="","",INDEX(Apparitions!$H$1:$H$5001,$A235)&amp;"")</f>
        <v/>
      </c>
      <c r="G235" s="19" t="str">
        <f aca="false">IF($A235="","",INDEX(Apparitions!$I$1:$I$5001,$A235)&amp;"")</f>
        <v/>
      </c>
      <c r="H235" s="19" t="str">
        <f aca="false">IF($A235="","",INDEX(Apparitions!$J$1:$J$5001,$A235)&amp;"")</f>
        <v/>
      </c>
      <c r="I235" s="19" t="str">
        <f aca="false">IF($A235="","",INDEX(Apparitions!$G$1:$G$5001,$A235)&amp;"")</f>
        <v/>
      </c>
      <c r="J235" s="19" t="str">
        <f aca="false">IF($A235="","",INDEX(Apparitions!$M$1:$M$5001,$A235)&amp;"")</f>
        <v/>
      </c>
      <c r="K235" s="21" t="str">
        <f aca="false">IF($A235="","",INDEX(Apparitions!$K$1:$K$5001,$A235))</f>
        <v/>
      </c>
      <c r="L235" s="22" t="str">
        <f aca="false">IF($A235="","",INDEX(Apparitions!$E$1:$E$5001,$A235)&amp;"")</f>
        <v/>
      </c>
      <c r="M235" s="19" t="str">
        <f aca="false">IF($A235="","",INDEX(Apparitions!$F$1:$F$5001,$A235)&amp;"")</f>
        <v/>
      </c>
      <c r="O235" s="23" t="n">
        <f aca="false">IF(I235="",0,IF(COUNTIF(I$16:I235,I235)=1,1,0))</f>
        <v>0</v>
      </c>
      <c r="P235" s="23" t="n">
        <f aca="false">IF(F235="",0,IF(COUNTIF(F$16:F235,F235)=1,1,0))</f>
        <v>0</v>
      </c>
      <c r="Q235" s="0" t="str">
        <f aca="false">IF(B235="","",B235&amp;"|"&amp;C235)</f>
        <v/>
      </c>
      <c r="R235" s="23" t="n">
        <f aca="false">IF(Q235="",0,IF(COUNTIF(Q$16:Q235,Q235)=1,1,0))</f>
        <v>0</v>
      </c>
    </row>
    <row r="236" customFormat="false" ht="15" hidden="false" customHeight="false" outlineLevel="0" collapsed="false">
      <c r="A236" s="0" t="str">
        <f aca="false">IFERROR(MATCH(221,Apparitions!$N$1:$N$5001,0),"")</f>
        <v/>
      </c>
      <c r="B236" s="19" t="str">
        <f aca="false">IF($A236="","",INDEX(Apparitions!$A$1:$A$5001,$A236)&amp;"")</f>
        <v/>
      </c>
      <c r="C236" s="19" t="str">
        <f aca="false">IF($A236="","",INDEX(Apparitions!$B$1:$B$5001,$A236)&amp;"")</f>
        <v/>
      </c>
      <c r="D236" s="20" t="str">
        <f aca="false">IF($A236="","",INDEX(Apparitions!$L$1:$L$5001,$A236))</f>
        <v/>
      </c>
      <c r="E236" s="19" t="str">
        <f aca="false">IF($A236="","",INDEX(Apparitions!$C$1:$C$5001,$A236)&amp;"")</f>
        <v/>
      </c>
      <c r="F236" s="19" t="str">
        <f aca="false">IF($A236="","",INDEX(Apparitions!$H$1:$H$5001,$A236)&amp;"")</f>
        <v/>
      </c>
      <c r="G236" s="19" t="str">
        <f aca="false">IF($A236="","",INDEX(Apparitions!$I$1:$I$5001,$A236)&amp;"")</f>
        <v/>
      </c>
      <c r="H236" s="19" t="str">
        <f aca="false">IF($A236="","",INDEX(Apparitions!$J$1:$J$5001,$A236)&amp;"")</f>
        <v/>
      </c>
      <c r="I236" s="19" t="str">
        <f aca="false">IF($A236="","",INDEX(Apparitions!$G$1:$G$5001,$A236)&amp;"")</f>
        <v/>
      </c>
      <c r="J236" s="19" t="str">
        <f aca="false">IF($A236="","",INDEX(Apparitions!$M$1:$M$5001,$A236)&amp;"")</f>
        <v/>
      </c>
      <c r="K236" s="21" t="str">
        <f aca="false">IF($A236="","",INDEX(Apparitions!$K$1:$K$5001,$A236))</f>
        <v/>
      </c>
      <c r="L236" s="22" t="str">
        <f aca="false">IF($A236="","",INDEX(Apparitions!$E$1:$E$5001,$A236)&amp;"")</f>
        <v/>
      </c>
      <c r="M236" s="19" t="str">
        <f aca="false">IF($A236="","",INDEX(Apparitions!$F$1:$F$5001,$A236)&amp;"")</f>
        <v/>
      </c>
      <c r="O236" s="23" t="n">
        <f aca="false">IF(I236="",0,IF(COUNTIF(I$16:I236,I236)=1,1,0))</f>
        <v>0</v>
      </c>
      <c r="P236" s="23" t="n">
        <f aca="false">IF(F236="",0,IF(COUNTIF(F$16:F236,F236)=1,1,0))</f>
        <v>0</v>
      </c>
      <c r="Q236" s="0" t="str">
        <f aca="false">IF(B236="","",B236&amp;"|"&amp;C236)</f>
        <v/>
      </c>
      <c r="R236" s="23" t="n">
        <f aca="false">IF(Q236="",0,IF(COUNTIF(Q$16:Q236,Q236)=1,1,0))</f>
        <v>0</v>
      </c>
    </row>
    <row r="237" customFormat="false" ht="15" hidden="false" customHeight="false" outlineLevel="0" collapsed="false">
      <c r="A237" s="0" t="str">
        <f aca="false">IFERROR(MATCH(222,Apparitions!$N$1:$N$5001,0),"")</f>
        <v/>
      </c>
      <c r="B237" s="19" t="str">
        <f aca="false">IF($A237="","",INDEX(Apparitions!$A$1:$A$5001,$A237)&amp;"")</f>
        <v/>
      </c>
      <c r="C237" s="19" t="str">
        <f aca="false">IF($A237="","",INDEX(Apparitions!$B$1:$B$5001,$A237)&amp;"")</f>
        <v/>
      </c>
      <c r="D237" s="20" t="str">
        <f aca="false">IF($A237="","",INDEX(Apparitions!$L$1:$L$5001,$A237))</f>
        <v/>
      </c>
      <c r="E237" s="19" t="str">
        <f aca="false">IF($A237="","",INDEX(Apparitions!$C$1:$C$5001,$A237)&amp;"")</f>
        <v/>
      </c>
      <c r="F237" s="19" t="str">
        <f aca="false">IF($A237="","",INDEX(Apparitions!$H$1:$H$5001,$A237)&amp;"")</f>
        <v/>
      </c>
      <c r="G237" s="19" t="str">
        <f aca="false">IF($A237="","",INDEX(Apparitions!$I$1:$I$5001,$A237)&amp;"")</f>
        <v/>
      </c>
      <c r="H237" s="19" t="str">
        <f aca="false">IF($A237="","",INDEX(Apparitions!$J$1:$J$5001,$A237)&amp;"")</f>
        <v/>
      </c>
      <c r="I237" s="19" t="str">
        <f aca="false">IF($A237="","",INDEX(Apparitions!$G$1:$G$5001,$A237)&amp;"")</f>
        <v/>
      </c>
      <c r="J237" s="19" t="str">
        <f aca="false">IF($A237="","",INDEX(Apparitions!$M$1:$M$5001,$A237)&amp;"")</f>
        <v/>
      </c>
      <c r="K237" s="21" t="str">
        <f aca="false">IF($A237="","",INDEX(Apparitions!$K$1:$K$5001,$A237))</f>
        <v/>
      </c>
      <c r="L237" s="22" t="str">
        <f aca="false">IF($A237="","",INDEX(Apparitions!$E$1:$E$5001,$A237)&amp;"")</f>
        <v/>
      </c>
      <c r="M237" s="19" t="str">
        <f aca="false">IF($A237="","",INDEX(Apparitions!$F$1:$F$5001,$A237)&amp;"")</f>
        <v/>
      </c>
      <c r="O237" s="23" t="n">
        <f aca="false">IF(I237="",0,IF(COUNTIF(I$16:I237,I237)=1,1,0))</f>
        <v>0</v>
      </c>
      <c r="P237" s="23" t="n">
        <f aca="false">IF(F237="",0,IF(COUNTIF(F$16:F237,F237)=1,1,0))</f>
        <v>0</v>
      </c>
      <c r="Q237" s="0" t="str">
        <f aca="false">IF(B237="","",B237&amp;"|"&amp;C237)</f>
        <v/>
      </c>
      <c r="R237" s="23" t="n">
        <f aca="false">IF(Q237="",0,IF(COUNTIF(Q$16:Q237,Q237)=1,1,0))</f>
        <v>0</v>
      </c>
    </row>
    <row r="238" customFormat="false" ht="15" hidden="false" customHeight="false" outlineLevel="0" collapsed="false">
      <c r="A238" s="0" t="str">
        <f aca="false">IFERROR(MATCH(223,Apparitions!$N$1:$N$5001,0),"")</f>
        <v/>
      </c>
      <c r="B238" s="19" t="str">
        <f aca="false">IF($A238="","",INDEX(Apparitions!$A$1:$A$5001,$A238)&amp;"")</f>
        <v/>
      </c>
      <c r="C238" s="19" t="str">
        <f aca="false">IF($A238="","",INDEX(Apparitions!$B$1:$B$5001,$A238)&amp;"")</f>
        <v/>
      </c>
      <c r="D238" s="20" t="str">
        <f aca="false">IF($A238="","",INDEX(Apparitions!$L$1:$L$5001,$A238))</f>
        <v/>
      </c>
      <c r="E238" s="19" t="str">
        <f aca="false">IF($A238="","",INDEX(Apparitions!$C$1:$C$5001,$A238)&amp;"")</f>
        <v/>
      </c>
      <c r="F238" s="19" t="str">
        <f aca="false">IF($A238="","",INDEX(Apparitions!$H$1:$H$5001,$A238)&amp;"")</f>
        <v/>
      </c>
      <c r="G238" s="19" t="str">
        <f aca="false">IF($A238="","",INDEX(Apparitions!$I$1:$I$5001,$A238)&amp;"")</f>
        <v/>
      </c>
      <c r="H238" s="19" t="str">
        <f aca="false">IF($A238="","",INDEX(Apparitions!$J$1:$J$5001,$A238)&amp;"")</f>
        <v/>
      </c>
      <c r="I238" s="19" t="str">
        <f aca="false">IF($A238="","",INDEX(Apparitions!$G$1:$G$5001,$A238)&amp;"")</f>
        <v/>
      </c>
      <c r="J238" s="19" t="str">
        <f aca="false">IF($A238="","",INDEX(Apparitions!$M$1:$M$5001,$A238)&amp;"")</f>
        <v/>
      </c>
      <c r="K238" s="21" t="str">
        <f aca="false">IF($A238="","",INDEX(Apparitions!$K$1:$K$5001,$A238))</f>
        <v/>
      </c>
      <c r="L238" s="22" t="str">
        <f aca="false">IF($A238="","",INDEX(Apparitions!$E$1:$E$5001,$A238)&amp;"")</f>
        <v/>
      </c>
      <c r="M238" s="19" t="str">
        <f aca="false">IF($A238="","",INDEX(Apparitions!$F$1:$F$5001,$A238)&amp;"")</f>
        <v/>
      </c>
      <c r="O238" s="23" t="n">
        <f aca="false">IF(I238="",0,IF(COUNTIF(I$16:I238,I238)=1,1,0))</f>
        <v>0</v>
      </c>
      <c r="P238" s="23" t="n">
        <f aca="false">IF(F238="",0,IF(COUNTIF(F$16:F238,F238)=1,1,0))</f>
        <v>0</v>
      </c>
      <c r="Q238" s="0" t="str">
        <f aca="false">IF(B238="","",B238&amp;"|"&amp;C238)</f>
        <v/>
      </c>
      <c r="R238" s="23" t="n">
        <f aca="false">IF(Q238="",0,IF(COUNTIF(Q$16:Q238,Q238)=1,1,0))</f>
        <v>0</v>
      </c>
    </row>
    <row r="239" customFormat="false" ht="15" hidden="false" customHeight="false" outlineLevel="0" collapsed="false">
      <c r="A239" s="0" t="str">
        <f aca="false">IFERROR(MATCH(224,Apparitions!$N$1:$N$5001,0),"")</f>
        <v/>
      </c>
      <c r="B239" s="19" t="str">
        <f aca="false">IF($A239="","",INDEX(Apparitions!$A$1:$A$5001,$A239)&amp;"")</f>
        <v/>
      </c>
      <c r="C239" s="19" t="str">
        <f aca="false">IF($A239="","",INDEX(Apparitions!$B$1:$B$5001,$A239)&amp;"")</f>
        <v/>
      </c>
      <c r="D239" s="20" t="str">
        <f aca="false">IF($A239="","",INDEX(Apparitions!$L$1:$L$5001,$A239))</f>
        <v/>
      </c>
      <c r="E239" s="19" t="str">
        <f aca="false">IF($A239="","",INDEX(Apparitions!$C$1:$C$5001,$A239)&amp;"")</f>
        <v/>
      </c>
      <c r="F239" s="19" t="str">
        <f aca="false">IF($A239="","",INDEX(Apparitions!$H$1:$H$5001,$A239)&amp;"")</f>
        <v/>
      </c>
      <c r="G239" s="19" t="str">
        <f aca="false">IF($A239="","",INDEX(Apparitions!$I$1:$I$5001,$A239)&amp;"")</f>
        <v/>
      </c>
      <c r="H239" s="19" t="str">
        <f aca="false">IF($A239="","",INDEX(Apparitions!$J$1:$J$5001,$A239)&amp;"")</f>
        <v/>
      </c>
      <c r="I239" s="19" t="str">
        <f aca="false">IF($A239="","",INDEX(Apparitions!$G$1:$G$5001,$A239)&amp;"")</f>
        <v/>
      </c>
      <c r="J239" s="19" t="str">
        <f aca="false">IF($A239="","",INDEX(Apparitions!$M$1:$M$5001,$A239)&amp;"")</f>
        <v/>
      </c>
      <c r="K239" s="21" t="str">
        <f aca="false">IF($A239="","",INDEX(Apparitions!$K$1:$K$5001,$A239))</f>
        <v/>
      </c>
      <c r="L239" s="22" t="str">
        <f aca="false">IF($A239="","",INDEX(Apparitions!$E$1:$E$5001,$A239)&amp;"")</f>
        <v/>
      </c>
      <c r="M239" s="19" t="str">
        <f aca="false">IF($A239="","",INDEX(Apparitions!$F$1:$F$5001,$A239)&amp;"")</f>
        <v/>
      </c>
      <c r="O239" s="23" t="n">
        <f aca="false">IF(I239="",0,IF(COUNTIF(I$16:I239,I239)=1,1,0))</f>
        <v>0</v>
      </c>
      <c r="P239" s="23" t="n">
        <f aca="false">IF(F239="",0,IF(COUNTIF(F$16:F239,F239)=1,1,0))</f>
        <v>0</v>
      </c>
      <c r="Q239" s="0" t="str">
        <f aca="false">IF(B239="","",B239&amp;"|"&amp;C239)</f>
        <v/>
      </c>
      <c r="R239" s="23" t="n">
        <f aca="false">IF(Q239="",0,IF(COUNTIF(Q$16:Q239,Q239)=1,1,0))</f>
        <v>0</v>
      </c>
    </row>
    <row r="240" customFormat="false" ht="15" hidden="false" customHeight="false" outlineLevel="0" collapsed="false">
      <c r="A240" s="0" t="str">
        <f aca="false">IFERROR(MATCH(225,Apparitions!$N$1:$N$5001,0),"")</f>
        <v/>
      </c>
      <c r="B240" s="19" t="str">
        <f aca="false">IF($A240="","",INDEX(Apparitions!$A$1:$A$5001,$A240)&amp;"")</f>
        <v/>
      </c>
      <c r="C240" s="19" t="str">
        <f aca="false">IF($A240="","",INDEX(Apparitions!$B$1:$B$5001,$A240)&amp;"")</f>
        <v/>
      </c>
      <c r="D240" s="20" t="str">
        <f aca="false">IF($A240="","",INDEX(Apparitions!$L$1:$L$5001,$A240))</f>
        <v/>
      </c>
      <c r="E240" s="19" t="str">
        <f aca="false">IF($A240="","",INDEX(Apparitions!$C$1:$C$5001,$A240)&amp;"")</f>
        <v/>
      </c>
      <c r="F240" s="19" t="str">
        <f aca="false">IF($A240="","",INDEX(Apparitions!$H$1:$H$5001,$A240)&amp;"")</f>
        <v/>
      </c>
      <c r="G240" s="19" t="str">
        <f aca="false">IF($A240="","",INDEX(Apparitions!$I$1:$I$5001,$A240)&amp;"")</f>
        <v/>
      </c>
      <c r="H240" s="19" t="str">
        <f aca="false">IF($A240="","",INDEX(Apparitions!$J$1:$J$5001,$A240)&amp;"")</f>
        <v/>
      </c>
      <c r="I240" s="19" t="str">
        <f aca="false">IF($A240="","",INDEX(Apparitions!$G$1:$G$5001,$A240)&amp;"")</f>
        <v/>
      </c>
      <c r="J240" s="19" t="str">
        <f aca="false">IF($A240="","",INDEX(Apparitions!$M$1:$M$5001,$A240)&amp;"")</f>
        <v/>
      </c>
      <c r="K240" s="21" t="str">
        <f aca="false">IF($A240="","",INDEX(Apparitions!$K$1:$K$5001,$A240))</f>
        <v/>
      </c>
      <c r="L240" s="22" t="str">
        <f aca="false">IF($A240="","",INDEX(Apparitions!$E$1:$E$5001,$A240)&amp;"")</f>
        <v/>
      </c>
      <c r="M240" s="19" t="str">
        <f aca="false">IF($A240="","",INDEX(Apparitions!$F$1:$F$5001,$A240)&amp;"")</f>
        <v/>
      </c>
      <c r="O240" s="23" t="n">
        <f aca="false">IF(I240="",0,IF(COUNTIF(I$16:I240,I240)=1,1,0))</f>
        <v>0</v>
      </c>
      <c r="P240" s="23" t="n">
        <f aca="false">IF(F240="",0,IF(COUNTIF(F$16:F240,F240)=1,1,0))</f>
        <v>0</v>
      </c>
      <c r="Q240" s="0" t="str">
        <f aca="false">IF(B240="","",B240&amp;"|"&amp;C240)</f>
        <v/>
      </c>
      <c r="R240" s="23" t="n">
        <f aca="false">IF(Q240="",0,IF(COUNTIF(Q$16:Q240,Q240)=1,1,0))</f>
        <v>0</v>
      </c>
    </row>
    <row r="241" customFormat="false" ht="15" hidden="false" customHeight="false" outlineLevel="0" collapsed="false">
      <c r="A241" s="0" t="str">
        <f aca="false">IFERROR(MATCH(226,Apparitions!$N$1:$N$5001,0),"")</f>
        <v/>
      </c>
      <c r="B241" s="19" t="str">
        <f aca="false">IF($A241="","",INDEX(Apparitions!$A$1:$A$5001,$A241)&amp;"")</f>
        <v/>
      </c>
      <c r="C241" s="19" t="str">
        <f aca="false">IF($A241="","",INDEX(Apparitions!$B$1:$B$5001,$A241)&amp;"")</f>
        <v/>
      </c>
      <c r="D241" s="20" t="str">
        <f aca="false">IF($A241="","",INDEX(Apparitions!$L$1:$L$5001,$A241))</f>
        <v/>
      </c>
      <c r="E241" s="19" t="str">
        <f aca="false">IF($A241="","",INDEX(Apparitions!$C$1:$C$5001,$A241)&amp;"")</f>
        <v/>
      </c>
      <c r="F241" s="19" t="str">
        <f aca="false">IF($A241="","",INDEX(Apparitions!$H$1:$H$5001,$A241)&amp;"")</f>
        <v/>
      </c>
      <c r="G241" s="19" t="str">
        <f aca="false">IF($A241="","",INDEX(Apparitions!$I$1:$I$5001,$A241)&amp;"")</f>
        <v/>
      </c>
      <c r="H241" s="19" t="str">
        <f aca="false">IF($A241="","",INDEX(Apparitions!$J$1:$J$5001,$A241)&amp;"")</f>
        <v/>
      </c>
      <c r="I241" s="19" t="str">
        <f aca="false">IF($A241="","",INDEX(Apparitions!$G$1:$G$5001,$A241)&amp;"")</f>
        <v/>
      </c>
      <c r="J241" s="19" t="str">
        <f aca="false">IF($A241="","",INDEX(Apparitions!$M$1:$M$5001,$A241)&amp;"")</f>
        <v/>
      </c>
      <c r="K241" s="21" t="str">
        <f aca="false">IF($A241="","",INDEX(Apparitions!$K$1:$K$5001,$A241))</f>
        <v/>
      </c>
      <c r="L241" s="22" t="str">
        <f aca="false">IF($A241="","",INDEX(Apparitions!$E$1:$E$5001,$A241)&amp;"")</f>
        <v/>
      </c>
      <c r="M241" s="19" t="str">
        <f aca="false">IF($A241="","",INDEX(Apparitions!$F$1:$F$5001,$A241)&amp;"")</f>
        <v/>
      </c>
      <c r="O241" s="23" t="n">
        <f aca="false">IF(I241="",0,IF(COUNTIF(I$16:I241,I241)=1,1,0))</f>
        <v>0</v>
      </c>
      <c r="P241" s="23" t="n">
        <f aca="false">IF(F241="",0,IF(COUNTIF(F$16:F241,F241)=1,1,0))</f>
        <v>0</v>
      </c>
      <c r="Q241" s="0" t="str">
        <f aca="false">IF(B241="","",B241&amp;"|"&amp;C241)</f>
        <v/>
      </c>
      <c r="R241" s="23" t="n">
        <f aca="false">IF(Q241="",0,IF(COUNTIF(Q$16:Q241,Q241)=1,1,0))</f>
        <v>0</v>
      </c>
    </row>
    <row r="242" customFormat="false" ht="15" hidden="false" customHeight="false" outlineLevel="0" collapsed="false">
      <c r="A242" s="0" t="str">
        <f aca="false">IFERROR(MATCH(227,Apparitions!$N$1:$N$5001,0),"")</f>
        <v/>
      </c>
      <c r="B242" s="19" t="str">
        <f aca="false">IF($A242="","",INDEX(Apparitions!$A$1:$A$5001,$A242)&amp;"")</f>
        <v/>
      </c>
      <c r="C242" s="19" t="str">
        <f aca="false">IF($A242="","",INDEX(Apparitions!$B$1:$B$5001,$A242)&amp;"")</f>
        <v/>
      </c>
      <c r="D242" s="20" t="str">
        <f aca="false">IF($A242="","",INDEX(Apparitions!$L$1:$L$5001,$A242))</f>
        <v/>
      </c>
      <c r="E242" s="19" t="str">
        <f aca="false">IF($A242="","",INDEX(Apparitions!$C$1:$C$5001,$A242)&amp;"")</f>
        <v/>
      </c>
      <c r="F242" s="19" t="str">
        <f aca="false">IF($A242="","",INDEX(Apparitions!$H$1:$H$5001,$A242)&amp;"")</f>
        <v/>
      </c>
      <c r="G242" s="19" t="str">
        <f aca="false">IF($A242="","",INDEX(Apparitions!$I$1:$I$5001,$A242)&amp;"")</f>
        <v/>
      </c>
      <c r="H242" s="19" t="str">
        <f aca="false">IF($A242="","",INDEX(Apparitions!$J$1:$J$5001,$A242)&amp;"")</f>
        <v/>
      </c>
      <c r="I242" s="19" t="str">
        <f aca="false">IF($A242="","",INDEX(Apparitions!$G$1:$G$5001,$A242)&amp;"")</f>
        <v/>
      </c>
      <c r="J242" s="19" t="str">
        <f aca="false">IF($A242="","",INDEX(Apparitions!$M$1:$M$5001,$A242)&amp;"")</f>
        <v/>
      </c>
      <c r="K242" s="21" t="str">
        <f aca="false">IF($A242="","",INDEX(Apparitions!$K$1:$K$5001,$A242))</f>
        <v/>
      </c>
      <c r="L242" s="22" t="str">
        <f aca="false">IF($A242="","",INDEX(Apparitions!$E$1:$E$5001,$A242)&amp;"")</f>
        <v/>
      </c>
      <c r="M242" s="19" t="str">
        <f aca="false">IF($A242="","",INDEX(Apparitions!$F$1:$F$5001,$A242)&amp;"")</f>
        <v/>
      </c>
      <c r="O242" s="23" t="n">
        <f aca="false">IF(I242="",0,IF(COUNTIF(I$16:I242,I242)=1,1,0))</f>
        <v>0</v>
      </c>
      <c r="P242" s="23" t="n">
        <f aca="false">IF(F242="",0,IF(COUNTIF(F$16:F242,F242)=1,1,0))</f>
        <v>0</v>
      </c>
      <c r="Q242" s="0" t="str">
        <f aca="false">IF(B242="","",B242&amp;"|"&amp;C242)</f>
        <v/>
      </c>
      <c r="R242" s="23" t="n">
        <f aca="false">IF(Q242="",0,IF(COUNTIF(Q$16:Q242,Q242)=1,1,0))</f>
        <v>0</v>
      </c>
    </row>
    <row r="243" customFormat="false" ht="15" hidden="false" customHeight="false" outlineLevel="0" collapsed="false">
      <c r="A243" s="0" t="str">
        <f aca="false">IFERROR(MATCH(228,Apparitions!$N$1:$N$5001,0),"")</f>
        <v/>
      </c>
      <c r="B243" s="19" t="str">
        <f aca="false">IF($A243="","",INDEX(Apparitions!$A$1:$A$5001,$A243)&amp;"")</f>
        <v/>
      </c>
      <c r="C243" s="19" t="str">
        <f aca="false">IF($A243="","",INDEX(Apparitions!$B$1:$B$5001,$A243)&amp;"")</f>
        <v/>
      </c>
      <c r="D243" s="20" t="str">
        <f aca="false">IF($A243="","",INDEX(Apparitions!$L$1:$L$5001,$A243))</f>
        <v/>
      </c>
      <c r="E243" s="19" t="str">
        <f aca="false">IF($A243="","",INDEX(Apparitions!$C$1:$C$5001,$A243)&amp;"")</f>
        <v/>
      </c>
      <c r="F243" s="19" t="str">
        <f aca="false">IF($A243="","",INDEX(Apparitions!$H$1:$H$5001,$A243)&amp;"")</f>
        <v/>
      </c>
      <c r="G243" s="19" t="str">
        <f aca="false">IF($A243="","",INDEX(Apparitions!$I$1:$I$5001,$A243)&amp;"")</f>
        <v/>
      </c>
      <c r="H243" s="19" t="str">
        <f aca="false">IF($A243="","",INDEX(Apparitions!$J$1:$J$5001,$A243)&amp;"")</f>
        <v/>
      </c>
      <c r="I243" s="19" t="str">
        <f aca="false">IF($A243="","",INDEX(Apparitions!$G$1:$G$5001,$A243)&amp;"")</f>
        <v/>
      </c>
      <c r="J243" s="19" t="str">
        <f aca="false">IF($A243="","",INDEX(Apparitions!$M$1:$M$5001,$A243)&amp;"")</f>
        <v/>
      </c>
      <c r="K243" s="21" t="str">
        <f aca="false">IF($A243="","",INDEX(Apparitions!$K$1:$K$5001,$A243))</f>
        <v/>
      </c>
      <c r="L243" s="22" t="str">
        <f aca="false">IF($A243="","",INDEX(Apparitions!$E$1:$E$5001,$A243)&amp;"")</f>
        <v/>
      </c>
      <c r="M243" s="19" t="str">
        <f aca="false">IF($A243="","",INDEX(Apparitions!$F$1:$F$5001,$A243)&amp;"")</f>
        <v/>
      </c>
      <c r="O243" s="23" t="n">
        <f aca="false">IF(I243="",0,IF(COUNTIF(I$16:I243,I243)=1,1,0))</f>
        <v>0</v>
      </c>
      <c r="P243" s="23" t="n">
        <f aca="false">IF(F243="",0,IF(COUNTIF(F$16:F243,F243)=1,1,0))</f>
        <v>0</v>
      </c>
      <c r="Q243" s="0" t="str">
        <f aca="false">IF(B243="","",B243&amp;"|"&amp;C243)</f>
        <v/>
      </c>
      <c r="R243" s="23" t="n">
        <f aca="false">IF(Q243="",0,IF(COUNTIF(Q$16:Q243,Q243)=1,1,0))</f>
        <v>0</v>
      </c>
    </row>
    <row r="244" customFormat="false" ht="15" hidden="false" customHeight="false" outlineLevel="0" collapsed="false">
      <c r="A244" s="0" t="str">
        <f aca="false">IFERROR(MATCH(229,Apparitions!$N$1:$N$5001,0),"")</f>
        <v/>
      </c>
      <c r="B244" s="19" t="str">
        <f aca="false">IF($A244="","",INDEX(Apparitions!$A$1:$A$5001,$A244)&amp;"")</f>
        <v/>
      </c>
      <c r="C244" s="19" t="str">
        <f aca="false">IF($A244="","",INDEX(Apparitions!$B$1:$B$5001,$A244)&amp;"")</f>
        <v/>
      </c>
      <c r="D244" s="20" t="str">
        <f aca="false">IF($A244="","",INDEX(Apparitions!$L$1:$L$5001,$A244))</f>
        <v/>
      </c>
      <c r="E244" s="19" t="str">
        <f aca="false">IF($A244="","",INDEX(Apparitions!$C$1:$C$5001,$A244)&amp;"")</f>
        <v/>
      </c>
      <c r="F244" s="19" t="str">
        <f aca="false">IF($A244="","",INDEX(Apparitions!$H$1:$H$5001,$A244)&amp;"")</f>
        <v/>
      </c>
      <c r="G244" s="19" t="str">
        <f aca="false">IF($A244="","",INDEX(Apparitions!$I$1:$I$5001,$A244)&amp;"")</f>
        <v/>
      </c>
      <c r="H244" s="19" t="str">
        <f aca="false">IF($A244="","",INDEX(Apparitions!$J$1:$J$5001,$A244)&amp;"")</f>
        <v/>
      </c>
      <c r="I244" s="19" t="str">
        <f aca="false">IF($A244="","",INDEX(Apparitions!$G$1:$G$5001,$A244)&amp;"")</f>
        <v/>
      </c>
      <c r="J244" s="19" t="str">
        <f aca="false">IF($A244="","",INDEX(Apparitions!$M$1:$M$5001,$A244)&amp;"")</f>
        <v/>
      </c>
      <c r="K244" s="21" t="str">
        <f aca="false">IF($A244="","",INDEX(Apparitions!$K$1:$K$5001,$A244))</f>
        <v/>
      </c>
      <c r="L244" s="22" t="str">
        <f aca="false">IF($A244="","",INDEX(Apparitions!$E$1:$E$5001,$A244)&amp;"")</f>
        <v/>
      </c>
      <c r="M244" s="19" t="str">
        <f aca="false">IF($A244="","",INDEX(Apparitions!$F$1:$F$5001,$A244)&amp;"")</f>
        <v/>
      </c>
      <c r="O244" s="23" t="n">
        <f aca="false">IF(I244="",0,IF(COUNTIF(I$16:I244,I244)=1,1,0))</f>
        <v>0</v>
      </c>
      <c r="P244" s="23" t="n">
        <f aca="false">IF(F244="",0,IF(COUNTIF(F$16:F244,F244)=1,1,0))</f>
        <v>0</v>
      </c>
      <c r="Q244" s="0" t="str">
        <f aca="false">IF(B244="","",B244&amp;"|"&amp;C244)</f>
        <v/>
      </c>
      <c r="R244" s="23" t="n">
        <f aca="false">IF(Q244="",0,IF(COUNTIF(Q$16:Q244,Q244)=1,1,0))</f>
        <v>0</v>
      </c>
    </row>
    <row r="245" customFormat="false" ht="15" hidden="false" customHeight="false" outlineLevel="0" collapsed="false">
      <c r="A245" s="0" t="str">
        <f aca="false">IFERROR(MATCH(230,Apparitions!$N$1:$N$5001,0),"")</f>
        <v/>
      </c>
      <c r="B245" s="19" t="str">
        <f aca="false">IF($A245="","",INDEX(Apparitions!$A$1:$A$5001,$A245)&amp;"")</f>
        <v/>
      </c>
      <c r="C245" s="19" t="str">
        <f aca="false">IF($A245="","",INDEX(Apparitions!$B$1:$B$5001,$A245)&amp;"")</f>
        <v/>
      </c>
      <c r="D245" s="20" t="str">
        <f aca="false">IF($A245="","",INDEX(Apparitions!$L$1:$L$5001,$A245))</f>
        <v/>
      </c>
      <c r="E245" s="19" t="str">
        <f aca="false">IF($A245="","",INDEX(Apparitions!$C$1:$C$5001,$A245)&amp;"")</f>
        <v/>
      </c>
      <c r="F245" s="19" t="str">
        <f aca="false">IF($A245="","",INDEX(Apparitions!$H$1:$H$5001,$A245)&amp;"")</f>
        <v/>
      </c>
      <c r="G245" s="19" t="str">
        <f aca="false">IF($A245="","",INDEX(Apparitions!$I$1:$I$5001,$A245)&amp;"")</f>
        <v/>
      </c>
      <c r="H245" s="19" t="str">
        <f aca="false">IF($A245="","",INDEX(Apparitions!$J$1:$J$5001,$A245)&amp;"")</f>
        <v/>
      </c>
      <c r="I245" s="19" t="str">
        <f aca="false">IF($A245="","",INDEX(Apparitions!$G$1:$G$5001,$A245)&amp;"")</f>
        <v/>
      </c>
      <c r="J245" s="19" t="str">
        <f aca="false">IF($A245="","",INDEX(Apparitions!$M$1:$M$5001,$A245)&amp;"")</f>
        <v/>
      </c>
      <c r="K245" s="21" t="str">
        <f aca="false">IF($A245="","",INDEX(Apparitions!$K$1:$K$5001,$A245))</f>
        <v/>
      </c>
      <c r="L245" s="22" t="str">
        <f aca="false">IF($A245="","",INDEX(Apparitions!$E$1:$E$5001,$A245)&amp;"")</f>
        <v/>
      </c>
      <c r="M245" s="19" t="str">
        <f aca="false">IF($A245="","",INDEX(Apparitions!$F$1:$F$5001,$A245)&amp;"")</f>
        <v/>
      </c>
      <c r="O245" s="23" t="n">
        <f aca="false">IF(I245="",0,IF(COUNTIF(I$16:I245,I245)=1,1,0))</f>
        <v>0</v>
      </c>
      <c r="P245" s="23" t="n">
        <f aca="false">IF(F245="",0,IF(COUNTIF(F$16:F245,F245)=1,1,0))</f>
        <v>0</v>
      </c>
      <c r="Q245" s="0" t="str">
        <f aca="false">IF(B245="","",B245&amp;"|"&amp;C245)</f>
        <v/>
      </c>
      <c r="R245" s="23" t="n">
        <f aca="false">IF(Q245="",0,IF(COUNTIF(Q$16:Q245,Q245)=1,1,0))</f>
        <v>0</v>
      </c>
    </row>
    <row r="246" customFormat="false" ht="15" hidden="false" customHeight="false" outlineLevel="0" collapsed="false">
      <c r="A246" s="0" t="str">
        <f aca="false">IFERROR(MATCH(231,Apparitions!$N$1:$N$5001,0),"")</f>
        <v/>
      </c>
      <c r="B246" s="19" t="str">
        <f aca="false">IF($A246="","",INDEX(Apparitions!$A$1:$A$5001,$A246)&amp;"")</f>
        <v/>
      </c>
      <c r="C246" s="19" t="str">
        <f aca="false">IF($A246="","",INDEX(Apparitions!$B$1:$B$5001,$A246)&amp;"")</f>
        <v/>
      </c>
      <c r="D246" s="20" t="str">
        <f aca="false">IF($A246="","",INDEX(Apparitions!$L$1:$L$5001,$A246))</f>
        <v/>
      </c>
      <c r="E246" s="19" t="str">
        <f aca="false">IF($A246="","",INDEX(Apparitions!$C$1:$C$5001,$A246)&amp;"")</f>
        <v/>
      </c>
      <c r="F246" s="19" t="str">
        <f aca="false">IF($A246="","",INDEX(Apparitions!$H$1:$H$5001,$A246)&amp;"")</f>
        <v/>
      </c>
      <c r="G246" s="19" t="str">
        <f aca="false">IF($A246="","",INDEX(Apparitions!$I$1:$I$5001,$A246)&amp;"")</f>
        <v/>
      </c>
      <c r="H246" s="19" t="str">
        <f aca="false">IF($A246="","",INDEX(Apparitions!$J$1:$J$5001,$A246)&amp;"")</f>
        <v/>
      </c>
      <c r="I246" s="19" t="str">
        <f aca="false">IF($A246="","",INDEX(Apparitions!$G$1:$G$5001,$A246)&amp;"")</f>
        <v/>
      </c>
      <c r="J246" s="19" t="str">
        <f aca="false">IF($A246="","",INDEX(Apparitions!$M$1:$M$5001,$A246)&amp;"")</f>
        <v/>
      </c>
      <c r="K246" s="21" t="str">
        <f aca="false">IF($A246="","",INDEX(Apparitions!$K$1:$K$5001,$A246))</f>
        <v/>
      </c>
      <c r="L246" s="22" t="str">
        <f aca="false">IF($A246="","",INDEX(Apparitions!$E$1:$E$5001,$A246)&amp;"")</f>
        <v/>
      </c>
      <c r="M246" s="19" t="str">
        <f aca="false">IF($A246="","",INDEX(Apparitions!$F$1:$F$5001,$A246)&amp;"")</f>
        <v/>
      </c>
      <c r="O246" s="23" t="n">
        <f aca="false">IF(I246="",0,IF(COUNTIF(I$16:I246,I246)=1,1,0))</f>
        <v>0</v>
      </c>
      <c r="P246" s="23" t="n">
        <f aca="false">IF(F246="",0,IF(COUNTIF(F$16:F246,F246)=1,1,0))</f>
        <v>0</v>
      </c>
      <c r="Q246" s="0" t="str">
        <f aca="false">IF(B246="","",B246&amp;"|"&amp;C246)</f>
        <v/>
      </c>
      <c r="R246" s="23" t="n">
        <f aca="false">IF(Q246="",0,IF(COUNTIF(Q$16:Q246,Q246)=1,1,0))</f>
        <v>0</v>
      </c>
    </row>
    <row r="247" customFormat="false" ht="15" hidden="false" customHeight="false" outlineLevel="0" collapsed="false">
      <c r="A247" s="0" t="str">
        <f aca="false">IFERROR(MATCH(232,Apparitions!$N$1:$N$5001,0),"")</f>
        <v/>
      </c>
      <c r="B247" s="19" t="str">
        <f aca="false">IF($A247="","",INDEX(Apparitions!$A$1:$A$5001,$A247)&amp;"")</f>
        <v/>
      </c>
      <c r="C247" s="19" t="str">
        <f aca="false">IF($A247="","",INDEX(Apparitions!$B$1:$B$5001,$A247)&amp;"")</f>
        <v/>
      </c>
      <c r="D247" s="20" t="str">
        <f aca="false">IF($A247="","",INDEX(Apparitions!$L$1:$L$5001,$A247))</f>
        <v/>
      </c>
      <c r="E247" s="19" t="str">
        <f aca="false">IF($A247="","",INDEX(Apparitions!$C$1:$C$5001,$A247)&amp;"")</f>
        <v/>
      </c>
      <c r="F247" s="19" t="str">
        <f aca="false">IF($A247="","",INDEX(Apparitions!$H$1:$H$5001,$A247)&amp;"")</f>
        <v/>
      </c>
      <c r="G247" s="19" t="str">
        <f aca="false">IF($A247="","",INDEX(Apparitions!$I$1:$I$5001,$A247)&amp;"")</f>
        <v/>
      </c>
      <c r="H247" s="19" t="str">
        <f aca="false">IF($A247="","",INDEX(Apparitions!$J$1:$J$5001,$A247)&amp;"")</f>
        <v/>
      </c>
      <c r="I247" s="19" t="str">
        <f aca="false">IF($A247="","",INDEX(Apparitions!$G$1:$G$5001,$A247)&amp;"")</f>
        <v/>
      </c>
      <c r="J247" s="19" t="str">
        <f aca="false">IF($A247="","",INDEX(Apparitions!$M$1:$M$5001,$A247)&amp;"")</f>
        <v/>
      </c>
      <c r="K247" s="21" t="str">
        <f aca="false">IF($A247="","",INDEX(Apparitions!$K$1:$K$5001,$A247))</f>
        <v/>
      </c>
      <c r="L247" s="22" t="str">
        <f aca="false">IF($A247="","",INDEX(Apparitions!$E$1:$E$5001,$A247)&amp;"")</f>
        <v/>
      </c>
      <c r="M247" s="19" t="str">
        <f aca="false">IF($A247="","",INDEX(Apparitions!$F$1:$F$5001,$A247)&amp;"")</f>
        <v/>
      </c>
      <c r="O247" s="23" t="n">
        <f aca="false">IF(I247="",0,IF(COUNTIF(I$16:I247,I247)=1,1,0))</f>
        <v>0</v>
      </c>
      <c r="P247" s="23" t="n">
        <f aca="false">IF(F247="",0,IF(COUNTIF(F$16:F247,F247)=1,1,0))</f>
        <v>0</v>
      </c>
      <c r="Q247" s="0" t="str">
        <f aca="false">IF(B247="","",B247&amp;"|"&amp;C247)</f>
        <v/>
      </c>
      <c r="R247" s="23" t="n">
        <f aca="false">IF(Q247="",0,IF(COUNTIF(Q$16:Q247,Q247)=1,1,0))</f>
        <v>0</v>
      </c>
    </row>
    <row r="248" customFormat="false" ht="15" hidden="false" customHeight="false" outlineLevel="0" collapsed="false">
      <c r="A248" s="0" t="str">
        <f aca="false">IFERROR(MATCH(233,Apparitions!$N$1:$N$5001,0),"")</f>
        <v/>
      </c>
      <c r="B248" s="19" t="str">
        <f aca="false">IF($A248="","",INDEX(Apparitions!$A$1:$A$5001,$A248)&amp;"")</f>
        <v/>
      </c>
      <c r="C248" s="19" t="str">
        <f aca="false">IF($A248="","",INDEX(Apparitions!$B$1:$B$5001,$A248)&amp;"")</f>
        <v/>
      </c>
      <c r="D248" s="20" t="str">
        <f aca="false">IF($A248="","",INDEX(Apparitions!$L$1:$L$5001,$A248))</f>
        <v/>
      </c>
      <c r="E248" s="19" t="str">
        <f aca="false">IF($A248="","",INDEX(Apparitions!$C$1:$C$5001,$A248)&amp;"")</f>
        <v/>
      </c>
      <c r="F248" s="19" t="str">
        <f aca="false">IF($A248="","",INDEX(Apparitions!$H$1:$H$5001,$A248)&amp;"")</f>
        <v/>
      </c>
      <c r="G248" s="19" t="str">
        <f aca="false">IF($A248="","",INDEX(Apparitions!$I$1:$I$5001,$A248)&amp;"")</f>
        <v/>
      </c>
      <c r="H248" s="19" t="str">
        <f aca="false">IF($A248="","",INDEX(Apparitions!$J$1:$J$5001,$A248)&amp;"")</f>
        <v/>
      </c>
      <c r="I248" s="19" t="str">
        <f aca="false">IF($A248="","",INDEX(Apparitions!$G$1:$G$5001,$A248)&amp;"")</f>
        <v/>
      </c>
      <c r="J248" s="19" t="str">
        <f aca="false">IF($A248="","",INDEX(Apparitions!$M$1:$M$5001,$A248)&amp;"")</f>
        <v/>
      </c>
      <c r="K248" s="21" t="str">
        <f aca="false">IF($A248="","",INDEX(Apparitions!$K$1:$K$5001,$A248))</f>
        <v/>
      </c>
      <c r="L248" s="22" t="str">
        <f aca="false">IF($A248="","",INDEX(Apparitions!$E$1:$E$5001,$A248)&amp;"")</f>
        <v/>
      </c>
      <c r="M248" s="19" t="str">
        <f aca="false">IF($A248="","",INDEX(Apparitions!$F$1:$F$5001,$A248)&amp;"")</f>
        <v/>
      </c>
      <c r="O248" s="23" t="n">
        <f aca="false">IF(I248="",0,IF(COUNTIF(I$16:I248,I248)=1,1,0))</f>
        <v>0</v>
      </c>
      <c r="P248" s="23" t="n">
        <f aca="false">IF(F248="",0,IF(COUNTIF(F$16:F248,F248)=1,1,0))</f>
        <v>0</v>
      </c>
      <c r="Q248" s="0" t="str">
        <f aca="false">IF(B248="","",B248&amp;"|"&amp;C248)</f>
        <v/>
      </c>
      <c r="R248" s="23" t="n">
        <f aca="false">IF(Q248="",0,IF(COUNTIF(Q$16:Q248,Q248)=1,1,0))</f>
        <v>0</v>
      </c>
    </row>
    <row r="249" customFormat="false" ht="15" hidden="false" customHeight="false" outlineLevel="0" collapsed="false">
      <c r="A249" s="0" t="str">
        <f aca="false">IFERROR(MATCH(234,Apparitions!$N$1:$N$5001,0),"")</f>
        <v/>
      </c>
      <c r="B249" s="19" t="str">
        <f aca="false">IF($A249="","",INDEX(Apparitions!$A$1:$A$5001,$A249)&amp;"")</f>
        <v/>
      </c>
      <c r="C249" s="19" t="str">
        <f aca="false">IF($A249="","",INDEX(Apparitions!$B$1:$B$5001,$A249)&amp;"")</f>
        <v/>
      </c>
      <c r="D249" s="20" t="str">
        <f aca="false">IF($A249="","",INDEX(Apparitions!$L$1:$L$5001,$A249))</f>
        <v/>
      </c>
      <c r="E249" s="19" t="str">
        <f aca="false">IF($A249="","",INDEX(Apparitions!$C$1:$C$5001,$A249)&amp;"")</f>
        <v/>
      </c>
      <c r="F249" s="19" t="str">
        <f aca="false">IF($A249="","",INDEX(Apparitions!$H$1:$H$5001,$A249)&amp;"")</f>
        <v/>
      </c>
      <c r="G249" s="19" t="str">
        <f aca="false">IF($A249="","",INDEX(Apparitions!$I$1:$I$5001,$A249)&amp;"")</f>
        <v/>
      </c>
      <c r="H249" s="19" t="str">
        <f aca="false">IF($A249="","",INDEX(Apparitions!$J$1:$J$5001,$A249)&amp;"")</f>
        <v/>
      </c>
      <c r="I249" s="19" t="str">
        <f aca="false">IF($A249="","",INDEX(Apparitions!$G$1:$G$5001,$A249)&amp;"")</f>
        <v/>
      </c>
      <c r="J249" s="19" t="str">
        <f aca="false">IF($A249="","",INDEX(Apparitions!$M$1:$M$5001,$A249)&amp;"")</f>
        <v/>
      </c>
      <c r="K249" s="21" t="str">
        <f aca="false">IF($A249="","",INDEX(Apparitions!$K$1:$K$5001,$A249))</f>
        <v/>
      </c>
      <c r="L249" s="22" t="str">
        <f aca="false">IF($A249="","",INDEX(Apparitions!$E$1:$E$5001,$A249)&amp;"")</f>
        <v/>
      </c>
      <c r="M249" s="19" t="str">
        <f aca="false">IF($A249="","",INDEX(Apparitions!$F$1:$F$5001,$A249)&amp;"")</f>
        <v/>
      </c>
      <c r="O249" s="23" t="n">
        <f aca="false">IF(I249="",0,IF(COUNTIF(I$16:I249,I249)=1,1,0))</f>
        <v>0</v>
      </c>
      <c r="P249" s="23" t="n">
        <f aca="false">IF(F249="",0,IF(COUNTIF(F$16:F249,F249)=1,1,0))</f>
        <v>0</v>
      </c>
      <c r="Q249" s="0" t="str">
        <f aca="false">IF(B249="","",B249&amp;"|"&amp;C249)</f>
        <v/>
      </c>
      <c r="R249" s="23" t="n">
        <f aca="false">IF(Q249="",0,IF(COUNTIF(Q$16:Q249,Q249)=1,1,0))</f>
        <v>0</v>
      </c>
    </row>
    <row r="250" customFormat="false" ht="15" hidden="false" customHeight="false" outlineLevel="0" collapsed="false">
      <c r="A250" s="0" t="str">
        <f aca="false">IFERROR(MATCH(235,Apparitions!$N$1:$N$5001,0),"")</f>
        <v/>
      </c>
      <c r="B250" s="19" t="str">
        <f aca="false">IF($A250="","",INDEX(Apparitions!$A$1:$A$5001,$A250)&amp;"")</f>
        <v/>
      </c>
      <c r="C250" s="19" t="str">
        <f aca="false">IF($A250="","",INDEX(Apparitions!$B$1:$B$5001,$A250)&amp;"")</f>
        <v/>
      </c>
      <c r="D250" s="20" t="str">
        <f aca="false">IF($A250="","",INDEX(Apparitions!$L$1:$L$5001,$A250))</f>
        <v/>
      </c>
      <c r="E250" s="19" t="str">
        <f aca="false">IF($A250="","",INDEX(Apparitions!$C$1:$C$5001,$A250)&amp;"")</f>
        <v/>
      </c>
      <c r="F250" s="19" t="str">
        <f aca="false">IF($A250="","",INDEX(Apparitions!$H$1:$H$5001,$A250)&amp;"")</f>
        <v/>
      </c>
      <c r="G250" s="19" t="str">
        <f aca="false">IF($A250="","",INDEX(Apparitions!$I$1:$I$5001,$A250)&amp;"")</f>
        <v/>
      </c>
      <c r="H250" s="19" t="str">
        <f aca="false">IF($A250="","",INDEX(Apparitions!$J$1:$J$5001,$A250)&amp;"")</f>
        <v/>
      </c>
      <c r="I250" s="19" t="str">
        <f aca="false">IF($A250="","",INDEX(Apparitions!$G$1:$G$5001,$A250)&amp;"")</f>
        <v/>
      </c>
      <c r="J250" s="19" t="str">
        <f aca="false">IF($A250="","",INDEX(Apparitions!$M$1:$M$5001,$A250)&amp;"")</f>
        <v/>
      </c>
      <c r="K250" s="21" t="str">
        <f aca="false">IF($A250="","",INDEX(Apparitions!$K$1:$K$5001,$A250))</f>
        <v/>
      </c>
      <c r="L250" s="22" t="str">
        <f aca="false">IF($A250="","",INDEX(Apparitions!$E$1:$E$5001,$A250)&amp;"")</f>
        <v/>
      </c>
      <c r="M250" s="19" t="str">
        <f aca="false">IF($A250="","",INDEX(Apparitions!$F$1:$F$5001,$A250)&amp;"")</f>
        <v/>
      </c>
      <c r="O250" s="23" t="n">
        <f aca="false">IF(I250="",0,IF(COUNTIF(I$16:I250,I250)=1,1,0))</f>
        <v>0</v>
      </c>
      <c r="P250" s="23" t="n">
        <f aca="false">IF(F250="",0,IF(COUNTIF(F$16:F250,F250)=1,1,0))</f>
        <v>0</v>
      </c>
      <c r="Q250" s="0" t="str">
        <f aca="false">IF(B250="","",B250&amp;"|"&amp;C250)</f>
        <v/>
      </c>
      <c r="R250" s="23" t="n">
        <f aca="false">IF(Q250="",0,IF(COUNTIF(Q$16:Q250,Q250)=1,1,0))</f>
        <v>0</v>
      </c>
    </row>
    <row r="251" customFormat="false" ht="15" hidden="false" customHeight="false" outlineLevel="0" collapsed="false">
      <c r="A251" s="0" t="str">
        <f aca="false">IFERROR(MATCH(236,Apparitions!$N$1:$N$5001,0),"")</f>
        <v/>
      </c>
      <c r="B251" s="19" t="str">
        <f aca="false">IF($A251="","",INDEX(Apparitions!$A$1:$A$5001,$A251)&amp;"")</f>
        <v/>
      </c>
      <c r="C251" s="19" t="str">
        <f aca="false">IF($A251="","",INDEX(Apparitions!$B$1:$B$5001,$A251)&amp;"")</f>
        <v/>
      </c>
      <c r="D251" s="20" t="str">
        <f aca="false">IF($A251="","",INDEX(Apparitions!$L$1:$L$5001,$A251))</f>
        <v/>
      </c>
      <c r="E251" s="19" t="str">
        <f aca="false">IF($A251="","",INDEX(Apparitions!$C$1:$C$5001,$A251)&amp;"")</f>
        <v/>
      </c>
      <c r="F251" s="19" t="str">
        <f aca="false">IF($A251="","",INDEX(Apparitions!$H$1:$H$5001,$A251)&amp;"")</f>
        <v/>
      </c>
      <c r="G251" s="19" t="str">
        <f aca="false">IF($A251="","",INDEX(Apparitions!$I$1:$I$5001,$A251)&amp;"")</f>
        <v/>
      </c>
      <c r="H251" s="19" t="str">
        <f aca="false">IF($A251="","",INDEX(Apparitions!$J$1:$J$5001,$A251)&amp;"")</f>
        <v/>
      </c>
      <c r="I251" s="19" t="str">
        <f aca="false">IF($A251="","",INDEX(Apparitions!$G$1:$G$5001,$A251)&amp;"")</f>
        <v/>
      </c>
      <c r="J251" s="19" t="str">
        <f aca="false">IF($A251="","",INDEX(Apparitions!$M$1:$M$5001,$A251)&amp;"")</f>
        <v/>
      </c>
      <c r="K251" s="21" t="str">
        <f aca="false">IF($A251="","",INDEX(Apparitions!$K$1:$K$5001,$A251))</f>
        <v/>
      </c>
      <c r="L251" s="22" t="str">
        <f aca="false">IF($A251="","",INDEX(Apparitions!$E$1:$E$5001,$A251)&amp;"")</f>
        <v/>
      </c>
      <c r="M251" s="19" t="str">
        <f aca="false">IF($A251="","",INDEX(Apparitions!$F$1:$F$5001,$A251)&amp;"")</f>
        <v/>
      </c>
      <c r="O251" s="23" t="n">
        <f aca="false">IF(I251="",0,IF(COUNTIF(I$16:I251,I251)=1,1,0))</f>
        <v>0</v>
      </c>
      <c r="P251" s="23" t="n">
        <f aca="false">IF(F251="",0,IF(COUNTIF(F$16:F251,F251)=1,1,0))</f>
        <v>0</v>
      </c>
      <c r="Q251" s="0" t="str">
        <f aca="false">IF(B251="","",B251&amp;"|"&amp;C251)</f>
        <v/>
      </c>
      <c r="R251" s="23" t="n">
        <f aca="false">IF(Q251="",0,IF(COUNTIF(Q$16:Q251,Q251)=1,1,0))</f>
        <v>0</v>
      </c>
    </row>
    <row r="252" customFormat="false" ht="15" hidden="false" customHeight="false" outlineLevel="0" collapsed="false">
      <c r="A252" s="0" t="str">
        <f aca="false">IFERROR(MATCH(237,Apparitions!$N$1:$N$5001,0),"")</f>
        <v/>
      </c>
      <c r="B252" s="19" t="str">
        <f aca="false">IF($A252="","",INDEX(Apparitions!$A$1:$A$5001,$A252)&amp;"")</f>
        <v/>
      </c>
      <c r="C252" s="19" t="str">
        <f aca="false">IF($A252="","",INDEX(Apparitions!$B$1:$B$5001,$A252)&amp;"")</f>
        <v/>
      </c>
      <c r="D252" s="20" t="str">
        <f aca="false">IF($A252="","",INDEX(Apparitions!$L$1:$L$5001,$A252))</f>
        <v/>
      </c>
      <c r="E252" s="19" t="str">
        <f aca="false">IF($A252="","",INDEX(Apparitions!$C$1:$C$5001,$A252)&amp;"")</f>
        <v/>
      </c>
      <c r="F252" s="19" t="str">
        <f aca="false">IF($A252="","",INDEX(Apparitions!$H$1:$H$5001,$A252)&amp;"")</f>
        <v/>
      </c>
      <c r="G252" s="19" t="str">
        <f aca="false">IF($A252="","",INDEX(Apparitions!$I$1:$I$5001,$A252)&amp;"")</f>
        <v/>
      </c>
      <c r="H252" s="19" t="str">
        <f aca="false">IF($A252="","",INDEX(Apparitions!$J$1:$J$5001,$A252)&amp;"")</f>
        <v/>
      </c>
      <c r="I252" s="19" t="str">
        <f aca="false">IF($A252="","",INDEX(Apparitions!$G$1:$G$5001,$A252)&amp;"")</f>
        <v/>
      </c>
      <c r="J252" s="19" t="str">
        <f aca="false">IF($A252="","",INDEX(Apparitions!$M$1:$M$5001,$A252)&amp;"")</f>
        <v/>
      </c>
      <c r="K252" s="21" t="str">
        <f aca="false">IF($A252="","",INDEX(Apparitions!$K$1:$K$5001,$A252))</f>
        <v/>
      </c>
      <c r="L252" s="22" t="str">
        <f aca="false">IF($A252="","",INDEX(Apparitions!$E$1:$E$5001,$A252)&amp;"")</f>
        <v/>
      </c>
      <c r="M252" s="19" t="str">
        <f aca="false">IF($A252="","",INDEX(Apparitions!$F$1:$F$5001,$A252)&amp;"")</f>
        <v/>
      </c>
      <c r="O252" s="23" t="n">
        <f aca="false">IF(I252="",0,IF(COUNTIF(I$16:I252,I252)=1,1,0))</f>
        <v>0</v>
      </c>
      <c r="P252" s="23" t="n">
        <f aca="false">IF(F252="",0,IF(COUNTIF(F$16:F252,F252)=1,1,0))</f>
        <v>0</v>
      </c>
      <c r="Q252" s="0" t="str">
        <f aca="false">IF(B252="","",B252&amp;"|"&amp;C252)</f>
        <v/>
      </c>
      <c r="R252" s="23" t="n">
        <f aca="false">IF(Q252="",0,IF(COUNTIF(Q$16:Q252,Q252)=1,1,0))</f>
        <v>0</v>
      </c>
    </row>
    <row r="253" customFormat="false" ht="15" hidden="false" customHeight="false" outlineLevel="0" collapsed="false">
      <c r="A253" s="0" t="str">
        <f aca="false">IFERROR(MATCH(238,Apparitions!$N$1:$N$5001,0),"")</f>
        <v/>
      </c>
      <c r="B253" s="19" t="str">
        <f aca="false">IF($A253="","",INDEX(Apparitions!$A$1:$A$5001,$A253)&amp;"")</f>
        <v/>
      </c>
      <c r="C253" s="19" t="str">
        <f aca="false">IF($A253="","",INDEX(Apparitions!$B$1:$B$5001,$A253)&amp;"")</f>
        <v/>
      </c>
      <c r="D253" s="20" t="str">
        <f aca="false">IF($A253="","",INDEX(Apparitions!$L$1:$L$5001,$A253))</f>
        <v/>
      </c>
      <c r="E253" s="19" t="str">
        <f aca="false">IF($A253="","",INDEX(Apparitions!$C$1:$C$5001,$A253)&amp;"")</f>
        <v/>
      </c>
      <c r="F253" s="19" t="str">
        <f aca="false">IF($A253="","",INDEX(Apparitions!$H$1:$H$5001,$A253)&amp;"")</f>
        <v/>
      </c>
      <c r="G253" s="19" t="str">
        <f aca="false">IF($A253="","",INDEX(Apparitions!$I$1:$I$5001,$A253)&amp;"")</f>
        <v/>
      </c>
      <c r="H253" s="19" t="str">
        <f aca="false">IF($A253="","",INDEX(Apparitions!$J$1:$J$5001,$A253)&amp;"")</f>
        <v/>
      </c>
      <c r="I253" s="19" t="str">
        <f aca="false">IF($A253="","",INDEX(Apparitions!$G$1:$G$5001,$A253)&amp;"")</f>
        <v/>
      </c>
      <c r="J253" s="19" t="str">
        <f aca="false">IF($A253="","",INDEX(Apparitions!$M$1:$M$5001,$A253)&amp;"")</f>
        <v/>
      </c>
      <c r="K253" s="21" t="str">
        <f aca="false">IF($A253="","",INDEX(Apparitions!$K$1:$K$5001,$A253))</f>
        <v/>
      </c>
      <c r="L253" s="22" t="str">
        <f aca="false">IF($A253="","",INDEX(Apparitions!$E$1:$E$5001,$A253)&amp;"")</f>
        <v/>
      </c>
      <c r="M253" s="19" t="str">
        <f aca="false">IF($A253="","",INDEX(Apparitions!$F$1:$F$5001,$A253)&amp;"")</f>
        <v/>
      </c>
      <c r="O253" s="23" t="n">
        <f aca="false">IF(I253="",0,IF(COUNTIF(I$16:I253,I253)=1,1,0))</f>
        <v>0</v>
      </c>
      <c r="P253" s="23" t="n">
        <f aca="false">IF(F253="",0,IF(COUNTIF(F$16:F253,F253)=1,1,0))</f>
        <v>0</v>
      </c>
      <c r="Q253" s="0" t="str">
        <f aca="false">IF(B253="","",B253&amp;"|"&amp;C253)</f>
        <v/>
      </c>
      <c r="R253" s="23" t="n">
        <f aca="false">IF(Q253="",0,IF(COUNTIF(Q$16:Q253,Q253)=1,1,0))</f>
        <v>0</v>
      </c>
    </row>
    <row r="254" customFormat="false" ht="15" hidden="false" customHeight="false" outlineLevel="0" collapsed="false">
      <c r="A254" s="0" t="str">
        <f aca="false">IFERROR(MATCH(239,Apparitions!$N$1:$N$5001,0),"")</f>
        <v/>
      </c>
      <c r="B254" s="19" t="str">
        <f aca="false">IF($A254="","",INDEX(Apparitions!$A$1:$A$5001,$A254)&amp;"")</f>
        <v/>
      </c>
      <c r="C254" s="19" t="str">
        <f aca="false">IF($A254="","",INDEX(Apparitions!$B$1:$B$5001,$A254)&amp;"")</f>
        <v/>
      </c>
      <c r="D254" s="20" t="str">
        <f aca="false">IF($A254="","",INDEX(Apparitions!$L$1:$L$5001,$A254))</f>
        <v/>
      </c>
      <c r="E254" s="19" t="str">
        <f aca="false">IF($A254="","",INDEX(Apparitions!$C$1:$C$5001,$A254)&amp;"")</f>
        <v/>
      </c>
      <c r="F254" s="19" t="str">
        <f aca="false">IF($A254="","",INDEX(Apparitions!$H$1:$H$5001,$A254)&amp;"")</f>
        <v/>
      </c>
      <c r="G254" s="19" t="str">
        <f aca="false">IF($A254="","",INDEX(Apparitions!$I$1:$I$5001,$A254)&amp;"")</f>
        <v/>
      </c>
      <c r="H254" s="19" t="str">
        <f aca="false">IF($A254="","",INDEX(Apparitions!$J$1:$J$5001,$A254)&amp;"")</f>
        <v/>
      </c>
      <c r="I254" s="19" t="str">
        <f aca="false">IF($A254="","",INDEX(Apparitions!$G$1:$G$5001,$A254)&amp;"")</f>
        <v/>
      </c>
      <c r="J254" s="19" t="str">
        <f aca="false">IF($A254="","",INDEX(Apparitions!$M$1:$M$5001,$A254)&amp;"")</f>
        <v/>
      </c>
      <c r="K254" s="21" t="str">
        <f aca="false">IF($A254="","",INDEX(Apparitions!$K$1:$K$5001,$A254))</f>
        <v/>
      </c>
      <c r="L254" s="22" t="str">
        <f aca="false">IF($A254="","",INDEX(Apparitions!$E$1:$E$5001,$A254)&amp;"")</f>
        <v/>
      </c>
      <c r="M254" s="19" t="str">
        <f aca="false">IF($A254="","",INDEX(Apparitions!$F$1:$F$5001,$A254)&amp;"")</f>
        <v/>
      </c>
      <c r="O254" s="23" t="n">
        <f aca="false">IF(I254="",0,IF(COUNTIF(I$16:I254,I254)=1,1,0))</f>
        <v>0</v>
      </c>
      <c r="P254" s="23" t="n">
        <f aca="false">IF(F254="",0,IF(COUNTIF(F$16:F254,F254)=1,1,0))</f>
        <v>0</v>
      </c>
      <c r="Q254" s="0" t="str">
        <f aca="false">IF(B254="","",B254&amp;"|"&amp;C254)</f>
        <v/>
      </c>
      <c r="R254" s="23" t="n">
        <f aca="false">IF(Q254="",0,IF(COUNTIF(Q$16:Q254,Q254)=1,1,0))</f>
        <v>0</v>
      </c>
    </row>
    <row r="255" customFormat="false" ht="15" hidden="false" customHeight="false" outlineLevel="0" collapsed="false">
      <c r="A255" s="0" t="str">
        <f aca="false">IFERROR(MATCH(240,Apparitions!$N$1:$N$5001,0),"")</f>
        <v/>
      </c>
      <c r="B255" s="19" t="str">
        <f aca="false">IF($A255="","",INDEX(Apparitions!$A$1:$A$5001,$A255)&amp;"")</f>
        <v/>
      </c>
      <c r="C255" s="19" t="str">
        <f aca="false">IF($A255="","",INDEX(Apparitions!$B$1:$B$5001,$A255)&amp;"")</f>
        <v/>
      </c>
      <c r="D255" s="20" t="str">
        <f aca="false">IF($A255="","",INDEX(Apparitions!$L$1:$L$5001,$A255))</f>
        <v/>
      </c>
      <c r="E255" s="19" t="str">
        <f aca="false">IF($A255="","",INDEX(Apparitions!$C$1:$C$5001,$A255)&amp;"")</f>
        <v/>
      </c>
      <c r="F255" s="19" t="str">
        <f aca="false">IF($A255="","",INDEX(Apparitions!$H$1:$H$5001,$A255)&amp;"")</f>
        <v/>
      </c>
      <c r="G255" s="19" t="str">
        <f aca="false">IF($A255="","",INDEX(Apparitions!$I$1:$I$5001,$A255)&amp;"")</f>
        <v/>
      </c>
      <c r="H255" s="19" t="str">
        <f aca="false">IF($A255="","",INDEX(Apparitions!$J$1:$J$5001,$A255)&amp;"")</f>
        <v/>
      </c>
      <c r="I255" s="19" t="str">
        <f aca="false">IF($A255="","",INDEX(Apparitions!$G$1:$G$5001,$A255)&amp;"")</f>
        <v/>
      </c>
      <c r="J255" s="19" t="str">
        <f aca="false">IF($A255="","",INDEX(Apparitions!$M$1:$M$5001,$A255)&amp;"")</f>
        <v/>
      </c>
      <c r="K255" s="21" t="str">
        <f aca="false">IF($A255="","",INDEX(Apparitions!$K$1:$K$5001,$A255))</f>
        <v/>
      </c>
      <c r="L255" s="22" t="str">
        <f aca="false">IF($A255="","",INDEX(Apparitions!$E$1:$E$5001,$A255)&amp;"")</f>
        <v/>
      </c>
      <c r="M255" s="19" t="str">
        <f aca="false">IF($A255="","",INDEX(Apparitions!$F$1:$F$5001,$A255)&amp;"")</f>
        <v/>
      </c>
      <c r="O255" s="23" t="n">
        <f aca="false">IF(I255="",0,IF(COUNTIF(I$16:I255,I255)=1,1,0))</f>
        <v>0</v>
      </c>
      <c r="P255" s="23" t="n">
        <f aca="false">IF(F255="",0,IF(COUNTIF(F$16:F255,F255)=1,1,0))</f>
        <v>0</v>
      </c>
      <c r="Q255" s="0" t="str">
        <f aca="false">IF(B255="","",B255&amp;"|"&amp;C255)</f>
        <v/>
      </c>
      <c r="R255" s="23" t="n">
        <f aca="false">IF(Q255="",0,IF(COUNTIF(Q$16:Q255,Q255)=1,1,0))</f>
        <v>0</v>
      </c>
    </row>
    <row r="256" customFormat="false" ht="15" hidden="false" customHeight="false" outlineLevel="0" collapsed="false">
      <c r="A256" s="0" t="str">
        <f aca="false">IFERROR(MATCH(241,Apparitions!$N$1:$N$5001,0),"")</f>
        <v/>
      </c>
      <c r="B256" s="19" t="str">
        <f aca="false">IF($A256="","",INDEX(Apparitions!$A$1:$A$5001,$A256)&amp;"")</f>
        <v/>
      </c>
      <c r="C256" s="19" t="str">
        <f aca="false">IF($A256="","",INDEX(Apparitions!$B$1:$B$5001,$A256)&amp;"")</f>
        <v/>
      </c>
      <c r="D256" s="20" t="str">
        <f aca="false">IF($A256="","",INDEX(Apparitions!$L$1:$L$5001,$A256))</f>
        <v/>
      </c>
      <c r="E256" s="19" t="str">
        <f aca="false">IF($A256="","",INDEX(Apparitions!$C$1:$C$5001,$A256)&amp;"")</f>
        <v/>
      </c>
      <c r="F256" s="19" t="str">
        <f aca="false">IF($A256="","",INDEX(Apparitions!$H$1:$H$5001,$A256)&amp;"")</f>
        <v/>
      </c>
      <c r="G256" s="19" t="str">
        <f aca="false">IF($A256="","",INDEX(Apparitions!$I$1:$I$5001,$A256)&amp;"")</f>
        <v/>
      </c>
      <c r="H256" s="19" t="str">
        <f aca="false">IF($A256="","",INDEX(Apparitions!$J$1:$J$5001,$A256)&amp;"")</f>
        <v/>
      </c>
      <c r="I256" s="19" t="str">
        <f aca="false">IF($A256="","",INDEX(Apparitions!$G$1:$G$5001,$A256)&amp;"")</f>
        <v/>
      </c>
      <c r="J256" s="19" t="str">
        <f aca="false">IF($A256="","",INDEX(Apparitions!$M$1:$M$5001,$A256)&amp;"")</f>
        <v/>
      </c>
      <c r="K256" s="21" t="str">
        <f aca="false">IF($A256="","",INDEX(Apparitions!$K$1:$K$5001,$A256))</f>
        <v/>
      </c>
      <c r="L256" s="22" t="str">
        <f aca="false">IF($A256="","",INDEX(Apparitions!$E$1:$E$5001,$A256)&amp;"")</f>
        <v/>
      </c>
      <c r="M256" s="19" t="str">
        <f aca="false">IF($A256="","",INDEX(Apparitions!$F$1:$F$5001,$A256)&amp;"")</f>
        <v/>
      </c>
      <c r="O256" s="23" t="n">
        <f aca="false">IF(I256="",0,IF(COUNTIF(I$16:I256,I256)=1,1,0))</f>
        <v>0</v>
      </c>
      <c r="P256" s="23" t="n">
        <f aca="false">IF(F256="",0,IF(COUNTIF(F$16:F256,F256)=1,1,0))</f>
        <v>0</v>
      </c>
      <c r="Q256" s="0" t="str">
        <f aca="false">IF(B256="","",B256&amp;"|"&amp;C256)</f>
        <v/>
      </c>
      <c r="R256" s="23" t="n">
        <f aca="false">IF(Q256="",0,IF(COUNTIF(Q$16:Q256,Q256)=1,1,0))</f>
        <v>0</v>
      </c>
    </row>
    <row r="257" customFormat="false" ht="15" hidden="false" customHeight="false" outlineLevel="0" collapsed="false">
      <c r="A257" s="0" t="str">
        <f aca="false">IFERROR(MATCH(242,Apparitions!$N$1:$N$5001,0),"")</f>
        <v/>
      </c>
      <c r="B257" s="19" t="str">
        <f aca="false">IF($A257="","",INDEX(Apparitions!$A$1:$A$5001,$A257)&amp;"")</f>
        <v/>
      </c>
      <c r="C257" s="19" t="str">
        <f aca="false">IF($A257="","",INDEX(Apparitions!$B$1:$B$5001,$A257)&amp;"")</f>
        <v/>
      </c>
      <c r="D257" s="20" t="str">
        <f aca="false">IF($A257="","",INDEX(Apparitions!$L$1:$L$5001,$A257))</f>
        <v/>
      </c>
      <c r="E257" s="19" t="str">
        <f aca="false">IF($A257="","",INDEX(Apparitions!$C$1:$C$5001,$A257)&amp;"")</f>
        <v/>
      </c>
      <c r="F257" s="19" t="str">
        <f aca="false">IF($A257="","",INDEX(Apparitions!$H$1:$H$5001,$A257)&amp;"")</f>
        <v/>
      </c>
      <c r="G257" s="19" t="str">
        <f aca="false">IF($A257="","",INDEX(Apparitions!$I$1:$I$5001,$A257)&amp;"")</f>
        <v/>
      </c>
      <c r="H257" s="19" t="str">
        <f aca="false">IF($A257="","",INDEX(Apparitions!$J$1:$J$5001,$A257)&amp;"")</f>
        <v/>
      </c>
      <c r="I257" s="19" t="str">
        <f aca="false">IF($A257="","",INDEX(Apparitions!$G$1:$G$5001,$A257)&amp;"")</f>
        <v/>
      </c>
      <c r="J257" s="19" t="str">
        <f aca="false">IF($A257="","",INDEX(Apparitions!$M$1:$M$5001,$A257)&amp;"")</f>
        <v/>
      </c>
      <c r="K257" s="21" t="str">
        <f aca="false">IF($A257="","",INDEX(Apparitions!$K$1:$K$5001,$A257))</f>
        <v/>
      </c>
      <c r="L257" s="22" t="str">
        <f aca="false">IF($A257="","",INDEX(Apparitions!$E$1:$E$5001,$A257)&amp;"")</f>
        <v/>
      </c>
      <c r="M257" s="19" t="str">
        <f aca="false">IF($A257="","",INDEX(Apparitions!$F$1:$F$5001,$A257)&amp;"")</f>
        <v/>
      </c>
      <c r="O257" s="23" t="n">
        <f aca="false">IF(I257="",0,IF(COUNTIF(I$16:I257,I257)=1,1,0))</f>
        <v>0</v>
      </c>
      <c r="P257" s="23" t="n">
        <f aca="false">IF(F257="",0,IF(COUNTIF(F$16:F257,F257)=1,1,0))</f>
        <v>0</v>
      </c>
      <c r="Q257" s="0" t="str">
        <f aca="false">IF(B257="","",B257&amp;"|"&amp;C257)</f>
        <v/>
      </c>
      <c r="R257" s="23" t="n">
        <f aca="false">IF(Q257="",0,IF(COUNTIF(Q$16:Q257,Q257)=1,1,0))</f>
        <v>0</v>
      </c>
    </row>
    <row r="258" customFormat="false" ht="15" hidden="false" customHeight="false" outlineLevel="0" collapsed="false">
      <c r="A258" s="0" t="str">
        <f aca="false">IFERROR(MATCH(243,Apparitions!$N$1:$N$5001,0),"")</f>
        <v/>
      </c>
      <c r="B258" s="19" t="str">
        <f aca="false">IF($A258="","",INDEX(Apparitions!$A$1:$A$5001,$A258)&amp;"")</f>
        <v/>
      </c>
      <c r="C258" s="19" t="str">
        <f aca="false">IF($A258="","",INDEX(Apparitions!$B$1:$B$5001,$A258)&amp;"")</f>
        <v/>
      </c>
      <c r="D258" s="20" t="str">
        <f aca="false">IF($A258="","",INDEX(Apparitions!$L$1:$L$5001,$A258))</f>
        <v/>
      </c>
      <c r="E258" s="19" t="str">
        <f aca="false">IF($A258="","",INDEX(Apparitions!$C$1:$C$5001,$A258)&amp;"")</f>
        <v/>
      </c>
      <c r="F258" s="19" t="str">
        <f aca="false">IF($A258="","",INDEX(Apparitions!$H$1:$H$5001,$A258)&amp;"")</f>
        <v/>
      </c>
      <c r="G258" s="19" t="str">
        <f aca="false">IF($A258="","",INDEX(Apparitions!$I$1:$I$5001,$A258)&amp;"")</f>
        <v/>
      </c>
      <c r="H258" s="19" t="str">
        <f aca="false">IF($A258="","",INDEX(Apparitions!$J$1:$J$5001,$A258)&amp;"")</f>
        <v/>
      </c>
      <c r="I258" s="19" t="str">
        <f aca="false">IF($A258="","",INDEX(Apparitions!$G$1:$G$5001,$A258)&amp;"")</f>
        <v/>
      </c>
      <c r="J258" s="19" t="str">
        <f aca="false">IF($A258="","",INDEX(Apparitions!$M$1:$M$5001,$A258)&amp;"")</f>
        <v/>
      </c>
      <c r="K258" s="21" t="str">
        <f aca="false">IF($A258="","",INDEX(Apparitions!$K$1:$K$5001,$A258))</f>
        <v/>
      </c>
      <c r="L258" s="22" t="str">
        <f aca="false">IF($A258="","",INDEX(Apparitions!$E$1:$E$5001,$A258)&amp;"")</f>
        <v/>
      </c>
      <c r="M258" s="19" t="str">
        <f aca="false">IF($A258="","",INDEX(Apparitions!$F$1:$F$5001,$A258)&amp;"")</f>
        <v/>
      </c>
      <c r="O258" s="23" t="n">
        <f aca="false">IF(I258="",0,IF(COUNTIF(I$16:I258,I258)=1,1,0))</f>
        <v>0</v>
      </c>
      <c r="P258" s="23" t="n">
        <f aca="false">IF(F258="",0,IF(COUNTIF(F$16:F258,F258)=1,1,0))</f>
        <v>0</v>
      </c>
      <c r="Q258" s="0" t="str">
        <f aca="false">IF(B258="","",B258&amp;"|"&amp;C258)</f>
        <v/>
      </c>
      <c r="R258" s="23" t="n">
        <f aca="false">IF(Q258="",0,IF(COUNTIF(Q$16:Q258,Q258)=1,1,0))</f>
        <v>0</v>
      </c>
    </row>
    <row r="259" customFormat="false" ht="15" hidden="false" customHeight="false" outlineLevel="0" collapsed="false">
      <c r="A259" s="0" t="str">
        <f aca="false">IFERROR(MATCH(244,Apparitions!$N$1:$N$5001,0),"")</f>
        <v/>
      </c>
      <c r="B259" s="19" t="str">
        <f aca="false">IF($A259="","",INDEX(Apparitions!$A$1:$A$5001,$A259)&amp;"")</f>
        <v/>
      </c>
      <c r="C259" s="19" t="str">
        <f aca="false">IF($A259="","",INDEX(Apparitions!$B$1:$B$5001,$A259)&amp;"")</f>
        <v/>
      </c>
      <c r="D259" s="20" t="str">
        <f aca="false">IF($A259="","",INDEX(Apparitions!$L$1:$L$5001,$A259))</f>
        <v/>
      </c>
      <c r="E259" s="19" t="str">
        <f aca="false">IF($A259="","",INDEX(Apparitions!$C$1:$C$5001,$A259)&amp;"")</f>
        <v/>
      </c>
      <c r="F259" s="19" t="str">
        <f aca="false">IF($A259="","",INDEX(Apparitions!$H$1:$H$5001,$A259)&amp;"")</f>
        <v/>
      </c>
      <c r="G259" s="19" t="str">
        <f aca="false">IF($A259="","",INDEX(Apparitions!$I$1:$I$5001,$A259)&amp;"")</f>
        <v/>
      </c>
      <c r="H259" s="19" t="str">
        <f aca="false">IF($A259="","",INDEX(Apparitions!$J$1:$J$5001,$A259)&amp;"")</f>
        <v/>
      </c>
      <c r="I259" s="19" t="str">
        <f aca="false">IF($A259="","",INDEX(Apparitions!$G$1:$G$5001,$A259)&amp;"")</f>
        <v/>
      </c>
      <c r="J259" s="19" t="str">
        <f aca="false">IF($A259="","",INDEX(Apparitions!$M$1:$M$5001,$A259)&amp;"")</f>
        <v/>
      </c>
      <c r="K259" s="21" t="str">
        <f aca="false">IF($A259="","",INDEX(Apparitions!$K$1:$K$5001,$A259))</f>
        <v/>
      </c>
      <c r="L259" s="22" t="str">
        <f aca="false">IF($A259="","",INDEX(Apparitions!$E$1:$E$5001,$A259)&amp;"")</f>
        <v/>
      </c>
      <c r="M259" s="19" t="str">
        <f aca="false">IF($A259="","",INDEX(Apparitions!$F$1:$F$5001,$A259)&amp;"")</f>
        <v/>
      </c>
      <c r="O259" s="23" t="n">
        <f aca="false">IF(I259="",0,IF(COUNTIF(I$16:I259,I259)=1,1,0))</f>
        <v>0</v>
      </c>
      <c r="P259" s="23" t="n">
        <f aca="false">IF(F259="",0,IF(COUNTIF(F$16:F259,F259)=1,1,0))</f>
        <v>0</v>
      </c>
      <c r="Q259" s="0" t="str">
        <f aca="false">IF(B259="","",B259&amp;"|"&amp;C259)</f>
        <v/>
      </c>
      <c r="R259" s="23" t="n">
        <f aca="false">IF(Q259="",0,IF(COUNTIF(Q$16:Q259,Q259)=1,1,0))</f>
        <v>0</v>
      </c>
    </row>
    <row r="260" customFormat="false" ht="15" hidden="false" customHeight="false" outlineLevel="0" collapsed="false">
      <c r="A260" s="0" t="str">
        <f aca="false">IFERROR(MATCH(245,Apparitions!$N$1:$N$5001,0),"")</f>
        <v/>
      </c>
      <c r="B260" s="19" t="str">
        <f aca="false">IF($A260="","",INDEX(Apparitions!$A$1:$A$5001,$A260)&amp;"")</f>
        <v/>
      </c>
      <c r="C260" s="19" t="str">
        <f aca="false">IF($A260="","",INDEX(Apparitions!$B$1:$B$5001,$A260)&amp;"")</f>
        <v/>
      </c>
      <c r="D260" s="20" t="str">
        <f aca="false">IF($A260="","",INDEX(Apparitions!$L$1:$L$5001,$A260))</f>
        <v/>
      </c>
      <c r="E260" s="19" t="str">
        <f aca="false">IF($A260="","",INDEX(Apparitions!$C$1:$C$5001,$A260)&amp;"")</f>
        <v/>
      </c>
      <c r="F260" s="19" t="str">
        <f aca="false">IF($A260="","",INDEX(Apparitions!$H$1:$H$5001,$A260)&amp;"")</f>
        <v/>
      </c>
      <c r="G260" s="19" t="str">
        <f aca="false">IF($A260="","",INDEX(Apparitions!$I$1:$I$5001,$A260)&amp;"")</f>
        <v/>
      </c>
      <c r="H260" s="19" t="str">
        <f aca="false">IF($A260="","",INDEX(Apparitions!$J$1:$J$5001,$A260)&amp;"")</f>
        <v/>
      </c>
      <c r="I260" s="19" t="str">
        <f aca="false">IF($A260="","",INDEX(Apparitions!$G$1:$G$5001,$A260)&amp;"")</f>
        <v/>
      </c>
      <c r="J260" s="19" t="str">
        <f aca="false">IF($A260="","",INDEX(Apparitions!$M$1:$M$5001,$A260)&amp;"")</f>
        <v/>
      </c>
      <c r="K260" s="21" t="str">
        <f aca="false">IF($A260="","",INDEX(Apparitions!$K$1:$K$5001,$A260))</f>
        <v/>
      </c>
      <c r="L260" s="22" t="str">
        <f aca="false">IF($A260="","",INDEX(Apparitions!$E$1:$E$5001,$A260)&amp;"")</f>
        <v/>
      </c>
      <c r="M260" s="19" t="str">
        <f aca="false">IF($A260="","",INDEX(Apparitions!$F$1:$F$5001,$A260)&amp;"")</f>
        <v/>
      </c>
      <c r="O260" s="23" t="n">
        <f aca="false">IF(I260="",0,IF(COUNTIF(I$16:I260,I260)=1,1,0))</f>
        <v>0</v>
      </c>
      <c r="P260" s="23" t="n">
        <f aca="false">IF(F260="",0,IF(COUNTIF(F$16:F260,F260)=1,1,0))</f>
        <v>0</v>
      </c>
      <c r="Q260" s="0" t="str">
        <f aca="false">IF(B260="","",B260&amp;"|"&amp;C260)</f>
        <v/>
      </c>
      <c r="R260" s="23" t="n">
        <f aca="false">IF(Q260="",0,IF(COUNTIF(Q$16:Q260,Q260)=1,1,0))</f>
        <v>0</v>
      </c>
    </row>
    <row r="261" customFormat="false" ht="15" hidden="false" customHeight="false" outlineLevel="0" collapsed="false">
      <c r="A261" s="0" t="str">
        <f aca="false">IFERROR(MATCH(246,Apparitions!$N$1:$N$5001,0),"")</f>
        <v/>
      </c>
      <c r="B261" s="19" t="str">
        <f aca="false">IF($A261="","",INDEX(Apparitions!$A$1:$A$5001,$A261)&amp;"")</f>
        <v/>
      </c>
      <c r="C261" s="19" t="str">
        <f aca="false">IF($A261="","",INDEX(Apparitions!$B$1:$B$5001,$A261)&amp;"")</f>
        <v/>
      </c>
      <c r="D261" s="20" t="str">
        <f aca="false">IF($A261="","",INDEX(Apparitions!$L$1:$L$5001,$A261))</f>
        <v/>
      </c>
      <c r="E261" s="19" t="str">
        <f aca="false">IF($A261="","",INDEX(Apparitions!$C$1:$C$5001,$A261)&amp;"")</f>
        <v/>
      </c>
      <c r="F261" s="19" t="str">
        <f aca="false">IF($A261="","",INDEX(Apparitions!$H$1:$H$5001,$A261)&amp;"")</f>
        <v/>
      </c>
      <c r="G261" s="19" t="str">
        <f aca="false">IF($A261="","",INDEX(Apparitions!$I$1:$I$5001,$A261)&amp;"")</f>
        <v/>
      </c>
      <c r="H261" s="19" t="str">
        <f aca="false">IF($A261="","",INDEX(Apparitions!$J$1:$J$5001,$A261)&amp;"")</f>
        <v/>
      </c>
      <c r="I261" s="19" t="str">
        <f aca="false">IF($A261="","",INDEX(Apparitions!$G$1:$G$5001,$A261)&amp;"")</f>
        <v/>
      </c>
      <c r="J261" s="19" t="str">
        <f aca="false">IF($A261="","",INDEX(Apparitions!$M$1:$M$5001,$A261)&amp;"")</f>
        <v/>
      </c>
      <c r="K261" s="21" t="str">
        <f aca="false">IF($A261="","",INDEX(Apparitions!$K$1:$K$5001,$A261))</f>
        <v/>
      </c>
      <c r="L261" s="22" t="str">
        <f aca="false">IF($A261="","",INDEX(Apparitions!$E$1:$E$5001,$A261)&amp;"")</f>
        <v/>
      </c>
      <c r="M261" s="19" t="str">
        <f aca="false">IF($A261="","",INDEX(Apparitions!$F$1:$F$5001,$A261)&amp;"")</f>
        <v/>
      </c>
      <c r="O261" s="23" t="n">
        <f aca="false">IF(I261="",0,IF(COUNTIF(I$16:I261,I261)=1,1,0))</f>
        <v>0</v>
      </c>
      <c r="P261" s="23" t="n">
        <f aca="false">IF(F261="",0,IF(COUNTIF(F$16:F261,F261)=1,1,0))</f>
        <v>0</v>
      </c>
      <c r="Q261" s="0" t="str">
        <f aca="false">IF(B261="","",B261&amp;"|"&amp;C261)</f>
        <v/>
      </c>
      <c r="R261" s="23" t="n">
        <f aca="false">IF(Q261="",0,IF(COUNTIF(Q$16:Q261,Q261)=1,1,0))</f>
        <v>0</v>
      </c>
    </row>
    <row r="262" customFormat="false" ht="15" hidden="false" customHeight="false" outlineLevel="0" collapsed="false">
      <c r="A262" s="0" t="str">
        <f aca="false">IFERROR(MATCH(247,Apparitions!$N$1:$N$5001,0),"")</f>
        <v/>
      </c>
      <c r="B262" s="19" t="str">
        <f aca="false">IF($A262="","",INDEX(Apparitions!$A$1:$A$5001,$A262)&amp;"")</f>
        <v/>
      </c>
      <c r="C262" s="19" t="str">
        <f aca="false">IF($A262="","",INDEX(Apparitions!$B$1:$B$5001,$A262)&amp;"")</f>
        <v/>
      </c>
      <c r="D262" s="20" t="str">
        <f aca="false">IF($A262="","",INDEX(Apparitions!$L$1:$L$5001,$A262))</f>
        <v/>
      </c>
      <c r="E262" s="19" t="str">
        <f aca="false">IF($A262="","",INDEX(Apparitions!$C$1:$C$5001,$A262)&amp;"")</f>
        <v/>
      </c>
      <c r="F262" s="19" t="str">
        <f aca="false">IF($A262="","",INDEX(Apparitions!$H$1:$H$5001,$A262)&amp;"")</f>
        <v/>
      </c>
      <c r="G262" s="19" t="str">
        <f aca="false">IF($A262="","",INDEX(Apparitions!$I$1:$I$5001,$A262)&amp;"")</f>
        <v/>
      </c>
      <c r="H262" s="19" t="str">
        <f aca="false">IF($A262="","",INDEX(Apparitions!$J$1:$J$5001,$A262)&amp;"")</f>
        <v/>
      </c>
      <c r="I262" s="19" t="str">
        <f aca="false">IF($A262="","",INDEX(Apparitions!$G$1:$G$5001,$A262)&amp;"")</f>
        <v/>
      </c>
      <c r="J262" s="19" t="str">
        <f aca="false">IF($A262="","",INDEX(Apparitions!$M$1:$M$5001,$A262)&amp;"")</f>
        <v/>
      </c>
      <c r="K262" s="21" t="str">
        <f aca="false">IF($A262="","",INDEX(Apparitions!$K$1:$K$5001,$A262))</f>
        <v/>
      </c>
      <c r="L262" s="22" t="str">
        <f aca="false">IF($A262="","",INDEX(Apparitions!$E$1:$E$5001,$A262)&amp;"")</f>
        <v/>
      </c>
      <c r="M262" s="19" t="str">
        <f aca="false">IF($A262="","",INDEX(Apparitions!$F$1:$F$5001,$A262)&amp;"")</f>
        <v/>
      </c>
      <c r="O262" s="23" t="n">
        <f aca="false">IF(I262="",0,IF(COUNTIF(I$16:I262,I262)=1,1,0))</f>
        <v>0</v>
      </c>
      <c r="P262" s="23" t="n">
        <f aca="false">IF(F262="",0,IF(COUNTIF(F$16:F262,F262)=1,1,0))</f>
        <v>0</v>
      </c>
      <c r="Q262" s="0" t="str">
        <f aca="false">IF(B262="","",B262&amp;"|"&amp;C262)</f>
        <v/>
      </c>
      <c r="R262" s="23" t="n">
        <f aca="false">IF(Q262="",0,IF(COUNTIF(Q$16:Q262,Q262)=1,1,0))</f>
        <v>0</v>
      </c>
    </row>
    <row r="263" customFormat="false" ht="15" hidden="false" customHeight="false" outlineLevel="0" collapsed="false">
      <c r="A263" s="0" t="str">
        <f aca="false">IFERROR(MATCH(248,Apparitions!$N$1:$N$5001,0),"")</f>
        <v/>
      </c>
      <c r="B263" s="19" t="str">
        <f aca="false">IF($A263="","",INDEX(Apparitions!$A$1:$A$5001,$A263)&amp;"")</f>
        <v/>
      </c>
      <c r="C263" s="19" t="str">
        <f aca="false">IF($A263="","",INDEX(Apparitions!$B$1:$B$5001,$A263)&amp;"")</f>
        <v/>
      </c>
      <c r="D263" s="20" t="str">
        <f aca="false">IF($A263="","",INDEX(Apparitions!$L$1:$L$5001,$A263))</f>
        <v/>
      </c>
      <c r="E263" s="19" t="str">
        <f aca="false">IF($A263="","",INDEX(Apparitions!$C$1:$C$5001,$A263)&amp;"")</f>
        <v/>
      </c>
      <c r="F263" s="19" t="str">
        <f aca="false">IF($A263="","",INDEX(Apparitions!$H$1:$H$5001,$A263)&amp;"")</f>
        <v/>
      </c>
      <c r="G263" s="19" t="str">
        <f aca="false">IF($A263="","",INDEX(Apparitions!$I$1:$I$5001,$A263)&amp;"")</f>
        <v/>
      </c>
      <c r="H263" s="19" t="str">
        <f aca="false">IF($A263="","",INDEX(Apparitions!$J$1:$J$5001,$A263)&amp;"")</f>
        <v/>
      </c>
      <c r="I263" s="19" t="str">
        <f aca="false">IF($A263="","",INDEX(Apparitions!$G$1:$G$5001,$A263)&amp;"")</f>
        <v/>
      </c>
      <c r="J263" s="19" t="str">
        <f aca="false">IF($A263="","",INDEX(Apparitions!$M$1:$M$5001,$A263)&amp;"")</f>
        <v/>
      </c>
      <c r="K263" s="21" t="str">
        <f aca="false">IF($A263="","",INDEX(Apparitions!$K$1:$K$5001,$A263))</f>
        <v/>
      </c>
      <c r="L263" s="22" t="str">
        <f aca="false">IF($A263="","",INDEX(Apparitions!$E$1:$E$5001,$A263)&amp;"")</f>
        <v/>
      </c>
      <c r="M263" s="19" t="str">
        <f aca="false">IF($A263="","",INDEX(Apparitions!$F$1:$F$5001,$A263)&amp;"")</f>
        <v/>
      </c>
      <c r="O263" s="23" t="n">
        <f aca="false">IF(I263="",0,IF(COUNTIF(I$16:I263,I263)=1,1,0))</f>
        <v>0</v>
      </c>
      <c r="P263" s="23" t="n">
        <f aca="false">IF(F263="",0,IF(COUNTIF(F$16:F263,F263)=1,1,0))</f>
        <v>0</v>
      </c>
      <c r="Q263" s="0" t="str">
        <f aca="false">IF(B263="","",B263&amp;"|"&amp;C263)</f>
        <v/>
      </c>
      <c r="R263" s="23" t="n">
        <f aca="false">IF(Q263="",0,IF(COUNTIF(Q$16:Q263,Q263)=1,1,0))</f>
        <v>0</v>
      </c>
    </row>
    <row r="264" customFormat="false" ht="15" hidden="false" customHeight="false" outlineLevel="0" collapsed="false">
      <c r="A264" s="0" t="str">
        <f aca="false">IFERROR(MATCH(249,Apparitions!$N$1:$N$5001,0),"")</f>
        <v/>
      </c>
      <c r="B264" s="19" t="str">
        <f aca="false">IF($A264="","",INDEX(Apparitions!$A$1:$A$5001,$A264)&amp;"")</f>
        <v/>
      </c>
      <c r="C264" s="19" t="str">
        <f aca="false">IF($A264="","",INDEX(Apparitions!$B$1:$B$5001,$A264)&amp;"")</f>
        <v/>
      </c>
      <c r="D264" s="20" t="str">
        <f aca="false">IF($A264="","",INDEX(Apparitions!$L$1:$L$5001,$A264))</f>
        <v/>
      </c>
      <c r="E264" s="19" t="str">
        <f aca="false">IF($A264="","",INDEX(Apparitions!$C$1:$C$5001,$A264)&amp;"")</f>
        <v/>
      </c>
      <c r="F264" s="19" t="str">
        <f aca="false">IF($A264="","",INDEX(Apparitions!$H$1:$H$5001,$A264)&amp;"")</f>
        <v/>
      </c>
      <c r="G264" s="19" t="str">
        <f aca="false">IF($A264="","",INDEX(Apparitions!$I$1:$I$5001,$A264)&amp;"")</f>
        <v/>
      </c>
      <c r="H264" s="19" t="str">
        <f aca="false">IF($A264="","",INDEX(Apparitions!$J$1:$J$5001,$A264)&amp;"")</f>
        <v/>
      </c>
      <c r="I264" s="19" t="str">
        <f aca="false">IF($A264="","",INDEX(Apparitions!$G$1:$G$5001,$A264)&amp;"")</f>
        <v/>
      </c>
      <c r="J264" s="19" t="str">
        <f aca="false">IF($A264="","",INDEX(Apparitions!$M$1:$M$5001,$A264)&amp;"")</f>
        <v/>
      </c>
      <c r="K264" s="21" t="str">
        <f aca="false">IF($A264="","",INDEX(Apparitions!$K$1:$K$5001,$A264))</f>
        <v/>
      </c>
      <c r="L264" s="22" t="str">
        <f aca="false">IF($A264="","",INDEX(Apparitions!$E$1:$E$5001,$A264)&amp;"")</f>
        <v/>
      </c>
      <c r="M264" s="19" t="str">
        <f aca="false">IF($A264="","",INDEX(Apparitions!$F$1:$F$5001,$A264)&amp;"")</f>
        <v/>
      </c>
      <c r="O264" s="23" t="n">
        <f aca="false">IF(I264="",0,IF(COUNTIF(I$16:I264,I264)=1,1,0))</f>
        <v>0</v>
      </c>
      <c r="P264" s="23" t="n">
        <f aca="false">IF(F264="",0,IF(COUNTIF(F$16:F264,F264)=1,1,0))</f>
        <v>0</v>
      </c>
      <c r="Q264" s="0" t="str">
        <f aca="false">IF(B264="","",B264&amp;"|"&amp;C264)</f>
        <v/>
      </c>
      <c r="R264" s="23" t="n">
        <f aca="false">IF(Q264="",0,IF(COUNTIF(Q$16:Q264,Q264)=1,1,0))</f>
        <v>0</v>
      </c>
    </row>
    <row r="265" customFormat="false" ht="15" hidden="false" customHeight="false" outlineLevel="0" collapsed="false">
      <c r="A265" s="0" t="str">
        <f aca="false">IFERROR(MATCH(250,Apparitions!$N$1:$N$5001,0),"")</f>
        <v/>
      </c>
      <c r="B265" s="19" t="str">
        <f aca="false">IF($A265="","",INDEX(Apparitions!$A$1:$A$5001,$A265)&amp;"")</f>
        <v/>
      </c>
      <c r="C265" s="19" t="str">
        <f aca="false">IF($A265="","",INDEX(Apparitions!$B$1:$B$5001,$A265)&amp;"")</f>
        <v/>
      </c>
      <c r="D265" s="20" t="str">
        <f aca="false">IF($A265="","",INDEX(Apparitions!$L$1:$L$5001,$A265))</f>
        <v/>
      </c>
      <c r="E265" s="19" t="str">
        <f aca="false">IF($A265="","",INDEX(Apparitions!$C$1:$C$5001,$A265)&amp;"")</f>
        <v/>
      </c>
      <c r="F265" s="19" t="str">
        <f aca="false">IF($A265="","",INDEX(Apparitions!$H$1:$H$5001,$A265)&amp;"")</f>
        <v/>
      </c>
      <c r="G265" s="19" t="str">
        <f aca="false">IF($A265="","",INDEX(Apparitions!$I$1:$I$5001,$A265)&amp;"")</f>
        <v/>
      </c>
      <c r="H265" s="19" t="str">
        <f aca="false">IF($A265="","",INDEX(Apparitions!$J$1:$J$5001,$A265)&amp;"")</f>
        <v/>
      </c>
      <c r="I265" s="19" t="str">
        <f aca="false">IF($A265="","",INDEX(Apparitions!$G$1:$G$5001,$A265)&amp;"")</f>
        <v/>
      </c>
      <c r="J265" s="19" t="str">
        <f aca="false">IF($A265="","",INDEX(Apparitions!$M$1:$M$5001,$A265)&amp;"")</f>
        <v/>
      </c>
      <c r="K265" s="21" t="str">
        <f aca="false">IF($A265="","",INDEX(Apparitions!$K$1:$K$5001,$A265))</f>
        <v/>
      </c>
      <c r="L265" s="22" t="str">
        <f aca="false">IF($A265="","",INDEX(Apparitions!$E$1:$E$5001,$A265)&amp;"")</f>
        <v/>
      </c>
      <c r="M265" s="19" t="str">
        <f aca="false">IF($A265="","",INDEX(Apparitions!$F$1:$F$5001,$A265)&amp;"")</f>
        <v/>
      </c>
      <c r="O265" s="23" t="n">
        <f aca="false">IF(I265="",0,IF(COUNTIF(I$16:I265,I265)=1,1,0))</f>
        <v>0</v>
      </c>
      <c r="P265" s="23" t="n">
        <f aca="false">IF(F265="",0,IF(COUNTIF(F$16:F265,F265)=1,1,0))</f>
        <v>0</v>
      </c>
      <c r="Q265" s="0" t="str">
        <f aca="false">IF(B265="","",B265&amp;"|"&amp;C265)</f>
        <v/>
      </c>
      <c r="R265" s="23" t="n">
        <f aca="false">IF(Q265="",0,IF(COUNTIF(Q$16:Q265,Q265)=1,1,0))</f>
        <v>0</v>
      </c>
    </row>
    <row r="266" customFormat="false" ht="15" hidden="false" customHeight="false" outlineLevel="0" collapsed="false">
      <c r="A266" s="0" t="str">
        <f aca="false">IFERROR(MATCH(251,Apparitions!$N$1:$N$5001,0),"")</f>
        <v/>
      </c>
      <c r="B266" s="19" t="str">
        <f aca="false">IF($A266="","",INDEX(Apparitions!$A$1:$A$5001,$A266)&amp;"")</f>
        <v/>
      </c>
      <c r="C266" s="19" t="str">
        <f aca="false">IF($A266="","",INDEX(Apparitions!$B$1:$B$5001,$A266)&amp;"")</f>
        <v/>
      </c>
      <c r="D266" s="20" t="str">
        <f aca="false">IF($A266="","",INDEX(Apparitions!$L$1:$L$5001,$A266))</f>
        <v/>
      </c>
      <c r="E266" s="19" t="str">
        <f aca="false">IF($A266="","",INDEX(Apparitions!$C$1:$C$5001,$A266)&amp;"")</f>
        <v/>
      </c>
      <c r="F266" s="19" t="str">
        <f aca="false">IF($A266="","",INDEX(Apparitions!$H$1:$H$5001,$A266)&amp;"")</f>
        <v/>
      </c>
      <c r="G266" s="19" t="str">
        <f aca="false">IF($A266="","",INDEX(Apparitions!$I$1:$I$5001,$A266)&amp;"")</f>
        <v/>
      </c>
      <c r="H266" s="19" t="str">
        <f aca="false">IF($A266="","",INDEX(Apparitions!$J$1:$J$5001,$A266)&amp;"")</f>
        <v/>
      </c>
      <c r="I266" s="19" t="str">
        <f aca="false">IF($A266="","",INDEX(Apparitions!$G$1:$G$5001,$A266)&amp;"")</f>
        <v/>
      </c>
      <c r="J266" s="19" t="str">
        <f aca="false">IF($A266="","",INDEX(Apparitions!$M$1:$M$5001,$A266)&amp;"")</f>
        <v/>
      </c>
      <c r="K266" s="21" t="str">
        <f aca="false">IF($A266="","",INDEX(Apparitions!$K$1:$K$5001,$A266))</f>
        <v/>
      </c>
      <c r="L266" s="22" t="str">
        <f aca="false">IF($A266="","",INDEX(Apparitions!$E$1:$E$5001,$A266)&amp;"")</f>
        <v/>
      </c>
      <c r="M266" s="19" t="str">
        <f aca="false">IF($A266="","",INDEX(Apparitions!$F$1:$F$5001,$A266)&amp;"")</f>
        <v/>
      </c>
      <c r="O266" s="23" t="n">
        <f aca="false">IF(I266="",0,IF(COUNTIF(I$16:I266,I266)=1,1,0))</f>
        <v>0</v>
      </c>
      <c r="P266" s="23" t="n">
        <f aca="false">IF(F266="",0,IF(COUNTIF(F$16:F266,F266)=1,1,0))</f>
        <v>0</v>
      </c>
      <c r="Q266" s="0" t="str">
        <f aca="false">IF(B266="","",B266&amp;"|"&amp;C266)</f>
        <v/>
      </c>
      <c r="R266" s="23" t="n">
        <f aca="false">IF(Q266="",0,IF(COUNTIF(Q$16:Q266,Q266)=1,1,0))</f>
        <v>0</v>
      </c>
    </row>
    <row r="267" customFormat="false" ht="15" hidden="false" customHeight="false" outlineLevel="0" collapsed="false">
      <c r="A267" s="0" t="str">
        <f aca="false">IFERROR(MATCH(252,Apparitions!$N$1:$N$5001,0),"")</f>
        <v/>
      </c>
      <c r="B267" s="19" t="str">
        <f aca="false">IF($A267="","",INDEX(Apparitions!$A$1:$A$5001,$A267)&amp;"")</f>
        <v/>
      </c>
      <c r="C267" s="19" t="str">
        <f aca="false">IF($A267="","",INDEX(Apparitions!$B$1:$B$5001,$A267)&amp;"")</f>
        <v/>
      </c>
      <c r="D267" s="20" t="str">
        <f aca="false">IF($A267="","",INDEX(Apparitions!$L$1:$L$5001,$A267))</f>
        <v/>
      </c>
      <c r="E267" s="19" t="str">
        <f aca="false">IF($A267="","",INDEX(Apparitions!$C$1:$C$5001,$A267)&amp;"")</f>
        <v/>
      </c>
      <c r="F267" s="19" t="str">
        <f aca="false">IF($A267="","",INDEX(Apparitions!$H$1:$H$5001,$A267)&amp;"")</f>
        <v/>
      </c>
      <c r="G267" s="19" t="str">
        <f aca="false">IF($A267="","",INDEX(Apparitions!$I$1:$I$5001,$A267)&amp;"")</f>
        <v/>
      </c>
      <c r="H267" s="19" t="str">
        <f aca="false">IF($A267="","",INDEX(Apparitions!$J$1:$J$5001,$A267)&amp;"")</f>
        <v/>
      </c>
      <c r="I267" s="19" t="str">
        <f aca="false">IF($A267="","",INDEX(Apparitions!$G$1:$G$5001,$A267)&amp;"")</f>
        <v/>
      </c>
      <c r="J267" s="19" t="str">
        <f aca="false">IF($A267="","",INDEX(Apparitions!$M$1:$M$5001,$A267)&amp;"")</f>
        <v/>
      </c>
      <c r="K267" s="21" t="str">
        <f aca="false">IF($A267="","",INDEX(Apparitions!$K$1:$K$5001,$A267))</f>
        <v/>
      </c>
      <c r="L267" s="22" t="str">
        <f aca="false">IF($A267="","",INDEX(Apparitions!$E$1:$E$5001,$A267)&amp;"")</f>
        <v/>
      </c>
      <c r="M267" s="19" t="str">
        <f aca="false">IF($A267="","",INDEX(Apparitions!$F$1:$F$5001,$A267)&amp;"")</f>
        <v/>
      </c>
      <c r="O267" s="23" t="n">
        <f aca="false">IF(I267="",0,IF(COUNTIF(I$16:I267,I267)=1,1,0))</f>
        <v>0</v>
      </c>
      <c r="P267" s="23" t="n">
        <f aca="false">IF(F267="",0,IF(COUNTIF(F$16:F267,F267)=1,1,0))</f>
        <v>0</v>
      </c>
      <c r="Q267" s="0" t="str">
        <f aca="false">IF(B267="","",B267&amp;"|"&amp;C267)</f>
        <v/>
      </c>
      <c r="R267" s="23" t="n">
        <f aca="false">IF(Q267="",0,IF(COUNTIF(Q$16:Q267,Q267)=1,1,0))</f>
        <v>0</v>
      </c>
    </row>
    <row r="268" customFormat="false" ht="15" hidden="false" customHeight="false" outlineLevel="0" collapsed="false">
      <c r="A268" s="0" t="str">
        <f aca="false">IFERROR(MATCH(253,Apparitions!$N$1:$N$5001,0),"")</f>
        <v/>
      </c>
      <c r="B268" s="19" t="str">
        <f aca="false">IF($A268="","",INDEX(Apparitions!$A$1:$A$5001,$A268)&amp;"")</f>
        <v/>
      </c>
      <c r="C268" s="19" t="str">
        <f aca="false">IF($A268="","",INDEX(Apparitions!$B$1:$B$5001,$A268)&amp;"")</f>
        <v/>
      </c>
      <c r="D268" s="20" t="str">
        <f aca="false">IF($A268="","",INDEX(Apparitions!$L$1:$L$5001,$A268))</f>
        <v/>
      </c>
      <c r="E268" s="19" t="str">
        <f aca="false">IF($A268="","",INDEX(Apparitions!$C$1:$C$5001,$A268)&amp;"")</f>
        <v/>
      </c>
      <c r="F268" s="19" t="str">
        <f aca="false">IF($A268="","",INDEX(Apparitions!$H$1:$H$5001,$A268)&amp;"")</f>
        <v/>
      </c>
      <c r="G268" s="19" t="str">
        <f aca="false">IF($A268="","",INDEX(Apparitions!$I$1:$I$5001,$A268)&amp;"")</f>
        <v/>
      </c>
      <c r="H268" s="19" t="str">
        <f aca="false">IF($A268="","",INDEX(Apparitions!$J$1:$J$5001,$A268)&amp;"")</f>
        <v/>
      </c>
      <c r="I268" s="19" t="str">
        <f aca="false">IF($A268="","",INDEX(Apparitions!$G$1:$G$5001,$A268)&amp;"")</f>
        <v/>
      </c>
      <c r="J268" s="19" t="str">
        <f aca="false">IF($A268="","",INDEX(Apparitions!$M$1:$M$5001,$A268)&amp;"")</f>
        <v/>
      </c>
      <c r="K268" s="21" t="str">
        <f aca="false">IF($A268="","",INDEX(Apparitions!$K$1:$K$5001,$A268))</f>
        <v/>
      </c>
      <c r="L268" s="22" t="str">
        <f aca="false">IF($A268="","",INDEX(Apparitions!$E$1:$E$5001,$A268)&amp;"")</f>
        <v/>
      </c>
      <c r="M268" s="19" t="str">
        <f aca="false">IF($A268="","",INDEX(Apparitions!$F$1:$F$5001,$A268)&amp;"")</f>
        <v/>
      </c>
      <c r="O268" s="23" t="n">
        <f aca="false">IF(I268="",0,IF(COUNTIF(I$16:I268,I268)=1,1,0))</f>
        <v>0</v>
      </c>
      <c r="P268" s="23" t="n">
        <f aca="false">IF(F268="",0,IF(COUNTIF(F$16:F268,F268)=1,1,0))</f>
        <v>0</v>
      </c>
      <c r="Q268" s="0" t="str">
        <f aca="false">IF(B268="","",B268&amp;"|"&amp;C268)</f>
        <v/>
      </c>
      <c r="R268" s="23" t="n">
        <f aca="false">IF(Q268="",0,IF(COUNTIF(Q$16:Q268,Q268)=1,1,0))</f>
        <v>0</v>
      </c>
    </row>
    <row r="269" customFormat="false" ht="15" hidden="false" customHeight="false" outlineLevel="0" collapsed="false">
      <c r="A269" s="0" t="str">
        <f aca="false">IFERROR(MATCH(254,Apparitions!$N$1:$N$5001,0),"")</f>
        <v/>
      </c>
      <c r="B269" s="19" t="str">
        <f aca="false">IF($A269="","",INDEX(Apparitions!$A$1:$A$5001,$A269)&amp;"")</f>
        <v/>
      </c>
      <c r="C269" s="19" t="str">
        <f aca="false">IF($A269="","",INDEX(Apparitions!$B$1:$B$5001,$A269)&amp;"")</f>
        <v/>
      </c>
      <c r="D269" s="20" t="str">
        <f aca="false">IF($A269="","",INDEX(Apparitions!$L$1:$L$5001,$A269))</f>
        <v/>
      </c>
      <c r="E269" s="19" t="str">
        <f aca="false">IF($A269="","",INDEX(Apparitions!$C$1:$C$5001,$A269)&amp;"")</f>
        <v/>
      </c>
      <c r="F269" s="19" t="str">
        <f aca="false">IF($A269="","",INDEX(Apparitions!$H$1:$H$5001,$A269)&amp;"")</f>
        <v/>
      </c>
      <c r="G269" s="19" t="str">
        <f aca="false">IF($A269="","",INDEX(Apparitions!$I$1:$I$5001,$A269)&amp;"")</f>
        <v/>
      </c>
      <c r="H269" s="19" t="str">
        <f aca="false">IF($A269="","",INDEX(Apparitions!$J$1:$J$5001,$A269)&amp;"")</f>
        <v/>
      </c>
      <c r="I269" s="19" t="str">
        <f aca="false">IF($A269="","",INDEX(Apparitions!$G$1:$G$5001,$A269)&amp;"")</f>
        <v/>
      </c>
      <c r="J269" s="19" t="str">
        <f aca="false">IF($A269="","",INDEX(Apparitions!$M$1:$M$5001,$A269)&amp;"")</f>
        <v/>
      </c>
      <c r="K269" s="21" t="str">
        <f aca="false">IF($A269="","",INDEX(Apparitions!$K$1:$K$5001,$A269))</f>
        <v/>
      </c>
      <c r="L269" s="22" t="str">
        <f aca="false">IF($A269="","",INDEX(Apparitions!$E$1:$E$5001,$A269)&amp;"")</f>
        <v/>
      </c>
      <c r="M269" s="19" t="str">
        <f aca="false">IF($A269="","",INDEX(Apparitions!$F$1:$F$5001,$A269)&amp;"")</f>
        <v/>
      </c>
      <c r="O269" s="23" t="n">
        <f aca="false">IF(I269="",0,IF(COUNTIF(I$16:I269,I269)=1,1,0))</f>
        <v>0</v>
      </c>
      <c r="P269" s="23" t="n">
        <f aca="false">IF(F269="",0,IF(COUNTIF(F$16:F269,F269)=1,1,0))</f>
        <v>0</v>
      </c>
      <c r="Q269" s="0" t="str">
        <f aca="false">IF(B269="","",B269&amp;"|"&amp;C269)</f>
        <v/>
      </c>
      <c r="R269" s="23" t="n">
        <f aca="false">IF(Q269="",0,IF(COUNTIF(Q$16:Q269,Q269)=1,1,0))</f>
        <v>0</v>
      </c>
    </row>
    <row r="270" customFormat="false" ht="15" hidden="false" customHeight="false" outlineLevel="0" collapsed="false">
      <c r="A270" s="0" t="str">
        <f aca="false">IFERROR(MATCH(255,Apparitions!$N$1:$N$5001,0),"")</f>
        <v/>
      </c>
      <c r="B270" s="19" t="str">
        <f aca="false">IF($A270="","",INDEX(Apparitions!$A$1:$A$5001,$A270)&amp;"")</f>
        <v/>
      </c>
      <c r="C270" s="19" t="str">
        <f aca="false">IF($A270="","",INDEX(Apparitions!$B$1:$B$5001,$A270)&amp;"")</f>
        <v/>
      </c>
      <c r="D270" s="20" t="str">
        <f aca="false">IF($A270="","",INDEX(Apparitions!$L$1:$L$5001,$A270))</f>
        <v/>
      </c>
      <c r="E270" s="19" t="str">
        <f aca="false">IF($A270="","",INDEX(Apparitions!$C$1:$C$5001,$A270)&amp;"")</f>
        <v/>
      </c>
      <c r="F270" s="19" t="str">
        <f aca="false">IF($A270="","",INDEX(Apparitions!$H$1:$H$5001,$A270)&amp;"")</f>
        <v/>
      </c>
      <c r="G270" s="19" t="str">
        <f aca="false">IF($A270="","",INDEX(Apparitions!$I$1:$I$5001,$A270)&amp;"")</f>
        <v/>
      </c>
      <c r="H270" s="19" t="str">
        <f aca="false">IF($A270="","",INDEX(Apparitions!$J$1:$J$5001,$A270)&amp;"")</f>
        <v/>
      </c>
      <c r="I270" s="19" t="str">
        <f aca="false">IF($A270="","",INDEX(Apparitions!$G$1:$G$5001,$A270)&amp;"")</f>
        <v/>
      </c>
      <c r="J270" s="19" t="str">
        <f aca="false">IF($A270="","",INDEX(Apparitions!$M$1:$M$5001,$A270)&amp;"")</f>
        <v/>
      </c>
      <c r="K270" s="21" t="str">
        <f aca="false">IF($A270="","",INDEX(Apparitions!$K$1:$K$5001,$A270))</f>
        <v/>
      </c>
      <c r="L270" s="22" t="str">
        <f aca="false">IF($A270="","",INDEX(Apparitions!$E$1:$E$5001,$A270)&amp;"")</f>
        <v/>
      </c>
      <c r="M270" s="19" t="str">
        <f aca="false">IF($A270="","",INDEX(Apparitions!$F$1:$F$5001,$A270)&amp;"")</f>
        <v/>
      </c>
      <c r="O270" s="23" t="n">
        <f aca="false">IF(I270="",0,IF(COUNTIF(I$16:I270,I270)=1,1,0))</f>
        <v>0</v>
      </c>
      <c r="P270" s="23" t="n">
        <f aca="false">IF(F270="",0,IF(COUNTIF(F$16:F270,F270)=1,1,0))</f>
        <v>0</v>
      </c>
      <c r="Q270" s="0" t="str">
        <f aca="false">IF(B270="","",B270&amp;"|"&amp;C270)</f>
        <v/>
      </c>
      <c r="R270" s="23" t="n">
        <f aca="false">IF(Q270="",0,IF(COUNTIF(Q$16:Q270,Q270)=1,1,0))</f>
        <v>0</v>
      </c>
    </row>
    <row r="271" customFormat="false" ht="15" hidden="false" customHeight="false" outlineLevel="0" collapsed="false">
      <c r="A271" s="0" t="str">
        <f aca="false">IFERROR(MATCH(256,Apparitions!$N$1:$N$5001,0),"")</f>
        <v/>
      </c>
      <c r="B271" s="19" t="str">
        <f aca="false">IF($A271="","",INDEX(Apparitions!$A$1:$A$5001,$A271)&amp;"")</f>
        <v/>
      </c>
      <c r="C271" s="19" t="str">
        <f aca="false">IF($A271="","",INDEX(Apparitions!$B$1:$B$5001,$A271)&amp;"")</f>
        <v/>
      </c>
      <c r="D271" s="20" t="str">
        <f aca="false">IF($A271="","",INDEX(Apparitions!$L$1:$L$5001,$A271))</f>
        <v/>
      </c>
      <c r="E271" s="19" t="str">
        <f aca="false">IF($A271="","",INDEX(Apparitions!$C$1:$C$5001,$A271)&amp;"")</f>
        <v/>
      </c>
      <c r="F271" s="19" t="str">
        <f aca="false">IF($A271="","",INDEX(Apparitions!$H$1:$H$5001,$A271)&amp;"")</f>
        <v/>
      </c>
      <c r="G271" s="19" t="str">
        <f aca="false">IF($A271="","",INDEX(Apparitions!$I$1:$I$5001,$A271)&amp;"")</f>
        <v/>
      </c>
      <c r="H271" s="19" t="str">
        <f aca="false">IF($A271="","",INDEX(Apparitions!$J$1:$J$5001,$A271)&amp;"")</f>
        <v/>
      </c>
      <c r="I271" s="19" t="str">
        <f aca="false">IF($A271="","",INDEX(Apparitions!$G$1:$G$5001,$A271)&amp;"")</f>
        <v/>
      </c>
      <c r="J271" s="19" t="str">
        <f aca="false">IF($A271="","",INDEX(Apparitions!$M$1:$M$5001,$A271)&amp;"")</f>
        <v/>
      </c>
      <c r="K271" s="21" t="str">
        <f aca="false">IF($A271="","",INDEX(Apparitions!$K$1:$K$5001,$A271))</f>
        <v/>
      </c>
      <c r="L271" s="22" t="str">
        <f aca="false">IF($A271="","",INDEX(Apparitions!$E$1:$E$5001,$A271)&amp;"")</f>
        <v/>
      </c>
      <c r="M271" s="19" t="str">
        <f aca="false">IF($A271="","",INDEX(Apparitions!$F$1:$F$5001,$A271)&amp;"")</f>
        <v/>
      </c>
      <c r="O271" s="23" t="n">
        <f aca="false">IF(I271="",0,IF(COUNTIF(I$16:I271,I271)=1,1,0))</f>
        <v>0</v>
      </c>
      <c r="P271" s="23" t="n">
        <f aca="false">IF(F271="",0,IF(COUNTIF(F$16:F271,F271)=1,1,0))</f>
        <v>0</v>
      </c>
      <c r="Q271" s="0" t="str">
        <f aca="false">IF(B271="","",B271&amp;"|"&amp;C271)</f>
        <v/>
      </c>
      <c r="R271" s="23" t="n">
        <f aca="false">IF(Q271="",0,IF(COUNTIF(Q$16:Q271,Q271)=1,1,0))</f>
        <v>0</v>
      </c>
    </row>
    <row r="272" customFormat="false" ht="15" hidden="false" customHeight="false" outlineLevel="0" collapsed="false">
      <c r="A272" s="0" t="str">
        <f aca="false">IFERROR(MATCH(257,Apparitions!$N$1:$N$5001,0),"")</f>
        <v/>
      </c>
      <c r="B272" s="19" t="str">
        <f aca="false">IF($A272="","",INDEX(Apparitions!$A$1:$A$5001,$A272)&amp;"")</f>
        <v/>
      </c>
      <c r="C272" s="19" t="str">
        <f aca="false">IF($A272="","",INDEX(Apparitions!$B$1:$B$5001,$A272)&amp;"")</f>
        <v/>
      </c>
      <c r="D272" s="20" t="str">
        <f aca="false">IF($A272="","",INDEX(Apparitions!$L$1:$L$5001,$A272))</f>
        <v/>
      </c>
      <c r="E272" s="19" t="str">
        <f aca="false">IF($A272="","",INDEX(Apparitions!$C$1:$C$5001,$A272)&amp;"")</f>
        <v/>
      </c>
      <c r="F272" s="19" t="str">
        <f aca="false">IF($A272="","",INDEX(Apparitions!$H$1:$H$5001,$A272)&amp;"")</f>
        <v/>
      </c>
      <c r="G272" s="19" t="str">
        <f aca="false">IF($A272="","",INDEX(Apparitions!$I$1:$I$5001,$A272)&amp;"")</f>
        <v/>
      </c>
      <c r="H272" s="19" t="str">
        <f aca="false">IF($A272="","",INDEX(Apparitions!$J$1:$J$5001,$A272)&amp;"")</f>
        <v/>
      </c>
      <c r="I272" s="19" t="str">
        <f aca="false">IF($A272="","",INDEX(Apparitions!$G$1:$G$5001,$A272)&amp;"")</f>
        <v/>
      </c>
      <c r="J272" s="19" t="str">
        <f aca="false">IF($A272="","",INDEX(Apparitions!$M$1:$M$5001,$A272)&amp;"")</f>
        <v/>
      </c>
      <c r="K272" s="21" t="str">
        <f aca="false">IF($A272="","",INDEX(Apparitions!$K$1:$K$5001,$A272))</f>
        <v/>
      </c>
      <c r="L272" s="22" t="str">
        <f aca="false">IF($A272="","",INDEX(Apparitions!$E$1:$E$5001,$A272)&amp;"")</f>
        <v/>
      </c>
      <c r="M272" s="19" t="str">
        <f aca="false">IF($A272="","",INDEX(Apparitions!$F$1:$F$5001,$A272)&amp;"")</f>
        <v/>
      </c>
      <c r="O272" s="23" t="n">
        <f aca="false">IF(I272="",0,IF(COUNTIF(I$16:I272,I272)=1,1,0))</f>
        <v>0</v>
      </c>
      <c r="P272" s="23" t="n">
        <f aca="false">IF(F272="",0,IF(COUNTIF(F$16:F272,F272)=1,1,0))</f>
        <v>0</v>
      </c>
      <c r="Q272" s="0" t="str">
        <f aca="false">IF(B272="","",B272&amp;"|"&amp;C272)</f>
        <v/>
      </c>
      <c r="R272" s="23" t="n">
        <f aca="false">IF(Q272="",0,IF(COUNTIF(Q$16:Q272,Q272)=1,1,0))</f>
        <v>0</v>
      </c>
    </row>
    <row r="273" customFormat="false" ht="15" hidden="false" customHeight="false" outlineLevel="0" collapsed="false">
      <c r="A273" s="0" t="str">
        <f aca="false">IFERROR(MATCH(258,Apparitions!$N$1:$N$5001,0),"")</f>
        <v/>
      </c>
      <c r="B273" s="19" t="str">
        <f aca="false">IF($A273="","",INDEX(Apparitions!$A$1:$A$5001,$A273)&amp;"")</f>
        <v/>
      </c>
      <c r="C273" s="19" t="str">
        <f aca="false">IF($A273="","",INDEX(Apparitions!$B$1:$B$5001,$A273)&amp;"")</f>
        <v/>
      </c>
      <c r="D273" s="20" t="str">
        <f aca="false">IF($A273="","",INDEX(Apparitions!$L$1:$L$5001,$A273))</f>
        <v/>
      </c>
      <c r="E273" s="19" t="str">
        <f aca="false">IF($A273="","",INDEX(Apparitions!$C$1:$C$5001,$A273)&amp;"")</f>
        <v/>
      </c>
      <c r="F273" s="19" t="str">
        <f aca="false">IF($A273="","",INDEX(Apparitions!$H$1:$H$5001,$A273)&amp;"")</f>
        <v/>
      </c>
      <c r="G273" s="19" t="str">
        <f aca="false">IF($A273="","",INDEX(Apparitions!$I$1:$I$5001,$A273)&amp;"")</f>
        <v/>
      </c>
      <c r="H273" s="19" t="str">
        <f aca="false">IF($A273="","",INDEX(Apparitions!$J$1:$J$5001,$A273)&amp;"")</f>
        <v/>
      </c>
      <c r="I273" s="19" t="str">
        <f aca="false">IF($A273="","",INDEX(Apparitions!$G$1:$G$5001,$A273)&amp;"")</f>
        <v/>
      </c>
      <c r="J273" s="19" t="str">
        <f aca="false">IF($A273="","",INDEX(Apparitions!$M$1:$M$5001,$A273)&amp;"")</f>
        <v/>
      </c>
      <c r="K273" s="21" t="str">
        <f aca="false">IF($A273="","",INDEX(Apparitions!$K$1:$K$5001,$A273))</f>
        <v/>
      </c>
      <c r="L273" s="22" t="str">
        <f aca="false">IF($A273="","",INDEX(Apparitions!$E$1:$E$5001,$A273)&amp;"")</f>
        <v/>
      </c>
      <c r="M273" s="19" t="str">
        <f aca="false">IF($A273="","",INDEX(Apparitions!$F$1:$F$5001,$A273)&amp;"")</f>
        <v/>
      </c>
      <c r="O273" s="23" t="n">
        <f aca="false">IF(I273="",0,IF(COUNTIF(I$16:I273,I273)=1,1,0))</f>
        <v>0</v>
      </c>
      <c r="P273" s="23" t="n">
        <f aca="false">IF(F273="",0,IF(COUNTIF(F$16:F273,F273)=1,1,0))</f>
        <v>0</v>
      </c>
      <c r="Q273" s="0" t="str">
        <f aca="false">IF(B273="","",B273&amp;"|"&amp;C273)</f>
        <v/>
      </c>
      <c r="R273" s="23" t="n">
        <f aca="false">IF(Q273="",0,IF(COUNTIF(Q$16:Q273,Q273)=1,1,0))</f>
        <v>0</v>
      </c>
    </row>
    <row r="274" customFormat="false" ht="15" hidden="false" customHeight="false" outlineLevel="0" collapsed="false">
      <c r="A274" s="0" t="str">
        <f aca="false">IFERROR(MATCH(259,Apparitions!$N$1:$N$5001,0),"")</f>
        <v/>
      </c>
      <c r="B274" s="19" t="str">
        <f aca="false">IF($A274="","",INDEX(Apparitions!$A$1:$A$5001,$A274)&amp;"")</f>
        <v/>
      </c>
      <c r="C274" s="19" t="str">
        <f aca="false">IF($A274="","",INDEX(Apparitions!$B$1:$B$5001,$A274)&amp;"")</f>
        <v/>
      </c>
      <c r="D274" s="20" t="str">
        <f aca="false">IF($A274="","",INDEX(Apparitions!$L$1:$L$5001,$A274))</f>
        <v/>
      </c>
      <c r="E274" s="19" t="str">
        <f aca="false">IF($A274="","",INDEX(Apparitions!$C$1:$C$5001,$A274)&amp;"")</f>
        <v/>
      </c>
      <c r="F274" s="19" t="str">
        <f aca="false">IF($A274="","",INDEX(Apparitions!$H$1:$H$5001,$A274)&amp;"")</f>
        <v/>
      </c>
      <c r="G274" s="19" t="str">
        <f aca="false">IF($A274="","",INDEX(Apparitions!$I$1:$I$5001,$A274)&amp;"")</f>
        <v/>
      </c>
      <c r="H274" s="19" t="str">
        <f aca="false">IF($A274="","",INDEX(Apparitions!$J$1:$J$5001,$A274)&amp;"")</f>
        <v/>
      </c>
      <c r="I274" s="19" t="str">
        <f aca="false">IF($A274="","",INDEX(Apparitions!$G$1:$G$5001,$A274)&amp;"")</f>
        <v/>
      </c>
      <c r="J274" s="19" t="str">
        <f aca="false">IF($A274="","",INDEX(Apparitions!$M$1:$M$5001,$A274)&amp;"")</f>
        <v/>
      </c>
      <c r="K274" s="21" t="str">
        <f aca="false">IF($A274="","",INDEX(Apparitions!$K$1:$K$5001,$A274))</f>
        <v/>
      </c>
      <c r="L274" s="22" t="str">
        <f aca="false">IF($A274="","",INDEX(Apparitions!$E$1:$E$5001,$A274)&amp;"")</f>
        <v/>
      </c>
      <c r="M274" s="19" t="str">
        <f aca="false">IF($A274="","",INDEX(Apparitions!$F$1:$F$5001,$A274)&amp;"")</f>
        <v/>
      </c>
      <c r="O274" s="23" t="n">
        <f aca="false">IF(I274="",0,IF(COUNTIF(I$16:I274,I274)=1,1,0))</f>
        <v>0</v>
      </c>
      <c r="P274" s="23" t="n">
        <f aca="false">IF(F274="",0,IF(COUNTIF(F$16:F274,F274)=1,1,0))</f>
        <v>0</v>
      </c>
      <c r="Q274" s="0" t="str">
        <f aca="false">IF(B274="","",B274&amp;"|"&amp;C274)</f>
        <v/>
      </c>
      <c r="R274" s="23" t="n">
        <f aca="false">IF(Q274="",0,IF(COUNTIF(Q$16:Q274,Q274)=1,1,0))</f>
        <v>0</v>
      </c>
    </row>
    <row r="275" customFormat="false" ht="15" hidden="false" customHeight="false" outlineLevel="0" collapsed="false">
      <c r="A275" s="0" t="str">
        <f aca="false">IFERROR(MATCH(260,Apparitions!$N$1:$N$5001,0),"")</f>
        <v/>
      </c>
      <c r="B275" s="19" t="str">
        <f aca="false">IF($A275="","",INDEX(Apparitions!$A$1:$A$5001,$A275)&amp;"")</f>
        <v/>
      </c>
      <c r="C275" s="19" t="str">
        <f aca="false">IF($A275="","",INDEX(Apparitions!$B$1:$B$5001,$A275)&amp;"")</f>
        <v/>
      </c>
      <c r="D275" s="20" t="str">
        <f aca="false">IF($A275="","",INDEX(Apparitions!$L$1:$L$5001,$A275))</f>
        <v/>
      </c>
      <c r="E275" s="19" t="str">
        <f aca="false">IF($A275="","",INDEX(Apparitions!$C$1:$C$5001,$A275)&amp;"")</f>
        <v/>
      </c>
      <c r="F275" s="19" t="str">
        <f aca="false">IF($A275="","",INDEX(Apparitions!$H$1:$H$5001,$A275)&amp;"")</f>
        <v/>
      </c>
      <c r="G275" s="19" t="str">
        <f aca="false">IF($A275="","",INDEX(Apparitions!$I$1:$I$5001,$A275)&amp;"")</f>
        <v/>
      </c>
      <c r="H275" s="19" t="str">
        <f aca="false">IF($A275="","",INDEX(Apparitions!$J$1:$J$5001,$A275)&amp;"")</f>
        <v/>
      </c>
      <c r="I275" s="19" t="str">
        <f aca="false">IF($A275="","",INDEX(Apparitions!$G$1:$G$5001,$A275)&amp;"")</f>
        <v/>
      </c>
      <c r="J275" s="19" t="str">
        <f aca="false">IF($A275="","",INDEX(Apparitions!$M$1:$M$5001,$A275)&amp;"")</f>
        <v/>
      </c>
      <c r="K275" s="21" t="str">
        <f aca="false">IF($A275="","",INDEX(Apparitions!$K$1:$K$5001,$A275))</f>
        <v/>
      </c>
      <c r="L275" s="22" t="str">
        <f aca="false">IF($A275="","",INDEX(Apparitions!$E$1:$E$5001,$A275)&amp;"")</f>
        <v/>
      </c>
      <c r="M275" s="19" t="str">
        <f aca="false">IF($A275="","",INDEX(Apparitions!$F$1:$F$5001,$A275)&amp;"")</f>
        <v/>
      </c>
      <c r="O275" s="23" t="n">
        <f aca="false">IF(I275="",0,IF(COUNTIF(I$16:I275,I275)=1,1,0))</f>
        <v>0</v>
      </c>
      <c r="P275" s="23" t="n">
        <f aca="false">IF(F275="",0,IF(COUNTIF(F$16:F275,F275)=1,1,0))</f>
        <v>0</v>
      </c>
      <c r="Q275" s="0" t="str">
        <f aca="false">IF(B275="","",B275&amp;"|"&amp;C275)</f>
        <v/>
      </c>
      <c r="R275" s="23" t="n">
        <f aca="false">IF(Q275="",0,IF(COUNTIF(Q$16:Q275,Q275)=1,1,0))</f>
        <v>0</v>
      </c>
    </row>
    <row r="276" customFormat="false" ht="15" hidden="false" customHeight="false" outlineLevel="0" collapsed="false">
      <c r="A276" s="0" t="str">
        <f aca="false">IFERROR(MATCH(261,Apparitions!$N$1:$N$5001,0),"")</f>
        <v/>
      </c>
      <c r="B276" s="19" t="str">
        <f aca="false">IF($A276="","",INDEX(Apparitions!$A$1:$A$5001,$A276)&amp;"")</f>
        <v/>
      </c>
      <c r="C276" s="19" t="str">
        <f aca="false">IF($A276="","",INDEX(Apparitions!$B$1:$B$5001,$A276)&amp;"")</f>
        <v/>
      </c>
      <c r="D276" s="20" t="str">
        <f aca="false">IF($A276="","",INDEX(Apparitions!$L$1:$L$5001,$A276))</f>
        <v/>
      </c>
      <c r="E276" s="19" t="str">
        <f aca="false">IF($A276="","",INDEX(Apparitions!$C$1:$C$5001,$A276)&amp;"")</f>
        <v/>
      </c>
      <c r="F276" s="19" t="str">
        <f aca="false">IF($A276="","",INDEX(Apparitions!$H$1:$H$5001,$A276)&amp;"")</f>
        <v/>
      </c>
      <c r="G276" s="19" t="str">
        <f aca="false">IF($A276="","",INDEX(Apparitions!$I$1:$I$5001,$A276)&amp;"")</f>
        <v/>
      </c>
      <c r="H276" s="19" t="str">
        <f aca="false">IF($A276="","",INDEX(Apparitions!$J$1:$J$5001,$A276)&amp;"")</f>
        <v/>
      </c>
      <c r="I276" s="19" t="str">
        <f aca="false">IF($A276="","",INDEX(Apparitions!$G$1:$G$5001,$A276)&amp;"")</f>
        <v/>
      </c>
      <c r="J276" s="19" t="str">
        <f aca="false">IF($A276="","",INDEX(Apparitions!$M$1:$M$5001,$A276)&amp;"")</f>
        <v/>
      </c>
      <c r="K276" s="21" t="str">
        <f aca="false">IF($A276="","",INDEX(Apparitions!$K$1:$K$5001,$A276))</f>
        <v/>
      </c>
      <c r="L276" s="22" t="str">
        <f aca="false">IF($A276="","",INDEX(Apparitions!$E$1:$E$5001,$A276)&amp;"")</f>
        <v/>
      </c>
      <c r="M276" s="19" t="str">
        <f aca="false">IF($A276="","",INDEX(Apparitions!$F$1:$F$5001,$A276)&amp;"")</f>
        <v/>
      </c>
      <c r="O276" s="23" t="n">
        <f aca="false">IF(I276="",0,IF(COUNTIF(I$16:I276,I276)=1,1,0))</f>
        <v>0</v>
      </c>
      <c r="P276" s="23" t="n">
        <f aca="false">IF(F276="",0,IF(COUNTIF(F$16:F276,F276)=1,1,0))</f>
        <v>0</v>
      </c>
      <c r="Q276" s="0" t="str">
        <f aca="false">IF(B276="","",B276&amp;"|"&amp;C276)</f>
        <v/>
      </c>
      <c r="R276" s="23" t="n">
        <f aca="false">IF(Q276="",0,IF(COUNTIF(Q$16:Q276,Q276)=1,1,0))</f>
        <v>0</v>
      </c>
    </row>
    <row r="277" customFormat="false" ht="15" hidden="false" customHeight="false" outlineLevel="0" collapsed="false">
      <c r="A277" s="0" t="str">
        <f aca="false">IFERROR(MATCH(262,Apparitions!$N$1:$N$5001,0),"")</f>
        <v/>
      </c>
      <c r="B277" s="19" t="str">
        <f aca="false">IF($A277="","",INDEX(Apparitions!$A$1:$A$5001,$A277)&amp;"")</f>
        <v/>
      </c>
      <c r="C277" s="19" t="str">
        <f aca="false">IF($A277="","",INDEX(Apparitions!$B$1:$B$5001,$A277)&amp;"")</f>
        <v/>
      </c>
      <c r="D277" s="20" t="str">
        <f aca="false">IF($A277="","",INDEX(Apparitions!$L$1:$L$5001,$A277))</f>
        <v/>
      </c>
      <c r="E277" s="19" t="str">
        <f aca="false">IF($A277="","",INDEX(Apparitions!$C$1:$C$5001,$A277)&amp;"")</f>
        <v/>
      </c>
      <c r="F277" s="19" t="str">
        <f aca="false">IF($A277="","",INDEX(Apparitions!$H$1:$H$5001,$A277)&amp;"")</f>
        <v/>
      </c>
      <c r="G277" s="19" t="str">
        <f aca="false">IF($A277="","",INDEX(Apparitions!$I$1:$I$5001,$A277)&amp;"")</f>
        <v/>
      </c>
      <c r="H277" s="19" t="str">
        <f aca="false">IF($A277="","",INDEX(Apparitions!$J$1:$J$5001,$A277)&amp;"")</f>
        <v/>
      </c>
      <c r="I277" s="19" t="str">
        <f aca="false">IF($A277="","",INDEX(Apparitions!$G$1:$G$5001,$A277)&amp;"")</f>
        <v/>
      </c>
      <c r="J277" s="19" t="str">
        <f aca="false">IF($A277="","",INDEX(Apparitions!$M$1:$M$5001,$A277)&amp;"")</f>
        <v/>
      </c>
      <c r="K277" s="21" t="str">
        <f aca="false">IF($A277="","",INDEX(Apparitions!$K$1:$K$5001,$A277))</f>
        <v/>
      </c>
      <c r="L277" s="22" t="str">
        <f aca="false">IF($A277="","",INDEX(Apparitions!$E$1:$E$5001,$A277)&amp;"")</f>
        <v/>
      </c>
      <c r="M277" s="19" t="str">
        <f aca="false">IF($A277="","",INDEX(Apparitions!$F$1:$F$5001,$A277)&amp;"")</f>
        <v/>
      </c>
      <c r="O277" s="23" t="n">
        <f aca="false">IF(I277="",0,IF(COUNTIF(I$16:I277,I277)=1,1,0))</f>
        <v>0</v>
      </c>
      <c r="P277" s="23" t="n">
        <f aca="false">IF(F277="",0,IF(COUNTIF(F$16:F277,F277)=1,1,0))</f>
        <v>0</v>
      </c>
      <c r="Q277" s="0" t="str">
        <f aca="false">IF(B277="","",B277&amp;"|"&amp;C277)</f>
        <v/>
      </c>
      <c r="R277" s="23" t="n">
        <f aca="false">IF(Q277="",0,IF(COUNTIF(Q$16:Q277,Q277)=1,1,0))</f>
        <v>0</v>
      </c>
    </row>
    <row r="278" customFormat="false" ht="15" hidden="false" customHeight="false" outlineLevel="0" collapsed="false">
      <c r="A278" s="0" t="str">
        <f aca="false">IFERROR(MATCH(263,Apparitions!$N$1:$N$5001,0),"")</f>
        <v/>
      </c>
      <c r="B278" s="19" t="str">
        <f aca="false">IF($A278="","",INDEX(Apparitions!$A$1:$A$5001,$A278)&amp;"")</f>
        <v/>
      </c>
      <c r="C278" s="19" t="str">
        <f aca="false">IF($A278="","",INDEX(Apparitions!$B$1:$B$5001,$A278)&amp;"")</f>
        <v/>
      </c>
      <c r="D278" s="20" t="str">
        <f aca="false">IF($A278="","",INDEX(Apparitions!$L$1:$L$5001,$A278))</f>
        <v/>
      </c>
      <c r="E278" s="19" t="str">
        <f aca="false">IF($A278="","",INDEX(Apparitions!$C$1:$C$5001,$A278)&amp;"")</f>
        <v/>
      </c>
      <c r="F278" s="19" t="str">
        <f aca="false">IF($A278="","",INDEX(Apparitions!$H$1:$H$5001,$A278)&amp;"")</f>
        <v/>
      </c>
      <c r="G278" s="19" t="str">
        <f aca="false">IF($A278="","",INDEX(Apparitions!$I$1:$I$5001,$A278)&amp;"")</f>
        <v/>
      </c>
      <c r="H278" s="19" t="str">
        <f aca="false">IF($A278="","",INDEX(Apparitions!$J$1:$J$5001,$A278)&amp;"")</f>
        <v/>
      </c>
      <c r="I278" s="19" t="str">
        <f aca="false">IF($A278="","",INDEX(Apparitions!$G$1:$G$5001,$A278)&amp;"")</f>
        <v/>
      </c>
      <c r="J278" s="19" t="str">
        <f aca="false">IF($A278="","",INDEX(Apparitions!$M$1:$M$5001,$A278)&amp;"")</f>
        <v/>
      </c>
      <c r="K278" s="21" t="str">
        <f aca="false">IF($A278="","",INDEX(Apparitions!$K$1:$K$5001,$A278))</f>
        <v/>
      </c>
      <c r="L278" s="22" t="str">
        <f aca="false">IF($A278="","",INDEX(Apparitions!$E$1:$E$5001,$A278)&amp;"")</f>
        <v/>
      </c>
      <c r="M278" s="19" t="str">
        <f aca="false">IF($A278="","",INDEX(Apparitions!$F$1:$F$5001,$A278)&amp;"")</f>
        <v/>
      </c>
      <c r="O278" s="23" t="n">
        <f aca="false">IF(I278="",0,IF(COUNTIF(I$16:I278,I278)=1,1,0))</f>
        <v>0</v>
      </c>
      <c r="P278" s="23" t="n">
        <f aca="false">IF(F278="",0,IF(COUNTIF(F$16:F278,F278)=1,1,0))</f>
        <v>0</v>
      </c>
      <c r="Q278" s="0" t="str">
        <f aca="false">IF(B278="","",B278&amp;"|"&amp;C278)</f>
        <v/>
      </c>
      <c r="R278" s="23" t="n">
        <f aca="false">IF(Q278="",0,IF(COUNTIF(Q$16:Q278,Q278)=1,1,0))</f>
        <v>0</v>
      </c>
    </row>
    <row r="279" customFormat="false" ht="15" hidden="false" customHeight="false" outlineLevel="0" collapsed="false">
      <c r="A279" s="0" t="str">
        <f aca="false">IFERROR(MATCH(264,Apparitions!$N$1:$N$5001,0),"")</f>
        <v/>
      </c>
      <c r="B279" s="19" t="str">
        <f aca="false">IF($A279="","",INDEX(Apparitions!$A$1:$A$5001,$A279)&amp;"")</f>
        <v/>
      </c>
      <c r="C279" s="19" t="str">
        <f aca="false">IF($A279="","",INDEX(Apparitions!$B$1:$B$5001,$A279)&amp;"")</f>
        <v/>
      </c>
      <c r="D279" s="20" t="str">
        <f aca="false">IF($A279="","",INDEX(Apparitions!$L$1:$L$5001,$A279))</f>
        <v/>
      </c>
      <c r="E279" s="19" t="str">
        <f aca="false">IF($A279="","",INDEX(Apparitions!$C$1:$C$5001,$A279)&amp;"")</f>
        <v/>
      </c>
      <c r="F279" s="19" t="str">
        <f aca="false">IF($A279="","",INDEX(Apparitions!$H$1:$H$5001,$A279)&amp;"")</f>
        <v/>
      </c>
      <c r="G279" s="19" t="str">
        <f aca="false">IF($A279="","",INDEX(Apparitions!$I$1:$I$5001,$A279)&amp;"")</f>
        <v/>
      </c>
      <c r="H279" s="19" t="str">
        <f aca="false">IF($A279="","",INDEX(Apparitions!$J$1:$J$5001,$A279)&amp;"")</f>
        <v/>
      </c>
      <c r="I279" s="19" t="str">
        <f aca="false">IF($A279="","",INDEX(Apparitions!$G$1:$G$5001,$A279)&amp;"")</f>
        <v/>
      </c>
      <c r="J279" s="19" t="str">
        <f aca="false">IF($A279="","",INDEX(Apparitions!$M$1:$M$5001,$A279)&amp;"")</f>
        <v/>
      </c>
      <c r="K279" s="21" t="str">
        <f aca="false">IF($A279="","",INDEX(Apparitions!$K$1:$K$5001,$A279))</f>
        <v/>
      </c>
      <c r="L279" s="22" t="str">
        <f aca="false">IF($A279="","",INDEX(Apparitions!$E$1:$E$5001,$A279)&amp;"")</f>
        <v/>
      </c>
      <c r="M279" s="19" t="str">
        <f aca="false">IF($A279="","",INDEX(Apparitions!$F$1:$F$5001,$A279)&amp;"")</f>
        <v/>
      </c>
      <c r="O279" s="23" t="n">
        <f aca="false">IF(I279="",0,IF(COUNTIF(I$16:I279,I279)=1,1,0))</f>
        <v>0</v>
      </c>
      <c r="P279" s="23" t="n">
        <f aca="false">IF(F279="",0,IF(COUNTIF(F$16:F279,F279)=1,1,0))</f>
        <v>0</v>
      </c>
      <c r="Q279" s="0" t="str">
        <f aca="false">IF(B279="","",B279&amp;"|"&amp;C279)</f>
        <v/>
      </c>
      <c r="R279" s="23" t="n">
        <f aca="false">IF(Q279="",0,IF(COUNTIF(Q$16:Q279,Q279)=1,1,0))</f>
        <v>0</v>
      </c>
    </row>
    <row r="280" customFormat="false" ht="15" hidden="false" customHeight="false" outlineLevel="0" collapsed="false">
      <c r="A280" s="0" t="str">
        <f aca="false">IFERROR(MATCH(265,Apparitions!$N$1:$N$5001,0),"")</f>
        <v/>
      </c>
      <c r="B280" s="19" t="str">
        <f aca="false">IF($A280="","",INDEX(Apparitions!$A$1:$A$5001,$A280)&amp;"")</f>
        <v/>
      </c>
      <c r="C280" s="19" t="str">
        <f aca="false">IF($A280="","",INDEX(Apparitions!$B$1:$B$5001,$A280)&amp;"")</f>
        <v/>
      </c>
      <c r="D280" s="20" t="str">
        <f aca="false">IF($A280="","",INDEX(Apparitions!$L$1:$L$5001,$A280))</f>
        <v/>
      </c>
      <c r="E280" s="19" t="str">
        <f aca="false">IF($A280="","",INDEX(Apparitions!$C$1:$C$5001,$A280)&amp;"")</f>
        <v/>
      </c>
      <c r="F280" s="19" t="str">
        <f aca="false">IF($A280="","",INDEX(Apparitions!$H$1:$H$5001,$A280)&amp;"")</f>
        <v/>
      </c>
      <c r="G280" s="19" t="str">
        <f aca="false">IF($A280="","",INDEX(Apparitions!$I$1:$I$5001,$A280)&amp;"")</f>
        <v/>
      </c>
      <c r="H280" s="19" t="str">
        <f aca="false">IF($A280="","",INDEX(Apparitions!$J$1:$J$5001,$A280)&amp;"")</f>
        <v/>
      </c>
      <c r="I280" s="19" t="str">
        <f aca="false">IF($A280="","",INDEX(Apparitions!$G$1:$G$5001,$A280)&amp;"")</f>
        <v/>
      </c>
      <c r="J280" s="19" t="str">
        <f aca="false">IF($A280="","",INDEX(Apparitions!$M$1:$M$5001,$A280)&amp;"")</f>
        <v/>
      </c>
      <c r="K280" s="21" t="str">
        <f aca="false">IF($A280="","",INDEX(Apparitions!$K$1:$K$5001,$A280))</f>
        <v/>
      </c>
      <c r="L280" s="22" t="str">
        <f aca="false">IF($A280="","",INDEX(Apparitions!$E$1:$E$5001,$A280)&amp;"")</f>
        <v/>
      </c>
      <c r="M280" s="19" t="str">
        <f aca="false">IF($A280="","",INDEX(Apparitions!$F$1:$F$5001,$A280)&amp;"")</f>
        <v/>
      </c>
      <c r="O280" s="23" t="n">
        <f aca="false">IF(I280="",0,IF(COUNTIF(I$16:I280,I280)=1,1,0))</f>
        <v>0</v>
      </c>
      <c r="P280" s="23" t="n">
        <f aca="false">IF(F280="",0,IF(COUNTIF(F$16:F280,F280)=1,1,0))</f>
        <v>0</v>
      </c>
      <c r="Q280" s="0" t="str">
        <f aca="false">IF(B280="","",B280&amp;"|"&amp;C280)</f>
        <v/>
      </c>
      <c r="R280" s="23" t="n">
        <f aca="false">IF(Q280="",0,IF(COUNTIF(Q$16:Q280,Q280)=1,1,0))</f>
        <v>0</v>
      </c>
    </row>
    <row r="281" customFormat="false" ht="15" hidden="false" customHeight="false" outlineLevel="0" collapsed="false">
      <c r="A281" s="0" t="str">
        <f aca="false">IFERROR(MATCH(266,Apparitions!$N$1:$N$5001,0),"")</f>
        <v/>
      </c>
      <c r="B281" s="19" t="str">
        <f aca="false">IF($A281="","",INDEX(Apparitions!$A$1:$A$5001,$A281)&amp;"")</f>
        <v/>
      </c>
      <c r="C281" s="19" t="str">
        <f aca="false">IF($A281="","",INDEX(Apparitions!$B$1:$B$5001,$A281)&amp;"")</f>
        <v/>
      </c>
      <c r="D281" s="20" t="str">
        <f aca="false">IF($A281="","",INDEX(Apparitions!$L$1:$L$5001,$A281))</f>
        <v/>
      </c>
      <c r="E281" s="19" t="str">
        <f aca="false">IF($A281="","",INDEX(Apparitions!$C$1:$C$5001,$A281)&amp;"")</f>
        <v/>
      </c>
      <c r="F281" s="19" t="str">
        <f aca="false">IF($A281="","",INDEX(Apparitions!$H$1:$H$5001,$A281)&amp;"")</f>
        <v/>
      </c>
      <c r="G281" s="19" t="str">
        <f aca="false">IF($A281="","",INDEX(Apparitions!$I$1:$I$5001,$A281)&amp;"")</f>
        <v/>
      </c>
      <c r="H281" s="19" t="str">
        <f aca="false">IF($A281="","",INDEX(Apparitions!$J$1:$J$5001,$A281)&amp;"")</f>
        <v/>
      </c>
      <c r="I281" s="19" t="str">
        <f aca="false">IF($A281="","",INDEX(Apparitions!$G$1:$G$5001,$A281)&amp;"")</f>
        <v/>
      </c>
      <c r="J281" s="19" t="str">
        <f aca="false">IF($A281="","",INDEX(Apparitions!$M$1:$M$5001,$A281)&amp;"")</f>
        <v/>
      </c>
      <c r="K281" s="21" t="str">
        <f aca="false">IF($A281="","",INDEX(Apparitions!$K$1:$K$5001,$A281))</f>
        <v/>
      </c>
      <c r="L281" s="22" t="str">
        <f aca="false">IF($A281="","",INDEX(Apparitions!$E$1:$E$5001,$A281)&amp;"")</f>
        <v/>
      </c>
      <c r="M281" s="19" t="str">
        <f aca="false">IF($A281="","",INDEX(Apparitions!$F$1:$F$5001,$A281)&amp;"")</f>
        <v/>
      </c>
      <c r="O281" s="23" t="n">
        <f aca="false">IF(I281="",0,IF(COUNTIF(I$16:I281,I281)=1,1,0))</f>
        <v>0</v>
      </c>
      <c r="P281" s="23" t="n">
        <f aca="false">IF(F281="",0,IF(COUNTIF(F$16:F281,F281)=1,1,0))</f>
        <v>0</v>
      </c>
      <c r="Q281" s="0" t="str">
        <f aca="false">IF(B281="","",B281&amp;"|"&amp;C281)</f>
        <v/>
      </c>
      <c r="R281" s="23" t="n">
        <f aca="false">IF(Q281="",0,IF(COUNTIF(Q$16:Q281,Q281)=1,1,0))</f>
        <v>0</v>
      </c>
    </row>
    <row r="282" customFormat="false" ht="15" hidden="false" customHeight="false" outlineLevel="0" collapsed="false">
      <c r="A282" s="0" t="str">
        <f aca="false">IFERROR(MATCH(267,Apparitions!$N$1:$N$5001,0),"")</f>
        <v/>
      </c>
      <c r="B282" s="19" t="str">
        <f aca="false">IF($A282="","",INDEX(Apparitions!$A$1:$A$5001,$A282)&amp;"")</f>
        <v/>
      </c>
      <c r="C282" s="19" t="str">
        <f aca="false">IF($A282="","",INDEX(Apparitions!$B$1:$B$5001,$A282)&amp;"")</f>
        <v/>
      </c>
      <c r="D282" s="20" t="str">
        <f aca="false">IF($A282="","",INDEX(Apparitions!$L$1:$L$5001,$A282))</f>
        <v/>
      </c>
      <c r="E282" s="19" t="str">
        <f aca="false">IF($A282="","",INDEX(Apparitions!$C$1:$C$5001,$A282)&amp;"")</f>
        <v/>
      </c>
      <c r="F282" s="19" t="str">
        <f aca="false">IF($A282="","",INDEX(Apparitions!$H$1:$H$5001,$A282)&amp;"")</f>
        <v/>
      </c>
      <c r="G282" s="19" t="str">
        <f aca="false">IF($A282="","",INDEX(Apparitions!$I$1:$I$5001,$A282)&amp;"")</f>
        <v/>
      </c>
      <c r="H282" s="19" t="str">
        <f aca="false">IF($A282="","",INDEX(Apparitions!$J$1:$J$5001,$A282)&amp;"")</f>
        <v/>
      </c>
      <c r="I282" s="19" t="str">
        <f aca="false">IF($A282="","",INDEX(Apparitions!$G$1:$G$5001,$A282)&amp;"")</f>
        <v/>
      </c>
      <c r="J282" s="19" t="str">
        <f aca="false">IF($A282="","",INDEX(Apparitions!$M$1:$M$5001,$A282)&amp;"")</f>
        <v/>
      </c>
      <c r="K282" s="21" t="str">
        <f aca="false">IF($A282="","",INDEX(Apparitions!$K$1:$K$5001,$A282))</f>
        <v/>
      </c>
      <c r="L282" s="22" t="str">
        <f aca="false">IF($A282="","",INDEX(Apparitions!$E$1:$E$5001,$A282)&amp;"")</f>
        <v/>
      </c>
      <c r="M282" s="19" t="str">
        <f aca="false">IF($A282="","",INDEX(Apparitions!$F$1:$F$5001,$A282)&amp;"")</f>
        <v/>
      </c>
      <c r="O282" s="23" t="n">
        <f aca="false">IF(I282="",0,IF(COUNTIF(I$16:I282,I282)=1,1,0))</f>
        <v>0</v>
      </c>
      <c r="P282" s="23" t="n">
        <f aca="false">IF(F282="",0,IF(COUNTIF(F$16:F282,F282)=1,1,0))</f>
        <v>0</v>
      </c>
      <c r="Q282" s="0" t="str">
        <f aca="false">IF(B282="","",B282&amp;"|"&amp;C282)</f>
        <v/>
      </c>
      <c r="R282" s="23" t="n">
        <f aca="false">IF(Q282="",0,IF(COUNTIF(Q$16:Q282,Q282)=1,1,0))</f>
        <v>0</v>
      </c>
    </row>
    <row r="283" customFormat="false" ht="15" hidden="false" customHeight="false" outlineLevel="0" collapsed="false">
      <c r="A283" s="0" t="str">
        <f aca="false">IFERROR(MATCH(268,Apparitions!$N$1:$N$5001,0),"")</f>
        <v/>
      </c>
      <c r="B283" s="19" t="str">
        <f aca="false">IF($A283="","",INDEX(Apparitions!$A$1:$A$5001,$A283)&amp;"")</f>
        <v/>
      </c>
      <c r="C283" s="19" t="str">
        <f aca="false">IF($A283="","",INDEX(Apparitions!$B$1:$B$5001,$A283)&amp;"")</f>
        <v/>
      </c>
      <c r="D283" s="20" t="str">
        <f aca="false">IF($A283="","",INDEX(Apparitions!$L$1:$L$5001,$A283))</f>
        <v/>
      </c>
      <c r="E283" s="19" t="str">
        <f aca="false">IF($A283="","",INDEX(Apparitions!$C$1:$C$5001,$A283)&amp;"")</f>
        <v/>
      </c>
      <c r="F283" s="19" t="str">
        <f aca="false">IF($A283="","",INDEX(Apparitions!$H$1:$H$5001,$A283)&amp;"")</f>
        <v/>
      </c>
      <c r="G283" s="19" t="str">
        <f aca="false">IF($A283="","",INDEX(Apparitions!$I$1:$I$5001,$A283)&amp;"")</f>
        <v/>
      </c>
      <c r="H283" s="19" t="str">
        <f aca="false">IF($A283="","",INDEX(Apparitions!$J$1:$J$5001,$A283)&amp;"")</f>
        <v/>
      </c>
      <c r="I283" s="19" t="str">
        <f aca="false">IF($A283="","",INDEX(Apparitions!$G$1:$G$5001,$A283)&amp;"")</f>
        <v/>
      </c>
      <c r="J283" s="19" t="str">
        <f aca="false">IF($A283="","",INDEX(Apparitions!$M$1:$M$5001,$A283)&amp;"")</f>
        <v/>
      </c>
      <c r="K283" s="21" t="str">
        <f aca="false">IF($A283="","",INDEX(Apparitions!$K$1:$K$5001,$A283))</f>
        <v/>
      </c>
      <c r="L283" s="22" t="str">
        <f aca="false">IF($A283="","",INDEX(Apparitions!$E$1:$E$5001,$A283)&amp;"")</f>
        <v/>
      </c>
      <c r="M283" s="19" t="str">
        <f aca="false">IF($A283="","",INDEX(Apparitions!$F$1:$F$5001,$A283)&amp;"")</f>
        <v/>
      </c>
      <c r="O283" s="23" t="n">
        <f aca="false">IF(I283="",0,IF(COUNTIF(I$16:I283,I283)=1,1,0))</f>
        <v>0</v>
      </c>
      <c r="P283" s="23" t="n">
        <f aca="false">IF(F283="",0,IF(COUNTIF(F$16:F283,F283)=1,1,0))</f>
        <v>0</v>
      </c>
      <c r="Q283" s="0" t="str">
        <f aca="false">IF(B283="","",B283&amp;"|"&amp;C283)</f>
        <v/>
      </c>
      <c r="R283" s="23" t="n">
        <f aca="false">IF(Q283="",0,IF(COUNTIF(Q$16:Q283,Q283)=1,1,0))</f>
        <v>0</v>
      </c>
    </row>
    <row r="284" customFormat="false" ht="15" hidden="false" customHeight="false" outlineLevel="0" collapsed="false">
      <c r="A284" s="0" t="str">
        <f aca="false">IFERROR(MATCH(269,Apparitions!$N$1:$N$5001,0),"")</f>
        <v/>
      </c>
      <c r="B284" s="19" t="str">
        <f aca="false">IF($A284="","",INDEX(Apparitions!$A$1:$A$5001,$A284)&amp;"")</f>
        <v/>
      </c>
      <c r="C284" s="19" t="str">
        <f aca="false">IF($A284="","",INDEX(Apparitions!$B$1:$B$5001,$A284)&amp;"")</f>
        <v/>
      </c>
      <c r="D284" s="20" t="str">
        <f aca="false">IF($A284="","",INDEX(Apparitions!$L$1:$L$5001,$A284))</f>
        <v/>
      </c>
      <c r="E284" s="19" t="str">
        <f aca="false">IF($A284="","",INDEX(Apparitions!$C$1:$C$5001,$A284)&amp;"")</f>
        <v/>
      </c>
      <c r="F284" s="19" t="str">
        <f aca="false">IF($A284="","",INDEX(Apparitions!$H$1:$H$5001,$A284)&amp;"")</f>
        <v/>
      </c>
      <c r="G284" s="19" t="str">
        <f aca="false">IF($A284="","",INDEX(Apparitions!$I$1:$I$5001,$A284)&amp;"")</f>
        <v/>
      </c>
      <c r="H284" s="19" t="str">
        <f aca="false">IF($A284="","",INDEX(Apparitions!$J$1:$J$5001,$A284)&amp;"")</f>
        <v/>
      </c>
      <c r="I284" s="19" t="str">
        <f aca="false">IF($A284="","",INDEX(Apparitions!$G$1:$G$5001,$A284)&amp;"")</f>
        <v/>
      </c>
      <c r="J284" s="19" t="str">
        <f aca="false">IF($A284="","",INDEX(Apparitions!$M$1:$M$5001,$A284)&amp;"")</f>
        <v/>
      </c>
      <c r="K284" s="21" t="str">
        <f aca="false">IF($A284="","",INDEX(Apparitions!$K$1:$K$5001,$A284))</f>
        <v/>
      </c>
      <c r="L284" s="22" t="str">
        <f aca="false">IF($A284="","",INDEX(Apparitions!$E$1:$E$5001,$A284)&amp;"")</f>
        <v/>
      </c>
      <c r="M284" s="19" t="str">
        <f aca="false">IF($A284="","",INDEX(Apparitions!$F$1:$F$5001,$A284)&amp;"")</f>
        <v/>
      </c>
      <c r="O284" s="23" t="n">
        <f aca="false">IF(I284="",0,IF(COUNTIF(I$16:I284,I284)=1,1,0))</f>
        <v>0</v>
      </c>
      <c r="P284" s="23" t="n">
        <f aca="false">IF(F284="",0,IF(COUNTIF(F$16:F284,F284)=1,1,0))</f>
        <v>0</v>
      </c>
      <c r="Q284" s="0" t="str">
        <f aca="false">IF(B284="","",B284&amp;"|"&amp;C284)</f>
        <v/>
      </c>
      <c r="R284" s="23" t="n">
        <f aca="false">IF(Q284="",0,IF(COUNTIF(Q$16:Q284,Q284)=1,1,0))</f>
        <v>0</v>
      </c>
    </row>
    <row r="285" customFormat="false" ht="15" hidden="false" customHeight="false" outlineLevel="0" collapsed="false">
      <c r="A285" s="0" t="str">
        <f aca="false">IFERROR(MATCH(270,Apparitions!$N$1:$N$5001,0),"")</f>
        <v/>
      </c>
      <c r="B285" s="19" t="str">
        <f aca="false">IF($A285="","",INDEX(Apparitions!$A$1:$A$5001,$A285)&amp;"")</f>
        <v/>
      </c>
      <c r="C285" s="19" t="str">
        <f aca="false">IF($A285="","",INDEX(Apparitions!$B$1:$B$5001,$A285)&amp;"")</f>
        <v/>
      </c>
      <c r="D285" s="20" t="str">
        <f aca="false">IF($A285="","",INDEX(Apparitions!$L$1:$L$5001,$A285))</f>
        <v/>
      </c>
      <c r="E285" s="19" t="str">
        <f aca="false">IF($A285="","",INDEX(Apparitions!$C$1:$C$5001,$A285)&amp;"")</f>
        <v/>
      </c>
      <c r="F285" s="19" t="str">
        <f aca="false">IF($A285="","",INDEX(Apparitions!$H$1:$H$5001,$A285)&amp;"")</f>
        <v/>
      </c>
      <c r="G285" s="19" t="str">
        <f aca="false">IF($A285="","",INDEX(Apparitions!$I$1:$I$5001,$A285)&amp;"")</f>
        <v/>
      </c>
      <c r="H285" s="19" t="str">
        <f aca="false">IF($A285="","",INDEX(Apparitions!$J$1:$J$5001,$A285)&amp;"")</f>
        <v/>
      </c>
      <c r="I285" s="19" t="str">
        <f aca="false">IF($A285="","",INDEX(Apparitions!$G$1:$G$5001,$A285)&amp;"")</f>
        <v/>
      </c>
      <c r="J285" s="19" t="str">
        <f aca="false">IF($A285="","",INDEX(Apparitions!$M$1:$M$5001,$A285)&amp;"")</f>
        <v/>
      </c>
      <c r="K285" s="21" t="str">
        <f aca="false">IF($A285="","",INDEX(Apparitions!$K$1:$K$5001,$A285))</f>
        <v/>
      </c>
      <c r="L285" s="22" t="str">
        <f aca="false">IF($A285="","",INDEX(Apparitions!$E$1:$E$5001,$A285)&amp;"")</f>
        <v/>
      </c>
      <c r="M285" s="19" t="str">
        <f aca="false">IF($A285="","",INDEX(Apparitions!$F$1:$F$5001,$A285)&amp;"")</f>
        <v/>
      </c>
      <c r="O285" s="23" t="n">
        <f aca="false">IF(I285="",0,IF(COUNTIF(I$16:I285,I285)=1,1,0))</f>
        <v>0</v>
      </c>
      <c r="P285" s="23" t="n">
        <f aca="false">IF(F285="",0,IF(COUNTIF(F$16:F285,F285)=1,1,0))</f>
        <v>0</v>
      </c>
      <c r="Q285" s="0" t="str">
        <f aca="false">IF(B285="","",B285&amp;"|"&amp;C285)</f>
        <v/>
      </c>
      <c r="R285" s="23" t="n">
        <f aca="false">IF(Q285="",0,IF(COUNTIF(Q$16:Q285,Q285)=1,1,0))</f>
        <v>0</v>
      </c>
    </row>
    <row r="286" customFormat="false" ht="15" hidden="false" customHeight="false" outlineLevel="0" collapsed="false">
      <c r="A286" s="0" t="str">
        <f aca="false">IFERROR(MATCH(271,Apparitions!$N$1:$N$5001,0),"")</f>
        <v/>
      </c>
      <c r="B286" s="19" t="str">
        <f aca="false">IF($A286="","",INDEX(Apparitions!$A$1:$A$5001,$A286)&amp;"")</f>
        <v/>
      </c>
      <c r="C286" s="19" t="str">
        <f aca="false">IF($A286="","",INDEX(Apparitions!$B$1:$B$5001,$A286)&amp;"")</f>
        <v/>
      </c>
      <c r="D286" s="20" t="str">
        <f aca="false">IF($A286="","",INDEX(Apparitions!$L$1:$L$5001,$A286))</f>
        <v/>
      </c>
      <c r="E286" s="19" t="str">
        <f aca="false">IF($A286="","",INDEX(Apparitions!$C$1:$C$5001,$A286)&amp;"")</f>
        <v/>
      </c>
      <c r="F286" s="19" t="str">
        <f aca="false">IF($A286="","",INDEX(Apparitions!$H$1:$H$5001,$A286)&amp;"")</f>
        <v/>
      </c>
      <c r="G286" s="19" t="str">
        <f aca="false">IF($A286="","",INDEX(Apparitions!$I$1:$I$5001,$A286)&amp;"")</f>
        <v/>
      </c>
      <c r="H286" s="19" t="str">
        <f aca="false">IF($A286="","",INDEX(Apparitions!$J$1:$J$5001,$A286)&amp;"")</f>
        <v/>
      </c>
      <c r="I286" s="19" t="str">
        <f aca="false">IF($A286="","",INDEX(Apparitions!$G$1:$G$5001,$A286)&amp;"")</f>
        <v/>
      </c>
      <c r="J286" s="19" t="str">
        <f aca="false">IF($A286="","",INDEX(Apparitions!$M$1:$M$5001,$A286)&amp;"")</f>
        <v/>
      </c>
      <c r="K286" s="21" t="str">
        <f aca="false">IF($A286="","",INDEX(Apparitions!$K$1:$K$5001,$A286))</f>
        <v/>
      </c>
      <c r="L286" s="22" t="str">
        <f aca="false">IF($A286="","",INDEX(Apparitions!$E$1:$E$5001,$A286)&amp;"")</f>
        <v/>
      </c>
      <c r="M286" s="19" t="str">
        <f aca="false">IF($A286="","",INDEX(Apparitions!$F$1:$F$5001,$A286)&amp;"")</f>
        <v/>
      </c>
      <c r="O286" s="23" t="n">
        <f aca="false">IF(I286="",0,IF(COUNTIF(I$16:I286,I286)=1,1,0))</f>
        <v>0</v>
      </c>
      <c r="P286" s="23" t="n">
        <f aca="false">IF(F286="",0,IF(COUNTIF(F$16:F286,F286)=1,1,0))</f>
        <v>0</v>
      </c>
      <c r="Q286" s="0" t="str">
        <f aca="false">IF(B286="","",B286&amp;"|"&amp;C286)</f>
        <v/>
      </c>
      <c r="R286" s="23" t="n">
        <f aca="false">IF(Q286="",0,IF(COUNTIF(Q$16:Q286,Q286)=1,1,0))</f>
        <v>0</v>
      </c>
    </row>
    <row r="287" customFormat="false" ht="15" hidden="false" customHeight="false" outlineLevel="0" collapsed="false">
      <c r="A287" s="0" t="str">
        <f aca="false">IFERROR(MATCH(272,Apparitions!$N$1:$N$5001,0),"")</f>
        <v/>
      </c>
      <c r="B287" s="19" t="str">
        <f aca="false">IF($A287="","",INDEX(Apparitions!$A$1:$A$5001,$A287)&amp;"")</f>
        <v/>
      </c>
      <c r="C287" s="19" t="str">
        <f aca="false">IF($A287="","",INDEX(Apparitions!$B$1:$B$5001,$A287)&amp;"")</f>
        <v/>
      </c>
      <c r="D287" s="20" t="str">
        <f aca="false">IF($A287="","",INDEX(Apparitions!$L$1:$L$5001,$A287))</f>
        <v/>
      </c>
      <c r="E287" s="19" t="str">
        <f aca="false">IF($A287="","",INDEX(Apparitions!$C$1:$C$5001,$A287)&amp;"")</f>
        <v/>
      </c>
      <c r="F287" s="19" t="str">
        <f aca="false">IF($A287="","",INDEX(Apparitions!$H$1:$H$5001,$A287)&amp;"")</f>
        <v/>
      </c>
      <c r="G287" s="19" t="str">
        <f aca="false">IF($A287="","",INDEX(Apparitions!$I$1:$I$5001,$A287)&amp;"")</f>
        <v/>
      </c>
      <c r="H287" s="19" t="str">
        <f aca="false">IF($A287="","",INDEX(Apparitions!$J$1:$J$5001,$A287)&amp;"")</f>
        <v/>
      </c>
      <c r="I287" s="19" t="str">
        <f aca="false">IF($A287="","",INDEX(Apparitions!$G$1:$G$5001,$A287)&amp;"")</f>
        <v/>
      </c>
      <c r="J287" s="19" t="str">
        <f aca="false">IF($A287="","",INDEX(Apparitions!$M$1:$M$5001,$A287)&amp;"")</f>
        <v/>
      </c>
      <c r="K287" s="21" t="str">
        <f aca="false">IF($A287="","",INDEX(Apparitions!$K$1:$K$5001,$A287))</f>
        <v/>
      </c>
      <c r="L287" s="22" t="str">
        <f aca="false">IF($A287="","",INDEX(Apparitions!$E$1:$E$5001,$A287)&amp;"")</f>
        <v/>
      </c>
      <c r="M287" s="19" t="str">
        <f aca="false">IF($A287="","",INDEX(Apparitions!$F$1:$F$5001,$A287)&amp;"")</f>
        <v/>
      </c>
      <c r="O287" s="23" t="n">
        <f aca="false">IF(I287="",0,IF(COUNTIF(I$16:I287,I287)=1,1,0))</f>
        <v>0</v>
      </c>
      <c r="P287" s="23" t="n">
        <f aca="false">IF(F287="",0,IF(COUNTIF(F$16:F287,F287)=1,1,0))</f>
        <v>0</v>
      </c>
      <c r="Q287" s="0" t="str">
        <f aca="false">IF(B287="","",B287&amp;"|"&amp;C287)</f>
        <v/>
      </c>
      <c r="R287" s="23" t="n">
        <f aca="false">IF(Q287="",0,IF(COUNTIF(Q$16:Q287,Q287)=1,1,0))</f>
        <v>0</v>
      </c>
    </row>
    <row r="288" customFormat="false" ht="15" hidden="false" customHeight="false" outlineLevel="0" collapsed="false">
      <c r="A288" s="0" t="str">
        <f aca="false">IFERROR(MATCH(273,Apparitions!$N$1:$N$5001,0),"")</f>
        <v/>
      </c>
      <c r="B288" s="19" t="str">
        <f aca="false">IF($A288="","",INDEX(Apparitions!$A$1:$A$5001,$A288)&amp;"")</f>
        <v/>
      </c>
      <c r="C288" s="19" t="str">
        <f aca="false">IF($A288="","",INDEX(Apparitions!$B$1:$B$5001,$A288)&amp;"")</f>
        <v/>
      </c>
      <c r="D288" s="20" t="str">
        <f aca="false">IF($A288="","",INDEX(Apparitions!$L$1:$L$5001,$A288))</f>
        <v/>
      </c>
      <c r="E288" s="19" t="str">
        <f aca="false">IF($A288="","",INDEX(Apparitions!$C$1:$C$5001,$A288)&amp;"")</f>
        <v/>
      </c>
      <c r="F288" s="19" t="str">
        <f aca="false">IF($A288="","",INDEX(Apparitions!$H$1:$H$5001,$A288)&amp;"")</f>
        <v/>
      </c>
      <c r="G288" s="19" t="str">
        <f aca="false">IF($A288="","",INDEX(Apparitions!$I$1:$I$5001,$A288)&amp;"")</f>
        <v/>
      </c>
      <c r="H288" s="19" t="str">
        <f aca="false">IF($A288="","",INDEX(Apparitions!$J$1:$J$5001,$A288)&amp;"")</f>
        <v/>
      </c>
      <c r="I288" s="19" t="str">
        <f aca="false">IF($A288="","",INDEX(Apparitions!$G$1:$G$5001,$A288)&amp;"")</f>
        <v/>
      </c>
      <c r="J288" s="19" t="str">
        <f aca="false">IF($A288="","",INDEX(Apparitions!$M$1:$M$5001,$A288)&amp;"")</f>
        <v/>
      </c>
      <c r="K288" s="21" t="str">
        <f aca="false">IF($A288="","",INDEX(Apparitions!$K$1:$K$5001,$A288))</f>
        <v/>
      </c>
      <c r="L288" s="22" t="str">
        <f aca="false">IF($A288="","",INDEX(Apparitions!$E$1:$E$5001,$A288)&amp;"")</f>
        <v/>
      </c>
      <c r="M288" s="19" t="str">
        <f aca="false">IF($A288="","",INDEX(Apparitions!$F$1:$F$5001,$A288)&amp;"")</f>
        <v/>
      </c>
      <c r="O288" s="23" t="n">
        <f aca="false">IF(I288="",0,IF(COUNTIF(I$16:I288,I288)=1,1,0))</f>
        <v>0</v>
      </c>
      <c r="P288" s="23" t="n">
        <f aca="false">IF(F288="",0,IF(COUNTIF(F$16:F288,F288)=1,1,0))</f>
        <v>0</v>
      </c>
      <c r="Q288" s="0" t="str">
        <f aca="false">IF(B288="","",B288&amp;"|"&amp;C288)</f>
        <v/>
      </c>
      <c r="R288" s="23" t="n">
        <f aca="false">IF(Q288="",0,IF(COUNTIF(Q$16:Q288,Q288)=1,1,0))</f>
        <v>0</v>
      </c>
    </row>
    <row r="289" customFormat="false" ht="15" hidden="false" customHeight="false" outlineLevel="0" collapsed="false">
      <c r="A289" s="0" t="str">
        <f aca="false">IFERROR(MATCH(274,Apparitions!$N$1:$N$5001,0),"")</f>
        <v/>
      </c>
      <c r="B289" s="19" t="str">
        <f aca="false">IF($A289="","",INDEX(Apparitions!$A$1:$A$5001,$A289)&amp;"")</f>
        <v/>
      </c>
      <c r="C289" s="19" t="str">
        <f aca="false">IF($A289="","",INDEX(Apparitions!$B$1:$B$5001,$A289)&amp;"")</f>
        <v/>
      </c>
      <c r="D289" s="20" t="str">
        <f aca="false">IF($A289="","",INDEX(Apparitions!$L$1:$L$5001,$A289))</f>
        <v/>
      </c>
      <c r="E289" s="19" t="str">
        <f aca="false">IF($A289="","",INDEX(Apparitions!$C$1:$C$5001,$A289)&amp;"")</f>
        <v/>
      </c>
      <c r="F289" s="19" t="str">
        <f aca="false">IF($A289="","",INDEX(Apparitions!$H$1:$H$5001,$A289)&amp;"")</f>
        <v/>
      </c>
      <c r="G289" s="19" t="str">
        <f aca="false">IF($A289="","",INDEX(Apparitions!$I$1:$I$5001,$A289)&amp;"")</f>
        <v/>
      </c>
      <c r="H289" s="19" t="str">
        <f aca="false">IF($A289="","",INDEX(Apparitions!$J$1:$J$5001,$A289)&amp;"")</f>
        <v/>
      </c>
      <c r="I289" s="19" t="str">
        <f aca="false">IF($A289="","",INDEX(Apparitions!$G$1:$G$5001,$A289)&amp;"")</f>
        <v/>
      </c>
      <c r="J289" s="19" t="str">
        <f aca="false">IF($A289="","",INDEX(Apparitions!$M$1:$M$5001,$A289)&amp;"")</f>
        <v/>
      </c>
      <c r="K289" s="21" t="str">
        <f aca="false">IF($A289="","",INDEX(Apparitions!$K$1:$K$5001,$A289))</f>
        <v/>
      </c>
      <c r="L289" s="22" t="str">
        <f aca="false">IF($A289="","",INDEX(Apparitions!$E$1:$E$5001,$A289)&amp;"")</f>
        <v/>
      </c>
      <c r="M289" s="19" t="str">
        <f aca="false">IF($A289="","",INDEX(Apparitions!$F$1:$F$5001,$A289)&amp;"")</f>
        <v/>
      </c>
      <c r="O289" s="23" t="n">
        <f aca="false">IF(I289="",0,IF(COUNTIF(I$16:I289,I289)=1,1,0))</f>
        <v>0</v>
      </c>
      <c r="P289" s="23" t="n">
        <f aca="false">IF(F289="",0,IF(COUNTIF(F$16:F289,F289)=1,1,0))</f>
        <v>0</v>
      </c>
      <c r="Q289" s="0" t="str">
        <f aca="false">IF(B289="","",B289&amp;"|"&amp;C289)</f>
        <v/>
      </c>
      <c r="R289" s="23" t="n">
        <f aca="false">IF(Q289="",0,IF(COUNTIF(Q$16:Q289,Q289)=1,1,0))</f>
        <v>0</v>
      </c>
    </row>
    <row r="290" customFormat="false" ht="15" hidden="false" customHeight="false" outlineLevel="0" collapsed="false">
      <c r="A290" s="0" t="str">
        <f aca="false">IFERROR(MATCH(275,Apparitions!$N$1:$N$5001,0),"")</f>
        <v/>
      </c>
      <c r="B290" s="19" t="str">
        <f aca="false">IF($A290="","",INDEX(Apparitions!$A$1:$A$5001,$A290)&amp;"")</f>
        <v/>
      </c>
      <c r="C290" s="19" t="str">
        <f aca="false">IF($A290="","",INDEX(Apparitions!$B$1:$B$5001,$A290)&amp;"")</f>
        <v/>
      </c>
      <c r="D290" s="20" t="str">
        <f aca="false">IF($A290="","",INDEX(Apparitions!$L$1:$L$5001,$A290))</f>
        <v/>
      </c>
      <c r="E290" s="19" t="str">
        <f aca="false">IF($A290="","",INDEX(Apparitions!$C$1:$C$5001,$A290)&amp;"")</f>
        <v/>
      </c>
      <c r="F290" s="19" t="str">
        <f aca="false">IF($A290="","",INDEX(Apparitions!$H$1:$H$5001,$A290)&amp;"")</f>
        <v/>
      </c>
      <c r="G290" s="19" t="str">
        <f aca="false">IF($A290="","",INDEX(Apparitions!$I$1:$I$5001,$A290)&amp;"")</f>
        <v/>
      </c>
      <c r="H290" s="19" t="str">
        <f aca="false">IF($A290="","",INDEX(Apparitions!$J$1:$J$5001,$A290)&amp;"")</f>
        <v/>
      </c>
      <c r="I290" s="19" t="str">
        <f aca="false">IF($A290="","",INDEX(Apparitions!$G$1:$G$5001,$A290)&amp;"")</f>
        <v/>
      </c>
      <c r="J290" s="19" t="str">
        <f aca="false">IF($A290="","",INDEX(Apparitions!$M$1:$M$5001,$A290)&amp;"")</f>
        <v/>
      </c>
      <c r="K290" s="21" t="str">
        <f aca="false">IF($A290="","",INDEX(Apparitions!$K$1:$K$5001,$A290))</f>
        <v/>
      </c>
      <c r="L290" s="22" t="str">
        <f aca="false">IF($A290="","",INDEX(Apparitions!$E$1:$E$5001,$A290)&amp;"")</f>
        <v/>
      </c>
      <c r="M290" s="19" t="str">
        <f aca="false">IF($A290="","",INDEX(Apparitions!$F$1:$F$5001,$A290)&amp;"")</f>
        <v/>
      </c>
      <c r="O290" s="23" t="n">
        <f aca="false">IF(I290="",0,IF(COUNTIF(I$16:I290,I290)=1,1,0))</f>
        <v>0</v>
      </c>
      <c r="P290" s="23" t="n">
        <f aca="false">IF(F290="",0,IF(COUNTIF(F$16:F290,F290)=1,1,0))</f>
        <v>0</v>
      </c>
      <c r="Q290" s="0" t="str">
        <f aca="false">IF(B290="","",B290&amp;"|"&amp;C290)</f>
        <v/>
      </c>
      <c r="R290" s="23" t="n">
        <f aca="false">IF(Q290="",0,IF(COUNTIF(Q$16:Q290,Q290)=1,1,0))</f>
        <v>0</v>
      </c>
    </row>
    <row r="291" customFormat="false" ht="15" hidden="false" customHeight="false" outlineLevel="0" collapsed="false">
      <c r="A291" s="0" t="str">
        <f aca="false">IFERROR(MATCH(276,Apparitions!$N$1:$N$5001,0),"")</f>
        <v/>
      </c>
      <c r="B291" s="19" t="str">
        <f aca="false">IF($A291="","",INDEX(Apparitions!$A$1:$A$5001,$A291)&amp;"")</f>
        <v/>
      </c>
      <c r="C291" s="19" t="str">
        <f aca="false">IF($A291="","",INDEX(Apparitions!$B$1:$B$5001,$A291)&amp;"")</f>
        <v/>
      </c>
      <c r="D291" s="20" t="str">
        <f aca="false">IF($A291="","",INDEX(Apparitions!$L$1:$L$5001,$A291))</f>
        <v/>
      </c>
      <c r="E291" s="19" t="str">
        <f aca="false">IF($A291="","",INDEX(Apparitions!$C$1:$C$5001,$A291)&amp;"")</f>
        <v/>
      </c>
      <c r="F291" s="19" t="str">
        <f aca="false">IF($A291="","",INDEX(Apparitions!$H$1:$H$5001,$A291)&amp;"")</f>
        <v/>
      </c>
      <c r="G291" s="19" t="str">
        <f aca="false">IF($A291="","",INDEX(Apparitions!$I$1:$I$5001,$A291)&amp;"")</f>
        <v/>
      </c>
      <c r="H291" s="19" t="str">
        <f aca="false">IF($A291="","",INDEX(Apparitions!$J$1:$J$5001,$A291)&amp;"")</f>
        <v/>
      </c>
      <c r="I291" s="19" t="str">
        <f aca="false">IF($A291="","",INDEX(Apparitions!$G$1:$G$5001,$A291)&amp;"")</f>
        <v/>
      </c>
      <c r="J291" s="19" t="str">
        <f aca="false">IF($A291="","",INDEX(Apparitions!$M$1:$M$5001,$A291)&amp;"")</f>
        <v/>
      </c>
      <c r="K291" s="21" t="str">
        <f aca="false">IF($A291="","",INDEX(Apparitions!$K$1:$K$5001,$A291))</f>
        <v/>
      </c>
      <c r="L291" s="22" t="str">
        <f aca="false">IF($A291="","",INDEX(Apparitions!$E$1:$E$5001,$A291)&amp;"")</f>
        <v/>
      </c>
      <c r="M291" s="19" t="str">
        <f aca="false">IF($A291="","",INDEX(Apparitions!$F$1:$F$5001,$A291)&amp;"")</f>
        <v/>
      </c>
      <c r="O291" s="23" t="n">
        <f aca="false">IF(I291="",0,IF(COUNTIF(I$16:I291,I291)=1,1,0))</f>
        <v>0</v>
      </c>
      <c r="P291" s="23" t="n">
        <f aca="false">IF(F291="",0,IF(COUNTIF(F$16:F291,F291)=1,1,0))</f>
        <v>0</v>
      </c>
      <c r="Q291" s="0" t="str">
        <f aca="false">IF(B291="","",B291&amp;"|"&amp;C291)</f>
        <v/>
      </c>
      <c r="R291" s="23" t="n">
        <f aca="false">IF(Q291="",0,IF(COUNTIF(Q$16:Q291,Q291)=1,1,0))</f>
        <v>0</v>
      </c>
    </row>
    <row r="292" customFormat="false" ht="15" hidden="false" customHeight="false" outlineLevel="0" collapsed="false">
      <c r="A292" s="0" t="str">
        <f aca="false">IFERROR(MATCH(277,Apparitions!$N$1:$N$5001,0),"")</f>
        <v/>
      </c>
      <c r="B292" s="19" t="str">
        <f aca="false">IF($A292="","",INDEX(Apparitions!$A$1:$A$5001,$A292)&amp;"")</f>
        <v/>
      </c>
      <c r="C292" s="19" t="str">
        <f aca="false">IF($A292="","",INDEX(Apparitions!$B$1:$B$5001,$A292)&amp;"")</f>
        <v/>
      </c>
      <c r="D292" s="20" t="str">
        <f aca="false">IF($A292="","",INDEX(Apparitions!$L$1:$L$5001,$A292))</f>
        <v/>
      </c>
      <c r="E292" s="19" t="str">
        <f aca="false">IF($A292="","",INDEX(Apparitions!$C$1:$C$5001,$A292)&amp;"")</f>
        <v/>
      </c>
      <c r="F292" s="19" t="str">
        <f aca="false">IF($A292="","",INDEX(Apparitions!$H$1:$H$5001,$A292)&amp;"")</f>
        <v/>
      </c>
      <c r="G292" s="19" t="str">
        <f aca="false">IF($A292="","",INDEX(Apparitions!$I$1:$I$5001,$A292)&amp;"")</f>
        <v/>
      </c>
      <c r="H292" s="19" t="str">
        <f aca="false">IF($A292="","",INDEX(Apparitions!$J$1:$J$5001,$A292)&amp;"")</f>
        <v/>
      </c>
      <c r="I292" s="19" t="str">
        <f aca="false">IF($A292="","",INDEX(Apparitions!$G$1:$G$5001,$A292)&amp;"")</f>
        <v/>
      </c>
      <c r="J292" s="19" t="str">
        <f aca="false">IF($A292="","",INDEX(Apparitions!$M$1:$M$5001,$A292)&amp;"")</f>
        <v/>
      </c>
      <c r="K292" s="21" t="str">
        <f aca="false">IF($A292="","",INDEX(Apparitions!$K$1:$K$5001,$A292))</f>
        <v/>
      </c>
      <c r="L292" s="22" t="str">
        <f aca="false">IF($A292="","",INDEX(Apparitions!$E$1:$E$5001,$A292)&amp;"")</f>
        <v/>
      </c>
      <c r="M292" s="19" t="str">
        <f aca="false">IF($A292="","",INDEX(Apparitions!$F$1:$F$5001,$A292)&amp;"")</f>
        <v/>
      </c>
      <c r="O292" s="23" t="n">
        <f aca="false">IF(I292="",0,IF(COUNTIF(I$16:I292,I292)=1,1,0))</f>
        <v>0</v>
      </c>
      <c r="P292" s="23" t="n">
        <f aca="false">IF(F292="",0,IF(COUNTIF(F$16:F292,F292)=1,1,0))</f>
        <v>0</v>
      </c>
      <c r="Q292" s="0" t="str">
        <f aca="false">IF(B292="","",B292&amp;"|"&amp;C292)</f>
        <v/>
      </c>
      <c r="R292" s="23" t="n">
        <f aca="false">IF(Q292="",0,IF(COUNTIF(Q$16:Q292,Q292)=1,1,0))</f>
        <v>0</v>
      </c>
    </row>
    <row r="293" customFormat="false" ht="15" hidden="false" customHeight="false" outlineLevel="0" collapsed="false">
      <c r="A293" s="0" t="str">
        <f aca="false">IFERROR(MATCH(278,Apparitions!$N$1:$N$5001,0),"")</f>
        <v/>
      </c>
      <c r="B293" s="19" t="str">
        <f aca="false">IF($A293="","",INDEX(Apparitions!$A$1:$A$5001,$A293)&amp;"")</f>
        <v/>
      </c>
      <c r="C293" s="19" t="str">
        <f aca="false">IF($A293="","",INDEX(Apparitions!$B$1:$B$5001,$A293)&amp;"")</f>
        <v/>
      </c>
      <c r="D293" s="20" t="str">
        <f aca="false">IF($A293="","",INDEX(Apparitions!$L$1:$L$5001,$A293))</f>
        <v/>
      </c>
      <c r="E293" s="19" t="str">
        <f aca="false">IF($A293="","",INDEX(Apparitions!$C$1:$C$5001,$A293)&amp;"")</f>
        <v/>
      </c>
      <c r="F293" s="19" t="str">
        <f aca="false">IF($A293="","",INDEX(Apparitions!$H$1:$H$5001,$A293)&amp;"")</f>
        <v/>
      </c>
      <c r="G293" s="19" t="str">
        <f aca="false">IF($A293="","",INDEX(Apparitions!$I$1:$I$5001,$A293)&amp;"")</f>
        <v/>
      </c>
      <c r="H293" s="19" t="str">
        <f aca="false">IF($A293="","",INDEX(Apparitions!$J$1:$J$5001,$A293)&amp;"")</f>
        <v/>
      </c>
      <c r="I293" s="19" t="str">
        <f aca="false">IF($A293="","",INDEX(Apparitions!$G$1:$G$5001,$A293)&amp;"")</f>
        <v/>
      </c>
      <c r="J293" s="19" t="str">
        <f aca="false">IF($A293="","",INDEX(Apparitions!$M$1:$M$5001,$A293)&amp;"")</f>
        <v/>
      </c>
      <c r="K293" s="21" t="str">
        <f aca="false">IF($A293="","",INDEX(Apparitions!$K$1:$K$5001,$A293))</f>
        <v/>
      </c>
      <c r="L293" s="22" t="str">
        <f aca="false">IF($A293="","",INDEX(Apparitions!$E$1:$E$5001,$A293)&amp;"")</f>
        <v/>
      </c>
      <c r="M293" s="19" t="str">
        <f aca="false">IF($A293="","",INDEX(Apparitions!$F$1:$F$5001,$A293)&amp;"")</f>
        <v/>
      </c>
      <c r="O293" s="23" t="n">
        <f aca="false">IF(I293="",0,IF(COUNTIF(I$16:I293,I293)=1,1,0))</f>
        <v>0</v>
      </c>
      <c r="P293" s="23" t="n">
        <f aca="false">IF(F293="",0,IF(COUNTIF(F$16:F293,F293)=1,1,0))</f>
        <v>0</v>
      </c>
      <c r="Q293" s="0" t="str">
        <f aca="false">IF(B293="","",B293&amp;"|"&amp;C293)</f>
        <v/>
      </c>
      <c r="R293" s="23" t="n">
        <f aca="false">IF(Q293="",0,IF(COUNTIF(Q$16:Q293,Q293)=1,1,0))</f>
        <v>0</v>
      </c>
    </row>
    <row r="294" customFormat="false" ht="15" hidden="false" customHeight="false" outlineLevel="0" collapsed="false">
      <c r="A294" s="0" t="str">
        <f aca="false">IFERROR(MATCH(279,Apparitions!$N$1:$N$5001,0),"")</f>
        <v/>
      </c>
      <c r="B294" s="19" t="str">
        <f aca="false">IF($A294="","",INDEX(Apparitions!$A$1:$A$5001,$A294)&amp;"")</f>
        <v/>
      </c>
      <c r="C294" s="19" t="str">
        <f aca="false">IF($A294="","",INDEX(Apparitions!$B$1:$B$5001,$A294)&amp;"")</f>
        <v/>
      </c>
      <c r="D294" s="20" t="str">
        <f aca="false">IF($A294="","",INDEX(Apparitions!$L$1:$L$5001,$A294))</f>
        <v/>
      </c>
      <c r="E294" s="19" t="str">
        <f aca="false">IF($A294="","",INDEX(Apparitions!$C$1:$C$5001,$A294)&amp;"")</f>
        <v/>
      </c>
      <c r="F294" s="19" t="str">
        <f aca="false">IF($A294="","",INDEX(Apparitions!$H$1:$H$5001,$A294)&amp;"")</f>
        <v/>
      </c>
      <c r="G294" s="19" t="str">
        <f aca="false">IF($A294="","",INDEX(Apparitions!$I$1:$I$5001,$A294)&amp;"")</f>
        <v/>
      </c>
      <c r="H294" s="19" t="str">
        <f aca="false">IF($A294="","",INDEX(Apparitions!$J$1:$J$5001,$A294)&amp;"")</f>
        <v/>
      </c>
      <c r="I294" s="19" t="str">
        <f aca="false">IF($A294="","",INDEX(Apparitions!$G$1:$G$5001,$A294)&amp;"")</f>
        <v/>
      </c>
      <c r="J294" s="19" t="str">
        <f aca="false">IF($A294="","",INDEX(Apparitions!$M$1:$M$5001,$A294)&amp;"")</f>
        <v/>
      </c>
      <c r="K294" s="21" t="str">
        <f aca="false">IF($A294="","",INDEX(Apparitions!$K$1:$K$5001,$A294))</f>
        <v/>
      </c>
      <c r="L294" s="22" t="str">
        <f aca="false">IF($A294="","",INDEX(Apparitions!$E$1:$E$5001,$A294)&amp;"")</f>
        <v/>
      </c>
      <c r="M294" s="19" t="str">
        <f aca="false">IF($A294="","",INDEX(Apparitions!$F$1:$F$5001,$A294)&amp;"")</f>
        <v/>
      </c>
      <c r="O294" s="23" t="n">
        <f aca="false">IF(I294="",0,IF(COUNTIF(I$16:I294,I294)=1,1,0))</f>
        <v>0</v>
      </c>
      <c r="P294" s="23" t="n">
        <f aca="false">IF(F294="",0,IF(COUNTIF(F$16:F294,F294)=1,1,0))</f>
        <v>0</v>
      </c>
      <c r="Q294" s="0" t="str">
        <f aca="false">IF(B294="","",B294&amp;"|"&amp;C294)</f>
        <v/>
      </c>
      <c r="R294" s="23" t="n">
        <f aca="false">IF(Q294="",0,IF(COUNTIF(Q$16:Q294,Q294)=1,1,0))</f>
        <v>0</v>
      </c>
    </row>
    <row r="295" customFormat="false" ht="15" hidden="false" customHeight="false" outlineLevel="0" collapsed="false">
      <c r="A295" s="0" t="str">
        <f aca="false">IFERROR(MATCH(280,Apparitions!$N$1:$N$5001,0),"")</f>
        <v/>
      </c>
      <c r="B295" s="19" t="str">
        <f aca="false">IF($A295="","",INDEX(Apparitions!$A$1:$A$5001,$A295)&amp;"")</f>
        <v/>
      </c>
      <c r="C295" s="19" t="str">
        <f aca="false">IF($A295="","",INDEX(Apparitions!$B$1:$B$5001,$A295)&amp;"")</f>
        <v/>
      </c>
      <c r="D295" s="20" t="str">
        <f aca="false">IF($A295="","",INDEX(Apparitions!$L$1:$L$5001,$A295))</f>
        <v/>
      </c>
      <c r="E295" s="19" t="str">
        <f aca="false">IF($A295="","",INDEX(Apparitions!$C$1:$C$5001,$A295)&amp;"")</f>
        <v/>
      </c>
      <c r="F295" s="19" t="str">
        <f aca="false">IF($A295="","",INDEX(Apparitions!$H$1:$H$5001,$A295)&amp;"")</f>
        <v/>
      </c>
      <c r="G295" s="19" t="str">
        <f aca="false">IF($A295="","",INDEX(Apparitions!$I$1:$I$5001,$A295)&amp;"")</f>
        <v/>
      </c>
      <c r="H295" s="19" t="str">
        <f aca="false">IF($A295="","",INDEX(Apparitions!$J$1:$J$5001,$A295)&amp;"")</f>
        <v/>
      </c>
      <c r="I295" s="19" t="str">
        <f aca="false">IF($A295="","",INDEX(Apparitions!$G$1:$G$5001,$A295)&amp;"")</f>
        <v/>
      </c>
      <c r="J295" s="19" t="str">
        <f aca="false">IF($A295="","",INDEX(Apparitions!$M$1:$M$5001,$A295)&amp;"")</f>
        <v/>
      </c>
      <c r="K295" s="21" t="str">
        <f aca="false">IF($A295="","",INDEX(Apparitions!$K$1:$K$5001,$A295))</f>
        <v/>
      </c>
      <c r="L295" s="22" t="str">
        <f aca="false">IF($A295="","",INDEX(Apparitions!$E$1:$E$5001,$A295)&amp;"")</f>
        <v/>
      </c>
      <c r="M295" s="19" t="str">
        <f aca="false">IF($A295="","",INDEX(Apparitions!$F$1:$F$5001,$A295)&amp;"")</f>
        <v/>
      </c>
      <c r="O295" s="23" t="n">
        <f aca="false">IF(I295="",0,IF(COUNTIF(I$16:I295,I295)=1,1,0))</f>
        <v>0</v>
      </c>
      <c r="P295" s="23" t="n">
        <f aca="false">IF(F295="",0,IF(COUNTIF(F$16:F295,F295)=1,1,0))</f>
        <v>0</v>
      </c>
      <c r="Q295" s="0" t="str">
        <f aca="false">IF(B295="","",B295&amp;"|"&amp;C295)</f>
        <v/>
      </c>
      <c r="R295" s="23" t="n">
        <f aca="false">IF(Q295="",0,IF(COUNTIF(Q$16:Q295,Q295)=1,1,0))</f>
        <v>0</v>
      </c>
    </row>
    <row r="296" customFormat="false" ht="15" hidden="false" customHeight="false" outlineLevel="0" collapsed="false">
      <c r="A296" s="0" t="str">
        <f aca="false">IFERROR(MATCH(281,Apparitions!$N$1:$N$5001,0),"")</f>
        <v/>
      </c>
      <c r="B296" s="19" t="str">
        <f aca="false">IF($A296="","",INDEX(Apparitions!$A$1:$A$5001,$A296)&amp;"")</f>
        <v/>
      </c>
      <c r="C296" s="19" t="str">
        <f aca="false">IF($A296="","",INDEX(Apparitions!$B$1:$B$5001,$A296)&amp;"")</f>
        <v/>
      </c>
      <c r="D296" s="20" t="str">
        <f aca="false">IF($A296="","",INDEX(Apparitions!$L$1:$L$5001,$A296))</f>
        <v/>
      </c>
      <c r="E296" s="19" t="str">
        <f aca="false">IF($A296="","",INDEX(Apparitions!$C$1:$C$5001,$A296)&amp;"")</f>
        <v/>
      </c>
      <c r="F296" s="19" t="str">
        <f aca="false">IF($A296="","",INDEX(Apparitions!$H$1:$H$5001,$A296)&amp;"")</f>
        <v/>
      </c>
      <c r="G296" s="19" t="str">
        <f aca="false">IF($A296="","",INDEX(Apparitions!$I$1:$I$5001,$A296)&amp;"")</f>
        <v/>
      </c>
      <c r="H296" s="19" t="str">
        <f aca="false">IF($A296="","",INDEX(Apparitions!$J$1:$J$5001,$A296)&amp;"")</f>
        <v/>
      </c>
      <c r="I296" s="19" t="str">
        <f aca="false">IF($A296="","",INDEX(Apparitions!$G$1:$G$5001,$A296)&amp;"")</f>
        <v/>
      </c>
      <c r="J296" s="19" t="str">
        <f aca="false">IF($A296="","",INDEX(Apparitions!$M$1:$M$5001,$A296)&amp;"")</f>
        <v/>
      </c>
      <c r="K296" s="21" t="str">
        <f aca="false">IF($A296="","",INDEX(Apparitions!$K$1:$K$5001,$A296))</f>
        <v/>
      </c>
      <c r="L296" s="22" t="str">
        <f aca="false">IF($A296="","",INDEX(Apparitions!$E$1:$E$5001,$A296)&amp;"")</f>
        <v/>
      </c>
      <c r="M296" s="19" t="str">
        <f aca="false">IF($A296="","",INDEX(Apparitions!$F$1:$F$5001,$A296)&amp;"")</f>
        <v/>
      </c>
      <c r="O296" s="23" t="n">
        <f aca="false">IF(I296="",0,IF(COUNTIF(I$16:I296,I296)=1,1,0))</f>
        <v>0</v>
      </c>
      <c r="P296" s="23" t="n">
        <f aca="false">IF(F296="",0,IF(COUNTIF(F$16:F296,F296)=1,1,0))</f>
        <v>0</v>
      </c>
      <c r="Q296" s="0" t="str">
        <f aca="false">IF(B296="","",B296&amp;"|"&amp;C296)</f>
        <v/>
      </c>
      <c r="R296" s="23" t="n">
        <f aca="false">IF(Q296="",0,IF(COUNTIF(Q$16:Q296,Q296)=1,1,0))</f>
        <v>0</v>
      </c>
    </row>
    <row r="297" customFormat="false" ht="15" hidden="false" customHeight="false" outlineLevel="0" collapsed="false">
      <c r="A297" s="0" t="str">
        <f aca="false">IFERROR(MATCH(282,Apparitions!$N$1:$N$5001,0),"")</f>
        <v/>
      </c>
      <c r="B297" s="19" t="str">
        <f aca="false">IF($A297="","",INDEX(Apparitions!$A$1:$A$5001,$A297)&amp;"")</f>
        <v/>
      </c>
      <c r="C297" s="19" t="str">
        <f aca="false">IF($A297="","",INDEX(Apparitions!$B$1:$B$5001,$A297)&amp;"")</f>
        <v/>
      </c>
      <c r="D297" s="20" t="str">
        <f aca="false">IF($A297="","",INDEX(Apparitions!$L$1:$L$5001,$A297))</f>
        <v/>
      </c>
      <c r="E297" s="19" t="str">
        <f aca="false">IF($A297="","",INDEX(Apparitions!$C$1:$C$5001,$A297)&amp;"")</f>
        <v/>
      </c>
      <c r="F297" s="19" t="str">
        <f aca="false">IF($A297="","",INDEX(Apparitions!$H$1:$H$5001,$A297)&amp;"")</f>
        <v/>
      </c>
      <c r="G297" s="19" t="str">
        <f aca="false">IF($A297="","",INDEX(Apparitions!$I$1:$I$5001,$A297)&amp;"")</f>
        <v/>
      </c>
      <c r="H297" s="19" t="str">
        <f aca="false">IF($A297="","",INDEX(Apparitions!$J$1:$J$5001,$A297)&amp;"")</f>
        <v/>
      </c>
      <c r="I297" s="19" t="str">
        <f aca="false">IF($A297="","",INDEX(Apparitions!$G$1:$G$5001,$A297)&amp;"")</f>
        <v/>
      </c>
      <c r="J297" s="19" t="str">
        <f aca="false">IF($A297="","",INDEX(Apparitions!$M$1:$M$5001,$A297)&amp;"")</f>
        <v/>
      </c>
      <c r="K297" s="21" t="str">
        <f aca="false">IF($A297="","",INDEX(Apparitions!$K$1:$K$5001,$A297))</f>
        <v/>
      </c>
      <c r="L297" s="22" t="str">
        <f aca="false">IF($A297="","",INDEX(Apparitions!$E$1:$E$5001,$A297)&amp;"")</f>
        <v/>
      </c>
      <c r="M297" s="19" t="str">
        <f aca="false">IF($A297="","",INDEX(Apparitions!$F$1:$F$5001,$A297)&amp;"")</f>
        <v/>
      </c>
      <c r="O297" s="23" t="n">
        <f aca="false">IF(I297="",0,IF(COUNTIF(I$16:I297,I297)=1,1,0))</f>
        <v>0</v>
      </c>
      <c r="P297" s="23" t="n">
        <f aca="false">IF(F297="",0,IF(COUNTIF(F$16:F297,F297)=1,1,0))</f>
        <v>0</v>
      </c>
      <c r="Q297" s="0" t="str">
        <f aca="false">IF(B297="","",B297&amp;"|"&amp;C297)</f>
        <v/>
      </c>
      <c r="R297" s="23" t="n">
        <f aca="false">IF(Q297="",0,IF(COUNTIF(Q$16:Q297,Q297)=1,1,0))</f>
        <v>0</v>
      </c>
    </row>
    <row r="298" customFormat="false" ht="15" hidden="false" customHeight="false" outlineLevel="0" collapsed="false">
      <c r="A298" s="0" t="str">
        <f aca="false">IFERROR(MATCH(283,Apparitions!$N$1:$N$5001,0),"")</f>
        <v/>
      </c>
      <c r="B298" s="19" t="str">
        <f aca="false">IF($A298="","",INDEX(Apparitions!$A$1:$A$5001,$A298)&amp;"")</f>
        <v/>
      </c>
      <c r="C298" s="19" t="str">
        <f aca="false">IF($A298="","",INDEX(Apparitions!$B$1:$B$5001,$A298)&amp;"")</f>
        <v/>
      </c>
      <c r="D298" s="20" t="str">
        <f aca="false">IF($A298="","",INDEX(Apparitions!$L$1:$L$5001,$A298))</f>
        <v/>
      </c>
      <c r="E298" s="19" t="str">
        <f aca="false">IF($A298="","",INDEX(Apparitions!$C$1:$C$5001,$A298)&amp;"")</f>
        <v/>
      </c>
      <c r="F298" s="19" t="str">
        <f aca="false">IF($A298="","",INDEX(Apparitions!$H$1:$H$5001,$A298)&amp;"")</f>
        <v/>
      </c>
      <c r="G298" s="19" t="str">
        <f aca="false">IF($A298="","",INDEX(Apparitions!$I$1:$I$5001,$A298)&amp;"")</f>
        <v/>
      </c>
      <c r="H298" s="19" t="str">
        <f aca="false">IF($A298="","",INDEX(Apparitions!$J$1:$J$5001,$A298)&amp;"")</f>
        <v/>
      </c>
      <c r="I298" s="19" t="str">
        <f aca="false">IF($A298="","",INDEX(Apparitions!$G$1:$G$5001,$A298)&amp;"")</f>
        <v/>
      </c>
      <c r="J298" s="19" t="str">
        <f aca="false">IF($A298="","",INDEX(Apparitions!$M$1:$M$5001,$A298)&amp;"")</f>
        <v/>
      </c>
      <c r="K298" s="21" t="str">
        <f aca="false">IF($A298="","",INDEX(Apparitions!$K$1:$K$5001,$A298))</f>
        <v/>
      </c>
      <c r="L298" s="22" t="str">
        <f aca="false">IF($A298="","",INDEX(Apparitions!$E$1:$E$5001,$A298)&amp;"")</f>
        <v/>
      </c>
      <c r="M298" s="19" t="str">
        <f aca="false">IF($A298="","",INDEX(Apparitions!$F$1:$F$5001,$A298)&amp;"")</f>
        <v/>
      </c>
      <c r="O298" s="23" t="n">
        <f aca="false">IF(I298="",0,IF(COUNTIF(I$16:I298,I298)=1,1,0))</f>
        <v>0</v>
      </c>
      <c r="P298" s="23" t="n">
        <f aca="false">IF(F298="",0,IF(COUNTIF(F$16:F298,F298)=1,1,0))</f>
        <v>0</v>
      </c>
      <c r="Q298" s="0" t="str">
        <f aca="false">IF(B298="","",B298&amp;"|"&amp;C298)</f>
        <v/>
      </c>
      <c r="R298" s="23" t="n">
        <f aca="false">IF(Q298="",0,IF(COUNTIF(Q$16:Q298,Q298)=1,1,0))</f>
        <v>0</v>
      </c>
    </row>
    <row r="299" customFormat="false" ht="15" hidden="false" customHeight="false" outlineLevel="0" collapsed="false">
      <c r="A299" s="0" t="str">
        <f aca="false">IFERROR(MATCH(284,Apparitions!$N$1:$N$5001,0),"")</f>
        <v/>
      </c>
      <c r="B299" s="19" t="str">
        <f aca="false">IF($A299="","",INDEX(Apparitions!$A$1:$A$5001,$A299)&amp;"")</f>
        <v/>
      </c>
      <c r="C299" s="19" t="str">
        <f aca="false">IF($A299="","",INDEX(Apparitions!$B$1:$B$5001,$A299)&amp;"")</f>
        <v/>
      </c>
      <c r="D299" s="20" t="str">
        <f aca="false">IF($A299="","",INDEX(Apparitions!$L$1:$L$5001,$A299))</f>
        <v/>
      </c>
      <c r="E299" s="19" t="str">
        <f aca="false">IF($A299="","",INDEX(Apparitions!$C$1:$C$5001,$A299)&amp;"")</f>
        <v/>
      </c>
      <c r="F299" s="19" t="str">
        <f aca="false">IF($A299="","",INDEX(Apparitions!$H$1:$H$5001,$A299)&amp;"")</f>
        <v/>
      </c>
      <c r="G299" s="19" t="str">
        <f aca="false">IF($A299="","",INDEX(Apparitions!$I$1:$I$5001,$A299)&amp;"")</f>
        <v/>
      </c>
      <c r="H299" s="19" t="str">
        <f aca="false">IF($A299="","",INDEX(Apparitions!$J$1:$J$5001,$A299)&amp;"")</f>
        <v/>
      </c>
      <c r="I299" s="19" t="str">
        <f aca="false">IF($A299="","",INDEX(Apparitions!$G$1:$G$5001,$A299)&amp;"")</f>
        <v/>
      </c>
      <c r="J299" s="19" t="str">
        <f aca="false">IF($A299="","",INDEX(Apparitions!$M$1:$M$5001,$A299)&amp;"")</f>
        <v/>
      </c>
      <c r="K299" s="21" t="str">
        <f aca="false">IF($A299="","",INDEX(Apparitions!$K$1:$K$5001,$A299))</f>
        <v/>
      </c>
      <c r="L299" s="22" t="str">
        <f aca="false">IF($A299="","",INDEX(Apparitions!$E$1:$E$5001,$A299)&amp;"")</f>
        <v/>
      </c>
      <c r="M299" s="19" t="str">
        <f aca="false">IF($A299="","",INDEX(Apparitions!$F$1:$F$5001,$A299)&amp;"")</f>
        <v/>
      </c>
      <c r="O299" s="23" t="n">
        <f aca="false">IF(I299="",0,IF(COUNTIF(I$16:I299,I299)=1,1,0))</f>
        <v>0</v>
      </c>
      <c r="P299" s="23" t="n">
        <f aca="false">IF(F299="",0,IF(COUNTIF(F$16:F299,F299)=1,1,0))</f>
        <v>0</v>
      </c>
      <c r="Q299" s="0" t="str">
        <f aca="false">IF(B299="","",B299&amp;"|"&amp;C299)</f>
        <v/>
      </c>
      <c r="R299" s="23" t="n">
        <f aca="false">IF(Q299="",0,IF(COUNTIF(Q$16:Q299,Q299)=1,1,0))</f>
        <v>0</v>
      </c>
    </row>
    <row r="300" customFormat="false" ht="15" hidden="false" customHeight="false" outlineLevel="0" collapsed="false">
      <c r="A300" s="0" t="str">
        <f aca="false">IFERROR(MATCH(285,Apparitions!$N$1:$N$5001,0),"")</f>
        <v/>
      </c>
      <c r="B300" s="19" t="str">
        <f aca="false">IF($A300="","",INDEX(Apparitions!$A$1:$A$5001,$A300)&amp;"")</f>
        <v/>
      </c>
      <c r="C300" s="19" t="str">
        <f aca="false">IF($A300="","",INDEX(Apparitions!$B$1:$B$5001,$A300)&amp;"")</f>
        <v/>
      </c>
      <c r="D300" s="20" t="str">
        <f aca="false">IF($A300="","",INDEX(Apparitions!$L$1:$L$5001,$A300))</f>
        <v/>
      </c>
      <c r="E300" s="19" t="str">
        <f aca="false">IF($A300="","",INDEX(Apparitions!$C$1:$C$5001,$A300)&amp;"")</f>
        <v/>
      </c>
      <c r="F300" s="19" t="str">
        <f aca="false">IF($A300="","",INDEX(Apparitions!$H$1:$H$5001,$A300)&amp;"")</f>
        <v/>
      </c>
      <c r="G300" s="19" t="str">
        <f aca="false">IF($A300="","",INDEX(Apparitions!$I$1:$I$5001,$A300)&amp;"")</f>
        <v/>
      </c>
      <c r="H300" s="19" t="str">
        <f aca="false">IF($A300="","",INDEX(Apparitions!$J$1:$J$5001,$A300)&amp;"")</f>
        <v/>
      </c>
      <c r="I300" s="19" t="str">
        <f aca="false">IF($A300="","",INDEX(Apparitions!$G$1:$G$5001,$A300)&amp;"")</f>
        <v/>
      </c>
      <c r="J300" s="19" t="str">
        <f aca="false">IF($A300="","",INDEX(Apparitions!$M$1:$M$5001,$A300)&amp;"")</f>
        <v/>
      </c>
      <c r="K300" s="21" t="str">
        <f aca="false">IF($A300="","",INDEX(Apparitions!$K$1:$K$5001,$A300))</f>
        <v/>
      </c>
      <c r="L300" s="22" t="str">
        <f aca="false">IF($A300="","",INDEX(Apparitions!$E$1:$E$5001,$A300)&amp;"")</f>
        <v/>
      </c>
      <c r="M300" s="19" t="str">
        <f aca="false">IF($A300="","",INDEX(Apparitions!$F$1:$F$5001,$A300)&amp;"")</f>
        <v/>
      </c>
      <c r="O300" s="23" t="n">
        <f aca="false">IF(I300="",0,IF(COUNTIF(I$16:I300,I300)=1,1,0))</f>
        <v>0</v>
      </c>
      <c r="P300" s="23" t="n">
        <f aca="false">IF(F300="",0,IF(COUNTIF(F$16:F300,F300)=1,1,0))</f>
        <v>0</v>
      </c>
      <c r="Q300" s="0" t="str">
        <f aca="false">IF(B300="","",B300&amp;"|"&amp;C300)</f>
        <v/>
      </c>
      <c r="R300" s="23" t="n">
        <f aca="false">IF(Q300="",0,IF(COUNTIF(Q$16:Q300,Q300)=1,1,0))</f>
        <v>0</v>
      </c>
    </row>
    <row r="301" customFormat="false" ht="15" hidden="false" customHeight="false" outlineLevel="0" collapsed="false">
      <c r="A301" s="0" t="str">
        <f aca="false">IFERROR(MATCH(286,Apparitions!$N$1:$N$5001,0),"")</f>
        <v/>
      </c>
      <c r="B301" s="19" t="str">
        <f aca="false">IF($A301="","",INDEX(Apparitions!$A$1:$A$5001,$A301)&amp;"")</f>
        <v/>
      </c>
      <c r="C301" s="19" t="str">
        <f aca="false">IF($A301="","",INDEX(Apparitions!$B$1:$B$5001,$A301)&amp;"")</f>
        <v/>
      </c>
      <c r="D301" s="20" t="str">
        <f aca="false">IF($A301="","",INDEX(Apparitions!$L$1:$L$5001,$A301))</f>
        <v/>
      </c>
      <c r="E301" s="19" t="str">
        <f aca="false">IF($A301="","",INDEX(Apparitions!$C$1:$C$5001,$A301)&amp;"")</f>
        <v/>
      </c>
      <c r="F301" s="19" t="str">
        <f aca="false">IF($A301="","",INDEX(Apparitions!$H$1:$H$5001,$A301)&amp;"")</f>
        <v/>
      </c>
      <c r="G301" s="19" t="str">
        <f aca="false">IF($A301="","",INDEX(Apparitions!$I$1:$I$5001,$A301)&amp;"")</f>
        <v/>
      </c>
      <c r="H301" s="19" t="str">
        <f aca="false">IF($A301="","",INDEX(Apparitions!$J$1:$J$5001,$A301)&amp;"")</f>
        <v/>
      </c>
      <c r="I301" s="19" t="str">
        <f aca="false">IF($A301="","",INDEX(Apparitions!$G$1:$G$5001,$A301)&amp;"")</f>
        <v/>
      </c>
      <c r="J301" s="19" t="str">
        <f aca="false">IF($A301="","",INDEX(Apparitions!$M$1:$M$5001,$A301)&amp;"")</f>
        <v/>
      </c>
      <c r="K301" s="21" t="str">
        <f aca="false">IF($A301="","",INDEX(Apparitions!$K$1:$K$5001,$A301))</f>
        <v/>
      </c>
      <c r="L301" s="22" t="str">
        <f aca="false">IF($A301="","",INDEX(Apparitions!$E$1:$E$5001,$A301)&amp;"")</f>
        <v/>
      </c>
      <c r="M301" s="19" t="str">
        <f aca="false">IF($A301="","",INDEX(Apparitions!$F$1:$F$5001,$A301)&amp;"")</f>
        <v/>
      </c>
      <c r="O301" s="23" t="n">
        <f aca="false">IF(I301="",0,IF(COUNTIF(I$16:I301,I301)=1,1,0))</f>
        <v>0</v>
      </c>
      <c r="P301" s="23" t="n">
        <f aca="false">IF(F301="",0,IF(COUNTIF(F$16:F301,F301)=1,1,0))</f>
        <v>0</v>
      </c>
      <c r="Q301" s="0" t="str">
        <f aca="false">IF(B301="","",B301&amp;"|"&amp;C301)</f>
        <v/>
      </c>
      <c r="R301" s="23" t="n">
        <f aca="false">IF(Q301="",0,IF(COUNTIF(Q$16:Q301,Q301)=1,1,0))</f>
        <v>0</v>
      </c>
    </row>
    <row r="302" customFormat="false" ht="15" hidden="false" customHeight="false" outlineLevel="0" collapsed="false">
      <c r="A302" s="0" t="str">
        <f aca="false">IFERROR(MATCH(287,Apparitions!$N$1:$N$5001,0),"")</f>
        <v/>
      </c>
      <c r="B302" s="19" t="str">
        <f aca="false">IF($A302="","",INDEX(Apparitions!$A$1:$A$5001,$A302)&amp;"")</f>
        <v/>
      </c>
      <c r="C302" s="19" t="str">
        <f aca="false">IF($A302="","",INDEX(Apparitions!$B$1:$B$5001,$A302)&amp;"")</f>
        <v/>
      </c>
      <c r="D302" s="20" t="str">
        <f aca="false">IF($A302="","",INDEX(Apparitions!$L$1:$L$5001,$A302))</f>
        <v/>
      </c>
      <c r="E302" s="19" t="str">
        <f aca="false">IF($A302="","",INDEX(Apparitions!$C$1:$C$5001,$A302)&amp;"")</f>
        <v/>
      </c>
      <c r="F302" s="19" t="str">
        <f aca="false">IF($A302="","",INDEX(Apparitions!$H$1:$H$5001,$A302)&amp;"")</f>
        <v/>
      </c>
      <c r="G302" s="19" t="str">
        <f aca="false">IF($A302="","",INDEX(Apparitions!$I$1:$I$5001,$A302)&amp;"")</f>
        <v/>
      </c>
      <c r="H302" s="19" t="str">
        <f aca="false">IF($A302="","",INDEX(Apparitions!$J$1:$J$5001,$A302)&amp;"")</f>
        <v/>
      </c>
      <c r="I302" s="19" t="str">
        <f aca="false">IF($A302="","",INDEX(Apparitions!$G$1:$G$5001,$A302)&amp;"")</f>
        <v/>
      </c>
      <c r="J302" s="19" t="str">
        <f aca="false">IF($A302="","",INDEX(Apparitions!$M$1:$M$5001,$A302)&amp;"")</f>
        <v/>
      </c>
      <c r="K302" s="21" t="str">
        <f aca="false">IF($A302="","",INDEX(Apparitions!$K$1:$K$5001,$A302))</f>
        <v/>
      </c>
      <c r="L302" s="22" t="str">
        <f aca="false">IF($A302="","",INDEX(Apparitions!$E$1:$E$5001,$A302)&amp;"")</f>
        <v/>
      </c>
      <c r="M302" s="19" t="str">
        <f aca="false">IF($A302="","",INDEX(Apparitions!$F$1:$F$5001,$A302)&amp;"")</f>
        <v/>
      </c>
      <c r="O302" s="23" t="n">
        <f aca="false">IF(I302="",0,IF(COUNTIF(I$16:I302,I302)=1,1,0))</f>
        <v>0</v>
      </c>
      <c r="P302" s="23" t="n">
        <f aca="false">IF(F302="",0,IF(COUNTIF(F$16:F302,F302)=1,1,0))</f>
        <v>0</v>
      </c>
      <c r="Q302" s="0" t="str">
        <f aca="false">IF(B302="","",B302&amp;"|"&amp;C302)</f>
        <v/>
      </c>
      <c r="R302" s="23" t="n">
        <f aca="false">IF(Q302="",0,IF(COUNTIF(Q$16:Q302,Q302)=1,1,0))</f>
        <v>0</v>
      </c>
    </row>
    <row r="303" customFormat="false" ht="15" hidden="false" customHeight="false" outlineLevel="0" collapsed="false">
      <c r="A303" s="0" t="str">
        <f aca="false">IFERROR(MATCH(288,Apparitions!$N$1:$N$5001,0),"")</f>
        <v/>
      </c>
      <c r="B303" s="19" t="str">
        <f aca="false">IF($A303="","",INDEX(Apparitions!$A$1:$A$5001,$A303)&amp;"")</f>
        <v/>
      </c>
      <c r="C303" s="19" t="str">
        <f aca="false">IF($A303="","",INDEX(Apparitions!$B$1:$B$5001,$A303)&amp;"")</f>
        <v/>
      </c>
      <c r="D303" s="20" t="str">
        <f aca="false">IF($A303="","",INDEX(Apparitions!$L$1:$L$5001,$A303))</f>
        <v/>
      </c>
      <c r="E303" s="19" t="str">
        <f aca="false">IF($A303="","",INDEX(Apparitions!$C$1:$C$5001,$A303)&amp;"")</f>
        <v/>
      </c>
      <c r="F303" s="19" t="str">
        <f aca="false">IF($A303="","",INDEX(Apparitions!$H$1:$H$5001,$A303)&amp;"")</f>
        <v/>
      </c>
      <c r="G303" s="19" t="str">
        <f aca="false">IF($A303="","",INDEX(Apparitions!$I$1:$I$5001,$A303)&amp;"")</f>
        <v/>
      </c>
      <c r="H303" s="19" t="str">
        <f aca="false">IF($A303="","",INDEX(Apparitions!$J$1:$J$5001,$A303)&amp;"")</f>
        <v/>
      </c>
      <c r="I303" s="19" t="str">
        <f aca="false">IF($A303="","",INDEX(Apparitions!$G$1:$G$5001,$A303)&amp;"")</f>
        <v/>
      </c>
      <c r="J303" s="19" t="str">
        <f aca="false">IF($A303="","",INDEX(Apparitions!$M$1:$M$5001,$A303)&amp;"")</f>
        <v/>
      </c>
      <c r="K303" s="21" t="str">
        <f aca="false">IF($A303="","",INDEX(Apparitions!$K$1:$K$5001,$A303))</f>
        <v/>
      </c>
      <c r="L303" s="22" t="str">
        <f aca="false">IF($A303="","",INDEX(Apparitions!$E$1:$E$5001,$A303)&amp;"")</f>
        <v/>
      </c>
      <c r="M303" s="19" t="str">
        <f aca="false">IF($A303="","",INDEX(Apparitions!$F$1:$F$5001,$A303)&amp;"")</f>
        <v/>
      </c>
      <c r="O303" s="23" t="n">
        <f aca="false">IF(I303="",0,IF(COUNTIF(I$16:I303,I303)=1,1,0))</f>
        <v>0</v>
      </c>
      <c r="P303" s="23" t="n">
        <f aca="false">IF(F303="",0,IF(COUNTIF(F$16:F303,F303)=1,1,0))</f>
        <v>0</v>
      </c>
      <c r="Q303" s="0" t="str">
        <f aca="false">IF(B303="","",B303&amp;"|"&amp;C303)</f>
        <v/>
      </c>
      <c r="R303" s="23" t="n">
        <f aca="false">IF(Q303="",0,IF(COUNTIF(Q$16:Q303,Q303)=1,1,0))</f>
        <v>0</v>
      </c>
    </row>
    <row r="304" customFormat="false" ht="15" hidden="false" customHeight="false" outlineLevel="0" collapsed="false">
      <c r="A304" s="0" t="str">
        <f aca="false">IFERROR(MATCH(289,Apparitions!$N$1:$N$5001,0),"")</f>
        <v/>
      </c>
      <c r="B304" s="19" t="str">
        <f aca="false">IF($A304="","",INDEX(Apparitions!$A$1:$A$5001,$A304)&amp;"")</f>
        <v/>
      </c>
      <c r="C304" s="19" t="str">
        <f aca="false">IF($A304="","",INDEX(Apparitions!$B$1:$B$5001,$A304)&amp;"")</f>
        <v/>
      </c>
      <c r="D304" s="20" t="str">
        <f aca="false">IF($A304="","",INDEX(Apparitions!$L$1:$L$5001,$A304))</f>
        <v/>
      </c>
      <c r="E304" s="19" t="str">
        <f aca="false">IF($A304="","",INDEX(Apparitions!$C$1:$C$5001,$A304)&amp;"")</f>
        <v/>
      </c>
      <c r="F304" s="19" t="str">
        <f aca="false">IF($A304="","",INDEX(Apparitions!$H$1:$H$5001,$A304)&amp;"")</f>
        <v/>
      </c>
      <c r="G304" s="19" t="str">
        <f aca="false">IF($A304="","",INDEX(Apparitions!$I$1:$I$5001,$A304)&amp;"")</f>
        <v/>
      </c>
      <c r="H304" s="19" t="str">
        <f aca="false">IF($A304="","",INDEX(Apparitions!$J$1:$J$5001,$A304)&amp;"")</f>
        <v/>
      </c>
      <c r="I304" s="19" t="str">
        <f aca="false">IF($A304="","",INDEX(Apparitions!$G$1:$G$5001,$A304)&amp;"")</f>
        <v/>
      </c>
      <c r="J304" s="19" t="str">
        <f aca="false">IF($A304="","",INDEX(Apparitions!$M$1:$M$5001,$A304)&amp;"")</f>
        <v/>
      </c>
      <c r="K304" s="21" t="str">
        <f aca="false">IF($A304="","",INDEX(Apparitions!$K$1:$K$5001,$A304))</f>
        <v/>
      </c>
      <c r="L304" s="22" t="str">
        <f aca="false">IF($A304="","",INDEX(Apparitions!$E$1:$E$5001,$A304)&amp;"")</f>
        <v/>
      </c>
      <c r="M304" s="19" t="str">
        <f aca="false">IF($A304="","",INDEX(Apparitions!$F$1:$F$5001,$A304)&amp;"")</f>
        <v/>
      </c>
      <c r="O304" s="23" t="n">
        <f aca="false">IF(I304="",0,IF(COUNTIF(I$16:I304,I304)=1,1,0))</f>
        <v>0</v>
      </c>
      <c r="P304" s="23" t="n">
        <f aca="false">IF(F304="",0,IF(COUNTIF(F$16:F304,F304)=1,1,0))</f>
        <v>0</v>
      </c>
      <c r="Q304" s="0" t="str">
        <f aca="false">IF(B304="","",B304&amp;"|"&amp;C304)</f>
        <v/>
      </c>
      <c r="R304" s="23" t="n">
        <f aca="false">IF(Q304="",0,IF(COUNTIF(Q$16:Q304,Q304)=1,1,0))</f>
        <v>0</v>
      </c>
    </row>
    <row r="305" customFormat="false" ht="15" hidden="false" customHeight="false" outlineLevel="0" collapsed="false">
      <c r="A305" s="0" t="str">
        <f aca="false">IFERROR(MATCH(290,Apparitions!$N$1:$N$5001,0),"")</f>
        <v/>
      </c>
      <c r="B305" s="19" t="str">
        <f aca="false">IF($A305="","",INDEX(Apparitions!$A$1:$A$5001,$A305)&amp;"")</f>
        <v/>
      </c>
      <c r="C305" s="19" t="str">
        <f aca="false">IF($A305="","",INDEX(Apparitions!$B$1:$B$5001,$A305)&amp;"")</f>
        <v/>
      </c>
      <c r="D305" s="20" t="str">
        <f aca="false">IF($A305="","",INDEX(Apparitions!$L$1:$L$5001,$A305))</f>
        <v/>
      </c>
      <c r="E305" s="19" t="str">
        <f aca="false">IF($A305="","",INDEX(Apparitions!$C$1:$C$5001,$A305)&amp;"")</f>
        <v/>
      </c>
      <c r="F305" s="19" t="str">
        <f aca="false">IF($A305="","",INDEX(Apparitions!$H$1:$H$5001,$A305)&amp;"")</f>
        <v/>
      </c>
      <c r="G305" s="19" t="str">
        <f aca="false">IF($A305="","",INDEX(Apparitions!$I$1:$I$5001,$A305)&amp;"")</f>
        <v/>
      </c>
      <c r="H305" s="19" t="str">
        <f aca="false">IF($A305="","",INDEX(Apparitions!$J$1:$J$5001,$A305)&amp;"")</f>
        <v/>
      </c>
      <c r="I305" s="19" t="str">
        <f aca="false">IF($A305="","",INDEX(Apparitions!$G$1:$G$5001,$A305)&amp;"")</f>
        <v/>
      </c>
      <c r="J305" s="19" t="str">
        <f aca="false">IF($A305="","",INDEX(Apparitions!$M$1:$M$5001,$A305)&amp;"")</f>
        <v/>
      </c>
      <c r="K305" s="21" t="str">
        <f aca="false">IF($A305="","",INDEX(Apparitions!$K$1:$K$5001,$A305))</f>
        <v/>
      </c>
      <c r="L305" s="22" t="str">
        <f aca="false">IF($A305="","",INDEX(Apparitions!$E$1:$E$5001,$A305)&amp;"")</f>
        <v/>
      </c>
      <c r="M305" s="19" t="str">
        <f aca="false">IF($A305="","",INDEX(Apparitions!$F$1:$F$5001,$A305)&amp;"")</f>
        <v/>
      </c>
      <c r="O305" s="23" t="n">
        <f aca="false">IF(I305="",0,IF(COUNTIF(I$16:I305,I305)=1,1,0))</f>
        <v>0</v>
      </c>
      <c r="P305" s="23" t="n">
        <f aca="false">IF(F305="",0,IF(COUNTIF(F$16:F305,F305)=1,1,0))</f>
        <v>0</v>
      </c>
      <c r="Q305" s="0" t="str">
        <f aca="false">IF(B305="","",B305&amp;"|"&amp;C305)</f>
        <v/>
      </c>
      <c r="R305" s="23" t="n">
        <f aca="false">IF(Q305="",0,IF(COUNTIF(Q$16:Q305,Q305)=1,1,0))</f>
        <v>0</v>
      </c>
    </row>
    <row r="306" customFormat="false" ht="15" hidden="false" customHeight="false" outlineLevel="0" collapsed="false">
      <c r="A306" s="0" t="str">
        <f aca="false">IFERROR(MATCH(291,Apparitions!$N$1:$N$5001,0),"")</f>
        <v/>
      </c>
      <c r="B306" s="19" t="str">
        <f aca="false">IF($A306="","",INDEX(Apparitions!$A$1:$A$5001,$A306)&amp;"")</f>
        <v/>
      </c>
      <c r="C306" s="19" t="str">
        <f aca="false">IF($A306="","",INDEX(Apparitions!$B$1:$B$5001,$A306)&amp;"")</f>
        <v/>
      </c>
      <c r="D306" s="20" t="str">
        <f aca="false">IF($A306="","",INDEX(Apparitions!$L$1:$L$5001,$A306))</f>
        <v/>
      </c>
      <c r="E306" s="19" t="str">
        <f aca="false">IF($A306="","",INDEX(Apparitions!$C$1:$C$5001,$A306)&amp;"")</f>
        <v/>
      </c>
      <c r="F306" s="19" t="str">
        <f aca="false">IF($A306="","",INDEX(Apparitions!$H$1:$H$5001,$A306)&amp;"")</f>
        <v/>
      </c>
      <c r="G306" s="19" t="str">
        <f aca="false">IF($A306="","",INDEX(Apparitions!$I$1:$I$5001,$A306)&amp;"")</f>
        <v/>
      </c>
      <c r="H306" s="19" t="str">
        <f aca="false">IF($A306="","",INDEX(Apparitions!$J$1:$J$5001,$A306)&amp;"")</f>
        <v/>
      </c>
      <c r="I306" s="19" t="str">
        <f aca="false">IF($A306="","",INDEX(Apparitions!$G$1:$G$5001,$A306)&amp;"")</f>
        <v/>
      </c>
      <c r="J306" s="19" t="str">
        <f aca="false">IF($A306="","",INDEX(Apparitions!$M$1:$M$5001,$A306)&amp;"")</f>
        <v/>
      </c>
      <c r="K306" s="21" t="str">
        <f aca="false">IF($A306="","",INDEX(Apparitions!$K$1:$K$5001,$A306))</f>
        <v/>
      </c>
      <c r="L306" s="22" t="str">
        <f aca="false">IF($A306="","",INDEX(Apparitions!$E$1:$E$5001,$A306)&amp;"")</f>
        <v/>
      </c>
      <c r="M306" s="19" t="str">
        <f aca="false">IF($A306="","",INDEX(Apparitions!$F$1:$F$5001,$A306)&amp;"")</f>
        <v/>
      </c>
      <c r="O306" s="23" t="n">
        <f aca="false">IF(I306="",0,IF(COUNTIF(I$16:I306,I306)=1,1,0))</f>
        <v>0</v>
      </c>
      <c r="P306" s="23" t="n">
        <f aca="false">IF(F306="",0,IF(COUNTIF(F$16:F306,F306)=1,1,0))</f>
        <v>0</v>
      </c>
      <c r="Q306" s="0" t="str">
        <f aca="false">IF(B306="","",B306&amp;"|"&amp;C306)</f>
        <v/>
      </c>
      <c r="R306" s="23" t="n">
        <f aca="false">IF(Q306="",0,IF(COUNTIF(Q$16:Q306,Q306)=1,1,0))</f>
        <v>0</v>
      </c>
    </row>
    <row r="307" customFormat="false" ht="15" hidden="false" customHeight="false" outlineLevel="0" collapsed="false">
      <c r="A307" s="0" t="str">
        <f aca="false">IFERROR(MATCH(292,Apparitions!$N$1:$N$5001,0),"")</f>
        <v/>
      </c>
      <c r="B307" s="19" t="str">
        <f aca="false">IF($A307="","",INDEX(Apparitions!$A$1:$A$5001,$A307)&amp;"")</f>
        <v/>
      </c>
      <c r="C307" s="19" t="str">
        <f aca="false">IF($A307="","",INDEX(Apparitions!$B$1:$B$5001,$A307)&amp;"")</f>
        <v/>
      </c>
      <c r="D307" s="20" t="str">
        <f aca="false">IF($A307="","",INDEX(Apparitions!$L$1:$L$5001,$A307))</f>
        <v/>
      </c>
      <c r="E307" s="19" t="str">
        <f aca="false">IF($A307="","",INDEX(Apparitions!$C$1:$C$5001,$A307)&amp;"")</f>
        <v/>
      </c>
      <c r="F307" s="19" t="str">
        <f aca="false">IF($A307="","",INDEX(Apparitions!$H$1:$H$5001,$A307)&amp;"")</f>
        <v/>
      </c>
      <c r="G307" s="19" t="str">
        <f aca="false">IF($A307="","",INDEX(Apparitions!$I$1:$I$5001,$A307)&amp;"")</f>
        <v/>
      </c>
      <c r="H307" s="19" t="str">
        <f aca="false">IF($A307="","",INDEX(Apparitions!$J$1:$J$5001,$A307)&amp;"")</f>
        <v/>
      </c>
      <c r="I307" s="19" t="str">
        <f aca="false">IF($A307="","",INDEX(Apparitions!$G$1:$G$5001,$A307)&amp;"")</f>
        <v/>
      </c>
      <c r="J307" s="19" t="str">
        <f aca="false">IF($A307="","",INDEX(Apparitions!$M$1:$M$5001,$A307)&amp;"")</f>
        <v/>
      </c>
      <c r="K307" s="21" t="str">
        <f aca="false">IF($A307="","",INDEX(Apparitions!$K$1:$K$5001,$A307))</f>
        <v/>
      </c>
      <c r="L307" s="22" t="str">
        <f aca="false">IF($A307="","",INDEX(Apparitions!$E$1:$E$5001,$A307)&amp;"")</f>
        <v/>
      </c>
      <c r="M307" s="19" t="str">
        <f aca="false">IF($A307="","",INDEX(Apparitions!$F$1:$F$5001,$A307)&amp;"")</f>
        <v/>
      </c>
      <c r="O307" s="23" t="n">
        <f aca="false">IF(I307="",0,IF(COUNTIF(I$16:I307,I307)=1,1,0))</f>
        <v>0</v>
      </c>
      <c r="P307" s="23" t="n">
        <f aca="false">IF(F307="",0,IF(COUNTIF(F$16:F307,F307)=1,1,0))</f>
        <v>0</v>
      </c>
      <c r="Q307" s="0" t="str">
        <f aca="false">IF(B307="","",B307&amp;"|"&amp;C307)</f>
        <v/>
      </c>
      <c r="R307" s="23" t="n">
        <f aca="false">IF(Q307="",0,IF(COUNTIF(Q$16:Q307,Q307)=1,1,0))</f>
        <v>0</v>
      </c>
    </row>
    <row r="308" customFormat="false" ht="15" hidden="false" customHeight="false" outlineLevel="0" collapsed="false">
      <c r="A308" s="0" t="str">
        <f aca="false">IFERROR(MATCH(293,Apparitions!$N$1:$N$5001,0),"")</f>
        <v/>
      </c>
      <c r="B308" s="19" t="str">
        <f aca="false">IF($A308="","",INDEX(Apparitions!$A$1:$A$5001,$A308)&amp;"")</f>
        <v/>
      </c>
      <c r="C308" s="19" t="str">
        <f aca="false">IF($A308="","",INDEX(Apparitions!$B$1:$B$5001,$A308)&amp;"")</f>
        <v/>
      </c>
      <c r="D308" s="20" t="str">
        <f aca="false">IF($A308="","",INDEX(Apparitions!$L$1:$L$5001,$A308))</f>
        <v/>
      </c>
      <c r="E308" s="19" t="str">
        <f aca="false">IF($A308="","",INDEX(Apparitions!$C$1:$C$5001,$A308)&amp;"")</f>
        <v/>
      </c>
      <c r="F308" s="19" t="str">
        <f aca="false">IF($A308="","",INDEX(Apparitions!$H$1:$H$5001,$A308)&amp;"")</f>
        <v/>
      </c>
      <c r="G308" s="19" t="str">
        <f aca="false">IF($A308="","",INDEX(Apparitions!$I$1:$I$5001,$A308)&amp;"")</f>
        <v/>
      </c>
      <c r="H308" s="19" t="str">
        <f aca="false">IF($A308="","",INDEX(Apparitions!$J$1:$J$5001,$A308)&amp;"")</f>
        <v/>
      </c>
      <c r="I308" s="19" t="str">
        <f aca="false">IF($A308="","",INDEX(Apparitions!$G$1:$G$5001,$A308)&amp;"")</f>
        <v/>
      </c>
      <c r="J308" s="19" t="str">
        <f aca="false">IF($A308="","",INDEX(Apparitions!$M$1:$M$5001,$A308)&amp;"")</f>
        <v/>
      </c>
      <c r="K308" s="21" t="str">
        <f aca="false">IF($A308="","",INDEX(Apparitions!$K$1:$K$5001,$A308))</f>
        <v/>
      </c>
      <c r="L308" s="22" t="str">
        <f aca="false">IF($A308="","",INDEX(Apparitions!$E$1:$E$5001,$A308)&amp;"")</f>
        <v/>
      </c>
      <c r="M308" s="19" t="str">
        <f aca="false">IF($A308="","",INDEX(Apparitions!$F$1:$F$5001,$A308)&amp;"")</f>
        <v/>
      </c>
      <c r="O308" s="23" t="n">
        <f aca="false">IF(I308="",0,IF(COUNTIF(I$16:I308,I308)=1,1,0))</f>
        <v>0</v>
      </c>
      <c r="P308" s="23" t="n">
        <f aca="false">IF(F308="",0,IF(COUNTIF(F$16:F308,F308)=1,1,0))</f>
        <v>0</v>
      </c>
      <c r="Q308" s="0" t="str">
        <f aca="false">IF(B308="","",B308&amp;"|"&amp;C308)</f>
        <v/>
      </c>
      <c r="R308" s="23" t="n">
        <f aca="false">IF(Q308="",0,IF(COUNTIF(Q$16:Q308,Q308)=1,1,0))</f>
        <v>0</v>
      </c>
    </row>
    <row r="309" customFormat="false" ht="15" hidden="false" customHeight="false" outlineLevel="0" collapsed="false">
      <c r="A309" s="0" t="str">
        <f aca="false">IFERROR(MATCH(294,Apparitions!$N$1:$N$5001,0),"")</f>
        <v/>
      </c>
      <c r="B309" s="19" t="str">
        <f aca="false">IF($A309="","",INDEX(Apparitions!$A$1:$A$5001,$A309)&amp;"")</f>
        <v/>
      </c>
      <c r="C309" s="19" t="str">
        <f aca="false">IF($A309="","",INDEX(Apparitions!$B$1:$B$5001,$A309)&amp;"")</f>
        <v/>
      </c>
      <c r="D309" s="20" t="str">
        <f aca="false">IF($A309="","",INDEX(Apparitions!$L$1:$L$5001,$A309))</f>
        <v/>
      </c>
      <c r="E309" s="19" t="str">
        <f aca="false">IF($A309="","",INDEX(Apparitions!$C$1:$C$5001,$A309)&amp;"")</f>
        <v/>
      </c>
      <c r="F309" s="19" t="str">
        <f aca="false">IF($A309="","",INDEX(Apparitions!$H$1:$H$5001,$A309)&amp;"")</f>
        <v/>
      </c>
      <c r="G309" s="19" t="str">
        <f aca="false">IF($A309="","",INDEX(Apparitions!$I$1:$I$5001,$A309)&amp;"")</f>
        <v/>
      </c>
      <c r="H309" s="19" t="str">
        <f aca="false">IF($A309="","",INDEX(Apparitions!$J$1:$J$5001,$A309)&amp;"")</f>
        <v/>
      </c>
      <c r="I309" s="19" t="str">
        <f aca="false">IF($A309="","",INDEX(Apparitions!$G$1:$G$5001,$A309)&amp;"")</f>
        <v/>
      </c>
      <c r="J309" s="19" t="str">
        <f aca="false">IF($A309="","",INDEX(Apparitions!$M$1:$M$5001,$A309)&amp;"")</f>
        <v/>
      </c>
      <c r="K309" s="21" t="str">
        <f aca="false">IF($A309="","",INDEX(Apparitions!$K$1:$K$5001,$A309))</f>
        <v/>
      </c>
      <c r="L309" s="22" t="str">
        <f aca="false">IF($A309="","",INDEX(Apparitions!$E$1:$E$5001,$A309)&amp;"")</f>
        <v/>
      </c>
      <c r="M309" s="19" t="str">
        <f aca="false">IF($A309="","",INDEX(Apparitions!$F$1:$F$5001,$A309)&amp;"")</f>
        <v/>
      </c>
      <c r="O309" s="23" t="n">
        <f aca="false">IF(I309="",0,IF(COUNTIF(I$16:I309,I309)=1,1,0))</f>
        <v>0</v>
      </c>
      <c r="P309" s="23" t="n">
        <f aca="false">IF(F309="",0,IF(COUNTIF(F$16:F309,F309)=1,1,0))</f>
        <v>0</v>
      </c>
      <c r="Q309" s="0" t="str">
        <f aca="false">IF(B309="","",B309&amp;"|"&amp;C309)</f>
        <v/>
      </c>
      <c r="R309" s="23" t="n">
        <f aca="false">IF(Q309="",0,IF(COUNTIF(Q$16:Q309,Q309)=1,1,0))</f>
        <v>0</v>
      </c>
    </row>
    <row r="310" customFormat="false" ht="15" hidden="false" customHeight="false" outlineLevel="0" collapsed="false">
      <c r="A310" s="0" t="str">
        <f aca="false">IFERROR(MATCH(295,Apparitions!$N$1:$N$5001,0),"")</f>
        <v/>
      </c>
      <c r="B310" s="19" t="str">
        <f aca="false">IF($A310="","",INDEX(Apparitions!$A$1:$A$5001,$A310)&amp;"")</f>
        <v/>
      </c>
      <c r="C310" s="19" t="str">
        <f aca="false">IF($A310="","",INDEX(Apparitions!$B$1:$B$5001,$A310)&amp;"")</f>
        <v/>
      </c>
      <c r="D310" s="20" t="str">
        <f aca="false">IF($A310="","",INDEX(Apparitions!$L$1:$L$5001,$A310))</f>
        <v/>
      </c>
      <c r="E310" s="19" t="str">
        <f aca="false">IF($A310="","",INDEX(Apparitions!$C$1:$C$5001,$A310)&amp;"")</f>
        <v/>
      </c>
      <c r="F310" s="19" t="str">
        <f aca="false">IF($A310="","",INDEX(Apparitions!$H$1:$H$5001,$A310)&amp;"")</f>
        <v/>
      </c>
      <c r="G310" s="19" t="str">
        <f aca="false">IF($A310="","",INDEX(Apparitions!$I$1:$I$5001,$A310)&amp;"")</f>
        <v/>
      </c>
      <c r="H310" s="19" t="str">
        <f aca="false">IF($A310="","",INDEX(Apparitions!$J$1:$J$5001,$A310)&amp;"")</f>
        <v/>
      </c>
      <c r="I310" s="19" t="str">
        <f aca="false">IF($A310="","",INDEX(Apparitions!$G$1:$G$5001,$A310)&amp;"")</f>
        <v/>
      </c>
      <c r="J310" s="19" t="str">
        <f aca="false">IF($A310="","",INDEX(Apparitions!$M$1:$M$5001,$A310)&amp;"")</f>
        <v/>
      </c>
      <c r="K310" s="21" t="str">
        <f aca="false">IF($A310="","",INDEX(Apparitions!$K$1:$K$5001,$A310))</f>
        <v/>
      </c>
      <c r="L310" s="22" t="str">
        <f aca="false">IF($A310="","",INDEX(Apparitions!$E$1:$E$5001,$A310)&amp;"")</f>
        <v/>
      </c>
      <c r="M310" s="19" t="str">
        <f aca="false">IF($A310="","",INDEX(Apparitions!$F$1:$F$5001,$A310)&amp;"")</f>
        <v/>
      </c>
      <c r="O310" s="23" t="n">
        <f aca="false">IF(I310="",0,IF(COUNTIF(I$16:I310,I310)=1,1,0))</f>
        <v>0</v>
      </c>
      <c r="P310" s="23" t="n">
        <f aca="false">IF(F310="",0,IF(COUNTIF(F$16:F310,F310)=1,1,0))</f>
        <v>0</v>
      </c>
      <c r="Q310" s="0" t="str">
        <f aca="false">IF(B310="","",B310&amp;"|"&amp;C310)</f>
        <v/>
      </c>
      <c r="R310" s="23" t="n">
        <f aca="false">IF(Q310="",0,IF(COUNTIF(Q$16:Q310,Q310)=1,1,0))</f>
        <v>0</v>
      </c>
    </row>
    <row r="311" customFormat="false" ht="15" hidden="false" customHeight="false" outlineLevel="0" collapsed="false">
      <c r="A311" s="0" t="str">
        <f aca="false">IFERROR(MATCH(296,Apparitions!$N$1:$N$5001,0),"")</f>
        <v/>
      </c>
      <c r="B311" s="19" t="str">
        <f aca="false">IF($A311="","",INDEX(Apparitions!$A$1:$A$5001,$A311)&amp;"")</f>
        <v/>
      </c>
      <c r="C311" s="19" t="str">
        <f aca="false">IF($A311="","",INDEX(Apparitions!$B$1:$B$5001,$A311)&amp;"")</f>
        <v/>
      </c>
      <c r="D311" s="20" t="str">
        <f aca="false">IF($A311="","",INDEX(Apparitions!$L$1:$L$5001,$A311))</f>
        <v/>
      </c>
      <c r="E311" s="19" t="str">
        <f aca="false">IF($A311="","",INDEX(Apparitions!$C$1:$C$5001,$A311)&amp;"")</f>
        <v/>
      </c>
      <c r="F311" s="19" t="str">
        <f aca="false">IF($A311="","",INDEX(Apparitions!$H$1:$H$5001,$A311)&amp;"")</f>
        <v/>
      </c>
      <c r="G311" s="19" t="str">
        <f aca="false">IF($A311="","",INDEX(Apparitions!$I$1:$I$5001,$A311)&amp;"")</f>
        <v/>
      </c>
      <c r="H311" s="19" t="str">
        <f aca="false">IF($A311="","",INDEX(Apparitions!$J$1:$J$5001,$A311)&amp;"")</f>
        <v/>
      </c>
      <c r="I311" s="19" t="str">
        <f aca="false">IF($A311="","",INDEX(Apparitions!$G$1:$G$5001,$A311)&amp;"")</f>
        <v/>
      </c>
      <c r="J311" s="19" t="str">
        <f aca="false">IF($A311="","",INDEX(Apparitions!$M$1:$M$5001,$A311)&amp;"")</f>
        <v/>
      </c>
      <c r="K311" s="21" t="str">
        <f aca="false">IF($A311="","",INDEX(Apparitions!$K$1:$K$5001,$A311))</f>
        <v/>
      </c>
      <c r="L311" s="22" t="str">
        <f aca="false">IF($A311="","",INDEX(Apparitions!$E$1:$E$5001,$A311)&amp;"")</f>
        <v/>
      </c>
      <c r="M311" s="19" t="str">
        <f aca="false">IF($A311="","",INDEX(Apparitions!$F$1:$F$5001,$A311)&amp;"")</f>
        <v/>
      </c>
      <c r="O311" s="23" t="n">
        <f aca="false">IF(I311="",0,IF(COUNTIF(I$16:I311,I311)=1,1,0))</f>
        <v>0</v>
      </c>
      <c r="P311" s="23" t="n">
        <f aca="false">IF(F311="",0,IF(COUNTIF(F$16:F311,F311)=1,1,0))</f>
        <v>0</v>
      </c>
      <c r="Q311" s="0" t="str">
        <f aca="false">IF(B311="","",B311&amp;"|"&amp;C311)</f>
        <v/>
      </c>
      <c r="R311" s="23" t="n">
        <f aca="false">IF(Q311="",0,IF(COUNTIF(Q$16:Q311,Q311)=1,1,0))</f>
        <v>0</v>
      </c>
    </row>
    <row r="312" customFormat="false" ht="15" hidden="false" customHeight="false" outlineLevel="0" collapsed="false">
      <c r="A312" s="0" t="str">
        <f aca="false">IFERROR(MATCH(297,Apparitions!$N$1:$N$5001,0),"")</f>
        <v/>
      </c>
      <c r="B312" s="19" t="str">
        <f aca="false">IF($A312="","",INDEX(Apparitions!$A$1:$A$5001,$A312)&amp;"")</f>
        <v/>
      </c>
      <c r="C312" s="19" t="str">
        <f aca="false">IF($A312="","",INDEX(Apparitions!$B$1:$B$5001,$A312)&amp;"")</f>
        <v/>
      </c>
      <c r="D312" s="20" t="str">
        <f aca="false">IF($A312="","",INDEX(Apparitions!$L$1:$L$5001,$A312))</f>
        <v/>
      </c>
      <c r="E312" s="19" t="str">
        <f aca="false">IF($A312="","",INDEX(Apparitions!$C$1:$C$5001,$A312)&amp;"")</f>
        <v/>
      </c>
      <c r="F312" s="19" t="str">
        <f aca="false">IF($A312="","",INDEX(Apparitions!$H$1:$H$5001,$A312)&amp;"")</f>
        <v/>
      </c>
      <c r="G312" s="19" t="str">
        <f aca="false">IF($A312="","",INDEX(Apparitions!$I$1:$I$5001,$A312)&amp;"")</f>
        <v/>
      </c>
      <c r="H312" s="19" t="str">
        <f aca="false">IF($A312="","",INDEX(Apparitions!$J$1:$J$5001,$A312)&amp;"")</f>
        <v/>
      </c>
      <c r="I312" s="19" t="str">
        <f aca="false">IF($A312="","",INDEX(Apparitions!$G$1:$G$5001,$A312)&amp;"")</f>
        <v/>
      </c>
      <c r="J312" s="19" t="str">
        <f aca="false">IF($A312="","",INDEX(Apparitions!$M$1:$M$5001,$A312)&amp;"")</f>
        <v/>
      </c>
      <c r="K312" s="21" t="str">
        <f aca="false">IF($A312="","",INDEX(Apparitions!$K$1:$K$5001,$A312))</f>
        <v/>
      </c>
      <c r="L312" s="22" t="str">
        <f aca="false">IF($A312="","",INDEX(Apparitions!$E$1:$E$5001,$A312)&amp;"")</f>
        <v/>
      </c>
      <c r="M312" s="19" t="str">
        <f aca="false">IF($A312="","",INDEX(Apparitions!$F$1:$F$5001,$A312)&amp;"")</f>
        <v/>
      </c>
      <c r="O312" s="23" t="n">
        <f aca="false">IF(I312="",0,IF(COUNTIF(I$16:I312,I312)=1,1,0))</f>
        <v>0</v>
      </c>
      <c r="P312" s="23" t="n">
        <f aca="false">IF(F312="",0,IF(COUNTIF(F$16:F312,F312)=1,1,0))</f>
        <v>0</v>
      </c>
      <c r="Q312" s="0" t="str">
        <f aca="false">IF(B312="","",B312&amp;"|"&amp;C312)</f>
        <v/>
      </c>
      <c r="R312" s="23" t="n">
        <f aca="false">IF(Q312="",0,IF(COUNTIF(Q$16:Q312,Q312)=1,1,0))</f>
        <v>0</v>
      </c>
    </row>
    <row r="313" customFormat="false" ht="15" hidden="false" customHeight="false" outlineLevel="0" collapsed="false">
      <c r="A313" s="0" t="str">
        <f aca="false">IFERROR(MATCH(298,Apparitions!$N$1:$N$5001,0),"")</f>
        <v/>
      </c>
      <c r="B313" s="19" t="str">
        <f aca="false">IF($A313="","",INDEX(Apparitions!$A$1:$A$5001,$A313)&amp;"")</f>
        <v/>
      </c>
      <c r="C313" s="19" t="str">
        <f aca="false">IF($A313="","",INDEX(Apparitions!$B$1:$B$5001,$A313)&amp;"")</f>
        <v/>
      </c>
      <c r="D313" s="20" t="str">
        <f aca="false">IF($A313="","",INDEX(Apparitions!$L$1:$L$5001,$A313))</f>
        <v/>
      </c>
      <c r="E313" s="19" t="str">
        <f aca="false">IF($A313="","",INDEX(Apparitions!$C$1:$C$5001,$A313)&amp;"")</f>
        <v/>
      </c>
      <c r="F313" s="19" t="str">
        <f aca="false">IF($A313="","",INDEX(Apparitions!$H$1:$H$5001,$A313)&amp;"")</f>
        <v/>
      </c>
      <c r="G313" s="19" t="str">
        <f aca="false">IF($A313="","",INDEX(Apparitions!$I$1:$I$5001,$A313)&amp;"")</f>
        <v/>
      </c>
      <c r="H313" s="19" t="str">
        <f aca="false">IF($A313="","",INDEX(Apparitions!$J$1:$J$5001,$A313)&amp;"")</f>
        <v/>
      </c>
      <c r="I313" s="19" t="str">
        <f aca="false">IF($A313="","",INDEX(Apparitions!$G$1:$G$5001,$A313)&amp;"")</f>
        <v/>
      </c>
      <c r="J313" s="19" t="str">
        <f aca="false">IF($A313="","",INDEX(Apparitions!$M$1:$M$5001,$A313)&amp;"")</f>
        <v/>
      </c>
      <c r="K313" s="21" t="str">
        <f aca="false">IF($A313="","",INDEX(Apparitions!$K$1:$K$5001,$A313))</f>
        <v/>
      </c>
      <c r="L313" s="22" t="str">
        <f aca="false">IF($A313="","",INDEX(Apparitions!$E$1:$E$5001,$A313)&amp;"")</f>
        <v/>
      </c>
      <c r="M313" s="19" t="str">
        <f aca="false">IF($A313="","",INDEX(Apparitions!$F$1:$F$5001,$A313)&amp;"")</f>
        <v/>
      </c>
      <c r="O313" s="23" t="n">
        <f aca="false">IF(I313="",0,IF(COUNTIF(I$16:I313,I313)=1,1,0))</f>
        <v>0</v>
      </c>
      <c r="P313" s="23" t="n">
        <f aca="false">IF(F313="",0,IF(COUNTIF(F$16:F313,F313)=1,1,0))</f>
        <v>0</v>
      </c>
      <c r="Q313" s="0" t="str">
        <f aca="false">IF(B313="","",B313&amp;"|"&amp;C313)</f>
        <v/>
      </c>
      <c r="R313" s="23" t="n">
        <f aca="false">IF(Q313="",0,IF(COUNTIF(Q$16:Q313,Q313)=1,1,0))</f>
        <v>0</v>
      </c>
    </row>
    <row r="314" customFormat="false" ht="15" hidden="false" customHeight="false" outlineLevel="0" collapsed="false">
      <c r="A314" s="0" t="str">
        <f aca="false">IFERROR(MATCH(299,Apparitions!$N$1:$N$5001,0),"")</f>
        <v/>
      </c>
      <c r="B314" s="19" t="str">
        <f aca="false">IF($A314="","",INDEX(Apparitions!$A$1:$A$5001,$A314)&amp;"")</f>
        <v/>
      </c>
      <c r="C314" s="19" t="str">
        <f aca="false">IF($A314="","",INDEX(Apparitions!$B$1:$B$5001,$A314)&amp;"")</f>
        <v/>
      </c>
      <c r="D314" s="20" t="str">
        <f aca="false">IF($A314="","",INDEX(Apparitions!$L$1:$L$5001,$A314))</f>
        <v/>
      </c>
      <c r="E314" s="19" t="str">
        <f aca="false">IF($A314="","",INDEX(Apparitions!$C$1:$C$5001,$A314)&amp;"")</f>
        <v/>
      </c>
      <c r="F314" s="19" t="str">
        <f aca="false">IF($A314="","",INDEX(Apparitions!$H$1:$H$5001,$A314)&amp;"")</f>
        <v/>
      </c>
      <c r="G314" s="19" t="str">
        <f aca="false">IF($A314="","",INDEX(Apparitions!$I$1:$I$5001,$A314)&amp;"")</f>
        <v/>
      </c>
      <c r="H314" s="19" t="str">
        <f aca="false">IF($A314="","",INDEX(Apparitions!$J$1:$J$5001,$A314)&amp;"")</f>
        <v/>
      </c>
      <c r="I314" s="19" t="str">
        <f aca="false">IF($A314="","",INDEX(Apparitions!$G$1:$G$5001,$A314)&amp;"")</f>
        <v/>
      </c>
      <c r="J314" s="19" t="str">
        <f aca="false">IF($A314="","",INDEX(Apparitions!$M$1:$M$5001,$A314)&amp;"")</f>
        <v/>
      </c>
      <c r="K314" s="21" t="str">
        <f aca="false">IF($A314="","",INDEX(Apparitions!$K$1:$K$5001,$A314))</f>
        <v/>
      </c>
      <c r="L314" s="22" t="str">
        <f aca="false">IF($A314="","",INDEX(Apparitions!$E$1:$E$5001,$A314)&amp;"")</f>
        <v/>
      </c>
      <c r="M314" s="19" t="str">
        <f aca="false">IF($A314="","",INDEX(Apparitions!$F$1:$F$5001,$A314)&amp;"")</f>
        <v/>
      </c>
      <c r="O314" s="23" t="n">
        <f aca="false">IF(I314="",0,IF(COUNTIF(I$16:I314,I314)=1,1,0))</f>
        <v>0</v>
      </c>
      <c r="P314" s="23" t="n">
        <f aca="false">IF(F314="",0,IF(COUNTIF(F$16:F314,F314)=1,1,0))</f>
        <v>0</v>
      </c>
      <c r="Q314" s="0" t="str">
        <f aca="false">IF(B314="","",B314&amp;"|"&amp;C314)</f>
        <v/>
      </c>
      <c r="R314" s="23" t="n">
        <f aca="false">IF(Q314="",0,IF(COUNTIF(Q$16:Q314,Q314)=1,1,0))</f>
        <v>0</v>
      </c>
    </row>
    <row r="315" customFormat="false" ht="15" hidden="false" customHeight="false" outlineLevel="0" collapsed="false">
      <c r="A315" s="0" t="str">
        <f aca="false">IFERROR(MATCH(300,Apparitions!$N$1:$N$5001,0),"")</f>
        <v/>
      </c>
      <c r="B315" s="19" t="str">
        <f aca="false">IF($A315="","",INDEX(Apparitions!$A$1:$A$5001,$A315)&amp;"")</f>
        <v/>
      </c>
      <c r="C315" s="19" t="str">
        <f aca="false">IF($A315="","",INDEX(Apparitions!$B$1:$B$5001,$A315)&amp;"")</f>
        <v/>
      </c>
      <c r="D315" s="20" t="str">
        <f aca="false">IF($A315="","",INDEX(Apparitions!$L$1:$L$5001,$A315))</f>
        <v/>
      </c>
      <c r="E315" s="19" t="str">
        <f aca="false">IF($A315="","",INDEX(Apparitions!$C$1:$C$5001,$A315)&amp;"")</f>
        <v/>
      </c>
      <c r="F315" s="19" t="str">
        <f aca="false">IF($A315="","",INDEX(Apparitions!$H$1:$H$5001,$A315)&amp;"")</f>
        <v/>
      </c>
      <c r="G315" s="19" t="str">
        <f aca="false">IF($A315="","",INDEX(Apparitions!$I$1:$I$5001,$A315)&amp;"")</f>
        <v/>
      </c>
      <c r="H315" s="19" t="str">
        <f aca="false">IF($A315="","",INDEX(Apparitions!$J$1:$J$5001,$A315)&amp;"")</f>
        <v/>
      </c>
      <c r="I315" s="19" t="str">
        <f aca="false">IF($A315="","",INDEX(Apparitions!$G$1:$G$5001,$A315)&amp;"")</f>
        <v/>
      </c>
      <c r="J315" s="19" t="str">
        <f aca="false">IF($A315="","",INDEX(Apparitions!$M$1:$M$5001,$A315)&amp;"")</f>
        <v/>
      </c>
      <c r="K315" s="21" t="str">
        <f aca="false">IF($A315="","",INDEX(Apparitions!$K$1:$K$5001,$A315))</f>
        <v/>
      </c>
      <c r="L315" s="22" t="str">
        <f aca="false">IF($A315="","",INDEX(Apparitions!$E$1:$E$5001,$A315)&amp;"")</f>
        <v/>
      </c>
      <c r="M315" s="19" t="str">
        <f aca="false">IF($A315="","",INDEX(Apparitions!$F$1:$F$5001,$A315)&amp;"")</f>
        <v/>
      </c>
      <c r="O315" s="23" t="n">
        <f aca="false">IF(I315="",0,IF(COUNTIF(I$16:I315,I315)=1,1,0))</f>
        <v>0</v>
      </c>
      <c r="P315" s="23" t="n">
        <f aca="false">IF(F315="",0,IF(COUNTIF(F$16:F315,F315)=1,1,0))</f>
        <v>0</v>
      </c>
      <c r="Q315" s="0" t="str">
        <f aca="false">IF(B315="","",B315&amp;"|"&amp;C315)</f>
        <v/>
      </c>
      <c r="R315" s="23" t="n">
        <f aca="false">IF(Q315="",0,IF(COUNTIF(Q$16:Q315,Q315)=1,1,0))</f>
        <v>0</v>
      </c>
    </row>
    <row r="316" customFormat="false" ht="15" hidden="false" customHeight="false" outlineLevel="0" collapsed="false">
      <c r="A316" s="0" t="str">
        <f aca="false">IFERROR(MATCH(301,Apparitions!$N$1:$N$5001,0),"")</f>
        <v/>
      </c>
      <c r="B316" s="19" t="str">
        <f aca="false">IF($A316="","",INDEX(Apparitions!$A$1:$A$5001,$A316)&amp;"")</f>
        <v/>
      </c>
      <c r="C316" s="19" t="str">
        <f aca="false">IF($A316="","",INDEX(Apparitions!$B$1:$B$5001,$A316)&amp;"")</f>
        <v/>
      </c>
      <c r="D316" s="20" t="str">
        <f aca="false">IF($A316="","",INDEX(Apparitions!$L$1:$L$5001,$A316))</f>
        <v/>
      </c>
      <c r="E316" s="19" t="str">
        <f aca="false">IF($A316="","",INDEX(Apparitions!$C$1:$C$5001,$A316)&amp;"")</f>
        <v/>
      </c>
      <c r="F316" s="19" t="str">
        <f aca="false">IF($A316="","",INDEX(Apparitions!$H$1:$H$5001,$A316)&amp;"")</f>
        <v/>
      </c>
      <c r="G316" s="19" t="str">
        <f aca="false">IF($A316="","",INDEX(Apparitions!$I$1:$I$5001,$A316)&amp;"")</f>
        <v/>
      </c>
      <c r="H316" s="19" t="str">
        <f aca="false">IF($A316="","",INDEX(Apparitions!$J$1:$J$5001,$A316)&amp;"")</f>
        <v/>
      </c>
      <c r="I316" s="19" t="str">
        <f aca="false">IF($A316="","",INDEX(Apparitions!$G$1:$G$5001,$A316)&amp;"")</f>
        <v/>
      </c>
      <c r="J316" s="19" t="str">
        <f aca="false">IF($A316="","",INDEX(Apparitions!$M$1:$M$5001,$A316)&amp;"")</f>
        <v/>
      </c>
      <c r="K316" s="21" t="str">
        <f aca="false">IF($A316="","",INDEX(Apparitions!$K$1:$K$5001,$A316))</f>
        <v/>
      </c>
      <c r="L316" s="22" t="str">
        <f aca="false">IF($A316="","",INDEX(Apparitions!$E$1:$E$5001,$A316)&amp;"")</f>
        <v/>
      </c>
      <c r="M316" s="19" t="str">
        <f aca="false">IF($A316="","",INDEX(Apparitions!$F$1:$F$5001,$A316)&amp;"")</f>
        <v/>
      </c>
      <c r="O316" s="23" t="n">
        <f aca="false">IF(I316="",0,IF(COUNTIF(I$16:I316,I316)=1,1,0))</f>
        <v>0</v>
      </c>
      <c r="P316" s="23" t="n">
        <f aca="false">IF(F316="",0,IF(COUNTIF(F$16:F316,F316)=1,1,0))</f>
        <v>0</v>
      </c>
      <c r="Q316" s="0" t="str">
        <f aca="false">IF(B316="","",B316&amp;"|"&amp;C316)</f>
        <v/>
      </c>
      <c r="R316" s="23" t="n">
        <f aca="false">IF(Q316="",0,IF(COUNTIF(Q$16:Q316,Q316)=1,1,0))</f>
        <v>0</v>
      </c>
    </row>
    <row r="317" customFormat="false" ht="15" hidden="false" customHeight="false" outlineLevel="0" collapsed="false">
      <c r="A317" s="0" t="str">
        <f aca="false">IFERROR(MATCH(302,Apparitions!$N$1:$N$5001,0),"")</f>
        <v/>
      </c>
      <c r="B317" s="19" t="str">
        <f aca="false">IF($A317="","",INDEX(Apparitions!$A$1:$A$5001,$A317)&amp;"")</f>
        <v/>
      </c>
      <c r="C317" s="19" t="str">
        <f aca="false">IF($A317="","",INDEX(Apparitions!$B$1:$B$5001,$A317)&amp;"")</f>
        <v/>
      </c>
      <c r="D317" s="20" t="str">
        <f aca="false">IF($A317="","",INDEX(Apparitions!$L$1:$L$5001,$A317))</f>
        <v/>
      </c>
      <c r="E317" s="19" t="str">
        <f aca="false">IF($A317="","",INDEX(Apparitions!$C$1:$C$5001,$A317)&amp;"")</f>
        <v/>
      </c>
      <c r="F317" s="19" t="str">
        <f aca="false">IF($A317="","",INDEX(Apparitions!$H$1:$H$5001,$A317)&amp;"")</f>
        <v/>
      </c>
      <c r="G317" s="19" t="str">
        <f aca="false">IF($A317="","",INDEX(Apparitions!$I$1:$I$5001,$A317)&amp;"")</f>
        <v/>
      </c>
      <c r="H317" s="19" t="str">
        <f aca="false">IF($A317="","",INDEX(Apparitions!$J$1:$J$5001,$A317)&amp;"")</f>
        <v/>
      </c>
      <c r="I317" s="19" t="str">
        <f aca="false">IF($A317="","",INDEX(Apparitions!$G$1:$G$5001,$A317)&amp;"")</f>
        <v/>
      </c>
      <c r="J317" s="19" t="str">
        <f aca="false">IF($A317="","",INDEX(Apparitions!$M$1:$M$5001,$A317)&amp;"")</f>
        <v/>
      </c>
      <c r="K317" s="21" t="str">
        <f aca="false">IF($A317="","",INDEX(Apparitions!$K$1:$K$5001,$A317))</f>
        <v/>
      </c>
      <c r="L317" s="22" t="str">
        <f aca="false">IF($A317="","",INDEX(Apparitions!$E$1:$E$5001,$A317)&amp;"")</f>
        <v/>
      </c>
      <c r="M317" s="19" t="str">
        <f aca="false">IF($A317="","",INDEX(Apparitions!$F$1:$F$5001,$A317)&amp;"")</f>
        <v/>
      </c>
      <c r="O317" s="23" t="n">
        <f aca="false">IF(I317="",0,IF(COUNTIF(I$16:I317,I317)=1,1,0))</f>
        <v>0</v>
      </c>
      <c r="P317" s="23" t="n">
        <f aca="false">IF(F317="",0,IF(COUNTIF(F$16:F317,F317)=1,1,0))</f>
        <v>0</v>
      </c>
      <c r="Q317" s="0" t="str">
        <f aca="false">IF(B317="","",B317&amp;"|"&amp;C317)</f>
        <v/>
      </c>
      <c r="R317" s="23" t="n">
        <f aca="false">IF(Q317="",0,IF(COUNTIF(Q$16:Q317,Q317)=1,1,0))</f>
        <v>0</v>
      </c>
    </row>
    <row r="318" customFormat="false" ht="15" hidden="false" customHeight="false" outlineLevel="0" collapsed="false">
      <c r="A318" s="0" t="str">
        <f aca="false">IFERROR(MATCH(303,Apparitions!$N$1:$N$5001,0),"")</f>
        <v/>
      </c>
      <c r="B318" s="19" t="str">
        <f aca="false">IF($A318="","",INDEX(Apparitions!$A$1:$A$5001,$A318)&amp;"")</f>
        <v/>
      </c>
      <c r="C318" s="19" t="str">
        <f aca="false">IF($A318="","",INDEX(Apparitions!$B$1:$B$5001,$A318)&amp;"")</f>
        <v/>
      </c>
      <c r="D318" s="20" t="str">
        <f aca="false">IF($A318="","",INDEX(Apparitions!$L$1:$L$5001,$A318))</f>
        <v/>
      </c>
      <c r="E318" s="19" t="str">
        <f aca="false">IF($A318="","",INDEX(Apparitions!$C$1:$C$5001,$A318)&amp;"")</f>
        <v/>
      </c>
      <c r="F318" s="19" t="str">
        <f aca="false">IF($A318="","",INDEX(Apparitions!$H$1:$H$5001,$A318)&amp;"")</f>
        <v/>
      </c>
      <c r="G318" s="19" t="str">
        <f aca="false">IF($A318="","",INDEX(Apparitions!$I$1:$I$5001,$A318)&amp;"")</f>
        <v/>
      </c>
      <c r="H318" s="19" t="str">
        <f aca="false">IF($A318="","",INDEX(Apparitions!$J$1:$J$5001,$A318)&amp;"")</f>
        <v/>
      </c>
      <c r="I318" s="19" t="str">
        <f aca="false">IF($A318="","",INDEX(Apparitions!$G$1:$G$5001,$A318)&amp;"")</f>
        <v/>
      </c>
      <c r="J318" s="19" t="str">
        <f aca="false">IF($A318="","",INDEX(Apparitions!$M$1:$M$5001,$A318)&amp;"")</f>
        <v/>
      </c>
      <c r="K318" s="21" t="str">
        <f aca="false">IF($A318="","",INDEX(Apparitions!$K$1:$K$5001,$A318))</f>
        <v/>
      </c>
      <c r="L318" s="22" t="str">
        <f aca="false">IF($A318="","",INDEX(Apparitions!$E$1:$E$5001,$A318)&amp;"")</f>
        <v/>
      </c>
      <c r="M318" s="19" t="str">
        <f aca="false">IF($A318="","",INDEX(Apparitions!$F$1:$F$5001,$A318)&amp;"")</f>
        <v/>
      </c>
      <c r="O318" s="23" t="n">
        <f aca="false">IF(I318="",0,IF(COUNTIF(I$16:I318,I318)=1,1,0))</f>
        <v>0</v>
      </c>
      <c r="P318" s="23" t="n">
        <f aca="false">IF(F318="",0,IF(COUNTIF(F$16:F318,F318)=1,1,0))</f>
        <v>0</v>
      </c>
      <c r="Q318" s="0" t="str">
        <f aca="false">IF(B318="","",B318&amp;"|"&amp;C318)</f>
        <v/>
      </c>
      <c r="R318" s="23" t="n">
        <f aca="false">IF(Q318="",0,IF(COUNTIF(Q$16:Q318,Q318)=1,1,0))</f>
        <v>0</v>
      </c>
    </row>
    <row r="319" customFormat="false" ht="15" hidden="false" customHeight="false" outlineLevel="0" collapsed="false">
      <c r="A319" s="0" t="str">
        <f aca="false">IFERROR(MATCH(304,Apparitions!$N$1:$N$5001,0),"")</f>
        <v/>
      </c>
      <c r="B319" s="19" t="str">
        <f aca="false">IF($A319="","",INDEX(Apparitions!$A$1:$A$5001,$A319)&amp;"")</f>
        <v/>
      </c>
      <c r="C319" s="19" t="str">
        <f aca="false">IF($A319="","",INDEX(Apparitions!$B$1:$B$5001,$A319)&amp;"")</f>
        <v/>
      </c>
      <c r="D319" s="20" t="str">
        <f aca="false">IF($A319="","",INDEX(Apparitions!$L$1:$L$5001,$A319))</f>
        <v/>
      </c>
      <c r="E319" s="19" t="str">
        <f aca="false">IF($A319="","",INDEX(Apparitions!$C$1:$C$5001,$A319)&amp;"")</f>
        <v/>
      </c>
      <c r="F319" s="19" t="str">
        <f aca="false">IF($A319="","",INDEX(Apparitions!$H$1:$H$5001,$A319)&amp;"")</f>
        <v/>
      </c>
      <c r="G319" s="19" t="str">
        <f aca="false">IF($A319="","",INDEX(Apparitions!$I$1:$I$5001,$A319)&amp;"")</f>
        <v/>
      </c>
      <c r="H319" s="19" t="str">
        <f aca="false">IF($A319="","",INDEX(Apparitions!$J$1:$J$5001,$A319)&amp;"")</f>
        <v/>
      </c>
      <c r="I319" s="19" t="str">
        <f aca="false">IF($A319="","",INDEX(Apparitions!$G$1:$G$5001,$A319)&amp;"")</f>
        <v/>
      </c>
      <c r="J319" s="19" t="str">
        <f aca="false">IF($A319="","",INDEX(Apparitions!$M$1:$M$5001,$A319)&amp;"")</f>
        <v/>
      </c>
      <c r="K319" s="21" t="str">
        <f aca="false">IF($A319="","",INDEX(Apparitions!$K$1:$K$5001,$A319))</f>
        <v/>
      </c>
      <c r="L319" s="22" t="str">
        <f aca="false">IF($A319="","",INDEX(Apparitions!$E$1:$E$5001,$A319)&amp;"")</f>
        <v/>
      </c>
      <c r="M319" s="19" t="str">
        <f aca="false">IF($A319="","",INDEX(Apparitions!$F$1:$F$5001,$A319)&amp;"")</f>
        <v/>
      </c>
      <c r="O319" s="23" t="n">
        <f aca="false">IF(I319="",0,IF(COUNTIF(I$16:I319,I319)=1,1,0))</f>
        <v>0</v>
      </c>
      <c r="P319" s="23" t="n">
        <f aca="false">IF(F319="",0,IF(COUNTIF(F$16:F319,F319)=1,1,0))</f>
        <v>0</v>
      </c>
      <c r="Q319" s="0" t="str">
        <f aca="false">IF(B319="","",B319&amp;"|"&amp;C319)</f>
        <v/>
      </c>
      <c r="R319" s="23" t="n">
        <f aca="false">IF(Q319="",0,IF(COUNTIF(Q$16:Q319,Q319)=1,1,0))</f>
        <v>0</v>
      </c>
    </row>
    <row r="320" customFormat="false" ht="15" hidden="false" customHeight="false" outlineLevel="0" collapsed="false">
      <c r="A320" s="0" t="str">
        <f aca="false">IFERROR(MATCH(305,Apparitions!$N$1:$N$5001,0),"")</f>
        <v/>
      </c>
      <c r="B320" s="19" t="str">
        <f aca="false">IF($A320="","",INDEX(Apparitions!$A$1:$A$5001,$A320)&amp;"")</f>
        <v/>
      </c>
      <c r="C320" s="19" t="str">
        <f aca="false">IF($A320="","",INDEX(Apparitions!$B$1:$B$5001,$A320)&amp;"")</f>
        <v/>
      </c>
      <c r="D320" s="20" t="str">
        <f aca="false">IF($A320="","",INDEX(Apparitions!$L$1:$L$5001,$A320))</f>
        <v/>
      </c>
      <c r="E320" s="19" t="str">
        <f aca="false">IF($A320="","",INDEX(Apparitions!$C$1:$C$5001,$A320)&amp;"")</f>
        <v/>
      </c>
      <c r="F320" s="19" t="str">
        <f aca="false">IF($A320="","",INDEX(Apparitions!$H$1:$H$5001,$A320)&amp;"")</f>
        <v/>
      </c>
      <c r="G320" s="19" t="str">
        <f aca="false">IF($A320="","",INDEX(Apparitions!$I$1:$I$5001,$A320)&amp;"")</f>
        <v/>
      </c>
      <c r="H320" s="19" t="str">
        <f aca="false">IF($A320="","",INDEX(Apparitions!$J$1:$J$5001,$A320)&amp;"")</f>
        <v/>
      </c>
      <c r="I320" s="19" t="str">
        <f aca="false">IF($A320="","",INDEX(Apparitions!$G$1:$G$5001,$A320)&amp;"")</f>
        <v/>
      </c>
      <c r="J320" s="19" t="str">
        <f aca="false">IF($A320="","",INDEX(Apparitions!$M$1:$M$5001,$A320)&amp;"")</f>
        <v/>
      </c>
      <c r="K320" s="21" t="str">
        <f aca="false">IF($A320="","",INDEX(Apparitions!$K$1:$K$5001,$A320))</f>
        <v/>
      </c>
      <c r="L320" s="22" t="str">
        <f aca="false">IF($A320="","",INDEX(Apparitions!$E$1:$E$5001,$A320)&amp;"")</f>
        <v/>
      </c>
      <c r="M320" s="19" t="str">
        <f aca="false">IF($A320="","",INDEX(Apparitions!$F$1:$F$5001,$A320)&amp;"")</f>
        <v/>
      </c>
      <c r="O320" s="23" t="n">
        <f aca="false">IF(I320="",0,IF(COUNTIF(I$16:I320,I320)=1,1,0))</f>
        <v>0</v>
      </c>
      <c r="P320" s="23" t="n">
        <f aca="false">IF(F320="",0,IF(COUNTIF(F$16:F320,F320)=1,1,0))</f>
        <v>0</v>
      </c>
      <c r="Q320" s="0" t="str">
        <f aca="false">IF(B320="","",B320&amp;"|"&amp;C320)</f>
        <v/>
      </c>
      <c r="R320" s="23" t="n">
        <f aca="false">IF(Q320="",0,IF(COUNTIF(Q$16:Q320,Q320)=1,1,0))</f>
        <v>0</v>
      </c>
    </row>
    <row r="321" customFormat="false" ht="15" hidden="false" customHeight="false" outlineLevel="0" collapsed="false">
      <c r="A321" s="0" t="str">
        <f aca="false">IFERROR(MATCH(306,Apparitions!$N$1:$N$5001,0),"")</f>
        <v/>
      </c>
      <c r="B321" s="19" t="str">
        <f aca="false">IF($A321="","",INDEX(Apparitions!$A$1:$A$5001,$A321)&amp;"")</f>
        <v/>
      </c>
      <c r="C321" s="19" t="str">
        <f aca="false">IF($A321="","",INDEX(Apparitions!$B$1:$B$5001,$A321)&amp;"")</f>
        <v/>
      </c>
      <c r="D321" s="20" t="str">
        <f aca="false">IF($A321="","",INDEX(Apparitions!$L$1:$L$5001,$A321))</f>
        <v/>
      </c>
      <c r="E321" s="19" t="str">
        <f aca="false">IF($A321="","",INDEX(Apparitions!$C$1:$C$5001,$A321)&amp;"")</f>
        <v/>
      </c>
      <c r="F321" s="19" t="str">
        <f aca="false">IF($A321="","",INDEX(Apparitions!$H$1:$H$5001,$A321)&amp;"")</f>
        <v/>
      </c>
      <c r="G321" s="19" t="str">
        <f aca="false">IF($A321="","",INDEX(Apparitions!$I$1:$I$5001,$A321)&amp;"")</f>
        <v/>
      </c>
      <c r="H321" s="19" t="str">
        <f aca="false">IF($A321="","",INDEX(Apparitions!$J$1:$J$5001,$A321)&amp;"")</f>
        <v/>
      </c>
      <c r="I321" s="19" t="str">
        <f aca="false">IF($A321="","",INDEX(Apparitions!$G$1:$G$5001,$A321)&amp;"")</f>
        <v/>
      </c>
      <c r="J321" s="19" t="str">
        <f aca="false">IF($A321="","",INDEX(Apparitions!$M$1:$M$5001,$A321)&amp;"")</f>
        <v/>
      </c>
      <c r="K321" s="21" t="str">
        <f aca="false">IF($A321="","",INDEX(Apparitions!$K$1:$K$5001,$A321))</f>
        <v/>
      </c>
      <c r="L321" s="22" t="str">
        <f aca="false">IF($A321="","",INDEX(Apparitions!$E$1:$E$5001,$A321)&amp;"")</f>
        <v/>
      </c>
      <c r="M321" s="19" t="str">
        <f aca="false">IF($A321="","",INDEX(Apparitions!$F$1:$F$5001,$A321)&amp;"")</f>
        <v/>
      </c>
      <c r="O321" s="23" t="n">
        <f aca="false">IF(I321="",0,IF(COUNTIF(I$16:I321,I321)=1,1,0))</f>
        <v>0</v>
      </c>
      <c r="P321" s="23" t="n">
        <f aca="false">IF(F321="",0,IF(COUNTIF(F$16:F321,F321)=1,1,0))</f>
        <v>0</v>
      </c>
      <c r="Q321" s="0" t="str">
        <f aca="false">IF(B321="","",B321&amp;"|"&amp;C321)</f>
        <v/>
      </c>
      <c r="R321" s="23" t="n">
        <f aca="false">IF(Q321="",0,IF(COUNTIF(Q$16:Q321,Q321)=1,1,0))</f>
        <v>0</v>
      </c>
    </row>
    <row r="322" customFormat="false" ht="15" hidden="false" customHeight="false" outlineLevel="0" collapsed="false">
      <c r="A322" s="0" t="str">
        <f aca="false">IFERROR(MATCH(307,Apparitions!$N$1:$N$5001,0),"")</f>
        <v/>
      </c>
      <c r="B322" s="19" t="str">
        <f aca="false">IF($A322="","",INDEX(Apparitions!$A$1:$A$5001,$A322)&amp;"")</f>
        <v/>
      </c>
      <c r="C322" s="19" t="str">
        <f aca="false">IF($A322="","",INDEX(Apparitions!$B$1:$B$5001,$A322)&amp;"")</f>
        <v/>
      </c>
      <c r="D322" s="20" t="str">
        <f aca="false">IF($A322="","",INDEX(Apparitions!$L$1:$L$5001,$A322))</f>
        <v/>
      </c>
      <c r="E322" s="19" t="str">
        <f aca="false">IF($A322="","",INDEX(Apparitions!$C$1:$C$5001,$A322)&amp;"")</f>
        <v/>
      </c>
      <c r="F322" s="19" t="str">
        <f aca="false">IF($A322="","",INDEX(Apparitions!$H$1:$H$5001,$A322)&amp;"")</f>
        <v/>
      </c>
      <c r="G322" s="19" t="str">
        <f aca="false">IF($A322="","",INDEX(Apparitions!$I$1:$I$5001,$A322)&amp;"")</f>
        <v/>
      </c>
      <c r="H322" s="19" t="str">
        <f aca="false">IF($A322="","",INDEX(Apparitions!$J$1:$J$5001,$A322)&amp;"")</f>
        <v/>
      </c>
      <c r="I322" s="19" t="str">
        <f aca="false">IF($A322="","",INDEX(Apparitions!$G$1:$G$5001,$A322)&amp;"")</f>
        <v/>
      </c>
      <c r="J322" s="19" t="str">
        <f aca="false">IF($A322="","",INDEX(Apparitions!$M$1:$M$5001,$A322)&amp;"")</f>
        <v/>
      </c>
      <c r="K322" s="21" t="str">
        <f aca="false">IF($A322="","",INDEX(Apparitions!$K$1:$K$5001,$A322))</f>
        <v/>
      </c>
      <c r="L322" s="22" t="str">
        <f aca="false">IF($A322="","",INDEX(Apparitions!$E$1:$E$5001,$A322)&amp;"")</f>
        <v/>
      </c>
      <c r="M322" s="19" t="str">
        <f aca="false">IF($A322="","",INDEX(Apparitions!$F$1:$F$5001,$A322)&amp;"")</f>
        <v/>
      </c>
      <c r="O322" s="23" t="n">
        <f aca="false">IF(I322="",0,IF(COUNTIF(I$16:I322,I322)=1,1,0))</f>
        <v>0</v>
      </c>
      <c r="P322" s="23" t="n">
        <f aca="false">IF(F322="",0,IF(COUNTIF(F$16:F322,F322)=1,1,0))</f>
        <v>0</v>
      </c>
      <c r="Q322" s="0" t="str">
        <f aca="false">IF(B322="","",B322&amp;"|"&amp;C322)</f>
        <v/>
      </c>
      <c r="R322" s="23" t="n">
        <f aca="false">IF(Q322="",0,IF(COUNTIF(Q$16:Q322,Q322)=1,1,0))</f>
        <v>0</v>
      </c>
    </row>
    <row r="323" customFormat="false" ht="15" hidden="false" customHeight="false" outlineLevel="0" collapsed="false">
      <c r="A323" s="0" t="str">
        <f aca="false">IFERROR(MATCH(308,Apparitions!$N$1:$N$5001,0),"")</f>
        <v/>
      </c>
      <c r="B323" s="19" t="str">
        <f aca="false">IF($A323="","",INDEX(Apparitions!$A$1:$A$5001,$A323)&amp;"")</f>
        <v/>
      </c>
      <c r="C323" s="19" t="str">
        <f aca="false">IF($A323="","",INDEX(Apparitions!$B$1:$B$5001,$A323)&amp;"")</f>
        <v/>
      </c>
      <c r="D323" s="20" t="str">
        <f aca="false">IF($A323="","",INDEX(Apparitions!$L$1:$L$5001,$A323))</f>
        <v/>
      </c>
      <c r="E323" s="19" t="str">
        <f aca="false">IF($A323="","",INDEX(Apparitions!$C$1:$C$5001,$A323)&amp;"")</f>
        <v/>
      </c>
      <c r="F323" s="19" t="str">
        <f aca="false">IF($A323="","",INDEX(Apparitions!$H$1:$H$5001,$A323)&amp;"")</f>
        <v/>
      </c>
      <c r="G323" s="19" t="str">
        <f aca="false">IF($A323="","",INDEX(Apparitions!$I$1:$I$5001,$A323)&amp;"")</f>
        <v/>
      </c>
      <c r="H323" s="19" t="str">
        <f aca="false">IF($A323="","",INDEX(Apparitions!$J$1:$J$5001,$A323)&amp;"")</f>
        <v/>
      </c>
      <c r="I323" s="19" t="str">
        <f aca="false">IF($A323="","",INDEX(Apparitions!$G$1:$G$5001,$A323)&amp;"")</f>
        <v/>
      </c>
      <c r="J323" s="19" t="str">
        <f aca="false">IF($A323="","",INDEX(Apparitions!$M$1:$M$5001,$A323)&amp;"")</f>
        <v/>
      </c>
      <c r="K323" s="21" t="str">
        <f aca="false">IF($A323="","",INDEX(Apparitions!$K$1:$K$5001,$A323))</f>
        <v/>
      </c>
      <c r="L323" s="22" t="str">
        <f aca="false">IF($A323="","",INDEX(Apparitions!$E$1:$E$5001,$A323)&amp;"")</f>
        <v/>
      </c>
      <c r="M323" s="19" t="str">
        <f aca="false">IF($A323="","",INDEX(Apparitions!$F$1:$F$5001,$A323)&amp;"")</f>
        <v/>
      </c>
      <c r="O323" s="23" t="n">
        <f aca="false">IF(I323="",0,IF(COUNTIF(I$16:I323,I323)=1,1,0))</f>
        <v>0</v>
      </c>
      <c r="P323" s="23" t="n">
        <f aca="false">IF(F323="",0,IF(COUNTIF(F$16:F323,F323)=1,1,0))</f>
        <v>0</v>
      </c>
      <c r="Q323" s="0" t="str">
        <f aca="false">IF(B323="","",B323&amp;"|"&amp;C323)</f>
        <v/>
      </c>
      <c r="R323" s="23" t="n">
        <f aca="false">IF(Q323="",0,IF(COUNTIF(Q$16:Q323,Q323)=1,1,0))</f>
        <v>0</v>
      </c>
    </row>
    <row r="324" customFormat="false" ht="15" hidden="false" customHeight="false" outlineLevel="0" collapsed="false">
      <c r="A324" s="0" t="str">
        <f aca="false">IFERROR(MATCH(309,Apparitions!$N$1:$N$5001,0),"")</f>
        <v/>
      </c>
      <c r="B324" s="19" t="str">
        <f aca="false">IF($A324="","",INDEX(Apparitions!$A$1:$A$5001,$A324)&amp;"")</f>
        <v/>
      </c>
      <c r="C324" s="19" t="str">
        <f aca="false">IF($A324="","",INDEX(Apparitions!$B$1:$B$5001,$A324)&amp;"")</f>
        <v/>
      </c>
      <c r="D324" s="20" t="str">
        <f aca="false">IF($A324="","",INDEX(Apparitions!$L$1:$L$5001,$A324))</f>
        <v/>
      </c>
      <c r="E324" s="19" t="str">
        <f aca="false">IF($A324="","",INDEX(Apparitions!$C$1:$C$5001,$A324)&amp;"")</f>
        <v/>
      </c>
      <c r="F324" s="19" t="str">
        <f aca="false">IF($A324="","",INDEX(Apparitions!$H$1:$H$5001,$A324)&amp;"")</f>
        <v/>
      </c>
      <c r="G324" s="19" t="str">
        <f aca="false">IF($A324="","",INDEX(Apparitions!$I$1:$I$5001,$A324)&amp;"")</f>
        <v/>
      </c>
      <c r="H324" s="19" t="str">
        <f aca="false">IF($A324="","",INDEX(Apparitions!$J$1:$J$5001,$A324)&amp;"")</f>
        <v/>
      </c>
      <c r="I324" s="19" t="str">
        <f aca="false">IF($A324="","",INDEX(Apparitions!$G$1:$G$5001,$A324)&amp;"")</f>
        <v/>
      </c>
      <c r="J324" s="19" t="str">
        <f aca="false">IF($A324="","",INDEX(Apparitions!$M$1:$M$5001,$A324)&amp;"")</f>
        <v/>
      </c>
      <c r="K324" s="21" t="str">
        <f aca="false">IF($A324="","",INDEX(Apparitions!$K$1:$K$5001,$A324))</f>
        <v/>
      </c>
      <c r="L324" s="22" t="str">
        <f aca="false">IF($A324="","",INDEX(Apparitions!$E$1:$E$5001,$A324)&amp;"")</f>
        <v/>
      </c>
      <c r="M324" s="19" t="str">
        <f aca="false">IF($A324="","",INDEX(Apparitions!$F$1:$F$5001,$A324)&amp;"")</f>
        <v/>
      </c>
      <c r="O324" s="23" t="n">
        <f aca="false">IF(I324="",0,IF(COUNTIF(I$16:I324,I324)=1,1,0))</f>
        <v>0</v>
      </c>
      <c r="P324" s="23" t="n">
        <f aca="false">IF(F324="",0,IF(COUNTIF(F$16:F324,F324)=1,1,0))</f>
        <v>0</v>
      </c>
      <c r="Q324" s="0" t="str">
        <f aca="false">IF(B324="","",B324&amp;"|"&amp;C324)</f>
        <v/>
      </c>
      <c r="R324" s="23" t="n">
        <f aca="false">IF(Q324="",0,IF(COUNTIF(Q$16:Q324,Q324)=1,1,0))</f>
        <v>0</v>
      </c>
    </row>
    <row r="325" customFormat="false" ht="15" hidden="false" customHeight="false" outlineLevel="0" collapsed="false">
      <c r="A325" s="0" t="str">
        <f aca="false">IFERROR(MATCH(310,Apparitions!$N$1:$N$5001,0),"")</f>
        <v/>
      </c>
      <c r="B325" s="19" t="str">
        <f aca="false">IF($A325="","",INDEX(Apparitions!$A$1:$A$5001,$A325)&amp;"")</f>
        <v/>
      </c>
      <c r="C325" s="19" t="str">
        <f aca="false">IF($A325="","",INDEX(Apparitions!$B$1:$B$5001,$A325)&amp;"")</f>
        <v/>
      </c>
      <c r="D325" s="20" t="str">
        <f aca="false">IF($A325="","",INDEX(Apparitions!$L$1:$L$5001,$A325))</f>
        <v/>
      </c>
      <c r="E325" s="19" t="str">
        <f aca="false">IF($A325="","",INDEX(Apparitions!$C$1:$C$5001,$A325)&amp;"")</f>
        <v/>
      </c>
      <c r="F325" s="19" t="str">
        <f aca="false">IF($A325="","",INDEX(Apparitions!$H$1:$H$5001,$A325)&amp;"")</f>
        <v/>
      </c>
      <c r="G325" s="19" t="str">
        <f aca="false">IF($A325="","",INDEX(Apparitions!$I$1:$I$5001,$A325)&amp;"")</f>
        <v/>
      </c>
      <c r="H325" s="19" t="str">
        <f aca="false">IF($A325="","",INDEX(Apparitions!$J$1:$J$5001,$A325)&amp;"")</f>
        <v/>
      </c>
      <c r="I325" s="19" t="str">
        <f aca="false">IF($A325="","",INDEX(Apparitions!$G$1:$G$5001,$A325)&amp;"")</f>
        <v/>
      </c>
      <c r="J325" s="19" t="str">
        <f aca="false">IF($A325="","",INDEX(Apparitions!$M$1:$M$5001,$A325)&amp;"")</f>
        <v/>
      </c>
      <c r="K325" s="21" t="str">
        <f aca="false">IF($A325="","",INDEX(Apparitions!$K$1:$K$5001,$A325))</f>
        <v/>
      </c>
      <c r="L325" s="22" t="str">
        <f aca="false">IF($A325="","",INDEX(Apparitions!$E$1:$E$5001,$A325)&amp;"")</f>
        <v/>
      </c>
      <c r="M325" s="19" t="str">
        <f aca="false">IF($A325="","",INDEX(Apparitions!$F$1:$F$5001,$A325)&amp;"")</f>
        <v/>
      </c>
      <c r="O325" s="23" t="n">
        <f aca="false">IF(I325="",0,IF(COUNTIF(I$16:I325,I325)=1,1,0))</f>
        <v>0</v>
      </c>
      <c r="P325" s="23" t="n">
        <f aca="false">IF(F325="",0,IF(COUNTIF(F$16:F325,F325)=1,1,0))</f>
        <v>0</v>
      </c>
      <c r="Q325" s="0" t="str">
        <f aca="false">IF(B325="","",B325&amp;"|"&amp;C325)</f>
        <v/>
      </c>
      <c r="R325" s="23" t="n">
        <f aca="false">IF(Q325="",0,IF(COUNTIF(Q$16:Q325,Q325)=1,1,0))</f>
        <v>0</v>
      </c>
    </row>
    <row r="326" customFormat="false" ht="15" hidden="false" customHeight="false" outlineLevel="0" collapsed="false">
      <c r="A326" s="0" t="str">
        <f aca="false">IFERROR(MATCH(311,Apparitions!$N$1:$N$5001,0),"")</f>
        <v/>
      </c>
      <c r="B326" s="19" t="str">
        <f aca="false">IF($A326="","",INDEX(Apparitions!$A$1:$A$5001,$A326)&amp;"")</f>
        <v/>
      </c>
      <c r="C326" s="19" t="str">
        <f aca="false">IF($A326="","",INDEX(Apparitions!$B$1:$B$5001,$A326)&amp;"")</f>
        <v/>
      </c>
      <c r="D326" s="20" t="str">
        <f aca="false">IF($A326="","",INDEX(Apparitions!$L$1:$L$5001,$A326))</f>
        <v/>
      </c>
      <c r="E326" s="19" t="str">
        <f aca="false">IF($A326="","",INDEX(Apparitions!$C$1:$C$5001,$A326)&amp;"")</f>
        <v/>
      </c>
      <c r="F326" s="19" t="str">
        <f aca="false">IF($A326="","",INDEX(Apparitions!$H$1:$H$5001,$A326)&amp;"")</f>
        <v/>
      </c>
      <c r="G326" s="19" t="str">
        <f aca="false">IF($A326="","",INDEX(Apparitions!$I$1:$I$5001,$A326)&amp;"")</f>
        <v/>
      </c>
      <c r="H326" s="19" t="str">
        <f aca="false">IF($A326="","",INDEX(Apparitions!$J$1:$J$5001,$A326)&amp;"")</f>
        <v/>
      </c>
      <c r="I326" s="19" t="str">
        <f aca="false">IF($A326="","",INDEX(Apparitions!$G$1:$G$5001,$A326)&amp;"")</f>
        <v/>
      </c>
      <c r="J326" s="19" t="str">
        <f aca="false">IF($A326="","",INDEX(Apparitions!$M$1:$M$5001,$A326)&amp;"")</f>
        <v/>
      </c>
      <c r="K326" s="21" t="str">
        <f aca="false">IF($A326="","",INDEX(Apparitions!$K$1:$K$5001,$A326))</f>
        <v/>
      </c>
      <c r="L326" s="22" t="str">
        <f aca="false">IF($A326="","",INDEX(Apparitions!$E$1:$E$5001,$A326)&amp;"")</f>
        <v/>
      </c>
      <c r="M326" s="19" t="str">
        <f aca="false">IF($A326="","",INDEX(Apparitions!$F$1:$F$5001,$A326)&amp;"")</f>
        <v/>
      </c>
      <c r="O326" s="23" t="n">
        <f aca="false">IF(I326="",0,IF(COUNTIF(I$16:I326,I326)=1,1,0))</f>
        <v>0</v>
      </c>
      <c r="P326" s="23" t="n">
        <f aca="false">IF(F326="",0,IF(COUNTIF(F$16:F326,F326)=1,1,0))</f>
        <v>0</v>
      </c>
      <c r="Q326" s="0" t="str">
        <f aca="false">IF(B326="","",B326&amp;"|"&amp;C326)</f>
        <v/>
      </c>
      <c r="R326" s="23" t="n">
        <f aca="false">IF(Q326="",0,IF(COUNTIF(Q$16:Q326,Q326)=1,1,0))</f>
        <v>0</v>
      </c>
    </row>
    <row r="327" customFormat="false" ht="15" hidden="false" customHeight="false" outlineLevel="0" collapsed="false">
      <c r="A327" s="0" t="str">
        <f aca="false">IFERROR(MATCH(312,Apparitions!$N$1:$N$5001,0),"")</f>
        <v/>
      </c>
      <c r="B327" s="19" t="str">
        <f aca="false">IF($A327="","",INDEX(Apparitions!$A$1:$A$5001,$A327)&amp;"")</f>
        <v/>
      </c>
      <c r="C327" s="19" t="str">
        <f aca="false">IF($A327="","",INDEX(Apparitions!$B$1:$B$5001,$A327)&amp;"")</f>
        <v/>
      </c>
      <c r="D327" s="20" t="str">
        <f aca="false">IF($A327="","",INDEX(Apparitions!$L$1:$L$5001,$A327))</f>
        <v/>
      </c>
      <c r="E327" s="19" t="str">
        <f aca="false">IF($A327="","",INDEX(Apparitions!$C$1:$C$5001,$A327)&amp;"")</f>
        <v/>
      </c>
      <c r="F327" s="19" t="str">
        <f aca="false">IF($A327="","",INDEX(Apparitions!$H$1:$H$5001,$A327)&amp;"")</f>
        <v/>
      </c>
      <c r="G327" s="19" t="str">
        <f aca="false">IF($A327="","",INDEX(Apparitions!$I$1:$I$5001,$A327)&amp;"")</f>
        <v/>
      </c>
      <c r="H327" s="19" t="str">
        <f aca="false">IF($A327="","",INDEX(Apparitions!$J$1:$J$5001,$A327)&amp;"")</f>
        <v/>
      </c>
      <c r="I327" s="19" t="str">
        <f aca="false">IF($A327="","",INDEX(Apparitions!$G$1:$G$5001,$A327)&amp;"")</f>
        <v/>
      </c>
      <c r="J327" s="19" t="str">
        <f aca="false">IF($A327="","",INDEX(Apparitions!$M$1:$M$5001,$A327)&amp;"")</f>
        <v/>
      </c>
      <c r="K327" s="21" t="str">
        <f aca="false">IF($A327="","",INDEX(Apparitions!$K$1:$K$5001,$A327))</f>
        <v/>
      </c>
      <c r="L327" s="22" t="str">
        <f aca="false">IF($A327="","",INDEX(Apparitions!$E$1:$E$5001,$A327)&amp;"")</f>
        <v/>
      </c>
      <c r="M327" s="19" t="str">
        <f aca="false">IF($A327="","",INDEX(Apparitions!$F$1:$F$5001,$A327)&amp;"")</f>
        <v/>
      </c>
      <c r="O327" s="23" t="n">
        <f aca="false">IF(I327="",0,IF(COUNTIF(I$16:I327,I327)=1,1,0))</f>
        <v>0</v>
      </c>
      <c r="P327" s="23" t="n">
        <f aca="false">IF(F327="",0,IF(COUNTIF(F$16:F327,F327)=1,1,0))</f>
        <v>0</v>
      </c>
      <c r="Q327" s="0" t="str">
        <f aca="false">IF(B327="","",B327&amp;"|"&amp;C327)</f>
        <v/>
      </c>
      <c r="R327" s="23" t="n">
        <f aca="false">IF(Q327="",0,IF(COUNTIF(Q$16:Q327,Q327)=1,1,0))</f>
        <v>0</v>
      </c>
    </row>
    <row r="328" customFormat="false" ht="15" hidden="false" customHeight="false" outlineLevel="0" collapsed="false">
      <c r="A328" s="0" t="str">
        <f aca="false">IFERROR(MATCH(313,Apparitions!$N$1:$N$5001,0),"")</f>
        <v/>
      </c>
      <c r="B328" s="19" t="str">
        <f aca="false">IF($A328="","",INDEX(Apparitions!$A$1:$A$5001,$A328)&amp;"")</f>
        <v/>
      </c>
      <c r="C328" s="19" t="str">
        <f aca="false">IF($A328="","",INDEX(Apparitions!$B$1:$B$5001,$A328)&amp;"")</f>
        <v/>
      </c>
      <c r="D328" s="20" t="str">
        <f aca="false">IF($A328="","",INDEX(Apparitions!$L$1:$L$5001,$A328))</f>
        <v/>
      </c>
      <c r="E328" s="19" t="str">
        <f aca="false">IF($A328="","",INDEX(Apparitions!$C$1:$C$5001,$A328)&amp;"")</f>
        <v/>
      </c>
      <c r="F328" s="19" t="str">
        <f aca="false">IF($A328="","",INDEX(Apparitions!$H$1:$H$5001,$A328)&amp;"")</f>
        <v/>
      </c>
      <c r="G328" s="19" t="str">
        <f aca="false">IF($A328="","",INDEX(Apparitions!$I$1:$I$5001,$A328)&amp;"")</f>
        <v/>
      </c>
      <c r="H328" s="19" t="str">
        <f aca="false">IF($A328="","",INDEX(Apparitions!$J$1:$J$5001,$A328)&amp;"")</f>
        <v/>
      </c>
      <c r="I328" s="19" t="str">
        <f aca="false">IF($A328="","",INDEX(Apparitions!$G$1:$G$5001,$A328)&amp;"")</f>
        <v/>
      </c>
      <c r="J328" s="19" t="str">
        <f aca="false">IF($A328="","",INDEX(Apparitions!$M$1:$M$5001,$A328)&amp;"")</f>
        <v/>
      </c>
      <c r="K328" s="21" t="str">
        <f aca="false">IF($A328="","",INDEX(Apparitions!$K$1:$K$5001,$A328))</f>
        <v/>
      </c>
      <c r="L328" s="22" t="str">
        <f aca="false">IF($A328="","",INDEX(Apparitions!$E$1:$E$5001,$A328)&amp;"")</f>
        <v/>
      </c>
      <c r="M328" s="19" t="str">
        <f aca="false">IF($A328="","",INDEX(Apparitions!$F$1:$F$5001,$A328)&amp;"")</f>
        <v/>
      </c>
      <c r="O328" s="23" t="n">
        <f aca="false">IF(I328="",0,IF(COUNTIF(I$16:I328,I328)=1,1,0))</f>
        <v>0</v>
      </c>
      <c r="P328" s="23" t="n">
        <f aca="false">IF(F328="",0,IF(COUNTIF(F$16:F328,F328)=1,1,0))</f>
        <v>0</v>
      </c>
      <c r="Q328" s="0" t="str">
        <f aca="false">IF(B328="","",B328&amp;"|"&amp;C328)</f>
        <v/>
      </c>
      <c r="R328" s="23" t="n">
        <f aca="false">IF(Q328="",0,IF(COUNTIF(Q$16:Q328,Q328)=1,1,0))</f>
        <v>0</v>
      </c>
    </row>
    <row r="329" customFormat="false" ht="15" hidden="false" customHeight="false" outlineLevel="0" collapsed="false">
      <c r="A329" s="0" t="str">
        <f aca="false">IFERROR(MATCH(314,Apparitions!$N$1:$N$5001,0),"")</f>
        <v/>
      </c>
      <c r="B329" s="19" t="str">
        <f aca="false">IF($A329="","",INDEX(Apparitions!$A$1:$A$5001,$A329)&amp;"")</f>
        <v/>
      </c>
      <c r="C329" s="19" t="str">
        <f aca="false">IF($A329="","",INDEX(Apparitions!$B$1:$B$5001,$A329)&amp;"")</f>
        <v/>
      </c>
      <c r="D329" s="20" t="str">
        <f aca="false">IF($A329="","",INDEX(Apparitions!$L$1:$L$5001,$A329))</f>
        <v/>
      </c>
      <c r="E329" s="19" t="str">
        <f aca="false">IF($A329="","",INDEX(Apparitions!$C$1:$C$5001,$A329)&amp;"")</f>
        <v/>
      </c>
      <c r="F329" s="19" t="str">
        <f aca="false">IF($A329="","",INDEX(Apparitions!$H$1:$H$5001,$A329)&amp;"")</f>
        <v/>
      </c>
      <c r="G329" s="19" t="str">
        <f aca="false">IF($A329="","",INDEX(Apparitions!$I$1:$I$5001,$A329)&amp;"")</f>
        <v/>
      </c>
      <c r="H329" s="19" t="str">
        <f aca="false">IF($A329="","",INDEX(Apparitions!$J$1:$J$5001,$A329)&amp;"")</f>
        <v/>
      </c>
      <c r="I329" s="19" t="str">
        <f aca="false">IF($A329="","",INDEX(Apparitions!$G$1:$G$5001,$A329)&amp;"")</f>
        <v/>
      </c>
      <c r="J329" s="19" t="str">
        <f aca="false">IF($A329="","",INDEX(Apparitions!$M$1:$M$5001,$A329)&amp;"")</f>
        <v/>
      </c>
      <c r="K329" s="21" t="str">
        <f aca="false">IF($A329="","",INDEX(Apparitions!$K$1:$K$5001,$A329))</f>
        <v/>
      </c>
      <c r="L329" s="22" t="str">
        <f aca="false">IF($A329="","",INDEX(Apparitions!$E$1:$E$5001,$A329)&amp;"")</f>
        <v/>
      </c>
      <c r="M329" s="19" t="str">
        <f aca="false">IF($A329="","",INDEX(Apparitions!$F$1:$F$5001,$A329)&amp;"")</f>
        <v/>
      </c>
      <c r="O329" s="23" t="n">
        <f aca="false">IF(I329="",0,IF(COUNTIF(I$16:I329,I329)=1,1,0))</f>
        <v>0</v>
      </c>
      <c r="P329" s="23" t="n">
        <f aca="false">IF(F329="",0,IF(COUNTIF(F$16:F329,F329)=1,1,0))</f>
        <v>0</v>
      </c>
      <c r="Q329" s="0" t="str">
        <f aca="false">IF(B329="","",B329&amp;"|"&amp;C329)</f>
        <v/>
      </c>
      <c r="R329" s="23" t="n">
        <f aca="false">IF(Q329="",0,IF(COUNTIF(Q$16:Q329,Q329)=1,1,0))</f>
        <v>0</v>
      </c>
    </row>
    <row r="330" customFormat="false" ht="15" hidden="false" customHeight="false" outlineLevel="0" collapsed="false">
      <c r="A330" s="0" t="str">
        <f aca="false">IFERROR(MATCH(315,Apparitions!$N$1:$N$5001,0),"")</f>
        <v/>
      </c>
      <c r="B330" s="19" t="str">
        <f aca="false">IF($A330="","",INDEX(Apparitions!$A$1:$A$5001,$A330)&amp;"")</f>
        <v/>
      </c>
      <c r="C330" s="19" t="str">
        <f aca="false">IF($A330="","",INDEX(Apparitions!$B$1:$B$5001,$A330)&amp;"")</f>
        <v/>
      </c>
      <c r="D330" s="20" t="str">
        <f aca="false">IF($A330="","",INDEX(Apparitions!$L$1:$L$5001,$A330))</f>
        <v/>
      </c>
      <c r="E330" s="19" t="str">
        <f aca="false">IF($A330="","",INDEX(Apparitions!$C$1:$C$5001,$A330)&amp;"")</f>
        <v/>
      </c>
      <c r="F330" s="19" t="str">
        <f aca="false">IF($A330="","",INDEX(Apparitions!$H$1:$H$5001,$A330)&amp;"")</f>
        <v/>
      </c>
      <c r="G330" s="19" t="str">
        <f aca="false">IF($A330="","",INDEX(Apparitions!$I$1:$I$5001,$A330)&amp;"")</f>
        <v/>
      </c>
      <c r="H330" s="19" t="str">
        <f aca="false">IF($A330="","",INDEX(Apparitions!$J$1:$J$5001,$A330)&amp;"")</f>
        <v/>
      </c>
      <c r="I330" s="19" t="str">
        <f aca="false">IF($A330="","",INDEX(Apparitions!$G$1:$G$5001,$A330)&amp;"")</f>
        <v/>
      </c>
      <c r="J330" s="19" t="str">
        <f aca="false">IF($A330="","",INDEX(Apparitions!$M$1:$M$5001,$A330)&amp;"")</f>
        <v/>
      </c>
      <c r="K330" s="21" t="str">
        <f aca="false">IF($A330="","",INDEX(Apparitions!$K$1:$K$5001,$A330))</f>
        <v/>
      </c>
      <c r="L330" s="22" t="str">
        <f aca="false">IF($A330="","",INDEX(Apparitions!$E$1:$E$5001,$A330)&amp;"")</f>
        <v/>
      </c>
      <c r="M330" s="19" t="str">
        <f aca="false">IF($A330="","",INDEX(Apparitions!$F$1:$F$5001,$A330)&amp;"")</f>
        <v/>
      </c>
      <c r="O330" s="23" t="n">
        <f aca="false">IF(I330="",0,IF(COUNTIF(I$16:I330,I330)=1,1,0))</f>
        <v>0</v>
      </c>
      <c r="P330" s="23" t="n">
        <f aca="false">IF(F330="",0,IF(COUNTIF(F$16:F330,F330)=1,1,0))</f>
        <v>0</v>
      </c>
      <c r="Q330" s="0" t="str">
        <f aca="false">IF(B330="","",B330&amp;"|"&amp;C330)</f>
        <v/>
      </c>
      <c r="R330" s="23" t="n">
        <f aca="false">IF(Q330="",0,IF(COUNTIF(Q$16:Q330,Q330)=1,1,0))</f>
        <v>0</v>
      </c>
    </row>
    <row r="331" customFormat="false" ht="15" hidden="false" customHeight="false" outlineLevel="0" collapsed="false">
      <c r="A331" s="0" t="str">
        <f aca="false">IFERROR(MATCH(316,Apparitions!$N$1:$N$5001,0),"")</f>
        <v/>
      </c>
      <c r="B331" s="19" t="str">
        <f aca="false">IF($A331="","",INDEX(Apparitions!$A$1:$A$5001,$A331)&amp;"")</f>
        <v/>
      </c>
      <c r="C331" s="19" t="str">
        <f aca="false">IF($A331="","",INDEX(Apparitions!$B$1:$B$5001,$A331)&amp;"")</f>
        <v/>
      </c>
      <c r="D331" s="20" t="str">
        <f aca="false">IF($A331="","",INDEX(Apparitions!$L$1:$L$5001,$A331))</f>
        <v/>
      </c>
      <c r="E331" s="19" t="str">
        <f aca="false">IF($A331="","",INDEX(Apparitions!$C$1:$C$5001,$A331)&amp;"")</f>
        <v/>
      </c>
      <c r="F331" s="19" t="str">
        <f aca="false">IF($A331="","",INDEX(Apparitions!$H$1:$H$5001,$A331)&amp;"")</f>
        <v/>
      </c>
      <c r="G331" s="19" t="str">
        <f aca="false">IF($A331="","",INDEX(Apparitions!$I$1:$I$5001,$A331)&amp;"")</f>
        <v/>
      </c>
      <c r="H331" s="19" t="str">
        <f aca="false">IF($A331="","",INDEX(Apparitions!$J$1:$J$5001,$A331)&amp;"")</f>
        <v/>
      </c>
      <c r="I331" s="19" t="str">
        <f aca="false">IF($A331="","",INDEX(Apparitions!$G$1:$G$5001,$A331)&amp;"")</f>
        <v/>
      </c>
      <c r="J331" s="19" t="str">
        <f aca="false">IF($A331="","",INDEX(Apparitions!$M$1:$M$5001,$A331)&amp;"")</f>
        <v/>
      </c>
      <c r="K331" s="21" t="str">
        <f aca="false">IF($A331="","",INDEX(Apparitions!$K$1:$K$5001,$A331))</f>
        <v/>
      </c>
      <c r="L331" s="22" t="str">
        <f aca="false">IF($A331="","",INDEX(Apparitions!$E$1:$E$5001,$A331)&amp;"")</f>
        <v/>
      </c>
      <c r="M331" s="19" t="str">
        <f aca="false">IF($A331="","",INDEX(Apparitions!$F$1:$F$5001,$A331)&amp;"")</f>
        <v/>
      </c>
      <c r="O331" s="23" t="n">
        <f aca="false">IF(I331="",0,IF(COUNTIF(I$16:I331,I331)=1,1,0))</f>
        <v>0</v>
      </c>
      <c r="P331" s="23" t="n">
        <f aca="false">IF(F331="",0,IF(COUNTIF(F$16:F331,F331)=1,1,0))</f>
        <v>0</v>
      </c>
      <c r="Q331" s="0" t="str">
        <f aca="false">IF(B331="","",B331&amp;"|"&amp;C331)</f>
        <v/>
      </c>
      <c r="R331" s="23" t="n">
        <f aca="false">IF(Q331="",0,IF(COUNTIF(Q$16:Q331,Q331)=1,1,0))</f>
        <v>0</v>
      </c>
    </row>
    <row r="332" customFormat="false" ht="15" hidden="false" customHeight="false" outlineLevel="0" collapsed="false">
      <c r="A332" s="0" t="str">
        <f aca="false">IFERROR(MATCH(317,Apparitions!$N$1:$N$5001,0),"")</f>
        <v/>
      </c>
      <c r="B332" s="19" t="str">
        <f aca="false">IF($A332="","",INDEX(Apparitions!$A$1:$A$5001,$A332)&amp;"")</f>
        <v/>
      </c>
      <c r="C332" s="19" t="str">
        <f aca="false">IF($A332="","",INDEX(Apparitions!$B$1:$B$5001,$A332)&amp;"")</f>
        <v/>
      </c>
      <c r="D332" s="20" t="str">
        <f aca="false">IF($A332="","",INDEX(Apparitions!$L$1:$L$5001,$A332))</f>
        <v/>
      </c>
      <c r="E332" s="19" t="str">
        <f aca="false">IF($A332="","",INDEX(Apparitions!$C$1:$C$5001,$A332)&amp;"")</f>
        <v/>
      </c>
      <c r="F332" s="19" t="str">
        <f aca="false">IF($A332="","",INDEX(Apparitions!$H$1:$H$5001,$A332)&amp;"")</f>
        <v/>
      </c>
      <c r="G332" s="19" t="str">
        <f aca="false">IF($A332="","",INDEX(Apparitions!$I$1:$I$5001,$A332)&amp;"")</f>
        <v/>
      </c>
      <c r="H332" s="19" t="str">
        <f aca="false">IF($A332="","",INDEX(Apparitions!$J$1:$J$5001,$A332)&amp;"")</f>
        <v/>
      </c>
      <c r="I332" s="19" t="str">
        <f aca="false">IF($A332="","",INDEX(Apparitions!$G$1:$G$5001,$A332)&amp;"")</f>
        <v/>
      </c>
      <c r="J332" s="19" t="str">
        <f aca="false">IF($A332="","",INDEX(Apparitions!$M$1:$M$5001,$A332)&amp;"")</f>
        <v/>
      </c>
      <c r="K332" s="21" t="str">
        <f aca="false">IF($A332="","",INDEX(Apparitions!$K$1:$K$5001,$A332))</f>
        <v/>
      </c>
      <c r="L332" s="22" t="str">
        <f aca="false">IF($A332="","",INDEX(Apparitions!$E$1:$E$5001,$A332)&amp;"")</f>
        <v/>
      </c>
      <c r="M332" s="19" t="str">
        <f aca="false">IF($A332="","",INDEX(Apparitions!$F$1:$F$5001,$A332)&amp;"")</f>
        <v/>
      </c>
      <c r="O332" s="23" t="n">
        <f aca="false">IF(I332="",0,IF(COUNTIF(I$16:I332,I332)=1,1,0))</f>
        <v>0</v>
      </c>
      <c r="P332" s="23" t="n">
        <f aca="false">IF(F332="",0,IF(COUNTIF(F$16:F332,F332)=1,1,0))</f>
        <v>0</v>
      </c>
      <c r="Q332" s="0" t="str">
        <f aca="false">IF(B332="","",B332&amp;"|"&amp;C332)</f>
        <v/>
      </c>
      <c r="R332" s="23" t="n">
        <f aca="false">IF(Q332="",0,IF(COUNTIF(Q$16:Q332,Q332)=1,1,0))</f>
        <v>0</v>
      </c>
    </row>
    <row r="333" customFormat="false" ht="15" hidden="false" customHeight="false" outlineLevel="0" collapsed="false">
      <c r="A333" s="0" t="str">
        <f aca="false">IFERROR(MATCH(318,Apparitions!$N$1:$N$5001,0),"")</f>
        <v/>
      </c>
      <c r="B333" s="19" t="str">
        <f aca="false">IF($A333="","",INDEX(Apparitions!$A$1:$A$5001,$A333)&amp;"")</f>
        <v/>
      </c>
      <c r="C333" s="19" t="str">
        <f aca="false">IF($A333="","",INDEX(Apparitions!$B$1:$B$5001,$A333)&amp;"")</f>
        <v/>
      </c>
      <c r="D333" s="20" t="str">
        <f aca="false">IF($A333="","",INDEX(Apparitions!$L$1:$L$5001,$A333))</f>
        <v/>
      </c>
      <c r="E333" s="19" t="str">
        <f aca="false">IF($A333="","",INDEX(Apparitions!$C$1:$C$5001,$A333)&amp;"")</f>
        <v/>
      </c>
      <c r="F333" s="19" t="str">
        <f aca="false">IF($A333="","",INDEX(Apparitions!$H$1:$H$5001,$A333)&amp;"")</f>
        <v/>
      </c>
      <c r="G333" s="19" t="str">
        <f aca="false">IF($A333="","",INDEX(Apparitions!$I$1:$I$5001,$A333)&amp;"")</f>
        <v/>
      </c>
      <c r="H333" s="19" t="str">
        <f aca="false">IF($A333="","",INDEX(Apparitions!$J$1:$J$5001,$A333)&amp;"")</f>
        <v/>
      </c>
      <c r="I333" s="19" t="str">
        <f aca="false">IF($A333="","",INDEX(Apparitions!$G$1:$G$5001,$A333)&amp;"")</f>
        <v/>
      </c>
      <c r="J333" s="19" t="str">
        <f aca="false">IF($A333="","",INDEX(Apparitions!$M$1:$M$5001,$A333)&amp;"")</f>
        <v/>
      </c>
      <c r="K333" s="21" t="str">
        <f aca="false">IF($A333="","",INDEX(Apparitions!$K$1:$K$5001,$A333))</f>
        <v/>
      </c>
      <c r="L333" s="22" t="str">
        <f aca="false">IF($A333="","",INDEX(Apparitions!$E$1:$E$5001,$A333)&amp;"")</f>
        <v/>
      </c>
      <c r="M333" s="19" t="str">
        <f aca="false">IF($A333="","",INDEX(Apparitions!$F$1:$F$5001,$A333)&amp;"")</f>
        <v/>
      </c>
      <c r="O333" s="23" t="n">
        <f aca="false">IF(I333="",0,IF(COUNTIF(I$16:I333,I333)=1,1,0))</f>
        <v>0</v>
      </c>
      <c r="P333" s="23" t="n">
        <f aca="false">IF(F333="",0,IF(COUNTIF(F$16:F333,F333)=1,1,0))</f>
        <v>0</v>
      </c>
      <c r="Q333" s="0" t="str">
        <f aca="false">IF(B333="","",B333&amp;"|"&amp;C333)</f>
        <v/>
      </c>
      <c r="R333" s="23" t="n">
        <f aca="false">IF(Q333="",0,IF(COUNTIF(Q$16:Q333,Q333)=1,1,0))</f>
        <v>0</v>
      </c>
    </row>
    <row r="334" customFormat="false" ht="15" hidden="false" customHeight="false" outlineLevel="0" collapsed="false">
      <c r="A334" s="0" t="str">
        <f aca="false">IFERROR(MATCH(319,Apparitions!$N$1:$N$5001,0),"")</f>
        <v/>
      </c>
      <c r="B334" s="19" t="str">
        <f aca="false">IF($A334="","",INDEX(Apparitions!$A$1:$A$5001,$A334)&amp;"")</f>
        <v/>
      </c>
      <c r="C334" s="19" t="str">
        <f aca="false">IF($A334="","",INDEX(Apparitions!$B$1:$B$5001,$A334)&amp;"")</f>
        <v/>
      </c>
      <c r="D334" s="20" t="str">
        <f aca="false">IF($A334="","",INDEX(Apparitions!$L$1:$L$5001,$A334))</f>
        <v/>
      </c>
      <c r="E334" s="19" t="str">
        <f aca="false">IF($A334="","",INDEX(Apparitions!$C$1:$C$5001,$A334)&amp;"")</f>
        <v/>
      </c>
      <c r="F334" s="19" t="str">
        <f aca="false">IF($A334="","",INDEX(Apparitions!$H$1:$H$5001,$A334)&amp;"")</f>
        <v/>
      </c>
      <c r="G334" s="19" t="str">
        <f aca="false">IF($A334="","",INDEX(Apparitions!$I$1:$I$5001,$A334)&amp;"")</f>
        <v/>
      </c>
      <c r="H334" s="19" t="str">
        <f aca="false">IF($A334="","",INDEX(Apparitions!$J$1:$J$5001,$A334)&amp;"")</f>
        <v/>
      </c>
      <c r="I334" s="19" t="str">
        <f aca="false">IF($A334="","",INDEX(Apparitions!$G$1:$G$5001,$A334)&amp;"")</f>
        <v/>
      </c>
      <c r="J334" s="19" t="str">
        <f aca="false">IF($A334="","",INDEX(Apparitions!$M$1:$M$5001,$A334)&amp;"")</f>
        <v/>
      </c>
      <c r="K334" s="21" t="str">
        <f aca="false">IF($A334="","",INDEX(Apparitions!$K$1:$K$5001,$A334))</f>
        <v/>
      </c>
      <c r="L334" s="22" t="str">
        <f aca="false">IF($A334="","",INDEX(Apparitions!$E$1:$E$5001,$A334)&amp;"")</f>
        <v/>
      </c>
      <c r="M334" s="19" t="str">
        <f aca="false">IF($A334="","",INDEX(Apparitions!$F$1:$F$5001,$A334)&amp;"")</f>
        <v/>
      </c>
      <c r="O334" s="23" t="n">
        <f aca="false">IF(I334="",0,IF(COUNTIF(I$16:I334,I334)=1,1,0))</f>
        <v>0</v>
      </c>
      <c r="P334" s="23" t="n">
        <f aca="false">IF(F334="",0,IF(COUNTIF(F$16:F334,F334)=1,1,0))</f>
        <v>0</v>
      </c>
      <c r="Q334" s="0" t="str">
        <f aca="false">IF(B334="","",B334&amp;"|"&amp;C334)</f>
        <v/>
      </c>
      <c r="R334" s="23" t="n">
        <f aca="false">IF(Q334="",0,IF(COUNTIF(Q$16:Q334,Q334)=1,1,0))</f>
        <v>0</v>
      </c>
    </row>
    <row r="335" customFormat="false" ht="15" hidden="false" customHeight="false" outlineLevel="0" collapsed="false">
      <c r="A335" s="0" t="str">
        <f aca="false">IFERROR(MATCH(320,Apparitions!$N$1:$N$5001,0),"")</f>
        <v/>
      </c>
      <c r="B335" s="19" t="str">
        <f aca="false">IF($A335="","",INDEX(Apparitions!$A$1:$A$5001,$A335)&amp;"")</f>
        <v/>
      </c>
      <c r="C335" s="19" t="str">
        <f aca="false">IF($A335="","",INDEX(Apparitions!$B$1:$B$5001,$A335)&amp;"")</f>
        <v/>
      </c>
      <c r="D335" s="20" t="str">
        <f aca="false">IF($A335="","",INDEX(Apparitions!$L$1:$L$5001,$A335))</f>
        <v/>
      </c>
      <c r="E335" s="19" t="str">
        <f aca="false">IF($A335="","",INDEX(Apparitions!$C$1:$C$5001,$A335)&amp;"")</f>
        <v/>
      </c>
      <c r="F335" s="19" t="str">
        <f aca="false">IF($A335="","",INDEX(Apparitions!$H$1:$H$5001,$A335)&amp;"")</f>
        <v/>
      </c>
      <c r="G335" s="19" t="str">
        <f aca="false">IF($A335="","",INDEX(Apparitions!$I$1:$I$5001,$A335)&amp;"")</f>
        <v/>
      </c>
      <c r="H335" s="19" t="str">
        <f aca="false">IF($A335="","",INDEX(Apparitions!$J$1:$J$5001,$A335)&amp;"")</f>
        <v/>
      </c>
      <c r="I335" s="19" t="str">
        <f aca="false">IF($A335="","",INDEX(Apparitions!$G$1:$G$5001,$A335)&amp;"")</f>
        <v/>
      </c>
      <c r="J335" s="19" t="str">
        <f aca="false">IF($A335="","",INDEX(Apparitions!$M$1:$M$5001,$A335)&amp;"")</f>
        <v/>
      </c>
      <c r="K335" s="21" t="str">
        <f aca="false">IF($A335="","",INDEX(Apparitions!$K$1:$K$5001,$A335))</f>
        <v/>
      </c>
      <c r="L335" s="22" t="str">
        <f aca="false">IF($A335="","",INDEX(Apparitions!$E$1:$E$5001,$A335)&amp;"")</f>
        <v/>
      </c>
      <c r="M335" s="19" t="str">
        <f aca="false">IF($A335="","",INDEX(Apparitions!$F$1:$F$5001,$A335)&amp;"")</f>
        <v/>
      </c>
      <c r="O335" s="23" t="n">
        <f aca="false">IF(I335="",0,IF(COUNTIF(I$16:I335,I335)=1,1,0))</f>
        <v>0</v>
      </c>
      <c r="P335" s="23" t="n">
        <f aca="false">IF(F335="",0,IF(COUNTIF(F$16:F335,F335)=1,1,0))</f>
        <v>0</v>
      </c>
      <c r="Q335" s="0" t="str">
        <f aca="false">IF(B335="","",B335&amp;"|"&amp;C335)</f>
        <v/>
      </c>
      <c r="R335" s="23" t="n">
        <f aca="false">IF(Q335="",0,IF(COUNTIF(Q$16:Q335,Q335)=1,1,0))</f>
        <v>0</v>
      </c>
    </row>
    <row r="336" customFormat="false" ht="15" hidden="false" customHeight="false" outlineLevel="0" collapsed="false">
      <c r="A336" s="0" t="str">
        <f aca="false">IFERROR(MATCH(321,Apparitions!$N$1:$N$5001,0),"")</f>
        <v/>
      </c>
      <c r="B336" s="19" t="str">
        <f aca="false">IF($A336="","",INDEX(Apparitions!$A$1:$A$5001,$A336)&amp;"")</f>
        <v/>
      </c>
      <c r="C336" s="19" t="str">
        <f aca="false">IF($A336="","",INDEX(Apparitions!$B$1:$B$5001,$A336)&amp;"")</f>
        <v/>
      </c>
      <c r="D336" s="20" t="str">
        <f aca="false">IF($A336="","",INDEX(Apparitions!$L$1:$L$5001,$A336))</f>
        <v/>
      </c>
      <c r="E336" s="19" t="str">
        <f aca="false">IF($A336="","",INDEX(Apparitions!$C$1:$C$5001,$A336)&amp;"")</f>
        <v/>
      </c>
      <c r="F336" s="19" t="str">
        <f aca="false">IF($A336="","",INDEX(Apparitions!$H$1:$H$5001,$A336)&amp;"")</f>
        <v/>
      </c>
      <c r="G336" s="19" t="str">
        <f aca="false">IF($A336="","",INDEX(Apparitions!$I$1:$I$5001,$A336)&amp;"")</f>
        <v/>
      </c>
      <c r="H336" s="19" t="str">
        <f aca="false">IF($A336="","",INDEX(Apparitions!$J$1:$J$5001,$A336)&amp;"")</f>
        <v/>
      </c>
      <c r="I336" s="19" t="str">
        <f aca="false">IF($A336="","",INDEX(Apparitions!$G$1:$G$5001,$A336)&amp;"")</f>
        <v/>
      </c>
      <c r="J336" s="19" t="str">
        <f aca="false">IF($A336="","",INDEX(Apparitions!$M$1:$M$5001,$A336)&amp;"")</f>
        <v/>
      </c>
      <c r="K336" s="21" t="str">
        <f aca="false">IF($A336="","",INDEX(Apparitions!$K$1:$K$5001,$A336))</f>
        <v/>
      </c>
      <c r="L336" s="22" t="str">
        <f aca="false">IF($A336="","",INDEX(Apparitions!$E$1:$E$5001,$A336)&amp;"")</f>
        <v/>
      </c>
      <c r="M336" s="19" t="str">
        <f aca="false">IF($A336="","",INDEX(Apparitions!$F$1:$F$5001,$A336)&amp;"")</f>
        <v/>
      </c>
      <c r="O336" s="23" t="n">
        <f aca="false">IF(I336="",0,IF(COUNTIF(I$16:I336,I336)=1,1,0))</f>
        <v>0</v>
      </c>
      <c r="P336" s="23" t="n">
        <f aca="false">IF(F336="",0,IF(COUNTIF(F$16:F336,F336)=1,1,0))</f>
        <v>0</v>
      </c>
      <c r="Q336" s="0" t="str">
        <f aca="false">IF(B336="","",B336&amp;"|"&amp;C336)</f>
        <v/>
      </c>
      <c r="R336" s="23" t="n">
        <f aca="false">IF(Q336="",0,IF(COUNTIF(Q$16:Q336,Q336)=1,1,0))</f>
        <v>0</v>
      </c>
    </row>
    <row r="337" customFormat="false" ht="15" hidden="false" customHeight="false" outlineLevel="0" collapsed="false">
      <c r="A337" s="0" t="str">
        <f aca="false">IFERROR(MATCH(322,Apparitions!$N$1:$N$5001,0),"")</f>
        <v/>
      </c>
      <c r="B337" s="19" t="str">
        <f aca="false">IF($A337="","",INDEX(Apparitions!$A$1:$A$5001,$A337)&amp;"")</f>
        <v/>
      </c>
      <c r="C337" s="19" t="str">
        <f aca="false">IF($A337="","",INDEX(Apparitions!$B$1:$B$5001,$A337)&amp;"")</f>
        <v/>
      </c>
      <c r="D337" s="20" t="str">
        <f aca="false">IF($A337="","",INDEX(Apparitions!$L$1:$L$5001,$A337))</f>
        <v/>
      </c>
      <c r="E337" s="19" t="str">
        <f aca="false">IF($A337="","",INDEX(Apparitions!$C$1:$C$5001,$A337)&amp;"")</f>
        <v/>
      </c>
      <c r="F337" s="19" t="str">
        <f aca="false">IF($A337="","",INDEX(Apparitions!$H$1:$H$5001,$A337)&amp;"")</f>
        <v/>
      </c>
      <c r="G337" s="19" t="str">
        <f aca="false">IF($A337="","",INDEX(Apparitions!$I$1:$I$5001,$A337)&amp;"")</f>
        <v/>
      </c>
      <c r="H337" s="19" t="str">
        <f aca="false">IF($A337="","",INDEX(Apparitions!$J$1:$J$5001,$A337)&amp;"")</f>
        <v/>
      </c>
      <c r="I337" s="19" t="str">
        <f aca="false">IF($A337="","",INDEX(Apparitions!$G$1:$G$5001,$A337)&amp;"")</f>
        <v/>
      </c>
      <c r="J337" s="19" t="str">
        <f aca="false">IF($A337="","",INDEX(Apparitions!$M$1:$M$5001,$A337)&amp;"")</f>
        <v/>
      </c>
      <c r="K337" s="21" t="str">
        <f aca="false">IF($A337="","",INDEX(Apparitions!$K$1:$K$5001,$A337))</f>
        <v/>
      </c>
      <c r="L337" s="22" t="str">
        <f aca="false">IF($A337="","",INDEX(Apparitions!$E$1:$E$5001,$A337)&amp;"")</f>
        <v/>
      </c>
      <c r="M337" s="19" t="str">
        <f aca="false">IF($A337="","",INDEX(Apparitions!$F$1:$F$5001,$A337)&amp;"")</f>
        <v/>
      </c>
      <c r="O337" s="23" t="n">
        <f aca="false">IF(I337="",0,IF(COUNTIF(I$16:I337,I337)=1,1,0))</f>
        <v>0</v>
      </c>
      <c r="P337" s="23" t="n">
        <f aca="false">IF(F337="",0,IF(COUNTIF(F$16:F337,F337)=1,1,0))</f>
        <v>0</v>
      </c>
      <c r="Q337" s="0" t="str">
        <f aca="false">IF(B337="","",B337&amp;"|"&amp;C337)</f>
        <v/>
      </c>
      <c r="R337" s="23" t="n">
        <f aca="false">IF(Q337="",0,IF(COUNTIF(Q$16:Q337,Q337)=1,1,0))</f>
        <v>0</v>
      </c>
    </row>
    <row r="338" customFormat="false" ht="15" hidden="false" customHeight="false" outlineLevel="0" collapsed="false">
      <c r="A338" s="0" t="str">
        <f aca="false">IFERROR(MATCH(323,Apparitions!$N$1:$N$5001,0),"")</f>
        <v/>
      </c>
      <c r="B338" s="19" t="str">
        <f aca="false">IF($A338="","",INDEX(Apparitions!$A$1:$A$5001,$A338)&amp;"")</f>
        <v/>
      </c>
      <c r="C338" s="19" t="str">
        <f aca="false">IF($A338="","",INDEX(Apparitions!$B$1:$B$5001,$A338)&amp;"")</f>
        <v/>
      </c>
      <c r="D338" s="20" t="str">
        <f aca="false">IF($A338="","",INDEX(Apparitions!$L$1:$L$5001,$A338))</f>
        <v/>
      </c>
      <c r="E338" s="19" t="str">
        <f aca="false">IF($A338="","",INDEX(Apparitions!$C$1:$C$5001,$A338)&amp;"")</f>
        <v/>
      </c>
      <c r="F338" s="19" t="str">
        <f aca="false">IF($A338="","",INDEX(Apparitions!$H$1:$H$5001,$A338)&amp;"")</f>
        <v/>
      </c>
      <c r="G338" s="19" t="str">
        <f aca="false">IF($A338="","",INDEX(Apparitions!$I$1:$I$5001,$A338)&amp;"")</f>
        <v/>
      </c>
      <c r="H338" s="19" t="str">
        <f aca="false">IF($A338="","",INDEX(Apparitions!$J$1:$J$5001,$A338)&amp;"")</f>
        <v/>
      </c>
      <c r="I338" s="19" t="str">
        <f aca="false">IF($A338="","",INDEX(Apparitions!$G$1:$G$5001,$A338)&amp;"")</f>
        <v/>
      </c>
      <c r="J338" s="19" t="str">
        <f aca="false">IF($A338="","",INDEX(Apparitions!$M$1:$M$5001,$A338)&amp;"")</f>
        <v/>
      </c>
      <c r="K338" s="21" t="str">
        <f aca="false">IF($A338="","",INDEX(Apparitions!$K$1:$K$5001,$A338))</f>
        <v/>
      </c>
      <c r="L338" s="22" t="str">
        <f aca="false">IF($A338="","",INDEX(Apparitions!$E$1:$E$5001,$A338)&amp;"")</f>
        <v/>
      </c>
      <c r="M338" s="19" t="str">
        <f aca="false">IF($A338="","",INDEX(Apparitions!$F$1:$F$5001,$A338)&amp;"")</f>
        <v/>
      </c>
      <c r="O338" s="23" t="n">
        <f aca="false">IF(I338="",0,IF(COUNTIF(I$16:I338,I338)=1,1,0))</f>
        <v>0</v>
      </c>
      <c r="P338" s="23" t="n">
        <f aca="false">IF(F338="",0,IF(COUNTIF(F$16:F338,F338)=1,1,0))</f>
        <v>0</v>
      </c>
      <c r="Q338" s="0" t="str">
        <f aca="false">IF(B338="","",B338&amp;"|"&amp;C338)</f>
        <v/>
      </c>
      <c r="R338" s="23" t="n">
        <f aca="false">IF(Q338="",0,IF(COUNTIF(Q$16:Q338,Q338)=1,1,0))</f>
        <v>0</v>
      </c>
    </row>
    <row r="339" customFormat="false" ht="15" hidden="false" customHeight="false" outlineLevel="0" collapsed="false">
      <c r="A339" s="0" t="str">
        <f aca="false">IFERROR(MATCH(324,Apparitions!$N$1:$N$5001,0),"")</f>
        <v/>
      </c>
      <c r="B339" s="19" t="str">
        <f aca="false">IF($A339="","",INDEX(Apparitions!$A$1:$A$5001,$A339)&amp;"")</f>
        <v/>
      </c>
      <c r="C339" s="19" t="str">
        <f aca="false">IF($A339="","",INDEX(Apparitions!$B$1:$B$5001,$A339)&amp;"")</f>
        <v/>
      </c>
      <c r="D339" s="20" t="str">
        <f aca="false">IF($A339="","",INDEX(Apparitions!$L$1:$L$5001,$A339))</f>
        <v/>
      </c>
      <c r="E339" s="19" t="str">
        <f aca="false">IF($A339="","",INDEX(Apparitions!$C$1:$C$5001,$A339)&amp;"")</f>
        <v/>
      </c>
      <c r="F339" s="19" t="str">
        <f aca="false">IF($A339="","",INDEX(Apparitions!$H$1:$H$5001,$A339)&amp;"")</f>
        <v/>
      </c>
      <c r="G339" s="19" t="str">
        <f aca="false">IF($A339="","",INDEX(Apparitions!$I$1:$I$5001,$A339)&amp;"")</f>
        <v/>
      </c>
      <c r="H339" s="19" t="str">
        <f aca="false">IF($A339="","",INDEX(Apparitions!$J$1:$J$5001,$A339)&amp;"")</f>
        <v/>
      </c>
      <c r="I339" s="19" t="str">
        <f aca="false">IF($A339="","",INDEX(Apparitions!$G$1:$G$5001,$A339)&amp;"")</f>
        <v/>
      </c>
      <c r="J339" s="19" t="str">
        <f aca="false">IF($A339="","",INDEX(Apparitions!$M$1:$M$5001,$A339)&amp;"")</f>
        <v/>
      </c>
      <c r="K339" s="21" t="str">
        <f aca="false">IF($A339="","",INDEX(Apparitions!$K$1:$K$5001,$A339))</f>
        <v/>
      </c>
      <c r="L339" s="22" t="str">
        <f aca="false">IF($A339="","",INDEX(Apparitions!$E$1:$E$5001,$A339)&amp;"")</f>
        <v/>
      </c>
      <c r="M339" s="19" t="str">
        <f aca="false">IF($A339="","",INDEX(Apparitions!$F$1:$F$5001,$A339)&amp;"")</f>
        <v/>
      </c>
      <c r="O339" s="23" t="n">
        <f aca="false">IF(I339="",0,IF(COUNTIF(I$16:I339,I339)=1,1,0))</f>
        <v>0</v>
      </c>
      <c r="P339" s="23" t="n">
        <f aca="false">IF(F339="",0,IF(COUNTIF(F$16:F339,F339)=1,1,0))</f>
        <v>0</v>
      </c>
      <c r="Q339" s="0" t="str">
        <f aca="false">IF(B339="","",B339&amp;"|"&amp;C339)</f>
        <v/>
      </c>
      <c r="R339" s="23" t="n">
        <f aca="false">IF(Q339="",0,IF(COUNTIF(Q$16:Q339,Q339)=1,1,0))</f>
        <v>0</v>
      </c>
    </row>
    <row r="340" customFormat="false" ht="15" hidden="false" customHeight="false" outlineLevel="0" collapsed="false">
      <c r="A340" s="0" t="str">
        <f aca="false">IFERROR(MATCH(325,Apparitions!$N$1:$N$5001,0),"")</f>
        <v/>
      </c>
      <c r="B340" s="19" t="str">
        <f aca="false">IF($A340="","",INDEX(Apparitions!$A$1:$A$5001,$A340)&amp;"")</f>
        <v/>
      </c>
      <c r="C340" s="19" t="str">
        <f aca="false">IF($A340="","",INDEX(Apparitions!$B$1:$B$5001,$A340)&amp;"")</f>
        <v/>
      </c>
      <c r="D340" s="20" t="str">
        <f aca="false">IF($A340="","",INDEX(Apparitions!$L$1:$L$5001,$A340))</f>
        <v/>
      </c>
      <c r="E340" s="19" t="str">
        <f aca="false">IF($A340="","",INDEX(Apparitions!$C$1:$C$5001,$A340)&amp;"")</f>
        <v/>
      </c>
      <c r="F340" s="19" t="str">
        <f aca="false">IF($A340="","",INDEX(Apparitions!$H$1:$H$5001,$A340)&amp;"")</f>
        <v/>
      </c>
      <c r="G340" s="19" t="str">
        <f aca="false">IF($A340="","",INDEX(Apparitions!$I$1:$I$5001,$A340)&amp;"")</f>
        <v/>
      </c>
      <c r="H340" s="19" t="str">
        <f aca="false">IF($A340="","",INDEX(Apparitions!$J$1:$J$5001,$A340)&amp;"")</f>
        <v/>
      </c>
      <c r="I340" s="19" t="str">
        <f aca="false">IF($A340="","",INDEX(Apparitions!$G$1:$G$5001,$A340)&amp;"")</f>
        <v/>
      </c>
      <c r="J340" s="19" t="str">
        <f aca="false">IF($A340="","",INDEX(Apparitions!$M$1:$M$5001,$A340)&amp;"")</f>
        <v/>
      </c>
      <c r="K340" s="21" t="str">
        <f aca="false">IF($A340="","",INDEX(Apparitions!$K$1:$K$5001,$A340))</f>
        <v/>
      </c>
      <c r="L340" s="22" t="str">
        <f aca="false">IF($A340="","",INDEX(Apparitions!$E$1:$E$5001,$A340)&amp;"")</f>
        <v/>
      </c>
      <c r="M340" s="19" t="str">
        <f aca="false">IF($A340="","",INDEX(Apparitions!$F$1:$F$5001,$A340)&amp;"")</f>
        <v/>
      </c>
      <c r="O340" s="23" t="n">
        <f aca="false">IF(I340="",0,IF(COUNTIF(I$16:I340,I340)=1,1,0))</f>
        <v>0</v>
      </c>
      <c r="P340" s="23" t="n">
        <f aca="false">IF(F340="",0,IF(COUNTIF(F$16:F340,F340)=1,1,0))</f>
        <v>0</v>
      </c>
      <c r="Q340" s="0" t="str">
        <f aca="false">IF(B340="","",B340&amp;"|"&amp;C340)</f>
        <v/>
      </c>
      <c r="R340" s="23" t="n">
        <f aca="false">IF(Q340="",0,IF(COUNTIF(Q$16:Q340,Q340)=1,1,0))</f>
        <v>0</v>
      </c>
    </row>
    <row r="341" customFormat="false" ht="15" hidden="false" customHeight="false" outlineLevel="0" collapsed="false">
      <c r="A341" s="0" t="str">
        <f aca="false">IFERROR(MATCH(326,Apparitions!$N$1:$N$5001,0),"")</f>
        <v/>
      </c>
      <c r="B341" s="19" t="str">
        <f aca="false">IF($A341="","",INDEX(Apparitions!$A$1:$A$5001,$A341)&amp;"")</f>
        <v/>
      </c>
      <c r="C341" s="19" t="str">
        <f aca="false">IF($A341="","",INDEX(Apparitions!$B$1:$B$5001,$A341)&amp;"")</f>
        <v/>
      </c>
      <c r="D341" s="20" t="str">
        <f aca="false">IF($A341="","",INDEX(Apparitions!$L$1:$L$5001,$A341))</f>
        <v/>
      </c>
      <c r="E341" s="19" t="str">
        <f aca="false">IF($A341="","",INDEX(Apparitions!$C$1:$C$5001,$A341)&amp;"")</f>
        <v/>
      </c>
      <c r="F341" s="19" t="str">
        <f aca="false">IF($A341="","",INDEX(Apparitions!$H$1:$H$5001,$A341)&amp;"")</f>
        <v/>
      </c>
      <c r="G341" s="19" t="str">
        <f aca="false">IF($A341="","",INDEX(Apparitions!$I$1:$I$5001,$A341)&amp;"")</f>
        <v/>
      </c>
      <c r="H341" s="19" t="str">
        <f aca="false">IF($A341="","",INDEX(Apparitions!$J$1:$J$5001,$A341)&amp;"")</f>
        <v/>
      </c>
      <c r="I341" s="19" t="str">
        <f aca="false">IF($A341="","",INDEX(Apparitions!$G$1:$G$5001,$A341)&amp;"")</f>
        <v/>
      </c>
      <c r="J341" s="19" t="str">
        <f aca="false">IF($A341="","",INDEX(Apparitions!$M$1:$M$5001,$A341)&amp;"")</f>
        <v/>
      </c>
      <c r="K341" s="21" t="str">
        <f aca="false">IF($A341="","",INDEX(Apparitions!$K$1:$K$5001,$A341))</f>
        <v/>
      </c>
      <c r="L341" s="22" t="str">
        <f aca="false">IF($A341="","",INDEX(Apparitions!$E$1:$E$5001,$A341)&amp;"")</f>
        <v/>
      </c>
      <c r="M341" s="19" t="str">
        <f aca="false">IF($A341="","",INDEX(Apparitions!$F$1:$F$5001,$A341)&amp;"")</f>
        <v/>
      </c>
      <c r="O341" s="23" t="n">
        <f aca="false">IF(I341="",0,IF(COUNTIF(I$16:I341,I341)=1,1,0))</f>
        <v>0</v>
      </c>
      <c r="P341" s="23" t="n">
        <f aca="false">IF(F341="",0,IF(COUNTIF(F$16:F341,F341)=1,1,0))</f>
        <v>0</v>
      </c>
      <c r="Q341" s="0" t="str">
        <f aca="false">IF(B341="","",B341&amp;"|"&amp;C341)</f>
        <v/>
      </c>
      <c r="R341" s="23" t="n">
        <f aca="false">IF(Q341="",0,IF(COUNTIF(Q$16:Q341,Q341)=1,1,0))</f>
        <v>0</v>
      </c>
    </row>
    <row r="342" customFormat="false" ht="15" hidden="false" customHeight="false" outlineLevel="0" collapsed="false">
      <c r="A342" s="0" t="str">
        <f aca="false">IFERROR(MATCH(327,Apparitions!$N$1:$N$5001,0),"")</f>
        <v/>
      </c>
      <c r="B342" s="19" t="str">
        <f aca="false">IF($A342="","",INDEX(Apparitions!$A$1:$A$5001,$A342)&amp;"")</f>
        <v/>
      </c>
      <c r="C342" s="19" t="str">
        <f aca="false">IF($A342="","",INDEX(Apparitions!$B$1:$B$5001,$A342)&amp;"")</f>
        <v/>
      </c>
      <c r="D342" s="20" t="str">
        <f aca="false">IF($A342="","",INDEX(Apparitions!$L$1:$L$5001,$A342))</f>
        <v/>
      </c>
      <c r="E342" s="19" t="str">
        <f aca="false">IF($A342="","",INDEX(Apparitions!$C$1:$C$5001,$A342)&amp;"")</f>
        <v/>
      </c>
      <c r="F342" s="19" t="str">
        <f aca="false">IF($A342="","",INDEX(Apparitions!$H$1:$H$5001,$A342)&amp;"")</f>
        <v/>
      </c>
      <c r="G342" s="19" t="str">
        <f aca="false">IF($A342="","",INDEX(Apparitions!$I$1:$I$5001,$A342)&amp;"")</f>
        <v/>
      </c>
      <c r="H342" s="19" t="str">
        <f aca="false">IF($A342="","",INDEX(Apparitions!$J$1:$J$5001,$A342)&amp;"")</f>
        <v/>
      </c>
      <c r="I342" s="19" t="str">
        <f aca="false">IF($A342="","",INDEX(Apparitions!$G$1:$G$5001,$A342)&amp;"")</f>
        <v/>
      </c>
      <c r="J342" s="19" t="str">
        <f aca="false">IF($A342="","",INDEX(Apparitions!$M$1:$M$5001,$A342)&amp;"")</f>
        <v/>
      </c>
      <c r="K342" s="21" t="str">
        <f aca="false">IF($A342="","",INDEX(Apparitions!$K$1:$K$5001,$A342))</f>
        <v/>
      </c>
      <c r="L342" s="22" t="str">
        <f aca="false">IF($A342="","",INDEX(Apparitions!$E$1:$E$5001,$A342)&amp;"")</f>
        <v/>
      </c>
      <c r="M342" s="19" t="str">
        <f aca="false">IF($A342="","",INDEX(Apparitions!$F$1:$F$5001,$A342)&amp;"")</f>
        <v/>
      </c>
      <c r="O342" s="23" t="n">
        <f aca="false">IF(I342="",0,IF(COUNTIF(I$16:I342,I342)=1,1,0))</f>
        <v>0</v>
      </c>
      <c r="P342" s="23" t="n">
        <f aca="false">IF(F342="",0,IF(COUNTIF(F$16:F342,F342)=1,1,0))</f>
        <v>0</v>
      </c>
      <c r="Q342" s="0" t="str">
        <f aca="false">IF(B342="","",B342&amp;"|"&amp;C342)</f>
        <v/>
      </c>
      <c r="R342" s="23" t="n">
        <f aca="false">IF(Q342="",0,IF(COUNTIF(Q$16:Q342,Q342)=1,1,0))</f>
        <v>0</v>
      </c>
    </row>
    <row r="343" customFormat="false" ht="15" hidden="false" customHeight="false" outlineLevel="0" collapsed="false">
      <c r="A343" s="0" t="str">
        <f aca="false">IFERROR(MATCH(328,Apparitions!$N$1:$N$5001,0),"")</f>
        <v/>
      </c>
      <c r="B343" s="19" t="str">
        <f aca="false">IF($A343="","",INDEX(Apparitions!$A$1:$A$5001,$A343)&amp;"")</f>
        <v/>
      </c>
      <c r="C343" s="19" t="str">
        <f aca="false">IF($A343="","",INDEX(Apparitions!$B$1:$B$5001,$A343)&amp;"")</f>
        <v/>
      </c>
      <c r="D343" s="20" t="str">
        <f aca="false">IF($A343="","",INDEX(Apparitions!$L$1:$L$5001,$A343))</f>
        <v/>
      </c>
      <c r="E343" s="19" t="str">
        <f aca="false">IF($A343="","",INDEX(Apparitions!$C$1:$C$5001,$A343)&amp;"")</f>
        <v/>
      </c>
      <c r="F343" s="19" t="str">
        <f aca="false">IF($A343="","",INDEX(Apparitions!$H$1:$H$5001,$A343)&amp;"")</f>
        <v/>
      </c>
      <c r="G343" s="19" t="str">
        <f aca="false">IF($A343="","",INDEX(Apparitions!$I$1:$I$5001,$A343)&amp;"")</f>
        <v/>
      </c>
      <c r="H343" s="19" t="str">
        <f aca="false">IF($A343="","",INDEX(Apparitions!$J$1:$J$5001,$A343)&amp;"")</f>
        <v/>
      </c>
      <c r="I343" s="19" t="str">
        <f aca="false">IF($A343="","",INDEX(Apparitions!$G$1:$G$5001,$A343)&amp;"")</f>
        <v/>
      </c>
      <c r="J343" s="19" t="str">
        <f aca="false">IF($A343="","",INDEX(Apparitions!$M$1:$M$5001,$A343)&amp;"")</f>
        <v/>
      </c>
      <c r="K343" s="21" t="str">
        <f aca="false">IF($A343="","",INDEX(Apparitions!$K$1:$K$5001,$A343))</f>
        <v/>
      </c>
      <c r="L343" s="22" t="str">
        <f aca="false">IF($A343="","",INDEX(Apparitions!$E$1:$E$5001,$A343)&amp;"")</f>
        <v/>
      </c>
      <c r="M343" s="19" t="str">
        <f aca="false">IF($A343="","",INDEX(Apparitions!$F$1:$F$5001,$A343)&amp;"")</f>
        <v/>
      </c>
      <c r="O343" s="23" t="n">
        <f aca="false">IF(I343="",0,IF(COUNTIF(I$16:I343,I343)=1,1,0))</f>
        <v>0</v>
      </c>
      <c r="P343" s="23" t="n">
        <f aca="false">IF(F343="",0,IF(COUNTIF(F$16:F343,F343)=1,1,0))</f>
        <v>0</v>
      </c>
      <c r="Q343" s="0" t="str">
        <f aca="false">IF(B343="","",B343&amp;"|"&amp;C343)</f>
        <v/>
      </c>
      <c r="R343" s="23" t="n">
        <f aca="false">IF(Q343="",0,IF(COUNTIF(Q$16:Q343,Q343)=1,1,0))</f>
        <v>0</v>
      </c>
    </row>
    <row r="344" customFormat="false" ht="15" hidden="false" customHeight="false" outlineLevel="0" collapsed="false">
      <c r="A344" s="0" t="str">
        <f aca="false">IFERROR(MATCH(329,Apparitions!$N$1:$N$5001,0),"")</f>
        <v/>
      </c>
      <c r="B344" s="19" t="str">
        <f aca="false">IF($A344="","",INDEX(Apparitions!$A$1:$A$5001,$A344)&amp;"")</f>
        <v/>
      </c>
      <c r="C344" s="19" t="str">
        <f aca="false">IF($A344="","",INDEX(Apparitions!$B$1:$B$5001,$A344)&amp;"")</f>
        <v/>
      </c>
      <c r="D344" s="20" t="str">
        <f aca="false">IF($A344="","",INDEX(Apparitions!$L$1:$L$5001,$A344))</f>
        <v/>
      </c>
      <c r="E344" s="19" t="str">
        <f aca="false">IF($A344="","",INDEX(Apparitions!$C$1:$C$5001,$A344)&amp;"")</f>
        <v/>
      </c>
      <c r="F344" s="19" t="str">
        <f aca="false">IF($A344="","",INDEX(Apparitions!$H$1:$H$5001,$A344)&amp;"")</f>
        <v/>
      </c>
      <c r="G344" s="19" t="str">
        <f aca="false">IF($A344="","",INDEX(Apparitions!$I$1:$I$5001,$A344)&amp;"")</f>
        <v/>
      </c>
      <c r="H344" s="19" t="str">
        <f aca="false">IF($A344="","",INDEX(Apparitions!$J$1:$J$5001,$A344)&amp;"")</f>
        <v/>
      </c>
      <c r="I344" s="19" t="str">
        <f aca="false">IF($A344="","",INDEX(Apparitions!$G$1:$G$5001,$A344)&amp;"")</f>
        <v/>
      </c>
      <c r="J344" s="19" t="str">
        <f aca="false">IF($A344="","",INDEX(Apparitions!$M$1:$M$5001,$A344)&amp;"")</f>
        <v/>
      </c>
      <c r="K344" s="21" t="str">
        <f aca="false">IF($A344="","",INDEX(Apparitions!$K$1:$K$5001,$A344))</f>
        <v/>
      </c>
      <c r="L344" s="22" t="str">
        <f aca="false">IF($A344="","",INDEX(Apparitions!$E$1:$E$5001,$A344)&amp;"")</f>
        <v/>
      </c>
      <c r="M344" s="19" t="str">
        <f aca="false">IF($A344="","",INDEX(Apparitions!$F$1:$F$5001,$A344)&amp;"")</f>
        <v/>
      </c>
      <c r="O344" s="23" t="n">
        <f aca="false">IF(I344="",0,IF(COUNTIF(I$16:I344,I344)=1,1,0))</f>
        <v>0</v>
      </c>
      <c r="P344" s="23" t="n">
        <f aca="false">IF(F344="",0,IF(COUNTIF(F$16:F344,F344)=1,1,0))</f>
        <v>0</v>
      </c>
      <c r="Q344" s="0" t="str">
        <f aca="false">IF(B344="","",B344&amp;"|"&amp;C344)</f>
        <v/>
      </c>
      <c r="R344" s="23" t="n">
        <f aca="false">IF(Q344="",0,IF(COUNTIF(Q$16:Q344,Q344)=1,1,0))</f>
        <v>0</v>
      </c>
    </row>
    <row r="345" customFormat="false" ht="15" hidden="false" customHeight="false" outlineLevel="0" collapsed="false">
      <c r="A345" s="0" t="str">
        <f aca="false">IFERROR(MATCH(330,Apparitions!$N$1:$N$5001,0),"")</f>
        <v/>
      </c>
      <c r="B345" s="19" t="str">
        <f aca="false">IF($A345="","",INDEX(Apparitions!$A$1:$A$5001,$A345)&amp;"")</f>
        <v/>
      </c>
      <c r="C345" s="19" t="str">
        <f aca="false">IF($A345="","",INDEX(Apparitions!$B$1:$B$5001,$A345)&amp;"")</f>
        <v/>
      </c>
      <c r="D345" s="20" t="str">
        <f aca="false">IF($A345="","",INDEX(Apparitions!$L$1:$L$5001,$A345))</f>
        <v/>
      </c>
      <c r="E345" s="19" t="str">
        <f aca="false">IF($A345="","",INDEX(Apparitions!$C$1:$C$5001,$A345)&amp;"")</f>
        <v/>
      </c>
      <c r="F345" s="19" t="str">
        <f aca="false">IF($A345="","",INDEX(Apparitions!$H$1:$H$5001,$A345)&amp;"")</f>
        <v/>
      </c>
      <c r="G345" s="19" t="str">
        <f aca="false">IF($A345="","",INDEX(Apparitions!$I$1:$I$5001,$A345)&amp;"")</f>
        <v/>
      </c>
      <c r="H345" s="19" t="str">
        <f aca="false">IF($A345="","",INDEX(Apparitions!$J$1:$J$5001,$A345)&amp;"")</f>
        <v/>
      </c>
      <c r="I345" s="19" t="str">
        <f aca="false">IF($A345="","",INDEX(Apparitions!$G$1:$G$5001,$A345)&amp;"")</f>
        <v/>
      </c>
      <c r="J345" s="19" t="str">
        <f aca="false">IF($A345="","",INDEX(Apparitions!$M$1:$M$5001,$A345)&amp;"")</f>
        <v/>
      </c>
      <c r="K345" s="21" t="str">
        <f aca="false">IF($A345="","",INDEX(Apparitions!$K$1:$K$5001,$A345))</f>
        <v/>
      </c>
      <c r="L345" s="22" t="str">
        <f aca="false">IF($A345="","",INDEX(Apparitions!$E$1:$E$5001,$A345)&amp;"")</f>
        <v/>
      </c>
      <c r="M345" s="19" t="str">
        <f aca="false">IF($A345="","",INDEX(Apparitions!$F$1:$F$5001,$A345)&amp;"")</f>
        <v/>
      </c>
      <c r="O345" s="23" t="n">
        <f aca="false">IF(I345="",0,IF(COUNTIF(I$16:I345,I345)=1,1,0))</f>
        <v>0</v>
      </c>
      <c r="P345" s="23" t="n">
        <f aca="false">IF(F345="",0,IF(COUNTIF(F$16:F345,F345)=1,1,0))</f>
        <v>0</v>
      </c>
      <c r="Q345" s="0" t="str">
        <f aca="false">IF(B345="","",B345&amp;"|"&amp;C345)</f>
        <v/>
      </c>
      <c r="R345" s="23" t="n">
        <f aca="false">IF(Q345="",0,IF(COUNTIF(Q$16:Q345,Q345)=1,1,0))</f>
        <v>0</v>
      </c>
    </row>
    <row r="346" customFormat="false" ht="15" hidden="false" customHeight="false" outlineLevel="0" collapsed="false">
      <c r="A346" s="0" t="str">
        <f aca="false">IFERROR(MATCH(331,Apparitions!$N$1:$N$5001,0),"")</f>
        <v/>
      </c>
      <c r="B346" s="19" t="str">
        <f aca="false">IF($A346="","",INDEX(Apparitions!$A$1:$A$5001,$A346)&amp;"")</f>
        <v/>
      </c>
      <c r="C346" s="19" t="str">
        <f aca="false">IF($A346="","",INDEX(Apparitions!$B$1:$B$5001,$A346)&amp;"")</f>
        <v/>
      </c>
      <c r="D346" s="20" t="str">
        <f aca="false">IF($A346="","",INDEX(Apparitions!$L$1:$L$5001,$A346))</f>
        <v/>
      </c>
      <c r="E346" s="19" t="str">
        <f aca="false">IF($A346="","",INDEX(Apparitions!$C$1:$C$5001,$A346)&amp;"")</f>
        <v/>
      </c>
      <c r="F346" s="19" t="str">
        <f aca="false">IF($A346="","",INDEX(Apparitions!$H$1:$H$5001,$A346)&amp;"")</f>
        <v/>
      </c>
      <c r="G346" s="19" t="str">
        <f aca="false">IF($A346="","",INDEX(Apparitions!$I$1:$I$5001,$A346)&amp;"")</f>
        <v/>
      </c>
      <c r="H346" s="19" t="str">
        <f aca="false">IF($A346="","",INDEX(Apparitions!$J$1:$J$5001,$A346)&amp;"")</f>
        <v/>
      </c>
      <c r="I346" s="19" t="str">
        <f aca="false">IF($A346="","",INDEX(Apparitions!$G$1:$G$5001,$A346)&amp;"")</f>
        <v/>
      </c>
      <c r="J346" s="19" t="str">
        <f aca="false">IF($A346="","",INDEX(Apparitions!$M$1:$M$5001,$A346)&amp;"")</f>
        <v/>
      </c>
      <c r="K346" s="21" t="str">
        <f aca="false">IF($A346="","",INDEX(Apparitions!$K$1:$K$5001,$A346))</f>
        <v/>
      </c>
      <c r="L346" s="22" t="str">
        <f aca="false">IF($A346="","",INDEX(Apparitions!$E$1:$E$5001,$A346)&amp;"")</f>
        <v/>
      </c>
      <c r="M346" s="19" t="str">
        <f aca="false">IF($A346="","",INDEX(Apparitions!$F$1:$F$5001,$A346)&amp;"")</f>
        <v/>
      </c>
      <c r="O346" s="23" t="n">
        <f aca="false">IF(I346="",0,IF(COUNTIF(I$16:I346,I346)=1,1,0))</f>
        <v>0</v>
      </c>
      <c r="P346" s="23" t="n">
        <f aca="false">IF(F346="",0,IF(COUNTIF(F$16:F346,F346)=1,1,0))</f>
        <v>0</v>
      </c>
      <c r="Q346" s="0" t="str">
        <f aca="false">IF(B346="","",B346&amp;"|"&amp;C346)</f>
        <v/>
      </c>
      <c r="R346" s="23" t="n">
        <f aca="false">IF(Q346="",0,IF(COUNTIF(Q$16:Q346,Q346)=1,1,0))</f>
        <v>0</v>
      </c>
    </row>
    <row r="347" customFormat="false" ht="15" hidden="false" customHeight="false" outlineLevel="0" collapsed="false">
      <c r="A347" s="0" t="str">
        <f aca="false">IFERROR(MATCH(332,Apparitions!$N$1:$N$5001,0),"")</f>
        <v/>
      </c>
      <c r="B347" s="19" t="str">
        <f aca="false">IF($A347="","",INDEX(Apparitions!$A$1:$A$5001,$A347)&amp;"")</f>
        <v/>
      </c>
      <c r="C347" s="19" t="str">
        <f aca="false">IF($A347="","",INDEX(Apparitions!$B$1:$B$5001,$A347)&amp;"")</f>
        <v/>
      </c>
      <c r="D347" s="20" t="str">
        <f aca="false">IF($A347="","",INDEX(Apparitions!$L$1:$L$5001,$A347))</f>
        <v/>
      </c>
      <c r="E347" s="19" t="str">
        <f aca="false">IF($A347="","",INDEX(Apparitions!$C$1:$C$5001,$A347)&amp;"")</f>
        <v/>
      </c>
      <c r="F347" s="19" t="str">
        <f aca="false">IF($A347="","",INDEX(Apparitions!$H$1:$H$5001,$A347)&amp;"")</f>
        <v/>
      </c>
      <c r="G347" s="19" t="str">
        <f aca="false">IF($A347="","",INDEX(Apparitions!$I$1:$I$5001,$A347)&amp;"")</f>
        <v/>
      </c>
      <c r="H347" s="19" t="str">
        <f aca="false">IF($A347="","",INDEX(Apparitions!$J$1:$J$5001,$A347)&amp;"")</f>
        <v/>
      </c>
      <c r="I347" s="19" t="str">
        <f aca="false">IF($A347="","",INDEX(Apparitions!$G$1:$G$5001,$A347)&amp;"")</f>
        <v/>
      </c>
      <c r="J347" s="19" t="str">
        <f aca="false">IF($A347="","",INDEX(Apparitions!$M$1:$M$5001,$A347)&amp;"")</f>
        <v/>
      </c>
      <c r="K347" s="21" t="str">
        <f aca="false">IF($A347="","",INDEX(Apparitions!$K$1:$K$5001,$A347))</f>
        <v/>
      </c>
      <c r="L347" s="22" t="str">
        <f aca="false">IF($A347="","",INDEX(Apparitions!$E$1:$E$5001,$A347)&amp;"")</f>
        <v/>
      </c>
      <c r="M347" s="19" t="str">
        <f aca="false">IF($A347="","",INDEX(Apparitions!$F$1:$F$5001,$A347)&amp;"")</f>
        <v/>
      </c>
      <c r="O347" s="23" t="n">
        <f aca="false">IF(I347="",0,IF(COUNTIF(I$16:I347,I347)=1,1,0))</f>
        <v>0</v>
      </c>
      <c r="P347" s="23" t="n">
        <f aca="false">IF(F347="",0,IF(COUNTIF(F$16:F347,F347)=1,1,0))</f>
        <v>0</v>
      </c>
      <c r="Q347" s="0" t="str">
        <f aca="false">IF(B347="","",B347&amp;"|"&amp;C347)</f>
        <v/>
      </c>
      <c r="R347" s="23" t="n">
        <f aca="false">IF(Q347="",0,IF(COUNTIF(Q$16:Q347,Q347)=1,1,0))</f>
        <v>0</v>
      </c>
    </row>
    <row r="348" customFormat="false" ht="15" hidden="false" customHeight="false" outlineLevel="0" collapsed="false">
      <c r="A348" s="0" t="str">
        <f aca="false">IFERROR(MATCH(333,Apparitions!$N$1:$N$5001,0),"")</f>
        <v/>
      </c>
      <c r="B348" s="19" t="str">
        <f aca="false">IF($A348="","",INDEX(Apparitions!$A$1:$A$5001,$A348)&amp;"")</f>
        <v/>
      </c>
      <c r="C348" s="19" t="str">
        <f aca="false">IF($A348="","",INDEX(Apparitions!$B$1:$B$5001,$A348)&amp;"")</f>
        <v/>
      </c>
      <c r="D348" s="20" t="str">
        <f aca="false">IF($A348="","",INDEX(Apparitions!$L$1:$L$5001,$A348))</f>
        <v/>
      </c>
      <c r="E348" s="19" t="str">
        <f aca="false">IF($A348="","",INDEX(Apparitions!$C$1:$C$5001,$A348)&amp;"")</f>
        <v/>
      </c>
      <c r="F348" s="19" t="str">
        <f aca="false">IF($A348="","",INDEX(Apparitions!$H$1:$H$5001,$A348)&amp;"")</f>
        <v/>
      </c>
      <c r="G348" s="19" t="str">
        <f aca="false">IF($A348="","",INDEX(Apparitions!$I$1:$I$5001,$A348)&amp;"")</f>
        <v/>
      </c>
      <c r="H348" s="19" t="str">
        <f aca="false">IF($A348="","",INDEX(Apparitions!$J$1:$J$5001,$A348)&amp;"")</f>
        <v/>
      </c>
      <c r="I348" s="19" t="str">
        <f aca="false">IF($A348="","",INDEX(Apparitions!$G$1:$G$5001,$A348)&amp;"")</f>
        <v/>
      </c>
      <c r="J348" s="19" t="str">
        <f aca="false">IF($A348="","",INDEX(Apparitions!$M$1:$M$5001,$A348)&amp;"")</f>
        <v/>
      </c>
      <c r="K348" s="21" t="str">
        <f aca="false">IF($A348="","",INDEX(Apparitions!$K$1:$K$5001,$A348))</f>
        <v/>
      </c>
      <c r="L348" s="22" t="str">
        <f aca="false">IF($A348="","",INDEX(Apparitions!$E$1:$E$5001,$A348)&amp;"")</f>
        <v/>
      </c>
      <c r="M348" s="19" t="str">
        <f aca="false">IF($A348="","",INDEX(Apparitions!$F$1:$F$5001,$A348)&amp;"")</f>
        <v/>
      </c>
      <c r="O348" s="23" t="n">
        <f aca="false">IF(I348="",0,IF(COUNTIF(I$16:I348,I348)=1,1,0))</f>
        <v>0</v>
      </c>
      <c r="P348" s="23" t="n">
        <f aca="false">IF(F348="",0,IF(COUNTIF(F$16:F348,F348)=1,1,0))</f>
        <v>0</v>
      </c>
      <c r="Q348" s="0" t="str">
        <f aca="false">IF(B348="","",B348&amp;"|"&amp;C348)</f>
        <v/>
      </c>
      <c r="R348" s="23" t="n">
        <f aca="false">IF(Q348="",0,IF(COUNTIF(Q$16:Q348,Q348)=1,1,0))</f>
        <v>0</v>
      </c>
    </row>
    <row r="349" customFormat="false" ht="15" hidden="false" customHeight="false" outlineLevel="0" collapsed="false">
      <c r="A349" s="0" t="str">
        <f aca="false">IFERROR(MATCH(334,Apparitions!$N$1:$N$5001,0),"")</f>
        <v/>
      </c>
      <c r="B349" s="19" t="str">
        <f aca="false">IF($A349="","",INDEX(Apparitions!$A$1:$A$5001,$A349)&amp;"")</f>
        <v/>
      </c>
      <c r="C349" s="19" t="str">
        <f aca="false">IF($A349="","",INDEX(Apparitions!$B$1:$B$5001,$A349)&amp;"")</f>
        <v/>
      </c>
      <c r="D349" s="20" t="str">
        <f aca="false">IF($A349="","",INDEX(Apparitions!$L$1:$L$5001,$A349))</f>
        <v/>
      </c>
      <c r="E349" s="19" t="str">
        <f aca="false">IF($A349="","",INDEX(Apparitions!$C$1:$C$5001,$A349)&amp;"")</f>
        <v/>
      </c>
      <c r="F349" s="19" t="str">
        <f aca="false">IF($A349="","",INDEX(Apparitions!$H$1:$H$5001,$A349)&amp;"")</f>
        <v/>
      </c>
      <c r="G349" s="19" t="str">
        <f aca="false">IF($A349="","",INDEX(Apparitions!$I$1:$I$5001,$A349)&amp;"")</f>
        <v/>
      </c>
      <c r="H349" s="19" t="str">
        <f aca="false">IF($A349="","",INDEX(Apparitions!$J$1:$J$5001,$A349)&amp;"")</f>
        <v/>
      </c>
      <c r="I349" s="19" t="str">
        <f aca="false">IF($A349="","",INDEX(Apparitions!$G$1:$G$5001,$A349)&amp;"")</f>
        <v/>
      </c>
      <c r="J349" s="19" t="str">
        <f aca="false">IF($A349="","",INDEX(Apparitions!$M$1:$M$5001,$A349)&amp;"")</f>
        <v/>
      </c>
      <c r="K349" s="21" t="str">
        <f aca="false">IF($A349="","",INDEX(Apparitions!$K$1:$K$5001,$A349))</f>
        <v/>
      </c>
      <c r="L349" s="22" t="str">
        <f aca="false">IF($A349="","",INDEX(Apparitions!$E$1:$E$5001,$A349)&amp;"")</f>
        <v/>
      </c>
      <c r="M349" s="19" t="str">
        <f aca="false">IF($A349="","",INDEX(Apparitions!$F$1:$F$5001,$A349)&amp;"")</f>
        <v/>
      </c>
      <c r="O349" s="23" t="n">
        <f aca="false">IF(I349="",0,IF(COUNTIF(I$16:I349,I349)=1,1,0))</f>
        <v>0</v>
      </c>
      <c r="P349" s="23" t="n">
        <f aca="false">IF(F349="",0,IF(COUNTIF(F$16:F349,F349)=1,1,0))</f>
        <v>0</v>
      </c>
      <c r="Q349" s="0" t="str">
        <f aca="false">IF(B349="","",B349&amp;"|"&amp;C349)</f>
        <v/>
      </c>
      <c r="R349" s="23" t="n">
        <f aca="false">IF(Q349="",0,IF(COUNTIF(Q$16:Q349,Q349)=1,1,0))</f>
        <v>0</v>
      </c>
    </row>
    <row r="350" customFormat="false" ht="15" hidden="false" customHeight="false" outlineLevel="0" collapsed="false">
      <c r="A350" s="0" t="str">
        <f aca="false">IFERROR(MATCH(335,Apparitions!$N$1:$N$5001,0),"")</f>
        <v/>
      </c>
      <c r="B350" s="19" t="str">
        <f aca="false">IF($A350="","",INDEX(Apparitions!$A$1:$A$5001,$A350)&amp;"")</f>
        <v/>
      </c>
      <c r="C350" s="19" t="str">
        <f aca="false">IF($A350="","",INDEX(Apparitions!$B$1:$B$5001,$A350)&amp;"")</f>
        <v/>
      </c>
      <c r="D350" s="20" t="str">
        <f aca="false">IF($A350="","",INDEX(Apparitions!$L$1:$L$5001,$A350))</f>
        <v/>
      </c>
      <c r="E350" s="19" t="str">
        <f aca="false">IF($A350="","",INDEX(Apparitions!$C$1:$C$5001,$A350)&amp;"")</f>
        <v/>
      </c>
      <c r="F350" s="19" t="str">
        <f aca="false">IF($A350="","",INDEX(Apparitions!$H$1:$H$5001,$A350)&amp;"")</f>
        <v/>
      </c>
      <c r="G350" s="19" t="str">
        <f aca="false">IF($A350="","",INDEX(Apparitions!$I$1:$I$5001,$A350)&amp;"")</f>
        <v/>
      </c>
      <c r="H350" s="19" t="str">
        <f aca="false">IF($A350="","",INDEX(Apparitions!$J$1:$J$5001,$A350)&amp;"")</f>
        <v/>
      </c>
      <c r="I350" s="19" t="str">
        <f aca="false">IF($A350="","",INDEX(Apparitions!$G$1:$G$5001,$A350)&amp;"")</f>
        <v/>
      </c>
      <c r="J350" s="19" t="str">
        <f aca="false">IF($A350="","",INDEX(Apparitions!$M$1:$M$5001,$A350)&amp;"")</f>
        <v/>
      </c>
      <c r="K350" s="21" t="str">
        <f aca="false">IF($A350="","",INDEX(Apparitions!$K$1:$K$5001,$A350))</f>
        <v/>
      </c>
      <c r="L350" s="22" t="str">
        <f aca="false">IF($A350="","",INDEX(Apparitions!$E$1:$E$5001,$A350)&amp;"")</f>
        <v/>
      </c>
      <c r="M350" s="19" t="str">
        <f aca="false">IF($A350="","",INDEX(Apparitions!$F$1:$F$5001,$A350)&amp;"")</f>
        <v/>
      </c>
      <c r="O350" s="23" t="n">
        <f aca="false">IF(I350="",0,IF(COUNTIF(I$16:I350,I350)=1,1,0))</f>
        <v>0</v>
      </c>
      <c r="P350" s="23" t="n">
        <f aca="false">IF(F350="",0,IF(COUNTIF(F$16:F350,F350)=1,1,0))</f>
        <v>0</v>
      </c>
      <c r="Q350" s="0" t="str">
        <f aca="false">IF(B350="","",B350&amp;"|"&amp;C350)</f>
        <v/>
      </c>
      <c r="R350" s="23" t="n">
        <f aca="false">IF(Q350="",0,IF(COUNTIF(Q$16:Q350,Q350)=1,1,0))</f>
        <v>0</v>
      </c>
    </row>
    <row r="351" customFormat="false" ht="15" hidden="false" customHeight="false" outlineLevel="0" collapsed="false">
      <c r="A351" s="0" t="str">
        <f aca="false">IFERROR(MATCH(336,Apparitions!$N$1:$N$5001,0),"")</f>
        <v/>
      </c>
      <c r="B351" s="19" t="str">
        <f aca="false">IF($A351="","",INDEX(Apparitions!$A$1:$A$5001,$A351)&amp;"")</f>
        <v/>
      </c>
      <c r="C351" s="19" t="str">
        <f aca="false">IF($A351="","",INDEX(Apparitions!$B$1:$B$5001,$A351)&amp;"")</f>
        <v/>
      </c>
      <c r="D351" s="20" t="str">
        <f aca="false">IF($A351="","",INDEX(Apparitions!$L$1:$L$5001,$A351))</f>
        <v/>
      </c>
      <c r="E351" s="19" t="str">
        <f aca="false">IF($A351="","",INDEX(Apparitions!$C$1:$C$5001,$A351)&amp;"")</f>
        <v/>
      </c>
      <c r="F351" s="19" t="str">
        <f aca="false">IF($A351="","",INDEX(Apparitions!$H$1:$H$5001,$A351)&amp;"")</f>
        <v/>
      </c>
      <c r="G351" s="19" t="str">
        <f aca="false">IF($A351="","",INDEX(Apparitions!$I$1:$I$5001,$A351)&amp;"")</f>
        <v/>
      </c>
      <c r="H351" s="19" t="str">
        <f aca="false">IF($A351="","",INDEX(Apparitions!$J$1:$J$5001,$A351)&amp;"")</f>
        <v/>
      </c>
      <c r="I351" s="19" t="str">
        <f aca="false">IF($A351="","",INDEX(Apparitions!$G$1:$G$5001,$A351)&amp;"")</f>
        <v/>
      </c>
      <c r="J351" s="19" t="str">
        <f aca="false">IF($A351="","",INDEX(Apparitions!$M$1:$M$5001,$A351)&amp;"")</f>
        <v/>
      </c>
      <c r="K351" s="21" t="str">
        <f aca="false">IF($A351="","",INDEX(Apparitions!$K$1:$K$5001,$A351))</f>
        <v/>
      </c>
      <c r="L351" s="22" t="str">
        <f aca="false">IF($A351="","",INDEX(Apparitions!$E$1:$E$5001,$A351)&amp;"")</f>
        <v/>
      </c>
      <c r="M351" s="19" t="str">
        <f aca="false">IF($A351="","",INDEX(Apparitions!$F$1:$F$5001,$A351)&amp;"")</f>
        <v/>
      </c>
      <c r="O351" s="23" t="n">
        <f aca="false">IF(I351="",0,IF(COUNTIF(I$16:I351,I351)=1,1,0))</f>
        <v>0</v>
      </c>
      <c r="P351" s="23" t="n">
        <f aca="false">IF(F351="",0,IF(COUNTIF(F$16:F351,F351)=1,1,0))</f>
        <v>0</v>
      </c>
      <c r="Q351" s="0" t="str">
        <f aca="false">IF(B351="","",B351&amp;"|"&amp;C351)</f>
        <v/>
      </c>
      <c r="R351" s="23" t="n">
        <f aca="false">IF(Q351="",0,IF(COUNTIF(Q$16:Q351,Q351)=1,1,0))</f>
        <v>0</v>
      </c>
    </row>
    <row r="352" customFormat="false" ht="15" hidden="false" customHeight="false" outlineLevel="0" collapsed="false">
      <c r="A352" s="0" t="str">
        <f aca="false">IFERROR(MATCH(337,Apparitions!$N$1:$N$5001,0),"")</f>
        <v/>
      </c>
      <c r="B352" s="19" t="str">
        <f aca="false">IF($A352="","",INDEX(Apparitions!$A$1:$A$5001,$A352)&amp;"")</f>
        <v/>
      </c>
      <c r="C352" s="19" t="str">
        <f aca="false">IF($A352="","",INDEX(Apparitions!$B$1:$B$5001,$A352)&amp;"")</f>
        <v/>
      </c>
      <c r="D352" s="20" t="str">
        <f aca="false">IF($A352="","",INDEX(Apparitions!$L$1:$L$5001,$A352))</f>
        <v/>
      </c>
      <c r="E352" s="19" t="str">
        <f aca="false">IF($A352="","",INDEX(Apparitions!$C$1:$C$5001,$A352)&amp;"")</f>
        <v/>
      </c>
      <c r="F352" s="19" t="str">
        <f aca="false">IF($A352="","",INDEX(Apparitions!$H$1:$H$5001,$A352)&amp;"")</f>
        <v/>
      </c>
      <c r="G352" s="19" t="str">
        <f aca="false">IF($A352="","",INDEX(Apparitions!$I$1:$I$5001,$A352)&amp;"")</f>
        <v/>
      </c>
      <c r="H352" s="19" t="str">
        <f aca="false">IF($A352="","",INDEX(Apparitions!$J$1:$J$5001,$A352)&amp;"")</f>
        <v/>
      </c>
      <c r="I352" s="19" t="str">
        <f aca="false">IF($A352="","",INDEX(Apparitions!$G$1:$G$5001,$A352)&amp;"")</f>
        <v/>
      </c>
      <c r="J352" s="19" t="str">
        <f aca="false">IF($A352="","",INDEX(Apparitions!$M$1:$M$5001,$A352)&amp;"")</f>
        <v/>
      </c>
      <c r="K352" s="21" t="str">
        <f aca="false">IF($A352="","",INDEX(Apparitions!$K$1:$K$5001,$A352))</f>
        <v/>
      </c>
      <c r="L352" s="22" t="str">
        <f aca="false">IF($A352="","",INDEX(Apparitions!$E$1:$E$5001,$A352)&amp;"")</f>
        <v/>
      </c>
      <c r="M352" s="19" t="str">
        <f aca="false">IF($A352="","",INDEX(Apparitions!$F$1:$F$5001,$A352)&amp;"")</f>
        <v/>
      </c>
      <c r="O352" s="23" t="n">
        <f aca="false">IF(I352="",0,IF(COUNTIF(I$16:I352,I352)=1,1,0))</f>
        <v>0</v>
      </c>
      <c r="P352" s="23" t="n">
        <f aca="false">IF(F352="",0,IF(COUNTIF(F$16:F352,F352)=1,1,0))</f>
        <v>0</v>
      </c>
      <c r="Q352" s="0" t="str">
        <f aca="false">IF(B352="","",B352&amp;"|"&amp;C352)</f>
        <v/>
      </c>
      <c r="R352" s="23" t="n">
        <f aca="false">IF(Q352="",0,IF(COUNTIF(Q$16:Q352,Q352)=1,1,0))</f>
        <v>0</v>
      </c>
    </row>
    <row r="353" customFormat="false" ht="15" hidden="false" customHeight="false" outlineLevel="0" collapsed="false">
      <c r="A353" s="0" t="str">
        <f aca="false">IFERROR(MATCH(338,Apparitions!$N$1:$N$5001,0),"")</f>
        <v/>
      </c>
      <c r="B353" s="19" t="str">
        <f aca="false">IF($A353="","",INDEX(Apparitions!$A$1:$A$5001,$A353)&amp;"")</f>
        <v/>
      </c>
      <c r="C353" s="19" t="str">
        <f aca="false">IF($A353="","",INDEX(Apparitions!$B$1:$B$5001,$A353)&amp;"")</f>
        <v/>
      </c>
      <c r="D353" s="20" t="str">
        <f aca="false">IF($A353="","",INDEX(Apparitions!$L$1:$L$5001,$A353))</f>
        <v/>
      </c>
      <c r="E353" s="19" t="str">
        <f aca="false">IF($A353="","",INDEX(Apparitions!$C$1:$C$5001,$A353)&amp;"")</f>
        <v/>
      </c>
      <c r="F353" s="19" t="str">
        <f aca="false">IF($A353="","",INDEX(Apparitions!$H$1:$H$5001,$A353)&amp;"")</f>
        <v/>
      </c>
      <c r="G353" s="19" t="str">
        <f aca="false">IF($A353="","",INDEX(Apparitions!$I$1:$I$5001,$A353)&amp;"")</f>
        <v/>
      </c>
      <c r="H353" s="19" t="str">
        <f aca="false">IF($A353="","",INDEX(Apparitions!$J$1:$J$5001,$A353)&amp;"")</f>
        <v/>
      </c>
      <c r="I353" s="19" t="str">
        <f aca="false">IF($A353="","",INDEX(Apparitions!$G$1:$G$5001,$A353)&amp;"")</f>
        <v/>
      </c>
      <c r="J353" s="19" t="str">
        <f aca="false">IF($A353="","",INDEX(Apparitions!$M$1:$M$5001,$A353)&amp;"")</f>
        <v/>
      </c>
      <c r="K353" s="21" t="str">
        <f aca="false">IF($A353="","",INDEX(Apparitions!$K$1:$K$5001,$A353))</f>
        <v/>
      </c>
      <c r="L353" s="22" t="str">
        <f aca="false">IF($A353="","",INDEX(Apparitions!$E$1:$E$5001,$A353)&amp;"")</f>
        <v/>
      </c>
      <c r="M353" s="19" t="str">
        <f aca="false">IF($A353="","",INDEX(Apparitions!$F$1:$F$5001,$A353)&amp;"")</f>
        <v/>
      </c>
      <c r="O353" s="23" t="n">
        <f aca="false">IF(I353="",0,IF(COUNTIF(I$16:I353,I353)=1,1,0))</f>
        <v>0</v>
      </c>
      <c r="P353" s="23" t="n">
        <f aca="false">IF(F353="",0,IF(COUNTIF(F$16:F353,F353)=1,1,0))</f>
        <v>0</v>
      </c>
      <c r="Q353" s="0" t="str">
        <f aca="false">IF(B353="","",B353&amp;"|"&amp;C353)</f>
        <v/>
      </c>
      <c r="R353" s="23" t="n">
        <f aca="false">IF(Q353="",0,IF(COUNTIF(Q$16:Q353,Q353)=1,1,0))</f>
        <v>0</v>
      </c>
    </row>
    <row r="354" customFormat="false" ht="15" hidden="false" customHeight="false" outlineLevel="0" collapsed="false">
      <c r="A354" s="0" t="str">
        <f aca="false">IFERROR(MATCH(339,Apparitions!$N$1:$N$5001,0),"")</f>
        <v/>
      </c>
      <c r="B354" s="19" t="str">
        <f aca="false">IF($A354="","",INDEX(Apparitions!$A$1:$A$5001,$A354)&amp;"")</f>
        <v/>
      </c>
      <c r="C354" s="19" t="str">
        <f aca="false">IF($A354="","",INDEX(Apparitions!$B$1:$B$5001,$A354)&amp;"")</f>
        <v/>
      </c>
      <c r="D354" s="20" t="str">
        <f aca="false">IF($A354="","",INDEX(Apparitions!$L$1:$L$5001,$A354))</f>
        <v/>
      </c>
      <c r="E354" s="19" t="str">
        <f aca="false">IF($A354="","",INDEX(Apparitions!$C$1:$C$5001,$A354)&amp;"")</f>
        <v/>
      </c>
      <c r="F354" s="19" t="str">
        <f aca="false">IF($A354="","",INDEX(Apparitions!$H$1:$H$5001,$A354)&amp;"")</f>
        <v/>
      </c>
      <c r="G354" s="19" t="str">
        <f aca="false">IF($A354="","",INDEX(Apparitions!$I$1:$I$5001,$A354)&amp;"")</f>
        <v/>
      </c>
      <c r="H354" s="19" t="str">
        <f aca="false">IF($A354="","",INDEX(Apparitions!$J$1:$J$5001,$A354)&amp;"")</f>
        <v/>
      </c>
      <c r="I354" s="19" t="str">
        <f aca="false">IF($A354="","",INDEX(Apparitions!$G$1:$G$5001,$A354)&amp;"")</f>
        <v/>
      </c>
      <c r="J354" s="19" t="str">
        <f aca="false">IF($A354="","",INDEX(Apparitions!$M$1:$M$5001,$A354)&amp;"")</f>
        <v/>
      </c>
      <c r="K354" s="21" t="str">
        <f aca="false">IF($A354="","",INDEX(Apparitions!$K$1:$K$5001,$A354))</f>
        <v/>
      </c>
      <c r="L354" s="22" t="str">
        <f aca="false">IF($A354="","",INDEX(Apparitions!$E$1:$E$5001,$A354)&amp;"")</f>
        <v/>
      </c>
      <c r="M354" s="19" t="str">
        <f aca="false">IF($A354="","",INDEX(Apparitions!$F$1:$F$5001,$A354)&amp;"")</f>
        <v/>
      </c>
      <c r="O354" s="23" t="n">
        <f aca="false">IF(I354="",0,IF(COUNTIF(I$16:I354,I354)=1,1,0))</f>
        <v>0</v>
      </c>
      <c r="P354" s="23" t="n">
        <f aca="false">IF(F354="",0,IF(COUNTIF(F$16:F354,F354)=1,1,0))</f>
        <v>0</v>
      </c>
      <c r="Q354" s="0" t="str">
        <f aca="false">IF(B354="","",B354&amp;"|"&amp;C354)</f>
        <v/>
      </c>
      <c r="R354" s="23" t="n">
        <f aca="false">IF(Q354="",0,IF(COUNTIF(Q$16:Q354,Q354)=1,1,0))</f>
        <v>0</v>
      </c>
    </row>
    <row r="355" customFormat="false" ht="15" hidden="false" customHeight="false" outlineLevel="0" collapsed="false">
      <c r="A355" s="0" t="str">
        <f aca="false">IFERROR(MATCH(340,Apparitions!$N$1:$N$5001,0),"")</f>
        <v/>
      </c>
      <c r="B355" s="19" t="str">
        <f aca="false">IF($A355="","",INDEX(Apparitions!$A$1:$A$5001,$A355)&amp;"")</f>
        <v/>
      </c>
      <c r="C355" s="19" t="str">
        <f aca="false">IF($A355="","",INDEX(Apparitions!$B$1:$B$5001,$A355)&amp;"")</f>
        <v/>
      </c>
      <c r="D355" s="20" t="str">
        <f aca="false">IF($A355="","",INDEX(Apparitions!$L$1:$L$5001,$A355))</f>
        <v/>
      </c>
      <c r="E355" s="19" t="str">
        <f aca="false">IF($A355="","",INDEX(Apparitions!$C$1:$C$5001,$A355)&amp;"")</f>
        <v/>
      </c>
      <c r="F355" s="19" t="str">
        <f aca="false">IF($A355="","",INDEX(Apparitions!$H$1:$H$5001,$A355)&amp;"")</f>
        <v/>
      </c>
      <c r="G355" s="19" t="str">
        <f aca="false">IF($A355="","",INDEX(Apparitions!$I$1:$I$5001,$A355)&amp;"")</f>
        <v/>
      </c>
      <c r="H355" s="19" t="str">
        <f aca="false">IF($A355="","",INDEX(Apparitions!$J$1:$J$5001,$A355)&amp;"")</f>
        <v/>
      </c>
      <c r="I355" s="19" t="str">
        <f aca="false">IF($A355="","",INDEX(Apparitions!$G$1:$G$5001,$A355)&amp;"")</f>
        <v/>
      </c>
      <c r="J355" s="19" t="str">
        <f aca="false">IF($A355="","",INDEX(Apparitions!$M$1:$M$5001,$A355)&amp;"")</f>
        <v/>
      </c>
      <c r="K355" s="21" t="str">
        <f aca="false">IF($A355="","",INDEX(Apparitions!$K$1:$K$5001,$A355))</f>
        <v/>
      </c>
      <c r="L355" s="22" t="str">
        <f aca="false">IF($A355="","",INDEX(Apparitions!$E$1:$E$5001,$A355)&amp;"")</f>
        <v/>
      </c>
      <c r="M355" s="19" t="str">
        <f aca="false">IF($A355="","",INDEX(Apparitions!$F$1:$F$5001,$A355)&amp;"")</f>
        <v/>
      </c>
      <c r="O355" s="23" t="n">
        <f aca="false">IF(I355="",0,IF(COUNTIF(I$16:I355,I355)=1,1,0))</f>
        <v>0</v>
      </c>
      <c r="P355" s="23" t="n">
        <f aca="false">IF(F355="",0,IF(COUNTIF(F$16:F355,F355)=1,1,0))</f>
        <v>0</v>
      </c>
      <c r="Q355" s="0" t="str">
        <f aca="false">IF(B355="","",B355&amp;"|"&amp;C355)</f>
        <v/>
      </c>
      <c r="R355" s="23" t="n">
        <f aca="false">IF(Q355="",0,IF(COUNTIF(Q$16:Q355,Q355)=1,1,0))</f>
        <v>0</v>
      </c>
    </row>
    <row r="356" customFormat="false" ht="15" hidden="false" customHeight="false" outlineLevel="0" collapsed="false">
      <c r="A356" s="0" t="str">
        <f aca="false">IFERROR(MATCH(341,Apparitions!$N$1:$N$5001,0),"")</f>
        <v/>
      </c>
      <c r="B356" s="19" t="str">
        <f aca="false">IF($A356="","",INDEX(Apparitions!$A$1:$A$5001,$A356)&amp;"")</f>
        <v/>
      </c>
      <c r="C356" s="19" t="str">
        <f aca="false">IF($A356="","",INDEX(Apparitions!$B$1:$B$5001,$A356)&amp;"")</f>
        <v/>
      </c>
      <c r="D356" s="20" t="str">
        <f aca="false">IF($A356="","",INDEX(Apparitions!$L$1:$L$5001,$A356))</f>
        <v/>
      </c>
      <c r="E356" s="19" t="str">
        <f aca="false">IF($A356="","",INDEX(Apparitions!$C$1:$C$5001,$A356)&amp;"")</f>
        <v/>
      </c>
      <c r="F356" s="19" t="str">
        <f aca="false">IF($A356="","",INDEX(Apparitions!$H$1:$H$5001,$A356)&amp;"")</f>
        <v/>
      </c>
      <c r="G356" s="19" t="str">
        <f aca="false">IF($A356="","",INDEX(Apparitions!$I$1:$I$5001,$A356)&amp;"")</f>
        <v/>
      </c>
      <c r="H356" s="19" t="str">
        <f aca="false">IF($A356="","",INDEX(Apparitions!$J$1:$J$5001,$A356)&amp;"")</f>
        <v/>
      </c>
      <c r="I356" s="19" t="str">
        <f aca="false">IF($A356="","",INDEX(Apparitions!$G$1:$G$5001,$A356)&amp;"")</f>
        <v/>
      </c>
      <c r="J356" s="19" t="str">
        <f aca="false">IF($A356="","",INDEX(Apparitions!$M$1:$M$5001,$A356)&amp;"")</f>
        <v/>
      </c>
      <c r="K356" s="21" t="str">
        <f aca="false">IF($A356="","",INDEX(Apparitions!$K$1:$K$5001,$A356))</f>
        <v/>
      </c>
      <c r="L356" s="22" t="str">
        <f aca="false">IF($A356="","",INDEX(Apparitions!$E$1:$E$5001,$A356)&amp;"")</f>
        <v/>
      </c>
      <c r="M356" s="19" t="str">
        <f aca="false">IF($A356="","",INDEX(Apparitions!$F$1:$F$5001,$A356)&amp;"")</f>
        <v/>
      </c>
      <c r="O356" s="23" t="n">
        <f aca="false">IF(I356="",0,IF(COUNTIF(I$16:I356,I356)=1,1,0))</f>
        <v>0</v>
      </c>
      <c r="P356" s="23" t="n">
        <f aca="false">IF(F356="",0,IF(COUNTIF(F$16:F356,F356)=1,1,0))</f>
        <v>0</v>
      </c>
      <c r="Q356" s="0" t="str">
        <f aca="false">IF(B356="","",B356&amp;"|"&amp;C356)</f>
        <v/>
      </c>
      <c r="R356" s="23" t="n">
        <f aca="false">IF(Q356="",0,IF(COUNTIF(Q$16:Q356,Q356)=1,1,0))</f>
        <v>0</v>
      </c>
    </row>
    <row r="357" customFormat="false" ht="15" hidden="false" customHeight="false" outlineLevel="0" collapsed="false">
      <c r="A357" s="0" t="str">
        <f aca="false">IFERROR(MATCH(342,Apparitions!$N$1:$N$5001,0),"")</f>
        <v/>
      </c>
      <c r="B357" s="19" t="str">
        <f aca="false">IF($A357="","",INDEX(Apparitions!$A$1:$A$5001,$A357)&amp;"")</f>
        <v/>
      </c>
      <c r="C357" s="19" t="str">
        <f aca="false">IF($A357="","",INDEX(Apparitions!$B$1:$B$5001,$A357)&amp;"")</f>
        <v/>
      </c>
      <c r="D357" s="20" t="str">
        <f aca="false">IF($A357="","",INDEX(Apparitions!$L$1:$L$5001,$A357))</f>
        <v/>
      </c>
      <c r="E357" s="19" t="str">
        <f aca="false">IF($A357="","",INDEX(Apparitions!$C$1:$C$5001,$A357)&amp;"")</f>
        <v/>
      </c>
      <c r="F357" s="19" t="str">
        <f aca="false">IF($A357="","",INDEX(Apparitions!$H$1:$H$5001,$A357)&amp;"")</f>
        <v/>
      </c>
      <c r="G357" s="19" t="str">
        <f aca="false">IF($A357="","",INDEX(Apparitions!$I$1:$I$5001,$A357)&amp;"")</f>
        <v/>
      </c>
      <c r="H357" s="19" t="str">
        <f aca="false">IF($A357="","",INDEX(Apparitions!$J$1:$J$5001,$A357)&amp;"")</f>
        <v/>
      </c>
      <c r="I357" s="19" t="str">
        <f aca="false">IF($A357="","",INDEX(Apparitions!$G$1:$G$5001,$A357)&amp;"")</f>
        <v/>
      </c>
      <c r="J357" s="19" t="str">
        <f aca="false">IF($A357="","",INDEX(Apparitions!$M$1:$M$5001,$A357)&amp;"")</f>
        <v/>
      </c>
      <c r="K357" s="21" t="str">
        <f aca="false">IF($A357="","",INDEX(Apparitions!$K$1:$K$5001,$A357))</f>
        <v/>
      </c>
      <c r="L357" s="22" t="str">
        <f aca="false">IF($A357="","",INDEX(Apparitions!$E$1:$E$5001,$A357)&amp;"")</f>
        <v/>
      </c>
      <c r="M357" s="19" t="str">
        <f aca="false">IF($A357="","",INDEX(Apparitions!$F$1:$F$5001,$A357)&amp;"")</f>
        <v/>
      </c>
      <c r="O357" s="23" t="n">
        <f aca="false">IF(I357="",0,IF(COUNTIF(I$16:I357,I357)=1,1,0))</f>
        <v>0</v>
      </c>
      <c r="P357" s="23" t="n">
        <f aca="false">IF(F357="",0,IF(COUNTIF(F$16:F357,F357)=1,1,0))</f>
        <v>0</v>
      </c>
      <c r="Q357" s="0" t="str">
        <f aca="false">IF(B357="","",B357&amp;"|"&amp;C357)</f>
        <v/>
      </c>
      <c r="R357" s="23" t="n">
        <f aca="false">IF(Q357="",0,IF(COUNTIF(Q$16:Q357,Q357)=1,1,0))</f>
        <v>0</v>
      </c>
    </row>
    <row r="358" customFormat="false" ht="15" hidden="false" customHeight="false" outlineLevel="0" collapsed="false">
      <c r="A358" s="0" t="str">
        <f aca="false">IFERROR(MATCH(343,Apparitions!$N$1:$N$5001,0),"")</f>
        <v/>
      </c>
      <c r="B358" s="19" t="str">
        <f aca="false">IF($A358="","",INDEX(Apparitions!$A$1:$A$5001,$A358)&amp;"")</f>
        <v/>
      </c>
      <c r="C358" s="19" t="str">
        <f aca="false">IF($A358="","",INDEX(Apparitions!$B$1:$B$5001,$A358)&amp;"")</f>
        <v/>
      </c>
      <c r="D358" s="20" t="str">
        <f aca="false">IF($A358="","",INDEX(Apparitions!$L$1:$L$5001,$A358))</f>
        <v/>
      </c>
      <c r="E358" s="19" t="str">
        <f aca="false">IF($A358="","",INDEX(Apparitions!$C$1:$C$5001,$A358)&amp;"")</f>
        <v/>
      </c>
      <c r="F358" s="19" t="str">
        <f aca="false">IF($A358="","",INDEX(Apparitions!$H$1:$H$5001,$A358)&amp;"")</f>
        <v/>
      </c>
      <c r="G358" s="19" t="str">
        <f aca="false">IF($A358="","",INDEX(Apparitions!$I$1:$I$5001,$A358)&amp;"")</f>
        <v/>
      </c>
      <c r="H358" s="19" t="str">
        <f aca="false">IF($A358="","",INDEX(Apparitions!$J$1:$J$5001,$A358)&amp;"")</f>
        <v/>
      </c>
      <c r="I358" s="19" t="str">
        <f aca="false">IF($A358="","",INDEX(Apparitions!$G$1:$G$5001,$A358)&amp;"")</f>
        <v/>
      </c>
      <c r="J358" s="19" t="str">
        <f aca="false">IF($A358="","",INDEX(Apparitions!$M$1:$M$5001,$A358)&amp;"")</f>
        <v/>
      </c>
      <c r="K358" s="21" t="str">
        <f aca="false">IF($A358="","",INDEX(Apparitions!$K$1:$K$5001,$A358))</f>
        <v/>
      </c>
      <c r="L358" s="22" t="str">
        <f aca="false">IF($A358="","",INDEX(Apparitions!$E$1:$E$5001,$A358)&amp;"")</f>
        <v/>
      </c>
      <c r="M358" s="19" t="str">
        <f aca="false">IF($A358="","",INDEX(Apparitions!$F$1:$F$5001,$A358)&amp;"")</f>
        <v/>
      </c>
      <c r="O358" s="23" t="n">
        <f aca="false">IF(I358="",0,IF(COUNTIF(I$16:I358,I358)=1,1,0))</f>
        <v>0</v>
      </c>
      <c r="P358" s="23" t="n">
        <f aca="false">IF(F358="",0,IF(COUNTIF(F$16:F358,F358)=1,1,0))</f>
        <v>0</v>
      </c>
      <c r="Q358" s="0" t="str">
        <f aca="false">IF(B358="","",B358&amp;"|"&amp;C358)</f>
        <v/>
      </c>
      <c r="R358" s="23" t="n">
        <f aca="false">IF(Q358="",0,IF(COUNTIF(Q$16:Q358,Q358)=1,1,0))</f>
        <v>0</v>
      </c>
    </row>
    <row r="359" customFormat="false" ht="15" hidden="false" customHeight="false" outlineLevel="0" collapsed="false">
      <c r="A359" s="0" t="str">
        <f aca="false">IFERROR(MATCH(344,Apparitions!$N$1:$N$5001,0),"")</f>
        <v/>
      </c>
      <c r="B359" s="19" t="str">
        <f aca="false">IF($A359="","",INDEX(Apparitions!$A$1:$A$5001,$A359)&amp;"")</f>
        <v/>
      </c>
      <c r="C359" s="19" t="str">
        <f aca="false">IF($A359="","",INDEX(Apparitions!$B$1:$B$5001,$A359)&amp;"")</f>
        <v/>
      </c>
      <c r="D359" s="20" t="str">
        <f aca="false">IF($A359="","",INDEX(Apparitions!$L$1:$L$5001,$A359))</f>
        <v/>
      </c>
      <c r="E359" s="19" t="str">
        <f aca="false">IF($A359="","",INDEX(Apparitions!$C$1:$C$5001,$A359)&amp;"")</f>
        <v/>
      </c>
      <c r="F359" s="19" t="str">
        <f aca="false">IF($A359="","",INDEX(Apparitions!$H$1:$H$5001,$A359)&amp;"")</f>
        <v/>
      </c>
      <c r="G359" s="19" t="str">
        <f aca="false">IF($A359="","",INDEX(Apparitions!$I$1:$I$5001,$A359)&amp;"")</f>
        <v/>
      </c>
      <c r="H359" s="19" t="str">
        <f aca="false">IF($A359="","",INDEX(Apparitions!$J$1:$J$5001,$A359)&amp;"")</f>
        <v/>
      </c>
      <c r="I359" s="19" t="str">
        <f aca="false">IF($A359="","",INDEX(Apparitions!$G$1:$G$5001,$A359)&amp;"")</f>
        <v/>
      </c>
      <c r="J359" s="19" t="str">
        <f aca="false">IF($A359="","",INDEX(Apparitions!$M$1:$M$5001,$A359)&amp;"")</f>
        <v/>
      </c>
      <c r="K359" s="21" t="str">
        <f aca="false">IF($A359="","",INDEX(Apparitions!$K$1:$K$5001,$A359))</f>
        <v/>
      </c>
      <c r="L359" s="22" t="str">
        <f aca="false">IF($A359="","",INDEX(Apparitions!$E$1:$E$5001,$A359)&amp;"")</f>
        <v/>
      </c>
      <c r="M359" s="19" t="str">
        <f aca="false">IF($A359="","",INDEX(Apparitions!$F$1:$F$5001,$A359)&amp;"")</f>
        <v/>
      </c>
      <c r="O359" s="23" t="n">
        <f aca="false">IF(I359="",0,IF(COUNTIF(I$16:I359,I359)=1,1,0))</f>
        <v>0</v>
      </c>
      <c r="P359" s="23" t="n">
        <f aca="false">IF(F359="",0,IF(COUNTIF(F$16:F359,F359)=1,1,0))</f>
        <v>0</v>
      </c>
      <c r="Q359" s="0" t="str">
        <f aca="false">IF(B359="","",B359&amp;"|"&amp;C359)</f>
        <v/>
      </c>
      <c r="R359" s="23" t="n">
        <f aca="false">IF(Q359="",0,IF(COUNTIF(Q$16:Q359,Q359)=1,1,0))</f>
        <v>0</v>
      </c>
    </row>
    <row r="360" customFormat="false" ht="15" hidden="false" customHeight="false" outlineLevel="0" collapsed="false">
      <c r="A360" s="0" t="str">
        <f aca="false">IFERROR(MATCH(345,Apparitions!$N$1:$N$5001,0),"")</f>
        <v/>
      </c>
      <c r="B360" s="19" t="str">
        <f aca="false">IF($A360="","",INDEX(Apparitions!$A$1:$A$5001,$A360)&amp;"")</f>
        <v/>
      </c>
      <c r="C360" s="19" t="str">
        <f aca="false">IF($A360="","",INDEX(Apparitions!$B$1:$B$5001,$A360)&amp;"")</f>
        <v/>
      </c>
      <c r="D360" s="20" t="str">
        <f aca="false">IF($A360="","",INDEX(Apparitions!$L$1:$L$5001,$A360))</f>
        <v/>
      </c>
      <c r="E360" s="19" t="str">
        <f aca="false">IF($A360="","",INDEX(Apparitions!$C$1:$C$5001,$A360)&amp;"")</f>
        <v/>
      </c>
      <c r="F360" s="19" t="str">
        <f aca="false">IF($A360="","",INDEX(Apparitions!$H$1:$H$5001,$A360)&amp;"")</f>
        <v/>
      </c>
      <c r="G360" s="19" t="str">
        <f aca="false">IF($A360="","",INDEX(Apparitions!$I$1:$I$5001,$A360)&amp;"")</f>
        <v/>
      </c>
      <c r="H360" s="19" t="str">
        <f aca="false">IF($A360="","",INDEX(Apparitions!$J$1:$J$5001,$A360)&amp;"")</f>
        <v/>
      </c>
      <c r="I360" s="19" t="str">
        <f aca="false">IF($A360="","",INDEX(Apparitions!$G$1:$G$5001,$A360)&amp;"")</f>
        <v/>
      </c>
      <c r="J360" s="19" t="str">
        <f aca="false">IF($A360="","",INDEX(Apparitions!$M$1:$M$5001,$A360)&amp;"")</f>
        <v/>
      </c>
      <c r="K360" s="21" t="str">
        <f aca="false">IF($A360="","",INDEX(Apparitions!$K$1:$K$5001,$A360))</f>
        <v/>
      </c>
      <c r="L360" s="22" t="str">
        <f aca="false">IF($A360="","",INDEX(Apparitions!$E$1:$E$5001,$A360)&amp;"")</f>
        <v/>
      </c>
      <c r="M360" s="19" t="str">
        <f aca="false">IF($A360="","",INDEX(Apparitions!$F$1:$F$5001,$A360)&amp;"")</f>
        <v/>
      </c>
      <c r="O360" s="23" t="n">
        <f aca="false">IF(I360="",0,IF(COUNTIF(I$16:I360,I360)=1,1,0))</f>
        <v>0</v>
      </c>
      <c r="P360" s="23" t="n">
        <f aca="false">IF(F360="",0,IF(COUNTIF(F$16:F360,F360)=1,1,0))</f>
        <v>0</v>
      </c>
      <c r="Q360" s="0" t="str">
        <f aca="false">IF(B360="","",B360&amp;"|"&amp;C360)</f>
        <v/>
      </c>
      <c r="R360" s="23" t="n">
        <f aca="false">IF(Q360="",0,IF(COUNTIF(Q$16:Q360,Q360)=1,1,0))</f>
        <v>0</v>
      </c>
    </row>
    <row r="361" customFormat="false" ht="15" hidden="false" customHeight="false" outlineLevel="0" collapsed="false">
      <c r="A361" s="0" t="str">
        <f aca="false">IFERROR(MATCH(346,Apparitions!$N$1:$N$5001,0),"")</f>
        <v/>
      </c>
      <c r="B361" s="19" t="str">
        <f aca="false">IF($A361="","",INDEX(Apparitions!$A$1:$A$5001,$A361)&amp;"")</f>
        <v/>
      </c>
      <c r="C361" s="19" t="str">
        <f aca="false">IF($A361="","",INDEX(Apparitions!$B$1:$B$5001,$A361)&amp;"")</f>
        <v/>
      </c>
      <c r="D361" s="20" t="str">
        <f aca="false">IF($A361="","",INDEX(Apparitions!$L$1:$L$5001,$A361))</f>
        <v/>
      </c>
      <c r="E361" s="19" t="str">
        <f aca="false">IF($A361="","",INDEX(Apparitions!$C$1:$C$5001,$A361)&amp;"")</f>
        <v/>
      </c>
      <c r="F361" s="19" t="str">
        <f aca="false">IF($A361="","",INDEX(Apparitions!$H$1:$H$5001,$A361)&amp;"")</f>
        <v/>
      </c>
      <c r="G361" s="19" t="str">
        <f aca="false">IF($A361="","",INDEX(Apparitions!$I$1:$I$5001,$A361)&amp;"")</f>
        <v/>
      </c>
      <c r="H361" s="19" t="str">
        <f aca="false">IF($A361="","",INDEX(Apparitions!$J$1:$J$5001,$A361)&amp;"")</f>
        <v/>
      </c>
      <c r="I361" s="19" t="str">
        <f aca="false">IF($A361="","",INDEX(Apparitions!$G$1:$G$5001,$A361)&amp;"")</f>
        <v/>
      </c>
      <c r="J361" s="19" t="str">
        <f aca="false">IF($A361="","",INDEX(Apparitions!$M$1:$M$5001,$A361)&amp;"")</f>
        <v/>
      </c>
      <c r="K361" s="21" t="str">
        <f aca="false">IF($A361="","",INDEX(Apparitions!$K$1:$K$5001,$A361))</f>
        <v/>
      </c>
      <c r="L361" s="22" t="str">
        <f aca="false">IF($A361="","",INDEX(Apparitions!$E$1:$E$5001,$A361)&amp;"")</f>
        <v/>
      </c>
      <c r="M361" s="19" t="str">
        <f aca="false">IF($A361="","",INDEX(Apparitions!$F$1:$F$5001,$A361)&amp;"")</f>
        <v/>
      </c>
      <c r="O361" s="23" t="n">
        <f aca="false">IF(I361="",0,IF(COUNTIF(I$16:I361,I361)=1,1,0))</f>
        <v>0</v>
      </c>
      <c r="P361" s="23" t="n">
        <f aca="false">IF(F361="",0,IF(COUNTIF(F$16:F361,F361)=1,1,0))</f>
        <v>0</v>
      </c>
      <c r="Q361" s="0" t="str">
        <f aca="false">IF(B361="","",B361&amp;"|"&amp;C361)</f>
        <v/>
      </c>
      <c r="R361" s="23" t="n">
        <f aca="false">IF(Q361="",0,IF(COUNTIF(Q$16:Q361,Q361)=1,1,0))</f>
        <v>0</v>
      </c>
    </row>
    <row r="362" customFormat="false" ht="15" hidden="false" customHeight="false" outlineLevel="0" collapsed="false">
      <c r="A362" s="0" t="str">
        <f aca="false">IFERROR(MATCH(347,Apparitions!$N$1:$N$5001,0),"")</f>
        <v/>
      </c>
      <c r="B362" s="19" t="str">
        <f aca="false">IF($A362="","",INDEX(Apparitions!$A$1:$A$5001,$A362)&amp;"")</f>
        <v/>
      </c>
      <c r="C362" s="19" t="str">
        <f aca="false">IF($A362="","",INDEX(Apparitions!$B$1:$B$5001,$A362)&amp;"")</f>
        <v/>
      </c>
      <c r="D362" s="20" t="str">
        <f aca="false">IF($A362="","",INDEX(Apparitions!$L$1:$L$5001,$A362))</f>
        <v/>
      </c>
      <c r="E362" s="19" t="str">
        <f aca="false">IF($A362="","",INDEX(Apparitions!$C$1:$C$5001,$A362)&amp;"")</f>
        <v/>
      </c>
      <c r="F362" s="19" t="str">
        <f aca="false">IF($A362="","",INDEX(Apparitions!$H$1:$H$5001,$A362)&amp;"")</f>
        <v/>
      </c>
      <c r="G362" s="19" t="str">
        <f aca="false">IF($A362="","",INDEX(Apparitions!$I$1:$I$5001,$A362)&amp;"")</f>
        <v/>
      </c>
      <c r="H362" s="19" t="str">
        <f aca="false">IF($A362="","",INDEX(Apparitions!$J$1:$J$5001,$A362)&amp;"")</f>
        <v/>
      </c>
      <c r="I362" s="19" t="str">
        <f aca="false">IF($A362="","",INDEX(Apparitions!$G$1:$G$5001,$A362)&amp;"")</f>
        <v/>
      </c>
      <c r="J362" s="19" t="str">
        <f aca="false">IF($A362="","",INDEX(Apparitions!$M$1:$M$5001,$A362)&amp;"")</f>
        <v/>
      </c>
      <c r="K362" s="21" t="str">
        <f aca="false">IF($A362="","",INDEX(Apparitions!$K$1:$K$5001,$A362))</f>
        <v/>
      </c>
      <c r="L362" s="22" t="str">
        <f aca="false">IF($A362="","",INDEX(Apparitions!$E$1:$E$5001,$A362)&amp;"")</f>
        <v/>
      </c>
      <c r="M362" s="19" t="str">
        <f aca="false">IF($A362="","",INDEX(Apparitions!$F$1:$F$5001,$A362)&amp;"")</f>
        <v/>
      </c>
      <c r="O362" s="23" t="n">
        <f aca="false">IF(I362="",0,IF(COUNTIF(I$16:I362,I362)=1,1,0))</f>
        <v>0</v>
      </c>
      <c r="P362" s="23" t="n">
        <f aca="false">IF(F362="",0,IF(COUNTIF(F$16:F362,F362)=1,1,0))</f>
        <v>0</v>
      </c>
      <c r="Q362" s="0" t="str">
        <f aca="false">IF(B362="","",B362&amp;"|"&amp;C362)</f>
        <v/>
      </c>
      <c r="R362" s="23" t="n">
        <f aca="false">IF(Q362="",0,IF(COUNTIF(Q$16:Q362,Q362)=1,1,0))</f>
        <v>0</v>
      </c>
    </row>
    <row r="363" customFormat="false" ht="15" hidden="false" customHeight="false" outlineLevel="0" collapsed="false">
      <c r="A363" s="0" t="str">
        <f aca="false">IFERROR(MATCH(348,Apparitions!$N$1:$N$5001,0),"")</f>
        <v/>
      </c>
      <c r="B363" s="19" t="str">
        <f aca="false">IF($A363="","",INDEX(Apparitions!$A$1:$A$5001,$A363)&amp;"")</f>
        <v/>
      </c>
      <c r="C363" s="19" t="str">
        <f aca="false">IF($A363="","",INDEX(Apparitions!$B$1:$B$5001,$A363)&amp;"")</f>
        <v/>
      </c>
      <c r="D363" s="20" t="str">
        <f aca="false">IF($A363="","",INDEX(Apparitions!$L$1:$L$5001,$A363))</f>
        <v/>
      </c>
      <c r="E363" s="19" t="str">
        <f aca="false">IF($A363="","",INDEX(Apparitions!$C$1:$C$5001,$A363)&amp;"")</f>
        <v/>
      </c>
      <c r="F363" s="19" t="str">
        <f aca="false">IF($A363="","",INDEX(Apparitions!$H$1:$H$5001,$A363)&amp;"")</f>
        <v/>
      </c>
      <c r="G363" s="19" t="str">
        <f aca="false">IF($A363="","",INDEX(Apparitions!$I$1:$I$5001,$A363)&amp;"")</f>
        <v/>
      </c>
      <c r="H363" s="19" t="str">
        <f aca="false">IF($A363="","",INDEX(Apparitions!$J$1:$J$5001,$A363)&amp;"")</f>
        <v/>
      </c>
      <c r="I363" s="19" t="str">
        <f aca="false">IF($A363="","",INDEX(Apparitions!$G$1:$G$5001,$A363)&amp;"")</f>
        <v/>
      </c>
      <c r="J363" s="19" t="str">
        <f aca="false">IF($A363="","",INDEX(Apparitions!$M$1:$M$5001,$A363)&amp;"")</f>
        <v/>
      </c>
      <c r="K363" s="21" t="str">
        <f aca="false">IF($A363="","",INDEX(Apparitions!$K$1:$K$5001,$A363))</f>
        <v/>
      </c>
      <c r="L363" s="22" t="str">
        <f aca="false">IF($A363="","",INDEX(Apparitions!$E$1:$E$5001,$A363)&amp;"")</f>
        <v/>
      </c>
      <c r="M363" s="19" t="str">
        <f aca="false">IF($A363="","",INDEX(Apparitions!$F$1:$F$5001,$A363)&amp;"")</f>
        <v/>
      </c>
      <c r="O363" s="23" t="n">
        <f aca="false">IF(I363="",0,IF(COUNTIF(I$16:I363,I363)=1,1,0))</f>
        <v>0</v>
      </c>
      <c r="P363" s="23" t="n">
        <f aca="false">IF(F363="",0,IF(COUNTIF(F$16:F363,F363)=1,1,0))</f>
        <v>0</v>
      </c>
      <c r="Q363" s="0" t="str">
        <f aca="false">IF(B363="","",B363&amp;"|"&amp;C363)</f>
        <v/>
      </c>
      <c r="R363" s="23" t="n">
        <f aca="false">IF(Q363="",0,IF(COUNTIF(Q$16:Q363,Q363)=1,1,0))</f>
        <v>0</v>
      </c>
    </row>
    <row r="364" customFormat="false" ht="15" hidden="false" customHeight="false" outlineLevel="0" collapsed="false">
      <c r="A364" s="0" t="str">
        <f aca="false">IFERROR(MATCH(349,Apparitions!$N$1:$N$5001,0),"")</f>
        <v/>
      </c>
      <c r="B364" s="19" t="str">
        <f aca="false">IF($A364="","",INDEX(Apparitions!$A$1:$A$5001,$A364)&amp;"")</f>
        <v/>
      </c>
      <c r="C364" s="19" t="str">
        <f aca="false">IF($A364="","",INDEX(Apparitions!$B$1:$B$5001,$A364)&amp;"")</f>
        <v/>
      </c>
      <c r="D364" s="20" t="str">
        <f aca="false">IF($A364="","",INDEX(Apparitions!$L$1:$L$5001,$A364))</f>
        <v/>
      </c>
      <c r="E364" s="19" t="str">
        <f aca="false">IF($A364="","",INDEX(Apparitions!$C$1:$C$5001,$A364)&amp;"")</f>
        <v/>
      </c>
      <c r="F364" s="19" t="str">
        <f aca="false">IF($A364="","",INDEX(Apparitions!$H$1:$H$5001,$A364)&amp;"")</f>
        <v/>
      </c>
      <c r="G364" s="19" t="str">
        <f aca="false">IF($A364="","",INDEX(Apparitions!$I$1:$I$5001,$A364)&amp;"")</f>
        <v/>
      </c>
      <c r="H364" s="19" t="str">
        <f aca="false">IF($A364="","",INDEX(Apparitions!$J$1:$J$5001,$A364)&amp;"")</f>
        <v/>
      </c>
      <c r="I364" s="19" t="str">
        <f aca="false">IF($A364="","",INDEX(Apparitions!$G$1:$G$5001,$A364)&amp;"")</f>
        <v/>
      </c>
      <c r="J364" s="19" t="str">
        <f aca="false">IF($A364="","",INDEX(Apparitions!$M$1:$M$5001,$A364)&amp;"")</f>
        <v/>
      </c>
      <c r="K364" s="21" t="str">
        <f aca="false">IF($A364="","",INDEX(Apparitions!$K$1:$K$5001,$A364))</f>
        <v/>
      </c>
      <c r="L364" s="22" t="str">
        <f aca="false">IF($A364="","",INDEX(Apparitions!$E$1:$E$5001,$A364)&amp;"")</f>
        <v/>
      </c>
      <c r="M364" s="19" t="str">
        <f aca="false">IF($A364="","",INDEX(Apparitions!$F$1:$F$5001,$A364)&amp;"")</f>
        <v/>
      </c>
      <c r="O364" s="23" t="n">
        <f aca="false">IF(I364="",0,IF(COUNTIF(I$16:I364,I364)=1,1,0))</f>
        <v>0</v>
      </c>
      <c r="P364" s="23" t="n">
        <f aca="false">IF(F364="",0,IF(COUNTIF(F$16:F364,F364)=1,1,0))</f>
        <v>0</v>
      </c>
      <c r="Q364" s="0" t="str">
        <f aca="false">IF(B364="","",B364&amp;"|"&amp;C364)</f>
        <v/>
      </c>
      <c r="R364" s="23" t="n">
        <f aca="false">IF(Q364="",0,IF(COUNTIF(Q$16:Q364,Q364)=1,1,0))</f>
        <v>0</v>
      </c>
    </row>
    <row r="365" customFormat="false" ht="15" hidden="false" customHeight="false" outlineLevel="0" collapsed="false">
      <c r="A365" s="0" t="str">
        <f aca="false">IFERROR(MATCH(350,Apparitions!$N$1:$N$5001,0),"")</f>
        <v/>
      </c>
      <c r="B365" s="19" t="str">
        <f aca="false">IF($A365="","",INDEX(Apparitions!$A$1:$A$5001,$A365)&amp;"")</f>
        <v/>
      </c>
      <c r="C365" s="19" t="str">
        <f aca="false">IF($A365="","",INDEX(Apparitions!$B$1:$B$5001,$A365)&amp;"")</f>
        <v/>
      </c>
      <c r="D365" s="20" t="str">
        <f aca="false">IF($A365="","",INDEX(Apparitions!$L$1:$L$5001,$A365))</f>
        <v/>
      </c>
      <c r="E365" s="19" t="str">
        <f aca="false">IF($A365="","",INDEX(Apparitions!$C$1:$C$5001,$A365)&amp;"")</f>
        <v/>
      </c>
      <c r="F365" s="19" t="str">
        <f aca="false">IF($A365="","",INDEX(Apparitions!$H$1:$H$5001,$A365)&amp;"")</f>
        <v/>
      </c>
      <c r="G365" s="19" t="str">
        <f aca="false">IF($A365="","",INDEX(Apparitions!$I$1:$I$5001,$A365)&amp;"")</f>
        <v/>
      </c>
      <c r="H365" s="19" t="str">
        <f aca="false">IF($A365="","",INDEX(Apparitions!$J$1:$J$5001,$A365)&amp;"")</f>
        <v/>
      </c>
      <c r="I365" s="19" t="str">
        <f aca="false">IF($A365="","",INDEX(Apparitions!$G$1:$G$5001,$A365)&amp;"")</f>
        <v/>
      </c>
      <c r="J365" s="19" t="str">
        <f aca="false">IF($A365="","",INDEX(Apparitions!$M$1:$M$5001,$A365)&amp;"")</f>
        <v/>
      </c>
      <c r="K365" s="21" t="str">
        <f aca="false">IF($A365="","",INDEX(Apparitions!$K$1:$K$5001,$A365))</f>
        <v/>
      </c>
      <c r="L365" s="22" t="str">
        <f aca="false">IF($A365="","",INDEX(Apparitions!$E$1:$E$5001,$A365)&amp;"")</f>
        <v/>
      </c>
      <c r="M365" s="19" t="str">
        <f aca="false">IF($A365="","",INDEX(Apparitions!$F$1:$F$5001,$A365)&amp;"")</f>
        <v/>
      </c>
      <c r="O365" s="23" t="n">
        <f aca="false">IF(I365="",0,IF(COUNTIF(I$16:I365,I365)=1,1,0))</f>
        <v>0</v>
      </c>
      <c r="P365" s="23" t="n">
        <f aca="false">IF(F365="",0,IF(COUNTIF(F$16:F365,F365)=1,1,0))</f>
        <v>0</v>
      </c>
      <c r="Q365" s="0" t="str">
        <f aca="false">IF(B365="","",B365&amp;"|"&amp;C365)</f>
        <v/>
      </c>
      <c r="R365" s="23" t="n">
        <f aca="false">IF(Q365="",0,IF(COUNTIF(Q$16:Q365,Q365)=1,1,0))</f>
        <v>0</v>
      </c>
    </row>
    <row r="366" customFormat="false" ht="15" hidden="false" customHeight="false" outlineLevel="0" collapsed="false">
      <c r="A366" s="0" t="str">
        <f aca="false">IFERROR(MATCH(351,Apparitions!$N$1:$N$5001,0),"")</f>
        <v/>
      </c>
      <c r="B366" s="19" t="str">
        <f aca="false">IF($A366="","",INDEX(Apparitions!$A$1:$A$5001,$A366)&amp;"")</f>
        <v/>
      </c>
      <c r="C366" s="19" t="str">
        <f aca="false">IF($A366="","",INDEX(Apparitions!$B$1:$B$5001,$A366)&amp;"")</f>
        <v/>
      </c>
      <c r="D366" s="20" t="str">
        <f aca="false">IF($A366="","",INDEX(Apparitions!$L$1:$L$5001,$A366))</f>
        <v/>
      </c>
      <c r="E366" s="19" t="str">
        <f aca="false">IF($A366="","",INDEX(Apparitions!$C$1:$C$5001,$A366)&amp;"")</f>
        <v/>
      </c>
      <c r="F366" s="19" t="str">
        <f aca="false">IF($A366="","",INDEX(Apparitions!$H$1:$H$5001,$A366)&amp;"")</f>
        <v/>
      </c>
      <c r="G366" s="19" t="str">
        <f aca="false">IF($A366="","",INDEX(Apparitions!$I$1:$I$5001,$A366)&amp;"")</f>
        <v/>
      </c>
      <c r="H366" s="19" t="str">
        <f aca="false">IF($A366="","",INDEX(Apparitions!$J$1:$J$5001,$A366)&amp;"")</f>
        <v/>
      </c>
      <c r="I366" s="19" t="str">
        <f aca="false">IF($A366="","",INDEX(Apparitions!$G$1:$G$5001,$A366)&amp;"")</f>
        <v/>
      </c>
      <c r="J366" s="19" t="str">
        <f aca="false">IF($A366="","",INDEX(Apparitions!$M$1:$M$5001,$A366)&amp;"")</f>
        <v/>
      </c>
      <c r="K366" s="21" t="str">
        <f aca="false">IF($A366="","",INDEX(Apparitions!$K$1:$K$5001,$A366))</f>
        <v/>
      </c>
      <c r="L366" s="22" t="str">
        <f aca="false">IF($A366="","",INDEX(Apparitions!$E$1:$E$5001,$A366)&amp;"")</f>
        <v/>
      </c>
      <c r="M366" s="19" t="str">
        <f aca="false">IF($A366="","",INDEX(Apparitions!$F$1:$F$5001,$A366)&amp;"")</f>
        <v/>
      </c>
      <c r="O366" s="23" t="n">
        <f aca="false">IF(I366="",0,IF(COUNTIF(I$16:I366,I366)=1,1,0))</f>
        <v>0</v>
      </c>
      <c r="P366" s="23" t="n">
        <f aca="false">IF(F366="",0,IF(COUNTIF(F$16:F366,F366)=1,1,0))</f>
        <v>0</v>
      </c>
      <c r="Q366" s="0" t="str">
        <f aca="false">IF(B366="","",B366&amp;"|"&amp;C366)</f>
        <v/>
      </c>
      <c r="R366" s="23" t="n">
        <f aca="false">IF(Q366="",0,IF(COUNTIF(Q$16:Q366,Q366)=1,1,0))</f>
        <v>0</v>
      </c>
    </row>
    <row r="367" customFormat="false" ht="15" hidden="false" customHeight="false" outlineLevel="0" collapsed="false">
      <c r="A367" s="0" t="str">
        <f aca="false">IFERROR(MATCH(352,Apparitions!$N$1:$N$5001,0),"")</f>
        <v/>
      </c>
      <c r="B367" s="19" t="str">
        <f aca="false">IF($A367="","",INDEX(Apparitions!$A$1:$A$5001,$A367)&amp;"")</f>
        <v/>
      </c>
      <c r="C367" s="19" t="str">
        <f aca="false">IF($A367="","",INDEX(Apparitions!$B$1:$B$5001,$A367)&amp;"")</f>
        <v/>
      </c>
      <c r="D367" s="20" t="str">
        <f aca="false">IF($A367="","",INDEX(Apparitions!$L$1:$L$5001,$A367))</f>
        <v/>
      </c>
      <c r="E367" s="19" t="str">
        <f aca="false">IF($A367="","",INDEX(Apparitions!$C$1:$C$5001,$A367)&amp;"")</f>
        <v/>
      </c>
      <c r="F367" s="19" t="str">
        <f aca="false">IF($A367="","",INDEX(Apparitions!$H$1:$H$5001,$A367)&amp;"")</f>
        <v/>
      </c>
      <c r="G367" s="19" t="str">
        <f aca="false">IF($A367="","",INDEX(Apparitions!$I$1:$I$5001,$A367)&amp;"")</f>
        <v/>
      </c>
      <c r="H367" s="19" t="str">
        <f aca="false">IF($A367="","",INDEX(Apparitions!$J$1:$J$5001,$A367)&amp;"")</f>
        <v/>
      </c>
      <c r="I367" s="19" t="str">
        <f aca="false">IF($A367="","",INDEX(Apparitions!$G$1:$G$5001,$A367)&amp;"")</f>
        <v/>
      </c>
      <c r="J367" s="19" t="str">
        <f aca="false">IF($A367="","",INDEX(Apparitions!$M$1:$M$5001,$A367)&amp;"")</f>
        <v/>
      </c>
      <c r="K367" s="21" t="str">
        <f aca="false">IF($A367="","",INDEX(Apparitions!$K$1:$K$5001,$A367))</f>
        <v/>
      </c>
      <c r="L367" s="22" t="str">
        <f aca="false">IF($A367="","",INDEX(Apparitions!$E$1:$E$5001,$A367)&amp;"")</f>
        <v/>
      </c>
      <c r="M367" s="19" t="str">
        <f aca="false">IF($A367="","",INDEX(Apparitions!$F$1:$F$5001,$A367)&amp;"")</f>
        <v/>
      </c>
      <c r="O367" s="23" t="n">
        <f aca="false">IF(I367="",0,IF(COUNTIF(I$16:I367,I367)=1,1,0))</f>
        <v>0</v>
      </c>
      <c r="P367" s="23" t="n">
        <f aca="false">IF(F367="",0,IF(COUNTIF(F$16:F367,F367)=1,1,0))</f>
        <v>0</v>
      </c>
      <c r="Q367" s="0" t="str">
        <f aca="false">IF(B367="","",B367&amp;"|"&amp;C367)</f>
        <v/>
      </c>
      <c r="R367" s="23" t="n">
        <f aca="false">IF(Q367="",0,IF(COUNTIF(Q$16:Q367,Q367)=1,1,0))</f>
        <v>0</v>
      </c>
    </row>
    <row r="368" customFormat="false" ht="15" hidden="false" customHeight="false" outlineLevel="0" collapsed="false">
      <c r="A368" s="0" t="str">
        <f aca="false">IFERROR(MATCH(353,Apparitions!$N$1:$N$5001,0),"")</f>
        <v/>
      </c>
      <c r="B368" s="19" t="str">
        <f aca="false">IF($A368="","",INDEX(Apparitions!$A$1:$A$5001,$A368)&amp;"")</f>
        <v/>
      </c>
      <c r="C368" s="19" t="str">
        <f aca="false">IF($A368="","",INDEX(Apparitions!$B$1:$B$5001,$A368)&amp;"")</f>
        <v/>
      </c>
      <c r="D368" s="20" t="str">
        <f aca="false">IF($A368="","",INDEX(Apparitions!$L$1:$L$5001,$A368))</f>
        <v/>
      </c>
      <c r="E368" s="19" t="str">
        <f aca="false">IF($A368="","",INDEX(Apparitions!$C$1:$C$5001,$A368)&amp;"")</f>
        <v/>
      </c>
      <c r="F368" s="19" t="str">
        <f aca="false">IF($A368="","",INDEX(Apparitions!$H$1:$H$5001,$A368)&amp;"")</f>
        <v/>
      </c>
      <c r="G368" s="19" t="str">
        <f aca="false">IF($A368="","",INDEX(Apparitions!$I$1:$I$5001,$A368)&amp;"")</f>
        <v/>
      </c>
      <c r="H368" s="19" t="str">
        <f aca="false">IF($A368="","",INDEX(Apparitions!$J$1:$J$5001,$A368)&amp;"")</f>
        <v/>
      </c>
      <c r="I368" s="19" t="str">
        <f aca="false">IF($A368="","",INDEX(Apparitions!$G$1:$G$5001,$A368)&amp;"")</f>
        <v/>
      </c>
      <c r="J368" s="19" t="str">
        <f aca="false">IF($A368="","",INDEX(Apparitions!$M$1:$M$5001,$A368)&amp;"")</f>
        <v/>
      </c>
      <c r="K368" s="21" t="str">
        <f aca="false">IF($A368="","",INDEX(Apparitions!$K$1:$K$5001,$A368))</f>
        <v/>
      </c>
      <c r="L368" s="22" t="str">
        <f aca="false">IF($A368="","",INDEX(Apparitions!$E$1:$E$5001,$A368)&amp;"")</f>
        <v/>
      </c>
      <c r="M368" s="19" t="str">
        <f aca="false">IF($A368="","",INDEX(Apparitions!$F$1:$F$5001,$A368)&amp;"")</f>
        <v/>
      </c>
      <c r="O368" s="23" t="n">
        <f aca="false">IF(I368="",0,IF(COUNTIF(I$16:I368,I368)=1,1,0))</f>
        <v>0</v>
      </c>
      <c r="P368" s="23" t="n">
        <f aca="false">IF(F368="",0,IF(COUNTIF(F$16:F368,F368)=1,1,0))</f>
        <v>0</v>
      </c>
      <c r="Q368" s="0" t="str">
        <f aca="false">IF(B368="","",B368&amp;"|"&amp;C368)</f>
        <v/>
      </c>
      <c r="R368" s="23" t="n">
        <f aca="false">IF(Q368="",0,IF(COUNTIF(Q$16:Q368,Q368)=1,1,0))</f>
        <v>0</v>
      </c>
    </row>
    <row r="369" customFormat="false" ht="15" hidden="false" customHeight="false" outlineLevel="0" collapsed="false">
      <c r="A369" s="0" t="str">
        <f aca="false">IFERROR(MATCH(354,Apparitions!$N$1:$N$5001,0),"")</f>
        <v/>
      </c>
      <c r="B369" s="19" t="str">
        <f aca="false">IF($A369="","",INDEX(Apparitions!$A$1:$A$5001,$A369)&amp;"")</f>
        <v/>
      </c>
      <c r="C369" s="19" t="str">
        <f aca="false">IF($A369="","",INDEX(Apparitions!$B$1:$B$5001,$A369)&amp;"")</f>
        <v/>
      </c>
      <c r="D369" s="20" t="str">
        <f aca="false">IF($A369="","",INDEX(Apparitions!$L$1:$L$5001,$A369))</f>
        <v/>
      </c>
      <c r="E369" s="19" t="str">
        <f aca="false">IF($A369="","",INDEX(Apparitions!$C$1:$C$5001,$A369)&amp;"")</f>
        <v/>
      </c>
      <c r="F369" s="19" t="str">
        <f aca="false">IF($A369="","",INDEX(Apparitions!$H$1:$H$5001,$A369)&amp;"")</f>
        <v/>
      </c>
      <c r="G369" s="19" t="str">
        <f aca="false">IF($A369="","",INDEX(Apparitions!$I$1:$I$5001,$A369)&amp;"")</f>
        <v/>
      </c>
      <c r="H369" s="19" t="str">
        <f aca="false">IF($A369="","",INDEX(Apparitions!$J$1:$J$5001,$A369)&amp;"")</f>
        <v/>
      </c>
      <c r="I369" s="19" t="str">
        <f aca="false">IF($A369="","",INDEX(Apparitions!$G$1:$G$5001,$A369)&amp;"")</f>
        <v/>
      </c>
      <c r="J369" s="19" t="str">
        <f aca="false">IF($A369="","",INDEX(Apparitions!$M$1:$M$5001,$A369)&amp;"")</f>
        <v/>
      </c>
      <c r="K369" s="21" t="str">
        <f aca="false">IF($A369="","",INDEX(Apparitions!$K$1:$K$5001,$A369))</f>
        <v/>
      </c>
      <c r="L369" s="22" t="str">
        <f aca="false">IF($A369="","",INDEX(Apparitions!$E$1:$E$5001,$A369)&amp;"")</f>
        <v/>
      </c>
      <c r="M369" s="19" t="str">
        <f aca="false">IF($A369="","",INDEX(Apparitions!$F$1:$F$5001,$A369)&amp;"")</f>
        <v/>
      </c>
      <c r="O369" s="23" t="n">
        <f aca="false">IF(I369="",0,IF(COUNTIF(I$16:I369,I369)=1,1,0))</f>
        <v>0</v>
      </c>
      <c r="P369" s="23" t="n">
        <f aca="false">IF(F369="",0,IF(COUNTIF(F$16:F369,F369)=1,1,0))</f>
        <v>0</v>
      </c>
      <c r="Q369" s="0" t="str">
        <f aca="false">IF(B369="","",B369&amp;"|"&amp;C369)</f>
        <v/>
      </c>
      <c r="R369" s="23" t="n">
        <f aca="false">IF(Q369="",0,IF(COUNTIF(Q$16:Q369,Q369)=1,1,0))</f>
        <v>0</v>
      </c>
    </row>
    <row r="370" customFormat="false" ht="15" hidden="false" customHeight="false" outlineLevel="0" collapsed="false">
      <c r="A370" s="0" t="str">
        <f aca="false">IFERROR(MATCH(355,Apparitions!$N$1:$N$5001,0),"")</f>
        <v/>
      </c>
      <c r="B370" s="19" t="str">
        <f aca="false">IF($A370="","",INDEX(Apparitions!$A$1:$A$5001,$A370)&amp;"")</f>
        <v/>
      </c>
      <c r="C370" s="19" t="str">
        <f aca="false">IF($A370="","",INDEX(Apparitions!$B$1:$B$5001,$A370)&amp;"")</f>
        <v/>
      </c>
      <c r="D370" s="20" t="str">
        <f aca="false">IF($A370="","",INDEX(Apparitions!$L$1:$L$5001,$A370))</f>
        <v/>
      </c>
      <c r="E370" s="19" t="str">
        <f aca="false">IF($A370="","",INDEX(Apparitions!$C$1:$C$5001,$A370)&amp;"")</f>
        <v/>
      </c>
      <c r="F370" s="19" t="str">
        <f aca="false">IF($A370="","",INDEX(Apparitions!$H$1:$H$5001,$A370)&amp;"")</f>
        <v/>
      </c>
      <c r="G370" s="19" t="str">
        <f aca="false">IF($A370="","",INDEX(Apparitions!$I$1:$I$5001,$A370)&amp;"")</f>
        <v/>
      </c>
      <c r="H370" s="19" t="str">
        <f aca="false">IF($A370="","",INDEX(Apparitions!$J$1:$J$5001,$A370)&amp;"")</f>
        <v/>
      </c>
      <c r="I370" s="19" t="str">
        <f aca="false">IF($A370="","",INDEX(Apparitions!$G$1:$G$5001,$A370)&amp;"")</f>
        <v/>
      </c>
      <c r="J370" s="19" t="str">
        <f aca="false">IF($A370="","",INDEX(Apparitions!$M$1:$M$5001,$A370)&amp;"")</f>
        <v/>
      </c>
      <c r="K370" s="21" t="str">
        <f aca="false">IF($A370="","",INDEX(Apparitions!$K$1:$K$5001,$A370))</f>
        <v/>
      </c>
      <c r="L370" s="22" t="str">
        <f aca="false">IF($A370="","",INDEX(Apparitions!$E$1:$E$5001,$A370)&amp;"")</f>
        <v/>
      </c>
      <c r="M370" s="19" t="str">
        <f aca="false">IF($A370="","",INDEX(Apparitions!$F$1:$F$5001,$A370)&amp;"")</f>
        <v/>
      </c>
      <c r="O370" s="23" t="n">
        <f aca="false">IF(I370="",0,IF(COUNTIF(I$16:I370,I370)=1,1,0))</f>
        <v>0</v>
      </c>
      <c r="P370" s="23" t="n">
        <f aca="false">IF(F370="",0,IF(COUNTIF(F$16:F370,F370)=1,1,0))</f>
        <v>0</v>
      </c>
      <c r="Q370" s="0" t="str">
        <f aca="false">IF(B370="","",B370&amp;"|"&amp;C370)</f>
        <v/>
      </c>
      <c r="R370" s="23" t="n">
        <f aca="false">IF(Q370="",0,IF(COUNTIF(Q$16:Q370,Q370)=1,1,0))</f>
        <v>0</v>
      </c>
    </row>
    <row r="371" customFormat="false" ht="15" hidden="false" customHeight="false" outlineLevel="0" collapsed="false">
      <c r="A371" s="0" t="str">
        <f aca="false">IFERROR(MATCH(356,Apparitions!$N$1:$N$5001,0),"")</f>
        <v/>
      </c>
      <c r="B371" s="19" t="str">
        <f aca="false">IF($A371="","",INDEX(Apparitions!$A$1:$A$5001,$A371)&amp;"")</f>
        <v/>
      </c>
      <c r="C371" s="19" t="str">
        <f aca="false">IF($A371="","",INDEX(Apparitions!$B$1:$B$5001,$A371)&amp;"")</f>
        <v/>
      </c>
      <c r="D371" s="20" t="str">
        <f aca="false">IF($A371="","",INDEX(Apparitions!$L$1:$L$5001,$A371))</f>
        <v/>
      </c>
      <c r="E371" s="19" t="str">
        <f aca="false">IF($A371="","",INDEX(Apparitions!$C$1:$C$5001,$A371)&amp;"")</f>
        <v/>
      </c>
      <c r="F371" s="19" t="str">
        <f aca="false">IF($A371="","",INDEX(Apparitions!$H$1:$H$5001,$A371)&amp;"")</f>
        <v/>
      </c>
      <c r="G371" s="19" t="str">
        <f aca="false">IF($A371="","",INDEX(Apparitions!$I$1:$I$5001,$A371)&amp;"")</f>
        <v/>
      </c>
      <c r="H371" s="19" t="str">
        <f aca="false">IF($A371="","",INDEX(Apparitions!$J$1:$J$5001,$A371)&amp;"")</f>
        <v/>
      </c>
      <c r="I371" s="19" t="str">
        <f aca="false">IF($A371="","",INDEX(Apparitions!$G$1:$G$5001,$A371)&amp;"")</f>
        <v/>
      </c>
      <c r="J371" s="19" t="str">
        <f aca="false">IF($A371="","",INDEX(Apparitions!$M$1:$M$5001,$A371)&amp;"")</f>
        <v/>
      </c>
      <c r="K371" s="21" t="str">
        <f aca="false">IF($A371="","",INDEX(Apparitions!$K$1:$K$5001,$A371))</f>
        <v/>
      </c>
      <c r="L371" s="22" t="str">
        <f aca="false">IF($A371="","",INDEX(Apparitions!$E$1:$E$5001,$A371)&amp;"")</f>
        <v/>
      </c>
      <c r="M371" s="19" t="str">
        <f aca="false">IF($A371="","",INDEX(Apparitions!$F$1:$F$5001,$A371)&amp;"")</f>
        <v/>
      </c>
      <c r="O371" s="23" t="n">
        <f aca="false">IF(I371="",0,IF(COUNTIF(I$16:I371,I371)=1,1,0))</f>
        <v>0</v>
      </c>
      <c r="P371" s="23" t="n">
        <f aca="false">IF(F371="",0,IF(COUNTIF(F$16:F371,F371)=1,1,0))</f>
        <v>0</v>
      </c>
      <c r="Q371" s="0" t="str">
        <f aca="false">IF(B371="","",B371&amp;"|"&amp;C371)</f>
        <v/>
      </c>
      <c r="R371" s="23" t="n">
        <f aca="false">IF(Q371="",0,IF(COUNTIF(Q$16:Q371,Q371)=1,1,0))</f>
        <v>0</v>
      </c>
    </row>
    <row r="372" customFormat="false" ht="15" hidden="false" customHeight="false" outlineLevel="0" collapsed="false">
      <c r="A372" s="0" t="str">
        <f aca="false">IFERROR(MATCH(357,Apparitions!$N$1:$N$5001,0),"")</f>
        <v/>
      </c>
      <c r="B372" s="19" t="str">
        <f aca="false">IF($A372="","",INDEX(Apparitions!$A$1:$A$5001,$A372)&amp;"")</f>
        <v/>
      </c>
      <c r="C372" s="19" t="str">
        <f aca="false">IF($A372="","",INDEX(Apparitions!$B$1:$B$5001,$A372)&amp;"")</f>
        <v/>
      </c>
      <c r="D372" s="20" t="str">
        <f aca="false">IF($A372="","",INDEX(Apparitions!$L$1:$L$5001,$A372))</f>
        <v/>
      </c>
      <c r="E372" s="19" t="str">
        <f aca="false">IF($A372="","",INDEX(Apparitions!$C$1:$C$5001,$A372)&amp;"")</f>
        <v/>
      </c>
      <c r="F372" s="19" t="str">
        <f aca="false">IF($A372="","",INDEX(Apparitions!$H$1:$H$5001,$A372)&amp;"")</f>
        <v/>
      </c>
      <c r="G372" s="19" t="str">
        <f aca="false">IF($A372="","",INDEX(Apparitions!$I$1:$I$5001,$A372)&amp;"")</f>
        <v/>
      </c>
      <c r="H372" s="19" t="str">
        <f aca="false">IF($A372="","",INDEX(Apparitions!$J$1:$J$5001,$A372)&amp;"")</f>
        <v/>
      </c>
      <c r="I372" s="19" t="str">
        <f aca="false">IF($A372="","",INDEX(Apparitions!$G$1:$G$5001,$A372)&amp;"")</f>
        <v/>
      </c>
      <c r="J372" s="19" t="str">
        <f aca="false">IF($A372="","",INDEX(Apparitions!$M$1:$M$5001,$A372)&amp;"")</f>
        <v/>
      </c>
      <c r="K372" s="21" t="str">
        <f aca="false">IF($A372="","",INDEX(Apparitions!$K$1:$K$5001,$A372))</f>
        <v/>
      </c>
      <c r="L372" s="22" t="str">
        <f aca="false">IF($A372="","",INDEX(Apparitions!$E$1:$E$5001,$A372)&amp;"")</f>
        <v/>
      </c>
      <c r="M372" s="19" t="str">
        <f aca="false">IF($A372="","",INDEX(Apparitions!$F$1:$F$5001,$A372)&amp;"")</f>
        <v/>
      </c>
      <c r="O372" s="23" t="n">
        <f aca="false">IF(I372="",0,IF(COUNTIF(I$16:I372,I372)=1,1,0))</f>
        <v>0</v>
      </c>
      <c r="P372" s="23" t="n">
        <f aca="false">IF(F372="",0,IF(COUNTIF(F$16:F372,F372)=1,1,0))</f>
        <v>0</v>
      </c>
      <c r="Q372" s="0" t="str">
        <f aca="false">IF(B372="","",B372&amp;"|"&amp;C372)</f>
        <v/>
      </c>
      <c r="R372" s="23" t="n">
        <f aca="false">IF(Q372="",0,IF(COUNTIF(Q$16:Q372,Q372)=1,1,0))</f>
        <v>0</v>
      </c>
    </row>
    <row r="373" customFormat="false" ht="15" hidden="false" customHeight="false" outlineLevel="0" collapsed="false">
      <c r="A373" s="0" t="str">
        <f aca="false">IFERROR(MATCH(358,Apparitions!$N$1:$N$5001,0),"")</f>
        <v/>
      </c>
      <c r="B373" s="19" t="str">
        <f aca="false">IF($A373="","",INDEX(Apparitions!$A$1:$A$5001,$A373)&amp;"")</f>
        <v/>
      </c>
      <c r="C373" s="19" t="str">
        <f aca="false">IF($A373="","",INDEX(Apparitions!$B$1:$B$5001,$A373)&amp;"")</f>
        <v/>
      </c>
      <c r="D373" s="20" t="str">
        <f aca="false">IF($A373="","",INDEX(Apparitions!$L$1:$L$5001,$A373))</f>
        <v/>
      </c>
      <c r="E373" s="19" t="str">
        <f aca="false">IF($A373="","",INDEX(Apparitions!$C$1:$C$5001,$A373)&amp;"")</f>
        <v/>
      </c>
      <c r="F373" s="19" t="str">
        <f aca="false">IF($A373="","",INDEX(Apparitions!$H$1:$H$5001,$A373)&amp;"")</f>
        <v/>
      </c>
      <c r="G373" s="19" t="str">
        <f aca="false">IF($A373="","",INDEX(Apparitions!$I$1:$I$5001,$A373)&amp;"")</f>
        <v/>
      </c>
      <c r="H373" s="19" t="str">
        <f aca="false">IF($A373="","",INDEX(Apparitions!$J$1:$J$5001,$A373)&amp;"")</f>
        <v/>
      </c>
      <c r="I373" s="19" t="str">
        <f aca="false">IF($A373="","",INDEX(Apparitions!$G$1:$G$5001,$A373)&amp;"")</f>
        <v/>
      </c>
      <c r="J373" s="19" t="str">
        <f aca="false">IF($A373="","",INDEX(Apparitions!$M$1:$M$5001,$A373)&amp;"")</f>
        <v/>
      </c>
      <c r="K373" s="21" t="str">
        <f aca="false">IF($A373="","",INDEX(Apparitions!$K$1:$K$5001,$A373))</f>
        <v/>
      </c>
      <c r="L373" s="22" t="str">
        <f aca="false">IF($A373="","",INDEX(Apparitions!$E$1:$E$5001,$A373)&amp;"")</f>
        <v/>
      </c>
      <c r="M373" s="19" t="str">
        <f aca="false">IF($A373="","",INDEX(Apparitions!$F$1:$F$5001,$A373)&amp;"")</f>
        <v/>
      </c>
      <c r="O373" s="23" t="n">
        <f aca="false">IF(I373="",0,IF(COUNTIF(I$16:I373,I373)=1,1,0))</f>
        <v>0</v>
      </c>
      <c r="P373" s="23" t="n">
        <f aca="false">IF(F373="",0,IF(COUNTIF(F$16:F373,F373)=1,1,0))</f>
        <v>0</v>
      </c>
      <c r="Q373" s="0" t="str">
        <f aca="false">IF(B373="","",B373&amp;"|"&amp;C373)</f>
        <v/>
      </c>
      <c r="R373" s="23" t="n">
        <f aca="false">IF(Q373="",0,IF(COUNTIF(Q$16:Q373,Q373)=1,1,0))</f>
        <v>0</v>
      </c>
    </row>
    <row r="374" customFormat="false" ht="15" hidden="false" customHeight="false" outlineLevel="0" collapsed="false">
      <c r="A374" s="0" t="str">
        <f aca="false">IFERROR(MATCH(359,Apparitions!$N$1:$N$5001,0),"")</f>
        <v/>
      </c>
      <c r="B374" s="19" t="str">
        <f aca="false">IF($A374="","",INDEX(Apparitions!$A$1:$A$5001,$A374)&amp;"")</f>
        <v/>
      </c>
      <c r="C374" s="19" t="str">
        <f aca="false">IF($A374="","",INDEX(Apparitions!$B$1:$B$5001,$A374)&amp;"")</f>
        <v/>
      </c>
      <c r="D374" s="20" t="str">
        <f aca="false">IF($A374="","",INDEX(Apparitions!$L$1:$L$5001,$A374))</f>
        <v/>
      </c>
      <c r="E374" s="19" t="str">
        <f aca="false">IF($A374="","",INDEX(Apparitions!$C$1:$C$5001,$A374)&amp;"")</f>
        <v/>
      </c>
      <c r="F374" s="19" t="str">
        <f aca="false">IF($A374="","",INDEX(Apparitions!$H$1:$H$5001,$A374)&amp;"")</f>
        <v/>
      </c>
      <c r="G374" s="19" t="str">
        <f aca="false">IF($A374="","",INDEX(Apparitions!$I$1:$I$5001,$A374)&amp;"")</f>
        <v/>
      </c>
      <c r="H374" s="19" t="str">
        <f aca="false">IF($A374="","",INDEX(Apparitions!$J$1:$J$5001,$A374)&amp;"")</f>
        <v/>
      </c>
      <c r="I374" s="19" t="str">
        <f aca="false">IF($A374="","",INDEX(Apparitions!$G$1:$G$5001,$A374)&amp;"")</f>
        <v/>
      </c>
      <c r="J374" s="19" t="str">
        <f aca="false">IF($A374="","",INDEX(Apparitions!$M$1:$M$5001,$A374)&amp;"")</f>
        <v/>
      </c>
      <c r="K374" s="21" t="str">
        <f aca="false">IF($A374="","",INDEX(Apparitions!$K$1:$K$5001,$A374))</f>
        <v/>
      </c>
      <c r="L374" s="22" t="str">
        <f aca="false">IF($A374="","",INDEX(Apparitions!$E$1:$E$5001,$A374)&amp;"")</f>
        <v/>
      </c>
      <c r="M374" s="19" t="str">
        <f aca="false">IF($A374="","",INDEX(Apparitions!$F$1:$F$5001,$A374)&amp;"")</f>
        <v/>
      </c>
      <c r="O374" s="23" t="n">
        <f aca="false">IF(I374="",0,IF(COUNTIF(I$16:I374,I374)=1,1,0))</f>
        <v>0</v>
      </c>
      <c r="P374" s="23" t="n">
        <f aca="false">IF(F374="",0,IF(COUNTIF(F$16:F374,F374)=1,1,0))</f>
        <v>0</v>
      </c>
      <c r="Q374" s="0" t="str">
        <f aca="false">IF(B374="","",B374&amp;"|"&amp;C374)</f>
        <v/>
      </c>
      <c r="R374" s="23" t="n">
        <f aca="false">IF(Q374="",0,IF(COUNTIF(Q$16:Q374,Q374)=1,1,0))</f>
        <v>0</v>
      </c>
    </row>
    <row r="375" customFormat="false" ht="15" hidden="false" customHeight="false" outlineLevel="0" collapsed="false">
      <c r="A375" s="0" t="str">
        <f aca="false">IFERROR(MATCH(360,Apparitions!$N$1:$N$5001,0),"")</f>
        <v/>
      </c>
      <c r="B375" s="19" t="str">
        <f aca="false">IF($A375="","",INDEX(Apparitions!$A$1:$A$5001,$A375)&amp;"")</f>
        <v/>
      </c>
      <c r="C375" s="19" t="str">
        <f aca="false">IF($A375="","",INDEX(Apparitions!$B$1:$B$5001,$A375)&amp;"")</f>
        <v/>
      </c>
      <c r="D375" s="20" t="str">
        <f aca="false">IF($A375="","",INDEX(Apparitions!$L$1:$L$5001,$A375))</f>
        <v/>
      </c>
      <c r="E375" s="19" t="str">
        <f aca="false">IF($A375="","",INDEX(Apparitions!$C$1:$C$5001,$A375)&amp;"")</f>
        <v/>
      </c>
      <c r="F375" s="19" t="str">
        <f aca="false">IF($A375="","",INDEX(Apparitions!$H$1:$H$5001,$A375)&amp;"")</f>
        <v/>
      </c>
      <c r="G375" s="19" t="str">
        <f aca="false">IF($A375="","",INDEX(Apparitions!$I$1:$I$5001,$A375)&amp;"")</f>
        <v/>
      </c>
      <c r="H375" s="19" t="str">
        <f aca="false">IF($A375="","",INDEX(Apparitions!$J$1:$J$5001,$A375)&amp;"")</f>
        <v/>
      </c>
      <c r="I375" s="19" t="str">
        <f aca="false">IF($A375="","",INDEX(Apparitions!$G$1:$G$5001,$A375)&amp;"")</f>
        <v/>
      </c>
      <c r="J375" s="19" t="str">
        <f aca="false">IF($A375="","",INDEX(Apparitions!$M$1:$M$5001,$A375)&amp;"")</f>
        <v/>
      </c>
      <c r="K375" s="21" t="str">
        <f aca="false">IF($A375="","",INDEX(Apparitions!$K$1:$K$5001,$A375))</f>
        <v/>
      </c>
      <c r="L375" s="22" t="str">
        <f aca="false">IF($A375="","",INDEX(Apparitions!$E$1:$E$5001,$A375)&amp;"")</f>
        <v/>
      </c>
      <c r="M375" s="19" t="str">
        <f aca="false">IF($A375="","",INDEX(Apparitions!$F$1:$F$5001,$A375)&amp;"")</f>
        <v/>
      </c>
      <c r="O375" s="23" t="n">
        <f aca="false">IF(I375="",0,IF(COUNTIF(I$16:I375,I375)=1,1,0))</f>
        <v>0</v>
      </c>
      <c r="P375" s="23" t="n">
        <f aca="false">IF(F375="",0,IF(COUNTIF(F$16:F375,F375)=1,1,0))</f>
        <v>0</v>
      </c>
      <c r="Q375" s="0" t="str">
        <f aca="false">IF(B375="","",B375&amp;"|"&amp;C375)</f>
        <v/>
      </c>
      <c r="R375" s="23" t="n">
        <f aca="false">IF(Q375="",0,IF(COUNTIF(Q$16:Q375,Q375)=1,1,0))</f>
        <v>0</v>
      </c>
    </row>
    <row r="376" customFormat="false" ht="15" hidden="false" customHeight="false" outlineLevel="0" collapsed="false">
      <c r="A376" s="0" t="str">
        <f aca="false">IFERROR(MATCH(361,Apparitions!$N$1:$N$5001,0),"")</f>
        <v/>
      </c>
      <c r="B376" s="19" t="str">
        <f aca="false">IF($A376="","",INDEX(Apparitions!$A$1:$A$5001,$A376)&amp;"")</f>
        <v/>
      </c>
      <c r="C376" s="19" t="str">
        <f aca="false">IF($A376="","",INDEX(Apparitions!$B$1:$B$5001,$A376)&amp;"")</f>
        <v/>
      </c>
      <c r="D376" s="20" t="str">
        <f aca="false">IF($A376="","",INDEX(Apparitions!$L$1:$L$5001,$A376))</f>
        <v/>
      </c>
      <c r="E376" s="19" t="str">
        <f aca="false">IF($A376="","",INDEX(Apparitions!$C$1:$C$5001,$A376)&amp;"")</f>
        <v/>
      </c>
      <c r="F376" s="19" t="str">
        <f aca="false">IF($A376="","",INDEX(Apparitions!$H$1:$H$5001,$A376)&amp;"")</f>
        <v/>
      </c>
      <c r="G376" s="19" t="str">
        <f aca="false">IF($A376="","",INDEX(Apparitions!$I$1:$I$5001,$A376)&amp;"")</f>
        <v/>
      </c>
      <c r="H376" s="19" t="str">
        <f aca="false">IF($A376="","",INDEX(Apparitions!$J$1:$J$5001,$A376)&amp;"")</f>
        <v/>
      </c>
      <c r="I376" s="19" t="str">
        <f aca="false">IF($A376="","",INDEX(Apparitions!$G$1:$G$5001,$A376)&amp;"")</f>
        <v/>
      </c>
      <c r="J376" s="19" t="str">
        <f aca="false">IF($A376="","",INDEX(Apparitions!$M$1:$M$5001,$A376)&amp;"")</f>
        <v/>
      </c>
      <c r="K376" s="21" t="str">
        <f aca="false">IF($A376="","",INDEX(Apparitions!$K$1:$K$5001,$A376))</f>
        <v/>
      </c>
      <c r="L376" s="22" t="str">
        <f aca="false">IF($A376="","",INDEX(Apparitions!$E$1:$E$5001,$A376)&amp;"")</f>
        <v/>
      </c>
      <c r="M376" s="19" t="str">
        <f aca="false">IF($A376="","",INDEX(Apparitions!$F$1:$F$5001,$A376)&amp;"")</f>
        <v/>
      </c>
      <c r="O376" s="23" t="n">
        <f aca="false">IF(I376="",0,IF(COUNTIF(I$16:I376,I376)=1,1,0))</f>
        <v>0</v>
      </c>
      <c r="P376" s="23" t="n">
        <f aca="false">IF(F376="",0,IF(COUNTIF(F$16:F376,F376)=1,1,0))</f>
        <v>0</v>
      </c>
      <c r="Q376" s="0" t="str">
        <f aca="false">IF(B376="","",B376&amp;"|"&amp;C376)</f>
        <v/>
      </c>
      <c r="R376" s="23" t="n">
        <f aca="false">IF(Q376="",0,IF(COUNTIF(Q$16:Q376,Q376)=1,1,0))</f>
        <v>0</v>
      </c>
    </row>
    <row r="377" customFormat="false" ht="15" hidden="false" customHeight="false" outlineLevel="0" collapsed="false">
      <c r="A377" s="0" t="str">
        <f aca="false">IFERROR(MATCH(362,Apparitions!$N$1:$N$5001,0),"")</f>
        <v/>
      </c>
      <c r="B377" s="19" t="str">
        <f aca="false">IF($A377="","",INDEX(Apparitions!$A$1:$A$5001,$A377)&amp;"")</f>
        <v/>
      </c>
      <c r="C377" s="19" t="str">
        <f aca="false">IF($A377="","",INDEX(Apparitions!$B$1:$B$5001,$A377)&amp;"")</f>
        <v/>
      </c>
      <c r="D377" s="20" t="str">
        <f aca="false">IF($A377="","",INDEX(Apparitions!$L$1:$L$5001,$A377))</f>
        <v/>
      </c>
      <c r="E377" s="19" t="str">
        <f aca="false">IF($A377="","",INDEX(Apparitions!$C$1:$C$5001,$A377)&amp;"")</f>
        <v/>
      </c>
      <c r="F377" s="19" t="str">
        <f aca="false">IF($A377="","",INDEX(Apparitions!$H$1:$H$5001,$A377)&amp;"")</f>
        <v/>
      </c>
      <c r="G377" s="19" t="str">
        <f aca="false">IF($A377="","",INDEX(Apparitions!$I$1:$I$5001,$A377)&amp;"")</f>
        <v/>
      </c>
      <c r="H377" s="19" t="str">
        <f aca="false">IF($A377="","",INDEX(Apparitions!$J$1:$J$5001,$A377)&amp;"")</f>
        <v/>
      </c>
      <c r="I377" s="19" t="str">
        <f aca="false">IF($A377="","",INDEX(Apparitions!$G$1:$G$5001,$A377)&amp;"")</f>
        <v/>
      </c>
      <c r="J377" s="19" t="str">
        <f aca="false">IF($A377="","",INDEX(Apparitions!$M$1:$M$5001,$A377)&amp;"")</f>
        <v/>
      </c>
      <c r="K377" s="21" t="str">
        <f aca="false">IF($A377="","",INDEX(Apparitions!$K$1:$K$5001,$A377))</f>
        <v/>
      </c>
      <c r="L377" s="22" t="str">
        <f aca="false">IF($A377="","",INDEX(Apparitions!$E$1:$E$5001,$A377)&amp;"")</f>
        <v/>
      </c>
      <c r="M377" s="19" t="str">
        <f aca="false">IF($A377="","",INDEX(Apparitions!$F$1:$F$5001,$A377)&amp;"")</f>
        <v/>
      </c>
      <c r="O377" s="23" t="n">
        <f aca="false">IF(I377="",0,IF(COUNTIF(I$16:I377,I377)=1,1,0))</f>
        <v>0</v>
      </c>
      <c r="P377" s="23" t="n">
        <f aca="false">IF(F377="",0,IF(COUNTIF(F$16:F377,F377)=1,1,0))</f>
        <v>0</v>
      </c>
      <c r="Q377" s="0" t="str">
        <f aca="false">IF(B377="","",B377&amp;"|"&amp;C377)</f>
        <v/>
      </c>
      <c r="R377" s="23" t="n">
        <f aca="false">IF(Q377="",0,IF(COUNTIF(Q$16:Q377,Q377)=1,1,0))</f>
        <v>0</v>
      </c>
    </row>
    <row r="378" customFormat="false" ht="15" hidden="false" customHeight="false" outlineLevel="0" collapsed="false">
      <c r="A378" s="0" t="str">
        <f aca="false">IFERROR(MATCH(363,Apparitions!$N$1:$N$5001,0),"")</f>
        <v/>
      </c>
      <c r="B378" s="19" t="str">
        <f aca="false">IF($A378="","",INDEX(Apparitions!$A$1:$A$5001,$A378)&amp;"")</f>
        <v/>
      </c>
      <c r="C378" s="19" t="str">
        <f aca="false">IF($A378="","",INDEX(Apparitions!$B$1:$B$5001,$A378)&amp;"")</f>
        <v/>
      </c>
      <c r="D378" s="20" t="str">
        <f aca="false">IF($A378="","",INDEX(Apparitions!$L$1:$L$5001,$A378))</f>
        <v/>
      </c>
      <c r="E378" s="19" t="str">
        <f aca="false">IF($A378="","",INDEX(Apparitions!$C$1:$C$5001,$A378)&amp;"")</f>
        <v/>
      </c>
      <c r="F378" s="19" t="str">
        <f aca="false">IF($A378="","",INDEX(Apparitions!$H$1:$H$5001,$A378)&amp;"")</f>
        <v/>
      </c>
      <c r="G378" s="19" t="str">
        <f aca="false">IF($A378="","",INDEX(Apparitions!$I$1:$I$5001,$A378)&amp;"")</f>
        <v/>
      </c>
      <c r="H378" s="19" t="str">
        <f aca="false">IF($A378="","",INDEX(Apparitions!$J$1:$J$5001,$A378)&amp;"")</f>
        <v/>
      </c>
      <c r="I378" s="19" t="str">
        <f aca="false">IF($A378="","",INDEX(Apparitions!$G$1:$G$5001,$A378)&amp;"")</f>
        <v/>
      </c>
      <c r="J378" s="19" t="str">
        <f aca="false">IF($A378="","",INDEX(Apparitions!$M$1:$M$5001,$A378)&amp;"")</f>
        <v/>
      </c>
      <c r="K378" s="21" t="str">
        <f aca="false">IF($A378="","",INDEX(Apparitions!$K$1:$K$5001,$A378))</f>
        <v/>
      </c>
      <c r="L378" s="22" t="str">
        <f aca="false">IF($A378="","",INDEX(Apparitions!$E$1:$E$5001,$A378)&amp;"")</f>
        <v/>
      </c>
      <c r="M378" s="19" t="str">
        <f aca="false">IF($A378="","",INDEX(Apparitions!$F$1:$F$5001,$A378)&amp;"")</f>
        <v/>
      </c>
      <c r="O378" s="23" t="n">
        <f aca="false">IF(I378="",0,IF(COUNTIF(I$16:I378,I378)=1,1,0))</f>
        <v>0</v>
      </c>
      <c r="P378" s="23" t="n">
        <f aca="false">IF(F378="",0,IF(COUNTIF(F$16:F378,F378)=1,1,0))</f>
        <v>0</v>
      </c>
      <c r="Q378" s="0" t="str">
        <f aca="false">IF(B378="","",B378&amp;"|"&amp;C378)</f>
        <v/>
      </c>
      <c r="R378" s="23" t="n">
        <f aca="false">IF(Q378="",0,IF(COUNTIF(Q$16:Q378,Q378)=1,1,0))</f>
        <v>0</v>
      </c>
    </row>
    <row r="379" customFormat="false" ht="15" hidden="false" customHeight="false" outlineLevel="0" collapsed="false">
      <c r="A379" s="0" t="str">
        <f aca="false">IFERROR(MATCH(364,Apparitions!$N$1:$N$5001,0),"")</f>
        <v/>
      </c>
      <c r="B379" s="19" t="str">
        <f aca="false">IF($A379="","",INDEX(Apparitions!$A$1:$A$5001,$A379)&amp;"")</f>
        <v/>
      </c>
      <c r="C379" s="19" t="str">
        <f aca="false">IF($A379="","",INDEX(Apparitions!$B$1:$B$5001,$A379)&amp;"")</f>
        <v/>
      </c>
      <c r="D379" s="20" t="str">
        <f aca="false">IF($A379="","",INDEX(Apparitions!$L$1:$L$5001,$A379))</f>
        <v/>
      </c>
      <c r="E379" s="19" t="str">
        <f aca="false">IF($A379="","",INDEX(Apparitions!$C$1:$C$5001,$A379)&amp;"")</f>
        <v/>
      </c>
      <c r="F379" s="19" t="str">
        <f aca="false">IF($A379="","",INDEX(Apparitions!$H$1:$H$5001,$A379)&amp;"")</f>
        <v/>
      </c>
      <c r="G379" s="19" t="str">
        <f aca="false">IF($A379="","",INDEX(Apparitions!$I$1:$I$5001,$A379)&amp;"")</f>
        <v/>
      </c>
      <c r="H379" s="19" t="str">
        <f aca="false">IF($A379="","",INDEX(Apparitions!$J$1:$J$5001,$A379)&amp;"")</f>
        <v/>
      </c>
      <c r="I379" s="19" t="str">
        <f aca="false">IF($A379="","",INDEX(Apparitions!$G$1:$G$5001,$A379)&amp;"")</f>
        <v/>
      </c>
      <c r="J379" s="19" t="str">
        <f aca="false">IF($A379="","",INDEX(Apparitions!$M$1:$M$5001,$A379)&amp;"")</f>
        <v/>
      </c>
      <c r="K379" s="21" t="str">
        <f aca="false">IF($A379="","",INDEX(Apparitions!$K$1:$K$5001,$A379))</f>
        <v/>
      </c>
      <c r="L379" s="22" t="str">
        <f aca="false">IF($A379="","",INDEX(Apparitions!$E$1:$E$5001,$A379)&amp;"")</f>
        <v/>
      </c>
      <c r="M379" s="19" t="str">
        <f aca="false">IF($A379="","",INDEX(Apparitions!$F$1:$F$5001,$A379)&amp;"")</f>
        <v/>
      </c>
      <c r="O379" s="23" t="n">
        <f aca="false">IF(I379="",0,IF(COUNTIF(I$16:I379,I379)=1,1,0))</f>
        <v>0</v>
      </c>
      <c r="P379" s="23" t="n">
        <f aca="false">IF(F379="",0,IF(COUNTIF(F$16:F379,F379)=1,1,0))</f>
        <v>0</v>
      </c>
      <c r="Q379" s="0" t="str">
        <f aca="false">IF(B379="","",B379&amp;"|"&amp;C379)</f>
        <v/>
      </c>
      <c r="R379" s="23" t="n">
        <f aca="false">IF(Q379="",0,IF(COUNTIF(Q$16:Q379,Q379)=1,1,0))</f>
        <v>0</v>
      </c>
    </row>
    <row r="380" customFormat="false" ht="15" hidden="false" customHeight="false" outlineLevel="0" collapsed="false">
      <c r="A380" s="0" t="str">
        <f aca="false">IFERROR(MATCH(365,Apparitions!$N$1:$N$5001,0),"")</f>
        <v/>
      </c>
      <c r="B380" s="19" t="str">
        <f aca="false">IF($A380="","",INDEX(Apparitions!$A$1:$A$5001,$A380)&amp;"")</f>
        <v/>
      </c>
      <c r="C380" s="19" t="str">
        <f aca="false">IF($A380="","",INDEX(Apparitions!$B$1:$B$5001,$A380)&amp;"")</f>
        <v/>
      </c>
      <c r="D380" s="20" t="str">
        <f aca="false">IF($A380="","",INDEX(Apparitions!$L$1:$L$5001,$A380))</f>
        <v/>
      </c>
      <c r="E380" s="19" t="str">
        <f aca="false">IF($A380="","",INDEX(Apparitions!$C$1:$C$5001,$A380)&amp;"")</f>
        <v/>
      </c>
      <c r="F380" s="19" t="str">
        <f aca="false">IF($A380="","",INDEX(Apparitions!$H$1:$H$5001,$A380)&amp;"")</f>
        <v/>
      </c>
      <c r="G380" s="19" t="str">
        <f aca="false">IF($A380="","",INDEX(Apparitions!$I$1:$I$5001,$A380)&amp;"")</f>
        <v/>
      </c>
      <c r="H380" s="19" t="str">
        <f aca="false">IF($A380="","",INDEX(Apparitions!$J$1:$J$5001,$A380)&amp;"")</f>
        <v/>
      </c>
      <c r="I380" s="19" t="str">
        <f aca="false">IF($A380="","",INDEX(Apparitions!$G$1:$G$5001,$A380)&amp;"")</f>
        <v/>
      </c>
      <c r="J380" s="19" t="str">
        <f aca="false">IF($A380="","",INDEX(Apparitions!$M$1:$M$5001,$A380)&amp;"")</f>
        <v/>
      </c>
      <c r="K380" s="21" t="str">
        <f aca="false">IF($A380="","",INDEX(Apparitions!$K$1:$K$5001,$A380))</f>
        <v/>
      </c>
      <c r="L380" s="22" t="str">
        <f aca="false">IF($A380="","",INDEX(Apparitions!$E$1:$E$5001,$A380)&amp;"")</f>
        <v/>
      </c>
      <c r="M380" s="19" t="str">
        <f aca="false">IF($A380="","",INDEX(Apparitions!$F$1:$F$5001,$A380)&amp;"")</f>
        <v/>
      </c>
      <c r="O380" s="23" t="n">
        <f aca="false">IF(I380="",0,IF(COUNTIF(I$16:I380,I380)=1,1,0))</f>
        <v>0</v>
      </c>
      <c r="P380" s="23" t="n">
        <f aca="false">IF(F380="",0,IF(COUNTIF(F$16:F380,F380)=1,1,0))</f>
        <v>0</v>
      </c>
      <c r="Q380" s="0" t="str">
        <f aca="false">IF(B380="","",B380&amp;"|"&amp;C380)</f>
        <v/>
      </c>
      <c r="R380" s="23" t="n">
        <f aca="false">IF(Q380="",0,IF(COUNTIF(Q$16:Q380,Q380)=1,1,0))</f>
        <v>0</v>
      </c>
    </row>
    <row r="381" customFormat="false" ht="15" hidden="false" customHeight="false" outlineLevel="0" collapsed="false">
      <c r="A381" s="0" t="str">
        <f aca="false">IFERROR(MATCH(366,Apparitions!$N$1:$N$5001,0),"")</f>
        <v/>
      </c>
      <c r="B381" s="19" t="str">
        <f aca="false">IF($A381="","",INDEX(Apparitions!$A$1:$A$5001,$A381)&amp;"")</f>
        <v/>
      </c>
      <c r="C381" s="19" t="str">
        <f aca="false">IF($A381="","",INDEX(Apparitions!$B$1:$B$5001,$A381)&amp;"")</f>
        <v/>
      </c>
      <c r="D381" s="20" t="str">
        <f aca="false">IF($A381="","",INDEX(Apparitions!$L$1:$L$5001,$A381))</f>
        <v/>
      </c>
      <c r="E381" s="19" t="str">
        <f aca="false">IF($A381="","",INDEX(Apparitions!$C$1:$C$5001,$A381)&amp;"")</f>
        <v/>
      </c>
      <c r="F381" s="19" t="str">
        <f aca="false">IF($A381="","",INDEX(Apparitions!$H$1:$H$5001,$A381)&amp;"")</f>
        <v/>
      </c>
      <c r="G381" s="19" t="str">
        <f aca="false">IF($A381="","",INDEX(Apparitions!$I$1:$I$5001,$A381)&amp;"")</f>
        <v/>
      </c>
      <c r="H381" s="19" t="str">
        <f aca="false">IF($A381="","",INDEX(Apparitions!$J$1:$J$5001,$A381)&amp;"")</f>
        <v/>
      </c>
      <c r="I381" s="19" t="str">
        <f aca="false">IF($A381="","",INDEX(Apparitions!$G$1:$G$5001,$A381)&amp;"")</f>
        <v/>
      </c>
      <c r="J381" s="19" t="str">
        <f aca="false">IF($A381="","",INDEX(Apparitions!$M$1:$M$5001,$A381)&amp;"")</f>
        <v/>
      </c>
      <c r="K381" s="21" t="str">
        <f aca="false">IF($A381="","",INDEX(Apparitions!$K$1:$K$5001,$A381))</f>
        <v/>
      </c>
      <c r="L381" s="22" t="str">
        <f aca="false">IF($A381="","",INDEX(Apparitions!$E$1:$E$5001,$A381)&amp;"")</f>
        <v/>
      </c>
      <c r="M381" s="19" t="str">
        <f aca="false">IF($A381="","",INDEX(Apparitions!$F$1:$F$5001,$A381)&amp;"")</f>
        <v/>
      </c>
      <c r="O381" s="23" t="n">
        <f aca="false">IF(I381="",0,IF(COUNTIF(I$16:I381,I381)=1,1,0))</f>
        <v>0</v>
      </c>
      <c r="P381" s="23" t="n">
        <f aca="false">IF(F381="",0,IF(COUNTIF(F$16:F381,F381)=1,1,0))</f>
        <v>0</v>
      </c>
      <c r="Q381" s="0" t="str">
        <f aca="false">IF(B381="","",B381&amp;"|"&amp;C381)</f>
        <v/>
      </c>
      <c r="R381" s="23" t="n">
        <f aca="false">IF(Q381="",0,IF(COUNTIF(Q$16:Q381,Q381)=1,1,0))</f>
        <v>0</v>
      </c>
    </row>
    <row r="382" customFormat="false" ht="15" hidden="false" customHeight="false" outlineLevel="0" collapsed="false">
      <c r="A382" s="0" t="str">
        <f aca="false">IFERROR(MATCH(367,Apparitions!$N$1:$N$5001,0),"")</f>
        <v/>
      </c>
      <c r="B382" s="19" t="str">
        <f aca="false">IF($A382="","",INDEX(Apparitions!$A$1:$A$5001,$A382)&amp;"")</f>
        <v/>
      </c>
      <c r="C382" s="19" t="str">
        <f aca="false">IF($A382="","",INDEX(Apparitions!$B$1:$B$5001,$A382)&amp;"")</f>
        <v/>
      </c>
      <c r="D382" s="20" t="str">
        <f aca="false">IF($A382="","",INDEX(Apparitions!$L$1:$L$5001,$A382))</f>
        <v/>
      </c>
      <c r="E382" s="19" t="str">
        <f aca="false">IF($A382="","",INDEX(Apparitions!$C$1:$C$5001,$A382)&amp;"")</f>
        <v/>
      </c>
      <c r="F382" s="19" t="str">
        <f aca="false">IF($A382="","",INDEX(Apparitions!$H$1:$H$5001,$A382)&amp;"")</f>
        <v/>
      </c>
      <c r="G382" s="19" t="str">
        <f aca="false">IF($A382="","",INDEX(Apparitions!$I$1:$I$5001,$A382)&amp;"")</f>
        <v/>
      </c>
      <c r="H382" s="19" t="str">
        <f aca="false">IF($A382="","",INDEX(Apparitions!$J$1:$J$5001,$A382)&amp;"")</f>
        <v/>
      </c>
      <c r="I382" s="19" t="str">
        <f aca="false">IF($A382="","",INDEX(Apparitions!$G$1:$G$5001,$A382)&amp;"")</f>
        <v/>
      </c>
      <c r="J382" s="19" t="str">
        <f aca="false">IF($A382="","",INDEX(Apparitions!$M$1:$M$5001,$A382)&amp;"")</f>
        <v/>
      </c>
      <c r="K382" s="21" t="str">
        <f aca="false">IF($A382="","",INDEX(Apparitions!$K$1:$K$5001,$A382))</f>
        <v/>
      </c>
      <c r="L382" s="22" t="str">
        <f aca="false">IF($A382="","",INDEX(Apparitions!$E$1:$E$5001,$A382)&amp;"")</f>
        <v/>
      </c>
      <c r="M382" s="19" t="str">
        <f aca="false">IF($A382="","",INDEX(Apparitions!$F$1:$F$5001,$A382)&amp;"")</f>
        <v/>
      </c>
      <c r="O382" s="23" t="n">
        <f aca="false">IF(I382="",0,IF(COUNTIF(I$16:I382,I382)=1,1,0))</f>
        <v>0</v>
      </c>
      <c r="P382" s="23" t="n">
        <f aca="false">IF(F382="",0,IF(COUNTIF(F$16:F382,F382)=1,1,0))</f>
        <v>0</v>
      </c>
      <c r="Q382" s="0" t="str">
        <f aca="false">IF(B382="","",B382&amp;"|"&amp;C382)</f>
        <v/>
      </c>
      <c r="R382" s="23" t="n">
        <f aca="false">IF(Q382="",0,IF(COUNTIF(Q$16:Q382,Q382)=1,1,0))</f>
        <v>0</v>
      </c>
    </row>
    <row r="383" customFormat="false" ht="15" hidden="false" customHeight="false" outlineLevel="0" collapsed="false">
      <c r="A383" s="0" t="str">
        <f aca="false">IFERROR(MATCH(368,Apparitions!$N$1:$N$5001,0),"")</f>
        <v/>
      </c>
      <c r="B383" s="19" t="str">
        <f aca="false">IF($A383="","",INDEX(Apparitions!$A$1:$A$5001,$A383)&amp;"")</f>
        <v/>
      </c>
      <c r="C383" s="19" t="str">
        <f aca="false">IF($A383="","",INDEX(Apparitions!$B$1:$B$5001,$A383)&amp;"")</f>
        <v/>
      </c>
      <c r="D383" s="20" t="str">
        <f aca="false">IF($A383="","",INDEX(Apparitions!$L$1:$L$5001,$A383))</f>
        <v/>
      </c>
      <c r="E383" s="19" t="str">
        <f aca="false">IF($A383="","",INDEX(Apparitions!$C$1:$C$5001,$A383)&amp;"")</f>
        <v/>
      </c>
      <c r="F383" s="19" t="str">
        <f aca="false">IF($A383="","",INDEX(Apparitions!$H$1:$H$5001,$A383)&amp;"")</f>
        <v/>
      </c>
      <c r="G383" s="19" t="str">
        <f aca="false">IF($A383="","",INDEX(Apparitions!$I$1:$I$5001,$A383)&amp;"")</f>
        <v/>
      </c>
      <c r="H383" s="19" t="str">
        <f aca="false">IF($A383="","",INDEX(Apparitions!$J$1:$J$5001,$A383)&amp;"")</f>
        <v/>
      </c>
      <c r="I383" s="19" t="str">
        <f aca="false">IF($A383="","",INDEX(Apparitions!$G$1:$G$5001,$A383)&amp;"")</f>
        <v/>
      </c>
      <c r="J383" s="19" t="str">
        <f aca="false">IF($A383="","",INDEX(Apparitions!$M$1:$M$5001,$A383)&amp;"")</f>
        <v/>
      </c>
      <c r="K383" s="21" t="str">
        <f aca="false">IF($A383="","",INDEX(Apparitions!$K$1:$K$5001,$A383))</f>
        <v/>
      </c>
      <c r="L383" s="22" t="str">
        <f aca="false">IF($A383="","",INDEX(Apparitions!$E$1:$E$5001,$A383)&amp;"")</f>
        <v/>
      </c>
      <c r="M383" s="19" t="str">
        <f aca="false">IF($A383="","",INDEX(Apparitions!$F$1:$F$5001,$A383)&amp;"")</f>
        <v/>
      </c>
      <c r="O383" s="23" t="n">
        <f aca="false">IF(I383="",0,IF(COUNTIF(I$16:I383,I383)=1,1,0))</f>
        <v>0</v>
      </c>
      <c r="P383" s="23" t="n">
        <f aca="false">IF(F383="",0,IF(COUNTIF(F$16:F383,F383)=1,1,0))</f>
        <v>0</v>
      </c>
      <c r="Q383" s="0" t="str">
        <f aca="false">IF(B383="","",B383&amp;"|"&amp;C383)</f>
        <v/>
      </c>
      <c r="R383" s="23" t="n">
        <f aca="false">IF(Q383="",0,IF(COUNTIF(Q$16:Q383,Q383)=1,1,0))</f>
        <v>0</v>
      </c>
    </row>
    <row r="384" customFormat="false" ht="15" hidden="false" customHeight="false" outlineLevel="0" collapsed="false">
      <c r="A384" s="0" t="str">
        <f aca="false">IFERROR(MATCH(369,Apparitions!$N$1:$N$5001,0),"")</f>
        <v/>
      </c>
      <c r="B384" s="19" t="str">
        <f aca="false">IF($A384="","",INDEX(Apparitions!$A$1:$A$5001,$A384)&amp;"")</f>
        <v/>
      </c>
      <c r="C384" s="19" t="str">
        <f aca="false">IF($A384="","",INDEX(Apparitions!$B$1:$B$5001,$A384)&amp;"")</f>
        <v/>
      </c>
      <c r="D384" s="20" t="str">
        <f aca="false">IF($A384="","",INDEX(Apparitions!$L$1:$L$5001,$A384))</f>
        <v/>
      </c>
      <c r="E384" s="19" t="str">
        <f aca="false">IF($A384="","",INDEX(Apparitions!$C$1:$C$5001,$A384)&amp;"")</f>
        <v/>
      </c>
      <c r="F384" s="19" t="str">
        <f aca="false">IF($A384="","",INDEX(Apparitions!$H$1:$H$5001,$A384)&amp;"")</f>
        <v/>
      </c>
      <c r="G384" s="19" t="str">
        <f aca="false">IF($A384="","",INDEX(Apparitions!$I$1:$I$5001,$A384)&amp;"")</f>
        <v/>
      </c>
      <c r="H384" s="19" t="str">
        <f aca="false">IF($A384="","",INDEX(Apparitions!$J$1:$J$5001,$A384)&amp;"")</f>
        <v/>
      </c>
      <c r="I384" s="19" t="str">
        <f aca="false">IF($A384="","",INDEX(Apparitions!$G$1:$G$5001,$A384)&amp;"")</f>
        <v/>
      </c>
      <c r="J384" s="19" t="str">
        <f aca="false">IF($A384="","",INDEX(Apparitions!$M$1:$M$5001,$A384)&amp;"")</f>
        <v/>
      </c>
      <c r="K384" s="21" t="str">
        <f aca="false">IF($A384="","",INDEX(Apparitions!$K$1:$K$5001,$A384))</f>
        <v/>
      </c>
      <c r="L384" s="22" t="str">
        <f aca="false">IF($A384="","",INDEX(Apparitions!$E$1:$E$5001,$A384)&amp;"")</f>
        <v/>
      </c>
      <c r="M384" s="19" t="str">
        <f aca="false">IF($A384="","",INDEX(Apparitions!$F$1:$F$5001,$A384)&amp;"")</f>
        <v/>
      </c>
      <c r="O384" s="23" t="n">
        <f aca="false">IF(I384="",0,IF(COUNTIF(I$16:I384,I384)=1,1,0))</f>
        <v>0</v>
      </c>
      <c r="P384" s="23" t="n">
        <f aca="false">IF(F384="",0,IF(COUNTIF(F$16:F384,F384)=1,1,0))</f>
        <v>0</v>
      </c>
      <c r="Q384" s="0" t="str">
        <f aca="false">IF(B384="","",B384&amp;"|"&amp;C384)</f>
        <v/>
      </c>
      <c r="R384" s="23" t="n">
        <f aca="false">IF(Q384="",0,IF(COUNTIF(Q$16:Q384,Q384)=1,1,0))</f>
        <v>0</v>
      </c>
    </row>
    <row r="385" customFormat="false" ht="15" hidden="false" customHeight="false" outlineLevel="0" collapsed="false">
      <c r="A385" s="0" t="str">
        <f aca="false">IFERROR(MATCH(370,Apparitions!$N$1:$N$5001,0),"")</f>
        <v/>
      </c>
      <c r="B385" s="19" t="str">
        <f aca="false">IF($A385="","",INDEX(Apparitions!$A$1:$A$5001,$A385)&amp;"")</f>
        <v/>
      </c>
      <c r="C385" s="19" t="str">
        <f aca="false">IF($A385="","",INDEX(Apparitions!$B$1:$B$5001,$A385)&amp;"")</f>
        <v/>
      </c>
      <c r="D385" s="20" t="str">
        <f aca="false">IF($A385="","",INDEX(Apparitions!$L$1:$L$5001,$A385))</f>
        <v/>
      </c>
      <c r="E385" s="19" t="str">
        <f aca="false">IF($A385="","",INDEX(Apparitions!$C$1:$C$5001,$A385)&amp;"")</f>
        <v/>
      </c>
      <c r="F385" s="19" t="str">
        <f aca="false">IF($A385="","",INDEX(Apparitions!$H$1:$H$5001,$A385)&amp;"")</f>
        <v/>
      </c>
      <c r="G385" s="19" t="str">
        <f aca="false">IF($A385="","",INDEX(Apparitions!$I$1:$I$5001,$A385)&amp;"")</f>
        <v/>
      </c>
      <c r="H385" s="19" t="str">
        <f aca="false">IF($A385="","",INDEX(Apparitions!$J$1:$J$5001,$A385)&amp;"")</f>
        <v/>
      </c>
      <c r="I385" s="19" t="str">
        <f aca="false">IF($A385="","",INDEX(Apparitions!$G$1:$G$5001,$A385)&amp;"")</f>
        <v/>
      </c>
      <c r="J385" s="19" t="str">
        <f aca="false">IF($A385="","",INDEX(Apparitions!$M$1:$M$5001,$A385)&amp;"")</f>
        <v/>
      </c>
      <c r="K385" s="21" t="str">
        <f aca="false">IF($A385="","",INDEX(Apparitions!$K$1:$K$5001,$A385))</f>
        <v/>
      </c>
      <c r="L385" s="22" t="str">
        <f aca="false">IF($A385="","",INDEX(Apparitions!$E$1:$E$5001,$A385)&amp;"")</f>
        <v/>
      </c>
      <c r="M385" s="19" t="str">
        <f aca="false">IF($A385="","",INDEX(Apparitions!$F$1:$F$5001,$A385)&amp;"")</f>
        <v/>
      </c>
      <c r="O385" s="23" t="n">
        <f aca="false">IF(I385="",0,IF(COUNTIF(I$16:I385,I385)=1,1,0))</f>
        <v>0</v>
      </c>
      <c r="P385" s="23" t="n">
        <f aca="false">IF(F385="",0,IF(COUNTIF(F$16:F385,F385)=1,1,0))</f>
        <v>0</v>
      </c>
      <c r="Q385" s="0" t="str">
        <f aca="false">IF(B385="","",B385&amp;"|"&amp;C385)</f>
        <v/>
      </c>
      <c r="R385" s="23" t="n">
        <f aca="false">IF(Q385="",0,IF(COUNTIF(Q$16:Q385,Q385)=1,1,0))</f>
        <v>0</v>
      </c>
    </row>
    <row r="386" customFormat="false" ht="15" hidden="false" customHeight="false" outlineLevel="0" collapsed="false">
      <c r="A386" s="0" t="str">
        <f aca="false">IFERROR(MATCH(371,Apparitions!$N$1:$N$5001,0),"")</f>
        <v/>
      </c>
      <c r="B386" s="19" t="str">
        <f aca="false">IF($A386="","",INDEX(Apparitions!$A$1:$A$5001,$A386)&amp;"")</f>
        <v/>
      </c>
      <c r="C386" s="19" t="str">
        <f aca="false">IF($A386="","",INDEX(Apparitions!$B$1:$B$5001,$A386)&amp;"")</f>
        <v/>
      </c>
      <c r="D386" s="20" t="str">
        <f aca="false">IF($A386="","",INDEX(Apparitions!$L$1:$L$5001,$A386))</f>
        <v/>
      </c>
      <c r="E386" s="19" t="str">
        <f aca="false">IF($A386="","",INDEX(Apparitions!$C$1:$C$5001,$A386)&amp;"")</f>
        <v/>
      </c>
      <c r="F386" s="19" t="str">
        <f aca="false">IF($A386="","",INDEX(Apparitions!$H$1:$H$5001,$A386)&amp;"")</f>
        <v/>
      </c>
      <c r="G386" s="19" t="str">
        <f aca="false">IF($A386="","",INDEX(Apparitions!$I$1:$I$5001,$A386)&amp;"")</f>
        <v/>
      </c>
      <c r="H386" s="19" t="str">
        <f aca="false">IF($A386="","",INDEX(Apparitions!$J$1:$J$5001,$A386)&amp;"")</f>
        <v/>
      </c>
      <c r="I386" s="19" t="str">
        <f aca="false">IF($A386="","",INDEX(Apparitions!$G$1:$G$5001,$A386)&amp;"")</f>
        <v/>
      </c>
      <c r="J386" s="19" t="str">
        <f aca="false">IF($A386="","",INDEX(Apparitions!$M$1:$M$5001,$A386)&amp;"")</f>
        <v/>
      </c>
      <c r="K386" s="21" t="str">
        <f aca="false">IF($A386="","",INDEX(Apparitions!$K$1:$K$5001,$A386))</f>
        <v/>
      </c>
      <c r="L386" s="22" t="str">
        <f aca="false">IF($A386="","",INDEX(Apparitions!$E$1:$E$5001,$A386)&amp;"")</f>
        <v/>
      </c>
      <c r="M386" s="19" t="str">
        <f aca="false">IF($A386="","",INDEX(Apparitions!$F$1:$F$5001,$A386)&amp;"")</f>
        <v/>
      </c>
      <c r="O386" s="23" t="n">
        <f aca="false">IF(I386="",0,IF(COUNTIF(I$16:I386,I386)=1,1,0))</f>
        <v>0</v>
      </c>
      <c r="P386" s="23" t="n">
        <f aca="false">IF(F386="",0,IF(COUNTIF(F$16:F386,F386)=1,1,0))</f>
        <v>0</v>
      </c>
      <c r="Q386" s="0" t="str">
        <f aca="false">IF(B386="","",B386&amp;"|"&amp;C386)</f>
        <v/>
      </c>
      <c r="R386" s="23" t="n">
        <f aca="false">IF(Q386="",0,IF(COUNTIF(Q$16:Q386,Q386)=1,1,0))</f>
        <v>0</v>
      </c>
    </row>
    <row r="387" customFormat="false" ht="15" hidden="false" customHeight="false" outlineLevel="0" collapsed="false">
      <c r="A387" s="0" t="str">
        <f aca="false">IFERROR(MATCH(372,Apparitions!$N$1:$N$5001,0),"")</f>
        <v/>
      </c>
      <c r="B387" s="19" t="str">
        <f aca="false">IF($A387="","",INDEX(Apparitions!$A$1:$A$5001,$A387)&amp;"")</f>
        <v/>
      </c>
      <c r="C387" s="19" t="str">
        <f aca="false">IF($A387="","",INDEX(Apparitions!$B$1:$B$5001,$A387)&amp;"")</f>
        <v/>
      </c>
      <c r="D387" s="20" t="str">
        <f aca="false">IF($A387="","",INDEX(Apparitions!$L$1:$L$5001,$A387))</f>
        <v/>
      </c>
      <c r="E387" s="19" t="str">
        <f aca="false">IF($A387="","",INDEX(Apparitions!$C$1:$C$5001,$A387)&amp;"")</f>
        <v/>
      </c>
      <c r="F387" s="19" t="str">
        <f aca="false">IF($A387="","",INDEX(Apparitions!$H$1:$H$5001,$A387)&amp;"")</f>
        <v/>
      </c>
      <c r="G387" s="19" t="str">
        <f aca="false">IF($A387="","",INDEX(Apparitions!$I$1:$I$5001,$A387)&amp;"")</f>
        <v/>
      </c>
      <c r="H387" s="19" t="str">
        <f aca="false">IF($A387="","",INDEX(Apparitions!$J$1:$J$5001,$A387)&amp;"")</f>
        <v/>
      </c>
      <c r="I387" s="19" t="str">
        <f aca="false">IF($A387="","",INDEX(Apparitions!$G$1:$G$5001,$A387)&amp;"")</f>
        <v/>
      </c>
      <c r="J387" s="19" t="str">
        <f aca="false">IF($A387="","",INDEX(Apparitions!$M$1:$M$5001,$A387)&amp;"")</f>
        <v/>
      </c>
      <c r="K387" s="21" t="str">
        <f aca="false">IF($A387="","",INDEX(Apparitions!$K$1:$K$5001,$A387))</f>
        <v/>
      </c>
      <c r="L387" s="22" t="str">
        <f aca="false">IF($A387="","",INDEX(Apparitions!$E$1:$E$5001,$A387)&amp;"")</f>
        <v/>
      </c>
      <c r="M387" s="19" t="str">
        <f aca="false">IF($A387="","",INDEX(Apparitions!$F$1:$F$5001,$A387)&amp;"")</f>
        <v/>
      </c>
      <c r="O387" s="23" t="n">
        <f aca="false">IF(I387="",0,IF(COUNTIF(I$16:I387,I387)=1,1,0))</f>
        <v>0</v>
      </c>
      <c r="P387" s="23" t="n">
        <f aca="false">IF(F387="",0,IF(COUNTIF(F$16:F387,F387)=1,1,0))</f>
        <v>0</v>
      </c>
      <c r="Q387" s="0" t="str">
        <f aca="false">IF(B387="","",B387&amp;"|"&amp;C387)</f>
        <v/>
      </c>
      <c r="R387" s="23" t="n">
        <f aca="false">IF(Q387="",0,IF(COUNTIF(Q$16:Q387,Q387)=1,1,0))</f>
        <v>0</v>
      </c>
    </row>
    <row r="388" customFormat="false" ht="15" hidden="false" customHeight="false" outlineLevel="0" collapsed="false">
      <c r="A388" s="0" t="str">
        <f aca="false">IFERROR(MATCH(373,Apparitions!$N$1:$N$5001,0),"")</f>
        <v/>
      </c>
      <c r="B388" s="19" t="str">
        <f aca="false">IF($A388="","",INDEX(Apparitions!$A$1:$A$5001,$A388)&amp;"")</f>
        <v/>
      </c>
      <c r="C388" s="19" t="str">
        <f aca="false">IF($A388="","",INDEX(Apparitions!$B$1:$B$5001,$A388)&amp;"")</f>
        <v/>
      </c>
      <c r="D388" s="20" t="str">
        <f aca="false">IF($A388="","",INDEX(Apparitions!$L$1:$L$5001,$A388))</f>
        <v/>
      </c>
      <c r="E388" s="19" t="str">
        <f aca="false">IF($A388="","",INDEX(Apparitions!$C$1:$C$5001,$A388)&amp;"")</f>
        <v/>
      </c>
      <c r="F388" s="19" t="str">
        <f aca="false">IF($A388="","",INDEX(Apparitions!$H$1:$H$5001,$A388)&amp;"")</f>
        <v/>
      </c>
      <c r="G388" s="19" t="str">
        <f aca="false">IF($A388="","",INDEX(Apparitions!$I$1:$I$5001,$A388)&amp;"")</f>
        <v/>
      </c>
      <c r="H388" s="19" t="str">
        <f aca="false">IF($A388="","",INDEX(Apparitions!$J$1:$J$5001,$A388)&amp;"")</f>
        <v/>
      </c>
      <c r="I388" s="19" t="str">
        <f aca="false">IF($A388="","",INDEX(Apparitions!$G$1:$G$5001,$A388)&amp;"")</f>
        <v/>
      </c>
      <c r="J388" s="19" t="str">
        <f aca="false">IF($A388="","",INDEX(Apparitions!$M$1:$M$5001,$A388)&amp;"")</f>
        <v/>
      </c>
      <c r="K388" s="21" t="str">
        <f aca="false">IF($A388="","",INDEX(Apparitions!$K$1:$K$5001,$A388))</f>
        <v/>
      </c>
      <c r="L388" s="22" t="str">
        <f aca="false">IF($A388="","",INDEX(Apparitions!$E$1:$E$5001,$A388)&amp;"")</f>
        <v/>
      </c>
      <c r="M388" s="19" t="str">
        <f aca="false">IF($A388="","",INDEX(Apparitions!$F$1:$F$5001,$A388)&amp;"")</f>
        <v/>
      </c>
      <c r="O388" s="23" t="n">
        <f aca="false">IF(I388="",0,IF(COUNTIF(I$16:I388,I388)=1,1,0))</f>
        <v>0</v>
      </c>
      <c r="P388" s="23" t="n">
        <f aca="false">IF(F388="",0,IF(COUNTIF(F$16:F388,F388)=1,1,0))</f>
        <v>0</v>
      </c>
      <c r="Q388" s="0" t="str">
        <f aca="false">IF(B388="","",B388&amp;"|"&amp;C388)</f>
        <v/>
      </c>
      <c r="R388" s="23" t="n">
        <f aca="false">IF(Q388="",0,IF(COUNTIF(Q$16:Q388,Q388)=1,1,0))</f>
        <v>0</v>
      </c>
    </row>
    <row r="389" customFormat="false" ht="15" hidden="false" customHeight="false" outlineLevel="0" collapsed="false">
      <c r="A389" s="0" t="str">
        <f aca="false">IFERROR(MATCH(374,Apparitions!$N$1:$N$5001,0),"")</f>
        <v/>
      </c>
      <c r="B389" s="19" t="str">
        <f aca="false">IF($A389="","",INDEX(Apparitions!$A$1:$A$5001,$A389)&amp;"")</f>
        <v/>
      </c>
      <c r="C389" s="19" t="str">
        <f aca="false">IF($A389="","",INDEX(Apparitions!$B$1:$B$5001,$A389)&amp;"")</f>
        <v/>
      </c>
      <c r="D389" s="20" t="str">
        <f aca="false">IF($A389="","",INDEX(Apparitions!$L$1:$L$5001,$A389))</f>
        <v/>
      </c>
      <c r="E389" s="19" t="str">
        <f aca="false">IF($A389="","",INDEX(Apparitions!$C$1:$C$5001,$A389)&amp;"")</f>
        <v/>
      </c>
      <c r="F389" s="19" t="str">
        <f aca="false">IF($A389="","",INDEX(Apparitions!$H$1:$H$5001,$A389)&amp;"")</f>
        <v/>
      </c>
      <c r="G389" s="19" t="str">
        <f aca="false">IF($A389="","",INDEX(Apparitions!$I$1:$I$5001,$A389)&amp;"")</f>
        <v/>
      </c>
      <c r="H389" s="19" t="str">
        <f aca="false">IF($A389="","",INDEX(Apparitions!$J$1:$J$5001,$A389)&amp;"")</f>
        <v/>
      </c>
      <c r="I389" s="19" t="str">
        <f aca="false">IF($A389="","",INDEX(Apparitions!$G$1:$G$5001,$A389)&amp;"")</f>
        <v/>
      </c>
      <c r="J389" s="19" t="str">
        <f aca="false">IF($A389="","",INDEX(Apparitions!$M$1:$M$5001,$A389)&amp;"")</f>
        <v/>
      </c>
      <c r="K389" s="21" t="str">
        <f aca="false">IF($A389="","",INDEX(Apparitions!$K$1:$K$5001,$A389))</f>
        <v/>
      </c>
      <c r="L389" s="22" t="str">
        <f aca="false">IF($A389="","",INDEX(Apparitions!$E$1:$E$5001,$A389)&amp;"")</f>
        <v/>
      </c>
      <c r="M389" s="19" t="str">
        <f aca="false">IF($A389="","",INDEX(Apparitions!$F$1:$F$5001,$A389)&amp;"")</f>
        <v/>
      </c>
      <c r="O389" s="23" t="n">
        <f aca="false">IF(I389="",0,IF(COUNTIF(I$16:I389,I389)=1,1,0))</f>
        <v>0</v>
      </c>
      <c r="P389" s="23" t="n">
        <f aca="false">IF(F389="",0,IF(COUNTIF(F$16:F389,F389)=1,1,0))</f>
        <v>0</v>
      </c>
      <c r="Q389" s="0" t="str">
        <f aca="false">IF(B389="","",B389&amp;"|"&amp;C389)</f>
        <v/>
      </c>
      <c r="R389" s="23" t="n">
        <f aca="false">IF(Q389="",0,IF(COUNTIF(Q$16:Q389,Q389)=1,1,0))</f>
        <v>0</v>
      </c>
    </row>
    <row r="390" customFormat="false" ht="15" hidden="false" customHeight="false" outlineLevel="0" collapsed="false">
      <c r="A390" s="0" t="str">
        <f aca="false">IFERROR(MATCH(375,Apparitions!$N$1:$N$5001,0),"")</f>
        <v/>
      </c>
      <c r="B390" s="19" t="str">
        <f aca="false">IF($A390="","",INDEX(Apparitions!$A$1:$A$5001,$A390)&amp;"")</f>
        <v/>
      </c>
      <c r="C390" s="19" t="str">
        <f aca="false">IF($A390="","",INDEX(Apparitions!$B$1:$B$5001,$A390)&amp;"")</f>
        <v/>
      </c>
      <c r="D390" s="20" t="str">
        <f aca="false">IF($A390="","",INDEX(Apparitions!$L$1:$L$5001,$A390))</f>
        <v/>
      </c>
      <c r="E390" s="19" t="str">
        <f aca="false">IF($A390="","",INDEX(Apparitions!$C$1:$C$5001,$A390)&amp;"")</f>
        <v/>
      </c>
      <c r="F390" s="19" t="str">
        <f aca="false">IF($A390="","",INDEX(Apparitions!$H$1:$H$5001,$A390)&amp;"")</f>
        <v/>
      </c>
      <c r="G390" s="19" t="str">
        <f aca="false">IF($A390="","",INDEX(Apparitions!$I$1:$I$5001,$A390)&amp;"")</f>
        <v/>
      </c>
      <c r="H390" s="19" t="str">
        <f aca="false">IF($A390="","",INDEX(Apparitions!$J$1:$J$5001,$A390)&amp;"")</f>
        <v/>
      </c>
      <c r="I390" s="19" t="str">
        <f aca="false">IF($A390="","",INDEX(Apparitions!$G$1:$G$5001,$A390)&amp;"")</f>
        <v/>
      </c>
      <c r="J390" s="19" t="str">
        <f aca="false">IF($A390="","",INDEX(Apparitions!$M$1:$M$5001,$A390)&amp;"")</f>
        <v/>
      </c>
      <c r="K390" s="21" t="str">
        <f aca="false">IF($A390="","",INDEX(Apparitions!$K$1:$K$5001,$A390))</f>
        <v/>
      </c>
      <c r="L390" s="22" t="str">
        <f aca="false">IF($A390="","",INDEX(Apparitions!$E$1:$E$5001,$A390)&amp;"")</f>
        <v/>
      </c>
      <c r="M390" s="19" t="str">
        <f aca="false">IF($A390="","",INDEX(Apparitions!$F$1:$F$5001,$A390)&amp;"")</f>
        <v/>
      </c>
      <c r="O390" s="23" t="n">
        <f aca="false">IF(I390="",0,IF(COUNTIF(I$16:I390,I390)=1,1,0))</f>
        <v>0</v>
      </c>
      <c r="P390" s="23" t="n">
        <f aca="false">IF(F390="",0,IF(COUNTIF(F$16:F390,F390)=1,1,0))</f>
        <v>0</v>
      </c>
      <c r="Q390" s="0" t="str">
        <f aca="false">IF(B390="","",B390&amp;"|"&amp;C390)</f>
        <v/>
      </c>
      <c r="R390" s="23" t="n">
        <f aca="false">IF(Q390="",0,IF(COUNTIF(Q$16:Q390,Q390)=1,1,0))</f>
        <v>0</v>
      </c>
    </row>
    <row r="391" customFormat="false" ht="15" hidden="false" customHeight="false" outlineLevel="0" collapsed="false">
      <c r="A391" s="0" t="str">
        <f aca="false">IFERROR(MATCH(376,Apparitions!$N$1:$N$5001,0),"")</f>
        <v/>
      </c>
      <c r="B391" s="19" t="str">
        <f aca="false">IF($A391="","",INDEX(Apparitions!$A$1:$A$5001,$A391)&amp;"")</f>
        <v/>
      </c>
      <c r="C391" s="19" t="str">
        <f aca="false">IF($A391="","",INDEX(Apparitions!$B$1:$B$5001,$A391)&amp;"")</f>
        <v/>
      </c>
      <c r="D391" s="20" t="str">
        <f aca="false">IF($A391="","",INDEX(Apparitions!$L$1:$L$5001,$A391))</f>
        <v/>
      </c>
      <c r="E391" s="19" t="str">
        <f aca="false">IF($A391="","",INDEX(Apparitions!$C$1:$C$5001,$A391)&amp;"")</f>
        <v/>
      </c>
      <c r="F391" s="19" t="str">
        <f aca="false">IF($A391="","",INDEX(Apparitions!$H$1:$H$5001,$A391)&amp;"")</f>
        <v/>
      </c>
      <c r="G391" s="19" t="str">
        <f aca="false">IF($A391="","",INDEX(Apparitions!$I$1:$I$5001,$A391)&amp;"")</f>
        <v/>
      </c>
      <c r="H391" s="19" t="str">
        <f aca="false">IF($A391="","",INDEX(Apparitions!$J$1:$J$5001,$A391)&amp;"")</f>
        <v/>
      </c>
      <c r="I391" s="19" t="str">
        <f aca="false">IF($A391="","",INDEX(Apparitions!$G$1:$G$5001,$A391)&amp;"")</f>
        <v/>
      </c>
      <c r="J391" s="19" t="str">
        <f aca="false">IF($A391="","",INDEX(Apparitions!$M$1:$M$5001,$A391)&amp;"")</f>
        <v/>
      </c>
      <c r="K391" s="21" t="str">
        <f aca="false">IF($A391="","",INDEX(Apparitions!$K$1:$K$5001,$A391))</f>
        <v/>
      </c>
      <c r="L391" s="22" t="str">
        <f aca="false">IF($A391="","",INDEX(Apparitions!$E$1:$E$5001,$A391)&amp;"")</f>
        <v/>
      </c>
      <c r="M391" s="19" t="str">
        <f aca="false">IF($A391="","",INDEX(Apparitions!$F$1:$F$5001,$A391)&amp;"")</f>
        <v/>
      </c>
      <c r="O391" s="23" t="n">
        <f aca="false">IF(I391="",0,IF(COUNTIF(I$16:I391,I391)=1,1,0))</f>
        <v>0</v>
      </c>
      <c r="P391" s="23" t="n">
        <f aca="false">IF(F391="",0,IF(COUNTIF(F$16:F391,F391)=1,1,0))</f>
        <v>0</v>
      </c>
      <c r="Q391" s="0" t="str">
        <f aca="false">IF(B391="","",B391&amp;"|"&amp;C391)</f>
        <v/>
      </c>
      <c r="R391" s="23" t="n">
        <f aca="false">IF(Q391="",0,IF(COUNTIF(Q$16:Q391,Q391)=1,1,0))</f>
        <v>0</v>
      </c>
    </row>
    <row r="392" customFormat="false" ht="15" hidden="false" customHeight="false" outlineLevel="0" collapsed="false">
      <c r="A392" s="0" t="str">
        <f aca="false">IFERROR(MATCH(377,Apparitions!$N$1:$N$5001,0),"")</f>
        <v/>
      </c>
      <c r="B392" s="19" t="str">
        <f aca="false">IF($A392="","",INDEX(Apparitions!$A$1:$A$5001,$A392)&amp;"")</f>
        <v/>
      </c>
      <c r="C392" s="19" t="str">
        <f aca="false">IF($A392="","",INDEX(Apparitions!$B$1:$B$5001,$A392)&amp;"")</f>
        <v/>
      </c>
      <c r="D392" s="20" t="str">
        <f aca="false">IF($A392="","",INDEX(Apparitions!$L$1:$L$5001,$A392))</f>
        <v/>
      </c>
      <c r="E392" s="19" t="str">
        <f aca="false">IF($A392="","",INDEX(Apparitions!$C$1:$C$5001,$A392)&amp;"")</f>
        <v/>
      </c>
      <c r="F392" s="19" t="str">
        <f aca="false">IF($A392="","",INDEX(Apparitions!$H$1:$H$5001,$A392)&amp;"")</f>
        <v/>
      </c>
      <c r="G392" s="19" t="str">
        <f aca="false">IF($A392="","",INDEX(Apparitions!$I$1:$I$5001,$A392)&amp;"")</f>
        <v/>
      </c>
      <c r="H392" s="19" t="str">
        <f aca="false">IF($A392="","",INDEX(Apparitions!$J$1:$J$5001,$A392)&amp;"")</f>
        <v/>
      </c>
      <c r="I392" s="19" t="str">
        <f aca="false">IF($A392="","",INDEX(Apparitions!$G$1:$G$5001,$A392)&amp;"")</f>
        <v/>
      </c>
      <c r="J392" s="19" t="str">
        <f aca="false">IF($A392="","",INDEX(Apparitions!$M$1:$M$5001,$A392)&amp;"")</f>
        <v/>
      </c>
      <c r="K392" s="21" t="str">
        <f aca="false">IF($A392="","",INDEX(Apparitions!$K$1:$K$5001,$A392))</f>
        <v/>
      </c>
      <c r="L392" s="22" t="str">
        <f aca="false">IF($A392="","",INDEX(Apparitions!$E$1:$E$5001,$A392)&amp;"")</f>
        <v/>
      </c>
      <c r="M392" s="19" t="str">
        <f aca="false">IF($A392="","",INDEX(Apparitions!$F$1:$F$5001,$A392)&amp;"")</f>
        <v/>
      </c>
      <c r="O392" s="23" t="n">
        <f aca="false">IF(I392="",0,IF(COUNTIF(I$16:I392,I392)=1,1,0))</f>
        <v>0</v>
      </c>
      <c r="P392" s="23" t="n">
        <f aca="false">IF(F392="",0,IF(COUNTIF(F$16:F392,F392)=1,1,0))</f>
        <v>0</v>
      </c>
      <c r="Q392" s="0" t="str">
        <f aca="false">IF(B392="","",B392&amp;"|"&amp;C392)</f>
        <v/>
      </c>
      <c r="R392" s="23" t="n">
        <f aca="false">IF(Q392="",0,IF(COUNTIF(Q$16:Q392,Q392)=1,1,0))</f>
        <v>0</v>
      </c>
    </row>
    <row r="393" customFormat="false" ht="15" hidden="false" customHeight="false" outlineLevel="0" collapsed="false">
      <c r="A393" s="0" t="str">
        <f aca="false">IFERROR(MATCH(378,Apparitions!$N$1:$N$5001,0),"")</f>
        <v/>
      </c>
      <c r="B393" s="19" t="str">
        <f aca="false">IF($A393="","",INDEX(Apparitions!$A$1:$A$5001,$A393)&amp;"")</f>
        <v/>
      </c>
      <c r="C393" s="19" t="str">
        <f aca="false">IF($A393="","",INDEX(Apparitions!$B$1:$B$5001,$A393)&amp;"")</f>
        <v/>
      </c>
      <c r="D393" s="20" t="str">
        <f aca="false">IF($A393="","",INDEX(Apparitions!$L$1:$L$5001,$A393))</f>
        <v/>
      </c>
      <c r="E393" s="19" t="str">
        <f aca="false">IF($A393="","",INDEX(Apparitions!$C$1:$C$5001,$A393)&amp;"")</f>
        <v/>
      </c>
      <c r="F393" s="19" t="str">
        <f aca="false">IF($A393="","",INDEX(Apparitions!$H$1:$H$5001,$A393)&amp;"")</f>
        <v/>
      </c>
      <c r="G393" s="19" t="str">
        <f aca="false">IF($A393="","",INDEX(Apparitions!$I$1:$I$5001,$A393)&amp;"")</f>
        <v/>
      </c>
      <c r="H393" s="19" t="str">
        <f aca="false">IF($A393="","",INDEX(Apparitions!$J$1:$J$5001,$A393)&amp;"")</f>
        <v/>
      </c>
      <c r="I393" s="19" t="str">
        <f aca="false">IF($A393="","",INDEX(Apparitions!$G$1:$G$5001,$A393)&amp;"")</f>
        <v/>
      </c>
      <c r="J393" s="19" t="str">
        <f aca="false">IF($A393="","",INDEX(Apparitions!$M$1:$M$5001,$A393)&amp;"")</f>
        <v/>
      </c>
      <c r="K393" s="21" t="str">
        <f aca="false">IF($A393="","",INDEX(Apparitions!$K$1:$K$5001,$A393))</f>
        <v/>
      </c>
      <c r="L393" s="22" t="str">
        <f aca="false">IF($A393="","",INDEX(Apparitions!$E$1:$E$5001,$A393)&amp;"")</f>
        <v/>
      </c>
      <c r="M393" s="19" t="str">
        <f aca="false">IF($A393="","",INDEX(Apparitions!$F$1:$F$5001,$A393)&amp;"")</f>
        <v/>
      </c>
      <c r="O393" s="23" t="n">
        <f aca="false">IF(I393="",0,IF(COUNTIF(I$16:I393,I393)=1,1,0))</f>
        <v>0</v>
      </c>
      <c r="P393" s="23" t="n">
        <f aca="false">IF(F393="",0,IF(COUNTIF(F$16:F393,F393)=1,1,0))</f>
        <v>0</v>
      </c>
      <c r="Q393" s="0" t="str">
        <f aca="false">IF(B393="","",B393&amp;"|"&amp;C393)</f>
        <v/>
      </c>
      <c r="R393" s="23" t="n">
        <f aca="false">IF(Q393="",0,IF(COUNTIF(Q$16:Q393,Q393)=1,1,0))</f>
        <v>0</v>
      </c>
    </row>
    <row r="394" customFormat="false" ht="15" hidden="false" customHeight="false" outlineLevel="0" collapsed="false">
      <c r="A394" s="0" t="str">
        <f aca="false">IFERROR(MATCH(379,Apparitions!$N$1:$N$5001,0),"")</f>
        <v/>
      </c>
      <c r="B394" s="19" t="str">
        <f aca="false">IF($A394="","",INDEX(Apparitions!$A$1:$A$5001,$A394)&amp;"")</f>
        <v/>
      </c>
      <c r="C394" s="19" t="str">
        <f aca="false">IF($A394="","",INDEX(Apparitions!$B$1:$B$5001,$A394)&amp;"")</f>
        <v/>
      </c>
      <c r="D394" s="20" t="str">
        <f aca="false">IF($A394="","",INDEX(Apparitions!$L$1:$L$5001,$A394))</f>
        <v/>
      </c>
      <c r="E394" s="19" t="str">
        <f aca="false">IF($A394="","",INDEX(Apparitions!$C$1:$C$5001,$A394)&amp;"")</f>
        <v/>
      </c>
      <c r="F394" s="19" t="str">
        <f aca="false">IF($A394="","",INDEX(Apparitions!$H$1:$H$5001,$A394)&amp;"")</f>
        <v/>
      </c>
      <c r="G394" s="19" t="str">
        <f aca="false">IF($A394="","",INDEX(Apparitions!$I$1:$I$5001,$A394)&amp;"")</f>
        <v/>
      </c>
      <c r="H394" s="19" t="str">
        <f aca="false">IF($A394="","",INDEX(Apparitions!$J$1:$J$5001,$A394)&amp;"")</f>
        <v/>
      </c>
      <c r="I394" s="19" t="str">
        <f aca="false">IF($A394="","",INDEX(Apparitions!$G$1:$G$5001,$A394)&amp;"")</f>
        <v/>
      </c>
      <c r="J394" s="19" t="str">
        <f aca="false">IF($A394="","",INDEX(Apparitions!$M$1:$M$5001,$A394)&amp;"")</f>
        <v/>
      </c>
      <c r="K394" s="21" t="str">
        <f aca="false">IF($A394="","",INDEX(Apparitions!$K$1:$K$5001,$A394))</f>
        <v/>
      </c>
      <c r="L394" s="22" t="str">
        <f aca="false">IF($A394="","",INDEX(Apparitions!$E$1:$E$5001,$A394)&amp;"")</f>
        <v/>
      </c>
      <c r="M394" s="19" t="str">
        <f aca="false">IF($A394="","",INDEX(Apparitions!$F$1:$F$5001,$A394)&amp;"")</f>
        <v/>
      </c>
      <c r="O394" s="23" t="n">
        <f aca="false">IF(I394="",0,IF(COUNTIF(I$16:I394,I394)=1,1,0))</f>
        <v>0</v>
      </c>
      <c r="P394" s="23" t="n">
        <f aca="false">IF(F394="",0,IF(COUNTIF(F$16:F394,F394)=1,1,0))</f>
        <v>0</v>
      </c>
      <c r="Q394" s="0" t="str">
        <f aca="false">IF(B394="","",B394&amp;"|"&amp;C394)</f>
        <v/>
      </c>
      <c r="R394" s="23" t="n">
        <f aca="false">IF(Q394="",0,IF(COUNTIF(Q$16:Q394,Q394)=1,1,0))</f>
        <v>0</v>
      </c>
    </row>
    <row r="395" customFormat="false" ht="15" hidden="false" customHeight="false" outlineLevel="0" collapsed="false">
      <c r="A395" s="0" t="str">
        <f aca="false">IFERROR(MATCH(380,Apparitions!$N$1:$N$5001,0),"")</f>
        <v/>
      </c>
      <c r="B395" s="19" t="str">
        <f aca="false">IF($A395="","",INDEX(Apparitions!$A$1:$A$5001,$A395)&amp;"")</f>
        <v/>
      </c>
      <c r="C395" s="19" t="str">
        <f aca="false">IF($A395="","",INDEX(Apparitions!$B$1:$B$5001,$A395)&amp;"")</f>
        <v/>
      </c>
      <c r="D395" s="20" t="str">
        <f aca="false">IF($A395="","",INDEX(Apparitions!$L$1:$L$5001,$A395))</f>
        <v/>
      </c>
      <c r="E395" s="19" t="str">
        <f aca="false">IF($A395="","",INDEX(Apparitions!$C$1:$C$5001,$A395)&amp;"")</f>
        <v/>
      </c>
      <c r="F395" s="19" t="str">
        <f aca="false">IF($A395="","",INDEX(Apparitions!$H$1:$H$5001,$A395)&amp;"")</f>
        <v/>
      </c>
      <c r="G395" s="19" t="str">
        <f aca="false">IF($A395="","",INDEX(Apparitions!$I$1:$I$5001,$A395)&amp;"")</f>
        <v/>
      </c>
      <c r="H395" s="19" t="str">
        <f aca="false">IF($A395="","",INDEX(Apparitions!$J$1:$J$5001,$A395)&amp;"")</f>
        <v/>
      </c>
      <c r="I395" s="19" t="str">
        <f aca="false">IF($A395="","",INDEX(Apparitions!$G$1:$G$5001,$A395)&amp;"")</f>
        <v/>
      </c>
      <c r="J395" s="19" t="str">
        <f aca="false">IF($A395="","",INDEX(Apparitions!$M$1:$M$5001,$A395)&amp;"")</f>
        <v/>
      </c>
      <c r="K395" s="21" t="str">
        <f aca="false">IF($A395="","",INDEX(Apparitions!$K$1:$K$5001,$A395))</f>
        <v/>
      </c>
      <c r="L395" s="22" t="str">
        <f aca="false">IF($A395="","",INDEX(Apparitions!$E$1:$E$5001,$A395)&amp;"")</f>
        <v/>
      </c>
      <c r="M395" s="19" t="str">
        <f aca="false">IF($A395="","",INDEX(Apparitions!$F$1:$F$5001,$A395)&amp;"")</f>
        <v/>
      </c>
      <c r="O395" s="23" t="n">
        <f aca="false">IF(I395="",0,IF(COUNTIF(I$16:I395,I395)=1,1,0))</f>
        <v>0</v>
      </c>
      <c r="P395" s="23" t="n">
        <f aca="false">IF(F395="",0,IF(COUNTIF(F$16:F395,F395)=1,1,0))</f>
        <v>0</v>
      </c>
      <c r="Q395" s="0" t="str">
        <f aca="false">IF(B395="","",B395&amp;"|"&amp;C395)</f>
        <v/>
      </c>
      <c r="R395" s="23" t="n">
        <f aca="false">IF(Q395="",0,IF(COUNTIF(Q$16:Q395,Q395)=1,1,0))</f>
        <v>0</v>
      </c>
    </row>
    <row r="396" customFormat="false" ht="15" hidden="false" customHeight="false" outlineLevel="0" collapsed="false">
      <c r="A396" s="0" t="str">
        <f aca="false">IFERROR(MATCH(381,Apparitions!$N$1:$N$5001,0),"")</f>
        <v/>
      </c>
      <c r="B396" s="19" t="str">
        <f aca="false">IF($A396="","",INDEX(Apparitions!$A$1:$A$5001,$A396)&amp;"")</f>
        <v/>
      </c>
      <c r="C396" s="19" t="str">
        <f aca="false">IF($A396="","",INDEX(Apparitions!$B$1:$B$5001,$A396)&amp;"")</f>
        <v/>
      </c>
      <c r="D396" s="20" t="str">
        <f aca="false">IF($A396="","",INDEX(Apparitions!$L$1:$L$5001,$A396))</f>
        <v/>
      </c>
      <c r="E396" s="19" t="str">
        <f aca="false">IF($A396="","",INDEX(Apparitions!$C$1:$C$5001,$A396)&amp;"")</f>
        <v/>
      </c>
      <c r="F396" s="19" t="str">
        <f aca="false">IF($A396="","",INDEX(Apparitions!$H$1:$H$5001,$A396)&amp;"")</f>
        <v/>
      </c>
      <c r="G396" s="19" t="str">
        <f aca="false">IF($A396="","",INDEX(Apparitions!$I$1:$I$5001,$A396)&amp;"")</f>
        <v/>
      </c>
      <c r="H396" s="19" t="str">
        <f aca="false">IF($A396="","",INDEX(Apparitions!$J$1:$J$5001,$A396)&amp;"")</f>
        <v/>
      </c>
      <c r="I396" s="19" t="str">
        <f aca="false">IF($A396="","",INDEX(Apparitions!$G$1:$G$5001,$A396)&amp;"")</f>
        <v/>
      </c>
      <c r="J396" s="19" t="str">
        <f aca="false">IF($A396="","",INDEX(Apparitions!$M$1:$M$5001,$A396)&amp;"")</f>
        <v/>
      </c>
      <c r="K396" s="21" t="str">
        <f aca="false">IF($A396="","",INDEX(Apparitions!$K$1:$K$5001,$A396))</f>
        <v/>
      </c>
      <c r="L396" s="22" t="str">
        <f aca="false">IF($A396="","",INDEX(Apparitions!$E$1:$E$5001,$A396)&amp;"")</f>
        <v/>
      </c>
      <c r="M396" s="19" t="str">
        <f aca="false">IF($A396="","",INDEX(Apparitions!$F$1:$F$5001,$A396)&amp;"")</f>
        <v/>
      </c>
      <c r="O396" s="23" t="n">
        <f aca="false">IF(I396="",0,IF(COUNTIF(I$16:I396,I396)=1,1,0))</f>
        <v>0</v>
      </c>
      <c r="P396" s="23" t="n">
        <f aca="false">IF(F396="",0,IF(COUNTIF(F$16:F396,F396)=1,1,0))</f>
        <v>0</v>
      </c>
      <c r="Q396" s="0" t="str">
        <f aca="false">IF(B396="","",B396&amp;"|"&amp;C396)</f>
        <v/>
      </c>
      <c r="R396" s="23" t="n">
        <f aca="false">IF(Q396="",0,IF(COUNTIF(Q$16:Q396,Q396)=1,1,0))</f>
        <v>0</v>
      </c>
    </row>
    <row r="397" customFormat="false" ht="15" hidden="false" customHeight="false" outlineLevel="0" collapsed="false">
      <c r="A397" s="0" t="str">
        <f aca="false">IFERROR(MATCH(382,Apparitions!$N$1:$N$5001,0),"")</f>
        <v/>
      </c>
      <c r="B397" s="19" t="str">
        <f aca="false">IF($A397="","",INDEX(Apparitions!$A$1:$A$5001,$A397)&amp;"")</f>
        <v/>
      </c>
      <c r="C397" s="19" t="str">
        <f aca="false">IF($A397="","",INDEX(Apparitions!$B$1:$B$5001,$A397)&amp;"")</f>
        <v/>
      </c>
      <c r="D397" s="20" t="str">
        <f aca="false">IF($A397="","",INDEX(Apparitions!$L$1:$L$5001,$A397))</f>
        <v/>
      </c>
      <c r="E397" s="19" t="str">
        <f aca="false">IF($A397="","",INDEX(Apparitions!$C$1:$C$5001,$A397)&amp;"")</f>
        <v/>
      </c>
      <c r="F397" s="19" t="str">
        <f aca="false">IF($A397="","",INDEX(Apparitions!$H$1:$H$5001,$A397)&amp;"")</f>
        <v/>
      </c>
      <c r="G397" s="19" t="str">
        <f aca="false">IF($A397="","",INDEX(Apparitions!$I$1:$I$5001,$A397)&amp;"")</f>
        <v/>
      </c>
      <c r="H397" s="19" t="str">
        <f aca="false">IF($A397="","",INDEX(Apparitions!$J$1:$J$5001,$A397)&amp;"")</f>
        <v/>
      </c>
      <c r="I397" s="19" t="str">
        <f aca="false">IF($A397="","",INDEX(Apparitions!$G$1:$G$5001,$A397)&amp;"")</f>
        <v/>
      </c>
      <c r="J397" s="19" t="str">
        <f aca="false">IF($A397="","",INDEX(Apparitions!$M$1:$M$5001,$A397)&amp;"")</f>
        <v/>
      </c>
      <c r="K397" s="21" t="str">
        <f aca="false">IF($A397="","",INDEX(Apparitions!$K$1:$K$5001,$A397))</f>
        <v/>
      </c>
      <c r="L397" s="22" t="str">
        <f aca="false">IF($A397="","",INDEX(Apparitions!$E$1:$E$5001,$A397)&amp;"")</f>
        <v/>
      </c>
      <c r="M397" s="19" t="str">
        <f aca="false">IF($A397="","",INDEX(Apparitions!$F$1:$F$5001,$A397)&amp;"")</f>
        <v/>
      </c>
      <c r="O397" s="23" t="n">
        <f aca="false">IF(I397="",0,IF(COUNTIF(I$16:I397,I397)=1,1,0))</f>
        <v>0</v>
      </c>
      <c r="P397" s="23" t="n">
        <f aca="false">IF(F397="",0,IF(COUNTIF(F$16:F397,F397)=1,1,0))</f>
        <v>0</v>
      </c>
      <c r="Q397" s="0" t="str">
        <f aca="false">IF(B397="","",B397&amp;"|"&amp;C397)</f>
        <v/>
      </c>
      <c r="R397" s="23" t="n">
        <f aca="false">IF(Q397="",0,IF(COUNTIF(Q$16:Q397,Q397)=1,1,0))</f>
        <v>0</v>
      </c>
    </row>
    <row r="398" customFormat="false" ht="15" hidden="false" customHeight="false" outlineLevel="0" collapsed="false">
      <c r="A398" s="0" t="str">
        <f aca="false">IFERROR(MATCH(383,Apparitions!$N$1:$N$5001,0),"")</f>
        <v/>
      </c>
      <c r="B398" s="19" t="str">
        <f aca="false">IF($A398="","",INDEX(Apparitions!$A$1:$A$5001,$A398)&amp;"")</f>
        <v/>
      </c>
      <c r="C398" s="19" t="str">
        <f aca="false">IF($A398="","",INDEX(Apparitions!$B$1:$B$5001,$A398)&amp;"")</f>
        <v/>
      </c>
      <c r="D398" s="20" t="str">
        <f aca="false">IF($A398="","",INDEX(Apparitions!$L$1:$L$5001,$A398))</f>
        <v/>
      </c>
      <c r="E398" s="19" t="str">
        <f aca="false">IF($A398="","",INDEX(Apparitions!$C$1:$C$5001,$A398)&amp;"")</f>
        <v/>
      </c>
      <c r="F398" s="19" t="str">
        <f aca="false">IF($A398="","",INDEX(Apparitions!$H$1:$H$5001,$A398)&amp;"")</f>
        <v/>
      </c>
      <c r="G398" s="19" t="str">
        <f aca="false">IF($A398="","",INDEX(Apparitions!$I$1:$I$5001,$A398)&amp;"")</f>
        <v/>
      </c>
      <c r="H398" s="19" t="str">
        <f aca="false">IF($A398="","",INDEX(Apparitions!$J$1:$J$5001,$A398)&amp;"")</f>
        <v/>
      </c>
      <c r="I398" s="19" t="str">
        <f aca="false">IF($A398="","",INDEX(Apparitions!$G$1:$G$5001,$A398)&amp;"")</f>
        <v/>
      </c>
      <c r="J398" s="19" t="str">
        <f aca="false">IF($A398="","",INDEX(Apparitions!$M$1:$M$5001,$A398)&amp;"")</f>
        <v/>
      </c>
      <c r="K398" s="21" t="str">
        <f aca="false">IF($A398="","",INDEX(Apparitions!$K$1:$K$5001,$A398))</f>
        <v/>
      </c>
      <c r="L398" s="22" t="str">
        <f aca="false">IF($A398="","",INDEX(Apparitions!$E$1:$E$5001,$A398)&amp;"")</f>
        <v/>
      </c>
      <c r="M398" s="19" t="str">
        <f aca="false">IF($A398="","",INDEX(Apparitions!$F$1:$F$5001,$A398)&amp;"")</f>
        <v/>
      </c>
      <c r="O398" s="23" t="n">
        <f aca="false">IF(I398="",0,IF(COUNTIF(I$16:I398,I398)=1,1,0))</f>
        <v>0</v>
      </c>
      <c r="P398" s="23" t="n">
        <f aca="false">IF(F398="",0,IF(COUNTIF(F$16:F398,F398)=1,1,0))</f>
        <v>0</v>
      </c>
      <c r="Q398" s="0" t="str">
        <f aca="false">IF(B398="","",B398&amp;"|"&amp;C398)</f>
        <v/>
      </c>
      <c r="R398" s="23" t="n">
        <f aca="false">IF(Q398="",0,IF(COUNTIF(Q$16:Q398,Q398)=1,1,0))</f>
        <v>0</v>
      </c>
    </row>
    <row r="399" customFormat="false" ht="15" hidden="false" customHeight="false" outlineLevel="0" collapsed="false">
      <c r="A399" s="0" t="str">
        <f aca="false">IFERROR(MATCH(384,Apparitions!$N$1:$N$5001,0),"")</f>
        <v/>
      </c>
      <c r="B399" s="19" t="str">
        <f aca="false">IF($A399="","",INDEX(Apparitions!$A$1:$A$5001,$A399)&amp;"")</f>
        <v/>
      </c>
      <c r="C399" s="19" t="str">
        <f aca="false">IF($A399="","",INDEX(Apparitions!$B$1:$B$5001,$A399)&amp;"")</f>
        <v/>
      </c>
      <c r="D399" s="20" t="str">
        <f aca="false">IF($A399="","",INDEX(Apparitions!$L$1:$L$5001,$A399))</f>
        <v/>
      </c>
      <c r="E399" s="19" t="str">
        <f aca="false">IF($A399="","",INDEX(Apparitions!$C$1:$C$5001,$A399)&amp;"")</f>
        <v/>
      </c>
      <c r="F399" s="19" t="str">
        <f aca="false">IF($A399="","",INDEX(Apparitions!$H$1:$H$5001,$A399)&amp;"")</f>
        <v/>
      </c>
      <c r="G399" s="19" t="str">
        <f aca="false">IF($A399="","",INDEX(Apparitions!$I$1:$I$5001,$A399)&amp;"")</f>
        <v/>
      </c>
      <c r="H399" s="19" t="str">
        <f aca="false">IF($A399="","",INDEX(Apparitions!$J$1:$J$5001,$A399)&amp;"")</f>
        <v/>
      </c>
      <c r="I399" s="19" t="str">
        <f aca="false">IF($A399="","",INDEX(Apparitions!$G$1:$G$5001,$A399)&amp;"")</f>
        <v/>
      </c>
      <c r="J399" s="19" t="str">
        <f aca="false">IF($A399="","",INDEX(Apparitions!$M$1:$M$5001,$A399)&amp;"")</f>
        <v/>
      </c>
      <c r="K399" s="21" t="str">
        <f aca="false">IF($A399="","",INDEX(Apparitions!$K$1:$K$5001,$A399))</f>
        <v/>
      </c>
      <c r="L399" s="22" t="str">
        <f aca="false">IF($A399="","",INDEX(Apparitions!$E$1:$E$5001,$A399)&amp;"")</f>
        <v/>
      </c>
      <c r="M399" s="19" t="str">
        <f aca="false">IF($A399="","",INDEX(Apparitions!$F$1:$F$5001,$A399)&amp;"")</f>
        <v/>
      </c>
      <c r="O399" s="23" t="n">
        <f aca="false">IF(I399="",0,IF(COUNTIF(I$16:I399,I399)=1,1,0))</f>
        <v>0</v>
      </c>
      <c r="P399" s="23" t="n">
        <f aca="false">IF(F399="",0,IF(COUNTIF(F$16:F399,F399)=1,1,0))</f>
        <v>0</v>
      </c>
      <c r="Q399" s="0" t="str">
        <f aca="false">IF(B399="","",B399&amp;"|"&amp;C399)</f>
        <v/>
      </c>
      <c r="R399" s="23" t="n">
        <f aca="false">IF(Q399="",0,IF(COUNTIF(Q$16:Q399,Q399)=1,1,0))</f>
        <v>0</v>
      </c>
    </row>
    <row r="400" customFormat="false" ht="15" hidden="false" customHeight="false" outlineLevel="0" collapsed="false">
      <c r="A400" s="0" t="str">
        <f aca="false">IFERROR(MATCH(385,Apparitions!$N$1:$N$5001,0),"")</f>
        <v/>
      </c>
      <c r="B400" s="19" t="str">
        <f aca="false">IF($A400="","",INDEX(Apparitions!$A$1:$A$5001,$A400)&amp;"")</f>
        <v/>
      </c>
      <c r="C400" s="19" t="str">
        <f aca="false">IF($A400="","",INDEX(Apparitions!$B$1:$B$5001,$A400)&amp;"")</f>
        <v/>
      </c>
      <c r="D400" s="20" t="str">
        <f aca="false">IF($A400="","",INDEX(Apparitions!$L$1:$L$5001,$A400))</f>
        <v/>
      </c>
      <c r="E400" s="19" t="str">
        <f aca="false">IF($A400="","",INDEX(Apparitions!$C$1:$C$5001,$A400)&amp;"")</f>
        <v/>
      </c>
      <c r="F400" s="19" t="str">
        <f aca="false">IF($A400="","",INDEX(Apparitions!$H$1:$H$5001,$A400)&amp;"")</f>
        <v/>
      </c>
      <c r="G400" s="19" t="str">
        <f aca="false">IF($A400="","",INDEX(Apparitions!$I$1:$I$5001,$A400)&amp;"")</f>
        <v/>
      </c>
      <c r="H400" s="19" t="str">
        <f aca="false">IF($A400="","",INDEX(Apparitions!$J$1:$J$5001,$A400)&amp;"")</f>
        <v/>
      </c>
      <c r="I400" s="19" t="str">
        <f aca="false">IF($A400="","",INDEX(Apparitions!$G$1:$G$5001,$A400)&amp;"")</f>
        <v/>
      </c>
      <c r="J400" s="19" t="str">
        <f aca="false">IF($A400="","",INDEX(Apparitions!$M$1:$M$5001,$A400)&amp;"")</f>
        <v/>
      </c>
      <c r="K400" s="21" t="str">
        <f aca="false">IF($A400="","",INDEX(Apparitions!$K$1:$K$5001,$A400))</f>
        <v/>
      </c>
      <c r="L400" s="22" t="str">
        <f aca="false">IF($A400="","",INDEX(Apparitions!$E$1:$E$5001,$A400)&amp;"")</f>
        <v/>
      </c>
      <c r="M400" s="19" t="str">
        <f aca="false">IF($A400="","",INDEX(Apparitions!$F$1:$F$5001,$A400)&amp;"")</f>
        <v/>
      </c>
      <c r="O400" s="23" t="n">
        <f aca="false">IF(I400="",0,IF(COUNTIF(I$16:I400,I400)=1,1,0))</f>
        <v>0</v>
      </c>
      <c r="P400" s="23" t="n">
        <f aca="false">IF(F400="",0,IF(COUNTIF(F$16:F400,F400)=1,1,0))</f>
        <v>0</v>
      </c>
      <c r="Q400" s="0" t="str">
        <f aca="false">IF(B400="","",B400&amp;"|"&amp;C400)</f>
        <v/>
      </c>
      <c r="R400" s="23" t="n">
        <f aca="false">IF(Q400="",0,IF(COUNTIF(Q$16:Q400,Q400)=1,1,0))</f>
        <v>0</v>
      </c>
    </row>
    <row r="401" customFormat="false" ht="15" hidden="false" customHeight="false" outlineLevel="0" collapsed="false">
      <c r="A401" s="0" t="str">
        <f aca="false">IFERROR(MATCH(386,Apparitions!$N$1:$N$5001,0),"")</f>
        <v/>
      </c>
      <c r="B401" s="19" t="str">
        <f aca="false">IF($A401="","",INDEX(Apparitions!$A$1:$A$5001,$A401)&amp;"")</f>
        <v/>
      </c>
      <c r="C401" s="19" t="str">
        <f aca="false">IF($A401="","",INDEX(Apparitions!$B$1:$B$5001,$A401)&amp;"")</f>
        <v/>
      </c>
      <c r="D401" s="20" t="str">
        <f aca="false">IF($A401="","",INDEX(Apparitions!$L$1:$L$5001,$A401))</f>
        <v/>
      </c>
      <c r="E401" s="19" t="str">
        <f aca="false">IF($A401="","",INDEX(Apparitions!$C$1:$C$5001,$A401)&amp;"")</f>
        <v/>
      </c>
      <c r="F401" s="19" t="str">
        <f aca="false">IF($A401="","",INDEX(Apparitions!$H$1:$H$5001,$A401)&amp;"")</f>
        <v/>
      </c>
      <c r="G401" s="19" t="str">
        <f aca="false">IF($A401="","",INDEX(Apparitions!$I$1:$I$5001,$A401)&amp;"")</f>
        <v/>
      </c>
      <c r="H401" s="19" t="str">
        <f aca="false">IF($A401="","",INDEX(Apparitions!$J$1:$J$5001,$A401)&amp;"")</f>
        <v/>
      </c>
      <c r="I401" s="19" t="str">
        <f aca="false">IF($A401="","",INDEX(Apparitions!$G$1:$G$5001,$A401)&amp;"")</f>
        <v/>
      </c>
      <c r="J401" s="19" t="str">
        <f aca="false">IF($A401="","",INDEX(Apparitions!$M$1:$M$5001,$A401)&amp;"")</f>
        <v/>
      </c>
      <c r="K401" s="21" t="str">
        <f aca="false">IF($A401="","",INDEX(Apparitions!$K$1:$K$5001,$A401))</f>
        <v/>
      </c>
      <c r="L401" s="22" t="str">
        <f aca="false">IF($A401="","",INDEX(Apparitions!$E$1:$E$5001,$A401)&amp;"")</f>
        <v/>
      </c>
      <c r="M401" s="19" t="str">
        <f aca="false">IF($A401="","",INDEX(Apparitions!$F$1:$F$5001,$A401)&amp;"")</f>
        <v/>
      </c>
      <c r="O401" s="23" t="n">
        <f aca="false">IF(I401="",0,IF(COUNTIF(I$16:I401,I401)=1,1,0))</f>
        <v>0</v>
      </c>
      <c r="P401" s="23" t="n">
        <f aca="false">IF(F401="",0,IF(COUNTIF(F$16:F401,F401)=1,1,0))</f>
        <v>0</v>
      </c>
      <c r="Q401" s="0" t="str">
        <f aca="false">IF(B401="","",B401&amp;"|"&amp;C401)</f>
        <v/>
      </c>
      <c r="R401" s="23" t="n">
        <f aca="false">IF(Q401="",0,IF(COUNTIF(Q$16:Q401,Q401)=1,1,0))</f>
        <v>0</v>
      </c>
    </row>
    <row r="402" customFormat="false" ht="15" hidden="false" customHeight="false" outlineLevel="0" collapsed="false">
      <c r="A402" s="0" t="str">
        <f aca="false">IFERROR(MATCH(387,Apparitions!$N$1:$N$5001,0),"")</f>
        <v/>
      </c>
      <c r="B402" s="19" t="str">
        <f aca="false">IF($A402="","",INDEX(Apparitions!$A$1:$A$5001,$A402)&amp;"")</f>
        <v/>
      </c>
      <c r="C402" s="19" t="str">
        <f aca="false">IF($A402="","",INDEX(Apparitions!$B$1:$B$5001,$A402)&amp;"")</f>
        <v/>
      </c>
      <c r="D402" s="20" t="str">
        <f aca="false">IF($A402="","",INDEX(Apparitions!$L$1:$L$5001,$A402))</f>
        <v/>
      </c>
      <c r="E402" s="19" t="str">
        <f aca="false">IF($A402="","",INDEX(Apparitions!$C$1:$C$5001,$A402)&amp;"")</f>
        <v/>
      </c>
      <c r="F402" s="19" t="str">
        <f aca="false">IF($A402="","",INDEX(Apparitions!$H$1:$H$5001,$A402)&amp;"")</f>
        <v/>
      </c>
      <c r="G402" s="19" t="str">
        <f aca="false">IF($A402="","",INDEX(Apparitions!$I$1:$I$5001,$A402)&amp;"")</f>
        <v/>
      </c>
      <c r="H402" s="19" t="str">
        <f aca="false">IF($A402="","",INDEX(Apparitions!$J$1:$J$5001,$A402)&amp;"")</f>
        <v/>
      </c>
      <c r="I402" s="19" t="str">
        <f aca="false">IF($A402="","",INDEX(Apparitions!$G$1:$G$5001,$A402)&amp;"")</f>
        <v/>
      </c>
      <c r="J402" s="19" t="str">
        <f aca="false">IF($A402="","",INDEX(Apparitions!$M$1:$M$5001,$A402)&amp;"")</f>
        <v/>
      </c>
      <c r="K402" s="21" t="str">
        <f aca="false">IF($A402="","",INDEX(Apparitions!$K$1:$K$5001,$A402))</f>
        <v/>
      </c>
      <c r="L402" s="22" t="str">
        <f aca="false">IF($A402="","",INDEX(Apparitions!$E$1:$E$5001,$A402)&amp;"")</f>
        <v/>
      </c>
      <c r="M402" s="19" t="str">
        <f aca="false">IF($A402="","",INDEX(Apparitions!$F$1:$F$5001,$A402)&amp;"")</f>
        <v/>
      </c>
      <c r="O402" s="23" t="n">
        <f aca="false">IF(I402="",0,IF(COUNTIF(I$16:I402,I402)=1,1,0))</f>
        <v>0</v>
      </c>
      <c r="P402" s="23" t="n">
        <f aca="false">IF(F402="",0,IF(COUNTIF(F$16:F402,F402)=1,1,0))</f>
        <v>0</v>
      </c>
      <c r="Q402" s="0" t="str">
        <f aca="false">IF(B402="","",B402&amp;"|"&amp;C402)</f>
        <v/>
      </c>
      <c r="R402" s="23" t="n">
        <f aca="false">IF(Q402="",0,IF(COUNTIF(Q$16:Q402,Q402)=1,1,0))</f>
        <v>0</v>
      </c>
    </row>
    <row r="403" customFormat="false" ht="15" hidden="false" customHeight="false" outlineLevel="0" collapsed="false">
      <c r="A403" s="0" t="str">
        <f aca="false">IFERROR(MATCH(388,Apparitions!$N$1:$N$5001,0),"")</f>
        <v/>
      </c>
      <c r="B403" s="19" t="str">
        <f aca="false">IF($A403="","",INDEX(Apparitions!$A$1:$A$5001,$A403)&amp;"")</f>
        <v/>
      </c>
      <c r="C403" s="19" t="str">
        <f aca="false">IF($A403="","",INDEX(Apparitions!$B$1:$B$5001,$A403)&amp;"")</f>
        <v/>
      </c>
      <c r="D403" s="20" t="str">
        <f aca="false">IF($A403="","",INDEX(Apparitions!$L$1:$L$5001,$A403))</f>
        <v/>
      </c>
      <c r="E403" s="19" t="str">
        <f aca="false">IF($A403="","",INDEX(Apparitions!$C$1:$C$5001,$A403)&amp;"")</f>
        <v/>
      </c>
      <c r="F403" s="19" t="str">
        <f aca="false">IF($A403="","",INDEX(Apparitions!$H$1:$H$5001,$A403)&amp;"")</f>
        <v/>
      </c>
      <c r="G403" s="19" t="str">
        <f aca="false">IF($A403="","",INDEX(Apparitions!$I$1:$I$5001,$A403)&amp;"")</f>
        <v/>
      </c>
      <c r="H403" s="19" t="str">
        <f aca="false">IF($A403="","",INDEX(Apparitions!$J$1:$J$5001,$A403)&amp;"")</f>
        <v/>
      </c>
      <c r="I403" s="19" t="str">
        <f aca="false">IF($A403="","",INDEX(Apparitions!$G$1:$G$5001,$A403)&amp;"")</f>
        <v/>
      </c>
      <c r="J403" s="19" t="str">
        <f aca="false">IF($A403="","",INDEX(Apparitions!$M$1:$M$5001,$A403)&amp;"")</f>
        <v/>
      </c>
      <c r="K403" s="21" t="str">
        <f aca="false">IF($A403="","",INDEX(Apparitions!$K$1:$K$5001,$A403))</f>
        <v/>
      </c>
      <c r="L403" s="22" t="str">
        <f aca="false">IF($A403="","",INDEX(Apparitions!$E$1:$E$5001,$A403)&amp;"")</f>
        <v/>
      </c>
      <c r="M403" s="19" t="str">
        <f aca="false">IF($A403="","",INDEX(Apparitions!$F$1:$F$5001,$A403)&amp;"")</f>
        <v/>
      </c>
      <c r="O403" s="23" t="n">
        <f aca="false">IF(I403="",0,IF(COUNTIF(I$16:I403,I403)=1,1,0))</f>
        <v>0</v>
      </c>
      <c r="P403" s="23" t="n">
        <f aca="false">IF(F403="",0,IF(COUNTIF(F$16:F403,F403)=1,1,0))</f>
        <v>0</v>
      </c>
      <c r="Q403" s="0" t="str">
        <f aca="false">IF(B403="","",B403&amp;"|"&amp;C403)</f>
        <v/>
      </c>
      <c r="R403" s="23" t="n">
        <f aca="false">IF(Q403="",0,IF(COUNTIF(Q$16:Q403,Q403)=1,1,0))</f>
        <v>0</v>
      </c>
    </row>
    <row r="404" customFormat="false" ht="15" hidden="false" customHeight="false" outlineLevel="0" collapsed="false">
      <c r="A404" s="0" t="str">
        <f aca="false">IFERROR(MATCH(389,Apparitions!$N$1:$N$5001,0),"")</f>
        <v/>
      </c>
      <c r="B404" s="19" t="str">
        <f aca="false">IF($A404="","",INDEX(Apparitions!$A$1:$A$5001,$A404)&amp;"")</f>
        <v/>
      </c>
      <c r="C404" s="19" t="str">
        <f aca="false">IF($A404="","",INDEX(Apparitions!$B$1:$B$5001,$A404)&amp;"")</f>
        <v/>
      </c>
      <c r="D404" s="20" t="str">
        <f aca="false">IF($A404="","",INDEX(Apparitions!$L$1:$L$5001,$A404))</f>
        <v/>
      </c>
      <c r="E404" s="19" t="str">
        <f aca="false">IF($A404="","",INDEX(Apparitions!$C$1:$C$5001,$A404)&amp;"")</f>
        <v/>
      </c>
      <c r="F404" s="19" t="str">
        <f aca="false">IF($A404="","",INDEX(Apparitions!$H$1:$H$5001,$A404)&amp;"")</f>
        <v/>
      </c>
      <c r="G404" s="19" t="str">
        <f aca="false">IF($A404="","",INDEX(Apparitions!$I$1:$I$5001,$A404)&amp;"")</f>
        <v/>
      </c>
      <c r="H404" s="19" t="str">
        <f aca="false">IF($A404="","",INDEX(Apparitions!$J$1:$J$5001,$A404)&amp;"")</f>
        <v/>
      </c>
      <c r="I404" s="19" t="str">
        <f aca="false">IF($A404="","",INDEX(Apparitions!$G$1:$G$5001,$A404)&amp;"")</f>
        <v/>
      </c>
      <c r="J404" s="19" t="str">
        <f aca="false">IF($A404="","",INDEX(Apparitions!$M$1:$M$5001,$A404)&amp;"")</f>
        <v/>
      </c>
      <c r="K404" s="21" t="str">
        <f aca="false">IF($A404="","",INDEX(Apparitions!$K$1:$K$5001,$A404))</f>
        <v/>
      </c>
      <c r="L404" s="22" t="str">
        <f aca="false">IF($A404="","",INDEX(Apparitions!$E$1:$E$5001,$A404)&amp;"")</f>
        <v/>
      </c>
      <c r="M404" s="19" t="str">
        <f aca="false">IF($A404="","",INDEX(Apparitions!$F$1:$F$5001,$A404)&amp;"")</f>
        <v/>
      </c>
      <c r="O404" s="23" t="n">
        <f aca="false">IF(I404="",0,IF(COUNTIF(I$16:I404,I404)=1,1,0))</f>
        <v>0</v>
      </c>
      <c r="P404" s="23" t="n">
        <f aca="false">IF(F404="",0,IF(COUNTIF(F$16:F404,F404)=1,1,0))</f>
        <v>0</v>
      </c>
      <c r="Q404" s="0" t="str">
        <f aca="false">IF(B404="","",B404&amp;"|"&amp;C404)</f>
        <v/>
      </c>
      <c r="R404" s="23" t="n">
        <f aca="false">IF(Q404="",0,IF(COUNTIF(Q$16:Q404,Q404)=1,1,0))</f>
        <v>0</v>
      </c>
    </row>
    <row r="405" customFormat="false" ht="15" hidden="false" customHeight="false" outlineLevel="0" collapsed="false">
      <c r="A405" s="0" t="str">
        <f aca="false">IFERROR(MATCH(390,Apparitions!$N$1:$N$5001,0),"")</f>
        <v/>
      </c>
      <c r="B405" s="19" t="str">
        <f aca="false">IF($A405="","",INDEX(Apparitions!$A$1:$A$5001,$A405)&amp;"")</f>
        <v/>
      </c>
      <c r="C405" s="19" t="str">
        <f aca="false">IF($A405="","",INDEX(Apparitions!$B$1:$B$5001,$A405)&amp;"")</f>
        <v/>
      </c>
      <c r="D405" s="20" t="str">
        <f aca="false">IF($A405="","",INDEX(Apparitions!$L$1:$L$5001,$A405))</f>
        <v/>
      </c>
      <c r="E405" s="19" t="str">
        <f aca="false">IF($A405="","",INDEX(Apparitions!$C$1:$C$5001,$A405)&amp;"")</f>
        <v/>
      </c>
      <c r="F405" s="19" t="str">
        <f aca="false">IF($A405="","",INDEX(Apparitions!$H$1:$H$5001,$A405)&amp;"")</f>
        <v/>
      </c>
      <c r="G405" s="19" t="str">
        <f aca="false">IF($A405="","",INDEX(Apparitions!$I$1:$I$5001,$A405)&amp;"")</f>
        <v/>
      </c>
      <c r="H405" s="19" t="str">
        <f aca="false">IF($A405="","",INDEX(Apparitions!$J$1:$J$5001,$A405)&amp;"")</f>
        <v/>
      </c>
      <c r="I405" s="19" t="str">
        <f aca="false">IF($A405="","",INDEX(Apparitions!$G$1:$G$5001,$A405)&amp;"")</f>
        <v/>
      </c>
      <c r="J405" s="19" t="str">
        <f aca="false">IF($A405="","",INDEX(Apparitions!$M$1:$M$5001,$A405)&amp;"")</f>
        <v/>
      </c>
      <c r="K405" s="21" t="str">
        <f aca="false">IF($A405="","",INDEX(Apparitions!$K$1:$K$5001,$A405))</f>
        <v/>
      </c>
      <c r="L405" s="22" t="str">
        <f aca="false">IF($A405="","",INDEX(Apparitions!$E$1:$E$5001,$A405)&amp;"")</f>
        <v/>
      </c>
      <c r="M405" s="19" t="str">
        <f aca="false">IF($A405="","",INDEX(Apparitions!$F$1:$F$5001,$A405)&amp;"")</f>
        <v/>
      </c>
      <c r="O405" s="23" t="n">
        <f aca="false">IF(I405="",0,IF(COUNTIF(I$16:I405,I405)=1,1,0))</f>
        <v>0</v>
      </c>
      <c r="P405" s="23" t="n">
        <f aca="false">IF(F405="",0,IF(COUNTIF(F$16:F405,F405)=1,1,0))</f>
        <v>0</v>
      </c>
      <c r="Q405" s="0" t="str">
        <f aca="false">IF(B405="","",B405&amp;"|"&amp;C405)</f>
        <v/>
      </c>
      <c r="R405" s="23" t="n">
        <f aca="false">IF(Q405="",0,IF(COUNTIF(Q$16:Q405,Q405)=1,1,0))</f>
        <v>0</v>
      </c>
    </row>
    <row r="406" customFormat="false" ht="15" hidden="false" customHeight="false" outlineLevel="0" collapsed="false">
      <c r="A406" s="0" t="str">
        <f aca="false">IFERROR(MATCH(391,Apparitions!$N$1:$N$5001,0),"")</f>
        <v/>
      </c>
      <c r="B406" s="19" t="str">
        <f aca="false">IF($A406="","",INDEX(Apparitions!$A$1:$A$5001,$A406)&amp;"")</f>
        <v/>
      </c>
      <c r="C406" s="19" t="str">
        <f aca="false">IF($A406="","",INDEX(Apparitions!$B$1:$B$5001,$A406)&amp;"")</f>
        <v/>
      </c>
      <c r="D406" s="20" t="str">
        <f aca="false">IF($A406="","",INDEX(Apparitions!$L$1:$L$5001,$A406))</f>
        <v/>
      </c>
      <c r="E406" s="19" t="str">
        <f aca="false">IF($A406="","",INDEX(Apparitions!$C$1:$C$5001,$A406)&amp;"")</f>
        <v/>
      </c>
      <c r="F406" s="19" t="str">
        <f aca="false">IF($A406="","",INDEX(Apparitions!$H$1:$H$5001,$A406)&amp;"")</f>
        <v/>
      </c>
      <c r="G406" s="19" t="str">
        <f aca="false">IF($A406="","",INDEX(Apparitions!$I$1:$I$5001,$A406)&amp;"")</f>
        <v/>
      </c>
      <c r="H406" s="19" t="str">
        <f aca="false">IF($A406="","",INDEX(Apparitions!$J$1:$J$5001,$A406)&amp;"")</f>
        <v/>
      </c>
      <c r="I406" s="19" t="str">
        <f aca="false">IF($A406="","",INDEX(Apparitions!$G$1:$G$5001,$A406)&amp;"")</f>
        <v/>
      </c>
      <c r="J406" s="19" t="str">
        <f aca="false">IF($A406="","",INDEX(Apparitions!$M$1:$M$5001,$A406)&amp;"")</f>
        <v/>
      </c>
      <c r="K406" s="21" t="str">
        <f aca="false">IF($A406="","",INDEX(Apparitions!$K$1:$K$5001,$A406))</f>
        <v/>
      </c>
      <c r="L406" s="22" t="str">
        <f aca="false">IF($A406="","",INDEX(Apparitions!$E$1:$E$5001,$A406)&amp;"")</f>
        <v/>
      </c>
      <c r="M406" s="19" t="str">
        <f aca="false">IF($A406="","",INDEX(Apparitions!$F$1:$F$5001,$A406)&amp;"")</f>
        <v/>
      </c>
      <c r="O406" s="23" t="n">
        <f aca="false">IF(I406="",0,IF(COUNTIF(I$16:I406,I406)=1,1,0))</f>
        <v>0</v>
      </c>
      <c r="P406" s="23" t="n">
        <f aca="false">IF(F406="",0,IF(COUNTIF(F$16:F406,F406)=1,1,0))</f>
        <v>0</v>
      </c>
      <c r="Q406" s="0" t="str">
        <f aca="false">IF(B406="","",B406&amp;"|"&amp;C406)</f>
        <v/>
      </c>
      <c r="R406" s="23" t="n">
        <f aca="false">IF(Q406="",0,IF(COUNTIF(Q$16:Q406,Q406)=1,1,0))</f>
        <v>0</v>
      </c>
    </row>
    <row r="407" customFormat="false" ht="15" hidden="false" customHeight="false" outlineLevel="0" collapsed="false">
      <c r="A407" s="0" t="str">
        <f aca="false">IFERROR(MATCH(392,Apparitions!$N$1:$N$5001,0),"")</f>
        <v/>
      </c>
      <c r="B407" s="19" t="str">
        <f aca="false">IF($A407="","",INDEX(Apparitions!$A$1:$A$5001,$A407)&amp;"")</f>
        <v/>
      </c>
      <c r="C407" s="19" t="str">
        <f aca="false">IF($A407="","",INDEX(Apparitions!$B$1:$B$5001,$A407)&amp;"")</f>
        <v/>
      </c>
      <c r="D407" s="20" t="str">
        <f aca="false">IF($A407="","",INDEX(Apparitions!$L$1:$L$5001,$A407))</f>
        <v/>
      </c>
      <c r="E407" s="19" t="str">
        <f aca="false">IF($A407="","",INDEX(Apparitions!$C$1:$C$5001,$A407)&amp;"")</f>
        <v/>
      </c>
      <c r="F407" s="19" t="str">
        <f aca="false">IF($A407="","",INDEX(Apparitions!$H$1:$H$5001,$A407)&amp;"")</f>
        <v/>
      </c>
      <c r="G407" s="19" t="str">
        <f aca="false">IF($A407="","",INDEX(Apparitions!$I$1:$I$5001,$A407)&amp;"")</f>
        <v/>
      </c>
      <c r="H407" s="19" t="str">
        <f aca="false">IF($A407="","",INDEX(Apparitions!$J$1:$J$5001,$A407)&amp;"")</f>
        <v/>
      </c>
      <c r="I407" s="19" t="str">
        <f aca="false">IF($A407="","",INDEX(Apparitions!$G$1:$G$5001,$A407)&amp;"")</f>
        <v/>
      </c>
      <c r="J407" s="19" t="str">
        <f aca="false">IF($A407="","",INDEX(Apparitions!$M$1:$M$5001,$A407)&amp;"")</f>
        <v/>
      </c>
      <c r="K407" s="21" t="str">
        <f aca="false">IF($A407="","",INDEX(Apparitions!$K$1:$K$5001,$A407))</f>
        <v/>
      </c>
      <c r="L407" s="22" t="str">
        <f aca="false">IF($A407="","",INDEX(Apparitions!$E$1:$E$5001,$A407)&amp;"")</f>
        <v/>
      </c>
      <c r="M407" s="19" t="str">
        <f aca="false">IF($A407="","",INDEX(Apparitions!$F$1:$F$5001,$A407)&amp;"")</f>
        <v/>
      </c>
      <c r="O407" s="23" t="n">
        <f aca="false">IF(I407="",0,IF(COUNTIF(I$16:I407,I407)=1,1,0))</f>
        <v>0</v>
      </c>
      <c r="P407" s="23" t="n">
        <f aca="false">IF(F407="",0,IF(COUNTIF(F$16:F407,F407)=1,1,0))</f>
        <v>0</v>
      </c>
      <c r="Q407" s="0" t="str">
        <f aca="false">IF(B407="","",B407&amp;"|"&amp;C407)</f>
        <v/>
      </c>
      <c r="R407" s="23" t="n">
        <f aca="false">IF(Q407="",0,IF(COUNTIF(Q$16:Q407,Q407)=1,1,0))</f>
        <v>0</v>
      </c>
    </row>
    <row r="408" customFormat="false" ht="15" hidden="false" customHeight="false" outlineLevel="0" collapsed="false">
      <c r="A408" s="0" t="str">
        <f aca="false">IFERROR(MATCH(393,Apparitions!$N$1:$N$5001,0),"")</f>
        <v/>
      </c>
      <c r="B408" s="19" t="str">
        <f aca="false">IF($A408="","",INDEX(Apparitions!$A$1:$A$5001,$A408)&amp;"")</f>
        <v/>
      </c>
      <c r="C408" s="19" t="str">
        <f aca="false">IF($A408="","",INDEX(Apparitions!$B$1:$B$5001,$A408)&amp;"")</f>
        <v/>
      </c>
      <c r="D408" s="20" t="str">
        <f aca="false">IF($A408="","",INDEX(Apparitions!$L$1:$L$5001,$A408))</f>
        <v/>
      </c>
      <c r="E408" s="19" t="str">
        <f aca="false">IF($A408="","",INDEX(Apparitions!$C$1:$C$5001,$A408)&amp;"")</f>
        <v/>
      </c>
      <c r="F408" s="19" t="str">
        <f aca="false">IF($A408="","",INDEX(Apparitions!$H$1:$H$5001,$A408)&amp;"")</f>
        <v/>
      </c>
      <c r="G408" s="19" t="str">
        <f aca="false">IF($A408="","",INDEX(Apparitions!$I$1:$I$5001,$A408)&amp;"")</f>
        <v/>
      </c>
      <c r="H408" s="19" t="str">
        <f aca="false">IF($A408="","",INDEX(Apparitions!$J$1:$J$5001,$A408)&amp;"")</f>
        <v/>
      </c>
      <c r="I408" s="19" t="str">
        <f aca="false">IF($A408="","",INDEX(Apparitions!$G$1:$G$5001,$A408)&amp;"")</f>
        <v/>
      </c>
      <c r="J408" s="19" t="str">
        <f aca="false">IF($A408="","",INDEX(Apparitions!$M$1:$M$5001,$A408)&amp;"")</f>
        <v/>
      </c>
      <c r="K408" s="21" t="str">
        <f aca="false">IF($A408="","",INDEX(Apparitions!$K$1:$K$5001,$A408))</f>
        <v/>
      </c>
      <c r="L408" s="22" t="str">
        <f aca="false">IF($A408="","",INDEX(Apparitions!$E$1:$E$5001,$A408)&amp;"")</f>
        <v/>
      </c>
      <c r="M408" s="19" t="str">
        <f aca="false">IF($A408="","",INDEX(Apparitions!$F$1:$F$5001,$A408)&amp;"")</f>
        <v/>
      </c>
      <c r="O408" s="23" t="n">
        <f aca="false">IF(I408="",0,IF(COUNTIF(I$16:I408,I408)=1,1,0))</f>
        <v>0</v>
      </c>
      <c r="P408" s="23" t="n">
        <f aca="false">IF(F408="",0,IF(COUNTIF(F$16:F408,F408)=1,1,0))</f>
        <v>0</v>
      </c>
      <c r="Q408" s="0" t="str">
        <f aca="false">IF(B408="","",B408&amp;"|"&amp;C408)</f>
        <v/>
      </c>
      <c r="R408" s="23" t="n">
        <f aca="false">IF(Q408="",0,IF(COUNTIF(Q$16:Q408,Q408)=1,1,0))</f>
        <v>0</v>
      </c>
    </row>
    <row r="409" customFormat="false" ht="15" hidden="false" customHeight="false" outlineLevel="0" collapsed="false">
      <c r="A409" s="0" t="str">
        <f aca="false">IFERROR(MATCH(394,Apparitions!$N$1:$N$5001,0),"")</f>
        <v/>
      </c>
      <c r="B409" s="19" t="str">
        <f aca="false">IF($A409="","",INDEX(Apparitions!$A$1:$A$5001,$A409)&amp;"")</f>
        <v/>
      </c>
      <c r="C409" s="19" t="str">
        <f aca="false">IF($A409="","",INDEX(Apparitions!$B$1:$B$5001,$A409)&amp;"")</f>
        <v/>
      </c>
      <c r="D409" s="20" t="str">
        <f aca="false">IF($A409="","",INDEX(Apparitions!$L$1:$L$5001,$A409))</f>
        <v/>
      </c>
      <c r="E409" s="19" t="str">
        <f aca="false">IF($A409="","",INDEX(Apparitions!$C$1:$C$5001,$A409)&amp;"")</f>
        <v/>
      </c>
      <c r="F409" s="19" t="str">
        <f aca="false">IF($A409="","",INDEX(Apparitions!$H$1:$H$5001,$A409)&amp;"")</f>
        <v/>
      </c>
      <c r="G409" s="19" t="str">
        <f aca="false">IF($A409="","",INDEX(Apparitions!$I$1:$I$5001,$A409)&amp;"")</f>
        <v/>
      </c>
      <c r="H409" s="19" t="str">
        <f aca="false">IF($A409="","",INDEX(Apparitions!$J$1:$J$5001,$A409)&amp;"")</f>
        <v/>
      </c>
      <c r="I409" s="19" t="str">
        <f aca="false">IF($A409="","",INDEX(Apparitions!$G$1:$G$5001,$A409)&amp;"")</f>
        <v/>
      </c>
      <c r="J409" s="19" t="str">
        <f aca="false">IF($A409="","",INDEX(Apparitions!$M$1:$M$5001,$A409)&amp;"")</f>
        <v/>
      </c>
      <c r="K409" s="21" t="str">
        <f aca="false">IF($A409="","",INDEX(Apparitions!$K$1:$K$5001,$A409))</f>
        <v/>
      </c>
      <c r="L409" s="22" t="str">
        <f aca="false">IF($A409="","",INDEX(Apparitions!$E$1:$E$5001,$A409)&amp;"")</f>
        <v/>
      </c>
      <c r="M409" s="19" t="str">
        <f aca="false">IF($A409="","",INDEX(Apparitions!$F$1:$F$5001,$A409)&amp;"")</f>
        <v/>
      </c>
      <c r="O409" s="23" t="n">
        <f aca="false">IF(I409="",0,IF(COUNTIF(I$16:I409,I409)=1,1,0))</f>
        <v>0</v>
      </c>
      <c r="P409" s="23" t="n">
        <f aca="false">IF(F409="",0,IF(COUNTIF(F$16:F409,F409)=1,1,0))</f>
        <v>0</v>
      </c>
      <c r="Q409" s="0" t="str">
        <f aca="false">IF(B409="","",B409&amp;"|"&amp;C409)</f>
        <v/>
      </c>
      <c r="R409" s="23" t="n">
        <f aca="false">IF(Q409="",0,IF(COUNTIF(Q$16:Q409,Q409)=1,1,0))</f>
        <v>0</v>
      </c>
    </row>
    <row r="410" customFormat="false" ht="15" hidden="false" customHeight="false" outlineLevel="0" collapsed="false">
      <c r="A410" s="0" t="str">
        <f aca="false">IFERROR(MATCH(395,Apparitions!$N$1:$N$5001,0),"")</f>
        <v/>
      </c>
      <c r="B410" s="19" t="str">
        <f aca="false">IF($A410="","",INDEX(Apparitions!$A$1:$A$5001,$A410)&amp;"")</f>
        <v/>
      </c>
      <c r="C410" s="19" t="str">
        <f aca="false">IF($A410="","",INDEX(Apparitions!$B$1:$B$5001,$A410)&amp;"")</f>
        <v/>
      </c>
      <c r="D410" s="20" t="str">
        <f aca="false">IF($A410="","",INDEX(Apparitions!$L$1:$L$5001,$A410))</f>
        <v/>
      </c>
      <c r="E410" s="19" t="str">
        <f aca="false">IF($A410="","",INDEX(Apparitions!$C$1:$C$5001,$A410)&amp;"")</f>
        <v/>
      </c>
      <c r="F410" s="19" t="str">
        <f aca="false">IF($A410="","",INDEX(Apparitions!$H$1:$H$5001,$A410)&amp;"")</f>
        <v/>
      </c>
      <c r="G410" s="19" t="str">
        <f aca="false">IF($A410="","",INDEX(Apparitions!$I$1:$I$5001,$A410)&amp;"")</f>
        <v/>
      </c>
      <c r="H410" s="19" t="str">
        <f aca="false">IF($A410="","",INDEX(Apparitions!$J$1:$J$5001,$A410)&amp;"")</f>
        <v/>
      </c>
      <c r="I410" s="19" t="str">
        <f aca="false">IF($A410="","",INDEX(Apparitions!$G$1:$G$5001,$A410)&amp;"")</f>
        <v/>
      </c>
      <c r="J410" s="19" t="str">
        <f aca="false">IF($A410="","",INDEX(Apparitions!$M$1:$M$5001,$A410)&amp;"")</f>
        <v/>
      </c>
      <c r="K410" s="21" t="str">
        <f aca="false">IF($A410="","",INDEX(Apparitions!$K$1:$K$5001,$A410))</f>
        <v/>
      </c>
      <c r="L410" s="22" t="str">
        <f aca="false">IF($A410="","",INDEX(Apparitions!$E$1:$E$5001,$A410)&amp;"")</f>
        <v/>
      </c>
      <c r="M410" s="19" t="str">
        <f aca="false">IF($A410="","",INDEX(Apparitions!$F$1:$F$5001,$A410)&amp;"")</f>
        <v/>
      </c>
      <c r="O410" s="23" t="n">
        <f aca="false">IF(I410="",0,IF(COUNTIF(I$16:I410,I410)=1,1,0))</f>
        <v>0</v>
      </c>
      <c r="P410" s="23" t="n">
        <f aca="false">IF(F410="",0,IF(COUNTIF(F$16:F410,F410)=1,1,0))</f>
        <v>0</v>
      </c>
      <c r="Q410" s="0" t="str">
        <f aca="false">IF(B410="","",B410&amp;"|"&amp;C410)</f>
        <v/>
      </c>
      <c r="R410" s="23" t="n">
        <f aca="false">IF(Q410="",0,IF(COUNTIF(Q$16:Q410,Q410)=1,1,0))</f>
        <v>0</v>
      </c>
    </row>
    <row r="411" customFormat="false" ht="15" hidden="false" customHeight="false" outlineLevel="0" collapsed="false">
      <c r="A411" s="0" t="str">
        <f aca="false">IFERROR(MATCH(396,Apparitions!$N$1:$N$5001,0),"")</f>
        <v/>
      </c>
      <c r="B411" s="19" t="str">
        <f aca="false">IF($A411="","",INDEX(Apparitions!$A$1:$A$5001,$A411)&amp;"")</f>
        <v/>
      </c>
      <c r="C411" s="19" t="str">
        <f aca="false">IF($A411="","",INDEX(Apparitions!$B$1:$B$5001,$A411)&amp;"")</f>
        <v/>
      </c>
      <c r="D411" s="20" t="str">
        <f aca="false">IF($A411="","",INDEX(Apparitions!$L$1:$L$5001,$A411))</f>
        <v/>
      </c>
      <c r="E411" s="19" t="str">
        <f aca="false">IF($A411="","",INDEX(Apparitions!$C$1:$C$5001,$A411)&amp;"")</f>
        <v/>
      </c>
      <c r="F411" s="19" t="str">
        <f aca="false">IF($A411="","",INDEX(Apparitions!$H$1:$H$5001,$A411)&amp;"")</f>
        <v/>
      </c>
      <c r="G411" s="19" t="str">
        <f aca="false">IF($A411="","",INDEX(Apparitions!$I$1:$I$5001,$A411)&amp;"")</f>
        <v/>
      </c>
      <c r="H411" s="19" t="str">
        <f aca="false">IF($A411="","",INDEX(Apparitions!$J$1:$J$5001,$A411)&amp;"")</f>
        <v/>
      </c>
      <c r="I411" s="19" t="str">
        <f aca="false">IF($A411="","",INDEX(Apparitions!$G$1:$G$5001,$A411)&amp;"")</f>
        <v/>
      </c>
      <c r="J411" s="19" t="str">
        <f aca="false">IF($A411="","",INDEX(Apparitions!$M$1:$M$5001,$A411)&amp;"")</f>
        <v/>
      </c>
      <c r="K411" s="21" t="str">
        <f aca="false">IF($A411="","",INDEX(Apparitions!$K$1:$K$5001,$A411))</f>
        <v/>
      </c>
      <c r="L411" s="22" t="str">
        <f aca="false">IF($A411="","",INDEX(Apparitions!$E$1:$E$5001,$A411)&amp;"")</f>
        <v/>
      </c>
      <c r="M411" s="19" t="str">
        <f aca="false">IF($A411="","",INDEX(Apparitions!$F$1:$F$5001,$A411)&amp;"")</f>
        <v/>
      </c>
      <c r="O411" s="23" t="n">
        <f aca="false">IF(I411="",0,IF(COUNTIF(I$16:I411,I411)=1,1,0))</f>
        <v>0</v>
      </c>
      <c r="P411" s="23" t="n">
        <f aca="false">IF(F411="",0,IF(COUNTIF(F$16:F411,F411)=1,1,0))</f>
        <v>0</v>
      </c>
      <c r="Q411" s="0" t="str">
        <f aca="false">IF(B411="","",B411&amp;"|"&amp;C411)</f>
        <v/>
      </c>
      <c r="R411" s="23" t="n">
        <f aca="false">IF(Q411="",0,IF(COUNTIF(Q$16:Q411,Q411)=1,1,0))</f>
        <v>0</v>
      </c>
    </row>
    <row r="412" customFormat="false" ht="15" hidden="false" customHeight="false" outlineLevel="0" collapsed="false">
      <c r="A412" s="0" t="str">
        <f aca="false">IFERROR(MATCH(397,Apparitions!$N$1:$N$5001,0),"")</f>
        <v/>
      </c>
      <c r="B412" s="19" t="str">
        <f aca="false">IF($A412="","",INDEX(Apparitions!$A$1:$A$5001,$A412)&amp;"")</f>
        <v/>
      </c>
      <c r="C412" s="19" t="str">
        <f aca="false">IF($A412="","",INDEX(Apparitions!$B$1:$B$5001,$A412)&amp;"")</f>
        <v/>
      </c>
      <c r="D412" s="20" t="str">
        <f aca="false">IF($A412="","",INDEX(Apparitions!$L$1:$L$5001,$A412))</f>
        <v/>
      </c>
      <c r="E412" s="19" t="str">
        <f aca="false">IF($A412="","",INDEX(Apparitions!$C$1:$C$5001,$A412)&amp;"")</f>
        <v/>
      </c>
      <c r="F412" s="19" t="str">
        <f aca="false">IF($A412="","",INDEX(Apparitions!$H$1:$H$5001,$A412)&amp;"")</f>
        <v/>
      </c>
      <c r="G412" s="19" t="str">
        <f aca="false">IF($A412="","",INDEX(Apparitions!$I$1:$I$5001,$A412)&amp;"")</f>
        <v/>
      </c>
      <c r="H412" s="19" t="str">
        <f aca="false">IF($A412="","",INDEX(Apparitions!$J$1:$J$5001,$A412)&amp;"")</f>
        <v/>
      </c>
      <c r="I412" s="19" t="str">
        <f aca="false">IF($A412="","",INDEX(Apparitions!$G$1:$G$5001,$A412)&amp;"")</f>
        <v/>
      </c>
      <c r="J412" s="19" t="str">
        <f aca="false">IF($A412="","",INDEX(Apparitions!$M$1:$M$5001,$A412)&amp;"")</f>
        <v/>
      </c>
      <c r="K412" s="21" t="str">
        <f aca="false">IF($A412="","",INDEX(Apparitions!$K$1:$K$5001,$A412))</f>
        <v/>
      </c>
      <c r="L412" s="22" t="str">
        <f aca="false">IF($A412="","",INDEX(Apparitions!$E$1:$E$5001,$A412)&amp;"")</f>
        <v/>
      </c>
      <c r="M412" s="19" t="str">
        <f aca="false">IF($A412="","",INDEX(Apparitions!$F$1:$F$5001,$A412)&amp;"")</f>
        <v/>
      </c>
      <c r="O412" s="23" t="n">
        <f aca="false">IF(I412="",0,IF(COUNTIF(I$16:I412,I412)=1,1,0))</f>
        <v>0</v>
      </c>
      <c r="P412" s="23" t="n">
        <f aca="false">IF(F412="",0,IF(COUNTIF(F$16:F412,F412)=1,1,0))</f>
        <v>0</v>
      </c>
      <c r="Q412" s="0" t="str">
        <f aca="false">IF(B412="","",B412&amp;"|"&amp;C412)</f>
        <v/>
      </c>
      <c r="R412" s="23" t="n">
        <f aca="false">IF(Q412="",0,IF(COUNTIF(Q$16:Q412,Q412)=1,1,0))</f>
        <v>0</v>
      </c>
    </row>
    <row r="413" customFormat="false" ht="15" hidden="false" customHeight="false" outlineLevel="0" collapsed="false">
      <c r="A413" s="0" t="str">
        <f aca="false">IFERROR(MATCH(398,Apparitions!$N$1:$N$5001,0),"")</f>
        <v/>
      </c>
      <c r="B413" s="19" t="str">
        <f aca="false">IF($A413="","",INDEX(Apparitions!$A$1:$A$5001,$A413)&amp;"")</f>
        <v/>
      </c>
      <c r="C413" s="19" t="str">
        <f aca="false">IF($A413="","",INDEX(Apparitions!$B$1:$B$5001,$A413)&amp;"")</f>
        <v/>
      </c>
      <c r="D413" s="20" t="str">
        <f aca="false">IF($A413="","",INDEX(Apparitions!$L$1:$L$5001,$A413))</f>
        <v/>
      </c>
      <c r="E413" s="19" t="str">
        <f aca="false">IF($A413="","",INDEX(Apparitions!$C$1:$C$5001,$A413)&amp;"")</f>
        <v/>
      </c>
      <c r="F413" s="19" t="str">
        <f aca="false">IF($A413="","",INDEX(Apparitions!$H$1:$H$5001,$A413)&amp;"")</f>
        <v/>
      </c>
      <c r="G413" s="19" t="str">
        <f aca="false">IF($A413="","",INDEX(Apparitions!$I$1:$I$5001,$A413)&amp;"")</f>
        <v/>
      </c>
      <c r="H413" s="19" t="str">
        <f aca="false">IF($A413="","",INDEX(Apparitions!$J$1:$J$5001,$A413)&amp;"")</f>
        <v/>
      </c>
      <c r="I413" s="19" t="str">
        <f aca="false">IF($A413="","",INDEX(Apparitions!$G$1:$G$5001,$A413)&amp;"")</f>
        <v/>
      </c>
      <c r="J413" s="19" t="str">
        <f aca="false">IF($A413="","",INDEX(Apparitions!$M$1:$M$5001,$A413)&amp;"")</f>
        <v/>
      </c>
      <c r="K413" s="21" t="str">
        <f aca="false">IF($A413="","",INDEX(Apparitions!$K$1:$K$5001,$A413))</f>
        <v/>
      </c>
      <c r="L413" s="22" t="str">
        <f aca="false">IF($A413="","",INDEX(Apparitions!$E$1:$E$5001,$A413)&amp;"")</f>
        <v/>
      </c>
      <c r="M413" s="19" t="str">
        <f aca="false">IF($A413="","",INDEX(Apparitions!$F$1:$F$5001,$A413)&amp;"")</f>
        <v/>
      </c>
      <c r="O413" s="23" t="n">
        <f aca="false">IF(I413="",0,IF(COUNTIF(I$16:I413,I413)=1,1,0))</f>
        <v>0</v>
      </c>
      <c r="P413" s="23" t="n">
        <f aca="false">IF(F413="",0,IF(COUNTIF(F$16:F413,F413)=1,1,0))</f>
        <v>0</v>
      </c>
      <c r="Q413" s="0" t="str">
        <f aca="false">IF(B413="","",B413&amp;"|"&amp;C413)</f>
        <v/>
      </c>
      <c r="R413" s="23" t="n">
        <f aca="false">IF(Q413="",0,IF(COUNTIF(Q$16:Q413,Q413)=1,1,0))</f>
        <v>0</v>
      </c>
    </row>
    <row r="414" customFormat="false" ht="15" hidden="false" customHeight="false" outlineLevel="0" collapsed="false">
      <c r="A414" s="0" t="str">
        <f aca="false">IFERROR(MATCH(399,Apparitions!$N$1:$N$5001,0),"")</f>
        <v/>
      </c>
      <c r="B414" s="19" t="str">
        <f aca="false">IF($A414="","",INDEX(Apparitions!$A$1:$A$5001,$A414)&amp;"")</f>
        <v/>
      </c>
      <c r="C414" s="19" t="str">
        <f aca="false">IF($A414="","",INDEX(Apparitions!$B$1:$B$5001,$A414)&amp;"")</f>
        <v/>
      </c>
      <c r="D414" s="20" t="str">
        <f aca="false">IF($A414="","",INDEX(Apparitions!$L$1:$L$5001,$A414))</f>
        <v/>
      </c>
      <c r="E414" s="19" t="str">
        <f aca="false">IF($A414="","",INDEX(Apparitions!$C$1:$C$5001,$A414)&amp;"")</f>
        <v/>
      </c>
      <c r="F414" s="19" t="str">
        <f aca="false">IF($A414="","",INDEX(Apparitions!$H$1:$H$5001,$A414)&amp;"")</f>
        <v/>
      </c>
      <c r="G414" s="19" t="str">
        <f aca="false">IF($A414="","",INDEX(Apparitions!$I$1:$I$5001,$A414)&amp;"")</f>
        <v/>
      </c>
      <c r="H414" s="19" t="str">
        <f aca="false">IF($A414="","",INDEX(Apparitions!$J$1:$J$5001,$A414)&amp;"")</f>
        <v/>
      </c>
      <c r="I414" s="19" t="str">
        <f aca="false">IF($A414="","",INDEX(Apparitions!$G$1:$G$5001,$A414)&amp;"")</f>
        <v/>
      </c>
      <c r="J414" s="19" t="str">
        <f aca="false">IF($A414="","",INDEX(Apparitions!$M$1:$M$5001,$A414)&amp;"")</f>
        <v/>
      </c>
      <c r="K414" s="21" t="str">
        <f aca="false">IF($A414="","",INDEX(Apparitions!$K$1:$K$5001,$A414))</f>
        <v/>
      </c>
      <c r="L414" s="22" t="str">
        <f aca="false">IF($A414="","",INDEX(Apparitions!$E$1:$E$5001,$A414)&amp;"")</f>
        <v/>
      </c>
      <c r="M414" s="19" t="str">
        <f aca="false">IF($A414="","",INDEX(Apparitions!$F$1:$F$5001,$A414)&amp;"")</f>
        <v/>
      </c>
      <c r="O414" s="23" t="n">
        <f aca="false">IF(I414="",0,IF(COUNTIF(I$16:I414,I414)=1,1,0))</f>
        <v>0</v>
      </c>
      <c r="P414" s="23" t="n">
        <f aca="false">IF(F414="",0,IF(COUNTIF(F$16:F414,F414)=1,1,0))</f>
        <v>0</v>
      </c>
      <c r="Q414" s="0" t="str">
        <f aca="false">IF(B414="","",B414&amp;"|"&amp;C414)</f>
        <v/>
      </c>
      <c r="R414" s="23" t="n">
        <f aca="false">IF(Q414="",0,IF(COUNTIF(Q$16:Q414,Q414)=1,1,0))</f>
        <v>0</v>
      </c>
    </row>
    <row r="415" customFormat="false" ht="15" hidden="false" customHeight="false" outlineLevel="0" collapsed="false">
      <c r="A415" s="0" t="str">
        <f aca="false">IFERROR(MATCH(400,Apparitions!$N$1:$N$5001,0),"")</f>
        <v/>
      </c>
      <c r="B415" s="19" t="str">
        <f aca="false">IF($A415="","",INDEX(Apparitions!$A$1:$A$5001,$A415)&amp;"")</f>
        <v/>
      </c>
      <c r="C415" s="19" t="str">
        <f aca="false">IF($A415="","",INDEX(Apparitions!$B$1:$B$5001,$A415)&amp;"")</f>
        <v/>
      </c>
      <c r="D415" s="20" t="str">
        <f aca="false">IF($A415="","",INDEX(Apparitions!$L$1:$L$5001,$A415))</f>
        <v/>
      </c>
      <c r="E415" s="19" t="str">
        <f aca="false">IF($A415="","",INDEX(Apparitions!$C$1:$C$5001,$A415)&amp;"")</f>
        <v/>
      </c>
      <c r="F415" s="19" t="str">
        <f aca="false">IF($A415="","",INDEX(Apparitions!$H$1:$H$5001,$A415)&amp;"")</f>
        <v/>
      </c>
      <c r="G415" s="19" t="str">
        <f aca="false">IF($A415="","",INDEX(Apparitions!$I$1:$I$5001,$A415)&amp;"")</f>
        <v/>
      </c>
      <c r="H415" s="19" t="str">
        <f aca="false">IF($A415="","",INDEX(Apparitions!$J$1:$J$5001,$A415)&amp;"")</f>
        <v/>
      </c>
      <c r="I415" s="19" t="str">
        <f aca="false">IF($A415="","",INDEX(Apparitions!$G$1:$G$5001,$A415)&amp;"")</f>
        <v/>
      </c>
      <c r="J415" s="19" t="str">
        <f aca="false">IF($A415="","",INDEX(Apparitions!$M$1:$M$5001,$A415)&amp;"")</f>
        <v/>
      </c>
      <c r="K415" s="21" t="str">
        <f aca="false">IF($A415="","",INDEX(Apparitions!$K$1:$K$5001,$A415))</f>
        <v/>
      </c>
      <c r="L415" s="22" t="str">
        <f aca="false">IF($A415="","",INDEX(Apparitions!$E$1:$E$5001,$A415)&amp;"")</f>
        <v/>
      </c>
      <c r="M415" s="19" t="str">
        <f aca="false">IF($A415="","",INDEX(Apparitions!$F$1:$F$5001,$A415)&amp;"")</f>
        <v/>
      </c>
      <c r="O415" s="23" t="n">
        <f aca="false">IF(I415="",0,IF(COUNTIF(I$16:I415,I415)=1,1,0))</f>
        <v>0</v>
      </c>
      <c r="P415" s="23" t="n">
        <f aca="false">IF(F415="",0,IF(COUNTIF(F$16:F415,F415)=1,1,0))</f>
        <v>0</v>
      </c>
      <c r="Q415" s="0" t="str">
        <f aca="false">IF(B415="","",B415&amp;"|"&amp;C415)</f>
        <v/>
      </c>
      <c r="R415" s="23" t="n">
        <f aca="false">IF(Q415="",0,IF(COUNTIF(Q$16:Q415,Q415)=1,1,0))</f>
        <v>0</v>
      </c>
    </row>
    <row r="416" customFormat="false" ht="15" hidden="false" customHeight="false" outlineLevel="0" collapsed="false">
      <c r="A416" s="0" t="str">
        <f aca="false">IFERROR(MATCH(401,Apparitions!$N$1:$N$5001,0),"")</f>
        <v/>
      </c>
      <c r="B416" s="19" t="str">
        <f aca="false">IF($A416="","",INDEX(Apparitions!$A$1:$A$5001,$A416)&amp;"")</f>
        <v/>
      </c>
      <c r="C416" s="19" t="str">
        <f aca="false">IF($A416="","",INDEX(Apparitions!$B$1:$B$5001,$A416)&amp;"")</f>
        <v/>
      </c>
      <c r="D416" s="20" t="str">
        <f aca="false">IF($A416="","",INDEX(Apparitions!$L$1:$L$5001,$A416))</f>
        <v/>
      </c>
      <c r="E416" s="19" t="str">
        <f aca="false">IF($A416="","",INDEX(Apparitions!$C$1:$C$5001,$A416)&amp;"")</f>
        <v/>
      </c>
      <c r="F416" s="19" t="str">
        <f aca="false">IF($A416="","",INDEX(Apparitions!$H$1:$H$5001,$A416)&amp;"")</f>
        <v/>
      </c>
      <c r="G416" s="19" t="str">
        <f aca="false">IF($A416="","",INDEX(Apparitions!$I$1:$I$5001,$A416)&amp;"")</f>
        <v/>
      </c>
      <c r="H416" s="19" t="str">
        <f aca="false">IF($A416="","",INDEX(Apparitions!$J$1:$J$5001,$A416)&amp;"")</f>
        <v/>
      </c>
      <c r="I416" s="19" t="str">
        <f aca="false">IF($A416="","",INDEX(Apparitions!$G$1:$G$5001,$A416)&amp;"")</f>
        <v/>
      </c>
      <c r="J416" s="19" t="str">
        <f aca="false">IF($A416="","",INDEX(Apparitions!$M$1:$M$5001,$A416)&amp;"")</f>
        <v/>
      </c>
      <c r="K416" s="21" t="str">
        <f aca="false">IF($A416="","",INDEX(Apparitions!$K$1:$K$5001,$A416))</f>
        <v/>
      </c>
      <c r="L416" s="22" t="str">
        <f aca="false">IF($A416="","",INDEX(Apparitions!$E$1:$E$5001,$A416)&amp;"")</f>
        <v/>
      </c>
      <c r="M416" s="19" t="str">
        <f aca="false">IF($A416="","",INDEX(Apparitions!$F$1:$F$5001,$A416)&amp;"")</f>
        <v/>
      </c>
      <c r="O416" s="23" t="n">
        <f aca="false">IF(I416="",0,IF(COUNTIF(I$16:I416,I416)=1,1,0))</f>
        <v>0</v>
      </c>
      <c r="P416" s="23" t="n">
        <f aca="false">IF(F416="",0,IF(COUNTIF(F$16:F416,F416)=1,1,0))</f>
        <v>0</v>
      </c>
      <c r="Q416" s="0" t="str">
        <f aca="false">IF(B416="","",B416&amp;"|"&amp;C416)</f>
        <v/>
      </c>
      <c r="R416" s="23" t="n">
        <f aca="false">IF(Q416="",0,IF(COUNTIF(Q$16:Q416,Q416)=1,1,0))</f>
        <v>0</v>
      </c>
    </row>
    <row r="417" customFormat="false" ht="15" hidden="false" customHeight="false" outlineLevel="0" collapsed="false">
      <c r="A417" s="0" t="str">
        <f aca="false">IFERROR(MATCH(402,Apparitions!$N$1:$N$5001,0),"")</f>
        <v/>
      </c>
      <c r="B417" s="19" t="str">
        <f aca="false">IF($A417="","",INDEX(Apparitions!$A$1:$A$5001,$A417)&amp;"")</f>
        <v/>
      </c>
      <c r="C417" s="19" t="str">
        <f aca="false">IF($A417="","",INDEX(Apparitions!$B$1:$B$5001,$A417)&amp;"")</f>
        <v/>
      </c>
      <c r="D417" s="20" t="str">
        <f aca="false">IF($A417="","",INDEX(Apparitions!$L$1:$L$5001,$A417))</f>
        <v/>
      </c>
      <c r="E417" s="19" t="str">
        <f aca="false">IF($A417="","",INDEX(Apparitions!$C$1:$C$5001,$A417)&amp;"")</f>
        <v/>
      </c>
      <c r="F417" s="19" t="str">
        <f aca="false">IF($A417="","",INDEX(Apparitions!$H$1:$H$5001,$A417)&amp;"")</f>
        <v/>
      </c>
      <c r="G417" s="19" t="str">
        <f aca="false">IF($A417="","",INDEX(Apparitions!$I$1:$I$5001,$A417)&amp;"")</f>
        <v/>
      </c>
      <c r="H417" s="19" t="str">
        <f aca="false">IF($A417="","",INDEX(Apparitions!$J$1:$J$5001,$A417)&amp;"")</f>
        <v/>
      </c>
      <c r="I417" s="19" t="str">
        <f aca="false">IF($A417="","",INDEX(Apparitions!$G$1:$G$5001,$A417)&amp;"")</f>
        <v/>
      </c>
      <c r="J417" s="19" t="str">
        <f aca="false">IF($A417="","",INDEX(Apparitions!$M$1:$M$5001,$A417)&amp;"")</f>
        <v/>
      </c>
      <c r="K417" s="21" t="str">
        <f aca="false">IF($A417="","",INDEX(Apparitions!$K$1:$K$5001,$A417))</f>
        <v/>
      </c>
      <c r="L417" s="22" t="str">
        <f aca="false">IF($A417="","",INDEX(Apparitions!$E$1:$E$5001,$A417)&amp;"")</f>
        <v/>
      </c>
      <c r="M417" s="19" t="str">
        <f aca="false">IF($A417="","",INDEX(Apparitions!$F$1:$F$5001,$A417)&amp;"")</f>
        <v/>
      </c>
      <c r="O417" s="23" t="n">
        <f aca="false">IF(I417="",0,IF(COUNTIF(I$16:I417,I417)=1,1,0))</f>
        <v>0</v>
      </c>
      <c r="P417" s="23" t="n">
        <f aca="false">IF(F417="",0,IF(COUNTIF(F$16:F417,F417)=1,1,0))</f>
        <v>0</v>
      </c>
      <c r="Q417" s="0" t="str">
        <f aca="false">IF(B417="","",B417&amp;"|"&amp;C417)</f>
        <v/>
      </c>
      <c r="R417" s="23" t="n">
        <f aca="false">IF(Q417="",0,IF(COUNTIF(Q$16:Q417,Q417)=1,1,0))</f>
        <v>0</v>
      </c>
    </row>
    <row r="418" customFormat="false" ht="15" hidden="false" customHeight="false" outlineLevel="0" collapsed="false">
      <c r="A418" s="0" t="str">
        <f aca="false">IFERROR(MATCH(403,Apparitions!$N$1:$N$5001,0),"")</f>
        <v/>
      </c>
      <c r="B418" s="19" t="str">
        <f aca="false">IF($A418="","",INDEX(Apparitions!$A$1:$A$5001,$A418)&amp;"")</f>
        <v/>
      </c>
      <c r="C418" s="19" t="str">
        <f aca="false">IF($A418="","",INDEX(Apparitions!$B$1:$B$5001,$A418)&amp;"")</f>
        <v/>
      </c>
      <c r="D418" s="20" t="str">
        <f aca="false">IF($A418="","",INDEX(Apparitions!$L$1:$L$5001,$A418))</f>
        <v/>
      </c>
      <c r="E418" s="19" t="str">
        <f aca="false">IF($A418="","",INDEX(Apparitions!$C$1:$C$5001,$A418)&amp;"")</f>
        <v/>
      </c>
      <c r="F418" s="19" t="str">
        <f aca="false">IF($A418="","",INDEX(Apparitions!$H$1:$H$5001,$A418)&amp;"")</f>
        <v/>
      </c>
      <c r="G418" s="19" t="str">
        <f aca="false">IF($A418="","",INDEX(Apparitions!$I$1:$I$5001,$A418)&amp;"")</f>
        <v/>
      </c>
      <c r="H418" s="19" t="str">
        <f aca="false">IF($A418="","",INDEX(Apparitions!$J$1:$J$5001,$A418)&amp;"")</f>
        <v/>
      </c>
      <c r="I418" s="19" t="str">
        <f aca="false">IF($A418="","",INDEX(Apparitions!$G$1:$G$5001,$A418)&amp;"")</f>
        <v/>
      </c>
      <c r="J418" s="19" t="str">
        <f aca="false">IF($A418="","",INDEX(Apparitions!$M$1:$M$5001,$A418)&amp;"")</f>
        <v/>
      </c>
      <c r="K418" s="21" t="str">
        <f aca="false">IF($A418="","",INDEX(Apparitions!$K$1:$K$5001,$A418))</f>
        <v/>
      </c>
      <c r="L418" s="22" t="str">
        <f aca="false">IF($A418="","",INDEX(Apparitions!$E$1:$E$5001,$A418)&amp;"")</f>
        <v/>
      </c>
      <c r="M418" s="19" t="str">
        <f aca="false">IF($A418="","",INDEX(Apparitions!$F$1:$F$5001,$A418)&amp;"")</f>
        <v/>
      </c>
      <c r="O418" s="23" t="n">
        <f aca="false">IF(I418="",0,IF(COUNTIF(I$16:I418,I418)=1,1,0))</f>
        <v>0</v>
      </c>
      <c r="P418" s="23" t="n">
        <f aca="false">IF(F418="",0,IF(COUNTIF(F$16:F418,F418)=1,1,0))</f>
        <v>0</v>
      </c>
      <c r="Q418" s="0" t="str">
        <f aca="false">IF(B418="","",B418&amp;"|"&amp;C418)</f>
        <v/>
      </c>
      <c r="R418" s="23" t="n">
        <f aca="false">IF(Q418="",0,IF(COUNTIF(Q$16:Q418,Q418)=1,1,0))</f>
        <v>0</v>
      </c>
    </row>
    <row r="419" customFormat="false" ht="15" hidden="false" customHeight="false" outlineLevel="0" collapsed="false">
      <c r="A419" s="0" t="str">
        <f aca="false">IFERROR(MATCH(404,Apparitions!$N$1:$N$5001,0),"")</f>
        <v/>
      </c>
      <c r="B419" s="19" t="str">
        <f aca="false">IF($A419="","",INDEX(Apparitions!$A$1:$A$5001,$A419)&amp;"")</f>
        <v/>
      </c>
      <c r="C419" s="19" t="str">
        <f aca="false">IF($A419="","",INDEX(Apparitions!$B$1:$B$5001,$A419)&amp;"")</f>
        <v/>
      </c>
      <c r="D419" s="20" t="str">
        <f aca="false">IF($A419="","",INDEX(Apparitions!$L$1:$L$5001,$A419))</f>
        <v/>
      </c>
      <c r="E419" s="19" t="str">
        <f aca="false">IF($A419="","",INDEX(Apparitions!$C$1:$C$5001,$A419)&amp;"")</f>
        <v/>
      </c>
      <c r="F419" s="19" t="str">
        <f aca="false">IF($A419="","",INDEX(Apparitions!$H$1:$H$5001,$A419)&amp;"")</f>
        <v/>
      </c>
      <c r="G419" s="19" t="str">
        <f aca="false">IF($A419="","",INDEX(Apparitions!$I$1:$I$5001,$A419)&amp;"")</f>
        <v/>
      </c>
      <c r="H419" s="19" t="str">
        <f aca="false">IF($A419="","",INDEX(Apparitions!$J$1:$J$5001,$A419)&amp;"")</f>
        <v/>
      </c>
      <c r="I419" s="19" t="str">
        <f aca="false">IF($A419="","",INDEX(Apparitions!$G$1:$G$5001,$A419)&amp;"")</f>
        <v/>
      </c>
      <c r="J419" s="19" t="str">
        <f aca="false">IF($A419="","",INDEX(Apparitions!$M$1:$M$5001,$A419)&amp;"")</f>
        <v/>
      </c>
      <c r="K419" s="21" t="str">
        <f aca="false">IF($A419="","",INDEX(Apparitions!$K$1:$K$5001,$A419))</f>
        <v/>
      </c>
      <c r="L419" s="22" t="str">
        <f aca="false">IF($A419="","",INDEX(Apparitions!$E$1:$E$5001,$A419)&amp;"")</f>
        <v/>
      </c>
      <c r="M419" s="19" t="str">
        <f aca="false">IF($A419="","",INDEX(Apparitions!$F$1:$F$5001,$A419)&amp;"")</f>
        <v/>
      </c>
      <c r="O419" s="23" t="n">
        <f aca="false">IF(I419="",0,IF(COUNTIF(I$16:I419,I419)=1,1,0))</f>
        <v>0</v>
      </c>
      <c r="P419" s="23" t="n">
        <f aca="false">IF(F419="",0,IF(COUNTIF(F$16:F419,F419)=1,1,0))</f>
        <v>0</v>
      </c>
      <c r="Q419" s="0" t="str">
        <f aca="false">IF(B419="","",B419&amp;"|"&amp;C419)</f>
        <v/>
      </c>
      <c r="R419" s="23" t="n">
        <f aca="false">IF(Q419="",0,IF(COUNTIF(Q$16:Q419,Q419)=1,1,0))</f>
        <v>0</v>
      </c>
    </row>
    <row r="420" customFormat="false" ht="15" hidden="false" customHeight="false" outlineLevel="0" collapsed="false">
      <c r="A420" s="0" t="str">
        <f aca="false">IFERROR(MATCH(405,Apparitions!$N$1:$N$5001,0),"")</f>
        <v/>
      </c>
      <c r="B420" s="19" t="str">
        <f aca="false">IF($A420="","",INDEX(Apparitions!$A$1:$A$5001,$A420)&amp;"")</f>
        <v/>
      </c>
      <c r="C420" s="19" t="str">
        <f aca="false">IF($A420="","",INDEX(Apparitions!$B$1:$B$5001,$A420)&amp;"")</f>
        <v/>
      </c>
      <c r="D420" s="20" t="str">
        <f aca="false">IF($A420="","",INDEX(Apparitions!$L$1:$L$5001,$A420))</f>
        <v/>
      </c>
      <c r="E420" s="19" t="str">
        <f aca="false">IF($A420="","",INDEX(Apparitions!$C$1:$C$5001,$A420)&amp;"")</f>
        <v/>
      </c>
      <c r="F420" s="19" t="str">
        <f aca="false">IF($A420="","",INDEX(Apparitions!$H$1:$H$5001,$A420)&amp;"")</f>
        <v/>
      </c>
      <c r="G420" s="19" t="str">
        <f aca="false">IF($A420="","",INDEX(Apparitions!$I$1:$I$5001,$A420)&amp;"")</f>
        <v/>
      </c>
      <c r="H420" s="19" t="str">
        <f aca="false">IF($A420="","",INDEX(Apparitions!$J$1:$J$5001,$A420)&amp;"")</f>
        <v/>
      </c>
      <c r="I420" s="19" t="str">
        <f aca="false">IF($A420="","",INDEX(Apparitions!$G$1:$G$5001,$A420)&amp;"")</f>
        <v/>
      </c>
      <c r="J420" s="19" t="str">
        <f aca="false">IF($A420="","",INDEX(Apparitions!$M$1:$M$5001,$A420)&amp;"")</f>
        <v/>
      </c>
      <c r="K420" s="21" t="str">
        <f aca="false">IF($A420="","",INDEX(Apparitions!$K$1:$K$5001,$A420))</f>
        <v/>
      </c>
      <c r="L420" s="22" t="str">
        <f aca="false">IF($A420="","",INDEX(Apparitions!$E$1:$E$5001,$A420)&amp;"")</f>
        <v/>
      </c>
      <c r="M420" s="19" t="str">
        <f aca="false">IF($A420="","",INDEX(Apparitions!$F$1:$F$5001,$A420)&amp;"")</f>
        <v/>
      </c>
      <c r="O420" s="23" t="n">
        <f aca="false">IF(I420="",0,IF(COUNTIF(I$16:I420,I420)=1,1,0))</f>
        <v>0</v>
      </c>
      <c r="P420" s="23" t="n">
        <f aca="false">IF(F420="",0,IF(COUNTIF(F$16:F420,F420)=1,1,0))</f>
        <v>0</v>
      </c>
      <c r="Q420" s="0" t="str">
        <f aca="false">IF(B420="","",B420&amp;"|"&amp;C420)</f>
        <v/>
      </c>
      <c r="R420" s="23" t="n">
        <f aca="false">IF(Q420="",0,IF(COUNTIF(Q$16:Q420,Q420)=1,1,0))</f>
        <v>0</v>
      </c>
    </row>
    <row r="421" customFormat="false" ht="15" hidden="false" customHeight="false" outlineLevel="0" collapsed="false">
      <c r="A421" s="0" t="str">
        <f aca="false">IFERROR(MATCH(406,Apparitions!$N$1:$N$5001,0),"")</f>
        <v/>
      </c>
      <c r="B421" s="19" t="str">
        <f aca="false">IF($A421="","",INDEX(Apparitions!$A$1:$A$5001,$A421)&amp;"")</f>
        <v/>
      </c>
      <c r="C421" s="19" t="str">
        <f aca="false">IF($A421="","",INDEX(Apparitions!$B$1:$B$5001,$A421)&amp;"")</f>
        <v/>
      </c>
      <c r="D421" s="20" t="str">
        <f aca="false">IF($A421="","",INDEX(Apparitions!$L$1:$L$5001,$A421))</f>
        <v/>
      </c>
      <c r="E421" s="19" t="str">
        <f aca="false">IF($A421="","",INDEX(Apparitions!$C$1:$C$5001,$A421)&amp;"")</f>
        <v/>
      </c>
      <c r="F421" s="19" t="str">
        <f aca="false">IF($A421="","",INDEX(Apparitions!$H$1:$H$5001,$A421)&amp;"")</f>
        <v/>
      </c>
      <c r="G421" s="19" t="str">
        <f aca="false">IF($A421="","",INDEX(Apparitions!$I$1:$I$5001,$A421)&amp;"")</f>
        <v/>
      </c>
      <c r="H421" s="19" t="str">
        <f aca="false">IF($A421="","",INDEX(Apparitions!$J$1:$J$5001,$A421)&amp;"")</f>
        <v/>
      </c>
      <c r="I421" s="19" t="str">
        <f aca="false">IF($A421="","",INDEX(Apparitions!$G$1:$G$5001,$A421)&amp;"")</f>
        <v/>
      </c>
      <c r="J421" s="19" t="str">
        <f aca="false">IF($A421="","",INDEX(Apparitions!$M$1:$M$5001,$A421)&amp;"")</f>
        <v/>
      </c>
      <c r="K421" s="21" t="str">
        <f aca="false">IF($A421="","",INDEX(Apparitions!$K$1:$K$5001,$A421))</f>
        <v/>
      </c>
      <c r="L421" s="22" t="str">
        <f aca="false">IF($A421="","",INDEX(Apparitions!$E$1:$E$5001,$A421)&amp;"")</f>
        <v/>
      </c>
      <c r="M421" s="19" t="str">
        <f aca="false">IF($A421="","",INDEX(Apparitions!$F$1:$F$5001,$A421)&amp;"")</f>
        <v/>
      </c>
      <c r="O421" s="23" t="n">
        <f aca="false">IF(I421="",0,IF(COUNTIF(I$16:I421,I421)=1,1,0))</f>
        <v>0</v>
      </c>
      <c r="P421" s="23" t="n">
        <f aca="false">IF(F421="",0,IF(COUNTIF(F$16:F421,F421)=1,1,0))</f>
        <v>0</v>
      </c>
      <c r="Q421" s="0" t="str">
        <f aca="false">IF(B421="","",B421&amp;"|"&amp;C421)</f>
        <v/>
      </c>
      <c r="R421" s="23" t="n">
        <f aca="false">IF(Q421="",0,IF(COUNTIF(Q$16:Q421,Q421)=1,1,0))</f>
        <v>0</v>
      </c>
    </row>
    <row r="422" customFormat="false" ht="15" hidden="false" customHeight="false" outlineLevel="0" collapsed="false">
      <c r="A422" s="0" t="str">
        <f aca="false">IFERROR(MATCH(407,Apparitions!$N$1:$N$5001,0),"")</f>
        <v/>
      </c>
      <c r="B422" s="19" t="str">
        <f aca="false">IF($A422="","",INDEX(Apparitions!$A$1:$A$5001,$A422)&amp;"")</f>
        <v/>
      </c>
      <c r="C422" s="19" t="str">
        <f aca="false">IF($A422="","",INDEX(Apparitions!$B$1:$B$5001,$A422)&amp;"")</f>
        <v/>
      </c>
      <c r="D422" s="20" t="str">
        <f aca="false">IF($A422="","",INDEX(Apparitions!$L$1:$L$5001,$A422))</f>
        <v/>
      </c>
      <c r="E422" s="19" t="str">
        <f aca="false">IF($A422="","",INDEX(Apparitions!$C$1:$C$5001,$A422)&amp;"")</f>
        <v/>
      </c>
      <c r="F422" s="19" t="str">
        <f aca="false">IF($A422="","",INDEX(Apparitions!$H$1:$H$5001,$A422)&amp;"")</f>
        <v/>
      </c>
      <c r="G422" s="19" t="str">
        <f aca="false">IF($A422="","",INDEX(Apparitions!$I$1:$I$5001,$A422)&amp;"")</f>
        <v/>
      </c>
      <c r="H422" s="19" t="str">
        <f aca="false">IF($A422="","",INDEX(Apparitions!$J$1:$J$5001,$A422)&amp;"")</f>
        <v/>
      </c>
      <c r="I422" s="19" t="str">
        <f aca="false">IF($A422="","",INDEX(Apparitions!$G$1:$G$5001,$A422)&amp;"")</f>
        <v/>
      </c>
      <c r="J422" s="19" t="str">
        <f aca="false">IF($A422="","",INDEX(Apparitions!$M$1:$M$5001,$A422)&amp;"")</f>
        <v/>
      </c>
      <c r="K422" s="21" t="str">
        <f aca="false">IF($A422="","",INDEX(Apparitions!$K$1:$K$5001,$A422))</f>
        <v/>
      </c>
      <c r="L422" s="22" t="str">
        <f aca="false">IF($A422="","",INDEX(Apparitions!$E$1:$E$5001,$A422)&amp;"")</f>
        <v/>
      </c>
      <c r="M422" s="19" t="str">
        <f aca="false">IF($A422="","",INDEX(Apparitions!$F$1:$F$5001,$A422)&amp;"")</f>
        <v/>
      </c>
      <c r="O422" s="23" t="n">
        <f aca="false">IF(I422="",0,IF(COUNTIF(I$16:I422,I422)=1,1,0))</f>
        <v>0</v>
      </c>
      <c r="P422" s="23" t="n">
        <f aca="false">IF(F422="",0,IF(COUNTIF(F$16:F422,F422)=1,1,0))</f>
        <v>0</v>
      </c>
      <c r="Q422" s="0" t="str">
        <f aca="false">IF(B422="","",B422&amp;"|"&amp;C422)</f>
        <v/>
      </c>
      <c r="R422" s="23" t="n">
        <f aca="false">IF(Q422="",0,IF(COUNTIF(Q$16:Q422,Q422)=1,1,0))</f>
        <v>0</v>
      </c>
    </row>
    <row r="423" customFormat="false" ht="15" hidden="false" customHeight="false" outlineLevel="0" collapsed="false">
      <c r="A423" s="0" t="str">
        <f aca="false">IFERROR(MATCH(408,Apparitions!$N$1:$N$5001,0),"")</f>
        <v/>
      </c>
      <c r="B423" s="19" t="str">
        <f aca="false">IF($A423="","",INDEX(Apparitions!$A$1:$A$5001,$A423)&amp;"")</f>
        <v/>
      </c>
      <c r="C423" s="19" t="str">
        <f aca="false">IF($A423="","",INDEX(Apparitions!$B$1:$B$5001,$A423)&amp;"")</f>
        <v/>
      </c>
      <c r="D423" s="20" t="str">
        <f aca="false">IF($A423="","",INDEX(Apparitions!$L$1:$L$5001,$A423))</f>
        <v/>
      </c>
      <c r="E423" s="19" t="str">
        <f aca="false">IF($A423="","",INDEX(Apparitions!$C$1:$C$5001,$A423)&amp;"")</f>
        <v/>
      </c>
      <c r="F423" s="19" t="str">
        <f aca="false">IF($A423="","",INDEX(Apparitions!$H$1:$H$5001,$A423)&amp;"")</f>
        <v/>
      </c>
      <c r="G423" s="19" t="str">
        <f aca="false">IF($A423="","",INDEX(Apparitions!$I$1:$I$5001,$A423)&amp;"")</f>
        <v/>
      </c>
      <c r="H423" s="19" t="str">
        <f aca="false">IF($A423="","",INDEX(Apparitions!$J$1:$J$5001,$A423)&amp;"")</f>
        <v/>
      </c>
      <c r="I423" s="19" t="str">
        <f aca="false">IF($A423="","",INDEX(Apparitions!$G$1:$G$5001,$A423)&amp;"")</f>
        <v/>
      </c>
      <c r="J423" s="19" t="str">
        <f aca="false">IF($A423="","",INDEX(Apparitions!$M$1:$M$5001,$A423)&amp;"")</f>
        <v/>
      </c>
      <c r="K423" s="21" t="str">
        <f aca="false">IF($A423="","",INDEX(Apparitions!$K$1:$K$5001,$A423))</f>
        <v/>
      </c>
      <c r="L423" s="22" t="str">
        <f aca="false">IF($A423="","",INDEX(Apparitions!$E$1:$E$5001,$A423)&amp;"")</f>
        <v/>
      </c>
      <c r="M423" s="19" t="str">
        <f aca="false">IF($A423="","",INDEX(Apparitions!$F$1:$F$5001,$A423)&amp;"")</f>
        <v/>
      </c>
      <c r="O423" s="23" t="n">
        <f aca="false">IF(I423="",0,IF(COUNTIF(I$16:I423,I423)=1,1,0))</f>
        <v>0</v>
      </c>
      <c r="P423" s="23" t="n">
        <f aca="false">IF(F423="",0,IF(COUNTIF(F$16:F423,F423)=1,1,0))</f>
        <v>0</v>
      </c>
      <c r="Q423" s="0" t="str">
        <f aca="false">IF(B423="","",B423&amp;"|"&amp;C423)</f>
        <v/>
      </c>
      <c r="R423" s="23" t="n">
        <f aca="false">IF(Q423="",0,IF(COUNTIF(Q$16:Q423,Q423)=1,1,0))</f>
        <v>0</v>
      </c>
    </row>
    <row r="424" customFormat="false" ht="15" hidden="false" customHeight="false" outlineLevel="0" collapsed="false">
      <c r="A424" s="0" t="str">
        <f aca="false">IFERROR(MATCH(409,Apparitions!$N$1:$N$5001,0),"")</f>
        <v/>
      </c>
      <c r="B424" s="19" t="str">
        <f aca="false">IF($A424="","",INDEX(Apparitions!$A$1:$A$5001,$A424)&amp;"")</f>
        <v/>
      </c>
      <c r="C424" s="19" t="str">
        <f aca="false">IF($A424="","",INDEX(Apparitions!$B$1:$B$5001,$A424)&amp;"")</f>
        <v/>
      </c>
      <c r="D424" s="20" t="str">
        <f aca="false">IF($A424="","",INDEX(Apparitions!$L$1:$L$5001,$A424))</f>
        <v/>
      </c>
      <c r="E424" s="19" t="str">
        <f aca="false">IF($A424="","",INDEX(Apparitions!$C$1:$C$5001,$A424)&amp;"")</f>
        <v/>
      </c>
      <c r="F424" s="19" t="str">
        <f aca="false">IF($A424="","",INDEX(Apparitions!$H$1:$H$5001,$A424)&amp;"")</f>
        <v/>
      </c>
      <c r="G424" s="19" t="str">
        <f aca="false">IF($A424="","",INDEX(Apparitions!$I$1:$I$5001,$A424)&amp;"")</f>
        <v/>
      </c>
      <c r="H424" s="19" t="str">
        <f aca="false">IF($A424="","",INDEX(Apparitions!$J$1:$J$5001,$A424)&amp;"")</f>
        <v/>
      </c>
      <c r="I424" s="19" t="str">
        <f aca="false">IF($A424="","",INDEX(Apparitions!$G$1:$G$5001,$A424)&amp;"")</f>
        <v/>
      </c>
      <c r="J424" s="19" t="str">
        <f aca="false">IF($A424="","",INDEX(Apparitions!$M$1:$M$5001,$A424)&amp;"")</f>
        <v/>
      </c>
      <c r="K424" s="21" t="str">
        <f aca="false">IF($A424="","",INDEX(Apparitions!$K$1:$K$5001,$A424))</f>
        <v/>
      </c>
      <c r="L424" s="22" t="str">
        <f aca="false">IF($A424="","",INDEX(Apparitions!$E$1:$E$5001,$A424)&amp;"")</f>
        <v/>
      </c>
      <c r="M424" s="19" t="str">
        <f aca="false">IF($A424="","",INDEX(Apparitions!$F$1:$F$5001,$A424)&amp;"")</f>
        <v/>
      </c>
      <c r="O424" s="23" t="n">
        <f aca="false">IF(I424="",0,IF(COUNTIF(I$16:I424,I424)=1,1,0))</f>
        <v>0</v>
      </c>
      <c r="P424" s="23" t="n">
        <f aca="false">IF(F424="",0,IF(COUNTIF(F$16:F424,F424)=1,1,0))</f>
        <v>0</v>
      </c>
      <c r="Q424" s="0" t="str">
        <f aca="false">IF(B424="","",B424&amp;"|"&amp;C424)</f>
        <v/>
      </c>
      <c r="R424" s="23" t="n">
        <f aca="false">IF(Q424="",0,IF(COUNTIF(Q$16:Q424,Q424)=1,1,0))</f>
        <v>0</v>
      </c>
    </row>
    <row r="425" customFormat="false" ht="15" hidden="false" customHeight="false" outlineLevel="0" collapsed="false">
      <c r="A425" s="0" t="str">
        <f aca="false">IFERROR(MATCH(410,Apparitions!$N$1:$N$5001,0),"")</f>
        <v/>
      </c>
      <c r="B425" s="19" t="str">
        <f aca="false">IF($A425="","",INDEX(Apparitions!$A$1:$A$5001,$A425)&amp;"")</f>
        <v/>
      </c>
      <c r="C425" s="19" t="str">
        <f aca="false">IF($A425="","",INDEX(Apparitions!$B$1:$B$5001,$A425)&amp;"")</f>
        <v/>
      </c>
      <c r="D425" s="20" t="str">
        <f aca="false">IF($A425="","",INDEX(Apparitions!$L$1:$L$5001,$A425))</f>
        <v/>
      </c>
      <c r="E425" s="19" t="str">
        <f aca="false">IF($A425="","",INDEX(Apparitions!$C$1:$C$5001,$A425)&amp;"")</f>
        <v/>
      </c>
      <c r="F425" s="19" t="str">
        <f aca="false">IF($A425="","",INDEX(Apparitions!$H$1:$H$5001,$A425)&amp;"")</f>
        <v/>
      </c>
      <c r="G425" s="19" t="str">
        <f aca="false">IF($A425="","",INDEX(Apparitions!$I$1:$I$5001,$A425)&amp;"")</f>
        <v/>
      </c>
      <c r="H425" s="19" t="str">
        <f aca="false">IF($A425="","",INDEX(Apparitions!$J$1:$J$5001,$A425)&amp;"")</f>
        <v/>
      </c>
      <c r="I425" s="19" t="str">
        <f aca="false">IF($A425="","",INDEX(Apparitions!$G$1:$G$5001,$A425)&amp;"")</f>
        <v/>
      </c>
      <c r="J425" s="19" t="str">
        <f aca="false">IF($A425="","",INDEX(Apparitions!$M$1:$M$5001,$A425)&amp;"")</f>
        <v/>
      </c>
      <c r="K425" s="21" t="str">
        <f aca="false">IF($A425="","",INDEX(Apparitions!$K$1:$K$5001,$A425))</f>
        <v/>
      </c>
      <c r="L425" s="22" t="str">
        <f aca="false">IF($A425="","",INDEX(Apparitions!$E$1:$E$5001,$A425)&amp;"")</f>
        <v/>
      </c>
      <c r="M425" s="19" t="str">
        <f aca="false">IF($A425="","",INDEX(Apparitions!$F$1:$F$5001,$A425)&amp;"")</f>
        <v/>
      </c>
      <c r="O425" s="23" t="n">
        <f aca="false">IF(I425="",0,IF(COUNTIF(I$16:I425,I425)=1,1,0))</f>
        <v>0</v>
      </c>
      <c r="P425" s="23" t="n">
        <f aca="false">IF(F425="",0,IF(COUNTIF(F$16:F425,F425)=1,1,0))</f>
        <v>0</v>
      </c>
      <c r="Q425" s="0" t="str">
        <f aca="false">IF(B425="","",B425&amp;"|"&amp;C425)</f>
        <v/>
      </c>
      <c r="R425" s="23" t="n">
        <f aca="false">IF(Q425="",0,IF(COUNTIF(Q$16:Q425,Q425)=1,1,0))</f>
        <v>0</v>
      </c>
    </row>
    <row r="426" customFormat="false" ht="15" hidden="false" customHeight="false" outlineLevel="0" collapsed="false">
      <c r="A426" s="0" t="str">
        <f aca="false">IFERROR(MATCH(411,Apparitions!$N$1:$N$5001,0),"")</f>
        <v/>
      </c>
      <c r="B426" s="19" t="str">
        <f aca="false">IF($A426="","",INDEX(Apparitions!$A$1:$A$5001,$A426)&amp;"")</f>
        <v/>
      </c>
      <c r="C426" s="19" t="str">
        <f aca="false">IF($A426="","",INDEX(Apparitions!$B$1:$B$5001,$A426)&amp;"")</f>
        <v/>
      </c>
      <c r="D426" s="20" t="str">
        <f aca="false">IF($A426="","",INDEX(Apparitions!$L$1:$L$5001,$A426))</f>
        <v/>
      </c>
      <c r="E426" s="19" t="str">
        <f aca="false">IF($A426="","",INDEX(Apparitions!$C$1:$C$5001,$A426)&amp;"")</f>
        <v/>
      </c>
      <c r="F426" s="19" t="str">
        <f aca="false">IF($A426="","",INDEX(Apparitions!$H$1:$H$5001,$A426)&amp;"")</f>
        <v/>
      </c>
      <c r="G426" s="19" t="str">
        <f aca="false">IF($A426="","",INDEX(Apparitions!$I$1:$I$5001,$A426)&amp;"")</f>
        <v/>
      </c>
      <c r="H426" s="19" t="str">
        <f aca="false">IF($A426="","",INDEX(Apparitions!$J$1:$J$5001,$A426)&amp;"")</f>
        <v/>
      </c>
      <c r="I426" s="19" t="str">
        <f aca="false">IF($A426="","",INDEX(Apparitions!$G$1:$G$5001,$A426)&amp;"")</f>
        <v/>
      </c>
      <c r="J426" s="19" t="str">
        <f aca="false">IF($A426="","",INDEX(Apparitions!$M$1:$M$5001,$A426)&amp;"")</f>
        <v/>
      </c>
      <c r="K426" s="21" t="str">
        <f aca="false">IF($A426="","",INDEX(Apparitions!$K$1:$K$5001,$A426))</f>
        <v/>
      </c>
      <c r="L426" s="22" t="str">
        <f aca="false">IF($A426="","",INDEX(Apparitions!$E$1:$E$5001,$A426)&amp;"")</f>
        <v/>
      </c>
      <c r="M426" s="19" t="str">
        <f aca="false">IF($A426="","",INDEX(Apparitions!$F$1:$F$5001,$A426)&amp;"")</f>
        <v/>
      </c>
      <c r="O426" s="23" t="n">
        <f aca="false">IF(I426="",0,IF(COUNTIF(I$16:I426,I426)=1,1,0))</f>
        <v>0</v>
      </c>
      <c r="P426" s="23" t="n">
        <f aca="false">IF(F426="",0,IF(COUNTIF(F$16:F426,F426)=1,1,0))</f>
        <v>0</v>
      </c>
      <c r="Q426" s="0" t="str">
        <f aca="false">IF(B426="","",B426&amp;"|"&amp;C426)</f>
        <v/>
      </c>
      <c r="R426" s="23" t="n">
        <f aca="false">IF(Q426="",0,IF(COUNTIF(Q$16:Q426,Q426)=1,1,0))</f>
        <v>0</v>
      </c>
    </row>
    <row r="427" customFormat="false" ht="15" hidden="false" customHeight="false" outlineLevel="0" collapsed="false">
      <c r="A427" s="0" t="str">
        <f aca="false">IFERROR(MATCH(412,Apparitions!$N$1:$N$5001,0),"")</f>
        <v/>
      </c>
      <c r="B427" s="19" t="str">
        <f aca="false">IF($A427="","",INDEX(Apparitions!$A$1:$A$5001,$A427)&amp;"")</f>
        <v/>
      </c>
      <c r="C427" s="19" t="str">
        <f aca="false">IF($A427="","",INDEX(Apparitions!$B$1:$B$5001,$A427)&amp;"")</f>
        <v/>
      </c>
      <c r="D427" s="20" t="str">
        <f aca="false">IF($A427="","",INDEX(Apparitions!$L$1:$L$5001,$A427))</f>
        <v/>
      </c>
      <c r="E427" s="19" t="str">
        <f aca="false">IF($A427="","",INDEX(Apparitions!$C$1:$C$5001,$A427)&amp;"")</f>
        <v/>
      </c>
      <c r="F427" s="19" t="str">
        <f aca="false">IF($A427="","",INDEX(Apparitions!$H$1:$H$5001,$A427)&amp;"")</f>
        <v/>
      </c>
      <c r="G427" s="19" t="str">
        <f aca="false">IF($A427="","",INDEX(Apparitions!$I$1:$I$5001,$A427)&amp;"")</f>
        <v/>
      </c>
      <c r="H427" s="19" t="str">
        <f aca="false">IF($A427="","",INDEX(Apparitions!$J$1:$J$5001,$A427)&amp;"")</f>
        <v/>
      </c>
      <c r="I427" s="19" t="str">
        <f aca="false">IF($A427="","",INDEX(Apparitions!$G$1:$G$5001,$A427)&amp;"")</f>
        <v/>
      </c>
      <c r="J427" s="19" t="str">
        <f aca="false">IF($A427="","",INDEX(Apparitions!$M$1:$M$5001,$A427)&amp;"")</f>
        <v/>
      </c>
      <c r="K427" s="21" t="str">
        <f aca="false">IF($A427="","",INDEX(Apparitions!$K$1:$K$5001,$A427))</f>
        <v/>
      </c>
      <c r="L427" s="22" t="str">
        <f aca="false">IF($A427="","",INDEX(Apparitions!$E$1:$E$5001,$A427)&amp;"")</f>
        <v/>
      </c>
      <c r="M427" s="19" t="str">
        <f aca="false">IF($A427="","",INDEX(Apparitions!$F$1:$F$5001,$A427)&amp;"")</f>
        <v/>
      </c>
      <c r="O427" s="23" t="n">
        <f aca="false">IF(I427="",0,IF(COUNTIF(I$16:I427,I427)=1,1,0))</f>
        <v>0</v>
      </c>
      <c r="P427" s="23" t="n">
        <f aca="false">IF(F427="",0,IF(COUNTIF(F$16:F427,F427)=1,1,0))</f>
        <v>0</v>
      </c>
      <c r="Q427" s="0" t="str">
        <f aca="false">IF(B427="","",B427&amp;"|"&amp;C427)</f>
        <v/>
      </c>
      <c r="R427" s="23" t="n">
        <f aca="false">IF(Q427="",0,IF(COUNTIF(Q$16:Q427,Q427)=1,1,0))</f>
        <v>0</v>
      </c>
    </row>
    <row r="428" customFormat="false" ht="15" hidden="false" customHeight="false" outlineLevel="0" collapsed="false">
      <c r="A428" s="0" t="str">
        <f aca="false">IFERROR(MATCH(413,Apparitions!$N$1:$N$5001,0),"")</f>
        <v/>
      </c>
      <c r="B428" s="19" t="str">
        <f aca="false">IF($A428="","",INDEX(Apparitions!$A$1:$A$5001,$A428)&amp;"")</f>
        <v/>
      </c>
      <c r="C428" s="19" t="str">
        <f aca="false">IF($A428="","",INDEX(Apparitions!$B$1:$B$5001,$A428)&amp;"")</f>
        <v/>
      </c>
      <c r="D428" s="20" t="str">
        <f aca="false">IF($A428="","",INDEX(Apparitions!$L$1:$L$5001,$A428))</f>
        <v/>
      </c>
      <c r="E428" s="19" t="str">
        <f aca="false">IF($A428="","",INDEX(Apparitions!$C$1:$C$5001,$A428)&amp;"")</f>
        <v/>
      </c>
      <c r="F428" s="19" t="str">
        <f aca="false">IF($A428="","",INDEX(Apparitions!$H$1:$H$5001,$A428)&amp;"")</f>
        <v/>
      </c>
      <c r="G428" s="19" t="str">
        <f aca="false">IF($A428="","",INDEX(Apparitions!$I$1:$I$5001,$A428)&amp;"")</f>
        <v/>
      </c>
      <c r="H428" s="19" t="str">
        <f aca="false">IF($A428="","",INDEX(Apparitions!$J$1:$J$5001,$A428)&amp;"")</f>
        <v/>
      </c>
      <c r="I428" s="19" t="str">
        <f aca="false">IF($A428="","",INDEX(Apparitions!$G$1:$G$5001,$A428)&amp;"")</f>
        <v/>
      </c>
      <c r="J428" s="19" t="str">
        <f aca="false">IF($A428="","",INDEX(Apparitions!$M$1:$M$5001,$A428)&amp;"")</f>
        <v/>
      </c>
      <c r="K428" s="21" t="str">
        <f aca="false">IF($A428="","",INDEX(Apparitions!$K$1:$K$5001,$A428))</f>
        <v/>
      </c>
      <c r="L428" s="22" t="str">
        <f aca="false">IF($A428="","",INDEX(Apparitions!$E$1:$E$5001,$A428)&amp;"")</f>
        <v/>
      </c>
      <c r="M428" s="19" t="str">
        <f aca="false">IF($A428="","",INDEX(Apparitions!$F$1:$F$5001,$A428)&amp;"")</f>
        <v/>
      </c>
      <c r="O428" s="23" t="n">
        <f aca="false">IF(I428="",0,IF(COUNTIF(I$16:I428,I428)=1,1,0))</f>
        <v>0</v>
      </c>
      <c r="P428" s="23" t="n">
        <f aca="false">IF(F428="",0,IF(COUNTIF(F$16:F428,F428)=1,1,0))</f>
        <v>0</v>
      </c>
      <c r="Q428" s="0" t="str">
        <f aca="false">IF(B428="","",B428&amp;"|"&amp;C428)</f>
        <v/>
      </c>
      <c r="R428" s="23" t="n">
        <f aca="false">IF(Q428="",0,IF(COUNTIF(Q$16:Q428,Q428)=1,1,0))</f>
        <v>0</v>
      </c>
    </row>
    <row r="429" customFormat="false" ht="15" hidden="false" customHeight="false" outlineLevel="0" collapsed="false">
      <c r="A429" s="0" t="str">
        <f aca="false">IFERROR(MATCH(414,Apparitions!$N$1:$N$5001,0),"")</f>
        <v/>
      </c>
      <c r="B429" s="19" t="str">
        <f aca="false">IF($A429="","",INDEX(Apparitions!$A$1:$A$5001,$A429)&amp;"")</f>
        <v/>
      </c>
      <c r="C429" s="19" t="str">
        <f aca="false">IF($A429="","",INDEX(Apparitions!$B$1:$B$5001,$A429)&amp;"")</f>
        <v/>
      </c>
      <c r="D429" s="20" t="str">
        <f aca="false">IF($A429="","",INDEX(Apparitions!$L$1:$L$5001,$A429))</f>
        <v/>
      </c>
      <c r="E429" s="19" t="str">
        <f aca="false">IF($A429="","",INDEX(Apparitions!$C$1:$C$5001,$A429)&amp;"")</f>
        <v/>
      </c>
      <c r="F429" s="19" t="str">
        <f aca="false">IF($A429="","",INDEX(Apparitions!$H$1:$H$5001,$A429)&amp;"")</f>
        <v/>
      </c>
      <c r="G429" s="19" t="str">
        <f aca="false">IF($A429="","",INDEX(Apparitions!$I$1:$I$5001,$A429)&amp;"")</f>
        <v/>
      </c>
      <c r="H429" s="19" t="str">
        <f aca="false">IF($A429="","",INDEX(Apparitions!$J$1:$J$5001,$A429)&amp;"")</f>
        <v/>
      </c>
      <c r="I429" s="19" t="str">
        <f aca="false">IF($A429="","",INDEX(Apparitions!$G$1:$G$5001,$A429)&amp;"")</f>
        <v/>
      </c>
      <c r="J429" s="19" t="str">
        <f aca="false">IF($A429="","",INDEX(Apparitions!$M$1:$M$5001,$A429)&amp;"")</f>
        <v/>
      </c>
      <c r="K429" s="21" t="str">
        <f aca="false">IF($A429="","",INDEX(Apparitions!$K$1:$K$5001,$A429))</f>
        <v/>
      </c>
      <c r="L429" s="22" t="str">
        <f aca="false">IF($A429="","",INDEX(Apparitions!$E$1:$E$5001,$A429)&amp;"")</f>
        <v/>
      </c>
      <c r="M429" s="19" t="str">
        <f aca="false">IF($A429="","",INDEX(Apparitions!$F$1:$F$5001,$A429)&amp;"")</f>
        <v/>
      </c>
      <c r="O429" s="23" t="n">
        <f aca="false">IF(I429="",0,IF(COUNTIF(I$16:I429,I429)=1,1,0))</f>
        <v>0</v>
      </c>
      <c r="P429" s="23" t="n">
        <f aca="false">IF(F429="",0,IF(COUNTIF(F$16:F429,F429)=1,1,0))</f>
        <v>0</v>
      </c>
      <c r="Q429" s="0" t="str">
        <f aca="false">IF(B429="","",B429&amp;"|"&amp;C429)</f>
        <v/>
      </c>
      <c r="R429" s="23" t="n">
        <f aca="false">IF(Q429="",0,IF(COUNTIF(Q$16:Q429,Q429)=1,1,0))</f>
        <v>0</v>
      </c>
    </row>
    <row r="430" customFormat="false" ht="15" hidden="false" customHeight="false" outlineLevel="0" collapsed="false">
      <c r="A430" s="0" t="str">
        <f aca="false">IFERROR(MATCH(415,Apparitions!$N$1:$N$5001,0),"")</f>
        <v/>
      </c>
      <c r="B430" s="19" t="str">
        <f aca="false">IF($A430="","",INDEX(Apparitions!$A$1:$A$5001,$A430)&amp;"")</f>
        <v/>
      </c>
      <c r="C430" s="19" t="str">
        <f aca="false">IF($A430="","",INDEX(Apparitions!$B$1:$B$5001,$A430)&amp;"")</f>
        <v/>
      </c>
      <c r="D430" s="20" t="str">
        <f aca="false">IF($A430="","",INDEX(Apparitions!$L$1:$L$5001,$A430))</f>
        <v/>
      </c>
      <c r="E430" s="19" t="str">
        <f aca="false">IF($A430="","",INDEX(Apparitions!$C$1:$C$5001,$A430)&amp;"")</f>
        <v/>
      </c>
      <c r="F430" s="19" t="str">
        <f aca="false">IF($A430="","",INDEX(Apparitions!$H$1:$H$5001,$A430)&amp;"")</f>
        <v/>
      </c>
      <c r="G430" s="19" t="str">
        <f aca="false">IF($A430="","",INDEX(Apparitions!$I$1:$I$5001,$A430)&amp;"")</f>
        <v/>
      </c>
      <c r="H430" s="19" t="str">
        <f aca="false">IF($A430="","",INDEX(Apparitions!$J$1:$J$5001,$A430)&amp;"")</f>
        <v/>
      </c>
      <c r="I430" s="19" t="str">
        <f aca="false">IF($A430="","",INDEX(Apparitions!$G$1:$G$5001,$A430)&amp;"")</f>
        <v/>
      </c>
      <c r="J430" s="19" t="str">
        <f aca="false">IF($A430="","",INDEX(Apparitions!$M$1:$M$5001,$A430)&amp;"")</f>
        <v/>
      </c>
      <c r="K430" s="21" t="str">
        <f aca="false">IF($A430="","",INDEX(Apparitions!$K$1:$K$5001,$A430))</f>
        <v/>
      </c>
      <c r="L430" s="22" t="str">
        <f aca="false">IF($A430="","",INDEX(Apparitions!$E$1:$E$5001,$A430)&amp;"")</f>
        <v/>
      </c>
      <c r="M430" s="19" t="str">
        <f aca="false">IF($A430="","",INDEX(Apparitions!$F$1:$F$5001,$A430)&amp;"")</f>
        <v/>
      </c>
      <c r="O430" s="23" t="n">
        <f aca="false">IF(I430="",0,IF(COUNTIF(I$16:I430,I430)=1,1,0))</f>
        <v>0</v>
      </c>
      <c r="P430" s="23" t="n">
        <f aca="false">IF(F430="",0,IF(COUNTIF(F$16:F430,F430)=1,1,0))</f>
        <v>0</v>
      </c>
      <c r="Q430" s="0" t="str">
        <f aca="false">IF(B430="","",B430&amp;"|"&amp;C430)</f>
        <v/>
      </c>
      <c r="R430" s="23" t="n">
        <f aca="false">IF(Q430="",0,IF(COUNTIF(Q$16:Q430,Q430)=1,1,0))</f>
        <v>0</v>
      </c>
    </row>
    <row r="431" customFormat="false" ht="15" hidden="false" customHeight="false" outlineLevel="0" collapsed="false">
      <c r="A431" s="0" t="str">
        <f aca="false">IFERROR(MATCH(416,Apparitions!$N$1:$N$5001,0),"")</f>
        <v/>
      </c>
      <c r="B431" s="19" t="str">
        <f aca="false">IF($A431="","",INDEX(Apparitions!$A$1:$A$5001,$A431)&amp;"")</f>
        <v/>
      </c>
      <c r="C431" s="19" t="str">
        <f aca="false">IF($A431="","",INDEX(Apparitions!$B$1:$B$5001,$A431)&amp;"")</f>
        <v/>
      </c>
      <c r="D431" s="20" t="str">
        <f aca="false">IF($A431="","",INDEX(Apparitions!$L$1:$L$5001,$A431))</f>
        <v/>
      </c>
      <c r="E431" s="19" t="str">
        <f aca="false">IF($A431="","",INDEX(Apparitions!$C$1:$C$5001,$A431)&amp;"")</f>
        <v/>
      </c>
      <c r="F431" s="19" t="str">
        <f aca="false">IF($A431="","",INDEX(Apparitions!$H$1:$H$5001,$A431)&amp;"")</f>
        <v/>
      </c>
      <c r="G431" s="19" t="str">
        <f aca="false">IF($A431="","",INDEX(Apparitions!$I$1:$I$5001,$A431)&amp;"")</f>
        <v/>
      </c>
      <c r="H431" s="19" t="str">
        <f aca="false">IF($A431="","",INDEX(Apparitions!$J$1:$J$5001,$A431)&amp;"")</f>
        <v/>
      </c>
      <c r="I431" s="19" t="str">
        <f aca="false">IF($A431="","",INDEX(Apparitions!$G$1:$G$5001,$A431)&amp;"")</f>
        <v/>
      </c>
      <c r="J431" s="19" t="str">
        <f aca="false">IF($A431="","",INDEX(Apparitions!$M$1:$M$5001,$A431)&amp;"")</f>
        <v/>
      </c>
      <c r="K431" s="21" t="str">
        <f aca="false">IF($A431="","",INDEX(Apparitions!$K$1:$K$5001,$A431))</f>
        <v/>
      </c>
      <c r="L431" s="22" t="str">
        <f aca="false">IF($A431="","",INDEX(Apparitions!$E$1:$E$5001,$A431)&amp;"")</f>
        <v/>
      </c>
      <c r="M431" s="19" t="str">
        <f aca="false">IF($A431="","",INDEX(Apparitions!$F$1:$F$5001,$A431)&amp;"")</f>
        <v/>
      </c>
      <c r="O431" s="23" t="n">
        <f aca="false">IF(I431="",0,IF(COUNTIF(I$16:I431,I431)=1,1,0))</f>
        <v>0</v>
      </c>
      <c r="P431" s="23" t="n">
        <f aca="false">IF(F431="",0,IF(COUNTIF(F$16:F431,F431)=1,1,0))</f>
        <v>0</v>
      </c>
      <c r="Q431" s="0" t="str">
        <f aca="false">IF(B431="","",B431&amp;"|"&amp;C431)</f>
        <v/>
      </c>
      <c r="R431" s="23" t="n">
        <f aca="false">IF(Q431="",0,IF(COUNTIF(Q$16:Q431,Q431)=1,1,0))</f>
        <v>0</v>
      </c>
    </row>
    <row r="432" customFormat="false" ht="15" hidden="false" customHeight="false" outlineLevel="0" collapsed="false">
      <c r="A432" s="0" t="str">
        <f aca="false">IFERROR(MATCH(417,Apparitions!$N$1:$N$5001,0),"")</f>
        <v/>
      </c>
      <c r="B432" s="19" t="str">
        <f aca="false">IF($A432="","",INDEX(Apparitions!$A$1:$A$5001,$A432)&amp;"")</f>
        <v/>
      </c>
      <c r="C432" s="19" t="str">
        <f aca="false">IF($A432="","",INDEX(Apparitions!$B$1:$B$5001,$A432)&amp;"")</f>
        <v/>
      </c>
      <c r="D432" s="20" t="str">
        <f aca="false">IF($A432="","",INDEX(Apparitions!$L$1:$L$5001,$A432))</f>
        <v/>
      </c>
      <c r="E432" s="19" t="str">
        <f aca="false">IF($A432="","",INDEX(Apparitions!$C$1:$C$5001,$A432)&amp;"")</f>
        <v/>
      </c>
      <c r="F432" s="19" t="str">
        <f aca="false">IF($A432="","",INDEX(Apparitions!$H$1:$H$5001,$A432)&amp;"")</f>
        <v/>
      </c>
      <c r="G432" s="19" t="str">
        <f aca="false">IF($A432="","",INDEX(Apparitions!$I$1:$I$5001,$A432)&amp;"")</f>
        <v/>
      </c>
      <c r="H432" s="19" t="str">
        <f aca="false">IF($A432="","",INDEX(Apparitions!$J$1:$J$5001,$A432)&amp;"")</f>
        <v/>
      </c>
      <c r="I432" s="19" t="str">
        <f aca="false">IF($A432="","",INDEX(Apparitions!$G$1:$G$5001,$A432)&amp;"")</f>
        <v/>
      </c>
      <c r="J432" s="19" t="str">
        <f aca="false">IF($A432="","",INDEX(Apparitions!$M$1:$M$5001,$A432)&amp;"")</f>
        <v/>
      </c>
      <c r="K432" s="21" t="str">
        <f aca="false">IF($A432="","",INDEX(Apparitions!$K$1:$K$5001,$A432))</f>
        <v/>
      </c>
      <c r="L432" s="22" t="str">
        <f aca="false">IF($A432="","",INDEX(Apparitions!$E$1:$E$5001,$A432)&amp;"")</f>
        <v/>
      </c>
      <c r="M432" s="19" t="str">
        <f aca="false">IF($A432="","",INDEX(Apparitions!$F$1:$F$5001,$A432)&amp;"")</f>
        <v/>
      </c>
      <c r="O432" s="23" t="n">
        <f aca="false">IF(I432="",0,IF(COUNTIF(I$16:I432,I432)=1,1,0))</f>
        <v>0</v>
      </c>
      <c r="P432" s="23" t="n">
        <f aca="false">IF(F432="",0,IF(COUNTIF(F$16:F432,F432)=1,1,0))</f>
        <v>0</v>
      </c>
      <c r="Q432" s="0" t="str">
        <f aca="false">IF(B432="","",B432&amp;"|"&amp;C432)</f>
        <v/>
      </c>
      <c r="R432" s="23" t="n">
        <f aca="false">IF(Q432="",0,IF(COUNTIF(Q$16:Q432,Q432)=1,1,0))</f>
        <v>0</v>
      </c>
    </row>
    <row r="433" customFormat="false" ht="15" hidden="false" customHeight="false" outlineLevel="0" collapsed="false">
      <c r="A433" s="0" t="str">
        <f aca="false">IFERROR(MATCH(418,Apparitions!$N$1:$N$5001,0),"")</f>
        <v/>
      </c>
      <c r="B433" s="19" t="str">
        <f aca="false">IF($A433="","",INDEX(Apparitions!$A$1:$A$5001,$A433)&amp;"")</f>
        <v/>
      </c>
      <c r="C433" s="19" t="str">
        <f aca="false">IF($A433="","",INDEX(Apparitions!$B$1:$B$5001,$A433)&amp;"")</f>
        <v/>
      </c>
      <c r="D433" s="20" t="str">
        <f aca="false">IF($A433="","",INDEX(Apparitions!$L$1:$L$5001,$A433))</f>
        <v/>
      </c>
      <c r="E433" s="19" t="str">
        <f aca="false">IF($A433="","",INDEX(Apparitions!$C$1:$C$5001,$A433)&amp;"")</f>
        <v/>
      </c>
      <c r="F433" s="19" t="str">
        <f aca="false">IF($A433="","",INDEX(Apparitions!$H$1:$H$5001,$A433)&amp;"")</f>
        <v/>
      </c>
      <c r="G433" s="19" t="str">
        <f aca="false">IF($A433="","",INDEX(Apparitions!$I$1:$I$5001,$A433)&amp;"")</f>
        <v/>
      </c>
      <c r="H433" s="19" t="str">
        <f aca="false">IF($A433="","",INDEX(Apparitions!$J$1:$J$5001,$A433)&amp;"")</f>
        <v/>
      </c>
      <c r="I433" s="19" t="str">
        <f aca="false">IF($A433="","",INDEX(Apparitions!$G$1:$G$5001,$A433)&amp;"")</f>
        <v/>
      </c>
      <c r="J433" s="19" t="str">
        <f aca="false">IF($A433="","",INDEX(Apparitions!$M$1:$M$5001,$A433)&amp;"")</f>
        <v/>
      </c>
      <c r="K433" s="21" t="str">
        <f aca="false">IF($A433="","",INDEX(Apparitions!$K$1:$K$5001,$A433))</f>
        <v/>
      </c>
      <c r="L433" s="22" t="str">
        <f aca="false">IF($A433="","",INDEX(Apparitions!$E$1:$E$5001,$A433)&amp;"")</f>
        <v/>
      </c>
      <c r="M433" s="19" t="str">
        <f aca="false">IF($A433="","",INDEX(Apparitions!$F$1:$F$5001,$A433)&amp;"")</f>
        <v/>
      </c>
      <c r="O433" s="23" t="n">
        <f aca="false">IF(I433="",0,IF(COUNTIF(I$16:I433,I433)=1,1,0))</f>
        <v>0</v>
      </c>
      <c r="P433" s="23" t="n">
        <f aca="false">IF(F433="",0,IF(COUNTIF(F$16:F433,F433)=1,1,0))</f>
        <v>0</v>
      </c>
      <c r="Q433" s="0" t="str">
        <f aca="false">IF(B433="","",B433&amp;"|"&amp;C433)</f>
        <v/>
      </c>
      <c r="R433" s="23" t="n">
        <f aca="false">IF(Q433="",0,IF(COUNTIF(Q$16:Q433,Q433)=1,1,0))</f>
        <v>0</v>
      </c>
    </row>
    <row r="434" customFormat="false" ht="15" hidden="false" customHeight="false" outlineLevel="0" collapsed="false">
      <c r="A434" s="0" t="str">
        <f aca="false">IFERROR(MATCH(419,Apparitions!$N$1:$N$5001,0),"")</f>
        <v/>
      </c>
      <c r="B434" s="19" t="str">
        <f aca="false">IF($A434="","",INDEX(Apparitions!$A$1:$A$5001,$A434)&amp;"")</f>
        <v/>
      </c>
      <c r="C434" s="19" t="str">
        <f aca="false">IF($A434="","",INDEX(Apparitions!$B$1:$B$5001,$A434)&amp;"")</f>
        <v/>
      </c>
      <c r="D434" s="20" t="str">
        <f aca="false">IF($A434="","",INDEX(Apparitions!$L$1:$L$5001,$A434))</f>
        <v/>
      </c>
      <c r="E434" s="19" t="str">
        <f aca="false">IF($A434="","",INDEX(Apparitions!$C$1:$C$5001,$A434)&amp;"")</f>
        <v/>
      </c>
      <c r="F434" s="19" t="str">
        <f aca="false">IF($A434="","",INDEX(Apparitions!$H$1:$H$5001,$A434)&amp;"")</f>
        <v/>
      </c>
      <c r="G434" s="19" t="str">
        <f aca="false">IF($A434="","",INDEX(Apparitions!$I$1:$I$5001,$A434)&amp;"")</f>
        <v/>
      </c>
      <c r="H434" s="19" t="str">
        <f aca="false">IF($A434="","",INDEX(Apparitions!$J$1:$J$5001,$A434)&amp;"")</f>
        <v/>
      </c>
      <c r="I434" s="19" t="str">
        <f aca="false">IF($A434="","",INDEX(Apparitions!$G$1:$G$5001,$A434)&amp;"")</f>
        <v/>
      </c>
      <c r="J434" s="19" t="str">
        <f aca="false">IF($A434="","",INDEX(Apparitions!$M$1:$M$5001,$A434)&amp;"")</f>
        <v/>
      </c>
      <c r="K434" s="21" t="str">
        <f aca="false">IF($A434="","",INDEX(Apparitions!$K$1:$K$5001,$A434))</f>
        <v/>
      </c>
      <c r="L434" s="22" t="str">
        <f aca="false">IF($A434="","",INDEX(Apparitions!$E$1:$E$5001,$A434)&amp;"")</f>
        <v/>
      </c>
      <c r="M434" s="19" t="str">
        <f aca="false">IF($A434="","",INDEX(Apparitions!$F$1:$F$5001,$A434)&amp;"")</f>
        <v/>
      </c>
      <c r="O434" s="23" t="n">
        <f aca="false">IF(I434="",0,IF(COUNTIF(I$16:I434,I434)=1,1,0))</f>
        <v>0</v>
      </c>
      <c r="P434" s="23" t="n">
        <f aca="false">IF(F434="",0,IF(COUNTIF(F$16:F434,F434)=1,1,0))</f>
        <v>0</v>
      </c>
      <c r="Q434" s="0" t="str">
        <f aca="false">IF(B434="","",B434&amp;"|"&amp;C434)</f>
        <v/>
      </c>
      <c r="R434" s="23" t="n">
        <f aca="false">IF(Q434="",0,IF(COUNTIF(Q$16:Q434,Q434)=1,1,0))</f>
        <v>0</v>
      </c>
    </row>
    <row r="435" customFormat="false" ht="15" hidden="false" customHeight="false" outlineLevel="0" collapsed="false">
      <c r="A435" s="0" t="str">
        <f aca="false">IFERROR(MATCH(420,Apparitions!$N$1:$N$5001,0),"")</f>
        <v/>
      </c>
      <c r="B435" s="19" t="str">
        <f aca="false">IF($A435="","",INDEX(Apparitions!$A$1:$A$5001,$A435)&amp;"")</f>
        <v/>
      </c>
      <c r="C435" s="19" t="str">
        <f aca="false">IF($A435="","",INDEX(Apparitions!$B$1:$B$5001,$A435)&amp;"")</f>
        <v/>
      </c>
      <c r="D435" s="20" t="str">
        <f aca="false">IF($A435="","",INDEX(Apparitions!$L$1:$L$5001,$A435))</f>
        <v/>
      </c>
      <c r="E435" s="19" t="str">
        <f aca="false">IF($A435="","",INDEX(Apparitions!$C$1:$C$5001,$A435)&amp;"")</f>
        <v/>
      </c>
      <c r="F435" s="19" t="str">
        <f aca="false">IF($A435="","",INDEX(Apparitions!$H$1:$H$5001,$A435)&amp;"")</f>
        <v/>
      </c>
      <c r="G435" s="19" t="str">
        <f aca="false">IF($A435="","",INDEX(Apparitions!$I$1:$I$5001,$A435)&amp;"")</f>
        <v/>
      </c>
      <c r="H435" s="19" t="str">
        <f aca="false">IF($A435="","",INDEX(Apparitions!$J$1:$J$5001,$A435)&amp;"")</f>
        <v/>
      </c>
      <c r="I435" s="19" t="str">
        <f aca="false">IF($A435="","",INDEX(Apparitions!$G$1:$G$5001,$A435)&amp;"")</f>
        <v/>
      </c>
      <c r="J435" s="19" t="str">
        <f aca="false">IF($A435="","",INDEX(Apparitions!$M$1:$M$5001,$A435)&amp;"")</f>
        <v/>
      </c>
      <c r="K435" s="21" t="str">
        <f aca="false">IF($A435="","",INDEX(Apparitions!$K$1:$K$5001,$A435))</f>
        <v/>
      </c>
      <c r="L435" s="22" t="str">
        <f aca="false">IF($A435="","",INDEX(Apparitions!$E$1:$E$5001,$A435)&amp;"")</f>
        <v/>
      </c>
      <c r="M435" s="19" t="str">
        <f aca="false">IF($A435="","",INDEX(Apparitions!$F$1:$F$5001,$A435)&amp;"")</f>
        <v/>
      </c>
      <c r="O435" s="23" t="n">
        <f aca="false">IF(I435="",0,IF(COUNTIF(I$16:I435,I435)=1,1,0))</f>
        <v>0</v>
      </c>
      <c r="P435" s="23" t="n">
        <f aca="false">IF(F435="",0,IF(COUNTIF(F$16:F435,F435)=1,1,0))</f>
        <v>0</v>
      </c>
      <c r="Q435" s="0" t="str">
        <f aca="false">IF(B435="","",B435&amp;"|"&amp;C435)</f>
        <v/>
      </c>
      <c r="R435" s="23" t="n">
        <f aca="false">IF(Q435="",0,IF(COUNTIF(Q$16:Q435,Q435)=1,1,0))</f>
        <v>0</v>
      </c>
    </row>
    <row r="436" customFormat="false" ht="15" hidden="false" customHeight="false" outlineLevel="0" collapsed="false">
      <c r="A436" s="0" t="str">
        <f aca="false">IFERROR(MATCH(421,Apparitions!$N$1:$N$5001,0),"")</f>
        <v/>
      </c>
      <c r="B436" s="19" t="str">
        <f aca="false">IF($A436="","",INDEX(Apparitions!$A$1:$A$5001,$A436)&amp;"")</f>
        <v/>
      </c>
      <c r="C436" s="19" t="str">
        <f aca="false">IF($A436="","",INDEX(Apparitions!$B$1:$B$5001,$A436)&amp;"")</f>
        <v/>
      </c>
      <c r="D436" s="20" t="str">
        <f aca="false">IF($A436="","",INDEX(Apparitions!$L$1:$L$5001,$A436))</f>
        <v/>
      </c>
      <c r="E436" s="19" t="str">
        <f aca="false">IF($A436="","",INDEX(Apparitions!$C$1:$C$5001,$A436)&amp;"")</f>
        <v/>
      </c>
      <c r="F436" s="19" t="str">
        <f aca="false">IF($A436="","",INDEX(Apparitions!$H$1:$H$5001,$A436)&amp;"")</f>
        <v/>
      </c>
      <c r="G436" s="19" t="str">
        <f aca="false">IF($A436="","",INDEX(Apparitions!$I$1:$I$5001,$A436)&amp;"")</f>
        <v/>
      </c>
      <c r="H436" s="19" t="str">
        <f aca="false">IF($A436="","",INDEX(Apparitions!$J$1:$J$5001,$A436)&amp;"")</f>
        <v/>
      </c>
      <c r="I436" s="19" t="str">
        <f aca="false">IF($A436="","",INDEX(Apparitions!$G$1:$G$5001,$A436)&amp;"")</f>
        <v/>
      </c>
      <c r="J436" s="19" t="str">
        <f aca="false">IF($A436="","",INDEX(Apparitions!$M$1:$M$5001,$A436)&amp;"")</f>
        <v/>
      </c>
      <c r="K436" s="21" t="str">
        <f aca="false">IF($A436="","",INDEX(Apparitions!$K$1:$K$5001,$A436))</f>
        <v/>
      </c>
      <c r="L436" s="22" t="str">
        <f aca="false">IF($A436="","",INDEX(Apparitions!$E$1:$E$5001,$A436)&amp;"")</f>
        <v/>
      </c>
      <c r="M436" s="19" t="str">
        <f aca="false">IF($A436="","",INDEX(Apparitions!$F$1:$F$5001,$A436)&amp;"")</f>
        <v/>
      </c>
      <c r="O436" s="23" t="n">
        <f aca="false">IF(I436="",0,IF(COUNTIF(I$16:I436,I436)=1,1,0))</f>
        <v>0</v>
      </c>
      <c r="P436" s="23" t="n">
        <f aca="false">IF(F436="",0,IF(COUNTIF(F$16:F436,F436)=1,1,0))</f>
        <v>0</v>
      </c>
      <c r="Q436" s="0" t="str">
        <f aca="false">IF(B436="","",B436&amp;"|"&amp;C436)</f>
        <v/>
      </c>
      <c r="R436" s="23" t="n">
        <f aca="false">IF(Q436="",0,IF(COUNTIF(Q$16:Q436,Q436)=1,1,0))</f>
        <v>0</v>
      </c>
    </row>
    <row r="437" customFormat="false" ht="15" hidden="false" customHeight="false" outlineLevel="0" collapsed="false">
      <c r="A437" s="0" t="str">
        <f aca="false">IFERROR(MATCH(422,Apparitions!$N$1:$N$5001,0),"")</f>
        <v/>
      </c>
      <c r="B437" s="19" t="str">
        <f aca="false">IF($A437="","",INDEX(Apparitions!$A$1:$A$5001,$A437)&amp;"")</f>
        <v/>
      </c>
      <c r="C437" s="19" t="str">
        <f aca="false">IF($A437="","",INDEX(Apparitions!$B$1:$B$5001,$A437)&amp;"")</f>
        <v/>
      </c>
      <c r="D437" s="20" t="str">
        <f aca="false">IF($A437="","",INDEX(Apparitions!$L$1:$L$5001,$A437))</f>
        <v/>
      </c>
      <c r="E437" s="19" t="str">
        <f aca="false">IF($A437="","",INDEX(Apparitions!$C$1:$C$5001,$A437)&amp;"")</f>
        <v/>
      </c>
      <c r="F437" s="19" t="str">
        <f aca="false">IF($A437="","",INDEX(Apparitions!$H$1:$H$5001,$A437)&amp;"")</f>
        <v/>
      </c>
      <c r="G437" s="19" t="str">
        <f aca="false">IF($A437="","",INDEX(Apparitions!$I$1:$I$5001,$A437)&amp;"")</f>
        <v/>
      </c>
      <c r="H437" s="19" t="str">
        <f aca="false">IF($A437="","",INDEX(Apparitions!$J$1:$J$5001,$A437)&amp;"")</f>
        <v/>
      </c>
      <c r="I437" s="19" t="str">
        <f aca="false">IF($A437="","",INDEX(Apparitions!$G$1:$G$5001,$A437)&amp;"")</f>
        <v/>
      </c>
      <c r="J437" s="19" t="str">
        <f aca="false">IF($A437="","",INDEX(Apparitions!$M$1:$M$5001,$A437)&amp;"")</f>
        <v/>
      </c>
      <c r="K437" s="21" t="str">
        <f aca="false">IF($A437="","",INDEX(Apparitions!$K$1:$K$5001,$A437))</f>
        <v/>
      </c>
      <c r="L437" s="22" t="str">
        <f aca="false">IF($A437="","",INDEX(Apparitions!$E$1:$E$5001,$A437)&amp;"")</f>
        <v/>
      </c>
      <c r="M437" s="19" t="str">
        <f aca="false">IF($A437="","",INDEX(Apparitions!$F$1:$F$5001,$A437)&amp;"")</f>
        <v/>
      </c>
      <c r="O437" s="23" t="n">
        <f aca="false">IF(I437="",0,IF(COUNTIF(I$16:I437,I437)=1,1,0))</f>
        <v>0</v>
      </c>
      <c r="P437" s="23" t="n">
        <f aca="false">IF(F437="",0,IF(COUNTIF(F$16:F437,F437)=1,1,0))</f>
        <v>0</v>
      </c>
      <c r="Q437" s="0" t="str">
        <f aca="false">IF(B437="","",B437&amp;"|"&amp;C437)</f>
        <v/>
      </c>
      <c r="R437" s="23" t="n">
        <f aca="false">IF(Q437="",0,IF(COUNTIF(Q$16:Q437,Q437)=1,1,0))</f>
        <v>0</v>
      </c>
    </row>
    <row r="438" customFormat="false" ht="15" hidden="false" customHeight="false" outlineLevel="0" collapsed="false">
      <c r="A438" s="0" t="str">
        <f aca="false">IFERROR(MATCH(423,Apparitions!$N$1:$N$5001,0),"")</f>
        <v/>
      </c>
      <c r="B438" s="19" t="str">
        <f aca="false">IF($A438="","",INDEX(Apparitions!$A$1:$A$5001,$A438)&amp;"")</f>
        <v/>
      </c>
      <c r="C438" s="19" t="str">
        <f aca="false">IF($A438="","",INDEX(Apparitions!$B$1:$B$5001,$A438)&amp;"")</f>
        <v/>
      </c>
      <c r="D438" s="20" t="str">
        <f aca="false">IF($A438="","",INDEX(Apparitions!$L$1:$L$5001,$A438))</f>
        <v/>
      </c>
      <c r="E438" s="19" t="str">
        <f aca="false">IF($A438="","",INDEX(Apparitions!$C$1:$C$5001,$A438)&amp;"")</f>
        <v/>
      </c>
      <c r="F438" s="19" t="str">
        <f aca="false">IF($A438="","",INDEX(Apparitions!$H$1:$H$5001,$A438)&amp;"")</f>
        <v/>
      </c>
      <c r="G438" s="19" t="str">
        <f aca="false">IF($A438="","",INDEX(Apparitions!$I$1:$I$5001,$A438)&amp;"")</f>
        <v/>
      </c>
      <c r="H438" s="19" t="str">
        <f aca="false">IF($A438="","",INDEX(Apparitions!$J$1:$J$5001,$A438)&amp;"")</f>
        <v/>
      </c>
      <c r="I438" s="19" t="str">
        <f aca="false">IF($A438="","",INDEX(Apparitions!$G$1:$G$5001,$A438)&amp;"")</f>
        <v/>
      </c>
      <c r="J438" s="19" t="str">
        <f aca="false">IF($A438="","",INDEX(Apparitions!$M$1:$M$5001,$A438)&amp;"")</f>
        <v/>
      </c>
      <c r="K438" s="21" t="str">
        <f aca="false">IF($A438="","",INDEX(Apparitions!$K$1:$K$5001,$A438))</f>
        <v/>
      </c>
      <c r="L438" s="22" t="str">
        <f aca="false">IF($A438="","",INDEX(Apparitions!$E$1:$E$5001,$A438)&amp;"")</f>
        <v/>
      </c>
      <c r="M438" s="19" t="str">
        <f aca="false">IF($A438="","",INDEX(Apparitions!$F$1:$F$5001,$A438)&amp;"")</f>
        <v/>
      </c>
      <c r="O438" s="23" t="n">
        <f aca="false">IF(I438="",0,IF(COUNTIF(I$16:I438,I438)=1,1,0))</f>
        <v>0</v>
      </c>
      <c r="P438" s="23" t="n">
        <f aca="false">IF(F438="",0,IF(COUNTIF(F$16:F438,F438)=1,1,0))</f>
        <v>0</v>
      </c>
      <c r="Q438" s="0" t="str">
        <f aca="false">IF(B438="","",B438&amp;"|"&amp;C438)</f>
        <v/>
      </c>
      <c r="R438" s="23" t="n">
        <f aca="false">IF(Q438="",0,IF(COUNTIF(Q$16:Q438,Q438)=1,1,0))</f>
        <v>0</v>
      </c>
    </row>
    <row r="439" customFormat="false" ht="15" hidden="false" customHeight="false" outlineLevel="0" collapsed="false">
      <c r="A439" s="0" t="str">
        <f aca="false">IFERROR(MATCH(424,Apparitions!$N$1:$N$5001,0),"")</f>
        <v/>
      </c>
      <c r="B439" s="19" t="str">
        <f aca="false">IF($A439="","",INDEX(Apparitions!$A$1:$A$5001,$A439)&amp;"")</f>
        <v/>
      </c>
      <c r="C439" s="19" t="str">
        <f aca="false">IF($A439="","",INDEX(Apparitions!$B$1:$B$5001,$A439)&amp;"")</f>
        <v/>
      </c>
      <c r="D439" s="20" t="str">
        <f aca="false">IF($A439="","",INDEX(Apparitions!$L$1:$L$5001,$A439))</f>
        <v/>
      </c>
      <c r="E439" s="19" t="str">
        <f aca="false">IF($A439="","",INDEX(Apparitions!$C$1:$C$5001,$A439)&amp;"")</f>
        <v/>
      </c>
      <c r="F439" s="19" t="str">
        <f aca="false">IF($A439="","",INDEX(Apparitions!$H$1:$H$5001,$A439)&amp;"")</f>
        <v/>
      </c>
      <c r="G439" s="19" t="str">
        <f aca="false">IF($A439="","",INDEX(Apparitions!$I$1:$I$5001,$A439)&amp;"")</f>
        <v/>
      </c>
      <c r="H439" s="19" t="str">
        <f aca="false">IF($A439="","",INDEX(Apparitions!$J$1:$J$5001,$A439)&amp;"")</f>
        <v/>
      </c>
      <c r="I439" s="19" t="str">
        <f aca="false">IF($A439="","",INDEX(Apparitions!$G$1:$G$5001,$A439)&amp;"")</f>
        <v/>
      </c>
      <c r="J439" s="19" t="str">
        <f aca="false">IF($A439="","",INDEX(Apparitions!$M$1:$M$5001,$A439)&amp;"")</f>
        <v/>
      </c>
      <c r="K439" s="21" t="str">
        <f aca="false">IF($A439="","",INDEX(Apparitions!$K$1:$K$5001,$A439))</f>
        <v/>
      </c>
      <c r="L439" s="22" t="str">
        <f aca="false">IF($A439="","",INDEX(Apparitions!$E$1:$E$5001,$A439)&amp;"")</f>
        <v/>
      </c>
      <c r="M439" s="19" t="str">
        <f aca="false">IF($A439="","",INDEX(Apparitions!$F$1:$F$5001,$A439)&amp;"")</f>
        <v/>
      </c>
      <c r="O439" s="23" t="n">
        <f aca="false">IF(I439="",0,IF(COUNTIF(I$16:I439,I439)=1,1,0))</f>
        <v>0</v>
      </c>
      <c r="P439" s="23" t="n">
        <f aca="false">IF(F439="",0,IF(COUNTIF(F$16:F439,F439)=1,1,0))</f>
        <v>0</v>
      </c>
      <c r="Q439" s="0" t="str">
        <f aca="false">IF(B439="","",B439&amp;"|"&amp;C439)</f>
        <v/>
      </c>
      <c r="R439" s="23" t="n">
        <f aca="false">IF(Q439="",0,IF(COUNTIF(Q$16:Q439,Q439)=1,1,0))</f>
        <v>0</v>
      </c>
    </row>
    <row r="440" customFormat="false" ht="15" hidden="false" customHeight="false" outlineLevel="0" collapsed="false">
      <c r="A440" s="0" t="str">
        <f aca="false">IFERROR(MATCH(425,Apparitions!$N$1:$N$5001,0),"")</f>
        <v/>
      </c>
      <c r="B440" s="19" t="str">
        <f aca="false">IF($A440="","",INDEX(Apparitions!$A$1:$A$5001,$A440)&amp;"")</f>
        <v/>
      </c>
      <c r="C440" s="19" t="str">
        <f aca="false">IF($A440="","",INDEX(Apparitions!$B$1:$B$5001,$A440)&amp;"")</f>
        <v/>
      </c>
      <c r="D440" s="20" t="str">
        <f aca="false">IF($A440="","",INDEX(Apparitions!$L$1:$L$5001,$A440))</f>
        <v/>
      </c>
      <c r="E440" s="19" t="str">
        <f aca="false">IF($A440="","",INDEX(Apparitions!$C$1:$C$5001,$A440)&amp;"")</f>
        <v/>
      </c>
      <c r="F440" s="19" t="str">
        <f aca="false">IF($A440="","",INDEX(Apparitions!$H$1:$H$5001,$A440)&amp;"")</f>
        <v/>
      </c>
      <c r="G440" s="19" t="str">
        <f aca="false">IF($A440="","",INDEX(Apparitions!$I$1:$I$5001,$A440)&amp;"")</f>
        <v/>
      </c>
      <c r="H440" s="19" t="str">
        <f aca="false">IF($A440="","",INDEX(Apparitions!$J$1:$J$5001,$A440)&amp;"")</f>
        <v/>
      </c>
      <c r="I440" s="19" t="str">
        <f aca="false">IF($A440="","",INDEX(Apparitions!$G$1:$G$5001,$A440)&amp;"")</f>
        <v/>
      </c>
      <c r="J440" s="19" t="str">
        <f aca="false">IF($A440="","",INDEX(Apparitions!$M$1:$M$5001,$A440)&amp;"")</f>
        <v/>
      </c>
      <c r="K440" s="21" t="str">
        <f aca="false">IF($A440="","",INDEX(Apparitions!$K$1:$K$5001,$A440))</f>
        <v/>
      </c>
      <c r="L440" s="22" t="str">
        <f aca="false">IF($A440="","",INDEX(Apparitions!$E$1:$E$5001,$A440)&amp;"")</f>
        <v/>
      </c>
      <c r="M440" s="19" t="str">
        <f aca="false">IF($A440="","",INDEX(Apparitions!$F$1:$F$5001,$A440)&amp;"")</f>
        <v/>
      </c>
      <c r="O440" s="23" t="n">
        <f aca="false">IF(I440="",0,IF(COUNTIF(I$16:I440,I440)=1,1,0))</f>
        <v>0</v>
      </c>
      <c r="P440" s="23" t="n">
        <f aca="false">IF(F440="",0,IF(COUNTIF(F$16:F440,F440)=1,1,0))</f>
        <v>0</v>
      </c>
      <c r="Q440" s="0" t="str">
        <f aca="false">IF(B440="","",B440&amp;"|"&amp;C440)</f>
        <v/>
      </c>
      <c r="R440" s="23" t="n">
        <f aca="false">IF(Q440="",0,IF(COUNTIF(Q$16:Q440,Q440)=1,1,0))</f>
        <v>0</v>
      </c>
    </row>
    <row r="441" customFormat="false" ht="15" hidden="false" customHeight="false" outlineLevel="0" collapsed="false">
      <c r="A441" s="0" t="str">
        <f aca="false">IFERROR(MATCH(426,Apparitions!$N$1:$N$5001,0),"")</f>
        <v/>
      </c>
      <c r="B441" s="19" t="str">
        <f aca="false">IF($A441="","",INDEX(Apparitions!$A$1:$A$5001,$A441)&amp;"")</f>
        <v/>
      </c>
      <c r="C441" s="19" t="str">
        <f aca="false">IF($A441="","",INDEX(Apparitions!$B$1:$B$5001,$A441)&amp;"")</f>
        <v/>
      </c>
      <c r="D441" s="20" t="str">
        <f aca="false">IF($A441="","",INDEX(Apparitions!$L$1:$L$5001,$A441))</f>
        <v/>
      </c>
      <c r="E441" s="19" t="str">
        <f aca="false">IF($A441="","",INDEX(Apparitions!$C$1:$C$5001,$A441)&amp;"")</f>
        <v/>
      </c>
      <c r="F441" s="19" t="str">
        <f aca="false">IF($A441="","",INDEX(Apparitions!$H$1:$H$5001,$A441)&amp;"")</f>
        <v/>
      </c>
      <c r="G441" s="19" t="str">
        <f aca="false">IF($A441="","",INDEX(Apparitions!$I$1:$I$5001,$A441)&amp;"")</f>
        <v/>
      </c>
      <c r="H441" s="19" t="str">
        <f aca="false">IF($A441="","",INDEX(Apparitions!$J$1:$J$5001,$A441)&amp;"")</f>
        <v/>
      </c>
      <c r="I441" s="19" t="str">
        <f aca="false">IF($A441="","",INDEX(Apparitions!$G$1:$G$5001,$A441)&amp;"")</f>
        <v/>
      </c>
      <c r="J441" s="19" t="str">
        <f aca="false">IF($A441="","",INDEX(Apparitions!$M$1:$M$5001,$A441)&amp;"")</f>
        <v/>
      </c>
      <c r="K441" s="21" t="str">
        <f aca="false">IF($A441="","",INDEX(Apparitions!$K$1:$K$5001,$A441))</f>
        <v/>
      </c>
      <c r="L441" s="22" t="str">
        <f aca="false">IF($A441="","",INDEX(Apparitions!$E$1:$E$5001,$A441)&amp;"")</f>
        <v/>
      </c>
      <c r="M441" s="19" t="str">
        <f aca="false">IF($A441="","",INDEX(Apparitions!$F$1:$F$5001,$A441)&amp;"")</f>
        <v/>
      </c>
      <c r="O441" s="23" t="n">
        <f aca="false">IF(I441="",0,IF(COUNTIF(I$16:I441,I441)=1,1,0))</f>
        <v>0</v>
      </c>
      <c r="P441" s="23" t="n">
        <f aca="false">IF(F441="",0,IF(COUNTIF(F$16:F441,F441)=1,1,0))</f>
        <v>0</v>
      </c>
      <c r="Q441" s="0" t="str">
        <f aca="false">IF(B441="","",B441&amp;"|"&amp;C441)</f>
        <v/>
      </c>
      <c r="R441" s="23" t="n">
        <f aca="false">IF(Q441="",0,IF(COUNTIF(Q$16:Q441,Q441)=1,1,0))</f>
        <v>0</v>
      </c>
    </row>
    <row r="442" customFormat="false" ht="15" hidden="false" customHeight="false" outlineLevel="0" collapsed="false">
      <c r="A442" s="0" t="str">
        <f aca="false">IFERROR(MATCH(427,Apparitions!$N$1:$N$5001,0),"")</f>
        <v/>
      </c>
      <c r="B442" s="19" t="str">
        <f aca="false">IF($A442="","",INDEX(Apparitions!$A$1:$A$5001,$A442)&amp;"")</f>
        <v/>
      </c>
      <c r="C442" s="19" t="str">
        <f aca="false">IF($A442="","",INDEX(Apparitions!$B$1:$B$5001,$A442)&amp;"")</f>
        <v/>
      </c>
      <c r="D442" s="20" t="str">
        <f aca="false">IF($A442="","",INDEX(Apparitions!$L$1:$L$5001,$A442))</f>
        <v/>
      </c>
      <c r="E442" s="19" t="str">
        <f aca="false">IF($A442="","",INDEX(Apparitions!$C$1:$C$5001,$A442)&amp;"")</f>
        <v/>
      </c>
      <c r="F442" s="19" t="str">
        <f aca="false">IF($A442="","",INDEX(Apparitions!$H$1:$H$5001,$A442)&amp;"")</f>
        <v/>
      </c>
      <c r="G442" s="19" t="str">
        <f aca="false">IF($A442="","",INDEX(Apparitions!$I$1:$I$5001,$A442)&amp;"")</f>
        <v/>
      </c>
      <c r="H442" s="19" t="str">
        <f aca="false">IF($A442="","",INDEX(Apparitions!$J$1:$J$5001,$A442)&amp;"")</f>
        <v/>
      </c>
      <c r="I442" s="19" t="str">
        <f aca="false">IF($A442="","",INDEX(Apparitions!$G$1:$G$5001,$A442)&amp;"")</f>
        <v/>
      </c>
      <c r="J442" s="19" t="str">
        <f aca="false">IF($A442="","",INDEX(Apparitions!$M$1:$M$5001,$A442)&amp;"")</f>
        <v/>
      </c>
      <c r="K442" s="21" t="str">
        <f aca="false">IF($A442="","",INDEX(Apparitions!$K$1:$K$5001,$A442))</f>
        <v/>
      </c>
      <c r="L442" s="22" t="str">
        <f aca="false">IF($A442="","",INDEX(Apparitions!$E$1:$E$5001,$A442)&amp;"")</f>
        <v/>
      </c>
      <c r="M442" s="19" t="str">
        <f aca="false">IF($A442="","",INDEX(Apparitions!$F$1:$F$5001,$A442)&amp;"")</f>
        <v/>
      </c>
      <c r="O442" s="23" t="n">
        <f aca="false">IF(I442="",0,IF(COUNTIF(I$16:I442,I442)=1,1,0))</f>
        <v>0</v>
      </c>
      <c r="P442" s="23" t="n">
        <f aca="false">IF(F442="",0,IF(COUNTIF(F$16:F442,F442)=1,1,0))</f>
        <v>0</v>
      </c>
      <c r="Q442" s="0" t="str">
        <f aca="false">IF(B442="","",B442&amp;"|"&amp;C442)</f>
        <v/>
      </c>
      <c r="R442" s="23" t="n">
        <f aca="false">IF(Q442="",0,IF(COUNTIF(Q$16:Q442,Q442)=1,1,0))</f>
        <v>0</v>
      </c>
    </row>
    <row r="443" customFormat="false" ht="15" hidden="false" customHeight="false" outlineLevel="0" collapsed="false">
      <c r="A443" s="0" t="str">
        <f aca="false">IFERROR(MATCH(428,Apparitions!$N$1:$N$5001,0),"")</f>
        <v/>
      </c>
      <c r="B443" s="19" t="str">
        <f aca="false">IF($A443="","",INDEX(Apparitions!$A$1:$A$5001,$A443)&amp;"")</f>
        <v/>
      </c>
      <c r="C443" s="19" t="str">
        <f aca="false">IF($A443="","",INDEX(Apparitions!$B$1:$B$5001,$A443)&amp;"")</f>
        <v/>
      </c>
      <c r="D443" s="20" t="str">
        <f aca="false">IF($A443="","",INDEX(Apparitions!$L$1:$L$5001,$A443))</f>
        <v/>
      </c>
      <c r="E443" s="19" t="str">
        <f aca="false">IF($A443="","",INDEX(Apparitions!$C$1:$C$5001,$A443)&amp;"")</f>
        <v/>
      </c>
      <c r="F443" s="19" t="str">
        <f aca="false">IF($A443="","",INDEX(Apparitions!$H$1:$H$5001,$A443)&amp;"")</f>
        <v/>
      </c>
      <c r="G443" s="19" t="str">
        <f aca="false">IF($A443="","",INDEX(Apparitions!$I$1:$I$5001,$A443)&amp;"")</f>
        <v/>
      </c>
      <c r="H443" s="19" t="str">
        <f aca="false">IF($A443="","",INDEX(Apparitions!$J$1:$J$5001,$A443)&amp;"")</f>
        <v/>
      </c>
      <c r="I443" s="19" t="str">
        <f aca="false">IF($A443="","",INDEX(Apparitions!$G$1:$G$5001,$A443)&amp;"")</f>
        <v/>
      </c>
      <c r="J443" s="19" t="str">
        <f aca="false">IF($A443="","",INDEX(Apparitions!$M$1:$M$5001,$A443)&amp;"")</f>
        <v/>
      </c>
      <c r="K443" s="21" t="str">
        <f aca="false">IF($A443="","",INDEX(Apparitions!$K$1:$K$5001,$A443))</f>
        <v/>
      </c>
      <c r="L443" s="22" t="str">
        <f aca="false">IF($A443="","",INDEX(Apparitions!$E$1:$E$5001,$A443)&amp;"")</f>
        <v/>
      </c>
      <c r="M443" s="19" t="str">
        <f aca="false">IF($A443="","",INDEX(Apparitions!$F$1:$F$5001,$A443)&amp;"")</f>
        <v/>
      </c>
      <c r="O443" s="23" t="n">
        <f aca="false">IF(I443="",0,IF(COUNTIF(I$16:I443,I443)=1,1,0))</f>
        <v>0</v>
      </c>
      <c r="P443" s="23" t="n">
        <f aca="false">IF(F443="",0,IF(COUNTIF(F$16:F443,F443)=1,1,0))</f>
        <v>0</v>
      </c>
      <c r="Q443" s="0" t="str">
        <f aca="false">IF(B443="","",B443&amp;"|"&amp;C443)</f>
        <v/>
      </c>
      <c r="R443" s="23" t="n">
        <f aca="false">IF(Q443="",0,IF(COUNTIF(Q$16:Q443,Q443)=1,1,0))</f>
        <v>0</v>
      </c>
    </row>
    <row r="444" customFormat="false" ht="15" hidden="false" customHeight="false" outlineLevel="0" collapsed="false">
      <c r="A444" s="0" t="str">
        <f aca="false">IFERROR(MATCH(429,Apparitions!$N$1:$N$5001,0),"")</f>
        <v/>
      </c>
      <c r="B444" s="19" t="str">
        <f aca="false">IF($A444="","",INDEX(Apparitions!$A$1:$A$5001,$A444)&amp;"")</f>
        <v/>
      </c>
      <c r="C444" s="19" t="str">
        <f aca="false">IF($A444="","",INDEX(Apparitions!$B$1:$B$5001,$A444)&amp;"")</f>
        <v/>
      </c>
      <c r="D444" s="20" t="str">
        <f aca="false">IF($A444="","",INDEX(Apparitions!$L$1:$L$5001,$A444))</f>
        <v/>
      </c>
      <c r="E444" s="19" t="str">
        <f aca="false">IF($A444="","",INDEX(Apparitions!$C$1:$C$5001,$A444)&amp;"")</f>
        <v/>
      </c>
      <c r="F444" s="19" t="str">
        <f aca="false">IF($A444="","",INDEX(Apparitions!$H$1:$H$5001,$A444)&amp;"")</f>
        <v/>
      </c>
      <c r="G444" s="19" t="str">
        <f aca="false">IF($A444="","",INDEX(Apparitions!$I$1:$I$5001,$A444)&amp;"")</f>
        <v/>
      </c>
      <c r="H444" s="19" t="str">
        <f aca="false">IF($A444="","",INDEX(Apparitions!$J$1:$J$5001,$A444)&amp;"")</f>
        <v/>
      </c>
      <c r="I444" s="19" t="str">
        <f aca="false">IF($A444="","",INDEX(Apparitions!$G$1:$G$5001,$A444)&amp;"")</f>
        <v/>
      </c>
      <c r="J444" s="19" t="str">
        <f aca="false">IF($A444="","",INDEX(Apparitions!$M$1:$M$5001,$A444)&amp;"")</f>
        <v/>
      </c>
      <c r="K444" s="21" t="str">
        <f aca="false">IF($A444="","",INDEX(Apparitions!$K$1:$K$5001,$A444))</f>
        <v/>
      </c>
      <c r="L444" s="22" t="str">
        <f aca="false">IF($A444="","",INDEX(Apparitions!$E$1:$E$5001,$A444)&amp;"")</f>
        <v/>
      </c>
      <c r="M444" s="19" t="str">
        <f aca="false">IF($A444="","",INDEX(Apparitions!$F$1:$F$5001,$A444)&amp;"")</f>
        <v/>
      </c>
      <c r="O444" s="23" t="n">
        <f aca="false">IF(I444="",0,IF(COUNTIF(I$16:I444,I444)=1,1,0))</f>
        <v>0</v>
      </c>
      <c r="P444" s="23" t="n">
        <f aca="false">IF(F444="",0,IF(COUNTIF(F$16:F444,F444)=1,1,0))</f>
        <v>0</v>
      </c>
      <c r="Q444" s="0" t="str">
        <f aca="false">IF(B444="","",B444&amp;"|"&amp;C444)</f>
        <v/>
      </c>
      <c r="R444" s="23" t="n">
        <f aca="false">IF(Q444="",0,IF(COUNTIF(Q$16:Q444,Q444)=1,1,0))</f>
        <v>0</v>
      </c>
    </row>
    <row r="445" customFormat="false" ht="15" hidden="false" customHeight="false" outlineLevel="0" collapsed="false">
      <c r="A445" s="0" t="str">
        <f aca="false">IFERROR(MATCH(430,Apparitions!$N$1:$N$5001,0),"")</f>
        <v/>
      </c>
      <c r="B445" s="19" t="str">
        <f aca="false">IF($A445="","",INDEX(Apparitions!$A$1:$A$5001,$A445)&amp;"")</f>
        <v/>
      </c>
      <c r="C445" s="19" t="str">
        <f aca="false">IF($A445="","",INDEX(Apparitions!$B$1:$B$5001,$A445)&amp;"")</f>
        <v/>
      </c>
      <c r="D445" s="20" t="str">
        <f aca="false">IF($A445="","",INDEX(Apparitions!$L$1:$L$5001,$A445))</f>
        <v/>
      </c>
      <c r="E445" s="19" t="str">
        <f aca="false">IF($A445="","",INDEX(Apparitions!$C$1:$C$5001,$A445)&amp;"")</f>
        <v/>
      </c>
      <c r="F445" s="19" t="str">
        <f aca="false">IF($A445="","",INDEX(Apparitions!$H$1:$H$5001,$A445)&amp;"")</f>
        <v/>
      </c>
      <c r="G445" s="19" t="str">
        <f aca="false">IF($A445="","",INDEX(Apparitions!$I$1:$I$5001,$A445)&amp;"")</f>
        <v/>
      </c>
      <c r="H445" s="19" t="str">
        <f aca="false">IF($A445="","",INDEX(Apparitions!$J$1:$J$5001,$A445)&amp;"")</f>
        <v/>
      </c>
      <c r="I445" s="19" t="str">
        <f aca="false">IF($A445="","",INDEX(Apparitions!$G$1:$G$5001,$A445)&amp;"")</f>
        <v/>
      </c>
      <c r="J445" s="19" t="str">
        <f aca="false">IF($A445="","",INDEX(Apparitions!$M$1:$M$5001,$A445)&amp;"")</f>
        <v/>
      </c>
      <c r="K445" s="21" t="str">
        <f aca="false">IF($A445="","",INDEX(Apparitions!$K$1:$K$5001,$A445))</f>
        <v/>
      </c>
      <c r="L445" s="22" t="str">
        <f aca="false">IF($A445="","",INDEX(Apparitions!$E$1:$E$5001,$A445)&amp;"")</f>
        <v/>
      </c>
      <c r="M445" s="19" t="str">
        <f aca="false">IF($A445="","",INDEX(Apparitions!$F$1:$F$5001,$A445)&amp;"")</f>
        <v/>
      </c>
      <c r="O445" s="23" t="n">
        <f aca="false">IF(I445="",0,IF(COUNTIF(I$16:I445,I445)=1,1,0))</f>
        <v>0</v>
      </c>
      <c r="P445" s="23" t="n">
        <f aca="false">IF(F445="",0,IF(COUNTIF(F$16:F445,F445)=1,1,0))</f>
        <v>0</v>
      </c>
      <c r="Q445" s="0" t="str">
        <f aca="false">IF(B445="","",B445&amp;"|"&amp;C445)</f>
        <v/>
      </c>
      <c r="R445" s="23" t="n">
        <f aca="false">IF(Q445="",0,IF(COUNTIF(Q$16:Q445,Q445)=1,1,0))</f>
        <v>0</v>
      </c>
    </row>
    <row r="446" customFormat="false" ht="15" hidden="false" customHeight="false" outlineLevel="0" collapsed="false">
      <c r="A446" s="0" t="str">
        <f aca="false">IFERROR(MATCH(431,Apparitions!$N$1:$N$5001,0),"")</f>
        <v/>
      </c>
      <c r="B446" s="19" t="str">
        <f aca="false">IF($A446="","",INDEX(Apparitions!$A$1:$A$5001,$A446)&amp;"")</f>
        <v/>
      </c>
      <c r="C446" s="19" t="str">
        <f aca="false">IF($A446="","",INDEX(Apparitions!$B$1:$B$5001,$A446)&amp;"")</f>
        <v/>
      </c>
      <c r="D446" s="20" t="str">
        <f aca="false">IF($A446="","",INDEX(Apparitions!$L$1:$L$5001,$A446))</f>
        <v/>
      </c>
      <c r="E446" s="19" t="str">
        <f aca="false">IF($A446="","",INDEX(Apparitions!$C$1:$C$5001,$A446)&amp;"")</f>
        <v/>
      </c>
      <c r="F446" s="19" t="str">
        <f aca="false">IF($A446="","",INDEX(Apparitions!$H$1:$H$5001,$A446)&amp;"")</f>
        <v/>
      </c>
      <c r="G446" s="19" t="str">
        <f aca="false">IF($A446="","",INDEX(Apparitions!$I$1:$I$5001,$A446)&amp;"")</f>
        <v/>
      </c>
      <c r="H446" s="19" t="str">
        <f aca="false">IF($A446="","",INDEX(Apparitions!$J$1:$J$5001,$A446)&amp;"")</f>
        <v/>
      </c>
      <c r="I446" s="19" t="str">
        <f aca="false">IF($A446="","",INDEX(Apparitions!$G$1:$G$5001,$A446)&amp;"")</f>
        <v/>
      </c>
      <c r="J446" s="19" t="str">
        <f aca="false">IF($A446="","",INDEX(Apparitions!$M$1:$M$5001,$A446)&amp;"")</f>
        <v/>
      </c>
      <c r="K446" s="21" t="str">
        <f aca="false">IF($A446="","",INDEX(Apparitions!$K$1:$K$5001,$A446))</f>
        <v/>
      </c>
      <c r="L446" s="22" t="str">
        <f aca="false">IF($A446="","",INDEX(Apparitions!$E$1:$E$5001,$A446)&amp;"")</f>
        <v/>
      </c>
      <c r="M446" s="19" t="str">
        <f aca="false">IF($A446="","",INDEX(Apparitions!$F$1:$F$5001,$A446)&amp;"")</f>
        <v/>
      </c>
      <c r="O446" s="23" t="n">
        <f aca="false">IF(I446="",0,IF(COUNTIF(I$16:I446,I446)=1,1,0))</f>
        <v>0</v>
      </c>
      <c r="P446" s="23" t="n">
        <f aca="false">IF(F446="",0,IF(COUNTIF(F$16:F446,F446)=1,1,0))</f>
        <v>0</v>
      </c>
      <c r="Q446" s="0" t="str">
        <f aca="false">IF(B446="","",B446&amp;"|"&amp;C446)</f>
        <v/>
      </c>
      <c r="R446" s="23" t="n">
        <f aca="false">IF(Q446="",0,IF(COUNTIF(Q$16:Q446,Q446)=1,1,0))</f>
        <v>0</v>
      </c>
    </row>
    <row r="447" customFormat="false" ht="15" hidden="false" customHeight="false" outlineLevel="0" collapsed="false">
      <c r="A447" s="0" t="str">
        <f aca="false">IFERROR(MATCH(432,Apparitions!$N$1:$N$5001,0),"")</f>
        <v/>
      </c>
      <c r="B447" s="19" t="str">
        <f aca="false">IF($A447="","",INDEX(Apparitions!$A$1:$A$5001,$A447)&amp;"")</f>
        <v/>
      </c>
      <c r="C447" s="19" t="str">
        <f aca="false">IF($A447="","",INDEX(Apparitions!$B$1:$B$5001,$A447)&amp;"")</f>
        <v/>
      </c>
      <c r="D447" s="20" t="str">
        <f aca="false">IF($A447="","",INDEX(Apparitions!$L$1:$L$5001,$A447))</f>
        <v/>
      </c>
      <c r="E447" s="19" t="str">
        <f aca="false">IF($A447="","",INDEX(Apparitions!$C$1:$C$5001,$A447)&amp;"")</f>
        <v/>
      </c>
      <c r="F447" s="19" t="str">
        <f aca="false">IF($A447="","",INDEX(Apparitions!$H$1:$H$5001,$A447)&amp;"")</f>
        <v/>
      </c>
      <c r="G447" s="19" t="str">
        <f aca="false">IF($A447="","",INDEX(Apparitions!$I$1:$I$5001,$A447)&amp;"")</f>
        <v/>
      </c>
      <c r="H447" s="19" t="str">
        <f aca="false">IF($A447="","",INDEX(Apparitions!$J$1:$J$5001,$A447)&amp;"")</f>
        <v/>
      </c>
      <c r="I447" s="19" t="str">
        <f aca="false">IF($A447="","",INDEX(Apparitions!$G$1:$G$5001,$A447)&amp;"")</f>
        <v/>
      </c>
      <c r="J447" s="19" t="str">
        <f aca="false">IF($A447="","",INDEX(Apparitions!$M$1:$M$5001,$A447)&amp;"")</f>
        <v/>
      </c>
      <c r="K447" s="21" t="str">
        <f aca="false">IF($A447="","",INDEX(Apparitions!$K$1:$K$5001,$A447))</f>
        <v/>
      </c>
      <c r="L447" s="22" t="str">
        <f aca="false">IF($A447="","",INDEX(Apparitions!$E$1:$E$5001,$A447)&amp;"")</f>
        <v/>
      </c>
      <c r="M447" s="19" t="str">
        <f aca="false">IF($A447="","",INDEX(Apparitions!$F$1:$F$5001,$A447)&amp;"")</f>
        <v/>
      </c>
      <c r="O447" s="23" t="n">
        <f aca="false">IF(I447="",0,IF(COUNTIF(I$16:I447,I447)=1,1,0))</f>
        <v>0</v>
      </c>
      <c r="P447" s="23" t="n">
        <f aca="false">IF(F447="",0,IF(COUNTIF(F$16:F447,F447)=1,1,0))</f>
        <v>0</v>
      </c>
      <c r="Q447" s="0" t="str">
        <f aca="false">IF(B447="","",B447&amp;"|"&amp;C447)</f>
        <v/>
      </c>
      <c r="R447" s="23" t="n">
        <f aca="false">IF(Q447="",0,IF(COUNTIF(Q$16:Q447,Q447)=1,1,0))</f>
        <v>0</v>
      </c>
    </row>
    <row r="448" customFormat="false" ht="15" hidden="false" customHeight="false" outlineLevel="0" collapsed="false">
      <c r="A448" s="0" t="str">
        <f aca="false">IFERROR(MATCH(433,Apparitions!$N$1:$N$5001,0),"")</f>
        <v/>
      </c>
      <c r="B448" s="19" t="str">
        <f aca="false">IF($A448="","",INDEX(Apparitions!$A$1:$A$5001,$A448)&amp;"")</f>
        <v/>
      </c>
      <c r="C448" s="19" t="str">
        <f aca="false">IF($A448="","",INDEX(Apparitions!$B$1:$B$5001,$A448)&amp;"")</f>
        <v/>
      </c>
      <c r="D448" s="20" t="str">
        <f aca="false">IF($A448="","",INDEX(Apparitions!$L$1:$L$5001,$A448))</f>
        <v/>
      </c>
      <c r="E448" s="19" t="str">
        <f aca="false">IF($A448="","",INDEX(Apparitions!$C$1:$C$5001,$A448)&amp;"")</f>
        <v/>
      </c>
      <c r="F448" s="19" t="str">
        <f aca="false">IF($A448="","",INDEX(Apparitions!$H$1:$H$5001,$A448)&amp;"")</f>
        <v/>
      </c>
      <c r="G448" s="19" t="str">
        <f aca="false">IF($A448="","",INDEX(Apparitions!$I$1:$I$5001,$A448)&amp;"")</f>
        <v/>
      </c>
      <c r="H448" s="19" t="str">
        <f aca="false">IF($A448="","",INDEX(Apparitions!$J$1:$J$5001,$A448)&amp;"")</f>
        <v/>
      </c>
      <c r="I448" s="19" t="str">
        <f aca="false">IF($A448="","",INDEX(Apparitions!$G$1:$G$5001,$A448)&amp;"")</f>
        <v/>
      </c>
      <c r="J448" s="19" t="str">
        <f aca="false">IF($A448="","",INDEX(Apparitions!$M$1:$M$5001,$A448)&amp;"")</f>
        <v/>
      </c>
      <c r="K448" s="21" t="str">
        <f aca="false">IF($A448="","",INDEX(Apparitions!$K$1:$K$5001,$A448))</f>
        <v/>
      </c>
      <c r="L448" s="22" t="str">
        <f aca="false">IF($A448="","",INDEX(Apparitions!$E$1:$E$5001,$A448)&amp;"")</f>
        <v/>
      </c>
      <c r="M448" s="19" t="str">
        <f aca="false">IF($A448="","",INDEX(Apparitions!$F$1:$F$5001,$A448)&amp;"")</f>
        <v/>
      </c>
      <c r="O448" s="23" t="n">
        <f aca="false">IF(I448="",0,IF(COUNTIF(I$16:I448,I448)=1,1,0))</f>
        <v>0</v>
      </c>
      <c r="P448" s="23" t="n">
        <f aca="false">IF(F448="",0,IF(COUNTIF(F$16:F448,F448)=1,1,0))</f>
        <v>0</v>
      </c>
      <c r="Q448" s="0" t="str">
        <f aca="false">IF(B448="","",B448&amp;"|"&amp;C448)</f>
        <v/>
      </c>
      <c r="R448" s="23" t="n">
        <f aca="false">IF(Q448="",0,IF(COUNTIF(Q$16:Q448,Q448)=1,1,0))</f>
        <v>0</v>
      </c>
    </row>
    <row r="449" customFormat="false" ht="15" hidden="false" customHeight="false" outlineLevel="0" collapsed="false">
      <c r="A449" s="0" t="str">
        <f aca="false">IFERROR(MATCH(434,Apparitions!$N$1:$N$5001,0),"")</f>
        <v/>
      </c>
      <c r="B449" s="19" t="str">
        <f aca="false">IF($A449="","",INDEX(Apparitions!$A$1:$A$5001,$A449)&amp;"")</f>
        <v/>
      </c>
      <c r="C449" s="19" t="str">
        <f aca="false">IF($A449="","",INDEX(Apparitions!$B$1:$B$5001,$A449)&amp;"")</f>
        <v/>
      </c>
      <c r="D449" s="20" t="str">
        <f aca="false">IF($A449="","",INDEX(Apparitions!$L$1:$L$5001,$A449))</f>
        <v/>
      </c>
      <c r="E449" s="19" t="str">
        <f aca="false">IF($A449="","",INDEX(Apparitions!$C$1:$C$5001,$A449)&amp;"")</f>
        <v/>
      </c>
      <c r="F449" s="19" t="str">
        <f aca="false">IF($A449="","",INDEX(Apparitions!$H$1:$H$5001,$A449)&amp;"")</f>
        <v/>
      </c>
      <c r="G449" s="19" t="str">
        <f aca="false">IF($A449="","",INDEX(Apparitions!$I$1:$I$5001,$A449)&amp;"")</f>
        <v/>
      </c>
      <c r="H449" s="19" t="str">
        <f aca="false">IF($A449="","",INDEX(Apparitions!$J$1:$J$5001,$A449)&amp;"")</f>
        <v/>
      </c>
      <c r="I449" s="19" t="str">
        <f aca="false">IF($A449="","",INDEX(Apparitions!$G$1:$G$5001,$A449)&amp;"")</f>
        <v/>
      </c>
      <c r="J449" s="19" t="str">
        <f aca="false">IF($A449="","",INDEX(Apparitions!$M$1:$M$5001,$A449)&amp;"")</f>
        <v/>
      </c>
      <c r="K449" s="21" t="str">
        <f aca="false">IF($A449="","",INDEX(Apparitions!$K$1:$K$5001,$A449))</f>
        <v/>
      </c>
      <c r="L449" s="22" t="str">
        <f aca="false">IF($A449="","",INDEX(Apparitions!$E$1:$E$5001,$A449)&amp;"")</f>
        <v/>
      </c>
      <c r="M449" s="19" t="str">
        <f aca="false">IF($A449="","",INDEX(Apparitions!$F$1:$F$5001,$A449)&amp;"")</f>
        <v/>
      </c>
      <c r="O449" s="23" t="n">
        <f aca="false">IF(I449="",0,IF(COUNTIF(I$16:I449,I449)=1,1,0))</f>
        <v>0</v>
      </c>
      <c r="P449" s="23" t="n">
        <f aca="false">IF(F449="",0,IF(COUNTIF(F$16:F449,F449)=1,1,0))</f>
        <v>0</v>
      </c>
      <c r="Q449" s="0" t="str">
        <f aca="false">IF(B449="","",B449&amp;"|"&amp;C449)</f>
        <v/>
      </c>
      <c r="R449" s="23" t="n">
        <f aca="false">IF(Q449="",0,IF(COUNTIF(Q$16:Q449,Q449)=1,1,0))</f>
        <v>0</v>
      </c>
    </row>
    <row r="450" customFormat="false" ht="15" hidden="false" customHeight="false" outlineLevel="0" collapsed="false">
      <c r="A450" s="0" t="str">
        <f aca="false">IFERROR(MATCH(435,Apparitions!$N$1:$N$5001,0),"")</f>
        <v/>
      </c>
      <c r="B450" s="19" t="str">
        <f aca="false">IF($A450="","",INDEX(Apparitions!$A$1:$A$5001,$A450)&amp;"")</f>
        <v/>
      </c>
      <c r="C450" s="19" t="str">
        <f aca="false">IF($A450="","",INDEX(Apparitions!$B$1:$B$5001,$A450)&amp;"")</f>
        <v/>
      </c>
      <c r="D450" s="20" t="str">
        <f aca="false">IF($A450="","",INDEX(Apparitions!$L$1:$L$5001,$A450))</f>
        <v/>
      </c>
      <c r="E450" s="19" t="str">
        <f aca="false">IF($A450="","",INDEX(Apparitions!$C$1:$C$5001,$A450)&amp;"")</f>
        <v/>
      </c>
      <c r="F450" s="19" t="str">
        <f aca="false">IF($A450="","",INDEX(Apparitions!$H$1:$H$5001,$A450)&amp;"")</f>
        <v/>
      </c>
      <c r="G450" s="19" t="str">
        <f aca="false">IF($A450="","",INDEX(Apparitions!$I$1:$I$5001,$A450)&amp;"")</f>
        <v/>
      </c>
      <c r="H450" s="19" t="str">
        <f aca="false">IF($A450="","",INDEX(Apparitions!$J$1:$J$5001,$A450)&amp;"")</f>
        <v/>
      </c>
      <c r="I450" s="19" t="str">
        <f aca="false">IF($A450="","",INDEX(Apparitions!$G$1:$G$5001,$A450)&amp;"")</f>
        <v/>
      </c>
      <c r="J450" s="19" t="str">
        <f aca="false">IF($A450="","",INDEX(Apparitions!$M$1:$M$5001,$A450)&amp;"")</f>
        <v/>
      </c>
      <c r="K450" s="21" t="str">
        <f aca="false">IF($A450="","",INDEX(Apparitions!$K$1:$K$5001,$A450))</f>
        <v/>
      </c>
      <c r="L450" s="22" t="str">
        <f aca="false">IF($A450="","",INDEX(Apparitions!$E$1:$E$5001,$A450)&amp;"")</f>
        <v/>
      </c>
      <c r="M450" s="19" t="str">
        <f aca="false">IF($A450="","",INDEX(Apparitions!$F$1:$F$5001,$A450)&amp;"")</f>
        <v/>
      </c>
      <c r="O450" s="23" t="n">
        <f aca="false">IF(I450="",0,IF(COUNTIF(I$16:I450,I450)=1,1,0))</f>
        <v>0</v>
      </c>
      <c r="P450" s="23" t="n">
        <f aca="false">IF(F450="",0,IF(COUNTIF(F$16:F450,F450)=1,1,0))</f>
        <v>0</v>
      </c>
      <c r="Q450" s="0" t="str">
        <f aca="false">IF(B450="","",B450&amp;"|"&amp;C450)</f>
        <v/>
      </c>
      <c r="R450" s="23" t="n">
        <f aca="false">IF(Q450="",0,IF(COUNTIF(Q$16:Q450,Q450)=1,1,0))</f>
        <v>0</v>
      </c>
    </row>
    <row r="451" customFormat="false" ht="15" hidden="false" customHeight="false" outlineLevel="0" collapsed="false">
      <c r="A451" s="0" t="str">
        <f aca="false">IFERROR(MATCH(436,Apparitions!$N$1:$N$5001,0),"")</f>
        <v/>
      </c>
      <c r="B451" s="19" t="str">
        <f aca="false">IF($A451="","",INDEX(Apparitions!$A$1:$A$5001,$A451)&amp;"")</f>
        <v/>
      </c>
      <c r="C451" s="19" t="str">
        <f aca="false">IF($A451="","",INDEX(Apparitions!$B$1:$B$5001,$A451)&amp;"")</f>
        <v/>
      </c>
      <c r="D451" s="20" t="str">
        <f aca="false">IF($A451="","",INDEX(Apparitions!$L$1:$L$5001,$A451))</f>
        <v/>
      </c>
      <c r="E451" s="19" t="str">
        <f aca="false">IF($A451="","",INDEX(Apparitions!$C$1:$C$5001,$A451)&amp;"")</f>
        <v/>
      </c>
      <c r="F451" s="19" t="str">
        <f aca="false">IF($A451="","",INDEX(Apparitions!$H$1:$H$5001,$A451)&amp;"")</f>
        <v/>
      </c>
      <c r="G451" s="19" t="str">
        <f aca="false">IF($A451="","",INDEX(Apparitions!$I$1:$I$5001,$A451)&amp;"")</f>
        <v/>
      </c>
      <c r="H451" s="19" t="str">
        <f aca="false">IF($A451="","",INDEX(Apparitions!$J$1:$J$5001,$A451)&amp;"")</f>
        <v/>
      </c>
      <c r="I451" s="19" t="str">
        <f aca="false">IF($A451="","",INDEX(Apparitions!$G$1:$G$5001,$A451)&amp;"")</f>
        <v/>
      </c>
      <c r="J451" s="19" t="str">
        <f aca="false">IF($A451="","",INDEX(Apparitions!$M$1:$M$5001,$A451)&amp;"")</f>
        <v/>
      </c>
      <c r="K451" s="21" t="str">
        <f aca="false">IF($A451="","",INDEX(Apparitions!$K$1:$K$5001,$A451))</f>
        <v/>
      </c>
      <c r="L451" s="22" t="str">
        <f aca="false">IF($A451="","",INDEX(Apparitions!$E$1:$E$5001,$A451)&amp;"")</f>
        <v/>
      </c>
      <c r="M451" s="19" t="str">
        <f aca="false">IF($A451="","",INDEX(Apparitions!$F$1:$F$5001,$A451)&amp;"")</f>
        <v/>
      </c>
      <c r="O451" s="23" t="n">
        <f aca="false">IF(I451="",0,IF(COUNTIF(I$16:I451,I451)=1,1,0))</f>
        <v>0</v>
      </c>
      <c r="P451" s="23" t="n">
        <f aca="false">IF(F451="",0,IF(COUNTIF(F$16:F451,F451)=1,1,0))</f>
        <v>0</v>
      </c>
      <c r="Q451" s="0" t="str">
        <f aca="false">IF(B451="","",B451&amp;"|"&amp;C451)</f>
        <v/>
      </c>
      <c r="R451" s="23" t="n">
        <f aca="false">IF(Q451="",0,IF(COUNTIF(Q$16:Q451,Q451)=1,1,0))</f>
        <v>0</v>
      </c>
    </row>
    <row r="452" customFormat="false" ht="15" hidden="false" customHeight="false" outlineLevel="0" collapsed="false">
      <c r="A452" s="0" t="str">
        <f aca="false">IFERROR(MATCH(437,Apparitions!$N$1:$N$5001,0),"")</f>
        <v/>
      </c>
      <c r="B452" s="19" t="str">
        <f aca="false">IF($A452="","",INDEX(Apparitions!$A$1:$A$5001,$A452)&amp;"")</f>
        <v/>
      </c>
      <c r="C452" s="19" t="str">
        <f aca="false">IF($A452="","",INDEX(Apparitions!$B$1:$B$5001,$A452)&amp;"")</f>
        <v/>
      </c>
      <c r="D452" s="20" t="str">
        <f aca="false">IF($A452="","",INDEX(Apparitions!$L$1:$L$5001,$A452))</f>
        <v/>
      </c>
      <c r="E452" s="19" t="str">
        <f aca="false">IF($A452="","",INDEX(Apparitions!$C$1:$C$5001,$A452)&amp;"")</f>
        <v/>
      </c>
      <c r="F452" s="19" t="str">
        <f aca="false">IF($A452="","",INDEX(Apparitions!$H$1:$H$5001,$A452)&amp;"")</f>
        <v/>
      </c>
      <c r="G452" s="19" t="str">
        <f aca="false">IF($A452="","",INDEX(Apparitions!$I$1:$I$5001,$A452)&amp;"")</f>
        <v/>
      </c>
      <c r="H452" s="19" t="str">
        <f aca="false">IF($A452="","",INDEX(Apparitions!$J$1:$J$5001,$A452)&amp;"")</f>
        <v/>
      </c>
      <c r="I452" s="19" t="str">
        <f aca="false">IF($A452="","",INDEX(Apparitions!$G$1:$G$5001,$A452)&amp;"")</f>
        <v/>
      </c>
      <c r="J452" s="19" t="str">
        <f aca="false">IF($A452="","",INDEX(Apparitions!$M$1:$M$5001,$A452)&amp;"")</f>
        <v/>
      </c>
      <c r="K452" s="21" t="str">
        <f aca="false">IF($A452="","",INDEX(Apparitions!$K$1:$K$5001,$A452))</f>
        <v/>
      </c>
      <c r="L452" s="22" t="str">
        <f aca="false">IF($A452="","",INDEX(Apparitions!$E$1:$E$5001,$A452)&amp;"")</f>
        <v/>
      </c>
      <c r="M452" s="19" t="str">
        <f aca="false">IF($A452="","",INDEX(Apparitions!$F$1:$F$5001,$A452)&amp;"")</f>
        <v/>
      </c>
      <c r="O452" s="23" t="n">
        <f aca="false">IF(I452="",0,IF(COUNTIF(I$16:I452,I452)=1,1,0))</f>
        <v>0</v>
      </c>
      <c r="P452" s="23" t="n">
        <f aca="false">IF(F452="",0,IF(COUNTIF(F$16:F452,F452)=1,1,0))</f>
        <v>0</v>
      </c>
      <c r="Q452" s="0" t="str">
        <f aca="false">IF(B452="","",B452&amp;"|"&amp;C452)</f>
        <v/>
      </c>
      <c r="R452" s="23" t="n">
        <f aca="false">IF(Q452="",0,IF(COUNTIF(Q$16:Q452,Q452)=1,1,0))</f>
        <v>0</v>
      </c>
    </row>
    <row r="453" customFormat="false" ht="15" hidden="false" customHeight="false" outlineLevel="0" collapsed="false">
      <c r="A453" s="0" t="str">
        <f aca="false">IFERROR(MATCH(438,Apparitions!$N$1:$N$5001,0),"")</f>
        <v/>
      </c>
      <c r="B453" s="19" t="str">
        <f aca="false">IF($A453="","",INDEX(Apparitions!$A$1:$A$5001,$A453)&amp;"")</f>
        <v/>
      </c>
      <c r="C453" s="19" t="str">
        <f aca="false">IF($A453="","",INDEX(Apparitions!$B$1:$B$5001,$A453)&amp;"")</f>
        <v/>
      </c>
      <c r="D453" s="20" t="str">
        <f aca="false">IF($A453="","",INDEX(Apparitions!$L$1:$L$5001,$A453))</f>
        <v/>
      </c>
      <c r="E453" s="19" t="str">
        <f aca="false">IF($A453="","",INDEX(Apparitions!$C$1:$C$5001,$A453)&amp;"")</f>
        <v/>
      </c>
      <c r="F453" s="19" t="str">
        <f aca="false">IF($A453="","",INDEX(Apparitions!$H$1:$H$5001,$A453)&amp;"")</f>
        <v/>
      </c>
      <c r="G453" s="19" t="str">
        <f aca="false">IF($A453="","",INDEX(Apparitions!$I$1:$I$5001,$A453)&amp;"")</f>
        <v/>
      </c>
      <c r="H453" s="19" t="str">
        <f aca="false">IF($A453="","",INDEX(Apparitions!$J$1:$J$5001,$A453)&amp;"")</f>
        <v/>
      </c>
      <c r="I453" s="19" t="str">
        <f aca="false">IF($A453="","",INDEX(Apparitions!$G$1:$G$5001,$A453)&amp;"")</f>
        <v/>
      </c>
      <c r="J453" s="19" t="str">
        <f aca="false">IF($A453="","",INDEX(Apparitions!$M$1:$M$5001,$A453)&amp;"")</f>
        <v/>
      </c>
      <c r="K453" s="21" t="str">
        <f aca="false">IF($A453="","",INDEX(Apparitions!$K$1:$K$5001,$A453))</f>
        <v/>
      </c>
      <c r="L453" s="22" t="str">
        <f aca="false">IF($A453="","",INDEX(Apparitions!$E$1:$E$5001,$A453)&amp;"")</f>
        <v/>
      </c>
      <c r="M453" s="19" t="str">
        <f aca="false">IF($A453="","",INDEX(Apparitions!$F$1:$F$5001,$A453)&amp;"")</f>
        <v/>
      </c>
      <c r="O453" s="23" t="n">
        <f aca="false">IF(I453="",0,IF(COUNTIF(I$16:I453,I453)=1,1,0))</f>
        <v>0</v>
      </c>
      <c r="P453" s="23" t="n">
        <f aca="false">IF(F453="",0,IF(COUNTIF(F$16:F453,F453)=1,1,0))</f>
        <v>0</v>
      </c>
      <c r="Q453" s="0" t="str">
        <f aca="false">IF(B453="","",B453&amp;"|"&amp;C453)</f>
        <v/>
      </c>
      <c r="R453" s="23" t="n">
        <f aca="false">IF(Q453="",0,IF(COUNTIF(Q$16:Q453,Q453)=1,1,0))</f>
        <v>0</v>
      </c>
    </row>
    <row r="454" customFormat="false" ht="15" hidden="false" customHeight="false" outlineLevel="0" collapsed="false">
      <c r="A454" s="0" t="str">
        <f aca="false">IFERROR(MATCH(439,Apparitions!$N$1:$N$5001,0),"")</f>
        <v/>
      </c>
      <c r="B454" s="19" t="str">
        <f aca="false">IF($A454="","",INDEX(Apparitions!$A$1:$A$5001,$A454)&amp;"")</f>
        <v/>
      </c>
      <c r="C454" s="19" t="str">
        <f aca="false">IF($A454="","",INDEX(Apparitions!$B$1:$B$5001,$A454)&amp;"")</f>
        <v/>
      </c>
      <c r="D454" s="20" t="str">
        <f aca="false">IF($A454="","",INDEX(Apparitions!$L$1:$L$5001,$A454))</f>
        <v/>
      </c>
      <c r="E454" s="19" t="str">
        <f aca="false">IF($A454="","",INDEX(Apparitions!$C$1:$C$5001,$A454)&amp;"")</f>
        <v/>
      </c>
      <c r="F454" s="19" t="str">
        <f aca="false">IF($A454="","",INDEX(Apparitions!$H$1:$H$5001,$A454)&amp;"")</f>
        <v/>
      </c>
      <c r="G454" s="19" t="str">
        <f aca="false">IF($A454="","",INDEX(Apparitions!$I$1:$I$5001,$A454)&amp;"")</f>
        <v/>
      </c>
      <c r="H454" s="19" t="str">
        <f aca="false">IF($A454="","",INDEX(Apparitions!$J$1:$J$5001,$A454)&amp;"")</f>
        <v/>
      </c>
      <c r="I454" s="19" t="str">
        <f aca="false">IF($A454="","",INDEX(Apparitions!$G$1:$G$5001,$A454)&amp;"")</f>
        <v/>
      </c>
      <c r="J454" s="19" t="str">
        <f aca="false">IF($A454="","",INDEX(Apparitions!$M$1:$M$5001,$A454)&amp;"")</f>
        <v/>
      </c>
      <c r="K454" s="21" t="str">
        <f aca="false">IF($A454="","",INDEX(Apparitions!$K$1:$K$5001,$A454))</f>
        <v/>
      </c>
      <c r="L454" s="22" t="str">
        <f aca="false">IF($A454="","",INDEX(Apparitions!$E$1:$E$5001,$A454)&amp;"")</f>
        <v/>
      </c>
      <c r="M454" s="19" t="str">
        <f aca="false">IF($A454="","",INDEX(Apparitions!$F$1:$F$5001,$A454)&amp;"")</f>
        <v/>
      </c>
      <c r="O454" s="23" t="n">
        <f aca="false">IF(I454="",0,IF(COUNTIF(I$16:I454,I454)=1,1,0))</f>
        <v>0</v>
      </c>
      <c r="P454" s="23" t="n">
        <f aca="false">IF(F454="",0,IF(COUNTIF(F$16:F454,F454)=1,1,0))</f>
        <v>0</v>
      </c>
      <c r="Q454" s="0" t="str">
        <f aca="false">IF(B454="","",B454&amp;"|"&amp;C454)</f>
        <v/>
      </c>
      <c r="R454" s="23" t="n">
        <f aca="false">IF(Q454="",0,IF(COUNTIF(Q$16:Q454,Q454)=1,1,0))</f>
        <v>0</v>
      </c>
    </row>
    <row r="455" customFormat="false" ht="15" hidden="false" customHeight="false" outlineLevel="0" collapsed="false">
      <c r="A455" s="0" t="str">
        <f aca="false">IFERROR(MATCH(440,Apparitions!$N$1:$N$5001,0),"")</f>
        <v/>
      </c>
      <c r="B455" s="19" t="str">
        <f aca="false">IF($A455="","",INDEX(Apparitions!$A$1:$A$5001,$A455)&amp;"")</f>
        <v/>
      </c>
      <c r="C455" s="19" t="str">
        <f aca="false">IF($A455="","",INDEX(Apparitions!$B$1:$B$5001,$A455)&amp;"")</f>
        <v/>
      </c>
      <c r="D455" s="20" t="str">
        <f aca="false">IF($A455="","",INDEX(Apparitions!$L$1:$L$5001,$A455))</f>
        <v/>
      </c>
      <c r="E455" s="19" t="str">
        <f aca="false">IF($A455="","",INDEX(Apparitions!$C$1:$C$5001,$A455)&amp;"")</f>
        <v/>
      </c>
      <c r="F455" s="19" t="str">
        <f aca="false">IF($A455="","",INDEX(Apparitions!$H$1:$H$5001,$A455)&amp;"")</f>
        <v/>
      </c>
      <c r="G455" s="19" t="str">
        <f aca="false">IF($A455="","",INDEX(Apparitions!$I$1:$I$5001,$A455)&amp;"")</f>
        <v/>
      </c>
      <c r="H455" s="19" t="str">
        <f aca="false">IF($A455="","",INDEX(Apparitions!$J$1:$J$5001,$A455)&amp;"")</f>
        <v/>
      </c>
      <c r="I455" s="19" t="str">
        <f aca="false">IF($A455="","",INDEX(Apparitions!$G$1:$G$5001,$A455)&amp;"")</f>
        <v/>
      </c>
      <c r="J455" s="19" t="str">
        <f aca="false">IF($A455="","",INDEX(Apparitions!$M$1:$M$5001,$A455)&amp;"")</f>
        <v/>
      </c>
      <c r="K455" s="21" t="str">
        <f aca="false">IF($A455="","",INDEX(Apparitions!$K$1:$K$5001,$A455))</f>
        <v/>
      </c>
      <c r="L455" s="22" t="str">
        <f aca="false">IF($A455="","",INDEX(Apparitions!$E$1:$E$5001,$A455)&amp;"")</f>
        <v/>
      </c>
      <c r="M455" s="19" t="str">
        <f aca="false">IF($A455="","",INDEX(Apparitions!$F$1:$F$5001,$A455)&amp;"")</f>
        <v/>
      </c>
      <c r="O455" s="23" t="n">
        <f aca="false">IF(I455="",0,IF(COUNTIF(I$16:I455,I455)=1,1,0))</f>
        <v>0</v>
      </c>
      <c r="P455" s="23" t="n">
        <f aca="false">IF(F455="",0,IF(COUNTIF(F$16:F455,F455)=1,1,0))</f>
        <v>0</v>
      </c>
      <c r="Q455" s="0" t="str">
        <f aca="false">IF(B455="","",B455&amp;"|"&amp;C455)</f>
        <v/>
      </c>
      <c r="R455" s="23" t="n">
        <f aca="false">IF(Q455="",0,IF(COUNTIF(Q$16:Q455,Q455)=1,1,0))</f>
        <v>0</v>
      </c>
    </row>
    <row r="456" customFormat="false" ht="15" hidden="false" customHeight="false" outlineLevel="0" collapsed="false">
      <c r="A456" s="0" t="str">
        <f aca="false">IFERROR(MATCH(441,Apparitions!$N$1:$N$5001,0),"")</f>
        <v/>
      </c>
      <c r="B456" s="19" t="str">
        <f aca="false">IF($A456="","",INDEX(Apparitions!$A$1:$A$5001,$A456)&amp;"")</f>
        <v/>
      </c>
      <c r="C456" s="19" t="str">
        <f aca="false">IF($A456="","",INDEX(Apparitions!$B$1:$B$5001,$A456)&amp;"")</f>
        <v/>
      </c>
      <c r="D456" s="20" t="str">
        <f aca="false">IF($A456="","",INDEX(Apparitions!$L$1:$L$5001,$A456))</f>
        <v/>
      </c>
      <c r="E456" s="19" t="str">
        <f aca="false">IF($A456="","",INDEX(Apparitions!$C$1:$C$5001,$A456)&amp;"")</f>
        <v/>
      </c>
      <c r="F456" s="19" t="str">
        <f aca="false">IF($A456="","",INDEX(Apparitions!$H$1:$H$5001,$A456)&amp;"")</f>
        <v/>
      </c>
      <c r="G456" s="19" t="str">
        <f aca="false">IF($A456="","",INDEX(Apparitions!$I$1:$I$5001,$A456)&amp;"")</f>
        <v/>
      </c>
      <c r="H456" s="19" t="str">
        <f aca="false">IF($A456="","",INDEX(Apparitions!$J$1:$J$5001,$A456)&amp;"")</f>
        <v/>
      </c>
      <c r="I456" s="19" t="str">
        <f aca="false">IF($A456="","",INDEX(Apparitions!$G$1:$G$5001,$A456)&amp;"")</f>
        <v/>
      </c>
      <c r="J456" s="19" t="str">
        <f aca="false">IF($A456="","",INDEX(Apparitions!$M$1:$M$5001,$A456)&amp;"")</f>
        <v/>
      </c>
      <c r="K456" s="21" t="str">
        <f aca="false">IF($A456="","",INDEX(Apparitions!$K$1:$K$5001,$A456))</f>
        <v/>
      </c>
      <c r="L456" s="22" t="str">
        <f aca="false">IF($A456="","",INDEX(Apparitions!$E$1:$E$5001,$A456)&amp;"")</f>
        <v/>
      </c>
      <c r="M456" s="19" t="str">
        <f aca="false">IF($A456="","",INDEX(Apparitions!$F$1:$F$5001,$A456)&amp;"")</f>
        <v/>
      </c>
      <c r="O456" s="23" t="n">
        <f aca="false">IF(I456="",0,IF(COUNTIF(I$16:I456,I456)=1,1,0))</f>
        <v>0</v>
      </c>
      <c r="P456" s="23" t="n">
        <f aca="false">IF(F456="",0,IF(COUNTIF(F$16:F456,F456)=1,1,0))</f>
        <v>0</v>
      </c>
      <c r="Q456" s="0" t="str">
        <f aca="false">IF(B456="","",B456&amp;"|"&amp;C456)</f>
        <v/>
      </c>
      <c r="R456" s="23" t="n">
        <f aca="false">IF(Q456="",0,IF(COUNTIF(Q$16:Q456,Q456)=1,1,0))</f>
        <v>0</v>
      </c>
    </row>
    <row r="457" customFormat="false" ht="15" hidden="false" customHeight="false" outlineLevel="0" collapsed="false">
      <c r="A457" s="0" t="str">
        <f aca="false">IFERROR(MATCH(442,Apparitions!$N$1:$N$5001,0),"")</f>
        <v/>
      </c>
      <c r="B457" s="19" t="str">
        <f aca="false">IF($A457="","",INDEX(Apparitions!$A$1:$A$5001,$A457)&amp;"")</f>
        <v/>
      </c>
      <c r="C457" s="19" t="str">
        <f aca="false">IF($A457="","",INDEX(Apparitions!$B$1:$B$5001,$A457)&amp;"")</f>
        <v/>
      </c>
      <c r="D457" s="20" t="str">
        <f aca="false">IF($A457="","",INDEX(Apparitions!$L$1:$L$5001,$A457))</f>
        <v/>
      </c>
      <c r="E457" s="19" t="str">
        <f aca="false">IF($A457="","",INDEX(Apparitions!$C$1:$C$5001,$A457)&amp;"")</f>
        <v/>
      </c>
      <c r="F457" s="19" t="str">
        <f aca="false">IF($A457="","",INDEX(Apparitions!$H$1:$H$5001,$A457)&amp;"")</f>
        <v/>
      </c>
      <c r="G457" s="19" t="str">
        <f aca="false">IF($A457="","",INDEX(Apparitions!$I$1:$I$5001,$A457)&amp;"")</f>
        <v/>
      </c>
      <c r="H457" s="19" t="str">
        <f aca="false">IF($A457="","",INDEX(Apparitions!$J$1:$J$5001,$A457)&amp;"")</f>
        <v/>
      </c>
      <c r="I457" s="19" t="str">
        <f aca="false">IF($A457="","",INDEX(Apparitions!$G$1:$G$5001,$A457)&amp;"")</f>
        <v/>
      </c>
      <c r="J457" s="19" t="str">
        <f aca="false">IF($A457="","",INDEX(Apparitions!$M$1:$M$5001,$A457)&amp;"")</f>
        <v/>
      </c>
      <c r="K457" s="21" t="str">
        <f aca="false">IF($A457="","",INDEX(Apparitions!$K$1:$K$5001,$A457))</f>
        <v/>
      </c>
      <c r="L457" s="22" t="str">
        <f aca="false">IF($A457="","",INDEX(Apparitions!$E$1:$E$5001,$A457)&amp;"")</f>
        <v/>
      </c>
      <c r="M457" s="19" t="str">
        <f aca="false">IF($A457="","",INDEX(Apparitions!$F$1:$F$5001,$A457)&amp;"")</f>
        <v/>
      </c>
      <c r="O457" s="23" t="n">
        <f aca="false">IF(I457="",0,IF(COUNTIF(I$16:I457,I457)=1,1,0))</f>
        <v>0</v>
      </c>
      <c r="P457" s="23" t="n">
        <f aca="false">IF(F457="",0,IF(COUNTIF(F$16:F457,F457)=1,1,0))</f>
        <v>0</v>
      </c>
      <c r="Q457" s="0" t="str">
        <f aca="false">IF(B457="","",B457&amp;"|"&amp;C457)</f>
        <v/>
      </c>
      <c r="R457" s="23" t="n">
        <f aca="false">IF(Q457="",0,IF(COUNTIF(Q$16:Q457,Q457)=1,1,0))</f>
        <v>0</v>
      </c>
    </row>
    <row r="458" customFormat="false" ht="15" hidden="false" customHeight="false" outlineLevel="0" collapsed="false">
      <c r="A458" s="0" t="str">
        <f aca="false">IFERROR(MATCH(443,Apparitions!$N$1:$N$5001,0),"")</f>
        <v/>
      </c>
      <c r="B458" s="19" t="str">
        <f aca="false">IF($A458="","",INDEX(Apparitions!$A$1:$A$5001,$A458)&amp;"")</f>
        <v/>
      </c>
      <c r="C458" s="19" t="str">
        <f aca="false">IF($A458="","",INDEX(Apparitions!$B$1:$B$5001,$A458)&amp;"")</f>
        <v/>
      </c>
      <c r="D458" s="20" t="str">
        <f aca="false">IF($A458="","",INDEX(Apparitions!$L$1:$L$5001,$A458))</f>
        <v/>
      </c>
      <c r="E458" s="19" t="str">
        <f aca="false">IF($A458="","",INDEX(Apparitions!$C$1:$C$5001,$A458)&amp;"")</f>
        <v/>
      </c>
      <c r="F458" s="19" t="str">
        <f aca="false">IF($A458="","",INDEX(Apparitions!$H$1:$H$5001,$A458)&amp;"")</f>
        <v/>
      </c>
      <c r="G458" s="19" t="str">
        <f aca="false">IF($A458="","",INDEX(Apparitions!$I$1:$I$5001,$A458)&amp;"")</f>
        <v/>
      </c>
      <c r="H458" s="19" t="str">
        <f aca="false">IF($A458="","",INDEX(Apparitions!$J$1:$J$5001,$A458)&amp;"")</f>
        <v/>
      </c>
      <c r="I458" s="19" t="str">
        <f aca="false">IF($A458="","",INDEX(Apparitions!$G$1:$G$5001,$A458)&amp;"")</f>
        <v/>
      </c>
      <c r="J458" s="19" t="str">
        <f aca="false">IF($A458="","",INDEX(Apparitions!$M$1:$M$5001,$A458)&amp;"")</f>
        <v/>
      </c>
      <c r="K458" s="21" t="str">
        <f aca="false">IF($A458="","",INDEX(Apparitions!$K$1:$K$5001,$A458))</f>
        <v/>
      </c>
      <c r="L458" s="22" t="str">
        <f aca="false">IF($A458="","",INDEX(Apparitions!$E$1:$E$5001,$A458)&amp;"")</f>
        <v/>
      </c>
      <c r="M458" s="19" t="str">
        <f aca="false">IF($A458="","",INDEX(Apparitions!$F$1:$F$5001,$A458)&amp;"")</f>
        <v/>
      </c>
      <c r="O458" s="23" t="n">
        <f aca="false">IF(I458="",0,IF(COUNTIF(I$16:I458,I458)=1,1,0))</f>
        <v>0</v>
      </c>
      <c r="P458" s="23" t="n">
        <f aca="false">IF(F458="",0,IF(COUNTIF(F$16:F458,F458)=1,1,0))</f>
        <v>0</v>
      </c>
      <c r="Q458" s="0" t="str">
        <f aca="false">IF(B458="","",B458&amp;"|"&amp;C458)</f>
        <v/>
      </c>
      <c r="R458" s="23" t="n">
        <f aca="false">IF(Q458="",0,IF(COUNTIF(Q$16:Q458,Q458)=1,1,0))</f>
        <v>0</v>
      </c>
    </row>
    <row r="459" customFormat="false" ht="15" hidden="false" customHeight="false" outlineLevel="0" collapsed="false">
      <c r="A459" s="0" t="str">
        <f aca="false">IFERROR(MATCH(444,Apparitions!$N$1:$N$5001,0),"")</f>
        <v/>
      </c>
      <c r="B459" s="19" t="str">
        <f aca="false">IF($A459="","",INDEX(Apparitions!$A$1:$A$5001,$A459)&amp;"")</f>
        <v/>
      </c>
      <c r="C459" s="19" t="str">
        <f aca="false">IF($A459="","",INDEX(Apparitions!$B$1:$B$5001,$A459)&amp;"")</f>
        <v/>
      </c>
      <c r="D459" s="20" t="str">
        <f aca="false">IF($A459="","",INDEX(Apparitions!$L$1:$L$5001,$A459))</f>
        <v/>
      </c>
      <c r="E459" s="19" t="str">
        <f aca="false">IF($A459="","",INDEX(Apparitions!$C$1:$C$5001,$A459)&amp;"")</f>
        <v/>
      </c>
      <c r="F459" s="19" t="str">
        <f aca="false">IF($A459="","",INDEX(Apparitions!$H$1:$H$5001,$A459)&amp;"")</f>
        <v/>
      </c>
      <c r="G459" s="19" t="str">
        <f aca="false">IF($A459="","",INDEX(Apparitions!$I$1:$I$5001,$A459)&amp;"")</f>
        <v/>
      </c>
      <c r="H459" s="19" t="str">
        <f aca="false">IF($A459="","",INDEX(Apparitions!$J$1:$J$5001,$A459)&amp;"")</f>
        <v/>
      </c>
      <c r="I459" s="19" t="str">
        <f aca="false">IF($A459="","",INDEX(Apparitions!$G$1:$G$5001,$A459)&amp;"")</f>
        <v/>
      </c>
      <c r="J459" s="19" t="str">
        <f aca="false">IF($A459="","",INDEX(Apparitions!$M$1:$M$5001,$A459)&amp;"")</f>
        <v/>
      </c>
      <c r="K459" s="21" t="str">
        <f aca="false">IF($A459="","",INDEX(Apparitions!$K$1:$K$5001,$A459))</f>
        <v/>
      </c>
      <c r="L459" s="22" t="str">
        <f aca="false">IF($A459="","",INDEX(Apparitions!$E$1:$E$5001,$A459)&amp;"")</f>
        <v/>
      </c>
      <c r="M459" s="19" t="str">
        <f aca="false">IF($A459="","",INDEX(Apparitions!$F$1:$F$5001,$A459)&amp;"")</f>
        <v/>
      </c>
      <c r="O459" s="23" t="n">
        <f aca="false">IF(I459="",0,IF(COUNTIF(I$16:I459,I459)=1,1,0))</f>
        <v>0</v>
      </c>
      <c r="P459" s="23" t="n">
        <f aca="false">IF(F459="",0,IF(COUNTIF(F$16:F459,F459)=1,1,0))</f>
        <v>0</v>
      </c>
      <c r="Q459" s="0" t="str">
        <f aca="false">IF(B459="","",B459&amp;"|"&amp;C459)</f>
        <v/>
      </c>
      <c r="R459" s="23" t="n">
        <f aca="false">IF(Q459="",0,IF(COUNTIF(Q$16:Q459,Q459)=1,1,0))</f>
        <v>0</v>
      </c>
    </row>
    <row r="460" customFormat="false" ht="15" hidden="false" customHeight="false" outlineLevel="0" collapsed="false">
      <c r="A460" s="0" t="str">
        <f aca="false">IFERROR(MATCH(445,Apparitions!$N$1:$N$5001,0),"")</f>
        <v/>
      </c>
      <c r="B460" s="19" t="str">
        <f aca="false">IF($A460="","",INDEX(Apparitions!$A$1:$A$5001,$A460)&amp;"")</f>
        <v/>
      </c>
      <c r="C460" s="19" t="str">
        <f aca="false">IF($A460="","",INDEX(Apparitions!$B$1:$B$5001,$A460)&amp;"")</f>
        <v/>
      </c>
      <c r="D460" s="20" t="str">
        <f aca="false">IF($A460="","",INDEX(Apparitions!$L$1:$L$5001,$A460))</f>
        <v/>
      </c>
      <c r="E460" s="19" t="str">
        <f aca="false">IF($A460="","",INDEX(Apparitions!$C$1:$C$5001,$A460)&amp;"")</f>
        <v/>
      </c>
      <c r="F460" s="19" t="str">
        <f aca="false">IF($A460="","",INDEX(Apparitions!$H$1:$H$5001,$A460)&amp;"")</f>
        <v/>
      </c>
      <c r="G460" s="19" t="str">
        <f aca="false">IF($A460="","",INDEX(Apparitions!$I$1:$I$5001,$A460)&amp;"")</f>
        <v/>
      </c>
      <c r="H460" s="19" t="str">
        <f aca="false">IF($A460="","",INDEX(Apparitions!$J$1:$J$5001,$A460)&amp;"")</f>
        <v/>
      </c>
      <c r="I460" s="19" t="str">
        <f aca="false">IF($A460="","",INDEX(Apparitions!$G$1:$G$5001,$A460)&amp;"")</f>
        <v/>
      </c>
      <c r="J460" s="19" t="str">
        <f aca="false">IF($A460="","",INDEX(Apparitions!$M$1:$M$5001,$A460)&amp;"")</f>
        <v/>
      </c>
      <c r="K460" s="21" t="str">
        <f aca="false">IF($A460="","",INDEX(Apparitions!$K$1:$K$5001,$A460))</f>
        <v/>
      </c>
      <c r="L460" s="22" t="str">
        <f aca="false">IF($A460="","",INDEX(Apparitions!$E$1:$E$5001,$A460)&amp;"")</f>
        <v/>
      </c>
      <c r="M460" s="19" t="str">
        <f aca="false">IF($A460="","",INDEX(Apparitions!$F$1:$F$5001,$A460)&amp;"")</f>
        <v/>
      </c>
      <c r="O460" s="23" t="n">
        <f aca="false">IF(I460="",0,IF(COUNTIF(I$16:I460,I460)=1,1,0))</f>
        <v>0</v>
      </c>
      <c r="P460" s="23" t="n">
        <f aca="false">IF(F460="",0,IF(COUNTIF(F$16:F460,F460)=1,1,0))</f>
        <v>0</v>
      </c>
      <c r="Q460" s="0" t="str">
        <f aca="false">IF(B460="","",B460&amp;"|"&amp;C460)</f>
        <v/>
      </c>
      <c r="R460" s="23" t="n">
        <f aca="false">IF(Q460="",0,IF(COUNTIF(Q$16:Q460,Q460)=1,1,0))</f>
        <v>0</v>
      </c>
    </row>
    <row r="461" customFormat="false" ht="15" hidden="false" customHeight="false" outlineLevel="0" collapsed="false">
      <c r="A461" s="0" t="str">
        <f aca="false">IFERROR(MATCH(446,Apparitions!$N$1:$N$5001,0),"")</f>
        <v/>
      </c>
      <c r="B461" s="19" t="str">
        <f aca="false">IF($A461="","",INDEX(Apparitions!$A$1:$A$5001,$A461)&amp;"")</f>
        <v/>
      </c>
      <c r="C461" s="19" t="str">
        <f aca="false">IF($A461="","",INDEX(Apparitions!$B$1:$B$5001,$A461)&amp;"")</f>
        <v/>
      </c>
      <c r="D461" s="20" t="str">
        <f aca="false">IF($A461="","",INDEX(Apparitions!$L$1:$L$5001,$A461))</f>
        <v/>
      </c>
      <c r="E461" s="19" t="str">
        <f aca="false">IF($A461="","",INDEX(Apparitions!$C$1:$C$5001,$A461)&amp;"")</f>
        <v/>
      </c>
      <c r="F461" s="19" t="str">
        <f aca="false">IF($A461="","",INDEX(Apparitions!$H$1:$H$5001,$A461)&amp;"")</f>
        <v/>
      </c>
      <c r="G461" s="19" t="str">
        <f aca="false">IF($A461="","",INDEX(Apparitions!$I$1:$I$5001,$A461)&amp;"")</f>
        <v/>
      </c>
      <c r="H461" s="19" t="str">
        <f aca="false">IF($A461="","",INDEX(Apparitions!$J$1:$J$5001,$A461)&amp;"")</f>
        <v/>
      </c>
      <c r="I461" s="19" t="str">
        <f aca="false">IF($A461="","",INDEX(Apparitions!$G$1:$G$5001,$A461)&amp;"")</f>
        <v/>
      </c>
      <c r="J461" s="19" t="str">
        <f aca="false">IF($A461="","",INDEX(Apparitions!$M$1:$M$5001,$A461)&amp;"")</f>
        <v/>
      </c>
      <c r="K461" s="21" t="str">
        <f aca="false">IF($A461="","",INDEX(Apparitions!$K$1:$K$5001,$A461))</f>
        <v/>
      </c>
      <c r="L461" s="22" t="str">
        <f aca="false">IF($A461="","",INDEX(Apparitions!$E$1:$E$5001,$A461)&amp;"")</f>
        <v/>
      </c>
      <c r="M461" s="19" t="str">
        <f aca="false">IF($A461="","",INDEX(Apparitions!$F$1:$F$5001,$A461)&amp;"")</f>
        <v/>
      </c>
      <c r="O461" s="23" t="n">
        <f aca="false">IF(I461="",0,IF(COUNTIF(I$16:I461,I461)=1,1,0))</f>
        <v>0</v>
      </c>
      <c r="P461" s="23" t="n">
        <f aca="false">IF(F461="",0,IF(COUNTIF(F$16:F461,F461)=1,1,0))</f>
        <v>0</v>
      </c>
      <c r="Q461" s="0" t="str">
        <f aca="false">IF(B461="","",B461&amp;"|"&amp;C461)</f>
        <v/>
      </c>
      <c r="R461" s="23" t="n">
        <f aca="false">IF(Q461="",0,IF(COUNTIF(Q$16:Q461,Q461)=1,1,0))</f>
        <v>0</v>
      </c>
    </row>
    <row r="462" customFormat="false" ht="15" hidden="false" customHeight="false" outlineLevel="0" collapsed="false">
      <c r="A462" s="0" t="str">
        <f aca="false">IFERROR(MATCH(447,Apparitions!$N$1:$N$5001,0),"")</f>
        <v/>
      </c>
      <c r="B462" s="19" t="str">
        <f aca="false">IF($A462="","",INDEX(Apparitions!$A$1:$A$5001,$A462)&amp;"")</f>
        <v/>
      </c>
      <c r="C462" s="19" t="str">
        <f aca="false">IF($A462="","",INDEX(Apparitions!$B$1:$B$5001,$A462)&amp;"")</f>
        <v/>
      </c>
      <c r="D462" s="20" t="str">
        <f aca="false">IF($A462="","",INDEX(Apparitions!$L$1:$L$5001,$A462))</f>
        <v/>
      </c>
      <c r="E462" s="19" t="str">
        <f aca="false">IF($A462="","",INDEX(Apparitions!$C$1:$C$5001,$A462)&amp;"")</f>
        <v/>
      </c>
      <c r="F462" s="19" t="str">
        <f aca="false">IF($A462="","",INDEX(Apparitions!$H$1:$H$5001,$A462)&amp;"")</f>
        <v/>
      </c>
      <c r="G462" s="19" t="str">
        <f aca="false">IF($A462="","",INDEX(Apparitions!$I$1:$I$5001,$A462)&amp;"")</f>
        <v/>
      </c>
      <c r="H462" s="19" t="str">
        <f aca="false">IF($A462="","",INDEX(Apparitions!$J$1:$J$5001,$A462)&amp;"")</f>
        <v/>
      </c>
      <c r="I462" s="19" t="str">
        <f aca="false">IF($A462="","",INDEX(Apparitions!$G$1:$G$5001,$A462)&amp;"")</f>
        <v/>
      </c>
      <c r="J462" s="19" t="str">
        <f aca="false">IF($A462="","",INDEX(Apparitions!$M$1:$M$5001,$A462)&amp;"")</f>
        <v/>
      </c>
      <c r="K462" s="21" t="str">
        <f aca="false">IF($A462="","",INDEX(Apparitions!$K$1:$K$5001,$A462))</f>
        <v/>
      </c>
      <c r="L462" s="22" t="str">
        <f aca="false">IF($A462="","",INDEX(Apparitions!$E$1:$E$5001,$A462)&amp;"")</f>
        <v/>
      </c>
      <c r="M462" s="19" t="str">
        <f aca="false">IF($A462="","",INDEX(Apparitions!$F$1:$F$5001,$A462)&amp;"")</f>
        <v/>
      </c>
      <c r="O462" s="23" t="n">
        <f aca="false">IF(I462="",0,IF(COUNTIF(I$16:I462,I462)=1,1,0))</f>
        <v>0</v>
      </c>
      <c r="P462" s="23" t="n">
        <f aca="false">IF(F462="",0,IF(COUNTIF(F$16:F462,F462)=1,1,0))</f>
        <v>0</v>
      </c>
      <c r="Q462" s="0" t="str">
        <f aca="false">IF(B462="","",B462&amp;"|"&amp;C462)</f>
        <v/>
      </c>
      <c r="R462" s="23" t="n">
        <f aca="false">IF(Q462="",0,IF(COUNTIF(Q$16:Q462,Q462)=1,1,0))</f>
        <v>0</v>
      </c>
    </row>
    <row r="463" customFormat="false" ht="15" hidden="false" customHeight="false" outlineLevel="0" collapsed="false">
      <c r="A463" s="0" t="str">
        <f aca="false">IFERROR(MATCH(448,Apparitions!$N$1:$N$5001,0),"")</f>
        <v/>
      </c>
      <c r="B463" s="19" t="str">
        <f aca="false">IF($A463="","",INDEX(Apparitions!$A$1:$A$5001,$A463)&amp;"")</f>
        <v/>
      </c>
      <c r="C463" s="19" t="str">
        <f aca="false">IF($A463="","",INDEX(Apparitions!$B$1:$B$5001,$A463)&amp;"")</f>
        <v/>
      </c>
      <c r="D463" s="20" t="str">
        <f aca="false">IF($A463="","",INDEX(Apparitions!$L$1:$L$5001,$A463))</f>
        <v/>
      </c>
      <c r="E463" s="19" t="str">
        <f aca="false">IF($A463="","",INDEX(Apparitions!$C$1:$C$5001,$A463)&amp;"")</f>
        <v/>
      </c>
      <c r="F463" s="19" t="str">
        <f aca="false">IF($A463="","",INDEX(Apparitions!$H$1:$H$5001,$A463)&amp;"")</f>
        <v/>
      </c>
      <c r="G463" s="19" t="str">
        <f aca="false">IF($A463="","",INDEX(Apparitions!$I$1:$I$5001,$A463)&amp;"")</f>
        <v/>
      </c>
      <c r="H463" s="19" t="str">
        <f aca="false">IF($A463="","",INDEX(Apparitions!$J$1:$J$5001,$A463)&amp;"")</f>
        <v/>
      </c>
      <c r="I463" s="19" t="str">
        <f aca="false">IF($A463="","",INDEX(Apparitions!$G$1:$G$5001,$A463)&amp;"")</f>
        <v/>
      </c>
      <c r="J463" s="19" t="str">
        <f aca="false">IF($A463="","",INDEX(Apparitions!$M$1:$M$5001,$A463)&amp;"")</f>
        <v/>
      </c>
      <c r="K463" s="21" t="str">
        <f aca="false">IF($A463="","",INDEX(Apparitions!$K$1:$K$5001,$A463))</f>
        <v/>
      </c>
      <c r="L463" s="22" t="str">
        <f aca="false">IF($A463="","",INDEX(Apparitions!$E$1:$E$5001,$A463)&amp;"")</f>
        <v/>
      </c>
      <c r="M463" s="19" t="str">
        <f aca="false">IF($A463="","",INDEX(Apparitions!$F$1:$F$5001,$A463)&amp;"")</f>
        <v/>
      </c>
      <c r="O463" s="23" t="n">
        <f aca="false">IF(I463="",0,IF(COUNTIF(I$16:I463,I463)=1,1,0))</f>
        <v>0</v>
      </c>
      <c r="P463" s="23" t="n">
        <f aca="false">IF(F463="",0,IF(COUNTIF(F$16:F463,F463)=1,1,0))</f>
        <v>0</v>
      </c>
      <c r="Q463" s="0" t="str">
        <f aca="false">IF(B463="","",B463&amp;"|"&amp;C463)</f>
        <v/>
      </c>
      <c r="R463" s="23" t="n">
        <f aca="false">IF(Q463="",0,IF(COUNTIF(Q$16:Q463,Q463)=1,1,0))</f>
        <v>0</v>
      </c>
    </row>
    <row r="464" customFormat="false" ht="15" hidden="false" customHeight="false" outlineLevel="0" collapsed="false">
      <c r="A464" s="0" t="str">
        <f aca="false">IFERROR(MATCH(449,Apparitions!$N$1:$N$5001,0),"")</f>
        <v/>
      </c>
      <c r="B464" s="19" t="str">
        <f aca="false">IF($A464="","",INDEX(Apparitions!$A$1:$A$5001,$A464)&amp;"")</f>
        <v/>
      </c>
      <c r="C464" s="19" t="str">
        <f aca="false">IF($A464="","",INDEX(Apparitions!$B$1:$B$5001,$A464)&amp;"")</f>
        <v/>
      </c>
      <c r="D464" s="20" t="str">
        <f aca="false">IF($A464="","",INDEX(Apparitions!$L$1:$L$5001,$A464))</f>
        <v/>
      </c>
      <c r="E464" s="19" t="str">
        <f aca="false">IF($A464="","",INDEX(Apparitions!$C$1:$C$5001,$A464)&amp;"")</f>
        <v/>
      </c>
      <c r="F464" s="19" t="str">
        <f aca="false">IF($A464="","",INDEX(Apparitions!$H$1:$H$5001,$A464)&amp;"")</f>
        <v/>
      </c>
      <c r="G464" s="19" t="str">
        <f aca="false">IF($A464="","",INDEX(Apparitions!$I$1:$I$5001,$A464)&amp;"")</f>
        <v/>
      </c>
      <c r="H464" s="19" t="str">
        <f aca="false">IF($A464="","",INDEX(Apparitions!$J$1:$J$5001,$A464)&amp;"")</f>
        <v/>
      </c>
      <c r="I464" s="19" t="str">
        <f aca="false">IF($A464="","",INDEX(Apparitions!$G$1:$G$5001,$A464)&amp;"")</f>
        <v/>
      </c>
      <c r="J464" s="19" t="str">
        <f aca="false">IF($A464="","",INDEX(Apparitions!$M$1:$M$5001,$A464)&amp;"")</f>
        <v/>
      </c>
      <c r="K464" s="21" t="str">
        <f aca="false">IF($A464="","",INDEX(Apparitions!$K$1:$K$5001,$A464))</f>
        <v/>
      </c>
      <c r="L464" s="22" t="str">
        <f aca="false">IF($A464="","",INDEX(Apparitions!$E$1:$E$5001,$A464)&amp;"")</f>
        <v/>
      </c>
      <c r="M464" s="19" t="str">
        <f aca="false">IF($A464="","",INDEX(Apparitions!$F$1:$F$5001,$A464)&amp;"")</f>
        <v/>
      </c>
      <c r="O464" s="23" t="n">
        <f aca="false">IF(I464="",0,IF(COUNTIF(I$16:I464,I464)=1,1,0))</f>
        <v>0</v>
      </c>
      <c r="P464" s="23" t="n">
        <f aca="false">IF(F464="",0,IF(COUNTIF(F$16:F464,F464)=1,1,0))</f>
        <v>0</v>
      </c>
      <c r="Q464" s="0" t="str">
        <f aca="false">IF(B464="","",B464&amp;"|"&amp;C464)</f>
        <v/>
      </c>
      <c r="R464" s="23" t="n">
        <f aca="false">IF(Q464="",0,IF(COUNTIF(Q$16:Q464,Q464)=1,1,0))</f>
        <v>0</v>
      </c>
    </row>
    <row r="465" customFormat="false" ht="15" hidden="false" customHeight="false" outlineLevel="0" collapsed="false">
      <c r="A465" s="0" t="str">
        <f aca="false">IFERROR(MATCH(450,Apparitions!$N$1:$N$5001,0),"")</f>
        <v/>
      </c>
      <c r="B465" s="19" t="str">
        <f aca="false">IF($A465="","",INDEX(Apparitions!$A$1:$A$5001,$A465)&amp;"")</f>
        <v/>
      </c>
      <c r="C465" s="19" t="str">
        <f aca="false">IF($A465="","",INDEX(Apparitions!$B$1:$B$5001,$A465)&amp;"")</f>
        <v/>
      </c>
      <c r="D465" s="20" t="str">
        <f aca="false">IF($A465="","",INDEX(Apparitions!$L$1:$L$5001,$A465))</f>
        <v/>
      </c>
      <c r="E465" s="19" t="str">
        <f aca="false">IF($A465="","",INDEX(Apparitions!$C$1:$C$5001,$A465)&amp;"")</f>
        <v/>
      </c>
      <c r="F465" s="19" t="str">
        <f aca="false">IF($A465="","",INDEX(Apparitions!$H$1:$H$5001,$A465)&amp;"")</f>
        <v/>
      </c>
      <c r="G465" s="19" t="str">
        <f aca="false">IF($A465="","",INDEX(Apparitions!$I$1:$I$5001,$A465)&amp;"")</f>
        <v/>
      </c>
      <c r="H465" s="19" t="str">
        <f aca="false">IF($A465="","",INDEX(Apparitions!$J$1:$J$5001,$A465)&amp;"")</f>
        <v/>
      </c>
      <c r="I465" s="19" t="str">
        <f aca="false">IF($A465="","",INDEX(Apparitions!$G$1:$G$5001,$A465)&amp;"")</f>
        <v/>
      </c>
      <c r="J465" s="19" t="str">
        <f aca="false">IF($A465="","",INDEX(Apparitions!$M$1:$M$5001,$A465)&amp;"")</f>
        <v/>
      </c>
      <c r="K465" s="21" t="str">
        <f aca="false">IF($A465="","",INDEX(Apparitions!$K$1:$K$5001,$A465))</f>
        <v/>
      </c>
      <c r="L465" s="22" t="str">
        <f aca="false">IF($A465="","",INDEX(Apparitions!$E$1:$E$5001,$A465)&amp;"")</f>
        <v/>
      </c>
      <c r="M465" s="19" t="str">
        <f aca="false">IF($A465="","",INDEX(Apparitions!$F$1:$F$5001,$A465)&amp;"")</f>
        <v/>
      </c>
      <c r="O465" s="23" t="n">
        <f aca="false">IF(I465="",0,IF(COUNTIF(I$16:I465,I465)=1,1,0))</f>
        <v>0</v>
      </c>
      <c r="P465" s="23" t="n">
        <f aca="false">IF(F465="",0,IF(COUNTIF(F$16:F465,F465)=1,1,0))</f>
        <v>0</v>
      </c>
      <c r="Q465" s="0" t="str">
        <f aca="false">IF(B465="","",B465&amp;"|"&amp;C465)</f>
        <v/>
      </c>
      <c r="R465" s="23" t="n">
        <f aca="false">IF(Q465="",0,IF(COUNTIF(Q$16:Q465,Q465)=1,1,0))</f>
        <v>0</v>
      </c>
    </row>
    <row r="466" customFormat="false" ht="15" hidden="false" customHeight="false" outlineLevel="0" collapsed="false">
      <c r="A466" s="0" t="str">
        <f aca="false">IFERROR(MATCH(451,Apparitions!$N$1:$N$5001,0),"")</f>
        <v/>
      </c>
      <c r="B466" s="19" t="str">
        <f aca="false">IF($A466="","",INDEX(Apparitions!$A$1:$A$5001,$A466)&amp;"")</f>
        <v/>
      </c>
      <c r="C466" s="19" t="str">
        <f aca="false">IF($A466="","",INDEX(Apparitions!$B$1:$B$5001,$A466)&amp;"")</f>
        <v/>
      </c>
      <c r="D466" s="20" t="str">
        <f aca="false">IF($A466="","",INDEX(Apparitions!$L$1:$L$5001,$A466))</f>
        <v/>
      </c>
      <c r="E466" s="19" t="str">
        <f aca="false">IF($A466="","",INDEX(Apparitions!$C$1:$C$5001,$A466)&amp;"")</f>
        <v/>
      </c>
      <c r="F466" s="19" t="str">
        <f aca="false">IF($A466="","",INDEX(Apparitions!$H$1:$H$5001,$A466)&amp;"")</f>
        <v/>
      </c>
      <c r="G466" s="19" t="str">
        <f aca="false">IF($A466="","",INDEX(Apparitions!$I$1:$I$5001,$A466)&amp;"")</f>
        <v/>
      </c>
      <c r="H466" s="19" t="str">
        <f aca="false">IF($A466="","",INDEX(Apparitions!$J$1:$J$5001,$A466)&amp;"")</f>
        <v/>
      </c>
      <c r="I466" s="19" t="str">
        <f aca="false">IF($A466="","",INDEX(Apparitions!$G$1:$G$5001,$A466)&amp;"")</f>
        <v/>
      </c>
      <c r="J466" s="19" t="str">
        <f aca="false">IF($A466="","",INDEX(Apparitions!$M$1:$M$5001,$A466)&amp;"")</f>
        <v/>
      </c>
      <c r="K466" s="21" t="str">
        <f aca="false">IF($A466="","",INDEX(Apparitions!$K$1:$K$5001,$A466))</f>
        <v/>
      </c>
      <c r="L466" s="22" t="str">
        <f aca="false">IF($A466="","",INDEX(Apparitions!$E$1:$E$5001,$A466)&amp;"")</f>
        <v/>
      </c>
      <c r="M466" s="19" t="str">
        <f aca="false">IF($A466="","",INDEX(Apparitions!$F$1:$F$5001,$A466)&amp;"")</f>
        <v/>
      </c>
      <c r="O466" s="23" t="n">
        <f aca="false">IF(I466="",0,IF(COUNTIF(I$16:I466,I466)=1,1,0))</f>
        <v>0</v>
      </c>
      <c r="P466" s="23" t="n">
        <f aca="false">IF(F466="",0,IF(COUNTIF(F$16:F466,F466)=1,1,0))</f>
        <v>0</v>
      </c>
      <c r="Q466" s="0" t="str">
        <f aca="false">IF(B466="","",B466&amp;"|"&amp;C466)</f>
        <v/>
      </c>
      <c r="R466" s="23" t="n">
        <f aca="false">IF(Q466="",0,IF(COUNTIF(Q$16:Q466,Q466)=1,1,0))</f>
        <v>0</v>
      </c>
    </row>
    <row r="467" customFormat="false" ht="15" hidden="false" customHeight="false" outlineLevel="0" collapsed="false">
      <c r="A467" s="0" t="str">
        <f aca="false">IFERROR(MATCH(452,Apparitions!$N$1:$N$5001,0),"")</f>
        <v/>
      </c>
      <c r="B467" s="19" t="str">
        <f aca="false">IF($A467="","",INDEX(Apparitions!$A$1:$A$5001,$A467)&amp;"")</f>
        <v/>
      </c>
      <c r="C467" s="19" t="str">
        <f aca="false">IF($A467="","",INDEX(Apparitions!$B$1:$B$5001,$A467)&amp;"")</f>
        <v/>
      </c>
      <c r="D467" s="20" t="str">
        <f aca="false">IF($A467="","",INDEX(Apparitions!$L$1:$L$5001,$A467))</f>
        <v/>
      </c>
      <c r="E467" s="19" t="str">
        <f aca="false">IF($A467="","",INDEX(Apparitions!$C$1:$C$5001,$A467)&amp;"")</f>
        <v/>
      </c>
      <c r="F467" s="19" t="str">
        <f aca="false">IF($A467="","",INDEX(Apparitions!$H$1:$H$5001,$A467)&amp;"")</f>
        <v/>
      </c>
      <c r="G467" s="19" t="str">
        <f aca="false">IF($A467="","",INDEX(Apparitions!$I$1:$I$5001,$A467)&amp;"")</f>
        <v/>
      </c>
      <c r="H467" s="19" t="str">
        <f aca="false">IF($A467="","",INDEX(Apparitions!$J$1:$J$5001,$A467)&amp;"")</f>
        <v/>
      </c>
      <c r="I467" s="19" t="str">
        <f aca="false">IF($A467="","",INDEX(Apparitions!$G$1:$G$5001,$A467)&amp;"")</f>
        <v/>
      </c>
      <c r="J467" s="19" t="str">
        <f aca="false">IF($A467="","",INDEX(Apparitions!$M$1:$M$5001,$A467)&amp;"")</f>
        <v/>
      </c>
      <c r="K467" s="21" t="str">
        <f aca="false">IF($A467="","",INDEX(Apparitions!$K$1:$K$5001,$A467))</f>
        <v/>
      </c>
      <c r="L467" s="22" t="str">
        <f aca="false">IF($A467="","",INDEX(Apparitions!$E$1:$E$5001,$A467)&amp;"")</f>
        <v/>
      </c>
      <c r="M467" s="19" t="str">
        <f aca="false">IF($A467="","",INDEX(Apparitions!$F$1:$F$5001,$A467)&amp;"")</f>
        <v/>
      </c>
      <c r="O467" s="23" t="n">
        <f aca="false">IF(I467="",0,IF(COUNTIF(I$16:I467,I467)=1,1,0))</f>
        <v>0</v>
      </c>
      <c r="P467" s="23" t="n">
        <f aca="false">IF(F467="",0,IF(COUNTIF(F$16:F467,F467)=1,1,0))</f>
        <v>0</v>
      </c>
      <c r="Q467" s="0" t="str">
        <f aca="false">IF(B467="","",B467&amp;"|"&amp;C467)</f>
        <v/>
      </c>
      <c r="R467" s="23" t="n">
        <f aca="false">IF(Q467="",0,IF(COUNTIF(Q$16:Q467,Q467)=1,1,0))</f>
        <v>0</v>
      </c>
    </row>
    <row r="468" customFormat="false" ht="15" hidden="false" customHeight="false" outlineLevel="0" collapsed="false">
      <c r="A468" s="0" t="str">
        <f aca="false">IFERROR(MATCH(453,Apparitions!$N$1:$N$5001,0),"")</f>
        <v/>
      </c>
      <c r="B468" s="19" t="str">
        <f aca="false">IF($A468="","",INDEX(Apparitions!$A$1:$A$5001,$A468)&amp;"")</f>
        <v/>
      </c>
      <c r="C468" s="19" t="str">
        <f aca="false">IF($A468="","",INDEX(Apparitions!$B$1:$B$5001,$A468)&amp;"")</f>
        <v/>
      </c>
      <c r="D468" s="20" t="str">
        <f aca="false">IF($A468="","",INDEX(Apparitions!$L$1:$L$5001,$A468))</f>
        <v/>
      </c>
      <c r="E468" s="19" t="str">
        <f aca="false">IF($A468="","",INDEX(Apparitions!$C$1:$C$5001,$A468)&amp;"")</f>
        <v/>
      </c>
      <c r="F468" s="19" t="str">
        <f aca="false">IF($A468="","",INDEX(Apparitions!$H$1:$H$5001,$A468)&amp;"")</f>
        <v/>
      </c>
      <c r="G468" s="19" t="str">
        <f aca="false">IF($A468="","",INDEX(Apparitions!$I$1:$I$5001,$A468)&amp;"")</f>
        <v/>
      </c>
      <c r="H468" s="19" t="str">
        <f aca="false">IF($A468="","",INDEX(Apparitions!$J$1:$J$5001,$A468)&amp;"")</f>
        <v/>
      </c>
      <c r="I468" s="19" t="str">
        <f aca="false">IF($A468="","",INDEX(Apparitions!$G$1:$G$5001,$A468)&amp;"")</f>
        <v/>
      </c>
      <c r="J468" s="19" t="str">
        <f aca="false">IF($A468="","",INDEX(Apparitions!$M$1:$M$5001,$A468)&amp;"")</f>
        <v/>
      </c>
      <c r="K468" s="21" t="str">
        <f aca="false">IF($A468="","",INDEX(Apparitions!$K$1:$K$5001,$A468))</f>
        <v/>
      </c>
      <c r="L468" s="22" t="str">
        <f aca="false">IF($A468="","",INDEX(Apparitions!$E$1:$E$5001,$A468)&amp;"")</f>
        <v/>
      </c>
      <c r="M468" s="19" t="str">
        <f aca="false">IF($A468="","",INDEX(Apparitions!$F$1:$F$5001,$A468)&amp;"")</f>
        <v/>
      </c>
      <c r="O468" s="23" t="n">
        <f aca="false">IF(I468="",0,IF(COUNTIF(I$16:I468,I468)=1,1,0))</f>
        <v>0</v>
      </c>
      <c r="P468" s="23" t="n">
        <f aca="false">IF(F468="",0,IF(COUNTIF(F$16:F468,F468)=1,1,0))</f>
        <v>0</v>
      </c>
      <c r="Q468" s="0" t="str">
        <f aca="false">IF(B468="","",B468&amp;"|"&amp;C468)</f>
        <v/>
      </c>
      <c r="R468" s="23" t="n">
        <f aca="false">IF(Q468="",0,IF(COUNTIF(Q$16:Q468,Q468)=1,1,0))</f>
        <v>0</v>
      </c>
    </row>
    <row r="469" customFormat="false" ht="15" hidden="false" customHeight="false" outlineLevel="0" collapsed="false">
      <c r="A469" s="0" t="str">
        <f aca="false">IFERROR(MATCH(454,Apparitions!$N$1:$N$5001,0),"")</f>
        <v/>
      </c>
      <c r="B469" s="19" t="str">
        <f aca="false">IF($A469="","",INDEX(Apparitions!$A$1:$A$5001,$A469)&amp;"")</f>
        <v/>
      </c>
      <c r="C469" s="19" t="str">
        <f aca="false">IF($A469="","",INDEX(Apparitions!$B$1:$B$5001,$A469)&amp;"")</f>
        <v/>
      </c>
      <c r="D469" s="20" t="str">
        <f aca="false">IF($A469="","",INDEX(Apparitions!$L$1:$L$5001,$A469))</f>
        <v/>
      </c>
      <c r="E469" s="19" t="str">
        <f aca="false">IF($A469="","",INDEX(Apparitions!$C$1:$C$5001,$A469)&amp;"")</f>
        <v/>
      </c>
      <c r="F469" s="19" t="str">
        <f aca="false">IF($A469="","",INDEX(Apparitions!$H$1:$H$5001,$A469)&amp;"")</f>
        <v/>
      </c>
      <c r="G469" s="19" t="str">
        <f aca="false">IF($A469="","",INDEX(Apparitions!$I$1:$I$5001,$A469)&amp;"")</f>
        <v/>
      </c>
      <c r="H469" s="19" t="str">
        <f aca="false">IF($A469="","",INDEX(Apparitions!$J$1:$J$5001,$A469)&amp;"")</f>
        <v/>
      </c>
      <c r="I469" s="19" t="str">
        <f aca="false">IF($A469="","",INDEX(Apparitions!$G$1:$G$5001,$A469)&amp;"")</f>
        <v/>
      </c>
      <c r="J469" s="19" t="str">
        <f aca="false">IF($A469="","",INDEX(Apparitions!$M$1:$M$5001,$A469)&amp;"")</f>
        <v/>
      </c>
      <c r="K469" s="21" t="str">
        <f aca="false">IF($A469="","",INDEX(Apparitions!$K$1:$K$5001,$A469))</f>
        <v/>
      </c>
      <c r="L469" s="22" t="str">
        <f aca="false">IF($A469="","",INDEX(Apparitions!$E$1:$E$5001,$A469)&amp;"")</f>
        <v/>
      </c>
      <c r="M469" s="19" t="str">
        <f aca="false">IF($A469="","",INDEX(Apparitions!$F$1:$F$5001,$A469)&amp;"")</f>
        <v/>
      </c>
      <c r="O469" s="23" t="n">
        <f aca="false">IF(I469="",0,IF(COUNTIF(I$16:I469,I469)=1,1,0))</f>
        <v>0</v>
      </c>
      <c r="P469" s="23" t="n">
        <f aca="false">IF(F469="",0,IF(COUNTIF(F$16:F469,F469)=1,1,0))</f>
        <v>0</v>
      </c>
      <c r="Q469" s="0" t="str">
        <f aca="false">IF(B469="","",B469&amp;"|"&amp;C469)</f>
        <v/>
      </c>
      <c r="R469" s="23" t="n">
        <f aca="false">IF(Q469="",0,IF(COUNTIF(Q$16:Q469,Q469)=1,1,0))</f>
        <v>0</v>
      </c>
    </row>
    <row r="470" customFormat="false" ht="15" hidden="false" customHeight="false" outlineLevel="0" collapsed="false">
      <c r="A470" s="0" t="str">
        <f aca="false">IFERROR(MATCH(455,Apparitions!$N$1:$N$5001,0),"")</f>
        <v/>
      </c>
      <c r="B470" s="19" t="str">
        <f aca="false">IF($A470="","",INDEX(Apparitions!$A$1:$A$5001,$A470)&amp;"")</f>
        <v/>
      </c>
      <c r="C470" s="19" t="str">
        <f aca="false">IF($A470="","",INDEX(Apparitions!$B$1:$B$5001,$A470)&amp;"")</f>
        <v/>
      </c>
      <c r="D470" s="20" t="str">
        <f aca="false">IF($A470="","",INDEX(Apparitions!$L$1:$L$5001,$A470))</f>
        <v/>
      </c>
      <c r="E470" s="19" t="str">
        <f aca="false">IF($A470="","",INDEX(Apparitions!$C$1:$C$5001,$A470)&amp;"")</f>
        <v/>
      </c>
      <c r="F470" s="19" t="str">
        <f aca="false">IF($A470="","",INDEX(Apparitions!$H$1:$H$5001,$A470)&amp;"")</f>
        <v/>
      </c>
      <c r="G470" s="19" t="str">
        <f aca="false">IF($A470="","",INDEX(Apparitions!$I$1:$I$5001,$A470)&amp;"")</f>
        <v/>
      </c>
      <c r="H470" s="19" t="str">
        <f aca="false">IF($A470="","",INDEX(Apparitions!$J$1:$J$5001,$A470)&amp;"")</f>
        <v/>
      </c>
      <c r="I470" s="19" t="str">
        <f aca="false">IF($A470="","",INDEX(Apparitions!$G$1:$G$5001,$A470)&amp;"")</f>
        <v/>
      </c>
      <c r="J470" s="19" t="str">
        <f aca="false">IF($A470="","",INDEX(Apparitions!$M$1:$M$5001,$A470)&amp;"")</f>
        <v/>
      </c>
      <c r="K470" s="21" t="str">
        <f aca="false">IF($A470="","",INDEX(Apparitions!$K$1:$K$5001,$A470))</f>
        <v/>
      </c>
      <c r="L470" s="22" t="str">
        <f aca="false">IF($A470="","",INDEX(Apparitions!$E$1:$E$5001,$A470)&amp;"")</f>
        <v/>
      </c>
      <c r="M470" s="19" t="str">
        <f aca="false">IF($A470="","",INDEX(Apparitions!$F$1:$F$5001,$A470)&amp;"")</f>
        <v/>
      </c>
      <c r="O470" s="23" t="n">
        <f aca="false">IF(I470="",0,IF(COUNTIF(I$16:I470,I470)=1,1,0))</f>
        <v>0</v>
      </c>
      <c r="P470" s="23" t="n">
        <f aca="false">IF(F470="",0,IF(COUNTIF(F$16:F470,F470)=1,1,0))</f>
        <v>0</v>
      </c>
      <c r="Q470" s="0" t="str">
        <f aca="false">IF(B470="","",B470&amp;"|"&amp;C470)</f>
        <v/>
      </c>
      <c r="R470" s="23" t="n">
        <f aca="false">IF(Q470="",0,IF(COUNTIF(Q$16:Q470,Q470)=1,1,0))</f>
        <v>0</v>
      </c>
    </row>
    <row r="471" customFormat="false" ht="15" hidden="false" customHeight="false" outlineLevel="0" collapsed="false">
      <c r="A471" s="0" t="str">
        <f aca="false">IFERROR(MATCH(456,Apparitions!$N$1:$N$5001,0),"")</f>
        <v/>
      </c>
      <c r="B471" s="19" t="str">
        <f aca="false">IF($A471="","",INDEX(Apparitions!$A$1:$A$5001,$A471)&amp;"")</f>
        <v/>
      </c>
      <c r="C471" s="19" t="str">
        <f aca="false">IF($A471="","",INDEX(Apparitions!$B$1:$B$5001,$A471)&amp;"")</f>
        <v/>
      </c>
      <c r="D471" s="20" t="str">
        <f aca="false">IF($A471="","",INDEX(Apparitions!$L$1:$L$5001,$A471))</f>
        <v/>
      </c>
      <c r="E471" s="19" t="str">
        <f aca="false">IF($A471="","",INDEX(Apparitions!$C$1:$C$5001,$A471)&amp;"")</f>
        <v/>
      </c>
      <c r="F471" s="19" t="str">
        <f aca="false">IF($A471="","",INDEX(Apparitions!$H$1:$H$5001,$A471)&amp;"")</f>
        <v/>
      </c>
      <c r="G471" s="19" t="str">
        <f aca="false">IF($A471="","",INDEX(Apparitions!$I$1:$I$5001,$A471)&amp;"")</f>
        <v/>
      </c>
      <c r="H471" s="19" t="str">
        <f aca="false">IF($A471="","",INDEX(Apparitions!$J$1:$J$5001,$A471)&amp;"")</f>
        <v/>
      </c>
      <c r="I471" s="19" t="str">
        <f aca="false">IF($A471="","",INDEX(Apparitions!$G$1:$G$5001,$A471)&amp;"")</f>
        <v/>
      </c>
      <c r="J471" s="19" t="str">
        <f aca="false">IF($A471="","",INDEX(Apparitions!$M$1:$M$5001,$A471)&amp;"")</f>
        <v/>
      </c>
      <c r="K471" s="21" t="str">
        <f aca="false">IF($A471="","",INDEX(Apparitions!$K$1:$K$5001,$A471))</f>
        <v/>
      </c>
      <c r="L471" s="22" t="str">
        <f aca="false">IF($A471="","",INDEX(Apparitions!$E$1:$E$5001,$A471)&amp;"")</f>
        <v/>
      </c>
      <c r="M471" s="19" t="str">
        <f aca="false">IF($A471="","",INDEX(Apparitions!$F$1:$F$5001,$A471)&amp;"")</f>
        <v/>
      </c>
      <c r="O471" s="23" t="n">
        <f aca="false">IF(I471="",0,IF(COUNTIF(I$16:I471,I471)=1,1,0))</f>
        <v>0</v>
      </c>
      <c r="P471" s="23" t="n">
        <f aca="false">IF(F471="",0,IF(COUNTIF(F$16:F471,F471)=1,1,0))</f>
        <v>0</v>
      </c>
      <c r="Q471" s="0" t="str">
        <f aca="false">IF(B471="","",B471&amp;"|"&amp;C471)</f>
        <v/>
      </c>
      <c r="R471" s="23" t="n">
        <f aca="false">IF(Q471="",0,IF(COUNTIF(Q$16:Q471,Q471)=1,1,0))</f>
        <v>0</v>
      </c>
    </row>
    <row r="472" customFormat="false" ht="15" hidden="false" customHeight="false" outlineLevel="0" collapsed="false">
      <c r="A472" s="0" t="str">
        <f aca="false">IFERROR(MATCH(457,Apparitions!$N$1:$N$5001,0),"")</f>
        <v/>
      </c>
      <c r="B472" s="19" t="str">
        <f aca="false">IF($A472="","",INDEX(Apparitions!$A$1:$A$5001,$A472)&amp;"")</f>
        <v/>
      </c>
      <c r="C472" s="19" t="str">
        <f aca="false">IF($A472="","",INDEX(Apparitions!$B$1:$B$5001,$A472)&amp;"")</f>
        <v/>
      </c>
      <c r="D472" s="20" t="str">
        <f aca="false">IF($A472="","",INDEX(Apparitions!$L$1:$L$5001,$A472))</f>
        <v/>
      </c>
      <c r="E472" s="19" t="str">
        <f aca="false">IF($A472="","",INDEX(Apparitions!$C$1:$C$5001,$A472)&amp;"")</f>
        <v/>
      </c>
      <c r="F472" s="19" t="str">
        <f aca="false">IF($A472="","",INDEX(Apparitions!$H$1:$H$5001,$A472)&amp;"")</f>
        <v/>
      </c>
      <c r="G472" s="19" t="str">
        <f aca="false">IF($A472="","",INDEX(Apparitions!$I$1:$I$5001,$A472)&amp;"")</f>
        <v/>
      </c>
      <c r="H472" s="19" t="str">
        <f aca="false">IF($A472="","",INDEX(Apparitions!$J$1:$J$5001,$A472)&amp;"")</f>
        <v/>
      </c>
      <c r="I472" s="19" t="str">
        <f aca="false">IF($A472="","",INDEX(Apparitions!$G$1:$G$5001,$A472)&amp;"")</f>
        <v/>
      </c>
      <c r="J472" s="19" t="str">
        <f aca="false">IF($A472="","",INDEX(Apparitions!$M$1:$M$5001,$A472)&amp;"")</f>
        <v/>
      </c>
      <c r="K472" s="21" t="str">
        <f aca="false">IF($A472="","",INDEX(Apparitions!$K$1:$K$5001,$A472))</f>
        <v/>
      </c>
      <c r="L472" s="22" t="str">
        <f aca="false">IF($A472="","",INDEX(Apparitions!$E$1:$E$5001,$A472)&amp;"")</f>
        <v/>
      </c>
      <c r="M472" s="19" t="str">
        <f aca="false">IF($A472="","",INDEX(Apparitions!$F$1:$F$5001,$A472)&amp;"")</f>
        <v/>
      </c>
      <c r="O472" s="23" t="n">
        <f aca="false">IF(I472="",0,IF(COUNTIF(I$16:I472,I472)=1,1,0))</f>
        <v>0</v>
      </c>
      <c r="P472" s="23" t="n">
        <f aca="false">IF(F472="",0,IF(COUNTIF(F$16:F472,F472)=1,1,0))</f>
        <v>0</v>
      </c>
      <c r="Q472" s="0" t="str">
        <f aca="false">IF(B472="","",B472&amp;"|"&amp;C472)</f>
        <v/>
      </c>
      <c r="R472" s="23" t="n">
        <f aca="false">IF(Q472="",0,IF(COUNTIF(Q$16:Q472,Q472)=1,1,0))</f>
        <v>0</v>
      </c>
    </row>
    <row r="473" customFormat="false" ht="15" hidden="false" customHeight="false" outlineLevel="0" collapsed="false">
      <c r="A473" s="0" t="str">
        <f aca="false">IFERROR(MATCH(458,Apparitions!$N$1:$N$5001,0),"")</f>
        <v/>
      </c>
      <c r="B473" s="19" t="str">
        <f aca="false">IF($A473="","",INDEX(Apparitions!$A$1:$A$5001,$A473)&amp;"")</f>
        <v/>
      </c>
      <c r="C473" s="19" t="str">
        <f aca="false">IF($A473="","",INDEX(Apparitions!$B$1:$B$5001,$A473)&amp;"")</f>
        <v/>
      </c>
      <c r="D473" s="20" t="str">
        <f aca="false">IF($A473="","",INDEX(Apparitions!$L$1:$L$5001,$A473))</f>
        <v/>
      </c>
      <c r="E473" s="19" t="str">
        <f aca="false">IF($A473="","",INDEX(Apparitions!$C$1:$C$5001,$A473)&amp;"")</f>
        <v/>
      </c>
      <c r="F473" s="19" t="str">
        <f aca="false">IF($A473="","",INDEX(Apparitions!$H$1:$H$5001,$A473)&amp;"")</f>
        <v/>
      </c>
      <c r="G473" s="19" t="str">
        <f aca="false">IF($A473="","",INDEX(Apparitions!$I$1:$I$5001,$A473)&amp;"")</f>
        <v/>
      </c>
      <c r="H473" s="19" t="str">
        <f aca="false">IF($A473="","",INDEX(Apparitions!$J$1:$J$5001,$A473)&amp;"")</f>
        <v/>
      </c>
      <c r="I473" s="19" t="str">
        <f aca="false">IF($A473="","",INDEX(Apparitions!$G$1:$G$5001,$A473)&amp;"")</f>
        <v/>
      </c>
      <c r="J473" s="19" t="str">
        <f aca="false">IF($A473="","",INDEX(Apparitions!$M$1:$M$5001,$A473)&amp;"")</f>
        <v/>
      </c>
      <c r="K473" s="21" t="str">
        <f aca="false">IF($A473="","",INDEX(Apparitions!$K$1:$K$5001,$A473))</f>
        <v/>
      </c>
      <c r="L473" s="22" t="str">
        <f aca="false">IF($A473="","",INDEX(Apparitions!$E$1:$E$5001,$A473)&amp;"")</f>
        <v/>
      </c>
      <c r="M473" s="19" t="str">
        <f aca="false">IF($A473="","",INDEX(Apparitions!$F$1:$F$5001,$A473)&amp;"")</f>
        <v/>
      </c>
      <c r="O473" s="23" t="n">
        <f aca="false">IF(I473="",0,IF(COUNTIF(I$16:I473,I473)=1,1,0))</f>
        <v>0</v>
      </c>
      <c r="P473" s="23" t="n">
        <f aca="false">IF(F473="",0,IF(COUNTIF(F$16:F473,F473)=1,1,0))</f>
        <v>0</v>
      </c>
      <c r="Q473" s="0" t="str">
        <f aca="false">IF(B473="","",B473&amp;"|"&amp;C473)</f>
        <v/>
      </c>
      <c r="R473" s="23" t="n">
        <f aca="false">IF(Q473="",0,IF(COUNTIF(Q$16:Q473,Q473)=1,1,0))</f>
        <v>0</v>
      </c>
    </row>
    <row r="474" customFormat="false" ht="15" hidden="false" customHeight="false" outlineLevel="0" collapsed="false">
      <c r="A474" s="0" t="str">
        <f aca="false">IFERROR(MATCH(459,Apparitions!$N$1:$N$5001,0),"")</f>
        <v/>
      </c>
      <c r="B474" s="19" t="str">
        <f aca="false">IF($A474="","",INDEX(Apparitions!$A$1:$A$5001,$A474)&amp;"")</f>
        <v/>
      </c>
      <c r="C474" s="19" t="str">
        <f aca="false">IF($A474="","",INDEX(Apparitions!$B$1:$B$5001,$A474)&amp;"")</f>
        <v/>
      </c>
      <c r="D474" s="20" t="str">
        <f aca="false">IF($A474="","",INDEX(Apparitions!$L$1:$L$5001,$A474))</f>
        <v/>
      </c>
      <c r="E474" s="19" t="str">
        <f aca="false">IF($A474="","",INDEX(Apparitions!$C$1:$C$5001,$A474)&amp;"")</f>
        <v/>
      </c>
      <c r="F474" s="19" t="str">
        <f aca="false">IF($A474="","",INDEX(Apparitions!$H$1:$H$5001,$A474)&amp;"")</f>
        <v/>
      </c>
      <c r="G474" s="19" t="str">
        <f aca="false">IF($A474="","",INDEX(Apparitions!$I$1:$I$5001,$A474)&amp;"")</f>
        <v/>
      </c>
      <c r="H474" s="19" t="str">
        <f aca="false">IF($A474="","",INDEX(Apparitions!$J$1:$J$5001,$A474)&amp;"")</f>
        <v/>
      </c>
      <c r="I474" s="19" t="str">
        <f aca="false">IF($A474="","",INDEX(Apparitions!$G$1:$G$5001,$A474)&amp;"")</f>
        <v/>
      </c>
      <c r="J474" s="19" t="str">
        <f aca="false">IF($A474="","",INDEX(Apparitions!$M$1:$M$5001,$A474)&amp;"")</f>
        <v/>
      </c>
      <c r="K474" s="21" t="str">
        <f aca="false">IF($A474="","",INDEX(Apparitions!$K$1:$K$5001,$A474))</f>
        <v/>
      </c>
      <c r="L474" s="22" t="str">
        <f aca="false">IF($A474="","",INDEX(Apparitions!$E$1:$E$5001,$A474)&amp;"")</f>
        <v/>
      </c>
      <c r="M474" s="19" t="str">
        <f aca="false">IF($A474="","",INDEX(Apparitions!$F$1:$F$5001,$A474)&amp;"")</f>
        <v/>
      </c>
      <c r="O474" s="23" t="n">
        <f aca="false">IF(I474="",0,IF(COUNTIF(I$16:I474,I474)=1,1,0))</f>
        <v>0</v>
      </c>
      <c r="P474" s="23" t="n">
        <f aca="false">IF(F474="",0,IF(COUNTIF(F$16:F474,F474)=1,1,0))</f>
        <v>0</v>
      </c>
      <c r="Q474" s="0" t="str">
        <f aca="false">IF(B474="","",B474&amp;"|"&amp;C474)</f>
        <v/>
      </c>
      <c r="R474" s="23" t="n">
        <f aca="false">IF(Q474="",0,IF(COUNTIF(Q$16:Q474,Q474)=1,1,0))</f>
        <v>0</v>
      </c>
    </row>
    <row r="475" customFormat="false" ht="15" hidden="false" customHeight="false" outlineLevel="0" collapsed="false">
      <c r="A475" s="0" t="str">
        <f aca="false">IFERROR(MATCH(460,Apparitions!$N$1:$N$5001,0),"")</f>
        <v/>
      </c>
      <c r="B475" s="19" t="str">
        <f aca="false">IF($A475="","",INDEX(Apparitions!$A$1:$A$5001,$A475)&amp;"")</f>
        <v/>
      </c>
      <c r="C475" s="19" t="str">
        <f aca="false">IF($A475="","",INDEX(Apparitions!$B$1:$B$5001,$A475)&amp;"")</f>
        <v/>
      </c>
      <c r="D475" s="20" t="str">
        <f aca="false">IF($A475="","",INDEX(Apparitions!$L$1:$L$5001,$A475))</f>
        <v/>
      </c>
      <c r="E475" s="19" t="str">
        <f aca="false">IF($A475="","",INDEX(Apparitions!$C$1:$C$5001,$A475)&amp;"")</f>
        <v/>
      </c>
      <c r="F475" s="19" t="str">
        <f aca="false">IF($A475="","",INDEX(Apparitions!$H$1:$H$5001,$A475)&amp;"")</f>
        <v/>
      </c>
      <c r="G475" s="19" t="str">
        <f aca="false">IF($A475="","",INDEX(Apparitions!$I$1:$I$5001,$A475)&amp;"")</f>
        <v/>
      </c>
      <c r="H475" s="19" t="str">
        <f aca="false">IF($A475="","",INDEX(Apparitions!$J$1:$J$5001,$A475)&amp;"")</f>
        <v/>
      </c>
      <c r="I475" s="19" t="str">
        <f aca="false">IF($A475="","",INDEX(Apparitions!$G$1:$G$5001,$A475)&amp;"")</f>
        <v/>
      </c>
      <c r="J475" s="19" t="str">
        <f aca="false">IF($A475="","",INDEX(Apparitions!$M$1:$M$5001,$A475)&amp;"")</f>
        <v/>
      </c>
      <c r="K475" s="21" t="str">
        <f aca="false">IF($A475="","",INDEX(Apparitions!$K$1:$K$5001,$A475))</f>
        <v/>
      </c>
      <c r="L475" s="22" t="str">
        <f aca="false">IF($A475="","",INDEX(Apparitions!$E$1:$E$5001,$A475)&amp;"")</f>
        <v/>
      </c>
      <c r="M475" s="19" t="str">
        <f aca="false">IF($A475="","",INDEX(Apparitions!$F$1:$F$5001,$A475)&amp;"")</f>
        <v/>
      </c>
      <c r="O475" s="23" t="n">
        <f aca="false">IF(I475="",0,IF(COUNTIF(I$16:I475,I475)=1,1,0))</f>
        <v>0</v>
      </c>
      <c r="P475" s="23" t="n">
        <f aca="false">IF(F475="",0,IF(COUNTIF(F$16:F475,F475)=1,1,0))</f>
        <v>0</v>
      </c>
      <c r="Q475" s="0" t="str">
        <f aca="false">IF(B475="","",B475&amp;"|"&amp;C475)</f>
        <v/>
      </c>
      <c r="R475" s="23" t="n">
        <f aca="false">IF(Q475="",0,IF(COUNTIF(Q$16:Q475,Q475)=1,1,0))</f>
        <v>0</v>
      </c>
    </row>
    <row r="476" customFormat="false" ht="15" hidden="false" customHeight="false" outlineLevel="0" collapsed="false">
      <c r="A476" s="0" t="str">
        <f aca="false">IFERROR(MATCH(461,Apparitions!$N$1:$N$5001,0),"")</f>
        <v/>
      </c>
      <c r="B476" s="19" t="str">
        <f aca="false">IF($A476="","",INDEX(Apparitions!$A$1:$A$5001,$A476)&amp;"")</f>
        <v/>
      </c>
      <c r="C476" s="19" t="str">
        <f aca="false">IF($A476="","",INDEX(Apparitions!$B$1:$B$5001,$A476)&amp;"")</f>
        <v/>
      </c>
      <c r="D476" s="20" t="str">
        <f aca="false">IF($A476="","",INDEX(Apparitions!$L$1:$L$5001,$A476))</f>
        <v/>
      </c>
      <c r="E476" s="19" t="str">
        <f aca="false">IF($A476="","",INDEX(Apparitions!$C$1:$C$5001,$A476)&amp;"")</f>
        <v/>
      </c>
      <c r="F476" s="19" t="str">
        <f aca="false">IF($A476="","",INDEX(Apparitions!$H$1:$H$5001,$A476)&amp;"")</f>
        <v/>
      </c>
      <c r="G476" s="19" t="str">
        <f aca="false">IF($A476="","",INDEX(Apparitions!$I$1:$I$5001,$A476)&amp;"")</f>
        <v/>
      </c>
      <c r="H476" s="19" t="str">
        <f aca="false">IF($A476="","",INDEX(Apparitions!$J$1:$J$5001,$A476)&amp;"")</f>
        <v/>
      </c>
      <c r="I476" s="19" t="str">
        <f aca="false">IF($A476="","",INDEX(Apparitions!$G$1:$G$5001,$A476)&amp;"")</f>
        <v/>
      </c>
      <c r="J476" s="19" t="str">
        <f aca="false">IF($A476="","",INDEX(Apparitions!$M$1:$M$5001,$A476)&amp;"")</f>
        <v/>
      </c>
      <c r="K476" s="21" t="str">
        <f aca="false">IF($A476="","",INDEX(Apparitions!$K$1:$K$5001,$A476))</f>
        <v/>
      </c>
      <c r="L476" s="22" t="str">
        <f aca="false">IF($A476="","",INDEX(Apparitions!$E$1:$E$5001,$A476)&amp;"")</f>
        <v/>
      </c>
      <c r="M476" s="19" t="str">
        <f aca="false">IF($A476="","",INDEX(Apparitions!$F$1:$F$5001,$A476)&amp;"")</f>
        <v/>
      </c>
      <c r="O476" s="23" t="n">
        <f aca="false">IF(I476="",0,IF(COUNTIF(I$16:I476,I476)=1,1,0))</f>
        <v>0</v>
      </c>
      <c r="P476" s="23" t="n">
        <f aca="false">IF(F476="",0,IF(COUNTIF(F$16:F476,F476)=1,1,0))</f>
        <v>0</v>
      </c>
      <c r="Q476" s="0" t="str">
        <f aca="false">IF(B476="","",B476&amp;"|"&amp;C476)</f>
        <v/>
      </c>
      <c r="R476" s="23" t="n">
        <f aca="false">IF(Q476="",0,IF(COUNTIF(Q$16:Q476,Q476)=1,1,0))</f>
        <v>0</v>
      </c>
    </row>
    <row r="477" customFormat="false" ht="15" hidden="false" customHeight="false" outlineLevel="0" collapsed="false">
      <c r="A477" s="0" t="str">
        <f aca="false">IFERROR(MATCH(462,Apparitions!$N$1:$N$5001,0),"")</f>
        <v/>
      </c>
      <c r="B477" s="19" t="str">
        <f aca="false">IF($A477="","",INDEX(Apparitions!$A$1:$A$5001,$A477)&amp;"")</f>
        <v/>
      </c>
      <c r="C477" s="19" t="str">
        <f aca="false">IF($A477="","",INDEX(Apparitions!$B$1:$B$5001,$A477)&amp;"")</f>
        <v/>
      </c>
      <c r="D477" s="20" t="str">
        <f aca="false">IF($A477="","",INDEX(Apparitions!$L$1:$L$5001,$A477))</f>
        <v/>
      </c>
      <c r="E477" s="19" t="str">
        <f aca="false">IF($A477="","",INDEX(Apparitions!$C$1:$C$5001,$A477)&amp;"")</f>
        <v/>
      </c>
      <c r="F477" s="19" t="str">
        <f aca="false">IF($A477="","",INDEX(Apparitions!$H$1:$H$5001,$A477)&amp;"")</f>
        <v/>
      </c>
      <c r="G477" s="19" t="str">
        <f aca="false">IF($A477="","",INDEX(Apparitions!$I$1:$I$5001,$A477)&amp;"")</f>
        <v/>
      </c>
      <c r="H477" s="19" t="str">
        <f aca="false">IF($A477="","",INDEX(Apparitions!$J$1:$J$5001,$A477)&amp;"")</f>
        <v/>
      </c>
      <c r="I477" s="19" t="str">
        <f aca="false">IF($A477="","",INDEX(Apparitions!$G$1:$G$5001,$A477)&amp;"")</f>
        <v/>
      </c>
      <c r="J477" s="19" t="str">
        <f aca="false">IF($A477="","",INDEX(Apparitions!$M$1:$M$5001,$A477)&amp;"")</f>
        <v/>
      </c>
      <c r="K477" s="21" t="str">
        <f aca="false">IF($A477="","",INDEX(Apparitions!$K$1:$K$5001,$A477))</f>
        <v/>
      </c>
      <c r="L477" s="22" t="str">
        <f aca="false">IF($A477="","",INDEX(Apparitions!$E$1:$E$5001,$A477)&amp;"")</f>
        <v/>
      </c>
      <c r="M477" s="19" t="str">
        <f aca="false">IF($A477="","",INDEX(Apparitions!$F$1:$F$5001,$A477)&amp;"")</f>
        <v/>
      </c>
      <c r="O477" s="23" t="n">
        <f aca="false">IF(I477="",0,IF(COUNTIF(I$16:I477,I477)=1,1,0))</f>
        <v>0</v>
      </c>
      <c r="P477" s="23" t="n">
        <f aca="false">IF(F477="",0,IF(COUNTIF(F$16:F477,F477)=1,1,0))</f>
        <v>0</v>
      </c>
      <c r="Q477" s="0" t="str">
        <f aca="false">IF(B477="","",B477&amp;"|"&amp;C477)</f>
        <v/>
      </c>
      <c r="R477" s="23" t="n">
        <f aca="false">IF(Q477="",0,IF(COUNTIF(Q$16:Q477,Q477)=1,1,0))</f>
        <v>0</v>
      </c>
    </row>
    <row r="478" customFormat="false" ht="15" hidden="false" customHeight="false" outlineLevel="0" collapsed="false">
      <c r="A478" s="0" t="str">
        <f aca="false">IFERROR(MATCH(463,Apparitions!$N$1:$N$5001,0),"")</f>
        <v/>
      </c>
      <c r="B478" s="19" t="str">
        <f aca="false">IF($A478="","",INDEX(Apparitions!$A$1:$A$5001,$A478)&amp;"")</f>
        <v/>
      </c>
      <c r="C478" s="19" t="str">
        <f aca="false">IF($A478="","",INDEX(Apparitions!$B$1:$B$5001,$A478)&amp;"")</f>
        <v/>
      </c>
      <c r="D478" s="20" t="str">
        <f aca="false">IF($A478="","",INDEX(Apparitions!$L$1:$L$5001,$A478))</f>
        <v/>
      </c>
      <c r="E478" s="19" t="str">
        <f aca="false">IF($A478="","",INDEX(Apparitions!$C$1:$C$5001,$A478)&amp;"")</f>
        <v/>
      </c>
      <c r="F478" s="19" t="str">
        <f aca="false">IF($A478="","",INDEX(Apparitions!$H$1:$H$5001,$A478)&amp;"")</f>
        <v/>
      </c>
      <c r="G478" s="19" t="str">
        <f aca="false">IF($A478="","",INDEX(Apparitions!$I$1:$I$5001,$A478)&amp;"")</f>
        <v/>
      </c>
      <c r="H478" s="19" t="str">
        <f aca="false">IF($A478="","",INDEX(Apparitions!$J$1:$J$5001,$A478)&amp;"")</f>
        <v/>
      </c>
      <c r="I478" s="19" t="str">
        <f aca="false">IF($A478="","",INDEX(Apparitions!$G$1:$G$5001,$A478)&amp;"")</f>
        <v/>
      </c>
      <c r="J478" s="19" t="str">
        <f aca="false">IF($A478="","",INDEX(Apparitions!$M$1:$M$5001,$A478)&amp;"")</f>
        <v/>
      </c>
      <c r="K478" s="21" t="str">
        <f aca="false">IF($A478="","",INDEX(Apparitions!$K$1:$K$5001,$A478))</f>
        <v/>
      </c>
      <c r="L478" s="22" t="str">
        <f aca="false">IF($A478="","",INDEX(Apparitions!$E$1:$E$5001,$A478)&amp;"")</f>
        <v/>
      </c>
      <c r="M478" s="19" t="str">
        <f aca="false">IF($A478="","",INDEX(Apparitions!$F$1:$F$5001,$A478)&amp;"")</f>
        <v/>
      </c>
      <c r="O478" s="23" t="n">
        <f aca="false">IF(I478="",0,IF(COUNTIF(I$16:I478,I478)=1,1,0))</f>
        <v>0</v>
      </c>
      <c r="P478" s="23" t="n">
        <f aca="false">IF(F478="",0,IF(COUNTIF(F$16:F478,F478)=1,1,0))</f>
        <v>0</v>
      </c>
      <c r="Q478" s="0" t="str">
        <f aca="false">IF(B478="","",B478&amp;"|"&amp;C478)</f>
        <v/>
      </c>
      <c r="R478" s="23" t="n">
        <f aca="false">IF(Q478="",0,IF(COUNTIF(Q$16:Q478,Q478)=1,1,0))</f>
        <v>0</v>
      </c>
    </row>
    <row r="479" customFormat="false" ht="15" hidden="false" customHeight="false" outlineLevel="0" collapsed="false">
      <c r="A479" s="0" t="str">
        <f aca="false">IFERROR(MATCH(464,Apparitions!$N$1:$N$5001,0),"")</f>
        <v/>
      </c>
      <c r="B479" s="19" t="str">
        <f aca="false">IF($A479="","",INDEX(Apparitions!$A$1:$A$5001,$A479)&amp;"")</f>
        <v/>
      </c>
      <c r="C479" s="19" t="str">
        <f aca="false">IF($A479="","",INDEX(Apparitions!$B$1:$B$5001,$A479)&amp;"")</f>
        <v/>
      </c>
      <c r="D479" s="20" t="str">
        <f aca="false">IF($A479="","",INDEX(Apparitions!$L$1:$L$5001,$A479))</f>
        <v/>
      </c>
      <c r="E479" s="19" t="str">
        <f aca="false">IF($A479="","",INDEX(Apparitions!$C$1:$C$5001,$A479)&amp;"")</f>
        <v/>
      </c>
      <c r="F479" s="19" t="str">
        <f aca="false">IF($A479="","",INDEX(Apparitions!$H$1:$H$5001,$A479)&amp;"")</f>
        <v/>
      </c>
      <c r="G479" s="19" t="str">
        <f aca="false">IF($A479="","",INDEX(Apparitions!$I$1:$I$5001,$A479)&amp;"")</f>
        <v/>
      </c>
      <c r="H479" s="19" t="str">
        <f aca="false">IF($A479="","",INDEX(Apparitions!$J$1:$J$5001,$A479)&amp;"")</f>
        <v/>
      </c>
      <c r="I479" s="19" t="str">
        <f aca="false">IF($A479="","",INDEX(Apparitions!$G$1:$G$5001,$A479)&amp;"")</f>
        <v/>
      </c>
      <c r="J479" s="19" t="str">
        <f aca="false">IF($A479="","",INDEX(Apparitions!$M$1:$M$5001,$A479)&amp;"")</f>
        <v/>
      </c>
      <c r="K479" s="21" t="str">
        <f aca="false">IF($A479="","",INDEX(Apparitions!$K$1:$K$5001,$A479))</f>
        <v/>
      </c>
      <c r="L479" s="22" t="str">
        <f aca="false">IF($A479="","",INDEX(Apparitions!$E$1:$E$5001,$A479)&amp;"")</f>
        <v/>
      </c>
      <c r="M479" s="19" t="str">
        <f aca="false">IF($A479="","",INDEX(Apparitions!$F$1:$F$5001,$A479)&amp;"")</f>
        <v/>
      </c>
      <c r="O479" s="23" t="n">
        <f aca="false">IF(I479="",0,IF(COUNTIF(I$16:I479,I479)=1,1,0))</f>
        <v>0</v>
      </c>
      <c r="P479" s="23" t="n">
        <f aca="false">IF(F479="",0,IF(COUNTIF(F$16:F479,F479)=1,1,0))</f>
        <v>0</v>
      </c>
      <c r="Q479" s="0" t="str">
        <f aca="false">IF(B479="","",B479&amp;"|"&amp;C479)</f>
        <v/>
      </c>
      <c r="R479" s="23" t="n">
        <f aca="false">IF(Q479="",0,IF(COUNTIF(Q$16:Q479,Q479)=1,1,0))</f>
        <v>0</v>
      </c>
    </row>
    <row r="480" customFormat="false" ht="15" hidden="false" customHeight="false" outlineLevel="0" collapsed="false">
      <c r="A480" s="0" t="str">
        <f aca="false">IFERROR(MATCH(465,Apparitions!$N$1:$N$5001,0),"")</f>
        <v/>
      </c>
      <c r="B480" s="19" t="str">
        <f aca="false">IF($A480="","",INDEX(Apparitions!$A$1:$A$5001,$A480)&amp;"")</f>
        <v/>
      </c>
      <c r="C480" s="19" t="str">
        <f aca="false">IF($A480="","",INDEX(Apparitions!$B$1:$B$5001,$A480)&amp;"")</f>
        <v/>
      </c>
      <c r="D480" s="20" t="str">
        <f aca="false">IF($A480="","",INDEX(Apparitions!$L$1:$L$5001,$A480))</f>
        <v/>
      </c>
      <c r="E480" s="19" t="str">
        <f aca="false">IF($A480="","",INDEX(Apparitions!$C$1:$C$5001,$A480)&amp;"")</f>
        <v/>
      </c>
      <c r="F480" s="19" t="str">
        <f aca="false">IF($A480="","",INDEX(Apparitions!$H$1:$H$5001,$A480)&amp;"")</f>
        <v/>
      </c>
      <c r="G480" s="19" t="str">
        <f aca="false">IF($A480="","",INDEX(Apparitions!$I$1:$I$5001,$A480)&amp;"")</f>
        <v/>
      </c>
      <c r="H480" s="19" t="str">
        <f aca="false">IF($A480="","",INDEX(Apparitions!$J$1:$J$5001,$A480)&amp;"")</f>
        <v/>
      </c>
      <c r="I480" s="19" t="str">
        <f aca="false">IF($A480="","",INDEX(Apparitions!$G$1:$G$5001,$A480)&amp;"")</f>
        <v/>
      </c>
      <c r="J480" s="19" t="str">
        <f aca="false">IF($A480="","",INDEX(Apparitions!$M$1:$M$5001,$A480)&amp;"")</f>
        <v/>
      </c>
      <c r="K480" s="21" t="str">
        <f aca="false">IF($A480="","",INDEX(Apparitions!$K$1:$K$5001,$A480))</f>
        <v/>
      </c>
      <c r="L480" s="22" t="str">
        <f aca="false">IF($A480="","",INDEX(Apparitions!$E$1:$E$5001,$A480)&amp;"")</f>
        <v/>
      </c>
      <c r="M480" s="19" t="str">
        <f aca="false">IF($A480="","",INDEX(Apparitions!$F$1:$F$5001,$A480)&amp;"")</f>
        <v/>
      </c>
      <c r="O480" s="23" t="n">
        <f aca="false">IF(I480="",0,IF(COUNTIF(I$16:I480,I480)=1,1,0))</f>
        <v>0</v>
      </c>
      <c r="P480" s="23" t="n">
        <f aca="false">IF(F480="",0,IF(COUNTIF(F$16:F480,F480)=1,1,0))</f>
        <v>0</v>
      </c>
      <c r="Q480" s="0" t="str">
        <f aca="false">IF(B480="","",B480&amp;"|"&amp;C480)</f>
        <v/>
      </c>
      <c r="R480" s="23" t="n">
        <f aca="false">IF(Q480="",0,IF(COUNTIF(Q$16:Q480,Q480)=1,1,0))</f>
        <v>0</v>
      </c>
    </row>
    <row r="481" customFormat="false" ht="15" hidden="false" customHeight="false" outlineLevel="0" collapsed="false">
      <c r="A481" s="0" t="str">
        <f aca="false">IFERROR(MATCH(466,Apparitions!$N$1:$N$5001,0),"")</f>
        <v/>
      </c>
      <c r="B481" s="19" t="str">
        <f aca="false">IF($A481="","",INDEX(Apparitions!$A$1:$A$5001,$A481)&amp;"")</f>
        <v/>
      </c>
      <c r="C481" s="19" t="str">
        <f aca="false">IF($A481="","",INDEX(Apparitions!$B$1:$B$5001,$A481)&amp;"")</f>
        <v/>
      </c>
      <c r="D481" s="20" t="str">
        <f aca="false">IF($A481="","",INDEX(Apparitions!$L$1:$L$5001,$A481))</f>
        <v/>
      </c>
      <c r="E481" s="19" t="str">
        <f aca="false">IF($A481="","",INDEX(Apparitions!$C$1:$C$5001,$A481)&amp;"")</f>
        <v/>
      </c>
      <c r="F481" s="19" t="str">
        <f aca="false">IF($A481="","",INDEX(Apparitions!$H$1:$H$5001,$A481)&amp;"")</f>
        <v/>
      </c>
      <c r="G481" s="19" t="str">
        <f aca="false">IF($A481="","",INDEX(Apparitions!$I$1:$I$5001,$A481)&amp;"")</f>
        <v/>
      </c>
      <c r="H481" s="19" t="str">
        <f aca="false">IF($A481="","",INDEX(Apparitions!$J$1:$J$5001,$A481)&amp;"")</f>
        <v/>
      </c>
      <c r="I481" s="19" t="str">
        <f aca="false">IF($A481="","",INDEX(Apparitions!$G$1:$G$5001,$A481)&amp;"")</f>
        <v/>
      </c>
      <c r="J481" s="19" t="str">
        <f aca="false">IF($A481="","",INDEX(Apparitions!$M$1:$M$5001,$A481)&amp;"")</f>
        <v/>
      </c>
      <c r="K481" s="21" t="str">
        <f aca="false">IF($A481="","",INDEX(Apparitions!$K$1:$K$5001,$A481))</f>
        <v/>
      </c>
      <c r="L481" s="22" t="str">
        <f aca="false">IF($A481="","",INDEX(Apparitions!$E$1:$E$5001,$A481)&amp;"")</f>
        <v/>
      </c>
      <c r="M481" s="19" t="str">
        <f aca="false">IF($A481="","",INDEX(Apparitions!$F$1:$F$5001,$A481)&amp;"")</f>
        <v/>
      </c>
      <c r="O481" s="23" t="n">
        <f aca="false">IF(I481="",0,IF(COUNTIF(I$16:I481,I481)=1,1,0))</f>
        <v>0</v>
      </c>
      <c r="P481" s="23" t="n">
        <f aca="false">IF(F481="",0,IF(COUNTIF(F$16:F481,F481)=1,1,0))</f>
        <v>0</v>
      </c>
      <c r="Q481" s="0" t="str">
        <f aca="false">IF(B481="","",B481&amp;"|"&amp;C481)</f>
        <v/>
      </c>
      <c r="R481" s="23" t="n">
        <f aca="false">IF(Q481="",0,IF(COUNTIF(Q$16:Q481,Q481)=1,1,0))</f>
        <v>0</v>
      </c>
    </row>
    <row r="482" customFormat="false" ht="15" hidden="false" customHeight="false" outlineLevel="0" collapsed="false">
      <c r="A482" s="0" t="str">
        <f aca="false">IFERROR(MATCH(467,Apparitions!$N$1:$N$5001,0),"")</f>
        <v/>
      </c>
      <c r="B482" s="19" t="str">
        <f aca="false">IF($A482="","",INDEX(Apparitions!$A$1:$A$5001,$A482)&amp;"")</f>
        <v/>
      </c>
      <c r="C482" s="19" t="str">
        <f aca="false">IF($A482="","",INDEX(Apparitions!$B$1:$B$5001,$A482)&amp;"")</f>
        <v/>
      </c>
      <c r="D482" s="20" t="str">
        <f aca="false">IF($A482="","",INDEX(Apparitions!$L$1:$L$5001,$A482))</f>
        <v/>
      </c>
      <c r="E482" s="19" t="str">
        <f aca="false">IF($A482="","",INDEX(Apparitions!$C$1:$C$5001,$A482)&amp;"")</f>
        <v/>
      </c>
      <c r="F482" s="19" t="str">
        <f aca="false">IF($A482="","",INDEX(Apparitions!$H$1:$H$5001,$A482)&amp;"")</f>
        <v/>
      </c>
      <c r="G482" s="19" t="str">
        <f aca="false">IF($A482="","",INDEX(Apparitions!$I$1:$I$5001,$A482)&amp;"")</f>
        <v/>
      </c>
      <c r="H482" s="19" t="str">
        <f aca="false">IF($A482="","",INDEX(Apparitions!$J$1:$J$5001,$A482)&amp;"")</f>
        <v/>
      </c>
      <c r="I482" s="19" t="str">
        <f aca="false">IF($A482="","",INDEX(Apparitions!$G$1:$G$5001,$A482)&amp;"")</f>
        <v/>
      </c>
      <c r="J482" s="19" t="str">
        <f aca="false">IF($A482="","",INDEX(Apparitions!$M$1:$M$5001,$A482)&amp;"")</f>
        <v/>
      </c>
      <c r="K482" s="21" t="str">
        <f aca="false">IF($A482="","",INDEX(Apparitions!$K$1:$K$5001,$A482))</f>
        <v/>
      </c>
      <c r="L482" s="22" t="str">
        <f aca="false">IF($A482="","",INDEX(Apparitions!$E$1:$E$5001,$A482)&amp;"")</f>
        <v/>
      </c>
      <c r="M482" s="19" t="str">
        <f aca="false">IF($A482="","",INDEX(Apparitions!$F$1:$F$5001,$A482)&amp;"")</f>
        <v/>
      </c>
      <c r="O482" s="23" t="n">
        <f aca="false">IF(I482="",0,IF(COUNTIF(I$16:I482,I482)=1,1,0))</f>
        <v>0</v>
      </c>
      <c r="P482" s="23" t="n">
        <f aca="false">IF(F482="",0,IF(COUNTIF(F$16:F482,F482)=1,1,0))</f>
        <v>0</v>
      </c>
      <c r="Q482" s="0" t="str">
        <f aca="false">IF(B482="","",B482&amp;"|"&amp;C482)</f>
        <v/>
      </c>
      <c r="R482" s="23" t="n">
        <f aca="false">IF(Q482="",0,IF(COUNTIF(Q$16:Q482,Q482)=1,1,0))</f>
        <v>0</v>
      </c>
    </row>
    <row r="483" customFormat="false" ht="15" hidden="false" customHeight="false" outlineLevel="0" collapsed="false">
      <c r="A483" s="0" t="str">
        <f aca="false">IFERROR(MATCH(468,Apparitions!$N$1:$N$5001,0),"")</f>
        <v/>
      </c>
      <c r="B483" s="19" t="str">
        <f aca="false">IF($A483="","",INDEX(Apparitions!$A$1:$A$5001,$A483)&amp;"")</f>
        <v/>
      </c>
      <c r="C483" s="19" t="str">
        <f aca="false">IF($A483="","",INDEX(Apparitions!$B$1:$B$5001,$A483)&amp;"")</f>
        <v/>
      </c>
      <c r="D483" s="20" t="str">
        <f aca="false">IF($A483="","",INDEX(Apparitions!$L$1:$L$5001,$A483))</f>
        <v/>
      </c>
      <c r="E483" s="19" t="str">
        <f aca="false">IF($A483="","",INDEX(Apparitions!$C$1:$C$5001,$A483)&amp;"")</f>
        <v/>
      </c>
      <c r="F483" s="19" t="str">
        <f aca="false">IF($A483="","",INDEX(Apparitions!$H$1:$H$5001,$A483)&amp;"")</f>
        <v/>
      </c>
      <c r="G483" s="19" t="str">
        <f aca="false">IF($A483="","",INDEX(Apparitions!$I$1:$I$5001,$A483)&amp;"")</f>
        <v/>
      </c>
      <c r="H483" s="19" t="str">
        <f aca="false">IF($A483="","",INDEX(Apparitions!$J$1:$J$5001,$A483)&amp;"")</f>
        <v/>
      </c>
      <c r="I483" s="19" t="str">
        <f aca="false">IF($A483="","",INDEX(Apparitions!$G$1:$G$5001,$A483)&amp;"")</f>
        <v/>
      </c>
      <c r="J483" s="19" t="str">
        <f aca="false">IF($A483="","",INDEX(Apparitions!$M$1:$M$5001,$A483)&amp;"")</f>
        <v/>
      </c>
      <c r="K483" s="21" t="str">
        <f aca="false">IF($A483="","",INDEX(Apparitions!$K$1:$K$5001,$A483))</f>
        <v/>
      </c>
      <c r="L483" s="22" t="str">
        <f aca="false">IF($A483="","",INDEX(Apparitions!$E$1:$E$5001,$A483)&amp;"")</f>
        <v/>
      </c>
      <c r="M483" s="19" t="str">
        <f aca="false">IF($A483="","",INDEX(Apparitions!$F$1:$F$5001,$A483)&amp;"")</f>
        <v/>
      </c>
      <c r="O483" s="23" t="n">
        <f aca="false">IF(I483="",0,IF(COUNTIF(I$16:I483,I483)=1,1,0))</f>
        <v>0</v>
      </c>
      <c r="P483" s="23" t="n">
        <f aca="false">IF(F483="",0,IF(COUNTIF(F$16:F483,F483)=1,1,0))</f>
        <v>0</v>
      </c>
      <c r="Q483" s="0" t="str">
        <f aca="false">IF(B483="","",B483&amp;"|"&amp;C483)</f>
        <v/>
      </c>
      <c r="R483" s="23" t="n">
        <f aca="false">IF(Q483="",0,IF(COUNTIF(Q$16:Q483,Q483)=1,1,0))</f>
        <v>0</v>
      </c>
    </row>
    <row r="484" customFormat="false" ht="15" hidden="false" customHeight="false" outlineLevel="0" collapsed="false">
      <c r="A484" s="0" t="str">
        <f aca="false">IFERROR(MATCH(469,Apparitions!$N$1:$N$5001,0),"")</f>
        <v/>
      </c>
      <c r="B484" s="19" t="str">
        <f aca="false">IF($A484="","",INDEX(Apparitions!$A$1:$A$5001,$A484)&amp;"")</f>
        <v/>
      </c>
      <c r="C484" s="19" t="str">
        <f aca="false">IF($A484="","",INDEX(Apparitions!$B$1:$B$5001,$A484)&amp;"")</f>
        <v/>
      </c>
      <c r="D484" s="20" t="str">
        <f aca="false">IF($A484="","",INDEX(Apparitions!$L$1:$L$5001,$A484))</f>
        <v/>
      </c>
      <c r="E484" s="19" t="str">
        <f aca="false">IF($A484="","",INDEX(Apparitions!$C$1:$C$5001,$A484)&amp;"")</f>
        <v/>
      </c>
      <c r="F484" s="19" t="str">
        <f aca="false">IF($A484="","",INDEX(Apparitions!$H$1:$H$5001,$A484)&amp;"")</f>
        <v/>
      </c>
      <c r="G484" s="19" t="str">
        <f aca="false">IF($A484="","",INDEX(Apparitions!$I$1:$I$5001,$A484)&amp;"")</f>
        <v/>
      </c>
      <c r="H484" s="19" t="str">
        <f aca="false">IF($A484="","",INDEX(Apparitions!$J$1:$J$5001,$A484)&amp;"")</f>
        <v/>
      </c>
      <c r="I484" s="19" t="str">
        <f aca="false">IF($A484="","",INDEX(Apparitions!$G$1:$G$5001,$A484)&amp;"")</f>
        <v/>
      </c>
      <c r="J484" s="19" t="str">
        <f aca="false">IF($A484="","",INDEX(Apparitions!$M$1:$M$5001,$A484)&amp;"")</f>
        <v/>
      </c>
      <c r="K484" s="21" t="str">
        <f aca="false">IF($A484="","",INDEX(Apparitions!$K$1:$K$5001,$A484))</f>
        <v/>
      </c>
      <c r="L484" s="22" t="str">
        <f aca="false">IF($A484="","",INDEX(Apparitions!$E$1:$E$5001,$A484)&amp;"")</f>
        <v/>
      </c>
      <c r="M484" s="19" t="str">
        <f aca="false">IF($A484="","",INDEX(Apparitions!$F$1:$F$5001,$A484)&amp;"")</f>
        <v/>
      </c>
      <c r="O484" s="23" t="n">
        <f aca="false">IF(I484="",0,IF(COUNTIF(I$16:I484,I484)=1,1,0))</f>
        <v>0</v>
      </c>
      <c r="P484" s="23" t="n">
        <f aca="false">IF(F484="",0,IF(COUNTIF(F$16:F484,F484)=1,1,0))</f>
        <v>0</v>
      </c>
      <c r="Q484" s="0" t="str">
        <f aca="false">IF(B484="","",B484&amp;"|"&amp;C484)</f>
        <v/>
      </c>
      <c r="R484" s="23" t="n">
        <f aca="false">IF(Q484="",0,IF(COUNTIF(Q$16:Q484,Q484)=1,1,0))</f>
        <v>0</v>
      </c>
    </row>
    <row r="485" customFormat="false" ht="15" hidden="false" customHeight="false" outlineLevel="0" collapsed="false">
      <c r="A485" s="0" t="str">
        <f aca="false">IFERROR(MATCH(470,Apparitions!$N$1:$N$5001,0),"")</f>
        <v/>
      </c>
      <c r="B485" s="19" t="str">
        <f aca="false">IF($A485="","",INDEX(Apparitions!$A$1:$A$5001,$A485)&amp;"")</f>
        <v/>
      </c>
      <c r="C485" s="19" t="str">
        <f aca="false">IF($A485="","",INDEX(Apparitions!$B$1:$B$5001,$A485)&amp;"")</f>
        <v/>
      </c>
      <c r="D485" s="20" t="str">
        <f aca="false">IF($A485="","",INDEX(Apparitions!$L$1:$L$5001,$A485))</f>
        <v/>
      </c>
      <c r="E485" s="19" t="str">
        <f aca="false">IF($A485="","",INDEX(Apparitions!$C$1:$C$5001,$A485)&amp;"")</f>
        <v/>
      </c>
      <c r="F485" s="19" t="str">
        <f aca="false">IF($A485="","",INDEX(Apparitions!$H$1:$H$5001,$A485)&amp;"")</f>
        <v/>
      </c>
      <c r="G485" s="19" t="str">
        <f aca="false">IF($A485="","",INDEX(Apparitions!$I$1:$I$5001,$A485)&amp;"")</f>
        <v/>
      </c>
      <c r="H485" s="19" t="str">
        <f aca="false">IF($A485="","",INDEX(Apparitions!$J$1:$J$5001,$A485)&amp;"")</f>
        <v/>
      </c>
      <c r="I485" s="19" t="str">
        <f aca="false">IF($A485="","",INDEX(Apparitions!$G$1:$G$5001,$A485)&amp;"")</f>
        <v/>
      </c>
      <c r="J485" s="19" t="str">
        <f aca="false">IF($A485="","",INDEX(Apparitions!$M$1:$M$5001,$A485)&amp;"")</f>
        <v/>
      </c>
      <c r="K485" s="21" t="str">
        <f aca="false">IF($A485="","",INDEX(Apparitions!$K$1:$K$5001,$A485))</f>
        <v/>
      </c>
      <c r="L485" s="22" t="str">
        <f aca="false">IF($A485="","",INDEX(Apparitions!$E$1:$E$5001,$A485)&amp;"")</f>
        <v/>
      </c>
      <c r="M485" s="19" t="str">
        <f aca="false">IF($A485="","",INDEX(Apparitions!$F$1:$F$5001,$A485)&amp;"")</f>
        <v/>
      </c>
      <c r="O485" s="23" t="n">
        <f aca="false">IF(I485="",0,IF(COUNTIF(I$16:I485,I485)=1,1,0))</f>
        <v>0</v>
      </c>
      <c r="P485" s="23" t="n">
        <f aca="false">IF(F485="",0,IF(COUNTIF(F$16:F485,F485)=1,1,0))</f>
        <v>0</v>
      </c>
      <c r="Q485" s="0" t="str">
        <f aca="false">IF(B485="","",B485&amp;"|"&amp;C485)</f>
        <v/>
      </c>
      <c r="R485" s="23" t="n">
        <f aca="false">IF(Q485="",0,IF(COUNTIF(Q$16:Q485,Q485)=1,1,0))</f>
        <v>0</v>
      </c>
    </row>
    <row r="486" customFormat="false" ht="15" hidden="false" customHeight="false" outlineLevel="0" collapsed="false">
      <c r="A486" s="0" t="str">
        <f aca="false">IFERROR(MATCH(471,Apparitions!$N$1:$N$5001,0),"")</f>
        <v/>
      </c>
      <c r="B486" s="19" t="str">
        <f aca="false">IF($A486="","",INDEX(Apparitions!$A$1:$A$5001,$A486)&amp;"")</f>
        <v/>
      </c>
      <c r="C486" s="19" t="str">
        <f aca="false">IF($A486="","",INDEX(Apparitions!$B$1:$B$5001,$A486)&amp;"")</f>
        <v/>
      </c>
      <c r="D486" s="20" t="str">
        <f aca="false">IF($A486="","",INDEX(Apparitions!$L$1:$L$5001,$A486))</f>
        <v/>
      </c>
      <c r="E486" s="19" t="str">
        <f aca="false">IF($A486="","",INDEX(Apparitions!$C$1:$C$5001,$A486)&amp;"")</f>
        <v/>
      </c>
      <c r="F486" s="19" t="str">
        <f aca="false">IF($A486="","",INDEX(Apparitions!$H$1:$H$5001,$A486)&amp;"")</f>
        <v/>
      </c>
      <c r="G486" s="19" t="str">
        <f aca="false">IF($A486="","",INDEX(Apparitions!$I$1:$I$5001,$A486)&amp;"")</f>
        <v/>
      </c>
      <c r="H486" s="19" t="str">
        <f aca="false">IF($A486="","",INDEX(Apparitions!$J$1:$J$5001,$A486)&amp;"")</f>
        <v/>
      </c>
      <c r="I486" s="19" t="str">
        <f aca="false">IF($A486="","",INDEX(Apparitions!$G$1:$G$5001,$A486)&amp;"")</f>
        <v/>
      </c>
      <c r="J486" s="19" t="str">
        <f aca="false">IF($A486="","",INDEX(Apparitions!$M$1:$M$5001,$A486)&amp;"")</f>
        <v/>
      </c>
      <c r="K486" s="21" t="str">
        <f aca="false">IF($A486="","",INDEX(Apparitions!$K$1:$K$5001,$A486))</f>
        <v/>
      </c>
      <c r="L486" s="22" t="str">
        <f aca="false">IF($A486="","",INDEX(Apparitions!$E$1:$E$5001,$A486)&amp;"")</f>
        <v/>
      </c>
      <c r="M486" s="19" t="str">
        <f aca="false">IF($A486="","",INDEX(Apparitions!$F$1:$F$5001,$A486)&amp;"")</f>
        <v/>
      </c>
      <c r="O486" s="23" t="n">
        <f aca="false">IF(I486="",0,IF(COUNTIF(I$16:I486,I486)=1,1,0))</f>
        <v>0</v>
      </c>
      <c r="P486" s="23" t="n">
        <f aca="false">IF(F486="",0,IF(COUNTIF(F$16:F486,F486)=1,1,0))</f>
        <v>0</v>
      </c>
      <c r="Q486" s="0" t="str">
        <f aca="false">IF(B486="","",B486&amp;"|"&amp;C486)</f>
        <v/>
      </c>
      <c r="R486" s="23" t="n">
        <f aca="false">IF(Q486="",0,IF(COUNTIF(Q$16:Q486,Q486)=1,1,0))</f>
        <v>0</v>
      </c>
    </row>
    <row r="487" customFormat="false" ht="15" hidden="false" customHeight="false" outlineLevel="0" collapsed="false">
      <c r="A487" s="0" t="str">
        <f aca="false">IFERROR(MATCH(472,Apparitions!$N$1:$N$5001,0),"")</f>
        <v/>
      </c>
      <c r="B487" s="19" t="str">
        <f aca="false">IF($A487="","",INDEX(Apparitions!$A$1:$A$5001,$A487)&amp;"")</f>
        <v/>
      </c>
      <c r="C487" s="19" t="str">
        <f aca="false">IF($A487="","",INDEX(Apparitions!$B$1:$B$5001,$A487)&amp;"")</f>
        <v/>
      </c>
      <c r="D487" s="20" t="str">
        <f aca="false">IF($A487="","",INDEX(Apparitions!$L$1:$L$5001,$A487))</f>
        <v/>
      </c>
      <c r="E487" s="19" t="str">
        <f aca="false">IF($A487="","",INDEX(Apparitions!$C$1:$C$5001,$A487)&amp;"")</f>
        <v/>
      </c>
      <c r="F487" s="19" t="str">
        <f aca="false">IF($A487="","",INDEX(Apparitions!$H$1:$H$5001,$A487)&amp;"")</f>
        <v/>
      </c>
      <c r="G487" s="19" t="str">
        <f aca="false">IF($A487="","",INDEX(Apparitions!$I$1:$I$5001,$A487)&amp;"")</f>
        <v/>
      </c>
      <c r="H487" s="19" t="str">
        <f aca="false">IF($A487="","",INDEX(Apparitions!$J$1:$J$5001,$A487)&amp;"")</f>
        <v/>
      </c>
      <c r="I487" s="19" t="str">
        <f aca="false">IF($A487="","",INDEX(Apparitions!$G$1:$G$5001,$A487)&amp;"")</f>
        <v/>
      </c>
      <c r="J487" s="19" t="str">
        <f aca="false">IF($A487="","",INDEX(Apparitions!$M$1:$M$5001,$A487)&amp;"")</f>
        <v/>
      </c>
      <c r="K487" s="21" t="str">
        <f aca="false">IF($A487="","",INDEX(Apparitions!$K$1:$K$5001,$A487))</f>
        <v/>
      </c>
      <c r="L487" s="22" t="str">
        <f aca="false">IF($A487="","",INDEX(Apparitions!$E$1:$E$5001,$A487)&amp;"")</f>
        <v/>
      </c>
      <c r="M487" s="19" t="str">
        <f aca="false">IF($A487="","",INDEX(Apparitions!$F$1:$F$5001,$A487)&amp;"")</f>
        <v/>
      </c>
      <c r="O487" s="23" t="n">
        <f aca="false">IF(I487="",0,IF(COUNTIF(I$16:I487,I487)=1,1,0))</f>
        <v>0</v>
      </c>
      <c r="P487" s="23" t="n">
        <f aca="false">IF(F487="",0,IF(COUNTIF(F$16:F487,F487)=1,1,0))</f>
        <v>0</v>
      </c>
      <c r="Q487" s="0" t="str">
        <f aca="false">IF(B487="","",B487&amp;"|"&amp;C487)</f>
        <v/>
      </c>
      <c r="R487" s="23" t="n">
        <f aca="false">IF(Q487="",0,IF(COUNTIF(Q$16:Q487,Q487)=1,1,0))</f>
        <v>0</v>
      </c>
    </row>
    <row r="488" customFormat="false" ht="15" hidden="false" customHeight="false" outlineLevel="0" collapsed="false">
      <c r="A488" s="0" t="str">
        <f aca="false">IFERROR(MATCH(473,Apparitions!$N$1:$N$5001,0),"")</f>
        <v/>
      </c>
      <c r="B488" s="19" t="str">
        <f aca="false">IF($A488="","",INDEX(Apparitions!$A$1:$A$5001,$A488)&amp;"")</f>
        <v/>
      </c>
      <c r="C488" s="19" t="str">
        <f aca="false">IF($A488="","",INDEX(Apparitions!$B$1:$B$5001,$A488)&amp;"")</f>
        <v/>
      </c>
      <c r="D488" s="20" t="str">
        <f aca="false">IF($A488="","",INDEX(Apparitions!$L$1:$L$5001,$A488))</f>
        <v/>
      </c>
      <c r="E488" s="19" t="str">
        <f aca="false">IF($A488="","",INDEX(Apparitions!$C$1:$C$5001,$A488)&amp;"")</f>
        <v/>
      </c>
      <c r="F488" s="19" t="str">
        <f aca="false">IF($A488="","",INDEX(Apparitions!$H$1:$H$5001,$A488)&amp;"")</f>
        <v/>
      </c>
      <c r="G488" s="19" t="str">
        <f aca="false">IF($A488="","",INDEX(Apparitions!$I$1:$I$5001,$A488)&amp;"")</f>
        <v/>
      </c>
      <c r="H488" s="19" t="str">
        <f aca="false">IF($A488="","",INDEX(Apparitions!$J$1:$J$5001,$A488)&amp;"")</f>
        <v/>
      </c>
      <c r="I488" s="19" t="str">
        <f aca="false">IF($A488="","",INDEX(Apparitions!$G$1:$G$5001,$A488)&amp;"")</f>
        <v/>
      </c>
      <c r="J488" s="19" t="str">
        <f aca="false">IF($A488="","",INDEX(Apparitions!$M$1:$M$5001,$A488)&amp;"")</f>
        <v/>
      </c>
      <c r="K488" s="21" t="str">
        <f aca="false">IF($A488="","",INDEX(Apparitions!$K$1:$K$5001,$A488))</f>
        <v/>
      </c>
      <c r="L488" s="22" t="str">
        <f aca="false">IF($A488="","",INDEX(Apparitions!$E$1:$E$5001,$A488)&amp;"")</f>
        <v/>
      </c>
      <c r="M488" s="19" t="str">
        <f aca="false">IF($A488="","",INDEX(Apparitions!$F$1:$F$5001,$A488)&amp;"")</f>
        <v/>
      </c>
      <c r="O488" s="23" t="n">
        <f aca="false">IF(I488="",0,IF(COUNTIF(I$16:I488,I488)=1,1,0))</f>
        <v>0</v>
      </c>
      <c r="P488" s="23" t="n">
        <f aca="false">IF(F488="",0,IF(COUNTIF(F$16:F488,F488)=1,1,0))</f>
        <v>0</v>
      </c>
      <c r="Q488" s="0" t="str">
        <f aca="false">IF(B488="","",B488&amp;"|"&amp;C488)</f>
        <v/>
      </c>
      <c r="R488" s="23" t="n">
        <f aca="false">IF(Q488="",0,IF(COUNTIF(Q$16:Q488,Q488)=1,1,0))</f>
        <v>0</v>
      </c>
    </row>
    <row r="489" customFormat="false" ht="15" hidden="false" customHeight="false" outlineLevel="0" collapsed="false">
      <c r="A489" s="0" t="str">
        <f aca="false">IFERROR(MATCH(474,Apparitions!$N$1:$N$5001,0),"")</f>
        <v/>
      </c>
      <c r="B489" s="19" t="str">
        <f aca="false">IF($A489="","",INDEX(Apparitions!$A$1:$A$5001,$A489)&amp;"")</f>
        <v/>
      </c>
      <c r="C489" s="19" t="str">
        <f aca="false">IF($A489="","",INDEX(Apparitions!$B$1:$B$5001,$A489)&amp;"")</f>
        <v/>
      </c>
      <c r="D489" s="20" t="str">
        <f aca="false">IF($A489="","",INDEX(Apparitions!$L$1:$L$5001,$A489))</f>
        <v/>
      </c>
      <c r="E489" s="19" t="str">
        <f aca="false">IF($A489="","",INDEX(Apparitions!$C$1:$C$5001,$A489)&amp;"")</f>
        <v/>
      </c>
      <c r="F489" s="19" t="str">
        <f aca="false">IF($A489="","",INDEX(Apparitions!$H$1:$H$5001,$A489)&amp;"")</f>
        <v/>
      </c>
      <c r="G489" s="19" t="str">
        <f aca="false">IF($A489="","",INDEX(Apparitions!$I$1:$I$5001,$A489)&amp;"")</f>
        <v/>
      </c>
      <c r="H489" s="19" t="str">
        <f aca="false">IF($A489="","",INDEX(Apparitions!$J$1:$J$5001,$A489)&amp;"")</f>
        <v/>
      </c>
      <c r="I489" s="19" t="str">
        <f aca="false">IF($A489="","",INDEX(Apparitions!$G$1:$G$5001,$A489)&amp;"")</f>
        <v/>
      </c>
      <c r="J489" s="19" t="str">
        <f aca="false">IF($A489="","",INDEX(Apparitions!$M$1:$M$5001,$A489)&amp;"")</f>
        <v/>
      </c>
      <c r="K489" s="21" t="str">
        <f aca="false">IF($A489="","",INDEX(Apparitions!$K$1:$K$5001,$A489))</f>
        <v/>
      </c>
      <c r="L489" s="22" t="str">
        <f aca="false">IF($A489="","",INDEX(Apparitions!$E$1:$E$5001,$A489)&amp;"")</f>
        <v/>
      </c>
      <c r="M489" s="19" t="str">
        <f aca="false">IF($A489="","",INDEX(Apparitions!$F$1:$F$5001,$A489)&amp;"")</f>
        <v/>
      </c>
      <c r="O489" s="23" t="n">
        <f aca="false">IF(I489="",0,IF(COUNTIF(I$16:I489,I489)=1,1,0))</f>
        <v>0</v>
      </c>
      <c r="P489" s="23" t="n">
        <f aca="false">IF(F489="",0,IF(COUNTIF(F$16:F489,F489)=1,1,0))</f>
        <v>0</v>
      </c>
      <c r="Q489" s="0" t="str">
        <f aca="false">IF(B489="","",B489&amp;"|"&amp;C489)</f>
        <v/>
      </c>
      <c r="R489" s="23" t="n">
        <f aca="false">IF(Q489="",0,IF(COUNTIF(Q$16:Q489,Q489)=1,1,0))</f>
        <v>0</v>
      </c>
    </row>
    <row r="490" customFormat="false" ht="15" hidden="false" customHeight="false" outlineLevel="0" collapsed="false">
      <c r="A490" s="0" t="str">
        <f aca="false">IFERROR(MATCH(475,Apparitions!$N$1:$N$5001,0),"")</f>
        <v/>
      </c>
      <c r="B490" s="19" t="str">
        <f aca="false">IF($A490="","",INDEX(Apparitions!$A$1:$A$5001,$A490)&amp;"")</f>
        <v/>
      </c>
      <c r="C490" s="19" t="str">
        <f aca="false">IF($A490="","",INDEX(Apparitions!$B$1:$B$5001,$A490)&amp;"")</f>
        <v/>
      </c>
      <c r="D490" s="20" t="str">
        <f aca="false">IF($A490="","",INDEX(Apparitions!$L$1:$L$5001,$A490))</f>
        <v/>
      </c>
      <c r="E490" s="19" t="str">
        <f aca="false">IF($A490="","",INDEX(Apparitions!$C$1:$C$5001,$A490)&amp;"")</f>
        <v/>
      </c>
      <c r="F490" s="19" t="str">
        <f aca="false">IF($A490="","",INDEX(Apparitions!$H$1:$H$5001,$A490)&amp;"")</f>
        <v/>
      </c>
      <c r="G490" s="19" t="str">
        <f aca="false">IF($A490="","",INDEX(Apparitions!$I$1:$I$5001,$A490)&amp;"")</f>
        <v/>
      </c>
      <c r="H490" s="19" t="str">
        <f aca="false">IF($A490="","",INDEX(Apparitions!$J$1:$J$5001,$A490)&amp;"")</f>
        <v/>
      </c>
      <c r="I490" s="19" t="str">
        <f aca="false">IF($A490="","",INDEX(Apparitions!$G$1:$G$5001,$A490)&amp;"")</f>
        <v/>
      </c>
      <c r="J490" s="19" t="str">
        <f aca="false">IF($A490="","",INDEX(Apparitions!$M$1:$M$5001,$A490)&amp;"")</f>
        <v/>
      </c>
      <c r="K490" s="21" t="str">
        <f aca="false">IF($A490="","",INDEX(Apparitions!$K$1:$K$5001,$A490))</f>
        <v/>
      </c>
      <c r="L490" s="22" t="str">
        <f aca="false">IF($A490="","",INDEX(Apparitions!$E$1:$E$5001,$A490)&amp;"")</f>
        <v/>
      </c>
      <c r="M490" s="19" t="str">
        <f aca="false">IF($A490="","",INDEX(Apparitions!$F$1:$F$5001,$A490)&amp;"")</f>
        <v/>
      </c>
      <c r="O490" s="23" t="n">
        <f aca="false">IF(I490="",0,IF(COUNTIF(I$16:I490,I490)=1,1,0))</f>
        <v>0</v>
      </c>
      <c r="P490" s="23" t="n">
        <f aca="false">IF(F490="",0,IF(COUNTIF(F$16:F490,F490)=1,1,0))</f>
        <v>0</v>
      </c>
      <c r="Q490" s="0" t="str">
        <f aca="false">IF(B490="","",B490&amp;"|"&amp;C490)</f>
        <v/>
      </c>
      <c r="R490" s="23" t="n">
        <f aca="false">IF(Q490="",0,IF(COUNTIF(Q$16:Q490,Q490)=1,1,0))</f>
        <v>0</v>
      </c>
    </row>
    <row r="491" customFormat="false" ht="15" hidden="false" customHeight="false" outlineLevel="0" collapsed="false">
      <c r="A491" s="0" t="str">
        <f aca="false">IFERROR(MATCH(476,Apparitions!$N$1:$N$5001,0),"")</f>
        <v/>
      </c>
      <c r="B491" s="19" t="str">
        <f aca="false">IF($A491="","",INDEX(Apparitions!$A$1:$A$5001,$A491)&amp;"")</f>
        <v/>
      </c>
      <c r="C491" s="19" t="str">
        <f aca="false">IF($A491="","",INDEX(Apparitions!$B$1:$B$5001,$A491)&amp;"")</f>
        <v/>
      </c>
      <c r="D491" s="20" t="str">
        <f aca="false">IF($A491="","",INDEX(Apparitions!$L$1:$L$5001,$A491))</f>
        <v/>
      </c>
      <c r="E491" s="19" t="str">
        <f aca="false">IF($A491="","",INDEX(Apparitions!$C$1:$C$5001,$A491)&amp;"")</f>
        <v/>
      </c>
      <c r="F491" s="19" t="str">
        <f aca="false">IF($A491="","",INDEX(Apparitions!$H$1:$H$5001,$A491)&amp;"")</f>
        <v/>
      </c>
      <c r="G491" s="19" t="str">
        <f aca="false">IF($A491="","",INDEX(Apparitions!$I$1:$I$5001,$A491)&amp;"")</f>
        <v/>
      </c>
      <c r="H491" s="19" t="str">
        <f aca="false">IF($A491="","",INDEX(Apparitions!$J$1:$J$5001,$A491)&amp;"")</f>
        <v/>
      </c>
      <c r="I491" s="19" t="str">
        <f aca="false">IF($A491="","",INDEX(Apparitions!$G$1:$G$5001,$A491)&amp;"")</f>
        <v/>
      </c>
      <c r="J491" s="19" t="str">
        <f aca="false">IF($A491="","",INDEX(Apparitions!$M$1:$M$5001,$A491)&amp;"")</f>
        <v/>
      </c>
      <c r="K491" s="21" t="str">
        <f aca="false">IF($A491="","",INDEX(Apparitions!$K$1:$K$5001,$A491))</f>
        <v/>
      </c>
      <c r="L491" s="22" t="str">
        <f aca="false">IF($A491="","",INDEX(Apparitions!$E$1:$E$5001,$A491)&amp;"")</f>
        <v/>
      </c>
      <c r="M491" s="19" t="str">
        <f aca="false">IF($A491="","",INDEX(Apparitions!$F$1:$F$5001,$A491)&amp;"")</f>
        <v/>
      </c>
      <c r="O491" s="23" t="n">
        <f aca="false">IF(I491="",0,IF(COUNTIF(I$16:I491,I491)=1,1,0))</f>
        <v>0</v>
      </c>
      <c r="P491" s="23" t="n">
        <f aca="false">IF(F491="",0,IF(COUNTIF(F$16:F491,F491)=1,1,0))</f>
        <v>0</v>
      </c>
      <c r="Q491" s="0" t="str">
        <f aca="false">IF(B491="","",B491&amp;"|"&amp;C491)</f>
        <v/>
      </c>
      <c r="R491" s="23" t="n">
        <f aca="false">IF(Q491="",0,IF(COUNTIF(Q$16:Q491,Q491)=1,1,0))</f>
        <v>0</v>
      </c>
    </row>
    <row r="492" customFormat="false" ht="15" hidden="false" customHeight="false" outlineLevel="0" collapsed="false">
      <c r="A492" s="0" t="str">
        <f aca="false">IFERROR(MATCH(477,Apparitions!$N$1:$N$5001,0),"")</f>
        <v/>
      </c>
      <c r="B492" s="19" t="str">
        <f aca="false">IF($A492="","",INDEX(Apparitions!$A$1:$A$5001,$A492)&amp;"")</f>
        <v/>
      </c>
      <c r="C492" s="19" t="str">
        <f aca="false">IF($A492="","",INDEX(Apparitions!$B$1:$B$5001,$A492)&amp;"")</f>
        <v/>
      </c>
      <c r="D492" s="20" t="str">
        <f aca="false">IF($A492="","",INDEX(Apparitions!$L$1:$L$5001,$A492))</f>
        <v/>
      </c>
      <c r="E492" s="19" t="str">
        <f aca="false">IF($A492="","",INDEX(Apparitions!$C$1:$C$5001,$A492)&amp;"")</f>
        <v/>
      </c>
      <c r="F492" s="19" t="str">
        <f aca="false">IF($A492="","",INDEX(Apparitions!$H$1:$H$5001,$A492)&amp;"")</f>
        <v/>
      </c>
      <c r="G492" s="19" t="str">
        <f aca="false">IF($A492="","",INDEX(Apparitions!$I$1:$I$5001,$A492)&amp;"")</f>
        <v/>
      </c>
      <c r="H492" s="19" t="str">
        <f aca="false">IF($A492="","",INDEX(Apparitions!$J$1:$J$5001,$A492)&amp;"")</f>
        <v/>
      </c>
      <c r="I492" s="19" t="str">
        <f aca="false">IF($A492="","",INDEX(Apparitions!$G$1:$G$5001,$A492)&amp;"")</f>
        <v/>
      </c>
      <c r="J492" s="19" t="str">
        <f aca="false">IF($A492="","",INDEX(Apparitions!$M$1:$M$5001,$A492)&amp;"")</f>
        <v/>
      </c>
      <c r="K492" s="21" t="str">
        <f aca="false">IF($A492="","",INDEX(Apparitions!$K$1:$K$5001,$A492))</f>
        <v/>
      </c>
      <c r="L492" s="22" t="str">
        <f aca="false">IF($A492="","",INDEX(Apparitions!$E$1:$E$5001,$A492)&amp;"")</f>
        <v/>
      </c>
      <c r="M492" s="19" t="str">
        <f aca="false">IF($A492="","",INDEX(Apparitions!$F$1:$F$5001,$A492)&amp;"")</f>
        <v/>
      </c>
      <c r="O492" s="23" t="n">
        <f aca="false">IF(I492="",0,IF(COUNTIF(I$16:I492,I492)=1,1,0))</f>
        <v>0</v>
      </c>
      <c r="P492" s="23" t="n">
        <f aca="false">IF(F492="",0,IF(COUNTIF(F$16:F492,F492)=1,1,0))</f>
        <v>0</v>
      </c>
      <c r="Q492" s="0" t="str">
        <f aca="false">IF(B492="","",B492&amp;"|"&amp;C492)</f>
        <v/>
      </c>
      <c r="R492" s="23" t="n">
        <f aca="false">IF(Q492="",0,IF(COUNTIF(Q$16:Q492,Q492)=1,1,0))</f>
        <v>0</v>
      </c>
    </row>
    <row r="493" customFormat="false" ht="15" hidden="false" customHeight="false" outlineLevel="0" collapsed="false">
      <c r="A493" s="0" t="str">
        <f aca="false">IFERROR(MATCH(478,Apparitions!$N$1:$N$5001,0),"")</f>
        <v/>
      </c>
      <c r="B493" s="19" t="str">
        <f aca="false">IF($A493="","",INDEX(Apparitions!$A$1:$A$5001,$A493)&amp;"")</f>
        <v/>
      </c>
      <c r="C493" s="19" t="str">
        <f aca="false">IF($A493="","",INDEX(Apparitions!$B$1:$B$5001,$A493)&amp;"")</f>
        <v/>
      </c>
      <c r="D493" s="20" t="str">
        <f aca="false">IF($A493="","",INDEX(Apparitions!$L$1:$L$5001,$A493))</f>
        <v/>
      </c>
      <c r="E493" s="19" t="str">
        <f aca="false">IF($A493="","",INDEX(Apparitions!$C$1:$C$5001,$A493)&amp;"")</f>
        <v/>
      </c>
      <c r="F493" s="19" t="str">
        <f aca="false">IF($A493="","",INDEX(Apparitions!$H$1:$H$5001,$A493)&amp;"")</f>
        <v/>
      </c>
      <c r="G493" s="19" t="str">
        <f aca="false">IF($A493="","",INDEX(Apparitions!$I$1:$I$5001,$A493)&amp;"")</f>
        <v/>
      </c>
      <c r="H493" s="19" t="str">
        <f aca="false">IF($A493="","",INDEX(Apparitions!$J$1:$J$5001,$A493)&amp;"")</f>
        <v/>
      </c>
      <c r="I493" s="19" t="str">
        <f aca="false">IF($A493="","",INDEX(Apparitions!$G$1:$G$5001,$A493)&amp;"")</f>
        <v/>
      </c>
      <c r="J493" s="19" t="str">
        <f aca="false">IF($A493="","",INDEX(Apparitions!$M$1:$M$5001,$A493)&amp;"")</f>
        <v/>
      </c>
      <c r="K493" s="21" t="str">
        <f aca="false">IF($A493="","",INDEX(Apparitions!$K$1:$K$5001,$A493))</f>
        <v/>
      </c>
      <c r="L493" s="22" t="str">
        <f aca="false">IF($A493="","",INDEX(Apparitions!$E$1:$E$5001,$A493)&amp;"")</f>
        <v/>
      </c>
      <c r="M493" s="19" t="str">
        <f aca="false">IF($A493="","",INDEX(Apparitions!$F$1:$F$5001,$A493)&amp;"")</f>
        <v/>
      </c>
      <c r="O493" s="23" t="n">
        <f aca="false">IF(I493="",0,IF(COUNTIF(I$16:I493,I493)=1,1,0))</f>
        <v>0</v>
      </c>
      <c r="P493" s="23" t="n">
        <f aca="false">IF(F493="",0,IF(COUNTIF(F$16:F493,F493)=1,1,0))</f>
        <v>0</v>
      </c>
      <c r="Q493" s="0" t="str">
        <f aca="false">IF(B493="","",B493&amp;"|"&amp;C493)</f>
        <v/>
      </c>
      <c r="R493" s="23" t="n">
        <f aca="false">IF(Q493="",0,IF(COUNTIF(Q$16:Q493,Q493)=1,1,0))</f>
        <v>0</v>
      </c>
    </row>
    <row r="494" customFormat="false" ht="15" hidden="false" customHeight="false" outlineLevel="0" collapsed="false">
      <c r="A494" s="0" t="str">
        <f aca="false">IFERROR(MATCH(479,Apparitions!$N$1:$N$5001,0),"")</f>
        <v/>
      </c>
      <c r="B494" s="19" t="str">
        <f aca="false">IF($A494="","",INDEX(Apparitions!$A$1:$A$5001,$A494)&amp;"")</f>
        <v/>
      </c>
      <c r="C494" s="19" t="str">
        <f aca="false">IF($A494="","",INDEX(Apparitions!$B$1:$B$5001,$A494)&amp;"")</f>
        <v/>
      </c>
      <c r="D494" s="20" t="str">
        <f aca="false">IF($A494="","",INDEX(Apparitions!$L$1:$L$5001,$A494))</f>
        <v/>
      </c>
      <c r="E494" s="19" t="str">
        <f aca="false">IF($A494="","",INDEX(Apparitions!$C$1:$C$5001,$A494)&amp;"")</f>
        <v/>
      </c>
      <c r="F494" s="19" t="str">
        <f aca="false">IF($A494="","",INDEX(Apparitions!$H$1:$H$5001,$A494)&amp;"")</f>
        <v/>
      </c>
      <c r="G494" s="19" t="str">
        <f aca="false">IF($A494="","",INDEX(Apparitions!$I$1:$I$5001,$A494)&amp;"")</f>
        <v/>
      </c>
      <c r="H494" s="19" t="str">
        <f aca="false">IF($A494="","",INDEX(Apparitions!$J$1:$J$5001,$A494)&amp;"")</f>
        <v/>
      </c>
      <c r="I494" s="19" t="str">
        <f aca="false">IF($A494="","",INDEX(Apparitions!$G$1:$G$5001,$A494)&amp;"")</f>
        <v/>
      </c>
      <c r="J494" s="19" t="str">
        <f aca="false">IF($A494="","",INDEX(Apparitions!$M$1:$M$5001,$A494)&amp;"")</f>
        <v/>
      </c>
      <c r="K494" s="21" t="str">
        <f aca="false">IF($A494="","",INDEX(Apparitions!$K$1:$K$5001,$A494))</f>
        <v/>
      </c>
      <c r="L494" s="22" t="str">
        <f aca="false">IF($A494="","",INDEX(Apparitions!$E$1:$E$5001,$A494)&amp;"")</f>
        <v/>
      </c>
      <c r="M494" s="19" t="str">
        <f aca="false">IF($A494="","",INDEX(Apparitions!$F$1:$F$5001,$A494)&amp;"")</f>
        <v/>
      </c>
      <c r="O494" s="23" t="n">
        <f aca="false">IF(I494="",0,IF(COUNTIF(I$16:I494,I494)=1,1,0))</f>
        <v>0</v>
      </c>
      <c r="P494" s="23" t="n">
        <f aca="false">IF(F494="",0,IF(COUNTIF(F$16:F494,F494)=1,1,0))</f>
        <v>0</v>
      </c>
      <c r="Q494" s="0" t="str">
        <f aca="false">IF(B494="","",B494&amp;"|"&amp;C494)</f>
        <v/>
      </c>
      <c r="R494" s="23" t="n">
        <f aca="false">IF(Q494="",0,IF(COUNTIF(Q$16:Q494,Q494)=1,1,0))</f>
        <v>0</v>
      </c>
    </row>
    <row r="495" customFormat="false" ht="15" hidden="false" customHeight="false" outlineLevel="0" collapsed="false">
      <c r="A495" s="0" t="str">
        <f aca="false">IFERROR(MATCH(480,Apparitions!$N$1:$N$5001,0),"")</f>
        <v/>
      </c>
      <c r="B495" s="19" t="str">
        <f aca="false">IF($A495="","",INDEX(Apparitions!$A$1:$A$5001,$A495)&amp;"")</f>
        <v/>
      </c>
      <c r="C495" s="19" t="str">
        <f aca="false">IF($A495="","",INDEX(Apparitions!$B$1:$B$5001,$A495)&amp;"")</f>
        <v/>
      </c>
      <c r="D495" s="20" t="str">
        <f aca="false">IF($A495="","",INDEX(Apparitions!$L$1:$L$5001,$A495))</f>
        <v/>
      </c>
      <c r="E495" s="19" t="str">
        <f aca="false">IF($A495="","",INDEX(Apparitions!$C$1:$C$5001,$A495)&amp;"")</f>
        <v/>
      </c>
      <c r="F495" s="19" t="str">
        <f aca="false">IF($A495="","",INDEX(Apparitions!$H$1:$H$5001,$A495)&amp;"")</f>
        <v/>
      </c>
      <c r="G495" s="19" t="str">
        <f aca="false">IF($A495="","",INDEX(Apparitions!$I$1:$I$5001,$A495)&amp;"")</f>
        <v/>
      </c>
      <c r="H495" s="19" t="str">
        <f aca="false">IF($A495="","",INDEX(Apparitions!$J$1:$J$5001,$A495)&amp;"")</f>
        <v/>
      </c>
      <c r="I495" s="19" t="str">
        <f aca="false">IF($A495="","",INDEX(Apparitions!$G$1:$G$5001,$A495)&amp;"")</f>
        <v/>
      </c>
      <c r="J495" s="19" t="str">
        <f aca="false">IF($A495="","",INDEX(Apparitions!$M$1:$M$5001,$A495)&amp;"")</f>
        <v/>
      </c>
      <c r="K495" s="21" t="str">
        <f aca="false">IF($A495="","",INDEX(Apparitions!$K$1:$K$5001,$A495))</f>
        <v/>
      </c>
      <c r="L495" s="22" t="str">
        <f aca="false">IF($A495="","",INDEX(Apparitions!$E$1:$E$5001,$A495)&amp;"")</f>
        <v/>
      </c>
      <c r="M495" s="19" t="str">
        <f aca="false">IF($A495="","",INDEX(Apparitions!$F$1:$F$5001,$A495)&amp;"")</f>
        <v/>
      </c>
      <c r="O495" s="23" t="n">
        <f aca="false">IF(I495="",0,IF(COUNTIF(I$16:I495,I495)=1,1,0))</f>
        <v>0</v>
      </c>
      <c r="P495" s="23" t="n">
        <f aca="false">IF(F495="",0,IF(COUNTIF(F$16:F495,F495)=1,1,0))</f>
        <v>0</v>
      </c>
      <c r="Q495" s="0" t="str">
        <f aca="false">IF(B495="","",B495&amp;"|"&amp;C495)</f>
        <v/>
      </c>
      <c r="R495" s="23" t="n">
        <f aca="false">IF(Q495="",0,IF(COUNTIF(Q$16:Q495,Q495)=1,1,0))</f>
        <v>0</v>
      </c>
    </row>
    <row r="496" customFormat="false" ht="15" hidden="false" customHeight="false" outlineLevel="0" collapsed="false">
      <c r="A496" s="0" t="str">
        <f aca="false">IFERROR(MATCH(481,Apparitions!$N$1:$N$5001,0),"")</f>
        <v/>
      </c>
      <c r="B496" s="19" t="str">
        <f aca="false">IF($A496="","",INDEX(Apparitions!$A$1:$A$5001,$A496)&amp;"")</f>
        <v/>
      </c>
      <c r="C496" s="19" t="str">
        <f aca="false">IF($A496="","",INDEX(Apparitions!$B$1:$B$5001,$A496)&amp;"")</f>
        <v/>
      </c>
      <c r="D496" s="20" t="str">
        <f aca="false">IF($A496="","",INDEX(Apparitions!$L$1:$L$5001,$A496))</f>
        <v/>
      </c>
      <c r="E496" s="19" t="str">
        <f aca="false">IF($A496="","",INDEX(Apparitions!$C$1:$C$5001,$A496)&amp;"")</f>
        <v/>
      </c>
      <c r="F496" s="19" t="str">
        <f aca="false">IF($A496="","",INDEX(Apparitions!$H$1:$H$5001,$A496)&amp;"")</f>
        <v/>
      </c>
      <c r="G496" s="19" t="str">
        <f aca="false">IF($A496="","",INDEX(Apparitions!$I$1:$I$5001,$A496)&amp;"")</f>
        <v/>
      </c>
      <c r="H496" s="19" t="str">
        <f aca="false">IF($A496="","",INDEX(Apparitions!$J$1:$J$5001,$A496)&amp;"")</f>
        <v/>
      </c>
      <c r="I496" s="19" t="str">
        <f aca="false">IF($A496="","",INDEX(Apparitions!$G$1:$G$5001,$A496)&amp;"")</f>
        <v/>
      </c>
      <c r="J496" s="19" t="str">
        <f aca="false">IF($A496="","",INDEX(Apparitions!$M$1:$M$5001,$A496)&amp;"")</f>
        <v/>
      </c>
      <c r="K496" s="21" t="str">
        <f aca="false">IF($A496="","",INDEX(Apparitions!$K$1:$K$5001,$A496))</f>
        <v/>
      </c>
      <c r="L496" s="22" t="str">
        <f aca="false">IF($A496="","",INDEX(Apparitions!$E$1:$E$5001,$A496)&amp;"")</f>
        <v/>
      </c>
      <c r="M496" s="19" t="str">
        <f aca="false">IF($A496="","",INDEX(Apparitions!$F$1:$F$5001,$A496)&amp;"")</f>
        <v/>
      </c>
      <c r="O496" s="23" t="n">
        <f aca="false">IF(I496="",0,IF(COUNTIF(I$16:I496,I496)=1,1,0))</f>
        <v>0</v>
      </c>
      <c r="P496" s="23" t="n">
        <f aca="false">IF(F496="",0,IF(COUNTIF(F$16:F496,F496)=1,1,0))</f>
        <v>0</v>
      </c>
      <c r="Q496" s="0" t="str">
        <f aca="false">IF(B496="","",B496&amp;"|"&amp;C496)</f>
        <v/>
      </c>
      <c r="R496" s="23" t="n">
        <f aca="false">IF(Q496="",0,IF(COUNTIF(Q$16:Q496,Q496)=1,1,0))</f>
        <v>0</v>
      </c>
    </row>
    <row r="497" customFormat="false" ht="15" hidden="false" customHeight="false" outlineLevel="0" collapsed="false">
      <c r="A497" s="0" t="str">
        <f aca="false">IFERROR(MATCH(482,Apparitions!$N$1:$N$5001,0),"")</f>
        <v/>
      </c>
      <c r="B497" s="19" t="str">
        <f aca="false">IF($A497="","",INDEX(Apparitions!$A$1:$A$5001,$A497)&amp;"")</f>
        <v/>
      </c>
      <c r="C497" s="19" t="str">
        <f aca="false">IF($A497="","",INDEX(Apparitions!$B$1:$B$5001,$A497)&amp;"")</f>
        <v/>
      </c>
      <c r="D497" s="20" t="str">
        <f aca="false">IF($A497="","",INDEX(Apparitions!$L$1:$L$5001,$A497))</f>
        <v/>
      </c>
      <c r="E497" s="19" t="str">
        <f aca="false">IF($A497="","",INDEX(Apparitions!$C$1:$C$5001,$A497)&amp;"")</f>
        <v/>
      </c>
      <c r="F497" s="19" t="str">
        <f aca="false">IF($A497="","",INDEX(Apparitions!$H$1:$H$5001,$A497)&amp;"")</f>
        <v/>
      </c>
      <c r="G497" s="19" t="str">
        <f aca="false">IF($A497="","",INDEX(Apparitions!$I$1:$I$5001,$A497)&amp;"")</f>
        <v/>
      </c>
      <c r="H497" s="19" t="str">
        <f aca="false">IF($A497="","",INDEX(Apparitions!$J$1:$J$5001,$A497)&amp;"")</f>
        <v/>
      </c>
      <c r="I497" s="19" t="str">
        <f aca="false">IF($A497="","",INDEX(Apparitions!$G$1:$G$5001,$A497)&amp;"")</f>
        <v/>
      </c>
      <c r="J497" s="19" t="str">
        <f aca="false">IF($A497="","",INDEX(Apparitions!$M$1:$M$5001,$A497)&amp;"")</f>
        <v/>
      </c>
      <c r="K497" s="21" t="str">
        <f aca="false">IF($A497="","",INDEX(Apparitions!$K$1:$K$5001,$A497))</f>
        <v/>
      </c>
      <c r="L497" s="22" t="str">
        <f aca="false">IF($A497="","",INDEX(Apparitions!$E$1:$E$5001,$A497)&amp;"")</f>
        <v/>
      </c>
      <c r="M497" s="19" t="str">
        <f aca="false">IF($A497="","",INDEX(Apparitions!$F$1:$F$5001,$A497)&amp;"")</f>
        <v/>
      </c>
      <c r="O497" s="23" t="n">
        <f aca="false">IF(I497="",0,IF(COUNTIF(I$16:I497,I497)=1,1,0))</f>
        <v>0</v>
      </c>
      <c r="P497" s="23" t="n">
        <f aca="false">IF(F497="",0,IF(COUNTIF(F$16:F497,F497)=1,1,0))</f>
        <v>0</v>
      </c>
      <c r="Q497" s="0" t="str">
        <f aca="false">IF(B497="","",B497&amp;"|"&amp;C497)</f>
        <v/>
      </c>
      <c r="R497" s="23" t="n">
        <f aca="false">IF(Q497="",0,IF(COUNTIF(Q$16:Q497,Q497)=1,1,0))</f>
        <v>0</v>
      </c>
    </row>
    <row r="498" customFormat="false" ht="15" hidden="false" customHeight="false" outlineLevel="0" collapsed="false">
      <c r="A498" s="0" t="str">
        <f aca="false">IFERROR(MATCH(483,Apparitions!$N$1:$N$5001,0),"")</f>
        <v/>
      </c>
      <c r="B498" s="19" t="str">
        <f aca="false">IF($A498="","",INDEX(Apparitions!$A$1:$A$5001,$A498)&amp;"")</f>
        <v/>
      </c>
      <c r="C498" s="19" t="str">
        <f aca="false">IF($A498="","",INDEX(Apparitions!$B$1:$B$5001,$A498)&amp;"")</f>
        <v/>
      </c>
      <c r="D498" s="20" t="str">
        <f aca="false">IF($A498="","",INDEX(Apparitions!$L$1:$L$5001,$A498))</f>
        <v/>
      </c>
      <c r="E498" s="19" t="str">
        <f aca="false">IF($A498="","",INDEX(Apparitions!$C$1:$C$5001,$A498)&amp;"")</f>
        <v/>
      </c>
      <c r="F498" s="19" t="str">
        <f aca="false">IF($A498="","",INDEX(Apparitions!$H$1:$H$5001,$A498)&amp;"")</f>
        <v/>
      </c>
      <c r="G498" s="19" t="str">
        <f aca="false">IF($A498="","",INDEX(Apparitions!$I$1:$I$5001,$A498)&amp;"")</f>
        <v/>
      </c>
      <c r="H498" s="19" t="str">
        <f aca="false">IF($A498="","",INDEX(Apparitions!$J$1:$J$5001,$A498)&amp;"")</f>
        <v/>
      </c>
      <c r="I498" s="19" t="str">
        <f aca="false">IF($A498="","",INDEX(Apparitions!$G$1:$G$5001,$A498)&amp;"")</f>
        <v/>
      </c>
      <c r="J498" s="19" t="str">
        <f aca="false">IF($A498="","",INDEX(Apparitions!$M$1:$M$5001,$A498)&amp;"")</f>
        <v/>
      </c>
      <c r="K498" s="21" t="str">
        <f aca="false">IF($A498="","",INDEX(Apparitions!$K$1:$K$5001,$A498))</f>
        <v/>
      </c>
      <c r="L498" s="22" t="str">
        <f aca="false">IF($A498="","",INDEX(Apparitions!$E$1:$E$5001,$A498)&amp;"")</f>
        <v/>
      </c>
      <c r="M498" s="19" t="str">
        <f aca="false">IF($A498="","",INDEX(Apparitions!$F$1:$F$5001,$A498)&amp;"")</f>
        <v/>
      </c>
      <c r="O498" s="23" t="n">
        <f aca="false">IF(I498="",0,IF(COUNTIF(I$16:I498,I498)=1,1,0))</f>
        <v>0</v>
      </c>
      <c r="P498" s="23" t="n">
        <f aca="false">IF(F498="",0,IF(COUNTIF(F$16:F498,F498)=1,1,0))</f>
        <v>0</v>
      </c>
      <c r="Q498" s="0" t="str">
        <f aca="false">IF(B498="","",B498&amp;"|"&amp;C498)</f>
        <v/>
      </c>
      <c r="R498" s="23" t="n">
        <f aca="false">IF(Q498="",0,IF(COUNTIF(Q$16:Q498,Q498)=1,1,0))</f>
        <v>0</v>
      </c>
    </row>
    <row r="499" customFormat="false" ht="15" hidden="false" customHeight="false" outlineLevel="0" collapsed="false">
      <c r="A499" s="0" t="str">
        <f aca="false">IFERROR(MATCH(484,Apparitions!$N$1:$N$5001,0),"")</f>
        <v/>
      </c>
      <c r="B499" s="19" t="str">
        <f aca="false">IF($A499="","",INDEX(Apparitions!$A$1:$A$5001,$A499)&amp;"")</f>
        <v/>
      </c>
      <c r="C499" s="19" t="str">
        <f aca="false">IF($A499="","",INDEX(Apparitions!$B$1:$B$5001,$A499)&amp;"")</f>
        <v/>
      </c>
      <c r="D499" s="20" t="str">
        <f aca="false">IF($A499="","",INDEX(Apparitions!$L$1:$L$5001,$A499))</f>
        <v/>
      </c>
      <c r="E499" s="19" t="str">
        <f aca="false">IF($A499="","",INDEX(Apparitions!$C$1:$C$5001,$A499)&amp;"")</f>
        <v/>
      </c>
      <c r="F499" s="19" t="str">
        <f aca="false">IF($A499="","",INDEX(Apparitions!$H$1:$H$5001,$A499)&amp;"")</f>
        <v/>
      </c>
      <c r="G499" s="19" t="str">
        <f aca="false">IF($A499="","",INDEX(Apparitions!$I$1:$I$5001,$A499)&amp;"")</f>
        <v/>
      </c>
      <c r="H499" s="19" t="str">
        <f aca="false">IF($A499="","",INDEX(Apparitions!$J$1:$J$5001,$A499)&amp;"")</f>
        <v/>
      </c>
      <c r="I499" s="19" t="str">
        <f aca="false">IF($A499="","",INDEX(Apparitions!$G$1:$G$5001,$A499)&amp;"")</f>
        <v/>
      </c>
      <c r="J499" s="19" t="str">
        <f aca="false">IF($A499="","",INDEX(Apparitions!$M$1:$M$5001,$A499)&amp;"")</f>
        <v/>
      </c>
      <c r="K499" s="21" t="str">
        <f aca="false">IF($A499="","",INDEX(Apparitions!$K$1:$K$5001,$A499))</f>
        <v/>
      </c>
      <c r="L499" s="22" t="str">
        <f aca="false">IF($A499="","",INDEX(Apparitions!$E$1:$E$5001,$A499)&amp;"")</f>
        <v/>
      </c>
      <c r="M499" s="19" t="str">
        <f aca="false">IF($A499="","",INDEX(Apparitions!$F$1:$F$5001,$A499)&amp;"")</f>
        <v/>
      </c>
      <c r="O499" s="23" t="n">
        <f aca="false">IF(I499="",0,IF(COUNTIF(I$16:I499,I499)=1,1,0))</f>
        <v>0</v>
      </c>
      <c r="P499" s="23" t="n">
        <f aca="false">IF(F499="",0,IF(COUNTIF(F$16:F499,F499)=1,1,0))</f>
        <v>0</v>
      </c>
      <c r="Q499" s="0" t="str">
        <f aca="false">IF(B499="","",B499&amp;"|"&amp;C499)</f>
        <v/>
      </c>
      <c r="R499" s="23" t="n">
        <f aca="false">IF(Q499="",0,IF(COUNTIF(Q$16:Q499,Q499)=1,1,0))</f>
        <v>0</v>
      </c>
    </row>
    <row r="500" customFormat="false" ht="15" hidden="false" customHeight="false" outlineLevel="0" collapsed="false">
      <c r="A500" s="0" t="str">
        <f aca="false">IFERROR(MATCH(485,Apparitions!$N$1:$N$5001,0),"")</f>
        <v/>
      </c>
      <c r="B500" s="19" t="str">
        <f aca="false">IF($A500="","",INDEX(Apparitions!$A$1:$A$5001,$A500)&amp;"")</f>
        <v/>
      </c>
      <c r="C500" s="19" t="str">
        <f aca="false">IF($A500="","",INDEX(Apparitions!$B$1:$B$5001,$A500)&amp;"")</f>
        <v/>
      </c>
      <c r="D500" s="20" t="str">
        <f aca="false">IF($A500="","",INDEX(Apparitions!$L$1:$L$5001,$A500))</f>
        <v/>
      </c>
      <c r="E500" s="19" t="str">
        <f aca="false">IF($A500="","",INDEX(Apparitions!$C$1:$C$5001,$A500)&amp;"")</f>
        <v/>
      </c>
      <c r="F500" s="19" t="str">
        <f aca="false">IF($A500="","",INDEX(Apparitions!$H$1:$H$5001,$A500)&amp;"")</f>
        <v/>
      </c>
      <c r="G500" s="19" t="str">
        <f aca="false">IF($A500="","",INDEX(Apparitions!$I$1:$I$5001,$A500)&amp;"")</f>
        <v/>
      </c>
      <c r="H500" s="19" t="str">
        <f aca="false">IF($A500="","",INDEX(Apparitions!$J$1:$J$5001,$A500)&amp;"")</f>
        <v/>
      </c>
      <c r="I500" s="19" t="str">
        <f aca="false">IF($A500="","",INDEX(Apparitions!$G$1:$G$5001,$A500)&amp;"")</f>
        <v/>
      </c>
      <c r="J500" s="19" t="str">
        <f aca="false">IF($A500="","",INDEX(Apparitions!$M$1:$M$5001,$A500)&amp;"")</f>
        <v/>
      </c>
      <c r="K500" s="21" t="str">
        <f aca="false">IF($A500="","",INDEX(Apparitions!$K$1:$K$5001,$A500))</f>
        <v/>
      </c>
      <c r="L500" s="22" t="str">
        <f aca="false">IF($A500="","",INDEX(Apparitions!$E$1:$E$5001,$A500)&amp;"")</f>
        <v/>
      </c>
      <c r="M500" s="19" t="str">
        <f aca="false">IF($A500="","",INDEX(Apparitions!$F$1:$F$5001,$A500)&amp;"")</f>
        <v/>
      </c>
      <c r="O500" s="23" t="n">
        <f aca="false">IF(I500="",0,IF(COUNTIF(I$16:I500,I500)=1,1,0))</f>
        <v>0</v>
      </c>
      <c r="P500" s="23" t="n">
        <f aca="false">IF(F500="",0,IF(COUNTIF(F$16:F500,F500)=1,1,0))</f>
        <v>0</v>
      </c>
      <c r="Q500" s="0" t="str">
        <f aca="false">IF(B500="","",B500&amp;"|"&amp;C500)</f>
        <v/>
      </c>
      <c r="R500" s="23" t="n">
        <f aca="false">IF(Q500="",0,IF(COUNTIF(Q$16:Q500,Q500)=1,1,0))</f>
        <v>0</v>
      </c>
    </row>
    <row r="501" customFormat="false" ht="15" hidden="false" customHeight="false" outlineLevel="0" collapsed="false">
      <c r="A501" s="0" t="str">
        <f aca="false">IFERROR(MATCH(486,Apparitions!$N$1:$N$5001,0),"")</f>
        <v/>
      </c>
      <c r="B501" s="19" t="str">
        <f aca="false">IF($A501="","",INDEX(Apparitions!$A$1:$A$5001,$A501)&amp;"")</f>
        <v/>
      </c>
      <c r="C501" s="19" t="str">
        <f aca="false">IF($A501="","",INDEX(Apparitions!$B$1:$B$5001,$A501)&amp;"")</f>
        <v/>
      </c>
      <c r="D501" s="20" t="str">
        <f aca="false">IF($A501="","",INDEX(Apparitions!$L$1:$L$5001,$A501))</f>
        <v/>
      </c>
      <c r="E501" s="19" t="str">
        <f aca="false">IF($A501="","",INDEX(Apparitions!$C$1:$C$5001,$A501)&amp;"")</f>
        <v/>
      </c>
      <c r="F501" s="19" t="str">
        <f aca="false">IF($A501="","",INDEX(Apparitions!$H$1:$H$5001,$A501)&amp;"")</f>
        <v/>
      </c>
      <c r="G501" s="19" t="str">
        <f aca="false">IF($A501="","",INDEX(Apparitions!$I$1:$I$5001,$A501)&amp;"")</f>
        <v/>
      </c>
      <c r="H501" s="19" t="str">
        <f aca="false">IF($A501="","",INDEX(Apparitions!$J$1:$J$5001,$A501)&amp;"")</f>
        <v/>
      </c>
      <c r="I501" s="19" t="str">
        <f aca="false">IF($A501="","",INDEX(Apparitions!$G$1:$G$5001,$A501)&amp;"")</f>
        <v/>
      </c>
      <c r="J501" s="19" t="str">
        <f aca="false">IF($A501="","",INDEX(Apparitions!$M$1:$M$5001,$A501)&amp;"")</f>
        <v/>
      </c>
      <c r="K501" s="21" t="str">
        <f aca="false">IF($A501="","",INDEX(Apparitions!$K$1:$K$5001,$A501))</f>
        <v/>
      </c>
      <c r="L501" s="22" t="str">
        <f aca="false">IF($A501="","",INDEX(Apparitions!$E$1:$E$5001,$A501)&amp;"")</f>
        <v/>
      </c>
      <c r="M501" s="19" t="str">
        <f aca="false">IF($A501="","",INDEX(Apparitions!$F$1:$F$5001,$A501)&amp;"")</f>
        <v/>
      </c>
      <c r="O501" s="23" t="n">
        <f aca="false">IF(I501="",0,IF(COUNTIF(I$16:I501,I501)=1,1,0))</f>
        <v>0</v>
      </c>
      <c r="P501" s="23" t="n">
        <f aca="false">IF(F501="",0,IF(COUNTIF(F$16:F501,F501)=1,1,0))</f>
        <v>0</v>
      </c>
      <c r="Q501" s="0" t="str">
        <f aca="false">IF(B501="","",B501&amp;"|"&amp;C501)</f>
        <v/>
      </c>
      <c r="R501" s="23" t="n">
        <f aca="false">IF(Q501="",0,IF(COUNTIF(Q$16:Q501,Q501)=1,1,0))</f>
        <v>0</v>
      </c>
    </row>
    <row r="502" customFormat="false" ht="15" hidden="false" customHeight="false" outlineLevel="0" collapsed="false">
      <c r="A502" s="0" t="str">
        <f aca="false">IFERROR(MATCH(487,Apparitions!$N$1:$N$5001,0),"")</f>
        <v/>
      </c>
      <c r="B502" s="19" t="str">
        <f aca="false">IF($A502="","",INDEX(Apparitions!$A$1:$A$5001,$A502)&amp;"")</f>
        <v/>
      </c>
      <c r="C502" s="19" t="str">
        <f aca="false">IF($A502="","",INDEX(Apparitions!$B$1:$B$5001,$A502)&amp;"")</f>
        <v/>
      </c>
      <c r="D502" s="20" t="str">
        <f aca="false">IF($A502="","",INDEX(Apparitions!$L$1:$L$5001,$A502))</f>
        <v/>
      </c>
      <c r="E502" s="19" t="str">
        <f aca="false">IF($A502="","",INDEX(Apparitions!$C$1:$C$5001,$A502)&amp;"")</f>
        <v/>
      </c>
      <c r="F502" s="19" t="str">
        <f aca="false">IF($A502="","",INDEX(Apparitions!$H$1:$H$5001,$A502)&amp;"")</f>
        <v/>
      </c>
      <c r="G502" s="19" t="str">
        <f aca="false">IF($A502="","",INDEX(Apparitions!$I$1:$I$5001,$A502)&amp;"")</f>
        <v/>
      </c>
      <c r="H502" s="19" t="str">
        <f aca="false">IF($A502="","",INDEX(Apparitions!$J$1:$J$5001,$A502)&amp;"")</f>
        <v/>
      </c>
      <c r="I502" s="19" t="str">
        <f aca="false">IF($A502="","",INDEX(Apparitions!$G$1:$G$5001,$A502)&amp;"")</f>
        <v/>
      </c>
      <c r="J502" s="19" t="str">
        <f aca="false">IF($A502="","",INDEX(Apparitions!$M$1:$M$5001,$A502)&amp;"")</f>
        <v/>
      </c>
      <c r="K502" s="21" t="str">
        <f aca="false">IF($A502="","",INDEX(Apparitions!$K$1:$K$5001,$A502))</f>
        <v/>
      </c>
      <c r="L502" s="22" t="str">
        <f aca="false">IF($A502="","",INDEX(Apparitions!$E$1:$E$5001,$A502)&amp;"")</f>
        <v/>
      </c>
      <c r="M502" s="19" t="str">
        <f aca="false">IF($A502="","",INDEX(Apparitions!$F$1:$F$5001,$A502)&amp;"")</f>
        <v/>
      </c>
      <c r="O502" s="23" t="n">
        <f aca="false">IF(I502="",0,IF(COUNTIF(I$16:I502,I502)=1,1,0))</f>
        <v>0</v>
      </c>
      <c r="P502" s="23" t="n">
        <f aca="false">IF(F502="",0,IF(COUNTIF(F$16:F502,F502)=1,1,0))</f>
        <v>0</v>
      </c>
      <c r="Q502" s="0" t="str">
        <f aca="false">IF(B502="","",B502&amp;"|"&amp;C502)</f>
        <v/>
      </c>
      <c r="R502" s="23" t="n">
        <f aca="false">IF(Q502="",0,IF(COUNTIF(Q$16:Q502,Q502)=1,1,0))</f>
        <v>0</v>
      </c>
    </row>
    <row r="503" customFormat="false" ht="15" hidden="false" customHeight="false" outlineLevel="0" collapsed="false">
      <c r="A503" s="0" t="str">
        <f aca="false">IFERROR(MATCH(488,Apparitions!$N$1:$N$5001,0),"")</f>
        <v/>
      </c>
      <c r="B503" s="19" t="str">
        <f aca="false">IF($A503="","",INDEX(Apparitions!$A$1:$A$5001,$A503)&amp;"")</f>
        <v/>
      </c>
      <c r="C503" s="19" t="str">
        <f aca="false">IF($A503="","",INDEX(Apparitions!$B$1:$B$5001,$A503)&amp;"")</f>
        <v/>
      </c>
      <c r="D503" s="20" t="str">
        <f aca="false">IF($A503="","",INDEX(Apparitions!$L$1:$L$5001,$A503))</f>
        <v/>
      </c>
      <c r="E503" s="19" t="str">
        <f aca="false">IF($A503="","",INDEX(Apparitions!$C$1:$C$5001,$A503)&amp;"")</f>
        <v/>
      </c>
      <c r="F503" s="19" t="str">
        <f aca="false">IF($A503="","",INDEX(Apparitions!$H$1:$H$5001,$A503)&amp;"")</f>
        <v/>
      </c>
      <c r="G503" s="19" t="str">
        <f aca="false">IF($A503="","",INDEX(Apparitions!$I$1:$I$5001,$A503)&amp;"")</f>
        <v/>
      </c>
      <c r="H503" s="19" t="str">
        <f aca="false">IF($A503="","",INDEX(Apparitions!$J$1:$J$5001,$A503)&amp;"")</f>
        <v/>
      </c>
      <c r="I503" s="19" t="str">
        <f aca="false">IF($A503="","",INDEX(Apparitions!$G$1:$G$5001,$A503)&amp;"")</f>
        <v/>
      </c>
      <c r="J503" s="19" t="str">
        <f aca="false">IF($A503="","",INDEX(Apparitions!$M$1:$M$5001,$A503)&amp;"")</f>
        <v/>
      </c>
      <c r="K503" s="21" t="str">
        <f aca="false">IF($A503="","",INDEX(Apparitions!$K$1:$K$5001,$A503))</f>
        <v/>
      </c>
      <c r="L503" s="22" t="str">
        <f aca="false">IF($A503="","",INDEX(Apparitions!$E$1:$E$5001,$A503)&amp;"")</f>
        <v/>
      </c>
      <c r="M503" s="19" t="str">
        <f aca="false">IF($A503="","",INDEX(Apparitions!$F$1:$F$5001,$A503)&amp;"")</f>
        <v/>
      </c>
      <c r="O503" s="23" t="n">
        <f aca="false">IF(I503="",0,IF(COUNTIF(I$16:I503,I503)=1,1,0))</f>
        <v>0</v>
      </c>
      <c r="P503" s="23" t="n">
        <f aca="false">IF(F503="",0,IF(COUNTIF(F$16:F503,F503)=1,1,0))</f>
        <v>0</v>
      </c>
      <c r="Q503" s="0" t="str">
        <f aca="false">IF(B503="","",B503&amp;"|"&amp;C503)</f>
        <v/>
      </c>
      <c r="R503" s="23" t="n">
        <f aca="false">IF(Q503="",0,IF(COUNTIF(Q$16:Q503,Q503)=1,1,0))</f>
        <v>0</v>
      </c>
    </row>
    <row r="504" customFormat="false" ht="15" hidden="false" customHeight="false" outlineLevel="0" collapsed="false">
      <c r="A504" s="0" t="str">
        <f aca="false">IFERROR(MATCH(489,Apparitions!$N$1:$N$5001,0),"")</f>
        <v/>
      </c>
      <c r="B504" s="19" t="str">
        <f aca="false">IF($A504="","",INDEX(Apparitions!$A$1:$A$5001,$A504)&amp;"")</f>
        <v/>
      </c>
      <c r="C504" s="19" t="str">
        <f aca="false">IF($A504="","",INDEX(Apparitions!$B$1:$B$5001,$A504)&amp;"")</f>
        <v/>
      </c>
      <c r="D504" s="20" t="str">
        <f aca="false">IF($A504="","",INDEX(Apparitions!$L$1:$L$5001,$A504))</f>
        <v/>
      </c>
      <c r="E504" s="19" t="str">
        <f aca="false">IF($A504="","",INDEX(Apparitions!$C$1:$C$5001,$A504)&amp;"")</f>
        <v/>
      </c>
      <c r="F504" s="19" t="str">
        <f aca="false">IF($A504="","",INDEX(Apparitions!$H$1:$H$5001,$A504)&amp;"")</f>
        <v/>
      </c>
      <c r="G504" s="19" t="str">
        <f aca="false">IF($A504="","",INDEX(Apparitions!$I$1:$I$5001,$A504)&amp;"")</f>
        <v/>
      </c>
      <c r="H504" s="19" t="str">
        <f aca="false">IF($A504="","",INDEX(Apparitions!$J$1:$J$5001,$A504)&amp;"")</f>
        <v/>
      </c>
      <c r="I504" s="19" t="str">
        <f aca="false">IF($A504="","",INDEX(Apparitions!$G$1:$G$5001,$A504)&amp;"")</f>
        <v/>
      </c>
      <c r="J504" s="19" t="str">
        <f aca="false">IF($A504="","",INDEX(Apparitions!$M$1:$M$5001,$A504)&amp;"")</f>
        <v/>
      </c>
      <c r="K504" s="21" t="str">
        <f aca="false">IF($A504="","",INDEX(Apparitions!$K$1:$K$5001,$A504))</f>
        <v/>
      </c>
      <c r="L504" s="22" t="str">
        <f aca="false">IF($A504="","",INDEX(Apparitions!$E$1:$E$5001,$A504)&amp;"")</f>
        <v/>
      </c>
      <c r="M504" s="19" t="str">
        <f aca="false">IF($A504="","",INDEX(Apparitions!$F$1:$F$5001,$A504)&amp;"")</f>
        <v/>
      </c>
      <c r="O504" s="23" t="n">
        <f aca="false">IF(I504="",0,IF(COUNTIF(I$16:I504,I504)=1,1,0))</f>
        <v>0</v>
      </c>
      <c r="P504" s="23" t="n">
        <f aca="false">IF(F504="",0,IF(COUNTIF(F$16:F504,F504)=1,1,0))</f>
        <v>0</v>
      </c>
      <c r="Q504" s="0" t="str">
        <f aca="false">IF(B504="","",B504&amp;"|"&amp;C504)</f>
        <v/>
      </c>
      <c r="R504" s="23" t="n">
        <f aca="false">IF(Q504="",0,IF(COUNTIF(Q$16:Q504,Q504)=1,1,0))</f>
        <v>0</v>
      </c>
    </row>
    <row r="505" customFormat="false" ht="15" hidden="false" customHeight="false" outlineLevel="0" collapsed="false">
      <c r="A505" s="0" t="str">
        <f aca="false">IFERROR(MATCH(490,Apparitions!$N$1:$N$5001,0),"")</f>
        <v/>
      </c>
      <c r="B505" s="19" t="str">
        <f aca="false">IF($A505="","",INDEX(Apparitions!$A$1:$A$5001,$A505)&amp;"")</f>
        <v/>
      </c>
      <c r="C505" s="19" t="str">
        <f aca="false">IF($A505="","",INDEX(Apparitions!$B$1:$B$5001,$A505)&amp;"")</f>
        <v/>
      </c>
      <c r="D505" s="20" t="str">
        <f aca="false">IF($A505="","",INDEX(Apparitions!$L$1:$L$5001,$A505))</f>
        <v/>
      </c>
      <c r="E505" s="19" t="str">
        <f aca="false">IF($A505="","",INDEX(Apparitions!$C$1:$C$5001,$A505)&amp;"")</f>
        <v/>
      </c>
      <c r="F505" s="19" t="str">
        <f aca="false">IF($A505="","",INDEX(Apparitions!$H$1:$H$5001,$A505)&amp;"")</f>
        <v/>
      </c>
      <c r="G505" s="19" t="str">
        <f aca="false">IF($A505="","",INDEX(Apparitions!$I$1:$I$5001,$A505)&amp;"")</f>
        <v/>
      </c>
      <c r="H505" s="19" t="str">
        <f aca="false">IF($A505="","",INDEX(Apparitions!$J$1:$J$5001,$A505)&amp;"")</f>
        <v/>
      </c>
      <c r="I505" s="19" t="str">
        <f aca="false">IF($A505="","",INDEX(Apparitions!$G$1:$G$5001,$A505)&amp;"")</f>
        <v/>
      </c>
      <c r="J505" s="19" t="str">
        <f aca="false">IF($A505="","",INDEX(Apparitions!$M$1:$M$5001,$A505)&amp;"")</f>
        <v/>
      </c>
      <c r="K505" s="21" t="str">
        <f aca="false">IF($A505="","",INDEX(Apparitions!$K$1:$K$5001,$A505))</f>
        <v/>
      </c>
      <c r="L505" s="22" t="str">
        <f aca="false">IF($A505="","",INDEX(Apparitions!$E$1:$E$5001,$A505)&amp;"")</f>
        <v/>
      </c>
      <c r="M505" s="19" t="str">
        <f aca="false">IF($A505="","",INDEX(Apparitions!$F$1:$F$5001,$A505)&amp;"")</f>
        <v/>
      </c>
      <c r="O505" s="23" t="n">
        <f aca="false">IF(I505="",0,IF(COUNTIF(I$16:I505,I505)=1,1,0))</f>
        <v>0</v>
      </c>
      <c r="P505" s="23" t="n">
        <f aca="false">IF(F505="",0,IF(COUNTIF(F$16:F505,F505)=1,1,0))</f>
        <v>0</v>
      </c>
      <c r="Q505" s="0" t="str">
        <f aca="false">IF(B505="","",B505&amp;"|"&amp;C505)</f>
        <v/>
      </c>
      <c r="R505" s="23" t="n">
        <f aca="false">IF(Q505="",0,IF(COUNTIF(Q$16:Q505,Q505)=1,1,0))</f>
        <v>0</v>
      </c>
    </row>
    <row r="506" customFormat="false" ht="15" hidden="false" customHeight="false" outlineLevel="0" collapsed="false">
      <c r="A506" s="0" t="str">
        <f aca="false">IFERROR(MATCH(491,Apparitions!$N$1:$N$5001,0),"")</f>
        <v/>
      </c>
      <c r="B506" s="19" t="str">
        <f aca="false">IF($A506="","",INDEX(Apparitions!$A$1:$A$5001,$A506)&amp;"")</f>
        <v/>
      </c>
      <c r="C506" s="19" t="str">
        <f aca="false">IF($A506="","",INDEX(Apparitions!$B$1:$B$5001,$A506)&amp;"")</f>
        <v/>
      </c>
      <c r="D506" s="20" t="str">
        <f aca="false">IF($A506="","",INDEX(Apparitions!$L$1:$L$5001,$A506))</f>
        <v/>
      </c>
      <c r="E506" s="19" t="str">
        <f aca="false">IF($A506="","",INDEX(Apparitions!$C$1:$C$5001,$A506)&amp;"")</f>
        <v/>
      </c>
      <c r="F506" s="19" t="str">
        <f aca="false">IF($A506="","",INDEX(Apparitions!$H$1:$H$5001,$A506)&amp;"")</f>
        <v/>
      </c>
      <c r="G506" s="19" t="str">
        <f aca="false">IF($A506="","",INDEX(Apparitions!$I$1:$I$5001,$A506)&amp;"")</f>
        <v/>
      </c>
      <c r="H506" s="19" t="str">
        <f aca="false">IF($A506="","",INDEX(Apparitions!$J$1:$J$5001,$A506)&amp;"")</f>
        <v/>
      </c>
      <c r="I506" s="19" t="str">
        <f aca="false">IF($A506="","",INDEX(Apparitions!$G$1:$G$5001,$A506)&amp;"")</f>
        <v/>
      </c>
      <c r="J506" s="19" t="str">
        <f aca="false">IF($A506="","",INDEX(Apparitions!$M$1:$M$5001,$A506)&amp;"")</f>
        <v/>
      </c>
      <c r="K506" s="21" t="str">
        <f aca="false">IF($A506="","",INDEX(Apparitions!$K$1:$K$5001,$A506))</f>
        <v/>
      </c>
      <c r="L506" s="22" t="str">
        <f aca="false">IF($A506="","",INDEX(Apparitions!$E$1:$E$5001,$A506)&amp;"")</f>
        <v/>
      </c>
      <c r="M506" s="19" t="str">
        <f aca="false">IF($A506="","",INDEX(Apparitions!$F$1:$F$5001,$A506)&amp;"")</f>
        <v/>
      </c>
      <c r="O506" s="23" t="n">
        <f aca="false">IF(I506="",0,IF(COUNTIF(I$16:I506,I506)=1,1,0))</f>
        <v>0</v>
      </c>
      <c r="P506" s="23" t="n">
        <f aca="false">IF(F506="",0,IF(COUNTIF(F$16:F506,F506)=1,1,0))</f>
        <v>0</v>
      </c>
      <c r="Q506" s="0" t="str">
        <f aca="false">IF(B506="","",B506&amp;"|"&amp;C506)</f>
        <v/>
      </c>
      <c r="R506" s="23" t="n">
        <f aca="false">IF(Q506="",0,IF(COUNTIF(Q$16:Q506,Q506)=1,1,0))</f>
        <v>0</v>
      </c>
    </row>
    <row r="507" customFormat="false" ht="15" hidden="false" customHeight="false" outlineLevel="0" collapsed="false">
      <c r="A507" s="0" t="str">
        <f aca="false">IFERROR(MATCH(492,Apparitions!$N$1:$N$5001,0),"")</f>
        <v/>
      </c>
      <c r="B507" s="19" t="str">
        <f aca="false">IF($A507="","",INDEX(Apparitions!$A$1:$A$5001,$A507)&amp;"")</f>
        <v/>
      </c>
      <c r="C507" s="19" t="str">
        <f aca="false">IF($A507="","",INDEX(Apparitions!$B$1:$B$5001,$A507)&amp;"")</f>
        <v/>
      </c>
      <c r="D507" s="20" t="str">
        <f aca="false">IF($A507="","",INDEX(Apparitions!$L$1:$L$5001,$A507))</f>
        <v/>
      </c>
      <c r="E507" s="19" t="str">
        <f aca="false">IF($A507="","",INDEX(Apparitions!$C$1:$C$5001,$A507)&amp;"")</f>
        <v/>
      </c>
      <c r="F507" s="19" t="str">
        <f aca="false">IF($A507="","",INDEX(Apparitions!$H$1:$H$5001,$A507)&amp;"")</f>
        <v/>
      </c>
      <c r="G507" s="19" t="str">
        <f aca="false">IF($A507="","",INDEX(Apparitions!$I$1:$I$5001,$A507)&amp;"")</f>
        <v/>
      </c>
      <c r="H507" s="19" t="str">
        <f aca="false">IF($A507="","",INDEX(Apparitions!$J$1:$J$5001,$A507)&amp;"")</f>
        <v/>
      </c>
      <c r="I507" s="19" t="str">
        <f aca="false">IF($A507="","",INDEX(Apparitions!$G$1:$G$5001,$A507)&amp;"")</f>
        <v/>
      </c>
      <c r="J507" s="19" t="str">
        <f aca="false">IF($A507="","",INDEX(Apparitions!$M$1:$M$5001,$A507)&amp;"")</f>
        <v/>
      </c>
      <c r="K507" s="21" t="str">
        <f aca="false">IF($A507="","",INDEX(Apparitions!$K$1:$K$5001,$A507))</f>
        <v/>
      </c>
      <c r="L507" s="22" t="str">
        <f aca="false">IF($A507="","",INDEX(Apparitions!$E$1:$E$5001,$A507)&amp;"")</f>
        <v/>
      </c>
      <c r="M507" s="19" t="str">
        <f aca="false">IF($A507="","",INDEX(Apparitions!$F$1:$F$5001,$A507)&amp;"")</f>
        <v/>
      </c>
      <c r="O507" s="23" t="n">
        <f aca="false">IF(I507="",0,IF(COUNTIF(I$16:I507,I507)=1,1,0))</f>
        <v>0</v>
      </c>
      <c r="P507" s="23" t="n">
        <f aca="false">IF(F507="",0,IF(COUNTIF(F$16:F507,F507)=1,1,0))</f>
        <v>0</v>
      </c>
      <c r="Q507" s="0" t="str">
        <f aca="false">IF(B507="","",B507&amp;"|"&amp;C507)</f>
        <v/>
      </c>
      <c r="R507" s="23" t="n">
        <f aca="false">IF(Q507="",0,IF(COUNTIF(Q$16:Q507,Q507)=1,1,0))</f>
        <v>0</v>
      </c>
    </row>
    <row r="508" customFormat="false" ht="15" hidden="false" customHeight="false" outlineLevel="0" collapsed="false">
      <c r="A508" s="0" t="str">
        <f aca="false">IFERROR(MATCH(493,Apparitions!$N$1:$N$5001,0),"")</f>
        <v/>
      </c>
      <c r="B508" s="19" t="str">
        <f aca="false">IF($A508="","",INDEX(Apparitions!$A$1:$A$5001,$A508)&amp;"")</f>
        <v/>
      </c>
      <c r="C508" s="19" t="str">
        <f aca="false">IF($A508="","",INDEX(Apparitions!$B$1:$B$5001,$A508)&amp;"")</f>
        <v/>
      </c>
      <c r="D508" s="20" t="str">
        <f aca="false">IF($A508="","",INDEX(Apparitions!$L$1:$L$5001,$A508))</f>
        <v/>
      </c>
      <c r="E508" s="19" t="str">
        <f aca="false">IF($A508="","",INDEX(Apparitions!$C$1:$C$5001,$A508)&amp;"")</f>
        <v/>
      </c>
      <c r="F508" s="19" t="str">
        <f aca="false">IF($A508="","",INDEX(Apparitions!$H$1:$H$5001,$A508)&amp;"")</f>
        <v/>
      </c>
      <c r="G508" s="19" t="str">
        <f aca="false">IF($A508="","",INDEX(Apparitions!$I$1:$I$5001,$A508)&amp;"")</f>
        <v/>
      </c>
      <c r="H508" s="19" t="str">
        <f aca="false">IF($A508="","",INDEX(Apparitions!$J$1:$J$5001,$A508)&amp;"")</f>
        <v/>
      </c>
      <c r="I508" s="19" t="str">
        <f aca="false">IF($A508="","",INDEX(Apparitions!$G$1:$G$5001,$A508)&amp;"")</f>
        <v/>
      </c>
      <c r="J508" s="19" t="str">
        <f aca="false">IF($A508="","",INDEX(Apparitions!$M$1:$M$5001,$A508)&amp;"")</f>
        <v/>
      </c>
      <c r="K508" s="21" t="str">
        <f aca="false">IF($A508="","",INDEX(Apparitions!$K$1:$K$5001,$A508))</f>
        <v/>
      </c>
      <c r="L508" s="22" t="str">
        <f aca="false">IF($A508="","",INDEX(Apparitions!$E$1:$E$5001,$A508)&amp;"")</f>
        <v/>
      </c>
      <c r="M508" s="19" t="str">
        <f aca="false">IF($A508="","",INDEX(Apparitions!$F$1:$F$5001,$A508)&amp;"")</f>
        <v/>
      </c>
      <c r="O508" s="23" t="n">
        <f aca="false">IF(I508="",0,IF(COUNTIF(I$16:I508,I508)=1,1,0))</f>
        <v>0</v>
      </c>
      <c r="P508" s="23" t="n">
        <f aca="false">IF(F508="",0,IF(COUNTIF(F$16:F508,F508)=1,1,0))</f>
        <v>0</v>
      </c>
      <c r="Q508" s="0" t="str">
        <f aca="false">IF(B508="","",B508&amp;"|"&amp;C508)</f>
        <v/>
      </c>
      <c r="R508" s="23" t="n">
        <f aca="false">IF(Q508="",0,IF(COUNTIF(Q$16:Q508,Q508)=1,1,0))</f>
        <v>0</v>
      </c>
    </row>
    <row r="509" customFormat="false" ht="15" hidden="false" customHeight="false" outlineLevel="0" collapsed="false">
      <c r="A509" s="0" t="str">
        <f aca="false">IFERROR(MATCH(494,Apparitions!$N$1:$N$5001,0),"")</f>
        <v/>
      </c>
      <c r="B509" s="19" t="str">
        <f aca="false">IF($A509="","",INDEX(Apparitions!$A$1:$A$5001,$A509)&amp;"")</f>
        <v/>
      </c>
      <c r="C509" s="19" t="str">
        <f aca="false">IF($A509="","",INDEX(Apparitions!$B$1:$B$5001,$A509)&amp;"")</f>
        <v/>
      </c>
      <c r="D509" s="20" t="str">
        <f aca="false">IF($A509="","",INDEX(Apparitions!$L$1:$L$5001,$A509))</f>
        <v/>
      </c>
      <c r="E509" s="19" t="str">
        <f aca="false">IF($A509="","",INDEX(Apparitions!$C$1:$C$5001,$A509)&amp;"")</f>
        <v/>
      </c>
      <c r="F509" s="19" t="str">
        <f aca="false">IF($A509="","",INDEX(Apparitions!$H$1:$H$5001,$A509)&amp;"")</f>
        <v/>
      </c>
      <c r="G509" s="19" t="str">
        <f aca="false">IF($A509="","",INDEX(Apparitions!$I$1:$I$5001,$A509)&amp;"")</f>
        <v/>
      </c>
      <c r="H509" s="19" t="str">
        <f aca="false">IF($A509="","",INDEX(Apparitions!$J$1:$J$5001,$A509)&amp;"")</f>
        <v/>
      </c>
      <c r="I509" s="19" t="str">
        <f aca="false">IF($A509="","",INDEX(Apparitions!$G$1:$G$5001,$A509)&amp;"")</f>
        <v/>
      </c>
      <c r="J509" s="19" t="str">
        <f aca="false">IF($A509="","",INDEX(Apparitions!$M$1:$M$5001,$A509)&amp;"")</f>
        <v/>
      </c>
      <c r="K509" s="21" t="str">
        <f aca="false">IF($A509="","",INDEX(Apparitions!$K$1:$K$5001,$A509))</f>
        <v/>
      </c>
      <c r="L509" s="22" t="str">
        <f aca="false">IF($A509="","",INDEX(Apparitions!$E$1:$E$5001,$A509)&amp;"")</f>
        <v/>
      </c>
      <c r="M509" s="19" t="str">
        <f aca="false">IF($A509="","",INDEX(Apparitions!$F$1:$F$5001,$A509)&amp;"")</f>
        <v/>
      </c>
      <c r="O509" s="23" t="n">
        <f aca="false">IF(I509="",0,IF(COUNTIF(I$16:I509,I509)=1,1,0))</f>
        <v>0</v>
      </c>
      <c r="P509" s="23" t="n">
        <f aca="false">IF(F509="",0,IF(COUNTIF(F$16:F509,F509)=1,1,0))</f>
        <v>0</v>
      </c>
      <c r="Q509" s="0" t="str">
        <f aca="false">IF(B509="","",B509&amp;"|"&amp;C509)</f>
        <v/>
      </c>
      <c r="R509" s="23" t="n">
        <f aca="false">IF(Q509="",0,IF(COUNTIF(Q$16:Q509,Q509)=1,1,0))</f>
        <v>0</v>
      </c>
    </row>
    <row r="510" customFormat="false" ht="15" hidden="false" customHeight="false" outlineLevel="0" collapsed="false">
      <c r="A510" s="0" t="str">
        <f aca="false">IFERROR(MATCH(495,Apparitions!$N$1:$N$5001,0),"")</f>
        <v/>
      </c>
      <c r="B510" s="19" t="str">
        <f aca="false">IF($A510="","",INDEX(Apparitions!$A$1:$A$5001,$A510)&amp;"")</f>
        <v/>
      </c>
      <c r="C510" s="19" t="str">
        <f aca="false">IF($A510="","",INDEX(Apparitions!$B$1:$B$5001,$A510)&amp;"")</f>
        <v/>
      </c>
      <c r="D510" s="20" t="str">
        <f aca="false">IF($A510="","",INDEX(Apparitions!$L$1:$L$5001,$A510))</f>
        <v/>
      </c>
      <c r="E510" s="19" t="str">
        <f aca="false">IF($A510="","",INDEX(Apparitions!$C$1:$C$5001,$A510)&amp;"")</f>
        <v/>
      </c>
      <c r="F510" s="19" t="str">
        <f aca="false">IF($A510="","",INDEX(Apparitions!$H$1:$H$5001,$A510)&amp;"")</f>
        <v/>
      </c>
      <c r="G510" s="19" t="str">
        <f aca="false">IF($A510="","",INDEX(Apparitions!$I$1:$I$5001,$A510)&amp;"")</f>
        <v/>
      </c>
      <c r="H510" s="19" t="str">
        <f aca="false">IF($A510="","",INDEX(Apparitions!$J$1:$J$5001,$A510)&amp;"")</f>
        <v/>
      </c>
      <c r="I510" s="19" t="str">
        <f aca="false">IF($A510="","",INDEX(Apparitions!$G$1:$G$5001,$A510)&amp;"")</f>
        <v/>
      </c>
      <c r="J510" s="19" t="str">
        <f aca="false">IF($A510="","",INDEX(Apparitions!$M$1:$M$5001,$A510)&amp;"")</f>
        <v/>
      </c>
      <c r="K510" s="21" t="str">
        <f aca="false">IF($A510="","",INDEX(Apparitions!$K$1:$K$5001,$A510))</f>
        <v/>
      </c>
      <c r="L510" s="22" t="str">
        <f aca="false">IF($A510="","",INDEX(Apparitions!$E$1:$E$5001,$A510)&amp;"")</f>
        <v/>
      </c>
      <c r="M510" s="19" t="str">
        <f aca="false">IF($A510="","",INDEX(Apparitions!$F$1:$F$5001,$A510)&amp;"")</f>
        <v/>
      </c>
      <c r="O510" s="23" t="n">
        <f aca="false">IF(I510="",0,IF(COUNTIF(I$16:I510,I510)=1,1,0))</f>
        <v>0</v>
      </c>
      <c r="P510" s="23" t="n">
        <f aca="false">IF(F510="",0,IF(COUNTIF(F$16:F510,F510)=1,1,0))</f>
        <v>0</v>
      </c>
      <c r="Q510" s="0" t="str">
        <f aca="false">IF(B510="","",B510&amp;"|"&amp;C510)</f>
        <v/>
      </c>
      <c r="R510" s="23" t="n">
        <f aca="false">IF(Q510="",0,IF(COUNTIF(Q$16:Q510,Q510)=1,1,0))</f>
        <v>0</v>
      </c>
    </row>
    <row r="511" customFormat="false" ht="15" hidden="false" customHeight="false" outlineLevel="0" collapsed="false">
      <c r="A511" s="0" t="str">
        <f aca="false">IFERROR(MATCH(496,Apparitions!$N$1:$N$5001,0),"")</f>
        <v/>
      </c>
      <c r="B511" s="19" t="str">
        <f aca="false">IF($A511="","",INDEX(Apparitions!$A$1:$A$5001,$A511)&amp;"")</f>
        <v/>
      </c>
      <c r="C511" s="19" t="str">
        <f aca="false">IF($A511="","",INDEX(Apparitions!$B$1:$B$5001,$A511)&amp;"")</f>
        <v/>
      </c>
      <c r="D511" s="20" t="str">
        <f aca="false">IF($A511="","",INDEX(Apparitions!$L$1:$L$5001,$A511))</f>
        <v/>
      </c>
      <c r="E511" s="19" t="str">
        <f aca="false">IF($A511="","",INDEX(Apparitions!$C$1:$C$5001,$A511)&amp;"")</f>
        <v/>
      </c>
      <c r="F511" s="19" t="str">
        <f aca="false">IF($A511="","",INDEX(Apparitions!$H$1:$H$5001,$A511)&amp;"")</f>
        <v/>
      </c>
      <c r="G511" s="19" t="str">
        <f aca="false">IF($A511="","",INDEX(Apparitions!$I$1:$I$5001,$A511)&amp;"")</f>
        <v/>
      </c>
      <c r="H511" s="19" t="str">
        <f aca="false">IF($A511="","",INDEX(Apparitions!$J$1:$J$5001,$A511)&amp;"")</f>
        <v/>
      </c>
      <c r="I511" s="19" t="str">
        <f aca="false">IF($A511="","",INDEX(Apparitions!$G$1:$G$5001,$A511)&amp;"")</f>
        <v/>
      </c>
      <c r="J511" s="19" t="str">
        <f aca="false">IF($A511="","",INDEX(Apparitions!$M$1:$M$5001,$A511)&amp;"")</f>
        <v/>
      </c>
      <c r="K511" s="21" t="str">
        <f aca="false">IF($A511="","",INDEX(Apparitions!$K$1:$K$5001,$A511))</f>
        <v/>
      </c>
      <c r="L511" s="22" t="str">
        <f aca="false">IF($A511="","",INDEX(Apparitions!$E$1:$E$5001,$A511)&amp;"")</f>
        <v/>
      </c>
      <c r="M511" s="19" t="str">
        <f aca="false">IF($A511="","",INDEX(Apparitions!$F$1:$F$5001,$A511)&amp;"")</f>
        <v/>
      </c>
      <c r="O511" s="23" t="n">
        <f aca="false">IF(I511="",0,IF(COUNTIF(I$16:I511,I511)=1,1,0))</f>
        <v>0</v>
      </c>
      <c r="P511" s="23" t="n">
        <f aca="false">IF(F511="",0,IF(COUNTIF(F$16:F511,F511)=1,1,0))</f>
        <v>0</v>
      </c>
      <c r="Q511" s="0" t="str">
        <f aca="false">IF(B511="","",B511&amp;"|"&amp;C511)</f>
        <v/>
      </c>
      <c r="R511" s="23" t="n">
        <f aca="false">IF(Q511="",0,IF(COUNTIF(Q$16:Q511,Q511)=1,1,0))</f>
        <v>0</v>
      </c>
    </row>
    <row r="512" customFormat="false" ht="15" hidden="false" customHeight="false" outlineLevel="0" collapsed="false">
      <c r="A512" s="0" t="str">
        <f aca="false">IFERROR(MATCH(497,Apparitions!$N$1:$N$5001,0),"")</f>
        <v/>
      </c>
      <c r="B512" s="19" t="str">
        <f aca="false">IF($A512="","",INDEX(Apparitions!$A$1:$A$5001,$A512)&amp;"")</f>
        <v/>
      </c>
      <c r="C512" s="19" t="str">
        <f aca="false">IF($A512="","",INDEX(Apparitions!$B$1:$B$5001,$A512)&amp;"")</f>
        <v/>
      </c>
      <c r="D512" s="20" t="str">
        <f aca="false">IF($A512="","",INDEX(Apparitions!$L$1:$L$5001,$A512))</f>
        <v/>
      </c>
      <c r="E512" s="19" t="str">
        <f aca="false">IF($A512="","",INDEX(Apparitions!$C$1:$C$5001,$A512)&amp;"")</f>
        <v/>
      </c>
      <c r="F512" s="19" t="str">
        <f aca="false">IF($A512="","",INDEX(Apparitions!$H$1:$H$5001,$A512)&amp;"")</f>
        <v/>
      </c>
      <c r="G512" s="19" t="str">
        <f aca="false">IF($A512="","",INDEX(Apparitions!$I$1:$I$5001,$A512)&amp;"")</f>
        <v/>
      </c>
      <c r="H512" s="19" t="str">
        <f aca="false">IF($A512="","",INDEX(Apparitions!$J$1:$J$5001,$A512)&amp;"")</f>
        <v/>
      </c>
      <c r="I512" s="19" t="str">
        <f aca="false">IF($A512="","",INDEX(Apparitions!$G$1:$G$5001,$A512)&amp;"")</f>
        <v/>
      </c>
      <c r="J512" s="19" t="str">
        <f aca="false">IF($A512="","",INDEX(Apparitions!$M$1:$M$5001,$A512)&amp;"")</f>
        <v/>
      </c>
      <c r="K512" s="21" t="str">
        <f aca="false">IF($A512="","",INDEX(Apparitions!$K$1:$K$5001,$A512))</f>
        <v/>
      </c>
      <c r="L512" s="22" t="str">
        <f aca="false">IF($A512="","",INDEX(Apparitions!$E$1:$E$5001,$A512)&amp;"")</f>
        <v/>
      </c>
      <c r="M512" s="19" t="str">
        <f aca="false">IF($A512="","",INDEX(Apparitions!$F$1:$F$5001,$A512)&amp;"")</f>
        <v/>
      </c>
      <c r="O512" s="23" t="n">
        <f aca="false">IF(I512="",0,IF(COUNTIF(I$16:I512,I512)=1,1,0))</f>
        <v>0</v>
      </c>
      <c r="P512" s="23" t="n">
        <f aca="false">IF(F512="",0,IF(COUNTIF(F$16:F512,F512)=1,1,0))</f>
        <v>0</v>
      </c>
      <c r="Q512" s="0" t="str">
        <f aca="false">IF(B512="","",B512&amp;"|"&amp;C512)</f>
        <v/>
      </c>
      <c r="R512" s="23" t="n">
        <f aca="false">IF(Q512="",0,IF(COUNTIF(Q$16:Q512,Q512)=1,1,0))</f>
        <v>0</v>
      </c>
    </row>
    <row r="513" customFormat="false" ht="15" hidden="false" customHeight="false" outlineLevel="0" collapsed="false">
      <c r="A513" s="0" t="str">
        <f aca="false">IFERROR(MATCH(498,Apparitions!$N$1:$N$5001,0),"")</f>
        <v/>
      </c>
      <c r="B513" s="19" t="str">
        <f aca="false">IF($A513="","",INDEX(Apparitions!$A$1:$A$5001,$A513)&amp;"")</f>
        <v/>
      </c>
      <c r="C513" s="19" t="str">
        <f aca="false">IF($A513="","",INDEX(Apparitions!$B$1:$B$5001,$A513)&amp;"")</f>
        <v/>
      </c>
      <c r="D513" s="20" t="str">
        <f aca="false">IF($A513="","",INDEX(Apparitions!$L$1:$L$5001,$A513))</f>
        <v/>
      </c>
      <c r="E513" s="19" t="str">
        <f aca="false">IF($A513="","",INDEX(Apparitions!$C$1:$C$5001,$A513)&amp;"")</f>
        <v/>
      </c>
      <c r="F513" s="19" t="str">
        <f aca="false">IF($A513="","",INDEX(Apparitions!$H$1:$H$5001,$A513)&amp;"")</f>
        <v/>
      </c>
      <c r="G513" s="19" t="str">
        <f aca="false">IF($A513="","",INDEX(Apparitions!$I$1:$I$5001,$A513)&amp;"")</f>
        <v/>
      </c>
      <c r="H513" s="19" t="str">
        <f aca="false">IF($A513="","",INDEX(Apparitions!$J$1:$J$5001,$A513)&amp;"")</f>
        <v/>
      </c>
      <c r="I513" s="19" t="str">
        <f aca="false">IF($A513="","",INDEX(Apparitions!$G$1:$G$5001,$A513)&amp;"")</f>
        <v/>
      </c>
      <c r="J513" s="19" t="str">
        <f aca="false">IF($A513="","",INDEX(Apparitions!$M$1:$M$5001,$A513)&amp;"")</f>
        <v/>
      </c>
      <c r="K513" s="21" t="str">
        <f aca="false">IF($A513="","",INDEX(Apparitions!$K$1:$K$5001,$A513))</f>
        <v/>
      </c>
      <c r="L513" s="22" t="str">
        <f aca="false">IF($A513="","",INDEX(Apparitions!$E$1:$E$5001,$A513)&amp;"")</f>
        <v/>
      </c>
      <c r="M513" s="19" t="str">
        <f aca="false">IF($A513="","",INDEX(Apparitions!$F$1:$F$5001,$A513)&amp;"")</f>
        <v/>
      </c>
      <c r="O513" s="23" t="n">
        <f aca="false">IF(I513="",0,IF(COUNTIF(I$16:I513,I513)=1,1,0))</f>
        <v>0</v>
      </c>
      <c r="P513" s="23" t="n">
        <f aca="false">IF(F513="",0,IF(COUNTIF(F$16:F513,F513)=1,1,0))</f>
        <v>0</v>
      </c>
      <c r="Q513" s="0" t="str">
        <f aca="false">IF(B513="","",B513&amp;"|"&amp;C513)</f>
        <v/>
      </c>
      <c r="R513" s="23" t="n">
        <f aca="false">IF(Q513="",0,IF(COUNTIF(Q$16:Q513,Q513)=1,1,0))</f>
        <v>0</v>
      </c>
    </row>
    <row r="514" customFormat="false" ht="15" hidden="false" customHeight="false" outlineLevel="0" collapsed="false">
      <c r="A514" s="0" t="str">
        <f aca="false">IFERROR(MATCH(499,Apparitions!$N$1:$N$5001,0),"")</f>
        <v/>
      </c>
      <c r="B514" s="19" t="str">
        <f aca="false">IF($A514="","",INDEX(Apparitions!$A$1:$A$5001,$A514)&amp;"")</f>
        <v/>
      </c>
      <c r="C514" s="19" t="str">
        <f aca="false">IF($A514="","",INDEX(Apparitions!$B$1:$B$5001,$A514)&amp;"")</f>
        <v/>
      </c>
      <c r="D514" s="20" t="str">
        <f aca="false">IF($A514="","",INDEX(Apparitions!$L$1:$L$5001,$A514))</f>
        <v/>
      </c>
      <c r="E514" s="19" t="str">
        <f aca="false">IF($A514="","",INDEX(Apparitions!$C$1:$C$5001,$A514)&amp;"")</f>
        <v/>
      </c>
      <c r="F514" s="19" t="str">
        <f aca="false">IF($A514="","",INDEX(Apparitions!$H$1:$H$5001,$A514)&amp;"")</f>
        <v/>
      </c>
      <c r="G514" s="19" t="str">
        <f aca="false">IF($A514="","",INDEX(Apparitions!$I$1:$I$5001,$A514)&amp;"")</f>
        <v/>
      </c>
      <c r="H514" s="19" t="str">
        <f aca="false">IF($A514="","",INDEX(Apparitions!$J$1:$J$5001,$A514)&amp;"")</f>
        <v/>
      </c>
      <c r="I514" s="19" t="str">
        <f aca="false">IF($A514="","",INDEX(Apparitions!$G$1:$G$5001,$A514)&amp;"")</f>
        <v/>
      </c>
      <c r="J514" s="19" t="str">
        <f aca="false">IF($A514="","",INDEX(Apparitions!$M$1:$M$5001,$A514)&amp;"")</f>
        <v/>
      </c>
      <c r="K514" s="21" t="str">
        <f aca="false">IF($A514="","",INDEX(Apparitions!$K$1:$K$5001,$A514))</f>
        <v/>
      </c>
      <c r="L514" s="22" t="str">
        <f aca="false">IF($A514="","",INDEX(Apparitions!$E$1:$E$5001,$A514)&amp;"")</f>
        <v/>
      </c>
      <c r="M514" s="19" t="str">
        <f aca="false">IF($A514="","",INDEX(Apparitions!$F$1:$F$5001,$A514)&amp;"")</f>
        <v/>
      </c>
      <c r="O514" s="23" t="n">
        <f aca="false">IF(I514="",0,IF(COUNTIF(I$16:I514,I514)=1,1,0))</f>
        <v>0</v>
      </c>
      <c r="P514" s="23" t="n">
        <f aca="false">IF(F514="",0,IF(COUNTIF(F$16:F514,F514)=1,1,0))</f>
        <v>0</v>
      </c>
      <c r="Q514" s="0" t="str">
        <f aca="false">IF(B514="","",B514&amp;"|"&amp;C514)</f>
        <v/>
      </c>
      <c r="R514" s="23" t="n">
        <f aca="false">IF(Q514="",0,IF(COUNTIF(Q$16:Q514,Q514)=1,1,0))</f>
        <v>0</v>
      </c>
    </row>
    <row r="515" customFormat="false" ht="15" hidden="false" customHeight="false" outlineLevel="0" collapsed="false">
      <c r="A515" s="0" t="str">
        <f aca="false">IFERROR(MATCH(500,Apparitions!$N$1:$N$5001,0),"")</f>
        <v/>
      </c>
      <c r="B515" s="19" t="str">
        <f aca="false">IF($A515="","",INDEX(Apparitions!$A$1:$A$5001,$A515)&amp;"")</f>
        <v/>
      </c>
      <c r="C515" s="19" t="str">
        <f aca="false">IF($A515="","",INDEX(Apparitions!$B$1:$B$5001,$A515)&amp;"")</f>
        <v/>
      </c>
      <c r="D515" s="20" t="str">
        <f aca="false">IF($A515="","",INDEX(Apparitions!$L$1:$L$5001,$A515))</f>
        <v/>
      </c>
      <c r="E515" s="19" t="str">
        <f aca="false">IF($A515="","",INDEX(Apparitions!$C$1:$C$5001,$A515)&amp;"")</f>
        <v/>
      </c>
      <c r="F515" s="19" t="str">
        <f aca="false">IF($A515="","",INDEX(Apparitions!$H$1:$H$5001,$A515)&amp;"")</f>
        <v/>
      </c>
      <c r="G515" s="19" t="str">
        <f aca="false">IF($A515="","",INDEX(Apparitions!$I$1:$I$5001,$A515)&amp;"")</f>
        <v/>
      </c>
      <c r="H515" s="19" t="str">
        <f aca="false">IF($A515="","",INDEX(Apparitions!$J$1:$J$5001,$A515)&amp;"")</f>
        <v/>
      </c>
      <c r="I515" s="19" t="str">
        <f aca="false">IF($A515="","",INDEX(Apparitions!$G$1:$G$5001,$A515)&amp;"")</f>
        <v/>
      </c>
      <c r="J515" s="19" t="str">
        <f aca="false">IF($A515="","",INDEX(Apparitions!$M$1:$M$5001,$A515)&amp;"")</f>
        <v/>
      </c>
      <c r="K515" s="21" t="str">
        <f aca="false">IF($A515="","",INDEX(Apparitions!$K$1:$K$5001,$A515))</f>
        <v/>
      </c>
      <c r="L515" s="22" t="str">
        <f aca="false">IF($A515="","",INDEX(Apparitions!$E$1:$E$5001,$A515)&amp;"")</f>
        <v/>
      </c>
      <c r="M515" s="19" t="str">
        <f aca="false">IF($A515="","",INDEX(Apparitions!$F$1:$F$5001,$A515)&amp;"")</f>
        <v/>
      </c>
      <c r="O515" s="23" t="n">
        <f aca="false">IF(I515="",0,IF(COUNTIF(I$16:I515,I515)=1,1,0))</f>
        <v>0</v>
      </c>
      <c r="P515" s="23" t="n">
        <f aca="false">IF(F515="",0,IF(COUNTIF(F$16:F515,F515)=1,1,0))</f>
        <v>0</v>
      </c>
      <c r="Q515" s="0" t="str">
        <f aca="false">IF(B515="","",B515&amp;"|"&amp;C515)</f>
        <v/>
      </c>
      <c r="R515" s="23" t="n">
        <f aca="false">IF(Q515="",0,IF(COUNTIF(Q$16:Q515,Q515)=1,1,0))</f>
        <v>0</v>
      </c>
    </row>
  </sheetData>
  <conditionalFormatting sqref="L16:L515">
    <cfRule type="expression" priority="2" aboveAverage="0" equalAverage="0" bottom="0" percent="0" rank="0" text="" dxfId="0">
      <formula>L16="○"</formula>
    </cfRule>
    <cfRule type="expression" priority="3" aboveAverage="0" equalAverage="0" bottom="0" percent="0" rank="0" text="" dxfId="1">
      <formula>L16="×"</formula>
    </cfRule>
  </conditionalFormatting>
  <dataValidations count="5">
    <dataValidation allowBlank="true" error="Cette valeur n'existe pas dans la liste. Ajoutez-la d'abord dans l'onglet correspondant." errorStyle="warning" errorTitle="Valeur hors liste" operator="between" showDropDown="false" showErrorMessage="false" showInputMessage="false" sqref="C4" type="list">
      <formula1>L_Magazines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false" showInputMessage="false" sqref="C7" type="list">
      <formula1>L_Jeux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false" showInputMessage="false" sqref="C8" type="list">
      <formula1>L_Series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false" showInputMessage="false" sqref="C9" type="list">
      <formula1>L_Plateformes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false" showInputMessage="false" sqref="C11" type="list">
      <formula1>"○,×"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true" outlineLevel="0" max="14" min="14" style="0" width="6"/>
  </cols>
  <sheetData>
    <row r="1" customFormat="false" ht="30" hidden="false" customHeight="true" outlineLevel="0" collapsed="false">
      <c r="A1" s="24" t="s">
        <v>60</v>
      </c>
      <c r="B1" s="24" t="s">
        <v>63</v>
      </c>
      <c r="C1" s="24" t="s">
        <v>84</v>
      </c>
      <c r="D1" s="24" t="s">
        <v>90</v>
      </c>
      <c r="E1" s="24" t="s">
        <v>91</v>
      </c>
      <c r="F1" s="24" t="s">
        <v>89</v>
      </c>
      <c r="G1" s="25" t="s">
        <v>75</v>
      </c>
      <c r="H1" s="25" t="s">
        <v>85</v>
      </c>
      <c r="I1" s="25" t="s">
        <v>73</v>
      </c>
      <c r="J1" s="25" t="s">
        <v>71</v>
      </c>
      <c r="K1" s="25" t="s">
        <v>92</v>
      </c>
      <c r="L1" s="25" t="s">
        <v>93</v>
      </c>
      <c r="M1" s="25" t="s">
        <v>86</v>
      </c>
      <c r="N1" s="25" t="s">
        <v>94</v>
      </c>
    </row>
    <row r="2" customFormat="false" ht="15" hidden="false" customHeight="false" outlineLevel="0" collapsed="false">
      <c r="A2" s="19" t="s">
        <v>95</v>
      </c>
      <c r="B2" s="19" t="n">
        <v>421</v>
      </c>
      <c r="C2" s="19" t="n">
        <v>12</v>
      </c>
      <c r="D2" s="19" t="s">
        <v>96</v>
      </c>
      <c r="E2" s="22" t="s">
        <v>97</v>
      </c>
      <c r="F2" s="19" t="s">
        <v>98</v>
      </c>
      <c r="G2" s="26" t="n">
        <f aca="false">IF(D2="","",IFERROR(VALUE(LEFT(D2,FIND(" |",D2&amp;" |")-1)),"?"))</f>
        <v>1</v>
      </c>
      <c r="H2" s="27" t="str">
        <f aca="false">IF(G2="","",IF(G2="?","⚠ pub inconnue",IFERROR(INDEX(Pubs!$B$2:$B$3001,MATCH(G2,Pubs!$A$2:$A$3001,0))&amp;"","⚠ pub inconnue")))</f>
        <v>Final Fantasy VII</v>
      </c>
      <c r="I2" s="27" t="str">
        <f aca="false">IF(OR(G2="",G2="?"),"",IFERROR(INDEX(Pubs!$C$2:$C$3001,MATCH(G2,Pubs!$A$2:$A$3001,0))&amp;"",""))</f>
        <v>PlayStation</v>
      </c>
      <c r="J2" s="27" t="str">
        <f aca="false">IF(OR(G2="",G2="?"),"",IFERROR(INDEX(Pubs!$G$2:$G$3001,MATCH(G2,Pubs!$A$2:$A$3001,0))&amp;"",""))</f>
        <v>Final Fantasy</v>
      </c>
      <c r="K2" s="28" t="n">
        <f aca="false">IF(OR(G2="",G2="?"),"",IFERROR(INDEX(Pubs!$E$2:$E$3001,MATCH(G2,Pubs!$A$2:$A$3001,0)),""))</f>
        <v>2</v>
      </c>
      <c r="L2" s="29" t="n">
        <f aca="false">IF(A2="","",IFERROR(1/(1/INDEX(Numéros!$C$2:$C$3001,MATCH(A2&amp;"|"&amp;B2,Numéros!$F$2:$F$3001,0))),""))</f>
        <v>35433</v>
      </c>
      <c r="M2" s="27" t="str">
        <f aca="false">IF(OR(G2="",G2="?"),"",IFERROR(INDEX(Pubs!$D$2:$D$3001,MATCH(G2,Pubs!$A$2:$A$3001,0))&amp;"",""))</f>
        <v>Cloud devant Midgar</v>
      </c>
      <c r="N2" s="27" t="n">
        <f aca="false">N(N1)+IF(AND(A2&lt;&gt;"",OR(Recherche!$C$4="",A2=Recherche!$C$4),OR(Recherche!$C$5="",B2&amp;""=Recherche!$C$5&amp;""),OR(Recherche!$C$6="",IFERROR(YEAR(L2),0)=Recherche!$C$6),OR(Recherche!$C$7="",ISNUMBER(SEARCH(Recherche!$C$7,H2))),OR(Recherche!$C$8="",J2=Recherche!$C$8),OR(Recherche!$C$9="",I2=Recherche!$C$9),OR(Recherche!$C$10="",G2&amp;""=Recherche!$C$10&amp;""),OR(Recherche!$C$11="",E2=Recherche!$C$11),OR(Recherche!$C$12="",ISNUMBER(SEARCH(Recherche!$C$12,M2&amp;" "&amp;F2)))),1,0)</f>
        <v>1</v>
      </c>
    </row>
    <row r="3" customFormat="false" ht="15" hidden="false" customHeight="false" outlineLevel="0" collapsed="false">
      <c r="A3" s="19" t="s">
        <v>95</v>
      </c>
      <c r="B3" s="19" t="n">
        <v>421</v>
      </c>
      <c r="C3" s="19" t="n">
        <v>40</v>
      </c>
      <c r="D3" s="19" t="s">
        <v>99</v>
      </c>
      <c r="E3" s="22" t="s">
        <v>100</v>
      </c>
      <c r="F3" s="19" t="s">
        <v>98</v>
      </c>
      <c r="G3" s="26" t="n">
        <f aca="false">IF(D3="","",IFERROR(VALUE(LEFT(D3,FIND(" |",D3&amp;" |")-1)),"?"))</f>
        <v>4</v>
      </c>
      <c r="H3" s="27" t="str">
        <f aca="false">IF(G3="","",IF(G3="?","⚠ pub inconnue",IFERROR(INDEX(Pubs!$B$2:$B$3001,MATCH(G3,Pubs!$A$2:$A$3001,0))&amp;"","⚠ pub inconnue")))</f>
        <v>Sakura Taisen</v>
      </c>
      <c r="I3" s="27" t="str">
        <f aca="false">IF(OR(G3="",G3="?"),"",IFERROR(INDEX(Pubs!$C$2:$C$3001,MATCH(G3,Pubs!$A$2:$A$3001,0))&amp;"",""))</f>
        <v>Sega Saturn</v>
      </c>
      <c r="J3" s="27" t="str">
        <f aca="false">IF(OR(G3="",G3="?"),"",IFERROR(INDEX(Pubs!$G$2:$G$3001,MATCH(G3,Pubs!$A$2:$A$3001,0))&amp;"",""))</f>
        <v>Sakura Taisen</v>
      </c>
      <c r="K3" s="28" t="n">
        <f aca="false">IF(OR(G3="",G3="?"),"",IFERROR(INDEX(Pubs!$E$2:$E$3001,MATCH(G3,Pubs!$A$2:$A$3001,0)),""))</f>
        <v>1</v>
      </c>
      <c r="L3" s="29" t="n">
        <f aca="false">IF(A3="","",IFERROR(1/(1/INDEX(Numéros!$C$2:$C$3001,MATCH(A3&amp;"|"&amp;B3,Numéros!$F$2:$F$3001,0))),""))</f>
        <v>35433</v>
      </c>
      <c r="M3" s="27" t="str">
        <f aca="false">IF(OR(G3="",G3="?"),"",IFERROR(INDEX(Pubs!$D$2:$D$3001,MATCH(G3,Pubs!$A$2:$A$3001,0))&amp;"",""))</f>
        <v>Sakura au sabre</v>
      </c>
      <c r="N3" s="27" t="n">
        <f aca="false">N(N2)+IF(AND(A3&lt;&gt;"",OR(Recherche!$C$4="",A3=Recherche!$C$4),OR(Recherche!$C$5="",B3&amp;""=Recherche!$C$5&amp;""),OR(Recherche!$C$6="",IFERROR(YEAR(L3),0)=Recherche!$C$6),OR(Recherche!$C$7="",ISNUMBER(SEARCH(Recherche!$C$7,H3))),OR(Recherche!$C$8="",J3=Recherche!$C$8),OR(Recherche!$C$9="",I3=Recherche!$C$9),OR(Recherche!$C$10="",G3&amp;""=Recherche!$C$10&amp;""),OR(Recherche!$C$11="",E3=Recherche!$C$11),OR(Recherche!$C$12="",ISNUMBER(SEARCH(Recherche!$C$12,M3&amp;" "&amp;F3)))),1,0)</f>
        <v>2</v>
      </c>
    </row>
    <row r="4" customFormat="false" ht="15" hidden="false" customHeight="false" outlineLevel="0" collapsed="false">
      <c r="A4" s="19" t="s">
        <v>95</v>
      </c>
      <c r="B4" s="19" t="n">
        <v>425</v>
      </c>
      <c r="C4" s="19" t="n">
        <v>8</v>
      </c>
      <c r="D4" s="19" t="s">
        <v>96</v>
      </c>
      <c r="E4" s="22" t="s">
        <v>100</v>
      </c>
      <c r="F4" s="19" t="s">
        <v>98</v>
      </c>
      <c r="G4" s="26" t="n">
        <f aca="false">IF(D4="","",IFERROR(VALUE(LEFT(D4,FIND(" |",D4&amp;" |")-1)),"?"))</f>
        <v>1</v>
      </c>
      <c r="H4" s="27" t="str">
        <f aca="false">IF(G4="","",IF(G4="?","⚠ pub inconnue",IFERROR(INDEX(Pubs!$B$2:$B$3001,MATCH(G4,Pubs!$A$2:$A$3001,0))&amp;"","⚠ pub inconnue")))</f>
        <v>Final Fantasy VII</v>
      </c>
      <c r="I4" s="27" t="str">
        <f aca="false">IF(OR(G4="",G4="?"),"",IFERROR(INDEX(Pubs!$C$2:$C$3001,MATCH(G4,Pubs!$A$2:$A$3001,0))&amp;"",""))</f>
        <v>PlayStation</v>
      </c>
      <c r="J4" s="27" t="str">
        <f aca="false">IF(OR(G4="",G4="?"),"",IFERROR(INDEX(Pubs!$G$2:$G$3001,MATCH(G4,Pubs!$A$2:$A$3001,0))&amp;"",""))</f>
        <v>Final Fantasy</v>
      </c>
      <c r="K4" s="28" t="n">
        <f aca="false">IF(OR(G4="",G4="?"),"",IFERROR(INDEX(Pubs!$E$2:$E$3001,MATCH(G4,Pubs!$A$2:$A$3001,0)),""))</f>
        <v>2</v>
      </c>
      <c r="L4" s="29" t="n">
        <f aca="false">IF(A4="","",IFERROR(1/(1/INDEX(Numéros!$C$2:$C$3001,MATCH(A4&amp;"|"&amp;B4,Numéros!$F$2:$F$3001,0))),""))</f>
        <v>35461</v>
      </c>
      <c r="M4" s="27" t="str">
        <f aca="false">IF(OR(G4="",G4="?"),"",IFERROR(INDEX(Pubs!$D$2:$D$3001,MATCH(G4,Pubs!$A$2:$A$3001,0))&amp;"",""))</f>
        <v>Cloud devant Midgar</v>
      </c>
      <c r="N4" s="27" t="n">
        <f aca="false">N(N3)+IF(AND(A4&lt;&gt;"",OR(Recherche!$C$4="",A4=Recherche!$C$4),OR(Recherche!$C$5="",B4&amp;""=Recherche!$C$5&amp;""),OR(Recherche!$C$6="",IFERROR(YEAR(L4),0)=Recherche!$C$6),OR(Recherche!$C$7="",ISNUMBER(SEARCH(Recherche!$C$7,H4))),OR(Recherche!$C$8="",J4=Recherche!$C$8),OR(Recherche!$C$9="",I4=Recherche!$C$9),OR(Recherche!$C$10="",G4&amp;""=Recherche!$C$10&amp;""),OR(Recherche!$C$11="",E4=Recherche!$C$11),OR(Recherche!$C$12="",ISNUMBER(SEARCH(Recherche!$C$12,M4&amp;" "&amp;F4)))),1,0)</f>
        <v>3</v>
      </c>
    </row>
    <row r="5" customFormat="false" ht="15" hidden="false" customHeight="false" outlineLevel="0" collapsed="false">
      <c r="A5" s="19" t="s">
        <v>95</v>
      </c>
      <c r="B5" s="19" t="n">
        <v>430</v>
      </c>
      <c r="C5" s="19" t="n">
        <v>2</v>
      </c>
      <c r="D5" s="19" t="s">
        <v>101</v>
      </c>
      <c r="E5" s="22" t="s">
        <v>97</v>
      </c>
      <c r="F5" s="19" t="s">
        <v>98</v>
      </c>
      <c r="G5" s="26" t="n">
        <f aca="false">IF(D5="","",IFERROR(VALUE(LEFT(D5,FIND(" |",D5&amp;" |")-1)),"?"))</f>
        <v>2</v>
      </c>
      <c r="H5" s="27" t="str">
        <f aca="false">IF(G5="","",IF(G5="?","⚠ pub inconnue",IFERROR(INDEX(Pubs!$B$2:$B$3001,MATCH(G5,Pubs!$A$2:$A$3001,0))&amp;"","⚠ pub inconnue")))</f>
        <v>Final Fantasy VII</v>
      </c>
      <c r="I5" s="27" t="str">
        <f aca="false">IF(OR(G5="",G5="?"),"",IFERROR(INDEX(Pubs!$C$2:$C$3001,MATCH(G5,Pubs!$A$2:$A$3001,0))&amp;"",""))</f>
        <v>PlayStation</v>
      </c>
      <c r="J5" s="27" t="str">
        <f aca="false">IF(OR(G5="",G5="?"),"",IFERROR(INDEX(Pubs!$G$2:$G$3001,MATCH(G5,Pubs!$A$2:$A$3001,0))&amp;"",""))</f>
        <v>Final Fantasy</v>
      </c>
      <c r="K5" s="28" t="n">
        <f aca="false">IF(OR(G5="",G5="?"),"",IFERROR(INDEX(Pubs!$E$2:$E$3001,MATCH(G5,Pubs!$A$2:$A$3001,0)),""))</f>
        <v>1</v>
      </c>
      <c r="L5" s="29" t="n">
        <f aca="false">IF(A5="","",IFERROR(1/(1/INDEX(Numéros!$C$2:$C$3001,MATCH(A5&amp;"|"&amp;B5,Numéros!$F$2:$F$3001,0))),""))</f>
        <v>35496</v>
      </c>
      <c r="M5" s="27" t="str">
        <f aca="false">IF(OR(G5="",G5="?"),"",IFERROR(INDEX(Pubs!$D$2:$D$3001,MATCH(G5,Pubs!$A$2:$A$3001,0))&amp;"",""))</f>
        <v>Aerith, fond fleurs</v>
      </c>
      <c r="N5" s="27" t="n">
        <f aca="false">N(N4)+IF(AND(A5&lt;&gt;"",OR(Recherche!$C$4="",A5=Recherche!$C$4),OR(Recherche!$C$5="",B5&amp;""=Recherche!$C$5&amp;""),OR(Recherche!$C$6="",IFERROR(YEAR(L5),0)=Recherche!$C$6),OR(Recherche!$C$7="",ISNUMBER(SEARCH(Recherche!$C$7,H5))),OR(Recherche!$C$8="",J5=Recherche!$C$8),OR(Recherche!$C$9="",I5=Recherche!$C$9),OR(Recherche!$C$10="",G5&amp;""=Recherche!$C$10&amp;""),OR(Recherche!$C$11="",E5=Recherche!$C$11),OR(Recherche!$C$12="",ISNUMBER(SEARCH(Recherche!$C$12,M5&amp;" "&amp;F5)))),1,0)</f>
        <v>4</v>
      </c>
    </row>
    <row r="6" customFormat="false" ht="15" hidden="false" customHeight="false" outlineLevel="0" collapsed="false">
      <c r="A6" s="19" t="s">
        <v>102</v>
      </c>
      <c r="B6" s="19" t="n">
        <v>38</v>
      </c>
      <c r="C6" s="19" t="n">
        <v>2</v>
      </c>
      <c r="D6" s="19" t="s">
        <v>96</v>
      </c>
      <c r="E6" s="22" t="s">
        <v>97</v>
      </c>
      <c r="F6" s="19" t="s">
        <v>98</v>
      </c>
      <c r="G6" s="26" t="n">
        <f aca="false">IF(D6="","",IFERROR(VALUE(LEFT(D6,FIND(" |",D6&amp;" |")-1)),"?"))</f>
        <v>1</v>
      </c>
      <c r="H6" s="27" t="str">
        <f aca="false">IF(G6="","",IF(G6="?","⚠ pub inconnue",IFERROR(INDEX(Pubs!$B$2:$B$3001,MATCH(G6,Pubs!$A$2:$A$3001,0))&amp;"","⚠ pub inconnue")))</f>
        <v>Final Fantasy VII</v>
      </c>
      <c r="I6" s="27" t="str">
        <f aca="false">IF(OR(G6="",G6="?"),"",IFERROR(INDEX(Pubs!$C$2:$C$3001,MATCH(G6,Pubs!$A$2:$A$3001,0))&amp;"",""))</f>
        <v>PlayStation</v>
      </c>
      <c r="J6" s="27" t="str">
        <f aca="false">IF(OR(G6="",G6="?"),"",IFERROR(INDEX(Pubs!$G$2:$G$3001,MATCH(G6,Pubs!$A$2:$A$3001,0))&amp;"",""))</f>
        <v>Final Fantasy</v>
      </c>
      <c r="K6" s="28" t="n">
        <f aca="false">IF(OR(G6="",G6="?"),"",IFERROR(INDEX(Pubs!$E$2:$E$3001,MATCH(G6,Pubs!$A$2:$A$3001,0)),""))</f>
        <v>2</v>
      </c>
      <c r="L6" s="29" t="n">
        <f aca="false">IF(A6="","",IFERROR(1/(1/INDEX(Numéros!$C$2:$C$3001,MATCH(A6&amp;"|"&amp;B6,Numéros!$F$2:$F$3001,0))),""))</f>
        <v>35440</v>
      </c>
      <c r="M6" s="27" t="str">
        <f aca="false">IF(OR(G6="",G6="?"),"",IFERROR(INDEX(Pubs!$D$2:$D$3001,MATCH(G6,Pubs!$A$2:$A$3001,0))&amp;"",""))</f>
        <v>Cloud devant Midgar</v>
      </c>
      <c r="N6" s="27" t="n">
        <f aca="false">N(N5)+IF(AND(A6&lt;&gt;"",OR(Recherche!$C$4="",A6=Recherche!$C$4),OR(Recherche!$C$5="",B6&amp;""=Recherche!$C$5&amp;""),OR(Recherche!$C$6="",IFERROR(YEAR(L6),0)=Recherche!$C$6),OR(Recherche!$C$7="",ISNUMBER(SEARCH(Recherche!$C$7,H6))),OR(Recherche!$C$8="",J6=Recherche!$C$8),OR(Recherche!$C$9="",I6=Recherche!$C$9),OR(Recherche!$C$10="",G6&amp;""=Recherche!$C$10&amp;""),OR(Recherche!$C$11="",E6=Recherche!$C$11),OR(Recherche!$C$12="",ISNUMBER(SEARCH(Recherche!$C$12,M6&amp;" "&amp;F6)))),1,0)</f>
        <v>5</v>
      </c>
    </row>
    <row r="7" customFormat="false" ht="15" hidden="false" customHeight="false" outlineLevel="0" collapsed="false">
      <c r="A7" s="19" t="s">
        <v>102</v>
      </c>
      <c r="B7" s="19" t="n">
        <v>38</v>
      </c>
      <c r="C7" s="19" t="n">
        <v>100</v>
      </c>
      <c r="D7" s="19" t="s">
        <v>103</v>
      </c>
      <c r="E7" s="22" t="s">
        <v>100</v>
      </c>
      <c r="F7" s="19" t="s">
        <v>98</v>
      </c>
      <c r="G7" s="26" t="n">
        <f aca="false">IF(D7="","",IFERROR(VALUE(LEFT(D7,FIND(" |",D7&amp;" |")-1)),"?"))</f>
        <v>3</v>
      </c>
      <c r="H7" s="27" t="str">
        <f aca="false">IF(G7="","",IF(G7="?","⚠ pub inconnue",IFERROR(INDEX(Pubs!$B$2:$B$3001,MATCH(G7,Pubs!$A$2:$A$3001,0))&amp;"","⚠ pub inconnue")))</f>
        <v>Biohazard 2</v>
      </c>
      <c r="I7" s="27" t="str">
        <f aca="false">IF(OR(G7="",G7="?"),"",IFERROR(INDEX(Pubs!$C$2:$C$3001,MATCH(G7,Pubs!$A$2:$A$3001,0))&amp;"",""))</f>
        <v>PlayStation</v>
      </c>
      <c r="J7" s="27" t="str">
        <f aca="false">IF(OR(G7="",G7="?"),"",IFERROR(INDEX(Pubs!$G$2:$G$3001,MATCH(G7,Pubs!$A$2:$A$3001,0))&amp;"",""))</f>
        <v>Biohazard</v>
      </c>
      <c r="K7" s="28" t="n">
        <f aca="false">IF(OR(G7="",G7="?"),"",IFERROR(INDEX(Pubs!$E$2:$E$3001,MATCH(G7,Pubs!$A$2:$A$3001,0)),""))</f>
        <v>2</v>
      </c>
      <c r="L7" s="29" t="n">
        <f aca="false">IF(A7="","",IFERROR(1/(1/INDEX(Numéros!$C$2:$C$3001,MATCH(A7&amp;"|"&amp;B7,Numéros!$F$2:$F$3001,0))),""))</f>
        <v>35440</v>
      </c>
      <c r="M7" s="27" t="str">
        <f aca="false">IF(OR(G7="",G7="?"),"",IFERROR(INDEX(Pubs!$D$2:$D$3001,MATCH(G7,Pubs!$A$2:$A$3001,0))&amp;"",""))</f>
        <v>Leon &amp; Claire</v>
      </c>
      <c r="N7" s="27" t="n">
        <f aca="false">N(N6)+IF(AND(A7&lt;&gt;"",OR(Recherche!$C$4="",A7=Recherche!$C$4),OR(Recherche!$C$5="",B7&amp;""=Recherche!$C$5&amp;""),OR(Recherche!$C$6="",IFERROR(YEAR(L7),0)=Recherche!$C$6),OR(Recherche!$C$7="",ISNUMBER(SEARCH(Recherche!$C$7,H7))),OR(Recherche!$C$8="",J7=Recherche!$C$8),OR(Recherche!$C$9="",I7=Recherche!$C$9),OR(Recherche!$C$10="",G7&amp;""=Recherche!$C$10&amp;""),OR(Recherche!$C$11="",E7=Recherche!$C$11),OR(Recherche!$C$12="",ISNUMBER(SEARCH(Recherche!$C$12,M7&amp;" "&amp;F7)))),1,0)</f>
        <v>6</v>
      </c>
    </row>
    <row r="8" customFormat="false" ht="15" hidden="false" customHeight="false" outlineLevel="0" collapsed="false">
      <c r="A8" s="19" t="s">
        <v>104</v>
      </c>
      <c r="B8" s="19" t="n">
        <v>5</v>
      </c>
      <c r="C8" s="19" t="n">
        <v>1</v>
      </c>
      <c r="D8" s="19" t="s">
        <v>99</v>
      </c>
      <c r="E8" s="22" t="s">
        <v>97</v>
      </c>
      <c r="F8" s="19" t="s">
        <v>98</v>
      </c>
      <c r="G8" s="26" t="n">
        <f aca="false">IF(D8="","",IFERROR(VALUE(LEFT(D8,FIND(" |",D8&amp;" |")-1)),"?"))</f>
        <v>4</v>
      </c>
      <c r="H8" s="27" t="str">
        <f aca="false">IF(G8="","",IF(G8="?","⚠ pub inconnue",IFERROR(INDEX(Pubs!$B$2:$B$3001,MATCH(G8,Pubs!$A$2:$A$3001,0))&amp;"","⚠ pub inconnue")))</f>
        <v>Sakura Taisen</v>
      </c>
      <c r="I8" s="27" t="str">
        <f aca="false">IF(OR(G8="",G8="?"),"",IFERROR(INDEX(Pubs!$C$2:$C$3001,MATCH(G8,Pubs!$A$2:$A$3001,0))&amp;"",""))</f>
        <v>Sega Saturn</v>
      </c>
      <c r="J8" s="27" t="str">
        <f aca="false">IF(OR(G8="",G8="?"),"",IFERROR(INDEX(Pubs!$G$2:$G$3001,MATCH(G8,Pubs!$A$2:$A$3001,0))&amp;"",""))</f>
        <v>Sakura Taisen</v>
      </c>
      <c r="K8" s="28" t="n">
        <f aca="false">IF(OR(G8="",G8="?"),"",IFERROR(INDEX(Pubs!$E$2:$E$3001,MATCH(G8,Pubs!$A$2:$A$3001,0)),""))</f>
        <v>1</v>
      </c>
      <c r="L8" s="29" t="n">
        <f aca="false">IF(A8="","",IFERROR(1/(1/INDEX(Numéros!$C$2:$C$3001,MATCH(A8&amp;"|"&amp;B8,Numéros!$F$2:$F$3001,0))),""))</f>
        <v>35309</v>
      </c>
      <c r="M8" s="27" t="str">
        <f aca="false">IF(OR(G8="",G8="?"),"",IFERROR(INDEX(Pubs!$D$2:$D$3001,MATCH(G8,Pubs!$A$2:$A$3001,0))&amp;"",""))</f>
        <v>Sakura au sabre</v>
      </c>
      <c r="N8" s="27" t="n">
        <f aca="false">N(N7)+IF(AND(A8&lt;&gt;"",OR(Recherche!$C$4="",A8=Recherche!$C$4),OR(Recherche!$C$5="",B8&amp;""=Recherche!$C$5&amp;""),OR(Recherche!$C$6="",IFERROR(YEAR(L8),0)=Recherche!$C$6),OR(Recherche!$C$7="",ISNUMBER(SEARCH(Recherche!$C$7,H8))),OR(Recherche!$C$8="",J8=Recherche!$C$8),OR(Recherche!$C$9="",I8=Recherche!$C$9),OR(Recherche!$C$10="",G8&amp;""=Recherche!$C$10&amp;""),OR(Recherche!$C$11="",E8=Recherche!$C$11),OR(Recherche!$C$12="",ISNUMBER(SEARCH(Recherche!$C$12,M8&amp;" "&amp;F8)))),1,0)</f>
        <v>7</v>
      </c>
    </row>
    <row r="9" customFormat="false" ht="15" hidden="false" customHeight="false" outlineLevel="0" collapsed="false">
      <c r="A9" s="19" t="s">
        <v>95</v>
      </c>
      <c r="B9" s="19" t="n">
        <v>600</v>
      </c>
      <c r="C9" s="19" t="n">
        <v>4</v>
      </c>
      <c r="D9" s="19" t="s">
        <v>105</v>
      </c>
      <c r="E9" s="22" t="s">
        <v>100</v>
      </c>
      <c r="F9" s="19" t="s">
        <v>98</v>
      </c>
      <c r="G9" s="26" t="n">
        <f aca="false">IF(D9="","",IFERROR(VALUE(LEFT(D9,FIND(" |",D9&amp;" |")-1)),"?"))</f>
        <v>5</v>
      </c>
      <c r="H9" s="27" t="str">
        <f aca="false">IF(G9="","",IF(G9="?","⚠ pub inconnue",IFERROR(INDEX(Pubs!$B$2:$B$3001,MATCH(G9,Pubs!$A$2:$A$3001,0))&amp;"","⚠ pub inconnue")))</f>
        <v>Dragon Quest VII</v>
      </c>
      <c r="I9" s="27" t="str">
        <f aca="false">IF(OR(G9="",G9="?"),"",IFERROR(INDEX(Pubs!$C$2:$C$3001,MATCH(G9,Pubs!$A$2:$A$3001,0))&amp;"",""))</f>
        <v>PlayStation</v>
      </c>
      <c r="J9" s="27" t="str">
        <f aca="false">IF(OR(G9="",G9="?"),"",IFERROR(INDEX(Pubs!$G$2:$G$3001,MATCH(G9,Pubs!$A$2:$A$3001,0))&amp;"",""))</f>
        <v>Dragon Quest</v>
      </c>
      <c r="K9" s="28" t="n">
        <f aca="false">IF(OR(G9="",G9="?"),"",IFERROR(INDEX(Pubs!$E$2:$E$3001,MATCH(G9,Pubs!$A$2:$A$3001,0)),""))</f>
        <v>2</v>
      </c>
      <c r="L9" s="29" t="str">
        <f aca="false">IF(A9="","",IFERROR(1/(1/INDEX(Numéros!$C$2:$C$3001,MATCH(A9&amp;"|"&amp;B9,Numéros!$F$2:$F$3001,0))),""))</f>
        <v/>
      </c>
      <c r="M9" s="27" t="str">
        <f aca="false">IF(OR(G9="",G9="?"),"",IFERROR(INDEX(Pubs!$D$2:$D$3001,MATCH(G9,Pubs!$A$2:$A$3001,0))&amp;"",""))</f>
        <v>Logo + illustration</v>
      </c>
      <c r="N9" s="27" t="n">
        <f aca="false">N(N8)+IF(AND(A9&lt;&gt;"",OR(Recherche!$C$4="",A9=Recherche!$C$4),OR(Recherche!$C$5="",B9&amp;""=Recherche!$C$5&amp;""),OR(Recherche!$C$6="",IFERROR(YEAR(L9),0)=Recherche!$C$6),OR(Recherche!$C$7="",ISNUMBER(SEARCH(Recherche!$C$7,H9))),OR(Recherche!$C$8="",J9=Recherche!$C$8),OR(Recherche!$C$9="",I9=Recherche!$C$9),OR(Recherche!$C$10="",G9&amp;""=Recherche!$C$10&amp;""),OR(Recherche!$C$11="",E9=Recherche!$C$11),OR(Recherche!$C$12="",ISNUMBER(SEARCH(Recherche!$C$12,M9&amp;" "&amp;F9)))),1,0)</f>
        <v>8</v>
      </c>
    </row>
    <row r="10" customFormat="false" ht="15" hidden="false" customHeight="false" outlineLevel="0" collapsed="false">
      <c r="A10" s="19"/>
      <c r="B10" s="19"/>
      <c r="C10" s="19"/>
      <c r="D10" s="19"/>
      <c r="E10" s="22"/>
      <c r="F10" s="19"/>
      <c r="G10" s="26" t="str">
        <f aca="false">IF(D10="","",IFERROR(VALUE(LEFT(D10,FIND(" |",D10&amp;" |")-1)),"?"))</f>
        <v/>
      </c>
      <c r="H10" s="27" t="str">
        <f aca="false">IF(G10="","",IF(G10="?","⚠ pub inconnue",IFERROR(INDEX(Pubs!$B$2:$B$3001,MATCH(G10,Pubs!$A$2:$A$3001,0))&amp;"","⚠ pub inconnue")))</f>
        <v/>
      </c>
      <c r="I10" s="27" t="str">
        <f aca="false">IF(OR(G10="",G10="?"),"",IFERROR(INDEX(Pubs!$C$2:$C$3001,MATCH(G10,Pubs!$A$2:$A$3001,0))&amp;"",""))</f>
        <v/>
      </c>
      <c r="J10" s="27" t="str">
        <f aca="false">IF(OR(G10="",G10="?"),"",IFERROR(INDEX(Pubs!$G$2:$G$3001,MATCH(G10,Pubs!$A$2:$A$3001,0))&amp;"",""))</f>
        <v/>
      </c>
      <c r="K10" s="28" t="str">
        <f aca="false">IF(OR(G10="",G10="?"),"",IFERROR(INDEX(Pubs!$E$2:$E$3001,MATCH(G10,Pubs!$A$2:$A$3001,0)),""))</f>
        <v/>
      </c>
      <c r="L10" s="29" t="str">
        <f aca="false">IF(A10="","",IFERROR(1/(1/INDEX(Numéros!$C$2:$C$3001,MATCH(A10&amp;"|"&amp;B10,Numéros!$F$2:$F$3001,0))),""))</f>
        <v/>
      </c>
      <c r="M10" s="27" t="str">
        <f aca="false">IF(OR(G10="",G10="?"),"",IFERROR(INDEX(Pubs!$D$2:$D$3001,MATCH(G10,Pubs!$A$2:$A$3001,0))&amp;"",""))</f>
        <v/>
      </c>
      <c r="N10" s="27" t="n">
        <f aca="false">N(N9)+IF(AND(A10&lt;&gt;"",OR(Recherche!$C$4="",A10=Recherche!$C$4),OR(Recherche!$C$5="",B10&amp;""=Recherche!$C$5&amp;""),OR(Recherche!$C$6="",IFERROR(YEAR(L10),0)=Recherche!$C$6),OR(Recherche!$C$7="",ISNUMBER(SEARCH(Recherche!$C$7,H10))),OR(Recherche!$C$8="",J10=Recherche!$C$8),OR(Recherche!$C$9="",I10=Recherche!$C$9),OR(Recherche!$C$10="",G10&amp;""=Recherche!$C$10&amp;""),OR(Recherche!$C$11="",E10=Recherche!$C$11),OR(Recherche!$C$12="",ISNUMBER(SEARCH(Recherche!$C$12,M10&amp;" "&amp;F10)))),1,0)</f>
        <v>8</v>
      </c>
    </row>
    <row r="11" customFormat="false" ht="15" hidden="false" customHeight="false" outlineLevel="0" collapsed="false">
      <c r="A11" s="19"/>
      <c r="B11" s="19"/>
      <c r="C11" s="19"/>
      <c r="D11" s="19"/>
      <c r="E11" s="22"/>
      <c r="F11" s="19"/>
      <c r="G11" s="26" t="str">
        <f aca="false">IF(D11="","",IFERROR(VALUE(LEFT(D11,FIND(" |",D11&amp;" |")-1)),"?"))</f>
        <v/>
      </c>
      <c r="H11" s="27" t="str">
        <f aca="false">IF(G11="","",IF(G11="?","⚠ pub inconnue",IFERROR(INDEX(Pubs!$B$2:$B$3001,MATCH(G11,Pubs!$A$2:$A$3001,0))&amp;"","⚠ pub inconnue")))</f>
        <v/>
      </c>
      <c r="I11" s="27" t="str">
        <f aca="false">IF(OR(G11="",G11="?"),"",IFERROR(INDEX(Pubs!$C$2:$C$3001,MATCH(G11,Pubs!$A$2:$A$3001,0))&amp;"",""))</f>
        <v/>
      </c>
      <c r="J11" s="27" t="str">
        <f aca="false">IF(OR(G11="",G11="?"),"",IFERROR(INDEX(Pubs!$G$2:$G$3001,MATCH(G11,Pubs!$A$2:$A$3001,0))&amp;"",""))</f>
        <v/>
      </c>
      <c r="K11" s="28" t="str">
        <f aca="false">IF(OR(G11="",G11="?"),"",IFERROR(INDEX(Pubs!$E$2:$E$3001,MATCH(G11,Pubs!$A$2:$A$3001,0)),""))</f>
        <v/>
      </c>
      <c r="L11" s="29" t="str">
        <f aca="false">IF(A11="","",IFERROR(1/(1/INDEX(Numéros!$C$2:$C$3001,MATCH(A11&amp;"|"&amp;B11,Numéros!$F$2:$F$3001,0))),""))</f>
        <v/>
      </c>
      <c r="M11" s="27" t="str">
        <f aca="false">IF(OR(G11="",G11="?"),"",IFERROR(INDEX(Pubs!$D$2:$D$3001,MATCH(G11,Pubs!$A$2:$A$3001,0))&amp;"",""))</f>
        <v/>
      </c>
      <c r="N11" s="27" t="n">
        <f aca="false">N(N10)+IF(AND(A11&lt;&gt;"",OR(Recherche!$C$4="",A11=Recherche!$C$4),OR(Recherche!$C$5="",B11&amp;""=Recherche!$C$5&amp;""),OR(Recherche!$C$6="",IFERROR(YEAR(L11),0)=Recherche!$C$6),OR(Recherche!$C$7="",ISNUMBER(SEARCH(Recherche!$C$7,H11))),OR(Recherche!$C$8="",J11=Recherche!$C$8),OR(Recherche!$C$9="",I11=Recherche!$C$9),OR(Recherche!$C$10="",G11&amp;""=Recherche!$C$10&amp;""),OR(Recherche!$C$11="",E11=Recherche!$C$11),OR(Recherche!$C$12="",ISNUMBER(SEARCH(Recherche!$C$12,M11&amp;" "&amp;F11)))),1,0)</f>
        <v>8</v>
      </c>
    </row>
    <row r="12" customFormat="false" ht="15" hidden="false" customHeight="false" outlineLevel="0" collapsed="false">
      <c r="A12" s="19"/>
      <c r="B12" s="19"/>
      <c r="C12" s="19"/>
      <c r="D12" s="19"/>
      <c r="E12" s="22"/>
      <c r="F12" s="19"/>
      <c r="G12" s="26" t="str">
        <f aca="false">IF(D12="","",IFERROR(VALUE(LEFT(D12,FIND(" |",D12&amp;" |")-1)),"?"))</f>
        <v/>
      </c>
      <c r="H12" s="27" t="str">
        <f aca="false">IF(G12="","",IF(G12="?","⚠ pub inconnue",IFERROR(INDEX(Pubs!$B$2:$B$3001,MATCH(G12,Pubs!$A$2:$A$3001,0))&amp;"","⚠ pub inconnue")))</f>
        <v/>
      </c>
      <c r="I12" s="27" t="str">
        <f aca="false">IF(OR(G12="",G12="?"),"",IFERROR(INDEX(Pubs!$C$2:$C$3001,MATCH(G12,Pubs!$A$2:$A$3001,0))&amp;"",""))</f>
        <v/>
      </c>
      <c r="J12" s="27" t="str">
        <f aca="false">IF(OR(G12="",G12="?"),"",IFERROR(INDEX(Pubs!$G$2:$G$3001,MATCH(G12,Pubs!$A$2:$A$3001,0))&amp;"",""))</f>
        <v/>
      </c>
      <c r="K12" s="28" t="str">
        <f aca="false">IF(OR(G12="",G12="?"),"",IFERROR(INDEX(Pubs!$E$2:$E$3001,MATCH(G12,Pubs!$A$2:$A$3001,0)),""))</f>
        <v/>
      </c>
      <c r="L12" s="29" t="str">
        <f aca="false">IF(A12="","",IFERROR(1/(1/INDEX(Numéros!$C$2:$C$3001,MATCH(A12&amp;"|"&amp;B12,Numéros!$F$2:$F$3001,0))),""))</f>
        <v/>
      </c>
      <c r="M12" s="27" t="str">
        <f aca="false">IF(OR(G12="",G12="?"),"",IFERROR(INDEX(Pubs!$D$2:$D$3001,MATCH(G12,Pubs!$A$2:$A$3001,0))&amp;"",""))</f>
        <v/>
      </c>
      <c r="N12" s="27" t="n">
        <f aca="false">N(N11)+IF(AND(A12&lt;&gt;"",OR(Recherche!$C$4="",A12=Recherche!$C$4),OR(Recherche!$C$5="",B12&amp;""=Recherche!$C$5&amp;""),OR(Recherche!$C$6="",IFERROR(YEAR(L12),0)=Recherche!$C$6),OR(Recherche!$C$7="",ISNUMBER(SEARCH(Recherche!$C$7,H12))),OR(Recherche!$C$8="",J12=Recherche!$C$8),OR(Recherche!$C$9="",I12=Recherche!$C$9),OR(Recherche!$C$10="",G12&amp;""=Recherche!$C$10&amp;""),OR(Recherche!$C$11="",E12=Recherche!$C$11),OR(Recherche!$C$12="",ISNUMBER(SEARCH(Recherche!$C$12,M12&amp;" "&amp;F12)))),1,0)</f>
        <v>8</v>
      </c>
    </row>
    <row r="13" customFormat="false" ht="15" hidden="false" customHeight="false" outlineLevel="0" collapsed="false">
      <c r="A13" s="19"/>
      <c r="B13" s="19"/>
      <c r="C13" s="19"/>
      <c r="D13" s="19"/>
      <c r="E13" s="22"/>
      <c r="F13" s="19"/>
      <c r="G13" s="26" t="str">
        <f aca="false">IF(D13="","",IFERROR(VALUE(LEFT(D13,FIND(" |",D13&amp;" |")-1)),"?"))</f>
        <v/>
      </c>
      <c r="H13" s="27" t="str">
        <f aca="false">IF(G13="","",IF(G13="?","⚠ pub inconnue",IFERROR(INDEX(Pubs!$B$2:$B$3001,MATCH(G13,Pubs!$A$2:$A$3001,0))&amp;"","⚠ pub inconnue")))</f>
        <v/>
      </c>
      <c r="I13" s="27" t="str">
        <f aca="false">IF(OR(G13="",G13="?"),"",IFERROR(INDEX(Pubs!$C$2:$C$3001,MATCH(G13,Pubs!$A$2:$A$3001,0))&amp;"",""))</f>
        <v/>
      </c>
      <c r="J13" s="27" t="str">
        <f aca="false">IF(OR(G13="",G13="?"),"",IFERROR(INDEX(Pubs!$G$2:$G$3001,MATCH(G13,Pubs!$A$2:$A$3001,0))&amp;"",""))</f>
        <v/>
      </c>
      <c r="K13" s="28" t="str">
        <f aca="false">IF(OR(G13="",G13="?"),"",IFERROR(INDEX(Pubs!$E$2:$E$3001,MATCH(G13,Pubs!$A$2:$A$3001,0)),""))</f>
        <v/>
      </c>
      <c r="L13" s="29" t="str">
        <f aca="false">IF(A13="","",IFERROR(1/(1/INDEX(Numéros!$C$2:$C$3001,MATCH(A13&amp;"|"&amp;B13,Numéros!$F$2:$F$3001,0))),""))</f>
        <v/>
      </c>
      <c r="M13" s="27" t="str">
        <f aca="false">IF(OR(G13="",G13="?"),"",IFERROR(INDEX(Pubs!$D$2:$D$3001,MATCH(G13,Pubs!$A$2:$A$3001,0))&amp;"",""))</f>
        <v/>
      </c>
      <c r="N13" s="27" t="n">
        <f aca="false">N(N12)+IF(AND(A13&lt;&gt;"",OR(Recherche!$C$4="",A13=Recherche!$C$4),OR(Recherche!$C$5="",B13&amp;""=Recherche!$C$5&amp;""),OR(Recherche!$C$6="",IFERROR(YEAR(L13),0)=Recherche!$C$6),OR(Recherche!$C$7="",ISNUMBER(SEARCH(Recherche!$C$7,H13))),OR(Recherche!$C$8="",J13=Recherche!$C$8),OR(Recherche!$C$9="",I13=Recherche!$C$9),OR(Recherche!$C$10="",G13&amp;""=Recherche!$C$10&amp;""),OR(Recherche!$C$11="",E13=Recherche!$C$11),OR(Recherche!$C$12="",ISNUMBER(SEARCH(Recherche!$C$12,M13&amp;" "&amp;F13)))),1,0)</f>
        <v>8</v>
      </c>
    </row>
    <row r="14" customFormat="false" ht="15" hidden="false" customHeight="false" outlineLevel="0" collapsed="false">
      <c r="A14" s="19"/>
      <c r="B14" s="19"/>
      <c r="C14" s="19"/>
      <c r="D14" s="19"/>
      <c r="E14" s="22"/>
      <c r="F14" s="19"/>
      <c r="G14" s="26" t="str">
        <f aca="false">IF(D14="","",IFERROR(VALUE(LEFT(D14,FIND(" |",D14&amp;" |")-1)),"?"))</f>
        <v/>
      </c>
      <c r="H14" s="27" t="str">
        <f aca="false">IF(G14="","",IF(G14="?","⚠ pub inconnue",IFERROR(INDEX(Pubs!$B$2:$B$3001,MATCH(G14,Pubs!$A$2:$A$3001,0))&amp;"","⚠ pub inconnue")))</f>
        <v/>
      </c>
      <c r="I14" s="27" t="str">
        <f aca="false">IF(OR(G14="",G14="?"),"",IFERROR(INDEX(Pubs!$C$2:$C$3001,MATCH(G14,Pubs!$A$2:$A$3001,0))&amp;"",""))</f>
        <v/>
      </c>
      <c r="J14" s="27" t="str">
        <f aca="false">IF(OR(G14="",G14="?"),"",IFERROR(INDEX(Pubs!$G$2:$G$3001,MATCH(G14,Pubs!$A$2:$A$3001,0))&amp;"",""))</f>
        <v/>
      </c>
      <c r="K14" s="28" t="str">
        <f aca="false">IF(OR(G14="",G14="?"),"",IFERROR(INDEX(Pubs!$E$2:$E$3001,MATCH(G14,Pubs!$A$2:$A$3001,0)),""))</f>
        <v/>
      </c>
      <c r="L14" s="29" t="str">
        <f aca="false">IF(A14="","",IFERROR(1/(1/INDEX(Numéros!$C$2:$C$3001,MATCH(A14&amp;"|"&amp;B14,Numéros!$F$2:$F$3001,0))),""))</f>
        <v/>
      </c>
      <c r="M14" s="27" t="str">
        <f aca="false">IF(OR(G14="",G14="?"),"",IFERROR(INDEX(Pubs!$D$2:$D$3001,MATCH(G14,Pubs!$A$2:$A$3001,0))&amp;"",""))</f>
        <v/>
      </c>
      <c r="N14" s="27" t="n">
        <f aca="false">N(N13)+IF(AND(A14&lt;&gt;"",OR(Recherche!$C$4="",A14=Recherche!$C$4),OR(Recherche!$C$5="",B14&amp;""=Recherche!$C$5&amp;""),OR(Recherche!$C$6="",IFERROR(YEAR(L14),0)=Recherche!$C$6),OR(Recherche!$C$7="",ISNUMBER(SEARCH(Recherche!$C$7,H14))),OR(Recherche!$C$8="",J14=Recherche!$C$8),OR(Recherche!$C$9="",I14=Recherche!$C$9),OR(Recherche!$C$10="",G14&amp;""=Recherche!$C$10&amp;""),OR(Recherche!$C$11="",E14=Recherche!$C$11),OR(Recherche!$C$12="",ISNUMBER(SEARCH(Recherche!$C$12,M14&amp;" "&amp;F14)))),1,0)</f>
        <v>8</v>
      </c>
    </row>
    <row r="15" customFormat="false" ht="15" hidden="false" customHeight="false" outlineLevel="0" collapsed="false">
      <c r="A15" s="19"/>
      <c r="B15" s="19"/>
      <c r="C15" s="19"/>
      <c r="D15" s="19"/>
      <c r="E15" s="22"/>
      <c r="F15" s="19"/>
      <c r="G15" s="26" t="str">
        <f aca="false">IF(D15="","",IFERROR(VALUE(LEFT(D15,FIND(" |",D15&amp;" |")-1)),"?"))</f>
        <v/>
      </c>
      <c r="H15" s="27" t="str">
        <f aca="false">IF(G15="","",IF(G15="?","⚠ pub inconnue",IFERROR(INDEX(Pubs!$B$2:$B$3001,MATCH(G15,Pubs!$A$2:$A$3001,0))&amp;"","⚠ pub inconnue")))</f>
        <v/>
      </c>
      <c r="I15" s="27" t="str">
        <f aca="false">IF(OR(G15="",G15="?"),"",IFERROR(INDEX(Pubs!$C$2:$C$3001,MATCH(G15,Pubs!$A$2:$A$3001,0))&amp;"",""))</f>
        <v/>
      </c>
      <c r="J15" s="27" t="str">
        <f aca="false">IF(OR(G15="",G15="?"),"",IFERROR(INDEX(Pubs!$G$2:$G$3001,MATCH(G15,Pubs!$A$2:$A$3001,0))&amp;"",""))</f>
        <v/>
      </c>
      <c r="K15" s="28" t="str">
        <f aca="false">IF(OR(G15="",G15="?"),"",IFERROR(INDEX(Pubs!$E$2:$E$3001,MATCH(G15,Pubs!$A$2:$A$3001,0)),""))</f>
        <v/>
      </c>
      <c r="L15" s="29" t="str">
        <f aca="false">IF(A15="","",IFERROR(1/(1/INDEX(Numéros!$C$2:$C$3001,MATCH(A15&amp;"|"&amp;B15,Numéros!$F$2:$F$3001,0))),""))</f>
        <v/>
      </c>
      <c r="M15" s="27" t="str">
        <f aca="false">IF(OR(G15="",G15="?"),"",IFERROR(INDEX(Pubs!$D$2:$D$3001,MATCH(G15,Pubs!$A$2:$A$3001,0))&amp;"",""))</f>
        <v/>
      </c>
      <c r="N15" s="27" t="n">
        <f aca="false">N(N14)+IF(AND(A15&lt;&gt;"",OR(Recherche!$C$4="",A15=Recherche!$C$4),OR(Recherche!$C$5="",B15&amp;""=Recherche!$C$5&amp;""),OR(Recherche!$C$6="",IFERROR(YEAR(L15),0)=Recherche!$C$6),OR(Recherche!$C$7="",ISNUMBER(SEARCH(Recherche!$C$7,H15))),OR(Recherche!$C$8="",J15=Recherche!$C$8),OR(Recherche!$C$9="",I15=Recherche!$C$9),OR(Recherche!$C$10="",G15&amp;""=Recherche!$C$10&amp;""),OR(Recherche!$C$11="",E15=Recherche!$C$11),OR(Recherche!$C$12="",ISNUMBER(SEARCH(Recherche!$C$12,M15&amp;" "&amp;F15)))),1,0)</f>
        <v>8</v>
      </c>
    </row>
    <row r="16" customFormat="false" ht="15" hidden="false" customHeight="false" outlineLevel="0" collapsed="false">
      <c r="A16" s="19"/>
      <c r="B16" s="19"/>
      <c r="C16" s="19"/>
      <c r="D16" s="19"/>
      <c r="E16" s="22"/>
      <c r="F16" s="19"/>
      <c r="G16" s="26" t="str">
        <f aca="false">IF(D16="","",IFERROR(VALUE(LEFT(D16,FIND(" |",D16&amp;" |")-1)),"?"))</f>
        <v/>
      </c>
      <c r="H16" s="27" t="str">
        <f aca="false">IF(G16="","",IF(G16="?","⚠ pub inconnue",IFERROR(INDEX(Pubs!$B$2:$B$3001,MATCH(G16,Pubs!$A$2:$A$3001,0))&amp;"","⚠ pub inconnue")))</f>
        <v/>
      </c>
      <c r="I16" s="27" t="str">
        <f aca="false">IF(OR(G16="",G16="?"),"",IFERROR(INDEX(Pubs!$C$2:$C$3001,MATCH(G16,Pubs!$A$2:$A$3001,0))&amp;"",""))</f>
        <v/>
      </c>
      <c r="J16" s="27" t="str">
        <f aca="false">IF(OR(G16="",G16="?"),"",IFERROR(INDEX(Pubs!$G$2:$G$3001,MATCH(G16,Pubs!$A$2:$A$3001,0))&amp;"",""))</f>
        <v/>
      </c>
      <c r="K16" s="28" t="str">
        <f aca="false">IF(OR(G16="",G16="?"),"",IFERROR(INDEX(Pubs!$E$2:$E$3001,MATCH(G16,Pubs!$A$2:$A$3001,0)),""))</f>
        <v/>
      </c>
      <c r="L16" s="29" t="str">
        <f aca="false">IF(A16="","",IFERROR(1/(1/INDEX(Numéros!$C$2:$C$3001,MATCH(A16&amp;"|"&amp;B16,Numéros!$F$2:$F$3001,0))),""))</f>
        <v/>
      </c>
      <c r="M16" s="27" t="str">
        <f aca="false">IF(OR(G16="",G16="?"),"",IFERROR(INDEX(Pubs!$D$2:$D$3001,MATCH(G16,Pubs!$A$2:$A$3001,0))&amp;"",""))</f>
        <v/>
      </c>
      <c r="N16" s="27" t="n">
        <f aca="false">N(N15)+IF(AND(A16&lt;&gt;"",OR(Recherche!$C$4="",A16=Recherche!$C$4),OR(Recherche!$C$5="",B16&amp;""=Recherche!$C$5&amp;""),OR(Recherche!$C$6="",IFERROR(YEAR(L16),0)=Recherche!$C$6),OR(Recherche!$C$7="",ISNUMBER(SEARCH(Recherche!$C$7,H16))),OR(Recherche!$C$8="",J16=Recherche!$C$8),OR(Recherche!$C$9="",I16=Recherche!$C$9),OR(Recherche!$C$10="",G16&amp;""=Recherche!$C$10&amp;""),OR(Recherche!$C$11="",E16=Recherche!$C$11),OR(Recherche!$C$12="",ISNUMBER(SEARCH(Recherche!$C$12,M16&amp;" "&amp;F16)))),1,0)</f>
        <v>8</v>
      </c>
    </row>
    <row r="17" customFormat="false" ht="15" hidden="false" customHeight="false" outlineLevel="0" collapsed="false">
      <c r="A17" s="19"/>
      <c r="B17" s="19"/>
      <c r="C17" s="19"/>
      <c r="D17" s="19"/>
      <c r="E17" s="22"/>
      <c r="F17" s="19"/>
      <c r="G17" s="26" t="str">
        <f aca="false">IF(D17="","",IFERROR(VALUE(LEFT(D17,FIND(" |",D17&amp;" |")-1)),"?"))</f>
        <v/>
      </c>
      <c r="H17" s="27" t="str">
        <f aca="false">IF(G17="","",IF(G17="?","⚠ pub inconnue",IFERROR(INDEX(Pubs!$B$2:$B$3001,MATCH(G17,Pubs!$A$2:$A$3001,0))&amp;"","⚠ pub inconnue")))</f>
        <v/>
      </c>
      <c r="I17" s="27" t="str">
        <f aca="false">IF(OR(G17="",G17="?"),"",IFERROR(INDEX(Pubs!$C$2:$C$3001,MATCH(G17,Pubs!$A$2:$A$3001,0))&amp;"",""))</f>
        <v/>
      </c>
      <c r="J17" s="27" t="str">
        <f aca="false">IF(OR(G17="",G17="?"),"",IFERROR(INDEX(Pubs!$G$2:$G$3001,MATCH(G17,Pubs!$A$2:$A$3001,0))&amp;"",""))</f>
        <v/>
      </c>
      <c r="K17" s="28" t="str">
        <f aca="false">IF(OR(G17="",G17="?"),"",IFERROR(INDEX(Pubs!$E$2:$E$3001,MATCH(G17,Pubs!$A$2:$A$3001,0)),""))</f>
        <v/>
      </c>
      <c r="L17" s="29" t="str">
        <f aca="false">IF(A17="","",IFERROR(1/(1/INDEX(Numéros!$C$2:$C$3001,MATCH(A17&amp;"|"&amp;B17,Numéros!$F$2:$F$3001,0))),""))</f>
        <v/>
      </c>
      <c r="M17" s="27" t="str">
        <f aca="false">IF(OR(G17="",G17="?"),"",IFERROR(INDEX(Pubs!$D$2:$D$3001,MATCH(G17,Pubs!$A$2:$A$3001,0))&amp;"",""))</f>
        <v/>
      </c>
      <c r="N17" s="27" t="n">
        <f aca="false">N(N16)+IF(AND(A17&lt;&gt;"",OR(Recherche!$C$4="",A17=Recherche!$C$4),OR(Recherche!$C$5="",B17&amp;""=Recherche!$C$5&amp;""),OR(Recherche!$C$6="",IFERROR(YEAR(L17),0)=Recherche!$C$6),OR(Recherche!$C$7="",ISNUMBER(SEARCH(Recherche!$C$7,H17))),OR(Recherche!$C$8="",J17=Recherche!$C$8),OR(Recherche!$C$9="",I17=Recherche!$C$9),OR(Recherche!$C$10="",G17&amp;""=Recherche!$C$10&amp;""),OR(Recherche!$C$11="",E17=Recherche!$C$11),OR(Recherche!$C$12="",ISNUMBER(SEARCH(Recherche!$C$12,M17&amp;" "&amp;F17)))),1,0)</f>
        <v>8</v>
      </c>
    </row>
    <row r="18" customFormat="false" ht="15" hidden="false" customHeight="false" outlineLevel="0" collapsed="false">
      <c r="A18" s="19"/>
      <c r="B18" s="19"/>
      <c r="C18" s="19"/>
      <c r="D18" s="19"/>
      <c r="E18" s="22"/>
      <c r="F18" s="19"/>
      <c r="G18" s="26" t="str">
        <f aca="false">IF(D18="","",IFERROR(VALUE(LEFT(D18,FIND(" |",D18&amp;" |")-1)),"?"))</f>
        <v/>
      </c>
      <c r="H18" s="27" t="str">
        <f aca="false">IF(G18="","",IF(G18="?","⚠ pub inconnue",IFERROR(INDEX(Pubs!$B$2:$B$3001,MATCH(G18,Pubs!$A$2:$A$3001,0))&amp;"","⚠ pub inconnue")))</f>
        <v/>
      </c>
      <c r="I18" s="27" t="str">
        <f aca="false">IF(OR(G18="",G18="?"),"",IFERROR(INDEX(Pubs!$C$2:$C$3001,MATCH(G18,Pubs!$A$2:$A$3001,0))&amp;"",""))</f>
        <v/>
      </c>
      <c r="J18" s="27" t="str">
        <f aca="false">IF(OR(G18="",G18="?"),"",IFERROR(INDEX(Pubs!$G$2:$G$3001,MATCH(G18,Pubs!$A$2:$A$3001,0))&amp;"",""))</f>
        <v/>
      </c>
      <c r="K18" s="28" t="str">
        <f aca="false">IF(OR(G18="",G18="?"),"",IFERROR(INDEX(Pubs!$E$2:$E$3001,MATCH(G18,Pubs!$A$2:$A$3001,0)),""))</f>
        <v/>
      </c>
      <c r="L18" s="29" t="str">
        <f aca="false">IF(A18="","",IFERROR(1/(1/INDEX(Numéros!$C$2:$C$3001,MATCH(A18&amp;"|"&amp;B18,Numéros!$F$2:$F$3001,0))),""))</f>
        <v/>
      </c>
      <c r="M18" s="27" t="str">
        <f aca="false">IF(OR(G18="",G18="?"),"",IFERROR(INDEX(Pubs!$D$2:$D$3001,MATCH(G18,Pubs!$A$2:$A$3001,0))&amp;"",""))</f>
        <v/>
      </c>
      <c r="N18" s="27" t="n">
        <f aca="false">N(N17)+IF(AND(A18&lt;&gt;"",OR(Recherche!$C$4="",A18=Recherche!$C$4),OR(Recherche!$C$5="",B18&amp;""=Recherche!$C$5&amp;""),OR(Recherche!$C$6="",IFERROR(YEAR(L18),0)=Recherche!$C$6),OR(Recherche!$C$7="",ISNUMBER(SEARCH(Recherche!$C$7,H18))),OR(Recherche!$C$8="",J18=Recherche!$C$8),OR(Recherche!$C$9="",I18=Recherche!$C$9),OR(Recherche!$C$10="",G18&amp;""=Recherche!$C$10&amp;""),OR(Recherche!$C$11="",E18=Recherche!$C$11),OR(Recherche!$C$12="",ISNUMBER(SEARCH(Recherche!$C$12,M18&amp;" "&amp;F18)))),1,0)</f>
        <v>8</v>
      </c>
    </row>
    <row r="19" customFormat="false" ht="15" hidden="false" customHeight="false" outlineLevel="0" collapsed="false">
      <c r="A19" s="19"/>
      <c r="B19" s="19"/>
      <c r="C19" s="19"/>
      <c r="D19" s="19"/>
      <c r="E19" s="22"/>
      <c r="F19" s="19"/>
      <c r="G19" s="26" t="str">
        <f aca="false">IF(D19="","",IFERROR(VALUE(LEFT(D19,FIND(" |",D19&amp;" |")-1)),"?"))</f>
        <v/>
      </c>
      <c r="H19" s="27" t="str">
        <f aca="false">IF(G19="","",IF(G19="?","⚠ pub inconnue",IFERROR(INDEX(Pubs!$B$2:$B$3001,MATCH(G19,Pubs!$A$2:$A$3001,0))&amp;"","⚠ pub inconnue")))</f>
        <v/>
      </c>
      <c r="I19" s="27" t="str">
        <f aca="false">IF(OR(G19="",G19="?"),"",IFERROR(INDEX(Pubs!$C$2:$C$3001,MATCH(G19,Pubs!$A$2:$A$3001,0))&amp;"",""))</f>
        <v/>
      </c>
      <c r="J19" s="27" t="str">
        <f aca="false">IF(OR(G19="",G19="?"),"",IFERROR(INDEX(Pubs!$G$2:$G$3001,MATCH(G19,Pubs!$A$2:$A$3001,0))&amp;"",""))</f>
        <v/>
      </c>
      <c r="K19" s="28" t="str">
        <f aca="false">IF(OR(G19="",G19="?"),"",IFERROR(INDEX(Pubs!$E$2:$E$3001,MATCH(G19,Pubs!$A$2:$A$3001,0)),""))</f>
        <v/>
      </c>
      <c r="L19" s="29" t="str">
        <f aca="false">IF(A19="","",IFERROR(1/(1/INDEX(Numéros!$C$2:$C$3001,MATCH(A19&amp;"|"&amp;B19,Numéros!$F$2:$F$3001,0))),""))</f>
        <v/>
      </c>
      <c r="M19" s="27" t="str">
        <f aca="false">IF(OR(G19="",G19="?"),"",IFERROR(INDEX(Pubs!$D$2:$D$3001,MATCH(G19,Pubs!$A$2:$A$3001,0))&amp;"",""))</f>
        <v/>
      </c>
      <c r="N19" s="27" t="n">
        <f aca="false">N(N18)+IF(AND(A19&lt;&gt;"",OR(Recherche!$C$4="",A19=Recherche!$C$4),OR(Recherche!$C$5="",B19&amp;""=Recherche!$C$5&amp;""),OR(Recherche!$C$6="",IFERROR(YEAR(L19),0)=Recherche!$C$6),OR(Recherche!$C$7="",ISNUMBER(SEARCH(Recherche!$C$7,H19))),OR(Recherche!$C$8="",J19=Recherche!$C$8),OR(Recherche!$C$9="",I19=Recherche!$C$9),OR(Recherche!$C$10="",G19&amp;""=Recherche!$C$10&amp;""),OR(Recherche!$C$11="",E19=Recherche!$C$11),OR(Recherche!$C$12="",ISNUMBER(SEARCH(Recherche!$C$12,M19&amp;" "&amp;F19)))),1,0)</f>
        <v>8</v>
      </c>
    </row>
    <row r="20" customFormat="false" ht="15" hidden="false" customHeight="false" outlineLevel="0" collapsed="false">
      <c r="A20" s="19"/>
      <c r="B20" s="19"/>
      <c r="C20" s="19"/>
      <c r="D20" s="19"/>
      <c r="E20" s="22"/>
      <c r="F20" s="19"/>
      <c r="G20" s="26" t="str">
        <f aca="false">IF(D20="","",IFERROR(VALUE(LEFT(D20,FIND(" |",D20&amp;" |")-1)),"?"))</f>
        <v/>
      </c>
      <c r="H20" s="27" t="str">
        <f aca="false">IF(G20="","",IF(G20="?","⚠ pub inconnue",IFERROR(INDEX(Pubs!$B$2:$B$3001,MATCH(G20,Pubs!$A$2:$A$3001,0))&amp;"","⚠ pub inconnue")))</f>
        <v/>
      </c>
      <c r="I20" s="27" t="str">
        <f aca="false">IF(OR(G20="",G20="?"),"",IFERROR(INDEX(Pubs!$C$2:$C$3001,MATCH(G20,Pubs!$A$2:$A$3001,0))&amp;"",""))</f>
        <v/>
      </c>
      <c r="J20" s="27" t="str">
        <f aca="false">IF(OR(G20="",G20="?"),"",IFERROR(INDEX(Pubs!$G$2:$G$3001,MATCH(G20,Pubs!$A$2:$A$3001,0))&amp;"",""))</f>
        <v/>
      </c>
      <c r="K20" s="28" t="str">
        <f aca="false">IF(OR(G20="",G20="?"),"",IFERROR(INDEX(Pubs!$E$2:$E$3001,MATCH(G20,Pubs!$A$2:$A$3001,0)),""))</f>
        <v/>
      </c>
      <c r="L20" s="29" t="str">
        <f aca="false">IF(A20="","",IFERROR(1/(1/INDEX(Numéros!$C$2:$C$3001,MATCH(A20&amp;"|"&amp;B20,Numéros!$F$2:$F$3001,0))),""))</f>
        <v/>
      </c>
      <c r="M20" s="27" t="str">
        <f aca="false">IF(OR(G20="",G20="?"),"",IFERROR(INDEX(Pubs!$D$2:$D$3001,MATCH(G20,Pubs!$A$2:$A$3001,0))&amp;"",""))</f>
        <v/>
      </c>
      <c r="N20" s="27" t="n">
        <f aca="false">N(N19)+IF(AND(A20&lt;&gt;"",OR(Recherche!$C$4="",A20=Recherche!$C$4),OR(Recherche!$C$5="",B20&amp;""=Recherche!$C$5&amp;""),OR(Recherche!$C$6="",IFERROR(YEAR(L20),0)=Recherche!$C$6),OR(Recherche!$C$7="",ISNUMBER(SEARCH(Recherche!$C$7,H20))),OR(Recherche!$C$8="",J20=Recherche!$C$8),OR(Recherche!$C$9="",I20=Recherche!$C$9),OR(Recherche!$C$10="",G20&amp;""=Recherche!$C$10&amp;""),OR(Recherche!$C$11="",E20=Recherche!$C$11),OR(Recherche!$C$12="",ISNUMBER(SEARCH(Recherche!$C$12,M20&amp;" "&amp;F20)))),1,0)</f>
        <v>8</v>
      </c>
    </row>
    <row r="21" customFormat="false" ht="15" hidden="false" customHeight="false" outlineLevel="0" collapsed="false">
      <c r="A21" s="19"/>
      <c r="B21" s="19"/>
      <c r="C21" s="19"/>
      <c r="D21" s="19"/>
      <c r="E21" s="22"/>
      <c r="F21" s="19"/>
      <c r="G21" s="26" t="str">
        <f aca="false">IF(D21="","",IFERROR(VALUE(LEFT(D21,FIND(" |",D21&amp;" |")-1)),"?"))</f>
        <v/>
      </c>
      <c r="H21" s="27" t="str">
        <f aca="false">IF(G21="","",IF(G21="?","⚠ pub inconnue",IFERROR(INDEX(Pubs!$B$2:$B$3001,MATCH(G21,Pubs!$A$2:$A$3001,0))&amp;"","⚠ pub inconnue")))</f>
        <v/>
      </c>
      <c r="I21" s="27" t="str">
        <f aca="false">IF(OR(G21="",G21="?"),"",IFERROR(INDEX(Pubs!$C$2:$C$3001,MATCH(G21,Pubs!$A$2:$A$3001,0))&amp;"",""))</f>
        <v/>
      </c>
      <c r="J21" s="27" t="str">
        <f aca="false">IF(OR(G21="",G21="?"),"",IFERROR(INDEX(Pubs!$G$2:$G$3001,MATCH(G21,Pubs!$A$2:$A$3001,0))&amp;"",""))</f>
        <v/>
      </c>
      <c r="K21" s="28" t="str">
        <f aca="false">IF(OR(G21="",G21="?"),"",IFERROR(INDEX(Pubs!$E$2:$E$3001,MATCH(G21,Pubs!$A$2:$A$3001,0)),""))</f>
        <v/>
      </c>
      <c r="L21" s="29" t="str">
        <f aca="false">IF(A21="","",IFERROR(1/(1/INDEX(Numéros!$C$2:$C$3001,MATCH(A21&amp;"|"&amp;B21,Numéros!$F$2:$F$3001,0))),""))</f>
        <v/>
      </c>
      <c r="M21" s="27" t="str">
        <f aca="false">IF(OR(G21="",G21="?"),"",IFERROR(INDEX(Pubs!$D$2:$D$3001,MATCH(G21,Pubs!$A$2:$A$3001,0))&amp;"",""))</f>
        <v/>
      </c>
      <c r="N21" s="27" t="n">
        <f aca="false">N(N20)+IF(AND(A21&lt;&gt;"",OR(Recherche!$C$4="",A21=Recherche!$C$4),OR(Recherche!$C$5="",B21&amp;""=Recherche!$C$5&amp;""),OR(Recherche!$C$6="",IFERROR(YEAR(L21),0)=Recherche!$C$6),OR(Recherche!$C$7="",ISNUMBER(SEARCH(Recherche!$C$7,H21))),OR(Recherche!$C$8="",J21=Recherche!$C$8),OR(Recherche!$C$9="",I21=Recherche!$C$9),OR(Recherche!$C$10="",G21&amp;""=Recherche!$C$10&amp;""),OR(Recherche!$C$11="",E21=Recherche!$C$11),OR(Recherche!$C$12="",ISNUMBER(SEARCH(Recherche!$C$12,M21&amp;" "&amp;F21)))),1,0)</f>
        <v>8</v>
      </c>
    </row>
    <row r="22" customFormat="false" ht="15" hidden="false" customHeight="false" outlineLevel="0" collapsed="false">
      <c r="A22" s="19"/>
      <c r="B22" s="19"/>
      <c r="C22" s="19"/>
      <c r="D22" s="19"/>
      <c r="E22" s="22"/>
      <c r="F22" s="19"/>
      <c r="G22" s="26" t="str">
        <f aca="false">IF(D22="","",IFERROR(VALUE(LEFT(D22,FIND(" |",D22&amp;" |")-1)),"?"))</f>
        <v/>
      </c>
      <c r="H22" s="27" t="str">
        <f aca="false">IF(G22="","",IF(G22="?","⚠ pub inconnue",IFERROR(INDEX(Pubs!$B$2:$B$3001,MATCH(G22,Pubs!$A$2:$A$3001,0))&amp;"","⚠ pub inconnue")))</f>
        <v/>
      </c>
      <c r="I22" s="27" t="str">
        <f aca="false">IF(OR(G22="",G22="?"),"",IFERROR(INDEX(Pubs!$C$2:$C$3001,MATCH(G22,Pubs!$A$2:$A$3001,0))&amp;"",""))</f>
        <v/>
      </c>
      <c r="J22" s="27" t="str">
        <f aca="false">IF(OR(G22="",G22="?"),"",IFERROR(INDEX(Pubs!$G$2:$G$3001,MATCH(G22,Pubs!$A$2:$A$3001,0))&amp;"",""))</f>
        <v/>
      </c>
      <c r="K22" s="28" t="str">
        <f aca="false">IF(OR(G22="",G22="?"),"",IFERROR(INDEX(Pubs!$E$2:$E$3001,MATCH(G22,Pubs!$A$2:$A$3001,0)),""))</f>
        <v/>
      </c>
      <c r="L22" s="29" t="str">
        <f aca="false">IF(A22="","",IFERROR(1/(1/INDEX(Numéros!$C$2:$C$3001,MATCH(A22&amp;"|"&amp;B22,Numéros!$F$2:$F$3001,0))),""))</f>
        <v/>
      </c>
      <c r="M22" s="27" t="str">
        <f aca="false">IF(OR(G22="",G22="?"),"",IFERROR(INDEX(Pubs!$D$2:$D$3001,MATCH(G22,Pubs!$A$2:$A$3001,0))&amp;"",""))</f>
        <v/>
      </c>
      <c r="N22" s="27" t="n">
        <f aca="false">N(N21)+IF(AND(A22&lt;&gt;"",OR(Recherche!$C$4="",A22=Recherche!$C$4),OR(Recherche!$C$5="",B22&amp;""=Recherche!$C$5&amp;""),OR(Recherche!$C$6="",IFERROR(YEAR(L22),0)=Recherche!$C$6),OR(Recherche!$C$7="",ISNUMBER(SEARCH(Recherche!$C$7,H22))),OR(Recherche!$C$8="",J22=Recherche!$C$8),OR(Recherche!$C$9="",I22=Recherche!$C$9),OR(Recherche!$C$10="",G22&amp;""=Recherche!$C$10&amp;""),OR(Recherche!$C$11="",E22=Recherche!$C$11),OR(Recherche!$C$12="",ISNUMBER(SEARCH(Recherche!$C$12,M22&amp;" "&amp;F22)))),1,0)</f>
        <v>8</v>
      </c>
    </row>
    <row r="23" customFormat="false" ht="15" hidden="false" customHeight="false" outlineLevel="0" collapsed="false">
      <c r="A23" s="19"/>
      <c r="B23" s="19"/>
      <c r="C23" s="19"/>
      <c r="D23" s="19"/>
      <c r="E23" s="22"/>
      <c r="F23" s="19"/>
      <c r="G23" s="26" t="str">
        <f aca="false">IF(D23="","",IFERROR(VALUE(LEFT(D23,FIND(" |",D23&amp;" |")-1)),"?"))</f>
        <v/>
      </c>
      <c r="H23" s="27" t="str">
        <f aca="false">IF(G23="","",IF(G23="?","⚠ pub inconnue",IFERROR(INDEX(Pubs!$B$2:$B$3001,MATCH(G23,Pubs!$A$2:$A$3001,0))&amp;"","⚠ pub inconnue")))</f>
        <v/>
      </c>
      <c r="I23" s="27" t="str">
        <f aca="false">IF(OR(G23="",G23="?"),"",IFERROR(INDEX(Pubs!$C$2:$C$3001,MATCH(G23,Pubs!$A$2:$A$3001,0))&amp;"",""))</f>
        <v/>
      </c>
      <c r="J23" s="27" t="str">
        <f aca="false">IF(OR(G23="",G23="?"),"",IFERROR(INDEX(Pubs!$G$2:$G$3001,MATCH(G23,Pubs!$A$2:$A$3001,0))&amp;"",""))</f>
        <v/>
      </c>
      <c r="K23" s="28" t="str">
        <f aca="false">IF(OR(G23="",G23="?"),"",IFERROR(INDEX(Pubs!$E$2:$E$3001,MATCH(G23,Pubs!$A$2:$A$3001,0)),""))</f>
        <v/>
      </c>
      <c r="L23" s="29" t="str">
        <f aca="false">IF(A23="","",IFERROR(1/(1/INDEX(Numéros!$C$2:$C$3001,MATCH(A23&amp;"|"&amp;B23,Numéros!$F$2:$F$3001,0))),""))</f>
        <v/>
      </c>
      <c r="M23" s="27" t="str">
        <f aca="false">IF(OR(G23="",G23="?"),"",IFERROR(INDEX(Pubs!$D$2:$D$3001,MATCH(G23,Pubs!$A$2:$A$3001,0))&amp;"",""))</f>
        <v/>
      </c>
      <c r="N23" s="27" t="n">
        <f aca="false">N(N22)+IF(AND(A23&lt;&gt;"",OR(Recherche!$C$4="",A23=Recherche!$C$4),OR(Recherche!$C$5="",B23&amp;""=Recherche!$C$5&amp;""),OR(Recherche!$C$6="",IFERROR(YEAR(L23),0)=Recherche!$C$6),OR(Recherche!$C$7="",ISNUMBER(SEARCH(Recherche!$C$7,H23))),OR(Recherche!$C$8="",J23=Recherche!$C$8),OR(Recherche!$C$9="",I23=Recherche!$C$9),OR(Recherche!$C$10="",G23&amp;""=Recherche!$C$10&amp;""),OR(Recherche!$C$11="",E23=Recherche!$C$11),OR(Recherche!$C$12="",ISNUMBER(SEARCH(Recherche!$C$12,M23&amp;" "&amp;F23)))),1,0)</f>
        <v>8</v>
      </c>
    </row>
    <row r="24" customFormat="false" ht="15" hidden="false" customHeight="false" outlineLevel="0" collapsed="false">
      <c r="A24" s="19"/>
      <c r="B24" s="19"/>
      <c r="C24" s="19"/>
      <c r="D24" s="19"/>
      <c r="E24" s="22"/>
      <c r="F24" s="19"/>
      <c r="G24" s="26" t="str">
        <f aca="false">IF(D24="","",IFERROR(VALUE(LEFT(D24,FIND(" |",D24&amp;" |")-1)),"?"))</f>
        <v/>
      </c>
      <c r="H24" s="27" t="str">
        <f aca="false">IF(G24="","",IF(G24="?","⚠ pub inconnue",IFERROR(INDEX(Pubs!$B$2:$B$3001,MATCH(G24,Pubs!$A$2:$A$3001,0))&amp;"","⚠ pub inconnue")))</f>
        <v/>
      </c>
      <c r="I24" s="27" t="str">
        <f aca="false">IF(OR(G24="",G24="?"),"",IFERROR(INDEX(Pubs!$C$2:$C$3001,MATCH(G24,Pubs!$A$2:$A$3001,0))&amp;"",""))</f>
        <v/>
      </c>
      <c r="J24" s="27" t="str">
        <f aca="false">IF(OR(G24="",G24="?"),"",IFERROR(INDEX(Pubs!$G$2:$G$3001,MATCH(G24,Pubs!$A$2:$A$3001,0))&amp;"",""))</f>
        <v/>
      </c>
      <c r="K24" s="28" t="str">
        <f aca="false">IF(OR(G24="",G24="?"),"",IFERROR(INDEX(Pubs!$E$2:$E$3001,MATCH(G24,Pubs!$A$2:$A$3001,0)),""))</f>
        <v/>
      </c>
      <c r="L24" s="29" t="str">
        <f aca="false">IF(A24="","",IFERROR(1/(1/INDEX(Numéros!$C$2:$C$3001,MATCH(A24&amp;"|"&amp;B24,Numéros!$F$2:$F$3001,0))),""))</f>
        <v/>
      </c>
      <c r="M24" s="27" t="str">
        <f aca="false">IF(OR(G24="",G24="?"),"",IFERROR(INDEX(Pubs!$D$2:$D$3001,MATCH(G24,Pubs!$A$2:$A$3001,0))&amp;"",""))</f>
        <v/>
      </c>
      <c r="N24" s="27" t="n">
        <f aca="false">N(N23)+IF(AND(A24&lt;&gt;"",OR(Recherche!$C$4="",A24=Recherche!$C$4),OR(Recherche!$C$5="",B24&amp;""=Recherche!$C$5&amp;""),OR(Recherche!$C$6="",IFERROR(YEAR(L24),0)=Recherche!$C$6),OR(Recherche!$C$7="",ISNUMBER(SEARCH(Recherche!$C$7,H24))),OR(Recherche!$C$8="",J24=Recherche!$C$8),OR(Recherche!$C$9="",I24=Recherche!$C$9),OR(Recherche!$C$10="",G24&amp;""=Recherche!$C$10&amp;""),OR(Recherche!$C$11="",E24=Recherche!$C$11),OR(Recherche!$C$12="",ISNUMBER(SEARCH(Recherche!$C$12,M24&amp;" "&amp;F24)))),1,0)</f>
        <v>8</v>
      </c>
    </row>
    <row r="25" customFormat="false" ht="15" hidden="false" customHeight="false" outlineLevel="0" collapsed="false">
      <c r="A25" s="19"/>
      <c r="B25" s="19"/>
      <c r="C25" s="19"/>
      <c r="D25" s="19"/>
      <c r="E25" s="22"/>
      <c r="F25" s="19"/>
      <c r="G25" s="26" t="str">
        <f aca="false">IF(D25="","",IFERROR(VALUE(LEFT(D25,FIND(" |",D25&amp;" |")-1)),"?"))</f>
        <v/>
      </c>
      <c r="H25" s="27" t="str">
        <f aca="false">IF(G25="","",IF(G25="?","⚠ pub inconnue",IFERROR(INDEX(Pubs!$B$2:$B$3001,MATCH(G25,Pubs!$A$2:$A$3001,0))&amp;"","⚠ pub inconnue")))</f>
        <v/>
      </c>
      <c r="I25" s="27" t="str">
        <f aca="false">IF(OR(G25="",G25="?"),"",IFERROR(INDEX(Pubs!$C$2:$C$3001,MATCH(G25,Pubs!$A$2:$A$3001,0))&amp;"",""))</f>
        <v/>
      </c>
      <c r="J25" s="27" t="str">
        <f aca="false">IF(OR(G25="",G25="?"),"",IFERROR(INDEX(Pubs!$G$2:$G$3001,MATCH(G25,Pubs!$A$2:$A$3001,0))&amp;"",""))</f>
        <v/>
      </c>
      <c r="K25" s="28" t="str">
        <f aca="false">IF(OR(G25="",G25="?"),"",IFERROR(INDEX(Pubs!$E$2:$E$3001,MATCH(G25,Pubs!$A$2:$A$3001,0)),""))</f>
        <v/>
      </c>
      <c r="L25" s="29" t="str">
        <f aca="false">IF(A25="","",IFERROR(1/(1/INDEX(Numéros!$C$2:$C$3001,MATCH(A25&amp;"|"&amp;B25,Numéros!$F$2:$F$3001,0))),""))</f>
        <v/>
      </c>
      <c r="M25" s="27" t="str">
        <f aca="false">IF(OR(G25="",G25="?"),"",IFERROR(INDEX(Pubs!$D$2:$D$3001,MATCH(G25,Pubs!$A$2:$A$3001,0))&amp;"",""))</f>
        <v/>
      </c>
      <c r="N25" s="27" t="n">
        <f aca="false">N(N24)+IF(AND(A25&lt;&gt;"",OR(Recherche!$C$4="",A25=Recherche!$C$4),OR(Recherche!$C$5="",B25&amp;""=Recherche!$C$5&amp;""),OR(Recherche!$C$6="",IFERROR(YEAR(L25),0)=Recherche!$C$6),OR(Recherche!$C$7="",ISNUMBER(SEARCH(Recherche!$C$7,H25))),OR(Recherche!$C$8="",J25=Recherche!$C$8),OR(Recherche!$C$9="",I25=Recherche!$C$9),OR(Recherche!$C$10="",G25&amp;""=Recherche!$C$10&amp;""),OR(Recherche!$C$11="",E25=Recherche!$C$11),OR(Recherche!$C$12="",ISNUMBER(SEARCH(Recherche!$C$12,M25&amp;" "&amp;F25)))),1,0)</f>
        <v>8</v>
      </c>
    </row>
    <row r="26" customFormat="false" ht="15" hidden="false" customHeight="false" outlineLevel="0" collapsed="false">
      <c r="A26" s="19"/>
      <c r="B26" s="19"/>
      <c r="C26" s="19"/>
      <c r="D26" s="19"/>
      <c r="E26" s="22"/>
      <c r="F26" s="19"/>
      <c r="G26" s="26" t="str">
        <f aca="false">IF(D26="","",IFERROR(VALUE(LEFT(D26,FIND(" |",D26&amp;" |")-1)),"?"))</f>
        <v/>
      </c>
      <c r="H26" s="27" t="str">
        <f aca="false">IF(G26="","",IF(G26="?","⚠ pub inconnue",IFERROR(INDEX(Pubs!$B$2:$B$3001,MATCH(G26,Pubs!$A$2:$A$3001,0))&amp;"","⚠ pub inconnue")))</f>
        <v/>
      </c>
      <c r="I26" s="27" t="str">
        <f aca="false">IF(OR(G26="",G26="?"),"",IFERROR(INDEX(Pubs!$C$2:$C$3001,MATCH(G26,Pubs!$A$2:$A$3001,0))&amp;"",""))</f>
        <v/>
      </c>
      <c r="J26" s="27" t="str">
        <f aca="false">IF(OR(G26="",G26="?"),"",IFERROR(INDEX(Pubs!$G$2:$G$3001,MATCH(G26,Pubs!$A$2:$A$3001,0))&amp;"",""))</f>
        <v/>
      </c>
      <c r="K26" s="28" t="str">
        <f aca="false">IF(OR(G26="",G26="?"),"",IFERROR(INDEX(Pubs!$E$2:$E$3001,MATCH(G26,Pubs!$A$2:$A$3001,0)),""))</f>
        <v/>
      </c>
      <c r="L26" s="29" t="str">
        <f aca="false">IF(A26="","",IFERROR(1/(1/INDEX(Numéros!$C$2:$C$3001,MATCH(A26&amp;"|"&amp;B26,Numéros!$F$2:$F$3001,0))),""))</f>
        <v/>
      </c>
      <c r="M26" s="27" t="str">
        <f aca="false">IF(OR(G26="",G26="?"),"",IFERROR(INDEX(Pubs!$D$2:$D$3001,MATCH(G26,Pubs!$A$2:$A$3001,0))&amp;"",""))</f>
        <v/>
      </c>
      <c r="N26" s="27" t="n">
        <f aca="false">N(N25)+IF(AND(A26&lt;&gt;"",OR(Recherche!$C$4="",A26=Recherche!$C$4),OR(Recherche!$C$5="",B26&amp;""=Recherche!$C$5&amp;""),OR(Recherche!$C$6="",IFERROR(YEAR(L26),0)=Recherche!$C$6),OR(Recherche!$C$7="",ISNUMBER(SEARCH(Recherche!$C$7,H26))),OR(Recherche!$C$8="",J26=Recherche!$C$8),OR(Recherche!$C$9="",I26=Recherche!$C$9),OR(Recherche!$C$10="",G26&amp;""=Recherche!$C$10&amp;""),OR(Recherche!$C$11="",E26=Recherche!$C$11),OR(Recherche!$C$12="",ISNUMBER(SEARCH(Recherche!$C$12,M26&amp;" "&amp;F26)))),1,0)</f>
        <v>8</v>
      </c>
    </row>
    <row r="27" customFormat="false" ht="15" hidden="false" customHeight="false" outlineLevel="0" collapsed="false">
      <c r="A27" s="19"/>
      <c r="B27" s="19"/>
      <c r="C27" s="19"/>
      <c r="D27" s="19"/>
      <c r="E27" s="22"/>
      <c r="F27" s="19"/>
      <c r="G27" s="26" t="str">
        <f aca="false">IF(D27="","",IFERROR(VALUE(LEFT(D27,FIND(" |",D27&amp;" |")-1)),"?"))</f>
        <v/>
      </c>
      <c r="H27" s="27" t="str">
        <f aca="false">IF(G27="","",IF(G27="?","⚠ pub inconnue",IFERROR(INDEX(Pubs!$B$2:$B$3001,MATCH(G27,Pubs!$A$2:$A$3001,0))&amp;"","⚠ pub inconnue")))</f>
        <v/>
      </c>
      <c r="I27" s="27" t="str">
        <f aca="false">IF(OR(G27="",G27="?"),"",IFERROR(INDEX(Pubs!$C$2:$C$3001,MATCH(G27,Pubs!$A$2:$A$3001,0))&amp;"",""))</f>
        <v/>
      </c>
      <c r="J27" s="27" t="str">
        <f aca="false">IF(OR(G27="",G27="?"),"",IFERROR(INDEX(Pubs!$G$2:$G$3001,MATCH(G27,Pubs!$A$2:$A$3001,0))&amp;"",""))</f>
        <v/>
      </c>
      <c r="K27" s="28" t="str">
        <f aca="false">IF(OR(G27="",G27="?"),"",IFERROR(INDEX(Pubs!$E$2:$E$3001,MATCH(G27,Pubs!$A$2:$A$3001,0)),""))</f>
        <v/>
      </c>
      <c r="L27" s="29" t="str">
        <f aca="false">IF(A27="","",IFERROR(1/(1/INDEX(Numéros!$C$2:$C$3001,MATCH(A27&amp;"|"&amp;B27,Numéros!$F$2:$F$3001,0))),""))</f>
        <v/>
      </c>
      <c r="M27" s="27" t="str">
        <f aca="false">IF(OR(G27="",G27="?"),"",IFERROR(INDEX(Pubs!$D$2:$D$3001,MATCH(G27,Pubs!$A$2:$A$3001,0))&amp;"",""))</f>
        <v/>
      </c>
      <c r="N27" s="27" t="n">
        <f aca="false">N(N26)+IF(AND(A27&lt;&gt;"",OR(Recherche!$C$4="",A27=Recherche!$C$4),OR(Recherche!$C$5="",B27&amp;""=Recherche!$C$5&amp;""),OR(Recherche!$C$6="",IFERROR(YEAR(L27),0)=Recherche!$C$6),OR(Recherche!$C$7="",ISNUMBER(SEARCH(Recherche!$C$7,H27))),OR(Recherche!$C$8="",J27=Recherche!$C$8),OR(Recherche!$C$9="",I27=Recherche!$C$9),OR(Recherche!$C$10="",G27&amp;""=Recherche!$C$10&amp;""),OR(Recherche!$C$11="",E27=Recherche!$C$11),OR(Recherche!$C$12="",ISNUMBER(SEARCH(Recherche!$C$12,M27&amp;" "&amp;F27)))),1,0)</f>
        <v>8</v>
      </c>
    </row>
    <row r="28" customFormat="false" ht="15" hidden="false" customHeight="false" outlineLevel="0" collapsed="false">
      <c r="A28" s="19"/>
      <c r="B28" s="19"/>
      <c r="C28" s="19"/>
      <c r="D28" s="19"/>
      <c r="E28" s="22"/>
      <c r="F28" s="19"/>
      <c r="G28" s="26" t="str">
        <f aca="false">IF(D28="","",IFERROR(VALUE(LEFT(D28,FIND(" |",D28&amp;" |")-1)),"?"))</f>
        <v/>
      </c>
      <c r="H28" s="27" t="str">
        <f aca="false">IF(G28="","",IF(G28="?","⚠ pub inconnue",IFERROR(INDEX(Pubs!$B$2:$B$3001,MATCH(G28,Pubs!$A$2:$A$3001,0))&amp;"","⚠ pub inconnue")))</f>
        <v/>
      </c>
      <c r="I28" s="27" t="str">
        <f aca="false">IF(OR(G28="",G28="?"),"",IFERROR(INDEX(Pubs!$C$2:$C$3001,MATCH(G28,Pubs!$A$2:$A$3001,0))&amp;"",""))</f>
        <v/>
      </c>
      <c r="J28" s="27" t="str">
        <f aca="false">IF(OR(G28="",G28="?"),"",IFERROR(INDEX(Pubs!$G$2:$G$3001,MATCH(G28,Pubs!$A$2:$A$3001,0))&amp;"",""))</f>
        <v/>
      </c>
      <c r="K28" s="28" t="str">
        <f aca="false">IF(OR(G28="",G28="?"),"",IFERROR(INDEX(Pubs!$E$2:$E$3001,MATCH(G28,Pubs!$A$2:$A$3001,0)),""))</f>
        <v/>
      </c>
      <c r="L28" s="29" t="str">
        <f aca="false">IF(A28="","",IFERROR(1/(1/INDEX(Numéros!$C$2:$C$3001,MATCH(A28&amp;"|"&amp;B28,Numéros!$F$2:$F$3001,0))),""))</f>
        <v/>
      </c>
      <c r="M28" s="27" t="str">
        <f aca="false">IF(OR(G28="",G28="?"),"",IFERROR(INDEX(Pubs!$D$2:$D$3001,MATCH(G28,Pubs!$A$2:$A$3001,0))&amp;"",""))</f>
        <v/>
      </c>
      <c r="N28" s="27" t="n">
        <f aca="false">N(N27)+IF(AND(A28&lt;&gt;"",OR(Recherche!$C$4="",A28=Recherche!$C$4),OR(Recherche!$C$5="",B28&amp;""=Recherche!$C$5&amp;""),OR(Recherche!$C$6="",IFERROR(YEAR(L28),0)=Recherche!$C$6),OR(Recherche!$C$7="",ISNUMBER(SEARCH(Recherche!$C$7,H28))),OR(Recherche!$C$8="",J28=Recherche!$C$8),OR(Recherche!$C$9="",I28=Recherche!$C$9),OR(Recherche!$C$10="",G28&amp;""=Recherche!$C$10&amp;""),OR(Recherche!$C$11="",E28=Recherche!$C$11),OR(Recherche!$C$12="",ISNUMBER(SEARCH(Recherche!$C$12,M28&amp;" "&amp;F28)))),1,0)</f>
        <v>8</v>
      </c>
    </row>
    <row r="29" customFormat="false" ht="15" hidden="false" customHeight="false" outlineLevel="0" collapsed="false">
      <c r="A29" s="19"/>
      <c r="B29" s="19"/>
      <c r="C29" s="19"/>
      <c r="D29" s="19"/>
      <c r="E29" s="22"/>
      <c r="F29" s="19"/>
      <c r="G29" s="26" t="str">
        <f aca="false">IF(D29="","",IFERROR(VALUE(LEFT(D29,FIND(" |",D29&amp;" |")-1)),"?"))</f>
        <v/>
      </c>
      <c r="H29" s="27" t="str">
        <f aca="false">IF(G29="","",IF(G29="?","⚠ pub inconnue",IFERROR(INDEX(Pubs!$B$2:$B$3001,MATCH(G29,Pubs!$A$2:$A$3001,0))&amp;"","⚠ pub inconnue")))</f>
        <v/>
      </c>
      <c r="I29" s="27" t="str">
        <f aca="false">IF(OR(G29="",G29="?"),"",IFERROR(INDEX(Pubs!$C$2:$C$3001,MATCH(G29,Pubs!$A$2:$A$3001,0))&amp;"",""))</f>
        <v/>
      </c>
      <c r="J29" s="27" t="str">
        <f aca="false">IF(OR(G29="",G29="?"),"",IFERROR(INDEX(Pubs!$G$2:$G$3001,MATCH(G29,Pubs!$A$2:$A$3001,0))&amp;"",""))</f>
        <v/>
      </c>
      <c r="K29" s="28" t="str">
        <f aca="false">IF(OR(G29="",G29="?"),"",IFERROR(INDEX(Pubs!$E$2:$E$3001,MATCH(G29,Pubs!$A$2:$A$3001,0)),""))</f>
        <v/>
      </c>
      <c r="L29" s="29" t="str">
        <f aca="false">IF(A29="","",IFERROR(1/(1/INDEX(Numéros!$C$2:$C$3001,MATCH(A29&amp;"|"&amp;B29,Numéros!$F$2:$F$3001,0))),""))</f>
        <v/>
      </c>
      <c r="M29" s="27" t="str">
        <f aca="false">IF(OR(G29="",G29="?"),"",IFERROR(INDEX(Pubs!$D$2:$D$3001,MATCH(G29,Pubs!$A$2:$A$3001,0))&amp;"",""))</f>
        <v/>
      </c>
      <c r="N29" s="27" t="n">
        <f aca="false">N(N28)+IF(AND(A29&lt;&gt;"",OR(Recherche!$C$4="",A29=Recherche!$C$4),OR(Recherche!$C$5="",B29&amp;""=Recherche!$C$5&amp;""),OR(Recherche!$C$6="",IFERROR(YEAR(L29),0)=Recherche!$C$6),OR(Recherche!$C$7="",ISNUMBER(SEARCH(Recherche!$C$7,H29))),OR(Recherche!$C$8="",J29=Recherche!$C$8),OR(Recherche!$C$9="",I29=Recherche!$C$9),OR(Recherche!$C$10="",G29&amp;""=Recherche!$C$10&amp;""),OR(Recherche!$C$11="",E29=Recherche!$C$11),OR(Recherche!$C$12="",ISNUMBER(SEARCH(Recherche!$C$12,M29&amp;" "&amp;F29)))),1,0)</f>
        <v>8</v>
      </c>
    </row>
    <row r="30" customFormat="false" ht="15" hidden="false" customHeight="false" outlineLevel="0" collapsed="false">
      <c r="A30" s="19"/>
      <c r="B30" s="19"/>
      <c r="C30" s="19"/>
      <c r="D30" s="19"/>
      <c r="E30" s="22"/>
      <c r="F30" s="19"/>
      <c r="G30" s="26" t="str">
        <f aca="false">IF(D30="","",IFERROR(VALUE(LEFT(D30,FIND(" |",D30&amp;" |")-1)),"?"))</f>
        <v/>
      </c>
      <c r="H30" s="27" t="str">
        <f aca="false">IF(G30="","",IF(G30="?","⚠ pub inconnue",IFERROR(INDEX(Pubs!$B$2:$B$3001,MATCH(G30,Pubs!$A$2:$A$3001,0))&amp;"","⚠ pub inconnue")))</f>
        <v/>
      </c>
      <c r="I30" s="27" t="str">
        <f aca="false">IF(OR(G30="",G30="?"),"",IFERROR(INDEX(Pubs!$C$2:$C$3001,MATCH(G30,Pubs!$A$2:$A$3001,0))&amp;"",""))</f>
        <v/>
      </c>
      <c r="J30" s="27" t="str">
        <f aca="false">IF(OR(G30="",G30="?"),"",IFERROR(INDEX(Pubs!$G$2:$G$3001,MATCH(G30,Pubs!$A$2:$A$3001,0))&amp;"",""))</f>
        <v/>
      </c>
      <c r="K30" s="28" t="str">
        <f aca="false">IF(OR(G30="",G30="?"),"",IFERROR(INDEX(Pubs!$E$2:$E$3001,MATCH(G30,Pubs!$A$2:$A$3001,0)),""))</f>
        <v/>
      </c>
      <c r="L30" s="29" t="str">
        <f aca="false">IF(A30="","",IFERROR(1/(1/INDEX(Numéros!$C$2:$C$3001,MATCH(A30&amp;"|"&amp;B30,Numéros!$F$2:$F$3001,0))),""))</f>
        <v/>
      </c>
      <c r="M30" s="27" t="str">
        <f aca="false">IF(OR(G30="",G30="?"),"",IFERROR(INDEX(Pubs!$D$2:$D$3001,MATCH(G30,Pubs!$A$2:$A$3001,0))&amp;"",""))</f>
        <v/>
      </c>
      <c r="N30" s="27" t="n">
        <f aca="false">N(N29)+IF(AND(A30&lt;&gt;"",OR(Recherche!$C$4="",A30=Recherche!$C$4),OR(Recherche!$C$5="",B30&amp;""=Recherche!$C$5&amp;""),OR(Recherche!$C$6="",IFERROR(YEAR(L30),0)=Recherche!$C$6),OR(Recherche!$C$7="",ISNUMBER(SEARCH(Recherche!$C$7,H30))),OR(Recherche!$C$8="",J30=Recherche!$C$8),OR(Recherche!$C$9="",I30=Recherche!$C$9),OR(Recherche!$C$10="",G30&amp;""=Recherche!$C$10&amp;""),OR(Recherche!$C$11="",E30=Recherche!$C$11),OR(Recherche!$C$12="",ISNUMBER(SEARCH(Recherche!$C$12,M30&amp;" "&amp;F30)))),1,0)</f>
        <v>8</v>
      </c>
    </row>
    <row r="31" customFormat="false" ht="15" hidden="false" customHeight="false" outlineLevel="0" collapsed="false">
      <c r="A31" s="19"/>
      <c r="B31" s="19"/>
      <c r="C31" s="19"/>
      <c r="D31" s="19"/>
      <c r="E31" s="22"/>
      <c r="F31" s="19"/>
      <c r="G31" s="26" t="str">
        <f aca="false">IF(D31="","",IFERROR(VALUE(LEFT(D31,FIND(" |",D31&amp;" |")-1)),"?"))</f>
        <v/>
      </c>
      <c r="H31" s="27" t="str">
        <f aca="false">IF(G31="","",IF(G31="?","⚠ pub inconnue",IFERROR(INDEX(Pubs!$B$2:$B$3001,MATCH(G31,Pubs!$A$2:$A$3001,0))&amp;"","⚠ pub inconnue")))</f>
        <v/>
      </c>
      <c r="I31" s="27" t="str">
        <f aca="false">IF(OR(G31="",G31="?"),"",IFERROR(INDEX(Pubs!$C$2:$C$3001,MATCH(G31,Pubs!$A$2:$A$3001,0))&amp;"",""))</f>
        <v/>
      </c>
      <c r="J31" s="27" t="str">
        <f aca="false">IF(OR(G31="",G31="?"),"",IFERROR(INDEX(Pubs!$G$2:$G$3001,MATCH(G31,Pubs!$A$2:$A$3001,0))&amp;"",""))</f>
        <v/>
      </c>
      <c r="K31" s="28" t="str">
        <f aca="false">IF(OR(G31="",G31="?"),"",IFERROR(INDEX(Pubs!$E$2:$E$3001,MATCH(G31,Pubs!$A$2:$A$3001,0)),""))</f>
        <v/>
      </c>
      <c r="L31" s="29" t="str">
        <f aca="false">IF(A31="","",IFERROR(1/(1/INDEX(Numéros!$C$2:$C$3001,MATCH(A31&amp;"|"&amp;B31,Numéros!$F$2:$F$3001,0))),""))</f>
        <v/>
      </c>
      <c r="M31" s="27" t="str">
        <f aca="false">IF(OR(G31="",G31="?"),"",IFERROR(INDEX(Pubs!$D$2:$D$3001,MATCH(G31,Pubs!$A$2:$A$3001,0))&amp;"",""))</f>
        <v/>
      </c>
      <c r="N31" s="27" t="n">
        <f aca="false">N(N30)+IF(AND(A31&lt;&gt;"",OR(Recherche!$C$4="",A31=Recherche!$C$4),OR(Recherche!$C$5="",B31&amp;""=Recherche!$C$5&amp;""),OR(Recherche!$C$6="",IFERROR(YEAR(L31),0)=Recherche!$C$6),OR(Recherche!$C$7="",ISNUMBER(SEARCH(Recherche!$C$7,H31))),OR(Recherche!$C$8="",J31=Recherche!$C$8),OR(Recherche!$C$9="",I31=Recherche!$C$9),OR(Recherche!$C$10="",G31&amp;""=Recherche!$C$10&amp;""),OR(Recherche!$C$11="",E31=Recherche!$C$11),OR(Recherche!$C$12="",ISNUMBER(SEARCH(Recherche!$C$12,M31&amp;" "&amp;F31)))),1,0)</f>
        <v>8</v>
      </c>
    </row>
    <row r="32" customFormat="false" ht="15" hidden="false" customHeight="false" outlineLevel="0" collapsed="false">
      <c r="A32" s="19"/>
      <c r="B32" s="19"/>
      <c r="C32" s="19"/>
      <c r="D32" s="19"/>
      <c r="E32" s="22"/>
      <c r="F32" s="19"/>
      <c r="G32" s="26" t="str">
        <f aca="false">IF(D32="","",IFERROR(VALUE(LEFT(D32,FIND(" |",D32&amp;" |")-1)),"?"))</f>
        <v/>
      </c>
      <c r="H32" s="27" t="str">
        <f aca="false">IF(G32="","",IF(G32="?","⚠ pub inconnue",IFERROR(INDEX(Pubs!$B$2:$B$3001,MATCH(G32,Pubs!$A$2:$A$3001,0))&amp;"","⚠ pub inconnue")))</f>
        <v/>
      </c>
      <c r="I32" s="27" t="str">
        <f aca="false">IF(OR(G32="",G32="?"),"",IFERROR(INDEX(Pubs!$C$2:$C$3001,MATCH(G32,Pubs!$A$2:$A$3001,0))&amp;"",""))</f>
        <v/>
      </c>
      <c r="J32" s="27" t="str">
        <f aca="false">IF(OR(G32="",G32="?"),"",IFERROR(INDEX(Pubs!$G$2:$G$3001,MATCH(G32,Pubs!$A$2:$A$3001,0))&amp;"",""))</f>
        <v/>
      </c>
      <c r="K32" s="28" t="str">
        <f aca="false">IF(OR(G32="",G32="?"),"",IFERROR(INDEX(Pubs!$E$2:$E$3001,MATCH(G32,Pubs!$A$2:$A$3001,0)),""))</f>
        <v/>
      </c>
      <c r="L32" s="29" t="str">
        <f aca="false">IF(A32="","",IFERROR(1/(1/INDEX(Numéros!$C$2:$C$3001,MATCH(A32&amp;"|"&amp;B32,Numéros!$F$2:$F$3001,0))),""))</f>
        <v/>
      </c>
      <c r="M32" s="27" t="str">
        <f aca="false">IF(OR(G32="",G32="?"),"",IFERROR(INDEX(Pubs!$D$2:$D$3001,MATCH(G32,Pubs!$A$2:$A$3001,0))&amp;"",""))</f>
        <v/>
      </c>
      <c r="N32" s="27" t="n">
        <f aca="false">N(N31)+IF(AND(A32&lt;&gt;"",OR(Recherche!$C$4="",A32=Recherche!$C$4),OR(Recherche!$C$5="",B32&amp;""=Recherche!$C$5&amp;""),OR(Recherche!$C$6="",IFERROR(YEAR(L32),0)=Recherche!$C$6),OR(Recherche!$C$7="",ISNUMBER(SEARCH(Recherche!$C$7,H32))),OR(Recherche!$C$8="",J32=Recherche!$C$8),OR(Recherche!$C$9="",I32=Recherche!$C$9),OR(Recherche!$C$10="",G32&amp;""=Recherche!$C$10&amp;""),OR(Recherche!$C$11="",E32=Recherche!$C$11),OR(Recherche!$C$12="",ISNUMBER(SEARCH(Recherche!$C$12,M32&amp;" "&amp;F32)))),1,0)</f>
        <v>8</v>
      </c>
    </row>
    <row r="33" customFormat="false" ht="15" hidden="false" customHeight="false" outlineLevel="0" collapsed="false">
      <c r="A33" s="19"/>
      <c r="B33" s="19"/>
      <c r="C33" s="19"/>
      <c r="D33" s="19"/>
      <c r="E33" s="22"/>
      <c r="F33" s="19"/>
      <c r="G33" s="26" t="str">
        <f aca="false">IF(D33="","",IFERROR(VALUE(LEFT(D33,FIND(" |",D33&amp;" |")-1)),"?"))</f>
        <v/>
      </c>
      <c r="H33" s="27" t="str">
        <f aca="false">IF(G33="","",IF(G33="?","⚠ pub inconnue",IFERROR(INDEX(Pubs!$B$2:$B$3001,MATCH(G33,Pubs!$A$2:$A$3001,0))&amp;"","⚠ pub inconnue")))</f>
        <v/>
      </c>
      <c r="I33" s="27" t="str">
        <f aca="false">IF(OR(G33="",G33="?"),"",IFERROR(INDEX(Pubs!$C$2:$C$3001,MATCH(G33,Pubs!$A$2:$A$3001,0))&amp;"",""))</f>
        <v/>
      </c>
      <c r="J33" s="27" t="str">
        <f aca="false">IF(OR(G33="",G33="?"),"",IFERROR(INDEX(Pubs!$G$2:$G$3001,MATCH(G33,Pubs!$A$2:$A$3001,0))&amp;"",""))</f>
        <v/>
      </c>
      <c r="K33" s="28" t="str">
        <f aca="false">IF(OR(G33="",G33="?"),"",IFERROR(INDEX(Pubs!$E$2:$E$3001,MATCH(G33,Pubs!$A$2:$A$3001,0)),""))</f>
        <v/>
      </c>
      <c r="L33" s="29" t="str">
        <f aca="false">IF(A33="","",IFERROR(1/(1/INDEX(Numéros!$C$2:$C$3001,MATCH(A33&amp;"|"&amp;B33,Numéros!$F$2:$F$3001,0))),""))</f>
        <v/>
      </c>
      <c r="M33" s="27" t="str">
        <f aca="false">IF(OR(G33="",G33="?"),"",IFERROR(INDEX(Pubs!$D$2:$D$3001,MATCH(G33,Pubs!$A$2:$A$3001,0))&amp;"",""))</f>
        <v/>
      </c>
      <c r="N33" s="27" t="n">
        <f aca="false">N(N32)+IF(AND(A33&lt;&gt;"",OR(Recherche!$C$4="",A33=Recherche!$C$4),OR(Recherche!$C$5="",B33&amp;""=Recherche!$C$5&amp;""),OR(Recherche!$C$6="",IFERROR(YEAR(L33),0)=Recherche!$C$6),OR(Recherche!$C$7="",ISNUMBER(SEARCH(Recherche!$C$7,H33))),OR(Recherche!$C$8="",J33=Recherche!$C$8),OR(Recherche!$C$9="",I33=Recherche!$C$9),OR(Recherche!$C$10="",G33&amp;""=Recherche!$C$10&amp;""),OR(Recherche!$C$11="",E33=Recherche!$C$11),OR(Recherche!$C$12="",ISNUMBER(SEARCH(Recherche!$C$12,M33&amp;" "&amp;F33)))),1,0)</f>
        <v>8</v>
      </c>
    </row>
    <row r="34" customFormat="false" ht="15" hidden="false" customHeight="false" outlineLevel="0" collapsed="false">
      <c r="A34" s="19"/>
      <c r="B34" s="19"/>
      <c r="C34" s="19"/>
      <c r="D34" s="19"/>
      <c r="E34" s="22"/>
      <c r="F34" s="19"/>
      <c r="G34" s="26" t="str">
        <f aca="false">IF(D34="","",IFERROR(VALUE(LEFT(D34,FIND(" |",D34&amp;" |")-1)),"?"))</f>
        <v/>
      </c>
      <c r="H34" s="27" t="str">
        <f aca="false">IF(G34="","",IF(G34="?","⚠ pub inconnue",IFERROR(INDEX(Pubs!$B$2:$B$3001,MATCH(G34,Pubs!$A$2:$A$3001,0))&amp;"","⚠ pub inconnue")))</f>
        <v/>
      </c>
      <c r="I34" s="27" t="str">
        <f aca="false">IF(OR(G34="",G34="?"),"",IFERROR(INDEX(Pubs!$C$2:$C$3001,MATCH(G34,Pubs!$A$2:$A$3001,0))&amp;"",""))</f>
        <v/>
      </c>
      <c r="J34" s="27" t="str">
        <f aca="false">IF(OR(G34="",G34="?"),"",IFERROR(INDEX(Pubs!$G$2:$G$3001,MATCH(G34,Pubs!$A$2:$A$3001,0))&amp;"",""))</f>
        <v/>
      </c>
      <c r="K34" s="28" t="str">
        <f aca="false">IF(OR(G34="",G34="?"),"",IFERROR(INDEX(Pubs!$E$2:$E$3001,MATCH(G34,Pubs!$A$2:$A$3001,0)),""))</f>
        <v/>
      </c>
      <c r="L34" s="29" t="str">
        <f aca="false">IF(A34="","",IFERROR(1/(1/INDEX(Numéros!$C$2:$C$3001,MATCH(A34&amp;"|"&amp;B34,Numéros!$F$2:$F$3001,0))),""))</f>
        <v/>
      </c>
      <c r="M34" s="27" t="str">
        <f aca="false">IF(OR(G34="",G34="?"),"",IFERROR(INDEX(Pubs!$D$2:$D$3001,MATCH(G34,Pubs!$A$2:$A$3001,0))&amp;"",""))</f>
        <v/>
      </c>
      <c r="N34" s="27" t="n">
        <f aca="false">N(N33)+IF(AND(A34&lt;&gt;"",OR(Recherche!$C$4="",A34=Recherche!$C$4),OR(Recherche!$C$5="",B34&amp;""=Recherche!$C$5&amp;""),OR(Recherche!$C$6="",IFERROR(YEAR(L34),0)=Recherche!$C$6),OR(Recherche!$C$7="",ISNUMBER(SEARCH(Recherche!$C$7,H34))),OR(Recherche!$C$8="",J34=Recherche!$C$8),OR(Recherche!$C$9="",I34=Recherche!$C$9),OR(Recherche!$C$10="",G34&amp;""=Recherche!$C$10&amp;""),OR(Recherche!$C$11="",E34=Recherche!$C$11),OR(Recherche!$C$12="",ISNUMBER(SEARCH(Recherche!$C$12,M34&amp;" "&amp;F34)))),1,0)</f>
        <v>8</v>
      </c>
    </row>
    <row r="35" customFormat="false" ht="15" hidden="false" customHeight="false" outlineLevel="0" collapsed="false">
      <c r="A35" s="19"/>
      <c r="B35" s="19"/>
      <c r="C35" s="19"/>
      <c r="D35" s="19"/>
      <c r="E35" s="22"/>
      <c r="F35" s="19"/>
      <c r="G35" s="26" t="str">
        <f aca="false">IF(D35="","",IFERROR(VALUE(LEFT(D35,FIND(" |",D35&amp;" |")-1)),"?"))</f>
        <v/>
      </c>
      <c r="H35" s="27" t="str">
        <f aca="false">IF(G35="","",IF(G35="?","⚠ pub inconnue",IFERROR(INDEX(Pubs!$B$2:$B$3001,MATCH(G35,Pubs!$A$2:$A$3001,0))&amp;"","⚠ pub inconnue")))</f>
        <v/>
      </c>
      <c r="I35" s="27" t="str">
        <f aca="false">IF(OR(G35="",G35="?"),"",IFERROR(INDEX(Pubs!$C$2:$C$3001,MATCH(G35,Pubs!$A$2:$A$3001,0))&amp;"",""))</f>
        <v/>
      </c>
      <c r="J35" s="27" t="str">
        <f aca="false">IF(OR(G35="",G35="?"),"",IFERROR(INDEX(Pubs!$G$2:$G$3001,MATCH(G35,Pubs!$A$2:$A$3001,0))&amp;"",""))</f>
        <v/>
      </c>
      <c r="K35" s="28" t="str">
        <f aca="false">IF(OR(G35="",G35="?"),"",IFERROR(INDEX(Pubs!$E$2:$E$3001,MATCH(G35,Pubs!$A$2:$A$3001,0)),""))</f>
        <v/>
      </c>
      <c r="L35" s="29" t="str">
        <f aca="false">IF(A35="","",IFERROR(1/(1/INDEX(Numéros!$C$2:$C$3001,MATCH(A35&amp;"|"&amp;B35,Numéros!$F$2:$F$3001,0))),""))</f>
        <v/>
      </c>
      <c r="M35" s="27" t="str">
        <f aca="false">IF(OR(G35="",G35="?"),"",IFERROR(INDEX(Pubs!$D$2:$D$3001,MATCH(G35,Pubs!$A$2:$A$3001,0))&amp;"",""))</f>
        <v/>
      </c>
      <c r="N35" s="27" t="n">
        <f aca="false">N(N34)+IF(AND(A35&lt;&gt;"",OR(Recherche!$C$4="",A35=Recherche!$C$4),OR(Recherche!$C$5="",B35&amp;""=Recherche!$C$5&amp;""),OR(Recherche!$C$6="",IFERROR(YEAR(L35),0)=Recherche!$C$6),OR(Recherche!$C$7="",ISNUMBER(SEARCH(Recherche!$C$7,H35))),OR(Recherche!$C$8="",J35=Recherche!$C$8),OR(Recherche!$C$9="",I35=Recherche!$C$9),OR(Recherche!$C$10="",G35&amp;""=Recherche!$C$10&amp;""),OR(Recherche!$C$11="",E35=Recherche!$C$11),OR(Recherche!$C$12="",ISNUMBER(SEARCH(Recherche!$C$12,M35&amp;" "&amp;F35)))),1,0)</f>
        <v>8</v>
      </c>
    </row>
    <row r="36" customFormat="false" ht="15" hidden="false" customHeight="false" outlineLevel="0" collapsed="false">
      <c r="A36" s="19"/>
      <c r="B36" s="19"/>
      <c r="C36" s="19"/>
      <c r="D36" s="19"/>
      <c r="E36" s="22"/>
      <c r="F36" s="19"/>
      <c r="G36" s="26" t="str">
        <f aca="false">IF(D36="","",IFERROR(VALUE(LEFT(D36,FIND(" |",D36&amp;" |")-1)),"?"))</f>
        <v/>
      </c>
      <c r="H36" s="27" t="str">
        <f aca="false">IF(G36="","",IF(G36="?","⚠ pub inconnue",IFERROR(INDEX(Pubs!$B$2:$B$3001,MATCH(G36,Pubs!$A$2:$A$3001,0))&amp;"","⚠ pub inconnue")))</f>
        <v/>
      </c>
      <c r="I36" s="27" t="str">
        <f aca="false">IF(OR(G36="",G36="?"),"",IFERROR(INDEX(Pubs!$C$2:$C$3001,MATCH(G36,Pubs!$A$2:$A$3001,0))&amp;"",""))</f>
        <v/>
      </c>
      <c r="J36" s="27" t="str">
        <f aca="false">IF(OR(G36="",G36="?"),"",IFERROR(INDEX(Pubs!$G$2:$G$3001,MATCH(G36,Pubs!$A$2:$A$3001,0))&amp;"",""))</f>
        <v/>
      </c>
      <c r="K36" s="28" t="str">
        <f aca="false">IF(OR(G36="",G36="?"),"",IFERROR(INDEX(Pubs!$E$2:$E$3001,MATCH(G36,Pubs!$A$2:$A$3001,0)),""))</f>
        <v/>
      </c>
      <c r="L36" s="29" t="str">
        <f aca="false">IF(A36="","",IFERROR(1/(1/INDEX(Numéros!$C$2:$C$3001,MATCH(A36&amp;"|"&amp;B36,Numéros!$F$2:$F$3001,0))),""))</f>
        <v/>
      </c>
      <c r="M36" s="27" t="str">
        <f aca="false">IF(OR(G36="",G36="?"),"",IFERROR(INDEX(Pubs!$D$2:$D$3001,MATCH(G36,Pubs!$A$2:$A$3001,0))&amp;"",""))</f>
        <v/>
      </c>
      <c r="N36" s="27" t="n">
        <f aca="false">N(N35)+IF(AND(A36&lt;&gt;"",OR(Recherche!$C$4="",A36=Recherche!$C$4),OR(Recherche!$C$5="",B36&amp;""=Recherche!$C$5&amp;""),OR(Recherche!$C$6="",IFERROR(YEAR(L36),0)=Recherche!$C$6),OR(Recherche!$C$7="",ISNUMBER(SEARCH(Recherche!$C$7,H36))),OR(Recherche!$C$8="",J36=Recherche!$C$8),OR(Recherche!$C$9="",I36=Recherche!$C$9),OR(Recherche!$C$10="",G36&amp;""=Recherche!$C$10&amp;""),OR(Recherche!$C$11="",E36=Recherche!$C$11),OR(Recherche!$C$12="",ISNUMBER(SEARCH(Recherche!$C$12,M36&amp;" "&amp;F36)))),1,0)</f>
        <v>8</v>
      </c>
    </row>
    <row r="37" customFormat="false" ht="15" hidden="false" customHeight="false" outlineLevel="0" collapsed="false">
      <c r="A37" s="19"/>
      <c r="B37" s="19"/>
      <c r="C37" s="19"/>
      <c r="D37" s="19"/>
      <c r="E37" s="22"/>
      <c r="F37" s="19"/>
      <c r="G37" s="26" t="str">
        <f aca="false">IF(D37="","",IFERROR(VALUE(LEFT(D37,FIND(" |",D37&amp;" |")-1)),"?"))</f>
        <v/>
      </c>
      <c r="H37" s="27" t="str">
        <f aca="false">IF(G37="","",IF(G37="?","⚠ pub inconnue",IFERROR(INDEX(Pubs!$B$2:$B$3001,MATCH(G37,Pubs!$A$2:$A$3001,0))&amp;"","⚠ pub inconnue")))</f>
        <v/>
      </c>
      <c r="I37" s="27" t="str">
        <f aca="false">IF(OR(G37="",G37="?"),"",IFERROR(INDEX(Pubs!$C$2:$C$3001,MATCH(G37,Pubs!$A$2:$A$3001,0))&amp;"",""))</f>
        <v/>
      </c>
      <c r="J37" s="27" t="str">
        <f aca="false">IF(OR(G37="",G37="?"),"",IFERROR(INDEX(Pubs!$G$2:$G$3001,MATCH(G37,Pubs!$A$2:$A$3001,0))&amp;"",""))</f>
        <v/>
      </c>
      <c r="K37" s="28" t="str">
        <f aca="false">IF(OR(G37="",G37="?"),"",IFERROR(INDEX(Pubs!$E$2:$E$3001,MATCH(G37,Pubs!$A$2:$A$3001,0)),""))</f>
        <v/>
      </c>
      <c r="L37" s="29" t="str">
        <f aca="false">IF(A37="","",IFERROR(1/(1/INDEX(Numéros!$C$2:$C$3001,MATCH(A37&amp;"|"&amp;B37,Numéros!$F$2:$F$3001,0))),""))</f>
        <v/>
      </c>
      <c r="M37" s="27" t="str">
        <f aca="false">IF(OR(G37="",G37="?"),"",IFERROR(INDEX(Pubs!$D$2:$D$3001,MATCH(G37,Pubs!$A$2:$A$3001,0))&amp;"",""))</f>
        <v/>
      </c>
      <c r="N37" s="27" t="n">
        <f aca="false">N(N36)+IF(AND(A37&lt;&gt;"",OR(Recherche!$C$4="",A37=Recherche!$C$4),OR(Recherche!$C$5="",B37&amp;""=Recherche!$C$5&amp;""),OR(Recherche!$C$6="",IFERROR(YEAR(L37),0)=Recherche!$C$6),OR(Recherche!$C$7="",ISNUMBER(SEARCH(Recherche!$C$7,H37))),OR(Recherche!$C$8="",J37=Recherche!$C$8),OR(Recherche!$C$9="",I37=Recherche!$C$9),OR(Recherche!$C$10="",G37&amp;""=Recherche!$C$10&amp;""),OR(Recherche!$C$11="",E37=Recherche!$C$11),OR(Recherche!$C$12="",ISNUMBER(SEARCH(Recherche!$C$12,M37&amp;" "&amp;F37)))),1,0)</f>
        <v>8</v>
      </c>
    </row>
    <row r="38" customFormat="false" ht="15" hidden="false" customHeight="false" outlineLevel="0" collapsed="false">
      <c r="A38" s="19"/>
      <c r="B38" s="19"/>
      <c r="C38" s="19"/>
      <c r="D38" s="19"/>
      <c r="E38" s="22"/>
      <c r="F38" s="19"/>
      <c r="G38" s="26" t="str">
        <f aca="false">IF(D38="","",IFERROR(VALUE(LEFT(D38,FIND(" |",D38&amp;" |")-1)),"?"))</f>
        <v/>
      </c>
      <c r="H38" s="27" t="str">
        <f aca="false">IF(G38="","",IF(G38="?","⚠ pub inconnue",IFERROR(INDEX(Pubs!$B$2:$B$3001,MATCH(G38,Pubs!$A$2:$A$3001,0))&amp;"","⚠ pub inconnue")))</f>
        <v/>
      </c>
      <c r="I38" s="27" t="str">
        <f aca="false">IF(OR(G38="",G38="?"),"",IFERROR(INDEX(Pubs!$C$2:$C$3001,MATCH(G38,Pubs!$A$2:$A$3001,0))&amp;"",""))</f>
        <v/>
      </c>
      <c r="J38" s="27" t="str">
        <f aca="false">IF(OR(G38="",G38="?"),"",IFERROR(INDEX(Pubs!$G$2:$G$3001,MATCH(G38,Pubs!$A$2:$A$3001,0))&amp;"",""))</f>
        <v/>
      </c>
      <c r="K38" s="28" t="str">
        <f aca="false">IF(OR(G38="",G38="?"),"",IFERROR(INDEX(Pubs!$E$2:$E$3001,MATCH(G38,Pubs!$A$2:$A$3001,0)),""))</f>
        <v/>
      </c>
      <c r="L38" s="29" t="str">
        <f aca="false">IF(A38="","",IFERROR(1/(1/INDEX(Numéros!$C$2:$C$3001,MATCH(A38&amp;"|"&amp;B38,Numéros!$F$2:$F$3001,0))),""))</f>
        <v/>
      </c>
      <c r="M38" s="27" t="str">
        <f aca="false">IF(OR(G38="",G38="?"),"",IFERROR(INDEX(Pubs!$D$2:$D$3001,MATCH(G38,Pubs!$A$2:$A$3001,0))&amp;"",""))</f>
        <v/>
      </c>
      <c r="N38" s="27" t="n">
        <f aca="false">N(N37)+IF(AND(A38&lt;&gt;"",OR(Recherche!$C$4="",A38=Recherche!$C$4),OR(Recherche!$C$5="",B38&amp;""=Recherche!$C$5&amp;""),OR(Recherche!$C$6="",IFERROR(YEAR(L38),0)=Recherche!$C$6),OR(Recherche!$C$7="",ISNUMBER(SEARCH(Recherche!$C$7,H38))),OR(Recherche!$C$8="",J38=Recherche!$C$8),OR(Recherche!$C$9="",I38=Recherche!$C$9),OR(Recherche!$C$10="",G38&amp;""=Recherche!$C$10&amp;""),OR(Recherche!$C$11="",E38=Recherche!$C$11),OR(Recherche!$C$12="",ISNUMBER(SEARCH(Recherche!$C$12,M38&amp;" "&amp;F38)))),1,0)</f>
        <v>8</v>
      </c>
    </row>
    <row r="39" customFormat="false" ht="15" hidden="false" customHeight="false" outlineLevel="0" collapsed="false">
      <c r="A39" s="19"/>
      <c r="B39" s="19"/>
      <c r="C39" s="19"/>
      <c r="D39" s="19"/>
      <c r="E39" s="22"/>
      <c r="F39" s="19"/>
      <c r="G39" s="26" t="str">
        <f aca="false">IF(D39="","",IFERROR(VALUE(LEFT(D39,FIND(" |",D39&amp;" |")-1)),"?"))</f>
        <v/>
      </c>
      <c r="H39" s="27" t="str">
        <f aca="false">IF(G39="","",IF(G39="?","⚠ pub inconnue",IFERROR(INDEX(Pubs!$B$2:$B$3001,MATCH(G39,Pubs!$A$2:$A$3001,0))&amp;"","⚠ pub inconnue")))</f>
        <v/>
      </c>
      <c r="I39" s="27" t="str">
        <f aca="false">IF(OR(G39="",G39="?"),"",IFERROR(INDEX(Pubs!$C$2:$C$3001,MATCH(G39,Pubs!$A$2:$A$3001,0))&amp;"",""))</f>
        <v/>
      </c>
      <c r="J39" s="27" t="str">
        <f aca="false">IF(OR(G39="",G39="?"),"",IFERROR(INDEX(Pubs!$G$2:$G$3001,MATCH(G39,Pubs!$A$2:$A$3001,0))&amp;"",""))</f>
        <v/>
      </c>
      <c r="K39" s="28" t="str">
        <f aca="false">IF(OR(G39="",G39="?"),"",IFERROR(INDEX(Pubs!$E$2:$E$3001,MATCH(G39,Pubs!$A$2:$A$3001,0)),""))</f>
        <v/>
      </c>
      <c r="L39" s="29" t="str">
        <f aca="false">IF(A39="","",IFERROR(1/(1/INDEX(Numéros!$C$2:$C$3001,MATCH(A39&amp;"|"&amp;B39,Numéros!$F$2:$F$3001,0))),""))</f>
        <v/>
      </c>
      <c r="M39" s="27" t="str">
        <f aca="false">IF(OR(G39="",G39="?"),"",IFERROR(INDEX(Pubs!$D$2:$D$3001,MATCH(G39,Pubs!$A$2:$A$3001,0))&amp;"",""))</f>
        <v/>
      </c>
      <c r="N39" s="27" t="n">
        <f aca="false">N(N38)+IF(AND(A39&lt;&gt;"",OR(Recherche!$C$4="",A39=Recherche!$C$4),OR(Recherche!$C$5="",B39&amp;""=Recherche!$C$5&amp;""),OR(Recherche!$C$6="",IFERROR(YEAR(L39),0)=Recherche!$C$6),OR(Recherche!$C$7="",ISNUMBER(SEARCH(Recherche!$C$7,H39))),OR(Recherche!$C$8="",J39=Recherche!$C$8),OR(Recherche!$C$9="",I39=Recherche!$C$9),OR(Recherche!$C$10="",G39&amp;""=Recherche!$C$10&amp;""),OR(Recherche!$C$11="",E39=Recherche!$C$11),OR(Recherche!$C$12="",ISNUMBER(SEARCH(Recherche!$C$12,M39&amp;" "&amp;F39)))),1,0)</f>
        <v>8</v>
      </c>
    </row>
    <row r="40" customFormat="false" ht="15" hidden="false" customHeight="false" outlineLevel="0" collapsed="false">
      <c r="A40" s="19"/>
      <c r="B40" s="19"/>
      <c r="C40" s="19"/>
      <c r="D40" s="19"/>
      <c r="E40" s="22"/>
      <c r="F40" s="19"/>
      <c r="G40" s="26" t="str">
        <f aca="false">IF(D40="","",IFERROR(VALUE(LEFT(D40,FIND(" |",D40&amp;" |")-1)),"?"))</f>
        <v/>
      </c>
      <c r="H40" s="27" t="str">
        <f aca="false">IF(G40="","",IF(G40="?","⚠ pub inconnue",IFERROR(INDEX(Pubs!$B$2:$B$3001,MATCH(G40,Pubs!$A$2:$A$3001,0))&amp;"","⚠ pub inconnue")))</f>
        <v/>
      </c>
      <c r="I40" s="27" t="str">
        <f aca="false">IF(OR(G40="",G40="?"),"",IFERROR(INDEX(Pubs!$C$2:$C$3001,MATCH(G40,Pubs!$A$2:$A$3001,0))&amp;"",""))</f>
        <v/>
      </c>
      <c r="J40" s="27" t="str">
        <f aca="false">IF(OR(G40="",G40="?"),"",IFERROR(INDEX(Pubs!$G$2:$G$3001,MATCH(G40,Pubs!$A$2:$A$3001,0))&amp;"",""))</f>
        <v/>
      </c>
      <c r="K40" s="28" t="str">
        <f aca="false">IF(OR(G40="",G40="?"),"",IFERROR(INDEX(Pubs!$E$2:$E$3001,MATCH(G40,Pubs!$A$2:$A$3001,0)),""))</f>
        <v/>
      </c>
      <c r="L40" s="29" t="str">
        <f aca="false">IF(A40="","",IFERROR(1/(1/INDEX(Numéros!$C$2:$C$3001,MATCH(A40&amp;"|"&amp;B40,Numéros!$F$2:$F$3001,0))),""))</f>
        <v/>
      </c>
      <c r="M40" s="27" t="str">
        <f aca="false">IF(OR(G40="",G40="?"),"",IFERROR(INDEX(Pubs!$D$2:$D$3001,MATCH(G40,Pubs!$A$2:$A$3001,0))&amp;"",""))</f>
        <v/>
      </c>
      <c r="N40" s="27" t="n">
        <f aca="false">N(N39)+IF(AND(A40&lt;&gt;"",OR(Recherche!$C$4="",A40=Recherche!$C$4),OR(Recherche!$C$5="",B40&amp;""=Recherche!$C$5&amp;""),OR(Recherche!$C$6="",IFERROR(YEAR(L40),0)=Recherche!$C$6),OR(Recherche!$C$7="",ISNUMBER(SEARCH(Recherche!$C$7,H40))),OR(Recherche!$C$8="",J40=Recherche!$C$8),OR(Recherche!$C$9="",I40=Recherche!$C$9),OR(Recherche!$C$10="",G40&amp;""=Recherche!$C$10&amp;""),OR(Recherche!$C$11="",E40=Recherche!$C$11),OR(Recherche!$C$12="",ISNUMBER(SEARCH(Recherche!$C$12,M40&amp;" "&amp;F40)))),1,0)</f>
        <v>8</v>
      </c>
    </row>
    <row r="41" customFormat="false" ht="15" hidden="false" customHeight="false" outlineLevel="0" collapsed="false">
      <c r="A41" s="19"/>
      <c r="B41" s="19"/>
      <c r="C41" s="19"/>
      <c r="D41" s="19"/>
      <c r="E41" s="22"/>
      <c r="F41" s="19"/>
      <c r="G41" s="26" t="str">
        <f aca="false">IF(D41="","",IFERROR(VALUE(LEFT(D41,FIND(" |",D41&amp;" |")-1)),"?"))</f>
        <v/>
      </c>
      <c r="H41" s="27" t="str">
        <f aca="false">IF(G41="","",IF(G41="?","⚠ pub inconnue",IFERROR(INDEX(Pubs!$B$2:$B$3001,MATCH(G41,Pubs!$A$2:$A$3001,0))&amp;"","⚠ pub inconnue")))</f>
        <v/>
      </c>
      <c r="I41" s="27" t="str">
        <f aca="false">IF(OR(G41="",G41="?"),"",IFERROR(INDEX(Pubs!$C$2:$C$3001,MATCH(G41,Pubs!$A$2:$A$3001,0))&amp;"",""))</f>
        <v/>
      </c>
      <c r="J41" s="27" t="str">
        <f aca="false">IF(OR(G41="",G41="?"),"",IFERROR(INDEX(Pubs!$G$2:$G$3001,MATCH(G41,Pubs!$A$2:$A$3001,0))&amp;"",""))</f>
        <v/>
      </c>
      <c r="K41" s="28" t="str">
        <f aca="false">IF(OR(G41="",G41="?"),"",IFERROR(INDEX(Pubs!$E$2:$E$3001,MATCH(G41,Pubs!$A$2:$A$3001,0)),""))</f>
        <v/>
      </c>
      <c r="L41" s="29" t="str">
        <f aca="false">IF(A41="","",IFERROR(1/(1/INDEX(Numéros!$C$2:$C$3001,MATCH(A41&amp;"|"&amp;B41,Numéros!$F$2:$F$3001,0))),""))</f>
        <v/>
      </c>
      <c r="M41" s="27" t="str">
        <f aca="false">IF(OR(G41="",G41="?"),"",IFERROR(INDEX(Pubs!$D$2:$D$3001,MATCH(G41,Pubs!$A$2:$A$3001,0))&amp;"",""))</f>
        <v/>
      </c>
      <c r="N41" s="27" t="n">
        <f aca="false">N(N40)+IF(AND(A41&lt;&gt;"",OR(Recherche!$C$4="",A41=Recherche!$C$4),OR(Recherche!$C$5="",B41&amp;""=Recherche!$C$5&amp;""),OR(Recherche!$C$6="",IFERROR(YEAR(L41),0)=Recherche!$C$6),OR(Recherche!$C$7="",ISNUMBER(SEARCH(Recherche!$C$7,H41))),OR(Recherche!$C$8="",J41=Recherche!$C$8),OR(Recherche!$C$9="",I41=Recherche!$C$9),OR(Recherche!$C$10="",G41&amp;""=Recherche!$C$10&amp;""),OR(Recherche!$C$11="",E41=Recherche!$C$11),OR(Recherche!$C$12="",ISNUMBER(SEARCH(Recherche!$C$12,M41&amp;" "&amp;F41)))),1,0)</f>
        <v>8</v>
      </c>
    </row>
    <row r="42" customFormat="false" ht="15" hidden="false" customHeight="false" outlineLevel="0" collapsed="false">
      <c r="A42" s="19"/>
      <c r="B42" s="19"/>
      <c r="C42" s="19"/>
      <c r="D42" s="19"/>
      <c r="E42" s="22"/>
      <c r="F42" s="19"/>
      <c r="G42" s="26" t="str">
        <f aca="false">IF(D42="","",IFERROR(VALUE(LEFT(D42,FIND(" |",D42&amp;" |")-1)),"?"))</f>
        <v/>
      </c>
      <c r="H42" s="27" t="str">
        <f aca="false">IF(G42="","",IF(G42="?","⚠ pub inconnue",IFERROR(INDEX(Pubs!$B$2:$B$3001,MATCH(G42,Pubs!$A$2:$A$3001,0))&amp;"","⚠ pub inconnue")))</f>
        <v/>
      </c>
      <c r="I42" s="27" t="str">
        <f aca="false">IF(OR(G42="",G42="?"),"",IFERROR(INDEX(Pubs!$C$2:$C$3001,MATCH(G42,Pubs!$A$2:$A$3001,0))&amp;"",""))</f>
        <v/>
      </c>
      <c r="J42" s="27" t="str">
        <f aca="false">IF(OR(G42="",G42="?"),"",IFERROR(INDEX(Pubs!$G$2:$G$3001,MATCH(G42,Pubs!$A$2:$A$3001,0))&amp;"",""))</f>
        <v/>
      </c>
      <c r="K42" s="28" t="str">
        <f aca="false">IF(OR(G42="",G42="?"),"",IFERROR(INDEX(Pubs!$E$2:$E$3001,MATCH(G42,Pubs!$A$2:$A$3001,0)),""))</f>
        <v/>
      </c>
      <c r="L42" s="29" t="str">
        <f aca="false">IF(A42="","",IFERROR(1/(1/INDEX(Numéros!$C$2:$C$3001,MATCH(A42&amp;"|"&amp;B42,Numéros!$F$2:$F$3001,0))),""))</f>
        <v/>
      </c>
      <c r="M42" s="27" t="str">
        <f aca="false">IF(OR(G42="",G42="?"),"",IFERROR(INDEX(Pubs!$D$2:$D$3001,MATCH(G42,Pubs!$A$2:$A$3001,0))&amp;"",""))</f>
        <v/>
      </c>
      <c r="N42" s="27" t="n">
        <f aca="false">N(N41)+IF(AND(A42&lt;&gt;"",OR(Recherche!$C$4="",A42=Recherche!$C$4),OR(Recherche!$C$5="",B42&amp;""=Recherche!$C$5&amp;""),OR(Recherche!$C$6="",IFERROR(YEAR(L42),0)=Recherche!$C$6),OR(Recherche!$C$7="",ISNUMBER(SEARCH(Recherche!$C$7,H42))),OR(Recherche!$C$8="",J42=Recherche!$C$8),OR(Recherche!$C$9="",I42=Recherche!$C$9),OR(Recherche!$C$10="",G42&amp;""=Recherche!$C$10&amp;""),OR(Recherche!$C$11="",E42=Recherche!$C$11),OR(Recherche!$C$12="",ISNUMBER(SEARCH(Recherche!$C$12,M42&amp;" "&amp;F42)))),1,0)</f>
        <v>8</v>
      </c>
    </row>
    <row r="43" customFormat="false" ht="15" hidden="false" customHeight="false" outlineLevel="0" collapsed="false">
      <c r="A43" s="19"/>
      <c r="B43" s="19"/>
      <c r="C43" s="19"/>
      <c r="D43" s="19"/>
      <c r="E43" s="22"/>
      <c r="F43" s="19"/>
      <c r="G43" s="26" t="str">
        <f aca="false">IF(D43="","",IFERROR(VALUE(LEFT(D43,FIND(" |",D43&amp;" |")-1)),"?"))</f>
        <v/>
      </c>
      <c r="H43" s="27" t="str">
        <f aca="false">IF(G43="","",IF(G43="?","⚠ pub inconnue",IFERROR(INDEX(Pubs!$B$2:$B$3001,MATCH(G43,Pubs!$A$2:$A$3001,0))&amp;"","⚠ pub inconnue")))</f>
        <v/>
      </c>
      <c r="I43" s="27" t="str">
        <f aca="false">IF(OR(G43="",G43="?"),"",IFERROR(INDEX(Pubs!$C$2:$C$3001,MATCH(G43,Pubs!$A$2:$A$3001,0))&amp;"",""))</f>
        <v/>
      </c>
      <c r="J43" s="27" t="str">
        <f aca="false">IF(OR(G43="",G43="?"),"",IFERROR(INDEX(Pubs!$G$2:$G$3001,MATCH(G43,Pubs!$A$2:$A$3001,0))&amp;"",""))</f>
        <v/>
      </c>
      <c r="K43" s="28" t="str">
        <f aca="false">IF(OR(G43="",G43="?"),"",IFERROR(INDEX(Pubs!$E$2:$E$3001,MATCH(G43,Pubs!$A$2:$A$3001,0)),""))</f>
        <v/>
      </c>
      <c r="L43" s="29" t="str">
        <f aca="false">IF(A43="","",IFERROR(1/(1/INDEX(Numéros!$C$2:$C$3001,MATCH(A43&amp;"|"&amp;B43,Numéros!$F$2:$F$3001,0))),""))</f>
        <v/>
      </c>
      <c r="M43" s="27" t="str">
        <f aca="false">IF(OR(G43="",G43="?"),"",IFERROR(INDEX(Pubs!$D$2:$D$3001,MATCH(G43,Pubs!$A$2:$A$3001,0))&amp;"",""))</f>
        <v/>
      </c>
      <c r="N43" s="27" t="n">
        <f aca="false">N(N42)+IF(AND(A43&lt;&gt;"",OR(Recherche!$C$4="",A43=Recherche!$C$4),OR(Recherche!$C$5="",B43&amp;""=Recherche!$C$5&amp;""),OR(Recherche!$C$6="",IFERROR(YEAR(L43),0)=Recherche!$C$6),OR(Recherche!$C$7="",ISNUMBER(SEARCH(Recherche!$C$7,H43))),OR(Recherche!$C$8="",J43=Recherche!$C$8),OR(Recherche!$C$9="",I43=Recherche!$C$9),OR(Recherche!$C$10="",G43&amp;""=Recherche!$C$10&amp;""),OR(Recherche!$C$11="",E43=Recherche!$C$11),OR(Recherche!$C$12="",ISNUMBER(SEARCH(Recherche!$C$12,M43&amp;" "&amp;F43)))),1,0)</f>
        <v>8</v>
      </c>
    </row>
    <row r="44" customFormat="false" ht="15" hidden="false" customHeight="false" outlineLevel="0" collapsed="false">
      <c r="A44" s="19"/>
      <c r="B44" s="19"/>
      <c r="C44" s="19"/>
      <c r="D44" s="19"/>
      <c r="E44" s="22"/>
      <c r="F44" s="19"/>
      <c r="G44" s="26" t="str">
        <f aca="false">IF(D44="","",IFERROR(VALUE(LEFT(D44,FIND(" |",D44&amp;" |")-1)),"?"))</f>
        <v/>
      </c>
      <c r="H44" s="27" t="str">
        <f aca="false">IF(G44="","",IF(G44="?","⚠ pub inconnue",IFERROR(INDEX(Pubs!$B$2:$B$3001,MATCH(G44,Pubs!$A$2:$A$3001,0))&amp;"","⚠ pub inconnue")))</f>
        <v/>
      </c>
      <c r="I44" s="27" t="str">
        <f aca="false">IF(OR(G44="",G44="?"),"",IFERROR(INDEX(Pubs!$C$2:$C$3001,MATCH(G44,Pubs!$A$2:$A$3001,0))&amp;"",""))</f>
        <v/>
      </c>
      <c r="J44" s="27" t="str">
        <f aca="false">IF(OR(G44="",G44="?"),"",IFERROR(INDEX(Pubs!$G$2:$G$3001,MATCH(G44,Pubs!$A$2:$A$3001,0))&amp;"",""))</f>
        <v/>
      </c>
      <c r="K44" s="28" t="str">
        <f aca="false">IF(OR(G44="",G44="?"),"",IFERROR(INDEX(Pubs!$E$2:$E$3001,MATCH(G44,Pubs!$A$2:$A$3001,0)),""))</f>
        <v/>
      </c>
      <c r="L44" s="29" t="str">
        <f aca="false">IF(A44="","",IFERROR(1/(1/INDEX(Numéros!$C$2:$C$3001,MATCH(A44&amp;"|"&amp;B44,Numéros!$F$2:$F$3001,0))),""))</f>
        <v/>
      </c>
      <c r="M44" s="27" t="str">
        <f aca="false">IF(OR(G44="",G44="?"),"",IFERROR(INDEX(Pubs!$D$2:$D$3001,MATCH(G44,Pubs!$A$2:$A$3001,0))&amp;"",""))</f>
        <v/>
      </c>
      <c r="N44" s="27" t="n">
        <f aca="false">N(N43)+IF(AND(A44&lt;&gt;"",OR(Recherche!$C$4="",A44=Recherche!$C$4),OR(Recherche!$C$5="",B44&amp;""=Recherche!$C$5&amp;""),OR(Recherche!$C$6="",IFERROR(YEAR(L44),0)=Recherche!$C$6),OR(Recherche!$C$7="",ISNUMBER(SEARCH(Recherche!$C$7,H44))),OR(Recherche!$C$8="",J44=Recherche!$C$8),OR(Recherche!$C$9="",I44=Recherche!$C$9),OR(Recherche!$C$10="",G44&amp;""=Recherche!$C$10&amp;""),OR(Recherche!$C$11="",E44=Recherche!$C$11),OR(Recherche!$C$12="",ISNUMBER(SEARCH(Recherche!$C$12,M44&amp;" "&amp;F44)))),1,0)</f>
        <v>8</v>
      </c>
    </row>
    <row r="45" customFormat="false" ht="15" hidden="false" customHeight="false" outlineLevel="0" collapsed="false">
      <c r="A45" s="19"/>
      <c r="B45" s="19"/>
      <c r="C45" s="19"/>
      <c r="D45" s="19"/>
      <c r="E45" s="22"/>
      <c r="F45" s="19"/>
      <c r="G45" s="26" t="str">
        <f aca="false">IF(D45="","",IFERROR(VALUE(LEFT(D45,FIND(" |",D45&amp;" |")-1)),"?"))</f>
        <v/>
      </c>
      <c r="H45" s="27" t="str">
        <f aca="false">IF(G45="","",IF(G45="?","⚠ pub inconnue",IFERROR(INDEX(Pubs!$B$2:$B$3001,MATCH(G45,Pubs!$A$2:$A$3001,0))&amp;"","⚠ pub inconnue")))</f>
        <v/>
      </c>
      <c r="I45" s="27" t="str">
        <f aca="false">IF(OR(G45="",G45="?"),"",IFERROR(INDEX(Pubs!$C$2:$C$3001,MATCH(G45,Pubs!$A$2:$A$3001,0))&amp;"",""))</f>
        <v/>
      </c>
      <c r="J45" s="27" t="str">
        <f aca="false">IF(OR(G45="",G45="?"),"",IFERROR(INDEX(Pubs!$G$2:$G$3001,MATCH(G45,Pubs!$A$2:$A$3001,0))&amp;"",""))</f>
        <v/>
      </c>
      <c r="K45" s="28" t="str">
        <f aca="false">IF(OR(G45="",G45="?"),"",IFERROR(INDEX(Pubs!$E$2:$E$3001,MATCH(G45,Pubs!$A$2:$A$3001,0)),""))</f>
        <v/>
      </c>
      <c r="L45" s="29" t="str">
        <f aca="false">IF(A45="","",IFERROR(1/(1/INDEX(Numéros!$C$2:$C$3001,MATCH(A45&amp;"|"&amp;B45,Numéros!$F$2:$F$3001,0))),""))</f>
        <v/>
      </c>
      <c r="M45" s="27" t="str">
        <f aca="false">IF(OR(G45="",G45="?"),"",IFERROR(INDEX(Pubs!$D$2:$D$3001,MATCH(G45,Pubs!$A$2:$A$3001,0))&amp;"",""))</f>
        <v/>
      </c>
      <c r="N45" s="27" t="n">
        <f aca="false">N(N44)+IF(AND(A45&lt;&gt;"",OR(Recherche!$C$4="",A45=Recherche!$C$4),OR(Recherche!$C$5="",B45&amp;""=Recherche!$C$5&amp;""),OR(Recherche!$C$6="",IFERROR(YEAR(L45),0)=Recherche!$C$6),OR(Recherche!$C$7="",ISNUMBER(SEARCH(Recherche!$C$7,H45))),OR(Recherche!$C$8="",J45=Recherche!$C$8),OR(Recherche!$C$9="",I45=Recherche!$C$9),OR(Recherche!$C$10="",G45&amp;""=Recherche!$C$10&amp;""),OR(Recherche!$C$11="",E45=Recherche!$C$11),OR(Recherche!$C$12="",ISNUMBER(SEARCH(Recherche!$C$12,M45&amp;" "&amp;F45)))),1,0)</f>
        <v>8</v>
      </c>
    </row>
    <row r="46" customFormat="false" ht="15" hidden="false" customHeight="false" outlineLevel="0" collapsed="false">
      <c r="A46" s="19"/>
      <c r="B46" s="19"/>
      <c r="C46" s="19"/>
      <c r="D46" s="19"/>
      <c r="E46" s="22"/>
      <c r="F46" s="19"/>
      <c r="G46" s="26" t="str">
        <f aca="false">IF(D46="","",IFERROR(VALUE(LEFT(D46,FIND(" |",D46&amp;" |")-1)),"?"))</f>
        <v/>
      </c>
      <c r="H46" s="27" t="str">
        <f aca="false">IF(G46="","",IF(G46="?","⚠ pub inconnue",IFERROR(INDEX(Pubs!$B$2:$B$3001,MATCH(G46,Pubs!$A$2:$A$3001,0))&amp;"","⚠ pub inconnue")))</f>
        <v/>
      </c>
      <c r="I46" s="27" t="str">
        <f aca="false">IF(OR(G46="",G46="?"),"",IFERROR(INDEX(Pubs!$C$2:$C$3001,MATCH(G46,Pubs!$A$2:$A$3001,0))&amp;"",""))</f>
        <v/>
      </c>
      <c r="J46" s="27" t="str">
        <f aca="false">IF(OR(G46="",G46="?"),"",IFERROR(INDEX(Pubs!$G$2:$G$3001,MATCH(G46,Pubs!$A$2:$A$3001,0))&amp;"",""))</f>
        <v/>
      </c>
      <c r="K46" s="28" t="str">
        <f aca="false">IF(OR(G46="",G46="?"),"",IFERROR(INDEX(Pubs!$E$2:$E$3001,MATCH(G46,Pubs!$A$2:$A$3001,0)),""))</f>
        <v/>
      </c>
      <c r="L46" s="29" t="str">
        <f aca="false">IF(A46="","",IFERROR(1/(1/INDEX(Numéros!$C$2:$C$3001,MATCH(A46&amp;"|"&amp;B46,Numéros!$F$2:$F$3001,0))),""))</f>
        <v/>
      </c>
      <c r="M46" s="27" t="str">
        <f aca="false">IF(OR(G46="",G46="?"),"",IFERROR(INDEX(Pubs!$D$2:$D$3001,MATCH(G46,Pubs!$A$2:$A$3001,0))&amp;"",""))</f>
        <v/>
      </c>
      <c r="N46" s="27" t="n">
        <f aca="false">N(N45)+IF(AND(A46&lt;&gt;"",OR(Recherche!$C$4="",A46=Recherche!$C$4),OR(Recherche!$C$5="",B46&amp;""=Recherche!$C$5&amp;""),OR(Recherche!$C$6="",IFERROR(YEAR(L46),0)=Recherche!$C$6),OR(Recherche!$C$7="",ISNUMBER(SEARCH(Recherche!$C$7,H46))),OR(Recherche!$C$8="",J46=Recherche!$C$8),OR(Recherche!$C$9="",I46=Recherche!$C$9),OR(Recherche!$C$10="",G46&amp;""=Recherche!$C$10&amp;""),OR(Recherche!$C$11="",E46=Recherche!$C$11),OR(Recherche!$C$12="",ISNUMBER(SEARCH(Recherche!$C$12,M46&amp;" "&amp;F46)))),1,0)</f>
        <v>8</v>
      </c>
    </row>
    <row r="47" customFormat="false" ht="15" hidden="false" customHeight="false" outlineLevel="0" collapsed="false">
      <c r="A47" s="19"/>
      <c r="B47" s="19"/>
      <c r="C47" s="19"/>
      <c r="D47" s="19"/>
      <c r="E47" s="22"/>
      <c r="F47" s="19"/>
      <c r="G47" s="26" t="str">
        <f aca="false">IF(D47="","",IFERROR(VALUE(LEFT(D47,FIND(" |",D47&amp;" |")-1)),"?"))</f>
        <v/>
      </c>
      <c r="H47" s="27" t="str">
        <f aca="false">IF(G47="","",IF(G47="?","⚠ pub inconnue",IFERROR(INDEX(Pubs!$B$2:$B$3001,MATCH(G47,Pubs!$A$2:$A$3001,0))&amp;"","⚠ pub inconnue")))</f>
        <v/>
      </c>
      <c r="I47" s="27" t="str">
        <f aca="false">IF(OR(G47="",G47="?"),"",IFERROR(INDEX(Pubs!$C$2:$C$3001,MATCH(G47,Pubs!$A$2:$A$3001,0))&amp;"",""))</f>
        <v/>
      </c>
      <c r="J47" s="27" t="str">
        <f aca="false">IF(OR(G47="",G47="?"),"",IFERROR(INDEX(Pubs!$G$2:$G$3001,MATCH(G47,Pubs!$A$2:$A$3001,0))&amp;"",""))</f>
        <v/>
      </c>
      <c r="K47" s="28" t="str">
        <f aca="false">IF(OR(G47="",G47="?"),"",IFERROR(INDEX(Pubs!$E$2:$E$3001,MATCH(G47,Pubs!$A$2:$A$3001,0)),""))</f>
        <v/>
      </c>
      <c r="L47" s="29" t="str">
        <f aca="false">IF(A47="","",IFERROR(1/(1/INDEX(Numéros!$C$2:$C$3001,MATCH(A47&amp;"|"&amp;B47,Numéros!$F$2:$F$3001,0))),""))</f>
        <v/>
      </c>
      <c r="M47" s="27" t="str">
        <f aca="false">IF(OR(G47="",G47="?"),"",IFERROR(INDEX(Pubs!$D$2:$D$3001,MATCH(G47,Pubs!$A$2:$A$3001,0))&amp;"",""))</f>
        <v/>
      </c>
      <c r="N47" s="27" t="n">
        <f aca="false">N(N46)+IF(AND(A47&lt;&gt;"",OR(Recherche!$C$4="",A47=Recherche!$C$4),OR(Recherche!$C$5="",B47&amp;""=Recherche!$C$5&amp;""),OR(Recherche!$C$6="",IFERROR(YEAR(L47),0)=Recherche!$C$6),OR(Recherche!$C$7="",ISNUMBER(SEARCH(Recherche!$C$7,H47))),OR(Recherche!$C$8="",J47=Recherche!$C$8),OR(Recherche!$C$9="",I47=Recherche!$C$9),OR(Recherche!$C$10="",G47&amp;""=Recherche!$C$10&amp;""),OR(Recherche!$C$11="",E47=Recherche!$C$11),OR(Recherche!$C$12="",ISNUMBER(SEARCH(Recherche!$C$12,M47&amp;" "&amp;F47)))),1,0)</f>
        <v>8</v>
      </c>
    </row>
    <row r="48" customFormat="false" ht="15" hidden="false" customHeight="false" outlineLevel="0" collapsed="false">
      <c r="A48" s="19"/>
      <c r="B48" s="19"/>
      <c r="C48" s="19"/>
      <c r="D48" s="19"/>
      <c r="E48" s="22"/>
      <c r="F48" s="19"/>
      <c r="G48" s="26" t="str">
        <f aca="false">IF(D48="","",IFERROR(VALUE(LEFT(D48,FIND(" |",D48&amp;" |")-1)),"?"))</f>
        <v/>
      </c>
      <c r="H48" s="27" t="str">
        <f aca="false">IF(G48="","",IF(G48="?","⚠ pub inconnue",IFERROR(INDEX(Pubs!$B$2:$B$3001,MATCH(G48,Pubs!$A$2:$A$3001,0))&amp;"","⚠ pub inconnue")))</f>
        <v/>
      </c>
      <c r="I48" s="27" t="str">
        <f aca="false">IF(OR(G48="",G48="?"),"",IFERROR(INDEX(Pubs!$C$2:$C$3001,MATCH(G48,Pubs!$A$2:$A$3001,0))&amp;"",""))</f>
        <v/>
      </c>
      <c r="J48" s="27" t="str">
        <f aca="false">IF(OR(G48="",G48="?"),"",IFERROR(INDEX(Pubs!$G$2:$G$3001,MATCH(G48,Pubs!$A$2:$A$3001,0))&amp;"",""))</f>
        <v/>
      </c>
      <c r="K48" s="28" t="str">
        <f aca="false">IF(OR(G48="",G48="?"),"",IFERROR(INDEX(Pubs!$E$2:$E$3001,MATCH(G48,Pubs!$A$2:$A$3001,0)),""))</f>
        <v/>
      </c>
      <c r="L48" s="29" t="str">
        <f aca="false">IF(A48="","",IFERROR(1/(1/INDEX(Numéros!$C$2:$C$3001,MATCH(A48&amp;"|"&amp;B48,Numéros!$F$2:$F$3001,0))),""))</f>
        <v/>
      </c>
      <c r="M48" s="27" t="str">
        <f aca="false">IF(OR(G48="",G48="?"),"",IFERROR(INDEX(Pubs!$D$2:$D$3001,MATCH(G48,Pubs!$A$2:$A$3001,0))&amp;"",""))</f>
        <v/>
      </c>
      <c r="N48" s="27" t="n">
        <f aca="false">N(N47)+IF(AND(A48&lt;&gt;"",OR(Recherche!$C$4="",A48=Recherche!$C$4),OR(Recherche!$C$5="",B48&amp;""=Recherche!$C$5&amp;""),OR(Recherche!$C$6="",IFERROR(YEAR(L48),0)=Recherche!$C$6),OR(Recherche!$C$7="",ISNUMBER(SEARCH(Recherche!$C$7,H48))),OR(Recherche!$C$8="",J48=Recherche!$C$8),OR(Recherche!$C$9="",I48=Recherche!$C$9),OR(Recherche!$C$10="",G48&amp;""=Recherche!$C$10&amp;""),OR(Recherche!$C$11="",E48=Recherche!$C$11),OR(Recherche!$C$12="",ISNUMBER(SEARCH(Recherche!$C$12,M48&amp;" "&amp;F48)))),1,0)</f>
        <v>8</v>
      </c>
    </row>
    <row r="49" customFormat="false" ht="15" hidden="false" customHeight="false" outlineLevel="0" collapsed="false">
      <c r="A49" s="19"/>
      <c r="B49" s="19"/>
      <c r="C49" s="19"/>
      <c r="D49" s="19"/>
      <c r="E49" s="22"/>
      <c r="F49" s="19"/>
      <c r="G49" s="26" t="str">
        <f aca="false">IF(D49="","",IFERROR(VALUE(LEFT(D49,FIND(" |",D49&amp;" |")-1)),"?"))</f>
        <v/>
      </c>
      <c r="H49" s="27" t="str">
        <f aca="false">IF(G49="","",IF(G49="?","⚠ pub inconnue",IFERROR(INDEX(Pubs!$B$2:$B$3001,MATCH(G49,Pubs!$A$2:$A$3001,0))&amp;"","⚠ pub inconnue")))</f>
        <v/>
      </c>
      <c r="I49" s="27" t="str">
        <f aca="false">IF(OR(G49="",G49="?"),"",IFERROR(INDEX(Pubs!$C$2:$C$3001,MATCH(G49,Pubs!$A$2:$A$3001,0))&amp;"",""))</f>
        <v/>
      </c>
      <c r="J49" s="27" t="str">
        <f aca="false">IF(OR(G49="",G49="?"),"",IFERROR(INDEX(Pubs!$G$2:$G$3001,MATCH(G49,Pubs!$A$2:$A$3001,0))&amp;"",""))</f>
        <v/>
      </c>
      <c r="K49" s="28" t="str">
        <f aca="false">IF(OR(G49="",G49="?"),"",IFERROR(INDEX(Pubs!$E$2:$E$3001,MATCH(G49,Pubs!$A$2:$A$3001,0)),""))</f>
        <v/>
      </c>
      <c r="L49" s="29" t="str">
        <f aca="false">IF(A49="","",IFERROR(1/(1/INDEX(Numéros!$C$2:$C$3001,MATCH(A49&amp;"|"&amp;B49,Numéros!$F$2:$F$3001,0))),""))</f>
        <v/>
      </c>
      <c r="M49" s="27" t="str">
        <f aca="false">IF(OR(G49="",G49="?"),"",IFERROR(INDEX(Pubs!$D$2:$D$3001,MATCH(G49,Pubs!$A$2:$A$3001,0))&amp;"",""))</f>
        <v/>
      </c>
      <c r="N49" s="27" t="n">
        <f aca="false">N(N48)+IF(AND(A49&lt;&gt;"",OR(Recherche!$C$4="",A49=Recherche!$C$4),OR(Recherche!$C$5="",B49&amp;""=Recherche!$C$5&amp;""),OR(Recherche!$C$6="",IFERROR(YEAR(L49),0)=Recherche!$C$6),OR(Recherche!$C$7="",ISNUMBER(SEARCH(Recherche!$C$7,H49))),OR(Recherche!$C$8="",J49=Recherche!$C$8),OR(Recherche!$C$9="",I49=Recherche!$C$9),OR(Recherche!$C$10="",G49&amp;""=Recherche!$C$10&amp;""),OR(Recherche!$C$11="",E49=Recherche!$C$11),OR(Recherche!$C$12="",ISNUMBER(SEARCH(Recherche!$C$12,M49&amp;" "&amp;F49)))),1,0)</f>
        <v>8</v>
      </c>
    </row>
    <row r="50" customFormat="false" ht="15" hidden="false" customHeight="false" outlineLevel="0" collapsed="false">
      <c r="A50" s="19"/>
      <c r="B50" s="19"/>
      <c r="C50" s="19"/>
      <c r="D50" s="19"/>
      <c r="E50" s="22"/>
      <c r="F50" s="19"/>
      <c r="G50" s="26" t="str">
        <f aca="false">IF(D50="","",IFERROR(VALUE(LEFT(D50,FIND(" |",D50&amp;" |")-1)),"?"))</f>
        <v/>
      </c>
      <c r="H50" s="27" t="str">
        <f aca="false">IF(G50="","",IF(G50="?","⚠ pub inconnue",IFERROR(INDEX(Pubs!$B$2:$B$3001,MATCH(G50,Pubs!$A$2:$A$3001,0))&amp;"","⚠ pub inconnue")))</f>
        <v/>
      </c>
      <c r="I50" s="27" t="str">
        <f aca="false">IF(OR(G50="",G50="?"),"",IFERROR(INDEX(Pubs!$C$2:$C$3001,MATCH(G50,Pubs!$A$2:$A$3001,0))&amp;"",""))</f>
        <v/>
      </c>
      <c r="J50" s="27" t="str">
        <f aca="false">IF(OR(G50="",G50="?"),"",IFERROR(INDEX(Pubs!$G$2:$G$3001,MATCH(G50,Pubs!$A$2:$A$3001,0))&amp;"",""))</f>
        <v/>
      </c>
      <c r="K50" s="28" t="str">
        <f aca="false">IF(OR(G50="",G50="?"),"",IFERROR(INDEX(Pubs!$E$2:$E$3001,MATCH(G50,Pubs!$A$2:$A$3001,0)),""))</f>
        <v/>
      </c>
      <c r="L50" s="29" t="str">
        <f aca="false">IF(A50="","",IFERROR(1/(1/INDEX(Numéros!$C$2:$C$3001,MATCH(A50&amp;"|"&amp;B50,Numéros!$F$2:$F$3001,0))),""))</f>
        <v/>
      </c>
      <c r="M50" s="27" t="str">
        <f aca="false">IF(OR(G50="",G50="?"),"",IFERROR(INDEX(Pubs!$D$2:$D$3001,MATCH(G50,Pubs!$A$2:$A$3001,0))&amp;"",""))</f>
        <v/>
      </c>
      <c r="N50" s="27" t="n">
        <f aca="false">N(N49)+IF(AND(A50&lt;&gt;"",OR(Recherche!$C$4="",A50=Recherche!$C$4),OR(Recherche!$C$5="",B50&amp;""=Recherche!$C$5&amp;""),OR(Recherche!$C$6="",IFERROR(YEAR(L50),0)=Recherche!$C$6),OR(Recherche!$C$7="",ISNUMBER(SEARCH(Recherche!$C$7,H50))),OR(Recherche!$C$8="",J50=Recherche!$C$8),OR(Recherche!$C$9="",I50=Recherche!$C$9),OR(Recherche!$C$10="",G50&amp;""=Recherche!$C$10&amp;""),OR(Recherche!$C$11="",E50=Recherche!$C$11),OR(Recherche!$C$12="",ISNUMBER(SEARCH(Recherche!$C$12,M50&amp;" "&amp;F50)))),1,0)</f>
        <v>8</v>
      </c>
    </row>
    <row r="51" customFormat="false" ht="15" hidden="false" customHeight="false" outlineLevel="0" collapsed="false">
      <c r="A51" s="19"/>
      <c r="B51" s="19"/>
      <c r="C51" s="19"/>
      <c r="D51" s="19"/>
      <c r="E51" s="22"/>
      <c r="F51" s="19"/>
      <c r="G51" s="26" t="str">
        <f aca="false">IF(D51="","",IFERROR(VALUE(LEFT(D51,FIND(" |",D51&amp;" |")-1)),"?"))</f>
        <v/>
      </c>
      <c r="H51" s="27" t="str">
        <f aca="false">IF(G51="","",IF(G51="?","⚠ pub inconnue",IFERROR(INDEX(Pubs!$B$2:$B$3001,MATCH(G51,Pubs!$A$2:$A$3001,0))&amp;"","⚠ pub inconnue")))</f>
        <v/>
      </c>
      <c r="I51" s="27" t="str">
        <f aca="false">IF(OR(G51="",G51="?"),"",IFERROR(INDEX(Pubs!$C$2:$C$3001,MATCH(G51,Pubs!$A$2:$A$3001,0))&amp;"",""))</f>
        <v/>
      </c>
      <c r="J51" s="27" t="str">
        <f aca="false">IF(OR(G51="",G51="?"),"",IFERROR(INDEX(Pubs!$G$2:$G$3001,MATCH(G51,Pubs!$A$2:$A$3001,0))&amp;"",""))</f>
        <v/>
      </c>
      <c r="K51" s="28" t="str">
        <f aca="false">IF(OR(G51="",G51="?"),"",IFERROR(INDEX(Pubs!$E$2:$E$3001,MATCH(G51,Pubs!$A$2:$A$3001,0)),""))</f>
        <v/>
      </c>
      <c r="L51" s="29" t="str">
        <f aca="false">IF(A51="","",IFERROR(1/(1/INDEX(Numéros!$C$2:$C$3001,MATCH(A51&amp;"|"&amp;B51,Numéros!$F$2:$F$3001,0))),""))</f>
        <v/>
      </c>
      <c r="M51" s="27" t="str">
        <f aca="false">IF(OR(G51="",G51="?"),"",IFERROR(INDEX(Pubs!$D$2:$D$3001,MATCH(G51,Pubs!$A$2:$A$3001,0))&amp;"",""))</f>
        <v/>
      </c>
      <c r="N51" s="27" t="n">
        <f aca="false">N(N50)+IF(AND(A51&lt;&gt;"",OR(Recherche!$C$4="",A51=Recherche!$C$4),OR(Recherche!$C$5="",B51&amp;""=Recherche!$C$5&amp;""),OR(Recherche!$C$6="",IFERROR(YEAR(L51),0)=Recherche!$C$6),OR(Recherche!$C$7="",ISNUMBER(SEARCH(Recherche!$C$7,H51))),OR(Recherche!$C$8="",J51=Recherche!$C$8),OR(Recherche!$C$9="",I51=Recherche!$C$9),OR(Recherche!$C$10="",G51&amp;""=Recherche!$C$10&amp;""),OR(Recherche!$C$11="",E51=Recherche!$C$11),OR(Recherche!$C$12="",ISNUMBER(SEARCH(Recherche!$C$12,M51&amp;" "&amp;F51)))),1,0)</f>
        <v>8</v>
      </c>
    </row>
    <row r="52" customFormat="false" ht="15" hidden="false" customHeight="false" outlineLevel="0" collapsed="false">
      <c r="A52" s="19"/>
      <c r="B52" s="19"/>
      <c r="C52" s="19"/>
      <c r="D52" s="19"/>
      <c r="E52" s="22"/>
      <c r="F52" s="19"/>
      <c r="G52" s="26" t="str">
        <f aca="false">IF(D52="","",IFERROR(VALUE(LEFT(D52,FIND(" |",D52&amp;" |")-1)),"?"))</f>
        <v/>
      </c>
      <c r="H52" s="27" t="str">
        <f aca="false">IF(G52="","",IF(G52="?","⚠ pub inconnue",IFERROR(INDEX(Pubs!$B$2:$B$3001,MATCH(G52,Pubs!$A$2:$A$3001,0))&amp;"","⚠ pub inconnue")))</f>
        <v/>
      </c>
      <c r="I52" s="27" t="str">
        <f aca="false">IF(OR(G52="",G52="?"),"",IFERROR(INDEX(Pubs!$C$2:$C$3001,MATCH(G52,Pubs!$A$2:$A$3001,0))&amp;"",""))</f>
        <v/>
      </c>
      <c r="J52" s="27" t="str">
        <f aca="false">IF(OR(G52="",G52="?"),"",IFERROR(INDEX(Pubs!$G$2:$G$3001,MATCH(G52,Pubs!$A$2:$A$3001,0))&amp;"",""))</f>
        <v/>
      </c>
      <c r="K52" s="28" t="str">
        <f aca="false">IF(OR(G52="",G52="?"),"",IFERROR(INDEX(Pubs!$E$2:$E$3001,MATCH(G52,Pubs!$A$2:$A$3001,0)),""))</f>
        <v/>
      </c>
      <c r="L52" s="29" t="str">
        <f aca="false">IF(A52="","",IFERROR(1/(1/INDEX(Numéros!$C$2:$C$3001,MATCH(A52&amp;"|"&amp;B52,Numéros!$F$2:$F$3001,0))),""))</f>
        <v/>
      </c>
      <c r="M52" s="27" t="str">
        <f aca="false">IF(OR(G52="",G52="?"),"",IFERROR(INDEX(Pubs!$D$2:$D$3001,MATCH(G52,Pubs!$A$2:$A$3001,0))&amp;"",""))</f>
        <v/>
      </c>
      <c r="N52" s="27" t="n">
        <f aca="false">N(N51)+IF(AND(A52&lt;&gt;"",OR(Recherche!$C$4="",A52=Recherche!$C$4),OR(Recherche!$C$5="",B52&amp;""=Recherche!$C$5&amp;""),OR(Recherche!$C$6="",IFERROR(YEAR(L52),0)=Recherche!$C$6),OR(Recherche!$C$7="",ISNUMBER(SEARCH(Recherche!$C$7,H52))),OR(Recherche!$C$8="",J52=Recherche!$C$8),OR(Recherche!$C$9="",I52=Recherche!$C$9),OR(Recherche!$C$10="",G52&amp;""=Recherche!$C$10&amp;""),OR(Recherche!$C$11="",E52=Recherche!$C$11),OR(Recherche!$C$12="",ISNUMBER(SEARCH(Recherche!$C$12,M52&amp;" "&amp;F52)))),1,0)</f>
        <v>8</v>
      </c>
    </row>
    <row r="53" customFormat="false" ht="15" hidden="false" customHeight="false" outlineLevel="0" collapsed="false">
      <c r="A53" s="19"/>
      <c r="B53" s="19"/>
      <c r="C53" s="19"/>
      <c r="D53" s="19"/>
      <c r="E53" s="22"/>
      <c r="F53" s="19"/>
      <c r="G53" s="26" t="str">
        <f aca="false">IF(D53="","",IFERROR(VALUE(LEFT(D53,FIND(" |",D53&amp;" |")-1)),"?"))</f>
        <v/>
      </c>
      <c r="H53" s="27" t="str">
        <f aca="false">IF(G53="","",IF(G53="?","⚠ pub inconnue",IFERROR(INDEX(Pubs!$B$2:$B$3001,MATCH(G53,Pubs!$A$2:$A$3001,0))&amp;"","⚠ pub inconnue")))</f>
        <v/>
      </c>
      <c r="I53" s="27" t="str">
        <f aca="false">IF(OR(G53="",G53="?"),"",IFERROR(INDEX(Pubs!$C$2:$C$3001,MATCH(G53,Pubs!$A$2:$A$3001,0))&amp;"",""))</f>
        <v/>
      </c>
      <c r="J53" s="27" t="str">
        <f aca="false">IF(OR(G53="",G53="?"),"",IFERROR(INDEX(Pubs!$G$2:$G$3001,MATCH(G53,Pubs!$A$2:$A$3001,0))&amp;"",""))</f>
        <v/>
      </c>
      <c r="K53" s="28" t="str">
        <f aca="false">IF(OR(G53="",G53="?"),"",IFERROR(INDEX(Pubs!$E$2:$E$3001,MATCH(G53,Pubs!$A$2:$A$3001,0)),""))</f>
        <v/>
      </c>
      <c r="L53" s="29" t="str">
        <f aca="false">IF(A53="","",IFERROR(1/(1/INDEX(Numéros!$C$2:$C$3001,MATCH(A53&amp;"|"&amp;B53,Numéros!$F$2:$F$3001,0))),""))</f>
        <v/>
      </c>
      <c r="M53" s="27" t="str">
        <f aca="false">IF(OR(G53="",G53="?"),"",IFERROR(INDEX(Pubs!$D$2:$D$3001,MATCH(G53,Pubs!$A$2:$A$3001,0))&amp;"",""))</f>
        <v/>
      </c>
      <c r="N53" s="27" t="n">
        <f aca="false">N(N52)+IF(AND(A53&lt;&gt;"",OR(Recherche!$C$4="",A53=Recherche!$C$4),OR(Recherche!$C$5="",B53&amp;""=Recherche!$C$5&amp;""),OR(Recherche!$C$6="",IFERROR(YEAR(L53),0)=Recherche!$C$6),OR(Recherche!$C$7="",ISNUMBER(SEARCH(Recherche!$C$7,H53))),OR(Recherche!$C$8="",J53=Recherche!$C$8),OR(Recherche!$C$9="",I53=Recherche!$C$9),OR(Recherche!$C$10="",G53&amp;""=Recherche!$C$10&amp;""),OR(Recherche!$C$11="",E53=Recherche!$C$11),OR(Recherche!$C$12="",ISNUMBER(SEARCH(Recherche!$C$12,M53&amp;" "&amp;F53)))),1,0)</f>
        <v>8</v>
      </c>
    </row>
    <row r="54" customFormat="false" ht="15" hidden="false" customHeight="false" outlineLevel="0" collapsed="false">
      <c r="A54" s="19"/>
      <c r="B54" s="19"/>
      <c r="C54" s="19"/>
      <c r="D54" s="19"/>
      <c r="E54" s="22"/>
      <c r="F54" s="19"/>
      <c r="G54" s="26" t="str">
        <f aca="false">IF(D54="","",IFERROR(VALUE(LEFT(D54,FIND(" |",D54&amp;" |")-1)),"?"))</f>
        <v/>
      </c>
      <c r="H54" s="27" t="str">
        <f aca="false">IF(G54="","",IF(G54="?","⚠ pub inconnue",IFERROR(INDEX(Pubs!$B$2:$B$3001,MATCH(G54,Pubs!$A$2:$A$3001,0))&amp;"","⚠ pub inconnue")))</f>
        <v/>
      </c>
      <c r="I54" s="27" t="str">
        <f aca="false">IF(OR(G54="",G54="?"),"",IFERROR(INDEX(Pubs!$C$2:$C$3001,MATCH(G54,Pubs!$A$2:$A$3001,0))&amp;"",""))</f>
        <v/>
      </c>
      <c r="J54" s="27" t="str">
        <f aca="false">IF(OR(G54="",G54="?"),"",IFERROR(INDEX(Pubs!$G$2:$G$3001,MATCH(G54,Pubs!$A$2:$A$3001,0))&amp;"",""))</f>
        <v/>
      </c>
      <c r="K54" s="28" t="str">
        <f aca="false">IF(OR(G54="",G54="?"),"",IFERROR(INDEX(Pubs!$E$2:$E$3001,MATCH(G54,Pubs!$A$2:$A$3001,0)),""))</f>
        <v/>
      </c>
      <c r="L54" s="29" t="str">
        <f aca="false">IF(A54="","",IFERROR(1/(1/INDEX(Numéros!$C$2:$C$3001,MATCH(A54&amp;"|"&amp;B54,Numéros!$F$2:$F$3001,0))),""))</f>
        <v/>
      </c>
      <c r="M54" s="27" t="str">
        <f aca="false">IF(OR(G54="",G54="?"),"",IFERROR(INDEX(Pubs!$D$2:$D$3001,MATCH(G54,Pubs!$A$2:$A$3001,0))&amp;"",""))</f>
        <v/>
      </c>
      <c r="N54" s="27" t="n">
        <f aca="false">N(N53)+IF(AND(A54&lt;&gt;"",OR(Recherche!$C$4="",A54=Recherche!$C$4),OR(Recherche!$C$5="",B54&amp;""=Recherche!$C$5&amp;""),OR(Recherche!$C$6="",IFERROR(YEAR(L54),0)=Recherche!$C$6),OR(Recherche!$C$7="",ISNUMBER(SEARCH(Recherche!$C$7,H54))),OR(Recherche!$C$8="",J54=Recherche!$C$8),OR(Recherche!$C$9="",I54=Recherche!$C$9),OR(Recherche!$C$10="",G54&amp;""=Recherche!$C$10&amp;""),OR(Recherche!$C$11="",E54=Recherche!$C$11),OR(Recherche!$C$12="",ISNUMBER(SEARCH(Recherche!$C$12,M54&amp;" "&amp;F54)))),1,0)</f>
        <v>8</v>
      </c>
    </row>
    <row r="55" customFormat="false" ht="15" hidden="false" customHeight="false" outlineLevel="0" collapsed="false">
      <c r="A55" s="19"/>
      <c r="B55" s="19"/>
      <c r="C55" s="19"/>
      <c r="D55" s="19"/>
      <c r="E55" s="22"/>
      <c r="F55" s="19"/>
      <c r="G55" s="26" t="str">
        <f aca="false">IF(D55="","",IFERROR(VALUE(LEFT(D55,FIND(" |",D55&amp;" |")-1)),"?"))</f>
        <v/>
      </c>
      <c r="H55" s="27" t="str">
        <f aca="false">IF(G55="","",IF(G55="?","⚠ pub inconnue",IFERROR(INDEX(Pubs!$B$2:$B$3001,MATCH(G55,Pubs!$A$2:$A$3001,0))&amp;"","⚠ pub inconnue")))</f>
        <v/>
      </c>
      <c r="I55" s="27" t="str">
        <f aca="false">IF(OR(G55="",G55="?"),"",IFERROR(INDEX(Pubs!$C$2:$C$3001,MATCH(G55,Pubs!$A$2:$A$3001,0))&amp;"",""))</f>
        <v/>
      </c>
      <c r="J55" s="27" t="str">
        <f aca="false">IF(OR(G55="",G55="?"),"",IFERROR(INDEX(Pubs!$G$2:$G$3001,MATCH(G55,Pubs!$A$2:$A$3001,0))&amp;"",""))</f>
        <v/>
      </c>
      <c r="K55" s="28" t="str">
        <f aca="false">IF(OR(G55="",G55="?"),"",IFERROR(INDEX(Pubs!$E$2:$E$3001,MATCH(G55,Pubs!$A$2:$A$3001,0)),""))</f>
        <v/>
      </c>
      <c r="L55" s="29" t="str">
        <f aca="false">IF(A55="","",IFERROR(1/(1/INDEX(Numéros!$C$2:$C$3001,MATCH(A55&amp;"|"&amp;B55,Numéros!$F$2:$F$3001,0))),""))</f>
        <v/>
      </c>
      <c r="M55" s="27" t="str">
        <f aca="false">IF(OR(G55="",G55="?"),"",IFERROR(INDEX(Pubs!$D$2:$D$3001,MATCH(G55,Pubs!$A$2:$A$3001,0))&amp;"",""))</f>
        <v/>
      </c>
      <c r="N55" s="27" t="n">
        <f aca="false">N(N54)+IF(AND(A55&lt;&gt;"",OR(Recherche!$C$4="",A55=Recherche!$C$4),OR(Recherche!$C$5="",B55&amp;""=Recherche!$C$5&amp;""),OR(Recherche!$C$6="",IFERROR(YEAR(L55),0)=Recherche!$C$6),OR(Recherche!$C$7="",ISNUMBER(SEARCH(Recherche!$C$7,H55))),OR(Recherche!$C$8="",J55=Recherche!$C$8),OR(Recherche!$C$9="",I55=Recherche!$C$9),OR(Recherche!$C$10="",G55&amp;""=Recherche!$C$10&amp;""),OR(Recherche!$C$11="",E55=Recherche!$C$11),OR(Recherche!$C$12="",ISNUMBER(SEARCH(Recherche!$C$12,M55&amp;" "&amp;F55)))),1,0)</f>
        <v>8</v>
      </c>
    </row>
    <row r="56" customFormat="false" ht="15" hidden="false" customHeight="false" outlineLevel="0" collapsed="false">
      <c r="A56" s="19"/>
      <c r="B56" s="19"/>
      <c r="C56" s="19"/>
      <c r="D56" s="19"/>
      <c r="E56" s="22"/>
      <c r="F56" s="19"/>
      <c r="G56" s="26" t="str">
        <f aca="false">IF(D56="","",IFERROR(VALUE(LEFT(D56,FIND(" |",D56&amp;" |")-1)),"?"))</f>
        <v/>
      </c>
      <c r="H56" s="27" t="str">
        <f aca="false">IF(G56="","",IF(G56="?","⚠ pub inconnue",IFERROR(INDEX(Pubs!$B$2:$B$3001,MATCH(G56,Pubs!$A$2:$A$3001,0))&amp;"","⚠ pub inconnue")))</f>
        <v/>
      </c>
      <c r="I56" s="27" t="str">
        <f aca="false">IF(OR(G56="",G56="?"),"",IFERROR(INDEX(Pubs!$C$2:$C$3001,MATCH(G56,Pubs!$A$2:$A$3001,0))&amp;"",""))</f>
        <v/>
      </c>
      <c r="J56" s="27" t="str">
        <f aca="false">IF(OR(G56="",G56="?"),"",IFERROR(INDEX(Pubs!$G$2:$G$3001,MATCH(G56,Pubs!$A$2:$A$3001,0))&amp;"",""))</f>
        <v/>
      </c>
      <c r="K56" s="28" t="str">
        <f aca="false">IF(OR(G56="",G56="?"),"",IFERROR(INDEX(Pubs!$E$2:$E$3001,MATCH(G56,Pubs!$A$2:$A$3001,0)),""))</f>
        <v/>
      </c>
      <c r="L56" s="29" t="str">
        <f aca="false">IF(A56="","",IFERROR(1/(1/INDEX(Numéros!$C$2:$C$3001,MATCH(A56&amp;"|"&amp;B56,Numéros!$F$2:$F$3001,0))),""))</f>
        <v/>
      </c>
      <c r="M56" s="27" t="str">
        <f aca="false">IF(OR(G56="",G56="?"),"",IFERROR(INDEX(Pubs!$D$2:$D$3001,MATCH(G56,Pubs!$A$2:$A$3001,0))&amp;"",""))</f>
        <v/>
      </c>
      <c r="N56" s="27" t="n">
        <f aca="false">N(N55)+IF(AND(A56&lt;&gt;"",OR(Recherche!$C$4="",A56=Recherche!$C$4),OR(Recherche!$C$5="",B56&amp;""=Recherche!$C$5&amp;""),OR(Recherche!$C$6="",IFERROR(YEAR(L56),0)=Recherche!$C$6),OR(Recherche!$C$7="",ISNUMBER(SEARCH(Recherche!$C$7,H56))),OR(Recherche!$C$8="",J56=Recherche!$C$8),OR(Recherche!$C$9="",I56=Recherche!$C$9),OR(Recherche!$C$10="",G56&amp;""=Recherche!$C$10&amp;""),OR(Recherche!$C$11="",E56=Recherche!$C$11),OR(Recherche!$C$12="",ISNUMBER(SEARCH(Recherche!$C$12,M56&amp;" "&amp;F56)))),1,0)</f>
        <v>8</v>
      </c>
    </row>
    <row r="57" customFormat="false" ht="15" hidden="false" customHeight="false" outlineLevel="0" collapsed="false">
      <c r="A57" s="19"/>
      <c r="B57" s="19"/>
      <c r="C57" s="19"/>
      <c r="D57" s="19"/>
      <c r="E57" s="22"/>
      <c r="F57" s="19"/>
      <c r="G57" s="26" t="str">
        <f aca="false">IF(D57="","",IFERROR(VALUE(LEFT(D57,FIND(" |",D57&amp;" |")-1)),"?"))</f>
        <v/>
      </c>
      <c r="H57" s="27" t="str">
        <f aca="false">IF(G57="","",IF(G57="?","⚠ pub inconnue",IFERROR(INDEX(Pubs!$B$2:$B$3001,MATCH(G57,Pubs!$A$2:$A$3001,0))&amp;"","⚠ pub inconnue")))</f>
        <v/>
      </c>
      <c r="I57" s="27" t="str">
        <f aca="false">IF(OR(G57="",G57="?"),"",IFERROR(INDEX(Pubs!$C$2:$C$3001,MATCH(G57,Pubs!$A$2:$A$3001,0))&amp;"",""))</f>
        <v/>
      </c>
      <c r="J57" s="27" t="str">
        <f aca="false">IF(OR(G57="",G57="?"),"",IFERROR(INDEX(Pubs!$G$2:$G$3001,MATCH(G57,Pubs!$A$2:$A$3001,0))&amp;"",""))</f>
        <v/>
      </c>
      <c r="K57" s="28" t="str">
        <f aca="false">IF(OR(G57="",G57="?"),"",IFERROR(INDEX(Pubs!$E$2:$E$3001,MATCH(G57,Pubs!$A$2:$A$3001,0)),""))</f>
        <v/>
      </c>
      <c r="L57" s="29" t="str">
        <f aca="false">IF(A57="","",IFERROR(1/(1/INDEX(Numéros!$C$2:$C$3001,MATCH(A57&amp;"|"&amp;B57,Numéros!$F$2:$F$3001,0))),""))</f>
        <v/>
      </c>
      <c r="M57" s="27" t="str">
        <f aca="false">IF(OR(G57="",G57="?"),"",IFERROR(INDEX(Pubs!$D$2:$D$3001,MATCH(G57,Pubs!$A$2:$A$3001,0))&amp;"",""))</f>
        <v/>
      </c>
      <c r="N57" s="27" t="n">
        <f aca="false">N(N56)+IF(AND(A57&lt;&gt;"",OR(Recherche!$C$4="",A57=Recherche!$C$4),OR(Recherche!$C$5="",B57&amp;""=Recherche!$C$5&amp;""),OR(Recherche!$C$6="",IFERROR(YEAR(L57),0)=Recherche!$C$6),OR(Recherche!$C$7="",ISNUMBER(SEARCH(Recherche!$C$7,H57))),OR(Recherche!$C$8="",J57=Recherche!$C$8),OR(Recherche!$C$9="",I57=Recherche!$C$9),OR(Recherche!$C$10="",G57&amp;""=Recherche!$C$10&amp;""),OR(Recherche!$C$11="",E57=Recherche!$C$11),OR(Recherche!$C$12="",ISNUMBER(SEARCH(Recherche!$C$12,M57&amp;" "&amp;F57)))),1,0)</f>
        <v>8</v>
      </c>
    </row>
    <row r="58" customFormat="false" ht="15" hidden="false" customHeight="false" outlineLevel="0" collapsed="false">
      <c r="A58" s="19"/>
      <c r="B58" s="19"/>
      <c r="C58" s="19"/>
      <c r="D58" s="19"/>
      <c r="E58" s="22"/>
      <c r="F58" s="19"/>
      <c r="G58" s="26" t="str">
        <f aca="false">IF(D58="","",IFERROR(VALUE(LEFT(D58,FIND(" |",D58&amp;" |")-1)),"?"))</f>
        <v/>
      </c>
      <c r="H58" s="27" t="str">
        <f aca="false">IF(G58="","",IF(G58="?","⚠ pub inconnue",IFERROR(INDEX(Pubs!$B$2:$B$3001,MATCH(G58,Pubs!$A$2:$A$3001,0))&amp;"","⚠ pub inconnue")))</f>
        <v/>
      </c>
      <c r="I58" s="27" t="str">
        <f aca="false">IF(OR(G58="",G58="?"),"",IFERROR(INDEX(Pubs!$C$2:$C$3001,MATCH(G58,Pubs!$A$2:$A$3001,0))&amp;"",""))</f>
        <v/>
      </c>
      <c r="J58" s="27" t="str">
        <f aca="false">IF(OR(G58="",G58="?"),"",IFERROR(INDEX(Pubs!$G$2:$G$3001,MATCH(G58,Pubs!$A$2:$A$3001,0))&amp;"",""))</f>
        <v/>
      </c>
      <c r="K58" s="28" t="str">
        <f aca="false">IF(OR(G58="",G58="?"),"",IFERROR(INDEX(Pubs!$E$2:$E$3001,MATCH(G58,Pubs!$A$2:$A$3001,0)),""))</f>
        <v/>
      </c>
      <c r="L58" s="29" t="str">
        <f aca="false">IF(A58="","",IFERROR(1/(1/INDEX(Numéros!$C$2:$C$3001,MATCH(A58&amp;"|"&amp;B58,Numéros!$F$2:$F$3001,0))),""))</f>
        <v/>
      </c>
      <c r="M58" s="27" t="str">
        <f aca="false">IF(OR(G58="",G58="?"),"",IFERROR(INDEX(Pubs!$D$2:$D$3001,MATCH(G58,Pubs!$A$2:$A$3001,0))&amp;"",""))</f>
        <v/>
      </c>
      <c r="N58" s="27" t="n">
        <f aca="false">N(N57)+IF(AND(A58&lt;&gt;"",OR(Recherche!$C$4="",A58=Recherche!$C$4),OR(Recherche!$C$5="",B58&amp;""=Recherche!$C$5&amp;""),OR(Recherche!$C$6="",IFERROR(YEAR(L58),0)=Recherche!$C$6),OR(Recherche!$C$7="",ISNUMBER(SEARCH(Recherche!$C$7,H58))),OR(Recherche!$C$8="",J58=Recherche!$C$8),OR(Recherche!$C$9="",I58=Recherche!$C$9),OR(Recherche!$C$10="",G58&amp;""=Recherche!$C$10&amp;""),OR(Recherche!$C$11="",E58=Recherche!$C$11),OR(Recherche!$C$12="",ISNUMBER(SEARCH(Recherche!$C$12,M58&amp;" "&amp;F58)))),1,0)</f>
        <v>8</v>
      </c>
    </row>
    <row r="59" customFormat="false" ht="15" hidden="false" customHeight="false" outlineLevel="0" collapsed="false">
      <c r="A59" s="19"/>
      <c r="B59" s="19"/>
      <c r="C59" s="19"/>
      <c r="D59" s="19"/>
      <c r="E59" s="22"/>
      <c r="F59" s="19"/>
      <c r="G59" s="26" t="str">
        <f aca="false">IF(D59="","",IFERROR(VALUE(LEFT(D59,FIND(" |",D59&amp;" |")-1)),"?"))</f>
        <v/>
      </c>
      <c r="H59" s="27" t="str">
        <f aca="false">IF(G59="","",IF(G59="?","⚠ pub inconnue",IFERROR(INDEX(Pubs!$B$2:$B$3001,MATCH(G59,Pubs!$A$2:$A$3001,0))&amp;"","⚠ pub inconnue")))</f>
        <v/>
      </c>
      <c r="I59" s="27" t="str">
        <f aca="false">IF(OR(G59="",G59="?"),"",IFERROR(INDEX(Pubs!$C$2:$C$3001,MATCH(G59,Pubs!$A$2:$A$3001,0))&amp;"",""))</f>
        <v/>
      </c>
      <c r="J59" s="27" t="str">
        <f aca="false">IF(OR(G59="",G59="?"),"",IFERROR(INDEX(Pubs!$G$2:$G$3001,MATCH(G59,Pubs!$A$2:$A$3001,0))&amp;"",""))</f>
        <v/>
      </c>
      <c r="K59" s="28" t="str">
        <f aca="false">IF(OR(G59="",G59="?"),"",IFERROR(INDEX(Pubs!$E$2:$E$3001,MATCH(G59,Pubs!$A$2:$A$3001,0)),""))</f>
        <v/>
      </c>
      <c r="L59" s="29" t="str">
        <f aca="false">IF(A59="","",IFERROR(1/(1/INDEX(Numéros!$C$2:$C$3001,MATCH(A59&amp;"|"&amp;B59,Numéros!$F$2:$F$3001,0))),""))</f>
        <v/>
      </c>
      <c r="M59" s="27" t="str">
        <f aca="false">IF(OR(G59="",G59="?"),"",IFERROR(INDEX(Pubs!$D$2:$D$3001,MATCH(G59,Pubs!$A$2:$A$3001,0))&amp;"",""))</f>
        <v/>
      </c>
      <c r="N59" s="27" t="n">
        <f aca="false">N(N58)+IF(AND(A59&lt;&gt;"",OR(Recherche!$C$4="",A59=Recherche!$C$4),OR(Recherche!$C$5="",B59&amp;""=Recherche!$C$5&amp;""),OR(Recherche!$C$6="",IFERROR(YEAR(L59),0)=Recherche!$C$6),OR(Recherche!$C$7="",ISNUMBER(SEARCH(Recherche!$C$7,H59))),OR(Recherche!$C$8="",J59=Recherche!$C$8),OR(Recherche!$C$9="",I59=Recherche!$C$9),OR(Recherche!$C$10="",G59&amp;""=Recherche!$C$10&amp;""),OR(Recherche!$C$11="",E59=Recherche!$C$11),OR(Recherche!$C$12="",ISNUMBER(SEARCH(Recherche!$C$12,M59&amp;" "&amp;F59)))),1,0)</f>
        <v>8</v>
      </c>
    </row>
    <row r="60" customFormat="false" ht="15" hidden="false" customHeight="false" outlineLevel="0" collapsed="false">
      <c r="A60" s="19"/>
      <c r="B60" s="19"/>
      <c r="C60" s="19"/>
      <c r="D60" s="19"/>
      <c r="E60" s="22"/>
      <c r="F60" s="19"/>
      <c r="G60" s="26" t="str">
        <f aca="false">IF(D60="","",IFERROR(VALUE(LEFT(D60,FIND(" |",D60&amp;" |")-1)),"?"))</f>
        <v/>
      </c>
      <c r="H60" s="27" t="str">
        <f aca="false">IF(G60="","",IF(G60="?","⚠ pub inconnue",IFERROR(INDEX(Pubs!$B$2:$B$3001,MATCH(G60,Pubs!$A$2:$A$3001,0))&amp;"","⚠ pub inconnue")))</f>
        <v/>
      </c>
      <c r="I60" s="27" t="str">
        <f aca="false">IF(OR(G60="",G60="?"),"",IFERROR(INDEX(Pubs!$C$2:$C$3001,MATCH(G60,Pubs!$A$2:$A$3001,0))&amp;"",""))</f>
        <v/>
      </c>
      <c r="J60" s="27" t="str">
        <f aca="false">IF(OR(G60="",G60="?"),"",IFERROR(INDEX(Pubs!$G$2:$G$3001,MATCH(G60,Pubs!$A$2:$A$3001,0))&amp;"",""))</f>
        <v/>
      </c>
      <c r="K60" s="28" t="str">
        <f aca="false">IF(OR(G60="",G60="?"),"",IFERROR(INDEX(Pubs!$E$2:$E$3001,MATCH(G60,Pubs!$A$2:$A$3001,0)),""))</f>
        <v/>
      </c>
      <c r="L60" s="29" t="str">
        <f aca="false">IF(A60="","",IFERROR(1/(1/INDEX(Numéros!$C$2:$C$3001,MATCH(A60&amp;"|"&amp;B60,Numéros!$F$2:$F$3001,0))),""))</f>
        <v/>
      </c>
      <c r="M60" s="27" t="str">
        <f aca="false">IF(OR(G60="",G60="?"),"",IFERROR(INDEX(Pubs!$D$2:$D$3001,MATCH(G60,Pubs!$A$2:$A$3001,0))&amp;"",""))</f>
        <v/>
      </c>
      <c r="N60" s="27" t="n">
        <f aca="false">N(N59)+IF(AND(A60&lt;&gt;"",OR(Recherche!$C$4="",A60=Recherche!$C$4),OR(Recherche!$C$5="",B60&amp;""=Recherche!$C$5&amp;""),OR(Recherche!$C$6="",IFERROR(YEAR(L60),0)=Recherche!$C$6),OR(Recherche!$C$7="",ISNUMBER(SEARCH(Recherche!$C$7,H60))),OR(Recherche!$C$8="",J60=Recherche!$C$8),OR(Recherche!$C$9="",I60=Recherche!$C$9),OR(Recherche!$C$10="",G60&amp;""=Recherche!$C$10&amp;""),OR(Recherche!$C$11="",E60=Recherche!$C$11),OR(Recherche!$C$12="",ISNUMBER(SEARCH(Recherche!$C$12,M60&amp;" "&amp;F60)))),1,0)</f>
        <v>8</v>
      </c>
    </row>
    <row r="61" customFormat="false" ht="15" hidden="false" customHeight="false" outlineLevel="0" collapsed="false">
      <c r="A61" s="19"/>
      <c r="B61" s="19"/>
      <c r="C61" s="19"/>
      <c r="D61" s="19"/>
      <c r="E61" s="22"/>
      <c r="F61" s="19"/>
      <c r="G61" s="26" t="str">
        <f aca="false">IF(D61="","",IFERROR(VALUE(LEFT(D61,FIND(" |",D61&amp;" |")-1)),"?"))</f>
        <v/>
      </c>
      <c r="H61" s="27" t="str">
        <f aca="false">IF(G61="","",IF(G61="?","⚠ pub inconnue",IFERROR(INDEX(Pubs!$B$2:$B$3001,MATCH(G61,Pubs!$A$2:$A$3001,0))&amp;"","⚠ pub inconnue")))</f>
        <v/>
      </c>
      <c r="I61" s="27" t="str">
        <f aca="false">IF(OR(G61="",G61="?"),"",IFERROR(INDEX(Pubs!$C$2:$C$3001,MATCH(G61,Pubs!$A$2:$A$3001,0))&amp;"",""))</f>
        <v/>
      </c>
      <c r="J61" s="27" t="str">
        <f aca="false">IF(OR(G61="",G61="?"),"",IFERROR(INDEX(Pubs!$G$2:$G$3001,MATCH(G61,Pubs!$A$2:$A$3001,0))&amp;"",""))</f>
        <v/>
      </c>
      <c r="K61" s="28" t="str">
        <f aca="false">IF(OR(G61="",G61="?"),"",IFERROR(INDEX(Pubs!$E$2:$E$3001,MATCH(G61,Pubs!$A$2:$A$3001,0)),""))</f>
        <v/>
      </c>
      <c r="L61" s="29" t="str">
        <f aca="false">IF(A61="","",IFERROR(1/(1/INDEX(Numéros!$C$2:$C$3001,MATCH(A61&amp;"|"&amp;B61,Numéros!$F$2:$F$3001,0))),""))</f>
        <v/>
      </c>
      <c r="M61" s="27" t="str">
        <f aca="false">IF(OR(G61="",G61="?"),"",IFERROR(INDEX(Pubs!$D$2:$D$3001,MATCH(G61,Pubs!$A$2:$A$3001,0))&amp;"",""))</f>
        <v/>
      </c>
      <c r="N61" s="27" t="n">
        <f aca="false">N(N60)+IF(AND(A61&lt;&gt;"",OR(Recherche!$C$4="",A61=Recherche!$C$4),OR(Recherche!$C$5="",B61&amp;""=Recherche!$C$5&amp;""),OR(Recherche!$C$6="",IFERROR(YEAR(L61),0)=Recherche!$C$6),OR(Recherche!$C$7="",ISNUMBER(SEARCH(Recherche!$C$7,H61))),OR(Recherche!$C$8="",J61=Recherche!$C$8),OR(Recherche!$C$9="",I61=Recherche!$C$9),OR(Recherche!$C$10="",G61&amp;""=Recherche!$C$10&amp;""),OR(Recherche!$C$11="",E61=Recherche!$C$11),OR(Recherche!$C$12="",ISNUMBER(SEARCH(Recherche!$C$12,M61&amp;" "&amp;F61)))),1,0)</f>
        <v>8</v>
      </c>
    </row>
    <row r="62" customFormat="false" ht="15" hidden="false" customHeight="false" outlineLevel="0" collapsed="false">
      <c r="A62" s="19"/>
      <c r="B62" s="19"/>
      <c r="C62" s="19"/>
      <c r="D62" s="19"/>
      <c r="E62" s="22"/>
      <c r="F62" s="19"/>
      <c r="G62" s="26" t="str">
        <f aca="false">IF(D62="","",IFERROR(VALUE(LEFT(D62,FIND(" |",D62&amp;" |")-1)),"?"))</f>
        <v/>
      </c>
      <c r="H62" s="27" t="str">
        <f aca="false">IF(G62="","",IF(G62="?","⚠ pub inconnue",IFERROR(INDEX(Pubs!$B$2:$B$3001,MATCH(G62,Pubs!$A$2:$A$3001,0))&amp;"","⚠ pub inconnue")))</f>
        <v/>
      </c>
      <c r="I62" s="27" t="str">
        <f aca="false">IF(OR(G62="",G62="?"),"",IFERROR(INDEX(Pubs!$C$2:$C$3001,MATCH(G62,Pubs!$A$2:$A$3001,0))&amp;"",""))</f>
        <v/>
      </c>
      <c r="J62" s="27" t="str">
        <f aca="false">IF(OR(G62="",G62="?"),"",IFERROR(INDEX(Pubs!$G$2:$G$3001,MATCH(G62,Pubs!$A$2:$A$3001,0))&amp;"",""))</f>
        <v/>
      </c>
      <c r="K62" s="28" t="str">
        <f aca="false">IF(OR(G62="",G62="?"),"",IFERROR(INDEX(Pubs!$E$2:$E$3001,MATCH(G62,Pubs!$A$2:$A$3001,0)),""))</f>
        <v/>
      </c>
      <c r="L62" s="29" t="str">
        <f aca="false">IF(A62="","",IFERROR(1/(1/INDEX(Numéros!$C$2:$C$3001,MATCH(A62&amp;"|"&amp;B62,Numéros!$F$2:$F$3001,0))),""))</f>
        <v/>
      </c>
      <c r="M62" s="27" t="str">
        <f aca="false">IF(OR(G62="",G62="?"),"",IFERROR(INDEX(Pubs!$D$2:$D$3001,MATCH(G62,Pubs!$A$2:$A$3001,0))&amp;"",""))</f>
        <v/>
      </c>
      <c r="N62" s="27" t="n">
        <f aca="false">N(N61)+IF(AND(A62&lt;&gt;"",OR(Recherche!$C$4="",A62=Recherche!$C$4),OR(Recherche!$C$5="",B62&amp;""=Recherche!$C$5&amp;""),OR(Recherche!$C$6="",IFERROR(YEAR(L62),0)=Recherche!$C$6),OR(Recherche!$C$7="",ISNUMBER(SEARCH(Recherche!$C$7,H62))),OR(Recherche!$C$8="",J62=Recherche!$C$8),OR(Recherche!$C$9="",I62=Recherche!$C$9),OR(Recherche!$C$10="",G62&amp;""=Recherche!$C$10&amp;""),OR(Recherche!$C$11="",E62=Recherche!$C$11),OR(Recherche!$C$12="",ISNUMBER(SEARCH(Recherche!$C$12,M62&amp;" "&amp;F62)))),1,0)</f>
        <v>8</v>
      </c>
    </row>
    <row r="63" customFormat="false" ht="15" hidden="false" customHeight="false" outlineLevel="0" collapsed="false">
      <c r="A63" s="19"/>
      <c r="B63" s="19"/>
      <c r="C63" s="19"/>
      <c r="D63" s="19"/>
      <c r="E63" s="22"/>
      <c r="F63" s="19"/>
      <c r="G63" s="26" t="str">
        <f aca="false">IF(D63="","",IFERROR(VALUE(LEFT(D63,FIND(" |",D63&amp;" |")-1)),"?"))</f>
        <v/>
      </c>
      <c r="H63" s="27" t="str">
        <f aca="false">IF(G63="","",IF(G63="?","⚠ pub inconnue",IFERROR(INDEX(Pubs!$B$2:$B$3001,MATCH(G63,Pubs!$A$2:$A$3001,0))&amp;"","⚠ pub inconnue")))</f>
        <v/>
      </c>
      <c r="I63" s="27" t="str">
        <f aca="false">IF(OR(G63="",G63="?"),"",IFERROR(INDEX(Pubs!$C$2:$C$3001,MATCH(G63,Pubs!$A$2:$A$3001,0))&amp;"",""))</f>
        <v/>
      </c>
      <c r="J63" s="27" t="str">
        <f aca="false">IF(OR(G63="",G63="?"),"",IFERROR(INDEX(Pubs!$G$2:$G$3001,MATCH(G63,Pubs!$A$2:$A$3001,0))&amp;"",""))</f>
        <v/>
      </c>
      <c r="K63" s="28" t="str">
        <f aca="false">IF(OR(G63="",G63="?"),"",IFERROR(INDEX(Pubs!$E$2:$E$3001,MATCH(G63,Pubs!$A$2:$A$3001,0)),""))</f>
        <v/>
      </c>
      <c r="L63" s="29" t="str">
        <f aca="false">IF(A63="","",IFERROR(1/(1/INDEX(Numéros!$C$2:$C$3001,MATCH(A63&amp;"|"&amp;B63,Numéros!$F$2:$F$3001,0))),""))</f>
        <v/>
      </c>
      <c r="M63" s="27" t="str">
        <f aca="false">IF(OR(G63="",G63="?"),"",IFERROR(INDEX(Pubs!$D$2:$D$3001,MATCH(G63,Pubs!$A$2:$A$3001,0))&amp;"",""))</f>
        <v/>
      </c>
      <c r="N63" s="27" t="n">
        <f aca="false">N(N62)+IF(AND(A63&lt;&gt;"",OR(Recherche!$C$4="",A63=Recherche!$C$4),OR(Recherche!$C$5="",B63&amp;""=Recherche!$C$5&amp;""),OR(Recherche!$C$6="",IFERROR(YEAR(L63),0)=Recherche!$C$6),OR(Recherche!$C$7="",ISNUMBER(SEARCH(Recherche!$C$7,H63))),OR(Recherche!$C$8="",J63=Recherche!$C$8),OR(Recherche!$C$9="",I63=Recherche!$C$9),OR(Recherche!$C$10="",G63&amp;""=Recherche!$C$10&amp;""),OR(Recherche!$C$11="",E63=Recherche!$C$11),OR(Recherche!$C$12="",ISNUMBER(SEARCH(Recherche!$C$12,M63&amp;" "&amp;F63)))),1,0)</f>
        <v>8</v>
      </c>
    </row>
    <row r="64" customFormat="false" ht="15" hidden="false" customHeight="false" outlineLevel="0" collapsed="false">
      <c r="A64" s="19"/>
      <c r="B64" s="19"/>
      <c r="C64" s="19"/>
      <c r="D64" s="19"/>
      <c r="E64" s="22"/>
      <c r="F64" s="19"/>
      <c r="G64" s="26" t="str">
        <f aca="false">IF(D64="","",IFERROR(VALUE(LEFT(D64,FIND(" |",D64&amp;" |")-1)),"?"))</f>
        <v/>
      </c>
      <c r="H64" s="27" t="str">
        <f aca="false">IF(G64="","",IF(G64="?","⚠ pub inconnue",IFERROR(INDEX(Pubs!$B$2:$B$3001,MATCH(G64,Pubs!$A$2:$A$3001,0))&amp;"","⚠ pub inconnue")))</f>
        <v/>
      </c>
      <c r="I64" s="27" t="str">
        <f aca="false">IF(OR(G64="",G64="?"),"",IFERROR(INDEX(Pubs!$C$2:$C$3001,MATCH(G64,Pubs!$A$2:$A$3001,0))&amp;"",""))</f>
        <v/>
      </c>
      <c r="J64" s="27" t="str">
        <f aca="false">IF(OR(G64="",G64="?"),"",IFERROR(INDEX(Pubs!$G$2:$G$3001,MATCH(G64,Pubs!$A$2:$A$3001,0))&amp;"",""))</f>
        <v/>
      </c>
      <c r="K64" s="28" t="str">
        <f aca="false">IF(OR(G64="",G64="?"),"",IFERROR(INDEX(Pubs!$E$2:$E$3001,MATCH(G64,Pubs!$A$2:$A$3001,0)),""))</f>
        <v/>
      </c>
      <c r="L64" s="29" t="str">
        <f aca="false">IF(A64="","",IFERROR(1/(1/INDEX(Numéros!$C$2:$C$3001,MATCH(A64&amp;"|"&amp;B64,Numéros!$F$2:$F$3001,0))),""))</f>
        <v/>
      </c>
      <c r="M64" s="27" t="str">
        <f aca="false">IF(OR(G64="",G64="?"),"",IFERROR(INDEX(Pubs!$D$2:$D$3001,MATCH(G64,Pubs!$A$2:$A$3001,0))&amp;"",""))</f>
        <v/>
      </c>
      <c r="N64" s="27" t="n">
        <f aca="false">N(N63)+IF(AND(A64&lt;&gt;"",OR(Recherche!$C$4="",A64=Recherche!$C$4),OR(Recherche!$C$5="",B64&amp;""=Recherche!$C$5&amp;""),OR(Recherche!$C$6="",IFERROR(YEAR(L64),0)=Recherche!$C$6),OR(Recherche!$C$7="",ISNUMBER(SEARCH(Recherche!$C$7,H64))),OR(Recherche!$C$8="",J64=Recherche!$C$8),OR(Recherche!$C$9="",I64=Recherche!$C$9),OR(Recherche!$C$10="",G64&amp;""=Recherche!$C$10&amp;""),OR(Recherche!$C$11="",E64=Recherche!$C$11),OR(Recherche!$C$12="",ISNUMBER(SEARCH(Recherche!$C$12,M64&amp;" "&amp;F64)))),1,0)</f>
        <v>8</v>
      </c>
    </row>
    <row r="65" customFormat="false" ht="15" hidden="false" customHeight="false" outlineLevel="0" collapsed="false">
      <c r="A65" s="19"/>
      <c r="B65" s="19"/>
      <c r="C65" s="19"/>
      <c r="D65" s="19"/>
      <c r="E65" s="22"/>
      <c r="F65" s="19"/>
      <c r="G65" s="26" t="str">
        <f aca="false">IF(D65="","",IFERROR(VALUE(LEFT(D65,FIND(" |",D65&amp;" |")-1)),"?"))</f>
        <v/>
      </c>
      <c r="H65" s="27" t="str">
        <f aca="false">IF(G65="","",IF(G65="?","⚠ pub inconnue",IFERROR(INDEX(Pubs!$B$2:$B$3001,MATCH(G65,Pubs!$A$2:$A$3001,0))&amp;"","⚠ pub inconnue")))</f>
        <v/>
      </c>
      <c r="I65" s="27" t="str">
        <f aca="false">IF(OR(G65="",G65="?"),"",IFERROR(INDEX(Pubs!$C$2:$C$3001,MATCH(G65,Pubs!$A$2:$A$3001,0))&amp;"",""))</f>
        <v/>
      </c>
      <c r="J65" s="27" t="str">
        <f aca="false">IF(OR(G65="",G65="?"),"",IFERROR(INDEX(Pubs!$G$2:$G$3001,MATCH(G65,Pubs!$A$2:$A$3001,0))&amp;"",""))</f>
        <v/>
      </c>
      <c r="K65" s="28" t="str">
        <f aca="false">IF(OR(G65="",G65="?"),"",IFERROR(INDEX(Pubs!$E$2:$E$3001,MATCH(G65,Pubs!$A$2:$A$3001,0)),""))</f>
        <v/>
      </c>
      <c r="L65" s="29" t="str">
        <f aca="false">IF(A65="","",IFERROR(1/(1/INDEX(Numéros!$C$2:$C$3001,MATCH(A65&amp;"|"&amp;B65,Numéros!$F$2:$F$3001,0))),""))</f>
        <v/>
      </c>
      <c r="M65" s="27" t="str">
        <f aca="false">IF(OR(G65="",G65="?"),"",IFERROR(INDEX(Pubs!$D$2:$D$3001,MATCH(G65,Pubs!$A$2:$A$3001,0))&amp;"",""))</f>
        <v/>
      </c>
      <c r="N65" s="27" t="n">
        <f aca="false">N(N64)+IF(AND(A65&lt;&gt;"",OR(Recherche!$C$4="",A65=Recherche!$C$4),OR(Recherche!$C$5="",B65&amp;""=Recherche!$C$5&amp;""),OR(Recherche!$C$6="",IFERROR(YEAR(L65),0)=Recherche!$C$6),OR(Recherche!$C$7="",ISNUMBER(SEARCH(Recherche!$C$7,H65))),OR(Recherche!$C$8="",J65=Recherche!$C$8),OR(Recherche!$C$9="",I65=Recherche!$C$9),OR(Recherche!$C$10="",G65&amp;""=Recherche!$C$10&amp;""),OR(Recherche!$C$11="",E65=Recherche!$C$11),OR(Recherche!$C$12="",ISNUMBER(SEARCH(Recherche!$C$12,M65&amp;" "&amp;F65)))),1,0)</f>
        <v>8</v>
      </c>
    </row>
    <row r="66" customFormat="false" ht="15" hidden="false" customHeight="false" outlineLevel="0" collapsed="false">
      <c r="A66" s="19"/>
      <c r="B66" s="19"/>
      <c r="C66" s="19"/>
      <c r="D66" s="19"/>
      <c r="E66" s="22"/>
      <c r="F66" s="19"/>
      <c r="G66" s="26" t="str">
        <f aca="false">IF(D66="","",IFERROR(VALUE(LEFT(D66,FIND(" |",D66&amp;" |")-1)),"?"))</f>
        <v/>
      </c>
      <c r="H66" s="27" t="str">
        <f aca="false">IF(G66="","",IF(G66="?","⚠ pub inconnue",IFERROR(INDEX(Pubs!$B$2:$B$3001,MATCH(G66,Pubs!$A$2:$A$3001,0))&amp;"","⚠ pub inconnue")))</f>
        <v/>
      </c>
      <c r="I66" s="27" t="str">
        <f aca="false">IF(OR(G66="",G66="?"),"",IFERROR(INDEX(Pubs!$C$2:$C$3001,MATCH(G66,Pubs!$A$2:$A$3001,0))&amp;"",""))</f>
        <v/>
      </c>
      <c r="J66" s="27" t="str">
        <f aca="false">IF(OR(G66="",G66="?"),"",IFERROR(INDEX(Pubs!$G$2:$G$3001,MATCH(G66,Pubs!$A$2:$A$3001,0))&amp;"",""))</f>
        <v/>
      </c>
      <c r="K66" s="28" t="str">
        <f aca="false">IF(OR(G66="",G66="?"),"",IFERROR(INDEX(Pubs!$E$2:$E$3001,MATCH(G66,Pubs!$A$2:$A$3001,0)),""))</f>
        <v/>
      </c>
      <c r="L66" s="29" t="str">
        <f aca="false">IF(A66="","",IFERROR(1/(1/INDEX(Numéros!$C$2:$C$3001,MATCH(A66&amp;"|"&amp;B66,Numéros!$F$2:$F$3001,0))),""))</f>
        <v/>
      </c>
      <c r="M66" s="27" t="str">
        <f aca="false">IF(OR(G66="",G66="?"),"",IFERROR(INDEX(Pubs!$D$2:$D$3001,MATCH(G66,Pubs!$A$2:$A$3001,0))&amp;"",""))</f>
        <v/>
      </c>
      <c r="N66" s="27" t="n">
        <f aca="false">N(N65)+IF(AND(A66&lt;&gt;"",OR(Recherche!$C$4="",A66=Recherche!$C$4),OR(Recherche!$C$5="",B66&amp;""=Recherche!$C$5&amp;""),OR(Recherche!$C$6="",IFERROR(YEAR(L66),0)=Recherche!$C$6),OR(Recherche!$C$7="",ISNUMBER(SEARCH(Recherche!$C$7,H66))),OR(Recherche!$C$8="",J66=Recherche!$C$8),OR(Recherche!$C$9="",I66=Recherche!$C$9),OR(Recherche!$C$10="",G66&amp;""=Recherche!$C$10&amp;""),OR(Recherche!$C$11="",E66=Recherche!$C$11),OR(Recherche!$C$12="",ISNUMBER(SEARCH(Recherche!$C$12,M66&amp;" "&amp;F66)))),1,0)</f>
        <v>8</v>
      </c>
    </row>
    <row r="67" customFormat="false" ht="15" hidden="false" customHeight="false" outlineLevel="0" collapsed="false">
      <c r="A67" s="19"/>
      <c r="B67" s="19"/>
      <c r="C67" s="19"/>
      <c r="D67" s="19"/>
      <c r="E67" s="22"/>
      <c r="F67" s="19"/>
      <c r="G67" s="26" t="str">
        <f aca="false">IF(D67="","",IFERROR(VALUE(LEFT(D67,FIND(" |",D67&amp;" |")-1)),"?"))</f>
        <v/>
      </c>
      <c r="H67" s="27" t="str">
        <f aca="false">IF(G67="","",IF(G67="?","⚠ pub inconnue",IFERROR(INDEX(Pubs!$B$2:$B$3001,MATCH(G67,Pubs!$A$2:$A$3001,0))&amp;"","⚠ pub inconnue")))</f>
        <v/>
      </c>
      <c r="I67" s="27" t="str">
        <f aca="false">IF(OR(G67="",G67="?"),"",IFERROR(INDEX(Pubs!$C$2:$C$3001,MATCH(G67,Pubs!$A$2:$A$3001,0))&amp;"",""))</f>
        <v/>
      </c>
      <c r="J67" s="27" t="str">
        <f aca="false">IF(OR(G67="",G67="?"),"",IFERROR(INDEX(Pubs!$G$2:$G$3001,MATCH(G67,Pubs!$A$2:$A$3001,0))&amp;"",""))</f>
        <v/>
      </c>
      <c r="K67" s="28" t="str">
        <f aca="false">IF(OR(G67="",G67="?"),"",IFERROR(INDEX(Pubs!$E$2:$E$3001,MATCH(G67,Pubs!$A$2:$A$3001,0)),""))</f>
        <v/>
      </c>
      <c r="L67" s="29" t="str">
        <f aca="false">IF(A67="","",IFERROR(1/(1/INDEX(Numéros!$C$2:$C$3001,MATCH(A67&amp;"|"&amp;B67,Numéros!$F$2:$F$3001,0))),""))</f>
        <v/>
      </c>
      <c r="M67" s="27" t="str">
        <f aca="false">IF(OR(G67="",G67="?"),"",IFERROR(INDEX(Pubs!$D$2:$D$3001,MATCH(G67,Pubs!$A$2:$A$3001,0))&amp;"",""))</f>
        <v/>
      </c>
      <c r="N67" s="27" t="n">
        <f aca="false">N(N66)+IF(AND(A67&lt;&gt;"",OR(Recherche!$C$4="",A67=Recherche!$C$4),OR(Recherche!$C$5="",B67&amp;""=Recherche!$C$5&amp;""),OR(Recherche!$C$6="",IFERROR(YEAR(L67),0)=Recherche!$C$6),OR(Recherche!$C$7="",ISNUMBER(SEARCH(Recherche!$C$7,H67))),OR(Recherche!$C$8="",J67=Recherche!$C$8),OR(Recherche!$C$9="",I67=Recherche!$C$9),OR(Recherche!$C$10="",G67&amp;""=Recherche!$C$10&amp;""),OR(Recherche!$C$11="",E67=Recherche!$C$11),OR(Recherche!$C$12="",ISNUMBER(SEARCH(Recherche!$C$12,M67&amp;" "&amp;F67)))),1,0)</f>
        <v>8</v>
      </c>
    </row>
    <row r="68" customFormat="false" ht="15" hidden="false" customHeight="false" outlineLevel="0" collapsed="false">
      <c r="A68" s="19"/>
      <c r="B68" s="19"/>
      <c r="C68" s="19"/>
      <c r="D68" s="19"/>
      <c r="E68" s="22"/>
      <c r="F68" s="19"/>
      <c r="G68" s="26" t="str">
        <f aca="false">IF(D68="","",IFERROR(VALUE(LEFT(D68,FIND(" |",D68&amp;" |")-1)),"?"))</f>
        <v/>
      </c>
      <c r="H68" s="27" t="str">
        <f aca="false">IF(G68="","",IF(G68="?","⚠ pub inconnue",IFERROR(INDEX(Pubs!$B$2:$B$3001,MATCH(G68,Pubs!$A$2:$A$3001,0))&amp;"","⚠ pub inconnue")))</f>
        <v/>
      </c>
      <c r="I68" s="27" t="str">
        <f aca="false">IF(OR(G68="",G68="?"),"",IFERROR(INDEX(Pubs!$C$2:$C$3001,MATCH(G68,Pubs!$A$2:$A$3001,0))&amp;"",""))</f>
        <v/>
      </c>
      <c r="J68" s="27" t="str">
        <f aca="false">IF(OR(G68="",G68="?"),"",IFERROR(INDEX(Pubs!$G$2:$G$3001,MATCH(G68,Pubs!$A$2:$A$3001,0))&amp;"",""))</f>
        <v/>
      </c>
      <c r="K68" s="28" t="str">
        <f aca="false">IF(OR(G68="",G68="?"),"",IFERROR(INDEX(Pubs!$E$2:$E$3001,MATCH(G68,Pubs!$A$2:$A$3001,0)),""))</f>
        <v/>
      </c>
      <c r="L68" s="29" t="str">
        <f aca="false">IF(A68="","",IFERROR(1/(1/INDEX(Numéros!$C$2:$C$3001,MATCH(A68&amp;"|"&amp;B68,Numéros!$F$2:$F$3001,0))),""))</f>
        <v/>
      </c>
      <c r="M68" s="27" t="str">
        <f aca="false">IF(OR(G68="",G68="?"),"",IFERROR(INDEX(Pubs!$D$2:$D$3001,MATCH(G68,Pubs!$A$2:$A$3001,0))&amp;"",""))</f>
        <v/>
      </c>
      <c r="N68" s="27" t="n">
        <f aca="false">N(N67)+IF(AND(A68&lt;&gt;"",OR(Recherche!$C$4="",A68=Recherche!$C$4),OR(Recherche!$C$5="",B68&amp;""=Recherche!$C$5&amp;""),OR(Recherche!$C$6="",IFERROR(YEAR(L68),0)=Recherche!$C$6),OR(Recherche!$C$7="",ISNUMBER(SEARCH(Recherche!$C$7,H68))),OR(Recherche!$C$8="",J68=Recherche!$C$8),OR(Recherche!$C$9="",I68=Recherche!$C$9),OR(Recherche!$C$10="",G68&amp;""=Recherche!$C$10&amp;""),OR(Recherche!$C$11="",E68=Recherche!$C$11),OR(Recherche!$C$12="",ISNUMBER(SEARCH(Recherche!$C$12,M68&amp;" "&amp;F68)))),1,0)</f>
        <v>8</v>
      </c>
    </row>
    <row r="69" customFormat="false" ht="15" hidden="false" customHeight="false" outlineLevel="0" collapsed="false">
      <c r="A69" s="19"/>
      <c r="B69" s="19"/>
      <c r="C69" s="19"/>
      <c r="D69" s="19"/>
      <c r="E69" s="22"/>
      <c r="F69" s="19"/>
      <c r="G69" s="26" t="str">
        <f aca="false">IF(D69="","",IFERROR(VALUE(LEFT(D69,FIND(" |",D69&amp;" |")-1)),"?"))</f>
        <v/>
      </c>
      <c r="H69" s="27" t="str">
        <f aca="false">IF(G69="","",IF(G69="?","⚠ pub inconnue",IFERROR(INDEX(Pubs!$B$2:$B$3001,MATCH(G69,Pubs!$A$2:$A$3001,0))&amp;"","⚠ pub inconnue")))</f>
        <v/>
      </c>
      <c r="I69" s="27" t="str">
        <f aca="false">IF(OR(G69="",G69="?"),"",IFERROR(INDEX(Pubs!$C$2:$C$3001,MATCH(G69,Pubs!$A$2:$A$3001,0))&amp;"",""))</f>
        <v/>
      </c>
      <c r="J69" s="27" t="str">
        <f aca="false">IF(OR(G69="",G69="?"),"",IFERROR(INDEX(Pubs!$G$2:$G$3001,MATCH(G69,Pubs!$A$2:$A$3001,0))&amp;"",""))</f>
        <v/>
      </c>
      <c r="K69" s="28" t="str">
        <f aca="false">IF(OR(G69="",G69="?"),"",IFERROR(INDEX(Pubs!$E$2:$E$3001,MATCH(G69,Pubs!$A$2:$A$3001,0)),""))</f>
        <v/>
      </c>
      <c r="L69" s="29" t="str">
        <f aca="false">IF(A69="","",IFERROR(1/(1/INDEX(Numéros!$C$2:$C$3001,MATCH(A69&amp;"|"&amp;B69,Numéros!$F$2:$F$3001,0))),""))</f>
        <v/>
      </c>
      <c r="M69" s="27" t="str">
        <f aca="false">IF(OR(G69="",G69="?"),"",IFERROR(INDEX(Pubs!$D$2:$D$3001,MATCH(G69,Pubs!$A$2:$A$3001,0))&amp;"",""))</f>
        <v/>
      </c>
      <c r="N69" s="27" t="n">
        <f aca="false">N(N68)+IF(AND(A69&lt;&gt;"",OR(Recherche!$C$4="",A69=Recherche!$C$4),OR(Recherche!$C$5="",B69&amp;""=Recherche!$C$5&amp;""),OR(Recherche!$C$6="",IFERROR(YEAR(L69),0)=Recherche!$C$6),OR(Recherche!$C$7="",ISNUMBER(SEARCH(Recherche!$C$7,H69))),OR(Recherche!$C$8="",J69=Recherche!$C$8),OR(Recherche!$C$9="",I69=Recherche!$C$9),OR(Recherche!$C$10="",G69&amp;""=Recherche!$C$10&amp;""),OR(Recherche!$C$11="",E69=Recherche!$C$11),OR(Recherche!$C$12="",ISNUMBER(SEARCH(Recherche!$C$12,M69&amp;" "&amp;F69)))),1,0)</f>
        <v>8</v>
      </c>
    </row>
    <row r="70" customFormat="false" ht="15" hidden="false" customHeight="false" outlineLevel="0" collapsed="false">
      <c r="A70" s="19"/>
      <c r="B70" s="19"/>
      <c r="C70" s="19"/>
      <c r="D70" s="19"/>
      <c r="E70" s="22"/>
      <c r="F70" s="19"/>
      <c r="G70" s="26" t="str">
        <f aca="false">IF(D70="","",IFERROR(VALUE(LEFT(D70,FIND(" |",D70&amp;" |")-1)),"?"))</f>
        <v/>
      </c>
      <c r="H70" s="27" t="str">
        <f aca="false">IF(G70="","",IF(G70="?","⚠ pub inconnue",IFERROR(INDEX(Pubs!$B$2:$B$3001,MATCH(G70,Pubs!$A$2:$A$3001,0))&amp;"","⚠ pub inconnue")))</f>
        <v/>
      </c>
      <c r="I70" s="27" t="str">
        <f aca="false">IF(OR(G70="",G70="?"),"",IFERROR(INDEX(Pubs!$C$2:$C$3001,MATCH(G70,Pubs!$A$2:$A$3001,0))&amp;"",""))</f>
        <v/>
      </c>
      <c r="J70" s="27" t="str">
        <f aca="false">IF(OR(G70="",G70="?"),"",IFERROR(INDEX(Pubs!$G$2:$G$3001,MATCH(G70,Pubs!$A$2:$A$3001,0))&amp;"",""))</f>
        <v/>
      </c>
      <c r="K70" s="28" t="str">
        <f aca="false">IF(OR(G70="",G70="?"),"",IFERROR(INDEX(Pubs!$E$2:$E$3001,MATCH(G70,Pubs!$A$2:$A$3001,0)),""))</f>
        <v/>
      </c>
      <c r="L70" s="29" t="str">
        <f aca="false">IF(A70="","",IFERROR(1/(1/INDEX(Numéros!$C$2:$C$3001,MATCH(A70&amp;"|"&amp;B70,Numéros!$F$2:$F$3001,0))),""))</f>
        <v/>
      </c>
      <c r="M70" s="27" t="str">
        <f aca="false">IF(OR(G70="",G70="?"),"",IFERROR(INDEX(Pubs!$D$2:$D$3001,MATCH(G70,Pubs!$A$2:$A$3001,0))&amp;"",""))</f>
        <v/>
      </c>
      <c r="N70" s="27" t="n">
        <f aca="false">N(N69)+IF(AND(A70&lt;&gt;"",OR(Recherche!$C$4="",A70=Recherche!$C$4),OR(Recherche!$C$5="",B70&amp;""=Recherche!$C$5&amp;""),OR(Recherche!$C$6="",IFERROR(YEAR(L70),0)=Recherche!$C$6),OR(Recherche!$C$7="",ISNUMBER(SEARCH(Recherche!$C$7,H70))),OR(Recherche!$C$8="",J70=Recherche!$C$8),OR(Recherche!$C$9="",I70=Recherche!$C$9),OR(Recherche!$C$10="",G70&amp;""=Recherche!$C$10&amp;""),OR(Recherche!$C$11="",E70=Recherche!$C$11),OR(Recherche!$C$12="",ISNUMBER(SEARCH(Recherche!$C$12,M70&amp;" "&amp;F70)))),1,0)</f>
        <v>8</v>
      </c>
    </row>
    <row r="71" customFormat="false" ht="15" hidden="false" customHeight="false" outlineLevel="0" collapsed="false">
      <c r="A71" s="19"/>
      <c r="B71" s="19"/>
      <c r="C71" s="19"/>
      <c r="D71" s="19"/>
      <c r="E71" s="22"/>
      <c r="F71" s="19"/>
      <c r="G71" s="26" t="str">
        <f aca="false">IF(D71="","",IFERROR(VALUE(LEFT(D71,FIND(" |",D71&amp;" |")-1)),"?"))</f>
        <v/>
      </c>
      <c r="H71" s="27" t="str">
        <f aca="false">IF(G71="","",IF(G71="?","⚠ pub inconnue",IFERROR(INDEX(Pubs!$B$2:$B$3001,MATCH(G71,Pubs!$A$2:$A$3001,0))&amp;"","⚠ pub inconnue")))</f>
        <v/>
      </c>
      <c r="I71" s="27" t="str">
        <f aca="false">IF(OR(G71="",G71="?"),"",IFERROR(INDEX(Pubs!$C$2:$C$3001,MATCH(G71,Pubs!$A$2:$A$3001,0))&amp;"",""))</f>
        <v/>
      </c>
      <c r="J71" s="27" t="str">
        <f aca="false">IF(OR(G71="",G71="?"),"",IFERROR(INDEX(Pubs!$G$2:$G$3001,MATCH(G71,Pubs!$A$2:$A$3001,0))&amp;"",""))</f>
        <v/>
      </c>
      <c r="K71" s="28" t="str">
        <f aca="false">IF(OR(G71="",G71="?"),"",IFERROR(INDEX(Pubs!$E$2:$E$3001,MATCH(G71,Pubs!$A$2:$A$3001,0)),""))</f>
        <v/>
      </c>
      <c r="L71" s="29" t="str">
        <f aca="false">IF(A71="","",IFERROR(1/(1/INDEX(Numéros!$C$2:$C$3001,MATCH(A71&amp;"|"&amp;B71,Numéros!$F$2:$F$3001,0))),""))</f>
        <v/>
      </c>
      <c r="M71" s="27" t="str">
        <f aca="false">IF(OR(G71="",G71="?"),"",IFERROR(INDEX(Pubs!$D$2:$D$3001,MATCH(G71,Pubs!$A$2:$A$3001,0))&amp;"",""))</f>
        <v/>
      </c>
      <c r="N71" s="27" t="n">
        <f aca="false">N(N70)+IF(AND(A71&lt;&gt;"",OR(Recherche!$C$4="",A71=Recherche!$C$4),OR(Recherche!$C$5="",B71&amp;""=Recherche!$C$5&amp;""),OR(Recherche!$C$6="",IFERROR(YEAR(L71),0)=Recherche!$C$6),OR(Recherche!$C$7="",ISNUMBER(SEARCH(Recherche!$C$7,H71))),OR(Recherche!$C$8="",J71=Recherche!$C$8),OR(Recherche!$C$9="",I71=Recherche!$C$9),OR(Recherche!$C$10="",G71&amp;""=Recherche!$C$10&amp;""),OR(Recherche!$C$11="",E71=Recherche!$C$11),OR(Recherche!$C$12="",ISNUMBER(SEARCH(Recherche!$C$12,M71&amp;" "&amp;F71)))),1,0)</f>
        <v>8</v>
      </c>
    </row>
    <row r="72" customFormat="false" ht="15" hidden="false" customHeight="false" outlineLevel="0" collapsed="false">
      <c r="A72" s="19"/>
      <c r="B72" s="19"/>
      <c r="C72" s="19"/>
      <c r="D72" s="19"/>
      <c r="E72" s="22"/>
      <c r="F72" s="19"/>
      <c r="G72" s="26" t="str">
        <f aca="false">IF(D72="","",IFERROR(VALUE(LEFT(D72,FIND(" |",D72&amp;" |")-1)),"?"))</f>
        <v/>
      </c>
      <c r="H72" s="27" t="str">
        <f aca="false">IF(G72="","",IF(G72="?","⚠ pub inconnue",IFERROR(INDEX(Pubs!$B$2:$B$3001,MATCH(G72,Pubs!$A$2:$A$3001,0))&amp;"","⚠ pub inconnue")))</f>
        <v/>
      </c>
      <c r="I72" s="27" t="str">
        <f aca="false">IF(OR(G72="",G72="?"),"",IFERROR(INDEX(Pubs!$C$2:$C$3001,MATCH(G72,Pubs!$A$2:$A$3001,0))&amp;"",""))</f>
        <v/>
      </c>
      <c r="J72" s="27" t="str">
        <f aca="false">IF(OR(G72="",G72="?"),"",IFERROR(INDEX(Pubs!$G$2:$G$3001,MATCH(G72,Pubs!$A$2:$A$3001,0))&amp;"",""))</f>
        <v/>
      </c>
      <c r="K72" s="28" t="str">
        <f aca="false">IF(OR(G72="",G72="?"),"",IFERROR(INDEX(Pubs!$E$2:$E$3001,MATCH(G72,Pubs!$A$2:$A$3001,0)),""))</f>
        <v/>
      </c>
      <c r="L72" s="29" t="str">
        <f aca="false">IF(A72="","",IFERROR(1/(1/INDEX(Numéros!$C$2:$C$3001,MATCH(A72&amp;"|"&amp;B72,Numéros!$F$2:$F$3001,0))),""))</f>
        <v/>
      </c>
      <c r="M72" s="27" t="str">
        <f aca="false">IF(OR(G72="",G72="?"),"",IFERROR(INDEX(Pubs!$D$2:$D$3001,MATCH(G72,Pubs!$A$2:$A$3001,0))&amp;"",""))</f>
        <v/>
      </c>
      <c r="N72" s="27" t="n">
        <f aca="false">N(N71)+IF(AND(A72&lt;&gt;"",OR(Recherche!$C$4="",A72=Recherche!$C$4),OR(Recherche!$C$5="",B72&amp;""=Recherche!$C$5&amp;""),OR(Recherche!$C$6="",IFERROR(YEAR(L72),0)=Recherche!$C$6),OR(Recherche!$C$7="",ISNUMBER(SEARCH(Recherche!$C$7,H72))),OR(Recherche!$C$8="",J72=Recherche!$C$8),OR(Recherche!$C$9="",I72=Recherche!$C$9),OR(Recherche!$C$10="",G72&amp;""=Recherche!$C$10&amp;""),OR(Recherche!$C$11="",E72=Recherche!$C$11),OR(Recherche!$C$12="",ISNUMBER(SEARCH(Recherche!$C$12,M72&amp;" "&amp;F72)))),1,0)</f>
        <v>8</v>
      </c>
    </row>
    <row r="73" customFormat="false" ht="15" hidden="false" customHeight="false" outlineLevel="0" collapsed="false">
      <c r="A73" s="19"/>
      <c r="B73" s="19"/>
      <c r="C73" s="19"/>
      <c r="D73" s="19"/>
      <c r="E73" s="22"/>
      <c r="F73" s="19"/>
      <c r="G73" s="26" t="str">
        <f aca="false">IF(D73="","",IFERROR(VALUE(LEFT(D73,FIND(" |",D73&amp;" |")-1)),"?"))</f>
        <v/>
      </c>
      <c r="H73" s="27" t="str">
        <f aca="false">IF(G73="","",IF(G73="?","⚠ pub inconnue",IFERROR(INDEX(Pubs!$B$2:$B$3001,MATCH(G73,Pubs!$A$2:$A$3001,0))&amp;"","⚠ pub inconnue")))</f>
        <v/>
      </c>
      <c r="I73" s="27" t="str">
        <f aca="false">IF(OR(G73="",G73="?"),"",IFERROR(INDEX(Pubs!$C$2:$C$3001,MATCH(G73,Pubs!$A$2:$A$3001,0))&amp;"",""))</f>
        <v/>
      </c>
      <c r="J73" s="27" t="str">
        <f aca="false">IF(OR(G73="",G73="?"),"",IFERROR(INDEX(Pubs!$G$2:$G$3001,MATCH(G73,Pubs!$A$2:$A$3001,0))&amp;"",""))</f>
        <v/>
      </c>
      <c r="K73" s="28" t="str">
        <f aca="false">IF(OR(G73="",G73="?"),"",IFERROR(INDEX(Pubs!$E$2:$E$3001,MATCH(G73,Pubs!$A$2:$A$3001,0)),""))</f>
        <v/>
      </c>
      <c r="L73" s="29" t="str">
        <f aca="false">IF(A73="","",IFERROR(1/(1/INDEX(Numéros!$C$2:$C$3001,MATCH(A73&amp;"|"&amp;B73,Numéros!$F$2:$F$3001,0))),""))</f>
        <v/>
      </c>
      <c r="M73" s="27" t="str">
        <f aca="false">IF(OR(G73="",G73="?"),"",IFERROR(INDEX(Pubs!$D$2:$D$3001,MATCH(G73,Pubs!$A$2:$A$3001,0))&amp;"",""))</f>
        <v/>
      </c>
      <c r="N73" s="27" t="n">
        <f aca="false">N(N72)+IF(AND(A73&lt;&gt;"",OR(Recherche!$C$4="",A73=Recherche!$C$4),OR(Recherche!$C$5="",B73&amp;""=Recherche!$C$5&amp;""),OR(Recherche!$C$6="",IFERROR(YEAR(L73),0)=Recherche!$C$6),OR(Recherche!$C$7="",ISNUMBER(SEARCH(Recherche!$C$7,H73))),OR(Recherche!$C$8="",J73=Recherche!$C$8),OR(Recherche!$C$9="",I73=Recherche!$C$9),OR(Recherche!$C$10="",G73&amp;""=Recherche!$C$10&amp;""),OR(Recherche!$C$11="",E73=Recherche!$C$11),OR(Recherche!$C$12="",ISNUMBER(SEARCH(Recherche!$C$12,M73&amp;" "&amp;F73)))),1,0)</f>
        <v>8</v>
      </c>
    </row>
    <row r="74" customFormat="false" ht="15" hidden="false" customHeight="false" outlineLevel="0" collapsed="false">
      <c r="A74" s="19"/>
      <c r="B74" s="19"/>
      <c r="C74" s="19"/>
      <c r="D74" s="19"/>
      <c r="E74" s="22"/>
      <c r="F74" s="19"/>
      <c r="G74" s="26" t="str">
        <f aca="false">IF(D74="","",IFERROR(VALUE(LEFT(D74,FIND(" |",D74&amp;" |")-1)),"?"))</f>
        <v/>
      </c>
      <c r="H74" s="27" t="str">
        <f aca="false">IF(G74="","",IF(G74="?","⚠ pub inconnue",IFERROR(INDEX(Pubs!$B$2:$B$3001,MATCH(G74,Pubs!$A$2:$A$3001,0))&amp;"","⚠ pub inconnue")))</f>
        <v/>
      </c>
      <c r="I74" s="27" t="str">
        <f aca="false">IF(OR(G74="",G74="?"),"",IFERROR(INDEX(Pubs!$C$2:$C$3001,MATCH(G74,Pubs!$A$2:$A$3001,0))&amp;"",""))</f>
        <v/>
      </c>
      <c r="J74" s="27" t="str">
        <f aca="false">IF(OR(G74="",G74="?"),"",IFERROR(INDEX(Pubs!$G$2:$G$3001,MATCH(G74,Pubs!$A$2:$A$3001,0))&amp;"",""))</f>
        <v/>
      </c>
      <c r="K74" s="28" t="str">
        <f aca="false">IF(OR(G74="",G74="?"),"",IFERROR(INDEX(Pubs!$E$2:$E$3001,MATCH(G74,Pubs!$A$2:$A$3001,0)),""))</f>
        <v/>
      </c>
      <c r="L74" s="29" t="str">
        <f aca="false">IF(A74="","",IFERROR(1/(1/INDEX(Numéros!$C$2:$C$3001,MATCH(A74&amp;"|"&amp;B74,Numéros!$F$2:$F$3001,0))),""))</f>
        <v/>
      </c>
      <c r="M74" s="27" t="str">
        <f aca="false">IF(OR(G74="",G74="?"),"",IFERROR(INDEX(Pubs!$D$2:$D$3001,MATCH(G74,Pubs!$A$2:$A$3001,0))&amp;"",""))</f>
        <v/>
      </c>
      <c r="N74" s="27" t="n">
        <f aca="false">N(N73)+IF(AND(A74&lt;&gt;"",OR(Recherche!$C$4="",A74=Recherche!$C$4),OR(Recherche!$C$5="",B74&amp;""=Recherche!$C$5&amp;""),OR(Recherche!$C$6="",IFERROR(YEAR(L74),0)=Recherche!$C$6),OR(Recherche!$C$7="",ISNUMBER(SEARCH(Recherche!$C$7,H74))),OR(Recherche!$C$8="",J74=Recherche!$C$8),OR(Recherche!$C$9="",I74=Recherche!$C$9),OR(Recherche!$C$10="",G74&amp;""=Recherche!$C$10&amp;""),OR(Recherche!$C$11="",E74=Recherche!$C$11),OR(Recherche!$C$12="",ISNUMBER(SEARCH(Recherche!$C$12,M74&amp;" "&amp;F74)))),1,0)</f>
        <v>8</v>
      </c>
    </row>
    <row r="75" customFormat="false" ht="15" hidden="false" customHeight="false" outlineLevel="0" collapsed="false">
      <c r="A75" s="19"/>
      <c r="B75" s="19"/>
      <c r="C75" s="19"/>
      <c r="D75" s="19"/>
      <c r="E75" s="22"/>
      <c r="F75" s="19"/>
      <c r="G75" s="26" t="str">
        <f aca="false">IF(D75="","",IFERROR(VALUE(LEFT(D75,FIND(" |",D75&amp;" |")-1)),"?"))</f>
        <v/>
      </c>
      <c r="H75" s="27" t="str">
        <f aca="false">IF(G75="","",IF(G75="?","⚠ pub inconnue",IFERROR(INDEX(Pubs!$B$2:$B$3001,MATCH(G75,Pubs!$A$2:$A$3001,0))&amp;"","⚠ pub inconnue")))</f>
        <v/>
      </c>
      <c r="I75" s="27" t="str">
        <f aca="false">IF(OR(G75="",G75="?"),"",IFERROR(INDEX(Pubs!$C$2:$C$3001,MATCH(G75,Pubs!$A$2:$A$3001,0))&amp;"",""))</f>
        <v/>
      </c>
      <c r="J75" s="27" t="str">
        <f aca="false">IF(OR(G75="",G75="?"),"",IFERROR(INDEX(Pubs!$G$2:$G$3001,MATCH(G75,Pubs!$A$2:$A$3001,0))&amp;"",""))</f>
        <v/>
      </c>
      <c r="K75" s="28" t="str">
        <f aca="false">IF(OR(G75="",G75="?"),"",IFERROR(INDEX(Pubs!$E$2:$E$3001,MATCH(G75,Pubs!$A$2:$A$3001,0)),""))</f>
        <v/>
      </c>
      <c r="L75" s="29" t="str">
        <f aca="false">IF(A75="","",IFERROR(1/(1/INDEX(Numéros!$C$2:$C$3001,MATCH(A75&amp;"|"&amp;B75,Numéros!$F$2:$F$3001,0))),""))</f>
        <v/>
      </c>
      <c r="M75" s="27" t="str">
        <f aca="false">IF(OR(G75="",G75="?"),"",IFERROR(INDEX(Pubs!$D$2:$D$3001,MATCH(G75,Pubs!$A$2:$A$3001,0))&amp;"",""))</f>
        <v/>
      </c>
      <c r="N75" s="27" t="n">
        <f aca="false">N(N74)+IF(AND(A75&lt;&gt;"",OR(Recherche!$C$4="",A75=Recherche!$C$4),OR(Recherche!$C$5="",B75&amp;""=Recherche!$C$5&amp;""),OR(Recherche!$C$6="",IFERROR(YEAR(L75),0)=Recherche!$C$6),OR(Recherche!$C$7="",ISNUMBER(SEARCH(Recherche!$C$7,H75))),OR(Recherche!$C$8="",J75=Recherche!$C$8),OR(Recherche!$C$9="",I75=Recherche!$C$9),OR(Recherche!$C$10="",G75&amp;""=Recherche!$C$10&amp;""),OR(Recherche!$C$11="",E75=Recherche!$C$11),OR(Recherche!$C$12="",ISNUMBER(SEARCH(Recherche!$C$12,M75&amp;" "&amp;F75)))),1,0)</f>
        <v>8</v>
      </c>
    </row>
    <row r="76" customFormat="false" ht="15" hidden="false" customHeight="false" outlineLevel="0" collapsed="false">
      <c r="A76" s="19"/>
      <c r="B76" s="19"/>
      <c r="C76" s="19"/>
      <c r="D76" s="19"/>
      <c r="E76" s="22"/>
      <c r="F76" s="19"/>
      <c r="G76" s="26" t="str">
        <f aca="false">IF(D76="","",IFERROR(VALUE(LEFT(D76,FIND(" |",D76&amp;" |")-1)),"?"))</f>
        <v/>
      </c>
      <c r="H76" s="27" t="str">
        <f aca="false">IF(G76="","",IF(G76="?","⚠ pub inconnue",IFERROR(INDEX(Pubs!$B$2:$B$3001,MATCH(G76,Pubs!$A$2:$A$3001,0))&amp;"","⚠ pub inconnue")))</f>
        <v/>
      </c>
      <c r="I76" s="27" t="str">
        <f aca="false">IF(OR(G76="",G76="?"),"",IFERROR(INDEX(Pubs!$C$2:$C$3001,MATCH(G76,Pubs!$A$2:$A$3001,0))&amp;"",""))</f>
        <v/>
      </c>
      <c r="J76" s="27" t="str">
        <f aca="false">IF(OR(G76="",G76="?"),"",IFERROR(INDEX(Pubs!$G$2:$G$3001,MATCH(G76,Pubs!$A$2:$A$3001,0))&amp;"",""))</f>
        <v/>
      </c>
      <c r="K76" s="28" t="str">
        <f aca="false">IF(OR(G76="",G76="?"),"",IFERROR(INDEX(Pubs!$E$2:$E$3001,MATCH(G76,Pubs!$A$2:$A$3001,0)),""))</f>
        <v/>
      </c>
      <c r="L76" s="29" t="str">
        <f aca="false">IF(A76="","",IFERROR(1/(1/INDEX(Numéros!$C$2:$C$3001,MATCH(A76&amp;"|"&amp;B76,Numéros!$F$2:$F$3001,0))),""))</f>
        <v/>
      </c>
      <c r="M76" s="27" t="str">
        <f aca="false">IF(OR(G76="",G76="?"),"",IFERROR(INDEX(Pubs!$D$2:$D$3001,MATCH(G76,Pubs!$A$2:$A$3001,0))&amp;"",""))</f>
        <v/>
      </c>
      <c r="N76" s="27" t="n">
        <f aca="false">N(N75)+IF(AND(A76&lt;&gt;"",OR(Recherche!$C$4="",A76=Recherche!$C$4),OR(Recherche!$C$5="",B76&amp;""=Recherche!$C$5&amp;""),OR(Recherche!$C$6="",IFERROR(YEAR(L76),0)=Recherche!$C$6),OR(Recherche!$C$7="",ISNUMBER(SEARCH(Recherche!$C$7,H76))),OR(Recherche!$C$8="",J76=Recherche!$C$8),OR(Recherche!$C$9="",I76=Recherche!$C$9),OR(Recherche!$C$10="",G76&amp;""=Recherche!$C$10&amp;""),OR(Recherche!$C$11="",E76=Recherche!$C$11),OR(Recherche!$C$12="",ISNUMBER(SEARCH(Recherche!$C$12,M76&amp;" "&amp;F76)))),1,0)</f>
        <v>8</v>
      </c>
    </row>
    <row r="77" customFormat="false" ht="15" hidden="false" customHeight="false" outlineLevel="0" collapsed="false">
      <c r="A77" s="19"/>
      <c r="B77" s="19"/>
      <c r="C77" s="19"/>
      <c r="D77" s="19"/>
      <c r="E77" s="22"/>
      <c r="F77" s="19"/>
      <c r="G77" s="26" t="str">
        <f aca="false">IF(D77="","",IFERROR(VALUE(LEFT(D77,FIND(" |",D77&amp;" |")-1)),"?"))</f>
        <v/>
      </c>
      <c r="H77" s="27" t="str">
        <f aca="false">IF(G77="","",IF(G77="?","⚠ pub inconnue",IFERROR(INDEX(Pubs!$B$2:$B$3001,MATCH(G77,Pubs!$A$2:$A$3001,0))&amp;"","⚠ pub inconnue")))</f>
        <v/>
      </c>
      <c r="I77" s="27" t="str">
        <f aca="false">IF(OR(G77="",G77="?"),"",IFERROR(INDEX(Pubs!$C$2:$C$3001,MATCH(G77,Pubs!$A$2:$A$3001,0))&amp;"",""))</f>
        <v/>
      </c>
      <c r="J77" s="27" t="str">
        <f aca="false">IF(OR(G77="",G77="?"),"",IFERROR(INDEX(Pubs!$G$2:$G$3001,MATCH(G77,Pubs!$A$2:$A$3001,0))&amp;"",""))</f>
        <v/>
      </c>
      <c r="K77" s="28" t="str">
        <f aca="false">IF(OR(G77="",G77="?"),"",IFERROR(INDEX(Pubs!$E$2:$E$3001,MATCH(G77,Pubs!$A$2:$A$3001,0)),""))</f>
        <v/>
      </c>
      <c r="L77" s="29" t="str">
        <f aca="false">IF(A77="","",IFERROR(1/(1/INDEX(Numéros!$C$2:$C$3001,MATCH(A77&amp;"|"&amp;B77,Numéros!$F$2:$F$3001,0))),""))</f>
        <v/>
      </c>
      <c r="M77" s="27" t="str">
        <f aca="false">IF(OR(G77="",G77="?"),"",IFERROR(INDEX(Pubs!$D$2:$D$3001,MATCH(G77,Pubs!$A$2:$A$3001,0))&amp;"",""))</f>
        <v/>
      </c>
      <c r="N77" s="27" t="n">
        <f aca="false">N(N76)+IF(AND(A77&lt;&gt;"",OR(Recherche!$C$4="",A77=Recherche!$C$4),OR(Recherche!$C$5="",B77&amp;""=Recherche!$C$5&amp;""),OR(Recherche!$C$6="",IFERROR(YEAR(L77),0)=Recherche!$C$6),OR(Recherche!$C$7="",ISNUMBER(SEARCH(Recherche!$C$7,H77))),OR(Recherche!$C$8="",J77=Recherche!$C$8),OR(Recherche!$C$9="",I77=Recherche!$C$9),OR(Recherche!$C$10="",G77&amp;""=Recherche!$C$10&amp;""),OR(Recherche!$C$11="",E77=Recherche!$C$11),OR(Recherche!$C$12="",ISNUMBER(SEARCH(Recherche!$C$12,M77&amp;" "&amp;F77)))),1,0)</f>
        <v>8</v>
      </c>
    </row>
    <row r="78" customFormat="false" ht="15" hidden="false" customHeight="false" outlineLevel="0" collapsed="false">
      <c r="A78" s="19"/>
      <c r="B78" s="19"/>
      <c r="C78" s="19"/>
      <c r="D78" s="19"/>
      <c r="E78" s="22"/>
      <c r="F78" s="19"/>
      <c r="G78" s="26" t="str">
        <f aca="false">IF(D78="","",IFERROR(VALUE(LEFT(D78,FIND(" |",D78&amp;" |")-1)),"?"))</f>
        <v/>
      </c>
      <c r="H78" s="27" t="str">
        <f aca="false">IF(G78="","",IF(G78="?","⚠ pub inconnue",IFERROR(INDEX(Pubs!$B$2:$B$3001,MATCH(G78,Pubs!$A$2:$A$3001,0))&amp;"","⚠ pub inconnue")))</f>
        <v/>
      </c>
      <c r="I78" s="27" t="str">
        <f aca="false">IF(OR(G78="",G78="?"),"",IFERROR(INDEX(Pubs!$C$2:$C$3001,MATCH(G78,Pubs!$A$2:$A$3001,0))&amp;"",""))</f>
        <v/>
      </c>
      <c r="J78" s="27" t="str">
        <f aca="false">IF(OR(G78="",G78="?"),"",IFERROR(INDEX(Pubs!$G$2:$G$3001,MATCH(G78,Pubs!$A$2:$A$3001,0))&amp;"",""))</f>
        <v/>
      </c>
      <c r="K78" s="28" t="str">
        <f aca="false">IF(OR(G78="",G78="?"),"",IFERROR(INDEX(Pubs!$E$2:$E$3001,MATCH(G78,Pubs!$A$2:$A$3001,0)),""))</f>
        <v/>
      </c>
      <c r="L78" s="29" t="str">
        <f aca="false">IF(A78="","",IFERROR(1/(1/INDEX(Numéros!$C$2:$C$3001,MATCH(A78&amp;"|"&amp;B78,Numéros!$F$2:$F$3001,0))),""))</f>
        <v/>
      </c>
      <c r="M78" s="27" t="str">
        <f aca="false">IF(OR(G78="",G78="?"),"",IFERROR(INDEX(Pubs!$D$2:$D$3001,MATCH(G78,Pubs!$A$2:$A$3001,0))&amp;"",""))</f>
        <v/>
      </c>
      <c r="N78" s="27" t="n">
        <f aca="false">N(N77)+IF(AND(A78&lt;&gt;"",OR(Recherche!$C$4="",A78=Recherche!$C$4),OR(Recherche!$C$5="",B78&amp;""=Recherche!$C$5&amp;""),OR(Recherche!$C$6="",IFERROR(YEAR(L78),0)=Recherche!$C$6),OR(Recherche!$C$7="",ISNUMBER(SEARCH(Recherche!$C$7,H78))),OR(Recherche!$C$8="",J78=Recherche!$C$8),OR(Recherche!$C$9="",I78=Recherche!$C$9),OR(Recherche!$C$10="",G78&amp;""=Recherche!$C$10&amp;""),OR(Recherche!$C$11="",E78=Recherche!$C$11),OR(Recherche!$C$12="",ISNUMBER(SEARCH(Recherche!$C$12,M78&amp;" "&amp;F78)))),1,0)</f>
        <v>8</v>
      </c>
    </row>
    <row r="79" customFormat="false" ht="15" hidden="false" customHeight="false" outlineLevel="0" collapsed="false">
      <c r="A79" s="19"/>
      <c r="B79" s="19"/>
      <c r="C79" s="19"/>
      <c r="D79" s="19"/>
      <c r="E79" s="22"/>
      <c r="F79" s="19"/>
      <c r="G79" s="26" t="str">
        <f aca="false">IF(D79="","",IFERROR(VALUE(LEFT(D79,FIND(" |",D79&amp;" |")-1)),"?"))</f>
        <v/>
      </c>
      <c r="H79" s="27" t="str">
        <f aca="false">IF(G79="","",IF(G79="?","⚠ pub inconnue",IFERROR(INDEX(Pubs!$B$2:$B$3001,MATCH(G79,Pubs!$A$2:$A$3001,0))&amp;"","⚠ pub inconnue")))</f>
        <v/>
      </c>
      <c r="I79" s="27" t="str">
        <f aca="false">IF(OR(G79="",G79="?"),"",IFERROR(INDEX(Pubs!$C$2:$C$3001,MATCH(G79,Pubs!$A$2:$A$3001,0))&amp;"",""))</f>
        <v/>
      </c>
      <c r="J79" s="27" t="str">
        <f aca="false">IF(OR(G79="",G79="?"),"",IFERROR(INDEX(Pubs!$G$2:$G$3001,MATCH(G79,Pubs!$A$2:$A$3001,0))&amp;"",""))</f>
        <v/>
      </c>
      <c r="K79" s="28" t="str">
        <f aca="false">IF(OR(G79="",G79="?"),"",IFERROR(INDEX(Pubs!$E$2:$E$3001,MATCH(G79,Pubs!$A$2:$A$3001,0)),""))</f>
        <v/>
      </c>
      <c r="L79" s="29" t="str">
        <f aca="false">IF(A79="","",IFERROR(1/(1/INDEX(Numéros!$C$2:$C$3001,MATCH(A79&amp;"|"&amp;B79,Numéros!$F$2:$F$3001,0))),""))</f>
        <v/>
      </c>
      <c r="M79" s="27" t="str">
        <f aca="false">IF(OR(G79="",G79="?"),"",IFERROR(INDEX(Pubs!$D$2:$D$3001,MATCH(G79,Pubs!$A$2:$A$3001,0))&amp;"",""))</f>
        <v/>
      </c>
      <c r="N79" s="27" t="n">
        <f aca="false">N(N78)+IF(AND(A79&lt;&gt;"",OR(Recherche!$C$4="",A79=Recherche!$C$4),OR(Recherche!$C$5="",B79&amp;""=Recherche!$C$5&amp;""),OR(Recherche!$C$6="",IFERROR(YEAR(L79),0)=Recherche!$C$6),OR(Recherche!$C$7="",ISNUMBER(SEARCH(Recherche!$C$7,H79))),OR(Recherche!$C$8="",J79=Recherche!$C$8),OR(Recherche!$C$9="",I79=Recherche!$C$9),OR(Recherche!$C$10="",G79&amp;""=Recherche!$C$10&amp;""),OR(Recherche!$C$11="",E79=Recherche!$C$11),OR(Recherche!$C$12="",ISNUMBER(SEARCH(Recherche!$C$12,M79&amp;" "&amp;F79)))),1,0)</f>
        <v>8</v>
      </c>
    </row>
    <row r="80" customFormat="false" ht="15" hidden="false" customHeight="false" outlineLevel="0" collapsed="false">
      <c r="A80" s="19"/>
      <c r="B80" s="19"/>
      <c r="C80" s="19"/>
      <c r="D80" s="19"/>
      <c r="E80" s="22"/>
      <c r="F80" s="19"/>
      <c r="G80" s="26" t="str">
        <f aca="false">IF(D80="","",IFERROR(VALUE(LEFT(D80,FIND(" |",D80&amp;" |")-1)),"?"))</f>
        <v/>
      </c>
      <c r="H80" s="27" t="str">
        <f aca="false">IF(G80="","",IF(G80="?","⚠ pub inconnue",IFERROR(INDEX(Pubs!$B$2:$B$3001,MATCH(G80,Pubs!$A$2:$A$3001,0))&amp;"","⚠ pub inconnue")))</f>
        <v/>
      </c>
      <c r="I80" s="27" t="str">
        <f aca="false">IF(OR(G80="",G80="?"),"",IFERROR(INDEX(Pubs!$C$2:$C$3001,MATCH(G80,Pubs!$A$2:$A$3001,0))&amp;"",""))</f>
        <v/>
      </c>
      <c r="J80" s="27" t="str">
        <f aca="false">IF(OR(G80="",G80="?"),"",IFERROR(INDEX(Pubs!$G$2:$G$3001,MATCH(G80,Pubs!$A$2:$A$3001,0))&amp;"",""))</f>
        <v/>
      </c>
      <c r="K80" s="28" t="str">
        <f aca="false">IF(OR(G80="",G80="?"),"",IFERROR(INDEX(Pubs!$E$2:$E$3001,MATCH(G80,Pubs!$A$2:$A$3001,0)),""))</f>
        <v/>
      </c>
      <c r="L80" s="29" t="str">
        <f aca="false">IF(A80="","",IFERROR(1/(1/INDEX(Numéros!$C$2:$C$3001,MATCH(A80&amp;"|"&amp;B80,Numéros!$F$2:$F$3001,0))),""))</f>
        <v/>
      </c>
      <c r="M80" s="27" t="str">
        <f aca="false">IF(OR(G80="",G80="?"),"",IFERROR(INDEX(Pubs!$D$2:$D$3001,MATCH(G80,Pubs!$A$2:$A$3001,0))&amp;"",""))</f>
        <v/>
      </c>
      <c r="N80" s="27" t="n">
        <f aca="false">N(N79)+IF(AND(A80&lt;&gt;"",OR(Recherche!$C$4="",A80=Recherche!$C$4),OR(Recherche!$C$5="",B80&amp;""=Recherche!$C$5&amp;""),OR(Recherche!$C$6="",IFERROR(YEAR(L80),0)=Recherche!$C$6),OR(Recherche!$C$7="",ISNUMBER(SEARCH(Recherche!$C$7,H80))),OR(Recherche!$C$8="",J80=Recherche!$C$8),OR(Recherche!$C$9="",I80=Recherche!$C$9),OR(Recherche!$C$10="",G80&amp;""=Recherche!$C$10&amp;""),OR(Recherche!$C$11="",E80=Recherche!$C$11),OR(Recherche!$C$12="",ISNUMBER(SEARCH(Recherche!$C$12,M80&amp;" "&amp;F80)))),1,0)</f>
        <v>8</v>
      </c>
    </row>
    <row r="81" customFormat="false" ht="15" hidden="false" customHeight="false" outlineLevel="0" collapsed="false">
      <c r="A81" s="19"/>
      <c r="B81" s="19"/>
      <c r="C81" s="19"/>
      <c r="D81" s="19"/>
      <c r="E81" s="22"/>
      <c r="F81" s="19"/>
      <c r="G81" s="26" t="str">
        <f aca="false">IF(D81="","",IFERROR(VALUE(LEFT(D81,FIND(" |",D81&amp;" |")-1)),"?"))</f>
        <v/>
      </c>
      <c r="H81" s="27" t="str">
        <f aca="false">IF(G81="","",IF(G81="?","⚠ pub inconnue",IFERROR(INDEX(Pubs!$B$2:$B$3001,MATCH(G81,Pubs!$A$2:$A$3001,0))&amp;"","⚠ pub inconnue")))</f>
        <v/>
      </c>
      <c r="I81" s="27" t="str">
        <f aca="false">IF(OR(G81="",G81="?"),"",IFERROR(INDEX(Pubs!$C$2:$C$3001,MATCH(G81,Pubs!$A$2:$A$3001,0))&amp;"",""))</f>
        <v/>
      </c>
      <c r="J81" s="27" t="str">
        <f aca="false">IF(OR(G81="",G81="?"),"",IFERROR(INDEX(Pubs!$G$2:$G$3001,MATCH(G81,Pubs!$A$2:$A$3001,0))&amp;"",""))</f>
        <v/>
      </c>
      <c r="K81" s="28" t="str">
        <f aca="false">IF(OR(G81="",G81="?"),"",IFERROR(INDEX(Pubs!$E$2:$E$3001,MATCH(G81,Pubs!$A$2:$A$3001,0)),""))</f>
        <v/>
      </c>
      <c r="L81" s="29" t="str">
        <f aca="false">IF(A81="","",IFERROR(1/(1/INDEX(Numéros!$C$2:$C$3001,MATCH(A81&amp;"|"&amp;B81,Numéros!$F$2:$F$3001,0))),""))</f>
        <v/>
      </c>
      <c r="M81" s="27" t="str">
        <f aca="false">IF(OR(G81="",G81="?"),"",IFERROR(INDEX(Pubs!$D$2:$D$3001,MATCH(G81,Pubs!$A$2:$A$3001,0))&amp;"",""))</f>
        <v/>
      </c>
      <c r="N81" s="27" t="n">
        <f aca="false">N(N80)+IF(AND(A81&lt;&gt;"",OR(Recherche!$C$4="",A81=Recherche!$C$4),OR(Recherche!$C$5="",B81&amp;""=Recherche!$C$5&amp;""),OR(Recherche!$C$6="",IFERROR(YEAR(L81),0)=Recherche!$C$6),OR(Recherche!$C$7="",ISNUMBER(SEARCH(Recherche!$C$7,H81))),OR(Recherche!$C$8="",J81=Recherche!$C$8),OR(Recherche!$C$9="",I81=Recherche!$C$9),OR(Recherche!$C$10="",G81&amp;""=Recherche!$C$10&amp;""),OR(Recherche!$C$11="",E81=Recherche!$C$11),OR(Recherche!$C$12="",ISNUMBER(SEARCH(Recherche!$C$12,M81&amp;" "&amp;F81)))),1,0)</f>
        <v>8</v>
      </c>
    </row>
    <row r="82" customFormat="false" ht="15" hidden="false" customHeight="false" outlineLevel="0" collapsed="false">
      <c r="A82" s="19"/>
      <c r="B82" s="19"/>
      <c r="C82" s="19"/>
      <c r="D82" s="19"/>
      <c r="E82" s="22"/>
      <c r="F82" s="19"/>
      <c r="G82" s="26" t="str">
        <f aca="false">IF(D82="","",IFERROR(VALUE(LEFT(D82,FIND(" |",D82&amp;" |")-1)),"?"))</f>
        <v/>
      </c>
      <c r="H82" s="27" t="str">
        <f aca="false">IF(G82="","",IF(G82="?","⚠ pub inconnue",IFERROR(INDEX(Pubs!$B$2:$B$3001,MATCH(G82,Pubs!$A$2:$A$3001,0))&amp;"","⚠ pub inconnue")))</f>
        <v/>
      </c>
      <c r="I82" s="27" t="str">
        <f aca="false">IF(OR(G82="",G82="?"),"",IFERROR(INDEX(Pubs!$C$2:$C$3001,MATCH(G82,Pubs!$A$2:$A$3001,0))&amp;"",""))</f>
        <v/>
      </c>
      <c r="J82" s="27" t="str">
        <f aca="false">IF(OR(G82="",G82="?"),"",IFERROR(INDEX(Pubs!$G$2:$G$3001,MATCH(G82,Pubs!$A$2:$A$3001,0))&amp;"",""))</f>
        <v/>
      </c>
      <c r="K82" s="28" t="str">
        <f aca="false">IF(OR(G82="",G82="?"),"",IFERROR(INDEX(Pubs!$E$2:$E$3001,MATCH(G82,Pubs!$A$2:$A$3001,0)),""))</f>
        <v/>
      </c>
      <c r="L82" s="29" t="str">
        <f aca="false">IF(A82="","",IFERROR(1/(1/INDEX(Numéros!$C$2:$C$3001,MATCH(A82&amp;"|"&amp;B82,Numéros!$F$2:$F$3001,0))),""))</f>
        <v/>
      </c>
      <c r="M82" s="27" t="str">
        <f aca="false">IF(OR(G82="",G82="?"),"",IFERROR(INDEX(Pubs!$D$2:$D$3001,MATCH(G82,Pubs!$A$2:$A$3001,0))&amp;"",""))</f>
        <v/>
      </c>
      <c r="N82" s="27" t="n">
        <f aca="false">N(N81)+IF(AND(A82&lt;&gt;"",OR(Recherche!$C$4="",A82=Recherche!$C$4),OR(Recherche!$C$5="",B82&amp;""=Recherche!$C$5&amp;""),OR(Recherche!$C$6="",IFERROR(YEAR(L82),0)=Recherche!$C$6),OR(Recherche!$C$7="",ISNUMBER(SEARCH(Recherche!$C$7,H82))),OR(Recherche!$C$8="",J82=Recherche!$C$8),OR(Recherche!$C$9="",I82=Recherche!$C$9),OR(Recherche!$C$10="",G82&amp;""=Recherche!$C$10&amp;""),OR(Recherche!$C$11="",E82=Recherche!$C$11),OR(Recherche!$C$12="",ISNUMBER(SEARCH(Recherche!$C$12,M82&amp;" "&amp;F82)))),1,0)</f>
        <v>8</v>
      </c>
    </row>
    <row r="83" customFormat="false" ht="15" hidden="false" customHeight="false" outlineLevel="0" collapsed="false">
      <c r="A83" s="19"/>
      <c r="B83" s="19"/>
      <c r="C83" s="19"/>
      <c r="D83" s="19"/>
      <c r="E83" s="22"/>
      <c r="F83" s="19"/>
      <c r="G83" s="26" t="str">
        <f aca="false">IF(D83="","",IFERROR(VALUE(LEFT(D83,FIND(" |",D83&amp;" |")-1)),"?"))</f>
        <v/>
      </c>
      <c r="H83" s="27" t="str">
        <f aca="false">IF(G83="","",IF(G83="?","⚠ pub inconnue",IFERROR(INDEX(Pubs!$B$2:$B$3001,MATCH(G83,Pubs!$A$2:$A$3001,0))&amp;"","⚠ pub inconnue")))</f>
        <v/>
      </c>
      <c r="I83" s="27" t="str">
        <f aca="false">IF(OR(G83="",G83="?"),"",IFERROR(INDEX(Pubs!$C$2:$C$3001,MATCH(G83,Pubs!$A$2:$A$3001,0))&amp;"",""))</f>
        <v/>
      </c>
      <c r="J83" s="27" t="str">
        <f aca="false">IF(OR(G83="",G83="?"),"",IFERROR(INDEX(Pubs!$G$2:$G$3001,MATCH(G83,Pubs!$A$2:$A$3001,0))&amp;"",""))</f>
        <v/>
      </c>
      <c r="K83" s="28" t="str">
        <f aca="false">IF(OR(G83="",G83="?"),"",IFERROR(INDEX(Pubs!$E$2:$E$3001,MATCH(G83,Pubs!$A$2:$A$3001,0)),""))</f>
        <v/>
      </c>
      <c r="L83" s="29" t="str">
        <f aca="false">IF(A83="","",IFERROR(1/(1/INDEX(Numéros!$C$2:$C$3001,MATCH(A83&amp;"|"&amp;B83,Numéros!$F$2:$F$3001,0))),""))</f>
        <v/>
      </c>
      <c r="M83" s="27" t="str">
        <f aca="false">IF(OR(G83="",G83="?"),"",IFERROR(INDEX(Pubs!$D$2:$D$3001,MATCH(G83,Pubs!$A$2:$A$3001,0))&amp;"",""))</f>
        <v/>
      </c>
      <c r="N83" s="27" t="n">
        <f aca="false">N(N82)+IF(AND(A83&lt;&gt;"",OR(Recherche!$C$4="",A83=Recherche!$C$4),OR(Recherche!$C$5="",B83&amp;""=Recherche!$C$5&amp;""),OR(Recherche!$C$6="",IFERROR(YEAR(L83),0)=Recherche!$C$6),OR(Recherche!$C$7="",ISNUMBER(SEARCH(Recherche!$C$7,H83))),OR(Recherche!$C$8="",J83=Recherche!$C$8),OR(Recherche!$C$9="",I83=Recherche!$C$9),OR(Recherche!$C$10="",G83&amp;""=Recherche!$C$10&amp;""),OR(Recherche!$C$11="",E83=Recherche!$C$11),OR(Recherche!$C$12="",ISNUMBER(SEARCH(Recherche!$C$12,M83&amp;" "&amp;F83)))),1,0)</f>
        <v>8</v>
      </c>
    </row>
    <row r="84" customFormat="false" ht="15" hidden="false" customHeight="false" outlineLevel="0" collapsed="false">
      <c r="A84" s="19"/>
      <c r="B84" s="19"/>
      <c r="C84" s="19"/>
      <c r="D84" s="19"/>
      <c r="E84" s="22"/>
      <c r="F84" s="19"/>
      <c r="G84" s="26" t="str">
        <f aca="false">IF(D84="","",IFERROR(VALUE(LEFT(D84,FIND(" |",D84&amp;" |")-1)),"?"))</f>
        <v/>
      </c>
      <c r="H84" s="27" t="str">
        <f aca="false">IF(G84="","",IF(G84="?","⚠ pub inconnue",IFERROR(INDEX(Pubs!$B$2:$B$3001,MATCH(G84,Pubs!$A$2:$A$3001,0))&amp;"","⚠ pub inconnue")))</f>
        <v/>
      </c>
      <c r="I84" s="27" t="str">
        <f aca="false">IF(OR(G84="",G84="?"),"",IFERROR(INDEX(Pubs!$C$2:$C$3001,MATCH(G84,Pubs!$A$2:$A$3001,0))&amp;"",""))</f>
        <v/>
      </c>
      <c r="J84" s="27" t="str">
        <f aca="false">IF(OR(G84="",G84="?"),"",IFERROR(INDEX(Pubs!$G$2:$G$3001,MATCH(G84,Pubs!$A$2:$A$3001,0))&amp;"",""))</f>
        <v/>
      </c>
      <c r="K84" s="28" t="str">
        <f aca="false">IF(OR(G84="",G84="?"),"",IFERROR(INDEX(Pubs!$E$2:$E$3001,MATCH(G84,Pubs!$A$2:$A$3001,0)),""))</f>
        <v/>
      </c>
      <c r="L84" s="29" t="str">
        <f aca="false">IF(A84="","",IFERROR(1/(1/INDEX(Numéros!$C$2:$C$3001,MATCH(A84&amp;"|"&amp;B84,Numéros!$F$2:$F$3001,0))),""))</f>
        <v/>
      </c>
      <c r="M84" s="27" t="str">
        <f aca="false">IF(OR(G84="",G84="?"),"",IFERROR(INDEX(Pubs!$D$2:$D$3001,MATCH(G84,Pubs!$A$2:$A$3001,0))&amp;"",""))</f>
        <v/>
      </c>
      <c r="N84" s="27" t="n">
        <f aca="false">N(N83)+IF(AND(A84&lt;&gt;"",OR(Recherche!$C$4="",A84=Recherche!$C$4),OR(Recherche!$C$5="",B84&amp;""=Recherche!$C$5&amp;""),OR(Recherche!$C$6="",IFERROR(YEAR(L84),0)=Recherche!$C$6),OR(Recherche!$C$7="",ISNUMBER(SEARCH(Recherche!$C$7,H84))),OR(Recherche!$C$8="",J84=Recherche!$C$8),OR(Recherche!$C$9="",I84=Recherche!$C$9),OR(Recherche!$C$10="",G84&amp;""=Recherche!$C$10&amp;""),OR(Recherche!$C$11="",E84=Recherche!$C$11),OR(Recherche!$C$12="",ISNUMBER(SEARCH(Recherche!$C$12,M84&amp;" "&amp;F84)))),1,0)</f>
        <v>8</v>
      </c>
    </row>
    <row r="85" customFormat="false" ht="15" hidden="false" customHeight="false" outlineLevel="0" collapsed="false">
      <c r="A85" s="19"/>
      <c r="B85" s="19"/>
      <c r="C85" s="19"/>
      <c r="D85" s="19"/>
      <c r="E85" s="22"/>
      <c r="F85" s="19"/>
      <c r="G85" s="26" t="str">
        <f aca="false">IF(D85="","",IFERROR(VALUE(LEFT(D85,FIND(" |",D85&amp;" |")-1)),"?"))</f>
        <v/>
      </c>
      <c r="H85" s="27" t="str">
        <f aca="false">IF(G85="","",IF(G85="?","⚠ pub inconnue",IFERROR(INDEX(Pubs!$B$2:$B$3001,MATCH(G85,Pubs!$A$2:$A$3001,0))&amp;"","⚠ pub inconnue")))</f>
        <v/>
      </c>
      <c r="I85" s="27" t="str">
        <f aca="false">IF(OR(G85="",G85="?"),"",IFERROR(INDEX(Pubs!$C$2:$C$3001,MATCH(G85,Pubs!$A$2:$A$3001,0))&amp;"",""))</f>
        <v/>
      </c>
      <c r="J85" s="27" t="str">
        <f aca="false">IF(OR(G85="",G85="?"),"",IFERROR(INDEX(Pubs!$G$2:$G$3001,MATCH(G85,Pubs!$A$2:$A$3001,0))&amp;"",""))</f>
        <v/>
      </c>
      <c r="K85" s="28" t="str">
        <f aca="false">IF(OR(G85="",G85="?"),"",IFERROR(INDEX(Pubs!$E$2:$E$3001,MATCH(G85,Pubs!$A$2:$A$3001,0)),""))</f>
        <v/>
      </c>
      <c r="L85" s="29" t="str">
        <f aca="false">IF(A85="","",IFERROR(1/(1/INDEX(Numéros!$C$2:$C$3001,MATCH(A85&amp;"|"&amp;B85,Numéros!$F$2:$F$3001,0))),""))</f>
        <v/>
      </c>
      <c r="M85" s="27" t="str">
        <f aca="false">IF(OR(G85="",G85="?"),"",IFERROR(INDEX(Pubs!$D$2:$D$3001,MATCH(G85,Pubs!$A$2:$A$3001,0))&amp;"",""))</f>
        <v/>
      </c>
      <c r="N85" s="27" t="n">
        <f aca="false">N(N84)+IF(AND(A85&lt;&gt;"",OR(Recherche!$C$4="",A85=Recherche!$C$4),OR(Recherche!$C$5="",B85&amp;""=Recherche!$C$5&amp;""),OR(Recherche!$C$6="",IFERROR(YEAR(L85),0)=Recherche!$C$6),OR(Recherche!$C$7="",ISNUMBER(SEARCH(Recherche!$C$7,H85))),OR(Recherche!$C$8="",J85=Recherche!$C$8),OR(Recherche!$C$9="",I85=Recherche!$C$9),OR(Recherche!$C$10="",G85&amp;""=Recherche!$C$10&amp;""),OR(Recherche!$C$11="",E85=Recherche!$C$11),OR(Recherche!$C$12="",ISNUMBER(SEARCH(Recherche!$C$12,M85&amp;" "&amp;F85)))),1,0)</f>
        <v>8</v>
      </c>
    </row>
    <row r="86" customFormat="false" ht="15" hidden="false" customHeight="false" outlineLevel="0" collapsed="false">
      <c r="A86" s="19"/>
      <c r="B86" s="19"/>
      <c r="C86" s="19"/>
      <c r="D86" s="19"/>
      <c r="E86" s="22"/>
      <c r="F86" s="19"/>
      <c r="G86" s="26" t="str">
        <f aca="false">IF(D86="","",IFERROR(VALUE(LEFT(D86,FIND(" |",D86&amp;" |")-1)),"?"))</f>
        <v/>
      </c>
      <c r="H86" s="27" t="str">
        <f aca="false">IF(G86="","",IF(G86="?","⚠ pub inconnue",IFERROR(INDEX(Pubs!$B$2:$B$3001,MATCH(G86,Pubs!$A$2:$A$3001,0))&amp;"","⚠ pub inconnue")))</f>
        <v/>
      </c>
      <c r="I86" s="27" t="str">
        <f aca="false">IF(OR(G86="",G86="?"),"",IFERROR(INDEX(Pubs!$C$2:$C$3001,MATCH(G86,Pubs!$A$2:$A$3001,0))&amp;"",""))</f>
        <v/>
      </c>
      <c r="J86" s="27" t="str">
        <f aca="false">IF(OR(G86="",G86="?"),"",IFERROR(INDEX(Pubs!$G$2:$G$3001,MATCH(G86,Pubs!$A$2:$A$3001,0))&amp;"",""))</f>
        <v/>
      </c>
      <c r="K86" s="28" t="str">
        <f aca="false">IF(OR(G86="",G86="?"),"",IFERROR(INDEX(Pubs!$E$2:$E$3001,MATCH(G86,Pubs!$A$2:$A$3001,0)),""))</f>
        <v/>
      </c>
      <c r="L86" s="29" t="str">
        <f aca="false">IF(A86="","",IFERROR(1/(1/INDEX(Numéros!$C$2:$C$3001,MATCH(A86&amp;"|"&amp;B86,Numéros!$F$2:$F$3001,0))),""))</f>
        <v/>
      </c>
      <c r="M86" s="27" t="str">
        <f aca="false">IF(OR(G86="",G86="?"),"",IFERROR(INDEX(Pubs!$D$2:$D$3001,MATCH(G86,Pubs!$A$2:$A$3001,0))&amp;"",""))</f>
        <v/>
      </c>
      <c r="N86" s="27" t="n">
        <f aca="false">N(N85)+IF(AND(A86&lt;&gt;"",OR(Recherche!$C$4="",A86=Recherche!$C$4),OR(Recherche!$C$5="",B86&amp;""=Recherche!$C$5&amp;""),OR(Recherche!$C$6="",IFERROR(YEAR(L86),0)=Recherche!$C$6),OR(Recherche!$C$7="",ISNUMBER(SEARCH(Recherche!$C$7,H86))),OR(Recherche!$C$8="",J86=Recherche!$C$8),OR(Recherche!$C$9="",I86=Recherche!$C$9),OR(Recherche!$C$10="",G86&amp;""=Recherche!$C$10&amp;""),OR(Recherche!$C$11="",E86=Recherche!$C$11),OR(Recherche!$C$12="",ISNUMBER(SEARCH(Recherche!$C$12,M86&amp;" "&amp;F86)))),1,0)</f>
        <v>8</v>
      </c>
    </row>
    <row r="87" customFormat="false" ht="15" hidden="false" customHeight="false" outlineLevel="0" collapsed="false">
      <c r="A87" s="19"/>
      <c r="B87" s="19"/>
      <c r="C87" s="19"/>
      <c r="D87" s="19"/>
      <c r="E87" s="22"/>
      <c r="F87" s="19"/>
      <c r="G87" s="26" t="str">
        <f aca="false">IF(D87="","",IFERROR(VALUE(LEFT(D87,FIND(" |",D87&amp;" |")-1)),"?"))</f>
        <v/>
      </c>
      <c r="H87" s="27" t="str">
        <f aca="false">IF(G87="","",IF(G87="?","⚠ pub inconnue",IFERROR(INDEX(Pubs!$B$2:$B$3001,MATCH(G87,Pubs!$A$2:$A$3001,0))&amp;"","⚠ pub inconnue")))</f>
        <v/>
      </c>
      <c r="I87" s="27" t="str">
        <f aca="false">IF(OR(G87="",G87="?"),"",IFERROR(INDEX(Pubs!$C$2:$C$3001,MATCH(G87,Pubs!$A$2:$A$3001,0))&amp;"",""))</f>
        <v/>
      </c>
      <c r="J87" s="27" t="str">
        <f aca="false">IF(OR(G87="",G87="?"),"",IFERROR(INDEX(Pubs!$G$2:$G$3001,MATCH(G87,Pubs!$A$2:$A$3001,0))&amp;"",""))</f>
        <v/>
      </c>
      <c r="K87" s="28" t="str">
        <f aca="false">IF(OR(G87="",G87="?"),"",IFERROR(INDEX(Pubs!$E$2:$E$3001,MATCH(G87,Pubs!$A$2:$A$3001,0)),""))</f>
        <v/>
      </c>
      <c r="L87" s="29" t="str">
        <f aca="false">IF(A87="","",IFERROR(1/(1/INDEX(Numéros!$C$2:$C$3001,MATCH(A87&amp;"|"&amp;B87,Numéros!$F$2:$F$3001,0))),""))</f>
        <v/>
      </c>
      <c r="M87" s="27" t="str">
        <f aca="false">IF(OR(G87="",G87="?"),"",IFERROR(INDEX(Pubs!$D$2:$D$3001,MATCH(G87,Pubs!$A$2:$A$3001,0))&amp;"",""))</f>
        <v/>
      </c>
      <c r="N87" s="27" t="n">
        <f aca="false">N(N86)+IF(AND(A87&lt;&gt;"",OR(Recherche!$C$4="",A87=Recherche!$C$4),OR(Recherche!$C$5="",B87&amp;""=Recherche!$C$5&amp;""),OR(Recherche!$C$6="",IFERROR(YEAR(L87),0)=Recherche!$C$6),OR(Recherche!$C$7="",ISNUMBER(SEARCH(Recherche!$C$7,H87))),OR(Recherche!$C$8="",J87=Recherche!$C$8),OR(Recherche!$C$9="",I87=Recherche!$C$9),OR(Recherche!$C$10="",G87&amp;""=Recherche!$C$10&amp;""),OR(Recherche!$C$11="",E87=Recherche!$C$11),OR(Recherche!$C$12="",ISNUMBER(SEARCH(Recherche!$C$12,M87&amp;" "&amp;F87)))),1,0)</f>
        <v>8</v>
      </c>
    </row>
    <row r="88" customFormat="false" ht="15" hidden="false" customHeight="false" outlineLevel="0" collapsed="false">
      <c r="A88" s="19"/>
      <c r="B88" s="19"/>
      <c r="C88" s="19"/>
      <c r="D88" s="19"/>
      <c r="E88" s="22"/>
      <c r="F88" s="19"/>
      <c r="G88" s="26" t="str">
        <f aca="false">IF(D88="","",IFERROR(VALUE(LEFT(D88,FIND(" |",D88&amp;" |")-1)),"?"))</f>
        <v/>
      </c>
      <c r="H88" s="27" t="str">
        <f aca="false">IF(G88="","",IF(G88="?","⚠ pub inconnue",IFERROR(INDEX(Pubs!$B$2:$B$3001,MATCH(G88,Pubs!$A$2:$A$3001,0))&amp;"","⚠ pub inconnue")))</f>
        <v/>
      </c>
      <c r="I88" s="27" t="str">
        <f aca="false">IF(OR(G88="",G88="?"),"",IFERROR(INDEX(Pubs!$C$2:$C$3001,MATCH(G88,Pubs!$A$2:$A$3001,0))&amp;"",""))</f>
        <v/>
      </c>
      <c r="J88" s="27" t="str">
        <f aca="false">IF(OR(G88="",G88="?"),"",IFERROR(INDEX(Pubs!$G$2:$G$3001,MATCH(G88,Pubs!$A$2:$A$3001,0))&amp;"",""))</f>
        <v/>
      </c>
      <c r="K88" s="28" t="str">
        <f aca="false">IF(OR(G88="",G88="?"),"",IFERROR(INDEX(Pubs!$E$2:$E$3001,MATCH(G88,Pubs!$A$2:$A$3001,0)),""))</f>
        <v/>
      </c>
      <c r="L88" s="29" t="str">
        <f aca="false">IF(A88="","",IFERROR(1/(1/INDEX(Numéros!$C$2:$C$3001,MATCH(A88&amp;"|"&amp;B88,Numéros!$F$2:$F$3001,0))),""))</f>
        <v/>
      </c>
      <c r="M88" s="27" t="str">
        <f aca="false">IF(OR(G88="",G88="?"),"",IFERROR(INDEX(Pubs!$D$2:$D$3001,MATCH(G88,Pubs!$A$2:$A$3001,0))&amp;"",""))</f>
        <v/>
      </c>
      <c r="N88" s="27" t="n">
        <f aca="false">N(N87)+IF(AND(A88&lt;&gt;"",OR(Recherche!$C$4="",A88=Recherche!$C$4),OR(Recherche!$C$5="",B88&amp;""=Recherche!$C$5&amp;""),OR(Recherche!$C$6="",IFERROR(YEAR(L88),0)=Recherche!$C$6),OR(Recherche!$C$7="",ISNUMBER(SEARCH(Recherche!$C$7,H88))),OR(Recherche!$C$8="",J88=Recherche!$C$8),OR(Recherche!$C$9="",I88=Recherche!$C$9),OR(Recherche!$C$10="",G88&amp;""=Recherche!$C$10&amp;""),OR(Recherche!$C$11="",E88=Recherche!$C$11),OR(Recherche!$C$12="",ISNUMBER(SEARCH(Recherche!$C$12,M88&amp;" "&amp;F88)))),1,0)</f>
        <v>8</v>
      </c>
    </row>
    <row r="89" customFormat="false" ht="15" hidden="false" customHeight="false" outlineLevel="0" collapsed="false">
      <c r="A89" s="19"/>
      <c r="B89" s="19"/>
      <c r="C89" s="19"/>
      <c r="D89" s="19"/>
      <c r="E89" s="22"/>
      <c r="F89" s="19"/>
      <c r="G89" s="26" t="str">
        <f aca="false">IF(D89="","",IFERROR(VALUE(LEFT(D89,FIND(" |",D89&amp;" |")-1)),"?"))</f>
        <v/>
      </c>
      <c r="H89" s="27" t="str">
        <f aca="false">IF(G89="","",IF(G89="?","⚠ pub inconnue",IFERROR(INDEX(Pubs!$B$2:$B$3001,MATCH(G89,Pubs!$A$2:$A$3001,0))&amp;"","⚠ pub inconnue")))</f>
        <v/>
      </c>
      <c r="I89" s="27" t="str">
        <f aca="false">IF(OR(G89="",G89="?"),"",IFERROR(INDEX(Pubs!$C$2:$C$3001,MATCH(G89,Pubs!$A$2:$A$3001,0))&amp;"",""))</f>
        <v/>
      </c>
      <c r="J89" s="27" t="str">
        <f aca="false">IF(OR(G89="",G89="?"),"",IFERROR(INDEX(Pubs!$G$2:$G$3001,MATCH(G89,Pubs!$A$2:$A$3001,0))&amp;"",""))</f>
        <v/>
      </c>
      <c r="K89" s="28" t="str">
        <f aca="false">IF(OR(G89="",G89="?"),"",IFERROR(INDEX(Pubs!$E$2:$E$3001,MATCH(G89,Pubs!$A$2:$A$3001,0)),""))</f>
        <v/>
      </c>
      <c r="L89" s="29" t="str">
        <f aca="false">IF(A89="","",IFERROR(1/(1/INDEX(Numéros!$C$2:$C$3001,MATCH(A89&amp;"|"&amp;B89,Numéros!$F$2:$F$3001,0))),""))</f>
        <v/>
      </c>
      <c r="M89" s="27" t="str">
        <f aca="false">IF(OR(G89="",G89="?"),"",IFERROR(INDEX(Pubs!$D$2:$D$3001,MATCH(G89,Pubs!$A$2:$A$3001,0))&amp;"",""))</f>
        <v/>
      </c>
      <c r="N89" s="27" t="n">
        <f aca="false">N(N88)+IF(AND(A89&lt;&gt;"",OR(Recherche!$C$4="",A89=Recherche!$C$4),OR(Recherche!$C$5="",B89&amp;""=Recherche!$C$5&amp;""),OR(Recherche!$C$6="",IFERROR(YEAR(L89),0)=Recherche!$C$6),OR(Recherche!$C$7="",ISNUMBER(SEARCH(Recherche!$C$7,H89))),OR(Recherche!$C$8="",J89=Recherche!$C$8),OR(Recherche!$C$9="",I89=Recherche!$C$9),OR(Recherche!$C$10="",G89&amp;""=Recherche!$C$10&amp;""),OR(Recherche!$C$11="",E89=Recherche!$C$11),OR(Recherche!$C$12="",ISNUMBER(SEARCH(Recherche!$C$12,M89&amp;" "&amp;F89)))),1,0)</f>
        <v>8</v>
      </c>
    </row>
    <row r="90" customFormat="false" ht="15" hidden="false" customHeight="false" outlineLevel="0" collapsed="false">
      <c r="A90" s="19"/>
      <c r="B90" s="19"/>
      <c r="C90" s="19"/>
      <c r="D90" s="19"/>
      <c r="E90" s="22"/>
      <c r="F90" s="19"/>
      <c r="G90" s="26" t="str">
        <f aca="false">IF(D90="","",IFERROR(VALUE(LEFT(D90,FIND(" |",D90&amp;" |")-1)),"?"))</f>
        <v/>
      </c>
      <c r="H90" s="27" t="str">
        <f aca="false">IF(G90="","",IF(G90="?","⚠ pub inconnue",IFERROR(INDEX(Pubs!$B$2:$B$3001,MATCH(G90,Pubs!$A$2:$A$3001,0))&amp;"","⚠ pub inconnue")))</f>
        <v/>
      </c>
      <c r="I90" s="27" t="str">
        <f aca="false">IF(OR(G90="",G90="?"),"",IFERROR(INDEX(Pubs!$C$2:$C$3001,MATCH(G90,Pubs!$A$2:$A$3001,0))&amp;"",""))</f>
        <v/>
      </c>
      <c r="J90" s="27" t="str">
        <f aca="false">IF(OR(G90="",G90="?"),"",IFERROR(INDEX(Pubs!$G$2:$G$3001,MATCH(G90,Pubs!$A$2:$A$3001,0))&amp;"",""))</f>
        <v/>
      </c>
      <c r="K90" s="28" t="str">
        <f aca="false">IF(OR(G90="",G90="?"),"",IFERROR(INDEX(Pubs!$E$2:$E$3001,MATCH(G90,Pubs!$A$2:$A$3001,0)),""))</f>
        <v/>
      </c>
      <c r="L90" s="29" t="str">
        <f aca="false">IF(A90="","",IFERROR(1/(1/INDEX(Numéros!$C$2:$C$3001,MATCH(A90&amp;"|"&amp;B90,Numéros!$F$2:$F$3001,0))),""))</f>
        <v/>
      </c>
      <c r="M90" s="27" t="str">
        <f aca="false">IF(OR(G90="",G90="?"),"",IFERROR(INDEX(Pubs!$D$2:$D$3001,MATCH(G90,Pubs!$A$2:$A$3001,0))&amp;"",""))</f>
        <v/>
      </c>
      <c r="N90" s="27" t="n">
        <f aca="false">N(N89)+IF(AND(A90&lt;&gt;"",OR(Recherche!$C$4="",A90=Recherche!$C$4),OR(Recherche!$C$5="",B90&amp;""=Recherche!$C$5&amp;""),OR(Recherche!$C$6="",IFERROR(YEAR(L90),0)=Recherche!$C$6),OR(Recherche!$C$7="",ISNUMBER(SEARCH(Recherche!$C$7,H90))),OR(Recherche!$C$8="",J90=Recherche!$C$8),OR(Recherche!$C$9="",I90=Recherche!$C$9),OR(Recherche!$C$10="",G90&amp;""=Recherche!$C$10&amp;""),OR(Recherche!$C$11="",E90=Recherche!$C$11),OR(Recherche!$C$12="",ISNUMBER(SEARCH(Recherche!$C$12,M90&amp;" "&amp;F90)))),1,0)</f>
        <v>8</v>
      </c>
    </row>
    <row r="91" customFormat="false" ht="15" hidden="false" customHeight="false" outlineLevel="0" collapsed="false">
      <c r="A91" s="19"/>
      <c r="B91" s="19"/>
      <c r="C91" s="19"/>
      <c r="D91" s="19"/>
      <c r="E91" s="22"/>
      <c r="F91" s="19"/>
      <c r="G91" s="26" t="str">
        <f aca="false">IF(D91="","",IFERROR(VALUE(LEFT(D91,FIND(" |",D91&amp;" |")-1)),"?"))</f>
        <v/>
      </c>
      <c r="H91" s="27" t="str">
        <f aca="false">IF(G91="","",IF(G91="?","⚠ pub inconnue",IFERROR(INDEX(Pubs!$B$2:$B$3001,MATCH(G91,Pubs!$A$2:$A$3001,0))&amp;"","⚠ pub inconnue")))</f>
        <v/>
      </c>
      <c r="I91" s="27" t="str">
        <f aca="false">IF(OR(G91="",G91="?"),"",IFERROR(INDEX(Pubs!$C$2:$C$3001,MATCH(G91,Pubs!$A$2:$A$3001,0))&amp;"",""))</f>
        <v/>
      </c>
      <c r="J91" s="27" t="str">
        <f aca="false">IF(OR(G91="",G91="?"),"",IFERROR(INDEX(Pubs!$G$2:$G$3001,MATCH(G91,Pubs!$A$2:$A$3001,0))&amp;"",""))</f>
        <v/>
      </c>
      <c r="K91" s="28" t="str">
        <f aca="false">IF(OR(G91="",G91="?"),"",IFERROR(INDEX(Pubs!$E$2:$E$3001,MATCH(G91,Pubs!$A$2:$A$3001,0)),""))</f>
        <v/>
      </c>
      <c r="L91" s="29" t="str">
        <f aca="false">IF(A91="","",IFERROR(1/(1/INDEX(Numéros!$C$2:$C$3001,MATCH(A91&amp;"|"&amp;B91,Numéros!$F$2:$F$3001,0))),""))</f>
        <v/>
      </c>
      <c r="M91" s="27" t="str">
        <f aca="false">IF(OR(G91="",G91="?"),"",IFERROR(INDEX(Pubs!$D$2:$D$3001,MATCH(G91,Pubs!$A$2:$A$3001,0))&amp;"",""))</f>
        <v/>
      </c>
      <c r="N91" s="27" t="n">
        <f aca="false">N(N90)+IF(AND(A91&lt;&gt;"",OR(Recherche!$C$4="",A91=Recherche!$C$4),OR(Recherche!$C$5="",B91&amp;""=Recherche!$C$5&amp;""),OR(Recherche!$C$6="",IFERROR(YEAR(L91),0)=Recherche!$C$6),OR(Recherche!$C$7="",ISNUMBER(SEARCH(Recherche!$C$7,H91))),OR(Recherche!$C$8="",J91=Recherche!$C$8),OR(Recherche!$C$9="",I91=Recherche!$C$9),OR(Recherche!$C$10="",G91&amp;""=Recherche!$C$10&amp;""),OR(Recherche!$C$11="",E91=Recherche!$C$11),OR(Recherche!$C$12="",ISNUMBER(SEARCH(Recherche!$C$12,M91&amp;" "&amp;F91)))),1,0)</f>
        <v>8</v>
      </c>
    </row>
    <row r="92" customFormat="false" ht="15" hidden="false" customHeight="false" outlineLevel="0" collapsed="false">
      <c r="A92" s="19"/>
      <c r="B92" s="19"/>
      <c r="C92" s="19"/>
      <c r="D92" s="19"/>
      <c r="E92" s="22"/>
      <c r="F92" s="19"/>
      <c r="G92" s="26" t="str">
        <f aca="false">IF(D92="","",IFERROR(VALUE(LEFT(D92,FIND(" |",D92&amp;" |")-1)),"?"))</f>
        <v/>
      </c>
      <c r="H92" s="27" t="str">
        <f aca="false">IF(G92="","",IF(G92="?","⚠ pub inconnue",IFERROR(INDEX(Pubs!$B$2:$B$3001,MATCH(G92,Pubs!$A$2:$A$3001,0))&amp;"","⚠ pub inconnue")))</f>
        <v/>
      </c>
      <c r="I92" s="27" t="str">
        <f aca="false">IF(OR(G92="",G92="?"),"",IFERROR(INDEX(Pubs!$C$2:$C$3001,MATCH(G92,Pubs!$A$2:$A$3001,0))&amp;"",""))</f>
        <v/>
      </c>
      <c r="J92" s="27" t="str">
        <f aca="false">IF(OR(G92="",G92="?"),"",IFERROR(INDEX(Pubs!$G$2:$G$3001,MATCH(G92,Pubs!$A$2:$A$3001,0))&amp;"",""))</f>
        <v/>
      </c>
      <c r="K92" s="28" t="str">
        <f aca="false">IF(OR(G92="",G92="?"),"",IFERROR(INDEX(Pubs!$E$2:$E$3001,MATCH(G92,Pubs!$A$2:$A$3001,0)),""))</f>
        <v/>
      </c>
      <c r="L92" s="29" t="str">
        <f aca="false">IF(A92="","",IFERROR(1/(1/INDEX(Numéros!$C$2:$C$3001,MATCH(A92&amp;"|"&amp;B92,Numéros!$F$2:$F$3001,0))),""))</f>
        <v/>
      </c>
      <c r="M92" s="27" t="str">
        <f aca="false">IF(OR(G92="",G92="?"),"",IFERROR(INDEX(Pubs!$D$2:$D$3001,MATCH(G92,Pubs!$A$2:$A$3001,0))&amp;"",""))</f>
        <v/>
      </c>
      <c r="N92" s="27" t="n">
        <f aca="false">N(N91)+IF(AND(A92&lt;&gt;"",OR(Recherche!$C$4="",A92=Recherche!$C$4),OR(Recherche!$C$5="",B92&amp;""=Recherche!$C$5&amp;""),OR(Recherche!$C$6="",IFERROR(YEAR(L92),0)=Recherche!$C$6),OR(Recherche!$C$7="",ISNUMBER(SEARCH(Recherche!$C$7,H92))),OR(Recherche!$C$8="",J92=Recherche!$C$8),OR(Recherche!$C$9="",I92=Recherche!$C$9),OR(Recherche!$C$10="",G92&amp;""=Recherche!$C$10&amp;""),OR(Recherche!$C$11="",E92=Recherche!$C$11),OR(Recherche!$C$12="",ISNUMBER(SEARCH(Recherche!$C$12,M92&amp;" "&amp;F92)))),1,0)</f>
        <v>8</v>
      </c>
    </row>
    <row r="93" customFormat="false" ht="15" hidden="false" customHeight="false" outlineLevel="0" collapsed="false">
      <c r="A93" s="19"/>
      <c r="B93" s="19"/>
      <c r="C93" s="19"/>
      <c r="D93" s="19"/>
      <c r="E93" s="22"/>
      <c r="F93" s="19"/>
      <c r="G93" s="26" t="str">
        <f aca="false">IF(D93="","",IFERROR(VALUE(LEFT(D93,FIND(" |",D93&amp;" |")-1)),"?"))</f>
        <v/>
      </c>
      <c r="H93" s="27" t="str">
        <f aca="false">IF(G93="","",IF(G93="?","⚠ pub inconnue",IFERROR(INDEX(Pubs!$B$2:$B$3001,MATCH(G93,Pubs!$A$2:$A$3001,0))&amp;"","⚠ pub inconnue")))</f>
        <v/>
      </c>
      <c r="I93" s="27" t="str">
        <f aca="false">IF(OR(G93="",G93="?"),"",IFERROR(INDEX(Pubs!$C$2:$C$3001,MATCH(G93,Pubs!$A$2:$A$3001,0))&amp;"",""))</f>
        <v/>
      </c>
      <c r="J93" s="27" t="str">
        <f aca="false">IF(OR(G93="",G93="?"),"",IFERROR(INDEX(Pubs!$G$2:$G$3001,MATCH(G93,Pubs!$A$2:$A$3001,0))&amp;"",""))</f>
        <v/>
      </c>
      <c r="K93" s="28" t="str">
        <f aca="false">IF(OR(G93="",G93="?"),"",IFERROR(INDEX(Pubs!$E$2:$E$3001,MATCH(G93,Pubs!$A$2:$A$3001,0)),""))</f>
        <v/>
      </c>
      <c r="L93" s="29" t="str">
        <f aca="false">IF(A93="","",IFERROR(1/(1/INDEX(Numéros!$C$2:$C$3001,MATCH(A93&amp;"|"&amp;B93,Numéros!$F$2:$F$3001,0))),""))</f>
        <v/>
      </c>
      <c r="M93" s="27" t="str">
        <f aca="false">IF(OR(G93="",G93="?"),"",IFERROR(INDEX(Pubs!$D$2:$D$3001,MATCH(G93,Pubs!$A$2:$A$3001,0))&amp;"",""))</f>
        <v/>
      </c>
      <c r="N93" s="27" t="n">
        <f aca="false">N(N92)+IF(AND(A93&lt;&gt;"",OR(Recherche!$C$4="",A93=Recherche!$C$4),OR(Recherche!$C$5="",B93&amp;""=Recherche!$C$5&amp;""),OR(Recherche!$C$6="",IFERROR(YEAR(L93),0)=Recherche!$C$6),OR(Recherche!$C$7="",ISNUMBER(SEARCH(Recherche!$C$7,H93))),OR(Recherche!$C$8="",J93=Recherche!$C$8),OR(Recherche!$C$9="",I93=Recherche!$C$9),OR(Recherche!$C$10="",G93&amp;""=Recherche!$C$10&amp;""),OR(Recherche!$C$11="",E93=Recherche!$C$11),OR(Recherche!$C$12="",ISNUMBER(SEARCH(Recherche!$C$12,M93&amp;" "&amp;F93)))),1,0)</f>
        <v>8</v>
      </c>
    </row>
    <row r="94" customFormat="false" ht="15" hidden="false" customHeight="false" outlineLevel="0" collapsed="false">
      <c r="A94" s="19"/>
      <c r="B94" s="19"/>
      <c r="C94" s="19"/>
      <c r="D94" s="19"/>
      <c r="E94" s="22"/>
      <c r="F94" s="19"/>
      <c r="G94" s="26" t="str">
        <f aca="false">IF(D94="","",IFERROR(VALUE(LEFT(D94,FIND(" |",D94&amp;" |")-1)),"?"))</f>
        <v/>
      </c>
      <c r="H94" s="27" t="str">
        <f aca="false">IF(G94="","",IF(G94="?","⚠ pub inconnue",IFERROR(INDEX(Pubs!$B$2:$B$3001,MATCH(G94,Pubs!$A$2:$A$3001,0))&amp;"","⚠ pub inconnue")))</f>
        <v/>
      </c>
      <c r="I94" s="27" t="str">
        <f aca="false">IF(OR(G94="",G94="?"),"",IFERROR(INDEX(Pubs!$C$2:$C$3001,MATCH(G94,Pubs!$A$2:$A$3001,0))&amp;"",""))</f>
        <v/>
      </c>
      <c r="J94" s="27" t="str">
        <f aca="false">IF(OR(G94="",G94="?"),"",IFERROR(INDEX(Pubs!$G$2:$G$3001,MATCH(G94,Pubs!$A$2:$A$3001,0))&amp;"",""))</f>
        <v/>
      </c>
      <c r="K94" s="28" t="str">
        <f aca="false">IF(OR(G94="",G94="?"),"",IFERROR(INDEX(Pubs!$E$2:$E$3001,MATCH(G94,Pubs!$A$2:$A$3001,0)),""))</f>
        <v/>
      </c>
      <c r="L94" s="29" t="str">
        <f aca="false">IF(A94="","",IFERROR(1/(1/INDEX(Numéros!$C$2:$C$3001,MATCH(A94&amp;"|"&amp;B94,Numéros!$F$2:$F$3001,0))),""))</f>
        <v/>
      </c>
      <c r="M94" s="27" t="str">
        <f aca="false">IF(OR(G94="",G94="?"),"",IFERROR(INDEX(Pubs!$D$2:$D$3001,MATCH(G94,Pubs!$A$2:$A$3001,0))&amp;"",""))</f>
        <v/>
      </c>
      <c r="N94" s="27" t="n">
        <f aca="false">N(N93)+IF(AND(A94&lt;&gt;"",OR(Recherche!$C$4="",A94=Recherche!$C$4),OR(Recherche!$C$5="",B94&amp;""=Recherche!$C$5&amp;""),OR(Recherche!$C$6="",IFERROR(YEAR(L94),0)=Recherche!$C$6),OR(Recherche!$C$7="",ISNUMBER(SEARCH(Recherche!$C$7,H94))),OR(Recherche!$C$8="",J94=Recherche!$C$8),OR(Recherche!$C$9="",I94=Recherche!$C$9),OR(Recherche!$C$10="",G94&amp;""=Recherche!$C$10&amp;""),OR(Recherche!$C$11="",E94=Recherche!$C$11),OR(Recherche!$C$12="",ISNUMBER(SEARCH(Recherche!$C$12,M94&amp;" "&amp;F94)))),1,0)</f>
        <v>8</v>
      </c>
    </row>
    <row r="95" customFormat="false" ht="15" hidden="false" customHeight="false" outlineLevel="0" collapsed="false">
      <c r="A95" s="19"/>
      <c r="B95" s="19"/>
      <c r="C95" s="19"/>
      <c r="D95" s="19"/>
      <c r="E95" s="22"/>
      <c r="F95" s="19"/>
      <c r="G95" s="26" t="str">
        <f aca="false">IF(D95="","",IFERROR(VALUE(LEFT(D95,FIND(" |",D95&amp;" |")-1)),"?"))</f>
        <v/>
      </c>
      <c r="H95" s="27" t="str">
        <f aca="false">IF(G95="","",IF(G95="?","⚠ pub inconnue",IFERROR(INDEX(Pubs!$B$2:$B$3001,MATCH(G95,Pubs!$A$2:$A$3001,0))&amp;"","⚠ pub inconnue")))</f>
        <v/>
      </c>
      <c r="I95" s="27" t="str">
        <f aca="false">IF(OR(G95="",G95="?"),"",IFERROR(INDEX(Pubs!$C$2:$C$3001,MATCH(G95,Pubs!$A$2:$A$3001,0))&amp;"",""))</f>
        <v/>
      </c>
      <c r="J95" s="27" t="str">
        <f aca="false">IF(OR(G95="",G95="?"),"",IFERROR(INDEX(Pubs!$G$2:$G$3001,MATCH(G95,Pubs!$A$2:$A$3001,0))&amp;"",""))</f>
        <v/>
      </c>
      <c r="K95" s="28" t="str">
        <f aca="false">IF(OR(G95="",G95="?"),"",IFERROR(INDEX(Pubs!$E$2:$E$3001,MATCH(G95,Pubs!$A$2:$A$3001,0)),""))</f>
        <v/>
      </c>
      <c r="L95" s="29" t="str">
        <f aca="false">IF(A95="","",IFERROR(1/(1/INDEX(Numéros!$C$2:$C$3001,MATCH(A95&amp;"|"&amp;B95,Numéros!$F$2:$F$3001,0))),""))</f>
        <v/>
      </c>
      <c r="M95" s="27" t="str">
        <f aca="false">IF(OR(G95="",G95="?"),"",IFERROR(INDEX(Pubs!$D$2:$D$3001,MATCH(G95,Pubs!$A$2:$A$3001,0))&amp;"",""))</f>
        <v/>
      </c>
      <c r="N95" s="27" t="n">
        <f aca="false">N(N94)+IF(AND(A95&lt;&gt;"",OR(Recherche!$C$4="",A95=Recherche!$C$4),OR(Recherche!$C$5="",B95&amp;""=Recherche!$C$5&amp;""),OR(Recherche!$C$6="",IFERROR(YEAR(L95),0)=Recherche!$C$6),OR(Recherche!$C$7="",ISNUMBER(SEARCH(Recherche!$C$7,H95))),OR(Recherche!$C$8="",J95=Recherche!$C$8),OR(Recherche!$C$9="",I95=Recherche!$C$9),OR(Recherche!$C$10="",G95&amp;""=Recherche!$C$10&amp;""),OR(Recherche!$C$11="",E95=Recherche!$C$11),OR(Recherche!$C$12="",ISNUMBER(SEARCH(Recherche!$C$12,M95&amp;" "&amp;F95)))),1,0)</f>
        <v>8</v>
      </c>
    </row>
    <row r="96" customFormat="false" ht="15" hidden="false" customHeight="false" outlineLevel="0" collapsed="false">
      <c r="A96" s="19"/>
      <c r="B96" s="19"/>
      <c r="C96" s="19"/>
      <c r="D96" s="19"/>
      <c r="E96" s="22"/>
      <c r="F96" s="19"/>
      <c r="G96" s="26" t="str">
        <f aca="false">IF(D96="","",IFERROR(VALUE(LEFT(D96,FIND(" |",D96&amp;" |")-1)),"?"))</f>
        <v/>
      </c>
      <c r="H96" s="27" t="str">
        <f aca="false">IF(G96="","",IF(G96="?","⚠ pub inconnue",IFERROR(INDEX(Pubs!$B$2:$B$3001,MATCH(G96,Pubs!$A$2:$A$3001,0))&amp;"","⚠ pub inconnue")))</f>
        <v/>
      </c>
      <c r="I96" s="27" t="str">
        <f aca="false">IF(OR(G96="",G96="?"),"",IFERROR(INDEX(Pubs!$C$2:$C$3001,MATCH(G96,Pubs!$A$2:$A$3001,0))&amp;"",""))</f>
        <v/>
      </c>
      <c r="J96" s="27" t="str">
        <f aca="false">IF(OR(G96="",G96="?"),"",IFERROR(INDEX(Pubs!$G$2:$G$3001,MATCH(G96,Pubs!$A$2:$A$3001,0))&amp;"",""))</f>
        <v/>
      </c>
      <c r="K96" s="28" t="str">
        <f aca="false">IF(OR(G96="",G96="?"),"",IFERROR(INDEX(Pubs!$E$2:$E$3001,MATCH(G96,Pubs!$A$2:$A$3001,0)),""))</f>
        <v/>
      </c>
      <c r="L96" s="29" t="str">
        <f aca="false">IF(A96="","",IFERROR(1/(1/INDEX(Numéros!$C$2:$C$3001,MATCH(A96&amp;"|"&amp;B96,Numéros!$F$2:$F$3001,0))),""))</f>
        <v/>
      </c>
      <c r="M96" s="27" t="str">
        <f aca="false">IF(OR(G96="",G96="?"),"",IFERROR(INDEX(Pubs!$D$2:$D$3001,MATCH(G96,Pubs!$A$2:$A$3001,0))&amp;"",""))</f>
        <v/>
      </c>
      <c r="N96" s="27" t="n">
        <f aca="false">N(N95)+IF(AND(A96&lt;&gt;"",OR(Recherche!$C$4="",A96=Recherche!$C$4),OR(Recherche!$C$5="",B96&amp;""=Recherche!$C$5&amp;""),OR(Recherche!$C$6="",IFERROR(YEAR(L96),0)=Recherche!$C$6),OR(Recherche!$C$7="",ISNUMBER(SEARCH(Recherche!$C$7,H96))),OR(Recherche!$C$8="",J96=Recherche!$C$8),OR(Recherche!$C$9="",I96=Recherche!$C$9),OR(Recherche!$C$10="",G96&amp;""=Recherche!$C$10&amp;""),OR(Recherche!$C$11="",E96=Recherche!$C$11),OR(Recherche!$C$12="",ISNUMBER(SEARCH(Recherche!$C$12,M96&amp;" "&amp;F96)))),1,0)</f>
        <v>8</v>
      </c>
    </row>
    <row r="97" customFormat="false" ht="15" hidden="false" customHeight="false" outlineLevel="0" collapsed="false">
      <c r="A97" s="19"/>
      <c r="B97" s="19"/>
      <c r="C97" s="19"/>
      <c r="D97" s="19"/>
      <c r="E97" s="22"/>
      <c r="F97" s="19"/>
      <c r="G97" s="26" t="str">
        <f aca="false">IF(D97="","",IFERROR(VALUE(LEFT(D97,FIND(" |",D97&amp;" |")-1)),"?"))</f>
        <v/>
      </c>
      <c r="H97" s="27" t="str">
        <f aca="false">IF(G97="","",IF(G97="?","⚠ pub inconnue",IFERROR(INDEX(Pubs!$B$2:$B$3001,MATCH(G97,Pubs!$A$2:$A$3001,0))&amp;"","⚠ pub inconnue")))</f>
        <v/>
      </c>
      <c r="I97" s="27" t="str">
        <f aca="false">IF(OR(G97="",G97="?"),"",IFERROR(INDEX(Pubs!$C$2:$C$3001,MATCH(G97,Pubs!$A$2:$A$3001,0))&amp;"",""))</f>
        <v/>
      </c>
      <c r="J97" s="27" t="str">
        <f aca="false">IF(OR(G97="",G97="?"),"",IFERROR(INDEX(Pubs!$G$2:$G$3001,MATCH(G97,Pubs!$A$2:$A$3001,0))&amp;"",""))</f>
        <v/>
      </c>
      <c r="K97" s="28" t="str">
        <f aca="false">IF(OR(G97="",G97="?"),"",IFERROR(INDEX(Pubs!$E$2:$E$3001,MATCH(G97,Pubs!$A$2:$A$3001,0)),""))</f>
        <v/>
      </c>
      <c r="L97" s="29" t="str">
        <f aca="false">IF(A97="","",IFERROR(1/(1/INDEX(Numéros!$C$2:$C$3001,MATCH(A97&amp;"|"&amp;B97,Numéros!$F$2:$F$3001,0))),""))</f>
        <v/>
      </c>
      <c r="M97" s="27" t="str">
        <f aca="false">IF(OR(G97="",G97="?"),"",IFERROR(INDEX(Pubs!$D$2:$D$3001,MATCH(G97,Pubs!$A$2:$A$3001,0))&amp;"",""))</f>
        <v/>
      </c>
      <c r="N97" s="27" t="n">
        <f aca="false">N(N96)+IF(AND(A97&lt;&gt;"",OR(Recherche!$C$4="",A97=Recherche!$C$4),OR(Recherche!$C$5="",B97&amp;""=Recherche!$C$5&amp;""),OR(Recherche!$C$6="",IFERROR(YEAR(L97),0)=Recherche!$C$6),OR(Recherche!$C$7="",ISNUMBER(SEARCH(Recherche!$C$7,H97))),OR(Recherche!$C$8="",J97=Recherche!$C$8),OR(Recherche!$C$9="",I97=Recherche!$C$9),OR(Recherche!$C$10="",G97&amp;""=Recherche!$C$10&amp;""),OR(Recherche!$C$11="",E97=Recherche!$C$11),OR(Recherche!$C$12="",ISNUMBER(SEARCH(Recherche!$C$12,M97&amp;" "&amp;F97)))),1,0)</f>
        <v>8</v>
      </c>
    </row>
    <row r="98" customFormat="false" ht="15" hidden="false" customHeight="false" outlineLevel="0" collapsed="false">
      <c r="A98" s="19"/>
      <c r="B98" s="19"/>
      <c r="C98" s="19"/>
      <c r="D98" s="19"/>
      <c r="E98" s="22"/>
      <c r="F98" s="19"/>
      <c r="G98" s="26" t="str">
        <f aca="false">IF(D98="","",IFERROR(VALUE(LEFT(D98,FIND(" |",D98&amp;" |")-1)),"?"))</f>
        <v/>
      </c>
      <c r="H98" s="27" t="str">
        <f aca="false">IF(G98="","",IF(G98="?","⚠ pub inconnue",IFERROR(INDEX(Pubs!$B$2:$B$3001,MATCH(G98,Pubs!$A$2:$A$3001,0))&amp;"","⚠ pub inconnue")))</f>
        <v/>
      </c>
      <c r="I98" s="27" t="str">
        <f aca="false">IF(OR(G98="",G98="?"),"",IFERROR(INDEX(Pubs!$C$2:$C$3001,MATCH(G98,Pubs!$A$2:$A$3001,0))&amp;"",""))</f>
        <v/>
      </c>
      <c r="J98" s="27" t="str">
        <f aca="false">IF(OR(G98="",G98="?"),"",IFERROR(INDEX(Pubs!$G$2:$G$3001,MATCH(G98,Pubs!$A$2:$A$3001,0))&amp;"",""))</f>
        <v/>
      </c>
      <c r="K98" s="28" t="str">
        <f aca="false">IF(OR(G98="",G98="?"),"",IFERROR(INDEX(Pubs!$E$2:$E$3001,MATCH(G98,Pubs!$A$2:$A$3001,0)),""))</f>
        <v/>
      </c>
      <c r="L98" s="29" t="str">
        <f aca="false">IF(A98="","",IFERROR(1/(1/INDEX(Numéros!$C$2:$C$3001,MATCH(A98&amp;"|"&amp;B98,Numéros!$F$2:$F$3001,0))),""))</f>
        <v/>
      </c>
      <c r="M98" s="27" t="str">
        <f aca="false">IF(OR(G98="",G98="?"),"",IFERROR(INDEX(Pubs!$D$2:$D$3001,MATCH(G98,Pubs!$A$2:$A$3001,0))&amp;"",""))</f>
        <v/>
      </c>
      <c r="N98" s="27" t="n">
        <f aca="false">N(N97)+IF(AND(A98&lt;&gt;"",OR(Recherche!$C$4="",A98=Recherche!$C$4),OR(Recherche!$C$5="",B98&amp;""=Recherche!$C$5&amp;""),OR(Recherche!$C$6="",IFERROR(YEAR(L98),0)=Recherche!$C$6),OR(Recherche!$C$7="",ISNUMBER(SEARCH(Recherche!$C$7,H98))),OR(Recherche!$C$8="",J98=Recherche!$C$8),OR(Recherche!$C$9="",I98=Recherche!$C$9),OR(Recherche!$C$10="",G98&amp;""=Recherche!$C$10&amp;""),OR(Recherche!$C$11="",E98=Recherche!$C$11),OR(Recherche!$C$12="",ISNUMBER(SEARCH(Recherche!$C$12,M98&amp;" "&amp;F98)))),1,0)</f>
        <v>8</v>
      </c>
    </row>
    <row r="99" customFormat="false" ht="15" hidden="false" customHeight="false" outlineLevel="0" collapsed="false">
      <c r="A99" s="19"/>
      <c r="B99" s="19"/>
      <c r="C99" s="19"/>
      <c r="D99" s="19"/>
      <c r="E99" s="22"/>
      <c r="F99" s="19"/>
      <c r="G99" s="26" t="str">
        <f aca="false">IF(D99="","",IFERROR(VALUE(LEFT(D99,FIND(" |",D99&amp;" |")-1)),"?"))</f>
        <v/>
      </c>
      <c r="H99" s="27" t="str">
        <f aca="false">IF(G99="","",IF(G99="?","⚠ pub inconnue",IFERROR(INDEX(Pubs!$B$2:$B$3001,MATCH(G99,Pubs!$A$2:$A$3001,0))&amp;"","⚠ pub inconnue")))</f>
        <v/>
      </c>
      <c r="I99" s="27" t="str">
        <f aca="false">IF(OR(G99="",G99="?"),"",IFERROR(INDEX(Pubs!$C$2:$C$3001,MATCH(G99,Pubs!$A$2:$A$3001,0))&amp;"",""))</f>
        <v/>
      </c>
      <c r="J99" s="27" t="str">
        <f aca="false">IF(OR(G99="",G99="?"),"",IFERROR(INDEX(Pubs!$G$2:$G$3001,MATCH(G99,Pubs!$A$2:$A$3001,0))&amp;"",""))</f>
        <v/>
      </c>
      <c r="K99" s="28" t="str">
        <f aca="false">IF(OR(G99="",G99="?"),"",IFERROR(INDEX(Pubs!$E$2:$E$3001,MATCH(G99,Pubs!$A$2:$A$3001,0)),""))</f>
        <v/>
      </c>
      <c r="L99" s="29" t="str">
        <f aca="false">IF(A99="","",IFERROR(1/(1/INDEX(Numéros!$C$2:$C$3001,MATCH(A99&amp;"|"&amp;B99,Numéros!$F$2:$F$3001,0))),""))</f>
        <v/>
      </c>
      <c r="M99" s="27" t="str">
        <f aca="false">IF(OR(G99="",G99="?"),"",IFERROR(INDEX(Pubs!$D$2:$D$3001,MATCH(G99,Pubs!$A$2:$A$3001,0))&amp;"",""))</f>
        <v/>
      </c>
      <c r="N99" s="27" t="n">
        <f aca="false">N(N98)+IF(AND(A99&lt;&gt;"",OR(Recherche!$C$4="",A99=Recherche!$C$4),OR(Recherche!$C$5="",B99&amp;""=Recherche!$C$5&amp;""),OR(Recherche!$C$6="",IFERROR(YEAR(L99),0)=Recherche!$C$6),OR(Recherche!$C$7="",ISNUMBER(SEARCH(Recherche!$C$7,H99))),OR(Recherche!$C$8="",J99=Recherche!$C$8),OR(Recherche!$C$9="",I99=Recherche!$C$9),OR(Recherche!$C$10="",G99&amp;""=Recherche!$C$10&amp;""),OR(Recherche!$C$11="",E99=Recherche!$C$11),OR(Recherche!$C$12="",ISNUMBER(SEARCH(Recherche!$C$12,M99&amp;" "&amp;F99)))),1,0)</f>
        <v>8</v>
      </c>
    </row>
    <row r="100" customFormat="false" ht="15" hidden="false" customHeight="false" outlineLevel="0" collapsed="false">
      <c r="A100" s="19"/>
      <c r="B100" s="19"/>
      <c r="C100" s="19"/>
      <c r="D100" s="19"/>
      <c r="E100" s="22"/>
      <c r="F100" s="19"/>
      <c r="G100" s="26" t="str">
        <f aca="false">IF(D100="","",IFERROR(VALUE(LEFT(D100,FIND(" |",D100&amp;" |")-1)),"?"))</f>
        <v/>
      </c>
      <c r="H100" s="27" t="str">
        <f aca="false">IF(G100="","",IF(G100="?","⚠ pub inconnue",IFERROR(INDEX(Pubs!$B$2:$B$3001,MATCH(G100,Pubs!$A$2:$A$3001,0))&amp;"","⚠ pub inconnue")))</f>
        <v/>
      </c>
      <c r="I100" s="27" t="str">
        <f aca="false">IF(OR(G100="",G100="?"),"",IFERROR(INDEX(Pubs!$C$2:$C$3001,MATCH(G100,Pubs!$A$2:$A$3001,0))&amp;"",""))</f>
        <v/>
      </c>
      <c r="J100" s="27" t="str">
        <f aca="false">IF(OR(G100="",G100="?"),"",IFERROR(INDEX(Pubs!$G$2:$G$3001,MATCH(G100,Pubs!$A$2:$A$3001,0))&amp;"",""))</f>
        <v/>
      </c>
      <c r="K100" s="28" t="str">
        <f aca="false">IF(OR(G100="",G100="?"),"",IFERROR(INDEX(Pubs!$E$2:$E$3001,MATCH(G100,Pubs!$A$2:$A$3001,0)),""))</f>
        <v/>
      </c>
      <c r="L100" s="29" t="str">
        <f aca="false">IF(A100="","",IFERROR(1/(1/INDEX(Numéros!$C$2:$C$3001,MATCH(A100&amp;"|"&amp;B100,Numéros!$F$2:$F$3001,0))),""))</f>
        <v/>
      </c>
      <c r="M100" s="27" t="str">
        <f aca="false">IF(OR(G100="",G100="?"),"",IFERROR(INDEX(Pubs!$D$2:$D$3001,MATCH(G100,Pubs!$A$2:$A$3001,0))&amp;"",""))</f>
        <v/>
      </c>
      <c r="N100" s="27" t="n">
        <f aca="false">N(N99)+IF(AND(A100&lt;&gt;"",OR(Recherche!$C$4="",A100=Recherche!$C$4),OR(Recherche!$C$5="",B100&amp;""=Recherche!$C$5&amp;""),OR(Recherche!$C$6="",IFERROR(YEAR(L100),0)=Recherche!$C$6),OR(Recherche!$C$7="",ISNUMBER(SEARCH(Recherche!$C$7,H100))),OR(Recherche!$C$8="",J100=Recherche!$C$8),OR(Recherche!$C$9="",I100=Recherche!$C$9),OR(Recherche!$C$10="",G100&amp;""=Recherche!$C$10&amp;""),OR(Recherche!$C$11="",E100=Recherche!$C$11),OR(Recherche!$C$12="",ISNUMBER(SEARCH(Recherche!$C$12,M100&amp;" "&amp;F100)))),1,0)</f>
        <v>8</v>
      </c>
    </row>
    <row r="101" customFormat="false" ht="15" hidden="false" customHeight="false" outlineLevel="0" collapsed="false">
      <c r="A101" s="19"/>
      <c r="B101" s="19"/>
      <c r="C101" s="19"/>
      <c r="D101" s="19"/>
      <c r="E101" s="22"/>
      <c r="F101" s="19"/>
      <c r="G101" s="26" t="str">
        <f aca="false">IF(D101="","",IFERROR(VALUE(LEFT(D101,FIND(" |",D101&amp;" |")-1)),"?"))</f>
        <v/>
      </c>
      <c r="H101" s="27" t="str">
        <f aca="false">IF(G101="","",IF(G101="?","⚠ pub inconnue",IFERROR(INDEX(Pubs!$B$2:$B$3001,MATCH(G101,Pubs!$A$2:$A$3001,0))&amp;"","⚠ pub inconnue")))</f>
        <v/>
      </c>
      <c r="I101" s="27" t="str">
        <f aca="false">IF(OR(G101="",G101="?"),"",IFERROR(INDEX(Pubs!$C$2:$C$3001,MATCH(G101,Pubs!$A$2:$A$3001,0))&amp;"",""))</f>
        <v/>
      </c>
      <c r="J101" s="27" t="str">
        <f aca="false">IF(OR(G101="",G101="?"),"",IFERROR(INDEX(Pubs!$G$2:$G$3001,MATCH(G101,Pubs!$A$2:$A$3001,0))&amp;"",""))</f>
        <v/>
      </c>
      <c r="K101" s="28" t="str">
        <f aca="false">IF(OR(G101="",G101="?"),"",IFERROR(INDEX(Pubs!$E$2:$E$3001,MATCH(G101,Pubs!$A$2:$A$3001,0)),""))</f>
        <v/>
      </c>
      <c r="L101" s="29" t="str">
        <f aca="false">IF(A101="","",IFERROR(1/(1/INDEX(Numéros!$C$2:$C$3001,MATCH(A101&amp;"|"&amp;B101,Numéros!$F$2:$F$3001,0))),""))</f>
        <v/>
      </c>
      <c r="M101" s="27" t="str">
        <f aca="false">IF(OR(G101="",G101="?"),"",IFERROR(INDEX(Pubs!$D$2:$D$3001,MATCH(G101,Pubs!$A$2:$A$3001,0))&amp;"",""))</f>
        <v/>
      </c>
      <c r="N101" s="27" t="n">
        <f aca="false">N(N100)+IF(AND(A101&lt;&gt;"",OR(Recherche!$C$4="",A101=Recherche!$C$4),OR(Recherche!$C$5="",B101&amp;""=Recherche!$C$5&amp;""),OR(Recherche!$C$6="",IFERROR(YEAR(L101),0)=Recherche!$C$6),OR(Recherche!$C$7="",ISNUMBER(SEARCH(Recherche!$C$7,H101))),OR(Recherche!$C$8="",J101=Recherche!$C$8),OR(Recherche!$C$9="",I101=Recherche!$C$9),OR(Recherche!$C$10="",G101&amp;""=Recherche!$C$10&amp;""),OR(Recherche!$C$11="",E101=Recherche!$C$11),OR(Recherche!$C$12="",ISNUMBER(SEARCH(Recherche!$C$12,M101&amp;" "&amp;F101)))),1,0)</f>
        <v>8</v>
      </c>
    </row>
    <row r="102" customFormat="false" ht="15" hidden="false" customHeight="false" outlineLevel="0" collapsed="false">
      <c r="A102" s="19"/>
      <c r="B102" s="19"/>
      <c r="C102" s="19"/>
      <c r="D102" s="19"/>
      <c r="E102" s="22"/>
      <c r="F102" s="19"/>
      <c r="G102" s="26" t="str">
        <f aca="false">IF(D102="","",IFERROR(VALUE(LEFT(D102,FIND(" |",D102&amp;" |")-1)),"?"))</f>
        <v/>
      </c>
      <c r="H102" s="27" t="str">
        <f aca="false">IF(G102="","",IF(G102="?","⚠ pub inconnue",IFERROR(INDEX(Pubs!$B$2:$B$3001,MATCH(G102,Pubs!$A$2:$A$3001,0))&amp;"","⚠ pub inconnue")))</f>
        <v/>
      </c>
      <c r="I102" s="27" t="str">
        <f aca="false">IF(OR(G102="",G102="?"),"",IFERROR(INDEX(Pubs!$C$2:$C$3001,MATCH(G102,Pubs!$A$2:$A$3001,0))&amp;"",""))</f>
        <v/>
      </c>
      <c r="J102" s="27" t="str">
        <f aca="false">IF(OR(G102="",G102="?"),"",IFERROR(INDEX(Pubs!$G$2:$G$3001,MATCH(G102,Pubs!$A$2:$A$3001,0))&amp;"",""))</f>
        <v/>
      </c>
      <c r="K102" s="28" t="str">
        <f aca="false">IF(OR(G102="",G102="?"),"",IFERROR(INDEX(Pubs!$E$2:$E$3001,MATCH(G102,Pubs!$A$2:$A$3001,0)),""))</f>
        <v/>
      </c>
      <c r="L102" s="29" t="str">
        <f aca="false">IF(A102="","",IFERROR(1/(1/INDEX(Numéros!$C$2:$C$3001,MATCH(A102&amp;"|"&amp;B102,Numéros!$F$2:$F$3001,0))),""))</f>
        <v/>
      </c>
      <c r="M102" s="27" t="str">
        <f aca="false">IF(OR(G102="",G102="?"),"",IFERROR(INDEX(Pubs!$D$2:$D$3001,MATCH(G102,Pubs!$A$2:$A$3001,0))&amp;"",""))</f>
        <v/>
      </c>
      <c r="N102" s="27" t="n">
        <f aca="false">N(N101)+IF(AND(A102&lt;&gt;"",OR(Recherche!$C$4="",A102=Recherche!$C$4),OR(Recherche!$C$5="",B102&amp;""=Recherche!$C$5&amp;""),OR(Recherche!$C$6="",IFERROR(YEAR(L102),0)=Recherche!$C$6),OR(Recherche!$C$7="",ISNUMBER(SEARCH(Recherche!$C$7,H102))),OR(Recherche!$C$8="",J102=Recherche!$C$8),OR(Recherche!$C$9="",I102=Recherche!$C$9),OR(Recherche!$C$10="",G102&amp;""=Recherche!$C$10&amp;""),OR(Recherche!$C$11="",E102=Recherche!$C$11),OR(Recherche!$C$12="",ISNUMBER(SEARCH(Recherche!$C$12,M102&amp;" "&amp;F102)))),1,0)</f>
        <v>8</v>
      </c>
    </row>
    <row r="103" customFormat="false" ht="15" hidden="false" customHeight="false" outlineLevel="0" collapsed="false">
      <c r="A103" s="19"/>
      <c r="B103" s="19"/>
      <c r="C103" s="19"/>
      <c r="D103" s="19"/>
      <c r="E103" s="22"/>
      <c r="F103" s="19"/>
      <c r="G103" s="26" t="str">
        <f aca="false">IF(D103="","",IFERROR(VALUE(LEFT(D103,FIND(" |",D103&amp;" |")-1)),"?"))</f>
        <v/>
      </c>
      <c r="H103" s="27" t="str">
        <f aca="false">IF(G103="","",IF(G103="?","⚠ pub inconnue",IFERROR(INDEX(Pubs!$B$2:$B$3001,MATCH(G103,Pubs!$A$2:$A$3001,0))&amp;"","⚠ pub inconnue")))</f>
        <v/>
      </c>
      <c r="I103" s="27" t="str">
        <f aca="false">IF(OR(G103="",G103="?"),"",IFERROR(INDEX(Pubs!$C$2:$C$3001,MATCH(G103,Pubs!$A$2:$A$3001,0))&amp;"",""))</f>
        <v/>
      </c>
      <c r="J103" s="27" t="str">
        <f aca="false">IF(OR(G103="",G103="?"),"",IFERROR(INDEX(Pubs!$G$2:$G$3001,MATCH(G103,Pubs!$A$2:$A$3001,0))&amp;"",""))</f>
        <v/>
      </c>
      <c r="K103" s="28" t="str">
        <f aca="false">IF(OR(G103="",G103="?"),"",IFERROR(INDEX(Pubs!$E$2:$E$3001,MATCH(G103,Pubs!$A$2:$A$3001,0)),""))</f>
        <v/>
      </c>
      <c r="L103" s="29" t="str">
        <f aca="false">IF(A103="","",IFERROR(1/(1/INDEX(Numéros!$C$2:$C$3001,MATCH(A103&amp;"|"&amp;B103,Numéros!$F$2:$F$3001,0))),""))</f>
        <v/>
      </c>
      <c r="M103" s="27" t="str">
        <f aca="false">IF(OR(G103="",G103="?"),"",IFERROR(INDEX(Pubs!$D$2:$D$3001,MATCH(G103,Pubs!$A$2:$A$3001,0))&amp;"",""))</f>
        <v/>
      </c>
      <c r="N103" s="27" t="n">
        <f aca="false">N(N102)+IF(AND(A103&lt;&gt;"",OR(Recherche!$C$4="",A103=Recherche!$C$4),OR(Recherche!$C$5="",B103&amp;""=Recherche!$C$5&amp;""),OR(Recherche!$C$6="",IFERROR(YEAR(L103),0)=Recherche!$C$6),OR(Recherche!$C$7="",ISNUMBER(SEARCH(Recherche!$C$7,H103))),OR(Recherche!$C$8="",J103=Recherche!$C$8),OR(Recherche!$C$9="",I103=Recherche!$C$9),OR(Recherche!$C$10="",G103&amp;""=Recherche!$C$10&amp;""),OR(Recherche!$C$11="",E103=Recherche!$C$11),OR(Recherche!$C$12="",ISNUMBER(SEARCH(Recherche!$C$12,M103&amp;" "&amp;F103)))),1,0)</f>
        <v>8</v>
      </c>
    </row>
    <row r="104" customFormat="false" ht="15" hidden="false" customHeight="false" outlineLevel="0" collapsed="false">
      <c r="A104" s="19"/>
      <c r="B104" s="19"/>
      <c r="C104" s="19"/>
      <c r="D104" s="19"/>
      <c r="E104" s="22"/>
      <c r="F104" s="19"/>
      <c r="G104" s="26" t="str">
        <f aca="false">IF(D104="","",IFERROR(VALUE(LEFT(D104,FIND(" |",D104&amp;" |")-1)),"?"))</f>
        <v/>
      </c>
      <c r="H104" s="27" t="str">
        <f aca="false">IF(G104="","",IF(G104="?","⚠ pub inconnue",IFERROR(INDEX(Pubs!$B$2:$B$3001,MATCH(G104,Pubs!$A$2:$A$3001,0))&amp;"","⚠ pub inconnue")))</f>
        <v/>
      </c>
      <c r="I104" s="27" t="str">
        <f aca="false">IF(OR(G104="",G104="?"),"",IFERROR(INDEX(Pubs!$C$2:$C$3001,MATCH(G104,Pubs!$A$2:$A$3001,0))&amp;"",""))</f>
        <v/>
      </c>
      <c r="J104" s="27" t="str">
        <f aca="false">IF(OR(G104="",G104="?"),"",IFERROR(INDEX(Pubs!$G$2:$G$3001,MATCH(G104,Pubs!$A$2:$A$3001,0))&amp;"",""))</f>
        <v/>
      </c>
      <c r="K104" s="28" t="str">
        <f aca="false">IF(OR(G104="",G104="?"),"",IFERROR(INDEX(Pubs!$E$2:$E$3001,MATCH(G104,Pubs!$A$2:$A$3001,0)),""))</f>
        <v/>
      </c>
      <c r="L104" s="29" t="str">
        <f aca="false">IF(A104="","",IFERROR(1/(1/INDEX(Numéros!$C$2:$C$3001,MATCH(A104&amp;"|"&amp;B104,Numéros!$F$2:$F$3001,0))),""))</f>
        <v/>
      </c>
      <c r="M104" s="27" t="str">
        <f aca="false">IF(OR(G104="",G104="?"),"",IFERROR(INDEX(Pubs!$D$2:$D$3001,MATCH(G104,Pubs!$A$2:$A$3001,0))&amp;"",""))</f>
        <v/>
      </c>
      <c r="N104" s="27" t="n">
        <f aca="false">N(N103)+IF(AND(A104&lt;&gt;"",OR(Recherche!$C$4="",A104=Recherche!$C$4),OR(Recherche!$C$5="",B104&amp;""=Recherche!$C$5&amp;""),OR(Recherche!$C$6="",IFERROR(YEAR(L104),0)=Recherche!$C$6),OR(Recherche!$C$7="",ISNUMBER(SEARCH(Recherche!$C$7,H104))),OR(Recherche!$C$8="",J104=Recherche!$C$8),OR(Recherche!$C$9="",I104=Recherche!$C$9),OR(Recherche!$C$10="",G104&amp;""=Recherche!$C$10&amp;""),OR(Recherche!$C$11="",E104=Recherche!$C$11),OR(Recherche!$C$12="",ISNUMBER(SEARCH(Recherche!$C$12,M104&amp;" "&amp;F104)))),1,0)</f>
        <v>8</v>
      </c>
    </row>
    <row r="105" customFormat="false" ht="15" hidden="false" customHeight="false" outlineLevel="0" collapsed="false">
      <c r="A105" s="19"/>
      <c r="B105" s="19"/>
      <c r="C105" s="19"/>
      <c r="D105" s="19"/>
      <c r="E105" s="22"/>
      <c r="F105" s="19"/>
      <c r="G105" s="26" t="str">
        <f aca="false">IF(D105="","",IFERROR(VALUE(LEFT(D105,FIND(" |",D105&amp;" |")-1)),"?"))</f>
        <v/>
      </c>
      <c r="H105" s="27" t="str">
        <f aca="false">IF(G105="","",IF(G105="?","⚠ pub inconnue",IFERROR(INDEX(Pubs!$B$2:$B$3001,MATCH(G105,Pubs!$A$2:$A$3001,0))&amp;"","⚠ pub inconnue")))</f>
        <v/>
      </c>
      <c r="I105" s="27" t="str">
        <f aca="false">IF(OR(G105="",G105="?"),"",IFERROR(INDEX(Pubs!$C$2:$C$3001,MATCH(G105,Pubs!$A$2:$A$3001,0))&amp;"",""))</f>
        <v/>
      </c>
      <c r="J105" s="27" t="str">
        <f aca="false">IF(OR(G105="",G105="?"),"",IFERROR(INDEX(Pubs!$G$2:$G$3001,MATCH(G105,Pubs!$A$2:$A$3001,0))&amp;"",""))</f>
        <v/>
      </c>
      <c r="K105" s="28" t="str">
        <f aca="false">IF(OR(G105="",G105="?"),"",IFERROR(INDEX(Pubs!$E$2:$E$3001,MATCH(G105,Pubs!$A$2:$A$3001,0)),""))</f>
        <v/>
      </c>
      <c r="L105" s="29" t="str">
        <f aca="false">IF(A105="","",IFERROR(1/(1/INDEX(Numéros!$C$2:$C$3001,MATCH(A105&amp;"|"&amp;B105,Numéros!$F$2:$F$3001,0))),""))</f>
        <v/>
      </c>
      <c r="M105" s="27" t="str">
        <f aca="false">IF(OR(G105="",G105="?"),"",IFERROR(INDEX(Pubs!$D$2:$D$3001,MATCH(G105,Pubs!$A$2:$A$3001,0))&amp;"",""))</f>
        <v/>
      </c>
      <c r="N105" s="27" t="n">
        <f aca="false">N(N104)+IF(AND(A105&lt;&gt;"",OR(Recherche!$C$4="",A105=Recherche!$C$4),OR(Recherche!$C$5="",B105&amp;""=Recherche!$C$5&amp;""),OR(Recherche!$C$6="",IFERROR(YEAR(L105),0)=Recherche!$C$6),OR(Recherche!$C$7="",ISNUMBER(SEARCH(Recherche!$C$7,H105))),OR(Recherche!$C$8="",J105=Recherche!$C$8),OR(Recherche!$C$9="",I105=Recherche!$C$9),OR(Recherche!$C$10="",G105&amp;""=Recherche!$C$10&amp;""),OR(Recherche!$C$11="",E105=Recherche!$C$11),OR(Recherche!$C$12="",ISNUMBER(SEARCH(Recherche!$C$12,M105&amp;" "&amp;F105)))),1,0)</f>
        <v>8</v>
      </c>
    </row>
    <row r="106" customFormat="false" ht="15" hidden="false" customHeight="false" outlineLevel="0" collapsed="false">
      <c r="A106" s="19"/>
      <c r="B106" s="19"/>
      <c r="C106" s="19"/>
      <c r="D106" s="19"/>
      <c r="E106" s="22"/>
      <c r="F106" s="19"/>
      <c r="G106" s="26" t="str">
        <f aca="false">IF(D106="","",IFERROR(VALUE(LEFT(D106,FIND(" |",D106&amp;" |")-1)),"?"))</f>
        <v/>
      </c>
      <c r="H106" s="27" t="str">
        <f aca="false">IF(G106="","",IF(G106="?","⚠ pub inconnue",IFERROR(INDEX(Pubs!$B$2:$B$3001,MATCH(G106,Pubs!$A$2:$A$3001,0))&amp;"","⚠ pub inconnue")))</f>
        <v/>
      </c>
      <c r="I106" s="27" t="str">
        <f aca="false">IF(OR(G106="",G106="?"),"",IFERROR(INDEX(Pubs!$C$2:$C$3001,MATCH(G106,Pubs!$A$2:$A$3001,0))&amp;"",""))</f>
        <v/>
      </c>
      <c r="J106" s="27" t="str">
        <f aca="false">IF(OR(G106="",G106="?"),"",IFERROR(INDEX(Pubs!$G$2:$G$3001,MATCH(G106,Pubs!$A$2:$A$3001,0))&amp;"",""))</f>
        <v/>
      </c>
      <c r="K106" s="28" t="str">
        <f aca="false">IF(OR(G106="",G106="?"),"",IFERROR(INDEX(Pubs!$E$2:$E$3001,MATCH(G106,Pubs!$A$2:$A$3001,0)),""))</f>
        <v/>
      </c>
      <c r="L106" s="29" t="str">
        <f aca="false">IF(A106="","",IFERROR(1/(1/INDEX(Numéros!$C$2:$C$3001,MATCH(A106&amp;"|"&amp;B106,Numéros!$F$2:$F$3001,0))),""))</f>
        <v/>
      </c>
      <c r="M106" s="27" t="str">
        <f aca="false">IF(OR(G106="",G106="?"),"",IFERROR(INDEX(Pubs!$D$2:$D$3001,MATCH(G106,Pubs!$A$2:$A$3001,0))&amp;"",""))</f>
        <v/>
      </c>
      <c r="N106" s="27" t="n">
        <f aca="false">N(N105)+IF(AND(A106&lt;&gt;"",OR(Recherche!$C$4="",A106=Recherche!$C$4),OR(Recherche!$C$5="",B106&amp;""=Recherche!$C$5&amp;""),OR(Recherche!$C$6="",IFERROR(YEAR(L106),0)=Recherche!$C$6),OR(Recherche!$C$7="",ISNUMBER(SEARCH(Recherche!$C$7,H106))),OR(Recherche!$C$8="",J106=Recherche!$C$8),OR(Recherche!$C$9="",I106=Recherche!$C$9),OR(Recherche!$C$10="",G106&amp;""=Recherche!$C$10&amp;""),OR(Recherche!$C$11="",E106=Recherche!$C$11),OR(Recherche!$C$12="",ISNUMBER(SEARCH(Recherche!$C$12,M106&amp;" "&amp;F106)))),1,0)</f>
        <v>8</v>
      </c>
    </row>
    <row r="107" customFormat="false" ht="15" hidden="false" customHeight="false" outlineLevel="0" collapsed="false">
      <c r="A107" s="19"/>
      <c r="B107" s="19"/>
      <c r="C107" s="19"/>
      <c r="D107" s="19"/>
      <c r="E107" s="22"/>
      <c r="F107" s="19"/>
      <c r="G107" s="26" t="str">
        <f aca="false">IF(D107="","",IFERROR(VALUE(LEFT(D107,FIND(" |",D107&amp;" |")-1)),"?"))</f>
        <v/>
      </c>
      <c r="H107" s="27" t="str">
        <f aca="false">IF(G107="","",IF(G107="?","⚠ pub inconnue",IFERROR(INDEX(Pubs!$B$2:$B$3001,MATCH(G107,Pubs!$A$2:$A$3001,0))&amp;"","⚠ pub inconnue")))</f>
        <v/>
      </c>
      <c r="I107" s="27" t="str">
        <f aca="false">IF(OR(G107="",G107="?"),"",IFERROR(INDEX(Pubs!$C$2:$C$3001,MATCH(G107,Pubs!$A$2:$A$3001,0))&amp;"",""))</f>
        <v/>
      </c>
      <c r="J107" s="27" t="str">
        <f aca="false">IF(OR(G107="",G107="?"),"",IFERROR(INDEX(Pubs!$G$2:$G$3001,MATCH(G107,Pubs!$A$2:$A$3001,0))&amp;"",""))</f>
        <v/>
      </c>
      <c r="K107" s="28" t="str">
        <f aca="false">IF(OR(G107="",G107="?"),"",IFERROR(INDEX(Pubs!$E$2:$E$3001,MATCH(G107,Pubs!$A$2:$A$3001,0)),""))</f>
        <v/>
      </c>
      <c r="L107" s="29" t="str">
        <f aca="false">IF(A107="","",IFERROR(1/(1/INDEX(Numéros!$C$2:$C$3001,MATCH(A107&amp;"|"&amp;B107,Numéros!$F$2:$F$3001,0))),""))</f>
        <v/>
      </c>
      <c r="M107" s="27" t="str">
        <f aca="false">IF(OR(G107="",G107="?"),"",IFERROR(INDEX(Pubs!$D$2:$D$3001,MATCH(G107,Pubs!$A$2:$A$3001,0))&amp;"",""))</f>
        <v/>
      </c>
      <c r="N107" s="27" t="n">
        <f aca="false">N(N106)+IF(AND(A107&lt;&gt;"",OR(Recherche!$C$4="",A107=Recherche!$C$4),OR(Recherche!$C$5="",B107&amp;""=Recherche!$C$5&amp;""),OR(Recherche!$C$6="",IFERROR(YEAR(L107),0)=Recherche!$C$6),OR(Recherche!$C$7="",ISNUMBER(SEARCH(Recherche!$C$7,H107))),OR(Recherche!$C$8="",J107=Recherche!$C$8),OR(Recherche!$C$9="",I107=Recherche!$C$9),OR(Recherche!$C$10="",G107&amp;""=Recherche!$C$10&amp;""),OR(Recherche!$C$11="",E107=Recherche!$C$11),OR(Recherche!$C$12="",ISNUMBER(SEARCH(Recherche!$C$12,M107&amp;" "&amp;F107)))),1,0)</f>
        <v>8</v>
      </c>
    </row>
    <row r="108" customFormat="false" ht="15" hidden="false" customHeight="false" outlineLevel="0" collapsed="false">
      <c r="A108" s="19"/>
      <c r="B108" s="19"/>
      <c r="C108" s="19"/>
      <c r="D108" s="19"/>
      <c r="E108" s="22"/>
      <c r="F108" s="19"/>
      <c r="G108" s="26" t="str">
        <f aca="false">IF(D108="","",IFERROR(VALUE(LEFT(D108,FIND(" |",D108&amp;" |")-1)),"?"))</f>
        <v/>
      </c>
      <c r="H108" s="27" t="str">
        <f aca="false">IF(G108="","",IF(G108="?","⚠ pub inconnue",IFERROR(INDEX(Pubs!$B$2:$B$3001,MATCH(G108,Pubs!$A$2:$A$3001,0))&amp;"","⚠ pub inconnue")))</f>
        <v/>
      </c>
      <c r="I108" s="27" t="str">
        <f aca="false">IF(OR(G108="",G108="?"),"",IFERROR(INDEX(Pubs!$C$2:$C$3001,MATCH(G108,Pubs!$A$2:$A$3001,0))&amp;"",""))</f>
        <v/>
      </c>
      <c r="J108" s="27" t="str">
        <f aca="false">IF(OR(G108="",G108="?"),"",IFERROR(INDEX(Pubs!$G$2:$G$3001,MATCH(G108,Pubs!$A$2:$A$3001,0))&amp;"",""))</f>
        <v/>
      </c>
      <c r="K108" s="28" t="str">
        <f aca="false">IF(OR(G108="",G108="?"),"",IFERROR(INDEX(Pubs!$E$2:$E$3001,MATCH(G108,Pubs!$A$2:$A$3001,0)),""))</f>
        <v/>
      </c>
      <c r="L108" s="29" t="str">
        <f aca="false">IF(A108="","",IFERROR(1/(1/INDEX(Numéros!$C$2:$C$3001,MATCH(A108&amp;"|"&amp;B108,Numéros!$F$2:$F$3001,0))),""))</f>
        <v/>
      </c>
      <c r="M108" s="27" t="str">
        <f aca="false">IF(OR(G108="",G108="?"),"",IFERROR(INDEX(Pubs!$D$2:$D$3001,MATCH(G108,Pubs!$A$2:$A$3001,0))&amp;"",""))</f>
        <v/>
      </c>
      <c r="N108" s="27" t="n">
        <f aca="false">N(N107)+IF(AND(A108&lt;&gt;"",OR(Recherche!$C$4="",A108=Recherche!$C$4),OR(Recherche!$C$5="",B108&amp;""=Recherche!$C$5&amp;""),OR(Recherche!$C$6="",IFERROR(YEAR(L108),0)=Recherche!$C$6),OR(Recherche!$C$7="",ISNUMBER(SEARCH(Recherche!$C$7,H108))),OR(Recherche!$C$8="",J108=Recherche!$C$8),OR(Recherche!$C$9="",I108=Recherche!$C$9),OR(Recherche!$C$10="",G108&amp;""=Recherche!$C$10&amp;""),OR(Recherche!$C$11="",E108=Recherche!$C$11),OR(Recherche!$C$12="",ISNUMBER(SEARCH(Recherche!$C$12,M108&amp;" "&amp;F108)))),1,0)</f>
        <v>8</v>
      </c>
    </row>
    <row r="109" customFormat="false" ht="15" hidden="false" customHeight="false" outlineLevel="0" collapsed="false">
      <c r="A109" s="19"/>
      <c r="B109" s="19"/>
      <c r="C109" s="19"/>
      <c r="D109" s="19"/>
      <c r="E109" s="22"/>
      <c r="F109" s="19"/>
      <c r="G109" s="26" t="str">
        <f aca="false">IF(D109="","",IFERROR(VALUE(LEFT(D109,FIND(" |",D109&amp;" |")-1)),"?"))</f>
        <v/>
      </c>
      <c r="H109" s="27" t="str">
        <f aca="false">IF(G109="","",IF(G109="?","⚠ pub inconnue",IFERROR(INDEX(Pubs!$B$2:$B$3001,MATCH(G109,Pubs!$A$2:$A$3001,0))&amp;"","⚠ pub inconnue")))</f>
        <v/>
      </c>
      <c r="I109" s="27" t="str">
        <f aca="false">IF(OR(G109="",G109="?"),"",IFERROR(INDEX(Pubs!$C$2:$C$3001,MATCH(G109,Pubs!$A$2:$A$3001,0))&amp;"",""))</f>
        <v/>
      </c>
      <c r="J109" s="27" t="str">
        <f aca="false">IF(OR(G109="",G109="?"),"",IFERROR(INDEX(Pubs!$G$2:$G$3001,MATCH(G109,Pubs!$A$2:$A$3001,0))&amp;"",""))</f>
        <v/>
      </c>
      <c r="K109" s="28" t="str">
        <f aca="false">IF(OR(G109="",G109="?"),"",IFERROR(INDEX(Pubs!$E$2:$E$3001,MATCH(G109,Pubs!$A$2:$A$3001,0)),""))</f>
        <v/>
      </c>
      <c r="L109" s="29" t="str">
        <f aca="false">IF(A109="","",IFERROR(1/(1/INDEX(Numéros!$C$2:$C$3001,MATCH(A109&amp;"|"&amp;B109,Numéros!$F$2:$F$3001,0))),""))</f>
        <v/>
      </c>
      <c r="M109" s="27" t="str">
        <f aca="false">IF(OR(G109="",G109="?"),"",IFERROR(INDEX(Pubs!$D$2:$D$3001,MATCH(G109,Pubs!$A$2:$A$3001,0))&amp;"",""))</f>
        <v/>
      </c>
      <c r="N109" s="27" t="n">
        <f aca="false">N(N108)+IF(AND(A109&lt;&gt;"",OR(Recherche!$C$4="",A109=Recherche!$C$4),OR(Recherche!$C$5="",B109&amp;""=Recherche!$C$5&amp;""),OR(Recherche!$C$6="",IFERROR(YEAR(L109),0)=Recherche!$C$6),OR(Recherche!$C$7="",ISNUMBER(SEARCH(Recherche!$C$7,H109))),OR(Recherche!$C$8="",J109=Recherche!$C$8),OR(Recherche!$C$9="",I109=Recherche!$C$9),OR(Recherche!$C$10="",G109&amp;""=Recherche!$C$10&amp;""),OR(Recherche!$C$11="",E109=Recherche!$C$11),OR(Recherche!$C$12="",ISNUMBER(SEARCH(Recherche!$C$12,M109&amp;" "&amp;F109)))),1,0)</f>
        <v>8</v>
      </c>
    </row>
    <row r="110" customFormat="false" ht="15" hidden="false" customHeight="false" outlineLevel="0" collapsed="false">
      <c r="A110" s="19"/>
      <c r="B110" s="19"/>
      <c r="C110" s="19"/>
      <c r="D110" s="19"/>
      <c r="E110" s="22"/>
      <c r="F110" s="19"/>
      <c r="G110" s="26" t="str">
        <f aca="false">IF(D110="","",IFERROR(VALUE(LEFT(D110,FIND(" |",D110&amp;" |")-1)),"?"))</f>
        <v/>
      </c>
      <c r="H110" s="27" t="str">
        <f aca="false">IF(G110="","",IF(G110="?","⚠ pub inconnue",IFERROR(INDEX(Pubs!$B$2:$B$3001,MATCH(G110,Pubs!$A$2:$A$3001,0))&amp;"","⚠ pub inconnue")))</f>
        <v/>
      </c>
      <c r="I110" s="27" t="str">
        <f aca="false">IF(OR(G110="",G110="?"),"",IFERROR(INDEX(Pubs!$C$2:$C$3001,MATCH(G110,Pubs!$A$2:$A$3001,0))&amp;"",""))</f>
        <v/>
      </c>
      <c r="J110" s="27" t="str">
        <f aca="false">IF(OR(G110="",G110="?"),"",IFERROR(INDEX(Pubs!$G$2:$G$3001,MATCH(G110,Pubs!$A$2:$A$3001,0))&amp;"",""))</f>
        <v/>
      </c>
      <c r="K110" s="28" t="str">
        <f aca="false">IF(OR(G110="",G110="?"),"",IFERROR(INDEX(Pubs!$E$2:$E$3001,MATCH(G110,Pubs!$A$2:$A$3001,0)),""))</f>
        <v/>
      </c>
      <c r="L110" s="29" t="str">
        <f aca="false">IF(A110="","",IFERROR(1/(1/INDEX(Numéros!$C$2:$C$3001,MATCH(A110&amp;"|"&amp;B110,Numéros!$F$2:$F$3001,0))),""))</f>
        <v/>
      </c>
      <c r="M110" s="27" t="str">
        <f aca="false">IF(OR(G110="",G110="?"),"",IFERROR(INDEX(Pubs!$D$2:$D$3001,MATCH(G110,Pubs!$A$2:$A$3001,0))&amp;"",""))</f>
        <v/>
      </c>
      <c r="N110" s="27" t="n">
        <f aca="false">N(N109)+IF(AND(A110&lt;&gt;"",OR(Recherche!$C$4="",A110=Recherche!$C$4),OR(Recherche!$C$5="",B110&amp;""=Recherche!$C$5&amp;""),OR(Recherche!$C$6="",IFERROR(YEAR(L110),0)=Recherche!$C$6),OR(Recherche!$C$7="",ISNUMBER(SEARCH(Recherche!$C$7,H110))),OR(Recherche!$C$8="",J110=Recherche!$C$8),OR(Recherche!$C$9="",I110=Recherche!$C$9),OR(Recherche!$C$10="",G110&amp;""=Recherche!$C$10&amp;""),OR(Recherche!$C$11="",E110=Recherche!$C$11),OR(Recherche!$C$12="",ISNUMBER(SEARCH(Recherche!$C$12,M110&amp;" "&amp;F110)))),1,0)</f>
        <v>8</v>
      </c>
    </row>
    <row r="111" customFormat="false" ht="15" hidden="false" customHeight="false" outlineLevel="0" collapsed="false">
      <c r="A111" s="19"/>
      <c r="B111" s="19"/>
      <c r="C111" s="19"/>
      <c r="D111" s="19"/>
      <c r="E111" s="22"/>
      <c r="F111" s="19"/>
      <c r="G111" s="26" t="str">
        <f aca="false">IF(D111="","",IFERROR(VALUE(LEFT(D111,FIND(" |",D111&amp;" |")-1)),"?"))</f>
        <v/>
      </c>
      <c r="H111" s="27" t="str">
        <f aca="false">IF(G111="","",IF(G111="?","⚠ pub inconnue",IFERROR(INDEX(Pubs!$B$2:$B$3001,MATCH(G111,Pubs!$A$2:$A$3001,0))&amp;"","⚠ pub inconnue")))</f>
        <v/>
      </c>
      <c r="I111" s="27" t="str">
        <f aca="false">IF(OR(G111="",G111="?"),"",IFERROR(INDEX(Pubs!$C$2:$C$3001,MATCH(G111,Pubs!$A$2:$A$3001,0))&amp;"",""))</f>
        <v/>
      </c>
      <c r="J111" s="27" t="str">
        <f aca="false">IF(OR(G111="",G111="?"),"",IFERROR(INDEX(Pubs!$G$2:$G$3001,MATCH(G111,Pubs!$A$2:$A$3001,0))&amp;"",""))</f>
        <v/>
      </c>
      <c r="K111" s="28" t="str">
        <f aca="false">IF(OR(G111="",G111="?"),"",IFERROR(INDEX(Pubs!$E$2:$E$3001,MATCH(G111,Pubs!$A$2:$A$3001,0)),""))</f>
        <v/>
      </c>
      <c r="L111" s="29" t="str">
        <f aca="false">IF(A111="","",IFERROR(1/(1/INDEX(Numéros!$C$2:$C$3001,MATCH(A111&amp;"|"&amp;B111,Numéros!$F$2:$F$3001,0))),""))</f>
        <v/>
      </c>
      <c r="M111" s="27" t="str">
        <f aca="false">IF(OR(G111="",G111="?"),"",IFERROR(INDEX(Pubs!$D$2:$D$3001,MATCH(G111,Pubs!$A$2:$A$3001,0))&amp;"",""))</f>
        <v/>
      </c>
      <c r="N111" s="27" t="n">
        <f aca="false">N(N110)+IF(AND(A111&lt;&gt;"",OR(Recherche!$C$4="",A111=Recherche!$C$4),OR(Recherche!$C$5="",B111&amp;""=Recherche!$C$5&amp;""),OR(Recherche!$C$6="",IFERROR(YEAR(L111),0)=Recherche!$C$6),OR(Recherche!$C$7="",ISNUMBER(SEARCH(Recherche!$C$7,H111))),OR(Recherche!$C$8="",J111=Recherche!$C$8),OR(Recherche!$C$9="",I111=Recherche!$C$9),OR(Recherche!$C$10="",G111&amp;""=Recherche!$C$10&amp;""),OR(Recherche!$C$11="",E111=Recherche!$C$11),OR(Recherche!$C$12="",ISNUMBER(SEARCH(Recherche!$C$12,M111&amp;" "&amp;F111)))),1,0)</f>
        <v>8</v>
      </c>
    </row>
    <row r="112" customFormat="false" ht="15" hidden="false" customHeight="false" outlineLevel="0" collapsed="false">
      <c r="A112" s="19"/>
      <c r="B112" s="19"/>
      <c r="C112" s="19"/>
      <c r="D112" s="19"/>
      <c r="E112" s="22"/>
      <c r="F112" s="19"/>
      <c r="G112" s="26" t="str">
        <f aca="false">IF(D112="","",IFERROR(VALUE(LEFT(D112,FIND(" |",D112&amp;" |")-1)),"?"))</f>
        <v/>
      </c>
      <c r="H112" s="27" t="str">
        <f aca="false">IF(G112="","",IF(G112="?","⚠ pub inconnue",IFERROR(INDEX(Pubs!$B$2:$B$3001,MATCH(G112,Pubs!$A$2:$A$3001,0))&amp;"","⚠ pub inconnue")))</f>
        <v/>
      </c>
      <c r="I112" s="27" t="str">
        <f aca="false">IF(OR(G112="",G112="?"),"",IFERROR(INDEX(Pubs!$C$2:$C$3001,MATCH(G112,Pubs!$A$2:$A$3001,0))&amp;"",""))</f>
        <v/>
      </c>
      <c r="J112" s="27" t="str">
        <f aca="false">IF(OR(G112="",G112="?"),"",IFERROR(INDEX(Pubs!$G$2:$G$3001,MATCH(G112,Pubs!$A$2:$A$3001,0))&amp;"",""))</f>
        <v/>
      </c>
      <c r="K112" s="28" t="str">
        <f aca="false">IF(OR(G112="",G112="?"),"",IFERROR(INDEX(Pubs!$E$2:$E$3001,MATCH(G112,Pubs!$A$2:$A$3001,0)),""))</f>
        <v/>
      </c>
      <c r="L112" s="29" t="str">
        <f aca="false">IF(A112="","",IFERROR(1/(1/INDEX(Numéros!$C$2:$C$3001,MATCH(A112&amp;"|"&amp;B112,Numéros!$F$2:$F$3001,0))),""))</f>
        <v/>
      </c>
      <c r="M112" s="27" t="str">
        <f aca="false">IF(OR(G112="",G112="?"),"",IFERROR(INDEX(Pubs!$D$2:$D$3001,MATCH(G112,Pubs!$A$2:$A$3001,0))&amp;"",""))</f>
        <v/>
      </c>
      <c r="N112" s="27" t="n">
        <f aca="false">N(N111)+IF(AND(A112&lt;&gt;"",OR(Recherche!$C$4="",A112=Recherche!$C$4),OR(Recherche!$C$5="",B112&amp;""=Recherche!$C$5&amp;""),OR(Recherche!$C$6="",IFERROR(YEAR(L112),0)=Recherche!$C$6),OR(Recherche!$C$7="",ISNUMBER(SEARCH(Recherche!$C$7,H112))),OR(Recherche!$C$8="",J112=Recherche!$C$8),OR(Recherche!$C$9="",I112=Recherche!$C$9),OR(Recherche!$C$10="",G112&amp;""=Recherche!$C$10&amp;""),OR(Recherche!$C$11="",E112=Recherche!$C$11),OR(Recherche!$C$12="",ISNUMBER(SEARCH(Recherche!$C$12,M112&amp;" "&amp;F112)))),1,0)</f>
        <v>8</v>
      </c>
    </row>
    <row r="113" customFormat="false" ht="15" hidden="false" customHeight="false" outlineLevel="0" collapsed="false">
      <c r="A113" s="19"/>
      <c r="B113" s="19"/>
      <c r="C113" s="19"/>
      <c r="D113" s="19"/>
      <c r="E113" s="22"/>
      <c r="F113" s="19"/>
      <c r="G113" s="26" t="str">
        <f aca="false">IF(D113="","",IFERROR(VALUE(LEFT(D113,FIND(" |",D113&amp;" |")-1)),"?"))</f>
        <v/>
      </c>
      <c r="H113" s="27" t="str">
        <f aca="false">IF(G113="","",IF(G113="?","⚠ pub inconnue",IFERROR(INDEX(Pubs!$B$2:$B$3001,MATCH(G113,Pubs!$A$2:$A$3001,0))&amp;"","⚠ pub inconnue")))</f>
        <v/>
      </c>
      <c r="I113" s="27" t="str">
        <f aca="false">IF(OR(G113="",G113="?"),"",IFERROR(INDEX(Pubs!$C$2:$C$3001,MATCH(G113,Pubs!$A$2:$A$3001,0))&amp;"",""))</f>
        <v/>
      </c>
      <c r="J113" s="27" t="str">
        <f aca="false">IF(OR(G113="",G113="?"),"",IFERROR(INDEX(Pubs!$G$2:$G$3001,MATCH(G113,Pubs!$A$2:$A$3001,0))&amp;"",""))</f>
        <v/>
      </c>
      <c r="K113" s="28" t="str">
        <f aca="false">IF(OR(G113="",G113="?"),"",IFERROR(INDEX(Pubs!$E$2:$E$3001,MATCH(G113,Pubs!$A$2:$A$3001,0)),""))</f>
        <v/>
      </c>
      <c r="L113" s="29" t="str">
        <f aca="false">IF(A113="","",IFERROR(1/(1/INDEX(Numéros!$C$2:$C$3001,MATCH(A113&amp;"|"&amp;B113,Numéros!$F$2:$F$3001,0))),""))</f>
        <v/>
      </c>
      <c r="M113" s="27" t="str">
        <f aca="false">IF(OR(G113="",G113="?"),"",IFERROR(INDEX(Pubs!$D$2:$D$3001,MATCH(G113,Pubs!$A$2:$A$3001,0))&amp;"",""))</f>
        <v/>
      </c>
      <c r="N113" s="27" t="n">
        <f aca="false">N(N112)+IF(AND(A113&lt;&gt;"",OR(Recherche!$C$4="",A113=Recherche!$C$4),OR(Recherche!$C$5="",B113&amp;""=Recherche!$C$5&amp;""),OR(Recherche!$C$6="",IFERROR(YEAR(L113),0)=Recherche!$C$6),OR(Recherche!$C$7="",ISNUMBER(SEARCH(Recherche!$C$7,H113))),OR(Recherche!$C$8="",J113=Recherche!$C$8),OR(Recherche!$C$9="",I113=Recherche!$C$9),OR(Recherche!$C$10="",G113&amp;""=Recherche!$C$10&amp;""),OR(Recherche!$C$11="",E113=Recherche!$C$11),OR(Recherche!$C$12="",ISNUMBER(SEARCH(Recherche!$C$12,M113&amp;" "&amp;F113)))),1,0)</f>
        <v>8</v>
      </c>
    </row>
    <row r="114" customFormat="false" ht="15" hidden="false" customHeight="false" outlineLevel="0" collapsed="false">
      <c r="A114" s="19"/>
      <c r="B114" s="19"/>
      <c r="C114" s="19"/>
      <c r="D114" s="19"/>
      <c r="E114" s="22"/>
      <c r="F114" s="19"/>
      <c r="G114" s="26" t="str">
        <f aca="false">IF(D114="","",IFERROR(VALUE(LEFT(D114,FIND(" |",D114&amp;" |")-1)),"?"))</f>
        <v/>
      </c>
      <c r="H114" s="27" t="str">
        <f aca="false">IF(G114="","",IF(G114="?","⚠ pub inconnue",IFERROR(INDEX(Pubs!$B$2:$B$3001,MATCH(G114,Pubs!$A$2:$A$3001,0))&amp;"","⚠ pub inconnue")))</f>
        <v/>
      </c>
      <c r="I114" s="27" t="str">
        <f aca="false">IF(OR(G114="",G114="?"),"",IFERROR(INDEX(Pubs!$C$2:$C$3001,MATCH(G114,Pubs!$A$2:$A$3001,0))&amp;"",""))</f>
        <v/>
      </c>
      <c r="J114" s="27" t="str">
        <f aca="false">IF(OR(G114="",G114="?"),"",IFERROR(INDEX(Pubs!$G$2:$G$3001,MATCH(G114,Pubs!$A$2:$A$3001,0))&amp;"",""))</f>
        <v/>
      </c>
      <c r="K114" s="28" t="str">
        <f aca="false">IF(OR(G114="",G114="?"),"",IFERROR(INDEX(Pubs!$E$2:$E$3001,MATCH(G114,Pubs!$A$2:$A$3001,0)),""))</f>
        <v/>
      </c>
      <c r="L114" s="29" t="str">
        <f aca="false">IF(A114="","",IFERROR(1/(1/INDEX(Numéros!$C$2:$C$3001,MATCH(A114&amp;"|"&amp;B114,Numéros!$F$2:$F$3001,0))),""))</f>
        <v/>
      </c>
      <c r="M114" s="27" t="str">
        <f aca="false">IF(OR(G114="",G114="?"),"",IFERROR(INDEX(Pubs!$D$2:$D$3001,MATCH(G114,Pubs!$A$2:$A$3001,0))&amp;"",""))</f>
        <v/>
      </c>
      <c r="N114" s="27" t="n">
        <f aca="false">N(N113)+IF(AND(A114&lt;&gt;"",OR(Recherche!$C$4="",A114=Recherche!$C$4),OR(Recherche!$C$5="",B114&amp;""=Recherche!$C$5&amp;""),OR(Recherche!$C$6="",IFERROR(YEAR(L114),0)=Recherche!$C$6),OR(Recherche!$C$7="",ISNUMBER(SEARCH(Recherche!$C$7,H114))),OR(Recherche!$C$8="",J114=Recherche!$C$8),OR(Recherche!$C$9="",I114=Recherche!$C$9),OR(Recherche!$C$10="",G114&amp;""=Recherche!$C$10&amp;""),OR(Recherche!$C$11="",E114=Recherche!$C$11),OR(Recherche!$C$12="",ISNUMBER(SEARCH(Recherche!$C$12,M114&amp;" "&amp;F114)))),1,0)</f>
        <v>8</v>
      </c>
    </row>
    <row r="115" customFormat="false" ht="15" hidden="false" customHeight="false" outlineLevel="0" collapsed="false">
      <c r="A115" s="19"/>
      <c r="B115" s="19"/>
      <c r="C115" s="19"/>
      <c r="D115" s="19"/>
      <c r="E115" s="22"/>
      <c r="F115" s="19"/>
      <c r="G115" s="26" t="str">
        <f aca="false">IF(D115="","",IFERROR(VALUE(LEFT(D115,FIND(" |",D115&amp;" |")-1)),"?"))</f>
        <v/>
      </c>
      <c r="H115" s="27" t="str">
        <f aca="false">IF(G115="","",IF(G115="?","⚠ pub inconnue",IFERROR(INDEX(Pubs!$B$2:$B$3001,MATCH(G115,Pubs!$A$2:$A$3001,0))&amp;"","⚠ pub inconnue")))</f>
        <v/>
      </c>
      <c r="I115" s="27" t="str">
        <f aca="false">IF(OR(G115="",G115="?"),"",IFERROR(INDEX(Pubs!$C$2:$C$3001,MATCH(G115,Pubs!$A$2:$A$3001,0))&amp;"",""))</f>
        <v/>
      </c>
      <c r="J115" s="27" t="str">
        <f aca="false">IF(OR(G115="",G115="?"),"",IFERROR(INDEX(Pubs!$G$2:$G$3001,MATCH(G115,Pubs!$A$2:$A$3001,0))&amp;"",""))</f>
        <v/>
      </c>
      <c r="K115" s="28" t="str">
        <f aca="false">IF(OR(G115="",G115="?"),"",IFERROR(INDEX(Pubs!$E$2:$E$3001,MATCH(G115,Pubs!$A$2:$A$3001,0)),""))</f>
        <v/>
      </c>
      <c r="L115" s="29" t="str">
        <f aca="false">IF(A115="","",IFERROR(1/(1/INDEX(Numéros!$C$2:$C$3001,MATCH(A115&amp;"|"&amp;B115,Numéros!$F$2:$F$3001,0))),""))</f>
        <v/>
      </c>
      <c r="M115" s="27" t="str">
        <f aca="false">IF(OR(G115="",G115="?"),"",IFERROR(INDEX(Pubs!$D$2:$D$3001,MATCH(G115,Pubs!$A$2:$A$3001,0))&amp;"",""))</f>
        <v/>
      </c>
      <c r="N115" s="27" t="n">
        <f aca="false">N(N114)+IF(AND(A115&lt;&gt;"",OR(Recherche!$C$4="",A115=Recherche!$C$4),OR(Recherche!$C$5="",B115&amp;""=Recherche!$C$5&amp;""),OR(Recherche!$C$6="",IFERROR(YEAR(L115),0)=Recherche!$C$6),OR(Recherche!$C$7="",ISNUMBER(SEARCH(Recherche!$C$7,H115))),OR(Recherche!$C$8="",J115=Recherche!$C$8),OR(Recherche!$C$9="",I115=Recherche!$C$9),OR(Recherche!$C$10="",G115&amp;""=Recherche!$C$10&amp;""),OR(Recherche!$C$11="",E115=Recherche!$C$11),OR(Recherche!$C$12="",ISNUMBER(SEARCH(Recherche!$C$12,M115&amp;" "&amp;F115)))),1,0)</f>
        <v>8</v>
      </c>
    </row>
    <row r="116" customFormat="false" ht="15" hidden="false" customHeight="false" outlineLevel="0" collapsed="false">
      <c r="A116" s="19"/>
      <c r="B116" s="19"/>
      <c r="C116" s="19"/>
      <c r="D116" s="19"/>
      <c r="E116" s="22"/>
      <c r="F116" s="19"/>
      <c r="G116" s="26" t="str">
        <f aca="false">IF(D116="","",IFERROR(VALUE(LEFT(D116,FIND(" |",D116&amp;" |")-1)),"?"))</f>
        <v/>
      </c>
      <c r="H116" s="27" t="str">
        <f aca="false">IF(G116="","",IF(G116="?","⚠ pub inconnue",IFERROR(INDEX(Pubs!$B$2:$B$3001,MATCH(G116,Pubs!$A$2:$A$3001,0))&amp;"","⚠ pub inconnue")))</f>
        <v/>
      </c>
      <c r="I116" s="27" t="str">
        <f aca="false">IF(OR(G116="",G116="?"),"",IFERROR(INDEX(Pubs!$C$2:$C$3001,MATCH(G116,Pubs!$A$2:$A$3001,0))&amp;"",""))</f>
        <v/>
      </c>
      <c r="J116" s="27" t="str">
        <f aca="false">IF(OR(G116="",G116="?"),"",IFERROR(INDEX(Pubs!$G$2:$G$3001,MATCH(G116,Pubs!$A$2:$A$3001,0))&amp;"",""))</f>
        <v/>
      </c>
      <c r="K116" s="28" t="str">
        <f aca="false">IF(OR(G116="",G116="?"),"",IFERROR(INDEX(Pubs!$E$2:$E$3001,MATCH(G116,Pubs!$A$2:$A$3001,0)),""))</f>
        <v/>
      </c>
      <c r="L116" s="29" t="str">
        <f aca="false">IF(A116="","",IFERROR(1/(1/INDEX(Numéros!$C$2:$C$3001,MATCH(A116&amp;"|"&amp;B116,Numéros!$F$2:$F$3001,0))),""))</f>
        <v/>
      </c>
      <c r="M116" s="27" t="str">
        <f aca="false">IF(OR(G116="",G116="?"),"",IFERROR(INDEX(Pubs!$D$2:$D$3001,MATCH(G116,Pubs!$A$2:$A$3001,0))&amp;"",""))</f>
        <v/>
      </c>
      <c r="N116" s="27" t="n">
        <f aca="false">N(N115)+IF(AND(A116&lt;&gt;"",OR(Recherche!$C$4="",A116=Recherche!$C$4),OR(Recherche!$C$5="",B116&amp;""=Recherche!$C$5&amp;""),OR(Recherche!$C$6="",IFERROR(YEAR(L116),0)=Recherche!$C$6),OR(Recherche!$C$7="",ISNUMBER(SEARCH(Recherche!$C$7,H116))),OR(Recherche!$C$8="",J116=Recherche!$C$8),OR(Recherche!$C$9="",I116=Recherche!$C$9),OR(Recherche!$C$10="",G116&amp;""=Recherche!$C$10&amp;""),OR(Recherche!$C$11="",E116=Recherche!$C$11),OR(Recherche!$C$12="",ISNUMBER(SEARCH(Recherche!$C$12,M116&amp;" "&amp;F116)))),1,0)</f>
        <v>8</v>
      </c>
    </row>
    <row r="117" customFormat="false" ht="15" hidden="false" customHeight="false" outlineLevel="0" collapsed="false">
      <c r="A117" s="19"/>
      <c r="B117" s="19"/>
      <c r="C117" s="19"/>
      <c r="D117" s="19"/>
      <c r="E117" s="22"/>
      <c r="F117" s="19"/>
      <c r="G117" s="26" t="str">
        <f aca="false">IF(D117="","",IFERROR(VALUE(LEFT(D117,FIND(" |",D117&amp;" |")-1)),"?"))</f>
        <v/>
      </c>
      <c r="H117" s="27" t="str">
        <f aca="false">IF(G117="","",IF(G117="?","⚠ pub inconnue",IFERROR(INDEX(Pubs!$B$2:$B$3001,MATCH(G117,Pubs!$A$2:$A$3001,0))&amp;"","⚠ pub inconnue")))</f>
        <v/>
      </c>
      <c r="I117" s="27" t="str">
        <f aca="false">IF(OR(G117="",G117="?"),"",IFERROR(INDEX(Pubs!$C$2:$C$3001,MATCH(G117,Pubs!$A$2:$A$3001,0))&amp;"",""))</f>
        <v/>
      </c>
      <c r="J117" s="27" t="str">
        <f aca="false">IF(OR(G117="",G117="?"),"",IFERROR(INDEX(Pubs!$G$2:$G$3001,MATCH(G117,Pubs!$A$2:$A$3001,0))&amp;"",""))</f>
        <v/>
      </c>
      <c r="K117" s="28" t="str">
        <f aca="false">IF(OR(G117="",G117="?"),"",IFERROR(INDEX(Pubs!$E$2:$E$3001,MATCH(G117,Pubs!$A$2:$A$3001,0)),""))</f>
        <v/>
      </c>
      <c r="L117" s="29" t="str">
        <f aca="false">IF(A117="","",IFERROR(1/(1/INDEX(Numéros!$C$2:$C$3001,MATCH(A117&amp;"|"&amp;B117,Numéros!$F$2:$F$3001,0))),""))</f>
        <v/>
      </c>
      <c r="M117" s="27" t="str">
        <f aca="false">IF(OR(G117="",G117="?"),"",IFERROR(INDEX(Pubs!$D$2:$D$3001,MATCH(G117,Pubs!$A$2:$A$3001,0))&amp;"",""))</f>
        <v/>
      </c>
      <c r="N117" s="27" t="n">
        <f aca="false">N(N116)+IF(AND(A117&lt;&gt;"",OR(Recherche!$C$4="",A117=Recherche!$C$4),OR(Recherche!$C$5="",B117&amp;""=Recherche!$C$5&amp;""),OR(Recherche!$C$6="",IFERROR(YEAR(L117),0)=Recherche!$C$6),OR(Recherche!$C$7="",ISNUMBER(SEARCH(Recherche!$C$7,H117))),OR(Recherche!$C$8="",J117=Recherche!$C$8),OR(Recherche!$C$9="",I117=Recherche!$C$9),OR(Recherche!$C$10="",G117&amp;""=Recherche!$C$10&amp;""),OR(Recherche!$C$11="",E117=Recherche!$C$11),OR(Recherche!$C$12="",ISNUMBER(SEARCH(Recherche!$C$12,M117&amp;" "&amp;F117)))),1,0)</f>
        <v>8</v>
      </c>
    </row>
    <row r="118" customFormat="false" ht="15" hidden="false" customHeight="false" outlineLevel="0" collapsed="false">
      <c r="A118" s="19"/>
      <c r="B118" s="19"/>
      <c r="C118" s="19"/>
      <c r="D118" s="19"/>
      <c r="E118" s="22"/>
      <c r="F118" s="19"/>
      <c r="G118" s="26" t="str">
        <f aca="false">IF(D118="","",IFERROR(VALUE(LEFT(D118,FIND(" |",D118&amp;" |")-1)),"?"))</f>
        <v/>
      </c>
      <c r="H118" s="27" t="str">
        <f aca="false">IF(G118="","",IF(G118="?","⚠ pub inconnue",IFERROR(INDEX(Pubs!$B$2:$B$3001,MATCH(G118,Pubs!$A$2:$A$3001,0))&amp;"","⚠ pub inconnue")))</f>
        <v/>
      </c>
      <c r="I118" s="27" t="str">
        <f aca="false">IF(OR(G118="",G118="?"),"",IFERROR(INDEX(Pubs!$C$2:$C$3001,MATCH(G118,Pubs!$A$2:$A$3001,0))&amp;"",""))</f>
        <v/>
      </c>
      <c r="J118" s="27" t="str">
        <f aca="false">IF(OR(G118="",G118="?"),"",IFERROR(INDEX(Pubs!$G$2:$G$3001,MATCH(G118,Pubs!$A$2:$A$3001,0))&amp;"",""))</f>
        <v/>
      </c>
      <c r="K118" s="28" t="str">
        <f aca="false">IF(OR(G118="",G118="?"),"",IFERROR(INDEX(Pubs!$E$2:$E$3001,MATCH(G118,Pubs!$A$2:$A$3001,0)),""))</f>
        <v/>
      </c>
      <c r="L118" s="29" t="str">
        <f aca="false">IF(A118="","",IFERROR(1/(1/INDEX(Numéros!$C$2:$C$3001,MATCH(A118&amp;"|"&amp;B118,Numéros!$F$2:$F$3001,0))),""))</f>
        <v/>
      </c>
      <c r="M118" s="27" t="str">
        <f aca="false">IF(OR(G118="",G118="?"),"",IFERROR(INDEX(Pubs!$D$2:$D$3001,MATCH(G118,Pubs!$A$2:$A$3001,0))&amp;"",""))</f>
        <v/>
      </c>
      <c r="N118" s="27" t="n">
        <f aca="false">N(N117)+IF(AND(A118&lt;&gt;"",OR(Recherche!$C$4="",A118=Recherche!$C$4),OR(Recherche!$C$5="",B118&amp;""=Recherche!$C$5&amp;""),OR(Recherche!$C$6="",IFERROR(YEAR(L118),0)=Recherche!$C$6),OR(Recherche!$C$7="",ISNUMBER(SEARCH(Recherche!$C$7,H118))),OR(Recherche!$C$8="",J118=Recherche!$C$8),OR(Recherche!$C$9="",I118=Recherche!$C$9),OR(Recherche!$C$10="",G118&amp;""=Recherche!$C$10&amp;""),OR(Recherche!$C$11="",E118=Recherche!$C$11),OR(Recherche!$C$12="",ISNUMBER(SEARCH(Recherche!$C$12,M118&amp;" "&amp;F118)))),1,0)</f>
        <v>8</v>
      </c>
    </row>
    <row r="119" customFormat="false" ht="15" hidden="false" customHeight="false" outlineLevel="0" collapsed="false">
      <c r="A119" s="19"/>
      <c r="B119" s="19"/>
      <c r="C119" s="19"/>
      <c r="D119" s="19"/>
      <c r="E119" s="22"/>
      <c r="F119" s="19"/>
      <c r="G119" s="26" t="str">
        <f aca="false">IF(D119="","",IFERROR(VALUE(LEFT(D119,FIND(" |",D119&amp;" |")-1)),"?"))</f>
        <v/>
      </c>
      <c r="H119" s="27" t="str">
        <f aca="false">IF(G119="","",IF(G119="?","⚠ pub inconnue",IFERROR(INDEX(Pubs!$B$2:$B$3001,MATCH(G119,Pubs!$A$2:$A$3001,0))&amp;"","⚠ pub inconnue")))</f>
        <v/>
      </c>
      <c r="I119" s="27" t="str">
        <f aca="false">IF(OR(G119="",G119="?"),"",IFERROR(INDEX(Pubs!$C$2:$C$3001,MATCH(G119,Pubs!$A$2:$A$3001,0))&amp;"",""))</f>
        <v/>
      </c>
      <c r="J119" s="27" t="str">
        <f aca="false">IF(OR(G119="",G119="?"),"",IFERROR(INDEX(Pubs!$G$2:$G$3001,MATCH(G119,Pubs!$A$2:$A$3001,0))&amp;"",""))</f>
        <v/>
      </c>
      <c r="K119" s="28" t="str">
        <f aca="false">IF(OR(G119="",G119="?"),"",IFERROR(INDEX(Pubs!$E$2:$E$3001,MATCH(G119,Pubs!$A$2:$A$3001,0)),""))</f>
        <v/>
      </c>
      <c r="L119" s="29" t="str">
        <f aca="false">IF(A119="","",IFERROR(1/(1/INDEX(Numéros!$C$2:$C$3001,MATCH(A119&amp;"|"&amp;B119,Numéros!$F$2:$F$3001,0))),""))</f>
        <v/>
      </c>
      <c r="M119" s="27" t="str">
        <f aca="false">IF(OR(G119="",G119="?"),"",IFERROR(INDEX(Pubs!$D$2:$D$3001,MATCH(G119,Pubs!$A$2:$A$3001,0))&amp;"",""))</f>
        <v/>
      </c>
      <c r="N119" s="27" t="n">
        <f aca="false">N(N118)+IF(AND(A119&lt;&gt;"",OR(Recherche!$C$4="",A119=Recherche!$C$4),OR(Recherche!$C$5="",B119&amp;""=Recherche!$C$5&amp;""),OR(Recherche!$C$6="",IFERROR(YEAR(L119),0)=Recherche!$C$6),OR(Recherche!$C$7="",ISNUMBER(SEARCH(Recherche!$C$7,H119))),OR(Recherche!$C$8="",J119=Recherche!$C$8),OR(Recherche!$C$9="",I119=Recherche!$C$9),OR(Recherche!$C$10="",G119&amp;""=Recherche!$C$10&amp;""),OR(Recherche!$C$11="",E119=Recherche!$C$11),OR(Recherche!$C$12="",ISNUMBER(SEARCH(Recherche!$C$12,M119&amp;" "&amp;F119)))),1,0)</f>
        <v>8</v>
      </c>
    </row>
    <row r="120" customFormat="false" ht="15" hidden="false" customHeight="false" outlineLevel="0" collapsed="false">
      <c r="A120" s="19"/>
      <c r="B120" s="19"/>
      <c r="C120" s="19"/>
      <c r="D120" s="19"/>
      <c r="E120" s="22"/>
      <c r="F120" s="19"/>
      <c r="G120" s="26" t="str">
        <f aca="false">IF(D120="","",IFERROR(VALUE(LEFT(D120,FIND(" |",D120&amp;" |")-1)),"?"))</f>
        <v/>
      </c>
      <c r="H120" s="27" t="str">
        <f aca="false">IF(G120="","",IF(G120="?","⚠ pub inconnue",IFERROR(INDEX(Pubs!$B$2:$B$3001,MATCH(G120,Pubs!$A$2:$A$3001,0))&amp;"","⚠ pub inconnue")))</f>
        <v/>
      </c>
      <c r="I120" s="27" t="str">
        <f aca="false">IF(OR(G120="",G120="?"),"",IFERROR(INDEX(Pubs!$C$2:$C$3001,MATCH(G120,Pubs!$A$2:$A$3001,0))&amp;"",""))</f>
        <v/>
      </c>
      <c r="J120" s="27" t="str">
        <f aca="false">IF(OR(G120="",G120="?"),"",IFERROR(INDEX(Pubs!$G$2:$G$3001,MATCH(G120,Pubs!$A$2:$A$3001,0))&amp;"",""))</f>
        <v/>
      </c>
      <c r="K120" s="28" t="str">
        <f aca="false">IF(OR(G120="",G120="?"),"",IFERROR(INDEX(Pubs!$E$2:$E$3001,MATCH(G120,Pubs!$A$2:$A$3001,0)),""))</f>
        <v/>
      </c>
      <c r="L120" s="29" t="str">
        <f aca="false">IF(A120="","",IFERROR(1/(1/INDEX(Numéros!$C$2:$C$3001,MATCH(A120&amp;"|"&amp;B120,Numéros!$F$2:$F$3001,0))),""))</f>
        <v/>
      </c>
      <c r="M120" s="27" t="str">
        <f aca="false">IF(OR(G120="",G120="?"),"",IFERROR(INDEX(Pubs!$D$2:$D$3001,MATCH(G120,Pubs!$A$2:$A$3001,0))&amp;"",""))</f>
        <v/>
      </c>
      <c r="N120" s="27" t="n">
        <f aca="false">N(N119)+IF(AND(A120&lt;&gt;"",OR(Recherche!$C$4="",A120=Recherche!$C$4),OR(Recherche!$C$5="",B120&amp;""=Recherche!$C$5&amp;""),OR(Recherche!$C$6="",IFERROR(YEAR(L120),0)=Recherche!$C$6),OR(Recherche!$C$7="",ISNUMBER(SEARCH(Recherche!$C$7,H120))),OR(Recherche!$C$8="",J120=Recherche!$C$8),OR(Recherche!$C$9="",I120=Recherche!$C$9),OR(Recherche!$C$10="",G120&amp;""=Recherche!$C$10&amp;""),OR(Recherche!$C$11="",E120=Recherche!$C$11),OR(Recherche!$C$12="",ISNUMBER(SEARCH(Recherche!$C$12,M120&amp;" "&amp;F120)))),1,0)</f>
        <v>8</v>
      </c>
    </row>
    <row r="121" customFormat="false" ht="15" hidden="false" customHeight="false" outlineLevel="0" collapsed="false">
      <c r="A121" s="19"/>
      <c r="B121" s="19"/>
      <c r="C121" s="19"/>
      <c r="D121" s="19"/>
      <c r="E121" s="22"/>
      <c r="F121" s="19"/>
      <c r="G121" s="26" t="str">
        <f aca="false">IF(D121="","",IFERROR(VALUE(LEFT(D121,FIND(" |",D121&amp;" |")-1)),"?"))</f>
        <v/>
      </c>
      <c r="H121" s="27" t="str">
        <f aca="false">IF(G121="","",IF(G121="?","⚠ pub inconnue",IFERROR(INDEX(Pubs!$B$2:$B$3001,MATCH(G121,Pubs!$A$2:$A$3001,0))&amp;"","⚠ pub inconnue")))</f>
        <v/>
      </c>
      <c r="I121" s="27" t="str">
        <f aca="false">IF(OR(G121="",G121="?"),"",IFERROR(INDEX(Pubs!$C$2:$C$3001,MATCH(G121,Pubs!$A$2:$A$3001,0))&amp;"",""))</f>
        <v/>
      </c>
      <c r="J121" s="27" t="str">
        <f aca="false">IF(OR(G121="",G121="?"),"",IFERROR(INDEX(Pubs!$G$2:$G$3001,MATCH(G121,Pubs!$A$2:$A$3001,0))&amp;"",""))</f>
        <v/>
      </c>
      <c r="K121" s="28" t="str">
        <f aca="false">IF(OR(G121="",G121="?"),"",IFERROR(INDEX(Pubs!$E$2:$E$3001,MATCH(G121,Pubs!$A$2:$A$3001,0)),""))</f>
        <v/>
      </c>
      <c r="L121" s="29" t="str">
        <f aca="false">IF(A121="","",IFERROR(1/(1/INDEX(Numéros!$C$2:$C$3001,MATCH(A121&amp;"|"&amp;B121,Numéros!$F$2:$F$3001,0))),""))</f>
        <v/>
      </c>
      <c r="M121" s="27" t="str">
        <f aca="false">IF(OR(G121="",G121="?"),"",IFERROR(INDEX(Pubs!$D$2:$D$3001,MATCH(G121,Pubs!$A$2:$A$3001,0))&amp;"",""))</f>
        <v/>
      </c>
      <c r="N121" s="27" t="n">
        <f aca="false">N(N120)+IF(AND(A121&lt;&gt;"",OR(Recherche!$C$4="",A121=Recherche!$C$4),OR(Recherche!$C$5="",B121&amp;""=Recherche!$C$5&amp;""),OR(Recherche!$C$6="",IFERROR(YEAR(L121),0)=Recherche!$C$6),OR(Recherche!$C$7="",ISNUMBER(SEARCH(Recherche!$C$7,H121))),OR(Recherche!$C$8="",J121=Recherche!$C$8),OR(Recherche!$C$9="",I121=Recherche!$C$9),OR(Recherche!$C$10="",G121&amp;""=Recherche!$C$10&amp;""),OR(Recherche!$C$11="",E121=Recherche!$C$11),OR(Recherche!$C$12="",ISNUMBER(SEARCH(Recherche!$C$12,M121&amp;" "&amp;F121)))),1,0)</f>
        <v>8</v>
      </c>
    </row>
    <row r="122" customFormat="false" ht="15" hidden="false" customHeight="false" outlineLevel="0" collapsed="false">
      <c r="A122" s="19"/>
      <c r="B122" s="19"/>
      <c r="C122" s="19"/>
      <c r="D122" s="19"/>
      <c r="E122" s="22"/>
      <c r="F122" s="19"/>
      <c r="G122" s="26" t="str">
        <f aca="false">IF(D122="","",IFERROR(VALUE(LEFT(D122,FIND(" |",D122&amp;" |")-1)),"?"))</f>
        <v/>
      </c>
      <c r="H122" s="27" t="str">
        <f aca="false">IF(G122="","",IF(G122="?","⚠ pub inconnue",IFERROR(INDEX(Pubs!$B$2:$B$3001,MATCH(G122,Pubs!$A$2:$A$3001,0))&amp;"","⚠ pub inconnue")))</f>
        <v/>
      </c>
      <c r="I122" s="27" t="str">
        <f aca="false">IF(OR(G122="",G122="?"),"",IFERROR(INDEX(Pubs!$C$2:$C$3001,MATCH(G122,Pubs!$A$2:$A$3001,0))&amp;"",""))</f>
        <v/>
      </c>
      <c r="J122" s="27" t="str">
        <f aca="false">IF(OR(G122="",G122="?"),"",IFERROR(INDEX(Pubs!$G$2:$G$3001,MATCH(G122,Pubs!$A$2:$A$3001,0))&amp;"",""))</f>
        <v/>
      </c>
      <c r="K122" s="28" t="str">
        <f aca="false">IF(OR(G122="",G122="?"),"",IFERROR(INDEX(Pubs!$E$2:$E$3001,MATCH(G122,Pubs!$A$2:$A$3001,0)),""))</f>
        <v/>
      </c>
      <c r="L122" s="29" t="str">
        <f aca="false">IF(A122="","",IFERROR(1/(1/INDEX(Numéros!$C$2:$C$3001,MATCH(A122&amp;"|"&amp;B122,Numéros!$F$2:$F$3001,0))),""))</f>
        <v/>
      </c>
      <c r="M122" s="27" t="str">
        <f aca="false">IF(OR(G122="",G122="?"),"",IFERROR(INDEX(Pubs!$D$2:$D$3001,MATCH(G122,Pubs!$A$2:$A$3001,0))&amp;"",""))</f>
        <v/>
      </c>
      <c r="N122" s="27" t="n">
        <f aca="false">N(N121)+IF(AND(A122&lt;&gt;"",OR(Recherche!$C$4="",A122=Recherche!$C$4),OR(Recherche!$C$5="",B122&amp;""=Recherche!$C$5&amp;""),OR(Recherche!$C$6="",IFERROR(YEAR(L122),0)=Recherche!$C$6),OR(Recherche!$C$7="",ISNUMBER(SEARCH(Recherche!$C$7,H122))),OR(Recherche!$C$8="",J122=Recherche!$C$8),OR(Recherche!$C$9="",I122=Recherche!$C$9),OR(Recherche!$C$10="",G122&amp;""=Recherche!$C$10&amp;""),OR(Recherche!$C$11="",E122=Recherche!$C$11),OR(Recherche!$C$12="",ISNUMBER(SEARCH(Recherche!$C$12,M122&amp;" "&amp;F122)))),1,0)</f>
        <v>8</v>
      </c>
    </row>
    <row r="123" customFormat="false" ht="15" hidden="false" customHeight="false" outlineLevel="0" collapsed="false">
      <c r="A123" s="19"/>
      <c r="B123" s="19"/>
      <c r="C123" s="19"/>
      <c r="D123" s="19"/>
      <c r="E123" s="22"/>
      <c r="F123" s="19"/>
      <c r="G123" s="26" t="str">
        <f aca="false">IF(D123="","",IFERROR(VALUE(LEFT(D123,FIND(" |",D123&amp;" |")-1)),"?"))</f>
        <v/>
      </c>
      <c r="H123" s="27" t="str">
        <f aca="false">IF(G123="","",IF(G123="?","⚠ pub inconnue",IFERROR(INDEX(Pubs!$B$2:$B$3001,MATCH(G123,Pubs!$A$2:$A$3001,0))&amp;"","⚠ pub inconnue")))</f>
        <v/>
      </c>
      <c r="I123" s="27" t="str">
        <f aca="false">IF(OR(G123="",G123="?"),"",IFERROR(INDEX(Pubs!$C$2:$C$3001,MATCH(G123,Pubs!$A$2:$A$3001,0))&amp;"",""))</f>
        <v/>
      </c>
      <c r="J123" s="27" t="str">
        <f aca="false">IF(OR(G123="",G123="?"),"",IFERROR(INDEX(Pubs!$G$2:$G$3001,MATCH(G123,Pubs!$A$2:$A$3001,0))&amp;"",""))</f>
        <v/>
      </c>
      <c r="K123" s="28" t="str">
        <f aca="false">IF(OR(G123="",G123="?"),"",IFERROR(INDEX(Pubs!$E$2:$E$3001,MATCH(G123,Pubs!$A$2:$A$3001,0)),""))</f>
        <v/>
      </c>
      <c r="L123" s="29" t="str">
        <f aca="false">IF(A123="","",IFERROR(1/(1/INDEX(Numéros!$C$2:$C$3001,MATCH(A123&amp;"|"&amp;B123,Numéros!$F$2:$F$3001,0))),""))</f>
        <v/>
      </c>
      <c r="M123" s="27" t="str">
        <f aca="false">IF(OR(G123="",G123="?"),"",IFERROR(INDEX(Pubs!$D$2:$D$3001,MATCH(G123,Pubs!$A$2:$A$3001,0))&amp;"",""))</f>
        <v/>
      </c>
      <c r="N123" s="27" t="n">
        <f aca="false">N(N122)+IF(AND(A123&lt;&gt;"",OR(Recherche!$C$4="",A123=Recherche!$C$4),OR(Recherche!$C$5="",B123&amp;""=Recherche!$C$5&amp;""),OR(Recherche!$C$6="",IFERROR(YEAR(L123),0)=Recherche!$C$6),OR(Recherche!$C$7="",ISNUMBER(SEARCH(Recherche!$C$7,H123))),OR(Recherche!$C$8="",J123=Recherche!$C$8),OR(Recherche!$C$9="",I123=Recherche!$C$9),OR(Recherche!$C$10="",G123&amp;""=Recherche!$C$10&amp;""),OR(Recherche!$C$11="",E123=Recherche!$C$11),OR(Recherche!$C$12="",ISNUMBER(SEARCH(Recherche!$C$12,M123&amp;" "&amp;F123)))),1,0)</f>
        <v>8</v>
      </c>
    </row>
    <row r="124" customFormat="false" ht="15" hidden="false" customHeight="false" outlineLevel="0" collapsed="false">
      <c r="A124" s="19"/>
      <c r="B124" s="19"/>
      <c r="C124" s="19"/>
      <c r="D124" s="19"/>
      <c r="E124" s="22"/>
      <c r="F124" s="19"/>
      <c r="G124" s="26" t="str">
        <f aca="false">IF(D124="","",IFERROR(VALUE(LEFT(D124,FIND(" |",D124&amp;" |")-1)),"?"))</f>
        <v/>
      </c>
      <c r="H124" s="27" t="str">
        <f aca="false">IF(G124="","",IF(G124="?","⚠ pub inconnue",IFERROR(INDEX(Pubs!$B$2:$B$3001,MATCH(G124,Pubs!$A$2:$A$3001,0))&amp;"","⚠ pub inconnue")))</f>
        <v/>
      </c>
      <c r="I124" s="27" t="str">
        <f aca="false">IF(OR(G124="",G124="?"),"",IFERROR(INDEX(Pubs!$C$2:$C$3001,MATCH(G124,Pubs!$A$2:$A$3001,0))&amp;"",""))</f>
        <v/>
      </c>
      <c r="J124" s="27" t="str">
        <f aca="false">IF(OR(G124="",G124="?"),"",IFERROR(INDEX(Pubs!$G$2:$G$3001,MATCH(G124,Pubs!$A$2:$A$3001,0))&amp;"",""))</f>
        <v/>
      </c>
      <c r="K124" s="28" t="str">
        <f aca="false">IF(OR(G124="",G124="?"),"",IFERROR(INDEX(Pubs!$E$2:$E$3001,MATCH(G124,Pubs!$A$2:$A$3001,0)),""))</f>
        <v/>
      </c>
      <c r="L124" s="29" t="str">
        <f aca="false">IF(A124="","",IFERROR(1/(1/INDEX(Numéros!$C$2:$C$3001,MATCH(A124&amp;"|"&amp;B124,Numéros!$F$2:$F$3001,0))),""))</f>
        <v/>
      </c>
      <c r="M124" s="27" t="str">
        <f aca="false">IF(OR(G124="",G124="?"),"",IFERROR(INDEX(Pubs!$D$2:$D$3001,MATCH(G124,Pubs!$A$2:$A$3001,0))&amp;"",""))</f>
        <v/>
      </c>
      <c r="N124" s="27" t="n">
        <f aca="false">N(N123)+IF(AND(A124&lt;&gt;"",OR(Recherche!$C$4="",A124=Recherche!$C$4),OR(Recherche!$C$5="",B124&amp;""=Recherche!$C$5&amp;""),OR(Recherche!$C$6="",IFERROR(YEAR(L124),0)=Recherche!$C$6),OR(Recherche!$C$7="",ISNUMBER(SEARCH(Recherche!$C$7,H124))),OR(Recherche!$C$8="",J124=Recherche!$C$8),OR(Recherche!$C$9="",I124=Recherche!$C$9),OR(Recherche!$C$10="",G124&amp;""=Recherche!$C$10&amp;""),OR(Recherche!$C$11="",E124=Recherche!$C$11),OR(Recherche!$C$12="",ISNUMBER(SEARCH(Recherche!$C$12,M124&amp;" "&amp;F124)))),1,0)</f>
        <v>8</v>
      </c>
    </row>
    <row r="125" customFormat="false" ht="15" hidden="false" customHeight="false" outlineLevel="0" collapsed="false">
      <c r="A125" s="19"/>
      <c r="B125" s="19"/>
      <c r="C125" s="19"/>
      <c r="D125" s="19"/>
      <c r="E125" s="22"/>
      <c r="F125" s="19"/>
      <c r="G125" s="26" t="str">
        <f aca="false">IF(D125="","",IFERROR(VALUE(LEFT(D125,FIND(" |",D125&amp;" |")-1)),"?"))</f>
        <v/>
      </c>
      <c r="H125" s="27" t="str">
        <f aca="false">IF(G125="","",IF(G125="?","⚠ pub inconnue",IFERROR(INDEX(Pubs!$B$2:$B$3001,MATCH(G125,Pubs!$A$2:$A$3001,0))&amp;"","⚠ pub inconnue")))</f>
        <v/>
      </c>
      <c r="I125" s="27" t="str">
        <f aca="false">IF(OR(G125="",G125="?"),"",IFERROR(INDEX(Pubs!$C$2:$C$3001,MATCH(G125,Pubs!$A$2:$A$3001,0))&amp;"",""))</f>
        <v/>
      </c>
      <c r="J125" s="27" t="str">
        <f aca="false">IF(OR(G125="",G125="?"),"",IFERROR(INDEX(Pubs!$G$2:$G$3001,MATCH(G125,Pubs!$A$2:$A$3001,0))&amp;"",""))</f>
        <v/>
      </c>
      <c r="K125" s="28" t="str">
        <f aca="false">IF(OR(G125="",G125="?"),"",IFERROR(INDEX(Pubs!$E$2:$E$3001,MATCH(G125,Pubs!$A$2:$A$3001,0)),""))</f>
        <v/>
      </c>
      <c r="L125" s="29" t="str">
        <f aca="false">IF(A125="","",IFERROR(1/(1/INDEX(Numéros!$C$2:$C$3001,MATCH(A125&amp;"|"&amp;B125,Numéros!$F$2:$F$3001,0))),""))</f>
        <v/>
      </c>
      <c r="M125" s="27" t="str">
        <f aca="false">IF(OR(G125="",G125="?"),"",IFERROR(INDEX(Pubs!$D$2:$D$3001,MATCH(G125,Pubs!$A$2:$A$3001,0))&amp;"",""))</f>
        <v/>
      </c>
      <c r="N125" s="27" t="n">
        <f aca="false">N(N124)+IF(AND(A125&lt;&gt;"",OR(Recherche!$C$4="",A125=Recherche!$C$4),OR(Recherche!$C$5="",B125&amp;""=Recherche!$C$5&amp;""),OR(Recherche!$C$6="",IFERROR(YEAR(L125),0)=Recherche!$C$6),OR(Recherche!$C$7="",ISNUMBER(SEARCH(Recherche!$C$7,H125))),OR(Recherche!$C$8="",J125=Recherche!$C$8),OR(Recherche!$C$9="",I125=Recherche!$C$9),OR(Recherche!$C$10="",G125&amp;""=Recherche!$C$10&amp;""),OR(Recherche!$C$11="",E125=Recherche!$C$11),OR(Recherche!$C$12="",ISNUMBER(SEARCH(Recherche!$C$12,M125&amp;" "&amp;F125)))),1,0)</f>
        <v>8</v>
      </c>
    </row>
    <row r="126" customFormat="false" ht="15" hidden="false" customHeight="false" outlineLevel="0" collapsed="false">
      <c r="A126" s="19"/>
      <c r="B126" s="19"/>
      <c r="C126" s="19"/>
      <c r="D126" s="19"/>
      <c r="E126" s="22"/>
      <c r="F126" s="19"/>
      <c r="G126" s="26" t="str">
        <f aca="false">IF(D126="","",IFERROR(VALUE(LEFT(D126,FIND(" |",D126&amp;" |")-1)),"?"))</f>
        <v/>
      </c>
      <c r="H126" s="27" t="str">
        <f aca="false">IF(G126="","",IF(G126="?","⚠ pub inconnue",IFERROR(INDEX(Pubs!$B$2:$B$3001,MATCH(G126,Pubs!$A$2:$A$3001,0))&amp;"","⚠ pub inconnue")))</f>
        <v/>
      </c>
      <c r="I126" s="27" t="str">
        <f aca="false">IF(OR(G126="",G126="?"),"",IFERROR(INDEX(Pubs!$C$2:$C$3001,MATCH(G126,Pubs!$A$2:$A$3001,0))&amp;"",""))</f>
        <v/>
      </c>
      <c r="J126" s="27" t="str">
        <f aca="false">IF(OR(G126="",G126="?"),"",IFERROR(INDEX(Pubs!$G$2:$G$3001,MATCH(G126,Pubs!$A$2:$A$3001,0))&amp;"",""))</f>
        <v/>
      </c>
      <c r="K126" s="28" t="str">
        <f aca="false">IF(OR(G126="",G126="?"),"",IFERROR(INDEX(Pubs!$E$2:$E$3001,MATCH(G126,Pubs!$A$2:$A$3001,0)),""))</f>
        <v/>
      </c>
      <c r="L126" s="29" t="str">
        <f aca="false">IF(A126="","",IFERROR(1/(1/INDEX(Numéros!$C$2:$C$3001,MATCH(A126&amp;"|"&amp;B126,Numéros!$F$2:$F$3001,0))),""))</f>
        <v/>
      </c>
      <c r="M126" s="27" t="str">
        <f aca="false">IF(OR(G126="",G126="?"),"",IFERROR(INDEX(Pubs!$D$2:$D$3001,MATCH(G126,Pubs!$A$2:$A$3001,0))&amp;"",""))</f>
        <v/>
      </c>
      <c r="N126" s="27" t="n">
        <f aca="false">N(N125)+IF(AND(A126&lt;&gt;"",OR(Recherche!$C$4="",A126=Recherche!$C$4),OR(Recherche!$C$5="",B126&amp;""=Recherche!$C$5&amp;""),OR(Recherche!$C$6="",IFERROR(YEAR(L126),0)=Recherche!$C$6),OR(Recherche!$C$7="",ISNUMBER(SEARCH(Recherche!$C$7,H126))),OR(Recherche!$C$8="",J126=Recherche!$C$8),OR(Recherche!$C$9="",I126=Recherche!$C$9),OR(Recherche!$C$10="",G126&amp;""=Recherche!$C$10&amp;""),OR(Recherche!$C$11="",E126=Recherche!$C$11),OR(Recherche!$C$12="",ISNUMBER(SEARCH(Recherche!$C$12,M126&amp;" "&amp;F126)))),1,0)</f>
        <v>8</v>
      </c>
    </row>
    <row r="127" customFormat="false" ht="15" hidden="false" customHeight="false" outlineLevel="0" collapsed="false">
      <c r="A127" s="19"/>
      <c r="B127" s="19"/>
      <c r="C127" s="19"/>
      <c r="D127" s="19"/>
      <c r="E127" s="22"/>
      <c r="F127" s="19"/>
      <c r="G127" s="26" t="str">
        <f aca="false">IF(D127="","",IFERROR(VALUE(LEFT(D127,FIND(" |",D127&amp;" |")-1)),"?"))</f>
        <v/>
      </c>
      <c r="H127" s="27" t="str">
        <f aca="false">IF(G127="","",IF(G127="?","⚠ pub inconnue",IFERROR(INDEX(Pubs!$B$2:$B$3001,MATCH(G127,Pubs!$A$2:$A$3001,0))&amp;"","⚠ pub inconnue")))</f>
        <v/>
      </c>
      <c r="I127" s="27" t="str">
        <f aca="false">IF(OR(G127="",G127="?"),"",IFERROR(INDEX(Pubs!$C$2:$C$3001,MATCH(G127,Pubs!$A$2:$A$3001,0))&amp;"",""))</f>
        <v/>
      </c>
      <c r="J127" s="27" t="str">
        <f aca="false">IF(OR(G127="",G127="?"),"",IFERROR(INDEX(Pubs!$G$2:$G$3001,MATCH(G127,Pubs!$A$2:$A$3001,0))&amp;"",""))</f>
        <v/>
      </c>
      <c r="K127" s="28" t="str">
        <f aca="false">IF(OR(G127="",G127="?"),"",IFERROR(INDEX(Pubs!$E$2:$E$3001,MATCH(G127,Pubs!$A$2:$A$3001,0)),""))</f>
        <v/>
      </c>
      <c r="L127" s="29" t="str">
        <f aca="false">IF(A127="","",IFERROR(1/(1/INDEX(Numéros!$C$2:$C$3001,MATCH(A127&amp;"|"&amp;B127,Numéros!$F$2:$F$3001,0))),""))</f>
        <v/>
      </c>
      <c r="M127" s="27" t="str">
        <f aca="false">IF(OR(G127="",G127="?"),"",IFERROR(INDEX(Pubs!$D$2:$D$3001,MATCH(G127,Pubs!$A$2:$A$3001,0))&amp;"",""))</f>
        <v/>
      </c>
      <c r="N127" s="27" t="n">
        <f aca="false">N(N126)+IF(AND(A127&lt;&gt;"",OR(Recherche!$C$4="",A127=Recherche!$C$4),OR(Recherche!$C$5="",B127&amp;""=Recherche!$C$5&amp;""),OR(Recherche!$C$6="",IFERROR(YEAR(L127),0)=Recherche!$C$6),OR(Recherche!$C$7="",ISNUMBER(SEARCH(Recherche!$C$7,H127))),OR(Recherche!$C$8="",J127=Recherche!$C$8),OR(Recherche!$C$9="",I127=Recherche!$C$9),OR(Recherche!$C$10="",G127&amp;""=Recherche!$C$10&amp;""),OR(Recherche!$C$11="",E127=Recherche!$C$11),OR(Recherche!$C$12="",ISNUMBER(SEARCH(Recherche!$C$12,M127&amp;" "&amp;F127)))),1,0)</f>
        <v>8</v>
      </c>
    </row>
    <row r="128" customFormat="false" ht="15" hidden="false" customHeight="false" outlineLevel="0" collapsed="false">
      <c r="A128" s="19"/>
      <c r="B128" s="19"/>
      <c r="C128" s="19"/>
      <c r="D128" s="19"/>
      <c r="E128" s="22"/>
      <c r="F128" s="19"/>
      <c r="G128" s="26" t="str">
        <f aca="false">IF(D128="","",IFERROR(VALUE(LEFT(D128,FIND(" |",D128&amp;" |")-1)),"?"))</f>
        <v/>
      </c>
      <c r="H128" s="27" t="str">
        <f aca="false">IF(G128="","",IF(G128="?","⚠ pub inconnue",IFERROR(INDEX(Pubs!$B$2:$B$3001,MATCH(G128,Pubs!$A$2:$A$3001,0))&amp;"","⚠ pub inconnue")))</f>
        <v/>
      </c>
      <c r="I128" s="27" t="str">
        <f aca="false">IF(OR(G128="",G128="?"),"",IFERROR(INDEX(Pubs!$C$2:$C$3001,MATCH(G128,Pubs!$A$2:$A$3001,0))&amp;"",""))</f>
        <v/>
      </c>
      <c r="J128" s="27" t="str">
        <f aca="false">IF(OR(G128="",G128="?"),"",IFERROR(INDEX(Pubs!$G$2:$G$3001,MATCH(G128,Pubs!$A$2:$A$3001,0))&amp;"",""))</f>
        <v/>
      </c>
      <c r="K128" s="28" t="str">
        <f aca="false">IF(OR(G128="",G128="?"),"",IFERROR(INDEX(Pubs!$E$2:$E$3001,MATCH(G128,Pubs!$A$2:$A$3001,0)),""))</f>
        <v/>
      </c>
      <c r="L128" s="29" t="str">
        <f aca="false">IF(A128="","",IFERROR(1/(1/INDEX(Numéros!$C$2:$C$3001,MATCH(A128&amp;"|"&amp;B128,Numéros!$F$2:$F$3001,0))),""))</f>
        <v/>
      </c>
      <c r="M128" s="27" t="str">
        <f aca="false">IF(OR(G128="",G128="?"),"",IFERROR(INDEX(Pubs!$D$2:$D$3001,MATCH(G128,Pubs!$A$2:$A$3001,0))&amp;"",""))</f>
        <v/>
      </c>
      <c r="N128" s="27" t="n">
        <f aca="false">N(N127)+IF(AND(A128&lt;&gt;"",OR(Recherche!$C$4="",A128=Recherche!$C$4),OR(Recherche!$C$5="",B128&amp;""=Recherche!$C$5&amp;""),OR(Recherche!$C$6="",IFERROR(YEAR(L128),0)=Recherche!$C$6),OR(Recherche!$C$7="",ISNUMBER(SEARCH(Recherche!$C$7,H128))),OR(Recherche!$C$8="",J128=Recherche!$C$8),OR(Recherche!$C$9="",I128=Recherche!$C$9),OR(Recherche!$C$10="",G128&amp;""=Recherche!$C$10&amp;""),OR(Recherche!$C$11="",E128=Recherche!$C$11),OR(Recherche!$C$12="",ISNUMBER(SEARCH(Recherche!$C$12,M128&amp;" "&amp;F128)))),1,0)</f>
        <v>8</v>
      </c>
    </row>
    <row r="129" customFormat="false" ht="15" hidden="false" customHeight="false" outlineLevel="0" collapsed="false">
      <c r="A129" s="19"/>
      <c r="B129" s="19"/>
      <c r="C129" s="19"/>
      <c r="D129" s="19"/>
      <c r="E129" s="22"/>
      <c r="F129" s="19"/>
      <c r="G129" s="26" t="str">
        <f aca="false">IF(D129="","",IFERROR(VALUE(LEFT(D129,FIND(" |",D129&amp;" |")-1)),"?"))</f>
        <v/>
      </c>
      <c r="H129" s="27" t="str">
        <f aca="false">IF(G129="","",IF(G129="?","⚠ pub inconnue",IFERROR(INDEX(Pubs!$B$2:$B$3001,MATCH(G129,Pubs!$A$2:$A$3001,0))&amp;"","⚠ pub inconnue")))</f>
        <v/>
      </c>
      <c r="I129" s="27" t="str">
        <f aca="false">IF(OR(G129="",G129="?"),"",IFERROR(INDEX(Pubs!$C$2:$C$3001,MATCH(G129,Pubs!$A$2:$A$3001,0))&amp;"",""))</f>
        <v/>
      </c>
      <c r="J129" s="27" t="str">
        <f aca="false">IF(OR(G129="",G129="?"),"",IFERROR(INDEX(Pubs!$G$2:$G$3001,MATCH(G129,Pubs!$A$2:$A$3001,0))&amp;"",""))</f>
        <v/>
      </c>
      <c r="K129" s="28" t="str">
        <f aca="false">IF(OR(G129="",G129="?"),"",IFERROR(INDEX(Pubs!$E$2:$E$3001,MATCH(G129,Pubs!$A$2:$A$3001,0)),""))</f>
        <v/>
      </c>
      <c r="L129" s="29" t="str">
        <f aca="false">IF(A129="","",IFERROR(1/(1/INDEX(Numéros!$C$2:$C$3001,MATCH(A129&amp;"|"&amp;B129,Numéros!$F$2:$F$3001,0))),""))</f>
        <v/>
      </c>
      <c r="M129" s="27" t="str">
        <f aca="false">IF(OR(G129="",G129="?"),"",IFERROR(INDEX(Pubs!$D$2:$D$3001,MATCH(G129,Pubs!$A$2:$A$3001,0))&amp;"",""))</f>
        <v/>
      </c>
      <c r="N129" s="27" t="n">
        <f aca="false">N(N128)+IF(AND(A129&lt;&gt;"",OR(Recherche!$C$4="",A129=Recherche!$C$4),OR(Recherche!$C$5="",B129&amp;""=Recherche!$C$5&amp;""),OR(Recherche!$C$6="",IFERROR(YEAR(L129),0)=Recherche!$C$6),OR(Recherche!$C$7="",ISNUMBER(SEARCH(Recherche!$C$7,H129))),OR(Recherche!$C$8="",J129=Recherche!$C$8),OR(Recherche!$C$9="",I129=Recherche!$C$9),OR(Recherche!$C$10="",G129&amp;""=Recherche!$C$10&amp;""),OR(Recherche!$C$11="",E129=Recherche!$C$11),OR(Recherche!$C$12="",ISNUMBER(SEARCH(Recherche!$C$12,M129&amp;" "&amp;F129)))),1,0)</f>
        <v>8</v>
      </c>
    </row>
    <row r="130" customFormat="false" ht="15" hidden="false" customHeight="false" outlineLevel="0" collapsed="false">
      <c r="A130" s="19"/>
      <c r="B130" s="19"/>
      <c r="C130" s="19"/>
      <c r="D130" s="19"/>
      <c r="E130" s="22"/>
      <c r="F130" s="19"/>
      <c r="G130" s="26" t="str">
        <f aca="false">IF(D130="","",IFERROR(VALUE(LEFT(D130,FIND(" |",D130&amp;" |")-1)),"?"))</f>
        <v/>
      </c>
      <c r="H130" s="27" t="str">
        <f aca="false">IF(G130="","",IF(G130="?","⚠ pub inconnue",IFERROR(INDEX(Pubs!$B$2:$B$3001,MATCH(G130,Pubs!$A$2:$A$3001,0))&amp;"","⚠ pub inconnue")))</f>
        <v/>
      </c>
      <c r="I130" s="27" t="str">
        <f aca="false">IF(OR(G130="",G130="?"),"",IFERROR(INDEX(Pubs!$C$2:$C$3001,MATCH(G130,Pubs!$A$2:$A$3001,0))&amp;"",""))</f>
        <v/>
      </c>
      <c r="J130" s="27" t="str">
        <f aca="false">IF(OR(G130="",G130="?"),"",IFERROR(INDEX(Pubs!$G$2:$G$3001,MATCH(G130,Pubs!$A$2:$A$3001,0))&amp;"",""))</f>
        <v/>
      </c>
      <c r="K130" s="28" t="str">
        <f aca="false">IF(OR(G130="",G130="?"),"",IFERROR(INDEX(Pubs!$E$2:$E$3001,MATCH(G130,Pubs!$A$2:$A$3001,0)),""))</f>
        <v/>
      </c>
      <c r="L130" s="29" t="str">
        <f aca="false">IF(A130="","",IFERROR(1/(1/INDEX(Numéros!$C$2:$C$3001,MATCH(A130&amp;"|"&amp;B130,Numéros!$F$2:$F$3001,0))),""))</f>
        <v/>
      </c>
      <c r="M130" s="27" t="str">
        <f aca="false">IF(OR(G130="",G130="?"),"",IFERROR(INDEX(Pubs!$D$2:$D$3001,MATCH(G130,Pubs!$A$2:$A$3001,0))&amp;"",""))</f>
        <v/>
      </c>
      <c r="N130" s="27" t="n">
        <f aca="false">N(N129)+IF(AND(A130&lt;&gt;"",OR(Recherche!$C$4="",A130=Recherche!$C$4),OR(Recherche!$C$5="",B130&amp;""=Recherche!$C$5&amp;""),OR(Recherche!$C$6="",IFERROR(YEAR(L130),0)=Recherche!$C$6),OR(Recherche!$C$7="",ISNUMBER(SEARCH(Recherche!$C$7,H130))),OR(Recherche!$C$8="",J130=Recherche!$C$8),OR(Recherche!$C$9="",I130=Recherche!$C$9),OR(Recherche!$C$10="",G130&amp;""=Recherche!$C$10&amp;""),OR(Recherche!$C$11="",E130=Recherche!$C$11),OR(Recherche!$C$12="",ISNUMBER(SEARCH(Recherche!$C$12,M130&amp;" "&amp;F130)))),1,0)</f>
        <v>8</v>
      </c>
    </row>
    <row r="131" customFormat="false" ht="15" hidden="false" customHeight="false" outlineLevel="0" collapsed="false">
      <c r="A131" s="19"/>
      <c r="B131" s="19"/>
      <c r="C131" s="19"/>
      <c r="D131" s="19"/>
      <c r="E131" s="22"/>
      <c r="F131" s="19"/>
      <c r="G131" s="26" t="str">
        <f aca="false">IF(D131="","",IFERROR(VALUE(LEFT(D131,FIND(" |",D131&amp;" |")-1)),"?"))</f>
        <v/>
      </c>
      <c r="H131" s="27" t="str">
        <f aca="false">IF(G131="","",IF(G131="?","⚠ pub inconnue",IFERROR(INDEX(Pubs!$B$2:$B$3001,MATCH(G131,Pubs!$A$2:$A$3001,0))&amp;"","⚠ pub inconnue")))</f>
        <v/>
      </c>
      <c r="I131" s="27" t="str">
        <f aca="false">IF(OR(G131="",G131="?"),"",IFERROR(INDEX(Pubs!$C$2:$C$3001,MATCH(G131,Pubs!$A$2:$A$3001,0))&amp;"",""))</f>
        <v/>
      </c>
      <c r="J131" s="27" t="str">
        <f aca="false">IF(OR(G131="",G131="?"),"",IFERROR(INDEX(Pubs!$G$2:$G$3001,MATCH(G131,Pubs!$A$2:$A$3001,0))&amp;"",""))</f>
        <v/>
      </c>
      <c r="K131" s="28" t="str">
        <f aca="false">IF(OR(G131="",G131="?"),"",IFERROR(INDEX(Pubs!$E$2:$E$3001,MATCH(G131,Pubs!$A$2:$A$3001,0)),""))</f>
        <v/>
      </c>
      <c r="L131" s="29" t="str">
        <f aca="false">IF(A131="","",IFERROR(1/(1/INDEX(Numéros!$C$2:$C$3001,MATCH(A131&amp;"|"&amp;B131,Numéros!$F$2:$F$3001,0))),""))</f>
        <v/>
      </c>
      <c r="M131" s="27" t="str">
        <f aca="false">IF(OR(G131="",G131="?"),"",IFERROR(INDEX(Pubs!$D$2:$D$3001,MATCH(G131,Pubs!$A$2:$A$3001,0))&amp;"",""))</f>
        <v/>
      </c>
      <c r="N131" s="27" t="n">
        <f aca="false">N(N130)+IF(AND(A131&lt;&gt;"",OR(Recherche!$C$4="",A131=Recherche!$C$4),OR(Recherche!$C$5="",B131&amp;""=Recherche!$C$5&amp;""),OR(Recherche!$C$6="",IFERROR(YEAR(L131),0)=Recherche!$C$6),OR(Recherche!$C$7="",ISNUMBER(SEARCH(Recherche!$C$7,H131))),OR(Recherche!$C$8="",J131=Recherche!$C$8),OR(Recherche!$C$9="",I131=Recherche!$C$9),OR(Recherche!$C$10="",G131&amp;""=Recherche!$C$10&amp;""),OR(Recherche!$C$11="",E131=Recherche!$C$11),OR(Recherche!$C$12="",ISNUMBER(SEARCH(Recherche!$C$12,M131&amp;" "&amp;F131)))),1,0)</f>
        <v>8</v>
      </c>
    </row>
    <row r="132" customFormat="false" ht="15" hidden="false" customHeight="false" outlineLevel="0" collapsed="false">
      <c r="A132" s="19"/>
      <c r="B132" s="19"/>
      <c r="C132" s="19"/>
      <c r="D132" s="19"/>
      <c r="E132" s="22"/>
      <c r="F132" s="19"/>
      <c r="G132" s="26" t="str">
        <f aca="false">IF(D132="","",IFERROR(VALUE(LEFT(D132,FIND(" |",D132&amp;" |")-1)),"?"))</f>
        <v/>
      </c>
      <c r="H132" s="27" t="str">
        <f aca="false">IF(G132="","",IF(G132="?","⚠ pub inconnue",IFERROR(INDEX(Pubs!$B$2:$B$3001,MATCH(G132,Pubs!$A$2:$A$3001,0))&amp;"","⚠ pub inconnue")))</f>
        <v/>
      </c>
      <c r="I132" s="27" t="str">
        <f aca="false">IF(OR(G132="",G132="?"),"",IFERROR(INDEX(Pubs!$C$2:$C$3001,MATCH(G132,Pubs!$A$2:$A$3001,0))&amp;"",""))</f>
        <v/>
      </c>
      <c r="J132" s="27" t="str">
        <f aca="false">IF(OR(G132="",G132="?"),"",IFERROR(INDEX(Pubs!$G$2:$G$3001,MATCH(G132,Pubs!$A$2:$A$3001,0))&amp;"",""))</f>
        <v/>
      </c>
      <c r="K132" s="28" t="str">
        <f aca="false">IF(OR(G132="",G132="?"),"",IFERROR(INDEX(Pubs!$E$2:$E$3001,MATCH(G132,Pubs!$A$2:$A$3001,0)),""))</f>
        <v/>
      </c>
      <c r="L132" s="29" t="str">
        <f aca="false">IF(A132="","",IFERROR(1/(1/INDEX(Numéros!$C$2:$C$3001,MATCH(A132&amp;"|"&amp;B132,Numéros!$F$2:$F$3001,0))),""))</f>
        <v/>
      </c>
      <c r="M132" s="27" t="str">
        <f aca="false">IF(OR(G132="",G132="?"),"",IFERROR(INDEX(Pubs!$D$2:$D$3001,MATCH(G132,Pubs!$A$2:$A$3001,0))&amp;"",""))</f>
        <v/>
      </c>
      <c r="N132" s="27" t="n">
        <f aca="false">N(N131)+IF(AND(A132&lt;&gt;"",OR(Recherche!$C$4="",A132=Recherche!$C$4),OR(Recherche!$C$5="",B132&amp;""=Recherche!$C$5&amp;""),OR(Recherche!$C$6="",IFERROR(YEAR(L132),0)=Recherche!$C$6),OR(Recherche!$C$7="",ISNUMBER(SEARCH(Recherche!$C$7,H132))),OR(Recherche!$C$8="",J132=Recherche!$C$8),OR(Recherche!$C$9="",I132=Recherche!$C$9),OR(Recherche!$C$10="",G132&amp;""=Recherche!$C$10&amp;""),OR(Recherche!$C$11="",E132=Recherche!$C$11),OR(Recherche!$C$12="",ISNUMBER(SEARCH(Recherche!$C$12,M132&amp;" "&amp;F132)))),1,0)</f>
        <v>8</v>
      </c>
    </row>
    <row r="133" customFormat="false" ht="15" hidden="false" customHeight="false" outlineLevel="0" collapsed="false">
      <c r="A133" s="19"/>
      <c r="B133" s="19"/>
      <c r="C133" s="19"/>
      <c r="D133" s="19"/>
      <c r="E133" s="22"/>
      <c r="F133" s="19"/>
      <c r="G133" s="26" t="str">
        <f aca="false">IF(D133="","",IFERROR(VALUE(LEFT(D133,FIND(" |",D133&amp;" |")-1)),"?"))</f>
        <v/>
      </c>
      <c r="H133" s="27" t="str">
        <f aca="false">IF(G133="","",IF(G133="?","⚠ pub inconnue",IFERROR(INDEX(Pubs!$B$2:$B$3001,MATCH(G133,Pubs!$A$2:$A$3001,0))&amp;"","⚠ pub inconnue")))</f>
        <v/>
      </c>
      <c r="I133" s="27" t="str">
        <f aca="false">IF(OR(G133="",G133="?"),"",IFERROR(INDEX(Pubs!$C$2:$C$3001,MATCH(G133,Pubs!$A$2:$A$3001,0))&amp;"",""))</f>
        <v/>
      </c>
      <c r="J133" s="27" t="str">
        <f aca="false">IF(OR(G133="",G133="?"),"",IFERROR(INDEX(Pubs!$G$2:$G$3001,MATCH(G133,Pubs!$A$2:$A$3001,0))&amp;"",""))</f>
        <v/>
      </c>
      <c r="K133" s="28" t="str">
        <f aca="false">IF(OR(G133="",G133="?"),"",IFERROR(INDEX(Pubs!$E$2:$E$3001,MATCH(G133,Pubs!$A$2:$A$3001,0)),""))</f>
        <v/>
      </c>
      <c r="L133" s="29" t="str">
        <f aca="false">IF(A133="","",IFERROR(1/(1/INDEX(Numéros!$C$2:$C$3001,MATCH(A133&amp;"|"&amp;B133,Numéros!$F$2:$F$3001,0))),""))</f>
        <v/>
      </c>
      <c r="M133" s="27" t="str">
        <f aca="false">IF(OR(G133="",G133="?"),"",IFERROR(INDEX(Pubs!$D$2:$D$3001,MATCH(G133,Pubs!$A$2:$A$3001,0))&amp;"",""))</f>
        <v/>
      </c>
      <c r="N133" s="27" t="n">
        <f aca="false">N(N132)+IF(AND(A133&lt;&gt;"",OR(Recherche!$C$4="",A133=Recherche!$C$4),OR(Recherche!$C$5="",B133&amp;""=Recherche!$C$5&amp;""),OR(Recherche!$C$6="",IFERROR(YEAR(L133),0)=Recherche!$C$6),OR(Recherche!$C$7="",ISNUMBER(SEARCH(Recherche!$C$7,H133))),OR(Recherche!$C$8="",J133=Recherche!$C$8),OR(Recherche!$C$9="",I133=Recherche!$C$9),OR(Recherche!$C$10="",G133&amp;""=Recherche!$C$10&amp;""),OR(Recherche!$C$11="",E133=Recherche!$C$11),OR(Recherche!$C$12="",ISNUMBER(SEARCH(Recherche!$C$12,M133&amp;" "&amp;F133)))),1,0)</f>
        <v>8</v>
      </c>
    </row>
    <row r="134" customFormat="false" ht="15" hidden="false" customHeight="false" outlineLevel="0" collapsed="false">
      <c r="A134" s="19"/>
      <c r="B134" s="19"/>
      <c r="C134" s="19"/>
      <c r="D134" s="19"/>
      <c r="E134" s="22"/>
      <c r="F134" s="19"/>
      <c r="G134" s="26" t="str">
        <f aca="false">IF(D134="","",IFERROR(VALUE(LEFT(D134,FIND(" |",D134&amp;" |")-1)),"?"))</f>
        <v/>
      </c>
      <c r="H134" s="27" t="str">
        <f aca="false">IF(G134="","",IF(G134="?","⚠ pub inconnue",IFERROR(INDEX(Pubs!$B$2:$B$3001,MATCH(G134,Pubs!$A$2:$A$3001,0))&amp;"","⚠ pub inconnue")))</f>
        <v/>
      </c>
      <c r="I134" s="27" t="str">
        <f aca="false">IF(OR(G134="",G134="?"),"",IFERROR(INDEX(Pubs!$C$2:$C$3001,MATCH(G134,Pubs!$A$2:$A$3001,0))&amp;"",""))</f>
        <v/>
      </c>
      <c r="J134" s="27" t="str">
        <f aca="false">IF(OR(G134="",G134="?"),"",IFERROR(INDEX(Pubs!$G$2:$G$3001,MATCH(G134,Pubs!$A$2:$A$3001,0))&amp;"",""))</f>
        <v/>
      </c>
      <c r="K134" s="28" t="str">
        <f aca="false">IF(OR(G134="",G134="?"),"",IFERROR(INDEX(Pubs!$E$2:$E$3001,MATCH(G134,Pubs!$A$2:$A$3001,0)),""))</f>
        <v/>
      </c>
      <c r="L134" s="29" t="str">
        <f aca="false">IF(A134="","",IFERROR(1/(1/INDEX(Numéros!$C$2:$C$3001,MATCH(A134&amp;"|"&amp;B134,Numéros!$F$2:$F$3001,0))),""))</f>
        <v/>
      </c>
      <c r="M134" s="27" t="str">
        <f aca="false">IF(OR(G134="",G134="?"),"",IFERROR(INDEX(Pubs!$D$2:$D$3001,MATCH(G134,Pubs!$A$2:$A$3001,0))&amp;"",""))</f>
        <v/>
      </c>
      <c r="N134" s="27" t="n">
        <f aca="false">N(N133)+IF(AND(A134&lt;&gt;"",OR(Recherche!$C$4="",A134=Recherche!$C$4),OR(Recherche!$C$5="",B134&amp;""=Recherche!$C$5&amp;""),OR(Recherche!$C$6="",IFERROR(YEAR(L134),0)=Recherche!$C$6),OR(Recherche!$C$7="",ISNUMBER(SEARCH(Recherche!$C$7,H134))),OR(Recherche!$C$8="",J134=Recherche!$C$8),OR(Recherche!$C$9="",I134=Recherche!$C$9),OR(Recherche!$C$10="",G134&amp;""=Recherche!$C$10&amp;""),OR(Recherche!$C$11="",E134=Recherche!$C$11),OR(Recherche!$C$12="",ISNUMBER(SEARCH(Recherche!$C$12,M134&amp;" "&amp;F134)))),1,0)</f>
        <v>8</v>
      </c>
    </row>
    <row r="135" customFormat="false" ht="15" hidden="false" customHeight="false" outlineLevel="0" collapsed="false">
      <c r="A135" s="19"/>
      <c r="B135" s="19"/>
      <c r="C135" s="19"/>
      <c r="D135" s="19"/>
      <c r="E135" s="22"/>
      <c r="F135" s="19"/>
      <c r="G135" s="26" t="str">
        <f aca="false">IF(D135="","",IFERROR(VALUE(LEFT(D135,FIND(" |",D135&amp;" |")-1)),"?"))</f>
        <v/>
      </c>
      <c r="H135" s="27" t="str">
        <f aca="false">IF(G135="","",IF(G135="?","⚠ pub inconnue",IFERROR(INDEX(Pubs!$B$2:$B$3001,MATCH(G135,Pubs!$A$2:$A$3001,0))&amp;"","⚠ pub inconnue")))</f>
        <v/>
      </c>
      <c r="I135" s="27" t="str">
        <f aca="false">IF(OR(G135="",G135="?"),"",IFERROR(INDEX(Pubs!$C$2:$C$3001,MATCH(G135,Pubs!$A$2:$A$3001,0))&amp;"",""))</f>
        <v/>
      </c>
      <c r="J135" s="27" t="str">
        <f aca="false">IF(OR(G135="",G135="?"),"",IFERROR(INDEX(Pubs!$G$2:$G$3001,MATCH(G135,Pubs!$A$2:$A$3001,0))&amp;"",""))</f>
        <v/>
      </c>
      <c r="K135" s="28" t="str">
        <f aca="false">IF(OR(G135="",G135="?"),"",IFERROR(INDEX(Pubs!$E$2:$E$3001,MATCH(G135,Pubs!$A$2:$A$3001,0)),""))</f>
        <v/>
      </c>
      <c r="L135" s="29" t="str">
        <f aca="false">IF(A135="","",IFERROR(1/(1/INDEX(Numéros!$C$2:$C$3001,MATCH(A135&amp;"|"&amp;B135,Numéros!$F$2:$F$3001,0))),""))</f>
        <v/>
      </c>
      <c r="M135" s="27" t="str">
        <f aca="false">IF(OR(G135="",G135="?"),"",IFERROR(INDEX(Pubs!$D$2:$D$3001,MATCH(G135,Pubs!$A$2:$A$3001,0))&amp;"",""))</f>
        <v/>
      </c>
      <c r="N135" s="27" t="n">
        <f aca="false">N(N134)+IF(AND(A135&lt;&gt;"",OR(Recherche!$C$4="",A135=Recherche!$C$4),OR(Recherche!$C$5="",B135&amp;""=Recherche!$C$5&amp;""),OR(Recherche!$C$6="",IFERROR(YEAR(L135),0)=Recherche!$C$6),OR(Recherche!$C$7="",ISNUMBER(SEARCH(Recherche!$C$7,H135))),OR(Recherche!$C$8="",J135=Recherche!$C$8),OR(Recherche!$C$9="",I135=Recherche!$C$9),OR(Recherche!$C$10="",G135&amp;""=Recherche!$C$10&amp;""),OR(Recherche!$C$11="",E135=Recherche!$C$11),OR(Recherche!$C$12="",ISNUMBER(SEARCH(Recherche!$C$12,M135&amp;" "&amp;F135)))),1,0)</f>
        <v>8</v>
      </c>
    </row>
    <row r="136" customFormat="false" ht="15" hidden="false" customHeight="false" outlineLevel="0" collapsed="false">
      <c r="A136" s="19"/>
      <c r="B136" s="19"/>
      <c r="C136" s="19"/>
      <c r="D136" s="19"/>
      <c r="E136" s="22"/>
      <c r="F136" s="19"/>
      <c r="G136" s="26" t="str">
        <f aca="false">IF(D136="","",IFERROR(VALUE(LEFT(D136,FIND(" |",D136&amp;" |")-1)),"?"))</f>
        <v/>
      </c>
      <c r="H136" s="27" t="str">
        <f aca="false">IF(G136="","",IF(G136="?","⚠ pub inconnue",IFERROR(INDEX(Pubs!$B$2:$B$3001,MATCH(G136,Pubs!$A$2:$A$3001,0))&amp;"","⚠ pub inconnue")))</f>
        <v/>
      </c>
      <c r="I136" s="27" t="str">
        <f aca="false">IF(OR(G136="",G136="?"),"",IFERROR(INDEX(Pubs!$C$2:$C$3001,MATCH(G136,Pubs!$A$2:$A$3001,0))&amp;"",""))</f>
        <v/>
      </c>
      <c r="J136" s="27" t="str">
        <f aca="false">IF(OR(G136="",G136="?"),"",IFERROR(INDEX(Pubs!$G$2:$G$3001,MATCH(G136,Pubs!$A$2:$A$3001,0))&amp;"",""))</f>
        <v/>
      </c>
      <c r="K136" s="28" t="str">
        <f aca="false">IF(OR(G136="",G136="?"),"",IFERROR(INDEX(Pubs!$E$2:$E$3001,MATCH(G136,Pubs!$A$2:$A$3001,0)),""))</f>
        <v/>
      </c>
      <c r="L136" s="29" t="str">
        <f aca="false">IF(A136="","",IFERROR(1/(1/INDEX(Numéros!$C$2:$C$3001,MATCH(A136&amp;"|"&amp;B136,Numéros!$F$2:$F$3001,0))),""))</f>
        <v/>
      </c>
      <c r="M136" s="27" t="str">
        <f aca="false">IF(OR(G136="",G136="?"),"",IFERROR(INDEX(Pubs!$D$2:$D$3001,MATCH(G136,Pubs!$A$2:$A$3001,0))&amp;"",""))</f>
        <v/>
      </c>
      <c r="N136" s="27" t="n">
        <f aca="false">N(N135)+IF(AND(A136&lt;&gt;"",OR(Recherche!$C$4="",A136=Recherche!$C$4),OR(Recherche!$C$5="",B136&amp;""=Recherche!$C$5&amp;""),OR(Recherche!$C$6="",IFERROR(YEAR(L136),0)=Recherche!$C$6),OR(Recherche!$C$7="",ISNUMBER(SEARCH(Recherche!$C$7,H136))),OR(Recherche!$C$8="",J136=Recherche!$C$8),OR(Recherche!$C$9="",I136=Recherche!$C$9),OR(Recherche!$C$10="",G136&amp;""=Recherche!$C$10&amp;""),OR(Recherche!$C$11="",E136=Recherche!$C$11),OR(Recherche!$C$12="",ISNUMBER(SEARCH(Recherche!$C$12,M136&amp;" "&amp;F136)))),1,0)</f>
        <v>8</v>
      </c>
    </row>
    <row r="137" customFormat="false" ht="15" hidden="false" customHeight="false" outlineLevel="0" collapsed="false">
      <c r="A137" s="19"/>
      <c r="B137" s="19"/>
      <c r="C137" s="19"/>
      <c r="D137" s="19"/>
      <c r="E137" s="22"/>
      <c r="F137" s="19"/>
      <c r="G137" s="26" t="str">
        <f aca="false">IF(D137="","",IFERROR(VALUE(LEFT(D137,FIND(" |",D137&amp;" |")-1)),"?"))</f>
        <v/>
      </c>
      <c r="H137" s="27" t="str">
        <f aca="false">IF(G137="","",IF(G137="?","⚠ pub inconnue",IFERROR(INDEX(Pubs!$B$2:$B$3001,MATCH(G137,Pubs!$A$2:$A$3001,0))&amp;"","⚠ pub inconnue")))</f>
        <v/>
      </c>
      <c r="I137" s="27" t="str">
        <f aca="false">IF(OR(G137="",G137="?"),"",IFERROR(INDEX(Pubs!$C$2:$C$3001,MATCH(G137,Pubs!$A$2:$A$3001,0))&amp;"",""))</f>
        <v/>
      </c>
      <c r="J137" s="27" t="str">
        <f aca="false">IF(OR(G137="",G137="?"),"",IFERROR(INDEX(Pubs!$G$2:$G$3001,MATCH(G137,Pubs!$A$2:$A$3001,0))&amp;"",""))</f>
        <v/>
      </c>
      <c r="K137" s="28" t="str">
        <f aca="false">IF(OR(G137="",G137="?"),"",IFERROR(INDEX(Pubs!$E$2:$E$3001,MATCH(G137,Pubs!$A$2:$A$3001,0)),""))</f>
        <v/>
      </c>
      <c r="L137" s="29" t="str">
        <f aca="false">IF(A137="","",IFERROR(1/(1/INDEX(Numéros!$C$2:$C$3001,MATCH(A137&amp;"|"&amp;B137,Numéros!$F$2:$F$3001,0))),""))</f>
        <v/>
      </c>
      <c r="M137" s="27" t="str">
        <f aca="false">IF(OR(G137="",G137="?"),"",IFERROR(INDEX(Pubs!$D$2:$D$3001,MATCH(G137,Pubs!$A$2:$A$3001,0))&amp;"",""))</f>
        <v/>
      </c>
      <c r="N137" s="27" t="n">
        <f aca="false">N(N136)+IF(AND(A137&lt;&gt;"",OR(Recherche!$C$4="",A137=Recherche!$C$4),OR(Recherche!$C$5="",B137&amp;""=Recherche!$C$5&amp;""),OR(Recherche!$C$6="",IFERROR(YEAR(L137),0)=Recherche!$C$6),OR(Recherche!$C$7="",ISNUMBER(SEARCH(Recherche!$C$7,H137))),OR(Recherche!$C$8="",J137=Recherche!$C$8),OR(Recherche!$C$9="",I137=Recherche!$C$9),OR(Recherche!$C$10="",G137&amp;""=Recherche!$C$10&amp;""),OR(Recherche!$C$11="",E137=Recherche!$C$11),OR(Recherche!$C$12="",ISNUMBER(SEARCH(Recherche!$C$12,M137&amp;" "&amp;F137)))),1,0)</f>
        <v>8</v>
      </c>
    </row>
    <row r="138" customFormat="false" ht="15" hidden="false" customHeight="false" outlineLevel="0" collapsed="false">
      <c r="A138" s="19"/>
      <c r="B138" s="19"/>
      <c r="C138" s="19"/>
      <c r="D138" s="19"/>
      <c r="E138" s="22"/>
      <c r="F138" s="19"/>
      <c r="G138" s="26" t="str">
        <f aca="false">IF(D138="","",IFERROR(VALUE(LEFT(D138,FIND(" |",D138&amp;" |")-1)),"?"))</f>
        <v/>
      </c>
      <c r="H138" s="27" t="str">
        <f aca="false">IF(G138="","",IF(G138="?","⚠ pub inconnue",IFERROR(INDEX(Pubs!$B$2:$B$3001,MATCH(G138,Pubs!$A$2:$A$3001,0))&amp;"","⚠ pub inconnue")))</f>
        <v/>
      </c>
      <c r="I138" s="27" t="str">
        <f aca="false">IF(OR(G138="",G138="?"),"",IFERROR(INDEX(Pubs!$C$2:$C$3001,MATCH(G138,Pubs!$A$2:$A$3001,0))&amp;"",""))</f>
        <v/>
      </c>
      <c r="J138" s="27" t="str">
        <f aca="false">IF(OR(G138="",G138="?"),"",IFERROR(INDEX(Pubs!$G$2:$G$3001,MATCH(G138,Pubs!$A$2:$A$3001,0))&amp;"",""))</f>
        <v/>
      </c>
      <c r="K138" s="28" t="str">
        <f aca="false">IF(OR(G138="",G138="?"),"",IFERROR(INDEX(Pubs!$E$2:$E$3001,MATCH(G138,Pubs!$A$2:$A$3001,0)),""))</f>
        <v/>
      </c>
      <c r="L138" s="29" t="str">
        <f aca="false">IF(A138="","",IFERROR(1/(1/INDEX(Numéros!$C$2:$C$3001,MATCH(A138&amp;"|"&amp;B138,Numéros!$F$2:$F$3001,0))),""))</f>
        <v/>
      </c>
      <c r="M138" s="27" t="str">
        <f aca="false">IF(OR(G138="",G138="?"),"",IFERROR(INDEX(Pubs!$D$2:$D$3001,MATCH(G138,Pubs!$A$2:$A$3001,0))&amp;"",""))</f>
        <v/>
      </c>
      <c r="N138" s="27" t="n">
        <f aca="false">N(N137)+IF(AND(A138&lt;&gt;"",OR(Recherche!$C$4="",A138=Recherche!$C$4),OR(Recherche!$C$5="",B138&amp;""=Recherche!$C$5&amp;""),OR(Recherche!$C$6="",IFERROR(YEAR(L138),0)=Recherche!$C$6),OR(Recherche!$C$7="",ISNUMBER(SEARCH(Recherche!$C$7,H138))),OR(Recherche!$C$8="",J138=Recherche!$C$8),OR(Recherche!$C$9="",I138=Recherche!$C$9),OR(Recherche!$C$10="",G138&amp;""=Recherche!$C$10&amp;""),OR(Recherche!$C$11="",E138=Recherche!$C$11),OR(Recherche!$C$12="",ISNUMBER(SEARCH(Recherche!$C$12,M138&amp;" "&amp;F138)))),1,0)</f>
        <v>8</v>
      </c>
    </row>
    <row r="139" customFormat="false" ht="15" hidden="false" customHeight="false" outlineLevel="0" collapsed="false">
      <c r="A139" s="19"/>
      <c r="B139" s="19"/>
      <c r="C139" s="19"/>
      <c r="D139" s="19"/>
      <c r="E139" s="22"/>
      <c r="F139" s="19"/>
      <c r="G139" s="26" t="str">
        <f aca="false">IF(D139="","",IFERROR(VALUE(LEFT(D139,FIND(" |",D139&amp;" |")-1)),"?"))</f>
        <v/>
      </c>
      <c r="H139" s="27" t="str">
        <f aca="false">IF(G139="","",IF(G139="?","⚠ pub inconnue",IFERROR(INDEX(Pubs!$B$2:$B$3001,MATCH(G139,Pubs!$A$2:$A$3001,0))&amp;"","⚠ pub inconnue")))</f>
        <v/>
      </c>
      <c r="I139" s="27" t="str">
        <f aca="false">IF(OR(G139="",G139="?"),"",IFERROR(INDEX(Pubs!$C$2:$C$3001,MATCH(G139,Pubs!$A$2:$A$3001,0))&amp;"",""))</f>
        <v/>
      </c>
      <c r="J139" s="27" t="str">
        <f aca="false">IF(OR(G139="",G139="?"),"",IFERROR(INDEX(Pubs!$G$2:$G$3001,MATCH(G139,Pubs!$A$2:$A$3001,0))&amp;"",""))</f>
        <v/>
      </c>
      <c r="K139" s="28" t="str">
        <f aca="false">IF(OR(G139="",G139="?"),"",IFERROR(INDEX(Pubs!$E$2:$E$3001,MATCH(G139,Pubs!$A$2:$A$3001,0)),""))</f>
        <v/>
      </c>
      <c r="L139" s="29" t="str">
        <f aca="false">IF(A139="","",IFERROR(1/(1/INDEX(Numéros!$C$2:$C$3001,MATCH(A139&amp;"|"&amp;B139,Numéros!$F$2:$F$3001,0))),""))</f>
        <v/>
      </c>
      <c r="M139" s="27" t="str">
        <f aca="false">IF(OR(G139="",G139="?"),"",IFERROR(INDEX(Pubs!$D$2:$D$3001,MATCH(G139,Pubs!$A$2:$A$3001,0))&amp;"",""))</f>
        <v/>
      </c>
      <c r="N139" s="27" t="n">
        <f aca="false">N(N138)+IF(AND(A139&lt;&gt;"",OR(Recherche!$C$4="",A139=Recherche!$C$4),OR(Recherche!$C$5="",B139&amp;""=Recherche!$C$5&amp;""),OR(Recherche!$C$6="",IFERROR(YEAR(L139),0)=Recherche!$C$6),OR(Recherche!$C$7="",ISNUMBER(SEARCH(Recherche!$C$7,H139))),OR(Recherche!$C$8="",J139=Recherche!$C$8),OR(Recherche!$C$9="",I139=Recherche!$C$9),OR(Recherche!$C$10="",G139&amp;""=Recherche!$C$10&amp;""),OR(Recherche!$C$11="",E139=Recherche!$C$11),OR(Recherche!$C$12="",ISNUMBER(SEARCH(Recherche!$C$12,M139&amp;" "&amp;F139)))),1,0)</f>
        <v>8</v>
      </c>
    </row>
    <row r="140" customFormat="false" ht="15" hidden="false" customHeight="false" outlineLevel="0" collapsed="false">
      <c r="A140" s="19"/>
      <c r="B140" s="19"/>
      <c r="C140" s="19"/>
      <c r="D140" s="19"/>
      <c r="E140" s="22"/>
      <c r="F140" s="19"/>
      <c r="G140" s="26" t="str">
        <f aca="false">IF(D140="","",IFERROR(VALUE(LEFT(D140,FIND(" |",D140&amp;" |")-1)),"?"))</f>
        <v/>
      </c>
      <c r="H140" s="27" t="str">
        <f aca="false">IF(G140="","",IF(G140="?","⚠ pub inconnue",IFERROR(INDEX(Pubs!$B$2:$B$3001,MATCH(G140,Pubs!$A$2:$A$3001,0))&amp;"","⚠ pub inconnue")))</f>
        <v/>
      </c>
      <c r="I140" s="27" t="str">
        <f aca="false">IF(OR(G140="",G140="?"),"",IFERROR(INDEX(Pubs!$C$2:$C$3001,MATCH(G140,Pubs!$A$2:$A$3001,0))&amp;"",""))</f>
        <v/>
      </c>
      <c r="J140" s="27" t="str">
        <f aca="false">IF(OR(G140="",G140="?"),"",IFERROR(INDEX(Pubs!$G$2:$G$3001,MATCH(G140,Pubs!$A$2:$A$3001,0))&amp;"",""))</f>
        <v/>
      </c>
      <c r="K140" s="28" t="str">
        <f aca="false">IF(OR(G140="",G140="?"),"",IFERROR(INDEX(Pubs!$E$2:$E$3001,MATCH(G140,Pubs!$A$2:$A$3001,0)),""))</f>
        <v/>
      </c>
      <c r="L140" s="29" t="str">
        <f aca="false">IF(A140="","",IFERROR(1/(1/INDEX(Numéros!$C$2:$C$3001,MATCH(A140&amp;"|"&amp;B140,Numéros!$F$2:$F$3001,0))),""))</f>
        <v/>
      </c>
      <c r="M140" s="27" t="str">
        <f aca="false">IF(OR(G140="",G140="?"),"",IFERROR(INDEX(Pubs!$D$2:$D$3001,MATCH(G140,Pubs!$A$2:$A$3001,0))&amp;"",""))</f>
        <v/>
      </c>
      <c r="N140" s="27" t="n">
        <f aca="false">N(N139)+IF(AND(A140&lt;&gt;"",OR(Recherche!$C$4="",A140=Recherche!$C$4),OR(Recherche!$C$5="",B140&amp;""=Recherche!$C$5&amp;""),OR(Recherche!$C$6="",IFERROR(YEAR(L140),0)=Recherche!$C$6),OR(Recherche!$C$7="",ISNUMBER(SEARCH(Recherche!$C$7,H140))),OR(Recherche!$C$8="",J140=Recherche!$C$8),OR(Recherche!$C$9="",I140=Recherche!$C$9),OR(Recherche!$C$10="",G140&amp;""=Recherche!$C$10&amp;""),OR(Recherche!$C$11="",E140=Recherche!$C$11),OR(Recherche!$C$12="",ISNUMBER(SEARCH(Recherche!$C$12,M140&amp;" "&amp;F140)))),1,0)</f>
        <v>8</v>
      </c>
    </row>
    <row r="141" customFormat="false" ht="15" hidden="false" customHeight="false" outlineLevel="0" collapsed="false">
      <c r="A141" s="19"/>
      <c r="B141" s="19"/>
      <c r="C141" s="19"/>
      <c r="D141" s="19"/>
      <c r="E141" s="22"/>
      <c r="F141" s="19"/>
      <c r="G141" s="26" t="str">
        <f aca="false">IF(D141="","",IFERROR(VALUE(LEFT(D141,FIND(" |",D141&amp;" |")-1)),"?"))</f>
        <v/>
      </c>
      <c r="H141" s="27" t="str">
        <f aca="false">IF(G141="","",IF(G141="?","⚠ pub inconnue",IFERROR(INDEX(Pubs!$B$2:$B$3001,MATCH(G141,Pubs!$A$2:$A$3001,0))&amp;"","⚠ pub inconnue")))</f>
        <v/>
      </c>
      <c r="I141" s="27" t="str">
        <f aca="false">IF(OR(G141="",G141="?"),"",IFERROR(INDEX(Pubs!$C$2:$C$3001,MATCH(G141,Pubs!$A$2:$A$3001,0))&amp;"",""))</f>
        <v/>
      </c>
      <c r="J141" s="27" t="str">
        <f aca="false">IF(OR(G141="",G141="?"),"",IFERROR(INDEX(Pubs!$G$2:$G$3001,MATCH(G141,Pubs!$A$2:$A$3001,0))&amp;"",""))</f>
        <v/>
      </c>
      <c r="K141" s="28" t="str">
        <f aca="false">IF(OR(G141="",G141="?"),"",IFERROR(INDEX(Pubs!$E$2:$E$3001,MATCH(G141,Pubs!$A$2:$A$3001,0)),""))</f>
        <v/>
      </c>
      <c r="L141" s="29" t="str">
        <f aca="false">IF(A141="","",IFERROR(1/(1/INDEX(Numéros!$C$2:$C$3001,MATCH(A141&amp;"|"&amp;B141,Numéros!$F$2:$F$3001,0))),""))</f>
        <v/>
      </c>
      <c r="M141" s="27" t="str">
        <f aca="false">IF(OR(G141="",G141="?"),"",IFERROR(INDEX(Pubs!$D$2:$D$3001,MATCH(G141,Pubs!$A$2:$A$3001,0))&amp;"",""))</f>
        <v/>
      </c>
      <c r="N141" s="27" t="n">
        <f aca="false">N(N140)+IF(AND(A141&lt;&gt;"",OR(Recherche!$C$4="",A141=Recherche!$C$4),OR(Recherche!$C$5="",B141&amp;""=Recherche!$C$5&amp;""),OR(Recherche!$C$6="",IFERROR(YEAR(L141),0)=Recherche!$C$6),OR(Recherche!$C$7="",ISNUMBER(SEARCH(Recherche!$C$7,H141))),OR(Recherche!$C$8="",J141=Recherche!$C$8),OR(Recherche!$C$9="",I141=Recherche!$C$9),OR(Recherche!$C$10="",G141&amp;""=Recherche!$C$10&amp;""),OR(Recherche!$C$11="",E141=Recherche!$C$11),OR(Recherche!$C$12="",ISNUMBER(SEARCH(Recherche!$C$12,M141&amp;" "&amp;F141)))),1,0)</f>
        <v>8</v>
      </c>
    </row>
    <row r="142" customFormat="false" ht="15" hidden="false" customHeight="false" outlineLevel="0" collapsed="false">
      <c r="A142" s="19"/>
      <c r="B142" s="19"/>
      <c r="C142" s="19"/>
      <c r="D142" s="19"/>
      <c r="E142" s="22"/>
      <c r="F142" s="19"/>
      <c r="G142" s="26" t="str">
        <f aca="false">IF(D142="","",IFERROR(VALUE(LEFT(D142,FIND(" |",D142&amp;" |")-1)),"?"))</f>
        <v/>
      </c>
      <c r="H142" s="27" t="str">
        <f aca="false">IF(G142="","",IF(G142="?","⚠ pub inconnue",IFERROR(INDEX(Pubs!$B$2:$B$3001,MATCH(G142,Pubs!$A$2:$A$3001,0))&amp;"","⚠ pub inconnue")))</f>
        <v/>
      </c>
      <c r="I142" s="27" t="str">
        <f aca="false">IF(OR(G142="",G142="?"),"",IFERROR(INDEX(Pubs!$C$2:$C$3001,MATCH(G142,Pubs!$A$2:$A$3001,0))&amp;"",""))</f>
        <v/>
      </c>
      <c r="J142" s="27" t="str">
        <f aca="false">IF(OR(G142="",G142="?"),"",IFERROR(INDEX(Pubs!$G$2:$G$3001,MATCH(G142,Pubs!$A$2:$A$3001,0))&amp;"",""))</f>
        <v/>
      </c>
      <c r="K142" s="28" t="str">
        <f aca="false">IF(OR(G142="",G142="?"),"",IFERROR(INDEX(Pubs!$E$2:$E$3001,MATCH(G142,Pubs!$A$2:$A$3001,0)),""))</f>
        <v/>
      </c>
      <c r="L142" s="29" t="str">
        <f aca="false">IF(A142="","",IFERROR(1/(1/INDEX(Numéros!$C$2:$C$3001,MATCH(A142&amp;"|"&amp;B142,Numéros!$F$2:$F$3001,0))),""))</f>
        <v/>
      </c>
      <c r="M142" s="27" t="str">
        <f aca="false">IF(OR(G142="",G142="?"),"",IFERROR(INDEX(Pubs!$D$2:$D$3001,MATCH(G142,Pubs!$A$2:$A$3001,0))&amp;"",""))</f>
        <v/>
      </c>
      <c r="N142" s="27" t="n">
        <f aca="false">N(N141)+IF(AND(A142&lt;&gt;"",OR(Recherche!$C$4="",A142=Recherche!$C$4),OR(Recherche!$C$5="",B142&amp;""=Recherche!$C$5&amp;""),OR(Recherche!$C$6="",IFERROR(YEAR(L142),0)=Recherche!$C$6),OR(Recherche!$C$7="",ISNUMBER(SEARCH(Recherche!$C$7,H142))),OR(Recherche!$C$8="",J142=Recherche!$C$8),OR(Recherche!$C$9="",I142=Recherche!$C$9),OR(Recherche!$C$10="",G142&amp;""=Recherche!$C$10&amp;""),OR(Recherche!$C$11="",E142=Recherche!$C$11),OR(Recherche!$C$12="",ISNUMBER(SEARCH(Recherche!$C$12,M142&amp;" "&amp;F142)))),1,0)</f>
        <v>8</v>
      </c>
    </row>
    <row r="143" customFormat="false" ht="15" hidden="false" customHeight="false" outlineLevel="0" collapsed="false">
      <c r="A143" s="19"/>
      <c r="B143" s="19"/>
      <c r="C143" s="19"/>
      <c r="D143" s="19"/>
      <c r="E143" s="22"/>
      <c r="F143" s="19"/>
      <c r="G143" s="26" t="str">
        <f aca="false">IF(D143="","",IFERROR(VALUE(LEFT(D143,FIND(" |",D143&amp;" |")-1)),"?"))</f>
        <v/>
      </c>
      <c r="H143" s="27" t="str">
        <f aca="false">IF(G143="","",IF(G143="?","⚠ pub inconnue",IFERROR(INDEX(Pubs!$B$2:$B$3001,MATCH(G143,Pubs!$A$2:$A$3001,0))&amp;"","⚠ pub inconnue")))</f>
        <v/>
      </c>
      <c r="I143" s="27" t="str">
        <f aca="false">IF(OR(G143="",G143="?"),"",IFERROR(INDEX(Pubs!$C$2:$C$3001,MATCH(G143,Pubs!$A$2:$A$3001,0))&amp;"",""))</f>
        <v/>
      </c>
      <c r="J143" s="27" t="str">
        <f aca="false">IF(OR(G143="",G143="?"),"",IFERROR(INDEX(Pubs!$G$2:$G$3001,MATCH(G143,Pubs!$A$2:$A$3001,0))&amp;"",""))</f>
        <v/>
      </c>
      <c r="K143" s="28" t="str">
        <f aca="false">IF(OR(G143="",G143="?"),"",IFERROR(INDEX(Pubs!$E$2:$E$3001,MATCH(G143,Pubs!$A$2:$A$3001,0)),""))</f>
        <v/>
      </c>
      <c r="L143" s="29" t="str">
        <f aca="false">IF(A143="","",IFERROR(1/(1/INDEX(Numéros!$C$2:$C$3001,MATCH(A143&amp;"|"&amp;B143,Numéros!$F$2:$F$3001,0))),""))</f>
        <v/>
      </c>
      <c r="M143" s="27" t="str">
        <f aca="false">IF(OR(G143="",G143="?"),"",IFERROR(INDEX(Pubs!$D$2:$D$3001,MATCH(G143,Pubs!$A$2:$A$3001,0))&amp;"",""))</f>
        <v/>
      </c>
      <c r="N143" s="27" t="n">
        <f aca="false">N(N142)+IF(AND(A143&lt;&gt;"",OR(Recherche!$C$4="",A143=Recherche!$C$4),OR(Recherche!$C$5="",B143&amp;""=Recherche!$C$5&amp;""),OR(Recherche!$C$6="",IFERROR(YEAR(L143),0)=Recherche!$C$6),OR(Recherche!$C$7="",ISNUMBER(SEARCH(Recherche!$C$7,H143))),OR(Recherche!$C$8="",J143=Recherche!$C$8),OR(Recherche!$C$9="",I143=Recherche!$C$9),OR(Recherche!$C$10="",G143&amp;""=Recherche!$C$10&amp;""),OR(Recherche!$C$11="",E143=Recherche!$C$11),OR(Recherche!$C$12="",ISNUMBER(SEARCH(Recherche!$C$12,M143&amp;" "&amp;F143)))),1,0)</f>
        <v>8</v>
      </c>
    </row>
    <row r="144" customFormat="false" ht="15" hidden="false" customHeight="false" outlineLevel="0" collapsed="false">
      <c r="A144" s="19"/>
      <c r="B144" s="19"/>
      <c r="C144" s="19"/>
      <c r="D144" s="19"/>
      <c r="E144" s="22"/>
      <c r="F144" s="19"/>
      <c r="G144" s="26" t="str">
        <f aca="false">IF(D144="","",IFERROR(VALUE(LEFT(D144,FIND(" |",D144&amp;" |")-1)),"?"))</f>
        <v/>
      </c>
      <c r="H144" s="27" t="str">
        <f aca="false">IF(G144="","",IF(G144="?","⚠ pub inconnue",IFERROR(INDEX(Pubs!$B$2:$B$3001,MATCH(G144,Pubs!$A$2:$A$3001,0))&amp;"","⚠ pub inconnue")))</f>
        <v/>
      </c>
      <c r="I144" s="27" t="str">
        <f aca="false">IF(OR(G144="",G144="?"),"",IFERROR(INDEX(Pubs!$C$2:$C$3001,MATCH(G144,Pubs!$A$2:$A$3001,0))&amp;"",""))</f>
        <v/>
      </c>
      <c r="J144" s="27" t="str">
        <f aca="false">IF(OR(G144="",G144="?"),"",IFERROR(INDEX(Pubs!$G$2:$G$3001,MATCH(G144,Pubs!$A$2:$A$3001,0))&amp;"",""))</f>
        <v/>
      </c>
      <c r="K144" s="28" t="str">
        <f aca="false">IF(OR(G144="",G144="?"),"",IFERROR(INDEX(Pubs!$E$2:$E$3001,MATCH(G144,Pubs!$A$2:$A$3001,0)),""))</f>
        <v/>
      </c>
      <c r="L144" s="29" t="str">
        <f aca="false">IF(A144="","",IFERROR(1/(1/INDEX(Numéros!$C$2:$C$3001,MATCH(A144&amp;"|"&amp;B144,Numéros!$F$2:$F$3001,0))),""))</f>
        <v/>
      </c>
      <c r="M144" s="27" t="str">
        <f aca="false">IF(OR(G144="",G144="?"),"",IFERROR(INDEX(Pubs!$D$2:$D$3001,MATCH(G144,Pubs!$A$2:$A$3001,0))&amp;"",""))</f>
        <v/>
      </c>
      <c r="N144" s="27" t="n">
        <f aca="false">N(N143)+IF(AND(A144&lt;&gt;"",OR(Recherche!$C$4="",A144=Recherche!$C$4),OR(Recherche!$C$5="",B144&amp;""=Recherche!$C$5&amp;""),OR(Recherche!$C$6="",IFERROR(YEAR(L144),0)=Recherche!$C$6),OR(Recherche!$C$7="",ISNUMBER(SEARCH(Recherche!$C$7,H144))),OR(Recherche!$C$8="",J144=Recherche!$C$8),OR(Recherche!$C$9="",I144=Recherche!$C$9),OR(Recherche!$C$10="",G144&amp;""=Recherche!$C$10&amp;""),OR(Recherche!$C$11="",E144=Recherche!$C$11),OR(Recherche!$C$12="",ISNUMBER(SEARCH(Recherche!$C$12,M144&amp;" "&amp;F144)))),1,0)</f>
        <v>8</v>
      </c>
    </row>
    <row r="145" customFormat="false" ht="15" hidden="false" customHeight="false" outlineLevel="0" collapsed="false">
      <c r="A145" s="19"/>
      <c r="B145" s="19"/>
      <c r="C145" s="19"/>
      <c r="D145" s="19"/>
      <c r="E145" s="22"/>
      <c r="F145" s="19"/>
      <c r="G145" s="26" t="str">
        <f aca="false">IF(D145="","",IFERROR(VALUE(LEFT(D145,FIND(" |",D145&amp;" |")-1)),"?"))</f>
        <v/>
      </c>
      <c r="H145" s="27" t="str">
        <f aca="false">IF(G145="","",IF(G145="?","⚠ pub inconnue",IFERROR(INDEX(Pubs!$B$2:$B$3001,MATCH(G145,Pubs!$A$2:$A$3001,0))&amp;"","⚠ pub inconnue")))</f>
        <v/>
      </c>
      <c r="I145" s="27" t="str">
        <f aca="false">IF(OR(G145="",G145="?"),"",IFERROR(INDEX(Pubs!$C$2:$C$3001,MATCH(G145,Pubs!$A$2:$A$3001,0))&amp;"",""))</f>
        <v/>
      </c>
      <c r="J145" s="27" t="str">
        <f aca="false">IF(OR(G145="",G145="?"),"",IFERROR(INDEX(Pubs!$G$2:$G$3001,MATCH(G145,Pubs!$A$2:$A$3001,0))&amp;"",""))</f>
        <v/>
      </c>
      <c r="K145" s="28" t="str">
        <f aca="false">IF(OR(G145="",G145="?"),"",IFERROR(INDEX(Pubs!$E$2:$E$3001,MATCH(G145,Pubs!$A$2:$A$3001,0)),""))</f>
        <v/>
      </c>
      <c r="L145" s="29" t="str">
        <f aca="false">IF(A145="","",IFERROR(1/(1/INDEX(Numéros!$C$2:$C$3001,MATCH(A145&amp;"|"&amp;B145,Numéros!$F$2:$F$3001,0))),""))</f>
        <v/>
      </c>
      <c r="M145" s="27" t="str">
        <f aca="false">IF(OR(G145="",G145="?"),"",IFERROR(INDEX(Pubs!$D$2:$D$3001,MATCH(G145,Pubs!$A$2:$A$3001,0))&amp;"",""))</f>
        <v/>
      </c>
      <c r="N145" s="27" t="n">
        <f aca="false">N(N144)+IF(AND(A145&lt;&gt;"",OR(Recherche!$C$4="",A145=Recherche!$C$4),OR(Recherche!$C$5="",B145&amp;""=Recherche!$C$5&amp;""),OR(Recherche!$C$6="",IFERROR(YEAR(L145),0)=Recherche!$C$6),OR(Recherche!$C$7="",ISNUMBER(SEARCH(Recherche!$C$7,H145))),OR(Recherche!$C$8="",J145=Recherche!$C$8),OR(Recherche!$C$9="",I145=Recherche!$C$9),OR(Recherche!$C$10="",G145&amp;""=Recherche!$C$10&amp;""),OR(Recherche!$C$11="",E145=Recherche!$C$11),OR(Recherche!$C$12="",ISNUMBER(SEARCH(Recherche!$C$12,M145&amp;" "&amp;F145)))),1,0)</f>
        <v>8</v>
      </c>
    </row>
    <row r="146" customFormat="false" ht="15" hidden="false" customHeight="false" outlineLevel="0" collapsed="false">
      <c r="A146" s="19"/>
      <c r="B146" s="19"/>
      <c r="C146" s="19"/>
      <c r="D146" s="19"/>
      <c r="E146" s="22"/>
      <c r="F146" s="19"/>
      <c r="G146" s="26" t="str">
        <f aca="false">IF(D146="","",IFERROR(VALUE(LEFT(D146,FIND(" |",D146&amp;" |")-1)),"?"))</f>
        <v/>
      </c>
      <c r="H146" s="27" t="str">
        <f aca="false">IF(G146="","",IF(G146="?","⚠ pub inconnue",IFERROR(INDEX(Pubs!$B$2:$B$3001,MATCH(G146,Pubs!$A$2:$A$3001,0))&amp;"","⚠ pub inconnue")))</f>
        <v/>
      </c>
      <c r="I146" s="27" t="str">
        <f aca="false">IF(OR(G146="",G146="?"),"",IFERROR(INDEX(Pubs!$C$2:$C$3001,MATCH(G146,Pubs!$A$2:$A$3001,0))&amp;"",""))</f>
        <v/>
      </c>
      <c r="J146" s="27" t="str">
        <f aca="false">IF(OR(G146="",G146="?"),"",IFERROR(INDEX(Pubs!$G$2:$G$3001,MATCH(G146,Pubs!$A$2:$A$3001,0))&amp;"",""))</f>
        <v/>
      </c>
      <c r="K146" s="28" t="str">
        <f aca="false">IF(OR(G146="",G146="?"),"",IFERROR(INDEX(Pubs!$E$2:$E$3001,MATCH(G146,Pubs!$A$2:$A$3001,0)),""))</f>
        <v/>
      </c>
      <c r="L146" s="29" t="str">
        <f aca="false">IF(A146="","",IFERROR(1/(1/INDEX(Numéros!$C$2:$C$3001,MATCH(A146&amp;"|"&amp;B146,Numéros!$F$2:$F$3001,0))),""))</f>
        <v/>
      </c>
      <c r="M146" s="27" t="str">
        <f aca="false">IF(OR(G146="",G146="?"),"",IFERROR(INDEX(Pubs!$D$2:$D$3001,MATCH(G146,Pubs!$A$2:$A$3001,0))&amp;"",""))</f>
        <v/>
      </c>
      <c r="N146" s="27" t="n">
        <f aca="false">N(N145)+IF(AND(A146&lt;&gt;"",OR(Recherche!$C$4="",A146=Recherche!$C$4),OR(Recherche!$C$5="",B146&amp;""=Recherche!$C$5&amp;""),OR(Recherche!$C$6="",IFERROR(YEAR(L146),0)=Recherche!$C$6),OR(Recherche!$C$7="",ISNUMBER(SEARCH(Recherche!$C$7,H146))),OR(Recherche!$C$8="",J146=Recherche!$C$8),OR(Recherche!$C$9="",I146=Recherche!$C$9),OR(Recherche!$C$10="",G146&amp;""=Recherche!$C$10&amp;""),OR(Recherche!$C$11="",E146=Recherche!$C$11),OR(Recherche!$C$12="",ISNUMBER(SEARCH(Recherche!$C$12,M146&amp;" "&amp;F146)))),1,0)</f>
        <v>8</v>
      </c>
    </row>
    <row r="147" customFormat="false" ht="15" hidden="false" customHeight="false" outlineLevel="0" collapsed="false">
      <c r="A147" s="19"/>
      <c r="B147" s="19"/>
      <c r="C147" s="19"/>
      <c r="D147" s="19"/>
      <c r="E147" s="22"/>
      <c r="F147" s="19"/>
      <c r="G147" s="26" t="str">
        <f aca="false">IF(D147="","",IFERROR(VALUE(LEFT(D147,FIND(" |",D147&amp;" |")-1)),"?"))</f>
        <v/>
      </c>
      <c r="H147" s="27" t="str">
        <f aca="false">IF(G147="","",IF(G147="?","⚠ pub inconnue",IFERROR(INDEX(Pubs!$B$2:$B$3001,MATCH(G147,Pubs!$A$2:$A$3001,0))&amp;"","⚠ pub inconnue")))</f>
        <v/>
      </c>
      <c r="I147" s="27" t="str">
        <f aca="false">IF(OR(G147="",G147="?"),"",IFERROR(INDEX(Pubs!$C$2:$C$3001,MATCH(G147,Pubs!$A$2:$A$3001,0))&amp;"",""))</f>
        <v/>
      </c>
      <c r="J147" s="27" t="str">
        <f aca="false">IF(OR(G147="",G147="?"),"",IFERROR(INDEX(Pubs!$G$2:$G$3001,MATCH(G147,Pubs!$A$2:$A$3001,0))&amp;"",""))</f>
        <v/>
      </c>
      <c r="K147" s="28" t="str">
        <f aca="false">IF(OR(G147="",G147="?"),"",IFERROR(INDEX(Pubs!$E$2:$E$3001,MATCH(G147,Pubs!$A$2:$A$3001,0)),""))</f>
        <v/>
      </c>
      <c r="L147" s="29" t="str">
        <f aca="false">IF(A147="","",IFERROR(1/(1/INDEX(Numéros!$C$2:$C$3001,MATCH(A147&amp;"|"&amp;B147,Numéros!$F$2:$F$3001,0))),""))</f>
        <v/>
      </c>
      <c r="M147" s="27" t="str">
        <f aca="false">IF(OR(G147="",G147="?"),"",IFERROR(INDEX(Pubs!$D$2:$D$3001,MATCH(G147,Pubs!$A$2:$A$3001,0))&amp;"",""))</f>
        <v/>
      </c>
      <c r="N147" s="27" t="n">
        <f aca="false">N(N146)+IF(AND(A147&lt;&gt;"",OR(Recherche!$C$4="",A147=Recherche!$C$4),OR(Recherche!$C$5="",B147&amp;""=Recherche!$C$5&amp;""),OR(Recherche!$C$6="",IFERROR(YEAR(L147),0)=Recherche!$C$6),OR(Recherche!$C$7="",ISNUMBER(SEARCH(Recherche!$C$7,H147))),OR(Recherche!$C$8="",J147=Recherche!$C$8),OR(Recherche!$C$9="",I147=Recherche!$C$9),OR(Recherche!$C$10="",G147&amp;""=Recherche!$C$10&amp;""),OR(Recherche!$C$11="",E147=Recherche!$C$11),OR(Recherche!$C$12="",ISNUMBER(SEARCH(Recherche!$C$12,M147&amp;" "&amp;F147)))),1,0)</f>
        <v>8</v>
      </c>
    </row>
    <row r="148" customFormat="false" ht="15" hidden="false" customHeight="false" outlineLevel="0" collapsed="false">
      <c r="A148" s="19"/>
      <c r="B148" s="19"/>
      <c r="C148" s="19"/>
      <c r="D148" s="19"/>
      <c r="E148" s="22"/>
      <c r="F148" s="19"/>
      <c r="G148" s="26" t="str">
        <f aca="false">IF(D148="","",IFERROR(VALUE(LEFT(D148,FIND(" |",D148&amp;" |")-1)),"?"))</f>
        <v/>
      </c>
      <c r="H148" s="27" t="str">
        <f aca="false">IF(G148="","",IF(G148="?","⚠ pub inconnue",IFERROR(INDEX(Pubs!$B$2:$B$3001,MATCH(G148,Pubs!$A$2:$A$3001,0))&amp;"","⚠ pub inconnue")))</f>
        <v/>
      </c>
      <c r="I148" s="27" t="str">
        <f aca="false">IF(OR(G148="",G148="?"),"",IFERROR(INDEX(Pubs!$C$2:$C$3001,MATCH(G148,Pubs!$A$2:$A$3001,0))&amp;"",""))</f>
        <v/>
      </c>
      <c r="J148" s="27" t="str">
        <f aca="false">IF(OR(G148="",G148="?"),"",IFERROR(INDEX(Pubs!$G$2:$G$3001,MATCH(G148,Pubs!$A$2:$A$3001,0))&amp;"",""))</f>
        <v/>
      </c>
      <c r="K148" s="28" t="str">
        <f aca="false">IF(OR(G148="",G148="?"),"",IFERROR(INDEX(Pubs!$E$2:$E$3001,MATCH(G148,Pubs!$A$2:$A$3001,0)),""))</f>
        <v/>
      </c>
      <c r="L148" s="29" t="str">
        <f aca="false">IF(A148="","",IFERROR(1/(1/INDEX(Numéros!$C$2:$C$3001,MATCH(A148&amp;"|"&amp;B148,Numéros!$F$2:$F$3001,0))),""))</f>
        <v/>
      </c>
      <c r="M148" s="27" t="str">
        <f aca="false">IF(OR(G148="",G148="?"),"",IFERROR(INDEX(Pubs!$D$2:$D$3001,MATCH(G148,Pubs!$A$2:$A$3001,0))&amp;"",""))</f>
        <v/>
      </c>
      <c r="N148" s="27" t="n">
        <f aca="false">N(N147)+IF(AND(A148&lt;&gt;"",OR(Recherche!$C$4="",A148=Recherche!$C$4),OR(Recherche!$C$5="",B148&amp;""=Recherche!$C$5&amp;""),OR(Recherche!$C$6="",IFERROR(YEAR(L148),0)=Recherche!$C$6),OR(Recherche!$C$7="",ISNUMBER(SEARCH(Recherche!$C$7,H148))),OR(Recherche!$C$8="",J148=Recherche!$C$8),OR(Recherche!$C$9="",I148=Recherche!$C$9),OR(Recherche!$C$10="",G148&amp;""=Recherche!$C$10&amp;""),OR(Recherche!$C$11="",E148=Recherche!$C$11),OR(Recherche!$C$12="",ISNUMBER(SEARCH(Recherche!$C$12,M148&amp;" "&amp;F148)))),1,0)</f>
        <v>8</v>
      </c>
    </row>
    <row r="149" customFormat="false" ht="15" hidden="false" customHeight="false" outlineLevel="0" collapsed="false">
      <c r="A149" s="19"/>
      <c r="B149" s="19"/>
      <c r="C149" s="19"/>
      <c r="D149" s="19"/>
      <c r="E149" s="22"/>
      <c r="F149" s="19"/>
      <c r="G149" s="26" t="str">
        <f aca="false">IF(D149="","",IFERROR(VALUE(LEFT(D149,FIND(" |",D149&amp;" |")-1)),"?"))</f>
        <v/>
      </c>
      <c r="H149" s="27" t="str">
        <f aca="false">IF(G149="","",IF(G149="?","⚠ pub inconnue",IFERROR(INDEX(Pubs!$B$2:$B$3001,MATCH(G149,Pubs!$A$2:$A$3001,0))&amp;"","⚠ pub inconnue")))</f>
        <v/>
      </c>
      <c r="I149" s="27" t="str">
        <f aca="false">IF(OR(G149="",G149="?"),"",IFERROR(INDEX(Pubs!$C$2:$C$3001,MATCH(G149,Pubs!$A$2:$A$3001,0))&amp;"",""))</f>
        <v/>
      </c>
      <c r="J149" s="27" t="str">
        <f aca="false">IF(OR(G149="",G149="?"),"",IFERROR(INDEX(Pubs!$G$2:$G$3001,MATCH(G149,Pubs!$A$2:$A$3001,0))&amp;"",""))</f>
        <v/>
      </c>
      <c r="K149" s="28" t="str">
        <f aca="false">IF(OR(G149="",G149="?"),"",IFERROR(INDEX(Pubs!$E$2:$E$3001,MATCH(G149,Pubs!$A$2:$A$3001,0)),""))</f>
        <v/>
      </c>
      <c r="L149" s="29" t="str">
        <f aca="false">IF(A149="","",IFERROR(1/(1/INDEX(Numéros!$C$2:$C$3001,MATCH(A149&amp;"|"&amp;B149,Numéros!$F$2:$F$3001,0))),""))</f>
        <v/>
      </c>
      <c r="M149" s="27" t="str">
        <f aca="false">IF(OR(G149="",G149="?"),"",IFERROR(INDEX(Pubs!$D$2:$D$3001,MATCH(G149,Pubs!$A$2:$A$3001,0))&amp;"",""))</f>
        <v/>
      </c>
      <c r="N149" s="27" t="n">
        <f aca="false">N(N148)+IF(AND(A149&lt;&gt;"",OR(Recherche!$C$4="",A149=Recherche!$C$4),OR(Recherche!$C$5="",B149&amp;""=Recherche!$C$5&amp;""),OR(Recherche!$C$6="",IFERROR(YEAR(L149),0)=Recherche!$C$6),OR(Recherche!$C$7="",ISNUMBER(SEARCH(Recherche!$C$7,H149))),OR(Recherche!$C$8="",J149=Recherche!$C$8),OR(Recherche!$C$9="",I149=Recherche!$C$9),OR(Recherche!$C$10="",G149&amp;""=Recherche!$C$10&amp;""),OR(Recherche!$C$11="",E149=Recherche!$C$11),OR(Recherche!$C$12="",ISNUMBER(SEARCH(Recherche!$C$12,M149&amp;" "&amp;F149)))),1,0)</f>
        <v>8</v>
      </c>
    </row>
    <row r="150" customFormat="false" ht="15" hidden="false" customHeight="false" outlineLevel="0" collapsed="false">
      <c r="A150" s="19"/>
      <c r="B150" s="19"/>
      <c r="C150" s="19"/>
      <c r="D150" s="19"/>
      <c r="E150" s="22"/>
      <c r="F150" s="19"/>
      <c r="G150" s="26" t="str">
        <f aca="false">IF(D150="","",IFERROR(VALUE(LEFT(D150,FIND(" |",D150&amp;" |")-1)),"?"))</f>
        <v/>
      </c>
      <c r="H150" s="27" t="str">
        <f aca="false">IF(G150="","",IF(G150="?","⚠ pub inconnue",IFERROR(INDEX(Pubs!$B$2:$B$3001,MATCH(G150,Pubs!$A$2:$A$3001,0))&amp;"","⚠ pub inconnue")))</f>
        <v/>
      </c>
      <c r="I150" s="27" t="str">
        <f aca="false">IF(OR(G150="",G150="?"),"",IFERROR(INDEX(Pubs!$C$2:$C$3001,MATCH(G150,Pubs!$A$2:$A$3001,0))&amp;"",""))</f>
        <v/>
      </c>
      <c r="J150" s="27" t="str">
        <f aca="false">IF(OR(G150="",G150="?"),"",IFERROR(INDEX(Pubs!$G$2:$G$3001,MATCH(G150,Pubs!$A$2:$A$3001,0))&amp;"",""))</f>
        <v/>
      </c>
      <c r="K150" s="28" t="str">
        <f aca="false">IF(OR(G150="",G150="?"),"",IFERROR(INDEX(Pubs!$E$2:$E$3001,MATCH(G150,Pubs!$A$2:$A$3001,0)),""))</f>
        <v/>
      </c>
      <c r="L150" s="29" t="str">
        <f aca="false">IF(A150="","",IFERROR(1/(1/INDEX(Numéros!$C$2:$C$3001,MATCH(A150&amp;"|"&amp;B150,Numéros!$F$2:$F$3001,0))),""))</f>
        <v/>
      </c>
      <c r="M150" s="27" t="str">
        <f aca="false">IF(OR(G150="",G150="?"),"",IFERROR(INDEX(Pubs!$D$2:$D$3001,MATCH(G150,Pubs!$A$2:$A$3001,0))&amp;"",""))</f>
        <v/>
      </c>
      <c r="N150" s="27" t="n">
        <f aca="false">N(N149)+IF(AND(A150&lt;&gt;"",OR(Recherche!$C$4="",A150=Recherche!$C$4),OR(Recherche!$C$5="",B150&amp;""=Recherche!$C$5&amp;""),OR(Recherche!$C$6="",IFERROR(YEAR(L150),0)=Recherche!$C$6),OR(Recherche!$C$7="",ISNUMBER(SEARCH(Recherche!$C$7,H150))),OR(Recherche!$C$8="",J150=Recherche!$C$8),OR(Recherche!$C$9="",I150=Recherche!$C$9),OR(Recherche!$C$10="",G150&amp;""=Recherche!$C$10&amp;""),OR(Recherche!$C$11="",E150=Recherche!$C$11),OR(Recherche!$C$12="",ISNUMBER(SEARCH(Recherche!$C$12,M150&amp;" "&amp;F150)))),1,0)</f>
        <v>8</v>
      </c>
    </row>
    <row r="151" customFormat="false" ht="15" hidden="false" customHeight="false" outlineLevel="0" collapsed="false">
      <c r="A151" s="19"/>
      <c r="B151" s="19"/>
      <c r="C151" s="19"/>
      <c r="D151" s="19"/>
      <c r="E151" s="22"/>
      <c r="F151" s="19"/>
      <c r="G151" s="26" t="str">
        <f aca="false">IF(D151="","",IFERROR(VALUE(LEFT(D151,FIND(" |",D151&amp;" |")-1)),"?"))</f>
        <v/>
      </c>
      <c r="H151" s="27" t="str">
        <f aca="false">IF(G151="","",IF(G151="?","⚠ pub inconnue",IFERROR(INDEX(Pubs!$B$2:$B$3001,MATCH(G151,Pubs!$A$2:$A$3001,0))&amp;"","⚠ pub inconnue")))</f>
        <v/>
      </c>
      <c r="I151" s="27" t="str">
        <f aca="false">IF(OR(G151="",G151="?"),"",IFERROR(INDEX(Pubs!$C$2:$C$3001,MATCH(G151,Pubs!$A$2:$A$3001,0))&amp;"",""))</f>
        <v/>
      </c>
      <c r="J151" s="27" t="str">
        <f aca="false">IF(OR(G151="",G151="?"),"",IFERROR(INDEX(Pubs!$G$2:$G$3001,MATCH(G151,Pubs!$A$2:$A$3001,0))&amp;"",""))</f>
        <v/>
      </c>
      <c r="K151" s="28" t="str">
        <f aca="false">IF(OR(G151="",G151="?"),"",IFERROR(INDEX(Pubs!$E$2:$E$3001,MATCH(G151,Pubs!$A$2:$A$3001,0)),""))</f>
        <v/>
      </c>
      <c r="L151" s="29" t="str">
        <f aca="false">IF(A151="","",IFERROR(1/(1/INDEX(Numéros!$C$2:$C$3001,MATCH(A151&amp;"|"&amp;B151,Numéros!$F$2:$F$3001,0))),""))</f>
        <v/>
      </c>
      <c r="M151" s="27" t="str">
        <f aca="false">IF(OR(G151="",G151="?"),"",IFERROR(INDEX(Pubs!$D$2:$D$3001,MATCH(G151,Pubs!$A$2:$A$3001,0))&amp;"",""))</f>
        <v/>
      </c>
      <c r="N151" s="27" t="n">
        <f aca="false">N(N150)+IF(AND(A151&lt;&gt;"",OR(Recherche!$C$4="",A151=Recherche!$C$4),OR(Recherche!$C$5="",B151&amp;""=Recherche!$C$5&amp;""),OR(Recherche!$C$6="",IFERROR(YEAR(L151),0)=Recherche!$C$6),OR(Recherche!$C$7="",ISNUMBER(SEARCH(Recherche!$C$7,H151))),OR(Recherche!$C$8="",J151=Recherche!$C$8),OR(Recherche!$C$9="",I151=Recherche!$C$9),OR(Recherche!$C$10="",G151&amp;""=Recherche!$C$10&amp;""),OR(Recherche!$C$11="",E151=Recherche!$C$11),OR(Recherche!$C$12="",ISNUMBER(SEARCH(Recherche!$C$12,M151&amp;" "&amp;F151)))),1,0)</f>
        <v>8</v>
      </c>
    </row>
    <row r="152" customFormat="false" ht="15" hidden="false" customHeight="false" outlineLevel="0" collapsed="false">
      <c r="A152" s="19"/>
      <c r="B152" s="19"/>
      <c r="C152" s="19"/>
      <c r="D152" s="19"/>
      <c r="E152" s="22"/>
      <c r="F152" s="19"/>
      <c r="G152" s="26" t="str">
        <f aca="false">IF(D152="","",IFERROR(VALUE(LEFT(D152,FIND(" |",D152&amp;" |")-1)),"?"))</f>
        <v/>
      </c>
      <c r="H152" s="27" t="str">
        <f aca="false">IF(G152="","",IF(G152="?","⚠ pub inconnue",IFERROR(INDEX(Pubs!$B$2:$B$3001,MATCH(G152,Pubs!$A$2:$A$3001,0))&amp;"","⚠ pub inconnue")))</f>
        <v/>
      </c>
      <c r="I152" s="27" t="str">
        <f aca="false">IF(OR(G152="",G152="?"),"",IFERROR(INDEX(Pubs!$C$2:$C$3001,MATCH(G152,Pubs!$A$2:$A$3001,0))&amp;"",""))</f>
        <v/>
      </c>
      <c r="J152" s="27" t="str">
        <f aca="false">IF(OR(G152="",G152="?"),"",IFERROR(INDEX(Pubs!$G$2:$G$3001,MATCH(G152,Pubs!$A$2:$A$3001,0))&amp;"",""))</f>
        <v/>
      </c>
      <c r="K152" s="28" t="str">
        <f aca="false">IF(OR(G152="",G152="?"),"",IFERROR(INDEX(Pubs!$E$2:$E$3001,MATCH(G152,Pubs!$A$2:$A$3001,0)),""))</f>
        <v/>
      </c>
      <c r="L152" s="29" t="str">
        <f aca="false">IF(A152="","",IFERROR(1/(1/INDEX(Numéros!$C$2:$C$3001,MATCH(A152&amp;"|"&amp;B152,Numéros!$F$2:$F$3001,0))),""))</f>
        <v/>
      </c>
      <c r="M152" s="27" t="str">
        <f aca="false">IF(OR(G152="",G152="?"),"",IFERROR(INDEX(Pubs!$D$2:$D$3001,MATCH(G152,Pubs!$A$2:$A$3001,0))&amp;"",""))</f>
        <v/>
      </c>
      <c r="N152" s="27" t="n">
        <f aca="false">N(N151)+IF(AND(A152&lt;&gt;"",OR(Recherche!$C$4="",A152=Recherche!$C$4),OR(Recherche!$C$5="",B152&amp;""=Recherche!$C$5&amp;""),OR(Recherche!$C$6="",IFERROR(YEAR(L152),0)=Recherche!$C$6),OR(Recherche!$C$7="",ISNUMBER(SEARCH(Recherche!$C$7,H152))),OR(Recherche!$C$8="",J152=Recherche!$C$8),OR(Recherche!$C$9="",I152=Recherche!$C$9),OR(Recherche!$C$10="",G152&amp;""=Recherche!$C$10&amp;""),OR(Recherche!$C$11="",E152=Recherche!$C$11),OR(Recherche!$C$12="",ISNUMBER(SEARCH(Recherche!$C$12,M152&amp;" "&amp;F152)))),1,0)</f>
        <v>8</v>
      </c>
    </row>
    <row r="153" customFormat="false" ht="15" hidden="false" customHeight="false" outlineLevel="0" collapsed="false">
      <c r="A153" s="19"/>
      <c r="B153" s="19"/>
      <c r="C153" s="19"/>
      <c r="D153" s="19"/>
      <c r="E153" s="22"/>
      <c r="F153" s="19"/>
      <c r="G153" s="26" t="str">
        <f aca="false">IF(D153="","",IFERROR(VALUE(LEFT(D153,FIND(" |",D153&amp;" |")-1)),"?"))</f>
        <v/>
      </c>
      <c r="H153" s="27" t="str">
        <f aca="false">IF(G153="","",IF(G153="?","⚠ pub inconnue",IFERROR(INDEX(Pubs!$B$2:$B$3001,MATCH(G153,Pubs!$A$2:$A$3001,0))&amp;"","⚠ pub inconnue")))</f>
        <v/>
      </c>
      <c r="I153" s="27" t="str">
        <f aca="false">IF(OR(G153="",G153="?"),"",IFERROR(INDEX(Pubs!$C$2:$C$3001,MATCH(G153,Pubs!$A$2:$A$3001,0))&amp;"",""))</f>
        <v/>
      </c>
      <c r="J153" s="27" t="str">
        <f aca="false">IF(OR(G153="",G153="?"),"",IFERROR(INDEX(Pubs!$G$2:$G$3001,MATCH(G153,Pubs!$A$2:$A$3001,0))&amp;"",""))</f>
        <v/>
      </c>
      <c r="K153" s="28" t="str">
        <f aca="false">IF(OR(G153="",G153="?"),"",IFERROR(INDEX(Pubs!$E$2:$E$3001,MATCH(G153,Pubs!$A$2:$A$3001,0)),""))</f>
        <v/>
      </c>
      <c r="L153" s="29" t="str">
        <f aca="false">IF(A153="","",IFERROR(1/(1/INDEX(Numéros!$C$2:$C$3001,MATCH(A153&amp;"|"&amp;B153,Numéros!$F$2:$F$3001,0))),""))</f>
        <v/>
      </c>
      <c r="M153" s="27" t="str">
        <f aca="false">IF(OR(G153="",G153="?"),"",IFERROR(INDEX(Pubs!$D$2:$D$3001,MATCH(G153,Pubs!$A$2:$A$3001,0))&amp;"",""))</f>
        <v/>
      </c>
      <c r="N153" s="27" t="n">
        <f aca="false">N(N152)+IF(AND(A153&lt;&gt;"",OR(Recherche!$C$4="",A153=Recherche!$C$4),OR(Recherche!$C$5="",B153&amp;""=Recherche!$C$5&amp;""),OR(Recherche!$C$6="",IFERROR(YEAR(L153),0)=Recherche!$C$6),OR(Recherche!$C$7="",ISNUMBER(SEARCH(Recherche!$C$7,H153))),OR(Recherche!$C$8="",J153=Recherche!$C$8),OR(Recherche!$C$9="",I153=Recherche!$C$9),OR(Recherche!$C$10="",G153&amp;""=Recherche!$C$10&amp;""),OR(Recherche!$C$11="",E153=Recherche!$C$11),OR(Recherche!$C$12="",ISNUMBER(SEARCH(Recherche!$C$12,M153&amp;" "&amp;F153)))),1,0)</f>
        <v>8</v>
      </c>
    </row>
    <row r="154" customFormat="false" ht="15" hidden="false" customHeight="false" outlineLevel="0" collapsed="false">
      <c r="A154" s="19"/>
      <c r="B154" s="19"/>
      <c r="C154" s="19"/>
      <c r="D154" s="19"/>
      <c r="E154" s="22"/>
      <c r="F154" s="19"/>
      <c r="G154" s="26" t="str">
        <f aca="false">IF(D154="","",IFERROR(VALUE(LEFT(D154,FIND(" |",D154&amp;" |")-1)),"?"))</f>
        <v/>
      </c>
      <c r="H154" s="27" t="str">
        <f aca="false">IF(G154="","",IF(G154="?","⚠ pub inconnue",IFERROR(INDEX(Pubs!$B$2:$B$3001,MATCH(G154,Pubs!$A$2:$A$3001,0))&amp;"","⚠ pub inconnue")))</f>
        <v/>
      </c>
      <c r="I154" s="27" t="str">
        <f aca="false">IF(OR(G154="",G154="?"),"",IFERROR(INDEX(Pubs!$C$2:$C$3001,MATCH(G154,Pubs!$A$2:$A$3001,0))&amp;"",""))</f>
        <v/>
      </c>
      <c r="J154" s="27" t="str">
        <f aca="false">IF(OR(G154="",G154="?"),"",IFERROR(INDEX(Pubs!$G$2:$G$3001,MATCH(G154,Pubs!$A$2:$A$3001,0))&amp;"",""))</f>
        <v/>
      </c>
      <c r="K154" s="28" t="str">
        <f aca="false">IF(OR(G154="",G154="?"),"",IFERROR(INDEX(Pubs!$E$2:$E$3001,MATCH(G154,Pubs!$A$2:$A$3001,0)),""))</f>
        <v/>
      </c>
      <c r="L154" s="29" t="str">
        <f aca="false">IF(A154="","",IFERROR(1/(1/INDEX(Numéros!$C$2:$C$3001,MATCH(A154&amp;"|"&amp;B154,Numéros!$F$2:$F$3001,0))),""))</f>
        <v/>
      </c>
      <c r="M154" s="27" t="str">
        <f aca="false">IF(OR(G154="",G154="?"),"",IFERROR(INDEX(Pubs!$D$2:$D$3001,MATCH(G154,Pubs!$A$2:$A$3001,0))&amp;"",""))</f>
        <v/>
      </c>
      <c r="N154" s="27" t="n">
        <f aca="false">N(N153)+IF(AND(A154&lt;&gt;"",OR(Recherche!$C$4="",A154=Recherche!$C$4),OR(Recherche!$C$5="",B154&amp;""=Recherche!$C$5&amp;""),OR(Recherche!$C$6="",IFERROR(YEAR(L154),0)=Recherche!$C$6),OR(Recherche!$C$7="",ISNUMBER(SEARCH(Recherche!$C$7,H154))),OR(Recherche!$C$8="",J154=Recherche!$C$8),OR(Recherche!$C$9="",I154=Recherche!$C$9),OR(Recherche!$C$10="",G154&amp;""=Recherche!$C$10&amp;""),OR(Recherche!$C$11="",E154=Recherche!$C$11),OR(Recherche!$C$12="",ISNUMBER(SEARCH(Recherche!$C$12,M154&amp;" "&amp;F154)))),1,0)</f>
        <v>8</v>
      </c>
    </row>
    <row r="155" customFormat="false" ht="15" hidden="false" customHeight="false" outlineLevel="0" collapsed="false">
      <c r="A155" s="19"/>
      <c r="B155" s="19"/>
      <c r="C155" s="19"/>
      <c r="D155" s="19"/>
      <c r="E155" s="22"/>
      <c r="F155" s="19"/>
      <c r="G155" s="26" t="str">
        <f aca="false">IF(D155="","",IFERROR(VALUE(LEFT(D155,FIND(" |",D155&amp;" |")-1)),"?"))</f>
        <v/>
      </c>
      <c r="H155" s="27" t="str">
        <f aca="false">IF(G155="","",IF(G155="?","⚠ pub inconnue",IFERROR(INDEX(Pubs!$B$2:$B$3001,MATCH(G155,Pubs!$A$2:$A$3001,0))&amp;"","⚠ pub inconnue")))</f>
        <v/>
      </c>
      <c r="I155" s="27" t="str">
        <f aca="false">IF(OR(G155="",G155="?"),"",IFERROR(INDEX(Pubs!$C$2:$C$3001,MATCH(G155,Pubs!$A$2:$A$3001,0))&amp;"",""))</f>
        <v/>
      </c>
      <c r="J155" s="27" t="str">
        <f aca="false">IF(OR(G155="",G155="?"),"",IFERROR(INDEX(Pubs!$G$2:$G$3001,MATCH(G155,Pubs!$A$2:$A$3001,0))&amp;"",""))</f>
        <v/>
      </c>
      <c r="K155" s="28" t="str">
        <f aca="false">IF(OR(G155="",G155="?"),"",IFERROR(INDEX(Pubs!$E$2:$E$3001,MATCH(G155,Pubs!$A$2:$A$3001,0)),""))</f>
        <v/>
      </c>
      <c r="L155" s="29" t="str">
        <f aca="false">IF(A155="","",IFERROR(1/(1/INDEX(Numéros!$C$2:$C$3001,MATCH(A155&amp;"|"&amp;B155,Numéros!$F$2:$F$3001,0))),""))</f>
        <v/>
      </c>
      <c r="M155" s="27" t="str">
        <f aca="false">IF(OR(G155="",G155="?"),"",IFERROR(INDEX(Pubs!$D$2:$D$3001,MATCH(G155,Pubs!$A$2:$A$3001,0))&amp;"",""))</f>
        <v/>
      </c>
      <c r="N155" s="27" t="n">
        <f aca="false">N(N154)+IF(AND(A155&lt;&gt;"",OR(Recherche!$C$4="",A155=Recherche!$C$4),OR(Recherche!$C$5="",B155&amp;""=Recherche!$C$5&amp;""),OR(Recherche!$C$6="",IFERROR(YEAR(L155),0)=Recherche!$C$6),OR(Recherche!$C$7="",ISNUMBER(SEARCH(Recherche!$C$7,H155))),OR(Recherche!$C$8="",J155=Recherche!$C$8),OR(Recherche!$C$9="",I155=Recherche!$C$9),OR(Recherche!$C$10="",G155&amp;""=Recherche!$C$10&amp;""),OR(Recherche!$C$11="",E155=Recherche!$C$11),OR(Recherche!$C$12="",ISNUMBER(SEARCH(Recherche!$C$12,M155&amp;" "&amp;F155)))),1,0)</f>
        <v>8</v>
      </c>
    </row>
    <row r="156" customFormat="false" ht="15" hidden="false" customHeight="false" outlineLevel="0" collapsed="false">
      <c r="A156" s="19"/>
      <c r="B156" s="19"/>
      <c r="C156" s="19"/>
      <c r="D156" s="19"/>
      <c r="E156" s="22"/>
      <c r="F156" s="19"/>
      <c r="G156" s="26" t="str">
        <f aca="false">IF(D156="","",IFERROR(VALUE(LEFT(D156,FIND(" |",D156&amp;" |")-1)),"?"))</f>
        <v/>
      </c>
      <c r="H156" s="27" t="str">
        <f aca="false">IF(G156="","",IF(G156="?","⚠ pub inconnue",IFERROR(INDEX(Pubs!$B$2:$B$3001,MATCH(G156,Pubs!$A$2:$A$3001,0))&amp;"","⚠ pub inconnue")))</f>
        <v/>
      </c>
      <c r="I156" s="27" t="str">
        <f aca="false">IF(OR(G156="",G156="?"),"",IFERROR(INDEX(Pubs!$C$2:$C$3001,MATCH(G156,Pubs!$A$2:$A$3001,0))&amp;"",""))</f>
        <v/>
      </c>
      <c r="J156" s="27" t="str">
        <f aca="false">IF(OR(G156="",G156="?"),"",IFERROR(INDEX(Pubs!$G$2:$G$3001,MATCH(G156,Pubs!$A$2:$A$3001,0))&amp;"",""))</f>
        <v/>
      </c>
      <c r="K156" s="28" t="str">
        <f aca="false">IF(OR(G156="",G156="?"),"",IFERROR(INDEX(Pubs!$E$2:$E$3001,MATCH(G156,Pubs!$A$2:$A$3001,0)),""))</f>
        <v/>
      </c>
      <c r="L156" s="29" t="str">
        <f aca="false">IF(A156="","",IFERROR(1/(1/INDEX(Numéros!$C$2:$C$3001,MATCH(A156&amp;"|"&amp;B156,Numéros!$F$2:$F$3001,0))),""))</f>
        <v/>
      </c>
      <c r="M156" s="27" t="str">
        <f aca="false">IF(OR(G156="",G156="?"),"",IFERROR(INDEX(Pubs!$D$2:$D$3001,MATCH(G156,Pubs!$A$2:$A$3001,0))&amp;"",""))</f>
        <v/>
      </c>
      <c r="N156" s="27" t="n">
        <f aca="false">N(N155)+IF(AND(A156&lt;&gt;"",OR(Recherche!$C$4="",A156=Recherche!$C$4),OR(Recherche!$C$5="",B156&amp;""=Recherche!$C$5&amp;""),OR(Recherche!$C$6="",IFERROR(YEAR(L156),0)=Recherche!$C$6),OR(Recherche!$C$7="",ISNUMBER(SEARCH(Recherche!$C$7,H156))),OR(Recherche!$C$8="",J156=Recherche!$C$8),OR(Recherche!$C$9="",I156=Recherche!$C$9),OR(Recherche!$C$10="",G156&amp;""=Recherche!$C$10&amp;""),OR(Recherche!$C$11="",E156=Recherche!$C$11),OR(Recherche!$C$12="",ISNUMBER(SEARCH(Recherche!$C$12,M156&amp;" "&amp;F156)))),1,0)</f>
        <v>8</v>
      </c>
    </row>
    <row r="157" customFormat="false" ht="15" hidden="false" customHeight="false" outlineLevel="0" collapsed="false">
      <c r="A157" s="19"/>
      <c r="B157" s="19"/>
      <c r="C157" s="19"/>
      <c r="D157" s="19"/>
      <c r="E157" s="22"/>
      <c r="F157" s="19"/>
      <c r="G157" s="26" t="str">
        <f aca="false">IF(D157="","",IFERROR(VALUE(LEFT(D157,FIND(" |",D157&amp;" |")-1)),"?"))</f>
        <v/>
      </c>
      <c r="H157" s="27" t="str">
        <f aca="false">IF(G157="","",IF(G157="?","⚠ pub inconnue",IFERROR(INDEX(Pubs!$B$2:$B$3001,MATCH(G157,Pubs!$A$2:$A$3001,0))&amp;"","⚠ pub inconnue")))</f>
        <v/>
      </c>
      <c r="I157" s="27" t="str">
        <f aca="false">IF(OR(G157="",G157="?"),"",IFERROR(INDEX(Pubs!$C$2:$C$3001,MATCH(G157,Pubs!$A$2:$A$3001,0))&amp;"",""))</f>
        <v/>
      </c>
      <c r="J157" s="27" t="str">
        <f aca="false">IF(OR(G157="",G157="?"),"",IFERROR(INDEX(Pubs!$G$2:$G$3001,MATCH(G157,Pubs!$A$2:$A$3001,0))&amp;"",""))</f>
        <v/>
      </c>
      <c r="K157" s="28" t="str">
        <f aca="false">IF(OR(G157="",G157="?"),"",IFERROR(INDEX(Pubs!$E$2:$E$3001,MATCH(G157,Pubs!$A$2:$A$3001,0)),""))</f>
        <v/>
      </c>
      <c r="L157" s="29" t="str">
        <f aca="false">IF(A157="","",IFERROR(1/(1/INDEX(Numéros!$C$2:$C$3001,MATCH(A157&amp;"|"&amp;B157,Numéros!$F$2:$F$3001,0))),""))</f>
        <v/>
      </c>
      <c r="M157" s="27" t="str">
        <f aca="false">IF(OR(G157="",G157="?"),"",IFERROR(INDEX(Pubs!$D$2:$D$3001,MATCH(G157,Pubs!$A$2:$A$3001,0))&amp;"",""))</f>
        <v/>
      </c>
      <c r="N157" s="27" t="n">
        <f aca="false">N(N156)+IF(AND(A157&lt;&gt;"",OR(Recherche!$C$4="",A157=Recherche!$C$4),OR(Recherche!$C$5="",B157&amp;""=Recherche!$C$5&amp;""),OR(Recherche!$C$6="",IFERROR(YEAR(L157),0)=Recherche!$C$6),OR(Recherche!$C$7="",ISNUMBER(SEARCH(Recherche!$C$7,H157))),OR(Recherche!$C$8="",J157=Recherche!$C$8),OR(Recherche!$C$9="",I157=Recherche!$C$9),OR(Recherche!$C$10="",G157&amp;""=Recherche!$C$10&amp;""),OR(Recherche!$C$11="",E157=Recherche!$C$11),OR(Recherche!$C$12="",ISNUMBER(SEARCH(Recherche!$C$12,M157&amp;" "&amp;F157)))),1,0)</f>
        <v>8</v>
      </c>
    </row>
    <row r="158" customFormat="false" ht="15" hidden="false" customHeight="false" outlineLevel="0" collapsed="false">
      <c r="A158" s="19"/>
      <c r="B158" s="19"/>
      <c r="C158" s="19"/>
      <c r="D158" s="19"/>
      <c r="E158" s="22"/>
      <c r="F158" s="19"/>
      <c r="G158" s="26" t="str">
        <f aca="false">IF(D158="","",IFERROR(VALUE(LEFT(D158,FIND(" |",D158&amp;" |")-1)),"?"))</f>
        <v/>
      </c>
      <c r="H158" s="27" t="str">
        <f aca="false">IF(G158="","",IF(G158="?","⚠ pub inconnue",IFERROR(INDEX(Pubs!$B$2:$B$3001,MATCH(G158,Pubs!$A$2:$A$3001,0))&amp;"","⚠ pub inconnue")))</f>
        <v/>
      </c>
      <c r="I158" s="27" t="str">
        <f aca="false">IF(OR(G158="",G158="?"),"",IFERROR(INDEX(Pubs!$C$2:$C$3001,MATCH(G158,Pubs!$A$2:$A$3001,0))&amp;"",""))</f>
        <v/>
      </c>
      <c r="J158" s="27" t="str">
        <f aca="false">IF(OR(G158="",G158="?"),"",IFERROR(INDEX(Pubs!$G$2:$G$3001,MATCH(G158,Pubs!$A$2:$A$3001,0))&amp;"",""))</f>
        <v/>
      </c>
      <c r="K158" s="28" t="str">
        <f aca="false">IF(OR(G158="",G158="?"),"",IFERROR(INDEX(Pubs!$E$2:$E$3001,MATCH(G158,Pubs!$A$2:$A$3001,0)),""))</f>
        <v/>
      </c>
      <c r="L158" s="29" t="str">
        <f aca="false">IF(A158="","",IFERROR(1/(1/INDEX(Numéros!$C$2:$C$3001,MATCH(A158&amp;"|"&amp;B158,Numéros!$F$2:$F$3001,0))),""))</f>
        <v/>
      </c>
      <c r="M158" s="27" t="str">
        <f aca="false">IF(OR(G158="",G158="?"),"",IFERROR(INDEX(Pubs!$D$2:$D$3001,MATCH(G158,Pubs!$A$2:$A$3001,0))&amp;"",""))</f>
        <v/>
      </c>
      <c r="N158" s="27" t="n">
        <f aca="false">N(N157)+IF(AND(A158&lt;&gt;"",OR(Recherche!$C$4="",A158=Recherche!$C$4),OR(Recherche!$C$5="",B158&amp;""=Recherche!$C$5&amp;""),OR(Recherche!$C$6="",IFERROR(YEAR(L158),0)=Recherche!$C$6),OR(Recherche!$C$7="",ISNUMBER(SEARCH(Recherche!$C$7,H158))),OR(Recherche!$C$8="",J158=Recherche!$C$8),OR(Recherche!$C$9="",I158=Recherche!$C$9),OR(Recherche!$C$10="",G158&amp;""=Recherche!$C$10&amp;""),OR(Recherche!$C$11="",E158=Recherche!$C$11),OR(Recherche!$C$12="",ISNUMBER(SEARCH(Recherche!$C$12,M158&amp;" "&amp;F158)))),1,0)</f>
        <v>8</v>
      </c>
    </row>
    <row r="159" customFormat="false" ht="15" hidden="false" customHeight="false" outlineLevel="0" collapsed="false">
      <c r="A159" s="19"/>
      <c r="B159" s="19"/>
      <c r="C159" s="19"/>
      <c r="D159" s="19"/>
      <c r="E159" s="22"/>
      <c r="F159" s="19"/>
      <c r="G159" s="26" t="str">
        <f aca="false">IF(D159="","",IFERROR(VALUE(LEFT(D159,FIND(" |",D159&amp;" |")-1)),"?"))</f>
        <v/>
      </c>
      <c r="H159" s="27" t="str">
        <f aca="false">IF(G159="","",IF(G159="?","⚠ pub inconnue",IFERROR(INDEX(Pubs!$B$2:$B$3001,MATCH(G159,Pubs!$A$2:$A$3001,0))&amp;"","⚠ pub inconnue")))</f>
        <v/>
      </c>
      <c r="I159" s="27" t="str">
        <f aca="false">IF(OR(G159="",G159="?"),"",IFERROR(INDEX(Pubs!$C$2:$C$3001,MATCH(G159,Pubs!$A$2:$A$3001,0))&amp;"",""))</f>
        <v/>
      </c>
      <c r="J159" s="27" t="str">
        <f aca="false">IF(OR(G159="",G159="?"),"",IFERROR(INDEX(Pubs!$G$2:$G$3001,MATCH(G159,Pubs!$A$2:$A$3001,0))&amp;"",""))</f>
        <v/>
      </c>
      <c r="K159" s="28" t="str">
        <f aca="false">IF(OR(G159="",G159="?"),"",IFERROR(INDEX(Pubs!$E$2:$E$3001,MATCH(G159,Pubs!$A$2:$A$3001,0)),""))</f>
        <v/>
      </c>
      <c r="L159" s="29" t="str">
        <f aca="false">IF(A159="","",IFERROR(1/(1/INDEX(Numéros!$C$2:$C$3001,MATCH(A159&amp;"|"&amp;B159,Numéros!$F$2:$F$3001,0))),""))</f>
        <v/>
      </c>
      <c r="M159" s="27" t="str">
        <f aca="false">IF(OR(G159="",G159="?"),"",IFERROR(INDEX(Pubs!$D$2:$D$3001,MATCH(G159,Pubs!$A$2:$A$3001,0))&amp;"",""))</f>
        <v/>
      </c>
      <c r="N159" s="27" t="n">
        <f aca="false">N(N158)+IF(AND(A159&lt;&gt;"",OR(Recherche!$C$4="",A159=Recherche!$C$4),OR(Recherche!$C$5="",B159&amp;""=Recherche!$C$5&amp;""),OR(Recherche!$C$6="",IFERROR(YEAR(L159),0)=Recherche!$C$6),OR(Recherche!$C$7="",ISNUMBER(SEARCH(Recherche!$C$7,H159))),OR(Recherche!$C$8="",J159=Recherche!$C$8),OR(Recherche!$C$9="",I159=Recherche!$C$9),OR(Recherche!$C$10="",G159&amp;""=Recherche!$C$10&amp;""),OR(Recherche!$C$11="",E159=Recherche!$C$11),OR(Recherche!$C$12="",ISNUMBER(SEARCH(Recherche!$C$12,M159&amp;" "&amp;F159)))),1,0)</f>
        <v>8</v>
      </c>
    </row>
    <row r="160" customFormat="false" ht="15" hidden="false" customHeight="false" outlineLevel="0" collapsed="false">
      <c r="A160" s="19"/>
      <c r="B160" s="19"/>
      <c r="C160" s="19"/>
      <c r="D160" s="19"/>
      <c r="E160" s="22"/>
      <c r="F160" s="19"/>
      <c r="G160" s="26" t="str">
        <f aca="false">IF(D160="","",IFERROR(VALUE(LEFT(D160,FIND(" |",D160&amp;" |")-1)),"?"))</f>
        <v/>
      </c>
      <c r="H160" s="27" t="str">
        <f aca="false">IF(G160="","",IF(G160="?","⚠ pub inconnue",IFERROR(INDEX(Pubs!$B$2:$B$3001,MATCH(G160,Pubs!$A$2:$A$3001,0))&amp;"","⚠ pub inconnue")))</f>
        <v/>
      </c>
      <c r="I160" s="27" t="str">
        <f aca="false">IF(OR(G160="",G160="?"),"",IFERROR(INDEX(Pubs!$C$2:$C$3001,MATCH(G160,Pubs!$A$2:$A$3001,0))&amp;"",""))</f>
        <v/>
      </c>
      <c r="J160" s="27" t="str">
        <f aca="false">IF(OR(G160="",G160="?"),"",IFERROR(INDEX(Pubs!$G$2:$G$3001,MATCH(G160,Pubs!$A$2:$A$3001,0))&amp;"",""))</f>
        <v/>
      </c>
      <c r="K160" s="28" t="str">
        <f aca="false">IF(OR(G160="",G160="?"),"",IFERROR(INDEX(Pubs!$E$2:$E$3001,MATCH(G160,Pubs!$A$2:$A$3001,0)),""))</f>
        <v/>
      </c>
      <c r="L160" s="29" t="str">
        <f aca="false">IF(A160="","",IFERROR(1/(1/INDEX(Numéros!$C$2:$C$3001,MATCH(A160&amp;"|"&amp;B160,Numéros!$F$2:$F$3001,0))),""))</f>
        <v/>
      </c>
      <c r="M160" s="27" t="str">
        <f aca="false">IF(OR(G160="",G160="?"),"",IFERROR(INDEX(Pubs!$D$2:$D$3001,MATCH(G160,Pubs!$A$2:$A$3001,0))&amp;"",""))</f>
        <v/>
      </c>
      <c r="N160" s="27" t="n">
        <f aca="false">N(N159)+IF(AND(A160&lt;&gt;"",OR(Recherche!$C$4="",A160=Recherche!$C$4),OR(Recherche!$C$5="",B160&amp;""=Recherche!$C$5&amp;""),OR(Recherche!$C$6="",IFERROR(YEAR(L160),0)=Recherche!$C$6),OR(Recherche!$C$7="",ISNUMBER(SEARCH(Recherche!$C$7,H160))),OR(Recherche!$C$8="",J160=Recherche!$C$8),OR(Recherche!$C$9="",I160=Recherche!$C$9),OR(Recherche!$C$10="",G160&amp;""=Recherche!$C$10&amp;""),OR(Recherche!$C$11="",E160=Recherche!$C$11),OR(Recherche!$C$12="",ISNUMBER(SEARCH(Recherche!$C$12,M160&amp;" "&amp;F160)))),1,0)</f>
        <v>8</v>
      </c>
    </row>
    <row r="161" customFormat="false" ht="15" hidden="false" customHeight="false" outlineLevel="0" collapsed="false">
      <c r="A161" s="19"/>
      <c r="B161" s="19"/>
      <c r="C161" s="19"/>
      <c r="D161" s="19"/>
      <c r="E161" s="22"/>
      <c r="F161" s="19"/>
      <c r="G161" s="26" t="str">
        <f aca="false">IF(D161="","",IFERROR(VALUE(LEFT(D161,FIND(" |",D161&amp;" |")-1)),"?"))</f>
        <v/>
      </c>
      <c r="H161" s="27" t="str">
        <f aca="false">IF(G161="","",IF(G161="?","⚠ pub inconnue",IFERROR(INDEX(Pubs!$B$2:$B$3001,MATCH(G161,Pubs!$A$2:$A$3001,0))&amp;"","⚠ pub inconnue")))</f>
        <v/>
      </c>
      <c r="I161" s="27" t="str">
        <f aca="false">IF(OR(G161="",G161="?"),"",IFERROR(INDEX(Pubs!$C$2:$C$3001,MATCH(G161,Pubs!$A$2:$A$3001,0))&amp;"",""))</f>
        <v/>
      </c>
      <c r="J161" s="27" t="str">
        <f aca="false">IF(OR(G161="",G161="?"),"",IFERROR(INDEX(Pubs!$G$2:$G$3001,MATCH(G161,Pubs!$A$2:$A$3001,0))&amp;"",""))</f>
        <v/>
      </c>
      <c r="K161" s="28" t="str">
        <f aca="false">IF(OR(G161="",G161="?"),"",IFERROR(INDEX(Pubs!$E$2:$E$3001,MATCH(G161,Pubs!$A$2:$A$3001,0)),""))</f>
        <v/>
      </c>
      <c r="L161" s="29" t="str">
        <f aca="false">IF(A161="","",IFERROR(1/(1/INDEX(Numéros!$C$2:$C$3001,MATCH(A161&amp;"|"&amp;B161,Numéros!$F$2:$F$3001,0))),""))</f>
        <v/>
      </c>
      <c r="M161" s="27" t="str">
        <f aca="false">IF(OR(G161="",G161="?"),"",IFERROR(INDEX(Pubs!$D$2:$D$3001,MATCH(G161,Pubs!$A$2:$A$3001,0))&amp;"",""))</f>
        <v/>
      </c>
      <c r="N161" s="27" t="n">
        <f aca="false">N(N160)+IF(AND(A161&lt;&gt;"",OR(Recherche!$C$4="",A161=Recherche!$C$4),OR(Recherche!$C$5="",B161&amp;""=Recherche!$C$5&amp;""),OR(Recherche!$C$6="",IFERROR(YEAR(L161),0)=Recherche!$C$6),OR(Recherche!$C$7="",ISNUMBER(SEARCH(Recherche!$C$7,H161))),OR(Recherche!$C$8="",J161=Recherche!$C$8),OR(Recherche!$C$9="",I161=Recherche!$C$9),OR(Recherche!$C$10="",G161&amp;""=Recherche!$C$10&amp;""),OR(Recherche!$C$11="",E161=Recherche!$C$11),OR(Recherche!$C$12="",ISNUMBER(SEARCH(Recherche!$C$12,M161&amp;" "&amp;F161)))),1,0)</f>
        <v>8</v>
      </c>
    </row>
    <row r="162" customFormat="false" ht="15" hidden="false" customHeight="false" outlineLevel="0" collapsed="false">
      <c r="A162" s="19"/>
      <c r="B162" s="19"/>
      <c r="C162" s="19"/>
      <c r="D162" s="19"/>
      <c r="E162" s="22"/>
      <c r="F162" s="19"/>
      <c r="G162" s="26" t="str">
        <f aca="false">IF(D162="","",IFERROR(VALUE(LEFT(D162,FIND(" |",D162&amp;" |")-1)),"?"))</f>
        <v/>
      </c>
      <c r="H162" s="27" t="str">
        <f aca="false">IF(G162="","",IF(G162="?","⚠ pub inconnue",IFERROR(INDEX(Pubs!$B$2:$B$3001,MATCH(G162,Pubs!$A$2:$A$3001,0))&amp;"","⚠ pub inconnue")))</f>
        <v/>
      </c>
      <c r="I162" s="27" t="str">
        <f aca="false">IF(OR(G162="",G162="?"),"",IFERROR(INDEX(Pubs!$C$2:$C$3001,MATCH(G162,Pubs!$A$2:$A$3001,0))&amp;"",""))</f>
        <v/>
      </c>
      <c r="J162" s="27" t="str">
        <f aca="false">IF(OR(G162="",G162="?"),"",IFERROR(INDEX(Pubs!$G$2:$G$3001,MATCH(G162,Pubs!$A$2:$A$3001,0))&amp;"",""))</f>
        <v/>
      </c>
      <c r="K162" s="28" t="str">
        <f aca="false">IF(OR(G162="",G162="?"),"",IFERROR(INDEX(Pubs!$E$2:$E$3001,MATCH(G162,Pubs!$A$2:$A$3001,0)),""))</f>
        <v/>
      </c>
      <c r="L162" s="29" t="str">
        <f aca="false">IF(A162="","",IFERROR(1/(1/INDEX(Numéros!$C$2:$C$3001,MATCH(A162&amp;"|"&amp;B162,Numéros!$F$2:$F$3001,0))),""))</f>
        <v/>
      </c>
      <c r="M162" s="27" t="str">
        <f aca="false">IF(OR(G162="",G162="?"),"",IFERROR(INDEX(Pubs!$D$2:$D$3001,MATCH(G162,Pubs!$A$2:$A$3001,0))&amp;"",""))</f>
        <v/>
      </c>
      <c r="N162" s="27" t="n">
        <f aca="false">N(N161)+IF(AND(A162&lt;&gt;"",OR(Recherche!$C$4="",A162=Recherche!$C$4),OR(Recherche!$C$5="",B162&amp;""=Recherche!$C$5&amp;""),OR(Recherche!$C$6="",IFERROR(YEAR(L162),0)=Recherche!$C$6),OR(Recherche!$C$7="",ISNUMBER(SEARCH(Recherche!$C$7,H162))),OR(Recherche!$C$8="",J162=Recherche!$C$8),OR(Recherche!$C$9="",I162=Recherche!$C$9),OR(Recherche!$C$10="",G162&amp;""=Recherche!$C$10&amp;""),OR(Recherche!$C$11="",E162=Recherche!$C$11),OR(Recherche!$C$12="",ISNUMBER(SEARCH(Recherche!$C$12,M162&amp;" "&amp;F162)))),1,0)</f>
        <v>8</v>
      </c>
    </row>
    <row r="163" customFormat="false" ht="15" hidden="false" customHeight="false" outlineLevel="0" collapsed="false">
      <c r="A163" s="19"/>
      <c r="B163" s="19"/>
      <c r="C163" s="19"/>
      <c r="D163" s="19"/>
      <c r="E163" s="22"/>
      <c r="F163" s="19"/>
      <c r="G163" s="26" t="str">
        <f aca="false">IF(D163="","",IFERROR(VALUE(LEFT(D163,FIND(" |",D163&amp;" |")-1)),"?"))</f>
        <v/>
      </c>
      <c r="H163" s="27" t="str">
        <f aca="false">IF(G163="","",IF(G163="?","⚠ pub inconnue",IFERROR(INDEX(Pubs!$B$2:$B$3001,MATCH(G163,Pubs!$A$2:$A$3001,0))&amp;"","⚠ pub inconnue")))</f>
        <v/>
      </c>
      <c r="I163" s="27" t="str">
        <f aca="false">IF(OR(G163="",G163="?"),"",IFERROR(INDEX(Pubs!$C$2:$C$3001,MATCH(G163,Pubs!$A$2:$A$3001,0))&amp;"",""))</f>
        <v/>
      </c>
      <c r="J163" s="27" t="str">
        <f aca="false">IF(OR(G163="",G163="?"),"",IFERROR(INDEX(Pubs!$G$2:$G$3001,MATCH(G163,Pubs!$A$2:$A$3001,0))&amp;"",""))</f>
        <v/>
      </c>
      <c r="K163" s="28" t="str">
        <f aca="false">IF(OR(G163="",G163="?"),"",IFERROR(INDEX(Pubs!$E$2:$E$3001,MATCH(G163,Pubs!$A$2:$A$3001,0)),""))</f>
        <v/>
      </c>
      <c r="L163" s="29" t="str">
        <f aca="false">IF(A163="","",IFERROR(1/(1/INDEX(Numéros!$C$2:$C$3001,MATCH(A163&amp;"|"&amp;B163,Numéros!$F$2:$F$3001,0))),""))</f>
        <v/>
      </c>
      <c r="M163" s="27" t="str">
        <f aca="false">IF(OR(G163="",G163="?"),"",IFERROR(INDEX(Pubs!$D$2:$D$3001,MATCH(G163,Pubs!$A$2:$A$3001,0))&amp;"",""))</f>
        <v/>
      </c>
      <c r="N163" s="27" t="n">
        <f aca="false">N(N162)+IF(AND(A163&lt;&gt;"",OR(Recherche!$C$4="",A163=Recherche!$C$4),OR(Recherche!$C$5="",B163&amp;""=Recherche!$C$5&amp;""),OR(Recherche!$C$6="",IFERROR(YEAR(L163),0)=Recherche!$C$6),OR(Recherche!$C$7="",ISNUMBER(SEARCH(Recherche!$C$7,H163))),OR(Recherche!$C$8="",J163=Recherche!$C$8),OR(Recherche!$C$9="",I163=Recherche!$C$9),OR(Recherche!$C$10="",G163&amp;""=Recherche!$C$10&amp;""),OR(Recherche!$C$11="",E163=Recherche!$C$11),OR(Recherche!$C$12="",ISNUMBER(SEARCH(Recherche!$C$12,M163&amp;" "&amp;F163)))),1,0)</f>
        <v>8</v>
      </c>
    </row>
    <row r="164" customFormat="false" ht="15" hidden="false" customHeight="false" outlineLevel="0" collapsed="false">
      <c r="A164" s="19"/>
      <c r="B164" s="19"/>
      <c r="C164" s="19"/>
      <c r="D164" s="19"/>
      <c r="E164" s="22"/>
      <c r="F164" s="19"/>
      <c r="G164" s="26" t="str">
        <f aca="false">IF(D164="","",IFERROR(VALUE(LEFT(D164,FIND(" |",D164&amp;" |")-1)),"?"))</f>
        <v/>
      </c>
      <c r="H164" s="27" t="str">
        <f aca="false">IF(G164="","",IF(G164="?","⚠ pub inconnue",IFERROR(INDEX(Pubs!$B$2:$B$3001,MATCH(G164,Pubs!$A$2:$A$3001,0))&amp;"","⚠ pub inconnue")))</f>
        <v/>
      </c>
      <c r="I164" s="27" t="str">
        <f aca="false">IF(OR(G164="",G164="?"),"",IFERROR(INDEX(Pubs!$C$2:$C$3001,MATCH(G164,Pubs!$A$2:$A$3001,0))&amp;"",""))</f>
        <v/>
      </c>
      <c r="J164" s="27" t="str">
        <f aca="false">IF(OR(G164="",G164="?"),"",IFERROR(INDEX(Pubs!$G$2:$G$3001,MATCH(G164,Pubs!$A$2:$A$3001,0))&amp;"",""))</f>
        <v/>
      </c>
      <c r="K164" s="28" t="str">
        <f aca="false">IF(OR(G164="",G164="?"),"",IFERROR(INDEX(Pubs!$E$2:$E$3001,MATCH(G164,Pubs!$A$2:$A$3001,0)),""))</f>
        <v/>
      </c>
      <c r="L164" s="29" t="str">
        <f aca="false">IF(A164="","",IFERROR(1/(1/INDEX(Numéros!$C$2:$C$3001,MATCH(A164&amp;"|"&amp;B164,Numéros!$F$2:$F$3001,0))),""))</f>
        <v/>
      </c>
      <c r="M164" s="27" t="str">
        <f aca="false">IF(OR(G164="",G164="?"),"",IFERROR(INDEX(Pubs!$D$2:$D$3001,MATCH(G164,Pubs!$A$2:$A$3001,0))&amp;"",""))</f>
        <v/>
      </c>
      <c r="N164" s="27" t="n">
        <f aca="false">N(N163)+IF(AND(A164&lt;&gt;"",OR(Recherche!$C$4="",A164=Recherche!$C$4),OR(Recherche!$C$5="",B164&amp;""=Recherche!$C$5&amp;""),OR(Recherche!$C$6="",IFERROR(YEAR(L164),0)=Recherche!$C$6),OR(Recherche!$C$7="",ISNUMBER(SEARCH(Recherche!$C$7,H164))),OR(Recherche!$C$8="",J164=Recherche!$C$8),OR(Recherche!$C$9="",I164=Recherche!$C$9),OR(Recherche!$C$10="",G164&amp;""=Recherche!$C$10&amp;""),OR(Recherche!$C$11="",E164=Recherche!$C$11),OR(Recherche!$C$12="",ISNUMBER(SEARCH(Recherche!$C$12,M164&amp;" "&amp;F164)))),1,0)</f>
        <v>8</v>
      </c>
    </row>
    <row r="165" customFormat="false" ht="15" hidden="false" customHeight="false" outlineLevel="0" collapsed="false">
      <c r="A165" s="19"/>
      <c r="B165" s="19"/>
      <c r="C165" s="19"/>
      <c r="D165" s="19"/>
      <c r="E165" s="22"/>
      <c r="F165" s="19"/>
      <c r="G165" s="26" t="str">
        <f aca="false">IF(D165="","",IFERROR(VALUE(LEFT(D165,FIND(" |",D165&amp;" |")-1)),"?"))</f>
        <v/>
      </c>
      <c r="H165" s="27" t="str">
        <f aca="false">IF(G165="","",IF(G165="?","⚠ pub inconnue",IFERROR(INDEX(Pubs!$B$2:$B$3001,MATCH(G165,Pubs!$A$2:$A$3001,0))&amp;"","⚠ pub inconnue")))</f>
        <v/>
      </c>
      <c r="I165" s="27" t="str">
        <f aca="false">IF(OR(G165="",G165="?"),"",IFERROR(INDEX(Pubs!$C$2:$C$3001,MATCH(G165,Pubs!$A$2:$A$3001,0))&amp;"",""))</f>
        <v/>
      </c>
      <c r="J165" s="27" t="str">
        <f aca="false">IF(OR(G165="",G165="?"),"",IFERROR(INDEX(Pubs!$G$2:$G$3001,MATCH(G165,Pubs!$A$2:$A$3001,0))&amp;"",""))</f>
        <v/>
      </c>
      <c r="K165" s="28" t="str">
        <f aca="false">IF(OR(G165="",G165="?"),"",IFERROR(INDEX(Pubs!$E$2:$E$3001,MATCH(G165,Pubs!$A$2:$A$3001,0)),""))</f>
        <v/>
      </c>
      <c r="L165" s="29" t="str">
        <f aca="false">IF(A165="","",IFERROR(1/(1/INDEX(Numéros!$C$2:$C$3001,MATCH(A165&amp;"|"&amp;B165,Numéros!$F$2:$F$3001,0))),""))</f>
        <v/>
      </c>
      <c r="M165" s="27" t="str">
        <f aca="false">IF(OR(G165="",G165="?"),"",IFERROR(INDEX(Pubs!$D$2:$D$3001,MATCH(G165,Pubs!$A$2:$A$3001,0))&amp;"",""))</f>
        <v/>
      </c>
      <c r="N165" s="27" t="n">
        <f aca="false">N(N164)+IF(AND(A165&lt;&gt;"",OR(Recherche!$C$4="",A165=Recherche!$C$4),OR(Recherche!$C$5="",B165&amp;""=Recherche!$C$5&amp;""),OR(Recherche!$C$6="",IFERROR(YEAR(L165),0)=Recherche!$C$6),OR(Recherche!$C$7="",ISNUMBER(SEARCH(Recherche!$C$7,H165))),OR(Recherche!$C$8="",J165=Recherche!$C$8),OR(Recherche!$C$9="",I165=Recherche!$C$9),OR(Recherche!$C$10="",G165&amp;""=Recherche!$C$10&amp;""),OR(Recherche!$C$11="",E165=Recherche!$C$11),OR(Recherche!$C$12="",ISNUMBER(SEARCH(Recherche!$C$12,M165&amp;" "&amp;F165)))),1,0)</f>
        <v>8</v>
      </c>
    </row>
    <row r="166" customFormat="false" ht="15" hidden="false" customHeight="false" outlineLevel="0" collapsed="false">
      <c r="A166" s="19"/>
      <c r="B166" s="19"/>
      <c r="C166" s="19"/>
      <c r="D166" s="19"/>
      <c r="E166" s="22"/>
      <c r="F166" s="19"/>
      <c r="G166" s="26" t="str">
        <f aca="false">IF(D166="","",IFERROR(VALUE(LEFT(D166,FIND(" |",D166&amp;" |")-1)),"?"))</f>
        <v/>
      </c>
      <c r="H166" s="27" t="str">
        <f aca="false">IF(G166="","",IF(G166="?","⚠ pub inconnue",IFERROR(INDEX(Pubs!$B$2:$B$3001,MATCH(G166,Pubs!$A$2:$A$3001,0))&amp;"","⚠ pub inconnue")))</f>
        <v/>
      </c>
      <c r="I166" s="27" t="str">
        <f aca="false">IF(OR(G166="",G166="?"),"",IFERROR(INDEX(Pubs!$C$2:$C$3001,MATCH(G166,Pubs!$A$2:$A$3001,0))&amp;"",""))</f>
        <v/>
      </c>
      <c r="J166" s="27" t="str">
        <f aca="false">IF(OR(G166="",G166="?"),"",IFERROR(INDEX(Pubs!$G$2:$G$3001,MATCH(G166,Pubs!$A$2:$A$3001,0))&amp;"",""))</f>
        <v/>
      </c>
      <c r="K166" s="28" t="str">
        <f aca="false">IF(OR(G166="",G166="?"),"",IFERROR(INDEX(Pubs!$E$2:$E$3001,MATCH(G166,Pubs!$A$2:$A$3001,0)),""))</f>
        <v/>
      </c>
      <c r="L166" s="29" t="str">
        <f aca="false">IF(A166="","",IFERROR(1/(1/INDEX(Numéros!$C$2:$C$3001,MATCH(A166&amp;"|"&amp;B166,Numéros!$F$2:$F$3001,0))),""))</f>
        <v/>
      </c>
      <c r="M166" s="27" t="str">
        <f aca="false">IF(OR(G166="",G166="?"),"",IFERROR(INDEX(Pubs!$D$2:$D$3001,MATCH(G166,Pubs!$A$2:$A$3001,0))&amp;"",""))</f>
        <v/>
      </c>
      <c r="N166" s="27" t="n">
        <f aca="false">N(N165)+IF(AND(A166&lt;&gt;"",OR(Recherche!$C$4="",A166=Recherche!$C$4),OR(Recherche!$C$5="",B166&amp;""=Recherche!$C$5&amp;""),OR(Recherche!$C$6="",IFERROR(YEAR(L166),0)=Recherche!$C$6),OR(Recherche!$C$7="",ISNUMBER(SEARCH(Recherche!$C$7,H166))),OR(Recherche!$C$8="",J166=Recherche!$C$8),OR(Recherche!$C$9="",I166=Recherche!$C$9),OR(Recherche!$C$10="",G166&amp;""=Recherche!$C$10&amp;""),OR(Recherche!$C$11="",E166=Recherche!$C$11),OR(Recherche!$C$12="",ISNUMBER(SEARCH(Recherche!$C$12,M166&amp;" "&amp;F166)))),1,0)</f>
        <v>8</v>
      </c>
    </row>
    <row r="167" customFormat="false" ht="15" hidden="false" customHeight="false" outlineLevel="0" collapsed="false">
      <c r="A167" s="19"/>
      <c r="B167" s="19"/>
      <c r="C167" s="19"/>
      <c r="D167" s="19"/>
      <c r="E167" s="22"/>
      <c r="F167" s="19"/>
      <c r="G167" s="26" t="str">
        <f aca="false">IF(D167="","",IFERROR(VALUE(LEFT(D167,FIND(" |",D167&amp;" |")-1)),"?"))</f>
        <v/>
      </c>
      <c r="H167" s="27" t="str">
        <f aca="false">IF(G167="","",IF(G167="?","⚠ pub inconnue",IFERROR(INDEX(Pubs!$B$2:$B$3001,MATCH(G167,Pubs!$A$2:$A$3001,0))&amp;"","⚠ pub inconnue")))</f>
        <v/>
      </c>
      <c r="I167" s="27" t="str">
        <f aca="false">IF(OR(G167="",G167="?"),"",IFERROR(INDEX(Pubs!$C$2:$C$3001,MATCH(G167,Pubs!$A$2:$A$3001,0))&amp;"",""))</f>
        <v/>
      </c>
      <c r="J167" s="27" t="str">
        <f aca="false">IF(OR(G167="",G167="?"),"",IFERROR(INDEX(Pubs!$G$2:$G$3001,MATCH(G167,Pubs!$A$2:$A$3001,0))&amp;"",""))</f>
        <v/>
      </c>
      <c r="K167" s="28" t="str">
        <f aca="false">IF(OR(G167="",G167="?"),"",IFERROR(INDEX(Pubs!$E$2:$E$3001,MATCH(G167,Pubs!$A$2:$A$3001,0)),""))</f>
        <v/>
      </c>
      <c r="L167" s="29" t="str">
        <f aca="false">IF(A167="","",IFERROR(1/(1/INDEX(Numéros!$C$2:$C$3001,MATCH(A167&amp;"|"&amp;B167,Numéros!$F$2:$F$3001,0))),""))</f>
        <v/>
      </c>
      <c r="M167" s="27" t="str">
        <f aca="false">IF(OR(G167="",G167="?"),"",IFERROR(INDEX(Pubs!$D$2:$D$3001,MATCH(G167,Pubs!$A$2:$A$3001,0))&amp;"",""))</f>
        <v/>
      </c>
      <c r="N167" s="27" t="n">
        <f aca="false">N(N166)+IF(AND(A167&lt;&gt;"",OR(Recherche!$C$4="",A167=Recherche!$C$4),OR(Recherche!$C$5="",B167&amp;""=Recherche!$C$5&amp;""),OR(Recherche!$C$6="",IFERROR(YEAR(L167),0)=Recherche!$C$6),OR(Recherche!$C$7="",ISNUMBER(SEARCH(Recherche!$C$7,H167))),OR(Recherche!$C$8="",J167=Recherche!$C$8),OR(Recherche!$C$9="",I167=Recherche!$C$9),OR(Recherche!$C$10="",G167&amp;""=Recherche!$C$10&amp;""),OR(Recherche!$C$11="",E167=Recherche!$C$11),OR(Recherche!$C$12="",ISNUMBER(SEARCH(Recherche!$C$12,M167&amp;" "&amp;F167)))),1,0)</f>
        <v>8</v>
      </c>
    </row>
    <row r="168" customFormat="false" ht="15" hidden="false" customHeight="false" outlineLevel="0" collapsed="false">
      <c r="A168" s="19"/>
      <c r="B168" s="19"/>
      <c r="C168" s="19"/>
      <c r="D168" s="19"/>
      <c r="E168" s="22"/>
      <c r="F168" s="19"/>
      <c r="G168" s="26" t="str">
        <f aca="false">IF(D168="","",IFERROR(VALUE(LEFT(D168,FIND(" |",D168&amp;" |")-1)),"?"))</f>
        <v/>
      </c>
      <c r="H168" s="27" t="str">
        <f aca="false">IF(G168="","",IF(G168="?","⚠ pub inconnue",IFERROR(INDEX(Pubs!$B$2:$B$3001,MATCH(G168,Pubs!$A$2:$A$3001,0))&amp;"","⚠ pub inconnue")))</f>
        <v/>
      </c>
      <c r="I168" s="27" t="str">
        <f aca="false">IF(OR(G168="",G168="?"),"",IFERROR(INDEX(Pubs!$C$2:$C$3001,MATCH(G168,Pubs!$A$2:$A$3001,0))&amp;"",""))</f>
        <v/>
      </c>
      <c r="J168" s="27" t="str">
        <f aca="false">IF(OR(G168="",G168="?"),"",IFERROR(INDEX(Pubs!$G$2:$G$3001,MATCH(G168,Pubs!$A$2:$A$3001,0))&amp;"",""))</f>
        <v/>
      </c>
      <c r="K168" s="28" t="str">
        <f aca="false">IF(OR(G168="",G168="?"),"",IFERROR(INDEX(Pubs!$E$2:$E$3001,MATCH(G168,Pubs!$A$2:$A$3001,0)),""))</f>
        <v/>
      </c>
      <c r="L168" s="29" t="str">
        <f aca="false">IF(A168="","",IFERROR(1/(1/INDEX(Numéros!$C$2:$C$3001,MATCH(A168&amp;"|"&amp;B168,Numéros!$F$2:$F$3001,0))),""))</f>
        <v/>
      </c>
      <c r="M168" s="27" t="str">
        <f aca="false">IF(OR(G168="",G168="?"),"",IFERROR(INDEX(Pubs!$D$2:$D$3001,MATCH(G168,Pubs!$A$2:$A$3001,0))&amp;"",""))</f>
        <v/>
      </c>
      <c r="N168" s="27" t="n">
        <f aca="false">N(N167)+IF(AND(A168&lt;&gt;"",OR(Recherche!$C$4="",A168=Recherche!$C$4),OR(Recherche!$C$5="",B168&amp;""=Recherche!$C$5&amp;""),OR(Recherche!$C$6="",IFERROR(YEAR(L168),0)=Recherche!$C$6),OR(Recherche!$C$7="",ISNUMBER(SEARCH(Recherche!$C$7,H168))),OR(Recherche!$C$8="",J168=Recherche!$C$8),OR(Recherche!$C$9="",I168=Recherche!$C$9),OR(Recherche!$C$10="",G168&amp;""=Recherche!$C$10&amp;""),OR(Recherche!$C$11="",E168=Recherche!$C$11),OR(Recherche!$C$12="",ISNUMBER(SEARCH(Recherche!$C$12,M168&amp;" "&amp;F168)))),1,0)</f>
        <v>8</v>
      </c>
    </row>
    <row r="169" customFormat="false" ht="15" hidden="false" customHeight="false" outlineLevel="0" collapsed="false">
      <c r="A169" s="19"/>
      <c r="B169" s="19"/>
      <c r="C169" s="19"/>
      <c r="D169" s="19"/>
      <c r="E169" s="22"/>
      <c r="F169" s="19"/>
      <c r="G169" s="26" t="str">
        <f aca="false">IF(D169="","",IFERROR(VALUE(LEFT(D169,FIND(" |",D169&amp;" |")-1)),"?"))</f>
        <v/>
      </c>
      <c r="H169" s="27" t="str">
        <f aca="false">IF(G169="","",IF(G169="?","⚠ pub inconnue",IFERROR(INDEX(Pubs!$B$2:$B$3001,MATCH(G169,Pubs!$A$2:$A$3001,0))&amp;"","⚠ pub inconnue")))</f>
        <v/>
      </c>
      <c r="I169" s="27" t="str">
        <f aca="false">IF(OR(G169="",G169="?"),"",IFERROR(INDEX(Pubs!$C$2:$C$3001,MATCH(G169,Pubs!$A$2:$A$3001,0))&amp;"",""))</f>
        <v/>
      </c>
      <c r="J169" s="27" t="str">
        <f aca="false">IF(OR(G169="",G169="?"),"",IFERROR(INDEX(Pubs!$G$2:$G$3001,MATCH(G169,Pubs!$A$2:$A$3001,0))&amp;"",""))</f>
        <v/>
      </c>
      <c r="K169" s="28" t="str">
        <f aca="false">IF(OR(G169="",G169="?"),"",IFERROR(INDEX(Pubs!$E$2:$E$3001,MATCH(G169,Pubs!$A$2:$A$3001,0)),""))</f>
        <v/>
      </c>
      <c r="L169" s="29" t="str">
        <f aca="false">IF(A169="","",IFERROR(1/(1/INDEX(Numéros!$C$2:$C$3001,MATCH(A169&amp;"|"&amp;B169,Numéros!$F$2:$F$3001,0))),""))</f>
        <v/>
      </c>
      <c r="M169" s="27" t="str">
        <f aca="false">IF(OR(G169="",G169="?"),"",IFERROR(INDEX(Pubs!$D$2:$D$3001,MATCH(G169,Pubs!$A$2:$A$3001,0))&amp;"",""))</f>
        <v/>
      </c>
      <c r="N169" s="27" t="n">
        <f aca="false">N(N168)+IF(AND(A169&lt;&gt;"",OR(Recherche!$C$4="",A169=Recherche!$C$4),OR(Recherche!$C$5="",B169&amp;""=Recherche!$C$5&amp;""),OR(Recherche!$C$6="",IFERROR(YEAR(L169),0)=Recherche!$C$6),OR(Recherche!$C$7="",ISNUMBER(SEARCH(Recherche!$C$7,H169))),OR(Recherche!$C$8="",J169=Recherche!$C$8),OR(Recherche!$C$9="",I169=Recherche!$C$9),OR(Recherche!$C$10="",G169&amp;""=Recherche!$C$10&amp;""),OR(Recherche!$C$11="",E169=Recherche!$C$11),OR(Recherche!$C$12="",ISNUMBER(SEARCH(Recherche!$C$12,M169&amp;" "&amp;F169)))),1,0)</f>
        <v>8</v>
      </c>
    </row>
    <row r="170" customFormat="false" ht="15" hidden="false" customHeight="false" outlineLevel="0" collapsed="false">
      <c r="A170" s="19"/>
      <c r="B170" s="19"/>
      <c r="C170" s="19"/>
      <c r="D170" s="19"/>
      <c r="E170" s="22"/>
      <c r="F170" s="19"/>
      <c r="G170" s="26" t="str">
        <f aca="false">IF(D170="","",IFERROR(VALUE(LEFT(D170,FIND(" |",D170&amp;" |")-1)),"?"))</f>
        <v/>
      </c>
      <c r="H170" s="27" t="str">
        <f aca="false">IF(G170="","",IF(G170="?","⚠ pub inconnue",IFERROR(INDEX(Pubs!$B$2:$B$3001,MATCH(G170,Pubs!$A$2:$A$3001,0))&amp;"","⚠ pub inconnue")))</f>
        <v/>
      </c>
      <c r="I170" s="27" t="str">
        <f aca="false">IF(OR(G170="",G170="?"),"",IFERROR(INDEX(Pubs!$C$2:$C$3001,MATCH(G170,Pubs!$A$2:$A$3001,0))&amp;"",""))</f>
        <v/>
      </c>
      <c r="J170" s="27" t="str">
        <f aca="false">IF(OR(G170="",G170="?"),"",IFERROR(INDEX(Pubs!$G$2:$G$3001,MATCH(G170,Pubs!$A$2:$A$3001,0))&amp;"",""))</f>
        <v/>
      </c>
      <c r="K170" s="28" t="str">
        <f aca="false">IF(OR(G170="",G170="?"),"",IFERROR(INDEX(Pubs!$E$2:$E$3001,MATCH(G170,Pubs!$A$2:$A$3001,0)),""))</f>
        <v/>
      </c>
      <c r="L170" s="29" t="str">
        <f aca="false">IF(A170="","",IFERROR(1/(1/INDEX(Numéros!$C$2:$C$3001,MATCH(A170&amp;"|"&amp;B170,Numéros!$F$2:$F$3001,0))),""))</f>
        <v/>
      </c>
      <c r="M170" s="27" t="str">
        <f aca="false">IF(OR(G170="",G170="?"),"",IFERROR(INDEX(Pubs!$D$2:$D$3001,MATCH(G170,Pubs!$A$2:$A$3001,0))&amp;"",""))</f>
        <v/>
      </c>
      <c r="N170" s="27" t="n">
        <f aca="false">N(N169)+IF(AND(A170&lt;&gt;"",OR(Recherche!$C$4="",A170=Recherche!$C$4),OR(Recherche!$C$5="",B170&amp;""=Recherche!$C$5&amp;""),OR(Recherche!$C$6="",IFERROR(YEAR(L170),0)=Recherche!$C$6),OR(Recherche!$C$7="",ISNUMBER(SEARCH(Recherche!$C$7,H170))),OR(Recherche!$C$8="",J170=Recherche!$C$8),OR(Recherche!$C$9="",I170=Recherche!$C$9),OR(Recherche!$C$10="",G170&amp;""=Recherche!$C$10&amp;""),OR(Recherche!$C$11="",E170=Recherche!$C$11),OR(Recherche!$C$12="",ISNUMBER(SEARCH(Recherche!$C$12,M170&amp;" "&amp;F170)))),1,0)</f>
        <v>8</v>
      </c>
    </row>
    <row r="171" customFormat="false" ht="15" hidden="false" customHeight="false" outlineLevel="0" collapsed="false">
      <c r="A171" s="19"/>
      <c r="B171" s="19"/>
      <c r="C171" s="19"/>
      <c r="D171" s="19"/>
      <c r="E171" s="22"/>
      <c r="F171" s="19"/>
      <c r="G171" s="26" t="str">
        <f aca="false">IF(D171="","",IFERROR(VALUE(LEFT(D171,FIND(" |",D171&amp;" |")-1)),"?"))</f>
        <v/>
      </c>
      <c r="H171" s="27" t="str">
        <f aca="false">IF(G171="","",IF(G171="?","⚠ pub inconnue",IFERROR(INDEX(Pubs!$B$2:$B$3001,MATCH(G171,Pubs!$A$2:$A$3001,0))&amp;"","⚠ pub inconnue")))</f>
        <v/>
      </c>
      <c r="I171" s="27" t="str">
        <f aca="false">IF(OR(G171="",G171="?"),"",IFERROR(INDEX(Pubs!$C$2:$C$3001,MATCH(G171,Pubs!$A$2:$A$3001,0))&amp;"",""))</f>
        <v/>
      </c>
      <c r="J171" s="27" t="str">
        <f aca="false">IF(OR(G171="",G171="?"),"",IFERROR(INDEX(Pubs!$G$2:$G$3001,MATCH(G171,Pubs!$A$2:$A$3001,0))&amp;"",""))</f>
        <v/>
      </c>
      <c r="K171" s="28" t="str">
        <f aca="false">IF(OR(G171="",G171="?"),"",IFERROR(INDEX(Pubs!$E$2:$E$3001,MATCH(G171,Pubs!$A$2:$A$3001,0)),""))</f>
        <v/>
      </c>
      <c r="L171" s="29" t="str">
        <f aca="false">IF(A171="","",IFERROR(1/(1/INDEX(Numéros!$C$2:$C$3001,MATCH(A171&amp;"|"&amp;B171,Numéros!$F$2:$F$3001,0))),""))</f>
        <v/>
      </c>
      <c r="M171" s="27" t="str">
        <f aca="false">IF(OR(G171="",G171="?"),"",IFERROR(INDEX(Pubs!$D$2:$D$3001,MATCH(G171,Pubs!$A$2:$A$3001,0))&amp;"",""))</f>
        <v/>
      </c>
      <c r="N171" s="27" t="n">
        <f aca="false">N(N170)+IF(AND(A171&lt;&gt;"",OR(Recherche!$C$4="",A171=Recherche!$C$4),OR(Recherche!$C$5="",B171&amp;""=Recherche!$C$5&amp;""),OR(Recherche!$C$6="",IFERROR(YEAR(L171),0)=Recherche!$C$6),OR(Recherche!$C$7="",ISNUMBER(SEARCH(Recherche!$C$7,H171))),OR(Recherche!$C$8="",J171=Recherche!$C$8),OR(Recherche!$C$9="",I171=Recherche!$C$9),OR(Recherche!$C$10="",G171&amp;""=Recherche!$C$10&amp;""),OR(Recherche!$C$11="",E171=Recherche!$C$11),OR(Recherche!$C$12="",ISNUMBER(SEARCH(Recherche!$C$12,M171&amp;" "&amp;F171)))),1,0)</f>
        <v>8</v>
      </c>
    </row>
    <row r="172" customFormat="false" ht="15" hidden="false" customHeight="false" outlineLevel="0" collapsed="false">
      <c r="A172" s="19"/>
      <c r="B172" s="19"/>
      <c r="C172" s="19"/>
      <c r="D172" s="19"/>
      <c r="E172" s="22"/>
      <c r="F172" s="19"/>
      <c r="G172" s="26" t="str">
        <f aca="false">IF(D172="","",IFERROR(VALUE(LEFT(D172,FIND(" |",D172&amp;" |")-1)),"?"))</f>
        <v/>
      </c>
      <c r="H172" s="27" t="str">
        <f aca="false">IF(G172="","",IF(G172="?","⚠ pub inconnue",IFERROR(INDEX(Pubs!$B$2:$B$3001,MATCH(G172,Pubs!$A$2:$A$3001,0))&amp;"","⚠ pub inconnue")))</f>
        <v/>
      </c>
      <c r="I172" s="27" t="str">
        <f aca="false">IF(OR(G172="",G172="?"),"",IFERROR(INDEX(Pubs!$C$2:$C$3001,MATCH(G172,Pubs!$A$2:$A$3001,0))&amp;"",""))</f>
        <v/>
      </c>
      <c r="J172" s="27" t="str">
        <f aca="false">IF(OR(G172="",G172="?"),"",IFERROR(INDEX(Pubs!$G$2:$G$3001,MATCH(G172,Pubs!$A$2:$A$3001,0))&amp;"",""))</f>
        <v/>
      </c>
      <c r="K172" s="28" t="str">
        <f aca="false">IF(OR(G172="",G172="?"),"",IFERROR(INDEX(Pubs!$E$2:$E$3001,MATCH(G172,Pubs!$A$2:$A$3001,0)),""))</f>
        <v/>
      </c>
      <c r="L172" s="29" t="str">
        <f aca="false">IF(A172="","",IFERROR(1/(1/INDEX(Numéros!$C$2:$C$3001,MATCH(A172&amp;"|"&amp;B172,Numéros!$F$2:$F$3001,0))),""))</f>
        <v/>
      </c>
      <c r="M172" s="27" t="str">
        <f aca="false">IF(OR(G172="",G172="?"),"",IFERROR(INDEX(Pubs!$D$2:$D$3001,MATCH(G172,Pubs!$A$2:$A$3001,0))&amp;"",""))</f>
        <v/>
      </c>
      <c r="N172" s="27" t="n">
        <f aca="false">N(N171)+IF(AND(A172&lt;&gt;"",OR(Recherche!$C$4="",A172=Recherche!$C$4),OR(Recherche!$C$5="",B172&amp;""=Recherche!$C$5&amp;""),OR(Recherche!$C$6="",IFERROR(YEAR(L172),0)=Recherche!$C$6),OR(Recherche!$C$7="",ISNUMBER(SEARCH(Recherche!$C$7,H172))),OR(Recherche!$C$8="",J172=Recherche!$C$8),OR(Recherche!$C$9="",I172=Recherche!$C$9),OR(Recherche!$C$10="",G172&amp;""=Recherche!$C$10&amp;""),OR(Recherche!$C$11="",E172=Recherche!$C$11),OR(Recherche!$C$12="",ISNUMBER(SEARCH(Recherche!$C$12,M172&amp;" "&amp;F172)))),1,0)</f>
        <v>8</v>
      </c>
    </row>
    <row r="173" customFormat="false" ht="15" hidden="false" customHeight="false" outlineLevel="0" collapsed="false">
      <c r="A173" s="19"/>
      <c r="B173" s="19"/>
      <c r="C173" s="19"/>
      <c r="D173" s="19"/>
      <c r="E173" s="22"/>
      <c r="F173" s="19"/>
      <c r="G173" s="26" t="str">
        <f aca="false">IF(D173="","",IFERROR(VALUE(LEFT(D173,FIND(" |",D173&amp;" |")-1)),"?"))</f>
        <v/>
      </c>
      <c r="H173" s="27" t="str">
        <f aca="false">IF(G173="","",IF(G173="?","⚠ pub inconnue",IFERROR(INDEX(Pubs!$B$2:$B$3001,MATCH(G173,Pubs!$A$2:$A$3001,0))&amp;"","⚠ pub inconnue")))</f>
        <v/>
      </c>
      <c r="I173" s="27" t="str">
        <f aca="false">IF(OR(G173="",G173="?"),"",IFERROR(INDEX(Pubs!$C$2:$C$3001,MATCH(G173,Pubs!$A$2:$A$3001,0))&amp;"",""))</f>
        <v/>
      </c>
      <c r="J173" s="27" t="str">
        <f aca="false">IF(OR(G173="",G173="?"),"",IFERROR(INDEX(Pubs!$G$2:$G$3001,MATCH(G173,Pubs!$A$2:$A$3001,0))&amp;"",""))</f>
        <v/>
      </c>
      <c r="K173" s="28" t="str">
        <f aca="false">IF(OR(G173="",G173="?"),"",IFERROR(INDEX(Pubs!$E$2:$E$3001,MATCH(G173,Pubs!$A$2:$A$3001,0)),""))</f>
        <v/>
      </c>
      <c r="L173" s="29" t="str">
        <f aca="false">IF(A173="","",IFERROR(1/(1/INDEX(Numéros!$C$2:$C$3001,MATCH(A173&amp;"|"&amp;B173,Numéros!$F$2:$F$3001,0))),""))</f>
        <v/>
      </c>
      <c r="M173" s="27" t="str">
        <f aca="false">IF(OR(G173="",G173="?"),"",IFERROR(INDEX(Pubs!$D$2:$D$3001,MATCH(G173,Pubs!$A$2:$A$3001,0))&amp;"",""))</f>
        <v/>
      </c>
      <c r="N173" s="27" t="n">
        <f aca="false">N(N172)+IF(AND(A173&lt;&gt;"",OR(Recherche!$C$4="",A173=Recherche!$C$4),OR(Recherche!$C$5="",B173&amp;""=Recherche!$C$5&amp;""),OR(Recherche!$C$6="",IFERROR(YEAR(L173),0)=Recherche!$C$6),OR(Recherche!$C$7="",ISNUMBER(SEARCH(Recherche!$C$7,H173))),OR(Recherche!$C$8="",J173=Recherche!$C$8),OR(Recherche!$C$9="",I173=Recherche!$C$9),OR(Recherche!$C$10="",G173&amp;""=Recherche!$C$10&amp;""),OR(Recherche!$C$11="",E173=Recherche!$C$11),OR(Recherche!$C$12="",ISNUMBER(SEARCH(Recherche!$C$12,M173&amp;" "&amp;F173)))),1,0)</f>
        <v>8</v>
      </c>
    </row>
    <row r="174" customFormat="false" ht="15" hidden="false" customHeight="false" outlineLevel="0" collapsed="false">
      <c r="A174" s="19"/>
      <c r="B174" s="19"/>
      <c r="C174" s="19"/>
      <c r="D174" s="19"/>
      <c r="E174" s="22"/>
      <c r="F174" s="19"/>
      <c r="G174" s="26" t="str">
        <f aca="false">IF(D174="","",IFERROR(VALUE(LEFT(D174,FIND(" |",D174&amp;" |")-1)),"?"))</f>
        <v/>
      </c>
      <c r="H174" s="27" t="str">
        <f aca="false">IF(G174="","",IF(G174="?","⚠ pub inconnue",IFERROR(INDEX(Pubs!$B$2:$B$3001,MATCH(G174,Pubs!$A$2:$A$3001,0))&amp;"","⚠ pub inconnue")))</f>
        <v/>
      </c>
      <c r="I174" s="27" t="str">
        <f aca="false">IF(OR(G174="",G174="?"),"",IFERROR(INDEX(Pubs!$C$2:$C$3001,MATCH(G174,Pubs!$A$2:$A$3001,0))&amp;"",""))</f>
        <v/>
      </c>
      <c r="J174" s="27" t="str">
        <f aca="false">IF(OR(G174="",G174="?"),"",IFERROR(INDEX(Pubs!$G$2:$G$3001,MATCH(G174,Pubs!$A$2:$A$3001,0))&amp;"",""))</f>
        <v/>
      </c>
      <c r="K174" s="28" t="str">
        <f aca="false">IF(OR(G174="",G174="?"),"",IFERROR(INDEX(Pubs!$E$2:$E$3001,MATCH(G174,Pubs!$A$2:$A$3001,0)),""))</f>
        <v/>
      </c>
      <c r="L174" s="29" t="str">
        <f aca="false">IF(A174="","",IFERROR(1/(1/INDEX(Numéros!$C$2:$C$3001,MATCH(A174&amp;"|"&amp;B174,Numéros!$F$2:$F$3001,0))),""))</f>
        <v/>
      </c>
      <c r="M174" s="27" t="str">
        <f aca="false">IF(OR(G174="",G174="?"),"",IFERROR(INDEX(Pubs!$D$2:$D$3001,MATCH(G174,Pubs!$A$2:$A$3001,0))&amp;"",""))</f>
        <v/>
      </c>
      <c r="N174" s="27" t="n">
        <f aca="false">N(N173)+IF(AND(A174&lt;&gt;"",OR(Recherche!$C$4="",A174=Recherche!$C$4),OR(Recherche!$C$5="",B174&amp;""=Recherche!$C$5&amp;""),OR(Recherche!$C$6="",IFERROR(YEAR(L174),0)=Recherche!$C$6),OR(Recherche!$C$7="",ISNUMBER(SEARCH(Recherche!$C$7,H174))),OR(Recherche!$C$8="",J174=Recherche!$C$8),OR(Recherche!$C$9="",I174=Recherche!$C$9),OR(Recherche!$C$10="",G174&amp;""=Recherche!$C$10&amp;""),OR(Recherche!$C$11="",E174=Recherche!$C$11),OR(Recherche!$C$12="",ISNUMBER(SEARCH(Recherche!$C$12,M174&amp;" "&amp;F174)))),1,0)</f>
        <v>8</v>
      </c>
    </row>
    <row r="175" customFormat="false" ht="15" hidden="false" customHeight="false" outlineLevel="0" collapsed="false">
      <c r="A175" s="19"/>
      <c r="B175" s="19"/>
      <c r="C175" s="19"/>
      <c r="D175" s="19"/>
      <c r="E175" s="22"/>
      <c r="F175" s="19"/>
      <c r="G175" s="26" t="str">
        <f aca="false">IF(D175="","",IFERROR(VALUE(LEFT(D175,FIND(" |",D175&amp;" |")-1)),"?"))</f>
        <v/>
      </c>
      <c r="H175" s="27" t="str">
        <f aca="false">IF(G175="","",IF(G175="?","⚠ pub inconnue",IFERROR(INDEX(Pubs!$B$2:$B$3001,MATCH(G175,Pubs!$A$2:$A$3001,0))&amp;"","⚠ pub inconnue")))</f>
        <v/>
      </c>
      <c r="I175" s="27" t="str">
        <f aca="false">IF(OR(G175="",G175="?"),"",IFERROR(INDEX(Pubs!$C$2:$C$3001,MATCH(G175,Pubs!$A$2:$A$3001,0))&amp;"",""))</f>
        <v/>
      </c>
      <c r="J175" s="27" t="str">
        <f aca="false">IF(OR(G175="",G175="?"),"",IFERROR(INDEX(Pubs!$G$2:$G$3001,MATCH(G175,Pubs!$A$2:$A$3001,0))&amp;"",""))</f>
        <v/>
      </c>
      <c r="K175" s="28" t="str">
        <f aca="false">IF(OR(G175="",G175="?"),"",IFERROR(INDEX(Pubs!$E$2:$E$3001,MATCH(G175,Pubs!$A$2:$A$3001,0)),""))</f>
        <v/>
      </c>
      <c r="L175" s="29" t="str">
        <f aca="false">IF(A175="","",IFERROR(1/(1/INDEX(Numéros!$C$2:$C$3001,MATCH(A175&amp;"|"&amp;B175,Numéros!$F$2:$F$3001,0))),""))</f>
        <v/>
      </c>
      <c r="M175" s="27" t="str">
        <f aca="false">IF(OR(G175="",G175="?"),"",IFERROR(INDEX(Pubs!$D$2:$D$3001,MATCH(G175,Pubs!$A$2:$A$3001,0))&amp;"",""))</f>
        <v/>
      </c>
      <c r="N175" s="27" t="n">
        <f aca="false">N(N174)+IF(AND(A175&lt;&gt;"",OR(Recherche!$C$4="",A175=Recherche!$C$4),OR(Recherche!$C$5="",B175&amp;""=Recherche!$C$5&amp;""),OR(Recherche!$C$6="",IFERROR(YEAR(L175),0)=Recherche!$C$6),OR(Recherche!$C$7="",ISNUMBER(SEARCH(Recherche!$C$7,H175))),OR(Recherche!$C$8="",J175=Recherche!$C$8),OR(Recherche!$C$9="",I175=Recherche!$C$9),OR(Recherche!$C$10="",G175&amp;""=Recherche!$C$10&amp;""),OR(Recherche!$C$11="",E175=Recherche!$C$11),OR(Recherche!$C$12="",ISNUMBER(SEARCH(Recherche!$C$12,M175&amp;" "&amp;F175)))),1,0)</f>
        <v>8</v>
      </c>
    </row>
    <row r="176" customFormat="false" ht="15" hidden="false" customHeight="false" outlineLevel="0" collapsed="false">
      <c r="A176" s="19"/>
      <c r="B176" s="19"/>
      <c r="C176" s="19"/>
      <c r="D176" s="19"/>
      <c r="E176" s="22"/>
      <c r="F176" s="19"/>
      <c r="G176" s="26" t="str">
        <f aca="false">IF(D176="","",IFERROR(VALUE(LEFT(D176,FIND(" |",D176&amp;" |")-1)),"?"))</f>
        <v/>
      </c>
      <c r="H176" s="27" t="str">
        <f aca="false">IF(G176="","",IF(G176="?","⚠ pub inconnue",IFERROR(INDEX(Pubs!$B$2:$B$3001,MATCH(G176,Pubs!$A$2:$A$3001,0))&amp;"","⚠ pub inconnue")))</f>
        <v/>
      </c>
      <c r="I176" s="27" t="str">
        <f aca="false">IF(OR(G176="",G176="?"),"",IFERROR(INDEX(Pubs!$C$2:$C$3001,MATCH(G176,Pubs!$A$2:$A$3001,0))&amp;"",""))</f>
        <v/>
      </c>
      <c r="J176" s="27" t="str">
        <f aca="false">IF(OR(G176="",G176="?"),"",IFERROR(INDEX(Pubs!$G$2:$G$3001,MATCH(G176,Pubs!$A$2:$A$3001,0))&amp;"",""))</f>
        <v/>
      </c>
      <c r="K176" s="28" t="str">
        <f aca="false">IF(OR(G176="",G176="?"),"",IFERROR(INDEX(Pubs!$E$2:$E$3001,MATCH(G176,Pubs!$A$2:$A$3001,0)),""))</f>
        <v/>
      </c>
      <c r="L176" s="29" t="str">
        <f aca="false">IF(A176="","",IFERROR(1/(1/INDEX(Numéros!$C$2:$C$3001,MATCH(A176&amp;"|"&amp;B176,Numéros!$F$2:$F$3001,0))),""))</f>
        <v/>
      </c>
      <c r="M176" s="27" t="str">
        <f aca="false">IF(OR(G176="",G176="?"),"",IFERROR(INDEX(Pubs!$D$2:$D$3001,MATCH(G176,Pubs!$A$2:$A$3001,0))&amp;"",""))</f>
        <v/>
      </c>
      <c r="N176" s="27" t="n">
        <f aca="false">N(N175)+IF(AND(A176&lt;&gt;"",OR(Recherche!$C$4="",A176=Recherche!$C$4),OR(Recherche!$C$5="",B176&amp;""=Recherche!$C$5&amp;""),OR(Recherche!$C$6="",IFERROR(YEAR(L176),0)=Recherche!$C$6),OR(Recherche!$C$7="",ISNUMBER(SEARCH(Recherche!$C$7,H176))),OR(Recherche!$C$8="",J176=Recherche!$C$8),OR(Recherche!$C$9="",I176=Recherche!$C$9),OR(Recherche!$C$10="",G176&amp;""=Recherche!$C$10&amp;""),OR(Recherche!$C$11="",E176=Recherche!$C$11),OR(Recherche!$C$12="",ISNUMBER(SEARCH(Recherche!$C$12,M176&amp;" "&amp;F176)))),1,0)</f>
        <v>8</v>
      </c>
    </row>
    <row r="177" customFormat="false" ht="15" hidden="false" customHeight="false" outlineLevel="0" collapsed="false">
      <c r="A177" s="19"/>
      <c r="B177" s="19"/>
      <c r="C177" s="19"/>
      <c r="D177" s="19"/>
      <c r="E177" s="22"/>
      <c r="F177" s="19"/>
      <c r="G177" s="26" t="str">
        <f aca="false">IF(D177="","",IFERROR(VALUE(LEFT(D177,FIND(" |",D177&amp;" |")-1)),"?"))</f>
        <v/>
      </c>
      <c r="H177" s="27" t="str">
        <f aca="false">IF(G177="","",IF(G177="?","⚠ pub inconnue",IFERROR(INDEX(Pubs!$B$2:$B$3001,MATCH(G177,Pubs!$A$2:$A$3001,0))&amp;"","⚠ pub inconnue")))</f>
        <v/>
      </c>
      <c r="I177" s="27" t="str">
        <f aca="false">IF(OR(G177="",G177="?"),"",IFERROR(INDEX(Pubs!$C$2:$C$3001,MATCH(G177,Pubs!$A$2:$A$3001,0))&amp;"",""))</f>
        <v/>
      </c>
      <c r="J177" s="27" t="str">
        <f aca="false">IF(OR(G177="",G177="?"),"",IFERROR(INDEX(Pubs!$G$2:$G$3001,MATCH(G177,Pubs!$A$2:$A$3001,0))&amp;"",""))</f>
        <v/>
      </c>
      <c r="K177" s="28" t="str">
        <f aca="false">IF(OR(G177="",G177="?"),"",IFERROR(INDEX(Pubs!$E$2:$E$3001,MATCH(G177,Pubs!$A$2:$A$3001,0)),""))</f>
        <v/>
      </c>
      <c r="L177" s="29" t="str">
        <f aca="false">IF(A177="","",IFERROR(1/(1/INDEX(Numéros!$C$2:$C$3001,MATCH(A177&amp;"|"&amp;B177,Numéros!$F$2:$F$3001,0))),""))</f>
        <v/>
      </c>
      <c r="M177" s="27" t="str">
        <f aca="false">IF(OR(G177="",G177="?"),"",IFERROR(INDEX(Pubs!$D$2:$D$3001,MATCH(G177,Pubs!$A$2:$A$3001,0))&amp;"",""))</f>
        <v/>
      </c>
      <c r="N177" s="27" t="n">
        <f aca="false">N(N176)+IF(AND(A177&lt;&gt;"",OR(Recherche!$C$4="",A177=Recherche!$C$4),OR(Recherche!$C$5="",B177&amp;""=Recherche!$C$5&amp;""),OR(Recherche!$C$6="",IFERROR(YEAR(L177),0)=Recherche!$C$6),OR(Recherche!$C$7="",ISNUMBER(SEARCH(Recherche!$C$7,H177))),OR(Recherche!$C$8="",J177=Recherche!$C$8),OR(Recherche!$C$9="",I177=Recherche!$C$9),OR(Recherche!$C$10="",G177&amp;""=Recherche!$C$10&amp;""),OR(Recherche!$C$11="",E177=Recherche!$C$11),OR(Recherche!$C$12="",ISNUMBER(SEARCH(Recherche!$C$12,M177&amp;" "&amp;F177)))),1,0)</f>
        <v>8</v>
      </c>
    </row>
    <row r="178" customFormat="false" ht="15" hidden="false" customHeight="false" outlineLevel="0" collapsed="false">
      <c r="A178" s="19"/>
      <c r="B178" s="19"/>
      <c r="C178" s="19"/>
      <c r="D178" s="19"/>
      <c r="E178" s="22"/>
      <c r="F178" s="19"/>
      <c r="G178" s="26" t="str">
        <f aca="false">IF(D178="","",IFERROR(VALUE(LEFT(D178,FIND(" |",D178&amp;" |")-1)),"?"))</f>
        <v/>
      </c>
      <c r="H178" s="27" t="str">
        <f aca="false">IF(G178="","",IF(G178="?","⚠ pub inconnue",IFERROR(INDEX(Pubs!$B$2:$B$3001,MATCH(G178,Pubs!$A$2:$A$3001,0))&amp;"","⚠ pub inconnue")))</f>
        <v/>
      </c>
      <c r="I178" s="27" t="str">
        <f aca="false">IF(OR(G178="",G178="?"),"",IFERROR(INDEX(Pubs!$C$2:$C$3001,MATCH(G178,Pubs!$A$2:$A$3001,0))&amp;"",""))</f>
        <v/>
      </c>
      <c r="J178" s="27" t="str">
        <f aca="false">IF(OR(G178="",G178="?"),"",IFERROR(INDEX(Pubs!$G$2:$G$3001,MATCH(G178,Pubs!$A$2:$A$3001,0))&amp;"",""))</f>
        <v/>
      </c>
      <c r="K178" s="28" t="str">
        <f aca="false">IF(OR(G178="",G178="?"),"",IFERROR(INDEX(Pubs!$E$2:$E$3001,MATCH(G178,Pubs!$A$2:$A$3001,0)),""))</f>
        <v/>
      </c>
      <c r="L178" s="29" t="str">
        <f aca="false">IF(A178="","",IFERROR(1/(1/INDEX(Numéros!$C$2:$C$3001,MATCH(A178&amp;"|"&amp;B178,Numéros!$F$2:$F$3001,0))),""))</f>
        <v/>
      </c>
      <c r="M178" s="27" t="str">
        <f aca="false">IF(OR(G178="",G178="?"),"",IFERROR(INDEX(Pubs!$D$2:$D$3001,MATCH(G178,Pubs!$A$2:$A$3001,0))&amp;"",""))</f>
        <v/>
      </c>
      <c r="N178" s="27" t="n">
        <f aca="false">N(N177)+IF(AND(A178&lt;&gt;"",OR(Recherche!$C$4="",A178=Recherche!$C$4),OR(Recherche!$C$5="",B178&amp;""=Recherche!$C$5&amp;""),OR(Recherche!$C$6="",IFERROR(YEAR(L178),0)=Recherche!$C$6),OR(Recherche!$C$7="",ISNUMBER(SEARCH(Recherche!$C$7,H178))),OR(Recherche!$C$8="",J178=Recherche!$C$8),OR(Recherche!$C$9="",I178=Recherche!$C$9),OR(Recherche!$C$10="",G178&amp;""=Recherche!$C$10&amp;""),OR(Recherche!$C$11="",E178=Recherche!$C$11),OR(Recherche!$C$12="",ISNUMBER(SEARCH(Recherche!$C$12,M178&amp;" "&amp;F178)))),1,0)</f>
        <v>8</v>
      </c>
    </row>
    <row r="179" customFormat="false" ht="15" hidden="false" customHeight="false" outlineLevel="0" collapsed="false">
      <c r="A179" s="19"/>
      <c r="B179" s="19"/>
      <c r="C179" s="19"/>
      <c r="D179" s="19"/>
      <c r="E179" s="22"/>
      <c r="F179" s="19"/>
      <c r="G179" s="26" t="str">
        <f aca="false">IF(D179="","",IFERROR(VALUE(LEFT(D179,FIND(" |",D179&amp;" |")-1)),"?"))</f>
        <v/>
      </c>
      <c r="H179" s="27" t="str">
        <f aca="false">IF(G179="","",IF(G179="?","⚠ pub inconnue",IFERROR(INDEX(Pubs!$B$2:$B$3001,MATCH(G179,Pubs!$A$2:$A$3001,0))&amp;"","⚠ pub inconnue")))</f>
        <v/>
      </c>
      <c r="I179" s="27" t="str">
        <f aca="false">IF(OR(G179="",G179="?"),"",IFERROR(INDEX(Pubs!$C$2:$C$3001,MATCH(G179,Pubs!$A$2:$A$3001,0))&amp;"",""))</f>
        <v/>
      </c>
      <c r="J179" s="27" t="str">
        <f aca="false">IF(OR(G179="",G179="?"),"",IFERROR(INDEX(Pubs!$G$2:$G$3001,MATCH(G179,Pubs!$A$2:$A$3001,0))&amp;"",""))</f>
        <v/>
      </c>
      <c r="K179" s="28" t="str">
        <f aca="false">IF(OR(G179="",G179="?"),"",IFERROR(INDEX(Pubs!$E$2:$E$3001,MATCH(G179,Pubs!$A$2:$A$3001,0)),""))</f>
        <v/>
      </c>
      <c r="L179" s="29" t="str">
        <f aca="false">IF(A179="","",IFERROR(1/(1/INDEX(Numéros!$C$2:$C$3001,MATCH(A179&amp;"|"&amp;B179,Numéros!$F$2:$F$3001,0))),""))</f>
        <v/>
      </c>
      <c r="M179" s="27" t="str">
        <f aca="false">IF(OR(G179="",G179="?"),"",IFERROR(INDEX(Pubs!$D$2:$D$3001,MATCH(G179,Pubs!$A$2:$A$3001,0))&amp;"",""))</f>
        <v/>
      </c>
      <c r="N179" s="27" t="n">
        <f aca="false">N(N178)+IF(AND(A179&lt;&gt;"",OR(Recherche!$C$4="",A179=Recherche!$C$4),OR(Recherche!$C$5="",B179&amp;""=Recherche!$C$5&amp;""),OR(Recherche!$C$6="",IFERROR(YEAR(L179),0)=Recherche!$C$6),OR(Recherche!$C$7="",ISNUMBER(SEARCH(Recherche!$C$7,H179))),OR(Recherche!$C$8="",J179=Recherche!$C$8),OR(Recherche!$C$9="",I179=Recherche!$C$9),OR(Recherche!$C$10="",G179&amp;""=Recherche!$C$10&amp;""),OR(Recherche!$C$11="",E179=Recherche!$C$11),OR(Recherche!$C$12="",ISNUMBER(SEARCH(Recherche!$C$12,M179&amp;" "&amp;F179)))),1,0)</f>
        <v>8</v>
      </c>
    </row>
    <row r="180" customFormat="false" ht="15" hidden="false" customHeight="false" outlineLevel="0" collapsed="false">
      <c r="A180" s="19"/>
      <c r="B180" s="19"/>
      <c r="C180" s="19"/>
      <c r="D180" s="19"/>
      <c r="E180" s="22"/>
      <c r="F180" s="19"/>
      <c r="G180" s="26" t="str">
        <f aca="false">IF(D180="","",IFERROR(VALUE(LEFT(D180,FIND(" |",D180&amp;" |")-1)),"?"))</f>
        <v/>
      </c>
      <c r="H180" s="27" t="str">
        <f aca="false">IF(G180="","",IF(G180="?","⚠ pub inconnue",IFERROR(INDEX(Pubs!$B$2:$B$3001,MATCH(G180,Pubs!$A$2:$A$3001,0))&amp;"","⚠ pub inconnue")))</f>
        <v/>
      </c>
      <c r="I180" s="27" t="str">
        <f aca="false">IF(OR(G180="",G180="?"),"",IFERROR(INDEX(Pubs!$C$2:$C$3001,MATCH(G180,Pubs!$A$2:$A$3001,0))&amp;"",""))</f>
        <v/>
      </c>
      <c r="J180" s="27" t="str">
        <f aca="false">IF(OR(G180="",G180="?"),"",IFERROR(INDEX(Pubs!$G$2:$G$3001,MATCH(G180,Pubs!$A$2:$A$3001,0))&amp;"",""))</f>
        <v/>
      </c>
      <c r="K180" s="28" t="str">
        <f aca="false">IF(OR(G180="",G180="?"),"",IFERROR(INDEX(Pubs!$E$2:$E$3001,MATCH(G180,Pubs!$A$2:$A$3001,0)),""))</f>
        <v/>
      </c>
      <c r="L180" s="29" t="str">
        <f aca="false">IF(A180="","",IFERROR(1/(1/INDEX(Numéros!$C$2:$C$3001,MATCH(A180&amp;"|"&amp;B180,Numéros!$F$2:$F$3001,0))),""))</f>
        <v/>
      </c>
      <c r="M180" s="27" t="str">
        <f aca="false">IF(OR(G180="",G180="?"),"",IFERROR(INDEX(Pubs!$D$2:$D$3001,MATCH(G180,Pubs!$A$2:$A$3001,0))&amp;"",""))</f>
        <v/>
      </c>
      <c r="N180" s="27" t="n">
        <f aca="false">N(N179)+IF(AND(A180&lt;&gt;"",OR(Recherche!$C$4="",A180=Recherche!$C$4),OR(Recherche!$C$5="",B180&amp;""=Recherche!$C$5&amp;""),OR(Recherche!$C$6="",IFERROR(YEAR(L180),0)=Recherche!$C$6),OR(Recherche!$C$7="",ISNUMBER(SEARCH(Recherche!$C$7,H180))),OR(Recherche!$C$8="",J180=Recherche!$C$8),OR(Recherche!$C$9="",I180=Recherche!$C$9),OR(Recherche!$C$10="",G180&amp;""=Recherche!$C$10&amp;""),OR(Recherche!$C$11="",E180=Recherche!$C$11),OR(Recherche!$C$12="",ISNUMBER(SEARCH(Recherche!$C$12,M180&amp;" "&amp;F180)))),1,0)</f>
        <v>8</v>
      </c>
    </row>
    <row r="181" customFormat="false" ht="15" hidden="false" customHeight="false" outlineLevel="0" collapsed="false">
      <c r="A181" s="19"/>
      <c r="B181" s="19"/>
      <c r="C181" s="19"/>
      <c r="D181" s="19"/>
      <c r="E181" s="22"/>
      <c r="F181" s="19"/>
      <c r="G181" s="26" t="str">
        <f aca="false">IF(D181="","",IFERROR(VALUE(LEFT(D181,FIND(" |",D181&amp;" |")-1)),"?"))</f>
        <v/>
      </c>
      <c r="H181" s="27" t="str">
        <f aca="false">IF(G181="","",IF(G181="?","⚠ pub inconnue",IFERROR(INDEX(Pubs!$B$2:$B$3001,MATCH(G181,Pubs!$A$2:$A$3001,0))&amp;"","⚠ pub inconnue")))</f>
        <v/>
      </c>
      <c r="I181" s="27" t="str">
        <f aca="false">IF(OR(G181="",G181="?"),"",IFERROR(INDEX(Pubs!$C$2:$C$3001,MATCH(G181,Pubs!$A$2:$A$3001,0))&amp;"",""))</f>
        <v/>
      </c>
      <c r="J181" s="27" t="str">
        <f aca="false">IF(OR(G181="",G181="?"),"",IFERROR(INDEX(Pubs!$G$2:$G$3001,MATCH(G181,Pubs!$A$2:$A$3001,0))&amp;"",""))</f>
        <v/>
      </c>
      <c r="K181" s="28" t="str">
        <f aca="false">IF(OR(G181="",G181="?"),"",IFERROR(INDEX(Pubs!$E$2:$E$3001,MATCH(G181,Pubs!$A$2:$A$3001,0)),""))</f>
        <v/>
      </c>
      <c r="L181" s="29" t="str">
        <f aca="false">IF(A181="","",IFERROR(1/(1/INDEX(Numéros!$C$2:$C$3001,MATCH(A181&amp;"|"&amp;B181,Numéros!$F$2:$F$3001,0))),""))</f>
        <v/>
      </c>
      <c r="M181" s="27" t="str">
        <f aca="false">IF(OR(G181="",G181="?"),"",IFERROR(INDEX(Pubs!$D$2:$D$3001,MATCH(G181,Pubs!$A$2:$A$3001,0))&amp;"",""))</f>
        <v/>
      </c>
      <c r="N181" s="27" t="n">
        <f aca="false">N(N180)+IF(AND(A181&lt;&gt;"",OR(Recherche!$C$4="",A181=Recherche!$C$4),OR(Recherche!$C$5="",B181&amp;""=Recherche!$C$5&amp;""),OR(Recherche!$C$6="",IFERROR(YEAR(L181),0)=Recherche!$C$6),OR(Recherche!$C$7="",ISNUMBER(SEARCH(Recherche!$C$7,H181))),OR(Recherche!$C$8="",J181=Recherche!$C$8),OR(Recherche!$C$9="",I181=Recherche!$C$9),OR(Recherche!$C$10="",G181&amp;""=Recherche!$C$10&amp;""),OR(Recherche!$C$11="",E181=Recherche!$C$11),OR(Recherche!$C$12="",ISNUMBER(SEARCH(Recherche!$C$12,M181&amp;" "&amp;F181)))),1,0)</f>
        <v>8</v>
      </c>
    </row>
    <row r="182" customFormat="false" ht="15" hidden="false" customHeight="false" outlineLevel="0" collapsed="false">
      <c r="A182" s="19"/>
      <c r="B182" s="19"/>
      <c r="C182" s="19"/>
      <c r="D182" s="19"/>
      <c r="E182" s="22"/>
      <c r="F182" s="19"/>
      <c r="G182" s="26" t="str">
        <f aca="false">IF(D182="","",IFERROR(VALUE(LEFT(D182,FIND(" |",D182&amp;" |")-1)),"?"))</f>
        <v/>
      </c>
      <c r="H182" s="27" t="str">
        <f aca="false">IF(G182="","",IF(G182="?","⚠ pub inconnue",IFERROR(INDEX(Pubs!$B$2:$B$3001,MATCH(G182,Pubs!$A$2:$A$3001,0))&amp;"","⚠ pub inconnue")))</f>
        <v/>
      </c>
      <c r="I182" s="27" t="str">
        <f aca="false">IF(OR(G182="",G182="?"),"",IFERROR(INDEX(Pubs!$C$2:$C$3001,MATCH(G182,Pubs!$A$2:$A$3001,0))&amp;"",""))</f>
        <v/>
      </c>
      <c r="J182" s="27" t="str">
        <f aca="false">IF(OR(G182="",G182="?"),"",IFERROR(INDEX(Pubs!$G$2:$G$3001,MATCH(G182,Pubs!$A$2:$A$3001,0))&amp;"",""))</f>
        <v/>
      </c>
      <c r="K182" s="28" t="str">
        <f aca="false">IF(OR(G182="",G182="?"),"",IFERROR(INDEX(Pubs!$E$2:$E$3001,MATCH(G182,Pubs!$A$2:$A$3001,0)),""))</f>
        <v/>
      </c>
      <c r="L182" s="29" t="str">
        <f aca="false">IF(A182="","",IFERROR(1/(1/INDEX(Numéros!$C$2:$C$3001,MATCH(A182&amp;"|"&amp;B182,Numéros!$F$2:$F$3001,0))),""))</f>
        <v/>
      </c>
      <c r="M182" s="27" t="str">
        <f aca="false">IF(OR(G182="",G182="?"),"",IFERROR(INDEX(Pubs!$D$2:$D$3001,MATCH(G182,Pubs!$A$2:$A$3001,0))&amp;"",""))</f>
        <v/>
      </c>
      <c r="N182" s="27" t="n">
        <f aca="false">N(N181)+IF(AND(A182&lt;&gt;"",OR(Recherche!$C$4="",A182=Recherche!$C$4),OR(Recherche!$C$5="",B182&amp;""=Recherche!$C$5&amp;""),OR(Recherche!$C$6="",IFERROR(YEAR(L182),0)=Recherche!$C$6),OR(Recherche!$C$7="",ISNUMBER(SEARCH(Recherche!$C$7,H182))),OR(Recherche!$C$8="",J182=Recherche!$C$8),OR(Recherche!$C$9="",I182=Recherche!$C$9),OR(Recherche!$C$10="",G182&amp;""=Recherche!$C$10&amp;""),OR(Recherche!$C$11="",E182=Recherche!$C$11),OR(Recherche!$C$12="",ISNUMBER(SEARCH(Recherche!$C$12,M182&amp;" "&amp;F182)))),1,0)</f>
        <v>8</v>
      </c>
    </row>
    <row r="183" customFormat="false" ht="15" hidden="false" customHeight="false" outlineLevel="0" collapsed="false">
      <c r="A183" s="19"/>
      <c r="B183" s="19"/>
      <c r="C183" s="19"/>
      <c r="D183" s="19"/>
      <c r="E183" s="22"/>
      <c r="F183" s="19"/>
      <c r="G183" s="26" t="str">
        <f aca="false">IF(D183="","",IFERROR(VALUE(LEFT(D183,FIND(" |",D183&amp;" |")-1)),"?"))</f>
        <v/>
      </c>
      <c r="H183" s="27" t="str">
        <f aca="false">IF(G183="","",IF(G183="?","⚠ pub inconnue",IFERROR(INDEX(Pubs!$B$2:$B$3001,MATCH(G183,Pubs!$A$2:$A$3001,0))&amp;"","⚠ pub inconnue")))</f>
        <v/>
      </c>
      <c r="I183" s="27" t="str">
        <f aca="false">IF(OR(G183="",G183="?"),"",IFERROR(INDEX(Pubs!$C$2:$C$3001,MATCH(G183,Pubs!$A$2:$A$3001,0))&amp;"",""))</f>
        <v/>
      </c>
      <c r="J183" s="27" t="str">
        <f aca="false">IF(OR(G183="",G183="?"),"",IFERROR(INDEX(Pubs!$G$2:$G$3001,MATCH(G183,Pubs!$A$2:$A$3001,0))&amp;"",""))</f>
        <v/>
      </c>
      <c r="K183" s="28" t="str">
        <f aca="false">IF(OR(G183="",G183="?"),"",IFERROR(INDEX(Pubs!$E$2:$E$3001,MATCH(G183,Pubs!$A$2:$A$3001,0)),""))</f>
        <v/>
      </c>
      <c r="L183" s="29" t="str">
        <f aca="false">IF(A183="","",IFERROR(1/(1/INDEX(Numéros!$C$2:$C$3001,MATCH(A183&amp;"|"&amp;B183,Numéros!$F$2:$F$3001,0))),""))</f>
        <v/>
      </c>
      <c r="M183" s="27" t="str">
        <f aca="false">IF(OR(G183="",G183="?"),"",IFERROR(INDEX(Pubs!$D$2:$D$3001,MATCH(G183,Pubs!$A$2:$A$3001,0))&amp;"",""))</f>
        <v/>
      </c>
      <c r="N183" s="27" t="n">
        <f aca="false">N(N182)+IF(AND(A183&lt;&gt;"",OR(Recherche!$C$4="",A183=Recherche!$C$4),OR(Recherche!$C$5="",B183&amp;""=Recherche!$C$5&amp;""),OR(Recherche!$C$6="",IFERROR(YEAR(L183),0)=Recherche!$C$6),OR(Recherche!$C$7="",ISNUMBER(SEARCH(Recherche!$C$7,H183))),OR(Recherche!$C$8="",J183=Recherche!$C$8),OR(Recherche!$C$9="",I183=Recherche!$C$9),OR(Recherche!$C$10="",G183&amp;""=Recherche!$C$10&amp;""),OR(Recherche!$C$11="",E183=Recherche!$C$11),OR(Recherche!$C$12="",ISNUMBER(SEARCH(Recherche!$C$12,M183&amp;" "&amp;F183)))),1,0)</f>
        <v>8</v>
      </c>
    </row>
    <row r="184" customFormat="false" ht="15" hidden="false" customHeight="false" outlineLevel="0" collapsed="false">
      <c r="A184" s="19"/>
      <c r="B184" s="19"/>
      <c r="C184" s="19"/>
      <c r="D184" s="19"/>
      <c r="E184" s="22"/>
      <c r="F184" s="19"/>
      <c r="G184" s="26" t="str">
        <f aca="false">IF(D184="","",IFERROR(VALUE(LEFT(D184,FIND(" |",D184&amp;" |")-1)),"?"))</f>
        <v/>
      </c>
      <c r="H184" s="27" t="str">
        <f aca="false">IF(G184="","",IF(G184="?","⚠ pub inconnue",IFERROR(INDEX(Pubs!$B$2:$B$3001,MATCH(G184,Pubs!$A$2:$A$3001,0))&amp;"","⚠ pub inconnue")))</f>
        <v/>
      </c>
      <c r="I184" s="27" t="str">
        <f aca="false">IF(OR(G184="",G184="?"),"",IFERROR(INDEX(Pubs!$C$2:$C$3001,MATCH(G184,Pubs!$A$2:$A$3001,0))&amp;"",""))</f>
        <v/>
      </c>
      <c r="J184" s="27" t="str">
        <f aca="false">IF(OR(G184="",G184="?"),"",IFERROR(INDEX(Pubs!$G$2:$G$3001,MATCH(G184,Pubs!$A$2:$A$3001,0))&amp;"",""))</f>
        <v/>
      </c>
      <c r="K184" s="28" t="str">
        <f aca="false">IF(OR(G184="",G184="?"),"",IFERROR(INDEX(Pubs!$E$2:$E$3001,MATCH(G184,Pubs!$A$2:$A$3001,0)),""))</f>
        <v/>
      </c>
      <c r="L184" s="29" t="str">
        <f aca="false">IF(A184="","",IFERROR(1/(1/INDEX(Numéros!$C$2:$C$3001,MATCH(A184&amp;"|"&amp;B184,Numéros!$F$2:$F$3001,0))),""))</f>
        <v/>
      </c>
      <c r="M184" s="27" t="str">
        <f aca="false">IF(OR(G184="",G184="?"),"",IFERROR(INDEX(Pubs!$D$2:$D$3001,MATCH(G184,Pubs!$A$2:$A$3001,0))&amp;"",""))</f>
        <v/>
      </c>
      <c r="N184" s="27" t="n">
        <f aca="false">N(N183)+IF(AND(A184&lt;&gt;"",OR(Recherche!$C$4="",A184=Recherche!$C$4),OR(Recherche!$C$5="",B184&amp;""=Recherche!$C$5&amp;""),OR(Recherche!$C$6="",IFERROR(YEAR(L184),0)=Recherche!$C$6),OR(Recherche!$C$7="",ISNUMBER(SEARCH(Recherche!$C$7,H184))),OR(Recherche!$C$8="",J184=Recherche!$C$8),OR(Recherche!$C$9="",I184=Recherche!$C$9),OR(Recherche!$C$10="",G184&amp;""=Recherche!$C$10&amp;""),OR(Recherche!$C$11="",E184=Recherche!$C$11),OR(Recherche!$C$12="",ISNUMBER(SEARCH(Recherche!$C$12,M184&amp;" "&amp;F184)))),1,0)</f>
        <v>8</v>
      </c>
    </row>
    <row r="185" customFormat="false" ht="15" hidden="false" customHeight="false" outlineLevel="0" collapsed="false">
      <c r="A185" s="19"/>
      <c r="B185" s="19"/>
      <c r="C185" s="19"/>
      <c r="D185" s="19"/>
      <c r="E185" s="22"/>
      <c r="F185" s="19"/>
      <c r="G185" s="26" t="str">
        <f aca="false">IF(D185="","",IFERROR(VALUE(LEFT(D185,FIND(" |",D185&amp;" |")-1)),"?"))</f>
        <v/>
      </c>
      <c r="H185" s="27" t="str">
        <f aca="false">IF(G185="","",IF(G185="?","⚠ pub inconnue",IFERROR(INDEX(Pubs!$B$2:$B$3001,MATCH(G185,Pubs!$A$2:$A$3001,0))&amp;"","⚠ pub inconnue")))</f>
        <v/>
      </c>
      <c r="I185" s="27" t="str">
        <f aca="false">IF(OR(G185="",G185="?"),"",IFERROR(INDEX(Pubs!$C$2:$C$3001,MATCH(G185,Pubs!$A$2:$A$3001,0))&amp;"",""))</f>
        <v/>
      </c>
      <c r="J185" s="27" t="str">
        <f aca="false">IF(OR(G185="",G185="?"),"",IFERROR(INDEX(Pubs!$G$2:$G$3001,MATCH(G185,Pubs!$A$2:$A$3001,0))&amp;"",""))</f>
        <v/>
      </c>
      <c r="K185" s="28" t="str">
        <f aca="false">IF(OR(G185="",G185="?"),"",IFERROR(INDEX(Pubs!$E$2:$E$3001,MATCH(G185,Pubs!$A$2:$A$3001,0)),""))</f>
        <v/>
      </c>
      <c r="L185" s="29" t="str">
        <f aca="false">IF(A185="","",IFERROR(1/(1/INDEX(Numéros!$C$2:$C$3001,MATCH(A185&amp;"|"&amp;B185,Numéros!$F$2:$F$3001,0))),""))</f>
        <v/>
      </c>
      <c r="M185" s="27" t="str">
        <f aca="false">IF(OR(G185="",G185="?"),"",IFERROR(INDEX(Pubs!$D$2:$D$3001,MATCH(G185,Pubs!$A$2:$A$3001,0))&amp;"",""))</f>
        <v/>
      </c>
      <c r="N185" s="27" t="n">
        <f aca="false">N(N184)+IF(AND(A185&lt;&gt;"",OR(Recherche!$C$4="",A185=Recherche!$C$4),OR(Recherche!$C$5="",B185&amp;""=Recherche!$C$5&amp;""),OR(Recherche!$C$6="",IFERROR(YEAR(L185),0)=Recherche!$C$6),OR(Recherche!$C$7="",ISNUMBER(SEARCH(Recherche!$C$7,H185))),OR(Recherche!$C$8="",J185=Recherche!$C$8),OR(Recherche!$C$9="",I185=Recherche!$C$9),OR(Recherche!$C$10="",G185&amp;""=Recherche!$C$10&amp;""),OR(Recherche!$C$11="",E185=Recherche!$C$11),OR(Recherche!$C$12="",ISNUMBER(SEARCH(Recherche!$C$12,M185&amp;" "&amp;F185)))),1,0)</f>
        <v>8</v>
      </c>
    </row>
    <row r="186" customFormat="false" ht="15" hidden="false" customHeight="false" outlineLevel="0" collapsed="false">
      <c r="A186" s="19"/>
      <c r="B186" s="19"/>
      <c r="C186" s="19"/>
      <c r="D186" s="19"/>
      <c r="E186" s="22"/>
      <c r="F186" s="19"/>
      <c r="G186" s="26" t="str">
        <f aca="false">IF(D186="","",IFERROR(VALUE(LEFT(D186,FIND(" |",D186&amp;" |")-1)),"?"))</f>
        <v/>
      </c>
      <c r="H186" s="27" t="str">
        <f aca="false">IF(G186="","",IF(G186="?","⚠ pub inconnue",IFERROR(INDEX(Pubs!$B$2:$B$3001,MATCH(G186,Pubs!$A$2:$A$3001,0))&amp;"","⚠ pub inconnue")))</f>
        <v/>
      </c>
      <c r="I186" s="27" t="str">
        <f aca="false">IF(OR(G186="",G186="?"),"",IFERROR(INDEX(Pubs!$C$2:$C$3001,MATCH(G186,Pubs!$A$2:$A$3001,0))&amp;"",""))</f>
        <v/>
      </c>
      <c r="J186" s="27" t="str">
        <f aca="false">IF(OR(G186="",G186="?"),"",IFERROR(INDEX(Pubs!$G$2:$G$3001,MATCH(G186,Pubs!$A$2:$A$3001,0))&amp;"",""))</f>
        <v/>
      </c>
      <c r="K186" s="28" t="str">
        <f aca="false">IF(OR(G186="",G186="?"),"",IFERROR(INDEX(Pubs!$E$2:$E$3001,MATCH(G186,Pubs!$A$2:$A$3001,0)),""))</f>
        <v/>
      </c>
      <c r="L186" s="29" t="str">
        <f aca="false">IF(A186="","",IFERROR(1/(1/INDEX(Numéros!$C$2:$C$3001,MATCH(A186&amp;"|"&amp;B186,Numéros!$F$2:$F$3001,0))),""))</f>
        <v/>
      </c>
      <c r="M186" s="27" t="str">
        <f aca="false">IF(OR(G186="",G186="?"),"",IFERROR(INDEX(Pubs!$D$2:$D$3001,MATCH(G186,Pubs!$A$2:$A$3001,0))&amp;"",""))</f>
        <v/>
      </c>
      <c r="N186" s="27" t="n">
        <f aca="false">N(N185)+IF(AND(A186&lt;&gt;"",OR(Recherche!$C$4="",A186=Recherche!$C$4),OR(Recherche!$C$5="",B186&amp;""=Recherche!$C$5&amp;""),OR(Recherche!$C$6="",IFERROR(YEAR(L186),0)=Recherche!$C$6),OR(Recherche!$C$7="",ISNUMBER(SEARCH(Recherche!$C$7,H186))),OR(Recherche!$C$8="",J186=Recherche!$C$8),OR(Recherche!$C$9="",I186=Recherche!$C$9),OR(Recherche!$C$10="",G186&amp;""=Recherche!$C$10&amp;""),OR(Recherche!$C$11="",E186=Recherche!$C$11),OR(Recherche!$C$12="",ISNUMBER(SEARCH(Recherche!$C$12,M186&amp;" "&amp;F186)))),1,0)</f>
        <v>8</v>
      </c>
    </row>
    <row r="187" customFormat="false" ht="15" hidden="false" customHeight="false" outlineLevel="0" collapsed="false">
      <c r="A187" s="19"/>
      <c r="B187" s="19"/>
      <c r="C187" s="19"/>
      <c r="D187" s="19"/>
      <c r="E187" s="22"/>
      <c r="F187" s="19"/>
      <c r="G187" s="26" t="str">
        <f aca="false">IF(D187="","",IFERROR(VALUE(LEFT(D187,FIND(" |",D187&amp;" |")-1)),"?"))</f>
        <v/>
      </c>
      <c r="H187" s="27" t="str">
        <f aca="false">IF(G187="","",IF(G187="?","⚠ pub inconnue",IFERROR(INDEX(Pubs!$B$2:$B$3001,MATCH(G187,Pubs!$A$2:$A$3001,0))&amp;"","⚠ pub inconnue")))</f>
        <v/>
      </c>
      <c r="I187" s="27" t="str">
        <f aca="false">IF(OR(G187="",G187="?"),"",IFERROR(INDEX(Pubs!$C$2:$C$3001,MATCH(G187,Pubs!$A$2:$A$3001,0))&amp;"",""))</f>
        <v/>
      </c>
      <c r="J187" s="27" t="str">
        <f aca="false">IF(OR(G187="",G187="?"),"",IFERROR(INDEX(Pubs!$G$2:$G$3001,MATCH(G187,Pubs!$A$2:$A$3001,0))&amp;"",""))</f>
        <v/>
      </c>
      <c r="K187" s="28" t="str">
        <f aca="false">IF(OR(G187="",G187="?"),"",IFERROR(INDEX(Pubs!$E$2:$E$3001,MATCH(G187,Pubs!$A$2:$A$3001,0)),""))</f>
        <v/>
      </c>
      <c r="L187" s="29" t="str">
        <f aca="false">IF(A187="","",IFERROR(1/(1/INDEX(Numéros!$C$2:$C$3001,MATCH(A187&amp;"|"&amp;B187,Numéros!$F$2:$F$3001,0))),""))</f>
        <v/>
      </c>
      <c r="M187" s="27" t="str">
        <f aca="false">IF(OR(G187="",G187="?"),"",IFERROR(INDEX(Pubs!$D$2:$D$3001,MATCH(G187,Pubs!$A$2:$A$3001,0))&amp;"",""))</f>
        <v/>
      </c>
      <c r="N187" s="27" t="n">
        <f aca="false">N(N186)+IF(AND(A187&lt;&gt;"",OR(Recherche!$C$4="",A187=Recherche!$C$4),OR(Recherche!$C$5="",B187&amp;""=Recherche!$C$5&amp;""),OR(Recherche!$C$6="",IFERROR(YEAR(L187),0)=Recherche!$C$6),OR(Recherche!$C$7="",ISNUMBER(SEARCH(Recherche!$C$7,H187))),OR(Recherche!$C$8="",J187=Recherche!$C$8),OR(Recherche!$C$9="",I187=Recherche!$C$9),OR(Recherche!$C$10="",G187&amp;""=Recherche!$C$10&amp;""),OR(Recherche!$C$11="",E187=Recherche!$C$11),OR(Recherche!$C$12="",ISNUMBER(SEARCH(Recherche!$C$12,M187&amp;" "&amp;F187)))),1,0)</f>
        <v>8</v>
      </c>
    </row>
    <row r="188" customFormat="false" ht="15" hidden="false" customHeight="false" outlineLevel="0" collapsed="false">
      <c r="A188" s="19"/>
      <c r="B188" s="19"/>
      <c r="C188" s="19"/>
      <c r="D188" s="19"/>
      <c r="E188" s="22"/>
      <c r="F188" s="19"/>
      <c r="G188" s="26" t="str">
        <f aca="false">IF(D188="","",IFERROR(VALUE(LEFT(D188,FIND(" |",D188&amp;" |")-1)),"?"))</f>
        <v/>
      </c>
      <c r="H188" s="27" t="str">
        <f aca="false">IF(G188="","",IF(G188="?","⚠ pub inconnue",IFERROR(INDEX(Pubs!$B$2:$B$3001,MATCH(G188,Pubs!$A$2:$A$3001,0))&amp;"","⚠ pub inconnue")))</f>
        <v/>
      </c>
      <c r="I188" s="27" t="str">
        <f aca="false">IF(OR(G188="",G188="?"),"",IFERROR(INDEX(Pubs!$C$2:$C$3001,MATCH(G188,Pubs!$A$2:$A$3001,0))&amp;"",""))</f>
        <v/>
      </c>
      <c r="J188" s="27" t="str">
        <f aca="false">IF(OR(G188="",G188="?"),"",IFERROR(INDEX(Pubs!$G$2:$G$3001,MATCH(G188,Pubs!$A$2:$A$3001,0))&amp;"",""))</f>
        <v/>
      </c>
      <c r="K188" s="28" t="str">
        <f aca="false">IF(OR(G188="",G188="?"),"",IFERROR(INDEX(Pubs!$E$2:$E$3001,MATCH(G188,Pubs!$A$2:$A$3001,0)),""))</f>
        <v/>
      </c>
      <c r="L188" s="29" t="str">
        <f aca="false">IF(A188="","",IFERROR(1/(1/INDEX(Numéros!$C$2:$C$3001,MATCH(A188&amp;"|"&amp;B188,Numéros!$F$2:$F$3001,0))),""))</f>
        <v/>
      </c>
      <c r="M188" s="27" t="str">
        <f aca="false">IF(OR(G188="",G188="?"),"",IFERROR(INDEX(Pubs!$D$2:$D$3001,MATCH(G188,Pubs!$A$2:$A$3001,0))&amp;"",""))</f>
        <v/>
      </c>
      <c r="N188" s="27" t="n">
        <f aca="false">N(N187)+IF(AND(A188&lt;&gt;"",OR(Recherche!$C$4="",A188=Recherche!$C$4),OR(Recherche!$C$5="",B188&amp;""=Recherche!$C$5&amp;""),OR(Recherche!$C$6="",IFERROR(YEAR(L188),0)=Recherche!$C$6),OR(Recherche!$C$7="",ISNUMBER(SEARCH(Recherche!$C$7,H188))),OR(Recherche!$C$8="",J188=Recherche!$C$8),OR(Recherche!$C$9="",I188=Recherche!$C$9),OR(Recherche!$C$10="",G188&amp;""=Recherche!$C$10&amp;""),OR(Recherche!$C$11="",E188=Recherche!$C$11),OR(Recherche!$C$12="",ISNUMBER(SEARCH(Recherche!$C$12,M188&amp;" "&amp;F188)))),1,0)</f>
        <v>8</v>
      </c>
    </row>
    <row r="189" customFormat="false" ht="15" hidden="false" customHeight="false" outlineLevel="0" collapsed="false">
      <c r="A189" s="19"/>
      <c r="B189" s="19"/>
      <c r="C189" s="19"/>
      <c r="D189" s="19"/>
      <c r="E189" s="22"/>
      <c r="F189" s="19"/>
      <c r="G189" s="26" t="str">
        <f aca="false">IF(D189="","",IFERROR(VALUE(LEFT(D189,FIND(" |",D189&amp;" |")-1)),"?"))</f>
        <v/>
      </c>
      <c r="H189" s="27" t="str">
        <f aca="false">IF(G189="","",IF(G189="?","⚠ pub inconnue",IFERROR(INDEX(Pubs!$B$2:$B$3001,MATCH(G189,Pubs!$A$2:$A$3001,0))&amp;"","⚠ pub inconnue")))</f>
        <v/>
      </c>
      <c r="I189" s="27" t="str">
        <f aca="false">IF(OR(G189="",G189="?"),"",IFERROR(INDEX(Pubs!$C$2:$C$3001,MATCH(G189,Pubs!$A$2:$A$3001,0))&amp;"",""))</f>
        <v/>
      </c>
      <c r="J189" s="27" t="str">
        <f aca="false">IF(OR(G189="",G189="?"),"",IFERROR(INDEX(Pubs!$G$2:$G$3001,MATCH(G189,Pubs!$A$2:$A$3001,0))&amp;"",""))</f>
        <v/>
      </c>
      <c r="K189" s="28" t="str">
        <f aca="false">IF(OR(G189="",G189="?"),"",IFERROR(INDEX(Pubs!$E$2:$E$3001,MATCH(G189,Pubs!$A$2:$A$3001,0)),""))</f>
        <v/>
      </c>
      <c r="L189" s="29" t="str">
        <f aca="false">IF(A189="","",IFERROR(1/(1/INDEX(Numéros!$C$2:$C$3001,MATCH(A189&amp;"|"&amp;B189,Numéros!$F$2:$F$3001,0))),""))</f>
        <v/>
      </c>
      <c r="M189" s="27" t="str">
        <f aca="false">IF(OR(G189="",G189="?"),"",IFERROR(INDEX(Pubs!$D$2:$D$3001,MATCH(G189,Pubs!$A$2:$A$3001,0))&amp;"",""))</f>
        <v/>
      </c>
      <c r="N189" s="27" t="n">
        <f aca="false">N(N188)+IF(AND(A189&lt;&gt;"",OR(Recherche!$C$4="",A189=Recherche!$C$4),OR(Recherche!$C$5="",B189&amp;""=Recherche!$C$5&amp;""),OR(Recherche!$C$6="",IFERROR(YEAR(L189),0)=Recherche!$C$6),OR(Recherche!$C$7="",ISNUMBER(SEARCH(Recherche!$C$7,H189))),OR(Recherche!$C$8="",J189=Recherche!$C$8),OR(Recherche!$C$9="",I189=Recherche!$C$9),OR(Recherche!$C$10="",G189&amp;""=Recherche!$C$10&amp;""),OR(Recherche!$C$11="",E189=Recherche!$C$11),OR(Recherche!$C$12="",ISNUMBER(SEARCH(Recherche!$C$12,M189&amp;" "&amp;F189)))),1,0)</f>
        <v>8</v>
      </c>
    </row>
    <row r="190" customFormat="false" ht="15" hidden="false" customHeight="false" outlineLevel="0" collapsed="false">
      <c r="A190" s="19"/>
      <c r="B190" s="19"/>
      <c r="C190" s="19"/>
      <c r="D190" s="19"/>
      <c r="E190" s="22"/>
      <c r="F190" s="19"/>
      <c r="G190" s="26" t="str">
        <f aca="false">IF(D190="","",IFERROR(VALUE(LEFT(D190,FIND(" |",D190&amp;" |")-1)),"?"))</f>
        <v/>
      </c>
      <c r="H190" s="27" t="str">
        <f aca="false">IF(G190="","",IF(G190="?","⚠ pub inconnue",IFERROR(INDEX(Pubs!$B$2:$B$3001,MATCH(G190,Pubs!$A$2:$A$3001,0))&amp;"","⚠ pub inconnue")))</f>
        <v/>
      </c>
      <c r="I190" s="27" t="str">
        <f aca="false">IF(OR(G190="",G190="?"),"",IFERROR(INDEX(Pubs!$C$2:$C$3001,MATCH(G190,Pubs!$A$2:$A$3001,0))&amp;"",""))</f>
        <v/>
      </c>
      <c r="J190" s="27" t="str">
        <f aca="false">IF(OR(G190="",G190="?"),"",IFERROR(INDEX(Pubs!$G$2:$G$3001,MATCH(G190,Pubs!$A$2:$A$3001,0))&amp;"",""))</f>
        <v/>
      </c>
      <c r="K190" s="28" t="str">
        <f aca="false">IF(OR(G190="",G190="?"),"",IFERROR(INDEX(Pubs!$E$2:$E$3001,MATCH(G190,Pubs!$A$2:$A$3001,0)),""))</f>
        <v/>
      </c>
      <c r="L190" s="29" t="str">
        <f aca="false">IF(A190="","",IFERROR(1/(1/INDEX(Numéros!$C$2:$C$3001,MATCH(A190&amp;"|"&amp;B190,Numéros!$F$2:$F$3001,0))),""))</f>
        <v/>
      </c>
      <c r="M190" s="27" t="str">
        <f aca="false">IF(OR(G190="",G190="?"),"",IFERROR(INDEX(Pubs!$D$2:$D$3001,MATCH(G190,Pubs!$A$2:$A$3001,0))&amp;"",""))</f>
        <v/>
      </c>
      <c r="N190" s="27" t="n">
        <f aca="false">N(N189)+IF(AND(A190&lt;&gt;"",OR(Recherche!$C$4="",A190=Recherche!$C$4),OR(Recherche!$C$5="",B190&amp;""=Recherche!$C$5&amp;""),OR(Recherche!$C$6="",IFERROR(YEAR(L190),0)=Recherche!$C$6),OR(Recherche!$C$7="",ISNUMBER(SEARCH(Recherche!$C$7,H190))),OR(Recherche!$C$8="",J190=Recherche!$C$8),OR(Recherche!$C$9="",I190=Recherche!$C$9),OR(Recherche!$C$10="",G190&amp;""=Recherche!$C$10&amp;""),OR(Recherche!$C$11="",E190=Recherche!$C$11),OR(Recherche!$C$12="",ISNUMBER(SEARCH(Recherche!$C$12,M190&amp;" "&amp;F190)))),1,0)</f>
        <v>8</v>
      </c>
    </row>
    <row r="191" customFormat="false" ht="15" hidden="false" customHeight="false" outlineLevel="0" collapsed="false">
      <c r="A191" s="19"/>
      <c r="B191" s="19"/>
      <c r="C191" s="19"/>
      <c r="D191" s="19"/>
      <c r="E191" s="22"/>
      <c r="F191" s="19"/>
      <c r="G191" s="26" t="str">
        <f aca="false">IF(D191="","",IFERROR(VALUE(LEFT(D191,FIND(" |",D191&amp;" |")-1)),"?"))</f>
        <v/>
      </c>
      <c r="H191" s="27" t="str">
        <f aca="false">IF(G191="","",IF(G191="?","⚠ pub inconnue",IFERROR(INDEX(Pubs!$B$2:$B$3001,MATCH(G191,Pubs!$A$2:$A$3001,0))&amp;"","⚠ pub inconnue")))</f>
        <v/>
      </c>
      <c r="I191" s="27" t="str">
        <f aca="false">IF(OR(G191="",G191="?"),"",IFERROR(INDEX(Pubs!$C$2:$C$3001,MATCH(G191,Pubs!$A$2:$A$3001,0))&amp;"",""))</f>
        <v/>
      </c>
      <c r="J191" s="27" t="str">
        <f aca="false">IF(OR(G191="",G191="?"),"",IFERROR(INDEX(Pubs!$G$2:$G$3001,MATCH(G191,Pubs!$A$2:$A$3001,0))&amp;"",""))</f>
        <v/>
      </c>
      <c r="K191" s="28" t="str">
        <f aca="false">IF(OR(G191="",G191="?"),"",IFERROR(INDEX(Pubs!$E$2:$E$3001,MATCH(G191,Pubs!$A$2:$A$3001,0)),""))</f>
        <v/>
      </c>
      <c r="L191" s="29" t="str">
        <f aca="false">IF(A191="","",IFERROR(1/(1/INDEX(Numéros!$C$2:$C$3001,MATCH(A191&amp;"|"&amp;B191,Numéros!$F$2:$F$3001,0))),""))</f>
        <v/>
      </c>
      <c r="M191" s="27" t="str">
        <f aca="false">IF(OR(G191="",G191="?"),"",IFERROR(INDEX(Pubs!$D$2:$D$3001,MATCH(G191,Pubs!$A$2:$A$3001,0))&amp;"",""))</f>
        <v/>
      </c>
      <c r="N191" s="27" t="n">
        <f aca="false">N(N190)+IF(AND(A191&lt;&gt;"",OR(Recherche!$C$4="",A191=Recherche!$C$4),OR(Recherche!$C$5="",B191&amp;""=Recherche!$C$5&amp;""),OR(Recherche!$C$6="",IFERROR(YEAR(L191),0)=Recherche!$C$6),OR(Recherche!$C$7="",ISNUMBER(SEARCH(Recherche!$C$7,H191))),OR(Recherche!$C$8="",J191=Recherche!$C$8),OR(Recherche!$C$9="",I191=Recherche!$C$9),OR(Recherche!$C$10="",G191&amp;""=Recherche!$C$10&amp;""),OR(Recherche!$C$11="",E191=Recherche!$C$11),OR(Recherche!$C$12="",ISNUMBER(SEARCH(Recherche!$C$12,M191&amp;" "&amp;F191)))),1,0)</f>
        <v>8</v>
      </c>
    </row>
    <row r="192" customFormat="false" ht="15" hidden="false" customHeight="false" outlineLevel="0" collapsed="false">
      <c r="A192" s="19"/>
      <c r="B192" s="19"/>
      <c r="C192" s="19"/>
      <c r="D192" s="19"/>
      <c r="E192" s="22"/>
      <c r="F192" s="19"/>
      <c r="G192" s="26" t="str">
        <f aca="false">IF(D192="","",IFERROR(VALUE(LEFT(D192,FIND(" |",D192&amp;" |")-1)),"?"))</f>
        <v/>
      </c>
      <c r="H192" s="27" t="str">
        <f aca="false">IF(G192="","",IF(G192="?","⚠ pub inconnue",IFERROR(INDEX(Pubs!$B$2:$B$3001,MATCH(G192,Pubs!$A$2:$A$3001,0))&amp;"","⚠ pub inconnue")))</f>
        <v/>
      </c>
      <c r="I192" s="27" t="str">
        <f aca="false">IF(OR(G192="",G192="?"),"",IFERROR(INDEX(Pubs!$C$2:$C$3001,MATCH(G192,Pubs!$A$2:$A$3001,0))&amp;"",""))</f>
        <v/>
      </c>
      <c r="J192" s="27" t="str">
        <f aca="false">IF(OR(G192="",G192="?"),"",IFERROR(INDEX(Pubs!$G$2:$G$3001,MATCH(G192,Pubs!$A$2:$A$3001,0))&amp;"",""))</f>
        <v/>
      </c>
      <c r="K192" s="28" t="str">
        <f aca="false">IF(OR(G192="",G192="?"),"",IFERROR(INDEX(Pubs!$E$2:$E$3001,MATCH(G192,Pubs!$A$2:$A$3001,0)),""))</f>
        <v/>
      </c>
      <c r="L192" s="29" t="str">
        <f aca="false">IF(A192="","",IFERROR(1/(1/INDEX(Numéros!$C$2:$C$3001,MATCH(A192&amp;"|"&amp;B192,Numéros!$F$2:$F$3001,0))),""))</f>
        <v/>
      </c>
      <c r="M192" s="27" t="str">
        <f aca="false">IF(OR(G192="",G192="?"),"",IFERROR(INDEX(Pubs!$D$2:$D$3001,MATCH(G192,Pubs!$A$2:$A$3001,0))&amp;"",""))</f>
        <v/>
      </c>
      <c r="N192" s="27" t="n">
        <f aca="false">N(N191)+IF(AND(A192&lt;&gt;"",OR(Recherche!$C$4="",A192=Recherche!$C$4),OR(Recherche!$C$5="",B192&amp;""=Recherche!$C$5&amp;""),OR(Recherche!$C$6="",IFERROR(YEAR(L192),0)=Recherche!$C$6),OR(Recherche!$C$7="",ISNUMBER(SEARCH(Recherche!$C$7,H192))),OR(Recherche!$C$8="",J192=Recherche!$C$8),OR(Recherche!$C$9="",I192=Recherche!$C$9),OR(Recherche!$C$10="",G192&amp;""=Recherche!$C$10&amp;""),OR(Recherche!$C$11="",E192=Recherche!$C$11),OR(Recherche!$C$12="",ISNUMBER(SEARCH(Recherche!$C$12,M192&amp;" "&amp;F192)))),1,0)</f>
        <v>8</v>
      </c>
    </row>
    <row r="193" customFormat="false" ht="15" hidden="false" customHeight="false" outlineLevel="0" collapsed="false">
      <c r="A193" s="19"/>
      <c r="B193" s="19"/>
      <c r="C193" s="19"/>
      <c r="D193" s="19"/>
      <c r="E193" s="22"/>
      <c r="F193" s="19"/>
      <c r="G193" s="26" t="str">
        <f aca="false">IF(D193="","",IFERROR(VALUE(LEFT(D193,FIND(" |",D193&amp;" |")-1)),"?"))</f>
        <v/>
      </c>
      <c r="H193" s="27" t="str">
        <f aca="false">IF(G193="","",IF(G193="?","⚠ pub inconnue",IFERROR(INDEX(Pubs!$B$2:$B$3001,MATCH(G193,Pubs!$A$2:$A$3001,0))&amp;"","⚠ pub inconnue")))</f>
        <v/>
      </c>
      <c r="I193" s="27" t="str">
        <f aca="false">IF(OR(G193="",G193="?"),"",IFERROR(INDEX(Pubs!$C$2:$C$3001,MATCH(G193,Pubs!$A$2:$A$3001,0))&amp;"",""))</f>
        <v/>
      </c>
      <c r="J193" s="27" t="str">
        <f aca="false">IF(OR(G193="",G193="?"),"",IFERROR(INDEX(Pubs!$G$2:$G$3001,MATCH(G193,Pubs!$A$2:$A$3001,0))&amp;"",""))</f>
        <v/>
      </c>
      <c r="K193" s="28" t="str">
        <f aca="false">IF(OR(G193="",G193="?"),"",IFERROR(INDEX(Pubs!$E$2:$E$3001,MATCH(G193,Pubs!$A$2:$A$3001,0)),""))</f>
        <v/>
      </c>
      <c r="L193" s="29" t="str">
        <f aca="false">IF(A193="","",IFERROR(1/(1/INDEX(Numéros!$C$2:$C$3001,MATCH(A193&amp;"|"&amp;B193,Numéros!$F$2:$F$3001,0))),""))</f>
        <v/>
      </c>
      <c r="M193" s="27" t="str">
        <f aca="false">IF(OR(G193="",G193="?"),"",IFERROR(INDEX(Pubs!$D$2:$D$3001,MATCH(G193,Pubs!$A$2:$A$3001,0))&amp;"",""))</f>
        <v/>
      </c>
      <c r="N193" s="27" t="n">
        <f aca="false">N(N192)+IF(AND(A193&lt;&gt;"",OR(Recherche!$C$4="",A193=Recherche!$C$4),OR(Recherche!$C$5="",B193&amp;""=Recherche!$C$5&amp;""),OR(Recherche!$C$6="",IFERROR(YEAR(L193),0)=Recherche!$C$6),OR(Recherche!$C$7="",ISNUMBER(SEARCH(Recherche!$C$7,H193))),OR(Recherche!$C$8="",J193=Recherche!$C$8),OR(Recherche!$C$9="",I193=Recherche!$C$9),OR(Recherche!$C$10="",G193&amp;""=Recherche!$C$10&amp;""),OR(Recherche!$C$11="",E193=Recherche!$C$11),OR(Recherche!$C$12="",ISNUMBER(SEARCH(Recherche!$C$12,M193&amp;" "&amp;F193)))),1,0)</f>
        <v>8</v>
      </c>
    </row>
    <row r="194" customFormat="false" ht="15" hidden="false" customHeight="false" outlineLevel="0" collapsed="false">
      <c r="A194" s="19"/>
      <c r="B194" s="19"/>
      <c r="C194" s="19"/>
      <c r="D194" s="19"/>
      <c r="E194" s="22"/>
      <c r="F194" s="19"/>
      <c r="G194" s="26" t="str">
        <f aca="false">IF(D194="","",IFERROR(VALUE(LEFT(D194,FIND(" |",D194&amp;" |")-1)),"?"))</f>
        <v/>
      </c>
      <c r="H194" s="27" t="str">
        <f aca="false">IF(G194="","",IF(G194="?","⚠ pub inconnue",IFERROR(INDEX(Pubs!$B$2:$B$3001,MATCH(G194,Pubs!$A$2:$A$3001,0))&amp;"","⚠ pub inconnue")))</f>
        <v/>
      </c>
      <c r="I194" s="27" t="str">
        <f aca="false">IF(OR(G194="",G194="?"),"",IFERROR(INDEX(Pubs!$C$2:$C$3001,MATCH(G194,Pubs!$A$2:$A$3001,0))&amp;"",""))</f>
        <v/>
      </c>
      <c r="J194" s="27" t="str">
        <f aca="false">IF(OR(G194="",G194="?"),"",IFERROR(INDEX(Pubs!$G$2:$G$3001,MATCH(G194,Pubs!$A$2:$A$3001,0))&amp;"",""))</f>
        <v/>
      </c>
      <c r="K194" s="28" t="str">
        <f aca="false">IF(OR(G194="",G194="?"),"",IFERROR(INDEX(Pubs!$E$2:$E$3001,MATCH(G194,Pubs!$A$2:$A$3001,0)),""))</f>
        <v/>
      </c>
      <c r="L194" s="29" t="str">
        <f aca="false">IF(A194="","",IFERROR(1/(1/INDEX(Numéros!$C$2:$C$3001,MATCH(A194&amp;"|"&amp;B194,Numéros!$F$2:$F$3001,0))),""))</f>
        <v/>
      </c>
      <c r="M194" s="27" t="str">
        <f aca="false">IF(OR(G194="",G194="?"),"",IFERROR(INDEX(Pubs!$D$2:$D$3001,MATCH(G194,Pubs!$A$2:$A$3001,0))&amp;"",""))</f>
        <v/>
      </c>
      <c r="N194" s="27" t="n">
        <f aca="false">N(N193)+IF(AND(A194&lt;&gt;"",OR(Recherche!$C$4="",A194=Recherche!$C$4),OR(Recherche!$C$5="",B194&amp;""=Recherche!$C$5&amp;""),OR(Recherche!$C$6="",IFERROR(YEAR(L194),0)=Recherche!$C$6),OR(Recherche!$C$7="",ISNUMBER(SEARCH(Recherche!$C$7,H194))),OR(Recherche!$C$8="",J194=Recherche!$C$8),OR(Recherche!$C$9="",I194=Recherche!$C$9),OR(Recherche!$C$10="",G194&amp;""=Recherche!$C$10&amp;""),OR(Recherche!$C$11="",E194=Recherche!$C$11),OR(Recherche!$C$12="",ISNUMBER(SEARCH(Recherche!$C$12,M194&amp;" "&amp;F194)))),1,0)</f>
        <v>8</v>
      </c>
    </row>
    <row r="195" customFormat="false" ht="15" hidden="false" customHeight="false" outlineLevel="0" collapsed="false">
      <c r="A195" s="19"/>
      <c r="B195" s="19"/>
      <c r="C195" s="19"/>
      <c r="D195" s="19"/>
      <c r="E195" s="22"/>
      <c r="F195" s="19"/>
      <c r="G195" s="26" t="str">
        <f aca="false">IF(D195="","",IFERROR(VALUE(LEFT(D195,FIND(" |",D195&amp;" |")-1)),"?"))</f>
        <v/>
      </c>
      <c r="H195" s="27" t="str">
        <f aca="false">IF(G195="","",IF(G195="?","⚠ pub inconnue",IFERROR(INDEX(Pubs!$B$2:$B$3001,MATCH(G195,Pubs!$A$2:$A$3001,0))&amp;"","⚠ pub inconnue")))</f>
        <v/>
      </c>
      <c r="I195" s="27" t="str">
        <f aca="false">IF(OR(G195="",G195="?"),"",IFERROR(INDEX(Pubs!$C$2:$C$3001,MATCH(G195,Pubs!$A$2:$A$3001,0))&amp;"",""))</f>
        <v/>
      </c>
      <c r="J195" s="27" t="str">
        <f aca="false">IF(OR(G195="",G195="?"),"",IFERROR(INDEX(Pubs!$G$2:$G$3001,MATCH(G195,Pubs!$A$2:$A$3001,0))&amp;"",""))</f>
        <v/>
      </c>
      <c r="K195" s="28" t="str">
        <f aca="false">IF(OR(G195="",G195="?"),"",IFERROR(INDEX(Pubs!$E$2:$E$3001,MATCH(G195,Pubs!$A$2:$A$3001,0)),""))</f>
        <v/>
      </c>
      <c r="L195" s="29" t="str">
        <f aca="false">IF(A195="","",IFERROR(1/(1/INDEX(Numéros!$C$2:$C$3001,MATCH(A195&amp;"|"&amp;B195,Numéros!$F$2:$F$3001,0))),""))</f>
        <v/>
      </c>
      <c r="M195" s="27" t="str">
        <f aca="false">IF(OR(G195="",G195="?"),"",IFERROR(INDEX(Pubs!$D$2:$D$3001,MATCH(G195,Pubs!$A$2:$A$3001,0))&amp;"",""))</f>
        <v/>
      </c>
      <c r="N195" s="27" t="n">
        <f aca="false">N(N194)+IF(AND(A195&lt;&gt;"",OR(Recherche!$C$4="",A195=Recherche!$C$4),OR(Recherche!$C$5="",B195&amp;""=Recherche!$C$5&amp;""),OR(Recherche!$C$6="",IFERROR(YEAR(L195),0)=Recherche!$C$6),OR(Recherche!$C$7="",ISNUMBER(SEARCH(Recherche!$C$7,H195))),OR(Recherche!$C$8="",J195=Recherche!$C$8),OR(Recherche!$C$9="",I195=Recherche!$C$9),OR(Recherche!$C$10="",G195&amp;""=Recherche!$C$10&amp;""),OR(Recherche!$C$11="",E195=Recherche!$C$11),OR(Recherche!$C$12="",ISNUMBER(SEARCH(Recherche!$C$12,M195&amp;" "&amp;F195)))),1,0)</f>
        <v>8</v>
      </c>
    </row>
    <row r="196" customFormat="false" ht="15" hidden="false" customHeight="false" outlineLevel="0" collapsed="false">
      <c r="A196" s="19"/>
      <c r="B196" s="19"/>
      <c r="C196" s="19"/>
      <c r="D196" s="19"/>
      <c r="E196" s="22"/>
      <c r="F196" s="19"/>
      <c r="G196" s="26" t="str">
        <f aca="false">IF(D196="","",IFERROR(VALUE(LEFT(D196,FIND(" |",D196&amp;" |")-1)),"?"))</f>
        <v/>
      </c>
      <c r="H196" s="27" t="str">
        <f aca="false">IF(G196="","",IF(G196="?","⚠ pub inconnue",IFERROR(INDEX(Pubs!$B$2:$B$3001,MATCH(G196,Pubs!$A$2:$A$3001,0))&amp;"","⚠ pub inconnue")))</f>
        <v/>
      </c>
      <c r="I196" s="27" t="str">
        <f aca="false">IF(OR(G196="",G196="?"),"",IFERROR(INDEX(Pubs!$C$2:$C$3001,MATCH(G196,Pubs!$A$2:$A$3001,0))&amp;"",""))</f>
        <v/>
      </c>
      <c r="J196" s="27" t="str">
        <f aca="false">IF(OR(G196="",G196="?"),"",IFERROR(INDEX(Pubs!$G$2:$G$3001,MATCH(G196,Pubs!$A$2:$A$3001,0))&amp;"",""))</f>
        <v/>
      </c>
      <c r="K196" s="28" t="str">
        <f aca="false">IF(OR(G196="",G196="?"),"",IFERROR(INDEX(Pubs!$E$2:$E$3001,MATCH(G196,Pubs!$A$2:$A$3001,0)),""))</f>
        <v/>
      </c>
      <c r="L196" s="29" t="str">
        <f aca="false">IF(A196="","",IFERROR(1/(1/INDEX(Numéros!$C$2:$C$3001,MATCH(A196&amp;"|"&amp;B196,Numéros!$F$2:$F$3001,0))),""))</f>
        <v/>
      </c>
      <c r="M196" s="27" t="str">
        <f aca="false">IF(OR(G196="",G196="?"),"",IFERROR(INDEX(Pubs!$D$2:$D$3001,MATCH(G196,Pubs!$A$2:$A$3001,0))&amp;"",""))</f>
        <v/>
      </c>
      <c r="N196" s="27" t="n">
        <f aca="false">N(N195)+IF(AND(A196&lt;&gt;"",OR(Recherche!$C$4="",A196=Recherche!$C$4),OR(Recherche!$C$5="",B196&amp;""=Recherche!$C$5&amp;""),OR(Recherche!$C$6="",IFERROR(YEAR(L196),0)=Recherche!$C$6),OR(Recherche!$C$7="",ISNUMBER(SEARCH(Recherche!$C$7,H196))),OR(Recherche!$C$8="",J196=Recherche!$C$8),OR(Recherche!$C$9="",I196=Recherche!$C$9),OR(Recherche!$C$10="",G196&amp;""=Recherche!$C$10&amp;""),OR(Recherche!$C$11="",E196=Recherche!$C$11),OR(Recherche!$C$12="",ISNUMBER(SEARCH(Recherche!$C$12,M196&amp;" "&amp;F196)))),1,0)</f>
        <v>8</v>
      </c>
    </row>
    <row r="197" customFormat="false" ht="15" hidden="false" customHeight="false" outlineLevel="0" collapsed="false">
      <c r="A197" s="19"/>
      <c r="B197" s="19"/>
      <c r="C197" s="19"/>
      <c r="D197" s="19"/>
      <c r="E197" s="22"/>
      <c r="F197" s="19"/>
      <c r="G197" s="26" t="str">
        <f aca="false">IF(D197="","",IFERROR(VALUE(LEFT(D197,FIND(" |",D197&amp;" |")-1)),"?"))</f>
        <v/>
      </c>
      <c r="H197" s="27" t="str">
        <f aca="false">IF(G197="","",IF(G197="?","⚠ pub inconnue",IFERROR(INDEX(Pubs!$B$2:$B$3001,MATCH(G197,Pubs!$A$2:$A$3001,0))&amp;"","⚠ pub inconnue")))</f>
        <v/>
      </c>
      <c r="I197" s="27" t="str">
        <f aca="false">IF(OR(G197="",G197="?"),"",IFERROR(INDEX(Pubs!$C$2:$C$3001,MATCH(G197,Pubs!$A$2:$A$3001,0))&amp;"",""))</f>
        <v/>
      </c>
      <c r="J197" s="27" t="str">
        <f aca="false">IF(OR(G197="",G197="?"),"",IFERROR(INDEX(Pubs!$G$2:$G$3001,MATCH(G197,Pubs!$A$2:$A$3001,0))&amp;"",""))</f>
        <v/>
      </c>
      <c r="K197" s="28" t="str">
        <f aca="false">IF(OR(G197="",G197="?"),"",IFERROR(INDEX(Pubs!$E$2:$E$3001,MATCH(G197,Pubs!$A$2:$A$3001,0)),""))</f>
        <v/>
      </c>
      <c r="L197" s="29" t="str">
        <f aca="false">IF(A197="","",IFERROR(1/(1/INDEX(Numéros!$C$2:$C$3001,MATCH(A197&amp;"|"&amp;B197,Numéros!$F$2:$F$3001,0))),""))</f>
        <v/>
      </c>
      <c r="M197" s="27" t="str">
        <f aca="false">IF(OR(G197="",G197="?"),"",IFERROR(INDEX(Pubs!$D$2:$D$3001,MATCH(G197,Pubs!$A$2:$A$3001,0))&amp;"",""))</f>
        <v/>
      </c>
      <c r="N197" s="27" t="n">
        <f aca="false">N(N196)+IF(AND(A197&lt;&gt;"",OR(Recherche!$C$4="",A197=Recherche!$C$4),OR(Recherche!$C$5="",B197&amp;""=Recherche!$C$5&amp;""),OR(Recherche!$C$6="",IFERROR(YEAR(L197),0)=Recherche!$C$6),OR(Recherche!$C$7="",ISNUMBER(SEARCH(Recherche!$C$7,H197))),OR(Recherche!$C$8="",J197=Recherche!$C$8),OR(Recherche!$C$9="",I197=Recherche!$C$9),OR(Recherche!$C$10="",G197&amp;""=Recherche!$C$10&amp;""),OR(Recherche!$C$11="",E197=Recherche!$C$11),OR(Recherche!$C$12="",ISNUMBER(SEARCH(Recherche!$C$12,M197&amp;" "&amp;F197)))),1,0)</f>
        <v>8</v>
      </c>
    </row>
    <row r="198" customFormat="false" ht="15" hidden="false" customHeight="false" outlineLevel="0" collapsed="false">
      <c r="A198" s="19"/>
      <c r="B198" s="19"/>
      <c r="C198" s="19"/>
      <c r="D198" s="19"/>
      <c r="E198" s="22"/>
      <c r="F198" s="19"/>
      <c r="G198" s="26" t="str">
        <f aca="false">IF(D198="","",IFERROR(VALUE(LEFT(D198,FIND(" |",D198&amp;" |")-1)),"?"))</f>
        <v/>
      </c>
      <c r="H198" s="27" t="str">
        <f aca="false">IF(G198="","",IF(G198="?","⚠ pub inconnue",IFERROR(INDEX(Pubs!$B$2:$B$3001,MATCH(G198,Pubs!$A$2:$A$3001,0))&amp;"","⚠ pub inconnue")))</f>
        <v/>
      </c>
      <c r="I198" s="27" t="str">
        <f aca="false">IF(OR(G198="",G198="?"),"",IFERROR(INDEX(Pubs!$C$2:$C$3001,MATCH(G198,Pubs!$A$2:$A$3001,0))&amp;"",""))</f>
        <v/>
      </c>
      <c r="J198" s="27" t="str">
        <f aca="false">IF(OR(G198="",G198="?"),"",IFERROR(INDEX(Pubs!$G$2:$G$3001,MATCH(G198,Pubs!$A$2:$A$3001,0))&amp;"",""))</f>
        <v/>
      </c>
      <c r="K198" s="28" t="str">
        <f aca="false">IF(OR(G198="",G198="?"),"",IFERROR(INDEX(Pubs!$E$2:$E$3001,MATCH(G198,Pubs!$A$2:$A$3001,0)),""))</f>
        <v/>
      </c>
      <c r="L198" s="29" t="str">
        <f aca="false">IF(A198="","",IFERROR(1/(1/INDEX(Numéros!$C$2:$C$3001,MATCH(A198&amp;"|"&amp;B198,Numéros!$F$2:$F$3001,0))),""))</f>
        <v/>
      </c>
      <c r="M198" s="27" t="str">
        <f aca="false">IF(OR(G198="",G198="?"),"",IFERROR(INDEX(Pubs!$D$2:$D$3001,MATCH(G198,Pubs!$A$2:$A$3001,0))&amp;"",""))</f>
        <v/>
      </c>
      <c r="N198" s="27" t="n">
        <f aca="false">N(N197)+IF(AND(A198&lt;&gt;"",OR(Recherche!$C$4="",A198=Recherche!$C$4),OR(Recherche!$C$5="",B198&amp;""=Recherche!$C$5&amp;""),OR(Recherche!$C$6="",IFERROR(YEAR(L198),0)=Recherche!$C$6),OR(Recherche!$C$7="",ISNUMBER(SEARCH(Recherche!$C$7,H198))),OR(Recherche!$C$8="",J198=Recherche!$C$8),OR(Recherche!$C$9="",I198=Recherche!$C$9),OR(Recherche!$C$10="",G198&amp;""=Recherche!$C$10&amp;""),OR(Recherche!$C$11="",E198=Recherche!$C$11),OR(Recherche!$C$12="",ISNUMBER(SEARCH(Recherche!$C$12,M198&amp;" "&amp;F198)))),1,0)</f>
        <v>8</v>
      </c>
    </row>
    <row r="199" customFormat="false" ht="15" hidden="false" customHeight="false" outlineLevel="0" collapsed="false">
      <c r="A199" s="19"/>
      <c r="B199" s="19"/>
      <c r="C199" s="19"/>
      <c r="D199" s="19"/>
      <c r="E199" s="22"/>
      <c r="F199" s="19"/>
      <c r="G199" s="26" t="str">
        <f aca="false">IF(D199="","",IFERROR(VALUE(LEFT(D199,FIND(" |",D199&amp;" |")-1)),"?"))</f>
        <v/>
      </c>
      <c r="H199" s="27" t="str">
        <f aca="false">IF(G199="","",IF(G199="?","⚠ pub inconnue",IFERROR(INDEX(Pubs!$B$2:$B$3001,MATCH(G199,Pubs!$A$2:$A$3001,0))&amp;"","⚠ pub inconnue")))</f>
        <v/>
      </c>
      <c r="I199" s="27" t="str">
        <f aca="false">IF(OR(G199="",G199="?"),"",IFERROR(INDEX(Pubs!$C$2:$C$3001,MATCH(G199,Pubs!$A$2:$A$3001,0))&amp;"",""))</f>
        <v/>
      </c>
      <c r="J199" s="27" t="str">
        <f aca="false">IF(OR(G199="",G199="?"),"",IFERROR(INDEX(Pubs!$G$2:$G$3001,MATCH(G199,Pubs!$A$2:$A$3001,0))&amp;"",""))</f>
        <v/>
      </c>
      <c r="K199" s="28" t="str">
        <f aca="false">IF(OR(G199="",G199="?"),"",IFERROR(INDEX(Pubs!$E$2:$E$3001,MATCH(G199,Pubs!$A$2:$A$3001,0)),""))</f>
        <v/>
      </c>
      <c r="L199" s="29" t="str">
        <f aca="false">IF(A199="","",IFERROR(1/(1/INDEX(Numéros!$C$2:$C$3001,MATCH(A199&amp;"|"&amp;B199,Numéros!$F$2:$F$3001,0))),""))</f>
        <v/>
      </c>
      <c r="M199" s="27" t="str">
        <f aca="false">IF(OR(G199="",G199="?"),"",IFERROR(INDEX(Pubs!$D$2:$D$3001,MATCH(G199,Pubs!$A$2:$A$3001,0))&amp;"",""))</f>
        <v/>
      </c>
      <c r="N199" s="27" t="n">
        <f aca="false">N(N198)+IF(AND(A199&lt;&gt;"",OR(Recherche!$C$4="",A199=Recherche!$C$4),OR(Recherche!$C$5="",B199&amp;""=Recherche!$C$5&amp;""),OR(Recherche!$C$6="",IFERROR(YEAR(L199),0)=Recherche!$C$6),OR(Recherche!$C$7="",ISNUMBER(SEARCH(Recherche!$C$7,H199))),OR(Recherche!$C$8="",J199=Recherche!$C$8),OR(Recherche!$C$9="",I199=Recherche!$C$9),OR(Recherche!$C$10="",G199&amp;""=Recherche!$C$10&amp;""),OR(Recherche!$C$11="",E199=Recherche!$C$11),OR(Recherche!$C$12="",ISNUMBER(SEARCH(Recherche!$C$12,M199&amp;" "&amp;F199)))),1,0)</f>
        <v>8</v>
      </c>
    </row>
    <row r="200" customFormat="false" ht="15" hidden="false" customHeight="false" outlineLevel="0" collapsed="false">
      <c r="A200" s="19"/>
      <c r="B200" s="19"/>
      <c r="C200" s="19"/>
      <c r="D200" s="19"/>
      <c r="E200" s="22"/>
      <c r="F200" s="19"/>
      <c r="G200" s="26" t="str">
        <f aca="false">IF(D200="","",IFERROR(VALUE(LEFT(D200,FIND(" |",D200&amp;" |")-1)),"?"))</f>
        <v/>
      </c>
      <c r="H200" s="27" t="str">
        <f aca="false">IF(G200="","",IF(G200="?","⚠ pub inconnue",IFERROR(INDEX(Pubs!$B$2:$B$3001,MATCH(G200,Pubs!$A$2:$A$3001,0))&amp;"","⚠ pub inconnue")))</f>
        <v/>
      </c>
      <c r="I200" s="27" t="str">
        <f aca="false">IF(OR(G200="",G200="?"),"",IFERROR(INDEX(Pubs!$C$2:$C$3001,MATCH(G200,Pubs!$A$2:$A$3001,0))&amp;"",""))</f>
        <v/>
      </c>
      <c r="J200" s="27" t="str">
        <f aca="false">IF(OR(G200="",G200="?"),"",IFERROR(INDEX(Pubs!$G$2:$G$3001,MATCH(G200,Pubs!$A$2:$A$3001,0))&amp;"",""))</f>
        <v/>
      </c>
      <c r="K200" s="28" t="str">
        <f aca="false">IF(OR(G200="",G200="?"),"",IFERROR(INDEX(Pubs!$E$2:$E$3001,MATCH(G200,Pubs!$A$2:$A$3001,0)),""))</f>
        <v/>
      </c>
      <c r="L200" s="29" t="str">
        <f aca="false">IF(A200="","",IFERROR(1/(1/INDEX(Numéros!$C$2:$C$3001,MATCH(A200&amp;"|"&amp;B200,Numéros!$F$2:$F$3001,0))),""))</f>
        <v/>
      </c>
      <c r="M200" s="27" t="str">
        <f aca="false">IF(OR(G200="",G200="?"),"",IFERROR(INDEX(Pubs!$D$2:$D$3001,MATCH(G200,Pubs!$A$2:$A$3001,0))&amp;"",""))</f>
        <v/>
      </c>
      <c r="N200" s="27" t="n">
        <f aca="false">N(N199)+IF(AND(A200&lt;&gt;"",OR(Recherche!$C$4="",A200=Recherche!$C$4),OR(Recherche!$C$5="",B200&amp;""=Recherche!$C$5&amp;""),OR(Recherche!$C$6="",IFERROR(YEAR(L200),0)=Recherche!$C$6),OR(Recherche!$C$7="",ISNUMBER(SEARCH(Recherche!$C$7,H200))),OR(Recherche!$C$8="",J200=Recherche!$C$8),OR(Recherche!$C$9="",I200=Recherche!$C$9),OR(Recherche!$C$10="",G200&amp;""=Recherche!$C$10&amp;""),OR(Recherche!$C$11="",E200=Recherche!$C$11),OR(Recherche!$C$12="",ISNUMBER(SEARCH(Recherche!$C$12,M200&amp;" "&amp;F200)))),1,0)</f>
        <v>8</v>
      </c>
    </row>
    <row r="201" customFormat="false" ht="15" hidden="false" customHeight="false" outlineLevel="0" collapsed="false">
      <c r="A201" s="19"/>
      <c r="B201" s="19"/>
      <c r="C201" s="19"/>
      <c r="D201" s="19"/>
      <c r="E201" s="22"/>
      <c r="F201" s="19"/>
      <c r="G201" s="26" t="str">
        <f aca="false">IF(D201="","",IFERROR(VALUE(LEFT(D201,FIND(" |",D201&amp;" |")-1)),"?"))</f>
        <v/>
      </c>
      <c r="H201" s="27" t="str">
        <f aca="false">IF(G201="","",IF(G201="?","⚠ pub inconnue",IFERROR(INDEX(Pubs!$B$2:$B$3001,MATCH(G201,Pubs!$A$2:$A$3001,0))&amp;"","⚠ pub inconnue")))</f>
        <v/>
      </c>
      <c r="I201" s="27" t="str">
        <f aca="false">IF(OR(G201="",G201="?"),"",IFERROR(INDEX(Pubs!$C$2:$C$3001,MATCH(G201,Pubs!$A$2:$A$3001,0))&amp;"",""))</f>
        <v/>
      </c>
      <c r="J201" s="27" t="str">
        <f aca="false">IF(OR(G201="",G201="?"),"",IFERROR(INDEX(Pubs!$G$2:$G$3001,MATCH(G201,Pubs!$A$2:$A$3001,0))&amp;"",""))</f>
        <v/>
      </c>
      <c r="K201" s="28" t="str">
        <f aca="false">IF(OR(G201="",G201="?"),"",IFERROR(INDEX(Pubs!$E$2:$E$3001,MATCH(G201,Pubs!$A$2:$A$3001,0)),""))</f>
        <v/>
      </c>
      <c r="L201" s="29" t="str">
        <f aca="false">IF(A201="","",IFERROR(1/(1/INDEX(Numéros!$C$2:$C$3001,MATCH(A201&amp;"|"&amp;B201,Numéros!$F$2:$F$3001,0))),""))</f>
        <v/>
      </c>
      <c r="M201" s="27" t="str">
        <f aca="false">IF(OR(G201="",G201="?"),"",IFERROR(INDEX(Pubs!$D$2:$D$3001,MATCH(G201,Pubs!$A$2:$A$3001,0))&amp;"",""))</f>
        <v/>
      </c>
      <c r="N201" s="27" t="n">
        <f aca="false">N(N200)+IF(AND(A201&lt;&gt;"",OR(Recherche!$C$4="",A201=Recherche!$C$4),OR(Recherche!$C$5="",B201&amp;""=Recherche!$C$5&amp;""),OR(Recherche!$C$6="",IFERROR(YEAR(L201),0)=Recherche!$C$6),OR(Recherche!$C$7="",ISNUMBER(SEARCH(Recherche!$C$7,H201))),OR(Recherche!$C$8="",J201=Recherche!$C$8),OR(Recherche!$C$9="",I201=Recherche!$C$9),OR(Recherche!$C$10="",G201&amp;""=Recherche!$C$10&amp;""),OR(Recherche!$C$11="",E201=Recherche!$C$11),OR(Recherche!$C$12="",ISNUMBER(SEARCH(Recherche!$C$12,M201&amp;" "&amp;F201)))),1,0)</f>
        <v>8</v>
      </c>
    </row>
    <row r="202" customFormat="false" ht="15" hidden="false" customHeight="false" outlineLevel="0" collapsed="false">
      <c r="A202" s="19"/>
      <c r="B202" s="19"/>
      <c r="C202" s="19"/>
      <c r="D202" s="19"/>
      <c r="E202" s="22"/>
      <c r="F202" s="19"/>
      <c r="G202" s="26" t="str">
        <f aca="false">IF(D202="","",IFERROR(VALUE(LEFT(D202,FIND(" |",D202&amp;" |")-1)),"?"))</f>
        <v/>
      </c>
      <c r="H202" s="27" t="str">
        <f aca="false">IF(G202="","",IF(G202="?","⚠ pub inconnue",IFERROR(INDEX(Pubs!$B$2:$B$3001,MATCH(G202,Pubs!$A$2:$A$3001,0))&amp;"","⚠ pub inconnue")))</f>
        <v/>
      </c>
      <c r="I202" s="27" t="str">
        <f aca="false">IF(OR(G202="",G202="?"),"",IFERROR(INDEX(Pubs!$C$2:$C$3001,MATCH(G202,Pubs!$A$2:$A$3001,0))&amp;"",""))</f>
        <v/>
      </c>
      <c r="J202" s="27" t="str">
        <f aca="false">IF(OR(G202="",G202="?"),"",IFERROR(INDEX(Pubs!$G$2:$G$3001,MATCH(G202,Pubs!$A$2:$A$3001,0))&amp;"",""))</f>
        <v/>
      </c>
      <c r="K202" s="28" t="str">
        <f aca="false">IF(OR(G202="",G202="?"),"",IFERROR(INDEX(Pubs!$E$2:$E$3001,MATCH(G202,Pubs!$A$2:$A$3001,0)),""))</f>
        <v/>
      </c>
      <c r="L202" s="29" t="str">
        <f aca="false">IF(A202="","",IFERROR(1/(1/INDEX(Numéros!$C$2:$C$3001,MATCH(A202&amp;"|"&amp;B202,Numéros!$F$2:$F$3001,0))),""))</f>
        <v/>
      </c>
      <c r="M202" s="27" t="str">
        <f aca="false">IF(OR(G202="",G202="?"),"",IFERROR(INDEX(Pubs!$D$2:$D$3001,MATCH(G202,Pubs!$A$2:$A$3001,0))&amp;"",""))</f>
        <v/>
      </c>
      <c r="N202" s="27" t="n">
        <f aca="false">N(N201)+IF(AND(A202&lt;&gt;"",OR(Recherche!$C$4="",A202=Recherche!$C$4),OR(Recherche!$C$5="",B202&amp;""=Recherche!$C$5&amp;""),OR(Recherche!$C$6="",IFERROR(YEAR(L202),0)=Recherche!$C$6),OR(Recherche!$C$7="",ISNUMBER(SEARCH(Recherche!$C$7,H202))),OR(Recherche!$C$8="",J202=Recherche!$C$8),OR(Recherche!$C$9="",I202=Recherche!$C$9),OR(Recherche!$C$10="",G202&amp;""=Recherche!$C$10&amp;""),OR(Recherche!$C$11="",E202=Recherche!$C$11),OR(Recherche!$C$12="",ISNUMBER(SEARCH(Recherche!$C$12,M202&amp;" "&amp;F202)))),1,0)</f>
        <v>8</v>
      </c>
    </row>
    <row r="203" customFormat="false" ht="15" hidden="false" customHeight="false" outlineLevel="0" collapsed="false">
      <c r="A203" s="19"/>
      <c r="B203" s="19"/>
      <c r="C203" s="19"/>
      <c r="D203" s="19"/>
      <c r="E203" s="22"/>
      <c r="F203" s="19"/>
      <c r="G203" s="26" t="str">
        <f aca="false">IF(D203="","",IFERROR(VALUE(LEFT(D203,FIND(" |",D203&amp;" |")-1)),"?"))</f>
        <v/>
      </c>
      <c r="H203" s="27" t="str">
        <f aca="false">IF(G203="","",IF(G203="?","⚠ pub inconnue",IFERROR(INDEX(Pubs!$B$2:$B$3001,MATCH(G203,Pubs!$A$2:$A$3001,0))&amp;"","⚠ pub inconnue")))</f>
        <v/>
      </c>
      <c r="I203" s="27" t="str">
        <f aca="false">IF(OR(G203="",G203="?"),"",IFERROR(INDEX(Pubs!$C$2:$C$3001,MATCH(G203,Pubs!$A$2:$A$3001,0))&amp;"",""))</f>
        <v/>
      </c>
      <c r="J203" s="27" t="str">
        <f aca="false">IF(OR(G203="",G203="?"),"",IFERROR(INDEX(Pubs!$G$2:$G$3001,MATCH(G203,Pubs!$A$2:$A$3001,0))&amp;"",""))</f>
        <v/>
      </c>
      <c r="K203" s="28" t="str">
        <f aca="false">IF(OR(G203="",G203="?"),"",IFERROR(INDEX(Pubs!$E$2:$E$3001,MATCH(G203,Pubs!$A$2:$A$3001,0)),""))</f>
        <v/>
      </c>
      <c r="L203" s="29" t="str">
        <f aca="false">IF(A203="","",IFERROR(1/(1/INDEX(Numéros!$C$2:$C$3001,MATCH(A203&amp;"|"&amp;B203,Numéros!$F$2:$F$3001,0))),""))</f>
        <v/>
      </c>
      <c r="M203" s="27" t="str">
        <f aca="false">IF(OR(G203="",G203="?"),"",IFERROR(INDEX(Pubs!$D$2:$D$3001,MATCH(G203,Pubs!$A$2:$A$3001,0))&amp;"",""))</f>
        <v/>
      </c>
      <c r="N203" s="27" t="n">
        <f aca="false">N(N202)+IF(AND(A203&lt;&gt;"",OR(Recherche!$C$4="",A203=Recherche!$C$4),OR(Recherche!$C$5="",B203&amp;""=Recherche!$C$5&amp;""),OR(Recherche!$C$6="",IFERROR(YEAR(L203),0)=Recherche!$C$6),OR(Recherche!$C$7="",ISNUMBER(SEARCH(Recherche!$C$7,H203))),OR(Recherche!$C$8="",J203=Recherche!$C$8),OR(Recherche!$C$9="",I203=Recherche!$C$9),OR(Recherche!$C$10="",G203&amp;""=Recherche!$C$10&amp;""),OR(Recherche!$C$11="",E203=Recherche!$C$11),OR(Recherche!$C$12="",ISNUMBER(SEARCH(Recherche!$C$12,M203&amp;" "&amp;F203)))),1,0)</f>
        <v>8</v>
      </c>
    </row>
    <row r="204" customFormat="false" ht="15" hidden="false" customHeight="false" outlineLevel="0" collapsed="false">
      <c r="A204" s="19"/>
      <c r="B204" s="19"/>
      <c r="C204" s="19"/>
      <c r="D204" s="19"/>
      <c r="E204" s="22"/>
      <c r="F204" s="19"/>
      <c r="G204" s="26" t="str">
        <f aca="false">IF(D204="","",IFERROR(VALUE(LEFT(D204,FIND(" |",D204&amp;" |")-1)),"?"))</f>
        <v/>
      </c>
      <c r="H204" s="27" t="str">
        <f aca="false">IF(G204="","",IF(G204="?","⚠ pub inconnue",IFERROR(INDEX(Pubs!$B$2:$B$3001,MATCH(G204,Pubs!$A$2:$A$3001,0))&amp;"","⚠ pub inconnue")))</f>
        <v/>
      </c>
      <c r="I204" s="27" t="str">
        <f aca="false">IF(OR(G204="",G204="?"),"",IFERROR(INDEX(Pubs!$C$2:$C$3001,MATCH(G204,Pubs!$A$2:$A$3001,0))&amp;"",""))</f>
        <v/>
      </c>
      <c r="J204" s="27" t="str">
        <f aca="false">IF(OR(G204="",G204="?"),"",IFERROR(INDEX(Pubs!$G$2:$G$3001,MATCH(G204,Pubs!$A$2:$A$3001,0))&amp;"",""))</f>
        <v/>
      </c>
      <c r="K204" s="28" t="str">
        <f aca="false">IF(OR(G204="",G204="?"),"",IFERROR(INDEX(Pubs!$E$2:$E$3001,MATCH(G204,Pubs!$A$2:$A$3001,0)),""))</f>
        <v/>
      </c>
      <c r="L204" s="29" t="str">
        <f aca="false">IF(A204="","",IFERROR(1/(1/INDEX(Numéros!$C$2:$C$3001,MATCH(A204&amp;"|"&amp;B204,Numéros!$F$2:$F$3001,0))),""))</f>
        <v/>
      </c>
      <c r="M204" s="27" t="str">
        <f aca="false">IF(OR(G204="",G204="?"),"",IFERROR(INDEX(Pubs!$D$2:$D$3001,MATCH(G204,Pubs!$A$2:$A$3001,0))&amp;"",""))</f>
        <v/>
      </c>
      <c r="N204" s="27" t="n">
        <f aca="false">N(N203)+IF(AND(A204&lt;&gt;"",OR(Recherche!$C$4="",A204=Recherche!$C$4),OR(Recherche!$C$5="",B204&amp;""=Recherche!$C$5&amp;""),OR(Recherche!$C$6="",IFERROR(YEAR(L204),0)=Recherche!$C$6),OR(Recherche!$C$7="",ISNUMBER(SEARCH(Recherche!$C$7,H204))),OR(Recherche!$C$8="",J204=Recherche!$C$8),OR(Recherche!$C$9="",I204=Recherche!$C$9),OR(Recherche!$C$10="",G204&amp;""=Recherche!$C$10&amp;""),OR(Recherche!$C$11="",E204=Recherche!$C$11),OR(Recherche!$C$12="",ISNUMBER(SEARCH(Recherche!$C$12,M204&amp;" "&amp;F204)))),1,0)</f>
        <v>8</v>
      </c>
    </row>
    <row r="205" customFormat="false" ht="15" hidden="false" customHeight="false" outlineLevel="0" collapsed="false">
      <c r="A205" s="19"/>
      <c r="B205" s="19"/>
      <c r="C205" s="19"/>
      <c r="D205" s="19"/>
      <c r="E205" s="22"/>
      <c r="F205" s="19"/>
      <c r="G205" s="26" t="str">
        <f aca="false">IF(D205="","",IFERROR(VALUE(LEFT(D205,FIND(" |",D205&amp;" |")-1)),"?"))</f>
        <v/>
      </c>
      <c r="H205" s="27" t="str">
        <f aca="false">IF(G205="","",IF(G205="?","⚠ pub inconnue",IFERROR(INDEX(Pubs!$B$2:$B$3001,MATCH(G205,Pubs!$A$2:$A$3001,0))&amp;"","⚠ pub inconnue")))</f>
        <v/>
      </c>
      <c r="I205" s="27" t="str">
        <f aca="false">IF(OR(G205="",G205="?"),"",IFERROR(INDEX(Pubs!$C$2:$C$3001,MATCH(G205,Pubs!$A$2:$A$3001,0))&amp;"",""))</f>
        <v/>
      </c>
      <c r="J205" s="27" t="str">
        <f aca="false">IF(OR(G205="",G205="?"),"",IFERROR(INDEX(Pubs!$G$2:$G$3001,MATCH(G205,Pubs!$A$2:$A$3001,0))&amp;"",""))</f>
        <v/>
      </c>
      <c r="K205" s="28" t="str">
        <f aca="false">IF(OR(G205="",G205="?"),"",IFERROR(INDEX(Pubs!$E$2:$E$3001,MATCH(G205,Pubs!$A$2:$A$3001,0)),""))</f>
        <v/>
      </c>
      <c r="L205" s="29" t="str">
        <f aca="false">IF(A205="","",IFERROR(1/(1/INDEX(Numéros!$C$2:$C$3001,MATCH(A205&amp;"|"&amp;B205,Numéros!$F$2:$F$3001,0))),""))</f>
        <v/>
      </c>
      <c r="M205" s="27" t="str">
        <f aca="false">IF(OR(G205="",G205="?"),"",IFERROR(INDEX(Pubs!$D$2:$D$3001,MATCH(G205,Pubs!$A$2:$A$3001,0))&amp;"",""))</f>
        <v/>
      </c>
      <c r="N205" s="27" t="n">
        <f aca="false">N(N204)+IF(AND(A205&lt;&gt;"",OR(Recherche!$C$4="",A205=Recherche!$C$4),OR(Recherche!$C$5="",B205&amp;""=Recherche!$C$5&amp;""),OR(Recherche!$C$6="",IFERROR(YEAR(L205),0)=Recherche!$C$6),OR(Recherche!$C$7="",ISNUMBER(SEARCH(Recherche!$C$7,H205))),OR(Recherche!$C$8="",J205=Recherche!$C$8),OR(Recherche!$C$9="",I205=Recherche!$C$9),OR(Recherche!$C$10="",G205&amp;""=Recherche!$C$10&amp;""),OR(Recherche!$C$11="",E205=Recherche!$C$11),OR(Recherche!$C$12="",ISNUMBER(SEARCH(Recherche!$C$12,M205&amp;" "&amp;F205)))),1,0)</f>
        <v>8</v>
      </c>
    </row>
    <row r="206" customFormat="false" ht="15" hidden="false" customHeight="false" outlineLevel="0" collapsed="false">
      <c r="A206" s="19"/>
      <c r="B206" s="19"/>
      <c r="C206" s="19"/>
      <c r="D206" s="19"/>
      <c r="E206" s="22"/>
      <c r="F206" s="19"/>
      <c r="G206" s="26" t="str">
        <f aca="false">IF(D206="","",IFERROR(VALUE(LEFT(D206,FIND(" |",D206&amp;" |")-1)),"?"))</f>
        <v/>
      </c>
      <c r="H206" s="27" t="str">
        <f aca="false">IF(G206="","",IF(G206="?","⚠ pub inconnue",IFERROR(INDEX(Pubs!$B$2:$B$3001,MATCH(G206,Pubs!$A$2:$A$3001,0))&amp;"","⚠ pub inconnue")))</f>
        <v/>
      </c>
      <c r="I206" s="27" t="str">
        <f aca="false">IF(OR(G206="",G206="?"),"",IFERROR(INDEX(Pubs!$C$2:$C$3001,MATCH(G206,Pubs!$A$2:$A$3001,0))&amp;"",""))</f>
        <v/>
      </c>
      <c r="J206" s="27" t="str">
        <f aca="false">IF(OR(G206="",G206="?"),"",IFERROR(INDEX(Pubs!$G$2:$G$3001,MATCH(G206,Pubs!$A$2:$A$3001,0))&amp;"",""))</f>
        <v/>
      </c>
      <c r="K206" s="28" t="str">
        <f aca="false">IF(OR(G206="",G206="?"),"",IFERROR(INDEX(Pubs!$E$2:$E$3001,MATCH(G206,Pubs!$A$2:$A$3001,0)),""))</f>
        <v/>
      </c>
      <c r="L206" s="29" t="str">
        <f aca="false">IF(A206="","",IFERROR(1/(1/INDEX(Numéros!$C$2:$C$3001,MATCH(A206&amp;"|"&amp;B206,Numéros!$F$2:$F$3001,0))),""))</f>
        <v/>
      </c>
      <c r="M206" s="27" t="str">
        <f aca="false">IF(OR(G206="",G206="?"),"",IFERROR(INDEX(Pubs!$D$2:$D$3001,MATCH(G206,Pubs!$A$2:$A$3001,0))&amp;"",""))</f>
        <v/>
      </c>
      <c r="N206" s="27" t="n">
        <f aca="false">N(N205)+IF(AND(A206&lt;&gt;"",OR(Recherche!$C$4="",A206=Recherche!$C$4),OR(Recherche!$C$5="",B206&amp;""=Recherche!$C$5&amp;""),OR(Recherche!$C$6="",IFERROR(YEAR(L206),0)=Recherche!$C$6),OR(Recherche!$C$7="",ISNUMBER(SEARCH(Recherche!$C$7,H206))),OR(Recherche!$C$8="",J206=Recherche!$C$8),OR(Recherche!$C$9="",I206=Recherche!$C$9),OR(Recherche!$C$10="",G206&amp;""=Recherche!$C$10&amp;""),OR(Recherche!$C$11="",E206=Recherche!$C$11),OR(Recherche!$C$12="",ISNUMBER(SEARCH(Recherche!$C$12,M206&amp;" "&amp;F206)))),1,0)</f>
        <v>8</v>
      </c>
    </row>
    <row r="207" customFormat="false" ht="15" hidden="false" customHeight="false" outlineLevel="0" collapsed="false">
      <c r="A207" s="19"/>
      <c r="B207" s="19"/>
      <c r="C207" s="19"/>
      <c r="D207" s="19"/>
      <c r="E207" s="22"/>
      <c r="F207" s="19"/>
      <c r="G207" s="26" t="str">
        <f aca="false">IF(D207="","",IFERROR(VALUE(LEFT(D207,FIND(" |",D207&amp;" |")-1)),"?"))</f>
        <v/>
      </c>
      <c r="H207" s="27" t="str">
        <f aca="false">IF(G207="","",IF(G207="?","⚠ pub inconnue",IFERROR(INDEX(Pubs!$B$2:$B$3001,MATCH(G207,Pubs!$A$2:$A$3001,0))&amp;"","⚠ pub inconnue")))</f>
        <v/>
      </c>
      <c r="I207" s="27" t="str">
        <f aca="false">IF(OR(G207="",G207="?"),"",IFERROR(INDEX(Pubs!$C$2:$C$3001,MATCH(G207,Pubs!$A$2:$A$3001,0))&amp;"",""))</f>
        <v/>
      </c>
      <c r="J207" s="27" t="str">
        <f aca="false">IF(OR(G207="",G207="?"),"",IFERROR(INDEX(Pubs!$G$2:$G$3001,MATCH(G207,Pubs!$A$2:$A$3001,0))&amp;"",""))</f>
        <v/>
      </c>
      <c r="K207" s="28" t="str">
        <f aca="false">IF(OR(G207="",G207="?"),"",IFERROR(INDEX(Pubs!$E$2:$E$3001,MATCH(G207,Pubs!$A$2:$A$3001,0)),""))</f>
        <v/>
      </c>
      <c r="L207" s="29" t="str">
        <f aca="false">IF(A207="","",IFERROR(1/(1/INDEX(Numéros!$C$2:$C$3001,MATCH(A207&amp;"|"&amp;B207,Numéros!$F$2:$F$3001,0))),""))</f>
        <v/>
      </c>
      <c r="M207" s="27" t="str">
        <f aca="false">IF(OR(G207="",G207="?"),"",IFERROR(INDEX(Pubs!$D$2:$D$3001,MATCH(G207,Pubs!$A$2:$A$3001,0))&amp;"",""))</f>
        <v/>
      </c>
      <c r="N207" s="27" t="n">
        <f aca="false">N(N206)+IF(AND(A207&lt;&gt;"",OR(Recherche!$C$4="",A207=Recherche!$C$4),OR(Recherche!$C$5="",B207&amp;""=Recherche!$C$5&amp;""),OR(Recherche!$C$6="",IFERROR(YEAR(L207),0)=Recherche!$C$6),OR(Recherche!$C$7="",ISNUMBER(SEARCH(Recherche!$C$7,H207))),OR(Recherche!$C$8="",J207=Recherche!$C$8),OR(Recherche!$C$9="",I207=Recherche!$C$9),OR(Recherche!$C$10="",G207&amp;""=Recherche!$C$10&amp;""),OR(Recherche!$C$11="",E207=Recherche!$C$11),OR(Recherche!$C$12="",ISNUMBER(SEARCH(Recherche!$C$12,M207&amp;" "&amp;F207)))),1,0)</f>
        <v>8</v>
      </c>
    </row>
    <row r="208" customFormat="false" ht="15" hidden="false" customHeight="false" outlineLevel="0" collapsed="false">
      <c r="A208" s="19"/>
      <c r="B208" s="19"/>
      <c r="C208" s="19"/>
      <c r="D208" s="19"/>
      <c r="E208" s="22"/>
      <c r="F208" s="19"/>
      <c r="G208" s="26" t="str">
        <f aca="false">IF(D208="","",IFERROR(VALUE(LEFT(D208,FIND(" |",D208&amp;" |")-1)),"?"))</f>
        <v/>
      </c>
      <c r="H208" s="27" t="str">
        <f aca="false">IF(G208="","",IF(G208="?","⚠ pub inconnue",IFERROR(INDEX(Pubs!$B$2:$B$3001,MATCH(G208,Pubs!$A$2:$A$3001,0))&amp;"","⚠ pub inconnue")))</f>
        <v/>
      </c>
      <c r="I208" s="27" t="str">
        <f aca="false">IF(OR(G208="",G208="?"),"",IFERROR(INDEX(Pubs!$C$2:$C$3001,MATCH(G208,Pubs!$A$2:$A$3001,0))&amp;"",""))</f>
        <v/>
      </c>
      <c r="J208" s="27" t="str">
        <f aca="false">IF(OR(G208="",G208="?"),"",IFERROR(INDEX(Pubs!$G$2:$G$3001,MATCH(G208,Pubs!$A$2:$A$3001,0))&amp;"",""))</f>
        <v/>
      </c>
      <c r="K208" s="28" t="str">
        <f aca="false">IF(OR(G208="",G208="?"),"",IFERROR(INDEX(Pubs!$E$2:$E$3001,MATCH(G208,Pubs!$A$2:$A$3001,0)),""))</f>
        <v/>
      </c>
      <c r="L208" s="29" t="str">
        <f aca="false">IF(A208="","",IFERROR(1/(1/INDEX(Numéros!$C$2:$C$3001,MATCH(A208&amp;"|"&amp;B208,Numéros!$F$2:$F$3001,0))),""))</f>
        <v/>
      </c>
      <c r="M208" s="27" t="str">
        <f aca="false">IF(OR(G208="",G208="?"),"",IFERROR(INDEX(Pubs!$D$2:$D$3001,MATCH(G208,Pubs!$A$2:$A$3001,0))&amp;"",""))</f>
        <v/>
      </c>
      <c r="N208" s="27" t="n">
        <f aca="false">N(N207)+IF(AND(A208&lt;&gt;"",OR(Recherche!$C$4="",A208=Recherche!$C$4),OR(Recherche!$C$5="",B208&amp;""=Recherche!$C$5&amp;""),OR(Recherche!$C$6="",IFERROR(YEAR(L208),0)=Recherche!$C$6),OR(Recherche!$C$7="",ISNUMBER(SEARCH(Recherche!$C$7,H208))),OR(Recherche!$C$8="",J208=Recherche!$C$8),OR(Recherche!$C$9="",I208=Recherche!$C$9),OR(Recherche!$C$10="",G208&amp;""=Recherche!$C$10&amp;""),OR(Recherche!$C$11="",E208=Recherche!$C$11),OR(Recherche!$C$12="",ISNUMBER(SEARCH(Recherche!$C$12,M208&amp;" "&amp;F208)))),1,0)</f>
        <v>8</v>
      </c>
    </row>
    <row r="209" customFormat="false" ht="15" hidden="false" customHeight="false" outlineLevel="0" collapsed="false">
      <c r="A209" s="19"/>
      <c r="B209" s="19"/>
      <c r="C209" s="19"/>
      <c r="D209" s="19"/>
      <c r="E209" s="22"/>
      <c r="F209" s="19"/>
      <c r="G209" s="26" t="str">
        <f aca="false">IF(D209="","",IFERROR(VALUE(LEFT(D209,FIND(" |",D209&amp;" |")-1)),"?"))</f>
        <v/>
      </c>
      <c r="H209" s="27" t="str">
        <f aca="false">IF(G209="","",IF(G209="?","⚠ pub inconnue",IFERROR(INDEX(Pubs!$B$2:$B$3001,MATCH(G209,Pubs!$A$2:$A$3001,0))&amp;"","⚠ pub inconnue")))</f>
        <v/>
      </c>
      <c r="I209" s="27" t="str">
        <f aca="false">IF(OR(G209="",G209="?"),"",IFERROR(INDEX(Pubs!$C$2:$C$3001,MATCH(G209,Pubs!$A$2:$A$3001,0))&amp;"",""))</f>
        <v/>
      </c>
      <c r="J209" s="27" t="str">
        <f aca="false">IF(OR(G209="",G209="?"),"",IFERROR(INDEX(Pubs!$G$2:$G$3001,MATCH(G209,Pubs!$A$2:$A$3001,0))&amp;"",""))</f>
        <v/>
      </c>
      <c r="K209" s="28" t="str">
        <f aca="false">IF(OR(G209="",G209="?"),"",IFERROR(INDEX(Pubs!$E$2:$E$3001,MATCH(G209,Pubs!$A$2:$A$3001,0)),""))</f>
        <v/>
      </c>
      <c r="L209" s="29" t="str">
        <f aca="false">IF(A209="","",IFERROR(1/(1/INDEX(Numéros!$C$2:$C$3001,MATCH(A209&amp;"|"&amp;B209,Numéros!$F$2:$F$3001,0))),""))</f>
        <v/>
      </c>
      <c r="M209" s="27" t="str">
        <f aca="false">IF(OR(G209="",G209="?"),"",IFERROR(INDEX(Pubs!$D$2:$D$3001,MATCH(G209,Pubs!$A$2:$A$3001,0))&amp;"",""))</f>
        <v/>
      </c>
      <c r="N209" s="27" t="n">
        <f aca="false">N(N208)+IF(AND(A209&lt;&gt;"",OR(Recherche!$C$4="",A209=Recherche!$C$4),OR(Recherche!$C$5="",B209&amp;""=Recherche!$C$5&amp;""),OR(Recherche!$C$6="",IFERROR(YEAR(L209),0)=Recherche!$C$6),OR(Recherche!$C$7="",ISNUMBER(SEARCH(Recherche!$C$7,H209))),OR(Recherche!$C$8="",J209=Recherche!$C$8),OR(Recherche!$C$9="",I209=Recherche!$C$9),OR(Recherche!$C$10="",G209&amp;""=Recherche!$C$10&amp;""),OR(Recherche!$C$11="",E209=Recherche!$C$11),OR(Recherche!$C$12="",ISNUMBER(SEARCH(Recherche!$C$12,M209&amp;" "&amp;F209)))),1,0)</f>
        <v>8</v>
      </c>
    </row>
    <row r="210" customFormat="false" ht="15" hidden="false" customHeight="false" outlineLevel="0" collapsed="false">
      <c r="A210" s="19"/>
      <c r="B210" s="19"/>
      <c r="C210" s="19"/>
      <c r="D210" s="19"/>
      <c r="E210" s="22"/>
      <c r="F210" s="19"/>
      <c r="G210" s="26" t="str">
        <f aca="false">IF(D210="","",IFERROR(VALUE(LEFT(D210,FIND(" |",D210&amp;" |")-1)),"?"))</f>
        <v/>
      </c>
      <c r="H210" s="27" t="str">
        <f aca="false">IF(G210="","",IF(G210="?","⚠ pub inconnue",IFERROR(INDEX(Pubs!$B$2:$B$3001,MATCH(G210,Pubs!$A$2:$A$3001,0))&amp;"","⚠ pub inconnue")))</f>
        <v/>
      </c>
      <c r="I210" s="27" t="str">
        <f aca="false">IF(OR(G210="",G210="?"),"",IFERROR(INDEX(Pubs!$C$2:$C$3001,MATCH(G210,Pubs!$A$2:$A$3001,0))&amp;"",""))</f>
        <v/>
      </c>
      <c r="J210" s="27" t="str">
        <f aca="false">IF(OR(G210="",G210="?"),"",IFERROR(INDEX(Pubs!$G$2:$G$3001,MATCH(G210,Pubs!$A$2:$A$3001,0))&amp;"",""))</f>
        <v/>
      </c>
      <c r="K210" s="28" t="str">
        <f aca="false">IF(OR(G210="",G210="?"),"",IFERROR(INDEX(Pubs!$E$2:$E$3001,MATCH(G210,Pubs!$A$2:$A$3001,0)),""))</f>
        <v/>
      </c>
      <c r="L210" s="29" t="str">
        <f aca="false">IF(A210="","",IFERROR(1/(1/INDEX(Numéros!$C$2:$C$3001,MATCH(A210&amp;"|"&amp;B210,Numéros!$F$2:$F$3001,0))),""))</f>
        <v/>
      </c>
      <c r="M210" s="27" t="str">
        <f aca="false">IF(OR(G210="",G210="?"),"",IFERROR(INDEX(Pubs!$D$2:$D$3001,MATCH(G210,Pubs!$A$2:$A$3001,0))&amp;"",""))</f>
        <v/>
      </c>
      <c r="N210" s="27" t="n">
        <f aca="false">N(N209)+IF(AND(A210&lt;&gt;"",OR(Recherche!$C$4="",A210=Recherche!$C$4),OR(Recherche!$C$5="",B210&amp;""=Recherche!$C$5&amp;""),OR(Recherche!$C$6="",IFERROR(YEAR(L210),0)=Recherche!$C$6),OR(Recherche!$C$7="",ISNUMBER(SEARCH(Recherche!$C$7,H210))),OR(Recherche!$C$8="",J210=Recherche!$C$8),OR(Recherche!$C$9="",I210=Recherche!$C$9),OR(Recherche!$C$10="",G210&amp;""=Recherche!$C$10&amp;""),OR(Recherche!$C$11="",E210=Recherche!$C$11),OR(Recherche!$C$12="",ISNUMBER(SEARCH(Recherche!$C$12,M210&amp;" "&amp;F210)))),1,0)</f>
        <v>8</v>
      </c>
    </row>
    <row r="211" customFormat="false" ht="15" hidden="false" customHeight="false" outlineLevel="0" collapsed="false">
      <c r="A211" s="19"/>
      <c r="B211" s="19"/>
      <c r="C211" s="19"/>
      <c r="D211" s="19"/>
      <c r="E211" s="22"/>
      <c r="F211" s="19"/>
      <c r="G211" s="26" t="str">
        <f aca="false">IF(D211="","",IFERROR(VALUE(LEFT(D211,FIND(" |",D211&amp;" |")-1)),"?"))</f>
        <v/>
      </c>
      <c r="H211" s="27" t="str">
        <f aca="false">IF(G211="","",IF(G211="?","⚠ pub inconnue",IFERROR(INDEX(Pubs!$B$2:$B$3001,MATCH(G211,Pubs!$A$2:$A$3001,0))&amp;"","⚠ pub inconnue")))</f>
        <v/>
      </c>
      <c r="I211" s="27" t="str">
        <f aca="false">IF(OR(G211="",G211="?"),"",IFERROR(INDEX(Pubs!$C$2:$C$3001,MATCH(G211,Pubs!$A$2:$A$3001,0))&amp;"",""))</f>
        <v/>
      </c>
      <c r="J211" s="27" t="str">
        <f aca="false">IF(OR(G211="",G211="?"),"",IFERROR(INDEX(Pubs!$G$2:$G$3001,MATCH(G211,Pubs!$A$2:$A$3001,0))&amp;"",""))</f>
        <v/>
      </c>
      <c r="K211" s="28" t="str">
        <f aca="false">IF(OR(G211="",G211="?"),"",IFERROR(INDEX(Pubs!$E$2:$E$3001,MATCH(G211,Pubs!$A$2:$A$3001,0)),""))</f>
        <v/>
      </c>
      <c r="L211" s="29" t="str">
        <f aca="false">IF(A211="","",IFERROR(1/(1/INDEX(Numéros!$C$2:$C$3001,MATCH(A211&amp;"|"&amp;B211,Numéros!$F$2:$F$3001,0))),""))</f>
        <v/>
      </c>
      <c r="M211" s="27" t="str">
        <f aca="false">IF(OR(G211="",G211="?"),"",IFERROR(INDEX(Pubs!$D$2:$D$3001,MATCH(G211,Pubs!$A$2:$A$3001,0))&amp;"",""))</f>
        <v/>
      </c>
      <c r="N211" s="27" t="n">
        <f aca="false">N(N210)+IF(AND(A211&lt;&gt;"",OR(Recherche!$C$4="",A211=Recherche!$C$4),OR(Recherche!$C$5="",B211&amp;""=Recherche!$C$5&amp;""),OR(Recherche!$C$6="",IFERROR(YEAR(L211),0)=Recherche!$C$6),OR(Recherche!$C$7="",ISNUMBER(SEARCH(Recherche!$C$7,H211))),OR(Recherche!$C$8="",J211=Recherche!$C$8),OR(Recherche!$C$9="",I211=Recherche!$C$9),OR(Recherche!$C$10="",G211&amp;""=Recherche!$C$10&amp;""),OR(Recherche!$C$11="",E211=Recherche!$C$11),OR(Recherche!$C$12="",ISNUMBER(SEARCH(Recherche!$C$12,M211&amp;" "&amp;F211)))),1,0)</f>
        <v>8</v>
      </c>
    </row>
    <row r="212" customFormat="false" ht="15" hidden="false" customHeight="false" outlineLevel="0" collapsed="false">
      <c r="A212" s="19"/>
      <c r="B212" s="19"/>
      <c r="C212" s="19"/>
      <c r="D212" s="19"/>
      <c r="E212" s="22"/>
      <c r="F212" s="19"/>
      <c r="G212" s="26" t="str">
        <f aca="false">IF(D212="","",IFERROR(VALUE(LEFT(D212,FIND(" |",D212&amp;" |")-1)),"?"))</f>
        <v/>
      </c>
      <c r="H212" s="27" t="str">
        <f aca="false">IF(G212="","",IF(G212="?","⚠ pub inconnue",IFERROR(INDEX(Pubs!$B$2:$B$3001,MATCH(G212,Pubs!$A$2:$A$3001,0))&amp;"","⚠ pub inconnue")))</f>
        <v/>
      </c>
      <c r="I212" s="27" t="str">
        <f aca="false">IF(OR(G212="",G212="?"),"",IFERROR(INDEX(Pubs!$C$2:$C$3001,MATCH(G212,Pubs!$A$2:$A$3001,0))&amp;"",""))</f>
        <v/>
      </c>
      <c r="J212" s="27" t="str">
        <f aca="false">IF(OR(G212="",G212="?"),"",IFERROR(INDEX(Pubs!$G$2:$G$3001,MATCH(G212,Pubs!$A$2:$A$3001,0))&amp;"",""))</f>
        <v/>
      </c>
      <c r="K212" s="28" t="str">
        <f aca="false">IF(OR(G212="",G212="?"),"",IFERROR(INDEX(Pubs!$E$2:$E$3001,MATCH(G212,Pubs!$A$2:$A$3001,0)),""))</f>
        <v/>
      </c>
      <c r="L212" s="29" t="str">
        <f aca="false">IF(A212="","",IFERROR(1/(1/INDEX(Numéros!$C$2:$C$3001,MATCH(A212&amp;"|"&amp;B212,Numéros!$F$2:$F$3001,0))),""))</f>
        <v/>
      </c>
      <c r="M212" s="27" t="str">
        <f aca="false">IF(OR(G212="",G212="?"),"",IFERROR(INDEX(Pubs!$D$2:$D$3001,MATCH(G212,Pubs!$A$2:$A$3001,0))&amp;"",""))</f>
        <v/>
      </c>
      <c r="N212" s="27" t="n">
        <f aca="false">N(N211)+IF(AND(A212&lt;&gt;"",OR(Recherche!$C$4="",A212=Recherche!$C$4),OR(Recherche!$C$5="",B212&amp;""=Recherche!$C$5&amp;""),OR(Recherche!$C$6="",IFERROR(YEAR(L212),0)=Recherche!$C$6),OR(Recherche!$C$7="",ISNUMBER(SEARCH(Recherche!$C$7,H212))),OR(Recherche!$C$8="",J212=Recherche!$C$8),OR(Recherche!$C$9="",I212=Recherche!$C$9),OR(Recherche!$C$10="",G212&amp;""=Recherche!$C$10&amp;""),OR(Recherche!$C$11="",E212=Recherche!$C$11),OR(Recherche!$C$12="",ISNUMBER(SEARCH(Recherche!$C$12,M212&amp;" "&amp;F212)))),1,0)</f>
        <v>8</v>
      </c>
    </row>
    <row r="213" customFormat="false" ht="15" hidden="false" customHeight="false" outlineLevel="0" collapsed="false">
      <c r="A213" s="19"/>
      <c r="B213" s="19"/>
      <c r="C213" s="19"/>
      <c r="D213" s="19"/>
      <c r="E213" s="22"/>
      <c r="F213" s="19"/>
      <c r="G213" s="26" t="str">
        <f aca="false">IF(D213="","",IFERROR(VALUE(LEFT(D213,FIND(" |",D213&amp;" |")-1)),"?"))</f>
        <v/>
      </c>
      <c r="H213" s="27" t="str">
        <f aca="false">IF(G213="","",IF(G213="?","⚠ pub inconnue",IFERROR(INDEX(Pubs!$B$2:$B$3001,MATCH(G213,Pubs!$A$2:$A$3001,0))&amp;"","⚠ pub inconnue")))</f>
        <v/>
      </c>
      <c r="I213" s="27" t="str">
        <f aca="false">IF(OR(G213="",G213="?"),"",IFERROR(INDEX(Pubs!$C$2:$C$3001,MATCH(G213,Pubs!$A$2:$A$3001,0))&amp;"",""))</f>
        <v/>
      </c>
      <c r="J213" s="27" t="str">
        <f aca="false">IF(OR(G213="",G213="?"),"",IFERROR(INDEX(Pubs!$G$2:$G$3001,MATCH(G213,Pubs!$A$2:$A$3001,0))&amp;"",""))</f>
        <v/>
      </c>
      <c r="K213" s="28" t="str">
        <f aca="false">IF(OR(G213="",G213="?"),"",IFERROR(INDEX(Pubs!$E$2:$E$3001,MATCH(G213,Pubs!$A$2:$A$3001,0)),""))</f>
        <v/>
      </c>
      <c r="L213" s="29" t="str">
        <f aca="false">IF(A213="","",IFERROR(1/(1/INDEX(Numéros!$C$2:$C$3001,MATCH(A213&amp;"|"&amp;B213,Numéros!$F$2:$F$3001,0))),""))</f>
        <v/>
      </c>
      <c r="M213" s="27" t="str">
        <f aca="false">IF(OR(G213="",G213="?"),"",IFERROR(INDEX(Pubs!$D$2:$D$3001,MATCH(G213,Pubs!$A$2:$A$3001,0))&amp;"",""))</f>
        <v/>
      </c>
      <c r="N213" s="27" t="n">
        <f aca="false">N(N212)+IF(AND(A213&lt;&gt;"",OR(Recherche!$C$4="",A213=Recherche!$C$4),OR(Recherche!$C$5="",B213&amp;""=Recherche!$C$5&amp;""),OR(Recherche!$C$6="",IFERROR(YEAR(L213),0)=Recherche!$C$6),OR(Recherche!$C$7="",ISNUMBER(SEARCH(Recherche!$C$7,H213))),OR(Recherche!$C$8="",J213=Recherche!$C$8),OR(Recherche!$C$9="",I213=Recherche!$C$9),OR(Recherche!$C$10="",G213&amp;""=Recherche!$C$10&amp;""),OR(Recherche!$C$11="",E213=Recherche!$C$11),OR(Recherche!$C$12="",ISNUMBER(SEARCH(Recherche!$C$12,M213&amp;" "&amp;F213)))),1,0)</f>
        <v>8</v>
      </c>
    </row>
    <row r="214" customFormat="false" ht="15" hidden="false" customHeight="false" outlineLevel="0" collapsed="false">
      <c r="A214" s="19"/>
      <c r="B214" s="19"/>
      <c r="C214" s="19"/>
      <c r="D214" s="19"/>
      <c r="E214" s="22"/>
      <c r="F214" s="19"/>
      <c r="G214" s="26" t="str">
        <f aca="false">IF(D214="","",IFERROR(VALUE(LEFT(D214,FIND(" |",D214&amp;" |")-1)),"?"))</f>
        <v/>
      </c>
      <c r="H214" s="27" t="str">
        <f aca="false">IF(G214="","",IF(G214="?","⚠ pub inconnue",IFERROR(INDEX(Pubs!$B$2:$B$3001,MATCH(G214,Pubs!$A$2:$A$3001,0))&amp;"","⚠ pub inconnue")))</f>
        <v/>
      </c>
      <c r="I214" s="27" t="str">
        <f aca="false">IF(OR(G214="",G214="?"),"",IFERROR(INDEX(Pubs!$C$2:$C$3001,MATCH(G214,Pubs!$A$2:$A$3001,0))&amp;"",""))</f>
        <v/>
      </c>
      <c r="J214" s="27" t="str">
        <f aca="false">IF(OR(G214="",G214="?"),"",IFERROR(INDEX(Pubs!$G$2:$G$3001,MATCH(G214,Pubs!$A$2:$A$3001,0))&amp;"",""))</f>
        <v/>
      </c>
      <c r="K214" s="28" t="str">
        <f aca="false">IF(OR(G214="",G214="?"),"",IFERROR(INDEX(Pubs!$E$2:$E$3001,MATCH(G214,Pubs!$A$2:$A$3001,0)),""))</f>
        <v/>
      </c>
      <c r="L214" s="29" t="str">
        <f aca="false">IF(A214="","",IFERROR(1/(1/INDEX(Numéros!$C$2:$C$3001,MATCH(A214&amp;"|"&amp;B214,Numéros!$F$2:$F$3001,0))),""))</f>
        <v/>
      </c>
      <c r="M214" s="27" t="str">
        <f aca="false">IF(OR(G214="",G214="?"),"",IFERROR(INDEX(Pubs!$D$2:$D$3001,MATCH(G214,Pubs!$A$2:$A$3001,0))&amp;"",""))</f>
        <v/>
      </c>
      <c r="N214" s="27" t="n">
        <f aca="false">N(N213)+IF(AND(A214&lt;&gt;"",OR(Recherche!$C$4="",A214=Recherche!$C$4),OR(Recherche!$C$5="",B214&amp;""=Recherche!$C$5&amp;""),OR(Recherche!$C$6="",IFERROR(YEAR(L214),0)=Recherche!$C$6),OR(Recherche!$C$7="",ISNUMBER(SEARCH(Recherche!$C$7,H214))),OR(Recherche!$C$8="",J214=Recherche!$C$8),OR(Recherche!$C$9="",I214=Recherche!$C$9),OR(Recherche!$C$10="",G214&amp;""=Recherche!$C$10&amp;""),OR(Recherche!$C$11="",E214=Recherche!$C$11),OR(Recherche!$C$12="",ISNUMBER(SEARCH(Recherche!$C$12,M214&amp;" "&amp;F214)))),1,0)</f>
        <v>8</v>
      </c>
    </row>
    <row r="215" customFormat="false" ht="15" hidden="false" customHeight="false" outlineLevel="0" collapsed="false">
      <c r="A215" s="19"/>
      <c r="B215" s="19"/>
      <c r="C215" s="19"/>
      <c r="D215" s="19"/>
      <c r="E215" s="22"/>
      <c r="F215" s="19"/>
      <c r="G215" s="26" t="str">
        <f aca="false">IF(D215="","",IFERROR(VALUE(LEFT(D215,FIND(" |",D215&amp;" |")-1)),"?"))</f>
        <v/>
      </c>
      <c r="H215" s="27" t="str">
        <f aca="false">IF(G215="","",IF(G215="?","⚠ pub inconnue",IFERROR(INDEX(Pubs!$B$2:$B$3001,MATCH(G215,Pubs!$A$2:$A$3001,0))&amp;"","⚠ pub inconnue")))</f>
        <v/>
      </c>
      <c r="I215" s="27" t="str">
        <f aca="false">IF(OR(G215="",G215="?"),"",IFERROR(INDEX(Pubs!$C$2:$C$3001,MATCH(G215,Pubs!$A$2:$A$3001,0))&amp;"",""))</f>
        <v/>
      </c>
      <c r="J215" s="27" t="str">
        <f aca="false">IF(OR(G215="",G215="?"),"",IFERROR(INDEX(Pubs!$G$2:$G$3001,MATCH(G215,Pubs!$A$2:$A$3001,0))&amp;"",""))</f>
        <v/>
      </c>
      <c r="K215" s="28" t="str">
        <f aca="false">IF(OR(G215="",G215="?"),"",IFERROR(INDEX(Pubs!$E$2:$E$3001,MATCH(G215,Pubs!$A$2:$A$3001,0)),""))</f>
        <v/>
      </c>
      <c r="L215" s="29" t="str">
        <f aca="false">IF(A215="","",IFERROR(1/(1/INDEX(Numéros!$C$2:$C$3001,MATCH(A215&amp;"|"&amp;B215,Numéros!$F$2:$F$3001,0))),""))</f>
        <v/>
      </c>
      <c r="M215" s="27" t="str">
        <f aca="false">IF(OR(G215="",G215="?"),"",IFERROR(INDEX(Pubs!$D$2:$D$3001,MATCH(G215,Pubs!$A$2:$A$3001,0))&amp;"",""))</f>
        <v/>
      </c>
      <c r="N215" s="27" t="n">
        <f aca="false">N(N214)+IF(AND(A215&lt;&gt;"",OR(Recherche!$C$4="",A215=Recherche!$C$4),OR(Recherche!$C$5="",B215&amp;""=Recherche!$C$5&amp;""),OR(Recherche!$C$6="",IFERROR(YEAR(L215),0)=Recherche!$C$6),OR(Recherche!$C$7="",ISNUMBER(SEARCH(Recherche!$C$7,H215))),OR(Recherche!$C$8="",J215=Recherche!$C$8),OR(Recherche!$C$9="",I215=Recherche!$C$9),OR(Recherche!$C$10="",G215&amp;""=Recherche!$C$10&amp;""),OR(Recherche!$C$11="",E215=Recherche!$C$11),OR(Recherche!$C$12="",ISNUMBER(SEARCH(Recherche!$C$12,M215&amp;" "&amp;F215)))),1,0)</f>
        <v>8</v>
      </c>
    </row>
    <row r="216" customFormat="false" ht="15" hidden="false" customHeight="false" outlineLevel="0" collapsed="false">
      <c r="A216" s="19"/>
      <c r="B216" s="19"/>
      <c r="C216" s="19"/>
      <c r="D216" s="19"/>
      <c r="E216" s="22"/>
      <c r="F216" s="19"/>
      <c r="G216" s="26" t="str">
        <f aca="false">IF(D216="","",IFERROR(VALUE(LEFT(D216,FIND(" |",D216&amp;" |")-1)),"?"))</f>
        <v/>
      </c>
      <c r="H216" s="27" t="str">
        <f aca="false">IF(G216="","",IF(G216="?","⚠ pub inconnue",IFERROR(INDEX(Pubs!$B$2:$B$3001,MATCH(G216,Pubs!$A$2:$A$3001,0))&amp;"","⚠ pub inconnue")))</f>
        <v/>
      </c>
      <c r="I216" s="27" t="str">
        <f aca="false">IF(OR(G216="",G216="?"),"",IFERROR(INDEX(Pubs!$C$2:$C$3001,MATCH(G216,Pubs!$A$2:$A$3001,0))&amp;"",""))</f>
        <v/>
      </c>
      <c r="J216" s="27" t="str">
        <f aca="false">IF(OR(G216="",G216="?"),"",IFERROR(INDEX(Pubs!$G$2:$G$3001,MATCH(G216,Pubs!$A$2:$A$3001,0))&amp;"",""))</f>
        <v/>
      </c>
      <c r="K216" s="28" t="str">
        <f aca="false">IF(OR(G216="",G216="?"),"",IFERROR(INDEX(Pubs!$E$2:$E$3001,MATCH(G216,Pubs!$A$2:$A$3001,0)),""))</f>
        <v/>
      </c>
      <c r="L216" s="29" t="str">
        <f aca="false">IF(A216="","",IFERROR(1/(1/INDEX(Numéros!$C$2:$C$3001,MATCH(A216&amp;"|"&amp;B216,Numéros!$F$2:$F$3001,0))),""))</f>
        <v/>
      </c>
      <c r="M216" s="27" t="str">
        <f aca="false">IF(OR(G216="",G216="?"),"",IFERROR(INDEX(Pubs!$D$2:$D$3001,MATCH(G216,Pubs!$A$2:$A$3001,0))&amp;"",""))</f>
        <v/>
      </c>
      <c r="N216" s="27" t="n">
        <f aca="false">N(N215)+IF(AND(A216&lt;&gt;"",OR(Recherche!$C$4="",A216=Recherche!$C$4),OR(Recherche!$C$5="",B216&amp;""=Recherche!$C$5&amp;""),OR(Recherche!$C$6="",IFERROR(YEAR(L216),0)=Recherche!$C$6),OR(Recherche!$C$7="",ISNUMBER(SEARCH(Recherche!$C$7,H216))),OR(Recherche!$C$8="",J216=Recherche!$C$8),OR(Recherche!$C$9="",I216=Recherche!$C$9),OR(Recherche!$C$10="",G216&amp;""=Recherche!$C$10&amp;""),OR(Recherche!$C$11="",E216=Recherche!$C$11),OR(Recherche!$C$12="",ISNUMBER(SEARCH(Recherche!$C$12,M216&amp;" "&amp;F216)))),1,0)</f>
        <v>8</v>
      </c>
    </row>
    <row r="217" customFormat="false" ht="15" hidden="false" customHeight="false" outlineLevel="0" collapsed="false">
      <c r="A217" s="19"/>
      <c r="B217" s="19"/>
      <c r="C217" s="19"/>
      <c r="D217" s="19"/>
      <c r="E217" s="22"/>
      <c r="F217" s="19"/>
      <c r="G217" s="26" t="str">
        <f aca="false">IF(D217="","",IFERROR(VALUE(LEFT(D217,FIND(" |",D217&amp;" |")-1)),"?"))</f>
        <v/>
      </c>
      <c r="H217" s="27" t="str">
        <f aca="false">IF(G217="","",IF(G217="?","⚠ pub inconnue",IFERROR(INDEX(Pubs!$B$2:$B$3001,MATCH(G217,Pubs!$A$2:$A$3001,0))&amp;"","⚠ pub inconnue")))</f>
        <v/>
      </c>
      <c r="I217" s="27" t="str">
        <f aca="false">IF(OR(G217="",G217="?"),"",IFERROR(INDEX(Pubs!$C$2:$C$3001,MATCH(G217,Pubs!$A$2:$A$3001,0))&amp;"",""))</f>
        <v/>
      </c>
      <c r="J217" s="27" t="str">
        <f aca="false">IF(OR(G217="",G217="?"),"",IFERROR(INDEX(Pubs!$G$2:$G$3001,MATCH(G217,Pubs!$A$2:$A$3001,0))&amp;"",""))</f>
        <v/>
      </c>
      <c r="K217" s="28" t="str">
        <f aca="false">IF(OR(G217="",G217="?"),"",IFERROR(INDEX(Pubs!$E$2:$E$3001,MATCH(G217,Pubs!$A$2:$A$3001,0)),""))</f>
        <v/>
      </c>
      <c r="L217" s="29" t="str">
        <f aca="false">IF(A217="","",IFERROR(1/(1/INDEX(Numéros!$C$2:$C$3001,MATCH(A217&amp;"|"&amp;B217,Numéros!$F$2:$F$3001,0))),""))</f>
        <v/>
      </c>
      <c r="M217" s="27" t="str">
        <f aca="false">IF(OR(G217="",G217="?"),"",IFERROR(INDEX(Pubs!$D$2:$D$3001,MATCH(G217,Pubs!$A$2:$A$3001,0))&amp;"",""))</f>
        <v/>
      </c>
      <c r="N217" s="27" t="n">
        <f aca="false">N(N216)+IF(AND(A217&lt;&gt;"",OR(Recherche!$C$4="",A217=Recherche!$C$4),OR(Recherche!$C$5="",B217&amp;""=Recherche!$C$5&amp;""),OR(Recherche!$C$6="",IFERROR(YEAR(L217),0)=Recherche!$C$6),OR(Recherche!$C$7="",ISNUMBER(SEARCH(Recherche!$C$7,H217))),OR(Recherche!$C$8="",J217=Recherche!$C$8),OR(Recherche!$C$9="",I217=Recherche!$C$9),OR(Recherche!$C$10="",G217&amp;""=Recherche!$C$10&amp;""),OR(Recherche!$C$11="",E217=Recherche!$C$11),OR(Recherche!$C$12="",ISNUMBER(SEARCH(Recherche!$C$12,M217&amp;" "&amp;F217)))),1,0)</f>
        <v>8</v>
      </c>
    </row>
    <row r="218" customFormat="false" ht="15" hidden="false" customHeight="false" outlineLevel="0" collapsed="false">
      <c r="A218" s="19"/>
      <c r="B218" s="19"/>
      <c r="C218" s="19"/>
      <c r="D218" s="19"/>
      <c r="E218" s="22"/>
      <c r="F218" s="19"/>
      <c r="G218" s="26" t="str">
        <f aca="false">IF(D218="","",IFERROR(VALUE(LEFT(D218,FIND(" |",D218&amp;" |")-1)),"?"))</f>
        <v/>
      </c>
      <c r="H218" s="27" t="str">
        <f aca="false">IF(G218="","",IF(G218="?","⚠ pub inconnue",IFERROR(INDEX(Pubs!$B$2:$B$3001,MATCH(G218,Pubs!$A$2:$A$3001,0))&amp;"","⚠ pub inconnue")))</f>
        <v/>
      </c>
      <c r="I218" s="27" t="str">
        <f aca="false">IF(OR(G218="",G218="?"),"",IFERROR(INDEX(Pubs!$C$2:$C$3001,MATCH(G218,Pubs!$A$2:$A$3001,0))&amp;"",""))</f>
        <v/>
      </c>
      <c r="J218" s="27" t="str">
        <f aca="false">IF(OR(G218="",G218="?"),"",IFERROR(INDEX(Pubs!$G$2:$G$3001,MATCH(G218,Pubs!$A$2:$A$3001,0))&amp;"",""))</f>
        <v/>
      </c>
      <c r="K218" s="28" t="str">
        <f aca="false">IF(OR(G218="",G218="?"),"",IFERROR(INDEX(Pubs!$E$2:$E$3001,MATCH(G218,Pubs!$A$2:$A$3001,0)),""))</f>
        <v/>
      </c>
      <c r="L218" s="29" t="str">
        <f aca="false">IF(A218="","",IFERROR(1/(1/INDEX(Numéros!$C$2:$C$3001,MATCH(A218&amp;"|"&amp;B218,Numéros!$F$2:$F$3001,0))),""))</f>
        <v/>
      </c>
      <c r="M218" s="27" t="str">
        <f aca="false">IF(OR(G218="",G218="?"),"",IFERROR(INDEX(Pubs!$D$2:$D$3001,MATCH(G218,Pubs!$A$2:$A$3001,0))&amp;"",""))</f>
        <v/>
      </c>
      <c r="N218" s="27" t="n">
        <f aca="false">N(N217)+IF(AND(A218&lt;&gt;"",OR(Recherche!$C$4="",A218=Recherche!$C$4),OR(Recherche!$C$5="",B218&amp;""=Recherche!$C$5&amp;""),OR(Recherche!$C$6="",IFERROR(YEAR(L218),0)=Recherche!$C$6),OR(Recherche!$C$7="",ISNUMBER(SEARCH(Recherche!$C$7,H218))),OR(Recherche!$C$8="",J218=Recherche!$C$8),OR(Recherche!$C$9="",I218=Recherche!$C$9),OR(Recherche!$C$10="",G218&amp;""=Recherche!$C$10&amp;""),OR(Recherche!$C$11="",E218=Recherche!$C$11),OR(Recherche!$C$12="",ISNUMBER(SEARCH(Recherche!$C$12,M218&amp;" "&amp;F218)))),1,0)</f>
        <v>8</v>
      </c>
    </row>
    <row r="219" customFormat="false" ht="15" hidden="false" customHeight="false" outlineLevel="0" collapsed="false">
      <c r="A219" s="19"/>
      <c r="B219" s="19"/>
      <c r="C219" s="19"/>
      <c r="D219" s="19"/>
      <c r="E219" s="22"/>
      <c r="F219" s="19"/>
      <c r="G219" s="26" t="str">
        <f aca="false">IF(D219="","",IFERROR(VALUE(LEFT(D219,FIND(" |",D219&amp;" |")-1)),"?"))</f>
        <v/>
      </c>
      <c r="H219" s="27" t="str">
        <f aca="false">IF(G219="","",IF(G219="?","⚠ pub inconnue",IFERROR(INDEX(Pubs!$B$2:$B$3001,MATCH(G219,Pubs!$A$2:$A$3001,0))&amp;"","⚠ pub inconnue")))</f>
        <v/>
      </c>
      <c r="I219" s="27" t="str">
        <f aca="false">IF(OR(G219="",G219="?"),"",IFERROR(INDEX(Pubs!$C$2:$C$3001,MATCH(G219,Pubs!$A$2:$A$3001,0))&amp;"",""))</f>
        <v/>
      </c>
      <c r="J219" s="27" t="str">
        <f aca="false">IF(OR(G219="",G219="?"),"",IFERROR(INDEX(Pubs!$G$2:$G$3001,MATCH(G219,Pubs!$A$2:$A$3001,0))&amp;"",""))</f>
        <v/>
      </c>
      <c r="K219" s="28" t="str">
        <f aca="false">IF(OR(G219="",G219="?"),"",IFERROR(INDEX(Pubs!$E$2:$E$3001,MATCH(G219,Pubs!$A$2:$A$3001,0)),""))</f>
        <v/>
      </c>
      <c r="L219" s="29" t="str">
        <f aca="false">IF(A219="","",IFERROR(1/(1/INDEX(Numéros!$C$2:$C$3001,MATCH(A219&amp;"|"&amp;B219,Numéros!$F$2:$F$3001,0))),""))</f>
        <v/>
      </c>
      <c r="M219" s="27" t="str">
        <f aca="false">IF(OR(G219="",G219="?"),"",IFERROR(INDEX(Pubs!$D$2:$D$3001,MATCH(G219,Pubs!$A$2:$A$3001,0))&amp;"",""))</f>
        <v/>
      </c>
      <c r="N219" s="27" t="n">
        <f aca="false">N(N218)+IF(AND(A219&lt;&gt;"",OR(Recherche!$C$4="",A219=Recherche!$C$4),OR(Recherche!$C$5="",B219&amp;""=Recherche!$C$5&amp;""),OR(Recherche!$C$6="",IFERROR(YEAR(L219),0)=Recherche!$C$6),OR(Recherche!$C$7="",ISNUMBER(SEARCH(Recherche!$C$7,H219))),OR(Recherche!$C$8="",J219=Recherche!$C$8),OR(Recherche!$C$9="",I219=Recherche!$C$9),OR(Recherche!$C$10="",G219&amp;""=Recherche!$C$10&amp;""),OR(Recherche!$C$11="",E219=Recherche!$C$11),OR(Recherche!$C$12="",ISNUMBER(SEARCH(Recherche!$C$12,M219&amp;" "&amp;F219)))),1,0)</f>
        <v>8</v>
      </c>
    </row>
    <row r="220" customFormat="false" ht="15" hidden="false" customHeight="false" outlineLevel="0" collapsed="false">
      <c r="A220" s="19"/>
      <c r="B220" s="19"/>
      <c r="C220" s="19"/>
      <c r="D220" s="19"/>
      <c r="E220" s="22"/>
      <c r="F220" s="19"/>
      <c r="G220" s="26" t="str">
        <f aca="false">IF(D220="","",IFERROR(VALUE(LEFT(D220,FIND(" |",D220&amp;" |")-1)),"?"))</f>
        <v/>
      </c>
      <c r="H220" s="27" t="str">
        <f aca="false">IF(G220="","",IF(G220="?","⚠ pub inconnue",IFERROR(INDEX(Pubs!$B$2:$B$3001,MATCH(G220,Pubs!$A$2:$A$3001,0))&amp;"","⚠ pub inconnue")))</f>
        <v/>
      </c>
      <c r="I220" s="27" t="str">
        <f aca="false">IF(OR(G220="",G220="?"),"",IFERROR(INDEX(Pubs!$C$2:$C$3001,MATCH(G220,Pubs!$A$2:$A$3001,0))&amp;"",""))</f>
        <v/>
      </c>
      <c r="J220" s="27" t="str">
        <f aca="false">IF(OR(G220="",G220="?"),"",IFERROR(INDEX(Pubs!$G$2:$G$3001,MATCH(G220,Pubs!$A$2:$A$3001,0))&amp;"",""))</f>
        <v/>
      </c>
      <c r="K220" s="28" t="str">
        <f aca="false">IF(OR(G220="",G220="?"),"",IFERROR(INDEX(Pubs!$E$2:$E$3001,MATCH(G220,Pubs!$A$2:$A$3001,0)),""))</f>
        <v/>
      </c>
      <c r="L220" s="29" t="str">
        <f aca="false">IF(A220="","",IFERROR(1/(1/INDEX(Numéros!$C$2:$C$3001,MATCH(A220&amp;"|"&amp;B220,Numéros!$F$2:$F$3001,0))),""))</f>
        <v/>
      </c>
      <c r="M220" s="27" t="str">
        <f aca="false">IF(OR(G220="",G220="?"),"",IFERROR(INDEX(Pubs!$D$2:$D$3001,MATCH(G220,Pubs!$A$2:$A$3001,0))&amp;"",""))</f>
        <v/>
      </c>
      <c r="N220" s="27" t="n">
        <f aca="false">N(N219)+IF(AND(A220&lt;&gt;"",OR(Recherche!$C$4="",A220=Recherche!$C$4),OR(Recherche!$C$5="",B220&amp;""=Recherche!$C$5&amp;""),OR(Recherche!$C$6="",IFERROR(YEAR(L220),0)=Recherche!$C$6),OR(Recherche!$C$7="",ISNUMBER(SEARCH(Recherche!$C$7,H220))),OR(Recherche!$C$8="",J220=Recherche!$C$8),OR(Recherche!$C$9="",I220=Recherche!$C$9),OR(Recherche!$C$10="",G220&amp;""=Recherche!$C$10&amp;""),OR(Recherche!$C$11="",E220=Recherche!$C$11),OR(Recherche!$C$12="",ISNUMBER(SEARCH(Recherche!$C$12,M220&amp;" "&amp;F220)))),1,0)</f>
        <v>8</v>
      </c>
    </row>
    <row r="221" customFormat="false" ht="15" hidden="false" customHeight="false" outlineLevel="0" collapsed="false">
      <c r="A221" s="19"/>
      <c r="B221" s="19"/>
      <c r="C221" s="19"/>
      <c r="D221" s="19"/>
      <c r="E221" s="22"/>
      <c r="F221" s="19"/>
      <c r="G221" s="26" t="str">
        <f aca="false">IF(D221="","",IFERROR(VALUE(LEFT(D221,FIND(" |",D221&amp;" |")-1)),"?"))</f>
        <v/>
      </c>
      <c r="H221" s="27" t="str">
        <f aca="false">IF(G221="","",IF(G221="?","⚠ pub inconnue",IFERROR(INDEX(Pubs!$B$2:$B$3001,MATCH(G221,Pubs!$A$2:$A$3001,0))&amp;"","⚠ pub inconnue")))</f>
        <v/>
      </c>
      <c r="I221" s="27" t="str">
        <f aca="false">IF(OR(G221="",G221="?"),"",IFERROR(INDEX(Pubs!$C$2:$C$3001,MATCH(G221,Pubs!$A$2:$A$3001,0))&amp;"",""))</f>
        <v/>
      </c>
      <c r="J221" s="27" t="str">
        <f aca="false">IF(OR(G221="",G221="?"),"",IFERROR(INDEX(Pubs!$G$2:$G$3001,MATCH(G221,Pubs!$A$2:$A$3001,0))&amp;"",""))</f>
        <v/>
      </c>
      <c r="K221" s="28" t="str">
        <f aca="false">IF(OR(G221="",G221="?"),"",IFERROR(INDEX(Pubs!$E$2:$E$3001,MATCH(G221,Pubs!$A$2:$A$3001,0)),""))</f>
        <v/>
      </c>
      <c r="L221" s="29" t="str">
        <f aca="false">IF(A221="","",IFERROR(1/(1/INDEX(Numéros!$C$2:$C$3001,MATCH(A221&amp;"|"&amp;B221,Numéros!$F$2:$F$3001,0))),""))</f>
        <v/>
      </c>
      <c r="M221" s="27" t="str">
        <f aca="false">IF(OR(G221="",G221="?"),"",IFERROR(INDEX(Pubs!$D$2:$D$3001,MATCH(G221,Pubs!$A$2:$A$3001,0))&amp;"",""))</f>
        <v/>
      </c>
      <c r="N221" s="27" t="n">
        <f aca="false">N(N220)+IF(AND(A221&lt;&gt;"",OR(Recherche!$C$4="",A221=Recherche!$C$4),OR(Recherche!$C$5="",B221&amp;""=Recherche!$C$5&amp;""),OR(Recherche!$C$6="",IFERROR(YEAR(L221),0)=Recherche!$C$6),OR(Recherche!$C$7="",ISNUMBER(SEARCH(Recherche!$C$7,H221))),OR(Recherche!$C$8="",J221=Recherche!$C$8),OR(Recherche!$C$9="",I221=Recherche!$C$9),OR(Recherche!$C$10="",G221&amp;""=Recherche!$C$10&amp;""),OR(Recherche!$C$11="",E221=Recherche!$C$11),OR(Recherche!$C$12="",ISNUMBER(SEARCH(Recherche!$C$12,M221&amp;" "&amp;F221)))),1,0)</f>
        <v>8</v>
      </c>
    </row>
    <row r="222" customFormat="false" ht="15" hidden="false" customHeight="false" outlineLevel="0" collapsed="false">
      <c r="A222" s="19"/>
      <c r="B222" s="19"/>
      <c r="C222" s="19"/>
      <c r="D222" s="19"/>
      <c r="E222" s="22"/>
      <c r="F222" s="19"/>
      <c r="G222" s="26" t="str">
        <f aca="false">IF(D222="","",IFERROR(VALUE(LEFT(D222,FIND(" |",D222&amp;" |")-1)),"?"))</f>
        <v/>
      </c>
      <c r="H222" s="27" t="str">
        <f aca="false">IF(G222="","",IF(G222="?","⚠ pub inconnue",IFERROR(INDEX(Pubs!$B$2:$B$3001,MATCH(G222,Pubs!$A$2:$A$3001,0))&amp;"","⚠ pub inconnue")))</f>
        <v/>
      </c>
      <c r="I222" s="27" t="str">
        <f aca="false">IF(OR(G222="",G222="?"),"",IFERROR(INDEX(Pubs!$C$2:$C$3001,MATCH(G222,Pubs!$A$2:$A$3001,0))&amp;"",""))</f>
        <v/>
      </c>
      <c r="J222" s="27" t="str">
        <f aca="false">IF(OR(G222="",G222="?"),"",IFERROR(INDEX(Pubs!$G$2:$G$3001,MATCH(G222,Pubs!$A$2:$A$3001,0))&amp;"",""))</f>
        <v/>
      </c>
      <c r="K222" s="28" t="str">
        <f aca="false">IF(OR(G222="",G222="?"),"",IFERROR(INDEX(Pubs!$E$2:$E$3001,MATCH(G222,Pubs!$A$2:$A$3001,0)),""))</f>
        <v/>
      </c>
      <c r="L222" s="29" t="str">
        <f aca="false">IF(A222="","",IFERROR(1/(1/INDEX(Numéros!$C$2:$C$3001,MATCH(A222&amp;"|"&amp;B222,Numéros!$F$2:$F$3001,0))),""))</f>
        <v/>
      </c>
      <c r="M222" s="27" t="str">
        <f aca="false">IF(OR(G222="",G222="?"),"",IFERROR(INDEX(Pubs!$D$2:$D$3001,MATCH(G222,Pubs!$A$2:$A$3001,0))&amp;"",""))</f>
        <v/>
      </c>
      <c r="N222" s="27" t="n">
        <f aca="false">N(N221)+IF(AND(A222&lt;&gt;"",OR(Recherche!$C$4="",A222=Recherche!$C$4),OR(Recherche!$C$5="",B222&amp;""=Recherche!$C$5&amp;""),OR(Recherche!$C$6="",IFERROR(YEAR(L222),0)=Recherche!$C$6),OR(Recherche!$C$7="",ISNUMBER(SEARCH(Recherche!$C$7,H222))),OR(Recherche!$C$8="",J222=Recherche!$C$8),OR(Recherche!$C$9="",I222=Recherche!$C$9),OR(Recherche!$C$10="",G222&amp;""=Recherche!$C$10&amp;""),OR(Recherche!$C$11="",E222=Recherche!$C$11),OR(Recherche!$C$12="",ISNUMBER(SEARCH(Recherche!$C$12,M222&amp;" "&amp;F222)))),1,0)</f>
        <v>8</v>
      </c>
    </row>
    <row r="223" customFormat="false" ht="15" hidden="false" customHeight="false" outlineLevel="0" collapsed="false">
      <c r="A223" s="19"/>
      <c r="B223" s="19"/>
      <c r="C223" s="19"/>
      <c r="D223" s="19"/>
      <c r="E223" s="22"/>
      <c r="F223" s="19"/>
      <c r="G223" s="26" t="str">
        <f aca="false">IF(D223="","",IFERROR(VALUE(LEFT(D223,FIND(" |",D223&amp;" |")-1)),"?"))</f>
        <v/>
      </c>
      <c r="H223" s="27" t="str">
        <f aca="false">IF(G223="","",IF(G223="?","⚠ pub inconnue",IFERROR(INDEX(Pubs!$B$2:$B$3001,MATCH(G223,Pubs!$A$2:$A$3001,0))&amp;"","⚠ pub inconnue")))</f>
        <v/>
      </c>
      <c r="I223" s="27" t="str">
        <f aca="false">IF(OR(G223="",G223="?"),"",IFERROR(INDEX(Pubs!$C$2:$C$3001,MATCH(G223,Pubs!$A$2:$A$3001,0))&amp;"",""))</f>
        <v/>
      </c>
      <c r="J223" s="27" t="str">
        <f aca="false">IF(OR(G223="",G223="?"),"",IFERROR(INDEX(Pubs!$G$2:$G$3001,MATCH(G223,Pubs!$A$2:$A$3001,0))&amp;"",""))</f>
        <v/>
      </c>
      <c r="K223" s="28" t="str">
        <f aca="false">IF(OR(G223="",G223="?"),"",IFERROR(INDEX(Pubs!$E$2:$E$3001,MATCH(G223,Pubs!$A$2:$A$3001,0)),""))</f>
        <v/>
      </c>
      <c r="L223" s="29" t="str">
        <f aca="false">IF(A223="","",IFERROR(1/(1/INDEX(Numéros!$C$2:$C$3001,MATCH(A223&amp;"|"&amp;B223,Numéros!$F$2:$F$3001,0))),""))</f>
        <v/>
      </c>
      <c r="M223" s="27" t="str">
        <f aca="false">IF(OR(G223="",G223="?"),"",IFERROR(INDEX(Pubs!$D$2:$D$3001,MATCH(G223,Pubs!$A$2:$A$3001,0))&amp;"",""))</f>
        <v/>
      </c>
      <c r="N223" s="27" t="n">
        <f aca="false">N(N222)+IF(AND(A223&lt;&gt;"",OR(Recherche!$C$4="",A223=Recherche!$C$4),OR(Recherche!$C$5="",B223&amp;""=Recherche!$C$5&amp;""),OR(Recherche!$C$6="",IFERROR(YEAR(L223),0)=Recherche!$C$6),OR(Recherche!$C$7="",ISNUMBER(SEARCH(Recherche!$C$7,H223))),OR(Recherche!$C$8="",J223=Recherche!$C$8),OR(Recherche!$C$9="",I223=Recherche!$C$9),OR(Recherche!$C$10="",G223&amp;""=Recherche!$C$10&amp;""),OR(Recherche!$C$11="",E223=Recherche!$C$11),OR(Recherche!$C$12="",ISNUMBER(SEARCH(Recherche!$C$12,M223&amp;" "&amp;F223)))),1,0)</f>
        <v>8</v>
      </c>
    </row>
    <row r="224" customFormat="false" ht="15" hidden="false" customHeight="false" outlineLevel="0" collapsed="false">
      <c r="A224" s="19"/>
      <c r="B224" s="19"/>
      <c r="C224" s="19"/>
      <c r="D224" s="19"/>
      <c r="E224" s="22"/>
      <c r="F224" s="19"/>
      <c r="G224" s="26" t="str">
        <f aca="false">IF(D224="","",IFERROR(VALUE(LEFT(D224,FIND(" |",D224&amp;" |")-1)),"?"))</f>
        <v/>
      </c>
      <c r="H224" s="27" t="str">
        <f aca="false">IF(G224="","",IF(G224="?","⚠ pub inconnue",IFERROR(INDEX(Pubs!$B$2:$B$3001,MATCH(G224,Pubs!$A$2:$A$3001,0))&amp;"","⚠ pub inconnue")))</f>
        <v/>
      </c>
      <c r="I224" s="27" t="str">
        <f aca="false">IF(OR(G224="",G224="?"),"",IFERROR(INDEX(Pubs!$C$2:$C$3001,MATCH(G224,Pubs!$A$2:$A$3001,0))&amp;"",""))</f>
        <v/>
      </c>
      <c r="J224" s="27" t="str">
        <f aca="false">IF(OR(G224="",G224="?"),"",IFERROR(INDEX(Pubs!$G$2:$G$3001,MATCH(G224,Pubs!$A$2:$A$3001,0))&amp;"",""))</f>
        <v/>
      </c>
      <c r="K224" s="28" t="str">
        <f aca="false">IF(OR(G224="",G224="?"),"",IFERROR(INDEX(Pubs!$E$2:$E$3001,MATCH(G224,Pubs!$A$2:$A$3001,0)),""))</f>
        <v/>
      </c>
      <c r="L224" s="29" t="str">
        <f aca="false">IF(A224="","",IFERROR(1/(1/INDEX(Numéros!$C$2:$C$3001,MATCH(A224&amp;"|"&amp;B224,Numéros!$F$2:$F$3001,0))),""))</f>
        <v/>
      </c>
      <c r="M224" s="27" t="str">
        <f aca="false">IF(OR(G224="",G224="?"),"",IFERROR(INDEX(Pubs!$D$2:$D$3001,MATCH(G224,Pubs!$A$2:$A$3001,0))&amp;"",""))</f>
        <v/>
      </c>
      <c r="N224" s="27" t="n">
        <f aca="false">N(N223)+IF(AND(A224&lt;&gt;"",OR(Recherche!$C$4="",A224=Recherche!$C$4),OR(Recherche!$C$5="",B224&amp;""=Recherche!$C$5&amp;""),OR(Recherche!$C$6="",IFERROR(YEAR(L224),0)=Recherche!$C$6),OR(Recherche!$C$7="",ISNUMBER(SEARCH(Recherche!$C$7,H224))),OR(Recherche!$C$8="",J224=Recherche!$C$8),OR(Recherche!$C$9="",I224=Recherche!$C$9),OR(Recherche!$C$10="",G224&amp;""=Recherche!$C$10&amp;""),OR(Recherche!$C$11="",E224=Recherche!$C$11),OR(Recherche!$C$12="",ISNUMBER(SEARCH(Recherche!$C$12,M224&amp;" "&amp;F224)))),1,0)</f>
        <v>8</v>
      </c>
    </row>
    <row r="225" customFormat="false" ht="15" hidden="false" customHeight="false" outlineLevel="0" collapsed="false">
      <c r="A225" s="19"/>
      <c r="B225" s="19"/>
      <c r="C225" s="19"/>
      <c r="D225" s="19"/>
      <c r="E225" s="22"/>
      <c r="F225" s="19"/>
      <c r="G225" s="26" t="str">
        <f aca="false">IF(D225="","",IFERROR(VALUE(LEFT(D225,FIND(" |",D225&amp;" |")-1)),"?"))</f>
        <v/>
      </c>
      <c r="H225" s="27" t="str">
        <f aca="false">IF(G225="","",IF(G225="?","⚠ pub inconnue",IFERROR(INDEX(Pubs!$B$2:$B$3001,MATCH(G225,Pubs!$A$2:$A$3001,0))&amp;"","⚠ pub inconnue")))</f>
        <v/>
      </c>
      <c r="I225" s="27" t="str">
        <f aca="false">IF(OR(G225="",G225="?"),"",IFERROR(INDEX(Pubs!$C$2:$C$3001,MATCH(G225,Pubs!$A$2:$A$3001,0))&amp;"",""))</f>
        <v/>
      </c>
      <c r="J225" s="27" t="str">
        <f aca="false">IF(OR(G225="",G225="?"),"",IFERROR(INDEX(Pubs!$G$2:$G$3001,MATCH(G225,Pubs!$A$2:$A$3001,0))&amp;"",""))</f>
        <v/>
      </c>
      <c r="K225" s="28" t="str">
        <f aca="false">IF(OR(G225="",G225="?"),"",IFERROR(INDEX(Pubs!$E$2:$E$3001,MATCH(G225,Pubs!$A$2:$A$3001,0)),""))</f>
        <v/>
      </c>
      <c r="L225" s="29" t="str">
        <f aca="false">IF(A225="","",IFERROR(1/(1/INDEX(Numéros!$C$2:$C$3001,MATCH(A225&amp;"|"&amp;B225,Numéros!$F$2:$F$3001,0))),""))</f>
        <v/>
      </c>
      <c r="M225" s="27" t="str">
        <f aca="false">IF(OR(G225="",G225="?"),"",IFERROR(INDEX(Pubs!$D$2:$D$3001,MATCH(G225,Pubs!$A$2:$A$3001,0))&amp;"",""))</f>
        <v/>
      </c>
      <c r="N225" s="27" t="n">
        <f aca="false">N(N224)+IF(AND(A225&lt;&gt;"",OR(Recherche!$C$4="",A225=Recherche!$C$4),OR(Recherche!$C$5="",B225&amp;""=Recherche!$C$5&amp;""),OR(Recherche!$C$6="",IFERROR(YEAR(L225),0)=Recherche!$C$6),OR(Recherche!$C$7="",ISNUMBER(SEARCH(Recherche!$C$7,H225))),OR(Recherche!$C$8="",J225=Recherche!$C$8),OR(Recherche!$C$9="",I225=Recherche!$C$9),OR(Recherche!$C$10="",G225&amp;""=Recherche!$C$10&amp;""),OR(Recherche!$C$11="",E225=Recherche!$C$11),OR(Recherche!$C$12="",ISNUMBER(SEARCH(Recherche!$C$12,M225&amp;" "&amp;F225)))),1,0)</f>
        <v>8</v>
      </c>
    </row>
    <row r="226" customFormat="false" ht="15" hidden="false" customHeight="false" outlineLevel="0" collapsed="false">
      <c r="A226" s="19"/>
      <c r="B226" s="19"/>
      <c r="C226" s="19"/>
      <c r="D226" s="19"/>
      <c r="E226" s="22"/>
      <c r="F226" s="19"/>
      <c r="G226" s="26" t="str">
        <f aca="false">IF(D226="","",IFERROR(VALUE(LEFT(D226,FIND(" |",D226&amp;" |")-1)),"?"))</f>
        <v/>
      </c>
      <c r="H226" s="27" t="str">
        <f aca="false">IF(G226="","",IF(G226="?","⚠ pub inconnue",IFERROR(INDEX(Pubs!$B$2:$B$3001,MATCH(G226,Pubs!$A$2:$A$3001,0))&amp;"","⚠ pub inconnue")))</f>
        <v/>
      </c>
      <c r="I226" s="27" t="str">
        <f aca="false">IF(OR(G226="",G226="?"),"",IFERROR(INDEX(Pubs!$C$2:$C$3001,MATCH(G226,Pubs!$A$2:$A$3001,0))&amp;"",""))</f>
        <v/>
      </c>
      <c r="J226" s="27" t="str">
        <f aca="false">IF(OR(G226="",G226="?"),"",IFERROR(INDEX(Pubs!$G$2:$G$3001,MATCH(G226,Pubs!$A$2:$A$3001,0))&amp;"",""))</f>
        <v/>
      </c>
      <c r="K226" s="28" t="str">
        <f aca="false">IF(OR(G226="",G226="?"),"",IFERROR(INDEX(Pubs!$E$2:$E$3001,MATCH(G226,Pubs!$A$2:$A$3001,0)),""))</f>
        <v/>
      </c>
      <c r="L226" s="29" t="str">
        <f aca="false">IF(A226="","",IFERROR(1/(1/INDEX(Numéros!$C$2:$C$3001,MATCH(A226&amp;"|"&amp;B226,Numéros!$F$2:$F$3001,0))),""))</f>
        <v/>
      </c>
      <c r="M226" s="27" t="str">
        <f aca="false">IF(OR(G226="",G226="?"),"",IFERROR(INDEX(Pubs!$D$2:$D$3001,MATCH(G226,Pubs!$A$2:$A$3001,0))&amp;"",""))</f>
        <v/>
      </c>
      <c r="N226" s="27" t="n">
        <f aca="false">N(N225)+IF(AND(A226&lt;&gt;"",OR(Recherche!$C$4="",A226=Recherche!$C$4),OR(Recherche!$C$5="",B226&amp;""=Recherche!$C$5&amp;""),OR(Recherche!$C$6="",IFERROR(YEAR(L226),0)=Recherche!$C$6),OR(Recherche!$C$7="",ISNUMBER(SEARCH(Recherche!$C$7,H226))),OR(Recherche!$C$8="",J226=Recherche!$C$8),OR(Recherche!$C$9="",I226=Recherche!$C$9),OR(Recherche!$C$10="",G226&amp;""=Recherche!$C$10&amp;""),OR(Recherche!$C$11="",E226=Recherche!$C$11),OR(Recherche!$C$12="",ISNUMBER(SEARCH(Recherche!$C$12,M226&amp;" "&amp;F226)))),1,0)</f>
        <v>8</v>
      </c>
    </row>
    <row r="227" customFormat="false" ht="15" hidden="false" customHeight="false" outlineLevel="0" collapsed="false">
      <c r="A227" s="19"/>
      <c r="B227" s="19"/>
      <c r="C227" s="19"/>
      <c r="D227" s="19"/>
      <c r="E227" s="22"/>
      <c r="F227" s="19"/>
      <c r="G227" s="26" t="str">
        <f aca="false">IF(D227="","",IFERROR(VALUE(LEFT(D227,FIND(" |",D227&amp;" |")-1)),"?"))</f>
        <v/>
      </c>
      <c r="H227" s="27" t="str">
        <f aca="false">IF(G227="","",IF(G227="?","⚠ pub inconnue",IFERROR(INDEX(Pubs!$B$2:$B$3001,MATCH(G227,Pubs!$A$2:$A$3001,0))&amp;"","⚠ pub inconnue")))</f>
        <v/>
      </c>
      <c r="I227" s="27" t="str">
        <f aca="false">IF(OR(G227="",G227="?"),"",IFERROR(INDEX(Pubs!$C$2:$C$3001,MATCH(G227,Pubs!$A$2:$A$3001,0))&amp;"",""))</f>
        <v/>
      </c>
      <c r="J227" s="27" t="str">
        <f aca="false">IF(OR(G227="",G227="?"),"",IFERROR(INDEX(Pubs!$G$2:$G$3001,MATCH(G227,Pubs!$A$2:$A$3001,0))&amp;"",""))</f>
        <v/>
      </c>
      <c r="K227" s="28" t="str">
        <f aca="false">IF(OR(G227="",G227="?"),"",IFERROR(INDEX(Pubs!$E$2:$E$3001,MATCH(G227,Pubs!$A$2:$A$3001,0)),""))</f>
        <v/>
      </c>
      <c r="L227" s="29" t="str">
        <f aca="false">IF(A227="","",IFERROR(1/(1/INDEX(Numéros!$C$2:$C$3001,MATCH(A227&amp;"|"&amp;B227,Numéros!$F$2:$F$3001,0))),""))</f>
        <v/>
      </c>
      <c r="M227" s="27" t="str">
        <f aca="false">IF(OR(G227="",G227="?"),"",IFERROR(INDEX(Pubs!$D$2:$D$3001,MATCH(G227,Pubs!$A$2:$A$3001,0))&amp;"",""))</f>
        <v/>
      </c>
      <c r="N227" s="27" t="n">
        <f aca="false">N(N226)+IF(AND(A227&lt;&gt;"",OR(Recherche!$C$4="",A227=Recherche!$C$4),OR(Recherche!$C$5="",B227&amp;""=Recherche!$C$5&amp;""),OR(Recherche!$C$6="",IFERROR(YEAR(L227),0)=Recherche!$C$6),OR(Recherche!$C$7="",ISNUMBER(SEARCH(Recherche!$C$7,H227))),OR(Recherche!$C$8="",J227=Recherche!$C$8),OR(Recherche!$C$9="",I227=Recherche!$C$9),OR(Recherche!$C$10="",G227&amp;""=Recherche!$C$10&amp;""),OR(Recherche!$C$11="",E227=Recherche!$C$11),OR(Recherche!$C$12="",ISNUMBER(SEARCH(Recherche!$C$12,M227&amp;" "&amp;F227)))),1,0)</f>
        <v>8</v>
      </c>
    </row>
    <row r="228" customFormat="false" ht="15" hidden="false" customHeight="false" outlineLevel="0" collapsed="false">
      <c r="A228" s="19"/>
      <c r="B228" s="19"/>
      <c r="C228" s="19"/>
      <c r="D228" s="19"/>
      <c r="E228" s="22"/>
      <c r="F228" s="19"/>
      <c r="G228" s="26" t="str">
        <f aca="false">IF(D228="","",IFERROR(VALUE(LEFT(D228,FIND(" |",D228&amp;" |")-1)),"?"))</f>
        <v/>
      </c>
      <c r="H228" s="27" t="str">
        <f aca="false">IF(G228="","",IF(G228="?","⚠ pub inconnue",IFERROR(INDEX(Pubs!$B$2:$B$3001,MATCH(G228,Pubs!$A$2:$A$3001,0))&amp;"","⚠ pub inconnue")))</f>
        <v/>
      </c>
      <c r="I228" s="27" t="str">
        <f aca="false">IF(OR(G228="",G228="?"),"",IFERROR(INDEX(Pubs!$C$2:$C$3001,MATCH(G228,Pubs!$A$2:$A$3001,0))&amp;"",""))</f>
        <v/>
      </c>
      <c r="J228" s="27" t="str">
        <f aca="false">IF(OR(G228="",G228="?"),"",IFERROR(INDEX(Pubs!$G$2:$G$3001,MATCH(G228,Pubs!$A$2:$A$3001,0))&amp;"",""))</f>
        <v/>
      </c>
      <c r="K228" s="28" t="str">
        <f aca="false">IF(OR(G228="",G228="?"),"",IFERROR(INDEX(Pubs!$E$2:$E$3001,MATCH(G228,Pubs!$A$2:$A$3001,0)),""))</f>
        <v/>
      </c>
      <c r="L228" s="29" t="str">
        <f aca="false">IF(A228="","",IFERROR(1/(1/INDEX(Numéros!$C$2:$C$3001,MATCH(A228&amp;"|"&amp;B228,Numéros!$F$2:$F$3001,0))),""))</f>
        <v/>
      </c>
      <c r="M228" s="27" t="str">
        <f aca="false">IF(OR(G228="",G228="?"),"",IFERROR(INDEX(Pubs!$D$2:$D$3001,MATCH(G228,Pubs!$A$2:$A$3001,0))&amp;"",""))</f>
        <v/>
      </c>
      <c r="N228" s="27" t="n">
        <f aca="false">N(N227)+IF(AND(A228&lt;&gt;"",OR(Recherche!$C$4="",A228=Recherche!$C$4),OR(Recherche!$C$5="",B228&amp;""=Recherche!$C$5&amp;""),OR(Recherche!$C$6="",IFERROR(YEAR(L228),0)=Recherche!$C$6),OR(Recherche!$C$7="",ISNUMBER(SEARCH(Recherche!$C$7,H228))),OR(Recherche!$C$8="",J228=Recherche!$C$8),OR(Recherche!$C$9="",I228=Recherche!$C$9),OR(Recherche!$C$10="",G228&amp;""=Recherche!$C$10&amp;""),OR(Recherche!$C$11="",E228=Recherche!$C$11),OR(Recherche!$C$12="",ISNUMBER(SEARCH(Recherche!$C$12,M228&amp;" "&amp;F228)))),1,0)</f>
        <v>8</v>
      </c>
    </row>
    <row r="229" customFormat="false" ht="15" hidden="false" customHeight="false" outlineLevel="0" collapsed="false">
      <c r="A229" s="19"/>
      <c r="B229" s="19"/>
      <c r="C229" s="19"/>
      <c r="D229" s="19"/>
      <c r="E229" s="22"/>
      <c r="F229" s="19"/>
      <c r="G229" s="26" t="str">
        <f aca="false">IF(D229="","",IFERROR(VALUE(LEFT(D229,FIND(" |",D229&amp;" |")-1)),"?"))</f>
        <v/>
      </c>
      <c r="H229" s="27" t="str">
        <f aca="false">IF(G229="","",IF(G229="?","⚠ pub inconnue",IFERROR(INDEX(Pubs!$B$2:$B$3001,MATCH(G229,Pubs!$A$2:$A$3001,0))&amp;"","⚠ pub inconnue")))</f>
        <v/>
      </c>
      <c r="I229" s="27" t="str">
        <f aca="false">IF(OR(G229="",G229="?"),"",IFERROR(INDEX(Pubs!$C$2:$C$3001,MATCH(G229,Pubs!$A$2:$A$3001,0))&amp;"",""))</f>
        <v/>
      </c>
      <c r="J229" s="27" t="str">
        <f aca="false">IF(OR(G229="",G229="?"),"",IFERROR(INDEX(Pubs!$G$2:$G$3001,MATCH(G229,Pubs!$A$2:$A$3001,0))&amp;"",""))</f>
        <v/>
      </c>
      <c r="K229" s="28" t="str">
        <f aca="false">IF(OR(G229="",G229="?"),"",IFERROR(INDEX(Pubs!$E$2:$E$3001,MATCH(G229,Pubs!$A$2:$A$3001,0)),""))</f>
        <v/>
      </c>
      <c r="L229" s="29" t="str">
        <f aca="false">IF(A229="","",IFERROR(1/(1/INDEX(Numéros!$C$2:$C$3001,MATCH(A229&amp;"|"&amp;B229,Numéros!$F$2:$F$3001,0))),""))</f>
        <v/>
      </c>
      <c r="M229" s="27" t="str">
        <f aca="false">IF(OR(G229="",G229="?"),"",IFERROR(INDEX(Pubs!$D$2:$D$3001,MATCH(G229,Pubs!$A$2:$A$3001,0))&amp;"",""))</f>
        <v/>
      </c>
      <c r="N229" s="27" t="n">
        <f aca="false">N(N228)+IF(AND(A229&lt;&gt;"",OR(Recherche!$C$4="",A229=Recherche!$C$4),OR(Recherche!$C$5="",B229&amp;""=Recherche!$C$5&amp;""),OR(Recherche!$C$6="",IFERROR(YEAR(L229),0)=Recherche!$C$6),OR(Recherche!$C$7="",ISNUMBER(SEARCH(Recherche!$C$7,H229))),OR(Recherche!$C$8="",J229=Recherche!$C$8),OR(Recherche!$C$9="",I229=Recherche!$C$9),OR(Recherche!$C$10="",G229&amp;""=Recherche!$C$10&amp;""),OR(Recherche!$C$11="",E229=Recherche!$C$11),OR(Recherche!$C$12="",ISNUMBER(SEARCH(Recherche!$C$12,M229&amp;" "&amp;F229)))),1,0)</f>
        <v>8</v>
      </c>
    </row>
    <row r="230" customFormat="false" ht="15" hidden="false" customHeight="false" outlineLevel="0" collapsed="false">
      <c r="A230" s="19"/>
      <c r="B230" s="19"/>
      <c r="C230" s="19"/>
      <c r="D230" s="19"/>
      <c r="E230" s="22"/>
      <c r="F230" s="19"/>
      <c r="G230" s="26" t="str">
        <f aca="false">IF(D230="","",IFERROR(VALUE(LEFT(D230,FIND(" |",D230&amp;" |")-1)),"?"))</f>
        <v/>
      </c>
      <c r="H230" s="27" t="str">
        <f aca="false">IF(G230="","",IF(G230="?","⚠ pub inconnue",IFERROR(INDEX(Pubs!$B$2:$B$3001,MATCH(G230,Pubs!$A$2:$A$3001,0))&amp;"","⚠ pub inconnue")))</f>
        <v/>
      </c>
      <c r="I230" s="27" t="str">
        <f aca="false">IF(OR(G230="",G230="?"),"",IFERROR(INDEX(Pubs!$C$2:$C$3001,MATCH(G230,Pubs!$A$2:$A$3001,0))&amp;"",""))</f>
        <v/>
      </c>
      <c r="J230" s="27" t="str">
        <f aca="false">IF(OR(G230="",G230="?"),"",IFERROR(INDEX(Pubs!$G$2:$G$3001,MATCH(G230,Pubs!$A$2:$A$3001,0))&amp;"",""))</f>
        <v/>
      </c>
      <c r="K230" s="28" t="str">
        <f aca="false">IF(OR(G230="",G230="?"),"",IFERROR(INDEX(Pubs!$E$2:$E$3001,MATCH(G230,Pubs!$A$2:$A$3001,0)),""))</f>
        <v/>
      </c>
      <c r="L230" s="29" t="str">
        <f aca="false">IF(A230="","",IFERROR(1/(1/INDEX(Numéros!$C$2:$C$3001,MATCH(A230&amp;"|"&amp;B230,Numéros!$F$2:$F$3001,0))),""))</f>
        <v/>
      </c>
      <c r="M230" s="27" t="str">
        <f aca="false">IF(OR(G230="",G230="?"),"",IFERROR(INDEX(Pubs!$D$2:$D$3001,MATCH(G230,Pubs!$A$2:$A$3001,0))&amp;"",""))</f>
        <v/>
      </c>
      <c r="N230" s="27" t="n">
        <f aca="false">N(N229)+IF(AND(A230&lt;&gt;"",OR(Recherche!$C$4="",A230=Recherche!$C$4),OR(Recherche!$C$5="",B230&amp;""=Recherche!$C$5&amp;""),OR(Recherche!$C$6="",IFERROR(YEAR(L230),0)=Recherche!$C$6),OR(Recherche!$C$7="",ISNUMBER(SEARCH(Recherche!$C$7,H230))),OR(Recherche!$C$8="",J230=Recherche!$C$8),OR(Recherche!$C$9="",I230=Recherche!$C$9),OR(Recherche!$C$10="",G230&amp;""=Recherche!$C$10&amp;""),OR(Recherche!$C$11="",E230=Recherche!$C$11),OR(Recherche!$C$12="",ISNUMBER(SEARCH(Recherche!$C$12,M230&amp;" "&amp;F230)))),1,0)</f>
        <v>8</v>
      </c>
    </row>
    <row r="231" customFormat="false" ht="15" hidden="false" customHeight="false" outlineLevel="0" collapsed="false">
      <c r="A231" s="19"/>
      <c r="B231" s="19"/>
      <c r="C231" s="19"/>
      <c r="D231" s="19"/>
      <c r="E231" s="22"/>
      <c r="F231" s="19"/>
      <c r="G231" s="26" t="str">
        <f aca="false">IF(D231="","",IFERROR(VALUE(LEFT(D231,FIND(" |",D231&amp;" |")-1)),"?"))</f>
        <v/>
      </c>
      <c r="H231" s="27" t="str">
        <f aca="false">IF(G231="","",IF(G231="?","⚠ pub inconnue",IFERROR(INDEX(Pubs!$B$2:$B$3001,MATCH(G231,Pubs!$A$2:$A$3001,0))&amp;"","⚠ pub inconnue")))</f>
        <v/>
      </c>
      <c r="I231" s="27" t="str">
        <f aca="false">IF(OR(G231="",G231="?"),"",IFERROR(INDEX(Pubs!$C$2:$C$3001,MATCH(G231,Pubs!$A$2:$A$3001,0))&amp;"",""))</f>
        <v/>
      </c>
      <c r="J231" s="27" t="str">
        <f aca="false">IF(OR(G231="",G231="?"),"",IFERROR(INDEX(Pubs!$G$2:$G$3001,MATCH(G231,Pubs!$A$2:$A$3001,0))&amp;"",""))</f>
        <v/>
      </c>
      <c r="K231" s="28" t="str">
        <f aca="false">IF(OR(G231="",G231="?"),"",IFERROR(INDEX(Pubs!$E$2:$E$3001,MATCH(G231,Pubs!$A$2:$A$3001,0)),""))</f>
        <v/>
      </c>
      <c r="L231" s="29" t="str">
        <f aca="false">IF(A231="","",IFERROR(1/(1/INDEX(Numéros!$C$2:$C$3001,MATCH(A231&amp;"|"&amp;B231,Numéros!$F$2:$F$3001,0))),""))</f>
        <v/>
      </c>
      <c r="M231" s="27" t="str">
        <f aca="false">IF(OR(G231="",G231="?"),"",IFERROR(INDEX(Pubs!$D$2:$D$3001,MATCH(G231,Pubs!$A$2:$A$3001,0))&amp;"",""))</f>
        <v/>
      </c>
      <c r="N231" s="27" t="n">
        <f aca="false">N(N230)+IF(AND(A231&lt;&gt;"",OR(Recherche!$C$4="",A231=Recherche!$C$4),OR(Recherche!$C$5="",B231&amp;""=Recherche!$C$5&amp;""),OR(Recherche!$C$6="",IFERROR(YEAR(L231),0)=Recherche!$C$6),OR(Recherche!$C$7="",ISNUMBER(SEARCH(Recherche!$C$7,H231))),OR(Recherche!$C$8="",J231=Recherche!$C$8),OR(Recherche!$C$9="",I231=Recherche!$C$9),OR(Recherche!$C$10="",G231&amp;""=Recherche!$C$10&amp;""),OR(Recherche!$C$11="",E231=Recherche!$C$11),OR(Recherche!$C$12="",ISNUMBER(SEARCH(Recherche!$C$12,M231&amp;" "&amp;F231)))),1,0)</f>
        <v>8</v>
      </c>
    </row>
    <row r="232" customFormat="false" ht="15" hidden="false" customHeight="false" outlineLevel="0" collapsed="false">
      <c r="A232" s="19"/>
      <c r="B232" s="19"/>
      <c r="C232" s="19"/>
      <c r="D232" s="19"/>
      <c r="E232" s="22"/>
      <c r="F232" s="19"/>
      <c r="G232" s="26" t="str">
        <f aca="false">IF(D232="","",IFERROR(VALUE(LEFT(D232,FIND(" |",D232&amp;" |")-1)),"?"))</f>
        <v/>
      </c>
      <c r="H232" s="27" t="str">
        <f aca="false">IF(G232="","",IF(G232="?","⚠ pub inconnue",IFERROR(INDEX(Pubs!$B$2:$B$3001,MATCH(G232,Pubs!$A$2:$A$3001,0))&amp;"","⚠ pub inconnue")))</f>
        <v/>
      </c>
      <c r="I232" s="27" t="str">
        <f aca="false">IF(OR(G232="",G232="?"),"",IFERROR(INDEX(Pubs!$C$2:$C$3001,MATCH(G232,Pubs!$A$2:$A$3001,0))&amp;"",""))</f>
        <v/>
      </c>
      <c r="J232" s="27" t="str">
        <f aca="false">IF(OR(G232="",G232="?"),"",IFERROR(INDEX(Pubs!$G$2:$G$3001,MATCH(G232,Pubs!$A$2:$A$3001,0))&amp;"",""))</f>
        <v/>
      </c>
      <c r="K232" s="28" t="str">
        <f aca="false">IF(OR(G232="",G232="?"),"",IFERROR(INDEX(Pubs!$E$2:$E$3001,MATCH(G232,Pubs!$A$2:$A$3001,0)),""))</f>
        <v/>
      </c>
      <c r="L232" s="29" t="str">
        <f aca="false">IF(A232="","",IFERROR(1/(1/INDEX(Numéros!$C$2:$C$3001,MATCH(A232&amp;"|"&amp;B232,Numéros!$F$2:$F$3001,0))),""))</f>
        <v/>
      </c>
      <c r="M232" s="27" t="str">
        <f aca="false">IF(OR(G232="",G232="?"),"",IFERROR(INDEX(Pubs!$D$2:$D$3001,MATCH(G232,Pubs!$A$2:$A$3001,0))&amp;"",""))</f>
        <v/>
      </c>
      <c r="N232" s="27" t="n">
        <f aca="false">N(N231)+IF(AND(A232&lt;&gt;"",OR(Recherche!$C$4="",A232=Recherche!$C$4),OR(Recherche!$C$5="",B232&amp;""=Recherche!$C$5&amp;""),OR(Recherche!$C$6="",IFERROR(YEAR(L232),0)=Recherche!$C$6),OR(Recherche!$C$7="",ISNUMBER(SEARCH(Recherche!$C$7,H232))),OR(Recherche!$C$8="",J232=Recherche!$C$8),OR(Recherche!$C$9="",I232=Recherche!$C$9),OR(Recherche!$C$10="",G232&amp;""=Recherche!$C$10&amp;""),OR(Recherche!$C$11="",E232=Recherche!$C$11),OR(Recherche!$C$12="",ISNUMBER(SEARCH(Recherche!$C$12,M232&amp;" "&amp;F232)))),1,0)</f>
        <v>8</v>
      </c>
    </row>
    <row r="233" customFormat="false" ht="15" hidden="false" customHeight="false" outlineLevel="0" collapsed="false">
      <c r="A233" s="19"/>
      <c r="B233" s="19"/>
      <c r="C233" s="19"/>
      <c r="D233" s="19"/>
      <c r="E233" s="22"/>
      <c r="F233" s="19"/>
      <c r="G233" s="26" t="str">
        <f aca="false">IF(D233="","",IFERROR(VALUE(LEFT(D233,FIND(" |",D233&amp;" |")-1)),"?"))</f>
        <v/>
      </c>
      <c r="H233" s="27" t="str">
        <f aca="false">IF(G233="","",IF(G233="?","⚠ pub inconnue",IFERROR(INDEX(Pubs!$B$2:$B$3001,MATCH(G233,Pubs!$A$2:$A$3001,0))&amp;"","⚠ pub inconnue")))</f>
        <v/>
      </c>
      <c r="I233" s="27" t="str">
        <f aca="false">IF(OR(G233="",G233="?"),"",IFERROR(INDEX(Pubs!$C$2:$C$3001,MATCH(G233,Pubs!$A$2:$A$3001,0))&amp;"",""))</f>
        <v/>
      </c>
      <c r="J233" s="27" t="str">
        <f aca="false">IF(OR(G233="",G233="?"),"",IFERROR(INDEX(Pubs!$G$2:$G$3001,MATCH(G233,Pubs!$A$2:$A$3001,0))&amp;"",""))</f>
        <v/>
      </c>
      <c r="K233" s="28" t="str">
        <f aca="false">IF(OR(G233="",G233="?"),"",IFERROR(INDEX(Pubs!$E$2:$E$3001,MATCH(G233,Pubs!$A$2:$A$3001,0)),""))</f>
        <v/>
      </c>
      <c r="L233" s="29" t="str">
        <f aca="false">IF(A233="","",IFERROR(1/(1/INDEX(Numéros!$C$2:$C$3001,MATCH(A233&amp;"|"&amp;B233,Numéros!$F$2:$F$3001,0))),""))</f>
        <v/>
      </c>
      <c r="M233" s="27" t="str">
        <f aca="false">IF(OR(G233="",G233="?"),"",IFERROR(INDEX(Pubs!$D$2:$D$3001,MATCH(G233,Pubs!$A$2:$A$3001,0))&amp;"",""))</f>
        <v/>
      </c>
      <c r="N233" s="27" t="n">
        <f aca="false">N(N232)+IF(AND(A233&lt;&gt;"",OR(Recherche!$C$4="",A233=Recherche!$C$4),OR(Recherche!$C$5="",B233&amp;""=Recherche!$C$5&amp;""),OR(Recherche!$C$6="",IFERROR(YEAR(L233),0)=Recherche!$C$6),OR(Recherche!$C$7="",ISNUMBER(SEARCH(Recherche!$C$7,H233))),OR(Recherche!$C$8="",J233=Recherche!$C$8),OR(Recherche!$C$9="",I233=Recherche!$C$9),OR(Recherche!$C$10="",G233&amp;""=Recherche!$C$10&amp;""),OR(Recherche!$C$11="",E233=Recherche!$C$11),OR(Recherche!$C$12="",ISNUMBER(SEARCH(Recherche!$C$12,M233&amp;" "&amp;F233)))),1,0)</f>
        <v>8</v>
      </c>
    </row>
    <row r="234" customFormat="false" ht="15" hidden="false" customHeight="false" outlineLevel="0" collapsed="false">
      <c r="A234" s="19"/>
      <c r="B234" s="19"/>
      <c r="C234" s="19"/>
      <c r="D234" s="19"/>
      <c r="E234" s="22"/>
      <c r="F234" s="19"/>
      <c r="G234" s="26" t="str">
        <f aca="false">IF(D234="","",IFERROR(VALUE(LEFT(D234,FIND(" |",D234&amp;" |")-1)),"?"))</f>
        <v/>
      </c>
      <c r="H234" s="27" t="str">
        <f aca="false">IF(G234="","",IF(G234="?","⚠ pub inconnue",IFERROR(INDEX(Pubs!$B$2:$B$3001,MATCH(G234,Pubs!$A$2:$A$3001,0))&amp;"","⚠ pub inconnue")))</f>
        <v/>
      </c>
      <c r="I234" s="27" t="str">
        <f aca="false">IF(OR(G234="",G234="?"),"",IFERROR(INDEX(Pubs!$C$2:$C$3001,MATCH(G234,Pubs!$A$2:$A$3001,0))&amp;"",""))</f>
        <v/>
      </c>
      <c r="J234" s="27" t="str">
        <f aca="false">IF(OR(G234="",G234="?"),"",IFERROR(INDEX(Pubs!$G$2:$G$3001,MATCH(G234,Pubs!$A$2:$A$3001,0))&amp;"",""))</f>
        <v/>
      </c>
      <c r="K234" s="28" t="str">
        <f aca="false">IF(OR(G234="",G234="?"),"",IFERROR(INDEX(Pubs!$E$2:$E$3001,MATCH(G234,Pubs!$A$2:$A$3001,0)),""))</f>
        <v/>
      </c>
      <c r="L234" s="29" t="str">
        <f aca="false">IF(A234="","",IFERROR(1/(1/INDEX(Numéros!$C$2:$C$3001,MATCH(A234&amp;"|"&amp;B234,Numéros!$F$2:$F$3001,0))),""))</f>
        <v/>
      </c>
      <c r="M234" s="27" t="str">
        <f aca="false">IF(OR(G234="",G234="?"),"",IFERROR(INDEX(Pubs!$D$2:$D$3001,MATCH(G234,Pubs!$A$2:$A$3001,0))&amp;"",""))</f>
        <v/>
      </c>
      <c r="N234" s="27" t="n">
        <f aca="false">N(N233)+IF(AND(A234&lt;&gt;"",OR(Recherche!$C$4="",A234=Recherche!$C$4),OR(Recherche!$C$5="",B234&amp;""=Recherche!$C$5&amp;""),OR(Recherche!$C$6="",IFERROR(YEAR(L234),0)=Recherche!$C$6),OR(Recherche!$C$7="",ISNUMBER(SEARCH(Recherche!$C$7,H234))),OR(Recherche!$C$8="",J234=Recherche!$C$8),OR(Recherche!$C$9="",I234=Recherche!$C$9),OR(Recherche!$C$10="",G234&amp;""=Recherche!$C$10&amp;""),OR(Recherche!$C$11="",E234=Recherche!$C$11),OR(Recherche!$C$12="",ISNUMBER(SEARCH(Recherche!$C$12,M234&amp;" "&amp;F234)))),1,0)</f>
        <v>8</v>
      </c>
    </row>
    <row r="235" customFormat="false" ht="15" hidden="false" customHeight="false" outlineLevel="0" collapsed="false">
      <c r="A235" s="19"/>
      <c r="B235" s="19"/>
      <c r="C235" s="19"/>
      <c r="D235" s="19"/>
      <c r="E235" s="22"/>
      <c r="F235" s="19"/>
      <c r="G235" s="26" t="str">
        <f aca="false">IF(D235="","",IFERROR(VALUE(LEFT(D235,FIND(" |",D235&amp;" |")-1)),"?"))</f>
        <v/>
      </c>
      <c r="H235" s="27" t="str">
        <f aca="false">IF(G235="","",IF(G235="?","⚠ pub inconnue",IFERROR(INDEX(Pubs!$B$2:$B$3001,MATCH(G235,Pubs!$A$2:$A$3001,0))&amp;"","⚠ pub inconnue")))</f>
        <v/>
      </c>
      <c r="I235" s="27" t="str">
        <f aca="false">IF(OR(G235="",G235="?"),"",IFERROR(INDEX(Pubs!$C$2:$C$3001,MATCH(G235,Pubs!$A$2:$A$3001,0))&amp;"",""))</f>
        <v/>
      </c>
      <c r="J235" s="27" t="str">
        <f aca="false">IF(OR(G235="",G235="?"),"",IFERROR(INDEX(Pubs!$G$2:$G$3001,MATCH(G235,Pubs!$A$2:$A$3001,0))&amp;"",""))</f>
        <v/>
      </c>
      <c r="K235" s="28" t="str">
        <f aca="false">IF(OR(G235="",G235="?"),"",IFERROR(INDEX(Pubs!$E$2:$E$3001,MATCH(G235,Pubs!$A$2:$A$3001,0)),""))</f>
        <v/>
      </c>
      <c r="L235" s="29" t="str">
        <f aca="false">IF(A235="","",IFERROR(1/(1/INDEX(Numéros!$C$2:$C$3001,MATCH(A235&amp;"|"&amp;B235,Numéros!$F$2:$F$3001,0))),""))</f>
        <v/>
      </c>
      <c r="M235" s="27" t="str">
        <f aca="false">IF(OR(G235="",G235="?"),"",IFERROR(INDEX(Pubs!$D$2:$D$3001,MATCH(G235,Pubs!$A$2:$A$3001,0))&amp;"",""))</f>
        <v/>
      </c>
      <c r="N235" s="27" t="n">
        <f aca="false">N(N234)+IF(AND(A235&lt;&gt;"",OR(Recherche!$C$4="",A235=Recherche!$C$4),OR(Recherche!$C$5="",B235&amp;""=Recherche!$C$5&amp;""),OR(Recherche!$C$6="",IFERROR(YEAR(L235),0)=Recherche!$C$6),OR(Recherche!$C$7="",ISNUMBER(SEARCH(Recherche!$C$7,H235))),OR(Recherche!$C$8="",J235=Recherche!$C$8),OR(Recherche!$C$9="",I235=Recherche!$C$9),OR(Recherche!$C$10="",G235&amp;""=Recherche!$C$10&amp;""),OR(Recherche!$C$11="",E235=Recherche!$C$11),OR(Recherche!$C$12="",ISNUMBER(SEARCH(Recherche!$C$12,M235&amp;" "&amp;F235)))),1,0)</f>
        <v>8</v>
      </c>
    </row>
    <row r="236" customFormat="false" ht="15" hidden="false" customHeight="false" outlineLevel="0" collapsed="false">
      <c r="A236" s="19"/>
      <c r="B236" s="19"/>
      <c r="C236" s="19"/>
      <c r="D236" s="19"/>
      <c r="E236" s="22"/>
      <c r="F236" s="19"/>
      <c r="G236" s="26" t="str">
        <f aca="false">IF(D236="","",IFERROR(VALUE(LEFT(D236,FIND(" |",D236&amp;" |")-1)),"?"))</f>
        <v/>
      </c>
      <c r="H236" s="27" t="str">
        <f aca="false">IF(G236="","",IF(G236="?","⚠ pub inconnue",IFERROR(INDEX(Pubs!$B$2:$B$3001,MATCH(G236,Pubs!$A$2:$A$3001,0))&amp;"","⚠ pub inconnue")))</f>
        <v/>
      </c>
      <c r="I236" s="27" t="str">
        <f aca="false">IF(OR(G236="",G236="?"),"",IFERROR(INDEX(Pubs!$C$2:$C$3001,MATCH(G236,Pubs!$A$2:$A$3001,0))&amp;"",""))</f>
        <v/>
      </c>
      <c r="J236" s="27" t="str">
        <f aca="false">IF(OR(G236="",G236="?"),"",IFERROR(INDEX(Pubs!$G$2:$G$3001,MATCH(G236,Pubs!$A$2:$A$3001,0))&amp;"",""))</f>
        <v/>
      </c>
      <c r="K236" s="28" t="str">
        <f aca="false">IF(OR(G236="",G236="?"),"",IFERROR(INDEX(Pubs!$E$2:$E$3001,MATCH(G236,Pubs!$A$2:$A$3001,0)),""))</f>
        <v/>
      </c>
      <c r="L236" s="29" t="str">
        <f aca="false">IF(A236="","",IFERROR(1/(1/INDEX(Numéros!$C$2:$C$3001,MATCH(A236&amp;"|"&amp;B236,Numéros!$F$2:$F$3001,0))),""))</f>
        <v/>
      </c>
      <c r="M236" s="27" t="str">
        <f aca="false">IF(OR(G236="",G236="?"),"",IFERROR(INDEX(Pubs!$D$2:$D$3001,MATCH(G236,Pubs!$A$2:$A$3001,0))&amp;"",""))</f>
        <v/>
      </c>
      <c r="N236" s="27" t="n">
        <f aca="false">N(N235)+IF(AND(A236&lt;&gt;"",OR(Recherche!$C$4="",A236=Recherche!$C$4),OR(Recherche!$C$5="",B236&amp;""=Recherche!$C$5&amp;""),OR(Recherche!$C$6="",IFERROR(YEAR(L236),0)=Recherche!$C$6),OR(Recherche!$C$7="",ISNUMBER(SEARCH(Recherche!$C$7,H236))),OR(Recherche!$C$8="",J236=Recherche!$C$8),OR(Recherche!$C$9="",I236=Recherche!$C$9),OR(Recherche!$C$10="",G236&amp;""=Recherche!$C$10&amp;""),OR(Recherche!$C$11="",E236=Recherche!$C$11),OR(Recherche!$C$12="",ISNUMBER(SEARCH(Recherche!$C$12,M236&amp;" "&amp;F236)))),1,0)</f>
        <v>8</v>
      </c>
    </row>
    <row r="237" customFormat="false" ht="15" hidden="false" customHeight="false" outlineLevel="0" collapsed="false">
      <c r="A237" s="19"/>
      <c r="B237" s="19"/>
      <c r="C237" s="19"/>
      <c r="D237" s="19"/>
      <c r="E237" s="22"/>
      <c r="F237" s="19"/>
      <c r="G237" s="26" t="str">
        <f aca="false">IF(D237="","",IFERROR(VALUE(LEFT(D237,FIND(" |",D237&amp;" |")-1)),"?"))</f>
        <v/>
      </c>
      <c r="H237" s="27" t="str">
        <f aca="false">IF(G237="","",IF(G237="?","⚠ pub inconnue",IFERROR(INDEX(Pubs!$B$2:$B$3001,MATCH(G237,Pubs!$A$2:$A$3001,0))&amp;"","⚠ pub inconnue")))</f>
        <v/>
      </c>
      <c r="I237" s="27" t="str">
        <f aca="false">IF(OR(G237="",G237="?"),"",IFERROR(INDEX(Pubs!$C$2:$C$3001,MATCH(G237,Pubs!$A$2:$A$3001,0))&amp;"",""))</f>
        <v/>
      </c>
      <c r="J237" s="27" t="str">
        <f aca="false">IF(OR(G237="",G237="?"),"",IFERROR(INDEX(Pubs!$G$2:$G$3001,MATCH(G237,Pubs!$A$2:$A$3001,0))&amp;"",""))</f>
        <v/>
      </c>
      <c r="K237" s="28" t="str">
        <f aca="false">IF(OR(G237="",G237="?"),"",IFERROR(INDEX(Pubs!$E$2:$E$3001,MATCH(G237,Pubs!$A$2:$A$3001,0)),""))</f>
        <v/>
      </c>
      <c r="L237" s="29" t="str">
        <f aca="false">IF(A237="","",IFERROR(1/(1/INDEX(Numéros!$C$2:$C$3001,MATCH(A237&amp;"|"&amp;B237,Numéros!$F$2:$F$3001,0))),""))</f>
        <v/>
      </c>
      <c r="M237" s="27" t="str">
        <f aca="false">IF(OR(G237="",G237="?"),"",IFERROR(INDEX(Pubs!$D$2:$D$3001,MATCH(G237,Pubs!$A$2:$A$3001,0))&amp;"",""))</f>
        <v/>
      </c>
      <c r="N237" s="27" t="n">
        <f aca="false">N(N236)+IF(AND(A237&lt;&gt;"",OR(Recherche!$C$4="",A237=Recherche!$C$4),OR(Recherche!$C$5="",B237&amp;""=Recherche!$C$5&amp;""),OR(Recherche!$C$6="",IFERROR(YEAR(L237),0)=Recherche!$C$6),OR(Recherche!$C$7="",ISNUMBER(SEARCH(Recherche!$C$7,H237))),OR(Recherche!$C$8="",J237=Recherche!$C$8),OR(Recherche!$C$9="",I237=Recherche!$C$9),OR(Recherche!$C$10="",G237&amp;""=Recherche!$C$10&amp;""),OR(Recherche!$C$11="",E237=Recherche!$C$11),OR(Recherche!$C$12="",ISNUMBER(SEARCH(Recherche!$C$12,M237&amp;" "&amp;F237)))),1,0)</f>
        <v>8</v>
      </c>
    </row>
    <row r="238" customFormat="false" ht="15" hidden="false" customHeight="false" outlineLevel="0" collapsed="false">
      <c r="A238" s="19"/>
      <c r="B238" s="19"/>
      <c r="C238" s="19"/>
      <c r="D238" s="19"/>
      <c r="E238" s="22"/>
      <c r="F238" s="19"/>
      <c r="G238" s="26" t="str">
        <f aca="false">IF(D238="","",IFERROR(VALUE(LEFT(D238,FIND(" |",D238&amp;" |")-1)),"?"))</f>
        <v/>
      </c>
      <c r="H238" s="27" t="str">
        <f aca="false">IF(G238="","",IF(G238="?","⚠ pub inconnue",IFERROR(INDEX(Pubs!$B$2:$B$3001,MATCH(G238,Pubs!$A$2:$A$3001,0))&amp;"","⚠ pub inconnue")))</f>
        <v/>
      </c>
      <c r="I238" s="27" t="str">
        <f aca="false">IF(OR(G238="",G238="?"),"",IFERROR(INDEX(Pubs!$C$2:$C$3001,MATCH(G238,Pubs!$A$2:$A$3001,0))&amp;"",""))</f>
        <v/>
      </c>
      <c r="J238" s="27" t="str">
        <f aca="false">IF(OR(G238="",G238="?"),"",IFERROR(INDEX(Pubs!$G$2:$G$3001,MATCH(G238,Pubs!$A$2:$A$3001,0))&amp;"",""))</f>
        <v/>
      </c>
      <c r="K238" s="28" t="str">
        <f aca="false">IF(OR(G238="",G238="?"),"",IFERROR(INDEX(Pubs!$E$2:$E$3001,MATCH(G238,Pubs!$A$2:$A$3001,0)),""))</f>
        <v/>
      </c>
      <c r="L238" s="29" t="str">
        <f aca="false">IF(A238="","",IFERROR(1/(1/INDEX(Numéros!$C$2:$C$3001,MATCH(A238&amp;"|"&amp;B238,Numéros!$F$2:$F$3001,0))),""))</f>
        <v/>
      </c>
      <c r="M238" s="27" t="str">
        <f aca="false">IF(OR(G238="",G238="?"),"",IFERROR(INDEX(Pubs!$D$2:$D$3001,MATCH(G238,Pubs!$A$2:$A$3001,0))&amp;"",""))</f>
        <v/>
      </c>
      <c r="N238" s="27" t="n">
        <f aca="false">N(N237)+IF(AND(A238&lt;&gt;"",OR(Recherche!$C$4="",A238=Recherche!$C$4),OR(Recherche!$C$5="",B238&amp;""=Recherche!$C$5&amp;""),OR(Recherche!$C$6="",IFERROR(YEAR(L238),0)=Recherche!$C$6),OR(Recherche!$C$7="",ISNUMBER(SEARCH(Recherche!$C$7,H238))),OR(Recherche!$C$8="",J238=Recherche!$C$8),OR(Recherche!$C$9="",I238=Recherche!$C$9),OR(Recherche!$C$10="",G238&amp;""=Recherche!$C$10&amp;""),OR(Recherche!$C$11="",E238=Recherche!$C$11),OR(Recherche!$C$12="",ISNUMBER(SEARCH(Recherche!$C$12,M238&amp;" "&amp;F238)))),1,0)</f>
        <v>8</v>
      </c>
    </row>
    <row r="239" customFormat="false" ht="15" hidden="false" customHeight="false" outlineLevel="0" collapsed="false">
      <c r="A239" s="19"/>
      <c r="B239" s="19"/>
      <c r="C239" s="19"/>
      <c r="D239" s="19"/>
      <c r="E239" s="22"/>
      <c r="F239" s="19"/>
      <c r="G239" s="26" t="str">
        <f aca="false">IF(D239="","",IFERROR(VALUE(LEFT(D239,FIND(" |",D239&amp;" |")-1)),"?"))</f>
        <v/>
      </c>
      <c r="H239" s="27" t="str">
        <f aca="false">IF(G239="","",IF(G239="?","⚠ pub inconnue",IFERROR(INDEX(Pubs!$B$2:$B$3001,MATCH(G239,Pubs!$A$2:$A$3001,0))&amp;"","⚠ pub inconnue")))</f>
        <v/>
      </c>
      <c r="I239" s="27" t="str">
        <f aca="false">IF(OR(G239="",G239="?"),"",IFERROR(INDEX(Pubs!$C$2:$C$3001,MATCH(G239,Pubs!$A$2:$A$3001,0))&amp;"",""))</f>
        <v/>
      </c>
      <c r="J239" s="27" t="str">
        <f aca="false">IF(OR(G239="",G239="?"),"",IFERROR(INDEX(Pubs!$G$2:$G$3001,MATCH(G239,Pubs!$A$2:$A$3001,0))&amp;"",""))</f>
        <v/>
      </c>
      <c r="K239" s="28" t="str">
        <f aca="false">IF(OR(G239="",G239="?"),"",IFERROR(INDEX(Pubs!$E$2:$E$3001,MATCH(G239,Pubs!$A$2:$A$3001,0)),""))</f>
        <v/>
      </c>
      <c r="L239" s="29" t="str">
        <f aca="false">IF(A239="","",IFERROR(1/(1/INDEX(Numéros!$C$2:$C$3001,MATCH(A239&amp;"|"&amp;B239,Numéros!$F$2:$F$3001,0))),""))</f>
        <v/>
      </c>
      <c r="M239" s="27" t="str">
        <f aca="false">IF(OR(G239="",G239="?"),"",IFERROR(INDEX(Pubs!$D$2:$D$3001,MATCH(G239,Pubs!$A$2:$A$3001,0))&amp;"",""))</f>
        <v/>
      </c>
      <c r="N239" s="27" t="n">
        <f aca="false">N(N238)+IF(AND(A239&lt;&gt;"",OR(Recherche!$C$4="",A239=Recherche!$C$4),OR(Recherche!$C$5="",B239&amp;""=Recherche!$C$5&amp;""),OR(Recherche!$C$6="",IFERROR(YEAR(L239),0)=Recherche!$C$6),OR(Recherche!$C$7="",ISNUMBER(SEARCH(Recherche!$C$7,H239))),OR(Recherche!$C$8="",J239=Recherche!$C$8),OR(Recherche!$C$9="",I239=Recherche!$C$9),OR(Recherche!$C$10="",G239&amp;""=Recherche!$C$10&amp;""),OR(Recherche!$C$11="",E239=Recherche!$C$11),OR(Recherche!$C$12="",ISNUMBER(SEARCH(Recherche!$C$12,M239&amp;" "&amp;F239)))),1,0)</f>
        <v>8</v>
      </c>
    </row>
    <row r="240" customFormat="false" ht="15" hidden="false" customHeight="false" outlineLevel="0" collapsed="false">
      <c r="A240" s="19"/>
      <c r="B240" s="19"/>
      <c r="C240" s="19"/>
      <c r="D240" s="19"/>
      <c r="E240" s="22"/>
      <c r="F240" s="19"/>
      <c r="G240" s="26" t="str">
        <f aca="false">IF(D240="","",IFERROR(VALUE(LEFT(D240,FIND(" |",D240&amp;" |")-1)),"?"))</f>
        <v/>
      </c>
      <c r="H240" s="27" t="str">
        <f aca="false">IF(G240="","",IF(G240="?","⚠ pub inconnue",IFERROR(INDEX(Pubs!$B$2:$B$3001,MATCH(G240,Pubs!$A$2:$A$3001,0))&amp;"","⚠ pub inconnue")))</f>
        <v/>
      </c>
      <c r="I240" s="27" t="str">
        <f aca="false">IF(OR(G240="",G240="?"),"",IFERROR(INDEX(Pubs!$C$2:$C$3001,MATCH(G240,Pubs!$A$2:$A$3001,0))&amp;"",""))</f>
        <v/>
      </c>
      <c r="J240" s="27" t="str">
        <f aca="false">IF(OR(G240="",G240="?"),"",IFERROR(INDEX(Pubs!$G$2:$G$3001,MATCH(G240,Pubs!$A$2:$A$3001,0))&amp;"",""))</f>
        <v/>
      </c>
      <c r="K240" s="28" t="str">
        <f aca="false">IF(OR(G240="",G240="?"),"",IFERROR(INDEX(Pubs!$E$2:$E$3001,MATCH(G240,Pubs!$A$2:$A$3001,0)),""))</f>
        <v/>
      </c>
      <c r="L240" s="29" t="str">
        <f aca="false">IF(A240="","",IFERROR(1/(1/INDEX(Numéros!$C$2:$C$3001,MATCH(A240&amp;"|"&amp;B240,Numéros!$F$2:$F$3001,0))),""))</f>
        <v/>
      </c>
      <c r="M240" s="27" t="str">
        <f aca="false">IF(OR(G240="",G240="?"),"",IFERROR(INDEX(Pubs!$D$2:$D$3001,MATCH(G240,Pubs!$A$2:$A$3001,0))&amp;"",""))</f>
        <v/>
      </c>
      <c r="N240" s="27" t="n">
        <f aca="false">N(N239)+IF(AND(A240&lt;&gt;"",OR(Recherche!$C$4="",A240=Recherche!$C$4),OR(Recherche!$C$5="",B240&amp;""=Recherche!$C$5&amp;""),OR(Recherche!$C$6="",IFERROR(YEAR(L240),0)=Recherche!$C$6),OR(Recherche!$C$7="",ISNUMBER(SEARCH(Recherche!$C$7,H240))),OR(Recherche!$C$8="",J240=Recherche!$C$8),OR(Recherche!$C$9="",I240=Recherche!$C$9),OR(Recherche!$C$10="",G240&amp;""=Recherche!$C$10&amp;""),OR(Recherche!$C$11="",E240=Recherche!$C$11),OR(Recherche!$C$12="",ISNUMBER(SEARCH(Recherche!$C$12,M240&amp;" "&amp;F240)))),1,0)</f>
        <v>8</v>
      </c>
    </row>
    <row r="241" customFormat="false" ht="15" hidden="false" customHeight="false" outlineLevel="0" collapsed="false">
      <c r="A241" s="19"/>
      <c r="B241" s="19"/>
      <c r="C241" s="19"/>
      <c r="D241" s="19"/>
      <c r="E241" s="22"/>
      <c r="F241" s="19"/>
      <c r="G241" s="26" t="str">
        <f aca="false">IF(D241="","",IFERROR(VALUE(LEFT(D241,FIND(" |",D241&amp;" |")-1)),"?"))</f>
        <v/>
      </c>
      <c r="H241" s="27" t="str">
        <f aca="false">IF(G241="","",IF(G241="?","⚠ pub inconnue",IFERROR(INDEX(Pubs!$B$2:$B$3001,MATCH(G241,Pubs!$A$2:$A$3001,0))&amp;"","⚠ pub inconnue")))</f>
        <v/>
      </c>
      <c r="I241" s="27" t="str">
        <f aca="false">IF(OR(G241="",G241="?"),"",IFERROR(INDEX(Pubs!$C$2:$C$3001,MATCH(G241,Pubs!$A$2:$A$3001,0))&amp;"",""))</f>
        <v/>
      </c>
      <c r="J241" s="27" t="str">
        <f aca="false">IF(OR(G241="",G241="?"),"",IFERROR(INDEX(Pubs!$G$2:$G$3001,MATCH(G241,Pubs!$A$2:$A$3001,0))&amp;"",""))</f>
        <v/>
      </c>
      <c r="K241" s="28" t="str">
        <f aca="false">IF(OR(G241="",G241="?"),"",IFERROR(INDEX(Pubs!$E$2:$E$3001,MATCH(G241,Pubs!$A$2:$A$3001,0)),""))</f>
        <v/>
      </c>
      <c r="L241" s="29" t="str">
        <f aca="false">IF(A241="","",IFERROR(1/(1/INDEX(Numéros!$C$2:$C$3001,MATCH(A241&amp;"|"&amp;B241,Numéros!$F$2:$F$3001,0))),""))</f>
        <v/>
      </c>
      <c r="M241" s="27" t="str">
        <f aca="false">IF(OR(G241="",G241="?"),"",IFERROR(INDEX(Pubs!$D$2:$D$3001,MATCH(G241,Pubs!$A$2:$A$3001,0))&amp;"",""))</f>
        <v/>
      </c>
      <c r="N241" s="27" t="n">
        <f aca="false">N(N240)+IF(AND(A241&lt;&gt;"",OR(Recherche!$C$4="",A241=Recherche!$C$4),OR(Recherche!$C$5="",B241&amp;""=Recherche!$C$5&amp;""),OR(Recherche!$C$6="",IFERROR(YEAR(L241),0)=Recherche!$C$6),OR(Recherche!$C$7="",ISNUMBER(SEARCH(Recherche!$C$7,H241))),OR(Recherche!$C$8="",J241=Recherche!$C$8),OR(Recherche!$C$9="",I241=Recherche!$C$9),OR(Recherche!$C$10="",G241&amp;""=Recherche!$C$10&amp;""),OR(Recherche!$C$11="",E241=Recherche!$C$11),OR(Recherche!$C$12="",ISNUMBER(SEARCH(Recherche!$C$12,M241&amp;" "&amp;F241)))),1,0)</f>
        <v>8</v>
      </c>
    </row>
    <row r="242" customFormat="false" ht="15" hidden="false" customHeight="false" outlineLevel="0" collapsed="false">
      <c r="A242" s="19"/>
      <c r="B242" s="19"/>
      <c r="C242" s="19"/>
      <c r="D242" s="19"/>
      <c r="E242" s="22"/>
      <c r="F242" s="19"/>
      <c r="G242" s="26" t="str">
        <f aca="false">IF(D242="","",IFERROR(VALUE(LEFT(D242,FIND(" |",D242&amp;" |")-1)),"?"))</f>
        <v/>
      </c>
      <c r="H242" s="27" t="str">
        <f aca="false">IF(G242="","",IF(G242="?","⚠ pub inconnue",IFERROR(INDEX(Pubs!$B$2:$B$3001,MATCH(G242,Pubs!$A$2:$A$3001,0))&amp;"","⚠ pub inconnue")))</f>
        <v/>
      </c>
      <c r="I242" s="27" t="str">
        <f aca="false">IF(OR(G242="",G242="?"),"",IFERROR(INDEX(Pubs!$C$2:$C$3001,MATCH(G242,Pubs!$A$2:$A$3001,0))&amp;"",""))</f>
        <v/>
      </c>
      <c r="J242" s="27" t="str">
        <f aca="false">IF(OR(G242="",G242="?"),"",IFERROR(INDEX(Pubs!$G$2:$G$3001,MATCH(G242,Pubs!$A$2:$A$3001,0))&amp;"",""))</f>
        <v/>
      </c>
      <c r="K242" s="28" t="str">
        <f aca="false">IF(OR(G242="",G242="?"),"",IFERROR(INDEX(Pubs!$E$2:$E$3001,MATCH(G242,Pubs!$A$2:$A$3001,0)),""))</f>
        <v/>
      </c>
      <c r="L242" s="29" t="str">
        <f aca="false">IF(A242="","",IFERROR(1/(1/INDEX(Numéros!$C$2:$C$3001,MATCH(A242&amp;"|"&amp;B242,Numéros!$F$2:$F$3001,0))),""))</f>
        <v/>
      </c>
      <c r="M242" s="27" t="str">
        <f aca="false">IF(OR(G242="",G242="?"),"",IFERROR(INDEX(Pubs!$D$2:$D$3001,MATCH(G242,Pubs!$A$2:$A$3001,0))&amp;"",""))</f>
        <v/>
      </c>
      <c r="N242" s="27" t="n">
        <f aca="false">N(N241)+IF(AND(A242&lt;&gt;"",OR(Recherche!$C$4="",A242=Recherche!$C$4),OR(Recherche!$C$5="",B242&amp;""=Recherche!$C$5&amp;""),OR(Recherche!$C$6="",IFERROR(YEAR(L242),0)=Recherche!$C$6),OR(Recherche!$C$7="",ISNUMBER(SEARCH(Recherche!$C$7,H242))),OR(Recherche!$C$8="",J242=Recherche!$C$8),OR(Recherche!$C$9="",I242=Recherche!$C$9),OR(Recherche!$C$10="",G242&amp;""=Recherche!$C$10&amp;""),OR(Recherche!$C$11="",E242=Recherche!$C$11),OR(Recherche!$C$12="",ISNUMBER(SEARCH(Recherche!$C$12,M242&amp;" "&amp;F242)))),1,0)</f>
        <v>8</v>
      </c>
    </row>
    <row r="243" customFormat="false" ht="15" hidden="false" customHeight="false" outlineLevel="0" collapsed="false">
      <c r="A243" s="19"/>
      <c r="B243" s="19"/>
      <c r="C243" s="19"/>
      <c r="D243" s="19"/>
      <c r="E243" s="22"/>
      <c r="F243" s="19"/>
      <c r="G243" s="26" t="str">
        <f aca="false">IF(D243="","",IFERROR(VALUE(LEFT(D243,FIND(" |",D243&amp;" |")-1)),"?"))</f>
        <v/>
      </c>
      <c r="H243" s="27" t="str">
        <f aca="false">IF(G243="","",IF(G243="?","⚠ pub inconnue",IFERROR(INDEX(Pubs!$B$2:$B$3001,MATCH(G243,Pubs!$A$2:$A$3001,0))&amp;"","⚠ pub inconnue")))</f>
        <v/>
      </c>
      <c r="I243" s="27" t="str">
        <f aca="false">IF(OR(G243="",G243="?"),"",IFERROR(INDEX(Pubs!$C$2:$C$3001,MATCH(G243,Pubs!$A$2:$A$3001,0))&amp;"",""))</f>
        <v/>
      </c>
      <c r="J243" s="27" t="str">
        <f aca="false">IF(OR(G243="",G243="?"),"",IFERROR(INDEX(Pubs!$G$2:$G$3001,MATCH(G243,Pubs!$A$2:$A$3001,0))&amp;"",""))</f>
        <v/>
      </c>
      <c r="K243" s="28" t="str">
        <f aca="false">IF(OR(G243="",G243="?"),"",IFERROR(INDEX(Pubs!$E$2:$E$3001,MATCH(G243,Pubs!$A$2:$A$3001,0)),""))</f>
        <v/>
      </c>
      <c r="L243" s="29" t="str">
        <f aca="false">IF(A243="","",IFERROR(1/(1/INDEX(Numéros!$C$2:$C$3001,MATCH(A243&amp;"|"&amp;B243,Numéros!$F$2:$F$3001,0))),""))</f>
        <v/>
      </c>
      <c r="M243" s="27" t="str">
        <f aca="false">IF(OR(G243="",G243="?"),"",IFERROR(INDEX(Pubs!$D$2:$D$3001,MATCH(G243,Pubs!$A$2:$A$3001,0))&amp;"",""))</f>
        <v/>
      </c>
      <c r="N243" s="27" t="n">
        <f aca="false">N(N242)+IF(AND(A243&lt;&gt;"",OR(Recherche!$C$4="",A243=Recherche!$C$4),OR(Recherche!$C$5="",B243&amp;""=Recherche!$C$5&amp;""),OR(Recherche!$C$6="",IFERROR(YEAR(L243),0)=Recherche!$C$6),OR(Recherche!$C$7="",ISNUMBER(SEARCH(Recherche!$C$7,H243))),OR(Recherche!$C$8="",J243=Recherche!$C$8),OR(Recherche!$C$9="",I243=Recherche!$C$9),OR(Recherche!$C$10="",G243&amp;""=Recherche!$C$10&amp;""),OR(Recherche!$C$11="",E243=Recherche!$C$11),OR(Recherche!$C$12="",ISNUMBER(SEARCH(Recherche!$C$12,M243&amp;" "&amp;F243)))),1,0)</f>
        <v>8</v>
      </c>
    </row>
    <row r="244" customFormat="false" ht="15" hidden="false" customHeight="false" outlineLevel="0" collapsed="false">
      <c r="A244" s="19"/>
      <c r="B244" s="19"/>
      <c r="C244" s="19"/>
      <c r="D244" s="19"/>
      <c r="E244" s="22"/>
      <c r="F244" s="19"/>
      <c r="G244" s="26" t="str">
        <f aca="false">IF(D244="","",IFERROR(VALUE(LEFT(D244,FIND(" |",D244&amp;" |")-1)),"?"))</f>
        <v/>
      </c>
      <c r="H244" s="27" t="str">
        <f aca="false">IF(G244="","",IF(G244="?","⚠ pub inconnue",IFERROR(INDEX(Pubs!$B$2:$B$3001,MATCH(G244,Pubs!$A$2:$A$3001,0))&amp;"","⚠ pub inconnue")))</f>
        <v/>
      </c>
      <c r="I244" s="27" t="str">
        <f aca="false">IF(OR(G244="",G244="?"),"",IFERROR(INDEX(Pubs!$C$2:$C$3001,MATCH(G244,Pubs!$A$2:$A$3001,0))&amp;"",""))</f>
        <v/>
      </c>
      <c r="J244" s="27" t="str">
        <f aca="false">IF(OR(G244="",G244="?"),"",IFERROR(INDEX(Pubs!$G$2:$G$3001,MATCH(G244,Pubs!$A$2:$A$3001,0))&amp;"",""))</f>
        <v/>
      </c>
      <c r="K244" s="28" t="str">
        <f aca="false">IF(OR(G244="",G244="?"),"",IFERROR(INDEX(Pubs!$E$2:$E$3001,MATCH(G244,Pubs!$A$2:$A$3001,0)),""))</f>
        <v/>
      </c>
      <c r="L244" s="29" t="str">
        <f aca="false">IF(A244="","",IFERROR(1/(1/INDEX(Numéros!$C$2:$C$3001,MATCH(A244&amp;"|"&amp;B244,Numéros!$F$2:$F$3001,0))),""))</f>
        <v/>
      </c>
      <c r="M244" s="27" t="str">
        <f aca="false">IF(OR(G244="",G244="?"),"",IFERROR(INDEX(Pubs!$D$2:$D$3001,MATCH(G244,Pubs!$A$2:$A$3001,0))&amp;"",""))</f>
        <v/>
      </c>
      <c r="N244" s="27" t="n">
        <f aca="false">N(N243)+IF(AND(A244&lt;&gt;"",OR(Recherche!$C$4="",A244=Recherche!$C$4),OR(Recherche!$C$5="",B244&amp;""=Recherche!$C$5&amp;""),OR(Recherche!$C$6="",IFERROR(YEAR(L244),0)=Recherche!$C$6),OR(Recherche!$C$7="",ISNUMBER(SEARCH(Recherche!$C$7,H244))),OR(Recherche!$C$8="",J244=Recherche!$C$8),OR(Recherche!$C$9="",I244=Recherche!$C$9),OR(Recherche!$C$10="",G244&amp;""=Recherche!$C$10&amp;""),OR(Recherche!$C$11="",E244=Recherche!$C$11),OR(Recherche!$C$12="",ISNUMBER(SEARCH(Recherche!$C$12,M244&amp;" "&amp;F244)))),1,0)</f>
        <v>8</v>
      </c>
    </row>
    <row r="245" customFormat="false" ht="15" hidden="false" customHeight="false" outlineLevel="0" collapsed="false">
      <c r="A245" s="19"/>
      <c r="B245" s="19"/>
      <c r="C245" s="19"/>
      <c r="D245" s="19"/>
      <c r="E245" s="22"/>
      <c r="F245" s="19"/>
      <c r="G245" s="26" t="str">
        <f aca="false">IF(D245="","",IFERROR(VALUE(LEFT(D245,FIND(" |",D245&amp;" |")-1)),"?"))</f>
        <v/>
      </c>
      <c r="H245" s="27" t="str">
        <f aca="false">IF(G245="","",IF(G245="?","⚠ pub inconnue",IFERROR(INDEX(Pubs!$B$2:$B$3001,MATCH(G245,Pubs!$A$2:$A$3001,0))&amp;"","⚠ pub inconnue")))</f>
        <v/>
      </c>
      <c r="I245" s="27" t="str">
        <f aca="false">IF(OR(G245="",G245="?"),"",IFERROR(INDEX(Pubs!$C$2:$C$3001,MATCH(G245,Pubs!$A$2:$A$3001,0))&amp;"",""))</f>
        <v/>
      </c>
      <c r="J245" s="27" t="str">
        <f aca="false">IF(OR(G245="",G245="?"),"",IFERROR(INDEX(Pubs!$G$2:$G$3001,MATCH(G245,Pubs!$A$2:$A$3001,0))&amp;"",""))</f>
        <v/>
      </c>
      <c r="K245" s="28" t="str">
        <f aca="false">IF(OR(G245="",G245="?"),"",IFERROR(INDEX(Pubs!$E$2:$E$3001,MATCH(G245,Pubs!$A$2:$A$3001,0)),""))</f>
        <v/>
      </c>
      <c r="L245" s="29" t="str">
        <f aca="false">IF(A245="","",IFERROR(1/(1/INDEX(Numéros!$C$2:$C$3001,MATCH(A245&amp;"|"&amp;B245,Numéros!$F$2:$F$3001,0))),""))</f>
        <v/>
      </c>
      <c r="M245" s="27" t="str">
        <f aca="false">IF(OR(G245="",G245="?"),"",IFERROR(INDEX(Pubs!$D$2:$D$3001,MATCH(G245,Pubs!$A$2:$A$3001,0))&amp;"",""))</f>
        <v/>
      </c>
      <c r="N245" s="27" t="n">
        <f aca="false">N(N244)+IF(AND(A245&lt;&gt;"",OR(Recherche!$C$4="",A245=Recherche!$C$4),OR(Recherche!$C$5="",B245&amp;""=Recherche!$C$5&amp;""),OR(Recherche!$C$6="",IFERROR(YEAR(L245),0)=Recherche!$C$6),OR(Recherche!$C$7="",ISNUMBER(SEARCH(Recherche!$C$7,H245))),OR(Recherche!$C$8="",J245=Recherche!$C$8),OR(Recherche!$C$9="",I245=Recherche!$C$9),OR(Recherche!$C$10="",G245&amp;""=Recherche!$C$10&amp;""),OR(Recherche!$C$11="",E245=Recherche!$C$11),OR(Recherche!$C$12="",ISNUMBER(SEARCH(Recherche!$C$12,M245&amp;" "&amp;F245)))),1,0)</f>
        <v>8</v>
      </c>
    </row>
    <row r="246" customFormat="false" ht="15" hidden="false" customHeight="false" outlineLevel="0" collapsed="false">
      <c r="A246" s="19"/>
      <c r="B246" s="19"/>
      <c r="C246" s="19"/>
      <c r="D246" s="19"/>
      <c r="E246" s="22"/>
      <c r="F246" s="19"/>
      <c r="G246" s="26" t="str">
        <f aca="false">IF(D246="","",IFERROR(VALUE(LEFT(D246,FIND(" |",D246&amp;" |")-1)),"?"))</f>
        <v/>
      </c>
      <c r="H246" s="27" t="str">
        <f aca="false">IF(G246="","",IF(G246="?","⚠ pub inconnue",IFERROR(INDEX(Pubs!$B$2:$B$3001,MATCH(G246,Pubs!$A$2:$A$3001,0))&amp;"","⚠ pub inconnue")))</f>
        <v/>
      </c>
      <c r="I246" s="27" t="str">
        <f aca="false">IF(OR(G246="",G246="?"),"",IFERROR(INDEX(Pubs!$C$2:$C$3001,MATCH(G246,Pubs!$A$2:$A$3001,0))&amp;"",""))</f>
        <v/>
      </c>
      <c r="J246" s="27" t="str">
        <f aca="false">IF(OR(G246="",G246="?"),"",IFERROR(INDEX(Pubs!$G$2:$G$3001,MATCH(G246,Pubs!$A$2:$A$3001,0))&amp;"",""))</f>
        <v/>
      </c>
      <c r="K246" s="28" t="str">
        <f aca="false">IF(OR(G246="",G246="?"),"",IFERROR(INDEX(Pubs!$E$2:$E$3001,MATCH(G246,Pubs!$A$2:$A$3001,0)),""))</f>
        <v/>
      </c>
      <c r="L246" s="29" t="str">
        <f aca="false">IF(A246="","",IFERROR(1/(1/INDEX(Numéros!$C$2:$C$3001,MATCH(A246&amp;"|"&amp;B246,Numéros!$F$2:$F$3001,0))),""))</f>
        <v/>
      </c>
      <c r="M246" s="27" t="str">
        <f aca="false">IF(OR(G246="",G246="?"),"",IFERROR(INDEX(Pubs!$D$2:$D$3001,MATCH(G246,Pubs!$A$2:$A$3001,0))&amp;"",""))</f>
        <v/>
      </c>
      <c r="N246" s="27" t="n">
        <f aca="false">N(N245)+IF(AND(A246&lt;&gt;"",OR(Recherche!$C$4="",A246=Recherche!$C$4),OR(Recherche!$C$5="",B246&amp;""=Recherche!$C$5&amp;""),OR(Recherche!$C$6="",IFERROR(YEAR(L246),0)=Recherche!$C$6),OR(Recherche!$C$7="",ISNUMBER(SEARCH(Recherche!$C$7,H246))),OR(Recherche!$C$8="",J246=Recherche!$C$8),OR(Recherche!$C$9="",I246=Recherche!$C$9),OR(Recherche!$C$10="",G246&amp;""=Recherche!$C$10&amp;""),OR(Recherche!$C$11="",E246=Recherche!$C$11),OR(Recherche!$C$12="",ISNUMBER(SEARCH(Recherche!$C$12,M246&amp;" "&amp;F246)))),1,0)</f>
        <v>8</v>
      </c>
    </row>
    <row r="247" customFormat="false" ht="15" hidden="false" customHeight="false" outlineLevel="0" collapsed="false">
      <c r="A247" s="19"/>
      <c r="B247" s="19"/>
      <c r="C247" s="19"/>
      <c r="D247" s="19"/>
      <c r="E247" s="22"/>
      <c r="F247" s="19"/>
      <c r="G247" s="26" t="str">
        <f aca="false">IF(D247="","",IFERROR(VALUE(LEFT(D247,FIND(" |",D247&amp;" |")-1)),"?"))</f>
        <v/>
      </c>
      <c r="H247" s="27" t="str">
        <f aca="false">IF(G247="","",IF(G247="?","⚠ pub inconnue",IFERROR(INDEX(Pubs!$B$2:$B$3001,MATCH(G247,Pubs!$A$2:$A$3001,0))&amp;"","⚠ pub inconnue")))</f>
        <v/>
      </c>
      <c r="I247" s="27" t="str">
        <f aca="false">IF(OR(G247="",G247="?"),"",IFERROR(INDEX(Pubs!$C$2:$C$3001,MATCH(G247,Pubs!$A$2:$A$3001,0))&amp;"",""))</f>
        <v/>
      </c>
      <c r="J247" s="27" t="str">
        <f aca="false">IF(OR(G247="",G247="?"),"",IFERROR(INDEX(Pubs!$G$2:$G$3001,MATCH(G247,Pubs!$A$2:$A$3001,0))&amp;"",""))</f>
        <v/>
      </c>
      <c r="K247" s="28" t="str">
        <f aca="false">IF(OR(G247="",G247="?"),"",IFERROR(INDEX(Pubs!$E$2:$E$3001,MATCH(G247,Pubs!$A$2:$A$3001,0)),""))</f>
        <v/>
      </c>
      <c r="L247" s="29" t="str">
        <f aca="false">IF(A247="","",IFERROR(1/(1/INDEX(Numéros!$C$2:$C$3001,MATCH(A247&amp;"|"&amp;B247,Numéros!$F$2:$F$3001,0))),""))</f>
        <v/>
      </c>
      <c r="M247" s="27" t="str">
        <f aca="false">IF(OR(G247="",G247="?"),"",IFERROR(INDEX(Pubs!$D$2:$D$3001,MATCH(G247,Pubs!$A$2:$A$3001,0))&amp;"",""))</f>
        <v/>
      </c>
      <c r="N247" s="27" t="n">
        <f aca="false">N(N246)+IF(AND(A247&lt;&gt;"",OR(Recherche!$C$4="",A247=Recherche!$C$4),OR(Recherche!$C$5="",B247&amp;""=Recherche!$C$5&amp;""),OR(Recherche!$C$6="",IFERROR(YEAR(L247),0)=Recherche!$C$6),OR(Recherche!$C$7="",ISNUMBER(SEARCH(Recherche!$C$7,H247))),OR(Recherche!$C$8="",J247=Recherche!$C$8),OR(Recherche!$C$9="",I247=Recherche!$C$9),OR(Recherche!$C$10="",G247&amp;""=Recherche!$C$10&amp;""),OR(Recherche!$C$11="",E247=Recherche!$C$11),OR(Recherche!$C$12="",ISNUMBER(SEARCH(Recherche!$C$12,M247&amp;" "&amp;F247)))),1,0)</f>
        <v>8</v>
      </c>
    </row>
    <row r="248" customFormat="false" ht="15" hidden="false" customHeight="false" outlineLevel="0" collapsed="false">
      <c r="A248" s="19"/>
      <c r="B248" s="19"/>
      <c r="C248" s="19"/>
      <c r="D248" s="19"/>
      <c r="E248" s="22"/>
      <c r="F248" s="19"/>
      <c r="G248" s="26" t="str">
        <f aca="false">IF(D248="","",IFERROR(VALUE(LEFT(D248,FIND(" |",D248&amp;" |")-1)),"?"))</f>
        <v/>
      </c>
      <c r="H248" s="27" t="str">
        <f aca="false">IF(G248="","",IF(G248="?","⚠ pub inconnue",IFERROR(INDEX(Pubs!$B$2:$B$3001,MATCH(G248,Pubs!$A$2:$A$3001,0))&amp;"","⚠ pub inconnue")))</f>
        <v/>
      </c>
      <c r="I248" s="27" t="str">
        <f aca="false">IF(OR(G248="",G248="?"),"",IFERROR(INDEX(Pubs!$C$2:$C$3001,MATCH(G248,Pubs!$A$2:$A$3001,0))&amp;"",""))</f>
        <v/>
      </c>
      <c r="J248" s="27" t="str">
        <f aca="false">IF(OR(G248="",G248="?"),"",IFERROR(INDEX(Pubs!$G$2:$G$3001,MATCH(G248,Pubs!$A$2:$A$3001,0))&amp;"",""))</f>
        <v/>
      </c>
      <c r="K248" s="28" t="str">
        <f aca="false">IF(OR(G248="",G248="?"),"",IFERROR(INDEX(Pubs!$E$2:$E$3001,MATCH(G248,Pubs!$A$2:$A$3001,0)),""))</f>
        <v/>
      </c>
      <c r="L248" s="29" t="str">
        <f aca="false">IF(A248="","",IFERROR(1/(1/INDEX(Numéros!$C$2:$C$3001,MATCH(A248&amp;"|"&amp;B248,Numéros!$F$2:$F$3001,0))),""))</f>
        <v/>
      </c>
      <c r="M248" s="27" t="str">
        <f aca="false">IF(OR(G248="",G248="?"),"",IFERROR(INDEX(Pubs!$D$2:$D$3001,MATCH(G248,Pubs!$A$2:$A$3001,0))&amp;"",""))</f>
        <v/>
      </c>
      <c r="N248" s="27" t="n">
        <f aca="false">N(N247)+IF(AND(A248&lt;&gt;"",OR(Recherche!$C$4="",A248=Recherche!$C$4),OR(Recherche!$C$5="",B248&amp;""=Recherche!$C$5&amp;""),OR(Recherche!$C$6="",IFERROR(YEAR(L248),0)=Recherche!$C$6),OR(Recherche!$C$7="",ISNUMBER(SEARCH(Recherche!$C$7,H248))),OR(Recherche!$C$8="",J248=Recherche!$C$8),OR(Recherche!$C$9="",I248=Recherche!$C$9),OR(Recherche!$C$10="",G248&amp;""=Recherche!$C$10&amp;""),OR(Recherche!$C$11="",E248=Recherche!$C$11),OR(Recherche!$C$12="",ISNUMBER(SEARCH(Recherche!$C$12,M248&amp;" "&amp;F248)))),1,0)</f>
        <v>8</v>
      </c>
    </row>
    <row r="249" customFormat="false" ht="15" hidden="false" customHeight="false" outlineLevel="0" collapsed="false">
      <c r="A249" s="19"/>
      <c r="B249" s="19"/>
      <c r="C249" s="19"/>
      <c r="D249" s="19"/>
      <c r="E249" s="22"/>
      <c r="F249" s="19"/>
      <c r="G249" s="26" t="str">
        <f aca="false">IF(D249="","",IFERROR(VALUE(LEFT(D249,FIND(" |",D249&amp;" |")-1)),"?"))</f>
        <v/>
      </c>
      <c r="H249" s="27" t="str">
        <f aca="false">IF(G249="","",IF(G249="?","⚠ pub inconnue",IFERROR(INDEX(Pubs!$B$2:$B$3001,MATCH(G249,Pubs!$A$2:$A$3001,0))&amp;"","⚠ pub inconnue")))</f>
        <v/>
      </c>
      <c r="I249" s="27" t="str">
        <f aca="false">IF(OR(G249="",G249="?"),"",IFERROR(INDEX(Pubs!$C$2:$C$3001,MATCH(G249,Pubs!$A$2:$A$3001,0))&amp;"",""))</f>
        <v/>
      </c>
      <c r="J249" s="27" t="str">
        <f aca="false">IF(OR(G249="",G249="?"),"",IFERROR(INDEX(Pubs!$G$2:$G$3001,MATCH(G249,Pubs!$A$2:$A$3001,0))&amp;"",""))</f>
        <v/>
      </c>
      <c r="K249" s="28" t="str">
        <f aca="false">IF(OR(G249="",G249="?"),"",IFERROR(INDEX(Pubs!$E$2:$E$3001,MATCH(G249,Pubs!$A$2:$A$3001,0)),""))</f>
        <v/>
      </c>
      <c r="L249" s="29" t="str">
        <f aca="false">IF(A249="","",IFERROR(1/(1/INDEX(Numéros!$C$2:$C$3001,MATCH(A249&amp;"|"&amp;B249,Numéros!$F$2:$F$3001,0))),""))</f>
        <v/>
      </c>
      <c r="M249" s="27" t="str">
        <f aca="false">IF(OR(G249="",G249="?"),"",IFERROR(INDEX(Pubs!$D$2:$D$3001,MATCH(G249,Pubs!$A$2:$A$3001,0))&amp;"",""))</f>
        <v/>
      </c>
      <c r="N249" s="27" t="n">
        <f aca="false">N(N248)+IF(AND(A249&lt;&gt;"",OR(Recherche!$C$4="",A249=Recherche!$C$4),OR(Recherche!$C$5="",B249&amp;""=Recherche!$C$5&amp;""),OR(Recherche!$C$6="",IFERROR(YEAR(L249),0)=Recherche!$C$6),OR(Recherche!$C$7="",ISNUMBER(SEARCH(Recherche!$C$7,H249))),OR(Recherche!$C$8="",J249=Recherche!$C$8),OR(Recherche!$C$9="",I249=Recherche!$C$9),OR(Recherche!$C$10="",G249&amp;""=Recherche!$C$10&amp;""),OR(Recherche!$C$11="",E249=Recherche!$C$11),OR(Recherche!$C$12="",ISNUMBER(SEARCH(Recherche!$C$12,M249&amp;" "&amp;F249)))),1,0)</f>
        <v>8</v>
      </c>
    </row>
    <row r="250" customFormat="false" ht="15" hidden="false" customHeight="false" outlineLevel="0" collapsed="false">
      <c r="A250" s="19"/>
      <c r="B250" s="19"/>
      <c r="C250" s="19"/>
      <c r="D250" s="19"/>
      <c r="E250" s="22"/>
      <c r="F250" s="19"/>
      <c r="G250" s="26" t="str">
        <f aca="false">IF(D250="","",IFERROR(VALUE(LEFT(D250,FIND(" |",D250&amp;" |")-1)),"?"))</f>
        <v/>
      </c>
      <c r="H250" s="27" t="str">
        <f aca="false">IF(G250="","",IF(G250="?","⚠ pub inconnue",IFERROR(INDEX(Pubs!$B$2:$B$3001,MATCH(G250,Pubs!$A$2:$A$3001,0))&amp;"","⚠ pub inconnue")))</f>
        <v/>
      </c>
      <c r="I250" s="27" t="str">
        <f aca="false">IF(OR(G250="",G250="?"),"",IFERROR(INDEX(Pubs!$C$2:$C$3001,MATCH(G250,Pubs!$A$2:$A$3001,0))&amp;"",""))</f>
        <v/>
      </c>
      <c r="J250" s="27" t="str">
        <f aca="false">IF(OR(G250="",G250="?"),"",IFERROR(INDEX(Pubs!$G$2:$G$3001,MATCH(G250,Pubs!$A$2:$A$3001,0))&amp;"",""))</f>
        <v/>
      </c>
      <c r="K250" s="28" t="str">
        <f aca="false">IF(OR(G250="",G250="?"),"",IFERROR(INDEX(Pubs!$E$2:$E$3001,MATCH(G250,Pubs!$A$2:$A$3001,0)),""))</f>
        <v/>
      </c>
      <c r="L250" s="29" t="str">
        <f aca="false">IF(A250="","",IFERROR(1/(1/INDEX(Numéros!$C$2:$C$3001,MATCH(A250&amp;"|"&amp;B250,Numéros!$F$2:$F$3001,0))),""))</f>
        <v/>
      </c>
      <c r="M250" s="27" t="str">
        <f aca="false">IF(OR(G250="",G250="?"),"",IFERROR(INDEX(Pubs!$D$2:$D$3001,MATCH(G250,Pubs!$A$2:$A$3001,0))&amp;"",""))</f>
        <v/>
      </c>
      <c r="N250" s="27" t="n">
        <f aca="false">N(N249)+IF(AND(A250&lt;&gt;"",OR(Recherche!$C$4="",A250=Recherche!$C$4),OR(Recherche!$C$5="",B250&amp;""=Recherche!$C$5&amp;""),OR(Recherche!$C$6="",IFERROR(YEAR(L250),0)=Recherche!$C$6),OR(Recherche!$C$7="",ISNUMBER(SEARCH(Recherche!$C$7,H250))),OR(Recherche!$C$8="",J250=Recherche!$C$8),OR(Recherche!$C$9="",I250=Recherche!$C$9),OR(Recherche!$C$10="",G250&amp;""=Recherche!$C$10&amp;""),OR(Recherche!$C$11="",E250=Recherche!$C$11),OR(Recherche!$C$12="",ISNUMBER(SEARCH(Recherche!$C$12,M250&amp;" "&amp;F250)))),1,0)</f>
        <v>8</v>
      </c>
    </row>
    <row r="251" customFormat="false" ht="15" hidden="false" customHeight="false" outlineLevel="0" collapsed="false">
      <c r="A251" s="19"/>
      <c r="B251" s="19"/>
      <c r="C251" s="19"/>
      <c r="D251" s="19"/>
      <c r="E251" s="22"/>
      <c r="F251" s="19"/>
      <c r="G251" s="26" t="str">
        <f aca="false">IF(D251="","",IFERROR(VALUE(LEFT(D251,FIND(" |",D251&amp;" |")-1)),"?"))</f>
        <v/>
      </c>
      <c r="H251" s="27" t="str">
        <f aca="false">IF(G251="","",IF(G251="?","⚠ pub inconnue",IFERROR(INDEX(Pubs!$B$2:$B$3001,MATCH(G251,Pubs!$A$2:$A$3001,0))&amp;"","⚠ pub inconnue")))</f>
        <v/>
      </c>
      <c r="I251" s="27" t="str">
        <f aca="false">IF(OR(G251="",G251="?"),"",IFERROR(INDEX(Pubs!$C$2:$C$3001,MATCH(G251,Pubs!$A$2:$A$3001,0))&amp;"",""))</f>
        <v/>
      </c>
      <c r="J251" s="27" t="str">
        <f aca="false">IF(OR(G251="",G251="?"),"",IFERROR(INDEX(Pubs!$G$2:$G$3001,MATCH(G251,Pubs!$A$2:$A$3001,0))&amp;"",""))</f>
        <v/>
      </c>
      <c r="K251" s="28" t="str">
        <f aca="false">IF(OR(G251="",G251="?"),"",IFERROR(INDEX(Pubs!$E$2:$E$3001,MATCH(G251,Pubs!$A$2:$A$3001,0)),""))</f>
        <v/>
      </c>
      <c r="L251" s="29" t="str">
        <f aca="false">IF(A251="","",IFERROR(1/(1/INDEX(Numéros!$C$2:$C$3001,MATCH(A251&amp;"|"&amp;B251,Numéros!$F$2:$F$3001,0))),""))</f>
        <v/>
      </c>
      <c r="M251" s="27" t="str">
        <f aca="false">IF(OR(G251="",G251="?"),"",IFERROR(INDEX(Pubs!$D$2:$D$3001,MATCH(G251,Pubs!$A$2:$A$3001,0))&amp;"",""))</f>
        <v/>
      </c>
      <c r="N251" s="27" t="n">
        <f aca="false">N(N250)+IF(AND(A251&lt;&gt;"",OR(Recherche!$C$4="",A251=Recherche!$C$4),OR(Recherche!$C$5="",B251&amp;""=Recherche!$C$5&amp;""),OR(Recherche!$C$6="",IFERROR(YEAR(L251),0)=Recherche!$C$6),OR(Recherche!$C$7="",ISNUMBER(SEARCH(Recherche!$C$7,H251))),OR(Recherche!$C$8="",J251=Recherche!$C$8),OR(Recherche!$C$9="",I251=Recherche!$C$9),OR(Recherche!$C$10="",G251&amp;""=Recherche!$C$10&amp;""),OR(Recherche!$C$11="",E251=Recherche!$C$11),OR(Recherche!$C$12="",ISNUMBER(SEARCH(Recherche!$C$12,M251&amp;" "&amp;F251)))),1,0)</f>
        <v>8</v>
      </c>
    </row>
    <row r="252" customFormat="false" ht="15" hidden="false" customHeight="false" outlineLevel="0" collapsed="false">
      <c r="A252" s="19"/>
      <c r="B252" s="19"/>
      <c r="C252" s="19"/>
      <c r="D252" s="19"/>
      <c r="E252" s="22"/>
      <c r="F252" s="19"/>
      <c r="G252" s="26" t="str">
        <f aca="false">IF(D252="","",IFERROR(VALUE(LEFT(D252,FIND(" |",D252&amp;" |")-1)),"?"))</f>
        <v/>
      </c>
      <c r="H252" s="27" t="str">
        <f aca="false">IF(G252="","",IF(G252="?","⚠ pub inconnue",IFERROR(INDEX(Pubs!$B$2:$B$3001,MATCH(G252,Pubs!$A$2:$A$3001,0))&amp;"","⚠ pub inconnue")))</f>
        <v/>
      </c>
      <c r="I252" s="27" t="str">
        <f aca="false">IF(OR(G252="",G252="?"),"",IFERROR(INDEX(Pubs!$C$2:$C$3001,MATCH(G252,Pubs!$A$2:$A$3001,0))&amp;"",""))</f>
        <v/>
      </c>
      <c r="J252" s="27" t="str">
        <f aca="false">IF(OR(G252="",G252="?"),"",IFERROR(INDEX(Pubs!$G$2:$G$3001,MATCH(G252,Pubs!$A$2:$A$3001,0))&amp;"",""))</f>
        <v/>
      </c>
      <c r="K252" s="28" t="str">
        <f aca="false">IF(OR(G252="",G252="?"),"",IFERROR(INDEX(Pubs!$E$2:$E$3001,MATCH(G252,Pubs!$A$2:$A$3001,0)),""))</f>
        <v/>
      </c>
      <c r="L252" s="29" t="str">
        <f aca="false">IF(A252="","",IFERROR(1/(1/INDEX(Numéros!$C$2:$C$3001,MATCH(A252&amp;"|"&amp;B252,Numéros!$F$2:$F$3001,0))),""))</f>
        <v/>
      </c>
      <c r="M252" s="27" t="str">
        <f aca="false">IF(OR(G252="",G252="?"),"",IFERROR(INDEX(Pubs!$D$2:$D$3001,MATCH(G252,Pubs!$A$2:$A$3001,0))&amp;"",""))</f>
        <v/>
      </c>
      <c r="N252" s="27" t="n">
        <f aca="false">N(N251)+IF(AND(A252&lt;&gt;"",OR(Recherche!$C$4="",A252=Recherche!$C$4),OR(Recherche!$C$5="",B252&amp;""=Recherche!$C$5&amp;""),OR(Recherche!$C$6="",IFERROR(YEAR(L252),0)=Recherche!$C$6),OR(Recherche!$C$7="",ISNUMBER(SEARCH(Recherche!$C$7,H252))),OR(Recherche!$C$8="",J252=Recherche!$C$8),OR(Recherche!$C$9="",I252=Recherche!$C$9),OR(Recherche!$C$10="",G252&amp;""=Recherche!$C$10&amp;""),OR(Recherche!$C$11="",E252=Recherche!$C$11),OR(Recherche!$C$12="",ISNUMBER(SEARCH(Recherche!$C$12,M252&amp;" "&amp;F252)))),1,0)</f>
        <v>8</v>
      </c>
    </row>
    <row r="253" customFormat="false" ht="15" hidden="false" customHeight="false" outlineLevel="0" collapsed="false">
      <c r="A253" s="19"/>
      <c r="B253" s="19"/>
      <c r="C253" s="19"/>
      <c r="D253" s="19"/>
      <c r="E253" s="22"/>
      <c r="F253" s="19"/>
      <c r="G253" s="26" t="str">
        <f aca="false">IF(D253="","",IFERROR(VALUE(LEFT(D253,FIND(" |",D253&amp;" |")-1)),"?"))</f>
        <v/>
      </c>
      <c r="H253" s="27" t="str">
        <f aca="false">IF(G253="","",IF(G253="?","⚠ pub inconnue",IFERROR(INDEX(Pubs!$B$2:$B$3001,MATCH(G253,Pubs!$A$2:$A$3001,0))&amp;"","⚠ pub inconnue")))</f>
        <v/>
      </c>
      <c r="I253" s="27" t="str">
        <f aca="false">IF(OR(G253="",G253="?"),"",IFERROR(INDEX(Pubs!$C$2:$C$3001,MATCH(G253,Pubs!$A$2:$A$3001,0))&amp;"",""))</f>
        <v/>
      </c>
      <c r="J253" s="27" t="str">
        <f aca="false">IF(OR(G253="",G253="?"),"",IFERROR(INDEX(Pubs!$G$2:$G$3001,MATCH(G253,Pubs!$A$2:$A$3001,0))&amp;"",""))</f>
        <v/>
      </c>
      <c r="K253" s="28" t="str">
        <f aca="false">IF(OR(G253="",G253="?"),"",IFERROR(INDEX(Pubs!$E$2:$E$3001,MATCH(G253,Pubs!$A$2:$A$3001,0)),""))</f>
        <v/>
      </c>
      <c r="L253" s="29" t="str">
        <f aca="false">IF(A253="","",IFERROR(1/(1/INDEX(Numéros!$C$2:$C$3001,MATCH(A253&amp;"|"&amp;B253,Numéros!$F$2:$F$3001,0))),""))</f>
        <v/>
      </c>
      <c r="M253" s="27" t="str">
        <f aca="false">IF(OR(G253="",G253="?"),"",IFERROR(INDEX(Pubs!$D$2:$D$3001,MATCH(G253,Pubs!$A$2:$A$3001,0))&amp;"",""))</f>
        <v/>
      </c>
      <c r="N253" s="27" t="n">
        <f aca="false">N(N252)+IF(AND(A253&lt;&gt;"",OR(Recherche!$C$4="",A253=Recherche!$C$4),OR(Recherche!$C$5="",B253&amp;""=Recherche!$C$5&amp;""),OR(Recherche!$C$6="",IFERROR(YEAR(L253),0)=Recherche!$C$6),OR(Recherche!$C$7="",ISNUMBER(SEARCH(Recherche!$C$7,H253))),OR(Recherche!$C$8="",J253=Recherche!$C$8),OR(Recherche!$C$9="",I253=Recherche!$C$9),OR(Recherche!$C$10="",G253&amp;""=Recherche!$C$10&amp;""),OR(Recherche!$C$11="",E253=Recherche!$C$11),OR(Recherche!$C$12="",ISNUMBER(SEARCH(Recherche!$C$12,M253&amp;" "&amp;F253)))),1,0)</f>
        <v>8</v>
      </c>
    </row>
    <row r="254" customFormat="false" ht="15" hidden="false" customHeight="false" outlineLevel="0" collapsed="false">
      <c r="A254" s="19"/>
      <c r="B254" s="19"/>
      <c r="C254" s="19"/>
      <c r="D254" s="19"/>
      <c r="E254" s="22"/>
      <c r="F254" s="19"/>
      <c r="G254" s="26" t="str">
        <f aca="false">IF(D254="","",IFERROR(VALUE(LEFT(D254,FIND(" |",D254&amp;" |")-1)),"?"))</f>
        <v/>
      </c>
      <c r="H254" s="27" t="str">
        <f aca="false">IF(G254="","",IF(G254="?","⚠ pub inconnue",IFERROR(INDEX(Pubs!$B$2:$B$3001,MATCH(G254,Pubs!$A$2:$A$3001,0))&amp;"","⚠ pub inconnue")))</f>
        <v/>
      </c>
      <c r="I254" s="27" t="str">
        <f aca="false">IF(OR(G254="",G254="?"),"",IFERROR(INDEX(Pubs!$C$2:$C$3001,MATCH(G254,Pubs!$A$2:$A$3001,0))&amp;"",""))</f>
        <v/>
      </c>
      <c r="J254" s="27" t="str">
        <f aca="false">IF(OR(G254="",G254="?"),"",IFERROR(INDEX(Pubs!$G$2:$G$3001,MATCH(G254,Pubs!$A$2:$A$3001,0))&amp;"",""))</f>
        <v/>
      </c>
      <c r="K254" s="28" t="str">
        <f aca="false">IF(OR(G254="",G254="?"),"",IFERROR(INDEX(Pubs!$E$2:$E$3001,MATCH(G254,Pubs!$A$2:$A$3001,0)),""))</f>
        <v/>
      </c>
      <c r="L254" s="29" t="str">
        <f aca="false">IF(A254="","",IFERROR(1/(1/INDEX(Numéros!$C$2:$C$3001,MATCH(A254&amp;"|"&amp;B254,Numéros!$F$2:$F$3001,0))),""))</f>
        <v/>
      </c>
      <c r="M254" s="27" t="str">
        <f aca="false">IF(OR(G254="",G254="?"),"",IFERROR(INDEX(Pubs!$D$2:$D$3001,MATCH(G254,Pubs!$A$2:$A$3001,0))&amp;"",""))</f>
        <v/>
      </c>
      <c r="N254" s="27" t="n">
        <f aca="false">N(N253)+IF(AND(A254&lt;&gt;"",OR(Recherche!$C$4="",A254=Recherche!$C$4),OR(Recherche!$C$5="",B254&amp;""=Recherche!$C$5&amp;""),OR(Recherche!$C$6="",IFERROR(YEAR(L254),0)=Recherche!$C$6),OR(Recherche!$C$7="",ISNUMBER(SEARCH(Recherche!$C$7,H254))),OR(Recherche!$C$8="",J254=Recherche!$C$8),OR(Recherche!$C$9="",I254=Recherche!$C$9),OR(Recherche!$C$10="",G254&amp;""=Recherche!$C$10&amp;""),OR(Recherche!$C$11="",E254=Recherche!$C$11),OR(Recherche!$C$12="",ISNUMBER(SEARCH(Recherche!$C$12,M254&amp;" "&amp;F254)))),1,0)</f>
        <v>8</v>
      </c>
    </row>
    <row r="255" customFormat="false" ht="15" hidden="false" customHeight="false" outlineLevel="0" collapsed="false">
      <c r="A255" s="19"/>
      <c r="B255" s="19"/>
      <c r="C255" s="19"/>
      <c r="D255" s="19"/>
      <c r="E255" s="22"/>
      <c r="F255" s="19"/>
      <c r="G255" s="26" t="str">
        <f aca="false">IF(D255="","",IFERROR(VALUE(LEFT(D255,FIND(" |",D255&amp;" |")-1)),"?"))</f>
        <v/>
      </c>
      <c r="H255" s="27" t="str">
        <f aca="false">IF(G255="","",IF(G255="?","⚠ pub inconnue",IFERROR(INDEX(Pubs!$B$2:$B$3001,MATCH(G255,Pubs!$A$2:$A$3001,0))&amp;"","⚠ pub inconnue")))</f>
        <v/>
      </c>
      <c r="I255" s="27" t="str">
        <f aca="false">IF(OR(G255="",G255="?"),"",IFERROR(INDEX(Pubs!$C$2:$C$3001,MATCH(G255,Pubs!$A$2:$A$3001,0))&amp;"",""))</f>
        <v/>
      </c>
      <c r="J255" s="27" t="str">
        <f aca="false">IF(OR(G255="",G255="?"),"",IFERROR(INDEX(Pubs!$G$2:$G$3001,MATCH(G255,Pubs!$A$2:$A$3001,0))&amp;"",""))</f>
        <v/>
      </c>
      <c r="K255" s="28" t="str">
        <f aca="false">IF(OR(G255="",G255="?"),"",IFERROR(INDEX(Pubs!$E$2:$E$3001,MATCH(G255,Pubs!$A$2:$A$3001,0)),""))</f>
        <v/>
      </c>
      <c r="L255" s="29" t="str">
        <f aca="false">IF(A255="","",IFERROR(1/(1/INDEX(Numéros!$C$2:$C$3001,MATCH(A255&amp;"|"&amp;B255,Numéros!$F$2:$F$3001,0))),""))</f>
        <v/>
      </c>
      <c r="M255" s="27" t="str">
        <f aca="false">IF(OR(G255="",G255="?"),"",IFERROR(INDEX(Pubs!$D$2:$D$3001,MATCH(G255,Pubs!$A$2:$A$3001,0))&amp;"",""))</f>
        <v/>
      </c>
      <c r="N255" s="27" t="n">
        <f aca="false">N(N254)+IF(AND(A255&lt;&gt;"",OR(Recherche!$C$4="",A255=Recherche!$C$4),OR(Recherche!$C$5="",B255&amp;""=Recherche!$C$5&amp;""),OR(Recherche!$C$6="",IFERROR(YEAR(L255),0)=Recherche!$C$6),OR(Recherche!$C$7="",ISNUMBER(SEARCH(Recherche!$C$7,H255))),OR(Recherche!$C$8="",J255=Recherche!$C$8),OR(Recherche!$C$9="",I255=Recherche!$C$9),OR(Recherche!$C$10="",G255&amp;""=Recherche!$C$10&amp;""),OR(Recherche!$C$11="",E255=Recherche!$C$11),OR(Recherche!$C$12="",ISNUMBER(SEARCH(Recherche!$C$12,M255&amp;" "&amp;F255)))),1,0)</f>
        <v>8</v>
      </c>
    </row>
    <row r="256" customFormat="false" ht="15" hidden="false" customHeight="false" outlineLevel="0" collapsed="false">
      <c r="A256" s="19"/>
      <c r="B256" s="19"/>
      <c r="C256" s="19"/>
      <c r="D256" s="19"/>
      <c r="E256" s="22"/>
      <c r="F256" s="19"/>
      <c r="G256" s="26" t="str">
        <f aca="false">IF(D256="","",IFERROR(VALUE(LEFT(D256,FIND(" |",D256&amp;" |")-1)),"?"))</f>
        <v/>
      </c>
      <c r="H256" s="27" t="str">
        <f aca="false">IF(G256="","",IF(G256="?","⚠ pub inconnue",IFERROR(INDEX(Pubs!$B$2:$B$3001,MATCH(G256,Pubs!$A$2:$A$3001,0))&amp;"","⚠ pub inconnue")))</f>
        <v/>
      </c>
      <c r="I256" s="27" t="str">
        <f aca="false">IF(OR(G256="",G256="?"),"",IFERROR(INDEX(Pubs!$C$2:$C$3001,MATCH(G256,Pubs!$A$2:$A$3001,0))&amp;"",""))</f>
        <v/>
      </c>
      <c r="J256" s="27" t="str">
        <f aca="false">IF(OR(G256="",G256="?"),"",IFERROR(INDEX(Pubs!$G$2:$G$3001,MATCH(G256,Pubs!$A$2:$A$3001,0))&amp;"",""))</f>
        <v/>
      </c>
      <c r="K256" s="28" t="str">
        <f aca="false">IF(OR(G256="",G256="?"),"",IFERROR(INDEX(Pubs!$E$2:$E$3001,MATCH(G256,Pubs!$A$2:$A$3001,0)),""))</f>
        <v/>
      </c>
      <c r="L256" s="29" t="str">
        <f aca="false">IF(A256="","",IFERROR(1/(1/INDEX(Numéros!$C$2:$C$3001,MATCH(A256&amp;"|"&amp;B256,Numéros!$F$2:$F$3001,0))),""))</f>
        <v/>
      </c>
      <c r="M256" s="27" t="str">
        <f aca="false">IF(OR(G256="",G256="?"),"",IFERROR(INDEX(Pubs!$D$2:$D$3001,MATCH(G256,Pubs!$A$2:$A$3001,0))&amp;"",""))</f>
        <v/>
      </c>
      <c r="N256" s="27" t="n">
        <f aca="false">N(N255)+IF(AND(A256&lt;&gt;"",OR(Recherche!$C$4="",A256=Recherche!$C$4),OR(Recherche!$C$5="",B256&amp;""=Recherche!$C$5&amp;""),OR(Recherche!$C$6="",IFERROR(YEAR(L256),0)=Recherche!$C$6),OR(Recherche!$C$7="",ISNUMBER(SEARCH(Recherche!$C$7,H256))),OR(Recherche!$C$8="",J256=Recherche!$C$8),OR(Recherche!$C$9="",I256=Recherche!$C$9),OR(Recherche!$C$10="",G256&amp;""=Recherche!$C$10&amp;""),OR(Recherche!$C$11="",E256=Recherche!$C$11),OR(Recherche!$C$12="",ISNUMBER(SEARCH(Recherche!$C$12,M256&amp;" "&amp;F256)))),1,0)</f>
        <v>8</v>
      </c>
    </row>
    <row r="257" customFormat="false" ht="15" hidden="false" customHeight="false" outlineLevel="0" collapsed="false">
      <c r="A257" s="19"/>
      <c r="B257" s="19"/>
      <c r="C257" s="19"/>
      <c r="D257" s="19"/>
      <c r="E257" s="22"/>
      <c r="F257" s="19"/>
      <c r="G257" s="26" t="str">
        <f aca="false">IF(D257="","",IFERROR(VALUE(LEFT(D257,FIND(" |",D257&amp;" |")-1)),"?"))</f>
        <v/>
      </c>
      <c r="H257" s="27" t="str">
        <f aca="false">IF(G257="","",IF(G257="?","⚠ pub inconnue",IFERROR(INDEX(Pubs!$B$2:$B$3001,MATCH(G257,Pubs!$A$2:$A$3001,0))&amp;"","⚠ pub inconnue")))</f>
        <v/>
      </c>
      <c r="I257" s="27" t="str">
        <f aca="false">IF(OR(G257="",G257="?"),"",IFERROR(INDEX(Pubs!$C$2:$C$3001,MATCH(G257,Pubs!$A$2:$A$3001,0))&amp;"",""))</f>
        <v/>
      </c>
      <c r="J257" s="27" t="str">
        <f aca="false">IF(OR(G257="",G257="?"),"",IFERROR(INDEX(Pubs!$G$2:$G$3001,MATCH(G257,Pubs!$A$2:$A$3001,0))&amp;"",""))</f>
        <v/>
      </c>
      <c r="K257" s="28" t="str">
        <f aca="false">IF(OR(G257="",G257="?"),"",IFERROR(INDEX(Pubs!$E$2:$E$3001,MATCH(G257,Pubs!$A$2:$A$3001,0)),""))</f>
        <v/>
      </c>
      <c r="L257" s="29" t="str">
        <f aca="false">IF(A257="","",IFERROR(1/(1/INDEX(Numéros!$C$2:$C$3001,MATCH(A257&amp;"|"&amp;B257,Numéros!$F$2:$F$3001,0))),""))</f>
        <v/>
      </c>
      <c r="M257" s="27" t="str">
        <f aca="false">IF(OR(G257="",G257="?"),"",IFERROR(INDEX(Pubs!$D$2:$D$3001,MATCH(G257,Pubs!$A$2:$A$3001,0))&amp;"",""))</f>
        <v/>
      </c>
      <c r="N257" s="27" t="n">
        <f aca="false">N(N256)+IF(AND(A257&lt;&gt;"",OR(Recherche!$C$4="",A257=Recherche!$C$4),OR(Recherche!$C$5="",B257&amp;""=Recherche!$C$5&amp;""),OR(Recherche!$C$6="",IFERROR(YEAR(L257),0)=Recherche!$C$6),OR(Recherche!$C$7="",ISNUMBER(SEARCH(Recherche!$C$7,H257))),OR(Recherche!$C$8="",J257=Recherche!$C$8),OR(Recherche!$C$9="",I257=Recherche!$C$9),OR(Recherche!$C$10="",G257&amp;""=Recherche!$C$10&amp;""),OR(Recherche!$C$11="",E257=Recherche!$C$11),OR(Recherche!$C$12="",ISNUMBER(SEARCH(Recherche!$C$12,M257&amp;" "&amp;F257)))),1,0)</f>
        <v>8</v>
      </c>
    </row>
    <row r="258" customFormat="false" ht="15" hidden="false" customHeight="false" outlineLevel="0" collapsed="false">
      <c r="A258" s="19"/>
      <c r="B258" s="19"/>
      <c r="C258" s="19"/>
      <c r="D258" s="19"/>
      <c r="E258" s="22"/>
      <c r="F258" s="19"/>
      <c r="G258" s="26" t="str">
        <f aca="false">IF(D258="","",IFERROR(VALUE(LEFT(D258,FIND(" |",D258&amp;" |")-1)),"?"))</f>
        <v/>
      </c>
      <c r="H258" s="27" t="str">
        <f aca="false">IF(G258="","",IF(G258="?","⚠ pub inconnue",IFERROR(INDEX(Pubs!$B$2:$B$3001,MATCH(G258,Pubs!$A$2:$A$3001,0))&amp;"","⚠ pub inconnue")))</f>
        <v/>
      </c>
      <c r="I258" s="27" t="str">
        <f aca="false">IF(OR(G258="",G258="?"),"",IFERROR(INDEX(Pubs!$C$2:$C$3001,MATCH(G258,Pubs!$A$2:$A$3001,0))&amp;"",""))</f>
        <v/>
      </c>
      <c r="J258" s="27" t="str">
        <f aca="false">IF(OR(G258="",G258="?"),"",IFERROR(INDEX(Pubs!$G$2:$G$3001,MATCH(G258,Pubs!$A$2:$A$3001,0))&amp;"",""))</f>
        <v/>
      </c>
      <c r="K258" s="28" t="str">
        <f aca="false">IF(OR(G258="",G258="?"),"",IFERROR(INDEX(Pubs!$E$2:$E$3001,MATCH(G258,Pubs!$A$2:$A$3001,0)),""))</f>
        <v/>
      </c>
      <c r="L258" s="29" t="str">
        <f aca="false">IF(A258="","",IFERROR(1/(1/INDEX(Numéros!$C$2:$C$3001,MATCH(A258&amp;"|"&amp;B258,Numéros!$F$2:$F$3001,0))),""))</f>
        <v/>
      </c>
      <c r="M258" s="27" t="str">
        <f aca="false">IF(OR(G258="",G258="?"),"",IFERROR(INDEX(Pubs!$D$2:$D$3001,MATCH(G258,Pubs!$A$2:$A$3001,0))&amp;"",""))</f>
        <v/>
      </c>
      <c r="N258" s="27" t="n">
        <f aca="false">N(N257)+IF(AND(A258&lt;&gt;"",OR(Recherche!$C$4="",A258=Recherche!$C$4),OR(Recherche!$C$5="",B258&amp;""=Recherche!$C$5&amp;""),OR(Recherche!$C$6="",IFERROR(YEAR(L258),0)=Recherche!$C$6),OR(Recherche!$C$7="",ISNUMBER(SEARCH(Recherche!$C$7,H258))),OR(Recherche!$C$8="",J258=Recherche!$C$8),OR(Recherche!$C$9="",I258=Recherche!$C$9),OR(Recherche!$C$10="",G258&amp;""=Recherche!$C$10&amp;""),OR(Recherche!$C$11="",E258=Recherche!$C$11),OR(Recherche!$C$12="",ISNUMBER(SEARCH(Recherche!$C$12,M258&amp;" "&amp;F258)))),1,0)</f>
        <v>8</v>
      </c>
    </row>
    <row r="259" customFormat="false" ht="15" hidden="false" customHeight="false" outlineLevel="0" collapsed="false">
      <c r="A259" s="19"/>
      <c r="B259" s="19"/>
      <c r="C259" s="19"/>
      <c r="D259" s="19"/>
      <c r="E259" s="22"/>
      <c r="F259" s="19"/>
      <c r="G259" s="26" t="str">
        <f aca="false">IF(D259="","",IFERROR(VALUE(LEFT(D259,FIND(" |",D259&amp;" |")-1)),"?"))</f>
        <v/>
      </c>
      <c r="H259" s="27" t="str">
        <f aca="false">IF(G259="","",IF(G259="?","⚠ pub inconnue",IFERROR(INDEX(Pubs!$B$2:$B$3001,MATCH(G259,Pubs!$A$2:$A$3001,0))&amp;"","⚠ pub inconnue")))</f>
        <v/>
      </c>
      <c r="I259" s="27" t="str">
        <f aca="false">IF(OR(G259="",G259="?"),"",IFERROR(INDEX(Pubs!$C$2:$C$3001,MATCH(G259,Pubs!$A$2:$A$3001,0))&amp;"",""))</f>
        <v/>
      </c>
      <c r="J259" s="27" t="str">
        <f aca="false">IF(OR(G259="",G259="?"),"",IFERROR(INDEX(Pubs!$G$2:$G$3001,MATCH(G259,Pubs!$A$2:$A$3001,0))&amp;"",""))</f>
        <v/>
      </c>
      <c r="K259" s="28" t="str">
        <f aca="false">IF(OR(G259="",G259="?"),"",IFERROR(INDEX(Pubs!$E$2:$E$3001,MATCH(G259,Pubs!$A$2:$A$3001,0)),""))</f>
        <v/>
      </c>
      <c r="L259" s="29" t="str">
        <f aca="false">IF(A259="","",IFERROR(1/(1/INDEX(Numéros!$C$2:$C$3001,MATCH(A259&amp;"|"&amp;B259,Numéros!$F$2:$F$3001,0))),""))</f>
        <v/>
      </c>
      <c r="M259" s="27" t="str">
        <f aca="false">IF(OR(G259="",G259="?"),"",IFERROR(INDEX(Pubs!$D$2:$D$3001,MATCH(G259,Pubs!$A$2:$A$3001,0))&amp;"",""))</f>
        <v/>
      </c>
      <c r="N259" s="27" t="n">
        <f aca="false">N(N258)+IF(AND(A259&lt;&gt;"",OR(Recherche!$C$4="",A259=Recherche!$C$4),OR(Recherche!$C$5="",B259&amp;""=Recherche!$C$5&amp;""),OR(Recherche!$C$6="",IFERROR(YEAR(L259),0)=Recherche!$C$6),OR(Recherche!$C$7="",ISNUMBER(SEARCH(Recherche!$C$7,H259))),OR(Recherche!$C$8="",J259=Recherche!$C$8),OR(Recherche!$C$9="",I259=Recherche!$C$9),OR(Recherche!$C$10="",G259&amp;""=Recherche!$C$10&amp;""),OR(Recherche!$C$11="",E259=Recherche!$C$11),OR(Recherche!$C$12="",ISNUMBER(SEARCH(Recherche!$C$12,M259&amp;" "&amp;F259)))),1,0)</f>
        <v>8</v>
      </c>
    </row>
    <row r="260" customFormat="false" ht="15" hidden="false" customHeight="false" outlineLevel="0" collapsed="false">
      <c r="A260" s="19"/>
      <c r="B260" s="19"/>
      <c r="C260" s="19"/>
      <c r="D260" s="19"/>
      <c r="E260" s="22"/>
      <c r="F260" s="19"/>
      <c r="G260" s="26" t="str">
        <f aca="false">IF(D260="","",IFERROR(VALUE(LEFT(D260,FIND(" |",D260&amp;" |")-1)),"?"))</f>
        <v/>
      </c>
      <c r="H260" s="27" t="str">
        <f aca="false">IF(G260="","",IF(G260="?","⚠ pub inconnue",IFERROR(INDEX(Pubs!$B$2:$B$3001,MATCH(G260,Pubs!$A$2:$A$3001,0))&amp;"","⚠ pub inconnue")))</f>
        <v/>
      </c>
      <c r="I260" s="27" t="str">
        <f aca="false">IF(OR(G260="",G260="?"),"",IFERROR(INDEX(Pubs!$C$2:$C$3001,MATCH(G260,Pubs!$A$2:$A$3001,0))&amp;"",""))</f>
        <v/>
      </c>
      <c r="J260" s="27" t="str">
        <f aca="false">IF(OR(G260="",G260="?"),"",IFERROR(INDEX(Pubs!$G$2:$G$3001,MATCH(G260,Pubs!$A$2:$A$3001,0))&amp;"",""))</f>
        <v/>
      </c>
      <c r="K260" s="28" t="str">
        <f aca="false">IF(OR(G260="",G260="?"),"",IFERROR(INDEX(Pubs!$E$2:$E$3001,MATCH(G260,Pubs!$A$2:$A$3001,0)),""))</f>
        <v/>
      </c>
      <c r="L260" s="29" t="str">
        <f aca="false">IF(A260="","",IFERROR(1/(1/INDEX(Numéros!$C$2:$C$3001,MATCH(A260&amp;"|"&amp;B260,Numéros!$F$2:$F$3001,0))),""))</f>
        <v/>
      </c>
      <c r="M260" s="27" t="str">
        <f aca="false">IF(OR(G260="",G260="?"),"",IFERROR(INDEX(Pubs!$D$2:$D$3001,MATCH(G260,Pubs!$A$2:$A$3001,0))&amp;"",""))</f>
        <v/>
      </c>
      <c r="N260" s="27" t="n">
        <f aca="false">N(N259)+IF(AND(A260&lt;&gt;"",OR(Recherche!$C$4="",A260=Recherche!$C$4),OR(Recherche!$C$5="",B260&amp;""=Recherche!$C$5&amp;""),OR(Recherche!$C$6="",IFERROR(YEAR(L260),0)=Recherche!$C$6),OR(Recherche!$C$7="",ISNUMBER(SEARCH(Recherche!$C$7,H260))),OR(Recherche!$C$8="",J260=Recherche!$C$8),OR(Recherche!$C$9="",I260=Recherche!$C$9),OR(Recherche!$C$10="",G260&amp;""=Recherche!$C$10&amp;""),OR(Recherche!$C$11="",E260=Recherche!$C$11),OR(Recherche!$C$12="",ISNUMBER(SEARCH(Recherche!$C$12,M260&amp;" "&amp;F260)))),1,0)</f>
        <v>8</v>
      </c>
    </row>
    <row r="261" customFormat="false" ht="15" hidden="false" customHeight="false" outlineLevel="0" collapsed="false">
      <c r="A261" s="19"/>
      <c r="B261" s="19"/>
      <c r="C261" s="19"/>
      <c r="D261" s="19"/>
      <c r="E261" s="22"/>
      <c r="F261" s="19"/>
      <c r="G261" s="26" t="str">
        <f aca="false">IF(D261="","",IFERROR(VALUE(LEFT(D261,FIND(" |",D261&amp;" |")-1)),"?"))</f>
        <v/>
      </c>
      <c r="H261" s="27" t="str">
        <f aca="false">IF(G261="","",IF(G261="?","⚠ pub inconnue",IFERROR(INDEX(Pubs!$B$2:$B$3001,MATCH(G261,Pubs!$A$2:$A$3001,0))&amp;"","⚠ pub inconnue")))</f>
        <v/>
      </c>
      <c r="I261" s="27" t="str">
        <f aca="false">IF(OR(G261="",G261="?"),"",IFERROR(INDEX(Pubs!$C$2:$C$3001,MATCH(G261,Pubs!$A$2:$A$3001,0))&amp;"",""))</f>
        <v/>
      </c>
      <c r="J261" s="27" t="str">
        <f aca="false">IF(OR(G261="",G261="?"),"",IFERROR(INDEX(Pubs!$G$2:$G$3001,MATCH(G261,Pubs!$A$2:$A$3001,0))&amp;"",""))</f>
        <v/>
      </c>
      <c r="K261" s="28" t="str">
        <f aca="false">IF(OR(G261="",G261="?"),"",IFERROR(INDEX(Pubs!$E$2:$E$3001,MATCH(G261,Pubs!$A$2:$A$3001,0)),""))</f>
        <v/>
      </c>
      <c r="L261" s="29" t="str">
        <f aca="false">IF(A261="","",IFERROR(1/(1/INDEX(Numéros!$C$2:$C$3001,MATCH(A261&amp;"|"&amp;B261,Numéros!$F$2:$F$3001,0))),""))</f>
        <v/>
      </c>
      <c r="M261" s="27" t="str">
        <f aca="false">IF(OR(G261="",G261="?"),"",IFERROR(INDEX(Pubs!$D$2:$D$3001,MATCH(G261,Pubs!$A$2:$A$3001,0))&amp;"",""))</f>
        <v/>
      </c>
      <c r="N261" s="27" t="n">
        <f aca="false">N(N260)+IF(AND(A261&lt;&gt;"",OR(Recherche!$C$4="",A261=Recherche!$C$4),OR(Recherche!$C$5="",B261&amp;""=Recherche!$C$5&amp;""),OR(Recherche!$C$6="",IFERROR(YEAR(L261),0)=Recherche!$C$6),OR(Recherche!$C$7="",ISNUMBER(SEARCH(Recherche!$C$7,H261))),OR(Recherche!$C$8="",J261=Recherche!$C$8),OR(Recherche!$C$9="",I261=Recherche!$C$9),OR(Recherche!$C$10="",G261&amp;""=Recherche!$C$10&amp;""),OR(Recherche!$C$11="",E261=Recherche!$C$11),OR(Recherche!$C$12="",ISNUMBER(SEARCH(Recherche!$C$12,M261&amp;" "&amp;F261)))),1,0)</f>
        <v>8</v>
      </c>
    </row>
    <row r="262" customFormat="false" ht="15" hidden="false" customHeight="false" outlineLevel="0" collapsed="false">
      <c r="A262" s="19"/>
      <c r="B262" s="19"/>
      <c r="C262" s="19"/>
      <c r="D262" s="19"/>
      <c r="E262" s="22"/>
      <c r="F262" s="19"/>
      <c r="G262" s="26" t="str">
        <f aca="false">IF(D262="","",IFERROR(VALUE(LEFT(D262,FIND(" |",D262&amp;" |")-1)),"?"))</f>
        <v/>
      </c>
      <c r="H262" s="27" t="str">
        <f aca="false">IF(G262="","",IF(G262="?","⚠ pub inconnue",IFERROR(INDEX(Pubs!$B$2:$B$3001,MATCH(G262,Pubs!$A$2:$A$3001,0))&amp;"","⚠ pub inconnue")))</f>
        <v/>
      </c>
      <c r="I262" s="27" t="str">
        <f aca="false">IF(OR(G262="",G262="?"),"",IFERROR(INDEX(Pubs!$C$2:$C$3001,MATCH(G262,Pubs!$A$2:$A$3001,0))&amp;"",""))</f>
        <v/>
      </c>
      <c r="J262" s="27" t="str">
        <f aca="false">IF(OR(G262="",G262="?"),"",IFERROR(INDEX(Pubs!$G$2:$G$3001,MATCH(G262,Pubs!$A$2:$A$3001,0))&amp;"",""))</f>
        <v/>
      </c>
      <c r="K262" s="28" t="str">
        <f aca="false">IF(OR(G262="",G262="?"),"",IFERROR(INDEX(Pubs!$E$2:$E$3001,MATCH(G262,Pubs!$A$2:$A$3001,0)),""))</f>
        <v/>
      </c>
      <c r="L262" s="29" t="str">
        <f aca="false">IF(A262="","",IFERROR(1/(1/INDEX(Numéros!$C$2:$C$3001,MATCH(A262&amp;"|"&amp;B262,Numéros!$F$2:$F$3001,0))),""))</f>
        <v/>
      </c>
      <c r="M262" s="27" t="str">
        <f aca="false">IF(OR(G262="",G262="?"),"",IFERROR(INDEX(Pubs!$D$2:$D$3001,MATCH(G262,Pubs!$A$2:$A$3001,0))&amp;"",""))</f>
        <v/>
      </c>
      <c r="N262" s="27" t="n">
        <f aca="false">N(N261)+IF(AND(A262&lt;&gt;"",OR(Recherche!$C$4="",A262=Recherche!$C$4),OR(Recherche!$C$5="",B262&amp;""=Recherche!$C$5&amp;""),OR(Recherche!$C$6="",IFERROR(YEAR(L262),0)=Recherche!$C$6),OR(Recherche!$C$7="",ISNUMBER(SEARCH(Recherche!$C$7,H262))),OR(Recherche!$C$8="",J262=Recherche!$C$8),OR(Recherche!$C$9="",I262=Recherche!$C$9),OR(Recherche!$C$10="",G262&amp;""=Recherche!$C$10&amp;""),OR(Recherche!$C$11="",E262=Recherche!$C$11),OR(Recherche!$C$12="",ISNUMBER(SEARCH(Recherche!$C$12,M262&amp;" "&amp;F262)))),1,0)</f>
        <v>8</v>
      </c>
    </row>
    <row r="263" customFormat="false" ht="15" hidden="false" customHeight="false" outlineLevel="0" collapsed="false">
      <c r="A263" s="19"/>
      <c r="B263" s="19"/>
      <c r="C263" s="19"/>
      <c r="D263" s="19"/>
      <c r="E263" s="22"/>
      <c r="F263" s="19"/>
      <c r="G263" s="26" t="str">
        <f aca="false">IF(D263="","",IFERROR(VALUE(LEFT(D263,FIND(" |",D263&amp;" |")-1)),"?"))</f>
        <v/>
      </c>
      <c r="H263" s="27" t="str">
        <f aca="false">IF(G263="","",IF(G263="?","⚠ pub inconnue",IFERROR(INDEX(Pubs!$B$2:$B$3001,MATCH(G263,Pubs!$A$2:$A$3001,0))&amp;"","⚠ pub inconnue")))</f>
        <v/>
      </c>
      <c r="I263" s="27" t="str">
        <f aca="false">IF(OR(G263="",G263="?"),"",IFERROR(INDEX(Pubs!$C$2:$C$3001,MATCH(G263,Pubs!$A$2:$A$3001,0))&amp;"",""))</f>
        <v/>
      </c>
      <c r="J263" s="27" t="str">
        <f aca="false">IF(OR(G263="",G263="?"),"",IFERROR(INDEX(Pubs!$G$2:$G$3001,MATCH(G263,Pubs!$A$2:$A$3001,0))&amp;"",""))</f>
        <v/>
      </c>
      <c r="K263" s="28" t="str">
        <f aca="false">IF(OR(G263="",G263="?"),"",IFERROR(INDEX(Pubs!$E$2:$E$3001,MATCH(G263,Pubs!$A$2:$A$3001,0)),""))</f>
        <v/>
      </c>
      <c r="L263" s="29" t="str">
        <f aca="false">IF(A263="","",IFERROR(1/(1/INDEX(Numéros!$C$2:$C$3001,MATCH(A263&amp;"|"&amp;B263,Numéros!$F$2:$F$3001,0))),""))</f>
        <v/>
      </c>
      <c r="M263" s="27" t="str">
        <f aca="false">IF(OR(G263="",G263="?"),"",IFERROR(INDEX(Pubs!$D$2:$D$3001,MATCH(G263,Pubs!$A$2:$A$3001,0))&amp;"",""))</f>
        <v/>
      </c>
      <c r="N263" s="27" t="n">
        <f aca="false">N(N262)+IF(AND(A263&lt;&gt;"",OR(Recherche!$C$4="",A263=Recherche!$C$4),OR(Recherche!$C$5="",B263&amp;""=Recherche!$C$5&amp;""),OR(Recherche!$C$6="",IFERROR(YEAR(L263),0)=Recherche!$C$6),OR(Recherche!$C$7="",ISNUMBER(SEARCH(Recherche!$C$7,H263))),OR(Recherche!$C$8="",J263=Recherche!$C$8),OR(Recherche!$C$9="",I263=Recherche!$C$9),OR(Recherche!$C$10="",G263&amp;""=Recherche!$C$10&amp;""),OR(Recherche!$C$11="",E263=Recherche!$C$11),OR(Recherche!$C$12="",ISNUMBER(SEARCH(Recherche!$C$12,M263&amp;" "&amp;F263)))),1,0)</f>
        <v>8</v>
      </c>
    </row>
    <row r="264" customFormat="false" ht="15" hidden="false" customHeight="false" outlineLevel="0" collapsed="false">
      <c r="A264" s="19"/>
      <c r="B264" s="19"/>
      <c r="C264" s="19"/>
      <c r="D264" s="19"/>
      <c r="E264" s="22"/>
      <c r="F264" s="19"/>
      <c r="G264" s="26" t="str">
        <f aca="false">IF(D264="","",IFERROR(VALUE(LEFT(D264,FIND(" |",D264&amp;" |")-1)),"?"))</f>
        <v/>
      </c>
      <c r="H264" s="27" t="str">
        <f aca="false">IF(G264="","",IF(G264="?","⚠ pub inconnue",IFERROR(INDEX(Pubs!$B$2:$B$3001,MATCH(G264,Pubs!$A$2:$A$3001,0))&amp;"","⚠ pub inconnue")))</f>
        <v/>
      </c>
      <c r="I264" s="27" t="str">
        <f aca="false">IF(OR(G264="",G264="?"),"",IFERROR(INDEX(Pubs!$C$2:$C$3001,MATCH(G264,Pubs!$A$2:$A$3001,0))&amp;"",""))</f>
        <v/>
      </c>
      <c r="J264" s="27" t="str">
        <f aca="false">IF(OR(G264="",G264="?"),"",IFERROR(INDEX(Pubs!$G$2:$G$3001,MATCH(G264,Pubs!$A$2:$A$3001,0))&amp;"",""))</f>
        <v/>
      </c>
      <c r="K264" s="28" t="str">
        <f aca="false">IF(OR(G264="",G264="?"),"",IFERROR(INDEX(Pubs!$E$2:$E$3001,MATCH(G264,Pubs!$A$2:$A$3001,0)),""))</f>
        <v/>
      </c>
      <c r="L264" s="29" t="str">
        <f aca="false">IF(A264="","",IFERROR(1/(1/INDEX(Numéros!$C$2:$C$3001,MATCH(A264&amp;"|"&amp;B264,Numéros!$F$2:$F$3001,0))),""))</f>
        <v/>
      </c>
      <c r="M264" s="27" t="str">
        <f aca="false">IF(OR(G264="",G264="?"),"",IFERROR(INDEX(Pubs!$D$2:$D$3001,MATCH(G264,Pubs!$A$2:$A$3001,0))&amp;"",""))</f>
        <v/>
      </c>
      <c r="N264" s="27" t="n">
        <f aca="false">N(N263)+IF(AND(A264&lt;&gt;"",OR(Recherche!$C$4="",A264=Recherche!$C$4),OR(Recherche!$C$5="",B264&amp;""=Recherche!$C$5&amp;""),OR(Recherche!$C$6="",IFERROR(YEAR(L264),0)=Recherche!$C$6),OR(Recherche!$C$7="",ISNUMBER(SEARCH(Recherche!$C$7,H264))),OR(Recherche!$C$8="",J264=Recherche!$C$8),OR(Recherche!$C$9="",I264=Recherche!$C$9),OR(Recherche!$C$10="",G264&amp;""=Recherche!$C$10&amp;""),OR(Recherche!$C$11="",E264=Recherche!$C$11),OR(Recherche!$C$12="",ISNUMBER(SEARCH(Recherche!$C$12,M264&amp;" "&amp;F264)))),1,0)</f>
        <v>8</v>
      </c>
    </row>
    <row r="265" customFormat="false" ht="15" hidden="false" customHeight="false" outlineLevel="0" collapsed="false">
      <c r="A265" s="19"/>
      <c r="B265" s="19"/>
      <c r="C265" s="19"/>
      <c r="D265" s="19"/>
      <c r="E265" s="22"/>
      <c r="F265" s="19"/>
      <c r="G265" s="26" t="str">
        <f aca="false">IF(D265="","",IFERROR(VALUE(LEFT(D265,FIND(" |",D265&amp;" |")-1)),"?"))</f>
        <v/>
      </c>
      <c r="H265" s="27" t="str">
        <f aca="false">IF(G265="","",IF(G265="?","⚠ pub inconnue",IFERROR(INDEX(Pubs!$B$2:$B$3001,MATCH(G265,Pubs!$A$2:$A$3001,0))&amp;"","⚠ pub inconnue")))</f>
        <v/>
      </c>
      <c r="I265" s="27" t="str">
        <f aca="false">IF(OR(G265="",G265="?"),"",IFERROR(INDEX(Pubs!$C$2:$C$3001,MATCH(G265,Pubs!$A$2:$A$3001,0))&amp;"",""))</f>
        <v/>
      </c>
      <c r="J265" s="27" t="str">
        <f aca="false">IF(OR(G265="",G265="?"),"",IFERROR(INDEX(Pubs!$G$2:$G$3001,MATCH(G265,Pubs!$A$2:$A$3001,0))&amp;"",""))</f>
        <v/>
      </c>
      <c r="K265" s="28" t="str">
        <f aca="false">IF(OR(G265="",G265="?"),"",IFERROR(INDEX(Pubs!$E$2:$E$3001,MATCH(G265,Pubs!$A$2:$A$3001,0)),""))</f>
        <v/>
      </c>
      <c r="L265" s="29" t="str">
        <f aca="false">IF(A265="","",IFERROR(1/(1/INDEX(Numéros!$C$2:$C$3001,MATCH(A265&amp;"|"&amp;B265,Numéros!$F$2:$F$3001,0))),""))</f>
        <v/>
      </c>
      <c r="M265" s="27" t="str">
        <f aca="false">IF(OR(G265="",G265="?"),"",IFERROR(INDEX(Pubs!$D$2:$D$3001,MATCH(G265,Pubs!$A$2:$A$3001,0))&amp;"",""))</f>
        <v/>
      </c>
      <c r="N265" s="27" t="n">
        <f aca="false">N(N264)+IF(AND(A265&lt;&gt;"",OR(Recherche!$C$4="",A265=Recherche!$C$4),OR(Recherche!$C$5="",B265&amp;""=Recherche!$C$5&amp;""),OR(Recherche!$C$6="",IFERROR(YEAR(L265),0)=Recherche!$C$6),OR(Recherche!$C$7="",ISNUMBER(SEARCH(Recherche!$C$7,H265))),OR(Recherche!$C$8="",J265=Recherche!$C$8),OR(Recherche!$C$9="",I265=Recherche!$C$9),OR(Recherche!$C$10="",G265&amp;""=Recherche!$C$10&amp;""),OR(Recherche!$C$11="",E265=Recherche!$C$11),OR(Recherche!$C$12="",ISNUMBER(SEARCH(Recherche!$C$12,M265&amp;" "&amp;F265)))),1,0)</f>
        <v>8</v>
      </c>
    </row>
    <row r="266" customFormat="false" ht="15" hidden="false" customHeight="false" outlineLevel="0" collapsed="false">
      <c r="A266" s="19"/>
      <c r="B266" s="19"/>
      <c r="C266" s="19"/>
      <c r="D266" s="19"/>
      <c r="E266" s="22"/>
      <c r="F266" s="19"/>
      <c r="G266" s="26" t="str">
        <f aca="false">IF(D266="","",IFERROR(VALUE(LEFT(D266,FIND(" |",D266&amp;" |")-1)),"?"))</f>
        <v/>
      </c>
      <c r="H266" s="27" t="str">
        <f aca="false">IF(G266="","",IF(G266="?","⚠ pub inconnue",IFERROR(INDEX(Pubs!$B$2:$B$3001,MATCH(G266,Pubs!$A$2:$A$3001,0))&amp;"","⚠ pub inconnue")))</f>
        <v/>
      </c>
      <c r="I266" s="27" t="str">
        <f aca="false">IF(OR(G266="",G266="?"),"",IFERROR(INDEX(Pubs!$C$2:$C$3001,MATCH(G266,Pubs!$A$2:$A$3001,0))&amp;"",""))</f>
        <v/>
      </c>
      <c r="J266" s="27" t="str">
        <f aca="false">IF(OR(G266="",G266="?"),"",IFERROR(INDEX(Pubs!$G$2:$G$3001,MATCH(G266,Pubs!$A$2:$A$3001,0))&amp;"",""))</f>
        <v/>
      </c>
      <c r="K266" s="28" t="str">
        <f aca="false">IF(OR(G266="",G266="?"),"",IFERROR(INDEX(Pubs!$E$2:$E$3001,MATCH(G266,Pubs!$A$2:$A$3001,0)),""))</f>
        <v/>
      </c>
      <c r="L266" s="29" t="str">
        <f aca="false">IF(A266="","",IFERROR(1/(1/INDEX(Numéros!$C$2:$C$3001,MATCH(A266&amp;"|"&amp;B266,Numéros!$F$2:$F$3001,0))),""))</f>
        <v/>
      </c>
      <c r="M266" s="27" t="str">
        <f aca="false">IF(OR(G266="",G266="?"),"",IFERROR(INDEX(Pubs!$D$2:$D$3001,MATCH(G266,Pubs!$A$2:$A$3001,0))&amp;"",""))</f>
        <v/>
      </c>
      <c r="N266" s="27" t="n">
        <f aca="false">N(N265)+IF(AND(A266&lt;&gt;"",OR(Recherche!$C$4="",A266=Recherche!$C$4),OR(Recherche!$C$5="",B266&amp;""=Recherche!$C$5&amp;""),OR(Recherche!$C$6="",IFERROR(YEAR(L266),0)=Recherche!$C$6),OR(Recherche!$C$7="",ISNUMBER(SEARCH(Recherche!$C$7,H266))),OR(Recherche!$C$8="",J266=Recherche!$C$8),OR(Recherche!$C$9="",I266=Recherche!$C$9),OR(Recherche!$C$10="",G266&amp;""=Recherche!$C$10&amp;""),OR(Recherche!$C$11="",E266=Recherche!$C$11),OR(Recherche!$C$12="",ISNUMBER(SEARCH(Recherche!$C$12,M266&amp;" "&amp;F266)))),1,0)</f>
        <v>8</v>
      </c>
    </row>
    <row r="267" customFormat="false" ht="15" hidden="false" customHeight="false" outlineLevel="0" collapsed="false">
      <c r="A267" s="19"/>
      <c r="B267" s="19"/>
      <c r="C267" s="19"/>
      <c r="D267" s="19"/>
      <c r="E267" s="22"/>
      <c r="F267" s="19"/>
      <c r="G267" s="26" t="str">
        <f aca="false">IF(D267="","",IFERROR(VALUE(LEFT(D267,FIND(" |",D267&amp;" |")-1)),"?"))</f>
        <v/>
      </c>
      <c r="H267" s="27" t="str">
        <f aca="false">IF(G267="","",IF(G267="?","⚠ pub inconnue",IFERROR(INDEX(Pubs!$B$2:$B$3001,MATCH(G267,Pubs!$A$2:$A$3001,0))&amp;"","⚠ pub inconnue")))</f>
        <v/>
      </c>
      <c r="I267" s="27" t="str">
        <f aca="false">IF(OR(G267="",G267="?"),"",IFERROR(INDEX(Pubs!$C$2:$C$3001,MATCH(G267,Pubs!$A$2:$A$3001,0))&amp;"",""))</f>
        <v/>
      </c>
      <c r="J267" s="27" t="str">
        <f aca="false">IF(OR(G267="",G267="?"),"",IFERROR(INDEX(Pubs!$G$2:$G$3001,MATCH(G267,Pubs!$A$2:$A$3001,0))&amp;"",""))</f>
        <v/>
      </c>
      <c r="K267" s="28" t="str">
        <f aca="false">IF(OR(G267="",G267="?"),"",IFERROR(INDEX(Pubs!$E$2:$E$3001,MATCH(G267,Pubs!$A$2:$A$3001,0)),""))</f>
        <v/>
      </c>
      <c r="L267" s="29" t="str">
        <f aca="false">IF(A267="","",IFERROR(1/(1/INDEX(Numéros!$C$2:$C$3001,MATCH(A267&amp;"|"&amp;B267,Numéros!$F$2:$F$3001,0))),""))</f>
        <v/>
      </c>
      <c r="M267" s="27" t="str">
        <f aca="false">IF(OR(G267="",G267="?"),"",IFERROR(INDEX(Pubs!$D$2:$D$3001,MATCH(G267,Pubs!$A$2:$A$3001,0))&amp;"",""))</f>
        <v/>
      </c>
      <c r="N267" s="27" t="n">
        <f aca="false">N(N266)+IF(AND(A267&lt;&gt;"",OR(Recherche!$C$4="",A267=Recherche!$C$4),OR(Recherche!$C$5="",B267&amp;""=Recherche!$C$5&amp;""),OR(Recherche!$C$6="",IFERROR(YEAR(L267),0)=Recherche!$C$6),OR(Recherche!$C$7="",ISNUMBER(SEARCH(Recherche!$C$7,H267))),OR(Recherche!$C$8="",J267=Recherche!$C$8),OR(Recherche!$C$9="",I267=Recherche!$C$9),OR(Recherche!$C$10="",G267&amp;""=Recherche!$C$10&amp;""),OR(Recherche!$C$11="",E267=Recherche!$C$11),OR(Recherche!$C$12="",ISNUMBER(SEARCH(Recherche!$C$12,M267&amp;" "&amp;F267)))),1,0)</f>
        <v>8</v>
      </c>
    </row>
    <row r="268" customFormat="false" ht="15" hidden="false" customHeight="false" outlineLevel="0" collapsed="false">
      <c r="A268" s="19"/>
      <c r="B268" s="19"/>
      <c r="C268" s="19"/>
      <c r="D268" s="19"/>
      <c r="E268" s="22"/>
      <c r="F268" s="19"/>
      <c r="G268" s="26" t="str">
        <f aca="false">IF(D268="","",IFERROR(VALUE(LEFT(D268,FIND(" |",D268&amp;" |")-1)),"?"))</f>
        <v/>
      </c>
      <c r="H268" s="27" t="str">
        <f aca="false">IF(G268="","",IF(G268="?","⚠ pub inconnue",IFERROR(INDEX(Pubs!$B$2:$B$3001,MATCH(G268,Pubs!$A$2:$A$3001,0))&amp;"","⚠ pub inconnue")))</f>
        <v/>
      </c>
      <c r="I268" s="27" t="str">
        <f aca="false">IF(OR(G268="",G268="?"),"",IFERROR(INDEX(Pubs!$C$2:$C$3001,MATCH(G268,Pubs!$A$2:$A$3001,0))&amp;"",""))</f>
        <v/>
      </c>
      <c r="J268" s="27" t="str">
        <f aca="false">IF(OR(G268="",G268="?"),"",IFERROR(INDEX(Pubs!$G$2:$G$3001,MATCH(G268,Pubs!$A$2:$A$3001,0))&amp;"",""))</f>
        <v/>
      </c>
      <c r="K268" s="28" t="str">
        <f aca="false">IF(OR(G268="",G268="?"),"",IFERROR(INDEX(Pubs!$E$2:$E$3001,MATCH(G268,Pubs!$A$2:$A$3001,0)),""))</f>
        <v/>
      </c>
      <c r="L268" s="29" t="str">
        <f aca="false">IF(A268="","",IFERROR(1/(1/INDEX(Numéros!$C$2:$C$3001,MATCH(A268&amp;"|"&amp;B268,Numéros!$F$2:$F$3001,0))),""))</f>
        <v/>
      </c>
      <c r="M268" s="27" t="str">
        <f aca="false">IF(OR(G268="",G268="?"),"",IFERROR(INDEX(Pubs!$D$2:$D$3001,MATCH(G268,Pubs!$A$2:$A$3001,0))&amp;"",""))</f>
        <v/>
      </c>
      <c r="N268" s="27" t="n">
        <f aca="false">N(N267)+IF(AND(A268&lt;&gt;"",OR(Recherche!$C$4="",A268=Recherche!$C$4),OR(Recherche!$C$5="",B268&amp;""=Recherche!$C$5&amp;""),OR(Recherche!$C$6="",IFERROR(YEAR(L268),0)=Recherche!$C$6),OR(Recherche!$C$7="",ISNUMBER(SEARCH(Recherche!$C$7,H268))),OR(Recherche!$C$8="",J268=Recherche!$C$8),OR(Recherche!$C$9="",I268=Recherche!$C$9),OR(Recherche!$C$10="",G268&amp;""=Recherche!$C$10&amp;""),OR(Recherche!$C$11="",E268=Recherche!$C$11),OR(Recherche!$C$12="",ISNUMBER(SEARCH(Recherche!$C$12,M268&amp;" "&amp;F268)))),1,0)</f>
        <v>8</v>
      </c>
    </row>
    <row r="269" customFormat="false" ht="15" hidden="false" customHeight="false" outlineLevel="0" collapsed="false">
      <c r="A269" s="19"/>
      <c r="B269" s="19"/>
      <c r="C269" s="19"/>
      <c r="D269" s="19"/>
      <c r="E269" s="22"/>
      <c r="F269" s="19"/>
      <c r="G269" s="26" t="str">
        <f aca="false">IF(D269="","",IFERROR(VALUE(LEFT(D269,FIND(" |",D269&amp;" |")-1)),"?"))</f>
        <v/>
      </c>
      <c r="H269" s="27" t="str">
        <f aca="false">IF(G269="","",IF(G269="?","⚠ pub inconnue",IFERROR(INDEX(Pubs!$B$2:$B$3001,MATCH(G269,Pubs!$A$2:$A$3001,0))&amp;"","⚠ pub inconnue")))</f>
        <v/>
      </c>
      <c r="I269" s="27" t="str">
        <f aca="false">IF(OR(G269="",G269="?"),"",IFERROR(INDEX(Pubs!$C$2:$C$3001,MATCH(G269,Pubs!$A$2:$A$3001,0))&amp;"",""))</f>
        <v/>
      </c>
      <c r="J269" s="27" t="str">
        <f aca="false">IF(OR(G269="",G269="?"),"",IFERROR(INDEX(Pubs!$G$2:$G$3001,MATCH(G269,Pubs!$A$2:$A$3001,0))&amp;"",""))</f>
        <v/>
      </c>
      <c r="K269" s="28" t="str">
        <f aca="false">IF(OR(G269="",G269="?"),"",IFERROR(INDEX(Pubs!$E$2:$E$3001,MATCH(G269,Pubs!$A$2:$A$3001,0)),""))</f>
        <v/>
      </c>
      <c r="L269" s="29" t="str">
        <f aca="false">IF(A269="","",IFERROR(1/(1/INDEX(Numéros!$C$2:$C$3001,MATCH(A269&amp;"|"&amp;B269,Numéros!$F$2:$F$3001,0))),""))</f>
        <v/>
      </c>
      <c r="M269" s="27" t="str">
        <f aca="false">IF(OR(G269="",G269="?"),"",IFERROR(INDEX(Pubs!$D$2:$D$3001,MATCH(G269,Pubs!$A$2:$A$3001,0))&amp;"",""))</f>
        <v/>
      </c>
      <c r="N269" s="27" t="n">
        <f aca="false">N(N268)+IF(AND(A269&lt;&gt;"",OR(Recherche!$C$4="",A269=Recherche!$C$4),OR(Recherche!$C$5="",B269&amp;""=Recherche!$C$5&amp;""),OR(Recherche!$C$6="",IFERROR(YEAR(L269),0)=Recherche!$C$6),OR(Recherche!$C$7="",ISNUMBER(SEARCH(Recherche!$C$7,H269))),OR(Recherche!$C$8="",J269=Recherche!$C$8),OR(Recherche!$C$9="",I269=Recherche!$C$9),OR(Recherche!$C$10="",G269&amp;""=Recherche!$C$10&amp;""),OR(Recherche!$C$11="",E269=Recherche!$C$11),OR(Recherche!$C$12="",ISNUMBER(SEARCH(Recherche!$C$12,M269&amp;" "&amp;F269)))),1,0)</f>
        <v>8</v>
      </c>
    </row>
    <row r="270" customFormat="false" ht="15" hidden="false" customHeight="false" outlineLevel="0" collapsed="false">
      <c r="A270" s="19"/>
      <c r="B270" s="19"/>
      <c r="C270" s="19"/>
      <c r="D270" s="19"/>
      <c r="E270" s="22"/>
      <c r="F270" s="19"/>
      <c r="G270" s="26" t="str">
        <f aca="false">IF(D270="","",IFERROR(VALUE(LEFT(D270,FIND(" |",D270&amp;" |")-1)),"?"))</f>
        <v/>
      </c>
      <c r="H270" s="27" t="str">
        <f aca="false">IF(G270="","",IF(G270="?","⚠ pub inconnue",IFERROR(INDEX(Pubs!$B$2:$B$3001,MATCH(G270,Pubs!$A$2:$A$3001,0))&amp;"","⚠ pub inconnue")))</f>
        <v/>
      </c>
      <c r="I270" s="27" t="str">
        <f aca="false">IF(OR(G270="",G270="?"),"",IFERROR(INDEX(Pubs!$C$2:$C$3001,MATCH(G270,Pubs!$A$2:$A$3001,0))&amp;"",""))</f>
        <v/>
      </c>
      <c r="J270" s="27" t="str">
        <f aca="false">IF(OR(G270="",G270="?"),"",IFERROR(INDEX(Pubs!$G$2:$G$3001,MATCH(G270,Pubs!$A$2:$A$3001,0))&amp;"",""))</f>
        <v/>
      </c>
      <c r="K270" s="28" t="str">
        <f aca="false">IF(OR(G270="",G270="?"),"",IFERROR(INDEX(Pubs!$E$2:$E$3001,MATCH(G270,Pubs!$A$2:$A$3001,0)),""))</f>
        <v/>
      </c>
      <c r="L270" s="29" t="str">
        <f aca="false">IF(A270="","",IFERROR(1/(1/INDEX(Numéros!$C$2:$C$3001,MATCH(A270&amp;"|"&amp;B270,Numéros!$F$2:$F$3001,0))),""))</f>
        <v/>
      </c>
      <c r="M270" s="27" t="str">
        <f aca="false">IF(OR(G270="",G270="?"),"",IFERROR(INDEX(Pubs!$D$2:$D$3001,MATCH(G270,Pubs!$A$2:$A$3001,0))&amp;"",""))</f>
        <v/>
      </c>
      <c r="N270" s="27" t="n">
        <f aca="false">N(N269)+IF(AND(A270&lt;&gt;"",OR(Recherche!$C$4="",A270=Recherche!$C$4),OR(Recherche!$C$5="",B270&amp;""=Recherche!$C$5&amp;""),OR(Recherche!$C$6="",IFERROR(YEAR(L270),0)=Recherche!$C$6),OR(Recherche!$C$7="",ISNUMBER(SEARCH(Recherche!$C$7,H270))),OR(Recherche!$C$8="",J270=Recherche!$C$8),OR(Recherche!$C$9="",I270=Recherche!$C$9),OR(Recherche!$C$10="",G270&amp;""=Recherche!$C$10&amp;""),OR(Recherche!$C$11="",E270=Recherche!$C$11),OR(Recherche!$C$12="",ISNUMBER(SEARCH(Recherche!$C$12,M270&amp;" "&amp;F270)))),1,0)</f>
        <v>8</v>
      </c>
    </row>
    <row r="271" customFormat="false" ht="15" hidden="false" customHeight="false" outlineLevel="0" collapsed="false">
      <c r="A271" s="19"/>
      <c r="B271" s="19"/>
      <c r="C271" s="19"/>
      <c r="D271" s="19"/>
      <c r="E271" s="22"/>
      <c r="F271" s="19"/>
      <c r="G271" s="26" t="str">
        <f aca="false">IF(D271="","",IFERROR(VALUE(LEFT(D271,FIND(" |",D271&amp;" |")-1)),"?"))</f>
        <v/>
      </c>
      <c r="H271" s="27" t="str">
        <f aca="false">IF(G271="","",IF(G271="?","⚠ pub inconnue",IFERROR(INDEX(Pubs!$B$2:$B$3001,MATCH(G271,Pubs!$A$2:$A$3001,0))&amp;"","⚠ pub inconnue")))</f>
        <v/>
      </c>
      <c r="I271" s="27" t="str">
        <f aca="false">IF(OR(G271="",G271="?"),"",IFERROR(INDEX(Pubs!$C$2:$C$3001,MATCH(G271,Pubs!$A$2:$A$3001,0))&amp;"",""))</f>
        <v/>
      </c>
      <c r="J271" s="27" t="str">
        <f aca="false">IF(OR(G271="",G271="?"),"",IFERROR(INDEX(Pubs!$G$2:$G$3001,MATCH(G271,Pubs!$A$2:$A$3001,0))&amp;"",""))</f>
        <v/>
      </c>
      <c r="K271" s="28" t="str">
        <f aca="false">IF(OR(G271="",G271="?"),"",IFERROR(INDEX(Pubs!$E$2:$E$3001,MATCH(G271,Pubs!$A$2:$A$3001,0)),""))</f>
        <v/>
      </c>
      <c r="L271" s="29" t="str">
        <f aca="false">IF(A271="","",IFERROR(1/(1/INDEX(Numéros!$C$2:$C$3001,MATCH(A271&amp;"|"&amp;B271,Numéros!$F$2:$F$3001,0))),""))</f>
        <v/>
      </c>
      <c r="M271" s="27" t="str">
        <f aca="false">IF(OR(G271="",G271="?"),"",IFERROR(INDEX(Pubs!$D$2:$D$3001,MATCH(G271,Pubs!$A$2:$A$3001,0))&amp;"",""))</f>
        <v/>
      </c>
      <c r="N271" s="27" t="n">
        <f aca="false">N(N270)+IF(AND(A271&lt;&gt;"",OR(Recherche!$C$4="",A271=Recherche!$C$4),OR(Recherche!$C$5="",B271&amp;""=Recherche!$C$5&amp;""),OR(Recherche!$C$6="",IFERROR(YEAR(L271),0)=Recherche!$C$6),OR(Recherche!$C$7="",ISNUMBER(SEARCH(Recherche!$C$7,H271))),OR(Recherche!$C$8="",J271=Recherche!$C$8),OR(Recherche!$C$9="",I271=Recherche!$C$9),OR(Recherche!$C$10="",G271&amp;""=Recherche!$C$10&amp;""),OR(Recherche!$C$11="",E271=Recherche!$C$11),OR(Recherche!$C$12="",ISNUMBER(SEARCH(Recherche!$C$12,M271&amp;" "&amp;F271)))),1,0)</f>
        <v>8</v>
      </c>
    </row>
    <row r="272" customFormat="false" ht="15" hidden="false" customHeight="false" outlineLevel="0" collapsed="false">
      <c r="A272" s="19"/>
      <c r="B272" s="19"/>
      <c r="C272" s="19"/>
      <c r="D272" s="19"/>
      <c r="E272" s="22"/>
      <c r="F272" s="19"/>
      <c r="G272" s="26" t="str">
        <f aca="false">IF(D272="","",IFERROR(VALUE(LEFT(D272,FIND(" |",D272&amp;" |")-1)),"?"))</f>
        <v/>
      </c>
      <c r="H272" s="27" t="str">
        <f aca="false">IF(G272="","",IF(G272="?","⚠ pub inconnue",IFERROR(INDEX(Pubs!$B$2:$B$3001,MATCH(G272,Pubs!$A$2:$A$3001,0))&amp;"","⚠ pub inconnue")))</f>
        <v/>
      </c>
      <c r="I272" s="27" t="str">
        <f aca="false">IF(OR(G272="",G272="?"),"",IFERROR(INDEX(Pubs!$C$2:$C$3001,MATCH(G272,Pubs!$A$2:$A$3001,0))&amp;"",""))</f>
        <v/>
      </c>
      <c r="J272" s="27" t="str">
        <f aca="false">IF(OR(G272="",G272="?"),"",IFERROR(INDEX(Pubs!$G$2:$G$3001,MATCH(G272,Pubs!$A$2:$A$3001,0))&amp;"",""))</f>
        <v/>
      </c>
      <c r="K272" s="28" t="str">
        <f aca="false">IF(OR(G272="",G272="?"),"",IFERROR(INDEX(Pubs!$E$2:$E$3001,MATCH(G272,Pubs!$A$2:$A$3001,0)),""))</f>
        <v/>
      </c>
      <c r="L272" s="29" t="str">
        <f aca="false">IF(A272="","",IFERROR(1/(1/INDEX(Numéros!$C$2:$C$3001,MATCH(A272&amp;"|"&amp;B272,Numéros!$F$2:$F$3001,0))),""))</f>
        <v/>
      </c>
      <c r="M272" s="27" t="str">
        <f aca="false">IF(OR(G272="",G272="?"),"",IFERROR(INDEX(Pubs!$D$2:$D$3001,MATCH(G272,Pubs!$A$2:$A$3001,0))&amp;"",""))</f>
        <v/>
      </c>
      <c r="N272" s="27" t="n">
        <f aca="false">N(N271)+IF(AND(A272&lt;&gt;"",OR(Recherche!$C$4="",A272=Recherche!$C$4),OR(Recherche!$C$5="",B272&amp;""=Recherche!$C$5&amp;""),OR(Recherche!$C$6="",IFERROR(YEAR(L272),0)=Recherche!$C$6),OR(Recherche!$C$7="",ISNUMBER(SEARCH(Recherche!$C$7,H272))),OR(Recherche!$C$8="",J272=Recherche!$C$8),OR(Recherche!$C$9="",I272=Recherche!$C$9),OR(Recherche!$C$10="",G272&amp;""=Recherche!$C$10&amp;""),OR(Recherche!$C$11="",E272=Recherche!$C$11),OR(Recherche!$C$12="",ISNUMBER(SEARCH(Recherche!$C$12,M272&amp;" "&amp;F272)))),1,0)</f>
        <v>8</v>
      </c>
    </row>
    <row r="273" customFormat="false" ht="15" hidden="false" customHeight="false" outlineLevel="0" collapsed="false">
      <c r="A273" s="19"/>
      <c r="B273" s="19"/>
      <c r="C273" s="19"/>
      <c r="D273" s="19"/>
      <c r="E273" s="22"/>
      <c r="F273" s="19"/>
      <c r="G273" s="26" t="str">
        <f aca="false">IF(D273="","",IFERROR(VALUE(LEFT(D273,FIND(" |",D273&amp;" |")-1)),"?"))</f>
        <v/>
      </c>
      <c r="H273" s="27" t="str">
        <f aca="false">IF(G273="","",IF(G273="?","⚠ pub inconnue",IFERROR(INDEX(Pubs!$B$2:$B$3001,MATCH(G273,Pubs!$A$2:$A$3001,0))&amp;"","⚠ pub inconnue")))</f>
        <v/>
      </c>
      <c r="I273" s="27" t="str">
        <f aca="false">IF(OR(G273="",G273="?"),"",IFERROR(INDEX(Pubs!$C$2:$C$3001,MATCH(G273,Pubs!$A$2:$A$3001,0))&amp;"",""))</f>
        <v/>
      </c>
      <c r="J273" s="27" t="str">
        <f aca="false">IF(OR(G273="",G273="?"),"",IFERROR(INDEX(Pubs!$G$2:$G$3001,MATCH(G273,Pubs!$A$2:$A$3001,0))&amp;"",""))</f>
        <v/>
      </c>
      <c r="K273" s="28" t="str">
        <f aca="false">IF(OR(G273="",G273="?"),"",IFERROR(INDEX(Pubs!$E$2:$E$3001,MATCH(G273,Pubs!$A$2:$A$3001,0)),""))</f>
        <v/>
      </c>
      <c r="L273" s="29" t="str">
        <f aca="false">IF(A273="","",IFERROR(1/(1/INDEX(Numéros!$C$2:$C$3001,MATCH(A273&amp;"|"&amp;B273,Numéros!$F$2:$F$3001,0))),""))</f>
        <v/>
      </c>
      <c r="M273" s="27" t="str">
        <f aca="false">IF(OR(G273="",G273="?"),"",IFERROR(INDEX(Pubs!$D$2:$D$3001,MATCH(G273,Pubs!$A$2:$A$3001,0))&amp;"",""))</f>
        <v/>
      </c>
      <c r="N273" s="27" t="n">
        <f aca="false">N(N272)+IF(AND(A273&lt;&gt;"",OR(Recherche!$C$4="",A273=Recherche!$C$4),OR(Recherche!$C$5="",B273&amp;""=Recherche!$C$5&amp;""),OR(Recherche!$C$6="",IFERROR(YEAR(L273),0)=Recherche!$C$6),OR(Recherche!$C$7="",ISNUMBER(SEARCH(Recherche!$C$7,H273))),OR(Recherche!$C$8="",J273=Recherche!$C$8),OR(Recherche!$C$9="",I273=Recherche!$C$9),OR(Recherche!$C$10="",G273&amp;""=Recherche!$C$10&amp;""),OR(Recherche!$C$11="",E273=Recherche!$C$11),OR(Recherche!$C$12="",ISNUMBER(SEARCH(Recherche!$C$12,M273&amp;" "&amp;F273)))),1,0)</f>
        <v>8</v>
      </c>
    </row>
    <row r="274" customFormat="false" ht="15" hidden="false" customHeight="false" outlineLevel="0" collapsed="false">
      <c r="A274" s="19"/>
      <c r="B274" s="19"/>
      <c r="C274" s="19"/>
      <c r="D274" s="19"/>
      <c r="E274" s="22"/>
      <c r="F274" s="19"/>
      <c r="G274" s="26" t="str">
        <f aca="false">IF(D274="","",IFERROR(VALUE(LEFT(D274,FIND(" |",D274&amp;" |")-1)),"?"))</f>
        <v/>
      </c>
      <c r="H274" s="27" t="str">
        <f aca="false">IF(G274="","",IF(G274="?","⚠ pub inconnue",IFERROR(INDEX(Pubs!$B$2:$B$3001,MATCH(G274,Pubs!$A$2:$A$3001,0))&amp;"","⚠ pub inconnue")))</f>
        <v/>
      </c>
      <c r="I274" s="27" t="str">
        <f aca="false">IF(OR(G274="",G274="?"),"",IFERROR(INDEX(Pubs!$C$2:$C$3001,MATCH(G274,Pubs!$A$2:$A$3001,0))&amp;"",""))</f>
        <v/>
      </c>
      <c r="J274" s="27" t="str">
        <f aca="false">IF(OR(G274="",G274="?"),"",IFERROR(INDEX(Pubs!$G$2:$G$3001,MATCH(G274,Pubs!$A$2:$A$3001,0))&amp;"",""))</f>
        <v/>
      </c>
      <c r="K274" s="28" t="str">
        <f aca="false">IF(OR(G274="",G274="?"),"",IFERROR(INDEX(Pubs!$E$2:$E$3001,MATCH(G274,Pubs!$A$2:$A$3001,0)),""))</f>
        <v/>
      </c>
      <c r="L274" s="29" t="str">
        <f aca="false">IF(A274="","",IFERROR(1/(1/INDEX(Numéros!$C$2:$C$3001,MATCH(A274&amp;"|"&amp;B274,Numéros!$F$2:$F$3001,0))),""))</f>
        <v/>
      </c>
      <c r="M274" s="27" t="str">
        <f aca="false">IF(OR(G274="",G274="?"),"",IFERROR(INDEX(Pubs!$D$2:$D$3001,MATCH(G274,Pubs!$A$2:$A$3001,0))&amp;"",""))</f>
        <v/>
      </c>
      <c r="N274" s="27" t="n">
        <f aca="false">N(N273)+IF(AND(A274&lt;&gt;"",OR(Recherche!$C$4="",A274=Recherche!$C$4),OR(Recherche!$C$5="",B274&amp;""=Recherche!$C$5&amp;""),OR(Recherche!$C$6="",IFERROR(YEAR(L274),0)=Recherche!$C$6),OR(Recherche!$C$7="",ISNUMBER(SEARCH(Recherche!$C$7,H274))),OR(Recherche!$C$8="",J274=Recherche!$C$8),OR(Recherche!$C$9="",I274=Recherche!$C$9),OR(Recherche!$C$10="",G274&amp;""=Recherche!$C$10&amp;""),OR(Recherche!$C$11="",E274=Recherche!$C$11),OR(Recherche!$C$12="",ISNUMBER(SEARCH(Recherche!$C$12,M274&amp;" "&amp;F274)))),1,0)</f>
        <v>8</v>
      </c>
    </row>
    <row r="275" customFormat="false" ht="15" hidden="false" customHeight="false" outlineLevel="0" collapsed="false">
      <c r="A275" s="19"/>
      <c r="B275" s="19"/>
      <c r="C275" s="19"/>
      <c r="D275" s="19"/>
      <c r="E275" s="22"/>
      <c r="F275" s="19"/>
      <c r="G275" s="26" t="str">
        <f aca="false">IF(D275="","",IFERROR(VALUE(LEFT(D275,FIND(" |",D275&amp;" |")-1)),"?"))</f>
        <v/>
      </c>
      <c r="H275" s="27" t="str">
        <f aca="false">IF(G275="","",IF(G275="?","⚠ pub inconnue",IFERROR(INDEX(Pubs!$B$2:$B$3001,MATCH(G275,Pubs!$A$2:$A$3001,0))&amp;"","⚠ pub inconnue")))</f>
        <v/>
      </c>
      <c r="I275" s="27" t="str">
        <f aca="false">IF(OR(G275="",G275="?"),"",IFERROR(INDEX(Pubs!$C$2:$C$3001,MATCH(G275,Pubs!$A$2:$A$3001,0))&amp;"",""))</f>
        <v/>
      </c>
      <c r="J275" s="27" t="str">
        <f aca="false">IF(OR(G275="",G275="?"),"",IFERROR(INDEX(Pubs!$G$2:$G$3001,MATCH(G275,Pubs!$A$2:$A$3001,0))&amp;"",""))</f>
        <v/>
      </c>
      <c r="K275" s="28" t="str">
        <f aca="false">IF(OR(G275="",G275="?"),"",IFERROR(INDEX(Pubs!$E$2:$E$3001,MATCH(G275,Pubs!$A$2:$A$3001,0)),""))</f>
        <v/>
      </c>
      <c r="L275" s="29" t="str">
        <f aca="false">IF(A275="","",IFERROR(1/(1/INDEX(Numéros!$C$2:$C$3001,MATCH(A275&amp;"|"&amp;B275,Numéros!$F$2:$F$3001,0))),""))</f>
        <v/>
      </c>
      <c r="M275" s="27" t="str">
        <f aca="false">IF(OR(G275="",G275="?"),"",IFERROR(INDEX(Pubs!$D$2:$D$3001,MATCH(G275,Pubs!$A$2:$A$3001,0))&amp;"",""))</f>
        <v/>
      </c>
      <c r="N275" s="27" t="n">
        <f aca="false">N(N274)+IF(AND(A275&lt;&gt;"",OR(Recherche!$C$4="",A275=Recherche!$C$4),OR(Recherche!$C$5="",B275&amp;""=Recherche!$C$5&amp;""),OR(Recherche!$C$6="",IFERROR(YEAR(L275),0)=Recherche!$C$6),OR(Recherche!$C$7="",ISNUMBER(SEARCH(Recherche!$C$7,H275))),OR(Recherche!$C$8="",J275=Recherche!$C$8),OR(Recherche!$C$9="",I275=Recherche!$C$9),OR(Recherche!$C$10="",G275&amp;""=Recherche!$C$10&amp;""),OR(Recherche!$C$11="",E275=Recherche!$C$11),OR(Recherche!$C$12="",ISNUMBER(SEARCH(Recherche!$C$12,M275&amp;" "&amp;F275)))),1,0)</f>
        <v>8</v>
      </c>
    </row>
    <row r="276" customFormat="false" ht="15" hidden="false" customHeight="false" outlineLevel="0" collapsed="false">
      <c r="A276" s="19"/>
      <c r="B276" s="19"/>
      <c r="C276" s="19"/>
      <c r="D276" s="19"/>
      <c r="E276" s="22"/>
      <c r="F276" s="19"/>
      <c r="G276" s="26" t="str">
        <f aca="false">IF(D276="","",IFERROR(VALUE(LEFT(D276,FIND(" |",D276&amp;" |")-1)),"?"))</f>
        <v/>
      </c>
      <c r="H276" s="27" t="str">
        <f aca="false">IF(G276="","",IF(G276="?","⚠ pub inconnue",IFERROR(INDEX(Pubs!$B$2:$B$3001,MATCH(G276,Pubs!$A$2:$A$3001,0))&amp;"","⚠ pub inconnue")))</f>
        <v/>
      </c>
      <c r="I276" s="27" t="str">
        <f aca="false">IF(OR(G276="",G276="?"),"",IFERROR(INDEX(Pubs!$C$2:$C$3001,MATCH(G276,Pubs!$A$2:$A$3001,0))&amp;"",""))</f>
        <v/>
      </c>
      <c r="J276" s="27" t="str">
        <f aca="false">IF(OR(G276="",G276="?"),"",IFERROR(INDEX(Pubs!$G$2:$G$3001,MATCH(G276,Pubs!$A$2:$A$3001,0))&amp;"",""))</f>
        <v/>
      </c>
      <c r="K276" s="28" t="str">
        <f aca="false">IF(OR(G276="",G276="?"),"",IFERROR(INDEX(Pubs!$E$2:$E$3001,MATCH(G276,Pubs!$A$2:$A$3001,0)),""))</f>
        <v/>
      </c>
      <c r="L276" s="29" t="str">
        <f aca="false">IF(A276="","",IFERROR(1/(1/INDEX(Numéros!$C$2:$C$3001,MATCH(A276&amp;"|"&amp;B276,Numéros!$F$2:$F$3001,0))),""))</f>
        <v/>
      </c>
      <c r="M276" s="27" t="str">
        <f aca="false">IF(OR(G276="",G276="?"),"",IFERROR(INDEX(Pubs!$D$2:$D$3001,MATCH(G276,Pubs!$A$2:$A$3001,0))&amp;"",""))</f>
        <v/>
      </c>
      <c r="N276" s="27" t="n">
        <f aca="false">N(N275)+IF(AND(A276&lt;&gt;"",OR(Recherche!$C$4="",A276=Recherche!$C$4),OR(Recherche!$C$5="",B276&amp;""=Recherche!$C$5&amp;""),OR(Recherche!$C$6="",IFERROR(YEAR(L276),0)=Recherche!$C$6),OR(Recherche!$C$7="",ISNUMBER(SEARCH(Recherche!$C$7,H276))),OR(Recherche!$C$8="",J276=Recherche!$C$8),OR(Recherche!$C$9="",I276=Recherche!$C$9),OR(Recherche!$C$10="",G276&amp;""=Recherche!$C$10&amp;""),OR(Recherche!$C$11="",E276=Recherche!$C$11),OR(Recherche!$C$12="",ISNUMBER(SEARCH(Recherche!$C$12,M276&amp;" "&amp;F276)))),1,0)</f>
        <v>8</v>
      </c>
    </row>
    <row r="277" customFormat="false" ht="15" hidden="false" customHeight="false" outlineLevel="0" collapsed="false">
      <c r="A277" s="19"/>
      <c r="B277" s="19"/>
      <c r="C277" s="19"/>
      <c r="D277" s="19"/>
      <c r="E277" s="22"/>
      <c r="F277" s="19"/>
      <c r="G277" s="26" t="str">
        <f aca="false">IF(D277="","",IFERROR(VALUE(LEFT(D277,FIND(" |",D277&amp;" |")-1)),"?"))</f>
        <v/>
      </c>
      <c r="H277" s="27" t="str">
        <f aca="false">IF(G277="","",IF(G277="?","⚠ pub inconnue",IFERROR(INDEX(Pubs!$B$2:$B$3001,MATCH(G277,Pubs!$A$2:$A$3001,0))&amp;"","⚠ pub inconnue")))</f>
        <v/>
      </c>
      <c r="I277" s="27" t="str">
        <f aca="false">IF(OR(G277="",G277="?"),"",IFERROR(INDEX(Pubs!$C$2:$C$3001,MATCH(G277,Pubs!$A$2:$A$3001,0))&amp;"",""))</f>
        <v/>
      </c>
      <c r="J277" s="27" t="str">
        <f aca="false">IF(OR(G277="",G277="?"),"",IFERROR(INDEX(Pubs!$G$2:$G$3001,MATCH(G277,Pubs!$A$2:$A$3001,0))&amp;"",""))</f>
        <v/>
      </c>
      <c r="K277" s="28" t="str">
        <f aca="false">IF(OR(G277="",G277="?"),"",IFERROR(INDEX(Pubs!$E$2:$E$3001,MATCH(G277,Pubs!$A$2:$A$3001,0)),""))</f>
        <v/>
      </c>
      <c r="L277" s="29" t="str">
        <f aca="false">IF(A277="","",IFERROR(1/(1/INDEX(Numéros!$C$2:$C$3001,MATCH(A277&amp;"|"&amp;B277,Numéros!$F$2:$F$3001,0))),""))</f>
        <v/>
      </c>
      <c r="M277" s="27" t="str">
        <f aca="false">IF(OR(G277="",G277="?"),"",IFERROR(INDEX(Pubs!$D$2:$D$3001,MATCH(G277,Pubs!$A$2:$A$3001,0))&amp;"",""))</f>
        <v/>
      </c>
      <c r="N277" s="27" t="n">
        <f aca="false">N(N276)+IF(AND(A277&lt;&gt;"",OR(Recherche!$C$4="",A277=Recherche!$C$4),OR(Recherche!$C$5="",B277&amp;""=Recherche!$C$5&amp;""),OR(Recherche!$C$6="",IFERROR(YEAR(L277),0)=Recherche!$C$6),OR(Recherche!$C$7="",ISNUMBER(SEARCH(Recherche!$C$7,H277))),OR(Recherche!$C$8="",J277=Recherche!$C$8),OR(Recherche!$C$9="",I277=Recherche!$C$9),OR(Recherche!$C$10="",G277&amp;""=Recherche!$C$10&amp;""),OR(Recherche!$C$11="",E277=Recherche!$C$11),OR(Recherche!$C$12="",ISNUMBER(SEARCH(Recherche!$C$12,M277&amp;" "&amp;F277)))),1,0)</f>
        <v>8</v>
      </c>
    </row>
    <row r="278" customFormat="false" ht="15" hidden="false" customHeight="false" outlineLevel="0" collapsed="false">
      <c r="A278" s="19"/>
      <c r="B278" s="19"/>
      <c r="C278" s="19"/>
      <c r="D278" s="19"/>
      <c r="E278" s="22"/>
      <c r="F278" s="19"/>
      <c r="G278" s="26" t="str">
        <f aca="false">IF(D278="","",IFERROR(VALUE(LEFT(D278,FIND(" |",D278&amp;" |")-1)),"?"))</f>
        <v/>
      </c>
      <c r="H278" s="27" t="str">
        <f aca="false">IF(G278="","",IF(G278="?","⚠ pub inconnue",IFERROR(INDEX(Pubs!$B$2:$B$3001,MATCH(G278,Pubs!$A$2:$A$3001,0))&amp;"","⚠ pub inconnue")))</f>
        <v/>
      </c>
      <c r="I278" s="27" t="str">
        <f aca="false">IF(OR(G278="",G278="?"),"",IFERROR(INDEX(Pubs!$C$2:$C$3001,MATCH(G278,Pubs!$A$2:$A$3001,0))&amp;"",""))</f>
        <v/>
      </c>
      <c r="J278" s="27" t="str">
        <f aca="false">IF(OR(G278="",G278="?"),"",IFERROR(INDEX(Pubs!$G$2:$G$3001,MATCH(G278,Pubs!$A$2:$A$3001,0))&amp;"",""))</f>
        <v/>
      </c>
      <c r="K278" s="28" t="str">
        <f aca="false">IF(OR(G278="",G278="?"),"",IFERROR(INDEX(Pubs!$E$2:$E$3001,MATCH(G278,Pubs!$A$2:$A$3001,0)),""))</f>
        <v/>
      </c>
      <c r="L278" s="29" t="str">
        <f aca="false">IF(A278="","",IFERROR(1/(1/INDEX(Numéros!$C$2:$C$3001,MATCH(A278&amp;"|"&amp;B278,Numéros!$F$2:$F$3001,0))),""))</f>
        <v/>
      </c>
      <c r="M278" s="27" t="str">
        <f aca="false">IF(OR(G278="",G278="?"),"",IFERROR(INDEX(Pubs!$D$2:$D$3001,MATCH(G278,Pubs!$A$2:$A$3001,0))&amp;"",""))</f>
        <v/>
      </c>
      <c r="N278" s="27" t="n">
        <f aca="false">N(N277)+IF(AND(A278&lt;&gt;"",OR(Recherche!$C$4="",A278=Recherche!$C$4),OR(Recherche!$C$5="",B278&amp;""=Recherche!$C$5&amp;""),OR(Recherche!$C$6="",IFERROR(YEAR(L278),0)=Recherche!$C$6),OR(Recherche!$C$7="",ISNUMBER(SEARCH(Recherche!$C$7,H278))),OR(Recherche!$C$8="",J278=Recherche!$C$8),OR(Recherche!$C$9="",I278=Recherche!$C$9),OR(Recherche!$C$10="",G278&amp;""=Recherche!$C$10&amp;""),OR(Recherche!$C$11="",E278=Recherche!$C$11),OR(Recherche!$C$12="",ISNUMBER(SEARCH(Recherche!$C$12,M278&amp;" "&amp;F278)))),1,0)</f>
        <v>8</v>
      </c>
    </row>
    <row r="279" customFormat="false" ht="15" hidden="false" customHeight="false" outlineLevel="0" collapsed="false">
      <c r="A279" s="19"/>
      <c r="B279" s="19"/>
      <c r="C279" s="19"/>
      <c r="D279" s="19"/>
      <c r="E279" s="22"/>
      <c r="F279" s="19"/>
      <c r="G279" s="26" t="str">
        <f aca="false">IF(D279="","",IFERROR(VALUE(LEFT(D279,FIND(" |",D279&amp;" |")-1)),"?"))</f>
        <v/>
      </c>
      <c r="H279" s="27" t="str">
        <f aca="false">IF(G279="","",IF(G279="?","⚠ pub inconnue",IFERROR(INDEX(Pubs!$B$2:$B$3001,MATCH(G279,Pubs!$A$2:$A$3001,0))&amp;"","⚠ pub inconnue")))</f>
        <v/>
      </c>
      <c r="I279" s="27" t="str">
        <f aca="false">IF(OR(G279="",G279="?"),"",IFERROR(INDEX(Pubs!$C$2:$C$3001,MATCH(G279,Pubs!$A$2:$A$3001,0))&amp;"",""))</f>
        <v/>
      </c>
      <c r="J279" s="27" t="str">
        <f aca="false">IF(OR(G279="",G279="?"),"",IFERROR(INDEX(Pubs!$G$2:$G$3001,MATCH(G279,Pubs!$A$2:$A$3001,0))&amp;"",""))</f>
        <v/>
      </c>
      <c r="K279" s="28" t="str">
        <f aca="false">IF(OR(G279="",G279="?"),"",IFERROR(INDEX(Pubs!$E$2:$E$3001,MATCH(G279,Pubs!$A$2:$A$3001,0)),""))</f>
        <v/>
      </c>
      <c r="L279" s="29" t="str">
        <f aca="false">IF(A279="","",IFERROR(1/(1/INDEX(Numéros!$C$2:$C$3001,MATCH(A279&amp;"|"&amp;B279,Numéros!$F$2:$F$3001,0))),""))</f>
        <v/>
      </c>
      <c r="M279" s="27" t="str">
        <f aca="false">IF(OR(G279="",G279="?"),"",IFERROR(INDEX(Pubs!$D$2:$D$3001,MATCH(G279,Pubs!$A$2:$A$3001,0))&amp;"",""))</f>
        <v/>
      </c>
      <c r="N279" s="27" t="n">
        <f aca="false">N(N278)+IF(AND(A279&lt;&gt;"",OR(Recherche!$C$4="",A279=Recherche!$C$4),OR(Recherche!$C$5="",B279&amp;""=Recherche!$C$5&amp;""),OR(Recherche!$C$6="",IFERROR(YEAR(L279),0)=Recherche!$C$6),OR(Recherche!$C$7="",ISNUMBER(SEARCH(Recherche!$C$7,H279))),OR(Recherche!$C$8="",J279=Recherche!$C$8),OR(Recherche!$C$9="",I279=Recherche!$C$9),OR(Recherche!$C$10="",G279&amp;""=Recherche!$C$10&amp;""),OR(Recherche!$C$11="",E279=Recherche!$C$11),OR(Recherche!$C$12="",ISNUMBER(SEARCH(Recherche!$C$12,M279&amp;" "&amp;F279)))),1,0)</f>
        <v>8</v>
      </c>
    </row>
    <row r="280" customFormat="false" ht="15" hidden="false" customHeight="false" outlineLevel="0" collapsed="false">
      <c r="A280" s="19"/>
      <c r="B280" s="19"/>
      <c r="C280" s="19"/>
      <c r="D280" s="19"/>
      <c r="E280" s="22"/>
      <c r="F280" s="19"/>
      <c r="G280" s="26" t="str">
        <f aca="false">IF(D280="","",IFERROR(VALUE(LEFT(D280,FIND(" |",D280&amp;" |")-1)),"?"))</f>
        <v/>
      </c>
      <c r="H280" s="27" t="str">
        <f aca="false">IF(G280="","",IF(G280="?","⚠ pub inconnue",IFERROR(INDEX(Pubs!$B$2:$B$3001,MATCH(G280,Pubs!$A$2:$A$3001,0))&amp;"","⚠ pub inconnue")))</f>
        <v/>
      </c>
      <c r="I280" s="27" t="str">
        <f aca="false">IF(OR(G280="",G280="?"),"",IFERROR(INDEX(Pubs!$C$2:$C$3001,MATCH(G280,Pubs!$A$2:$A$3001,0))&amp;"",""))</f>
        <v/>
      </c>
      <c r="J280" s="27" t="str">
        <f aca="false">IF(OR(G280="",G280="?"),"",IFERROR(INDEX(Pubs!$G$2:$G$3001,MATCH(G280,Pubs!$A$2:$A$3001,0))&amp;"",""))</f>
        <v/>
      </c>
      <c r="K280" s="28" t="str">
        <f aca="false">IF(OR(G280="",G280="?"),"",IFERROR(INDEX(Pubs!$E$2:$E$3001,MATCH(G280,Pubs!$A$2:$A$3001,0)),""))</f>
        <v/>
      </c>
      <c r="L280" s="29" t="str">
        <f aca="false">IF(A280="","",IFERROR(1/(1/INDEX(Numéros!$C$2:$C$3001,MATCH(A280&amp;"|"&amp;B280,Numéros!$F$2:$F$3001,0))),""))</f>
        <v/>
      </c>
      <c r="M280" s="27" t="str">
        <f aca="false">IF(OR(G280="",G280="?"),"",IFERROR(INDEX(Pubs!$D$2:$D$3001,MATCH(G280,Pubs!$A$2:$A$3001,0))&amp;"",""))</f>
        <v/>
      </c>
      <c r="N280" s="27" t="n">
        <f aca="false">N(N279)+IF(AND(A280&lt;&gt;"",OR(Recherche!$C$4="",A280=Recherche!$C$4),OR(Recherche!$C$5="",B280&amp;""=Recherche!$C$5&amp;""),OR(Recherche!$C$6="",IFERROR(YEAR(L280),0)=Recherche!$C$6),OR(Recherche!$C$7="",ISNUMBER(SEARCH(Recherche!$C$7,H280))),OR(Recherche!$C$8="",J280=Recherche!$C$8),OR(Recherche!$C$9="",I280=Recherche!$C$9),OR(Recherche!$C$10="",G280&amp;""=Recherche!$C$10&amp;""),OR(Recherche!$C$11="",E280=Recherche!$C$11),OR(Recherche!$C$12="",ISNUMBER(SEARCH(Recherche!$C$12,M280&amp;" "&amp;F280)))),1,0)</f>
        <v>8</v>
      </c>
    </row>
    <row r="281" customFormat="false" ht="15" hidden="false" customHeight="false" outlineLevel="0" collapsed="false">
      <c r="A281" s="19"/>
      <c r="B281" s="19"/>
      <c r="C281" s="19"/>
      <c r="D281" s="19"/>
      <c r="E281" s="22"/>
      <c r="F281" s="19"/>
      <c r="G281" s="26" t="str">
        <f aca="false">IF(D281="","",IFERROR(VALUE(LEFT(D281,FIND(" |",D281&amp;" |")-1)),"?"))</f>
        <v/>
      </c>
      <c r="H281" s="27" t="str">
        <f aca="false">IF(G281="","",IF(G281="?","⚠ pub inconnue",IFERROR(INDEX(Pubs!$B$2:$B$3001,MATCH(G281,Pubs!$A$2:$A$3001,0))&amp;"","⚠ pub inconnue")))</f>
        <v/>
      </c>
      <c r="I281" s="27" t="str">
        <f aca="false">IF(OR(G281="",G281="?"),"",IFERROR(INDEX(Pubs!$C$2:$C$3001,MATCH(G281,Pubs!$A$2:$A$3001,0))&amp;"",""))</f>
        <v/>
      </c>
      <c r="J281" s="27" t="str">
        <f aca="false">IF(OR(G281="",G281="?"),"",IFERROR(INDEX(Pubs!$G$2:$G$3001,MATCH(G281,Pubs!$A$2:$A$3001,0))&amp;"",""))</f>
        <v/>
      </c>
      <c r="K281" s="28" t="str">
        <f aca="false">IF(OR(G281="",G281="?"),"",IFERROR(INDEX(Pubs!$E$2:$E$3001,MATCH(G281,Pubs!$A$2:$A$3001,0)),""))</f>
        <v/>
      </c>
      <c r="L281" s="29" t="str">
        <f aca="false">IF(A281="","",IFERROR(1/(1/INDEX(Numéros!$C$2:$C$3001,MATCH(A281&amp;"|"&amp;B281,Numéros!$F$2:$F$3001,0))),""))</f>
        <v/>
      </c>
      <c r="M281" s="27" t="str">
        <f aca="false">IF(OR(G281="",G281="?"),"",IFERROR(INDEX(Pubs!$D$2:$D$3001,MATCH(G281,Pubs!$A$2:$A$3001,0))&amp;"",""))</f>
        <v/>
      </c>
      <c r="N281" s="27" t="n">
        <f aca="false">N(N280)+IF(AND(A281&lt;&gt;"",OR(Recherche!$C$4="",A281=Recherche!$C$4),OR(Recherche!$C$5="",B281&amp;""=Recherche!$C$5&amp;""),OR(Recherche!$C$6="",IFERROR(YEAR(L281),0)=Recherche!$C$6),OR(Recherche!$C$7="",ISNUMBER(SEARCH(Recherche!$C$7,H281))),OR(Recherche!$C$8="",J281=Recherche!$C$8),OR(Recherche!$C$9="",I281=Recherche!$C$9),OR(Recherche!$C$10="",G281&amp;""=Recherche!$C$10&amp;""),OR(Recherche!$C$11="",E281=Recherche!$C$11),OR(Recherche!$C$12="",ISNUMBER(SEARCH(Recherche!$C$12,M281&amp;" "&amp;F281)))),1,0)</f>
        <v>8</v>
      </c>
    </row>
    <row r="282" customFormat="false" ht="15" hidden="false" customHeight="false" outlineLevel="0" collapsed="false">
      <c r="A282" s="19"/>
      <c r="B282" s="19"/>
      <c r="C282" s="19"/>
      <c r="D282" s="19"/>
      <c r="E282" s="22"/>
      <c r="F282" s="19"/>
      <c r="G282" s="26" t="str">
        <f aca="false">IF(D282="","",IFERROR(VALUE(LEFT(D282,FIND(" |",D282&amp;" |")-1)),"?"))</f>
        <v/>
      </c>
      <c r="H282" s="27" t="str">
        <f aca="false">IF(G282="","",IF(G282="?","⚠ pub inconnue",IFERROR(INDEX(Pubs!$B$2:$B$3001,MATCH(G282,Pubs!$A$2:$A$3001,0))&amp;"","⚠ pub inconnue")))</f>
        <v/>
      </c>
      <c r="I282" s="27" t="str">
        <f aca="false">IF(OR(G282="",G282="?"),"",IFERROR(INDEX(Pubs!$C$2:$C$3001,MATCH(G282,Pubs!$A$2:$A$3001,0))&amp;"",""))</f>
        <v/>
      </c>
      <c r="J282" s="27" t="str">
        <f aca="false">IF(OR(G282="",G282="?"),"",IFERROR(INDEX(Pubs!$G$2:$G$3001,MATCH(G282,Pubs!$A$2:$A$3001,0))&amp;"",""))</f>
        <v/>
      </c>
      <c r="K282" s="28" t="str">
        <f aca="false">IF(OR(G282="",G282="?"),"",IFERROR(INDEX(Pubs!$E$2:$E$3001,MATCH(G282,Pubs!$A$2:$A$3001,0)),""))</f>
        <v/>
      </c>
      <c r="L282" s="29" t="str">
        <f aca="false">IF(A282="","",IFERROR(1/(1/INDEX(Numéros!$C$2:$C$3001,MATCH(A282&amp;"|"&amp;B282,Numéros!$F$2:$F$3001,0))),""))</f>
        <v/>
      </c>
      <c r="M282" s="27" t="str">
        <f aca="false">IF(OR(G282="",G282="?"),"",IFERROR(INDEX(Pubs!$D$2:$D$3001,MATCH(G282,Pubs!$A$2:$A$3001,0))&amp;"",""))</f>
        <v/>
      </c>
      <c r="N282" s="27" t="n">
        <f aca="false">N(N281)+IF(AND(A282&lt;&gt;"",OR(Recherche!$C$4="",A282=Recherche!$C$4),OR(Recherche!$C$5="",B282&amp;""=Recherche!$C$5&amp;""),OR(Recherche!$C$6="",IFERROR(YEAR(L282),0)=Recherche!$C$6),OR(Recherche!$C$7="",ISNUMBER(SEARCH(Recherche!$C$7,H282))),OR(Recherche!$C$8="",J282=Recherche!$C$8),OR(Recherche!$C$9="",I282=Recherche!$C$9),OR(Recherche!$C$10="",G282&amp;""=Recherche!$C$10&amp;""),OR(Recherche!$C$11="",E282=Recherche!$C$11),OR(Recherche!$C$12="",ISNUMBER(SEARCH(Recherche!$C$12,M282&amp;" "&amp;F282)))),1,0)</f>
        <v>8</v>
      </c>
    </row>
    <row r="283" customFormat="false" ht="15" hidden="false" customHeight="false" outlineLevel="0" collapsed="false">
      <c r="A283" s="19"/>
      <c r="B283" s="19"/>
      <c r="C283" s="19"/>
      <c r="D283" s="19"/>
      <c r="E283" s="22"/>
      <c r="F283" s="19"/>
      <c r="G283" s="26" t="str">
        <f aca="false">IF(D283="","",IFERROR(VALUE(LEFT(D283,FIND(" |",D283&amp;" |")-1)),"?"))</f>
        <v/>
      </c>
      <c r="H283" s="27" t="str">
        <f aca="false">IF(G283="","",IF(G283="?","⚠ pub inconnue",IFERROR(INDEX(Pubs!$B$2:$B$3001,MATCH(G283,Pubs!$A$2:$A$3001,0))&amp;"","⚠ pub inconnue")))</f>
        <v/>
      </c>
      <c r="I283" s="27" t="str">
        <f aca="false">IF(OR(G283="",G283="?"),"",IFERROR(INDEX(Pubs!$C$2:$C$3001,MATCH(G283,Pubs!$A$2:$A$3001,0))&amp;"",""))</f>
        <v/>
      </c>
      <c r="J283" s="27" t="str">
        <f aca="false">IF(OR(G283="",G283="?"),"",IFERROR(INDEX(Pubs!$G$2:$G$3001,MATCH(G283,Pubs!$A$2:$A$3001,0))&amp;"",""))</f>
        <v/>
      </c>
      <c r="K283" s="28" t="str">
        <f aca="false">IF(OR(G283="",G283="?"),"",IFERROR(INDEX(Pubs!$E$2:$E$3001,MATCH(G283,Pubs!$A$2:$A$3001,0)),""))</f>
        <v/>
      </c>
      <c r="L283" s="29" t="str">
        <f aca="false">IF(A283="","",IFERROR(1/(1/INDEX(Numéros!$C$2:$C$3001,MATCH(A283&amp;"|"&amp;B283,Numéros!$F$2:$F$3001,0))),""))</f>
        <v/>
      </c>
      <c r="M283" s="27" t="str">
        <f aca="false">IF(OR(G283="",G283="?"),"",IFERROR(INDEX(Pubs!$D$2:$D$3001,MATCH(G283,Pubs!$A$2:$A$3001,0))&amp;"",""))</f>
        <v/>
      </c>
      <c r="N283" s="27" t="n">
        <f aca="false">N(N282)+IF(AND(A283&lt;&gt;"",OR(Recherche!$C$4="",A283=Recherche!$C$4),OR(Recherche!$C$5="",B283&amp;""=Recherche!$C$5&amp;""),OR(Recherche!$C$6="",IFERROR(YEAR(L283),0)=Recherche!$C$6),OR(Recherche!$C$7="",ISNUMBER(SEARCH(Recherche!$C$7,H283))),OR(Recherche!$C$8="",J283=Recherche!$C$8),OR(Recherche!$C$9="",I283=Recherche!$C$9),OR(Recherche!$C$10="",G283&amp;""=Recherche!$C$10&amp;""),OR(Recherche!$C$11="",E283=Recherche!$C$11),OR(Recherche!$C$12="",ISNUMBER(SEARCH(Recherche!$C$12,M283&amp;" "&amp;F283)))),1,0)</f>
        <v>8</v>
      </c>
    </row>
    <row r="284" customFormat="false" ht="15" hidden="false" customHeight="false" outlineLevel="0" collapsed="false">
      <c r="A284" s="19"/>
      <c r="B284" s="19"/>
      <c r="C284" s="19"/>
      <c r="D284" s="19"/>
      <c r="E284" s="22"/>
      <c r="F284" s="19"/>
      <c r="G284" s="26" t="str">
        <f aca="false">IF(D284="","",IFERROR(VALUE(LEFT(D284,FIND(" |",D284&amp;" |")-1)),"?"))</f>
        <v/>
      </c>
      <c r="H284" s="27" t="str">
        <f aca="false">IF(G284="","",IF(G284="?","⚠ pub inconnue",IFERROR(INDEX(Pubs!$B$2:$B$3001,MATCH(G284,Pubs!$A$2:$A$3001,0))&amp;"","⚠ pub inconnue")))</f>
        <v/>
      </c>
      <c r="I284" s="27" t="str">
        <f aca="false">IF(OR(G284="",G284="?"),"",IFERROR(INDEX(Pubs!$C$2:$C$3001,MATCH(G284,Pubs!$A$2:$A$3001,0))&amp;"",""))</f>
        <v/>
      </c>
      <c r="J284" s="27" t="str">
        <f aca="false">IF(OR(G284="",G284="?"),"",IFERROR(INDEX(Pubs!$G$2:$G$3001,MATCH(G284,Pubs!$A$2:$A$3001,0))&amp;"",""))</f>
        <v/>
      </c>
      <c r="K284" s="28" t="str">
        <f aca="false">IF(OR(G284="",G284="?"),"",IFERROR(INDEX(Pubs!$E$2:$E$3001,MATCH(G284,Pubs!$A$2:$A$3001,0)),""))</f>
        <v/>
      </c>
      <c r="L284" s="29" t="str">
        <f aca="false">IF(A284="","",IFERROR(1/(1/INDEX(Numéros!$C$2:$C$3001,MATCH(A284&amp;"|"&amp;B284,Numéros!$F$2:$F$3001,0))),""))</f>
        <v/>
      </c>
      <c r="M284" s="27" t="str">
        <f aca="false">IF(OR(G284="",G284="?"),"",IFERROR(INDEX(Pubs!$D$2:$D$3001,MATCH(G284,Pubs!$A$2:$A$3001,0))&amp;"",""))</f>
        <v/>
      </c>
      <c r="N284" s="27" t="n">
        <f aca="false">N(N283)+IF(AND(A284&lt;&gt;"",OR(Recherche!$C$4="",A284=Recherche!$C$4),OR(Recherche!$C$5="",B284&amp;""=Recherche!$C$5&amp;""),OR(Recherche!$C$6="",IFERROR(YEAR(L284),0)=Recherche!$C$6),OR(Recherche!$C$7="",ISNUMBER(SEARCH(Recherche!$C$7,H284))),OR(Recherche!$C$8="",J284=Recherche!$C$8),OR(Recherche!$C$9="",I284=Recherche!$C$9),OR(Recherche!$C$10="",G284&amp;""=Recherche!$C$10&amp;""),OR(Recherche!$C$11="",E284=Recherche!$C$11),OR(Recherche!$C$12="",ISNUMBER(SEARCH(Recherche!$C$12,M284&amp;" "&amp;F284)))),1,0)</f>
        <v>8</v>
      </c>
    </row>
    <row r="285" customFormat="false" ht="15" hidden="false" customHeight="false" outlineLevel="0" collapsed="false">
      <c r="A285" s="19"/>
      <c r="B285" s="19"/>
      <c r="C285" s="19"/>
      <c r="D285" s="19"/>
      <c r="E285" s="22"/>
      <c r="F285" s="19"/>
      <c r="G285" s="26" t="str">
        <f aca="false">IF(D285="","",IFERROR(VALUE(LEFT(D285,FIND(" |",D285&amp;" |")-1)),"?"))</f>
        <v/>
      </c>
      <c r="H285" s="27" t="str">
        <f aca="false">IF(G285="","",IF(G285="?","⚠ pub inconnue",IFERROR(INDEX(Pubs!$B$2:$B$3001,MATCH(G285,Pubs!$A$2:$A$3001,0))&amp;"","⚠ pub inconnue")))</f>
        <v/>
      </c>
      <c r="I285" s="27" t="str">
        <f aca="false">IF(OR(G285="",G285="?"),"",IFERROR(INDEX(Pubs!$C$2:$C$3001,MATCH(G285,Pubs!$A$2:$A$3001,0))&amp;"",""))</f>
        <v/>
      </c>
      <c r="J285" s="27" t="str">
        <f aca="false">IF(OR(G285="",G285="?"),"",IFERROR(INDEX(Pubs!$G$2:$G$3001,MATCH(G285,Pubs!$A$2:$A$3001,0))&amp;"",""))</f>
        <v/>
      </c>
      <c r="K285" s="28" t="str">
        <f aca="false">IF(OR(G285="",G285="?"),"",IFERROR(INDEX(Pubs!$E$2:$E$3001,MATCH(G285,Pubs!$A$2:$A$3001,0)),""))</f>
        <v/>
      </c>
      <c r="L285" s="29" t="str">
        <f aca="false">IF(A285="","",IFERROR(1/(1/INDEX(Numéros!$C$2:$C$3001,MATCH(A285&amp;"|"&amp;B285,Numéros!$F$2:$F$3001,0))),""))</f>
        <v/>
      </c>
      <c r="M285" s="27" t="str">
        <f aca="false">IF(OR(G285="",G285="?"),"",IFERROR(INDEX(Pubs!$D$2:$D$3001,MATCH(G285,Pubs!$A$2:$A$3001,0))&amp;"",""))</f>
        <v/>
      </c>
      <c r="N285" s="27" t="n">
        <f aca="false">N(N284)+IF(AND(A285&lt;&gt;"",OR(Recherche!$C$4="",A285=Recherche!$C$4),OR(Recherche!$C$5="",B285&amp;""=Recherche!$C$5&amp;""),OR(Recherche!$C$6="",IFERROR(YEAR(L285),0)=Recherche!$C$6),OR(Recherche!$C$7="",ISNUMBER(SEARCH(Recherche!$C$7,H285))),OR(Recherche!$C$8="",J285=Recherche!$C$8),OR(Recherche!$C$9="",I285=Recherche!$C$9),OR(Recherche!$C$10="",G285&amp;""=Recherche!$C$10&amp;""),OR(Recherche!$C$11="",E285=Recherche!$C$11),OR(Recherche!$C$12="",ISNUMBER(SEARCH(Recherche!$C$12,M285&amp;" "&amp;F285)))),1,0)</f>
        <v>8</v>
      </c>
    </row>
    <row r="286" customFormat="false" ht="15" hidden="false" customHeight="false" outlineLevel="0" collapsed="false">
      <c r="A286" s="19"/>
      <c r="B286" s="19"/>
      <c r="C286" s="19"/>
      <c r="D286" s="19"/>
      <c r="E286" s="22"/>
      <c r="F286" s="19"/>
      <c r="G286" s="26" t="str">
        <f aca="false">IF(D286="","",IFERROR(VALUE(LEFT(D286,FIND(" |",D286&amp;" |")-1)),"?"))</f>
        <v/>
      </c>
      <c r="H286" s="27" t="str">
        <f aca="false">IF(G286="","",IF(G286="?","⚠ pub inconnue",IFERROR(INDEX(Pubs!$B$2:$B$3001,MATCH(G286,Pubs!$A$2:$A$3001,0))&amp;"","⚠ pub inconnue")))</f>
        <v/>
      </c>
      <c r="I286" s="27" t="str">
        <f aca="false">IF(OR(G286="",G286="?"),"",IFERROR(INDEX(Pubs!$C$2:$C$3001,MATCH(G286,Pubs!$A$2:$A$3001,0))&amp;"",""))</f>
        <v/>
      </c>
      <c r="J286" s="27" t="str">
        <f aca="false">IF(OR(G286="",G286="?"),"",IFERROR(INDEX(Pubs!$G$2:$G$3001,MATCH(G286,Pubs!$A$2:$A$3001,0))&amp;"",""))</f>
        <v/>
      </c>
      <c r="K286" s="28" t="str">
        <f aca="false">IF(OR(G286="",G286="?"),"",IFERROR(INDEX(Pubs!$E$2:$E$3001,MATCH(G286,Pubs!$A$2:$A$3001,0)),""))</f>
        <v/>
      </c>
      <c r="L286" s="29" t="str">
        <f aca="false">IF(A286="","",IFERROR(1/(1/INDEX(Numéros!$C$2:$C$3001,MATCH(A286&amp;"|"&amp;B286,Numéros!$F$2:$F$3001,0))),""))</f>
        <v/>
      </c>
      <c r="M286" s="27" t="str">
        <f aca="false">IF(OR(G286="",G286="?"),"",IFERROR(INDEX(Pubs!$D$2:$D$3001,MATCH(G286,Pubs!$A$2:$A$3001,0))&amp;"",""))</f>
        <v/>
      </c>
      <c r="N286" s="27" t="n">
        <f aca="false">N(N285)+IF(AND(A286&lt;&gt;"",OR(Recherche!$C$4="",A286=Recherche!$C$4),OR(Recherche!$C$5="",B286&amp;""=Recherche!$C$5&amp;""),OR(Recherche!$C$6="",IFERROR(YEAR(L286),0)=Recherche!$C$6),OR(Recherche!$C$7="",ISNUMBER(SEARCH(Recherche!$C$7,H286))),OR(Recherche!$C$8="",J286=Recherche!$C$8),OR(Recherche!$C$9="",I286=Recherche!$C$9),OR(Recherche!$C$10="",G286&amp;""=Recherche!$C$10&amp;""),OR(Recherche!$C$11="",E286=Recherche!$C$11),OR(Recherche!$C$12="",ISNUMBER(SEARCH(Recherche!$C$12,M286&amp;" "&amp;F286)))),1,0)</f>
        <v>8</v>
      </c>
    </row>
    <row r="287" customFormat="false" ht="15" hidden="false" customHeight="false" outlineLevel="0" collapsed="false">
      <c r="A287" s="19"/>
      <c r="B287" s="19"/>
      <c r="C287" s="19"/>
      <c r="D287" s="19"/>
      <c r="E287" s="22"/>
      <c r="F287" s="19"/>
      <c r="G287" s="26" t="str">
        <f aca="false">IF(D287="","",IFERROR(VALUE(LEFT(D287,FIND(" |",D287&amp;" |")-1)),"?"))</f>
        <v/>
      </c>
      <c r="H287" s="27" t="str">
        <f aca="false">IF(G287="","",IF(G287="?","⚠ pub inconnue",IFERROR(INDEX(Pubs!$B$2:$B$3001,MATCH(G287,Pubs!$A$2:$A$3001,0))&amp;"","⚠ pub inconnue")))</f>
        <v/>
      </c>
      <c r="I287" s="27" t="str">
        <f aca="false">IF(OR(G287="",G287="?"),"",IFERROR(INDEX(Pubs!$C$2:$C$3001,MATCH(G287,Pubs!$A$2:$A$3001,0))&amp;"",""))</f>
        <v/>
      </c>
      <c r="J287" s="27" t="str">
        <f aca="false">IF(OR(G287="",G287="?"),"",IFERROR(INDEX(Pubs!$G$2:$G$3001,MATCH(G287,Pubs!$A$2:$A$3001,0))&amp;"",""))</f>
        <v/>
      </c>
      <c r="K287" s="28" t="str">
        <f aca="false">IF(OR(G287="",G287="?"),"",IFERROR(INDEX(Pubs!$E$2:$E$3001,MATCH(G287,Pubs!$A$2:$A$3001,0)),""))</f>
        <v/>
      </c>
      <c r="L287" s="29" t="str">
        <f aca="false">IF(A287="","",IFERROR(1/(1/INDEX(Numéros!$C$2:$C$3001,MATCH(A287&amp;"|"&amp;B287,Numéros!$F$2:$F$3001,0))),""))</f>
        <v/>
      </c>
      <c r="M287" s="27" t="str">
        <f aca="false">IF(OR(G287="",G287="?"),"",IFERROR(INDEX(Pubs!$D$2:$D$3001,MATCH(G287,Pubs!$A$2:$A$3001,0))&amp;"",""))</f>
        <v/>
      </c>
      <c r="N287" s="27" t="n">
        <f aca="false">N(N286)+IF(AND(A287&lt;&gt;"",OR(Recherche!$C$4="",A287=Recherche!$C$4),OR(Recherche!$C$5="",B287&amp;""=Recherche!$C$5&amp;""),OR(Recherche!$C$6="",IFERROR(YEAR(L287),0)=Recherche!$C$6),OR(Recherche!$C$7="",ISNUMBER(SEARCH(Recherche!$C$7,H287))),OR(Recherche!$C$8="",J287=Recherche!$C$8),OR(Recherche!$C$9="",I287=Recherche!$C$9),OR(Recherche!$C$10="",G287&amp;""=Recherche!$C$10&amp;""),OR(Recherche!$C$11="",E287=Recherche!$C$11),OR(Recherche!$C$12="",ISNUMBER(SEARCH(Recherche!$C$12,M287&amp;" "&amp;F287)))),1,0)</f>
        <v>8</v>
      </c>
    </row>
    <row r="288" customFormat="false" ht="15" hidden="false" customHeight="false" outlineLevel="0" collapsed="false">
      <c r="A288" s="19"/>
      <c r="B288" s="19"/>
      <c r="C288" s="19"/>
      <c r="D288" s="19"/>
      <c r="E288" s="22"/>
      <c r="F288" s="19"/>
      <c r="G288" s="26" t="str">
        <f aca="false">IF(D288="","",IFERROR(VALUE(LEFT(D288,FIND(" |",D288&amp;" |")-1)),"?"))</f>
        <v/>
      </c>
      <c r="H288" s="27" t="str">
        <f aca="false">IF(G288="","",IF(G288="?","⚠ pub inconnue",IFERROR(INDEX(Pubs!$B$2:$B$3001,MATCH(G288,Pubs!$A$2:$A$3001,0))&amp;"","⚠ pub inconnue")))</f>
        <v/>
      </c>
      <c r="I288" s="27" t="str">
        <f aca="false">IF(OR(G288="",G288="?"),"",IFERROR(INDEX(Pubs!$C$2:$C$3001,MATCH(G288,Pubs!$A$2:$A$3001,0))&amp;"",""))</f>
        <v/>
      </c>
      <c r="J288" s="27" t="str">
        <f aca="false">IF(OR(G288="",G288="?"),"",IFERROR(INDEX(Pubs!$G$2:$G$3001,MATCH(G288,Pubs!$A$2:$A$3001,0))&amp;"",""))</f>
        <v/>
      </c>
      <c r="K288" s="28" t="str">
        <f aca="false">IF(OR(G288="",G288="?"),"",IFERROR(INDEX(Pubs!$E$2:$E$3001,MATCH(G288,Pubs!$A$2:$A$3001,0)),""))</f>
        <v/>
      </c>
      <c r="L288" s="29" t="str">
        <f aca="false">IF(A288="","",IFERROR(1/(1/INDEX(Numéros!$C$2:$C$3001,MATCH(A288&amp;"|"&amp;B288,Numéros!$F$2:$F$3001,0))),""))</f>
        <v/>
      </c>
      <c r="M288" s="27" t="str">
        <f aca="false">IF(OR(G288="",G288="?"),"",IFERROR(INDEX(Pubs!$D$2:$D$3001,MATCH(G288,Pubs!$A$2:$A$3001,0))&amp;"",""))</f>
        <v/>
      </c>
      <c r="N288" s="27" t="n">
        <f aca="false">N(N287)+IF(AND(A288&lt;&gt;"",OR(Recherche!$C$4="",A288=Recherche!$C$4),OR(Recherche!$C$5="",B288&amp;""=Recherche!$C$5&amp;""),OR(Recherche!$C$6="",IFERROR(YEAR(L288),0)=Recherche!$C$6),OR(Recherche!$C$7="",ISNUMBER(SEARCH(Recherche!$C$7,H288))),OR(Recherche!$C$8="",J288=Recherche!$C$8),OR(Recherche!$C$9="",I288=Recherche!$C$9),OR(Recherche!$C$10="",G288&amp;""=Recherche!$C$10&amp;""),OR(Recherche!$C$11="",E288=Recherche!$C$11),OR(Recherche!$C$12="",ISNUMBER(SEARCH(Recherche!$C$12,M288&amp;" "&amp;F288)))),1,0)</f>
        <v>8</v>
      </c>
    </row>
    <row r="289" customFormat="false" ht="15" hidden="false" customHeight="false" outlineLevel="0" collapsed="false">
      <c r="A289" s="19"/>
      <c r="B289" s="19"/>
      <c r="C289" s="19"/>
      <c r="D289" s="19"/>
      <c r="E289" s="22"/>
      <c r="F289" s="19"/>
      <c r="G289" s="26" t="str">
        <f aca="false">IF(D289="","",IFERROR(VALUE(LEFT(D289,FIND(" |",D289&amp;" |")-1)),"?"))</f>
        <v/>
      </c>
      <c r="H289" s="27" t="str">
        <f aca="false">IF(G289="","",IF(G289="?","⚠ pub inconnue",IFERROR(INDEX(Pubs!$B$2:$B$3001,MATCH(G289,Pubs!$A$2:$A$3001,0))&amp;"","⚠ pub inconnue")))</f>
        <v/>
      </c>
      <c r="I289" s="27" t="str">
        <f aca="false">IF(OR(G289="",G289="?"),"",IFERROR(INDEX(Pubs!$C$2:$C$3001,MATCH(G289,Pubs!$A$2:$A$3001,0))&amp;"",""))</f>
        <v/>
      </c>
      <c r="J289" s="27" t="str">
        <f aca="false">IF(OR(G289="",G289="?"),"",IFERROR(INDEX(Pubs!$G$2:$G$3001,MATCH(G289,Pubs!$A$2:$A$3001,0))&amp;"",""))</f>
        <v/>
      </c>
      <c r="K289" s="28" t="str">
        <f aca="false">IF(OR(G289="",G289="?"),"",IFERROR(INDEX(Pubs!$E$2:$E$3001,MATCH(G289,Pubs!$A$2:$A$3001,0)),""))</f>
        <v/>
      </c>
      <c r="L289" s="29" t="str">
        <f aca="false">IF(A289="","",IFERROR(1/(1/INDEX(Numéros!$C$2:$C$3001,MATCH(A289&amp;"|"&amp;B289,Numéros!$F$2:$F$3001,0))),""))</f>
        <v/>
      </c>
      <c r="M289" s="27" t="str">
        <f aca="false">IF(OR(G289="",G289="?"),"",IFERROR(INDEX(Pubs!$D$2:$D$3001,MATCH(G289,Pubs!$A$2:$A$3001,0))&amp;"",""))</f>
        <v/>
      </c>
      <c r="N289" s="27" t="n">
        <f aca="false">N(N288)+IF(AND(A289&lt;&gt;"",OR(Recherche!$C$4="",A289=Recherche!$C$4),OR(Recherche!$C$5="",B289&amp;""=Recherche!$C$5&amp;""),OR(Recherche!$C$6="",IFERROR(YEAR(L289),0)=Recherche!$C$6),OR(Recherche!$C$7="",ISNUMBER(SEARCH(Recherche!$C$7,H289))),OR(Recherche!$C$8="",J289=Recherche!$C$8),OR(Recherche!$C$9="",I289=Recherche!$C$9),OR(Recherche!$C$10="",G289&amp;""=Recherche!$C$10&amp;""),OR(Recherche!$C$11="",E289=Recherche!$C$11),OR(Recherche!$C$12="",ISNUMBER(SEARCH(Recherche!$C$12,M289&amp;" "&amp;F289)))),1,0)</f>
        <v>8</v>
      </c>
    </row>
    <row r="290" customFormat="false" ht="15" hidden="false" customHeight="false" outlineLevel="0" collapsed="false">
      <c r="A290" s="19"/>
      <c r="B290" s="19"/>
      <c r="C290" s="19"/>
      <c r="D290" s="19"/>
      <c r="E290" s="22"/>
      <c r="F290" s="19"/>
      <c r="G290" s="26" t="str">
        <f aca="false">IF(D290="","",IFERROR(VALUE(LEFT(D290,FIND(" |",D290&amp;" |")-1)),"?"))</f>
        <v/>
      </c>
      <c r="H290" s="27" t="str">
        <f aca="false">IF(G290="","",IF(G290="?","⚠ pub inconnue",IFERROR(INDEX(Pubs!$B$2:$B$3001,MATCH(G290,Pubs!$A$2:$A$3001,0))&amp;"","⚠ pub inconnue")))</f>
        <v/>
      </c>
      <c r="I290" s="27" t="str">
        <f aca="false">IF(OR(G290="",G290="?"),"",IFERROR(INDEX(Pubs!$C$2:$C$3001,MATCH(G290,Pubs!$A$2:$A$3001,0))&amp;"",""))</f>
        <v/>
      </c>
      <c r="J290" s="27" t="str">
        <f aca="false">IF(OR(G290="",G290="?"),"",IFERROR(INDEX(Pubs!$G$2:$G$3001,MATCH(G290,Pubs!$A$2:$A$3001,0))&amp;"",""))</f>
        <v/>
      </c>
      <c r="K290" s="28" t="str">
        <f aca="false">IF(OR(G290="",G290="?"),"",IFERROR(INDEX(Pubs!$E$2:$E$3001,MATCH(G290,Pubs!$A$2:$A$3001,0)),""))</f>
        <v/>
      </c>
      <c r="L290" s="29" t="str">
        <f aca="false">IF(A290="","",IFERROR(1/(1/INDEX(Numéros!$C$2:$C$3001,MATCH(A290&amp;"|"&amp;B290,Numéros!$F$2:$F$3001,0))),""))</f>
        <v/>
      </c>
      <c r="M290" s="27" t="str">
        <f aca="false">IF(OR(G290="",G290="?"),"",IFERROR(INDEX(Pubs!$D$2:$D$3001,MATCH(G290,Pubs!$A$2:$A$3001,0))&amp;"",""))</f>
        <v/>
      </c>
      <c r="N290" s="27" t="n">
        <f aca="false">N(N289)+IF(AND(A290&lt;&gt;"",OR(Recherche!$C$4="",A290=Recherche!$C$4),OR(Recherche!$C$5="",B290&amp;""=Recherche!$C$5&amp;""),OR(Recherche!$C$6="",IFERROR(YEAR(L290),0)=Recherche!$C$6),OR(Recherche!$C$7="",ISNUMBER(SEARCH(Recherche!$C$7,H290))),OR(Recherche!$C$8="",J290=Recherche!$C$8),OR(Recherche!$C$9="",I290=Recherche!$C$9),OR(Recherche!$C$10="",G290&amp;""=Recherche!$C$10&amp;""),OR(Recherche!$C$11="",E290=Recherche!$C$11),OR(Recherche!$C$12="",ISNUMBER(SEARCH(Recherche!$C$12,M290&amp;" "&amp;F290)))),1,0)</f>
        <v>8</v>
      </c>
    </row>
    <row r="291" customFormat="false" ht="15" hidden="false" customHeight="false" outlineLevel="0" collapsed="false">
      <c r="A291" s="19"/>
      <c r="B291" s="19"/>
      <c r="C291" s="19"/>
      <c r="D291" s="19"/>
      <c r="E291" s="22"/>
      <c r="F291" s="19"/>
      <c r="G291" s="26" t="str">
        <f aca="false">IF(D291="","",IFERROR(VALUE(LEFT(D291,FIND(" |",D291&amp;" |")-1)),"?"))</f>
        <v/>
      </c>
      <c r="H291" s="27" t="str">
        <f aca="false">IF(G291="","",IF(G291="?","⚠ pub inconnue",IFERROR(INDEX(Pubs!$B$2:$B$3001,MATCH(G291,Pubs!$A$2:$A$3001,0))&amp;"","⚠ pub inconnue")))</f>
        <v/>
      </c>
      <c r="I291" s="27" t="str">
        <f aca="false">IF(OR(G291="",G291="?"),"",IFERROR(INDEX(Pubs!$C$2:$C$3001,MATCH(G291,Pubs!$A$2:$A$3001,0))&amp;"",""))</f>
        <v/>
      </c>
      <c r="J291" s="27" t="str">
        <f aca="false">IF(OR(G291="",G291="?"),"",IFERROR(INDEX(Pubs!$G$2:$G$3001,MATCH(G291,Pubs!$A$2:$A$3001,0))&amp;"",""))</f>
        <v/>
      </c>
      <c r="K291" s="28" t="str">
        <f aca="false">IF(OR(G291="",G291="?"),"",IFERROR(INDEX(Pubs!$E$2:$E$3001,MATCH(G291,Pubs!$A$2:$A$3001,0)),""))</f>
        <v/>
      </c>
      <c r="L291" s="29" t="str">
        <f aca="false">IF(A291="","",IFERROR(1/(1/INDEX(Numéros!$C$2:$C$3001,MATCH(A291&amp;"|"&amp;B291,Numéros!$F$2:$F$3001,0))),""))</f>
        <v/>
      </c>
      <c r="M291" s="27" t="str">
        <f aca="false">IF(OR(G291="",G291="?"),"",IFERROR(INDEX(Pubs!$D$2:$D$3001,MATCH(G291,Pubs!$A$2:$A$3001,0))&amp;"",""))</f>
        <v/>
      </c>
      <c r="N291" s="27" t="n">
        <f aca="false">N(N290)+IF(AND(A291&lt;&gt;"",OR(Recherche!$C$4="",A291=Recherche!$C$4),OR(Recherche!$C$5="",B291&amp;""=Recherche!$C$5&amp;""),OR(Recherche!$C$6="",IFERROR(YEAR(L291),0)=Recherche!$C$6),OR(Recherche!$C$7="",ISNUMBER(SEARCH(Recherche!$C$7,H291))),OR(Recherche!$C$8="",J291=Recherche!$C$8),OR(Recherche!$C$9="",I291=Recherche!$C$9),OR(Recherche!$C$10="",G291&amp;""=Recherche!$C$10&amp;""),OR(Recherche!$C$11="",E291=Recherche!$C$11),OR(Recherche!$C$12="",ISNUMBER(SEARCH(Recherche!$C$12,M291&amp;" "&amp;F291)))),1,0)</f>
        <v>8</v>
      </c>
    </row>
    <row r="292" customFormat="false" ht="15" hidden="false" customHeight="false" outlineLevel="0" collapsed="false">
      <c r="A292" s="19"/>
      <c r="B292" s="19"/>
      <c r="C292" s="19"/>
      <c r="D292" s="19"/>
      <c r="E292" s="22"/>
      <c r="F292" s="19"/>
      <c r="G292" s="26" t="str">
        <f aca="false">IF(D292="","",IFERROR(VALUE(LEFT(D292,FIND(" |",D292&amp;" |")-1)),"?"))</f>
        <v/>
      </c>
      <c r="H292" s="27" t="str">
        <f aca="false">IF(G292="","",IF(G292="?","⚠ pub inconnue",IFERROR(INDEX(Pubs!$B$2:$B$3001,MATCH(G292,Pubs!$A$2:$A$3001,0))&amp;"","⚠ pub inconnue")))</f>
        <v/>
      </c>
      <c r="I292" s="27" t="str">
        <f aca="false">IF(OR(G292="",G292="?"),"",IFERROR(INDEX(Pubs!$C$2:$C$3001,MATCH(G292,Pubs!$A$2:$A$3001,0))&amp;"",""))</f>
        <v/>
      </c>
      <c r="J292" s="27" t="str">
        <f aca="false">IF(OR(G292="",G292="?"),"",IFERROR(INDEX(Pubs!$G$2:$G$3001,MATCH(G292,Pubs!$A$2:$A$3001,0))&amp;"",""))</f>
        <v/>
      </c>
      <c r="K292" s="28" t="str">
        <f aca="false">IF(OR(G292="",G292="?"),"",IFERROR(INDEX(Pubs!$E$2:$E$3001,MATCH(G292,Pubs!$A$2:$A$3001,0)),""))</f>
        <v/>
      </c>
      <c r="L292" s="29" t="str">
        <f aca="false">IF(A292="","",IFERROR(1/(1/INDEX(Numéros!$C$2:$C$3001,MATCH(A292&amp;"|"&amp;B292,Numéros!$F$2:$F$3001,0))),""))</f>
        <v/>
      </c>
      <c r="M292" s="27" t="str">
        <f aca="false">IF(OR(G292="",G292="?"),"",IFERROR(INDEX(Pubs!$D$2:$D$3001,MATCH(G292,Pubs!$A$2:$A$3001,0))&amp;"",""))</f>
        <v/>
      </c>
      <c r="N292" s="27" t="n">
        <f aca="false">N(N291)+IF(AND(A292&lt;&gt;"",OR(Recherche!$C$4="",A292=Recherche!$C$4),OR(Recherche!$C$5="",B292&amp;""=Recherche!$C$5&amp;""),OR(Recherche!$C$6="",IFERROR(YEAR(L292),0)=Recherche!$C$6),OR(Recherche!$C$7="",ISNUMBER(SEARCH(Recherche!$C$7,H292))),OR(Recherche!$C$8="",J292=Recherche!$C$8),OR(Recherche!$C$9="",I292=Recherche!$C$9),OR(Recherche!$C$10="",G292&amp;""=Recherche!$C$10&amp;""),OR(Recherche!$C$11="",E292=Recherche!$C$11),OR(Recherche!$C$12="",ISNUMBER(SEARCH(Recherche!$C$12,M292&amp;" "&amp;F292)))),1,0)</f>
        <v>8</v>
      </c>
    </row>
    <row r="293" customFormat="false" ht="15" hidden="false" customHeight="false" outlineLevel="0" collapsed="false">
      <c r="A293" s="19"/>
      <c r="B293" s="19"/>
      <c r="C293" s="19"/>
      <c r="D293" s="19"/>
      <c r="E293" s="22"/>
      <c r="F293" s="19"/>
      <c r="G293" s="26" t="str">
        <f aca="false">IF(D293="","",IFERROR(VALUE(LEFT(D293,FIND(" |",D293&amp;" |")-1)),"?"))</f>
        <v/>
      </c>
      <c r="H293" s="27" t="str">
        <f aca="false">IF(G293="","",IF(G293="?","⚠ pub inconnue",IFERROR(INDEX(Pubs!$B$2:$B$3001,MATCH(G293,Pubs!$A$2:$A$3001,0))&amp;"","⚠ pub inconnue")))</f>
        <v/>
      </c>
      <c r="I293" s="27" t="str">
        <f aca="false">IF(OR(G293="",G293="?"),"",IFERROR(INDEX(Pubs!$C$2:$C$3001,MATCH(G293,Pubs!$A$2:$A$3001,0))&amp;"",""))</f>
        <v/>
      </c>
      <c r="J293" s="27" t="str">
        <f aca="false">IF(OR(G293="",G293="?"),"",IFERROR(INDEX(Pubs!$G$2:$G$3001,MATCH(G293,Pubs!$A$2:$A$3001,0))&amp;"",""))</f>
        <v/>
      </c>
      <c r="K293" s="28" t="str">
        <f aca="false">IF(OR(G293="",G293="?"),"",IFERROR(INDEX(Pubs!$E$2:$E$3001,MATCH(G293,Pubs!$A$2:$A$3001,0)),""))</f>
        <v/>
      </c>
      <c r="L293" s="29" t="str">
        <f aca="false">IF(A293="","",IFERROR(1/(1/INDEX(Numéros!$C$2:$C$3001,MATCH(A293&amp;"|"&amp;B293,Numéros!$F$2:$F$3001,0))),""))</f>
        <v/>
      </c>
      <c r="M293" s="27" t="str">
        <f aca="false">IF(OR(G293="",G293="?"),"",IFERROR(INDEX(Pubs!$D$2:$D$3001,MATCH(G293,Pubs!$A$2:$A$3001,0))&amp;"",""))</f>
        <v/>
      </c>
      <c r="N293" s="27" t="n">
        <f aca="false">N(N292)+IF(AND(A293&lt;&gt;"",OR(Recherche!$C$4="",A293=Recherche!$C$4),OR(Recherche!$C$5="",B293&amp;""=Recherche!$C$5&amp;""),OR(Recherche!$C$6="",IFERROR(YEAR(L293),0)=Recherche!$C$6),OR(Recherche!$C$7="",ISNUMBER(SEARCH(Recherche!$C$7,H293))),OR(Recherche!$C$8="",J293=Recherche!$C$8),OR(Recherche!$C$9="",I293=Recherche!$C$9),OR(Recherche!$C$10="",G293&amp;""=Recherche!$C$10&amp;""),OR(Recherche!$C$11="",E293=Recherche!$C$11),OR(Recherche!$C$12="",ISNUMBER(SEARCH(Recherche!$C$12,M293&amp;" "&amp;F293)))),1,0)</f>
        <v>8</v>
      </c>
    </row>
    <row r="294" customFormat="false" ht="15" hidden="false" customHeight="false" outlineLevel="0" collapsed="false">
      <c r="A294" s="19"/>
      <c r="B294" s="19"/>
      <c r="C294" s="19"/>
      <c r="D294" s="19"/>
      <c r="E294" s="22"/>
      <c r="F294" s="19"/>
      <c r="G294" s="26" t="str">
        <f aca="false">IF(D294="","",IFERROR(VALUE(LEFT(D294,FIND(" |",D294&amp;" |")-1)),"?"))</f>
        <v/>
      </c>
      <c r="H294" s="27" t="str">
        <f aca="false">IF(G294="","",IF(G294="?","⚠ pub inconnue",IFERROR(INDEX(Pubs!$B$2:$B$3001,MATCH(G294,Pubs!$A$2:$A$3001,0))&amp;"","⚠ pub inconnue")))</f>
        <v/>
      </c>
      <c r="I294" s="27" t="str">
        <f aca="false">IF(OR(G294="",G294="?"),"",IFERROR(INDEX(Pubs!$C$2:$C$3001,MATCH(G294,Pubs!$A$2:$A$3001,0))&amp;"",""))</f>
        <v/>
      </c>
      <c r="J294" s="27" t="str">
        <f aca="false">IF(OR(G294="",G294="?"),"",IFERROR(INDEX(Pubs!$G$2:$G$3001,MATCH(G294,Pubs!$A$2:$A$3001,0))&amp;"",""))</f>
        <v/>
      </c>
      <c r="K294" s="28" t="str">
        <f aca="false">IF(OR(G294="",G294="?"),"",IFERROR(INDEX(Pubs!$E$2:$E$3001,MATCH(G294,Pubs!$A$2:$A$3001,0)),""))</f>
        <v/>
      </c>
      <c r="L294" s="29" t="str">
        <f aca="false">IF(A294="","",IFERROR(1/(1/INDEX(Numéros!$C$2:$C$3001,MATCH(A294&amp;"|"&amp;B294,Numéros!$F$2:$F$3001,0))),""))</f>
        <v/>
      </c>
      <c r="M294" s="27" t="str">
        <f aca="false">IF(OR(G294="",G294="?"),"",IFERROR(INDEX(Pubs!$D$2:$D$3001,MATCH(G294,Pubs!$A$2:$A$3001,0))&amp;"",""))</f>
        <v/>
      </c>
      <c r="N294" s="27" t="n">
        <f aca="false">N(N293)+IF(AND(A294&lt;&gt;"",OR(Recherche!$C$4="",A294=Recherche!$C$4),OR(Recherche!$C$5="",B294&amp;""=Recherche!$C$5&amp;""),OR(Recherche!$C$6="",IFERROR(YEAR(L294),0)=Recherche!$C$6),OR(Recherche!$C$7="",ISNUMBER(SEARCH(Recherche!$C$7,H294))),OR(Recherche!$C$8="",J294=Recherche!$C$8),OR(Recherche!$C$9="",I294=Recherche!$C$9),OR(Recherche!$C$10="",G294&amp;""=Recherche!$C$10&amp;""),OR(Recherche!$C$11="",E294=Recherche!$C$11),OR(Recherche!$C$12="",ISNUMBER(SEARCH(Recherche!$C$12,M294&amp;" "&amp;F294)))),1,0)</f>
        <v>8</v>
      </c>
    </row>
    <row r="295" customFormat="false" ht="15" hidden="false" customHeight="false" outlineLevel="0" collapsed="false">
      <c r="A295" s="19"/>
      <c r="B295" s="19"/>
      <c r="C295" s="19"/>
      <c r="D295" s="19"/>
      <c r="E295" s="22"/>
      <c r="F295" s="19"/>
      <c r="G295" s="26" t="str">
        <f aca="false">IF(D295="","",IFERROR(VALUE(LEFT(D295,FIND(" |",D295&amp;" |")-1)),"?"))</f>
        <v/>
      </c>
      <c r="H295" s="27" t="str">
        <f aca="false">IF(G295="","",IF(G295="?","⚠ pub inconnue",IFERROR(INDEX(Pubs!$B$2:$B$3001,MATCH(G295,Pubs!$A$2:$A$3001,0))&amp;"","⚠ pub inconnue")))</f>
        <v/>
      </c>
      <c r="I295" s="27" t="str">
        <f aca="false">IF(OR(G295="",G295="?"),"",IFERROR(INDEX(Pubs!$C$2:$C$3001,MATCH(G295,Pubs!$A$2:$A$3001,0))&amp;"",""))</f>
        <v/>
      </c>
      <c r="J295" s="27" t="str">
        <f aca="false">IF(OR(G295="",G295="?"),"",IFERROR(INDEX(Pubs!$G$2:$G$3001,MATCH(G295,Pubs!$A$2:$A$3001,0))&amp;"",""))</f>
        <v/>
      </c>
      <c r="K295" s="28" t="str">
        <f aca="false">IF(OR(G295="",G295="?"),"",IFERROR(INDEX(Pubs!$E$2:$E$3001,MATCH(G295,Pubs!$A$2:$A$3001,0)),""))</f>
        <v/>
      </c>
      <c r="L295" s="29" t="str">
        <f aca="false">IF(A295="","",IFERROR(1/(1/INDEX(Numéros!$C$2:$C$3001,MATCH(A295&amp;"|"&amp;B295,Numéros!$F$2:$F$3001,0))),""))</f>
        <v/>
      </c>
      <c r="M295" s="27" t="str">
        <f aca="false">IF(OR(G295="",G295="?"),"",IFERROR(INDEX(Pubs!$D$2:$D$3001,MATCH(G295,Pubs!$A$2:$A$3001,0))&amp;"",""))</f>
        <v/>
      </c>
      <c r="N295" s="27" t="n">
        <f aca="false">N(N294)+IF(AND(A295&lt;&gt;"",OR(Recherche!$C$4="",A295=Recherche!$C$4),OR(Recherche!$C$5="",B295&amp;""=Recherche!$C$5&amp;""),OR(Recherche!$C$6="",IFERROR(YEAR(L295),0)=Recherche!$C$6),OR(Recherche!$C$7="",ISNUMBER(SEARCH(Recherche!$C$7,H295))),OR(Recherche!$C$8="",J295=Recherche!$C$8),OR(Recherche!$C$9="",I295=Recherche!$C$9),OR(Recherche!$C$10="",G295&amp;""=Recherche!$C$10&amp;""),OR(Recherche!$C$11="",E295=Recherche!$C$11),OR(Recherche!$C$12="",ISNUMBER(SEARCH(Recherche!$C$12,M295&amp;" "&amp;F295)))),1,0)</f>
        <v>8</v>
      </c>
    </row>
    <row r="296" customFormat="false" ht="15" hidden="false" customHeight="false" outlineLevel="0" collapsed="false">
      <c r="A296" s="19"/>
      <c r="B296" s="19"/>
      <c r="C296" s="19"/>
      <c r="D296" s="19"/>
      <c r="E296" s="22"/>
      <c r="F296" s="19"/>
      <c r="G296" s="26" t="str">
        <f aca="false">IF(D296="","",IFERROR(VALUE(LEFT(D296,FIND(" |",D296&amp;" |")-1)),"?"))</f>
        <v/>
      </c>
      <c r="H296" s="27" t="str">
        <f aca="false">IF(G296="","",IF(G296="?","⚠ pub inconnue",IFERROR(INDEX(Pubs!$B$2:$B$3001,MATCH(G296,Pubs!$A$2:$A$3001,0))&amp;"","⚠ pub inconnue")))</f>
        <v/>
      </c>
      <c r="I296" s="27" t="str">
        <f aca="false">IF(OR(G296="",G296="?"),"",IFERROR(INDEX(Pubs!$C$2:$C$3001,MATCH(G296,Pubs!$A$2:$A$3001,0))&amp;"",""))</f>
        <v/>
      </c>
      <c r="J296" s="27" t="str">
        <f aca="false">IF(OR(G296="",G296="?"),"",IFERROR(INDEX(Pubs!$G$2:$G$3001,MATCH(G296,Pubs!$A$2:$A$3001,0))&amp;"",""))</f>
        <v/>
      </c>
      <c r="K296" s="28" t="str">
        <f aca="false">IF(OR(G296="",G296="?"),"",IFERROR(INDEX(Pubs!$E$2:$E$3001,MATCH(G296,Pubs!$A$2:$A$3001,0)),""))</f>
        <v/>
      </c>
      <c r="L296" s="29" t="str">
        <f aca="false">IF(A296="","",IFERROR(1/(1/INDEX(Numéros!$C$2:$C$3001,MATCH(A296&amp;"|"&amp;B296,Numéros!$F$2:$F$3001,0))),""))</f>
        <v/>
      </c>
      <c r="M296" s="27" t="str">
        <f aca="false">IF(OR(G296="",G296="?"),"",IFERROR(INDEX(Pubs!$D$2:$D$3001,MATCH(G296,Pubs!$A$2:$A$3001,0))&amp;"",""))</f>
        <v/>
      </c>
      <c r="N296" s="27" t="n">
        <f aca="false">N(N295)+IF(AND(A296&lt;&gt;"",OR(Recherche!$C$4="",A296=Recherche!$C$4),OR(Recherche!$C$5="",B296&amp;""=Recherche!$C$5&amp;""),OR(Recherche!$C$6="",IFERROR(YEAR(L296),0)=Recherche!$C$6),OR(Recherche!$C$7="",ISNUMBER(SEARCH(Recherche!$C$7,H296))),OR(Recherche!$C$8="",J296=Recherche!$C$8),OR(Recherche!$C$9="",I296=Recherche!$C$9),OR(Recherche!$C$10="",G296&amp;""=Recherche!$C$10&amp;""),OR(Recherche!$C$11="",E296=Recherche!$C$11),OR(Recherche!$C$12="",ISNUMBER(SEARCH(Recherche!$C$12,M296&amp;" "&amp;F296)))),1,0)</f>
        <v>8</v>
      </c>
    </row>
    <row r="297" customFormat="false" ht="15" hidden="false" customHeight="false" outlineLevel="0" collapsed="false">
      <c r="A297" s="19"/>
      <c r="B297" s="19"/>
      <c r="C297" s="19"/>
      <c r="D297" s="19"/>
      <c r="E297" s="22"/>
      <c r="F297" s="19"/>
      <c r="G297" s="26" t="str">
        <f aca="false">IF(D297="","",IFERROR(VALUE(LEFT(D297,FIND(" |",D297&amp;" |")-1)),"?"))</f>
        <v/>
      </c>
      <c r="H297" s="27" t="str">
        <f aca="false">IF(G297="","",IF(G297="?","⚠ pub inconnue",IFERROR(INDEX(Pubs!$B$2:$B$3001,MATCH(G297,Pubs!$A$2:$A$3001,0))&amp;"","⚠ pub inconnue")))</f>
        <v/>
      </c>
      <c r="I297" s="27" t="str">
        <f aca="false">IF(OR(G297="",G297="?"),"",IFERROR(INDEX(Pubs!$C$2:$C$3001,MATCH(G297,Pubs!$A$2:$A$3001,0))&amp;"",""))</f>
        <v/>
      </c>
      <c r="J297" s="27" t="str">
        <f aca="false">IF(OR(G297="",G297="?"),"",IFERROR(INDEX(Pubs!$G$2:$G$3001,MATCH(G297,Pubs!$A$2:$A$3001,0))&amp;"",""))</f>
        <v/>
      </c>
      <c r="K297" s="28" t="str">
        <f aca="false">IF(OR(G297="",G297="?"),"",IFERROR(INDEX(Pubs!$E$2:$E$3001,MATCH(G297,Pubs!$A$2:$A$3001,0)),""))</f>
        <v/>
      </c>
      <c r="L297" s="29" t="str">
        <f aca="false">IF(A297="","",IFERROR(1/(1/INDEX(Numéros!$C$2:$C$3001,MATCH(A297&amp;"|"&amp;B297,Numéros!$F$2:$F$3001,0))),""))</f>
        <v/>
      </c>
      <c r="M297" s="27" t="str">
        <f aca="false">IF(OR(G297="",G297="?"),"",IFERROR(INDEX(Pubs!$D$2:$D$3001,MATCH(G297,Pubs!$A$2:$A$3001,0))&amp;"",""))</f>
        <v/>
      </c>
      <c r="N297" s="27" t="n">
        <f aca="false">N(N296)+IF(AND(A297&lt;&gt;"",OR(Recherche!$C$4="",A297=Recherche!$C$4),OR(Recherche!$C$5="",B297&amp;""=Recherche!$C$5&amp;""),OR(Recherche!$C$6="",IFERROR(YEAR(L297),0)=Recherche!$C$6),OR(Recherche!$C$7="",ISNUMBER(SEARCH(Recherche!$C$7,H297))),OR(Recherche!$C$8="",J297=Recherche!$C$8),OR(Recherche!$C$9="",I297=Recherche!$C$9),OR(Recherche!$C$10="",G297&amp;""=Recherche!$C$10&amp;""),OR(Recherche!$C$11="",E297=Recherche!$C$11),OR(Recherche!$C$12="",ISNUMBER(SEARCH(Recherche!$C$12,M297&amp;" "&amp;F297)))),1,0)</f>
        <v>8</v>
      </c>
    </row>
    <row r="298" customFormat="false" ht="15" hidden="false" customHeight="false" outlineLevel="0" collapsed="false">
      <c r="A298" s="19"/>
      <c r="B298" s="19"/>
      <c r="C298" s="19"/>
      <c r="D298" s="19"/>
      <c r="E298" s="22"/>
      <c r="F298" s="19"/>
      <c r="G298" s="26" t="str">
        <f aca="false">IF(D298="","",IFERROR(VALUE(LEFT(D298,FIND(" |",D298&amp;" |")-1)),"?"))</f>
        <v/>
      </c>
      <c r="H298" s="27" t="str">
        <f aca="false">IF(G298="","",IF(G298="?","⚠ pub inconnue",IFERROR(INDEX(Pubs!$B$2:$B$3001,MATCH(G298,Pubs!$A$2:$A$3001,0))&amp;"","⚠ pub inconnue")))</f>
        <v/>
      </c>
      <c r="I298" s="27" t="str">
        <f aca="false">IF(OR(G298="",G298="?"),"",IFERROR(INDEX(Pubs!$C$2:$C$3001,MATCH(G298,Pubs!$A$2:$A$3001,0))&amp;"",""))</f>
        <v/>
      </c>
      <c r="J298" s="27" t="str">
        <f aca="false">IF(OR(G298="",G298="?"),"",IFERROR(INDEX(Pubs!$G$2:$G$3001,MATCH(G298,Pubs!$A$2:$A$3001,0))&amp;"",""))</f>
        <v/>
      </c>
      <c r="K298" s="28" t="str">
        <f aca="false">IF(OR(G298="",G298="?"),"",IFERROR(INDEX(Pubs!$E$2:$E$3001,MATCH(G298,Pubs!$A$2:$A$3001,0)),""))</f>
        <v/>
      </c>
      <c r="L298" s="29" t="str">
        <f aca="false">IF(A298="","",IFERROR(1/(1/INDEX(Numéros!$C$2:$C$3001,MATCH(A298&amp;"|"&amp;B298,Numéros!$F$2:$F$3001,0))),""))</f>
        <v/>
      </c>
      <c r="M298" s="27" t="str">
        <f aca="false">IF(OR(G298="",G298="?"),"",IFERROR(INDEX(Pubs!$D$2:$D$3001,MATCH(G298,Pubs!$A$2:$A$3001,0))&amp;"",""))</f>
        <v/>
      </c>
      <c r="N298" s="27" t="n">
        <f aca="false">N(N297)+IF(AND(A298&lt;&gt;"",OR(Recherche!$C$4="",A298=Recherche!$C$4),OR(Recherche!$C$5="",B298&amp;""=Recherche!$C$5&amp;""),OR(Recherche!$C$6="",IFERROR(YEAR(L298),0)=Recherche!$C$6),OR(Recherche!$C$7="",ISNUMBER(SEARCH(Recherche!$C$7,H298))),OR(Recherche!$C$8="",J298=Recherche!$C$8),OR(Recherche!$C$9="",I298=Recherche!$C$9),OR(Recherche!$C$10="",G298&amp;""=Recherche!$C$10&amp;""),OR(Recherche!$C$11="",E298=Recherche!$C$11),OR(Recherche!$C$12="",ISNUMBER(SEARCH(Recherche!$C$12,M298&amp;" "&amp;F298)))),1,0)</f>
        <v>8</v>
      </c>
    </row>
    <row r="299" customFormat="false" ht="15" hidden="false" customHeight="false" outlineLevel="0" collapsed="false">
      <c r="A299" s="19"/>
      <c r="B299" s="19"/>
      <c r="C299" s="19"/>
      <c r="D299" s="19"/>
      <c r="E299" s="22"/>
      <c r="F299" s="19"/>
      <c r="G299" s="26" t="str">
        <f aca="false">IF(D299="","",IFERROR(VALUE(LEFT(D299,FIND(" |",D299&amp;" |")-1)),"?"))</f>
        <v/>
      </c>
      <c r="H299" s="27" t="str">
        <f aca="false">IF(G299="","",IF(G299="?","⚠ pub inconnue",IFERROR(INDEX(Pubs!$B$2:$B$3001,MATCH(G299,Pubs!$A$2:$A$3001,0))&amp;"","⚠ pub inconnue")))</f>
        <v/>
      </c>
      <c r="I299" s="27" t="str">
        <f aca="false">IF(OR(G299="",G299="?"),"",IFERROR(INDEX(Pubs!$C$2:$C$3001,MATCH(G299,Pubs!$A$2:$A$3001,0))&amp;"",""))</f>
        <v/>
      </c>
      <c r="J299" s="27" t="str">
        <f aca="false">IF(OR(G299="",G299="?"),"",IFERROR(INDEX(Pubs!$G$2:$G$3001,MATCH(G299,Pubs!$A$2:$A$3001,0))&amp;"",""))</f>
        <v/>
      </c>
      <c r="K299" s="28" t="str">
        <f aca="false">IF(OR(G299="",G299="?"),"",IFERROR(INDEX(Pubs!$E$2:$E$3001,MATCH(G299,Pubs!$A$2:$A$3001,0)),""))</f>
        <v/>
      </c>
      <c r="L299" s="29" t="str">
        <f aca="false">IF(A299="","",IFERROR(1/(1/INDEX(Numéros!$C$2:$C$3001,MATCH(A299&amp;"|"&amp;B299,Numéros!$F$2:$F$3001,0))),""))</f>
        <v/>
      </c>
      <c r="M299" s="27" t="str">
        <f aca="false">IF(OR(G299="",G299="?"),"",IFERROR(INDEX(Pubs!$D$2:$D$3001,MATCH(G299,Pubs!$A$2:$A$3001,0))&amp;"",""))</f>
        <v/>
      </c>
      <c r="N299" s="27" t="n">
        <f aca="false">N(N298)+IF(AND(A299&lt;&gt;"",OR(Recherche!$C$4="",A299=Recherche!$C$4),OR(Recherche!$C$5="",B299&amp;""=Recherche!$C$5&amp;""),OR(Recherche!$C$6="",IFERROR(YEAR(L299),0)=Recherche!$C$6),OR(Recherche!$C$7="",ISNUMBER(SEARCH(Recherche!$C$7,H299))),OR(Recherche!$C$8="",J299=Recherche!$C$8),OR(Recherche!$C$9="",I299=Recherche!$C$9),OR(Recherche!$C$10="",G299&amp;""=Recherche!$C$10&amp;""),OR(Recherche!$C$11="",E299=Recherche!$C$11),OR(Recherche!$C$12="",ISNUMBER(SEARCH(Recherche!$C$12,M299&amp;" "&amp;F299)))),1,0)</f>
        <v>8</v>
      </c>
    </row>
    <row r="300" customFormat="false" ht="15" hidden="false" customHeight="false" outlineLevel="0" collapsed="false">
      <c r="A300" s="19"/>
      <c r="B300" s="19"/>
      <c r="C300" s="19"/>
      <c r="D300" s="19"/>
      <c r="E300" s="22"/>
      <c r="F300" s="19"/>
      <c r="G300" s="26" t="str">
        <f aca="false">IF(D300="","",IFERROR(VALUE(LEFT(D300,FIND(" |",D300&amp;" |")-1)),"?"))</f>
        <v/>
      </c>
      <c r="H300" s="27" t="str">
        <f aca="false">IF(G300="","",IF(G300="?","⚠ pub inconnue",IFERROR(INDEX(Pubs!$B$2:$B$3001,MATCH(G300,Pubs!$A$2:$A$3001,0))&amp;"","⚠ pub inconnue")))</f>
        <v/>
      </c>
      <c r="I300" s="27" t="str">
        <f aca="false">IF(OR(G300="",G300="?"),"",IFERROR(INDEX(Pubs!$C$2:$C$3001,MATCH(G300,Pubs!$A$2:$A$3001,0))&amp;"",""))</f>
        <v/>
      </c>
      <c r="J300" s="27" t="str">
        <f aca="false">IF(OR(G300="",G300="?"),"",IFERROR(INDEX(Pubs!$G$2:$G$3001,MATCH(G300,Pubs!$A$2:$A$3001,0))&amp;"",""))</f>
        <v/>
      </c>
      <c r="K300" s="28" t="str">
        <f aca="false">IF(OR(G300="",G300="?"),"",IFERROR(INDEX(Pubs!$E$2:$E$3001,MATCH(G300,Pubs!$A$2:$A$3001,0)),""))</f>
        <v/>
      </c>
      <c r="L300" s="29" t="str">
        <f aca="false">IF(A300="","",IFERROR(1/(1/INDEX(Numéros!$C$2:$C$3001,MATCH(A300&amp;"|"&amp;B300,Numéros!$F$2:$F$3001,0))),""))</f>
        <v/>
      </c>
      <c r="M300" s="27" t="str">
        <f aca="false">IF(OR(G300="",G300="?"),"",IFERROR(INDEX(Pubs!$D$2:$D$3001,MATCH(G300,Pubs!$A$2:$A$3001,0))&amp;"",""))</f>
        <v/>
      </c>
      <c r="N300" s="27" t="n">
        <f aca="false">N(N299)+IF(AND(A300&lt;&gt;"",OR(Recherche!$C$4="",A300=Recherche!$C$4),OR(Recherche!$C$5="",B300&amp;""=Recherche!$C$5&amp;""),OR(Recherche!$C$6="",IFERROR(YEAR(L300),0)=Recherche!$C$6),OR(Recherche!$C$7="",ISNUMBER(SEARCH(Recherche!$C$7,H300))),OR(Recherche!$C$8="",J300=Recherche!$C$8),OR(Recherche!$C$9="",I300=Recherche!$C$9),OR(Recherche!$C$10="",G300&amp;""=Recherche!$C$10&amp;""),OR(Recherche!$C$11="",E300=Recherche!$C$11),OR(Recherche!$C$12="",ISNUMBER(SEARCH(Recherche!$C$12,M300&amp;" "&amp;F300)))),1,0)</f>
        <v>8</v>
      </c>
    </row>
    <row r="301" customFormat="false" ht="15" hidden="false" customHeight="false" outlineLevel="0" collapsed="false">
      <c r="A301" s="19"/>
      <c r="B301" s="19"/>
      <c r="C301" s="19"/>
      <c r="D301" s="19"/>
      <c r="E301" s="22"/>
      <c r="F301" s="19"/>
      <c r="G301" s="26" t="str">
        <f aca="false">IF(D301="","",IFERROR(VALUE(LEFT(D301,FIND(" |",D301&amp;" |")-1)),"?"))</f>
        <v/>
      </c>
      <c r="H301" s="27" t="str">
        <f aca="false">IF(G301="","",IF(G301="?","⚠ pub inconnue",IFERROR(INDEX(Pubs!$B$2:$B$3001,MATCH(G301,Pubs!$A$2:$A$3001,0))&amp;"","⚠ pub inconnue")))</f>
        <v/>
      </c>
      <c r="I301" s="27" t="str">
        <f aca="false">IF(OR(G301="",G301="?"),"",IFERROR(INDEX(Pubs!$C$2:$C$3001,MATCH(G301,Pubs!$A$2:$A$3001,0))&amp;"",""))</f>
        <v/>
      </c>
      <c r="J301" s="27" t="str">
        <f aca="false">IF(OR(G301="",G301="?"),"",IFERROR(INDEX(Pubs!$G$2:$G$3001,MATCH(G301,Pubs!$A$2:$A$3001,0))&amp;"",""))</f>
        <v/>
      </c>
      <c r="K301" s="28" t="str">
        <f aca="false">IF(OR(G301="",G301="?"),"",IFERROR(INDEX(Pubs!$E$2:$E$3001,MATCH(G301,Pubs!$A$2:$A$3001,0)),""))</f>
        <v/>
      </c>
      <c r="L301" s="29" t="str">
        <f aca="false">IF(A301="","",IFERROR(1/(1/INDEX(Numéros!$C$2:$C$3001,MATCH(A301&amp;"|"&amp;B301,Numéros!$F$2:$F$3001,0))),""))</f>
        <v/>
      </c>
      <c r="M301" s="27" t="str">
        <f aca="false">IF(OR(G301="",G301="?"),"",IFERROR(INDEX(Pubs!$D$2:$D$3001,MATCH(G301,Pubs!$A$2:$A$3001,0))&amp;"",""))</f>
        <v/>
      </c>
      <c r="N301" s="27" t="n">
        <f aca="false">N(N300)+IF(AND(A301&lt;&gt;"",OR(Recherche!$C$4="",A301=Recherche!$C$4),OR(Recherche!$C$5="",B301&amp;""=Recherche!$C$5&amp;""),OR(Recherche!$C$6="",IFERROR(YEAR(L301),0)=Recherche!$C$6),OR(Recherche!$C$7="",ISNUMBER(SEARCH(Recherche!$C$7,H301))),OR(Recherche!$C$8="",J301=Recherche!$C$8),OR(Recherche!$C$9="",I301=Recherche!$C$9),OR(Recherche!$C$10="",G301&amp;""=Recherche!$C$10&amp;""),OR(Recherche!$C$11="",E301=Recherche!$C$11),OR(Recherche!$C$12="",ISNUMBER(SEARCH(Recherche!$C$12,M301&amp;" "&amp;F301)))),1,0)</f>
        <v>8</v>
      </c>
    </row>
    <row r="302" customFormat="false" ht="15" hidden="false" customHeight="false" outlineLevel="0" collapsed="false">
      <c r="A302" s="19"/>
      <c r="B302" s="19"/>
      <c r="C302" s="19"/>
      <c r="D302" s="19"/>
      <c r="E302" s="22"/>
      <c r="F302" s="19"/>
      <c r="G302" s="26" t="str">
        <f aca="false">IF(D302="","",IFERROR(VALUE(LEFT(D302,FIND(" |",D302&amp;" |")-1)),"?"))</f>
        <v/>
      </c>
      <c r="H302" s="27" t="str">
        <f aca="false">IF(G302="","",IF(G302="?","⚠ pub inconnue",IFERROR(INDEX(Pubs!$B$2:$B$3001,MATCH(G302,Pubs!$A$2:$A$3001,0))&amp;"","⚠ pub inconnue")))</f>
        <v/>
      </c>
      <c r="I302" s="27" t="str">
        <f aca="false">IF(OR(G302="",G302="?"),"",IFERROR(INDEX(Pubs!$C$2:$C$3001,MATCH(G302,Pubs!$A$2:$A$3001,0))&amp;"",""))</f>
        <v/>
      </c>
      <c r="J302" s="27" t="str">
        <f aca="false">IF(OR(G302="",G302="?"),"",IFERROR(INDEX(Pubs!$G$2:$G$3001,MATCH(G302,Pubs!$A$2:$A$3001,0))&amp;"",""))</f>
        <v/>
      </c>
      <c r="K302" s="28" t="str">
        <f aca="false">IF(OR(G302="",G302="?"),"",IFERROR(INDEX(Pubs!$E$2:$E$3001,MATCH(G302,Pubs!$A$2:$A$3001,0)),""))</f>
        <v/>
      </c>
      <c r="L302" s="29" t="str">
        <f aca="false">IF(A302="","",IFERROR(1/(1/INDEX(Numéros!$C$2:$C$3001,MATCH(A302&amp;"|"&amp;B302,Numéros!$F$2:$F$3001,0))),""))</f>
        <v/>
      </c>
      <c r="M302" s="27" t="str">
        <f aca="false">IF(OR(G302="",G302="?"),"",IFERROR(INDEX(Pubs!$D$2:$D$3001,MATCH(G302,Pubs!$A$2:$A$3001,0))&amp;"",""))</f>
        <v/>
      </c>
      <c r="N302" s="27" t="n">
        <f aca="false">N(N301)+IF(AND(A302&lt;&gt;"",OR(Recherche!$C$4="",A302=Recherche!$C$4),OR(Recherche!$C$5="",B302&amp;""=Recherche!$C$5&amp;""),OR(Recherche!$C$6="",IFERROR(YEAR(L302),0)=Recherche!$C$6),OR(Recherche!$C$7="",ISNUMBER(SEARCH(Recherche!$C$7,H302))),OR(Recherche!$C$8="",J302=Recherche!$C$8),OR(Recherche!$C$9="",I302=Recherche!$C$9),OR(Recherche!$C$10="",G302&amp;""=Recherche!$C$10&amp;""),OR(Recherche!$C$11="",E302=Recherche!$C$11),OR(Recherche!$C$12="",ISNUMBER(SEARCH(Recherche!$C$12,M302&amp;" "&amp;F302)))),1,0)</f>
        <v>8</v>
      </c>
    </row>
    <row r="303" customFormat="false" ht="15" hidden="false" customHeight="false" outlineLevel="0" collapsed="false">
      <c r="A303" s="19"/>
      <c r="B303" s="19"/>
      <c r="C303" s="19"/>
      <c r="D303" s="19"/>
      <c r="E303" s="22"/>
      <c r="F303" s="19"/>
      <c r="G303" s="26" t="str">
        <f aca="false">IF(D303="","",IFERROR(VALUE(LEFT(D303,FIND(" |",D303&amp;" |")-1)),"?"))</f>
        <v/>
      </c>
      <c r="H303" s="27" t="str">
        <f aca="false">IF(G303="","",IF(G303="?","⚠ pub inconnue",IFERROR(INDEX(Pubs!$B$2:$B$3001,MATCH(G303,Pubs!$A$2:$A$3001,0))&amp;"","⚠ pub inconnue")))</f>
        <v/>
      </c>
      <c r="I303" s="27" t="str">
        <f aca="false">IF(OR(G303="",G303="?"),"",IFERROR(INDEX(Pubs!$C$2:$C$3001,MATCH(G303,Pubs!$A$2:$A$3001,0))&amp;"",""))</f>
        <v/>
      </c>
      <c r="J303" s="27" t="str">
        <f aca="false">IF(OR(G303="",G303="?"),"",IFERROR(INDEX(Pubs!$G$2:$G$3001,MATCH(G303,Pubs!$A$2:$A$3001,0))&amp;"",""))</f>
        <v/>
      </c>
      <c r="K303" s="28" t="str">
        <f aca="false">IF(OR(G303="",G303="?"),"",IFERROR(INDEX(Pubs!$E$2:$E$3001,MATCH(G303,Pubs!$A$2:$A$3001,0)),""))</f>
        <v/>
      </c>
      <c r="L303" s="29" t="str">
        <f aca="false">IF(A303="","",IFERROR(1/(1/INDEX(Numéros!$C$2:$C$3001,MATCH(A303&amp;"|"&amp;B303,Numéros!$F$2:$F$3001,0))),""))</f>
        <v/>
      </c>
      <c r="M303" s="27" t="str">
        <f aca="false">IF(OR(G303="",G303="?"),"",IFERROR(INDEX(Pubs!$D$2:$D$3001,MATCH(G303,Pubs!$A$2:$A$3001,0))&amp;"",""))</f>
        <v/>
      </c>
      <c r="N303" s="27" t="n">
        <f aca="false">N(N302)+IF(AND(A303&lt;&gt;"",OR(Recherche!$C$4="",A303=Recherche!$C$4),OR(Recherche!$C$5="",B303&amp;""=Recherche!$C$5&amp;""),OR(Recherche!$C$6="",IFERROR(YEAR(L303),0)=Recherche!$C$6),OR(Recherche!$C$7="",ISNUMBER(SEARCH(Recherche!$C$7,H303))),OR(Recherche!$C$8="",J303=Recherche!$C$8),OR(Recherche!$C$9="",I303=Recherche!$C$9),OR(Recherche!$C$10="",G303&amp;""=Recherche!$C$10&amp;""),OR(Recherche!$C$11="",E303=Recherche!$C$11),OR(Recherche!$C$12="",ISNUMBER(SEARCH(Recherche!$C$12,M303&amp;" "&amp;F303)))),1,0)</f>
        <v>8</v>
      </c>
    </row>
    <row r="304" customFormat="false" ht="15" hidden="false" customHeight="false" outlineLevel="0" collapsed="false">
      <c r="A304" s="19"/>
      <c r="B304" s="19"/>
      <c r="C304" s="19"/>
      <c r="D304" s="19"/>
      <c r="E304" s="22"/>
      <c r="F304" s="19"/>
      <c r="G304" s="26" t="str">
        <f aca="false">IF(D304="","",IFERROR(VALUE(LEFT(D304,FIND(" |",D304&amp;" |")-1)),"?"))</f>
        <v/>
      </c>
      <c r="H304" s="27" t="str">
        <f aca="false">IF(G304="","",IF(G304="?","⚠ pub inconnue",IFERROR(INDEX(Pubs!$B$2:$B$3001,MATCH(G304,Pubs!$A$2:$A$3001,0))&amp;"","⚠ pub inconnue")))</f>
        <v/>
      </c>
      <c r="I304" s="27" t="str">
        <f aca="false">IF(OR(G304="",G304="?"),"",IFERROR(INDEX(Pubs!$C$2:$C$3001,MATCH(G304,Pubs!$A$2:$A$3001,0))&amp;"",""))</f>
        <v/>
      </c>
      <c r="J304" s="27" t="str">
        <f aca="false">IF(OR(G304="",G304="?"),"",IFERROR(INDEX(Pubs!$G$2:$G$3001,MATCH(G304,Pubs!$A$2:$A$3001,0))&amp;"",""))</f>
        <v/>
      </c>
      <c r="K304" s="28" t="str">
        <f aca="false">IF(OR(G304="",G304="?"),"",IFERROR(INDEX(Pubs!$E$2:$E$3001,MATCH(G304,Pubs!$A$2:$A$3001,0)),""))</f>
        <v/>
      </c>
      <c r="L304" s="29" t="str">
        <f aca="false">IF(A304="","",IFERROR(1/(1/INDEX(Numéros!$C$2:$C$3001,MATCH(A304&amp;"|"&amp;B304,Numéros!$F$2:$F$3001,0))),""))</f>
        <v/>
      </c>
      <c r="M304" s="27" t="str">
        <f aca="false">IF(OR(G304="",G304="?"),"",IFERROR(INDEX(Pubs!$D$2:$D$3001,MATCH(G304,Pubs!$A$2:$A$3001,0))&amp;"",""))</f>
        <v/>
      </c>
      <c r="N304" s="27" t="n">
        <f aca="false">N(N303)+IF(AND(A304&lt;&gt;"",OR(Recherche!$C$4="",A304=Recherche!$C$4),OR(Recherche!$C$5="",B304&amp;""=Recherche!$C$5&amp;""),OR(Recherche!$C$6="",IFERROR(YEAR(L304),0)=Recherche!$C$6),OR(Recherche!$C$7="",ISNUMBER(SEARCH(Recherche!$C$7,H304))),OR(Recherche!$C$8="",J304=Recherche!$C$8),OR(Recherche!$C$9="",I304=Recherche!$C$9),OR(Recherche!$C$10="",G304&amp;""=Recherche!$C$10&amp;""),OR(Recherche!$C$11="",E304=Recherche!$C$11),OR(Recherche!$C$12="",ISNUMBER(SEARCH(Recherche!$C$12,M304&amp;" "&amp;F304)))),1,0)</f>
        <v>8</v>
      </c>
    </row>
    <row r="305" customFormat="false" ht="15" hidden="false" customHeight="false" outlineLevel="0" collapsed="false">
      <c r="A305" s="19"/>
      <c r="B305" s="19"/>
      <c r="C305" s="19"/>
      <c r="D305" s="19"/>
      <c r="E305" s="22"/>
      <c r="F305" s="19"/>
      <c r="G305" s="26" t="str">
        <f aca="false">IF(D305="","",IFERROR(VALUE(LEFT(D305,FIND(" |",D305&amp;" |")-1)),"?"))</f>
        <v/>
      </c>
      <c r="H305" s="27" t="str">
        <f aca="false">IF(G305="","",IF(G305="?","⚠ pub inconnue",IFERROR(INDEX(Pubs!$B$2:$B$3001,MATCH(G305,Pubs!$A$2:$A$3001,0))&amp;"","⚠ pub inconnue")))</f>
        <v/>
      </c>
      <c r="I305" s="27" t="str">
        <f aca="false">IF(OR(G305="",G305="?"),"",IFERROR(INDEX(Pubs!$C$2:$C$3001,MATCH(G305,Pubs!$A$2:$A$3001,0))&amp;"",""))</f>
        <v/>
      </c>
      <c r="J305" s="27" t="str">
        <f aca="false">IF(OR(G305="",G305="?"),"",IFERROR(INDEX(Pubs!$G$2:$G$3001,MATCH(G305,Pubs!$A$2:$A$3001,0))&amp;"",""))</f>
        <v/>
      </c>
      <c r="K305" s="28" t="str">
        <f aca="false">IF(OR(G305="",G305="?"),"",IFERROR(INDEX(Pubs!$E$2:$E$3001,MATCH(G305,Pubs!$A$2:$A$3001,0)),""))</f>
        <v/>
      </c>
      <c r="L305" s="29" t="str">
        <f aca="false">IF(A305="","",IFERROR(1/(1/INDEX(Numéros!$C$2:$C$3001,MATCH(A305&amp;"|"&amp;B305,Numéros!$F$2:$F$3001,0))),""))</f>
        <v/>
      </c>
      <c r="M305" s="27" t="str">
        <f aca="false">IF(OR(G305="",G305="?"),"",IFERROR(INDEX(Pubs!$D$2:$D$3001,MATCH(G305,Pubs!$A$2:$A$3001,0))&amp;"",""))</f>
        <v/>
      </c>
      <c r="N305" s="27" t="n">
        <f aca="false">N(N304)+IF(AND(A305&lt;&gt;"",OR(Recherche!$C$4="",A305=Recherche!$C$4),OR(Recherche!$C$5="",B305&amp;""=Recherche!$C$5&amp;""),OR(Recherche!$C$6="",IFERROR(YEAR(L305),0)=Recherche!$C$6),OR(Recherche!$C$7="",ISNUMBER(SEARCH(Recherche!$C$7,H305))),OR(Recherche!$C$8="",J305=Recherche!$C$8),OR(Recherche!$C$9="",I305=Recherche!$C$9),OR(Recherche!$C$10="",G305&amp;""=Recherche!$C$10&amp;""),OR(Recherche!$C$11="",E305=Recherche!$C$11),OR(Recherche!$C$12="",ISNUMBER(SEARCH(Recherche!$C$12,M305&amp;" "&amp;F305)))),1,0)</f>
        <v>8</v>
      </c>
    </row>
    <row r="306" customFormat="false" ht="15" hidden="false" customHeight="false" outlineLevel="0" collapsed="false">
      <c r="A306" s="19"/>
      <c r="B306" s="19"/>
      <c r="C306" s="19"/>
      <c r="D306" s="19"/>
      <c r="E306" s="22"/>
      <c r="F306" s="19"/>
      <c r="G306" s="26" t="str">
        <f aca="false">IF(D306="","",IFERROR(VALUE(LEFT(D306,FIND(" |",D306&amp;" |")-1)),"?"))</f>
        <v/>
      </c>
      <c r="H306" s="27" t="str">
        <f aca="false">IF(G306="","",IF(G306="?","⚠ pub inconnue",IFERROR(INDEX(Pubs!$B$2:$B$3001,MATCH(G306,Pubs!$A$2:$A$3001,0))&amp;"","⚠ pub inconnue")))</f>
        <v/>
      </c>
      <c r="I306" s="27" t="str">
        <f aca="false">IF(OR(G306="",G306="?"),"",IFERROR(INDEX(Pubs!$C$2:$C$3001,MATCH(G306,Pubs!$A$2:$A$3001,0))&amp;"",""))</f>
        <v/>
      </c>
      <c r="J306" s="27" t="str">
        <f aca="false">IF(OR(G306="",G306="?"),"",IFERROR(INDEX(Pubs!$G$2:$G$3001,MATCH(G306,Pubs!$A$2:$A$3001,0))&amp;"",""))</f>
        <v/>
      </c>
      <c r="K306" s="28" t="str">
        <f aca="false">IF(OR(G306="",G306="?"),"",IFERROR(INDEX(Pubs!$E$2:$E$3001,MATCH(G306,Pubs!$A$2:$A$3001,0)),""))</f>
        <v/>
      </c>
      <c r="L306" s="29" t="str">
        <f aca="false">IF(A306="","",IFERROR(1/(1/INDEX(Numéros!$C$2:$C$3001,MATCH(A306&amp;"|"&amp;B306,Numéros!$F$2:$F$3001,0))),""))</f>
        <v/>
      </c>
      <c r="M306" s="27" t="str">
        <f aca="false">IF(OR(G306="",G306="?"),"",IFERROR(INDEX(Pubs!$D$2:$D$3001,MATCH(G306,Pubs!$A$2:$A$3001,0))&amp;"",""))</f>
        <v/>
      </c>
      <c r="N306" s="27" t="n">
        <f aca="false">N(N305)+IF(AND(A306&lt;&gt;"",OR(Recherche!$C$4="",A306=Recherche!$C$4),OR(Recherche!$C$5="",B306&amp;""=Recherche!$C$5&amp;""),OR(Recherche!$C$6="",IFERROR(YEAR(L306),0)=Recherche!$C$6),OR(Recherche!$C$7="",ISNUMBER(SEARCH(Recherche!$C$7,H306))),OR(Recherche!$C$8="",J306=Recherche!$C$8),OR(Recherche!$C$9="",I306=Recherche!$C$9),OR(Recherche!$C$10="",G306&amp;""=Recherche!$C$10&amp;""),OR(Recherche!$C$11="",E306=Recherche!$C$11),OR(Recherche!$C$12="",ISNUMBER(SEARCH(Recherche!$C$12,M306&amp;" "&amp;F306)))),1,0)</f>
        <v>8</v>
      </c>
    </row>
    <row r="307" customFormat="false" ht="15" hidden="false" customHeight="false" outlineLevel="0" collapsed="false">
      <c r="A307" s="19"/>
      <c r="B307" s="19"/>
      <c r="C307" s="19"/>
      <c r="D307" s="19"/>
      <c r="E307" s="22"/>
      <c r="F307" s="19"/>
      <c r="G307" s="26" t="str">
        <f aca="false">IF(D307="","",IFERROR(VALUE(LEFT(D307,FIND(" |",D307&amp;" |")-1)),"?"))</f>
        <v/>
      </c>
      <c r="H307" s="27" t="str">
        <f aca="false">IF(G307="","",IF(G307="?","⚠ pub inconnue",IFERROR(INDEX(Pubs!$B$2:$B$3001,MATCH(G307,Pubs!$A$2:$A$3001,0))&amp;"","⚠ pub inconnue")))</f>
        <v/>
      </c>
      <c r="I307" s="27" t="str">
        <f aca="false">IF(OR(G307="",G307="?"),"",IFERROR(INDEX(Pubs!$C$2:$C$3001,MATCH(G307,Pubs!$A$2:$A$3001,0))&amp;"",""))</f>
        <v/>
      </c>
      <c r="J307" s="27" t="str">
        <f aca="false">IF(OR(G307="",G307="?"),"",IFERROR(INDEX(Pubs!$G$2:$G$3001,MATCH(G307,Pubs!$A$2:$A$3001,0))&amp;"",""))</f>
        <v/>
      </c>
      <c r="K307" s="28" t="str">
        <f aca="false">IF(OR(G307="",G307="?"),"",IFERROR(INDEX(Pubs!$E$2:$E$3001,MATCH(G307,Pubs!$A$2:$A$3001,0)),""))</f>
        <v/>
      </c>
      <c r="L307" s="29" t="str">
        <f aca="false">IF(A307="","",IFERROR(1/(1/INDEX(Numéros!$C$2:$C$3001,MATCH(A307&amp;"|"&amp;B307,Numéros!$F$2:$F$3001,0))),""))</f>
        <v/>
      </c>
      <c r="M307" s="27" t="str">
        <f aca="false">IF(OR(G307="",G307="?"),"",IFERROR(INDEX(Pubs!$D$2:$D$3001,MATCH(G307,Pubs!$A$2:$A$3001,0))&amp;"",""))</f>
        <v/>
      </c>
      <c r="N307" s="27" t="n">
        <f aca="false">N(N306)+IF(AND(A307&lt;&gt;"",OR(Recherche!$C$4="",A307=Recherche!$C$4),OR(Recherche!$C$5="",B307&amp;""=Recherche!$C$5&amp;""),OR(Recherche!$C$6="",IFERROR(YEAR(L307),0)=Recherche!$C$6),OR(Recherche!$C$7="",ISNUMBER(SEARCH(Recherche!$C$7,H307))),OR(Recherche!$C$8="",J307=Recherche!$C$8),OR(Recherche!$C$9="",I307=Recherche!$C$9),OR(Recherche!$C$10="",G307&amp;""=Recherche!$C$10&amp;""),OR(Recherche!$C$11="",E307=Recherche!$C$11),OR(Recherche!$C$12="",ISNUMBER(SEARCH(Recherche!$C$12,M307&amp;" "&amp;F307)))),1,0)</f>
        <v>8</v>
      </c>
    </row>
    <row r="308" customFormat="false" ht="15" hidden="false" customHeight="false" outlineLevel="0" collapsed="false">
      <c r="A308" s="19"/>
      <c r="B308" s="19"/>
      <c r="C308" s="19"/>
      <c r="D308" s="19"/>
      <c r="E308" s="22"/>
      <c r="F308" s="19"/>
      <c r="G308" s="26" t="str">
        <f aca="false">IF(D308="","",IFERROR(VALUE(LEFT(D308,FIND(" |",D308&amp;" |")-1)),"?"))</f>
        <v/>
      </c>
      <c r="H308" s="27" t="str">
        <f aca="false">IF(G308="","",IF(G308="?","⚠ pub inconnue",IFERROR(INDEX(Pubs!$B$2:$B$3001,MATCH(G308,Pubs!$A$2:$A$3001,0))&amp;"","⚠ pub inconnue")))</f>
        <v/>
      </c>
      <c r="I308" s="27" t="str">
        <f aca="false">IF(OR(G308="",G308="?"),"",IFERROR(INDEX(Pubs!$C$2:$C$3001,MATCH(G308,Pubs!$A$2:$A$3001,0))&amp;"",""))</f>
        <v/>
      </c>
      <c r="J308" s="27" t="str">
        <f aca="false">IF(OR(G308="",G308="?"),"",IFERROR(INDEX(Pubs!$G$2:$G$3001,MATCH(G308,Pubs!$A$2:$A$3001,0))&amp;"",""))</f>
        <v/>
      </c>
      <c r="K308" s="28" t="str">
        <f aca="false">IF(OR(G308="",G308="?"),"",IFERROR(INDEX(Pubs!$E$2:$E$3001,MATCH(G308,Pubs!$A$2:$A$3001,0)),""))</f>
        <v/>
      </c>
      <c r="L308" s="29" t="str">
        <f aca="false">IF(A308="","",IFERROR(1/(1/INDEX(Numéros!$C$2:$C$3001,MATCH(A308&amp;"|"&amp;B308,Numéros!$F$2:$F$3001,0))),""))</f>
        <v/>
      </c>
      <c r="M308" s="27" t="str">
        <f aca="false">IF(OR(G308="",G308="?"),"",IFERROR(INDEX(Pubs!$D$2:$D$3001,MATCH(G308,Pubs!$A$2:$A$3001,0))&amp;"",""))</f>
        <v/>
      </c>
      <c r="N308" s="27" t="n">
        <f aca="false">N(N307)+IF(AND(A308&lt;&gt;"",OR(Recherche!$C$4="",A308=Recherche!$C$4),OR(Recherche!$C$5="",B308&amp;""=Recherche!$C$5&amp;""),OR(Recherche!$C$6="",IFERROR(YEAR(L308),0)=Recherche!$C$6),OR(Recherche!$C$7="",ISNUMBER(SEARCH(Recherche!$C$7,H308))),OR(Recherche!$C$8="",J308=Recherche!$C$8),OR(Recherche!$C$9="",I308=Recherche!$C$9),OR(Recherche!$C$10="",G308&amp;""=Recherche!$C$10&amp;""),OR(Recherche!$C$11="",E308=Recherche!$C$11),OR(Recherche!$C$12="",ISNUMBER(SEARCH(Recherche!$C$12,M308&amp;" "&amp;F308)))),1,0)</f>
        <v>8</v>
      </c>
    </row>
    <row r="309" customFormat="false" ht="15" hidden="false" customHeight="false" outlineLevel="0" collapsed="false">
      <c r="A309" s="19"/>
      <c r="B309" s="19"/>
      <c r="C309" s="19"/>
      <c r="D309" s="19"/>
      <c r="E309" s="22"/>
      <c r="F309" s="19"/>
      <c r="G309" s="26" t="str">
        <f aca="false">IF(D309="","",IFERROR(VALUE(LEFT(D309,FIND(" |",D309&amp;" |")-1)),"?"))</f>
        <v/>
      </c>
      <c r="H309" s="27" t="str">
        <f aca="false">IF(G309="","",IF(G309="?","⚠ pub inconnue",IFERROR(INDEX(Pubs!$B$2:$B$3001,MATCH(G309,Pubs!$A$2:$A$3001,0))&amp;"","⚠ pub inconnue")))</f>
        <v/>
      </c>
      <c r="I309" s="27" t="str">
        <f aca="false">IF(OR(G309="",G309="?"),"",IFERROR(INDEX(Pubs!$C$2:$C$3001,MATCH(G309,Pubs!$A$2:$A$3001,0))&amp;"",""))</f>
        <v/>
      </c>
      <c r="J309" s="27" t="str">
        <f aca="false">IF(OR(G309="",G309="?"),"",IFERROR(INDEX(Pubs!$G$2:$G$3001,MATCH(G309,Pubs!$A$2:$A$3001,0))&amp;"",""))</f>
        <v/>
      </c>
      <c r="K309" s="28" t="str">
        <f aca="false">IF(OR(G309="",G309="?"),"",IFERROR(INDEX(Pubs!$E$2:$E$3001,MATCH(G309,Pubs!$A$2:$A$3001,0)),""))</f>
        <v/>
      </c>
      <c r="L309" s="29" t="str">
        <f aca="false">IF(A309="","",IFERROR(1/(1/INDEX(Numéros!$C$2:$C$3001,MATCH(A309&amp;"|"&amp;B309,Numéros!$F$2:$F$3001,0))),""))</f>
        <v/>
      </c>
      <c r="M309" s="27" t="str">
        <f aca="false">IF(OR(G309="",G309="?"),"",IFERROR(INDEX(Pubs!$D$2:$D$3001,MATCH(G309,Pubs!$A$2:$A$3001,0))&amp;"",""))</f>
        <v/>
      </c>
      <c r="N309" s="27" t="n">
        <f aca="false">N(N308)+IF(AND(A309&lt;&gt;"",OR(Recherche!$C$4="",A309=Recherche!$C$4),OR(Recherche!$C$5="",B309&amp;""=Recherche!$C$5&amp;""),OR(Recherche!$C$6="",IFERROR(YEAR(L309),0)=Recherche!$C$6),OR(Recherche!$C$7="",ISNUMBER(SEARCH(Recherche!$C$7,H309))),OR(Recherche!$C$8="",J309=Recherche!$C$8),OR(Recherche!$C$9="",I309=Recherche!$C$9),OR(Recherche!$C$10="",G309&amp;""=Recherche!$C$10&amp;""),OR(Recherche!$C$11="",E309=Recherche!$C$11),OR(Recherche!$C$12="",ISNUMBER(SEARCH(Recherche!$C$12,M309&amp;" "&amp;F309)))),1,0)</f>
        <v>8</v>
      </c>
    </row>
    <row r="310" customFormat="false" ht="15" hidden="false" customHeight="false" outlineLevel="0" collapsed="false">
      <c r="A310" s="19"/>
      <c r="B310" s="19"/>
      <c r="C310" s="19"/>
      <c r="D310" s="19"/>
      <c r="E310" s="22"/>
      <c r="F310" s="19"/>
      <c r="G310" s="26" t="str">
        <f aca="false">IF(D310="","",IFERROR(VALUE(LEFT(D310,FIND(" |",D310&amp;" |")-1)),"?"))</f>
        <v/>
      </c>
      <c r="H310" s="27" t="str">
        <f aca="false">IF(G310="","",IF(G310="?","⚠ pub inconnue",IFERROR(INDEX(Pubs!$B$2:$B$3001,MATCH(G310,Pubs!$A$2:$A$3001,0))&amp;"","⚠ pub inconnue")))</f>
        <v/>
      </c>
      <c r="I310" s="27" t="str">
        <f aca="false">IF(OR(G310="",G310="?"),"",IFERROR(INDEX(Pubs!$C$2:$C$3001,MATCH(G310,Pubs!$A$2:$A$3001,0))&amp;"",""))</f>
        <v/>
      </c>
      <c r="J310" s="27" t="str">
        <f aca="false">IF(OR(G310="",G310="?"),"",IFERROR(INDEX(Pubs!$G$2:$G$3001,MATCH(G310,Pubs!$A$2:$A$3001,0))&amp;"",""))</f>
        <v/>
      </c>
      <c r="K310" s="28" t="str">
        <f aca="false">IF(OR(G310="",G310="?"),"",IFERROR(INDEX(Pubs!$E$2:$E$3001,MATCH(G310,Pubs!$A$2:$A$3001,0)),""))</f>
        <v/>
      </c>
      <c r="L310" s="29" t="str">
        <f aca="false">IF(A310="","",IFERROR(1/(1/INDEX(Numéros!$C$2:$C$3001,MATCH(A310&amp;"|"&amp;B310,Numéros!$F$2:$F$3001,0))),""))</f>
        <v/>
      </c>
      <c r="M310" s="27" t="str">
        <f aca="false">IF(OR(G310="",G310="?"),"",IFERROR(INDEX(Pubs!$D$2:$D$3001,MATCH(G310,Pubs!$A$2:$A$3001,0))&amp;"",""))</f>
        <v/>
      </c>
      <c r="N310" s="27" t="n">
        <f aca="false">N(N309)+IF(AND(A310&lt;&gt;"",OR(Recherche!$C$4="",A310=Recherche!$C$4),OR(Recherche!$C$5="",B310&amp;""=Recherche!$C$5&amp;""),OR(Recherche!$C$6="",IFERROR(YEAR(L310),0)=Recherche!$C$6),OR(Recherche!$C$7="",ISNUMBER(SEARCH(Recherche!$C$7,H310))),OR(Recherche!$C$8="",J310=Recherche!$C$8),OR(Recherche!$C$9="",I310=Recherche!$C$9),OR(Recherche!$C$10="",G310&amp;""=Recherche!$C$10&amp;""),OR(Recherche!$C$11="",E310=Recherche!$C$11),OR(Recherche!$C$12="",ISNUMBER(SEARCH(Recherche!$C$12,M310&amp;" "&amp;F310)))),1,0)</f>
        <v>8</v>
      </c>
    </row>
    <row r="311" customFormat="false" ht="15" hidden="false" customHeight="false" outlineLevel="0" collapsed="false">
      <c r="A311" s="19"/>
      <c r="B311" s="19"/>
      <c r="C311" s="19"/>
      <c r="D311" s="19"/>
      <c r="E311" s="22"/>
      <c r="F311" s="19"/>
      <c r="G311" s="26" t="str">
        <f aca="false">IF(D311="","",IFERROR(VALUE(LEFT(D311,FIND(" |",D311&amp;" |")-1)),"?"))</f>
        <v/>
      </c>
      <c r="H311" s="27" t="str">
        <f aca="false">IF(G311="","",IF(G311="?","⚠ pub inconnue",IFERROR(INDEX(Pubs!$B$2:$B$3001,MATCH(G311,Pubs!$A$2:$A$3001,0))&amp;"","⚠ pub inconnue")))</f>
        <v/>
      </c>
      <c r="I311" s="27" t="str">
        <f aca="false">IF(OR(G311="",G311="?"),"",IFERROR(INDEX(Pubs!$C$2:$C$3001,MATCH(G311,Pubs!$A$2:$A$3001,0))&amp;"",""))</f>
        <v/>
      </c>
      <c r="J311" s="27" t="str">
        <f aca="false">IF(OR(G311="",G311="?"),"",IFERROR(INDEX(Pubs!$G$2:$G$3001,MATCH(G311,Pubs!$A$2:$A$3001,0))&amp;"",""))</f>
        <v/>
      </c>
      <c r="K311" s="28" t="str">
        <f aca="false">IF(OR(G311="",G311="?"),"",IFERROR(INDEX(Pubs!$E$2:$E$3001,MATCH(G311,Pubs!$A$2:$A$3001,0)),""))</f>
        <v/>
      </c>
      <c r="L311" s="29" t="str">
        <f aca="false">IF(A311="","",IFERROR(1/(1/INDEX(Numéros!$C$2:$C$3001,MATCH(A311&amp;"|"&amp;B311,Numéros!$F$2:$F$3001,0))),""))</f>
        <v/>
      </c>
      <c r="M311" s="27" t="str">
        <f aca="false">IF(OR(G311="",G311="?"),"",IFERROR(INDEX(Pubs!$D$2:$D$3001,MATCH(G311,Pubs!$A$2:$A$3001,0))&amp;"",""))</f>
        <v/>
      </c>
      <c r="N311" s="27" t="n">
        <f aca="false">N(N310)+IF(AND(A311&lt;&gt;"",OR(Recherche!$C$4="",A311=Recherche!$C$4),OR(Recherche!$C$5="",B311&amp;""=Recherche!$C$5&amp;""),OR(Recherche!$C$6="",IFERROR(YEAR(L311),0)=Recherche!$C$6),OR(Recherche!$C$7="",ISNUMBER(SEARCH(Recherche!$C$7,H311))),OR(Recherche!$C$8="",J311=Recherche!$C$8),OR(Recherche!$C$9="",I311=Recherche!$C$9),OR(Recherche!$C$10="",G311&amp;""=Recherche!$C$10&amp;""),OR(Recherche!$C$11="",E311=Recherche!$C$11),OR(Recherche!$C$12="",ISNUMBER(SEARCH(Recherche!$C$12,M311&amp;" "&amp;F311)))),1,0)</f>
        <v>8</v>
      </c>
    </row>
    <row r="312" customFormat="false" ht="15" hidden="false" customHeight="false" outlineLevel="0" collapsed="false">
      <c r="A312" s="19"/>
      <c r="B312" s="19"/>
      <c r="C312" s="19"/>
      <c r="D312" s="19"/>
      <c r="E312" s="22"/>
      <c r="F312" s="19"/>
      <c r="G312" s="26" t="str">
        <f aca="false">IF(D312="","",IFERROR(VALUE(LEFT(D312,FIND(" |",D312&amp;" |")-1)),"?"))</f>
        <v/>
      </c>
      <c r="H312" s="27" t="str">
        <f aca="false">IF(G312="","",IF(G312="?","⚠ pub inconnue",IFERROR(INDEX(Pubs!$B$2:$B$3001,MATCH(G312,Pubs!$A$2:$A$3001,0))&amp;"","⚠ pub inconnue")))</f>
        <v/>
      </c>
      <c r="I312" s="27" t="str">
        <f aca="false">IF(OR(G312="",G312="?"),"",IFERROR(INDEX(Pubs!$C$2:$C$3001,MATCH(G312,Pubs!$A$2:$A$3001,0))&amp;"",""))</f>
        <v/>
      </c>
      <c r="J312" s="27" t="str">
        <f aca="false">IF(OR(G312="",G312="?"),"",IFERROR(INDEX(Pubs!$G$2:$G$3001,MATCH(G312,Pubs!$A$2:$A$3001,0))&amp;"",""))</f>
        <v/>
      </c>
      <c r="K312" s="28" t="str">
        <f aca="false">IF(OR(G312="",G312="?"),"",IFERROR(INDEX(Pubs!$E$2:$E$3001,MATCH(G312,Pubs!$A$2:$A$3001,0)),""))</f>
        <v/>
      </c>
      <c r="L312" s="29" t="str">
        <f aca="false">IF(A312="","",IFERROR(1/(1/INDEX(Numéros!$C$2:$C$3001,MATCH(A312&amp;"|"&amp;B312,Numéros!$F$2:$F$3001,0))),""))</f>
        <v/>
      </c>
      <c r="M312" s="27" t="str">
        <f aca="false">IF(OR(G312="",G312="?"),"",IFERROR(INDEX(Pubs!$D$2:$D$3001,MATCH(G312,Pubs!$A$2:$A$3001,0))&amp;"",""))</f>
        <v/>
      </c>
      <c r="N312" s="27" t="n">
        <f aca="false">N(N311)+IF(AND(A312&lt;&gt;"",OR(Recherche!$C$4="",A312=Recherche!$C$4),OR(Recherche!$C$5="",B312&amp;""=Recherche!$C$5&amp;""),OR(Recherche!$C$6="",IFERROR(YEAR(L312),0)=Recherche!$C$6),OR(Recherche!$C$7="",ISNUMBER(SEARCH(Recherche!$C$7,H312))),OR(Recherche!$C$8="",J312=Recherche!$C$8),OR(Recherche!$C$9="",I312=Recherche!$C$9),OR(Recherche!$C$10="",G312&amp;""=Recherche!$C$10&amp;""),OR(Recherche!$C$11="",E312=Recherche!$C$11),OR(Recherche!$C$12="",ISNUMBER(SEARCH(Recherche!$C$12,M312&amp;" "&amp;F312)))),1,0)</f>
        <v>8</v>
      </c>
    </row>
    <row r="313" customFormat="false" ht="15" hidden="false" customHeight="false" outlineLevel="0" collapsed="false">
      <c r="A313" s="19"/>
      <c r="B313" s="19"/>
      <c r="C313" s="19"/>
      <c r="D313" s="19"/>
      <c r="E313" s="22"/>
      <c r="F313" s="19"/>
      <c r="G313" s="26" t="str">
        <f aca="false">IF(D313="","",IFERROR(VALUE(LEFT(D313,FIND(" |",D313&amp;" |")-1)),"?"))</f>
        <v/>
      </c>
      <c r="H313" s="27" t="str">
        <f aca="false">IF(G313="","",IF(G313="?","⚠ pub inconnue",IFERROR(INDEX(Pubs!$B$2:$B$3001,MATCH(G313,Pubs!$A$2:$A$3001,0))&amp;"","⚠ pub inconnue")))</f>
        <v/>
      </c>
      <c r="I313" s="27" t="str">
        <f aca="false">IF(OR(G313="",G313="?"),"",IFERROR(INDEX(Pubs!$C$2:$C$3001,MATCH(G313,Pubs!$A$2:$A$3001,0))&amp;"",""))</f>
        <v/>
      </c>
      <c r="J313" s="27" t="str">
        <f aca="false">IF(OR(G313="",G313="?"),"",IFERROR(INDEX(Pubs!$G$2:$G$3001,MATCH(G313,Pubs!$A$2:$A$3001,0))&amp;"",""))</f>
        <v/>
      </c>
      <c r="K313" s="28" t="str">
        <f aca="false">IF(OR(G313="",G313="?"),"",IFERROR(INDEX(Pubs!$E$2:$E$3001,MATCH(G313,Pubs!$A$2:$A$3001,0)),""))</f>
        <v/>
      </c>
      <c r="L313" s="29" t="str">
        <f aca="false">IF(A313="","",IFERROR(1/(1/INDEX(Numéros!$C$2:$C$3001,MATCH(A313&amp;"|"&amp;B313,Numéros!$F$2:$F$3001,0))),""))</f>
        <v/>
      </c>
      <c r="M313" s="27" t="str">
        <f aca="false">IF(OR(G313="",G313="?"),"",IFERROR(INDEX(Pubs!$D$2:$D$3001,MATCH(G313,Pubs!$A$2:$A$3001,0))&amp;"",""))</f>
        <v/>
      </c>
      <c r="N313" s="27" t="n">
        <f aca="false">N(N312)+IF(AND(A313&lt;&gt;"",OR(Recherche!$C$4="",A313=Recherche!$C$4),OR(Recherche!$C$5="",B313&amp;""=Recherche!$C$5&amp;""),OR(Recherche!$C$6="",IFERROR(YEAR(L313),0)=Recherche!$C$6),OR(Recherche!$C$7="",ISNUMBER(SEARCH(Recherche!$C$7,H313))),OR(Recherche!$C$8="",J313=Recherche!$C$8),OR(Recherche!$C$9="",I313=Recherche!$C$9),OR(Recherche!$C$10="",G313&amp;""=Recherche!$C$10&amp;""),OR(Recherche!$C$11="",E313=Recherche!$C$11),OR(Recherche!$C$12="",ISNUMBER(SEARCH(Recherche!$C$12,M313&amp;" "&amp;F313)))),1,0)</f>
        <v>8</v>
      </c>
    </row>
    <row r="314" customFormat="false" ht="15" hidden="false" customHeight="false" outlineLevel="0" collapsed="false">
      <c r="A314" s="19"/>
      <c r="B314" s="19"/>
      <c r="C314" s="19"/>
      <c r="D314" s="19"/>
      <c r="E314" s="22"/>
      <c r="F314" s="19"/>
      <c r="G314" s="26" t="str">
        <f aca="false">IF(D314="","",IFERROR(VALUE(LEFT(D314,FIND(" |",D314&amp;" |")-1)),"?"))</f>
        <v/>
      </c>
      <c r="H314" s="27" t="str">
        <f aca="false">IF(G314="","",IF(G314="?","⚠ pub inconnue",IFERROR(INDEX(Pubs!$B$2:$B$3001,MATCH(G314,Pubs!$A$2:$A$3001,0))&amp;"","⚠ pub inconnue")))</f>
        <v/>
      </c>
      <c r="I314" s="27" t="str">
        <f aca="false">IF(OR(G314="",G314="?"),"",IFERROR(INDEX(Pubs!$C$2:$C$3001,MATCH(G314,Pubs!$A$2:$A$3001,0))&amp;"",""))</f>
        <v/>
      </c>
      <c r="J314" s="27" t="str">
        <f aca="false">IF(OR(G314="",G314="?"),"",IFERROR(INDEX(Pubs!$G$2:$G$3001,MATCH(G314,Pubs!$A$2:$A$3001,0))&amp;"",""))</f>
        <v/>
      </c>
      <c r="K314" s="28" t="str">
        <f aca="false">IF(OR(G314="",G314="?"),"",IFERROR(INDEX(Pubs!$E$2:$E$3001,MATCH(G314,Pubs!$A$2:$A$3001,0)),""))</f>
        <v/>
      </c>
      <c r="L314" s="29" t="str">
        <f aca="false">IF(A314="","",IFERROR(1/(1/INDEX(Numéros!$C$2:$C$3001,MATCH(A314&amp;"|"&amp;B314,Numéros!$F$2:$F$3001,0))),""))</f>
        <v/>
      </c>
      <c r="M314" s="27" t="str">
        <f aca="false">IF(OR(G314="",G314="?"),"",IFERROR(INDEX(Pubs!$D$2:$D$3001,MATCH(G314,Pubs!$A$2:$A$3001,0))&amp;"",""))</f>
        <v/>
      </c>
      <c r="N314" s="27" t="n">
        <f aca="false">N(N313)+IF(AND(A314&lt;&gt;"",OR(Recherche!$C$4="",A314=Recherche!$C$4),OR(Recherche!$C$5="",B314&amp;""=Recherche!$C$5&amp;""),OR(Recherche!$C$6="",IFERROR(YEAR(L314),0)=Recherche!$C$6),OR(Recherche!$C$7="",ISNUMBER(SEARCH(Recherche!$C$7,H314))),OR(Recherche!$C$8="",J314=Recherche!$C$8),OR(Recherche!$C$9="",I314=Recherche!$C$9),OR(Recherche!$C$10="",G314&amp;""=Recherche!$C$10&amp;""),OR(Recherche!$C$11="",E314=Recherche!$C$11),OR(Recherche!$C$12="",ISNUMBER(SEARCH(Recherche!$C$12,M314&amp;" "&amp;F314)))),1,0)</f>
        <v>8</v>
      </c>
    </row>
    <row r="315" customFormat="false" ht="15" hidden="false" customHeight="false" outlineLevel="0" collapsed="false">
      <c r="A315" s="19"/>
      <c r="B315" s="19"/>
      <c r="C315" s="19"/>
      <c r="D315" s="19"/>
      <c r="E315" s="22"/>
      <c r="F315" s="19"/>
      <c r="G315" s="26" t="str">
        <f aca="false">IF(D315="","",IFERROR(VALUE(LEFT(D315,FIND(" |",D315&amp;" |")-1)),"?"))</f>
        <v/>
      </c>
      <c r="H315" s="27" t="str">
        <f aca="false">IF(G315="","",IF(G315="?","⚠ pub inconnue",IFERROR(INDEX(Pubs!$B$2:$B$3001,MATCH(G315,Pubs!$A$2:$A$3001,0))&amp;"","⚠ pub inconnue")))</f>
        <v/>
      </c>
      <c r="I315" s="27" t="str">
        <f aca="false">IF(OR(G315="",G315="?"),"",IFERROR(INDEX(Pubs!$C$2:$C$3001,MATCH(G315,Pubs!$A$2:$A$3001,0))&amp;"",""))</f>
        <v/>
      </c>
      <c r="J315" s="27" t="str">
        <f aca="false">IF(OR(G315="",G315="?"),"",IFERROR(INDEX(Pubs!$G$2:$G$3001,MATCH(G315,Pubs!$A$2:$A$3001,0))&amp;"",""))</f>
        <v/>
      </c>
      <c r="K315" s="28" t="str">
        <f aca="false">IF(OR(G315="",G315="?"),"",IFERROR(INDEX(Pubs!$E$2:$E$3001,MATCH(G315,Pubs!$A$2:$A$3001,0)),""))</f>
        <v/>
      </c>
      <c r="L315" s="29" t="str">
        <f aca="false">IF(A315="","",IFERROR(1/(1/INDEX(Numéros!$C$2:$C$3001,MATCH(A315&amp;"|"&amp;B315,Numéros!$F$2:$F$3001,0))),""))</f>
        <v/>
      </c>
      <c r="M315" s="27" t="str">
        <f aca="false">IF(OR(G315="",G315="?"),"",IFERROR(INDEX(Pubs!$D$2:$D$3001,MATCH(G315,Pubs!$A$2:$A$3001,0))&amp;"",""))</f>
        <v/>
      </c>
      <c r="N315" s="27" t="n">
        <f aca="false">N(N314)+IF(AND(A315&lt;&gt;"",OR(Recherche!$C$4="",A315=Recherche!$C$4),OR(Recherche!$C$5="",B315&amp;""=Recherche!$C$5&amp;""),OR(Recherche!$C$6="",IFERROR(YEAR(L315),0)=Recherche!$C$6),OR(Recherche!$C$7="",ISNUMBER(SEARCH(Recherche!$C$7,H315))),OR(Recherche!$C$8="",J315=Recherche!$C$8),OR(Recherche!$C$9="",I315=Recherche!$C$9),OR(Recherche!$C$10="",G315&amp;""=Recherche!$C$10&amp;""),OR(Recherche!$C$11="",E315=Recherche!$C$11),OR(Recherche!$C$12="",ISNUMBER(SEARCH(Recherche!$C$12,M315&amp;" "&amp;F315)))),1,0)</f>
        <v>8</v>
      </c>
    </row>
    <row r="316" customFormat="false" ht="15" hidden="false" customHeight="false" outlineLevel="0" collapsed="false">
      <c r="A316" s="19"/>
      <c r="B316" s="19"/>
      <c r="C316" s="19"/>
      <c r="D316" s="19"/>
      <c r="E316" s="22"/>
      <c r="F316" s="19"/>
      <c r="G316" s="26" t="str">
        <f aca="false">IF(D316="","",IFERROR(VALUE(LEFT(D316,FIND(" |",D316&amp;" |")-1)),"?"))</f>
        <v/>
      </c>
      <c r="H316" s="27" t="str">
        <f aca="false">IF(G316="","",IF(G316="?","⚠ pub inconnue",IFERROR(INDEX(Pubs!$B$2:$B$3001,MATCH(G316,Pubs!$A$2:$A$3001,0))&amp;"","⚠ pub inconnue")))</f>
        <v/>
      </c>
      <c r="I316" s="27" t="str">
        <f aca="false">IF(OR(G316="",G316="?"),"",IFERROR(INDEX(Pubs!$C$2:$C$3001,MATCH(G316,Pubs!$A$2:$A$3001,0))&amp;"",""))</f>
        <v/>
      </c>
      <c r="J316" s="27" t="str">
        <f aca="false">IF(OR(G316="",G316="?"),"",IFERROR(INDEX(Pubs!$G$2:$G$3001,MATCH(G316,Pubs!$A$2:$A$3001,0))&amp;"",""))</f>
        <v/>
      </c>
      <c r="K316" s="28" t="str">
        <f aca="false">IF(OR(G316="",G316="?"),"",IFERROR(INDEX(Pubs!$E$2:$E$3001,MATCH(G316,Pubs!$A$2:$A$3001,0)),""))</f>
        <v/>
      </c>
      <c r="L316" s="29" t="str">
        <f aca="false">IF(A316="","",IFERROR(1/(1/INDEX(Numéros!$C$2:$C$3001,MATCH(A316&amp;"|"&amp;B316,Numéros!$F$2:$F$3001,0))),""))</f>
        <v/>
      </c>
      <c r="M316" s="27" t="str">
        <f aca="false">IF(OR(G316="",G316="?"),"",IFERROR(INDEX(Pubs!$D$2:$D$3001,MATCH(G316,Pubs!$A$2:$A$3001,0))&amp;"",""))</f>
        <v/>
      </c>
      <c r="N316" s="27" t="n">
        <f aca="false">N(N315)+IF(AND(A316&lt;&gt;"",OR(Recherche!$C$4="",A316=Recherche!$C$4),OR(Recherche!$C$5="",B316&amp;""=Recherche!$C$5&amp;""),OR(Recherche!$C$6="",IFERROR(YEAR(L316),0)=Recherche!$C$6),OR(Recherche!$C$7="",ISNUMBER(SEARCH(Recherche!$C$7,H316))),OR(Recherche!$C$8="",J316=Recherche!$C$8),OR(Recherche!$C$9="",I316=Recherche!$C$9),OR(Recherche!$C$10="",G316&amp;""=Recherche!$C$10&amp;""),OR(Recherche!$C$11="",E316=Recherche!$C$11),OR(Recherche!$C$12="",ISNUMBER(SEARCH(Recherche!$C$12,M316&amp;" "&amp;F316)))),1,0)</f>
        <v>8</v>
      </c>
    </row>
    <row r="317" customFormat="false" ht="15" hidden="false" customHeight="false" outlineLevel="0" collapsed="false">
      <c r="A317" s="19"/>
      <c r="B317" s="19"/>
      <c r="C317" s="19"/>
      <c r="D317" s="19"/>
      <c r="E317" s="22"/>
      <c r="F317" s="19"/>
      <c r="G317" s="26" t="str">
        <f aca="false">IF(D317="","",IFERROR(VALUE(LEFT(D317,FIND(" |",D317&amp;" |")-1)),"?"))</f>
        <v/>
      </c>
      <c r="H317" s="27" t="str">
        <f aca="false">IF(G317="","",IF(G317="?","⚠ pub inconnue",IFERROR(INDEX(Pubs!$B$2:$B$3001,MATCH(G317,Pubs!$A$2:$A$3001,0))&amp;"","⚠ pub inconnue")))</f>
        <v/>
      </c>
      <c r="I317" s="27" t="str">
        <f aca="false">IF(OR(G317="",G317="?"),"",IFERROR(INDEX(Pubs!$C$2:$C$3001,MATCH(G317,Pubs!$A$2:$A$3001,0))&amp;"",""))</f>
        <v/>
      </c>
      <c r="J317" s="27" t="str">
        <f aca="false">IF(OR(G317="",G317="?"),"",IFERROR(INDEX(Pubs!$G$2:$G$3001,MATCH(G317,Pubs!$A$2:$A$3001,0))&amp;"",""))</f>
        <v/>
      </c>
      <c r="K317" s="28" t="str">
        <f aca="false">IF(OR(G317="",G317="?"),"",IFERROR(INDEX(Pubs!$E$2:$E$3001,MATCH(G317,Pubs!$A$2:$A$3001,0)),""))</f>
        <v/>
      </c>
      <c r="L317" s="29" t="str">
        <f aca="false">IF(A317="","",IFERROR(1/(1/INDEX(Numéros!$C$2:$C$3001,MATCH(A317&amp;"|"&amp;B317,Numéros!$F$2:$F$3001,0))),""))</f>
        <v/>
      </c>
      <c r="M317" s="27" t="str">
        <f aca="false">IF(OR(G317="",G317="?"),"",IFERROR(INDEX(Pubs!$D$2:$D$3001,MATCH(G317,Pubs!$A$2:$A$3001,0))&amp;"",""))</f>
        <v/>
      </c>
      <c r="N317" s="27" t="n">
        <f aca="false">N(N316)+IF(AND(A317&lt;&gt;"",OR(Recherche!$C$4="",A317=Recherche!$C$4),OR(Recherche!$C$5="",B317&amp;""=Recherche!$C$5&amp;""),OR(Recherche!$C$6="",IFERROR(YEAR(L317),0)=Recherche!$C$6),OR(Recherche!$C$7="",ISNUMBER(SEARCH(Recherche!$C$7,H317))),OR(Recherche!$C$8="",J317=Recherche!$C$8),OR(Recherche!$C$9="",I317=Recherche!$C$9),OR(Recherche!$C$10="",G317&amp;""=Recherche!$C$10&amp;""),OR(Recherche!$C$11="",E317=Recherche!$C$11),OR(Recherche!$C$12="",ISNUMBER(SEARCH(Recherche!$C$12,M317&amp;" "&amp;F317)))),1,0)</f>
        <v>8</v>
      </c>
    </row>
    <row r="318" customFormat="false" ht="15" hidden="false" customHeight="false" outlineLevel="0" collapsed="false">
      <c r="A318" s="19"/>
      <c r="B318" s="19"/>
      <c r="C318" s="19"/>
      <c r="D318" s="19"/>
      <c r="E318" s="22"/>
      <c r="F318" s="19"/>
      <c r="G318" s="26" t="str">
        <f aca="false">IF(D318="","",IFERROR(VALUE(LEFT(D318,FIND(" |",D318&amp;" |")-1)),"?"))</f>
        <v/>
      </c>
      <c r="H318" s="27" t="str">
        <f aca="false">IF(G318="","",IF(G318="?","⚠ pub inconnue",IFERROR(INDEX(Pubs!$B$2:$B$3001,MATCH(G318,Pubs!$A$2:$A$3001,0))&amp;"","⚠ pub inconnue")))</f>
        <v/>
      </c>
      <c r="I318" s="27" t="str">
        <f aca="false">IF(OR(G318="",G318="?"),"",IFERROR(INDEX(Pubs!$C$2:$C$3001,MATCH(G318,Pubs!$A$2:$A$3001,0))&amp;"",""))</f>
        <v/>
      </c>
      <c r="J318" s="27" t="str">
        <f aca="false">IF(OR(G318="",G318="?"),"",IFERROR(INDEX(Pubs!$G$2:$G$3001,MATCH(G318,Pubs!$A$2:$A$3001,0))&amp;"",""))</f>
        <v/>
      </c>
      <c r="K318" s="28" t="str">
        <f aca="false">IF(OR(G318="",G318="?"),"",IFERROR(INDEX(Pubs!$E$2:$E$3001,MATCH(G318,Pubs!$A$2:$A$3001,0)),""))</f>
        <v/>
      </c>
      <c r="L318" s="29" t="str">
        <f aca="false">IF(A318="","",IFERROR(1/(1/INDEX(Numéros!$C$2:$C$3001,MATCH(A318&amp;"|"&amp;B318,Numéros!$F$2:$F$3001,0))),""))</f>
        <v/>
      </c>
      <c r="M318" s="27" t="str">
        <f aca="false">IF(OR(G318="",G318="?"),"",IFERROR(INDEX(Pubs!$D$2:$D$3001,MATCH(G318,Pubs!$A$2:$A$3001,0))&amp;"",""))</f>
        <v/>
      </c>
      <c r="N318" s="27" t="n">
        <f aca="false">N(N317)+IF(AND(A318&lt;&gt;"",OR(Recherche!$C$4="",A318=Recherche!$C$4),OR(Recherche!$C$5="",B318&amp;""=Recherche!$C$5&amp;""),OR(Recherche!$C$6="",IFERROR(YEAR(L318),0)=Recherche!$C$6),OR(Recherche!$C$7="",ISNUMBER(SEARCH(Recherche!$C$7,H318))),OR(Recherche!$C$8="",J318=Recherche!$C$8),OR(Recherche!$C$9="",I318=Recherche!$C$9),OR(Recherche!$C$10="",G318&amp;""=Recherche!$C$10&amp;""),OR(Recherche!$C$11="",E318=Recherche!$C$11),OR(Recherche!$C$12="",ISNUMBER(SEARCH(Recherche!$C$12,M318&amp;" "&amp;F318)))),1,0)</f>
        <v>8</v>
      </c>
    </row>
    <row r="319" customFormat="false" ht="15" hidden="false" customHeight="false" outlineLevel="0" collapsed="false">
      <c r="A319" s="19"/>
      <c r="B319" s="19"/>
      <c r="C319" s="19"/>
      <c r="D319" s="19"/>
      <c r="E319" s="22"/>
      <c r="F319" s="19"/>
      <c r="G319" s="26" t="str">
        <f aca="false">IF(D319="","",IFERROR(VALUE(LEFT(D319,FIND(" |",D319&amp;" |")-1)),"?"))</f>
        <v/>
      </c>
      <c r="H319" s="27" t="str">
        <f aca="false">IF(G319="","",IF(G319="?","⚠ pub inconnue",IFERROR(INDEX(Pubs!$B$2:$B$3001,MATCH(G319,Pubs!$A$2:$A$3001,0))&amp;"","⚠ pub inconnue")))</f>
        <v/>
      </c>
      <c r="I319" s="27" t="str">
        <f aca="false">IF(OR(G319="",G319="?"),"",IFERROR(INDEX(Pubs!$C$2:$C$3001,MATCH(G319,Pubs!$A$2:$A$3001,0))&amp;"",""))</f>
        <v/>
      </c>
      <c r="J319" s="27" t="str">
        <f aca="false">IF(OR(G319="",G319="?"),"",IFERROR(INDEX(Pubs!$G$2:$G$3001,MATCH(G319,Pubs!$A$2:$A$3001,0))&amp;"",""))</f>
        <v/>
      </c>
      <c r="K319" s="28" t="str">
        <f aca="false">IF(OR(G319="",G319="?"),"",IFERROR(INDEX(Pubs!$E$2:$E$3001,MATCH(G319,Pubs!$A$2:$A$3001,0)),""))</f>
        <v/>
      </c>
      <c r="L319" s="29" t="str">
        <f aca="false">IF(A319="","",IFERROR(1/(1/INDEX(Numéros!$C$2:$C$3001,MATCH(A319&amp;"|"&amp;B319,Numéros!$F$2:$F$3001,0))),""))</f>
        <v/>
      </c>
      <c r="M319" s="27" t="str">
        <f aca="false">IF(OR(G319="",G319="?"),"",IFERROR(INDEX(Pubs!$D$2:$D$3001,MATCH(G319,Pubs!$A$2:$A$3001,0))&amp;"",""))</f>
        <v/>
      </c>
      <c r="N319" s="27" t="n">
        <f aca="false">N(N318)+IF(AND(A319&lt;&gt;"",OR(Recherche!$C$4="",A319=Recherche!$C$4),OR(Recherche!$C$5="",B319&amp;""=Recherche!$C$5&amp;""),OR(Recherche!$C$6="",IFERROR(YEAR(L319),0)=Recherche!$C$6),OR(Recherche!$C$7="",ISNUMBER(SEARCH(Recherche!$C$7,H319))),OR(Recherche!$C$8="",J319=Recherche!$C$8),OR(Recherche!$C$9="",I319=Recherche!$C$9),OR(Recherche!$C$10="",G319&amp;""=Recherche!$C$10&amp;""),OR(Recherche!$C$11="",E319=Recherche!$C$11),OR(Recherche!$C$12="",ISNUMBER(SEARCH(Recherche!$C$12,M319&amp;" "&amp;F319)))),1,0)</f>
        <v>8</v>
      </c>
    </row>
    <row r="320" customFormat="false" ht="15" hidden="false" customHeight="false" outlineLevel="0" collapsed="false">
      <c r="A320" s="19"/>
      <c r="B320" s="19"/>
      <c r="C320" s="19"/>
      <c r="D320" s="19"/>
      <c r="E320" s="22"/>
      <c r="F320" s="19"/>
      <c r="G320" s="26" t="str">
        <f aca="false">IF(D320="","",IFERROR(VALUE(LEFT(D320,FIND(" |",D320&amp;" |")-1)),"?"))</f>
        <v/>
      </c>
      <c r="H320" s="27" t="str">
        <f aca="false">IF(G320="","",IF(G320="?","⚠ pub inconnue",IFERROR(INDEX(Pubs!$B$2:$B$3001,MATCH(G320,Pubs!$A$2:$A$3001,0))&amp;"","⚠ pub inconnue")))</f>
        <v/>
      </c>
      <c r="I320" s="27" t="str">
        <f aca="false">IF(OR(G320="",G320="?"),"",IFERROR(INDEX(Pubs!$C$2:$C$3001,MATCH(G320,Pubs!$A$2:$A$3001,0))&amp;"",""))</f>
        <v/>
      </c>
      <c r="J320" s="27" t="str">
        <f aca="false">IF(OR(G320="",G320="?"),"",IFERROR(INDEX(Pubs!$G$2:$G$3001,MATCH(G320,Pubs!$A$2:$A$3001,0))&amp;"",""))</f>
        <v/>
      </c>
      <c r="K320" s="28" t="str">
        <f aca="false">IF(OR(G320="",G320="?"),"",IFERROR(INDEX(Pubs!$E$2:$E$3001,MATCH(G320,Pubs!$A$2:$A$3001,0)),""))</f>
        <v/>
      </c>
      <c r="L320" s="29" t="str">
        <f aca="false">IF(A320="","",IFERROR(1/(1/INDEX(Numéros!$C$2:$C$3001,MATCH(A320&amp;"|"&amp;B320,Numéros!$F$2:$F$3001,0))),""))</f>
        <v/>
      </c>
      <c r="M320" s="27" t="str">
        <f aca="false">IF(OR(G320="",G320="?"),"",IFERROR(INDEX(Pubs!$D$2:$D$3001,MATCH(G320,Pubs!$A$2:$A$3001,0))&amp;"",""))</f>
        <v/>
      </c>
      <c r="N320" s="27" t="n">
        <f aca="false">N(N319)+IF(AND(A320&lt;&gt;"",OR(Recherche!$C$4="",A320=Recherche!$C$4),OR(Recherche!$C$5="",B320&amp;""=Recherche!$C$5&amp;""),OR(Recherche!$C$6="",IFERROR(YEAR(L320),0)=Recherche!$C$6),OR(Recherche!$C$7="",ISNUMBER(SEARCH(Recherche!$C$7,H320))),OR(Recherche!$C$8="",J320=Recherche!$C$8),OR(Recherche!$C$9="",I320=Recherche!$C$9),OR(Recherche!$C$10="",G320&amp;""=Recherche!$C$10&amp;""),OR(Recherche!$C$11="",E320=Recherche!$C$11),OR(Recherche!$C$12="",ISNUMBER(SEARCH(Recherche!$C$12,M320&amp;" "&amp;F320)))),1,0)</f>
        <v>8</v>
      </c>
    </row>
    <row r="321" customFormat="false" ht="15" hidden="false" customHeight="false" outlineLevel="0" collapsed="false">
      <c r="A321" s="19"/>
      <c r="B321" s="19"/>
      <c r="C321" s="19"/>
      <c r="D321" s="19"/>
      <c r="E321" s="22"/>
      <c r="F321" s="19"/>
      <c r="G321" s="26" t="str">
        <f aca="false">IF(D321="","",IFERROR(VALUE(LEFT(D321,FIND(" |",D321&amp;" |")-1)),"?"))</f>
        <v/>
      </c>
      <c r="H321" s="27" t="str">
        <f aca="false">IF(G321="","",IF(G321="?","⚠ pub inconnue",IFERROR(INDEX(Pubs!$B$2:$B$3001,MATCH(G321,Pubs!$A$2:$A$3001,0))&amp;"","⚠ pub inconnue")))</f>
        <v/>
      </c>
      <c r="I321" s="27" t="str">
        <f aca="false">IF(OR(G321="",G321="?"),"",IFERROR(INDEX(Pubs!$C$2:$C$3001,MATCH(G321,Pubs!$A$2:$A$3001,0))&amp;"",""))</f>
        <v/>
      </c>
      <c r="J321" s="27" t="str">
        <f aca="false">IF(OR(G321="",G321="?"),"",IFERROR(INDEX(Pubs!$G$2:$G$3001,MATCH(G321,Pubs!$A$2:$A$3001,0))&amp;"",""))</f>
        <v/>
      </c>
      <c r="K321" s="28" t="str">
        <f aca="false">IF(OR(G321="",G321="?"),"",IFERROR(INDEX(Pubs!$E$2:$E$3001,MATCH(G321,Pubs!$A$2:$A$3001,0)),""))</f>
        <v/>
      </c>
      <c r="L321" s="29" t="str">
        <f aca="false">IF(A321="","",IFERROR(1/(1/INDEX(Numéros!$C$2:$C$3001,MATCH(A321&amp;"|"&amp;B321,Numéros!$F$2:$F$3001,0))),""))</f>
        <v/>
      </c>
      <c r="M321" s="27" t="str">
        <f aca="false">IF(OR(G321="",G321="?"),"",IFERROR(INDEX(Pubs!$D$2:$D$3001,MATCH(G321,Pubs!$A$2:$A$3001,0))&amp;"",""))</f>
        <v/>
      </c>
      <c r="N321" s="27" t="n">
        <f aca="false">N(N320)+IF(AND(A321&lt;&gt;"",OR(Recherche!$C$4="",A321=Recherche!$C$4),OR(Recherche!$C$5="",B321&amp;""=Recherche!$C$5&amp;""),OR(Recherche!$C$6="",IFERROR(YEAR(L321),0)=Recherche!$C$6),OR(Recherche!$C$7="",ISNUMBER(SEARCH(Recherche!$C$7,H321))),OR(Recherche!$C$8="",J321=Recherche!$C$8),OR(Recherche!$C$9="",I321=Recherche!$C$9),OR(Recherche!$C$10="",G321&amp;""=Recherche!$C$10&amp;""),OR(Recherche!$C$11="",E321=Recherche!$C$11),OR(Recherche!$C$12="",ISNUMBER(SEARCH(Recherche!$C$12,M321&amp;" "&amp;F321)))),1,0)</f>
        <v>8</v>
      </c>
    </row>
    <row r="322" customFormat="false" ht="15" hidden="false" customHeight="false" outlineLevel="0" collapsed="false">
      <c r="A322" s="19"/>
      <c r="B322" s="19"/>
      <c r="C322" s="19"/>
      <c r="D322" s="19"/>
      <c r="E322" s="22"/>
      <c r="F322" s="19"/>
      <c r="G322" s="26" t="str">
        <f aca="false">IF(D322="","",IFERROR(VALUE(LEFT(D322,FIND(" |",D322&amp;" |")-1)),"?"))</f>
        <v/>
      </c>
      <c r="H322" s="27" t="str">
        <f aca="false">IF(G322="","",IF(G322="?","⚠ pub inconnue",IFERROR(INDEX(Pubs!$B$2:$B$3001,MATCH(G322,Pubs!$A$2:$A$3001,0))&amp;"","⚠ pub inconnue")))</f>
        <v/>
      </c>
      <c r="I322" s="27" t="str">
        <f aca="false">IF(OR(G322="",G322="?"),"",IFERROR(INDEX(Pubs!$C$2:$C$3001,MATCH(G322,Pubs!$A$2:$A$3001,0))&amp;"",""))</f>
        <v/>
      </c>
      <c r="J322" s="27" t="str">
        <f aca="false">IF(OR(G322="",G322="?"),"",IFERROR(INDEX(Pubs!$G$2:$G$3001,MATCH(G322,Pubs!$A$2:$A$3001,0))&amp;"",""))</f>
        <v/>
      </c>
      <c r="K322" s="28" t="str">
        <f aca="false">IF(OR(G322="",G322="?"),"",IFERROR(INDEX(Pubs!$E$2:$E$3001,MATCH(G322,Pubs!$A$2:$A$3001,0)),""))</f>
        <v/>
      </c>
      <c r="L322" s="29" t="str">
        <f aca="false">IF(A322="","",IFERROR(1/(1/INDEX(Numéros!$C$2:$C$3001,MATCH(A322&amp;"|"&amp;B322,Numéros!$F$2:$F$3001,0))),""))</f>
        <v/>
      </c>
      <c r="M322" s="27" t="str">
        <f aca="false">IF(OR(G322="",G322="?"),"",IFERROR(INDEX(Pubs!$D$2:$D$3001,MATCH(G322,Pubs!$A$2:$A$3001,0))&amp;"",""))</f>
        <v/>
      </c>
      <c r="N322" s="27" t="n">
        <f aca="false">N(N321)+IF(AND(A322&lt;&gt;"",OR(Recherche!$C$4="",A322=Recherche!$C$4),OR(Recherche!$C$5="",B322&amp;""=Recherche!$C$5&amp;""),OR(Recherche!$C$6="",IFERROR(YEAR(L322),0)=Recherche!$C$6),OR(Recherche!$C$7="",ISNUMBER(SEARCH(Recherche!$C$7,H322))),OR(Recherche!$C$8="",J322=Recherche!$C$8),OR(Recherche!$C$9="",I322=Recherche!$C$9),OR(Recherche!$C$10="",G322&amp;""=Recherche!$C$10&amp;""),OR(Recherche!$C$11="",E322=Recherche!$C$11),OR(Recherche!$C$12="",ISNUMBER(SEARCH(Recherche!$C$12,M322&amp;" "&amp;F322)))),1,0)</f>
        <v>8</v>
      </c>
    </row>
    <row r="323" customFormat="false" ht="15" hidden="false" customHeight="false" outlineLevel="0" collapsed="false">
      <c r="A323" s="19"/>
      <c r="B323" s="19"/>
      <c r="C323" s="19"/>
      <c r="D323" s="19"/>
      <c r="E323" s="22"/>
      <c r="F323" s="19"/>
      <c r="G323" s="26" t="str">
        <f aca="false">IF(D323="","",IFERROR(VALUE(LEFT(D323,FIND(" |",D323&amp;" |")-1)),"?"))</f>
        <v/>
      </c>
      <c r="H323" s="27" t="str">
        <f aca="false">IF(G323="","",IF(G323="?","⚠ pub inconnue",IFERROR(INDEX(Pubs!$B$2:$B$3001,MATCH(G323,Pubs!$A$2:$A$3001,0))&amp;"","⚠ pub inconnue")))</f>
        <v/>
      </c>
      <c r="I323" s="27" t="str">
        <f aca="false">IF(OR(G323="",G323="?"),"",IFERROR(INDEX(Pubs!$C$2:$C$3001,MATCH(G323,Pubs!$A$2:$A$3001,0))&amp;"",""))</f>
        <v/>
      </c>
      <c r="J323" s="27" t="str">
        <f aca="false">IF(OR(G323="",G323="?"),"",IFERROR(INDEX(Pubs!$G$2:$G$3001,MATCH(G323,Pubs!$A$2:$A$3001,0))&amp;"",""))</f>
        <v/>
      </c>
      <c r="K323" s="28" t="str">
        <f aca="false">IF(OR(G323="",G323="?"),"",IFERROR(INDEX(Pubs!$E$2:$E$3001,MATCH(G323,Pubs!$A$2:$A$3001,0)),""))</f>
        <v/>
      </c>
      <c r="L323" s="29" t="str">
        <f aca="false">IF(A323="","",IFERROR(1/(1/INDEX(Numéros!$C$2:$C$3001,MATCH(A323&amp;"|"&amp;B323,Numéros!$F$2:$F$3001,0))),""))</f>
        <v/>
      </c>
      <c r="M323" s="27" t="str">
        <f aca="false">IF(OR(G323="",G323="?"),"",IFERROR(INDEX(Pubs!$D$2:$D$3001,MATCH(G323,Pubs!$A$2:$A$3001,0))&amp;"",""))</f>
        <v/>
      </c>
      <c r="N323" s="27" t="n">
        <f aca="false">N(N322)+IF(AND(A323&lt;&gt;"",OR(Recherche!$C$4="",A323=Recherche!$C$4),OR(Recherche!$C$5="",B323&amp;""=Recherche!$C$5&amp;""),OR(Recherche!$C$6="",IFERROR(YEAR(L323),0)=Recherche!$C$6),OR(Recherche!$C$7="",ISNUMBER(SEARCH(Recherche!$C$7,H323))),OR(Recherche!$C$8="",J323=Recherche!$C$8),OR(Recherche!$C$9="",I323=Recherche!$C$9),OR(Recherche!$C$10="",G323&amp;""=Recherche!$C$10&amp;""),OR(Recherche!$C$11="",E323=Recherche!$C$11),OR(Recherche!$C$12="",ISNUMBER(SEARCH(Recherche!$C$12,M323&amp;" "&amp;F323)))),1,0)</f>
        <v>8</v>
      </c>
    </row>
    <row r="324" customFormat="false" ht="15" hidden="false" customHeight="false" outlineLevel="0" collapsed="false">
      <c r="A324" s="19"/>
      <c r="B324" s="19"/>
      <c r="C324" s="19"/>
      <c r="D324" s="19"/>
      <c r="E324" s="22"/>
      <c r="F324" s="19"/>
      <c r="G324" s="26" t="str">
        <f aca="false">IF(D324="","",IFERROR(VALUE(LEFT(D324,FIND(" |",D324&amp;" |")-1)),"?"))</f>
        <v/>
      </c>
      <c r="H324" s="27" t="str">
        <f aca="false">IF(G324="","",IF(G324="?","⚠ pub inconnue",IFERROR(INDEX(Pubs!$B$2:$B$3001,MATCH(G324,Pubs!$A$2:$A$3001,0))&amp;"","⚠ pub inconnue")))</f>
        <v/>
      </c>
      <c r="I324" s="27" t="str">
        <f aca="false">IF(OR(G324="",G324="?"),"",IFERROR(INDEX(Pubs!$C$2:$C$3001,MATCH(G324,Pubs!$A$2:$A$3001,0))&amp;"",""))</f>
        <v/>
      </c>
      <c r="J324" s="27" t="str">
        <f aca="false">IF(OR(G324="",G324="?"),"",IFERROR(INDEX(Pubs!$G$2:$G$3001,MATCH(G324,Pubs!$A$2:$A$3001,0))&amp;"",""))</f>
        <v/>
      </c>
      <c r="K324" s="28" t="str">
        <f aca="false">IF(OR(G324="",G324="?"),"",IFERROR(INDEX(Pubs!$E$2:$E$3001,MATCH(G324,Pubs!$A$2:$A$3001,0)),""))</f>
        <v/>
      </c>
      <c r="L324" s="29" t="str">
        <f aca="false">IF(A324="","",IFERROR(1/(1/INDEX(Numéros!$C$2:$C$3001,MATCH(A324&amp;"|"&amp;B324,Numéros!$F$2:$F$3001,0))),""))</f>
        <v/>
      </c>
      <c r="M324" s="27" t="str">
        <f aca="false">IF(OR(G324="",G324="?"),"",IFERROR(INDEX(Pubs!$D$2:$D$3001,MATCH(G324,Pubs!$A$2:$A$3001,0))&amp;"",""))</f>
        <v/>
      </c>
      <c r="N324" s="27" t="n">
        <f aca="false">N(N323)+IF(AND(A324&lt;&gt;"",OR(Recherche!$C$4="",A324=Recherche!$C$4),OR(Recherche!$C$5="",B324&amp;""=Recherche!$C$5&amp;""),OR(Recherche!$C$6="",IFERROR(YEAR(L324),0)=Recherche!$C$6),OR(Recherche!$C$7="",ISNUMBER(SEARCH(Recherche!$C$7,H324))),OR(Recherche!$C$8="",J324=Recherche!$C$8),OR(Recherche!$C$9="",I324=Recherche!$C$9),OR(Recherche!$C$10="",G324&amp;""=Recherche!$C$10&amp;""),OR(Recherche!$C$11="",E324=Recherche!$C$11),OR(Recherche!$C$12="",ISNUMBER(SEARCH(Recherche!$C$12,M324&amp;" "&amp;F324)))),1,0)</f>
        <v>8</v>
      </c>
    </row>
    <row r="325" customFormat="false" ht="15" hidden="false" customHeight="false" outlineLevel="0" collapsed="false">
      <c r="A325" s="19"/>
      <c r="B325" s="19"/>
      <c r="C325" s="19"/>
      <c r="D325" s="19"/>
      <c r="E325" s="22"/>
      <c r="F325" s="19"/>
      <c r="G325" s="26" t="str">
        <f aca="false">IF(D325="","",IFERROR(VALUE(LEFT(D325,FIND(" |",D325&amp;" |")-1)),"?"))</f>
        <v/>
      </c>
      <c r="H325" s="27" t="str">
        <f aca="false">IF(G325="","",IF(G325="?","⚠ pub inconnue",IFERROR(INDEX(Pubs!$B$2:$B$3001,MATCH(G325,Pubs!$A$2:$A$3001,0))&amp;"","⚠ pub inconnue")))</f>
        <v/>
      </c>
      <c r="I325" s="27" t="str">
        <f aca="false">IF(OR(G325="",G325="?"),"",IFERROR(INDEX(Pubs!$C$2:$C$3001,MATCH(G325,Pubs!$A$2:$A$3001,0))&amp;"",""))</f>
        <v/>
      </c>
      <c r="J325" s="27" t="str">
        <f aca="false">IF(OR(G325="",G325="?"),"",IFERROR(INDEX(Pubs!$G$2:$G$3001,MATCH(G325,Pubs!$A$2:$A$3001,0))&amp;"",""))</f>
        <v/>
      </c>
      <c r="K325" s="28" t="str">
        <f aca="false">IF(OR(G325="",G325="?"),"",IFERROR(INDEX(Pubs!$E$2:$E$3001,MATCH(G325,Pubs!$A$2:$A$3001,0)),""))</f>
        <v/>
      </c>
      <c r="L325" s="29" t="str">
        <f aca="false">IF(A325="","",IFERROR(1/(1/INDEX(Numéros!$C$2:$C$3001,MATCH(A325&amp;"|"&amp;B325,Numéros!$F$2:$F$3001,0))),""))</f>
        <v/>
      </c>
      <c r="M325" s="27" t="str">
        <f aca="false">IF(OR(G325="",G325="?"),"",IFERROR(INDEX(Pubs!$D$2:$D$3001,MATCH(G325,Pubs!$A$2:$A$3001,0))&amp;"",""))</f>
        <v/>
      </c>
      <c r="N325" s="27" t="n">
        <f aca="false">N(N324)+IF(AND(A325&lt;&gt;"",OR(Recherche!$C$4="",A325=Recherche!$C$4),OR(Recherche!$C$5="",B325&amp;""=Recherche!$C$5&amp;""),OR(Recherche!$C$6="",IFERROR(YEAR(L325),0)=Recherche!$C$6),OR(Recherche!$C$7="",ISNUMBER(SEARCH(Recherche!$C$7,H325))),OR(Recherche!$C$8="",J325=Recherche!$C$8),OR(Recherche!$C$9="",I325=Recherche!$C$9),OR(Recherche!$C$10="",G325&amp;""=Recherche!$C$10&amp;""),OR(Recherche!$C$11="",E325=Recherche!$C$11),OR(Recherche!$C$12="",ISNUMBER(SEARCH(Recherche!$C$12,M325&amp;" "&amp;F325)))),1,0)</f>
        <v>8</v>
      </c>
    </row>
    <row r="326" customFormat="false" ht="15" hidden="false" customHeight="false" outlineLevel="0" collapsed="false">
      <c r="A326" s="19"/>
      <c r="B326" s="19"/>
      <c r="C326" s="19"/>
      <c r="D326" s="19"/>
      <c r="E326" s="22"/>
      <c r="F326" s="19"/>
      <c r="G326" s="26" t="str">
        <f aca="false">IF(D326="","",IFERROR(VALUE(LEFT(D326,FIND(" |",D326&amp;" |")-1)),"?"))</f>
        <v/>
      </c>
      <c r="H326" s="27" t="str">
        <f aca="false">IF(G326="","",IF(G326="?","⚠ pub inconnue",IFERROR(INDEX(Pubs!$B$2:$B$3001,MATCH(G326,Pubs!$A$2:$A$3001,0))&amp;"","⚠ pub inconnue")))</f>
        <v/>
      </c>
      <c r="I326" s="27" t="str">
        <f aca="false">IF(OR(G326="",G326="?"),"",IFERROR(INDEX(Pubs!$C$2:$C$3001,MATCH(G326,Pubs!$A$2:$A$3001,0))&amp;"",""))</f>
        <v/>
      </c>
      <c r="J326" s="27" t="str">
        <f aca="false">IF(OR(G326="",G326="?"),"",IFERROR(INDEX(Pubs!$G$2:$G$3001,MATCH(G326,Pubs!$A$2:$A$3001,0))&amp;"",""))</f>
        <v/>
      </c>
      <c r="K326" s="28" t="str">
        <f aca="false">IF(OR(G326="",G326="?"),"",IFERROR(INDEX(Pubs!$E$2:$E$3001,MATCH(G326,Pubs!$A$2:$A$3001,0)),""))</f>
        <v/>
      </c>
      <c r="L326" s="29" t="str">
        <f aca="false">IF(A326="","",IFERROR(1/(1/INDEX(Numéros!$C$2:$C$3001,MATCH(A326&amp;"|"&amp;B326,Numéros!$F$2:$F$3001,0))),""))</f>
        <v/>
      </c>
      <c r="M326" s="27" t="str">
        <f aca="false">IF(OR(G326="",G326="?"),"",IFERROR(INDEX(Pubs!$D$2:$D$3001,MATCH(G326,Pubs!$A$2:$A$3001,0))&amp;"",""))</f>
        <v/>
      </c>
      <c r="N326" s="27" t="n">
        <f aca="false">N(N325)+IF(AND(A326&lt;&gt;"",OR(Recherche!$C$4="",A326=Recherche!$C$4),OR(Recherche!$C$5="",B326&amp;""=Recherche!$C$5&amp;""),OR(Recherche!$C$6="",IFERROR(YEAR(L326),0)=Recherche!$C$6),OR(Recherche!$C$7="",ISNUMBER(SEARCH(Recherche!$C$7,H326))),OR(Recherche!$C$8="",J326=Recherche!$C$8),OR(Recherche!$C$9="",I326=Recherche!$C$9),OR(Recherche!$C$10="",G326&amp;""=Recherche!$C$10&amp;""),OR(Recherche!$C$11="",E326=Recherche!$C$11),OR(Recherche!$C$12="",ISNUMBER(SEARCH(Recherche!$C$12,M326&amp;" "&amp;F326)))),1,0)</f>
        <v>8</v>
      </c>
    </row>
    <row r="327" customFormat="false" ht="15" hidden="false" customHeight="false" outlineLevel="0" collapsed="false">
      <c r="A327" s="19"/>
      <c r="B327" s="19"/>
      <c r="C327" s="19"/>
      <c r="D327" s="19"/>
      <c r="E327" s="22"/>
      <c r="F327" s="19"/>
      <c r="G327" s="26" t="str">
        <f aca="false">IF(D327="","",IFERROR(VALUE(LEFT(D327,FIND(" |",D327&amp;" |")-1)),"?"))</f>
        <v/>
      </c>
      <c r="H327" s="27" t="str">
        <f aca="false">IF(G327="","",IF(G327="?","⚠ pub inconnue",IFERROR(INDEX(Pubs!$B$2:$B$3001,MATCH(G327,Pubs!$A$2:$A$3001,0))&amp;"","⚠ pub inconnue")))</f>
        <v/>
      </c>
      <c r="I327" s="27" t="str">
        <f aca="false">IF(OR(G327="",G327="?"),"",IFERROR(INDEX(Pubs!$C$2:$C$3001,MATCH(G327,Pubs!$A$2:$A$3001,0))&amp;"",""))</f>
        <v/>
      </c>
      <c r="J327" s="27" t="str">
        <f aca="false">IF(OR(G327="",G327="?"),"",IFERROR(INDEX(Pubs!$G$2:$G$3001,MATCH(G327,Pubs!$A$2:$A$3001,0))&amp;"",""))</f>
        <v/>
      </c>
      <c r="K327" s="28" t="str">
        <f aca="false">IF(OR(G327="",G327="?"),"",IFERROR(INDEX(Pubs!$E$2:$E$3001,MATCH(G327,Pubs!$A$2:$A$3001,0)),""))</f>
        <v/>
      </c>
      <c r="L327" s="29" t="str">
        <f aca="false">IF(A327="","",IFERROR(1/(1/INDEX(Numéros!$C$2:$C$3001,MATCH(A327&amp;"|"&amp;B327,Numéros!$F$2:$F$3001,0))),""))</f>
        <v/>
      </c>
      <c r="M327" s="27" t="str">
        <f aca="false">IF(OR(G327="",G327="?"),"",IFERROR(INDEX(Pubs!$D$2:$D$3001,MATCH(G327,Pubs!$A$2:$A$3001,0))&amp;"",""))</f>
        <v/>
      </c>
      <c r="N327" s="27" t="n">
        <f aca="false">N(N326)+IF(AND(A327&lt;&gt;"",OR(Recherche!$C$4="",A327=Recherche!$C$4),OR(Recherche!$C$5="",B327&amp;""=Recherche!$C$5&amp;""),OR(Recherche!$C$6="",IFERROR(YEAR(L327),0)=Recherche!$C$6),OR(Recherche!$C$7="",ISNUMBER(SEARCH(Recherche!$C$7,H327))),OR(Recherche!$C$8="",J327=Recherche!$C$8),OR(Recherche!$C$9="",I327=Recherche!$C$9),OR(Recherche!$C$10="",G327&amp;""=Recherche!$C$10&amp;""),OR(Recherche!$C$11="",E327=Recherche!$C$11),OR(Recherche!$C$12="",ISNUMBER(SEARCH(Recherche!$C$12,M327&amp;" "&amp;F327)))),1,0)</f>
        <v>8</v>
      </c>
    </row>
    <row r="328" customFormat="false" ht="15" hidden="false" customHeight="false" outlineLevel="0" collapsed="false">
      <c r="A328" s="19"/>
      <c r="B328" s="19"/>
      <c r="C328" s="19"/>
      <c r="D328" s="19"/>
      <c r="E328" s="22"/>
      <c r="F328" s="19"/>
      <c r="G328" s="26" t="str">
        <f aca="false">IF(D328="","",IFERROR(VALUE(LEFT(D328,FIND(" |",D328&amp;" |")-1)),"?"))</f>
        <v/>
      </c>
      <c r="H328" s="27" t="str">
        <f aca="false">IF(G328="","",IF(G328="?","⚠ pub inconnue",IFERROR(INDEX(Pubs!$B$2:$B$3001,MATCH(G328,Pubs!$A$2:$A$3001,0))&amp;"","⚠ pub inconnue")))</f>
        <v/>
      </c>
      <c r="I328" s="27" t="str">
        <f aca="false">IF(OR(G328="",G328="?"),"",IFERROR(INDEX(Pubs!$C$2:$C$3001,MATCH(G328,Pubs!$A$2:$A$3001,0))&amp;"",""))</f>
        <v/>
      </c>
      <c r="J328" s="27" t="str">
        <f aca="false">IF(OR(G328="",G328="?"),"",IFERROR(INDEX(Pubs!$G$2:$G$3001,MATCH(G328,Pubs!$A$2:$A$3001,0))&amp;"",""))</f>
        <v/>
      </c>
      <c r="K328" s="28" t="str">
        <f aca="false">IF(OR(G328="",G328="?"),"",IFERROR(INDEX(Pubs!$E$2:$E$3001,MATCH(G328,Pubs!$A$2:$A$3001,0)),""))</f>
        <v/>
      </c>
      <c r="L328" s="29" t="str">
        <f aca="false">IF(A328="","",IFERROR(1/(1/INDEX(Numéros!$C$2:$C$3001,MATCH(A328&amp;"|"&amp;B328,Numéros!$F$2:$F$3001,0))),""))</f>
        <v/>
      </c>
      <c r="M328" s="27" t="str">
        <f aca="false">IF(OR(G328="",G328="?"),"",IFERROR(INDEX(Pubs!$D$2:$D$3001,MATCH(G328,Pubs!$A$2:$A$3001,0))&amp;"",""))</f>
        <v/>
      </c>
      <c r="N328" s="27" t="n">
        <f aca="false">N(N327)+IF(AND(A328&lt;&gt;"",OR(Recherche!$C$4="",A328=Recherche!$C$4),OR(Recherche!$C$5="",B328&amp;""=Recherche!$C$5&amp;""),OR(Recherche!$C$6="",IFERROR(YEAR(L328),0)=Recherche!$C$6),OR(Recherche!$C$7="",ISNUMBER(SEARCH(Recherche!$C$7,H328))),OR(Recherche!$C$8="",J328=Recherche!$C$8),OR(Recherche!$C$9="",I328=Recherche!$C$9),OR(Recherche!$C$10="",G328&amp;""=Recherche!$C$10&amp;""),OR(Recherche!$C$11="",E328=Recherche!$C$11),OR(Recherche!$C$12="",ISNUMBER(SEARCH(Recherche!$C$12,M328&amp;" "&amp;F328)))),1,0)</f>
        <v>8</v>
      </c>
    </row>
    <row r="329" customFormat="false" ht="15" hidden="false" customHeight="false" outlineLevel="0" collapsed="false">
      <c r="A329" s="19"/>
      <c r="B329" s="19"/>
      <c r="C329" s="19"/>
      <c r="D329" s="19"/>
      <c r="E329" s="22"/>
      <c r="F329" s="19"/>
      <c r="G329" s="26" t="str">
        <f aca="false">IF(D329="","",IFERROR(VALUE(LEFT(D329,FIND(" |",D329&amp;" |")-1)),"?"))</f>
        <v/>
      </c>
      <c r="H329" s="27" t="str">
        <f aca="false">IF(G329="","",IF(G329="?","⚠ pub inconnue",IFERROR(INDEX(Pubs!$B$2:$B$3001,MATCH(G329,Pubs!$A$2:$A$3001,0))&amp;"","⚠ pub inconnue")))</f>
        <v/>
      </c>
      <c r="I329" s="27" t="str">
        <f aca="false">IF(OR(G329="",G329="?"),"",IFERROR(INDEX(Pubs!$C$2:$C$3001,MATCH(G329,Pubs!$A$2:$A$3001,0))&amp;"",""))</f>
        <v/>
      </c>
      <c r="J329" s="27" t="str">
        <f aca="false">IF(OR(G329="",G329="?"),"",IFERROR(INDEX(Pubs!$G$2:$G$3001,MATCH(G329,Pubs!$A$2:$A$3001,0))&amp;"",""))</f>
        <v/>
      </c>
      <c r="K329" s="28" t="str">
        <f aca="false">IF(OR(G329="",G329="?"),"",IFERROR(INDEX(Pubs!$E$2:$E$3001,MATCH(G329,Pubs!$A$2:$A$3001,0)),""))</f>
        <v/>
      </c>
      <c r="L329" s="29" t="str">
        <f aca="false">IF(A329="","",IFERROR(1/(1/INDEX(Numéros!$C$2:$C$3001,MATCH(A329&amp;"|"&amp;B329,Numéros!$F$2:$F$3001,0))),""))</f>
        <v/>
      </c>
      <c r="M329" s="27" t="str">
        <f aca="false">IF(OR(G329="",G329="?"),"",IFERROR(INDEX(Pubs!$D$2:$D$3001,MATCH(G329,Pubs!$A$2:$A$3001,0))&amp;"",""))</f>
        <v/>
      </c>
      <c r="N329" s="27" t="n">
        <f aca="false">N(N328)+IF(AND(A329&lt;&gt;"",OR(Recherche!$C$4="",A329=Recherche!$C$4),OR(Recherche!$C$5="",B329&amp;""=Recherche!$C$5&amp;""),OR(Recherche!$C$6="",IFERROR(YEAR(L329),0)=Recherche!$C$6),OR(Recherche!$C$7="",ISNUMBER(SEARCH(Recherche!$C$7,H329))),OR(Recherche!$C$8="",J329=Recherche!$C$8),OR(Recherche!$C$9="",I329=Recherche!$C$9),OR(Recherche!$C$10="",G329&amp;""=Recherche!$C$10&amp;""),OR(Recherche!$C$11="",E329=Recherche!$C$11),OR(Recherche!$C$12="",ISNUMBER(SEARCH(Recherche!$C$12,M329&amp;" "&amp;F329)))),1,0)</f>
        <v>8</v>
      </c>
    </row>
    <row r="330" customFormat="false" ht="15" hidden="false" customHeight="false" outlineLevel="0" collapsed="false">
      <c r="A330" s="19"/>
      <c r="B330" s="19"/>
      <c r="C330" s="19"/>
      <c r="D330" s="19"/>
      <c r="E330" s="22"/>
      <c r="F330" s="19"/>
      <c r="G330" s="26" t="str">
        <f aca="false">IF(D330="","",IFERROR(VALUE(LEFT(D330,FIND(" |",D330&amp;" |")-1)),"?"))</f>
        <v/>
      </c>
      <c r="H330" s="27" t="str">
        <f aca="false">IF(G330="","",IF(G330="?","⚠ pub inconnue",IFERROR(INDEX(Pubs!$B$2:$B$3001,MATCH(G330,Pubs!$A$2:$A$3001,0))&amp;"","⚠ pub inconnue")))</f>
        <v/>
      </c>
      <c r="I330" s="27" t="str">
        <f aca="false">IF(OR(G330="",G330="?"),"",IFERROR(INDEX(Pubs!$C$2:$C$3001,MATCH(G330,Pubs!$A$2:$A$3001,0))&amp;"",""))</f>
        <v/>
      </c>
      <c r="J330" s="27" t="str">
        <f aca="false">IF(OR(G330="",G330="?"),"",IFERROR(INDEX(Pubs!$G$2:$G$3001,MATCH(G330,Pubs!$A$2:$A$3001,0))&amp;"",""))</f>
        <v/>
      </c>
      <c r="K330" s="28" t="str">
        <f aca="false">IF(OR(G330="",G330="?"),"",IFERROR(INDEX(Pubs!$E$2:$E$3001,MATCH(G330,Pubs!$A$2:$A$3001,0)),""))</f>
        <v/>
      </c>
      <c r="L330" s="29" t="str">
        <f aca="false">IF(A330="","",IFERROR(1/(1/INDEX(Numéros!$C$2:$C$3001,MATCH(A330&amp;"|"&amp;B330,Numéros!$F$2:$F$3001,0))),""))</f>
        <v/>
      </c>
      <c r="M330" s="27" t="str">
        <f aca="false">IF(OR(G330="",G330="?"),"",IFERROR(INDEX(Pubs!$D$2:$D$3001,MATCH(G330,Pubs!$A$2:$A$3001,0))&amp;"",""))</f>
        <v/>
      </c>
      <c r="N330" s="27" t="n">
        <f aca="false">N(N329)+IF(AND(A330&lt;&gt;"",OR(Recherche!$C$4="",A330=Recherche!$C$4),OR(Recherche!$C$5="",B330&amp;""=Recherche!$C$5&amp;""),OR(Recherche!$C$6="",IFERROR(YEAR(L330),0)=Recherche!$C$6),OR(Recherche!$C$7="",ISNUMBER(SEARCH(Recherche!$C$7,H330))),OR(Recherche!$C$8="",J330=Recherche!$C$8),OR(Recherche!$C$9="",I330=Recherche!$C$9),OR(Recherche!$C$10="",G330&amp;""=Recherche!$C$10&amp;""),OR(Recherche!$C$11="",E330=Recherche!$C$11),OR(Recherche!$C$12="",ISNUMBER(SEARCH(Recherche!$C$12,M330&amp;" "&amp;F330)))),1,0)</f>
        <v>8</v>
      </c>
    </row>
    <row r="331" customFormat="false" ht="15" hidden="false" customHeight="false" outlineLevel="0" collapsed="false">
      <c r="A331" s="19"/>
      <c r="B331" s="19"/>
      <c r="C331" s="19"/>
      <c r="D331" s="19"/>
      <c r="E331" s="22"/>
      <c r="F331" s="19"/>
      <c r="G331" s="26" t="str">
        <f aca="false">IF(D331="","",IFERROR(VALUE(LEFT(D331,FIND(" |",D331&amp;" |")-1)),"?"))</f>
        <v/>
      </c>
      <c r="H331" s="27" t="str">
        <f aca="false">IF(G331="","",IF(G331="?","⚠ pub inconnue",IFERROR(INDEX(Pubs!$B$2:$B$3001,MATCH(G331,Pubs!$A$2:$A$3001,0))&amp;"","⚠ pub inconnue")))</f>
        <v/>
      </c>
      <c r="I331" s="27" t="str">
        <f aca="false">IF(OR(G331="",G331="?"),"",IFERROR(INDEX(Pubs!$C$2:$C$3001,MATCH(G331,Pubs!$A$2:$A$3001,0))&amp;"",""))</f>
        <v/>
      </c>
      <c r="J331" s="27" t="str">
        <f aca="false">IF(OR(G331="",G331="?"),"",IFERROR(INDEX(Pubs!$G$2:$G$3001,MATCH(G331,Pubs!$A$2:$A$3001,0))&amp;"",""))</f>
        <v/>
      </c>
      <c r="K331" s="28" t="str">
        <f aca="false">IF(OR(G331="",G331="?"),"",IFERROR(INDEX(Pubs!$E$2:$E$3001,MATCH(G331,Pubs!$A$2:$A$3001,0)),""))</f>
        <v/>
      </c>
      <c r="L331" s="29" t="str">
        <f aca="false">IF(A331="","",IFERROR(1/(1/INDEX(Numéros!$C$2:$C$3001,MATCH(A331&amp;"|"&amp;B331,Numéros!$F$2:$F$3001,0))),""))</f>
        <v/>
      </c>
      <c r="M331" s="27" t="str">
        <f aca="false">IF(OR(G331="",G331="?"),"",IFERROR(INDEX(Pubs!$D$2:$D$3001,MATCH(G331,Pubs!$A$2:$A$3001,0))&amp;"",""))</f>
        <v/>
      </c>
      <c r="N331" s="27" t="n">
        <f aca="false">N(N330)+IF(AND(A331&lt;&gt;"",OR(Recherche!$C$4="",A331=Recherche!$C$4),OR(Recherche!$C$5="",B331&amp;""=Recherche!$C$5&amp;""),OR(Recherche!$C$6="",IFERROR(YEAR(L331),0)=Recherche!$C$6),OR(Recherche!$C$7="",ISNUMBER(SEARCH(Recherche!$C$7,H331))),OR(Recherche!$C$8="",J331=Recherche!$C$8),OR(Recherche!$C$9="",I331=Recherche!$C$9),OR(Recherche!$C$10="",G331&amp;""=Recherche!$C$10&amp;""),OR(Recherche!$C$11="",E331=Recherche!$C$11),OR(Recherche!$C$12="",ISNUMBER(SEARCH(Recherche!$C$12,M331&amp;" "&amp;F331)))),1,0)</f>
        <v>8</v>
      </c>
    </row>
    <row r="332" customFormat="false" ht="15" hidden="false" customHeight="false" outlineLevel="0" collapsed="false">
      <c r="A332" s="19"/>
      <c r="B332" s="19"/>
      <c r="C332" s="19"/>
      <c r="D332" s="19"/>
      <c r="E332" s="22"/>
      <c r="F332" s="19"/>
      <c r="G332" s="26" t="str">
        <f aca="false">IF(D332="","",IFERROR(VALUE(LEFT(D332,FIND(" |",D332&amp;" |")-1)),"?"))</f>
        <v/>
      </c>
      <c r="H332" s="27" t="str">
        <f aca="false">IF(G332="","",IF(G332="?","⚠ pub inconnue",IFERROR(INDEX(Pubs!$B$2:$B$3001,MATCH(G332,Pubs!$A$2:$A$3001,0))&amp;"","⚠ pub inconnue")))</f>
        <v/>
      </c>
      <c r="I332" s="27" t="str">
        <f aca="false">IF(OR(G332="",G332="?"),"",IFERROR(INDEX(Pubs!$C$2:$C$3001,MATCH(G332,Pubs!$A$2:$A$3001,0))&amp;"",""))</f>
        <v/>
      </c>
      <c r="J332" s="27" t="str">
        <f aca="false">IF(OR(G332="",G332="?"),"",IFERROR(INDEX(Pubs!$G$2:$G$3001,MATCH(G332,Pubs!$A$2:$A$3001,0))&amp;"",""))</f>
        <v/>
      </c>
      <c r="K332" s="28" t="str">
        <f aca="false">IF(OR(G332="",G332="?"),"",IFERROR(INDEX(Pubs!$E$2:$E$3001,MATCH(G332,Pubs!$A$2:$A$3001,0)),""))</f>
        <v/>
      </c>
      <c r="L332" s="29" t="str">
        <f aca="false">IF(A332="","",IFERROR(1/(1/INDEX(Numéros!$C$2:$C$3001,MATCH(A332&amp;"|"&amp;B332,Numéros!$F$2:$F$3001,0))),""))</f>
        <v/>
      </c>
      <c r="M332" s="27" t="str">
        <f aca="false">IF(OR(G332="",G332="?"),"",IFERROR(INDEX(Pubs!$D$2:$D$3001,MATCH(G332,Pubs!$A$2:$A$3001,0))&amp;"",""))</f>
        <v/>
      </c>
      <c r="N332" s="27" t="n">
        <f aca="false">N(N331)+IF(AND(A332&lt;&gt;"",OR(Recherche!$C$4="",A332=Recherche!$C$4),OR(Recherche!$C$5="",B332&amp;""=Recherche!$C$5&amp;""),OR(Recherche!$C$6="",IFERROR(YEAR(L332),0)=Recherche!$C$6),OR(Recherche!$C$7="",ISNUMBER(SEARCH(Recherche!$C$7,H332))),OR(Recherche!$C$8="",J332=Recherche!$C$8),OR(Recherche!$C$9="",I332=Recherche!$C$9),OR(Recherche!$C$10="",G332&amp;""=Recherche!$C$10&amp;""),OR(Recherche!$C$11="",E332=Recherche!$C$11),OR(Recherche!$C$12="",ISNUMBER(SEARCH(Recherche!$C$12,M332&amp;" "&amp;F332)))),1,0)</f>
        <v>8</v>
      </c>
    </row>
    <row r="333" customFormat="false" ht="15" hidden="false" customHeight="false" outlineLevel="0" collapsed="false">
      <c r="A333" s="19"/>
      <c r="B333" s="19"/>
      <c r="C333" s="19"/>
      <c r="D333" s="19"/>
      <c r="E333" s="22"/>
      <c r="F333" s="19"/>
      <c r="G333" s="26" t="str">
        <f aca="false">IF(D333="","",IFERROR(VALUE(LEFT(D333,FIND(" |",D333&amp;" |")-1)),"?"))</f>
        <v/>
      </c>
      <c r="H333" s="27" t="str">
        <f aca="false">IF(G333="","",IF(G333="?","⚠ pub inconnue",IFERROR(INDEX(Pubs!$B$2:$B$3001,MATCH(G333,Pubs!$A$2:$A$3001,0))&amp;"","⚠ pub inconnue")))</f>
        <v/>
      </c>
      <c r="I333" s="27" t="str">
        <f aca="false">IF(OR(G333="",G333="?"),"",IFERROR(INDEX(Pubs!$C$2:$C$3001,MATCH(G333,Pubs!$A$2:$A$3001,0))&amp;"",""))</f>
        <v/>
      </c>
      <c r="J333" s="27" t="str">
        <f aca="false">IF(OR(G333="",G333="?"),"",IFERROR(INDEX(Pubs!$G$2:$G$3001,MATCH(G333,Pubs!$A$2:$A$3001,0))&amp;"",""))</f>
        <v/>
      </c>
      <c r="K333" s="28" t="str">
        <f aca="false">IF(OR(G333="",G333="?"),"",IFERROR(INDEX(Pubs!$E$2:$E$3001,MATCH(G333,Pubs!$A$2:$A$3001,0)),""))</f>
        <v/>
      </c>
      <c r="L333" s="29" t="str">
        <f aca="false">IF(A333="","",IFERROR(1/(1/INDEX(Numéros!$C$2:$C$3001,MATCH(A333&amp;"|"&amp;B333,Numéros!$F$2:$F$3001,0))),""))</f>
        <v/>
      </c>
      <c r="M333" s="27" t="str">
        <f aca="false">IF(OR(G333="",G333="?"),"",IFERROR(INDEX(Pubs!$D$2:$D$3001,MATCH(G333,Pubs!$A$2:$A$3001,0))&amp;"",""))</f>
        <v/>
      </c>
      <c r="N333" s="27" t="n">
        <f aca="false">N(N332)+IF(AND(A333&lt;&gt;"",OR(Recherche!$C$4="",A333=Recherche!$C$4),OR(Recherche!$C$5="",B333&amp;""=Recherche!$C$5&amp;""),OR(Recherche!$C$6="",IFERROR(YEAR(L333),0)=Recherche!$C$6),OR(Recherche!$C$7="",ISNUMBER(SEARCH(Recherche!$C$7,H333))),OR(Recherche!$C$8="",J333=Recherche!$C$8),OR(Recherche!$C$9="",I333=Recherche!$C$9),OR(Recherche!$C$10="",G333&amp;""=Recherche!$C$10&amp;""),OR(Recherche!$C$11="",E333=Recherche!$C$11),OR(Recherche!$C$12="",ISNUMBER(SEARCH(Recherche!$C$12,M333&amp;" "&amp;F333)))),1,0)</f>
        <v>8</v>
      </c>
    </row>
    <row r="334" customFormat="false" ht="15" hidden="false" customHeight="false" outlineLevel="0" collapsed="false">
      <c r="A334" s="19"/>
      <c r="B334" s="19"/>
      <c r="C334" s="19"/>
      <c r="D334" s="19"/>
      <c r="E334" s="22"/>
      <c r="F334" s="19"/>
      <c r="G334" s="26" t="str">
        <f aca="false">IF(D334="","",IFERROR(VALUE(LEFT(D334,FIND(" |",D334&amp;" |")-1)),"?"))</f>
        <v/>
      </c>
      <c r="H334" s="27" t="str">
        <f aca="false">IF(G334="","",IF(G334="?","⚠ pub inconnue",IFERROR(INDEX(Pubs!$B$2:$B$3001,MATCH(G334,Pubs!$A$2:$A$3001,0))&amp;"","⚠ pub inconnue")))</f>
        <v/>
      </c>
      <c r="I334" s="27" t="str">
        <f aca="false">IF(OR(G334="",G334="?"),"",IFERROR(INDEX(Pubs!$C$2:$C$3001,MATCH(G334,Pubs!$A$2:$A$3001,0))&amp;"",""))</f>
        <v/>
      </c>
      <c r="J334" s="27" t="str">
        <f aca="false">IF(OR(G334="",G334="?"),"",IFERROR(INDEX(Pubs!$G$2:$G$3001,MATCH(G334,Pubs!$A$2:$A$3001,0))&amp;"",""))</f>
        <v/>
      </c>
      <c r="K334" s="28" t="str">
        <f aca="false">IF(OR(G334="",G334="?"),"",IFERROR(INDEX(Pubs!$E$2:$E$3001,MATCH(G334,Pubs!$A$2:$A$3001,0)),""))</f>
        <v/>
      </c>
      <c r="L334" s="29" t="str">
        <f aca="false">IF(A334="","",IFERROR(1/(1/INDEX(Numéros!$C$2:$C$3001,MATCH(A334&amp;"|"&amp;B334,Numéros!$F$2:$F$3001,0))),""))</f>
        <v/>
      </c>
      <c r="M334" s="27" t="str">
        <f aca="false">IF(OR(G334="",G334="?"),"",IFERROR(INDEX(Pubs!$D$2:$D$3001,MATCH(G334,Pubs!$A$2:$A$3001,0))&amp;"",""))</f>
        <v/>
      </c>
      <c r="N334" s="27" t="n">
        <f aca="false">N(N333)+IF(AND(A334&lt;&gt;"",OR(Recherche!$C$4="",A334=Recherche!$C$4),OR(Recherche!$C$5="",B334&amp;""=Recherche!$C$5&amp;""),OR(Recherche!$C$6="",IFERROR(YEAR(L334),0)=Recherche!$C$6),OR(Recherche!$C$7="",ISNUMBER(SEARCH(Recherche!$C$7,H334))),OR(Recherche!$C$8="",J334=Recherche!$C$8),OR(Recherche!$C$9="",I334=Recherche!$C$9),OR(Recherche!$C$10="",G334&amp;""=Recherche!$C$10&amp;""),OR(Recherche!$C$11="",E334=Recherche!$C$11),OR(Recherche!$C$12="",ISNUMBER(SEARCH(Recherche!$C$12,M334&amp;" "&amp;F334)))),1,0)</f>
        <v>8</v>
      </c>
    </row>
    <row r="335" customFormat="false" ht="15" hidden="false" customHeight="false" outlineLevel="0" collapsed="false">
      <c r="A335" s="19"/>
      <c r="B335" s="19"/>
      <c r="C335" s="19"/>
      <c r="D335" s="19"/>
      <c r="E335" s="22"/>
      <c r="F335" s="19"/>
      <c r="G335" s="26" t="str">
        <f aca="false">IF(D335="","",IFERROR(VALUE(LEFT(D335,FIND(" |",D335&amp;" |")-1)),"?"))</f>
        <v/>
      </c>
      <c r="H335" s="27" t="str">
        <f aca="false">IF(G335="","",IF(G335="?","⚠ pub inconnue",IFERROR(INDEX(Pubs!$B$2:$B$3001,MATCH(G335,Pubs!$A$2:$A$3001,0))&amp;"","⚠ pub inconnue")))</f>
        <v/>
      </c>
      <c r="I335" s="27" t="str">
        <f aca="false">IF(OR(G335="",G335="?"),"",IFERROR(INDEX(Pubs!$C$2:$C$3001,MATCH(G335,Pubs!$A$2:$A$3001,0))&amp;"",""))</f>
        <v/>
      </c>
      <c r="J335" s="27" t="str">
        <f aca="false">IF(OR(G335="",G335="?"),"",IFERROR(INDEX(Pubs!$G$2:$G$3001,MATCH(G335,Pubs!$A$2:$A$3001,0))&amp;"",""))</f>
        <v/>
      </c>
      <c r="K335" s="28" t="str">
        <f aca="false">IF(OR(G335="",G335="?"),"",IFERROR(INDEX(Pubs!$E$2:$E$3001,MATCH(G335,Pubs!$A$2:$A$3001,0)),""))</f>
        <v/>
      </c>
      <c r="L335" s="29" t="str">
        <f aca="false">IF(A335="","",IFERROR(1/(1/INDEX(Numéros!$C$2:$C$3001,MATCH(A335&amp;"|"&amp;B335,Numéros!$F$2:$F$3001,0))),""))</f>
        <v/>
      </c>
      <c r="M335" s="27" t="str">
        <f aca="false">IF(OR(G335="",G335="?"),"",IFERROR(INDEX(Pubs!$D$2:$D$3001,MATCH(G335,Pubs!$A$2:$A$3001,0))&amp;"",""))</f>
        <v/>
      </c>
      <c r="N335" s="27" t="n">
        <f aca="false">N(N334)+IF(AND(A335&lt;&gt;"",OR(Recherche!$C$4="",A335=Recherche!$C$4),OR(Recherche!$C$5="",B335&amp;""=Recherche!$C$5&amp;""),OR(Recherche!$C$6="",IFERROR(YEAR(L335),0)=Recherche!$C$6),OR(Recherche!$C$7="",ISNUMBER(SEARCH(Recherche!$C$7,H335))),OR(Recherche!$C$8="",J335=Recherche!$C$8),OR(Recherche!$C$9="",I335=Recherche!$C$9),OR(Recherche!$C$10="",G335&amp;""=Recherche!$C$10&amp;""),OR(Recherche!$C$11="",E335=Recherche!$C$11),OR(Recherche!$C$12="",ISNUMBER(SEARCH(Recherche!$C$12,M335&amp;" "&amp;F335)))),1,0)</f>
        <v>8</v>
      </c>
    </row>
    <row r="336" customFormat="false" ht="15" hidden="false" customHeight="false" outlineLevel="0" collapsed="false">
      <c r="A336" s="19"/>
      <c r="B336" s="19"/>
      <c r="C336" s="19"/>
      <c r="D336" s="19"/>
      <c r="E336" s="22"/>
      <c r="F336" s="19"/>
      <c r="G336" s="26" t="str">
        <f aca="false">IF(D336="","",IFERROR(VALUE(LEFT(D336,FIND(" |",D336&amp;" |")-1)),"?"))</f>
        <v/>
      </c>
      <c r="H336" s="27" t="str">
        <f aca="false">IF(G336="","",IF(G336="?","⚠ pub inconnue",IFERROR(INDEX(Pubs!$B$2:$B$3001,MATCH(G336,Pubs!$A$2:$A$3001,0))&amp;"","⚠ pub inconnue")))</f>
        <v/>
      </c>
      <c r="I336" s="27" t="str">
        <f aca="false">IF(OR(G336="",G336="?"),"",IFERROR(INDEX(Pubs!$C$2:$C$3001,MATCH(G336,Pubs!$A$2:$A$3001,0))&amp;"",""))</f>
        <v/>
      </c>
      <c r="J336" s="27" t="str">
        <f aca="false">IF(OR(G336="",G336="?"),"",IFERROR(INDEX(Pubs!$G$2:$G$3001,MATCH(G336,Pubs!$A$2:$A$3001,0))&amp;"",""))</f>
        <v/>
      </c>
      <c r="K336" s="28" t="str">
        <f aca="false">IF(OR(G336="",G336="?"),"",IFERROR(INDEX(Pubs!$E$2:$E$3001,MATCH(G336,Pubs!$A$2:$A$3001,0)),""))</f>
        <v/>
      </c>
      <c r="L336" s="29" t="str">
        <f aca="false">IF(A336="","",IFERROR(1/(1/INDEX(Numéros!$C$2:$C$3001,MATCH(A336&amp;"|"&amp;B336,Numéros!$F$2:$F$3001,0))),""))</f>
        <v/>
      </c>
      <c r="M336" s="27" t="str">
        <f aca="false">IF(OR(G336="",G336="?"),"",IFERROR(INDEX(Pubs!$D$2:$D$3001,MATCH(G336,Pubs!$A$2:$A$3001,0))&amp;"",""))</f>
        <v/>
      </c>
      <c r="N336" s="27" t="n">
        <f aca="false">N(N335)+IF(AND(A336&lt;&gt;"",OR(Recherche!$C$4="",A336=Recherche!$C$4),OR(Recherche!$C$5="",B336&amp;""=Recherche!$C$5&amp;""),OR(Recherche!$C$6="",IFERROR(YEAR(L336),0)=Recherche!$C$6),OR(Recherche!$C$7="",ISNUMBER(SEARCH(Recherche!$C$7,H336))),OR(Recherche!$C$8="",J336=Recherche!$C$8),OR(Recherche!$C$9="",I336=Recherche!$C$9),OR(Recherche!$C$10="",G336&amp;""=Recherche!$C$10&amp;""),OR(Recherche!$C$11="",E336=Recherche!$C$11),OR(Recherche!$C$12="",ISNUMBER(SEARCH(Recherche!$C$12,M336&amp;" "&amp;F336)))),1,0)</f>
        <v>8</v>
      </c>
    </row>
    <row r="337" customFormat="false" ht="15" hidden="false" customHeight="false" outlineLevel="0" collapsed="false">
      <c r="A337" s="19"/>
      <c r="B337" s="19"/>
      <c r="C337" s="19"/>
      <c r="D337" s="19"/>
      <c r="E337" s="22"/>
      <c r="F337" s="19"/>
      <c r="G337" s="26" t="str">
        <f aca="false">IF(D337="","",IFERROR(VALUE(LEFT(D337,FIND(" |",D337&amp;" |")-1)),"?"))</f>
        <v/>
      </c>
      <c r="H337" s="27" t="str">
        <f aca="false">IF(G337="","",IF(G337="?","⚠ pub inconnue",IFERROR(INDEX(Pubs!$B$2:$B$3001,MATCH(G337,Pubs!$A$2:$A$3001,0))&amp;"","⚠ pub inconnue")))</f>
        <v/>
      </c>
      <c r="I337" s="27" t="str">
        <f aca="false">IF(OR(G337="",G337="?"),"",IFERROR(INDEX(Pubs!$C$2:$C$3001,MATCH(G337,Pubs!$A$2:$A$3001,0))&amp;"",""))</f>
        <v/>
      </c>
      <c r="J337" s="27" t="str">
        <f aca="false">IF(OR(G337="",G337="?"),"",IFERROR(INDEX(Pubs!$G$2:$G$3001,MATCH(G337,Pubs!$A$2:$A$3001,0))&amp;"",""))</f>
        <v/>
      </c>
      <c r="K337" s="28" t="str">
        <f aca="false">IF(OR(G337="",G337="?"),"",IFERROR(INDEX(Pubs!$E$2:$E$3001,MATCH(G337,Pubs!$A$2:$A$3001,0)),""))</f>
        <v/>
      </c>
      <c r="L337" s="29" t="str">
        <f aca="false">IF(A337="","",IFERROR(1/(1/INDEX(Numéros!$C$2:$C$3001,MATCH(A337&amp;"|"&amp;B337,Numéros!$F$2:$F$3001,0))),""))</f>
        <v/>
      </c>
      <c r="M337" s="27" t="str">
        <f aca="false">IF(OR(G337="",G337="?"),"",IFERROR(INDEX(Pubs!$D$2:$D$3001,MATCH(G337,Pubs!$A$2:$A$3001,0))&amp;"",""))</f>
        <v/>
      </c>
      <c r="N337" s="27" t="n">
        <f aca="false">N(N336)+IF(AND(A337&lt;&gt;"",OR(Recherche!$C$4="",A337=Recherche!$C$4),OR(Recherche!$C$5="",B337&amp;""=Recherche!$C$5&amp;""),OR(Recherche!$C$6="",IFERROR(YEAR(L337),0)=Recherche!$C$6),OR(Recherche!$C$7="",ISNUMBER(SEARCH(Recherche!$C$7,H337))),OR(Recherche!$C$8="",J337=Recherche!$C$8),OR(Recherche!$C$9="",I337=Recherche!$C$9),OR(Recherche!$C$10="",G337&amp;""=Recherche!$C$10&amp;""),OR(Recherche!$C$11="",E337=Recherche!$C$11),OR(Recherche!$C$12="",ISNUMBER(SEARCH(Recherche!$C$12,M337&amp;" "&amp;F337)))),1,0)</f>
        <v>8</v>
      </c>
    </row>
    <row r="338" customFormat="false" ht="15" hidden="false" customHeight="false" outlineLevel="0" collapsed="false">
      <c r="A338" s="19"/>
      <c r="B338" s="19"/>
      <c r="C338" s="19"/>
      <c r="D338" s="19"/>
      <c r="E338" s="22"/>
      <c r="F338" s="19"/>
      <c r="G338" s="26" t="str">
        <f aca="false">IF(D338="","",IFERROR(VALUE(LEFT(D338,FIND(" |",D338&amp;" |")-1)),"?"))</f>
        <v/>
      </c>
      <c r="H338" s="27" t="str">
        <f aca="false">IF(G338="","",IF(G338="?","⚠ pub inconnue",IFERROR(INDEX(Pubs!$B$2:$B$3001,MATCH(G338,Pubs!$A$2:$A$3001,0))&amp;"","⚠ pub inconnue")))</f>
        <v/>
      </c>
      <c r="I338" s="27" t="str">
        <f aca="false">IF(OR(G338="",G338="?"),"",IFERROR(INDEX(Pubs!$C$2:$C$3001,MATCH(G338,Pubs!$A$2:$A$3001,0))&amp;"",""))</f>
        <v/>
      </c>
      <c r="J338" s="27" t="str">
        <f aca="false">IF(OR(G338="",G338="?"),"",IFERROR(INDEX(Pubs!$G$2:$G$3001,MATCH(G338,Pubs!$A$2:$A$3001,0))&amp;"",""))</f>
        <v/>
      </c>
      <c r="K338" s="28" t="str">
        <f aca="false">IF(OR(G338="",G338="?"),"",IFERROR(INDEX(Pubs!$E$2:$E$3001,MATCH(G338,Pubs!$A$2:$A$3001,0)),""))</f>
        <v/>
      </c>
      <c r="L338" s="29" t="str">
        <f aca="false">IF(A338="","",IFERROR(1/(1/INDEX(Numéros!$C$2:$C$3001,MATCH(A338&amp;"|"&amp;B338,Numéros!$F$2:$F$3001,0))),""))</f>
        <v/>
      </c>
      <c r="M338" s="27" t="str">
        <f aca="false">IF(OR(G338="",G338="?"),"",IFERROR(INDEX(Pubs!$D$2:$D$3001,MATCH(G338,Pubs!$A$2:$A$3001,0))&amp;"",""))</f>
        <v/>
      </c>
      <c r="N338" s="27" t="n">
        <f aca="false">N(N337)+IF(AND(A338&lt;&gt;"",OR(Recherche!$C$4="",A338=Recherche!$C$4),OR(Recherche!$C$5="",B338&amp;""=Recherche!$C$5&amp;""),OR(Recherche!$C$6="",IFERROR(YEAR(L338),0)=Recherche!$C$6),OR(Recherche!$C$7="",ISNUMBER(SEARCH(Recherche!$C$7,H338))),OR(Recherche!$C$8="",J338=Recherche!$C$8),OR(Recherche!$C$9="",I338=Recherche!$C$9),OR(Recherche!$C$10="",G338&amp;""=Recherche!$C$10&amp;""),OR(Recherche!$C$11="",E338=Recherche!$C$11),OR(Recherche!$C$12="",ISNUMBER(SEARCH(Recherche!$C$12,M338&amp;" "&amp;F338)))),1,0)</f>
        <v>8</v>
      </c>
    </row>
    <row r="339" customFormat="false" ht="15" hidden="false" customHeight="false" outlineLevel="0" collapsed="false">
      <c r="A339" s="19"/>
      <c r="B339" s="19"/>
      <c r="C339" s="19"/>
      <c r="D339" s="19"/>
      <c r="E339" s="22"/>
      <c r="F339" s="19"/>
      <c r="G339" s="26" t="str">
        <f aca="false">IF(D339="","",IFERROR(VALUE(LEFT(D339,FIND(" |",D339&amp;" |")-1)),"?"))</f>
        <v/>
      </c>
      <c r="H339" s="27" t="str">
        <f aca="false">IF(G339="","",IF(G339="?","⚠ pub inconnue",IFERROR(INDEX(Pubs!$B$2:$B$3001,MATCH(G339,Pubs!$A$2:$A$3001,0))&amp;"","⚠ pub inconnue")))</f>
        <v/>
      </c>
      <c r="I339" s="27" t="str">
        <f aca="false">IF(OR(G339="",G339="?"),"",IFERROR(INDEX(Pubs!$C$2:$C$3001,MATCH(G339,Pubs!$A$2:$A$3001,0))&amp;"",""))</f>
        <v/>
      </c>
      <c r="J339" s="27" t="str">
        <f aca="false">IF(OR(G339="",G339="?"),"",IFERROR(INDEX(Pubs!$G$2:$G$3001,MATCH(G339,Pubs!$A$2:$A$3001,0))&amp;"",""))</f>
        <v/>
      </c>
      <c r="K339" s="28" t="str">
        <f aca="false">IF(OR(G339="",G339="?"),"",IFERROR(INDEX(Pubs!$E$2:$E$3001,MATCH(G339,Pubs!$A$2:$A$3001,0)),""))</f>
        <v/>
      </c>
      <c r="L339" s="29" t="str">
        <f aca="false">IF(A339="","",IFERROR(1/(1/INDEX(Numéros!$C$2:$C$3001,MATCH(A339&amp;"|"&amp;B339,Numéros!$F$2:$F$3001,0))),""))</f>
        <v/>
      </c>
      <c r="M339" s="27" t="str">
        <f aca="false">IF(OR(G339="",G339="?"),"",IFERROR(INDEX(Pubs!$D$2:$D$3001,MATCH(G339,Pubs!$A$2:$A$3001,0))&amp;"",""))</f>
        <v/>
      </c>
      <c r="N339" s="27" t="n">
        <f aca="false">N(N338)+IF(AND(A339&lt;&gt;"",OR(Recherche!$C$4="",A339=Recherche!$C$4),OR(Recherche!$C$5="",B339&amp;""=Recherche!$C$5&amp;""),OR(Recherche!$C$6="",IFERROR(YEAR(L339),0)=Recherche!$C$6),OR(Recherche!$C$7="",ISNUMBER(SEARCH(Recherche!$C$7,H339))),OR(Recherche!$C$8="",J339=Recherche!$C$8),OR(Recherche!$C$9="",I339=Recherche!$C$9),OR(Recherche!$C$10="",G339&amp;""=Recherche!$C$10&amp;""),OR(Recherche!$C$11="",E339=Recherche!$C$11),OR(Recherche!$C$12="",ISNUMBER(SEARCH(Recherche!$C$12,M339&amp;" "&amp;F339)))),1,0)</f>
        <v>8</v>
      </c>
    </row>
    <row r="340" customFormat="false" ht="15" hidden="false" customHeight="false" outlineLevel="0" collapsed="false">
      <c r="A340" s="19"/>
      <c r="B340" s="19"/>
      <c r="C340" s="19"/>
      <c r="D340" s="19"/>
      <c r="E340" s="22"/>
      <c r="F340" s="19"/>
      <c r="G340" s="26" t="str">
        <f aca="false">IF(D340="","",IFERROR(VALUE(LEFT(D340,FIND(" |",D340&amp;" |")-1)),"?"))</f>
        <v/>
      </c>
      <c r="H340" s="27" t="str">
        <f aca="false">IF(G340="","",IF(G340="?","⚠ pub inconnue",IFERROR(INDEX(Pubs!$B$2:$B$3001,MATCH(G340,Pubs!$A$2:$A$3001,0))&amp;"","⚠ pub inconnue")))</f>
        <v/>
      </c>
      <c r="I340" s="27" t="str">
        <f aca="false">IF(OR(G340="",G340="?"),"",IFERROR(INDEX(Pubs!$C$2:$C$3001,MATCH(G340,Pubs!$A$2:$A$3001,0))&amp;"",""))</f>
        <v/>
      </c>
      <c r="J340" s="27" t="str">
        <f aca="false">IF(OR(G340="",G340="?"),"",IFERROR(INDEX(Pubs!$G$2:$G$3001,MATCH(G340,Pubs!$A$2:$A$3001,0))&amp;"",""))</f>
        <v/>
      </c>
      <c r="K340" s="28" t="str">
        <f aca="false">IF(OR(G340="",G340="?"),"",IFERROR(INDEX(Pubs!$E$2:$E$3001,MATCH(G340,Pubs!$A$2:$A$3001,0)),""))</f>
        <v/>
      </c>
      <c r="L340" s="29" t="str">
        <f aca="false">IF(A340="","",IFERROR(1/(1/INDEX(Numéros!$C$2:$C$3001,MATCH(A340&amp;"|"&amp;B340,Numéros!$F$2:$F$3001,0))),""))</f>
        <v/>
      </c>
      <c r="M340" s="27" t="str">
        <f aca="false">IF(OR(G340="",G340="?"),"",IFERROR(INDEX(Pubs!$D$2:$D$3001,MATCH(G340,Pubs!$A$2:$A$3001,0))&amp;"",""))</f>
        <v/>
      </c>
      <c r="N340" s="27" t="n">
        <f aca="false">N(N339)+IF(AND(A340&lt;&gt;"",OR(Recherche!$C$4="",A340=Recherche!$C$4),OR(Recherche!$C$5="",B340&amp;""=Recherche!$C$5&amp;""),OR(Recherche!$C$6="",IFERROR(YEAR(L340),0)=Recherche!$C$6),OR(Recherche!$C$7="",ISNUMBER(SEARCH(Recherche!$C$7,H340))),OR(Recherche!$C$8="",J340=Recherche!$C$8),OR(Recherche!$C$9="",I340=Recherche!$C$9),OR(Recherche!$C$10="",G340&amp;""=Recherche!$C$10&amp;""),OR(Recherche!$C$11="",E340=Recherche!$C$11),OR(Recherche!$C$12="",ISNUMBER(SEARCH(Recherche!$C$12,M340&amp;" "&amp;F340)))),1,0)</f>
        <v>8</v>
      </c>
    </row>
    <row r="341" customFormat="false" ht="15" hidden="false" customHeight="false" outlineLevel="0" collapsed="false">
      <c r="A341" s="19"/>
      <c r="B341" s="19"/>
      <c r="C341" s="19"/>
      <c r="D341" s="19"/>
      <c r="E341" s="22"/>
      <c r="F341" s="19"/>
      <c r="G341" s="26" t="str">
        <f aca="false">IF(D341="","",IFERROR(VALUE(LEFT(D341,FIND(" |",D341&amp;" |")-1)),"?"))</f>
        <v/>
      </c>
      <c r="H341" s="27" t="str">
        <f aca="false">IF(G341="","",IF(G341="?","⚠ pub inconnue",IFERROR(INDEX(Pubs!$B$2:$B$3001,MATCH(G341,Pubs!$A$2:$A$3001,0))&amp;"","⚠ pub inconnue")))</f>
        <v/>
      </c>
      <c r="I341" s="27" t="str">
        <f aca="false">IF(OR(G341="",G341="?"),"",IFERROR(INDEX(Pubs!$C$2:$C$3001,MATCH(G341,Pubs!$A$2:$A$3001,0))&amp;"",""))</f>
        <v/>
      </c>
      <c r="J341" s="27" t="str">
        <f aca="false">IF(OR(G341="",G341="?"),"",IFERROR(INDEX(Pubs!$G$2:$G$3001,MATCH(G341,Pubs!$A$2:$A$3001,0))&amp;"",""))</f>
        <v/>
      </c>
      <c r="K341" s="28" t="str">
        <f aca="false">IF(OR(G341="",G341="?"),"",IFERROR(INDEX(Pubs!$E$2:$E$3001,MATCH(G341,Pubs!$A$2:$A$3001,0)),""))</f>
        <v/>
      </c>
      <c r="L341" s="29" t="str">
        <f aca="false">IF(A341="","",IFERROR(1/(1/INDEX(Numéros!$C$2:$C$3001,MATCH(A341&amp;"|"&amp;B341,Numéros!$F$2:$F$3001,0))),""))</f>
        <v/>
      </c>
      <c r="M341" s="27" t="str">
        <f aca="false">IF(OR(G341="",G341="?"),"",IFERROR(INDEX(Pubs!$D$2:$D$3001,MATCH(G341,Pubs!$A$2:$A$3001,0))&amp;"",""))</f>
        <v/>
      </c>
      <c r="N341" s="27" t="n">
        <f aca="false">N(N340)+IF(AND(A341&lt;&gt;"",OR(Recherche!$C$4="",A341=Recherche!$C$4),OR(Recherche!$C$5="",B341&amp;""=Recherche!$C$5&amp;""),OR(Recherche!$C$6="",IFERROR(YEAR(L341),0)=Recherche!$C$6),OR(Recherche!$C$7="",ISNUMBER(SEARCH(Recherche!$C$7,H341))),OR(Recherche!$C$8="",J341=Recherche!$C$8),OR(Recherche!$C$9="",I341=Recherche!$C$9),OR(Recherche!$C$10="",G341&amp;""=Recherche!$C$10&amp;""),OR(Recherche!$C$11="",E341=Recherche!$C$11),OR(Recherche!$C$12="",ISNUMBER(SEARCH(Recherche!$C$12,M341&amp;" "&amp;F341)))),1,0)</f>
        <v>8</v>
      </c>
    </row>
    <row r="342" customFormat="false" ht="15" hidden="false" customHeight="false" outlineLevel="0" collapsed="false">
      <c r="A342" s="19"/>
      <c r="B342" s="19"/>
      <c r="C342" s="19"/>
      <c r="D342" s="19"/>
      <c r="E342" s="22"/>
      <c r="F342" s="19"/>
      <c r="G342" s="26" t="str">
        <f aca="false">IF(D342="","",IFERROR(VALUE(LEFT(D342,FIND(" |",D342&amp;" |")-1)),"?"))</f>
        <v/>
      </c>
      <c r="H342" s="27" t="str">
        <f aca="false">IF(G342="","",IF(G342="?","⚠ pub inconnue",IFERROR(INDEX(Pubs!$B$2:$B$3001,MATCH(G342,Pubs!$A$2:$A$3001,0))&amp;"","⚠ pub inconnue")))</f>
        <v/>
      </c>
      <c r="I342" s="27" t="str">
        <f aca="false">IF(OR(G342="",G342="?"),"",IFERROR(INDEX(Pubs!$C$2:$C$3001,MATCH(G342,Pubs!$A$2:$A$3001,0))&amp;"",""))</f>
        <v/>
      </c>
      <c r="J342" s="27" t="str">
        <f aca="false">IF(OR(G342="",G342="?"),"",IFERROR(INDEX(Pubs!$G$2:$G$3001,MATCH(G342,Pubs!$A$2:$A$3001,0))&amp;"",""))</f>
        <v/>
      </c>
      <c r="K342" s="28" t="str">
        <f aca="false">IF(OR(G342="",G342="?"),"",IFERROR(INDEX(Pubs!$E$2:$E$3001,MATCH(G342,Pubs!$A$2:$A$3001,0)),""))</f>
        <v/>
      </c>
      <c r="L342" s="29" t="str">
        <f aca="false">IF(A342="","",IFERROR(1/(1/INDEX(Numéros!$C$2:$C$3001,MATCH(A342&amp;"|"&amp;B342,Numéros!$F$2:$F$3001,0))),""))</f>
        <v/>
      </c>
      <c r="M342" s="27" t="str">
        <f aca="false">IF(OR(G342="",G342="?"),"",IFERROR(INDEX(Pubs!$D$2:$D$3001,MATCH(G342,Pubs!$A$2:$A$3001,0))&amp;"",""))</f>
        <v/>
      </c>
      <c r="N342" s="27" t="n">
        <f aca="false">N(N341)+IF(AND(A342&lt;&gt;"",OR(Recherche!$C$4="",A342=Recherche!$C$4),OR(Recherche!$C$5="",B342&amp;""=Recherche!$C$5&amp;""),OR(Recherche!$C$6="",IFERROR(YEAR(L342),0)=Recherche!$C$6),OR(Recherche!$C$7="",ISNUMBER(SEARCH(Recherche!$C$7,H342))),OR(Recherche!$C$8="",J342=Recherche!$C$8),OR(Recherche!$C$9="",I342=Recherche!$C$9),OR(Recherche!$C$10="",G342&amp;""=Recherche!$C$10&amp;""),OR(Recherche!$C$11="",E342=Recherche!$C$11),OR(Recherche!$C$12="",ISNUMBER(SEARCH(Recherche!$C$12,M342&amp;" "&amp;F342)))),1,0)</f>
        <v>8</v>
      </c>
    </row>
    <row r="343" customFormat="false" ht="15" hidden="false" customHeight="false" outlineLevel="0" collapsed="false">
      <c r="A343" s="19"/>
      <c r="B343" s="19"/>
      <c r="C343" s="19"/>
      <c r="D343" s="19"/>
      <c r="E343" s="22"/>
      <c r="F343" s="19"/>
      <c r="G343" s="26" t="str">
        <f aca="false">IF(D343="","",IFERROR(VALUE(LEFT(D343,FIND(" |",D343&amp;" |")-1)),"?"))</f>
        <v/>
      </c>
      <c r="H343" s="27" t="str">
        <f aca="false">IF(G343="","",IF(G343="?","⚠ pub inconnue",IFERROR(INDEX(Pubs!$B$2:$B$3001,MATCH(G343,Pubs!$A$2:$A$3001,0))&amp;"","⚠ pub inconnue")))</f>
        <v/>
      </c>
      <c r="I343" s="27" t="str">
        <f aca="false">IF(OR(G343="",G343="?"),"",IFERROR(INDEX(Pubs!$C$2:$C$3001,MATCH(G343,Pubs!$A$2:$A$3001,0))&amp;"",""))</f>
        <v/>
      </c>
      <c r="J343" s="27" t="str">
        <f aca="false">IF(OR(G343="",G343="?"),"",IFERROR(INDEX(Pubs!$G$2:$G$3001,MATCH(G343,Pubs!$A$2:$A$3001,0))&amp;"",""))</f>
        <v/>
      </c>
      <c r="K343" s="28" t="str">
        <f aca="false">IF(OR(G343="",G343="?"),"",IFERROR(INDEX(Pubs!$E$2:$E$3001,MATCH(G343,Pubs!$A$2:$A$3001,0)),""))</f>
        <v/>
      </c>
      <c r="L343" s="29" t="str">
        <f aca="false">IF(A343="","",IFERROR(1/(1/INDEX(Numéros!$C$2:$C$3001,MATCH(A343&amp;"|"&amp;B343,Numéros!$F$2:$F$3001,0))),""))</f>
        <v/>
      </c>
      <c r="M343" s="27" t="str">
        <f aca="false">IF(OR(G343="",G343="?"),"",IFERROR(INDEX(Pubs!$D$2:$D$3001,MATCH(G343,Pubs!$A$2:$A$3001,0))&amp;"",""))</f>
        <v/>
      </c>
      <c r="N343" s="27" t="n">
        <f aca="false">N(N342)+IF(AND(A343&lt;&gt;"",OR(Recherche!$C$4="",A343=Recherche!$C$4),OR(Recherche!$C$5="",B343&amp;""=Recherche!$C$5&amp;""),OR(Recherche!$C$6="",IFERROR(YEAR(L343),0)=Recherche!$C$6),OR(Recherche!$C$7="",ISNUMBER(SEARCH(Recherche!$C$7,H343))),OR(Recherche!$C$8="",J343=Recherche!$C$8),OR(Recherche!$C$9="",I343=Recherche!$C$9),OR(Recherche!$C$10="",G343&amp;""=Recherche!$C$10&amp;""),OR(Recherche!$C$11="",E343=Recherche!$C$11),OR(Recherche!$C$12="",ISNUMBER(SEARCH(Recherche!$C$12,M343&amp;" "&amp;F343)))),1,0)</f>
        <v>8</v>
      </c>
    </row>
    <row r="344" customFormat="false" ht="15" hidden="false" customHeight="false" outlineLevel="0" collapsed="false">
      <c r="A344" s="19"/>
      <c r="B344" s="19"/>
      <c r="C344" s="19"/>
      <c r="D344" s="19"/>
      <c r="E344" s="22"/>
      <c r="F344" s="19"/>
      <c r="G344" s="26" t="str">
        <f aca="false">IF(D344="","",IFERROR(VALUE(LEFT(D344,FIND(" |",D344&amp;" |")-1)),"?"))</f>
        <v/>
      </c>
      <c r="H344" s="27" t="str">
        <f aca="false">IF(G344="","",IF(G344="?","⚠ pub inconnue",IFERROR(INDEX(Pubs!$B$2:$B$3001,MATCH(G344,Pubs!$A$2:$A$3001,0))&amp;"","⚠ pub inconnue")))</f>
        <v/>
      </c>
      <c r="I344" s="27" t="str">
        <f aca="false">IF(OR(G344="",G344="?"),"",IFERROR(INDEX(Pubs!$C$2:$C$3001,MATCH(G344,Pubs!$A$2:$A$3001,0))&amp;"",""))</f>
        <v/>
      </c>
      <c r="J344" s="27" t="str">
        <f aca="false">IF(OR(G344="",G344="?"),"",IFERROR(INDEX(Pubs!$G$2:$G$3001,MATCH(G344,Pubs!$A$2:$A$3001,0))&amp;"",""))</f>
        <v/>
      </c>
      <c r="K344" s="28" t="str">
        <f aca="false">IF(OR(G344="",G344="?"),"",IFERROR(INDEX(Pubs!$E$2:$E$3001,MATCH(G344,Pubs!$A$2:$A$3001,0)),""))</f>
        <v/>
      </c>
      <c r="L344" s="29" t="str">
        <f aca="false">IF(A344="","",IFERROR(1/(1/INDEX(Numéros!$C$2:$C$3001,MATCH(A344&amp;"|"&amp;B344,Numéros!$F$2:$F$3001,0))),""))</f>
        <v/>
      </c>
      <c r="M344" s="27" t="str">
        <f aca="false">IF(OR(G344="",G344="?"),"",IFERROR(INDEX(Pubs!$D$2:$D$3001,MATCH(G344,Pubs!$A$2:$A$3001,0))&amp;"",""))</f>
        <v/>
      </c>
      <c r="N344" s="27" t="n">
        <f aca="false">N(N343)+IF(AND(A344&lt;&gt;"",OR(Recherche!$C$4="",A344=Recherche!$C$4),OR(Recherche!$C$5="",B344&amp;""=Recherche!$C$5&amp;""),OR(Recherche!$C$6="",IFERROR(YEAR(L344),0)=Recherche!$C$6),OR(Recherche!$C$7="",ISNUMBER(SEARCH(Recherche!$C$7,H344))),OR(Recherche!$C$8="",J344=Recherche!$C$8),OR(Recherche!$C$9="",I344=Recherche!$C$9),OR(Recherche!$C$10="",G344&amp;""=Recherche!$C$10&amp;""),OR(Recherche!$C$11="",E344=Recherche!$C$11),OR(Recherche!$C$12="",ISNUMBER(SEARCH(Recherche!$C$12,M344&amp;" "&amp;F344)))),1,0)</f>
        <v>8</v>
      </c>
    </row>
    <row r="345" customFormat="false" ht="15" hidden="false" customHeight="false" outlineLevel="0" collapsed="false">
      <c r="A345" s="19"/>
      <c r="B345" s="19"/>
      <c r="C345" s="19"/>
      <c r="D345" s="19"/>
      <c r="E345" s="22"/>
      <c r="F345" s="19"/>
      <c r="G345" s="26" t="str">
        <f aca="false">IF(D345="","",IFERROR(VALUE(LEFT(D345,FIND(" |",D345&amp;" |")-1)),"?"))</f>
        <v/>
      </c>
      <c r="H345" s="27" t="str">
        <f aca="false">IF(G345="","",IF(G345="?","⚠ pub inconnue",IFERROR(INDEX(Pubs!$B$2:$B$3001,MATCH(G345,Pubs!$A$2:$A$3001,0))&amp;"","⚠ pub inconnue")))</f>
        <v/>
      </c>
      <c r="I345" s="27" t="str">
        <f aca="false">IF(OR(G345="",G345="?"),"",IFERROR(INDEX(Pubs!$C$2:$C$3001,MATCH(G345,Pubs!$A$2:$A$3001,0))&amp;"",""))</f>
        <v/>
      </c>
      <c r="J345" s="27" t="str">
        <f aca="false">IF(OR(G345="",G345="?"),"",IFERROR(INDEX(Pubs!$G$2:$G$3001,MATCH(G345,Pubs!$A$2:$A$3001,0))&amp;"",""))</f>
        <v/>
      </c>
      <c r="K345" s="28" t="str">
        <f aca="false">IF(OR(G345="",G345="?"),"",IFERROR(INDEX(Pubs!$E$2:$E$3001,MATCH(G345,Pubs!$A$2:$A$3001,0)),""))</f>
        <v/>
      </c>
      <c r="L345" s="29" t="str">
        <f aca="false">IF(A345="","",IFERROR(1/(1/INDEX(Numéros!$C$2:$C$3001,MATCH(A345&amp;"|"&amp;B345,Numéros!$F$2:$F$3001,0))),""))</f>
        <v/>
      </c>
      <c r="M345" s="27" t="str">
        <f aca="false">IF(OR(G345="",G345="?"),"",IFERROR(INDEX(Pubs!$D$2:$D$3001,MATCH(G345,Pubs!$A$2:$A$3001,0))&amp;"",""))</f>
        <v/>
      </c>
      <c r="N345" s="27" t="n">
        <f aca="false">N(N344)+IF(AND(A345&lt;&gt;"",OR(Recherche!$C$4="",A345=Recherche!$C$4),OR(Recherche!$C$5="",B345&amp;""=Recherche!$C$5&amp;""),OR(Recherche!$C$6="",IFERROR(YEAR(L345),0)=Recherche!$C$6),OR(Recherche!$C$7="",ISNUMBER(SEARCH(Recherche!$C$7,H345))),OR(Recherche!$C$8="",J345=Recherche!$C$8),OR(Recherche!$C$9="",I345=Recherche!$C$9),OR(Recherche!$C$10="",G345&amp;""=Recherche!$C$10&amp;""),OR(Recherche!$C$11="",E345=Recherche!$C$11),OR(Recherche!$C$12="",ISNUMBER(SEARCH(Recherche!$C$12,M345&amp;" "&amp;F345)))),1,0)</f>
        <v>8</v>
      </c>
    </row>
    <row r="346" customFormat="false" ht="15" hidden="false" customHeight="false" outlineLevel="0" collapsed="false">
      <c r="A346" s="19"/>
      <c r="B346" s="19"/>
      <c r="C346" s="19"/>
      <c r="D346" s="19"/>
      <c r="E346" s="22"/>
      <c r="F346" s="19"/>
      <c r="G346" s="26" t="str">
        <f aca="false">IF(D346="","",IFERROR(VALUE(LEFT(D346,FIND(" |",D346&amp;" |")-1)),"?"))</f>
        <v/>
      </c>
      <c r="H346" s="27" t="str">
        <f aca="false">IF(G346="","",IF(G346="?","⚠ pub inconnue",IFERROR(INDEX(Pubs!$B$2:$B$3001,MATCH(G346,Pubs!$A$2:$A$3001,0))&amp;"","⚠ pub inconnue")))</f>
        <v/>
      </c>
      <c r="I346" s="27" t="str">
        <f aca="false">IF(OR(G346="",G346="?"),"",IFERROR(INDEX(Pubs!$C$2:$C$3001,MATCH(G346,Pubs!$A$2:$A$3001,0))&amp;"",""))</f>
        <v/>
      </c>
      <c r="J346" s="27" t="str">
        <f aca="false">IF(OR(G346="",G346="?"),"",IFERROR(INDEX(Pubs!$G$2:$G$3001,MATCH(G346,Pubs!$A$2:$A$3001,0))&amp;"",""))</f>
        <v/>
      </c>
      <c r="K346" s="28" t="str">
        <f aca="false">IF(OR(G346="",G346="?"),"",IFERROR(INDEX(Pubs!$E$2:$E$3001,MATCH(G346,Pubs!$A$2:$A$3001,0)),""))</f>
        <v/>
      </c>
      <c r="L346" s="29" t="str">
        <f aca="false">IF(A346="","",IFERROR(1/(1/INDEX(Numéros!$C$2:$C$3001,MATCH(A346&amp;"|"&amp;B346,Numéros!$F$2:$F$3001,0))),""))</f>
        <v/>
      </c>
      <c r="M346" s="27" t="str">
        <f aca="false">IF(OR(G346="",G346="?"),"",IFERROR(INDEX(Pubs!$D$2:$D$3001,MATCH(G346,Pubs!$A$2:$A$3001,0))&amp;"",""))</f>
        <v/>
      </c>
      <c r="N346" s="27" t="n">
        <f aca="false">N(N345)+IF(AND(A346&lt;&gt;"",OR(Recherche!$C$4="",A346=Recherche!$C$4),OR(Recherche!$C$5="",B346&amp;""=Recherche!$C$5&amp;""),OR(Recherche!$C$6="",IFERROR(YEAR(L346),0)=Recherche!$C$6),OR(Recherche!$C$7="",ISNUMBER(SEARCH(Recherche!$C$7,H346))),OR(Recherche!$C$8="",J346=Recherche!$C$8),OR(Recherche!$C$9="",I346=Recherche!$C$9),OR(Recherche!$C$10="",G346&amp;""=Recherche!$C$10&amp;""),OR(Recherche!$C$11="",E346=Recherche!$C$11),OR(Recherche!$C$12="",ISNUMBER(SEARCH(Recherche!$C$12,M346&amp;" "&amp;F346)))),1,0)</f>
        <v>8</v>
      </c>
    </row>
    <row r="347" customFormat="false" ht="15" hidden="false" customHeight="false" outlineLevel="0" collapsed="false">
      <c r="A347" s="19"/>
      <c r="B347" s="19"/>
      <c r="C347" s="19"/>
      <c r="D347" s="19"/>
      <c r="E347" s="22"/>
      <c r="F347" s="19"/>
      <c r="G347" s="26" t="str">
        <f aca="false">IF(D347="","",IFERROR(VALUE(LEFT(D347,FIND(" |",D347&amp;" |")-1)),"?"))</f>
        <v/>
      </c>
      <c r="H347" s="27" t="str">
        <f aca="false">IF(G347="","",IF(G347="?","⚠ pub inconnue",IFERROR(INDEX(Pubs!$B$2:$B$3001,MATCH(G347,Pubs!$A$2:$A$3001,0))&amp;"","⚠ pub inconnue")))</f>
        <v/>
      </c>
      <c r="I347" s="27" t="str">
        <f aca="false">IF(OR(G347="",G347="?"),"",IFERROR(INDEX(Pubs!$C$2:$C$3001,MATCH(G347,Pubs!$A$2:$A$3001,0))&amp;"",""))</f>
        <v/>
      </c>
      <c r="J347" s="27" t="str">
        <f aca="false">IF(OR(G347="",G347="?"),"",IFERROR(INDEX(Pubs!$G$2:$G$3001,MATCH(G347,Pubs!$A$2:$A$3001,0))&amp;"",""))</f>
        <v/>
      </c>
      <c r="K347" s="28" t="str">
        <f aca="false">IF(OR(G347="",G347="?"),"",IFERROR(INDEX(Pubs!$E$2:$E$3001,MATCH(G347,Pubs!$A$2:$A$3001,0)),""))</f>
        <v/>
      </c>
      <c r="L347" s="29" t="str">
        <f aca="false">IF(A347="","",IFERROR(1/(1/INDEX(Numéros!$C$2:$C$3001,MATCH(A347&amp;"|"&amp;B347,Numéros!$F$2:$F$3001,0))),""))</f>
        <v/>
      </c>
      <c r="M347" s="27" t="str">
        <f aca="false">IF(OR(G347="",G347="?"),"",IFERROR(INDEX(Pubs!$D$2:$D$3001,MATCH(G347,Pubs!$A$2:$A$3001,0))&amp;"",""))</f>
        <v/>
      </c>
      <c r="N347" s="27" t="n">
        <f aca="false">N(N346)+IF(AND(A347&lt;&gt;"",OR(Recherche!$C$4="",A347=Recherche!$C$4),OR(Recherche!$C$5="",B347&amp;""=Recherche!$C$5&amp;""),OR(Recherche!$C$6="",IFERROR(YEAR(L347),0)=Recherche!$C$6),OR(Recherche!$C$7="",ISNUMBER(SEARCH(Recherche!$C$7,H347))),OR(Recherche!$C$8="",J347=Recherche!$C$8),OR(Recherche!$C$9="",I347=Recherche!$C$9),OR(Recherche!$C$10="",G347&amp;""=Recherche!$C$10&amp;""),OR(Recherche!$C$11="",E347=Recherche!$C$11),OR(Recherche!$C$12="",ISNUMBER(SEARCH(Recherche!$C$12,M347&amp;" "&amp;F347)))),1,0)</f>
        <v>8</v>
      </c>
    </row>
    <row r="348" customFormat="false" ht="15" hidden="false" customHeight="false" outlineLevel="0" collapsed="false">
      <c r="A348" s="19"/>
      <c r="B348" s="19"/>
      <c r="C348" s="19"/>
      <c r="D348" s="19"/>
      <c r="E348" s="22"/>
      <c r="F348" s="19"/>
      <c r="G348" s="26" t="str">
        <f aca="false">IF(D348="","",IFERROR(VALUE(LEFT(D348,FIND(" |",D348&amp;" |")-1)),"?"))</f>
        <v/>
      </c>
      <c r="H348" s="27" t="str">
        <f aca="false">IF(G348="","",IF(G348="?","⚠ pub inconnue",IFERROR(INDEX(Pubs!$B$2:$B$3001,MATCH(G348,Pubs!$A$2:$A$3001,0))&amp;"","⚠ pub inconnue")))</f>
        <v/>
      </c>
      <c r="I348" s="27" t="str">
        <f aca="false">IF(OR(G348="",G348="?"),"",IFERROR(INDEX(Pubs!$C$2:$C$3001,MATCH(G348,Pubs!$A$2:$A$3001,0))&amp;"",""))</f>
        <v/>
      </c>
      <c r="J348" s="27" t="str">
        <f aca="false">IF(OR(G348="",G348="?"),"",IFERROR(INDEX(Pubs!$G$2:$G$3001,MATCH(G348,Pubs!$A$2:$A$3001,0))&amp;"",""))</f>
        <v/>
      </c>
      <c r="K348" s="28" t="str">
        <f aca="false">IF(OR(G348="",G348="?"),"",IFERROR(INDEX(Pubs!$E$2:$E$3001,MATCH(G348,Pubs!$A$2:$A$3001,0)),""))</f>
        <v/>
      </c>
      <c r="L348" s="29" t="str">
        <f aca="false">IF(A348="","",IFERROR(1/(1/INDEX(Numéros!$C$2:$C$3001,MATCH(A348&amp;"|"&amp;B348,Numéros!$F$2:$F$3001,0))),""))</f>
        <v/>
      </c>
      <c r="M348" s="27" t="str">
        <f aca="false">IF(OR(G348="",G348="?"),"",IFERROR(INDEX(Pubs!$D$2:$D$3001,MATCH(G348,Pubs!$A$2:$A$3001,0))&amp;"",""))</f>
        <v/>
      </c>
      <c r="N348" s="27" t="n">
        <f aca="false">N(N347)+IF(AND(A348&lt;&gt;"",OR(Recherche!$C$4="",A348=Recherche!$C$4),OR(Recherche!$C$5="",B348&amp;""=Recherche!$C$5&amp;""),OR(Recherche!$C$6="",IFERROR(YEAR(L348),0)=Recherche!$C$6),OR(Recherche!$C$7="",ISNUMBER(SEARCH(Recherche!$C$7,H348))),OR(Recherche!$C$8="",J348=Recherche!$C$8),OR(Recherche!$C$9="",I348=Recherche!$C$9),OR(Recherche!$C$10="",G348&amp;""=Recherche!$C$10&amp;""),OR(Recherche!$C$11="",E348=Recherche!$C$11),OR(Recherche!$C$12="",ISNUMBER(SEARCH(Recherche!$C$12,M348&amp;" "&amp;F348)))),1,0)</f>
        <v>8</v>
      </c>
    </row>
    <row r="349" customFormat="false" ht="15" hidden="false" customHeight="false" outlineLevel="0" collapsed="false">
      <c r="A349" s="19"/>
      <c r="B349" s="19"/>
      <c r="C349" s="19"/>
      <c r="D349" s="19"/>
      <c r="E349" s="22"/>
      <c r="F349" s="19"/>
      <c r="G349" s="26" t="str">
        <f aca="false">IF(D349="","",IFERROR(VALUE(LEFT(D349,FIND(" |",D349&amp;" |")-1)),"?"))</f>
        <v/>
      </c>
      <c r="H349" s="27" t="str">
        <f aca="false">IF(G349="","",IF(G349="?","⚠ pub inconnue",IFERROR(INDEX(Pubs!$B$2:$B$3001,MATCH(G349,Pubs!$A$2:$A$3001,0))&amp;"","⚠ pub inconnue")))</f>
        <v/>
      </c>
      <c r="I349" s="27" t="str">
        <f aca="false">IF(OR(G349="",G349="?"),"",IFERROR(INDEX(Pubs!$C$2:$C$3001,MATCH(G349,Pubs!$A$2:$A$3001,0))&amp;"",""))</f>
        <v/>
      </c>
      <c r="J349" s="27" t="str">
        <f aca="false">IF(OR(G349="",G349="?"),"",IFERROR(INDEX(Pubs!$G$2:$G$3001,MATCH(G349,Pubs!$A$2:$A$3001,0))&amp;"",""))</f>
        <v/>
      </c>
      <c r="K349" s="28" t="str">
        <f aca="false">IF(OR(G349="",G349="?"),"",IFERROR(INDEX(Pubs!$E$2:$E$3001,MATCH(G349,Pubs!$A$2:$A$3001,0)),""))</f>
        <v/>
      </c>
      <c r="L349" s="29" t="str">
        <f aca="false">IF(A349="","",IFERROR(1/(1/INDEX(Numéros!$C$2:$C$3001,MATCH(A349&amp;"|"&amp;B349,Numéros!$F$2:$F$3001,0))),""))</f>
        <v/>
      </c>
      <c r="M349" s="27" t="str">
        <f aca="false">IF(OR(G349="",G349="?"),"",IFERROR(INDEX(Pubs!$D$2:$D$3001,MATCH(G349,Pubs!$A$2:$A$3001,0))&amp;"",""))</f>
        <v/>
      </c>
      <c r="N349" s="27" t="n">
        <f aca="false">N(N348)+IF(AND(A349&lt;&gt;"",OR(Recherche!$C$4="",A349=Recherche!$C$4),OR(Recherche!$C$5="",B349&amp;""=Recherche!$C$5&amp;""),OR(Recherche!$C$6="",IFERROR(YEAR(L349),0)=Recherche!$C$6),OR(Recherche!$C$7="",ISNUMBER(SEARCH(Recherche!$C$7,H349))),OR(Recherche!$C$8="",J349=Recherche!$C$8),OR(Recherche!$C$9="",I349=Recherche!$C$9),OR(Recherche!$C$10="",G349&amp;""=Recherche!$C$10&amp;""),OR(Recherche!$C$11="",E349=Recherche!$C$11),OR(Recherche!$C$12="",ISNUMBER(SEARCH(Recherche!$C$12,M349&amp;" "&amp;F349)))),1,0)</f>
        <v>8</v>
      </c>
    </row>
    <row r="350" customFormat="false" ht="15" hidden="false" customHeight="false" outlineLevel="0" collapsed="false">
      <c r="A350" s="19"/>
      <c r="B350" s="19"/>
      <c r="C350" s="19"/>
      <c r="D350" s="19"/>
      <c r="E350" s="22"/>
      <c r="F350" s="19"/>
      <c r="G350" s="26" t="str">
        <f aca="false">IF(D350="","",IFERROR(VALUE(LEFT(D350,FIND(" |",D350&amp;" |")-1)),"?"))</f>
        <v/>
      </c>
      <c r="H350" s="27" t="str">
        <f aca="false">IF(G350="","",IF(G350="?","⚠ pub inconnue",IFERROR(INDEX(Pubs!$B$2:$B$3001,MATCH(G350,Pubs!$A$2:$A$3001,0))&amp;"","⚠ pub inconnue")))</f>
        <v/>
      </c>
      <c r="I350" s="27" t="str">
        <f aca="false">IF(OR(G350="",G350="?"),"",IFERROR(INDEX(Pubs!$C$2:$C$3001,MATCH(G350,Pubs!$A$2:$A$3001,0))&amp;"",""))</f>
        <v/>
      </c>
      <c r="J350" s="27" t="str">
        <f aca="false">IF(OR(G350="",G350="?"),"",IFERROR(INDEX(Pubs!$G$2:$G$3001,MATCH(G350,Pubs!$A$2:$A$3001,0))&amp;"",""))</f>
        <v/>
      </c>
      <c r="K350" s="28" t="str">
        <f aca="false">IF(OR(G350="",G350="?"),"",IFERROR(INDEX(Pubs!$E$2:$E$3001,MATCH(G350,Pubs!$A$2:$A$3001,0)),""))</f>
        <v/>
      </c>
      <c r="L350" s="29" t="str">
        <f aca="false">IF(A350="","",IFERROR(1/(1/INDEX(Numéros!$C$2:$C$3001,MATCH(A350&amp;"|"&amp;B350,Numéros!$F$2:$F$3001,0))),""))</f>
        <v/>
      </c>
      <c r="M350" s="27" t="str">
        <f aca="false">IF(OR(G350="",G350="?"),"",IFERROR(INDEX(Pubs!$D$2:$D$3001,MATCH(G350,Pubs!$A$2:$A$3001,0))&amp;"",""))</f>
        <v/>
      </c>
      <c r="N350" s="27" t="n">
        <f aca="false">N(N349)+IF(AND(A350&lt;&gt;"",OR(Recherche!$C$4="",A350=Recherche!$C$4),OR(Recherche!$C$5="",B350&amp;""=Recherche!$C$5&amp;""),OR(Recherche!$C$6="",IFERROR(YEAR(L350),0)=Recherche!$C$6),OR(Recherche!$C$7="",ISNUMBER(SEARCH(Recherche!$C$7,H350))),OR(Recherche!$C$8="",J350=Recherche!$C$8),OR(Recherche!$C$9="",I350=Recherche!$C$9),OR(Recherche!$C$10="",G350&amp;""=Recherche!$C$10&amp;""),OR(Recherche!$C$11="",E350=Recherche!$C$11),OR(Recherche!$C$12="",ISNUMBER(SEARCH(Recherche!$C$12,M350&amp;" "&amp;F350)))),1,0)</f>
        <v>8</v>
      </c>
    </row>
    <row r="351" customFormat="false" ht="15" hidden="false" customHeight="false" outlineLevel="0" collapsed="false">
      <c r="A351" s="19"/>
      <c r="B351" s="19"/>
      <c r="C351" s="19"/>
      <c r="D351" s="19"/>
      <c r="E351" s="22"/>
      <c r="F351" s="19"/>
      <c r="G351" s="26" t="str">
        <f aca="false">IF(D351="","",IFERROR(VALUE(LEFT(D351,FIND(" |",D351&amp;" |")-1)),"?"))</f>
        <v/>
      </c>
      <c r="H351" s="27" t="str">
        <f aca="false">IF(G351="","",IF(G351="?","⚠ pub inconnue",IFERROR(INDEX(Pubs!$B$2:$B$3001,MATCH(G351,Pubs!$A$2:$A$3001,0))&amp;"","⚠ pub inconnue")))</f>
        <v/>
      </c>
      <c r="I351" s="27" t="str">
        <f aca="false">IF(OR(G351="",G351="?"),"",IFERROR(INDEX(Pubs!$C$2:$C$3001,MATCH(G351,Pubs!$A$2:$A$3001,0))&amp;"",""))</f>
        <v/>
      </c>
      <c r="J351" s="27" t="str">
        <f aca="false">IF(OR(G351="",G351="?"),"",IFERROR(INDEX(Pubs!$G$2:$G$3001,MATCH(G351,Pubs!$A$2:$A$3001,0))&amp;"",""))</f>
        <v/>
      </c>
      <c r="K351" s="28" t="str">
        <f aca="false">IF(OR(G351="",G351="?"),"",IFERROR(INDEX(Pubs!$E$2:$E$3001,MATCH(G351,Pubs!$A$2:$A$3001,0)),""))</f>
        <v/>
      </c>
      <c r="L351" s="29" t="str">
        <f aca="false">IF(A351="","",IFERROR(1/(1/INDEX(Numéros!$C$2:$C$3001,MATCH(A351&amp;"|"&amp;B351,Numéros!$F$2:$F$3001,0))),""))</f>
        <v/>
      </c>
      <c r="M351" s="27" t="str">
        <f aca="false">IF(OR(G351="",G351="?"),"",IFERROR(INDEX(Pubs!$D$2:$D$3001,MATCH(G351,Pubs!$A$2:$A$3001,0))&amp;"",""))</f>
        <v/>
      </c>
      <c r="N351" s="27" t="n">
        <f aca="false">N(N350)+IF(AND(A351&lt;&gt;"",OR(Recherche!$C$4="",A351=Recherche!$C$4),OR(Recherche!$C$5="",B351&amp;""=Recherche!$C$5&amp;""),OR(Recherche!$C$6="",IFERROR(YEAR(L351),0)=Recherche!$C$6),OR(Recherche!$C$7="",ISNUMBER(SEARCH(Recherche!$C$7,H351))),OR(Recherche!$C$8="",J351=Recherche!$C$8),OR(Recherche!$C$9="",I351=Recherche!$C$9),OR(Recherche!$C$10="",G351&amp;""=Recherche!$C$10&amp;""),OR(Recherche!$C$11="",E351=Recherche!$C$11),OR(Recherche!$C$12="",ISNUMBER(SEARCH(Recherche!$C$12,M351&amp;" "&amp;F351)))),1,0)</f>
        <v>8</v>
      </c>
    </row>
    <row r="352" customFormat="false" ht="15" hidden="false" customHeight="false" outlineLevel="0" collapsed="false">
      <c r="A352" s="19"/>
      <c r="B352" s="19"/>
      <c r="C352" s="19"/>
      <c r="D352" s="19"/>
      <c r="E352" s="22"/>
      <c r="F352" s="19"/>
      <c r="G352" s="26" t="str">
        <f aca="false">IF(D352="","",IFERROR(VALUE(LEFT(D352,FIND(" |",D352&amp;" |")-1)),"?"))</f>
        <v/>
      </c>
      <c r="H352" s="27" t="str">
        <f aca="false">IF(G352="","",IF(G352="?","⚠ pub inconnue",IFERROR(INDEX(Pubs!$B$2:$B$3001,MATCH(G352,Pubs!$A$2:$A$3001,0))&amp;"","⚠ pub inconnue")))</f>
        <v/>
      </c>
      <c r="I352" s="27" t="str">
        <f aca="false">IF(OR(G352="",G352="?"),"",IFERROR(INDEX(Pubs!$C$2:$C$3001,MATCH(G352,Pubs!$A$2:$A$3001,0))&amp;"",""))</f>
        <v/>
      </c>
      <c r="J352" s="27" t="str">
        <f aca="false">IF(OR(G352="",G352="?"),"",IFERROR(INDEX(Pubs!$G$2:$G$3001,MATCH(G352,Pubs!$A$2:$A$3001,0))&amp;"",""))</f>
        <v/>
      </c>
      <c r="K352" s="28" t="str">
        <f aca="false">IF(OR(G352="",G352="?"),"",IFERROR(INDEX(Pubs!$E$2:$E$3001,MATCH(G352,Pubs!$A$2:$A$3001,0)),""))</f>
        <v/>
      </c>
      <c r="L352" s="29" t="str">
        <f aca="false">IF(A352="","",IFERROR(1/(1/INDEX(Numéros!$C$2:$C$3001,MATCH(A352&amp;"|"&amp;B352,Numéros!$F$2:$F$3001,0))),""))</f>
        <v/>
      </c>
      <c r="M352" s="27" t="str">
        <f aca="false">IF(OR(G352="",G352="?"),"",IFERROR(INDEX(Pubs!$D$2:$D$3001,MATCH(G352,Pubs!$A$2:$A$3001,0))&amp;"",""))</f>
        <v/>
      </c>
      <c r="N352" s="27" t="n">
        <f aca="false">N(N351)+IF(AND(A352&lt;&gt;"",OR(Recherche!$C$4="",A352=Recherche!$C$4),OR(Recherche!$C$5="",B352&amp;""=Recherche!$C$5&amp;""),OR(Recherche!$C$6="",IFERROR(YEAR(L352),0)=Recherche!$C$6),OR(Recherche!$C$7="",ISNUMBER(SEARCH(Recherche!$C$7,H352))),OR(Recherche!$C$8="",J352=Recherche!$C$8),OR(Recherche!$C$9="",I352=Recherche!$C$9),OR(Recherche!$C$10="",G352&amp;""=Recherche!$C$10&amp;""),OR(Recherche!$C$11="",E352=Recherche!$C$11),OR(Recherche!$C$12="",ISNUMBER(SEARCH(Recherche!$C$12,M352&amp;" "&amp;F352)))),1,0)</f>
        <v>8</v>
      </c>
    </row>
    <row r="353" customFormat="false" ht="15" hidden="false" customHeight="false" outlineLevel="0" collapsed="false">
      <c r="A353" s="19"/>
      <c r="B353" s="19"/>
      <c r="C353" s="19"/>
      <c r="D353" s="19"/>
      <c r="E353" s="22"/>
      <c r="F353" s="19"/>
      <c r="G353" s="26" t="str">
        <f aca="false">IF(D353="","",IFERROR(VALUE(LEFT(D353,FIND(" |",D353&amp;" |")-1)),"?"))</f>
        <v/>
      </c>
      <c r="H353" s="27" t="str">
        <f aca="false">IF(G353="","",IF(G353="?","⚠ pub inconnue",IFERROR(INDEX(Pubs!$B$2:$B$3001,MATCH(G353,Pubs!$A$2:$A$3001,0))&amp;"","⚠ pub inconnue")))</f>
        <v/>
      </c>
      <c r="I353" s="27" t="str">
        <f aca="false">IF(OR(G353="",G353="?"),"",IFERROR(INDEX(Pubs!$C$2:$C$3001,MATCH(G353,Pubs!$A$2:$A$3001,0))&amp;"",""))</f>
        <v/>
      </c>
      <c r="J353" s="27" t="str">
        <f aca="false">IF(OR(G353="",G353="?"),"",IFERROR(INDEX(Pubs!$G$2:$G$3001,MATCH(G353,Pubs!$A$2:$A$3001,0))&amp;"",""))</f>
        <v/>
      </c>
      <c r="K353" s="28" t="str">
        <f aca="false">IF(OR(G353="",G353="?"),"",IFERROR(INDEX(Pubs!$E$2:$E$3001,MATCH(G353,Pubs!$A$2:$A$3001,0)),""))</f>
        <v/>
      </c>
      <c r="L353" s="29" t="str">
        <f aca="false">IF(A353="","",IFERROR(1/(1/INDEX(Numéros!$C$2:$C$3001,MATCH(A353&amp;"|"&amp;B353,Numéros!$F$2:$F$3001,0))),""))</f>
        <v/>
      </c>
      <c r="M353" s="27" t="str">
        <f aca="false">IF(OR(G353="",G353="?"),"",IFERROR(INDEX(Pubs!$D$2:$D$3001,MATCH(G353,Pubs!$A$2:$A$3001,0))&amp;"",""))</f>
        <v/>
      </c>
      <c r="N353" s="27" t="n">
        <f aca="false">N(N352)+IF(AND(A353&lt;&gt;"",OR(Recherche!$C$4="",A353=Recherche!$C$4),OR(Recherche!$C$5="",B353&amp;""=Recherche!$C$5&amp;""),OR(Recherche!$C$6="",IFERROR(YEAR(L353),0)=Recherche!$C$6),OR(Recherche!$C$7="",ISNUMBER(SEARCH(Recherche!$C$7,H353))),OR(Recherche!$C$8="",J353=Recherche!$C$8),OR(Recherche!$C$9="",I353=Recherche!$C$9),OR(Recherche!$C$10="",G353&amp;""=Recherche!$C$10&amp;""),OR(Recherche!$C$11="",E353=Recherche!$C$11),OR(Recherche!$C$12="",ISNUMBER(SEARCH(Recherche!$C$12,M353&amp;" "&amp;F353)))),1,0)</f>
        <v>8</v>
      </c>
    </row>
    <row r="354" customFormat="false" ht="15" hidden="false" customHeight="false" outlineLevel="0" collapsed="false">
      <c r="A354" s="19"/>
      <c r="B354" s="19"/>
      <c r="C354" s="19"/>
      <c r="D354" s="19"/>
      <c r="E354" s="22"/>
      <c r="F354" s="19"/>
      <c r="G354" s="26" t="str">
        <f aca="false">IF(D354="","",IFERROR(VALUE(LEFT(D354,FIND(" |",D354&amp;" |")-1)),"?"))</f>
        <v/>
      </c>
      <c r="H354" s="27" t="str">
        <f aca="false">IF(G354="","",IF(G354="?","⚠ pub inconnue",IFERROR(INDEX(Pubs!$B$2:$B$3001,MATCH(G354,Pubs!$A$2:$A$3001,0))&amp;"","⚠ pub inconnue")))</f>
        <v/>
      </c>
      <c r="I354" s="27" t="str">
        <f aca="false">IF(OR(G354="",G354="?"),"",IFERROR(INDEX(Pubs!$C$2:$C$3001,MATCH(G354,Pubs!$A$2:$A$3001,0))&amp;"",""))</f>
        <v/>
      </c>
      <c r="J354" s="27" t="str">
        <f aca="false">IF(OR(G354="",G354="?"),"",IFERROR(INDEX(Pubs!$G$2:$G$3001,MATCH(G354,Pubs!$A$2:$A$3001,0))&amp;"",""))</f>
        <v/>
      </c>
      <c r="K354" s="28" t="str">
        <f aca="false">IF(OR(G354="",G354="?"),"",IFERROR(INDEX(Pubs!$E$2:$E$3001,MATCH(G354,Pubs!$A$2:$A$3001,0)),""))</f>
        <v/>
      </c>
      <c r="L354" s="29" t="str">
        <f aca="false">IF(A354="","",IFERROR(1/(1/INDEX(Numéros!$C$2:$C$3001,MATCH(A354&amp;"|"&amp;B354,Numéros!$F$2:$F$3001,0))),""))</f>
        <v/>
      </c>
      <c r="M354" s="27" t="str">
        <f aca="false">IF(OR(G354="",G354="?"),"",IFERROR(INDEX(Pubs!$D$2:$D$3001,MATCH(G354,Pubs!$A$2:$A$3001,0))&amp;"",""))</f>
        <v/>
      </c>
      <c r="N354" s="27" t="n">
        <f aca="false">N(N353)+IF(AND(A354&lt;&gt;"",OR(Recherche!$C$4="",A354=Recherche!$C$4),OR(Recherche!$C$5="",B354&amp;""=Recherche!$C$5&amp;""),OR(Recherche!$C$6="",IFERROR(YEAR(L354),0)=Recherche!$C$6),OR(Recherche!$C$7="",ISNUMBER(SEARCH(Recherche!$C$7,H354))),OR(Recherche!$C$8="",J354=Recherche!$C$8),OR(Recherche!$C$9="",I354=Recherche!$C$9),OR(Recherche!$C$10="",G354&amp;""=Recherche!$C$10&amp;""),OR(Recherche!$C$11="",E354=Recherche!$C$11),OR(Recherche!$C$12="",ISNUMBER(SEARCH(Recherche!$C$12,M354&amp;" "&amp;F354)))),1,0)</f>
        <v>8</v>
      </c>
    </row>
    <row r="355" customFormat="false" ht="15" hidden="false" customHeight="false" outlineLevel="0" collapsed="false">
      <c r="A355" s="19"/>
      <c r="B355" s="19"/>
      <c r="C355" s="19"/>
      <c r="D355" s="19"/>
      <c r="E355" s="22"/>
      <c r="F355" s="19"/>
      <c r="G355" s="26" t="str">
        <f aca="false">IF(D355="","",IFERROR(VALUE(LEFT(D355,FIND(" |",D355&amp;" |")-1)),"?"))</f>
        <v/>
      </c>
      <c r="H355" s="27" t="str">
        <f aca="false">IF(G355="","",IF(G355="?","⚠ pub inconnue",IFERROR(INDEX(Pubs!$B$2:$B$3001,MATCH(G355,Pubs!$A$2:$A$3001,0))&amp;"","⚠ pub inconnue")))</f>
        <v/>
      </c>
      <c r="I355" s="27" t="str">
        <f aca="false">IF(OR(G355="",G355="?"),"",IFERROR(INDEX(Pubs!$C$2:$C$3001,MATCH(G355,Pubs!$A$2:$A$3001,0))&amp;"",""))</f>
        <v/>
      </c>
      <c r="J355" s="27" t="str">
        <f aca="false">IF(OR(G355="",G355="?"),"",IFERROR(INDEX(Pubs!$G$2:$G$3001,MATCH(G355,Pubs!$A$2:$A$3001,0))&amp;"",""))</f>
        <v/>
      </c>
      <c r="K355" s="28" t="str">
        <f aca="false">IF(OR(G355="",G355="?"),"",IFERROR(INDEX(Pubs!$E$2:$E$3001,MATCH(G355,Pubs!$A$2:$A$3001,0)),""))</f>
        <v/>
      </c>
      <c r="L355" s="29" t="str">
        <f aca="false">IF(A355="","",IFERROR(1/(1/INDEX(Numéros!$C$2:$C$3001,MATCH(A355&amp;"|"&amp;B355,Numéros!$F$2:$F$3001,0))),""))</f>
        <v/>
      </c>
      <c r="M355" s="27" t="str">
        <f aca="false">IF(OR(G355="",G355="?"),"",IFERROR(INDEX(Pubs!$D$2:$D$3001,MATCH(G355,Pubs!$A$2:$A$3001,0))&amp;"",""))</f>
        <v/>
      </c>
      <c r="N355" s="27" t="n">
        <f aca="false">N(N354)+IF(AND(A355&lt;&gt;"",OR(Recherche!$C$4="",A355=Recherche!$C$4),OR(Recherche!$C$5="",B355&amp;""=Recherche!$C$5&amp;""),OR(Recherche!$C$6="",IFERROR(YEAR(L355),0)=Recherche!$C$6),OR(Recherche!$C$7="",ISNUMBER(SEARCH(Recherche!$C$7,H355))),OR(Recherche!$C$8="",J355=Recherche!$C$8),OR(Recherche!$C$9="",I355=Recherche!$C$9),OR(Recherche!$C$10="",G355&amp;""=Recherche!$C$10&amp;""),OR(Recherche!$C$11="",E355=Recherche!$C$11),OR(Recherche!$C$12="",ISNUMBER(SEARCH(Recherche!$C$12,M355&amp;" "&amp;F355)))),1,0)</f>
        <v>8</v>
      </c>
    </row>
    <row r="356" customFormat="false" ht="15" hidden="false" customHeight="false" outlineLevel="0" collapsed="false">
      <c r="A356" s="19"/>
      <c r="B356" s="19"/>
      <c r="C356" s="19"/>
      <c r="D356" s="19"/>
      <c r="E356" s="22"/>
      <c r="F356" s="19"/>
      <c r="G356" s="26" t="str">
        <f aca="false">IF(D356="","",IFERROR(VALUE(LEFT(D356,FIND(" |",D356&amp;" |")-1)),"?"))</f>
        <v/>
      </c>
      <c r="H356" s="27" t="str">
        <f aca="false">IF(G356="","",IF(G356="?","⚠ pub inconnue",IFERROR(INDEX(Pubs!$B$2:$B$3001,MATCH(G356,Pubs!$A$2:$A$3001,0))&amp;"","⚠ pub inconnue")))</f>
        <v/>
      </c>
      <c r="I356" s="27" t="str">
        <f aca="false">IF(OR(G356="",G356="?"),"",IFERROR(INDEX(Pubs!$C$2:$C$3001,MATCH(G356,Pubs!$A$2:$A$3001,0))&amp;"",""))</f>
        <v/>
      </c>
      <c r="J356" s="27" t="str">
        <f aca="false">IF(OR(G356="",G356="?"),"",IFERROR(INDEX(Pubs!$G$2:$G$3001,MATCH(G356,Pubs!$A$2:$A$3001,0))&amp;"",""))</f>
        <v/>
      </c>
      <c r="K356" s="28" t="str">
        <f aca="false">IF(OR(G356="",G356="?"),"",IFERROR(INDEX(Pubs!$E$2:$E$3001,MATCH(G356,Pubs!$A$2:$A$3001,0)),""))</f>
        <v/>
      </c>
      <c r="L356" s="29" t="str">
        <f aca="false">IF(A356="","",IFERROR(1/(1/INDEX(Numéros!$C$2:$C$3001,MATCH(A356&amp;"|"&amp;B356,Numéros!$F$2:$F$3001,0))),""))</f>
        <v/>
      </c>
      <c r="M356" s="27" t="str">
        <f aca="false">IF(OR(G356="",G356="?"),"",IFERROR(INDEX(Pubs!$D$2:$D$3001,MATCH(G356,Pubs!$A$2:$A$3001,0))&amp;"",""))</f>
        <v/>
      </c>
      <c r="N356" s="27" t="n">
        <f aca="false">N(N355)+IF(AND(A356&lt;&gt;"",OR(Recherche!$C$4="",A356=Recherche!$C$4),OR(Recherche!$C$5="",B356&amp;""=Recherche!$C$5&amp;""),OR(Recherche!$C$6="",IFERROR(YEAR(L356),0)=Recherche!$C$6),OR(Recherche!$C$7="",ISNUMBER(SEARCH(Recherche!$C$7,H356))),OR(Recherche!$C$8="",J356=Recherche!$C$8),OR(Recherche!$C$9="",I356=Recherche!$C$9),OR(Recherche!$C$10="",G356&amp;""=Recherche!$C$10&amp;""),OR(Recherche!$C$11="",E356=Recherche!$C$11),OR(Recherche!$C$12="",ISNUMBER(SEARCH(Recherche!$C$12,M356&amp;" "&amp;F356)))),1,0)</f>
        <v>8</v>
      </c>
    </row>
    <row r="357" customFormat="false" ht="15" hidden="false" customHeight="false" outlineLevel="0" collapsed="false">
      <c r="A357" s="19"/>
      <c r="B357" s="19"/>
      <c r="C357" s="19"/>
      <c r="D357" s="19"/>
      <c r="E357" s="22"/>
      <c r="F357" s="19"/>
      <c r="G357" s="26" t="str">
        <f aca="false">IF(D357="","",IFERROR(VALUE(LEFT(D357,FIND(" |",D357&amp;" |")-1)),"?"))</f>
        <v/>
      </c>
      <c r="H357" s="27" t="str">
        <f aca="false">IF(G357="","",IF(G357="?","⚠ pub inconnue",IFERROR(INDEX(Pubs!$B$2:$B$3001,MATCH(G357,Pubs!$A$2:$A$3001,0))&amp;"","⚠ pub inconnue")))</f>
        <v/>
      </c>
      <c r="I357" s="27" t="str">
        <f aca="false">IF(OR(G357="",G357="?"),"",IFERROR(INDEX(Pubs!$C$2:$C$3001,MATCH(G357,Pubs!$A$2:$A$3001,0))&amp;"",""))</f>
        <v/>
      </c>
      <c r="J357" s="27" t="str">
        <f aca="false">IF(OR(G357="",G357="?"),"",IFERROR(INDEX(Pubs!$G$2:$G$3001,MATCH(G357,Pubs!$A$2:$A$3001,0))&amp;"",""))</f>
        <v/>
      </c>
      <c r="K357" s="28" t="str">
        <f aca="false">IF(OR(G357="",G357="?"),"",IFERROR(INDEX(Pubs!$E$2:$E$3001,MATCH(G357,Pubs!$A$2:$A$3001,0)),""))</f>
        <v/>
      </c>
      <c r="L357" s="29" t="str">
        <f aca="false">IF(A357="","",IFERROR(1/(1/INDEX(Numéros!$C$2:$C$3001,MATCH(A357&amp;"|"&amp;B357,Numéros!$F$2:$F$3001,0))),""))</f>
        <v/>
      </c>
      <c r="M357" s="27" t="str">
        <f aca="false">IF(OR(G357="",G357="?"),"",IFERROR(INDEX(Pubs!$D$2:$D$3001,MATCH(G357,Pubs!$A$2:$A$3001,0))&amp;"",""))</f>
        <v/>
      </c>
      <c r="N357" s="27" t="n">
        <f aca="false">N(N356)+IF(AND(A357&lt;&gt;"",OR(Recherche!$C$4="",A357=Recherche!$C$4),OR(Recherche!$C$5="",B357&amp;""=Recherche!$C$5&amp;""),OR(Recherche!$C$6="",IFERROR(YEAR(L357),0)=Recherche!$C$6),OR(Recherche!$C$7="",ISNUMBER(SEARCH(Recherche!$C$7,H357))),OR(Recherche!$C$8="",J357=Recherche!$C$8),OR(Recherche!$C$9="",I357=Recherche!$C$9),OR(Recherche!$C$10="",G357&amp;""=Recherche!$C$10&amp;""),OR(Recherche!$C$11="",E357=Recherche!$C$11),OR(Recherche!$C$12="",ISNUMBER(SEARCH(Recherche!$C$12,M357&amp;" "&amp;F357)))),1,0)</f>
        <v>8</v>
      </c>
    </row>
    <row r="358" customFormat="false" ht="15" hidden="false" customHeight="false" outlineLevel="0" collapsed="false">
      <c r="A358" s="19"/>
      <c r="B358" s="19"/>
      <c r="C358" s="19"/>
      <c r="D358" s="19"/>
      <c r="E358" s="22"/>
      <c r="F358" s="19"/>
      <c r="G358" s="26" t="str">
        <f aca="false">IF(D358="","",IFERROR(VALUE(LEFT(D358,FIND(" |",D358&amp;" |")-1)),"?"))</f>
        <v/>
      </c>
      <c r="H358" s="27" t="str">
        <f aca="false">IF(G358="","",IF(G358="?","⚠ pub inconnue",IFERROR(INDEX(Pubs!$B$2:$B$3001,MATCH(G358,Pubs!$A$2:$A$3001,0))&amp;"","⚠ pub inconnue")))</f>
        <v/>
      </c>
      <c r="I358" s="27" t="str">
        <f aca="false">IF(OR(G358="",G358="?"),"",IFERROR(INDEX(Pubs!$C$2:$C$3001,MATCH(G358,Pubs!$A$2:$A$3001,0))&amp;"",""))</f>
        <v/>
      </c>
      <c r="J358" s="27" t="str">
        <f aca="false">IF(OR(G358="",G358="?"),"",IFERROR(INDEX(Pubs!$G$2:$G$3001,MATCH(G358,Pubs!$A$2:$A$3001,0))&amp;"",""))</f>
        <v/>
      </c>
      <c r="K358" s="28" t="str">
        <f aca="false">IF(OR(G358="",G358="?"),"",IFERROR(INDEX(Pubs!$E$2:$E$3001,MATCH(G358,Pubs!$A$2:$A$3001,0)),""))</f>
        <v/>
      </c>
      <c r="L358" s="29" t="str">
        <f aca="false">IF(A358="","",IFERROR(1/(1/INDEX(Numéros!$C$2:$C$3001,MATCH(A358&amp;"|"&amp;B358,Numéros!$F$2:$F$3001,0))),""))</f>
        <v/>
      </c>
      <c r="M358" s="27" t="str">
        <f aca="false">IF(OR(G358="",G358="?"),"",IFERROR(INDEX(Pubs!$D$2:$D$3001,MATCH(G358,Pubs!$A$2:$A$3001,0))&amp;"",""))</f>
        <v/>
      </c>
      <c r="N358" s="27" t="n">
        <f aca="false">N(N357)+IF(AND(A358&lt;&gt;"",OR(Recherche!$C$4="",A358=Recherche!$C$4),OR(Recherche!$C$5="",B358&amp;""=Recherche!$C$5&amp;""),OR(Recherche!$C$6="",IFERROR(YEAR(L358),0)=Recherche!$C$6),OR(Recherche!$C$7="",ISNUMBER(SEARCH(Recherche!$C$7,H358))),OR(Recherche!$C$8="",J358=Recherche!$C$8),OR(Recherche!$C$9="",I358=Recherche!$C$9),OR(Recherche!$C$10="",G358&amp;""=Recherche!$C$10&amp;""),OR(Recherche!$C$11="",E358=Recherche!$C$11),OR(Recherche!$C$12="",ISNUMBER(SEARCH(Recherche!$C$12,M358&amp;" "&amp;F358)))),1,0)</f>
        <v>8</v>
      </c>
    </row>
    <row r="359" customFormat="false" ht="15" hidden="false" customHeight="false" outlineLevel="0" collapsed="false">
      <c r="A359" s="19"/>
      <c r="B359" s="19"/>
      <c r="C359" s="19"/>
      <c r="D359" s="19"/>
      <c r="E359" s="22"/>
      <c r="F359" s="19"/>
      <c r="G359" s="26" t="str">
        <f aca="false">IF(D359="","",IFERROR(VALUE(LEFT(D359,FIND(" |",D359&amp;" |")-1)),"?"))</f>
        <v/>
      </c>
      <c r="H359" s="27" t="str">
        <f aca="false">IF(G359="","",IF(G359="?","⚠ pub inconnue",IFERROR(INDEX(Pubs!$B$2:$B$3001,MATCH(G359,Pubs!$A$2:$A$3001,0))&amp;"","⚠ pub inconnue")))</f>
        <v/>
      </c>
      <c r="I359" s="27" t="str">
        <f aca="false">IF(OR(G359="",G359="?"),"",IFERROR(INDEX(Pubs!$C$2:$C$3001,MATCH(G359,Pubs!$A$2:$A$3001,0))&amp;"",""))</f>
        <v/>
      </c>
      <c r="J359" s="27" t="str">
        <f aca="false">IF(OR(G359="",G359="?"),"",IFERROR(INDEX(Pubs!$G$2:$G$3001,MATCH(G359,Pubs!$A$2:$A$3001,0))&amp;"",""))</f>
        <v/>
      </c>
      <c r="K359" s="28" t="str">
        <f aca="false">IF(OR(G359="",G359="?"),"",IFERROR(INDEX(Pubs!$E$2:$E$3001,MATCH(G359,Pubs!$A$2:$A$3001,0)),""))</f>
        <v/>
      </c>
      <c r="L359" s="29" t="str">
        <f aca="false">IF(A359="","",IFERROR(1/(1/INDEX(Numéros!$C$2:$C$3001,MATCH(A359&amp;"|"&amp;B359,Numéros!$F$2:$F$3001,0))),""))</f>
        <v/>
      </c>
      <c r="M359" s="27" t="str">
        <f aca="false">IF(OR(G359="",G359="?"),"",IFERROR(INDEX(Pubs!$D$2:$D$3001,MATCH(G359,Pubs!$A$2:$A$3001,0))&amp;"",""))</f>
        <v/>
      </c>
      <c r="N359" s="27" t="n">
        <f aca="false">N(N358)+IF(AND(A359&lt;&gt;"",OR(Recherche!$C$4="",A359=Recherche!$C$4),OR(Recherche!$C$5="",B359&amp;""=Recherche!$C$5&amp;""),OR(Recherche!$C$6="",IFERROR(YEAR(L359),0)=Recherche!$C$6),OR(Recherche!$C$7="",ISNUMBER(SEARCH(Recherche!$C$7,H359))),OR(Recherche!$C$8="",J359=Recherche!$C$8),OR(Recherche!$C$9="",I359=Recherche!$C$9),OR(Recherche!$C$10="",G359&amp;""=Recherche!$C$10&amp;""),OR(Recherche!$C$11="",E359=Recherche!$C$11),OR(Recherche!$C$12="",ISNUMBER(SEARCH(Recherche!$C$12,M359&amp;" "&amp;F359)))),1,0)</f>
        <v>8</v>
      </c>
    </row>
    <row r="360" customFormat="false" ht="15" hidden="false" customHeight="false" outlineLevel="0" collapsed="false">
      <c r="A360" s="19"/>
      <c r="B360" s="19"/>
      <c r="C360" s="19"/>
      <c r="D360" s="19"/>
      <c r="E360" s="22"/>
      <c r="F360" s="19"/>
      <c r="G360" s="26" t="str">
        <f aca="false">IF(D360="","",IFERROR(VALUE(LEFT(D360,FIND(" |",D360&amp;" |")-1)),"?"))</f>
        <v/>
      </c>
      <c r="H360" s="27" t="str">
        <f aca="false">IF(G360="","",IF(G360="?","⚠ pub inconnue",IFERROR(INDEX(Pubs!$B$2:$B$3001,MATCH(G360,Pubs!$A$2:$A$3001,0))&amp;"","⚠ pub inconnue")))</f>
        <v/>
      </c>
      <c r="I360" s="27" t="str">
        <f aca="false">IF(OR(G360="",G360="?"),"",IFERROR(INDEX(Pubs!$C$2:$C$3001,MATCH(G360,Pubs!$A$2:$A$3001,0))&amp;"",""))</f>
        <v/>
      </c>
      <c r="J360" s="27" t="str">
        <f aca="false">IF(OR(G360="",G360="?"),"",IFERROR(INDEX(Pubs!$G$2:$G$3001,MATCH(G360,Pubs!$A$2:$A$3001,0))&amp;"",""))</f>
        <v/>
      </c>
      <c r="K360" s="28" t="str">
        <f aca="false">IF(OR(G360="",G360="?"),"",IFERROR(INDEX(Pubs!$E$2:$E$3001,MATCH(G360,Pubs!$A$2:$A$3001,0)),""))</f>
        <v/>
      </c>
      <c r="L360" s="29" t="str">
        <f aca="false">IF(A360="","",IFERROR(1/(1/INDEX(Numéros!$C$2:$C$3001,MATCH(A360&amp;"|"&amp;B360,Numéros!$F$2:$F$3001,0))),""))</f>
        <v/>
      </c>
      <c r="M360" s="27" t="str">
        <f aca="false">IF(OR(G360="",G360="?"),"",IFERROR(INDEX(Pubs!$D$2:$D$3001,MATCH(G360,Pubs!$A$2:$A$3001,0))&amp;"",""))</f>
        <v/>
      </c>
      <c r="N360" s="27" t="n">
        <f aca="false">N(N359)+IF(AND(A360&lt;&gt;"",OR(Recherche!$C$4="",A360=Recherche!$C$4),OR(Recherche!$C$5="",B360&amp;""=Recherche!$C$5&amp;""),OR(Recherche!$C$6="",IFERROR(YEAR(L360),0)=Recherche!$C$6),OR(Recherche!$C$7="",ISNUMBER(SEARCH(Recherche!$C$7,H360))),OR(Recherche!$C$8="",J360=Recherche!$C$8),OR(Recherche!$C$9="",I360=Recherche!$C$9),OR(Recherche!$C$10="",G360&amp;""=Recherche!$C$10&amp;""),OR(Recherche!$C$11="",E360=Recherche!$C$11),OR(Recherche!$C$12="",ISNUMBER(SEARCH(Recherche!$C$12,M360&amp;" "&amp;F360)))),1,0)</f>
        <v>8</v>
      </c>
    </row>
    <row r="361" customFormat="false" ht="15" hidden="false" customHeight="false" outlineLevel="0" collapsed="false">
      <c r="A361" s="19"/>
      <c r="B361" s="19"/>
      <c r="C361" s="19"/>
      <c r="D361" s="19"/>
      <c r="E361" s="22"/>
      <c r="F361" s="19"/>
      <c r="G361" s="26" t="str">
        <f aca="false">IF(D361="","",IFERROR(VALUE(LEFT(D361,FIND(" |",D361&amp;" |")-1)),"?"))</f>
        <v/>
      </c>
      <c r="H361" s="27" t="str">
        <f aca="false">IF(G361="","",IF(G361="?","⚠ pub inconnue",IFERROR(INDEX(Pubs!$B$2:$B$3001,MATCH(G361,Pubs!$A$2:$A$3001,0))&amp;"","⚠ pub inconnue")))</f>
        <v/>
      </c>
      <c r="I361" s="27" t="str">
        <f aca="false">IF(OR(G361="",G361="?"),"",IFERROR(INDEX(Pubs!$C$2:$C$3001,MATCH(G361,Pubs!$A$2:$A$3001,0))&amp;"",""))</f>
        <v/>
      </c>
      <c r="J361" s="27" t="str">
        <f aca="false">IF(OR(G361="",G361="?"),"",IFERROR(INDEX(Pubs!$G$2:$G$3001,MATCH(G361,Pubs!$A$2:$A$3001,0))&amp;"",""))</f>
        <v/>
      </c>
      <c r="K361" s="28" t="str">
        <f aca="false">IF(OR(G361="",G361="?"),"",IFERROR(INDEX(Pubs!$E$2:$E$3001,MATCH(G361,Pubs!$A$2:$A$3001,0)),""))</f>
        <v/>
      </c>
      <c r="L361" s="29" t="str">
        <f aca="false">IF(A361="","",IFERROR(1/(1/INDEX(Numéros!$C$2:$C$3001,MATCH(A361&amp;"|"&amp;B361,Numéros!$F$2:$F$3001,0))),""))</f>
        <v/>
      </c>
      <c r="M361" s="27" t="str">
        <f aca="false">IF(OR(G361="",G361="?"),"",IFERROR(INDEX(Pubs!$D$2:$D$3001,MATCH(G361,Pubs!$A$2:$A$3001,0))&amp;"",""))</f>
        <v/>
      </c>
      <c r="N361" s="27" t="n">
        <f aca="false">N(N360)+IF(AND(A361&lt;&gt;"",OR(Recherche!$C$4="",A361=Recherche!$C$4),OR(Recherche!$C$5="",B361&amp;""=Recherche!$C$5&amp;""),OR(Recherche!$C$6="",IFERROR(YEAR(L361),0)=Recherche!$C$6),OR(Recherche!$C$7="",ISNUMBER(SEARCH(Recherche!$C$7,H361))),OR(Recherche!$C$8="",J361=Recherche!$C$8),OR(Recherche!$C$9="",I361=Recherche!$C$9),OR(Recherche!$C$10="",G361&amp;""=Recherche!$C$10&amp;""),OR(Recherche!$C$11="",E361=Recherche!$C$11),OR(Recherche!$C$12="",ISNUMBER(SEARCH(Recherche!$C$12,M361&amp;" "&amp;F361)))),1,0)</f>
        <v>8</v>
      </c>
    </row>
    <row r="362" customFormat="false" ht="15" hidden="false" customHeight="false" outlineLevel="0" collapsed="false">
      <c r="A362" s="19"/>
      <c r="B362" s="19"/>
      <c r="C362" s="19"/>
      <c r="D362" s="19"/>
      <c r="E362" s="22"/>
      <c r="F362" s="19"/>
      <c r="G362" s="26" t="str">
        <f aca="false">IF(D362="","",IFERROR(VALUE(LEFT(D362,FIND(" |",D362&amp;" |")-1)),"?"))</f>
        <v/>
      </c>
      <c r="H362" s="27" t="str">
        <f aca="false">IF(G362="","",IF(G362="?","⚠ pub inconnue",IFERROR(INDEX(Pubs!$B$2:$B$3001,MATCH(G362,Pubs!$A$2:$A$3001,0))&amp;"","⚠ pub inconnue")))</f>
        <v/>
      </c>
      <c r="I362" s="27" t="str">
        <f aca="false">IF(OR(G362="",G362="?"),"",IFERROR(INDEX(Pubs!$C$2:$C$3001,MATCH(G362,Pubs!$A$2:$A$3001,0))&amp;"",""))</f>
        <v/>
      </c>
      <c r="J362" s="27" t="str">
        <f aca="false">IF(OR(G362="",G362="?"),"",IFERROR(INDEX(Pubs!$G$2:$G$3001,MATCH(G362,Pubs!$A$2:$A$3001,0))&amp;"",""))</f>
        <v/>
      </c>
      <c r="K362" s="28" t="str">
        <f aca="false">IF(OR(G362="",G362="?"),"",IFERROR(INDEX(Pubs!$E$2:$E$3001,MATCH(G362,Pubs!$A$2:$A$3001,0)),""))</f>
        <v/>
      </c>
      <c r="L362" s="29" t="str">
        <f aca="false">IF(A362="","",IFERROR(1/(1/INDEX(Numéros!$C$2:$C$3001,MATCH(A362&amp;"|"&amp;B362,Numéros!$F$2:$F$3001,0))),""))</f>
        <v/>
      </c>
      <c r="M362" s="27" t="str">
        <f aca="false">IF(OR(G362="",G362="?"),"",IFERROR(INDEX(Pubs!$D$2:$D$3001,MATCH(G362,Pubs!$A$2:$A$3001,0))&amp;"",""))</f>
        <v/>
      </c>
      <c r="N362" s="27" t="n">
        <f aca="false">N(N361)+IF(AND(A362&lt;&gt;"",OR(Recherche!$C$4="",A362=Recherche!$C$4),OR(Recherche!$C$5="",B362&amp;""=Recherche!$C$5&amp;""),OR(Recherche!$C$6="",IFERROR(YEAR(L362),0)=Recherche!$C$6),OR(Recherche!$C$7="",ISNUMBER(SEARCH(Recherche!$C$7,H362))),OR(Recherche!$C$8="",J362=Recherche!$C$8),OR(Recherche!$C$9="",I362=Recherche!$C$9),OR(Recherche!$C$10="",G362&amp;""=Recherche!$C$10&amp;""),OR(Recherche!$C$11="",E362=Recherche!$C$11),OR(Recherche!$C$12="",ISNUMBER(SEARCH(Recherche!$C$12,M362&amp;" "&amp;F362)))),1,0)</f>
        <v>8</v>
      </c>
    </row>
    <row r="363" customFormat="false" ht="15" hidden="false" customHeight="false" outlineLevel="0" collapsed="false">
      <c r="A363" s="19"/>
      <c r="B363" s="19"/>
      <c r="C363" s="19"/>
      <c r="D363" s="19"/>
      <c r="E363" s="22"/>
      <c r="F363" s="19"/>
      <c r="G363" s="26" t="str">
        <f aca="false">IF(D363="","",IFERROR(VALUE(LEFT(D363,FIND(" |",D363&amp;" |")-1)),"?"))</f>
        <v/>
      </c>
      <c r="H363" s="27" t="str">
        <f aca="false">IF(G363="","",IF(G363="?","⚠ pub inconnue",IFERROR(INDEX(Pubs!$B$2:$B$3001,MATCH(G363,Pubs!$A$2:$A$3001,0))&amp;"","⚠ pub inconnue")))</f>
        <v/>
      </c>
      <c r="I363" s="27" t="str">
        <f aca="false">IF(OR(G363="",G363="?"),"",IFERROR(INDEX(Pubs!$C$2:$C$3001,MATCH(G363,Pubs!$A$2:$A$3001,0))&amp;"",""))</f>
        <v/>
      </c>
      <c r="J363" s="27" t="str">
        <f aca="false">IF(OR(G363="",G363="?"),"",IFERROR(INDEX(Pubs!$G$2:$G$3001,MATCH(G363,Pubs!$A$2:$A$3001,0))&amp;"",""))</f>
        <v/>
      </c>
      <c r="K363" s="28" t="str">
        <f aca="false">IF(OR(G363="",G363="?"),"",IFERROR(INDEX(Pubs!$E$2:$E$3001,MATCH(G363,Pubs!$A$2:$A$3001,0)),""))</f>
        <v/>
      </c>
      <c r="L363" s="29" t="str">
        <f aca="false">IF(A363="","",IFERROR(1/(1/INDEX(Numéros!$C$2:$C$3001,MATCH(A363&amp;"|"&amp;B363,Numéros!$F$2:$F$3001,0))),""))</f>
        <v/>
      </c>
      <c r="M363" s="27" t="str">
        <f aca="false">IF(OR(G363="",G363="?"),"",IFERROR(INDEX(Pubs!$D$2:$D$3001,MATCH(G363,Pubs!$A$2:$A$3001,0))&amp;"",""))</f>
        <v/>
      </c>
      <c r="N363" s="27" t="n">
        <f aca="false">N(N362)+IF(AND(A363&lt;&gt;"",OR(Recherche!$C$4="",A363=Recherche!$C$4),OR(Recherche!$C$5="",B363&amp;""=Recherche!$C$5&amp;""),OR(Recherche!$C$6="",IFERROR(YEAR(L363),0)=Recherche!$C$6),OR(Recherche!$C$7="",ISNUMBER(SEARCH(Recherche!$C$7,H363))),OR(Recherche!$C$8="",J363=Recherche!$C$8),OR(Recherche!$C$9="",I363=Recherche!$C$9),OR(Recherche!$C$10="",G363&amp;""=Recherche!$C$10&amp;""),OR(Recherche!$C$11="",E363=Recherche!$C$11),OR(Recherche!$C$12="",ISNUMBER(SEARCH(Recherche!$C$12,M363&amp;" "&amp;F363)))),1,0)</f>
        <v>8</v>
      </c>
    </row>
    <row r="364" customFormat="false" ht="15" hidden="false" customHeight="false" outlineLevel="0" collapsed="false">
      <c r="A364" s="19"/>
      <c r="B364" s="19"/>
      <c r="C364" s="19"/>
      <c r="D364" s="19"/>
      <c r="E364" s="22"/>
      <c r="F364" s="19"/>
      <c r="G364" s="26" t="str">
        <f aca="false">IF(D364="","",IFERROR(VALUE(LEFT(D364,FIND(" |",D364&amp;" |")-1)),"?"))</f>
        <v/>
      </c>
      <c r="H364" s="27" t="str">
        <f aca="false">IF(G364="","",IF(G364="?","⚠ pub inconnue",IFERROR(INDEX(Pubs!$B$2:$B$3001,MATCH(G364,Pubs!$A$2:$A$3001,0))&amp;"","⚠ pub inconnue")))</f>
        <v/>
      </c>
      <c r="I364" s="27" t="str">
        <f aca="false">IF(OR(G364="",G364="?"),"",IFERROR(INDEX(Pubs!$C$2:$C$3001,MATCH(G364,Pubs!$A$2:$A$3001,0))&amp;"",""))</f>
        <v/>
      </c>
      <c r="J364" s="27" t="str">
        <f aca="false">IF(OR(G364="",G364="?"),"",IFERROR(INDEX(Pubs!$G$2:$G$3001,MATCH(G364,Pubs!$A$2:$A$3001,0))&amp;"",""))</f>
        <v/>
      </c>
      <c r="K364" s="28" t="str">
        <f aca="false">IF(OR(G364="",G364="?"),"",IFERROR(INDEX(Pubs!$E$2:$E$3001,MATCH(G364,Pubs!$A$2:$A$3001,0)),""))</f>
        <v/>
      </c>
      <c r="L364" s="29" t="str">
        <f aca="false">IF(A364="","",IFERROR(1/(1/INDEX(Numéros!$C$2:$C$3001,MATCH(A364&amp;"|"&amp;B364,Numéros!$F$2:$F$3001,0))),""))</f>
        <v/>
      </c>
      <c r="M364" s="27" t="str">
        <f aca="false">IF(OR(G364="",G364="?"),"",IFERROR(INDEX(Pubs!$D$2:$D$3001,MATCH(G364,Pubs!$A$2:$A$3001,0))&amp;"",""))</f>
        <v/>
      </c>
      <c r="N364" s="27" t="n">
        <f aca="false">N(N363)+IF(AND(A364&lt;&gt;"",OR(Recherche!$C$4="",A364=Recherche!$C$4),OR(Recherche!$C$5="",B364&amp;""=Recherche!$C$5&amp;""),OR(Recherche!$C$6="",IFERROR(YEAR(L364),0)=Recherche!$C$6),OR(Recherche!$C$7="",ISNUMBER(SEARCH(Recherche!$C$7,H364))),OR(Recherche!$C$8="",J364=Recherche!$C$8),OR(Recherche!$C$9="",I364=Recherche!$C$9),OR(Recherche!$C$10="",G364&amp;""=Recherche!$C$10&amp;""),OR(Recherche!$C$11="",E364=Recherche!$C$11),OR(Recherche!$C$12="",ISNUMBER(SEARCH(Recherche!$C$12,M364&amp;" "&amp;F364)))),1,0)</f>
        <v>8</v>
      </c>
    </row>
    <row r="365" customFormat="false" ht="15" hidden="false" customHeight="false" outlineLevel="0" collapsed="false">
      <c r="A365" s="19"/>
      <c r="B365" s="19"/>
      <c r="C365" s="19"/>
      <c r="D365" s="19"/>
      <c r="E365" s="22"/>
      <c r="F365" s="19"/>
      <c r="G365" s="26" t="str">
        <f aca="false">IF(D365="","",IFERROR(VALUE(LEFT(D365,FIND(" |",D365&amp;" |")-1)),"?"))</f>
        <v/>
      </c>
      <c r="H365" s="27" t="str">
        <f aca="false">IF(G365="","",IF(G365="?","⚠ pub inconnue",IFERROR(INDEX(Pubs!$B$2:$B$3001,MATCH(G365,Pubs!$A$2:$A$3001,0))&amp;"","⚠ pub inconnue")))</f>
        <v/>
      </c>
      <c r="I365" s="27" t="str">
        <f aca="false">IF(OR(G365="",G365="?"),"",IFERROR(INDEX(Pubs!$C$2:$C$3001,MATCH(G365,Pubs!$A$2:$A$3001,0))&amp;"",""))</f>
        <v/>
      </c>
      <c r="J365" s="27" t="str">
        <f aca="false">IF(OR(G365="",G365="?"),"",IFERROR(INDEX(Pubs!$G$2:$G$3001,MATCH(G365,Pubs!$A$2:$A$3001,0))&amp;"",""))</f>
        <v/>
      </c>
      <c r="K365" s="28" t="str">
        <f aca="false">IF(OR(G365="",G365="?"),"",IFERROR(INDEX(Pubs!$E$2:$E$3001,MATCH(G365,Pubs!$A$2:$A$3001,0)),""))</f>
        <v/>
      </c>
      <c r="L365" s="29" t="str">
        <f aca="false">IF(A365="","",IFERROR(1/(1/INDEX(Numéros!$C$2:$C$3001,MATCH(A365&amp;"|"&amp;B365,Numéros!$F$2:$F$3001,0))),""))</f>
        <v/>
      </c>
      <c r="M365" s="27" t="str">
        <f aca="false">IF(OR(G365="",G365="?"),"",IFERROR(INDEX(Pubs!$D$2:$D$3001,MATCH(G365,Pubs!$A$2:$A$3001,0))&amp;"",""))</f>
        <v/>
      </c>
      <c r="N365" s="27" t="n">
        <f aca="false">N(N364)+IF(AND(A365&lt;&gt;"",OR(Recherche!$C$4="",A365=Recherche!$C$4),OR(Recherche!$C$5="",B365&amp;""=Recherche!$C$5&amp;""),OR(Recherche!$C$6="",IFERROR(YEAR(L365),0)=Recherche!$C$6),OR(Recherche!$C$7="",ISNUMBER(SEARCH(Recherche!$C$7,H365))),OR(Recherche!$C$8="",J365=Recherche!$C$8),OR(Recherche!$C$9="",I365=Recherche!$C$9),OR(Recherche!$C$10="",G365&amp;""=Recherche!$C$10&amp;""),OR(Recherche!$C$11="",E365=Recherche!$C$11),OR(Recherche!$C$12="",ISNUMBER(SEARCH(Recherche!$C$12,M365&amp;" "&amp;F365)))),1,0)</f>
        <v>8</v>
      </c>
    </row>
    <row r="366" customFormat="false" ht="15" hidden="false" customHeight="false" outlineLevel="0" collapsed="false">
      <c r="A366" s="19"/>
      <c r="B366" s="19"/>
      <c r="C366" s="19"/>
      <c r="D366" s="19"/>
      <c r="E366" s="22"/>
      <c r="F366" s="19"/>
      <c r="G366" s="26" t="str">
        <f aca="false">IF(D366="","",IFERROR(VALUE(LEFT(D366,FIND(" |",D366&amp;" |")-1)),"?"))</f>
        <v/>
      </c>
      <c r="H366" s="27" t="str">
        <f aca="false">IF(G366="","",IF(G366="?","⚠ pub inconnue",IFERROR(INDEX(Pubs!$B$2:$B$3001,MATCH(G366,Pubs!$A$2:$A$3001,0))&amp;"","⚠ pub inconnue")))</f>
        <v/>
      </c>
      <c r="I366" s="27" t="str">
        <f aca="false">IF(OR(G366="",G366="?"),"",IFERROR(INDEX(Pubs!$C$2:$C$3001,MATCH(G366,Pubs!$A$2:$A$3001,0))&amp;"",""))</f>
        <v/>
      </c>
      <c r="J366" s="27" t="str">
        <f aca="false">IF(OR(G366="",G366="?"),"",IFERROR(INDEX(Pubs!$G$2:$G$3001,MATCH(G366,Pubs!$A$2:$A$3001,0))&amp;"",""))</f>
        <v/>
      </c>
      <c r="K366" s="28" t="str">
        <f aca="false">IF(OR(G366="",G366="?"),"",IFERROR(INDEX(Pubs!$E$2:$E$3001,MATCH(G366,Pubs!$A$2:$A$3001,0)),""))</f>
        <v/>
      </c>
      <c r="L366" s="29" t="str">
        <f aca="false">IF(A366="","",IFERROR(1/(1/INDEX(Numéros!$C$2:$C$3001,MATCH(A366&amp;"|"&amp;B366,Numéros!$F$2:$F$3001,0))),""))</f>
        <v/>
      </c>
      <c r="M366" s="27" t="str">
        <f aca="false">IF(OR(G366="",G366="?"),"",IFERROR(INDEX(Pubs!$D$2:$D$3001,MATCH(G366,Pubs!$A$2:$A$3001,0))&amp;"",""))</f>
        <v/>
      </c>
      <c r="N366" s="27" t="n">
        <f aca="false">N(N365)+IF(AND(A366&lt;&gt;"",OR(Recherche!$C$4="",A366=Recherche!$C$4),OR(Recherche!$C$5="",B366&amp;""=Recherche!$C$5&amp;""),OR(Recherche!$C$6="",IFERROR(YEAR(L366),0)=Recherche!$C$6),OR(Recherche!$C$7="",ISNUMBER(SEARCH(Recherche!$C$7,H366))),OR(Recherche!$C$8="",J366=Recherche!$C$8),OR(Recherche!$C$9="",I366=Recherche!$C$9),OR(Recherche!$C$10="",G366&amp;""=Recherche!$C$10&amp;""),OR(Recherche!$C$11="",E366=Recherche!$C$11),OR(Recherche!$C$12="",ISNUMBER(SEARCH(Recherche!$C$12,M366&amp;" "&amp;F366)))),1,0)</f>
        <v>8</v>
      </c>
    </row>
    <row r="367" customFormat="false" ht="15" hidden="false" customHeight="false" outlineLevel="0" collapsed="false">
      <c r="A367" s="19"/>
      <c r="B367" s="19"/>
      <c r="C367" s="19"/>
      <c r="D367" s="19"/>
      <c r="E367" s="22"/>
      <c r="F367" s="19"/>
      <c r="G367" s="26" t="str">
        <f aca="false">IF(D367="","",IFERROR(VALUE(LEFT(D367,FIND(" |",D367&amp;" |")-1)),"?"))</f>
        <v/>
      </c>
      <c r="H367" s="27" t="str">
        <f aca="false">IF(G367="","",IF(G367="?","⚠ pub inconnue",IFERROR(INDEX(Pubs!$B$2:$B$3001,MATCH(G367,Pubs!$A$2:$A$3001,0))&amp;"","⚠ pub inconnue")))</f>
        <v/>
      </c>
      <c r="I367" s="27" t="str">
        <f aca="false">IF(OR(G367="",G367="?"),"",IFERROR(INDEX(Pubs!$C$2:$C$3001,MATCH(G367,Pubs!$A$2:$A$3001,0))&amp;"",""))</f>
        <v/>
      </c>
      <c r="J367" s="27" t="str">
        <f aca="false">IF(OR(G367="",G367="?"),"",IFERROR(INDEX(Pubs!$G$2:$G$3001,MATCH(G367,Pubs!$A$2:$A$3001,0))&amp;"",""))</f>
        <v/>
      </c>
      <c r="K367" s="28" t="str">
        <f aca="false">IF(OR(G367="",G367="?"),"",IFERROR(INDEX(Pubs!$E$2:$E$3001,MATCH(G367,Pubs!$A$2:$A$3001,0)),""))</f>
        <v/>
      </c>
      <c r="L367" s="29" t="str">
        <f aca="false">IF(A367="","",IFERROR(1/(1/INDEX(Numéros!$C$2:$C$3001,MATCH(A367&amp;"|"&amp;B367,Numéros!$F$2:$F$3001,0))),""))</f>
        <v/>
      </c>
      <c r="M367" s="27" t="str">
        <f aca="false">IF(OR(G367="",G367="?"),"",IFERROR(INDEX(Pubs!$D$2:$D$3001,MATCH(G367,Pubs!$A$2:$A$3001,0))&amp;"",""))</f>
        <v/>
      </c>
      <c r="N367" s="27" t="n">
        <f aca="false">N(N366)+IF(AND(A367&lt;&gt;"",OR(Recherche!$C$4="",A367=Recherche!$C$4),OR(Recherche!$C$5="",B367&amp;""=Recherche!$C$5&amp;""),OR(Recherche!$C$6="",IFERROR(YEAR(L367),0)=Recherche!$C$6),OR(Recherche!$C$7="",ISNUMBER(SEARCH(Recherche!$C$7,H367))),OR(Recherche!$C$8="",J367=Recherche!$C$8),OR(Recherche!$C$9="",I367=Recherche!$C$9),OR(Recherche!$C$10="",G367&amp;""=Recherche!$C$10&amp;""),OR(Recherche!$C$11="",E367=Recherche!$C$11),OR(Recherche!$C$12="",ISNUMBER(SEARCH(Recherche!$C$12,M367&amp;" "&amp;F367)))),1,0)</f>
        <v>8</v>
      </c>
    </row>
    <row r="368" customFormat="false" ht="15" hidden="false" customHeight="false" outlineLevel="0" collapsed="false">
      <c r="A368" s="19"/>
      <c r="B368" s="19"/>
      <c r="C368" s="19"/>
      <c r="D368" s="19"/>
      <c r="E368" s="22"/>
      <c r="F368" s="19"/>
      <c r="G368" s="26" t="str">
        <f aca="false">IF(D368="","",IFERROR(VALUE(LEFT(D368,FIND(" |",D368&amp;" |")-1)),"?"))</f>
        <v/>
      </c>
      <c r="H368" s="27" t="str">
        <f aca="false">IF(G368="","",IF(G368="?","⚠ pub inconnue",IFERROR(INDEX(Pubs!$B$2:$B$3001,MATCH(G368,Pubs!$A$2:$A$3001,0))&amp;"","⚠ pub inconnue")))</f>
        <v/>
      </c>
      <c r="I368" s="27" t="str">
        <f aca="false">IF(OR(G368="",G368="?"),"",IFERROR(INDEX(Pubs!$C$2:$C$3001,MATCH(G368,Pubs!$A$2:$A$3001,0))&amp;"",""))</f>
        <v/>
      </c>
      <c r="J368" s="27" t="str">
        <f aca="false">IF(OR(G368="",G368="?"),"",IFERROR(INDEX(Pubs!$G$2:$G$3001,MATCH(G368,Pubs!$A$2:$A$3001,0))&amp;"",""))</f>
        <v/>
      </c>
      <c r="K368" s="28" t="str">
        <f aca="false">IF(OR(G368="",G368="?"),"",IFERROR(INDEX(Pubs!$E$2:$E$3001,MATCH(G368,Pubs!$A$2:$A$3001,0)),""))</f>
        <v/>
      </c>
      <c r="L368" s="29" t="str">
        <f aca="false">IF(A368="","",IFERROR(1/(1/INDEX(Numéros!$C$2:$C$3001,MATCH(A368&amp;"|"&amp;B368,Numéros!$F$2:$F$3001,0))),""))</f>
        <v/>
      </c>
      <c r="M368" s="27" t="str">
        <f aca="false">IF(OR(G368="",G368="?"),"",IFERROR(INDEX(Pubs!$D$2:$D$3001,MATCH(G368,Pubs!$A$2:$A$3001,0))&amp;"",""))</f>
        <v/>
      </c>
      <c r="N368" s="27" t="n">
        <f aca="false">N(N367)+IF(AND(A368&lt;&gt;"",OR(Recherche!$C$4="",A368=Recherche!$C$4),OR(Recherche!$C$5="",B368&amp;""=Recherche!$C$5&amp;""),OR(Recherche!$C$6="",IFERROR(YEAR(L368),0)=Recherche!$C$6),OR(Recherche!$C$7="",ISNUMBER(SEARCH(Recherche!$C$7,H368))),OR(Recherche!$C$8="",J368=Recherche!$C$8),OR(Recherche!$C$9="",I368=Recherche!$C$9),OR(Recherche!$C$10="",G368&amp;""=Recherche!$C$10&amp;""),OR(Recherche!$C$11="",E368=Recherche!$C$11),OR(Recherche!$C$12="",ISNUMBER(SEARCH(Recherche!$C$12,M368&amp;" "&amp;F368)))),1,0)</f>
        <v>8</v>
      </c>
    </row>
    <row r="369" customFormat="false" ht="15" hidden="false" customHeight="false" outlineLevel="0" collapsed="false">
      <c r="A369" s="19"/>
      <c r="B369" s="19"/>
      <c r="C369" s="19"/>
      <c r="D369" s="19"/>
      <c r="E369" s="22"/>
      <c r="F369" s="19"/>
      <c r="G369" s="26" t="str">
        <f aca="false">IF(D369="","",IFERROR(VALUE(LEFT(D369,FIND(" |",D369&amp;" |")-1)),"?"))</f>
        <v/>
      </c>
      <c r="H369" s="27" t="str">
        <f aca="false">IF(G369="","",IF(G369="?","⚠ pub inconnue",IFERROR(INDEX(Pubs!$B$2:$B$3001,MATCH(G369,Pubs!$A$2:$A$3001,0))&amp;"","⚠ pub inconnue")))</f>
        <v/>
      </c>
      <c r="I369" s="27" t="str">
        <f aca="false">IF(OR(G369="",G369="?"),"",IFERROR(INDEX(Pubs!$C$2:$C$3001,MATCH(G369,Pubs!$A$2:$A$3001,0))&amp;"",""))</f>
        <v/>
      </c>
      <c r="J369" s="27" t="str">
        <f aca="false">IF(OR(G369="",G369="?"),"",IFERROR(INDEX(Pubs!$G$2:$G$3001,MATCH(G369,Pubs!$A$2:$A$3001,0))&amp;"",""))</f>
        <v/>
      </c>
      <c r="K369" s="28" t="str">
        <f aca="false">IF(OR(G369="",G369="?"),"",IFERROR(INDEX(Pubs!$E$2:$E$3001,MATCH(G369,Pubs!$A$2:$A$3001,0)),""))</f>
        <v/>
      </c>
      <c r="L369" s="29" t="str">
        <f aca="false">IF(A369="","",IFERROR(1/(1/INDEX(Numéros!$C$2:$C$3001,MATCH(A369&amp;"|"&amp;B369,Numéros!$F$2:$F$3001,0))),""))</f>
        <v/>
      </c>
      <c r="M369" s="27" t="str">
        <f aca="false">IF(OR(G369="",G369="?"),"",IFERROR(INDEX(Pubs!$D$2:$D$3001,MATCH(G369,Pubs!$A$2:$A$3001,0))&amp;"",""))</f>
        <v/>
      </c>
      <c r="N369" s="27" t="n">
        <f aca="false">N(N368)+IF(AND(A369&lt;&gt;"",OR(Recherche!$C$4="",A369=Recherche!$C$4),OR(Recherche!$C$5="",B369&amp;""=Recherche!$C$5&amp;""),OR(Recherche!$C$6="",IFERROR(YEAR(L369),0)=Recherche!$C$6),OR(Recherche!$C$7="",ISNUMBER(SEARCH(Recherche!$C$7,H369))),OR(Recherche!$C$8="",J369=Recherche!$C$8),OR(Recherche!$C$9="",I369=Recherche!$C$9),OR(Recherche!$C$10="",G369&amp;""=Recherche!$C$10&amp;""),OR(Recherche!$C$11="",E369=Recherche!$C$11),OR(Recherche!$C$12="",ISNUMBER(SEARCH(Recherche!$C$12,M369&amp;" "&amp;F369)))),1,0)</f>
        <v>8</v>
      </c>
    </row>
    <row r="370" customFormat="false" ht="15" hidden="false" customHeight="false" outlineLevel="0" collapsed="false">
      <c r="A370" s="19"/>
      <c r="B370" s="19"/>
      <c r="C370" s="19"/>
      <c r="D370" s="19"/>
      <c r="E370" s="22"/>
      <c r="F370" s="19"/>
      <c r="G370" s="26" t="str">
        <f aca="false">IF(D370="","",IFERROR(VALUE(LEFT(D370,FIND(" |",D370&amp;" |")-1)),"?"))</f>
        <v/>
      </c>
      <c r="H370" s="27" t="str">
        <f aca="false">IF(G370="","",IF(G370="?","⚠ pub inconnue",IFERROR(INDEX(Pubs!$B$2:$B$3001,MATCH(G370,Pubs!$A$2:$A$3001,0))&amp;"","⚠ pub inconnue")))</f>
        <v/>
      </c>
      <c r="I370" s="27" t="str">
        <f aca="false">IF(OR(G370="",G370="?"),"",IFERROR(INDEX(Pubs!$C$2:$C$3001,MATCH(G370,Pubs!$A$2:$A$3001,0))&amp;"",""))</f>
        <v/>
      </c>
      <c r="J370" s="27" t="str">
        <f aca="false">IF(OR(G370="",G370="?"),"",IFERROR(INDEX(Pubs!$G$2:$G$3001,MATCH(G370,Pubs!$A$2:$A$3001,0))&amp;"",""))</f>
        <v/>
      </c>
      <c r="K370" s="28" t="str">
        <f aca="false">IF(OR(G370="",G370="?"),"",IFERROR(INDEX(Pubs!$E$2:$E$3001,MATCH(G370,Pubs!$A$2:$A$3001,0)),""))</f>
        <v/>
      </c>
      <c r="L370" s="29" t="str">
        <f aca="false">IF(A370="","",IFERROR(1/(1/INDEX(Numéros!$C$2:$C$3001,MATCH(A370&amp;"|"&amp;B370,Numéros!$F$2:$F$3001,0))),""))</f>
        <v/>
      </c>
      <c r="M370" s="27" t="str">
        <f aca="false">IF(OR(G370="",G370="?"),"",IFERROR(INDEX(Pubs!$D$2:$D$3001,MATCH(G370,Pubs!$A$2:$A$3001,0))&amp;"",""))</f>
        <v/>
      </c>
      <c r="N370" s="27" t="n">
        <f aca="false">N(N369)+IF(AND(A370&lt;&gt;"",OR(Recherche!$C$4="",A370=Recherche!$C$4),OR(Recherche!$C$5="",B370&amp;""=Recherche!$C$5&amp;""),OR(Recherche!$C$6="",IFERROR(YEAR(L370),0)=Recherche!$C$6),OR(Recherche!$C$7="",ISNUMBER(SEARCH(Recherche!$C$7,H370))),OR(Recherche!$C$8="",J370=Recherche!$C$8),OR(Recherche!$C$9="",I370=Recherche!$C$9),OR(Recherche!$C$10="",G370&amp;""=Recherche!$C$10&amp;""),OR(Recherche!$C$11="",E370=Recherche!$C$11),OR(Recherche!$C$12="",ISNUMBER(SEARCH(Recherche!$C$12,M370&amp;" "&amp;F370)))),1,0)</f>
        <v>8</v>
      </c>
    </row>
    <row r="371" customFormat="false" ht="15" hidden="false" customHeight="false" outlineLevel="0" collapsed="false">
      <c r="A371" s="19"/>
      <c r="B371" s="19"/>
      <c r="C371" s="19"/>
      <c r="D371" s="19"/>
      <c r="E371" s="22"/>
      <c r="F371" s="19"/>
      <c r="G371" s="26" t="str">
        <f aca="false">IF(D371="","",IFERROR(VALUE(LEFT(D371,FIND(" |",D371&amp;" |")-1)),"?"))</f>
        <v/>
      </c>
      <c r="H371" s="27" t="str">
        <f aca="false">IF(G371="","",IF(G371="?","⚠ pub inconnue",IFERROR(INDEX(Pubs!$B$2:$B$3001,MATCH(G371,Pubs!$A$2:$A$3001,0))&amp;"","⚠ pub inconnue")))</f>
        <v/>
      </c>
      <c r="I371" s="27" t="str">
        <f aca="false">IF(OR(G371="",G371="?"),"",IFERROR(INDEX(Pubs!$C$2:$C$3001,MATCH(G371,Pubs!$A$2:$A$3001,0))&amp;"",""))</f>
        <v/>
      </c>
      <c r="J371" s="27" t="str">
        <f aca="false">IF(OR(G371="",G371="?"),"",IFERROR(INDEX(Pubs!$G$2:$G$3001,MATCH(G371,Pubs!$A$2:$A$3001,0))&amp;"",""))</f>
        <v/>
      </c>
      <c r="K371" s="28" t="str">
        <f aca="false">IF(OR(G371="",G371="?"),"",IFERROR(INDEX(Pubs!$E$2:$E$3001,MATCH(G371,Pubs!$A$2:$A$3001,0)),""))</f>
        <v/>
      </c>
      <c r="L371" s="29" t="str">
        <f aca="false">IF(A371="","",IFERROR(1/(1/INDEX(Numéros!$C$2:$C$3001,MATCH(A371&amp;"|"&amp;B371,Numéros!$F$2:$F$3001,0))),""))</f>
        <v/>
      </c>
      <c r="M371" s="27" t="str">
        <f aca="false">IF(OR(G371="",G371="?"),"",IFERROR(INDEX(Pubs!$D$2:$D$3001,MATCH(G371,Pubs!$A$2:$A$3001,0))&amp;"",""))</f>
        <v/>
      </c>
      <c r="N371" s="27" t="n">
        <f aca="false">N(N370)+IF(AND(A371&lt;&gt;"",OR(Recherche!$C$4="",A371=Recherche!$C$4),OR(Recherche!$C$5="",B371&amp;""=Recherche!$C$5&amp;""),OR(Recherche!$C$6="",IFERROR(YEAR(L371),0)=Recherche!$C$6),OR(Recherche!$C$7="",ISNUMBER(SEARCH(Recherche!$C$7,H371))),OR(Recherche!$C$8="",J371=Recherche!$C$8),OR(Recherche!$C$9="",I371=Recherche!$C$9),OR(Recherche!$C$10="",G371&amp;""=Recherche!$C$10&amp;""),OR(Recherche!$C$11="",E371=Recherche!$C$11),OR(Recherche!$C$12="",ISNUMBER(SEARCH(Recherche!$C$12,M371&amp;" "&amp;F371)))),1,0)</f>
        <v>8</v>
      </c>
    </row>
    <row r="372" customFormat="false" ht="15" hidden="false" customHeight="false" outlineLevel="0" collapsed="false">
      <c r="A372" s="19"/>
      <c r="B372" s="19"/>
      <c r="C372" s="19"/>
      <c r="D372" s="19"/>
      <c r="E372" s="22"/>
      <c r="F372" s="19"/>
      <c r="G372" s="26" t="str">
        <f aca="false">IF(D372="","",IFERROR(VALUE(LEFT(D372,FIND(" |",D372&amp;" |")-1)),"?"))</f>
        <v/>
      </c>
      <c r="H372" s="27" t="str">
        <f aca="false">IF(G372="","",IF(G372="?","⚠ pub inconnue",IFERROR(INDEX(Pubs!$B$2:$B$3001,MATCH(G372,Pubs!$A$2:$A$3001,0))&amp;"","⚠ pub inconnue")))</f>
        <v/>
      </c>
      <c r="I372" s="27" t="str">
        <f aca="false">IF(OR(G372="",G372="?"),"",IFERROR(INDEX(Pubs!$C$2:$C$3001,MATCH(G372,Pubs!$A$2:$A$3001,0))&amp;"",""))</f>
        <v/>
      </c>
      <c r="J372" s="27" t="str">
        <f aca="false">IF(OR(G372="",G372="?"),"",IFERROR(INDEX(Pubs!$G$2:$G$3001,MATCH(G372,Pubs!$A$2:$A$3001,0))&amp;"",""))</f>
        <v/>
      </c>
      <c r="K372" s="28" t="str">
        <f aca="false">IF(OR(G372="",G372="?"),"",IFERROR(INDEX(Pubs!$E$2:$E$3001,MATCH(G372,Pubs!$A$2:$A$3001,0)),""))</f>
        <v/>
      </c>
      <c r="L372" s="29" t="str">
        <f aca="false">IF(A372="","",IFERROR(1/(1/INDEX(Numéros!$C$2:$C$3001,MATCH(A372&amp;"|"&amp;B372,Numéros!$F$2:$F$3001,0))),""))</f>
        <v/>
      </c>
      <c r="M372" s="27" t="str">
        <f aca="false">IF(OR(G372="",G372="?"),"",IFERROR(INDEX(Pubs!$D$2:$D$3001,MATCH(G372,Pubs!$A$2:$A$3001,0))&amp;"",""))</f>
        <v/>
      </c>
      <c r="N372" s="27" t="n">
        <f aca="false">N(N371)+IF(AND(A372&lt;&gt;"",OR(Recherche!$C$4="",A372=Recherche!$C$4),OR(Recherche!$C$5="",B372&amp;""=Recherche!$C$5&amp;""),OR(Recherche!$C$6="",IFERROR(YEAR(L372),0)=Recherche!$C$6),OR(Recherche!$C$7="",ISNUMBER(SEARCH(Recherche!$C$7,H372))),OR(Recherche!$C$8="",J372=Recherche!$C$8),OR(Recherche!$C$9="",I372=Recherche!$C$9),OR(Recherche!$C$10="",G372&amp;""=Recherche!$C$10&amp;""),OR(Recherche!$C$11="",E372=Recherche!$C$11),OR(Recherche!$C$12="",ISNUMBER(SEARCH(Recherche!$C$12,M372&amp;" "&amp;F372)))),1,0)</f>
        <v>8</v>
      </c>
    </row>
    <row r="373" customFormat="false" ht="15" hidden="false" customHeight="false" outlineLevel="0" collapsed="false">
      <c r="A373" s="19"/>
      <c r="B373" s="19"/>
      <c r="C373" s="19"/>
      <c r="D373" s="19"/>
      <c r="E373" s="22"/>
      <c r="F373" s="19"/>
      <c r="G373" s="26" t="str">
        <f aca="false">IF(D373="","",IFERROR(VALUE(LEFT(D373,FIND(" |",D373&amp;" |")-1)),"?"))</f>
        <v/>
      </c>
      <c r="H373" s="27" t="str">
        <f aca="false">IF(G373="","",IF(G373="?","⚠ pub inconnue",IFERROR(INDEX(Pubs!$B$2:$B$3001,MATCH(G373,Pubs!$A$2:$A$3001,0))&amp;"","⚠ pub inconnue")))</f>
        <v/>
      </c>
      <c r="I373" s="27" t="str">
        <f aca="false">IF(OR(G373="",G373="?"),"",IFERROR(INDEX(Pubs!$C$2:$C$3001,MATCH(G373,Pubs!$A$2:$A$3001,0))&amp;"",""))</f>
        <v/>
      </c>
      <c r="J373" s="27" t="str">
        <f aca="false">IF(OR(G373="",G373="?"),"",IFERROR(INDEX(Pubs!$G$2:$G$3001,MATCH(G373,Pubs!$A$2:$A$3001,0))&amp;"",""))</f>
        <v/>
      </c>
      <c r="K373" s="28" t="str">
        <f aca="false">IF(OR(G373="",G373="?"),"",IFERROR(INDEX(Pubs!$E$2:$E$3001,MATCH(G373,Pubs!$A$2:$A$3001,0)),""))</f>
        <v/>
      </c>
      <c r="L373" s="29" t="str">
        <f aca="false">IF(A373="","",IFERROR(1/(1/INDEX(Numéros!$C$2:$C$3001,MATCH(A373&amp;"|"&amp;B373,Numéros!$F$2:$F$3001,0))),""))</f>
        <v/>
      </c>
      <c r="M373" s="27" t="str">
        <f aca="false">IF(OR(G373="",G373="?"),"",IFERROR(INDEX(Pubs!$D$2:$D$3001,MATCH(G373,Pubs!$A$2:$A$3001,0))&amp;"",""))</f>
        <v/>
      </c>
      <c r="N373" s="27" t="n">
        <f aca="false">N(N372)+IF(AND(A373&lt;&gt;"",OR(Recherche!$C$4="",A373=Recherche!$C$4),OR(Recherche!$C$5="",B373&amp;""=Recherche!$C$5&amp;""),OR(Recherche!$C$6="",IFERROR(YEAR(L373),0)=Recherche!$C$6),OR(Recherche!$C$7="",ISNUMBER(SEARCH(Recherche!$C$7,H373))),OR(Recherche!$C$8="",J373=Recherche!$C$8),OR(Recherche!$C$9="",I373=Recherche!$C$9),OR(Recherche!$C$10="",G373&amp;""=Recherche!$C$10&amp;""),OR(Recherche!$C$11="",E373=Recherche!$C$11),OR(Recherche!$C$12="",ISNUMBER(SEARCH(Recherche!$C$12,M373&amp;" "&amp;F373)))),1,0)</f>
        <v>8</v>
      </c>
    </row>
    <row r="374" customFormat="false" ht="15" hidden="false" customHeight="false" outlineLevel="0" collapsed="false">
      <c r="A374" s="19"/>
      <c r="B374" s="19"/>
      <c r="C374" s="19"/>
      <c r="D374" s="19"/>
      <c r="E374" s="22"/>
      <c r="F374" s="19"/>
      <c r="G374" s="26" t="str">
        <f aca="false">IF(D374="","",IFERROR(VALUE(LEFT(D374,FIND(" |",D374&amp;" |")-1)),"?"))</f>
        <v/>
      </c>
      <c r="H374" s="27" t="str">
        <f aca="false">IF(G374="","",IF(G374="?","⚠ pub inconnue",IFERROR(INDEX(Pubs!$B$2:$B$3001,MATCH(G374,Pubs!$A$2:$A$3001,0))&amp;"","⚠ pub inconnue")))</f>
        <v/>
      </c>
      <c r="I374" s="27" t="str">
        <f aca="false">IF(OR(G374="",G374="?"),"",IFERROR(INDEX(Pubs!$C$2:$C$3001,MATCH(G374,Pubs!$A$2:$A$3001,0))&amp;"",""))</f>
        <v/>
      </c>
      <c r="J374" s="27" t="str">
        <f aca="false">IF(OR(G374="",G374="?"),"",IFERROR(INDEX(Pubs!$G$2:$G$3001,MATCH(G374,Pubs!$A$2:$A$3001,0))&amp;"",""))</f>
        <v/>
      </c>
      <c r="K374" s="28" t="str">
        <f aca="false">IF(OR(G374="",G374="?"),"",IFERROR(INDEX(Pubs!$E$2:$E$3001,MATCH(G374,Pubs!$A$2:$A$3001,0)),""))</f>
        <v/>
      </c>
      <c r="L374" s="29" t="str">
        <f aca="false">IF(A374="","",IFERROR(1/(1/INDEX(Numéros!$C$2:$C$3001,MATCH(A374&amp;"|"&amp;B374,Numéros!$F$2:$F$3001,0))),""))</f>
        <v/>
      </c>
      <c r="M374" s="27" t="str">
        <f aca="false">IF(OR(G374="",G374="?"),"",IFERROR(INDEX(Pubs!$D$2:$D$3001,MATCH(G374,Pubs!$A$2:$A$3001,0))&amp;"",""))</f>
        <v/>
      </c>
      <c r="N374" s="27" t="n">
        <f aca="false">N(N373)+IF(AND(A374&lt;&gt;"",OR(Recherche!$C$4="",A374=Recherche!$C$4),OR(Recherche!$C$5="",B374&amp;""=Recherche!$C$5&amp;""),OR(Recherche!$C$6="",IFERROR(YEAR(L374),0)=Recherche!$C$6),OR(Recherche!$C$7="",ISNUMBER(SEARCH(Recherche!$C$7,H374))),OR(Recherche!$C$8="",J374=Recherche!$C$8),OR(Recherche!$C$9="",I374=Recherche!$C$9),OR(Recherche!$C$10="",G374&amp;""=Recherche!$C$10&amp;""),OR(Recherche!$C$11="",E374=Recherche!$C$11),OR(Recherche!$C$12="",ISNUMBER(SEARCH(Recherche!$C$12,M374&amp;" "&amp;F374)))),1,0)</f>
        <v>8</v>
      </c>
    </row>
    <row r="375" customFormat="false" ht="15" hidden="false" customHeight="false" outlineLevel="0" collapsed="false">
      <c r="A375" s="19"/>
      <c r="B375" s="19"/>
      <c r="C375" s="19"/>
      <c r="D375" s="19"/>
      <c r="E375" s="22"/>
      <c r="F375" s="19"/>
      <c r="G375" s="26" t="str">
        <f aca="false">IF(D375="","",IFERROR(VALUE(LEFT(D375,FIND(" |",D375&amp;" |")-1)),"?"))</f>
        <v/>
      </c>
      <c r="H375" s="27" t="str">
        <f aca="false">IF(G375="","",IF(G375="?","⚠ pub inconnue",IFERROR(INDEX(Pubs!$B$2:$B$3001,MATCH(G375,Pubs!$A$2:$A$3001,0))&amp;"","⚠ pub inconnue")))</f>
        <v/>
      </c>
      <c r="I375" s="27" t="str">
        <f aca="false">IF(OR(G375="",G375="?"),"",IFERROR(INDEX(Pubs!$C$2:$C$3001,MATCH(G375,Pubs!$A$2:$A$3001,0))&amp;"",""))</f>
        <v/>
      </c>
      <c r="J375" s="27" t="str">
        <f aca="false">IF(OR(G375="",G375="?"),"",IFERROR(INDEX(Pubs!$G$2:$G$3001,MATCH(G375,Pubs!$A$2:$A$3001,0))&amp;"",""))</f>
        <v/>
      </c>
      <c r="K375" s="28" t="str">
        <f aca="false">IF(OR(G375="",G375="?"),"",IFERROR(INDEX(Pubs!$E$2:$E$3001,MATCH(G375,Pubs!$A$2:$A$3001,0)),""))</f>
        <v/>
      </c>
      <c r="L375" s="29" t="str">
        <f aca="false">IF(A375="","",IFERROR(1/(1/INDEX(Numéros!$C$2:$C$3001,MATCH(A375&amp;"|"&amp;B375,Numéros!$F$2:$F$3001,0))),""))</f>
        <v/>
      </c>
      <c r="M375" s="27" t="str">
        <f aca="false">IF(OR(G375="",G375="?"),"",IFERROR(INDEX(Pubs!$D$2:$D$3001,MATCH(G375,Pubs!$A$2:$A$3001,0))&amp;"",""))</f>
        <v/>
      </c>
      <c r="N375" s="27" t="n">
        <f aca="false">N(N374)+IF(AND(A375&lt;&gt;"",OR(Recherche!$C$4="",A375=Recherche!$C$4),OR(Recherche!$C$5="",B375&amp;""=Recherche!$C$5&amp;""),OR(Recherche!$C$6="",IFERROR(YEAR(L375),0)=Recherche!$C$6),OR(Recherche!$C$7="",ISNUMBER(SEARCH(Recherche!$C$7,H375))),OR(Recherche!$C$8="",J375=Recherche!$C$8),OR(Recherche!$C$9="",I375=Recherche!$C$9),OR(Recherche!$C$10="",G375&amp;""=Recherche!$C$10&amp;""),OR(Recherche!$C$11="",E375=Recherche!$C$11),OR(Recherche!$C$12="",ISNUMBER(SEARCH(Recherche!$C$12,M375&amp;" "&amp;F375)))),1,0)</f>
        <v>8</v>
      </c>
    </row>
    <row r="376" customFormat="false" ht="15" hidden="false" customHeight="false" outlineLevel="0" collapsed="false">
      <c r="A376" s="19"/>
      <c r="B376" s="19"/>
      <c r="C376" s="19"/>
      <c r="D376" s="19"/>
      <c r="E376" s="22"/>
      <c r="F376" s="19"/>
      <c r="G376" s="26" t="str">
        <f aca="false">IF(D376="","",IFERROR(VALUE(LEFT(D376,FIND(" |",D376&amp;" |")-1)),"?"))</f>
        <v/>
      </c>
      <c r="H376" s="27" t="str">
        <f aca="false">IF(G376="","",IF(G376="?","⚠ pub inconnue",IFERROR(INDEX(Pubs!$B$2:$B$3001,MATCH(G376,Pubs!$A$2:$A$3001,0))&amp;"","⚠ pub inconnue")))</f>
        <v/>
      </c>
      <c r="I376" s="27" t="str">
        <f aca="false">IF(OR(G376="",G376="?"),"",IFERROR(INDEX(Pubs!$C$2:$C$3001,MATCH(G376,Pubs!$A$2:$A$3001,0))&amp;"",""))</f>
        <v/>
      </c>
      <c r="J376" s="27" t="str">
        <f aca="false">IF(OR(G376="",G376="?"),"",IFERROR(INDEX(Pubs!$G$2:$G$3001,MATCH(G376,Pubs!$A$2:$A$3001,0))&amp;"",""))</f>
        <v/>
      </c>
      <c r="K376" s="28" t="str">
        <f aca="false">IF(OR(G376="",G376="?"),"",IFERROR(INDEX(Pubs!$E$2:$E$3001,MATCH(G376,Pubs!$A$2:$A$3001,0)),""))</f>
        <v/>
      </c>
      <c r="L376" s="29" t="str">
        <f aca="false">IF(A376="","",IFERROR(1/(1/INDEX(Numéros!$C$2:$C$3001,MATCH(A376&amp;"|"&amp;B376,Numéros!$F$2:$F$3001,0))),""))</f>
        <v/>
      </c>
      <c r="M376" s="27" t="str">
        <f aca="false">IF(OR(G376="",G376="?"),"",IFERROR(INDEX(Pubs!$D$2:$D$3001,MATCH(G376,Pubs!$A$2:$A$3001,0))&amp;"",""))</f>
        <v/>
      </c>
      <c r="N376" s="27" t="n">
        <f aca="false">N(N375)+IF(AND(A376&lt;&gt;"",OR(Recherche!$C$4="",A376=Recherche!$C$4),OR(Recherche!$C$5="",B376&amp;""=Recherche!$C$5&amp;""),OR(Recherche!$C$6="",IFERROR(YEAR(L376),0)=Recherche!$C$6),OR(Recherche!$C$7="",ISNUMBER(SEARCH(Recherche!$C$7,H376))),OR(Recherche!$C$8="",J376=Recherche!$C$8),OR(Recherche!$C$9="",I376=Recherche!$C$9),OR(Recherche!$C$10="",G376&amp;""=Recherche!$C$10&amp;""),OR(Recherche!$C$11="",E376=Recherche!$C$11),OR(Recherche!$C$12="",ISNUMBER(SEARCH(Recherche!$C$12,M376&amp;" "&amp;F376)))),1,0)</f>
        <v>8</v>
      </c>
    </row>
    <row r="377" customFormat="false" ht="15" hidden="false" customHeight="false" outlineLevel="0" collapsed="false">
      <c r="A377" s="19"/>
      <c r="B377" s="19"/>
      <c r="C377" s="19"/>
      <c r="D377" s="19"/>
      <c r="E377" s="22"/>
      <c r="F377" s="19"/>
      <c r="G377" s="26" t="str">
        <f aca="false">IF(D377="","",IFERROR(VALUE(LEFT(D377,FIND(" |",D377&amp;" |")-1)),"?"))</f>
        <v/>
      </c>
      <c r="H377" s="27" t="str">
        <f aca="false">IF(G377="","",IF(G377="?","⚠ pub inconnue",IFERROR(INDEX(Pubs!$B$2:$B$3001,MATCH(G377,Pubs!$A$2:$A$3001,0))&amp;"","⚠ pub inconnue")))</f>
        <v/>
      </c>
      <c r="I377" s="27" t="str">
        <f aca="false">IF(OR(G377="",G377="?"),"",IFERROR(INDEX(Pubs!$C$2:$C$3001,MATCH(G377,Pubs!$A$2:$A$3001,0))&amp;"",""))</f>
        <v/>
      </c>
      <c r="J377" s="27" t="str">
        <f aca="false">IF(OR(G377="",G377="?"),"",IFERROR(INDEX(Pubs!$G$2:$G$3001,MATCH(G377,Pubs!$A$2:$A$3001,0))&amp;"",""))</f>
        <v/>
      </c>
      <c r="K377" s="28" t="str">
        <f aca="false">IF(OR(G377="",G377="?"),"",IFERROR(INDEX(Pubs!$E$2:$E$3001,MATCH(G377,Pubs!$A$2:$A$3001,0)),""))</f>
        <v/>
      </c>
      <c r="L377" s="29" t="str">
        <f aca="false">IF(A377="","",IFERROR(1/(1/INDEX(Numéros!$C$2:$C$3001,MATCH(A377&amp;"|"&amp;B377,Numéros!$F$2:$F$3001,0))),""))</f>
        <v/>
      </c>
      <c r="M377" s="27" t="str">
        <f aca="false">IF(OR(G377="",G377="?"),"",IFERROR(INDEX(Pubs!$D$2:$D$3001,MATCH(G377,Pubs!$A$2:$A$3001,0))&amp;"",""))</f>
        <v/>
      </c>
      <c r="N377" s="27" t="n">
        <f aca="false">N(N376)+IF(AND(A377&lt;&gt;"",OR(Recherche!$C$4="",A377=Recherche!$C$4),OR(Recherche!$C$5="",B377&amp;""=Recherche!$C$5&amp;""),OR(Recherche!$C$6="",IFERROR(YEAR(L377),0)=Recherche!$C$6),OR(Recherche!$C$7="",ISNUMBER(SEARCH(Recherche!$C$7,H377))),OR(Recherche!$C$8="",J377=Recherche!$C$8),OR(Recherche!$C$9="",I377=Recherche!$C$9),OR(Recherche!$C$10="",G377&amp;""=Recherche!$C$10&amp;""),OR(Recherche!$C$11="",E377=Recherche!$C$11),OR(Recherche!$C$12="",ISNUMBER(SEARCH(Recherche!$C$12,M377&amp;" "&amp;F377)))),1,0)</f>
        <v>8</v>
      </c>
    </row>
    <row r="378" customFormat="false" ht="15" hidden="false" customHeight="false" outlineLevel="0" collapsed="false">
      <c r="A378" s="19"/>
      <c r="B378" s="19"/>
      <c r="C378" s="19"/>
      <c r="D378" s="19"/>
      <c r="E378" s="22"/>
      <c r="F378" s="19"/>
      <c r="G378" s="26" t="str">
        <f aca="false">IF(D378="","",IFERROR(VALUE(LEFT(D378,FIND(" |",D378&amp;" |")-1)),"?"))</f>
        <v/>
      </c>
      <c r="H378" s="27" t="str">
        <f aca="false">IF(G378="","",IF(G378="?","⚠ pub inconnue",IFERROR(INDEX(Pubs!$B$2:$B$3001,MATCH(G378,Pubs!$A$2:$A$3001,0))&amp;"","⚠ pub inconnue")))</f>
        <v/>
      </c>
      <c r="I378" s="27" t="str">
        <f aca="false">IF(OR(G378="",G378="?"),"",IFERROR(INDEX(Pubs!$C$2:$C$3001,MATCH(G378,Pubs!$A$2:$A$3001,0))&amp;"",""))</f>
        <v/>
      </c>
      <c r="J378" s="27" t="str">
        <f aca="false">IF(OR(G378="",G378="?"),"",IFERROR(INDEX(Pubs!$G$2:$G$3001,MATCH(G378,Pubs!$A$2:$A$3001,0))&amp;"",""))</f>
        <v/>
      </c>
      <c r="K378" s="28" t="str">
        <f aca="false">IF(OR(G378="",G378="?"),"",IFERROR(INDEX(Pubs!$E$2:$E$3001,MATCH(G378,Pubs!$A$2:$A$3001,0)),""))</f>
        <v/>
      </c>
      <c r="L378" s="29" t="str">
        <f aca="false">IF(A378="","",IFERROR(1/(1/INDEX(Numéros!$C$2:$C$3001,MATCH(A378&amp;"|"&amp;B378,Numéros!$F$2:$F$3001,0))),""))</f>
        <v/>
      </c>
      <c r="M378" s="27" t="str">
        <f aca="false">IF(OR(G378="",G378="?"),"",IFERROR(INDEX(Pubs!$D$2:$D$3001,MATCH(G378,Pubs!$A$2:$A$3001,0))&amp;"",""))</f>
        <v/>
      </c>
      <c r="N378" s="27" t="n">
        <f aca="false">N(N377)+IF(AND(A378&lt;&gt;"",OR(Recherche!$C$4="",A378=Recherche!$C$4),OR(Recherche!$C$5="",B378&amp;""=Recherche!$C$5&amp;""),OR(Recherche!$C$6="",IFERROR(YEAR(L378),0)=Recherche!$C$6),OR(Recherche!$C$7="",ISNUMBER(SEARCH(Recherche!$C$7,H378))),OR(Recherche!$C$8="",J378=Recherche!$C$8),OR(Recherche!$C$9="",I378=Recherche!$C$9),OR(Recherche!$C$10="",G378&amp;""=Recherche!$C$10&amp;""),OR(Recherche!$C$11="",E378=Recherche!$C$11),OR(Recherche!$C$12="",ISNUMBER(SEARCH(Recherche!$C$12,M378&amp;" "&amp;F378)))),1,0)</f>
        <v>8</v>
      </c>
    </row>
    <row r="379" customFormat="false" ht="15" hidden="false" customHeight="false" outlineLevel="0" collapsed="false">
      <c r="A379" s="19"/>
      <c r="B379" s="19"/>
      <c r="C379" s="19"/>
      <c r="D379" s="19"/>
      <c r="E379" s="22"/>
      <c r="F379" s="19"/>
      <c r="G379" s="26" t="str">
        <f aca="false">IF(D379="","",IFERROR(VALUE(LEFT(D379,FIND(" |",D379&amp;" |")-1)),"?"))</f>
        <v/>
      </c>
      <c r="H379" s="27" t="str">
        <f aca="false">IF(G379="","",IF(G379="?","⚠ pub inconnue",IFERROR(INDEX(Pubs!$B$2:$B$3001,MATCH(G379,Pubs!$A$2:$A$3001,0))&amp;"","⚠ pub inconnue")))</f>
        <v/>
      </c>
      <c r="I379" s="27" t="str">
        <f aca="false">IF(OR(G379="",G379="?"),"",IFERROR(INDEX(Pubs!$C$2:$C$3001,MATCH(G379,Pubs!$A$2:$A$3001,0))&amp;"",""))</f>
        <v/>
      </c>
      <c r="J379" s="27" t="str">
        <f aca="false">IF(OR(G379="",G379="?"),"",IFERROR(INDEX(Pubs!$G$2:$G$3001,MATCH(G379,Pubs!$A$2:$A$3001,0))&amp;"",""))</f>
        <v/>
      </c>
      <c r="K379" s="28" t="str">
        <f aca="false">IF(OR(G379="",G379="?"),"",IFERROR(INDEX(Pubs!$E$2:$E$3001,MATCH(G379,Pubs!$A$2:$A$3001,0)),""))</f>
        <v/>
      </c>
      <c r="L379" s="29" t="str">
        <f aca="false">IF(A379="","",IFERROR(1/(1/INDEX(Numéros!$C$2:$C$3001,MATCH(A379&amp;"|"&amp;B379,Numéros!$F$2:$F$3001,0))),""))</f>
        <v/>
      </c>
      <c r="M379" s="27" t="str">
        <f aca="false">IF(OR(G379="",G379="?"),"",IFERROR(INDEX(Pubs!$D$2:$D$3001,MATCH(G379,Pubs!$A$2:$A$3001,0))&amp;"",""))</f>
        <v/>
      </c>
      <c r="N379" s="27" t="n">
        <f aca="false">N(N378)+IF(AND(A379&lt;&gt;"",OR(Recherche!$C$4="",A379=Recherche!$C$4),OR(Recherche!$C$5="",B379&amp;""=Recherche!$C$5&amp;""),OR(Recherche!$C$6="",IFERROR(YEAR(L379),0)=Recherche!$C$6),OR(Recherche!$C$7="",ISNUMBER(SEARCH(Recherche!$C$7,H379))),OR(Recherche!$C$8="",J379=Recherche!$C$8),OR(Recherche!$C$9="",I379=Recherche!$C$9),OR(Recherche!$C$10="",G379&amp;""=Recherche!$C$10&amp;""),OR(Recherche!$C$11="",E379=Recherche!$C$11),OR(Recherche!$C$12="",ISNUMBER(SEARCH(Recherche!$C$12,M379&amp;" "&amp;F379)))),1,0)</f>
        <v>8</v>
      </c>
    </row>
    <row r="380" customFormat="false" ht="15" hidden="false" customHeight="false" outlineLevel="0" collapsed="false">
      <c r="A380" s="19"/>
      <c r="B380" s="19"/>
      <c r="C380" s="19"/>
      <c r="D380" s="19"/>
      <c r="E380" s="22"/>
      <c r="F380" s="19"/>
      <c r="G380" s="26" t="str">
        <f aca="false">IF(D380="","",IFERROR(VALUE(LEFT(D380,FIND(" |",D380&amp;" |")-1)),"?"))</f>
        <v/>
      </c>
      <c r="H380" s="27" t="str">
        <f aca="false">IF(G380="","",IF(G380="?","⚠ pub inconnue",IFERROR(INDEX(Pubs!$B$2:$B$3001,MATCH(G380,Pubs!$A$2:$A$3001,0))&amp;"","⚠ pub inconnue")))</f>
        <v/>
      </c>
      <c r="I380" s="27" t="str">
        <f aca="false">IF(OR(G380="",G380="?"),"",IFERROR(INDEX(Pubs!$C$2:$C$3001,MATCH(G380,Pubs!$A$2:$A$3001,0))&amp;"",""))</f>
        <v/>
      </c>
      <c r="J380" s="27" t="str">
        <f aca="false">IF(OR(G380="",G380="?"),"",IFERROR(INDEX(Pubs!$G$2:$G$3001,MATCH(G380,Pubs!$A$2:$A$3001,0))&amp;"",""))</f>
        <v/>
      </c>
      <c r="K380" s="28" t="str">
        <f aca="false">IF(OR(G380="",G380="?"),"",IFERROR(INDEX(Pubs!$E$2:$E$3001,MATCH(G380,Pubs!$A$2:$A$3001,0)),""))</f>
        <v/>
      </c>
      <c r="L380" s="29" t="str">
        <f aca="false">IF(A380="","",IFERROR(1/(1/INDEX(Numéros!$C$2:$C$3001,MATCH(A380&amp;"|"&amp;B380,Numéros!$F$2:$F$3001,0))),""))</f>
        <v/>
      </c>
      <c r="M380" s="27" t="str">
        <f aca="false">IF(OR(G380="",G380="?"),"",IFERROR(INDEX(Pubs!$D$2:$D$3001,MATCH(G380,Pubs!$A$2:$A$3001,0))&amp;"",""))</f>
        <v/>
      </c>
      <c r="N380" s="27" t="n">
        <f aca="false">N(N379)+IF(AND(A380&lt;&gt;"",OR(Recherche!$C$4="",A380=Recherche!$C$4),OR(Recherche!$C$5="",B380&amp;""=Recherche!$C$5&amp;""),OR(Recherche!$C$6="",IFERROR(YEAR(L380),0)=Recherche!$C$6),OR(Recherche!$C$7="",ISNUMBER(SEARCH(Recherche!$C$7,H380))),OR(Recherche!$C$8="",J380=Recherche!$C$8),OR(Recherche!$C$9="",I380=Recherche!$C$9),OR(Recherche!$C$10="",G380&amp;""=Recherche!$C$10&amp;""),OR(Recherche!$C$11="",E380=Recherche!$C$11),OR(Recherche!$C$12="",ISNUMBER(SEARCH(Recherche!$C$12,M380&amp;" "&amp;F380)))),1,0)</f>
        <v>8</v>
      </c>
    </row>
    <row r="381" customFormat="false" ht="15" hidden="false" customHeight="false" outlineLevel="0" collapsed="false">
      <c r="A381" s="19"/>
      <c r="B381" s="19"/>
      <c r="C381" s="19"/>
      <c r="D381" s="19"/>
      <c r="E381" s="22"/>
      <c r="F381" s="19"/>
      <c r="G381" s="26" t="str">
        <f aca="false">IF(D381="","",IFERROR(VALUE(LEFT(D381,FIND(" |",D381&amp;" |")-1)),"?"))</f>
        <v/>
      </c>
      <c r="H381" s="27" t="str">
        <f aca="false">IF(G381="","",IF(G381="?","⚠ pub inconnue",IFERROR(INDEX(Pubs!$B$2:$B$3001,MATCH(G381,Pubs!$A$2:$A$3001,0))&amp;"","⚠ pub inconnue")))</f>
        <v/>
      </c>
      <c r="I381" s="27" t="str">
        <f aca="false">IF(OR(G381="",G381="?"),"",IFERROR(INDEX(Pubs!$C$2:$C$3001,MATCH(G381,Pubs!$A$2:$A$3001,0))&amp;"",""))</f>
        <v/>
      </c>
      <c r="J381" s="27" t="str">
        <f aca="false">IF(OR(G381="",G381="?"),"",IFERROR(INDEX(Pubs!$G$2:$G$3001,MATCH(G381,Pubs!$A$2:$A$3001,0))&amp;"",""))</f>
        <v/>
      </c>
      <c r="K381" s="28" t="str">
        <f aca="false">IF(OR(G381="",G381="?"),"",IFERROR(INDEX(Pubs!$E$2:$E$3001,MATCH(G381,Pubs!$A$2:$A$3001,0)),""))</f>
        <v/>
      </c>
      <c r="L381" s="29" t="str">
        <f aca="false">IF(A381="","",IFERROR(1/(1/INDEX(Numéros!$C$2:$C$3001,MATCH(A381&amp;"|"&amp;B381,Numéros!$F$2:$F$3001,0))),""))</f>
        <v/>
      </c>
      <c r="M381" s="27" t="str">
        <f aca="false">IF(OR(G381="",G381="?"),"",IFERROR(INDEX(Pubs!$D$2:$D$3001,MATCH(G381,Pubs!$A$2:$A$3001,0))&amp;"",""))</f>
        <v/>
      </c>
      <c r="N381" s="27" t="n">
        <f aca="false">N(N380)+IF(AND(A381&lt;&gt;"",OR(Recherche!$C$4="",A381=Recherche!$C$4),OR(Recherche!$C$5="",B381&amp;""=Recherche!$C$5&amp;""),OR(Recherche!$C$6="",IFERROR(YEAR(L381),0)=Recherche!$C$6),OR(Recherche!$C$7="",ISNUMBER(SEARCH(Recherche!$C$7,H381))),OR(Recherche!$C$8="",J381=Recherche!$C$8),OR(Recherche!$C$9="",I381=Recherche!$C$9),OR(Recherche!$C$10="",G381&amp;""=Recherche!$C$10&amp;""),OR(Recherche!$C$11="",E381=Recherche!$C$11),OR(Recherche!$C$12="",ISNUMBER(SEARCH(Recherche!$C$12,M381&amp;" "&amp;F381)))),1,0)</f>
        <v>8</v>
      </c>
    </row>
    <row r="382" customFormat="false" ht="15" hidden="false" customHeight="false" outlineLevel="0" collapsed="false">
      <c r="A382" s="19"/>
      <c r="B382" s="19"/>
      <c r="C382" s="19"/>
      <c r="D382" s="19"/>
      <c r="E382" s="22"/>
      <c r="F382" s="19"/>
      <c r="G382" s="26" t="str">
        <f aca="false">IF(D382="","",IFERROR(VALUE(LEFT(D382,FIND(" |",D382&amp;" |")-1)),"?"))</f>
        <v/>
      </c>
      <c r="H382" s="27" t="str">
        <f aca="false">IF(G382="","",IF(G382="?","⚠ pub inconnue",IFERROR(INDEX(Pubs!$B$2:$B$3001,MATCH(G382,Pubs!$A$2:$A$3001,0))&amp;"","⚠ pub inconnue")))</f>
        <v/>
      </c>
      <c r="I382" s="27" t="str">
        <f aca="false">IF(OR(G382="",G382="?"),"",IFERROR(INDEX(Pubs!$C$2:$C$3001,MATCH(G382,Pubs!$A$2:$A$3001,0))&amp;"",""))</f>
        <v/>
      </c>
      <c r="J382" s="27" t="str">
        <f aca="false">IF(OR(G382="",G382="?"),"",IFERROR(INDEX(Pubs!$G$2:$G$3001,MATCH(G382,Pubs!$A$2:$A$3001,0))&amp;"",""))</f>
        <v/>
      </c>
      <c r="K382" s="28" t="str">
        <f aca="false">IF(OR(G382="",G382="?"),"",IFERROR(INDEX(Pubs!$E$2:$E$3001,MATCH(G382,Pubs!$A$2:$A$3001,0)),""))</f>
        <v/>
      </c>
      <c r="L382" s="29" t="str">
        <f aca="false">IF(A382="","",IFERROR(1/(1/INDEX(Numéros!$C$2:$C$3001,MATCH(A382&amp;"|"&amp;B382,Numéros!$F$2:$F$3001,0))),""))</f>
        <v/>
      </c>
      <c r="M382" s="27" t="str">
        <f aca="false">IF(OR(G382="",G382="?"),"",IFERROR(INDEX(Pubs!$D$2:$D$3001,MATCH(G382,Pubs!$A$2:$A$3001,0))&amp;"",""))</f>
        <v/>
      </c>
      <c r="N382" s="27" t="n">
        <f aca="false">N(N381)+IF(AND(A382&lt;&gt;"",OR(Recherche!$C$4="",A382=Recherche!$C$4),OR(Recherche!$C$5="",B382&amp;""=Recherche!$C$5&amp;""),OR(Recherche!$C$6="",IFERROR(YEAR(L382),0)=Recherche!$C$6),OR(Recherche!$C$7="",ISNUMBER(SEARCH(Recherche!$C$7,H382))),OR(Recherche!$C$8="",J382=Recherche!$C$8),OR(Recherche!$C$9="",I382=Recherche!$C$9),OR(Recherche!$C$10="",G382&amp;""=Recherche!$C$10&amp;""),OR(Recherche!$C$11="",E382=Recherche!$C$11),OR(Recherche!$C$12="",ISNUMBER(SEARCH(Recherche!$C$12,M382&amp;" "&amp;F382)))),1,0)</f>
        <v>8</v>
      </c>
    </row>
    <row r="383" customFormat="false" ht="15" hidden="false" customHeight="false" outlineLevel="0" collapsed="false">
      <c r="A383" s="19"/>
      <c r="B383" s="19"/>
      <c r="C383" s="19"/>
      <c r="D383" s="19"/>
      <c r="E383" s="22"/>
      <c r="F383" s="19"/>
      <c r="G383" s="26" t="str">
        <f aca="false">IF(D383="","",IFERROR(VALUE(LEFT(D383,FIND(" |",D383&amp;" |")-1)),"?"))</f>
        <v/>
      </c>
      <c r="H383" s="27" t="str">
        <f aca="false">IF(G383="","",IF(G383="?","⚠ pub inconnue",IFERROR(INDEX(Pubs!$B$2:$B$3001,MATCH(G383,Pubs!$A$2:$A$3001,0))&amp;"","⚠ pub inconnue")))</f>
        <v/>
      </c>
      <c r="I383" s="27" t="str">
        <f aca="false">IF(OR(G383="",G383="?"),"",IFERROR(INDEX(Pubs!$C$2:$C$3001,MATCH(G383,Pubs!$A$2:$A$3001,0))&amp;"",""))</f>
        <v/>
      </c>
      <c r="J383" s="27" t="str">
        <f aca="false">IF(OR(G383="",G383="?"),"",IFERROR(INDEX(Pubs!$G$2:$G$3001,MATCH(G383,Pubs!$A$2:$A$3001,0))&amp;"",""))</f>
        <v/>
      </c>
      <c r="K383" s="28" t="str">
        <f aca="false">IF(OR(G383="",G383="?"),"",IFERROR(INDEX(Pubs!$E$2:$E$3001,MATCH(G383,Pubs!$A$2:$A$3001,0)),""))</f>
        <v/>
      </c>
      <c r="L383" s="29" t="str">
        <f aca="false">IF(A383="","",IFERROR(1/(1/INDEX(Numéros!$C$2:$C$3001,MATCH(A383&amp;"|"&amp;B383,Numéros!$F$2:$F$3001,0))),""))</f>
        <v/>
      </c>
      <c r="M383" s="27" t="str">
        <f aca="false">IF(OR(G383="",G383="?"),"",IFERROR(INDEX(Pubs!$D$2:$D$3001,MATCH(G383,Pubs!$A$2:$A$3001,0))&amp;"",""))</f>
        <v/>
      </c>
      <c r="N383" s="27" t="n">
        <f aca="false">N(N382)+IF(AND(A383&lt;&gt;"",OR(Recherche!$C$4="",A383=Recherche!$C$4),OR(Recherche!$C$5="",B383&amp;""=Recherche!$C$5&amp;""),OR(Recherche!$C$6="",IFERROR(YEAR(L383),0)=Recherche!$C$6),OR(Recherche!$C$7="",ISNUMBER(SEARCH(Recherche!$C$7,H383))),OR(Recherche!$C$8="",J383=Recherche!$C$8),OR(Recherche!$C$9="",I383=Recherche!$C$9),OR(Recherche!$C$10="",G383&amp;""=Recherche!$C$10&amp;""),OR(Recherche!$C$11="",E383=Recherche!$C$11),OR(Recherche!$C$12="",ISNUMBER(SEARCH(Recherche!$C$12,M383&amp;" "&amp;F383)))),1,0)</f>
        <v>8</v>
      </c>
    </row>
    <row r="384" customFormat="false" ht="15" hidden="false" customHeight="false" outlineLevel="0" collapsed="false">
      <c r="A384" s="19"/>
      <c r="B384" s="19"/>
      <c r="C384" s="19"/>
      <c r="D384" s="19"/>
      <c r="E384" s="22"/>
      <c r="F384" s="19"/>
      <c r="G384" s="26" t="str">
        <f aca="false">IF(D384="","",IFERROR(VALUE(LEFT(D384,FIND(" |",D384&amp;" |")-1)),"?"))</f>
        <v/>
      </c>
      <c r="H384" s="27" t="str">
        <f aca="false">IF(G384="","",IF(G384="?","⚠ pub inconnue",IFERROR(INDEX(Pubs!$B$2:$B$3001,MATCH(G384,Pubs!$A$2:$A$3001,0))&amp;"","⚠ pub inconnue")))</f>
        <v/>
      </c>
      <c r="I384" s="27" t="str">
        <f aca="false">IF(OR(G384="",G384="?"),"",IFERROR(INDEX(Pubs!$C$2:$C$3001,MATCH(G384,Pubs!$A$2:$A$3001,0))&amp;"",""))</f>
        <v/>
      </c>
      <c r="J384" s="27" t="str">
        <f aca="false">IF(OR(G384="",G384="?"),"",IFERROR(INDEX(Pubs!$G$2:$G$3001,MATCH(G384,Pubs!$A$2:$A$3001,0))&amp;"",""))</f>
        <v/>
      </c>
      <c r="K384" s="28" t="str">
        <f aca="false">IF(OR(G384="",G384="?"),"",IFERROR(INDEX(Pubs!$E$2:$E$3001,MATCH(G384,Pubs!$A$2:$A$3001,0)),""))</f>
        <v/>
      </c>
      <c r="L384" s="29" t="str">
        <f aca="false">IF(A384="","",IFERROR(1/(1/INDEX(Numéros!$C$2:$C$3001,MATCH(A384&amp;"|"&amp;B384,Numéros!$F$2:$F$3001,0))),""))</f>
        <v/>
      </c>
      <c r="M384" s="27" t="str">
        <f aca="false">IF(OR(G384="",G384="?"),"",IFERROR(INDEX(Pubs!$D$2:$D$3001,MATCH(G384,Pubs!$A$2:$A$3001,0))&amp;"",""))</f>
        <v/>
      </c>
      <c r="N384" s="27" t="n">
        <f aca="false">N(N383)+IF(AND(A384&lt;&gt;"",OR(Recherche!$C$4="",A384=Recherche!$C$4),OR(Recherche!$C$5="",B384&amp;""=Recherche!$C$5&amp;""),OR(Recherche!$C$6="",IFERROR(YEAR(L384),0)=Recherche!$C$6),OR(Recherche!$C$7="",ISNUMBER(SEARCH(Recherche!$C$7,H384))),OR(Recherche!$C$8="",J384=Recherche!$C$8),OR(Recherche!$C$9="",I384=Recherche!$C$9),OR(Recherche!$C$10="",G384&amp;""=Recherche!$C$10&amp;""),OR(Recherche!$C$11="",E384=Recherche!$C$11),OR(Recherche!$C$12="",ISNUMBER(SEARCH(Recherche!$C$12,M384&amp;" "&amp;F384)))),1,0)</f>
        <v>8</v>
      </c>
    </row>
    <row r="385" customFormat="false" ht="15" hidden="false" customHeight="false" outlineLevel="0" collapsed="false">
      <c r="A385" s="19"/>
      <c r="B385" s="19"/>
      <c r="C385" s="19"/>
      <c r="D385" s="19"/>
      <c r="E385" s="22"/>
      <c r="F385" s="19"/>
      <c r="G385" s="26" t="str">
        <f aca="false">IF(D385="","",IFERROR(VALUE(LEFT(D385,FIND(" |",D385&amp;" |")-1)),"?"))</f>
        <v/>
      </c>
      <c r="H385" s="27" t="str">
        <f aca="false">IF(G385="","",IF(G385="?","⚠ pub inconnue",IFERROR(INDEX(Pubs!$B$2:$B$3001,MATCH(G385,Pubs!$A$2:$A$3001,0))&amp;"","⚠ pub inconnue")))</f>
        <v/>
      </c>
      <c r="I385" s="27" t="str">
        <f aca="false">IF(OR(G385="",G385="?"),"",IFERROR(INDEX(Pubs!$C$2:$C$3001,MATCH(G385,Pubs!$A$2:$A$3001,0))&amp;"",""))</f>
        <v/>
      </c>
      <c r="J385" s="27" t="str">
        <f aca="false">IF(OR(G385="",G385="?"),"",IFERROR(INDEX(Pubs!$G$2:$G$3001,MATCH(G385,Pubs!$A$2:$A$3001,0))&amp;"",""))</f>
        <v/>
      </c>
      <c r="K385" s="28" t="str">
        <f aca="false">IF(OR(G385="",G385="?"),"",IFERROR(INDEX(Pubs!$E$2:$E$3001,MATCH(G385,Pubs!$A$2:$A$3001,0)),""))</f>
        <v/>
      </c>
      <c r="L385" s="29" t="str">
        <f aca="false">IF(A385="","",IFERROR(1/(1/INDEX(Numéros!$C$2:$C$3001,MATCH(A385&amp;"|"&amp;B385,Numéros!$F$2:$F$3001,0))),""))</f>
        <v/>
      </c>
      <c r="M385" s="27" t="str">
        <f aca="false">IF(OR(G385="",G385="?"),"",IFERROR(INDEX(Pubs!$D$2:$D$3001,MATCH(G385,Pubs!$A$2:$A$3001,0))&amp;"",""))</f>
        <v/>
      </c>
      <c r="N385" s="27" t="n">
        <f aca="false">N(N384)+IF(AND(A385&lt;&gt;"",OR(Recherche!$C$4="",A385=Recherche!$C$4),OR(Recherche!$C$5="",B385&amp;""=Recherche!$C$5&amp;""),OR(Recherche!$C$6="",IFERROR(YEAR(L385),0)=Recherche!$C$6),OR(Recherche!$C$7="",ISNUMBER(SEARCH(Recherche!$C$7,H385))),OR(Recherche!$C$8="",J385=Recherche!$C$8),OR(Recherche!$C$9="",I385=Recherche!$C$9),OR(Recherche!$C$10="",G385&amp;""=Recherche!$C$10&amp;""),OR(Recherche!$C$11="",E385=Recherche!$C$11),OR(Recherche!$C$12="",ISNUMBER(SEARCH(Recherche!$C$12,M385&amp;" "&amp;F385)))),1,0)</f>
        <v>8</v>
      </c>
    </row>
    <row r="386" customFormat="false" ht="15" hidden="false" customHeight="false" outlineLevel="0" collapsed="false">
      <c r="A386" s="19"/>
      <c r="B386" s="19"/>
      <c r="C386" s="19"/>
      <c r="D386" s="19"/>
      <c r="E386" s="22"/>
      <c r="F386" s="19"/>
      <c r="G386" s="26" t="str">
        <f aca="false">IF(D386="","",IFERROR(VALUE(LEFT(D386,FIND(" |",D386&amp;" |")-1)),"?"))</f>
        <v/>
      </c>
      <c r="H386" s="27" t="str">
        <f aca="false">IF(G386="","",IF(G386="?","⚠ pub inconnue",IFERROR(INDEX(Pubs!$B$2:$B$3001,MATCH(G386,Pubs!$A$2:$A$3001,0))&amp;"","⚠ pub inconnue")))</f>
        <v/>
      </c>
      <c r="I386" s="27" t="str">
        <f aca="false">IF(OR(G386="",G386="?"),"",IFERROR(INDEX(Pubs!$C$2:$C$3001,MATCH(G386,Pubs!$A$2:$A$3001,0))&amp;"",""))</f>
        <v/>
      </c>
      <c r="J386" s="27" t="str">
        <f aca="false">IF(OR(G386="",G386="?"),"",IFERROR(INDEX(Pubs!$G$2:$G$3001,MATCH(G386,Pubs!$A$2:$A$3001,0))&amp;"",""))</f>
        <v/>
      </c>
      <c r="K386" s="28" t="str">
        <f aca="false">IF(OR(G386="",G386="?"),"",IFERROR(INDEX(Pubs!$E$2:$E$3001,MATCH(G386,Pubs!$A$2:$A$3001,0)),""))</f>
        <v/>
      </c>
      <c r="L386" s="29" t="str">
        <f aca="false">IF(A386="","",IFERROR(1/(1/INDEX(Numéros!$C$2:$C$3001,MATCH(A386&amp;"|"&amp;B386,Numéros!$F$2:$F$3001,0))),""))</f>
        <v/>
      </c>
      <c r="M386" s="27" t="str">
        <f aca="false">IF(OR(G386="",G386="?"),"",IFERROR(INDEX(Pubs!$D$2:$D$3001,MATCH(G386,Pubs!$A$2:$A$3001,0))&amp;"",""))</f>
        <v/>
      </c>
      <c r="N386" s="27" t="n">
        <f aca="false">N(N385)+IF(AND(A386&lt;&gt;"",OR(Recherche!$C$4="",A386=Recherche!$C$4),OR(Recherche!$C$5="",B386&amp;""=Recherche!$C$5&amp;""),OR(Recherche!$C$6="",IFERROR(YEAR(L386),0)=Recherche!$C$6),OR(Recherche!$C$7="",ISNUMBER(SEARCH(Recherche!$C$7,H386))),OR(Recherche!$C$8="",J386=Recherche!$C$8),OR(Recherche!$C$9="",I386=Recherche!$C$9),OR(Recherche!$C$10="",G386&amp;""=Recherche!$C$10&amp;""),OR(Recherche!$C$11="",E386=Recherche!$C$11),OR(Recherche!$C$12="",ISNUMBER(SEARCH(Recherche!$C$12,M386&amp;" "&amp;F386)))),1,0)</f>
        <v>8</v>
      </c>
    </row>
    <row r="387" customFormat="false" ht="15" hidden="false" customHeight="false" outlineLevel="0" collapsed="false">
      <c r="A387" s="19"/>
      <c r="B387" s="19"/>
      <c r="C387" s="19"/>
      <c r="D387" s="19"/>
      <c r="E387" s="22"/>
      <c r="F387" s="19"/>
      <c r="G387" s="26" t="str">
        <f aca="false">IF(D387="","",IFERROR(VALUE(LEFT(D387,FIND(" |",D387&amp;" |")-1)),"?"))</f>
        <v/>
      </c>
      <c r="H387" s="27" t="str">
        <f aca="false">IF(G387="","",IF(G387="?","⚠ pub inconnue",IFERROR(INDEX(Pubs!$B$2:$B$3001,MATCH(G387,Pubs!$A$2:$A$3001,0))&amp;"","⚠ pub inconnue")))</f>
        <v/>
      </c>
      <c r="I387" s="27" t="str">
        <f aca="false">IF(OR(G387="",G387="?"),"",IFERROR(INDEX(Pubs!$C$2:$C$3001,MATCH(G387,Pubs!$A$2:$A$3001,0))&amp;"",""))</f>
        <v/>
      </c>
      <c r="J387" s="27" t="str">
        <f aca="false">IF(OR(G387="",G387="?"),"",IFERROR(INDEX(Pubs!$G$2:$G$3001,MATCH(G387,Pubs!$A$2:$A$3001,0))&amp;"",""))</f>
        <v/>
      </c>
      <c r="K387" s="28" t="str">
        <f aca="false">IF(OR(G387="",G387="?"),"",IFERROR(INDEX(Pubs!$E$2:$E$3001,MATCH(G387,Pubs!$A$2:$A$3001,0)),""))</f>
        <v/>
      </c>
      <c r="L387" s="29" t="str">
        <f aca="false">IF(A387="","",IFERROR(1/(1/INDEX(Numéros!$C$2:$C$3001,MATCH(A387&amp;"|"&amp;B387,Numéros!$F$2:$F$3001,0))),""))</f>
        <v/>
      </c>
      <c r="M387" s="27" t="str">
        <f aca="false">IF(OR(G387="",G387="?"),"",IFERROR(INDEX(Pubs!$D$2:$D$3001,MATCH(G387,Pubs!$A$2:$A$3001,0))&amp;"",""))</f>
        <v/>
      </c>
      <c r="N387" s="27" t="n">
        <f aca="false">N(N386)+IF(AND(A387&lt;&gt;"",OR(Recherche!$C$4="",A387=Recherche!$C$4),OR(Recherche!$C$5="",B387&amp;""=Recherche!$C$5&amp;""),OR(Recherche!$C$6="",IFERROR(YEAR(L387),0)=Recherche!$C$6),OR(Recherche!$C$7="",ISNUMBER(SEARCH(Recherche!$C$7,H387))),OR(Recherche!$C$8="",J387=Recherche!$C$8),OR(Recherche!$C$9="",I387=Recherche!$C$9),OR(Recherche!$C$10="",G387&amp;""=Recherche!$C$10&amp;""),OR(Recherche!$C$11="",E387=Recherche!$C$11),OR(Recherche!$C$12="",ISNUMBER(SEARCH(Recherche!$C$12,M387&amp;" "&amp;F387)))),1,0)</f>
        <v>8</v>
      </c>
    </row>
    <row r="388" customFormat="false" ht="15" hidden="false" customHeight="false" outlineLevel="0" collapsed="false">
      <c r="A388" s="19"/>
      <c r="B388" s="19"/>
      <c r="C388" s="19"/>
      <c r="D388" s="19"/>
      <c r="E388" s="22"/>
      <c r="F388" s="19"/>
      <c r="G388" s="26" t="str">
        <f aca="false">IF(D388="","",IFERROR(VALUE(LEFT(D388,FIND(" |",D388&amp;" |")-1)),"?"))</f>
        <v/>
      </c>
      <c r="H388" s="27" t="str">
        <f aca="false">IF(G388="","",IF(G388="?","⚠ pub inconnue",IFERROR(INDEX(Pubs!$B$2:$B$3001,MATCH(G388,Pubs!$A$2:$A$3001,0))&amp;"","⚠ pub inconnue")))</f>
        <v/>
      </c>
      <c r="I388" s="27" t="str">
        <f aca="false">IF(OR(G388="",G388="?"),"",IFERROR(INDEX(Pubs!$C$2:$C$3001,MATCH(G388,Pubs!$A$2:$A$3001,0))&amp;"",""))</f>
        <v/>
      </c>
      <c r="J388" s="27" t="str">
        <f aca="false">IF(OR(G388="",G388="?"),"",IFERROR(INDEX(Pubs!$G$2:$G$3001,MATCH(G388,Pubs!$A$2:$A$3001,0))&amp;"",""))</f>
        <v/>
      </c>
      <c r="K388" s="28" t="str">
        <f aca="false">IF(OR(G388="",G388="?"),"",IFERROR(INDEX(Pubs!$E$2:$E$3001,MATCH(G388,Pubs!$A$2:$A$3001,0)),""))</f>
        <v/>
      </c>
      <c r="L388" s="29" t="str">
        <f aca="false">IF(A388="","",IFERROR(1/(1/INDEX(Numéros!$C$2:$C$3001,MATCH(A388&amp;"|"&amp;B388,Numéros!$F$2:$F$3001,0))),""))</f>
        <v/>
      </c>
      <c r="M388" s="27" t="str">
        <f aca="false">IF(OR(G388="",G388="?"),"",IFERROR(INDEX(Pubs!$D$2:$D$3001,MATCH(G388,Pubs!$A$2:$A$3001,0))&amp;"",""))</f>
        <v/>
      </c>
      <c r="N388" s="27" t="n">
        <f aca="false">N(N387)+IF(AND(A388&lt;&gt;"",OR(Recherche!$C$4="",A388=Recherche!$C$4),OR(Recherche!$C$5="",B388&amp;""=Recherche!$C$5&amp;""),OR(Recherche!$C$6="",IFERROR(YEAR(L388),0)=Recherche!$C$6),OR(Recherche!$C$7="",ISNUMBER(SEARCH(Recherche!$C$7,H388))),OR(Recherche!$C$8="",J388=Recherche!$C$8),OR(Recherche!$C$9="",I388=Recherche!$C$9),OR(Recherche!$C$10="",G388&amp;""=Recherche!$C$10&amp;""),OR(Recherche!$C$11="",E388=Recherche!$C$11),OR(Recherche!$C$12="",ISNUMBER(SEARCH(Recherche!$C$12,M388&amp;" "&amp;F388)))),1,0)</f>
        <v>8</v>
      </c>
    </row>
    <row r="389" customFormat="false" ht="15" hidden="false" customHeight="false" outlineLevel="0" collapsed="false">
      <c r="A389" s="19"/>
      <c r="B389" s="19"/>
      <c r="C389" s="19"/>
      <c r="D389" s="19"/>
      <c r="E389" s="22"/>
      <c r="F389" s="19"/>
      <c r="G389" s="26" t="str">
        <f aca="false">IF(D389="","",IFERROR(VALUE(LEFT(D389,FIND(" |",D389&amp;" |")-1)),"?"))</f>
        <v/>
      </c>
      <c r="H389" s="27" t="str">
        <f aca="false">IF(G389="","",IF(G389="?","⚠ pub inconnue",IFERROR(INDEX(Pubs!$B$2:$B$3001,MATCH(G389,Pubs!$A$2:$A$3001,0))&amp;"","⚠ pub inconnue")))</f>
        <v/>
      </c>
      <c r="I389" s="27" t="str">
        <f aca="false">IF(OR(G389="",G389="?"),"",IFERROR(INDEX(Pubs!$C$2:$C$3001,MATCH(G389,Pubs!$A$2:$A$3001,0))&amp;"",""))</f>
        <v/>
      </c>
      <c r="J389" s="27" t="str">
        <f aca="false">IF(OR(G389="",G389="?"),"",IFERROR(INDEX(Pubs!$G$2:$G$3001,MATCH(G389,Pubs!$A$2:$A$3001,0))&amp;"",""))</f>
        <v/>
      </c>
      <c r="K389" s="28" t="str">
        <f aca="false">IF(OR(G389="",G389="?"),"",IFERROR(INDEX(Pubs!$E$2:$E$3001,MATCH(G389,Pubs!$A$2:$A$3001,0)),""))</f>
        <v/>
      </c>
      <c r="L389" s="29" t="str">
        <f aca="false">IF(A389="","",IFERROR(1/(1/INDEX(Numéros!$C$2:$C$3001,MATCH(A389&amp;"|"&amp;B389,Numéros!$F$2:$F$3001,0))),""))</f>
        <v/>
      </c>
      <c r="M389" s="27" t="str">
        <f aca="false">IF(OR(G389="",G389="?"),"",IFERROR(INDEX(Pubs!$D$2:$D$3001,MATCH(G389,Pubs!$A$2:$A$3001,0))&amp;"",""))</f>
        <v/>
      </c>
      <c r="N389" s="27" t="n">
        <f aca="false">N(N388)+IF(AND(A389&lt;&gt;"",OR(Recherche!$C$4="",A389=Recherche!$C$4),OR(Recherche!$C$5="",B389&amp;""=Recherche!$C$5&amp;""),OR(Recherche!$C$6="",IFERROR(YEAR(L389),0)=Recherche!$C$6),OR(Recherche!$C$7="",ISNUMBER(SEARCH(Recherche!$C$7,H389))),OR(Recherche!$C$8="",J389=Recherche!$C$8),OR(Recherche!$C$9="",I389=Recherche!$C$9),OR(Recherche!$C$10="",G389&amp;""=Recherche!$C$10&amp;""),OR(Recherche!$C$11="",E389=Recherche!$C$11),OR(Recherche!$C$12="",ISNUMBER(SEARCH(Recherche!$C$12,M389&amp;" "&amp;F389)))),1,0)</f>
        <v>8</v>
      </c>
    </row>
    <row r="390" customFormat="false" ht="15" hidden="false" customHeight="false" outlineLevel="0" collapsed="false">
      <c r="A390" s="19"/>
      <c r="B390" s="19"/>
      <c r="C390" s="19"/>
      <c r="D390" s="19"/>
      <c r="E390" s="22"/>
      <c r="F390" s="19"/>
      <c r="G390" s="26" t="str">
        <f aca="false">IF(D390="","",IFERROR(VALUE(LEFT(D390,FIND(" |",D390&amp;" |")-1)),"?"))</f>
        <v/>
      </c>
      <c r="H390" s="27" t="str">
        <f aca="false">IF(G390="","",IF(G390="?","⚠ pub inconnue",IFERROR(INDEX(Pubs!$B$2:$B$3001,MATCH(G390,Pubs!$A$2:$A$3001,0))&amp;"","⚠ pub inconnue")))</f>
        <v/>
      </c>
      <c r="I390" s="27" t="str">
        <f aca="false">IF(OR(G390="",G390="?"),"",IFERROR(INDEX(Pubs!$C$2:$C$3001,MATCH(G390,Pubs!$A$2:$A$3001,0))&amp;"",""))</f>
        <v/>
      </c>
      <c r="J390" s="27" t="str">
        <f aca="false">IF(OR(G390="",G390="?"),"",IFERROR(INDEX(Pubs!$G$2:$G$3001,MATCH(G390,Pubs!$A$2:$A$3001,0))&amp;"",""))</f>
        <v/>
      </c>
      <c r="K390" s="28" t="str">
        <f aca="false">IF(OR(G390="",G390="?"),"",IFERROR(INDEX(Pubs!$E$2:$E$3001,MATCH(G390,Pubs!$A$2:$A$3001,0)),""))</f>
        <v/>
      </c>
      <c r="L390" s="29" t="str">
        <f aca="false">IF(A390="","",IFERROR(1/(1/INDEX(Numéros!$C$2:$C$3001,MATCH(A390&amp;"|"&amp;B390,Numéros!$F$2:$F$3001,0))),""))</f>
        <v/>
      </c>
      <c r="M390" s="27" t="str">
        <f aca="false">IF(OR(G390="",G390="?"),"",IFERROR(INDEX(Pubs!$D$2:$D$3001,MATCH(G390,Pubs!$A$2:$A$3001,0))&amp;"",""))</f>
        <v/>
      </c>
      <c r="N390" s="27" t="n">
        <f aca="false">N(N389)+IF(AND(A390&lt;&gt;"",OR(Recherche!$C$4="",A390=Recherche!$C$4),OR(Recherche!$C$5="",B390&amp;""=Recherche!$C$5&amp;""),OR(Recherche!$C$6="",IFERROR(YEAR(L390),0)=Recherche!$C$6),OR(Recherche!$C$7="",ISNUMBER(SEARCH(Recherche!$C$7,H390))),OR(Recherche!$C$8="",J390=Recherche!$C$8),OR(Recherche!$C$9="",I390=Recherche!$C$9),OR(Recherche!$C$10="",G390&amp;""=Recherche!$C$10&amp;""),OR(Recherche!$C$11="",E390=Recherche!$C$11),OR(Recherche!$C$12="",ISNUMBER(SEARCH(Recherche!$C$12,M390&amp;" "&amp;F390)))),1,0)</f>
        <v>8</v>
      </c>
    </row>
    <row r="391" customFormat="false" ht="15" hidden="false" customHeight="false" outlineLevel="0" collapsed="false">
      <c r="A391" s="19"/>
      <c r="B391" s="19"/>
      <c r="C391" s="19"/>
      <c r="D391" s="19"/>
      <c r="E391" s="22"/>
      <c r="F391" s="19"/>
      <c r="G391" s="26" t="str">
        <f aca="false">IF(D391="","",IFERROR(VALUE(LEFT(D391,FIND(" |",D391&amp;" |")-1)),"?"))</f>
        <v/>
      </c>
      <c r="H391" s="27" t="str">
        <f aca="false">IF(G391="","",IF(G391="?","⚠ pub inconnue",IFERROR(INDEX(Pubs!$B$2:$B$3001,MATCH(G391,Pubs!$A$2:$A$3001,0))&amp;"","⚠ pub inconnue")))</f>
        <v/>
      </c>
      <c r="I391" s="27" t="str">
        <f aca="false">IF(OR(G391="",G391="?"),"",IFERROR(INDEX(Pubs!$C$2:$C$3001,MATCH(G391,Pubs!$A$2:$A$3001,0))&amp;"",""))</f>
        <v/>
      </c>
      <c r="J391" s="27" t="str">
        <f aca="false">IF(OR(G391="",G391="?"),"",IFERROR(INDEX(Pubs!$G$2:$G$3001,MATCH(G391,Pubs!$A$2:$A$3001,0))&amp;"",""))</f>
        <v/>
      </c>
      <c r="K391" s="28" t="str">
        <f aca="false">IF(OR(G391="",G391="?"),"",IFERROR(INDEX(Pubs!$E$2:$E$3001,MATCH(G391,Pubs!$A$2:$A$3001,0)),""))</f>
        <v/>
      </c>
      <c r="L391" s="29" t="str">
        <f aca="false">IF(A391="","",IFERROR(1/(1/INDEX(Numéros!$C$2:$C$3001,MATCH(A391&amp;"|"&amp;B391,Numéros!$F$2:$F$3001,0))),""))</f>
        <v/>
      </c>
      <c r="M391" s="27" t="str">
        <f aca="false">IF(OR(G391="",G391="?"),"",IFERROR(INDEX(Pubs!$D$2:$D$3001,MATCH(G391,Pubs!$A$2:$A$3001,0))&amp;"",""))</f>
        <v/>
      </c>
      <c r="N391" s="27" t="n">
        <f aca="false">N(N390)+IF(AND(A391&lt;&gt;"",OR(Recherche!$C$4="",A391=Recherche!$C$4),OR(Recherche!$C$5="",B391&amp;""=Recherche!$C$5&amp;""),OR(Recherche!$C$6="",IFERROR(YEAR(L391),0)=Recherche!$C$6),OR(Recherche!$C$7="",ISNUMBER(SEARCH(Recherche!$C$7,H391))),OR(Recherche!$C$8="",J391=Recherche!$C$8),OR(Recherche!$C$9="",I391=Recherche!$C$9),OR(Recherche!$C$10="",G391&amp;""=Recherche!$C$10&amp;""),OR(Recherche!$C$11="",E391=Recherche!$C$11),OR(Recherche!$C$12="",ISNUMBER(SEARCH(Recherche!$C$12,M391&amp;" "&amp;F391)))),1,0)</f>
        <v>8</v>
      </c>
    </row>
    <row r="392" customFormat="false" ht="15" hidden="false" customHeight="false" outlineLevel="0" collapsed="false">
      <c r="A392" s="19"/>
      <c r="B392" s="19"/>
      <c r="C392" s="19"/>
      <c r="D392" s="19"/>
      <c r="E392" s="22"/>
      <c r="F392" s="19"/>
      <c r="G392" s="26" t="str">
        <f aca="false">IF(D392="","",IFERROR(VALUE(LEFT(D392,FIND(" |",D392&amp;" |")-1)),"?"))</f>
        <v/>
      </c>
      <c r="H392" s="27" t="str">
        <f aca="false">IF(G392="","",IF(G392="?","⚠ pub inconnue",IFERROR(INDEX(Pubs!$B$2:$B$3001,MATCH(G392,Pubs!$A$2:$A$3001,0))&amp;"","⚠ pub inconnue")))</f>
        <v/>
      </c>
      <c r="I392" s="27" t="str">
        <f aca="false">IF(OR(G392="",G392="?"),"",IFERROR(INDEX(Pubs!$C$2:$C$3001,MATCH(G392,Pubs!$A$2:$A$3001,0))&amp;"",""))</f>
        <v/>
      </c>
      <c r="J392" s="27" t="str">
        <f aca="false">IF(OR(G392="",G392="?"),"",IFERROR(INDEX(Pubs!$G$2:$G$3001,MATCH(G392,Pubs!$A$2:$A$3001,0))&amp;"",""))</f>
        <v/>
      </c>
      <c r="K392" s="28" t="str">
        <f aca="false">IF(OR(G392="",G392="?"),"",IFERROR(INDEX(Pubs!$E$2:$E$3001,MATCH(G392,Pubs!$A$2:$A$3001,0)),""))</f>
        <v/>
      </c>
      <c r="L392" s="29" t="str">
        <f aca="false">IF(A392="","",IFERROR(1/(1/INDEX(Numéros!$C$2:$C$3001,MATCH(A392&amp;"|"&amp;B392,Numéros!$F$2:$F$3001,0))),""))</f>
        <v/>
      </c>
      <c r="M392" s="27" t="str">
        <f aca="false">IF(OR(G392="",G392="?"),"",IFERROR(INDEX(Pubs!$D$2:$D$3001,MATCH(G392,Pubs!$A$2:$A$3001,0))&amp;"",""))</f>
        <v/>
      </c>
      <c r="N392" s="27" t="n">
        <f aca="false">N(N391)+IF(AND(A392&lt;&gt;"",OR(Recherche!$C$4="",A392=Recherche!$C$4),OR(Recherche!$C$5="",B392&amp;""=Recherche!$C$5&amp;""),OR(Recherche!$C$6="",IFERROR(YEAR(L392),0)=Recherche!$C$6),OR(Recherche!$C$7="",ISNUMBER(SEARCH(Recherche!$C$7,H392))),OR(Recherche!$C$8="",J392=Recherche!$C$8),OR(Recherche!$C$9="",I392=Recherche!$C$9),OR(Recherche!$C$10="",G392&amp;""=Recherche!$C$10&amp;""),OR(Recherche!$C$11="",E392=Recherche!$C$11),OR(Recherche!$C$12="",ISNUMBER(SEARCH(Recherche!$C$12,M392&amp;" "&amp;F392)))),1,0)</f>
        <v>8</v>
      </c>
    </row>
    <row r="393" customFormat="false" ht="15" hidden="false" customHeight="false" outlineLevel="0" collapsed="false">
      <c r="A393" s="19"/>
      <c r="B393" s="19"/>
      <c r="C393" s="19"/>
      <c r="D393" s="19"/>
      <c r="E393" s="22"/>
      <c r="F393" s="19"/>
      <c r="G393" s="26" t="str">
        <f aca="false">IF(D393="","",IFERROR(VALUE(LEFT(D393,FIND(" |",D393&amp;" |")-1)),"?"))</f>
        <v/>
      </c>
      <c r="H393" s="27" t="str">
        <f aca="false">IF(G393="","",IF(G393="?","⚠ pub inconnue",IFERROR(INDEX(Pubs!$B$2:$B$3001,MATCH(G393,Pubs!$A$2:$A$3001,0))&amp;"","⚠ pub inconnue")))</f>
        <v/>
      </c>
      <c r="I393" s="27" t="str">
        <f aca="false">IF(OR(G393="",G393="?"),"",IFERROR(INDEX(Pubs!$C$2:$C$3001,MATCH(G393,Pubs!$A$2:$A$3001,0))&amp;"",""))</f>
        <v/>
      </c>
      <c r="J393" s="27" t="str">
        <f aca="false">IF(OR(G393="",G393="?"),"",IFERROR(INDEX(Pubs!$G$2:$G$3001,MATCH(G393,Pubs!$A$2:$A$3001,0))&amp;"",""))</f>
        <v/>
      </c>
      <c r="K393" s="28" t="str">
        <f aca="false">IF(OR(G393="",G393="?"),"",IFERROR(INDEX(Pubs!$E$2:$E$3001,MATCH(G393,Pubs!$A$2:$A$3001,0)),""))</f>
        <v/>
      </c>
      <c r="L393" s="29" t="str">
        <f aca="false">IF(A393="","",IFERROR(1/(1/INDEX(Numéros!$C$2:$C$3001,MATCH(A393&amp;"|"&amp;B393,Numéros!$F$2:$F$3001,0))),""))</f>
        <v/>
      </c>
      <c r="M393" s="27" t="str">
        <f aca="false">IF(OR(G393="",G393="?"),"",IFERROR(INDEX(Pubs!$D$2:$D$3001,MATCH(G393,Pubs!$A$2:$A$3001,0))&amp;"",""))</f>
        <v/>
      </c>
      <c r="N393" s="27" t="n">
        <f aca="false">N(N392)+IF(AND(A393&lt;&gt;"",OR(Recherche!$C$4="",A393=Recherche!$C$4),OR(Recherche!$C$5="",B393&amp;""=Recherche!$C$5&amp;""),OR(Recherche!$C$6="",IFERROR(YEAR(L393),0)=Recherche!$C$6),OR(Recherche!$C$7="",ISNUMBER(SEARCH(Recherche!$C$7,H393))),OR(Recherche!$C$8="",J393=Recherche!$C$8),OR(Recherche!$C$9="",I393=Recherche!$C$9),OR(Recherche!$C$10="",G393&amp;""=Recherche!$C$10&amp;""),OR(Recherche!$C$11="",E393=Recherche!$C$11),OR(Recherche!$C$12="",ISNUMBER(SEARCH(Recherche!$C$12,M393&amp;" "&amp;F393)))),1,0)</f>
        <v>8</v>
      </c>
    </row>
    <row r="394" customFormat="false" ht="15" hidden="false" customHeight="false" outlineLevel="0" collapsed="false">
      <c r="A394" s="19"/>
      <c r="B394" s="19"/>
      <c r="C394" s="19"/>
      <c r="D394" s="19"/>
      <c r="E394" s="22"/>
      <c r="F394" s="19"/>
      <c r="G394" s="26" t="str">
        <f aca="false">IF(D394="","",IFERROR(VALUE(LEFT(D394,FIND(" |",D394&amp;" |")-1)),"?"))</f>
        <v/>
      </c>
      <c r="H394" s="27" t="str">
        <f aca="false">IF(G394="","",IF(G394="?","⚠ pub inconnue",IFERROR(INDEX(Pubs!$B$2:$B$3001,MATCH(G394,Pubs!$A$2:$A$3001,0))&amp;"","⚠ pub inconnue")))</f>
        <v/>
      </c>
      <c r="I394" s="27" t="str">
        <f aca="false">IF(OR(G394="",G394="?"),"",IFERROR(INDEX(Pubs!$C$2:$C$3001,MATCH(G394,Pubs!$A$2:$A$3001,0))&amp;"",""))</f>
        <v/>
      </c>
      <c r="J394" s="27" t="str">
        <f aca="false">IF(OR(G394="",G394="?"),"",IFERROR(INDEX(Pubs!$G$2:$G$3001,MATCH(G394,Pubs!$A$2:$A$3001,0))&amp;"",""))</f>
        <v/>
      </c>
      <c r="K394" s="28" t="str">
        <f aca="false">IF(OR(G394="",G394="?"),"",IFERROR(INDEX(Pubs!$E$2:$E$3001,MATCH(G394,Pubs!$A$2:$A$3001,0)),""))</f>
        <v/>
      </c>
      <c r="L394" s="29" t="str">
        <f aca="false">IF(A394="","",IFERROR(1/(1/INDEX(Numéros!$C$2:$C$3001,MATCH(A394&amp;"|"&amp;B394,Numéros!$F$2:$F$3001,0))),""))</f>
        <v/>
      </c>
      <c r="M394" s="27" t="str">
        <f aca="false">IF(OR(G394="",G394="?"),"",IFERROR(INDEX(Pubs!$D$2:$D$3001,MATCH(G394,Pubs!$A$2:$A$3001,0))&amp;"",""))</f>
        <v/>
      </c>
      <c r="N394" s="27" t="n">
        <f aca="false">N(N393)+IF(AND(A394&lt;&gt;"",OR(Recherche!$C$4="",A394=Recherche!$C$4),OR(Recherche!$C$5="",B394&amp;""=Recherche!$C$5&amp;""),OR(Recherche!$C$6="",IFERROR(YEAR(L394),0)=Recherche!$C$6),OR(Recherche!$C$7="",ISNUMBER(SEARCH(Recherche!$C$7,H394))),OR(Recherche!$C$8="",J394=Recherche!$C$8),OR(Recherche!$C$9="",I394=Recherche!$C$9),OR(Recherche!$C$10="",G394&amp;""=Recherche!$C$10&amp;""),OR(Recherche!$C$11="",E394=Recherche!$C$11),OR(Recherche!$C$12="",ISNUMBER(SEARCH(Recherche!$C$12,M394&amp;" "&amp;F394)))),1,0)</f>
        <v>8</v>
      </c>
    </row>
    <row r="395" customFormat="false" ht="15" hidden="false" customHeight="false" outlineLevel="0" collapsed="false">
      <c r="A395" s="19"/>
      <c r="B395" s="19"/>
      <c r="C395" s="19"/>
      <c r="D395" s="19"/>
      <c r="E395" s="22"/>
      <c r="F395" s="19"/>
      <c r="G395" s="26" t="str">
        <f aca="false">IF(D395="","",IFERROR(VALUE(LEFT(D395,FIND(" |",D395&amp;" |")-1)),"?"))</f>
        <v/>
      </c>
      <c r="H395" s="27" t="str">
        <f aca="false">IF(G395="","",IF(G395="?","⚠ pub inconnue",IFERROR(INDEX(Pubs!$B$2:$B$3001,MATCH(G395,Pubs!$A$2:$A$3001,0))&amp;"","⚠ pub inconnue")))</f>
        <v/>
      </c>
      <c r="I395" s="27" t="str">
        <f aca="false">IF(OR(G395="",G395="?"),"",IFERROR(INDEX(Pubs!$C$2:$C$3001,MATCH(G395,Pubs!$A$2:$A$3001,0))&amp;"",""))</f>
        <v/>
      </c>
      <c r="J395" s="27" t="str">
        <f aca="false">IF(OR(G395="",G395="?"),"",IFERROR(INDEX(Pubs!$G$2:$G$3001,MATCH(G395,Pubs!$A$2:$A$3001,0))&amp;"",""))</f>
        <v/>
      </c>
      <c r="K395" s="28" t="str">
        <f aca="false">IF(OR(G395="",G395="?"),"",IFERROR(INDEX(Pubs!$E$2:$E$3001,MATCH(G395,Pubs!$A$2:$A$3001,0)),""))</f>
        <v/>
      </c>
      <c r="L395" s="29" t="str">
        <f aca="false">IF(A395="","",IFERROR(1/(1/INDEX(Numéros!$C$2:$C$3001,MATCH(A395&amp;"|"&amp;B395,Numéros!$F$2:$F$3001,0))),""))</f>
        <v/>
      </c>
      <c r="M395" s="27" t="str">
        <f aca="false">IF(OR(G395="",G395="?"),"",IFERROR(INDEX(Pubs!$D$2:$D$3001,MATCH(G395,Pubs!$A$2:$A$3001,0))&amp;"",""))</f>
        <v/>
      </c>
      <c r="N395" s="27" t="n">
        <f aca="false">N(N394)+IF(AND(A395&lt;&gt;"",OR(Recherche!$C$4="",A395=Recherche!$C$4),OR(Recherche!$C$5="",B395&amp;""=Recherche!$C$5&amp;""),OR(Recherche!$C$6="",IFERROR(YEAR(L395),0)=Recherche!$C$6),OR(Recherche!$C$7="",ISNUMBER(SEARCH(Recherche!$C$7,H395))),OR(Recherche!$C$8="",J395=Recherche!$C$8),OR(Recherche!$C$9="",I395=Recherche!$C$9),OR(Recherche!$C$10="",G395&amp;""=Recherche!$C$10&amp;""),OR(Recherche!$C$11="",E395=Recherche!$C$11),OR(Recherche!$C$12="",ISNUMBER(SEARCH(Recherche!$C$12,M395&amp;" "&amp;F395)))),1,0)</f>
        <v>8</v>
      </c>
    </row>
    <row r="396" customFormat="false" ht="15" hidden="false" customHeight="false" outlineLevel="0" collapsed="false">
      <c r="A396" s="19"/>
      <c r="B396" s="19"/>
      <c r="C396" s="19"/>
      <c r="D396" s="19"/>
      <c r="E396" s="22"/>
      <c r="F396" s="19"/>
      <c r="G396" s="26" t="str">
        <f aca="false">IF(D396="","",IFERROR(VALUE(LEFT(D396,FIND(" |",D396&amp;" |")-1)),"?"))</f>
        <v/>
      </c>
      <c r="H396" s="27" t="str">
        <f aca="false">IF(G396="","",IF(G396="?","⚠ pub inconnue",IFERROR(INDEX(Pubs!$B$2:$B$3001,MATCH(G396,Pubs!$A$2:$A$3001,0))&amp;"","⚠ pub inconnue")))</f>
        <v/>
      </c>
      <c r="I396" s="27" t="str">
        <f aca="false">IF(OR(G396="",G396="?"),"",IFERROR(INDEX(Pubs!$C$2:$C$3001,MATCH(G396,Pubs!$A$2:$A$3001,0))&amp;"",""))</f>
        <v/>
      </c>
      <c r="J396" s="27" t="str">
        <f aca="false">IF(OR(G396="",G396="?"),"",IFERROR(INDEX(Pubs!$G$2:$G$3001,MATCH(G396,Pubs!$A$2:$A$3001,0))&amp;"",""))</f>
        <v/>
      </c>
      <c r="K396" s="28" t="str">
        <f aca="false">IF(OR(G396="",G396="?"),"",IFERROR(INDEX(Pubs!$E$2:$E$3001,MATCH(G396,Pubs!$A$2:$A$3001,0)),""))</f>
        <v/>
      </c>
      <c r="L396" s="29" t="str">
        <f aca="false">IF(A396="","",IFERROR(1/(1/INDEX(Numéros!$C$2:$C$3001,MATCH(A396&amp;"|"&amp;B396,Numéros!$F$2:$F$3001,0))),""))</f>
        <v/>
      </c>
      <c r="M396" s="27" t="str">
        <f aca="false">IF(OR(G396="",G396="?"),"",IFERROR(INDEX(Pubs!$D$2:$D$3001,MATCH(G396,Pubs!$A$2:$A$3001,0))&amp;"",""))</f>
        <v/>
      </c>
      <c r="N396" s="27" t="n">
        <f aca="false">N(N395)+IF(AND(A396&lt;&gt;"",OR(Recherche!$C$4="",A396=Recherche!$C$4),OR(Recherche!$C$5="",B396&amp;""=Recherche!$C$5&amp;""),OR(Recherche!$C$6="",IFERROR(YEAR(L396),0)=Recherche!$C$6),OR(Recherche!$C$7="",ISNUMBER(SEARCH(Recherche!$C$7,H396))),OR(Recherche!$C$8="",J396=Recherche!$C$8),OR(Recherche!$C$9="",I396=Recherche!$C$9),OR(Recherche!$C$10="",G396&amp;""=Recherche!$C$10&amp;""),OR(Recherche!$C$11="",E396=Recherche!$C$11),OR(Recherche!$C$12="",ISNUMBER(SEARCH(Recherche!$C$12,M396&amp;" "&amp;F396)))),1,0)</f>
        <v>8</v>
      </c>
    </row>
    <row r="397" customFormat="false" ht="15" hidden="false" customHeight="false" outlineLevel="0" collapsed="false">
      <c r="A397" s="19"/>
      <c r="B397" s="19"/>
      <c r="C397" s="19"/>
      <c r="D397" s="19"/>
      <c r="E397" s="22"/>
      <c r="F397" s="19"/>
      <c r="G397" s="26" t="str">
        <f aca="false">IF(D397="","",IFERROR(VALUE(LEFT(D397,FIND(" |",D397&amp;" |")-1)),"?"))</f>
        <v/>
      </c>
      <c r="H397" s="27" t="str">
        <f aca="false">IF(G397="","",IF(G397="?","⚠ pub inconnue",IFERROR(INDEX(Pubs!$B$2:$B$3001,MATCH(G397,Pubs!$A$2:$A$3001,0))&amp;"","⚠ pub inconnue")))</f>
        <v/>
      </c>
      <c r="I397" s="27" t="str">
        <f aca="false">IF(OR(G397="",G397="?"),"",IFERROR(INDEX(Pubs!$C$2:$C$3001,MATCH(G397,Pubs!$A$2:$A$3001,0))&amp;"",""))</f>
        <v/>
      </c>
      <c r="J397" s="27" t="str">
        <f aca="false">IF(OR(G397="",G397="?"),"",IFERROR(INDEX(Pubs!$G$2:$G$3001,MATCH(G397,Pubs!$A$2:$A$3001,0))&amp;"",""))</f>
        <v/>
      </c>
      <c r="K397" s="28" t="str">
        <f aca="false">IF(OR(G397="",G397="?"),"",IFERROR(INDEX(Pubs!$E$2:$E$3001,MATCH(G397,Pubs!$A$2:$A$3001,0)),""))</f>
        <v/>
      </c>
      <c r="L397" s="29" t="str">
        <f aca="false">IF(A397="","",IFERROR(1/(1/INDEX(Numéros!$C$2:$C$3001,MATCH(A397&amp;"|"&amp;B397,Numéros!$F$2:$F$3001,0))),""))</f>
        <v/>
      </c>
      <c r="M397" s="27" t="str">
        <f aca="false">IF(OR(G397="",G397="?"),"",IFERROR(INDEX(Pubs!$D$2:$D$3001,MATCH(G397,Pubs!$A$2:$A$3001,0))&amp;"",""))</f>
        <v/>
      </c>
      <c r="N397" s="27" t="n">
        <f aca="false">N(N396)+IF(AND(A397&lt;&gt;"",OR(Recherche!$C$4="",A397=Recherche!$C$4),OR(Recherche!$C$5="",B397&amp;""=Recherche!$C$5&amp;""),OR(Recherche!$C$6="",IFERROR(YEAR(L397),0)=Recherche!$C$6),OR(Recherche!$C$7="",ISNUMBER(SEARCH(Recherche!$C$7,H397))),OR(Recherche!$C$8="",J397=Recherche!$C$8),OR(Recherche!$C$9="",I397=Recherche!$C$9),OR(Recherche!$C$10="",G397&amp;""=Recherche!$C$10&amp;""),OR(Recherche!$C$11="",E397=Recherche!$C$11),OR(Recherche!$C$12="",ISNUMBER(SEARCH(Recherche!$C$12,M397&amp;" "&amp;F397)))),1,0)</f>
        <v>8</v>
      </c>
    </row>
    <row r="398" customFormat="false" ht="15" hidden="false" customHeight="false" outlineLevel="0" collapsed="false">
      <c r="A398" s="19"/>
      <c r="B398" s="19"/>
      <c r="C398" s="19"/>
      <c r="D398" s="19"/>
      <c r="E398" s="22"/>
      <c r="F398" s="19"/>
      <c r="G398" s="26" t="str">
        <f aca="false">IF(D398="","",IFERROR(VALUE(LEFT(D398,FIND(" |",D398&amp;" |")-1)),"?"))</f>
        <v/>
      </c>
      <c r="H398" s="27" t="str">
        <f aca="false">IF(G398="","",IF(G398="?","⚠ pub inconnue",IFERROR(INDEX(Pubs!$B$2:$B$3001,MATCH(G398,Pubs!$A$2:$A$3001,0))&amp;"","⚠ pub inconnue")))</f>
        <v/>
      </c>
      <c r="I398" s="27" t="str">
        <f aca="false">IF(OR(G398="",G398="?"),"",IFERROR(INDEX(Pubs!$C$2:$C$3001,MATCH(G398,Pubs!$A$2:$A$3001,0))&amp;"",""))</f>
        <v/>
      </c>
      <c r="J398" s="27" t="str">
        <f aca="false">IF(OR(G398="",G398="?"),"",IFERROR(INDEX(Pubs!$G$2:$G$3001,MATCH(G398,Pubs!$A$2:$A$3001,0))&amp;"",""))</f>
        <v/>
      </c>
      <c r="K398" s="28" t="str">
        <f aca="false">IF(OR(G398="",G398="?"),"",IFERROR(INDEX(Pubs!$E$2:$E$3001,MATCH(G398,Pubs!$A$2:$A$3001,0)),""))</f>
        <v/>
      </c>
      <c r="L398" s="29" t="str">
        <f aca="false">IF(A398="","",IFERROR(1/(1/INDEX(Numéros!$C$2:$C$3001,MATCH(A398&amp;"|"&amp;B398,Numéros!$F$2:$F$3001,0))),""))</f>
        <v/>
      </c>
      <c r="M398" s="27" t="str">
        <f aca="false">IF(OR(G398="",G398="?"),"",IFERROR(INDEX(Pubs!$D$2:$D$3001,MATCH(G398,Pubs!$A$2:$A$3001,0))&amp;"",""))</f>
        <v/>
      </c>
      <c r="N398" s="27" t="n">
        <f aca="false">N(N397)+IF(AND(A398&lt;&gt;"",OR(Recherche!$C$4="",A398=Recherche!$C$4),OR(Recherche!$C$5="",B398&amp;""=Recherche!$C$5&amp;""),OR(Recherche!$C$6="",IFERROR(YEAR(L398),0)=Recherche!$C$6),OR(Recherche!$C$7="",ISNUMBER(SEARCH(Recherche!$C$7,H398))),OR(Recherche!$C$8="",J398=Recherche!$C$8),OR(Recherche!$C$9="",I398=Recherche!$C$9),OR(Recherche!$C$10="",G398&amp;""=Recherche!$C$10&amp;""),OR(Recherche!$C$11="",E398=Recherche!$C$11),OR(Recherche!$C$12="",ISNUMBER(SEARCH(Recherche!$C$12,M398&amp;" "&amp;F398)))),1,0)</f>
        <v>8</v>
      </c>
    </row>
    <row r="399" customFormat="false" ht="15" hidden="false" customHeight="false" outlineLevel="0" collapsed="false">
      <c r="A399" s="19"/>
      <c r="B399" s="19"/>
      <c r="C399" s="19"/>
      <c r="D399" s="19"/>
      <c r="E399" s="22"/>
      <c r="F399" s="19"/>
      <c r="G399" s="26" t="str">
        <f aca="false">IF(D399="","",IFERROR(VALUE(LEFT(D399,FIND(" |",D399&amp;" |")-1)),"?"))</f>
        <v/>
      </c>
      <c r="H399" s="27" t="str">
        <f aca="false">IF(G399="","",IF(G399="?","⚠ pub inconnue",IFERROR(INDEX(Pubs!$B$2:$B$3001,MATCH(G399,Pubs!$A$2:$A$3001,0))&amp;"","⚠ pub inconnue")))</f>
        <v/>
      </c>
      <c r="I399" s="27" t="str">
        <f aca="false">IF(OR(G399="",G399="?"),"",IFERROR(INDEX(Pubs!$C$2:$C$3001,MATCH(G399,Pubs!$A$2:$A$3001,0))&amp;"",""))</f>
        <v/>
      </c>
      <c r="J399" s="27" t="str">
        <f aca="false">IF(OR(G399="",G399="?"),"",IFERROR(INDEX(Pubs!$G$2:$G$3001,MATCH(G399,Pubs!$A$2:$A$3001,0))&amp;"",""))</f>
        <v/>
      </c>
      <c r="K399" s="28" t="str">
        <f aca="false">IF(OR(G399="",G399="?"),"",IFERROR(INDEX(Pubs!$E$2:$E$3001,MATCH(G399,Pubs!$A$2:$A$3001,0)),""))</f>
        <v/>
      </c>
      <c r="L399" s="29" t="str">
        <f aca="false">IF(A399="","",IFERROR(1/(1/INDEX(Numéros!$C$2:$C$3001,MATCH(A399&amp;"|"&amp;B399,Numéros!$F$2:$F$3001,0))),""))</f>
        <v/>
      </c>
      <c r="M399" s="27" t="str">
        <f aca="false">IF(OR(G399="",G399="?"),"",IFERROR(INDEX(Pubs!$D$2:$D$3001,MATCH(G399,Pubs!$A$2:$A$3001,0))&amp;"",""))</f>
        <v/>
      </c>
      <c r="N399" s="27" t="n">
        <f aca="false">N(N398)+IF(AND(A399&lt;&gt;"",OR(Recherche!$C$4="",A399=Recherche!$C$4),OR(Recherche!$C$5="",B399&amp;""=Recherche!$C$5&amp;""),OR(Recherche!$C$6="",IFERROR(YEAR(L399),0)=Recherche!$C$6),OR(Recherche!$C$7="",ISNUMBER(SEARCH(Recherche!$C$7,H399))),OR(Recherche!$C$8="",J399=Recherche!$C$8),OR(Recherche!$C$9="",I399=Recherche!$C$9),OR(Recherche!$C$10="",G399&amp;""=Recherche!$C$10&amp;""),OR(Recherche!$C$11="",E399=Recherche!$C$11),OR(Recherche!$C$12="",ISNUMBER(SEARCH(Recherche!$C$12,M399&amp;" "&amp;F399)))),1,0)</f>
        <v>8</v>
      </c>
    </row>
    <row r="400" customFormat="false" ht="15" hidden="false" customHeight="false" outlineLevel="0" collapsed="false">
      <c r="A400" s="19"/>
      <c r="B400" s="19"/>
      <c r="C400" s="19"/>
      <c r="D400" s="19"/>
      <c r="E400" s="22"/>
      <c r="F400" s="19"/>
      <c r="G400" s="26" t="str">
        <f aca="false">IF(D400="","",IFERROR(VALUE(LEFT(D400,FIND(" |",D400&amp;" |")-1)),"?"))</f>
        <v/>
      </c>
      <c r="H400" s="27" t="str">
        <f aca="false">IF(G400="","",IF(G400="?","⚠ pub inconnue",IFERROR(INDEX(Pubs!$B$2:$B$3001,MATCH(G400,Pubs!$A$2:$A$3001,0))&amp;"","⚠ pub inconnue")))</f>
        <v/>
      </c>
      <c r="I400" s="27" t="str">
        <f aca="false">IF(OR(G400="",G400="?"),"",IFERROR(INDEX(Pubs!$C$2:$C$3001,MATCH(G400,Pubs!$A$2:$A$3001,0))&amp;"",""))</f>
        <v/>
      </c>
      <c r="J400" s="27" t="str">
        <f aca="false">IF(OR(G400="",G400="?"),"",IFERROR(INDEX(Pubs!$G$2:$G$3001,MATCH(G400,Pubs!$A$2:$A$3001,0))&amp;"",""))</f>
        <v/>
      </c>
      <c r="K400" s="28" t="str">
        <f aca="false">IF(OR(G400="",G400="?"),"",IFERROR(INDEX(Pubs!$E$2:$E$3001,MATCH(G400,Pubs!$A$2:$A$3001,0)),""))</f>
        <v/>
      </c>
      <c r="L400" s="29" t="str">
        <f aca="false">IF(A400="","",IFERROR(1/(1/INDEX(Numéros!$C$2:$C$3001,MATCH(A400&amp;"|"&amp;B400,Numéros!$F$2:$F$3001,0))),""))</f>
        <v/>
      </c>
      <c r="M400" s="27" t="str">
        <f aca="false">IF(OR(G400="",G400="?"),"",IFERROR(INDEX(Pubs!$D$2:$D$3001,MATCH(G400,Pubs!$A$2:$A$3001,0))&amp;"",""))</f>
        <v/>
      </c>
      <c r="N400" s="27" t="n">
        <f aca="false">N(N399)+IF(AND(A400&lt;&gt;"",OR(Recherche!$C$4="",A400=Recherche!$C$4),OR(Recherche!$C$5="",B400&amp;""=Recherche!$C$5&amp;""),OR(Recherche!$C$6="",IFERROR(YEAR(L400),0)=Recherche!$C$6),OR(Recherche!$C$7="",ISNUMBER(SEARCH(Recherche!$C$7,H400))),OR(Recherche!$C$8="",J400=Recherche!$C$8),OR(Recherche!$C$9="",I400=Recherche!$C$9),OR(Recherche!$C$10="",G400&amp;""=Recherche!$C$10&amp;""),OR(Recherche!$C$11="",E400=Recherche!$C$11),OR(Recherche!$C$12="",ISNUMBER(SEARCH(Recherche!$C$12,M400&amp;" "&amp;F400)))),1,0)</f>
        <v>8</v>
      </c>
    </row>
    <row r="401" customFormat="false" ht="15" hidden="false" customHeight="false" outlineLevel="0" collapsed="false">
      <c r="A401" s="19"/>
      <c r="B401" s="19"/>
      <c r="C401" s="19"/>
      <c r="D401" s="19"/>
      <c r="E401" s="22"/>
      <c r="F401" s="19"/>
      <c r="G401" s="26" t="str">
        <f aca="false">IF(D401="","",IFERROR(VALUE(LEFT(D401,FIND(" |",D401&amp;" |")-1)),"?"))</f>
        <v/>
      </c>
      <c r="H401" s="27" t="str">
        <f aca="false">IF(G401="","",IF(G401="?","⚠ pub inconnue",IFERROR(INDEX(Pubs!$B$2:$B$3001,MATCH(G401,Pubs!$A$2:$A$3001,0))&amp;"","⚠ pub inconnue")))</f>
        <v/>
      </c>
      <c r="I401" s="27" t="str">
        <f aca="false">IF(OR(G401="",G401="?"),"",IFERROR(INDEX(Pubs!$C$2:$C$3001,MATCH(G401,Pubs!$A$2:$A$3001,0))&amp;"",""))</f>
        <v/>
      </c>
      <c r="J401" s="27" t="str">
        <f aca="false">IF(OR(G401="",G401="?"),"",IFERROR(INDEX(Pubs!$G$2:$G$3001,MATCH(G401,Pubs!$A$2:$A$3001,0))&amp;"",""))</f>
        <v/>
      </c>
      <c r="K401" s="28" t="str">
        <f aca="false">IF(OR(G401="",G401="?"),"",IFERROR(INDEX(Pubs!$E$2:$E$3001,MATCH(G401,Pubs!$A$2:$A$3001,0)),""))</f>
        <v/>
      </c>
      <c r="L401" s="29" t="str">
        <f aca="false">IF(A401="","",IFERROR(1/(1/INDEX(Numéros!$C$2:$C$3001,MATCH(A401&amp;"|"&amp;B401,Numéros!$F$2:$F$3001,0))),""))</f>
        <v/>
      </c>
      <c r="M401" s="27" t="str">
        <f aca="false">IF(OR(G401="",G401="?"),"",IFERROR(INDEX(Pubs!$D$2:$D$3001,MATCH(G401,Pubs!$A$2:$A$3001,0))&amp;"",""))</f>
        <v/>
      </c>
      <c r="N401" s="27" t="n">
        <f aca="false">N(N400)+IF(AND(A401&lt;&gt;"",OR(Recherche!$C$4="",A401=Recherche!$C$4),OR(Recherche!$C$5="",B401&amp;""=Recherche!$C$5&amp;""),OR(Recherche!$C$6="",IFERROR(YEAR(L401),0)=Recherche!$C$6),OR(Recherche!$C$7="",ISNUMBER(SEARCH(Recherche!$C$7,H401))),OR(Recherche!$C$8="",J401=Recherche!$C$8),OR(Recherche!$C$9="",I401=Recherche!$C$9),OR(Recherche!$C$10="",G401&amp;""=Recherche!$C$10&amp;""),OR(Recherche!$C$11="",E401=Recherche!$C$11),OR(Recherche!$C$12="",ISNUMBER(SEARCH(Recherche!$C$12,M401&amp;" "&amp;F401)))),1,0)</f>
        <v>8</v>
      </c>
    </row>
    <row r="402" customFormat="false" ht="15" hidden="false" customHeight="false" outlineLevel="0" collapsed="false">
      <c r="A402" s="19"/>
      <c r="B402" s="19"/>
      <c r="C402" s="19"/>
      <c r="D402" s="19"/>
      <c r="E402" s="22"/>
      <c r="F402" s="19"/>
      <c r="G402" s="26" t="str">
        <f aca="false">IF(D402="","",IFERROR(VALUE(LEFT(D402,FIND(" |",D402&amp;" |")-1)),"?"))</f>
        <v/>
      </c>
      <c r="H402" s="27" t="str">
        <f aca="false">IF(G402="","",IF(G402="?","⚠ pub inconnue",IFERROR(INDEX(Pubs!$B$2:$B$3001,MATCH(G402,Pubs!$A$2:$A$3001,0))&amp;"","⚠ pub inconnue")))</f>
        <v/>
      </c>
      <c r="I402" s="27" t="str">
        <f aca="false">IF(OR(G402="",G402="?"),"",IFERROR(INDEX(Pubs!$C$2:$C$3001,MATCH(G402,Pubs!$A$2:$A$3001,0))&amp;"",""))</f>
        <v/>
      </c>
      <c r="J402" s="27" t="str">
        <f aca="false">IF(OR(G402="",G402="?"),"",IFERROR(INDEX(Pubs!$G$2:$G$3001,MATCH(G402,Pubs!$A$2:$A$3001,0))&amp;"",""))</f>
        <v/>
      </c>
      <c r="K402" s="28" t="str">
        <f aca="false">IF(OR(G402="",G402="?"),"",IFERROR(INDEX(Pubs!$E$2:$E$3001,MATCH(G402,Pubs!$A$2:$A$3001,0)),""))</f>
        <v/>
      </c>
      <c r="L402" s="29" t="str">
        <f aca="false">IF(A402="","",IFERROR(1/(1/INDEX(Numéros!$C$2:$C$3001,MATCH(A402&amp;"|"&amp;B402,Numéros!$F$2:$F$3001,0))),""))</f>
        <v/>
      </c>
      <c r="M402" s="27" t="str">
        <f aca="false">IF(OR(G402="",G402="?"),"",IFERROR(INDEX(Pubs!$D$2:$D$3001,MATCH(G402,Pubs!$A$2:$A$3001,0))&amp;"",""))</f>
        <v/>
      </c>
      <c r="N402" s="27" t="n">
        <f aca="false">N(N401)+IF(AND(A402&lt;&gt;"",OR(Recherche!$C$4="",A402=Recherche!$C$4),OR(Recherche!$C$5="",B402&amp;""=Recherche!$C$5&amp;""),OR(Recherche!$C$6="",IFERROR(YEAR(L402),0)=Recherche!$C$6),OR(Recherche!$C$7="",ISNUMBER(SEARCH(Recherche!$C$7,H402))),OR(Recherche!$C$8="",J402=Recherche!$C$8),OR(Recherche!$C$9="",I402=Recherche!$C$9),OR(Recherche!$C$10="",G402&amp;""=Recherche!$C$10&amp;""),OR(Recherche!$C$11="",E402=Recherche!$C$11),OR(Recherche!$C$12="",ISNUMBER(SEARCH(Recherche!$C$12,M402&amp;" "&amp;F402)))),1,0)</f>
        <v>8</v>
      </c>
    </row>
    <row r="403" customFormat="false" ht="15" hidden="false" customHeight="false" outlineLevel="0" collapsed="false">
      <c r="A403" s="19"/>
      <c r="B403" s="19"/>
      <c r="C403" s="19"/>
      <c r="D403" s="19"/>
      <c r="E403" s="22"/>
      <c r="F403" s="19"/>
      <c r="G403" s="26" t="str">
        <f aca="false">IF(D403="","",IFERROR(VALUE(LEFT(D403,FIND(" |",D403&amp;" |")-1)),"?"))</f>
        <v/>
      </c>
      <c r="H403" s="27" t="str">
        <f aca="false">IF(G403="","",IF(G403="?","⚠ pub inconnue",IFERROR(INDEX(Pubs!$B$2:$B$3001,MATCH(G403,Pubs!$A$2:$A$3001,0))&amp;"","⚠ pub inconnue")))</f>
        <v/>
      </c>
      <c r="I403" s="27" t="str">
        <f aca="false">IF(OR(G403="",G403="?"),"",IFERROR(INDEX(Pubs!$C$2:$C$3001,MATCH(G403,Pubs!$A$2:$A$3001,0))&amp;"",""))</f>
        <v/>
      </c>
      <c r="J403" s="27" t="str">
        <f aca="false">IF(OR(G403="",G403="?"),"",IFERROR(INDEX(Pubs!$G$2:$G$3001,MATCH(G403,Pubs!$A$2:$A$3001,0))&amp;"",""))</f>
        <v/>
      </c>
      <c r="K403" s="28" t="str">
        <f aca="false">IF(OR(G403="",G403="?"),"",IFERROR(INDEX(Pubs!$E$2:$E$3001,MATCH(G403,Pubs!$A$2:$A$3001,0)),""))</f>
        <v/>
      </c>
      <c r="L403" s="29" t="str">
        <f aca="false">IF(A403="","",IFERROR(1/(1/INDEX(Numéros!$C$2:$C$3001,MATCH(A403&amp;"|"&amp;B403,Numéros!$F$2:$F$3001,0))),""))</f>
        <v/>
      </c>
      <c r="M403" s="27" t="str">
        <f aca="false">IF(OR(G403="",G403="?"),"",IFERROR(INDEX(Pubs!$D$2:$D$3001,MATCH(G403,Pubs!$A$2:$A$3001,0))&amp;"",""))</f>
        <v/>
      </c>
      <c r="N403" s="27" t="n">
        <f aca="false">N(N402)+IF(AND(A403&lt;&gt;"",OR(Recherche!$C$4="",A403=Recherche!$C$4),OR(Recherche!$C$5="",B403&amp;""=Recherche!$C$5&amp;""),OR(Recherche!$C$6="",IFERROR(YEAR(L403),0)=Recherche!$C$6),OR(Recherche!$C$7="",ISNUMBER(SEARCH(Recherche!$C$7,H403))),OR(Recherche!$C$8="",J403=Recherche!$C$8),OR(Recherche!$C$9="",I403=Recherche!$C$9),OR(Recherche!$C$10="",G403&amp;""=Recherche!$C$10&amp;""),OR(Recherche!$C$11="",E403=Recherche!$C$11),OR(Recherche!$C$12="",ISNUMBER(SEARCH(Recherche!$C$12,M403&amp;" "&amp;F403)))),1,0)</f>
        <v>8</v>
      </c>
    </row>
    <row r="404" customFormat="false" ht="15" hidden="false" customHeight="false" outlineLevel="0" collapsed="false">
      <c r="A404" s="19"/>
      <c r="B404" s="19"/>
      <c r="C404" s="19"/>
      <c r="D404" s="19"/>
      <c r="E404" s="22"/>
      <c r="F404" s="19"/>
      <c r="G404" s="26" t="str">
        <f aca="false">IF(D404="","",IFERROR(VALUE(LEFT(D404,FIND(" |",D404&amp;" |")-1)),"?"))</f>
        <v/>
      </c>
      <c r="H404" s="27" t="str">
        <f aca="false">IF(G404="","",IF(G404="?","⚠ pub inconnue",IFERROR(INDEX(Pubs!$B$2:$B$3001,MATCH(G404,Pubs!$A$2:$A$3001,0))&amp;"","⚠ pub inconnue")))</f>
        <v/>
      </c>
      <c r="I404" s="27" t="str">
        <f aca="false">IF(OR(G404="",G404="?"),"",IFERROR(INDEX(Pubs!$C$2:$C$3001,MATCH(G404,Pubs!$A$2:$A$3001,0))&amp;"",""))</f>
        <v/>
      </c>
      <c r="J404" s="27" t="str">
        <f aca="false">IF(OR(G404="",G404="?"),"",IFERROR(INDEX(Pubs!$G$2:$G$3001,MATCH(G404,Pubs!$A$2:$A$3001,0))&amp;"",""))</f>
        <v/>
      </c>
      <c r="K404" s="28" t="str">
        <f aca="false">IF(OR(G404="",G404="?"),"",IFERROR(INDEX(Pubs!$E$2:$E$3001,MATCH(G404,Pubs!$A$2:$A$3001,0)),""))</f>
        <v/>
      </c>
      <c r="L404" s="29" t="str">
        <f aca="false">IF(A404="","",IFERROR(1/(1/INDEX(Numéros!$C$2:$C$3001,MATCH(A404&amp;"|"&amp;B404,Numéros!$F$2:$F$3001,0))),""))</f>
        <v/>
      </c>
      <c r="M404" s="27" t="str">
        <f aca="false">IF(OR(G404="",G404="?"),"",IFERROR(INDEX(Pubs!$D$2:$D$3001,MATCH(G404,Pubs!$A$2:$A$3001,0))&amp;"",""))</f>
        <v/>
      </c>
      <c r="N404" s="27" t="n">
        <f aca="false">N(N403)+IF(AND(A404&lt;&gt;"",OR(Recherche!$C$4="",A404=Recherche!$C$4),OR(Recherche!$C$5="",B404&amp;""=Recherche!$C$5&amp;""),OR(Recherche!$C$6="",IFERROR(YEAR(L404),0)=Recherche!$C$6),OR(Recherche!$C$7="",ISNUMBER(SEARCH(Recherche!$C$7,H404))),OR(Recherche!$C$8="",J404=Recherche!$C$8),OR(Recherche!$C$9="",I404=Recherche!$C$9),OR(Recherche!$C$10="",G404&amp;""=Recherche!$C$10&amp;""),OR(Recherche!$C$11="",E404=Recherche!$C$11),OR(Recherche!$C$12="",ISNUMBER(SEARCH(Recherche!$C$12,M404&amp;" "&amp;F404)))),1,0)</f>
        <v>8</v>
      </c>
    </row>
    <row r="405" customFormat="false" ht="15" hidden="false" customHeight="false" outlineLevel="0" collapsed="false">
      <c r="A405" s="19"/>
      <c r="B405" s="19"/>
      <c r="C405" s="19"/>
      <c r="D405" s="19"/>
      <c r="E405" s="22"/>
      <c r="F405" s="19"/>
      <c r="G405" s="26" t="str">
        <f aca="false">IF(D405="","",IFERROR(VALUE(LEFT(D405,FIND(" |",D405&amp;" |")-1)),"?"))</f>
        <v/>
      </c>
      <c r="H405" s="27" t="str">
        <f aca="false">IF(G405="","",IF(G405="?","⚠ pub inconnue",IFERROR(INDEX(Pubs!$B$2:$B$3001,MATCH(G405,Pubs!$A$2:$A$3001,0))&amp;"","⚠ pub inconnue")))</f>
        <v/>
      </c>
      <c r="I405" s="27" t="str">
        <f aca="false">IF(OR(G405="",G405="?"),"",IFERROR(INDEX(Pubs!$C$2:$C$3001,MATCH(G405,Pubs!$A$2:$A$3001,0))&amp;"",""))</f>
        <v/>
      </c>
      <c r="J405" s="27" t="str">
        <f aca="false">IF(OR(G405="",G405="?"),"",IFERROR(INDEX(Pubs!$G$2:$G$3001,MATCH(G405,Pubs!$A$2:$A$3001,0))&amp;"",""))</f>
        <v/>
      </c>
      <c r="K405" s="28" t="str">
        <f aca="false">IF(OR(G405="",G405="?"),"",IFERROR(INDEX(Pubs!$E$2:$E$3001,MATCH(G405,Pubs!$A$2:$A$3001,0)),""))</f>
        <v/>
      </c>
      <c r="L405" s="29" t="str">
        <f aca="false">IF(A405="","",IFERROR(1/(1/INDEX(Numéros!$C$2:$C$3001,MATCH(A405&amp;"|"&amp;B405,Numéros!$F$2:$F$3001,0))),""))</f>
        <v/>
      </c>
      <c r="M405" s="27" t="str">
        <f aca="false">IF(OR(G405="",G405="?"),"",IFERROR(INDEX(Pubs!$D$2:$D$3001,MATCH(G405,Pubs!$A$2:$A$3001,0))&amp;"",""))</f>
        <v/>
      </c>
      <c r="N405" s="27" t="n">
        <f aca="false">N(N404)+IF(AND(A405&lt;&gt;"",OR(Recherche!$C$4="",A405=Recherche!$C$4),OR(Recherche!$C$5="",B405&amp;""=Recherche!$C$5&amp;""),OR(Recherche!$C$6="",IFERROR(YEAR(L405),0)=Recherche!$C$6),OR(Recherche!$C$7="",ISNUMBER(SEARCH(Recherche!$C$7,H405))),OR(Recherche!$C$8="",J405=Recherche!$C$8),OR(Recherche!$C$9="",I405=Recherche!$C$9),OR(Recherche!$C$10="",G405&amp;""=Recherche!$C$10&amp;""),OR(Recherche!$C$11="",E405=Recherche!$C$11),OR(Recherche!$C$12="",ISNUMBER(SEARCH(Recherche!$C$12,M405&amp;" "&amp;F405)))),1,0)</f>
        <v>8</v>
      </c>
    </row>
    <row r="406" customFormat="false" ht="15" hidden="false" customHeight="false" outlineLevel="0" collapsed="false">
      <c r="A406" s="19"/>
      <c r="B406" s="19"/>
      <c r="C406" s="19"/>
      <c r="D406" s="19"/>
      <c r="E406" s="22"/>
      <c r="F406" s="19"/>
      <c r="G406" s="26" t="str">
        <f aca="false">IF(D406="","",IFERROR(VALUE(LEFT(D406,FIND(" |",D406&amp;" |")-1)),"?"))</f>
        <v/>
      </c>
      <c r="H406" s="27" t="str">
        <f aca="false">IF(G406="","",IF(G406="?","⚠ pub inconnue",IFERROR(INDEX(Pubs!$B$2:$B$3001,MATCH(G406,Pubs!$A$2:$A$3001,0))&amp;"","⚠ pub inconnue")))</f>
        <v/>
      </c>
      <c r="I406" s="27" t="str">
        <f aca="false">IF(OR(G406="",G406="?"),"",IFERROR(INDEX(Pubs!$C$2:$C$3001,MATCH(G406,Pubs!$A$2:$A$3001,0))&amp;"",""))</f>
        <v/>
      </c>
      <c r="J406" s="27" t="str">
        <f aca="false">IF(OR(G406="",G406="?"),"",IFERROR(INDEX(Pubs!$G$2:$G$3001,MATCH(G406,Pubs!$A$2:$A$3001,0))&amp;"",""))</f>
        <v/>
      </c>
      <c r="K406" s="28" t="str">
        <f aca="false">IF(OR(G406="",G406="?"),"",IFERROR(INDEX(Pubs!$E$2:$E$3001,MATCH(G406,Pubs!$A$2:$A$3001,0)),""))</f>
        <v/>
      </c>
      <c r="L406" s="29" t="str">
        <f aca="false">IF(A406="","",IFERROR(1/(1/INDEX(Numéros!$C$2:$C$3001,MATCH(A406&amp;"|"&amp;B406,Numéros!$F$2:$F$3001,0))),""))</f>
        <v/>
      </c>
      <c r="M406" s="27" t="str">
        <f aca="false">IF(OR(G406="",G406="?"),"",IFERROR(INDEX(Pubs!$D$2:$D$3001,MATCH(G406,Pubs!$A$2:$A$3001,0))&amp;"",""))</f>
        <v/>
      </c>
      <c r="N406" s="27" t="n">
        <f aca="false">N(N405)+IF(AND(A406&lt;&gt;"",OR(Recherche!$C$4="",A406=Recherche!$C$4),OR(Recherche!$C$5="",B406&amp;""=Recherche!$C$5&amp;""),OR(Recherche!$C$6="",IFERROR(YEAR(L406),0)=Recherche!$C$6),OR(Recherche!$C$7="",ISNUMBER(SEARCH(Recherche!$C$7,H406))),OR(Recherche!$C$8="",J406=Recherche!$C$8),OR(Recherche!$C$9="",I406=Recherche!$C$9),OR(Recherche!$C$10="",G406&amp;""=Recherche!$C$10&amp;""),OR(Recherche!$C$11="",E406=Recherche!$C$11),OR(Recherche!$C$12="",ISNUMBER(SEARCH(Recherche!$C$12,M406&amp;" "&amp;F406)))),1,0)</f>
        <v>8</v>
      </c>
    </row>
    <row r="407" customFormat="false" ht="15" hidden="false" customHeight="false" outlineLevel="0" collapsed="false">
      <c r="A407" s="19"/>
      <c r="B407" s="19"/>
      <c r="C407" s="19"/>
      <c r="D407" s="19"/>
      <c r="E407" s="22"/>
      <c r="F407" s="19"/>
      <c r="G407" s="26" t="str">
        <f aca="false">IF(D407="","",IFERROR(VALUE(LEFT(D407,FIND(" |",D407&amp;" |")-1)),"?"))</f>
        <v/>
      </c>
      <c r="H407" s="27" t="str">
        <f aca="false">IF(G407="","",IF(G407="?","⚠ pub inconnue",IFERROR(INDEX(Pubs!$B$2:$B$3001,MATCH(G407,Pubs!$A$2:$A$3001,0))&amp;"","⚠ pub inconnue")))</f>
        <v/>
      </c>
      <c r="I407" s="27" t="str">
        <f aca="false">IF(OR(G407="",G407="?"),"",IFERROR(INDEX(Pubs!$C$2:$C$3001,MATCH(G407,Pubs!$A$2:$A$3001,0))&amp;"",""))</f>
        <v/>
      </c>
      <c r="J407" s="27" t="str">
        <f aca="false">IF(OR(G407="",G407="?"),"",IFERROR(INDEX(Pubs!$G$2:$G$3001,MATCH(G407,Pubs!$A$2:$A$3001,0))&amp;"",""))</f>
        <v/>
      </c>
      <c r="K407" s="28" t="str">
        <f aca="false">IF(OR(G407="",G407="?"),"",IFERROR(INDEX(Pubs!$E$2:$E$3001,MATCH(G407,Pubs!$A$2:$A$3001,0)),""))</f>
        <v/>
      </c>
      <c r="L407" s="29" t="str">
        <f aca="false">IF(A407="","",IFERROR(1/(1/INDEX(Numéros!$C$2:$C$3001,MATCH(A407&amp;"|"&amp;B407,Numéros!$F$2:$F$3001,0))),""))</f>
        <v/>
      </c>
      <c r="M407" s="27" t="str">
        <f aca="false">IF(OR(G407="",G407="?"),"",IFERROR(INDEX(Pubs!$D$2:$D$3001,MATCH(G407,Pubs!$A$2:$A$3001,0))&amp;"",""))</f>
        <v/>
      </c>
      <c r="N407" s="27" t="n">
        <f aca="false">N(N406)+IF(AND(A407&lt;&gt;"",OR(Recherche!$C$4="",A407=Recherche!$C$4),OR(Recherche!$C$5="",B407&amp;""=Recherche!$C$5&amp;""),OR(Recherche!$C$6="",IFERROR(YEAR(L407),0)=Recherche!$C$6),OR(Recherche!$C$7="",ISNUMBER(SEARCH(Recherche!$C$7,H407))),OR(Recherche!$C$8="",J407=Recherche!$C$8),OR(Recherche!$C$9="",I407=Recherche!$C$9),OR(Recherche!$C$10="",G407&amp;""=Recherche!$C$10&amp;""),OR(Recherche!$C$11="",E407=Recherche!$C$11),OR(Recherche!$C$12="",ISNUMBER(SEARCH(Recherche!$C$12,M407&amp;" "&amp;F407)))),1,0)</f>
        <v>8</v>
      </c>
    </row>
    <row r="408" customFormat="false" ht="15" hidden="false" customHeight="false" outlineLevel="0" collapsed="false">
      <c r="A408" s="19"/>
      <c r="B408" s="19"/>
      <c r="C408" s="19"/>
      <c r="D408" s="19"/>
      <c r="E408" s="22"/>
      <c r="F408" s="19"/>
      <c r="G408" s="26" t="str">
        <f aca="false">IF(D408="","",IFERROR(VALUE(LEFT(D408,FIND(" |",D408&amp;" |")-1)),"?"))</f>
        <v/>
      </c>
      <c r="H408" s="27" t="str">
        <f aca="false">IF(G408="","",IF(G408="?","⚠ pub inconnue",IFERROR(INDEX(Pubs!$B$2:$B$3001,MATCH(G408,Pubs!$A$2:$A$3001,0))&amp;"","⚠ pub inconnue")))</f>
        <v/>
      </c>
      <c r="I408" s="27" t="str">
        <f aca="false">IF(OR(G408="",G408="?"),"",IFERROR(INDEX(Pubs!$C$2:$C$3001,MATCH(G408,Pubs!$A$2:$A$3001,0))&amp;"",""))</f>
        <v/>
      </c>
      <c r="J408" s="27" t="str">
        <f aca="false">IF(OR(G408="",G408="?"),"",IFERROR(INDEX(Pubs!$G$2:$G$3001,MATCH(G408,Pubs!$A$2:$A$3001,0))&amp;"",""))</f>
        <v/>
      </c>
      <c r="K408" s="28" t="str">
        <f aca="false">IF(OR(G408="",G408="?"),"",IFERROR(INDEX(Pubs!$E$2:$E$3001,MATCH(G408,Pubs!$A$2:$A$3001,0)),""))</f>
        <v/>
      </c>
      <c r="L408" s="29" t="str">
        <f aca="false">IF(A408="","",IFERROR(1/(1/INDEX(Numéros!$C$2:$C$3001,MATCH(A408&amp;"|"&amp;B408,Numéros!$F$2:$F$3001,0))),""))</f>
        <v/>
      </c>
      <c r="M408" s="27" t="str">
        <f aca="false">IF(OR(G408="",G408="?"),"",IFERROR(INDEX(Pubs!$D$2:$D$3001,MATCH(G408,Pubs!$A$2:$A$3001,0))&amp;"",""))</f>
        <v/>
      </c>
      <c r="N408" s="27" t="n">
        <f aca="false">N(N407)+IF(AND(A408&lt;&gt;"",OR(Recherche!$C$4="",A408=Recherche!$C$4),OR(Recherche!$C$5="",B408&amp;""=Recherche!$C$5&amp;""),OR(Recherche!$C$6="",IFERROR(YEAR(L408),0)=Recherche!$C$6),OR(Recherche!$C$7="",ISNUMBER(SEARCH(Recherche!$C$7,H408))),OR(Recherche!$C$8="",J408=Recherche!$C$8),OR(Recherche!$C$9="",I408=Recherche!$C$9),OR(Recherche!$C$10="",G408&amp;""=Recherche!$C$10&amp;""),OR(Recherche!$C$11="",E408=Recherche!$C$11),OR(Recherche!$C$12="",ISNUMBER(SEARCH(Recherche!$C$12,M408&amp;" "&amp;F408)))),1,0)</f>
        <v>8</v>
      </c>
    </row>
    <row r="409" customFormat="false" ht="15" hidden="false" customHeight="false" outlineLevel="0" collapsed="false">
      <c r="A409" s="19"/>
      <c r="B409" s="19"/>
      <c r="C409" s="19"/>
      <c r="D409" s="19"/>
      <c r="E409" s="22"/>
      <c r="F409" s="19"/>
      <c r="G409" s="26" t="str">
        <f aca="false">IF(D409="","",IFERROR(VALUE(LEFT(D409,FIND(" |",D409&amp;" |")-1)),"?"))</f>
        <v/>
      </c>
      <c r="H409" s="27" t="str">
        <f aca="false">IF(G409="","",IF(G409="?","⚠ pub inconnue",IFERROR(INDEX(Pubs!$B$2:$B$3001,MATCH(G409,Pubs!$A$2:$A$3001,0))&amp;"","⚠ pub inconnue")))</f>
        <v/>
      </c>
      <c r="I409" s="27" t="str">
        <f aca="false">IF(OR(G409="",G409="?"),"",IFERROR(INDEX(Pubs!$C$2:$C$3001,MATCH(G409,Pubs!$A$2:$A$3001,0))&amp;"",""))</f>
        <v/>
      </c>
      <c r="J409" s="27" t="str">
        <f aca="false">IF(OR(G409="",G409="?"),"",IFERROR(INDEX(Pubs!$G$2:$G$3001,MATCH(G409,Pubs!$A$2:$A$3001,0))&amp;"",""))</f>
        <v/>
      </c>
      <c r="K409" s="28" t="str">
        <f aca="false">IF(OR(G409="",G409="?"),"",IFERROR(INDEX(Pubs!$E$2:$E$3001,MATCH(G409,Pubs!$A$2:$A$3001,0)),""))</f>
        <v/>
      </c>
      <c r="L409" s="29" t="str">
        <f aca="false">IF(A409="","",IFERROR(1/(1/INDEX(Numéros!$C$2:$C$3001,MATCH(A409&amp;"|"&amp;B409,Numéros!$F$2:$F$3001,0))),""))</f>
        <v/>
      </c>
      <c r="M409" s="27" t="str">
        <f aca="false">IF(OR(G409="",G409="?"),"",IFERROR(INDEX(Pubs!$D$2:$D$3001,MATCH(G409,Pubs!$A$2:$A$3001,0))&amp;"",""))</f>
        <v/>
      </c>
      <c r="N409" s="27" t="n">
        <f aca="false">N(N408)+IF(AND(A409&lt;&gt;"",OR(Recherche!$C$4="",A409=Recherche!$C$4),OR(Recherche!$C$5="",B409&amp;""=Recherche!$C$5&amp;""),OR(Recherche!$C$6="",IFERROR(YEAR(L409),0)=Recherche!$C$6),OR(Recherche!$C$7="",ISNUMBER(SEARCH(Recherche!$C$7,H409))),OR(Recherche!$C$8="",J409=Recherche!$C$8),OR(Recherche!$C$9="",I409=Recherche!$C$9),OR(Recherche!$C$10="",G409&amp;""=Recherche!$C$10&amp;""),OR(Recherche!$C$11="",E409=Recherche!$C$11),OR(Recherche!$C$12="",ISNUMBER(SEARCH(Recherche!$C$12,M409&amp;" "&amp;F409)))),1,0)</f>
        <v>8</v>
      </c>
    </row>
    <row r="410" customFormat="false" ht="15" hidden="false" customHeight="false" outlineLevel="0" collapsed="false">
      <c r="A410" s="19"/>
      <c r="B410" s="19"/>
      <c r="C410" s="19"/>
      <c r="D410" s="19"/>
      <c r="E410" s="22"/>
      <c r="F410" s="19"/>
      <c r="G410" s="26" t="str">
        <f aca="false">IF(D410="","",IFERROR(VALUE(LEFT(D410,FIND(" |",D410&amp;" |")-1)),"?"))</f>
        <v/>
      </c>
      <c r="H410" s="27" t="str">
        <f aca="false">IF(G410="","",IF(G410="?","⚠ pub inconnue",IFERROR(INDEX(Pubs!$B$2:$B$3001,MATCH(G410,Pubs!$A$2:$A$3001,0))&amp;"","⚠ pub inconnue")))</f>
        <v/>
      </c>
      <c r="I410" s="27" t="str">
        <f aca="false">IF(OR(G410="",G410="?"),"",IFERROR(INDEX(Pubs!$C$2:$C$3001,MATCH(G410,Pubs!$A$2:$A$3001,0))&amp;"",""))</f>
        <v/>
      </c>
      <c r="J410" s="27" t="str">
        <f aca="false">IF(OR(G410="",G410="?"),"",IFERROR(INDEX(Pubs!$G$2:$G$3001,MATCH(G410,Pubs!$A$2:$A$3001,0))&amp;"",""))</f>
        <v/>
      </c>
      <c r="K410" s="28" t="str">
        <f aca="false">IF(OR(G410="",G410="?"),"",IFERROR(INDEX(Pubs!$E$2:$E$3001,MATCH(G410,Pubs!$A$2:$A$3001,0)),""))</f>
        <v/>
      </c>
      <c r="L410" s="29" t="str">
        <f aca="false">IF(A410="","",IFERROR(1/(1/INDEX(Numéros!$C$2:$C$3001,MATCH(A410&amp;"|"&amp;B410,Numéros!$F$2:$F$3001,0))),""))</f>
        <v/>
      </c>
      <c r="M410" s="27" t="str">
        <f aca="false">IF(OR(G410="",G410="?"),"",IFERROR(INDEX(Pubs!$D$2:$D$3001,MATCH(G410,Pubs!$A$2:$A$3001,0))&amp;"",""))</f>
        <v/>
      </c>
      <c r="N410" s="27" t="n">
        <f aca="false">N(N409)+IF(AND(A410&lt;&gt;"",OR(Recherche!$C$4="",A410=Recherche!$C$4),OR(Recherche!$C$5="",B410&amp;""=Recherche!$C$5&amp;""),OR(Recherche!$C$6="",IFERROR(YEAR(L410),0)=Recherche!$C$6),OR(Recherche!$C$7="",ISNUMBER(SEARCH(Recherche!$C$7,H410))),OR(Recherche!$C$8="",J410=Recherche!$C$8),OR(Recherche!$C$9="",I410=Recherche!$C$9),OR(Recherche!$C$10="",G410&amp;""=Recherche!$C$10&amp;""),OR(Recherche!$C$11="",E410=Recherche!$C$11),OR(Recherche!$C$12="",ISNUMBER(SEARCH(Recherche!$C$12,M410&amp;" "&amp;F410)))),1,0)</f>
        <v>8</v>
      </c>
    </row>
    <row r="411" customFormat="false" ht="15" hidden="false" customHeight="false" outlineLevel="0" collapsed="false">
      <c r="A411" s="19"/>
      <c r="B411" s="19"/>
      <c r="C411" s="19"/>
      <c r="D411" s="19"/>
      <c r="E411" s="22"/>
      <c r="F411" s="19"/>
      <c r="G411" s="26" t="str">
        <f aca="false">IF(D411="","",IFERROR(VALUE(LEFT(D411,FIND(" |",D411&amp;" |")-1)),"?"))</f>
        <v/>
      </c>
      <c r="H411" s="27" t="str">
        <f aca="false">IF(G411="","",IF(G411="?","⚠ pub inconnue",IFERROR(INDEX(Pubs!$B$2:$B$3001,MATCH(G411,Pubs!$A$2:$A$3001,0))&amp;"","⚠ pub inconnue")))</f>
        <v/>
      </c>
      <c r="I411" s="27" t="str">
        <f aca="false">IF(OR(G411="",G411="?"),"",IFERROR(INDEX(Pubs!$C$2:$C$3001,MATCH(G411,Pubs!$A$2:$A$3001,0))&amp;"",""))</f>
        <v/>
      </c>
      <c r="J411" s="27" t="str">
        <f aca="false">IF(OR(G411="",G411="?"),"",IFERROR(INDEX(Pubs!$G$2:$G$3001,MATCH(G411,Pubs!$A$2:$A$3001,0))&amp;"",""))</f>
        <v/>
      </c>
      <c r="K411" s="28" t="str">
        <f aca="false">IF(OR(G411="",G411="?"),"",IFERROR(INDEX(Pubs!$E$2:$E$3001,MATCH(G411,Pubs!$A$2:$A$3001,0)),""))</f>
        <v/>
      </c>
      <c r="L411" s="29" t="str">
        <f aca="false">IF(A411="","",IFERROR(1/(1/INDEX(Numéros!$C$2:$C$3001,MATCH(A411&amp;"|"&amp;B411,Numéros!$F$2:$F$3001,0))),""))</f>
        <v/>
      </c>
      <c r="M411" s="27" t="str">
        <f aca="false">IF(OR(G411="",G411="?"),"",IFERROR(INDEX(Pubs!$D$2:$D$3001,MATCH(G411,Pubs!$A$2:$A$3001,0))&amp;"",""))</f>
        <v/>
      </c>
      <c r="N411" s="27" t="n">
        <f aca="false">N(N410)+IF(AND(A411&lt;&gt;"",OR(Recherche!$C$4="",A411=Recherche!$C$4),OR(Recherche!$C$5="",B411&amp;""=Recherche!$C$5&amp;""),OR(Recherche!$C$6="",IFERROR(YEAR(L411),0)=Recherche!$C$6),OR(Recherche!$C$7="",ISNUMBER(SEARCH(Recherche!$C$7,H411))),OR(Recherche!$C$8="",J411=Recherche!$C$8),OR(Recherche!$C$9="",I411=Recherche!$C$9),OR(Recherche!$C$10="",G411&amp;""=Recherche!$C$10&amp;""),OR(Recherche!$C$11="",E411=Recherche!$C$11),OR(Recherche!$C$12="",ISNUMBER(SEARCH(Recherche!$C$12,M411&amp;" "&amp;F411)))),1,0)</f>
        <v>8</v>
      </c>
    </row>
    <row r="412" customFormat="false" ht="15" hidden="false" customHeight="false" outlineLevel="0" collapsed="false">
      <c r="A412" s="19"/>
      <c r="B412" s="19"/>
      <c r="C412" s="19"/>
      <c r="D412" s="19"/>
      <c r="E412" s="22"/>
      <c r="F412" s="19"/>
      <c r="G412" s="26" t="str">
        <f aca="false">IF(D412="","",IFERROR(VALUE(LEFT(D412,FIND(" |",D412&amp;" |")-1)),"?"))</f>
        <v/>
      </c>
      <c r="H412" s="27" t="str">
        <f aca="false">IF(G412="","",IF(G412="?","⚠ pub inconnue",IFERROR(INDEX(Pubs!$B$2:$B$3001,MATCH(G412,Pubs!$A$2:$A$3001,0))&amp;"","⚠ pub inconnue")))</f>
        <v/>
      </c>
      <c r="I412" s="27" t="str">
        <f aca="false">IF(OR(G412="",G412="?"),"",IFERROR(INDEX(Pubs!$C$2:$C$3001,MATCH(G412,Pubs!$A$2:$A$3001,0))&amp;"",""))</f>
        <v/>
      </c>
      <c r="J412" s="27" t="str">
        <f aca="false">IF(OR(G412="",G412="?"),"",IFERROR(INDEX(Pubs!$G$2:$G$3001,MATCH(G412,Pubs!$A$2:$A$3001,0))&amp;"",""))</f>
        <v/>
      </c>
      <c r="K412" s="28" t="str">
        <f aca="false">IF(OR(G412="",G412="?"),"",IFERROR(INDEX(Pubs!$E$2:$E$3001,MATCH(G412,Pubs!$A$2:$A$3001,0)),""))</f>
        <v/>
      </c>
      <c r="L412" s="29" t="str">
        <f aca="false">IF(A412="","",IFERROR(1/(1/INDEX(Numéros!$C$2:$C$3001,MATCH(A412&amp;"|"&amp;B412,Numéros!$F$2:$F$3001,0))),""))</f>
        <v/>
      </c>
      <c r="M412" s="27" t="str">
        <f aca="false">IF(OR(G412="",G412="?"),"",IFERROR(INDEX(Pubs!$D$2:$D$3001,MATCH(G412,Pubs!$A$2:$A$3001,0))&amp;"",""))</f>
        <v/>
      </c>
      <c r="N412" s="27" t="n">
        <f aca="false">N(N411)+IF(AND(A412&lt;&gt;"",OR(Recherche!$C$4="",A412=Recherche!$C$4),OR(Recherche!$C$5="",B412&amp;""=Recherche!$C$5&amp;""),OR(Recherche!$C$6="",IFERROR(YEAR(L412),0)=Recherche!$C$6),OR(Recherche!$C$7="",ISNUMBER(SEARCH(Recherche!$C$7,H412))),OR(Recherche!$C$8="",J412=Recherche!$C$8),OR(Recherche!$C$9="",I412=Recherche!$C$9),OR(Recherche!$C$10="",G412&amp;""=Recherche!$C$10&amp;""),OR(Recherche!$C$11="",E412=Recherche!$C$11),OR(Recherche!$C$12="",ISNUMBER(SEARCH(Recherche!$C$12,M412&amp;" "&amp;F412)))),1,0)</f>
        <v>8</v>
      </c>
    </row>
    <row r="413" customFormat="false" ht="15" hidden="false" customHeight="false" outlineLevel="0" collapsed="false">
      <c r="A413" s="19"/>
      <c r="B413" s="19"/>
      <c r="C413" s="19"/>
      <c r="D413" s="19"/>
      <c r="E413" s="22"/>
      <c r="F413" s="19"/>
      <c r="G413" s="26" t="str">
        <f aca="false">IF(D413="","",IFERROR(VALUE(LEFT(D413,FIND(" |",D413&amp;" |")-1)),"?"))</f>
        <v/>
      </c>
      <c r="H413" s="27" t="str">
        <f aca="false">IF(G413="","",IF(G413="?","⚠ pub inconnue",IFERROR(INDEX(Pubs!$B$2:$B$3001,MATCH(G413,Pubs!$A$2:$A$3001,0))&amp;"","⚠ pub inconnue")))</f>
        <v/>
      </c>
      <c r="I413" s="27" t="str">
        <f aca="false">IF(OR(G413="",G413="?"),"",IFERROR(INDEX(Pubs!$C$2:$C$3001,MATCH(G413,Pubs!$A$2:$A$3001,0))&amp;"",""))</f>
        <v/>
      </c>
      <c r="J413" s="27" t="str">
        <f aca="false">IF(OR(G413="",G413="?"),"",IFERROR(INDEX(Pubs!$G$2:$G$3001,MATCH(G413,Pubs!$A$2:$A$3001,0))&amp;"",""))</f>
        <v/>
      </c>
      <c r="K413" s="28" t="str">
        <f aca="false">IF(OR(G413="",G413="?"),"",IFERROR(INDEX(Pubs!$E$2:$E$3001,MATCH(G413,Pubs!$A$2:$A$3001,0)),""))</f>
        <v/>
      </c>
      <c r="L413" s="29" t="str">
        <f aca="false">IF(A413="","",IFERROR(1/(1/INDEX(Numéros!$C$2:$C$3001,MATCH(A413&amp;"|"&amp;B413,Numéros!$F$2:$F$3001,0))),""))</f>
        <v/>
      </c>
      <c r="M413" s="27" t="str">
        <f aca="false">IF(OR(G413="",G413="?"),"",IFERROR(INDEX(Pubs!$D$2:$D$3001,MATCH(G413,Pubs!$A$2:$A$3001,0))&amp;"",""))</f>
        <v/>
      </c>
      <c r="N413" s="27" t="n">
        <f aca="false">N(N412)+IF(AND(A413&lt;&gt;"",OR(Recherche!$C$4="",A413=Recherche!$C$4),OR(Recherche!$C$5="",B413&amp;""=Recherche!$C$5&amp;""),OR(Recherche!$C$6="",IFERROR(YEAR(L413),0)=Recherche!$C$6),OR(Recherche!$C$7="",ISNUMBER(SEARCH(Recherche!$C$7,H413))),OR(Recherche!$C$8="",J413=Recherche!$C$8),OR(Recherche!$C$9="",I413=Recherche!$C$9),OR(Recherche!$C$10="",G413&amp;""=Recherche!$C$10&amp;""),OR(Recherche!$C$11="",E413=Recherche!$C$11),OR(Recherche!$C$12="",ISNUMBER(SEARCH(Recherche!$C$12,M413&amp;" "&amp;F413)))),1,0)</f>
        <v>8</v>
      </c>
    </row>
    <row r="414" customFormat="false" ht="15" hidden="false" customHeight="false" outlineLevel="0" collapsed="false">
      <c r="A414" s="19"/>
      <c r="B414" s="19"/>
      <c r="C414" s="19"/>
      <c r="D414" s="19"/>
      <c r="E414" s="22"/>
      <c r="F414" s="19"/>
      <c r="G414" s="26" t="str">
        <f aca="false">IF(D414="","",IFERROR(VALUE(LEFT(D414,FIND(" |",D414&amp;" |")-1)),"?"))</f>
        <v/>
      </c>
      <c r="H414" s="27" t="str">
        <f aca="false">IF(G414="","",IF(G414="?","⚠ pub inconnue",IFERROR(INDEX(Pubs!$B$2:$B$3001,MATCH(G414,Pubs!$A$2:$A$3001,0))&amp;"","⚠ pub inconnue")))</f>
        <v/>
      </c>
      <c r="I414" s="27" t="str">
        <f aca="false">IF(OR(G414="",G414="?"),"",IFERROR(INDEX(Pubs!$C$2:$C$3001,MATCH(G414,Pubs!$A$2:$A$3001,0))&amp;"",""))</f>
        <v/>
      </c>
      <c r="J414" s="27" t="str">
        <f aca="false">IF(OR(G414="",G414="?"),"",IFERROR(INDEX(Pubs!$G$2:$G$3001,MATCH(G414,Pubs!$A$2:$A$3001,0))&amp;"",""))</f>
        <v/>
      </c>
      <c r="K414" s="28" t="str">
        <f aca="false">IF(OR(G414="",G414="?"),"",IFERROR(INDEX(Pubs!$E$2:$E$3001,MATCH(G414,Pubs!$A$2:$A$3001,0)),""))</f>
        <v/>
      </c>
      <c r="L414" s="29" t="str">
        <f aca="false">IF(A414="","",IFERROR(1/(1/INDEX(Numéros!$C$2:$C$3001,MATCH(A414&amp;"|"&amp;B414,Numéros!$F$2:$F$3001,0))),""))</f>
        <v/>
      </c>
      <c r="M414" s="27" t="str">
        <f aca="false">IF(OR(G414="",G414="?"),"",IFERROR(INDEX(Pubs!$D$2:$D$3001,MATCH(G414,Pubs!$A$2:$A$3001,0))&amp;"",""))</f>
        <v/>
      </c>
      <c r="N414" s="27" t="n">
        <f aca="false">N(N413)+IF(AND(A414&lt;&gt;"",OR(Recherche!$C$4="",A414=Recherche!$C$4),OR(Recherche!$C$5="",B414&amp;""=Recherche!$C$5&amp;""),OR(Recherche!$C$6="",IFERROR(YEAR(L414),0)=Recherche!$C$6),OR(Recherche!$C$7="",ISNUMBER(SEARCH(Recherche!$C$7,H414))),OR(Recherche!$C$8="",J414=Recherche!$C$8),OR(Recherche!$C$9="",I414=Recherche!$C$9),OR(Recherche!$C$10="",G414&amp;""=Recherche!$C$10&amp;""),OR(Recherche!$C$11="",E414=Recherche!$C$11),OR(Recherche!$C$12="",ISNUMBER(SEARCH(Recherche!$C$12,M414&amp;" "&amp;F414)))),1,0)</f>
        <v>8</v>
      </c>
    </row>
    <row r="415" customFormat="false" ht="15" hidden="false" customHeight="false" outlineLevel="0" collapsed="false">
      <c r="A415" s="19"/>
      <c r="B415" s="19"/>
      <c r="C415" s="19"/>
      <c r="D415" s="19"/>
      <c r="E415" s="22"/>
      <c r="F415" s="19"/>
      <c r="G415" s="26" t="str">
        <f aca="false">IF(D415="","",IFERROR(VALUE(LEFT(D415,FIND(" |",D415&amp;" |")-1)),"?"))</f>
        <v/>
      </c>
      <c r="H415" s="27" t="str">
        <f aca="false">IF(G415="","",IF(G415="?","⚠ pub inconnue",IFERROR(INDEX(Pubs!$B$2:$B$3001,MATCH(G415,Pubs!$A$2:$A$3001,0))&amp;"","⚠ pub inconnue")))</f>
        <v/>
      </c>
      <c r="I415" s="27" t="str">
        <f aca="false">IF(OR(G415="",G415="?"),"",IFERROR(INDEX(Pubs!$C$2:$C$3001,MATCH(G415,Pubs!$A$2:$A$3001,0))&amp;"",""))</f>
        <v/>
      </c>
      <c r="J415" s="27" t="str">
        <f aca="false">IF(OR(G415="",G415="?"),"",IFERROR(INDEX(Pubs!$G$2:$G$3001,MATCH(G415,Pubs!$A$2:$A$3001,0))&amp;"",""))</f>
        <v/>
      </c>
      <c r="K415" s="28" t="str">
        <f aca="false">IF(OR(G415="",G415="?"),"",IFERROR(INDEX(Pubs!$E$2:$E$3001,MATCH(G415,Pubs!$A$2:$A$3001,0)),""))</f>
        <v/>
      </c>
      <c r="L415" s="29" t="str">
        <f aca="false">IF(A415="","",IFERROR(1/(1/INDEX(Numéros!$C$2:$C$3001,MATCH(A415&amp;"|"&amp;B415,Numéros!$F$2:$F$3001,0))),""))</f>
        <v/>
      </c>
      <c r="M415" s="27" t="str">
        <f aca="false">IF(OR(G415="",G415="?"),"",IFERROR(INDEX(Pubs!$D$2:$D$3001,MATCH(G415,Pubs!$A$2:$A$3001,0))&amp;"",""))</f>
        <v/>
      </c>
      <c r="N415" s="27" t="n">
        <f aca="false">N(N414)+IF(AND(A415&lt;&gt;"",OR(Recherche!$C$4="",A415=Recherche!$C$4),OR(Recherche!$C$5="",B415&amp;""=Recherche!$C$5&amp;""),OR(Recherche!$C$6="",IFERROR(YEAR(L415),0)=Recherche!$C$6),OR(Recherche!$C$7="",ISNUMBER(SEARCH(Recherche!$C$7,H415))),OR(Recherche!$C$8="",J415=Recherche!$C$8),OR(Recherche!$C$9="",I415=Recherche!$C$9),OR(Recherche!$C$10="",G415&amp;""=Recherche!$C$10&amp;""),OR(Recherche!$C$11="",E415=Recherche!$C$11),OR(Recherche!$C$12="",ISNUMBER(SEARCH(Recherche!$C$12,M415&amp;" "&amp;F415)))),1,0)</f>
        <v>8</v>
      </c>
    </row>
    <row r="416" customFormat="false" ht="15" hidden="false" customHeight="false" outlineLevel="0" collapsed="false">
      <c r="A416" s="19"/>
      <c r="B416" s="19"/>
      <c r="C416" s="19"/>
      <c r="D416" s="19"/>
      <c r="E416" s="22"/>
      <c r="F416" s="19"/>
      <c r="G416" s="26" t="str">
        <f aca="false">IF(D416="","",IFERROR(VALUE(LEFT(D416,FIND(" |",D416&amp;" |")-1)),"?"))</f>
        <v/>
      </c>
      <c r="H416" s="27" t="str">
        <f aca="false">IF(G416="","",IF(G416="?","⚠ pub inconnue",IFERROR(INDEX(Pubs!$B$2:$B$3001,MATCH(G416,Pubs!$A$2:$A$3001,0))&amp;"","⚠ pub inconnue")))</f>
        <v/>
      </c>
      <c r="I416" s="27" t="str">
        <f aca="false">IF(OR(G416="",G416="?"),"",IFERROR(INDEX(Pubs!$C$2:$C$3001,MATCH(G416,Pubs!$A$2:$A$3001,0))&amp;"",""))</f>
        <v/>
      </c>
      <c r="J416" s="27" t="str">
        <f aca="false">IF(OR(G416="",G416="?"),"",IFERROR(INDEX(Pubs!$G$2:$G$3001,MATCH(G416,Pubs!$A$2:$A$3001,0))&amp;"",""))</f>
        <v/>
      </c>
      <c r="K416" s="28" t="str">
        <f aca="false">IF(OR(G416="",G416="?"),"",IFERROR(INDEX(Pubs!$E$2:$E$3001,MATCH(G416,Pubs!$A$2:$A$3001,0)),""))</f>
        <v/>
      </c>
      <c r="L416" s="29" t="str">
        <f aca="false">IF(A416="","",IFERROR(1/(1/INDEX(Numéros!$C$2:$C$3001,MATCH(A416&amp;"|"&amp;B416,Numéros!$F$2:$F$3001,0))),""))</f>
        <v/>
      </c>
      <c r="M416" s="27" t="str">
        <f aca="false">IF(OR(G416="",G416="?"),"",IFERROR(INDEX(Pubs!$D$2:$D$3001,MATCH(G416,Pubs!$A$2:$A$3001,0))&amp;"",""))</f>
        <v/>
      </c>
      <c r="N416" s="27" t="n">
        <f aca="false">N(N415)+IF(AND(A416&lt;&gt;"",OR(Recherche!$C$4="",A416=Recherche!$C$4),OR(Recherche!$C$5="",B416&amp;""=Recherche!$C$5&amp;""),OR(Recherche!$C$6="",IFERROR(YEAR(L416),0)=Recherche!$C$6),OR(Recherche!$C$7="",ISNUMBER(SEARCH(Recherche!$C$7,H416))),OR(Recherche!$C$8="",J416=Recherche!$C$8),OR(Recherche!$C$9="",I416=Recherche!$C$9),OR(Recherche!$C$10="",G416&amp;""=Recherche!$C$10&amp;""),OR(Recherche!$C$11="",E416=Recherche!$C$11),OR(Recherche!$C$12="",ISNUMBER(SEARCH(Recherche!$C$12,M416&amp;" "&amp;F416)))),1,0)</f>
        <v>8</v>
      </c>
    </row>
    <row r="417" customFormat="false" ht="15" hidden="false" customHeight="false" outlineLevel="0" collapsed="false">
      <c r="A417" s="19"/>
      <c r="B417" s="19"/>
      <c r="C417" s="19"/>
      <c r="D417" s="19"/>
      <c r="E417" s="22"/>
      <c r="F417" s="19"/>
      <c r="G417" s="26" t="str">
        <f aca="false">IF(D417="","",IFERROR(VALUE(LEFT(D417,FIND(" |",D417&amp;" |")-1)),"?"))</f>
        <v/>
      </c>
      <c r="H417" s="27" t="str">
        <f aca="false">IF(G417="","",IF(G417="?","⚠ pub inconnue",IFERROR(INDEX(Pubs!$B$2:$B$3001,MATCH(G417,Pubs!$A$2:$A$3001,0))&amp;"","⚠ pub inconnue")))</f>
        <v/>
      </c>
      <c r="I417" s="27" t="str">
        <f aca="false">IF(OR(G417="",G417="?"),"",IFERROR(INDEX(Pubs!$C$2:$C$3001,MATCH(G417,Pubs!$A$2:$A$3001,0))&amp;"",""))</f>
        <v/>
      </c>
      <c r="J417" s="27" t="str">
        <f aca="false">IF(OR(G417="",G417="?"),"",IFERROR(INDEX(Pubs!$G$2:$G$3001,MATCH(G417,Pubs!$A$2:$A$3001,0))&amp;"",""))</f>
        <v/>
      </c>
      <c r="K417" s="28" t="str">
        <f aca="false">IF(OR(G417="",G417="?"),"",IFERROR(INDEX(Pubs!$E$2:$E$3001,MATCH(G417,Pubs!$A$2:$A$3001,0)),""))</f>
        <v/>
      </c>
      <c r="L417" s="29" t="str">
        <f aca="false">IF(A417="","",IFERROR(1/(1/INDEX(Numéros!$C$2:$C$3001,MATCH(A417&amp;"|"&amp;B417,Numéros!$F$2:$F$3001,0))),""))</f>
        <v/>
      </c>
      <c r="M417" s="27" t="str">
        <f aca="false">IF(OR(G417="",G417="?"),"",IFERROR(INDEX(Pubs!$D$2:$D$3001,MATCH(G417,Pubs!$A$2:$A$3001,0))&amp;"",""))</f>
        <v/>
      </c>
      <c r="N417" s="27" t="n">
        <f aca="false">N(N416)+IF(AND(A417&lt;&gt;"",OR(Recherche!$C$4="",A417=Recherche!$C$4),OR(Recherche!$C$5="",B417&amp;""=Recherche!$C$5&amp;""),OR(Recherche!$C$6="",IFERROR(YEAR(L417),0)=Recherche!$C$6),OR(Recherche!$C$7="",ISNUMBER(SEARCH(Recherche!$C$7,H417))),OR(Recherche!$C$8="",J417=Recherche!$C$8),OR(Recherche!$C$9="",I417=Recherche!$C$9),OR(Recherche!$C$10="",G417&amp;""=Recherche!$C$10&amp;""),OR(Recherche!$C$11="",E417=Recherche!$C$11),OR(Recherche!$C$12="",ISNUMBER(SEARCH(Recherche!$C$12,M417&amp;" "&amp;F417)))),1,0)</f>
        <v>8</v>
      </c>
    </row>
    <row r="418" customFormat="false" ht="15" hidden="false" customHeight="false" outlineLevel="0" collapsed="false">
      <c r="A418" s="19"/>
      <c r="B418" s="19"/>
      <c r="C418" s="19"/>
      <c r="D418" s="19"/>
      <c r="E418" s="22"/>
      <c r="F418" s="19"/>
      <c r="G418" s="26" t="str">
        <f aca="false">IF(D418="","",IFERROR(VALUE(LEFT(D418,FIND(" |",D418&amp;" |")-1)),"?"))</f>
        <v/>
      </c>
      <c r="H418" s="27" t="str">
        <f aca="false">IF(G418="","",IF(G418="?","⚠ pub inconnue",IFERROR(INDEX(Pubs!$B$2:$B$3001,MATCH(G418,Pubs!$A$2:$A$3001,0))&amp;"","⚠ pub inconnue")))</f>
        <v/>
      </c>
      <c r="I418" s="27" t="str">
        <f aca="false">IF(OR(G418="",G418="?"),"",IFERROR(INDEX(Pubs!$C$2:$C$3001,MATCH(G418,Pubs!$A$2:$A$3001,0))&amp;"",""))</f>
        <v/>
      </c>
      <c r="J418" s="27" t="str">
        <f aca="false">IF(OR(G418="",G418="?"),"",IFERROR(INDEX(Pubs!$G$2:$G$3001,MATCH(G418,Pubs!$A$2:$A$3001,0))&amp;"",""))</f>
        <v/>
      </c>
      <c r="K418" s="28" t="str">
        <f aca="false">IF(OR(G418="",G418="?"),"",IFERROR(INDEX(Pubs!$E$2:$E$3001,MATCH(G418,Pubs!$A$2:$A$3001,0)),""))</f>
        <v/>
      </c>
      <c r="L418" s="29" t="str">
        <f aca="false">IF(A418="","",IFERROR(1/(1/INDEX(Numéros!$C$2:$C$3001,MATCH(A418&amp;"|"&amp;B418,Numéros!$F$2:$F$3001,0))),""))</f>
        <v/>
      </c>
      <c r="M418" s="27" t="str">
        <f aca="false">IF(OR(G418="",G418="?"),"",IFERROR(INDEX(Pubs!$D$2:$D$3001,MATCH(G418,Pubs!$A$2:$A$3001,0))&amp;"",""))</f>
        <v/>
      </c>
      <c r="N418" s="27" t="n">
        <f aca="false">N(N417)+IF(AND(A418&lt;&gt;"",OR(Recherche!$C$4="",A418=Recherche!$C$4),OR(Recherche!$C$5="",B418&amp;""=Recherche!$C$5&amp;""),OR(Recherche!$C$6="",IFERROR(YEAR(L418),0)=Recherche!$C$6),OR(Recherche!$C$7="",ISNUMBER(SEARCH(Recherche!$C$7,H418))),OR(Recherche!$C$8="",J418=Recherche!$C$8),OR(Recherche!$C$9="",I418=Recherche!$C$9),OR(Recherche!$C$10="",G418&amp;""=Recherche!$C$10&amp;""),OR(Recherche!$C$11="",E418=Recherche!$C$11),OR(Recherche!$C$12="",ISNUMBER(SEARCH(Recherche!$C$12,M418&amp;" "&amp;F418)))),1,0)</f>
        <v>8</v>
      </c>
    </row>
    <row r="419" customFormat="false" ht="15" hidden="false" customHeight="false" outlineLevel="0" collapsed="false">
      <c r="A419" s="19"/>
      <c r="B419" s="19"/>
      <c r="C419" s="19"/>
      <c r="D419" s="19"/>
      <c r="E419" s="22"/>
      <c r="F419" s="19"/>
      <c r="G419" s="26" t="str">
        <f aca="false">IF(D419="","",IFERROR(VALUE(LEFT(D419,FIND(" |",D419&amp;" |")-1)),"?"))</f>
        <v/>
      </c>
      <c r="H419" s="27" t="str">
        <f aca="false">IF(G419="","",IF(G419="?","⚠ pub inconnue",IFERROR(INDEX(Pubs!$B$2:$B$3001,MATCH(G419,Pubs!$A$2:$A$3001,0))&amp;"","⚠ pub inconnue")))</f>
        <v/>
      </c>
      <c r="I419" s="27" t="str">
        <f aca="false">IF(OR(G419="",G419="?"),"",IFERROR(INDEX(Pubs!$C$2:$C$3001,MATCH(G419,Pubs!$A$2:$A$3001,0))&amp;"",""))</f>
        <v/>
      </c>
      <c r="J419" s="27" t="str">
        <f aca="false">IF(OR(G419="",G419="?"),"",IFERROR(INDEX(Pubs!$G$2:$G$3001,MATCH(G419,Pubs!$A$2:$A$3001,0))&amp;"",""))</f>
        <v/>
      </c>
      <c r="K419" s="28" t="str">
        <f aca="false">IF(OR(G419="",G419="?"),"",IFERROR(INDEX(Pubs!$E$2:$E$3001,MATCH(G419,Pubs!$A$2:$A$3001,0)),""))</f>
        <v/>
      </c>
      <c r="L419" s="29" t="str">
        <f aca="false">IF(A419="","",IFERROR(1/(1/INDEX(Numéros!$C$2:$C$3001,MATCH(A419&amp;"|"&amp;B419,Numéros!$F$2:$F$3001,0))),""))</f>
        <v/>
      </c>
      <c r="M419" s="27" t="str">
        <f aca="false">IF(OR(G419="",G419="?"),"",IFERROR(INDEX(Pubs!$D$2:$D$3001,MATCH(G419,Pubs!$A$2:$A$3001,0))&amp;"",""))</f>
        <v/>
      </c>
      <c r="N419" s="27" t="n">
        <f aca="false">N(N418)+IF(AND(A419&lt;&gt;"",OR(Recherche!$C$4="",A419=Recherche!$C$4),OR(Recherche!$C$5="",B419&amp;""=Recherche!$C$5&amp;""),OR(Recherche!$C$6="",IFERROR(YEAR(L419),0)=Recherche!$C$6),OR(Recherche!$C$7="",ISNUMBER(SEARCH(Recherche!$C$7,H419))),OR(Recherche!$C$8="",J419=Recherche!$C$8),OR(Recherche!$C$9="",I419=Recherche!$C$9),OR(Recherche!$C$10="",G419&amp;""=Recherche!$C$10&amp;""),OR(Recherche!$C$11="",E419=Recherche!$C$11),OR(Recherche!$C$12="",ISNUMBER(SEARCH(Recherche!$C$12,M419&amp;" "&amp;F419)))),1,0)</f>
        <v>8</v>
      </c>
    </row>
    <row r="420" customFormat="false" ht="15" hidden="false" customHeight="false" outlineLevel="0" collapsed="false">
      <c r="A420" s="19"/>
      <c r="B420" s="19"/>
      <c r="C420" s="19"/>
      <c r="D420" s="19"/>
      <c r="E420" s="22"/>
      <c r="F420" s="19"/>
      <c r="G420" s="26" t="str">
        <f aca="false">IF(D420="","",IFERROR(VALUE(LEFT(D420,FIND(" |",D420&amp;" |")-1)),"?"))</f>
        <v/>
      </c>
      <c r="H420" s="27" t="str">
        <f aca="false">IF(G420="","",IF(G420="?","⚠ pub inconnue",IFERROR(INDEX(Pubs!$B$2:$B$3001,MATCH(G420,Pubs!$A$2:$A$3001,0))&amp;"","⚠ pub inconnue")))</f>
        <v/>
      </c>
      <c r="I420" s="27" t="str">
        <f aca="false">IF(OR(G420="",G420="?"),"",IFERROR(INDEX(Pubs!$C$2:$C$3001,MATCH(G420,Pubs!$A$2:$A$3001,0))&amp;"",""))</f>
        <v/>
      </c>
      <c r="J420" s="27" t="str">
        <f aca="false">IF(OR(G420="",G420="?"),"",IFERROR(INDEX(Pubs!$G$2:$G$3001,MATCH(G420,Pubs!$A$2:$A$3001,0))&amp;"",""))</f>
        <v/>
      </c>
      <c r="K420" s="28" t="str">
        <f aca="false">IF(OR(G420="",G420="?"),"",IFERROR(INDEX(Pubs!$E$2:$E$3001,MATCH(G420,Pubs!$A$2:$A$3001,0)),""))</f>
        <v/>
      </c>
      <c r="L420" s="29" t="str">
        <f aca="false">IF(A420="","",IFERROR(1/(1/INDEX(Numéros!$C$2:$C$3001,MATCH(A420&amp;"|"&amp;B420,Numéros!$F$2:$F$3001,0))),""))</f>
        <v/>
      </c>
      <c r="M420" s="27" t="str">
        <f aca="false">IF(OR(G420="",G420="?"),"",IFERROR(INDEX(Pubs!$D$2:$D$3001,MATCH(G420,Pubs!$A$2:$A$3001,0))&amp;"",""))</f>
        <v/>
      </c>
      <c r="N420" s="27" t="n">
        <f aca="false">N(N419)+IF(AND(A420&lt;&gt;"",OR(Recherche!$C$4="",A420=Recherche!$C$4),OR(Recherche!$C$5="",B420&amp;""=Recherche!$C$5&amp;""),OR(Recherche!$C$6="",IFERROR(YEAR(L420),0)=Recherche!$C$6),OR(Recherche!$C$7="",ISNUMBER(SEARCH(Recherche!$C$7,H420))),OR(Recherche!$C$8="",J420=Recherche!$C$8),OR(Recherche!$C$9="",I420=Recherche!$C$9),OR(Recherche!$C$10="",G420&amp;""=Recherche!$C$10&amp;""),OR(Recherche!$C$11="",E420=Recherche!$C$11),OR(Recherche!$C$12="",ISNUMBER(SEARCH(Recherche!$C$12,M420&amp;" "&amp;F420)))),1,0)</f>
        <v>8</v>
      </c>
    </row>
    <row r="421" customFormat="false" ht="15" hidden="false" customHeight="false" outlineLevel="0" collapsed="false">
      <c r="A421" s="19"/>
      <c r="B421" s="19"/>
      <c r="C421" s="19"/>
      <c r="D421" s="19"/>
      <c r="E421" s="22"/>
      <c r="F421" s="19"/>
      <c r="G421" s="26" t="str">
        <f aca="false">IF(D421="","",IFERROR(VALUE(LEFT(D421,FIND(" |",D421&amp;" |")-1)),"?"))</f>
        <v/>
      </c>
      <c r="H421" s="27" t="str">
        <f aca="false">IF(G421="","",IF(G421="?","⚠ pub inconnue",IFERROR(INDEX(Pubs!$B$2:$B$3001,MATCH(G421,Pubs!$A$2:$A$3001,0))&amp;"","⚠ pub inconnue")))</f>
        <v/>
      </c>
      <c r="I421" s="27" t="str">
        <f aca="false">IF(OR(G421="",G421="?"),"",IFERROR(INDEX(Pubs!$C$2:$C$3001,MATCH(G421,Pubs!$A$2:$A$3001,0))&amp;"",""))</f>
        <v/>
      </c>
      <c r="J421" s="27" t="str">
        <f aca="false">IF(OR(G421="",G421="?"),"",IFERROR(INDEX(Pubs!$G$2:$G$3001,MATCH(G421,Pubs!$A$2:$A$3001,0))&amp;"",""))</f>
        <v/>
      </c>
      <c r="K421" s="28" t="str">
        <f aca="false">IF(OR(G421="",G421="?"),"",IFERROR(INDEX(Pubs!$E$2:$E$3001,MATCH(G421,Pubs!$A$2:$A$3001,0)),""))</f>
        <v/>
      </c>
      <c r="L421" s="29" t="str">
        <f aca="false">IF(A421="","",IFERROR(1/(1/INDEX(Numéros!$C$2:$C$3001,MATCH(A421&amp;"|"&amp;B421,Numéros!$F$2:$F$3001,0))),""))</f>
        <v/>
      </c>
      <c r="M421" s="27" t="str">
        <f aca="false">IF(OR(G421="",G421="?"),"",IFERROR(INDEX(Pubs!$D$2:$D$3001,MATCH(G421,Pubs!$A$2:$A$3001,0))&amp;"",""))</f>
        <v/>
      </c>
      <c r="N421" s="27" t="n">
        <f aca="false">N(N420)+IF(AND(A421&lt;&gt;"",OR(Recherche!$C$4="",A421=Recherche!$C$4),OR(Recherche!$C$5="",B421&amp;""=Recherche!$C$5&amp;""),OR(Recherche!$C$6="",IFERROR(YEAR(L421),0)=Recherche!$C$6),OR(Recherche!$C$7="",ISNUMBER(SEARCH(Recherche!$C$7,H421))),OR(Recherche!$C$8="",J421=Recherche!$C$8),OR(Recherche!$C$9="",I421=Recherche!$C$9),OR(Recherche!$C$10="",G421&amp;""=Recherche!$C$10&amp;""),OR(Recherche!$C$11="",E421=Recherche!$C$11),OR(Recherche!$C$12="",ISNUMBER(SEARCH(Recherche!$C$12,M421&amp;" "&amp;F421)))),1,0)</f>
        <v>8</v>
      </c>
    </row>
    <row r="422" customFormat="false" ht="15" hidden="false" customHeight="false" outlineLevel="0" collapsed="false">
      <c r="A422" s="19"/>
      <c r="B422" s="19"/>
      <c r="C422" s="19"/>
      <c r="D422" s="19"/>
      <c r="E422" s="22"/>
      <c r="F422" s="19"/>
      <c r="G422" s="26" t="str">
        <f aca="false">IF(D422="","",IFERROR(VALUE(LEFT(D422,FIND(" |",D422&amp;" |")-1)),"?"))</f>
        <v/>
      </c>
      <c r="H422" s="27" t="str">
        <f aca="false">IF(G422="","",IF(G422="?","⚠ pub inconnue",IFERROR(INDEX(Pubs!$B$2:$B$3001,MATCH(G422,Pubs!$A$2:$A$3001,0))&amp;"","⚠ pub inconnue")))</f>
        <v/>
      </c>
      <c r="I422" s="27" t="str">
        <f aca="false">IF(OR(G422="",G422="?"),"",IFERROR(INDEX(Pubs!$C$2:$C$3001,MATCH(G422,Pubs!$A$2:$A$3001,0))&amp;"",""))</f>
        <v/>
      </c>
      <c r="J422" s="27" t="str">
        <f aca="false">IF(OR(G422="",G422="?"),"",IFERROR(INDEX(Pubs!$G$2:$G$3001,MATCH(G422,Pubs!$A$2:$A$3001,0))&amp;"",""))</f>
        <v/>
      </c>
      <c r="K422" s="28" t="str">
        <f aca="false">IF(OR(G422="",G422="?"),"",IFERROR(INDEX(Pubs!$E$2:$E$3001,MATCH(G422,Pubs!$A$2:$A$3001,0)),""))</f>
        <v/>
      </c>
      <c r="L422" s="29" t="str">
        <f aca="false">IF(A422="","",IFERROR(1/(1/INDEX(Numéros!$C$2:$C$3001,MATCH(A422&amp;"|"&amp;B422,Numéros!$F$2:$F$3001,0))),""))</f>
        <v/>
      </c>
      <c r="M422" s="27" t="str">
        <f aca="false">IF(OR(G422="",G422="?"),"",IFERROR(INDEX(Pubs!$D$2:$D$3001,MATCH(G422,Pubs!$A$2:$A$3001,0))&amp;"",""))</f>
        <v/>
      </c>
      <c r="N422" s="27" t="n">
        <f aca="false">N(N421)+IF(AND(A422&lt;&gt;"",OR(Recherche!$C$4="",A422=Recherche!$C$4),OR(Recherche!$C$5="",B422&amp;""=Recherche!$C$5&amp;""),OR(Recherche!$C$6="",IFERROR(YEAR(L422),0)=Recherche!$C$6),OR(Recherche!$C$7="",ISNUMBER(SEARCH(Recherche!$C$7,H422))),OR(Recherche!$C$8="",J422=Recherche!$C$8),OR(Recherche!$C$9="",I422=Recherche!$C$9),OR(Recherche!$C$10="",G422&amp;""=Recherche!$C$10&amp;""),OR(Recherche!$C$11="",E422=Recherche!$C$11),OR(Recherche!$C$12="",ISNUMBER(SEARCH(Recherche!$C$12,M422&amp;" "&amp;F422)))),1,0)</f>
        <v>8</v>
      </c>
    </row>
    <row r="423" customFormat="false" ht="15" hidden="false" customHeight="false" outlineLevel="0" collapsed="false">
      <c r="A423" s="19"/>
      <c r="B423" s="19"/>
      <c r="C423" s="19"/>
      <c r="D423" s="19"/>
      <c r="E423" s="22"/>
      <c r="F423" s="19"/>
      <c r="G423" s="26" t="str">
        <f aca="false">IF(D423="","",IFERROR(VALUE(LEFT(D423,FIND(" |",D423&amp;" |")-1)),"?"))</f>
        <v/>
      </c>
      <c r="H423" s="27" t="str">
        <f aca="false">IF(G423="","",IF(G423="?","⚠ pub inconnue",IFERROR(INDEX(Pubs!$B$2:$B$3001,MATCH(G423,Pubs!$A$2:$A$3001,0))&amp;"","⚠ pub inconnue")))</f>
        <v/>
      </c>
      <c r="I423" s="27" t="str">
        <f aca="false">IF(OR(G423="",G423="?"),"",IFERROR(INDEX(Pubs!$C$2:$C$3001,MATCH(G423,Pubs!$A$2:$A$3001,0))&amp;"",""))</f>
        <v/>
      </c>
      <c r="J423" s="27" t="str">
        <f aca="false">IF(OR(G423="",G423="?"),"",IFERROR(INDEX(Pubs!$G$2:$G$3001,MATCH(G423,Pubs!$A$2:$A$3001,0))&amp;"",""))</f>
        <v/>
      </c>
      <c r="K423" s="28" t="str">
        <f aca="false">IF(OR(G423="",G423="?"),"",IFERROR(INDEX(Pubs!$E$2:$E$3001,MATCH(G423,Pubs!$A$2:$A$3001,0)),""))</f>
        <v/>
      </c>
      <c r="L423" s="29" t="str">
        <f aca="false">IF(A423="","",IFERROR(1/(1/INDEX(Numéros!$C$2:$C$3001,MATCH(A423&amp;"|"&amp;B423,Numéros!$F$2:$F$3001,0))),""))</f>
        <v/>
      </c>
      <c r="M423" s="27" t="str">
        <f aca="false">IF(OR(G423="",G423="?"),"",IFERROR(INDEX(Pubs!$D$2:$D$3001,MATCH(G423,Pubs!$A$2:$A$3001,0))&amp;"",""))</f>
        <v/>
      </c>
      <c r="N423" s="27" t="n">
        <f aca="false">N(N422)+IF(AND(A423&lt;&gt;"",OR(Recherche!$C$4="",A423=Recherche!$C$4),OR(Recherche!$C$5="",B423&amp;""=Recherche!$C$5&amp;""),OR(Recherche!$C$6="",IFERROR(YEAR(L423),0)=Recherche!$C$6),OR(Recherche!$C$7="",ISNUMBER(SEARCH(Recherche!$C$7,H423))),OR(Recherche!$C$8="",J423=Recherche!$C$8),OR(Recherche!$C$9="",I423=Recherche!$C$9),OR(Recherche!$C$10="",G423&amp;""=Recherche!$C$10&amp;""),OR(Recherche!$C$11="",E423=Recherche!$C$11),OR(Recherche!$C$12="",ISNUMBER(SEARCH(Recherche!$C$12,M423&amp;" "&amp;F423)))),1,0)</f>
        <v>8</v>
      </c>
    </row>
    <row r="424" customFormat="false" ht="15" hidden="false" customHeight="false" outlineLevel="0" collapsed="false">
      <c r="A424" s="19"/>
      <c r="B424" s="19"/>
      <c r="C424" s="19"/>
      <c r="D424" s="19"/>
      <c r="E424" s="22"/>
      <c r="F424" s="19"/>
      <c r="G424" s="26" t="str">
        <f aca="false">IF(D424="","",IFERROR(VALUE(LEFT(D424,FIND(" |",D424&amp;" |")-1)),"?"))</f>
        <v/>
      </c>
      <c r="H424" s="27" t="str">
        <f aca="false">IF(G424="","",IF(G424="?","⚠ pub inconnue",IFERROR(INDEX(Pubs!$B$2:$B$3001,MATCH(G424,Pubs!$A$2:$A$3001,0))&amp;"","⚠ pub inconnue")))</f>
        <v/>
      </c>
      <c r="I424" s="27" t="str">
        <f aca="false">IF(OR(G424="",G424="?"),"",IFERROR(INDEX(Pubs!$C$2:$C$3001,MATCH(G424,Pubs!$A$2:$A$3001,0))&amp;"",""))</f>
        <v/>
      </c>
      <c r="J424" s="27" t="str">
        <f aca="false">IF(OR(G424="",G424="?"),"",IFERROR(INDEX(Pubs!$G$2:$G$3001,MATCH(G424,Pubs!$A$2:$A$3001,0))&amp;"",""))</f>
        <v/>
      </c>
      <c r="K424" s="28" t="str">
        <f aca="false">IF(OR(G424="",G424="?"),"",IFERROR(INDEX(Pubs!$E$2:$E$3001,MATCH(G424,Pubs!$A$2:$A$3001,0)),""))</f>
        <v/>
      </c>
      <c r="L424" s="29" t="str">
        <f aca="false">IF(A424="","",IFERROR(1/(1/INDEX(Numéros!$C$2:$C$3001,MATCH(A424&amp;"|"&amp;B424,Numéros!$F$2:$F$3001,0))),""))</f>
        <v/>
      </c>
      <c r="M424" s="27" t="str">
        <f aca="false">IF(OR(G424="",G424="?"),"",IFERROR(INDEX(Pubs!$D$2:$D$3001,MATCH(G424,Pubs!$A$2:$A$3001,0))&amp;"",""))</f>
        <v/>
      </c>
      <c r="N424" s="27" t="n">
        <f aca="false">N(N423)+IF(AND(A424&lt;&gt;"",OR(Recherche!$C$4="",A424=Recherche!$C$4),OR(Recherche!$C$5="",B424&amp;""=Recherche!$C$5&amp;""),OR(Recherche!$C$6="",IFERROR(YEAR(L424),0)=Recherche!$C$6),OR(Recherche!$C$7="",ISNUMBER(SEARCH(Recherche!$C$7,H424))),OR(Recherche!$C$8="",J424=Recherche!$C$8),OR(Recherche!$C$9="",I424=Recherche!$C$9),OR(Recherche!$C$10="",G424&amp;""=Recherche!$C$10&amp;""),OR(Recherche!$C$11="",E424=Recherche!$C$11),OR(Recherche!$C$12="",ISNUMBER(SEARCH(Recherche!$C$12,M424&amp;" "&amp;F424)))),1,0)</f>
        <v>8</v>
      </c>
    </row>
    <row r="425" customFormat="false" ht="15" hidden="false" customHeight="false" outlineLevel="0" collapsed="false">
      <c r="A425" s="19"/>
      <c r="B425" s="19"/>
      <c r="C425" s="19"/>
      <c r="D425" s="19"/>
      <c r="E425" s="22"/>
      <c r="F425" s="19"/>
      <c r="G425" s="26" t="str">
        <f aca="false">IF(D425="","",IFERROR(VALUE(LEFT(D425,FIND(" |",D425&amp;" |")-1)),"?"))</f>
        <v/>
      </c>
      <c r="H425" s="27" t="str">
        <f aca="false">IF(G425="","",IF(G425="?","⚠ pub inconnue",IFERROR(INDEX(Pubs!$B$2:$B$3001,MATCH(G425,Pubs!$A$2:$A$3001,0))&amp;"","⚠ pub inconnue")))</f>
        <v/>
      </c>
      <c r="I425" s="27" t="str">
        <f aca="false">IF(OR(G425="",G425="?"),"",IFERROR(INDEX(Pubs!$C$2:$C$3001,MATCH(G425,Pubs!$A$2:$A$3001,0))&amp;"",""))</f>
        <v/>
      </c>
      <c r="J425" s="27" t="str">
        <f aca="false">IF(OR(G425="",G425="?"),"",IFERROR(INDEX(Pubs!$G$2:$G$3001,MATCH(G425,Pubs!$A$2:$A$3001,0))&amp;"",""))</f>
        <v/>
      </c>
      <c r="K425" s="28" t="str">
        <f aca="false">IF(OR(G425="",G425="?"),"",IFERROR(INDEX(Pubs!$E$2:$E$3001,MATCH(G425,Pubs!$A$2:$A$3001,0)),""))</f>
        <v/>
      </c>
      <c r="L425" s="29" t="str">
        <f aca="false">IF(A425="","",IFERROR(1/(1/INDEX(Numéros!$C$2:$C$3001,MATCH(A425&amp;"|"&amp;B425,Numéros!$F$2:$F$3001,0))),""))</f>
        <v/>
      </c>
      <c r="M425" s="27" t="str">
        <f aca="false">IF(OR(G425="",G425="?"),"",IFERROR(INDEX(Pubs!$D$2:$D$3001,MATCH(G425,Pubs!$A$2:$A$3001,0))&amp;"",""))</f>
        <v/>
      </c>
      <c r="N425" s="27" t="n">
        <f aca="false">N(N424)+IF(AND(A425&lt;&gt;"",OR(Recherche!$C$4="",A425=Recherche!$C$4),OR(Recherche!$C$5="",B425&amp;""=Recherche!$C$5&amp;""),OR(Recherche!$C$6="",IFERROR(YEAR(L425),0)=Recherche!$C$6),OR(Recherche!$C$7="",ISNUMBER(SEARCH(Recherche!$C$7,H425))),OR(Recherche!$C$8="",J425=Recherche!$C$8),OR(Recherche!$C$9="",I425=Recherche!$C$9),OR(Recherche!$C$10="",G425&amp;""=Recherche!$C$10&amp;""),OR(Recherche!$C$11="",E425=Recherche!$C$11),OR(Recherche!$C$12="",ISNUMBER(SEARCH(Recherche!$C$12,M425&amp;" "&amp;F425)))),1,0)</f>
        <v>8</v>
      </c>
    </row>
    <row r="426" customFormat="false" ht="15" hidden="false" customHeight="false" outlineLevel="0" collapsed="false">
      <c r="A426" s="19"/>
      <c r="B426" s="19"/>
      <c r="C426" s="19"/>
      <c r="D426" s="19"/>
      <c r="E426" s="22"/>
      <c r="F426" s="19"/>
      <c r="G426" s="26" t="str">
        <f aca="false">IF(D426="","",IFERROR(VALUE(LEFT(D426,FIND(" |",D426&amp;" |")-1)),"?"))</f>
        <v/>
      </c>
      <c r="H426" s="27" t="str">
        <f aca="false">IF(G426="","",IF(G426="?","⚠ pub inconnue",IFERROR(INDEX(Pubs!$B$2:$B$3001,MATCH(G426,Pubs!$A$2:$A$3001,0))&amp;"","⚠ pub inconnue")))</f>
        <v/>
      </c>
      <c r="I426" s="27" t="str">
        <f aca="false">IF(OR(G426="",G426="?"),"",IFERROR(INDEX(Pubs!$C$2:$C$3001,MATCH(G426,Pubs!$A$2:$A$3001,0))&amp;"",""))</f>
        <v/>
      </c>
      <c r="J426" s="27" t="str">
        <f aca="false">IF(OR(G426="",G426="?"),"",IFERROR(INDEX(Pubs!$G$2:$G$3001,MATCH(G426,Pubs!$A$2:$A$3001,0))&amp;"",""))</f>
        <v/>
      </c>
      <c r="K426" s="28" t="str">
        <f aca="false">IF(OR(G426="",G426="?"),"",IFERROR(INDEX(Pubs!$E$2:$E$3001,MATCH(G426,Pubs!$A$2:$A$3001,0)),""))</f>
        <v/>
      </c>
      <c r="L426" s="29" t="str">
        <f aca="false">IF(A426="","",IFERROR(1/(1/INDEX(Numéros!$C$2:$C$3001,MATCH(A426&amp;"|"&amp;B426,Numéros!$F$2:$F$3001,0))),""))</f>
        <v/>
      </c>
      <c r="M426" s="27" t="str">
        <f aca="false">IF(OR(G426="",G426="?"),"",IFERROR(INDEX(Pubs!$D$2:$D$3001,MATCH(G426,Pubs!$A$2:$A$3001,0))&amp;"",""))</f>
        <v/>
      </c>
      <c r="N426" s="27" t="n">
        <f aca="false">N(N425)+IF(AND(A426&lt;&gt;"",OR(Recherche!$C$4="",A426=Recherche!$C$4),OR(Recherche!$C$5="",B426&amp;""=Recherche!$C$5&amp;""),OR(Recherche!$C$6="",IFERROR(YEAR(L426),0)=Recherche!$C$6),OR(Recherche!$C$7="",ISNUMBER(SEARCH(Recherche!$C$7,H426))),OR(Recherche!$C$8="",J426=Recherche!$C$8),OR(Recherche!$C$9="",I426=Recherche!$C$9),OR(Recherche!$C$10="",G426&amp;""=Recherche!$C$10&amp;""),OR(Recherche!$C$11="",E426=Recherche!$C$11),OR(Recherche!$C$12="",ISNUMBER(SEARCH(Recherche!$C$12,M426&amp;" "&amp;F426)))),1,0)</f>
        <v>8</v>
      </c>
    </row>
    <row r="427" customFormat="false" ht="15" hidden="false" customHeight="false" outlineLevel="0" collapsed="false">
      <c r="A427" s="19"/>
      <c r="B427" s="19"/>
      <c r="C427" s="19"/>
      <c r="D427" s="19"/>
      <c r="E427" s="22"/>
      <c r="F427" s="19"/>
      <c r="G427" s="26" t="str">
        <f aca="false">IF(D427="","",IFERROR(VALUE(LEFT(D427,FIND(" |",D427&amp;" |")-1)),"?"))</f>
        <v/>
      </c>
      <c r="H427" s="27" t="str">
        <f aca="false">IF(G427="","",IF(G427="?","⚠ pub inconnue",IFERROR(INDEX(Pubs!$B$2:$B$3001,MATCH(G427,Pubs!$A$2:$A$3001,0))&amp;"","⚠ pub inconnue")))</f>
        <v/>
      </c>
      <c r="I427" s="27" t="str">
        <f aca="false">IF(OR(G427="",G427="?"),"",IFERROR(INDEX(Pubs!$C$2:$C$3001,MATCH(G427,Pubs!$A$2:$A$3001,0))&amp;"",""))</f>
        <v/>
      </c>
      <c r="J427" s="27" t="str">
        <f aca="false">IF(OR(G427="",G427="?"),"",IFERROR(INDEX(Pubs!$G$2:$G$3001,MATCH(G427,Pubs!$A$2:$A$3001,0))&amp;"",""))</f>
        <v/>
      </c>
      <c r="K427" s="28" t="str">
        <f aca="false">IF(OR(G427="",G427="?"),"",IFERROR(INDEX(Pubs!$E$2:$E$3001,MATCH(G427,Pubs!$A$2:$A$3001,0)),""))</f>
        <v/>
      </c>
      <c r="L427" s="29" t="str">
        <f aca="false">IF(A427="","",IFERROR(1/(1/INDEX(Numéros!$C$2:$C$3001,MATCH(A427&amp;"|"&amp;B427,Numéros!$F$2:$F$3001,0))),""))</f>
        <v/>
      </c>
      <c r="M427" s="27" t="str">
        <f aca="false">IF(OR(G427="",G427="?"),"",IFERROR(INDEX(Pubs!$D$2:$D$3001,MATCH(G427,Pubs!$A$2:$A$3001,0))&amp;"",""))</f>
        <v/>
      </c>
      <c r="N427" s="27" t="n">
        <f aca="false">N(N426)+IF(AND(A427&lt;&gt;"",OR(Recherche!$C$4="",A427=Recherche!$C$4),OR(Recherche!$C$5="",B427&amp;""=Recherche!$C$5&amp;""),OR(Recherche!$C$6="",IFERROR(YEAR(L427),0)=Recherche!$C$6),OR(Recherche!$C$7="",ISNUMBER(SEARCH(Recherche!$C$7,H427))),OR(Recherche!$C$8="",J427=Recherche!$C$8),OR(Recherche!$C$9="",I427=Recherche!$C$9),OR(Recherche!$C$10="",G427&amp;""=Recherche!$C$10&amp;""),OR(Recherche!$C$11="",E427=Recherche!$C$11),OR(Recherche!$C$12="",ISNUMBER(SEARCH(Recherche!$C$12,M427&amp;" "&amp;F427)))),1,0)</f>
        <v>8</v>
      </c>
    </row>
    <row r="428" customFormat="false" ht="15" hidden="false" customHeight="false" outlineLevel="0" collapsed="false">
      <c r="A428" s="19"/>
      <c r="B428" s="19"/>
      <c r="C428" s="19"/>
      <c r="D428" s="19"/>
      <c r="E428" s="22"/>
      <c r="F428" s="19"/>
      <c r="G428" s="26" t="str">
        <f aca="false">IF(D428="","",IFERROR(VALUE(LEFT(D428,FIND(" |",D428&amp;" |")-1)),"?"))</f>
        <v/>
      </c>
      <c r="H428" s="27" t="str">
        <f aca="false">IF(G428="","",IF(G428="?","⚠ pub inconnue",IFERROR(INDEX(Pubs!$B$2:$B$3001,MATCH(G428,Pubs!$A$2:$A$3001,0))&amp;"","⚠ pub inconnue")))</f>
        <v/>
      </c>
      <c r="I428" s="27" t="str">
        <f aca="false">IF(OR(G428="",G428="?"),"",IFERROR(INDEX(Pubs!$C$2:$C$3001,MATCH(G428,Pubs!$A$2:$A$3001,0))&amp;"",""))</f>
        <v/>
      </c>
      <c r="J428" s="27" t="str">
        <f aca="false">IF(OR(G428="",G428="?"),"",IFERROR(INDEX(Pubs!$G$2:$G$3001,MATCH(G428,Pubs!$A$2:$A$3001,0))&amp;"",""))</f>
        <v/>
      </c>
      <c r="K428" s="28" t="str">
        <f aca="false">IF(OR(G428="",G428="?"),"",IFERROR(INDEX(Pubs!$E$2:$E$3001,MATCH(G428,Pubs!$A$2:$A$3001,0)),""))</f>
        <v/>
      </c>
      <c r="L428" s="29" t="str">
        <f aca="false">IF(A428="","",IFERROR(1/(1/INDEX(Numéros!$C$2:$C$3001,MATCH(A428&amp;"|"&amp;B428,Numéros!$F$2:$F$3001,0))),""))</f>
        <v/>
      </c>
      <c r="M428" s="27" t="str">
        <f aca="false">IF(OR(G428="",G428="?"),"",IFERROR(INDEX(Pubs!$D$2:$D$3001,MATCH(G428,Pubs!$A$2:$A$3001,0))&amp;"",""))</f>
        <v/>
      </c>
      <c r="N428" s="27" t="n">
        <f aca="false">N(N427)+IF(AND(A428&lt;&gt;"",OR(Recherche!$C$4="",A428=Recherche!$C$4),OR(Recherche!$C$5="",B428&amp;""=Recherche!$C$5&amp;""),OR(Recherche!$C$6="",IFERROR(YEAR(L428),0)=Recherche!$C$6),OR(Recherche!$C$7="",ISNUMBER(SEARCH(Recherche!$C$7,H428))),OR(Recherche!$C$8="",J428=Recherche!$C$8),OR(Recherche!$C$9="",I428=Recherche!$C$9),OR(Recherche!$C$10="",G428&amp;""=Recherche!$C$10&amp;""),OR(Recherche!$C$11="",E428=Recherche!$C$11),OR(Recherche!$C$12="",ISNUMBER(SEARCH(Recherche!$C$12,M428&amp;" "&amp;F428)))),1,0)</f>
        <v>8</v>
      </c>
    </row>
    <row r="429" customFormat="false" ht="15" hidden="false" customHeight="false" outlineLevel="0" collapsed="false">
      <c r="A429" s="19"/>
      <c r="B429" s="19"/>
      <c r="C429" s="19"/>
      <c r="D429" s="19"/>
      <c r="E429" s="22"/>
      <c r="F429" s="19"/>
      <c r="G429" s="26" t="str">
        <f aca="false">IF(D429="","",IFERROR(VALUE(LEFT(D429,FIND(" |",D429&amp;" |")-1)),"?"))</f>
        <v/>
      </c>
      <c r="H429" s="27" t="str">
        <f aca="false">IF(G429="","",IF(G429="?","⚠ pub inconnue",IFERROR(INDEX(Pubs!$B$2:$B$3001,MATCH(G429,Pubs!$A$2:$A$3001,0))&amp;"","⚠ pub inconnue")))</f>
        <v/>
      </c>
      <c r="I429" s="27" t="str">
        <f aca="false">IF(OR(G429="",G429="?"),"",IFERROR(INDEX(Pubs!$C$2:$C$3001,MATCH(G429,Pubs!$A$2:$A$3001,0))&amp;"",""))</f>
        <v/>
      </c>
      <c r="J429" s="27" t="str">
        <f aca="false">IF(OR(G429="",G429="?"),"",IFERROR(INDEX(Pubs!$G$2:$G$3001,MATCH(G429,Pubs!$A$2:$A$3001,0))&amp;"",""))</f>
        <v/>
      </c>
      <c r="K429" s="28" t="str">
        <f aca="false">IF(OR(G429="",G429="?"),"",IFERROR(INDEX(Pubs!$E$2:$E$3001,MATCH(G429,Pubs!$A$2:$A$3001,0)),""))</f>
        <v/>
      </c>
      <c r="L429" s="29" t="str">
        <f aca="false">IF(A429="","",IFERROR(1/(1/INDEX(Numéros!$C$2:$C$3001,MATCH(A429&amp;"|"&amp;B429,Numéros!$F$2:$F$3001,0))),""))</f>
        <v/>
      </c>
      <c r="M429" s="27" t="str">
        <f aca="false">IF(OR(G429="",G429="?"),"",IFERROR(INDEX(Pubs!$D$2:$D$3001,MATCH(G429,Pubs!$A$2:$A$3001,0))&amp;"",""))</f>
        <v/>
      </c>
      <c r="N429" s="27" t="n">
        <f aca="false">N(N428)+IF(AND(A429&lt;&gt;"",OR(Recherche!$C$4="",A429=Recherche!$C$4),OR(Recherche!$C$5="",B429&amp;""=Recherche!$C$5&amp;""),OR(Recherche!$C$6="",IFERROR(YEAR(L429),0)=Recherche!$C$6),OR(Recherche!$C$7="",ISNUMBER(SEARCH(Recherche!$C$7,H429))),OR(Recherche!$C$8="",J429=Recherche!$C$8),OR(Recherche!$C$9="",I429=Recherche!$C$9),OR(Recherche!$C$10="",G429&amp;""=Recherche!$C$10&amp;""),OR(Recherche!$C$11="",E429=Recherche!$C$11),OR(Recherche!$C$12="",ISNUMBER(SEARCH(Recherche!$C$12,M429&amp;" "&amp;F429)))),1,0)</f>
        <v>8</v>
      </c>
    </row>
    <row r="430" customFormat="false" ht="15" hidden="false" customHeight="false" outlineLevel="0" collapsed="false">
      <c r="A430" s="19"/>
      <c r="B430" s="19"/>
      <c r="C430" s="19"/>
      <c r="D430" s="19"/>
      <c r="E430" s="22"/>
      <c r="F430" s="19"/>
      <c r="G430" s="26" t="str">
        <f aca="false">IF(D430="","",IFERROR(VALUE(LEFT(D430,FIND(" |",D430&amp;" |")-1)),"?"))</f>
        <v/>
      </c>
      <c r="H430" s="27" t="str">
        <f aca="false">IF(G430="","",IF(G430="?","⚠ pub inconnue",IFERROR(INDEX(Pubs!$B$2:$B$3001,MATCH(G430,Pubs!$A$2:$A$3001,0))&amp;"","⚠ pub inconnue")))</f>
        <v/>
      </c>
      <c r="I430" s="27" t="str">
        <f aca="false">IF(OR(G430="",G430="?"),"",IFERROR(INDEX(Pubs!$C$2:$C$3001,MATCH(G430,Pubs!$A$2:$A$3001,0))&amp;"",""))</f>
        <v/>
      </c>
      <c r="J430" s="27" t="str">
        <f aca="false">IF(OR(G430="",G430="?"),"",IFERROR(INDEX(Pubs!$G$2:$G$3001,MATCH(G430,Pubs!$A$2:$A$3001,0))&amp;"",""))</f>
        <v/>
      </c>
      <c r="K430" s="28" t="str">
        <f aca="false">IF(OR(G430="",G430="?"),"",IFERROR(INDEX(Pubs!$E$2:$E$3001,MATCH(G430,Pubs!$A$2:$A$3001,0)),""))</f>
        <v/>
      </c>
      <c r="L430" s="29" t="str">
        <f aca="false">IF(A430="","",IFERROR(1/(1/INDEX(Numéros!$C$2:$C$3001,MATCH(A430&amp;"|"&amp;B430,Numéros!$F$2:$F$3001,0))),""))</f>
        <v/>
      </c>
      <c r="M430" s="27" t="str">
        <f aca="false">IF(OR(G430="",G430="?"),"",IFERROR(INDEX(Pubs!$D$2:$D$3001,MATCH(G430,Pubs!$A$2:$A$3001,0))&amp;"",""))</f>
        <v/>
      </c>
      <c r="N430" s="27" t="n">
        <f aca="false">N(N429)+IF(AND(A430&lt;&gt;"",OR(Recherche!$C$4="",A430=Recherche!$C$4),OR(Recherche!$C$5="",B430&amp;""=Recherche!$C$5&amp;""),OR(Recherche!$C$6="",IFERROR(YEAR(L430),0)=Recherche!$C$6),OR(Recherche!$C$7="",ISNUMBER(SEARCH(Recherche!$C$7,H430))),OR(Recherche!$C$8="",J430=Recherche!$C$8),OR(Recherche!$C$9="",I430=Recherche!$C$9),OR(Recherche!$C$10="",G430&amp;""=Recherche!$C$10&amp;""),OR(Recherche!$C$11="",E430=Recherche!$C$11),OR(Recherche!$C$12="",ISNUMBER(SEARCH(Recherche!$C$12,M430&amp;" "&amp;F430)))),1,0)</f>
        <v>8</v>
      </c>
    </row>
    <row r="431" customFormat="false" ht="15" hidden="false" customHeight="false" outlineLevel="0" collapsed="false">
      <c r="A431" s="19"/>
      <c r="B431" s="19"/>
      <c r="C431" s="19"/>
      <c r="D431" s="19"/>
      <c r="E431" s="22"/>
      <c r="F431" s="19"/>
      <c r="G431" s="26" t="str">
        <f aca="false">IF(D431="","",IFERROR(VALUE(LEFT(D431,FIND(" |",D431&amp;" |")-1)),"?"))</f>
        <v/>
      </c>
      <c r="H431" s="27" t="str">
        <f aca="false">IF(G431="","",IF(G431="?","⚠ pub inconnue",IFERROR(INDEX(Pubs!$B$2:$B$3001,MATCH(G431,Pubs!$A$2:$A$3001,0))&amp;"","⚠ pub inconnue")))</f>
        <v/>
      </c>
      <c r="I431" s="27" t="str">
        <f aca="false">IF(OR(G431="",G431="?"),"",IFERROR(INDEX(Pubs!$C$2:$C$3001,MATCH(G431,Pubs!$A$2:$A$3001,0))&amp;"",""))</f>
        <v/>
      </c>
      <c r="J431" s="27" t="str">
        <f aca="false">IF(OR(G431="",G431="?"),"",IFERROR(INDEX(Pubs!$G$2:$G$3001,MATCH(G431,Pubs!$A$2:$A$3001,0))&amp;"",""))</f>
        <v/>
      </c>
      <c r="K431" s="28" t="str">
        <f aca="false">IF(OR(G431="",G431="?"),"",IFERROR(INDEX(Pubs!$E$2:$E$3001,MATCH(G431,Pubs!$A$2:$A$3001,0)),""))</f>
        <v/>
      </c>
      <c r="L431" s="29" t="str">
        <f aca="false">IF(A431="","",IFERROR(1/(1/INDEX(Numéros!$C$2:$C$3001,MATCH(A431&amp;"|"&amp;B431,Numéros!$F$2:$F$3001,0))),""))</f>
        <v/>
      </c>
      <c r="M431" s="27" t="str">
        <f aca="false">IF(OR(G431="",G431="?"),"",IFERROR(INDEX(Pubs!$D$2:$D$3001,MATCH(G431,Pubs!$A$2:$A$3001,0))&amp;"",""))</f>
        <v/>
      </c>
      <c r="N431" s="27" t="n">
        <f aca="false">N(N430)+IF(AND(A431&lt;&gt;"",OR(Recherche!$C$4="",A431=Recherche!$C$4),OR(Recherche!$C$5="",B431&amp;""=Recherche!$C$5&amp;""),OR(Recherche!$C$6="",IFERROR(YEAR(L431),0)=Recherche!$C$6),OR(Recherche!$C$7="",ISNUMBER(SEARCH(Recherche!$C$7,H431))),OR(Recherche!$C$8="",J431=Recherche!$C$8),OR(Recherche!$C$9="",I431=Recherche!$C$9),OR(Recherche!$C$10="",G431&amp;""=Recherche!$C$10&amp;""),OR(Recherche!$C$11="",E431=Recherche!$C$11),OR(Recherche!$C$12="",ISNUMBER(SEARCH(Recherche!$C$12,M431&amp;" "&amp;F431)))),1,0)</f>
        <v>8</v>
      </c>
    </row>
    <row r="432" customFormat="false" ht="15" hidden="false" customHeight="false" outlineLevel="0" collapsed="false">
      <c r="A432" s="19"/>
      <c r="B432" s="19"/>
      <c r="C432" s="19"/>
      <c r="D432" s="19"/>
      <c r="E432" s="22"/>
      <c r="F432" s="19"/>
      <c r="G432" s="26" t="str">
        <f aca="false">IF(D432="","",IFERROR(VALUE(LEFT(D432,FIND(" |",D432&amp;" |")-1)),"?"))</f>
        <v/>
      </c>
      <c r="H432" s="27" t="str">
        <f aca="false">IF(G432="","",IF(G432="?","⚠ pub inconnue",IFERROR(INDEX(Pubs!$B$2:$B$3001,MATCH(G432,Pubs!$A$2:$A$3001,0))&amp;"","⚠ pub inconnue")))</f>
        <v/>
      </c>
      <c r="I432" s="27" t="str">
        <f aca="false">IF(OR(G432="",G432="?"),"",IFERROR(INDEX(Pubs!$C$2:$C$3001,MATCH(G432,Pubs!$A$2:$A$3001,0))&amp;"",""))</f>
        <v/>
      </c>
      <c r="J432" s="27" t="str">
        <f aca="false">IF(OR(G432="",G432="?"),"",IFERROR(INDEX(Pubs!$G$2:$G$3001,MATCH(G432,Pubs!$A$2:$A$3001,0))&amp;"",""))</f>
        <v/>
      </c>
      <c r="K432" s="28" t="str">
        <f aca="false">IF(OR(G432="",G432="?"),"",IFERROR(INDEX(Pubs!$E$2:$E$3001,MATCH(G432,Pubs!$A$2:$A$3001,0)),""))</f>
        <v/>
      </c>
      <c r="L432" s="29" t="str">
        <f aca="false">IF(A432="","",IFERROR(1/(1/INDEX(Numéros!$C$2:$C$3001,MATCH(A432&amp;"|"&amp;B432,Numéros!$F$2:$F$3001,0))),""))</f>
        <v/>
      </c>
      <c r="M432" s="27" t="str">
        <f aca="false">IF(OR(G432="",G432="?"),"",IFERROR(INDEX(Pubs!$D$2:$D$3001,MATCH(G432,Pubs!$A$2:$A$3001,0))&amp;"",""))</f>
        <v/>
      </c>
      <c r="N432" s="27" t="n">
        <f aca="false">N(N431)+IF(AND(A432&lt;&gt;"",OR(Recherche!$C$4="",A432=Recherche!$C$4),OR(Recherche!$C$5="",B432&amp;""=Recherche!$C$5&amp;""),OR(Recherche!$C$6="",IFERROR(YEAR(L432),0)=Recherche!$C$6),OR(Recherche!$C$7="",ISNUMBER(SEARCH(Recherche!$C$7,H432))),OR(Recherche!$C$8="",J432=Recherche!$C$8),OR(Recherche!$C$9="",I432=Recherche!$C$9),OR(Recherche!$C$10="",G432&amp;""=Recherche!$C$10&amp;""),OR(Recherche!$C$11="",E432=Recherche!$C$11),OR(Recherche!$C$12="",ISNUMBER(SEARCH(Recherche!$C$12,M432&amp;" "&amp;F432)))),1,0)</f>
        <v>8</v>
      </c>
    </row>
    <row r="433" customFormat="false" ht="15" hidden="false" customHeight="false" outlineLevel="0" collapsed="false">
      <c r="A433" s="19"/>
      <c r="B433" s="19"/>
      <c r="C433" s="19"/>
      <c r="D433" s="19"/>
      <c r="E433" s="22"/>
      <c r="F433" s="19"/>
      <c r="G433" s="26" t="str">
        <f aca="false">IF(D433="","",IFERROR(VALUE(LEFT(D433,FIND(" |",D433&amp;" |")-1)),"?"))</f>
        <v/>
      </c>
      <c r="H433" s="27" t="str">
        <f aca="false">IF(G433="","",IF(G433="?","⚠ pub inconnue",IFERROR(INDEX(Pubs!$B$2:$B$3001,MATCH(G433,Pubs!$A$2:$A$3001,0))&amp;"","⚠ pub inconnue")))</f>
        <v/>
      </c>
      <c r="I433" s="27" t="str">
        <f aca="false">IF(OR(G433="",G433="?"),"",IFERROR(INDEX(Pubs!$C$2:$C$3001,MATCH(G433,Pubs!$A$2:$A$3001,0))&amp;"",""))</f>
        <v/>
      </c>
      <c r="J433" s="27" t="str">
        <f aca="false">IF(OR(G433="",G433="?"),"",IFERROR(INDEX(Pubs!$G$2:$G$3001,MATCH(G433,Pubs!$A$2:$A$3001,0))&amp;"",""))</f>
        <v/>
      </c>
      <c r="K433" s="28" t="str">
        <f aca="false">IF(OR(G433="",G433="?"),"",IFERROR(INDEX(Pubs!$E$2:$E$3001,MATCH(G433,Pubs!$A$2:$A$3001,0)),""))</f>
        <v/>
      </c>
      <c r="L433" s="29" t="str">
        <f aca="false">IF(A433="","",IFERROR(1/(1/INDEX(Numéros!$C$2:$C$3001,MATCH(A433&amp;"|"&amp;B433,Numéros!$F$2:$F$3001,0))),""))</f>
        <v/>
      </c>
      <c r="M433" s="27" t="str">
        <f aca="false">IF(OR(G433="",G433="?"),"",IFERROR(INDEX(Pubs!$D$2:$D$3001,MATCH(G433,Pubs!$A$2:$A$3001,0))&amp;"",""))</f>
        <v/>
      </c>
      <c r="N433" s="27" t="n">
        <f aca="false">N(N432)+IF(AND(A433&lt;&gt;"",OR(Recherche!$C$4="",A433=Recherche!$C$4),OR(Recherche!$C$5="",B433&amp;""=Recherche!$C$5&amp;""),OR(Recherche!$C$6="",IFERROR(YEAR(L433),0)=Recherche!$C$6),OR(Recherche!$C$7="",ISNUMBER(SEARCH(Recherche!$C$7,H433))),OR(Recherche!$C$8="",J433=Recherche!$C$8),OR(Recherche!$C$9="",I433=Recherche!$C$9),OR(Recherche!$C$10="",G433&amp;""=Recherche!$C$10&amp;""),OR(Recherche!$C$11="",E433=Recherche!$C$11),OR(Recherche!$C$12="",ISNUMBER(SEARCH(Recherche!$C$12,M433&amp;" "&amp;F433)))),1,0)</f>
        <v>8</v>
      </c>
    </row>
    <row r="434" customFormat="false" ht="15" hidden="false" customHeight="false" outlineLevel="0" collapsed="false">
      <c r="A434" s="19"/>
      <c r="B434" s="19"/>
      <c r="C434" s="19"/>
      <c r="D434" s="19"/>
      <c r="E434" s="22"/>
      <c r="F434" s="19"/>
      <c r="G434" s="26" t="str">
        <f aca="false">IF(D434="","",IFERROR(VALUE(LEFT(D434,FIND(" |",D434&amp;" |")-1)),"?"))</f>
        <v/>
      </c>
      <c r="H434" s="27" t="str">
        <f aca="false">IF(G434="","",IF(G434="?","⚠ pub inconnue",IFERROR(INDEX(Pubs!$B$2:$B$3001,MATCH(G434,Pubs!$A$2:$A$3001,0))&amp;"","⚠ pub inconnue")))</f>
        <v/>
      </c>
      <c r="I434" s="27" t="str">
        <f aca="false">IF(OR(G434="",G434="?"),"",IFERROR(INDEX(Pubs!$C$2:$C$3001,MATCH(G434,Pubs!$A$2:$A$3001,0))&amp;"",""))</f>
        <v/>
      </c>
      <c r="J434" s="27" t="str">
        <f aca="false">IF(OR(G434="",G434="?"),"",IFERROR(INDEX(Pubs!$G$2:$G$3001,MATCH(G434,Pubs!$A$2:$A$3001,0))&amp;"",""))</f>
        <v/>
      </c>
      <c r="K434" s="28" t="str">
        <f aca="false">IF(OR(G434="",G434="?"),"",IFERROR(INDEX(Pubs!$E$2:$E$3001,MATCH(G434,Pubs!$A$2:$A$3001,0)),""))</f>
        <v/>
      </c>
      <c r="L434" s="29" t="str">
        <f aca="false">IF(A434="","",IFERROR(1/(1/INDEX(Numéros!$C$2:$C$3001,MATCH(A434&amp;"|"&amp;B434,Numéros!$F$2:$F$3001,0))),""))</f>
        <v/>
      </c>
      <c r="M434" s="27" t="str">
        <f aca="false">IF(OR(G434="",G434="?"),"",IFERROR(INDEX(Pubs!$D$2:$D$3001,MATCH(G434,Pubs!$A$2:$A$3001,0))&amp;"",""))</f>
        <v/>
      </c>
      <c r="N434" s="27" t="n">
        <f aca="false">N(N433)+IF(AND(A434&lt;&gt;"",OR(Recherche!$C$4="",A434=Recherche!$C$4),OR(Recherche!$C$5="",B434&amp;""=Recherche!$C$5&amp;""),OR(Recherche!$C$6="",IFERROR(YEAR(L434),0)=Recherche!$C$6),OR(Recherche!$C$7="",ISNUMBER(SEARCH(Recherche!$C$7,H434))),OR(Recherche!$C$8="",J434=Recherche!$C$8),OR(Recherche!$C$9="",I434=Recherche!$C$9),OR(Recherche!$C$10="",G434&amp;""=Recherche!$C$10&amp;""),OR(Recherche!$C$11="",E434=Recherche!$C$11),OR(Recherche!$C$12="",ISNUMBER(SEARCH(Recherche!$C$12,M434&amp;" "&amp;F434)))),1,0)</f>
        <v>8</v>
      </c>
    </row>
    <row r="435" customFormat="false" ht="15" hidden="false" customHeight="false" outlineLevel="0" collapsed="false">
      <c r="A435" s="19"/>
      <c r="B435" s="19"/>
      <c r="C435" s="19"/>
      <c r="D435" s="19"/>
      <c r="E435" s="22"/>
      <c r="F435" s="19"/>
      <c r="G435" s="26" t="str">
        <f aca="false">IF(D435="","",IFERROR(VALUE(LEFT(D435,FIND(" |",D435&amp;" |")-1)),"?"))</f>
        <v/>
      </c>
      <c r="H435" s="27" t="str">
        <f aca="false">IF(G435="","",IF(G435="?","⚠ pub inconnue",IFERROR(INDEX(Pubs!$B$2:$B$3001,MATCH(G435,Pubs!$A$2:$A$3001,0))&amp;"","⚠ pub inconnue")))</f>
        <v/>
      </c>
      <c r="I435" s="27" t="str">
        <f aca="false">IF(OR(G435="",G435="?"),"",IFERROR(INDEX(Pubs!$C$2:$C$3001,MATCH(G435,Pubs!$A$2:$A$3001,0))&amp;"",""))</f>
        <v/>
      </c>
      <c r="J435" s="27" t="str">
        <f aca="false">IF(OR(G435="",G435="?"),"",IFERROR(INDEX(Pubs!$G$2:$G$3001,MATCH(G435,Pubs!$A$2:$A$3001,0))&amp;"",""))</f>
        <v/>
      </c>
      <c r="K435" s="28" t="str">
        <f aca="false">IF(OR(G435="",G435="?"),"",IFERROR(INDEX(Pubs!$E$2:$E$3001,MATCH(G435,Pubs!$A$2:$A$3001,0)),""))</f>
        <v/>
      </c>
      <c r="L435" s="29" t="str">
        <f aca="false">IF(A435="","",IFERROR(1/(1/INDEX(Numéros!$C$2:$C$3001,MATCH(A435&amp;"|"&amp;B435,Numéros!$F$2:$F$3001,0))),""))</f>
        <v/>
      </c>
      <c r="M435" s="27" t="str">
        <f aca="false">IF(OR(G435="",G435="?"),"",IFERROR(INDEX(Pubs!$D$2:$D$3001,MATCH(G435,Pubs!$A$2:$A$3001,0))&amp;"",""))</f>
        <v/>
      </c>
      <c r="N435" s="27" t="n">
        <f aca="false">N(N434)+IF(AND(A435&lt;&gt;"",OR(Recherche!$C$4="",A435=Recherche!$C$4),OR(Recherche!$C$5="",B435&amp;""=Recherche!$C$5&amp;""),OR(Recherche!$C$6="",IFERROR(YEAR(L435),0)=Recherche!$C$6),OR(Recherche!$C$7="",ISNUMBER(SEARCH(Recherche!$C$7,H435))),OR(Recherche!$C$8="",J435=Recherche!$C$8),OR(Recherche!$C$9="",I435=Recherche!$C$9),OR(Recherche!$C$10="",G435&amp;""=Recherche!$C$10&amp;""),OR(Recherche!$C$11="",E435=Recherche!$C$11),OR(Recherche!$C$12="",ISNUMBER(SEARCH(Recherche!$C$12,M435&amp;" "&amp;F435)))),1,0)</f>
        <v>8</v>
      </c>
    </row>
    <row r="436" customFormat="false" ht="15" hidden="false" customHeight="false" outlineLevel="0" collapsed="false">
      <c r="A436" s="19"/>
      <c r="B436" s="19"/>
      <c r="C436" s="19"/>
      <c r="D436" s="19"/>
      <c r="E436" s="22"/>
      <c r="F436" s="19"/>
      <c r="G436" s="26" t="str">
        <f aca="false">IF(D436="","",IFERROR(VALUE(LEFT(D436,FIND(" |",D436&amp;" |")-1)),"?"))</f>
        <v/>
      </c>
      <c r="H436" s="27" t="str">
        <f aca="false">IF(G436="","",IF(G436="?","⚠ pub inconnue",IFERROR(INDEX(Pubs!$B$2:$B$3001,MATCH(G436,Pubs!$A$2:$A$3001,0))&amp;"","⚠ pub inconnue")))</f>
        <v/>
      </c>
      <c r="I436" s="27" t="str">
        <f aca="false">IF(OR(G436="",G436="?"),"",IFERROR(INDEX(Pubs!$C$2:$C$3001,MATCH(G436,Pubs!$A$2:$A$3001,0))&amp;"",""))</f>
        <v/>
      </c>
      <c r="J436" s="27" t="str">
        <f aca="false">IF(OR(G436="",G436="?"),"",IFERROR(INDEX(Pubs!$G$2:$G$3001,MATCH(G436,Pubs!$A$2:$A$3001,0))&amp;"",""))</f>
        <v/>
      </c>
      <c r="K436" s="28" t="str">
        <f aca="false">IF(OR(G436="",G436="?"),"",IFERROR(INDEX(Pubs!$E$2:$E$3001,MATCH(G436,Pubs!$A$2:$A$3001,0)),""))</f>
        <v/>
      </c>
      <c r="L436" s="29" t="str">
        <f aca="false">IF(A436="","",IFERROR(1/(1/INDEX(Numéros!$C$2:$C$3001,MATCH(A436&amp;"|"&amp;B436,Numéros!$F$2:$F$3001,0))),""))</f>
        <v/>
      </c>
      <c r="M436" s="27" t="str">
        <f aca="false">IF(OR(G436="",G436="?"),"",IFERROR(INDEX(Pubs!$D$2:$D$3001,MATCH(G436,Pubs!$A$2:$A$3001,0))&amp;"",""))</f>
        <v/>
      </c>
      <c r="N436" s="27" t="n">
        <f aca="false">N(N435)+IF(AND(A436&lt;&gt;"",OR(Recherche!$C$4="",A436=Recherche!$C$4),OR(Recherche!$C$5="",B436&amp;""=Recherche!$C$5&amp;""),OR(Recherche!$C$6="",IFERROR(YEAR(L436),0)=Recherche!$C$6),OR(Recherche!$C$7="",ISNUMBER(SEARCH(Recherche!$C$7,H436))),OR(Recherche!$C$8="",J436=Recherche!$C$8),OR(Recherche!$C$9="",I436=Recherche!$C$9),OR(Recherche!$C$10="",G436&amp;""=Recherche!$C$10&amp;""),OR(Recherche!$C$11="",E436=Recherche!$C$11),OR(Recherche!$C$12="",ISNUMBER(SEARCH(Recherche!$C$12,M436&amp;" "&amp;F436)))),1,0)</f>
        <v>8</v>
      </c>
    </row>
    <row r="437" customFormat="false" ht="15" hidden="false" customHeight="false" outlineLevel="0" collapsed="false">
      <c r="A437" s="19"/>
      <c r="B437" s="19"/>
      <c r="C437" s="19"/>
      <c r="D437" s="19"/>
      <c r="E437" s="22"/>
      <c r="F437" s="19"/>
      <c r="G437" s="26" t="str">
        <f aca="false">IF(D437="","",IFERROR(VALUE(LEFT(D437,FIND(" |",D437&amp;" |")-1)),"?"))</f>
        <v/>
      </c>
      <c r="H437" s="27" t="str">
        <f aca="false">IF(G437="","",IF(G437="?","⚠ pub inconnue",IFERROR(INDEX(Pubs!$B$2:$B$3001,MATCH(G437,Pubs!$A$2:$A$3001,0))&amp;"","⚠ pub inconnue")))</f>
        <v/>
      </c>
      <c r="I437" s="27" t="str">
        <f aca="false">IF(OR(G437="",G437="?"),"",IFERROR(INDEX(Pubs!$C$2:$C$3001,MATCH(G437,Pubs!$A$2:$A$3001,0))&amp;"",""))</f>
        <v/>
      </c>
      <c r="J437" s="27" t="str">
        <f aca="false">IF(OR(G437="",G437="?"),"",IFERROR(INDEX(Pubs!$G$2:$G$3001,MATCH(G437,Pubs!$A$2:$A$3001,0))&amp;"",""))</f>
        <v/>
      </c>
      <c r="K437" s="28" t="str">
        <f aca="false">IF(OR(G437="",G437="?"),"",IFERROR(INDEX(Pubs!$E$2:$E$3001,MATCH(G437,Pubs!$A$2:$A$3001,0)),""))</f>
        <v/>
      </c>
      <c r="L437" s="29" t="str">
        <f aca="false">IF(A437="","",IFERROR(1/(1/INDEX(Numéros!$C$2:$C$3001,MATCH(A437&amp;"|"&amp;B437,Numéros!$F$2:$F$3001,0))),""))</f>
        <v/>
      </c>
      <c r="M437" s="27" t="str">
        <f aca="false">IF(OR(G437="",G437="?"),"",IFERROR(INDEX(Pubs!$D$2:$D$3001,MATCH(G437,Pubs!$A$2:$A$3001,0))&amp;"",""))</f>
        <v/>
      </c>
      <c r="N437" s="27" t="n">
        <f aca="false">N(N436)+IF(AND(A437&lt;&gt;"",OR(Recherche!$C$4="",A437=Recherche!$C$4),OR(Recherche!$C$5="",B437&amp;""=Recherche!$C$5&amp;""),OR(Recherche!$C$6="",IFERROR(YEAR(L437),0)=Recherche!$C$6),OR(Recherche!$C$7="",ISNUMBER(SEARCH(Recherche!$C$7,H437))),OR(Recherche!$C$8="",J437=Recherche!$C$8),OR(Recherche!$C$9="",I437=Recherche!$C$9),OR(Recherche!$C$10="",G437&amp;""=Recherche!$C$10&amp;""),OR(Recherche!$C$11="",E437=Recherche!$C$11),OR(Recherche!$C$12="",ISNUMBER(SEARCH(Recherche!$C$12,M437&amp;" "&amp;F437)))),1,0)</f>
        <v>8</v>
      </c>
    </row>
    <row r="438" customFormat="false" ht="15" hidden="false" customHeight="false" outlineLevel="0" collapsed="false">
      <c r="A438" s="19"/>
      <c r="B438" s="19"/>
      <c r="C438" s="19"/>
      <c r="D438" s="19"/>
      <c r="E438" s="22"/>
      <c r="F438" s="19"/>
      <c r="G438" s="26" t="str">
        <f aca="false">IF(D438="","",IFERROR(VALUE(LEFT(D438,FIND(" |",D438&amp;" |")-1)),"?"))</f>
        <v/>
      </c>
      <c r="H438" s="27" t="str">
        <f aca="false">IF(G438="","",IF(G438="?","⚠ pub inconnue",IFERROR(INDEX(Pubs!$B$2:$B$3001,MATCH(G438,Pubs!$A$2:$A$3001,0))&amp;"","⚠ pub inconnue")))</f>
        <v/>
      </c>
      <c r="I438" s="27" t="str">
        <f aca="false">IF(OR(G438="",G438="?"),"",IFERROR(INDEX(Pubs!$C$2:$C$3001,MATCH(G438,Pubs!$A$2:$A$3001,0))&amp;"",""))</f>
        <v/>
      </c>
      <c r="J438" s="27" t="str">
        <f aca="false">IF(OR(G438="",G438="?"),"",IFERROR(INDEX(Pubs!$G$2:$G$3001,MATCH(G438,Pubs!$A$2:$A$3001,0))&amp;"",""))</f>
        <v/>
      </c>
      <c r="K438" s="28" t="str">
        <f aca="false">IF(OR(G438="",G438="?"),"",IFERROR(INDEX(Pubs!$E$2:$E$3001,MATCH(G438,Pubs!$A$2:$A$3001,0)),""))</f>
        <v/>
      </c>
      <c r="L438" s="29" t="str">
        <f aca="false">IF(A438="","",IFERROR(1/(1/INDEX(Numéros!$C$2:$C$3001,MATCH(A438&amp;"|"&amp;B438,Numéros!$F$2:$F$3001,0))),""))</f>
        <v/>
      </c>
      <c r="M438" s="27" t="str">
        <f aca="false">IF(OR(G438="",G438="?"),"",IFERROR(INDEX(Pubs!$D$2:$D$3001,MATCH(G438,Pubs!$A$2:$A$3001,0))&amp;"",""))</f>
        <v/>
      </c>
      <c r="N438" s="27" t="n">
        <f aca="false">N(N437)+IF(AND(A438&lt;&gt;"",OR(Recherche!$C$4="",A438=Recherche!$C$4),OR(Recherche!$C$5="",B438&amp;""=Recherche!$C$5&amp;""),OR(Recherche!$C$6="",IFERROR(YEAR(L438),0)=Recherche!$C$6),OR(Recherche!$C$7="",ISNUMBER(SEARCH(Recherche!$C$7,H438))),OR(Recherche!$C$8="",J438=Recherche!$C$8),OR(Recherche!$C$9="",I438=Recherche!$C$9),OR(Recherche!$C$10="",G438&amp;""=Recherche!$C$10&amp;""),OR(Recherche!$C$11="",E438=Recherche!$C$11),OR(Recherche!$C$12="",ISNUMBER(SEARCH(Recherche!$C$12,M438&amp;" "&amp;F438)))),1,0)</f>
        <v>8</v>
      </c>
    </row>
    <row r="439" customFormat="false" ht="15" hidden="false" customHeight="false" outlineLevel="0" collapsed="false">
      <c r="A439" s="19"/>
      <c r="B439" s="19"/>
      <c r="C439" s="19"/>
      <c r="D439" s="19"/>
      <c r="E439" s="22"/>
      <c r="F439" s="19"/>
      <c r="G439" s="26" t="str">
        <f aca="false">IF(D439="","",IFERROR(VALUE(LEFT(D439,FIND(" |",D439&amp;" |")-1)),"?"))</f>
        <v/>
      </c>
      <c r="H439" s="27" t="str">
        <f aca="false">IF(G439="","",IF(G439="?","⚠ pub inconnue",IFERROR(INDEX(Pubs!$B$2:$B$3001,MATCH(G439,Pubs!$A$2:$A$3001,0))&amp;"","⚠ pub inconnue")))</f>
        <v/>
      </c>
      <c r="I439" s="27" t="str">
        <f aca="false">IF(OR(G439="",G439="?"),"",IFERROR(INDEX(Pubs!$C$2:$C$3001,MATCH(G439,Pubs!$A$2:$A$3001,0))&amp;"",""))</f>
        <v/>
      </c>
      <c r="J439" s="27" t="str">
        <f aca="false">IF(OR(G439="",G439="?"),"",IFERROR(INDEX(Pubs!$G$2:$G$3001,MATCH(G439,Pubs!$A$2:$A$3001,0))&amp;"",""))</f>
        <v/>
      </c>
      <c r="K439" s="28" t="str">
        <f aca="false">IF(OR(G439="",G439="?"),"",IFERROR(INDEX(Pubs!$E$2:$E$3001,MATCH(G439,Pubs!$A$2:$A$3001,0)),""))</f>
        <v/>
      </c>
      <c r="L439" s="29" t="str">
        <f aca="false">IF(A439="","",IFERROR(1/(1/INDEX(Numéros!$C$2:$C$3001,MATCH(A439&amp;"|"&amp;B439,Numéros!$F$2:$F$3001,0))),""))</f>
        <v/>
      </c>
      <c r="M439" s="27" t="str">
        <f aca="false">IF(OR(G439="",G439="?"),"",IFERROR(INDEX(Pubs!$D$2:$D$3001,MATCH(G439,Pubs!$A$2:$A$3001,0))&amp;"",""))</f>
        <v/>
      </c>
      <c r="N439" s="27" t="n">
        <f aca="false">N(N438)+IF(AND(A439&lt;&gt;"",OR(Recherche!$C$4="",A439=Recherche!$C$4),OR(Recherche!$C$5="",B439&amp;""=Recherche!$C$5&amp;""),OR(Recherche!$C$6="",IFERROR(YEAR(L439),0)=Recherche!$C$6),OR(Recherche!$C$7="",ISNUMBER(SEARCH(Recherche!$C$7,H439))),OR(Recherche!$C$8="",J439=Recherche!$C$8),OR(Recherche!$C$9="",I439=Recherche!$C$9),OR(Recherche!$C$10="",G439&amp;""=Recherche!$C$10&amp;""),OR(Recherche!$C$11="",E439=Recherche!$C$11),OR(Recherche!$C$12="",ISNUMBER(SEARCH(Recherche!$C$12,M439&amp;" "&amp;F439)))),1,0)</f>
        <v>8</v>
      </c>
    </row>
    <row r="440" customFormat="false" ht="15" hidden="false" customHeight="false" outlineLevel="0" collapsed="false">
      <c r="A440" s="19"/>
      <c r="B440" s="19"/>
      <c r="C440" s="19"/>
      <c r="D440" s="19"/>
      <c r="E440" s="22"/>
      <c r="F440" s="19"/>
      <c r="G440" s="26" t="str">
        <f aca="false">IF(D440="","",IFERROR(VALUE(LEFT(D440,FIND(" |",D440&amp;" |")-1)),"?"))</f>
        <v/>
      </c>
      <c r="H440" s="27" t="str">
        <f aca="false">IF(G440="","",IF(G440="?","⚠ pub inconnue",IFERROR(INDEX(Pubs!$B$2:$B$3001,MATCH(G440,Pubs!$A$2:$A$3001,0))&amp;"","⚠ pub inconnue")))</f>
        <v/>
      </c>
      <c r="I440" s="27" t="str">
        <f aca="false">IF(OR(G440="",G440="?"),"",IFERROR(INDEX(Pubs!$C$2:$C$3001,MATCH(G440,Pubs!$A$2:$A$3001,0))&amp;"",""))</f>
        <v/>
      </c>
      <c r="J440" s="27" t="str">
        <f aca="false">IF(OR(G440="",G440="?"),"",IFERROR(INDEX(Pubs!$G$2:$G$3001,MATCH(G440,Pubs!$A$2:$A$3001,0))&amp;"",""))</f>
        <v/>
      </c>
      <c r="K440" s="28" t="str">
        <f aca="false">IF(OR(G440="",G440="?"),"",IFERROR(INDEX(Pubs!$E$2:$E$3001,MATCH(G440,Pubs!$A$2:$A$3001,0)),""))</f>
        <v/>
      </c>
      <c r="L440" s="29" t="str">
        <f aca="false">IF(A440="","",IFERROR(1/(1/INDEX(Numéros!$C$2:$C$3001,MATCH(A440&amp;"|"&amp;B440,Numéros!$F$2:$F$3001,0))),""))</f>
        <v/>
      </c>
      <c r="M440" s="27" t="str">
        <f aca="false">IF(OR(G440="",G440="?"),"",IFERROR(INDEX(Pubs!$D$2:$D$3001,MATCH(G440,Pubs!$A$2:$A$3001,0))&amp;"",""))</f>
        <v/>
      </c>
      <c r="N440" s="27" t="n">
        <f aca="false">N(N439)+IF(AND(A440&lt;&gt;"",OR(Recherche!$C$4="",A440=Recherche!$C$4),OR(Recherche!$C$5="",B440&amp;""=Recherche!$C$5&amp;""),OR(Recherche!$C$6="",IFERROR(YEAR(L440),0)=Recherche!$C$6),OR(Recherche!$C$7="",ISNUMBER(SEARCH(Recherche!$C$7,H440))),OR(Recherche!$C$8="",J440=Recherche!$C$8),OR(Recherche!$C$9="",I440=Recherche!$C$9),OR(Recherche!$C$10="",G440&amp;""=Recherche!$C$10&amp;""),OR(Recherche!$C$11="",E440=Recherche!$C$11),OR(Recherche!$C$12="",ISNUMBER(SEARCH(Recherche!$C$12,M440&amp;" "&amp;F440)))),1,0)</f>
        <v>8</v>
      </c>
    </row>
    <row r="441" customFormat="false" ht="15" hidden="false" customHeight="false" outlineLevel="0" collapsed="false">
      <c r="A441" s="19"/>
      <c r="B441" s="19"/>
      <c r="C441" s="19"/>
      <c r="D441" s="19"/>
      <c r="E441" s="22"/>
      <c r="F441" s="19"/>
      <c r="G441" s="26" t="str">
        <f aca="false">IF(D441="","",IFERROR(VALUE(LEFT(D441,FIND(" |",D441&amp;" |")-1)),"?"))</f>
        <v/>
      </c>
      <c r="H441" s="27" t="str">
        <f aca="false">IF(G441="","",IF(G441="?","⚠ pub inconnue",IFERROR(INDEX(Pubs!$B$2:$B$3001,MATCH(G441,Pubs!$A$2:$A$3001,0))&amp;"","⚠ pub inconnue")))</f>
        <v/>
      </c>
      <c r="I441" s="27" t="str">
        <f aca="false">IF(OR(G441="",G441="?"),"",IFERROR(INDEX(Pubs!$C$2:$C$3001,MATCH(G441,Pubs!$A$2:$A$3001,0))&amp;"",""))</f>
        <v/>
      </c>
      <c r="J441" s="27" t="str">
        <f aca="false">IF(OR(G441="",G441="?"),"",IFERROR(INDEX(Pubs!$G$2:$G$3001,MATCH(G441,Pubs!$A$2:$A$3001,0))&amp;"",""))</f>
        <v/>
      </c>
      <c r="K441" s="28" t="str">
        <f aca="false">IF(OR(G441="",G441="?"),"",IFERROR(INDEX(Pubs!$E$2:$E$3001,MATCH(G441,Pubs!$A$2:$A$3001,0)),""))</f>
        <v/>
      </c>
      <c r="L441" s="29" t="str">
        <f aca="false">IF(A441="","",IFERROR(1/(1/INDEX(Numéros!$C$2:$C$3001,MATCH(A441&amp;"|"&amp;B441,Numéros!$F$2:$F$3001,0))),""))</f>
        <v/>
      </c>
      <c r="M441" s="27" t="str">
        <f aca="false">IF(OR(G441="",G441="?"),"",IFERROR(INDEX(Pubs!$D$2:$D$3001,MATCH(G441,Pubs!$A$2:$A$3001,0))&amp;"",""))</f>
        <v/>
      </c>
      <c r="N441" s="27" t="n">
        <f aca="false">N(N440)+IF(AND(A441&lt;&gt;"",OR(Recherche!$C$4="",A441=Recherche!$C$4),OR(Recherche!$C$5="",B441&amp;""=Recherche!$C$5&amp;""),OR(Recherche!$C$6="",IFERROR(YEAR(L441),0)=Recherche!$C$6),OR(Recherche!$C$7="",ISNUMBER(SEARCH(Recherche!$C$7,H441))),OR(Recherche!$C$8="",J441=Recherche!$C$8),OR(Recherche!$C$9="",I441=Recherche!$C$9),OR(Recherche!$C$10="",G441&amp;""=Recherche!$C$10&amp;""),OR(Recherche!$C$11="",E441=Recherche!$C$11),OR(Recherche!$C$12="",ISNUMBER(SEARCH(Recherche!$C$12,M441&amp;" "&amp;F441)))),1,0)</f>
        <v>8</v>
      </c>
    </row>
    <row r="442" customFormat="false" ht="15" hidden="false" customHeight="false" outlineLevel="0" collapsed="false">
      <c r="A442" s="19"/>
      <c r="B442" s="19"/>
      <c r="C442" s="19"/>
      <c r="D442" s="19"/>
      <c r="E442" s="22"/>
      <c r="F442" s="19"/>
      <c r="G442" s="26" t="str">
        <f aca="false">IF(D442="","",IFERROR(VALUE(LEFT(D442,FIND(" |",D442&amp;" |")-1)),"?"))</f>
        <v/>
      </c>
      <c r="H442" s="27" t="str">
        <f aca="false">IF(G442="","",IF(G442="?","⚠ pub inconnue",IFERROR(INDEX(Pubs!$B$2:$B$3001,MATCH(G442,Pubs!$A$2:$A$3001,0))&amp;"","⚠ pub inconnue")))</f>
        <v/>
      </c>
      <c r="I442" s="27" t="str">
        <f aca="false">IF(OR(G442="",G442="?"),"",IFERROR(INDEX(Pubs!$C$2:$C$3001,MATCH(G442,Pubs!$A$2:$A$3001,0))&amp;"",""))</f>
        <v/>
      </c>
      <c r="J442" s="27" t="str">
        <f aca="false">IF(OR(G442="",G442="?"),"",IFERROR(INDEX(Pubs!$G$2:$G$3001,MATCH(G442,Pubs!$A$2:$A$3001,0))&amp;"",""))</f>
        <v/>
      </c>
      <c r="K442" s="28" t="str">
        <f aca="false">IF(OR(G442="",G442="?"),"",IFERROR(INDEX(Pubs!$E$2:$E$3001,MATCH(G442,Pubs!$A$2:$A$3001,0)),""))</f>
        <v/>
      </c>
      <c r="L442" s="29" t="str">
        <f aca="false">IF(A442="","",IFERROR(1/(1/INDEX(Numéros!$C$2:$C$3001,MATCH(A442&amp;"|"&amp;B442,Numéros!$F$2:$F$3001,0))),""))</f>
        <v/>
      </c>
      <c r="M442" s="27" t="str">
        <f aca="false">IF(OR(G442="",G442="?"),"",IFERROR(INDEX(Pubs!$D$2:$D$3001,MATCH(G442,Pubs!$A$2:$A$3001,0))&amp;"",""))</f>
        <v/>
      </c>
      <c r="N442" s="27" t="n">
        <f aca="false">N(N441)+IF(AND(A442&lt;&gt;"",OR(Recherche!$C$4="",A442=Recherche!$C$4),OR(Recherche!$C$5="",B442&amp;""=Recherche!$C$5&amp;""),OR(Recherche!$C$6="",IFERROR(YEAR(L442),0)=Recherche!$C$6),OR(Recherche!$C$7="",ISNUMBER(SEARCH(Recherche!$C$7,H442))),OR(Recherche!$C$8="",J442=Recherche!$C$8),OR(Recherche!$C$9="",I442=Recherche!$C$9),OR(Recherche!$C$10="",G442&amp;""=Recherche!$C$10&amp;""),OR(Recherche!$C$11="",E442=Recherche!$C$11),OR(Recherche!$C$12="",ISNUMBER(SEARCH(Recherche!$C$12,M442&amp;" "&amp;F442)))),1,0)</f>
        <v>8</v>
      </c>
    </row>
    <row r="443" customFormat="false" ht="15" hidden="false" customHeight="false" outlineLevel="0" collapsed="false">
      <c r="A443" s="19"/>
      <c r="B443" s="19"/>
      <c r="C443" s="19"/>
      <c r="D443" s="19"/>
      <c r="E443" s="22"/>
      <c r="F443" s="19"/>
      <c r="G443" s="26" t="str">
        <f aca="false">IF(D443="","",IFERROR(VALUE(LEFT(D443,FIND(" |",D443&amp;" |")-1)),"?"))</f>
        <v/>
      </c>
      <c r="H443" s="27" t="str">
        <f aca="false">IF(G443="","",IF(G443="?","⚠ pub inconnue",IFERROR(INDEX(Pubs!$B$2:$B$3001,MATCH(G443,Pubs!$A$2:$A$3001,0))&amp;"","⚠ pub inconnue")))</f>
        <v/>
      </c>
      <c r="I443" s="27" t="str">
        <f aca="false">IF(OR(G443="",G443="?"),"",IFERROR(INDEX(Pubs!$C$2:$C$3001,MATCH(G443,Pubs!$A$2:$A$3001,0))&amp;"",""))</f>
        <v/>
      </c>
      <c r="J443" s="27" t="str">
        <f aca="false">IF(OR(G443="",G443="?"),"",IFERROR(INDEX(Pubs!$G$2:$G$3001,MATCH(G443,Pubs!$A$2:$A$3001,0))&amp;"",""))</f>
        <v/>
      </c>
      <c r="K443" s="28" t="str">
        <f aca="false">IF(OR(G443="",G443="?"),"",IFERROR(INDEX(Pubs!$E$2:$E$3001,MATCH(G443,Pubs!$A$2:$A$3001,0)),""))</f>
        <v/>
      </c>
      <c r="L443" s="29" t="str">
        <f aca="false">IF(A443="","",IFERROR(1/(1/INDEX(Numéros!$C$2:$C$3001,MATCH(A443&amp;"|"&amp;B443,Numéros!$F$2:$F$3001,0))),""))</f>
        <v/>
      </c>
      <c r="M443" s="27" t="str">
        <f aca="false">IF(OR(G443="",G443="?"),"",IFERROR(INDEX(Pubs!$D$2:$D$3001,MATCH(G443,Pubs!$A$2:$A$3001,0))&amp;"",""))</f>
        <v/>
      </c>
      <c r="N443" s="27" t="n">
        <f aca="false">N(N442)+IF(AND(A443&lt;&gt;"",OR(Recherche!$C$4="",A443=Recherche!$C$4),OR(Recherche!$C$5="",B443&amp;""=Recherche!$C$5&amp;""),OR(Recherche!$C$6="",IFERROR(YEAR(L443),0)=Recherche!$C$6),OR(Recherche!$C$7="",ISNUMBER(SEARCH(Recherche!$C$7,H443))),OR(Recherche!$C$8="",J443=Recherche!$C$8),OR(Recherche!$C$9="",I443=Recherche!$C$9),OR(Recherche!$C$10="",G443&amp;""=Recherche!$C$10&amp;""),OR(Recherche!$C$11="",E443=Recherche!$C$11),OR(Recherche!$C$12="",ISNUMBER(SEARCH(Recherche!$C$12,M443&amp;" "&amp;F443)))),1,0)</f>
        <v>8</v>
      </c>
    </row>
    <row r="444" customFormat="false" ht="15" hidden="false" customHeight="false" outlineLevel="0" collapsed="false">
      <c r="A444" s="19"/>
      <c r="B444" s="19"/>
      <c r="C444" s="19"/>
      <c r="D444" s="19"/>
      <c r="E444" s="22"/>
      <c r="F444" s="19"/>
      <c r="G444" s="26" t="str">
        <f aca="false">IF(D444="","",IFERROR(VALUE(LEFT(D444,FIND(" |",D444&amp;" |")-1)),"?"))</f>
        <v/>
      </c>
      <c r="H444" s="27" t="str">
        <f aca="false">IF(G444="","",IF(G444="?","⚠ pub inconnue",IFERROR(INDEX(Pubs!$B$2:$B$3001,MATCH(G444,Pubs!$A$2:$A$3001,0))&amp;"","⚠ pub inconnue")))</f>
        <v/>
      </c>
      <c r="I444" s="27" t="str">
        <f aca="false">IF(OR(G444="",G444="?"),"",IFERROR(INDEX(Pubs!$C$2:$C$3001,MATCH(G444,Pubs!$A$2:$A$3001,0))&amp;"",""))</f>
        <v/>
      </c>
      <c r="J444" s="27" t="str">
        <f aca="false">IF(OR(G444="",G444="?"),"",IFERROR(INDEX(Pubs!$G$2:$G$3001,MATCH(G444,Pubs!$A$2:$A$3001,0))&amp;"",""))</f>
        <v/>
      </c>
      <c r="K444" s="28" t="str">
        <f aca="false">IF(OR(G444="",G444="?"),"",IFERROR(INDEX(Pubs!$E$2:$E$3001,MATCH(G444,Pubs!$A$2:$A$3001,0)),""))</f>
        <v/>
      </c>
      <c r="L444" s="29" t="str">
        <f aca="false">IF(A444="","",IFERROR(1/(1/INDEX(Numéros!$C$2:$C$3001,MATCH(A444&amp;"|"&amp;B444,Numéros!$F$2:$F$3001,0))),""))</f>
        <v/>
      </c>
      <c r="M444" s="27" t="str">
        <f aca="false">IF(OR(G444="",G444="?"),"",IFERROR(INDEX(Pubs!$D$2:$D$3001,MATCH(G444,Pubs!$A$2:$A$3001,0))&amp;"",""))</f>
        <v/>
      </c>
      <c r="N444" s="27" t="n">
        <f aca="false">N(N443)+IF(AND(A444&lt;&gt;"",OR(Recherche!$C$4="",A444=Recherche!$C$4),OR(Recherche!$C$5="",B444&amp;""=Recherche!$C$5&amp;""),OR(Recherche!$C$6="",IFERROR(YEAR(L444),0)=Recherche!$C$6),OR(Recherche!$C$7="",ISNUMBER(SEARCH(Recherche!$C$7,H444))),OR(Recherche!$C$8="",J444=Recherche!$C$8),OR(Recherche!$C$9="",I444=Recherche!$C$9),OR(Recherche!$C$10="",G444&amp;""=Recherche!$C$10&amp;""),OR(Recherche!$C$11="",E444=Recherche!$C$11),OR(Recherche!$C$12="",ISNUMBER(SEARCH(Recherche!$C$12,M444&amp;" "&amp;F444)))),1,0)</f>
        <v>8</v>
      </c>
    </row>
    <row r="445" customFormat="false" ht="15" hidden="false" customHeight="false" outlineLevel="0" collapsed="false">
      <c r="A445" s="19"/>
      <c r="B445" s="19"/>
      <c r="C445" s="19"/>
      <c r="D445" s="19"/>
      <c r="E445" s="22"/>
      <c r="F445" s="19"/>
      <c r="G445" s="26" t="str">
        <f aca="false">IF(D445="","",IFERROR(VALUE(LEFT(D445,FIND(" |",D445&amp;" |")-1)),"?"))</f>
        <v/>
      </c>
      <c r="H445" s="27" t="str">
        <f aca="false">IF(G445="","",IF(G445="?","⚠ pub inconnue",IFERROR(INDEX(Pubs!$B$2:$B$3001,MATCH(G445,Pubs!$A$2:$A$3001,0))&amp;"","⚠ pub inconnue")))</f>
        <v/>
      </c>
      <c r="I445" s="27" t="str">
        <f aca="false">IF(OR(G445="",G445="?"),"",IFERROR(INDEX(Pubs!$C$2:$C$3001,MATCH(G445,Pubs!$A$2:$A$3001,0))&amp;"",""))</f>
        <v/>
      </c>
      <c r="J445" s="27" t="str">
        <f aca="false">IF(OR(G445="",G445="?"),"",IFERROR(INDEX(Pubs!$G$2:$G$3001,MATCH(G445,Pubs!$A$2:$A$3001,0))&amp;"",""))</f>
        <v/>
      </c>
      <c r="K445" s="28" t="str">
        <f aca="false">IF(OR(G445="",G445="?"),"",IFERROR(INDEX(Pubs!$E$2:$E$3001,MATCH(G445,Pubs!$A$2:$A$3001,0)),""))</f>
        <v/>
      </c>
      <c r="L445" s="29" t="str">
        <f aca="false">IF(A445="","",IFERROR(1/(1/INDEX(Numéros!$C$2:$C$3001,MATCH(A445&amp;"|"&amp;B445,Numéros!$F$2:$F$3001,0))),""))</f>
        <v/>
      </c>
      <c r="M445" s="27" t="str">
        <f aca="false">IF(OR(G445="",G445="?"),"",IFERROR(INDEX(Pubs!$D$2:$D$3001,MATCH(G445,Pubs!$A$2:$A$3001,0))&amp;"",""))</f>
        <v/>
      </c>
      <c r="N445" s="27" t="n">
        <f aca="false">N(N444)+IF(AND(A445&lt;&gt;"",OR(Recherche!$C$4="",A445=Recherche!$C$4),OR(Recherche!$C$5="",B445&amp;""=Recherche!$C$5&amp;""),OR(Recherche!$C$6="",IFERROR(YEAR(L445),0)=Recherche!$C$6),OR(Recherche!$C$7="",ISNUMBER(SEARCH(Recherche!$C$7,H445))),OR(Recherche!$C$8="",J445=Recherche!$C$8),OR(Recherche!$C$9="",I445=Recherche!$C$9),OR(Recherche!$C$10="",G445&amp;""=Recherche!$C$10&amp;""),OR(Recherche!$C$11="",E445=Recherche!$C$11),OR(Recherche!$C$12="",ISNUMBER(SEARCH(Recherche!$C$12,M445&amp;" "&amp;F445)))),1,0)</f>
        <v>8</v>
      </c>
    </row>
    <row r="446" customFormat="false" ht="15" hidden="false" customHeight="false" outlineLevel="0" collapsed="false">
      <c r="A446" s="19"/>
      <c r="B446" s="19"/>
      <c r="C446" s="19"/>
      <c r="D446" s="19"/>
      <c r="E446" s="22"/>
      <c r="F446" s="19"/>
      <c r="G446" s="26" t="str">
        <f aca="false">IF(D446="","",IFERROR(VALUE(LEFT(D446,FIND(" |",D446&amp;" |")-1)),"?"))</f>
        <v/>
      </c>
      <c r="H446" s="27" t="str">
        <f aca="false">IF(G446="","",IF(G446="?","⚠ pub inconnue",IFERROR(INDEX(Pubs!$B$2:$B$3001,MATCH(G446,Pubs!$A$2:$A$3001,0))&amp;"","⚠ pub inconnue")))</f>
        <v/>
      </c>
      <c r="I446" s="27" t="str">
        <f aca="false">IF(OR(G446="",G446="?"),"",IFERROR(INDEX(Pubs!$C$2:$C$3001,MATCH(G446,Pubs!$A$2:$A$3001,0))&amp;"",""))</f>
        <v/>
      </c>
      <c r="J446" s="27" t="str">
        <f aca="false">IF(OR(G446="",G446="?"),"",IFERROR(INDEX(Pubs!$G$2:$G$3001,MATCH(G446,Pubs!$A$2:$A$3001,0))&amp;"",""))</f>
        <v/>
      </c>
      <c r="K446" s="28" t="str">
        <f aca="false">IF(OR(G446="",G446="?"),"",IFERROR(INDEX(Pubs!$E$2:$E$3001,MATCH(G446,Pubs!$A$2:$A$3001,0)),""))</f>
        <v/>
      </c>
      <c r="L446" s="29" t="str">
        <f aca="false">IF(A446="","",IFERROR(1/(1/INDEX(Numéros!$C$2:$C$3001,MATCH(A446&amp;"|"&amp;B446,Numéros!$F$2:$F$3001,0))),""))</f>
        <v/>
      </c>
      <c r="M446" s="27" t="str">
        <f aca="false">IF(OR(G446="",G446="?"),"",IFERROR(INDEX(Pubs!$D$2:$D$3001,MATCH(G446,Pubs!$A$2:$A$3001,0))&amp;"",""))</f>
        <v/>
      </c>
      <c r="N446" s="27" t="n">
        <f aca="false">N(N445)+IF(AND(A446&lt;&gt;"",OR(Recherche!$C$4="",A446=Recherche!$C$4),OR(Recherche!$C$5="",B446&amp;""=Recherche!$C$5&amp;""),OR(Recherche!$C$6="",IFERROR(YEAR(L446),0)=Recherche!$C$6),OR(Recherche!$C$7="",ISNUMBER(SEARCH(Recherche!$C$7,H446))),OR(Recherche!$C$8="",J446=Recherche!$C$8),OR(Recherche!$C$9="",I446=Recherche!$C$9),OR(Recherche!$C$10="",G446&amp;""=Recherche!$C$10&amp;""),OR(Recherche!$C$11="",E446=Recherche!$C$11),OR(Recherche!$C$12="",ISNUMBER(SEARCH(Recherche!$C$12,M446&amp;" "&amp;F446)))),1,0)</f>
        <v>8</v>
      </c>
    </row>
    <row r="447" customFormat="false" ht="15" hidden="false" customHeight="false" outlineLevel="0" collapsed="false">
      <c r="A447" s="19"/>
      <c r="B447" s="19"/>
      <c r="C447" s="19"/>
      <c r="D447" s="19"/>
      <c r="E447" s="22"/>
      <c r="F447" s="19"/>
      <c r="G447" s="26" t="str">
        <f aca="false">IF(D447="","",IFERROR(VALUE(LEFT(D447,FIND(" |",D447&amp;" |")-1)),"?"))</f>
        <v/>
      </c>
      <c r="H447" s="27" t="str">
        <f aca="false">IF(G447="","",IF(G447="?","⚠ pub inconnue",IFERROR(INDEX(Pubs!$B$2:$B$3001,MATCH(G447,Pubs!$A$2:$A$3001,0))&amp;"","⚠ pub inconnue")))</f>
        <v/>
      </c>
      <c r="I447" s="27" t="str">
        <f aca="false">IF(OR(G447="",G447="?"),"",IFERROR(INDEX(Pubs!$C$2:$C$3001,MATCH(G447,Pubs!$A$2:$A$3001,0))&amp;"",""))</f>
        <v/>
      </c>
      <c r="J447" s="27" t="str">
        <f aca="false">IF(OR(G447="",G447="?"),"",IFERROR(INDEX(Pubs!$G$2:$G$3001,MATCH(G447,Pubs!$A$2:$A$3001,0))&amp;"",""))</f>
        <v/>
      </c>
      <c r="K447" s="28" t="str">
        <f aca="false">IF(OR(G447="",G447="?"),"",IFERROR(INDEX(Pubs!$E$2:$E$3001,MATCH(G447,Pubs!$A$2:$A$3001,0)),""))</f>
        <v/>
      </c>
      <c r="L447" s="29" t="str">
        <f aca="false">IF(A447="","",IFERROR(1/(1/INDEX(Numéros!$C$2:$C$3001,MATCH(A447&amp;"|"&amp;B447,Numéros!$F$2:$F$3001,0))),""))</f>
        <v/>
      </c>
      <c r="M447" s="27" t="str">
        <f aca="false">IF(OR(G447="",G447="?"),"",IFERROR(INDEX(Pubs!$D$2:$D$3001,MATCH(G447,Pubs!$A$2:$A$3001,0))&amp;"",""))</f>
        <v/>
      </c>
      <c r="N447" s="27" t="n">
        <f aca="false">N(N446)+IF(AND(A447&lt;&gt;"",OR(Recherche!$C$4="",A447=Recherche!$C$4),OR(Recherche!$C$5="",B447&amp;""=Recherche!$C$5&amp;""),OR(Recherche!$C$6="",IFERROR(YEAR(L447),0)=Recherche!$C$6),OR(Recherche!$C$7="",ISNUMBER(SEARCH(Recherche!$C$7,H447))),OR(Recherche!$C$8="",J447=Recherche!$C$8),OR(Recherche!$C$9="",I447=Recherche!$C$9),OR(Recherche!$C$10="",G447&amp;""=Recherche!$C$10&amp;""),OR(Recherche!$C$11="",E447=Recherche!$C$11),OR(Recherche!$C$12="",ISNUMBER(SEARCH(Recherche!$C$12,M447&amp;" "&amp;F447)))),1,0)</f>
        <v>8</v>
      </c>
    </row>
    <row r="448" customFormat="false" ht="15" hidden="false" customHeight="false" outlineLevel="0" collapsed="false">
      <c r="A448" s="19"/>
      <c r="B448" s="19"/>
      <c r="C448" s="19"/>
      <c r="D448" s="19"/>
      <c r="E448" s="22"/>
      <c r="F448" s="19"/>
      <c r="G448" s="26" t="str">
        <f aca="false">IF(D448="","",IFERROR(VALUE(LEFT(D448,FIND(" |",D448&amp;" |")-1)),"?"))</f>
        <v/>
      </c>
      <c r="H448" s="27" t="str">
        <f aca="false">IF(G448="","",IF(G448="?","⚠ pub inconnue",IFERROR(INDEX(Pubs!$B$2:$B$3001,MATCH(G448,Pubs!$A$2:$A$3001,0))&amp;"","⚠ pub inconnue")))</f>
        <v/>
      </c>
      <c r="I448" s="27" t="str">
        <f aca="false">IF(OR(G448="",G448="?"),"",IFERROR(INDEX(Pubs!$C$2:$C$3001,MATCH(G448,Pubs!$A$2:$A$3001,0))&amp;"",""))</f>
        <v/>
      </c>
      <c r="J448" s="27" t="str">
        <f aca="false">IF(OR(G448="",G448="?"),"",IFERROR(INDEX(Pubs!$G$2:$G$3001,MATCH(G448,Pubs!$A$2:$A$3001,0))&amp;"",""))</f>
        <v/>
      </c>
      <c r="K448" s="28" t="str">
        <f aca="false">IF(OR(G448="",G448="?"),"",IFERROR(INDEX(Pubs!$E$2:$E$3001,MATCH(G448,Pubs!$A$2:$A$3001,0)),""))</f>
        <v/>
      </c>
      <c r="L448" s="29" t="str">
        <f aca="false">IF(A448="","",IFERROR(1/(1/INDEX(Numéros!$C$2:$C$3001,MATCH(A448&amp;"|"&amp;B448,Numéros!$F$2:$F$3001,0))),""))</f>
        <v/>
      </c>
      <c r="M448" s="27" t="str">
        <f aca="false">IF(OR(G448="",G448="?"),"",IFERROR(INDEX(Pubs!$D$2:$D$3001,MATCH(G448,Pubs!$A$2:$A$3001,0))&amp;"",""))</f>
        <v/>
      </c>
      <c r="N448" s="27" t="n">
        <f aca="false">N(N447)+IF(AND(A448&lt;&gt;"",OR(Recherche!$C$4="",A448=Recherche!$C$4),OR(Recherche!$C$5="",B448&amp;""=Recherche!$C$5&amp;""),OR(Recherche!$C$6="",IFERROR(YEAR(L448),0)=Recherche!$C$6),OR(Recherche!$C$7="",ISNUMBER(SEARCH(Recherche!$C$7,H448))),OR(Recherche!$C$8="",J448=Recherche!$C$8),OR(Recherche!$C$9="",I448=Recherche!$C$9),OR(Recherche!$C$10="",G448&amp;""=Recherche!$C$10&amp;""),OR(Recherche!$C$11="",E448=Recherche!$C$11),OR(Recherche!$C$12="",ISNUMBER(SEARCH(Recherche!$C$12,M448&amp;" "&amp;F448)))),1,0)</f>
        <v>8</v>
      </c>
    </row>
    <row r="449" customFormat="false" ht="15" hidden="false" customHeight="false" outlineLevel="0" collapsed="false">
      <c r="A449" s="19"/>
      <c r="B449" s="19"/>
      <c r="C449" s="19"/>
      <c r="D449" s="19"/>
      <c r="E449" s="22"/>
      <c r="F449" s="19"/>
      <c r="G449" s="26" t="str">
        <f aca="false">IF(D449="","",IFERROR(VALUE(LEFT(D449,FIND(" |",D449&amp;" |")-1)),"?"))</f>
        <v/>
      </c>
      <c r="H449" s="27" t="str">
        <f aca="false">IF(G449="","",IF(G449="?","⚠ pub inconnue",IFERROR(INDEX(Pubs!$B$2:$B$3001,MATCH(G449,Pubs!$A$2:$A$3001,0))&amp;"","⚠ pub inconnue")))</f>
        <v/>
      </c>
      <c r="I449" s="27" t="str">
        <f aca="false">IF(OR(G449="",G449="?"),"",IFERROR(INDEX(Pubs!$C$2:$C$3001,MATCH(G449,Pubs!$A$2:$A$3001,0))&amp;"",""))</f>
        <v/>
      </c>
      <c r="J449" s="27" t="str">
        <f aca="false">IF(OR(G449="",G449="?"),"",IFERROR(INDEX(Pubs!$G$2:$G$3001,MATCH(G449,Pubs!$A$2:$A$3001,0))&amp;"",""))</f>
        <v/>
      </c>
      <c r="K449" s="28" t="str">
        <f aca="false">IF(OR(G449="",G449="?"),"",IFERROR(INDEX(Pubs!$E$2:$E$3001,MATCH(G449,Pubs!$A$2:$A$3001,0)),""))</f>
        <v/>
      </c>
      <c r="L449" s="29" t="str">
        <f aca="false">IF(A449="","",IFERROR(1/(1/INDEX(Numéros!$C$2:$C$3001,MATCH(A449&amp;"|"&amp;B449,Numéros!$F$2:$F$3001,0))),""))</f>
        <v/>
      </c>
      <c r="M449" s="27" t="str">
        <f aca="false">IF(OR(G449="",G449="?"),"",IFERROR(INDEX(Pubs!$D$2:$D$3001,MATCH(G449,Pubs!$A$2:$A$3001,0))&amp;"",""))</f>
        <v/>
      </c>
      <c r="N449" s="27" t="n">
        <f aca="false">N(N448)+IF(AND(A449&lt;&gt;"",OR(Recherche!$C$4="",A449=Recherche!$C$4),OR(Recherche!$C$5="",B449&amp;""=Recherche!$C$5&amp;""),OR(Recherche!$C$6="",IFERROR(YEAR(L449),0)=Recherche!$C$6),OR(Recherche!$C$7="",ISNUMBER(SEARCH(Recherche!$C$7,H449))),OR(Recherche!$C$8="",J449=Recherche!$C$8),OR(Recherche!$C$9="",I449=Recherche!$C$9),OR(Recherche!$C$10="",G449&amp;""=Recherche!$C$10&amp;""),OR(Recherche!$C$11="",E449=Recherche!$C$11),OR(Recherche!$C$12="",ISNUMBER(SEARCH(Recherche!$C$12,M449&amp;" "&amp;F449)))),1,0)</f>
        <v>8</v>
      </c>
    </row>
    <row r="450" customFormat="false" ht="15" hidden="false" customHeight="false" outlineLevel="0" collapsed="false">
      <c r="A450" s="19"/>
      <c r="B450" s="19"/>
      <c r="C450" s="19"/>
      <c r="D450" s="19"/>
      <c r="E450" s="22"/>
      <c r="F450" s="19"/>
      <c r="G450" s="26" t="str">
        <f aca="false">IF(D450="","",IFERROR(VALUE(LEFT(D450,FIND(" |",D450&amp;" |")-1)),"?"))</f>
        <v/>
      </c>
      <c r="H450" s="27" t="str">
        <f aca="false">IF(G450="","",IF(G450="?","⚠ pub inconnue",IFERROR(INDEX(Pubs!$B$2:$B$3001,MATCH(G450,Pubs!$A$2:$A$3001,0))&amp;"","⚠ pub inconnue")))</f>
        <v/>
      </c>
      <c r="I450" s="27" t="str">
        <f aca="false">IF(OR(G450="",G450="?"),"",IFERROR(INDEX(Pubs!$C$2:$C$3001,MATCH(G450,Pubs!$A$2:$A$3001,0))&amp;"",""))</f>
        <v/>
      </c>
      <c r="J450" s="27" t="str">
        <f aca="false">IF(OR(G450="",G450="?"),"",IFERROR(INDEX(Pubs!$G$2:$G$3001,MATCH(G450,Pubs!$A$2:$A$3001,0))&amp;"",""))</f>
        <v/>
      </c>
      <c r="K450" s="28" t="str">
        <f aca="false">IF(OR(G450="",G450="?"),"",IFERROR(INDEX(Pubs!$E$2:$E$3001,MATCH(G450,Pubs!$A$2:$A$3001,0)),""))</f>
        <v/>
      </c>
      <c r="L450" s="29" t="str">
        <f aca="false">IF(A450="","",IFERROR(1/(1/INDEX(Numéros!$C$2:$C$3001,MATCH(A450&amp;"|"&amp;B450,Numéros!$F$2:$F$3001,0))),""))</f>
        <v/>
      </c>
      <c r="M450" s="27" t="str">
        <f aca="false">IF(OR(G450="",G450="?"),"",IFERROR(INDEX(Pubs!$D$2:$D$3001,MATCH(G450,Pubs!$A$2:$A$3001,0))&amp;"",""))</f>
        <v/>
      </c>
      <c r="N450" s="27" t="n">
        <f aca="false">N(N449)+IF(AND(A450&lt;&gt;"",OR(Recherche!$C$4="",A450=Recherche!$C$4),OR(Recherche!$C$5="",B450&amp;""=Recherche!$C$5&amp;""),OR(Recherche!$C$6="",IFERROR(YEAR(L450),0)=Recherche!$C$6),OR(Recherche!$C$7="",ISNUMBER(SEARCH(Recherche!$C$7,H450))),OR(Recherche!$C$8="",J450=Recherche!$C$8),OR(Recherche!$C$9="",I450=Recherche!$C$9),OR(Recherche!$C$10="",G450&amp;""=Recherche!$C$10&amp;""),OR(Recherche!$C$11="",E450=Recherche!$C$11),OR(Recherche!$C$12="",ISNUMBER(SEARCH(Recherche!$C$12,M450&amp;" "&amp;F450)))),1,0)</f>
        <v>8</v>
      </c>
    </row>
    <row r="451" customFormat="false" ht="15" hidden="false" customHeight="false" outlineLevel="0" collapsed="false">
      <c r="A451" s="19"/>
      <c r="B451" s="19"/>
      <c r="C451" s="19"/>
      <c r="D451" s="19"/>
      <c r="E451" s="22"/>
      <c r="F451" s="19"/>
      <c r="G451" s="26" t="str">
        <f aca="false">IF(D451="","",IFERROR(VALUE(LEFT(D451,FIND(" |",D451&amp;" |")-1)),"?"))</f>
        <v/>
      </c>
      <c r="H451" s="27" t="str">
        <f aca="false">IF(G451="","",IF(G451="?","⚠ pub inconnue",IFERROR(INDEX(Pubs!$B$2:$B$3001,MATCH(G451,Pubs!$A$2:$A$3001,0))&amp;"","⚠ pub inconnue")))</f>
        <v/>
      </c>
      <c r="I451" s="27" t="str">
        <f aca="false">IF(OR(G451="",G451="?"),"",IFERROR(INDEX(Pubs!$C$2:$C$3001,MATCH(G451,Pubs!$A$2:$A$3001,0))&amp;"",""))</f>
        <v/>
      </c>
      <c r="J451" s="27" t="str">
        <f aca="false">IF(OR(G451="",G451="?"),"",IFERROR(INDEX(Pubs!$G$2:$G$3001,MATCH(G451,Pubs!$A$2:$A$3001,0))&amp;"",""))</f>
        <v/>
      </c>
      <c r="K451" s="28" t="str">
        <f aca="false">IF(OR(G451="",G451="?"),"",IFERROR(INDEX(Pubs!$E$2:$E$3001,MATCH(G451,Pubs!$A$2:$A$3001,0)),""))</f>
        <v/>
      </c>
      <c r="L451" s="29" t="str">
        <f aca="false">IF(A451="","",IFERROR(1/(1/INDEX(Numéros!$C$2:$C$3001,MATCH(A451&amp;"|"&amp;B451,Numéros!$F$2:$F$3001,0))),""))</f>
        <v/>
      </c>
      <c r="M451" s="27" t="str">
        <f aca="false">IF(OR(G451="",G451="?"),"",IFERROR(INDEX(Pubs!$D$2:$D$3001,MATCH(G451,Pubs!$A$2:$A$3001,0))&amp;"",""))</f>
        <v/>
      </c>
      <c r="N451" s="27" t="n">
        <f aca="false">N(N450)+IF(AND(A451&lt;&gt;"",OR(Recherche!$C$4="",A451=Recherche!$C$4),OR(Recherche!$C$5="",B451&amp;""=Recherche!$C$5&amp;""),OR(Recherche!$C$6="",IFERROR(YEAR(L451),0)=Recherche!$C$6),OR(Recherche!$C$7="",ISNUMBER(SEARCH(Recherche!$C$7,H451))),OR(Recherche!$C$8="",J451=Recherche!$C$8),OR(Recherche!$C$9="",I451=Recherche!$C$9),OR(Recherche!$C$10="",G451&amp;""=Recherche!$C$10&amp;""),OR(Recherche!$C$11="",E451=Recherche!$C$11),OR(Recherche!$C$12="",ISNUMBER(SEARCH(Recherche!$C$12,M451&amp;" "&amp;F451)))),1,0)</f>
        <v>8</v>
      </c>
    </row>
    <row r="452" customFormat="false" ht="15" hidden="false" customHeight="false" outlineLevel="0" collapsed="false">
      <c r="A452" s="19"/>
      <c r="B452" s="19"/>
      <c r="C452" s="19"/>
      <c r="D452" s="19"/>
      <c r="E452" s="22"/>
      <c r="F452" s="19"/>
      <c r="G452" s="26" t="str">
        <f aca="false">IF(D452="","",IFERROR(VALUE(LEFT(D452,FIND(" |",D452&amp;" |")-1)),"?"))</f>
        <v/>
      </c>
      <c r="H452" s="27" t="str">
        <f aca="false">IF(G452="","",IF(G452="?","⚠ pub inconnue",IFERROR(INDEX(Pubs!$B$2:$B$3001,MATCH(G452,Pubs!$A$2:$A$3001,0))&amp;"","⚠ pub inconnue")))</f>
        <v/>
      </c>
      <c r="I452" s="27" t="str">
        <f aca="false">IF(OR(G452="",G452="?"),"",IFERROR(INDEX(Pubs!$C$2:$C$3001,MATCH(G452,Pubs!$A$2:$A$3001,0))&amp;"",""))</f>
        <v/>
      </c>
      <c r="J452" s="27" t="str">
        <f aca="false">IF(OR(G452="",G452="?"),"",IFERROR(INDEX(Pubs!$G$2:$G$3001,MATCH(G452,Pubs!$A$2:$A$3001,0))&amp;"",""))</f>
        <v/>
      </c>
      <c r="K452" s="28" t="str">
        <f aca="false">IF(OR(G452="",G452="?"),"",IFERROR(INDEX(Pubs!$E$2:$E$3001,MATCH(G452,Pubs!$A$2:$A$3001,0)),""))</f>
        <v/>
      </c>
      <c r="L452" s="29" t="str">
        <f aca="false">IF(A452="","",IFERROR(1/(1/INDEX(Numéros!$C$2:$C$3001,MATCH(A452&amp;"|"&amp;B452,Numéros!$F$2:$F$3001,0))),""))</f>
        <v/>
      </c>
      <c r="M452" s="27" t="str">
        <f aca="false">IF(OR(G452="",G452="?"),"",IFERROR(INDEX(Pubs!$D$2:$D$3001,MATCH(G452,Pubs!$A$2:$A$3001,0))&amp;"",""))</f>
        <v/>
      </c>
      <c r="N452" s="27" t="n">
        <f aca="false">N(N451)+IF(AND(A452&lt;&gt;"",OR(Recherche!$C$4="",A452=Recherche!$C$4),OR(Recherche!$C$5="",B452&amp;""=Recherche!$C$5&amp;""),OR(Recherche!$C$6="",IFERROR(YEAR(L452),0)=Recherche!$C$6),OR(Recherche!$C$7="",ISNUMBER(SEARCH(Recherche!$C$7,H452))),OR(Recherche!$C$8="",J452=Recherche!$C$8),OR(Recherche!$C$9="",I452=Recherche!$C$9),OR(Recherche!$C$10="",G452&amp;""=Recherche!$C$10&amp;""),OR(Recherche!$C$11="",E452=Recherche!$C$11),OR(Recherche!$C$12="",ISNUMBER(SEARCH(Recherche!$C$12,M452&amp;" "&amp;F452)))),1,0)</f>
        <v>8</v>
      </c>
    </row>
    <row r="453" customFormat="false" ht="15" hidden="false" customHeight="false" outlineLevel="0" collapsed="false">
      <c r="A453" s="19"/>
      <c r="B453" s="19"/>
      <c r="C453" s="19"/>
      <c r="D453" s="19"/>
      <c r="E453" s="22"/>
      <c r="F453" s="19"/>
      <c r="G453" s="26" t="str">
        <f aca="false">IF(D453="","",IFERROR(VALUE(LEFT(D453,FIND(" |",D453&amp;" |")-1)),"?"))</f>
        <v/>
      </c>
      <c r="H453" s="27" t="str">
        <f aca="false">IF(G453="","",IF(G453="?","⚠ pub inconnue",IFERROR(INDEX(Pubs!$B$2:$B$3001,MATCH(G453,Pubs!$A$2:$A$3001,0))&amp;"","⚠ pub inconnue")))</f>
        <v/>
      </c>
      <c r="I453" s="27" t="str">
        <f aca="false">IF(OR(G453="",G453="?"),"",IFERROR(INDEX(Pubs!$C$2:$C$3001,MATCH(G453,Pubs!$A$2:$A$3001,0))&amp;"",""))</f>
        <v/>
      </c>
      <c r="J453" s="27" t="str">
        <f aca="false">IF(OR(G453="",G453="?"),"",IFERROR(INDEX(Pubs!$G$2:$G$3001,MATCH(G453,Pubs!$A$2:$A$3001,0))&amp;"",""))</f>
        <v/>
      </c>
      <c r="K453" s="28" t="str">
        <f aca="false">IF(OR(G453="",G453="?"),"",IFERROR(INDEX(Pubs!$E$2:$E$3001,MATCH(G453,Pubs!$A$2:$A$3001,0)),""))</f>
        <v/>
      </c>
      <c r="L453" s="29" t="str">
        <f aca="false">IF(A453="","",IFERROR(1/(1/INDEX(Numéros!$C$2:$C$3001,MATCH(A453&amp;"|"&amp;B453,Numéros!$F$2:$F$3001,0))),""))</f>
        <v/>
      </c>
      <c r="M453" s="27" t="str">
        <f aca="false">IF(OR(G453="",G453="?"),"",IFERROR(INDEX(Pubs!$D$2:$D$3001,MATCH(G453,Pubs!$A$2:$A$3001,0))&amp;"",""))</f>
        <v/>
      </c>
      <c r="N453" s="27" t="n">
        <f aca="false">N(N452)+IF(AND(A453&lt;&gt;"",OR(Recherche!$C$4="",A453=Recherche!$C$4),OR(Recherche!$C$5="",B453&amp;""=Recherche!$C$5&amp;""),OR(Recherche!$C$6="",IFERROR(YEAR(L453),0)=Recherche!$C$6),OR(Recherche!$C$7="",ISNUMBER(SEARCH(Recherche!$C$7,H453))),OR(Recherche!$C$8="",J453=Recherche!$C$8),OR(Recherche!$C$9="",I453=Recherche!$C$9),OR(Recherche!$C$10="",G453&amp;""=Recherche!$C$10&amp;""),OR(Recherche!$C$11="",E453=Recherche!$C$11),OR(Recherche!$C$12="",ISNUMBER(SEARCH(Recherche!$C$12,M453&amp;" "&amp;F453)))),1,0)</f>
        <v>8</v>
      </c>
    </row>
    <row r="454" customFormat="false" ht="15" hidden="false" customHeight="false" outlineLevel="0" collapsed="false">
      <c r="A454" s="19"/>
      <c r="B454" s="19"/>
      <c r="C454" s="19"/>
      <c r="D454" s="19"/>
      <c r="E454" s="22"/>
      <c r="F454" s="19"/>
      <c r="G454" s="26" t="str">
        <f aca="false">IF(D454="","",IFERROR(VALUE(LEFT(D454,FIND(" |",D454&amp;" |")-1)),"?"))</f>
        <v/>
      </c>
      <c r="H454" s="27" t="str">
        <f aca="false">IF(G454="","",IF(G454="?","⚠ pub inconnue",IFERROR(INDEX(Pubs!$B$2:$B$3001,MATCH(G454,Pubs!$A$2:$A$3001,0))&amp;"","⚠ pub inconnue")))</f>
        <v/>
      </c>
      <c r="I454" s="27" t="str">
        <f aca="false">IF(OR(G454="",G454="?"),"",IFERROR(INDEX(Pubs!$C$2:$C$3001,MATCH(G454,Pubs!$A$2:$A$3001,0))&amp;"",""))</f>
        <v/>
      </c>
      <c r="J454" s="27" t="str">
        <f aca="false">IF(OR(G454="",G454="?"),"",IFERROR(INDEX(Pubs!$G$2:$G$3001,MATCH(G454,Pubs!$A$2:$A$3001,0))&amp;"",""))</f>
        <v/>
      </c>
      <c r="K454" s="28" t="str">
        <f aca="false">IF(OR(G454="",G454="?"),"",IFERROR(INDEX(Pubs!$E$2:$E$3001,MATCH(G454,Pubs!$A$2:$A$3001,0)),""))</f>
        <v/>
      </c>
      <c r="L454" s="29" t="str">
        <f aca="false">IF(A454="","",IFERROR(1/(1/INDEX(Numéros!$C$2:$C$3001,MATCH(A454&amp;"|"&amp;B454,Numéros!$F$2:$F$3001,0))),""))</f>
        <v/>
      </c>
      <c r="M454" s="27" t="str">
        <f aca="false">IF(OR(G454="",G454="?"),"",IFERROR(INDEX(Pubs!$D$2:$D$3001,MATCH(G454,Pubs!$A$2:$A$3001,0))&amp;"",""))</f>
        <v/>
      </c>
      <c r="N454" s="27" t="n">
        <f aca="false">N(N453)+IF(AND(A454&lt;&gt;"",OR(Recherche!$C$4="",A454=Recherche!$C$4),OR(Recherche!$C$5="",B454&amp;""=Recherche!$C$5&amp;""),OR(Recherche!$C$6="",IFERROR(YEAR(L454),0)=Recherche!$C$6),OR(Recherche!$C$7="",ISNUMBER(SEARCH(Recherche!$C$7,H454))),OR(Recherche!$C$8="",J454=Recherche!$C$8),OR(Recherche!$C$9="",I454=Recherche!$C$9),OR(Recherche!$C$10="",G454&amp;""=Recherche!$C$10&amp;""),OR(Recherche!$C$11="",E454=Recherche!$C$11),OR(Recherche!$C$12="",ISNUMBER(SEARCH(Recherche!$C$12,M454&amp;" "&amp;F454)))),1,0)</f>
        <v>8</v>
      </c>
    </row>
    <row r="455" customFormat="false" ht="15" hidden="false" customHeight="false" outlineLevel="0" collapsed="false">
      <c r="A455" s="19"/>
      <c r="B455" s="19"/>
      <c r="C455" s="19"/>
      <c r="D455" s="19"/>
      <c r="E455" s="22"/>
      <c r="F455" s="19"/>
      <c r="G455" s="26" t="str">
        <f aca="false">IF(D455="","",IFERROR(VALUE(LEFT(D455,FIND(" |",D455&amp;" |")-1)),"?"))</f>
        <v/>
      </c>
      <c r="H455" s="27" t="str">
        <f aca="false">IF(G455="","",IF(G455="?","⚠ pub inconnue",IFERROR(INDEX(Pubs!$B$2:$B$3001,MATCH(G455,Pubs!$A$2:$A$3001,0))&amp;"","⚠ pub inconnue")))</f>
        <v/>
      </c>
      <c r="I455" s="27" t="str">
        <f aca="false">IF(OR(G455="",G455="?"),"",IFERROR(INDEX(Pubs!$C$2:$C$3001,MATCH(G455,Pubs!$A$2:$A$3001,0))&amp;"",""))</f>
        <v/>
      </c>
      <c r="J455" s="27" t="str">
        <f aca="false">IF(OR(G455="",G455="?"),"",IFERROR(INDEX(Pubs!$G$2:$G$3001,MATCH(G455,Pubs!$A$2:$A$3001,0))&amp;"",""))</f>
        <v/>
      </c>
      <c r="K455" s="28" t="str">
        <f aca="false">IF(OR(G455="",G455="?"),"",IFERROR(INDEX(Pubs!$E$2:$E$3001,MATCH(G455,Pubs!$A$2:$A$3001,0)),""))</f>
        <v/>
      </c>
      <c r="L455" s="29" t="str">
        <f aca="false">IF(A455="","",IFERROR(1/(1/INDEX(Numéros!$C$2:$C$3001,MATCH(A455&amp;"|"&amp;B455,Numéros!$F$2:$F$3001,0))),""))</f>
        <v/>
      </c>
      <c r="M455" s="27" t="str">
        <f aca="false">IF(OR(G455="",G455="?"),"",IFERROR(INDEX(Pubs!$D$2:$D$3001,MATCH(G455,Pubs!$A$2:$A$3001,0))&amp;"",""))</f>
        <v/>
      </c>
      <c r="N455" s="27" t="n">
        <f aca="false">N(N454)+IF(AND(A455&lt;&gt;"",OR(Recherche!$C$4="",A455=Recherche!$C$4),OR(Recherche!$C$5="",B455&amp;""=Recherche!$C$5&amp;""),OR(Recherche!$C$6="",IFERROR(YEAR(L455),0)=Recherche!$C$6),OR(Recherche!$C$7="",ISNUMBER(SEARCH(Recherche!$C$7,H455))),OR(Recherche!$C$8="",J455=Recherche!$C$8),OR(Recherche!$C$9="",I455=Recherche!$C$9),OR(Recherche!$C$10="",G455&amp;""=Recherche!$C$10&amp;""),OR(Recherche!$C$11="",E455=Recherche!$C$11),OR(Recherche!$C$12="",ISNUMBER(SEARCH(Recherche!$C$12,M455&amp;" "&amp;F455)))),1,0)</f>
        <v>8</v>
      </c>
    </row>
    <row r="456" customFormat="false" ht="15" hidden="false" customHeight="false" outlineLevel="0" collapsed="false">
      <c r="A456" s="19"/>
      <c r="B456" s="19"/>
      <c r="C456" s="19"/>
      <c r="D456" s="19"/>
      <c r="E456" s="22"/>
      <c r="F456" s="19"/>
      <c r="G456" s="26" t="str">
        <f aca="false">IF(D456="","",IFERROR(VALUE(LEFT(D456,FIND(" |",D456&amp;" |")-1)),"?"))</f>
        <v/>
      </c>
      <c r="H456" s="27" t="str">
        <f aca="false">IF(G456="","",IF(G456="?","⚠ pub inconnue",IFERROR(INDEX(Pubs!$B$2:$B$3001,MATCH(G456,Pubs!$A$2:$A$3001,0))&amp;"","⚠ pub inconnue")))</f>
        <v/>
      </c>
      <c r="I456" s="27" t="str">
        <f aca="false">IF(OR(G456="",G456="?"),"",IFERROR(INDEX(Pubs!$C$2:$C$3001,MATCH(G456,Pubs!$A$2:$A$3001,0))&amp;"",""))</f>
        <v/>
      </c>
      <c r="J456" s="27" t="str">
        <f aca="false">IF(OR(G456="",G456="?"),"",IFERROR(INDEX(Pubs!$G$2:$G$3001,MATCH(G456,Pubs!$A$2:$A$3001,0))&amp;"",""))</f>
        <v/>
      </c>
      <c r="K456" s="28" t="str">
        <f aca="false">IF(OR(G456="",G456="?"),"",IFERROR(INDEX(Pubs!$E$2:$E$3001,MATCH(G456,Pubs!$A$2:$A$3001,0)),""))</f>
        <v/>
      </c>
      <c r="L456" s="29" t="str">
        <f aca="false">IF(A456="","",IFERROR(1/(1/INDEX(Numéros!$C$2:$C$3001,MATCH(A456&amp;"|"&amp;B456,Numéros!$F$2:$F$3001,0))),""))</f>
        <v/>
      </c>
      <c r="M456" s="27" t="str">
        <f aca="false">IF(OR(G456="",G456="?"),"",IFERROR(INDEX(Pubs!$D$2:$D$3001,MATCH(G456,Pubs!$A$2:$A$3001,0))&amp;"",""))</f>
        <v/>
      </c>
      <c r="N456" s="27" t="n">
        <f aca="false">N(N455)+IF(AND(A456&lt;&gt;"",OR(Recherche!$C$4="",A456=Recherche!$C$4),OR(Recherche!$C$5="",B456&amp;""=Recherche!$C$5&amp;""),OR(Recherche!$C$6="",IFERROR(YEAR(L456),0)=Recherche!$C$6),OR(Recherche!$C$7="",ISNUMBER(SEARCH(Recherche!$C$7,H456))),OR(Recherche!$C$8="",J456=Recherche!$C$8),OR(Recherche!$C$9="",I456=Recherche!$C$9),OR(Recherche!$C$10="",G456&amp;""=Recherche!$C$10&amp;""),OR(Recherche!$C$11="",E456=Recherche!$C$11),OR(Recherche!$C$12="",ISNUMBER(SEARCH(Recherche!$C$12,M456&amp;" "&amp;F456)))),1,0)</f>
        <v>8</v>
      </c>
    </row>
    <row r="457" customFormat="false" ht="15" hidden="false" customHeight="false" outlineLevel="0" collapsed="false">
      <c r="A457" s="19"/>
      <c r="B457" s="19"/>
      <c r="C457" s="19"/>
      <c r="D457" s="19"/>
      <c r="E457" s="22"/>
      <c r="F457" s="19"/>
      <c r="G457" s="26" t="str">
        <f aca="false">IF(D457="","",IFERROR(VALUE(LEFT(D457,FIND(" |",D457&amp;" |")-1)),"?"))</f>
        <v/>
      </c>
      <c r="H457" s="27" t="str">
        <f aca="false">IF(G457="","",IF(G457="?","⚠ pub inconnue",IFERROR(INDEX(Pubs!$B$2:$B$3001,MATCH(G457,Pubs!$A$2:$A$3001,0))&amp;"","⚠ pub inconnue")))</f>
        <v/>
      </c>
      <c r="I457" s="27" t="str">
        <f aca="false">IF(OR(G457="",G457="?"),"",IFERROR(INDEX(Pubs!$C$2:$C$3001,MATCH(G457,Pubs!$A$2:$A$3001,0))&amp;"",""))</f>
        <v/>
      </c>
      <c r="J457" s="27" t="str">
        <f aca="false">IF(OR(G457="",G457="?"),"",IFERROR(INDEX(Pubs!$G$2:$G$3001,MATCH(G457,Pubs!$A$2:$A$3001,0))&amp;"",""))</f>
        <v/>
      </c>
      <c r="K457" s="28" t="str">
        <f aca="false">IF(OR(G457="",G457="?"),"",IFERROR(INDEX(Pubs!$E$2:$E$3001,MATCH(G457,Pubs!$A$2:$A$3001,0)),""))</f>
        <v/>
      </c>
      <c r="L457" s="29" t="str">
        <f aca="false">IF(A457="","",IFERROR(1/(1/INDEX(Numéros!$C$2:$C$3001,MATCH(A457&amp;"|"&amp;B457,Numéros!$F$2:$F$3001,0))),""))</f>
        <v/>
      </c>
      <c r="M457" s="27" t="str">
        <f aca="false">IF(OR(G457="",G457="?"),"",IFERROR(INDEX(Pubs!$D$2:$D$3001,MATCH(G457,Pubs!$A$2:$A$3001,0))&amp;"",""))</f>
        <v/>
      </c>
      <c r="N457" s="27" t="n">
        <f aca="false">N(N456)+IF(AND(A457&lt;&gt;"",OR(Recherche!$C$4="",A457=Recherche!$C$4),OR(Recherche!$C$5="",B457&amp;""=Recherche!$C$5&amp;""),OR(Recherche!$C$6="",IFERROR(YEAR(L457),0)=Recherche!$C$6),OR(Recherche!$C$7="",ISNUMBER(SEARCH(Recherche!$C$7,H457))),OR(Recherche!$C$8="",J457=Recherche!$C$8),OR(Recherche!$C$9="",I457=Recherche!$C$9),OR(Recherche!$C$10="",G457&amp;""=Recherche!$C$10&amp;""),OR(Recherche!$C$11="",E457=Recherche!$C$11),OR(Recherche!$C$12="",ISNUMBER(SEARCH(Recherche!$C$12,M457&amp;" "&amp;F457)))),1,0)</f>
        <v>8</v>
      </c>
    </row>
    <row r="458" customFormat="false" ht="15" hidden="false" customHeight="false" outlineLevel="0" collapsed="false">
      <c r="A458" s="19"/>
      <c r="B458" s="19"/>
      <c r="C458" s="19"/>
      <c r="D458" s="19"/>
      <c r="E458" s="22"/>
      <c r="F458" s="19"/>
      <c r="G458" s="26" t="str">
        <f aca="false">IF(D458="","",IFERROR(VALUE(LEFT(D458,FIND(" |",D458&amp;" |")-1)),"?"))</f>
        <v/>
      </c>
      <c r="H458" s="27" t="str">
        <f aca="false">IF(G458="","",IF(G458="?","⚠ pub inconnue",IFERROR(INDEX(Pubs!$B$2:$B$3001,MATCH(G458,Pubs!$A$2:$A$3001,0))&amp;"","⚠ pub inconnue")))</f>
        <v/>
      </c>
      <c r="I458" s="27" t="str">
        <f aca="false">IF(OR(G458="",G458="?"),"",IFERROR(INDEX(Pubs!$C$2:$C$3001,MATCH(G458,Pubs!$A$2:$A$3001,0))&amp;"",""))</f>
        <v/>
      </c>
      <c r="J458" s="27" t="str">
        <f aca="false">IF(OR(G458="",G458="?"),"",IFERROR(INDEX(Pubs!$G$2:$G$3001,MATCH(G458,Pubs!$A$2:$A$3001,0))&amp;"",""))</f>
        <v/>
      </c>
      <c r="K458" s="28" t="str">
        <f aca="false">IF(OR(G458="",G458="?"),"",IFERROR(INDEX(Pubs!$E$2:$E$3001,MATCH(G458,Pubs!$A$2:$A$3001,0)),""))</f>
        <v/>
      </c>
      <c r="L458" s="29" t="str">
        <f aca="false">IF(A458="","",IFERROR(1/(1/INDEX(Numéros!$C$2:$C$3001,MATCH(A458&amp;"|"&amp;B458,Numéros!$F$2:$F$3001,0))),""))</f>
        <v/>
      </c>
      <c r="M458" s="27" t="str">
        <f aca="false">IF(OR(G458="",G458="?"),"",IFERROR(INDEX(Pubs!$D$2:$D$3001,MATCH(G458,Pubs!$A$2:$A$3001,0))&amp;"",""))</f>
        <v/>
      </c>
      <c r="N458" s="27" t="n">
        <f aca="false">N(N457)+IF(AND(A458&lt;&gt;"",OR(Recherche!$C$4="",A458=Recherche!$C$4),OR(Recherche!$C$5="",B458&amp;""=Recherche!$C$5&amp;""),OR(Recherche!$C$6="",IFERROR(YEAR(L458),0)=Recherche!$C$6),OR(Recherche!$C$7="",ISNUMBER(SEARCH(Recherche!$C$7,H458))),OR(Recherche!$C$8="",J458=Recherche!$C$8),OR(Recherche!$C$9="",I458=Recherche!$C$9),OR(Recherche!$C$10="",G458&amp;""=Recherche!$C$10&amp;""),OR(Recherche!$C$11="",E458=Recherche!$C$11),OR(Recherche!$C$12="",ISNUMBER(SEARCH(Recherche!$C$12,M458&amp;" "&amp;F458)))),1,0)</f>
        <v>8</v>
      </c>
    </row>
    <row r="459" customFormat="false" ht="15" hidden="false" customHeight="false" outlineLevel="0" collapsed="false">
      <c r="A459" s="19"/>
      <c r="B459" s="19"/>
      <c r="C459" s="19"/>
      <c r="D459" s="19"/>
      <c r="E459" s="22"/>
      <c r="F459" s="19"/>
      <c r="G459" s="26" t="str">
        <f aca="false">IF(D459="","",IFERROR(VALUE(LEFT(D459,FIND(" |",D459&amp;" |")-1)),"?"))</f>
        <v/>
      </c>
      <c r="H459" s="27" t="str">
        <f aca="false">IF(G459="","",IF(G459="?","⚠ pub inconnue",IFERROR(INDEX(Pubs!$B$2:$B$3001,MATCH(G459,Pubs!$A$2:$A$3001,0))&amp;"","⚠ pub inconnue")))</f>
        <v/>
      </c>
      <c r="I459" s="27" t="str">
        <f aca="false">IF(OR(G459="",G459="?"),"",IFERROR(INDEX(Pubs!$C$2:$C$3001,MATCH(G459,Pubs!$A$2:$A$3001,0))&amp;"",""))</f>
        <v/>
      </c>
      <c r="J459" s="27" t="str">
        <f aca="false">IF(OR(G459="",G459="?"),"",IFERROR(INDEX(Pubs!$G$2:$G$3001,MATCH(G459,Pubs!$A$2:$A$3001,0))&amp;"",""))</f>
        <v/>
      </c>
      <c r="K459" s="28" t="str">
        <f aca="false">IF(OR(G459="",G459="?"),"",IFERROR(INDEX(Pubs!$E$2:$E$3001,MATCH(G459,Pubs!$A$2:$A$3001,0)),""))</f>
        <v/>
      </c>
      <c r="L459" s="29" t="str">
        <f aca="false">IF(A459="","",IFERROR(1/(1/INDEX(Numéros!$C$2:$C$3001,MATCH(A459&amp;"|"&amp;B459,Numéros!$F$2:$F$3001,0))),""))</f>
        <v/>
      </c>
      <c r="M459" s="27" t="str">
        <f aca="false">IF(OR(G459="",G459="?"),"",IFERROR(INDEX(Pubs!$D$2:$D$3001,MATCH(G459,Pubs!$A$2:$A$3001,0))&amp;"",""))</f>
        <v/>
      </c>
      <c r="N459" s="27" t="n">
        <f aca="false">N(N458)+IF(AND(A459&lt;&gt;"",OR(Recherche!$C$4="",A459=Recherche!$C$4),OR(Recherche!$C$5="",B459&amp;""=Recherche!$C$5&amp;""),OR(Recherche!$C$6="",IFERROR(YEAR(L459),0)=Recherche!$C$6),OR(Recherche!$C$7="",ISNUMBER(SEARCH(Recherche!$C$7,H459))),OR(Recherche!$C$8="",J459=Recherche!$C$8),OR(Recherche!$C$9="",I459=Recherche!$C$9),OR(Recherche!$C$10="",G459&amp;""=Recherche!$C$10&amp;""),OR(Recherche!$C$11="",E459=Recherche!$C$11),OR(Recherche!$C$12="",ISNUMBER(SEARCH(Recherche!$C$12,M459&amp;" "&amp;F459)))),1,0)</f>
        <v>8</v>
      </c>
    </row>
    <row r="460" customFormat="false" ht="15" hidden="false" customHeight="false" outlineLevel="0" collapsed="false">
      <c r="A460" s="19"/>
      <c r="B460" s="19"/>
      <c r="C460" s="19"/>
      <c r="D460" s="19"/>
      <c r="E460" s="22"/>
      <c r="F460" s="19"/>
      <c r="G460" s="26" t="str">
        <f aca="false">IF(D460="","",IFERROR(VALUE(LEFT(D460,FIND(" |",D460&amp;" |")-1)),"?"))</f>
        <v/>
      </c>
      <c r="H460" s="27" t="str">
        <f aca="false">IF(G460="","",IF(G460="?","⚠ pub inconnue",IFERROR(INDEX(Pubs!$B$2:$B$3001,MATCH(G460,Pubs!$A$2:$A$3001,0))&amp;"","⚠ pub inconnue")))</f>
        <v/>
      </c>
      <c r="I460" s="27" t="str">
        <f aca="false">IF(OR(G460="",G460="?"),"",IFERROR(INDEX(Pubs!$C$2:$C$3001,MATCH(G460,Pubs!$A$2:$A$3001,0))&amp;"",""))</f>
        <v/>
      </c>
      <c r="J460" s="27" t="str">
        <f aca="false">IF(OR(G460="",G460="?"),"",IFERROR(INDEX(Pubs!$G$2:$G$3001,MATCH(G460,Pubs!$A$2:$A$3001,0))&amp;"",""))</f>
        <v/>
      </c>
      <c r="K460" s="28" t="str">
        <f aca="false">IF(OR(G460="",G460="?"),"",IFERROR(INDEX(Pubs!$E$2:$E$3001,MATCH(G460,Pubs!$A$2:$A$3001,0)),""))</f>
        <v/>
      </c>
      <c r="L460" s="29" t="str">
        <f aca="false">IF(A460="","",IFERROR(1/(1/INDEX(Numéros!$C$2:$C$3001,MATCH(A460&amp;"|"&amp;B460,Numéros!$F$2:$F$3001,0))),""))</f>
        <v/>
      </c>
      <c r="M460" s="27" t="str">
        <f aca="false">IF(OR(G460="",G460="?"),"",IFERROR(INDEX(Pubs!$D$2:$D$3001,MATCH(G460,Pubs!$A$2:$A$3001,0))&amp;"",""))</f>
        <v/>
      </c>
      <c r="N460" s="27" t="n">
        <f aca="false">N(N459)+IF(AND(A460&lt;&gt;"",OR(Recherche!$C$4="",A460=Recherche!$C$4),OR(Recherche!$C$5="",B460&amp;""=Recherche!$C$5&amp;""),OR(Recherche!$C$6="",IFERROR(YEAR(L460),0)=Recherche!$C$6),OR(Recherche!$C$7="",ISNUMBER(SEARCH(Recherche!$C$7,H460))),OR(Recherche!$C$8="",J460=Recherche!$C$8),OR(Recherche!$C$9="",I460=Recherche!$C$9),OR(Recherche!$C$10="",G460&amp;""=Recherche!$C$10&amp;""),OR(Recherche!$C$11="",E460=Recherche!$C$11),OR(Recherche!$C$12="",ISNUMBER(SEARCH(Recherche!$C$12,M460&amp;" "&amp;F460)))),1,0)</f>
        <v>8</v>
      </c>
    </row>
    <row r="461" customFormat="false" ht="15" hidden="false" customHeight="false" outlineLevel="0" collapsed="false">
      <c r="A461" s="19"/>
      <c r="B461" s="19"/>
      <c r="C461" s="19"/>
      <c r="D461" s="19"/>
      <c r="E461" s="22"/>
      <c r="F461" s="19"/>
      <c r="G461" s="26" t="str">
        <f aca="false">IF(D461="","",IFERROR(VALUE(LEFT(D461,FIND(" |",D461&amp;" |")-1)),"?"))</f>
        <v/>
      </c>
      <c r="H461" s="27" t="str">
        <f aca="false">IF(G461="","",IF(G461="?","⚠ pub inconnue",IFERROR(INDEX(Pubs!$B$2:$B$3001,MATCH(G461,Pubs!$A$2:$A$3001,0))&amp;"","⚠ pub inconnue")))</f>
        <v/>
      </c>
      <c r="I461" s="27" t="str">
        <f aca="false">IF(OR(G461="",G461="?"),"",IFERROR(INDEX(Pubs!$C$2:$C$3001,MATCH(G461,Pubs!$A$2:$A$3001,0))&amp;"",""))</f>
        <v/>
      </c>
      <c r="J461" s="27" t="str">
        <f aca="false">IF(OR(G461="",G461="?"),"",IFERROR(INDEX(Pubs!$G$2:$G$3001,MATCH(G461,Pubs!$A$2:$A$3001,0))&amp;"",""))</f>
        <v/>
      </c>
      <c r="K461" s="28" t="str">
        <f aca="false">IF(OR(G461="",G461="?"),"",IFERROR(INDEX(Pubs!$E$2:$E$3001,MATCH(G461,Pubs!$A$2:$A$3001,0)),""))</f>
        <v/>
      </c>
      <c r="L461" s="29" t="str">
        <f aca="false">IF(A461="","",IFERROR(1/(1/INDEX(Numéros!$C$2:$C$3001,MATCH(A461&amp;"|"&amp;B461,Numéros!$F$2:$F$3001,0))),""))</f>
        <v/>
      </c>
      <c r="M461" s="27" t="str">
        <f aca="false">IF(OR(G461="",G461="?"),"",IFERROR(INDEX(Pubs!$D$2:$D$3001,MATCH(G461,Pubs!$A$2:$A$3001,0))&amp;"",""))</f>
        <v/>
      </c>
      <c r="N461" s="27" t="n">
        <f aca="false">N(N460)+IF(AND(A461&lt;&gt;"",OR(Recherche!$C$4="",A461=Recherche!$C$4),OR(Recherche!$C$5="",B461&amp;""=Recherche!$C$5&amp;""),OR(Recherche!$C$6="",IFERROR(YEAR(L461),0)=Recherche!$C$6),OR(Recherche!$C$7="",ISNUMBER(SEARCH(Recherche!$C$7,H461))),OR(Recherche!$C$8="",J461=Recherche!$C$8),OR(Recherche!$C$9="",I461=Recherche!$C$9),OR(Recherche!$C$10="",G461&amp;""=Recherche!$C$10&amp;""),OR(Recherche!$C$11="",E461=Recherche!$C$11),OR(Recherche!$C$12="",ISNUMBER(SEARCH(Recherche!$C$12,M461&amp;" "&amp;F461)))),1,0)</f>
        <v>8</v>
      </c>
    </row>
    <row r="462" customFormat="false" ht="15" hidden="false" customHeight="false" outlineLevel="0" collapsed="false">
      <c r="A462" s="19"/>
      <c r="B462" s="19"/>
      <c r="C462" s="19"/>
      <c r="D462" s="19"/>
      <c r="E462" s="22"/>
      <c r="F462" s="19"/>
      <c r="G462" s="26" t="str">
        <f aca="false">IF(D462="","",IFERROR(VALUE(LEFT(D462,FIND(" |",D462&amp;" |")-1)),"?"))</f>
        <v/>
      </c>
      <c r="H462" s="27" t="str">
        <f aca="false">IF(G462="","",IF(G462="?","⚠ pub inconnue",IFERROR(INDEX(Pubs!$B$2:$B$3001,MATCH(G462,Pubs!$A$2:$A$3001,0))&amp;"","⚠ pub inconnue")))</f>
        <v/>
      </c>
      <c r="I462" s="27" t="str">
        <f aca="false">IF(OR(G462="",G462="?"),"",IFERROR(INDEX(Pubs!$C$2:$C$3001,MATCH(G462,Pubs!$A$2:$A$3001,0))&amp;"",""))</f>
        <v/>
      </c>
      <c r="J462" s="27" t="str">
        <f aca="false">IF(OR(G462="",G462="?"),"",IFERROR(INDEX(Pubs!$G$2:$G$3001,MATCH(G462,Pubs!$A$2:$A$3001,0))&amp;"",""))</f>
        <v/>
      </c>
      <c r="K462" s="28" t="str">
        <f aca="false">IF(OR(G462="",G462="?"),"",IFERROR(INDEX(Pubs!$E$2:$E$3001,MATCH(G462,Pubs!$A$2:$A$3001,0)),""))</f>
        <v/>
      </c>
      <c r="L462" s="29" t="str">
        <f aca="false">IF(A462="","",IFERROR(1/(1/INDEX(Numéros!$C$2:$C$3001,MATCH(A462&amp;"|"&amp;B462,Numéros!$F$2:$F$3001,0))),""))</f>
        <v/>
      </c>
      <c r="M462" s="27" t="str">
        <f aca="false">IF(OR(G462="",G462="?"),"",IFERROR(INDEX(Pubs!$D$2:$D$3001,MATCH(G462,Pubs!$A$2:$A$3001,0))&amp;"",""))</f>
        <v/>
      </c>
      <c r="N462" s="27" t="n">
        <f aca="false">N(N461)+IF(AND(A462&lt;&gt;"",OR(Recherche!$C$4="",A462=Recherche!$C$4),OR(Recherche!$C$5="",B462&amp;""=Recherche!$C$5&amp;""),OR(Recherche!$C$6="",IFERROR(YEAR(L462),0)=Recherche!$C$6),OR(Recherche!$C$7="",ISNUMBER(SEARCH(Recherche!$C$7,H462))),OR(Recherche!$C$8="",J462=Recherche!$C$8),OR(Recherche!$C$9="",I462=Recherche!$C$9),OR(Recherche!$C$10="",G462&amp;""=Recherche!$C$10&amp;""),OR(Recherche!$C$11="",E462=Recherche!$C$11),OR(Recherche!$C$12="",ISNUMBER(SEARCH(Recherche!$C$12,M462&amp;" "&amp;F462)))),1,0)</f>
        <v>8</v>
      </c>
    </row>
    <row r="463" customFormat="false" ht="15" hidden="false" customHeight="false" outlineLevel="0" collapsed="false">
      <c r="A463" s="19"/>
      <c r="B463" s="19"/>
      <c r="C463" s="19"/>
      <c r="D463" s="19"/>
      <c r="E463" s="22"/>
      <c r="F463" s="19"/>
      <c r="G463" s="26" t="str">
        <f aca="false">IF(D463="","",IFERROR(VALUE(LEFT(D463,FIND(" |",D463&amp;" |")-1)),"?"))</f>
        <v/>
      </c>
      <c r="H463" s="27" t="str">
        <f aca="false">IF(G463="","",IF(G463="?","⚠ pub inconnue",IFERROR(INDEX(Pubs!$B$2:$B$3001,MATCH(G463,Pubs!$A$2:$A$3001,0))&amp;"","⚠ pub inconnue")))</f>
        <v/>
      </c>
      <c r="I463" s="27" t="str">
        <f aca="false">IF(OR(G463="",G463="?"),"",IFERROR(INDEX(Pubs!$C$2:$C$3001,MATCH(G463,Pubs!$A$2:$A$3001,0))&amp;"",""))</f>
        <v/>
      </c>
      <c r="J463" s="27" t="str">
        <f aca="false">IF(OR(G463="",G463="?"),"",IFERROR(INDEX(Pubs!$G$2:$G$3001,MATCH(G463,Pubs!$A$2:$A$3001,0))&amp;"",""))</f>
        <v/>
      </c>
      <c r="K463" s="28" t="str">
        <f aca="false">IF(OR(G463="",G463="?"),"",IFERROR(INDEX(Pubs!$E$2:$E$3001,MATCH(G463,Pubs!$A$2:$A$3001,0)),""))</f>
        <v/>
      </c>
      <c r="L463" s="29" t="str">
        <f aca="false">IF(A463="","",IFERROR(1/(1/INDEX(Numéros!$C$2:$C$3001,MATCH(A463&amp;"|"&amp;B463,Numéros!$F$2:$F$3001,0))),""))</f>
        <v/>
      </c>
      <c r="M463" s="27" t="str">
        <f aca="false">IF(OR(G463="",G463="?"),"",IFERROR(INDEX(Pubs!$D$2:$D$3001,MATCH(G463,Pubs!$A$2:$A$3001,0))&amp;"",""))</f>
        <v/>
      </c>
      <c r="N463" s="27" t="n">
        <f aca="false">N(N462)+IF(AND(A463&lt;&gt;"",OR(Recherche!$C$4="",A463=Recherche!$C$4),OR(Recherche!$C$5="",B463&amp;""=Recherche!$C$5&amp;""),OR(Recherche!$C$6="",IFERROR(YEAR(L463),0)=Recherche!$C$6),OR(Recherche!$C$7="",ISNUMBER(SEARCH(Recherche!$C$7,H463))),OR(Recherche!$C$8="",J463=Recherche!$C$8),OR(Recherche!$C$9="",I463=Recherche!$C$9),OR(Recherche!$C$10="",G463&amp;""=Recherche!$C$10&amp;""),OR(Recherche!$C$11="",E463=Recherche!$C$11),OR(Recherche!$C$12="",ISNUMBER(SEARCH(Recherche!$C$12,M463&amp;" "&amp;F463)))),1,0)</f>
        <v>8</v>
      </c>
    </row>
    <row r="464" customFormat="false" ht="15" hidden="false" customHeight="false" outlineLevel="0" collapsed="false">
      <c r="A464" s="19"/>
      <c r="B464" s="19"/>
      <c r="C464" s="19"/>
      <c r="D464" s="19"/>
      <c r="E464" s="22"/>
      <c r="F464" s="19"/>
      <c r="G464" s="26" t="str">
        <f aca="false">IF(D464="","",IFERROR(VALUE(LEFT(D464,FIND(" |",D464&amp;" |")-1)),"?"))</f>
        <v/>
      </c>
      <c r="H464" s="27" t="str">
        <f aca="false">IF(G464="","",IF(G464="?","⚠ pub inconnue",IFERROR(INDEX(Pubs!$B$2:$B$3001,MATCH(G464,Pubs!$A$2:$A$3001,0))&amp;"","⚠ pub inconnue")))</f>
        <v/>
      </c>
      <c r="I464" s="27" t="str">
        <f aca="false">IF(OR(G464="",G464="?"),"",IFERROR(INDEX(Pubs!$C$2:$C$3001,MATCH(G464,Pubs!$A$2:$A$3001,0))&amp;"",""))</f>
        <v/>
      </c>
      <c r="J464" s="27" t="str">
        <f aca="false">IF(OR(G464="",G464="?"),"",IFERROR(INDEX(Pubs!$G$2:$G$3001,MATCH(G464,Pubs!$A$2:$A$3001,0))&amp;"",""))</f>
        <v/>
      </c>
      <c r="K464" s="28" t="str">
        <f aca="false">IF(OR(G464="",G464="?"),"",IFERROR(INDEX(Pubs!$E$2:$E$3001,MATCH(G464,Pubs!$A$2:$A$3001,0)),""))</f>
        <v/>
      </c>
      <c r="L464" s="29" t="str">
        <f aca="false">IF(A464="","",IFERROR(1/(1/INDEX(Numéros!$C$2:$C$3001,MATCH(A464&amp;"|"&amp;B464,Numéros!$F$2:$F$3001,0))),""))</f>
        <v/>
      </c>
      <c r="M464" s="27" t="str">
        <f aca="false">IF(OR(G464="",G464="?"),"",IFERROR(INDEX(Pubs!$D$2:$D$3001,MATCH(G464,Pubs!$A$2:$A$3001,0))&amp;"",""))</f>
        <v/>
      </c>
      <c r="N464" s="27" t="n">
        <f aca="false">N(N463)+IF(AND(A464&lt;&gt;"",OR(Recherche!$C$4="",A464=Recherche!$C$4),OR(Recherche!$C$5="",B464&amp;""=Recherche!$C$5&amp;""),OR(Recherche!$C$6="",IFERROR(YEAR(L464),0)=Recherche!$C$6),OR(Recherche!$C$7="",ISNUMBER(SEARCH(Recherche!$C$7,H464))),OR(Recherche!$C$8="",J464=Recherche!$C$8),OR(Recherche!$C$9="",I464=Recherche!$C$9),OR(Recherche!$C$10="",G464&amp;""=Recherche!$C$10&amp;""),OR(Recherche!$C$11="",E464=Recherche!$C$11),OR(Recherche!$C$12="",ISNUMBER(SEARCH(Recherche!$C$12,M464&amp;" "&amp;F464)))),1,0)</f>
        <v>8</v>
      </c>
    </row>
    <row r="465" customFormat="false" ht="15" hidden="false" customHeight="false" outlineLevel="0" collapsed="false">
      <c r="A465" s="19"/>
      <c r="B465" s="19"/>
      <c r="C465" s="19"/>
      <c r="D465" s="19"/>
      <c r="E465" s="22"/>
      <c r="F465" s="19"/>
      <c r="G465" s="26" t="str">
        <f aca="false">IF(D465="","",IFERROR(VALUE(LEFT(D465,FIND(" |",D465&amp;" |")-1)),"?"))</f>
        <v/>
      </c>
      <c r="H465" s="27" t="str">
        <f aca="false">IF(G465="","",IF(G465="?","⚠ pub inconnue",IFERROR(INDEX(Pubs!$B$2:$B$3001,MATCH(G465,Pubs!$A$2:$A$3001,0))&amp;"","⚠ pub inconnue")))</f>
        <v/>
      </c>
      <c r="I465" s="27" t="str">
        <f aca="false">IF(OR(G465="",G465="?"),"",IFERROR(INDEX(Pubs!$C$2:$C$3001,MATCH(G465,Pubs!$A$2:$A$3001,0))&amp;"",""))</f>
        <v/>
      </c>
      <c r="J465" s="27" t="str">
        <f aca="false">IF(OR(G465="",G465="?"),"",IFERROR(INDEX(Pubs!$G$2:$G$3001,MATCH(G465,Pubs!$A$2:$A$3001,0))&amp;"",""))</f>
        <v/>
      </c>
      <c r="K465" s="28" t="str">
        <f aca="false">IF(OR(G465="",G465="?"),"",IFERROR(INDEX(Pubs!$E$2:$E$3001,MATCH(G465,Pubs!$A$2:$A$3001,0)),""))</f>
        <v/>
      </c>
      <c r="L465" s="29" t="str">
        <f aca="false">IF(A465="","",IFERROR(1/(1/INDEX(Numéros!$C$2:$C$3001,MATCH(A465&amp;"|"&amp;B465,Numéros!$F$2:$F$3001,0))),""))</f>
        <v/>
      </c>
      <c r="M465" s="27" t="str">
        <f aca="false">IF(OR(G465="",G465="?"),"",IFERROR(INDEX(Pubs!$D$2:$D$3001,MATCH(G465,Pubs!$A$2:$A$3001,0))&amp;"",""))</f>
        <v/>
      </c>
      <c r="N465" s="27" t="n">
        <f aca="false">N(N464)+IF(AND(A465&lt;&gt;"",OR(Recherche!$C$4="",A465=Recherche!$C$4),OR(Recherche!$C$5="",B465&amp;""=Recherche!$C$5&amp;""),OR(Recherche!$C$6="",IFERROR(YEAR(L465),0)=Recherche!$C$6),OR(Recherche!$C$7="",ISNUMBER(SEARCH(Recherche!$C$7,H465))),OR(Recherche!$C$8="",J465=Recherche!$C$8),OR(Recherche!$C$9="",I465=Recherche!$C$9),OR(Recherche!$C$10="",G465&amp;""=Recherche!$C$10&amp;""),OR(Recherche!$C$11="",E465=Recherche!$C$11),OR(Recherche!$C$12="",ISNUMBER(SEARCH(Recherche!$C$12,M465&amp;" "&amp;F465)))),1,0)</f>
        <v>8</v>
      </c>
    </row>
    <row r="466" customFormat="false" ht="15" hidden="false" customHeight="false" outlineLevel="0" collapsed="false">
      <c r="A466" s="19"/>
      <c r="B466" s="19"/>
      <c r="C466" s="19"/>
      <c r="D466" s="19"/>
      <c r="E466" s="22"/>
      <c r="F466" s="19"/>
      <c r="G466" s="26" t="str">
        <f aca="false">IF(D466="","",IFERROR(VALUE(LEFT(D466,FIND(" |",D466&amp;" |")-1)),"?"))</f>
        <v/>
      </c>
      <c r="H466" s="27" t="str">
        <f aca="false">IF(G466="","",IF(G466="?","⚠ pub inconnue",IFERROR(INDEX(Pubs!$B$2:$B$3001,MATCH(G466,Pubs!$A$2:$A$3001,0))&amp;"","⚠ pub inconnue")))</f>
        <v/>
      </c>
      <c r="I466" s="27" t="str">
        <f aca="false">IF(OR(G466="",G466="?"),"",IFERROR(INDEX(Pubs!$C$2:$C$3001,MATCH(G466,Pubs!$A$2:$A$3001,0))&amp;"",""))</f>
        <v/>
      </c>
      <c r="J466" s="27" t="str">
        <f aca="false">IF(OR(G466="",G466="?"),"",IFERROR(INDEX(Pubs!$G$2:$G$3001,MATCH(G466,Pubs!$A$2:$A$3001,0))&amp;"",""))</f>
        <v/>
      </c>
      <c r="K466" s="28" t="str">
        <f aca="false">IF(OR(G466="",G466="?"),"",IFERROR(INDEX(Pubs!$E$2:$E$3001,MATCH(G466,Pubs!$A$2:$A$3001,0)),""))</f>
        <v/>
      </c>
      <c r="L466" s="29" t="str">
        <f aca="false">IF(A466="","",IFERROR(1/(1/INDEX(Numéros!$C$2:$C$3001,MATCH(A466&amp;"|"&amp;B466,Numéros!$F$2:$F$3001,0))),""))</f>
        <v/>
      </c>
      <c r="M466" s="27" t="str">
        <f aca="false">IF(OR(G466="",G466="?"),"",IFERROR(INDEX(Pubs!$D$2:$D$3001,MATCH(G466,Pubs!$A$2:$A$3001,0))&amp;"",""))</f>
        <v/>
      </c>
      <c r="N466" s="27" t="n">
        <f aca="false">N(N465)+IF(AND(A466&lt;&gt;"",OR(Recherche!$C$4="",A466=Recherche!$C$4),OR(Recherche!$C$5="",B466&amp;""=Recherche!$C$5&amp;""),OR(Recherche!$C$6="",IFERROR(YEAR(L466),0)=Recherche!$C$6),OR(Recherche!$C$7="",ISNUMBER(SEARCH(Recherche!$C$7,H466))),OR(Recherche!$C$8="",J466=Recherche!$C$8),OR(Recherche!$C$9="",I466=Recherche!$C$9),OR(Recherche!$C$10="",G466&amp;""=Recherche!$C$10&amp;""),OR(Recherche!$C$11="",E466=Recherche!$C$11),OR(Recherche!$C$12="",ISNUMBER(SEARCH(Recherche!$C$12,M466&amp;" "&amp;F466)))),1,0)</f>
        <v>8</v>
      </c>
    </row>
    <row r="467" customFormat="false" ht="15" hidden="false" customHeight="false" outlineLevel="0" collapsed="false">
      <c r="A467" s="19"/>
      <c r="B467" s="19"/>
      <c r="C467" s="19"/>
      <c r="D467" s="19"/>
      <c r="E467" s="22"/>
      <c r="F467" s="19"/>
      <c r="G467" s="26" t="str">
        <f aca="false">IF(D467="","",IFERROR(VALUE(LEFT(D467,FIND(" |",D467&amp;" |")-1)),"?"))</f>
        <v/>
      </c>
      <c r="H467" s="27" t="str">
        <f aca="false">IF(G467="","",IF(G467="?","⚠ pub inconnue",IFERROR(INDEX(Pubs!$B$2:$B$3001,MATCH(G467,Pubs!$A$2:$A$3001,0))&amp;"","⚠ pub inconnue")))</f>
        <v/>
      </c>
      <c r="I467" s="27" t="str">
        <f aca="false">IF(OR(G467="",G467="?"),"",IFERROR(INDEX(Pubs!$C$2:$C$3001,MATCH(G467,Pubs!$A$2:$A$3001,0))&amp;"",""))</f>
        <v/>
      </c>
      <c r="J467" s="27" t="str">
        <f aca="false">IF(OR(G467="",G467="?"),"",IFERROR(INDEX(Pubs!$G$2:$G$3001,MATCH(G467,Pubs!$A$2:$A$3001,0))&amp;"",""))</f>
        <v/>
      </c>
      <c r="K467" s="28" t="str">
        <f aca="false">IF(OR(G467="",G467="?"),"",IFERROR(INDEX(Pubs!$E$2:$E$3001,MATCH(G467,Pubs!$A$2:$A$3001,0)),""))</f>
        <v/>
      </c>
      <c r="L467" s="29" t="str">
        <f aca="false">IF(A467="","",IFERROR(1/(1/INDEX(Numéros!$C$2:$C$3001,MATCH(A467&amp;"|"&amp;B467,Numéros!$F$2:$F$3001,0))),""))</f>
        <v/>
      </c>
      <c r="M467" s="27" t="str">
        <f aca="false">IF(OR(G467="",G467="?"),"",IFERROR(INDEX(Pubs!$D$2:$D$3001,MATCH(G467,Pubs!$A$2:$A$3001,0))&amp;"",""))</f>
        <v/>
      </c>
      <c r="N467" s="27" t="n">
        <f aca="false">N(N466)+IF(AND(A467&lt;&gt;"",OR(Recherche!$C$4="",A467=Recherche!$C$4),OR(Recherche!$C$5="",B467&amp;""=Recherche!$C$5&amp;""),OR(Recherche!$C$6="",IFERROR(YEAR(L467),0)=Recherche!$C$6),OR(Recherche!$C$7="",ISNUMBER(SEARCH(Recherche!$C$7,H467))),OR(Recherche!$C$8="",J467=Recherche!$C$8),OR(Recherche!$C$9="",I467=Recherche!$C$9),OR(Recherche!$C$10="",G467&amp;""=Recherche!$C$10&amp;""),OR(Recherche!$C$11="",E467=Recherche!$C$11),OR(Recherche!$C$12="",ISNUMBER(SEARCH(Recherche!$C$12,M467&amp;" "&amp;F467)))),1,0)</f>
        <v>8</v>
      </c>
    </row>
    <row r="468" customFormat="false" ht="15" hidden="false" customHeight="false" outlineLevel="0" collapsed="false">
      <c r="A468" s="19"/>
      <c r="B468" s="19"/>
      <c r="C468" s="19"/>
      <c r="D468" s="19"/>
      <c r="E468" s="22"/>
      <c r="F468" s="19"/>
      <c r="G468" s="26" t="str">
        <f aca="false">IF(D468="","",IFERROR(VALUE(LEFT(D468,FIND(" |",D468&amp;" |")-1)),"?"))</f>
        <v/>
      </c>
      <c r="H468" s="27" t="str">
        <f aca="false">IF(G468="","",IF(G468="?","⚠ pub inconnue",IFERROR(INDEX(Pubs!$B$2:$B$3001,MATCH(G468,Pubs!$A$2:$A$3001,0))&amp;"","⚠ pub inconnue")))</f>
        <v/>
      </c>
      <c r="I468" s="27" t="str">
        <f aca="false">IF(OR(G468="",G468="?"),"",IFERROR(INDEX(Pubs!$C$2:$C$3001,MATCH(G468,Pubs!$A$2:$A$3001,0))&amp;"",""))</f>
        <v/>
      </c>
      <c r="J468" s="27" t="str">
        <f aca="false">IF(OR(G468="",G468="?"),"",IFERROR(INDEX(Pubs!$G$2:$G$3001,MATCH(G468,Pubs!$A$2:$A$3001,0))&amp;"",""))</f>
        <v/>
      </c>
      <c r="K468" s="28" t="str">
        <f aca="false">IF(OR(G468="",G468="?"),"",IFERROR(INDEX(Pubs!$E$2:$E$3001,MATCH(G468,Pubs!$A$2:$A$3001,0)),""))</f>
        <v/>
      </c>
      <c r="L468" s="29" t="str">
        <f aca="false">IF(A468="","",IFERROR(1/(1/INDEX(Numéros!$C$2:$C$3001,MATCH(A468&amp;"|"&amp;B468,Numéros!$F$2:$F$3001,0))),""))</f>
        <v/>
      </c>
      <c r="M468" s="27" t="str">
        <f aca="false">IF(OR(G468="",G468="?"),"",IFERROR(INDEX(Pubs!$D$2:$D$3001,MATCH(G468,Pubs!$A$2:$A$3001,0))&amp;"",""))</f>
        <v/>
      </c>
      <c r="N468" s="27" t="n">
        <f aca="false">N(N467)+IF(AND(A468&lt;&gt;"",OR(Recherche!$C$4="",A468=Recherche!$C$4),OR(Recherche!$C$5="",B468&amp;""=Recherche!$C$5&amp;""),OR(Recherche!$C$6="",IFERROR(YEAR(L468),0)=Recherche!$C$6),OR(Recherche!$C$7="",ISNUMBER(SEARCH(Recherche!$C$7,H468))),OR(Recherche!$C$8="",J468=Recherche!$C$8),OR(Recherche!$C$9="",I468=Recherche!$C$9),OR(Recherche!$C$10="",G468&amp;""=Recherche!$C$10&amp;""),OR(Recherche!$C$11="",E468=Recherche!$C$11),OR(Recherche!$C$12="",ISNUMBER(SEARCH(Recherche!$C$12,M468&amp;" "&amp;F468)))),1,0)</f>
        <v>8</v>
      </c>
    </row>
    <row r="469" customFormat="false" ht="15" hidden="false" customHeight="false" outlineLevel="0" collapsed="false">
      <c r="A469" s="19"/>
      <c r="B469" s="19"/>
      <c r="C469" s="19"/>
      <c r="D469" s="19"/>
      <c r="E469" s="22"/>
      <c r="F469" s="19"/>
      <c r="G469" s="26" t="str">
        <f aca="false">IF(D469="","",IFERROR(VALUE(LEFT(D469,FIND(" |",D469&amp;" |")-1)),"?"))</f>
        <v/>
      </c>
      <c r="H469" s="27" t="str">
        <f aca="false">IF(G469="","",IF(G469="?","⚠ pub inconnue",IFERROR(INDEX(Pubs!$B$2:$B$3001,MATCH(G469,Pubs!$A$2:$A$3001,0))&amp;"","⚠ pub inconnue")))</f>
        <v/>
      </c>
      <c r="I469" s="27" t="str">
        <f aca="false">IF(OR(G469="",G469="?"),"",IFERROR(INDEX(Pubs!$C$2:$C$3001,MATCH(G469,Pubs!$A$2:$A$3001,0))&amp;"",""))</f>
        <v/>
      </c>
      <c r="J469" s="27" t="str">
        <f aca="false">IF(OR(G469="",G469="?"),"",IFERROR(INDEX(Pubs!$G$2:$G$3001,MATCH(G469,Pubs!$A$2:$A$3001,0))&amp;"",""))</f>
        <v/>
      </c>
      <c r="K469" s="28" t="str">
        <f aca="false">IF(OR(G469="",G469="?"),"",IFERROR(INDEX(Pubs!$E$2:$E$3001,MATCH(G469,Pubs!$A$2:$A$3001,0)),""))</f>
        <v/>
      </c>
      <c r="L469" s="29" t="str">
        <f aca="false">IF(A469="","",IFERROR(1/(1/INDEX(Numéros!$C$2:$C$3001,MATCH(A469&amp;"|"&amp;B469,Numéros!$F$2:$F$3001,0))),""))</f>
        <v/>
      </c>
      <c r="M469" s="27" t="str">
        <f aca="false">IF(OR(G469="",G469="?"),"",IFERROR(INDEX(Pubs!$D$2:$D$3001,MATCH(G469,Pubs!$A$2:$A$3001,0))&amp;"",""))</f>
        <v/>
      </c>
      <c r="N469" s="27" t="n">
        <f aca="false">N(N468)+IF(AND(A469&lt;&gt;"",OR(Recherche!$C$4="",A469=Recherche!$C$4),OR(Recherche!$C$5="",B469&amp;""=Recherche!$C$5&amp;""),OR(Recherche!$C$6="",IFERROR(YEAR(L469),0)=Recherche!$C$6),OR(Recherche!$C$7="",ISNUMBER(SEARCH(Recherche!$C$7,H469))),OR(Recherche!$C$8="",J469=Recherche!$C$8),OR(Recherche!$C$9="",I469=Recherche!$C$9),OR(Recherche!$C$10="",G469&amp;""=Recherche!$C$10&amp;""),OR(Recherche!$C$11="",E469=Recherche!$C$11),OR(Recherche!$C$12="",ISNUMBER(SEARCH(Recherche!$C$12,M469&amp;" "&amp;F469)))),1,0)</f>
        <v>8</v>
      </c>
    </row>
    <row r="470" customFormat="false" ht="15" hidden="false" customHeight="false" outlineLevel="0" collapsed="false">
      <c r="A470" s="19"/>
      <c r="B470" s="19"/>
      <c r="C470" s="19"/>
      <c r="D470" s="19"/>
      <c r="E470" s="22"/>
      <c r="F470" s="19"/>
      <c r="G470" s="26" t="str">
        <f aca="false">IF(D470="","",IFERROR(VALUE(LEFT(D470,FIND(" |",D470&amp;" |")-1)),"?"))</f>
        <v/>
      </c>
      <c r="H470" s="27" t="str">
        <f aca="false">IF(G470="","",IF(G470="?","⚠ pub inconnue",IFERROR(INDEX(Pubs!$B$2:$B$3001,MATCH(G470,Pubs!$A$2:$A$3001,0))&amp;"","⚠ pub inconnue")))</f>
        <v/>
      </c>
      <c r="I470" s="27" t="str">
        <f aca="false">IF(OR(G470="",G470="?"),"",IFERROR(INDEX(Pubs!$C$2:$C$3001,MATCH(G470,Pubs!$A$2:$A$3001,0))&amp;"",""))</f>
        <v/>
      </c>
      <c r="J470" s="27" t="str">
        <f aca="false">IF(OR(G470="",G470="?"),"",IFERROR(INDEX(Pubs!$G$2:$G$3001,MATCH(G470,Pubs!$A$2:$A$3001,0))&amp;"",""))</f>
        <v/>
      </c>
      <c r="K470" s="28" t="str">
        <f aca="false">IF(OR(G470="",G470="?"),"",IFERROR(INDEX(Pubs!$E$2:$E$3001,MATCH(G470,Pubs!$A$2:$A$3001,0)),""))</f>
        <v/>
      </c>
      <c r="L470" s="29" t="str">
        <f aca="false">IF(A470="","",IFERROR(1/(1/INDEX(Numéros!$C$2:$C$3001,MATCH(A470&amp;"|"&amp;B470,Numéros!$F$2:$F$3001,0))),""))</f>
        <v/>
      </c>
      <c r="M470" s="27" t="str">
        <f aca="false">IF(OR(G470="",G470="?"),"",IFERROR(INDEX(Pubs!$D$2:$D$3001,MATCH(G470,Pubs!$A$2:$A$3001,0))&amp;"",""))</f>
        <v/>
      </c>
      <c r="N470" s="27" t="n">
        <f aca="false">N(N469)+IF(AND(A470&lt;&gt;"",OR(Recherche!$C$4="",A470=Recherche!$C$4),OR(Recherche!$C$5="",B470&amp;""=Recherche!$C$5&amp;""),OR(Recherche!$C$6="",IFERROR(YEAR(L470),0)=Recherche!$C$6),OR(Recherche!$C$7="",ISNUMBER(SEARCH(Recherche!$C$7,H470))),OR(Recherche!$C$8="",J470=Recherche!$C$8),OR(Recherche!$C$9="",I470=Recherche!$C$9),OR(Recherche!$C$10="",G470&amp;""=Recherche!$C$10&amp;""),OR(Recherche!$C$11="",E470=Recherche!$C$11),OR(Recherche!$C$12="",ISNUMBER(SEARCH(Recherche!$C$12,M470&amp;" "&amp;F470)))),1,0)</f>
        <v>8</v>
      </c>
    </row>
    <row r="471" customFormat="false" ht="15" hidden="false" customHeight="false" outlineLevel="0" collapsed="false">
      <c r="A471" s="19"/>
      <c r="B471" s="19"/>
      <c r="C471" s="19"/>
      <c r="D471" s="19"/>
      <c r="E471" s="22"/>
      <c r="F471" s="19"/>
      <c r="G471" s="26" t="str">
        <f aca="false">IF(D471="","",IFERROR(VALUE(LEFT(D471,FIND(" |",D471&amp;" |")-1)),"?"))</f>
        <v/>
      </c>
      <c r="H471" s="27" t="str">
        <f aca="false">IF(G471="","",IF(G471="?","⚠ pub inconnue",IFERROR(INDEX(Pubs!$B$2:$B$3001,MATCH(G471,Pubs!$A$2:$A$3001,0))&amp;"","⚠ pub inconnue")))</f>
        <v/>
      </c>
      <c r="I471" s="27" t="str">
        <f aca="false">IF(OR(G471="",G471="?"),"",IFERROR(INDEX(Pubs!$C$2:$C$3001,MATCH(G471,Pubs!$A$2:$A$3001,0))&amp;"",""))</f>
        <v/>
      </c>
      <c r="J471" s="27" t="str">
        <f aca="false">IF(OR(G471="",G471="?"),"",IFERROR(INDEX(Pubs!$G$2:$G$3001,MATCH(G471,Pubs!$A$2:$A$3001,0))&amp;"",""))</f>
        <v/>
      </c>
      <c r="K471" s="28" t="str">
        <f aca="false">IF(OR(G471="",G471="?"),"",IFERROR(INDEX(Pubs!$E$2:$E$3001,MATCH(G471,Pubs!$A$2:$A$3001,0)),""))</f>
        <v/>
      </c>
      <c r="L471" s="29" t="str">
        <f aca="false">IF(A471="","",IFERROR(1/(1/INDEX(Numéros!$C$2:$C$3001,MATCH(A471&amp;"|"&amp;B471,Numéros!$F$2:$F$3001,0))),""))</f>
        <v/>
      </c>
      <c r="M471" s="27" t="str">
        <f aca="false">IF(OR(G471="",G471="?"),"",IFERROR(INDEX(Pubs!$D$2:$D$3001,MATCH(G471,Pubs!$A$2:$A$3001,0))&amp;"",""))</f>
        <v/>
      </c>
      <c r="N471" s="27" t="n">
        <f aca="false">N(N470)+IF(AND(A471&lt;&gt;"",OR(Recherche!$C$4="",A471=Recherche!$C$4),OR(Recherche!$C$5="",B471&amp;""=Recherche!$C$5&amp;""),OR(Recherche!$C$6="",IFERROR(YEAR(L471),0)=Recherche!$C$6),OR(Recherche!$C$7="",ISNUMBER(SEARCH(Recherche!$C$7,H471))),OR(Recherche!$C$8="",J471=Recherche!$C$8),OR(Recherche!$C$9="",I471=Recherche!$C$9),OR(Recherche!$C$10="",G471&amp;""=Recherche!$C$10&amp;""),OR(Recherche!$C$11="",E471=Recherche!$C$11),OR(Recherche!$C$12="",ISNUMBER(SEARCH(Recherche!$C$12,M471&amp;" "&amp;F471)))),1,0)</f>
        <v>8</v>
      </c>
    </row>
    <row r="472" customFormat="false" ht="15" hidden="false" customHeight="false" outlineLevel="0" collapsed="false">
      <c r="A472" s="19"/>
      <c r="B472" s="19"/>
      <c r="C472" s="19"/>
      <c r="D472" s="19"/>
      <c r="E472" s="22"/>
      <c r="F472" s="19"/>
      <c r="G472" s="26" t="str">
        <f aca="false">IF(D472="","",IFERROR(VALUE(LEFT(D472,FIND(" |",D472&amp;" |")-1)),"?"))</f>
        <v/>
      </c>
      <c r="H472" s="27" t="str">
        <f aca="false">IF(G472="","",IF(G472="?","⚠ pub inconnue",IFERROR(INDEX(Pubs!$B$2:$B$3001,MATCH(G472,Pubs!$A$2:$A$3001,0))&amp;"","⚠ pub inconnue")))</f>
        <v/>
      </c>
      <c r="I472" s="27" t="str">
        <f aca="false">IF(OR(G472="",G472="?"),"",IFERROR(INDEX(Pubs!$C$2:$C$3001,MATCH(G472,Pubs!$A$2:$A$3001,0))&amp;"",""))</f>
        <v/>
      </c>
      <c r="J472" s="27" t="str">
        <f aca="false">IF(OR(G472="",G472="?"),"",IFERROR(INDEX(Pubs!$G$2:$G$3001,MATCH(G472,Pubs!$A$2:$A$3001,0))&amp;"",""))</f>
        <v/>
      </c>
      <c r="K472" s="28" t="str">
        <f aca="false">IF(OR(G472="",G472="?"),"",IFERROR(INDEX(Pubs!$E$2:$E$3001,MATCH(G472,Pubs!$A$2:$A$3001,0)),""))</f>
        <v/>
      </c>
      <c r="L472" s="29" t="str">
        <f aca="false">IF(A472="","",IFERROR(1/(1/INDEX(Numéros!$C$2:$C$3001,MATCH(A472&amp;"|"&amp;B472,Numéros!$F$2:$F$3001,0))),""))</f>
        <v/>
      </c>
      <c r="M472" s="27" t="str">
        <f aca="false">IF(OR(G472="",G472="?"),"",IFERROR(INDEX(Pubs!$D$2:$D$3001,MATCH(G472,Pubs!$A$2:$A$3001,0))&amp;"",""))</f>
        <v/>
      </c>
      <c r="N472" s="27" t="n">
        <f aca="false">N(N471)+IF(AND(A472&lt;&gt;"",OR(Recherche!$C$4="",A472=Recherche!$C$4),OR(Recherche!$C$5="",B472&amp;""=Recherche!$C$5&amp;""),OR(Recherche!$C$6="",IFERROR(YEAR(L472),0)=Recherche!$C$6),OR(Recherche!$C$7="",ISNUMBER(SEARCH(Recherche!$C$7,H472))),OR(Recherche!$C$8="",J472=Recherche!$C$8),OR(Recherche!$C$9="",I472=Recherche!$C$9),OR(Recherche!$C$10="",G472&amp;""=Recherche!$C$10&amp;""),OR(Recherche!$C$11="",E472=Recherche!$C$11),OR(Recherche!$C$12="",ISNUMBER(SEARCH(Recherche!$C$12,M472&amp;" "&amp;F472)))),1,0)</f>
        <v>8</v>
      </c>
    </row>
    <row r="473" customFormat="false" ht="15" hidden="false" customHeight="false" outlineLevel="0" collapsed="false">
      <c r="A473" s="19"/>
      <c r="B473" s="19"/>
      <c r="C473" s="19"/>
      <c r="D473" s="19"/>
      <c r="E473" s="22"/>
      <c r="F473" s="19"/>
      <c r="G473" s="26" t="str">
        <f aca="false">IF(D473="","",IFERROR(VALUE(LEFT(D473,FIND(" |",D473&amp;" |")-1)),"?"))</f>
        <v/>
      </c>
      <c r="H473" s="27" t="str">
        <f aca="false">IF(G473="","",IF(G473="?","⚠ pub inconnue",IFERROR(INDEX(Pubs!$B$2:$B$3001,MATCH(G473,Pubs!$A$2:$A$3001,0))&amp;"","⚠ pub inconnue")))</f>
        <v/>
      </c>
      <c r="I473" s="27" t="str">
        <f aca="false">IF(OR(G473="",G473="?"),"",IFERROR(INDEX(Pubs!$C$2:$C$3001,MATCH(G473,Pubs!$A$2:$A$3001,0))&amp;"",""))</f>
        <v/>
      </c>
      <c r="J473" s="27" t="str">
        <f aca="false">IF(OR(G473="",G473="?"),"",IFERROR(INDEX(Pubs!$G$2:$G$3001,MATCH(G473,Pubs!$A$2:$A$3001,0))&amp;"",""))</f>
        <v/>
      </c>
      <c r="K473" s="28" t="str">
        <f aca="false">IF(OR(G473="",G473="?"),"",IFERROR(INDEX(Pubs!$E$2:$E$3001,MATCH(G473,Pubs!$A$2:$A$3001,0)),""))</f>
        <v/>
      </c>
      <c r="L473" s="29" t="str">
        <f aca="false">IF(A473="","",IFERROR(1/(1/INDEX(Numéros!$C$2:$C$3001,MATCH(A473&amp;"|"&amp;B473,Numéros!$F$2:$F$3001,0))),""))</f>
        <v/>
      </c>
      <c r="M473" s="27" t="str">
        <f aca="false">IF(OR(G473="",G473="?"),"",IFERROR(INDEX(Pubs!$D$2:$D$3001,MATCH(G473,Pubs!$A$2:$A$3001,0))&amp;"",""))</f>
        <v/>
      </c>
      <c r="N473" s="27" t="n">
        <f aca="false">N(N472)+IF(AND(A473&lt;&gt;"",OR(Recherche!$C$4="",A473=Recherche!$C$4),OR(Recherche!$C$5="",B473&amp;""=Recherche!$C$5&amp;""),OR(Recherche!$C$6="",IFERROR(YEAR(L473),0)=Recherche!$C$6),OR(Recherche!$C$7="",ISNUMBER(SEARCH(Recherche!$C$7,H473))),OR(Recherche!$C$8="",J473=Recherche!$C$8),OR(Recherche!$C$9="",I473=Recherche!$C$9),OR(Recherche!$C$10="",G473&amp;""=Recherche!$C$10&amp;""),OR(Recherche!$C$11="",E473=Recherche!$C$11),OR(Recherche!$C$12="",ISNUMBER(SEARCH(Recherche!$C$12,M473&amp;" "&amp;F473)))),1,0)</f>
        <v>8</v>
      </c>
    </row>
    <row r="474" customFormat="false" ht="15" hidden="false" customHeight="false" outlineLevel="0" collapsed="false">
      <c r="A474" s="19"/>
      <c r="B474" s="19"/>
      <c r="C474" s="19"/>
      <c r="D474" s="19"/>
      <c r="E474" s="22"/>
      <c r="F474" s="19"/>
      <c r="G474" s="26" t="str">
        <f aca="false">IF(D474="","",IFERROR(VALUE(LEFT(D474,FIND(" |",D474&amp;" |")-1)),"?"))</f>
        <v/>
      </c>
      <c r="H474" s="27" t="str">
        <f aca="false">IF(G474="","",IF(G474="?","⚠ pub inconnue",IFERROR(INDEX(Pubs!$B$2:$B$3001,MATCH(G474,Pubs!$A$2:$A$3001,0))&amp;"","⚠ pub inconnue")))</f>
        <v/>
      </c>
      <c r="I474" s="27" t="str">
        <f aca="false">IF(OR(G474="",G474="?"),"",IFERROR(INDEX(Pubs!$C$2:$C$3001,MATCH(G474,Pubs!$A$2:$A$3001,0))&amp;"",""))</f>
        <v/>
      </c>
      <c r="J474" s="27" t="str">
        <f aca="false">IF(OR(G474="",G474="?"),"",IFERROR(INDEX(Pubs!$G$2:$G$3001,MATCH(G474,Pubs!$A$2:$A$3001,0))&amp;"",""))</f>
        <v/>
      </c>
      <c r="K474" s="28" t="str">
        <f aca="false">IF(OR(G474="",G474="?"),"",IFERROR(INDEX(Pubs!$E$2:$E$3001,MATCH(G474,Pubs!$A$2:$A$3001,0)),""))</f>
        <v/>
      </c>
      <c r="L474" s="29" t="str">
        <f aca="false">IF(A474="","",IFERROR(1/(1/INDEX(Numéros!$C$2:$C$3001,MATCH(A474&amp;"|"&amp;B474,Numéros!$F$2:$F$3001,0))),""))</f>
        <v/>
      </c>
      <c r="M474" s="27" t="str">
        <f aca="false">IF(OR(G474="",G474="?"),"",IFERROR(INDEX(Pubs!$D$2:$D$3001,MATCH(G474,Pubs!$A$2:$A$3001,0))&amp;"",""))</f>
        <v/>
      </c>
      <c r="N474" s="27" t="n">
        <f aca="false">N(N473)+IF(AND(A474&lt;&gt;"",OR(Recherche!$C$4="",A474=Recherche!$C$4),OR(Recherche!$C$5="",B474&amp;""=Recherche!$C$5&amp;""),OR(Recherche!$C$6="",IFERROR(YEAR(L474),0)=Recherche!$C$6),OR(Recherche!$C$7="",ISNUMBER(SEARCH(Recherche!$C$7,H474))),OR(Recherche!$C$8="",J474=Recherche!$C$8),OR(Recherche!$C$9="",I474=Recherche!$C$9),OR(Recherche!$C$10="",G474&amp;""=Recherche!$C$10&amp;""),OR(Recherche!$C$11="",E474=Recherche!$C$11),OR(Recherche!$C$12="",ISNUMBER(SEARCH(Recherche!$C$12,M474&amp;" "&amp;F474)))),1,0)</f>
        <v>8</v>
      </c>
    </row>
    <row r="475" customFormat="false" ht="15" hidden="false" customHeight="false" outlineLevel="0" collapsed="false">
      <c r="A475" s="19"/>
      <c r="B475" s="19"/>
      <c r="C475" s="19"/>
      <c r="D475" s="19"/>
      <c r="E475" s="22"/>
      <c r="F475" s="19"/>
      <c r="G475" s="26" t="str">
        <f aca="false">IF(D475="","",IFERROR(VALUE(LEFT(D475,FIND(" |",D475&amp;" |")-1)),"?"))</f>
        <v/>
      </c>
      <c r="H475" s="27" t="str">
        <f aca="false">IF(G475="","",IF(G475="?","⚠ pub inconnue",IFERROR(INDEX(Pubs!$B$2:$B$3001,MATCH(G475,Pubs!$A$2:$A$3001,0))&amp;"","⚠ pub inconnue")))</f>
        <v/>
      </c>
      <c r="I475" s="27" t="str">
        <f aca="false">IF(OR(G475="",G475="?"),"",IFERROR(INDEX(Pubs!$C$2:$C$3001,MATCH(G475,Pubs!$A$2:$A$3001,0))&amp;"",""))</f>
        <v/>
      </c>
      <c r="J475" s="27" t="str">
        <f aca="false">IF(OR(G475="",G475="?"),"",IFERROR(INDEX(Pubs!$G$2:$G$3001,MATCH(G475,Pubs!$A$2:$A$3001,0))&amp;"",""))</f>
        <v/>
      </c>
      <c r="K475" s="28" t="str">
        <f aca="false">IF(OR(G475="",G475="?"),"",IFERROR(INDEX(Pubs!$E$2:$E$3001,MATCH(G475,Pubs!$A$2:$A$3001,0)),""))</f>
        <v/>
      </c>
      <c r="L475" s="29" t="str">
        <f aca="false">IF(A475="","",IFERROR(1/(1/INDEX(Numéros!$C$2:$C$3001,MATCH(A475&amp;"|"&amp;B475,Numéros!$F$2:$F$3001,0))),""))</f>
        <v/>
      </c>
      <c r="M475" s="27" t="str">
        <f aca="false">IF(OR(G475="",G475="?"),"",IFERROR(INDEX(Pubs!$D$2:$D$3001,MATCH(G475,Pubs!$A$2:$A$3001,0))&amp;"",""))</f>
        <v/>
      </c>
      <c r="N475" s="27" t="n">
        <f aca="false">N(N474)+IF(AND(A475&lt;&gt;"",OR(Recherche!$C$4="",A475=Recherche!$C$4),OR(Recherche!$C$5="",B475&amp;""=Recherche!$C$5&amp;""),OR(Recherche!$C$6="",IFERROR(YEAR(L475),0)=Recherche!$C$6),OR(Recherche!$C$7="",ISNUMBER(SEARCH(Recherche!$C$7,H475))),OR(Recherche!$C$8="",J475=Recherche!$C$8),OR(Recherche!$C$9="",I475=Recherche!$C$9),OR(Recherche!$C$10="",G475&amp;""=Recherche!$C$10&amp;""),OR(Recherche!$C$11="",E475=Recherche!$C$11),OR(Recherche!$C$12="",ISNUMBER(SEARCH(Recherche!$C$12,M475&amp;" "&amp;F475)))),1,0)</f>
        <v>8</v>
      </c>
    </row>
    <row r="476" customFormat="false" ht="15" hidden="false" customHeight="false" outlineLevel="0" collapsed="false">
      <c r="A476" s="19"/>
      <c r="B476" s="19"/>
      <c r="C476" s="19"/>
      <c r="D476" s="19"/>
      <c r="E476" s="22"/>
      <c r="F476" s="19"/>
      <c r="G476" s="26" t="str">
        <f aca="false">IF(D476="","",IFERROR(VALUE(LEFT(D476,FIND(" |",D476&amp;" |")-1)),"?"))</f>
        <v/>
      </c>
      <c r="H476" s="27" t="str">
        <f aca="false">IF(G476="","",IF(G476="?","⚠ pub inconnue",IFERROR(INDEX(Pubs!$B$2:$B$3001,MATCH(G476,Pubs!$A$2:$A$3001,0))&amp;"","⚠ pub inconnue")))</f>
        <v/>
      </c>
      <c r="I476" s="27" t="str">
        <f aca="false">IF(OR(G476="",G476="?"),"",IFERROR(INDEX(Pubs!$C$2:$C$3001,MATCH(G476,Pubs!$A$2:$A$3001,0))&amp;"",""))</f>
        <v/>
      </c>
      <c r="J476" s="27" t="str">
        <f aca="false">IF(OR(G476="",G476="?"),"",IFERROR(INDEX(Pubs!$G$2:$G$3001,MATCH(G476,Pubs!$A$2:$A$3001,0))&amp;"",""))</f>
        <v/>
      </c>
      <c r="K476" s="28" t="str">
        <f aca="false">IF(OR(G476="",G476="?"),"",IFERROR(INDEX(Pubs!$E$2:$E$3001,MATCH(G476,Pubs!$A$2:$A$3001,0)),""))</f>
        <v/>
      </c>
      <c r="L476" s="29" t="str">
        <f aca="false">IF(A476="","",IFERROR(1/(1/INDEX(Numéros!$C$2:$C$3001,MATCH(A476&amp;"|"&amp;B476,Numéros!$F$2:$F$3001,0))),""))</f>
        <v/>
      </c>
      <c r="M476" s="27" t="str">
        <f aca="false">IF(OR(G476="",G476="?"),"",IFERROR(INDEX(Pubs!$D$2:$D$3001,MATCH(G476,Pubs!$A$2:$A$3001,0))&amp;"",""))</f>
        <v/>
      </c>
      <c r="N476" s="27" t="n">
        <f aca="false">N(N475)+IF(AND(A476&lt;&gt;"",OR(Recherche!$C$4="",A476=Recherche!$C$4),OR(Recherche!$C$5="",B476&amp;""=Recherche!$C$5&amp;""),OR(Recherche!$C$6="",IFERROR(YEAR(L476),0)=Recherche!$C$6),OR(Recherche!$C$7="",ISNUMBER(SEARCH(Recherche!$C$7,H476))),OR(Recherche!$C$8="",J476=Recherche!$C$8),OR(Recherche!$C$9="",I476=Recherche!$C$9),OR(Recherche!$C$10="",G476&amp;""=Recherche!$C$10&amp;""),OR(Recherche!$C$11="",E476=Recherche!$C$11),OR(Recherche!$C$12="",ISNUMBER(SEARCH(Recherche!$C$12,M476&amp;" "&amp;F476)))),1,0)</f>
        <v>8</v>
      </c>
    </row>
    <row r="477" customFormat="false" ht="15" hidden="false" customHeight="false" outlineLevel="0" collapsed="false">
      <c r="A477" s="19"/>
      <c r="B477" s="19"/>
      <c r="C477" s="19"/>
      <c r="D477" s="19"/>
      <c r="E477" s="22"/>
      <c r="F477" s="19"/>
      <c r="G477" s="26" t="str">
        <f aca="false">IF(D477="","",IFERROR(VALUE(LEFT(D477,FIND(" |",D477&amp;" |")-1)),"?"))</f>
        <v/>
      </c>
      <c r="H477" s="27" t="str">
        <f aca="false">IF(G477="","",IF(G477="?","⚠ pub inconnue",IFERROR(INDEX(Pubs!$B$2:$B$3001,MATCH(G477,Pubs!$A$2:$A$3001,0))&amp;"","⚠ pub inconnue")))</f>
        <v/>
      </c>
      <c r="I477" s="27" t="str">
        <f aca="false">IF(OR(G477="",G477="?"),"",IFERROR(INDEX(Pubs!$C$2:$C$3001,MATCH(G477,Pubs!$A$2:$A$3001,0))&amp;"",""))</f>
        <v/>
      </c>
      <c r="J477" s="27" t="str">
        <f aca="false">IF(OR(G477="",G477="?"),"",IFERROR(INDEX(Pubs!$G$2:$G$3001,MATCH(G477,Pubs!$A$2:$A$3001,0))&amp;"",""))</f>
        <v/>
      </c>
      <c r="K477" s="28" t="str">
        <f aca="false">IF(OR(G477="",G477="?"),"",IFERROR(INDEX(Pubs!$E$2:$E$3001,MATCH(G477,Pubs!$A$2:$A$3001,0)),""))</f>
        <v/>
      </c>
      <c r="L477" s="29" t="str">
        <f aca="false">IF(A477="","",IFERROR(1/(1/INDEX(Numéros!$C$2:$C$3001,MATCH(A477&amp;"|"&amp;B477,Numéros!$F$2:$F$3001,0))),""))</f>
        <v/>
      </c>
      <c r="M477" s="27" t="str">
        <f aca="false">IF(OR(G477="",G477="?"),"",IFERROR(INDEX(Pubs!$D$2:$D$3001,MATCH(G477,Pubs!$A$2:$A$3001,0))&amp;"",""))</f>
        <v/>
      </c>
      <c r="N477" s="27" t="n">
        <f aca="false">N(N476)+IF(AND(A477&lt;&gt;"",OR(Recherche!$C$4="",A477=Recherche!$C$4),OR(Recherche!$C$5="",B477&amp;""=Recherche!$C$5&amp;""),OR(Recherche!$C$6="",IFERROR(YEAR(L477),0)=Recherche!$C$6),OR(Recherche!$C$7="",ISNUMBER(SEARCH(Recherche!$C$7,H477))),OR(Recherche!$C$8="",J477=Recherche!$C$8),OR(Recherche!$C$9="",I477=Recherche!$C$9),OR(Recherche!$C$10="",G477&amp;""=Recherche!$C$10&amp;""),OR(Recherche!$C$11="",E477=Recherche!$C$11),OR(Recherche!$C$12="",ISNUMBER(SEARCH(Recherche!$C$12,M477&amp;" "&amp;F477)))),1,0)</f>
        <v>8</v>
      </c>
    </row>
    <row r="478" customFormat="false" ht="15" hidden="false" customHeight="false" outlineLevel="0" collapsed="false">
      <c r="A478" s="19"/>
      <c r="B478" s="19"/>
      <c r="C478" s="19"/>
      <c r="D478" s="19"/>
      <c r="E478" s="22"/>
      <c r="F478" s="19"/>
      <c r="G478" s="26" t="str">
        <f aca="false">IF(D478="","",IFERROR(VALUE(LEFT(D478,FIND(" |",D478&amp;" |")-1)),"?"))</f>
        <v/>
      </c>
      <c r="H478" s="27" t="str">
        <f aca="false">IF(G478="","",IF(G478="?","⚠ pub inconnue",IFERROR(INDEX(Pubs!$B$2:$B$3001,MATCH(G478,Pubs!$A$2:$A$3001,0))&amp;"","⚠ pub inconnue")))</f>
        <v/>
      </c>
      <c r="I478" s="27" t="str">
        <f aca="false">IF(OR(G478="",G478="?"),"",IFERROR(INDEX(Pubs!$C$2:$C$3001,MATCH(G478,Pubs!$A$2:$A$3001,0))&amp;"",""))</f>
        <v/>
      </c>
      <c r="J478" s="27" t="str">
        <f aca="false">IF(OR(G478="",G478="?"),"",IFERROR(INDEX(Pubs!$G$2:$G$3001,MATCH(G478,Pubs!$A$2:$A$3001,0))&amp;"",""))</f>
        <v/>
      </c>
      <c r="K478" s="28" t="str">
        <f aca="false">IF(OR(G478="",G478="?"),"",IFERROR(INDEX(Pubs!$E$2:$E$3001,MATCH(G478,Pubs!$A$2:$A$3001,0)),""))</f>
        <v/>
      </c>
      <c r="L478" s="29" t="str">
        <f aca="false">IF(A478="","",IFERROR(1/(1/INDEX(Numéros!$C$2:$C$3001,MATCH(A478&amp;"|"&amp;B478,Numéros!$F$2:$F$3001,0))),""))</f>
        <v/>
      </c>
      <c r="M478" s="27" t="str">
        <f aca="false">IF(OR(G478="",G478="?"),"",IFERROR(INDEX(Pubs!$D$2:$D$3001,MATCH(G478,Pubs!$A$2:$A$3001,0))&amp;"",""))</f>
        <v/>
      </c>
      <c r="N478" s="27" t="n">
        <f aca="false">N(N477)+IF(AND(A478&lt;&gt;"",OR(Recherche!$C$4="",A478=Recherche!$C$4),OR(Recherche!$C$5="",B478&amp;""=Recherche!$C$5&amp;""),OR(Recherche!$C$6="",IFERROR(YEAR(L478),0)=Recherche!$C$6),OR(Recherche!$C$7="",ISNUMBER(SEARCH(Recherche!$C$7,H478))),OR(Recherche!$C$8="",J478=Recherche!$C$8),OR(Recherche!$C$9="",I478=Recherche!$C$9),OR(Recherche!$C$10="",G478&amp;""=Recherche!$C$10&amp;""),OR(Recherche!$C$11="",E478=Recherche!$C$11),OR(Recherche!$C$12="",ISNUMBER(SEARCH(Recherche!$C$12,M478&amp;" "&amp;F478)))),1,0)</f>
        <v>8</v>
      </c>
    </row>
    <row r="479" customFormat="false" ht="15" hidden="false" customHeight="false" outlineLevel="0" collapsed="false">
      <c r="A479" s="19"/>
      <c r="B479" s="19"/>
      <c r="C479" s="19"/>
      <c r="D479" s="19"/>
      <c r="E479" s="22"/>
      <c r="F479" s="19"/>
      <c r="G479" s="26" t="str">
        <f aca="false">IF(D479="","",IFERROR(VALUE(LEFT(D479,FIND(" |",D479&amp;" |")-1)),"?"))</f>
        <v/>
      </c>
      <c r="H479" s="27" t="str">
        <f aca="false">IF(G479="","",IF(G479="?","⚠ pub inconnue",IFERROR(INDEX(Pubs!$B$2:$B$3001,MATCH(G479,Pubs!$A$2:$A$3001,0))&amp;"","⚠ pub inconnue")))</f>
        <v/>
      </c>
      <c r="I479" s="27" t="str">
        <f aca="false">IF(OR(G479="",G479="?"),"",IFERROR(INDEX(Pubs!$C$2:$C$3001,MATCH(G479,Pubs!$A$2:$A$3001,0))&amp;"",""))</f>
        <v/>
      </c>
      <c r="J479" s="27" t="str">
        <f aca="false">IF(OR(G479="",G479="?"),"",IFERROR(INDEX(Pubs!$G$2:$G$3001,MATCH(G479,Pubs!$A$2:$A$3001,0))&amp;"",""))</f>
        <v/>
      </c>
      <c r="K479" s="28" t="str">
        <f aca="false">IF(OR(G479="",G479="?"),"",IFERROR(INDEX(Pubs!$E$2:$E$3001,MATCH(G479,Pubs!$A$2:$A$3001,0)),""))</f>
        <v/>
      </c>
      <c r="L479" s="29" t="str">
        <f aca="false">IF(A479="","",IFERROR(1/(1/INDEX(Numéros!$C$2:$C$3001,MATCH(A479&amp;"|"&amp;B479,Numéros!$F$2:$F$3001,0))),""))</f>
        <v/>
      </c>
      <c r="M479" s="27" t="str">
        <f aca="false">IF(OR(G479="",G479="?"),"",IFERROR(INDEX(Pubs!$D$2:$D$3001,MATCH(G479,Pubs!$A$2:$A$3001,0))&amp;"",""))</f>
        <v/>
      </c>
      <c r="N479" s="27" t="n">
        <f aca="false">N(N478)+IF(AND(A479&lt;&gt;"",OR(Recherche!$C$4="",A479=Recherche!$C$4),OR(Recherche!$C$5="",B479&amp;""=Recherche!$C$5&amp;""),OR(Recherche!$C$6="",IFERROR(YEAR(L479),0)=Recherche!$C$6),OR(Recherche!$C$7="",ISNUMBER(SEARCH(Recherche!$C$7,H479))),OR(Recherche!$C$8="",J479=Recherche!$C$8),OR(Recherche!$C$9="",I479=Recherche!$C$9),OR(Recherche!$C$10="",G479&amp;""=Recherche!$C$10&amp;""),OR(Recherche!$C$11="",E479=Recherche!$C$11),OR(Recherche!$C$12="",ISNUMBER(SEARCH(Recherche!$C$12,M479&amp;" "&amp;F479)))),1,0)</f>
        <v>8</v>
      </c>
    </row>
    <row r="480" customFormat="false" ht="15" hidden="false" customHeight="false" outlineLevel="0" collapsed="false">
      <c r="A480" s="19"/>
      <c r="B480" s="19"/>
      <c r="C480" s="19"/>
      <c r="D480" s="19"/>
      <c r="E480" s="22"/>
      <c r="F480" s="19"/>
      <c r="G480" s="26" t="str">
        <f aca="false">IF(D480="","",IFERROR(VALUE(LEFT(D480,FIND(" |",D480&amp;" |")-1)),"?"))</f>
        <v/>
      </c>
      <c r="H480" s="27" t="str">
        <f aca="false">IF(G480="","",IF(G480="?","⚠ pub inconnue",IFERROR(INDEX(Pubs!$B$2:$B$3001,MATCH(G480,Pubs!$A$2:$A$3001,0))&amp;"","⚠ pub inconnue")))</f>
        <v/>
      </c>
      <c r="I480" s="27" t="str">
        <f aca="false">IF(OR(G480="",G480="?"),"",IFERROR(INDEX(Pubs!$C$2:$C$3001,MATCH(G480,Pubs!$A$2:$A$3001,0))&amp;"",""))</f>
        <v/>
      </c>
      <c r="J480" s="27" t="str">
        <f aca="false">IF(OR(G480="",G480="?"),"",IFERROR(INDEX(Pubs!$G$2:$G$3001,MATCH(G480,Pubs!$A$2:$A$3001,0))&amp;"",""))</f>
        <v/>
      </c>
      <c r="K480" s="28" t="str">
        <f aca="false">IF(OR(G480="",G480="?"),"",IFERROR(INDEX(Pubs!$E$2:$E$3001,MATCH(G480,Pubs!$A$2:$A$3001,0)),""))</f>
        <v/>
      </c>
      <c r="L480" s="29" t="str">
        <f aca="false">IF(A480="","",IFERROR(1/(1/INDEX(Numéros!$C$2:$C$3001,MATCH(A480&amp;"|"&amp;B480,Numéros!$F$2:$F$3001,0))),""))</f>
        <v/>
      </c>
      <c r="M480" s="27" t="str">
        <f aca="false">IF(OR(G480="",G480="?"),"",IFERROR(INDEX(Pubs!$D$2:$D$3001,MATCH(G480,Pubs!$A$2:$A$3001,0))&amp;"",""))</f>
        <v/>
      </c>
      <c r="N480" s="27" t="n">
        <f aca="false">N(N479)+IF(AND(A480&lt;&gt;"",OR(Recherche!$C$4="",A480=Recherche!$C$4),OR(Recherche!$C$5="",B480&amp;""=Recherche!$C$5&amp;""),OR(Recherche!$C$6="",IFERROR(YEAR(L480),0)=Recherche!$C$6),OR(Recherche!$C$7="",ISNUMBER(SEARCH(Recherche!$C$7,H480))),OR(Recherche!$C$8="",J480=Recherche!$C$8),OR(Recherche!$C$9="",I480=Recherche!$C$9),OR(Recherche!$C$10="",G480&amp;""=Recherche!$C$10&amp;""),OR(Recherche!$C$11="",E480=Recherche!$C$11),OR(Recherche!$C$12="",ISNUMBER(SEARCH(Recherche!$C$12,M480&amp;" "&amp;F480)))),1,0)</f>
        <v>8</v>
      </c>
    </row>
    <row r="481" customFormat="false" ht="15" hidden="false" customHeight="false" outlineLevel="0" collapsed="false">
      <c r="A481" s="19"/>
      <c r="B481" s="19"/>
      <c r="C481" s="19"/>
      <c r="D481" s="19"/>
      <c r="E481" s="22"/>
      <c r="F481" s="19"/>
      <c r="G481" s="26" t="str">
        <f aca="false">IF(D481="","",IFERROR(VALUE(LEFT(D481,FIND(" |",D481&amp;" |")-1)),"?"))</f>
        <v/>
      </c>
      <c r="H481" s="27" t="str">
        <f aca="false">IF(G481="","",IF(G481="?","⚠ pub inconnue",IFERROR(INDEX(Pubs!$B$2:$B$3001,MATCH(G481,Pubs!$A$2:$A$3001,0))&amp;"","⚠ pub inconnue")))</f>
        <v/>
      </c>
      <c r="I481" s="27" t="str">
        <f aca="false">IF(OR(G481="",G481="?"),"",IFERROR(INDEX(Pubs!$C$2:$C$3001,MATCH(G481,Pubs!$A$2:$A$3001,0))&amp;"",""))</f>
        <v/>
      </c>
      <c r="J481" s="27" t="str">
        <f aca="false">IF(OR(G481="",G481="?"),"",IFERROR(INDEX(Pubs!$G$2:$G$3001,MATCH(G481,Pubs!$A$2:$A$3001,0))&amp;"",""))</f>
        <v/>
      </c>
      <c r="K481" s="28" t="str">
        <f aca="false">IF(OR(G481="",G481="?"),"",IFERROR(INDEX(Pubs!$E$2:$E$3001,MATCH(G481,Pubs!$A$2:$A$3001,0)),""))</f>
        <v/>
      </c>
      <c r="L481" s="29" t="str">
        <f aca="false">IF(A481="","",IFERROR(1/(1/INDEX(Numéros!$C$2:$C$3001,MATCH(A481&amp;"|"&amp;B481,Numéros!$F$2:$F$3001,0))),""))</f>
        <v/>
      </c>
      <c r="M481" s="27" t="str">
        <f aca="false">IF(OR(G481="",G481="?"),"",IFERROR(INDEX(Pubs!$D$2:$D$3001,MATCH(G481,Pubs!$A$2:$A$3001,0))&amp;"",""))</f>
        <v/>
      </c>
      <c r="N481" s="27" t="n">
        <f aca="false">N(N480)+IF(AND(A481&lt;&gt;"",OR(Recherche!$C$4="",A481=Recherche!$C$4),OR(Recherche!$C$5="",B481&amp;""=Recherche!$C$5&amp;""),OR(Recherche!$C$6="",IFERROR(YEAR(L481),0)=Recherche!$C$6),OR(Recherche!$C$7="",ISNUMBER(SEARCH(Recherche!$C$7,H481))),OR(Recherche!$C$8="",J481=Recherche!$C$8),OR(Recherche!$C$9="",I481=Recherche!$C$9),OR(Recherche!$C$10="",G481&amp;""=Recherche!$C$10&amp;""),OR(Recherche!$C$11="",E481=Recherche!$C$11),OR(Recherche!$C$12="",ISNUMBER(SEARCH(Recherche!$C$12,M481&amp;" "&amp;F481)))),1,0)</f>
        <v>8</v>
      </c>
    </row>
    <row r="482" customFormat="false" ht="15" hidden="false" customHeight="false" outlineLevel="0" collapsed="false">
      <c r="A482" s="19"/>
      <c r="B482" s="19"/>
      <c r="C482" s="19"/>
      <c r="D482" s="19"/>
      <c r="E482" s="22"/>
      <c r="F482" s="19"/>
      <c r="G482" s="26" t="str">
        <f aca="false">IF(D482="","",IFERROR(VALUE(LEFT(D482,FIND(" |",D482&amp;" |")-1)),"?"))</f>
        <v/>
      </c>
      <c r="H482" s="27" t="str">
        <f aca="false">IF(G482="","",IF(G482="?","⚠ pub inconnue",IFERROR(INDEX(Pubs!$B$2:$B$3001,MATCH(G482,Pubs!$A$2:$A$3001,0))&amp;"","⚠ pub inconnue")))</f>
        <v/>
      </c>
      <c r="I482" s="27" t="str">
        <f aca="false">IF(OR(G482="",G482="?"),"",IFERROR(INDEX(Pubs!$C$2:$C$3001,MATCH(G482,Pubs!$A$2:$A$3001,0))&amp;"",""))</f>
        <v/>
      </c>
      <c r="J482" s="27" t="str">
        <f aca="false">IF(OR(G482="",G482="?"),"",IFERROR(INDEX(Pubs!$G$2:$G$3001,MATCH(G482,Pubs!$A$2:$A$3001,0))&amp;"",""))</f>
        <v/>
      </c>
      <c r="K482" s="28" t="str">
        <f aca="false">IF(OR(G482="",G482="?"),"",IFERROR(INDEX(Pubs!$E$2:$E$3001,MATCH(G482,Pubs!$A$2:$A$3001,0)),""))</f>
        <v/>
      </c>
      <c r="L482" s="29" t="str">
        <f aca="false">IF(A482="","",IFERROR(1/(1/INDEX(Numéros!$C$2:$C$3001,MATCH(A482&amp;"|"&amp;B482,Numéros!$F$2:$F$3001,0))),""))</f>
        <v/>
      </c>
      <c r="M482" s="27" t="str">
        <f aca="false">IF(OR(G482="",G482="?"),"",IFERROR(INDEX(Pubs!$D$2:$D$3001,MATCH(G482,Pubs!$A$2:$A$3001,0))&amp;"",""))</f>
        <v/>
      </c>
      <c r="N482" s="27" t="n">
        <f aca="false">N(N481)+IF(AND(A482&lt;&gt;"",OR(Recherche!$C$4="",A482=Recherche!$C$4),OR(Recherche!$C$5="",B482&amp;""=Recherche!$C$5&amp;""),OR(Recherche!$C$6="",IFERROR(YEAR(L482),0)=Recherche!$C$6),OR(Recherche!$C$7="",ISNUMBER(SEARCH(Recherche!$C$7,H482))),OR(Recherche!$C$8="",J482=Recherche!$C$8),OR(Recherche!$C$9="",I482=Recherche!$C$9),OR(Recherche!$C$10="",G482&amp;""=Recherche!$C$10&amp;""),OR(Recherche!$C$11="",E482=Recherche!$C$11),OR(Recherche!$C$12="",ISNUMBER(SEARCH(Recherche!$C$12,M482&amp;" "&amp;F482)))),1,0)</f>
        <v>8</v>
      </c>
    </row>
    <row r="483" customFormat="false" ht="15" hidden="false" customHeight="false" outlineLevel="0" collapsed="false">
      <c r="A483" s="19"/>
      <c r="B483" s="19"/>
      <c r="C483" s="19"/>
      <c r="D483" s="19"/>
      <c r="E483" s="22"/>
      <c r="F483" s="19"/>
      <c r="G483" s="26" t="str">
        <f aca="false">IF(D483="","",IFERROR(VALUE(LEFT(D483,FIND(" |",D483&amp;" |")-1)),"?"))</f>
        <v/>
      </c>
      <c r="H483" s="27" t="str">
        <f aca="false">IF(G483="","",IF(G483="?","⚠ pub inconnue",IFERROR(INDEX(Pubs!$B$2:$B$3001,MATCH(G483,Pubs!$A$2:$A$3001,0))&amp;"","⚠ pub inconnue")))</f>
        <v/>
      </c>
      <c r="I483" s="27" t="str">
        <f aca="false">IF(OR(G483="",G483="?"),"",IFERROR(INDEX(Pubs!$C$2:$C$3001,MATCH(G483,Pubs!$A$2:$A$3001,0))&amp;"",""))</f>
        <v/>
      </c>
      <c r="J483" s="27" t="str">
        <f aca="false">IF(OR(G483="",G483="?"),"",IFERROR(INDEX(Pubs!$G$2:$G$3001,MATCH(G483,Pubs!$A$2:$A$3001,0))&amp;"",""))</f>
        <v/>
      </c>
      <c r="K483" s="28" t="str">
        <f aca="false">IF(OR(G483="",G483="?"),"",IFERROR(INDEX(Pubs!$E$2:$E$3001,MATCH(G483,Pubs!$A$2:$A$3001,0)),""))</f>
        <v/>
      </c>
      <c r="L483" s="29" t="str">
        <f aca="false">IF(A483="","",IFERROR(1/(1/INDEX(Numéros!$C$2:$C$3001,MATCH(A483&amp;"|"&amp;B483,Numéros!$F$2:$F$3001,0))),""))</f>
        <v/>
      </c>
      <c r="M483" s="27" t="str">
        <f aca="false">IF(OR(G483="",G483="?"),"",IFERROR(INDEX(Pubs!$D$2:$D$3001,MATCH(G483,Pubs!$A$2:$A$3001,0))&amp;"",""))</f>
        <v/>
      </c>
      <c r="N483" s="27" t="n">
        <f aca="false">N(N482)+IF(AND(A483&lt;&gt;"",OR(Recherche!$C$4="",A483=Recherche!$C$4),OR(Recherche!$C$5="",B483&amp;""=Recherche!$C$5&amp;""),OR(Recherche!$C$6="",IFERROR(YEAR(L483),0)=Recherche!$C$6),OR(Recherche!$C$7="",ISNUMBER(SEARCH(Recherche!$C$7,H483))),OR(Recherche!$C$8="",J483=Recherche!$C$8),OR(Recherche!$C$9="",I483=Recherche!$C$9),OR(Recherche!$C$10="",G483&amp;""=Recherche!$C$10&amp;""),OR(Recherche!$C$11="",E483=Recherche!$C$11),OR(Recherche!$C$12="",ISNUMBER(SEARCH(Recherche!$C$12,M483&amp;" "&amp;F483)))),1,0)</f>
        <v>8</v>
      </c>
    </row>
    <row r="484" customFormat="false" ht="15" hidden="false" customHeight="false" outlineLevel="0" collapsed="false">
      <c r="A484" s="19"/>
      <c r="B484" s="19"/>
      <c r="C484" s="19"/>
      <c r="D484" s="19"/>
      <c r="E484" s="22"/>
      <c r="F484" s="19"/>
      <c r="G484" s="26" t="str">
        <f aca="false">IF(D484="","",IFERROR(VALUE(LEFT(D484,FIND(" |",D484&amp;" |")-1)),"?"))</f>
        <v/>
      </c>
      <c r="H484" s="27" t="str">
        <f aca="false">IF(G484="","",IF(G484="?","⚠ pub inconnue",IFERROR(INDEX(Pubs!$B$2:$B$3001,MATCH(G484,Pubs!$A$2:$A$3001,0))&amp;"","⚠ pub inconnue")))</f>
        <v/>
      </c>
      <c r="I484" s="27" t="str">
        <f aca="false">IF(OR(G484="",G484="?"),"",IFERROR(INDEX(Pubs!$C$2:$C$3001,MATCH(G484,Pubs!$A$2:$A$3001,0))&amp;"",""))</f>
        <v/>
      </c>
      <c r="J484" s="27" t="str">
        <f aca="false">IF(OR(G484="",G484="?"),"",IFERROR(INDEX(Pubs!$G$2:$G$3001,MATCH(G484,Pubs!$A$2:$A$3001,0))&amp;"",""))</f>
        <v/>
      </c>
      <c r="K484" s="28" t="str">
        <f aca="false">IF(OR(G484="",G484="?"),"",IFERROR(INDEX(Pubs!$E$2:$E$3001,MATCH(G484,Pubs!$A$2:$A$3001,0)),""))</f>
        <v/>
      </c>
      <c r="L484" s="29" t="str">
        <f aca="false">IF(A484="","",IFERROR(1/(1/INDEX(Numéros!$C$2:$C$3001,MATCH(A484&amp;"|"&amp;B484,Numéros!$F$2:$F$3001,0))),""))</f>
        <v/>
      </c>
      <c r="M484" s="27" t="str">
        <f aca="false">IF(OR(G484="",G484="?"),"",IFERROR(INDEX(Pubs!$D$2:$D$3001,MATCH(G484,Pubs!$A$2:$A$3001,0))&amp;"",""))</f>
        <v/>
      </c>
      <c r="N484" s="27" t="n">
        <f aca="false">N(N483)+IF(AND(A484&lt;&gt;"",OR(Recherche!$C$4="",A484=Recherche!$C$4),OR(Recherche!$C$5="",B484&amp;""=Recherche!$C$5&amp;""),OR(Recherche!$C$6="",IFERROR(YEAR(L484),0)=Recherche!$C$6),OR(Recherche!$C$7="",ISNUMBER(SEARCH(Recherche!$C$7,H484))),OR(Recherche!$C$8="",J484=Recherche!$C$8),OR(Recherche!$C$9="",I484=Recherche!$C$9),OR(Recherche!$C$10="",G484&amp;""=Recherche!$C$10&amp;""),OR(Recherche!$C$11="",E484=Recherche!$C$11),OR(Recherche!$C$12="",ISNUMBER(SEARCH(Recherche!$C$12,M484&amp;" "&amp;F484)))),1,0)</f>
        <v>8</v>
      </c>
    </row>
    <row r="485" customFormat="false" ht="15" hidden="false" customHeight="false" outlineLevel="0" collapsed="false">
      <c r="A485" s="19"/>
      <c r="B485" s="19"/>
      <c r="C485" s="19"/>
      <c r="D485" s="19"/>
      <c r="E485" s="22"/>
      <c r="F485" s="19"/>
      <c r="G485" s="26" t="str">
        <f aca="false">IF(D485="","",IFERROR(VALUE(LEFT(D485,FIND(" |",D485&amp;" |")-1)),"?"))</f>
        <v/>
      </c>
      <c r="H485" s="27" t="str">
        <f aca="false">IF(G485="","",IF(G485="?","⚠ pub inconnue",IFERROR(INDEX(Pubs!$B$2:$B$3001,MATCH(G485,Pubs!$A$2:$A$3001,0))&amp;"","⚠ pub inconnue")))</f>
        <v/>
      </c>
      <c r="I485" s="27" t="str">
        <f aca="false">IF(OR(G485="",G485="?"),"",IFERROR(INDEX(Pubs!$C$2:$C$3001,MATCH(G485,Pubs!$A$2:$A$3001,0))&amp;"",""))</f>
        <v/>
      </c>
      <c r="J485" s="27" t="str">
        <f aca="false">IF(OR(G485="",G485="?"),"",IFERROR(INDEX(Pubs!$G$2:$G$3001,MATCH(G485,Pubs!$A$2:$A$3001,0))&amp;"",""))</f>
        <v/>
      </c>
      <c r="K485" s="28" t="str">
        <f aca="false">IF(OR(G485="",G485="?"),"",IFERROR(INDEX(Pubs!$E$2:$E$3001,MATCH(G485,Pubs!$A$2:$A$3001,0)),""))</f>
        <v/>
      </c>
      <c r="L485" s="29" t="str">
        <f aca="false">IF(A485="","",IFERROR(1/(1/INDEX(Numéros!$C$2:$C$3001,MATCH(A485&amp;"|"&amp;B485,Numéros!$F$2:$F$3001,0))),""))</f>
        <v/>
      </c>
      <c r="M485" s="27" t="str">
        <f aca="false">IF(OR(G485="",G485="?"),"",IFERROR(INDEX(Pubs!$D$2:$D$3001,MATCH(G485,Pubs!$A$2:$A$3001,0))&amp;"",""))</f>
        <v/>
      </c>
      <c r="N485" s="27" t="n">
        <f aca="false">N(N484)+IF(AND(A485&lt;&gt;"",OR(Recherche!$C$4="",A485=Recherche!$C$4),OR(Recherche!$C$5="",B485&amp;""=Recherche!$C$5&amp;""),OR(Recherche!$C$6="",IFERROR(YEAR(L485),0)=Recherche!$C$6),OR(Recherche!$C$7="",ISNUMBER(SEARCH(Recherche!$C$7,H485))),OR(Recherche!$C$8="",J485=Recherche!$C$8),OR(Recherche!$C$9="",I485=Recherche!$C$9),OR(Recherche!$C$10="",G485&amp;""=Recherche!$C$10&amp;""),OR(Recherche!$C$11="",E485=Recherche!$C$11),OR(Recherche!$C$12="",ISNUMBER(SEARCH(Recherche!$C$12,M485&amp;" "&amp;F485)))),1,0)</f>
        <v>8</v>
      </c>
    </row>
    <row r="486" customFormat="false" ht="15" hidden="false" customHeight="false" outlineLevel="0" collapsed="false">
      <c r="A486" s="19"/>
      <c r="B486" s="19"/>
      <c r="C486" s="19"/>
      <c r="D486" s="19"/>
      <c r="E486" s="22"/>
      <c r="F486" s="19"/>
      <c r="G486" s="26" t="str">
        <f aca="false">IF(D486="","",IFERROR(VALUE(LEFT(D486,FIND(" |",D486&amp;" |")-1)),"?"))</f>
        <v/>
      </c>
      <c r="H486" s="27" t="str">
        <f aca="false">IF(G486="","",IF(G486="?","⚠ pub inconnue",IFERROR(INDEX(Pubs!$B$2:$B$3001,MATCH(G486,Pubs!$A$2:$A$3001,0))&amp;"","⚠ pub inconnue")))</f>
        <v/>
      </c>
      <c r="I486" s="27" t="str">
        <f aca="false">IF(OR(G486="",G486="?"),"",IFERROR(INDEX(Pubs!$C$2:$C$3001,MATCH(G486,Pubs!$A$2:$A$3001,0))&amp;"",""))</f>
        <v/>
      </c>
      <c r="J486" s="27" t="str">
        <f aca="false">IF(OR(G486="",G486="?"),"",IFERROR(INDEX(Pubs!$G$2:$G$3001,MATCH(G486,Pubs!$A$2:$A$3001,0))&amp;"",""))</f>
        <v/>
      </c>
      <c r="K486" s="28" t="str">
        <f aca="false">IF(OR(G486="",G486="?"),"",IFERROR(INDEX(Pubs!$E$2:$E$3001,MATCH(G486,Pubs!$A$2:$A$3001,0)),""))</f>
        <v/>
      </c>
      <c r="L486" s="29" t="str">
        <f aca="false">IF(A486="","",IFERROR(1/(1/INDEX(Numéros!$C$2:$C$3001,MATCH(A486&amp;"|"&amp;B486,Numéros!$F$2:$F$3001,0))),""))</f>
        <v/>
      </c>
      <c r="M486" s="27" t="str">
        <f aca="false">IF(OR(G486="",G486="?"),"",IFERROR(INDEX(Pubs!$D$2:$D$3001,MATCH(G486,Pubs!$A$2:$A$3001,0))&amp;"",""))</f>
        <v/>
      </c>
      <c r="N486" s="27" t="n">
        <f aca="false">N(N485)+IF(AND(A486&lt;&gt;"",OR(Recherche!$C$4="",A486=Recherche!$C$4),OR(Recherche!$C$5="",B486&amp;""=Recherche!$C$5&amp;""),OR(Recherche!$C$6="",IFERROR(YEAR(L486),0)=Recherche!$C$6),OR(Recherche!$C$7="",ISNUMBER(SEARCH(Recherche!$C$7,H486))),OR(Recherche!$C$8="",J486=Recherche!$C$8),OR(Recherche!$C$9="",I486=Recherche!$C$9),OR(Recherche!$C$10="",G486&amp;""=Recherche!$C$10&amp;""),OR(Recherche!$C$11="",E486=Recherche!$C$11),OR(Recherche!$C$12="",ISNUMBER(SEARCH(Recherche!$C$12,M486&amp;" "&amp;F486)))),1,0)</f>
        <v>8</v>
      </c>
    </row>
    <row r="487" customFormat="false" ht="15" hidden="false" customHeight="false" outlineLevel="0" collapsed="false">
      <c r="A487" s="19"/>
      <c r="B487" s="19"/>
      <c r="C487" s="19"/>
      <c r="D487" s="19"/>
      <c r="E487" s="22"/>
      <c r="F487" s="19"/>
      <c r="G487" s="26" t="str">
        <f aca="false">IF(D487="","",IFERROR(VALUE(LEFT(D487,FIND(" |",D487&amp;" |")-1)),"?"))</f>
        <v/>
      </c>
      <c r="H487" s="27" t="str">
        <f aca="false">IF(G487="","",IF(G487="?","⚠ pub inconnue",IFERROR(INDEX(Pubs!$B$2:$B$3001,MATCH(G487,Pubs!$A$2:$A$3001,0))&amp;"","⚠ pub inconnue")))</f>
        <v/>
      </c>
      <c r="I487" s="27" t="str">
        <f aca="false">IF(OR(G487="",G487="?"),"",IFERROR(INDEX(Pubs!$C$2:$C$3001,MATCH(G487,Pubs!$A$2:$A$3001,0))&amp;"",""))</f>
        <v/>
      </c>
      <c r="J487" s="27" t="str">
        <f aca="false">IF(OR(G487="",G487="?"),"",IFERROR(INDEX(Pubs!$G$2:$G$3001,MATCH(G487,Pubs!$A$2:$A$3001,0))&amp;"",""))</f>
        <v/>
      </c>
      <c r="K487" s="28" t="str">
        <f aca="false">IF(OR(G487="",G487="?"),"",IFERROR(INDEX(Pubs!$E$2:$E$3001,MATCH(G487,Pubs!$A$2:$A$3001,0)),""))</f>
        <v/>
      </c>
      <c r="L487" s="29" t="str">
        <f aca="false">IF(A487="","",IFERROR(1/(1/INDEX(Numéros!$C$2:$C$3001,MATCH(A487&amp;"|"&amp;B487,Numéros!$F$2:$F$3001,0))),""))</f>
        <v/>
      </c>
      <c r="M487" s="27" t="str">
        <f aca="false">IF(OR(G487="",G487="?"),"",IFERROR(INDEX(Pubs!$D$2:$D$3001,MATCH(G487,Pubs!$A$2:$A$3001,0))&amp;"",""))</f>
        <v/>
      </c>
      <c r="N487" s="27" t="n">
        <f aca="false">N(N486)+IF(AND(A487&lt;&gt;"",OR(Recherche!$C$4="",A487=Recherche!$C$4),OR(Recherche!$C$5="",B487&amp;""=Recherche!$C$5&amp;""),OR(Recherche!$C$6="",IFERROR(YEAR(L487),0)=Recherche!$C$6),OR(Recherche!$C$7="",ISNUMBER(SEARCH(Recherche!$C$7,H487))),OR(Recherche!$C$8="",J487=Recherche!$C$8),OR(Recherche!$C$9="",I487=Recherche!$C$9),OR(Recherche!$C$10="",G487&amp;""=Recherche!$C$10&amp;""),OR(Recherche!$C$11="",E487=Recherche!$C$11),OR(Recherche!$C$12="",ISNUMBER(SEARCH(Recherche!$C$12,M487&amp;" "&amp;F487)))),1,0)</f>
        <v>8</v>
      </c>
    </row>
    <row r="488" customFormat="false" ht="15" hidden="false" customHeight="false" outlineLevel="0" collapsed="false">
      <c r="A488" s="19"/>
      <c r="B488" s="19"/>
      <c r="C488" s="19"/>
      <c r="D488" s="19"/>
      <c r="E488" s="22"/>
      <c r="F488" s="19"/>
      <c r="G488" s="26" t="str">
        <f aca="false">IF(D488="","",IFERROR(VALUE(LEFT(D488,FIND(" |",D488&amp;" |")-1)),"?"))</f>
        <v/>
      </c>
      <c r="H488" s="27" t="str">
        <f aca="false">IF(G488="","",IF(G488="?","⚠ pub inconnue",IFERROR(INDEX(Pubs!$B$2:$B$3001,MATCH(G488,Pubs!$A$2:$A$3001,0))&amp;"","⚠ pub inconnue")))</f>
        <v/>
      </c>
      <c r="I488" s="27" t="str">
        <f aca="false">IF(OR(G488="",G488="?"),"",IFERROR(INDEX(Pubs!$C$2:$C$3001,MATCH(G488,Pubs!$A$2:$A$3001,0))&amp;"",""))</f>
        <v/>
      </c>
      <c r="J488" s="27" t="str">
        <f aca="false">IF(OR(G488="",G488="?"),"",IFERROR(INDEX(Pubs!$G$2:$G$3001,MATCH(G488,Pubs!$A$2:$A$3001,0))&amp;"",""))</f>
        <v/>
      </c>
      <c r="K488" s="28" t="str">
        <f aca="false">IF(OR(G488="",G488="?"),"",IFERROR(INDEX(Pubs!$E$2:$E$3001,MATCH(G488,Pubs!$A$2:$A$3001,0)),""))</f>
        <v/>
      </c>
      <c r="L488" s="29" t="str">
        <f aca="false">IF(A488="","",IFERROR(1/(1/INDEX(Numéros!$C$2:$C$3001,MATCH(A488&amp;"|"&amp;B488,Numéros!$F$2:$F$3001,0))),""))</f>
        <v/>
      </c>
      <c r="M488" s="27" t="str">
        <f aca="false">IF(OR(G488="",G488="?"),"",IFERROR(INDEX(Pubs!$D$2:$D$3001,MATCH(G488,Pubs!$A$2:$A$3001,0))&amp;"",""))</f>
        <v/>
      </c>
      <c r="N488" s="27" t="n">
        <f aca="false">N(N487)+IF(AND(A488&lt;&gt;"",OR(Recherche!$C$4="",A488=Recherche!$C$4),OR(Recherche!$C$5="",B488&amp;""=Recherche!$C$5&amp;""),OR(Recherche!$C$6="",IFERROR(YEAR(L488),0)=Recherche!$C$6),OR(Recherche!$C$7="",ISNUMBER(SEARCH(Recherche!$C$7,H488))),OR(Recherche!$C$8="",J488=Recherche!$C$8),OR(Recherche!$C$9="",I488=Recherche!$C$9),OR(Recherche!$C$10="",G488&amp;""=Recherche!$C$10&amp;""),OR(Recherche!$C$11="",E488=Recherche!$C$11),OR(Recherche!$C$12="",ISNUMBER(SEARCH(Recherche!$C$12,M488&amp;" "&amp;F488)))),1,0)</f>
        <v>8</v>
      </c>
    </row>
    <row r="489" customFormat="false" ht="15" hidden="false" customHeight="false" outlineLevel="0" collapsed="false">
      <c r="A489" s="19"/>
      <c r="B489" s="19"/>
      <c r="C489" s="19"/>
      <c r="D489" s="19"/>
      <c r="E489" s="22"/>
      <c r="F489" s="19"/>
      <c r="G489" s="26" t="str">
        <f aca="false">IF(D489="","",IFERROR(VALUE(LEFT(D489,FIND(" |",D489&amp;" |")-1)),"?"))</f>
        <v/>
      </c>
      <c r="H489" s="27" t="str">
        <f aca="false">IF(G489="","",IF(G489="?","⚠ pub inconnue",IFERROR(INDEX(Pubs!$B$2:$B$3001,MATCH(G489,Pubs!$A$2:$A$3001,0))&amp;"","⚠ pub inconnue")))</f>
        <v/>
      </c>
      <c r="I489" s="27" t="str">
        <f aca="false">IF(OR(G489="",G489="?"),"",IFERROR(INDEX(Pubs!$C$2:$C$3001,MATCH(G489,Pubs!$A$2:$A$3001,0))&amp;"",""))</f>
        <v/>
      </c>
      <c r="J489" s="27" t="str">
        <f aca="false">IF(OR(G489="",G489="?"),"",IFERROR(INDEX(Pubs!$G$2:$G$3001,MATCH(G489,Pubs!$A$2:$A$3001,0))&amp;"",""))</f>
        <v/>
      </c>
      <c r="K489" s="28" t="str">
        <f aca="false">IF(OR(G489="",G489="?"),"",IFERROR(INDEX(Pubs!$E$2:$E$3001,MATCH(G489,Pubs!$A$2:$A$3001,0)),""))</f>
        <v/>
      </c>
      <c r="L489" s="29" t="str">
        <f aca="false">IF(A489="","",IFERROR(1/(1/INDEX(Numéros!$C$2:$C$3001,MATCH(A489&amp;"|"&amp;B489,Numéros!$F$2:$F$3001,0))),""))</f>
        <v/>
      </c>
      <c r="M489" s="27" t="str">
        <f aca="false">IF(OR(G489="",G489="?"),"",IFERROR(INDEX(Pubs!$D$2:$D$3001,MATCH(G489,Pubs!$A$2:$A$3001,0))&amp;"",""))</f>
        <v/>
      </c>
      <c r="N489" s="27" t="n">
        <f aca="false">N(N488)+IF(AND(A489&lt;&gt;"",OR(Recherche!$C$4="",A489=Recherche!$C$4),OR(Recherche!$C$5="",B489&amp;""=Recherche!$C$5&amp;""),OR(Recherche!$C$6="",IFERROR(YEAR(L489),0)=Recherche!$C$6),OR(Recherche!$C$7="",ISNUMBER(SEARCH(Recherche!$C$7,H489))),OR(Recherche!$C$8="",J489=Recherche!$C$8),OR(Recherche!$C$9="",I489=Recherche!$C$9),OR(Recherche!$C$10="",G489&amp;""=Recherche!$C$10&amp;""),OR(Recherche!$C$11="",E489=Recherche!$C$11),OR(Recherche!$C$12="",ISNUMBER(SEARCH(Recherche!$C$12,M489&amp;" "&amp;F489)))),1,0)</f>
        <v>8</v>
      </c>
    </row>
    <row r="490" customFormat="false" ht="15" hidden="false" customHeight="false" outlineLevel="0" collapsed="false">
      <c r="A490" s="19"/>
      <c r="B490" s="19"/>
      <c r="C490" s="19"/>
      <c r="D490" s="19"/>
      <c r="E490" s="22"/>
      <c r="F490" s="19"/>
      <c r="G490" s="26" t="str">
        <f aca="false">IF(D490="","",IFERROR(VALUE(LEFT(D490,FIND(" |",D490&amp;" |")-1)),"?"))</f>
        <v/>
      </c>
      <c r="H490" s="27" t="str">
        <f aca="false">IF(G490="","",IF(G490="?","⚠ pub inconnue",IFERROR(INDEX(Pubs!$B$2:$B$3001,MATCH(G490,Pubs!$A$2:$A$3001,0))&amp;"","⚠ pub inconnue")))</f>
        <v/>
      </c>
      <c r="I490" s="27" t="str">
        <f aca="false">IF(OR(G490="",G490="?"),"",IFERROR(INDEX(Pubs!$C$2:$C$3001,MATCH(G490,Pubs!$A$2:$A$3001,0))&amp;"",""))</f>
        <v/>
      </c>
      <c r="J490" s="27" t="str">
        <f aca="false">IF(OR(G490="",G490="?"),"",IFERROR(INDEX(Pubs!$G$2:$G$3001,MATCH(G490,Pubs!$A$2:$A$3001,0))&amp;"",""))</f>
        <v/>
      </c>
      <c r="K490" s="28" t="str">
        <f aca="false">IF(OR(G490="",G490="?"),"",IFERROR(INDEX(Pubs!$E$2:$E$3001,MATCH(G490,Pubs!$A$2:$A$3001,0)),""))</f>
        <v/>
      </c>
      <c r="L490" s="29" t="str">
        <f aca="false">IF(A490="","",IFERROR(1/(1/INDEX(Numéros!$C$2:$C$3001,MATCH(A490&amp;"|"&amp;B490,Numéros!$F$2:$F$3001,0))),""))</f>
        <v/>
      </c>
      <c r="M490" s="27" t="str">
        <f aca="false">IF(OR(G490="",G490="?"),"",IFERROR(INDEX(Pubs!$D$2:$D$3001,MATCH(G490,Pubs!$A$2:$A$3001,0))&amp;"",""))</f>
        <v/>
      </c>
      <c r="N490" s="27" t="n">
        <f aca="false">N(N489)+IF(AND(A490&lt;&gt;"",OR(Recherche!$C$4="",A490=Recherche!$C$4),OR(Recherche!$C$5="",B490&amp;""=Recherche!$C$5&amp;""),OR(Recherche!$C$6="",IFERROR(YEAR(L490),0)=Recherche!$C$6),OR(Recherche!$C$7="",ISNUMBER(SEARCH(Recherche!$C$7,H490))),OR(Recherche!$C$8="",J490=Recherche!$C$8),OR(Recherche!$C$9="",I490=Recherche!$C$9),OR(Recherche!$C$10="",G490&amp;""=Recherche!$C$10&amp;""),OR(Recherche!$C$11="",E490=Recherche!$C$11),OR(Recherche!$C$12="",ISNUMBER(SEARCH(Recherche!$C$12,M490&amp;" "&amp;F490)))),1,0)</f>
        <v>8</v>
      </c>
    </row>
    <row r="491" customFormat="false" ht="15" hidden="false" customHeight="false" outlineLevel="0" collapsed="false">
      <c r="A491" s="19"/>
      <c r="B491" s="19"/>
      <c r="C491" s="19"/>
      <c r="D491" s="19"/>
      <c r="E491" s="22"/>
      <c r="F491" s="19"/>
      <c r="G491" s="26" t="str">
        <f aca="false">IF(D491="","",IFERROR(VALUE(LEFT(D491,FIND(" |",D491&amp;" |")-1)),"?"))</f>
        <v/>
      </c>
      <c r="H491" s="27" t="str">
        <f aca="false">IF(G491="","",IF(G491="?","⚠ pub inconnue",IFERROR(INDEX(Pubs!$B$2:$B$3001,MATCH(G491,Pubs!$A$2:$A$3001,0))&amp;"","⚠ pub inconnue")))</f>
        <v/>
      </c>
      <c r="I491" s="27" t="str">
        <f aca="false">IF(OR(G491="",G491="?"),"",IFERROR(INDEX(Pubs!$C$2:$C$3001,MATCH(G491,Pubs!$A$2:$A$3001,0))&amp;"",""))</f>
        <v/>
      </c>
      <c r="J491" s="27" t="str">
        <f aca="false">IF(OR(G491="",G491="?"),"",IFERROR(INDEX(Pubs!$G$2:$G$3001,MATCH(G491,Pubs!$A$2:$A$3001,0))&amp;"",""))</f>
        <v/>
      </c>
      <c r="K491" s="28" t="str">
        <f aca="false">IF(OR(G491="",G491="?"),"",IFERROR(INDEX(Pubs!$E$2:$E$3001,MATCH(G491,Pubs!$A$2:$A$3001,0)),""))</f>
        <v/>
      </c>
      <c r="L491" s="29" t="str">
        <f aca="false">IF(A491="","",IFERROR(1/(1/INDEX(Numéros!$C$2:$C$3001,MATCH(A491&amp;"|"&amp;B491,Numéros!$F$2:$F$3001,0))),""))</f>
        <v/>
      </c>
      <c r="M491" s="27" t="str">
        <f aca="false">IF(OR(G491="",G491="?"),"",IFERROR(INDEX(Pubs!$D$2:$D$3001,MATCH(G491,Pubs!$A$2:$A$3001,0))&amp;"",""))</f>
        <v/>
      </c>
      <c r="N491" s="27" t="n">
        <f aca="false">N(N490)+IF(AND(A491&lt;&gt;"",OR(Recherche!$C$4="",A491=Recherche!$C$4),OR(Recherche!$C$5="",B491&amp;""=Recherche!$C$5&amp;""),OR(Recherche!$C$6="",IFERROR(YEAR(L491),0)=Recherche!$C$6),OR(Recherche!$C$7="",ISNUMBER(SEARCH(Recherche!$C$7,H491))),OR(Recherche!$C$8="",J491=Recherche!$C$8),OR(Recherche!$C$9="",I491=Recherche!$C$9),OR(Recherche!$C$10="",G491&amp;""=Recherche!$C$10&amp;""),OR(Recherche!$C$11="",E491=Recherche!$C$11),OR(Recherche!$C$12="",ISNUMBER(SEARCH(Recherche!$C$12,M491&amp;" "&amp;F491)))),1,0)</f>
        <v>8</v>
      </c>
    </row>
    <row r="492" customFormat="false" ht="15" hidden="false" customHeight="false" outlineLevel="0" collapsed="false">
      <c r="A492" s="19"/>
      <c r="B492" s="19"/>
      <c r="C492" s="19"/>
      <c r="D492" s="19"/>
      <c r="E492" s="22"/>
      <c r="F492" s="19"/>
      <c r="G492" s="26" t="str">
        <f aca="false">IF(D492="","",IFERROR(VALUE(LEFT(D492,FIND(" |",D492&amp;" |")-1)),"?"))</f>
        <v/>
      </c>
      <c r="H492" s="27" t="str">
        <f aca="false">IF(G492="","",IF(G492="?","⚠ pub inconnue",IFERROR(INDEX(Pubs!$B$2:$B$3001,MATCH(G492,Pubs!$A$2:$A$3001,0))&amp;"","⚠ pub inconnue")))</f>
        <v/>
      </c>
      <c r="I492" s="27" t="str">
        <f aca="false">IF(OR(G492="",G492="?"),"",IFERROR(INDEX(Pubs!$C$2:$C$3001,MATCH(G492,Pubs!$A$2:$A$3001,0))&amp;"",""))</f>
        <v/>
      </c>
      <c r="J492" s="27" t="str">
        <f aca="false">IF(OR(G492="",G492="?"),"",IFERROR(INDEX(Pubs!$G$2:$G$3001,MATCH(G492,Pubs!$A$2:$A$3001,0))&amp;"",""))</f>
        <v/>
      </c>
      <c r="K492" s="28" t="str">
        <f aca="false">IF(OR(G492="",G492="?"),"",IFERROR(INDEX(Pubs!$E$2:$E$3001,MATCH(G492,Pubs!$A$2:$A$3001,0)),""))</f>
        <v/>
      </c>
      <c r="L492" s="29" t="str">
        <f aca="false">IF(A492="","",IFERROR(1/(1/INDEX(Numéros!$C$2:$C$3001,MATCH(A492&amp;"|"&amp;B492,Numéros!$F$2:$F$3001,0))),""))</f>
        <v/>
      </c>
      <c r="M492" s="27" t="str">
        <f aca="false">IF(OR(G492="",G492="?"),"",IFERROR(INDEX(Pubs!$D$2:$D$3001,MATCH(G492,Pubs!$A$2:$A$3001,0))&amp;"",""))</f>
        <v/>
      </c>
      <c r="N492" s="27" t="n">
        <f aca="false">N(N491)+IF(AND(A492&lt;&gt;"",OR(Recherche!$C$4="",A492=Recherche!$C$4),OR(Recherche!$C$5="",B492&amp;""=Recherche!$C$5&amp;""),OR(Recherche!$C$6="",IFERROR(YEAR(L492),0)=Recherche!$C$6),OR(Recherche!$C$7="",ISNUMBER(SEARCH(Recherche!$C$7,H492))),OR(Recherche!$C$8="",J492=Recherche!$C$8),OR(Recherche!$C$9="",I492=Recherche!$C$9),OR(Recherche!$C$10="",G492&amp;""=Recherche!$C$10&amp;""),OR(Recherche!$C$11="",E492=Recherche!$C$11),OR(Recherche!$C$12="",ISNUMBER(SEARCH(Recherche!$C$12,M492&amp;" "&amp;F492)))),1,0)</f>
        <v>8</v>
      </c>
    </row>
    <row r="493" customFormat="false" ht="15" hidden="false" customHeight="false" outlineLevel="0" collapsed="false">
      <c r="A493" s="19"/>
      <c r="B493" s="19"/>
      <c r="C493" s="19"/>
      <c r="D493" s="19"/>
      <c r="E493" s="22"/>
      <c r="F493" s="19"/>
      <c r="G493" s="26" t="str">
        <f aca="false">IF(D493="","",IFERROR(VALUE(LEFT(D493,FIND(" |",D493&amp;" |")-1)),"?"))</f>
        <v/>
      </c>
      <c r="H493" s="27" t="str">
        <f aca="false">IF(G493="","",IF(G493="?","⚠ pub inconnue",IFERROR(INDEX(Pubs!$B$2:$B$3001,MATCH(G493,Pubs!$A$2:$A$3001,0))&amp;"","⚠ pub inconnue")))</f>
        <v/>
      </c>
      <c r="I493" s="27" t="str">
        <f aca="false">IF(OR(G493="",G493="?"),"",IFERROR(INDEX(Pubs!$C$2:$C$3001,MATCH(G493,Pubs!$A$2:$A$3001,0))&amp;"",""))</f>
        <v/>
      </c>
      <c r="J493" s="27" t="str">
        <f aca="false">IF(OR(G493="",G493="?"),"",IFERROR(INDEX(Pubs!$G$2:$G$3001,MATCH(G493,Pubs!$A$2:$A$3001,0))&amp;"",""))</f>
        <v/>
      </c>
      <c r="K493" s="28" t="str">
        <f aca="false">IF(OR(G493="",G493="?"),"",IFERROR(INDEX(Pubs!$E$2:$E$3001,MATCH(G493,Pubs!$A$2:$A$3001,0)),""))</f>
        <v/>
      </c>
      <c r="L493" s="29" t="str">
        <f aca="false">IF(A493="","",IFERROR(1/(1/INDEX(Numéros!$C$2:$C$3001,MATCH(A493&amp;"|"&amp;B493,Numéros!$F$2:$F$3001,0))),""))</f>
        <v/>
      </c>
      <c r="M493" s="27" t="str">
        <f aca="false">IF(OR(G493="",G493="?"),"",IFERROR(INDEX(Pubs!$D$2:$D$3001,MATCH(G493,Pubs!$A$2:$A$3001,0))&amp;"",""))</f>
        <v/>
      </c>
      <c r="N493" s="27" t="n">
        <f aca="false">N(N492)+IF(AND(A493&lt;&gt;"",OR(Recherche!$C$4="",A493=Recherche!$C$4),OR(Recherche!$C$5="",B493&amp;""=Recherche!$C$5&amp;""),OR(Recherche!$C$6="",IFERROR(YEAR(L493),0)=Recherche!$C$6),OR(Recherche!$C$7="",ISNUMBER(SEARCH(Recherche!$C$7,H493))),OR(Recherche!$C$8="",J493=Recherche!$C$8),OR(Recherche!$C$9="",I493=Recherche!$C$9),OR(Recherche!$C$10="",G493&amp;""=Recherche!$C$10&amp;""),OR(Recherche!$C$11="",E493=Recherche!$C$11),OR(Recherche!$C$12="",ISNUMBER(SEARCH(Recherche!$C$12,M493&amp;" "&amp;F493)))),1,0)</f>
        <v>8</v>
      </c>
    </row>
    <row r="494" customFormat="false" ht="15" hidden="false" customHeight="false" outlineLevel="0" collapsed="false">
      <c r="A494" s="19"/>
      <c r="B494" s="19"/>
      <c r="C494" s="19"/>
      <c r="D494" s="19"/>
      <c r="E494" s="22"/>
      <c r="F494" s="19"/>
      <c r="G494" s="26" t="str">
        <f aca="false">IF(D494="","",IFERROR(VALUE(LEFT(D494,FIND(" |",D494&amp;" |")-1)),"?"))</f>
        <v/>
      </c>
      <c r="H494" s="27" t="str">
        <f aca="false">IF(G494="","",IF(G494="?","⚠ pub inconnue",IFERROR(INDEX(Pubs!$B$2:$B$3001,MATCH(G494,Pubs!$A$2:$A$3001,0))&amp;"","⚠ pub inconnue")))</f>
        <v/>
      </c>
      <c r="I494" s="27" t="str">
        <f aca="false">IF(OR(G494="",G494="?"),"",IFERROR(INDEX(Pubs!$C$2:$C$3001,MATCH(G494,Pubs!$A$2:$A$3001,0))&amp;"",""))</f>
        <v/>
      </c>
      <c r="J494" s="27" t="str">
        <f aca="false">IF(OR(G494="",G494="?"),"",IFERROR(INDEX(Pubs!$G$2:$G$3001,MATCH(G494,Pubs!$A$2:$A$3001,0))&amp;"",""))</f>
        <v/>
      </c>
      <c r="K494" s="28" t="str">
        <f aca="false">IF(OR(G494="",G494="?"),"",IFERROR(INDEX(Pubs!$E$2:$E$3001,MATCH(G494,Pubs!$A$2:$A$3001,0)),""))</f>
        <v/>
      </c>
      <c r="L494" s="29" t="str">
        <f aca="false">IF(A494="","",IFERROR(1/(1/INDEX(Numéros!$C$2:$C$3001,MATCH(A494&amp;"|"&amp;B494,Numéros!$F$2:$F$3001,0))),""))</f>
        <v/>
      </c>
      <c r="M494" s="27" t="str">
        <f aca="false">IF(OR(G494="",G494="?"),"",IFERROR(INDEX(Pubs!$D$2:$D$3001,MATCH(G494,Pubs!$A$2:$A$3001,0))&amp;"",""))</f>
        <v/>
      </c>
      <c r="N494" s="27" t="n">
        <f aca="false">N(N493)+IF(AND(A494&lt;&gt;"",OR(Recherche!$C$4="",A494=Recherche!$C$4),OR(Recherche!$C$5="",B494&amp;""=Recherche!$C$5&amp;""),OR(Recherche!$C$6="",IFERROR(YEAR(L494),0)=Recherche!$C$6),OR(Recherche!$C$7="",ISNUMBER(SEARCH(Recherche!$C$7,H494))),OR(Recherche!$C$8="",J494=Recherche!$C$8),OR(Recherche!$C$9="",I494=Recherche!$C$9),OR(Recherche!$C$10="",G494&amp;""=Recherche!$C$10&amp;""),OR(Recherche!$C$11="",E494=Recherche!$C$11),OR(Recherche!$C$12="",ISNUMBER(SEARCH(Recherche!$C$12,M494&amp;" "&amp;F494)))),1,0)</f>
        <v>8</v>
      </c>
    </row>
    <row r="495" customFormat="false" ht="15" hidden="false" customHeight="false" outlineLevel="0" collapsed="false">
      <c r="A495" s="19"/>
      <c r="B495" s="19"/>
      <c r="C495" s="19"/>
      <c r="D495" s="19"/>
      <c r="E495" s="22"/>
      <c r="F495" s="19"/>
      <c r="G495" s="26" t="str">
        <f aca="false">IF(D495="","",IFERROR(VALUE(LEFT(D495,FIND(" |",D495&amp;" |")-1)),"?"))</f>
        <v/>
      </c>
      <c r="H495" s="27" t="str">
        <f aca="false">IF(G495="","",IF(G495="?","⚠ pub inconnue",IFERROR(INDEX(Pubs!$B$2:$B$3001,MATCH(G495,Pubs!$A$2:$A$3001,0))&amp;"","⚠ pub inconnue")))</f>
        <v/>
      </c>
      <c r="I495" s="27" t="str">
        <f aca="false">IF(OR(G495="",G495="?"),"",IFERROR(INDEX(Pubs!$C$2:$C$3001,MATCH(G495,Pubs!$A$2:$A$3001,0))&amp;"",""))</f>
        <v/>
      </c>
      <c r="J495" s="27" t="str">
        <f aca="false">IF(OR(G495="",G495="?"),"",IFERROR(INDEX(Pubs!$G$2:$G$3001,MATCH(G495,Pubs!$A$2:$A$3001,0))&amp;"",""))</f>
        <v/>
      </c>
      <c r="K495" s="28" t="str">
        <f aca="false">IF(OR(G495="",G495="?"),"",IFERROR(INDEX(Pubs!$E$2:$E$3001,MATCH(G495,Pubs!$A$2:$A$3001,0)),""))</f>
        <v/>
      </c>
      <c r="L495" s="29" t="str">
        <f aca="false">IF(A495="","",IFERROR(1/(1/INDEX(Numéros!$C$2:$C$3001,MATCH(A495&amp;"|"&amp;B495,Numéros!$F$2:$F$3001,0))),""))</f>
        <v/>
      </c>
      <c r="M495" s="27" t="str">
        <f aca="false">IF(OR(G495="",G495="?"),"",IFERROR(INDEX(Pubs!$D$2:$D$3001,MATCH(G495,Pubs!$A$2:$A$3001,0))&amp;"",""))</f>
        <v/>
      </c>
      <c r="N495" s="27" t="n">
        <f aca="false">N(N494)+IF(AND(A495&lt;&gt;"",OR(Recherche!$C$4="",A495=Recherche!$C$4),OR(Recherche!$C$5="",B495&amp;""=Recherche!$C$5&amp;""),OR(Recherche!$C$6="",IFERROR(YEAR(L495),0)=Recherche!$C$6),OR(Recherche!$C$7="",ISNUMBER(SEARCH(Recherche!$C$7,H495))),OR(Recherche!$C$8="",J495=Recherche!$C$8),OR(Recherche!$C$9="",I495=Recherche!$C$9),OR(Recherche!$C$10="",G495&amp;""=Recherche!$C$10&amp;""),OR(Recherche!$C$11="",E495=Recherche!$C$11),OR(Recherche!$C$12="",ISNUMBER(SEARCH(Recherche!$C$12,M495&amp;" "&amp;F495)))),1,0)</f>
        <v>8</v>
      </c>
    </row>
    <row r="496" customFormat="false" ht="15" hidden="false" customHeight="false" outlineLevel="0" collapsed="false">
      <c r="A496" s="19"/>
      <c r="B496" s="19"/>
      <c r="C496" s="19"/>
      <c r="D496" s="19"/>
      <c r="E496" s="22"/>
      <c r="F496" s="19"/>
      <c r="G496" s="26" t="str">
        <f aca="false">IF(D496="","",IFERROR(VALUE(LEFT(D496,FIND(" |",D496&amp;" |")-1)),"?"))</f>
        <v/>
      </c>
      <c r="H496" s="27" t="str">
        <f aca="false">IF(G496="","",IF(G496="?","⚠ pub inconnue",IFERROR(INDEX(Pubs!$B$2:$B$3001,MATCH(G496,Pubs!$A$2:$A$3001,0))&amp;"","⚠ pub inconnue")))</f>
        <v/>
      </c>
      <c r="I496" s="27" t="str">
        <f aca="false">IF(OR(G496="",G496="?"),"",IFERROR(INDEX(Pubs!$C$2:$C$3001,MATCH(G496,Pubs!$A$2:$A$3001,0))&amp;"",""))</f>
        <v/>
      </c>
      <c r="J496" s="27" t="str">
        <f aca="false">IF(OR(G496="",G496="?"),"",IFERROR(INDEX(Pubs!$G$2:$G$3001,MATCH(G496,Pubs!$A$2:$A$3001,0))&amp;"",""))</f>
        <v/>
      </c>
      <c r="K496" s="28" t="str">
        <f aca="false">IF(OR(G496="",G496="?"),"",IFERROR(INDEX(Pubs!$E$2:$E$3001,MATCH(G496,Pubs!$A$2:$A$3001,0)),""))</f>
        <v/>
      </c>
      <c r="L496" s="29" t="str">
        <f aca="false">IF(A496="","",IFERROR(1/(1/INDEX(Numéros!$C$2:$C$3001,MATCH(A496&amp;"|"&amp;B496,Numéros!$F$2:$F$3001,0))),""))</f>
        <v/>
      </c>
      <c r="M496" s="27" t="str">
        <f aca="false">IF(OR(G496="",G496="?"),"",IFERROR(INDEX(Pubs!$D$2:$D$3001,MATCH(G496,Pubs!$A$2:$A$3001,0))&amp;"",""))</f>
        <v/>
      </c>
      <c r="N496" s="27" t="n">
        <f aca="false">N(N495)+IF(AND(A496&lt;&gt;"",OR(Recherche!$C$4="",A496=Recherche!$C$4),OR(Recherche!$C$5="",B496&amp;""=Recherche!$C$5&amp;""),OR(Recherche!$C$6="",IFERROR(YEAR(L496),0)=Recherche!$C$6),OR(Recherche!$C$7="",ISNUMBER(SEARCH(Recherche!$C$7,H496))),OR(Recherche!$C$8="",J496=Recherche!$C$8),OR(Recherche!$C$9="",I496=Recherche!$C$9),OR(Recherche!$C$10="",G496&amp;""=Recherche!$C$10&amp;""),OR(Recherche!$C$11="",E496=Recherche!$C$11),OR(Recherche!$C$12="",ISNUMBER(SEARCH(Recherche!$C$12,M496&amp;" "&amp;F496)))),1,0)</f>
        <v>8</v>
      </c>
    </row>
    <row r="497" customFormat="false" ht="15" hidden="false" customHeight="false" outlineLevel="0" collapsed="false">
      <c r="A497" s="19"/>
      <c r="B497" s="19"/>
      <c r="C497" s="19"/>
      <c r="D497" s="19"/>
      <c r="E497" s="22"/>
      <c r="F497" s="19"/>
      <c r="G497" s="26" t="str">
        <f aca="false">IF(D497="","",IFERROR(VALUE(LEFT(D497,FIND(" |",D497&amp;" |")-1)),"?"))</f>
        <v/>
      </c>
      <c r="H497" s="27" t="str">
        <f aca="false">IF(G497="","",IF(G497="?","⚠ pub inconnue",IFERROR(INDEX(Pubs!$B$2:$B$3001,MATCH(G497,Pubs!$A$2:$A$3001,0))&amp;"","⚠ pub inconnue")))</f>
        <v/>
      </c>
      <c r="I497" s="27" t="str">
        <f aca="false">IF(OR(G497="",G497="?"),"",IFERROR(INDEX(Pubs!$C$2:$C$3001,MATCH(G497,Pubs!$A$2:$A$3001,0))&amp;"",""))</f>
        <v/>
      </c>
      <c r="J497" s="27" t="str">
        <f aca="false">IF(OR(G497="",G497="?"),"",IFERROR(INDEX(Pubs!$G$2:$G$3001,MATCH(G497,Pubs!$A$2:$A$3001,0))&amp;"",""))</f>
        <v/>
      </c>
      <c r="K497" s="28" t="str">
        <f aca="false">IF(OR(G497="",G497="?"),"",IFERROR(INDEX(Pubs!$E$2:$E$3001,MATCH(G497,Pubs!$A$2:$A$3001,0)),""))</f>
        <v/>
      </c>
      <c r="L497" s="29" t="str">
        <f aca="false">IF(A497="","",IFERROR(1/(1/INDEX(Numéros!$C$2:$C$3001,MATCH(A497&amp;"|"&amp;B497,Numéros!$F$2:$F$3001,0))),""))</f>
        <v/>
      </c>
      <c r="M497" s="27" t="str">
        <f aca="false">IF(OR(G497="",G497="?"),"",IFERROR(INDEX(Pubs!$D$2:$D$3001,MATCH(G497,Pubs!$A$2:$A$3001,0))&amp;"",""))</f>
        <v/>
      </c>
      <c r="N497" s="27" t="n">
        <f aca="false">N(N496)+IF(AND(A497&lt;&gt;"",OR(Recherche!$C$4="",A497=Recherche!$C$4),OR(Recherche!$C$5="",B497&amp;""=Recherche!$C$5&amp;""),OR(Recherche!$C$6="",IFERROR(YEAR(L497),0)=Recherche!$C$6),OR(Recherche!$C$7="",ISNUMBER(SEARCH(Recherche!$C$7,H497))),OR(Recherche!$C$8="",J497=Recherche!$C$8),OR(Recherche!$C$9="",I497=Recherche!$C$9),OR(Recherche!$C$10="",G497&amp;""=Recherche!$C$10&amp;""),OR(Recherche!$C$11="",E497=Recherche!$C$11),OR(Recherche!$C$12="",ISNUMBER(SEARCH(Recherche!$C$12,M497&amp;" "&amp;F497)))),1,0)</f>
        <v>8</v>
      </c>
    </row>
    <row r="498" customFormat="false" ht="15" hidden="false" customHeight="false" outlineLevel="0" collapsed="false">
      <c r="A498" s="19"/>
      <c r="B498" s="19"/>
      <c r="C498" s="19"/>
      <c r="D498" s="19"/>
      <c r="E498" s="22"/>
      <c r="F498" s="19"/>
      <c r="G498" s="26" t="str">
        <f aca="false">IF(D498="","",IFERROR(VALUE(LEFT(D498,FIND(" |",D498&amp;" |")-1)),"?"))</f>
        <v/>
      </c>
      <c r="H498" s="27" t="str">
        <f aca="false">IF(G498="","",IF(G498="?","⚠ pub inconnue",IFERROR(INDEX(Pubs!$B$2:$B$3001,MATCH(G498,Pubs!$A$2:$A$3001,0))&amp;"","⚠ pub inconnue")))</f>
        <v/>
      </c>
      <c r="I498" s="27" t="str">
        <f aca="false">IF(OR(G498="",G498="?"),"",IFERROR(INDEX(Pubs!$C$2:$C$3001,MATCH(G498,Pubs!$A$2:$A$3001,0))&amp;"",""))</f>
        <v/>
      </c>
      <c r="J498" s="27" t="str">
        <f aca="false">IF(OR(G498="",G498="?"),"",IFERROR(INDEX(Pubs!$G$2:$G$3001,MATCH(G498,Pubs!$A$2:$A$3001,0))&amp;"",""))</f>
        <v/>
      </c>
      <c r="K498" s="28" t="str">
        <f aca="false">IF(OR(G498="",G498="?"),"",IFERROR(INDEX(Pubs!$E$2:$E$3001,MATCH(G498,Pubs!$A$2:$A$3001,0)),""))</f>
        <v/>
      </c>
      <c r="L498" s="29" t="str">
        <f aca="false">IF(A498="","",IFERROR(1/(1/INDEX(Numéros!$C$2:$C$3001,MATCH(A498&amp;"|"&amp;B498,Numéros!$F$2:$F$3001,0))),""))</f>
        <v/>
      </c>
      <c r="M498" s="27" t="str">
        <f aca="false">IF(OR(G498="",G498="?"),"",IFERROR(INDEX(Pubs!$D$2:$D$3001,MATCH(G498,Pubs!$A$2:$A$3001,0))&amp;"",""))</f>
        <v/>
      </c>
      <c r="N498" s="27" t="n">
        <f aca="false">N(N497)+IF(AND(A498&lt;&gt;"",OR(Recherche!$C$4="",A498=Recherche!$C$4),OR(Recherche!$C$5="",B498&amp;""=Recherche!$C$5&amp;""),OR(Recherche!$C$6="",IFERROR(YEAR(L498),0)=Recherche!$C$6),OR(Recherche!$C$7="",ISNUMBER(SEARCH(Recherche!$C$7,H498))),OR(Recherche!$C$8="",J498=Recherche!$C$8),OR(Recherche!$C$9="",I498=Recherche!$C$9),OR(Recherche!$C$10="",G498&amp;""=Recherche!$C$10&amp;""),OR(Recherche!$C$11="",E498=Recherche!$C$11),OR(Recherche!$C$12="",ISNUMBER(SEARCH(Recherche!$C$12,M498&amp;" "&amp;F498)))),1,0)</f>
        <v>8</v>
      </c>
    </row>
    <row r="499" customFormat="false" ht="15" hidden="false" customHeight="false" outlineLevel="0" collapsed="false">
      <c r="A499" s="19"/>
      <c r="B499" s="19"/>
      <c r="C499" s="19"/>
      <c r="D499" s="19"/>
      <c r="E499" s="22"/>
      <c r="F499" s="19"/>
      <c r="G499" s="26" t="str">
        <f aca="false">IF(D499="","",IFERROR(VALUE(LEFT(D499,FIND(" |",D499&amp;" |")-1)),"?"))</f>
        <v/>
      </c>
      <c r="H499" s="27" t="str">
        <f aca="false">IF(G499="","",IF(G499="?","⚠ pub inconnue",IFERROR(INDEX(Pubs!$B$2:$B$3001,MATCH(G499,Pubs!$A$2:$A$3001,0))&amp;"","⚠ pub inconnue")))</f>
        <v/>
      </c>
      <c r="I499" s="27" t="str">
        <f aca="false">IF(OR(G499="",G499="?"),"",IFERROR(INDEX(Pubs!$C$2:$C$3001,MATCH(G499,Pubs!$A$2:$A$3001,0))&amp;"",""))</f>
        <v/>
      </c>
      <c r="J499" s="27" t="str">
        <f aca="false">IF(OR(G499="",G499="?"),"",IFERROR(INDEX(Pubs!$G$2:$G$3001,MATCH(G499,Pubs!$A$2:$A$3001,0))&amp;"",""))</f>
        <v/>
      </c>
      <c r="K499" s="28" t="str">
        <f aca="false">IF(OR(G499="",G499="?"),"",IFERROR(INDEX(Pubs!$E$2:$E$3001,MATCH(G499,Pubs!$A$2:$A$3001,0)),""))</f>
        <v/>
      </c>
      <c r="L499" s="29" t="str">
        <f aca="false">IF(A499="","",IFERROR(1/(1/INDEX(Numéros!$C$2:$C$3001,MATCH(A499&amp;"|"&amp;B499,Numéros!$F$2:$F$3001,0))),""))</f>
        <v/>
      </c>
      <c r="M499" s="27" t="str">
        <f aca="false">IF(OR(G499="",G499="?"),"",IFERROR(INDEX(Pubs!$D$2:$D$3001,MATCH(G499,Pubs!$A$2:$A$3001,0))&amp;"",""))</f>
        <v/>
      </c>
      <c r="N499" s="27" t="n">
        <f aca="false">N(N498)+IF(AND(A499&lt;&gt;"",OR(Recherche!$C$4="",A499=Recherche!$C$4),OR(Recherche!$C$5="",B499&amp;""=Recherche!$C$5&amp;""),OR(Recherche!$C$6="",IFERROR(YEAR(L499),0)=Recherche!$C$6),OR(Recherche!$C$7="",ISNUMBER(SEARCH(Recherche!$C$7,H499))),OR(Recherche!$C$8="",J499=Recherche!$C$8),OR(Recherche!$C$9="",I499=Recherche!$C$9),OR(Recherche!$C$10="",G499&amp;""=Recherche!$C$10&amp;""),OR(Recherche!$C$11="",E499=Recherche!$C$11),OR(Recherche!$C$12="",ISNUMBER(SEARCH(Recherche!$C$12,M499&amp;" "&amp;F499)))),1,0)</f>
        <v>8</v>
      </c>
    </row>
    <row r="500" customFormat="false" ht="15" hidden="false" customHeight="false" outlineLevel="0" collapsed="false">
      <c r="A500" s="19"/>
      <c r="B500" s="19"/>
      <c r="C500" s="19"/>
      <c r="D500" s="19"/>
      <c r="E500" s="22"/>
      <c r="F500" s="19"/>
      <c r="G500" s="26" t="str">
        <f aca="false">IF(D500="","",IFERROR(VALUE(LEFT(D500,FIND(" |",D500&amp;" |")-1)),"?"))</f>
        <v/>
      </c>
      <c r="H500" s="27" t="str">
        <f aca="false">IF(G500="","",IF(G500="?","⚠ pub inconnue",IFERROR(INDEX(Pubs!$B$2:$B$3001,MATCH(G500,Pubs!$A$2:$A$3001,0))&amp;"","⚠ pub inconnue")))</f>
        <v/>
      </c>
      <c r="I500" s="27" t="str">
        <f aca="false">IF(OR(G500="",G500="?"),"",IFERROR(INDEX(Pubs!$C$2:$C$3001,MATCH(G500,Pubs!$A$2:$A$3001,0))&amp;"",""))</f>
        <v/>
      </c>
      <c r="J500" s="27" t="str">
        <f aca="false">IF(OR(G500="",G500="?"),"",IFERROR(INDEX(Pubs!$G$2:$G$3001,MATCH(G500,Pubs!$A$2:$A$3001,0))&amp;"",""))</f>
        <v/>
      </c>
      <c r="K500" s="28" t="str">
        <f aca="false">IF(OR(G500="",G500="?"),"",IFERROR(INDEX(Pubs!$E$2:$E$3001,MATCH(G500,Pubs!$A$2:$A$3001,0)),""))</f>
        <v/>
      </c>
      <c r="L500" s="29" t="str">
        <f aca="false">IF(A500="","",IFERROR(1/(1/INDEX(Numéros!$C$2:$C$3001,MATCH(A500&amp;"|"&amp;B500,Numéros!$F$2:$F$3001,0))),""))</f>
        <v/>
      </c>
      <c r="M500" s="27" t="str">
        <f aca="false">IF(OR(G500="",G500="?"),"",IFERROR(INDEX(Pubs!$D$2:$D$3001,MATCH(G500,Pubs!$A$2:$A$3001,0))&amp;"",""))</f>
        <v/>
      </c>
      <c r="N500" s="27" t="n">
        <f aca="false">N(N499)+IF(AND(A500&lt;&gt;"",OR(Recherche!$C$4="",A500=Recherche!$C$4),OR(Recherche!$C$5="",B500&amp;""=Recherche!$C$5&amp;""),OR(Recherche!$C$6="",IFERROR(YEAR(L500),0)=Recherche!$C$6),OR(Recherche!$C$7="",ISNUMBER(SEARCH(Recherche!$C$7,H500))),OR(Recherche!$C$8="",J500=Recherche!$C$8),OR(Recherche!$C$9="",I500=Recherche!$C$9),OR(Recherche!$C$10="",G500&amp;""=Recherche!$C$10&amp;""),OR(Recherche!$C$11="",E500=Recherche!$C$11),OR(Recherche!$C$12="",ISNUMBER(SEARCH(Recherche!$C$12,M500&amp;" "&amp;F500)))),1,0)</f>
        <v>8</v>
      </c>
    </row>
    <row r="501" customFormat="false" ht="15" hidden="false" customHeight="false" outlineLevel="0" collapsed="false">
      <c r="A501" s="19"/>
      <c r="B501" s="19"/>
      <c r="C501" s="19"/>
      <c r="D501" s="19"/>
      <c r="E501" s="22"/>
      <c r="F501" s="19"/>
      <c r="G501" s="26" t="str">
        <f aca="false">IF(D501="","",IFERROR(VALUE(LEFT(D501,FIND(" |",D501&amp;" |")-1)),"?"))</f>
        <v/>
      </c>
      <c r="H501" s="27" t="str">
        <f aca="false">IF(G501="","",IF(G501="?","⚠ pub inconnue",IFERROR(INDEX(Pubs!$B$2:$B$3001,MATCH(G501,Pubs!$A$2:$A$3001,0))&amp;"","⚠ pub inconnue")))</f>
        <v/>
      </c>
      <c r="I501" s="27" t="str">
        <f aca="false">IF(OR(G501="",G501="?"),"",IFERROR(INDEX(Pubs!$C$2:$C$3001,MATCH(G501,Pubs!$A$2:$A$3001,0))&amp;"",""))</f>
        <v/>
      </c>
      <c r="J501" s="27" t="str">
        <f aca="false">IF(OR(G501="",G501="?"),"",IFERROR(INDEX(Pubs!$G$2:$G$3001,MATCH(G501,Pubs!$A$2:$A$3001,0))&amp;"",""))</f>
        <v/>
      </c>
      <c r="K501" s="28" t="str">
        <f aca="false">IF(OR(G501="",G501="?"),"",IFERROR(INDEX(Pubs!$E$2:$E$3001,MATCH(G501,Pubs!$A$2:$A$3001,0)),""))</f>
        <v/>
      </c>
      <c r="L501" s="29" t="str">
        <f aca="false">IF(A501="","",IFERROR(1/(1/INDEX(Numéros!$C$2:$C$3001,MATCH(A501&amp;"|"&amp;B501,Numéros!$F$2:$F$3001,0))),""))</f>
        <v/>
      </c>
      <c r="M501" s="27" t="str">
        <f aca="false">IF(OR(G501="",G501="?"),"",IFERROR(INDEX(Pubs!$D$2:$D$3001,MATCH(G501,Pubs!$A$2:$A$3001,0))&amp;"",""))</f>
        <v/>
      </c>
      <c r="N501" s="27" t="n">
        <f aca="false">N(N500)+IF(AND(A501&lt;&gt;"",OR(Recherche!$C$4="",A501=Recherche!$C$4),OR(Recherche!$C$5="",B501&amp;""=Recherche!$C$5&amp;""),OR(Recherche!$C$6="",IFERROR(YEAR(L501),0)=Recherche!$C$6),OR(Recherche!$C$7="",ISNUMBER(SEARCH(Recherche!$C$7,H501))),OR(Recherche!$C$8="",J501=Recherche!$C$8),OR(Recherche!$C$9="",I501=Recherche!$C$9),OR(Recherche!$C$10="",G501&amp;""=Recherche!$C$10&amp;""),OR(Recherche!$C$11="",E501=Recherche!$C$11),OR(Recherche!$C$12="",ISNUMBER(SEARCH(Recherche!$C$12,M501&amp;" "&amp;F501)))),1,0)</f>
        <v>8</v>
      </c>
    </row>
    <row r="502" customFormat="false" ht="15" hidden="false" customHeight="false" outlineLevel="0" collapsed="false">
      <c r="A502" s="19"/>
      <c r="B502" s="19"/>
      <c r="C502" s="19"/>
      <c r="D502" s="19"/>
      <c r="E502" s="22"/>
      <c r="F502" s="19"/>
      <c r="G502" s="26" t="str">
        <f aca="false">IF(D502="","",IFERROR(VALUE(LEFT(D502,FIND(" |",D502&amp;" |")-1)),"?"))</f>
        <v/>
      </c>
      <c r="H502" s="27" t="str">
        <f aca="false">IF(G502="","",IF(G502="?","⚠ pub inconnue",IFERROR(INDEX(Pubs!$B$2:$B$3001,MATCH(G502,Pubs!$A$2:$A$3001,0))&amp;"","⚠ pub inconnue")))</f>
        <v/>
      </c>
      <c r="I502" s="27" t="str">
        <f aca="false">IF(OR(G502="",G502="?"),"",IFERROR(INDEX(Pubs!$C$2:$C$3001,MATCH(G502,Pubs!$A$2:$A$3001,0))&amp;"",""))</f>
        <v/>
      </c>
      <c r="J502" s="27" t="str">
        <f aca="false">IF(OR(G502="",G502="?"),"",IFERROR(INDEX(Pubs!$G$2:$G$3001,MATCH(G502,Pubs!$A$2:$A$3001,0))&amp;"",""))</f>
        <v/>
      </c>
      <c r="K502" s="28" t="str">
        <f aca="false">IF(OR(G502="",G502="?"),"",IFERROR(INDEX(Pubs!$E$2:$E$3001,MATCH(G502,Pubs!$A$2:$A$3001,0)),""))</f>
        <v/>
      </c>
      <c r="L502" s="29" t="str">
        <f aca="false">IF(A502="","",IFERROR(1/(1/INDEX(Numéros!$C$2:$C$3001,MATCH(A502&amp;"|"&amp;B502,Numéros!$F$2:$F$3001,0))),""))</f>
        <v/>
      </c>
      <c r="M502" s="27" t="str">
        <f aca="false">IF(OR(G502="",G502="?"),"",IFERROR(INDEX(Pubs!$D$2:$D$3001,MATCH(G502,Pubs!$A$2:$A$3001,0))&amp;"",""))</f>
        <v/>
      </c>
      <c r="N502" s="27" t="n">
        <f aca="false">N(N501)+IF(AND(A502&lt;&gt;"",OR(Recherche!$C$4="",A502=Recherche!$C$4),OR(Recherche!$C$5="",B502&amp;""=Recherche!$C$5&amp;""),OR(Recherche!$C$6="",IFERROR(YEAR(L502),0)=Recherche!$C$6),OR(Recherche!$C$7="",ISNUMBER(SEARCH(Recherche!$C$7,H502))),OR(Recherche!$C$8="",J502=Recherche!$C$8),OR(Recherche!$C$9="",I502=Recherche!$C$9),OR(Recherche!$C$10="",G502&amp;""=Recherche!$C$10&amp;""),OR(Recherche!$C$11="",E502=Recherche!$C$11),OR(Recherche!$C$12="",ISNUMBER(SEARCH(Recherche!$C$12,M502&amp;" "&amp;F502)))),1,0)</f>
        <v>8</v>
      </c>
    </row>
    <row r="503" customFormat="false" ht="15" hidden="false" customHeight="false" outlineLevel="0" collapsed="false">
      <c r="A503" s="19"/>
      <c r="B503" s="19"/>
      <c r="C503" s="19"/>
      <c r="D503" s="19"/>
      <c r="E503" s="22"/>
      <c r="F503" s="19"/>
      <c r="G503" s="26" t="str">
        <f aca="false">IF(D503="","",IFERROR(VALUE(LEFT(D503,FIND(" |",D503&amp;" |")-1)),"?"))</f>
        <v/>
      </c>
      <c r="H503" s="27" t="str">
        <f aca="false">IF(G503="","",IF(G503="?","⚠ pub inconnue",IFERROR(INDEX(Pubs!$B$2:$B$3001,MATCH(G503,Pubs!$A$2:$A$3001,0))&amp;"","⚠ pub inconnue")))</f>
        <v/>
      </c>
      <c r="I503" s="27" t="str">
        <f aca="false">IF(OR(G503="",G503="?"),"",IFERROR(INDEX(Pubs!$C$2:$C$3001,MATCH(G503,Pubs!$A$2:$A$3001,0))&amp;"",""))</f>
        <v/>
      </c>
      <c r="J503" s="27" t="str">
        <f aca="false">IF(OR(G503="",G503="?"),"",IFERROR(INDEX(Pubs!$G$2:$G$3001,MATCH(G503,Pubs!$A$2:$A$3001,0))&amp;"",""))</f>
        <v/>
      </c>
      <c r="K503" s="28" t="str">
        <f aca="false">IF(OR(G503="",G503="?"),"",IFERROR(INDEX(Pubs!$E$2:$E$3001,MATCH(G503,Pubs!$A$2:$A$3001,0)),""))</f>
        <v/>
      </c>
      <c r="L503" s="29" t="str">
        <f aca="false">IF(A503="","",IFERROR(1/(1/INDEX(Numéros!$C$2:$C$3001,MATCH(A503&amp;"|"&amp;B503,Numéros!$F$2:$F$3001,0))),""))</f>
        <v/>
      </c>
      <c r="M503" s="27" t="str">
        <f aca="false">IF(OR(G503="",G503="?"),"",IFERROR(INDEX(Pubs!$D$2:$D$3001,MATCH(G503,Pubs!$A$2:$A$3001,0))&amp;"",""))</f>
        <v/>
      </c>
      <c r="N503" s="27" t="n">
        <f aca="false">N(N502)+IF(AND(A503&lt;&gt;"",OR(Recherche!$C$4="",A503=Recherche!$C$4),OR(Recherche!$C$5="",B503&amp;""=Recherche!$C$5&amp;""),OR(Recherche!$C$6="",IFERROR(YEAR(L503),0)=Recherche!$C$6),OR(Recherche!$C$7="",ISNUMBER(SEARCH(Recherche!$C$7,H503))),OR(Recherche!$C$8="",J503=Recherche!$C$8),OR(Recherche!$C$9="",I503=Recherche!$C$9),OR(Recherche!$C$10="",G503&amp;""=Recherche!$C$10&amp;""),OR(Recherche!$C$11="",E503=Recherche!$C$11),OR(Recherche!$C$12="",ISNUMBER(SEARCH(Recherche!$C$12,M503&amp;" "&amp;F503)))),1,0)</f>
        <v>8</v>
      </c>
    </row>
    <row r="504" customFormat="false" ht="15" hidden="false" customHeight="false" outlineLevel="0" collapsed="false">
      <c r="A504" s="19"/>
      <c r="B504" s="19"/>
      <c r="C504" s="19"/>
      <c r="D504" s="19"/>
      <c r="E504" s="22"/>
      <c r="F504" s="19"/>
      <c r="G504" s="26" t="str">
        <f aca="false">IF(D504="","",IFERROR(VALUE(LEFT(D504,FIND(" |",D504&amp;" |")-1)),"?"))</f>
        <v/>
      </c>
      <c r="H504" s="27" t="str">
        <f aca="false">IF(G504="","",IF(G504="?","⚠ pub inconnue",IFERROR(INDEX(Pubs!$B$2:$B$3001,MATCH(G504,Pubs!$A$2:$A$3001,0))&amp;"","⚠ pub inconnue")))</f>
        <v/>
      </c>
      <c r="I504" s="27" t="str">
        <f aca="false">IF(OR(G504="",G504="?"),"",IFERROR(INDEX(Pubs!$C$2:$C$3001,MATCH(G504,Pubs!$A$2:$A$3001,0))&amp;"",""))</f>
        <v/>
      </c>
      <c r="J504" s="27" t="str">
        <f aca="false">IF(OR(G504="",G504="?"),"",IFERROR(INDEX(Pubs!$G$2:$G$3001,MATCH(G504,Pubs!$A$2:$A$3001,0))&amp;"",""))</f>
        <v/>
      </c>
      <c r="K504" s="28" t="str">
        <f aca="false">IF(OR(G504="",G504="?"),"",IFERROR(INDEX(Pubs!$E$2:$E$3001,MATCH(G504,Pubs!$A$2:$A$3001,0)),""))</f>
        <v/>
      </c>
      <c r="L504" s="29" t="str">
        <f aca="false">IF(A504="","",IFERROR(1/(1/INDEX(Numéros!$C$2:$C$3001,MATCH(A504&amp;"|"&amp;B504,Numéros!$F$2:$F$3001,0))),""))</f>
        <v/>
      </c>
      <c r="M504" s="27" t="str">
        <f aca="false">IF(OR(G504="",G504="?"),"",IFERROR(INDEX(Pubs!$D$2:$D$3001,MATCH(G504,Pubs!$A$2:$A$3001,0))&amp;"",""))</f>
        <v/>
      </c>
      <c r="N504" s="27" t="n">
        <f aca="false">N(N503)+IF(AND(A504&lt;&gt;"",OR(Recherche!$C$4="",A504=Recherche!$C$4),OR(Recherche!$C$5="",B504&amp;""=Recherche!$C$5&amp;""),OR(Recherche!$C$6="",IFERROR(YEAR(L504),0)=Recherche!$C$6),OR(Recherche!$C$7="",ISNUMBER(SEARCH(Recherche!$C$7,H504))),OR(Recherche!$C$8="",J504=Recherche!$C$8),OR(Recherche!$C$9="",I504=Recherche!$C$9),OR(Recherche!$C$10="",G504&amp;""=Recherche!$C$10&amp;""),OR(Recherche!$C$11="",E504=Recherche!$C$11),OR(Recherche!$C$12="",ISNUMBER(SEARCH(Recherche!$C$12,M504&amp;" "&amp;F504)))),1,0)</f>
        <v>8</v>
      </c>
    </row>
    <row r="505" customFormat="false" ht="15" hidden="false" customHeight="false" outlineLevel="0" collapsed="false">
      <c r="A505" s="19"/>
      <c r="B505" s="19"/>
      <c r="C505" s="19"/>
      <c r="D505" s="19"/>
      <c r="E505" s="22"/>
      <c r="F505" s="19"/>
      <c r="G505" s="26" t="str">
        <f aca="false">IF(D505="","",IFERROR(VALUE(LEFT(D505,FIND(" |",D505&amp;" |")-1)),"?"))</f>
        <v/>
      </c>
      <c r="H505" s="27" t="str">
        <f aca="false">IF(G505="","",IF(G505="?","⚠ pub inconnue",IFERROR(INDEX(Pubs!$B$2:$B$3001,MATCH(G505,Pubs!$A$2:$A$3001,0))&amp;"","⚠ pub inconnue")))</f>
        <v/>
      </c>
      <c r="I505" s="27" t="str">
        <f aca="false">IF(OR(G505="",G505="?"),"",IFERROR(INDEX(Pubs!$C$2:$C$3001,MATCH(G505,Pubs!$A$2:$A$3001,0))&amp;"",""))</f>
        <v/>
      </c>
      <c r="J505" s="27" t="str">
        <f aca="false">IF(OR(G505="",G505="?"),"",IFERROR(INDEX(Pubs!$G$2:$G$3001,MATCH(G505,Pubs!$A$2:$A$3001,0))&amp;"",""))</f>
        <v/>
      </c>
      <c r="K505" s="28" t="str">
        <f aca="false">IF(OR(G505="",G505="?"),"",IFERROR(INDEX(Pubs!$E$2:$E$3001,MATCH(G505,Pubs!$A$2:$A$3001,0)),""))</f>
        <v/>
      </c>
      <c r="L505" s="29" t="str">
        <f aca="false">IF(A505="","",IFERROR(1/(1/INDEX(Numéros!$C$2:$C$3001,MATCH(A505&amp;"|"&amp;B505,Numéros!$F$2:$F$3001,0))),""))</f>
        <v/>
      </c>
      <c r="M505" s="27" t="str">
        <f aca="false">IF(OR(G505="",G505="?"),"",IFERROR(INDEX(Pubs!$D$2:$D$3001,MATCH(G505,Pubs!$A$2:$A$3001,0))&amp;"",""))</f>
        <v/>
      </c>
      <c r="N505" s="27" t="n">
        <f aca="false">N(N504)+IF(AND(A505&lt;&gt;"",OR(Recherche!$C$4="",A505=Recherche!$C$4),OR(Recherche!$C$5="",B505&amp;""=Recherche!$C$5&amp;""),OR(Recherche!$C$6="",IFERROR(YEAR(L505),0)=Recherche!$C$6),OR(Recherche!$C$7="",ISNUMBER(SEARCH(Recherche!$C$7,H505))),OR(Recherche!$C$8="",J505=Recherche!$C$8),OR(Recherche!$C$9="",I505=Recherche!$C$9),OR(Recherche!$C$10="",G505&amp;""=Recherche!$C$10&amp;""),OR(Recherche!$C$11="",E505=Recherche!$C$11),OR(Recherche!$C$12="",ISNUMBER(SEARCH(Recherche!$C$12,M505&amp;" "&amp;F505)))),1,0)</f>
        <v>8</v>
      </c>
    </row>
    <row r="506" customFormat="false" ht="15" hidden="false" customHeight="false" outlineLevel="0" collapsed="false">
      <c r="A506" s="19"/>
      <c r="B506" s="19"/>
      <c r="C506" s="19"/>
      <c r="D506" s="19"/>
      <c r="E506" s="22"/>
      <c r="F506" s="19"/>
      <c r="G506" s="26" t="str">
        <f aca="false">IF(D506="","",IFERROR(VALUE(LEFT(D506,FIND(" |",D506&amp;" |")-1)),"?"))</f>
        <v/>
      </c>
      <c r="H506" s="27" t="str">
        <f aca="false">IF(G506="","",IF(G506="?","⚠ pub inconnue",IFERROR(INDEX(Pubs!$B$2:$B$3001,MATCH(G506,Pubs!$A$2:$A$3001,0))&amp;"","⚠ pub inconnue")))</f>
        <v/>
      </c>
      <c r="I506" s="27" t="str">
        <f aca="false">IF(OR(G506="",G506="?"),"",IFERROR(INDEX(Pubs!$C$2:$C$3001,MATCH(G506,Pubs!$A$2:$A$3001,0))&amp;"",""))</f>
        <v/>
      </c>
      <c r="J506" s="27" t="str">
        <f aca="false">IF(OR(G506="",G506="?"),"",IFERROR(INDEX(Pubs!$G$2:$G$3001,MATCH(G506,Pubs!$A$2:$A$3001,0))&amp;"",""))</f>
        <v/>
      </c>
      <c r="K506" s="28" t="str">
        <f aca="false">IF(OR(G506="",G506="?"),"",IFERROR(INDEX(Pubs!$E$2:$E$3001,MATCH(G506,Pubs!$A$2:$A$3001,0)),""))</f>
        <v/>
      </c>
      <c r="L506" s="29" t="str">
        <f aca="false">IF(A506="","",IFERROR(1/(1/INDEX(Numéros!$C$2:$C$3001,MATCH(A506&amp;"|"&amp;B506,Numéros!$F$2:$F$3001,0))),""))</f>
        <v/>
      </c>
      <c r="M506" s="27" t="str">
        <f aca="false">IF(OR(G506="",G506="?"),"",IFERROR(INDEX(Pubs!$D$2:$D$3001,MATCH(G506,Pubs!$A$2:$A$3001,0))&amp;"",""))</f>
        <v/>
      </c>
      <c r="N506" s="27" t="n">
        <f aca="false">N(N505)+IF(AND(A506&lt;&gt;"",OR(Recherche!$C$4="",A506=Recherche!$C$4),OR(Recherche!$C$5="",B506&amp;""=Recherche!$C$5&amp;""),OR(Recherche!$C$6="",IFERROR(YEAR(L506),0)=Recherche!$C$6),OR(Recherche!$C$7="",ISNUMBER(SEARCH(Recherche!$C$7,H506))),OR(Recherche!$C$8="",J506=Recherche!$C$8),OR(Recherche!$C$9="",I506=Recherche!$C$9),OR(Recherche!$C$10="",G506&amp;""=Recherche!$C$10&amp;""),OR(Recherche!$C$11="",E506=Recherche!$C$11),OR(Recherche!$C$12="",ISNUMBER(SEARCH(Recherche!$C$12,M506&amp;" "&amp;F506)))),1,0)</f>
        <v>8</v>
      </c>
    </row>
    <row r="507" customFormat="false" ht="15" hidden="false" customHeight="false" outlineLevel="0" collapsed="false">
      <c r="A507" s="19"/>
      <c r="B507" s="19"/>
      <c r="C507" s="19"/>
      <c r="D507" s="19"/>
      <c r="E507" s="22"/>
      <c r="F507" s="19"/>
      <c r="G507" s="26" t="str">
        <f aca="false">IF(D507="","",IFERROR(VALUE(LEFT(D507,FIND(" |",D507&amp;" |")-1)),"?"))</f>
        <v/>
      </c>
      <c r="H507" s="27" t="str">
        <f aca="false">IF(G507="","",IF(G507="?","⚠ pub inconnue",IFERROR(INDEX(Pubs!$B$2:$B$3001,MATCH(G507,Pubs!$A$2:$A$3001,0))&amp;"","⚠ pub inconnue")))</f>
        <v/>
      </c>
      <c r="I507" s="27" t="str">
        <f aca="false">IF(OR(G507="",G507="?"),"",IFERROR(INDEX(Pubs!$C$2:$C$3001,MATCH(G507,Pubs!$A$2:$A$3001,0))&amp;"",""))</f>
        <v/>
      </c>
      <c r="J507" s="27" t="str">
        <f aca="false">IF(OR(G507="",G507="?"),"",IFERROR(INDEX(Pubs!$G$2:$G$3001,MATCH(G507,Pubs!$A$2:$A$3001,0))&amp;"",""))</f>
        <v/>
      </c>
      <c r="K507" s="28" t="str">
        <f aca="false">IF(OR(G507="",G507="?"),"",IFERROR(INDEX(Pubs!$E$2:$E$3001,MATCH(G507,Pubs!$A$2:$A$3001,0)),""))</f>
        <v/>
      </c>
      <c r="L507" s="29" t="str">
        <f aca="false">IF(A507="","",IFERROR(1/(1/INDEX(Numéros!$C$2:$C$3001,MATCH(A507&amp;"|"&amp;B507,Numéros!$F$2:$F$3001,0))),""))</f>
        <v/>
      </c>
      <c r="M507" s="27" t="str">
        <f aca="false">IF(OR(G507="",G507="?"),"",IFERROR(INDEX(Pubs!$D$2:$D$3001,MATCH(G507,Pubs!$A$2:$A$3001,0))&amp;"",""))</f>
        <v/>
      </c>
      <c r="N507" s="27" t="n">
        <f aca="false">N(N506)+IF(AND(A507&lt;&gt;"",OR(Recherche!$C$4="",A507=Recherche!$C$4),OR(Recherche!$C$5="",B507&amp;""=Recherche!$C$5&amp;""),OR(Recherche!$C$6="",IFERROR(YEAR(L507),0)=Recherche!$C$6),OR(Recherche!$C$7="",ISNUMBER(SEARCH(Recherche!$C$7,H507))),OR(Recherche!$C$8="",J507=Recherche!$C$8),OR(Recherche!$C$9="",I507=Recherche!$C$9),OR(Recherche!$C$10="",G507&amp;""=Recherche!$C$10&amp;""),OR(Recherche!$C$11="",E507=Recherche!$C$11),OR(Recherche!$C$12="",ISNUMBER(SEARCH(Recherche!$C$12,M507&amp;" "&amp;F507)))),1,0)</f>
        <v>8</v>
      </c>
    </row>
    <row r="508" customFormat="false" ht="15" hidden="false" customHeight="false" outlineLevel="0" collapsed="false">
      <c r="A508" s="19"/>
      <c r="B508" s="19"/>
      <c r="C508" s="19"/>
      <c r="D508" s="19"/>
      <c r="E508" s="22"/>
      <c r="F508" s="19"/>
      <c r="G508" s="26" t="str">
        <f aca="false">IF(D508="","",IFERROR(VALUE(LEFT(D508,FIND(" |",D508&amp;" |")-1)),"?"))</f>
        <v/>
      </c>
      <c r="H508" s="27" t="str">
        <f aca="false">IF(G508="","",IF(G508="?","⚠ pub inconnue",IFERROR(INDEX(Pubs!$B$2:$B$3001,MATCH(G508,Pubs!$A$2:$A$3001,0))&amp;"","⚠ pub inconnue")))</f>
        <v/>
      </c>
      <c r="I508" s="27" t="str">
        <f aca="false">IF(OR(G508="",G508="?"),"",IFERROR(INDEX(Pubs!$C$2:$C$3001,MATCH(G508,Pubs!$A$2:$A$3001,0))&amp;"",""))</f>
        <v/>
      </c>
      <c r="J508" s="27" t="str">
        <f aca="false">IF(OR(G508="",G508="?"),"",IFERROR(INDEX(Pubs!$G$2:$G$3001,MATCH(G508,Pubs!$A$2:$A$3001,0))&amp;"",""))</f>
        <v/>
      </c>
      <c r="K508" s="28" t="str">
        <f aca="false">IF(OR(G508="",G508="?"),"",IFERROR(INDEX(Pubs!$E$2:$E$3001,MATCH(G508,Pubs!$A$2:$A$3001,0)),""))</f>
        <v/>
      </c>
      <c r="L508" s="29" t="str">
        <f aca="false">IF(A508="","",IFERROR(1/(1/INDEX(Numéros!$C$2:$C$3001,MATCH(A508&amp;"|"&amp;B508,Numéros!$F$2:$F$3001,0))),""))</f>
        <v/>
      </c>
      <c r="M508" s="27" t="str">
        <f aca="false">IF(OR(G508="",G508="?"),"",IFERROR(INDEX(Pubs!$D$2:$D$3001,MATCH(G508,Pubs!$A$2:$A$3001,0))&amp;"",""))</f>
        <v/>
      </c>
      <c r="N508" s="27" t="n">
        <f aca="false">N(N507)+IF(AND(A508&lt;&gt;"",OR(Recherche!$C$4="",A508=Recherche!$C$4),OR(Recherche!$C$5="",B508&amp;""=Recherche!$C$5&amp;""),OR(Recherche!$C$6="",IFERROR(YEAR(L508),0)=Recherche!$C$6),OR(Recherche!$C$7="",ISNUMBER(SEARCH(Recherche!$C$7,H508))),OR(Recherche!$C$8="",J508=Recherche!$C$8),OR(Recherche!$C$9="",I508=Recherche!$C$9),OR(Recherche!$C$10="",G508&amp;""=Recherche!$C$10&amp;""),OR(Recherche!$C$11="",E508=Recherche!$C$11),OR(Recherche!$C$12="",ISNUMBER(SEARCH(Recherche!$C$12,M508&amp;" "&amp;F508)))),1,0)</f>
        <v>8</v>
      </c>
    </row>
    <row r="509" customFormat="false" ht="15" hidden="false" customHeight="false" outlineLevel="0" collapsed="false">
      <c r="A509" s="19"/>
      <c r="B509" s="19"/>
      <c r="C509" s="19"/>
      <c r="D509" s="19"/>
      <c r="E509" s="22"/>
      <c r="F509" s="19"/>
      <c r="G509" s="26" t="str">
        <f aca="false">IF(D509="","",IFERROR(VALUE(LEFT(D509,FIND(" |",D509&amp;" |")-1)),"?"))</f>
        <v/>
      </c>
      <c r="H509" s="27" t="str">
        <f aca="false">IF(G509="","",IF(G509="?","⚠ pub inconnue",IFERROR(INDEX(Pubs!$B$2:$B$3001,MATCH(G509,Pubs!$A$2:$A$3001,0))&amp;"","⚠ pub inconnue")))</f>
        <v/>
      </c>
      <c r="I509" s="27" t="str">
        <f aca="false">IF(OR(G509="",G509="?"),"",IFERROR(INDEX(Pubs!$C$2:$C$3001,MATCH(G509,Pubs!$A$2:$A$3001,0))&amp;"",""))</f>
        <v/>
      </c>
      <c r="J509" s="27" t="str">
        <f aca="false">IF(OR(G509="",G509="?"),"",IFERROR(INDEX(Pubs!$G$2:$G$3001,MATCH(G509,Pubs!$A$2:$A$3001,0))&amp;"",""))</f>
        <v/>
      </c>
      <c r="K509" s="28" t="str">
        <f aca="false">IF(OR(G509="",G509="?"),"",IFERROR(INDEX(Pubs!$E$2:$E$3001,MATCH(G509,Pubs!$A$2:$A$3001,0)),""))</f>
        <v/>
      </c>
      <c r="L509" s="29" t="str">
        <f aca="false">IF(A509="","",IFERROR(1/(1/INDEX(Numéros!$C$2:$C$3001,MATCH(A509&amp;"|"&amp;B509,Numéros!$F$2:$F$3001,0))),""))</f>
        <v/>
      </c>
      <c r="M509" s="27" t="str">
        <f aca="false">IF(OR(G509="",G509="?"),"",IFERROR(INDEX(Pubs!$D$2:$D$3001,MATCH(G509,Pubs!$A$2:$A$3001,0))&amp;"",""))</f>
        <v/>
      </c>
      <c r="N509" s="27" t="n">
        <f aca="false">N(N508)+IF(AND(A509&lt;&gt;"",OR(Recherche!$C$4="",A509=Recherche!$C$4),OR(Recherche!$C$5="",B509&amp;""=Recherche!$C$5&amp;""),OR(Recherche!$C$6="",IFERROR(YEAR(L509),0)=Recherche!$C$6),OR(Recherche!$C$7="",ISNUMBER(SEARCH(Recherche!$C$7,H509))),OR(Recherche!$C$8="",J509=Recherche!$C$8),OR(Recherche!$C$9="",I509=Recherche!$C$9),OR(Recherche!$C$10="",G509&amp;""=Recherche!$C$10&amp;""),OR(Recherche!$C$11="",E509=Recherche!$C$11),OR(Recherche!$C$12="",ISNUMBER(SEARCH(Recherche!$C$12,M509&amp;" "&amp;F509)))),1,0)</f>
        <v>8</v>
      </c>
    </row>
    <row r="510" customFormat="false" ht="15" hidden="false" customHeight="false" outlineLevel="0" collapsed="false">
      <c r="A510" s="19"/>
      <c r="B510" s="19"/>
      <c r="C510" s="19"/>
      <c r="D510" s="19"/>
      <c r="E510" s="22"/>
      <c r="F510" s="19"/>
      <c r="G510" s="26" t="str">
        <f aca="false">IF(D510="","",IFERROR(VALUE(LEFT(D510,FIND(" |",D510&amp;" |")-1)),"?"))</f>
        <v/>
      </c>
      <c r="H510" s="27" t="str">
        <f aca="false">IF(G510="","",IF(G510="?","⚠ pub inconnue",IFERROR(INDEX(Pubs!$B$2:$B$3001,MATCH(G510,Pubs!$A$2:$A$3001,0))&amp;"","⚠ pub inconnue")))</f>
        <v/>
      </c>
      <c r="I510" s="27" t="str">
        <f aca="false">IF(OR(G510="",G510="?"),"",IFERROR(INDEX(Pubs!$C$2:$C$3001,MATCH(G510,Pubs!$A$2:$A$3001,0))&amp;"",""))</f>
        <v/>
      </c>
      <c r="J510" s="27" t="str">
        <f aca="false">IF(OR(G510="",G510="?"),"",IFERROR(INDEX(Pubs!$G$2:$G$3001,MATCH(G510,Pubs!$A$2:$A$3001,0))&amp;"",""))</f>
        <v/>
      </c>
      <c r="K510" s="28" t="str">
        <f aca="false">IF(OR(G510="",G510="?"),"",IFERROR(INDEX(Pubs!$E$2:$E$3001,MATCH(G510,Pubs!$A$2:$A$3001,0)),""))</f>
        <v/>
      </c>
      <c r="L510" s="29" t="str">
        <f aca="false">IF(A510="","",IFERROR(1/(1/INDEX(Numéros!$C$2:$C$3001,MATCH(A510&amp;"|"&amp;B510,Numéros!$F$2:$F$3001,0))),""))</f>
        <v/>
      </c>
      <c r="M510" s="27" t="str">
        <f aca="false">IF(OR(G510="",G510="?"),"",IFERROR(INDEX(Pubs!$D$2:$D$3001,MATCH(G510,Pubs!$A$2:$A$3001,0))&amp;"",""))</f>
        <v/>
      </c>
      <c r="N510" s="27" t="n">
        <f aca="false">N(N509)+IF(AND(A510&lt;&gt;"",OR(Recherche!$C$4="",A510=Recherche!$C$4),OR(Recherche!$C$5="",B510&amp;""=Recherche!$C$5&amp;""),OR(Recherche!$C$6="",IFERROR(YEAR(L510),0)=Recherche!$C$6),OR(Recherche!$C$7="",ISNUMBER(SEARCH(Recherche!$C$7,H510))),OR(Recherche!$C$8="",J510=Recherche!$C$8),OR(Recherche!$C$9="",I510=Recherche!$C$9),OR(Recherche!$C$10="",G510&amp;""=Recherche!$C$10&amp;""),OR(Recherche!$C$11="",E510=Recherche!$C$11),OR(Recherche!$C$12="",ISNUMBER(SEARCH(Recherche!$C$12,M510&amp;" "&amp;F510)))),1,0)</f>
        <v>8</v>
      </c>
    </row>
    <row r="511" customFormat="false" ht="15" hidden="false" customHeight="false" outlineLevel="0" collapsed="false">
      <c r="A511" s="19"/>
      <c r="B511" s="19"/>
      <c r="C511" s="19"/>
      <c r="D511" s="19"/>
      <c r="E511" s="22"/>
      <c r="F511" s="19"/>
      <c r="G511" s="26" t="str">
        <f aca="false">IF(D511="","",IFERROR(VALUE(LEFT(D511,FIND(" |",D511&amp;" |")-1)),"?"))</f>
        <v/>
      </c>
      <c r="H511" s="27" t="str">
        <f aca="false">IF(G511="","",IF(G511="?","⚠ pub inconnue",IFERROR(INDEX(Pubs!$B$2:$B$3001,MATCH(G511,Pubs!$A$2:$A$3001,0))&amp;"","⚠ pub inconnue")))</f>
        <v/>
      </c>
      <c r="I511" s="27" t="str">
        <f aca="false">IF(OR(G511="",G511="?"),"",IFERROR(INDEX(Pubs!$C$2:$C$3001,MATCH(G511,Pubs!$A$2:$A$3001,0))&amp;"",""))</f>
        <v/>
      </c>
      <c r="J511" s="27" t="str">
        <f aca="false">IF(OR(G511="",G511="?"),"",IFERROR(INDEX(Pubs!$G$2:$G$3001,MATCH(G511,Pubs!$A$2:$A$3001,0))&amp;"",""))</f>
        <v/>
      </c>
      <c r="K511" s="28" t="str">
        <f aca="false">IF(OR(G511="",G511="?"),"",IFERROR(INDEX(Pubs!$E$2:$E$3001,MATCH(G511,Pubs!$A$2:$A$3001,0)),""))</f>
        <v/>
      </c>
      <c r="L511" s="29" t="str">
        <f aca="false">IF(A511="","",IFERROR(1/(1/INDEX(Numéros!$C$2:$C$3001,MATCH(A511&amp;"|"&amp;B511,Numéros!$F$2:$F$3001,0))),""))</f>
        <v/>
      </c>
      <c r="M511" s="27" t="str">
        <f aca="false">IF(OR(G511="",G511="?"),"",IFERROR(INDEX(Pubs!$D$2:$D$3001,MATCH(G511,Pubs!$A$2:$A$3001,0))&amp;"",""))</f>
        <v/>
      </c>
      <c r="N511" s="27" t="n">
        <f aca="false">N(N510)+IF(AND(A511&lt;&gt;"",OR(Recherche!$C$4="",A511=Recherche!$C$4),OR(Recherche!$C$5="",B511&amp;""=Recherche!$C$5&amp;""),OR(Recherche!$C$6="",IFERROR(YEAR(L511),0)=Recherche!$C$6),OR(Recherche!$C$7="",ISNUMBER(SEARCH(Recherche!$C$7,H511))),OR(Recherche!$C$8="",J511=Recherche!$C$8),OR(Recherche!$C$9="",I511=Recherche!$C$9),OR(Recherche!$C$10="",G511&amp;""=Recherche!$C$10&amp;""),OR(Recherche!$C$11="",E511=Recherche!$C$11),OR(Recherche!$C$12="",ISNUMBER(SEARCH(Recherche!$C$12,M511&amp;" "&amp;F511)))),1,0)</f>
        <v>8</v>
      </c>
    </row>
    <row r="512" customFormat="false" ht="15" hidden="false" customHeight="false" outlineLevel="0" collapsed="false">
      <c r="A512" s="19"/>
      <c r="B512" s="19"/>
      <c r="C512" s="19"/>
      <c r="D512" s="19"/>
      <c r="E512" s="22"/>
      <c r="F512" s="19"/>
      <c r="G512" s="26" t="str">
        <f aca="false">IF(D512="","",IFERROR(VALUE(LEFT(D512,FIND(" |",D512&amp;" |")-1)),"?"))</f>
        <v/>
      </c>
      <c r="H512" s="27" t="str">
        <f aca="false">IF(G512="","",IF(G512="?","⚠ pub inconnue",IFERROR(INDEX(Pubs!$B$2:$B$3001,MATCH(G512,Pubs!$A$2:$A$3001,0))&amp;"","⚠ pub inconnue")))</f>
        <v/>
      </c>
      <c r="I512" s="27" t="str">
        <f aca="false">IF(OR(G512="",G512="?"),"",IFERROR(INDEX(Pubs!$C$2:$C$3001,MATCH(G512,Pubs!$A$2:$A$3001,0))&amp;"",""))</f>
        <v/>
      </c>
      <c r="J512" s="27" t="str">
        <f aca="false">IF(OR(G512="",G512="?"),"",IFERROR(INDEX(Pubs!$G$2:$G$3001,MATCH(G512,Pubs!$A$2:$A$3001,0))&amp;"",""))</f>
        <v/>
      </c>
      <c r="K512" s="28" t="str">
        <f aca="false">IF(OR(G512="",G512="?"),"",IFERROR(INDEX(Pubs!$E$2:$E$3001,MATCH(G512,Pubs!$A$2:$A$3001,0)),""))</f>
        <v/>
      </c>
      <c r="L512" s="29" t="str">
        <f aca="false">IF(A512="","",IFERROR(1/(1/INDEX(Numéros!$C$2:$C$3001,MATCH(A512&amp;"|"&amp;B512,Numéros!$F$2:$F$3001,0))),""))</f>
        <v/>
      </c>
      <c r="M512" s="27" t="str">
        <f aca="false">IF(OR(G512="",G512="?"),"",IFERROR(INDEX(Pubs!$D$2:$D$3001,MATCH(G512,Pubs!$A$2:$A$3001,0))&amp;"",""))</f>
        <v/>
      </c>
      <c r="N512" s="27" t="n">
        <f aca="false">N(N511)+IF(AND(A512&lt;&gt;"",OR(Recherche!$C$4="",A512=Recherche!$C$4),OR(Recherche!$C$5="",B512&amp;""=Recherche!$C$5&amp;""),OR(Recherche!$C$6="",IFERROR(YEAR(L512),0)=Recherche!$C$6),OR(Recherche!$C$7="",ISNUMBER(SEARCH(Recherche!$C$7,H512))),OR(Recherche!$C$8="",J512=Recherche!$C$8),OR(Recherche!$C$9="",I512=Recherche!$C$9),OR(Recherche!$C$10="",G512&amp;""=Recherche!$C$10&amp;""),OR(Recherche!$C$11="",E512=Recherche!$C$11),OR(Recherche!$C$12="",ISNUMBER(SEARCH(Recherche!$C$12,M512&amp;" "&amp;F512)))),1,0)</f>
        <v>8</v>
      </c>
    </row>
    <row r="513" customFormat="false" ht="15" hidden="false" customHeight="false" outlineLevel="0" collapsed="false">
      <c r="A513" s="19"/>
      <c r="B513" s="19"/>
      <c r="C513" s="19"/>
      <c r="D513" s="19"/>
      <c r="E513" s="22"/>
      <c r="F513" s="19"/>
      <c r="G513" s="26" t="str">
        <f aca="false">IF(D513="","",IFERROR(VALUE(LEFT(D513,FIND(" |",D513&amp;" |")-1)),"?"))</f>
        <v/>
      </c>
      <c r="H513" s="27" t="str">
        <f aca="false">IF(G513="","",IF(G513="?","⚠ pub inconnue",IFERROR(INDEX(Pubs!$B$2:$B$3001,MATCH(G513,Pubs!$A$2:$A$3001,0))&amp;"","⚠ pub inconnue")))</f>
        <v/>
      </c>
      <c r="I513" s="27" t="str">
        <f aca="false">IF(OR(G513="",G513="?"),"",IFERROR(INDEX(Pubs!$C$2:$C$3001,MATCH(G513,Pubs!$A$2:$A$3001,0))&amp;"",""))</f>
        <v/>
      </c>
      <c r="J513" s="27" t="str">
        <f aca="false">IF(OR(G513="",G513="?"),"",IFERROR(INDEX(Pubs!$G$2:$G$3001,MATCH(G513,Pubs!$A$2:$A$3001,0))&amp;"",""))</f>
        <v/>
      </c>
      <c r="K513" s="28" t="str">
        <f aca="false">IF(OR(G513="",G513="?"),"",IFERROR(INDEX(Pubs!$E$2:$E$3001,MATCH(G513,Pubs!$A$2:$A$3001,0)),""))</f>
        <v/>
      </c>
      <c r="L513" s="29" t="str">
        <f aca="false">IF(A513="","",IFERROR(1/(1/INDEX(Numéros!$C$2:$C$3001,MATCH(A513&amp;"|"&amp;B513,Numéros!$F$2:$F$3001,0))),""))</f>
        <v/>
      </c>
      <c r="M513" s="27" t="str">
        <f aca="false">IF(OR(G513="",G513="?"),"",IFERROR(INDEX(Pubs!$D$2:$D$3001,MATCH(G513,Pubs!$A$2:$A$3001,0))&amp;"",""))</f>
        <v/>
      </c>
      <c r="N513" s="27" t="n">
        <f aca="false">N(N512)+IF(AND(A513&lt;&gt;"",OR(Recherche!$C$4="",A513=Recherche!$C$4),OR(Recherche!$C$5="",B513&amp;""=Recherche!$C$5&amp;""),OR(Recherche!$C$6="",IFERROR(YEAR(L513),0)=Recherche!$C$6),OR(Recherche!$C$7="",ISNUMBER(SEARCH(Recherche!$C$7,H513))),OR(Recherche!$C$8="",J513=Recherche!$C$8),OR(Recherche!$C$9="",I513=Recherche!$C$9),OR(Recherche!$C$10="",G513&amp;""=Recherche!$C$10&amp;""),OR(Recherche!$C$11="",E513=Recherche!$C$11),OR(Recherche!$C$12="",ISNUMBER(SEARCH(Recherche!$C$12,M513&amp;" "&amp;F513)))),1,0)</f>
        <v>8</v>
      </c>
    </row>
    <row r="514" customFormat="false" ht="15" hidden="false" customHeight="false" outlineLevel="0" collapsed="false">
      <c r="A514" s="19"/>
      <c r="B514" s="19"/>
      <c r="C514" s="19"/>
      <c r="D514" s="19"/>
      <c r="E514" s="22"/>
      <c r="F514" s="19"/>
      <c r="G514" s="26" t="str">
        <f aca="false">IF(D514="","",IFERROR(VALUE(LEFT(D514,FIND(" |",D514&amp;" |")-1)),"?"))</f>
        <v/>
      </c>
      <c r="H514" s="27" t="str">
        <f aca="false">IF(G514="","",IF(G514="?","⚠ pub inconnue",IFERROR(INDEX(Pubs!$B$2:$B$3001,MATCH(G514,Pubs!$A$2:$A$3001,0))&amp;"","⚠ pub inconnue")))</f>
        <v/>
      </c>
      <c r="I514" s="27" t="str">
        <f aca="false">IF(OR(G514="",G514="?"),"",IFERROR(INDEX(Pubs!$C$2:$C$3001,MATCH(G514,Pubs!$A$2:$A$3001,0))&amp;"",""))</f>
        <v/>
      </c>
      <c r="J514" s="27" t="str">
        <f aca="false">IF(OR(G514="",G514="?"),"",IFERROR(INDEX(Pubs!$G$2:$G$3001,MATCH(G514,Pubs!$A$2:$A$3001,0))&amp;"",""))</f>
        <v/>
      </c>
      <c r="K514" s="28" t="str">
        <f aca="false">IF(OR(G514="",G514="?"),"",IFERROR(INDEX(Pubs!$E$2:$E$3001,MATCH(G514,Pubs!$A$2:$A$3001,0)),""))</f>
        <v/>
      </c>
      <c r="L514" s="29" t="str">
        <f aca="false">IF(A514="","",IFERROR(1/(1/INDEX(Numéros!$C$2:$C$3001,MATCH(A514&amp;"|"&amp;B514,Numéros!$F$2:$F$3001,0))),""))</f>
        <v/>
      </c>
      <c r="M514" s="27" t="str">
        <f aca="false">IF(OR(G514="",G514="?"),"",IFERROR(INDEX(Pubs!$D$2:$D$3001,MATCH(G514,Pubs!$A$2:$A$3001,0))&amp;"",""))</f>
        <v/>
      </c>
      <c r="N514" s="27" t="n">
        <f aca="false">N(N513)+IF(AND(A514&lt;&gt;"",OR(Recherche!$C$4="",A514=Recherche!$C$4),OR(Recherche!$C$5="",B514&amp;""=Recherche!$C$5&amp;""),OR(Recherche!$C$6="",IFERROR(YEAR(L514),0)=Recherche!$C$6),OR(Recherche!$C$7="",ISNUMBER(SEARCH(Recherche!$C$7,H514))),OR(Recherche!$C$8="",J514=Recherche!$C$8),OR(Recherche!$C$9="",I514=Recherche!$C$9),OR(Recherche!$C$10="",G514&amp;""=Recherche!$C$10&amp;""),OR(Recherche!$C$11="",E514=Recherche!$C$11),OR(Recherche!$C$12="",ISNUMBER(SEARCH(Recherche!$C$12,M514&amp;" "&amp;F514)))),1,0)</f>
        <v>8</v>
      </c>
    </row>
    <row r="515" customFormat="false" ht="15" hidden="false" customHeight="false" outlineLevel="0" collapsed="false">
      <c r="A515" s="19"/>
      <c r="B515" s="19"/>
      <c r="C515" s="19"/>
      <c r="D515" s="19"/>
      <c r="E515" s="22"/>
      <c r="F515" s="19"/>
      <c r="G515" s="26" t="str">
        <f aca="false">IF(D515="","",IFERROR(VALUE(LEFT(D515,FIND(" |",D515&amp;" |")-1)),"?"))</f>
        <v/>
      </c>
      <c r="H515" s="27" t="str">
        <f aca="false">IF(G515="","",IF(G515="?","⚠ pub inconnue",IFERROR(INDEX(Pubs!$B$2:$B$3001,MATCH(G515,Pubs!$A$2:$A$3001,0))&amp;"","⚠ pub inconnue")))</f>
        <v/>
      </c>
      <c r="I515" s="27" t="str">
        <f aca="false">IF(OR(G515="",G515="?"),"",IFERROR(INDEX(Pubs!$C$2:$C$3001,MATCH(G515,Pubs!$A$2:$A$3001,0))&amp;"",""))</f>
        <v/>
      </c>
      <c r="J515" s="27" t="str">
        <f aca="false">IF(OR(G515="",G515="?"),"",IFERROR(INDEX(Pubs!$G$2:$G$3001,MATCH(G515,Pubs!$A$2:$A$3001,0))&amp;"",""))</f>
        <v/>
      </c>
      <c r="K515" s="28" t="str">
        <f aca="false">IF(OR(G515="",G515="?"),"",IFERROR(INDEX(Pubs!$E$2:$E$3001,MATCH(G515,Pubs!$A$2:$A$3001,0)),""))</f>
        <v/>
      </c>
      <c r="L515" s="29" t="str">
        <f aca="false">IF(A515="","",IFERROR(1/(1/INDEX(Numéros!$C$2:$C$3001,MATCH(A515&amp;"|"&amp;B515,Numéros!$F$2:$F$3001,0))),""))</f>
        <v/>
      </c>
      <c r="M515" s="27" t="str">
        <f aca="false">IF(OR(G515="",G515="?"),"",IFERROR(INDEX(Pubs!$D$2:$D$3001,MATCH(G515,Pubs!$A$2:$A$3001,0))&amp;"",""))</f>
        <v/>
      </c>
      <c r="N515" s="27" t="n">
        <f aca="false">N(N514)+IF(AND(A515&lt;&gt;"",OR(Recherche!$C$4="",A515=Recherche!$C$4),OR(Recherche!$C$5="",B515&amp;""=Recherche!$C$5&amp;""),OR(Recherche!$C$6="",IFERROR(YEAR(L515),0)=Recherche!$C$6),OR(Recherche!$C$7="",ISNUMBER(SEARCH(Recherche!$C$7,H515))),OR(Recherche!$C$8="",J515=Recherche!$C$8),OR(Recherche!$C$9="",I515=Recherche!$C$9),OR(Recherche!$C$10="",G515&amp;""=Recherche!$C$10&amp;""),OR(Recherche!$C$11="",E515=Recherche!$C$11),OR(Recherche!$C$12="",ISNUMBER(SEARCH(Recherche!$C$12,M515&amp;" "&amp;F515)))),1,0)</f>
        <v>8</v>
      </c>
    </row>
    <row r="516" customFormat="false" ht="15" hidden="false" customHeight="false" outlineLevel="0" collapsed="false">
      <c r="A516" s="19"/>
      <c r="B516" s="19"/>
      <c r="C516" s="19"/>
      <c r="D516" s="19"/>
      <c r="E516" s="22"/>
      <c r="F516" s="19"/>
      <c r="G516" s="26" t="str">
        <f aca="false">IF(D516="","",IFERROR(VALUE(LEFT(D516,FIND(" |",D516&amp;" |")-1)),"?"))</f>
        <v/>
      </c>
      <c r="H516" s="27" t="str">
        <f aca="false">IF(G516="","",IF(G516="?","⚠ pub inconnue",IFERROR(INDEX(Pubs!$B$2:$B$3001,MATCH(G516,Pubs!$A$2:$A$3001,0))&amp;"","⚠ pub inconnue")))</f>
        <v/>
      </c>
      <c r="I516" s="27" t="str">
        <f aca="false">IF(OR(G516="",G516="?"),"",IFERROR(INDEX(Pubs!$C$2:$C$3001,MATCH(G516,Pubs!$A$2:$A$3001,0))&amp;"",""))</f>
        <v/>
      </c>
      <c r="J516" s="27" t="str">
        <f aca="false">IF(OR(G516="",G516="?"),"",IFERROR(INDEX(Pubs!$G$2:$G$3001,MATCH(G516,Pubs!$A$2:$A$3001,0))&amp;"",""))</f>
        <v/>
      </c>
      <c r="K516" s="28" t="str">
        <f aca="false">IF(OR(G516="",G516="?"),"",IFERROR(INDEX(Pubs!$E$2:$E$3001,MATCH(G516,Pubs!$A$2:$A$3001,0)),""))</f>
        <v/>
      </c>
      <c r="L516" s="29" t="str">
        <f aca="false">IF(A516="","",IFERROR(1/(1/INDEX(Numéros!$C$2:$C$3001,MATCH(A516&amp;"|"&amp;B516,Numéros!$F$2:$F$3001,0))),""))</f>
        <v/>
      </c>
      <c r="M516" s="27" t="str">
        <f aca="false">IF(OR(G516="",G516="?"),"",IFERROR(INDEX(Pubs!$D$2:$D$3001,MATCH(G516,Pubs!$A$2:$A$3001,0))&amp;"",""))</f>
        <v/>
      </c>
      <c r="N516" s="27" t="n">
        <f aca="false">N(N515)+IF(AND(A516&lt;&gt;"",OR(Recherche!$C$4="",A516=Recherche!$C$4),OR(Recherche!$C$5="",B516&amp;""=Recherche!$C$5&amp;""),OR(Recherche!$C$6="",IFERROR(YEAR(L516),0)=Recherche!$C$6),OR(Recherche!$C$7="",ISNUMBER(SEARCH(Recherche!$C$7,H516))),OR(Recherche!$C$8="",J516=Recherche!$C$8),OR(Recherche!$C$9="",I516=Recherche!$C$9),OR(Recherche!$C$10="",G516&amp;""=Recherche!$C$10&amp;""),OR(Recherche!$C$11="",E516=Recherche!$C$11),OR(Recherche!$C$12="",ISNUMBER(SEARCH(Recherche!$C$12,M516&amp;" "&amp;F516)))),1,0)</f>
        <v>8</v>
      </c>
    </row>
    <row r="517" customFormat="false" ht="15" hidden="false" customHeight="false" outlineLevel="0" collapsed="false">
      <c r="A517" s="19"/>
      <c r="B517" s="19"/>
      <c r="C517" s="19"/>
      <c r="D517" s="19"/>
      <c r="E517" s="22"/>
      <c r="F517" s="19"/>
      <c r="G517" s="26" t="str">
        <f aca="false">IF(D517="","",IFERROR(VALUE(LEFT(D517,FIND(" |",D517&amp;" |")-1)),"?"))</f>
        <v/>
      </c>
      <c r="H517" s="27" t="str">
        <f aca="false">IF(G517="","",IF(G517="?","⚠ pub inconnue",IFERROR(INDEX(Pubs!$B$2:$B$3001,MATCH(G517,Pubs!$A$2:$A$3001,0))&amp;"","⚠ pub inconnue")))</f>
        <v/>
      </c>
      <c r="I517" s="27" t="str">
        <f aca="false">IF(OR(G517="",G517="?"),"",IFERROR(INDEX(Pubs!$C$2:$C$3001,MATCH(G517,Pubs!$A$2:$A$3001,0))&amp;"",""))</f>
        <v/>
      </c>
      <c r="J517" s="27" t="str">
        <f aca="false">IF(OR(G517="",G517="?"),"",IFERROR(INDEX(Pubs!$G$2:$G$3001,MATCH(G517,Pubs!$A$2:$A$3001,0))&amp;"",""))</f>
        <v/>
      </c>
      <c r="K517" s="28" t="str">
        <f aca="false">IF(OR(G517="",G517="?"),"",IFERROR(INDEX(Pubs!$E$2:$E$3001,MATCH(G517,Pubs!$A$2:$A$3001,0)),""))</f>
        <v/>
      </c>
      <c r="L517" s="29" t="str">
        <f aca="false">IF(A517="","",IFERROR(1/(1/INDEX(Numéros!$C$2:$C$3001,MATCH(A517&amp;"|"&amp;B517,Numéros!$F$2:$F$3001,0))),""))</f>
        <v/>
      </c>
      <c r="M517" s="27" t="str">
        <f aca="false">IF(OR(G517="",G517="?"),"",IFERROR(INDEX(Pubs!$D$2:$D$3001,MATCH(G517,Pubs!$A$2:$A$3001,0))&amp;"",""))</f>
        <v/>
      </c>
      <c r="N517" s="27" t="n">
        <f aca="false">N(N516)+IF(AND(A517&lt;&gt;"",OR(Recherche!$C$4="",A517=Recherche!$C$4),OR(Recherche!$C$5="",B517&amp;""=Recherche!$C$5&amp;""),OR(Recherche!$C$6="",IFERROR(YEAR(L517),0)=Recherche!$C$6),OR(Recherche!$C$7="",ISNUMBER(SEARCH(Recherche!$C$7,H517))),OR(Recherche!$C$8="",J517=Recherche!$C$8),OR(Recherche!$C$9="",I517=Recherche!$C$9),OR(Recherche!$C$10="",G517&amp;""=Recherche!$C$10&amp;""),OR(Recherche!$C$11="",E517=Recherche!$C$11),OR(Recherche!$C$12="",ISNUMBER(SEARCH(Recherche!$C$12,M517&amp;" "&amp;F517)))),1,0)</f>
        <v>8</v>
      </c>
    </row>
    <row r="518" customFormat="false" ht="15" hidden="false" customHeight="false" outlineLevel="0" collapsed="false">
      <c r="A518" s="19"/>
      <c r="B518" s="19"/>
      <c r="C518" s="19"/>
      <c r="D518" s="19"/>
      <c r="E518" s="22"/>
      <c r="F518" s="19"/>
      <c r="G518" s="26" t="str">
        <f aca="false">IF(D518="","",IFERROR(VALUE(LEFT(D518,FIND(" |",D518&amp;" |")-1)),"?"))</f>
        <v/>
      </c>
      <c r="H518" s="27" t="str">
        <f aca="false">IF(G518="","",IF(G518="?","⚠ pub inconnue",IFERROR(INDEX(Pubs!$B$2:$B$3001,MATCH(G518,Pubs!$A$2:$A$3001,0))&amp;"","⚠ pub inconnue")))</f>
        <v/>
      </c>
      <c r="I518" s="27" t="str">
        <f aca="false">IF(OR(G518="",G518="?"),"",IFERROR(INDEX(Pubs!$C$2:$C$3001,MATCH(G518,Pubs!$A$2:$A$3001,0))&amp;"",""))</f>
        <v/>
      </c>
      <c r="J518" s="27" t="str">
        <f aca="false">IF(OR(G518="",G518="?"),"",IFERROR(INDEX(Pubs!$G$2:$G$3001,MATCH(G518,Pubs!$A$2:$A$3001,0))&amp;"",""))</f>
        <v/>
      </c>
      <c r="K518" s="28" t="str">
        <f aca="false">IF(OR(G518="",G518="?"),"",IFERROR(INDEX(Pubs!$E$2:$E$3001,MATCH(G518,Pubs!$A$2:$A$3001,0)),""))</f>
        <v/>
      </c>
      <c r="L518" s="29" t="str">
        <f aca="false">IF(A518="","",IFERROR(1/(1/INDEX(Numéros!$C$2:$C$3001,MATCH(A518&amp;"|"&amp;B518,Numéros!$F$2:$F$3001,0))),""))</f>
        <v/>
      </c>
      <c r="M518" s="27" t="str">
        <f aca="false">IF(OR(G518="",G518="?"),"",IFERROR(INDEX(Pubs!$D$2:$D$3001,MATCH(G518,Pubs!$A$2:$A$3001,0))&amp;"",""))</f>
        <v/>
      </c>
      <c r="N518" s="27" t="n">
        <f aca="false">N(N517)+IF(AND(A518&lt;&gt;"",OR(Recherche!$C$4="",A518=Recherche!$C$4),OR(Recherche!$C$5="",B518&amp;""=Recherche!$C$5&amp;""),OR(Recherche!$C$6="",IFERROR(YEAR(L518),0)=Recherche!$C$6),OR(Recherche!$C$7="",ISNUMBER(SEARCH(Recherche!$C$7,H518))),OR(Recherche!$C$8="",J518=Recherche!$C$8),OR(Recherche!$C$9="",I518=Recherche!$C$9),OR(Recherche!$C$10="",G518&amp;""=Recherche!$C$10&amp;""),OR(Recherche!$C$11="",E518=Recherche!$C$11),OR(Recherche!$C$12="",ISNUMBER(SEARCH(Recherche!$C$12,M518&amp;" "&amp;F518)))),1,0)</f>
        <v>8</v>
      </c>
    </row>
    <row r="519" customFormat="false" ht="15" hidden="false" customHeight="false" outlineLevel="0" collapsed="false">
      <c r="A519" s="19"/>
      <c r="B519" s="19"/>
      <c r="C519" s="19"/>
      <c r="D519" s="19"/>
      <c r="E519" s="22"/>
      <c r="F519" s="19"/>
      <c r="G519" s="26" t="str">
        <f aca="false">IF(D519="","",IFERROR(VALUE(LEFT(D519,FIND(" |",D519&amp;" |")-1)),"?"))</f>
        <v/>
      </c>
      <c r="H519" s="27" t="str">
        <f aca="false">IF(G519="","",IF(G519="?","⚠ pub inconnue",IFERROR(INDEX(Pubs!$B$2:$B$3001,MATCH(G519,Pubs!$A$2:$A$3001,0))&amp;"","⚠ pub inconnue")))</f>
        <v/>
      </c>
      <c r="I519" s="27" t="str">
        <f aca="false">IF(OR(G519="",G519="?"),"",IFERROR(INDEX(Pubs!$C$2:$C$3001,MATCH(G519,Pubs!$A$2:$A$3001,0))&amp;"",""))</f>
        <v/>
      </c>
      <c r="J519" s="27" t="str">
        <f aca="false">IF(OR(G519="",G519="?"),"",IFERROR(INDEX(Pubs!$G$2:$G$3001,MATCH(G519,Pubs!$A$2:$A$3001,0))&amp;"",""))</f>
        <v/>
      </c>
      <c r="K519" s="28" t="str">
        <f aca="false">IF(OR(G519="",G519="?"),"",IFERROR(INDEX(Pubs!$E$2:$E$3001,MATCH(G519,Pubs!$A$2:$A$3001,0)),""))</f>
        <v/>
      </c>
      <c r="L519" s="29" t="str">
        <f aca="false">IF(A519="","",IFERROR(1/(1/INDEX(Numéros!$C$2:$C$3001,MATCH(A519&amp;"|"&amp;B519,Numéros!$F$2:$F$3001,0))),""))</f>
        <v/>
      </c>
      <c r="M519" s="27" t="str">
        <f aca="false">IF(OR(G519="",G519="?"),"",IFERROR(INDEX(Pubs!$D$2:$D$3001,MATCH(G519,Pubs!$A$2:$A$3001,0))&amp;"",""))</f>
        <v/>
      </c>
      <c r="N519" s="27" t="n">
        <f aca="false">N(N518)+IF(AND(A519&lt;&gt;"",OR(Recherche!$C$4="",A519=Recherche!$C$4),OR(Recherche!$C$5="",B519&amp;""=Recherche!$C$5&amp;""),OR(Recherche!$C$6="",IFERROR(YEAR(L519),0)=Recherche!$C$6),OR(Recherche!$C$7="",ISNUMBER(SEARCH(Recherche!$C$7,H519))),OR(Recherche!$C$8="",J519=Recherche!$C$8),OR(Recherche!$C$9="",I519=Recherche!$C$9),OR(Recherche!$C$10="",G519&amp;""=Recherche!$C$10&amp;""),OR(Recherche!$C$11="",E519=Recherche!$C$11),OR(Recherche!$C$12="",ISNUMBER(SEARCH(Recherche!$C$12,M519&amp;" "&amp;F519)))),1,0)</f>
        <v>8</v>
      </c>
    </row>
    <row r="520" customFormat="false" ht="15" hidden="false" customHeight="false" outlineLevel="0" collapsed="false">
      <c r="A520" s="19"/>
      <c r="B520" s="19"/>
      <c r="C520" s="19"/>
      <c r="D520" s="19"/>
      <c r="E520" s="22"/>
      <c r="F520" s="19"/>
      <c r="G520" s="26" t="str">
        <f aca="false">IF(D520="","",IFERROR(VALUE(LEFT(D520,FIND(" |",D520&amp;" |")-1)),"?"))</f>
        <v/>
      </c>
      <c r="H520" s="27" t="str">
        <f aca="false">IF(G520="","",IF(G520="?","⚠ pub inconnue",IFERROR(INDEX(Pubs!$B$2:$B$3001,MATCH(G520,Pubs!$A$2:$A$3001,0))&amp;"","⚠ pub inconnue")))</f>
        <v/>
      </c>
      <c r="I520" s="27" t="str">
        <f aca="false">IF(OR(G520="",G520="?"),"",IFERROR(INDEX(Pubs!$C$2:$C$3001,MATCH(G520,Pubs!$A$2:$A$3001,0))&amp;"",""))</f>
        <v/>
      </c>
      <c r="J520" s="27" t="str">
        <f aca="false">IF(OR(G520="",G520="?"),"",IFERROR(INDEX(Pubs!$G$2:$G$3001,MATCH(G520,Pubs!$A$2:$A$3001,0))&amp;"",""))</f>
        <v/>
      </c>
      <c r="K520" s="28" t="str">
        <f aca="false">IF(OR(G520="",G520="?"),"",IFERROR(INDEX(Pubs!$E$2:$E$3001,MATCH(G520,Pubs!$A$2:$A$3001,0)),""))</f>
        <v/>
      </c>
      <c r="L520" s="29" t="str">
        <f aca="false">IF(A520="","",IFERROR(1/(1/INDEX(Numéros!$C$2:$C$3001,MATCH(A520&amp;"|"&amp;B520,Numéros!$F$2:$F$3001,0))),""))</f>
        <v/>
      </c>
      <c r="M520" s="27" t="str">
        <f aca="false">IF(OR(G520="",G520="?"),"",IFERROR(INDEX(Pubs!$D$2:$D$3001,MATCH(G520,Pubs!$A$2:$A$3001,0))&amp;"",""))</f>
        <v/>
      </c>
      <c r="N520" s="27" t="n">
        <f aca="false">N(N519)+IF(AND(A520&lt;&gt;"",OR(Recherche!$C$4="",A520=Recherche!$C$4),OR(Recherche!$C$5="",B520&amp;""=Recherche!$C$5&amp;""),OR(Recherche!$C$6="",IFERROR(YEAR(L520),0)=Recherche!$C$6),OR(Recherche!$C$7="",ISNUMBER(SEARCH(Recherche!$C$7,H520))),OR(Recherche!$C$8="",J520=Recherche!$C$8),OR(Recherche!$C$9="",I520=Recherche!$C$9),OR(Recherche!$C$10="",G520&amp;""=Recherche!$C$10&amp;""),OR(Recherche!$C$11="",E520=Recherche!$C$11),OR(Recherche!$C$12="",ISNUMBER(SEARCH(Recherche!$C$12,M520&amp;" "&amp;F520)))),1,0)</f>
        <v>8</v>
      </c>
    </row>
    <row r="521" customFormat="false" ht="15" hidden="false" customHeight="false" outlineLevel="0" collapsed="false">
      <c r="A521" s="19"/>
      <c r="B521" s="19"/>
      <c r="C521" s="19"/>
      <c r="D521" s="19"/>
      <c r="E521" s="22"/>
      <c r="F521" s="19"/>
      <c r="G521" s="26" t="str">
        <f aca="false">IF(D521="","",IFERROR(VALUE(LEFT(D521,FIND(" |",D521&amp;" |")-1)),"?"))</f>
        <v/>
      </c>
      <c r="H521" s="27" t="str">
        <f aca="false">IF(G521="","",IF(G521="?","⚠ pub inconnue",IFERROR(INDEX(Pubs!$B$2:$B$3001,MATCH(G521,Pubs!$A$2:$A$3001,0))&amp;"","⚠ pub inconnue")))</f>
        <v/>
      </c>
      <c r="I521" s="27" t="str">
        <f aca="false">IF(OR(G521="",G521="?"),"",IFERROR(INDEX(Pubs!$C$2:$C$3001,MATCH(G521,Pubs!$A$2:$A$3001,0))&amp;"",""))</f>
        <v/>
      </c>
      <c r="J521" s="27" t="str">
        <f aca="false">IF(OR(G521="",G521="?"),"",IFERROR(INDEX(Pubs!$G$2:$G$3001,MATCH(G521,Pubs!$A$2:$A$3001,0))&amp;"",""))</f>
        <v/>
      </c>
      <c r="K521" s="28" t="str">
        <f aca="false">IF(OR(G521="",G521="?"),"",IFERROR(INDEX(Pubs!$E$2:$E$3001,MATCH(G521,Pubs!$A$2:$A$3001,0)),""))</f>
        <v/>
      </c>
      <c r="L521" s="29" t="str">
        <f aca="false">IF(A521="","",IFERROR(1/(1/INDEX(Numéros!$C$2:$C$3001,MATCH(A521&amp;"|"&amp;B521,Numéros!$F$2:$F$3001,0))),""))</f>
        <v/>
      </c>
      <c r="M521" s="27" t="str">
        <f aca="false">IF(OR(G521="",G521="?"),"",IFERROR(INDEX(Pubs!$D$2:$D$3001,MATCH(G521,Pubs!$A$2:$A$3001,0))&amp;"",""))</f>
        <v/>
      </c>
      <c r="N521" s="27" t="n">
        <f aca="false">N(N520)+IF(AND(A521&lt;&gt;"",OR(Recherche!$C$4="",A521=Recherche!$C$4),OR(Recherche!$C$5="",B521&amp;""=Recherche!$C$5&amp;""),OR(Recherche!$C$6="",IFERROR(YEAR(L521),0)=Recherche!$C$6),OR(Recherche!$C$7="",ISNUMBER(SEARCH(Recherche!$C$7,H521))),OR(Recherche!$C$8="",J521=Recherche!$C$8),OR(Recherche!$C$9="",I521=Recherche!$C$9),OR(Recherche!$C$10="",G521&amp;""=Recherche!$C$10&amp;""),OR(Recherche!$C$11="",E521=Recherche!$C$11),OR(Recherche!$C$12="",ISNUMBER(SEARCH(Recherche!$C$12,M521&amp;" "&amp;F521)))),1,0)</f>
        <v>8</v>
      </c>
    </row>
    <row r="522" customFormat="false" ht="15" hidden="false" customHeight="false" outlineLevel="0" collapsed="false">
      <c r="A522" s="19"/>
      <c r="B522" s="19"/>
      <c r="C522" s="19"/>
      <c r="D522" s="19"/>
      <c r="E522" s="22"/>
      <c r="F522" s="19"/>
      <c r="G522" s="26" t="str">
        <f aca="false">IF(D522="","",IFERROR(VALUE(LEFT(D522,FIND(" |",D522&amp;" |")-1)),"?"))</f>
        <v/>
      </c>
      <c r="H522" s="27" t="str">
        <f aca="false">IF(G522="","",IF(G522="?","⚠ pub inconnue",IFERROR(INDEX(Pubs!$B$2:$B$3001,MATCH(G522,Pubs!$A$2:$A$3001,0))&amp;"","⚠ pub inconnue")))</f>
        <v/>
      </c>
      <c r="I522" s="27" t="str">
        <f aca="false">IF(OR(G522="",G522="?"),"",IFERROR(INDEX(Pubs!$C$2:$C$3001,MATCH(G522,Pubs!$A$2:$A$3001,0))&amp;"",""))</f>
        <v/>
      </c>
      <c r="J522" s="27" t="str">
        <f aca="false">IF(OR(G522="",G522="?"),"",IFERROR(INDEX(Pubs!$G$2:$G$3001,MATCH(G522,Pubs!$A$2:$A$3001,0))&amp;"",""))</f>
        <v/>
      </c>
      <c r="K522" s="28" t="str">
        <f aca="false">IF(OR(G522="",G522="?"),"",IFERROR(INDEX(Pubs!$E$2:$E$3001,MATCH(G522,Pubs!$A$2:$A$3001,0)),""))</f>
        <v/>
      </c>
      <c r="L522" s="29" t="str">
        <f aca="false">IF(A522="","",IFERROR(1/(1/INDEX(Numéros!$C$2:$C$3001,MATCH(A522&amp;"|"&amp;B522,Numéros!$F$2:$F$3001,0))),""))</f>
        <v/>
      </c>
      <c r="M522" s="27" t="str">
        <f aca="false">IF(OR(G522="",G522="?"),"",IFERROR(INDEX(Pubs!$D$2:$D$3001,MATCH(G522,Pubs!$A$2:$A$3001,0))&amp;"",""))</f>
        <v/>
      </c>
      <c r="N522" s="27" t="n">
        <f aca="false">N(N521)+IF(AND(A522&lt;&gt;"",OR(Recherche!$C$4="",A522=Recherche!$C$4),OR(Recherche!$C$5="",B522&amp;""=Recherche!$C$5&amp;""),OR(Recherche!$C$6="",IFERROR(YEAR(L522),0)=Recherche!$C$6),OR(Recherche!$C$7="",ISNUMBER(SEARCH(Recherche!$C$7,H522))),OR(Recherche!$C$8="",J522=Recherche!$C$8),OR(Recherche!$C$9="",I522=Recherche!$C$9),OR(Recherche!$C$10="",G522&amp;""=Recherche!$C$10&amp;""),OR(Recherche!$C$11="",E522=Recherche!$C$11),OR(Recherche!$C$12="",ISNUMBER(SEARCH(Recherche!$C$12,M522&amp;" "&amp;F522)))),1,0)</f>
        <v>8</v>
      </c>
    </row>
    <row r="523" customFormat="false" ht="15" hidden="false" customHeight="false" outlineLevel="0" collapsed="false">
      <c r="A523" s="19"/>
      <c r="B523" s="19"/>
      <c r="C523" s="19"/>
      <c r="D523" s="19"/>
      <c r="E523" s="22"/>
      <c r="F523" s="19"/>
      <c r="G523" s="26" t="str">
        <f aca="false">IF(D523="","",IFERROR(VALUE(LEFT(D523,FIND(" |",D523&amp;" |")-1)),"?"))</f>
        <v/>
      </c>
      <c r="H523" s="27" t="str">
        <f aca="false">IF(G523="","",IF(G523="?","⚠ pub inconnue",IFERROR(INDEX(Pubs!$B$2:$B$3001,MATCH(G523,Pubs!$A$2:$A$3001,0))&amp;"","⚠ pub inconnue")))</f>
        <v/>
      </c>
      <c r="I523" s="27" t="str">
        <f aca="false">IF(OR(G523="",G523="?"),"",IFERROR(INDEX(Pubs!$C$2:$C$3001,MATCH(G523,Pubs!$A$2:$A$3001,0))&amp;"",""))</f>
        <v/>
      </c>
      <c r="J523" s="27" t="str">
        <f aca="false">IF(OR(G523="",G523="?"),"",IFERROR(INDEX(Pubs!$G$2:$G$3001,MATCH(G523,Pubs!$A$2:$A$3001,0))&amp;"",""))</f>
        <v/>
      </c>
      <c r="K523" s="28" t="str">
        <f aca="false">IF(OR(G523="",G523="?"),"",IFERROR(INDEX(Pubs!$E$2:$E$3001,MATCH(G523,Pubs!$A$2:$A$3001,0)),""))</f>
        <v/>
      </c>
      <c r="L523" s="29" t="str">
        <f aca="false">IF(A523="","",IFERROR(1/(1/INDEX(Numéros!$C$2:$C$3001,MATCH(A523&amp;"|"&amp;B523,Numéros!$F$2:$F$3001,0))),""))</f>
        <v/>
      </c>
      <c r="M523" s="27" t="str">
        <f aca="false">IF(OR(G523="",G523="?"),"",IFERROR(INDEX(Pubs!$D$2:$D$3001,MATCH(G523,Pubs!$A$2:$A$3001,0))&amp;"",""))</f>
        <v/>
      </c>
      <c r="N523" s="27" t="n">
        <f aca="false">N(N522)+IF(AND(A523&lt;&gt;"",OR(Recherche!$C$4="",A523=Recherche!$C$4),OR(Recherche!$C$5="",B523&amp;""=Recherche!$C$5&amp;""),OR(Recherche!$C$6="",IFERROR(YEAR(L523),0)=Recherche!$C$6),OR(Recherche!$C$7="",ISNUMBER(SEARCH(Recherche!$C$7,H523))),OR(Recherche!$C$8="",J523=Recherche!$C$8),OR(Recherche!$C$9="",I523=Recherche!$C$9),OR(Recherche!$C$10="",G523&amp;""=Recherche!$C$10&amp;""),OR(Recherche!$C$11="",E523=Recherche!$C$11),OR(Recherche!$C$12="",ISNUMBER(SEARCH(Recherche!$C$12,M523&amp;" "&amp;F523)))),1,0)</f>
        <v>8</v>
      </c>
    </row>
    <row r="524" customFormat="false" ht="15" hidden="false" customHeight="false" outlineLevel="0" collapsed="false">
      <c r="A524" s="19"/>
      <c r="B524" s="19"/>
      <c r="C524" s="19"/>
      <c r="D524" s="19"/>
      <c r="E524" s="22"/>
      <c r="F524" s="19"/>
      <c r="G524" s="26" t="str">
        <f aca="false">IF(D524="","",IFERROR(VALUE(LEFT(D524,FIND(" |",D524&amp;" |")-1)),"?"))</f>
        <v/>
      </c>
      <c r="H524" s="27" t="str">
        <f aca="false">IF(G524="","",IF(G524="?","⚠ pub inconnue",IFERROR(INDEX(Pubs!$B$2:$B$3001,MATCH(G524,Pubs!$A$2:$A$3001,0))&amp;"","⚠ pub inconnue")))</f>
        <v/>
      </c>
      <c r="I524" s="27" t="str">
        <f aca="false">IF(OR(G524="",G524="?"),"",IFERROR(INDEX(Pubs!$C$2:$C$3001,MATCH(G524,Pubs!$A$2:$A$3001,0))&amp;"",""))</f>
        <v/>
      </c>
      <c r="J524" s="27" t="str">
        <f aca="false">IF(OR(G524="",G524="?"),"",IFERROR(INDEX(Pubs!$G$2:$G$3001,MATCH(G524,Pubs!$A$2:$A$3001,0))&amp;"",""))</f>
        <v/>
      </c>
      <c r="K524" s="28" t="str">
        <f aca="false">IF(OR(G524="",G524="?"),"",IFERROR(INDEX(Pubs!$E$2:$E$3001,MATCH(G524,Pubs!$A$2:$A$3001,0)),""))</f>
        <v/>
      </c>
      <c r="L524" s="29" t="str">
        <f aca="false">IF(A524="","",IFERROR(1/(1/INDEX(Numéros!$C$2:$C$3001,MATCH(A524&amp;"|"&amp;B524,Numéros!$F$2:$F$3001,0))),""))</f>
        <v/>
      </c>
      <c r="M524" s="27" t="str">
        <f aca="false">IF(OR(G524="",G524="?"),"",IFERROR(INDEX(Pubs!$D$2:$D$3001,MATCH(G524,Pubs!$A$2:$A$3001,0))&amp;"",""))</f>
        <v/>
      </c>
      <c r="N524" s="27" t="n">
        <f aca="false">N(N523)+IF(AND(A524&lt;&gt;"",OR(Recherche!$C$4="",A524=Recherche!$C$4),OR(Recherche!$C$5="",B524&amp;""=Recherche!$C$5&amp;""),OR(Recherche!$C$6="",IFERROR(YEAR(L524),0)=Recherche!$C$6),OR(Recherche!$C$7="",ISNUMBER(SEARCH(Recherche!$C$7,H524))),OR(Recherche!$C$8="",J524=Recherche!$C$8),OR(Recherche!$C$9="",I524=Recherche!$C$9),OR(Recherche!$C$10="",G524&amp;""=Recherche!$C$10&amp;""),OR(Recherche!$C$11="",E524=Recherche!$C$11),OR(Recherche!$C$12="",ISNUMBER(SEARCH(Recherche!$C$12,M524&amp;" "&amp;F524)))),1,0)</f>
        <v>8</v>
      </c>
    </row>
    <row r="525" customFormat="false" ht="15" hidden="false" customHeight="false" outlineLevel="0" collapsed="false">
      <c r="A525" s="19"/>
      <c r="B525" s="19"/>
      <c r="C525" s="19"/>
      <c r="D525" s="19"/>
      <c r="E525" s="22"/>
      <c r="F525" s="19"/>
      <c r="G525" s="26" t="str">
        <f aca="false">IF(D525="","",IFERROR(VALUE(LEFT(D525,FIND(" |",D525&amp;" |")-1)),"?"))</f>
        <v/>
      </c>
      <c r="H525" s="27" t="str">
        <f aca="false">IF(G525="","",IF(G525="?","⚠ pub inconnue",IFERROR(INDEX(Pubs!$B$2:$B$3001,MATCH(G525,Pubs!$A$2:$A$3001,0))&amp;"","⚠ pub inconnue")))</f>
        <v/>
      </c>
      <c r="I525" s="27" t="str">
        <f aca="false">IF(OR(G525="",G525="?"),"",IFERROR(INDEX(Pubs!$C$2:$C$3001,MATCH(G525,Pubs!$A$2:$A$3001,0))&amp;"",""))</f>
        <v/>
      </c>
      <c r="J525" s="27" t="str">
        <f aca="false">IF(OR(G525="",G525="?"),"",IFERROR(INDEX(Pubs!$G$2:$G$3001,MATCH(G525,Pubs!$A$2:$A$3001,0))&amp;"",""))</f>
        <v/>
      </c>
      <c r="K525" s="28" t="str">
        <f aca="false">IF(OR(G525="",G525="?"),"",IFERROR(INDEX(Pubs!$E$2:$E$3001,MATCH(G525,Pubs!$A$2:$A$3001,0)),""))</f>
        <v/>
      </c>
      <c r="L525" s="29" t="str">
        <f aca="false">IF(A525="","",IFERROR(1/(1/INDEX(Numéros!$C$2:$C$3001,MATCH(A525&amp;"|"&amp;B525,Numéros!$F$2:$F$3001,0))),""))</f>
        <v/>
      </c>
      <c r="M525" s="27" t="str">
        <f aca="false">IF(OR(G525="",G525="?"),"",IFERROR(INDEX(Pubs!$D$2:$D$3001,MATCH(G525,Pubs!$A$2:$A$3001,0))&amp;"",""))</f>
        <v/>
      </c>
      <c r="N525" s="27" t="n">
        <f aca="false">N(N524)+IF(AND(A525&lt;&gt;"",OR(Recherche!$C$4="",A525=Recherche!$C$4),OR(Recherche!$C$5="",B525&amp;""=Recherche!$C$5&amp;""),OR(Recherche!$C$6="",IFERROR(YEAR(L525),0)=Recherche!$C$6),OR(Recherche!$C$7="",ISNUMBER(SEARCH(Recherche!$C$7,H525))),OR(Recherche!$C$8="",J525=Recherche!$C$8),OR(Recherche!$C$9="",I525=Recherche!$C$9),OR(Recherche!$C$10="",G525&amp;""=Recherche!$C$10&amp;""),OR(Recherche!$C$11="",E525=Recherche!$C$11),OR(Recherche!$C$12="",ISNUMBER(SEARCH(Recherche!$C$12,M525&amp;" "&amp;F525)))),1,0)</f>
        <v>8</v>
      </c>
    </row>
    <row r="526" customFormat="false" ht="15" hidden="false" customHeight="false" outlineLevel="0" collapsed="false">
      <c r="A526" s="19"/>
      <c r="B526" s="19"/>
      <c r="C526" s="19"/>
      <c r="D526" s="19"/>
      <c r="E526" s="22"/>
      <c r="F526" s="19"/>
      <c r="G526" s="26" t="str">
        <f aca="false">IF(D526="","",IFERROR(VALUE(LEFT(D526,FIND(" |",D526&amp;" |")-1)),"?"))</f>
        <v/>
      </c>
      <c r="H526" s="27" t="str">
        <f aca="false">IF(G526="","",IF(G526="?","⚠ pub inconnue",IFERROR(INDEX(Pubs!$B$2:$B$3001,MATCH(G526,Pubs!$A$2:$A$3001,0))&amp;"","⚠ pub inconnue")))</f>
        <v/>
      </c>
      <c r="I526" s="27" t="str">
        <f aca="false">IF(OR(G526="",G526="?"),"",IFERROR(INDEX(Pubs!$C$2:$C$3001,MATCH(G526,Pubs!$A$2:$A$3001,0))&amp;"",""))</f>
        <v/>
      </c>
      <c r="J526" s="27" t="str">
        <f aca="false">IF(OR(G526="",G526="?"),"",IFERROR(INDEX(Pubs!$G$2:$G$3001,MATCH(G526,Pubs!$A$2:$A$3001,0))&amp;"",""))</f>
        <v/>
      </c>
      <c r="K526" s="28" t="str">
        <f aca="false">IF(OR(G526="",G526="?"),"",IFERROR(INDEX(Pubs!$E$2:$E$3001,MATCH(G526,Pubs!$A$2:$A$3001,0)),""))</f>
        <v/>
      </c>
      <c r="L526" s="29" t="str">
        <f aca="false">IF(A526="","",IFERROR(1/(1/INDEX(Numéros!$C$2:$C$3001,MATCH(A526&amp;"|"&amp;B526,Numéros!$F$2:$F$3001,0))),""))</f>
        <v/>
      </c>
      <c r="M526" s="27" t="str">
        <f aca="false">IF(OR(G526="",G526="?"),"",IFERROR(INDEX(Pubs!$D$2:$D$3001,MATCH(G526,Pubs!$A$2:$A$3001,0))&amp;"",""))</f>
        <v/>
      </c>
      <c r="N526" s="27" t="n">
        <f aca="false">N(N525)+IF(AND(A526&lt;&gt;"",OR(Recherche!$C$4="",A526=Recherche!$C$4),OR(Recherche!$C$5="",B526&amp;""=Recherche!$C$5&amp;""),OR(Recherche!$C$6="",IFERROR(YEAR(L526),0)=Recherche!$C$6),OR(Recherche!$C$7="",ISNUMBER(SEARCH(Recherche!$C$7,H526))),OR(Recherche!$C$8="",J526=Recherche!$C$8),OR(Recherche!$C$9="",I526=Recherche!$C$9),OR(Recherche!$C$10="",G526&amp;""=Recherche!$C$10&amp;""),OR(Recherche!$C$11="",E526=Recherche!$C$11),OR(Recherche!$C$12="",ISNUMBER(SEARCH(Recherche!$C$12,M526&amp;" "&amp;F526)))),1,0)</f>
        <v>8</v>
      </c>
    </row>
    <row r="527" customFormat="false" ht="15" hidden="false" customHeight="false" outlineLevel="0" collapsed="false">
      <c r="A527" s="19"/>
      <c r="B527" s="19"/>
      <c r="C527" s="19"/>
      <c r="D527" s="19"/>
      <c r="E527" s="22"/>
      <c r="F527" s="19"/>
      <c r="G527" s="26" t="str">
        <f aca="false">IF(D527="","",IFERROR(VALUE(LEFT(D527,FIND(" |",D527&amp;" |")-1)),"?"))</f>
        <v/>
      </c>
      <c r="H527" s="27" t="str">
        <f aca="false">IF(G527="","",IF(G527="?","⚠ pub inconnue",IFERROR(INDEX(Pubs!$B$2:$B$3001,MATCH(G527,Pubs!$A$2:$A$3001,0))&amp;"","⚠ pub inconnue")))</f>
        <v/>
      </c>
      <c r="I527" s="27" t="str">
        <f aca="false">IF(OR(G527="",G527="?"),"",IFERROR(INDEX(Pubs!$C$2:$C$3001,MATCH(G527,Pubs!$A$2:$A$3001,0))&amp;"",""))</f>
        <v/>
      </c>
      <c r="J527" s="27" t="str">
        <f aca="false">IF(OR(G527="",G527="?"),"",IFERROR(INDEX(Pubs!$G$2:$G$3001,MATCH(G527,Pubs!$A$2:$A$3001,0))&amp;"",""))</f>
        <v/>
      </c>
      <c r="K527" s="28" t="str">
        <f aca="false">IF(OR(G527="",G527="?"),"",IFERROR(INDEX(Pubs!$E$2:$E$3001,MATCH(G527,Pubs!$A$2:$A$3001,0)),""))</f>
        <v/>
      </c>
      <c r="L527" s="29" t="str">
        <f aca="false">IF(A527="","",IFERROR(1/(1/INDEX(Numéros!$C$2:$C$3001,MATCH(A527&amp;"|"&amp;B527,Numéros!$F$2:$F$3001,0))),""))</f>
        <v/>
      </c>
      <c r="M527" s="27" t="str">
        <f aca="false">IF(OR(G527="",G527="?"),"",IFERROR(INDEX(Pubs!$D$2:$D$3001,MATCH(G527,Pubs!$A$2:$A$3001,0))&amp;"",""))</f>
        <v/>
      </c>
      <c r="N527" s="27" t="n">
        <f aca="false">N(N526)+IF(AND(A527&lt;&gt;"",OR(Recherche!$C$4="",A527=Recherche!$C$4),OR(Recherche!$C$5="",B527&amp;""=Recherche!$C$5&amp;""),OR(Recherche!$C$6="",IFERROR(YEAR(L527),0)=Recherche!$C$6),OR(Recherche!$C$7="",ISNUMBER(SEARCH(Recherche!$C$7,H527))),OR(Recherche!$C$8="",J527=Recherche!$C$8),OR(Recherche!$C$9="",I527=Recherche!$C$9),OR(Recherche!$C$10="",G527&amp;""=Recherche!$C$10&amp;""),OR(Recherche!$C$11="",E527=Recherche!$C$11),OR(Recherche!$C$12="",ISNUMBER(SEARCH(Recherche!$C$12,M527&amp;" "&amp;F527)))),1,0)</f>
        <v>8</v>
      </c>
    </row>
    <row r="528" customFormat="false" ht="15" hidden="false" customHeight="false" outlineLevel="0" collapsed="false">
      <c r="A528" s="19"/>
      <c r="B528" s="19"/>
      <c r="C528" s="19"/>
      <c r="D528" s="19"/>
      <c r="E528" s="22"/>
      <c r="F528" s="19"/>
      <c r="G528" s="26" t="str">
        <f aca="false">IF(D528="","",IFERROR(VALUE(LEFT(D528,FIND(" |",D528&amp;" |")-1)),"?"))</f>
        <v/>
      </c>
      <c r="H528" s="27" t="str">
        <f aca="false">IF(G528="","",IF(G528="?","⚠ pub inconnue",IFERROR(INDEX(Pubs!$B$2:$B$3001,MATCH(G528,Pubs!$A$2:$A$3001,0))&amp;"","⚠ pub inconnue")))</f>
        <v/>
      </c>
      <c r="I528" s="27" t="str">
        <f aca="false">IF(OR(G528="",G528="?"),"",IFERROR(INDEX(Pubs!$C$2:$C$3001,MATCH(G528,Pubs!$A$2:$A$3001,0))&amp;"",""))</f>
        <v/>
      </c>
      <c r="J528" s="27" t="str">
        <f aca="false">IF(OR(G528="",G528="?"),"",IFERROR(INDEX(Pubs!$G$2:$G$3001,MATCH(G528,Pubs!$A$2:$A$3001,0))&amp;"",""))</f>
        <v/>
      </c>
      <c r="K528" s="28" t="str">
        <f aca="false">IF(OR(G528="",G528="?"),"",IFERROR(INDEX(Pubs!$E$2:$E$3001,MATCH(G528,Pubs!$A$2:$A$3001,0)),""))</f>
        <v/>
      </c>
      <c r="L528" s="29" t="str">
        <f aca="false">IF(A528="","",IFERROR(1/(1/INDEX(Numéros!$C$2:$C$3001,MATCH(A528&amp;"|"&amp;B528,Numéros!$F$2:$F$3001,0))),""))</f>
        <v/>
      </c>
      <c r="M528" s="27" t="str">
        <f aca="false">IF(OR(G528="",G528="?"),"",IFERROR(INDEX(Pubs!$D$2:$D$3001,MATCH(G528,Pubs!$A$2:$A$3001,0))&amp;"",""))</f>
        <v/>
      </c>
      <c r="N528" s="27" t="n">
        <f aca="false">N(N527)+IF(AND(A528&lt;&gt;"",OR(Recherche!$C$4="",A528=Recherche!$C$4),OR(Recherche!$C$5="",B528&amp;""=Recherche!$C$5&amp;""),OR(Recherche!$C$6="",IFERROR(YEAR(L528),0)=Recherche!$C$6),OR(Recherche!$C$7="",ISNUMBER(SEARCH(Recherche!$C$7,H528))),OR(Recherche!$C$8="",J528=Recherche!$C$8),OR(Recherche!$C$9="",I528=Recherche!$C$9),OR(Recherche!$C$10="",G528&amp;""=Recherche!$C$10&amp;""),OR(Recherche!$C$11="",E528=Recherche!$C$11),OR(Recherche!$C$12="",ISNUMBER(SEARCH(Recherche!$C$12,M528&amp;" "&amp;F528)))),1,0)</f>
        <v>8</v>
      </c>
    </row>
    <row r="529" customFormat="false" ht="15" hidden="false" customHeight="false" outlineLevel="0" collapsed="false">
      <c r="A529" s="19"/>
      <c r="B529" s="19"/>
      <c r="C529" s="19"/>
      <c r="D529" s="19"/>
      <c r="E529" s="22"/>
      <c r="F529" s="19"/>
      <c r="G529" s="26" t="str">
        <f aca="false">IF(D529="","",IFERROR(VALUE(LEFT(D529,FIND(" |",D529&amp;" |")-1)),"?"))</f>
        <v/>
      </c>
      <c r="H529" s="27" t="str">
        <f aca="false">IF(G529="","",IF(G529="?","⚠ pub inconnue",IFERROR(INDEX(Pubs!$B$2:$B$3001,MATCH(G529,Pubs!$A$2:$A$3001,0))&amp;"","⚠ pub inconnue")))</f>
        <v/>
      </c>
      <c r="I529" s="27" t="str">
        <f aca="false">IF(OR(G529="",G529="?"),"",IFERROR(INDEX(Pubs!$C$2:$C$3001,MATCH(G529,Pubs!$A$2:$A$3001,0))&amp;"",""))</f>
        <v/>
      </c>
      <c r="J529" s="27" t="str">
        <f aca="false">IF(OR(G529="",G529="?"),"",IFERROR(INDEX(Pubs!$G$2:$G$3001,MATCH(G529,Pubs!$A$2:$A$3001,0))&amp;"",""))</f>
        <v/>
      </c>
      <c r="K529" s="28" t="str">
        <f aca="false">IF(OR(G529="",G529="?"),"",IFERROR(INDEX(Pubs!$E$2:$E$3001,MATCH(G529,Pubs!$A$2:$A$3001,0)),""))</f>
        <v/>
      </c>
      <c r="L529" s="29" t="str">
        <f aca="false">IF(A529="","",IFERROR(1/(1/INDEX(Numéros!$C$2:$C$3001,MATCH(A529&amp;"|"&amp;B529,Numéros!$F$2:$F$3001,0))),""))</f>
        <v/>
      </c>
      <c r="M529" s="27" t="str">
        <f aca="false">IF(OR(G529="",G529="?"),"",IFERROR(INDEX(Pubs!$D$2:$D$3001,MATCH(G529,Pubs!$A$2:$A$3001,0))&amp;"",""))</f>
        <v/>
      </c>
      <c r="N529" s="27" t="n">
        <f aca="false">N(N528)+IF(AND(A529&lt;&gt;"",OR(Recherche!$C$4="",A529=Recherche!$C$4),OR(Recherche!$C$5="",B529&amp;""=Recherche!$C$5&amp;""),OR(Recherche!$C$6="",IFERROR(YEAR(L529),0)=Recherche!$C$6),OR(Recherche!$C$7="",ISNUMBER(SEARCH(Recherche!$C$7,H529))),OR(Recherche!$C$8="",J529=Recherche!$C$8),OR(Recherche!$C$9="",I529=Recherche!$C$9),OR(Recherche!$C$10="",G529&amp;""=Recherche!$C$10&amp;""),OR(Recherche!$C$11="",E529=Recherche!$C$11),OR(Recherche!$C$12="",ISNUMBER(SEARCH(Recherche!$C$12,M529&amp;" "&amp;F529)))),1,0)</f>
        <v>8</v>
      </c>
    </row>
    <row r="530" customFormat="false" ht="15" hidden="false" customHeight="false" outlineLevel="0" collapsed="false">
      <c r="A530" s="19"/>
      <c r="B530" s="19"/>
      <c r="C530" s="19"/>
      <c r="D530" s="19"/>
      <c r="E530" s="22"/>
      <c r="F530" s="19"/>
      <c r="G530" s="26" t="str">
        <f aca="false">IF(D530="","",IFERROR(VALUE(LEFT(D530,FIND(" |",D530&amp;" |")-1)),"?"))</f>
        <v/>
      </c>
      <c r="H530" s="27" t="str">
        <f aca="false">IF(G530="","",IF(G530="?","⚠ pub inconnue",IFERROR(INDEX(Pubs!$B$2:$B$3001,MATCH(G530,Pubs!$A$2:$A$3001,0))&amp;"","⚠ pub inconnue")))</f>
        <v/>
      </c>
      <c r="I530" s="27" t="str">
        <f aca="false">IF(OR(G530="",G530="?"),"",IFERROR(INDEX(Pubs!$C$2:$C$3001,MATCH(G530,Pubs!$A$2:$A$3001,0))&amp;"",""))</f>
        <v/>
      </c>
      <c r="J530" s="27" t="str">
        <f aca="false">IF(OR(G530="",G530="?"),"",IFERROR(INDEX(Pubs!$G$2:$G$3001,MATCH(G530,Pubs!$A$2:$A$3001,0))&amp;"",""))</f>
        <v/>
      </c>
      <c r="K530" s="28" t="str">
        <f aca="false">IF(OR(G530="",G530="?"),"",IFERROR(INDEX(Pubs!$E$2:$E$3001,MATCH(G530,Pubs!$A$2:$A$3001,0)),""))</f>
        <v/>
      </c>
      <c r="L530" s="29" t="str">
        <f aca="false">IF(A530="","",IFERROR(1/(1/INDEX(Numéros!$C$2:$C$3001,MATCH(A530&amp;"|"&amp;B530,Numéros!$F$2:$F$3001,0))),""))</f>
        <v/>
      </c>
      <c r="M530" s="27" t="str">
        <f aca="false">IF(OR(G530="",G530="?"),"",IFERROR(INDEX(Pubs!$D$2:$D$3001,MATCH(G530,Pubs!$A$2:$A$3001,0))&amp;"",""))</f>
        <v/>
      </c>
      <c r="N530" s="27" t="n">
        <f aca="false">N(N529)+IF(AND(A530&lt;&gt;"",OR(Recherche!$C$4="",A530=Recherche!$C$4),OR(Recherche!$C$5="",B530&amp;""=Recherche!$C$5&amp;""),OR(Recherche!$C$6="",IFERROR(YEAR(L530),0)=Recherche!$C$6),OR(Recherche!$C$7="",ISNUMBER(SEARCH(Recherche!$C$7,H530))),OR(Recherche!$C$8="",J530=Recherche!$C$8),OR(Recherche!$C$9="",I530=Recherche!$C$9),OR(Recherche!$C$10="",G530&amp;""=Recherche!$C$10&amp;""),OR(Recherche!$C$11="",E530=Recherche!$C$11),OR(Recherche!$C$12="",ISNUMBER(SEARCH(Recherche!$C$12,M530&amp;" "&amp;F530)))),1,0)</f>
        <v>8</v>
      </c>
    </row>
    <row r="531" customFormat="false" ht="15" hidden="false" customHeight="false" outlineLevel="0" collapsed="false">
      <c r="A531" s="19"/>
      <c r="B531" s="19"/>
      <c r="C531" s="19"/>
      <c r="D531" s="19"/>
      <c r="E531" s="22"/>
      <c r="F531" s="19"/>
      <c r="G531" s="26" t="str">
        <f aca="false">IF(D531="","",IFERROR(VALUE(LEFT(D531,FIND(" |",D531&amp;" |")-1)),"?"))</f>
        <v/>
      </c>
      <c r="H531" s="27" t="str">
        <f aca="false">IF(G531="","",IF(G531="?","⚠ pub inconnue",IFERROR(INDEX(Pubs!$B$2:$B$3001,MATCH(G531,Pubs!$A$2:$A$3001,0))&amp;"","⚠ pub inconnue")))</f>
        <v/>
      </c>
      <c r="I531" s="27" t="str">
        <f aca="false">IF(OR(G531="",G531="?"),"",IFERROR(INDEX(Pubs!$C$2:$C$3001,MATCH(G531,Pubs!$A$2:$A$3001,0))&amp;"",""))</f>
        <v/>
      </c>
      <c r="J531" s="27" t="str">
        <f aca="false">IF(OR(G531="",G531="?"),"",IFERROR(INDEX(Pubs!$G$2:$G$3001,MATCH(G531,Pubs!$A$2:$A$3001,0))&amp;"",""))</f>
        <v/>
      </c>
      <c r="K531" s="28" t="str">
        <f aca="false">IF(OR(G531="",G531="?"),"",IFERROR(INDEX(Pubs!$E$2:$E$3001,MATCH(G531,Pubs!$A$2:$A$3001,0)),""))</f>
        <v/>
      </c>
      <c r="L531" s="29" t="str">
        <f aca="false">IF(A531="","",IFERROR(1/(1/INDEX(Numéros!$C$2:$C$3001,MATCH(A531&amp;"|"&amp;B531,Numéros!$F$2:$F$3001,0))),""))</f>
        <v/>
      </c>
      <c r="M531" s="27" t="str">
        <f aca="false">IF(OR(G531="",G531="?"),"",IFERROR(INDEX(Pubs!$D$2:$D$3001,MATCH(G531,Pubs!$A$2:$A$3001,0))&amp;"",""))</f>
        <v/>
      </c>
      <c r="N531" s="27" t="n">
        <f aca="false">N(N530)+IF(AND(A531&lt;&gt;"",OR(Recherche!$C$4="",A531=Recherche!$C$4),OR(Recherche!$C$5="",B531&amp;""=Recherche!$C$5&amp;""),OR(Recherche!$C$6="",IFERROR(YEAR(L531),0)=Recherche!$C$6),OR(Recherche!$C$7="",ISNUMBER(SEARCH(Recherche!$C$7,H531))),OR(Recherche!$C$8="",J531=Recherche!$C$8),OR(Recherche!$C$9="",I531=Recherche!$C$9),OR(Recherche!$C$10="",G531&amp;""=Recherche!$C$10&amp;""),OR(Recherche!$C$11="",E531=Recherche!$C$11),OR(Recherche!$C$12="",ISNUMBER(SEARCH(Recherche!$C$12,M531&amp;" "&amp;F531)))),1,0)</f>
        <v>8</v>
      </c>
    </row>
    <row r="532" customFormat="false" ht="15" hidden="false" customHeight="false" outlineLevel="0" collapsed="false">
      <c r="A532" s="19"/>
      <c r="B532" s="19"/>
      <c r="C532" s="19"/>
      <c r="D532" s="19"/>
      <c r="E532" s="22"/>
      <c r="F532" s="19"/>
      <c r="G532" s="26" t="str">
        <f aca="false">IF(D532="","",IFERROR(VALUE(LEFT(D532,FIND(" |",D532&amp;" |")-1)),"?"))</f>
        <v/>
      </c>
      <c r="H532" s="27" t="str">
        <f aca="false">IF(G532="","",IF(G532="?","⚠ pub inconnue",IFERROR(INDEX(Pubs!$B$2:$B$3001,MATCH(G532,Pubs!$A$2:$A$3001,0))&amp;"","⚠ pub inconnue")))</f>
        <v/>
      </c>
      <c r="I532" s="27" t="str">
        <f aca="false">IF(OR(G532="",G532="?"),"",IFERROR(INDEX(Pubs!$C$2:$C$3001,MATCH(G532,Pubs!$A$2:$A$3001,0))&amp;"",""))</f>
        <v/>
      </c>
      <c r="J532" s="27" t="str">
        <f aca="false">IF(OR(G532="",G532="?"),"",IFERROR(INDEX(Pubs!$G$2:$G$3001,MATCH(G532,Pubs!$A$2:$A$3001,0))&amp;"",""))</f>
        <v/>
      </c>
      <c r="K532" s="28" t="str">
        <f aca="false">IF(OR(G532="",G532="?"),"",IFERROR(INDEX(Pubs!$E$2:$E$3001,MATCH(G532,Pubs!$A$2:$A$3001,0)),""))</f>
        <v/>
      </c>
      <c r="L532" s="29" t="str">
        <f aca="false">IF(A532="","",IFERROR(1/(1/INDEX(Numéros!$C$2:$C$3001,MATCH(A532&amp;"|"&amp;B532,Numéros!$F$2:$F$3001,0))),""))</f>
        <v/>
      </c>
      <c r="M532" s="27" t="str">
        <f aca="false">IF(OR(G532="",G532="?"),"",IFERROR(INDEX(Pubs!$D$2:$D$3001,MATCH(G532,Pubs!$A$2:$A$3001,0))&amp;"",""))</f>
        <v/>
      </c>
      <c r="N532" s="27" t="n">
        <f aca="false">N(N531)+IF(AND(A532&lt;&gt;"",OR(Recherche!$C$4="",A532=Recherche!$C$4),OR(Recherche!$C$5="",B532&amp;""=Recherche!$C$5&amp;""),OR(Recherche!$C$6="",IFERROR(YEAR(L532),0)=Recherche!$C$6),OR(Recherche!$C$7="",ISNUMBER(SEARCH(Recherche!$C$7,H532))),OR(Recherche!$C$8="",J532=Recherche!$C$8),OR(Recherche!$C$9="",I532=Recherche!$C$9),OR(Recherche!$C$10="",G532&amp;""=Recherche!$C$10&amp;""),OR(Recherche!$C$11="",E532=Recherche!$C$11),OR(Recherche!$C$12="",ISNUMBER(SEARCH(Recherche!$C$12,M532&amp;" "&amp;F532)))),1,0)</f>
        <v>8</v>
      </c>
    </row>
    <row r="533" customFormat="false" ht="15" hidden="false" customHeight="false" outlineLevel="0" collapsed="false">
      <c r="A533" s="19"/>
      <c r="B533" s="19"/>
      <c r="C533" s="19"/>
      <c r="D533" s="19"/>
      <c r="E533" s="22"/>
      <c r="F533" s="19"/>
      <c r="G533" s="26" t="str">
        <f aca="false">IF(D533="","",IFERROR(VALUE(LEFT(D533,FIND(" |",D533&amp;" |")-1)),"?"))</f>
        <v/>
      </c>
      <c r="H533" s="27" t="str">
        <f aca="false">IF(G533="","",IF(G533="?","⚠ pub inconnue",IFERROR(INDEX(Pubs!$B$2:$B$3001,MATCH(G533,Pubs!$A$2:$A$3001,0))&amp;"","⚠ pub inconnue")))</f>
        <v/>
      </c>
      <c r="I533" s="27" t="str">
        <f aca="false">IF(OR(G533="",G533="?"),"",IFERROR(INDEX(Pubs!$C$2:$C$3001,MATCH(G533,Pubs!$A$2:$A$3001,0))&amp;"",""))</f>
        <v/>
      </c>
      <c r="J533" s="27" t="str">
        <f aca="false">IF(OR(G533="",G533="?"),"",IFERROR(INDEX(Pubs!$G$2:$G$3001,MATCH(G533,Pubs!$A$2:$A$3001,0))&amp;"",""))</f>
        <v/>
      </c>
      <c r="K533" s="28" t="str">
        <f aca="false">IF(OR(G533="",G533="?"),"",IFERROR(INDEX(Pubs!$E$2:$E$3001,MATCH(G533,Pubs!$A$2:$A$3001,0)),""))</f>
        <v/>
      </c>
      <c r="L533" s="29" t="str">
        <f aca="false">IF(A533="","",IFERROR(1/(1/INDEX(Numéros!$C$2:$C$3001,MATCH(A533&amp;"|"&amp;B533,Numéros!$F$2:$F$3001,0))),""))</f>
        <v/>
      </c>
      <c r="M533" s="27" t="str">
        <f aca="false">IF(OR(G533="",G533="?"),"",IFERROR(INDEX(Pubs!$D$2:$D$3001,MATCH(G533,Pubs!$A$2:$A$3001,0))&amp;"",""))</f>
        <v/>
      </c>
      <c r="N533" s="27" t="n">
        <f aca="false">N(N532)+IF(AND(A533&lt;&gt;"",OR(Recherche!$C$4="",A533=Recherche!$C$4),OR(Recherche!$C$5="",B533&amp;""=Recherche!$C$5&amp;""),OR(Recherche!$C$6="",IFERROR(YEAR(L533),0)=Recherche!$C$6),OR(Recherche!$C$7="",ISNUMBER(SEARCH(Recherche!$C$7,H533))),OR(Recherche!$C$8="",J533=Recherche!$C$8),OR(Recherche!$C$9="",I533=Recherche!$C$9),OR(Recherche!$C$10="",G533&amp;""=Recherche!$C$10&amp;""),OR(Recherche!$C$11="",E533=Recherche!$C$11),OR(Recherche!$C$12="",ISNUMBER(SEARCH(Recherche!$C$12,M533&amp;" "&amp;F533)))),1,0)</f>
        <v>8</v>
      </c>
    </row>
    <row r="534" customFormat="false" ht="15" hidden="false" customHeight="false" outlineLevel="0" collapsed="false">
      <c r="A534" s="19"/>
      <c r="B534" s="19"/>
      <c r="C534" s="19"/>
      <c r="D534" s="19"/>
      <c r="E534" s="22"/>
      <c r="F534" s="19"/>
      <c r="G534" s="26" t="str">
        <f aca="false">IF(D534="","",IFERROR(VALUE(LEFT(D534,FIND(" |",D534&amp;" |")-1)),"?"))</f>
        <v/>
      </c>
      <c r="H534" s="27" t="str">
        <f aca="false">IF(G534="","",IF(G534="?","⚠ pub inconnue",IFERROR(INDEX(Pubs!$B$2:$B$3001,MATCH(G534,Pubs!$A$2:$A$3001,0))&amp;"","⚠ pub inconnue")))</f>
        <v/>
      </c>
      <c r="I534" s="27" t="str">
        <f aca="false">IF(OR(G534="",G534="?"),"",IFERROR(INDEX(Pubs!$C$2:$C$3001,MATCH(G534,Pubs!$A$2:$A$3001,0))&amp;"",""))</f>
        <v/>
      </c>
      <c r="J534" s="27" t="str">
        <f aca="false">IF(OR(G534="",G534="?"),"",IFERROR(INDEX(Pubs!$G$2:$G$3001,MATCH(G534,Pubs!$A$2:$A$3001,0))&amp;"",""))</f>
        <v/>
      </c>
      <c r="K534" s="28" t="str">
        <f aca="false">IF(OR(G534="",G534="?"),"",IFERROR(INDEX(Pubs!$E$2:$E$3001,MATCH(G534,Pubs!$A$2:$A$3001,0)),""))</f>
        <v/>
      </c>
      <c r="L534" s="29" t="str">
        <f aca="false">IF(A534="","",IFERROR(1/(1/INDEX(Numéros!$C$2:$C$3001,MATCH(A534&amp;"|"&amp;B534,Numéros!$F$2:$F$3001,0))),""))</f>
        <v/>
      </c>
      <c r="M534" s="27" t="str">
        <f aca="false">IF(OR(G534="",G534="?"),"",IFERROR(INDEX(Pubs!$D$2:$D$3001,MATCH(G534,Pubs!$A$2:$A$3001,0))&amp;"",""))</f>
        <v/>
      </c>
      <c r="N534" s="27" t="n">
        <f aca="false">N(N533)+IF(AND(A534&lt;&gt;"",OR(Recherche!$C$4="",A534=Recherche!$C$4),OR(Recherche!$C$5="",B534&amp;""=Recherche!$C$5&amp;""),OR(Recherche!$C$6="",IFERROR(YEAR(L534),0)=Recherche!$C$6),OR(Recherche!$C$7="",ISNUMBER(SEARCH(Recherche!$C$7,H534))),OR(Recherche!$C$8="",J534=Recherche!$C$8),OR(Recherche!$C$9="",I534=Recherche!$C$9),OR(Recherche!$C$10="",G534&amp;""=Recherche!$C$10&amp;""),OR(Recherche!$C$11="",E534=Recherche!$C$11),OR(Recherche!$C$12="",ISNUMBER(SEARCH(Recherche!$C$12,M534&amp;" "&amp;F534)))),1,0)</f>
        <v>8</v>
      </c>
    </row>
    <row r="535" customFormat="false" ht="15" hidden="false" customHeight="false" outlineLevel="0" collapsed="false">
      <c r="A535" s="19"/>
      <c r="B535" s="19"/>
      <c r="C535" s="19"/>
      <c r="D535" s="19"/>
      <c r="E535" s="22"/>
      <c r="F535" s="19"/>
      <c r="G535" s="26" t="str">
        <f aca="false">IF(D535="","",IFERROR(VALUE(LEFT(D535,FIND(" |",D535&amp;" |")-1)),"?"))</f>
        <v/>
      </c>
      <c r="H535" s="27" t="str">
        <f aca="false">IF(G535="","",IF(G535="?","⚠ pub inconnue",IFERROR(INDEX(Pubs!$B$2:$B$3001,MATCH(G535,Pubs!$A$2:$A$3001,0))&amp;"","⚠ pub inconnue")))</f>
        <v/>
      </c>
      <c r="I535" s="27" t="str">
        <f aca="false">IF(OR(G535="",G535="?"),"",IFERROR(INDEX(Pubs!$C$2:$C$3001,MATCH(G535,Pubs!$A$2:$A$3001,0))&amp;"",""))</f>
        <v/>
      </c>
      <c r="J535" s="27" t="str">
        <f aca="false">IF(OR(G535="",G535="?"),"",IFERROR(INDEX(Pubs!$G$2:$G$3001,MATCH(G535,Pubs!$A$2:$A$3001,0))&amp;"",""))</f>
        <v/>
      </c>
      <c r="K535" s="28" t="str">
        <f aca="false">IF(OR(G535="",G535="?"),"",IFERROR(INDEX(Pubs!$E$2:$E$3001,MATCH(G535,Pubs!$A$2:$A$3001,0)),""))</f>
        <v/>
      </c>
      <c r="L535" s="29" t="str">
        <f aca="false">IF(A535="","",IFERROR(1/(1/INDEX(Numéros!$C$2:$C$3001,MATCH(A535&amp;"|"&amp;B535,Numéros!$F$2:$F$3001,0))),""))</f>
        <v/>
      </c>
      <c r="M535" s="27" t="str">
        <f aca="false">IF(OR(G535="",G535="?"),"",IFERROR(INDEX(Pubs!$D$2:$D$3001,MATCH(G535,Pubs!$A$2:$A$3001,0))&amp;"",""))</f>
        <v/>
      </c>
      <c r="N535" s="27" t="n">
        <f aca="false">N(N534)+IF(AND(A535&lt;&gt;"",OR(Recherche!$C$4="",A535=Recherche!$C$4),OR(Recherche!$C$5="",B535&amp;""=Recherche!$C$5&amp;""),OR(Recherche!$C$6="",IFERROR(YEAR(L535),0)=Recherche!$C$6),OR(Recherche!$C$7="",ISNUMBER(SEARCH(Recherche!$C$7,H535))),OR(Recherche!$C$8="",J535=Recherche!$C$8),OR(Recherche!$C$9="",I535=Recherche!$C$9),OR(Recherche!$C$10="",G535&amp;""=Recherche!$C$10&amp;""),OR(Recherche!$C$11="",E535=Recherche!$C$11),OR(Recherche!$C$12="",ISNUMBER(SEARCH(Recherche!$C$12,M535&amp;" "&amp;F535)))),1,0)</f>
        <v>8</v>
      </c>
    </row>
    <row r="536" customFormat="false" ht="15" hidden="false" customHeight="false" outlineLevel="0" collapsed="false">
      <c r="A536" s="19"/>
      <c r="B536" s="19"/>
      <c r="C536" s="19"/>
      <c r="D536" s="19"/>
      <c r="E536" s="22"/>
      <c r="F536" s="19"/>
      <c r="G536" s="26" t="str">
        <f aca="false">IF(D536="","",IFERROR(VALUE(LEFT(D536,FIND(" |",D536&amp;" |")-1)),"?"))</f>
        <v/>
      </c>
      <c r="H536" s="27" t="str">
        <f aca="false">IF(G536="","",IF(G536="?","⚠ pub inconnue",IFERROR(INDEX(Pubs!$B$2:$B$3001,MATCH(G536,Pubs!$A$2:$A$3001,0))&amp;"","⚠ pub inconnue")))</f>
        <v/>
      </c>
      <c r="I536" s="27" t="str">
        <f aca="false">IF(OR(G536="",G536="?"),"",IFERROR(INDEX(Pubs!$C$2:$C$3001,MATCH(G536,Pubs!$A$2:$A$3001,0))&amp;"",""))</f>
        <v/>
      </c>
      <c r="J536" s="27" t="str">
        <f aca="false">IF(OR(G536="",G536="?"),"",IFERROR(INDEX(Pubs!$G$2:$G$3001,MATCH(G536,Pubs!$A$2:$A$3001,0))&amp;"",""))</f>
        <v/>
      </c>
      <c r="K536" s="28" t="str">
        <f aca="false">IF(OR(G536="",G536="?"),"",IFERROR(INDEX(Pubs!$E$2:$E$3001,MATCH(G536,Pubs!$A$2:$A$3001,0)),""))</f>
        <v/>
      </c>
      <c r="L536" s="29" t="str">
        <f aca="false">IF(A536="","",IFERROR(1/(1/INDEX(Numéros!$C$2:$C$3001,MATCH(A536&amp;"|"&amp;B536,Numéros!$F$2:$F$3001,0))),""))</f>
        <v/>
      </c>
      <c r="M536" s="27" t="str">
        <f aca="false">IF(OR(G536="",G536="?"),"",IFERROR(INDEX(Pubs!$D$2:$D$3001,MATCH(G536,Pubs!$A$2:$A$3001,0))&amp;"",""))</f>
        <v/>
      </c>
      <c r="N536" s="27" t="n">
        <f aca="false">N(N535)+IF(AND(A536&lt;&gt;"",OR(Recherche!$C$4="",A536=Recherche!$C$4),OR(Recherche!$C$5="",B536&amp;""=Recherche!$C$5&amp;""),OR(Recherche!$C$6="",IFERROR(YEAR(L536),0)=Recherche!$C$6),OR(Recherche!$C$7="",ISNUMBER(SEARCH(Recherche!$C$7,H536))),OR(Recherche!$C$8="",J536=Recherche!$C$8),OR(Recherche!$C$9="",I536=Recherche!$C$9),OR(Recherche!$C$10="",G536&amp;""=Recherche!$C$10&amp;""),OR(Recherche!$C$11="",E536=Recherche!$C$11),OR(Recherche!$C$12="",ISNUMBER(SEARCH(Recherche!$C$12,M536&amp;" "&amp;F536)))),1,0)</f>
        <v>8</v>
      </c>
    </row>
    <row r="537" customFormat="false" ht="15" hidden="false" customHeight="false" outlineLevel="0" collapsed="false">
      <c r="A537" s="19"/>
      <c r="B537" s="19"/>
      <c r="C537" s="19"/>
      <c r="D537" s="19"/>
      <c r="E537" s="22"/>
      <c r="F537" s="19"/>
      <c r="G537" s="26" t="str">
        <f aca="false">IF(D537="","",IFERROR(VALUE(LEFT(D537,FIND(" |",D537&amp;" |")-1)),"?"))</f>
        <v/>
      </c>
      <c r="H537" s="27" t="str">
        <f aca="false">IF(G537="","",IF(G537="?","⚠ pub inconnue",IFERROR(INDEX(Pubs!$B$2:$B$3001,MATCH(G537,Pubs!$A$2:$A$3001,0))&amp;"","⚠ pub inconnue")))</f>
        <v/>
      </c>
      <c r="I537" s="27" t="str">
        <f aca="false">IF(OR(G537="",G537="?"),"",IFERROR(INDEX(Pubs!$C$2:$C$3001,MATCH(G537,Pubs!$A$2:$A$3001,0))&amp;"",""))</f>
        <v/>
      </c>
      <c r="J537" s="27" t="str">
        <f aca="false">IF(OR(G537="",G537="?"),"",IFERROR(INDEX(Pubs!$G$2:$G$3001,MATCH(G537,Pubs!$A$2:$A$3001,0))&amp;"",""))</f>
        <v/>
      </c>
      <c r="K537" s="28" t="str">
        <f aca="false">IF(OR(G537="",G537="?"),"",IFERROR(INDEX(Pubs!$E$2:$E$3001,MATCH(G537,Pubs!$A$2:$A$3001,0)),""))</f>
        <v/>
      </c>
      <c r="L537" s="29" t="str">
        <f aca="false">IF(A537="","",IFERROR(1/(1/INDEX(Numéros!$C$2:$C$3001,MATCH(A537&amp;"|"&amp;B537,Numéros!$F$2:$F$3001,0))),""))</f>
        <v/>
      </c>
      <c r="M537" s="27" t="str">
        <f aca="false">IF(OR(G537="",G537="?"),"",IFERROR(INDEX(Pubs!$D$2:$D$3001,MATCH(G537,Pubs!$A$2:$A$3001,0))&amp;"",""))</f>
        <v/>
      </c>
      <c r="N537" s="27" t="n">
        <f aca="false">N(N536)+IF(AND(A537&lt;&gt;"",OR(Recherche!$C$4="",A537=Recherche!$C$4),OR(Recherche!$C$5="",B537&amp;""=Recherche!$C$5&amp;""),OR(Recherche!$C$6="",IFERROR(YEAR(L537),0)=Recherche!$C$6),OR(Recherche!$C$7="",ISNUMBER(SEARCH(Recherche!$C$7,H537))),OR(Recherche!$C$8="",J537=Recherche!$C$8),OR(Recherche!$C$9="",I537=Recherche!$C$9),OR(Recherche!$C$10="",G537&amp;""=Recherche!$C$10&amp;""),OR(Recherche!$C$11="",E537=Recherche!$C$11),OR(Recherche!$C$12="",ISNUMBER(SEARCH(Recherche!$C$12,M537&amp;" "&amp;F537)))),1,0)</f>
        <v>8</v>
      </c>
    </row>
    <row r="538" customFormat="false" ht="15" hidden="false" customHeight="false" outlineLevel="0" collapsed="false">
      <c r="A538" s="19"/>
      <c r="B538" s="19"/>
      <c r="C538" s="19"/>
      <c r="D538" s="19"/>
      <c r="E538" s="22"/>
      <c r="F538" s="19"/>
      <c r="G538" s="26" t="str">
        <f aca="false">IF(D538="","",IFERROR(VALUE(LEFT(D538,FIND(" |",D538&amp;" |")-1)),"?"))</f>
        <v/>
      </c>
      <c r="H538" s="27" t="str">
        <f aca="false">IF(G538="","",IF(G538="?","⚠ pub inconnue",IFERROR(INDEX(Pubs!$B$2:$B$3001,MATCH(G538,Pubs!$A$2:$A$3001,0))&amp;"","⚠ pub inconnue")))</f>
        <v/>
      </c>
      <c r="I538" s="27" t="str">
        <f aca="false">IF(OR(G538="",G538="?"),"",IFERROR(INDEX(Pubs!$C$2:$C$3001,MATCH(G538,Pubs!$A$2:$A$3001,0))&amp;"",""))</f>
        <v/>
      </c>
      <c r="J538" s="27" t="str">
        <f aca="false">IF(OR(G538="",G538="?"),"",IFERROR(INDEX(Pubs!$G$2:$G$3001,MATCH(G538,Pubs!$A$2:$A$3001,0))&amp;"",""))</f>
        <v/>
      </c>
      <c r="K538" s="28" t="str">
        <f aca="false">IF(OR(G538="",G538="?"),"",IFERROR(INDEX(Pubs!$E$2:$E$3001,MATCH(G538,Pubs!$A$2:$A$3001,0)),""))</f>
        <v/>
      </c>
      <c r="L538" s="29" t="str">
        <f aca="false">IF(A538="","",IFERROR(1/(1/INDEX(Numéros!$C$2:$C$3001,MATCH(A538&amp;"|"&amp;B538,Numéros!$F$2:$F$3001,0))),""))</f>
        <v/>
      </c>
      <c r="M538" s="27" t="str">
        <f aca="false">IF(OR(G538="",G538="?"),"",IFERROR(INDEX(Pubs!$D$2:$D$3001,MATCH(G538,Pubs!$A$2:$A$3001,0))&amp;"",""))</f>
        <v/>
      </c>
      <c r="N538" s="27" t="n">
        <f aca="false">N(N537)+IF(AND(A538&lt;&gt;"",OR(Recherche!$C$4="",A538=Recherche!$C$4),OR(Recherche!$C$5="",B538&amp;""=Recherche!$C$5&amp;""),OR(Recherche!$C$6="",IFERROR(YEAR(L538),0)=Recherche!$C$6),OR(Recherche!$C$7="",ISNUMBER(SEARCH(Recherche!$C$7,H538))),OR(Recherche!$C$8="",J538=Recherche!$C$8),OR(Recherche!$C$9="",I538=Recherche!$C$9),OR(Recherche!$C$10="",G538&amp;""=Recherche!$C$10&amp;""),OR(Recherche!$C$11="",E538=Recherche!$C$11),OR(Recherche!$C$12="",ISNUMBER(SEARCH(Recherche!$C$12,M538&amp;" "&amp;F538)))),1,0)</f>
        <v>8</v>
      </c>
    </row>
    <row r="539" customFormat="false" ht="15" hidden="false" customHeight="false" outlineLevel="0" collapsed="false">
      <c r="A539" s="19"/>
      <c r="B539" s="19"/>
      <c r="C539" s="19"/>
      <c r="D539" s="19"/>
      <c r="E539" s="22"/>
      <c r="F539" s="19"/>
      <c r="G539" s="26" t="str">
        <f aca="false">IF(D539="","",IFERROR(VALUE(LEFT(D539,FIND(" |",D539&amp;" |")-1)),"?"))</f>
        <v/>
      </c>
      <c r="H539" s="27" t="str">
        <f aca="false">IF(G539="","",IF(G539="?","⚠ pub inconnue",IFERROR(INDEX(Pubs!$B$2:$B$3001,MATCH(G539,Pubs!$A$2:$A$3001,0))&amp;"","⚠ pub inconnue")))</f>
        <v/>
      </c>
      <c r="I539" s="27" t="str">
        <f aca="false">IF(OR(G539="",G539="?"),"",IFERROR(INDEX(Pubs!$C$2:$C$3001,MATCH(G539,Pubs!$A$2:$A$3001,0))&amp;"",""))</f>
        <v/>
      </c>
      <c r="J539" s="27" t="str">
        <f aca="false">IF(OR(G539="",G539="?"),"",IFERROR(INDEX(Pubs!$G$2:$G$3001,MATCH(G539,Pubs!$A$2:$A$3001,0))&amp;"",""))</f>
        <v/>
      </c>
      <c r="K539" s="28" t="str">
        <f aca="false">IF(OR(G539="",G539="?"),"",IFERROR(INDEX(Pubs!$E$2:$E$3001,MATCH(G539,Pubs!$A$2:$A$3001,0)),""))</f>
        <v/>
      </c>
      <c r="L539" s="29" t="str">
        <f aca="false">IF(A539="","",IFERROR(1/(1/INDEX(Numéros!$C$2:$C$3001,MATCH(A539&amp;"|"&amp;B539,Numéros!$F$2:$F$3001,0))),""))</f>
        <v/>
      </c>
      <c r="M539" s="27" t="str">
        <f aca="false">IF(OR(G539="",G539="?"),"",IFERROR(INDEX(Pubs!$D$2:$D$3001,MATCH(G539,Pubs!$A$2:$A$3001,0))&amp;"",""))</f>
        <v/>
      </c>
      <c r="N539" s="27" t="n">
        <f aca="false">N(N538)+IF(AND(A539&lt;&gt;"",OR(Recherche!$C$4="",A539=Recherche!$C$4),OR(Recherche!$C$5="",B539&amp;""=Recherche!$C$5&amp;""),OR(Recherche!$C$6="",IFERROR(YEAR(L539),0)=Recherche!$C$6),OR(Recherche!$C$7="",ISNUMBER(SEARCH(Recherche!$C$7,H539))),OR(Recherche!$C$8="",J539=Recherche!$C$8),OR(Recherche!$C$9="",I539=Recherche!$C$9),OR(Recherche!$C$10="",G539&amp;""=Recherche!$C$10&amp;""),OR(Recherche!$C$11="",E539=Recherche!$C$11),OR(Recherche!$C$12="",ISNUMBER(SEARCH(Recherche!$C$12,M539&amp;" "&amp;F539)))),1,0)</f>
        <v>8</v>
      </c>
    </row>
    <row r="540" customFormat="false" ht="15" hidden="false" customHeight="false" outlineLevel="0" collapsed="false">
      <c r="A540" s="19"/>
      <c r="B540" s="19"/>
      <c r="C540" s="19"/>
      <c r="D540" s="19"/>
      <c r="E540" s="22"/>
      <c r="F540" s="19"/>
      <c r="G540" s="26" t="str">
        <f aca="false">IF(D540="","",IFERROR(VALUE(LEFT(D540,FIND(" |",D540&amp;" |")-1)),"?"))</f>
        <v/>
      </c>
      <c r="H540" s="27" t="str">
        <f aca="false">IF(G540="","",IF(G540="?","⚠ pub inconnue",IFERROR(INDEX(Pubs!$B$2:$B$3001,MATCH(G540,Pubs!$A$2:$A$3001,0))&amp;"","⚠ pub inconnue")))</f>
        <v/>
      </c>
      <c r="I540" s="27" t="str">
        <f aca="false">IF(OR(G540="",G540="?"),"",IFERROR(INDEX(Pubs!$C$2:$C$3001,MATCH(G540,Pubs!$A$2:$A$3001,0))&amp;"",""))</f>
        <v/>
      </c>
      <c r="J540" s="27" t="str">
        <f aca="false">IF(OR(G540="",G540="?"),"",IFERROR(INDEX(Pubs!$G$2:$G$3001,MATCH(G540,Pubs!$A$2:$A$3001,0))&amp;"",""))</f>
        <v/>
      </c>
      <c r="K540" s="28" t="str">
        <f aca="false">IF(OR(G540="",G540="?"),"",IFERROR(INDEX(Pubs!$E$2:$E$3001,MATCH(G540,Pubs!$A$2:$A$3001,0)),""))</f>
        <v/>
      </c>
      <c r="L540" s="29" t="str">
        <f aca="false">IF(A540="","",IFERROR(1/(1/INDEX(Numéros!$C$2:$C$3001,MATCH(A540&amp;"|"&amp;B540,Numéros!$F$2:$F$3001,0))),""))</f>
        <v/>
      </c>
      <c r="M540" s="27" t="str">
        <f aca="false">IF(OR(G540="",G540="?"),"",IFERROR(INDEX(Pubs!$D$2:$D$3001,MATCH(G540,Pubs!$A$2:$A$3001,0))&amp;"",""))</f>
        <v/>
      </c>
      <c r="N540" s="27" t="n">
        <f aca="false">N(N539)+IF(AND(A540&lt;&gt;"",OR(Recherche!$C$4="",A540=Recherche!$C$4),OR(Recherche!$C$5="",B540&amp;""=Recherche!$C$5&amp;""),OR(Recherche!$C$6="",IFERROR(YEAR(L540),0)=Recherche!$C$6),OR(Recherche!$C$7="",ISNUMBER(SEARCH(Recherche!$C$7,H540))),OR(Recherche!$C$8="",J540=Recherche!$C$8),OR(Recherche!$C$9="",I540=Recherche!$C$9),OR(Recherche!$C$10="",G540&amp;""=Recherche!$C$10&amp;""),OR(Recherche!$C$11="",E540=Recherche!$C$11),OR(Recherche!$C$12="",ISNUMBER(SEARCH(Recherche!$C$12,M540&amp;" "&amp;F540)))),1,0)</f>
        <v>8</v>
      </c>
    </row>
    <row r="541" customFormat="false" ht="15" hidden="false" customHeight="false" outlineLevel="0" collapsed="false">
      <c r="A541" s="19"/>
      <c r="B541" s="19"/>
      <c r="C541" s="19"/>
      <c r="D541" s="19"/>
      <c r="E541" s="22"/>
      <c r="F541" s="19"/>
      <c r="G541" s="26" t="str">
        <f aca="false">IF(D541="","",IFERROR(VALUE(LEFT(D541,FIND(" |",D541&amp;" |")-1)),"?"))</f>
        <v/>
      </c>
      <c r="H541" s="27" t="str">
        <f aca="false">IF(G541="","",IF(G541="?","⚠ pub inconnue",IFERROR(INDEX(Pubs!$B$2:$B$3001,MATCH(G541,Pubs!$A$2:$A$3001,0))&amp;"","⚠ pub inconnue")))</f>
        <v/>
      </c>
      <c r="I541" s="27" t="str">
        <f aca="false">IF(OR(G541="",G541="?"),"",IFERROR(INDEX(Pubs!$C$2:$C$3001,MATCH(G541,Pubs!$A$2:$A$3001,0))&amp;"",""))</f>
        <v/>
      </c>
      <c r="J541" s="27" t="str">
        <f aca="false">IF(OR(G541="",G541="?"),"",IFERROR(INDEX(Pubs!$G$2:$G$3001,MATCH(G541,Pubs!$A$2:$A$3001,0))&amp;"",""))</f>
        <v/>
      </c>
      <c r="K541" s="28" t="str">
        <f aca="false">IF(OR(G541="",G541="?"),"",IFERROR(INDEX(Pubs!$E$2:$E$3001,MATCH(G541,Pubs!$A$2:$A$3001,0)),""))</f>
        <v/>
      </c>
      <c r="L541" s="29" t="str">
        <f aca="false">IF(A541="","",IFERROR(1/(1/INDEX(Numéros!$C$2:$C$3001,MATCH(A541&amp;"|"&amp;B541,Numéros!$F$2:$F$3001,0))),""))</f>
        <v/>
      </c>
      <c r="M541" s="27" t="str">
        <f aca="false">IF(OR(G541="",G541="?"),"",IFERROR(INDEX(Pubs!$D$2:$D$3001,MATCH(G541,Pubs!$A$2:$A$3001,0))&amp;"",""))</f>
        <v/>
      </c>
      <c r="N541" s="27" t="n">
        <f aca="false">N(N540)+IF(AND(A541&lt;&gt;"",OR(Recherche!$C$4="",A541=Recherche!$C$4),OR(Recherche!$C$5="",B541&amp;""=Recherche!$C$5&amp;""),OR(Recherche!$C$6="",IFERROR(YEAR(L541),0)=Recherche!$C$6),OR(Recherche!$C$7="",ISNUMBER(SEARCH(Recherche!$C$7,H541))),OR(Recherche!$C$8="",J541=Recherche!$C$8),OR(Recherche!$C$9="",I541=Recherche!$C$9),OR(Recherche!$C$10="",G541&amp;""=Recherche!$C$10&amp;""),OR(Recherche!$C$11="",E541=Recherche!$C$11),OR(Recherche!$C$12="",ISNUMBER(SEARCH(Recherche!$C$12,M541&amp;" "&amp;F541)))),1,0)</f>
        <v>8</v>
      </c>
    </row>
    <row r="542" customFormat="false" ht="15" hidden="false" customHeight="false" outlineLevel="0" collapsed="false">
      <c r="A542" s="19"/>
      <c r="B542" s="19"/>
      <c r="C542" s="19"/>
      <c r="D542" s="19"/>
      <c r="E542" s="22"/>
      <c r="F542" s="19"/>
      <c r="G542" s="26" t="str">
        <f aca="false">IF(D542="","",IFERROR(VALUE(LEFT(D542,FIND(" |",D542&amp;" |")-1)),"?"))</f>
        <v/>
      </c>
      <c r="H542" s="27" t="str">
        <f aca="false">IF(G542="","",IF(G542="?","⚠ pub inconnue",IFERROR(INDEX(Pubs!$B$2:$B$3001,MATCH(G542,Pubs!$A$2:$A$3001,0))&amp;"","⚠ pub inconnue")))</f>
        <v/>
      </c>
      <c r="I542" s="27" t="str">
        <f aca="false">IF(OR(G542="",G542="?"),"",IFERROR(INDEX(Pubs!$C$2:$C$3001,MATCH(G542,Pubs!$A$2:$A$3001,0))&amp;"",""))</f>
        <v/>
      </c>
      <c r="J542" s="27" t="str">
        <f aca="false">IF(OR(G542="",G542="?"),"",IFERROR(INDEX(Pubs!$G$2:$G$3001,MATCH(G542,Pubs!$A$2:$A$3001,0))&amp;"",""))</f>
        <v/>
      </c>
      <c r="K542" s="28" t="str">
        <f aca="false">IF(OR(G542="",G542="?"),"",IFERROR(INDEX(Pubs!$E$2:$E$3001,MATCH(G542,Pubs!$A$2:$A$3001,0)),""))</f>
        <v/>
      </c>
      <c r="L542" s="29" t="str">
        <f aca="false">IF(A542="","",IFERROR(1/(1/INDEX(Numéros!$C$2:$C$3001,MATCH(A542&amp;"|"&amp;B542,Numéros!$F$2:$F$3001,0))),""))</f>
        <v/>
      </c>
      <c r="M542" s="27" t="str">
        <f aca="false">IF(OR(G542="",G542="?"),"",IFERROR(INDEX(Pubs!$D$2:$D$3001,MATCH(G542,Pubs!$A$2:$A$3001,0))&amp;"",""))</f>
        <v/>
      </c>
      <c r="N542" s="27" t="n">
        <f aca="false">N(N541)+IF(AND(A542&lt;&gt;"",OR(Recherche!$C$4="",A542=Recherche!$C$4),OR(Recherche!$C$5="",B542&amp;""=Recherche!$C$5&amp;""),OR(Recherche!$C$6="",IFERROR(YEAR(L542),0)=Recherche!$C$6),OR(Recherche!$C$7="",ISNUMBER(SEARCH(Recherche!$C$7,H542))),OR(Recherche!$C$8="",J542=Recherche!$C$8),OR(Recherche!$C$9="",I542=Recherche!$C$9),OR(Recherche!$C$10="",G542&amp;""=Recherche!$C$10&amp;""),OR(Recherche!$C$11="",E542=Recherche!$C$11),OR(Recherche!$C$12="",ISNUMBER(SEARCH(Recherche!$C$12,M542&amp;" "&amp;F542)))),1,0)</f>
        <v>8</v>
      </c>
    </row>
    <row r="543" customFormat="false" ht="15" hidden="false" customHeight="false" outlineLevel="0" collapsed="false">
      <c r="A543" s="19"/>
      <c r="B543" s="19"/>
      <c r="C543" s="19"/>
      <c r="D543" s="19"/>
      <c r="E543" s="22"/>
      <c r="F543" s="19"/>
      <c r="G543" s="26" t="str">
        <f aca="false">IF(D543="","",IFERROR(VALUE(LEFT(D543,FIND(" |",D543&amp;" |")-1)),"?"))</f>
        <v/>
      </c>
      <c r="H543" s="27" t="str">
        <f aca="false">IF(G543="","",IF(G543="?","⚠ pub inconnue",IFERROR(INDEX(Pubs!$B$2:$B$3001,MATCH(G543,Pubs!$A$2:$A$3001,0))&amp;"","⚠ pub inconnue")))</f>
        <v/>
      </c>
      <c r="I543" s="27" t="str">
        <f aca="false">IF(OR(G543="",G543="?"),"",IFERROR(INDEX(Pubs!$C$2:$C$3001,MATCH(G543,Pubs!$A$2:$A$3001,0))&amp;"",""))</f>
        <v/>
      </c>
      <c r="J543" s="27" t="str">
        <f aca="false">IF(OR(G543="",G543="?"),"",IFERROR(INDEX(Pubs!$G$2:$G$3001,MATCH(G543,Pubs!$A$2:$A$3001,0))&amp;"",""))</f>
        <v/>
      </c>
      <c r="K543" s="28" t="str">
        <f aca="false">IF(OR(G543="",G543="?"),"",IFERROR(INDEX(Pubs!$E$2:$E$3001,MATCH(G543,Pubs!$A$2:$A$3001,0)),""))</f>
        <v/>
      </c>
      <c r="L543" s="29" t="str">
        <f aca="false">IF(A543="","",IFERROR(1/(1/INDEX(Numéros!$C$2:$C$3001,MATCH(A543&amp;"|"&amp;B543,Numéros!$F$2:$F$3001,0))),""))</f>
        <v/>
      </c>
      <c r="M543" s="27" t="str">
        <f aca="false">IF(OR(G543="",G543="?"),"",IFERROR(INDEX(Pubs!$D$2:$D$3001,MATCH(G543,Pubs!$A$2:$A$3001,0))&amp;"",""))</f>
        <v/>
      </c>
      <c r="N543" s="27" t="n">
        <f aca="false">N(N542)+IF(AND(A543&lt;&gt;"",OR(Recherche!$C$4="",A543=Recherche!$C$4),OR(Recherche!$C$5="",B543&amp;""=Recherche!$C$5&amp;""),OR(Recherche!$C$6="",IFERROR(YEAR(L543),0)=Recherche!$C$6),OR(Recherche!$C$7="",ISNUMBER(SEARCH(Recherche!$C$7,H543))),OR(Recherche!$C$8="",J543=Recherche!$C$8),OR(Recherche!$C$9="",I543=Recherche!$C$9),OR(Recherche!$C$10="",G543&amp;""=Recherche!$C$10&amp;""),OR(Recherche!$C$11="",E543=Recherche!$C$11),OR(Recherche!$C$12="",ISNUMBER(SEARCH(Recherche!$C$12,M543&amp;" "&amp;F543)))),1,0)</f>
        <v>8</v>
      </c>
    </row>
    <row r="544" customFormat="false" ht="15" hidden="false" customHeight="false" outlineLevel="0" collapsed="false">
      <c r="A544" s="19"/>
      <c r="B544" s="19"/>
      <c r="C544" s="19"/>
      <c r="D544" s="19"/>
      <c r="E544" s="22"/>
      <c r="F544" s="19"/>
      <c r="G544" s="26" t="str">
        <f aca="false">IF(D544="","",IFERROR(VALUE(LEFT(D544,FIND(" |",D544&amp;" |")-1)),"?"))</f>
        <v/>
      </c>
      <c r="H544" s="27" t="str">
        <f aca="false">IF(G544="","",IF(G544="?","⚠ pub inconnue",IFERROR(INDEX(Pubs!$B$2:$B$3001,MATCH(G544,Pubs!$A$2:$A$3001,0))&amp;"","⚠ pub inconnue")))</f>
        <v/>
      </c>
      <c r="I544" s="27" t="str">
        <f aca="false">IF(OR(G544="",G544="?"),"",IFERROR(INDEX(Pubs!$C$2:$C$3001,MATCH(G544,Pubs!$A$2:$A$3001,0))&amp;"",""))</f>
        <v/>
      </c>
      <c r="J544" s="27" t="str">
        <f aca="false">IF(OR(G544="",G544="?"),"",IFERROR(INDEX(Pubs!$G$2:$G$3001,MATCH(G544,Pubs!$A$2:$A$3001,0))&amp;"",""))</f>
        <v/>
      </c>
      <c r="K544" s="28" t="str">
        <f aca="false">IF(OR(G544="",G544="?"),"",IFERROR(INDEX(Pubs!$E$2:$E$3001,MATCH(G544,Pubs!$A$2:$A$3001,0)),""))</f>
        <v/>
      </c>
      <c r="L544" s="29" t="str">
        <f aca="false">IF(A544="","",IFERROR(1/(1/INDEX(Numéros!$C$2:$C$3001,MATCH(A544&amp;"|"&amp;B544,Numéros!$F$2:$F$3001,0))),""))</f>
        <v/>
      </c>
      <c r="M544" s="27" t="str">
        <f aca="false">IF(OR(G544="",G544="?"),"",IFERROR(INDEX(Pubs!$D$2:$D$3001,MATCH(G544,Pubs!$A$2:$A$3001,0))&amp;"",""))</f>
        <v/>
      </c>
      <c r="N544" s="27" t="n">
        <f aca="false">N(N543)+IF(AND(A544&lt;&gt;"",OR(Recherche!$C$4="",A544=Recherche!$C$4),OR(Recherche!$C$5="",B544&amp;""=Recherche!$C$5&amp;""),OR(Recherche!$C$6="",IFERROR(YEAR(L544),0)=Recherche!$C$6),OR(Recherche!$C$7="",ISNUMBER(SEARCH(Recherche!$C$7,H544))),OR(Recherche!$C$8="",J544=Recherche!$C$8),OR(Recherche!$C$9="",I544=Recherche!$C$9),OR(Recherche!$C$10="",G544&amp;""=Recherche!$C$10&amp;""),OR(Recherche!$C$11="",E544=Recherche!$C$11),OR(Recherche!$C$12="",ISNUMBER(SEARCH(Recherche!$C$12,M544&amp;" "&amp;F544)))),1,0)</f>
        <v>8</v>
      </c>
    </row>
    <row r="545" customFormat="false" ht="15" hidden="false" customHeight="false" outlineLevel="0" collapsed="false">
      <c r="A545" s="19"/>
      <c r="B545" s="19"/>
      <c r="C545" s="19"/>
      <c r="D545" s="19"/>
      <c r="E545" s="22"/>
      <c r="F545" s="19"/>
      <c r="G545" s="26" t="str">
        <f aca="false">IF(D545="","",IFERROR(VALUE(LEFT(D545,FIND(" |",D545&amp;" |")-1)),"?"))</f>
        <v/>
      </c>
      <c r="H545" s="27" t="str">
        <f aca="false">IF(G545="","",IF(G545="?","⚠ pub inconnue",IFERROR(INDEX(Pubs!$B$2:$B$3001,MATCH(G545,Pubs!$A$2:$A$3001,0))&amp;"","⚠ pub inconnue")))</f>
        <v/>
      </c>
      <c r="I545" s="27" t="str">
        <f aca="false">IF(OR(G545="",G545="?"),"",IFERROR(INDEX(Pubs!$C$2:$C$3001,MATCH(G545,Pubs!$A$2:$A$3001,0))&amp;"",""))</f>
        <v/>
      </c>
      <c r="J545" s="27" t="str">
        <f aca="false">IF(OR(G545="",G545="?"),"",IFERROR(INDEX(Pubs!$G$2:$G$3001,MATCH(G545,Pubs!$A$2:$A$3001,0))&amp;"",""))</f>
        <v/>
      </c>
      <c r="K545" s="28" t="str">
        <f aca="false">IF(OR(G545="",G545="?"),"",IFERROR(INDEX(Pubs!$E$2:$E$3001,MATCH(G545,Pubs!$A$2:$A$3001,0)),""))</f>
        <v/>
      </c>
      <c r="L545" s="29" t="str">
        <f aca="false">IF(A545="","",IFERROR(1/(1/INDEX(Numéros!$C$2:$C$3001,MATCH(A545&amp;"|"&amp;B545,Numéros!$F$2:$F$3001,0))),""))</f>
        <v/>
      </c>
      <c r="M545" s="27" t="str">
        <f aca="false">IF(OR(G545="",G545="?"),"",IFERROR(INDEX(Pubs!$D$2:$D$3001,MATCH(G545,Pubs!$A$2:$A$3001,0))&amp;"",""))</f>
        <v/>
      </c>
      <c r="N545" s="27" t="n">
        <f aca="false">N(N544)+IF(AND(A545&lt;&gt;"",OR(Recherche!$C$4="",A545=Recherche!$C$4),OR(Recherche!$C$5="",B545&amp;""=Recherche!$C$5&amp;""),OR(Recherche!$C$6="",IFERROR(YEAR(L545),0)=Recherche!$C$6),OR(Recherche!$C$7="",ISNUMBER(SEARCH(Recherche!$C$7,H545))),OR(Recherche!$C$8="",J545=Recherche!$C$8),OR(Recherche!$C$9="",I545=Recherche!$C$9),OR(Recherche!$C$10="",G545&amp;""=Recherche!$C$10&amp;""),OR(Recherche!$C$11="",E545=Recherche!$C$11),OR(Recherche!$C$12="",ISNUMBER(SEARCH(Recherche!$C$12,M545&amp;" "&amp;F545)))),1,0)</f>
        <v>8</v>
      </c>
    </row>
    <row r="546" customFormat="false" ht="15" hidden="false" customHeight="false" outlineLevel="0" collapsed="false">
      <c r="A546" s="19"/>
      <c r="B546" s="19"/>
      <c r="C546" s="19"/>
      <c r="D546" s="19"/>
      <c r="E546" s="22"/>
      <c r="F546" s="19"/>
      <c r="G546" s="26" t="str">
        <f aca="false">IF(D546="","",IFERROR(VALUE(LEFT(D546,FIND(" |",D546&amp;" |")-1)),"?"))</f>
        <v/>
      </c>
      <c r="H546" s="27" t="str">
        <f aca="false">IF(G546="","",IF(G546="?","⚠ pub inconnue",IFERROR(INDEX(Pubs!$B$2:$B$3001,MATCH(G546,Pubs!$A$2:$A$3001,0))&amp;"","⚠ pub inconnue")))</f>
        <v/>
      </c>
      <c r="I546" s="27" t="str">
        <f aca="false">IF(OR(G546="",G546="?"),"",IFERROR(INDEX(Pubs!$C$2:$C$3001,MATCH(G546,Pubs!$A$2:$A$3001,0))&amp;"",""))</f>
        <v/>
      </c>
      <c r="J546" s="27" t="str">
        <f aca="false">IF(OR(G546="",G546="?"),"",IFERROR(INDEX(Pubs!$G$2:$G$3001,MATCH(G546,Pubs!$A$2:$A$3001,0))&amp;"",""))</f>
        <v/>
      </c>
      <c r="K546" s="28" t="str">
        <f aca="false">IF(OR(G546="",G546="?"),"",IFERROR(INDEX(Pubs!$E$2:$E$3001,MATCH(G546,Pubs!$A$2:$A$3001,0)),""))</f>
        <v/>
      </c>
      <c r="L546" s="29" t="str">
        <f aca="false">IF(A546="","",IFERROR(1/(1/INDEX(Numéros!$C$2:$C$3001,MATCH(A546&amp;"|"&amp;B546,Numéros!$F$2:$F$3001,0))),""))</f>
        <v/>
      </c>
      <c r="M546" s="27" t="str">
        <f aca="false">IF(OR(G546="",G546="?"),"",IFERROR(INDEX(Pubs!$D$2:$D$3001,MATCH(G546,Pubs!$A$2:$A$3001,0))&amp;"",""))</f>
        <v/>
      </c>
      <c r="N546" s="27" t="n">
        <f aca="false">N(N545)+IF(AND(A546&lt;&gt;"",OR(Recherche!$C$4="",A546=Recherche!$C$4),OR(Recherche!$C$5="",B546&amp;""=Recherche!$C$5&amp;""),OR(Recherche!$C$6="",IFERROR(YEAR(L546),0)=Recherche!$C$6),OR(Recherche!$C$7="",ISNUMBER(SEARCH(Recherche!$C$7,H546))),OR(Recherche!$C$8="",J546=Recherche!$C$8),OR(Recherche!$C$9="",I546=Recherche!$C$9),OR(Recherche!$C$10="",G546&amp;""=Recherche!$C$10&amp;""),OR(Recherche!$C$11="",E546=Recherche!$C$11),OR(Recherche!$C$12="",ISNUMBER(SEARCH(Recherche!$C$12,M546&amp;" "&amp;F546)))),1,0)</f>
        <v>8</v>
      </c>
    </row>
    <row r="547" customFormat="false" ht="15" hidden="false" customHeight="false" outlineLevel="0" collapsed="false">
      <c r="A547" s="19"/>
      <c r="B547" s="19"/>
      <c r="C547" s="19"/>
      <c r="D547" s="19"/>
      <c r="E547" s="22"/>
      <c r="F547" s="19"/>
      <c r="G547" s="26" t="str">
        <f aca="false">IF(D547="","",IFERROR(VALUE(LEFT(D547,FIND(" |",D547&amp;" |")-1)),"?"))</f>
        <v/>
      </c>
      <c r="H547" s="27" t="str">
        <f aca="false">IF(G547="","",IF(G547="?","⚠ pub inconnue",IFERROR(INDEX(Pubs!$B$2:$B$3001,MATCH(G547,Pubs!$A$2:$A$3001,0))&amp;"","⚠ pub inconnue")))</f>
        <v/>
      </c>
      <c r="I547" s="27" t="str">
        <f aca="false">IF(OR(G547="",G547="?"),"",IFERROR(INDEX(Pubs!$C$2:$C$3001,MATCH(G547,Pubs!$A$2:$A$3001,0))&amp;"",""))</f>
        <v/>
      </c>
      <c r="J547" s="27" t="str">
        <f aca="false">IF(OR(G547="",G547="?"),"",IFERROR(INDEX(Pubs!$G$2:$G$3001,MATCH(G547,Pubs!$A$2:$A$3001,0))&amp;"",""))</f>
        <v/>
      </c>
      <c r="K547" s="28" t="str">
        <f aca="false">IF(OR(G547="",G547="?"),"",IFERROR(INDEX(Pubs!$E$2:$E$3001,MATCH(G547,Pubs!$A$2:$A$3001,0)),""))</f>
        <v/>
      </c>
      <c r="L547" s="29" t="str">
        <f aca="false">IF(A547="","",IFERROR(1/(1/INDEX(Numéros!$C$2:$C$3001,MATCH(A547&amp;"|"&amp;B547,Numéros!$F$2:$F$3001,0))),""))</f>
        <v/>
      </c>
      <c r="M547" s="27" t="str">
        <f aca="false">IF(OR(G547="",G547="?"),"",IFERROR(INDEX(Pubs!$D$2:$D$3001,MATCH(G547,Pubs!$A$2:$A$3001,0))&amp;"",""))</f>
        <v/>
      </c>
      <c r="N547" s="27" t="n">
        <f aca="false">N(N546)+IF(AND(A547&lt;&gt;"",OR(Recherche!$C$4="",A547=Recherche!$C$4),OR(Recherche!$C$5="",B547&amp;""=Recherche!$C$5&amp;""),OR(Recherche!$C$6="",IFERROR(YEAR(L547),0)=Recherche!$C$6),OR(Recherche!$C$7="",ISNUMBER(SEARCH(Recherche!$C$7,H547))),OR(Recherche!$C$8="",J547=Recherche!$C$8),OR(Recherche!$C$9="",I547=Recherche!$C$9),OR(Recherche!$C$10="",G547&amp;""=Recherche!$C$10&amp;""),OR(Recherche!$C$11="",E547=Recherche!$C$11),OR(Recherche!$C$12="",ISNUMBER(SEARCH(Recherche!$C$12,M547&amp;" "&amp;F547)))),1,0)</f>
        <v>8</v>
      </c>
    </row>
    <row r="548" customFormat="false" ht="15" hidden="false" customHeight="false" outlineLevel="0" collapsed="false">
      <c r="A548" s="19"/>
      <c r="B548" s="19"/>
      <c r="C548" s="19"/>
      <c r="D548" s="19"/>
      <c r="E548" s="22"/>
      <c r="F548" s="19"/>
      <c r="G548" s="26" t="str">
        <f aca="false">IF(D548="","",IFERROR(VALUE(LEFT(D548,FIND(" |",D548&amp;" |")-1)),"?"))</f>
        <v/>
      </c>
      <c r="H548" s="27" t="str">
        <f aca="false">IF(G548="","",IF(G548="?","⚠ pub inconnue",IFERROR(INDEX(Pubs!$B$2:$B$3001,MATCH(G548,Pubs!$A$2:$A$3001,0))&amp;"","⚠ pub inconnue")))</f>
        <v/>
      </c>
      <c r="I548" s="27" t="str">
        <f aca="false">IF(OR(G548="",G548="?"),"",IFERROR(INDEX(Pubs!$C$2:$C$3001,MATCH(G548,Pubs!$A$2:$A$3001,0))&amp;"",""))</f>
        <v/>
      </c>
      <c r="J548" s="27" t="str">
        <f aca="false">IF(OR(G548="",G548="?"),"",IFERROR(INDEX(Pubs!$G$2:$G$3001,MATCH(G548,Pubs!$A$2:$A$3001,0))&amp;"",""))</f>
        <v/>
      </c>
      <c r="K548" s="28" t="str">
        <f aca="false">IF(OR(G548="",G548="?"),"",IFERROR(INDEX(Pubs!$E$2:$E$3001,MATCH(G548,Pubs!$A$2:$A$3001,0)),""))</f>
        <v/>
      </c>
      <c r="L548" s="29" t="str">
        <f aca="false">IF(A548="","",IFERROR(1/(1/INDEX(Numéros!$C$2:$C$3001,MATCH(A548&amp;"|"&amp;B548,Numéros!$F$2:$F$3001,0))),""))</f>
        <v/>
      </c>
      <c r="M548" s="27" t="str">
        <f aca="false">IF(OR(G548="",G548="?"),"",IFERROR(INDEX(Pubs!$D$2:$D$3001,MATCH(G548,Pubs!$A$2:$A$3001,0))&amp;"",""))</f>
        <v/>
      </c>
      <c r="N548" s="27" t="n">
        <f aca="false">N(N547)+IF(AND(A548&lt;&gt;"",OR(Recherche!$C$4="",A548=Recherche!$C$4),OR(Recherche!$C$5="",B548&amp;""=Recherche!$C$5&amp;""),OR(Recherche!$C$6="",IFERROR(YEAR(L548),0)=Recherche!$C$6),OR(Recherche!$C$7="",ISNUMBER(SEARCH(Recherche!$C$7,H548))),OR(Recherche!$C$8="",J548=Recherche!$C$8),OR(Recherche!$C$9="",I548=Recherche!$C$9),OR(Recherche!$C$10="",G548&amp;""=Recherche!$C$10&amp;""),OR(Recherche!$C$11="",E548=Recherche!$C$11),OR(Recherche!$C$12="",ISNUMBER(SEARCH(Recherche!$C$12,M548&amp;" "&amp;F548)))),1,0)</f>
        <v>8</v>
      </c>
    </row>
    <row r="549" customFormat="false" ht="15" hidden="false" customHeight="false" outlineLevel="0" collapsed="false">
      <c r="A549" s="19"/>
      <c r="B549" s="19"/>
      <c r="C549" s="19"/>
      <c r="D549" s="19"/>
      <c r="E549" s="22"/>
      <c r="F549" s="19"/>
      <c r="G549" s="26" t="str">
        <f aca="false">IF(D549="","",IFERROR(VALUE(LEFT(D549,FIND(" |",D549&amp;" |")-1)),"?"))</f>
        <v/>
      </c>
      <c r="H549" s="27" t="str">
        <f aca="false">IF(G549="","",IF(G549="?","⚠ pub inconnue",IFERROR(INDEX(Pubs!$B$2:$B$3001,MATCH(G549,Pubs!$A$2:$A$3001,0))&amp;"","⚠ pub inconnue")))</f>
        <v/>
      </c>
      <c r="I549" s="27" t="str">
        <f aca="false">IF(OR(G549="",G549="?"),"",IFERROR(INDEX(Pubs!$C$2:$C$3001,MATCH(G549,Pubs!$A$2:$A$3001,0))&amp;"",""))</f>
        <v/>
      </c>
      <c r="J549" s="27" t="str">
        <f aca="false">IF(OR(G549="",G549="?"),"",IFERROR(INDEX(Pubs!$G$2:$G$3001,MATCH(G549,Pubs!$A$2:$A$3001,0))&amp;"",""))</f>
        <v/>
      </c>
      <c r="K549" s="28" t="str">
        <f aca="false">IF(OR(G549="",G549="?"),"",IFERROR(INDEX(Pubs!$E$2:$E$3001,MATCH(G549,Pubs!$A$2:$A$3001,0)),""))</f>
        <v/>
      </c>
      <c r="L549" s="29" t="str">
        <f aca="false">IF(A549="","",IFERROR(1/(1/INDEX(Numéros!$C$2:$C$3001,MATCH(A549&amp;"|"&amp;B549,Numéros!$F$2:$F$3001,0))),""))</f>
        <v/>
      </c>
      <c r="M549" s="27" t="str">
        <f aca="false">IF(OR(G549="",G549="?"),"",IFERROR(INDEX(Pubs!$D$2:$D$3001,MATCH(G549,Pubs!$A$2:$A$3001,0))&amp;"",""))</f>
        <v/>
      </c>
      <c r="N549" s="27" t="n">
        <f aca="false">N(N548)+IF(AND(A549&lt;&gt;"",OR(Recherche!$C$4="",A549=Recherche!$C$4),OR(Recherche!$C$5="",B549&amp;""=Recherche!$C$5&amp;""),OR(Recherche!$C$6="",IFERROR(YEAR(L549),0)=Recherche!$C$6),OR(Recherche!$C$7="",ISNUMBER(SEARCH(Recherche!$C$7,H549))),OR(Recherche!$C$8="",J549=Recherche!$C$8),OR(Recherche!$C$9="",I549=Recherche!$C$9),OR(Recherche!$C$10="",G549&amp;""=Recherche!$C$10&amp;""),OR(Recherche!$C$11="",E549=Recherche!$C$11),OR(Recherche!$C$12="",ISNUMBER(SEARCH(Recherche!$C$12,M549&amp;" "&amp;F549)))),1,0)</f>
        <v>8</v>
      </c>
    </row>
    <row r="550" customFormat="false" ht="15" hidden="false" customHeight="false" outlineLevel="0" collapsed="false">
      <c r="A550" s="19"/>
      <c r="B550" s="19"/>
      <c r="C550" s="19"/>
      <c r="D550" s="19"/>
      <c r="E550" s="22"/>
      <c r="F550" s="19"/>
      <c r="G550" s="26" t="str">
        <f aca="false">IF(D550="","",IFERROR(VALUE(LEFT(D550,FIND(" |",D550&amp;" |")-1)),"?"))</f>
        <v/>
      </c>
      <c r="H550" s="27" t="str">
        <f aca="false">IF(G550="","",IF(G550="?","⚠ pub inconnue",IFERROR(INDEX(Pubs!$B$2:$B$3001,MATCH(G550,Pubs!$A$2:$A$3001,0))&amp;"","⚠ pub inconnue")))</f>
        <v/>
      </c>
      <c r="I550" s="27" t="str">
        <f aca="false">IF(OR(G550="",G550="?"),"",IFERROR(INDEX(Pubs!$C$2:$C$3001,MATCH(G550,Pubs!$A$2:$A$3001,0))&amp;"",""))</f>
        <v/>
      </c>
      <c r="J550" s="27" t="str">
        <f aca="false">IF(OR(G550="",G550="?"),"",IFERROR(INDEX(Pubs!$G$2:$G$3001,MATCH(G550,Pubs!$A$2:$A$3001,0))&amp;"",""))</f>
        <v/>
      </c>
      <c r="K550" s="28" t="str">
        <f aca="false">IF(OR(G550="",G550="?"),"",IFERROR(INDEX(Pubs!$E$2:$E$3001,MATCH(G550,Pubs!$A$2:$A$3001,0)),""))</f>
        <v/>
      </c>
      <c r="L550" s="29" t="str">
        <f aca="false">IF(A550="","",IFERROR(1/(1/INDEX(Numéros!$C$2:$C$3001,MATCH(A550&amp;"|"&amp;B550,Numéros!$F$2:$F$3001,0))),""))</f>
        <v/>
      </c>
      <c r="M550" s="27" t="str">
        <f aca="false">IF(OR(G550="",G550="?"),"",IFERROR(INDEX(Pubs!$D$2:$D$3001,MATCH(G550,Pubs!$A$2:$A$3001,0))&amp;"",""))</f>
        <v/>
      </c>
      <c r="N550" s="27" t="n">
        <f aca="false">N(N549)+IF(AND(A550&lt;&gt;"",OR(Recherche!$C$4="",A550=Recherche!$C$4),OR(Recherche!$C$5="",B550&amp;""=Recherche!$C$5&amp;""),OR(Recherche!$C$6="",IFERROR(YEAR(L550),0)=Recherche!$C$6),OR(Recherche!$C$7="",ISNUMBER(SEARCH(Recherche!$C$7,H550))),OR(Recherche!$C$8="",J550=Recherche!$C$8),OR(Recherche!$C$9="",I550=Recherche!$C$9),OR(Recherche!$C$10="",G550&amp;""=Recherche!$C$10&amp;""),OR(Recherche!$C$11="",E550=Recherche!$C$11),OR(Recherche!$C$12="",ISNUMBER(SEARCH(Recherche!$C$12,M550&amp;" "&amp;F550)))),1,0)</f>
        <v>8</v>
      </c>
    </row>
    <row r="551" customFormat="false" ht="15" hidden="false" customHeight="false" outlineLevel="0" collapsed="false">
      <c r="A551" s="19"/>
      <c r="B551" s="19"/>
      <c r="C551" s="19"/>
      <c r="D551" s="19"/>
      <c r="E551" s="22"/>
      <c r="F551" s="19"/>
      <c r="G551" s="26" t="str">
        <f aca="false">IF(D551="","",IFERROR(VALUE(LEFT(D551,FIND(" |",D551&amp;" |")-1)),"?"))</f>
        <v/>
      </c>
      <c r="H551" s="27" t="str">
        <f aca="false">IF(G551="","",IF(G551="?","⚠ pub inconnue",IFERROR(INDEX(Pubs!$B$2:$B$3001,MATCH(G551,Pubs!$A$2:$A$3001,0))&amp;"","⚠ pub inconnue")))</f>
        <v/>
      </c>
      <c r="I551" s="27" t="str">
        <f aca="false">IF(OR(G551="",G551="?"),"",IFERROR(INDEX(Pubs!$C$2:$C$3001,MATCH(G551,Pubs!$A$2:$A$3001,0))&amp;"",""))</f>
        <v/>
      </c>
      <c r="J551" s="27" t="str">
        <f aca="false">IF(OR(G551="",G551="?"),"",IFERROR(INDEX(Pubs!$G$2:$G$3001,MATCH(G551,Pubs!$A$2:$A$3001,0))&amp;"",""))</f>
        <v/>
      </c>
      <c r="K551" s="28" t="str">
        <f aca="false">IF(OR(G551="",G551="?"),"",IFERROR(INDEX(Pubs!$E$2:$E$3001,MATCH(G551,Pubs!$A$2:$A$3001,0)),""))</f>
        <v/>
      </c>
      <c r="L551" s="29" t="str">
        <f aca="false">IF(A551="","",IFERROR(1/(1/INDEX(Numéros!$C$2:$C$3001,MATCH(A551&amp;"|"&amp;B551,Numéros!$F$2:$F$3001,0))),""))</f>
        <v/>
      </c>
      <c r="M551" s="27" t="str">
        <f aca="false">IF(OR(G551="",G551="?"),"",IFERROR(INDEX(Pubs!$D$2:$D$3001,MATCH(G551,Pubs!$A$2:$A$3001,0))&amp;"",""))</f>
        <v/>
      </c>
      <c r="N551" s="27" t="n">
        <f aca="false">N(N550)+IF(AND(A551&lt;&gt;"",OR(Recherche!$C$4="",A551=Recherche!$C$4),OR(Recherche!$C$5="",B551&amp;""=Recherche!$C$5&amp;""),OR(Recherche!$C$6="",IFERROR(YEAR(L551),0)=Recherche!$C$6),OR(Recherche!$C$7="",ISNUMBER(SEARCH(Recherche!$C$7,H551))),OR(Recherche!$C$8="",J551=Recherche!$C$8),OR(Recherche!$C$9="",I551=Recherche!$C$9),OR(Recherche!$C$10="",G551&amp;""=Recherche!$C$10&amp;""),OR(Recherche!$C$11="",E551=Recherche!$C$11),OR(Recherche!$C$12="",ISNUMBER(SEARCH(Recherche!$C$12,M551&amp;" "&amp;F551)))),1,0)</f>
        <v>8</v>
      </c>
    </row>
    <row r="552" customFormat="false" ht="15" hidden="false" customHeight="false" outlineLevel="0" collapsed="false">
      <c r="A552" s="19"/>
      <c r="B552" s="19"/>
      <c r="C552" s="19"/>
      <c r="D552" s="19"/>
      <c r="E552" s="22"/>
      <c r="F552" s="19"/>
      <c r="G552" s="26" t="str">
        <f aca="false">IF(D552="","",IFERROR(VALUE(LEFT(D552,FIND(" |",D552&amp;" |")-1)),"?"))</f>
        <v/>
      </c>
      <c r="H552" s="27" t="str">
        <f aca="false">IF(G552="","",IF(G552="?","⚠ pub inconnue",IFERROR(INDEX(Pubs!$B$2:$B$3001,MATCH(G552,Pubs!$A$2:$A$3001,0))&amp;"","⚠ pub inconnue")))</f>
        <v/>
      </c>
      <c r="I552" s="27" t="str">
        <f aca="false">IF(OR(G552="",G552="?"),"",IFERROR(INDEX(Pubs!$C$2:$C$3001,MATCH(G552,Pubs!$A$2:$A$3001,0))&amp;"",""))</f>
        <v/>
      </c>
      <c r="J552" s="27" t="str">
        <f aca="false">IF(OR(G552="",G552="?"),"",IFERROR(INDEX(Pubs!$G$2:$G$3001,MATCH(G552,Pubs!$A$2:$A$3001,0))&amp;"",""))</f>
        <v/>
      </c>
      <c r="K552" s="28" t="str">
        <f aca="false">IF(OR(G552="",G552="?"),"",IFERROR(INDEX(Pubs!$E$2:$E$3001,MATCH(G552,Pubs!$A$2:$A$3001,0)),""))</f>
        <v/>
      </c>
      <c r="L552" s="29" t="str">
        <f aca="false">IF(A552="","",IFERROR(1/(1/INDEX(Numéros!$C$2:$C$3001,MATCH(A552&amp;"|"&amp;B552,Numéros!$F$2:$F$3001,0))),""))</f>
        <v/>
      </c>
      <c r="M552" s="27" t="str">
        <f aca="false">IF(OR(G552="",G552="?"),"",IFERROR(INDEX(Pubs!$D$2:$D$3001,MATCH(G552,Pubs!$A$2:$A$3001,0))&amp;"",""))</f>
        <v/>
      </c>
      <c r="N552" s="27" t="n">
        <f aca="false">N(N551)+IF(AND(A552&lt;&gt;"",OR(Recherche!$C$4="",A552=Recherche!$C$4),OR(Recherche!$C$5="",B552&amp;""=Recherche!$C$5&amp;""),OR(Recherche!$C$6="",IFERROR(YEAR(L552),0)=Recherche!$C$6),OR(Recherche!$C$7="",ISNUMBER(SEARCH(Recherche!$C$7,H552))),OR(Recherche!$C$8="",J552=Recherche!$C$8),OR(Recherche!$C$9="",I552=Recherche!$C$9),OR(Recherche!$C$10="",G552&amp;""=Recherche!$C$10&amp;""),OR(Recherche!$C$11="",E552=Recherche!$C$11),OR(Recherche!$C$12="",ISNUMBER(SEARCH(Recherche!$C$12,M552&amp;" "&amp;F552)))),1,0)</f>
        <v>8</v>
      </c>
    </row>
    <row r="553" customFormat="false" ht="15" hidden="false" customHeight="false" outlineLevel="0" collapsed="false">
      <c r="A553" s="19"/>
      <c r="B553" s="19"/>
      <c r="C553" s="19"/>
      <c r="D553" s="19"/>
      <c r="E553" s="22"/>
      <c r="F553" s="19"/>
      <c r="G553" s="26" t="str">
        <f aca="false">IF(D553="","",IFERROR(VALUE(LEFT(D553,FIND(" |",D553&amp;" |")-1)),"?"))</f>
        <v/>
      </c>
      <c r="H553" s="27" t="str">
        <f aca="false">IF(G553="","",IF(G553="?","⚠ pub inconnue",IFERROR(INDEX(Pubs!$B$2:$B$3001,MATCH(G553,Pubs!$A$2:$A$3001,0))&amp;"","⚠ pub inconnue")))</f>
        <v/>
      </c>
      <c r="I553" s="27" t="str">
        <f aca="false">IF(OR(G553="",G553="?"),"",IFERROR(INDEX(Pubs!$C$2:$C$3001,MATCH(G553,Pubs!$A$2:$A$3001,0))&amp;"",""))</f>
        <v/>
      </c>
      <c r="J553" s="27" t="str">
        <f aca="false">IF(OR(G553="",G553="?"),"",IFERROR(INDEX(Pubs!$G$2:$G$3001,MATCH(G553,Pubs!$A$2:$A$3001,0))&amp;"",""))</f>
        <v/>
      </c>
      <c r="K553" s="28" t="str">
        <f aca="false">IF(OR(G553="",G553="?"),"",IFERROR(INDEX(Pubs!$E$2:$E$3001,MATCH(G553,Pubs!$A$2:$A$3001,0)),""))</f>
        <v/>
      </c>
      <c r="L553" s="29" t="str">
        <f aca="false">IF(A553="","",IFERROR(1/(1/INDEX(Numéros!$C$2:$C$3001,MATCH(A553&amp;"|"&amp;B553,Numéros!$F$2:$F$3001,0))),""))</f>
        <v/>
      </c>
      <c r="M553" s="27" t="str">
        <f aca="false">IF(OR(G553="",G553="?"),"",IFERROR(INDEX(Pubs!$D$2:$D$3001,MATCH(G553,Pubs!$A$2:$A$3001,0))&amp;"",""))</f>
        <v/>
      </c>
      <c r="N553" s="27" t="n">
        <f aca="false">N(N552)+IF(AND(A553&lt;&gt;"",OR(Recherche!$C$4="",A553=Recherche!$C$4),OR(Recherche!$C$5="",B553&amp;""=Recherche!$C$5&amp;""),OR(Recherche!$C$6="",IFERROR(YEAR(L553),0)=Recherche!$C$6),OR(Recherche!$C$7="",ISNUMBER(SEARCH(Recherche!$C$7,H553))),OR(Recherche!$C$8="",J553=Recherche!$C$8),OR(Recherche!$C$9="",I553=Recherche!$C$9),OR(Recherche!$C$10="",G553&amp;""=Recherche!$C$10&amp;""),OR(Recherche!$C$11="",E553=Recherche!$C$11),OR(Recherche!$C$12="",ISNUMBER(SEARCH(Recherche!$C$12,M553&amp;" "&amp;F553)))),1,0)</f>
        <v>8</v>
      </c>
    </row>
    <row r="554" customFormat="false" ht="15" hidden="false" customHeight="false" outlineLevel="0" collapsed="false">
      <c r="A554" s="19"/>
      <c r="B554" s="19"/>
      <c r="C554" s="19"/>
      <c r="D554" s="19"/>
      <c r="E554" s="22"/>
      <c r="F554" s="19"/>
      <c r="G554" s="26" t="str">
        <f aca="false">IF(D554="","",IFERROR(VALUE(LEFT(D554,FIND(" |",D554&amp;" |")-1)),"?"))</f>
        <v/>
      </c>
      <c r="H554" s="27" t="str">
        <f aca="false">IF(G554="","",IF(G554="?","⚠ pub inconnue",IFERROR(INDEX(Pubs!$B$2:$B$3001,MATCH(G554,Pubs!$A$2:$A$3001,0))&amp;"","⚠ pub inconnue")))</f>
        <v/>
      </c>
      <c r="I554" s="27" t="str">
        <f aca="false">IF(OR(G554="",G554="?"),"",IFERROR(INDEX(Pubs!$C$2:$C$3001,MATCH(G554,Pubs!$A$2:$A$3001,0))&amp;"",""))</f>
        <v/>
      </c>
      <c r="J554" s="27" t="str">
        <f aca="false">IF(OR(G554="",G554="?"),"",IFERROR(INDEX(Pubs!$G$2:$G$3001,MATCH(G554,Pubs!$A$2:$A$3001,0))&amp;"",""))</f>
        <v/>
      </c>
      <c r="K554" s="28" t="str">
        <f aca="false">IF(OR(G554="",G554="?"),"",IFERROR(INDEX(Pubs!$E$2:$E$3001,MATCH(G554,Pubs!$A$2:$A$3001,0)),""))</f>
        <v/>
      </c>
      <c r="L554" s="29" t="str">
        <f aca="false">IF(A554="","",IFERROR(1/(1/INDEX(Numéros!$C$2:$C$3001,MATCH(A554&amp;"|"&amp;B554,Numéros!$F$2:$F$3001,0))),""))</f>
        <v/>
      </c>
      <c r="M554" s="27" t="str">
        <f aca="false">IF(OR(G554="",G554="?"),"",IFERROR(INDEX(Pubs!$D$2:$D$3001,MATCH(G554,Pubs!$A$2:$A$3001,0))&amp;"",""))</f>
        <v/>
      </c>
      <c r="N554" s="27" t="n">
        <f aca="false">N(N553)+IF(AND(A554&lt;&gt;"",OR(Recherche!$C$4="",A554=Recherche!$C$4),OR(Recherche!$C$5="",B554&amp;""=Recherche!$C$5&amp;""),OR(Recherche!$C$6="",IFERROR(YEAR(L554),0)=Recherche!$C$6),OR(Recherche!$C$7="",ISNUMBER(SEARCH(Recherche!$C$7,H554))),OR(Recherche!$C$8="",J554=Recherche!$C$8),OR(Recherche!$C$9="",I554=Recherche!$C$9),OR(Recherche!$C$10="",G554&amp;""=Recherche!$C$10&amp;""),OR(Recherche!$C$11="",E554=Recherche!$C$11),OR(Recherche!$C$12="",ISNUMBER(SEARCH(Recherche!$C$12,M554&amp;" "&amp;F554)))),1,0)</f>
        <v>8</v>
      </c>
    </row>
    <row r="555" customFormat="false" ht="15" hidden="false" customHeight="false" outlineLevel="0" collapsed="false">
      <c r="A555" s="19"/>
      <c r="B555" s="19"/>
      <c r="C555" s="19"/>
      <c r="D555" s="19"/>
      <c r="E555" s="22"/>
      <c r="F555" s="19"/>
      <c r="G555" s="26" t="str">
        <f aca="false">IF(D555="","",IFERROR(VALUE(LEFT(D555,FIND(" |",D555&amp;" |")-1)),"?"))</f>
        <v/>
      </c>
      <c r="H555" s="27" t="str">
        <f aca="false">IF(G555="","",IF(G555="?","⚠ pub inconnue",IFERROR(INDEX(Pubs!$B$2:$B$3001,MATCH(G555,Pubs!$A$2:$A$3001,0))&amp;"","⚠ pub inconnue")))</f>
        <v/>
      </c>
      <c r="I555" s="27" t="str">
        <f aca="false">IF(OR(G555="",G555="?"),"",IFERROR(INDEX(Pubs!$C$2:$C$3001,MATCH(G555,Pubs!$A$2:$A$3001,0))&amp;"",""))</f>
        <v/>
      </c>
      <c r="J555" s="27" t="str">
        <f aca="false">IF(OR(G555="",G555="?"),"",IFERROR(INDEX(Pubs!$G$2:$G$3001,MATCH(G555,Pubs!$A$2:$A$3001,0))&amp;"",""))</f>
        <v/>
      </c>
      <c r="K555" s="28" t="str">
        <f aca="false">IF(OR(G555="",G555="?"),"",IFERROR(INDEX(Pubs!$E$2:$E$3001,MATCH(G555,Pubs!$A$2:$A$3001,0)),""))</f>
        <v/>
      </c>
      <c r="L555" s="29" t="str">
        <f aca="false">IF(A555="","",IFERROR(1/(1/INDEX(Numéros!$C$2:$C$3001,MATCH(A555&amp;"|"&amp;B555,Numéros!$F$2:$F$3001,0))),""))</f>
        <v/>
      </c>
      <c r="M555" s="27" t="str">
        <f aca="false">IF(OR(G555="",G555="?"),"",IFERROR(INDEX(Pubs!$D$2:$D$3001,MATCH(G555,Pubs!$A$2:$A$3001,0))&amp;"",""))</f>
        <v/>
      </c>
      <c r="N555" s="27" t="n">
        <f aca="false">N(N554)+IF(AND(A555&lt;&gt;"",OR(Recherche!$C$4="",A555=Recherche!$C$4),OR(Recherche!$C$5="",B555&amp;""=Recherche!$C$5&amp;""),OR(Recherche!$C$6="",IFERROR(YEAR(L555),0)=Recherche!$C$6),OR(Recherche!$C$7="",ISNUMBER(SEARCH(Recherche!$C$7,H555))),OR(Recherche!$C$8="",J555=Recherche!$C$8),OR(Recherche!$C$9="",I555=Recherche!$C$9),OR(Recherche!$C$10="",G555&amp;""=Recherche!$C$10&amp;""),OR(Recherche!$C$11="",E555=Recherche!$C$11),OR(Recherche!$C$12="",ISNUMBER(SEARCH(Recherche!$C$12,M555&amp;" "&amp;F555)))),1,0)</f>
        <v>8</v>
      </c>
    </row>
    <row r="556" customFormat="false" ht="15" hidden="false" customHeight="false" outlineLevel="0" collapsed="false">
      <c r="A556" s="19"/>
      <c r="B556" s="19"/>
      <c r="C556" s="19"/>
      <c r="D556" s="19"/>
      <c r="E556" s="22"/>
      <c r="F556" s="19"/>
      <c r="G556" s="26" t="str">
        <f aca="false">IF(D556="","",IFERROR(VALUE(LEFT(D556,FIND(" |",D556&amp;" |")-1)),"?"))</f>
        <v/>
      </c>
      <c r="H556" s="27" t="str">
        <f aca="false">IF(G556="","",IF(G556="?","⚠ pub inconnue",IFERROR(INDEX(Pubs!$B$2:$B$3001,MATCH(G556,Pubs!$A$2:$A$3001,0))&amp;"","⚠ pub inconnue")))</f>
        <v/>
      </c>
      <c r="I556" s="27" t="str">
        <f aca="false">IF(OR(G556="",G556="?"),"",IFERROR(INDEX(Pubs!$C$2:$C$3001,MATCH(G556,Pubs!$A$2:$A$3001,0))&amp;"",""))</f>
        <v/>
      </c>
      <c r="J556" s="27" t="str">
        <f aca="false">IF(OR(G556="",G556="?"),"",IFERROR(INDEX(Pubs!$G$2:$G$3001,MATCH(G556,Pubs!$A$2:$A$3001,0))&amp;"",""))</f>
        <v/>
      </c>
      <c r="K556" s="28" t="str">
        <f aca="false">IF(OR(G556="",G556="?"),"",IFERROR(INDEX(Pubs!$E$2:$E$3001,MATCH(G556,Pubs!$A$2:$A$3001,0)),""))</f>
        <v/>
      </c>
      <c r="L556" s="29" t="str">
        <f aca="false">IF(A556="","",IFERROR(1/(1/INDEX(Numéros!$C$2:$C$3001,MATCH(A556&amp;"|"&amp;B556,Numéros!$F$2:$F$3001,0))),""))</f>
        <v/>
      </c>
      <c r="M556" s="27" t="str">
        <f aca="false">IF(OR(G556="",G556="?"),"",IFERROR(INDEX(Pubs!$D$2:$D$3001,MATCH(G556,Pubs!$A$2:$A$3001,0))&amp;"",""))</f>
        <v/>
      </c>
      <c r="N556" s="27" t="n">
        <f aca="false">N(N555)+IF(AND(A556&lt;&gt;"",OR(Recherche!$C$4="",A556=Recherche!$C$4),OR(Recherche!$C$5="",B556&amp;""=Recherche!$C$5&amp;""),OR(Recherche!$C$6="",IFERROR(YEAR(L556),0)=Recherche!$C$6),OR(Recherche!$C$7="",ISNUMBER(SEARCH(Recherche!$C$7,H556))),OR(Recherche!$C$8="",J556=Recherche!$C$8),OR(Recherche!$C$9="",I556=Recherche!$C$9),OR(Recherche!$C$10="",G556&amp;""=Recherche!$C$10&amp;""),OR(Recherche!$C$11="",E556=Recherche!$C$11),OR(Recherche!$C$12="",ISNUMBER(SEARCH(Recherche!$C$12,M556&amp;" "&amp;F556)))),1,0)</f>
        <v>8</v>
      </c>
    </row>
    <row r="557" customFormat="false" ht="15" hidden="false" customHeight="false" outlineLevel="0" collapsed="false">
      <c r="A557" s="19"/>
      <c r="B557" s="19"/>
      <c r="C557" s="19"/>
      <c r="D557" s="19"/>
      <c r="E557" s="22"/>
      <c r="F557" s="19"/>
      <c r="G557" s="26" t="str">
        <f aca="false">IF(D557="","",IFERROR(VALUE(LEFT(D557,FIND(" |",D557&amp;" |")-1)),"?"))</f>
        <v/>
      </c>
      <c r="H557" s="27" t="str">
        <f aca="false">IF(G557="","",IF(G557="?","⚠ pub inconnue",IFERROR(INDEX(Pubs!$B$2:$B$3001,MATCH(G557,Pubs!$A$2:$A$3001,0))&amp;"","⚠ pub inconnue")))</f>
        <v/>
      </c>
      <c r="I557" s="27" t="str">
        <f aca="false">IF(OR(G557="",G557="?"),"",IFERROR(INDEX(Pubs!$C$2:$C$3001,MATCH(G557,Pubs!$A$2:$A$3001,0))&amp;"",""))</f>
        <v/>
      </c>
      <c r="J557" s="27" t="str">
        <f aca="false">IF(OR(G557="",G557="?"),"",IFERROR(INDEX(Pubs!$G$2:$G$3001,MATCH(G557,Pubs!$A$2:$A$3001,0))&amp;"",""))</f>
        <v/>
      </c>
      <c r="K557" s="28" t="str">
        <f aca="false">IF(OR(G557="",G557="?"),"",IFERROR(INDEX(Pubs!$E$2:$E$3001,MATCH(G557,Pubs!$A$2:$A$3001,0)),""))</f>
        <v/>
      </c>
      <c r="L557" s="29" t="str">
        <f aca="false">IF(A557="","",IFERROR(1/(1/INDEX(Numéros!$C$2:$C$3001,MATCH(A557&amp;"|"&amp;B557,Numéros!$F$2:$F$3001,0))),""))</f>
        <v/>
      </c>
      <c r="M557" s="27" t="str">
        <f aca="false">IF(OR(G557="",G557="?"),"",IFERROR(INDEX(Pubs!$D$2:$D$3001,MATCH(G557,Pubs!$A$2:$A$3001,0))&amp;"",""))</f>
        <v/>
      </c>
      <c r="N557" s="27" t="n">
        <f aca="false">N(N556)+IF(AND(A557&lt;&gt;"",OR(Recherche!$C$4="",A557=Recherche!$C$4),OR(Recherche!$C$5="",B557&amp;""=Recherche!$C$5&amp;""),OR(Recherche!$C$6="",IFERROR(YEAR(L557),0)=Recherche!$C$6),OR(Recherche!$C$7="",ISNUMBER(SEARCH(Recherche!$C$7,H557))),OR(Recherche!$C$8="",J557=Recherche!$C$8),OR(Recherche!$C$9="",I557=Recherche!$C$9),OR(Recherche!$C$10="",G557&amp;""=Recherche!$C$10&amp;""),OR(Recherche!$C$11="",E557=Recherche!$C$11),OR(Recherche!$C$12="",ISNUMBER(SEARCH(Recherche!$C$12,M557&amp;" "&amp;F557)))),1,0)</f>
        <v>8</v>
      </c>
    </row>
    <row r="558" customFormat="false" ht="15" hidden="false" customHeight="false" outlineLevel="0" collapsed="false">
      <c r="A558" s="19"/>
      <c r="B558" s="19"/>
      <c r="C558" s="19"/>
      <c r="D558" s="19"/>
      <c r="E558" s="22"/>
      <c r="F558" s="19"/>
      <c r="G558" s="26" t="str">
        <f aca="false">IF(D558="","",IFERROR(VALUE(LEFT(D558,FIND(" |",D558&amp;" |")-1)),"?"))</f>
        <v/>
      </c>
      <c r="H558" s="27" t="str">
        <f aca="false">IF(G558="","",IF(G558="?","⚠ pub inconnue",IFERROR(INDEX(Pubs!$B$2:$B$3001,MATCH(G558,Pubs!$A$2:$A$3001,0))&amp;"","⚠ pub inconnue")))</f>
        <v/>
      </c>
      <c r="I558" s="27" t="str">
        <f aca="false">IF(OR(G558="",G558="?"),"",IFERROR(INDEX(Pubs!$C$2:$C$3001,MATCH(G558,Pubs!$A$2:$A$3001,0))&amp;"",""))</f>
        <v/>
      </c>
      <c r="J558" s="27" t="str">
        <f aca="false">IF(OR(G558="",G558="?"),"",IFERROR(INDEX(Pubs!$G$2:$G$3001,MATCH(G558,Pubs!$A$2:$A$3001,0))&amp;"",""))</f>
        <v/>
      </c>
      <c r="K558" s="28" t="str">
        <f aca="false">IF(OR(G558="",G558="?"),"",IFERROR(INDEX(Pubs!$E$2:$E$3001,MATCH(G558,Pubs!$A$2:$A$3001,0)),""))</f>
        <v/>
      </c>
      <c r="L558" s="29" t="str">
        <f aca="false">IF(A558="","",IFERROR(1/(1/INDEX(Numéros!$C$2:$C$3001,MATCH(A558&amp;"|"&amp;B558,Numéros!$F$2:$F$3001,0))),""))</f>
        <v/>
      </c>
      <c r="M558" s="27" t="str">
        <f aca="false">IF(OR(G558="",G558="?"),"",IFERROR(INDEX(Pubs!$D$2:$D$3001,MATCH(G558,Pubs!$A$2:$A$3001,0))&amp;"",""))</f>
        <v/>
      </c>
      <c r="N558" s="27" t="n">
        <f aca="false">N(N557)+IF(AND(A558&lt;&gt;"",OR(Recherche!$C$4="",A558=Recherche!$C$4),OR(Recherche!$C$5="",B558&amp;""=Recherche!$C$5&amp;""),OR(Recherche!$C$6="",IFERROR(YEAR(L558),0)=Recherche!$C$6),OR(Recherche!$C$7="",ISNUMBER(SEARCH(Recherche!$C$7,H558))),OR(Recherche!$C$8="",J558=Recherche!$C$8),OR(Recherche!$C$9="",I558=Recherche!$C$9),OR(Recherche!$C$10="",G558&amp;""=Recherche!$C$10&amp;""),OR(Recherche!$C$11="",E558=Recherche!$C$11),OR(Recherche!$C$12="",ISNUMBER(SEARCH(Recherche!$C$12,M558&amp;" "&amp;F558)))),1,0)</f>
        <v>8</v>
      </c>
    </row>
    <row r="559" customFormat="false" ht="15" hidden="false" customHeight="false" outlineLevel="0" collapsed="false">
      <c r="A559" s="19"/>
      <c r="B559" s="19"/>
      <c r="C559" s="19"/>
      <c r="D559" s="19"/>
      <c r="E559" s="22"/>
      <c r="F559" s="19"/>
      <c r="G559" s="26" t="str">
        <f aca="false">IF(D559="","",IFERROR(VALUE(LEFT(D559,FIND(" |",D559&amp;" |")-1)),"?"))</f>
        <v/>
      </c>
      <c r="H559" s="27" t="str">
        <f aca="false">IF(G559="","",IF(G559="?","⚠ pub inconnue",IFERROR(INDEX(Pubs!$B$2:$B$3001,MATCH(G559,Pubs!$A$2:$A$3001,0))&amp;"","⚠ pub inconnue")))</f>
        <v/>
      </c>
      <c r="I559" s="27" t="str">
        <f aca="false">IF(OR(G559="",G559="?"),"",IFERROR(INDEX(Pubs!$C$2:$C$3001,MATCH(G559,Pubs!$A$2:$A$3001,0))&amp;"",""))</f>
        <v/>
      </c>
      <c r="J559" s="27" t="str">
        <f aca="false">IF(OR(G559="",G559="?"),"",IFERROR(INDEX(Pubs!$G$2:$G$3001,MATCH(G559,Pubs!$A$2:$A$3001,0))&amp;"",""))</f>
        <v/>
      </c>
      <c r="K559" s="28" t="str">
        <f aca="false">IF(OR(G559="",G559="?"),"",IFERROR(INDEX(Pubs!$E$2:$E$3001,MATCH(G559,Pubs!$A$2:$A$3001,0)),""))</f>
        <v/>
      </c>
      <c r="L559" s="29" t="str">
        <f aca="false">IF(A559="","",IFERROR(1/(1/INDEX(Numéros!$C$2:$C$3001,MATCH(A559&amp;"|"&amp;B559,Numéros!$F$2:$F$3001,0))),""))</f>
        <v/>
      </c>
      <c r="M559" s="27" t="str">
        <f aca="false">IF(OR(G559="",G559="?"),"",IFERROR(INDEX(Pubs!$D$2:$D$3001,MATCH(G559,Pubs!$A$2:$A$3001,0))&amp;"",""))</f>
        <v/>
      </c>
      <c r="N559" s="27" t="n">
        <f aca="false">N(N558)+IF(AND(A559&lt;&gt;"",OR(Recherche!$C$4="",A559=Recherche!$C$4),OR(Recherche!$C$5="",B559&amp;""=Recherche!$C$5&amp;""),OR(Recherche!$C$6="",IFERROR(YEAR(L559),0)=Recherche!$C$6),OR(Recherche!$C$7="",ISNUMBER(SEARCH(Recherche!$C$7,H559))),OR(Recherche!$C$8="",J559=Recherche!$C$8),OR(Recherche!$C$9="",I559=Recherche!$C$9),OR(Recherche!$C$10="",G559&amp;""=Recherche!$C$10&amp;""),OR(Recherche!$C$11="",E559=Recherche!$C$11),OR(Recherche!$C$12="",ISNUMBER(SEARCH(Recherche!$C$12,M559&amp;" "&amp;F559)))),1,0)</f>
        <v>8</v>
      </c>
    </row>
    <row r="560" customFormat="false" ht="15" hidden="false" customHeight="false" outlineLevel="0" collapsed="false">
      <c r="A560" s="19"/>
      <c r="B560" s="19"/>
      <c r="C560" s="19"/>
      <c r="D560" s="19"/>
      <c r="E560" s="22"/>
      <c r="F560" s="19"/>
      <c r="G560" s="26" t="str">
        <f aca="false">IF(D560="","",IFERROR(VALUE(LEFT(D560,FIND(" |",D560&amp;" |")-1)),"?"))</f>
        <v/>
      </c>
      <c r="H560" s="27" t="str">
        <f aca="false">IF(G560="","",IF(G560="?","⚠ pub inconnue",IFERROR(INDEX(Pubs!$B$2:$B$3001,MATCH(G560,Pubs!$A$2:$A$3001,0))&amp;"","⚠ pub inconnue")))</f>
        <v/>
      </c>
      <c r="I560" s="27" t="str">
        <f aca="false">IF(OR(G560="",G560="?"),"",IFERROR(INDEX(Pubs!$C$2:$C$3001,MATCH(G560,Pubs!$A$2:$A$3001,0))&amp;"",""))</f>
        <v/>
      </c>
      <c r="J560" s="27" t="str">
        <f aca="false">IF(OR(G560="",G560="?"),"",IFERROR(INDEX(Pubs!$G$2:$G$3001,MATCH(G560,Pubs!$A$2:$A$3001,0))&amp;"",""))</f>
        <v/>
      </c>
      <c r="K560" s="28" t="str">
        <f aca="false">IF(OR(G560="",G560="?"),"",IFERROR(INDEX(Pubs!$E$2:$E$3001,MATCH(G560,Pubs!$A$2:$A$3001,0)),""))</f>
        <v/>
      </c>
      <c r="L560" s="29" t="str">
        <f aca="false">IF(A560="","",IFERROR(1/(1/INDEX(Numéros!$C$2:$C$3001,MATCH(A560&amp;"|"&amp;B560,Numéros!$F$2:$F$3001,0))),""))</f>
        <v/>
      </c>
      <c r="M560" s="27" t="str">
        <f aca="false">IF(OR(G560="",G560="?"),"",IFERROR(INDEX(Pubs!$D$2:$D$3001,MATCH(G560,Pubs!$A$2:$A$3001,0))&amp;"",""))</f>
        <v/>
      </c>
      <c r="N560" s="27" t="n">
        <f aca="false">N(N559)+IF(AND(A560&lt;&gt;"",OR(Recherche!$C$4="",A560=Recherche!$C$4),OR(Recherche!$C$5="",B560&amp;""=Recherche!$C$5&amp;""),OR(Recherche!$C$6="",IFERROR(YEAR(L560),0)=Recherche!$C$6),OR(Recherche!$C$7="",ISNUMBER(SEARCH(Recherche!$C$7,H560))),OR(Recherche!$C$8="",J560=Recherche!$C$8),OR(Recherche!$C$9="",I560=Recherche!$C$9),OR(Recherche!$C$10="",G560&amp;""=Recherche!$C$10&amp;""),OR(Recherche!$C$11="",E560=Recherche!$C$11),OR(Recherche!$C$12="",ISNUMBER(SEARCH(Recherche!$C$12,M560&amp;" "&amp;F560)))),1,0)</f>
        <v>8</v>
      </c>
    </row>
    <row r="561" customFormat="false" ht="15" hidden="false" customHeight="false" outlineLevel="0" collapsed="false">
      <c r="A561" s="19"/>
      <c r="B561" s="19"/>
      <c r="C561" s="19"/>
      <c r="D561" s="19"/>
      <c r="E561" s="22"/>
      <c r="F561" s="19"/>
      <c r="G561" s="26" t="str">
        <f aca="false">IF(D561="","",IFERROR(VALUE(LEFT(D561,FIND(" |",D561&amp;" |")-1)),"?"))</f>
        <v/>
      </c>
      <c r="H561" s="27" t="str">
        <f aca="false">IF(G561="","",IF(G561="?","⚠ pub inconnue",IFERROR(INDEX(Pubs!$B$2:$B$3001,MATCH(G561,Pubs!$A$2:$A$3001,0))&amp;"","⚠ pub inconnue")))</f>
        <v/>
      </c>
      <c r="I561" s="27" t="str">
        <f aca="false">IF(OR(G561="",G561="?"),"",IFERROR(INDEX(Pubs!$C$2:$C$3001,MATCH(G561,Pubs!$A$2:$A$3001,0))&amp;"",""))</f>
        <v/>
      </c>
      <c r="J561" s="27" t="str">
        <f aca="false">IF(OR(G561="",G561="?"),"",IFERROR(INDEX(Pubs!$G$2:$G$3001,MATCH(G561,Pubs!$A$2:$A$3001,0))&amp;"",""))</f>
        <v/>
      </c>
      <c r="K561" s="28" t="str">
        <f aca="false">IF(OR(G561="",G561="?"),"",IFERROR(INDEX(Pubs!$E$2:$E$3001,MATCH(G561,Pubs!$A$2:$A$3001,0)),""))</f>
        <v/>
      </c>
      <c r="L561" s="29" t="str">
        <f aca="false">IF(A561="","",IFERROR(1/(1/INDEX(Numéros!$C$2:$C$3001,MATCH(A561&amp;"|"&amp;B561,Numéros!$F$2:$F$3001,0))),""))</f>
        <v/>
      </c>
      <c r="M561" s="27" t="str">
        <f aca="false">IF(OR(G561="",G561="?"),"",IFERROR(INDEX(Pubs!$D$2:$D$3001,MATCH(G561,Pubs!$A$2:$A$3001,0))&amp;"",""))</f>
        <v/>
      </c>
      <c r="N561" s="27" t="n">
        <f aca="false">N(N560)+IF(AND(A561&lt;&gt;"",OR(Recherche!$C$4="",A561=Recherche!$C$4),OR(Recherche!$C$5="",B561&amp;""=Recherche!$C$5&amp;""),OR(Recherche!$C$6="",IFERROR(YEAR(L561),0)=Recherche!$C$6),OR(Recherche!$C$7="",ISNUMBER(SEARCH(Recherche!$C$7,H561))),OR(Recherche!$C$8="",J561=Recherche!$C$8),OR(Recherche!$C$9="",I561=Recherche!$C$9),OR(Recherche!$C$10="",G561&amp;""=Recherche!$C$10&amp;""),OR(Recherche!$C$11="",E561=Recherche!$C$11),OR(Recherche!$C$12="",ISNUMBER(SEARCH(Recherche!$C$12,M561&amp;" "&amp;F561)))),1,0)</f>
        <v>8</v>
      </c>
    </row>
    <row r="562" customFormat="false" ht="15" hidden="false" customHeight="false" outlineLevel="0" collapsed="false">
      <c r="A562" s="19"/>
      <c r="B562" s="19"/>
      <c r="C562" s="19"/>
      <c r="D562" s="19"/>
      <c r="E562" s="22"/>
      <c r="F562" s="19"/>
      <c r="G562" s="26" t="str">
        <f aca="false">IF(D562="","",IFERROR(VALUE(LEFT(D562,FIND(" |",D562&amp;" |")-1)),"?"))</f>
        <v/>
      </c>
      <c r="H562" s="27" t="str">
        <f aca="false">IF(G562="","",IF(G562="?","⚠ pub inconnue",IFERROR(INDEX(Pubs!$B$2:$B$3001,MATCH(G562,Pubs!$A$2:$A$3001,0))&amp;"","⚠ pub inconnue")))</f>
        <v/>
      </c>
      <c r="I562" s="27" t="str">
        <f aca="false">IF(OR(G562="",G562="?"),"",IFERROR(INDEX(Pubs!$C$2:$C$3001,MATCH(G562,Pubs!$A$2:$A$3001,0))&amp;"",""))</f>
        <v/>
      </c>
      <c r="J562" s="27" t="str">
        <f aca="false">IF(OR(G562="",G562="?"),"",IFERROR(INDEX(Pubs!$G$2:$G$3001,MATCH(G562,Pubs!$A$2:$A$3001,0))&amp;"",""))</f>
        <v/>
      </c>
      <c r="K562" s="28" t="str">
        <f aca="false">IF(OR(G562="",G562="?"),"",IFERROR(INDEX(Pubs!$E$2:$E$3001,MATCH(G562,Pubs!$A$2:$A$3001,0)),""))</f>
        <v/>
      </c>
      <c r="L562" s="29" t="str">
        <f aca="false">IF(A562="","",IFERROR(1/(1/INDEX(Numéros!$C$2:$C$3001,MATCH(A562&amp;"|"&amp;B562,Numéros!$F$2:$F$3001,0))),""))</f>
        <v/>
      </c>
      <c r="M562" s="27" t="str">
        <f aca="false">IF(OR(G562="",G562="?"),"",IFERROR(INDEX(Pubs!$D$2:$D$3001,MATCH(G562,Pubs!$A$2:$A$3001,0))&amp;"",""))</f>
        <v/>
      </c>
      <c r="N562" s="27" t="n">
        <f aca="false">N(N561)+IF(AND(A562&lt;&gt;"",OR(Recherche!$C$4="",A562=Recherche!$C$4),OR(Recherche!$C$5="",B562&amp;""=Recherche!$C$5&amp;""),OR(Recherche!$C$6="",IFERROR(YEAR(L562),0)=Recherche!$C$6),OR(Recherche!$C$7="",ISNUMBER(SEARCH(Recherche!$C$7,H562))),OR(Recherche!$C$8="",J562=Recherche!$C$8),OR(Recherche!$C$9="",I562=Recherche!$C$9),OR(Recherche!$C$10="",G562&amp;""=Recherche!$C$10&amp;""),OR(Recherche!$C$11="",E562=Recherche!$C$11),OR(Recherche!$C$12="",ISNUMBER(SEARCH(Recherche!$C$12,M562&amp;" "&amp;F562)))),1,0)</f>
        <v>8</v>
      </c>
    </row>
    <row r="563" customFormat="false" ht="15" hidden="false" customHeight="false" outlineLevel="0" collapsed="false">
      <c r="A563" s="19"/>
      <c r="B563" s="19"/>
      <c r="C563" s="19"/>
      <c r="D563" s="19"/>
      <c r="E563" s="22"/>
      <c r="F563" s="19"/>
      <c r="G563" s="26" t="str">
        <f aca="false">IF(D563="","",IFERROR(VALUE(LEFT(D563,FIND(" |",D563&amp;" |")-1)),"?"))</f>
        <v/>
      </c>
      <c r="H563" s="27" t="str">
        <f aca="false">IF(G563="","",IF(G563="?","⚠ pub inconnue",IFERROR(INDEX(Pubs!$B$2:$B$3001,MATCH(G563,Pubs!$A$2:$A$3001,0))&amp;"","⚠ pub inconnue")))</f>
        <v/>
      </c>
      <c r="I563" s="27" t="str">
        <f aca="false">IF(OR(G563="",G563="?"),"",IFERROR(INDEX(Pubs!$C$2:$C$3001,MATCH(G563,Pubs!$A$2:$A$3001,0))&amp;"",""))</f>
        <v/>
      </c>
      <c r="J563" s="27" t="str">
        <f aca="false">IF(OR(G563="",G563="?"),"",IFERROR(INDEX(Pubs!$G$2:$G$3001,MATCH(G563,Pubs!$A$2:$A$3001,0))&amp;"",""))</f>
        <v/>
      </c>
      <c r="K563" s="28" t="str">
        <f aca="false">IF(OR(G563="",G563="?"),"",IFERROR(INDEX(Pubs!$E$2:$E$3001,MATCH(G563,Pubs!$A$2:$A$3001,0)),""))</f>
        <v/>
      </c>
      <c r="L563" s="29" t="str">
        <f aca="false">IF(A563="","",IFERROR(1/(1/INDEX(Numéros!$C$2:$C$3001,MATCH(A563&amp;"|"&amp;B563,Numéros!$F$2:$F$3001,0))),""))</f>
        <v/>
      </c>
      <c r="M563" s="27" t="str">
        <f aca="false">IF(OR(G563="",G563="?"),"",IFERROR(INDEX(Pubs!$D$2:$D$3001,MATCH(G563,Pubs!$A$2:$A$3001,0))&amp;"",""))</f>
        <v/>
      </c>
      <c r="N563" s="27" t="n">
        <f aca="false">N(N562)+IF(AND(A563&lt;&gt;"",OR(Recherche!$C$4="",A563=Recherche!$C$4),OR(Recherche!$C$5="",B563&amp;""=Recherche!$C$5&amp;""),OR(Recherche!$C$6="",IFERROR(YEAR(L563),0)=Recherche!$C$6),OR(Recherche!$C$7="",ISNUMBER(SEARCH(Recherche!$C$7,H563))),OR(Recherche!$C$8="",J563=Recherche!$C$8),OR(Recherche!$C$9="",I563=Recherche!$C$9),OR(Recherche!$C$10="",G563&amp;""=Recherche!$C$10&amp;""),OR(Recherche!$C$11="",E563=Recherche!$C$11),OR(Recherche!$C$12="",ISNUMBER(SEARCH(Recherche!$C$12,M563&amp;" "&amp;F563)))),1,0)</f>
        <v>8</v>
      </c>
    </row>
    <row r="564" customFormat="false" ht="15" hidden="false" customHeight="false" outlineLevel="0" collapsed="false">
      <c r="A564" s="19"/>
      <c r="B564" s="19"/>
      <c r="C564" s="19"/>
      <c r="D564" s="19"/>
      <c r="E564" s="22"/>
      <c r="F564" s="19"/>
      <c r="G564" s="26" t="str">
        <f aca="false">IF(D564="","",IFERROR(VALUE(LEFT(D564,FIND(" |",D564&amp;" |")-1)),"?"))</f>
        <v/>
      </c>
      <c r="H564" s="27" t="str">
        <f aca="false">IF(G564="","",IF(G564="?","⚠ pub inconnue",IFERROR(INDEX(Pubs!$B$2:$B$3001,MATCH(G564,Pubs!$A$2:$A$3001,0))&amp;"","⚠ pub inconnue")))</f>
        <v/>
      </c>
      <c r="I564" s="27" t="str">
        <f aca="false">IF(OR(G564="",G564="?"),"",IFERROR(INDEX(Pubs!$C$2:$C$3001,MATCH(G564,Pubs!$A$2:$A$3001,0))&amp;"",""))</f>
        <v/>
      </c>
      <c r="J564" s="27" t="str">
        <f aca="false">IF(OR(G564="",G564="?"),"",IFERROR(INDEX(Pubs!$G$2:$G$3001,MATCH(G564,Pubs!$A$2:$A$3001,0))&amp;"",""))</f>
        <v/>
      </c>
      <c r="K564" s="28" t="str">
        <f aca="false">IF(OR(G564="",G564="?"),"",IFERROR(INDEX(Pubs!$E$2:$E$3001,MATCH(G564,Pubs!$A$2:$A$3001,0)),""))</f>
        <v/>
      </c>
      <c r="L564" s="29" t="str">
        <f aca="false">IF(A564="","",IFERROR(1/(1/INDEX(Numéros!$C$2:$C$3001,MATCH(A564&amp;"|"&amp;B564,Numéros!$F$2:$F$3001,0))),""))</f>
        <v/>
      </c>
      <c r="M564" s="27" t="str">
        <f aca="false">IF(OR(G564="",G564="?"),"",IFERROR(INDEX(Pubs!$D$2:$D$3001,MATCH(G564,Pubs!$A$2:$A$3001,0))&amp;"",""))</f>
        <v/>
      </c>
      <c r="N564" s="27" t="n">
        <f aca="false">N(N563)+IF(AND(A564&lt;&gt;"",OR(Recherche!$C$4="",A564=Recherche!$C$4),OR(Recherche!$C$5="",B564&amp;""=Recherche!$C$5&amp;""),OR(Recherche!$C$6="",IFERROR(YEAR(L564),0)=Recherche!$C$6),OR(Recherche!$C$7="",ISNUMBER(SEARCH(Recherche!$C$7,H564))),OR(Recherche!$C$8="",J564=Recherche!$C$8),OR(Recherche!$C$9="",I564=Recherche!$C$9),OR(Recherche!$C$10="",G564&amp;""=Recherche!$C$10&amp;""),OR(Recherche!$C$11="",E564=Recherche!$C$11),OR(Recherche!$C$12="",ISNUMBER(SEARCH(Recherche!$C$12,M564&amp;" "&amp;F564)))),1,0)</f>
        <v>8</v>
      </c>
    </row>
    <row r="565" customFormat="false" ht="15" hidden="false" customHeight="false" outlineLevel="0" collapsed="false">
      <c r="A565" s="19"/>
      <c r="B565" s="19"/>
      <c r="C565" s="19"/>
      <c r="D565" s="19"/>
      <c r="E565" s="22"/>
      <c r="F565" s="19"/>
      <c r="G565" s="26" t="str">
        <f aca="false">IF(D565="","",IFERROR(VALUE(LEFT(D565,FIND(" |",D565&amp;" |")-1)),"?"))</f>
        <v/>
      </c>
      <c r="H565" s="27" t="str">
        <f aca="false">IF(G565="","",IF(G565="?","⚠ pub inconnue",IFERROR(INDEX(Pubs!$B$2:$B$3001,MATCH(G565,Pubs!$A$2:$A$3001,0))&amp;"","⚠ pub inconnue")))</f>
        <v/>
      </c>
      <c r="I565" s="27" t="str">
        <f aca="false">IF(OR(G565="",G565="?"),"",IFERROR(INDEX(Pubs!$C$2:$C$3001,MATCH(G565,Pubs!$A$2:$A$3001,0))&amp;"",""))</f>
        <v/>
      </c>
      <c r="J565" s="27" t="str">
        <f aca="false">IF(OR(G565="",G565="?"),"",IFERROR(INDEX(Pubs!$G$2:$G$3001,MATCH(G565,Pubs!$A$2:$A$3001,0))&amp;"",""))</f>
        <v/>
      </c>
      <c r="K565" s="28" t="str">
        <f aca="false">IF(OR(G565="",G565="?"),"",IFERROR(INDEX(Pubs!$E$2:$E$3001,MATCH(G565,Pubs!$A$2:$A$3001,0)),""))</f>
        <v/>
      </c>
      <c r="L565" s="29" t="str">
        <f aca="false">IF(A565="","",IFERROR(1/(1/INDEX(Numéros!$C$2:$C$3001,MATCH(A565&amp;"|"&amp;B565,Numéros!$F$2:$F$3001,0))),""))</f>
        <v/>
      </c>
      <c r="M565" s="27" t="str">
        <f aca="false">IF(OR(G565="",G565="?"),"",IFERROR(INDEX(Pubs!$D$2:$D$3001,MATCH(G565,Pubs!$A$2:$A$3001,0))&amp;"",""))</f>
        <v/>
      </c>
      <c r="N565" s="27" t="n">
        <f aca="false">N(N564)+IF(AND(A565&lt;&gt;"",OR(Recherche!$C$4="",A565=Recherche!$C$4),OR(Recherche!$C$5="",B565&amp;""=Recherche!$C$5&amp;""),OR(Recherche!$C$6="",IFERROR(YEAR(L565),0)=Recherche!$C$6),OR(Recherche!$C$7="",ISNUMBER(SEARCH(Recherche!$C$7,H565))),OR(Recherche!$C$8="",J565=Recherche!$C$8),OR(Recherche!$C$9="",I565=Recherche!$C$9),OR(Recherche!$C$10="",G565&amp;""=Recherche!$C$10&amp;""),OR(Recherche!$C$11="",E565=Recherche!$C$11),OR(Recherche!$C$12="",ISNUMBER(SEARCH(Recherche!$C$12,M565&amp;" "&amp;F565)))),1,0)</f>
        <v>8</v>
      </c>
    </row>
    <row r="566" customFormat="false" ht="15" hidden="false" customHeight="false" outlineLevel="0" collapsed="false">
      <c r="A566" s="19"/>
      <c r="B566" s="19"/>
      <c r="C566" s="19"/>
      <c r="D566" s="19"/>
      <c r="E566" s="22"/>
      <c r="F566" s="19"/>
      <c r="G566" s="26" t="str">
        <f aca="false">IF(D566="","",IFERROR(VALUE(LEFT(D566,FIND(" |",D566&amp;" |")-1)),"?"))</f>
        <v/>
      </c>
      <c r="H566" s="27" t="str">
        <f aca="false">IF(G566="","",IF(G566="?","⚠ pub inconnue",IFERROR(INDEX(Pubs!$B$2:$B$3001,MATCH(G566,Pubs!$A$2:$A$3001,0))&amp;"","⚠ pub inconnue")))</f>
        <v/>
      </c>
      <c r="I566" s="27" t="str">
        <f aca="false">IF(OR(G566="",G566="?"),"",IFERROR(INDEX(Pubs!$C$2:$C$3001,MATCH(G566,Pubs!$A$2:$A$3001,0))&amp;"",""))</f>
        <v/>
      </c>
      <c r="J566" s="27" t="str">
        <f aca="false">IF(OR(G566="",G566="?"),"",IFERROR(INDEX(Pubs!$G$2:$G$3001,MATCH(G566,Pubs!$A$2:$A$3001,0))&amp;"",""))</f>
        <v/>
      </c>
      <c r="K566" s="28" t="str">
        <f aca="false">IF(OR(G566="",G566="?"),"",IFERROR(INDEX(Pubs!$E$2:$E$3001,MATCH(G566,Pubs!$A$2:$A$3001,0)),""))</f>
        <v/>
      </c>
      <c r="L566" s="29" t="str">
        <f aca="false">IF(A566="","",IFERROR(1/(1/INDEX(Numéros!$C$2:$C$3001,MATCH(A566&amp;"|"&amp;B566,Numéros!$F$2:$F$3001,0))),""))</f>
        <v/>
      </c>
      <c r="M566" s="27" t="str">
        <f aca="false">IF(OR(G566="",G566="?"),"",IFERROR(INDEX(Pubs!$D$2:$D$3001,MATCH(G566,Pubs!$A$2:$A$3001,0))&amp;"",""))</f>
        <v/>
      </c>
      <c r="N566" s="27" t="n">
        <f aca="false">N(N565)+IF(AND(A566&lt;&gt;"",OR(Recherche!$C$4="",A566=Recherche!$C$4),OR(Recherche!$C$5="",B566&amp;""=Recherche!$C$5&amp;""),OR(Recherche!$C$6="",IFERROR(YEAR(L566),0)=Recherche!$C$6),OR(Recherche!$C$7="",ISNUMBER(SEARCH(Recherche!$C$7,H566))),OR(Recherche!$C$8="",J566=Recherche!$C$8),OR(Recherche!$C$9="",I566=Recherche!$C$9),OR(Recherche!$C$10="",G566&amp;""=Recherche!$C$10&amp;""),OR(Recherche!$C$11="",E566=Recherche!$C$11),OR(Recherche!$C$12="",ISNUMBER(SEARCH(Recherche!$C$12,M566&amp;" "&amp;F566)))),1,0)</f>
        <v>8</v>
      </c>
    </row>
    <row r="567" customFormat="false" ht="15" hidden="false" customHeight="false" outlineLevel="0" collapsed="false">
      <c r="A567" s="19"/>
      <c r="B567" s="19"/>
      <c r="C567" s="19"/>
      <c r="D567" s="19"/>
      <c r="E567" s="22"/>
      <c r="F567" s="19"/>
      <c r="G567" s="26" t="str">
        <f aca="false">IF(D567="","",IFERROR(VALUE(LEFT(D567,FIND(" |",D567&amp;" |")-1)),"?"))</f>
        <v/>
      </c>
      <c r="H567" s="27" t="str">
        <f aca="false">IF(G567="","",IF(G567="?","⚠ pub inconnue",IFERROR(INDEX(Pubs!$B$2:$B$3001,MATCH(G567,Pubs!$A$2:$A$3001,0))&amp;"","⚠ pub inconnue")))</f>
        <v/>
      </c>
      <c r="I567" s="27" t="str">
        <f aca="false">IF(OR(G567="",G567="?"),"",IFERROR(INDEX(Pubs!$C$2:$C$3001,MATCH(G567,Pubs!$A$2:$A$3001,0))&amp;"",""))</f>
        <v/>
      </c>
      <c r="J567" s="27" t="str">
        <f aca="false">IF(OR(G567="",G567="?"),"",IFERROR(INDEX(Pubs!$G$2:$G$3001,MATCH(G567,Pubs!$A$2:$A$3001,0))&amp;"",""))</f>
        <v/>
      </c>
      <c r="K567" s="28" t="str">
        <f aca="false">IF(OR(G567="",G567="?"),"",IFERROR(INDEX(Pubs!$E$2:$E$3001,MATCH(G567,Pubs!$A$2:$A$3001,0)),""))</f>
        <v/>
      </c>
      <c r="L567" s="29" t="str">
        <f aca="false">IF(A567="","",IFERROR(1/(1/INDEX(Numéros!$C$2:$C$3001,MATCH(A567&amp;"|"&amp;B567,Numéros!$F$2:$F$3001,0))),""))</f>
        <v/>
      </c>
      <c r="M567" s="27" t="str">
        <f aca="false">IF(OR(G567="",G567="?"),"",IFERROR(INDEX(Pubs!$D$2:$D$3001,MATCH(G567,Pubs!$A$2:$A$3001,0))&amp;"",""))</f>
        <v/>
      </c>
      <c r="N567" s="27" t="n">
        <f aca="false">N(N566)+IF(AND(A567&lt;&gt;"",OR(Recherche!$C$4="",A567=Recherche!$C$4),OR(Recherche!$C$5="",B567&amp;""=Recherche!$C$5&amp;""),OR(Recherche!$C$6="",IFERROR(YEAR(L567),0)=Recherche!$C$6),OR(Recherche!$C$7="",ISNUMBER(SEARCH(Recherche!$C$7,H567))),OR(Recherche!$C$8="",J567=Recherche!$C$8),OR(Recherche!$C$9="",I567=Recherche!$C$9),OR(Recherche!$C$10="",G567&amp;""=Recherche!$C$10&amp;""),OR(Recherche!$C$11="",E567=Recherche!$C$11),OR(Recherche!$C$12="",ISNUMBER(SEARCH(Recherche!$C$12,M567&amp;" "&amp;F567)))),1,0)</f>
        <v>8</v>
      </c>
    </row>
    <row r="568" customFormat="false" ht="15" hidden="false" customHeight="false" outlineLevel="0" collapsed="false">
      <c r="A568" s="19"/>
      <c r="B568" s="19"/>
      <c r="C568" s="19"/>
      <c r="D568" s="19"/>
      <c r="E568" s="22"/>
      <c r="F568" s="19"/>
      <c r="G568" s="26" t="str">
        <f aca="false">IF(D568="","",IFERROR(VALUE(LEFT(D568,FIND(" |",D568&amp;" |")-1)),"?"))</f>
        <v/>
      </c>
      <c r="H568" s="27" t="str">
        <f aca="false">IF(G568="","",IF(G568="?","⚠ pub inconnue",IFERROR(INDEX(Pubs!$B$2:$B$3001,MATCH(G568,Pubs!$A$2:$A$3001,0))&amp;"","⚠ pub inconnue")))</f>
        <v/>
      </c>
      <c r="I568" s="27" t="str">
        <f aca="false">IF(OR(G568="",G568="?"),"",IFERROR(INDEX(Pubs!$C$2:$C$3001,MATCH(G568,Pubs!$A$2:$A$3001,0))&amp;"",""))</f>
        <v/>
      </c>
      <c r="J568" s="27" t="str">
        <f aca="false">IF(OR(G568="",G568="?"),"",IFERROR(INDEX(Pubs!$G$2:$G$3001,MATCH(G568,Pubs!$A$2:$A$3001,0))&amp;"",""))</f>
        <v/>
      </c>
      <c r="K568" s="28" t="str">
        <f aca="false">IF(OR(G568="",G568="?"),"",IFERROR(INDEX(Pubs!$E$2:$E$3001,MATCH(G568,Pubs!$A$2:$A$3001,0)),""))</f>
        <v/>
      </c>
      <c r="L568" s="29" t="str">
        <f aca="false">IF(A568="","",IFERROR(1/(1/INDEX(Numéros!$C$2:$C$3001,MATCH(A568&amp;"|"&amp;B568,Numéros!$F$2:$F$3001,0))),""))</f>
        <v/>
      </c>
      <c r="M568" s="27" t="str">
        <f aca="false">IF(OR(G568="",G568="?"),"",IFERROR(INDEX(Pubs!$D$2:$D$3001,MATCH(G568,Pubs!$A$2:$A$3001,0))&amp;"",""))</f>
        <v/>
      </c>
      <c r="N568" s="27" t="n">
        <f aca="false">N(N567)+IF(AND(A568&lt;&gt;"",OR(Recherche!$C$4="",A568=Recherche!$C$4),OR(Recherche!$C$5="",B568&amp;""=Recherche!$C$5&amp;""),OR(Recherche!$C$6="",IFERROR(YEAR(L568),0)=Recherche!$C$6),OR(Recherche!$C$7="",ISNUMBER(SEARCH(Recherche!$C$7,H568))),OR(Recherche!$C$8="",J568=Recherche!$C$8),OR(Recherche!$C$9="",I568=Recherche!$C$9),OR(Recherche!$C$10="",G568&amp;""=Recherche!$C$10&amp;""),OR(Recherche!$C$11="",E568=Recherche!$C$11),OR(Recherche!$C$12="",ISNUMBER(SEARCH(Recherche!$C$12,M568&amp;" "&amp;F568)))),1,0)</f>
        <v>8</v>
      </c>
    </row>
    <row r="569" customFormat="false" ht="15" hidden="false" customHeight="false" outlineLevel="0" collapsed="false">
      <c r="A569" s="19"/>
      <c r="B569" s="19"/>
      <c r="C569" s="19"/>
      <c r="D569" s="19"/>
      <c r="E569" s="22"/>
      <c r="F569" s="19"/>
      <c r="G569" s="26" t="str">
        <f aca="false">IF(D569="","",IFERROR(VALUE(LEFT(D569,FIND(" |",D569&amp;" |")-1)),"?"))</f>
        <v/>
      </c>
      <c r="H569" s="27" t="str">
        <f aca="false">IF(G569="","",IF(G569="?","⚠ pub inconnue",IFERROR(INDEX(Pubs!$B$2:$B$3001,MATCH(G569,Pubs!$A$2:$A$3001,0))&amp;"","⚠ pub inconnue")))</f>
        <v/>
      </c>
      <c r="I569" s="27" t="str">
        <f aca="false">IF(OR(G569="",G569="?"),"",IFERROR(INDEX(Pubs!$C$2:$C$3001,MATCH(G569,Pubs!$A$2:$A$3001,0))&amp;"",""))</f>
        <v/>
      </c>
      <c r="J569" s="27" t="str">
        <f aca="false">IF(OR(G569="",G569="?"),"",IFERROR(INDEX(Pubs!$G$2:$G$3001,MATCH(G569,Pubs!$A$2:$A$3001,0))&amp;"",""))</f>
        <v/>
      </c>
      <c r="K569" s="28" t="str">
        <f aca="false">IF(OR(G569="",G569="?"),"",IFERROR(INDEX(Pubs!$E$2:$E$3001,MATCH(G569,Pubs!$A$2:$A$3001,0)),""))</f>
        <v/>
      </c>
      <c r="L569" s="29" t="str">
        <f aca="false">IF(A569="","",IFERROR(1/(1/INDEX(Numéros!$C$2:$C$3001,MATCH(A569&amp;"|"&amp;B569,Numéros!$F$2:$F$3001,0))),""))</f>
        <v/>
      </c>
      <c r="M569" s="27" t="str">
        <f aca="false">IF(OR(G569="",G569="?"),"",IFERROR(INDEX(Pubs!$D$2:$D$3001,MATCH(G569,Pubs!$A$2:$A$3001,0))&amp;"",""))</f>
        <v/>
      </c>
      <c r="N569" s="27" t="n">
        <f aca="false">N(N568)+IF(AND(A569&lt;&gt;"",OR(Recherche!$C$4="",A569=Recherche!$C$4),OR(Recherche!$C$5="",B569&amp;""=Recherche!$C$5&amp;""),OR(Recherche!$C$6="",IFERROR(YEAR(L569),0)=Recherche!$C$6),OR(Recherche!$C$7="",ISNUMBER(SEARCH(Recherche!$C$7,H569))),OR(Recherche!$C$8="",J569=Recherche!$C$8),OR(Recherche!$C$9="",I569=Recherche!$C$9),OR(Recherche!$C$10="",G569&amp;""=Recherche!$C$10&amp;""),OR(Recherche!$C$11="",E569=Recherche!$C$11),OR(Recherche!$C$12="",ISNUMBER(SEARCH(Recherche!$C$12,M569&amp;" "&amp;F569)))),1,0)</f>
        <v>8</v>
      </c>
    </row>
    <row r="570" customFormat="false" ht="15" hidden="false" customHeight="false" outlineLevel="0" collapsed="false">
      <c r="A570" s="19"/>
      <c r="B570" s="19"/>
      <c r="C570" s="19"/>
      <c r="D570" s="19"/>
      <c r="E570" s="22"/>
      <c r="F570" s="19"/>
      <c r="G570" s="26" t="str">
        <f aca="false">IF(D570="","",IFERROR(VALUE(LEFT(D570,FIND(" |",D570&amp;" |")-1)),"?"))</f>
        <v/>
      </c>
      <c r="H570" s="27" t="str">
        <f aca="false">IF(G570="","",IF(G570="?","⚠ pub inconnue",IFERROR(INDEX(Pubs!$B$2:$B$3001,MATCH(G570,Pubs!$A$2:$A$3001,0))&amp;"","⚠ pub inconnue")))</f>
        <v/>
      </c>
      <c r="I570" s="27" t="str">
        <f aca="false">IF(OR(G570="",G570="?"),"",IFERROR(INDEX(Pubs!$C$2:$C$3001,MATCH(G570,Pubs!$A$2:$A$3001,0))&amp;"",""))</f>
        <v/>
      </c>
      <c r="J570" s="27" t="str">
        <f aca="false">IF(OR(G570="",G570="?"),"",IFERROR(INDEX(Pubs!$G$2:$G$3001,MATCH(G570,Pubs!$A$2:$A$3001,0))&amp;"",""))</f>
        <v/>
      </c>
      <c r="K570" s="28" t="str">
        <f aca="false">IF(OR(G570="",G570="?"),"",IFERROR(INDEX(Pubs!$E$2:$E$3001,MATCH(G570,Pubs!$A$2:$A$3001,0)),""))</f>
        <v/>
      </c>
      <c r="L570" s="29" t="str">
        <f aca="false">IF(A570="","",IFERROR(1/(1/INDEX(Numéros!$C$2:$C$3001,MATCH(A570&amp;"|"&amp;B570,Numéros!$F$2:$F$3001,0))),""))</f>
        <v/>
      </c>
      <c r="M570" s="27" t="str">
        <f aca="false">IF(OR(G570="",G570="?"),"",IFERROR(INDEX(Pubs!$D$2:$D$3001,MATCH(G570,Pubs!$A$2:$A$3001,0))&amp;"",""))</f>
        <v/>
      </c>
      <c r="N570" s="27" t="n">
        <f aca="false">N(N569)+IF(AND(A570&lt;&gt;"",OR(Recherche!$C$4="",A570=Recherche!$C$4),OR(Recherche!$C$5="",B570&amp;""=Recherche!$C$5&amp;""),OR(Recherche!$C$6="",IFERROR(YEAR(L570),0)=Recherche!$C$6),OR(Recherche!$C$7="",ISNUMBER(SEARCH(Recherche!$C$7,H570))),OR(Recherche!$C$8="",J570=Recherche!$C$8),OR(Recherche!$C$9="",I570=Recherche!$C$9),OR(Recherche!$C$10="",G570&amp;""=Recherche!$C$10&amp;""),OR(Recherche!$C$11="",E570=Recherche!$C$11),OR(Recherche!$C$12="",ISNUMBER(SEARCH(Recherche!$C$12,M570&amp;" "&amp;F570)))),1,0)</f>
        <v>8</v>
      </c>
    </row>
    <row r="571" customFormat="false" ht="15" hidden="false" customHeight="false" outlineLevel="0" collapsed="false">
      <c r="A571" s="19"/>
      <c r="B571" s="19"/>
      <c r="C571" s="19"/>
      <c r="D571" s="19"/>
      <c r="E571" s="22"/>
      <c r="F571" s="19"/>
      <c r="G571" s="26" t="str">
        <f aca="false">IF(D571="","",IFERROR(VALUE(LEFT(D571,FIND(" |",D571&amp;" |")-1)),"?"))</f>
        <v/>
      </c>
      <c r="H571" s="27" t="str">
        <f aca="false">IF(G571="","",IF(G571="?","⚠ pub inconnue",IFERROR(INDEX(Pubs!$B$2:$B$3001,MATCH(G571,Pubs!$A$2:$A$3001,0))&amp;"","⚠ pub inconnue")))</f>
        <v/>
      </c>
      <c r="I571" s="27" t="str">
        <f aca="false">IF(OR(G571="",G571="?"),"",IFERROR(INDEX(Pubs!$C$2:$C$3001,MATCH(G571,Pubs!$A$2:$A$3001,0))&amp;"",""))</f>
        <v/>
      </c>
      <c r="J571" s="27" t="str">
        <f aca="false">IF(OR(G571="",G571="?"),"",IFERROR(INDEX(Pubs!$G$2:$G$3001,MATCH(G571,Pubs!$A$2:$A$3001,0))&amp;"",""))</f>
        <v/>
      </c>
      <c r="K571" s="28" t="str">
        <f aca="false">IF(OR(G571="",G571="?"),"",IFERROR(INDEX(Pubs!$E$2:$E$3001,MATCH(G571,Pubs!$A$2:$A$3001,0)),""))</f>
        <v/>
      </c>
      <c r="L571" s="29" t="str">
        <f aca="false">IF(A571="","",IFERROR(1/(1/INDEX(Numéros!$C$2:$C$3001,MATCH(A571&amp;"|"&amp;B571,Numéros!$F$2:$F$3001,0))),""))</f>
        <v/>
      </c>
      <c r="M571" s="27" t="str">
        <f aca="false">IF(OR(G571="",G571="?"),"",IFERROR(INDEX(Pubs!$D$2:$D$3001,MATCH(G571,Pubs!$A$2:$A$3001,0))&amp;"",""))</f>
        <v/>
      </c>
      <c r="N571" s="27" t="n">
        <f aca="false">N(N570)+IF(AND(A571&lt;&gt;"",OR(Recherche!$C$4="",A571=Recherche!$C$4),OR(Recherche!$C$5="",B571&amp;""=Recherche!$C$5&amp;""),OR(Recherche!$C$6="",IFERROR(YEAR(L571),0)=Recherche!$C$6),OR(Recherche!$C$7="",ISNUMBER(SEARCH(Recherche!$C$7,H571))),OR(Recherche!$C$8="",J571=Recherche!$C$8),OR(Recherche!$C$9="",I571=Recherche!$C$9),OR(Recherche!$C$10="",G571&amp;""=Recherche!$C$10&amp;""),OR(Recherche!$C$11="",E571=Recherche!$C$11),OR(Recherche!$C$12="",ISNUMBER(SEARCH(Recherche!$C$12,M571&amp;" "&amp;F571)))),1,0)</f>
        <v>8</v>
      </c>
    </row>
    <row r="572" customFormat="false" ht="15" hidden="false" customHeight="false" outlineLevel="0" collapsed="false">
      <c r="A572" s="19"/>
      <c r="B572" s="19"/>
      <c r="C572" s="19"/>
      <c r="D572" s="19"/>
      <c r="E572" s="22"/>
      <c r="F572" s="19"/>
      <c r="G572" s="26" t="str">
        <f aca="false">IF(D572="","",IFERROR(VALUE(LEFT(D572,FIND(" |",D572&amp;" |")-1)),"?"))</f>
        <v/>
      </c>
      <c r="H572" s="27" t="str">
        <f aca="false">IF(G572="","",IF(G572="?","⚠ pub inconnue",IFERROR(INDEX(Pubs!$B$2:$B$3001,MATCH(G572,Pubs!$A$2:$A$3001,0))&amp;"","⚠ pub inconnue")))</f>
        <v/>
      </c>
      <c r="I572" s="27" t="str">
        <f aca="false">IF(OR(G572="",G572="?"),"",IFERROR(INDEX(Pubs!$C$2:$C$3001,MATCH(G572,Pubs!$A$2:$A$3001,0))&amp;"",""))</f>
        <v/>
      </c>
      <c r="J572" s="27" t="str">
        <f aca="false">IF(OR(G572="",G572="?"),"",IFERROR(INDEX(Pubs!$G$2:$G$3001,MATCH(G572,Pubs!$A$2:$A$3001,0))&amp;"",""))</f>
        <v/>
      </c>
      <c r="K572" s="28" t="str">
        <f aca="false">IF(OR(G572="",G572="?"),"",IFERROR(INDEX(Pubs!$E$2:$E$3001,MATCH(G572,Pubs!$A$2:$A$3001,0)),""))</f>
        <v/>
      </c>
      <c r="L572" s="29" t="str">
        <f aca="false">IF(A572="","",IFERROR(1/(1/INDEX(Numéros!$C$2:$C$3001,MATCH(A572&amp;"|"&amp;B572,Numéros!$F$2:$F$3001,0))),""))</f>
        <v/>
      </c>
      <c r="M572" s="27" t="str">
        <f aca="false">IF(OR(G572="",G572="?"),"",IFERROR(INDEX(Pubs!$D$2:$D$3001,MATCH(G572,Pubs!$A$2:$A$3001,0))&amp;"",""))</f>
        <v/>
      </c>
      <c r="N572" s="27" t="n">
        <f aca="false">N(N571)+IF(AND(A572&lt;&gt;"",OR(Recherche!$C$4="",A572=Recherche!$C$4),OR(Recherche!$C$5="",B572&amp;""=Recherche!$C$5&amp;""),OR(Recherche!$C$6="",IFERROR(YEAR(L572),0)=Recherche!$C$6),OR(Recherche!$C$7="",ISNUMBER(SEARCH(Recherche!$C$7,H572))),OR(Recherche!$C$8="",J572=Recherche!$C$8),OR(Recherche!$C$9="",I572=Recherche!$C$9),OR(Recherche!$C$10="",G572&amp;""=Recherche!$C$10&amp;""),OR(Recherche!$C$11="",E572=Recherche!$C$11),OR(Recherche!$C$12="",ISNUMBER(SEARCH(Recherche!$C$12,M572&amp;" "&amp;F572)))),1,0)</f>
        <v>8</v>
      </c>
    </row>
    <row r="573" customFormat="false" ht="15" hidden="false" customHeight="false" outlineLevel="0" collapsed="false">
      <c r="A573" s="19"/>
      <c r="B573" s="19"/>
      <c r="C573" s="19"/>
      <c r="D573" s="19"/>
      <c r="E573" s="22"/>
      <c r="F573" s="19"/>
      <c r="G573" s="26" t="str">
        <f aca="false">IF(D573="","",IFERROR(VALUE(LEFT(D573,FIND(" |",D573&amp;" |")-1)),"?"))</f>
        <v/>
      </c>
      <c r="H573" s="27" t="str">
        <f aca="false">IF(G573="","",IF(G573="?","⚠ pub inconnue",IFERROR(INDEX(Pubs!$B$2:$B$3001,MATCH(G573,Pubs!$A$2:$A$3001,0))&amp;"","⚠ pub inconnue")))</f>
        <v/>
      </c>
      <c r="I573" s="27" t="str">
        <f aca="false">IF(OR(G573="",G573="?"),"",IFERROR(INDEX(Pubs!$C$2:$C$3001,MATCH(G573,Pubs!$A$2:$A$3001,0))&amp;"",""))</f>
        <v/>
      </c>
      <c r="J573" s="27" t="str">
        <f aca="false">IF(OR(G573="",G573="?"),"",IFERROR(INDEX(Pubs!$G$2:$G$3001,MATCH(G573,Pubs!$A$2:$A$3001,0))&amp;"",""))</f>
        <v/>
      </c>
      <c r="K573" s="28" t="str">
        <f aca="false">IF(OR(G573="",G573="?"),"",IFERROR(INDEX(Pubs!$E$2:$E$3001,MATCH(G573,Pubs!$A$2:$A$3001,0)),""))</f>
        <v/>
      </c>
      <c r="L573" s="29" t="str">
        <f aca="false">IF(A573="","",IFERROR(1/(1/INDEX(Numéros!$C$2:$C$3001,MATCH(A573&amp;"|"&amp;B573,Numéros!$F$2:$F$3001,0))),""))</f>
        <v/>
      </c>
      <c r="M573" s="27" t="str">
        <f aca="false">IF(OR(G573="",G573="?"),"",IFERROR(INDEX(Pubs!$D$2:$D$3001,MATCH(G573,Pubs!$A$2:$A$3001,0))&amp;"",""))</f>
        <v/>
      </c>
      <c r="N573" s="27" t="n">
        <f aca="false">N(N572)+IF(AND(A573&lt;&gt;"",OR(Recherche!$C$4="",A573=Recherche!$C$4),OR(Recherche!$C$5="",B573&amp;""=Recherche!$C$5&amp;""),OR(Recherche!$C$6="",IFERROR(YEAR(L573),0)=Recherche!$C$6),OR(Recherche!$C$7="",ISNUMBER(SEARCH(Recherche!$C$7,H573))),OR(Recherche!$C$8="",J573=Recherche!$C$8),OR(Recherche!$C$9="",I573=Recherche!$C$9),OR(Recherche!$C$10="",G573&amp;""=Recherche!$C$10&amp;""),OR(Recherche!$C$11="",E573=Recherche!$C$11),OR(Recherche!$C$12="",ISNUMBER(SEARCH(Recherche!$C$12,M573&amp;" "&amp;F573)))),1,0)</f>
        <v>8</v>
      </c>
    </row>
    <row r="574" customFormat="false" ht="15" hidden="false" customHeight="false" outlineLevel="0" collapsed="false">
      <c r="A574" s="19"/>
      <c r="B574" s="19"/>
      <c r="C574" s="19"/>
      <c r="D574" s="19"/>
      <c r="E574" s="22"/>
      <c r="F574" s="19"/>
      <c r="G574" s="26" t="str">
        <f aca="false">IF(D574="","",IFERROR(VALUE(LEFT(D574,FIND(" |",D574&amp;" |")-1)),"?"))</f>
        <v/>
      </c>
      <c r="H574" s="27" t="str">
        <f aca="false">IF(G574="","",IF(G574="?","⚠ pub inconnue",IFERROR(INDEX(Pubs!$B$2:$B$3001,MATCH(G574,Pubs!$A$2:$A$3001,0))&amp;"","⚠ pub inconnue")))</f>
        <v/>
      </c>
      <c r="I574" s="27" t="str">
        <f aca="false">IF(OR(G574="",G574="?"),"",IFERROR(INDEX(Pubs!$C$2:$C$3001,MATCH(G574,Pubs!$A$2:$A$3001,0))&amp;"",""))</f>
        <v/>
      </c>
      <c r="J574" s="27" t="str">
        <f aca="false">IF(OR(G574="",G574="?"),"",IFERROR(INDEX(Pubs!$G$2:$G$3001,MATCH(G574,Pubs!$A$2:$A$3001,0))&amp;"",""))</f>
        <v/>
      </c>
      <c r="K574" s="28" t="str">
        <f aca="false">IF(OR(G574="",G574="?"),"",IFERROR(INDEX(Pubs!$E$2:$E$3001,MATCH(G574,Pubs!$A$2:$A$3001,0)),""))</f>
        <v/>
      </c>
      <c r="L574" s="29" t="str">
        <f aca="false">IF(A574="","",IFERROR(1/(1/INDEX(Numéros!$C$2:$C$3001,MATCH(A574&amp;"|"&amp;B574,Numéros!$F$2:$F$3001,0))),""))</f>
        <v/>
      </c>
      <c r="M574" s="27" t="str">
        <f aca="false">IF(OR(G574="",G574="?"),"",IFERROR(INDEX(Pubs!$D$2:$D$3001,MATCH(G574,Pubs!$A$2:$A$3001,0))&amp;"",""))</f>
        <v/>
      </c>
      <c r="N574" s="27" t="n">
        <f aca="false">N(N573)+IF(AND(A574&lt;&gt;"",OR(Recherche!$C$4="",A574=Recherche!$C$4),OR(Recherche!$C$5="",B574&amp;""=Recherche!$C$5&amp;""),OR(Recherche!$C$6="",IFERROR(YEAR(L574),0)=Recherche!$C$6),OR(Recherche!$C$7="",ISNUMBER(SEARCH(Recherche!$C$7,H574))),OR(Recherche!$C$8="",J574=Recherche!$C$8),OR(Recherche!$C$9="",I574=Recherche!$C$9),OR(Recherche!$C$10="",G574&amp;""=Recherche!$C$10&amp;""),OR(Recherche!$C$11="",E574=Recherche!$C$11),OR(Recherche!$C$12="",ISNUMBER(SEARCH(Recherche!$C$12,M574&amp;" "&amp;F574)))),1,0)</f>
        <v>8</v>
      </c>
    </row>
    <row r="575" customFormat="false" ht="15" hidden="false" customHeight="false" outlineLevel="0" collapsed="false">
      <c r="A575" s="19"/>
      <c r="B575" s="19"/>
      <c r="C575" s="19"/>
      <c r="D575" s="19"/>
      <c r="E575" s="22"/>
      <c r="F575" s="19"/>
      <c r="G575" s="26" t="str">
        <f aca="false">IF(D575="","",IFERROR(VALUE(LEFT(D575,FIND(" |",D575&amp;" |")-1)),"?"))</f>
        <v/>
      </c>
      <c r="H575" s="27" t="str">
        <f aca="false">IF(G575="","",IF(G575="?","⚠ pub inconnue",IFERROR(INDEX(Pubs!$B$2:$B$3001,MATCH(G575,Pubs!$A$2:$A$3001,0))&amp;"","⚠ pub inconnue")))</f>
        <v/>
      </c>
      <c r="I575" s="27" t="str">
        <f aca="false">IF(OR(G575="",G575="?"),"",IFERROR(INDEX(Pubs!$C$2:$C$3001,MATCH(G575,Pubs!$A$2:$A$3001,0))&amp;"",""))</f>
        <v/>
      </c>
      <c r="J575" s="27" t="str">
        <f aca="false">IF(OR(G575="",G575="?"),"",IFERROR(INDEX(Pubs!$G$2:$G$3001,MATCH(G575,Pubs!$A$2:$A$3001,0))&amp;"",""))</f>
        <v/>
      </c>
      <c r="K575" s="28" t="str">
        <f aca="false">IF(OR(G575="",G575="?"),"",IFERROR(INDEX(Pubs!$E$2:$E$3001,MATCH(G575,Pubs!$A$2:$A$3001,0)),""))</f>
        <v/>
      </c>
      <c r="L575" s="29" t="str">
        <f aca="false">IF(A575="","",IFERROR(1/(1/INDEX(Numéros!$C$2:$C$3001,MATCH(A575&amp;"|"&amp;B575,Numéros!$F$2:$F$3001,0))),""))</f>
        <v/>
      </c>
      <c r="M575" s="27" t="str">
        <f aca="false">IF(OR(G575="",G575="?"),"",IFERROR(INDEX(Pubs!$D$2:$D$3001,MATCH(G575,Pubs!$A$2:$A$3001,0))&amp;"",""))</f>
        <v/>
      </c>
      <c r="N575" s="27" t="n">
        <f aca="false">N(N574)+IF(AND(A575&lt;&gt;"",OR(Recherche!$C$4="",A575=Recherche!$C$4),OR(Recherche!$C$5="",B575&amp;""=Recherche!$C$5&amp;""),OR(Recherche!$C$6="",IFERROR(YEAR(L575),0)=Recherche!$C$6),OR(Recherche!$C$7="",ISNUMBER(SEARCH(Recherche!$C$7,H575))),OR(Recherche!$C$8="",J575=Recherche!$C$8),OR(Recherche!$C$9="",I575=Recherche!$C$9),OR(Recherche!$C$10="",G575&amp;""=Recherche!$C$10&amp;""),OR(Recherche!$C$11="",E575=Recherche!$C$11),OR(Recherche!$C$12="",ISNUMBER(SEARCH(Recherche!$C$12,M575&amp;" "&amp;F575)))),1,0)</f>
        <v>8</v>
      </c>
    </row>
    <row r="576" customFormat="false" ht="15" hidden="false" customHeight="false" outlineLevel="0" collapsed="false">
      <c r="A576" s="19"/>
      <c r="B576" s="19"/>
      <c r="C576" s="19"/>
      <c r="D576" s="19"/>
      <c r="E576" s="22"/>
      <c r="F576" s="19"/>
      <c r="G576" s="26" t="str">
        <f aca="false">IF(D576="","",IFERROR(VALUE(LEFT(D576,FIND(" |",D576&amp;" |")-1)),"?"))</f>
        <v/>
      </c>
      <c r="H576" s="27" t="str">
        <f aca="false">IF(G576="","",IF(G576="?","⚠ pub inconnue",IFERROR(INDEX(Pubs!$B$2:$B$3001,MATCH(G576,Pubs!$A$2:$A$3001,0))&amp;"","⚠ pub inconnue")))</f>
        <v/>
      </c>
      <c r="I576" s="27" t="str">
        <f aca="false">IF(OR(G576="",G576="?"),"",IFERROR(INDEX(Pubs!$C$2:$C$3001,MATCH(G576,Pubs!$A$2:$A$3001,0))&amp;"",""))</f>
        <v/>
      </c>
      <c r="J576" s="27" t="str">
        <f aca="false">IF(OR(G576="",G576="?"),"",IFERROR(INDEX(Pubs!$G$2:$G$3001,MATCH(G576,Pubs!$A$2:$A$3001,0))&amp;"",""))</f>
        <v/>
      </c>
      <c r="K576" s="28" t="str">
        <f aca="false">IF(OR(G576="",G576="?"),"",IFERROR(INDEX(Pubs!$E$2:$E$3001,MATCH(G576,Pubs!$A$2:$A$3001,0)),""))</f>
        <v/>
      </c>
      <c r="L576" s="29" t="str">
        <f aca="false">IF(A576="","",IFERROR(1/(1/INDEX(Numéros!$C$2:$C$3001,MATCH(A576&amp;"|"&amp;B576,Numéros!$F$2:$F$3001,0))),""))</f>
        <v/>
      </c>
      <c r="M576" s="27" t="str">
        <f aca="false">IF(OR(G576="",G576="?"),"",IFERROR(INDEX(Pubs!$D$2:$D$3001,MATCH(G576,Pubs!$A$2:$A$3001,0))&amp;"",""))</f>
        <v/>
      </c>
      <c r="N576" s="27" t="n">
        <f aca="false">N(N575)+IF(AND(A576&lt;&gt;"",OR(Recherche!$C$4="",A576=Recherche!$C$4),OR(Recherche!$C$5="",B576&amp;""=Recherche!$C$5&amp;""),OR(Recherche!$C$6="",IFERROR(YEAR(L576),0)=Recherche!$C$6),OR(Recherche!$C$7="",ISNUMBER(SEARCH(Recherche!$C$7,H576))),OR(Recherche!$C$8="",J576=Recherche!$C$8),OR(Recherche!$C$9="",I576=Recherche!$C$9),OR(Recherche!$C$10="",G576&amp;""=Recherche!$C$10&amp;""),OR(Recherche!$C$11="",E576=Recherche!$C$11),OR(Recherche!$C$12="",ISNUMBER(SEARCH(Recherche!$C$12,M576&amp;" "&amp;F576)))),1,0)</f>
        <v>8</v>
      </c>
    </row>
    <row r="577" customFormat="false" ht="15" hidden="false" customHeight="false" outlineLevel="0" collapsed="false">
      <c r="A577" s="19"/>
      <c r="B577" s="19"/>
      <c r="C577" s="19"/>
      <c r="D577" s="19"/>
      <c r="E577" s="22"/>
      <c r="F577" s="19"/>
      <c r="G577" s="26" t="str">
        <f aca="false">IF(D577="","",IFERROR(VALUE(LEFT(D577,FIND(" |",D577&amp;" |")-1)),"?"))</f>
        <v/>
      </c>
      <c r="H577" s="27" t="str">
        <f aca="false">IF(G577="","",IF(G577="?","⚠ pub inconnue",IFERROR(INDEX(Pubs!$B$2:$B$3001,MATCH(G577,Pubs!$A$2:$A$3001,0))&amp;"","⚠ pub inconnue")))</f>
        <v/>
      </c>
      <c r="I577" s="27" t="str">
        <f aca="false">IF(OR(G577="",G577="?"),"",IFERROR(INDEX(Pubs!$C$2:$C$3001,MATCH(G577,Pubs!$A$2:$A$3001,0))&amp;"",""))</f>
        <v/>
      </c>
      <c r="J577" s="27" t="str">
        <f aca="false">IF(OR(G577="",G577="?"),"",IFERROR(INDEX(Pubs!$G$2:$G$3001,MATCH(G577,Pubs!$A$2:$A$3001,0))&amp;"",""))</f>
        <v/>
      </c>
      <c r="K577" s="28" t="str">
        <f aca="false">IF(OR(G577="",G577="?"),"",IFERROR(INDEX(Pubs!$E$2:$E$3001,MATCH(G577,Pubs!$A$2:$A$3001,0)),""))</f>
        <v/>
      </c>
      <c r="L577" s="29" t="str">
        <f aca="false">IF(A577="","",IFERROR(1/(1/INDEX(Numéros!$C$2:$C$3001,MATCH(A577&amp;"|"&amp;B577,Numéros!$F$2:$F$3001,0))),""))</f>
        <v/>
      </c>
      <c r="M577" s="27" t="str">
        <f aca="false">IF(OR(G577="",G577="?"),"",IFERROR(INDEX(Pubs!$D$2:$D$3001,MATCH(G577,Pubs!$A$2:$A$3001,0))&amp;"",""))</f>
        <v/>
      </c>
      <c r="N577" s="27" t="n">
        <f aca="false">N(N576)+IF(AND(A577&lt;&gt;"",OR(Recherche!$C$4="",A577=Recherche!$C$4),OR(Recherche!$C$5="",B577&amp;""=Recherche!$C$5&amp;""),OR(Recherche!$C$6="",IFERROR(YEAR(L577),0)=Recherche!$C$6),OR(Recherche!$C$7="",ISNUMBER(SEARCH(Recherche!$C$7,H577))),OR(Recherche!$C$8="",J577=Recherche!$C$8),OR(Recherche!$C$9="",I577=Recherche!$C$9),OR(Recherche!$C$10="",G577&amp;""=Recherche!$C$10&amp;""),OR(Recherche!$C$11="",E577=Recherche!$C$11),OR(Recherche!$C$12="",ISNUMBER(SEARCH(Recherche!$C$12,M577&amp;" "&amp;F577)))),1,0)</f>
        <v>8</v>
      </c>
    </row>
    <row r="578" customFormat="false" ht="15" hidden="false" customHeight="false" outlineLevel="0" collapsed="false">
      <c r="A578" s="19"/>
      <c r="B578" s="19"/>
      <c r="C578" s="19"/>
      <c r="D578" s="19"/>
      <c r="E578" s="22"/>
      <c r="F578" s="19"/>
      <c r="G578" s="26" t="str">
        <f aca="false">IF(D578="","",IFERROR(VALUE(LEFT(D578,FIND(" |",D578&amp;" |")-1)),"?"))</f>
        <v/>
      </c>
      <c r="H578" s="27" t="str">
        <f aca="false">IF(G578="","",IF(G578="?","⚠ pub inconnue",IFERROR(INDEX(Pubs!$B$2:$B$3001,MATCH(G578,Pubs!$A$2:$A$3001,0))&amp;"","⚠ pub inconnue")))</f>
        <v/>
      </c>
      <c r="I578" s="27" t="str">
        <f aca="false">IF(OR(G578="",G578="?"),"",IFERROR(INDEX(Pubs!$C$2:$C$3001,MATCH(G578,Pubs!$A$2:$A$3001,0))&amp;"",""))</f>
        <v/>
      </c>
      <c r="J578" s="27" t="str">
        <f aca="false">IF(OR(G578="",G578="?"),"",IFERROR(INDEX(Pubs!$G$2:$G$3001,MATCH(G578,Pubs!$A$2:$A$3001,0))&amp;"",""))</f>
        <v/>
      </c>
      <c r="K578" s="28" t="str">
        <f aca="false">IF(OR(G578="",G578="?"),"",IFERROR(INDEX(Pubs!$E$2:$E$3001,MATCH(G578,Pubs!$A$2:$A$3001,0)),""))</f>
        <v/>
      </c>
      <c r="L578" s="29" t="str">
        <f aca="false">IF(A578="","",IFERROR(1/(1/INDEX(Numéros!$C$2:$C$3001,MATCH(A578&amp;"|"&amp;B578,Numéros!$F$2:$F$3001,0))),""))</f>
        <v/>
      </c>
      <c r="M578" s="27" t="str">
        <f aca="false">IF(OR(G578="",G578="?"),"",IFERROR(INDEX(Pubs!$D$2:$D$3001,MATCH(G578,Pubs!$A$2:$A$3001,0))&amp;"",""))</f>
        <v/>
      </c>
      <c r="N578" s="27" t="n">
        <f aca="false">N(N577)+IF(AND(A578&lt;&gt;"",OR(Recherche!$C$4="",A578=Recherche!$C$4),OR(Recherche!$C$5="",B578&amp;""=Recherche!$C$5&amp;""),OR(Recherche!$C$6="",IFERROR(YEAR(L578),0)=Recherche!$C$6),OR(Recherche!$C$7="",ISNUMBER(SEARCH(Recherche!$C$7,H578))),OR(Recherche!$C$8="",J578=Recherche!$C$8),OR(Recherche!$C$9="",I578=Recherche!$C$9),OR(Recherche!$C$10="",G578&amp;""=Recherche!$C$10&amp;""),OR(Recherche!$C$11="",E578=Recherche!$C$11),OR(Recherche!$C$12="",ISNUMBER(SEARCH(Recherche!$C$12,M578&amp;" "&amp;F578)))),1,0)</f>
        <v>8</v>
      </c>
    </row>
    <row r="579" customFormat="false" ht="15" hidden="false" customHeight="false" outlineLevel="0" collapsed="false">
      <c r="A579" s="19"/>
      <c r="B579" s="19"/>
      <c r="C579" s="19"/>
      <c r="D579" s="19"/>
      <c r="E579" s="22"/>
      <c r="F579" s="19"/>
      <c r="G579" s="26" t="str">
        <f aca="false">IF(D579="","",IFERROR(VALUE(LEFT(D579,FIND(" |",D579&amp;" |")-1)),"?"))</f>
        <v/>
      </c>
      <c r="H579" s="27" t="str">
        <f aca="false">IF(G579="","",IF(G579="?","⚠ pub inconnue",IFERROR(INDEX(Pubs!$B$2:$B$3001,MATCH(G579,Pubs!$A$2:$A$3001,0))&amp;"","⚠ pub inconnue")))</f>
        <v/>
      </c>
      <c r="I579" s="27" t="str">
        <f aca="false">IF(OR(G579="",G579="?"),"",IFERROR(INDEX(Pubs!$C$2:$C$3001,MATCH(G579,Pubs!$A$2:$A$3001,0))&amp;"",""))</f>
        <v/>
      </c>
      <c r="J579" s="27" t="str">
        <f aca="false">IF(OR(G579="",G579="?"),"",IFERROR(INDEX(Pubs!$G$2:$G$3001,MATCH(G579,Pubs!$A$2:$A$3001,0))&amp;"",""))</f>
        <v/>
      </c>
      <c r="K579" s="28" t="str">
        <f aca="false">IF(OR(G579="",G579="?"),"",IFERROR(INDEX(Pubs!$E$2:$E$3001,MATCH(G579,Pubs!$A$2:$A$3001,0)),""))</f>
        <v/>
      </c>
      <c r="L579" s="29" t="str">
        <f aca="false">IF(A579="","",IFERROR(1/(1/INDEX(Numéros!$C$2:$C$3001,MATCH(A579&amp;"|"&amp;B579,Numéros!$F$2:$F$3001,0))),""))</f>
        <v/>
      </c>
      <c r="M579" s="27" t="str">
        <f aca="false">IF(OR(G579="",G579="?"),"",IFERROR(INDEX(Pubs!$D$2:$D$3001,MATCH(G579,Pubs!$A$2:$A$3001,0))&amp;"",""))</f>
        <v/>
      </c>
      <c r="N579" s="27" t="n">
        <f aca="false">N(N578)+IF(AND(A579&lt;&gt;"",OR(Recherche!$C$4="",A579=Recherche!$C$4),OR(Recherche!$C$5="",B579&amp;""=Recherche!$C$5&amp;""),OR(Recherche!$C$6="",IFERROR(YEAR(L579),0)=Recherche!$C$6),OR(Recherche!$C$7="",ISNUMBER(SEARCH(Recherche!$C$7,H579))),OR(Recherche!$C$8="",J579=Recherche!$C$8),OR(Recherche!$C$9="",I579=Recherche!$C$9),OR(Recherche!$C$10="",G579&amp;""=Recherche!$C$10&amp;""),OR(Recherche!$C$11="",E579=Recherche!$C$11),OR(Recherche!$C$12="",ISNUMBER(SEARCH(Recherche!$C$12,M579&amp;" "&amp;F579)))),1,0)</f>
        <v>8</v>
      </c>
    </row>
    <row r="580" customFormat="false" ht="15" hidden="false" customHeight="false" outlineLevel="0" collapsed="false">
      <c r="A580" s="19"/>
      <c r="B580" s="19"/>
      <c r="C580" s="19"/>
      <c r="D580" s="19"/>
      <c r="E580" s="22"/>
      <c r="F580" s="19"/>
      <c r="G580" s="26" t="str">
        <f aca="false">IF(D580="","",IFERROR(VALUE(LEFT(D580,FIND(" |",D580&amp;" |")-1)),"?"))</f>
        <v/>
      </c>
      <c r="H580" s="27" t="str">
        <f aca="false">IF(G580="","",IF(G580="?","⚠ pub inconnue",IFERROR(INDEX(Pubs!$B$2:$B$3001,MATCH(G580,Pubs!$A$2:$A$3001,0))&amp;"","⚠ pub inconnue")))</f>
        <v/>
      </c>
      <c r="I580" s="27" t="str">
        <f aca="false">IF(OR(G580="",G580="?"),"",IFERROR(INDEX(Pubs!$C$2:$C$3001,MATCH(G580,Pubs!$A$2:$A$3001,0))&amp;"",""))</f>
        <v/>
      </c>
      <c r="J580" s="27" t="str">
        <f aca="false">IF(OR(G580="",G580="?"),"",IFERROR(INDEX(Pubs!$G$2:$G$3001,MATCH(G580,Pubs!$A$2:$A$3001,0))&amp;"",""))</f>
        <v/>
      </c>
      <c r="K580" s="28" t="str">
        <f aca="false">IF(OR(G580="",G580="?"),"",IFERROR(INDEX(Pubs!$E$2:$E$3001,MATCH(G580,Pubs!$A$2:$A$3001,0)),""))</f>
        <v/>
      </c>
      <c r="L580" s="29" t="str">
        <f aca="false">IF(A580="","",IFERROR(1/(1/INDEX(Numéros!$C$2:$C$3001,MATCH(A580&amp;"|"&amp;B580,Numéros!$F$2:$F$3001,0))),""))</f>
        <v/>
      </c>
      <c r="M580" s="27" t="str">
        <f aca="false">IF(OR(G580="",G580="?"),"",IFERROR(INDEX(Pubs!$D$2:$D$3001,MATCH(G580,Pubs!$A$2:$A$3001,0))&amp;"",""))</f>
        <v/>
      </c>
      <c r="N580" s="27" t="n">
        <f aca="false">N(N579)+IF(AND(A580&lt;&gt;"",OR(Recherche!$C$4="",A580=Recherche!$C$4),OR(Recherche!$C$5="",B580&amp;""=Recherche!$C$5&amp;""),OR(Recherche!$C$6="",IFERROR(YEAR(L580),0)=Recherche!$C$6),OR(Recherche!$C$7="",ISNUMBER(SEARCH(Recherche!$C$7,H580))),OR(Recherche!$C$8="",J580=Recherche!$C$8),OR(Recherche!$C$9="",I580=Recherche!$C$9),OR(Recherche!$C$10="",G580&amp;""=Recherche!$C$10&amp;""),OR(Recherche!$C$11="",E580=Recherche!$C$11),OR(Recherche!$C$12="",ISNUMBER(SEARCH(Recherche!$C$12,M580&amp;" "&amp;F580)))),1,0)</f>
        <v>8</v>
      </c>
    </row>
    <row r="581" customFormat="false" ht="15" hidden="false" customHeight="false" outlineLevel="0" collapsed="false">
      <c r="A581" s="19"/>
      <c r="B581" s="19"/>
      <c r="C581" s="19"/>
      <c r="D581" s="19"/>
      <c r="E581" s="22"/>
      <c r="F581" s="19"/>
      <c r="G581" s="26" t="str">
        <f aca="false">IF(D581="","",IFERROR(VALUE(LEFT(D581,FIND(" |",D581&amp;" |")-1)),"?"))</f>
        <v/>
      </c>
      <c r="H581" s="27" t="str">
        <f aca="false">IF(G581="","",IF(G581="?","⚠ pub inconnue",IFERROR(INDEX(Pubs!$B$2:$B$3001,MATCH(G581,Pubs!$A$2:$A$3001,0))&amp;"","⚠ pub inconnue")))</f>
        <v/>
      </c>
      <c r="I581" s="27" t="str">
        <f aca="false">IF(OR(G581="",G581="?"),"",IFERROR(INDEX(Pubs!$C$2:$C$3001,MATCH(G581,Pubs!$A$2:$A$3001,0))&amp;"",""))</f>
        <v/>
      </c>
      <c r="J581" s="27" t="str">
        <f aca="false">IF(OR(G581="",G581="?"),"",IFERROR(INDEX(Pubs!$G$2:$G$3001,MATCH(G581,Pubs!$A$2:$A$3001,0))&amp;"",""))</f>
        <v/>
      </c>
      <c r="K581" s="28" t="str">
        <f aca="false">IF(OR(G581="",G581="?"),"",IFERROR(INDEX(Pubs!$E$2:$E$3001,MATCH(G581,Pubs!$A$2:$A$3001,0)),""))</f>
        <v/>
      </c>
      <c r="L581" s="29" t="str">
        <f aca="false">IF(A581="","",IFERROR(1/(1/INDEX(Numéros!$C$2:$C$3001,MATCH(A581&amp;"|"&amp;B581,Numéros!$F$2:$F$3001,0))),""))</f>
        <v/>
      </c>
      <c r="M581" s="27" t="str">
        <f aca="false">IF(OR(G581="",G581="?"),"",IFERROR(INDEX(Pubs!$D$2:$D$3001,MATCH(G581,Pubs!$A$2:$A$3001,0))&amp;"",""))</f>
        <v/>
      </c>
      <c r="N581" s="27" t="n">
        <f aca="false">N(N580)+IF(AND(A581&lt;&gt;"",OR(Recherche!$C$4="",A581=Recherche!$C$4),OR(Recherche!$C$5="",B581&amp;""=Recherche!$C$5&amp;""),OR(Recherche!$C$6="",IFERROR(YEAR(L581),0)=Recherche!$C$6),OR(Recherche!$C$7="",ISNUMBER(SEARCH(Recherche!$C$7,H581))),OR(Recherche!$C$8="",J581=Recherche!$C$8),OR(Recherche!$C$9="",I581=Recherche!$C$9),OR(Recherche!$C$10="",G581&amp;""=Recherche!$C$10&amp;""),OR(Recherche!$C$11="",E581=Recherche!$C$11),OR(Recherche!$C$12="",ISNUMBER(SEARCH(Recherche!$C$12,M581&amp;" "&amp;F581)))),1,0)</f>
        <v>8</v>
      </c>
    </row>
    <row r="582" customFormat="false" ht="15" hidden="false" customHeight="false" outlineLevel="0" collapsed="false">
      <c r="A582" s="19"/>
      <c r="B582" s="19"/>
      <c r="C582" s="19"/>
      <c r="D582" s="19"/>
      <c r="E582" s="22"/>
      <c r="F582" s="19"/>
      <c r="G582" s="26" t="str">
        <f aca="false">IF(D582="","",IFERROR(VALUE(LEFT(D582,FIND(" |",D582&amp;" |")-1)),"?"))</f>
        <v/>
      </c>
      <c r="H582" s="27" t="str">
        <f aca="false">IF(G582="","",IF(G582="?","⚠ pub inconnue",IFERROR(INDEX(Pubs!$B$2:$B$3001,MATCH(G582,Pubs!$A$2:$A$3001,0))&amp;"","⚠ pub inconnue")))</f>
        <v/>
      </c>
      <c r="I582" s="27" t="str">
        <f aca="false">IF(OR(G582="",G582="?"),"",IFERROR(INDEX(Pubs!$C$2:$C$3001,MATCH(G582,Pubs!$A$2:$A$3001,0))&amp;"",""))</f>
        <v/>
      </c>
      <c r="J582" s="27" t="str">
        <f aca="false">IF(OR(G582="",G582="?"),"",IFERROR(INDEX(Pubs!$G$2:$G$3001,MATCH(G582,Pubs!$A$2:$A$3001,0))&amp;"",""))</f>
        <v/>
      </c>
      <c r="K582" s="28" t="str">
        <f aca="false">IF(OR(G582="",G582="?"),"",IFERROR(INDEX(Pubs!$E$2:$E$3001,MATCH(G582,Pubs!$A$2:$A$3001,0)),""))</f>
        <v/>
      </c>
      <c r="L582" s="29" t="str">
        <f aca="false">IF(A582="","",IFERROR(1/(1/INDEX(Numéros!$C$2:$C$3001,MATCH(A582&amp;"|"&amp;B582,Numéros!$F$2:$F$3001,0))),""))</f>
        <v/>
      </c>
      <c r="M582" s="27" t="str">
        <f aca="false">IF(OR(G582="",G582="?"),"",IFERROR(INDEX(Pubs!$D$2:$D$3001,MATCH(G582,Pubs!$A$2:$A$3001,0))&amp;"",""))</f>
        <v/>
      </c>
      <c r="N582" s="27" t="n">
        <f aca="false">N(N581)+IF(AND(A582&lt;&gt;"",OR(Recherche!$C$4="",A582=Recherche!$C$4),OR(Recherche!$C$5="",B582&amp;""=Recherche!$C$5&amp;""),OR(Recherche!$C$6="",IFERROR(YEAR(L582),0)=Recherche!$C$6),OR(Recherche!$C$7="",ISNUMBER(SEARCH(Recherche!$C$7,H582))),OR(Recherche!$C$8="",J582=Recherche!$C$8),OR(Recherche!$C$9="",I582=Recherche!$C$9),OR(Recherche!$C$10="",G582&amp;""=Recherche!$C$10&amp;""),OR(Recherche!$C$11="",E582=Recherche!$C$11),OR(Recherche!$C$12="",ISNUMBER(SEARCH(Recherche!$C$12,M582&amp;" "&amp;F582)))),1,0)</f>
        <v>8</v>
      </c>
    </row>
    <row r="583" customFormat="false" ht="15" hidden="false" customHeight="false" outlineLevel="0" collapsed="false">
      <c r="A583" s="19"/>
      <c r="B583" s="19"/>
      <c r="C583" s="19"/>
      <c r="D583" s="19"/>
      <c r="E583" s="22"/>
      <c r="F583" s="19"/>
      <c r="G583" s="26" t="str">
        <f aca="false">IF(D583="","",IFERROR(VALUE(LEFT(D583,FIND(" |",D583&amp;" |")-1)),"?"))</f>
        <v/>
      </c>
      <c r="H583" s="27" t="str">
        <f aca="false">IF(G583="","",IF(G583="?","⚠ pub inconnue",IFERROR(INDEX(Pubs!$B$2:$B$3001,MATCH(G583,Pubs!$A$2:$A$3001,0))&amp;"","⚠ pub inconnue")))</f>
        <v/>
      </c>
      <c r="I583" s="27" t="str">
        <f aca="false">IF(OR(G583="",G583="?"),"",IFERROR(INDEX(Pubs!$C$2:$C$3001,MATCH(G583,Pubs!$A$2:$A$3001,0))&amp;"",""))</f>
        <v/>
      </c>
      <c r="J583" s="27" t="str">
        <f aca="false">IF(OR(G583="",G583="?"),"",IFERROR(INDEX(Pubs!$G$2:$G$3001,MATCH(G583,Pubs!$A$2:$A$3001,0))&amp;"",""))</f>
        <v/>
      </c>
      <c r="K583" s="28" t="str">
        <f aca="false">IF(OR(G583="",G583="?"),"",IFERROR(INDEX(Pubs!$E$2:$E$3001,MATCH(G583,Pubs!$A$2:$A$3001,0)),""))</f>
        <v/>
      </c>
      <c r="L583" s="29" t="str">
        <f aca="false">IF(A583="","",IFERROR(1/(1/INDEX(Numéros!$C$2:$C$3001,MATCH(A583&amp;"|"&amp;B583,Numéros!$F$2:$F$3001,0))),""))</f>
        <v/>
      </c>
      <c r="M583" s="27" t="str">
        <f aca="false">IF(OR(G583="",G583="?"),"",IFERROR(INDEX(Pubs!$D$2:$D$3001,MATCH(G583,Pubs!$A$2:$A$3001,0))&amp;"",""))</f>
        <v/>
      </c>
      <c r="N583" s="27" t="n">
        <f aca="false">N(N582)+IF(AND(A583&lt;&gt;"",OR(Recherche!$C$4="",A583=Recherche!$C$4),OR(Recherche!$C$5="",B583&amp;""=Recherche!$C$5&amp;""),OR(Recherche!$C$6="",IFERROR(YEAR(L583),0)=Recherche!$C$6),OR(Recherche!$C$7="",ISNUMBER(SEARCH(Recherche!$C$7,H583))),OR(Recherche!$C$8="",J583=Recherche!$C$8),OR(Recherche!$C$9="",I583=Recherche!$C$9),OR(Recherche!$C$10="",G583&amp;""=Recherche!$C$10&amp;""),OR(Recherche!$C$11="",E583=Recherche!$C$11),OR(Recherche!$C$12="",ISNUMBER(SEARCH(Recherche!$C$12,M583&amp;" "&amp;F583)))),1,0)</f>
        <v>8</v>
      </c>
    </row>
    <row r="584" customFormat="false" ht="15" hidden="false" customHeight="false" outlineLevel="0" collapsed="false">
      <c r="A584" s="19"/>
      <c r="B584" s="19"/>
      <c r="C584" s="19"/>
      <c r="D584" s="19"/>
      <c r="E584" s="22"/>
      <c r="F584" s="19"/>
      <c r="G584" s="26" t="str">
        <f aca="false">IF(D584="","",IFERROR(VALUE(LEFT(D584,FIND(" |",D584&amp;" |")-1)),"?"))</f>
        <v/>
      </c>
      <c r="H584" s="27" t="str">
        <f aca="false">IF(G584="","",IF(G584="?","⚠ pub inconnue",IFERROR(INDEX(Pubs!$B$2:$B$3001,MATCH(G584,Pubs!$A$2:$A$3001,0))&amp;"","⚠ pub inconnue")))</f>
        <v/>
      </c>
      <c r="I584" s="27" t="str">
        <f aca="false">IF(OR(G584="",G584="?"),"",IFERROR(INDEX(Pubs!$C$2:$C$3001,MATCH(G584,Pubs!$A$2:$A$3001,0))&amp;"",""))</f>
        <v/>
      </c>
      <c r="J584" s="27" t="str">
        <f aca="false">IF(OR(G584="",G584="?"),"",IFERROR(INDEX(Pubs!$G$2:$G$3001,MATCH(G584,Pubs!$A$2:$A$3001,0))&amp;"",""))</f>
        <v/>
      </c>
      <c r="K584" s="28" t="str">
        <f aca="false">IF(OR(G584="",G584="?"),"",IFERROR(INDEX(Pubs!$E$2:$E$3001,MATCH(G584,Pubs!$A$2:$A$3001,0)),""))</f>
        <v/>
      </c>
      <c r="L584" s="29" t="str">
        <f aca="false">IF(A584="","",IFERROR(1/(1/INDEX(Numéros!$C$2:$C$3001,MATCH(A584&amp;"|"&amp;B584,Numéros!$F$2:$F$3001,0))),""))</f>
        <v/>
      </c>
      <c r="M584" s="27" t="str">
        <f aca="false">IF(OR(G584="",G584="?"),"",IFERROR(INDEX(Pubs!$D$2:$D$3001,MATCH(G584,Pubs!$A$2:$A$3001,0))&amp;"",""))</f>
        <v/>
      </c>
      <c r="N584" s="27" t="n">
        <f aca="false">N(N583)+IF(AND(A584&lt;&gt;"",OR(Recherche!$C$4="",A584=Recherche!$C$4),OR(Recherche!$C$5="",B584&amp;""=Recherche!$C$5&amp;""),OR(Recherche!$C$6="",IFERROR(YEAR(L584),0)=Recherche!$C$6),OR(Recherche!$C$7="",ISNUMBER(SEARCH(Recherche!$C$7,H584))),OR(Recherche!$C$8="",J584=Recherche!$C$8),OR(Recherche!$C$9="",I584=Recherche!$C$9),OR(Recherche!$C$10="",G584&amp;""=Recherche!$C$10&amp;""),OR(Recherche!$C$11="",E584=Recherche!$C$11),OR(Recherche!$C$12="",ISNUMBER(SEARCH(Recherche!$C$12,M584&amp;" "&amp;F584)))),1,0)</f>
        <v>8</v>
      </c>
    </row>
    <row r="585" customFormat="false" ht="15" hidden="false" customHeight="false" outlineLevel="0" collapsed="false">
      <c r="A585" s="19"/>
      <c r="B585" s="19"/>
      <c r="C585" s="19"/>
      <c r="D585" s="19"/>
      <c r="E585" s="22"/>
      <c r="F585" s="19"/>
      <c r="G585" s="26" t="str">
        <f aca="false">IF(D585="","",IFERROR(VALUE(LEFT(D585,FIND(" |",D585&amp;" |")-1)),"?"))</f>
        <v/>
      </c>
      <c r="H585" s="27" t="str">
        <f aca="false">IF(G585="","",IF(G585="?","⚠ pub inconnue",IFERROR(INDEX(Pubs!$B$2:$B$3001,MATCH(G585,Pubs!$A$2:$A$3001,0))&amp;"","⚠ pub inconnue")))</f>
        <v/>
      </c>
      <c r="I585" s="27" t="str">
        <f aca="false">IF(OR(G585="",G585="?"),"",IFERROR(INDEX(Pubs!$C$2:$C$3001,MATCH(G585,Pubs!$A$2:$A$3001,0))&amp;"",""))</f>
        <v/>
      </c>
      <c r="J585" s="27" t="str">
        <f aca="false">IF(OR(G585="",G585="?"),"",IFERROR(INDEX(Pubs!$G$2:$G$3001,MATCH(G585,Pubs!$A$2:$A$3001,0))&amp;"",""))</f>
        <v/>
      </c>
      <c r="K585" s="28" t="str">
        <f aca="false">IF(OR(G585="",G585="?"),"",IFERROR(INDEX(Pubs!$E$2:$E$3001,MATCH(G585,Pubs!$A$2:$A$3001,0)),""))</f>
        <v/>
      </c>
      <c r="L585" s="29" t="str">
        <f aca="false">IF(A585="","",IFERROR(1/(1/INDEX(Numéros!$C$2:$C$3001,MATCH(A585&amp;"|"&amp;B585,Numéros!$F$2:$F$3001,0))),""))</f>
        <v/>
      </c>
      <c r="M585" s="27" t="str">
        <f aca="false">IF(OR(G585="",G585="?"),"",IFERROR(INDEX(Pubs!$D$2:$D$3001,MATCH(G585,Pubs!$A$2:$A$3001,0))&amp;"",""))</f>
        <v/>
      </c>
      <c r="N585" s="27" t="n">
        <f aca="false">N(N584)+IF(AND(A585&lt;&gt;"",OR(Recherche!$C$4="",A585=Recherche!$C$4),OR(Recherche!$C$5="",B585&amp;""=Recherche!$C$5&amp;""),OR(Recherche!$C$6="",IFERROR(YEAR(L585),0)=Recherche!$C$6),OR(Recherche!$C$7="",ISNUMBER(SEARCH(Recherche!$C$7,H585))),OR(Recherche!$C$8="",J585=Recherche!$C$8),OR(Recherche!$C$9="",I585=Recherche!$C$9),OR(Recherche!$C$10="",G585&amp;""=Recherche!$C$10&amp;""),OR(Recherche!$C$11="",E585=Recherche!$C$11),OR(Recherche!$C$12="",ISNUMBER(SEARCH(Recherche!$C$12,M585&amp;" "&amp;F585)))),1,0)</f>
        <v>8</v>
      </c>
    </row>
    <row r="586" customFormat="false" ht="15" hidden="false" customHeight="false" outlineLevel="0" collapsed="false">
      <c r="A586" s="19"/>
      <c r="B586" s="19"/>
      <c r="C586" s="19"/>
      <c r="D586" s="19"/>
      <c r="E586" s="22"/>
      <c r="F586" s="19"/>
      <c r="G586" s="26" t="str">
        <f aca="false">IF(D586="","",IFERROR(VALUE(LEFT(D586,FIND(" |",D586&amp;" |")-1)),"?"))</f>
        <v/>
      </c>
      <c r="H586" s="27" t="str">
        <f aca="false">IF(G586="","",IF(G586="?","⚠ pub inconnue",IFERROR(INDEX(Pubs!$B$2:$B$3001,MATCH(G586,Pubs!$A$2:$A$3001,0))&amp;"","⚠ pub inconnue")))</f>
        <v/>
      </c>
      <c r="I586" s="27" t="str">
        <f aca="false">IF(OR(G586="",G586="?"),"",IFERROR(INDEX(Pubs!$C$2:$C$3001,MATCH(G586,Pubs!$A$2:$A$3001,0))&amp;"",""))</f>
        <v/>
      </c>
      <c r="J586" s="27" t="str">
        <f aca="false">IF(OR(G586="",G586="?"),"",IFERROR(INDEX(Pubs!$G$2:$G$3001,MATCH(G586,Pubs!$A$2:$A$3001,0))&amp;"",""))</f>
        <v/>
      </c>
      <c r="K586" s="28" t="str">
        <f aca="false">IF(OR(G586="",G586="?"),"",IFERROR(INDEX(Pubs!$E$2:$E$3001,MATCH(G586,Pubs!$A$2:$A$3001,0)),""))</f>
        <v/>
      </c>
      <c r="L586" s="29" t="str">
        <f aca="false">IF(A586="","",IFERROR(1/(1/INDEX(Numéros!$C$2:$C$3001,MATCH(A586&amp;"|"&amp;B586,Numéros!$F$2:$F$3001,0))),""))</f>
        <v/>
      </c>
      <c r="M586" s="27" t="str">
        <f aca="false">IF(OR(G586="",G586="?"),"",IFERROR(INDEX(Pubs!$D$2:$D$3001,MATCH(G586,Pubs!$A$2:$A$3001,0))&amp;"",""))</f>
        <v/>
      </c>
      <c r="N586" s="27" t="n">
        <f aca="false">N(N585)+IF(AND(A586&lt;&gt;"",OR(Recherche!$C$4="",A586=Recherche!$C$4),OR(Recherche!$C$5="",B586&amp;""=Recherche!$C$5&amp;""),OR(Recherche!$C$6="",IFERROR(YEAR(L586),0)=Recherche!$C$6),OR(Recherche!$C$7="",ISNUMBER(SEARCH(Recherche!$C$7,H586))),OR(Recherche!$C$8="",J586=Recherche!$C$8),OR(Recherche!$C$9="",I586=Recherche!$C$9),OR(Recherche!$C$10="",G586&amp;""=Recherche!$C$10&amp;""),OR(Recherche!$C$11="",E586=Recherche!$C$11),OR(Recherche!$C$12="",ISNUMBER(SEARCH(Recherche!$C$12,M586&amp;" "&amp;F586)))),1,0)</f>
        <v>8</v>
      </c>
    </row>
    <row r="587" customFormat="false" ht="15" hidden="false" customHeight="false" outlineLevel="0" collapsed="false">
      <c r="A587" s="19"/>
      <c r="B587" s="19"/>
      <c r="C587" s="19"/>
      <c r="D587" s="19"/>
      <c r="E587" s="22"/>
      <c r="F587" s="19"/>
      <c r="G587" s="26" t="str">
        <f aca="false">IF(D587="","",IFERROR(VALUE(LEFT(D587,FIND(" |",D587&amp;" |")-1)),"?"))</f>
        <v/>
      </c>
      <c r="H587" s="27" t="str">
        <f aca="false">IF(G587="","",IF(G587="?","⚠ pub inconnue",IFERROR(INDEX(Pubs!$B$2:$B$3001,MATCH(G587,Pubs!$A$2:$A$3001,0))&amp;"","⚠ pub inconnue")))</f>
        <v/>
      </c>
      <c r="I587" s="27" t="str">
        <f aca="false">IF(OR(G587="",G587="?"),"",IFERROR(INDEX(Pubs!$C$2:$C$3001,MATCH(G587,Pubs!$A$2:$A$3001,0))&amp;"",""))</f>
        <v/>
      </c>
      <c r="J587" s="27" t="str">
        <f aca="false">IF(OR(G587="",G587="?"),"",IFERROR(INDEX(Pubs!$G$2:$G$3001,MATCH(G587,Pubs!$A$2:$A$3001,0))&amp;"",""))</f>
        <v/>
      </c>
      <c r="K587" s="28" t="str">
        <f aca="false">IF(OR(G587="",G587="?"),"",IFERROR(INDEX(Pubs!$E$2:$E$3001,MATCH(G587,Pubs!$A$2:$A$3001,0)),""))</f>
        <v/>
      </c>
      <c r="L587" s="29" t="str">
        <f aca="false">IF(A587="","",IFERROR(1/(1/INDEX(Numéros!$C$2:$C$3001,MATCH(A587&amp;"|"&amp;B587,Numéros!$F$2:$F$3001,0))),""))</f>
        <v/>
      </c>
      <c r="M587" s="27" t="str">
        <f aca="false">IF(OR(G587="",G587="?"),"",IFERROR(INDEX(Pubs!$D$2:$D$3001,MATCH(G587,Pubs!$A$2:$A$3001,0))&amp;"",""))</f>
        <v/>
      </c>
      <c r="N587" s="27" t="n">
        <f aca="false">N(N586)+IF(AND(A587&lt;&gt;"",OR(Recherche!$C$4="",A587=Recherche!$C$4),OR(Recherche!$C$5="",B587&amp;""=Recherche!$C$5&amp;""),OR(Recherche!$C$6="",IFERROR(YEAR(L587),0)=Recherche!$C$6),OR(Recherche!$C$7="",ISNUMBER(SEARCH(Recherche!$C$7,H587))),OR(Recherche!$C$8="",J587=Recherche!$C$8),OR(Recherche!$C$9="",I587=Recherche!$C$9),OR(Recherche!$C$10="",G587&amp;""=Recherche!$C$10&amp;""),OR(Recherche!$C$11="",E587=Recherche!$C$11),OR(Recherche!$C$12="",ISNUMBER(SEARCH(Recherche!$C$12,M587&amp;" "&amp;F587)))),1,0)</f>
        <v>8</v>
      </c>
    </row>
    <row r="588" customFormat="false" ht="15" hidden="false" customHeight="false" outlineLevel="0" collapsed="false">
      <c r="A588" s="19"/>
      <c r="B588" s="19"/>
      <c r="C588" s="19"/>
      <c r="D588" s="19"/>
      <c r="E588" s="22"/>
      <c r="F588" s="19"/>
      <c r="G588" s="26" t="str">
        <f aca="false">IF(D588="","",IFERROR(VALUE(LEFT(D588,FIND(" |",D588&amp;" |")-1)),"?"))</f>
        <v/>
      </c>
      <c r="H588" s="27" t="str">
        <f aca="false">IF(G588="","",IF(G588="?","⚠ pub inconnue",IFERROR(INDEX(Pubs!$B$2:$B$3001,MATCH(G588,Pubs!$A$2:$A$3001,0))&amp;"","⚠ pub inconnue")))</f>
        <v/>
      </c>
      <c r="I588" s="27" t="str">
        <f aca="false">IF(OR(G588="",G588="?"),"",IFERROR(INDEX(Pubs!$C$2:$C$3001,MATCH(G588,Pubs!$A$2:$A$3001,0))&amp;"",""))</f>
        <v/>
      </c>
      <c r="J588" s="27" t="str">
        <f aca="false">IF(OR(G588="",G588="?"),"",IFERROR(INDEX(Pubs!$G$2:$G$3001,MATCH(G588,Pubs!$A$2:$A$3001,0))&amp;"",""))</f>
        <v/>
      </c>
      <c r="K588" s="28" t="str">
        <f aca="false">IF(OR(G588="",G588="?"),"",IFERROR(INDEX(Pubs!$E$2:$E$3001,MATCH(G588,Pubs!$A$2:$A$3001,0)),""))</f>
        <v/>
      </c>
      <c r="L588" s="29" t="str">
        <f aca="false">IF(A588="","",IFERROR(1/(1/INDEX(Numéros!$C$2:$C$3001,MATCH(A588&amp;"|"&amp;B588,Numéros!$F$2:$F$3001,0))),""))</f>
        <v/>
      </c>
      <c r="M588" s="27" t="str">
        <f aca="false">IF(OR(G588="",G588="?"),"",IFERROR(INDEX(Pubs!$D$2:$D$3001,MATCH(G588,Pubs!$A$2:$A$3001,0))&amp;"",""))</f>
        <v/>
      </c>
      <c r="N588" s="27" t="n">
        <f aca="false">N(N587)+IF(AND(A588&lt;&gt;"",OR(Recherche!$C$4="",A588=Recherche!$C$4),OR(Recherche!$C$5="",B588&amp;""=Recherche!$C$5&amp;""),OR(Recherche!$C$6="",IFERROR(YEAR(L588),0)=Recherche!$C$6),OR(Recherche!$C$7="",ISNUMBER(SEARCH(Recherche!$C$7,H588))),OR(Recherche!$C$8="",J588=Recherche!$C$8),OR(Recherche!$C$9="",I588=Recherche!$C$9),OR(Recherche!$C$10="",G588&amp;""=Recherche!$C$10&amp;""),OR(Recherche!$C$11="",E588=Recherche!$C$11),OR(Recherche!$C$12="",ISNUMBER(SEARCH(Recherche!$C$12,M588&amp;" "&amp;F588)))),1,0)</f>
        <v>8</v>
      </c>
    </row>
    <row r="589" customFormat="false" ht="15" hidden="false" customHeight="false" outlineLevel="0" collapsed="false">
      <c r="A589" s="19"/>
      <c r="B589" s="19"/>
      <c r="C589" s="19"/>
      <c r="D589" s="19"/>
      <c r="E589" s="22"/>
      <c r="F589" s="19"/>
      <c r="G589" s="26" t="str">
        <f aca="false">IF(D589="","",IFERROR(VALUE(LEFT(D589,FIND(" |",D589&amp;" |")-1)),"?"))</f>
        <v/>
      </c>
      <c r="H589" s="27" t="str">
        <f aca="false">IF(G589="","",IF(G589="?","⚠ pub inconnue",IFERROR(INDEX(Pubs!$B$2:$B$3001,MATCH(G589,Pubs!$A$2:$A$3001,0))&amp;"","⚠ pub inconnue")))</f>
        <v/>
      </c>
      <c r="I589" s="27" t="str">
        <f aca="false">IF(OR(G589="",G589="?"),"",IFERROR(INDEX(Pubs!$C$2:$C$3001,MATCH(G589,Pubs!$A$2:$A$3001,0))&amp;"",""))</f>
        <v/>
      </c>
      <c r="J589" s="27" t="str">
        <f aca="false">IF(OR(G589="",G589="?"),"",IFERROR(INDEX(Pubs!$G$2:$G$3001,MATCH(G589,Pubs!$A$2:$A$3001,0))&amp;"",""))</f>
        <v/>
      </c>
      <c r="K589" s="28" t="str">
        <f aca="false">IF(OR(G589="",G589="?"),"",IFERROR(INDEX(Pubs!$E$2:$E$3001,MATCH(G589,Pubs!$A$2:$A$3001,0)),""))</f>
        <v/>
      </c>
      <c r="L589" s="29" t="str">
        <f aca="false">IF(A589="","",IFERROR(1/(1/INDEX(Numéros!$C$2:$C$3001,MATCH(A589&amp;"|"&amp;B589,Numéros!$F$2:$F$3001,0))),""))</f>
        <v/>
      </c>
      <c r="M589" s="27" t="str">
        <f aca="false">IF(OR(G589="",G589="?"),"",IFERROR(INDEX(Pubs!$D$2:$D$3001,MATCH(G589,Pubs!$A$2:$A$3001,0))&amp;"",""))</f>
        <v/>
      </c>
      <c r="N589" s="27" t="n">
        <f aca="false">N(N588)+IF(AND(A589&lt;&gt;"",OR(Recherche!$C$4="",A589=Recherche!$C$4),OR(Recherche!$C$5="",B589&amp;""=Recherche!$C$5&amp;""),OR(Recherche!$C$6="",IFERROR(YEAR(L589),0)=Recherche!$C$6),OR(Recherche!$C$7="",ISNUMBER(SEARCH(Recherche!$C$7,H589))),OR(Recherche!$C$8="",J589=Recherche!$C$8),OR(Recherche!$C$9="",I589=Recherche!$C$9),OR(Recherche!$C$10="",G589&amp;""=Recherche!$C$10&amp;""),OR(Recherche!$C$11="",E589=Recherche!$C$11),OR(Recherche!$C$12="",ISNUMBER(SEARCH(Recherche!$C$12,M589&amp;" "&amp;F589)))),1,0)</f>
        <v>8</v>
      </c>
    </row>
    <row r="590" customFormat="false" ht="15" hidden="false" customHeight="false" outlineLevel="0" collapsed="false">
      <c r="A590" s="19"/>
      <c r="B590" s="19"/>
      <c r="C590" s="19"/>
      <c r="D590" s="19"/>
      <c r="E590" s="22"/>
      <c r="F590" s="19"/>
      <c r="G590" s="26" t="str">
        <f aca="false">IF(D590="","",IFERROR(VALUE(LEFT(D590,FIND(" |",D590&amp;" |")-1)),"?"))</f>
        <v/>
      </c>
      <c r="H590" s="27" t="str">
        <f aca="false">IF(G590="","",IF(G590="?","⚠ pub inconnue",IFERROR(INDEX(Pubs!$B$2:$B$3001,MATCH(G590,Pubs!$A$2:$A$3001,0))&amp;"","⚠ pub inconnue")))</f>
        <v/>
      </c>
      <c r="I590" s="27" t="str">
        <f aca="false">IF(OR(G590="",G590="?"),"",IFERROR(INDEX(Pubs!$C$2:$C$3001,MATCH(G590,Pubs!$A$2:$A$3001,0))&amp;"",""))</f>
        <v/>
      </c>
      <c r="J590" s="27" t="str">
        <f aca="false">IF(OR(G590="",G590="?"),"",IFERROR(INDEX(Pubs!$G$2:$G$3001,MATCH(G590,Pubs!$A$2:$A$3001,0))&amp;"",""))</f>
        <v/>
      </c>
      <c r="K590" s="28" t="str">
        <f aca="false">IF(OR(G590="",G590="?"),"",IFERROR(INDEX(Pubs!$E$2:$E$3001,MATCH(G590,Pubs!$A$2:$A$3001,0)),""))</f>
        <v/>
      </c>
      <c r="L590" s="29" t="str">
        <f aca="false">IF(A590="","",IFERROR(1/(1/INDEX(Numéros!$C$2:$C$3001,MATCH(A590&amp;"|"&amp;B590,Numéros!$F$2:$F$3001,0))),""))</f>
        <v/>
      </c>
      <c r="M590" s="27" t="str">
        <f aca="false">IF(OR(G590="",G590="?"),"",IFERROR(INDEX(Pubs!$D$2:$D$3001,MATCH(G590,Pubs!$A$2:$A$3001,0))&amp;"",""))</f>
        <v/>
      </c>
      <c r="N590" s="27" t="n">
        <f aca="false">N(N589)+IF(AND(A590&lt;&gt;"",OR(Recherche!$C$4="",A590=Recherche!$C$4),OR(Recherche!$C$5="",B590&amp;""=Recherche!$C$5&amp;""),OR(Recherche!$C$6="",IFERROR(YEAR(L590),0)=Recherche!$C$6),OR(Recherche!$C$7="",ISNUMBER(SEARCH(Recherche!$C$7,H590))),OR(Recherche!$C$8="",J590=Recherche!$C$8),OR(Recherche!$C$9="",I590=Recherche!$C$9),OR(Recherche!$C$10="",G590&amp;""=Recherche!$C$10&amp;""),OR(Recherche!$C$11="",E590=Recherche!$C$11),OR(Recherche!$C$12="",ISNUMBER(SEARCH(Recherche!$C$12,M590&amp;" "&amp;F590)))),1,0)</f>
        <v>8</v>
      </c>
    </row>
    <row r="591" customFormat="false" ht="15" hidden="false" customHeight="false" outlineLevel="0" collapsed="false">
      <c r="A591" s="19"/>
      <c r="B591" s="19"/>
      <c r="C591" s="19"/>
      <c r="D591" s="19"/>
      <c r="E591" s="22"/>
      <c r="F591" s="19"/>
      <c r="G591" s="26" t="str">
        <f aca="false">IF(D591="","",IFERROR(VALUE(LEFT(D591,FIND(" |",D591&amp;" |")-1)),"?"))</f>
        <v/>
      </c>
      <c r="H591" s="27" t="str">
        <f aca="false">IF(G591="","",IF(G591="?","⚠ pub inconnue",IFERROR(INDEX(Pubs!$B$2:$B$3001,MATCH(G591,Pubs!$A$2:$A$3001,0))&amp;"","⚠ pub inconnue")))</f>
        <v/>
      </c>
      <c r="I591" s="27" t="str">
        <f aca="false">IF(OR(G591="",G591="?"),"",IFERROR(INDEX(Pubs!$C$2:$C$3001,MATCH(G591,Pubs!$A$2:$A$3001,0))&amp;"",""))</f>
        <v/>
      </c>
      <c r="J591" s="27" t="str">
        <f aca="false">IF(OR(G591="",G591="?"),"",IFERROR(INDEX(Pubs!$G$2:$G$3001,MATCH(G591,Pubs!$A$2:$A$3001,0))&amp;"",""))</f>
        <v/>
      </c>
      <c r="K591" s="28" t="str">
        <f aca="false">IF(OR(G591="",G591="?"),"",IFERROR(INDEX(Pubs!$E$2:$E$3001,MATCH(G591,Pubs!$A$2:$A$3001,0)),""))</f>
        <v/>
      </c>
      <c r="L591" s="29" t="str">
        <f aca="false">IF(A591="","",IFERROR(1/(1/INDEX(Numéros!$C$2:$C$3001,MATCH(A591&amp;"|"&amp;B591,Numéros!$F$2:$F$3001,0))),""))</f>
        <v/>
      </c>
      <c r="M591" s="27" t="str">
        <f aca="false">IF(OR(G591="",G591="?"),"",IFERROR(INDEX(Pubs!$D$2:$D$3001,MATCH(G591,Pubs!$A$2:$A$3001,0))&amp;"",""))</f>
        <v/>
      </c>
      <c r="N591" s="27" t="n">
        <f aca="false">N(N590)+IF(AND(A591&lt;&gt;"",OR(Recherche!$C$4="",A591=Recherche!$C$4),OR(Recherche!$C$5="",B591&amp;""=Recherche!$C$5&amp;""),OR(Recherche!$C$6="",IFERROR(YEAR(L591),0)=Recherche!$C$6),OR(Recherche!$C$7="",ISNUMBER(SEARCH(Recherche!$C$7,H591))),OR(Recherche!$C$8="",J591=Recherche!$C$8),OR(Recherche!$C$9="",I591=Recherche!$C$9),OR(Recherche!$C$10="",G591&amp;""=Recherche!$C$10&amp;""),OR(Recherche!$C$11="",E591=Recherche!$C$11),OR(Recherche!$C$12="",ISNUMBER(SEARCH(Recherche!$C$12,M591&amp;" "&amp;F591)))),1,0)</f>
        <v>8</v>
      </c>
    </row>
    <row r="592" customFormat="false" ht="15" hidden="false" customHeight="false" outlineLevel="0" collapsed="false">
      <c r="A592" s="19"/>
      <c r="B592" s="19"/>
      <c r="C592" s="19"/>
      <c r="D592" s="19"/>
      <c r="E592" s="22"/>
      <c r="F592" s="19"/>
      <c r="G592" s="26" t="str">
        <f aca="false">IF(D592="","",IFERROR(VALUE(LEFT(D592,FIND(" |",D592&amp;" |")-1)),"?"))</f>
        <v/>
      </c>
      <c r="H592" s="27" t="str">
        <f aca="false">IF(G592="","",IF(G592="?","⚠ pub inconnue",IFERROR(INDEX(Pubs!$B$2:$B$3001,MATCH(G592,Pubs!$A$2:$A$3001,0))&amp;"","⚠ pub inconnue")))</f>
        <v/>
      </c>
      <c r="I592" s="27" t="str">
        <f aca="false">IF(OR(G592="",G592="?"),"",IFERROR(INDEX(Pubs!$C$2:$C$3001,MATCH(G592,Pubs!$A$2:$A$3001,0))&amp;"",""))</f>
        <v/>
      </c>
      <c r="J592" s="27" t="str">
        <f aca="false">IF(OR(G592="",G592="?"),"",IFERROR(INDEX(Pubs!$G$2:$G$3001,MATCH(G592,Pubs!$A$2:$A$3001,0))&amp;"",""))</f>
        <v/>
      </c>
      <c r="K592" s="28" t="str">
        <f aca="false">IF(OR(G592="",G592="?"),"",IFERROR(INDEX(Pubs!$E$2:$E$3001,MATCH(G592,Pubs!$A$2:$A$3001,0)),""))</f>
        <v/>
      </c>
      <c r="L592" s="29" t="str">
        <f aca="false">IF(A592="","",IFERROR(1/(1/INDEX(Numéros!$C$2:$C$3001,MATCH(A592&amp;"|"&amp;B592,Numéros!$F$2:$F$3001,0))),""))</f>
        <v/>
      </c>
      <c r="M592" s="27" t="str">
        <f aca="false">IF(OR(G592="",G592="?"),"",IFERROR(INDEX(Pubs!$D$2:$D$3001,MATCH(G592,Pubs!$A$2:$A$3001,0))&amp;"",""))</f>
        <v/>
      </c>
      <c r="N592" s="27" t="n">
        <f aca="false">N(N591)+IF(AND(A592&lt;&gt;"",OR(Recherche!$C$4="",A592=Recherche!$C$4),OR(Recherche!$C$5="",B592&amp;""=Recherche!$C$5&amp;""),OR(Recherche!$C$6="",IFERROR(YEAR(L592),0)=Recherche!$C$6),OR(Recherche!$C$7="",ISNUMBER(SEARCH(Recherche!$C$7,H592))),OR(Recherche!$C$8="",J592=Recherche!$C$8),OR(Recherche!$C$9="",I592=Recherche!$C$9),OR(Recherche!$C$10="",G592&amp;""=Recherche!$C$10&amp;""),OR(Recherche!$C$11="",E592=Recherche!$C$11),OR(Recherche!$C$12="",ISNUMBER(SEARCH(Recherche!$C$12,M592&amp;" "&amp;F592)))),1,0)</f>
        <v>8</v>
      </c>
    </row>
    <row r="593" customFormat="false" ht="15" hidden="false" customHeight="false" outlineLevel="0" collapsed="false">
      <c r="A593" s="19"/>
      <c r="B593" s="19"/>
      <c r="C593" s="19"/>
      <c r="D593" s="19"/>
      <c r="E593" s="22"/>
      <c r="F593" s="19"/>
      <c r="G593" s="26" t="str">
        <f aca="false">IF(D593="","",IFERROR(VALUE(LEFT(D593,FIND(" |",D593&amp;" |")-1)),"?"))</f>
        <v/>
      </c>
      <c r="H593" s="27" t="str">
        <f aca="false">IF(G593="","",IF(G593="?","⚠ pub inconnue",IFERROR(INDEX(Pubs!$B$2:$B$3001,MATCH(G593,Pubs!$A$2:$A$3001,0))&amp;"","⚠ pub inconnue")))</f>
        <v/>
      </c>
      <c r="I593" s="27" t="str">
        <f aca="false">IF(OR(G593="",G593="?"),"",IFERROR(INDEX(Pubs!$C$2:$C$3001,MATCH(G593,Pubs!$A$2:$A$3001,0))&amp;"",""))</f>
        <v/>
      </c>
      <c r="J593" s="27" t="str">
        <f aca="false">IF(OR(G593="",G593="?"),"",IFERROR(INDEX(Pubs!$G$2:$G$3001,MATCH(G593,Pubs!$A$2:$A$3001,0))&amp;"",""))</f>
        <v/>
      </c>
      <c r="K593" s="28" t="str">
        <f aca="false">IF(OR(G593="",G593="?"),"",IFERROR(INDEX(Pubs!$E$2:$E$3001,MATCH(G593,Pubs!$A$2:$A$3001,0)),""))</f>
        <v/>
      </c>
      <c r="L593" s="29" t="str">
        <f aca="false">IF(A593="","",IFERROR(1/(1/INDEX(Numéros!$C$2:$C$3001,MATCH(A593&amp;"|"&amp;B593,Numéros!$F$2:$F$3001,0))),""))</f>
        <v/>
      </c>
      <c r="M593" s="27" t="str">
        <f aca="false">IF(OR(G593="",G593="?"),"",IFERROR(INDEX(Pubs!$D$2:$D$3001,MATCH(G593,Pubs!$A$2:$A$3001,0))&amp;"",""))</f>
        <v/>
      </c>
      <c r="N593" s="27" t="n">
        <f aca="false">N(N592)+IF(AND(A593&lt;&gt;"",OR(Recherche!$C$4="",A593=Recherche!$C$4),OR(Recherche!$C$5="",B593&amp;""=Recherche!$C$5&amp;""),OR(Recherche!$C$6="",IFERROR(YEAR(L593),0)=Recherche!$C$6),OR(Recherche!$C$7="",ISNUMBER(SEARCH(Recherche!$C$7,H593))),OR(Recherche!$C$8="",J593=Recherche!$C$8),OR(Recherche!$C$9="",I593=Recherche!$C$9),OR(Recherche!$C$10="",G593&amp;""=Recherche!$C$10&amp;""),OR(Recherche!$C$11="",E593=Recherche!$C$11),OR(Recherche!$C$12="",ISNUMBER(SEARCH(Recherche!$C$12,M593&amp;" "&amp;F593)))),1,0)</f>
        <v>8</v>
      </c>
    </row>
    <row r="594" customFormat="false" ht="15" hidden="false" customHeight="false" outlineLevel="0" collapsed="false">
      <c r="A594" s="19"/>
      <c r="B594" s="19"/>
      <c r="C594" s="19"/>
      <c r="D594" s="19"/>
      <c r="E594" s="22"/>
      <c r="F594" s="19"/>
      <c r="G594" s="26" t="str">
        <f aca="false">IF(D594="","",IFERROR(VALUE(LEFT(D594,FIND(" |",D594&amp;" |")-1)),"?"))</f>
        <v/>
      </c>
      <c r="H594" s="27" t="str">
        <f aca="false">IF(G594="","",IF(G594="?","⚠ pub inconnue",IFERROR(INDEX(Pubs!$B$2:$B$3001,MATCH(G594,Pubs!$A$2:$A$3001,0))&amp;"","⚠ pub inconnue")))</f>
        <v/>
      </c>
      <c r="I594" s="27" t="str">
        <f aca="false">IF(OR(G594="",G594="?"),"",IFERROR(INDEX(Pubs!$C$2:$C$3001,MATCH(G594,Pubs!$A$2:$A$3001,0))&amp;"",""))</f>
        <v/>
      </c>
      <c r="J594" s="27" t="str">
        <f aca="false">IF(OR(G594="",G594="?"),"",IFERROR(INDEX(Pubs!$G$2:$G$3001,MATCH(G594,Pubs!$A$2:$A$3001,0))&amp;"",""))</f>
        <v/>
      </c>
      <c r="K594" s="28" t="str">
        <f aca="false">IF(OR(G594="",G594="?"),"",IFERROR(INDEX(Pubs!$E$2:$E$3001,MATCH(G594,Pubs!$A$2:$A$3001,0)),""))</f>
        <v/>
      </c>
      <c r="L594" s="29" t="str">
        <f aca="false">IF(A594="","",IFERROR(1/(1/INDEX(Numéros!$C$2:$C$3001,MATCH(A594&amp;"|"&amp;B594,Numéros!$F$2:$F$3001,0))),""))</f>
        <v/>
      </c>
      <c r="M594" s="27" t="str">
        <f aca="false">IF(OR(G594="",G594="?"),"",IFERROR(INDEX(Pubs!$D$2:$D$3001,MATCH(G594,Pubs!$A$2:$A$3001,0))&amp;"",""))</f>
        <v/>
      </c>
      <c r="N594" s="27" t="n">
        <f aca="false">N(N593)+IF(AND(A594&lt;&gt;"",OR(Recherche!$C$4="",A594=Recherche!$C$4),OR(Recherche!$C$5="",B594&amp;""=Recherche!$C$5&amp;""),OR(Recherche!$C$6="",IFERROR(YEAR(L594),0)=Recherche!$C$6),OR(Recherche!$C$7="",ISNUMBER(SEARCH(Recherche!$C$7,H594))),OR(Recherche!$C$8="",J594=Recherche!$C$8),OR(Recherche!$C$9="",I594=Recherche!$C$9),OR(Recherche!$C$10="",G594&amp;""=Recherche!$C$10&amp;""),OR(Recherche!$C$11="",E594=Recherche!$C$11),OR(Recherche!$C$12="",ISNUMBER(SEARCH(Recherche!$C$12,M594&amp;" "&amp;F594)))),1,0)</f>
        <v>8</v>
      </c>
    </row>
    <row r="595" customFormat="false" ht="15" hidden="false" customHeight="false" outlineLevel="0" collapsed="false">
      <c r="A595" s="19"/>
      <c r="B595" s="19"/>
      <c r="C595" s="19"/>
      <c r="D595" s="19"/>
      <c r="E595" s="22"/>
      <c r="F595" s="19"/>
      <c r="G595" s="26" t="str">
        <f aca="false">IF(D595="","",IFERROR(VALUE(LEFT(D595,FIND(" |",D595&amp;" |")-1)),"?"))</f>
        <v/>
      </c>
      <c r="H595" s="27" t="str">
        <f aca="false">IF(G595="","",IF(G595="?","⚠ pub inconnue",IFERROR(INDEX(Pubs!$B$2:$B$3001,MATCH(G595,Pubs!$A$2:$A$3001,0))&amp;"","⚠ pub inconnue")))</f>
        <v/>
      </c>
      <c r="I595" s="27" t="str">
        <f aca="false">IF(OR(G595="",G595="?"),"",IFERROR(INDEX(Pubs!$C$2:$C$3001,MATCH(G595,Pubs!$A$2:$A$3001,0))&amp;"",""))</f>
        <v/>
      </c>
      <c r="J595" s="27" t="str">
        <f aca="false">IF(OR(G595="",G595="?"),"",IFERROR(INDEX(Pubs!$G$2:$G$3001,MATCH(G595,Pubs!$A$2:$A$3001,0))&amp;"",""))</f>
        <v/>
      </c>
      <c r="K595" s="28" t="str">
        <f aca="false">IF(OR(G595="",G595="?"),"",IFERROR(INDEX(Pubs!$E$2:$E$3001,MATCH(G595,Pubs!$A$2:$A$3001,0)),""))</f>
        <v/>
      </c>
      <c r="L595" s="29" t="str">
        <f aca="false">IF(A595="","",IFERROR(1/(1/INDEX(Numéros!$C$2:$C$3001,MATCH(A595&amp;"|"&amp;B595,Numéros!$F$2:$F$3001,0))),""))</f>
        <v/>
      </c>
      <c r="M595" s="27" t="str">
        <f aca="false">IF(OR(G595="",G595="?"),"",IFERROR(INDEX(Pubs!$D$2:$D$3001,MATCH(G595,Pubs!$A$2:$A$3001,0))&amp;"",""))</f>
        <v/>
      </c>
      <c r="N595" s="27" t="n">
        <f aca="false">N(N594)+IF(AND(A595&lt;&gt;"",OR(Recherche!$C$4="",A595=Recherche!$C$4),OR(Recherche!$C$5="",B595&amp;""=Recherche!$C$5&amp;""),OR(Recherche!$C$6="",IFERROR(YEAR(L595),0)=Recherche!$C$6),OR(Recherche!$C$7="",ISNUMBER(SEARCH(Recherche!$C$7,H595))),OR(Recherche!$C$8="",J595=Recherche!$C$8),OR(Recherche!$C$9="",I595=Recherche!$C$9),OR(Recherche!$C$10="",G595&amp;""=Recherche!$C$10&amp;""),OR(Recherche!$C$11="",E595=Recherche!$C$11),OR(Recherche!$C$12="",ISNUMBER(SEARCH(Recherche!$C$12,M595&amp;" "&amp;F595)))),1,0)</f>
        <v>8</v>
      </c>
    </row>
    <row r="596" customFormat="false" ht="15" hidden="false" customHeight="false" outlineLevel="0" collapsed="false">
      <c r="A596" s="19"/>
      <c r="B596" s="19"/>
      <c r="C596" s="19"/>
      <c r="D596" s="19"/>
      <c r="E596" s="22"/>
      <c r="F596" s="19"/>
      <c r="G596" s="26" t="str">
        <f aca="false">IF(D596="","",IFERROR(VALUE(LEFT(D596,FIND(" |",D596&amp;" |")-1)),"?"))</f>
        <v/>
      </c>
      <c r="H596" s="27" t="str">
        <f aca="false">IF(G596="","",IF(G596="?","⚠ pub inconnue",IFERROR(INDEX(Pubs!$B$2:$B$3001,MATCH(G596,Pubs!$A$2:$A$3001,0))&amp;"","⚠ pub inconnue")))</f>
        <v/>
      </c>
      <c r="I596" s="27" t="str">
        <f aca="false">IF(OR(G596="",G596="?"),"",IFERROR(INDEX(Pubs!$C$2:$C$3001,MATCH(G596,Pubs!$A$2:$A$3001,0))&amp;"",""))</f>
        <v/>
      </c>
      <c r="J596" s="27" t="str">
        <f aca="false">IF(OR(G596="",G596="?"),"",IFERROR(INDEX(Pubs!$G$2:$G$3001,MATCH(G596,Pubs!$A$2:$A$3001,0))&amp;"",""))</f>
        <v/>
      </c>
      <c r="K596" s="28" t="str">
        <f aca="false">IF(OR(G596="",G596="?"),"",IFERROR(INDEX(Pubs!$E$2:$E$3001,MATCH(G596,Pubs!$A$2:$A$3001,0)),""))</f>
        <v/>
      </c>
      <c r="L596" s="29" t="str">
        <f aca="false">IF(A596="","",IFERROR(1/(1/INDEX(Numéros!$C$2:$C$3001,MATCH(A596&amp;"|"&amp;B596,Numéros!$F$2:$F$3001,0))),""))</f>
        <v/>
      </c>
      <c r="M596" s="27" t="str">
        <f aca="false">IF(OR(G596="",G596="?"),"",IFERROR(INDEX(Pubs!$D$2:$D$3001,MATCH(G596,Pubs!$A$2:$A$3001,0))&amp;"",""))</f>
        <v/>
      </c>
      <c r="N596" s="27" t="n">
        <f aca="false">N(N595)+IF(AND(A596&lt;&gt;"",OR(Recherche!$C$4="",A596=Recherche!$C$4),OR(Recherche!$C$5="",B596&amp;""=Recherche!$C$5&amp;""),OR(Recherche!$C$6="",IFERROR(YEAR(L596),0)=Recherche!$C$6),OR(Recherche!$C$7="",ISNUMBER(SEARCH(Recherche!$C$7,H596))),OR(Recherche!$C$8="",J596=Recherche!$C$8),OR(Recherche!$C$9="",I596=Recherche!$C$9),OR(Recherche!$C$10="",G596&amp;""=Recherche!$C$10&amp;""),OR(Recherche!$C$11="",E596=Recherche!$C$11),OR(Recherche!$C$12="",ISNUMBER(SEARCH(Recherche!$C$12,M596&amp;" "&amp;F596)))),1,0)</f>
        <v>8</v>
      </c>
    </row>
    <row r="597" customFormat="false" ht="15" hidden="false" customHeight="false" outlineLevel="0" collapsed="false">
      <c r="A597" s="19"/>
      <c r="B597" s="19"/>
      <c r="C597" s="19"/>
      <c r="D597" s="19"/>
      <c r="E597" s="22"/>
      <c r="F597" s="19"/>
      <c r="G597" s="26" t="str">
        <f aca="false">IF(D597="","",IFERROR(VALUE(LEFT(D597,FIND(" |",D597&amp;" |")-1)),"?"))</f>
        <v/>
      </c>
      <c r="H597" s="27" t="str">
        <f aca="false">IF(G597="","",IF(G597="?","⚠ pub inconnue",IFERROR(INDEX(Pubs!$B$2:$B$3001,MATCH(G597,Pubs!$A$2:$A$3001,0))&amp;"","⚠ pub inconnue")))</f>
        <v/>
      </c>
      <c r="I597" s="27" t="str">
        <f aca="false">IF(OR(G597="",G597="?"),"",IFERROR(INDEX(Pubs!$C$2:$C$3001,MATCH(G597,Pubs!$A$2:$A$3001,0))&amp;"",""))</f>
        <v/>
      </c>
      <c r="J597" s="27" t="str">
        <f aca="false">IF(OR(G597="",G597="?"),"",IFERROR(INDEX(Pubs!$G$2:$G$3001,MATCH(G597,Pubs!$A$2:$A$3001,0))&amp;"",""))</f>
        <v/>
      </c>
      <c r="K597" s="28" t="str">
        <f aca="false">IF(OR(G597="",G597="?"),"",IFERROR(INDEX(Pubs!$E$2:$E$3001,MATCH(G597,Pubs!$A$2:$A$3001,0)),""))</f>
        <v/>
      </c>
      <c r="L597" s="29" t="str">
        <f aca="false">IF(A597="","",IFERROR(1/(1/INDEX(Numéros!$C$2:$C$3001,MATCH(A597&amp;"|"&amp;B597,Numéros!$F$2:$F$3001,0))),""))</f>
        <v/>
      </c>
      <c r="M597" s="27" t="str">
        <f aca="false">IF(OR(G597="",G597="?"),"",IFERROR(INDEX(Pubs!$D$2:$D$3001,MATCH(G597,Pubs!$A$2:$A$3001,0))&amp;"",""))</f>
        <v/>
      </c>
      <c r="N597" s="27" t="n">
        <f aca="false">N(N596)+IF(AND(A597&lt;&gt;"",OR(Recherche!$C$4="",A597=Recherche!$C$4),OR(Recherche!$C$5="",B597&amp;""=Recherche!$C$5&amp;""),OR(Recherche!$C$6="",IFERROR(YEAR(L597),0)=Recherche!$C$6),OR(Recherche!$C$7="",ISNUMBER(SEARCH(Recherche!$C$7,H597))),OR(Recherche!$C$8="",J597=Recherche!$C$8),OR(Recherche!$C$9="",I597=Recherche!$C$9),OR(Recherche!$C$10="",G597&amp;""=Recherche!$C$10&amp;""),OR(Recherche!$C$11="",E597=Recherche!$C$11),OR(Recherche!$C$12="",ISNUMBER(SEARCH(Recherche!$C$12,M597&amp;" "&amp;F597)))),1,0)</f>
        <v>8</v>
      </c>
    </row>
    <row r="598" customFormat="false" ht="15" hidden="false" customHeight="false" outlineLevel="0" collapsed="false">
      <c r="A598" s="19"/>
      <c r="B598" s="19"/>
      <c r="C598" s="19"/>
      <c r="D598" s="19"/>
      <c r="E598" s="22"/>
      <c r="F598" s="19"/>
      <c r="G598" s="26" t="str">
        <f aca="false">IF(D598="","",IFERROR(VALUE(LEFT(D598,FIND(" |",D598&amp;" |")-1)),"?"))</f>
        <v/>
      </c>
      <c r="H598" s="27" t="str">
        <f aca="false">IF(G598="","",IF(G598="?","⚠ pub inconnue",IFERROR(INDEX(Pubs!$B$2:$B$3001,MATCH(G598,Pubs!$A$2:$A$3001,0))&amp;"","⚠ pub inconnue")))</f>
        <v/>
      </c>
      <c r="I598" s="27" t="str">
        <f aca="false">IF(OR(G598="",G598="?"),"",IFERROR(INDEX(Pubs!$C$2:$C$3001,MATCH(G598,Pubs!$A$2:$A$3001,0))&amp;"",""))</f>
        <v/>
      </c>
      <c r="J598" s="27" t="str">
        <f aca="false">IF(OR(G598="",G598="?"),"",IFERROR(INDEX(Pubs!$G$2:$G$3001,MATCH(G598,Pubs!$A$2:$A$3001,0))&amp;"",""))</f>
        <v/>
      </c>
      <c r="K598" s="28" t="str">
        <f aca="false">IF(OR(G598="",G598="?"),"",IFERROR(INDEX(Pubs!$E$2:$E$3001,MATCH(G598,Pubs!$A$2:$A$3001,0)),""))</f>
        <v/>
      </c>
      <c r="L598" s="29" t="str">
        <f aca="false">IF(A598="","",IFERROR(1/(1/INDEX(Numéros!$C$2:$C$3001,MATCH(A598&amp;"|"&amp;B598,Numéros!$F$2:$F$3001,0))),""))</f>
        <v/>
      </c>
      <c r="M598" s="27" t="str">
        <f aca="false">IF(OR(G598="",G598="?"),"",IFERROR(INDEX(Pubs!$D$2:$D$3001,MATCH(G598,Pubs!$A$2:$A$3001,0))&amp;"",""))</f>
        <v/>
      </c>
      <c r="N598" s="27" t="n">
        <f aca="false">N(N597)+IF(AND(A598&lt;&gt;"",OR(Recherche!$C$4="",A598=Recherche!$C$4),OR(Recherche!$C$5="",B598&amp;""=Recherche!$C$5&amp;""),OR(Recherche!$C$6="",IFERROR(YEAR(L598),0)=Recherche!$C$6),OR(Recherche!$C$7="",ISNUMBER(SEARCH(Recherche!$C$7,H598))),OR(Recherche!$C$8="",J598=Recherche!$C$8),OR(Recherche!$C$9="",I598=Recherche!$C$9),OR(Recherche!$C$10="",G598&amp;""=Recherche!$C$10&amp;""),OR(Recherche!$C$11="",E598=Recherche!$C$11),OR(Recherche!$C$12="",ISNUMBER(SEARCH(Recherche!$C$12,M598&amp;" "&amp;F598)))),1,0)</f>
        <v>8</v>
      </c>
    </row>
    <row r="599" customFormat="false" ht="15" hidden="false" customHeight="false" outlineLevel="0" collapsed="false">
      <c r="A599" s="19"/>
      <c r="B599" s="19"/>
      <c r="C599" s="19"/>
      <c r="D599" s="19"/>
      <c r="E599" s="22"/>
      <c r="F599" s="19"/>
      <c r="G599" s="26" t="str">
        <f aca="false">IF(D599="","",IFERROR(VALUE(LEFT(D599,FIND(" |",D599&amp;" |")-1)),"?"))</f>
        <v/>
      </c>
      <c r="H599" s="27" t="str">
        <f aca="false">IF(G599="","",IF(G599="?","⚠ pub inconnue",IFERROR(INDEX(Pubs!$B$2:$B$3001,MATCH(G599,Pubs!$A$2:$A$3001,0))&amp;"","⚠ pub inconnue")))</f>
        <v/>
      </c>
      <c r="I599" s="27" t="str">
        <f aca="false">IF(OR(G599="",G599="?"),"",IFERROR(INDEX(Pubs!$C$2:$C$3001,MATCH(G599,Pubs!$A$2:$A$3001,0))&amp;"",""))</f>
        <v/>
      </c>
      <c r="J599" s="27" t="str">
        <f aca="false">IF(OR(G599="",G599="?"),"",IFERROR(INDEX(Pubs!$G$2:$G$3001,MATCH(G599,Pubs!$A$2:$A$3001,0))&amp;"",""))</f>
        <v/>
      </c>
      <c r="K599" s="28" t="str">
        <f aca="false">IF(OR(G599="",G599="?"),"",IFERROR(INDEX(Pubs!$E$2:$E$3001,MATCH(G599,Pubs!$A$2:$A$3001,0)),""))</f>
        <v/>
      </c>
      <c r="L599" s="29" t="str">
        <f aca="false">IF(A599="","",IFERROR(1/(1/INDEX(Numéros!$C$2:$C$3001,MATCH(A599&amp;"|"&amp;B599,Numéros!$F$2:$F$3001,0))),""))</f>
        <v/>
      </c>
      <c r="M599" s="27" t="str">
        <f aca="false">IF(OR(G599="",G599="?"),"",IFERROR(INDEX(Pubs!$D$2:$D$3001,MATCH(G599,Pubs!$A$2:$A$3001,0))&amp;"",""))</f>
        <v/>
      </c>
      <c r="N599" s="27" t="n">
        <f aca="false">N(N598)+IF(AND(A599&lt;&gt;"",OR(Recherche!$C$4="",A599=Recherche!$C$4),OR(Recherche!$C$5="",B599&amp;""=Recherche!$C$5&amp;""),OR(Recherche!$C$6="",IFERROR(YEAR(L599),0)=Recherche!$C$6),OR(Recherche!$C$7="",ISNUMBER(SEARCH(Recherche!$C$7,H599))),OR(Recherche!$C$8="",J599=Recherche!$C$8),OR(Recherche!$C$9="",I599=Recherche!$C$9),OR(Recherche!$C$10="",G599&amp;""=Recherche!$C$10&amp;""),OR(Recherche!$C$11="",E599=Recherche!$C$11),OR(Recherche!$C$12="",ISNUMBER(SEARCH(Recherche!$C$12,M599&amp;" "&amp;F599)))),1,0)</f>
        <v>8</v>
      </c>
    </row>
    <row r="600" customFormat="false" ht="15" hidden="false" customHeight="false" outlineLevel="0" collapsed="false">
      <c r="A600" s="19"/>
      <c r="B600" s="19"/>
      <c r="C600" s="19"/>
      <c r="D600" s="19"/>
      <c r="E600" s="22"/>
      <c r="F600" s="19"/>
      <c r="G600" s="26" t="str">
        <f aca="false">IF(D600="","",IFERROR(VALUE(LEFT(D600,FIND(" |",D600&amp;" |")-1)),"?"))</f>
        <v/>
      </c>
      <c r="H600" s="27" t="str">
        <f aca="false">IF(G600="","",IF(G600="?","⚠ pub inconnue",IFERROR(INDEX(Pubs!$B$2:$B$3001,MATCH(G600,Pubs!$A$2:$A$3001,0))&amp;"","⚠ pub inconnue")))</f>
        <v/>
      </c>
      <c r="I600" s="27" t="str">
        <f aca="false">IF(OR(G600="",G600="?"),"",IFERROR(INDEX(Pubs!$C$2:$C$3001,MATCH(G600,Pubs!$A$2:$A$3001,0))&amp;"",""))</f>
        <v/>
      </c>
      <c r="J600" s="27" t="str">
        <f aca="false">IF(OR(G600="",G600="?"),"",IFERROR(INDEX(Pubs!$G$2:$G$3001,MATCH(G600,Pubs!$A$2:$A$3001,0))&amp;"",""))</f>
        <v/>
      </c>
      <c r="K600" s="28" t="str">
        <f aca="false">IF(OR(G600="",G600="?"),"",IFERROR(INDEX(Pubs!$E$2:$E$3001,MATCH(G600,Pubs!$A$2:$A$3001,0)),""))</f>
        <v/>
      </c>
      <c r="L600" s="29" t="str">
        <f aca="false">IF(A600="","",IFERROR(1/(1/INDEX(Numéros!$C$2:$C$3001,MATCH(A600&amp;"|"&amp;B600,Numéros!$F$2:$F$3001,0))),""))</f>
        <v/>
      </c>
      <c r="M600" s="27" t="str">
        <f aca="false">IF(OR(G600="",G600="?"),"",IFERROR(INDEX(Pubs!$D$2:$D$3001,MATCH(G600,Pubs!$A$2:$A$3001,0))&amp;"",""))</f>
        <v/>
      </c>
      <c r="N600" s="27" t="n">
        <f aca="false">N(N599)+IF(AND(A600&lt;&gt;"",OR(Recherche!$C$4="",A600=Recherche!$C$4),OR(Recherche!$C$5="",B600&amp;""=Recherche!$C$5&amp;""),OR(Recherche!$C$6="",IFERROR(YEAR(L600),0)=Recherche!$C$6),OR(Recherche!$C$7="",ISNUMBER(SEARCH(Recherche!$C$7,H600))),OR(Recherche!$C$8="",J600=Recherche!$C$8),OR(Recherche!$C$9="",I600=Recherche!$C$9),OR(Recherche!$C$10="",G600&amp;""=Recherche!$C$10&amp;""),OR(Recherche!$C$11="",E600=Recherche!$C$11),OR(Recherche!$C$12="",ISNUMBER(SEARCH(Recherche!$C$12,M600&amp;" "&amp;F600)))),1,0)</f>
        <v>8</v>
      </c>
    </row>
    <row r="601" customFormat="false" ht="15" hidden="false" customHeight="false" outlineLevel="0" collapsed="false">
      <c r="A601" s="19"/>
      <c r="B601" s="19"/>
      <c r="C601" s="19"/>
      <c r="D601" s="19"/>
      <c r="E601" s="22"/>
      <c r="F601" s="19"/>
      <c r="G601" s="26" t="str">
        <f aca="false">IF(D601="","",IFERROR(VALUE(LEFT(D601,FIND(" |",D601&amp;" |")-1)),"?"))</f>
        <v/>
      </c>
      <c r="H601" s="27" t="str">
        <f aca="false">IF(G601="","",IF(G601="?","⚠ pub inconnue",IFERROR(INDEX(Pubs!$B$2:$B$3001,MATCH(G601,Pubs!$A$2:$A$3001,0))&amp;"","⚠ pub inconnue")))</f>
        <v/>
      </c>
      <c r="I601" s="27" t="str">
        <f aca="false">IF(OR(G601="",G601="?"),"",IFERROR(INDEX(Pubs!$C$2:$C$3001,MATCH(G601,Pubs!$A$2:$A$3001,0))&amp;"",""))</f>
        <v/>
      </c>
      <c r="J601" s="27" t="str">
        <f aca="false">IF(OR(G601="",G601="?"),"",IFERROR(INDEX(Pubs!$G$2:$G$3001,MATCH(G601,Pubs!$A$2:$A$3001,0))&amp;"",""))</f>
        <v/>
      </c>
      <c r="K601" s="28" t="str">
        <f aca="false">IF(OR(G601="",G601="?"),"",IFERROR(INDEX(Pubs!$E$2:$E$3001,MATCH(G601,Pubs!$A$2:$A$3001,0)),""))</f>
        <v/>
      </c>
      <c r="L601" s="29" t="str">
        <f aca="false">IF(A601="","",IFERROR(1/(1/INDEX(Numéros!$C$2:$C$3001,MATCH(A601&amp;"|"&amp;B601,Numéros!$F$2:$F$3001,0))),""))</f>
        <v/>
      </c>
      <c r="M601" s="27" t="str">
        <f aca="false">IF(OR(G601="",G601="?"),"",IFERROR(INDEX(Pubs!$D$2:$D$3001,MATCH(G601,Pubs!$A$2:$A$3001,0))&amp;"",""))</f>
        <v/>
      </c>
      <c r="N601" s="27" t="n">
        <f aca="false">N(N600)+IF(AND(A601&lt;&gt;"",OR(Recherche!$C$4="",A601=Recherche!$C$4),OR(Recherche!$C$5="",B601&amp;""=Recherche!$C$5&amp;""),OR(Recherche!$C$6="",IFERROR(YEAR(L601),0)=Recherche!$C$6),OR(Recherche!$C$7="",ISNUMBER(SEARCH(Recherche!$C$7,H601))),OR(Recherche!$C$8="",J601=Recherche!$C$8),OR(Recherche!$C$9="",I601=Recherche!$C$9),OR(Recherche!$C$10="",G601&amp;""=Recherche!$C$10&amp;""),OR(Recherche!$C$11="",E601=Recherche!$C$11),OR(Recherche!$C$12="",ISNUMBER(SEARCH(Recherche!$C$12,M601&amp;" "&amp;F601)))),1,0)</f>
        <v>8</v>
      </c>
    </row>
    <row r="602" customFormat="false" ht="15" hidden="false" customHeight="false" outlineLevel="0" collapsed="false">
      <c r="A602" s="19"/>
      <c r="B602" s="19"/>
      <c r="C602" s="19"/>
      <c r="D602" s="19"/>
      <c r="E602" s="22"/>
      <c r="F602" s="19"/>
      <c r="G602" s="26" t="str">
        <f aca="false">IF(D602="","",IFERROR(VALUE(LEFT(D602,FIND(" |",D602&amp;" |")-1)),"?"))</f>
        <v/>
      </c>
      <c r="H602" s="27" t="str">
        <f aca="false">IF(G602="","",IF(G602="?","⚠ pub inconnue",IFERROR(INDEX(Pubs!$B$2:$B$3001,MATCH(G602,Pubs!$A$2:$A$3001,0))&amp;"","⚠ pub inconnue")))</f>
        <v/>
      </c>
      <c r="I602" s="27" t="str">
        <f aca="false">IF(OR(G602="",G602="?"),"",IFERROR(INDEX(Pubs!$C$2:$C$3001,MATCH(G602,Pubs!$A$2:$A$3001,0))&amp;"",""))</f>
        <v/>
      </c>
      <c r="J602" s="27" t="str">
        <f aca="false">IF(OR(G602="",G602="?"),"",IFERROR(INDEX(Pubs!$G$2:$G$3001,MATCH(G602,Pubs!$A$2:$A$3001,0))&amp;"",""))</f>
        <v/>
      </c>
      <c r="K602" s="28" t="str">
        <f aca="false">IF(OR(G602="",G602="?"),"",IFERROR(INDEX(Pubs!$E$2:$E$3001,MATCH(G602,Pubs!$A$2:$A$3001,0)),""))</f>
        <v/>
      </c>
      <c r="L602" s="29" t="str">
        <f aca="false">IF(A602="","",IFERROR(1/(1/INDEX(Numéros!$C$2:$C$3001,MATCH(A602&amp;"|"&amp;B602,Numéros!$F$2:$F$3001,0))),""))</f>
        <v/>
      </c>
      <c r="M602" s="27" t="str">
        <f aca="false">IF(OR(G602="",G602="?"),"",IFERROR(INDEX(Pubs!$D$2:$D$3001,MATCH(G602,Pubs!$A$2:$A$3001,0))&amp;"",""))</f>
        <v/>
      </c>
      <c r="N602" s="27" t="n">
        <f aca="false">N(N601)+IF(AND(A602&lt;&gt;"",OR(Recherche!$C$4="",A602=Recherche!$C$4),OR(Recherche!$C$5="",B602&amp;""=Recherche!$C$5&amp;""),OR(Recherche!$C$6="",IFERROR(YEAR(L602),0)=Recherche!$C$6),OR(Recherche!$C$7="",ISNUMBER(SEARCH(Recherche!$C$7,H602))),OR(Recherche!$C$8="",J602=Recherche!$C$8),OR(Recherche!$C$9="",I602=Recherche!$C$9),OR(Recherche!$C$10="",G602&amp;""=Recherche!$C$10&amp;""),OR(Recherche!$C$11="",E602=Recherche!$C$11),OR(Recherche!$C$12="",ISNUMBER(SEARCH(Recherche!$C$12,M602&amp;" "&amp;F602)))),1,0)</f>
        <v>8</v>
      </c>
    </row>
    <row r="603" customFormat="false" ht="15" hidden="false" customHeight="false" outlineLevel="0" collapsed="false">
      <c r="A603" s="19"/>
      <c r="B603" s="19"/>
      <c r="C603" s="19"/>
      <c r="D603" s="19"/>
      <c r="E603" s="22"/>
      <c r="F603" s="19"/>
      <c r="G603" s="26" t="str">
        <f aca="false">IF(D603="","",IFERROR(VALUE(LEFT(D603,FIND(" |",D603&amp;" |")-1)),"?"))</f>
        <v/>
      </c>
      <c r="H603" s="27" t="str">
        <f aca="false">IF(G603="","",IF(G603="?","⚠ pub inconnue",IFERROR(INDEX(Pubs!$B$2:$B$3001,MATCH(G603,Pubs!$A$2:$A$3001,0))&amp;"","⚠ pub inconnue")))</f>
        <v/>
      </c>
      <c r="I603" s="27" t="str">
        <f aca="false">IF(OR(G603="",G603="?"),"",IFERROR(INDEX(Pubs!$C$2:$C$3001,MATCH(G603,Pubs!$A$2:$A$3001,0))&amp;"",""))</f>
        <v/>
      </c>
      <c r="J603" s="27" t="str">
        <f aca="false">IF(OR(G603="",G603="?"),"",IFERROR(INDEX(Pubs!$G$2:$G$3001,MATCH(G603,Pubs!$A$2:$A$3001,0))&amp;"",""))</f>
        <v/>
      </c>
      <c r="K603" s="28" t="str">
        <f aca="false">IF(OR(G603="",G603="?"),"",IFERROR(INDEX(Pubs!$E$2:$E$3001,MATCH(G603,Pubs!$A$2:$A$3001,0)),""))</f>
        <v/>
      </c>
      <c r="L603" s="29" t="str">
        <f aca="false">IF(A603="","",IFERROR(1/(1/INDEX(Numéros!$C$2:$C$3001,MATCH(A603&amp;"|"&amp;B603,Numéros!$F$2:$F$3001,0))),""))</f>
        <v/>
      </c>
      <c r="M603" s="27" t="str">
        <f aca="false">IF(OR(G603="",G603="?"),"",IFERROR(INDEX(Pubs!$D$2:$D$3001,MATCH(G603,Pubs!$A$2:$A$3001,0))&amp;"",""))</f>
        <v/>
      </c>
      <c r="N603" s="27" t="n">
        <f aca="false">N(N602)+IF(AND(A603&lt;&gt;"",OR(Recherche!$C$4="",A603=Recherche!$C$4),OR(Recherche!$C$5="",B603&amp;""=Recherche!$C$5&amp;""),OR(Recherche!$C$6="",IFERROR(YEAR(L603),0)=Recherche!$C$6),OR(Recherche!$C$7="",ISNUMBER(SEARCH(Recherche!$C$7,H603))),OR(Recherche!$C$8="",J603=Recherche!$C$8),OR(Recherche!$C$9="",I603=Recherche!$C$9),OR(Recherche!$C$10="",G603&amp;""=Recherche!$C$10&amp;""),OR(Recherche!$C$11="",E603=Recherche!$C$11),OR(Recherche!$C$12="",ISNUMBER(SEARCH(Recherche!$C$12,M603&amp;" "&amp;F603)))),1,0)</f>
        <v>8</v>
      </c>
    </row>
    <row r="604" customFormat="false" ht="15" hidden="false" customHeight="false" outlineLevel="0" collapsed="false">
      <c r="A604" s="19"/>
      <c r="B604" s="19"/>
      <c r="C604" s="19"/>
      <c r="D604" s="19"/>
      <c r="E604" s="22"/>
      <c r="F604" s="19"/>
      <c r="G604" s="26" t="str">
        <f aca="false">IF(D604="","",IFERROR(VALUE(LEFT(D604,FIND(" |",D604&amp;" |")-1)),"?"))</f>
        <v/>
      </c>
      <c r="H604" s="27" t="str">
        <f aca="false">IF(G604="","",IF(G604="?","⚠ pub inconnue",IFERROR(INDEX(Pubs!$B$2:$B$3001,MATCH(G604,Pubs!$A$2:$A$3001,0))&amp;"","⚠ pub inconnue")))</f>
        <v/>
      </c>
      <c r="I604" s="27" t="str">
        <f aca="false">IF(OR(G604="",G604="?"),"",IFERROR(INDEX(Pubs!$C$2:$C$3001,MATCH(G604,Pubs!$A$2:$A$3001,0))&amp;"",""))</f>
        <v/>
      </c>
      <c r="J604" s="27" t="str">
        <f aca="false">IF(OR(G604="",G604="?"),"",IFERROR(INDEX(Pubs!$G$2:$G$3001,MATCH(G604,Pubs!$A$2:$A$3001,0))&amp;"",""))</f>
        <v/>
      </c>
      <c r="K604" s="28" t="str">
        <f aca="false">IF(OR(G604="",G604="?"),"",IFERROR(INDEX(Pubs!$E$2:$E$3001,MATCH(G604,Pubs!$A$2:$A$3001,0)),""))</f>
        <v/>
      </c>
      <c r="L604" s="29" t="str">
        <f aca="false">IF(A604="","",IFERROR(1/(1/INDEX(Numéros!$C$2:$C$3001,MATCH(A604&amp;"|"&amp;B604,Numéros!$F$2:$F$3001,0))),""))</f>
        <v/>
      </c>
      <c r="M604" s="27" t="str">
        <f aca="false">IF(OR(G604="",G604="?"),"",IFERROR(INDEX(Pubs!$D$2:$D$3001,MATCH(G604,Pubs!$A$2:$A$3001,0))&amp;"",""))</f>
        <v/>
      </c>
      <c r="N604" s="27" t="n">
        <f aca="false">N(N603)+IF(AND(A604&lt;&gt;"",OR(Recherche!$C$4="",A604=Recherche!$C$4),OR(Recherche!$C$5="",B604&amp;""=Recherche!$C$5&amp;""),OR(Recherche!$C$6="",IFERROR(YEAR(L604),0)=Recherche!$C$6),OR(Recherche!$C$7="",ISNUMBER(SEARCH(Recherche!$C$7,H604))),OR(Recherche!$C$8="",J604=Recherche!$C$8),OR(Recherche!$C$9="",I604=Recherche!$C$9),OR(Recherche!$C$10="",G604&amp;""=Recherche!$C$10&amp;""),OR(Recherche!$C$11="",E604=Recherche!$C$11),OR(Recherche!$C$12="",ISNUMBER(SEARCH(Recherche!$C$12,M604&amp;" "&amp;F604)))),1,0)</f>
        <v>8</v>
      </c>
    </row>
    <row r="605" customFormat="false" ht="15" hidden="false" customHeight="false" outlineLevel="0" collapsed="false">
      <c r="A605" s="19"/>
      <c r="B605" s="19"/>
      <c r="C605" s="19"/>
      <c r="D605" s="19"/>
      <c r="E605" s="22"/>
      <c r="F605" s="19"/>
      <c r="G605" s="26" t="str">
        <f aca="false">IF(D605="","",IFERROR(VALUE(LEFT(D605,FIND(" |",D605&amp;" |")-1)),"?"))</f>
        <v/>
      </c>
      <c r="H605" s="27" t="str">
        <f aca="false">IF(G605="","",IF(G605="?","⚠ pub inconnue",IFERROR(INDEX(Pubs!$B$2:$B$3001,MATCH(G605,Pubs!$A$2:$A$3001,0))&amp;"","⚠ pub inconnue")))</f>
        <v/>
      </c>
      <c r="I605" s="27" t="str">
        <f aca="false">IF(OR(G605="",G605="?"),"",IFERROR(INDEX(Pubs!$C$2:$C$3001,MATCH(G605,Pubs!$A$2:$A$3001,0))&amp;"",""))</f>
        <v/>
      </c>
      <c r="J605" s="27" t="str">
        <f aca="false">IF(OR(G605="",G605="?"),"",IFERROR(INDEX(Pubs!$G$2:$G$3001,MATCH(G605,Pubs!$A$2:$A$3001,0))&amp;"",""))</f>
        <v/>
      </c>
      <c r="K605" s="28" t="str">
        <f aca="false">IF(OR(G605="",G605="?"),"",IFERROR(INDEX(Pubs!$E$2:$E$3001,MATCH(G605,Pubs!$A$2:$A$3001,0)),""))</f>
        <v/>
      </c>
      <c r="L605" s="29" t="str">
        <f aca="false">IF(A605="","",IFERROR(1/(1/INDEX(Numéros!$C$2:$C$3001,MATCH(A605&amp;"|"&amp;B605,Numéros!$F$2:$F$3001,0))),""))</f>
        <v/>
      </c>
      <c r="M605" s="27" t="str">
        <f aca="false">IF(OR(G605="",G605="?"),"",IFERROR(INDEX(Pubs!$D$2:$D$3001,MATCH(G605,Pubs!$A$2:$A$3001,0))&amp;"",""))</f>
        <v/>
      </c>
      <c r="N605" s="27" t="n">
        <f aca="false">N(N604)+IF(AND(A605&lt;&gt;"",OR(Recherche!$C$4="",A605=Recherche!$C$4),OR(Recherche!$C$5="",B605&amp;""=Recherche!$C$5&amp;""),OR(Recherche!$C$6="",IFERROR(YEAR(L605),0)=Recherche!$C$6),OR(Recherche!$C$7="",ISNUMBER(SEARCH(Recherche!$C$7,H605))),OR(Recherche!$C$8="",J605=Recherche!$C$8),OR(Recherche!$C$9="",I605=Recherche!$C$9),OR(Recherche!$C$10="",G605&amp;""=Recherche!$C$10&amp;""),OR(Recherche!$C$11="",E605=Recherche!$C$11),OR(Recherche!$C$12="",ISNUMBER(SEARCH(Recherche!$C$12,M605&amp;" "&amp;F605)))),1,0)</f>
        <v>8</v>
      </c>
    </row>
    <row r="606" customFormat="false" ht="15" hidden="false" customHeight="false" outlineLevel="0" collapsed="false">
      <c r="A606" s="19"/>
      <c r="B606" s="19"/>
      <c r="C606" s="19"/>
      <c r="D606" s="19"/>
      <c r="E606" s="22"/>
      <c r="F606" s="19"/>
      <c r="G606" s="26" t="str">
        <f aca="false">IF(D606="","",IFERROR(VALUE(LEFT(D606,FIND(" |",D606&amp;" |")-1)),"?"))</f>
        <v/>
      </c>
      <c r="H606" s="27" t="str">
        <f aca="false">IF(G606="","",IF(G606="?","⚠ pub inconnue",IFERROR(INDEX(Pubs!$B$2:$B$3001,MATCH(G606,Pubs!$A$2:$A$3001,0))&amp;"","⚠ pub inconnue")))</f>
        <v/>
      </c>
      <c r="I606" s="27" t="str">
        <f aca="false">IF(OR(G606="",G606="?"),"",IFERROR(INDEX(Pubs!$C$2:$C$3001,MATCH(G606,Pubs!$A$2:$A$3001,0))&amp;"",""))</f>
        <v/>
      </c>
      <c r="J606" s="27" t="str">
        <f aca="false">IF(OR(G606="",G606="?"),"",IFERROR(INDEX(Pubs!$G$2:$G$3001,MATCH(G606,Pubs!$A$2:$A$3001,0))&amp;"",""))</f>
        <v/>
      </c>
      <c r="K606" s="28" t="str">
        <f aca="false">IF(OR(G606="",G606="?"),"",IFERROR(INDEX(Pubs!$E$2:$E$3001,MATCH(G606,Pubs!$A$2:$A$3001,0)),""))</f>
        <v/>
      </c>
      <c r="L606" s="29" t="str">
        <f aca="false">IF(A606="","",IFERROR(1/(1/INDEX(Numéros!$C$2:$C$3001,MATCH(A606&amp;"|"&amp;B606,Numéros!$F$2:$F$3001,0))),""))</f>
        <v/>
      </c>
      <c r="M606" s="27" t="str">
        <f aca="false">IF(OR(G606="",G606="?"),"",IFERROR(INDEX(Pubs!$D$2:$D$3001,MATCH(G606,Pubs!$A$2:$A$3001,0))&amp;"",""))</f>
        <v/>
      </c>
      <c r="N606" s="27" t="n">
        <f aca="false">N(N605)+IF(AND(A606&lt;&gt;"",OR(Recherche!$C$4="",A606=Recherche!$C$4),OR(Recherche!$C$5="",B606&amp;""=Recherche!$C$5&amp;""),OR(Recherche!$C$6="",IFERROR(YEAR(L606),0)=Recherche!$C$6),OR(Recherche!$C$7="",ISNUMBER(SEARCH(Recherche!$C$7,H606))),OR(Recherche!$C$8="",J606=Recherche!$C$8),OR(Recherche!$C$9="",I606=Recherche!$C$9),OR(Recherche!$C$10="",G606&amp;""=Recherche!$C$10&amp;""),OR(Recherche!$C$11="",E606=Recherche!$C$11),OR(Recherche!$C$12="",ISNUMBER(SEARCH(Recherche!$C$12,M606&amp;" "&amp;F606)))),1,0)</f>
        <v>8</v>
      </c>
    </row>
    <row r="607" customFormat="false" ht="15" hidden="false" customHeight="false" outlineLevel="0" collapsed="false">
      <c r="A607" s="19"/>
      <c r="B607" s="19"/>
      <c r="C607" s="19"/>
      <c r="D607" s="19"/>
      <c r="E607" s="22"/>
      <c r="F607" s="19"/>
      <c r="G607" s="26" t="str">
        <f aca="false">IF(D607="","",IFERROR(VALUE(LEFT(D607,FIND(" |",D607&amp;" |")-1)),"?"))</f>
        <v/>
      </c>
      <c r="H607" s="27" t="str">
        <f aca="false">IF(G607="","",IF(G607="?","⚠ pub inconnue",IFERROR(INDEX(Pubs!$B$2:$B$3001,MATCH(G607,Pubs!$A$2:$A$3001,0))&amp;"","⚠ pub inconnue")))</f>
        <v/>
      </c>
      <c r="I607" s="27" t="str">
        <f aca="false">IF(OR(G607="",G607="?"),"",IFERROR(INDEX(Pubs!$C$2:$C$3001,MATCH(G607,Pubs!$A$2:$A$3001,0))&amp;"",""))</f>
        <v/>
      </c>
      <c r="J607" s="27" t="str">
        <f aca="false">IF(OR(G607="",G607="?"),"",IFERROR(INDEX(Pubs!$G$2:$G$3001,MATCH(G607,Pubs!$A$2:$A$3001,0))&amp;"",""))</f>
        <v/>
      </c>
      <c r="K607" s="28" t="str">
        <f aca="false">IF(OR(G607="",G607="?"),"",IFERROR(INDEX(Pubs!$E$2:$E$3001,MATCH(G607,Pubs!$A$2:$A$3001,0)),""))</f>
        <v/>
      </c>
      <c r="L607" s="29" t="str">
        <f aca="false">IF(A607="","",IFERROR(1/(1/INDEX(Numéros!$C$2:$C$3001,MATCH(A607&amp;"|"&amp;B607,Numéros!$F$2:$F$3001,0))),""))</f>
        <v/>
      </c>
      <c r="M607" s="27" t="str">
        <f aca="false">IF(OR(G607="",G607="?"),"",IFERROR(INDEX(Pubs!$D$2:$D$3001,MATCH(G607,Pubs!$A$2:$A$3001,0))&amp;"",""))</f>
        <v/>
      </c>
      <c r="N607" s="27" t="n">
        <f aca="false">N(N606)+IF(AND(A607&lt;&gt;"",OR(Recherche!$C$4="",A607=Recherche!$C$4),OR(Recherche!$C$5="",B607&amp;""=Recherche!$C$5&amp;""),OR(Recherche!$C$6="",IFERROR(YEAR(L607),0)=Recherche!$C$6),OR(Recherche!$C$7="",ISNUMBER(SEARCH(Recherche!$C$7,H607))),OR(Recherche!$C$8="",J607=Recherche!$C$8),OR(Recherche!$C$9="",I607=Recherche!$C$9),OR(Recherche!$C$10="",G607&amp;""=Recherche!$C$10&amp;""),OR(Recherche!$C$11="",E607=Recherche!$C$11),OR(Recherche!$C$12="",ISNUMBER(SEARCH(Recherche!$C$12,M607&amp;" "&amp;F607)))),1,0)</f>
        <v>8</v>
      </c>
    </row>
    <row r="608" customFormat="false" ht="15" hidden="false" customHeight="false" outlineLevel="0" collapsed="false">
      <c r="A608" s="19"/>
      <c r="B608" s="19"/>
      <c r="C608" s="19"/>
      <c r="D608" s="19"/>
      <c r="E608" s="22"/>
      <c r="F608" s="19"/>
      <c r="G608" s="26" t="str">
        <f aca="false">IF(D608="","",IFERROR(VALUE(LEFT(D608,FIND(" |",D608&amp;" |")-1)),"?"))</f>
        <v/>
      </c>
      <c r="H608" s="27" t="str">
        <f aca="false">IF(G608="","",IF(G608="?","⚠ pub inconnue",IFERROR(INDEX(Pubs!$B$2:$B$3001,MATCH(G608,Pubs!$A$2:$A$3001,0))&amp;"","⚠ pub inconnue")))</f>
        <v/>
      </c>
      <c r="I608" s="27" t="str">
        <f aca="false">IF(OR(G608="",G608="?"),"",IFERROR(INDEX(Pubs!$C$2:$C$3001,MATCH(G608,Pubs!$A$2:$A$3001,0))&amp;"",""))</f>
        <v/>
      </c>
      <c r="J608" s="27" t="str">
        <f aca="false">IF(OR(G608="",G608="?"),"",IFERROR(INDEX(Pubs!$G$2:$G$3001,MATCH(G608,Pubs!$A$2:$A$3001,0))&amp;"",""))</f>
        <v/>
      </c>
      <c r="K608" s="28" t="str">
        <f aca="false">IF(OR(G608="",G608="?"),"",IFERROR(INDEX(Pubs!$E$2:$E$3001,MATCH(G608,Pubs!$A$2:$A$3001,0)),""))</f>
        <v/>
      </c>
      <c r="L608" s="29" t="str">
        <f aca="false">IF(A608="","",IFERROR(1/(1/INDEX(Numéros!$C$2:$C$3001,MATCH(A608&amp;"|"&amp;B608,Numéros!$F$2:$F$3001,0))),""))</f>
        <v/>
      </c>
      <c r="M608" s="27" t="str">
        <f aca="false">IF(OR(G608="",G608="?"),"",IFERROR(INDEX(Pubs!$D$2:$D$3001,MATCH(G608,Pubs!$A$2:$A$3001,0))&amp;"",""))</f>
        <v/>
      </c>
      <c r="N608" s="27" t="n">
        <f aca="false">N(N607)+IF(AND(A608&lt;&gt;"",OR(Recherche!$C$4="",A608=Recherche!$C$4),OR(Recherche!$C$5="",B608&amp;""=Recherche!$C$5&amp;""),OR(Recherche!$C$6="",IFERROR(YEAR(L608),0)=Recherche!$C$6),OR(Recherche!$C$7="",ISNUMBER(SEARCH(Recherche!$C$7,H608))),OR(Recherche!$C$8="",J608=Recherche!$C$8),OR(Recherche!$C$9="",I608=Recherche!$C$9),OR(Recherche!$C$10="",G608&amp;""=Recherche!$C$10&amp;""),OR(Recherche!$C$11="",E608=Recherche!$C$11),OR(Recherche!$C$12="",ISNUMBER(SEARCH(Recherche!$C$12,M608&amp;" "&amp;F608)))),1,0)</f>
        <v>8</v>
      </c>
    </row>
    <row r="609" customFormat="false" ht="15" hidden="false" customHeight="false" outlineLevel="0" collapsed="false">
      <c r="A609" s="19"/>
      <c r="B609" s="19"/>
      <c r="C609" s="19"/>
      <c r="D609" s="19"/>
      <c r="E609" s="22"/>
      <c r="F609" s="19"/>
      <c r="G609" s="26" t="str">
        <f aca="false">IF(D609="","",IFERROR(VALUE(LEFT(D609,FIND(" |",D609&amp;" |")-1)),"?"))</f>
        <v/>
      </c>
      <c r="H609" s="27" t="str">
        <f aca="false">IF(G609="","",IF(G609="?","⚠ pub inconnue",IFERROR(INDEX(Pubs!$B$2:$B$3001,MATCH(G609,Pubs!$A$2:$A$3001,0))&amp;"","⚠ pub inconnue")))</f>
        <v/>
      </c>
      <c r="I609" s="27" t="str">
        <f aca="false">IF(OR(G609="",G609="?"),"",IFERROR(INDEX(Pubs!$C$2:$C$3001,MATCH(G609,Pubs!$A$2:$A$3001,0))&amp;"",""))</f>
        <v/>
      </c>
      <c r="J609" s="27" t="str">
        <f aca="false">IF(OR(G609="",G609="?"),"",IFERROR(INDEX(Pubs!$G$2:$G$3001,MATCH(G609,Pubs!$A$2:$A$3001,0))&amp;"",""))</f>
        <v/>
      </c>
      <c r="K609" s="28" t="str">
        <f aca="false">IF(OR(G609="",G609="?"),"",IFERROR(INDEX(Pubs!$E$2:$E$3001,MATCH(G609,Pubs!$A$2:$A$3001,0)),""))</f>
        <v/>
      </c>
      <c r="L609" s="29" t="str">
        <f aca="false">IF(A609="","",IFERROR(1/(1/INDEX(Numéros!$C$2:$C$3001,MATCH(A609&amp;"|"&amp;B609,Numéros!$F$2:$F$3001,0))),""))</f>
        <v/>
      </c>
      <c r="M609" s="27" t="str">
        <f aca="false">IF(OR(G609="",G609="?"),"",IFERROR(INDEX(Pubs!$D$2:$D$3001,MATCH(G609,Pubs!$A$2:$A$3001,0))&amp;"",""))</f>
        <v/>
      </c>
      <c r="N609" s="27" t="n">
        <f aca="false">N(N608)+IF(AND(A609&lt;&gt;"",OR(Recherche!$C$4="",A609=Recherche!$C$4),OR(Recherche!$C$5="",B609&amp;""=Recherche!$C$5&amp;""),OR(Recherche!$C$6="",IFERROR(YEAR(L609),0)=Recherche!$C$6),OR(Recherche!$C$7="",ISNUMBER(SEARCH(Recherche!$C$7,H609))),OR(Recherche!$C$8="",J609=Recherche!$C$8),OR(Recherche!$C$9="",I609=Recherche!$C$9),OR(Recherche!$C$10="",G609&amp;""=Recherche!$C$10&amp;""),OR(Recherche!$C$11="",E609=Recherche!$C$11),OR(Recherche!$C$12="",ISNUMBER(SEARCH(Recherche!$C$12,M609&amp;" "&amp;F609)))),1,0)</f>
        <v>8</v>
      </c>
    </row>
    <row r="610" customFormat="false" ht="15" hidden="false" customHeight="false" outlineLevel="0" collapsed="false">
      <c r="A610" s="19"/>
      <c r="B610" s="19"/>
      <c r="C610" s="19"/>
      <c r="D610" s="19"/>
      <c r="E610" s="22"/>
      <c r="F610" s="19"/>
      <c r="G610" s="26" t="str">
        <f aca="false">IF(D610="","",IFERROR(VALUE(LEFT(D610,FIND(" |",D610&amp;" |")-1)),"?"))</f>
        <v/>
      </c>
      <c r="H610" s="27" t="str">
        <f aca="false">IF(G610="","",IF(G610="?","⚠ pub inconnue",IFERROR(INDEX(Pubs!$B$2:$B$3001,MATCH(G610,Pubs!$A$2:$A$3001,0))&amp;"","⚠ pub inconnue")))</f>
        <v/>
      </c>
      <c r="I610" s="27" t="str">
        <f aca="false">IF(OR(G610="",G610="?"),"",IFERROR(INDEX(Pubs!$C$2:$C$3001,MATCH(G610,Pubs!$A$2:$A$3001,0))&amp;"",""))</f>
        <v/>
      </c>
      <c r="J610" s="27" t="str">
        <f aca="false">IF(OR(G610="",G610="?"),"",IFERROR(INDEX(Pubs!$G$2:$G$3001,MATCH(G610,Pubs!$A$2:$A$3001,0))&amp;"",""))</f>
        <v/>
      </c>
      <c r="K610" s="28" t="str">
        <f aca="false">IF(OR(G610="",G610="?"),"",IFERROR(INDEX(Pubs!$E$2:$E$3001,MATCH(G610,Pubs!$A$2:$A$3001,0)),""))</f>
        <v/>
      </c>
      <c r="L610" s="29" t="str">
        <f aca="false">IF(A610="","",IFERROR(1/(1/INDEX(Numéros!$C$2:$C$3001,MATCH(A610&amp;"|"&amp;B610,Numéros!$F$2:$F$3001,0))),""))</f>
        <v/>
      </c>
      <c r="M610" s="27" t="str">
        <f aca="false">IF(OR(G610="",G610="?"),"",IFERROR(INDEX(Pubs!$D$2:$D$3001,MATCH(G610,Pubs!$A$2:$A$3001,0))&amp;"",""))</f>
        <v/>
      </c>
      <c r="N610" s="27" t="n">
        <f aca="false">N(N609)+IF(AND(A610&lt;&gt;"",OR(Recherche!$C$4="",A610=Recherche!$C$4),OR(Recherche!$C$5="",B610&amp;""=Recherche!$C$5&amp;""),OR(Recherche!$C$6="",IFERROR(YEAR(L610),0)=Recherche!$C$6),OR(Recherche!$C$7="",ISNUMBER(SEARCH(Recherche!$C$7,H610))),OR(Recherche!$C$8="",J610=Recherche!$C$8),OR(Recherche!$C$9="",I610=Recherche!$C$9),OR(Recherche!$C$10="",G610&amp;""=Recherche!$C$10&amp;""),OR(Recherche!$C$11="",E610=Recherche!$C$11),OR(Recherche!$C$12="",ISNUMBER(SEARCH(Recherche!$C$12,M610&amp;" "&amp;F610)))),1,0)</f>
        <v>8</v>
      </c>
    </row>
    <row r="611" customFormat="false" ht="15" hidden="false" customHeight="false" outlineLevel="0" collapsed="false">
      <c r="A611" s="19"/>
      <c r="B611" s="19"/>
      <c r="C611" s="19"/>
      <c r="D611" s="19"/>
      <c r="E611" s="22"/>
      <c r="F611" s="19"/>
      <c r="G611" s="26" t="str">
        <f aca="false">IF(D611="","",IFERROR(VALUE(LEFT(D611,FIND(" |",D611&amp;" |")-1)),"?"))</f>
        <v/>
      </c>
      <c r="H611" s="27" t="str">
        <f aca="false">IF(G611="","",IF(G611="?","⚠ pub inconnue",IFERROR(INDEX(Pubs!$B$2:$B$3001,MATCH(G611,Pubs!$A$2:$A$3001,0))&amp;"","⚠ pub inconnue")))</f>
        <v/>
      </c>
      <c r="I611" s="27" t="str">
        <f aca="false">IF(OR(G611="",G611="?"),"",IFERROR(INDEX(Pubs!$C$2:$C$3001,MATCH(G611,Pubs!$A$2:$A$3001,0))&amp;"",""))</f>
        <v/>
      </c>
      <c r="J611" s="27" t="str">
        <f aca="false">IF(OR(G611="",G611="?"),"",IFERROR(INDEX(Pubs!$G$2:$G$3001,MATCH(G611,Pubs!$A$2:$A$3001,0))&amp;"",""))</f>
        <v/>
      </c>
      <c r="K611" s="28" t="str">
        <f aca="false">IF(OR(G611="",G611="?"),"",IFERROR(INDEX(Pubs!$E$2:$E$3001,MATCH(G611,Pubs!$A$2:$A$3001,0)),""))</f>
        <v/>
      </c>
      <c r="L611" s="29" t="str">
        <f aca="false">IF(A611="","",IFERROR(1/(1/INDEX(Numéros!$C$2:$C$3001,MATCH(A611&amp;"|"&amp;B611,Numéros!$F$2:$F$3001,0))),""))</f>
        <v/>
      </c>
      <c r="M611" s="27" t="str">
        <f aca="false">IF(OR(G611="",G611="?"),"",IFERROR(INDEX(Pubs!$D$2:$D$3001,MATCH(G611,Pubs!$A$2:$A$3001,0))&amp;"",""))</f>
        <v/>
      </c>
      <c r="N611" s="27" t="n">
        <f aca="false">N(N610)+IF(AND(A611&lt;&gt;"",OR(Recherche!$C$4="",A611=Recherche!$C$4),OR(Recherche!$C$5="",B611&amp;""=Recherche!$C$5&amp;""),OR(Recherche!$C$6="",IFERROR(YEAR(L611),0)=Recherche!$C$6),OR(Recherche!$C$7="",ISNUMBER(SEARCH(Recherche!$C$7,H611))),OR(Recherche!$C$8="",J611=Recherche!$C$8),OR(Recherche!$C$9="",I611=Recherche!$C$9),OR(Recherche!$C$10="",G611&amp;""=Recherche!$C$10&amp;""),OR(Recherche!$C$11="",E611=Recherche!$C$11),OR(Recherche!$C$12="",ISNUMBER(SEARCH(Recherche!$C$12,M611&amp;" "&amp;F611)))),1,0)</f>
        <v>8</v>
      </c>
    </row>
    <row r="612" customFormat="false" ht="15" hidden="false" customHeight="false" outlineLevel="0" collapsed="false">
      <c r="A612" s="19"/>
      <c r="B612" s="19"/>
      <c r="C612" s="19"/>
      <c r="D612" s="19"/>
      <c r="E612" s="22"/>
      <c r="F612" s="19"/>
      <c r="G612" s="26" t="str">
        <f aca="false">IF(D612="","",IFERROR(VALUE(LEFT(D612,FIND(" |",D612&amp;" |")-1)),"?"))</f>
        <v/>
      </c>
      <c r="H612" s="27" t="str">
        <f aca="false">IF(G612="","",IF(G612="?","⚠ pub inconnue",IFERROR(INDEX(Pubs!$B$2:$B$3001,MATCH(G612,Pubs!$A$2:$A$3001,0))&amp;"","⚠ pub inconnue")))</f>
        <v/>
      </c>
      <c r="I612" s="27" t="str">
        <f aca="false">IF(OR(G612="",G612="?"),"",IFERROR(INDEX(Pubs!$C$2:$C$3001,MATCH(G612,Pubs!$A$2:$A$3001,0))&amp;"",""))</f>
        <v/>
      </c>
      <c r="J612" s="27" t="str">
        <f aca="false">IF(OR(G612="",G612="?"),"",IFERROR(INDEX(Pubs!$G$2:$G$3001,MATCH(G612,Pubs!$A$2:$A$3001,0))&amp;"",""))</f>
        <v/>
      </c>
      <c r="K612" s="28" t="str">
        <f aca="false">IF(OR(G612="",G612="?"),"",IFERROR(INDEX(Pubs!$E$2:$E$3001,MATCH(G612,Pubs!$A$2:$A$3001,0)),""))</f>
        <v/>
      </c>
      <c r="L612" s="29" t="str">
        <f aca="false">IF(A612="","",IFERROR(1/(1/INDEX(Numéros!$C$2:$C$3001,MATCH(A612&amp;"|"&amp;B612,Numéros!$F$2:$F$3001,0))),""))</f>
        <v/>
      </c>
      <c r="M612" s="27" t="str">
        <f aca="false">IF(OR(G612="",G612="?"),"",IFERROR(INDEX(Pubs!$D$2:$D$3001,MATCH(G612,Pubs!$A$2:$A$3001,0))&amp;"",""))</f>
        <v/>
      </c>
      <c r="N612" s="27" t="n">
        <f aca="false">N(N611)+IF(AND(A612&lt;&gt;"",OR(Recherche!$C$4="",A612=Recherche!$C$4),OR(Recherche!$C$5="",B612&amp;""=Recherche!$C$5&amp;""),OR(Recherche!$C$6="",IFERROR(YEAR(L612),0)=Recherche!$C$6),OR(Recherche!$C$7="",ISNUMBER(SEARCH(Recherche!$C$7,H612))),OR(Recherche!$C$8="",J612=Recherche!$C$8),OR(Recherche!$C$9="",I612=Recherche!$C$9),OR(Recherche!$C$10="",G612&amp;""=Recherche!$C$10&amp;""),OR(Recherche!$C$11="",E612=Recherche!$C$11),OR(Recherche!$C$12="",ISNUMBER(SEARCH(Recherche!$C$12,M612&amp;" "&amp;F612)))),1,0)</f>
        <v>8</v>
      </c>
    </row>
    <row r="613" customFormat="false" ht="15" hidden="false" customHeight="false" outlineLevel="0" collapsed="false">
      <c r="A613" s="19"/>
      <c r="B613" s="19"/>
      <c r="C613" s="19"/>
      <c r="D613" s="19"/>
      <c r="E613" s="22"/>
      <c r="F613" s="19"/>
      <c r="G613" s="26" t="str">
        <f aca="false">IF(D613="","",IFERROR(VALUE(LEFT(D613,FIND(" |",D613&amp;" |")-1)),"?"))</f>
        <v/>
      </c>
      <c r="H613" s="27" t="str">
        <f aca="false">IF(G613="","",IF(G613="?","⚠ pub inconnue",IFERROR(INDEX(Pubs!$B$2:$B$3001,MATCH(G613,Pubs!$A$2:$A$3001,0))&amp;"","⚠ pub inconnue")))</f>
        <v/>
      </c>
      <c r="I613" s="27" t="str">
        <f aca="false">IF(OR(G613="",G613="?"),"",IFERROR(INDEX(Pubs!$C$2:$C$3001,MATCH(G613,Pubs!$A$2:$A$3001,0))&amp;"",""))</f>
        <v/>
      </c>
      <c r="J613" s="27" t="str">
        <f aca="false">IF(OR(G613="",G613="?"),"",IFERROR(INDEX(Pubs!$G$2:$G$3001,MATCH(G613,Pubs!$A$2:$A$3001,0))&amp;"",""))</f>
        <v/>
      </c>
      <c r="K613" s="28" t="str">
        <f aca="false">IF(OR(G613="",G613="?"),"",IFERROR(INDEX(Pubs!$E$2:$E$3001,MATCH(G613,Pubs!$A$2:$A$3001,0)),""))</f>
        <v/>
      </c>
      <c r="L613" s="29" t="str">
        <f aca="false">IF(A613="","",IFERROR(1/(1/INDEX(Numéros!$C$2:$C$3001,MATCH(A613&amp;"|"&amp;B613,Numéros!$F$2:$F$3001,0))),""))</f>
        <v/>
      </c>
      <c r="M613" s="27" t="str">
        <f aca="false">IF(OR(G613="",G613="?"),"",IFERROR(INDEX(Pubs!$D$2:$D$3001,MATCH(G613,Pubs!$A$2:$A$3001,0))&amp;"",""))</f>
        <v/>
      </c>
      <c r="N613" s="27" t="n">
        <f aca="false">N(N612)+IF(AND(A613&lt;&gt;"",OR(Recherche!$C$4="",A613=Recherche!$C$4),OR(Recherche!$C$5="",B613&amp;""=Recherche!$C$5&amp;""),OR(Recherche!$C$6="",IFERROR(YEAR(L613),0)=Recherche!$C$6),OR(Recherche!$C$7="",ISNUMBER(SEARCH(Recherche!$C$7,H613))),OR(Recherche!$C$8="",J613=Recherche!$C$8),OR(Recherche!$C$9="",I613=Recherche!$C$9),OR(Recherche!$C$10="",G613&amp;""=Recherche!$C$10&amp;""),OR(Recherche!$C$11="",E613=Recherche!$C$11),OR(Recherche!$C$12="",ISNUMBER(SEARCH(Recherche!$C$12,M613&amp;" "&amp;F613)))),1,0)</f>
        <v>8</v>
      </c>
    </row>
    <row r="614" customFormat="false" ht="15" hidden="false" customHeight="false" outlineLevel="0" collapsed="false">
      <c r="A614" s="19"/>
      <c r="B614" s="19"/>
      <c r="C614" s="19"/>
      <c r="D614" s="19"/>
      <c r="E614" s="22"/>
      <c r="F614" s="19"/>
      <c r="G614" s="26" t="str">
        <f aca="false">IF(D614="","",IFERROR(VALUE(LEFT(D614,FIND(" |",D614&amp;" |")-1)),"?"))</f>
        <v/>
      </c>
      <c r="H614" s="27" t="str">
        <f aca="false">IF(G614="","",IF(G614="?","⚠ pub inconnue",IFERROR(INDEX(Pubs!$B$2:$B$3001,MATCH(G614,Pubs!$A$2:$A$3001,0))&amp;"","⚠ pub inconnue")))</f>
        <v/>
      </c>
      <c r="I614" s="27" t="str">
        <f aca="false">IF(OR(G614="",G614="?"),"",IFERROR(INDEX(Pubs!$C$2:$C$3001,MATCH(G614,Pubs!$A$2:$A$3001,0))&amp;"",""))</f>
        <v/>
      </c>
      <c r="J614" s="27" t="str">
        <f aca="false">IF(OR(G614="",G614="?"),"",IFERROR(INDEX(Pubs!$G$2:$G$3001,MATCH(G614,Pubs!$A$2:$A$3001,0))&amp;"",""))</f>
        <v/>
      </c>
      <c r="K614" s="28" t="str">
        <f aca="false">IF(OR(G614="",G614="?"),"",IFERROR(INDEX(Pubs!$E$2:$E$3001,MATCH(G614,Pubs!$A$2:$A$3001,0)),""))</f>
        <v/>
      </c>
      <c r="L614" s="29" t="str">
        <f aca="false">IF(A614="","",IFERROR(1/(1/INDEX(Numéros!$C$2:$C$3001,MATCH(A614&amp;"|"&amp;B614,Numéros!$F$2:$F$3001,0))),""))</f>
        <v/>
      </c>
      <c r="M614" s="27" t="str">
        <f aca="false">IF(OR(G614="",G614="?"),"",IFERROR(INDEX(Pubs!$D$2:$D$3001,MATCH(G614,Pubs!$A$2:$A$3001,0))&amp;"",""))</f>
        <v/>
      </c>
      <c r="N614" s="27" t="n">
        <f aca="false">N(N613)+IF(AND(A614&lt;&gt;"",OR(Recherche!$C$4="",A614=Recherche!$C$4),OR(Recherche!$C$5="",B614&amp;""=Recherche!$C$5&amp;""),OR(Recherche!$C$6="",IFERROR(YEAR(L614),0)=Recherche!$C$6),OR(Recherche!$C$7="",ISNUMBER(SEARCH(Recherche!$C$7,H614))),OR(Recherche!$C$8="",J614=Recherche!$C$8),OR(Recherche!$C$9="",I614=Recherche!$C$9),OR(Recherche!$C$10="",G614&amp;""=Recherche!$C$10&amp;""),OR(Recherche!$C$11="",E614=Recherche!$C$11),OR(Recherche!$C$12="",ISNUMBER(SEARCH(Recherche!$C$12,M614&amp;" "&amp;F614)))),1,0)</f>
        <v>8</v>
      </c>
    </row>
    <row r="615" customFormat="false" ht="15" hidden="false" customHeight="false" outlineLevel="0" collapsed="false">
      <c r="A615" s="19"/>
      <c r="B615" s="19"/>
      <c r="C615" s="19"/>
      <c r="D615" s="19"/>
      <c r="E615" s="22"/>
      <c r="F615" s="19"/>
      <c r="G615" s="26" t="str">
        <f aca="false">IF(D615="","",IFERROR(VALUE(LEFT(D615,FIND(" |",D615&amp;" |")-1)),"?"))</f>
        <v/>
      </c>
      <c r="H615" s="27" t="str">
        <f aca="false">IF(G615="","",IF(G615="?","⚠ pub inconnue",IFERROR(INDEX(Pubs!$B$2:$B$3001,MATCH(G615,Pubs!$A$2:$A$3001,0))&amp;"","⚠ pub inconnue")))</f>
        <v/>
      </c>
      <c r="I615" s="27" t="str">
        <f aca="false">IF(OR(G615="",G615="?"),"",IFERROR(INDEX(Pubs!$C$2:$C$3001,MATCH(G615,Pubs!$A$2:$A$3001,0))&amp;"",""))</f>
        <v/>
      </c>
      <c r="J615" s="27" t="str">
        <f aca="false">IF(OR(G615="",G615="?"),"",IFERROR(INDEX(Pubs!$G$2:$G$3001,MATCH(G615,Pubs!$A$2:$A$3001,0))&amp;"",""))</f>
        <v/>
      </c>
      <c r="K615" s="28" t="str">
        <f aca="false">IF(OR(G615="",G615="?"),"",IFERROR(INDEX(Pubs!$E$2:$E$3001,MATCH(G615,Pubs!$A$2:$A$3001,0)),""))</f>
        <v/>
      </c>
      <c r="L615" s="29" t="str">
        <f aca="false">IF(A615="","",IFERROR(1/(1/INDEX(Numéros!$C$2:$C$3001,MATCH(A615&amp;"|"&amp;B615,Numéros!$F$2:$F$3001,0))),""))</f>
        <v/>
      </c>
      <c r="M615" s="27" t="str">
        <f aca="false">IF(OR(G615="",G615="?"),"",IFERROR(INDEX(Pubs!$D$2:$D$3001,MATCH(G615,Pubs!$A$2:$A$3001,0))&amp;"",""))</f>
        <v/>
      </c>
      <c r="N615" s="27" t="n">
        <f aca="false">N(N614)+IF(AND(A615&lt;&gt;"",OR(Recherche!$C$4="",A615=Recherche!$C$4),OR(Recherche!$C$5="",B615&amp;""=Recherche!$C$5&amp;""),OR(Recherche!$C$6="",IFERROR(YEAR(L615),0)=Recherche!$C$6),OR(Recherche!$C$7="",ISNUMBER(SEARCH(Recherche!$C$7,H615))),OR(Recherche!$C$8="",J615=Recherche!$C$8),OR(Recherche!$C$9="",I615=Recherche!$C$9),OR(Recherche!$C$10="",G615&amp;""=Recherche!$C$10&amp;""),OR(Recherche!$C$11="",E615=Recherche!$C$11),OR(Recherche!$C$12="",ISNUMBER(SEARCH(Recherche!$C$12,M615&amp;" "&amp;F615)))),1,0)</f>
        <v>8</v>
      </c>
    </row>
    <row r="616" customFormat="false" ht="15" hidden="false" customHeight="false" outlineLevel="0" collapsed="false">
      <c r="A616" s="19"/>
      <c r="B616" s="19"/>
      <c r="C616" s="19"/>
      <c r="D616" s="19"/>
      <c r="E616" s="22"/>
      <c r="F616" s="19"/>
      <c r="G616" s="26" t="str">
        <f aca="false">IF(D616="","",IFERROR(VALUE(LEFT(D616,FIND(" |",D616&amp;" |")-1)),"?"))</f>
        <v/>
      </c>
      <c r="H616" s="27" t="str">
        <f aca="false">IF(G616="","",IF(G616="?","⚠ pub inconnue",IFERROR(INDEX(Pubs!$B$2:$B$3001,MATCH(G616,Pubs!$A$2:$A$3001,0))&amp;"","⚠ pub inconnue")))</f>
        <v/>
      </c>
      <c r="I616" s="27" t="str">
        <f aca="false">IF(OR(G616="",G616="?"),"",IFERROR(INDEX(Pubs!$C$2:$C$3001,MATCH(G616,Pubs!$A$2:$A$3001,0))&amp;"",""))</f>
        <v/>
      </c>
      <c r="J616" s="27" t="str">
        <f aca="false">IF(OR(G616="",G616="?"),"",IFERROR(INDEX(Pubs!$G$2:$G$3001,MATCH(G616,Pubs!$A$2:$A$3001,0))&amp;"",""))</f>
        <v/>
      </c>
      <c r="K616" s="28" t="str">
        <f aca="false">IF(OR(G616="",G616="?"),"",IFERROR(INDEX(Pubs!$E$2:$E$3001,MATCH(G616,Pubs!$A$2:$A$3001,0)),""))</f>
        <v/>
      </c>
      <c r="L616" s="29" t="str">
        <f aca="false">IF(A616="","",IFERROR(1/(1/INDEX(Numéros!$C$2:$C$3001,MATCH(A616&amp;"|"&amp;B616,Numéros!$F$2:$F$3001,0))),""))</f>
        <v/>
      </c>
      <c r="M616" s="27" t="str">
        <f aca="false">IF(OR(G616="",G616="?"),"",IFERROR(INDEX(Pubs!$D$2:$D$3001,MATCH(G616,Pubs!$A$2:$A$3001,0))&amp;"",""))</f>
        <v/>
      </c>
      <c r="N616" s="27" t="n">
        <f aca="false">N(N615)+IF(AND(A616&lt;&gt;"",OR(Recherche!$C$4="",A616=Recherche!$C$4),OR(Recherche!$C$5="",B616&amp;""=Recherche!$C$5&amp;""),OR(Recherche!$C$6="",IFERROR(YEAR(L616),0)=Recherche!$C$6),OR(Recherche!$C$7="",ISNUMBER(SEARCH(Recherche!$C$7,H616))),OR(Recherche!$C$8="",J616=Recherche!$C$8),OR(Recherche!$C$9="",I616=Recherche!$C$9),OR(Recherche!$C$10="",G616&amp;""=Recherche!$C$10&amp;""),OR(Recherche!$C$11="",E616=Recherche!$C$11),OR(Recherche!$C$12="",ISNUMBER(SEARCH(Recherche!$C$12,M616&amp;" "&amp;F616)))),1,0)</f>
        <v>8</v>
      </c>
    </row>
    <row r="617" customFormat="false" ht="15" hidden="false" customHeight="false" outlineLevel="0" collapsed="false">
      <c r="A617" s="19"/>
      <c r="B617" s="19"/>
      <c r="C617" s="19"/>
      <c r="D617" s="19"/>
      <c r="E617" s="22"/>
      <c r="F617" s="19"/>
      <c r="G617" s="26" t="str">
        <f aca="false">IF(D617="","",IFERROR(VALUE(LEFT(D617,FIND(" |",D617&amp;" |")-1)),"?"))</f>
        <v/>
      </c>
      <c r="H617" s="27" t="str">
        <f aca="false">IF(G617="","",IF(G617="?","⚠ pub inconnue",IFERROR(INDEX(Pubs!$B$2:$B$3001,MATCH(G617,Pubs!$A$2:$A$3001,0))&amp;"","⚠ pub inconnue")))</f>
        <v/>
      </c>
      <c r="I617" s="27" t="str">
        <f aca="false">IF(OR(G617="",G617="?"),"",IFERROR(INDEX(Pubs!$C$2:$C$3001,MATCH(G617,Pubs!$A$2:$A$3001,0))&amp;"",""))</f>
        <v/>
      </c>
      <c r="J617" s="27" t="str">
        <f aca="false">IF(OR(G617="",G617="?"),"",IFERROR(INDEX(Pubs!$G$2:$G$3001,MATCH(G617,Pubs!$A$2:$A$3001,0))&amp;"",""))</f>
        <v/>
      </c>
      <c r="K617" s="28" t="str">
        <f aca="false">IF(OR(G617="",G617="?"),"",IFERROR(INDEX(Pubs!$E$2:$E$3001,MATCH(G617,Pubs!$A$2:$A$3001,0)),""))</f>
        <v/>
      </c>
      <c r="L617" s="29" t="str">
        <f aca="false">IF(A617="","",IFERROR(1/(1/INDEX(Numéros!$C$2:$C$3001,MATCH(A617&amp;"|"&amp;B617,Numéros!$F$2:$F$3001,0))),""))</f>
        <v/>
      </c>
      <c r="M617" s="27" t="str">
        <f aca="false">IF(OR(G617="",G617="?"),"",IFERROR(INDEX(Pubs!$D$2:$D$3001,MATCH(G617,Pubs!$A$2:$A$3001,0))&amp;"",""))</f>
        <v/>
      </c>
      <c r="N617" s="27" t="n">
        <f aca="false">N(N616)+IF(AND(A617&lt;&gt;"",OR(Recherche!$C$4="",A617=Recherche!$C$4),OR(Recherche!$C$5="",B617&amp;""=Recherche!$C$5&amp;""),OR(Recherche!$C$6="",IFERROR(YEAR(L617),0)=Recherche!$C$6),OR(Recherche!$C$7="",ISNUMBER(SEARCH(Recherche!$C$7,H617))),OR(Recherche!$C$8="",J617=Recherche!$C$8),OR(Recherche!$C$9="",I617=Recherche!$C$9),OR(Recherche!$C$10="",G617&amp;""=Recherche!$C$10&amp;""),OR(Recherche!$C$11="",E617=Recherche!$C$11),OR(Recherche!$C$12="",ISNUMBER(SEARCH(Recherche!$C$12,M617&amp;" "&amp;F617)))),1,0)</f>
        <v>8</v>
      </c>
    </row>
    <row r="618" customFormat="false" ht="15" hidden="false" customHeight="false" outlineLevel="0" collapsed="false">
      <c r="A618" s="19"/>
      <c r="B618" s="19"/>
      <c r="C618" s="19"/>
      <c r="D618" s="19"/>
      <c r="E618" s="22"/>
      <c r="F618" s="19"/>
      <c r="G618" s="26" t="str">
        <f aca="false">IF(D618="","",IFERROR(VALUE(LEFT(D618,FIND(" |",D618&amp;" |")-1)),"?"))</f>
        <v/>
      </c>
      <c r="H618" s="27" t="str">
        <f aca="false">IF(G618="","",IF(G618="?","⚠ pub inconnue",IFERROR(INDEX(Pubs!$B$2:$B$3001,MATCH(G618,Pubs!$A$2:$A$3001,0))&amp;"","⚠ pub inconnue")))</f>
        <v/>
      </c>
      <c r="I618" s="27" t="str">
        <f aca="false">IF(OR(G618="",G618="?"),"",IFERROR(INDEX(Pubs!$C$2:$C$3001,MATCH(G618,Pubs!$A$2:$A$3001,0))&amp;"",""))</f>
        <v/>
      </c>
      <c r="J618" s="27" t="str">
        <f aca="false">IF(OR(G618="",G618="?"),"",IFERROR(INDEX(Pubs!$G$2:$G$3001,MATCH(G618,Pubs!$A$2:$A$3001,0))&amp;"",""))</f>
        <v/>
      </c>
      <c r="K618" s="28" t="str">
        <f aca="false">IF(OR(G618="",G618="?"),"",IFERROR(INDEX(Pubs!$E$2:$E$3001,MATCH(G618,Pubs!$A$2:$A$3001,0)),""))</f>
        <v/>
      </c>
      <c r="L618" s="29" t="str">
        <f aca="false">IF(A618="","",IFERROR(1/(1/INDEX(Numéros!$C$2:$C$3001,MATCH(A618&amp;"|"&amp;B618,Numéros!$F$2:$F$3001,0))),""))</f>
        <v/>
      </c>
      <c r="M618" s="27" t="str">
        <f aca="false">IF(OR(G618="",G618="?"),"",IFERROR(INDEX(Pubs!$D$2:$D$3001,MATCH(G618,Pubs!$A$2:$A$3001,0))&amp;"",""))</f>
        <v/>
      </c>
      <c r="N618" s="27" t="n">
        <f aca="false">N(N617)+IF(AND(A618&lt;&gt;"",OR(Recherche!$C$4="",A618=Recherche!$C$4),OR(Recherche!$C$5="",B618&amp;""=Recherche!$C$5&amp;""),OR(Recherche!$C$6="",IFERROR(YEAR(L618),0)=Recherche!$C$6),OR(Recherche!$C$7="",ISNUMBER(SEARCH(Recherche!$C$7,H618))),OR(Recherche!$C$8="",J618=Recherche!$C$8),OR(Recherche!$C$9="",I618=Recherche!$C$9),OR(Recherche!$C$10="",G618&amp;""=Recherche!$C$10&amp;""),OR(Recherche!$C$11="",E618=Recherche!$C$11),OR(Recherche!$C$12="",ISNUMBER(SEARCH(Recherche!$C$12,M618&amp;" "&amp;F618)))),1,0)</f>
        <v>8</v>
      </c>
    </row>
    <row r="619" customFormat="false" ht="15" hidden="false" customHeight="false" outlineLevel="0" collapsed="false">
      <c r="A619" s="19"/>
      <c r="B619" s="19"/>
      <c r="C619" s="19"/>
      <c r="D619" s="19"/>
      <c r="E619" s="22"/>
      <c r="F619" s="19"/>
      <c r="G619" s="26" t="str">
        <f aca="false">IF(D619="","",IFERROR(VALUE(LEFT(D619,FIND(" |",D619&amp;" |")-1)),"?"))</f>
        <v/>
      </c>
      <c r="H619" s="27" t="str">
        <f aca="false">IF(G619="","",IF(G619="?","⚠ pub inconnue",IFERROR(INDEX(Pubs!$B$2:$B$3001,MATCH(G619,Pubs!$A$2:$A$3001,0))&amp;"","⚠ pub inconnue")))</f>
        <v/>
      </c>
      <c r="I619" s="27" t="str">
        <f aca="false">IF(OR(G619="",G619="?"),"",IFERROR(INDEX(Pubs!$C$2:$C$3001,MATCH(G619,Pubs!$A$2:$A$3001,0))&amp;"",""))</f>
        <v/>
      </c>
      <c r="J619" s="27" t="str">
        <f aca="false">IF(OR(G619="",G619="?"),"",IFERROR(INDEX(Pubs!$G$2:$G$3001,MATCH(G619,Pubs!$A$2:$A$3001,0))&amp;"",""))</f>
        <v/>
      </c>
      <c r="K619" s="28" t="str">
        <f aca="false">IF(OR(G619="",G619="?"),"",IFERROR(INDEX(Pubs!$E$2:$E$3001,MATCH(G619,Pubs!$A$2:$A$3001,0)),""))</f>
        <v/>
      </c>
      <c r="L619" s="29" t="str">
        <f aca="false">IF(A619="","",IFERROR(1/(1/INDEX(Numéros!$C$2:$C$3001,MATCH(A619&amp;"|"&amp;B619,Numéros!$F$2:$F$3001,0))),""))</f>
        <v/>
      </c>
      <c r="M619" s="27" t="str">
        <f aca="false">IF(OR(G619="",G619="?"),"",IFERROR(INDEX(Pubs!$D$2:$D$3001,MATCH(G619,Pubs!$A$2:$A$3001,0))&amp;"",""))</f>
        <v/>
      </c>
      <c r="N619" s="27" t="n">
        <f aca="false">N(N618)+IF(AND(A619&lt;&gt;"",OR(Recherche!$C$4="",A619=Recherche!$C$4),OR(Recherche!$C$5="",B619&amp;""=Recherche!$C$5&amp;""),OR(Recherche!$C$6="",IFERROR(YEAR(L619),0)=Recherche!$C$6),OR(Recherche!$C$7="",ISNUMBER(SEARCH(Recherche!$C$7,H619))),OR(Recherche!$C$8="",J619=Recherche!$C$8),OR(Recherche!$C$9="",I619=Recherche!$C$9),OR(Recherche!$C$10="",G619&amp;""=Recherche!$C$10&amp;""),OR(Recherche!$C$11="",E619=Recherche!$C$11),OR(Recherche!$C$12="",ISNUMBER(SEARCH(Recherche!$C$12,M619&amp;" "&amp;F619)))),1,0)</f>
        <v>8</v>
      </c>
    </row>
    <row r="620" customFormat="false" ht="15" hidden="false" customHeight="false" outlineLevel="0" collapsed="false">
      <c r="A620" s="19"/>
      <c r="B620" s="19"/>
      <c r="C620" s="19"/>
      <c r="D620" s="19"/>
      <c r="E620" s="22"/>
      <c r="F620" s="19"/>
      <c r="G620" s="26" t="str">
        <f aca="false">IF(D620="","",IFERROR(VALUE(LEFT(D620,FIND(" |",D620&amp;" |")-1)),"?"))</f>
        <v/>
      </c>
      <c r="H620" s="27" t="str">
        <f aca="false">IF(G620="","",IF(G620="?","⚠ pub inconnue",IFERROR(INDEX(Pubs!$B$2:$B$3001,MATCH(G620,Pubs!$A$2:$A$3001,0))&amp;"","⚠ pub inconnue")))</f>
        <v/>
      </c>
      <c r="I620" s="27" t="str">
        <f aca="false">IF(OR(G620="",G620="?"),"",IFERROR(INDEX(Pubs!$C$2:$C$3001,MATCH(G620,Pubs!$A$2:$A$3001,0))&amp;"",""))</f>
        <v/>
      </c>
      <c r="J620" s="27" t="str">
        <f aca="false">IF(OR(G620="",G620="?"),"",IFERROR(INDEX(Pubs!$G$2:$G$3001,MATCH(G620,Pubs!$A$2:$A$3001,0))&amp;"",""))</f>
        <v/>
      </c>
      <c r="K620" s="28" t="str">
        <f aca="false">IF(OR(G620="",G620="?"),"",IFERROR(INDEX(Pubs!$E$2:$E$3001,MATCH(G620,Pubs!$A$2:$A$3001,0)),""))</f>
        <v/>
      </c>
      <c r="L620" s="29" t="str">
        <f aca="false">IF(A620="","",IFERROR(1/(1/INDEX(Numéros!$C$2:$C$3001,MATCH(A620&amp;"|"&amp;B620,Numéros!$F$2:$F$3001,0))),""))</f>
        <v/>
      </c>
      <c r="M620" s="27" t="str">
        <f aca="false">IF(OR(G620="",G620="?"),"",IFERROR(INDEX(Pubs!$D$2:$D$3001,MATCH(G620,Pubs!$A$2:$A$3001,0))&amp;"",""))</f>
        <v/>
      </c>
      <c r="N620" s="27" t="n">
        <f aca="false">N(N619)+IF(AND(A620&lt;&gt;"",OR(Recherche!$C$4="",A620=Recherche!$C$4),OR(Recherche!$C$5="",B620&amp;""=Recherche!$C$5&amp;""),OR(Recherche!$C$6="",IFERROR(YEAR(L620),0)=Recherche!$C$6),OR(Recherche!$C$7="",ISNUMBER(SEARCH(Recherche!$C$7,H620))),OR(Recherche!$C$8="",J620=Recherche!$C$8),OR(Recherche!$C$9="",I620=Recherche!$C$9),OR(Recherche!$C$10="",G620&amp;""=Recherche!$C$10&amp;""),OR(Recherche!$C$11="",E620=Recherche!$C$11),OR(Recherche!$C$12="",ISNUMBER(SEARCH(Recherche!$C$12,M620&amp;" "&amp;F620)))),1,0)</f>
        <v>8</v>
      </c>
    </row>
    <row r="621" customFormat="false" ht="15" hidden="false" customHeight="false" outlineLevel="0" collapsed="false">
      <c r="A621" s="19"/>
      <c r="B621" s="19"/>
      <c r="C621" s="19"/>
      <c r="D621" s="19"/>
      <c r="E621" s="22"/>
      <c r="F621" s="19"/>
      <c r="G621" s="26" t="str">
        <f aca="false">IF(D621="","",IFERROR(VALUE(LEFT(D621,FIND(" |",D621&amp;" |")-1)),"?"))</f>
        <v/>
      </c>
      <c r="H621" s="27" t="str">
        <f aca="false">IF(G621="","",IF(G621="?","⚠ pub inconnue",IFERROR(INDEX(Pubs!$B$2:$B$3001,MATCH(G621,Pubs!$A$2:$A$3001,0))&amp;"","⚠ pub inconnue")))</f>
        <v/>
      </c>
      <c r="I621" s="27" t="str">
        <f aca="false">IF(OR(G621="",G621="?"),"",IFERROR(INDEX(Pubs!$C$2:$C$3001,MATCH(G621,Pubs!$A$2:$A$3001,0))&amp;"",""))</f>
        <v/>
      </c>
      <c r="J621" s="27" t="str">
        <f aca="false">IF(OR(G621="",G621="?"),"",IFERROR(INDEX(Pubs!$G$2:$G$3001,MATCH(G621,Pubs!$A$2:$A$3001,0))&amp;"",""))</f>
        <v/>
      </c>
      <c r="K621" s="28" t="str">
        <f aca="false">IF(OR(G621="",G621="?"),"",IFERROR(INDEX(Pubs!$E$2:$E$3001,MATCH(G621,Pubs!$A$2:$A$3001,0)),""))</f>
        <v/>
      </c>
      <c r="L621" s="29" t="str">
        <f aca="false">IF(A621="","",IFERROR(1/(1/INDEX(Numéros!$C$2:$C$3001,MATCH(A621&amp;"|"&amp;B621,Numéros!$F$2:$F$3001,0))),""))</f>
        <v/>
      </c>
      <c r="M621" s="27" t="str">
        <f aca="false">IF(OR(G621="",G621="?"),"",IFERROR(INDEX(Pubs!$D$2:$D$3001,MATCH(G621,Pubs!$A$2:$A$3001,0))&amp;"",""))</f>
        <v/>
      </c>
      <c r="N621" s="27" t="n">
        <f aca="false">N(N620)+IF(AND(A621&lt;&gt;"",OR(Recherche!$C$4="",A621=Recherche!$C$4),OR(Recherche!$C$5="",B621&amp;""=Recherche!$C$5&amp;""),OR(Recherche!$C$6="",IFERROR(YEAR(L621),0)=Recherche!$C$6),OR(Recherche!$C$7="",ISNUMBER(SEARCH(Recherche!$C$7,H621))),OR(Recherche!$C$8="",J621=Recherche!$C$8),OR(Recherche!$C$9="",I621=Recherche!$C$9),OR(Recherche!$C$10="",G621&amp;""=Recherche!$C$10&amp;""),OR(Recherche!$C$11="",E621=Recherche!$C$11),OR(Recherche!$C$12="",ISNUMBER(SEARCH(Recherche!$C$12,M621&amp;" "&amp;F621)))),1,0)</f>
        <v>8</v>
      </c>
    </row>
    <row r="622" customFormat="false" ht="15" hidden="false" customHeight="false" outlineLevel="0" collapsed="false">
      <c r="A622" s="19"/>
      <c r="B622" s="19"/>
      <c r="C622" s="19"/>
      <c r="D622" s="19"/>
      <c r="E622" s="22"/>
      <c r="F622" s="19"/>
      <c r="G622" s="26" t="str">
        <f aca="false">IF(D622="","",IFERROR(VALUE(LEFT(D622,FIND(" |",D622&amp;" |")-1)),"?"))</f>
        <v/>
      </c>
      <c r="H622" s="27" t="str">
        <f aca="false">IF(G622="","",IF(G622="?","⚠ pub inconnue",IFERROR(INDEX(Pubs!$B$2:$B$3001,MATCH(G622,Pubs!$A$2:$A$3001,0))&amp;"","⚠ pub inconnue")))</f>
        <v/>
      </c>
      <c r="I622" s="27" t="str">
        <f aca="false">IF(OR(G622="",G622="?"),"",IFERROR(INDEX(Pubs!$C$2:$C$3001,MATCH(G622,Pubs!$A$2:$A$3001,0))&amp;"",""))</f>
        <v/>
      </c>
      <c r="J622" s="27" t="str">
        <f aca="false">IF(OR(G622="",G622="?"),"",IFERROR(INDEX(Pubs!$G$2:$G$3001,MATCH(G622,Pubs!$A$2:$A$3001,0))&amp;"",""))</f>
        <v/>
      </c>
      <c r="K622" s="28" t="str">
        <f aca="false">IF(OR(G622="",G622="?"),"",IFERROR(INDEX(Pubs!$E$2:$E$3001,MATCH(G622,Pubs!$A$2:$A$3001,0)),""))</f>
        <v/>
      </c>
      <c r="L622" s="29" t="str">
        <f aca="false">IF(A622="","",IFERROR(1/(1/INDEX(Numéros!$C$2:$C$3001,MATCH(A622&amp;"|"&amp;B622,Numéros!$F$2:$F$3001,0))),""))</f>
        <v/>
      </c>
      <c r="M622" s="27" t="str">
        <f aca="false">IF(OR(G622="",G622="?"),"",IFERROR(INDEX(Pubs!$D$2:$D$3001,MATCH(G622,Pubs!$A$2:$A$3001,0))&amp;"",""))</f>
        <v/>
      </c>
      <c r="N622" s="27" t="n">
        <f aca="false">N(N621)+IF(AND(A622&lt;&gt;"",OR(Recherche!$C$4="",A622=Recherche!$C$4),OR(Recherche!$C$5="",B622&amp;""=Recherche!$C$5&amp;""),OR(Recherche!$C$6="",IFERROR(YEAR(L622),0)=Recherche!$C$6),OR(Recherche!$C$7="",ISNUMBER(SEARCH(Recherche!$C$7,H622))),OR(Recherche!$C$8="",J622=Recherche!$C$8),OR(Recherche!$C$9="",I622=Recherche!$C$9),OR(Recherche!$C$10="",G622&amp;""=Recherche!$C$10&amp;""),OR(Recherche!$C$11="",E622=Recherche!$C$11),OR(Recherche!$C$12="",ISNUMBER(SEARCH(Recherche!$C$12,M622&amp;" "&amp;F622)))),1,0)</f>
        <v>8</v>
      </c>
    </row>
    <row r="623" customFormat="false" ht="15" hidden="false" customHeight="false" outlineLevel="0" collapsed="false">
      <c r="A623" s="19"/>
      <c r="B623" s="19"/>
      <c r="C623" s="19"/>
      <c r="D623" s="19"/>
      <c r="E623" s="22"/>
      <c r="F623" s="19"/>
      <c r="G623" s="26" t="str">
        <f aca="false">IF(D623="","",IFERROR(VALUE(LEFT(D623,FIND(" |",D623&amp;" |")-1)),"?"))</f>
        <v/>
      </c>
      <c r="H623" s="27" t="str">
        <f aca="false">IF(G623="","",IF(G623="?","⚠ pub inconnue",IFERROR(INDEX(Pubs!$B$2:$B$3001,MATCH(G623,Pubs!$A$2:$A$3001,0))&amp;"","⚠ pub inconnue")))</f>
        <v/>
      </c>
      <c r="I623" s="27" t="str">
        <f aca="false">IF(OR(G623="",G623="?"),"",IFERROR(INDEX(Pubs!$C$2:$C$3001,MATCH(G623,Pubs!$A$2:$A$3001,0))&amp;"",""))</f>
        <v/>
      </c>
      <c r="J623" s="27" t="str">
        <f aca="false">IF(OR(G623="",G623="?"),"",IFERROR(INDEX(Pubs!$G$2:$G$3001,MATCH(G623,Pubs!$A$2:$A$3001,0))&amp;"",""))</f>
        <v/>
      </c>
      <c r="K623" s="28" t="str">
        <f aca="false">IF(OR(G623="",G623="?"),"",IFERROR(INDEX(Pubs!$E$2:$E$3001,MATCH(G623,Pubs!$A$2:$A$3001,0)),""))</f>
        <v/>
      </c>
      <c r="L623" s="29" t="str">
        <f aca="false">IF(A623="","",IFERROR(1/(1/INDEX(Numéros!$C$2:$C$3001,MATCH(A623&amp;"|"&amp;B623,Numéros!$F$2:$F$3001,0))),""))</f>
        <v/>
      </c>
      <c r="M623" s="27" t="str">
        <f aca="false">IF(OR(G623="",G623="?"),"",IFERROR(INDEX(Pubs!$D$2:$D$3001,MATCH(G623,Pubs!$A$2:$A$3001,0))&amp;"",""))</f>
        <v/>
      </c>
      <c r="N623" s="27" t="n">
        <f aca="false">N(N622)+IF(AND(A623&lt;&gt;"",OR(Recherche!$C$4="",A623=Recherche!$C$4),OR(Recherche!$C$5="",B623&amp;""=Recherche!$C$5&amp;""),OR(Recherche!$C$6="",IFERROR(YEAR(L623),0)=Recherche!$C$6),OR(Recherche!$C$7="",ISNUMBER(SEARCH(Recherche!$C$7,H623))),OR(Recherche!$C$8="",J623=Recherche!$C$8),OR(Recherche!$C$9="",I623=Recherche!$C$9),OR(Recherche!$C$10="",G623&amp;""=Recherche!$C$10&amp;""),OR(Recherche!$C$11="",E623=Recherche!$C$11),OR(Recherche!$C$12="",ISNUMBER(SEARCH(Recherche!$C$12,M623&amp;" "&amp;F623)))),1,0)</f>
        <v>8</v>
      </c>
    </row>
    <row r="624" customFormat="false" ht="15" hidden="false" customHeight="false" outlineLevel="0" collapsed="false">
      <c r="A624" s="19"/>
      <c r="B624" s="19"/>
      <c r="C624" s="19"/>
      <c r="D624" s="19"/>
      <c r="E624" s="22"/>
      <c r="F624" s="19"/>
      <c r="G624" s="26" t="str">
        <f aca="false">IF(D624="","",IFERROR(VALUE(LEFT(D624,FIND(" |",D624&amp;" |")-1)),"?"))</f>
        <v/>
      </c>
      <c r="H624" s="27" t="str">
        <f aca="false">IF(G624="","",IF(G624="?","⚠ pub inconnue",IFERROR(INDEX(Pubs!$B$2:$B$3001,MATCH(G624,Pubs!$A$2:$A$3001,0))&amp;"","⚠ pub inconnue")))</f>
        <v/>
      </c>
      <c r="I624" s="27" t="str">
        <f aca="false">IF(OR(G624="",G624="?"),"",IFERROR(INDEX(Pubs!$C$2:$C$3001,MATCH(G624,Pubs!$A$2:$A$3001,0))&amp;"",""))</f>
        <v/>
      </c>
      <c r="J624" s="27" t="str">
        <f aca="false">IF(OR(G624="",G624="?"),"",IFERROR(INDEX(Pubs!$G$2:$G$3001,MATCH(G624,Pubs!$A$2:$A$3001,0))&amp;"",""))</f>
        <v/>
      </c>
      <c r="K624" s="28" t="str">
        <f aca="false">IF(OR(G624="",G624="?"),"",IFERROR(INDEX(Pubs!$E$2:$E$3001,MATCH(G624,Pubs!$A$2:$A$3001,0)),""))</f>
        <v/>
      </c>
      <c r="L624" s="29" t="str">
        <f aca="false">IF(A624="","",IFERROR(1/(1/INDEX(Numéros!$C$2:$C$3001,MATCH(A624&amp;"|"&amp;B624,Numéros!$F$2:$F$3001,0))),""))</f>
        <v/>
      </c>
      <c r="M624" s="27" t="str">
        <f aca="false">IF(OR(G624="",G624="?"),"",IFERROR(INDEX(Pubs!$D$2:$D$3001,MATCH(G624,Pubs!$A$2:$A$3001,0))&amp;"",""))</f>
        <v/>
      </c>
      <c r="N624" s="27" t="n">
        <f aca="false">N(N623)+IF(AND(A624&lt;&gt;"",OR(Recherche!$C$4="",A624=Recherche!$C$4),OR(Recherche!$C$5="",B624&amp;""=Recherche!$C$5&amp;""),OR(Recherche!$C$6="",IFERROR(YEAR(L624),0)=Recherche!$C$6),OR(Recherche!$C$7="",ISNUMBER(SEARCH(Recherche!$C$7,H624))),OR(Recherche!$C$8="",J624=Recherche!$C$8),OR(Recherche!$C$9="",I624=Recherche!$C$9),OR(Recherche!$C$10="",G624&amp;""=Recherche!$C$10&amp;""),OR(Recherche!$C$11="",E624=Recherche!$C$11),OR(Recherche!$C$12="",ISNUMBER(SEARCH(Recherche!$C$12,M624&amp;" "&amp;F624)))),1,0)</f>
        <v>8</v>
      </c>
    </row>
    <row r="625" customFormat="false" ht="15" hidden="false" customHeight="false" outlineLevel="0" collapsed="false">
      <c r="A625" s="19"/>
      <c r="B625" s="19"/>
      <c r="C625" s="19"/>
      <c r="D625" s="19"/>
      <c r="E625" s="22"/>
      <c r="F625" s="19"/>
      <c r="G625" s="26" t="str">
        <f aca="false">IF(D625="","",IFERROR(VALUE(LEFT(D625,FIND(" |",D625&amp;" |")-1)),"?"))</f>
        <v/>
      </c>
      <c r="H625" s="27" t="str">
        <f aca="false">IF(G625="","",IF(G625="?","⚠ pub inconnue",IFERROR(INDEX(Pubs!$B$2:$B$3001,MATCH(G625,Pubs!$A$2:$A$3001,0))&amp;"","⚠ pub inconnue")))</f>
        <v/>
      </c>
      <c r="I625" s="27" t="str">
        <f aca="false">IF(OR(G625="",G625="?"),"",IFERROR(INDEX(Pubs!$C$2:$C$3001,MATCH(G625,Pubs!$A$2:$A$3001,0))&amp;"",""))</f>
        <v/>
      </c>
      <c r="J625" s="27" t="str">
        <f aca="false">IF(OR(G625="",G625="?"),"",IFERROR(INDEX(Pubs!$G$2:$G$3001,MATCH(G625,Pubs!$A$2:$A$3001,0))&amp;"",""))</f>
        <v/>
      </c>
      <c r="K625" s="28" t="str">
        <f aca="false">IF(OR(G625="",G625="?"),"",IFERROR(INDEX(Pubs!$E$2:$E$3001,MATCH(G625,Pubs!$A$2:$A$3001,0)),""))</f>
        <v/>
      </c>
      <c r="L625" s="29" t="str">
        <f aca="false">IF(A625="","",IFERROR(1/(1/INDEX(Numéros!$C$2:$C$3001,MATCH(A625&amp;"|"&amp;B625,Numéros!$F$2:$F$3001,0))),""))</f>
        <v/>
      </c>
      <c r="M625" s="27" t="str">
        <f aca="false">IF(OR(G625="",G625="?"),"",IFERROR(INDEX(Pubs!$D$2:$D$3001,MATCH(G625,Pubs!$A$2:$A$3001,0))&amp;"",""))</f>
        <v/>
      </c>
      <c r="N625" s="27" t="n">
        <f aca="false">N(N624)+IF(AND(A625&lt;&gt;"",OR(Recherche!$C$4="",A625=Recherche!$C$4),OR(Recherche!$C$5="",B625&amp;""=Recherche!$C$5&amp;""),OR(Recherche!$C$6="",IFERROR(YEAR(L625),0)=Recherche!$C$6),OR(Recherche!$C$7="",ISNUMBER(SEARCH(Recherche!$C$7,H625))),OR(Recherche!$C$8="",J625=Recherche!$C$8),OR(Recherche!$C$9="",I625=Recherche!$C$9),OR(Recherche!$C$10="",G625&amp;""=Recherche!$C$10&amp;""),OR(Recherche!$C$11="",E625=Recherche!$C$11),OR(Recherche!$C$12="",ISNUMBER(SEARCH(Recherche!$C$12,M625&amp;" "&amp;F625)))),1,0)</f>
        <v>8</v>
      </c>
    </row>
    <row r="626" customFormat="false" ht="15" hidden="false" customHeight="false" outlineLevel="0" collapsed="false">
      <c r="A626" s="19"/>
      <c r="B626" s="19"/>
      <c r="C626" s="19"/>
      <c r="D626" s="19"/>
      <c r="E626" s="22"/>
      <c r="F626" s="19"/>
      <c r="G626" s="26" t="str">
        <f aca="false">IF(D626="","",IFERROR(VALUE(LEFT(D626,FIND(" |",D626&amp;" |")-1)),"?"))</f>
        <v/>
      </c>
      <c r="H626" s="27" t="str">
        <f aca="false">IF(G626="","",IF(G626="?","⚠ pub inconnue",IFERROR(INDEX(Pubs!$B$2:$B$3001,MATCH(G626,Pubs!$A$2:$A$3001,0))&amp;"","⚠ pub inconnue")))</f>
        <v/>
      </c>
      <c r="I626" s="27" t="str">
        <f aca="false">IF(OR(G626="",G626="?"),"",IFERROR(INDEX(Pubs!$C$2:$C$3001,MATCH(G626,Pubs!$A$2:$A$3001,0))&amp;"",""))</f>
        <v/>
      </c>
      <c r="J626" s="27" t="str">
        <f aca="false">IF(OR(G626="",G626="?"),"",IFERROR(INDEX(Pubs!$G$2:$G$3001,MATCH(G626,Pubs!$A$2:$A$3001,0))&amp;"",""))</f>
        <v/>
      </c>
      <c r="K626" s="28" t="str">
        <f aca="false">IF(OR(G626="",G626="?"),"",IFERROR(INDEX(Pubs!$E$2:$E$3001,MATCH(G626,Pubs!$A$2:$A$3001,0)),""))</f>
        <v/>
      </c>
      <c r="L626" s="29" t="str">
        <f aca="false">IF(A626="","",IFERROR(1/(1/INDEX(Numéros!$C$2:$C$3001,MATCH(A626&amp;"|"&amp;B626,Numéros!$F$2:$F$3001,0))),""))</f>
        <v/>
      </c>
      <c r="M626" s="27" t="str">
        <f aca="false">IF(OR(G626="",G626="?"),"",IFERROR(INDEX(Pubs!$D$2:$D$3001,MATCH(G626,Pubs!$A$2:$A$3001,0))&amp;"",""))</f>
        <v/>
      </c>
      <c r="N626" s="27" t="n">
        <f aca="false">N(N625)+IF(AND(A626&lt;&gt;"",OR(Recherche!$C$4="",A626=Recherche!$C$4),OR(Recherche!$C$5="",B626&amp;""=Recherche!$C$5&amp;""),OR(Recherche!$C$6="",IFERROR(YEAR(L626),0)=Recherche!$C$6),OR(Recherche!$C$7="",ISNUMBER(SEARCH(Recherche!$C$7,H626))),OR(Recherche!$C$8="",J626=Recherche!$C$8),OR(Recherche!$C$9="",I626=Recherche!$C$9),OR(Recherche!$C$10="",G626&amp;""=Recherche!$C$10&amp;""),OR(Recherche!$C$11="",E626=Recherche!$C$11),OR(Recherche!$C$12="",ISNUMBER(SEARCH(Recherche!$C$12,M626&amp;" "&amp;F626)))),1,0)</f>
        <v>8</v>
      </c>
    </row>
    <row r="627" customFormat="false" ht="15" hidden="false" customHeight="false" outlineLevel="0" collapsed="false">
      <c r="A627" s="19"/>
      <c r="B627" s="19"/>
      <c r="C627" s="19"/>
      <c r="D627" s="19"/>
      <c r="E627" s="22"/>
      <c r="F627" s="19"/>
      <c r="G627" s="26" t="str">
        <f aca="false">IF(D627="","",IFERROR(VALUE(LEFT(D627,FIND(" |",D627&amp;" |")-1)),"?"))</f>
        <v/>
      </c>
      <c r="H627" s="27" t="str">
        <f aca="false">IF(G627="","",IF(G627="?","⚠ pub inconnue",IFERROR(INDEX(Pubs!$B$2:$B$3001,MATCH(G627,Pubs!$A$2:$A$3001,0))&amp;"","⚠ pub inconnue")))</f>
        <v/>
      </c>
      <c r="I627" s="27" t="str">
        <f aca="false">IF(OR(G627="",G627="?"),"",IFERROR(INDEX(Pubs!$C$2:$C$3001,MATCH(G627,Pubs!$A$2:$A$3001,0))&amp;"",""))</f>
        <v/>
      </c>
      <c r="J627" s="27" t="str">
        <f aca="false">IF(OR(G627="",G627="?"),"",IFERROR(INDEX(Pubs!$G$2:$G$3001,MATCH(G627,Pubs!$A$2:$A$3001,0))&amp;"",""))</f>
        <v/>
      </c>
      <c r="K627" s="28" t="str">
        <f aca="false">IF(OR(G627="",G627="?"),"",IFERROR(INDEX(Pubs!$E$2:$E$3001,MATCH(G627,Pubs!$A$2:$A$3001,0)),""))</f>
        <v/>
      </c>
      <c r="L627" s="29" t="str">
        <f aca="false">IF(A627="","",IFERROR(1/(1/INDEX(Numéros!$C$2:$C$3001,MATCH(A627&amp;"|"&amp;B627,Numéros!$F$2:$F$3001,0))),""))</f>
        <v/>
      </c>
      <c r="M627" s="27" t="str">
        <f aca="false">IF(OR(G627="",G627="?"),"",IFERROR(INDEX(Pubs!$D$2:$D$3001,MATCH(G627,Pubs!$A$2:$A$3001,0))&amp;"",""))</f>
        <v/>
      </c>
      <c r="N627" s="27" t="n">
        <f aca="false">N(N626)+IF(AND(A627&lt;&gt;"",OR(Recherche!$C$4="",A627=Recherche!$C$4),OR(Recherche!$C$5="",B627&amp;""=Recherche!$C$5&amp;""),OR(Recherche!$C$6="",IFERROR(YEAR(L627),0)=Recherche!$C$6),OR(Recherche!$C$7="",ISNUMBER(SEARCH(Recherche!$C$7,H627))),OR(Recherche!$C$8="",J627=Recherche!$C$8),OR(Recherche!$C$9="",I627=Recherche!$C$9),OR(Recherche!$C$10="",G627&amp;""=Recherche!$C$10&amp;""),OR(Recherche!$C$11="",E627=Recherche!$C$11),OR(Recherche!$C$12="",ISNUMBER(SEARCH(Recherche!$C$12,M627&amp;" "&amp;F627)))),1,0)</f>
        <v>8</v>
      </c>
    </row>
    <row r="628" customFormat="false" ht="15" hidden="false" customHeight="false" outlineLevel="0" collapsed="false">
      <c r="A628" s="19"/>
      <c r="B628" s="19"/>
      <c r="C628" s="19"/>
      <c r="D628" s="19"/>
      <c r="E628" s="22"/>
      <c r="F628" s="19"/>
      <c r="G628" s="26" t="str">
        <f aca="false">IF(D628="","",IFERROR(VALUE(LEFT(D628,FIND(" |",D628&amp;" |")-1)),"?"))</f>
        <v/>
      </c>
      <c r="H628" s="27" t="str">
        <f aca="false">IF(G628="","",IF(G628="?","⚠ pub inconnue",IFERROR(INDEX(Pubs!$B$2:$B$3001,MATCH(G628,Pubs!$A$2:$A$3001,0))&amp;"","⚠ pub inconnue")))</f>
        <v/>
      </c>
      <c r="I628" s="27" t="str">
        <f aca="false">IF(OR(G628="",G628="?"),"",IFERROR(INDEX(Pubs!$C$2:$C$3001,MATCH(G628,Pubs!$A$2:$A$3001,0))&amp;"",""))</f>
        <v/>
      </c>
      <c r="J628" s="27" t="str">
        <f aca="false">IF(OR(G628="",G628="?"),"",IFERROR(INDEX(Pubs!$G$2:$G$3001,MATCH(G628,Pubs!$A$2:$A$3001,0))&amp;"",""))</f>
        <v/>
      </c>
      <c r="K628" s="28" t="str">
        <f aca="false">IF(OR(G628="",G628="?"),"",IFERROR(INDEX(Pubs!$E$2:$E$3001,MATCH(G628,Pubs!$A$2:$A$3001,0)),""))</f>
        <v/>
      </c>
      <c r="L628" s="29" t="str">
        <f aca="false">IF(A628="","",IFERROR(1/(1/INDEX(Numéros!$C$2:$C$3001,MATCH(A628&amp;"|"&amp;B628,Numéros!$F$2:$F$3001,0))),""))</f>
        <v/>
      </c>
      <c r="M628" s="27" t="str">
        <f aca="false">IF(OR(G628="",G628="?"),"",IFERROR(INDEX(Pubs!$D$2:$D$3001,MATCH(G628,Pubs!$A$2:$A$3001,0))&amp;"",""))</f>
        <v/>
      </c>
      <c r="N628" s="27" t="n">
        <f aca="false">N(N627)+IF(AND(A628&lt;&gt;"",OR(Recherche!$C$4="",A628=Recherche!$C$4),OR(Recherche!$C$5="",B628&amp;""=Recherche!$C$5&amp;""),OR(Recherche!$C$6="",IFERROR(YEAR(L628),0)=Recherche!$C$6),OR(Recherche!$C$7="",ISNUMBER(SEARCH(Recherche!$C$7,H628))),OR(Recherche!$C$8="",J628=Recherche!$C$8),OR(Recherche!$C$9="",I628=Recherche!$C$9),OR(Recherche!$C$10="",G628&amp;""=Recherche!$C$10&amp;""),OR(Recherche!$C$11="",E628=Recherche!$C$11),OR(Recherche!$C$12="",ISNUMBER(SEARCH(Recherche!$C$12,M628&amp;" "&amp;F628)))),1,0)</f>
        <v>8</v>
      </c>
    </row>
    <row r="629" customFormat="false" ht="15" hidden="false" customHeight="false" outlineLevel="0" collapsed="false">
      <c r="A629" s="19"/>
      <c r="B629" s="19"/>
      <c r="C629" s="19"/>
      <c r="D629" s="19"/>
      <c r="E629" s="22"/>
      <c r="F629" s="19"/>
      <c r="G629" s="26" t="str">
        <f aca="false">IF(D629="","",IFERROR(VALUE(LEFT(D629,FIND(" |",D629&amp;" |")-1)),"?"))</f>
        <v/>
      </c>
      <c r="H629" s="27" t="str">
        <f aca="false">IF(G629="","",IF(G629="?","⚠ pub inconnue",IFERROR(INDEX(Pubs!$B$2:$B$3001,MATCH(G629,Pubs!$A$2:$A$3001,0))&amp;"","⚠ pub inconnue")))</f>
        <v/>
      </c>
      <c r="I629" s="27" t="str">
        <f aca="false">IF(OR(G629="",G629="?"),"",IFERROR(INDEX(Pubs!$C$2:$C$3001,MATCH(G629,Pubs!$A$2:$A$3001,0))&amp;"",""))</f>
        <v/>
      </c>
      <c r="J629" s="27" t="str">
        <f aca="false">IF(OR(G629="",G629="?"),"",IFERROR(INDEX(Pubs!$G$2:$G$3001,MATCH(G629,Pubs!$A$2:$A$3001,0))&amp;"",""))</f>
        <v/>
      </c>
      <c r="K629" s="28" t="str">
        <f aca="false">IF(OR(G629="",G629="?"),"",IFERROR(INDEX(Pubs!$E$2:$E$3001,MATCH(G629,Pubs!$A$2:$A$3001,0)),""))</f>
        <v/>
      </c>
      <c r="L629" s="29" t="str">
        <f aca="false">IF(A629="","",IFERROR(1/(1/INDEX(Numéros!$C$2:$C$3001,MATCH(A629&amp;"|"&amp;B629,Numéros!$F$2:$F$3001,0))),""))</f>
        <v/>
      </c>
      <c r="M629" s="27" t="str">
        <f aca="false">IF(OR(G629="",G629="?"),"",IFERROR(INDEX(Pubs!$D$2:$D$3001,MATCH(G629,Pubs!$A$2:$A$3001,0))&amp;"",""))</f>
        <v/>
      </c>
      <c r="N629" s="27" t="n">
        <f aca="false">N(N628)+IF(AND(A629&lt;&gt;"",OR(Recherche!$C$4="",A629=Recherche!$C$4),OR(Recherche!$C$5="",B629&amp;""=Recherche!$C$5&amp;""),OR(Recherche!$C$6="",IFERROR(YEAR(L629),0)=Recherche!$C$6),OR(Recherche!$C$7="",ISNUMBER(SEARCH(Recherche!$C$7,H629))),OR(Recherche!$C$8="",J629=Recherche!$C$8),OR(Recherche!$C$9="",I629=Recherche!$C$9),OR(Recherche!$C$10="",G629&amp;""=Recherche!$C$10&amp;""),OR(Recherche!$C$11="",E629=Recherche!$C$11),OR(Recherche!$C$12="",ISNUMBER(SEARCH(Recherche!$C$12,M629&amp;" "&amp;F629)))),1,0)</f>
        <v>8</v>
      </c>
    </row>
    <row r="630" customFormat="false" ht="15" hidden="false" customHeight="false" outlineLevel="0" collapsed="false">
      <c r="A630" s="19"/>
      <c r="B630" s="19"/>
      <c r="C630" s="19"/>
      <c r="D630" s="19"/>
      <c r="E630" s="22"/>
      <c r="F630" s="19"/>
      <c r="G630" s="26" t="str">
        <f aca="false">IF(D630="","",IFERROR(VALUE(LEFT(D630,FIND(" |",D630&amp;" |")-1)),"?"))</f>
        <v/>
      </c>
      <c r="H630" s="27" t="str">
        <f aca="false">IF(G630="","",IF(G630="?","⚠ pub inconnue",IFERROR(INDEX(Pubs!$B$2:$B$3001,MATCH(G630,Pubs!$A$2:$A$3001,0))&amp;"","⚠ pub inconnue")))</f>
        <v/>
      </c>
      <c r="I630" s="27" t="str">
        <f aca="false">IF(OR(G630="",G630="?"),"",IFERROR(INDEX(Pubs!$C$2:$C$3001,MATCH(G630,Pubs!$A$2:$A$3001,0))&amp;"",""))</f>
        <v/>
      </c>
      <c r="J630" s="27" t="str">
        <f aca="false">IF(OR(G630="",G630="?"),"",IFERROR(INDEX(Pubs!$G$2:$G$3001,MATCH(G630,Pubs!$A$2:$A$3001,0))&amp;"",""))</f>
        <v/>
      </c>
      <c r="K630" s="28" t="str">
        <f aca="false">IF(OR(G630="",G630="?"),"",IFERROR(INDEX(Pubs!$E$2:$E$3001,MATCH(G630,Pubs!$A$2:$A$3001,0)),""))</f>
        <v/>
      </c>
      <c r="L630" s="29" t="str">
        <f aca="false">IF(A630="","",IFERROR(1/(1/INDEX(Numéros!$C$2:$C$3001,MATCH(A630&amp;"|"&amp;B630,Numéros!$F$2:$F$3001,0))),""))</f>
        <v/>
      </c>
      <c r="M630" s="27" t="str">
        <f aca="false">IF(OR(G630="",G630="?"),"",IFERROR(INDEX(Pubs!$D$2:$D$3001,MATCH(G630,Pubs!$A$2:$A$3001,0))&amp;"",""))</f>
        <v/>
      </c>
      <c r="N630" s="27" t="n">
        <f aca="false">N(N629)+IF(AND(A630&lt;&gt;"",OR(Recherche!$C$4="",A630=Recherche!$C$4),OR(Recherche!$C$5="",B630&amp;""=Recherche!$C$5&amp;""),OR(Recherche!$C$6="",IFERROR(YEAR(L630),0)=Recherche!$C$6),OR(Recherche!$C$7="",ISNUMBER(SEARCH(Recherche!$C$7,H630))),OR(Recherche!$C$8="",J630=Recherche!$C$8),OR(Recherche!$C$9="",I630=Recherche!$C$9),OR(Recherche!$C$10="",G630&amp;""=Recherche!$C$10&amp;""),OR(Recherche!$C$11="",E630=Recherche!$C$11),OR(Recherche!$C$12="",ISNUMBER(SEARCH(Recherche!$C$12,M630&amp;" "&amp;F630)))),1,0)</f>
        <v>8</v>
      </c>
    </row>
    <row r="631" customFormat="false" ht="15" hidden="false" customHeight="false" outlineLevel="0" collapsed="false">
      <c r="A631" s="19"/>
      <c r="B631" s="19"/>
      <c r="C631" s="19"/>
      <c r="D631" s="19"/>
      <c r="E631" s="22"/>
      <c r="F631" s="19"/>
      <c r="G631" s="26" t="str">
        <f aca="false">IF(D631="","",IFERROR(VALUE(LEFT(D631,FIND(" |",D631&amp;" |")-1)),"?"))</f>
        <v/>
      </c>
      <c r="H631" s="27" t="str">
        <f aca="false">IF(G631="","",IF(G631="?","⚠ pub inconnue",IFERROR(INDEX(Pubs!$B$2:$B$3001,MATCH(G631,Pubs!$A$2:$A$3001,0))&amp;"","⚠ pub inconnue")))</f>
        <v/>
      </c>
      <c r="I631" s="27" t="str">
        <f aca="false">IF(OR(G631="",G631="?"),"",IFERROR(INDEX(Pubs!$C$2:$C$3001,MATCH(G631,Pubs!$A$2:$A$3001,0))&amp;"",""))</f>
        <v/>
      </c>
      <c r="J631" s="27" t="str">
        <f aca="false">IF(OR(G631="",G631="?"),"",IFERROR(INDEX(Pubs!$G$2:$G$3001,MATCH(G631,Pubs!$A$2:$A$3001,0))&amp;"",""))</f>
        <v/>
      </c>
      <c r="K631" s="28" t="str">
        <f aca="false">IF(OR(G631="",G631="?"),"",IFERROR(INDEX(Pubs!$E$2:$E$3001,MATCH(G631,Pubs!$A$2:$A$3001,0)),""))</f>
        <v/>
      </c>
      <c r="L631" s="29" t="str">
        <f aca="false">IF(A631="","",IFERROR(1/(1/INDEX(Numéros!$C$2:$C$3001,MATCH(A631&amp;"|"&amp;B631,Numéros!$F$2:$F$3001,0))),""))</f>
        <v/>
      </c>
      <c r="M631" s="27" t="str">
        <f aca="false">IF(OR(G631="",G631="?"),"",IFERROR(INDEX(Pubs!$D$2:$D$3001,MATCH(G631,Pubs!$A$2:$A$3001,0))&amp;"",""))</f>
        <v/>
      </c>
      <c r="N631" s="27" t="n">
        <f aca="false">N(N630)+IF(AND(A631&lt;&gt;"",OR(Recherche!$C$4="",A631=Recherche!$C$4),OR(Recherche!$C$5="",B631&amp;""=Recherche!$C$5&amp;""),OR(Recherche!$C$6="",IFERROR(YEAR(L631),0)=Recherche!$C$6),OR(Recherche!$C$7="",ISNUMBER(SEARCH(Recherche!$C$7,H631))),OR(Recherche!$C$8="",J631=Recherche!$C$8),OR(Recherche!$C$9="",I631=Recherche!$C$9),OR(Recherche!$C$10="",G631&amp;""=Recherche!$C$10&amp;""),OR(Recherche!$C$11="",E631=Recherche!$C$11),OR(Recherche!$C$12="",ISNUMBER(SEARCH(Recherche!$C$12,M631&amp;" "&amp;F631)))),1,0)</f>
        <v>8</v>
      </c>
    </row>
    <row r="632" customFormat="false" ht="15" hidden="false" customHeight="false" outlineLevel="0" collapsed="false">
      <c r="A632" s="19"/>
      <c r="B632" s="19"/>
      <c r="C632" s="19"/>
      <c r="D632" s="19"/>
      <c r="E632" s="22"/>
      <c r="F632" s="19"/>
      <c r="G632" s="26" t="str">
        <f aca="false">IF(D632="","",IFERROR(VALUE(LEFT(D632,FIND(" |",D632&amp;" |")-1)),"?"))</f>
        <v/>
      </c>
      <c r="H632" s="27" t="str">
        <f aca="false">IF(G632="","",IF(G632="?","⚠ pub inconnue",IFERROR(INDEX(Pubs!$B$2:$B$3001,MATCH(G632,Pubs!$A$2:$A$3001,0))&amp;"","⚠ pub inconnue")))</f>
        <v/>
      </c>
      <c r="I632" s="27" t="str">
        <f aca="false">IF(OR(G632="",G632="?"),"",IFERROR(INDEX(Pubs!$C$2:$C$3001,MATCH(G632,Pubs!$A$2:$A$3001,0))&amp;"",""))</f>
        <v/>
      </c>
      <c r="J632" s="27" t="str">
        <f aca="false">IF(OR(G632="",G632="?"),"",IFERROR(INDEX(Pubs!$G$2:$G$3001,MATCH(G632,Pubs!$A$2:$A$3001,0))&amp;"",""))</f>
        <v/>
      </c>
      <c r="K632" s="28" t="str">
        <f aca="false">IF(OR(G632="",G632="?"),"",IFERROR(INDEX(Pubs!$E$2:$E$3001,MATCH(G632,Pubs!$A$2:$A$3001,0)),""))</f>
        <v/>
      </c>
      <c r="L632" s="29" t="str">
        <f aca="false">IF(A632="","",IFERROR(1/(1/INDEX(Numéros!$C$2:$C$3001,MATCH(A632&amp;"|"&amp;B632,Numéros!$F$2:$F$3001,0))),""))</f>
        <v/>
      </c>
      <c r="M632" s="27" t="str">
        <f aca="false">IF(OR(G632="",G632="?"),"",IFERROR(INDEX(Pubs!$D$2:$D$3001,MATCH(G632,Pubs!$A$2:$A$3001,0))&amp;"",""))</f>
        <v/>
      </c>
      <c r="N632" s="27" t="n">
        <f aca="false">N(N631)+IF(AND(A632&lt;&gt;"",OR(Recherche!$C$4="",A632=Recherche!$C$4),OR(Recherche!$C$5="",B632&amp;""=Recherche!$C$5&amp;""),OR(Recherche!$C$6="",IFERROR(YEAR(L632),0)=Recherche!$C$6),OR(Recherche!$C$7="",ISNUMBER(SEARCH(Recherche!$C$7,H632))),OR(Recherche!$C$8="",J632=Recherche!$C$8),OR(Recherche!$C$9="",I632=Recherche!$C$9),OR(Recherche!$C$10="",G632&amp;""=Recherche!$C$10&amp;""),OR(Recherche!$C$11="",E632=Recherche!$C$11),OR(Recherche!$C$12="",ISNUMBER(SEARCH(Recherche!$C$12,M632&amp;" "&amp;F632)))),1,0)</f>
        <v>8</v>
      </c>
    </row>
    <row r="633" customFormat="false" ht="15" hidden="false" customHeight="false" outlineLevel="0" collapsed="false">
      <c r="A633" s="19"/>
      <c r="B633" s="19"/>
      <c r="C633" s="19"/>
      <c r="D633" s="19"/>
      <c r="E633" s="22"/>
      <c r="F633" s="19"/>
      <c r="G633" s="26" t="str">
        <f aca="false">IF(D633="","",IFERROR(VALUE(LEFT(D633,FIND(" |",D633&amp;" |")-1)),"?"))</f>
        <v/>
      </c>
      <c r="H633" s="27" t="str">
        <f aca="false">IF(G633="","",IF(G633="?","⚠ pub inconnue",IFERROR(INDEX(Pubs!$B$2:$B$3001,MATCH(G633,Pubs!$A$2:$A$3001,0))&amp;"","⚠ pub inconnue")))</f>
        <v/>
      </c>
      <c r="I633" s="27" t="str">
        <f aca="false">IF(OR(G633="",G633="?"),"",IFERROR(INDEX(Pubs!$C$2:$C$3001,MATCH(G633,Pubs!$A$2:$A$3001,0))&amp;"",""))</f>
        <v/>
      </c>
      <c r="J633" s="27" t="str">
        <f aca="false">IF(OR(G633="",G633="?"),"",IFERROR(INDEX(Pubs!$G$2:$G$3001,MATCH(G633,Pubs!$A$2:$A$3001,0))&amp;"",""))</f>
        <v/>
      </c>
      <c r="K633" s="28" t="str">
        <f aca="false">IF(OR(G633="",G633="?"),"",IFERROR(INDEX(Pubs!$E$2:$E$3001,MATCH(G633,Pubs!$A$2:$A$3001,0)),""))</f>
        <v/>
      </c>
      <c r="L633" s="29" t="str">
        <f aca="false">IF(A633="","",IFERROR(1/(1/INDEX(Numéros!$C$2:$C$3001,MATCH(A633&amp;"|"&amp;B633,Numéros!$F$2:$F$3001,0))),""))</f>
        <v/>
      </c>
      <c r="M633" s="27" t="str">
        <f aca="false">IF(OR(G633="",G633="?"),"",IFERROR(INDEX(Pubs!$D$2:$D$3001,MATCH(G633,Pubs!$A$2:$A$3001,0))&amp;"",""))</f>
        <v/>
      </c>
      <c r="N633" s="27" t="n">
        <f aca="false">N(N632)+IF(AND(A633&lt;&gt;"",OR(Recherche!$C$4="",A633=Recherche!$C$4),OR(Recherche!$C$5="",B633&amp;""=Recherche!$C$5&amp;""),OR(Recherche!$C$6="",IFERROR(YEAR(L633),0)=Recherche!$C$6),OR(Recherche!$C$7="",ISNUMBER(SEARCH(Recherche!$C$7,H633))),OR(Recherche!$C$8="",J633=Recherche!$C$8),OR(Recherche!$C$9="",I633=Recherche!$C$9),OR(Recherche!$C$10="",G633&amp;""=Recherche!$C$10&amp;""),OR(Recherche!$C$11="",E633=Recherche!$C$11),OR(Recherche!$C$12="",ISNUMBER(SEARCH(Recherche!$C$12,M633&amp;" "&amp;F633)))),1,0)</f>
        <v>8</v>
      </c>
    </row>
    <row r="634" customFormat="false" ht="15" hidden="false" customHeight="false" outlineLevel="0" collapsed="false">
      <c r="A634" s="19"/>
      <c r="B634" s="19"/>
      <c r="C634" s="19"/>
      <c r="D634" s="19"/>
      <c r="E634" s="22"/>
      <c r="F634" s="19"/>
      <c r="G634" s="26" t="str">
        <f aca="false">IF(D634="","",IFERROR(VALUE(LEFT(D634,FIND(" |",D634&amp;" |")-1)),"?"))</f>
        <v/>
      </c>
      <c r="H634" s="27" t="str">
        <f aca="false">IF(G634="","",IF(G634="?","⚠ pub inconnue",IFERROR(INDEX(Pubs!$B$2:$B$3001,MATCH(G634,Pubs!$A$2:$A$3001,0))&amp;"","⚠ pub inconnue")))</f>
        <v/>
      </c>
      <c r="I634" s="27" t="str">
        <f aca="false">IF(OR(G634="",G634="?"),"",IFERROR(INDEX(Pubs!$C$2:$C$3001,MATCH(G634,Pubs!$A$2:$A$3001,0))&amp;"",""))</f>
        <v/>
      </c>
      <c r="J634" s="27" t="str">
        <f aca="false">IF(OR(G634="",G634="?"),"",IFERROR(INDEX(Pubs!$G$2:$G$3001,MATCH(G634,Pubs!$A$2:$A$3001,0))&amp;"",""))</f>
        <v/>
      </c>
      <c r="K634" s="28" t="str">
        <f aca="false">IF(OR(G634="",G634="?"),"",IFERROR(INDEX(Pubs!$E$2:$E$3001,MATCH(G634,Pubs!$A$2:$A$3001,0)),""))</f>
        <v/>
      </c>
      <c r="L634" s="29" t="str">
        <f aca="false">IF(A634="","",IFERROR(1/(1/INDEX(Numéros!$C$2:$C$3001,MATCH(A634&amp;"|"&amp;B634,Numéros!$F$2:$F$3001,0))),""))</f>
        <v/>
      </c>
      <c r="M634" s="27" t="str">
        <f aca="false">IF(OR(G634="",G634="?"),"",IFERROR(INDEX(Pubs!$D$2:$D$3001,MATCH(G634,Pubs!$A$2:$A$3001,0))&amp;"",""))</f>
        <v/>
      </c>
      <c r="N634" s="27" t="n">
        <f aca="false">N(N633)+IF(AND(A634&lt;&gt;"",OR(Recherche!$C$4="",A634=Recherche!$C$4),OR(Recherche!$C$5="",B634&amp;""=Recherche!$C$5&amp;""),OR(Recherche!$C$6="",IFERROR(YEAR(L634),0)=Recherche!$C$6),OR(Recherche!$C$7="",ISNUMBER(SEARCH(Recherche!$C$7,H634))),OR(Recherche!$C$8="",J634=Recherche!$C$8),OR(Recherche!$C$9="",I634=Recherche!$C$9),OR(Recherche!$C$10="",G634&amp;""=Recherche!$C$10&amp;""),OR(Recherche!$C$11="",E634=Recherche!$C$11),OR(Recherche!$C$12="",ISNUMBER(SEARCH(Recherche!$C$12,M634&amp;" "&amp;F634)))),1,0)</f>
        <v>8</v>
      </c>
    </row>
    <row r="635" customFormat="false" ht="15" hidden="false" customHeight="false" outlineLevel="0" collapsed="false">
      <c r="A635" s="19"/>
      <c r="B635" s="19"/>
      <c r="C635" s="19"/>
      <c r="D635" s="19"/>
      <c r="E635" s="22"/>
      <c r="F635" s="19"/>
      <c r="G635" s="26" t="str">
        <f aca="false">IF(D635="","",IFERROR(VALUE(LEFT(D635,FIND(" |",D635&amp;" |")-1)),"?"))</f>
        <v/>
      </c>
      <c r="H635" s="27" t="str">
        <f aca="false">IF(G635="","",IF(G635="?","⚠ pub inconnue",IFERROR(INDEX(Pubs!$B$2:$B$3001,MATCH(G635,Pubs!$A$2:$A$3001,0))&amp;"","⚠ pub inconnue")))</f>
        <v/>
      </c>
      <c r="I635" s="27" t="str">
        <f aca="false">IF(OR(G635="",G635="?"),"",IFERROR(INDEX(Pubs!$C$2:$C$3001,MATCH(G635,Pubs!$A$2:$A$3001,0))&amp;"",""))</f>
        <v/>
      </c>
      <c r="J635" s="27" t="str">
        <f aca="false">IF(OR(G635="",G635="?"),"",IFERROR(INDEX(Pubs!$G$2:$G$3001,MATCH(G635,Pubs!$A$2:$A$3001,0))&amp;"",""))</f>
        <v/>
      </c>
      <c r="K635" s="28" t="str">
        <f aca="false">IF(OR(G635="",G635="?"),"",IFERROR(INDEX(Pubs!$E$2:$E$3001,MATCH(G635,Pubs!$A$2:$A$3001,0)),""))</f>
        <v/>
      </c>
      <c r="L635" s="29" t="str">
        <f aca="false">IF(A635="","",IFERROR(1/(1/INDEX(Numéros!$C$2:$C$3001,MATCH(A635&amp;"|"&amp;B635,Numéros!$F$2:$F$3001,0))),""))</f>
        <v/>
      </c>
      <c r="M635" s="27" t="str">
        <f aca="false">IF(OR(G635="",G635="?"),"",IFERROR(INDEX(Pubs!$D$2:$D$3001,MATCH(G635,Pubs!$A$2:$A$3001,0))&amp;"",""))</f>
        <v/>
      </c>
      <c r="N635" s="27" t="n">
        <f aca="false">N(N634)+IF(AND(A635&lt;&gt;"",OR(Recherche!$C$4="",A635=Recherche!$C$4),OR(Recherche!$C$5="",B635&amp;""=Recherche!$C$5&amp;""),OR(Recherche!$C$6="",IFERROR(YEAR(L635),0)=Recherche!$C$6),OR(Recherche!$C$7="",ISNUMBER(SEARCH(Recherche!$C$7,H635))),OR(Recherche!$C$8="",J635=Recherche!$C$8),OR(Recherche!$C$9="",I635=Recherche!$C$9),OR(Recherche!$C$10="",G635&amp;""=Recherche!$C$10&amp;""),OR(Recherche!$C$11="",E635=Recherche!$C$11),OR(Recherche!$C$12="",ISNUMBER(SEARCH(Recherche!$C$12,M635&amp;" "&amp;F635)))),1,0)</f>
        <v>8</v>
      </c>
    </row>
    <row r="636" customFormat="false" ht="15" hidden="false" customHeight="false" outlineLevel="0" collapsed="false">
      <c r="A636" s="19"/>
      <c r="B636" s="19"/>
      <c r="C636" s="19"/>
      <c r="D636" s="19"/>
      <c r="E636" s="22"/>
      <c r="F636" s="19"/>
      <c r="G636" s="26" t="str">
        <f aca="false">IF(D636="","",IFERROR(VALUE(LEFT(D636,FIND(" |",D636&amp;" |")-1)),"?"))</f>
        <v/>
      </c>
      <c r="H636" s="27" t="str">
        <f aca="false">IF(G636="","",IF(G636="?","⚠ pub inconnue",IFERROR(INDEX(Pubs!$B$2:$B$3001,MATCH(G636,Pubs!$A$2:$A$3001,0))&amp;"","⚠ pub inconnue")))</f>
        <v/>
      </c>
      <c r="I636" s="27" t="str">
        <f aca="false">IF(OR(G636="",G636="?"),"",IFERROR(INDEX(Pubs!$C$2:$C$3001,MATCH(G636,Pubs!$A$2:$A$3001,0))&amp;"",""))</f>
        <v/>
      </c>
      <c r="J636" s="27" t="str">
        <f aca="false">IF(OR(G636="",G636="?"),"",IFERROR(INDEX(Pubs!$G$2:$G$3001,MATCH(G636,Pubs!$A$2:$A$3001,0))&amp;"",""))</f>
        <v/>
      </c>
      <c r="K636" s="28" t="str">
        <f aca="false">IF(OR(G636="",G636="?"),"",IFERROR(INDEX(Pubs!$E$2:$E$3001,MATCH(G636,Pubs!$A$2:$A$3001,0)),""))</f>
        <v/>
      </c>
      <c r="L636" s="29" t="str">
        <f aca="false">IF(A636="","",IFERROR(1/(1/INDEX(Numéros!$C$2:$C$3001,MATCH(A636&amp;"|"&amp;B636,Numéros!$F$2:$F$3001,0))),""))</f>
        <v/>
      </c>
      <c r="M636" s="27" t="str">
        <f aca="false">IF(OR(G636="",G636="?"),"",IFERROR(INDEX(Pubs!$D$2:$D$3001,MATCH(G636,Pubs!$A$2:$A$3001,0))&amp;"",""))</f>
        <v/>
      </c>
      <c r="N636" s="27" t="n">
        <f aca="false">N(N635)+IF(AND(A636&lt;&gt;"",OR(Recherche!$C$4="",A636=Recherche!$C$4),OR(Recherche!$C$5="",B636&amp;""=Recherche!$C$5&amp;""),OR(Recherche!$C$6="",IFERROR(YEAR(L636),0)=Recherche!$C$6),OR(Recherche!$C$7="",ISNUMBER(SEARCH(Recherche!$C$7,H636))),OR(Recherche!$C$8="",J636=Recherche!$C$8),OR(Recherche!$C$9="",I636=Recherche!$C$9),OR(Recherche!$C$10="",G636&amp;""=Recherche!$C$10&amp;""),OR(Recherche!$C$11="",E636=Recherche!$C$11),OR(Recherche!$C$12="",ISNUMBER(SEARCH(Recherche!$C$12,M636&amp;" "&amp;F636)))),1,0)</f>
        <v>8</v>
      </c>
    </row>
    <row r="637" customFormat="false" ht="15" hidden="false" customHeight="false" outlineLevel="0" collapsed="false">
      <c r="A637" s="19"/>
      <c r="B637" s="19"/>
      <c r="C637" s="19"/>
      <c r="D637" s="19"/>
      <c r="E637" s="22"/>
      <c r="F637" s="19"/>
      <c r="G637" s="26" t="str">
        <f aca="false">IF(D637="","",IFERROR(VALUE(LEFT(D637,FIND(" |",D637&amp;" |")-1)),"?"))</f>
        <v/>
      </c>
      <c r="H637" s="27" t="str">
        <f aca="false">IF(G637="","",IF(G637="?","⚠ pub inconnue",IFERROR(INDEX(Pubs!$B$2:$B$3001,MATCH(G637,Pubs!$A$2:$A$3001,0))&amp;"","⚠ pub inconnue")))</f>
        <v/>
      </c>
      <c r="I637" s="27" t="str">
        <f aca="false">IF(OR(G637="",G637="?"),"",IFERROR(INDEX(Pubs!$C$2:$C$3001,MATCH(G637,Pubs!$A$2:$A$3001,0))&amp;"",""))</f>
        <v/>
      </c>
      <c r="J637" s="27" t="str">
        <f aca="false">IF(OR(G637="",G637="?"),"",IFERROR(INDEX(Pubs!$G$2:$G$3001,MATCH(G637,Pubs!$A$2:$A$3001,0))&amp;"",""))</f>
        <v/>
      </c>
      <c r="K637" s="28" t="str">
        <f aca="false">IF(OR(G637="",G637="?"),"",IFERROR(INDEX(Pubs!$E$2:$E$3001,MATCH(G637,Pubs!$A$2:$A$3001,0)),""))</f>
        <v/>
      </c>
      <c r="L637" s="29" t="str">
        <f aca="false">IF(A637="","",IFERROR(1/(1/INDEX(Numéros!$C$2:$C$3001,MATCH(A637&amp;"|"&amp;B637,Numéros!$F$2:$F$3001,0))),""))</f>
        <v/>
      </c>
      <c r="M637" s="27" t="str">
        <f aca="false">IF(OR(G637="",G637="?"),"",IFERROR(INDEX(Pubs!$D$2:$D$3001,MATCH(G637,Pubs!$A$2:$A$3001,0))&amp;"",""))</f>
        <v/>
      </c>
      <c r="N637" s="27" t="n">
        <f aca="false">N(N636)+IF(AND(A637&lt;&gt;"",OR(Recherche!$C$4="",A637=Recherche!$C$4),OR(Recherche!$C$5="",B637&amp;""=Recherche!$C$5&amp;""),OR(Recherche!$C$6="",IFERROR(YEAR(L637),0)=Recherche!$C$6),OR(Recherche!$C$7="",ISNUMBER(SEARCH(Recherche!$C$7,H637))),OR(Recherche!$C$8="",J637=Recherche!$C$8),OR(Recherche!$C$9="",I637=Recherche!$C$9),OR(Recherche!$C$10="",G637&amp;""=Recherche!$C$10&amp;""),OR(Recherche!$C$11="",E637=Recherche!$C$11),OR(Recherche!$C$12="",ISNUMBER(SEARCH(Recherche!$C$12,M637&amp;" "&amp;F637)))),1,0)</f>
        <v>8</v>
      </c>
    </row>
    <row r="638" customFormat="false" ht="15" hidden="false" customHeight="false" outlineLevel="0" collapsed="false">
      <c r="A638" s="19"/>
      <c r="B638" s="19"/>
      <c r="C638" s="19"/>
      <c r="D638" s="19"/>
      <c r="E638" s="22"/>
      <c r="F638" s="19"/>
      <c r="G638" s="26" t="str">
        <f aca="false">IF(D638="","",IFERROR(VALUE(LEFT(D638,FIND(" |",D638&amp;" |")-1)),"?"))</f>
        <v/>
      </c>
      <c r="H638" s="27" t="str">
        <f aca="false">IF(G638="","",IF(G638="?","⚠ pub inconnue",IFERROR(INDEX(Pubs!$B$2:$B$3001,MATCH(G638,Pubs!$A$2:$A$3001,0))&amp;"","⚠ pub inconnue")))</f>
        <v/>
      </c>
      <c r="I638" s="27" t="str">
        <f aca="false">IF(OR(G638="",G638="?"),"",IFERROR(INDEX(Pubs!$C$2:$C$3001,MATCH(G638,Pubs!$A$2:$A$3001,0))&amp;"",""))</f>
        <v/>
      </c>
      <c r="J638" s="27" t="str">
        <f aca="false">IF(OR(G638="",G638="?"),"",IFERROR(INDEX(Pubs!$G$2:$G$3001,MATCH(G638,Pubs!$A$2:$A$3001,0))&amp;"",""))</f>
        <v/>
      </c>
      <c r="K638" s="28" t="str">
        <f aca="false">IF(OR(G638="",G638="?"),"",IFERROR(INDEX(Pubs!$E$2:$E$3001,MATCH(G638,Pubs!$A$2:$A$3001,0)),""))</f>
        <v/>
      </c>
      <c r="L638" s="29" t="str">
        <f aca="false">IF(A638="","",IFERROR(1/(1/INDEX(Numéros!$C$2:$C$3001,MATCH(A638&amp;"|"&amp;B638,Numéros!$F$2:$F$3001,0))),""))</f>
        <v/>
      </c>
      <c r="M638" s="27" t="str">
        <f aca="false">IF(OR(G638="",G638="?"),"",IFERROR(INDEX(Pubs!$D$2:$D$3001,MATCH(G638,Pubs!$A$2:$A$3001,0))&amp;"",""))</f>
        <v/>
      </c>
      <c r="N638" s="27" t="n">
        <f aca="false">N(N637)+IF(AND(A638&lt;&gt;"",OR(Recherche!$C$4="",A638=Recherche!$C$4),OR(Recherche!$C$5="",B638&amp;""=Recherche!$C$5&amp;""),OR(Recherche!$C$6="",IFERROR(YEAR(L638),0)=Recherche!$C$6),OR(Recherche!$C$7="",ISNUMBER(SEARCH(Recherche!$C$7,H638))),OR(Recherche!$C$8="",J638=Recherche!$C$8),OR(Recherche!$C$9="",I638=Recherche!$C$9),OR(Recherche!$C$10="",G638&amp;""=Recherche!$C$10&amp;""),OR(Recherche!$C$11="",E638=Recherche!$C$11),OR(Recherche!$C$12="",ISNUMBER(SEARCH(Recherche!$C$12,M638&amp;" "&amp;F638)))),1,0)</f>
        <v>8</v>
      </c>
    </row>
    <row r="639" customFormat="false" ht="15" hidden="false" customHeight="false" outlineLevel="0" collapsed="false">
      <c r="A639" s="19"/>
      <c r="B639" s="19"/>
      <c r="C639" s="19"/>
      <c r="D639" s="19"/>
      <c r="E639" s="22"/>
      <c r="F639" s="19"/>
      <c r="G639" s="26" t="str">
        <f aca="false">IF(D639="","",IFERROR(VALUE(LEFT(D639,FIND(" |",D639&amp;" |")-1)),"?"))</f>
        <v/>
      </c>
      <c r="H639" s="27" t="str">
        <f aca="false">IF(G639="","",IF(G639="?","⚠ pub inconnue",IFERROR(INDEX(Pubs!$B$2:$B$3001,MATCH(G639,Pubs!$A$2:$A$3001,0))&amp;"","⚠ pub inconnue")))</f>
        <v/>
      </c>
      <c r="I639" s="27" t="str">
        <f aca="false">IF(OR(G639="",G639="?"),"",IFERROR(INDEX(Pubs!$C$2:$C$3001,MATCH(G639,Pubs!$A$2:$A$3001,0))&amp;"",""))</f>
        <v/>
      </c>
      <c r="J639" s="27" t="str">
        <f aca="false">IF(OR(G639="",G639="?"),"",IFERROR(INDEX(Pubs!$G$2:$G$3001,MATCH(G639,Pubs!$A$2:$A$3001,0))&amp;"",""))</f>
        <v/>
      </c>
      <c r="K639" s="28" t="str">
        <f aca="false">IF(OR(G639="",G639="?"),"",IFERROR(INDEX(Pubs!$E$2:$E$3001,MATCH(G639,Pubs!$A$2:$A$3001,0)),""))</f>
        <v/>
      </c>
      <c r="L639" s="29" t="str">
        <f aca="false">IF(A639="","",IFERROR(1/(1/INDEX(Numéros!$C$2:$C$3001,MATCH(A639&amp;"|"&amp;B639,Numéros!$F$2:$F$3001,0))),""))</f>
        <v/>
      </c>
      <c r="M639" s="27" t="str">
        <f aca="false">IF(OR(G639="",G639="?"),"",IFERROR(INDEX(Pubs!$D$2:$D$3001,MATCH(G639,Pubs!$A$2:$A$3001,0))&amp;"",""))</f>
        <v/>
      </c>
      <c r="N639" s="27" t="n">
        <f aca="false">N(N638)+IF(AND(A639&lt;&gt;"",OR(Recherche!$C$4="",A639=Recherche!$C$4),OR(Recherche!$C$5="",B639&amp;""=Recherche!$C$5&amp;""),OR(Recherche!$C$6="",IFERROR(YEAR(L639),0)=Recherche!$C$6),OR(Recherche!$C$7="",ISNUMBER(SEARCH(Recherche!$C$7,H639))),OR(Recherche!$C$8="",J639=Recherche!$C$8),OR(Recherche!$C$9="",I639=Recherche!$C$9),OR(Recherche!$C$10="",G639&amp;""=Recherche!$C$10&amp;""),OR(Recherche!$C$11="",E639=Recherche!$C$11),OR(Recherche!$C$12="",ISNUMBER(SEARCH(Recherche!$C$12,M639&amp;" "&amp;F639)))),1,0)</f>
        <v>8</v>
      </c>
    </row>
    <row r="640" customFormat="false" ht="15" hidden="false" customHeight="false" outlineLevel="0" collapsed="false">
      <c r="A640" s="19"/>
      <c r="B640" s="19"/>
      <c r="C640" s="19"/>
      <c r="D640" s="19"/>
      <c r="E640" s="22"/>
      <c r="F640" s="19"/>
      <c r="G640" s="26" t="str">
        <f aca="false">IF(D640="","",IFERROR(VALUE(LEFT(D640,FIND(" |",D640&amp;" |")-1)),"?"))</f>
        <v/>
      </c>
      <c r="H640" s="27" t="str">
        <f aca="false">IF(G640="","",IF(G640="?","⚠ pub inconnue",IFERROR(INDEX(Pubs!$B$2:$B$3001,MATCH(G640,Pubs!$A$2:$A$3001,0))&amp;"","⚠ pub inconnue")))</f>
        <v/>
      </c>
      <c r="I640" s="27" t="str">
        <f aca="false">IF(OR(G640="",G640="?"),"",IFERROR(INDEX(Pubs!$C$2:$C$3001,MATCH(G640,Pubs!$A$2:$A$3001,0))&amp;"",""))</f>
        <v/>
      </c>
      <c r="J640" s="27" t="str">
        <f aca="false">IF(OR(G640="",G640="?"),"",IFERROR(INDEX(Pubs!$G$2:$G$3001,MATCH(G640,Pubs!$A$2:$A$3001,0))&amp;"",""))</f>
        <v/>
      </c>
      <c r="K640" s="28" t="str">
        <f aca="false">IF(OR(G640="",G640="?"),"",IFERROR(INDEX(Pubs!$E$2:$E$3001,MATCH(G640,Pubs!$A$2:$A$3001,0)),""))</f>
        <v/>
      </c>
      <c r="L640" s="29" t="str">
        <f aca="false">IF(A640="","",IFERROR(1/(1/INDEX(Numéros!$C$2:$C$3001,MATCH(A640&amp;"|"&amp;B640,Numéros!$F$2:$F$3001,0))),""))</f>
        <v/>
      </c>
      <c r="M640" s="27" t="str">
        <f aca="false">IF(OR(G640="",G640="?"),"",IFERROR(INDEX(Pubs!$D$2:$D$3001,MATCH(G640,Pubs!$A$2:$A$3001,0))&amp;"",""))</f>
        <v/>
      </c>
      <c r="N640" s="27" t="n">
        <f aca="false">N(N639)+IF(AND(A640&lt;&gt;"",OR(Recherche!$C$4="",A640=Recherche!$C$4),OR(Recherche!$C$5="",B640&amp;""=Recherche!$C$5&amp;""),OR(Recherche!$C$6="",IFERROR(YEAR(L640),0)=Recherche!$C$6),OR(Recherche!$C$7="",ISNUMBER(SEARCH(Recherche!$C$7,H640))),OR(Recherche!$C$8="",J640=Recherche!$C$8),OR(Recherche!$C$9="",I640=Recherche!$C$9),OR(Recherche!$C$10="",G640&amp;""=Recherche!$C$10&amp;""),OR(Recherche!$C$11="",E640=Recherche!$C$11),OR(Recherche!$C$12="",ISNUMBER(SEARCH(Recherche!$C$12,M640&amp;" "&amp;F640)))),1,0)</f>
        <v>8</v>
      </c>
    </row>
    <row r="641" customFormat="false" ht="15" hidden="false" customHeight="false" outlineLevel="0" collapsed="false">
      <c r="A641" s="19"/>
      <c r="B641" s="19"/>
      <c r="C641" s="19"/>
      <c r="D641" s="19"/>
      <c r="E641" s="22"/>
      <c r="F641" s="19"/>
      <c r="G641" s="26" t="str">
        <f aca="false">IF(D641="","",IFERROR(VALUE(LEFT(D641,FIND(" |",D641&amp;" |")-1)),"?"))</f>
        <v/>
      </c>
      <c r="H641" s="27" t="str">
        <f aca="false">IF(G641="","",IF(G641="?","⚠ pub inconnue",IFERROR(INDEX(Pubs!$B$2:$B$3001,MATCH(G641,Pubs!$A$2:$A$3001,0))&amp;"","⚠ pub inconnue")))</f>
        <v/>
      </c>
      <c r="I641" s="27" t="str">
        <f aca="false">IF(OR(G641="",G641="?"),"",IFERROR(INDEX(Pubs!$C$2:$C$3001,MATCH(G641,Pubs!$A$2:$A$3001,0))&amp;"",""))</f>
        <v/>
      </c>
      <c r="J641" s="27" t="str">
        <f aca="false">IF(OR(G641="",G641="?"),"",IFERROR(INDEX(Pubs!$G$2:$G$3001,MATCH(G641,Pubs!$A$2:$A$3001,0))&amp;"",""))</f>
        <v/>
      </c>
      <c r="K641" s="28" t="str">
        <f aca="false">IF(OR(G641="",G641="?"),"",IFERROR(INDEX(Pubs!$E$2:$E$3001,MATCH(G641,Pubs!$A$2:$A$3001,0)),""))</f>
        <v/>
      </c>
      <c r="L641" s="29" t="str">
        <f aca="false">IF(A641="","",IFERROR(1/(1/INDEX(Numéros!$C$2:$C$3001,MATCH(A641&amp;"|"&amp;B641,Numéros!$F$2:$F$3001,0))),""))</f>
        <v/>
      </c>
      <c r="M641" s="27" t="str">
        <f aca="false">IF(OR(G641="",G641="?"),"",IFERROR(INDEX(Pubs!$D$2:$D$3001,MATCH(G641,Pubs!$A$2:$A$3001,0))&amp;"",""))</f>
        <v/>
      </c>
      <c r="N641" s="27" t="n">
        <f aca="false">N(N640)+IF(AND(A641&lt;&gt;"",OR(Recherche!$C$4="",A641=Recherche!$C$4),OR(Recherche!$C$5="",B641&amp;""=Recherche!$C$5&amp;""),OR(Recherche!$C$6="",IFERROR(YEAR(L641),0)=Recherche!$C$6),OR(Recherche!$C$7="",ISNUMBER(SEARCH(Recherche!$C$7,H641))),OR(Recherche!$C$8="",J641=Recherche!$C$8),OR(Recherche!$C$9="",I641=Recherche!$C$9),OR(Recherche!$C$10="",G641&amp;""=Recherche!$C$10&amp;""),OR(Recherche!$C$11="",E641=Recherche!$C$11),OR(Recherche!$C$12="",ISNUMBER(SEARCH(Recherche!$C$12,M641&amp;" "&amp;F641)))),1,0)</f>
        <v>8</v>
      </c>
    </row>
    <row r="642" customFormat="false" ht="15" hidden="false" customHeight="false" outlineLevel="0" collapsed="false">
      <c r="A642" s="19"/>
      <c r="B642" s="19"/>
      <c r="C642" s="19"/>
      <c r="D642" s="19"/>
      <c r="E642" s="22"/>
      <c r="F642" s="19"/>
      <c r="G642" s="26" t="str">
        <f aca="false">IF(D642="","",IFERROR(VALUE(LEFT(D642,FIND(" |",D642&amp;" |")-1)),"?"))</f>
        <v/>
      </c>
      <c r="H642" s="27" t="str">
        <f aca="false">IF(G642="","",IF(G642="?","⚠ pub inconnue",IFERROR(INDEX(Pubs!$B$2:$B$3001,MATCH(G642,Pubs!$A$2:$A$3001,0))&amp;"","⚠ pub inconnue")))</f>
        <v/>
      </c>
      <c r="I642" s="27" t="str">
        <f aca="false">IF(OR(G642="",G642="?"),"",IFERROR(INDEX(Pubs!$C$2:$C$3001,MATCH(G642,Pubs!$A$2:$A$3001,0))&amp;"",""))</f>
        <v/>
      </c>
      <c r="J642" s="27" t="str">
        <f aca="false">IF(OR(G642="",G642="?"),"",IFERROR(INDEX(Pubs!$G$2:$G$3001,MATCH(G642,Pubs!$A$2:$A$3001,0))&amp;"",""))</f>
        <v/>
      </c>
      <c r="K642" s="28" t="str">
        <f aca="false">IF(OR(G642="",G642="?"),"",IFERROR(INDEX(Pubs!$E$2:$E$3001,MATCH(G642,Pubs!$A$2:$A$3001,0)),""))</f>
        <v/>
      </c>
      <c r="L642" s="29" t="str">
        <f aca="false">IF(A642="","",IFERROR(1/(1/INDEX(Numéros!$C$2:$C$3001,MATCH(A642&amp;"|"&amp;B642,Numéros!$F$2:$F$3001,0))),""))</f>
        <v/>
      </c>
      <c r="M642" s="27" t="str">
        <f aca="false">IF(OR(G642="",G642="?"),"",IFERROR(INDEX(Pubs!$D$2:$D$3001,MATCH(G642,Pubs!$A$2:$A$3001,0))&amp;"",""))</f>
        <v/>
      </c>
      <c r="N642" s="27" t="n">
        <f aca="false">N(N641)+IF(AND(A642&lt;&gt;"",OR(Recherche!$C$4="",A642=Recherche!$C$4),OR(Recherche!$C$5="",B642&amp;""=Recherche!$C$5&amp;""),OR(Recherche!$C$6="",IFERROR(YEAR(L642),0)=Recherche!$C$6),OR(Recherche!$C$7="",ISNUMBER(SEARCH(Recherche!$C$7,H642))),OR(Recherche!$C$8="",J642=Recherche!$C$8),OR(Recherche!$C$9="",I642=Recherche!$C$9),OR(Recherche!$C$10="",G642&amp;""=Recherche!$C$10&amp;""),OR(Recherche!$C$11="",E642=Recherche!$C$11),OR(Recherche!$C$12="",ISNUMBER(SEARCH(Recherche!$C$12,M642&amp;" "&amp;F642)))),1,0)</f>
        <v>8</v>
      </c>
    </row>
    <row r="643" customFormat="false" ht="15" hidden="false" customHeight="false" outlineLevel="0" collapsed="false">
      <c r="A643" s="19"/>
      <c r="B643" s="19"/>
      <c r="C643" s="19"/>
      <c r="D643" s="19"/>
      <c r="E643" s="22"/>
      <c r="F643" s="19"/>
      <c r="G643" s="26" t="str">
        <f aca="false">IF(D643="","",IFERROR(VALUE(LEFT(D643,FIND(" |",D643&amp;" |")-1)),"?"))</f>
        <v/>
      </c>
      <c r="H643" s="27" t="str">
        <f aca="false">IF(G643="","",IF(G643="?","⚠ pub inconnue",IFERROR(INDEX(Pubs!$B$2:$B$3001,MATCH(G643,Pubs!$A$2:$A$3001,0))&amp;"","⚠ pub inconnue")))</f>
        <v/>
      </c>
      <c r="I643" s="27" t="str">
        <f aca="false">IF(OR(G643="",G643="?"),"",IFERROR(INDEX(Pubs!$C$2:$C$3001,MATCH(G643,Pubs!$A$2:$A$3001,0))&amp;"",""))</f>
        <v/>
      </c>
      <c r="J643" s="27" t="str">
        <f aca="false">IF(OR(G643="",G643="?"),"",IFERROR(INDEX(Pubs!$G$2:$G$3001,MATCH(G643,Pubs!$A$2:$A$3001,0))&amp;"",""))</f>
        <v/>
      </c>
      <c r="K643" s="28" t="str">
        <f aca="false">IF(OR(G643="",G643="?"),"",IFERROR(INDEX(Pubs!$E$2:$E$3001,MATCH(G643,Pubs!$A$2:$A$3001,0)),""))</f>
        <v/>
      </c>
      <c r="L643" s="29" t="str">
        <f aca="false">IF(A643="","",IFERROR(1/(1/INDEX(Numéros!$C$2:$C$3001,MATCH(A643&amp;"|"&amp;B643,Numéros!$F$2:$F$3001,0))),""))</f>
        <v/>
      </c>
      <c r="M643" s="27" t="str">
        <f aca="false">IF(OR(G643="",G643="?"),"",IFERROR(INDEX(Pubs!$D$2:$D$3001,MATCH(G643,Pubs!$A$2:$A$3001,0))&amp;"",""))</f>
        <v/>
      </c>
      <c r="N643" s="27" t="n">
        <f aca="false">N(N642)+IF(AND(A643&lt;&gt;"",OR(Recherche!$C$4="",A643=Recherche!$C$4),OR(Recherche!$C$5="",B643&amp;""=Recherche!$C$5&amp;""),OR(Recherche!$C$6="",IFERROR(YEAR(L643),0)=Recherche!$C$6),OR(Recherche!$C$7="",ISNUMBER(SEARCH(Recherche!$C$7,H643))),OR(Recherche!$C$8="",J643=Recherche!$C$8),OR(Recherche!$C$9="",I643=Recherche!$C$9),OR(Recherche!$C$10="",G643&amp;""=Recherche!$C$10&amp;""),OR(Recherche!$C$11="",E643=Recherche!$C$11),OR(Recherche!$C$12="",ISNUMBER(SEARCH(Recherche!$C$12,M643&amp;" "&amp;F643)))),1,0)</f>
        <v>8</v>
      </c>
    </row>
    <row r="644" customFormat="false" ht="15" hidden="false" customHeight="false" outlineLevel="0" collapsed="false">
      <c r="A644" s="19"/>
      <c r="B644" s="19"/>
      <c r="C644" s="19"/>
      <c r="D644" s="19"/>
      <c r="E644" s="22"/>
      <c r="F644" s="19"/>
      <c r="G644" s="26" t="str">
        <f aca="false">IF(D644="","",IFERROR(VALUE(LEFT(D644,FIND(" |",D644&amp;" |")-1)),"?"))</f>
        <v/>
      </c>
      <c r="H644" s="27" t="str">
        <f aca="false">IF(G644="","",IF(G644="?","⚠ pub inconnue",IFERROR(INDEX(Pubs!$B$2:$B$3001,MATCH(G644,Pubs!$A$2:$A$3001,0))&amp;"","⚠ pub inconnue")))</f>
        <v/>
      </c>
      <c r="I644" s="27" t="str">
        <f aca="false">IF(OR(G644="",G644="?"),"",IFERROR(INDEX(Pubs!$C$2:$C$3001,MATCH(G644,Pubs!$A$2:$A$3001,0))&amp;"",""))</f>
        <v/>
      </c>
      <c r="J644" s="27" t="str">
        <f aca="false">IF(OR(G644="",G644="?"),"",IFERROR(INDEX(Pubs!$G$2:$G$3001,MATCH(G644,Pubs!$A$2:$A$3001,0))&amp;"",""))</f>
        <v/>
      </c>
      <c r="K644" s="28" t="str">
        <f aca="false">IF(OR(G644="",G644="?"),"",IFERROR(INDEX(Pubs!$E$2:$E$3001,MATCH(G644,Pubs!$A$2:$A$3001,0)),""))</f>
        <v/>
      </c>
      <c r="L644" s="29" t="str">
        <f aca="false">IF(A644="","",IFERROR(1/(1/INDEX(Numéros!$C$2:$C$3001,MATCH(A644&amp;"|"&amp;B644,Numéros!$F$2:$F$3001,0))),""))</f>
        <v/>
      </c>
      <c r="M644" s="27" t="str">
        <f aca="false">IF(OR(G644="",G644="?"),"",IFERROR(INDEX(Pubs!$D$2:$D$3001,MATCH(G644,Pubs!$A$2:$A$3001,0))&amp;"",""))</f>
        <v/>
      </c>
      <c r="N644" s="27" t="n">
        <f aca="false">N(N643)+IF(AND(A644&lt;&gt;"",OR(Recherche!$C$4="",A644=Recherche!$C$4),OR(Recherche!$C$5="",B644&amp;""=Recherche!$C$5&amp;""),OR(Recherche!$C$6="",IFERROR(YEAR(L644),0)=Recherche!$C$6),OR(Recherche!$C$7="",ISNUMBER(SEARCH(Recherche!$C$7,H644))),OR(Recherche!$C$8="",J644=Recherche!$C$8),OR(Recherche!$C$9="",I644=Recherche!$C$9),OR(Recherche!$C$10="",G644&amp;""=Recherche!$C$10&amp;""),OR(Recherche!$C$11="",E644=Recherche!$C$11),OR(Recherche!$C$12="",ISNUMBER(SEARCH(Recherche!$C$12,M644&amp;" "&amp;F644)))),1,0)</f>
        <v>8</v>
      </c>
    </row>
    <row r="645" customFormat="false" ht="15" hidden="false" customHeight="false" outlineLevel="0" collapsed="false">
      <c r="A645" s="19"/>
      <c r="B645" s="19"/>
      <c r="C645" s="19"/>
      <c r="D645" s="19"/>
      <c r="E645" s="22"/>
      <c r="F645" s="19"/>
      <c r="G645" s="26" t="str">
        <f aca="false">IF(D645="","",IFERROR(VALUE(LEFT(D645,FIND(" |",D645&amp;" |")-1)),"?"))</f>
        <v/>
      </c>
      <c r="H645" s="27" t="str">
        <f aca="false">IF(G645="","",IF(G645="?","⚠ pub inconnue",IFERROR(INDEX(Pubs!$B$2:$B$3001,MATCH(G645,Pubs!$A$2:$A$3001,0))&amp;"","⚠ pub inconnue")))</f>
        <v/>
      </c>
      <c r="I645" s="27" t="str">
        <f aca="false">IF(OR(G645="",G645="?"),"",IFERROR(INDEX(Pubs!$C$2:$C$3001,MATCH(G645,Pubs!$A$2:$A$3001,0))&amp;"",""))</f>
        <v/>
      </c>
      <c r="J645" s="27" t="str">
        <f aca="false">IF(OR(G645="",G645="?"),"",IFERROR(INDEX(Pubs!$G$2:$G$3001,MATCH(G645,Pubs!$A$2:$A$3001,0))&amp;"",""))</f>
        <v/>
      </c>
      <c r="K645" s="28" t="str">
        <f aca="false">IF(OR(G645="",G645="?"),"",IFERROR(INDEX(Pubs!$E$2:$E$3001,MATCH(G645,Pubs!$A$2:$A$3001,0)),""))</f>
        <v/>
      </c>
      <c r="L645" s="29" t="str">
        <f aca="false">IF(A645="","",IFERROR(1/(1/INDEX(Numéros!$C$2:$C$3001,MATCH(A645&amp;"|"&amp;B645,Numéros!$F$2:$F$3001,0))),""))</f>
        <v/>
      </c>
      <c r="M645" s="27" t="str">
        <f aca="false">IF(OR(G645="",G645="?"),"",IFERROR(INDEX(Pubs!$D$2:$D$3001,MATCH(G645,Pubs!$A$2:$A$3001,0))&amp;"",""))</f>
        <v/>
      </c>
      <c r="N645" s="27" t="n">
        <f aca="false">N(N644)+IF(AND(A645&lt;&gt;"",OR(Recherche!$C$4="",A645=Recherche!$C$4),OR(Recherche!$C$5="",B645&amp;""=Recherche!$C$5&amp;""),OR(Recherche!$C$6="",IFERROR(YEAR(L645),0)=Recherche!$C$6),OR(Recherche!$C$7="",ISNUMBER(SEARCH(Recherche!$C$7,H645))),OR(Recherche!$C$8="",J645=Recherche!$C$8),OR(Recherche!$C$9="",I645=Recherche!$C$9),OR(Recherche!$C$10="",G645&amp;""=Recherche!$C$10&amp;""),OR(Recherche!$C$11="",E645=Recherche!$C$11),OR(Recherche!$C$12="",ISNUMBER(SEARCH(Recherche!$C$12,M645&amp;" "&amp;F645)))),1,0)</f>
        <v>8</v>
      </c>
    </row>
    <row r="646" customFormat="false" ht="15" hidden="false" customHeight="false" outlineLevel="0" collapsed="false">
      <c r="A646" s="19"/>
      <c r="B646" s="19"/>
      <c r="C646" s="19"/>
      <c r="D646" s="19"/>
      <c r="E646" s="22"/>
      <c r="F646" s="19"/>
      <c r="G646" s="26" t="str">
        <f aca="false">IF(D646="","",IFERROR(VALUE(LEFT(D646,FIND(" |",D646&amp;" |")-1)),"?"))</f>
        <v/>
      </c>
      <c r="H646" s="27" t="str">
        <f aca="false">IF(G646="","",IF(G646="?","⚠ pub inconnue",IFERROR(INDEX(Pubs!$B$2:$B$3001,MATCH(G646,Pubs!$A$2:$A$3001,0))&amp;"","⚠ pub inconnue")))</f>
        <v/>
      </c>
      <c r="I646" s="27" t="str">
        <f aca="false">IF(OR(G646="",G646="?"),"",IFERROR(INDEX(Pubs!$C$2:$C$3001,MATCH(G646,Pubs!$A$2:$A$3001,0))&amp;"",""))</f>
        <v/>
      </c>
      <c r="J646" s="27" t="str">
        <f aca="false">IF(OR(G646="",G646="?"),"",IFERROR(INDEX(Pubs!$G$2:$G$3001,MATCH(G646,Pubs!$A$2:$A$3001,0))&amp;"",""))</f>
        <v/>
      </c>
      <c r="K646" s="28" t="str">
        <f aca="false">IF(OR(G646="",G646="?"),"",IFERROR(INDEX(Pubs!$E$2:$E$3001,MATCH(G646,Pubs!$A$2:$A$3001,0)),""))</f>
        <v/>
      </c>
      <c r="L646" s="29" t="str">
        <f aca="false">IF(A646="","",IFERROR(1/(1/INDEX(Numéros!$C$2:$C$3001,MATCH(A646&amp;"|"&amp;B646,Numéros!$F$2:$F$3001,0))),""))</f>
        <v/>
      </c>
      <c r="M646" s="27" t="str">
        <f aca="false">IF(OR(G646="",G646="?"),"",IFERROR(INDEX(Pubs!$D$2:$D$3001,MATCH(G646,Pubs!$A$2:$A$3001,0))&amp;"",""))</f>
        <v/>
      </c>
      <c r="N646" s="27" t="n">
        <f aca="false">N(N645)+IF(AND(A646&lt;&gt;"",OR(Recherche!$C$4="",A646=Recherche!$C$4),OR(Recherche!$C$5="",B646&amp;""=Recherche!$C$5&amp;""),OR(Recherche!$C$6="",IFERROR(YEAR(L646),0)=Recherche!$C$6),OR(Recherche!$C$7="",ISNUMBER(SEARCH(Recherche!$C$7,H646))),OR(Recherche!$C$8="",J646=Recherche!$C$8),OR(Recherche!$C$9="",I646=Recherche!$C$9),OR(Recherche!$C$10="",G646&amp;""=Recherche!$C$10&amp;""),OR(Recherche!$C$11="",E646=Recherche!$C$11),OR(Recherche!$C$12="",ISNUMBER(SEARCH(Recherche!$C$12,M646&amp;" "&amp;F646)))),1,0)</f>
        <v>8</v>
      </c>
    </row>
    <row r="647" customFormat="false" ht="15" hidden="false" customHeight="false" outlineLevel="0" collapsed="false">
      <c r="A647" s="19"/>
      <c r="B647" s="19"/>
      <c r="C647" s="19"/>
      <c r="D647" s="19"/>
      <c r="E647" s="22"/>
      <c r="F647" s="19"/>
      <c r="G647" s="26" t="str">
        <f aca="false">IF(D647="","",IFERROR(VALUE(LEFT(D647,FIND(" |",D647&amp;" |")-1)),"?"))</f>
        <v/>
      </c>
      <c r="H647" s="27" t="str">
        <f aca="false">IF(G647="","",IF(G647="?","⚠ pub inconnue",IFERROR(INDEX(Pubs!$B$2:$B$3001,MATCH(G647,Pubs!$A$2:$A$3001,0))&amp;"","⚠ pub inconnue")))</f>
        <v/>
      </c>
      <c r="I647" s="27" t="str">
        <f aca="false">IF(OR(G647="",G647="?"),"",IFERROR(INDEX(Pubs!$C$2:$C$3001,MATCH(G647,Pubs!$A$2:$A$3001,0))&amp;"",""))</f>
        <v/>
      </c>
      <c r="J647" s="27" t="str">
        <f aca="false">IF(OR(G647="",G647="?"),"",IFERROR(INDEX(Pubs!$G$2:$G$3001,MATCH(G647,Pubs!$A$2:$A$3001,0))&amp;"",""))</f>
        <v/>
      </c>
      <c r="K647" s="28" t="str">
        <f aca="false">IF(OR(G647="",G647="?"),"",IFERROR(INDEX(Pubs!$E$2:$E$3001,MATCH(G647,Pubs!$A$2:$A$3001,0)),""))</f>
        <v/>
      </c>
      <c r="L647" s="29" t="str">
        <f aca="false">IF(A647="","",IFERROR(1/(1/INDEX(Numéros!$C$2:$C$3001,MATCH(A647&amp;"|"&amp;B647,Numéros!$F$2:$F$3001,0))),""))</f>
        <v/>
      </c>
      <c r="M647" s="27" t="str">
        <f aca="false">IF(OR(G647="",G647="?"),"",IFERROR(INDEX(Pubs!$D$2:$D$3001,MATCH(G647,Pubs!$A$2:$A$3001,0))&amp;"",""))</f>
        <v/>
      </c>
      <c r="N647" s="27" t="n">
        <f aca="false">N(N646)+IF(AND(A647&lt;&gt;"",OR(Recherche!$C$4="",A647=Recherche!$C$4),OR(Recherche!$C$5="",B647&amp;""=Recherche!$C$5&amp;""),OR(Recherche!$C$6="",IFERROR(YEAR(L647),0)=Recherche!$C$6),OR(Recherche!$C$7="",ISNUMBER(SEARCH(Recherche!$C$7,H647))),OR(Recherche!$C$8="",J647=Recherche!$C$8),OR(Recherche!$C$9="",I647=Recherche!$C$9),OR(Recherche!$C$10="",G647&amp;""=Recherche!$C$10&amp;""),OR(Recherche!$C$11="",E647=Recherche!$C$11),OR(Recherche!$C$12="",ISNUMBER(SEARCH(Recherche!$C$12,M647&amp;" "&amp;F647)))),1,0)</f>
        <v>8</v>
      </c>
    </row>
    <row r="648" customFormat="false" ht="15" hidden="false" customHeight="false" outlineLevel="0" collapsed="false">
      <c r="A648" s="19"/>
      <c r="B648" s="19"/>
      <c r="C648" s="19"/>
      <c r="D648" s="19"/>
      <c r="E648" s="22"/>
      <c r="F648" s="19"/>
      <c r="G648" s="26" t="str">
        <f aca="false">IF(D648="","",IFERROR(VALUE(LEFT(D648,FIND(" |",D648&amp;" |")-1)),"?"))</f>
        <v/>
      </c>
      <c r="H648" s="27" t="str">
        <f aca="false">IF(G648="","",IF(G648="?","⚠ pub inconnue",IFERROR(INDEX(Pubs!$B$2:$B$3001,MATCH(G648,Pubs!$A$2:$A$3001,0))&amp;"","⚠ pub inconnue")))</f>
        <v/>
      </c>
      <c r="I648" s="27" t="str">
        <f aca="false">IF(OR(G648="",G648="?"),"",IFERROR(INDEX(Pubs!$C$2:$C$3001,MATCH(G648,Pubs!$A$2:$A$3001,0))&amp;"",""))</f>
        <v/>
      </c>
      <c r="J648" s="27" t="str">
        <f aca="false">IF(OR(G648="",G648="?"),"",IFERROR(INDEX(Pubs!$G$2:$G$3001,MATCH(G648,Pubs!$A$2:$A$3001,0))&amp;"",""))</f>
        <v/>
      </c>
      <c r="K648" s="28" t="str">
        <f aca="false">IF(OR(G648="",G648="?"),"",IFERROR(INDEX(Pubs!$E$2:$E$3001,MATCH(G648,Pubs!$A$2:$A$3001,0)),""))</f>
        <v/>
      </c>
      <c r="L648" s="29" t="str">
        <f aca="false">IF(A648="","",IFERROR(1/(1/INDEX(Numéros!$C$2:$C$3001,MATCH(A648&amp;"|"&amp;B648,Numéros!$F$2:$F$3001,0))),""))</f>
        <v/>
      </c>
      <c r="M648" s="27" t="str">
        <f aca="false">IF(OR(G648="",G648="?"),"",IFERROR(INDEX(Pubs!$D$2:$D$3001,MATCH(G648,Pubs!$A$2:$A$3001,0))&amp;"",""))</f>
        <v/>
      </c>
      <c r="N648" s="27" t="n">
        <f aca="false">N(N647)+IF(AND(A648&lt;&gt;"",OR(Recherche!$C$4="",A648=Recherche!$C$4),OR(Recherche!$C$5="",B648&amp;""=Recherche!$C$5&amp;""),OR(Recherche!$C$6="",IFERROR(YEAR(L648),0)=Recherche!$C$6),OR(Recherche!$C$7="",ISNUMBER(SEARCH(Recherche!$C$7,H648))),OR(Recherche!$C$8="",J648=Recherche!$C$8),OR(Recherche!$C$9="",I648=Recherche!$C$9),OR(Recherche!$C$10="",G648&amp;""=Recherche!$C$10&amp;""),OR(Recherche!$C$11="",E648=Recherche!$C$11),OR(Recherche!$C$12="",ISNUMBER(SEARCH(Recherche!$C$12,M648&amp;" "&amp;F648)))),1,0)</f>
        <v>8</v>
      </c>
    </row>
    <row r="649" customFormat="false" ht="15" hidden="false" customHeight="false" outlineLevel="0" collapsed="false">
      <c r="A649" s="19"/>
      <c r="B649" s="19"/>
      <c r="C649" s="19"/>
      <c r="D649" s="19"/>
      <c r="E649" s="22"/>
      <c r="F649" s="19"/>
      <c r="G649" s="26" t="str">
        <f aca="false">IF(D649="","",IFERROR(VALUE(LEFT(D649,FIND(" |",D649&amp;" |")-1)),"?"))</f>
        <v/>
      </c>
      <c r="H649" s="27" t="str">
        <f aca="false">IF(G649="","",IF(G649="?","⚠ pub inconnue",IFERROR(INDEX(Pubs!$B$2:$B$3001,MATCH(G649,Pubs!$A$2:$A$3001,0))&amp;"","⚠ pub inconnue")))</f>
        <v/>
      </c>
      <c r="I649" s="27" t="str">
        <f aca="false">IF(OR(G649="",G649="?"),"",IFERROR(INDEX(Pubs!$C$2:$C$3001,MATCH(G649,Pubs!$A$2:$A$3001,0))&amp;"",""))</f>
        <v/>
      </c>
      <c r="J649" s="27" t="str">
        <f aca="false">IF(OR(G649="",G649="?"),"",IFERROR(INDEX(Pubs!$G$2:$G$3001,MATCH(G649,Pubs!$A$2:$A$3001,0))&amp;"",""))</f>
        <v/>
      </c>
      <c r="K649" s="28" t="str">
        <f aca="false">IF(OR(G649="",G649="?"),"",IFERROR(INDEX(Pubs!$E$2:$E$3001,MATCH(G649,Pubs!$A$2:$A$3001,0)),""))</f>
        <v/>
      </c>
      <c r="L649" s="29" t="str">
        <f aca="false">IF(A649="","",IFERROR(1/(1/INDEX(Numéros!$C$2:$C$3001,MATCH(A649&amp;"|"&amp;B649,Numéros!$F$2:$F$3001,0))),""))</f>
        <v/>
      </c>
      <c r="M649" s="27" t="str">
        <f aca="false">IF(OR(G649="",G649="?"),"",IFERROR(INDEX(Pubs!$D$2:$D$3001,MATCH(G649,Pubs!$A$2:$A$3001,0))&amp;"",""))</f>
        <v/>
      </c>
      <c r="N649" s="27" t="n">
        <f aca="false">N(N648)+IF(AND(A649&lt;&gt;"",OR(Recherche!$C$4="",A649=Recherche!$C$4),OR(Recherche!$C$5="",B649&amp;""=Recherche!$C$5&amp;""),OR(Recherche!$C$6="",IFERROR(YEAR(L649),0)=Recherche!$C$6),OR(Recherche!$C$7="",ISNUMBER(SEARCH(Recherche!$C$7,H649))),OR(Recherche!$C$8="",J649=Recherche!$C$8),OR(Recherche!$C$9="",I649=Recherche!$C$9),OR(Recherche!$C$10="",G649&amp;""=Recherche!$C$10&amp;""),OR(Recherche!$C$11="",E649=Recherche!$C$11),OR(Recherche!$C$12="",ISNUMBER(SEARCH(Recherche!$C$12,M649&amp;" "&amp;F649)))),1,0)</f>
        <v>8</v>
      </c>
    </row>
    <row r="650" customFormat="false" ht="15" hidden="false" customHeight="false" outlineLevel="0" collapsed="false">
      <c r="A650" s="19"/>
      <c r="B650" s="19"/>
      <c r="C650" s="19"/>
      <c r="D650" s="19"/>
      <c r="E650" s="22"/>
      <c r="F650" s="19"/>
      <c r="G650" s="26" t="str">
        <f aca="false">IF(D650="","",IFERROR(VALUE(LEFT(D650,FIND(" |",D650&amp;" |")-1)),"?"))</f>
        <v/>
      </c>
      <c r="H650" s="27" t="str">
        <f aca="false">IF(G650="","",IF(G650="?","⚠ pub inconnue",IFERROR(INDEX(Pubs!$B$2:$B$3001,MATCH(G650,Pubs!$A$2:$A$3001,0))&amp;"","⚠ pub inconnue")))</f>
        <v/>
      </c>
      <c r="I650" s="27" t="str">
        <f aca="false">IF(OR(G650="",G650="?"),"",IFERROR(INDEX(Pubs!$C$2:$C$3001,MATCH(G650,Pubs!$A$2:$A$3001,0))&amp;"",""))</f>
        <v/>
      </c>
      <c r="J650" s="27" t="str">
        <f aca="false">IF(OR(G650="",G650="?"),"",IFERROR(INDEX(Pubs!$G$2:$G$3001,MATCH(G650,Pubs!$A$2:$A$3001,0))&amp;"",""))</f>
        <v/>
      </c>
      <c r="K650" s="28" t="str">
        <f aca="false">IF(OR(G650="",G650="?"),"",IFERROR(INDEX(Pubs!$E$2:$E$3001,MATCH(G650,Pubs!$A$2:$A$3001,0)),""))</f>
        <v/>
      </c>
      <c r="L650" s="29" t="str">
        <f aca="false">IF(A650="","",IFERROR(1/(1/INDEX(Numéros!$C$2:$C$3001,MATCH(A650&amp;"|"&amp;B650,Numéros!$F$2:$F$3001,0))),""))</f>
        <v/>
      </c>
      <c r="M650" s="27" t="str">
        <f aca="false">IF(OR(G650="",G650="?"),"",IFERROR(INDEX(Pubs!$D$2:$D$3001,MATCH(G650,Pubs!$A$2:$A$3001,0))&amp;"",""))</f>
        <v/>
      </c>
      <c r="N650" s="27" t="n">
        <f aca="false">N(N649)+IF(AND(A650&lt;&gt;"",OR(Recherche!$C$4="",A650=Recherche!$C$4),OR(Recherche!$C$5="",B650&amp;""=Recherche!$C$5&amp;""),OR(Recherche!$C$6="",IFERROR(YEAR(L650),0)=Recherche!$C$6),OR(Recherche!$C$7="",ISNUMBER(SEARCH(Recherche!$C$7,H650))),OR(Recherche!$C$8="",J650=Recherche!$C$8),OR(Recherche!$C$9="",I650=Recherche!$C$9),OR(Recherche!$C$10="",G650&amp;""=Recherche!$C$10&amp;""),OR(Recherche!$C$11="",E650=Recherche!$C$11),OR(Recherche!$C$12="",ISNUMBER(SEARCH(Recherche!$C$12,M650&amp;" "&amp;F650)))),1,0)</f>
        <v>8</v>
      </c>
    </row>
    <row r="651" customFormat="false" ht="15" hidden="false" customHeight="false" outlineLevel="0" collapsed="false">
      <c r="A651" s="19"/>
      <c r="B651" s="19"/>
      <c r="C651" s="19"/>
      <c r="D651" s="19"/>
      <c r="E651" s="22"/>
      <c r="F651" s="19"/>
      <c r="G651" s="26" t="str">
        <f aca="false">IF(D651="","",IFERROR(VALUE(LEFT(D651,FIND(" |",D651&amp;" |")-1)),"?"))</f>
        <v/>
      </c>
      <c r="H651" s="27" t="str">
        <f aca="false">IF(G651="","",IF(G651="?","⚠ pub inconnue",IFERROR(INDEX(Pubs!$B$2:$B$3001,MATCH(G651,Pubs!$A$2:$A$3001,0))&amp;"","⚠ pub inconnue")))</f>
        <v/>
      </c>
      <c r="I651" s="27" t="str">
        <f aca="false">IF(OR(G651="",G651="?"),"",IFERROR(INDEX(Pubs!$C$2:$C$3001,MATCH(G651,Pubs!$A$2:$A$3001,0))&amp;"",""))</f>
        <v/>
      </c>
      <c r="J651" s="27" t="str">
        <f aca="false">IF(OR(G651="",G651="?"),"",IFERROR(INDEX(Pubs!$G$2:$G$3001,MATCH(G651,Pubs!$A$2:$A$3001,0))&amp;"",""))</f>
        <v/>
      </c>
      <c r="K651" s="28" t="str">
        <f aca="false">IF(OR(G651="",G651="?"),"",IFERROR(INDEX(Pubs!$E$2:$E$3001,MATCH(G651,Pubs!$A$2:$A$3001,0)),""))</f>
        <v/>
      </c>
      <c r="L651" s="29" t="str">
        <f aca="false">IF(A651="","",IFERROR(1/(1/INDEX(Numéros!$C$2:$C$3001,MATCH(A651&amp;"|"&amp;B651,Numéros!$F$2:$F$3001,0))),""))</f>
        <v/>
      </c>
      <c r="M651" s="27" t="str">
        <f aca="false">IF(OR(G651="",G651="?"),"",IFERROR(INDEX(Pubs!$D$2:$D$3001,MATCH(G651,Pubs!$A$2:$A$3001,0))&amp;"",""))</f>
        <v/>
      </c>
      <c r="N651" s="27" t="n">
        <f aca="false">N(N650)+IF(AND(A651&lt;&gt;"",OR(Recherche!$C$4="",A651=Recherche!$C$4),OR(Recherche!$C$5="",B651&amp;""=Recherche!$C$5&amp;""),OR(Recherche!$C$6="",IFERROR(YEAR(L651),0)=Recherche!$C$6),OR(Recherche!$C$7="",ISNUMBER(SEARCH(Recherche!$C$7,H651))),OR(Recherche!$C$8="",J651=Recherche!$C$8),OR(Recherche!$C$9="",I651=Recherche!$C$9),OR(Recherche!$C$10="",G651&amp;""=Recherche!$C$10&amp;""),OR(Recherche!$C$11="",E651=Recherche!$C$11),OR(Recherche!$C$12="",ISNUMBER(SEARCH(Recherche!$C$12,M651&amp;" "&amp;F651)))),1,0)</f>
        <v>8</v>
      </c>
    </row>
    <row r="652" customFormat="false" ht="15" hidden="false" customHeight="false" outlineLevel="0" collapsed="false">
      <c r="A652" s="19"/>
      <c r="B652" s="19"/>
      <c r="C652" s="19"/>
      <c r="D652" s="19"/>
      <c r="E652" s="22"/>
      <c r="F652" s="19"/>
      <c r="G652" s="26" t="str">
        <f aca="false">IF(D652="","",IFERROR(VALUE(LEFT(D652,FIND(" |",D652&amp;" |")-1)),"?"))</f>
        <v/>
      </c>
      <c r="H652" s="27" t="str">
        <f aca="false">IF(G652="","",IF(G652="?","⚠ pub inconnue",IFERROR(INDEX(Pubs!$B$2:$B$3001,MATCH(G652,Pubs!$A$2:$A$3001,0))&amp;"","⚠ pub inconnue")))</f>
        <v/>
      </c>
      <c r="I652" s="27" t="str">
        <f aca="false">IF(OR(G652="",G652="?"),"",IFERROR(INDEX(Pubs!$C$2:$C$3001,MATCH(G652,Pubs!$A$2:$A$3001,0))&amp;"",""))</f>
        <v/>
      </c>
      <c r="J652" s="27" t="str">
        <f aca="false">IF(OR(G652="",G652="?"),"",IFERROR(INDEX(Pubs!$G$2:$G$3001,MATCH(G652,Pubs!$A$2:$A$3001,0))&amp;"",""))</f>
        <v/>
      </c>
      <c r="K652" s="28" t="str">
        <f aca="false">IF(OR(G652="",G652="?"),"",IFERROR(INDEX(Pubs!$E$2:$E$3001,MATCH(G652,Pubs!$A$2:$A$3001,0)),""))</f>
        <v/>
      </c>
      <c r="L652" s="29" t="str">
        <f aca="false">IF(A652="","",IFERROR(1/(1/INDEX(Numéros!$C$2:$C$3001,MATCH(A652&amp;"|"&amp;B652,Numéros!$F$2:$F$3001,0))),""))</f>
        <v/>
      </c>
      <c r="M652" s="27" t="str">
        <f aca="false">IF(OR(G652="",G652="?"),"",IFERROR(INDEX(Pubs!$D$2:$D$3001,MATCH(G652,Pubs!$A$2:$A$3001,0))&amp;"",""))</f>
        <v/>
      </c>
      <c r="N652" s="27" t="n">
        <f aca="false">N(N651)+IF(AND(A652&lt;&gt;"",OR(Recherche!$C$4="",A652=Recherche!$C$4),OR(Recherche!$C$5="",B652&amp;""=Recherche!$C$5&amp;""),OR(Recherche!$C$6="",IFERROR(YEAR(L652),0)=Recherche!$C$6),OR(Recherche!$C$7="",ISNUMBER(SEARCH(Recherche!$C$7,H652))),OR(Recherche!$C$8="",J652=Recherche!$C$8),OR(Recherche!$C$9="",I652=Recherche!$C$9),OR(Recherche!$C$10="",G652&amp;""=Recherche!$C$10&amp;""),OR(Recherche!$C$11="",E652=Recherche!$C$11),OR(Recherche!$C$12="",ISNUMBER(SEARCH(Recherche!$C$12,M652&amp;" "&amp;F652)))),1,0)</f>
        <v>8</v>
      </c>
    </row>
    <row r="653" customFormat="false" ht="15" hidden="false" customHeight="false" outlineLevel="0" collapsed="false">
      <c r="A653" s="19"/>
      <c r="B653" s="19"/>
      <c r="C653" s="19"/>
      <c r="D653" s="19"/>
      <c r="E653" s="22"/>
      <c r="F653" s="19"/>
      <c r="G653" s="26" t="str">
        <f aca="false">IF(D653="","",IFERROR(VALUE(LEFT(D653,FIND(" |",D653&amp;" |")-1)),"?"))</f>
        <v/>
      </c>
      <c r="H653" s="27" t="str">
        <f aca="false">IF(G653="","",IF(G653="?","⚠ pub inconnue",IFERROR(INDEX(Pubs!$B$2:$B$3001,MATCH(G653,Pubs!$A$2:$A$3001,0))&amp;"","⚠ pub inconnue")))</f>
        <v/>
      </c>
      <c r="I653" s="27" t="str">
        <f aca="false">IF(OR(G653="",G653="?"),"",IFERROR(INDEX(Pubs!$C$2:$C$3001,MATCH(G653,Pubs!$A$2:$A$3001,0))&amp;"",""))</f>
        <v/>
      </c>
      <c r="J653" s="27" t="str">
        <f aca="false">IF(OR(G653="",G653="?"),"",IFERROR(INDEX(Pubs!$G$2:$G$3001,MATCH(G653,Pubs!$A$2:$A$3001,0))&amp;"",""))</f>
        <v/>
      </c>
      <c r="K653" s="28" t="str">
        <f aca="false">IF(OR(G653="",G653="?"),"",IFERROR(INDEX(Pubs!$E$2:$E$3001,MATCH(G653,Pubs!$A$2:$A$3001,0)),""))</f>
        <v/>
      </c>
      <c r="L653" s="29" t="str">
        <f aca="false">IF(A653="","",IFERROR(1/(1/INDEX(Numéros!$C$2:$C$3001,MATCH(A653&amp;"|"&amp;B653,Numéros!$F$2:$F$3001,0))),""))</f>
        <v/>
      </c>
      <c r="M653" s="27" t="str">
        <f aca="false">IF(OR(G653="",G653="?"),"",IFERROR(INDEX(Pubs!$D$2:$D$3001,MATCH(G653,Pubs!$A$2:$A$3001,0))&amp;"",""))</f>
        <v/>
      </c>
      <c r="N653" s="27" t="n">
        <f aca="false">N(N652)+IF(AND(A653&lt;&gt;"",OR(Recherche!$C$4="",A653=Recherche!$C$4),OR(Recherche!$C$5="",B653&amp;""=Recherche!$C$5&amp;""),OR(Recherche!$C$6="",IFERROR(YEAR(L653),0)=Recherche!$C$6),OR(Recherche!$C$7="",ISNUMBER(SEARCH(Recherche!$C$7,H653))),OR(Recherche!$C$8="",J653=Recherche!$C$8),OR(Recherche!$C$9="",I653=Recherche!$C$9),OR(Recherche!$C$10="",G653&amp;""=Recherche!$C$10&amp;""),OR(Recherche!$C$11="",E653=Recherche!$C$11),OR(Recherche!$C$12="",ISNUMBER(SEARCH(Recherche!$C$12,M653&amp;" "&amp;F653)))),1,0)</f>
        <v>8</v>
      </c>
    </row>
    <row r="654" customFormat="false" ht="15" hidden="false" customHeight="false" outlineLevel="0" collapsed="false">
      <c r="A654" s="19"/>
      <c r="B654" s="19"/>
      <c r="C654" s="19"/>
      <c r="D654" s="19"/>
      <c r="E654" s="22"/>
      <c r="F654" s="19"/>
      <c r="G654" s="26" t="str">
        <f aca="false">IF(D654="","",IFERROR(VALUE(LEFT(D654,FIND(" |",D654&amp;" |")-1)),"?"))</f>
        <v/>
      </c>
      <c r="H654" s="27" t="str">
        <f aca="false">IF(G654="","",IF(G654="?","⚠ pub inconnue",IFERROR(INDEX(Pubs!$B$2:$B$3001,MATCH(G654,Pubs!$A$2:$A$3001,0))&amp;"","⚠ pub inconnue")))</f>
        <v/>
      </c>
      <c r="I654" s="27" t="str">
        <f aca="false">IF(OR(G654="",G654="?"),"",IFERROR(INDEX(Pubs!$C$2:$C$3001,MATCH(G654,Pubs!$A$2:$A$3001,0))&amp;"",""))</f>
        <v/>
      </c>
      <c r="J654" s="27" t="str">
        <f aca="false">IF(OR(G654="",G654="?"),"",IFERROR(INDEX(Pubs!$G$2:$G$3001,MATCH(G654,Pubs!$A$2:$A$3001,0))&amp;"",""))</f>
        <v/>
      </c>
      <c r="K654" s="28" t="str">
        <f aca="false">IF(OR(G654="",G654="?"),"",IFERROR(INDEX(Pubs!$E$2:$E$3001,MATCH(G654,Pubs!$A$2:$A$3001,0)),""))</f>
        <v/>
      </c>
      <c r="L654" s="29" t="str">
        <f aca="false">IF(A654="","",IFERROR(1/(1/INDEX(Numéros!$C$2:$C$3001,MATCH(A654&amp;"|"&amp;B654,Numéros!$F$2:$F$3001,0))),""))</f>
        <v/>
      </c>
      <c r="M654" s="27" t="str">
        <f aca="false">IF(OR(G654="",G654="?"),"",IFERROR(INDEX(Pubs!$D$2:$D$3001,MATCH(G654,Pubs!$A$2:$A$3001,0))&amp;"",""))</f>
        <v/>
      </c>
      <c r="N654" s="27" t="n">
        <f aca="false">N(N653)+IF(AND(A654&lt;&gt;"",OR(Recherche!$C$4="",A654=Recherche!$C$4),OR(Recherche!$C$5="",B654&amp;""=Recherche!$C$5&amp;""),OR(Recherche!$C$6="",IFERROR(YEAR(L654),0)=Recherche!$C$6),OR(Recherche!$C$7="",ISNUMBER(SEARCH(Recherche!$C$7,H654))),OR(Recherche!$C$8="",J654=Recherche!$C$8),OR(Recherche!$C$9="",I654=Recherche!$C$9),OR(Recherche!$C$10="",G654&amp;""=Recherche!$C$10&amp;""),OR(Recherche!$C$11="",E654=Recherche!$C$11),OR(Recherche!$C$12="",ISNUMBER(SEARCH(Recherche!$C$12,M654&amp;" "&amp;F654)))),1,0)</f>
        <v>8</v>
      </c>
    </row>
    <row r="655" customFormat="false" ht="15" hidden="false" customHeight="false" outlineLevel="0" collapsed="false">
      <c r="A655" s="19"/>
      <c r="B655" s="19"/>
      <c r="C655" s="19"/>
      <c r="D655" s="19"/>
      <c r="E655" s="22"/>
      <c r="F655" s="19"/>
      <c r="G655" s="26" t="str">
        <f aca="false">IF(D655="","",IFERROR(VALUE(LEFT(D655,FIND(" |",D655&amp;" |")-1)),"?"))</f>
        <v/>
      </c>
      <c r="H655" s="27" t="str">
        <f aca="false">IF(G655="","",IF(G655="?","⚠ pub inconnue",IFERROR(INDEX(Pubs!$B$2:$B$3001,MATCH(G655,Pubs!$A$2:$A$3001,0))&amp;"","⚠ pub inconnue")))</f>
        <v/>
      </c>
      <c r="I655" s="27" t="str">
        <f aca="false">IF(OR(G655="",G655="?"),"",IFERROR(INDEX(Pubs!$C$2:$C$3001,MATCH(G655,Pubs!$A$2:$A$3001,0))&amp;"",""))</f>
        <v/>
      </c>
      <c r="J655" s="27" t="str">
        <f aca="false">IF(OR(G655="",G655="?"),"",IFERROR(INDEX(Pubs!$G$2:$G$3001,MATCH(G655,Pubs!$A$2:$A$3001,0))&amp;"",""))</f>
        <v/>
      </c>
      <c r="K655" s="28" t="str">
        <f aca="false">IF(OR(G655="",G655="?"),"",IFERROR(INDEX(Pubs!$E$2:$E$3001,MATCH(G655,Pubs!$A$2:$A$3001,0)),""))</f>
        <v/>
      </c>
      <c r="L655" s="29" t="str">
        <f aca="false">IF(A655="","",IFERROR(1/(1/INDEX(Numéros!$C$2:$C$3001,MATCH(A655&amp;"|"&amp;B655,Numéros!$F$2:$F$3001,0))),""))</f>
        <v/>
      </c>
      <c r="M655" s="27" t="str">
        <f aca="false">IF(OR(G655="",G655="?"),"",IFERROR(INDEX(Pubs!$D$2:$D$3001,MATCH(G655,Pubs!$A$2:$A$3001,0))&amp;"",""))</f>
        <v/>
      </c>
      <c r="N655" s="27" t="n">
        <f aca="false">N(N654)+IF(AND(A655&lt;&gt;"",OR(Recherche!$C$4="",A655=Recherche!$C$4),OR(Recherche!$C$5="",B655&amp;""=Recherche!$C$5&amp;""),OR(Recherche!$C$6="",IFERROR(YEAR(L655),0)=Recherche!$C$6),OR(Recherche!$C$7="",ISNUMBER(SEARCH(Recherche!$C$7,H655))),OR(Recherche!$C$8="",J655=Recherche!$C$8),OR(Recherche!$C$9="",I655=Recherche!$C$9),OR(Recherche!$C$10="",G655&amp;""=Recherche!$C$10&amp;""),OR(Recherche!$C$11="",E655=Recherche!$C$11),OR(Recherche!$C$12="",ISNUMBER(SEARCH(Recherche!$C$12,M655&amp;" "&amp;F655)))),1,0)</f>
        <v>8</v>
      </c>
    </row>
    <row r="656" customFormat="false" ht="15" hidden="false" customHeight="false" outlineLevel="0" collapsed="false">
      <c r="A656" s="19"/>
      <c r="B656" s="19"/>
      <c r="C656" s="19"/>
      <c r="D656" s="19"/>
      <c r="E656" s="22"/>
      <c r="F656" s="19"/>
      <c r="G656" s="26" t="str">
        <f aca="false">IF(D656="","",IFERROR(VALUE(LEFT(D656,FIND(" |",D656&amp;" |")-1)),"?"))</f>
        <v/>
      </c>
      <c r="H656" s="27" t="str">
        <f aca="false">IF(G656="","",IF(G656="?","⚠ pub inconnue",IFERROR(INDEX(Pubs!$B$2:$B$3001,MATCH(G656,Pubs!$A$2:$A$3001,0))&amp;"","⚠ pub inconnue")))</f>
        <v/>
      </c>
      <c r="I656" s="27" t="str">
        <f aca="false">IF(OR(G656="",G656="?"),"",IFERROR(INDEX(Pubs!$C$2:$C$3001,MATCH(G656,Pubs!$A$2:$A$3001,0))&amp;"",""))</f>
        <v/>
      </c>
      <c r="J656" s="27" t="str">
        <f aca="false">IF(OR(G656="",G656="?"),"",IFERROR(INDEX(Pubs!$G$2:$G$3001,MATCH(G656,Pubs!$A$2:$A$3001,0))&amp;"",""))</f>
        <v/>
      </c>
      <c r="K656" s="28" t="str">
        <f aca="false">IF(OR(G656="",G656="?"),"",IFERROR(INDEX(Pubs!$E$2:$E$3001,MATCH(G656,Pubs!$A$2:$A$3001,0)),""))</f>
        <v/>
      </c>
      <c r="L656" s="29" t="str">
        <f aca="false">IF(A656="","",IFERROR(1/(1/INDEX(Numéros!$C$2:$C$3001,MATCH(A656&amp;"|"&amp;B656,Numéros!$F$2:$F$3001,0))),""))</f>
        <v/>
      </c>
      <c r="M656" s="27" t="str">
        <f aca="false">IF(OR(G656="",G656="?"),"",IFERROR(INDEX(Pubs!$D$2:$D$3001,MATCH(G656,Pubs!$A$2:$A$3001,0))&amp;"",""))</f>
        <v/>
      </c>
      <c r="N656" s="27" t="n">
        <f aca="false">N(N655)+IF(AND(A656&lt;&gt;"",OR(Recherche!$C$4="",A656=Recherche!$C$4),OR(Recherche!$C$5="",B656&amp;""=Recherche!$C$5&amp;""),OR(Recherche!$C$6="",IFERROR(YEAR(L656),0)=Recherche!$C$6),OR(Recherche!$C$7="",ISNUMBER(SEARCH(Recherche!$C$7,H656))),OR(Recherche!$C$8="",J656=Recherche!$C$8),OR(Recherche!$C$9="",I656=Recherche!$C$9),OR(Recherche!$C$10="",G656&amp;""=Recherche!$C$10&amp;""),OR(Recherche!$C$11="",E656=Recherche!$C$11),OR(Recherche!$C$12="",ISNUMBER(SEARCH(Recherche!$C$12,M656&amp;" "&amp;F656)))),1,0)</f>
        <v>8</v>
      </c>
    </row>
    <row r="657" customFormat="false" ht="15" hidden="false" customHeight="false" outlineLevel="0" collapsed="false">
      <c r="A657" s="19"/>
      <c r="B657" s="19"/>
      <c r="C657" s="19"/>
      <c r="D657" s="19"/>
      <c r="E657" s="22"/>
      <c r="F657" s="19"/>
      <c r="G657" s="26" t="str">
        <f aca="false">IF(D657="","",IFERROR(VALUE(LEFT(D657,FIND(" |",D657&amp;" |")-1)),"?"))</f>
        <v/>
      </c>
      <c r="H657" s="27" t="str">
        <f aca="false">IF(G657="","",IF(G657="?","⚠ pub inconnue",IFERROR(INDEX(Pubs!$B$2:$B$3001,MATCH(G657,Pubs!$A$2:$A$3001,0))&amp;"","⚠ pub inconnue")))</f>
        <v/>
      </c>
      <c r="I657" s="27" t="str">
        <f aca="false">IF(OR(G657="",G657="?"),"",IFERROR(INDEX(Pubs!$C$2:$C$3001,MATCH(G657,Pubs!$A$2:$A$3001,0))&amp;"",""))</f>
        <v/>
      </c>
      <c r="J657" s="27" t="str">
        <f aca="false">IF(OR(G657="",G657="?"),"",IFERROR(INDEX(Pubs!$G$2:$G$3001,MATCH(G657,Pubs!$A$2:$A$3001,0))&amp;"",""))</f>
        <v/>
      </c>
      <c r="K657" s="28" t="str">
        <f aca="false">IF(OR(G657="",G657="?"),"",IFERROR(INDEX(Pubs!$E$2:$E$3001,MATCH(G657,Pubs!$A$2:$A$3001,0)),""))</f>
        <v/>
      </c>
      <c r="L657" s="29" t="str">
        <f aca="false">IF(A657="","",IFERROR(1/(1/INDEX(Numéros!$C$2:$C$3001,MATCH(A657&amp;"|"&amp;B657,Numéros!$F$2:$F$3001,0))),""))</f>
        <v/>
      </c>
      <c r="M657" s="27" t="str">
        <f aca="false">IF(OR(G657="",G657="?"),"",IFERROR(INDEX(Pubs!$D$2:$D$3001,MATCH(G657,Pubs!$A$2:$A$3001,0))&amp;"",""))</f>
        <v/>
      </c>
      <c r="N657" s="27" t="n">
        <f aca="false">N(N656)+IF(AND(A657&lt;&gt;"",OR(Recherche!$C$4="",A657=Recherche!$C$4),OR(Recherche!$C$5="",B657&amp;""=Recherche!$C$5&amp;""),OR(Recherche!$C$6="",IFERROR(YEAR(L657),0)=Recherche!$C$6),OR(Recherche!$C$7="",ISNUMBER(SEARCH(Recherche!$C$7,H657))),OR(Recherche!$C$8="",J657=Recherche!$C$8),OR(Recherche!$C$9="",I657=Recherche!$C$9),OR(Recherche!$C$10="",G657&amp;""=Recherche!$C$10&amp;""),OR(Recherche!$C$11="",E657=Recherche!$C$11),OR(Recherche!$C$12="",ISNUMBER(SEARCH(Recherche!$C$12,M657&amp;" "&amp;F657)))),1,0)</f>
        <v>8</v>
      </c>
    </row>
    <row r="658" customFormat="false" ht="15" hidden="false" customHeight="false" outlineLevel="0" collapsed="false">
      <c r="A658" s="19"/>
      <c r="B658" s="19"/>
      <c r="C658" s="19"/>
      <c r="D658" s="19"/>
      <c r="E658" s="22"/>
      <c r="F658" s="19"/>
      <c r="G658" s="26" t="str">
        <f aca="false">IF(D658="","",IFERROR(VALUE(LEFT(D658,FIND(" |",D658&amp;" |")-1)),"?"))</f>
        <v/>
      </c>
      <c r="H658" s="27" t="str">
        <f aca="false">IF(G658="","",IF(G658="?","⚠ pub inconnue",IFERROR(INDEX(Pubs!$B$2:$B$3001,MATCH(G658,Pubs!$A$2:$A$3001,0))&amp;"","⚠ pub inconnue")))</f>
        <v/>
      </c>
      <c r="I658" s="27" t="str">
        <f aca="false">IF(OR(G658="",G658="?"),"",IFERROR(INDEX(Pubs!$C$2:$C$3001,MATCH(G658,Pubs!$A$2:$A$3001,0))&amp;"",""))</f>
        <v/>
      </c>
      <c r="J658" s="27" t="str">
        <f aca="false">IF(OR(G658="",G658="?"),"",IFERROR(INDEX(Pubs!$G$2:$G$3001,MATCH(G658,Pubs!$A$2:$A$3001,0))&amp;"",""))</f>
        <v/>
      </c>
      <c r="K658" s="28" t="str">
        <f aca="false">IF(OR(G658="",G658="?"),"",IFERROR(INDEX(Pubs!$E$2:$E$3001,MATCH(G658,Pubs!$A$2:$A$3001,0)),""))</f>
        <v/>
      </c>
      <c r="L658" s="29" t="str">
        <f aca="false">IF(A658="","",IFERROR(1/(1/INDEX(Numéros!$C$2:$C$3001,MATCH(A658&amp;"|"&amp;B658,Numéros!$F$2:$F$3001,0))),""))</f>
        <v/>
      </c>
      <c r="M658" s="27" t="str">
        <f aca="false">IF(OR(G658="",G658="?"),"",IFERROR(INDEX(Pubs!$D$2:$D$3001,MATCH(G658,Pubs!$A$2:$A$3001,0))&amp;"",""))</f>
        <v/>
      </c>
      <c r="N658" s="27" t="n">
        <f aca="false">N(N657)+IF(AND(A658&lt;&gt;"",OR(Recherche!$C$4="",A658=Recherche!$C$4),OR(Recherche!$C$5="",B658&amp;""=Recherche!$C$5&amp;""),OR(Recherche!$C$6="",IFERROR(YEAR(L658),0)=Recherche!$C$6),OR(Recherche!$C$7="",ISNUMBER(SEARCH(Recherche!$C$7,H658))),OR(Recherche!$C$8="",J658=Recherche!$C$8),OR(Recherche!$C$9="",I658=Recherche!$C$9),OR(Recherche!$C$10="",G658&amp;""=Recherche!$C$10&amp;""),OR(Recherche!$C$11="",E658=Recherche!$C$11),OR(Recherche!$C$12="",ISNUMBER(SEARCH(Recherche!$C$12,M658&amp;" "&amp;F658)))),1,0)</f>
        <v>8</v>
      </c>
    </row>
    <row r="659" customFormat="false" ht="15" hidden="false" customHeight="false" outlineLevel="0" collapsed="false">
      <c r="A659" s="19"/>
      <c r="B659" s="19"/>
      <c r="C659" s="19"/>
      <c r="D659" s="19"/>
      <c r="E659" s="22"/>
      <c r="F659" s="19"/>
      <c r="G659" s="26" t="str">
        <f aca="false">IF(D659="","",IFERROR(VALUE(LEFT(D659,FIND(" |",D659&amp;" |")-1)),"?"))</f>
        <v/>
      </c>
      <c r="H659" s="27" t="str">
        <f aca="false">IF(G659="","",IF(G659="?","⚠ pub inconnue",IFERROR(INDEX(Pubs!$B$2:$B$3001,MATCH(G659,Pubs!$A$2:$A$3001,0))&amp;"","⚠ pub inconnue")))</f>
        <v/>
      </c>
      <c r="I659" s="27" t="str">
        <f aca="false">IF(OR(G659="",G659="?"),"",IFERROR(INDEX(Pubs!$C$2:$C$3001,MATCH(G659,Pubs!$A$2:$A$3001,0))&amp;"",""))</f>
        <v/>
      </c>
      <c r="J659" s="27" t="str">
        <f aca="false">IF(OR(G659="",G659="?"),"",IFERROR(INDEX(Pubs!$G$2:$G$3001,MATCH(G659,Pubs!$A$2:$A$3001,0))&amp;"",""))</f>
        <v/>
      </c>
      <c r="K659" s="28" t="str">
        <f aca="false">IF(OR(G659="",G659="?"),"",IFERROR(INDEX(Pubs!$E$2:$E$3001,MATCH(G659,Pubs!$A$2:$A$3001,0)),""))</f>
        <v/>
      </c>
      <c r="L659" s="29" t="str">
        <f aca="false">IF(A659="","",IFERROR(1/(1/INDEX(Numéros!$C$2:$C$3001,MATCH(A659&amp;"|"&amp;B659,Numéros!$F$2:$F$3001,0))),""))</f>
        <v/>
      </c>
      <c r="M659" s="27" t="str">
        <f aca="false">IF(OR(G659="",G659="?"),"",IFERROR(INDEX(Pubs!$D$2:$D$3001,MATCH(G659,Pubs!$A$2:$A$3001,0))&amp;"",""))</f>
        <v/>
      </c>
      <c r="N659" s="27" t="n">
        <f aca="false">N(N658)+IF(AND(A659&lt;&gt;"",OR(Recherche!$C$4="",A659=Recherche!$C$4),OR(Recherche!$C$5="",B659&amp;""=Recherche!$C$5&amp;""),OR(Recherche!$C$6="",IFERROR(YEAR(L659),0)=Recherche!$C$6),OR(Recherche!$C$7="",ISNUMBER(SEARCH(Recherche!$C$7,H659))),OR(Recherche!$C$8="",J659=Recherche!$C$8),OR(Recherche!$C$9="",I659=Recherche!$C$9),OR(Recherche!$C$10="",G659&amp;""=Recherche!$C$10&amp;""),OR(Recherche!$C$11="",E659=Recherche!$C$11),OR(Recherche!$C$12="",ISNUMBER(SEARCH(Recherche!$C$12,M659&amp;" "&amp;F659)))),1,0)</f>
        <v>8</v>
      </c>
    </row>
    <row r="660" customFormat="false" ht="15" hidden="false" customHeight="false" outlineLevel="0" collapsed="false">
      <c r="A660" s="19"/>
      <c r="B660" s="19"/>
      <c r="C660" s="19"/>
      <c r="D660" s="19"/>
      <c r="E660" s="22"/>
      <c r="F660" s="19"/>
      <c r="G660" s="26" t="str">
        <f aca="false">IF(D660="","",IFERROR(VALUE(LEFT(D660,FIND(" |",D660&amp;" |")-1)),"?"))</f>
        <v/>
      </c>
      <c r="H660" s="27" t="str">
        <f aca="false">IF(G660="","",IF(G660="?","⚠ pub inconnue",IFERROR(INDEX(Pubs!$B$2:$B$3001,MATCH(G660,Pubs!$A$2:$A$3001,0))&amp;"","⚠ pub inconnue")))</f>
        <v/>
      </c>
      <c r="I660" s="27" t="str">
        <f aca="false">IF(OR(G660="",G660="?"),"",IFERROR(INDEX(Pubs!$C$2:$C$3001,MATCH(G660,Pubs!$A$2:$A$3001,0))&amp;"",""))</f>
        <v/>
      </c>
      <c r="J660" s="27" t="str">
        <f aca="false">IF(OR(G660="",G660="?"),"",IFERROR(INDEX(Pubs!$G$2:$G$3001,MATCH(G660,Pubs!$A$2:$A$3001,0))&amp;"",""))</f>
        <v/>
      </c>
      <c r="K660" s="28" t="str">
        <f aca="false">IF(OR(G660="",G660="?"),"",IFERROR(INDEX(Pubs!$E$2:$E$3001,MATCH(G660,Pubs!$A$2:$A$3001,0)),""))</f>
        <v/>
      </c>
      <c r="L660" s="29" t="str">
        <f aca="false">IF(A660="","",IFERROR(1/(1/INDEX(Numéros!$C$2:$C$3001,MATCH(A660&amp;"|"&amp;B660,Numéros!$F$2:$F$3001,0))),""))</f>
        <v/>
      </c>
      <c r="M660" s="27" t="str">
        <f aca="false">IF(OR(G660="",G660="?"),"",IFERROR(INDEX(Pubs!$D$2:$D$3001,MATCH(G660,Pubs!$A$2:$A$3001,0))&amp;"",""))</f>
        <v/>
      </c>
      <c r="N660" s="27" t="n">
        <f aca="false">N(N659)+IF(AND(A660&lt;&gt;"",OR(Recherche!$C$4="",A660=Recherche!$C$4),OR(Recherche!$C$5="",B660&amp;""=Recherche!$C$5&amp;""),OR(Recherche!$C$6="",IFERROR(YEAR(L660),0)=Recherche!$C$6),OR(Recherche!$C$7="",ISNUMBER(SEARCH(Recherche!$C$7,H660))),OR(Recherche!$C$8="",J660=Recherche!$C$8),OR(Recherche!$C$9="",I660=Recherche!$C$9),OR(Recherche!$C$10="",G660&amp;""=Recherche!$C$10&amp;""),OR(Recherche!$C$11="",E660=Recherche!$C$11),OR(Recherche!$C$12="",ISNUMBER(SEARCH(Recherche!$C$12,M660&amp;" "&amp;F660)))),1,0)</f>
        <v>8</v>
      </c>
    </row>
    <row r="661" customFormat="false" ht="15" hidden="false" customHeight="false" outlineLevel="0" collapsed="false">
      <c r="A661" s="19"/>
      <c r="B661" s="19"/>
      <c r="C661" s="19"/>
      <c r="D661" s="19"/>
      <c r="E661" s="22"/>
      <c r="F661" s="19"/>
      <c r="G661" s="26" t="str">
        <f aca="false">IF(D661="","",IFERROR(VALUE(LEFT(D661,FIND(" |",D661&amp;" |")-1)),"?"))</f>
        <v/>
      </c>
      <c r="H661" s="27" t="str">
        <f aca="false">IF(G661="","",IF(G661="?","⚠ pub inconnue",IFERROR(INDEX(Pubs!$B$2:$B$3001,MATCH(G661,Pubs!$A$2:$A$3001,0))&amp;"","⚠ pub inconnue")))</f>
        <v/>
      </c>
      <c r="I661" s="27" t="str">
        <f aca="false">IF(OR(G661="",G661="?"),"",IFERROR(INDEX(Pubs!$C$2:$C$3001,MATCH(G661,Pubs!$A$2:$A$3001,0))&amp;"",""))</f>
        <v/>
      </c>
      <c r="J661" s="27" t="str">
        <f aca="false">IF(OR(G661="",G661="?"),"",IFERROR(INDEX(Pubs!$G$2:$G$3001,MATCH(G661,Pubs!$A$2:$A$3001,0))&amp;"",""))</f>
        <v/>
      </c>
      <c r="K661" s="28" t="str">
        <f aca="false">IF(OR(G661="",G661="?"),"",IFERROR(INDEX(Pubs!$E$2:$E$3001,MATCH(G661,Pubs!$A$2:$A$3001,0)),""))</f>
        <v/>
      </c>
      <c r="L661" s="29" t="str">
        <f aca="false">IF(A661="","",IFERROR(1/(1/INDEX(Numéros!$C$2:$C$3001,MATCH(A661&amp;"|"&amp;B661,Numéros!$F$2:$F$3001,0))),""))</f>
        <v/>
      </c>
      <c r="M661" s="27" t="str">
        <f aca="false">IF(OR(G661="",G661="?"),"",IFERROR(INDEX(Pubs!$D$2:$D$3001,MATCH(G661,Pubs!$A$2:$A$3001,0))&amp;"",""))</f>
        <v/>
      </c>
      <c r="N661" s="27" t="n">
        <f aca="false">N(N660)+IF(AND(A661&lt;&gt;"",OR(Recherche!$C$4="",A661=Recherche!$C$4),OR(Recherche!$C$5="",B661&amp;""=Recherche!$C$5&amp;""),OR(Recherche!$C$6="",IFERROR(YEAR(L661),0)=Recherche!$C$6),OR(Recherche!$C$7="",ISNUMBER(SEARCH(Recherche!$C$7,H661))),OR(Recherche!$C$8="",J661=Recherche!$C$8),OR(Recherche!$C$9="",I661=Recherche!$C$9),OR(Recherche!$C$10="",G661&amp;""=Recherche!$C$10&amp;""),OR(Recherche!$C$11="",E661=Recherche!$C$11),OR(Recherche!$C$12="",ISNUMBER(SEARCH(Recherche!$C$12,M661&amp;" "&amp;F661)))),1,0)</f>
        <v>8</v>
      </c>
    </row>
    <row r="662" customFormat="false" ht="15" hidden="false" customHeight="false" outlineLevel="0" collapsed="false">
      <c r="A662" s="19"/>
      <c r="B662" s="19"/>
      <c r="C662" s="19"/>
      <c r="D662" s="19"/>
      <c r="E662" s="22"/>
      <c r="F662" s="19"/>
      <c r="G662" s="26" t="str">
        <f aca="false">IF(D662="","",IFERROR(VALUE(LEFT(D662,FIND(" |",D662&amp;" |")-1)),"?"))</f>
        <v/>
      </c>
      <c r="H662" s="27" t="str">
        <f aca="false">IF(G662="","",IF(G662="?","⚠ pub inconnue",IFERROR(INDEX(Pubs!$B$2:$B$3001,MATCH(G662,Pubs!$A$2:$A$3001,0))&amp;"","⚠ pub inconnue")))</f>
        <v/>
      </c>
      <c r="I662" s="27" t="str">
        <f aca="false">IF(OR(G662="",G662="?"),"",IFERROR(INDEX(Pubs!$C$2:$C$3001,MATCH(G662,Pubs!$A$2:$A$3001,0))&amp;"",""))</f>
        <v/>
      </c>
      <c r="J662" s="27" t="str">
        <f aca="false">IF(OR(G662="",G662="?"),"",IFERROR(INDEX(Pubs!$G$2:$G$3001,MATCH(G662,Pubs!$A$2:$A$3001,0))&amp;"",""))</f>
        <v/>
      </c>
      <c r="K662" s="28" t="str">
        <f aca="false">IF(OR(G662="",G662="?"),"",IFERROR(INDEX(Pubs!$E$2:$E$3001,MATCH(G662,Pubs!$A$2:$A$3001,0)),""))</f>
        <v/>
      </c>
      <c r="L662" s="29" t="str">
        <f aca="false">IF(A662="","",IFERROR(1/(1/INDEX(Numéros!$C$2:$C$3001,MATCH(A662&amp;"|"&amp;B662,Numéros!$F$2:$F$3001,0))),""))</f>
        <v/>
      </c>
      <c r="M662" s="27" t="str">
        <f aca="false">IF(OR(G662="",G662="?"),"",IFERROR(INDEX(Pubs!$D$2:$D$3001,MATCH(G662,Pubs!$A$2:$A$3001,0))&amp;"",""))</f>
        <v/>
      </c>
      <c r="N662" s="27" t="n">
        <f aca="false">N(N661)+IF(AND(A662&lt;&gt;"",OR(Recherche!$C$4="",A662=Recherche!$C$4),OR(Recherche!$C$5="",B662&amp;""=Recherche!$C$5&amp;""),OR(Recherche!$C$6="",IFERROR(YEAR(L662),0)=Recherche!$C$6),OR(Recherche!$C$7="",ISNUMBER(SEARCH(Recherche!$C$7,H662))),OR(Recherche!$C$8="",J662=Recherche!$C$8),OR(Recherche!$C$9="",I662=Recherche!$C$9),OR(Recherche!$C$10="",G662&amp;""=Recherche!$C$10&amp;""),OR(Recherche!$C$11="",E662=Recherche!$C$11),OR(Recherche!$C$12="",ISNUMBER(SEARCH(Recherche!$C$12,M662&amp;" "&amp;F662)))),1,0)</f>
        <v>8</v>
      </c>
    </row>
    <row r="663" customFormat="false" ht="15" hidden="false" customHeight="false" outlineLevel="0" collapsed="false">
      <c r="A663" s="19"/>
      <c r="B663" s="19"/>
      <c r="C663" s="19"/>
      <c r="D663" s="19"/>
      <c r="E663" s="22"/>
      <c r="F663" s="19"/>
      <c r="G663" s="26" t="str">
        <f aca="false">IF(D663="","",IFERROR(VALUE(LEFT(D663,FIND(" |",D663&amp;" |")-1)),"?"))</f>
        <v/>
      </c>
      <c r="H663" s="27" t="str">
        <f aca="false">IF(G663="","",IF(G663="?","⚠ pub inconnue",IFERROR(INDEX(Pubs!$B$2:$B$3001,MATCH(G663,Pubs!$A$2:$A$3001,0))&amp;"","⚠ pub inconnue")))</f>
        <v/>
      </c>
      <c r="I663" s="27" t="str">
        <f aca="false">IF(OR(G663="",G663="?"),"",IFERROR(INDEX(Pubs!$C$2:$C$3001,MATCH(G663,Pubs!$A$2:$A$3001,0))&amp;"",""))</f>
        <v/>
      </c>
      <c r="J663" s="27" t="str">
        <f aca="false">IF(OR(G663="",G663="?"),"",IFERROR(INDEX(Pubs!$G$2:$G$3001,MATCH(G663,Pubs!$A$2:$A$3001,0))&amp;"",""))</f>
        <v/>
      </c>
      <c r="K663" s="28" t="str">
        <f aca="false">IF(OR(G663="",G663="?"),"",IFERROR(INDEX(Pubs!$E$2:$E$3001,MATCH(G663,Pubs!$A$2:$A$3001,0)),""))</f>
        <v/>
      </c>
      <c r="L663" s="29" t="str">
        <f aca="false">IF(A663="","",IFERROR(1/(1/INDEX(Numéros!$C$2:$C$3001,MATCH(A663&amp;"|"&amp;B663,Numéros!$F$2:$F$3001,0))),""))</f>
        <v/>
      </c>
      <c r="M663" s="27" t="str">
        <f aca="false">IF(OR(G663="",G663="?"),"",IFERROR(INDEX(Pubs!$D$2:$D$3001,MATCH(G663,Pubs!$A$2:$A$3001,0))&amp;"",""))</f>
        <v/>
      </c>
      <c r="N663" s="27" t="n">
        <f aca="false">N(N662)+IF(AND(A663&lt;&gt;"",OR(Recherche!$C$4="",A663=Recherche!$C$4),OR(Recherche!$C$5="",B663&amp;""=Recherche!$C$5&amp;""),OR(Recherche!$C$6="",IFERROR(YEAR(L663),0)=Recherche!$C$6),OR(Recherche!$C$7="",ISNUMBER(SEARCH(Recherche!$C$7,H663))),OR(Recherche!$C$8="",J663=Recherche!$C$8),OR(Recherche!$C$9="",I663=Recherche!$C$9),OR(Recherche!$C$10="",G663&amp;""=Recherche!$C$10&amp;""),OR(Recherche!$C$11="",E663=Recherche!$C$11),OR(Recherche!$C$12="",ISNUMBER(SEARCH(Recherche!$C$12,M663&amp;" "&amp;F663)))),1,0)</f>
        <v>8</v>
      </c>
    </row>
    <row r="664" customFormat="false" ht="15" hidden="false" customHeight="false" outlineLevel="0" collapsed="false">
      <c r="A664" s="19"/>
      <c r="B664" s="19"/>
      <c r="C664" s="19"/>
      <c r="D664" s="19"/>
      <c r="E664" s="22"/>
      <c r="F664" s="19"/>
      <c r="G664" s="26" t="str">
        <f aca="false">IF(D664="","",IFERROR(VALUE(LEFT(D664,FIND(" |",D664&amp;" |")-1)),"?"))</f>
        <v/>
      </c>
      <c r="H664" s="27" t="str">
        <f aca="false">IF(G664="","",IF(G664="?","⚠ pub inconnue",IFERROR(INDEX(Pubs!$B$2:$B$3001,MATCH(G664,Pubs!$A$2:$A$3001,0))&amp;"","⚠ pub inconnue")))</f>
        <v/>
      </c>
      <c r="I664" s="27" t="str">
        <f aca="false">IF(OR(G664="",G664="?"),"",IFERROR(INDEX(Pubs!$C$2:$C$3001,MATCH(G664,Pubs!$A$2:$A$3001,0))&amp;"",""))</f>
        <v/>
      </c>
      <c r="J664" s="27" t="str">
        <f aca="false">IF(OR(G664="",G664="?"),"",IFERROR(INDEX(Pubs!$G$2:$G$3001,MATCH(G664,Pubs!$A$2:$A$3001,0))&amp;"",""))</f>
        <v/>
      </c>
      <c r="K664" s="28" t="str">
        <f aca="false">IF(OR(G664="",G664="?"),"",IFERROR(INDEX(Pubs!$E$2:$E$3001,MATCH(G664,Pubs!$A$2:$A$3001,0)),""))</f>
        <v/>
      </c>
      <c r="L664" s="29" t="str">
        <f aca="false">IF(A664="","",IFERROR(1/(1/INDEX(Numéros!$C$2:$C$3001,MATCH(A664&amp;"|"&amp;B664,Numéros!$F$2:$F$3001,0))),""))</f>
        <v/>
      </c>
      <c r="M664" s="27" t="str">
        <f aca="false">IF(OR(G664="",G664="?"),"",IFERROR(INDEX(Pubs!$D$2:$D$3001,MATCH(G664,Pubs!$A$2:$A$3001,0))&amp;"",""))</f>
        <v/>
      </c>
      <c r="N664" s="27" t="n">
        <f aca="false">N(N663)+IF(AND(A664&lt;&gt;"",OR(Recherche!$C$4="",A664=Recherche!$C$4),OR(Recherche!$C$5="",B664&amp;""=Recherche!$C$5&amp;""),OR(Recherche!$C$6="",IFERROR(YEAR(L664),0)=Recherche!$C$6),OR(Recherche!$C$7="",ISNUMBER(SEARCH(Recherche!$C$7,H664))),OR(Recherche!$C$8="",J664=Recherche!$C$8),OR(Recherche!$C$9="",I664=Recherche!$C$9),OR(Recherche!$C$10="",G664&amp;""=Recherche!$C$10&amp;""),OR(Recherche!$C$11="",E664=Recherche!$C$11),OR(Recherche!$C$12="",ISNUMBER(SEARCH(Recherche!$C$12,M664&amp;" "&amp;F664)))),1,0)</f>
        <v>8</v>
      </c>
    </row>
    <row r="665" customFormat="false" ht="15" hidden="false" customHeight="false" outlineLevel="0" collapsed="false">
      <c r="A665" s="19"/>
      <c r="B665" s="19"/>
      <c r="C665" s="19"/>
      <c r="D665" s="19"/>
      <c r="E665" s="22"/>
      <c r="F665" s="19"/>
      <c r="G665" s="26" t="str">
        <f aca="false">IF(D665="","",IFERROR(VALUE(LEFT(D665,FIND(" |",D665&amp;" |")-1)),"?"))</f>
        <v/>
      </c>
      <c r="H665" s="27" t="str">
        <f aca="false">IF(G665="","",IF(G665="?","⚠ pub inconnue",IFERROR(INDEX(Pubs!$B$2:$B$3001,MATCH(G665,Pubs!$A$2:$A$3001,0))&amp;"","⚠ pub inconnue")))</f>
        <v/>
      </c>
      <c r="I665" s="27" t="str">
        <f aca="false">IF(OR(G665="",G665="?"),"",IFERROR(INDEX(Pubs!$C$2:$C$3001,MATCH(G665,Pubs!$A$2:$A$3001,0))&amp;"",""))</f>
        <v/>
      </c>
      <c r="J665" s="27" t="str">
        <f aca="false">IF(OR(G665="",G665="?"),"",IFERROR(INDEX(Pubs!$G$2:$G$3001,MATCH(G665,Pubs!$A$2:$A$3001,0))&amp;"",""))</f>
        <v/>
      </c>
      <c r="K665" s="28" t="str">
        <f aca="false">IF(OR(G665="",G665="?"),"",IFERROR(INDEX(Pubs!$E$2:$E$3001,MATCH(G665,Pubs!$A$2:$A$3001,0)),""))</f>
        <v/>
      </c>
      <c r="L665" s="29" t="str">
        <f aca="false">IF(A665="","",IFERROR(1/(1/INDEX(Numéros!$C$2:$C$3001,MATCH(A665&amp;"|"&amp;B665,Numéros!$F$2:$F$3001,0))),""))</f>
        <v/>
      </c>
      <c r="M665" s="27" t="str">
        <f aca="false">IF(OR(G665="",G665="?"),"",IFERROR(INDEX(Pubs!$D$2:$D$3001,MATCH(G665,Pubs!$A$2:$A$3001,0))&amp;"",""))</f>
        <v/>
      </c>
      <c r="N665" s="27" t="n">
        <f aca="false">N(N664)+IF(AND(A665&lt;&gt;"",OR(Recherche!$C$4="",A665=Recherche!$C$4),OR(Recherche!$C$5="",B665&amp;""=Recherche!$C$5&amp;""),OR(Recherche!$C$6="",IFERROR(YEAR(L665),0)=Recherche!$C$6),OR(Recherche!$C$7="",ISNUMBER(SEARCH(Recherche!$C$7,H665))),OR(Recherche!$C$8="",J665=Recherche!$C$8),OR(Recherche!$C$9="",I665=Recherche!$C$9),OR(Recherche!$C$10="",G665&amp;""=Recherche!$C$10&amp;""),OR(Recherche!$C$11="",E665=Recherche!$C$11),OR(Recherche!$C$12="",ISNUMBER(SEARCH(Recherche!$C$12,M665&amp;" "&amp;F665)))),1,0)</f>
        <v>8</v>
      </c>
    </row>
    <row r="666" customFormat="false" ht="15" hidden="false" customHeight="false" outlineLevel="0" collapsed="false">
      <c r="A666" s="19"/>
      <c r="B666" s="19"/>
      <c r="C666" s="19"/>
      <c r="D666" s="19"/>
      <c r="E666" s="22"/>
      <c r="F666" s="19"/>
      <c r="G666" s="26" t="str">
        <f aca="false">IF(D666="","",IFERROR(VALUE(LEFT(D666,FIND(" |",D666&amp;" |")-1)),"?"))</f>
        <v/>
      </c>
      <c r="H666" s="27" t="str">
        <f aca="false">IF(G666="","",IF(G666="?","⚠ pub inconnue",IFERROR(INDEX(Pubs!$B$2:$B$3001,MATCH(G666,Pubs!$A$2:$A$3001,0))&amp;"","⚠ pub inconnue")))</f>
        <v/>
      </c>
      <c r="I666" s="27" t="str">
        <f aca="false">IF(OR(G666="",G666="?"),"",IFERROR(INDEX(Pubs!$C$2:$C$3001,MATCH(G666,Pubs!$A$2:$A$3001,0))&amp;"",""))</f>
        <v/>
      </c>
      <c r="J666" s="27" t="str">
        <f aca="false">IF(OR(G666="",G666="?"),"",IFERROR(INDEX(Pubs!$G$2:$G$3001,MATCH(G666,Pubs!$A$2:$A$3001,0))&amp;"",""))</f>
        <v/>
      </c>
      <c r="K666" s="28" t="str">
        <f aca="false">IF(OR(G666="",G666="?"),"",IFERROR(INDEX(Pubs!$E$2:$E$3001,MATCH(G666,Pubs!$A$2:$A$3001,0)),""))</f>
        <v/>
      </c>
      <c r="L666" s="29" t="str">
        <f aca="false">IF(A666="","",IFERROR(1/(1/INDEX(Numéros!$C$2:$C$3001,MATCH(A666&amp;"|"&amp;B666,Numéros!$F$2:$F$3001,0))),""))</f>
        <v/>
      </c>
      <c r="M666" s="27" t="str">
        <f aca="false">IF(OR(G666="",G666="?"),"",IFERROR(INDEX(Pubs!$D$2:$D$3001,MATCH(G666,Pubs!$A$2:$A$3001,0))&amp;"",""))</f>
        <v/>
      </c>
      <c r="N666" s="27" t="n">
        <f aca="false">N(N665)+IF(AND(A666&lt;&gt;"",OR(Recherche!$C$4="",A666=Recherche!$C$4),OR(Recherche!$C$5="",B666&amp;""=Recherche!$C$5&amp;""),OR(Recherche!$C$6="",IFERROR(YEAR(L666),0)=Recherche!$C$6),OR(Recherche!$C$7="",ISNUMBER(SEARCH(Recherche!$C$7,H666))),OR(Recherche!$C$8="",J666=Recherche!$C$8),OR(Recherche!$C$9="",I666=Recherche!$C$9),OR(Recherche!$C$10="",G666&amp;""=Recherche!$C$10&amp;""),OR(Recherche!$C$11="",E666=Recherche!$C$11),OR(Recherche!$C$12="",ISNUMBER(SEARCH(Recherche!$C$12,M666&amp;" "&amp;F666)))),1,0)</f>
        <v>8</v>
      </c>
    </row>
    <row r="667" customFormat="false" ht="15" hidden="false" customHeight="false" outlineLevel="0" collapsed="false">
      <c r="A667" s="19"/>
      <c r="B667" s="19"/>
      <c r="C667" s="19"/>
      <c r="D667" s="19"/>
      <c r="E667" s="22"/>
      <c r="F667" s="19"/>
      <c r="G667" s="26" t="str">
        <f aca="false">IF(D667="","",IFERROR(VALUE(LEFT(D667,FIND(" |",D667&amp;" |")-1)),"?"))</f>
        <v/>
      </c>
      <c r="H667" s="27" t="str">
        <f aca="false">IF(G667="","",IF(G667="?","⚠ pub inconnue",IFERROR(INDEX(Pubs!$B$2:$B$3001,MATCH(G667,Pubs!$A$2:$A$3001,0))&amp;"","⚠ pub inconnue")))</f>
        <v/>
      </c>
      <c r="I667" s="27" t="str">
        <f aca="false">IF(OR(G667="",G667="?"),"",IFERROR(INDEX(Pubs!$C$2:$C$3001,MATCH(G667,Pubs!$A$2:$A$3001,0))&amp;"",""))</f>
        <v/>
      </c>
      <c r="J667" s="27" t="str">
        <f aca="false">IF(OR(G667="",G667="?"),"",IFERROR(INDEX(Pubs!$G$2:$G$3001,MATCH(G667,Pubs!$A$2:$A$3001,0))&amp;"",""))</f>
        <v/>
      </c>
      <c r="K667" s="28" t="str">
        <f aca="false">IF(OR(G667="",G667="?"),"",IFERROR(INDEX(Pubs!$E$2:$E$3001,MATCH(G667,Pubs!$A$2:$A$3001,0)),""))</f>
        <v/>
      </c>
      <c r="L667" s="29" t="str">
        <f aca="false">IF(A667="","",IFERROR(1/(1/INDEX(Numéros!$C$2:$C$3001,MATCH(A667&amp;"|"&amp;B667,Numéros!$F$2:$F$3001,0))),""))</f>
        <v/>
      </c>
      <c r="M667" s="27" t="str">
        <f aca="false">IF(OR(G667="",G667="?"),"",IFERROR(INDEX(Pubs!$D$2:$D$3001,MATCH(G667,Pubs!$A$2:$A$3001,0))&amp;"",""))</f>
        <v/>
      </c>
      <c r="N667" s="27" t="n">
        <f aca="false">N(N666)+IF(AND(A667&lt;&gt;"",OR(Recherche!$C$4="",A667=Recherche!$C$4),OR(Recherche!$C$5="",B667&amp;""=Recherche!$C$5&amp;""),OR(Recherche!$C$6="",IFERROR(YEAR(L667),0)=Recherche!$C$6),OR(Recherche!$C$7="",ISNUMBER(SEARCH(Recherche!$C$7,H667))),OR(Recherche!$C$8="",J667=Recherche!$C$8),OR(Recherche!$C$9="",I667=Recherche!$C$9),OR(Recherche!$C$10="",G667&amp;""=Recherche!$C$10&amp;""),OR(Recherche!$C$11="",E667=Recherche!$C$11),OR(Recherche!$C$12="",ISNUMBER(SEARCH(Recherche!$C$12,M667&amp;" "&amp;F667)))),1,0)</f>
        <v>8</v>
      </c>
    </row>
    <row r="668" customFormat="false" ht="15" hidden="false" customHeight="false" outlineLevel="0" collapsed="false">
      <c r="A668" s="19"/>
      <c r="B668" s="19"/>
      <c r="C668" s="19"/>
      <c r="D668" s="19"/>
      <c r="E668" s="22"/>
      <c r="F668" s="19"/>
      <c r="G668" s="26" t="str">
        <f aca="false">IF(D668="","",IFERROR(VALUE(LEFT(D668,FIND(" |",D668&amp;" |")-1)),"?"))</f>
        <v/>
      </c>
      <c r="H668" s="27" t="str">
        <f aca="false">IF(G668="","",IF(G668="?","⚠ pub inconnue",IFERROR(INDEX(Pubs!$B$2:$B$3001,MATCH(G668,Pubs!$A$2:$A$3001,0))&amp;"","⚠ pub inconnue")))</f>
        <v/>
      </c>
      <c r="I668" s="27" t="str">
        <f aca="false">IF(OR(G668="",G668="?"),"",IFERROR(INDEX(Pubs!$C$2:$C$3001,MATCH(G668,Pubs!$A$2:$A$3001,0))&amp;"",""))</f>
        <v/>
      </c>
      <c r="J668" s="27" t="str">
        <f aca="false">IF(OR(G668="",G668="?"),"",IFERROR(INDEX(Pubs!$G$2:$G$3001,MATCH(G668,Pubs!$A$2:$A$3001,0))&amp;"",""))</f>
        <v/>
      </c>
      <c r="K668" s="28" t="str">
        <f aca="false">IF(OR(G668="",G668="?"),"",IFERROR(INDEX(Pubs!$E$2:$E$3001,MATCH(G668,Pubs!$A$2:$A$3001,0)),""))</f>
        <v/>
      </c>
      <c r="L668" s="29" t="str">
        <f aca="false">IF(A668="","",IFERROR(1/(1/INDEX(Numéros!$C$2:$C$3001,MATCH(A668&amp;"|"&amp;B668,Numéros!$F$2:$F$3001,0))),""))</f>
        <v/>
      </c>
      <c r="M668" s="27" t="str">
        <f aca="false">IF(OR(G668="",G668="?"),"",IFERROR(INDEX(Pubs!$D$2:$D$3001,MATCH(G668,Pubs!$A$2:$A$3001,0))&amp;"",""))</f>
        <v/>
      </c>
      <c r="N668" s="27" t="n">
        <f aca="false">N(N667)+IF(AND(A668&lt;&gt;"",OR(Recherche!$C$4="",A668=Recherche!$C$4),OR(Recherche!$C$5="",B668&amp;""=Recherche!$C$5&amp;""),OR(Recherche!$C$6="",IFERROR(YEAR(L668),0)=Recherche!$C$6),OR(Recherche!$C$7="",ISNUMBER(SEARCH(Recherche!$C$7,H668))),OR(Recherche!$C$8="",J668=Recherche!$C$8),OR(Recherche!$C$9="",I668=Recherche!$C$9),OR(Recherche!$C$10="",G668&amp;""=Recherche!$C$10&amp;""),OR(Recherche!$C$11="",E668=Recherche!$C$11),OR(Recherche!$C$12="",ISNUMBER(SEARCH(Recherche!$C$12,M668&amp;" "&amp;F668)))),1,0)</f>
        <v>8</v>
      </c>
    </row>
    <row r="669" customFormat="false" ht="15" hidden="false" customHeight="false" outlineLevel="0" collapsed="false">
      <c r="A669" s="19"/>
      <c r="B669" s="19"/>
      <c r="C669" s="19"/>
      <c r="D669" s="19"/>
      <c r="E669" s="22"/>
      <c r="F669" s="19"/>
      <c r="G669" s="26" t="str">
        <f aca="false">IF(D669="","",IFERROR(VALUE(LEFT(D669,FIND(" |",D669&amp;" |")-1)),"?"))</f>
        <v/>
      </c>
      <c r="H669" s="27" t="str">
        <f aca="false">IF(G669="","",IF(G669="?","⚠ pub inconnue",IFERROR(INDEX(Pubs!$B$2:$B$3001,MATCH(G669,Pubs!$A$2:$A$3001,0))&amp;"","⚠ pub inconnue")))</f>
        <v/>
      </c>
      <c r="I669" s="27" t="str">
        <f aca="false">IF(OR(G669="",G669="?"),"",IFERROR(INDEX(Pubs!$C$2:$C$3001,MATCH(G669,Pubs!$A$2:$A$3001,0))&amp;"",""))</f>
        <v/>
      </c>
      <c r="J669" s="27" t="str">
        <f aca="false">IF(OR(G669="",G669="?"),"",IFERROR(INDEX(Pubs!$G$2:$G$3001,MATCH(G669,Pubs!$A$2:$A$3001,0))&amp;"",""))</f>
        <v/>
      </c>
      <c r="K669" s="28" t="str">
        <f aca="false">IF(OR(G669="",G669="?"),"",IFERROR(INDEX(Pubs!$E$2:$E$3001,MATCH(G669,Pubs!$A$2:$A$3001,0)),""))</f>
        <v/>
      </c>
      <c r="L669" s="29" t="str">
        <f aca="false">IF(A669="","",IFERROR(1/(1/INDEX(Numéros!$C$2:$C$3001,MATCH(A669&amp;"|"&amp;B669,Numéros!$F$2:$F$3001,0))),""))</f>
        <v/>
      </c>
      <c r="M669" s="27" t="str">
        <f aca="false">IF(OR(G669="",G669="?"),"",IFERROR(INDEX(Pubs!$D$2:$D$3001,MATCH(G669,Pubs!$A$2:$A$3001,0))&amp;"",""))</f>
        <v/>
      </c>
      <c r="N669" s="27" t="n">
        <f aca="false">N(N668)+IF(AND(A669&lt;&gt;"",OR(Recherche!$C$4="",A669=Recherche!$C$4),OR(Recherche!$C$5="",B669&amp;""=Recherche!$C$5&amp;""),OR(Recherche!$C$6="",IFERROR(YEAR(L669),0)=Recherche!$C$6),OR(Recherche!$C$7="",ISNUMBER(SEARCH(Recherche!$C$7,H669))),OR(Recherche!$C$8="",J669=Recherche!$C$8),OR(Recherche!$C$9="",I669=Recherche!$C$9),OR(Recherche!$C$10="",G669&amp;""=Recherche!$C$10&amp;""),OR(Recherche!$C$11="",E669=Recherche!$C$11),OR(Recherche!$C$12="",ISNUMBER(SEARCH(Recherche!$C$12,M669&amp;" "&amp;F669)))),1,0)</f>
        <v>8</v>
      </c>
    </row>
    <row r="670" customFormat="false" ht="15" hidden="false" customHeight="false" outlineLevel="0" collapsed="false">
      <c r="A670" s="19"/>
      <c r="B670" s="19"/>
      <c r="C670" s="19"/>
      <c r="D670" s="19"/>
      <c r="E670" s="22"/>
      <c r="F670" s="19"/>
      <c r="G670" s="26" t="str">
        <f aca="false">IF(D670="","",IFERROR(VALUE(LEFT(D670,FIND(" |",D670&amp;" |")-1)),"?"))</f>
        <v/>
      </c>
      <c r="H670" s="27" t="str">
        <f aca="false">IF(G670="","",IF(G670="?","⚠ pub inconnue",IFERROR(INDEX(Pubs!$B$2:$B$3001,MATCH(G670,Pubs!$A$2:$A$3001,0))&amp;"","⚠ pub inconnue")))</f>
        <v/>
      </c>
      <c r="I670" s="27" t="str">
        <f aca="false">IF(OR(G670="",G670="?"),"",IFERROR(INDEX(Pubs!$C$2:$C$3001,MATCH(G670,Pubs!$A$2:$A$3001,0))&amp;"",""))</f>
        <v/>
      </c>
      <c r="J670" s="27" t="str">
        <f aca="false">IF(OR(G670="",G670="?"),"",IFERROR(INDEX(Pubs!$G$2:$G$3001,MATCH(G670,Pubs!$A$2:$A$3001,0))&amp;"",""))</f>
        <v/>
      </c>
      <c r="K670" s="28" t="str">
        <f aca="false">IF(OR(G670="",G670="?"),"",IFERROR(INDEX(Pubs!$E$2:$E$3001,MATCH(G670,Pubs!$A$2:$A$3001,0)),""))</f>
        <v/>
      </c>
      <c r="L670" s="29" t="str">
        <f aca="false">IF(A670="","",IFERROR(1/(1/INDEX(Numéros!$C$2:$C$3001,MATCH(A670&amp;"|"&amp;B670,Numéros!$F$2:$F$3001,0))),""))</f>
        <v/>
      </c>
      <c r="M670" s="27" t="str">
        <f aca="false">IF(OR(G670="",G670="?"),"",IFERROR(INDEX(Pubs!$D$2:$D$3001,MATCH(G670,Pubs!$A$2:$A$3001,0))&amp;"",""))</f>
        <v/>
      </c>
      <c r="N670" s="27" t="n">
        <f aca="false">N(N669)+IF(AND(A670&lt;&gt;"",OR(Recherche!$C$4="",A670=Recherche!$C$4),OR(Recherche!$C$5="",B670&amp;""=Recherche!$C$5&amp;""),OR(Recherche!$C$6="",IFERROR(YEAR(L670),0)=Recherche!$C$6),OR(Recherche!$C$7="",ISNUMBER(SEARCH(Recherche!$C$7,H670))),OR(Recherche!$C$8="",J670=Recherche!$C$8),OR(Recherche!$C$9="",I670=Recherche!$C$9),OR(Recherche!$C$10="",G670&amp;""=Recherche!$C$10&amp;""),OR(Recherche!$C$11="",E670=Recherche!$C$11),OR(Recherche!$C$12="",ISNUMBER(SEARCH(Recherche!$C$12,M670&amp;" "&amp;F670)))),1,0)</f>
        <v>8</v>
      </c>
    </row>
    <row r="671" customFormat="false" ht="15" hidden="false" customHeight="false" outlineLevel="0" collapsed="false">
      <c r="A671" s="19"/>
      <c r="B671" s="19"/>
      <c r="C671" s="19"/>
      <c r="D671" s="19"/>
      <c r="E671" s="22"/>
      <c r="F671" s="19"/>
      <c r="G671" s="26" t="str">
        <f aca="false">IF(D671="","",IFERROR(VALUE(LEFT(D671,FIND(" |",D671&amp;" |")-1)),"?"))</f>
        <v/>
      </c>
      <c r="H671" s="27" t="str">
        <f aca="false">IF(G671="","",IF(G671="?","⚠ pub inconnue",IFERROR(INDEX(Pubs!$B$2:$B$3001,MATCH(G671,Pubs!$A$2:$A$3001,0))&amp;"","⚠ pub inconnue")))</f>
        <v/>
      </c>
      <c r="I671" s="27" t="str">
        <f aca="false">IF(OR(G671="",G671="?"),"",IFERROR(INDEX(Pubs!$C$2:$C$3001,MATCH(G671,Pubs!$A$2:$A$3001,0))&amp;"",""))</f>
        <v/>
      </c>
      <c r="J671" s="27" t="str">
        <f aca="false">IF(OR(G671="",G671="?"),"",IFERROR(INDEX(Pubs!$G$2:$G$3001,MATCH(G671,Pubs!$A$2:$A$3001,0))&amp;"",""))</f>
        <v/>
      </c>
      <c r="K671" s="28" t="str">
        <f aca="false">IF(OR(G671="",G671="?"),"",IFERROR(INDEX(Pubs!$E$2:$E$3001,MATCH(G671,Pubs!$A$2:$A$3001,0)),""))</f>
        <v/>
      </c>
      <c r="L671" s="29" t="str">
        <f aca="false">IF(A671="","",IFERROR(1/(1/INDEX(Numéros!$C$2:$C$3001,MATCH(A671&amp;"|"&amp;B671,Numéros!$F$2:$F$3001,0))),""))</f>
        <v/>
      </c>
      <c r="M671" s="27" t="str">
        <f aca="false">IF(OR(G671="",G671="?"),"",IFERROR(INDEX(Pubs!$D$2:$D$3001,MATCH(G671,Pubs!$A$2:$A$3001,0))&amp;"",""))</f>
        <v/>
      </c>
      <c r="N671" s="27" t="n">
        <f aca="false">N(N670)+IF(AND(A671&lt;&gt;"",OR(Recherche!$C$4="",A671=Recherche!$C$4),OR(Recherche!$C$5="",B671&amp;""=Recherche!$C$5&amp;""),OR(Recherche!$C$6="",IFERROR(YEAR(L671),0)=Recherche!$C$6),OR(Recherche!$C$7="",ISNUMBER(SEARCH(Recherche!$C$7,H671))),OR(Recherche!$C$8="",J671=Recherche!$C$8),OR(Recherche!$C$9="",I671=Recherche!$C$9),OR(Recherche!$C$10="",G671&amp;""=Recherche!$C$10&amp;""),OR(Recherche!$C$11="",E671=Recherche!$C$11),OR(Recherche!$C$12="",ISNUMBER(SEARCH(Recherche!$C$12,M671&amp;" "&amp;F671)))),1,0)</f>
        <v>8</v>
      </c>
    </row>
    <row r="672" customFormat="false" ht="15" hidden="false" customHeight="false" outlineLevel="0" collapsed="false">
      <c r="A672" s="19"/>
      <c r="B672" s="19"/>
      <c r="C672" s="19"/>
      <c r="D672" s="19"/>
      <c r="E672" s="22"/>
      <c r="F672" s="19"/>
      <c r="G672" s="26" t="str">
        <f aca="false">IF(D672="","",IFERROR(VALUE(LEFT(D672,FIND(" |",D672&amp;" |")-1)),"?"))</f>
        <v/>
      </c>
      <c r="H672" s="27" t="str">
        <f aca="false">IF(G672="","",IF(G672="?","⚠ pub inconnue",IFERROR(INDEX(Pubs!$B$2:$B$3001,MATCH(G672,Pubs!$A$2:$A$3001,0))&amp;"","⚠ pub inconnue")))</f>
        <v/>
      </c>
      <c r="I672" s="27" t="str">
        <f aca="false">IF(OR(G672="",G672="?"),"",IFERROR(INDEX(Pubs!$C$2:$C$3001,MATCH(G672,Pubs!$A$2:$A$3001,0))&amp;"",""))</f>
        <v/>
      </c>
      <c r="J672" s="27" t="str">
        <f aca="false">IF(OR(G672="",G672="?"),"",IFERROR(INDEX(Pubs!$G$2:$G$3001,MATCH(G672,Pubs!$A$2:$A$3001,0))&amp;"",""))</f>
        <v/>
      </c>
      <c r="K672" s="28" t="str">
        <f aca="false">IF(OR(G672="",G672="?"),"",IFERROR(INDEX(Pubs!$E$2:$E$3001,MATCH(G672,Pubs!$A$2:$A$3001,0)),""))</f>
        <v/>
      </c>
      <c r="L672" s="29" t="str">
        <f aca="false">IF(A672="","",IFERROR(1/(1/INDEX(Numéros!$C$2:$C$3001,MATCH(A672&amp;"|"&amp;B672,Numéros!$F$2:$F$3001,0))),""))</f>
        <v/>
      </c>
      <c r="M672" s="27" t="str">
        <f aca="false">IF(OR(G672="",G672="?"),"",IFERROR(INDEX(Pubs!$D$2:$D$3001,MATCH(G672,Pubs!$A$2:$A$3001,0))&amp;"",""))</f>
        <v/>
      </c>
      <c r="N672" s="27" t="n">
        <f aca="false">N(N671)+IF(AND(A672&lt;&gt;"",OR(Recherche!$C$4="",A672=Recherche!$C$4),OR(Recherche!$C$5="",B672&amp;""=Recherche!$C$5&amp;""),OR(Recherche!$C$6="",IFERROR(YEAR(L672),0)=Recherche!$C$6),OR(Recherche!$C$7="",ISNUMBER(SEARCH(Recherche!$C$7,H672))),OR(Recherche!$C$8="",J672=Recherche!$C$8),OR(Recherche!$C$9="",I672=Recherche!$C$9),OR(Recherche!$C$10="",G672&amp;""=Recherche!$C$10&amp;""),OR(Recherche!$C$11="",E672=Recherche!$C$11),OR(Recherche!$C$12="",ISNUMBER(SEARCH(Recherche!$C$12,M672&amp;" "&amp;F672)))),1,0)</f>
        <v>8</v>
      </c>
    </row>
    <row r="673" customFormat="false" ht="15" hidden="false" customHeight="false" outlineLevel="0" collapsed="false">
      <c r="A673" s="19"/>
      <c r="B673" s="19"/>
      <c r="C673" s="19"/>
      <c r="D673" s="19"/>
      <c r="E673" s="22"/>
      <c r="F673" s="19"/>
      <c r="G673" s="26" t="str">
        <f aca="false">IF(D673="","",IFERROR(VALUE(LEFT(D673,FIND(" |",D673&amp;" |")-1)),"?"))</f>
        <v/>
      </c>
      <c r="H673" s="27" t="str">
        <f aca="false">IF(G673="","",IF(G673="?","⚠ pub inconnue",IFERROR(INDEX(Pubs!$B$2:$B$3001,MATCH(G673,Pubs!$A$2:$A$3001,0))&amp;"","⚠ pub inconnue")))</f>
        <v/>
      </c>
      <c r="I673" s="27" t="str">
        <f aca="false">IF(OR(G673="",G673="?"),"",IFERROR(INDEX(Pubs!$C$2:$C$3001,MATCH(G673,Pubs!$A$2:$A$3001,0))&amp;"",""))</f>
        <v/>
      </c>
      <c r="J673" s="27" t="str">
        <f aca="false">IF(OR(G673="",G673="?"),"",IFERROR(INDEX(Pubs!$G$2:$G$3001,MATCH(G673,Pubs!$A$2:$A$3001,0))&amp;"",""))</f>
        <v/>
      </c>
      <c r="K673" s="28" t="str">
        <f aca="false">IF(OR(G673="",G673="?"),"",IFERROR(INDEX(Pubs!$E$2:$E$3001,MATCH(G673,Pubs!$A$2:$A$3001,0)),""))</f>
        <v/>
      </c>
      <c r="L673" s="29" t="str">
        <f aca="false">IF(A673="","",IFERROR(1/(1/INDEX(Numéros!$C$2:$C$3001,MATCH(A673&amp;"|"&amp;B673,Numéros!$F$2:$F$3001,0))),""))</f>
        <v/>
      </c>
      <c r="M673" s="27" t="str">
        <f aca="false">IF(OR(G673="",G673="?"),"",IFERROR(INDEX(Pubs!$D$2:$D$3001,MATCH(G673,Pubs!$A$2:$A$3001,0))&amp;"",""))</f>
        <v/>
      </c>
      <c r="N673" s="27" t="n">
        <f aca="false">N(N672)+IF(AND(A673&lt;&gt;"",OR(Recherche!$C$4="",A673=Recherche!$C$4),OR(Recherche!$C$5="",B673&amp;""=Recherche!$C$5&amp;""),OR(Recherche!$C$6="",IFERROR(YEAR(L673),0)=Recherche!$C$6),OR(Recherche!$C$7="",ISNUMBER(SEARCH(Recherche!$C$7,H673))),OR(Recherche!$C$8="",J673=Recherche!$C$8),OR(Recherche!$C$9="",I673=Recherche!$C$9),OR(Recherche!$C$10="",G673&amp;""=Recherche!$C$10&amp;""),OR(Recherche!$C$11="",E673=Recherche!$C$11),OR(Recherche!$C$12="",ISNUMBER(SEARCH(Recherche!$C$12,M673&amp;" "&amp;F673)))),1,0)</f>
        <v>8</v>
      </c>
    </row>
    <row r="674" customFormat="false" ht="15" hidden="false" customHeight="false" outlineLevel="0" collapsed="false">
      <c r="A674" s="19"/>
      <c r="B674" s="19"/>
      <c r="C674" s="19"/>
      <c r="D674" s="19"/>
      <c r="E674" s="22"/>
      <c r="F674" s="19"/>
      <c r="G674" s="26" t="str">
        <f aca="false">IF(D674="","",IFERROR(VALUE(LEFT(D674,FIND(" |",D674&amp;" |")-1)),"?"))</f>
        <v/>
      </c>
      <c r="H674" s="27" t="str">
        <f aca="false">IF(G674="","",IF(G674="?","⚠ pub inconnue",IFERROR(INDEX(Pubs!$B$2:$B$3001,MATCH(G674,Pubs!$A$2:$A$3001,0))&amp;"","⚠ pub inconnue")))</f>
        <v/>
      </c>
      <c r="I674" s="27" t="str">
        <f aca="false">IF(OR(G674="",G674="?"),"",IFERROR(INDEX(Pubs!$C$2:$C$3001,MATCH(G674,Pubs!$A$2:$A$3001,0))&amp;"",""))</f>
        <v/>
      </c>
      <c r="J674" s="27" t="str">
        <f aca="false">IF(OR(G674="",G674="?"),"",IFERROR(INDEX(Pubs!$G$2:$G$3001,MATCH(G674,Pubs!$A$2:$A$3001,0))&amp;"",""))</f>
        <v/>
      </c>
      <c r="K674" s="28" t="str">
        <f aca="false">IF(OR(G674="",G674="?"),"",IFERROR(INDEX(Pubs!$E$2:$E$3001,MATCH(G674,Pubs!$A$2:$A$3001,0)),""))</f>
        <v/>
      </c>
      <c r="L674" s="29" t="str">
        <f aca="false">IF(A674="","",IFERROR(1/(1/INDEX(Numéros!$C$2:$C$3001,MATCH(A674&amp;"|"&amp;B674,Numéros!$F$2:$F$3001,0))),""))</f>
        <v/>
      </c>
      <c r="M674" s="27" t="str">
        <f aca="false">IF(OR(G674="",G674="?"),"",IFERROR(INDEX(Pubs!$D$2:$D$3001,MATCH(G674,Pubs!$A$2:$A$3001,0))&amp;"",""))</f>
        <v/>
      </c>
      <c r="N674" s="27" t="n">
        <f aca="false">N(N673)+IF(AND(A674&lt;&gt;"",OR(Recherche!$C$4="",A674=Recherche!$C$4),OR(Recherche!$C$5="",B674&amp;""=Recherche!$C$5&amp;""),OR(Recherche!$C$6="",IFERROR(YEAR(L674),0)=Recherche!$C$6),OR(Recherche!$C$7="",ISNUMBER(SEARCH(Recherche!$C$7,H674))),OR(Recherche!$C$8="",J674=Recherche!$C$8),OR(Recherche!$C$9="",I674=Recherche!$C$9),OR(Recherche!$C$10="",G674&amp;""=Recherche!$C$10&amp;""),OR(Recherche!$C$11="",E674=Recherche!$C$11),OR(Recherche!$C$12="",ISNUMBER(SEARCH(Recherche!$C$12,M674&amp;" "&amp;F674)))),1,0)</f>
        <v>8</v>
      </c>
    </row>
    <row r="675" customFormat="false" ht="15" hidden="false" customHeight="false" outlineLevel="0" collapsed="false">
      <c r="A675" s="19"/>
      <c r="B675" s="19"/>
      <c r="C675" s="19"/>
      <c r="D675" s="19"/>
      <c r="E675" s="22"/>
      <c r="F675" s="19"/>
      <c r="G675" s="26" t="str">
        <f aca="false">IF(D675="","",IFERROR(VALUE(LEFT(D675,FIND(" |",D675&amp;" |")-1)),"?"))</f>
        <v/>
      </c>
      <c r="H675" s="27" t="str">
        <f aca="false">IF(G675="","",IF(G675="?","⚠ pub inconnue",IFERROR(INDEX(Pubs!$B$2:$B$3001,MATCH(G675,Pubs!$A$2:$A$3001,0))&amp;"","⚠ pub inconnue")))</f>
        <v/>
      </c>
      <c r="I675" s="27" t="str">
        <f aca="false">IF(OR(G675="",G675="?"),"",IFERROR(INDEX(Pubs!$C$2:$C$3001,MATCH(G675,Pubs!$A$2:$A$3001,0))&amp;"",""))</f>
        <v/>
      </c>
      <c r="J675" s="27" t="str">
        <f aca="false">IF(OR(G675="",G675="?"),"",IFERROR(INDEX(Pubs!$G$2:$G$3001,MATCH(G675,Pubs!$A$2:$A$3001,0))&amp;"",""))</f>
        <v/>
      </c>
      <c r="K675" s="28" t="str">
        <f aca="false">IF(OR(G675="",G675="?"),"",IFERROR(INDEX(Pubs!$E$2:$E$3001,MATCH(G675,Pubs!$A$2:$A$3001,0)),""))</f>
        <v/>
      </c>
      <c r="L675" s="29" t="str">
        <f aca="false">IF(A675="","",IFERROR(1/(1/INDEX(Numéros!$C$2:$C$3001,MATCH(A675&amp;"|"&amp;B675,Numéros!$F$2:$F$3001,0))),""))</f>
        <v/>
      </c>
      <c r="M675" s="27" t="str">
        <f aca="false">IF(OR(G675="",G675="?"),"",IFERROR(INDEX(Pubs!$D$2:$D$3001,MATCH(G675,Pubs!$A$2:$A$3001,0))&amp;"",""))</f>
        <v/>
      </c>
      <c r="N675" s="27" t="n">
        <f aca="false">N(N674)+IF(AND(A675&lt;&gt;"",OR(Recherche!$C$4="",A675=Recherche!$C$4),OR(Recherche!$C$5="",B675&amp;""=Recherche!$C$5&amp;""),OR(Recherche!$C$6="",IFERROR(YEAR(L675),0)=Recherche!$C$6),OR(Recherche!$C$7="",ISNUMBER(SEARCH(Recherche!$C$7,H675))),OR(Recherche!$C$8="",J675=Recherche!$C$8),OR(Recherche!$C$9="",I675=Recherche!$C$9),OR(Recherche!$C$10="",G675&amp;""=Recherche!$C$10&amp;""),OR(Recherche!$C$11="",E675=Recherche!$C$11),OR(Recherche!$C$12="",ISNUMBER(SEARCH(Recherche!$C$12,M675&amp;" "&amp;F675)))),1,0)</f>
        <v>8</v>
      </c>
    </row>
    <row r="676" customFormat="false" ht="15" hidden="false" customHeight="false" outlineLevel="0" collapsed="false">
      <c r="A676" s="19"/>
      <c r="B676" s="19"/>
      <c r="C676" s="19"/>
      <c r="D676" s="19"/>
      <c r="E676" s="22"/>
      <c r="F676" s="19"/>
      <c r="G676" s="26" t="str">
        <f aca="false">IF(D676="","",IFERROR(VALUE(LEFT(D676,FIND(" |",D676&amp;" |")-1)),"?"))</f>
        <v/>
      </c>
      <c r="H676" s="27" t="str">
        <f aca="false">IF(G676="","",IF(G676="?","⚠ pub inconnue",IFERROR(INDEX(Pubs!$B$2:$B$3001,MATCH(G676,Pubs!$A$2:$A$3001,0))&amp;"","⚠ pub inconnue")))</f>
        <v/>
      </c>
      <c r="I676" s="27" t="str">
        <f aca="false">IF(OR(G676="",G676="?"),"",IFERROR(INDEX(Pubs!$C$2:$C$3001,MATCH(G676,Pubs!$A$2:$A$3001,0))&amp;"",""))</f>
        <v/>
      </c>
      <c r="J676" s="27" t="str">
        <f aca="false">IF(OR(G676="",G676="?"),"",IFERROR(INDEX(Pubs!$G$2:$G$3001,MATCH(G676,Pubs!$A$2:$A$3001,0))&amp;"",""))</f>
        <v/>
      </c>
      <c r="K676" s="28" t="str">
        <f aca="false">IF(OR(G676="",G676="?"),"",IFERROR(INDEX(Pubs!$E$2:$E$3001,MATCH(G676,Pubs!$A$2:$A$3001,0)),""))</f>
        <v/>
      </c>
      <c r="L676" s="29" t="str">
        <f aca="false">IF(A676="","",IFERROR(1/(1/INDEX(Numéros!$C$2:$C$3001,MATCH(A676&amp;"|"&amp;B676,Numéros!$F$2:$F$3001,0))),""))</f>
        <v/>
      </c>
      <c r="M676" s="27" t="str">
        <f aca="false">IF(OR(G676="",G676="?"),"",IFERROR(INDEX(Pubs!$D$2:$D$3001,MATCH(G676,Pubs!$A$2:$A$3001,0))&amp;"",""))</f>
        <v/>
      </c>
      <c r="N676" s="27" t="n">
        <f aca="false">N(N675)+IF(AND(A676&lt;&gt;"",OR(Recherche!$C$4="",A676=Recherche!$C$4),OR(Recherche!$C$5="",B676&amp;""=Recherche!$C$5&amp;""),OR(Recherche!$C$6="",IFERROR(YEAR(L676),0)=Recherche!$C$6),OR(Recherche!$C$7="",ISNUMBER(SEARCH(Recherche!$C$7,H676))),OR(Recherche!$C$8="",J676=Recherche!$C$8),OR(Recherche!$C$9="",I676=Recherche!$C$9),OR(Recherche!$C$10="",G676&amp;""=Recherche!$C$10&amp;""),OR(Recherche!$C$11="",E676=Recherche!$C$11),OR(Recherche!$C$12="",ISNUMBER(SEARCH(Recherche!$C$12,M676&amp;" "&amp;F676)))),1,0)</f>
        <v>8</v>
      </c>
    </row>
    <row r="677" customFormat="false" ht="15" hidden="false" customHeight="false" outlineLevel="0" collapsed="false">
      <c r="A677" s="19"/>
      <c r="B677" s="19"/>
      <c r="C677" s="19"/>
      <c r="D677" s="19"/>
      <c r="E677" s="22"/>
      <c r="F677" s="19"/>
      <c r="G677" s="26" t="str">
        <f aca="false">IF(D677="","",IFERROR(VALUE(LEFT(D677,FIND(" |",D677&amp;" |")-1)),"?"))</f>
        <v/>
      </c>
      <c r="H677" s="27" t="str">
        <f aca="false">IF(G677="","",IF(G677="?","⚠ pub inconnue",IFERROR(INDEX(Pubs!$B$2:$B$3001,MATCH(G677,Pubs!$A$2:$A$3001,0))&amp;"","⚠ pub inconnue")))</f>
        <v/>
      </c>
      <c r="I677" s="27" t="str">
        <f aca="false">IF(OR(G677="",G677="?"),"",IFERROR(INDEX(Pubs!$C$2:$C$3001,MATCH(G677,Pubs!$A$2:$A$3001,0))&amp;"",""))</f>
        <v/>
      </c>
      <c r="J677" s="27" t="str">
        <f aca="false">IF(OR(G677="",G677="?"),"",IFERROR(INDEX(Pubs!$G$2:$G$3001,MATCH(G677,Pubs!$A$2:$A$3001,0))&amp;"",""))</f>
        <v/>
      </c>
      <c r="K677" s="28" t="str">
        <f aca="false">IF(OR(G677="",G677="?"),"",IFERROR(INDEX(Pubs!$E$2:$E$3001,MATCH(G677,Pubs!$A$2:$A$3001,0)),""))</f>
        <v/>
      </c>
      <c r="L677" s="29" t="str">
        <f aca="false">IF(A677="","",IFERROR(1/(1/INDEX(Numéros!$C$2:$C$3001,MATCH(A677&amp;"|"&amp;B677,Numéros!$F$2:$F$3001,0))),""))</f>
        <v/>
      </c>
      <c r="M677" s="27" t="str">
        <f aca="false">IF(OR(G677="",G677="?"),"",IFERROR(INDEX(Pubs!$D$2:$D$3001,MATCH(G677,Pubs!$A$2:$A$3001,0))&amp;"",""))</f>
        <v/>
      </c>
      <c r="N677" s="27" t="n">
        <f aca="false">N(N676)+IF(AND(A677&lt;&gt;"",OR(Recherche!$C$4="",A677=Recherche!$C$4),OR(Recherche!$C$5="",B677&amp;""=Recherche!$C$5&amp;""),OR(Recherche!$C$6="",IFERROR(YEAR(L677),0)=Recherche!$C$6),OR(Recherche!$C$7="",ISNUMBER(SEARCH(Recherche!$C$7,H677))),OR(Recherche!$C$8="",J677=Recherche!$C$8),OR(Recherche!$C$9="",I677=Recherche!$C$9),OR(Recherche!$C$10="",G677&amp;""=Recherche!$C$10&amp;""),OR(Recherche!$C$11="",E677=Recherche!$C$11),OR(Recherche!$C$12="",ISNUMBER(SEARCH(Recherche!$C$12,M677&amp;" "&amp;F677)))),1,0)</f>
        <v>8</v>
      </c>
    </row>
    <row r="678" customFormat="false" ht="15" hidden="false" customHeight="false" outlineLevel="0" collapsed="false">
      <c r="A678" s="19"/>
      <c r="B678" s="19"/>
      <c r="C678" s="19"/>
      <c r="D678" s="19"/>
      <c r="E678" s="22"/>
      <c r="F678" s="19"/>
      <c r="G678" s="26" t="str">
        <f aca="false">IF(D678="","",IFERROR(VALUE(LEFT(D678,FIND(" |",D678&amp;" |")-1)),"?"))</f>
        <v/>
      </c>
      <c r="H678" s="27" t="str">
        <f aca="false">IF(G678="","",IF(G678="?","⚠ pub inconnue",IFERROR(INDEX(Pubs!$B$2:$B$3001,MATCH(G678,Pubs!$A$2:$A$3001,0))&amp;"","⚠ pub inconnue")))</f>
        <v/>
      </c>
      <c r="I678" s="27" t="str">
        <f aca="false">IF(OR(G678="",G678="?"),"",IFERROR(INDEX(Pubs!$C$2:$C$3001,MATCH(G678,Pubs!$A$2:$A$3001,0))&amp;"",""))</f>
        <v/>
      </c>
      <c r="J678" s="27" t="str">
        <f aca="false">IF(OR(G678="",G678="?"),"",IFERROR(INDEX(Pubs!$G$2:$G$3001,MATCH(G678,Pubs!$A$2:$A$3001,0))&amp;"",""))</f>
        <v/>
      </c>
      <c r="K678" s="28" t="str">
        <f aca="false">IF(OR(G678="",G678="?"),"",IFERROR(INDEX(Pubs!$E$2:$E$3001,MATCH(G678,Pubs!$A$2:$A$3001,0)),""))</f>
        <v/>
      </c>
      <c r="L678" s="29" t="str">
        <f aca="false">IF(A678="","",IFERROR(1/(1/INDEX(Numéros!$C$2:$C$3001,MATCH(A678&amp;"|"&amp;B678,Numéros!$F$2:$F$3001,0))),""))</f>
        <v/>
      </c>
      <c r="M678" s="27" t="str">
        <f aca="false">IF(OR(G678="",G678="?"),"",IFERROR(INDEX(Pubs!$D$2:$D$3001,MATCH(G678,Pubs!$A$2:$A$3001,0))&amp;"",""))</f>
        <v/>
      </c>
      <c r="N678" s="27" t="n">
        <f aca="false">N(N677)+IF(AND(A678&lt;&gt;"",OR(Recherche!$C$4="",A678=Recherche!$C$4),OR(Recherche!$C$5="",B678&amp;""=Recherche!$C$5&amp;""),OR(Recherche!$C$6="",IFERROR(YEAR(L678),0)=Recherche!$C$6),OR(Recherche!$C$7="",ISNUMBER(SEARCH(Recherche!$C$7,H678))),OR(Recherche!$C$8="",J678=Recherche!$C$8),OR(Recherche!$C$9="",I678=Recherche!$C$9),OR(Recherche!$C$10="",G678&amp;""=Recherche!$C$10&amp;""),OR(Recherche!$C$11="",E678=Recherche!$C$11),OR(Recherche!$C$12="",ISNUMBER(SEARCH(Recherche!$C$12,M678&amp;" "&amp;F678)))),1,0)</f>
        <v>8</v>
      </c>
    </row>
    <row r="679" customFormat="false" ht="15" hidden="false" customHeight="false" outlineLevel="0" collapsed="false">
      <c r="A679" s="19"/>
      <c r="B679" s="19"/>
      <c r="C679" s="19"/>
      <c r="D679" s="19"/>
      <c r="E679" s="22"/>
      <c r="F679" s="19"/>
      <c r="G679" s="26" t="str">
        <f aca="false">IF(D679="","",IFERROR(VALUE(LEFT(D679,FIND(" |",D679&amp;" |")-1)),"?"))</f>
        <v/>
      </c>
      <c r="H679" s="27" t="str">
        <f aca="false">IF(G679="","",IF(G679="?","⚠ pub inconnue",IFERROR(INDEX(Pubs!$B$2:$B$3001,MATCH(G679,Pubs!$A$2:$A$3001,0))&amp;"","⚠ pub inconnue")))</f>
        <v/>
      </c>
      <c r="I679" s="27" t="str">
        <f aca="false">IF(OR(G679="",G679="?"),"",IFERROR(INDEX(Pubs!$C$2:$C$3001,MATCH(G679,Pubs!$A$2:$A$3001,0))&amp;"",""))</f>
        <v/>
      </c>
      <c r="J679" s="27" t="str">
        <f aca="false">IF(OR(G679="",G679="?"),"",IFERROR(INDEX(Pubs!$G$2:$G$3001,MATCH(G679,Pubs!$A$2:$A$3001,0))&amp;"",""))</f>
        <v/>
      </c>
      <c r="K679" s="28" t="str">
        <f aca="false">IF(OR(G679="",G679="?"),"",IFERROR(INDEX(Pubs!$E$2:$E$3001,MATCH(G679,Pubs!$A$2:$A$3001,0)),""))</f>
        <v/>
      </c>
      <c r="L679" s="29" t="str">
        <f aca="false">IF(A679="","",IFERROR(1/(1/INDEX(Numéros!$C$2:$C$3001,MATCH(A679&amp;"|"&amp;B679,Numéros!$F$2:$F$3001,0))),""))</f>
        <v/>
      </c>
      <c r="M679" s="27" t="str">
        <f aca="false">IF(OR(G679="",G679="?"),"",IFERROR(INDEX(Pubs!$D$2:$D$3001,MATCH(G679,Pubs!$A$2:$A$3001,0))&amp;"",""))</f>
        <v/>
      </c>
      <c r="N679" s="27" t="n">
        <f aca="false">N(N678)+IF(AND(A679&lt;&gt;"",OR(Recherche!$C$4="",A679=Recherche!$C$4),OR(Recherche!$C$5="",B679&amp;""=Recherche!$C$5&amp;""),OR(Recherche!$C$6="",IFERROR(YEAR(L679),0)=Recherche!$C$6),OR(Recherche!$C$7="",ISNUMBER(SEARCH(Recherche!$C$7,H679))),OR(Recherche!$C$8="",J679=Recherche!$C$8),OR(Recherche!$C$9="",I679=Recherche!$C$9),OR(Recherche!$C$10="",G679&amp;""=Recherche!$C$10&amp;""),OR(Recherche!$C$11="",E679=Recherche!$C$11),OR(Recherche!$C$12="",ISNUMBER(SEARCH(Recherche!$C$12,M679&amp;" "&amp;F679)))),1,0)</f>
        <v>8</v>
      </c>
    </row>
    <row r="680" customFormat="false" ht="15" hidden="false" customHeight="false" outlineLevel="0" collapsed="false">
      <c r="A680" s="19"/>
      <c r="B680" s="19"/>
      <c r="C680" s="19"/>
      <c r="D680" s="19"/>
      <c r="E680" s="22"/>
      <c r="F680" s="19"/>
      <c r="G680" s="26" t="str">
        <f aca="false">IF(D680="","",IFERROR(VALUE(LEFT(D680,FIND(" |",D680&amp;" |")-1)),"?"))</f>
        <v/>
      </c>
      <c r="H680" s="27" t="str">
        <f aca="false">IF(G680="","",IF(G680="?","⚠ pub inconnue",IFERROR(INDEX(Pubs!$B$2:$B$3001,MATCH(G680,Pubs!$A$2:$A$3001,0))&amp;"","⚠ pub inconnue")))</f>
        <v/>
      </c>
      <c r="I680" s="27" t="str">
        <f aca="false">IF(OR(G680="",G680="?"),"",IFERROR(INDEX(Pubs!$C$2:$C$3001,MATCH(G680,Pubs!$A$2:$A$3001,0))&amp;"",""))</f>
        <v/>
      </c>
      <c r="J680" s="27" t="str">
        <f aca="false">IF(OR(G680="",G680="?"),"",IFERROR(INDEX(Pubs!$G$2:$G$3001,MATCH(G680,Pubs!$A$2:$A$3001,0))&amp;"",""))</f>
        <v/>
      </c>
      <c r="K680" s="28" t="str">
        <f aca="false">IF(OR(G680="",G680="?"),"",IFERROR(INDEX(Pubs!$E$2:$E$3001,MATCH(G680,Pubs!$A$2:$A$3001,0)),""))</f>
        <v/>
      </c>
      <c r="L680" s="29" t="str">
        <f aca="false">IF(A680="","",IFERROR(1/(1/INDEX(Numéros!$C$2:$C$3001,MATCH(A680&amp;"|"&amp;B680,Numéros!$F$2:$F$3001,0))),""))</f>
        <v/>
      </c>
      <c r="M680" s="27" t="str">
        <f aca="false">IF(OR(G680="",G680="?"),"",IFERROR(INDEX(Pubs!$D$2:$D$3001,MATCH(G680,Pubs!$A$2:$A$3001,0))&amp;"",""))</f>
        <v/>
      </c>
      <c r="N680" s="27" t="n">
        <f aca="false">N(N679)+IF(AND(A680&lt;&gt;"",OR(Recherche!$C$4="",A680=Recherche!$C$4),OR(Recherche!$C$5="",B680&amp;""=Recherche!$C$5&amp;""),OR(Recherche!$C$6="",IFERROR(YEAR(L680),0)=Recherche!$C$6),OR(Recherche!$C$7="",ISNUMBER(SEARCH(Recherche!$C$7,H680))),OR(Recherche!$C$8="",J680=Recherche!$C$8),OR(Recherche!$C$9="",I680=Recherche!$C$9),OR(Recherche!$C$10="",G680&amp;""=Recherche!$C$10&amp;""),OR(Recherche!$C$11="",E680=Recherche!$C$11),OR(Recherche!$C$12="",ISNUMBER(SEARCH(Recherche!$C$12,M680&amp;" "&amp;F680)))),1,0)</f>
        <v>8</v>
      </c>
    </row>
    <row r="681" customFormat="false" ht="15" hidden="false" customHeight="false" outlineLevel="0" collapsed="false">
      <c r="A681" s="19"/>
      <c r="B681" s="19"/>
      <c r="C681" s="19"/>
      <c r="D681" s="19"/>
      <c r="E681" s="22"/>
      <c r="F681" s="19"/>
      <c r="G681" s="26" t="str">
        <f aca="false">IF(D681="","",IFERROR(VALUE(LEFT(D681,FIND(" |",D681&amp;" |")-1)),"?"))</f>
        <v/>
      </c>
      <c r="H681" s="27" t="str">
        <f aca="false">IF(G681="","",IF(G681="?","⚠ pub inconnue",IFERROR(INDEX(Pubs!$B$2:$B$3001,MATCH(G681,Pubs!$A$2:$A$3001,0))&amp;"","⚠ pub inconnue")))</f>
        <v/>
      </c>
      <c r="I681" s="27" t="str">
        <f aca="false">IF(OR(G681="",G681="?"),"",IFERROR(INDEX(Pubs!$C$2:$C$3001,MATCH(G681,Pubs!$A$2:$A$3001,0))&amp;"",""))</f>
        <v/>
      </c>
      <c r="J681" s="27" t="str">
        <f aca="false">IF(OR(G681="",G681="?"),"",IFERROR(INDEX(Pubs!$G$2:$G$3001,MATCH(G681,Pubs!$A$2:$A$3001,0))&amp;"",""))</f>
        <v/>
      </c>
      <c r="K681" s="28" t="str">
        <f aca="false">IF(OR(G681="",G681="?"),"",IFERROR(INDEX(Pubs!$E$2:$E$3001,MATCH(G681,Pubs!$A$2:$A$3001,0)),""))</f>
        <v/>
      </c>
      <c r="L681" s="29" t="str">
        <f aca="false">IF(A681="","",IFERROR(1/(1/INDEX(Numéros!$C$2:$C$3001,MATCH(A681&amp;"|"&amp;B681,Numéros!$F$2:$F$3001,0))),""))</f>
        <v/>
      </c>
      <c r="M681" s="27" t="str">
        <f aca="false">IF(OR(G681="",G681="?"),"",IFERROR(INDEX(Pubs!$D$2:$D$3001,MATCH(G681,Pubs!$A$2:$A$3001,0))&amp;"",""))</f>
        <v/>
      </c>
      <c r="N681" s="27" t="n">
        <f aca="false">N(N680)+IF(AND(A681&lt;&gt;"",OR(Recherche!$C$4="",A681=Recherche!$C$4),OR(Recherche!$C$5="",B681&amp;""=Recherche!$C$5&amp;""),OR(Recherche!$C$6="",IFERROR(YEAR(L681),0)=Recherche!$C$6),OR(Recherche!$C$7="",ISNUMBER(SEARCH(Recherche!$C$7,H681))),OR(Recherche!$C$8="",J681=Recherche!$C$8),OR(Recherche!$C$9="",I681=Recherche!$C$9),OR(Recherche!$C$10="",G681&amp;""=Recherche!$C$10&amp;""),OR(Recherche!$C$11="",E681=Recherche!$C$11),OR(Recherche!$C$12="",ISNUMBER(SEARCH(Recherche!$C$12,M681&amp;" "&amp;F681)))),1,0)</f>
        <v>8</v>
      </c>
    </row>
    <row r="682" customFormat="false" ht="15" hidden="false" customHeight="false" outlineLevel="0" collapsed="false">
      <c r="A682" s="19"/>
      <c r="B682" s="19"/>
      <c r="C682" s="19"/>
      <c r="D682" s="19"/>
      <c r="E682" s="22"/>
      <c r="F682" s="19"/>
      <c r="G682" s="26" t="str">
        <f aca="false">IF(D682="","",IFERROR(VALUE(LEFT(D682,FIND(" |",D682&amp;" |")-1)),"?"))</f>
        <v/>
      </c>
      <c r="H682" s="27" t="str">
        <f aca="false">IF(G682="","",IF(G682="?","⚠ pub inconnue",IFERROR(INDEX(Pubs!$B$2:$B$3001,MATCH(G682,Pubs!$A$2:$A$3001,0))&amp;"","⚠ pub inconnue")))</f>
        <v/>
      </c>
      <c r="I682" s="27" t="str">
        <f aca="false">IF(OR(G682="",G682="?"),"",IFERROR(INDEX(Pubs!$C$2:$C$3001,MATCH(G682,Pubs!$A$2:$A$3001,0))&amp;"",""))</f>
        <v/>
      </c>
      <c r="J682" s="27" t="str">
        <f aca="false">IF(OR(G682="",G682="?"),"",IFERROR(INDEX(Pubs!$G$2:$G$3001,MATCH(G682,Pubs!$A$2:$A$3001,0))&amp;"",""))</f>
        <v/>
      </c>
      <c r="K682" s="28" t="str">
        <f aca="false">IF(OR(G682="",G682="?"),"",IFERROR(INDEX(Pubs!$E$2:$E$3001,MATCH(G682,Pubs!$A$2:$A$3001,0)),""))</f>
        <v/>
      </c>
      <c r="L682" s="29" t="str">
        <f aca="false">IF(A682="","",IFERROR(1/(1/INDEX(Numéros!$C$2:$C$3001,MATCH(A682&amp;"|"&amp;B682,Numéros!$F$2:$F$3001,0))),""))</f>
        <v/>
      </c>
      <c r="M682" s="27" t="str">
        <f aca="false">IF(OR(G682="",G682="?"),"",IFERROR(INDEX(Pubs!$D$2:$D$3001,MATCH(G682,Pubs!$A$2:$A$3001,0))&amp;"",""))</f>
        <v/>
      </c>
      <c r="N682" s="27" t="n">
        <f aca="false">N(N681)+IF(AND(A682&lt;&gt;"",OR(Recherche!$C$4="",A682=Recherche!$C$4),OR(Recherche!$C$5="",B682&amp;""=Recherche!$C$5&amp;""),OR(Recherche!$C$6="",IFERROR(YEAR(L682),0)=Recherche!$C$6),OR(Recherche!$C$7="",ISNUMBER(SEARCH(Recherche!$C$7,H682))),OR(Recherche!$C$8="",J682=Recherche!$C$8),OR(Recherche!$C$9="",I682=Recherche!$C$9),OR(Recherche!$C$10="",G682&amp;""=Recherche!$C$10&amp;""),OR(Recherche!$C$11="",E682=Recherche!$C$11),OR(Recherche!$C$12="",ISNUMBER(SEARCH(Recherche!$C$12,M682&amp;" "&amp;F682)))),1,0)</f>
        <v>8</v>
      </c>
    </row>
    <row r="683" customFormat="false" ht="15" hidden="false" customHeight="false" outlineLevel="0" collapsed="false">
      <c r="A683" s="19"/>
      <c r="B683" s="19"/>
      <c r="C683" s="19"/>
      <c r="D683" s="19"/>
      <c r="E683" s="22"/>
      <c r="F683" s="19"/>
      <c r="G683" s="26" t="str">
        <f aca="false">IF(D683="","",IFERROR(VALUE(LEFT(D683,FIND(" |",D683&amp;" |")-1)),"?"))</f>
        <v/>
      </c>
      <c r="H683" s="27" t="str">
        <f aca="false">IF(G683="","",IF(G683="?","⚠ pub inconnue",IFERROR(INDEX(Pubs!$B$2:$B$3001,MATCH(G683,Pubs!$A$2:$A$3001,0))&amp;"","⚠ pub inconnue")))</f>
        <v/>
      </c>
      <c r="I683" s="27" t="str">
        <f aca="false">IF(OR(G683="",G683="?"),"",IFERROR(INDEX(Pubs!$C$2:$C$3001,MATCH(G683,Pubs!$A$2:$A$3001,0))&amp;"",""))</f>
        <v/>
      </c>
      <c r="J683" s="27" t="str">
        <f aca="false">IF(OR(G683="",G683="?"),"",IFERROR(INDEX(Pubs!$G$2:$G$3001,MATCH(G683,Pubs!$A$2:$A$3001,0))&amp;"",""))</f>
        <v/>
      </c>
      <c r="K683" s="28" t="str">
        <f aca="false">IF(OR(G683="",G683="?"),"",IFERROR(INDEX(Pubs!$E$2:$E$3001,MATCH(G683,Pubs!$A$2:$A$3001,0)),""))</f>
        <v/>
      </c>
      <c r="L683" s="29" t="str">
        <f aca="false">IF(A683="","",IFERROR(1/(1/INDEX(Numéros!$C$2:$C$3001,MATCH(A683&amp;"|"&amp;B683,Numéros!$F$2:$F$3001,0))),""))</f>
        <v/>
      </c>
      <c r="M683" s="27" t="str">
        <f aca="false">IF(OR(G683="",G683="?"),"",IFERROR(INDEX(Pubs!$D$2:$D$3001,MATCH(G683,Pubs!$A$2:$A$3001,0))&amp;"",""))</f>
        <v/>
      </c>
      <c r="N683" s="27" t="n">
        <f aca="false">N(N682)+IF(AND(A683&lt;&gt;"",OR(Recherche!$C$4="",A683=Recherche!$C$4),OR(Recherche!$C$5="",B683&amp;""=Recherche!$C$5&amp;""),OR(Recherche!$C$6="",IFERROR(YEAR(L683),0)=Recherche!$C$6),OR(Recherche!$C$7="",ISNUMBER(SEARCH(Recherche!$C$7,H683))),OR(Recherche!$C$8="",J683=Recherche!$C$8),OR(Recherche!$C$9="",I683=Recherche!$C$9),OR(Recherche!$C$10="",G683&amp;""=Recherche!$C$10&amp;""),OR(Recherche!$C$11="",E683=Recherche!$C$11),OR(Recherche!$C$12="",ISNUMBER(SEARCH(Recherche!$C$12,M683&amp;" "&amp;F683)))),1,0)</f>
        <v>8</v>
      </c>
    </row>
    <row r="684" customFormat="false" ht="15" hidden="false" customHeight="false" outlineLevel="0" collapsed="false">
      <c r="A684" s="19"/>
      <c r="B684" s="19"/>
      <c r="C684" s="19"/>
      <c r="D684" s="19"/>
      <c r="E684" s="22"/>
      <c r="F684" s="19"/>
      <c r="G684" s="26" t="str">
        <f aca="false">IF(D684="","",IFERROR(VALUE(LEFT(D684,FIND(" |",D684&amp;" |")-1)),"?"))</f>
        <v/>
      </c>
      <c r="H684" s="27" t="str">
        <f aca="false">IF(G684="","",IF(G684="?","⚠ pub inconnue",IFERROR(INDEX(Pubs!$B$2:$B$3001,MATCH(G684,Pubs!$A$2:$A$3001,0))&amp;"","⚠ pub inconnue")))</f>
        <v/>
      </c>
      <c r="I684" s="27" t="str">
        <f aca="false">IF(OR(G684="",G684="?"),"",IFERROR(INDEX(Pubs!$C$2:$C$3001,MATCH(G684,Pubs!$A$2:$A$3001,0))&amp;"",""))</f>
        <v/>
      </c>
      <c r="J684" s="27" t="str">
        <f aca="false">IF(OR(G684="",G684="?"),"",IFERROR(INDEX(Pubs!$G$2:$G$3001,MATCH(G684,Pubs!$A$2:$A$3001,0))&amp;"",""))</f>
        <v/>
      </c>
      <c r="K684" s="28" t="str">
        <f aca="false">IF(OR(G684="",G684="?"),"",IFERROR(INDEX(Pubs!$E$2:$E$3001,MATCH(G684,Pubs!$A$2:$A$3001,0)),""))</f>
        <v/>
      </c>
      <c r="L684" s="29" t="str">
        <f aca="false">IF(A684="","",IFERROR(1/(1/INDEX(Numéros!$C$2:$C$3001,MATCH(A684&amp;"|"&amp;B684,Numéros!$F$2:$F$3001,0))),""))</f>
        <v/>
      </c>
      <c r="M684" s="27" t="str">
        <f aca="false">IF(OR(G684="",G684="?"),"",IFERROR(INDEX(Pubs!$D$2:$D$3001,MATCH(G684,Pubs!$A$2:$A$3001,0))&amp;"",""))</f>
        <v/>
      </c>
      <c r="N684" s="27" t="n">
        <f aca="false">N(N683)+IF(AND(A684&lt;&gt;"",OR(Recherche!$C$4="",A684=Recherche!$C$4),OR(Recherche!$C$5="",B684&amp;""=Recherche!$C$5&amp;""),OR(Recherche!$C$6="",IFERROR(YEAR(L684),0)=Recherche!$C$6),OR(Recherche!$C$7="",ISNUMBER(SEARCH(Recherche!$C$7,H684))),OR(Recherche!$C$8="",J684=Recherche!$C$8),OR(Recherche!$C$9="",I684=Recherche!$C$9),OR(Recherche!$C$10="",G684&amp;""=Recherche!$C$10&amp;""),OR(Recherche!$C$11="",E684=Recherche!$C$11),OR(Recherche!$C$12="",ISNUMBER(SEARCH(Recherche!$C$12,M684&amp;" "&amp;F684)))),1,0)</f>
        <v>8</v>
      </c>
    </row>
    <row r="685" customFormat="false" ht="15" hidden="false" customHeight="false" outlineLevel="0" collapsed="false">
      <c r="A685" s="19"/>
      <c r="B685" s="19"/>
      <c r="C685" s="19"/>
      <c r="D685" s="19"/>
      <c r="E685" s="22"/>
      <c r="F685" s="19"/>
      <c r="G685" s="26" t="str">
        <f aca="false">IF(D685="","",IFERROR(VALUE(LEFT(D685,FIND(" |",D685&amp;" |")-1)),"?"))</f>
        <v/>
      </c>
      <c r="H685" s="27" t="str">
        <f aca="false">IF(G685="","",IF(G685="?","⚠ pub inconnue",IFERROR(INDEX(Pubs!$B$2:$B$3001,MATCH(G685,Pubs!$A$2:$A$3001,0))&amp;"","⚠ pub inconnue")))</f>
        <v/>
      </c>
      <c r="I685" s="27" t="str">
        <f aca="false">IF(OR(G685="",G685="?"),"",IFERROR(INDEX(Pubs!$C$2:$C$3001,MATCH(G685,Pubs!$A$2:$A$3001,0))&amp;"",""))</f>
        <v/>
      </c>
      <c r="J685" s="27" t="str">
        <f aca="false">IF(OR(G685="",G685="?"),"",IFERROR(INDEX(Pubs!$G$2:$G$3001,MATCH(G685,Pubs!$A$2:$A$3001,0))&amp;"",""))</f>
        <v/>
      </c>
      <c r="K685" s="28" t="str">
        <f aca="false">IF(OR(G685="",G685="?"),"",IFERROR(INDEX(Pubs!$E$2:$E$3001,MATCH(G685,Pubs!$A$2:$A$3001,0)),""))</f>
        <v/>
      </c>
      <c r="L685" s="29" t="str">
        <f aca="false">IF(A685="","",IFERROR(1/(1/INDEX(Numéros!$C$2:$C$3001,MATCH(A685&amp;"|"&amp;B685,Numéros!$F$2:$F$3001,0))),""))</f>
        <v/>
      </c>
      <c r="M685" s="27" t="str">
        <f aca="false">IF(OR(G685="",G685="?"),"",IFERROR(INDEX(Pubs!$D$2:$D$3001,MATCH(G685,Pubs!$A$2:$A$3001,0))&amp;"",""))</f>
        <v/>
      </c>
      <c r="N685" s="27" t="n">
        <f aca="false">N(N684)+IF(AND(A685&lt;&gt;"",OR(Recherche!$C$4="",A685=Recherche!$C$4),OR(Recherche!$C$5="",B685&amp;""=Recherche!$C$5&amp;""),OR(Recherche!$C$6="",IFERROR(YEAR(L685),0)=Recherche!$C$6),OR(Recherche!$C$7="",ISNUMBER(SEARCH(Recherche!$C$7,H685))),OR(Recherche!$C$8="",J685=Recherche!$C$8),OR(Recherche!$C$9="",I685=Recherche!$C$9),OR(Recherche!$C$10="",G685&amp;""=Recherche!$C$10&amp;""),OR(Recherche!$C$11="",E685=Recherche!$C$11),OR(Recherche!$C$12="",ISNUMBER(SEARCH(Recherche!$C$12,M685&amp;" "&amp;F685)))),1,0)</f>
        <v>8</v>
      </c>
    </row>
    <row r="686" customFormat="false" ht="15" hidden="false" customHeight="false" outlineLevel="0" collapsed="false">
      <c r="A686" s="19"/>
      <c r="B686" s="19"/>
      <c r="C686" s="19"/>
      <c r="D686" s="19"/>
      <c r="E686" s="22"/>
      <c r="F686" s="19"/>
      <c r="G686" s="26" t="str">
        <f aca="false">IF(D686="","",IFERROR(VALUE(LEFT(D686,FIND(" |",D686&amp;" |")-1)),"?"))</f>
        <v/>
      </c>
      <c r="H686" s="27" t="str">
        <f aca="false">IF(G686="","",IF(G686="?","⚠ pub inconnue",IFERROR(INDEX(Pubs!$B$2:$B$3001,MATCH(G686,Pubs!$A$2:$A$3001,0))&amp;"","⚠ pub inconnue")))</f>
        <v/>
      </c>
      <c r="I686" s="27" t="str">
        <f aca="false">IF(OR(G686="",G686="?"),"",IFERROR(INDEX(Pubs!$C$2:$C$3001,MATCH(G686,Pubs!$A$2:$A$3001,0))&amp;"",""))</f>
        <v/>
      </c>
      <c r="J686" s="27" t="str">
        <f aca="false">IF(OR(G686="",G686="?"),"",IFERROR(INDEX(Pubs!$G$2:$G$3001,MATCH(G686,Pubs!$A$2:$A$3001,0))&amp;"",""))</f>
        <v/>
      </c>
      <c r="K686" s="28" t="str">
        <f aca="false">IF(OR(G686="",G686="?"),"",IFERROR(INDEX(Pubs!$E$2:$E$3001,MATCH(G686,Pubs!$A$2:$A$3001,0)),""))</f>
        <v/>
      </c>
      <c r="L686" s="29" t="str">
        <f aca="false">IF(A686="","",IFERROR(1/(1/INDEX(Numéros!$C$2:$C$3001,MATCH(A686&amp;"|"&amp;B686,Numéros!$F$2:$F$3001,0))),""))</f>
        <v/>
      </c>
      <c r="M686" s="27" t="str">
        <f aca="false">IF(OR(G686="",G686="?"),"",IFERROR(INDEX(Pubs!$D$2:$D$3001,MATCH(G686,Pubs!$A$2:$A$3001,0))&amp;"",""))</f>
        <v/>
      </c>
      <c r="N686" s="27" t="n">
        <f aca="false">N(N685)+IF(AND(A686&lt;&gt;"",OR(Recherche!$C$4="",A686=Recherche!$C$4),OR(Recherche!$C$5="",B686&amp;""=Recherche!$C$5&amp;""),OR(Recherche!$C$6="",IFERROR(YEAR(L686),0)=Recherche!$C$6),OR(Recherche!$C$7="",ISNUMBER(SEARCH(Recherche!$C$7,H686))),OR(Recherche!$C$8="",J686=Recherche!$C$8),OR(Recherche!$C$9="",I686=Recherche!$C$9),OR(Recherche!$C$10="",G686&amp;""=Recherche!$C$10&amp;""),OR(Recherche!$C$11="",E686=Recherche!$C$11),OR(Recherche!$C$12="",ISNUMBER(SEARCH(Recherche!$C$12,M686&amp;" "&amp;F686)))),1,0)</f>
        <v>8</v>
      </c>
    </row>
    <row r="687" customFormat="false" ht="15" hidden="false" customHeight="false" outlineLevel="0" collapsed="false">
      <c r="A687" s="19"/>
      <c r="B687" s="19"/>
      <c r="C687" s="19"/>
      <c r="D687" s="19"/>
      <c r="E687" s="22"/>
      <c r="F687" s="19"/>
      <c r="G687" s="26" t="str">
        <f aca="false">IF(D687="","",IFERROR(VALUE(LEFT(D687,FIND(" |",D687&amp;" |")-1)),"?"))</f>
        <v/>
      </c>
      <c r="H687" s="27" t="str">
        <f aca="false">IF(G687="","",IF(G687="?","⚠ pub inconnue",IFERROR(INDEX(Pubs!$B$2:$B$3001,MATCH(G687,Pubs!$A$2:$A$3001,0))&amp;"","⚠ pub inconnue")))</f>
        <v/>
      </c>
      <c r="I687" s="27" t="str">
        <f aca="false">IF(OR(G687="",G687="?"),"",IFERROR(INDEX(Pubs!$C$2:$C$3001,MATCH(G687,Pubs!$A$2:$A$3001,0))&amp;"",""))</f>
        <v/>
      </c>
      <c r="J687" s="27" t="str">
        <f aca="false">IF(OR(G687="",G687="?"),"",IFERROR(INDEX(Pubs!$G$2:$G$3001,MATCH(G687,Pubs!$A$2:$A$3001,0))&amp;"",""))</f>
        <v/>
      </c>
      <c r="K687" s="28" t="str">
        <f aca="false">IF(OR(G687="",G687="?"),"",IFERROR(INDEX(Pubs!$E$2:$E$3001,MATCH(G687,Pubs!$A$2:$A$3001,0)),""))</f>
        <v/>
      </c>
      <c r="L687" s="29" t="str">
        <f aca="false">IF(A687="","",IFERROR(1/(1/INDEX(Numéros!$C$2:$C$3001,MATCH(A687&amp;"|"&amp;B687,Numéros!$F$2:$F$3001,0))),""))</f>
        <v/>
      </c>
      <c r="M687" s="27" t="str">
        <f aca="false">IF(OR(G687="",G687="?"),"",IFERROR(INDEX(Pubs!$D$2:$D$3001,MATCH(G687,Pubs!$A$2:$A$3001,0))&amp;"",""))</f>
        <v/>
      </c>
      <c r="N687" s="27" t="n">
        <f aca="false">N(N686)+IF(AND(A687&lt;&gt;"",OR(Recherche!$C$4="",A687=Recherche!$C$4),OR(Recherche!$C$5="",B687&amp;""=Recherche!$C$5&amp;""),OR(Recherche!$C$6="",IFERROR(YEAR(L687),0)=Recherche!$C$6),OR(Recherche!$C$7="",ISNUMBER(SEARCH(Recherche!$C$7,H687))),OR(Recherche!$C$8="",J687=Recherche!$C$8),OR(Recherche!$C$9="",I687=Recherche!$C$9),OR(Recherche!$C$10="",G687&amp;""=Recherche!$C$10&amp;""),OR(Recherche!$C$11="",E687=Recherche!$C$11),OR(Recherche!$C$12="",ISNUMBER(SEARCH(Recherche!$C$12,M687&amp;" "&amp;F687)))),1,0)</f>
        <v>8</v>
      </c>
    </row>
    <row r="688" customFormat="false" ht="15" hidden="false" customHeight="false" outlineLevel="0" collapsed="false">
      <c r="A688" s="19"/>
      <c r="B688" s="19"/>
      <c r="C688" s="19"/>
      <c r="D688" s="19"/>
      <c r="E688" s="22"/>
      <c r="F688" s="19"/>
      <c r="G688" s="26" t="str">
        <f aca="false">IF(D688="","",IFERROR(VALUE(LEFT(D688,FIND(" |",D688&amp;" |")-1)),"?"))</f>
        <v/>
      </c>
      <c r="H688" s="27" t="str">
        <f aca="false">IF(G688="","",IF(G688="?","⚠ pub inconnue",IFERROR(INDEX(Pubs!$B$2:$B$3001,MATCH(G688,Pubs!$A$2:$A$3001,0))&amp;"","⚠ pub inconnue")))</f>
        <v/>
      </c>
      <c r="I688" s="27" t="str">
        <f aca="false">IF(OR(G688="",G688="?"),"",IFERROR(INDEX(Pubs!$C$2:$C$3001,MATCH(G688,Pubs!$A$2:$A$3001,0))&amp;"",""))</f>
        <v/>
      </c>
      <c r="J688" s="27" t="str">
        <f aca="false">IF(OR(G688="",G688="?"),"",IFERROR(INDEX(Pubs!$G$2:$G$3001,MATCH(G688,Pubs!$A$2:$A$3001,0))&amp;"",""))</f>
        <v/>
      </c>
      <c r="K688" s="28" t="str">
        <f aca="false">IF(OR(G688="",G688="?"),"",IFERROR(INDEX(Pubs!$E$2:$E$3001,MATCH(G688,Pubs!$A$2:$A$3001,0)),""))</f>
        <v/>
      </c>
      <c r="L688" s="29" t="str">
        <f aca="false">IF(A688="","",IFERROR(1/(1/INDEX(Numéros!$C$2:$C$3001,MATCH(A688&amp;"|"&amp;B688,Numéros!$F$2:$F$3001,0))),""))</f>
        <v/>
      </c>
      <c r="M688" s="27" t="str">
        <f aca="false">IF(OR(G688="",G688="?"),"",IFERROR(INDEX(Pubs!$D$2:$D$3001,MATCH(G688,Pubs!$A$2:$A$3001,0))&amp;"",""))</f>
        <v/>
      </c>
      <c r="N688" s="27" t="n">
        <f aca="false">N(N687)+IF(AND(A688&lt;&gt;"",OR(Recherche!$C$4="",A688=Recherche!$C$4),OR(Recherche!$C$5="",B688&amp;""=Recherche!$C$5&amp;""),OR(Recherche!$C$6="",IFERROR(YEAR(L688),0)=Recherche!$C$6),OR(Recherche!$C$7="",ISNUMBER(SEARCH(Recherche!$C$7,H688))),OR(Recherche!$C$8="",J688=Recherche!$C$8),OR(Recherche!$C$9="",I688=Recherche!$C$9),OR(Recherche!$C$10="",G688&amp;""=Recherche!$C$10&amp;""),OR(Recherche!$C$11="",E688=Recherche!$C$11),OR(Recherche!$C$12="",ISNUMBER(SEARCH(Recherche!$C$12,M688&amp;" "&amp;F688)))),1,0)</f>
        <v>8</v>
      </c>
    </row>
    <row r="689" customFormat="false" ht="15" hidden="false" customHeight="false" outlineLevel="0" collapsed="false">
      <c r="A689" s="19"/>
      <c r="B689" s="19"/>
      <c r="C689" s="19"/>
      <c r="D689" s="19"/>
      <c r="E689" s="22"/>
      <c r="F689" s="19"/>
      <c r="G689" s="26" t="str">
        <f aca="false">IF(D689="","",IFERROR(VALUE(LEFT(D689,FIND(" |",D689&amp;" |")-1)),"?"))</f>
        <v/>
      </c>
      <c r="H689" s="27" t="str">
        <f aca="false">IF(G689="","",IF(G689="?","⚠ pub inconnue",IFERROR(INDEX(Pubs!$B$2:$B$3001,MATCH(G689,Pubs!$A$2:$A$3001,0))&amp;"","⚠ pub inconnue")))</f>
        <v/>
      </c>
      <c r="I689" s="27" t="str">
        <f aca="false">IF(OR(G689="",G689="?"),"",IFERROR(INDEX(Pubs!$C$2:$C$3001,MATCH(G689,Pubs!$A$2:$A$3001,0))&amp;"",""))</f>
        <v/>
      </c>
      <c r="J689" s="27" t="str">
        <f aca="false">IF(OR(G689="",G689="?"),"",IFERROR(INDEX(Pubs!$G$2:$G$3001,MATCH(G689,Pubs!$A$2:$A$3001,0))&amp;"",""))</f>
        <v/>
      </c>
      <c r="K689" s="28" t="str">
        <f aca="false">IF(OR(G689="",G689="?"),"",IFERROR(INDEX(Pubs!$E$2:$E$3001,MATCH(G689,Pubs!$A$2:$A$3001,0)),""))</f>
        <v/>
      </c>
      <c r="L689" s="29" t="str">
        <f aca="false">IF(A689="","",IFERROR(1/(1/INDEX(Numéros!$C$2:$C$3001,MATCH(A689&amp;"|"&amp;B689,Numéros!$F$2:$F$3001,0))),""))</f>
        <v/>
      </c>
      <c r="M689" s="27" t="str">
        <f aca="false">IF(OR(G689="",G689="?"),"",IFERROR(INDEX(Pubs!$D$2:$D$3001,MATCH(G689,Pubs!$A$2:$A$3001,0))&amp;"",""))</f>
        <v/>
      </c>
      <c r="N689" s="27" t="n">
        <f aca="false">N(N688)+IF(AND(A689&lt;&gt;"",OR(Recherche!$C$4="",A689=Recherche!$C$4),OR(Recherche!$C$5="",B689&amp;""=Recherche!$C$5&amp;""),OR(Recherche!$C$6="",IFERROR(YEAR(L689),0)=Recherche!$C$6),OR(Recherche!$C$7="",ISNUMBER(SEARCH(Recherche!$C$7,H689))),OR(Recherche!$C$8="",J689=Recherche!$C$8),OR(Recherche!$C$9="",I689=Recherche!$C$9),OR(Recherche!$C$10="",G689&amp;""=Recherche!$C$10&amp;""),OR(Recherche!$C$11="",E689=Recherche!$C$11),OR(Recherche!$C$12="",ISNUMBER(SEARCH(Recherche!$C$12,M689&amp;" "&amp;F689)))),1,0)</f>
        <v>8</v>
      </c>
    </row>
    <row r="690" customFormat="false" ht="15" hidden="false" customHeight="false" outlineLevel="0" collapsed="false">
      <c r="A690" s="19"/>
      <c r="B690" s="19"/>
      <c r="C690" s="19"/>
      <c r="D690" s="19"/>
      <c r="E690" s="22"/>
      <c r="F690" s="19"/>
      <c r="G690" s="26" t="str">
        <f aca="false">IF(D690="","",IFERROR(VALUE(LEFT(D690,FIND(" |",D690&amp;" |")-1)),"?"))</f>
        <v/>
      </c>
      <c r="H690" s="27" t="str">
        <f aca="false">IF(G690="","",IF(G690="?","⚠ pub inconnue",IFERROR(INDEX(Pubs!$B$2:$B$3001,MATCH(G690,Pubs!$A$2:$A$3001,0))&amp;"","⚠ pub inconnue")))</f>
        <v/>
      </c>
      <c r="I690" s="27" t="str">
        <f aca="false">IF(OR(G690="",G690="?"),"",IFERROR(INDEX(Pubs!$C$2:$C$3001,MATCH(G690,Pubs!$A$2:$A$3001,0))&amp;"",""))</f>
        <v/>
      </c>
      <c r="J690" s="27" t="str">
        <f aca="false">IF(OR(G690="",G690="?"),"",IFERROR(INDEX(Pubs!$G$2:$G$3001,MATCH(G690,Pubs!$A$2:$A$3001,0))&amp;"",""))</f>
        <v/>
      </c>
      <c r="K690" s="28" t="str">
        <f aca="false">IF(OR(G690="",G690="?"),"",IFERROR(INDEX(Pubs!$E$2:$E$3001,MATCH(G690,Pubs!$A$2:$A$3001,0)),""))</f>
        <v/>
      </c>
      <c r="L690" s="29" t="str">
        <f aca="false">IF(A690="","",IFERROR(1/(1/INDEX(Numéros!$C$2:$C$3001,MATCH(A690&amp;"|"&amp;B690,Numéros!$F$2:$F$3001,0))),""))</f>
        <v/>
      </c>
      <c r="M690" s="27" t="str">
        <f aca="false">IF(OR(G690="",G690="?"),"",IFERROR(INDEX(Pubs!$D$2:$D$3001,MATCH(G690,Pubs!$A$2:$A$3001,0))&amp;"",""))</f>
        <v/>
      </c>
      <c r="N690" s="27" t="n">
        <f aca="false">N(N689)+IF(AND(A690&lt;&gt;"",OR(Recherche!$C$4="",A690=Recherche!$C$4),OR(Recherche!$C$5="",B690&amp;""=Recherche!$C$5&amp;""),OR(Recherche!$C$6="",IFERROR(YEAR(L690),0)=Recherche!$C$6),OR(Recherche!$C$7="",ISNUMBER(SEARCH(Recherche!$C$7,H690))),OR(Recherche!$C$8="",J690=Recherche!$C$8),OR(Recherche!$C$9="",I690=Recherche!$C$9),OR(Recherche!$C$10="",G690&amp;""=Recherche!$C$10&amp;""),OR(Recherche!$C$11="",E690=Recherche!$C$11),OR(Recherche!$C$12="",ISNUMBER(SEARCH(Recherche!$C$12,M690&amp;" "&amp;F690)))),1,0)</f>
        <v>8</v>
      </c>
    </row>
    <row r="691" customFormat="false" ht="15" hidden="false" customHeight="false" outlineLevel="0" collapsed="false">
      <c r="A691" s="19"/>
      <c r="B691" s="19"/>
      <c r="C691" s="19"/>
      <c r="D691" s="19"/>
      <c r="E691" s="22"/>
      <c r="F691" s="19"/>
      <c r="G691" s="26" t="str">
        <f aca="false">IF(D691="","",IFERROR(VALUE(LEFT(D691,FIND(" |",D691&amp;" |")-1)),"?"))</f>
        <v/>
      </c>
      <c r="H691" s="27" t="str">
        <f aca="false">IF(G691="","",IF(G691="?","⚠ pub inconnue",IFERROR(INDEX(Pubs!$B$2:$B$3001,MATCH(G691,Pubs!$A$2:$A$3001,0))&amp;"","⚠ pub inconnue")))</f>
        <v/>
      </c>
      <c r="I691" s="27" t="str">
        <f aca="false">IF(OR(G691="",G691="?"),"",IFERROR(INDEX(Pubs!$C$2:$C$3001,MATCH(G691,Pubs!$A$2:$A$3001,0))&amp;"",""))</f>
        <v/>
      </c>
      <c r="J691" s="27" t="str">
        <f aca="false">IF(OR(G691="",G691="?"),"",IFERROR(INDEX(Pubs!$G$2:$G$3001,MATCH(G691,Pubs!$A$2:$A$3001,0))&amp;"",""))</f>
        <v/>
      </c>
      <c r="K691" s="28" t="str">
        <f aca="false">IF(OR(G691="",G691="?"),"",IFERROR(INDEX(Pubs!$E$2:$E$3001,MATCH(G691,Pubs!$A$2:$A$3001,0)),""))</f>
        <v/>
      </c>
      <c r="L691" s="29" t="str">
        <f aca="false">IF(A691="","",IFERROR(1/(1/INDEX(Numéros!$C$2:$C$3001,MATCH(A691&amp;"|"&amp;B691,Numéros!$F$2:$F$3001,0))),""))</f>
        <v/>
      </c>
      <c r="M691" s="27" t="str">
        <f aca="false">IF(OR(G691="",G691="?"),"",IFERROR(INDEX(Pubs!$D$2:$D$3001,MATCH(G691,Pubs!$A$2:$A$3001,0))&amp;"",""))</f>
        <v/>
      </c>
      <c r="N691" s="27" t="n">
        <f aca="false">N(N690)+IF(AND(A691&lt;&gt;"",OR(Recherche!$C$4="",A691=Recherche!$C$4),OR(Recherche!$C$5="",B691&amp;""=Recherche!$C$5&amp;""),OR(Recherche!$C$6="",IFERROR(YEAR(L691),0)=Recherche!$C$6),OR(Recherche!$C$7="",ISNUMBER(SEARCH(Recherche!$C$7,H691))),OR(Recherche!$C$8="",J691=Recherche!$C$8),OR(Recherche!$C$9="",I691=Recherche!$C$9),OR(Recherche!$C$10="",G691&amp;""=Recherche!$C$10&amp;""),OR(Recherche!$C$11="",E691=Recherche!$C$11),OR(Recherche!$C$12="",ISNUMBER(SEARCH(Recherche!$C$12,M691&amp;" "&amp;F691)))),1,0)</f>
        <v>8</v>
      </c>
    </row>
    <row r="692" customFormat="false" ht="15" hidden="false" customHeight="false" outlineLevel="0" collapsed="false">
      <c r="A692" s="19"/>
      <c r="B692" s="19"/>
      <c r="C692" s="19"/>
      <c r="D692" s="19"/>
      <c r="E692" s="22"/>
      <c r="F692" s="19"/>
      <c r="G692" s="26" t="str">
        <f aca="false">IF(D692="","",IFERROR(VALUE(LEFT(D692,FIND(" |",D692&amp;" |")-1)),"?"))</f>
        <v/>
      </c>
      <c r="H692" s="27" t="str">
        <f aca="false">IF(G692="","",IF(G692="?","⚠ pub inconnue",IFERROR(INDEX(Pubs!$B$2:$B$3001,MATCH(G692,Pubs!$A$2:$A$3001,0))&amp;"","⚠ pub inconnue")))</f>
        <v/>
      </c>
      <c r="I692" s="27" t="str">
        <f aca="false">IF(OR(G692="",G692="?"),"",IFERROR(INDEX(Pubs!$C$2:$C$3001,MATCH(G692,Pubs!$A$2:$A$3001,0))&amp;"",""))</f>
        <v/>
      </c>
      <c r="J692" s="27" t="str">
        <f aca="false">IF(OR(G692="",G692="?"),"",IFERROR(INDEX(Pubs!$G$2:$G$3001,MATCH(G692,Pubs!$A$2:$A$3001,0))&amp;"",""))</f>
        <v/>
      </c>
      <c r="K692" s="28" t="str">
        <f aca="false">IF(OR(G692="",G692="?"),"",IFERROR(INDEX(Pubs!$E$2:$E$3001,MATCH(G692,Pubs!$A$2:$A$3001,0)),""))</f>
        <v/>
      </c>
      <c r="L692" s="29" t="str">
        <f aca="false">IF(A692="","",IFERROR(1/(1/INDEX(Numéros!$C$2:$C$3001,MATCH(A692&amp;"|"&amp;B692,Numéros!$F$2:$F$3001,0))),""))</f>
        <v/>
      </c>
      <c r="M692" s="27" t="str">
        <f aca="false">IF(OR(G692="",G692="?"),"",IFERROR(INDEX(Pubs!$D$2:$D$3001,MATCH(G692,Pubs!$A$2:$A$3001,0))&amp;"",""))</f>
        <v/>
      </c>
      <c r="N692" s="27" t="n">
        <f aca="false">N(N691)+IF(AND(A692&lt;&gt;"",OR(Recherche!$C$4="",A692=Recherche!$C$4),OR(Recherche!$C$5="",B692&amp;""=Recherche!$C$5&amp;""),OR(Recherche!$C$6="",IFERROR(YEAR(L692),0)=Recherche!$C$6),OR(Recherche!$C$7="",ISNUMBER(SEARCH(Recherche!$C$7,H692))),OR(Recherche!$C$8="",J692=Recherche!$C$8),OR(Recherche!$C$9="",I692=Recherche!$C$9),OR(Recherche!$C$10="",G692&amp;""=Recherche!$C$10&amp;""),OR(Recherche!$C$11="",E692=Recherche!$C$11),OR(Recherche!$C$12="",ISNUMBER(SEARCH(Recherche!$C$12,M692&amp;" "&amp;F692)))),1,0)</f>
        <v>8</v>
      </c>
    </row>
    <row r="693" customFormat="false" ht="15" hidden="false" customHeight="false" outlineLevel="0" collapsed="false">
      <c r="A693" s="19"/>
      <c r="B693" s="19"/>
      <c r="C693" s="19"/>
      <c r="D693" s="19"/>
      <c r="E693" s="22"/>
      <c r="F693" s="19"/>
      <c r="G693" s="26" t="str">
        <f aca="false">IF(D693="","",IFERROR(VALUE(LEFT(D693,FIND(" |",D693&amp;" |")-1)),"?"))</f>
        <v/>
      </c>
      <c r="H693" s="27" t="str">
        <f aca="false">IF(G693="","",IF(G693="?","⚠ pub inconnue",IFERROR(INDEX(Pubs!$B$2:$B$3001,MATCH(G693,Pubs!$A$2:$A$3001,0))&amp;"","⚠ pub inconnue")))</f>
        <v/>
      </c>
      <c r="I693" s="27" t="str">
        <f aca="false">IF(OR(G693="",G693="?"),"",IFERROR(INDEX(Pubs!$C$2:$C$3001,MATCH(G693,Pubs!$A$2:$A$3001,0))&amp;"",""))</f>
        <v/>
      </c>
      <c r="J693" s="27" t="str">
        <f aca="false">IF(OR(G693="",G693="?"),"",IFERROR(INDEX(Pubs!$G$2:$G$3001,MATCH(G693,Pubs!$A$2:$A$3001,0))&amp;"",""))</f>
        <v/>
      </c>
      <c r="K693" s="28" t="str">
        <f aca="false">IF(OR(G693="",G693="?"),"",IFERROR(INDEX(Pubs!$E$2:$E$3001,MATCH(G693,Pubs!$A$2:$A$3001,0)),""))</f>
        <v/>
      </c>
      <c r="L693" s="29" t="str">
        <f aca="false">IF(A693="","",IFERROR(1/(1/INDEX(Numéros!$C$2:$C$3001,MATCH(A693&amp;"|"&amp;B693,Numéros!$F$2:$F$3001,0))),""))</f>
        <v/>
      </c>
      <c r="M693" s="27" t="str">
        <f aca="false">IF(OR(G693="",G693="?"),"",IFERROR(INDEX(Pubs!$D$2:$D$3001,MATCH(G693,Pubs!$A$2:$A$3001,0))&amp;"",""))</f>
        <v/>
      </c>
      <c r="N693" s="27" t="n">
        <f aca="false">N(N692)+IF(AND(A693&lt;&gt;"",OR(Recherche!$C$4="",A693=Recherche!$C$4),OR(Recherche!$C$5="",B693&amp;""=Recherche!$C$5&amp;""),OR(Recherche!$C$6="",IFERROR(YEAR(L693),0)=Recherche!$C$6),OR(Recherche!$C$7="",ISNUMBER(SEARCH(Recherche!$C$7,H693))),OR(Recherche!$C$8="",J693=Recherche!$C$8),OR(Recherche!$C$9="",I693=Recherche!$C$9),OR(Recherche!$C$10="",G693&amp;""=Recherche!$C$10&amp;""),OR(Recherche!$C$11="",E693=Recherche!$C$11),OR(Recherche!$C$12="",ISNUMBER(SEARCH(Recherche!$C$12,M693&amp;" "&amp;F693)))),1,0)</f>
        <v>8</v>
      </c>
    </row>
    <row r="694" customFormat="false" ht="15" hidden="false" customHeight="false" outlineLevel="0" collapsed="false">
      <c r="A694" s="19"/>
      <c r="B694" s="19"/>
      <c r="C694" s="19"/>
      <c r="D694" s="19"/>
      <c r="E694" s="22"/>
      <c r="F694" s="19"/>
      <c r="G694" s="26" t="str">
        <f aca="false">IF(D694="","",IFERROR(VALUE(LEFT(D694,FIND(" |",D694&amp;" |")-1)),"?"))</f>
        <v/>
      </c>
      <c r="H694" s="27" t="str">
        <f aca="false">IF(G694="","",IF(G694="?","⚠ pub inconnue",IFERROR(INDEX(Pubs!$B$2:$B$3001,MATCH(G694,Pubs!$A$2:$A$3001,0))&amp;"","⚠ pub inconnue")))</f>
        <v/>
      </c>
      <c r="I694" s="27" t="str">
        <f aca="false">IF(OR(G694="",G694="?"),"",IFERROR(INDEX(Pubs!$C$2:$C$3001,MATCH(G694,Pubs!$A$2:$A$3001,0))&amp;"",""))</f>
        <v/>
      </c>
      <c r="J694" s="27" t="str">
        <f aca="false">IF(OR(G694="",G694="?"),"",IFERROR(INDEX(Pubs!$G$2:$G$3001,MATCH(G694,Pubs!$A$2:$A$3001,0))&amp;"",""))</f>
        <v/>
      </c>
      <c r="K694" s="28" t="str">
        <f aca="false">IF(OR(G694="",G694="?"),"",IFERROR(INDEX(Pubs!$E$2:$E$3001,MATCH(G694,Pubs!$A$2:$A$3001,0)),""))</f>
        <v/>
      </c>
      <c r="L694" s="29" t="str">
        <f aca="false">IF(A694="","",IFERROR(1/(1/INDEX(Numéros!$C$2:$C$3001,MATCH(A694&amp;"|"&amp;B694,Numéros!$F$2:$F$3001,0))),""))</f>
        <v/>
      </c>
      <c r="M694" s="27" t="str">
        <f aca="false">IF(OR(G694="",G694="?"),"",IFERROR(INDEX(Pubs!$D$2:$D$3001,MATCH(G694,Pubs!$A$2:$A$3001,0))&amp;"",""))</f>
        <v/>
      </c>
      <c r="N694" s="27" t="n">
        <f aca="false">N(N693)+IF(AND(A694&lt;&gt;"",OR(Recherche!$C$4="",A694=Recherche!$C$4),OR(Recherche!$C$5="",B694&amp;""=Recherche!$C$5&amp;""),OR(Recherche!$C$6="",IFERROR(YEAR(L694),0)=Recherche!$C$6),OR(Recherche!$C$7="",ISNUMBER(SEARCH(Recherche!$C$7,H694))),OR(Recherche!$C$8="",J694=Recherche!$C$8),OR(Recherche!$C$9="",I694=Recherche!$C$9),OR(Recherche!$C$10="",G694&amp;""=Recherche!$C$10&amp;""),OR(Recherche!$C$11="",E694=Recherche!$C$11),OR(Recherche!$C$12="",ISNUMBER(SEARCH(Recherche!$C$12,M694&amp;" "&amp;F694)))),1,0)</f>
        <v>8</v>
      </c>
    </row>
    <row r="695" customFormat="false" ht="15" hidden="false" customHeight="false" outlineLevel="0" collapsed="false">
      <c r="A695" s="19"/>
      <c r="B695" s="19"/>
      <c r="C695" s="19"/>
      <c r="D695" s="19"/>
      <c r="E695" s="22"/>
      <c r="F695" s="19"/>
      <c r="G695" s="26" t="str">
        <f aca="false">IF(D695="","",IFERROR(VALUE(LEFT(D695,FIND(" |",D695&amp;" |")-1)),"?"))</f>
        <v/>
      </c>
      <c r="H695" s="27" t="str">
        <f aca="false">IF(G695="","",IF(G695="?","⚠ pub inconnue",IFERROR(INDEX(Pubs!$B$2:$B$3001,MATCH(G695,Pubs!$A$2:$A$3001,0))&amp;"","⚠ pub inconnue")))</f>
        <v/>
      </c>
      <c r="I695" s="27" t="str">
        <f aca="false">IF(OR(G695="",G695="?"),"",IFERROR(INDEX(Pubs!$C$2:$C$3001,MATCH(G695,Pubs!$A$2:$A$3001,0))&amp;"",""))</f>
        <v/>
      </c>
      <c r="J695" s="27" t="str">
        <f aca="false">IF(OR(G695="",G695="?"),"",IFERROR(INDEX(Pubs!$G$2:$G$3001,MATCH(G695,Pubs!$A$2:$A$3001,0))&amp;"",""))</f>
        <v/>
      </c>
      <c r="K695" s="28" t="str">
        <f aca="false">IF(OR(G695="",G695="?"),"",IFERROR(INDEX(Pubs!$E$2:$E$3001,MATCH(G695,Pubs!$A$2:$A$3001,0)),""))</f>
        <v/>
      </c>
      <c r="L695" s="29" t="str">
        <f aca="false">IF(A695="","",IFERROR(1/(1/INDEX(Numéros!$C$2:$C$3001,MATCH(A695&amp;"|"&amp;B695,Numéros!$F$2:$F$3001,0))),""))</f>
        <v/>
      </c>
      <c r="M695" s="27" t="str">
        <f aca="false">IF(OR(G695="",G695="?"),"",IFERROR(INDEX(Pubs!$D$2:$D$3001,MATCH(G695,Pubs!$A$2:$A$3001,0))&amp;"",""))</f>
        <v/>
      </c>
      <c r="N695" s="27" t="n">
        <f aca="false">N(N694)+IF(AND(A695&lt;&gt;"",OR(Recherche!$C$4="",A695=Recherche!$C$4),OR(Recherche!$C$5="",B695&amp;""=Recherche!$C$5&amp;""),OR(Recherche!$C$6="",IFERROR(YEAR(L695),0)=Recherche!$C$6),OR(Recherche!$C$7="",ISNUMBER(SEARCH(Recherche!$C$7,H695))),OR(Recherche!$C$8="",J695=Recherche!$C$8),OR(Recherche!$C$9="",I695=Recherche!$C$9),OR(Recherche!$C$10="",G695&amp;""=Recherche!$C$10&amp;""),OR(Recherche!$C$11="",E695=Recherche!$C$11),OR(Recherche!$C$12="",ISNUMBER(SEARCH(Recherche!$C$12,M695&amp;" "&amp;F695)))),1,0)</f>
        <v>8</v>
      </c>
    </row>
    <row r="696" customFormat="false" ht="15" hidden="false" customHeight="false" outlineLevel="0" collapsed="false">
      <c r="A696" s="19"/>
      <c r="B696" s="19"/>
      <c r="C696" s="19"/>
      <c r="D696" s="19"/>
      <c r="E696" s="22"/>
      <c r="F696" s="19"/>
      <c r="G696" s="26" t="str">
        <f aca="false">IF(D696="","",IFERROR(VALUE(LEFT(D696,FIND(" |",D696&amp;" |")-1)),"?"))</f>
        <v/>
      </c>
      <c r="H696" s="27" t="str">
        <f aca="false">IF(G696="","",IF(G696="?","⚠ pub inconnue",IFERROR(INDEX(Pubs!$B$2:$B$3001,MATCH(G696,Pubs!$A$2:$A$3001,0))&amp;"","⚠ pub inconnue")))</f>
        <v/>
      </c>
      <c r="I696" s="27" t="str">
        <f aca="false">IF(OR(G696="",G696="?"),"",IFERROR(INDEX(Pubs!$C$2:$C$3001,MATCH(G696,Pubs!$A$2:$A$3001,0))&amp;"",""))</f>
        <v/>
      </c>
      <c r="J696" s="27" t="str">
        <f aca="false">IF(OR(G696="",G696="?"),"",IFERROR(INDEX(Pubs!$G$2:$G$3001,MATCH(G696,Pubs!$A$2:$A$3001,0))&amp;"",""))</f>
        <v/>
      </c>
      <c r="K696" s="28" t="str">
        <f aca="false">IF(OR(G696="",G696="?"),"",IFERROR(INDEX(Pubs!$E$2:$E$3001,MATCH(G696,Pubs!$A$2:$A$3001,0)),""))</f>
        <v/>
      </c>
      <c r="L696" s="29" t="str">
        <f aca="false">IF(A696="","",IFERROR(1/(1/INDEX(Numéros!$C$2:$C$3001,MATCH(A696&amp;"|"&amp;B696,Numéros!$F$2:$F$3001,0))),""))</f>
        <v/>
      </c>
      <c r="M696" s="27" t="str">
        <f aca="false">IF(OR(G696="",G696="?"),"",IFERROR(INDEX(Pubs!$D$2:$D$3001,MATCH(G696,Pubs!$A$2:$A$3001,0))&amp;"",""))</f>
        <v/>
      </c>
      <c r="N696" s="27" t="n">
        <f aca="false">N(N695)+IF(AND(A696&lt;&gt;"",OR(Recherche!$C$4="",A696=Recherche!$C$4),OR(Recherche!$C$5="",B696&amp;""=Recherche!$C$5&amp;""),OR(Recherche!$C$6="",IFERROR(YEAR(L696),0)=Recherche!$C$6),OR(Recherche!$C$7="",ISNUMBER(SEARCH(Recherche!$C$7,H696))),OR(Recherche!$C$8="",J696=Recherche!$C$8),OR(Recherche!$C$9="",I696=Recherche!$C$9),OR(Recherche!$C$10="",G696&amp;""=Recherche!$C$10&amp;""),OR(Recherche!$C$11="",E696=Recherche!$C$11),OR(Recherche!$C$12="",ISNUMBER(SEARCH(Recherche!$C$12,M696&amp;" "&amp;F696)))),1,0)</f>
        <v>8</v>
      </c>
    </row>
    <row r="697" customFormat="false" ht="15" hidden="false" customHeight="false" outlineLevel="0" collapsed="false">
      <c r="A697" s="19"/>
      <c r="B697" s="19"/>
      <c r="C697" s="19"/>
      <c r="D697" s="19"/>
      <c r="E697" s="22"/>
      <c r="F697" s="19"/>
      <c r="G697" s="26" t="str">
        <f aca="false">IF(D697="","",IFERROR(VALUE(LEFT(D697,FIND(" |",D697&amp;" |")-1)),"?"))</f>
        <v/>
      </c>
      <c r="H697" s="27" t="str">
        <f aca="false">IF(G697="","",IF(G697="?","⚠ pub inconnue",IFERROR(INDEX(Pubs!$B$2:$B$3001,MATCH(G697,Pubs!$A$2:$A$3001,0))&amp;"","⚠ pub inconnue")))</f>
        <v/>
      </c>
      <c r="I697" s="27" t="str">
        <f aca="false">IF(OR(G697="",G697="?"),"",IFERROR(INDEX(Pubs!$C$2:$C$3001,MATCH(G697,Pubs!$A$2:$A$3001,0))&amp;"",""))</f>
        <v/>
      </c>
      <c r="J697" s="27" t="str">
        <f aca="false">IF(OR(G697="",G697="?"),"",IFERROR(INDEX(Pubs!$G$2:$G$3001,MATCH(G697,Pubs!$A$2:$A$3001,0))&amp;"",""))</f>
        <v/>
      </c>
      <c r="K697" s="28" t="str">
        <f aca="false">IF(OR(G697="",G697="?"),"",IFERROR(INDEX(Pubs!$E$2:$E$3001,MATCH(G697,Pubs!$A$2:$A$3001,0)),""))</f>
        <v/>
      </c>
      <c r="L697" s="29" t="str">
        <f aca="false">IF(A697="","",IFERROR(1/(1/INDEX(Numéros!$C$2:$C$3001,MATCH(A697&amp;"|"&amp;B697,Numéros!$F$2:$F$3001,0))),""))</f>
        <v/>
      </c>
      <c r="M697" s="27" t="str">
        <f aca="false">IF(OR(G697="",G697="?"),"",IFERROR(INDEX(Pubs!$D$2:$D$3001,MATCH(G697,Pubs!$A$2:$A$3001,0))&amp;"",""))</f>
        <v/>
      </c>
      <c r="N697" s="27" t="n">
        <f aca="false">N(N696)+IF(AND(A697&lt;&gt;"",OR(Recherche!$C$4="",A697=Recherche!$C$4),OR(Recherche!$C$5="",B697&amp;""=Recherche!$C$5&amp;""),OR(Recherche!$C$6="",IFERROR(YEAR(L697),0)=Recherche!$C$6),OR(Recherche!$C$7="",ISNUMBER(SEARCH(Recherche!$C$7,H697))),OR(Recherche!$C$8="",J697=Recherche!$C$8),OR(Recherche!$C$9="",I697=Recherche!$C$9),OR(Recherche!$C$10="",G697&amp;""=Recherche!$C$10&amp;""),OR(Recherche!$C$11="",E697=Recherche!$C$11),OR(Recherche!$C$12="",ISNUMBER(SEARCH(Recherche!$C$12,M697&amp;" "&amp;F697)))),1,0)</f>
        <v>8</v>
      </c>
    </row>
    <row r="698" customFormat="false" ht="15" hidden="false" customHeight="false" outlineLevel="0" collapsed="false">
      <c r="A698" s="19"/>
      <c r="B698" s="19"/>
      <c r="C698" s="19"/>
      <c r="D698" s="19"/>
      <c r="E698" s="22"/>
      <c r="F698" s="19"/>
      <c r="G698" s="26" t="str">
        <f aca="false">IF(D698="","",IFERROR(VALUE(LEFT(D698,FIND(" |",D698&amp;" |")-1)),"?"))</f>
        <v/>
      </c>
      <c r="H698" s="27" t="str">
        <f aca="false">IF(G698="","",IF(G698="?","⚠ pub inconnue",IFERROR(INDEX(Pubs!$B$2:$B$3001,MATCH(G698,Pubs!$A$2:$A$3001,0))&amp;"","⚠ pub inconnue")))</f>
        <v/>
      </c>
      <c r="I698" s="27" t="str">
        <f aca="false">IF(OR(G698="",G698="?"),"",IFERROR(INDEX(Pubs!$C$2:$C$3001,MATCH(G698,Pubs!$A$2:$A$3001,0))&amp;"",""))</f>
        <v/>
      </c>
      <c r="J698" s="27" t="str">
        <f aca="false">IF(OR(G698="",G698="?"),"",IFERROR(INDEX(Pubs!$G$2:$G$3001,MATCH(G698,Pubs!$A$2:$A$3001,0))&amp;"",""))</f>
        <v/>
      </c>
      <c r="K698" s="28" t="str">
        <f aca="false">IF(OR(G698="",G698="?"),"",IFERROR(INDEX(Pubs!$E$2:$E$3001,MATCH(G698,Pubs!$A$2:$A$3001,0)),""))</f>
        <v/>
      </c>
      <c r="L698" s="29" t="str">
        <f aca="false">IF(A698="","",IFERROR(1/(1/INDEX(Numéros!$C$2:$C$3001,MATCH(A698&amp;"|"&amp;B698,Numéros!$F$2:$F$3001,0))),""))</f>
        <v/>
      </c>
      <c r="M698" s="27" t="str">
        <f aca="false">IF(OR(G698="",G698="?"),"",IFERROR(INDEX(Pubs!$D$2:$D$3001,MATCH(G698,Pubs!$A$2:$A$3001,0))&amp;"",""))</f>
        <v/>
      </c>
      <c r="N698" s="27" t="n">
        <f aca="false">N(N697)+IF(AND(A698&lt;&gt;"",OR(Recherche!$C$4="",A698=Recherche!$C$4),OR(Recherche!$C$5="",B698&amp;""=Recherche!$C$5&amp;""),OR(Recherche!$C$6="",IFERROR(YEAR(L698),0)=Recherche!$C$6),OR(Recherche!$C$7="",ISNUMBER(SEARCH(Recherche!$C$7,H698))),OR(Recherche!$C$8="",J698=Recherche!$C$8),OR(Recherche!$C$9="",I698=Recherche!$C$9),OR(Recherche!$C$10="",G698&amp;""=Recherche!$C$10&amp;""),OR(Recherche!$C$11="",E698=Recherche!$C$11),OR(Recherche!$C$12="",ISNUMBER(SEARCH(Recherche!$C$12,M698&amp;" "&amp;F698)))),1,0)</f>
        <v>8</v>
      </c>
    </row>
    <row r="699" customFormat="false" ht="15" hidden="false" customHeight="false" outlineLevel="0" collapsed="false">
      <c r="A699" s="19"/>
      <c r="B699" s="19"/>
      <c r="C699" s="19"/>
      <c r="D699" s="19"/>
      <c r="E699" s="22"/>
      <c r="F699" s="19"/>
      <c r="G699" s="26" t="str">
        <f aca="false">IF(D699="","",IFERROR(VALUE(LEFT(D699,FIND(" |",D699&amp;" |")-1)),"?"))</f>
        <v/>
      </c>
      <c r="H699" s="27" t="str">
        <f aca="false">IF(G699="","",IF(G699="?","⚠ pub inconnue",IFERROR(INDEX(Pubs!$B$2:$B$3001,MATCH(G699,Pubs!$A$2:$A$3001,0))&amp;"","⚠ pub inconnue")))</f>
        <v/>
      </c>
      <c r="I699" s="27" t="str">
        <f aca="false">IF(OR(G699="",G699="?"),"",IFERROR(INDEX(Pubs!$C$2:$C$3001,MATCH(G699,Pubs!$A$2:$A$3001,0))&amp;"",""))</f>
        <v/>
      </c>
      <c r="J699" s="27" t="str">
        <f aca="false">IF(OR(G699="",G699="?"),"",IFERROR(INDEX(Pubs!$G$2:$G$3001,MATCH(G699,Pubs!$A$2:$A$3001,0))&amp;"",""))</f>
        <v/>
      </c>
      <c r="K699" s="28" t="str">
        <f aca="false">IF(OR(G699="",G699="?"),"",IFERROR(INDEX(Pubs!$E$2:$E$3001,MATCH(G699,Pubs!$A$2:$A$3001,0)),""))</f>
        <v/>
      </c>
      <c r="L699" s="29" t="str">
        <f aca="false">IF(A699="","",IFERROR(1/(1/INDEX(Numéros!$C$2:$C$3001,MATCH(A699&amp;"|"&amp;B699,Numéros!$F$2:$F$3001,0))),""))</f>
        <v/>
      </c>
      <c r="M699" s="27" t="str">
        <f aca="false">IF(OR(G699="",G699="?"),"",IFERROR(INDEX(Pubs!$D$2:$D$3001,MATCH(G699,Pubs!$A$2:$A$3001,0))&amp;"",""))</f>
        <v/>
      </c>
      <c r="N699" s="27" t="n">
        <f aca="false">N(N698)+IF(AND(A699&lt;&gt;"",OR(Recherche!$C$4="",A699=Recherche!$C$4),OR(Recherche!$C$5="",B699&amp;""=Recherche!$C$5&amp;""),OR(Recherche!$C$6="",IFERROR(YEAR(L699),0)=Recherche!$C$6),OR(Recherche!$C$7="",ISNUMBER(SEARCH(Recherche!$C$7,H699))),OR(Recherche!$C$8="",J699=Recherche!$C$8),OR(Recherche!$C$9="",I699=Recherche!$C$9),OR(Recherche!$C$10="",G699&amp;""=Recherche!$C$10&amp;""),OR(Recherche!$C$11="",E699=Recherche!$C$11),OR(Recherche!$C$12="",ISNUMBER(SEARCH(Recherche!$C$12,M699&amp;" "&amp;F699)))),1,0)</f>
        <v>8</v>
      </c>
    </row>
    <row r="700" customFormat="false" ht="15" hidden="false" customHeight="false" outlineLevel="0" collapsed="false">
      <c r="A700" s="19"/>
      <c r="B700" s="19"/>
      <c r="C700" s="19"/>
      <c r="D700" s="19"/>
      <c r="E700" s="22"/>
      <c r="F700" s="19"/>
      <c r="G700" s="26" t="str">
        <f aca="false">IF(D700="","",IFERROR(VALUE(LEFT(D700,FIND(" |",D700&amp;" |")-1)),"?"))</f>
        <v/>
      </c>
      <c r="H700" s="27" t="str">
        <f aca="false">IF(G700="","",IF(G700="?","⚠ pub inconnue",IFERROR(INDEX(Pubs!$B$2:$B$3001,MATCH(G700,Pubs!$A$2:$A$3001,0))&amp;"","⚠ pub inconnue")))</f>
        <v/>
      </c>
      <c r="I700" s="27" t="str">
        <f aca="false">IF(OR(G700="",G700="?"),"",IFERROR(INDEX(Pubs!$C$2:$C$3001,MATCH(G700,Pubs!$A$2:$A$3001,0))&amp;"",""))</f>
        <v/>
      </c>
      <c r="J700" s="27" t="str">
        <f aca="false">IF(OR(G700="",G700="?"),"",IFERROR(INDEX(Pubs!$G$2:$G$3001,MATCH(G700,Pubs!$A$2:$A$3001,0))&amp;"",""))</f>
        <v/>
      </c>
      <c r="K700" s="28" t="str">
        <f aca="false">IF(OR(G700="",G700="?"),"",IFERROR(INDEX(Pubs!$E$2:$E$3001,MATCH(G700,Pubs!$A$2:$A$3001,0)),""))</f>
        <v/>
      </c>
      <c r="L700" s="29" t="str">
        <f aca="false">IF(A700="","",IFERROR(1/(1/INDEX(Numéros!$C$2:$C$3001,MATCH(A700&amp;"|"&amp;B700,Numéros!$F$2:$F$3001,0))),""))</f>
        <v/>
      </c>
      <c r="M700" s="27" t="str">
        <f aca="false">IF(OR(G700="",G700="?"),"",IFERROR(INDEX(Pubs!$D$2:$D$3001,MATCH(G700,Pubs!$A$2:$A$3001,0))&amp;"",""))</f>
        <v/>
      </c>
      <c r="N700" s="27" t="n">
        <f aca="false">N(N699)+IF(AND(A700&lt;&gt;"",OR(Recherche!$C$4="",A700=Recherche!$C$4),OR(Recherche!$C$5="",B700&amp;""=Recherche!$C$5&amp;""),OR(Recherche!$C$6="",IFERROR(YEAR(L700),0)=Recherche!$C$6),OR(Recherche!$C$7="",ISNUMBER(SEARCH(Recherche!$C$7,H700))),OR(Recherche!$C$8="",J700=Recherche!$C$8),OR(Recherche!$C$9="",I700=Recherche!$C$9),OR(Recherche!$C$10="",G700&amp;""=Recherche!$C$10&amp;""),OR(Recherche!$C$11="",E700=Recherche!$C$11),OR(Recherche!$C$12="",ISNUMBER(SEARCH(Recherche!$C$12,M700&amp;" "&amp;F700)))),1,0)</f>
        <v>8</v>
      </c>
    </row>
    <row r="701" customFormat="false" ht="15" hidden="false" customHeight="false" outlineLevel="0" collapsed="false">
      <c r="A701" s="19"/>
      <c r="B701" s="19"/>
      <c r="C701" s="19"/>
      <c r="D701" s="19"/>
      <c r="E701" s="22"/>
      <c r="F701" s="19"/>
      <c r="G701" s="26" t="str">
        <f aca="false">IF(D701="","",IFERROR(VALUE(LEFT(D701,FIND(" |",D701&amp;" |")-1)),"?"))</f>
        <v/>
      </c>
      <c r="H701" s="27" t="str">
        <f aca="false">IF(G701="","",IF(G701="?","⚠ pub inconnue",IFERROR(INDEX(Pubs!$B$2:$B$3001,MATCH(G701,Pubs!$A$2:$A$3001,0))&amp;"","⚠ pub inconnue")))</f>
        <v/>
      </c>
      <c r="I701" s="27" t="str">
        <f aca="false">IF(OR(G701="",G701="?"),"",IFERROR(INDEX(Pubs!$C$2:$C$3001,MATCH(G701,Pubs!$A$2:$A$3001,0))&amp;"",""))</f>
        <v/>
      </c>
      <c r="J701" s="27" t="str">
        <f aca="false">IF(OR(G701="",G701="?"),"",IFERROR(INDEX(Pubs!$G$2:$G$3001,MATCH(G701,Pubs!$A$2:$A$3001,0))&amp;"",""))</f>
        <v/>
      </c>
      <c r="K701" s="28" t="str">
        <f aca="false">IF(OR(G701="",G701="?"),"",IFERROR(INDEX(Pubs!$E$2:$E$3001,MATCH(G701,Pubs!$A$2:$A$3001,0)),""))</f>
        <v/>
      </c>
      <c r="L701" s="29" t="str">
        <f aca="false">IF(A701="","",IFERROR(1/(1/INDEX(Numéros!$C$2:$C$3001,MATCH(A701&amp;"|"&amp;B701,Numéros!$F$2:$F$3001,0))),""))</f>
        <v/>
      </c>
      <c r="M701" s="27" t="str">
        <f aca="false">IF(OR(G701="",G701="?"),"",IFERROR(INDEX(Pubs!$D$2:$D$3001,MATCH(G701,Pubs!$A$2:$A$3001,0))&amp;"",""))</f>
        <v/>
      </c>
      <c r="N701" s="27" t="n">
        <f aca="false">N(N700)+IF(AND(A701&lt;&gt;"",OR(Recherche!$C$4="",A701=Recherche!$C$4),OR(Recherche!$C$5="",B701&amp;""=Recherche!$C$5&amp;""),OR(Recherche!$C$6="",IFERROR(YEAR(L701),0)=Recherche!$C$6),OR(Recherche!$C$7="",ISNUMBER(SEARCH(Recherche!$C$7,H701))),OR(Recherche!$C$8="",J701=Recherche!$C$8),OR(Recherche!$C$9="",I701=Recherche!$C$9),OR(Recherche!$C$10="",G701&amp;""=Recherche!$C$10&amp;""),OR(Recherche!$C$11="",E701=Recherche!$C$11),OR(Recherche!$C$12="",ISNUMBER(SEARCH(Recherche!$C$12,M701&amp;" "&amp;F701)))),1,0)</f>
        <v>8</v>
      </c>
    </row>
    <row r="702" customFormat="false" ht="15" hidden="false" customHeight="false" outlineLevel="0" collapsed="false">
      <c r="A702" s="19"/>
      <c r="B702" s="19"/>
      <c r="C702" s="19"/>
      <c r="D702" s="19"/>
      <c r="E702" s="22"/>
      <c r="F702" s="19"/>
      <c r="G702" s="26" t="str">
        <f aca="false">IF(D702="","",IFERROR(VALUE(LEFT(D702,FIND(" |",D702&amp;" |")-1)),"?"))</f>
        <v/>
      </c>
      <c r="H702" s="27" t="str">
        <f aca="false">IF(G702="","",IF(G702="?","⚠ pub inconnue",IFERROR(INDEX(Pubs!$B$2:$B$3001,MATCH(G702,Pubs!$A$2:$A$3001,0))&amp;"","⚠ pub inconnue")))</f>
        <v/>
      </c>
      <c r="I702" s="27" t="str">
        <f aca="false">IF(OR(G702="",G702="?"),"",IFERROR(INDEX(Pubs!$C$2:$C$3001,MATCH(G702,Pubs!$A$2:$A$3001,0))&amp;"",""))</f>
        <v/>
      </c>
      <c r="J702" s="27" t="str">
        <f aca="false">IF(OR(G702="",G702="?"),"",IFERROR(INDEX(Pubs!$G$2:$G$3001,MATCH(G702,Pubs!$A$2:$A$3001,0))&amp;"",""))</f>
        <v/>
      </c>
      <c r="K702" s="28" t="str">
        <f aca="false">IF(OR(G702="",G702="?"),"",IFERROR(INDEX(Pubs!$E$2:$E$3001,MATCH(G702,Pubs!$A$2:$A$3001,0)),""))</f>
        <v/>
      </c>
      <c r="L702" s="29" t="str">
        <f aca="false">IF(A702="","",IFERROR(1/(1/INDEX(Numéros!$C$2:$C$3001,MATCH(A702&amp;"|"&amp;B702,Numéros!$F$2:$F$3001,0))),""))</f>
        <v/>
      </c>
      <c r="M702" s="27" t="str">
        <f aca="false">IF(OR(G702="",G702="?"),"",IFERROR(INDEX(Pubs!$D$2:$D$3001,MATCH(G702,Pubs!$A$2:$A$3001,0))&amp;"",""))</f>
        <v/>
      </c>
      <c r="N702" s="27" t="n">
        <f aca="false">N(N701)+IF(AND(A702&lt;&gt;"",OR(Recherche!$C$4="",A702=Recherche!$C$4),OR(Recherche!$C$5="",B702&amp;""=Recherche!$C$5&amp;""),OR(Recherche!$C$6="",IFERROR(YEAR(L702),0)=Recherche!$C$6),OR(Recherche!$C$7="",ISNUMBER(SEARCH(Recherche!$C$7,H702))),OR(Recherche!$C$8="",J702=Recherche!$C$8),OR(Recherche!$C$9="",I702=Recherche!$C$9),OR(Recherche!$C$10="",G702&amp;""=Recherche!$C$10&amp;""),OR(Recherche!$C$11="",E702=Recherche!$C$11),OR(Recherche!$C$12="",ISNUMBER(SEARCH(Recherche!$C$12,M702&amp;" "&amp;F702)))),1,0)</f>
        <v>8</v>
      </c>
    </row>
    <row r="703" customFormat="false" ht="15" hidden="false" customHeight="false" outlineLevel="0" collapsed="false">
      <c r="A703" s="19"/>
      <c r="B703" s="19"/>
      <c r="C703" s="19"/>
      <c r="D703" s="19"/>
      <c r="E703" s="22"/>
      <c r="F703" s="19"/>
      <c r="G703" s="26" t="str">
        <f aca="false">IF(D703="","",IFERROR(VALUE(LEFT(D703,FIND(" |",D703&amp;" |")-1)),"?"))</f>
        <v/>
      </c>
      <c r="H703" s="27" t="str">
        <f aca="false">IF(G703="","",IF(G703="?","⚠ pub inconnue",IFERROR(INDEX(Pubs!$B$2:$B$3001,MATCH(G703,Pubs!$A$2:$A$3001,0))&amp;"","⚠ pub inconnue")))</f>
        <v/>
      </c>
      <c r="I703" s="27" t="str">
        <f aca="false">IF(OR(G703="",G703="?"),"",IFERROR(INDEX(Pubs!$C$2:$C$3001,MATCH(G703,Pubs!$A$2:$A$3001,0))&amp;"",""))</f>
        <v/>
      </c>
      <c r="J703" s="27" t="str">
        <f aca="false">IF(OR(G703="",G703="?"),"",IFERROR(INDEX(Pubs!$G$2:$G$3001,MATCH(G703,Pubs!$A$2:$A$3001,0))&amp;"",""))</f>
        <v/>
      </c>
      <c r="K703" s="28" t="str">
        <f aca="false">IF(OR(G703="",G703="?"),"",IFERROR(INDEX(Pubs!$E$2:$E$3001,MATCH(G703,Pubs!$A$2:$A$3001,0)),""))</f>
        <v/>
      </c>
      <c r="L703" s="29" t="str">
        <f aca="false">IF(A703="","",IFERROR(1/(1/INDEX(Numéros!$C$2:$C$3001,MATCH(A703&amp;"|"&amp;B703,Numéros!$F$2:$F$3001,0))),""))</f>
        <v/>
      </c>
      <c r="M703" s="27" t="str">
        <f aca="false">IF(OR(G703="",G703="?"),"",IFERROR(INDEX(Pubs!$D$2:$D$3001,MATCH(G703,Pubs!$A$2:$A$3001,0))&amp;"",""))</f>
        <v/>
      </c>
      <c r="N703" s="27" t="n">
        <f aca="false">N(N702)+IF(AND(A703&lt;&gt;"",OR(Recherche!$C$4="",A703=Recherche!$C$4),OR(Recherche!$C$5="",B703&amp;""=Recherche!$C$5&amp;""),OR(Recherche!$C$6="",IFERROR(YEAR(L703),0)=Recherche!$C$6),OR(Recherche!$C$7="",ISNUMBER(SEARCH(Recherche!$C$7,H703))),OR(Recherche!$C$8="",J703=Recherche!$C$8),OR(Recherche!$C$9="",I703=Recherche!$C$9),OR(Recherche!$C$10="",G703&amp;""=Recherche!$C$10&amp;""),OR(Recherche!$C$11="",E703=Recherche!$C$11),OR(Recherche!$C$12="",ISNUMBER(SEARCH(Recherche!$C$12,M703&amp;" "&amp;F703)))),1,0)</f>
        <v>8</v>
      </c>
    </row>
    <row r="704" customFormat="false" ht="15" hidden="false" customHeight="false" outlineLevel="0" collapsed="false">
      <c r="A704" s="19"/>
      <c r="B704" s="19"/>
      <c r="C704" s="19"/>
      <c r="D704" s="19"/>
      <c r="E704" s="22"/>
      <c r="F704" s="19"/>
      <c r="G704" s="26" t="str">
        <f aca="false">IF(D704="","",IFERROR(VALUE(LEFT(D704,FIND(" |",D704&amp;" |")-1)),"?"))</f>
        <v/>
      </c>
      <c r="H704" s="27" t="str">
        <f aca="false">IF(G704="","",IF(G704="?","⚠ pub inconnue",IFERROR(INDEX(Pubs!$B$2:$B$3001,MATCH(G704,Pubs!$A$2:$A$3001,0))&amp;"","⚠ pub inconnue")))</f>
        <v/>
      </c>
      <c r="I704" s="27" t="str">
        <f aca="false">IF(OR(G704="",G704="?"),"",IFERROR(INDEX(Pubs!$C$2:$C$3001,MATCH(G704,Pubs!$A$2:$A$3001,0))&amp;"",""))</f>
        <v/>
      </c>
      <c r="J704" s="27" t="str">
        <f aca="false">IF(OR(G704="",G704="?"),"",IFERROR(INDEX(Pubs!$G$2:$G$3001,MATCH(G704,Pubs!$A$2:$A$3001,0))&amp;"",""))</f>
        <v/>
      </c>
      <c r="K704" s="28" t="str">
        <f aca="false">IF(OR(G704="",G704="?"),"",IFERROR(INDEX(Pubs!$E$2:$E$3001,MATCH(G704,Pubs!$A$2:$A$3001,0)),""))</f>
        <v/>
      </c>
      <c r="L704" s="29" t="str">
        <f aca="false">IF(A704="","",IFERROR(1/(1/INDEX(Numéros!$C$2:$C$3001,MATCH(A704&amp;"|"&amp;B704,Numéros!$F$2:$F$3001,0))),""))</f>
        <v/>
      </c>
      <c r="M704" s="27" t="str">
        <f aca="false">IF(OR(G704="",G704="?"),"",IFERROR(INDEX(Pubs!$D$2:$D$3001,MATCH(G704,Pubs!$A$2:$A$3001,0))&amp;"",""))</f>
        <v/>
      </c>
      <c r="N704" s="27" t="n">
        <f aca="false">N(N703)+IF(AND(A704&lt;&gt;"",OR(Recherche!$C$4="",A704=Recherche!$C$4),OR(Recherche!$C$5="",B704&amp;""=Recherche!$C$5&amp;""),OR(Recherche!$C$6="",IFERROR(YEAR(L704),0)=Recherche!$C$6),OR(Recherche!$C$7="",ISNUMBER(SEARCH(Recherche!$C$7,H704))),OR(Recherche!$C$8="",J704=Recherche!$C$8),OR(Recherche!$C$9="",I704=Recherche!$C$9),OR(Recherche!$C$10="",G704&amp;""=Recherche!$C$10&amp;""),OR(Recherche!$C$11="",E704=Recherche!$C$11),OR(Recherche!$C$12="",ISNUMBER(SEARCH(Recherche!$C$12,M704&amp;" "&amp;F704)))),1,0)</f>
        <v>8</v>
      </c>
    </row>
    <row r="705" customFormat="false" ht="15" hidden="false" customHeight="false" outlineLevel="0" collapsed="false">
      <c r="A705" s="19"/>
      <c r="B705" s="19"/>
      <c r="C705" s="19"/>
      <c r="D705" s="19"/>
      <c r="E705" s="22"/>
      <c r="F705" s="19"/>
      <c r="G705" s="26" t="str">
        <f aca="false">IF(D705="","",IFERROR(VALUE(LEFT(D705,FIND(" |",D705&amp;" |")-1)),"?"))</f>
        <v/>
      </c>
      <c r="H705" s="27" t="str">
        <f aca="false">IF(G705="","",IF(G705="?","⚠ pub inconnue",IFERROR(INDEX(Pubs!$B$2:$B$3001,MATCH(G705,Pubs!$A$2:$A$3001,0))&amp;"","⚠ pub inconnue")))</f>
        <v/>
      </c>
      <c r="I705" s="27" t="str">
        <f aca="false">IF(OR(G705="",G705="?"),"",IFERROR(INDEX(Pubs!$C$2:$C$3001,MATCH(G705,Pubs!$A$2:$A$3001,0))&amp;"",""))</f>
        <v/>
      </c>
      <c r="J705" s="27" t="str">
        <f aca="false">IF(OR(G705="",G705="?"),"",IFERROR(INDEX(Pubs!$G$2:$G$3001,MATCH(G705,Pubs!$A$2:$A$3001,0))&amp;"",""))</f>
        <v/>
      </c>
      <c r="K705" s="28" t="str">
        <f aca="false">IF(OR(G705="",G705="?"),"",IFERROR(INDEX(Pubs!$E$2:$E$3001,MATCH(G705,Pubs!$A$2:$A$3001,0)),""))</f>
        <v/>
      </c>
      <c r="L705" s="29" t="str">
        <f aca="false">IF(A705="","",IFERROR(1/(1/INDEX(Numéros!$C$2:$C$3001,MATCH(A705&amp;"|"&amp;B705,Numéros!$F$2:$F$3001,0))),""))</f>
        <v/>
      </c>
      <c r="M705" s="27" t="str">
        <f aca="false">IF(OR(G705="",G705="?"),"",IFERROR(INDEX(Pubs!$D$2:$D$3001,MATCH(G705,Pubs!$A$2:$A$3001,0))&amp;"",""))</f>
        <v/>
      </c>
      <c r="N705" s="27" t="n">
        <f aca="false">N(N704)+IF(AND(A705&lt;&gt;"",OR(Recherche!$C$4="",A705=Recherche!$C$4),OR(Recherche!$C$5="",B705&amp;""=Recherche!$C$5&amp;""),OR(Recherche!$C$6="",IFERROR(YEAR(L705),0)=Recherche!$C$6),OR(Recherche!$C$7="",ISNUMBER(SEARCH(Recherche!$C$7,H705))),OR(Recherche!$C$8="",J705=Recherche!$C$8),OR(Recherche!$C$9="",I705=Recherche!$C$9),OR(Recherche!$C$10="",G705&amp;""=Recherche!$C$10&amp;""),OR(Recherche!$C$11="",E705=Recherche!$C$11),OR(Recherche!$C$12="",ISNUMBER(SEARCH(Recherche!$C$12,M705&amp;" "&amp;F705)))),1,0)</f>
        <v>8</v>
      </c>
    </row>
    <row r="706" customFormat="false" ht="15" hidden="false" customHeight="false" outlineLevel="0" collapsed="false">
      <c r="A706" s="19"/>
      <c r="B706" s="19"/>
      <c r="C706" s="19"/>
      <c r="D706" s="19"/>
      <c r="E706" s="22"/>
      <c r="F706" s="19"/>
      <c r="G706" s="26" t="str">
        <f aca="false">IF(D706="","",IFERROR(VALUE(LEFT(D706,FIND(" |",D706&amp;" |")-1)),"?"))</f>
        <v/>
      </c>
      <c r="H706" s="27" t="str">
        <f aca="false">IF(G706="","",IF(G706="?","⚠ pub inconnue",IFERROR(INDEX(Pubs!$B$2:$B$3001,MATCH(G706,Pubs!$A$2:$A$3001,0))&amp;"","⚠ pub inconnue")))</f>
        <v/>
      </c>
      <c r="I706" s="27" t="str">
        <f aca="false">IF(OR(G706="",G706="?"),"",IFERROR(INDEX(Pubs!$C$2:$C$3001,MATCH(G706,Pubs!$A$2:$A$3001,0))&amp;"",""))</f>
        <v/>
      </c>
      <c r="J706" s="27" t="str">
        <f aca="false">IF(OR(G706="",G706="?"),"",IFERROR(INDEX(Pubs!$G$2:$G$3001,MATCH(G706,Pubs!$A$2:$A$3001,0))&amp;"",""))</f>
        <v/>
      </c>
      <c r="K706" s="28" t="str">
        <f aca="false">IF(OR(G706="",G706="?"),"",IFERROR(INDEX(Pubs!$E$2:$E$3001,MATCH(G706,Pubs!$A$2:$A$3001,0)),""))</f>
        <v/>
      </c>
      <c r="L706" s="29" t="str">
        <f aca="false">IF(A706="","",IFERROR(1/(1/INDEX(Numéros!$C$2:$C$3001,MATCH(A706&amp;"|"&amp;B706,Numéros!$F$2:$F$3001,0))),""))</f>
        <v/>
      </c>
      <c r="M706" s="27" t="str">
        <f aca="false">IF(OR(G706="",G706="?"),"",IFERROR(INDEX(Pubs!$D$2:$D$3001,MATCH(G706,Pubs!$A$2:$A$3001,0))&amp;"",""))</f>
        <v/>
      </c>
      <c r="N706" s="27" t="n">
        <f aca="false">N(N705)+IF(AND(A706&lt;&gt;"",OR(Recherche!$C$4="",A706=Recherche!$C$4),OR(Recherche!$C$5="",B706&amp;""=Recherche!$C$5&amp;""),OR(Recherche!$C$6="",IFERROR(YEAR(L706),0)=Recherche!$C$6),OR(Recherche!$C$7="",ISNUMBER(SEARCH(Recherche!$C$7,H706))),OR(Recherche!$C$8="",J706=Recherche!$C$8),OR(Recherche!$C$9="",I706=Recherche!$C$9),OR(Recherche!$C$10="",G706&amp;""=Recherche!$C$10&amp;""),OR(Recherche!$C$11="",E706=Recherche!$C$11),OR(Recherche!$C$12="",ISNUMBER(SEARCH(Recherche!$C$12,M706&amp;" "&amp;F706)))),1,0)</f>
        <v>8</v>
      </c>
    </row>
    <row r="707" customFormat="false" ht="15" hidden="false" customHeight="false" outlineLevel="0" collapsed="false">
      <c r="A707" s="19"/>
      <c r="B707" s="19"/>
      <c r="C707" s="19"/>
      <c r="D707" s="19"/>
      <c r="E707" s="22"/>
      <c r="F707" s="19"/>
      <c r="G707" s="26" t="str">
        <f aca="false">IF(D707="","",IFERROR(VALUE(LEFT(D707,FIND(" |",D707&amp;" |")-1)),"?"))</f>
        <v/>
      </c>
      <c r="H707" s="27" t="str">
        <f aca="false">IF(G707="","",IF(G707="?","⚠ pub inconnue",IFERROR(INDEX(Pubs!$B$2:$B$3001,MATCH(G707,Pubs!$A$2:$A$3001,0))&amp;"","⚠ pub inconnue")))</f>
        <v/>
      </c>
      <c r="I707" s="27" t="str">
        <f aca="false">IF(OR(G707="",G707="?"),"",IFERROR(INDEX(Pubs!$C$2:$C$3001,MATCH(G707,Pubs!$A$2:$A$3001,0))&amp;"",""))</f>
        <v/>
      </c>
      <c r="J707" s="27" t="str">
        <f aca="false">IF(OR(G707="",G707="?"),"",IFERROR(INDEX(Pubs!$G$2:$G$3001,MATCH(G707,Pubs!$A$2:$A$3001,0))&amp;"",""))</f>
        <v/>
      </c>
      <c r="K707" s="28" t="str">
        <f aca="false">IF(OR(G707="",G707="?"),"",IFERROR(INDEX(Pubs!$E$2:$E$3001,MATCH(G707,Pubs!$A$2:$A$3001,0)),""))</f>
        <v/>
      </c>
      <c r="L707" s="29" t="str">
        <f aca="false">IF(A707="","",IFERROR(1/(1/INDEX(Numéros!$C$2:$C$3001,MATCH(A707&amp;"|"&amp;B707,Numéros!$F$2:$F$3001,0))),""))</f>
        <v/>
      </c>
      <c r="M707" s="27" t="str">
        <f aca="false">IF(OR(G707="",G707="?"),"",IFERROR(INDEX(Pubs!$D$2:$D$3001,MATCH(G707,Pubs!$A$2:$A$3001,0))&amp;"",""))</f>
        <v/>
      </c>
      <c r="N707" s="27" t="n">
        <f aca="false">N(N706)+IF(AND(A707&lt;&gt;"",OR(Recherche!$C$4="",A707=Recherche!$C$4),OR(Recherche!$C$5="",B707&amp;""=Recherche!$C$5&amp;""),OR(Recherche!$C$6="",IFERROR(YEAR(L707),0)=Recherche!$C$6),OR(Recherche!$C$7="",ISNUMBER(SEARCH(Recherche!$C$7,H707))),OR(Recherche!$C$8="",J707=Recherche!$C$8),OR(Recherche!$C$9="",I707=Recherche!$C$9),OR(Recherche!$C$10="",G707&amp;""=Recherche!$C$10&amp;""),OR(Recherche!$C$11="",E707=Recherche!$C$11),OR(Recherche!$C$12="",ISNUMBER(SEARCH(Recherche!$C$12,M707&amp;" "&amp;F707)))),1,0)</f>
        <v>8</v>
      </c>
    </row>
    <row r="708" customFormat="false" ht="15" hidden="false" customHeight="false" outlineLevel="0" collapsed="false">
      <c r="A708" s="19"/>
      <c r="B708" s="19"/>
      <c r="C708" s="19"/>
      <c r="D708" s="19"/>
      <c r="E708" s="22"/>
      <c r="F708" s="19"/>
      <c r="G708" s="26" t="str">
        <f aca="false">IF(D708="","",IFERROR(VALUE(LEFT(D708,FIND(" |",D708&amp;" |")-1)),"?"))</f>
        <v/>
      </c>
      <c r="H708" s="27" t="str">
        <f aca="false">IF(G708="","",IF(G708="?","⚠ pub inconnue",IFERROR(INDEX(Pubs!$B$2:$B$3001,MATCH(G708,Pubs!$A$2:$A$3001,0))&amp;"","⚠ pub inconnue")))</f>
        <v/>
      </c>
      <c r="I708" s="27" t="str">
        <f aca="false">IF(OR(G708="",G708="?"),"",IFERROR(INDEX(Pubs!$C$2:$C$3001,MATCH(G708,Pubs!$A$2:$A$3001,0))&amp;"",""))</f>
        <v/>
      </c>
      <c r="J708" s="27" t="str">
        <f aca="false">IF(OR(G708="",G708="?"),"",IFERROR(INDEX(Pubs!$G$2:$G$3001,MATCH(G708,Pubs!$A$2:$A$3001,0))&amp;"",""))</f>
        <v/>
      </c>
      <c r="K708" s="28" t="str">
        <f aca="false">IF(OR(G708="",G708="?"),"",IFERROR(INDEX(Pubs!$E$2:$E$3001,MATCH(G708,Pubs!$A$2:$A$3001,0)),""))</f>
        <v/>
      </c>
      <c r="L708" s="29" t="str">
        <f aca="false">IF(A708="","",IFERROR(1/(1/INDEX(Numéros!$C$2:$C$3001,MATCH(A708&amp;"|"&amp;B708,Numéros!$F$2:$F$3001,0))),""))</f>
        <v/>
      </c>
      <c r="M708" s="27" t="str">
        <f aca="false">IF(OR(G708="",G708="?"),"",IFERROR(INDEX(Pubs!$D$2:$D$3001,MATCH(G708,Pubs!$A$2:$A$3001,0))&amp;"",""))</f>
        <v/>
      </c>
      <c r="N708" s="27" t="n">
        <f aca="false">N(N707)+IF(AND(A708&lt;&gt;"",OR(Recherche!$C$4="",A708=Recherche!$C$4),OR(Recherche!$C$5="",B708&amp;""=Recherche!$C$5&amp;""),OR(Recherche!$C$6="",IFERROR(YEAR(L708),0)=Recherche!$C$6),OR(Recherche!$C$7="",ISNUMBER(SEARCH(Recherche!$C$7,H708))),OR(Recherche!$C$8="",J708=Recherche!$C$8),OR(Recherche!$C$9="",I708=Recherche!$C$9),OR(Recherche!$C$10="",G708&amp;""=Recherche!$C$10&amp;""),OR(Recherche!$C$11="",E708=Recherche!$C$11),OR(Recherche!$C$12="",ISNUMBER(SEARCH(Recherche!$C$12,M708&amp;" "&amp;F708)))),1,0)</f>
        <v>8</v>
      </c>
    </row>
    <row r="709" customFormat="false" ht="15" hidden="false" customHeight="false" outlineLevel="0" collapsed="false">
      <c r="A709" s="19"/>
      <c r="B709" s="19"/>
      <c r="C709" s="19"/>
      <c r="D709" s="19"/>
      <c r="E709" s="22"/>
      <c r="F709" s="19"/>
      <c r="G709" s="26" t="str">
        <f aca="false">IF(D709="","",IFERROR(VALUE(LEFT(D709,FIND(" |",D709&amp;" |")-1)),"?"))</f>
        <v/>
      </c>
      <c r="H709" s="27" t="str">
        <f aca="false">IF(G709="","",IF(G709="?","⚠ pub inconnue",IFERROR(INDEX(Pubs!$B$2:$B$3001,MATCH(G709,Pubs!$A$2:$A$3001,0))&amp;"","⚠ pub inconnue")))</f>
        <v/>
      </c>
      <c r="I709" s="27" t="str">
        <f aca="false">IF(OR(G709="",G709="?"),"",IFERROR(INDEX(Pubs!$C$2:$C$3001,MATCH(G709,Pubs!$A$2:$A$3001,0))&amp;"",""))</f>
        <v/>
      </c>
      <c r="J709" s="27" t="str">
        <f aca="false">IF(OR(G709="",G709="?"),"",IFERROR(INDEX(Pubs!$G$2:$G$3001,MATCH(G709,Pubs!$A$2:$A$3001,0))&amp;"",""))</f>
        <v/>
      </c>
      <c r="K709" s="28" t="str">
        <f aca="false">IF(OR(G709="",G709="?"),"",IFERROR(INDEX(Pubs!$E$2:$E$3001,MATCH(G709,Pubs!$A$2:$A$3001,0)),""))</f>
        <v/>
      </c>
      <c r="L709" s="29" t="str">
        <f aca="false">IF(A709="","",IFERROR(1/(1/INDEX(Numéros!$C$2:$C$3001,MATCH(A709&amp;"|"&amp;B709,Numéros!$F$2:$F$3001,0))),""))</f>
        <v/>
      </c>
      <c r="M709" s="27" t="str">
        <f aca="false">IF(OR(G709="",G709="?"),"",IFERROR(INDEX(Pubs!$D$2:$D$3001,MATCH(G709,Pubs!$A$2:$A$3001,0))&amp;"",""))</f>
        <v/>
      </c>
      <c r="N709" s="27" t="n">
        <f aca="false">N(N708)+IF(AND(A709&lt;&gt;"",OR(Recherche!$C$4="",A709=Recherche!$C$4),OR(Recherche!$C$5="",B709&amp;""=Recherche!$C$5&amp;""),OR(Recherche!$C$6="",IFERROR(YEAR(L709),0)=Recherche!$C$6),OR(Recherche!$C$7="",ISNUMBER(SEARCH(Recherche!$C$7,H709))),OR(Recherche!$C$8="",J709=Recherche!$C$8),OR(Recherche!$C$9="",I709=Recherche!$C$9),OR(Recherche!$C$10="",G709&amp;""=Recherche!$C$10&amp;""),OR(Recherche!$C$11="",E709=Recherche!$C$11),OR(Recherche!$C$12="",ISNUMBER(SEARCH(Recherche!$C$12,M709&amp;" "&amp;F709)))),1,0)</f>
        <v>8</v>
      </c>
    </row>
    <row r="710" customFormat="false" ht="15" hidden="false" customHeight="false" outlineLevel="0" collapsed="false">
      <c r="A710" s="19"/>
      <c r="B710" s="19"/>
      <c r="C710" s="19"/>
      <c r="D710" s="19"/>
      <c r="E710" s="22"/>
      <c r="F710" s="19"/>
      <c r="G710" s="26" t="str">
        <f aca="false">IF(D710="","",IFERROR(VALUE(LEFT(D710,FIND(" |",D710&amp;" |")-1)),"?"))</f>
        <v/>
      </c>
      <c r="H710" s="27" t="str">
        <f aca="false">IF(G710="","",IF(G710="?","⚠ pub inconnue",IFERROR(INDEX(Pubs!$B$2:$B$3001,MATCH(G710,Pubs!$A$2:$A$3001,0))&amp;"","⚠ pub inconnue")))</f>
        <v/>
      </c>
      <c r="I710" s="27" t="str">
        <f aca="false">IF(OR(G710="",G710="?"),"",IFERROR(INDEX(Pubs!$C$2:$C$3001,MATCH(G710,Pubs!$A$2:$A$3001,0))&amp;"",""))</f>
        <v/>
      </c>
      <c r="J710" s="27" t="str">
        <f aca="false">IF(OR(G710="",G710="?"),"",IFERROR(INDEX(Pubs!$G$2:$G$3001,MATCH(G710,Pubs!$A$2:$A$3001,0))&amp;"",""))</f>
        <v/>
      </c>
      <c r="K710" s="28" t="str">
        <f aca="false">IF(OR(G710="",G710="?"),"",IFERROR(INDEX(Pubs!$E$2:$E$3001,MATCH(G710,Pubs!$A$2:$A$3001,0)),""))</f>
        <v/>
      </c>
      <c r="L710" s="29" t="str">
        <f aca="false">IF(A710="","",IFERROR(1/(1/INDEX(Numéros!$C$2:$C$3001,MATCH(A710&amp;"|"&amp;B710,Numéros!$F$2:$F$3001,0))),""))</f>
        <v/>
      </c>
      <c r="M710" s="27" t="str">
        <f aca="false">IF(OR(G710="",G710="?"),"",IFERROR(INDEX(Pubs!$D$2:$D$3001,MATCH(G710,Pubs!$A$2:$A$3001,0))&amp;"",""))</f>
        <v/>
      </c>
      <c r="N710" s="27" t="n">
        <f aca="false">N(N709)+IF(AND(A710&lt;&gt;"",OR(Recherche!$C$4="",A710=Recherche!$C$4),OR(Recherche!$C$5="",B710&amp;""=Recherche!$C$5&amp;""),OR(Recherche!$C$6="",IFERROR(YEAR(L710),0)=Recherche!$C$6),OR(Recherche!$C$7="",ISNUMBER(SEARCH(Recherche!$C$7,H710))),OR(Recherche!$C$8="",J710=Recherche!$C$8),OR(Recherche!$C$9="",I710=Recherche!$C$9),OR(Recherche!$C$10="",G710&amp;""=Recherche!$C$10&amp;""),OR(Recherche!$C$11="",E710=Recherche!$C$11),OR(Recherche!$C$12="",ISNUMBER(SEARCH(Recherche!$C$12,M710&amp;" "&amp;F710)))),1,0)</f>
        <v>8</v>
      </c>
    </row>
    <row r="711" customFormat="false" ht="15" hidden="false" customHeight="false" outlineLevel="0" collapsed="false">
      <c r="A711" s="19"/>
      <c r="B711" s="19"/>
      <c r="C711" s="19"/>
      <c r="D711" s="19"/>
      <c r="E711" s="22"/>
      <c r="F711" s="19"/>
      <c r="G711" s="26" t="str">
        <f aca="false">IF(D711="","",IFERROR(VALUE(LEFT(D711,FIND(" |",D711&amp;" |")-1)),"?"))</f>
        <v/>
      </c>
      <c r="H711" s="27" t="str">
        <f aca="false">IF(G711="","",IF(G711="?","⚠ pub inconnue",IFERROR(INDEX(Pubs!$B$2:$B$3001,MATCH(G711,Pubs!$A$2:$A$3001,0))&amp;"","⚠ pub inconnue")))</f>
        <v/>
      </c>
      <c r="I711" s="27" t="str">
        <f aca="false">IF(OR(G711="",G711="?"),"",IFERROR(INDEX(Pubs!$C$2:$C$3001,MATCH(G711,Pubs!$A$2:$A$3001,0))&amp;"",""))</f>
        <v/>
      </c>
      <c r="J711" s="27" t="str">
        <f aca="false">IF(OR(G711="",G711="?"),"",IFERROR(INDEX(Pubs!$G$2:$G$3001,MATCH(G711,Pubs!$A$2:$A$3001,0))&amp;"",""))</f>
        <v/>
      </c>
      <c r="K711" s="28" t="str">
        <f aca="false">IF(OR(G711="",G711="?"),"",IFERROR(INDEX(Pubs!$E$2:$E$3001,MATCH(G711,Pubs!$A$2:$A$3001,0)),""))</f>
        <v/>
      </c>
      <c r="L711" s="29" t="str">
        <f aca="false">IF(A711="","",IFERROR(1/(1/INDEX(Numéros!$C$2:$C$3001,MATCH(A711&amp;"|"&amp;B711,Numéros!$F$2:$F$3001,0))),""))</f>
        <v/>
      </c>
      <c r="M711" s="27" t="str">
        <f aca="false">IF(OR(G711="",G711="?"),"",IFERROR(INDEX(Pubs!$D$2:$D$3001,MATCH(G711,Pubs!$A$2:$A$3001,0))&amp;"",""))</f>
        <v/>
      </c>
      <c r="N711" s="27" t="n">
        <f aca="false">N(N710)+IF(AND(A711&lt;&gt;"",OR(Recherche!$C$4="",A711=Recherche!$C$4),OR(Recherche!$C$5="",B711&amp;""=Recherche!$C$5&amp;""),OR(Recherche!$C$6="",IFERROR(YEAR(L711),0)=Recherche!$C$6),OR(Recherche!$C$7="",ISNUMBER(SEARCH(Recherche!$C$7,H711))),OR(Recherche!$C$8="",J711=Recherche!$C$8),OR(Recherche!$C$9="",I711=Recherche!$C$9),OR(Recherche!$C$10="",G711&amp;""=Recherche!$C$10&amp;""),OR(Recherche!$C$11="",E711=Recherche!$C$11),OR(Recherche!$C$12="",ISNUMBER(SEARCH(Recherche!$C$12,M711&amp;" "&amp;F711)))),1,0)</f>
        <v>8</v>
      </c>
    </row>
    <row r="712" customFormat="false" ht="15" hidden="false" customHeight="false" outlineLevel="0" collapsed="false">
      <c r="A712" s="19"/>
      <c r="B712" s="19"/>
      <c r="C712" s="19"/>
      <c r="D712" s="19"/>
      <c r="E712" s="22"/>
      <c r="F712" s="19"/>
      <c r="G712" s="26" t="str">
        <f aca="false">IF(D712="","",IFERROR(VALUE(LEFT(D712,FIND(" |",D712&amp;" |")-1)),"?"))</f>
        <v/>
      </c>
      <c r="H712" s="27" t="str">
        <f aca="false">IF(G712="","",IF(G712="?","⚠ pub inconnue",IFERROR(INDEX(Pubs!$B$2:$B$3001,MATCH(G712,Pubs!$A$2:$A$3001,0))&amp;"","⚠ pub inconnue")))</f>
        <v/>
      </c>
      <c r="I712" s="27" t="str">
        <f aca="false">IF(OR(G712="",G712="?"),"",IFERROR(INDEX(Pubs!$C$2:$C$3001,MATCH(G712,Pubs!$A$2:$A$3001,0))&amp;"",""))</f>
        <v/>
      </c>
      <c r="J712" s="27" t="str">
        <f aca="false">IF(OR(G712="",G712="?"),"",IFERROR(INDEX(Pubs!$G$2:$G$3001,MATCH(G712,Pubs!$A$2:$A$3001,0))&amp;"",""))</f>
        <v/>
      </c>
      <c r="K712" s="28" t="str">
        <f aca="false">IF(OR(G712="",G712="?"),"",IFERROR(INDEX(Pubs!$E$2:$E$3001,MATCH(G712,Pubs!$A$2:$A$3001,0)),""))</f>
        <v/>
      </c>
      <c r="L712" s="29" t="str">
        <f aca="false">IF(A712="","",IFERROR(1/(1/INDEX(Numéros!$C$2:$C$3001,MATCH(A712&amp;"|"&amp;B712,Numéros!$F$2:$F$3001,0))),""))</f>
        <v/>
      </c>
      <c r="M712" s="27" t="str">
        <f aca="false">IF(OR(G712="",G712="?"),"",IFERROR(INDEX(Pubs!$D$2:$D$3001,MATCH(G712,Pubs!$A$2:$A$3001,0))&amp;"",""))</f>
        <v/>
      </c>
      <c r="N712" s="27" t="n">
        <f aca="false">N(N711)+IF(AND(A712&lt;&gt;"",OR(Recherche!$C$4="",A712=Recherche!$C$4),OR(Recherche!$C$5="",B712&amp;""=Recherche!$C$5&amp;""),OR(Recherche!$C$6="",IFERROR(YEAR(L712),0)=Recherche!$C$6),OR(Recherche!$C$7="",ISNUMBER(SEARCH(Recherche!$C$7,H712))),OR(Recherche!$C$8="",J712=Recherche!$C$8),OR(Recherche!$C$9="",I712=Recherche!$C$9),OR(Recherche!$C$10="",G712&amp;""=Recherche!$C$10&amp;""),OR(Recherche!$C$11="",E712=Recherche!$C$11),OR(Recherche!$C$12="",ISNUMBER(SEARCH(Recherche!$C$12,M712&amp;" "&amp;F712)))),1,0)</f>
        <v>8</v>
      </c>
    </row>
    <row r="713" customFormat="false" ht="15" hidden="false" customHeight="false" outlineLevel="0" collapsed="false">
      <c r="A713" s="19"/>
      <c r="B713" s="19"/>
      <c r="C713" s="19"/>
      <c r="D713" s="19"/>
      <c r="E713" s="22"/>
      <c r="F713" s="19"/>
      <c r="G713" s="26" t="str">
        <f aca="false">IF(D713="","",IFERROR(VALUE(LEFT(D713,FIND(" |",D713&amp;" |")-1)),"?"))</f>
        <v/>
      </c>
      <c r="H713" s="27" t="str">
        <f aca="false">IF(G713="","",IF(G713="?","⚠ pub inconnue",IFERROR(INDEX(Pubs!$B$2:$B$3001,MATCH(G713,Pubs!$A$2:$A$3001,0))&amp;"","⚠ pub inconnue")))</f>
        <v/>
      </c>
      <c r="I713" s="27" t="str">
        <f aca="false">IF(OR(G713="",G713="?"),"",IFERROR(INDEX(Pubs!$C$2:$C$3001,MATCH(G713,Pubs!$A$2:$A$3001,0))&amp;"",""))</f>
        <v/>
      </c>
      <c r="J713" s="27" t="str">
        <f aca="false">IF(OR(G713="",G713="?"),"",IFERROR(INDEX(Pubs!$G$2:$G$3001,MATCH(G713,Pubs!$A$2:$A$3001,0))&amp;"",""))</f>
        <v/>
      </c>
      <c r="K713" s="28" t="str">
        <f aca="false">IF(OR(G713="",G713="?"),"",IFERROR(INDEX(Pubs!$E$2:$E$3001,MATCH(G713,Pubs!$A$2:$A$3001,0)),""))</f>
        <v/>
      </c>
      <c r="L713" s="29" t="str">
        <f aca="false">IF(A713="","",IFERROR(1/(1/INDEX(Numéros!$C$2:$C$3001,MATCH(A713&amp;"|"&amp;B713,Numéros!$F$2:$F$3001,0))),""))</f>
        <v/>
      </c>
      <c r="M713" s="27" t="str">
        <f aca="false">IF(OR(G713="",G713="?"),"",IFERROR(INDEX(Pubs!$D$2:$D$3001,MATCH(G713,Pubs!$A$2:$A$3001,0))&amp;"",""))</f>
        <v/>
      </c>
      <c r="N713" s="27" t="n">
        <f aca="false">N(N712)+IF(AND(A713&lt;&gt;"",OR(Recherche!$C$4="",A713=Recherche!$C$4),OR(Recherche!$C$5="",B713&amp;""=Recherche!$C$5&amp;""),OR(Recherche!$C$6="",IFERROR(YEAR(L713),0)=Recherche!$C$6),OR(Recherche!$C$7="",ISNUMBER(SEARCH(Recherche!$C$7,H713))),OR(Recherche!$C$8="",J713=Recherche!$C$8),OR(Recherche!$C$9="",I713=Recherche!$C$9),OR(Recherche!$C$10="",G713&amp;""=Recherche!$C$10&amp;""),OR(Recherche!$C$11="",E713=Recherche!$C$11),OR(Recherche!$C$12="",ISNUMBER(SEARCH(Recherche!$C$12,M713&amp;" "&amp;F713)))),1,0)</f>
        <v>8</v>
      </c>
    </row>
    <row r="714" customFormat="false" ht="15" hidden="false" customHeight="false" outlineLevel="0" collapsed="false">
      <c r="A714" s="19"/>
      <c r="B714" s="19"/>
      <c r="C714" s="19"/>
      <c r="D714" s="19"/>
      <c r="E714" s="22"/>
      <c r="F714" s="19"/>
      <c r="G714" s="26" t="str">
        <f aca="false">IF(D714="","",IFERROR(VALUE(LEFT(D714,FIND(" |",D714&amp;" |")-1)),"?"))</f>
        <v/>
      </c>
      <c r="H714" s="27" t="str">
        <f aca="false">IF(G714="","",IF(G714="?","⚠ pub inconnue",IFERROR(INDEX(Pubs!$B$2:$B$3001,MATCH(G714,Pubs!$A$2:$A$3001,0))&amp;"","⚠ pub inconnue")))</f>
        <v/>
      </c>
      <c r="I714" s="27" t="str">
        <f aca="false">IF(OR(G714="",G714="?"),"",IFERROR(INDEX(Pubs!$C$2:$C$3001,MATCH(G714,Pubs!$A$2:$A$3001,0))&amp;"",""))</f>
        <v/>
      </c>
      <c r="J714" s="27" t="str">
        <f aca="false">IF(OR(G714="",G714="?"),"",IFERROR(INDEX(Pubs!$G$2:$G$3001,MATCH(G714,Pubs!$A$2:$A$3001,0))&amp;"",""))</f>
        <v/>
      </c>
      <c r="K714" s="28" t="str">
        <f aca="false">IF(OR(G714="",G714="?"),"",IFERROR(INDEX(Pubs!$E$2:$E$3001,MATCH(G714,Pubs!$A$2:$A$3001,0)),""))</f>
        <v/>
      </c>
      <c r="L714" s="29" t="str">
        <f aca="false">IF(A714="","",IFERROR(1/(1/INDEX(Numéros!$C$2:$C$3001,MATCH(A714&amp;"|"&amp;B714,Numéros!$F$2:$F$3001,0))),""))</f>
        <v/>
      </c>
      <c r="M714" s="27" t="str">
        <f aca="false">IF(OR(G714="",G714="?"),"",IFERROR(INDEX(Pubs!$D$2:$D$3001,MATCH(G714,Pubs!$A$2:$A$3001,0))&amp;"",""))</f>
        <v/>
      </c>
      <c r="N714" s="27" t="n">
        <f aca="false">N(N713)+IF(AND(A714&lt;&gt;"",OR(Recherche!$C$4="",A714=Recherche!$C$4),OR(Recherche!$C$5="",B714&amp;""=Recherche!$C$5&amp;""),OR(Recherche!$C$6="",IFERROR(YEAR(L714),0)=Recherche!$C$6),OR(Recherche!$C$7="",ISNUMBER(SEARCH(Recherche!$C$7,H714))),OR(Recherche!$C$8="",J714=Recherche!$C$8),OR(Recherche!$C$9="",I714=Recherche!$C$9),OR(Recherche!$C$10="",G714&amp;""=Recherche!$C$10&amp;""),OR(Recherche!$C$11="",E714=Recherche!$C$11),OR(Recherche!$C$12="",ISNUMBER(SEARCH(Recherche!$C$12,M714&amp;" "&amp;F714)))),1,0)</f>
        <v>8</v>
      </c>
    </row>
    <row r="715" customFormat="false" ht="15" hidden="false" customHeight="false" outlineLevel="0" collapsed="false">
      <c r="A715" s="19"/>
      <c r="B715" s="19"/>
      <c r="C715" s="19"/>
      <c r="D715" s="19"/>
      <c r="E715" s="22"/>
      <c r="F715" s="19"/>
      <c r="G715" s="26" t="str">
        <f aca="false">IF(D715="","",IFERROR(VALUE(LEFT(D715,FIND(" |",D715&amp;" |")-1)),"?"))</f>
        <v/>
      </c>
      <c r="H715" s="27" t="str">
        <f aca="false">IF(G715="","",IF(G715="?","⚠ pub inconnue",IFERROR(INDEX(Pubs!$B$2:$B$3001,MATCH(G715,Pubs!$A$2:$A$3001,0))&amp;"","⚠ pub inconnue")))</f>
        <v/>
      </c>
      <c r="I715" s="27" t="str">
        <f aca="false">IF(OR(G715="",G715="?"),"",IFERROR(INDEX(Pubs!$C$2:$C$3001,MATCH(G715,Pubs!$A$2:$A$3001,0))&amp;"",""))</f>
        <v/>
      </c>
      <c r="J715" s="27" t="str">
        <f aca="false">IF(OR(G715="",G715="?"),"",IFERROR(INDEX(Pubs!$G$2:$G$3001,MATCH(G715,Pubs!$A$2:$A$3001,0))&amp;"",""))</f>
        <v/>
      </c>
      <c r="K715" s="28" t="str">
        <f aca="false">IF(OR(G715="",G715="?"),"",IFERROR(INDEX(Pubs!$E$2:$E$3001,MATCH(G715,Pubs!$A$2:$A$3001,0)),""))</f>
        <v/>
      </c>
      <c r="L715" s="29" t="str">
        <f aca="false">IF(A715="","",IFERROR(1/(1/INDEX(Numéros!$C$2:$C$3001,MATCH(A715&amp;"|"&amp;B715,Numéros!$F$2:$F$3001,0))),""))</f>
        <v/>
      </c>
      <c r="M715" s="27" t="str">
        <f aca="false">IF(OR(G715="",G715="?"),"",IFERROR(INDEX(Pubs!$D$2:$D$3001,MATCH(G715,Pubs!$A$2:$A$3001,0))&amp;"",""))</f>
        <v/>
      </c>
      <c r="N715" s="27" t="n">
        <f aca="false">N(N714)+IF(AND(A715&lt;&gt;"",OR(Recherche!$C$4="",A715=Recherche!$C$4),OR(Recherche!$C$5="",B715&amp;""=Recherche!$C$5&amp;""),OR(Recherche!$C$6="",IFERROR(YEAR(L715),0)=Recherche!$C$6),OR(Recherche!$C$7="",ISNUMBER(SEARCH(Recherche!$C$7,H715))),OR(Recherche!$C$8="",J715=Recherche!$C$8),OR(Recherche!$C$9="",I715=Recherche!$C$9),OR(Recherche!$C$10="",G715&amp;""=Recherche!$C$10&amp;""),OR(Recherche!$C$11="",E715=Recherche!$C$11),OR(Recherche!$C$12="",ISNUMBER(SEARCH(Recherche!$C$12,M715&amp;" "&amp;F715)))),1,0)</f>
        <v>8</v>
      </c>
    </row>
    <row r="716" customFormat="false" ht="15" hidden="false" customHeight="false" outlineLevel="0" collapsed="false">
      <c r="A716" s="19"/>
      <c r="B716" s="19"/>
      <c r="C716" s="19"/>
      <c r="D716" s="19"/>
      <c r="E716" s="22"/>
      <c r="F716" s="19"/>
      <c r="G716" s="26" t="str">
        <f aca="false">IF(D716="","",IFERROR(VALUE(LEFT(D716,FIND(" |",D716&amp;" |")-1)),"?"))</f>
        <v/>
      </c>
      <c r="H716" s="27" t="str">
        <f aca="false">IF(G716="","",IF(G716="?","⚠ pub inconnue",IFERROR(INDEX(Pubs!$B$2:$B$3001,MATCH(G716,Pubs!$A$2:$A$3001,0))&amp;"","⚠ pub inconnue")))</f>
        <v/>
      </c>
      <c r="I716" s="27" t="str">
        <f aca="false">IF(OR(G716="",G716="?"),"",IFERROR(INDEX(Pubs!$C$2:$C$3001,MATCH(G716,Pubs!$A$2:$A$3001,0))&amp;"",""))</f>
        <v/>
      </c>
      <c r="J716" s="27" t="str">
        <f aca="false">IF(OR(G716="",G716="?"),"",IFERROR(INDEX(Pubs!$G$2:$G$3001,MATCH(G716,Pubs!$A$2:$A$3001,0))&amp;"",""))</f>
        <v/>
      </c>
      <c r="K716" s="28" t="str">
        <f aca="false">IF(OR(G716="",G716="?"),"",IFERROR(INDEX(Pubs!$E$2:$E$3001,MATCH(G716,Pubs!$A$2:$A$3001,0)),""))</f>
        <v/>
      </c>
      <c r="L716" s="29" t="str">
        <f aca="false">IF(A716="","",IFERROR(1/(1/INDEX(Numéros!$C$2:$C$3001,MATCH(A716&amp;"|"&amp;B716,Numéros!$F$2:$F$3001,0))),""))</f>
        <v/>
      </c>
      <c r="M716" s="27" t="str">
        <f aca="false">IF(OR(G716="",G716="?"),"",IFERROR(INDEX(Pubs!$D$2:$D$3001,MATCH(G716,Pubs!$A$2:$A$3001,0))&amp;"",""))</f>
        <v/>
      </c>
      <c r="N716" s="27" t="n">
        <f aca="false">N(N715)+IF(AND(A716&lt;&gt;"",OR(Recherche!$C$4="",A716=Recherche!$C$4),OR(Recherche!$C$5="",B716&amp;""=Recherche!$C$5&amp;""),OR(Recherche!$C$6="",IFERROR(YEAR(L716),0)=Recherche!$C$6),OR(Recherche!$C$7="",ISNUMBER(SEARCH(Recherche!$C$7,H716))),OR(Recherche!$C$8="",J716=Recherche!$C$8),OR(Recherche!$C$9="",I716=Recherche!$C$9),OR(Recherche!$C$10="",G716&amp;""=Recherche!$C$10&amp;""),OR(Recherche!$C$11="",E716=Recherche!$C$11),OR(Recherche!$C$12="",ISNUMBER(SEARCH(Recherche!$C$12,M716&amp;" "&amp;F716)))),1,0)</f>
        <v>8</v>
      </c>
    </row>
    <row r="717" customFormat="false" ht="15" hidden="false" customHeight="false" outlineLevel="0" collapsed="false">
      <c r="A717" s="19"/>
      <c r="B717" s="19"/>
      <c r="C717" s="19"/>
      <c r="D717" s="19"/>
      <c r="E717" s="22"/>
      <c r="F717" s="19"/>
      <c r="G717" s="26" t="str">
        <f aca="false">IF(D717="","",IFERROR(VALUE(LEFT(D717,FIND(" |",D717&amp;" |")-1)),"?"))</f>
        <v/>
      </c>
      <c r="H717" s="27" t="str">
        <f aca="false">IF(G717="","",IF(G717="?","⚠ pub inconnue",IFERROR(INDEX(Pubs!$B$2:$B$3001,MATCH(G717,Pubs!$A$2:$A$3001,0))&amp;"","⚠ pub inconnue")))</f>
        <v/>
      </c>
      <c r="I717" s="27" t="str">
        <f aca="false">IF(OR(G717="",G717="?"),"",IFERROR(INDEX(Pubs!$C$2:$C$3001,MATCH(G717,Pubs!$A$2:$A$3001,0))&amp;"",""))</f>
        <v/>
      </c>
      <c r="J717" s="27" t="str">
        <f aca="false">IF(OR(G717="",G717="?"),"",IFERROR(INDEX(Pubs!$G$2:$G$3001,MATCH(G717,Pubs!$A$2:$A$3001,0))&amp;"",""))</f>
        <v/>
      </c>
      <c r="K717" s="28" t="str">
        <f aca="false">IF(OR(G717="",G717="?"),"",IFERROR(INDEX(Pubs!$E$2:$E$3001,MATCH(G717,Pubs!$A$2:$A$3001,0)),""))</f>
        <v/>
      </c>
      <c r="L717" s="29" t="str">
        <f aca="false">IF(A717="","",IFERROR(1/(1/INDEX(Numéros!$C$2:$C$3001,MATCH(A717&amp;"|"&amp;B717,Numéros!$F$2:$F$3001,0))),""))</f>
        <v/>
      </c>
      <c r="M717" s="27" t="str">
        <f aca="false">IF(OR(G717="",G717="?"),"",IFERROR(INDEX(Pubs!$D$2:$D$3001,MATCH(G717,Pubs!$A$2:$A$3001,0))&amp;"",""))</f>
        <v/>
      </c>
      <c r="N717" s="27" t="n">
        <f aca="false">N(N716)+IF(AND(A717&lt;&gt;"",OR(Recherche!$C$4="",A717=Recherche!$C$4),OR(Recherche!$C$5="",B717&amp;""=Recherche!$C$5&amp;""),OR(Recherche!$C$6="",IFERROR(YEAR(L717),0)=Recherche!$C$6),OR(Recherche!$C$7="",ISNUMBER(SEARCH(Recherche!$C$7,H717))),OR(Recherche!$C$8="",J717=Recherche!$C$8),OR(Recherche!$C$9="",I717=Recherche!$C$9),OR(Recherche!$C$10="",G717&amp;""=Recherche!$C$10&amp;""),OR(Recherche!$C$11="",E717=Recherche!$C$11),OR(Recherche!$C$12="",ISNUMBER(SEARCH(Recherche!$C$12,M717&amp;" "&amp;F717)))),1,0)</f>
        <v>8</v>
      </c>
    </row>
    <row r="718" customFormat="false" ht="15" hidden="false" customHeight="false" outlineLevel="0" collapsed="false">
      <c r="A718" s="19"/>
      <c r="B718" s="19"/>
      <c r="C718" s="19"/>
      <c r="D718" s="19"/>
      <c r="E718" s="22"/>
      <c r="F718" s="19"/>
      <c r="G718" s="26" t="str">
        <f aca="false">IF(D718="","",IFERROR(VALUE(LEFT(D718,FIND(" |",D718&amp;" |")-1)),"?"))</f>
        <v/>
      </c>
      <c r="H718" s="27" t="str">
        <f aca="false">IF(G718="","",IF(G718="?","⚠ pub inconnue",IFERROR(INDEX(Pubs!$B$2:$B$3001,MATCH(G718,Pubs!$A$2:$A$3001,0))&amp;"","⚠ pub inconnue")))</f>
        <v/>
      </c>
      <c r="I718" s="27" t="str">
        <f aca="false">IF(OR(G718="",G718="?"),"",IFERROR(INDEX(Pubs!$C$2:$C$3001,MATCH(G718,Pubs!$A$2:$A$3001,0))&amp;"",""))</f>
        <v/>
      </c>
      <c r="J718" s="27" t="str">
        <f aca="false">IF(OR(G718="",G718="?"),"",IFERROR(INDEX(Pubs!$G$2:$G$3001,MATCH(G718,Pubs!$A$2:$A$3001,0))&amp;"",""))</f>
        <v/>
      </c>
      <c r="K718" s="28" t="str">
        <f aca="false">IF(OR(G718="",G718="?"),"",IFERROR(INDEX(Pubs!$E$2:$E$3001,MATCH(G718,Pubs!$A$2:$A$3001,0)),""))</f>
        <v/>
      </c>
      <c r="L718" s="29" t="str">
        <f aca="false">IF(A718="","",IFERROR(1/(1/INDEX(Numéros!$C$2:$C$3001,MATCH(A718&amp;"|"&amp;B718,Numéros!$F$2:$F$3001,0))),""))</f>
        <v/>
      </c>
      <c r="M718" s="27" t="str">
        <f aca="false">IF(OR(G718="",G718="?"),"",IFERROR(INDEX(Pubs!$D$2:$D$3001,MATCH(G718,Pubs!$A$2:$A$3001,0))&amp;"",""))</f>
        <v/>
      </c>
      <c r="N718" s="27" t="n">
        <f aca="false">N(N717)+IF(AND(A718&lt;&gt;"",OR(Recherche!$C$4="",A718=Recherche!$C$4),OR(Recherche!$C$5="",B718&amp;""=Recherche!$C$5&amp;""),OR(Recherche!$C$6="",IFERROR(YEAR(L718),0)=Recherche!$C$6),OR(Recherche!$C$7="",ISNUMBER(SEARCH(Recherche!$C$7,H718))),OR(Recherche!$C$8="",J718=Recherche!$C$8),OR(Recherche!$C$9="",I718=Recherche!$C$9),OR(Recherche!$C$10="",G718&amp;""=Recherche!$C$10&amp;""),OR(Recherche!$C$11="",E718=Recherche!$C$11),OR(Recherche!$C$12="",ISNUMBER(SEARCH(Recherche!$C$12,M718&amp;" "&amp;F718)))),1,0)</f>
        <v>8</v>
      </c>
    </row>
    <row r="719" customFormat="false" ht="15" hidden="false" customHeight="false" outlineLevel="0" collapsed="false">
      <c r="A719" s="19"/>
      <c r="B719" s="19"/>
      <c r="C719" s="19"/>
      <c r="D719" s="19"/>
      <c r="E719" s="22"/>
      <c r="F719" s="19"/>
      <c r="G719" s="26" t="str">
        <f aca="false">IF(D719="","",IFERROR(VALUE(LEFT(D719,FIND(" |",D719&amp;" |")-1)),"?"))</f>
        <v/>
      </c>
      <c r="H719" s="27" t="str">
        <f aca="false">IF(G719="","",IF(G719="?","⚠ pub inconnue",IFERROR(INDEX(Pubs!$B$2:$B$3001,MATCH(G719,Pubs!$A$2:$A$3001,0))&amp;"","⚠ pub inconnue")))</f>
        <v/>
      </c>
      <c r="I719" s="27" t="str">
        <f aca="false">IF(OR(G719="",G719="?"),"",IFERROR(INDEX(Pubs!$C$2:$C$3001,MATCH(G719,Pubs!$A$2:$A$3001,0))&amp;"",""))</f>
        <v/>
      </c>
      <c r="J719" s="27" t="str">
        <f aca="false">IF(OR(G719="",G719="?"),"",IFERROR(INDEX(Pubs!$G$2:$G$3001,MATCH(G719,Pubs!$A$2:$A$3001,0))&amp;"",""))</f>
        <v/>
      </c>
      <c r="K719" s="28" t="str">
        <f aca="false">IF(OR(G719="",G719="?"),"",IFERROR(INDEX(Pubs!$E$2:$E$3001,MATCH(G719,Pubs!$A$2:$A$3001,0)),""))</f>
        <v/>
      </c>
      <c r="L719" s="29" t="str">
        <f aca="false">IF(A719="","",IFERROR(1/(1/INDEX(Numéros!$C$2:$C$3001,MATCH(A719&amp;"|"&amp;B719,Numéros!$F$2:$F$3001,0))),""))</f>
        <v/>
      </c>
      <c r="M719" s="27" t="str">
        <f aca="false">IF(OR(G719="",G719="?"),"",IFERROR(INDEX(Pubs!$D$2:$D$3001,MATCH(G719,Pubs!$A$2:$A$3001,0))&amp;"",""))</f>
        <v/>
      </c>
      <c r="N719" s="27" t="n">
        <f aca="false">N(N718)+IF(AND(A719&lt;&gt;"",OR(Recherche!$C$4="",A719=Recherche!$C$4),OR(Recherche!$C$5="",B719&amp;""=Recherche!$C$5&amp;""),OR(Recherche!$C$6="",IFERROR(YEAR(L719),0)=Recherche!$C$6),OR(Recherche!$C$7="",ISNUMBER(SEARCH(Recherche!$C$7,H719))),OR(Recherche!$C$8="",J719=Recherche!$C$8),OR(Recherche!$C$9="",I719=Recherche!$C$9),OR(Recherche!$C$10="",G719&amp;""=Recherche!$C$10&amp;""),OR(Recherche!$C$11="",E719=Recherche!$C$11),OR(Recherche!$C$12="",ISNUMBER(SEARCH(Recherche!$C$12,M719&amp;" "&amp;F719)))),1,0)</f>
        <v>8</v>
      </c>
    </row>
    <row r="720" customFormat="false" ht="15" hidden="false" customHeight="false" outlineLevel="0" collapsed="false">
      <c r="A720" s="19"/>
      <c r="B720" s="19"/>
      <c r="C720" s="19"/>
      <c r="D720" s="19"/>
      <c r="E720" s="22"/>
      <c r="F720" s="19"/>
      <c r="G720" s="26" t="str">
        <f aca="false">IF(D720="","",IFERROR(VALUE(LEFT(D720,FIND(" |",D720&amp;" |")-1)),"?"))</f>
        <v/>
      </c>
      <c r="H720" s="27" t="str">
        <f aca="false">IF(G720="","",IF(G720="?","⚠ pub inconnue",IFERROR(INDEX(Pubs!$B$2:$B$3001,MATCH(G720,Pubs!$A$2:$A$3001,0))&amp;"","⚠ pub inconnue")))</f>
        <v/>
      </c>
      <c r="I720" s="27" t="str">
        <f aca="false">IF(OR(G720="",G720="?"),"",IFERROR(INDEX(Pubs!$C$2:$C$3001,MATCH(G720,Pubs!$A$2:$A$3001,0))&amp;"",""))</f>
        <v/>
      </c>
      <c r="J720" s="27" t="str">
        <f aca="false">IF(OR(G720="",G720="?"),"",IFERROR(INDEX(Pubs!$G$2:$G$3001,MATCH(G720,Pubs!$A$2:$A$3001,0))&amp;"",""))</f>
        <v/>
      </c>
      <c r="K720" s="28" t="str">
        <f aca="false">IF(OR(G720="",G720="?"),"",IFERROR(INDEX(Pubs!$E$2:$E$3001,MATCH(G720,Pubs!$A$2:$A$3001,0)),""))</f>
        <v/>
      </c>
      <c r="L720" s="29" t="str">
        <f aca="false">IF(A720="","",IFERROR(1/(1/INDEX(Numéros!$C$2:$C$3001,MATCH(A720&amp;"|"&amp;B720,Numéros!$F$2:$F$3001,0))),""))</f>
        <v/>
      </c>
      <c r="M720" s="27" t="str">
        <f aca="false">IF(OR(G720="",G720="?"),"",IFERROR(INDEX(Pubs!$D$2:$D$3001,MATCH(G720,Pubs!$A$2:$A$3001,0))&amp;"",""))</f>
        <v/>
      </c>
      <c r="N720" s="27" t="n">
        <f aca="false">N(N719)+IF(AND(A720&lt;&gt;"",OR(Recherche!$C$4="",A720=Recherche!$C$4),OR(Recherche!$C$5="",B720&amp;""=Recherche!$C$5&amp;""),OR(Recherche!$C$6="",IFERROR(YEAR(L720),0)=Recherche!$C$6),OR(Recherche!$C$7="",ISNUMBER(SEARCH(Recherche!$C$7,H720))),OR(Recherche!$C$8="",J720=Recherche!$C$8),OR(Recherche!$C$9="",I720=Recherche!$C$9),OR(Recherche!$C$10="",G720&amp;""=Recherche!$C$10&amp;""),OR(Recherche!$C$11="",E720=Recherche!$C$11),OR(Recherche!$C$12="",ISNUMBER(SEARCH(Recherche!$C$12,M720&amp;" "&amp;F720)))),1,0)</f>
        <v>8</v>
      </c>
    </row>
    <row r="721" customFormat="false" ht="15" hidden="false" customHeight="false" outlineLevel="0" collapsed="false">
      <c r="A721" s="19"/>
      <c r="B721" s="19"/>
      <c r="C721" s="19"/>
      <c r="D721" s="19"/>
      <c r="E721" s="22"/>
      <c r="F721" s="19"/>
      <c r="G721" s="26" t="str">
        <f aca="false">IF(D721="","",IFERROR(VALUE(LEFT(D721,FIND(" |",D721&amp;" |")-1)),"?"))</f>
        <v/>
      </c>
      <c r="H721" s="27" t="str">
        <f aca="false">IF(G721="","",IF(G721="?","⚠ pub inconnue",IFERROR(INDEX(Pubs!$B$2:$B$3001,MATCH(G721,Pubs!$A$2:$A$3001,0))&amp;"","⚠ pub inconnue")))</f>
        <v/>
      </c>
      <c r="I721" s="27" t="str">
        <f aca="false">IF(OR(G721="",G721="?"),"",IFERROR(INDEX(Pubs!$C$2:$C$3001,MATCH(G721,Pubs!$A$2:$A$3001,0))&amp;"",""))</f>
        <v/>
      </c>
      <c r="J721" s="27" t="str">
        <f aca="false">IF(OR(G721="",G721="?"),"",IFERROR(INDEX(Pubs!$G$2:$G$3001,MATCH(G721,Pubs!$A$2:$A$3001,0))&amp;"",""))</f>
        <v/>
      </c>
      <c r="K721" s="28" t="str">
        <f aca="false">IF(OR(G721="",G721="?"),"",IFERROR(INDEX(Pubs!$E$2:$E$3001,MATCH(G721,Pubs!$A$2:$A$3001,0)),""))</f>
        <v/>
      </c>
      <c r="L721" s="29" t="str">
        <f aca="false">IF(A721="","",IFERROR(1/(1/INDEX(Numéros!$C$2:$C$3001,MATCH(A721&amp;"|"&amp;B721,Numéros!$F$2:$F$3001,0))),""))</f>
        <v/>
      </c>
      <c r="M721" s="27" t="str">
        <f aca="false">IF(OR(G721="",G721="?"),"",IFERROR(INDEX(Pubs!$D$2:$D$3001,MATCH(G721,Pubs!$A$2:$A$3001,0))&amp;"",""))</f>
        <v/>
      </c>
      <c r="N721" s="27" t="n">
        <f aca="false">N(N720)+IF(AND(A721&lt;&gt;"",OR(Recherche!$C$4="",A721=Recherche!$C$4),OR(Recherche!$C$5="",B721&amp;""=Recherche!$C$5&amp;""),OR(Recherche!$C$6="",IFERROR(YEAR(L721),0)=Recherche!$C$6),OR(Recherche!$C$7="",ISNUMBER(SEARCH(Recherche!$C$7,H721))),OR(Recherche!$C$8="",J721=Recherche!$C$8),OR(Recherche!$C$9="",I721=Recherche!$C$9),OR(Recherche!$C$10="",G721&amp;""=Recherche!$C$10&amp;""),OR(Recherche!$C$11="",E721=Recherche!$C$11),OR(Recherche!$C$12="",ISNUMBER(SEARCH(Recherche!$C$12,M721&amp;" "&amp;F721)))),1,0)</f>
        <v>8</v>
      </c>
    </row>
    <row r="722" customFormat="false" ht="15" hidden="false" customHeight="false" outlineLevel="0" collapsed="false">
      <c r="A722" s="19"/>
      <c r="B722" s="19"/>
      <c r="C722" s="19"/>
      <c r="D722" s="19"/>
      <c r="E722" s="22"/>
      <c r="F722" s="19"/>
      <c r="G722" s="26" t="str">
        <f aca="false">IF(D722="","",IFERROR(VALUE(LEFT(D722,FIND(" |",D722&amp;" |")-1)),"?"))</f>
        <v/>
      </c>
      <c r="H722" s="27" t="str">
        <f aca="false">IF(G722="","",IF(G722="?","⚠ pub inconnue",IFERROR(INDEX(Pubs!$B$2:$B$3001,MATCH(G722,Pubs!$A$2:$A$3001,0))&amp;"","⚠ pub inconnue")))</f>
        <v/>
      </c>
      <c r="I722" s="27" t="str">
        <f aca="false">IF(OR(G722="",G722="?"),"",IFERROR(INDEX(Pubs!$C$2:$C$3001,MATCH(G722,Pubs!$A$2:$A$3001,0))&amp;"",""))</f>
        <v/>
      </c>
      <c r="J722" s="27" t="str">
        <f aca="false">IF(OR(G722="",G722="?"),"",IFERROR(INDEX(Pubs!$G$2:$G$3001,MATCH(G722,Pubs!$A$2:$A$3001,0))&amp;"",""))</f>
        <v/>
      </c>
      <c r="K722" s="28" t="str">
        <f aca="false">IF(OR(G722="",G722="?"),"",IFERROR(INDEX(Pubs!$E$2:$E$3001,MATCH(G722,Pubs!$A$2:$A$3001,0)),""))</f>
        <v/>
      </c>
      <c r="L722" s="29" t="str">
        <f aca="false">IF(A722="","",IFERROR(1/(1/INDEX(Numéros!$C$2:$C$3001,MATCH(A722&amp;"|"&amp;B722,Numéros!$F$2:$F$3001,0))),""))</f>
        <v/>
      </c>
      <c r="M722" s="27" t="str">
        <f aca="false">IF(OR(G722="",G722="?"),"",IFERROR(INDEX(Pubs!$D$2:$D$3001,MATCH(G722,Pubs!$A$2:$A$3001,0))&amp;"",""))</f>
        <v/>
      </c>
      <c r="N722" s="27" t="n">
        <f aca="false">N(N721)+IF(AND(A722&lt;&gt;"",OR(Recherche!$C$4="",A722=Recherche!$C$4),OR(Recherche!$C$5="",B722&amp;""=Recherche!$C$5&amp;""),OR(Recherche!$C$6="",IFERROR(YEAR(L722),0)=Recherche!$C$6),OR(Recherche!$C$7="",ISNUMBER(SEARCH(Recherche!$C$7,H722))),OR(Recherche!$C$8="",J722=Recherche!$C$8),OR(Recherche!$C$9="",I722=Recherche!$C$9),OR(Recherche!$C$10="",G722&amp;""=Recherche!$C$10&amp;""),OR(Recherche!$C$11="",E722=Recherche!$C$11),OR(Recherche!$C$12="",ISNUMBER(SEARCH(Recherche!$C$12,M722&amp;" "&amp;F722)))),1,0)</f>
        <v>8</v>
      </c>
    </row>
    <row r="723" customFormat="false" ht="15" hidden="false" customHeight="false" outlineLevel="0" collapsed="false">
      <c r="A723" s="19"/>
      <c r="B723" s="19"/>
      <c r="C723" s="19"/>
      <c r="D723" s="19"/>
      <c r="E723" s="22"/>
      <c r="F723" s="19"/>
      <c r="G723" s="26" t="str">
        <f aca="false">IF(D723="","",IFERROR(VALUE(LEFT(D723,FIND(" |",D723&amp;" |")-1)),"?"))</f>
        <v/>
      </c>
      <c r="H723" s="27" t="str">
        <f aca="false">IF(G723="","",IF(G723="?","⚠ pub inconnue",IFERROR(INDEX(Pubs!$B$2:$B$3001,MATCH(G723,Pubs!$A$2:$A$3001,0))&amp;"","⚠ pub inconnue")))</f>
        <v/>
      </c>
      <c r="I723" s="27" t="str">
        <f aca="false">IF(OR(G723="",G723="?"),"",IFERROR(INDEX(Pubs!$C$2:$C$3001,MATCH(G723,Pubs!$A$2:$A$3001,0))&amp;"",""))</f>
        <v/>
      </c>
      <c r="J723" s="27" t="str">
        <f aca="false">IF(OR(G723="",G723="?"),"",IFERROR(INDEX(Pubs!$G$2:$G$3001,MATCH(G723,Pubs!$A$2:$A$3001,0))&amp;"",""))</f>
        <v/>
      </c>
      <c r="K723" s="28" t="str">
        <f aca="false">IF(OR(G723="",G723="?"),"",IFERROR(INDEX(Pubs!$E$2:$E$3001,MATCH(G723,Pubs!$A$2:$A$3001,0)),""))</f>
        <v/>
      </c>
      <c r="L723" s="29" t="str">
        <f aca="false">IF(A723="","",IFERROR(1/(1/INDEX(Numéros!$C$2:$C$3001,MATCH(A723&amp;"|"&amp;B723,Numéros!$F$2:$F$3001,0))),""))</f>
        <v/>
      </c>
      <c r="M723" s="27" t="str">
        <f aca="false">IF(OR(G723="",G723="?"),"",IFERROR(INDEX(Pubs!$D$2:$D$3001,MATCH(G723,Pubs!$A$2:$A$3001,0))&amp;"",""))</f>
        <v/>
      </c>
      <c r="N723" s="27" t="n">
        <f aca="false">N(N722)+IF(AND(A723&lt;&gt;"",OR(Recherche!$C$4="",A723=Recherche!$C$4),OR(Recherche!$C$5="",B723&amp;""=Recherche!$C$5&amp;""),OR(Recherche!$C$6="",IFERROR(YEAR(L723),0)=Recherche!$C$6),OR(Recherche!$C$7="",ISNUMBER(SEARCH(Recherche!$C$7,H723))),OR(Recherche!$C$8="",J723=Recherche!$C$8),OR(Recherche!$C$9="",I723=Recherche!$C$9),OR(Recherche!$C$10="",G723&amp;""=Recherche!$C$10&amp;""),OR(Recherche!$C$11="",E723=Recherche!$C$11),OR(Recherche!$C$12="",ISNUMBER(SEARCH(Recherche!$C$12,M723&amp;" "&amp;F723)))),1,0)</f>
        <v>8</v>
      </c>
    </row>
    <row r="724" customFormat="false" ht="15" hidden="false" customHeight="false" outlineLevel="0" collapsed="false">
      <c r="A724" s="19"/>
      <c r="B724" s="19"/>
      <c r="C724" s="19"/>
      <c r="D724" s="19"/>
      <c r="E724" s="22"/>
      <c r="F724" s="19"/>
      <c r="G724" s="26" t="str">
        <f aca="false">IF(D724="","",IFERROR(VALUE(LEFT(D724,FIND(" |",D724&amp;" |")-1)),"?"))</f>
        <v/>
      </c>
      <c r="H724" s="27" t="str">
        <f aca="false">IF(G724="","",IF(G724="?","⚠ pub inconnue",IFERROR(INDEX(Pubs!$B$2:$B$3001,MATCH(G724,Pubs!$A$2:$A$3001,0))&amp;"","⚠ pub inconnue")))</f>
        <v/>
      </c>
      <c r="I724" s="27" t="str">
        <f aca="false">IF(OR(G724="",G724="?"),"",IFERROR(INDEX(Pubs!$C$2:$C$3001,MATCH(G724,Pubs!$A$2:$A$3001,0))&amp;"",""))</f>
        <v/>
      </c>
      <c r="J724" s="27" t="str">
        <f aca="false">IF(OR(G724="",G724="?"),"",IFERROR(INDEX(Pubs!$G$2:$G$3001,MATCH(G724,Pubs!$A$2:$A$3001,0))&amp;"",""))</f>
        <v/>
      </c>
      <c r="K724" s="28" t="str">
        <f aca="false">IF(OR(G724="",G724="?"),"",IFERROR(INDEX(Pubs!$E$2:$E$3001,MATCH(G724,Pubs!$A$2:$A$3001,0)),""))</f>
        <v/>
      </c>
      <c r="L724" s="29" t="str">
        <f aca="false">IF(A724="","",IFERROR(1/(1/INDEX(Numéros!$C$2:$C$3001,MATCH(A724&amp;"|"&amp;B724,Numéros!$F$2:$F$3001,0))),""))</f>
        <v/>
      </c>
      <c r="M724" s="27" t="str">
        <f aca="false">IF(OR(G724="",G724="?"),"",IFERROR(INDEX(Pubs!$D$2:$D$3001,MATCH(G724,Pubs!$A$2:$A$3001,0))&amp;"",""))</f>
        <v/>
      </c>
      <c r="N724" s="27" t="n">
        <f aca="false">N(N723)+IF(AND(A724&lt;&gt;"",OR(Recherche!$C$4="",A724=Recherche!$C$4),OR(Recherche!$C$5="",B724&amp;""=Recherche!$C$5&amp;""),OR(Recherche!$C$6="",IFERROR(YEAR(L724),0)=Recherche!$C$6),OR(Recherche!$C$7="",ISNUMBER(SEARCH(Recherche!$C$7,H724))),OR(Recherche!$C$8="",J724=Recherche!$C$8),OR(Recherche!$C$9="",I724=Recherche!$C$9),OR(Recherche!$C$10="",G724&amp;""=Recherche!$C$10&amp;""),OR(Recherche!$C$11="",E724=Recherche!$C$11),OR(Recherche!$C$12="",ISNUMBER(SEARCH(Recherche!$C$12,M724&amp;" "&amp;F724)))),1,0)</f>
        <v>8</v>
      </c>
    </row>
    <row r="725" customFormat="false" ht="15" hidden="false" customHeight="false" outlineLevel="0" collapsed="false">
      <c r="A725" s="19"/>
      <c r="B725" s="19"/>
      <c r="C725" s="19"/>
      <c r="D725" s="19"/>
      <c r="E725" s="22"/>
      <c r="F725" s="19"/>
      <c r="G725" s="26" t="str">
        <f aca="false">IF(D725="","",IFERROR(VALUE(LEFT(D725,FIND(" |",D725&amp;" |")-1)),"?"))</f>
        <v/>
      </c>
      <c r="H725" s="27" t="str">
        <f aca="false">IF(G725="","",IF(G725="?","⚠ pub inconnue",IFERROR(INDEX(Pubs!$B$2:$B$3001,MATCH(G725,Pubs!$A$2:$A$3001,0))&amp;"","⚠ pub inconnue")))</f>
        <v/>
      </c>
      <c r="I725" s="27" t="str">
        <f aca="false">IF(OR(G725="",G725="?"),"",IFERROR(INDEX(Pubs!$C$2:$C$3001,MATCH(G725,Pubs!$A$2:$A$3001,0))&amp;"",""))</f>
        <v/>
      </c>
      <c r="J725" s="27" t="str">
        <f aca="false">IF(OR(G725="",G725="?"),"",IFERROR(INDEX(Pubs!$G$2:$G$3001,MATCH(G725,Pubs!$A$2:$A$3001,0))&amp;"",""))</f>
        <v/>
      </c>
      <c r="K725" s="28" t="str">
        <f aca="false">IF(OR(G725="",G725="?"),"",IFERROR(INDEX(Pubs!$E$2:$E$3001,MATCH(G725,Pubs!$A$2:$A$3001,0)),""))</f>
        <v/>
      </c>
      <c r="L725" s="29" t="str">
        <f aca="false">IF(A725="","",IFERROR(1/(1/INDEX(Numéros!$C$2:$C$3001,MATCH(A725&amp;"|"&amp;B725,Numéros!$F$2:$F$3001,0))),""))</f>
        <v/>
      </c>
      <c r="M725" s="27" t="str">
        <f aca="false">IF(OR(G725="",G725="?"),"",IFERROR(INDEX(Pubs!$D$2:$D$3001,MATCH(G725,Pubs!$A$2:$A$3001,0))&amp;"",""))</f>
        <v/>
      </c>
      <c r="N725" s="27" t="n">
        <f aca="false">N(N724)+IF(AND(A725&lt;&gt;"",OR(Recherche!$C$4="",A725=Recherche!$C$4),OR(Recherche!$C$5="",B725&amp;""=Recherche!$C$5&amp;""),OR(Recherche!$C$6="",IFERROR(YEAR(L725),0)=Recherche!$C$6),OR(Recherche!$C$7="",ISNUMBER(SEARCH(Recherche!$C$7,H725))),OR(Recherche!$C$8="",J725=Recherche!$C$8),OR(Recherche!$C$9="",I725=Recherche!$C$9),OR(Recherche!$C$10="",G725&amp;""=Recherche!$C$10&amp;""),OR(Recherche!$C$11="",E725=Recherche!$C$11),OR(Recherche!$C$12="",ISNUMBER(SEARCH(Recherche!$C$12,M725&amp;" "&amp;F725)))),1,0)</f>
        <v>8</v>
      </c>
    </row>
    <row r="726" customFormat="false" ht="15" hidden="false" customHeight="false" outlineLevel="0" collapsed="false">
      <c r="A726" s="19"/>
      <c r="B726" s="19"/>
      <c r="C726" s="19"/>
      <c r="D726" s="19"/>
      <c r="E726" s="22"/>
      <c r="F726" s="19"/>
      <c r="G726" s="26" t="str">
        <f aca="false">IF(D726="","",IFERROR(VALUE(LEFT(D726,FIND(" |",D726&amp;" |")-1)),"?"))</f>
        <v/>
      </c>
      <c r="H726" s="27" t="str">
        <f aca="false">IF(G726="","",IF(G726="?","⚠ pub inconnue",IFERROR(INDEX(Pubs!$B$2:$B$3001,MATCH(G726,Pubs!$A$2:$A$3001,0))&amp;"","⚠ pub inconnue")))</f>
        <v/>
      </c>
      <c r="I726" s="27" t="str">
        <f aca="false">IF(OR(G726="",G726="?"),"",IFERROR(INDEX(Pubs!$C$2:$C$3001,MATCH(G726,Pubs!$A$2:$A$3001,0))&amp;"",""))</f>
        <v/>
      </c>
      <c r="J726" s="27" t="str">
        <f aca="false">IF(OR(G726="",G726="?"),"",IFERROR(INDEX(Pubs!$G$2:$G$3001,MATCH(G726,Pubs!$A$2:$A$3001,0))&amp;"",""))</f>
        <v/>
      </c>
      <c r="K726" s="28" t="str">
        <f aca="false">IF(OR(G726="",G726="?"),"",IFERROR(INDEX(Pubs!$E$2:$E$3001,MATCH(G726,Pubs!$A$2:$A$3001,0)),""))</f>
        <v/>
      </c>
      <c r="L726" s="29" t="str">
        <f aca="false">IF(A726="","",IFERROR(1/(1/INDEX(Numéros!$C$2:$C$3001,MATCH(A726&amp;"|"&amp;B726,Numéros!$F$2:$F$3001,0))),""))</f>
        <v/>
      </c>
      <c r="M726" s="27" t="str">
        <f aca="false">IF(OR(G726="",G726="?"),"",IFERROR(INDEX(Pubs!$D$2:$D$3001,MATCH(G726,Pubs!$A$2:$A$3001,0))&amp;"",""))</f>
        <v/>
      </c>
      <c r="N726" s="27" t="n">
        <f aca="false">N(N725)+IF(AND(A726&lt;&gt;"",OR(Recherche!$C$4="",A726=Recherche!$C$4),OR(Recherche!$C$5="",B726&amp;""=Recherche!$C$5&amp;""),OR(Recherche!$C$6="",IFERROR(YEAR(L726),0)=Recherche!$C$6),OR(Recherche!$C$7="",ISNUMBER(SEARCH(Recherche!$C$7,H726))),OR(Recherche!$C$8="",J726=Recherche!$C$8),OR(Recherche!$C$9="",I726=Recherche!$C$9),OR(Recherche!$C$10="",G726&amp;""=Recherche!$C$10&amp;""),OR(Recherche!$C$11="",E726=Recherche!$C$11),OR(Recherche!$C$12="",ISNUMBER(SEARCH(Recherche!$C$12,M726&amp;" "&amp;F726)))),1,0)</f>
        <v>8</v>
      </c>
    </row>
    <row r="727" customFormat="false" ht="15" hidden="false" customHeight="false" outlineLevel="0" collapsed="false">
      <c r="A727" s="19"/>
      <c r="B727" s="19"/>
      <c r="C727" s="19"/>
      <c r="D727" s="19"/>
      <c r="E727" s="22"/>
      <c r="F727" s="19"/>
      <c r="G727" s="26" t="str">
        <f aca="false">IF(D727="","",IFERROR(VALUE(LEFT(D727,FIND(" |",D727&amp;" |")-1)),"?"))</f>
        <v/>
      </c>
      <c r="H727" s="27" t="str">
        <f aca="false">IF(G727="","",IF(G727="?","⚠ pub inconnue",IFERROR(INDEX(Pubs!$B$2:$B$3001,MATCH(G727,Pubs!$A$2:$A$3001,0))&amp;"","⚠ pub inconnue")))</f>
        <v/>
      </c>
      <c r="I727" s="27" t="str">
        <f aca="false">IF(OR(G727="",G727="?"),"",IFERROR(INDEX(Pubs!$C$2:$C$3001,MATCH(G727,Pubs!$A$2:$A$3001,0))&amp;"",""))</f>
        <v/>
      </c>
      <c r="J727" s="27" t="str">
        <f aca="false">IF(OR(G727="",G727="?"),"",IFERROR(INDEX(Pubs!$G$2:$G$3001,MATCH(G727,Pubs!$A$2:$A$3001,0))&amp;"",""))</f>
        <v/>
      </c>
      <c r="K727" s="28" t="str">
        <f aca="false">IF(OR(G727="",G727="?"),"",IFERROR(INDEX(Pubs!$E$2:$E$3001,MATCH(G727,Pubs!$A$2:$A$3001,0)),""))</f>
        <v/>
      </c>
      <c r="L727" s="29" t="str">
        <f aca="false">IF(A727="","",IFERROR(1/(1/INDEX(Numéros!$C$2:$C$3001,MATCH(A727&amp;"|"&amp;B727,Numéros!$F$2:$F$3001,0))),""))</f>
        <v/>
      </c>
      <c r="M727" s="27" t="str">
        <f aca="false">IF(OR(G727="",G727="?"),"",IFERROR(INDEX(Pubs!$D$2:$D$3001,MATCH(G727,Pubs!$A$2:$A$3001,0))&amp;"",""))</f>
        <v/>
      </c>
      <c r="N727" s="27" t="n">
        <f aca="false">N(N726)+IF(AND(A727&lt;&gt;"",OR(Recherche!$C$4="",A727=Recherche!$C$4),OR(Recherche!$C$5="",B727&amp;""=Recherche!$C$5&amp;""),OR(Recherche!$C$6="",IFERROR(YEAR(L727),0)=Recherche!$C$6),OR(Recherche!$C$7="",ISNUMBER(SEARCH(Recherche!$C$7,H727))),OR(Recherche!$C$8="",J727=Recherche!$C$8),OR(Recherche!$C$9="",I727=Recherche!$C$9),OR(Recherche!$C$10="",G727&amp;""=Recherche!$C$10&amp;""),OR(Recherche!$C$11="",E727=Recherche!$C$11),OR(Recherche!$C$12="",ISNUMBER(SEARCH(Recherche!$C$12,M727&amp;" "&amp;F727)))),1,0)</f>
        <v>8</v>
      </c>
    </row>
    <row r="728" customFormat="false" ht="15" hidden="false" customHeight="false" outlineLevel="0" collapsed="false">
      <c r="A728" s="19"/>
      <c r="B728" s="19"/>
      <c r="C728" s="19"/>
      <c r="D728" s="19"/>
      <c r="E728" s="22"/>
      <c r="F728" s="19"/>
      <c r="G728" s="26" t="str">
        <f aca="false">IF(D728="","",IFERROR(VALUE(LEFT(D728,FIND(" |",D728&amp;" |")-1)),"?"))</f>
        <v/>
      </c>
      <c r="H728" s="27" t="str">
        <f aca="false">IF(G728="","",IF(G728="?","⚠ pub inconnue",IFERROR(INDEX(Pubs!$B$2:$B$3001,MATCH(G728,Pubs!$A$2:$A$3001,0))&amp;"","⚠ pub inconnue")))</f>
        <v/>
      </c>
      <c r="I728" s="27" t="str">
        <f aca="false">IF(OR(G728="",G728="?"),"",IFERROR(INDEX(Pubs!$C$2:$C$3001,MATCH(G728,Pubs!$A$2:$A$3001,0))&amp;"",""))</f>
        <v/>
      </c>
      <c r="J728" s="27" t="str">
        <f aca="false">IF(OR(G728="",G728="?"),"",IFERROR(INDEX(Pubs!$G$2:$G$3001,MATCH(G728,Pubs!$A$2:$A$3001,0))&amp;"",""))</f>
        <v/>
      </c>
      <c r="K728" s="28" t="str">
        <f aca="false">IF(OR(G728="",G728="?"),"",IFERROR(INDEX(Pubs!$E$2:$E$3001,MATCH(G728,Pubs!$A$2:$A$3001,0)),""))</f>
        <v/>
      </c>
      <c r="L728" s="29" t="str">
        <f aca="false">IF(A728="","",IFERROR(1/(1/INDEX(Numéros!$C$2:$C$3001,MATCH(A728&amp;"|"&amp;B728,Numéros!$F$2:$F$3001,0))),""))</f>
        <v/>
      </c>
      <c r="M728" s="27" t="str">
        <f aca="false">IF(OR(G728="",G728="?"),"",IFERROR(INDEX(Pubs!$D$2:$D$3001,MATCH(G728,Pubs!$A$2:$A$3001,0))&amp;"",""))</f>
        <v/>
      </c>
      <c r="N728" s="27" t="n">
        <f aca="false">N(N727)+IF(AND(A728&lt;&gt;"",OR(Recherche!$C$4="",A728=Recherche!$C$4),OR(Recherche!$C$5="",B728&amp;""=Recherche!$C$5&amp;""),OR(Recherche!$C$6="",IFERROR(YEAR(L728),0)=Recherche!$C$6),OR(Recherche!$C$7="",ISNUMBER(SEARCH(Recherche!$C$7,H728))),OR(Recherche!$C$8="",J728=Recherche!$C$8),OR(Recherche!$C$9="",I728=Recherche!$C$9),OR(Recherche!$C$10="",G728&amp;""=Recherche!$C$10&amp;""),OR(Recherche!$C$11="",E728=Recherche!$C$11),OR(Recherche!$C$12="",ISNUMBER(SEARCH(Recherche!$C$12,M728&amp;" "&amp;F728)))),1,0)</f>
        <v>8</v>
      </c>
    </row>
    <row r="729" customFormat="false" ht="15" hidden="false" customHeight="false" outlineLevel="0" collapsed="false">
      <c r="A729" s="19"/>
      <c r="B729" s="19"/>
      <c r="C729" s="19"/>
      <c r="D729" s="19"/>
      <c r="E729" s="22"/>
      <c r="F729" s="19"/>
      <c r="G729" s="26" t="str">
        <f aca="false">IF(D729="","",IFERROR(VALUE(LEFT(D729,FIND(" |",D729&amp;" |")-1)),"?"))</f>
        <v/>
      </c>
      <c r="H729" s="27" t="str">
        <f aca="false">IF(G729="","",IF(G729="?","⚠ pub inconnue",IFERROR(INDEX(Pubs!$B$2:$B$3001,MATCH(G729,Pubs!$A$2:$A$3001,0))&amp;"","⚠ pub inconnue")))</f>
        <v/>
      </c>
      <c r="I729" s="27" t="str">
        <f aca="false">IF(OR(G729="",G729="?"),"",IFERROR(INDEX(Pubs!$C$2:$C$3001,MATCH(G729,Pubs!$A$2:$A$3001,0))&amp;"",""))</f>
        <v/>
      </c>
      <c r="J729" s="27" t="str">
        <f aca="false">IF(OR(G729="",G729="?"),"",IFERROR(INDEX(Pubs!$G$2:$G$3001,MATCH(G729,Pubs!$A$2:$A$3001,0))&amp;"",""))</f>
        <v/>
      </c>
      <c r="K729" s="28" t="str">
        <f aca="false">IF(OR(G729="",G729="?"),"",IFERROR(INDEX(Pubs!$E$2:$E$3001,MATCH(G729,Pubs!$A$2:$A$3001,0)),""))</f>
        <v/>
      </c>
      <c r="L729" s="29" t="str">
        <f aca="false">IF(A729="","",IFERROR(1/(1/INDEX(Numéros!$C$2:$C$3001,MATCH(A729&amp;"|"&amp;B729,Numéros!$F$2:$F$3001,0))),""))</f>
        <v/>
      </c>
      <c r="M729" s="27" t="str">
        <f aca="false">IF(OR(G729="",G729="?"),"",IFERROR(INDEX(Pubs!$D$2:$D$3001,MATCH(G729,Pubs!$A$2:$A$3001,0))&amp;"",""))</f>
        <v/>
      </c>
      <c r="N729" s="27" t="n">
        <f aca="false">N(N728)+IF(AND(A729&lt;&gt;"",OR(Recherche!$C$4="",A729=Recherche!$C$4),OR(Recherche!$C$5="",B729&amp;""=Recherche!$C$5&amp;""),OR(Recherche!$C$6="",IFERROR(YEAR(L729),0)=Recherche!$C$6),OR(Recherche!$C$7="",ISNUMBER(SEARCH(Recherche!$C$7,H729))),OR(Recherche!$C$8="",J729=Recherche!$C$8),OR(Recherche!$C$9="",I729=Recherche!$C$9),OR(Recherche!$C$10="",G729&amp;""=Recherche!$C$10&amp;""),OR(Recherche!$C$11="",E729=Recherche!$C$11),OR(Recherche!$C$12="",ISNUMBER(SEARCH(Recherche!$C$12,M729&amp;" "&amp;F729)))),1,0)</f>
        <v>8</v>
      </c>
    </row>
    <row r="730" customFormat="false" ht="15" hidden="false" customHeight="false" outlineLevel="0" collapsed="false">
      <c r="A730" s="19"/>
      <c r="B730" s="19"/>
      <c r="C730" s="19"/>
      <c r="D730" s="19"/>
      <c r="E730" s="22"/>
      <c r="F730" s="19"/>
      <c r="G730" s="26" t="str">
        <f aca="false">IF(D730="","",IFERROR(VALUE(LEFT(D730,FIND(" |",D730&amp;" |")-1)),"?"))</f>
        <v/>
      </c>
      <c r="H730" s="27" t="str">
        <f aca="false">IF(G730="","",IF(G730="?","⚠ pub inconnue",IFERROR(INDEX(Pubs!$B$2:$B$3001,MATCH(G730,Pubs!$A$2:$A$3001,0))&amp;"","⚠ pub inconnue")))</f>
        <v/>
      </c>
      <c r="I730" s="27" t="str">
        <f aca="false">IF(OR(G730="",G730="?"),"",IFERROR(INDEX(Pubs!$C$2:$C$3001,MATCH(G730,Pubs!$A$2:$A$3001,0))&amp;"",""))</f>
        <v/>
      </c>
      <c r="J730" s="27" t="str">
        <f aca="false">IF(OR(G730="",G730="?"),"",IFERROR(INDEX(Pubs!$G$2:$G$3001,MATCH(G730,Pubs!$A$2:$A$3001,0))&amp;"",""))</f>
        <v/>
      </c>
      <c r="K730" s="28" t="str">
        <f aca="false">IF(OR(G730="",G730="?"),"",IFERROR(INDEX(Pubs!$E$2:$E$3001,MATCH(G730,Pubs!$A$2:$A$3001,0)),""))</f>
        <v/>
      </c>
      <c r="L730" s="29" t="str">
        <f aca="false">IF(A730="","",IFERROR(1/(1/INDEX(Numéros!$C$2:$C$3001,MATCH(A730&amp;"|"&amp;B730,Numéros!$F$2:$F$3001,0))),""))</f>
        <v/>
      </c>
      <c r="M730" s="27" t="str">
        <f aca="false">IF(OR(G730="",G730="?"),"",IFERROR(INDEX(Pubs!$D$2:$D$3001,MATCH(G730,Pubs!$A$2:$A$3001,0))&amp;"",""))</f>
        <v/>
      </c>
      <c r="N730" s="27" t="n">
        <f aca="false">N(N729)+IF(AND(A730&lt;&gt;"",OR(Recherche!$C$4="",A730=Recherche!$C$4),OR(Recherche!$C$5="",B730&amp;""=Recherche!$C$5&amp;""),OR(Recherche!$C$6="",IFERROR(YEAR(L730),0)=Recherche!$C$6),OR(Recherche!$C$7="",ISNUMBER(SEARCH(Recherche!$C$7,H730))),OR(Recherche!$C$8="",J730=Recherche!$C$8),OR(Recherche!$C$9="",I730=Recherche!$C$9),OR(Recherche!$C$10="",G730&amp;""=Recherche!$C$10&amp;""),OR(Recherche!$C$11="",E730=Recherche!$C$11),OR(Recherche!$C$12="",ISNUMBER(SEARCH(Recherche!$C$12,M730&amp;" "&amp;F730)))),1,0)</f>
        <v>8</v>
      </c>
    </row>
    <row r="731" customFormat="false" ht="15" hidden="false" customHeight="false" outlineLevel="0" collapsed="false">
      <c r="A731" s="19"/>
      <c r="B731" s="19"/>
      <c r="C731" s="19"/>
      <c r="D731" s="19"/>
      <c r="E731" s="22"/>
      <c r="F731" s="19"/>
      <c r="G731" s="26" t="str">
        <f aca="false">IF(D731="","",IFERROR(VALUE(LEFT(D731,FIND(" |",D731&amp;" |")-1)),"?"))</f>
        <v/>
      </c>
      <c r="H731" s="27" t="str">
        <f aca="false">IF(G731="","",IF(G731="?","⚠ pub inconnue",IFERROR(INDEX(Pubs!$B$2:$B$3001,MATCH(G731,Pubs!$A$2:$A$3001,0))&amp;"","⚠ pub inconnue")))</f>
        <v/>
      </c>
      <c r="I731" s="27" t="str">
        <f aca="false">IF(OR(G731="",G731="?"),"",IFERROR(INDEX(Pubs!$C$2:$C$3001,MATCH(G731,Pubs!$A$2:$A$3001,0))&amp;"",""))</f>
        <v/>
      </c>
      <c r="J731" s="27" t="str">
        <f aca="false">IF(OR(G731="",G731="?"),"",IFERROR(INDEX(Pubs!$G$2:$G$3001,MATCH(G731,Pubs!$A$2:$A$3001,0))&amp;"",""))</f>
        <v/>
      </c>
      <c r="K731" s="28" t="str">
        <f aca="false">IF(OR(G731="",G731="?"),"",IFERROR(INDEX(Pubs!$E$2:$E$3001,MATCH(G731,Pubs!$A$2:$A$3001,0)),""))</f>
        <v/>
      </c>
      <c r="L731" s="29" t="str">
        <f aca="false">IF(A731="","",IFERROR(1/(1/INDEX(Numéros!$C$2:$C$3001,MATCH(A731&amp;"|"&amp;B731,Numéros!$F$2:$F$3001,0))),""))</f>
        <v/>
      </c>
      <c r="M731" s="27" t="str">
        <f aca="false">IF(OR(G731="",G731="?"),"",IFERROR(INDEX(Pubs!$D$2:$D$3001,MATCH(G731,Pubs!$A$2:$A$3001,0))&amp;"",""))</f>
        <v/>
      </c>
      <c r="N731" s="27" t="n">
        <f aca="false">N(N730)+IF(AND(A731&lt;&gt;"",OR(Recherche!$C$4="",A731=Recherche!$C$4),OR(Recherche!$C$5="",B731&amp;""=Recherche!$C$5&amp;""),OR(Recherche!$C$6="",IFERROR(YEAR(L731),0)=Recherche!$C$6),OR(Recherche!$C$7="",ISNUMBER(SEARCH(Recherche!$C$7,H731))),OR(Recherche!$C$8="",J731=Recherche!$C$8),OR(Recherche!$C$9="",I731=Recherche!$C$9),OR(Recherche!$C$10="",G731&amp;""=Recherche!$C$10&amp;""),OR(Recherche!$C$11="",E731=Recherche!$C$11),OR(Recherche!$C$12="",ISNUMBER(SEARCH(Recherche!$C$12,M731&amp;" "&amp;F731)))),1,0)</f>
        <v>8</v>
      </c>
    </row>
    <row r="732" customFormat="false" ht="15" hidden="false" customHeight="false" outlineLevel="0" collapsed="false">
      <c r="A732" s="19"/>
      <c r="B732" s="19"/>
      <c r="C732" s="19"/>
      <c r="D732" s="19"/>
      <c r="E732" s="22"/>
      <c r="F732" s="19"/>
      <c r="G732" s="26" t="str">
        <f aca="false">IF(D732="","",IFERROR(VALUE(LEFT(D732,FIND(" |",D732&amp;" |")-1)),"?"))</f>
        <v/>
      </c>
      <c r="H732" s="27" t="str">
        <f aca="false">IF(G732="","",IF(G732="?","⚠ pub inconnue",IFERROR(INDEX(Pubs!$B$2:$B$3001,MATCH(G732,Pubs!$A$2:$A$3001,0))&amp;"","⚠ pub inconnue")))</f>
        <v/>
      </c>
      <c r="I732" s="27" t="str">
        <f aca="false">IF(OR(G732="",G732="?"),"",IFERROR(INDEX(Pubs!$C$2:$C$3001,MATCH(G732,Pubs!$A$2:$A$3001,0))&amp;"",""))</f>
        <v/>
      </c>
      <c r="J732" s="27" t="str">
        <f aca="false">IF(OR(G732="",G732="?"),"",IFERROR(INDEX(Pubs!$G$2:$G$3001,MATCH(G732,Pubs!$A$2:$A$3001,0))&amp;"",""))</f>
        <v/>
      </c>
      <c r="K732" s="28" t="str">
        <f aca="false">IF(OR(G732="",G732="?"),"",IFERROR(INDEX(Pubs!$E$2:$E$3001,MATCH(G732,Pubs!$A$2:$A$3001,0)),""))</f>
        <v/>
      </c>
      <c r="L732" s="29" t="str">
        <f aca="false">IF(A732="","",IFERROR(1/(1/INDEX(Numéros!$C$2:$C$3001,MATCH(A732&amp;"|"&amp;B732,Numéros!$F$2:$F$3001,0))),""))</f>
        <v/>
      </c>
      <c r="M732" s="27" t="str">
        <f aca="false">IF(OR(G732="",G732="?"),"",IFERROR(INDEX(Pubs!$D$2:$D$3001,MATCH(G732,Pubs!$A$2:$A$3001,0))&amp;"",""))</f>
        <v/>
      </c>
      <c r="N732" s="27" t="n">
        <f aca="false">N(N731)+IF(AND(A732&lt;&gt;"",OR(Recherche!$C$4="",A732=Recherche!$C$4),OR(Recherche!$C$5="",B732&amp;""=Recherche!$C$5&amp;""),OR(Recherche!$C$6="",IFERROR(YEAR(L732),0)=Recherche!$C$6),OR(Recherche!$C$7="",ISNUMBER(SEARCH(Recherche!$C$7,H732))),OR(Recherche!$C$8="",J732=Recherche!$C$8),OR(Recherche!$C$9="",I732=Recherche!$C$9),OR(Recherche!$C$10="",G732&amp;""=Recherche!$C$10&amp;""),OR(Recherche!$C$11="",E732=Recherche!$C$11),OR(Recherche!$C$12="",ISNUMBER(SEARCH(Recherche!$C$12,M732&amp;" "&amp;F732)))),1,0)</f>
        <v>8</v>
      </c>
    </row>
    <row r="733" customFormat="false" ht="15" hidden="false" customHeight="false" outlineLevel="0" collapsed="false">
      <c r="A733" s="19"/>
      <c r="B733" s="19"/>
      <c r="C733" s="19"/>
      <c r="D733" s="19"/>
      <c r="E733" s="22"/>
      <c r="F733" s="19"/>
      <c r="G733" s="26" t="str">
        <f aca="false">IF(D733="","",IFERROR(VALUE(LEFT(D733,FIND(" |",D733&amp;" |")-1)),"?"))</f>
        <v/>
      </c>
      <c r="H733" s="27" t="str">
        <f aca="false">IF(G733="","",IF(G733="?","⚠ pub inconnue",IFERROR(INDEX(Pubs!$B$2:$B$3001,MATCH(G733,Pubs!$A$2:$A$3001,0))&amp;"","⚠ pub inconnue")))</f>
        <v/>
      </c>
      <c r="I733" s="27" t="str">
        <f aca="false">IF(OR(G733="",G733="?"),"",IFERROR(INDEX(Pubs!$C$2:$C$3001,MATCH(G733,Pubs!$A$2:$A$3001,0))&amp;"",""))</f>
        <v/>
      </c>
      <c r="J733" s="27" t="str">
        <f aca="false">IF(OR(G733="",G733="?"),"",IFERROR(INDEX(Pubs!$G$2:$G$3001,MATCH(G733,Pubs!$A$2:$A$3001,0))&amp;"",""))</f>
        <v/>
      </c>
      <c r="K733" s="28" t="str">
        <f aca="false">IF(OR(G733="",G733="?"),"",IFERROR(INDEX(Pubs!$E$2:$E$3001,MATCH(G733,Pubs!$A$2:$A$3001,0)),""))</f>
        <v/>
      </c>
      <c r="L733" s="29" t="str">
        <f aca="false">IF(A733="","",IFERROR(1/(1/INDEX(Numéros!$C$2:$C$3001,MATCH(A733&amp;"|"&amp;B733,Numéros!$F$2:$F$3001,0))),""))</f>
        <v/>
      </c>
      <c r="M733" s="27" t="str">
        <f aca="false">IF(OR(G733="",G733="?"),"",IFERROR(INDEX(Pubs!$D$2:$D$3001,MATCH(G733,Pubs!$A$2:$A$3001,0))&amp;"",""))</f>
        <v/>
      </c>
      <c r="N733" s="27" t="n">
        <f aca="false">N(N732)+IF(AND(A733&lt;&gt;"",OR(Recherche!$C$4="",A733=Recherche!$C$4),OR(Recherche!$C$5="",B733&amp;""=Recherche!$C$5&amp;""),OR(Recherche!$C$6="",IFERROR(YEAR(L733),0)=Recherche!$C$6),OR(Recherche!$C$7="",ISNUMBER(SEARCH(Recherche!$C$7,H733))),OR(Recherche!$C$8="",J733=Recherche!$C$8),OR(Recherche!$C$9="",I733=Recherche!$C$9),OR(Recherche!$C$10="",G733&amp;""=Recherche!$C$10&amp;""),OR(Recherche!$C$11="",E733=Recherche!$C$11),OR(Recherche!$C$12="",ISNUMBER(SEARCH(Recherche!$C$12,M733&amp;" "&amp;F733)))),1,0)</f>
        <v>8</v>
      </c>
    </row>
    <row r="734" customFormat="false" ht="15" hidden="false" customHeight="false" outlineLevel="0" collapsed="false">
      <c r="A734" s="19"/>
      <c r="B734" s="19"/>
      <c r="C734" s="19"/>
      <c r="D734" s="19"/>
      <c r="E734" s="22"/>
      <c r="F734" s="19"/>
      <c r="G734" s="26" t="str">
        <f aca="false">IF(D734="","",IFERROR(VALUE(LEFT(D734,FIND(" |",D734&amp;" |")-1)),"?"))</f>
        <v/>
      </c>
      <c r="H734" s="27" t="str">
        <f aca="false">IF(G734="","",IF(G734="?","⚠ pub inconnue",IFERROR(INDEX(Pubs!$B$2:$B$3001,MATCH(G734,Pubs!$A$2:$A$3001,0))&amp;"","⚠ pub inconnue")))</f>
        <v/>
      </c>
      <c r="I734" s="27" t="str">
        <f aca="false">IF(OR(G734="",G734="?"),"",IFERROR(INDEX(Pubs!$C$2:$C$3001,MATCH(G734,Pubs!$A$2:$A$3001,0))&amp;"",""))</f>
        <v/>
      </c>
      <c r="J734" s="27" t="str">
        <f aca="false">IF(OR(G734="",G734="?"),"",IFERROR(INDEX(Pubs!$G$2:$G$3001,MATCH(G734,Pubs!$A$2:$A$3001,0))&amp;"",""))</f>
        <v/>
      </c>
      <c r="K734" s="28" t="str">
        <f aca="false">IF(OR(G734="",G734="?"),"",IFERROR(INDEX(Pubs!$E$2:$E$3001,MATCH(G734,Pubs!$A$2:$A$3001,0)),""))</f>
        <v/>
      </c>
      <c r="L734" s="29" t="str">
        <f aca="false">IF(A734="","",IFERROR(1/(1/INDEX(Numéros!$C$2:$C$3001,MATCH(A734&amp;"|"&amp;B734,Numéros!$F$2:$F$3001,0))),""))</f>
        <v/>
      </c>
      <c r="M734" s="27" t="str">
        <f aca="false">IF(OR(G734="",G734="?"),"",IFERROR(INDEX(Pubs!$D$2:$D$3001,MATCH(G734,Pubs!$A$2:$A$3001,0))&amp;"",""))</f>
        <v/>
      </c>
      <c r="N734" s="27" t="n">
        <f aca="false">N(N733)+IF(AND(A734&lt;&gt;"",OR(Recherche!$C$4="",A734=Recherche!$C$4),OR(Recherche!$C$5="",B734&amp;""=Recherche!$C$5&amp;""),OR(Recherche!$C$6="",IFERROR(YEAR(L734),0)=Recherche!$C$6),OR(Recherche!$C$7="",ISNUMBER(SEARCH(Recherche!$C$7,H734))),OR(Recherche!$C$8="",J734=Recherche!$C$8),OR(Recherche!$C$9="",I734=Recherche!$C$9),OR(Recherche!$C$10="",G734&amp;""=Recherche!$C$10&amp;""),OR(Recherche!$C$11="",E734=Recherche!$C$11),OR(Recherche!$C$12="",ISNUMBER(SEARCH(Recherche!$C$12,M734&amp;" "&amp;F734)))),1,0)</f>
        <v>8</v>
      </c>
    </row>
    <row r="735" customFormat="false" ht="15" hidden="false" customHeight="false" outlineLevel="0" collapsed="false">
      <c r="A735" s="19"/>
      <c r="B735" s="19"/>
      <c r="C735" s="19"/>
      <c r="D735" s="19"/>
      <c r="E735" s="22"/>
      <c r="F735" s="19"/>
      <c r="G735" s="26" t="str">
        <f aca="false">IF(D735="","",IFERROR(VALUE(LEFT(D735,FIND(" |",D735&amp;" |")-1)),"?"))</f>
        <v/>
      </c>
      <c r="H735" s="27" t="str">
        <f aca="false">IF(G735="","",IF(G735="?","⚠ pub inconnue",IFERROR(INDEX(Pubs!$B$2:$B$3001,MATCH(G735,Pubs!$A$2:$A$3001,0))&amp;"","⚠ pub inconnue")))</f>
        <v/>
      </c>
      <c r="I735" s="27" t="str">
        <f aca="false">IF(OR(G735="",G735="?"),"",IFERROR(INDEX(Pubs!$C$2:$C$3001,MATCH(G735,Pubs!$A$2:$A$3001,0))&amp;"",""))</f>
        <v/>
      </c>
      <c r="J735" s="27" t="str">
        <f aca="false">IF(OR(G735="",G735="?"),"",IFERROR(INDEX(Pubs!$G$2:$G$3001,MATCH(G735,Pubs!$A$2:$A$3001,0))&amp;"",""))</f>
        <v/>
      </c>
      <c r="K735" s="28" t="str">
        <f aca="false">IF(OR(G735="",G735="?"),"",IFERROR(INDEX(Pubs!$E$2:$E$3001,MATCH(G735,Pubs!$A$2:$A$3001,0)),""))</f>
        <v/>
      </c>
      <c r="L735" s="29" t="str">
        <f aca="false">IF(A735="","",IFERROR(1/(1/INDEX(Numéros!$C$2:$C$3001,MATCH(A735&amp;"|"&amp;B735,Numéros!$F$2:$F$3001,0))),""))</f>
        <v/>
      </c>
      <c r="M735" s="27" t="str">
        <f aca="false">IF(OR(G735="",G735="?"),"",IFERROR(INDEX(Pubs!$D$2:$D$3001,MATCH(G735,Pubs!$A$2:$A$3001,0))&amp;"",""))</f>
        <v/>
      </c>
      <c r="N735" s="27" t="n">
        <f aca="false">N(N734)+IF(AND(A735&lt;&gt;"",OR(Recherche!$C$4="",A735=Recherche!$C$4),OR(Recherche!$C$5="",B735&amp;""=Recherche!$C$5&amp;""),OR(Recherche!$C$6="",IFERROR(YEAR(L735),0)=Recherche!$C$6),OR(Recherche!$C$7="",ISNUMBER(SEARCH(Recherche!$C$7,H735))),OR(Recherche!$C$8="",J735=Recherche!$C$8),OR(Recherche!$C$9="",I735=Recherche!$C$9),OR(Recherche!$C$10="",G735&amp;""=Recherche!$C$10&amp;""),OR(Recherche!$C$11="",E735=Recherche!$C$11),OR(Recherche!$C$12="",ISNUMBER(SEARCH(Recherche!$C$12,M735&amp;" "&amp;F735)))),1,0)</f>
        <v>8</v>
      </c>
    </row>
    <row r="736" customFormat="false" ht="15" hidden="false" customHeight="false" outlineLevel="0" collapsed="false">
      <c r="A736" s="19"/>
      <c r="B736" s="19"/>
      <c r="C736" s="19"/>
      <c r="D736" s="19"/>
      <c r="E736" s="22"/>
      <c r="F736" s="19"/>
      <c r="G736" s="26" t="str">
        <f aca="false">IF(D736="","",IFERROR(VALUE(LEFT(D736,FIND(" |",D736&amp;" |")-1)),"?"))</f>
        <v/>
      </c>
      <c r="H736" s="27" t="str">
        <f aca="false">IF(G736="","",IF(G736="?","⚠ pub inconnue",IFERROR(INDEX(Pubs!$B$2:$B$3001,MATCH(G736,Pubs!$A$2:$A$3001,0))&amp;"","⚠ pub inconnue")))</f>
        <v/>
      </c>
      <c r="I736" s="27" t="str">
        <f aca="false">IF(OR(G736="",G736="?"),"",IFERROR(INDEX(Pubs!$C$2:$C$3001,MATCH(G736,Pubs!$A$2:$A$3001,0))&amp;"",""))</f>
        <v/>
      </c>
      <c r="J736" s="27" t="str">
        <f aca="false">IF(OR(G736="",G736="?"),"",IFERROR(INDEX(Pubs!$G$2:$G$3001,MATCH(G736,Pubs!$A$2:$A$3001,0))&amp;"",""))</f>
        <v/>
      </c>
      <c r="K736" s="28" t="str">
        <f aca="false">IF(OR(G736="",G736="?"),"",IFERROR(INDEX(Pubs!$E$2:$E$3001,MATCH(G736,Pubs!$A$2:$A$3001,0)),""))</f>
        <v/>
      </c>
      <c r="L736" s="29" t="str">
        <f aca="false">IF(A736="","",IFERROR(1/(1/INDEX(Numéros!$C$2:$C$3001,MATCH(A736&amp;"|"&amp;B736,Numéros!$F$2:$F$3001,0))),""))</f>
        <v/>
      </c>
      <c r="M736" s="27" t="str">
        <f aca="false">IF(OR(G736="",G736="?"),"",IFERROR(INDEX(Pubs!$D$2:$D$3001,MATCH(G736,Pubs!$A$2:$A$3001,0))&amp;"",""))</f>
        <v/>
      </c>
      <c r="N736" s="27" t="n">
        <f aca="false">N(N735)+IF(AND(A736&lt;&gt;"",OR(Recherche!$C$4="",A736=Recherche!$C$4),OR(Recherche!$C$5="",B736&amp;""=Recherche!$C$5&amp;""),OR(Recherche!$C$6="",IFERROR(YEAR(L736),0)=Recherche!$C$6),OR(Recherche!$C$7="",ISNUMBER(SEARCH(Recherche!$C$7,H736))),OR(Recherche!$C$8="",J736=Recherche!$C$8),OR(Recherche!$C$9="",I736=Recherche!$C$9),OR(Recherche!$C$10="",G736&amp;""=Recherche!$C$10&amp;""),OR(Recherche!$C$11="",E736=Recherche!$C$11),OR(Recherche!$C$12="",ISNUMBER(SEARCH(Recherche!$C$12,M736&amp;" "&amp;F736)))),1,0)</f>
        <v>8</v>
      </c>
    </row>
    <row r="737" customFormat="false" ht="15" hidden="false" customHeight="false" outlineLevel="0" collapsed="false">
      <c r="A737" s="19"/>
      <c r="B737" s="19"/>
      <c r="C737" s="19"/>
      <c r="D737" s="19"/>
      <c r="E737" s="22"/>
      <c r="F737" s="19"/>
      <c r="G737" s="26" t="str">
        <f aca="false">IF(D737="","",IFERROR(VALUE(LEFT(D737,FIND(" |",D737&amp;" |")-1)),"?"))</f>
        <v/>
      </c>
      <c r="H737" s="27" t="str">
        <f aca="false">IF(G737="","",IF(G737="?","⚠ pub inconnue",IFERROR(INDEX(Pubs!$B$2:$B$3001,MATCH(G737,Pubs!$A$2:$A$3001,0))&amp;"","⚠ pub inconnue")))</f>
        <v/>
      </c>
      <c r="I737" s="27" t="str">
        <f aca="false">IF(OR(G737="",G737="?"),"",IFERROR(INDEX(Pubs!$C$2:$C$3001,MATCH(G737,Pubs!$A$2:$A$3001,0))&amp;"",""))</f>
        <v/>
      </c>
      <c r="J737" s="27" t="str">
        <f aca="false">IF(OR(G737="",G737="?"),"",IFERROR(INDEX(Pubs!$G$2:$G$3001,MATCH(G737,Pubs!$A$2:$A$3001,0))&amp;"",""))</f>
        <v/>
      </c>
      <c r="K737" s="28" t="str">
        <f aca="false">IF(OR(G737="",G737="?"),"",IFERROR(INDEX(Pubs!$E$2:$E$3001,MATCH(G737,Pubs!$A$2:$A$3001,0)),""))</f>
        <v/>
      </c>
      <c r="L737" s="29" t="str">
        <f aca="false">IF(A737="","",IFERROR(1/(1/INDEX(Numéros!$C$2:$C$3001,MATCH(A737&amp;"|"&amp;B737,Numéros!$F$2:$F$3001,0))),""))</f>
        <v/>
      </c>
      <c r="M737" s="27" t="str">
        <f aca="false">IF(OR(G737="",G737="?"),"",IFERROR(INDEX(Pubs!$D$2:$D$3001,MATCH(G737,Pubs!$A$2:$A$3001,0))&amp;"",""))</f>
        <v/>
      </c>
      <c r="N737" s="27" t="n">
        <f aca="false">N(N736)+IF(AND(A737&lt;&gt;"",OR(Recherche!$C$4="",A737=Recherche!$C$4),OR(Recherche!$C$5="",B737&amp;""=Recherche!$C$5&amp;""),OR(Recherche!$C$6="",IFERROR(YEAR(L737),0)=Recherche!$C$6),OR(Recherche!$C$7="",ISNUMBER(SEARCH(Recherche!$C$7,H737))),OR(Recherche!$C$8="",J737=Recherche!$C$8),OR(Recherche!$C$9="",I737=Recherche!$C$9),OR(Recherche!$C$10="",G737&amp;""=Recherche!$C$10&amp;""),OR(Recherche!$C$11="",E737=Recherche!$C$11),OR(Recherche!$C$12="",ISNUMBER(SEARCH(Recherche!$C$12,M737&amp;" "&amp;F737)))),1,0)</f>
        <v>8</v>
      </c>
    </row>
    <row r="738" customFormat="false" ht="15" hidden="false" customHeight="false" outlineLevel="0" collapsed="false">
      <c r="A738" s="19"/>
      <c r="B738" s="19"/>
      <c r="C738" s="19"/>
      <c r="D738" s="19"/>
      <c r="E738" s="22"/>
      <c r="F738" s="19"/>
      <c r="G738" s="26" t="str">
        <f aca="false">IF(D738="","",IFERROR(VALUE(LEFT(D738,FIND(" |",D738&amp;" |")-1)),"?"))</f>
        <v/>
      </c>
      <c r="H738" s="27" t="str">
        <f aca="false">IF(G738="","",IF(G738="?","⚠ pub inconnue",IFERROR(INDEX(Pubs!$B$2:$B$3001,MATCH(G738,Pubs!$A$2:$A$3001,0))&amp;"","⚠ pub inconnue")))</f>
        <v/>
      </c>
      <c r="I738" s="27" t="str">
        <f aca="false">IF(OR(G738="",G738="?"),"",IFERROR(INDEX(Pubs!$C$2:$C$3001,MATCH(G738,Pubs!$A$2:$A$3001,0))&amp;"",""))</f>
        <v/>
      </c>
      <c r="J738" s="27" t="str">
        <f aca="false">IF(OR(G738="",G738="?"),"",IFERROR(INDEX(Pubs!$G$2:$G$3001,MATCH(G738,Pubs!$A$2:$A$3001,0))&amp;"",""))</f>
        <v/>
      </c>
      <c r="K738" s="28" t="str">
        <f aca="false">IF(OR(G738="",G738="?"),"",IFERROR(INDEX(Pubs!$E$2:$E$3001,MATCH(G738,Pubs!$A$2:$A$3001,0)),""))</f>
        <v/>
      </c>
      <c r="L738" s="29" t="str">
        <f aca="false">IF(A738="","",IFERROR(1/(1/INDEX(Numéros!$C$2:$C$3001,MATCH(A738&amp;"|"&amp;B738,Numéros!$F$2:$F$3001,0))),""))</f>
        <v/>
      </c>
      <c r="M738" s="27" t="str">
        <f aca="false">IF(OR(G738="",G738="?"),"",IFERROR(INDEX(Pubs!$D$2:$D$3001,MATCH(G738,Pubs!$A$2:$A$3001,0))&amp;"",""))</f>
        <v/>
      </c>
      <c r="N738" s="27" t="n">
        <f aca="false">N(N737)+IF(AND(A738&lt;&gt;"",OR(Recherche!$C$4="",A738=Recherche!$C$4),OR(Recherche!$C$5="",B738&amp;""=Recherche!$C$5&amp;""),OR(Recherche!$C$6="",IFERROR(YEAR(L738),0)=Recherche!$C$6),OR(Recherche!$C$7="",ISNUMBER(SEARCH(Recherche!$C$7,H738))),OR(Recherche!$C$8="",J738=Recherche!$C$8),OR(Recherche!$C$9="",I738=Recherche!$C$9),OR(Recherche!$C$10="",G738&amp;""=Recherche!$C$10&amp;""),OR(Recherche!$C$11="",E738=Recherche!$C$11),OR(Recherche!$C$12="",ISNUMBER(SEARCH(Recherche!$C$12,M738&amp;" "&amp;F738)))),1,0)</f>
        <v>8</v>
      </c>
    </row>
    <row r="739" customFormat="false" ht="15" hidden="false" customHeight="false" outlineLevel="0" collapsed="false">
      <c r="A739" s="19"/>
      <c r="B739" s="19"/>
      <c r="C739" s="19"/>
      <c r="D739" s="19"/>
      <c r="E739" s="22"/>
      <c r="F739" s="19"/>
      <c r="G739" s="26" t="str">
        <f aca="false">IF(D739="","",IFERROR(VALUE(LEFT(D739,FIND(" |",D739&amp;" |")-1)),"?"))</f>
        <v/>
      </c>
      <c r="H739" s="27" t="str">
        <f aca="false">IF(G739="","",IF(G739="?","⚠ pub inconnue",IFERROR(INDEX(Pubs!$B$2:$B$3001,MATCH(G739,Pubs!$A$2:$A$3001,0))&amp;"","⚠ pub inconnue")))</f>
        <v/>
      </c>
      <c r="I739" s="27" t="str">
        <f aca="false">IF(OR(G739="",G739="?"),"",IFERROR(INDEX(Pubs!$C$2:$C$3001,MATCH(G739,Pubs!$A$2:$A$3001,0))&amp;"",""))</f>
        <v/>
      </c>
      <c r="J739" s="27" t="str">
        <f aca="false">IF(OR(G739="",G739="?"),"",IFERROR(INDEX(Pubs!$G$2:$G$3001,MATCH(G739,Pubs!$A$2:$A$3001,0))&amp;"",""))</f>
        <v/>
      </c>
      <c r="K739" s="28" t="str">
        <f aca="false">IF(OR(G739="",G739="?"),"",IFERROR(INDEX(Pubs!$E$2:$E$3001,MATCH(G739,Pubs!$A$2:$A$3001,0)),""))</f>
        <v/>
      </c>
      <c r="L739" s="29" t="str">
        <f aca="false">IF(A739="","",IFERROR(1/(1/INDEX(Numéros!$C$2:$C$3001,MATCH(A739&amp;"|"&amp;B739,Numéros!$F$2:$F$3001,0))),""))</f>
        <v/>
      </c>
      <c r="M739" s="27" t="str">
        <f aca="false">IF(OR(G739="",G739="?"),"",IFERROR(INDEX(Pubs!$D$2:$D$3001,MATCH(G739,Pubs!$A$2:$A$3001,0))&amp;"",""))</f>
        <v/>
      </c>
      <c r="N739" s="27" t="n">
        <f aca="false">N(N738)+IF(AND(A739&lt;&gt;"",OR(Recherche!$C$4="",A739=Recherche!$C$4),OR(Recherche!$C$5="",B739&amp;""=Recherche!$C$5&amp;""),OR(Recherche!$C$6="",IFERROR(YEAR(L739),0)=Recherche!$C$6),OR(Recherche!$C$7="",ISNUMBER(SEARCH(Recherche!$C$7,H739))),OR(Recherche!$C$8="",J739=Recherche!$C$8),OR(Recherche!$C$9="",I739=Recherche!$C$9),OR(Recherche!$C$10="",G739&amp;""=Recherche!$C$10&amp;""),OR(Recherche!$C$11="",E739=Recherche!$C$11),OR(Recherche!$C$12="",ISNUMBER(SEARCH(Recherche!$C$12,M739&amp;" "&amp;F739)))),1,0)</f>
        <v>8</v>
      </c>
    </row>
    <row r="740" customFormat="false" ht="15" hidden="false" customHeight="false" outlineLevel="0" collapsed="false">
      <c r="A740" s="19"/>
      <c r="B740" s="19"/>
      <c r="C740" s="19"/>
      <c r="D740" s="19"/>
      <c r="E740" s="22"/>
      <c r="F740" s="19"/>
      <c r="G740" s="26" t="str">
        <f aca="false">IF(D740="","",IFERROR(VALUE(LEFT(D740,FIND(" |",D740&amp;" |")-1)),"?"))</f>
        <v/>
      </c>
      <c r="H740" s="27" t="str">
        <f aca="false">IF(G740="","",IF(G740="?","⚠ pub inconnue",IFERROR(INDEX(Pubs!$B$2:$B$3001,MATCH(G740,Pubs!$A$2:$A$3001,0))&amp;"","⚠ pub inconnue")))</f>
        <v/>
      </c>
      <c r="I740" s="27" t="str">
        <f aca="false">IF(OR(G740="",G740="?"),"",IFERROR(INDEX(Pubs!$C$2:$C$3001,MATCH(G740,Pubs!$A$2:$A$3001,0))&amp;"",""))</f>
        <v/>
      </c>
      <c r="J740" s="27" t="str">
        <f aca="false">IF(OR(G740="",G740="?"),"",IFERROR(INDEX(Pubs!$G$2:$G$3001,MATCH(G740,Pubs!$A$2:$A$3001,0))&amp;"",""))</f>
        <v/>
      </c>
      <c r="K740" s="28" t="str">
        <f aca="false">IF(OR(G740="",G740="?"),"",IFERROR(INDEX(Pubs!$E$2:$E$3001,MATCH(G740,Pubs!$A$2:$A$3001,0)),""))</f>
        <v/>
      </c>
      <c r="L740" s="29" t="str">
        <f aca="false">IF(A740="","",IFERROR(1/(1/INDEX(Numéros!$C$2:$C$3001,MATCH(A740&amp;"|"&amp;B740,Numéros!$F$2:$F$3001,0))),""))</f>
        <v/>
      </c>
      <c r="M740" s="27" t="str">
        <f aca="false">IF(OR(G740="",G740="?"),"",IFERROR(INDEX(Pubs!$D$2:$D$3001,MATCH(G740,Pubs!$A$2:$A$3001,0))&amp;"",""))</f>
        <v/>
      </c>
      <c r="N740" s="27" t="n">
        <f aca="false">N(N739)+IF(AND(A740&lt;&gt;"",OR(Recherche!$C$4="",A740=Recherche!$C$4),OR(Recherche!$C$5="",B740&amp;""=Recherche!$C$5&amp;""),OR(Recherche!$C$6="",IFERROR(YEAR(L740),0)=Recherche!$C$6),OR(Recherche!$C$7="",ISNUMBER(SEARCH(Recherche!$C$7,H740))),OR(Recherche!$C$8="",J740=Recherche!$C$8),OR(Recherche!$C$9="",I740=Recherche!$C$9),OR(Recherche!$C$10="",G740&amp;""=Recherche!$C$10&amp;""),OR(Recherche!$C$11="",E740=Recherche!$C$11),OR(Recherche!$C$12="",ISNUMBER(SEARCH(Recherche!$C$12,M740&amp;" "&amp;F740)))),1,0)</f>
        <v>8</v>
      </c>
    </row>
    <row r="741" customFormat="false" ht="15" hidden="false" customHeight="false" outlineLevel="0" collapsed="false">
      <c r="A741" s="19"/>
      <c r="B741" s="19"/>
      <c r="C741" s="19"/>
      <c r="D741" s="19"/>
      <c r="E741" s="22"/>
      <c r="F741" s="19"/>
      <c r="G741" s="26" t="str">
        <f aca="false">IF(D741="","",IFERROR(VALUE(LEFT(D741,FIND(" |",D741&amp;" |")-1)),"?"))</f>
        <v/>
      </c>
      <c r="H741" s="27" t="str">
        <f aca="false">IF(G741="","",IF(G741="?","⚠ pub inconnue",IFERROR(INDEX(Pubs!$B$2:$B$3001,MATCH(G741,Pubs!$A$2:$A$3001,0))&amp;"","⚠ pub inconnue")))</f>
        <v/>
      </c>
      <c r="I741" s="27" t="str">
        <f aca="false">IF(OR(G741="",G741="?"),"",IFERROR(INDEX(Pubs!$C$2:$C$3001,MATCH(G741,Pubs!$A$2:$A$3001,0))&amp;"",""))</f>
        <v/>
      </c>
      <c r="J741" s="27" t="str">
        <f aca="false">IF(OR(G741="",G741="?"),"",IFERROR(INDEX(Pubs!$G$2:$G$3001,MATCH(G741,Pubs!$A$2:$A$3001,0))&amp;"",""))</f>
        <v/>
      </c>
      <c r="K741" s="28" t="str">
        <f aca="false">IF(OR(G741="",G741="?"),"",IFERROR(INDEX(Pubs!$E$2:$E$3001,MATCH(G741,Pubs!$A$2:$A$3001,0)),""))</f>
        <v/>
      </c>
      <c r="L741" s="29" t="str">
        <f aca="false">IF(A741="","",IFERROR(1/(1/INDEX(Numéros!$C$2:$C$3001,MATCH(A741&amp;"|"&amp;B741,Numéros!$F$2:$F$3001,0))),""))</f>
        <v/>
      </c>
      <c r="M741" s="27" t="str">
        <f aca="false">IF(OR(G741="",G741="?"),"",IFERROR(INDEX(Pubs!$D$2:$D$3001,MATCH(G741,Pubs!$A$2:$A$3001,0))&amp;"",""))</f>
        <v/>
      </c>
      <c r="N741" s="27" t="n">
        <f aca="false">N(N740)+IF(AND(A741&lt;&gt;"",OR(Recherche!$C$4="",A741=Recherche!$C$4),OR(Recherche!$C$5="",B741&amp;""=Recherche!$C$5&amp;""),OR(Recherche!$C$6="",IFERROR(YEAR(L741),0)=Recherche!$C$6),OR(Recherche!$C$7="",ISNUMBER(SEARCH(Recherche!$C$7,H741))),OR(Recherche!$C$8="",J741=Recherche!$C$8),OR(Recherche!$C$9="",I741=Recherche!$C$9),OR(Recherche!$C$10="",G741&amp;""=Recherche!$C$10&amp;""),OR(Recherche!$C$11="",E741=Recherche!$C$11),OR(Recherche!$C$12="",ISNUMBER(SEARCH(Recherche!$C$12,M741&amp;" "&amp;F741)))),1,0)</f>
        <v>8</v>
      </c>
    </row>
    <row r="742" customFormat="false" ht="15" hidden="false" customHeight="false" outlineLevel="0" collapsed="false">
      <c r="A742" s="19"/>
      <c r="B742" s="19"/>
      <c r="C742" s="19"/>
      <c r="D742" s="19"/>
      <c r="E742" s="22"/>
      <c r="F742" s="19"/>
      <c r="G742" s="26" t="str">
        <f aca="false">IF(D742="","",IFERROR(VALUE(LEFT(D742,FIND(" |",D742&amp;" |")-1)),"?"))</f>
        <v/>
      </c>
      <c r="H742" s="27" t="str">
        <f aca="false">IF(G742="","",IF(G742="?","⚠ pub inconnue",IFERROR(INDEX(Pubs!$B$2:$B$3001,MATCH(G742,Pubs!$A$2:$A$3001,0))&amp;"","⚠ pub inconnue")))</f>
        <v/>
      </c>
      <c r="I742" s="27" t="str">
        <f aca="false">IF(OR(G742="",G742="?"),"",IFERROR(INDEX(Pubs!$C$2:$C$3001,MATCH(G742,Pubs!$A$2:$A$3001,0))&amp;"",""))</f>
        <v/>
      </c>
      <c r="J742" s="27" t="str">
        <f aca="false">IF(OR(G742="",G742="?"),"",IFERROR(INDEX(Pubs!$G$2:$G$3001,MATCH(G742,Pubs!$A$2:$A$3001,0))&amp;"",""))</f>
        <v/>
      </c>
      <c r="K742" s="28" t="str">
        <f aca="false">IF(OR(G742="",G742="?"),"",IFERROR(INDEX(Pubs!$E$2:$E$3001,MATCH(G742,Pubs!$A$2:$A$3001,0)),""))</f>
        <v/>
      </c>
      <c r="L742" s="29" t="str">
        <f aca="false">IF(A742="","",IFERROR(1/(1/INDEX(Numéros!$C$2:$C$3001,MATCH(A742&amp;"|"&amp;B742,Numéros!$F$2:$F$3001,0))),""))</f>
        <v/>
      </c>
      <c r="M742" s="27" t="str">
        <f aca="false">IF(OR(G742="",G742="?"),"",IFERROR(INDEX(Pubs!$D$2:$D$3001,MATCH(G742,Pubs!$A$2:$A$3001,0))&amp;"",""))</f>
        <v/>
      </c>
      <c r="N742" s="27" t="n">
        <f aca="false">N(N741)+IF(AND(A742&lt;&gt;"",OR(Recherche!$C$4="",A742=Recherche!$C$4),OR(Recherche!$C$5="",B742&amp;""=Recherche!$C$5&amp;""),OR(Recherche!$C$6="",IFERROR(YEAR(L742),0)=Recherche!$C$6),OR(Recherche!$C$7="",ISNUMBER(SEARCH(Recherche!$C$7,H742))),OR(Recherche!$C$8="",J742=Recherche!$C$8),OR(Recherche!$C$9="",I742=Recherche!$C$9),OR(Recherche!$C$10="",G742&amp;""=Recherche!$C$10&amp;""),OR(Recherche!$C$11="",E742=Recherche!$C$11),OR(Recherche!$C$12="",ISNUMBER(SEARCH(Recherche!$C$12,M742&amp;" "&amp;F742)))),1,0)</f>
        <v>8</v>
      </c>
    </row>
    <row r="743" customFormat="false" ht="15" hidden="false" customHeight="false" outlineLevel="0" collapsed="false">
      <c r="A743" s="19"/>
      <c r="B743" s="19"/>
      <c r="C743" s="19"/>
      <c r="D743" s="19"/>
      <c r="E743" s="22"/>
      <c r="F743" s="19"/>
      <c r="G743" s="26" t="str">
        <f aca="false">IF(D743="","",IFERROR(VALUE(LEFT(D743,FIND(" |",D743&amp;" |")-1)),"?"))</f>
        <v/>
      </c>
      <c r="H743" s="27" t="str">
        <f aca="false">IF(G743="","",IF(G743="?","⚠ pub inconnue",IFERROR(INDEX(Pubs!$B$2:$B$3001,MATCH(G743,Pubs!$A$2:$A$3001,0))&amp;"","⚠ pub inconnue")))</f>
        <v/>
      </c>
      <c r="I743" s="27" t="str">
        <f aca="false">IF(OR(G743="",G743="?"),"",IFERROR(INDEX(Pubs!$C$2:$C$3001,MATCH(G743,Pubs!$A$2:$A$3001,0))&amp;"",""))</f>
        <v/>
      </c>
      <c r="J743" s="27" t="str">
        <f aca="false">IF(OR(G743="",G743="?"),"",IFERROR(INDEX(Pubs!$G$2:$G$3001,MATCH(G743,Pubs!$A$2:$A$3001,0))&amp;"",""))</f>
        <v/>
      </c>
      <c r="K743" s="28" t="str">
        <f aca="false">IF(OR(G743="",G743="?"),"",IFERROR(INDEX(Pubs!$E$2:$E$3001,MATCH(G743,Pubs!$A$2:$A$3001,0)),""))</f>
        <v/>
      </c>
      <c r="L743" s="29" t="str">
        <f aca="false">IF(A743="","",IFERROR(1/(1/INDEX(Numéros!$C$2:$C$3001,MATCH(A743&amp;"|"&amp;B743,Numéros!$F$2:$F$3001,0))),""))</f>
        <v/>
      </c>
      <c r="M743" s="27" t="str">
        <f aca="false">IF(OR(G743="",G743="?"),"",IFERROR(INDEX(Pubs!$D$2:$D$3001,MATCH(G743,Pubs!$A$2:$A$3001,0))&amp;"",""))</f>
        <v/>
      </c>
      <c r="N743" s="27" t="n">
        <f aca="false">N(N742)+IF(AND(A743&lt;&gt;"",OR(Recherche!$C$4="",A743=Recherche!$C$4),OR(Recherche!$C$5="",B743&amp;""=Recherche!$C$5&amp;""),OR(Recherche!$C$6="",IFERROR(YEAR(L743),0)=Recherche!$C$6),OR(Recherche!$C$7="",ISNUMBER(SEARCH(Recherche!$C$7,H743))),OR(Recherche!$C$8="",J743=Recherche!$C$8),OR(Recherche!$C$9="",I743=Recherche!$C$9),OR(Recherche!$C$10="",G743&amp;""=Recherche!$C$10&amp;""),OR(Recherche!$C$11="",E743=Recherche!$C$11),OR(Recherche!$C$12="",ISNUMBER(SEARCH(Recherche!$C$12,M743&amp;" "&amp;F743)))),1,0)</f>
        <v>8</v>
      </c>
    </row>
    <row r="744" customFormat="false" ht="15" hidden="false" customHeight="false" outlineLevel="0" collapsed="false">
      <c r="A744" s="19"/>
      <c r="B744" s="19"/>
      <c r="C744" s="19"/>
      <c r="D744" s="19"/>
      <c r="E744" s="22"/>
      <c r="F744" s="19"/>
      <c r="G744" s="26" t="str">
        <f aca="false">IF(D744="","",IFERROR(VALUE(LEFT(D744,FIND(" |",D744&amp;" |")-1)),"?"))</f>
        <v/>
      </c>
      <c r="H744" s="27" t="str">
        <f aca="false">IF(G744="","",IF(G744="?","⚠ pub inconnue",IFERROR(INDEX(Pubs!$B$2:$B$3001,MATCH(G744,Pubs!$A$2:$A$3001,0))&amp;"","⚠ pub inconnue")))</f>
        <v/>
      </c>
      <c r="I744" s="27" t="str">
        <f aca="false">IF(OR(G744="",G744="?"),"",IFERROR(INDEX(Pubs!$C$2:$C$3001,MATCH(G744,Pubs!$A$2:$A$3001,0))&amp;"",""))</f>
        <v/>
      </c>
      <c r="J744" s="27" t="str">
        <f aca="false">IF(OR(G744="",G744="?"),"",IFERROR(INDEX(Pubs!$G$2:$G$3001,MATCH(G744,Pubs!$A$2:$A$3001,0))&amp;"",""))</f>
        <v/>
      </c>
      <c r="K744" s="28" t="str">
        <f aca="false">IF(OR(G744="",G744="?"),"",IFERROR(INDEX(Pubs!$E$2:$E$3001,MATCH(G744,Pubs!$A$2:$A$3001,0)),""))</f>
        <v/>
      </c>
      <c r="L744" s="29" t="str">
        <f aca="false">IF(A744="","",IFERROR(1/(1/INDEX(Numéros!$C$2:$C$3001,MATCH(A744&amp;"|"&amp;B744,Numéros!$F$2:$F$3001,0))),""))</f>
        <v/>
      </c>
      <c r="M744" s="27" t="str">
        <f aca="false">IF(OR(G744="",G744="?"),"",IFERROR(INDEX(Pubs!$D$2:$D$3001,MATCH(G744,Pubs!$A$2:$A$3001,0))&amp;"",""))</f>
        <v/>
      </c>
      <c r="N744" s="27" t="n">
        <f aca="false">N(N743)+IF(AND(A744&lt;&gt;"",OR(Recherche!$C$4="",A744=Recherche!$C$4),OR(Recherche!$C$5="",B744&amp;""=Recherche!$C$5&amp;""),OR(Recherche!$C$6="",IFERROR(YEAR(L744),0)=Recherche!$C$6),OR(Recherche!$C$7="",ISNUMBER(SEARCH(Recherche!$C$7,H744))),OR(Recherche!$C$8="",J744=Recherche!$C$8),OR(Recherche!$C$9="",I744=Recherche!$C$9),OR(Recherche!$C$10="",G744&amp;""=Recherche!$C$10&amp;""),OR(Recherche!$C$11="",E744=Recherche!$C$11),OR(Recherche!$C$12="",ISNUMBER(SEARCH(Recherche!$C$12,M744&amp;" "&amp;F744)))),1,0)</f>
        <v>8</v>
      </c>
    </row>
    <row r="745" customFormat="false" ht="15" hidden="false" customHeight="false" outlineLevel="0" collapsed="false">
      <c r="A745" s="19"/>
      <c r="B745" s="19"/>
      <c r="C745" s="19"/>
      <c r="D745" s="19"/>
      <c r="E745" s="22"/>
      <c r="F745" s="19"/>
      <c r="G745" s="26" t="str">
        <f aca="false">IF(D745="","",IFERROR(VALUE(LEFT(D745,FIND(" |",D745&amp;" |")-1)),"?"))</f>
        <v/>
      </c>
      <c r="H745" s="27" t="str">
        <f aca="false">IF(G745="","",IF(G745="?","⚠ pub inconnue",IFERROR(INDEX(Pubs!$B$2:$B$3001,MATCH(G745,Pubs!$A$2:$A$3001,0))&amp;"","⚠ pub inconnue")))</f>
        <v/>
      </c>
      <c r="I745" s="27" t="str">
        <f aca="false">IF(OR(G745="",G745="?"),"",IFERROR(INDEX(Pubs!$C$2:$C$3001,MATCH(G745,Pubs!$A$2:$A$3001,0))&amp;"",""))</f>
        <v/>
      </c>
      <c r="J745" s="27" t="str">
        <f aca="false">IF(OR(G745="",G745="?"),"",IFERROR(INDEX(Pubs!$G$2:$G$3001,MATCH(G745,Pubs!$A$2:$A$3001,0))&amp;"",""))</f>
        <v/>
      </c>
      <c r="K745" s="28" t="str">
        <f aca="false">IF(OR(G745="",G745="?"),"",IFERROR(INDEX(Pubs!$E$2:$E$3001,MATCH(G745,Pubs!$A$2:$A$3001,0)),""))</f>
        <v/>
      </c>
      <c r="L745" s="29" t="str">
        <f aca="false">IF(A745="","",IFERROR(1/(1/INDEX(Numéros!$C$2:$C$3001,MATCH(A745&amp;"|"&amp;B745,Numéros!$F$2:$F$3001,0))),""))</f>
        <v/>
      </c>
      <c r="M745" s="27" t="str">
        <f aca="false">IF(OR(G745="",G745="?"),"",IFERROR(INDEX(Pubs!$D$2:$D$3001,MATCH(G745,Pubs!$A$2:$A$3001,0))&amp;"",""))</f>
        <v/>
      </c>
      <c r="N745" s="27" t="n">
        <f aca="false">N(N744)+IF(AND(A745&lt;&gt;"",OR(Recherche!$C$4="",A745=Recherche!$C$4),OR(Recherche!$C$5="",B745&amp;""=Recherche!$C$5&amp;""),OR(Recherche!$C$6="",IFERROR(YEAR(L745),0)=Recherche!$C$6),OR(Recherche!$C$7="",ISNUMBER(SEARCH(Recherche!$C$7,H745))),OR(Recherche!$C$8="",J745=Recherche!$C$8),OR(Recherche!$C$9="",I745=Recherche!$C$9),OR(Recherche!$C$10="",G745&amp;""=Recherche!$C$10&amp;""),OR(Recherche!$C$11="",E745=Recherche!$C$11),OR(Recherche!$C$12="",ISNUMBER(SEARCH(Recherche!$C$12,M745&amp;" "&amp;F745)))),1,0)</f>
        <v>8</v>
      </c>
    </row>
    <row r="746" customFormat="false" ht="15" hidden="false" customHeight="false" outlineLevel="0" collapsed="false">
      <c r="A746" s="19"/>
      <c r="B746" s="19"/>
      <c r="C746" s="19"/>
      <c r="D746" s="19"/>
      <c r="E746" s="22"/>
      <c r="F746" s="19"/>
      <c r="G746" s="26" t="str">
        <f aca="false">IF(D746="","",IFERROR(VALUE(LEFT(D746,FIND(" |",D746&amp;" |")-1)),"?"))</f>
        <v/>
      </c>
      <c r="H746" s="27" t="str">
        <f aca="false">IF(G746="","",IF(G746="?","⚠ pub inconnue",IFERROR(INDEX(Pubs!$B$2:$B$3001,MATCH(G746,Pubs!$A$2:$A$3001,0))&amp;"","⚠ pub inconnue")))</f>
        <v/>
      </c>
      <c r="I746" s="27" t="str">
        <f aca="false">IF(OR(G746="",G746="?"),"",IFERROR(INDEX(Pubs!$C$2:$C$3001,MATCH(G746,Pubs!$A$2:$A$3001,0))&amp;"",""))</f>
        <v/>
      </c>
      <c r="J746" s="27" t="str">
        <f aca="false">IF(OR(G746="",G746="?"),"",IFERROR(INDEX(Pubs!$G$2:$G$3001,MATCH(G746,Pubs!$A$2:$A$3001,0))&amp;"",""))</f>
        <v/>
      </c>
      <c r="K746" s="28" t="str">
        <f aca="false">IF(OR(G746="",G746="?"),"",IFERROR(INDEX(Pubs!$E$2:$E$3001,MATCH(G746,Pubs!$A$2:$A$3001,0)),""))</f>
        <v/>
      </c>
      <c r="L746" s="29" t="str">
        <f aca="false">IF(A746="","",IFERROR(1/(1/INDEX(Numéros!$C$2:$C$3001,MATCH(A746&amp;"|"&amp;B746,Numéros!$F$2:$F$3001,0))),""))</f>
        <v/>
      </c>
      <c r="M746" s="27" t="str">
        <f aca="false">IF(OR(G746="",G746="?"),"",IFERROR(INDEX(Pubs!$D$2:$D$3001,MATCH(G746,Pubs!$A$2:$A$3001,0))&amp;"",""))</f>
        <v/>
      </c>
      <c r="N746" s="27" t="n">
        <f aca="false">N(N745)+IF(AND(A746&lt;&gt;"",OR(Recherche!$C$4="",A746=Recherche!$C$4),OR(Recherche!$C$5="",B746&amp;""=Recherche!$C$5&amp;""),OR(Recherche!$C$6="",IFERROR(YEAR(L746),0)=Recherche!$C$6),OR(Recherche!$C$7="",ISNUMBER(SEARCH(Recherche!$C$7,H746))),OR(Recherche!$C$8="",J746=Recherche!$C$8),OR(Recherche!$C$9="",I746=Recherche!$C$9),OR(Recherche!$C$10="",G746&amp;""=Recherche!$C$10&amp;""),OR(Recherche!$C$11="",E746=Recherche!$C$11),OR(Recherche!$C$12="",ISNUMBER(SEARCH(Recherche!$C$12,M746&amp;" "&amp;F746)))),1,0)</f>
        <v>8</v>
      </c>
    </row>
    <row r="747" customFormat="false" ht="15" hidden="false" customHeight="false" outlineLevel="0" collapsed="false">
      <c r="A747" s="19"/>
      <c r="B747" s="19"/>
      <c r="C747" s="19"/>
      <c r="D747" s="19"/>
      <c r="E747" s="22"/>
      <c r="F747" s="19"/>
      <c r="G747" s="26" t="str">
        <f aca="false">IF(D747="","",IFERROR(VALUE(LEFT(D747,FIND(" |",D747&amp;" |")-1)),"?"))</f>
        <v/>
      </c>
      <c r="H747" s="27" t="str">
        <f aca="false">IF(G747="","",IF(G747="?","⚠ pub inconnue",IFERROR(INDEX(Pubs!$B$2:$B$3001,MATCH(G747,Pubs!$A$2:$A$3001,0))&amp;"","⚠ pub inconnue")))</f>
        <v/>
      </c>
      <c r="I747" s="27" t="str">
        <f aca="false">IF(OR(G747="",G747="?"),"",IFERROR(INDEX(Pubs!$C$2:$C$3001,MATCH(G747,Pubs!$A$2:$A$3001,0))&amp;"",""))</f>
        <v/>
      </c>
      <c r="J747" s="27" t="str">
        <f aca="false">IF(OR(G747="",G747="?"),"",IFERROR(INDEX(Pubs!$G$2:$G$3001,MATCH(G747,Pubs!$A$2:$A$3001,0))&amp;"",""))</f>
        <v/>
      </c>
      <c r="K747" s="28" t="str">
        <f aca="false">IF(OR(G747="",G747="?"),"",IFERROR(INDEX(Pubs!$E$2:$E$3001,MATCH(G747,Pubs!$A$2:$A$3001,0)),""))</f>
        <v/>
      </c>
      <c r="L747" s="29" t="str">
        <f aca="false">IF(A747="","",IFERROR(1/(1/INDEX(Numéros!$C$2:$C$3001,MATCH(A747&amp;"|"&amp;B747,Numéros!$F$2:$F$3001,0))),""))</f>
        <v/>
      </c>
      <c r="M747" s="27" t="str">
        <f aca="false">IF(OR(G747="",G747="?"),"",IFERROR(INDEX(Pubs!$D$2:$D$3001,MATCH(G747,Pubs!$A$2:$A$3001,0))&amp;"",""))</f>
        <v/>
      </c>
      <c r="N747" s="27" t="n">
        <f aca="false">N(N746)+IF(AND(A747&lt;&gt;"",OR(Recherche!$C$4="",A747=Recherche!$C$4),OR(Recherche!$C$5="",B747&amp;""=Recherche!$C$5&amp;""),OR(Recherche!$C$6="",IFERROR(YEAR(L747),0)=Recherche!$C$6),OR(Recherche!$C$7="",ISNUMBER(SEARCH(Recherche!$C$7,H747))),OR(Recherche!$C$8="",J747=Recherche!$C$8),OR(Recherche!$C$9="",I747=Recherche!$C$9),OR(Recherche!$C$10="",G747&amp;""=Recherche!$C$10&amp;""),OR(Recherche!$C$11="",E747=Recherche!$C$11),OR(Recherche!$C$12="",ISNUMBER(SEARCH(Recherche!$C$12,M747&amp;" "&amp;F747)))),1,0)</f>
        <v>8</v>
      </c>
    </row>
    <row r="748" customFormat="false" ht="15" hidden="false" customHeight="false" outlineLevel="0" collapsed="false">
      <c r="A748" s="19"/>
      <c r="B748" s="19"/>
      <c r="C748" s="19"/>
      <c r="D748" s="19"/>
      <c r="E748" s="22"/>
      <c r="F748" s="19"/>
      <c r="G748" s="26" t="str">
        <f aca="false">IF(D748="","",IFERROR(VALUE(LEFT(D748,FIND(" |",D748&amp;" |")-1)),"?"))</f>
        <v/>
      </c>
      <c r="H748" s="27" t="str">
        <f aca="false">IF(G748="","",IF(G748="?","⚠ pub inconnue",IFERROR(INDEX(Pubs!$B$2:$B$3001,MATCH(G748,Pubs!$A$2:$A$3001,0))&amp;"","⚠ pub inconnue")))</f>
        <v/>
      </c>
      <c r="I748" s="27" t="str">
        <f aca="false">IF(OR(G748="",G748="?"),"",IFERROR(INDEX(Pubs!$C$2:$C$3001,MATCH(G748,Pubs!$A$2:$A$3001,0))&amp;"",""))</f>
        <v/>
      </c>
      <c r="J748" s="27" t="str">
        <f aca="false">IF(OR(G748="",G748="?"),"",IFERROR(INDEX(Pubs!$G$2:$G$3001,MATCH(G748,Pubs!$A$2:$A$3001,0))&amp;"",""))</f>
        <v/>
      </c>
      <c r="K748" s="28" t="str">
        <f aca="false">IF(OR(G748="",G748="?"),"",IFERROR(INDEX(Pubs!$E$2:$E$3001,MATCH(G748,Pubs!$A$2:$A$3001,0)),""))</f>
        <v/>
      </c>
      <c r="L748" s="29" t="str">
        <f aca="false">IF(A748="","",IFERROR(1/(1/INDEX(Numéros!$C$2:$C$3001,MATCH(A748&amp;"|"&amp;B748,Numéros!$F$2:$F$3001,0))),""))</f>
        <v/>
      </c>
      <c r="M748" s="27" t="str">
        <f aca="false">IF(OR(G748="",G748="?"),"",IFERROR(INDEX(Pubs!$D$2:$D$3001,MATCH(G748,Pubs!$A$2:$A$3001,0))&amp;"",""))</f>
        <v/>
      </c>
      <c r="N748" s="27" t="n">
        <f aca="false">N(N747)+IF(AND(A748&lt;&gt;"",OR(Recherche!$C$4="",A748=Recherche!$C$4),OR(Recherche!$C$5="",B748&amp;""=Recherche!$C$5&amp;""),OR(Recherche!$C$6="",IFERROR(YEAR(L748),0)=Recherche!$C$6),OR(Recherche!$C$7="",ISNUMBER(SEARCH(Recherche!$C$7,H748))),OR(Recherche!$C$8="",J748=Recherche!$C$8),OR(Recherche!$C$9="",I748=Recherche!$C$9),OR(Recherche!$C$10="",G748&amp;""=Recherche!$C$10&amp;""),OR(Recherche!$C$11="",E748=Recherche!$C$11),OR(Recherche!$C$12="",ISNUMBER(SEARCH(Recherche!$C$12,M748&amp;" "&amp;F748)))),1,0)</f>
        <v>8</v>
      </c>
    </row>
    <row r="749" customFormat="false" ht="15" hidden="false" customHeight="false" outlineLevel="0" collapsed="false">
      <c r="A749" s="19"/>
      <c r="B749" s="19"/>
      <c r="C749" s="19"/>
      <c r="D749" s="19"/>
      <c r="E749" s="22"/>
      <c r="F749" s="19"/>
      <c r="G749" s="26" t="str">
        <f aca="false">IF(D749="","",IFERROR(VALUE(LEFT(D749,FIND(" |",D749&amp;" |")-1)),"?"))</f>
        <v/>
      </c>
      <c r="H749" s="27" t="str">
        <f aca="false">IF(G749="","",IF(G749="?","⚠ pub inconnue",IFERROR(INDEX(Pubs!$B$2:$B$3001,MATCH(G749,Pubs!$A$2:$A$3001,0))&amp;"","⚠ pub inconnue")))</f>
        <v/>
      </c>
      <c r="I749" s="27" t="str">
        <f aca="false">IF(OR(G749="",G749="?"),"",IFERROR(INDEX(Pubs!$C$2:$C$3001,MATCH(G749,Pubs!$A$2:$A$3001,0))&amp;"",""))</f>
        <v/>
      </c>
      <c r="J749" s="27" t="str">
        <f aca="false">IF(OR(G749="",G749="?"),"",IFERROR(INDEX(Pubs!$G$2:$G$3001,MATCH(G749,Pubs!$A$2:$A$3001,0))&amp;"",""))</f>
        <v/>
      </c>
      <c r="K749" s="28" t="str">
        <f aca="false">IF(OR(G749="",G749="?"),"",IFERROR(INDEX(Pubs!$E$2:$E$3001,MATCH(G749,Pubs!$A$2:$A$3001,0)),""))</f>
        <v/>
      </c>
      <c r="L749" s="29" t="str">
        <f aca="false">IF(A749="","",IFERROR(1/(1/INDEX(Numéros!$C$2:$C$3001,MATCH(A749&amp;"|"&amp;B749,Numéros!$F$2:$F$3001,0))),""))</f>
        <v/>
      </c>
      <c r="M749" s="27" t="str">
        <f aca="false">IF(OR(G749="",G749="?"),"",IFERROR(INDEX(Pubs!$D$2:$D$3001,MATCH(G749,Pubs!$A$2:$A$3001,0))&amp;"",""))</f>
        <v/>
      </c>
      <c r="N749" s="27" t="n">
        <f aca="false">N(N748)+IF(AND(A749&lt;&gt;"",OR(Recherche!$C$4="",A749=Recherche!$C$4),OR(Recherche!$C$5="",B749&amp;""=Recherche!$C$5&amp;""),OR(Recherche!$C$6="",IFERROR(YEAR(L749),0)=Recherche!$C$6),OR(Recherche!$C$7="",ISNUMBER(SEARCH(Recherche!$C$7,H749))),OR(Recherche!$C$8="",J749=Recherche!$C$8),OR(Recherche!$C$9="",I749=Recherche!$C$9),OR(Recherche!$C$10="",G749&amp;""=Recherche!$C$10&amp;""),OR(Recherche!$C$11="",E749=Recherche!$C$11),OR(Recherche!$C$12="",ISNUMBER(SEARCH(Recherche!$C$12,M749&amp;" "&amp;F749)))),1,0)</f>
        <v>8</v>
      </c>
    </row>
    <row r="750" customFormat="false" ht="15" hidden="false" customHeight="false" outlineLevel="0" collapsed="false">
      <c r="A750" s="19"/>
      <c r="B750" s="19"/>
      <c r="C750" s="19"/>
      <c r="D750" s="19"/>
      <c r="E750" s="22"/>
      <c r="F750" s="19"/>
      <c r="G750" s="26" t="str">
        <f aca="false">IF(D750="","",IFERROR(VALUE(LEFT(D750,FIND(" |",D750&amp;" |")-1)),"?"))</f>
        <v/>
      </c>
      <c r="H750" s="27" t="str">
        <f aca="false">IF(G750="","",IF(G750="?","⚠ pub inconnue",IFERROR(INDEX(Pubs!$B$2:$B$3001,MATCH(G750,Pubs!$A$2:$A$3001,0))&amp;"","⚠ pub inconnue")))</f>
        <v/>
      </c>
      <c r="I750" s="27" t="str">
        <f aca="false">IF(OR(G750="",G750="?"),"",IFERROR(INDEX(Pubs!$C$2:$C$3001,MATCH(G750,Pubs!$A$2:$A$3001,0))&amp;"",""))</f>
        <v/>
      </c>
      <c r="J750" s="27" t="str">
        <f aca="false">IF(OR(G750="",G750="?"),"",IFERROR(INDEX(Pubs!$G$2:$G$3001,MATCH(G750,Pubs!$A$2:$A$3001,0))&amp;"",""))</f>
        <v/>
      </c>
      <c r="K750" s="28" t="str">
        <f aca="false">IF(OR(G750="",G750="?"),"",IFERROR(INDEX(Pubs!$E$2:$E$3001,MATCH(G750,Pubs!$A$2:$A$3001,0)),""))</f>
        <v/>
      </c>
      <c r="L750" s="29" t="str">
        <f aca="false">IF(A750="","",IFERROR(1/(1/INDEX(Numéros!$C$2:$C$3001,MATCH(A750&amp;"|"&amp;B750,Numéros!$F$2:$F$3001,0))),""))</f>
        <v/>
      </c>
      <c r="M750" s="27" t="str">
        <f aca="false">IF(OR(G750="",G750="?"),"",IFERROR(INDEX(Pubs!$D$2:$D$3001,MATCH(G750,Pubs!$A$2:$A$3001,0))&amp;"",""))</f>
        <v/>
      </c>
      <c r="N750" s="27" t="n">
        <f aca="false">N(N749)+IF(AND(A750&lt;&gt;"",OR(Recherche!$C$4="",A750=Recherche!$C$4),OR(Recherche!$C$5="",B750&amp;""=Recherche!$C$5&amp;""),OR(Recherche!$C$6="",IFERROR(YEAR(L750),0)=Recherche!$C$6),OR(Recherche!$C$7="",ISNUMBER(SEARCH(Recherche!$C$7,H750))),OR(Recherche!$C$8="",J750=Recherche!$C$8),OR(Recherche!$C$9="",I750=Recherche!$C$9),OR(Recherche!$C$10="",G750&amp;""=Recherche!$C$10&amp;""),OR(Recherche!$C$11="",E750=Recherche!$C$11),OR(Recherche!$C$12="",ISNUMBER(SEARCH(Recherche!$C$12,M750&amp;" "&amp;F750)))),1,0)</f>
        <v>8</v>
      </c>
    </row>
    <row r="751" customFormat="false" ht="15" hidden="false" customHeight="false" outlineLevel="0" collapsed="false">
      <c r="A751" s="19"/>
      <c r="B751" s="19"/>
      <c r="C751" s="19"/>
      <c r="D751" s="19"/>
      <c r="E751" s="22"/>
      <c r="F751" s="19"/>
      <c r="G751" s="26" t="str">
        <f aca="false">IF(D751="","",IFERROR(VALUE(LEFT(D751,FIND(" |",D751&amp;" |")-1)),"?"))</f>
        <v/>
      </c>
      <c r="H751" s="27" t="str">
        <f aca="false">IF(G751="","",IF(G751="?","⚠ pub inconnue",IFERROR(INDEX(Pubs!$B$2:$B$3001,MATCH(G751,Pubs!$A$2:$A$3001,0))&amp;"","⚠ pub inconnue")))</f>
        <v/>
      </c>
      <c r="I751" s="27" t="str">
        <f aca="false">IF(OR(G751="",G751="?"),"",IFERROR(INDEX(Pubs!$C$2:$C$3001,MATCH(G751,Pubs!$A$2:$A$3001,0))&amp;"",""))</f>
        <v/>
      </c>
      <c r="J751" s="27" t="str">
        <f aca="false">IF(OR(G751="",G751="?"),"",IFERROR(INDEX(Pubs!$G$2:$G$3001,MATCH(G751,Pubs!$A$2:$A$3001,0))&amp;"",""))</f>
        <v/>
      </c>
      <c r="K751" s="28" t="str">
        <f aca="false">IF(OR(G751="",G751="?"),"",IFERROR(INDEX(Pubs!$E$2:$E$3001,MATCH(G751,Pubs!$A$2:$A$3001,0)),""))</f>
        <v/>
      </c>
      <c r="L751" s="29" t="str">
        <f aca="false">IF(A751="","",IFERROR(1/(1/INDEX(Numéros!$C$2:$C$3001,MATCH(A751&amp;"|"&amp;B751,Numéros!$F$2:$F$3001,0))),""))</f>
        <v/>
      </c>
      <c r="M751" s="27" t="str">
        <f aca="false">IF(OR(G751="",G751="?"),"",IFERROR(INDEX(Pubs!$D$2:$D$3001,MATCH(G751,Pubs!$A$2:$A$3001,0))&amp;"",""))</f>
        <v/>
      </c>
      <c r="N751" s="27" t="n">
        <f aca="false">N(N750)+IF(AND(A751&lt;&gt;"",OR(Recherche!$C$4="",A751=Recherche!$C$4),OR(Recherche!$C$5="",B751&amp;""=Recherche!$C$5&amp;""),OR(Recherche!$C$6="",IFERROR(YEAR(L751),0)=Recherche!$C$6),OR(Recherche!$C$7="",ISNUMBER(SEARCH(Recherche!$C$7,H751))),OR(Recherche!$C$8="",J751=Recherche!$C$8),OR(Recherche!$C$9="",I751=Recherche!$C$9),OR(Recherche!$C$10="",G751&amp;""=Recherche!$C$10&amp;""),OR(Recherche!$C$11="",E751=Recherche!$C$11),OR(Recherche!$C$12="",ISNUMBER(SEARCH(Recherche!$C$12,M751&amp;" "&amp;F751)))),1,0)</f>
        <v>8</v>
      </c>
    </row>
    <row r="752" customFormat="false" ht="15" hidden="false" customHeight="false" outlineLevel="0" collapsed="false">
      <c r="A752" s="19"/>
      <c r="B752" s="19"/>
      <c r="C752" s="19"/>
      <c r="D752" s="19"/>
      <c r="E752" s="22"/>
      <c r="F752" s="19"/>
      <c r="G752" s="26" t="str">
        <f aca="false">IF(D752="","",IFERROR(VALUE(LEFT(D752,FIND(" |",D752&amp;" |")-1)),"?"))</f>
        <v/>
      </c>
      <c r="H752" s="27" t="str">
        <f aca="false">IF(G752="","",IF(G752="?","⚠ pub inconnue",IFERROR(INDEX(Pubs!$B$2:$B$3001,MATCH(G752,Pubs!$A$2:$A$3001,0))&amp;"","⚠ pub inconnue")))</f>
        <v/>
      </c>
      <c r="I752" s="27" t="str">
        <f aca="false">IF(OR(G752="",G752="?"),"",IFERROR(INDEX(Pubs!$C$2:$C$3001,MATCH(G752,Pubs!$A$2:$A$3001,0))&amp;"",""))</f>
        <v/>
      </c>
      <c r="J752" s="27" t="str">
        <f aca="false">IF(OR(G752="",G752="?"),"",IFERROR(INDEX(Pubs!$G$2:$G$3001,MATCH(G752,Pubs!$A$2:$A$3001,0))&amp;"",""))</f>
        <v/>
      </c>
      <c r="K752" s="28" t="str">
        <f aca="false">IF(OR(G752="",G752="?"),"",IFERROR(INDEX(Pubs!$E$2:$E$3001,MATCH(G752,Pubs!$A$2:$A$3001,0)),""))</f>
        <v/>
      </c>
      <c r="L752" s="29" t="str">
        <f aca="false">IF(A752="","",IFERROR(1/(1/INDEX(Numéros!$C$2:$C$3001,MATCH(A752&amp;"|"&amp;B752,Numéros!$F$2:$F$3001,0))),""))</f>
        <v/>
      </c>
      <c r="M752" s="27" t="str">
        <f aca="false">IF(OR(G752="",G752="?"),"",IFERROR(INDEX(Pubs!$D$2:$D$3001,MATCH(G752,Pubs!$A$2:$A$3001,0))&amp;"",""))</f>
        <v/>
      </c>
      <c r="N752" s="27" t="n">
        <f aca="false">N(N751)+IF(AND(A752&lt;&gt;"",OR(Recherche!$C$4="",A752=Recherche!$C$4),OR(Recherche!$C$5="",B752&amp;""=Recherche!$C$5&amp;""),OR(Recherche!$C$6="",IFERROR(YEAR(L752),0)=Recherche!$C$6),OR(Recherche!$C$7="",ISNUMBER(SEARCH(Recherche!$C$7,H752))),OR(Recherche!$C$8="",J752=Recherche!$C$8),OR(Recherche!$C$9="",I752=Recherche!$C$9),OR(Recherche!$C$10="",G752&amp;""=Recherche!$C$10&amp;""),OR(Recherche!$C$11="",E752=Recherche!$C$11),OR(Recherche!$C$12="",ISNUMBER(SEARCH(Recherche!$C$12,M752&amp;" "&amp;F752)))),1,0)</f>
        <v>8</v>
      </c>
    </row>
    <row r="753" customFormat="false" ht="15" hidden="false" customHeight="false" outlineLevel="0" collapsed="false">
      <c r="A753" s="19"/>
      <c r="B753" s="19"/>
      <c r="C753" s="19"/>
      <c r="D753" s="19"/>
      <c r="E753" s="22"/>
      <c r="F753" s="19"/>
      <c r="G753" s="26" t="str">
        <f aca="false">IF(D753="","",IFERROR(VALUE(LEFT(D753,FIND(" |",D753&amp;" |")-1)),"?"))</f>
        <v/>
      </c>
      <c r="H753" s="27" t="str">
        <f aca="false">IF(G753="","",IF(G753="?","⚠ pub inconnue",IFERROR(INDEX(Pubs!$B$2:$B$3001,MATCH(G753,Pubs!$A$2:$A$3001,0))&amp;"","⚠ pub inconnue")))</f>
        <v/>
      </c>
      <c r="I753" s="27" t="str">
        <f aca="false">IF(OR(G753="",G753="?"),"",IFERROR(INDEX(Pubs!$C$2:$C$3001,MATCH(G753,Pubs!$A$2:$A$3001,0))&amp;"",""))</f>
        <v/>
      </c>
      <c r="J753" s="27" t="str">
        <f aca="false">IF(OR(G753="",G753="?"),"",IFERROR(INDEX(Pubs!$G$2:$G$3001,MATCH(G753,Pubs!$A$2:$A$3001,0))&amp;"",""))</f>
        <v/>
      </c>
      <c r="K753" s="28" t="str">
        <f aca="false">IF(OR(G753="",G753="?"),"",IFERROR(INDEX(Pubs!$E$2:$E$3001,MATCH(G753,Pubs!$A$2:$A$3001,0)),""))</f>
        <v/>
      </c>
      <c r="L753" s="29" t="str">
        <f aca="false">IF(A753="","",IFERROR(1/(1/INDEX(Numéros!$C$2:$C$3001,MATCH(A753&amp;"|"&amp;B753,Numéros!$F$2:$F$3001,0))),""))</f>
        <v/>
      </c>
      <c r="M753" s="27" t="str">
        <f aca="false">IF(OR(G753="",G753="?"),"",IFERROR(INDEX(Pubs!$D$2:$D$3001,MATCH(G753,Pubs!$A$2:$A$3001,0))&amp;"",""))</f>
        <v/>
      </c>
      <c r="N753" s="27" t="n">
        <f aca="false">N(N752)+IF(AND(A753&lt;&gt;"",OR(Recherche!$C$4="",A753=Recherche!$C$4),OR(Recherche!$C$5="",B753&amp;""=Recherche!$C$5&amp;""),OR(Recherche!$C$6="",IFERROR(YEAR(L753),0)=Recherche!$C$6),OR(Recherche!$C$7="",ISNUMBER(SEARCH(Recherche!$C$7,H753))),OR(Recherche!$C$8="",J753=Recherche!$C$8),OR(Recherche!$C$9="",I753=Recherche!$C$9),OR(Recherche!$C$10="",G753&amp;""=Recherche!$C$10&amp;""),OR(Recherche!$C$11="",E753=Recherche!$C$11),OR(Recherche!$C$12="",ISNUMBER(SEARCH(Recherche!$C$12,M753&amp;" "&amp;F753)))),1,0)</f>
        <v>8</v>
      </c>
    </row>
    <row r="754" customFormat="false" ht="15" hidden="false" customHeight="false" outlineLevel="0" collapsed="false">
      <c r="A754" s="19"/>
      <c r="B754" s="19"/>
      <c r="C754" s="19"/>
      <c r="D754" s="19"/>
      <c r="E754" s="22"/>
      <c r="F754" s="19"/>
      <c r="G754" s="26" t="str">
        <f aca="false">IF(D754="","",IFERROR(VALUE(LEFT(D754,FIND(" |",D754&amp;" |")-1)),"?"))</f>
        <v/>
      </c>
      <c r="H754" s="27" t="str">
        <f aca="false">IF(G754="","",IF(G754="?","⚠ pub inconnue",IFERROR(INDEX(Pubs!$B$2:$B$3001,MATCH(G754,Pubs!$A$2:$A$3001,0))&amp;"","⚠ pub inconnue")))</f>
        <v/>
      </c>
      <c r="I754" s="27" t="str">
        <f aca="false">IF(OR(G754="",G754="?"),"",IFERROR(INDEX(Pubs!$C$2:$C$3001,MATCH(G754,Pubs!$A$2:$A$3001,0))&amp;"",""))</f>
        <v/>
      </c>
      <c r="J754" s="27" t="str">
        <f aca="false">IF(OR(G754="",G754="?"),"",IFERROR(INDEX(Pubs!$G$2:$G$3001,MATCH(G754,Pubs!$A$2:$A$3001,0))&amp;"",""))</f>
        <v/>
      </c>
      <c r="K754" s="28" t="str">
        <f aca="false">IF(OR(G754="",G754="?"),"",IFERROR(INDEX(Pubs!$E$2:$E$3001,MATCH(G754,Pubs!$A$2:$A$3001,0)),""))</f>
        <v/>
      </c>
      <c r="L754" s="29" t="str">
        <f aca="false">IF(A754="","",IFERROR(1/(1/INDEX(Numéros!$C$2:$C$3001,MATCH(A754&amp;"|"&amp;B754,Numéros!$F$2:$F$3001,0))),""))</f>
        <v/>
      </c>
      <c r="M754" s="27" t="str">
        <f aca="false">IF(OR(G754="",G754="?"),"",IFERROR(INDEX(Pubs!$D$2:$D$3001,MATCH(G754,Pubs!$A$2:$A$3001,0))&amp;"",""))</f>
        <v/>
      </c>
      <c r="N754" s="27" t="n">
        <f aca="false">N(N753)+IF(AND(A754&lt;&gt;"",OR(Recherche!$C$4="",A754=Recherche!$C$4),OR(Recherche!$C$5="",B754&amp;""=Recherche!$C$5&amp;""),OR(Recherche!$C$6="",IFERROR(YEAR(L754),0)=Recherche!$C$6),OR(Recherche!$C$7="",ISNUMBER(SEARCH(Recherche!$C$7,H754))),OR(Recherche!$C$8="",J754=Recherche!$C$8),OR(Recherche!$C$9="",I754=Recherche!$C$9),OR(Recherche!$C$10="",G754&amp;""=Recherche!$C$10&amp;""),OR(Recherche!$C$11="",E754=Recherche!$C$11),OR(Recherche!$C$12="",ISNUMBER(SEARCH(Recherche!$C$12,M754&amp;" "&amp;F754)))),1,0)</f>
        <v>8</v>
      </c>
    </row>
    <row r="755" customFormat="false" ht="15" hidden="false" customHeight="false" outlineLevel="0" collapsed="false">
      <c r="A755" s="19"/>
      <c r="B755" s="19"/>
      <c r="C755" s="19"/>
      <c r="D755" s="19"/>
      <c r="E755" s="22"/>
      <c r="F755" s="19"/>
      <c r="G755" s="26" t="str">
        <f aca="false">IF(D755="","",IFERROR(VALUE(LEFT(D755,FIND(" |",D755&amp;" |")-1)),"?"))</f>
        <v/>
      </c>
      <c r="H755" s="27" t="str">
        <f aca="false">IF(G755="","",IF(G755="?","⚠ pub inconnue",IFERROR(INDEX(Pubs!$B$2:$B$3001,MATCH(G755,Pubs!$A$2:$A$3001,0))&amp;"","⚠ pub inconnue")))</f>
        <v/>
      </c>
      <c r="I755" s="27" t="str">
        <f aca="false">IF(OR(G755="",G755="?"),"",IFERROR(INDEX(Pubs!$C$2:$C$3001,MATCH(G755,Pubs!$A$2:$A$3001,0))&amp;"",""))</f>
        <v/>
      </c>
      <c r="J755" s="27" t="str">
        <f aca="false">IF(OR(G755="",G755="?"),"",IFERROR(INDEX(Pubs!$G$2:$G$3001,MATCH(G755,Pubs!$A$2:$A$3001,0))&amp;"",""))</f>
        <v/>
      </c>
      <c r="K755" s="28" t="str">
        <f aca="false">IF(OR(G755="",G755="?"),"",IFERROR(INDEX(Pubs!$E$2:$E$3001,MATCH(G755,Pubs!$A$2:$A$3001,0)),""))</f>
        <v/>
      </c>
      <c r="L755" s="29" t="str">
        <f aca="false">IF(A755="","",IFERROR(1/(1/INDEX(Numéros!$C$2:$C$3001,MATCH(A755&amp;"|"&amp;B755,Numéros!$F$2:$F$3001,0))),""))</f>
        <v/>
      </c>
      <c r="M755" s="27" t="str">
        <f aca="false">IF(OR(G755="",G755="?"),"",IFERROR(INDEX(Pubs!$D$2:$D$3001,MATCH(G755,Pubs!$A$2:$A$3001,0))&amp;"",""))</f>
        <v/>
      </c>
      <c r="N755" s="27" t="n">
        <f aca="false">N(N754)+IF(AND(A755&lt;&gt;"",OR(Recherche!$C$4="",A755=Recherche!$C$4),OR(Recherche!$C$5="",B755&amp;""=Recherche!$C$5&amp;""),OR(Recherche!$C$6="",IFERROR(YEAR(L755),0)=Recherche!$C$6),OR(Recherche!$C$7="",ISNUMBER(SEARCH(Recherche!$C$7,H755))),OR(Recherche!$C$8="",J755=Recherche!$C$8),OR(Recherche!$C$9="",I755=Recherche!$C$9),OR(Recherche!$C$10="",G755&amp;""=Recherche!$C$10&amp;""),OR(Recherche!$C$11="",E755=Recherche!$C$11),OR(Recherche!$C$12="",ISNUMBER(SEARCH(Recherche!$C$12,M755&amp;" "&amp;F755)))),1,0)</f>
        <v>8</v>
      </c>
    </row>
    <row r="756" customFormat="false" ht="15" hidden="false" customHeight="false" outlineLevel="0" collapsed="false">
      <c r="A756" s="19"/>
      <c r="B756" s="19"/>
      <c r="C756" s="19"/>
      <c r="D756" s="19"/>
      <c r="E756" s="22"/>
      <c r="F756" s="19"/>
      <c r="G756" s="26" t="str">
        <f aca="false">IF(D756="","",IFERROR(VALUE(LEFT(D756,FIND(" |",D756&amp;" |")-1)),"?"))</f>
        <v/>
      </c>
      <c r="H756" s="27" t="str">
        <f aca="false">IF(G756="","",IF(G756="?","⚠ pub inconnue",IFERROR(INDEX(Pubs!$B$2:$B$3001,MATCH(G756,Pubs!$A$2:$A$3001,0))&amp;"","⚠ pub inconnue")))</f>
        <v/>
      </c>
      <c r="I756" s="27" t="str">
        <f aca="false">IF(OR(G756="",G756="?"),"",IFERROR(INDEX(Pubs!$C$2:$C$3001,MATCH(G756,Pubs!$A$2:$A$3001,0))&amp;"",""))</f>
        <v/>
      </c>
      <c r="J756" s="27" t="str">
        <f aca="false">IF(OR(G756="",G756="?"),"",IFERROR(INDEX(Pubs!$G$2:$G$3001,MATCH(G756,Pubs!$A$2:$A$3001,0))&amp;"",""))</f>
        <v/>
      </c>
      <c r="K756" s="28" t="str">
        <f aca="false">IF(OR(G756="",G756="?"),"",IFERROR(INDEX(Pubs!$E$2:$E$3001,MATCH(G756,Pubs!$A$2:$A$3001,0)),""))</f>
        <v/>
      </c>
      <c r="L756" s="29" t="str">
        <f aca="false">IF(A756="","",IFERROR(1/(1/INDEX(Numéros!$C$2:$C$3001,MATCH(A756&amp;"|"&amp;B756,Numéros!$F$2:$F$3001,0))),""))</f>
        <v/>
      </c>
      <c r="M756" s="27" t="str">
        <f aca="false">IF(OR(G756="",G756="?"),"",IFERROR(INDEX(Pubs!$D$2:$D$3001,MATCH(G756,Pubs!$A$2:$A$3001,0))&amp;"",""))</f>
        <v/>
      </c>
      <c r="N756" s="27" t="n">
        <f aca="false">N(N755)+IF(AND(A756&lt;&gt;"",OR(Recherche!$C$4="",A756=Recherche!$C$4),OR(Recherche!$C$5="",B756&amp;""=Recherche!$C$5&amp;""),OR(Recherche!$C$6="",IFERROR(YEAR(L756),0)=Recherche!$C$6),OR(Recherche!$C$7="",ISNUMBER(SEARCH(Recherche!$C$7,H756))),OR(Recherche!$C$8="",J756=Recherche!$C$8),OR(Recherche!$C$9="",I756=Recherche!$C$9),OR(Recherche!$C$10="",G756&amp;""=Recherche!$C$10&amp;""),OR(Recherche!$C$11="",E756=Recherche!$C$11),OR(Recherche!$C$12="",ISNUMBER(SEARCH(Recherche!$C$12,M756&amp;" "&amp;F756)))),1,0)</f>
        <v>8</v>
      </c>
    </row>
    <row r="757" customFormat="false" ht="15" hidden="false" customHeight="false" outlineLevel="0" collapsed="false">
      <c r="A757" s="19"/>
      <c r="B757" s="19"/>
      <c r="C757" s="19"/>
      <c r="D757" s="19"/>
      <c r="E757" s="22"/>
      <c r="F757" s="19"/>
      <c r="G757" s="26" t="str">
        <f aca="false">IF(D757="","",IFERROR(VALUE(LEFT(D757,FIND(" |",D757&amp;" |")-1)),"?"))</f>
        <v/>
      </c>
      <c r="H757" s="27" t="str">
        <f aca="false">IF(G757="","",IF(G757="?","⚠ pub inconnue",IFERROR(INDEX(Pubs!$B$2:$B$3001,MATCH(G757,Pubs!$A$2:$A$3001,0))&amp;"","⚠ pub inconnue")))</f>
        <v/>
      </c>
      <c r="I757" s="27" t="str">
        <f aca="false">IF(OR(G757="",G757="?"),"",IFERROR(INDEX(Pubs!$C$2:$C$3001,MATCH(G757,Pubs!$A$2:$A$3001,0))&amp;"",""))</f>
        <v/>
      </c>
      <c r="J757" s="27" t="str">
        <f aca="false">IF(OR(G757="",G757="?"),"",IFERROR(INDEX(Pubs!$G$2:$G$3001,MATCH(G757,Pubs!$A$2:$A$3001,0))&amp;"",""))</f>
        <v/>
      </c>
      <c r="K757" s="28" t="str">
        <f aca="false">IF(OR(G757="",G757="?"),"",IFERROR(INDEX(Pubs!$E$2:$E$3001,MATCH(G757,Pubs!$A$2:$A$3001,0)),""))</f>
        <v/>
      </c>
      <c r="L757" s="29" t="str">
        <f aca="false">IF(A757="","",IFERROR(1/(1/INDEX(Numéros!$C$2:$C$3001,MATCH(A757&amp;"|"&amp;B757,Numéros!$F$2:$F$3001,0))),""))</f>
        <v/>
      </c>
      <c r="M757" s="27" t="str">
        <f aca="false">IF(OR(G757="",G757="?"),"",IFERROR(INDEX(Pubs!$D$2:$D$3001,MATCH(G757,Pubs!$A$2:$A$3001,0))&amp;"",""))</f>
        <v/>
      </c>
      <c r="N757" s="27" t="n">
        <f aca="false">N(N756)+IF(AND(A757&lt;&gt;"",OR(Recherche!$C$4="",A757=Recherche!$C$4),OR(Recherche!$C$5="",B757&amp;""=Recherche!$C$5&amp;""),OR(Recherche!$C$6="",IFERROR(YEAR(L757),0)=Recherche!$C$6),OR(Recherche!$C$7="",ISNUMBER(SEARCH(Recherche!$C$7,H757))),OR(Recherche!$C$8="",J757=Recherche!$C$8),OR(Recherche!$C$9="",I757=Recherche!$C$9),OR(Recherche!$C$10="",G757&amp;""=Recherche!$C$10&amp;""),OR(Recherche!$C$11="",E757=Recherche!$C$11),OR(Recherche!$C$12="",ISNUMBER(SEARCH(Recherche!$C$12,M757&amp;" "&amp;F757)))),1,0)</f>
        <v>8</v>
      </c>
    </row>
    <row r="758" customFormat="false" ht="15" hidden="false" customHeight="false" outlineLevel="0" collapsed="false">
      <c r="A758" s="19"/>
      <c r="B758" s="19"/>
      <c r="C758" s="19"/>
      <c r="D758" s="19"/>
      <c r="E758" s="22"/>
      <c r="F758" s="19"/>
      <c r="G758" s="26" t="str">
        <f aca="false">IF(D758="","",IFERROR(VALUE(LEFT(D758,FIND(" |",D758&amp;" |")-1)),"?"))</f>
        <v/>
      </c>
      <c r="H758" s="27" t="str">
        <f aca="false">IF(G758="","",IF(G758="?","⚠ pub inconnue",IFERROR(INDEX(Pubs!$B$2:$B$3001,MATCH(G758,Pubs!$A$2:$A$3001,0))&amp;"","⚠ pub inconnue")))</f>
        <v/>
      </c>
      <c r="I758" s="27" t="str">
        <f aca="false">IF(OR(G758="",G758="?"),"",IFERROR(INDEX(Pubs!$C$2:$C$3001,MATCH(G758,Pubs!$A$2:$A$3001,0))&amp;"",""))</f>
        <v/>
      </c>
      <c r="J758" s="27" t="str">
        <f aca="false">IF(OR(G758="",G758="?"),"",IFERROR(INDEX(Pubs!$G$2:$G$3001,MATCH(G758,Pubs!$A$2:$A$3001,0))&amp;"",""))</f>
        <v/>
      </c>
      <c r="K758" s="28" t="str">
        <f aca="false">IF(OR(G758="",G758="?"),"",IFERROR(INDEX(Pubs!$E$2:$E$3001,MATCH(G758,Pubs!$A$2:$A$3001,0)),""))</f>
        <v/>
      </c>
      <c r="L758" s="29" t="str">
        <f aca="false">IF(A758="","",IFERROR(1/(1/INDEX(Numéros!$C$2:$C$3001,MATCH(A758&amp;"|"&amp;B758,Numéros!$F$2:$F$3001,0))),""))</f>
        <v/>
      </c>
      <c r="M758" s="27" t="str">
        <f aca="false">IF(OR(G758="",G758="?"),"",IFERROR(INDEX(Pubs!$D$2:$D$3001,MATCH(G758,Pubs!$A$2:$A$3001,0))&amp;"",""))</f>
        <v/>
      </c>
      <c r="N758" s="27" t="n">
        <f aca="false">N(N757)+IF(AND(A758&lt;&gt;"",OR(Recherche!$C$4="",A758=Recherche!$C$4),OR(Recherche!$C$5="",B758&amp;""=Recherche!$C$5&amp;""),OR(Recherche!$C$6="",IFERROR(YEAR(L758),0)=Recherche!$C$6),OR(Recherche!$C$7="",ISNUMBER(SEARCH(Recherche!$C$7,H758))),OR(Recherche!$C$8="",J758=Recherche!$C$8),OR(Recherche!$C$9="",I758=Recherche!$C$9),OR(Recherche!$C$10="",G758&amp;""=Recherche!$C$10&amp;""),OR(Recherche!$C$11="",E758=Recherche!$C$11),OR(Recherche!$C$12="",ISNUMBER(SEARCH(Recherche!$C$12,M758&amp;" "&amp;F758)))),1,0)</f>
        <v>8</v>
      </c>
    </row>
    <row r="759" customFormat="false" ht="15" hidden="false" customHeight="false" outlineLevel="0" collapsed="false">
      <c r="A759" s="19"/>
      <c r="B759" s="19"/>
      <c r="C759" s="19"/>
      <c r="D759" s="19"/>
      <c r="E759" s="22"/>
      <c r="F759" s="19"/>
      <c r="G759" s="26" t="str">
        <f aca="false">IF(D759="","",IFERROR(VALUE(LEFT(D759,FIND(" |",D759&amp;" |")-1)),"?"))</f>
        <v/>
      </c>
      <c r="H759" s="27" t="str">
        <f aca="false">IF(G759="","",IF(G759="?","⚠ pub inconnue",IFERROR(INDEX(Pubs!$B$2:$B$3001,MATCH(G759,Pubs!$A$2:$A$3001,0))&amp;"","⚠ pub inconnue")))</f>
        <v/>
      </c>
      <c r="I759" s="27" t="str">
        <f aca="false">IF(OR(G759="",G759="?"),"",IFERROR(INDEX(Pubs!$C$2:$C$3001,MATCH(G759,Pubs!$A$2:$A$3001,0))&amp;"",""))</f>
        <v/>
      </c>
      <c r="J759" s="27" t="str">
        <f aca="false">IF(OR(G759="",G759="?"),"",IFERROR(INDEX(Pubs!$G$2:$G$3001,MATCH(G759,Pubs!$A$2:$A$3001,0))&amp;"",""))</f>
        <v/>
      </c>
      <c r="K759" s="28" t="str">
        <f aca="false">IF(OR(G759="",G759="?"),"",IFERROR(INDEX(Pubs!$E$2:$E$3001,MATCH(G759,Pubs!$A$2:$A$3001,0)),""))</f>
        <v/>
      </c>
      <c r="L759" s="29" t="str">
        <f aca="false">IF(A759="","",IFERROR(1/(1/INDEX(Numéros!$C$2:$C$3001,MATCH(A759&amp;"|"&amp;B759,Numéros!$F$2:$F$3001,0))),""))</f>
        <v/>
      </c>
      <c r="M759" s="27" t="str">
        <f aca="false">IF(OR(G759="",G759="?"),"",IFERROR(INDEX(Pubs!$D$2:$D$3001,MATCH(G759,Pubs!$A$2:$A$3001,0))&amp;"",""))</f>
        <v/>
      </c>
      <c r="N759" s="27" t="n">
        <f aca="false">N(N758)+IF(AND(A759&lt;&gt;"",OR(Recherche!$C$4="",A759=Recherche!$C$4),OR(Recherche!$C$5="",B759&amp;""=Recherche!$C$5&amp;""),OR(Recherche!$C$6="",IFERROR(YEAR(L759),0)=Recherche!$C$6),OR(Recherche!$C$7="",ISNUMBER(SEARCH(Recherche!$C$7,H759))),OR(Recherche!$C$8="",J759=Recherche!$C$8),OR(Recherche!$C$9="",I759=Recherche!$C$9),OR(Recherche!$C$10="",G759&amp;""=Recherche!$C$10&amp;""),OR(Recherche!$C$11="",E759=Recherche!$C$11),OR(Recherche!$C$12="",ISNUMBER(SEARCH(Recherche!$C$12,M759&amp;" "&amp;F759)))),1,0)</f>
        <v>8</v>
      </c>
    </row>
    <row r="760" customFormat="false" ht="15" hidden="false" customHeight="false" outlineLevel="0" collapsed="false">
      <c r="A760" s="19"/>
      <c r="B760" s="19"/>
      <c r="C760" s="19"/>
      <c r="D760" s="19"/>
      <c r="E760" s="22"/>
      <c r="F760" s="19"/>
      <c r="G760" s="26" t="str">
        <f aca="false">IF(D760="","",IFERROR(VALUE(LEFT(D760,FIND(" |",D760&amp;" |")-1)),"?"))</f>
        <v/>
      </c>
      <c r="H760" s="27" t="str">
        <f aca="false">IF(G760="","",IF(G760="?","⚠ pub inconnue",IFERROR(INDEX(Pubs!$B$2:$B$3001,MATCH(G760,Pubs!$A$2:$A$3001,0))&amp;"","⚠ pub inconnue")))</f>
        <v/>
      </c>
      <c r="I760" s="27" t="str">
        <f aca="false">IF(OR(G760="",G760="?"),"",IFERROR(INDEX(Pubs!$C$2:$C$3001,MATCH(G760,Pubs!$A$2:$A$3001,0))&amp;"",""))</f>
        <v/>
      </c>
      <c r="J760" s="27" t="str">
        <f aca="false">IF(OR(G760="",G760="?"),"",IFERROR(INDEX(Pubs!$G$2:$G$3001,MATCH(G760,Pubs!$A$2:$A$3001,0))&amp;"",""))</f>
        <v/>
      </c>
      <c r="K760" s="28" t="str">
        <f aca="false">IF(OR(G760="",G760="?"),"",IFERROR(INDEX(Pubs!$E$2:$E$3001,MATCH(G760,Pubs!$A$2:$A$3001,0)),""))</f>
        <v/>
      </c>
      <c r="L760" s="29" t="str">
        <f aca="false">IF(A760="","",IFERROR(1/(1/INDEX(Numéros!$C$2:$C$3001,MATCH(A760&amp;"|"&amp;B760,Numéros!$F$2:$F$3001,0))),""))</f>
        <v/>
      </c>
      <c r="M760" s="27" t="str">
        <f aca="false">IF(OR(G760="",G760="?"),"",IFERROR(INDEX(Pubs!$D$2:$D$3001,MATCH(G760,Pubs!$A$2:$A$3001,0))&amp;"",""))</f>
        <v/>
      </c>
      <c r="N760" s="27" t="n">
        <f aca="false">N(N759)+IF(AND(A760&lt;&gt;"",OR(Recherche!$C$4="",A760=Recherche!$C$4),OR(Recherche!$C$5="",B760&amp;""=Recherche!$C$5&amp;""),OR(Recherche!$C$6="",IFERROR(YEAR(L760),0)=Recherche!$C$6),OR(Recherche!$C$7="",ISNUMBER(SEARCH(Recherche!$C$7,H760))),OR(Recherche!$C$8="",J760=Recherche!$C$8),OR(Recherche!$C$9="",I760=Recherche!$C$9),OR(Recherche!$C$10="",G760&amp;""=Recherche!$C$10&amp;""),OR(Recherche!$C$11="",E760=Recherche!$C$11),OR(Recherche!$C$12="",ISNUMBER(SEARCH(Recherche!$C$12,M760&amp;" "&amp;F760)))),1,0)</f>
        <v>8</v>
      </c>
    </row>
    <row r="761" customFormat="false" ht="15" hidden="false" customHeight="false" outlineLevel="0" collapsed="false">
      <c r="A761" s="19"/>
      <c r="B761" s="19"/>
      <c r="C761" s="19"/>
      <c r="D761" s="19"/>
      <c r="E761" s="22"/>
      <c r="F761" s="19"/>
      <c r="G761" s="26" t="str">
        <f aca="false">IF(D761="","",IFERROR(VALUE(LEFT(D761,FIND(" |",D761&amp;" |")-1)),"?"))</f>
        <v/>
      </c>
      <c r="H761" s="27" t="str">
        <f aca="false">IF(G761="","",IF(G761="?","⚠ pub inconnue",IFERROR(INDEX(Pubs!$B$2:$B$3001,MATCH(G761,Pubs!$A$2:$A$3001,0))&amp;"","⚠ pub inconnue")))</f>
        <v/>
      </c>
      <c r="I761" s="27" t="str">
        <f aca="false">IF(OR(G761="",G761="?"),"",IFERROR(INDEX(Pubs!$C$2:$C$3001,MATCH(G761,Pubs!$A$2:$A$3001,0))&amp;"",""))</f>
        <v/>
      </c>
      <c r="J761" s="27" t="str">
        <f aca="false">IF(OR(G761="",G761="?"),"",IFERROR(INDEX(Pubs!$G$2:$G$3001,MATCH(G761,Pubs!$A$2:$A$3001,0))&amp;"",""))</f>
        <v/>
      </c>
      <c r="K761" s="28" t="str">
        <f aca="false">IF(OR(G761="",G761="?"),"",IFERROR(INDEX(Pubs!$E$2:$E$3001,MATCH(G761,Pubs!$A$2:$A$3001,0)),""))</f>
        <v/>
      </c>
      <c r="L761" s="29" t="str">
        <f aca="false">IF(A761="","",IFERROR(1/(1/INDEX(Numéros!$C$2:$C$3001,MATCH(A761&amp;"|"&amp;B761,Numéros!$F$2:$F$3001,0))),""))</f>
        <v/>
      </c>
      <c r="M761" s="27" t="str">
        <f aca="false">IF(OR(G761="",G761="?"),"",IFERROR(INDEX(Pubs!$D$2:$D$3001,MATCH(G761,Pubs!$A$2:$A$3001,0))&amp;"",""))</f>
        <v/>
      </c>
      <c r="N761" s="27" t="n">
        <f aca="false">N(N760)+IF(AND(A761&lt;&gt;"",OR(Recherche!$C$4="",A761=Recherche!$C$4),OR(Recherche!$C$5="",B761&amp;""=Recherche!$C$5&amp;""),OR(Recherche!$C$6="",IFERROR(YEAR(L761),0)=Recherche!$C$6),OR(Recherche!$C$7="",ISNUMBER(SEARCH(Recherche!$C$7,H761))),OR(Recherche!$C$8="",J761=Recherche!$C$8),OR(Recherche!$C$9="",I761=Recherche!$C$9),OR(Recherche!$C$10="",G761&amp;""=Recherche!$C$10&amp;""),OR(Recherche!$C$11="",E761=Recherche!$C$11),OR(Recherche!$C$12="",ISNUMBER(SEARCH(Recherche!$C$12,M761&amp;" "&amp;F761)))),1,0)</f>
        <v>8</v>
      </c>
    </row>
    <row r="762" customFormat="false" ht="15" hidden="false" customHeight="false" outlineLevel="0" collapsed="false">
      <c r="A762" s="19"/>
      <c r="B762" s="19"/>
      <c r="C762" s="19"/>
      <c r="D762" s="19"/>
      <c r="E762" s="22"/>
      <c r="F762" s="19"/>
      <c r="G762" s="26" t="str">
        <f aca="false">IF(D762="","",IFERROR(VALUE(LEFT(D762,FIND(" |",D762&amp;" |")-1)),"?"))</f>
        <v/>
      </c>
      <c r="H762" s="27" t="str">
        <f aca="false">IF(G762="","",IF(G762="?","⚠ pub inconnue",IFERROR(INDEX(Pubs!$B$2:$B$3001,MATCH(G762,Pubs!$A$2:$A$3001,0))&amp;"","⚠ pub inconnue")))</f>
        <v/>
      </c>
      <c r="I762" s="27" t="str">
        <f aca="false">IF(OR(G762="",G762="?"),"",IFERROR(INDEX(Pubs!$C$2:$C$3001,MATCH(G762,Pubs!$A$2:$A$3001,0))&amp;"",""))</f>
        <v/>
      </c>
      <c r="J762" s="27" t="str">
        <f aca="false">IF(OR(G762="",G762="?"),"",IFERROR(INDEX(Pubs!$G$2:$G$3001,MATCH(G762,Pubs!$A$2:$A$3001,0))&amp;"",""))</f>
        <v/>
      </c>
      <c r="K762" s="28" t="str">
        <f aca="false">IF(OR(G762="",G762="?"),"",IFERROR(INDEX(Pubs!$E$2:$E$3001,MATCH(G762,Pubs!$A$2:$A$3001,0)),""))</f>
        <v/>
      </c>
      <c r="L762" s="29" t="str">
        <f aca="false">IF(A762="","",IFERROR(1/(1/INDEX(Numéros!$C$2:$C$3001,MATCH(A762&amp;"|"&amp;B762,Numéros!$F$2:$F$3001,0))),""))</f>
        <v/>
      </c>
      <c r="M762" s="27" t="str">
        <f aca="false">IF(OR(G762="",G762="?"),"",IFERROR(INDEX(Pubs!$D$2:$D$3001,MATCH(G762,Pubs!$A$2:$A$3001,0))&amp;"",""))</f>
        <v/>
      </c>
      <c r="N762" s="27" t="n">
        <f aca="false">N(N761)+IF(AND(A762&lt;&gt;"",OR(Recherche!$C$4="",A762=Recherche!$C$4),OR(Recherche!$C$5="",B762&amp;""=Recherche!$C$5&amp;""),OR(Recherche!$C$6="",IFERROR(YEAR(L762),0)=Recherche!$C$6),OR(Recherche!$C$7="",ISNUMBER(SEARCH(Recherche!$C$7,H762))),OR(Recherche!$C$8="",J762=Recherche!$C$8),OR(Recherche!$C$9="",I762=Recherche!$C$9),OR(Recherche!$C$10="",G762&amp;""=Recherche!$C$10&amp;""),OR(Recherche!$C$11="",E762=Recherche!$C$11),OR(Recherche!$C$12="",ISNUMBER(SEARCH(Recherche!$C$12,M762&amp;" "&amp;F762)))),1,0)</f>
        <v>8</v>
      </c>
    </row>
    <row r="763" customFormat="false" ht="15" hidden="false" customHeight="false" outlineLevel="0" collapsed="false">
      <c r="A763" s="19"/>
      <c r="B763" s="19"/>
      <c r="C763" s="19"/>
      <c r="D763" s="19"/>
      <c r="E763" s="22"/>
      <c r="F763" s="19"/>
      <c r="G763" s="26" t="str">
        <f aca="false">IF(D763="","",IFERROR(VALUE(LEFT(D763,FIND(" |",D763&amp;" |")-1)),"?"))</f>
        <v/>
      </c>
      <c r="H763" s="27" t="str">
        <f aca="false">IF(G763="","",IF(G763="?","⚠ pub inconnue",IFERROR(INDEX(Pubs!$B$2:$B$3001,MATCH(G763,Pubs!$A$2:$A$3001,0))&amp;"","⚠ pub inconnue")))</f>
        <v/>
      </c>
      <c r="I763" s="27" t="str">
        <f aca="false">IF(OR(G763="",G763="?"),"",IFERROR(INDEX(Pubs!$C$2:$C$3001,MATCH(G763,Pubs!$A$2:$A$3001,0))&amp;"",""))</f>
        <v/>
      </c>
      <c r="J763" s="27" t="str">
        <f aca="false">IF(OR(G763="",G763="?"),"",IFERROR(INDEX(Pubs!$G$2:$G$3001,MATCH(G763,Pubs!$A$2:$A$3001,0))&amp;"",""))</f>
        <v/>
      </c>
      <c r="K763" s="28" t="str">
        <f aca="false">IF(OR(G763="",G763="?"),"",IFERROR(INDEX(Pubs!$E$2:$E$3001,MATCH(G763,Pubs!$A$2:$A$3001,0)),""))</f>
        <v/>
      </c>
      <c r="L763" s="29" t="str">
        <f aca="false">IF(A763="","",IFERROR(1/(1/INDEX(Numéros!$C$2:$C$3001,MATCH(A763&amp;"|"&amp;B763,Numéros!$F$2:$F$3001,0))),""))</f>
        <v/>
      </c>
      <c r="M763" s="27" t="str">
        <f aca="false">IF(OR(G763="",G763="?"),"",IFERROR(INDEX(Pubs!$D$2:$D$3001,MATCH(G763,Pubs!$A$2:$A$3001,0))&amp;"",""))</f>
        <v/>
      </c>
      <c r="N763" s="27" t="n">
        <f aca="false">N(N762)+IF(AND(A763&lt;&gt;"",OR(Recherche!$C$4="",A763=Recherche!$C$4),OR(Recherche!$C$5="",B763&amp;""=Recherche!$C$5&amp;""),OR(Recherche!$C$6="",IFERROR(YEAR(L763),0)=Recherche!$C$6),OR(Recherche!$C$7="",ISNUMBER(SEARCH(Recherche!$C$7,H763))),OR(Recherche!$C$8="",J763=Recherche!$C$8),OR(Recherche!$C$9="",I763=Recherche!$C$9),OR(Recherche!$C$10="",G763&amp;""=Recherche!$C$10&amp;""),OR(Recherche!$C$11="",E763=Recherche!$C$11),OR(Recherche!$C$12="",ISNUMBER(SEARCH(Recherche!$C$12,M763&amp;" "&amp;F763)))),1,0)</f>
        <v>8</v>
      </c>
    </row>
    <row r="764" customFormat="false" ht="15" hidden="false" customHeight="false" outlineLevel="0" collapsed="false">
      <c r="A764" s="19"/>
      <c r="B764" s="19"/>
      <c r="C764" s="19"/>
      <c r="D764" s="19"/>
      <c r="E764" s="22"/>
      <c r="F764" s="19"/>
      <c r="G764" s="26" t="str">
        <f aca="false">IF(D764="","",IFERROR(VALUE(LEFT(D764,FIND(" |",D764&amp;" |")-1)),"?"))</f>
        <v/>
      </c>
      <c r="H764" s="27" t="str">
        <f aca="false">IF(G764="","",IF(G764="?","⚠ pub inconnue",IFERROR(INDEX(Pubs!$B$2:$B$3001,MATCH(G764,Pubs!$A$2:$A$3001,0))&amp;"","⚠ pub inconnue")))</f>
        <v/>
      </c>
      <c r="I764" s="27" t="str">
        <f aca="false">IF(OR(G764="",G764="?"),"",IFERROR(INDEX(Pubs!$C$2:$C$3001,MATCH(G764,Pubs!$A$2:$A$3001,0))&amp;"",""))</f>
        <v/>
      </c>
      <c r="J764" s="27" t="str">
        <f aca="false">IF(OR(G764="",G764="?"),"",IFERROR(INDEX(Pubs!$G$2:$G$3001,MATCH(G764,Pubs!$A$2:$A$3001,0))&amp;"",""))</f>
        <v/>
      </c>
      <c r="K764" s="28" t="str">
        <f aca="false">IF(OR(G764="",G764="?"),"",IFERROR(INDEX(Pubs!$E$2:$E$3001,MATCH(G764,Pubs!$A$2:$A$3001,0)),""))</f>
        <v/>
      </c>
      <c r="L764" s="29" t="str">
        <f aca="false">IF(A764="","",IFERROR(1/(1/INDEX(Numéros!$C$2:$C$3001,MATCH(A764&amp;"|"&amp;B764,Numéros!$F$2:$F$3001,0))),""))</f>
        <v/>
      </c>
      <c r="M764" s="27" t="str">
        <f aca="false">IF(OR(G764="",G764="?"),"",IFERROR(INDEX(Pubs!$D$2:$D$3001,MATCH(G764,Pubs!$A$2:$A$3001,0))&amp;"",""))</f>
        <v/>
      </c>
      <c r="N764" s="27" t="n">
        <f aca="false">N(N763)+IF(AND(A764&lt;&gt;"",OR(Recherche!$C$4="",A764=Recherche!$C$4),OR(Recherche!$C$5="",B764&amp;""=Recherche!$C$5&amp;""),OR(Recherche!$C$6="",IFERROR(YEAR(L764),0)=Recherche!$C$6),OR(Recherche!$C$7="",ISNUMBER(SEARCH(Recherche!$C$7,H764))),OR(Recherche!$C$8="",J764=Recherche!$C$8),OR(Recherche!$C$9="",I764=Recherche!$C$9),OR(Recherche!$C$10="",G764&amp;""=Recherche!$C$10&amp;""),OR(Recherche!$C$11="",E764=Recherche!$C$11),OR(Recherche!$C$12="",ISNUMBER(SEARCH(Recherche!$C$12,M764&amp;" "&amp;F764)))),1,0)</f>
        <v>8</v>
      </c>
    </row>
    <row r="765" customFormat="false" ht="15" hidden="false" customHeight="false" outlineLevel="0" collapsed="false">
      <c r="A765" s="19"/>
      <c r="B765" s="19"/>
      <c r="C765" s="19"/>
      <c r="D765" s="19"/>
      <c r="E765" s="22"/>
      <c r="F765" s="19"/>
      <c r="G765" s="26" t="str">
        <f aca="false">IF(D765="","",IFERROR(VALUE(LEFT(D765,FIND(" |",D765&amp;" |")-1)),"?"))</f>
        <v/>
      </c>
      <c r="H765" s="27" t="str">
        <f aca="false">IF(G765="","",IF(G765="?","⚠ pub inconnue",IFERROR(INDEX(Pubs!$B$2:$B$3001,MATCH(G765,Pubs!$A$2:$A$3001,0))&amp;"","⚠ pub inconnue")))</f>
        <v/>
      </c>
      <c r="I765" s="27" t="str">
        <f aca="false">IF(OR(G765="",G765="?"),"",IFERROR(INDEX(Pubs!$C$2:$C$3001,MATCH(G765,Pubs!$A$2:$A$3001,0))&amp;"",""))</f>
        <v/>
      </c>
      <c r="J765" s="27" t="str">
        <f aca="false">IF(OR(G765="",G765="?"),"",IFERROR(INDEX(Pubs!$G$2:$G$3001,MATCH(G765,Pubs!$A$2:$A$3001,0))&amp;"",""))</f>
        <v/>
      </c>
      <c r="K765" s="28" t="str">
        <f aca="false">IF(OR(G765="",G765="?"),"",IFERROR(INDEX(Pubs!$E$2:$E$3001,MATCH(G765,Pubs!$A$2:$A$3001,0)),""))</f>
        <v/>
      </c>
      <c r="L765" s="29" t="str">
        <f aca="false">IF(A765="","",IFERROR(1/(1/INDEX(Numéros!$C$2:$C$3001,MATCH(A765&amp;"|"&amp;B765,Numéros!$F$2:$F$3001,0))),""))</f>
        <v/>
      </c>
      <c r="M765" s="27" t="str">
        <f aca="false">IF(OR(G765="",G765="?"),"",IFERROR(INDEX(Pubs!$D$2:$D$3001,MATCH(G765,Pubs!$A$2:$A$3001,0))&amp;"",""))</f>
        <v/>
      </c>
      <c r="N765" s="27" t="n">
        <f aca="false">N(N764)+IF(AND(A765&lt;&gt;"",OR(Recherche!$C$4="",A765=Recherche!$C$4),OR(Recherche!$C$5="",B765&amp;""=Recherche!$C$5&amp;""),OR(Recherche!$C$6="",IFERROR(YEAR(L765),0)=Recherche!$C$6),OR(Recherche!$C$7="",ISNUMBER(SEARCH(Recherche!$C$7,H765))),OR(Recherche!$C$8="",J765=Recherche!$C$8),OR(Recherche!$C$9="",I765=Recherche!$C$9),OR(Recherche!$C$10="",G765&amp;""=Recherche!$C$10&amp;""),OR(Recherche!$C$11="",E765=Recherche!$C$11),OR(Recherche!$C$12="",ISNUMBER(SEARCH(Recherche!$C$12,M765&amp;" "&amp;F765)))),1,0)</f>
        <v>8</v>
      </c>
    </row>
    <row r="766" customFormat="false" ht="15" hidden="false" customHeight="false" outlineLevel="0" collapsed="false">
      <c r="A766" s="19"/>
      <c r="B766" s="19"/>
      <c r="C766" s="19"/>
      <c r="D766" s="19"/>
      <c r="E766" s="22"/>
      <c r="F766" s="19"/>
      <c r="G766" s="26" t="str">
        <f aca="false">IF(D766="","",IFERROR(VALUE(LEFT(D766,FIND(" |",D766&amp;" |")-1)),"?"))</f>
        <v/>
      </c>
      <c r="H766" s="27" t="str">
        <f aca="false">IF(G766="","",IF(G766="?","⚠ pub inconnue",IFERROR(INDEX(Pubs!$B$2:$B$3001,MATCH(G766,Pubs!$A$2:$A$3001,0))&amp;"","⚠ pub inconnue")))</f>
        <v/>
      </c>
      <c r="I766" s="27" t="str">
        <f aca="false">IF(OR(G766="",G766="?"),"",IFERROR(INDEX(Pubs!$C$2:$C$3001,MATCH(G766,Pubs!$A$2:$A$3001,0))&amp;"",""))</f>
        <v/>
      </c>
      <c r="J766" s="27" t="str">
        <f aca="false">IF(OR(G766="",G766="?"),"",IFERROR(INDEX(Pubs!$G$2:$G$3001,MATCH(G766,Pubs!$A$2:$A$3001,0))&amp;"",""))</f>
        <v/>
      </c>
      <c r="K766" s="28" t="str">
        <f aca="false">IF(OR(G766="",G766="?"),"",IFERROR(INDEX(Pubs!$E$2:$E$3001,MATCH(G766,Pubs!$A$2:$A$3001,0)),""))</f>
        <v/>
      </c>
      <c r="L766" s="29" t="str">
        <f aca="false">IF(A766="","",IFERROR(1/(1/INDEX(Numéros!$C$2:$C$3001,MATCH(A766&amp;"|"&amp;B766,Numéros!$F$2:$F$3001,0))),""))</f>
        <v/>
      </c>
      <c r="M766" s="27" t="str">
        <f aca="false">IF(OR(G766="",G766="?"),"",IFERROR(INDEX(Pubs!$D$2:$D$3001,MATCH(G766,Pubs!$A$2:$A$3001,0))&amp;"",""))</f>
        <v/>
      </c>
      <c r="N766" s="27" t="n">
        <f aca="false">N(N765)+IF(AND(A766&lt;&gt;"",OR(Recherche!$C$4="",A766=Recherche!$C$4),OR(Recherche!$C$5="",B766&amp;""=Recherche!$C$5&amp;""),OR(Recherche!$C$6="",IFERROR(YEAR(L766),0)=Recherche!$C$6),OR(Recherche!$C$7="",ISNUMBER(SEARCH(Recherche!$C$7,H766))),OR(Recherche!$C$8="",J766=Recherche!$C$8),OR(Recherche!$C$9="",I766=Recherche!$C$9),OR(Recherche!$C$10="",G766&amp;""=Recherche!$C$10&amp;""),OR(Recherche!$C$11="",E766=Recherche!$C$11),OR(Recherche!$C$12="",ISNUMBER(SEARCH(Recherche!$C$12,M766&amp;" "&amp;F766)))),1,0)</f>
        <v>8</v>
      </c>
    </row>
    <row r="767" customFormat="false" ht="15" hidden="false" customHeight="false" outlineLevel="0" collapsed="false">
      <c r="A767" s="19"/>
      <c r="B767" s="19"/>
      <c r="C767" s="19"/>
      <c r="D767" s="19"/>
      <c r="E767" s="22"/>
      <c r="F767" s="19"/>
      <c r="G767" s="26" t="str">
        <f aca="false">IF(D767="","",IFERROR(VALUE(LEFT(D767,FIND(" |",D767&amp;" |")-1)),"?"))</f>
        <v/>
      </c>
      <c r="H767" s="27" t="str">
        <f aca="false">IF(G767="","",IF(G767="?","⚠ pub inconnue",IFERROR(INDEX(Pubs!$B$2:$B$3001,MATCH(G767,Pubs!$A$2:$A$3001,0))&amp;"","⚠ pub inconnue")))</f>
        <v/>
      </c>
      <c r="I767" s="27" t="str">
        <f aca="false">IF(OR(G767="",G767="?"),"",IFERROR(INDEX(Pubs!$C$2:$C$3001,MATCH(G767,Pubs!$A$2:$A$3001,0))&amp;"",""))</f>
        <v/>
      </c>
      <c r="J767" s="27" t="str">
        <f aca="false">IF(OR(G767="",G767="?"),"",IFERROR(INDEX(Pubs!$G$2:$G$3001,MATCH(G767,Pubs!$A$2:$A$3001,0))&amp;"",""))</f>
        <v/>
      </c>
      <c r="K767" s="28" t="str">
        <f aca="false">IF(OR(G767="",G767="?"),"",IFERROR(INDEX(Pubs!$E$2:$E$3001,MATCH(G767,Pubs!$A$2:$A$3001,0)),""))</f>
        <v/>
      </c>
      <c r="L767" s="29" t="str">
        <f aca="false">IF(A767="","",IFERROR(1/(1/INDEX(Numéros!$C$2:$C$3001,MATCH(A767&amp;"|"&amp;B767,Numéros!$F$2:$F$3001,0))),""))</f>
        <v/>
      </c>
      <c r="M767" s="27" t="str">
        <f aca="false">IF(OR(G767="",G767="?"),"",IFERROR(INDEX(Pubs!$D$2:$D$3001,MATCH(G767,Pubs!$A$2:$A$3001,0))&amp;"",""))</f>
        <v/>
      </c>
      <c r="N767" s="27" t="n">
        <f aca="false">N(N766)+IF(AND(A767&lt;&gt;"",OR(Recherche!$C$4="",A767=Recherche!$C$4),OR(Recherche!$C$5="",B767&amp;""=Recherche!$C$5&amp;""),OR(Recherche!$C$6="",IFERROR(YEAR(L767),0)=Recherche!$C$6),OR(Recherche!$C$7="",ISNUMBER(SEARCH(Recherche!$C$7,H767))),OR(Recherche!$C$8="",J767=Recherche!$C$8),OR(Recherche!$C$9="",I767=Recherche!$C$9),OR(Recherche!$C$10="",G767&amp;""=Recherche!$C$10&amp;""),OR(Recherche!$C$11="",E767=Recherche!$C$11),OR(Recherche!$C$12="",ISNUMBER(SEARCH(Recherche!$C$12,M767&amp;" "&amp;F767)))),1,0)</f>
        <v>8</v>
      </c>
    </row>
    <row r="768" customFormat="false" ht="15" hidden="false" customHeight="false" outlineLevel="0" collapsed="false">
      <c r="A768" s="19"/>
      <c r="B768" s="19"/>
      <c r="C768" s="19"/>
      <c r="D768" s="19"/>
      <c r="E768" s="22"/>
      <c r="F768" s="19"/>
      <c r="G768" s="26" t="str">
        <f aca="false">IF(D768="","",IFERROR(VALUE(LEFT(D768,FIND(" |",D768&amp;" |")-1)),"?"))</f>
        <v/>
      </c>
      <c r="H768" s="27" t="str">
        <f aca="false">IF(G768="","",IF(G768="?","⚠ pub inconnue",IFERROR(INDEX(Pubs!$B$2:$B$3001,MATCH(G768,Pubs!$A$2:$A$3001,0))&amp;"","⚠ pub inconnue")))</f>
        <v/>
      </c>
      <c r="I768" s="27" t="str">
        <f aca="false">IF(OR(G768="",G768="?"),"",IFERROR(INDEX(Pubs!$C$2:$C$3001,MATCH(G768,Pubs!$A$2:$A$3001,0))&amp;"",""))</f>
        <v/>
      </c>
      <c r="J768" s="27" t="str">
        <f aca="false">IF(OR(G768="",G768="?"),"",IFERROR(INDEX(Pubs!$G$2:$G$3001,MATCH(G768,Pubs!$A$2:$A$3001,0))&amp;"",""))</f>
        <v/>
      </c>
      <c r="K768" s="28" t="str">
        <f aca="false">IF(OR(G768="",G768="?"),"",IFERROR(INDEX(Pubs!$E$2:$E$3001,MATCH(G768,Pubs!$A$2:$A$3001,0)),""))</f>
        <v/>
      </c>
      <c r="L768" s="29" t="str">
        <f aca="false">IF(A768="","",IFERROR(1/(1/INDEX(Numéros!$C$2:$C$3001,MATCH(A768&amp;"|"&amp;B768,Numéros!$F$2:$F$3001,0))),""))</f>
        <v/>
      </c>
      <c r="M768" s="27" t="str">
        <f aca="false">IF(OR(G768="",G768="?"),"",IFERROR(INDEX(Pubs!$D$2:$D$3001,MATCH(G768,Pubs!$A$2:$A$3001,0))&amp;"",""))</f>
        <v/>
      </c>
      <c r="N768" s="27" t="n">
        <f aca="false">N(N767)+IF(AND(A768&lt;&gt;"",OR(Recherche!$C$4="",A768=Recherche!$C$4),OR(Recherche!$C$5="",B768&amp;""=Recherche!$C$5&amp;""),OR(Recherche!$C$6="",IFERROR(YEAR(L768),0)=Recherche!$C$6),OR(Recherche!$C$7="",ISNUMBER(SEARCH(Recherche!$C$7,H768))),OR(Recherche!$C$8="",J768=Recherche!$C$8),OR(Recherche!$C$9="",I768=Recherche!$C$9),OR(Recherche!$C$10="",G768&amp;""=Recherche!$C$10&amp;""),OR(Recherche!$C$11="",E768=Recherche!$C$11),OR(Recherche!$C$12="",ISNUMBER(SEARCH(Recherche!$C$12,M768&amp;" "&amp;F768)))),1,0)</f>
        <v>8</v>
      </c>
    </row>
    <row r="769" customFormat="false" ht="15" hidden="false" customHeight="false" outlineLevel="0" collapsed="false">
      <c r="A769" s="19"/>
      <c r="B769" s="19"/>
      <c r="C769" s="19"/>
      <c r="D769" s="19"/>
      <c r="E769" s="22"/>
      <c r="F769" s="19"/>
      <c r="G769" s="26" t="str">
        <f aca="false">IF(D769="","",IFERROR(VALUE(LEFT(D769,FIND(" |",D769&amp;" |")-1)),"?"))</f>
        <v/>
      </c>
      <c r="H769" s="27" t="str">
        <f aca="false">IF(G769="","",IF(G769="?","⚠ pub inconnue",IFERROR(INDEX(Pubs!$B$2:$B$3001,MATCH(G769,Pubs!$A$2:$A$3001,0))&amp;"","⚠ pub inconnue")))</f>
        <v/>
      </c>
      <c r="I769" s="27" t="str">
        <f aca="false">IF(OR(G769="",G769="?"),"",IFERROR(INDEX(Pubs!$C$2:$C$3001,MATCH(G769,Pubs!$A$2:$A$3001,0))&amp;"",""))</f>
        <v/>
      </c>
      <c r="J769" s="27" t="str">
        <f aca="false">IF(OR(G769="",G769="?"),"",IFERROR(INDEX(Pubs!$G$2:$G$3001,MATCH(G769,Pubs!$A$2:$A$3001,0))&amp;"",""))</f>
        <v/>
      </c>
      <c r="K769" s="28" t="str">
        <f aca="false">IF(OR(G769="",G769="?"),"",IFERROR(INDEX(Pubs!$E$2:$E$3001,MATCH(G769,Pubs!$A$2:$A$3001,0)),""))</f>
        <v/>
      </c>
      <c r="L769" s="29" t="str">
        <f aca="false">IF(A769="","",IFERROR(1/(1/INDEX(Numéros!$C$2:$C$3001,MATCH(A769&amp;"|"&amp;B769,Numéros!$F$2:$F$3001,0))),""))</f>
        <v/>
      </c>
      <c r="M769" s="27" t="str">
        <f aca="false">IF(OR(G769="",G769="?"),"",IFERROR(INDEX(Pubs!$D$2:$D$3001,MATCH(G769,Pubs!$A$2:$A$3001,0))&amp;"",""))</f>
        <v/>
      </c>
      <c r="N769" s="27" t="n">
        <f aca="false">N(N768)+IF(AND(A769&lt;&gt;"",OR(Recherche!$C$4="",A769=Recherche!$C$4),OR(Recherche!$C$5="",B769&amp;""=Recherche!$C$5&amp;""),OR(Recherche!$C$6="",IFERROR(YEAR(L769),0)=Recherche!$C$6),OR(Recherche!$C$7="",ISNUMBER(SEARCH(Recherche!$C$7,H769))),OR(Recherche!$C$8="",J769=Recherche!$C$8),OR(Recherche!$C$9="",I769=Recherche!$C$9),OR(Recherche!$C$10="",G769&amp;""=Recherche!$C$10&amp;""),OR(Recherche!$C$11="",E769=Recherche!$C$11),OR(Recherche!$C$12="",ISNUMBER(SEARCH(Recherche!$C$12,M769&amp;" "&amp;F769)))),1,0)</f>
        <v>8</v>
      </c>
    </row>
    <row r="770" customFormat="false" ht="15" hidden="false" customHeight="false" outlineLevel="0" collapsed="false">
      <c r="A770" s="19"/>
      <c r="B770" s="19"/>
      <c r="C770" s="19"/>
      <c r="D770" s="19"/>
      <c r="E770" s="22"/>
      <c r="F770" s="19"/>
      <c r="G770" s="26" t="str">
        <f aca="false">IF(D770="","",IFERROR(VALUE(LEFT(D770,FIND(" |",D770&amp;" |")-1)),"?"))</f>
        <v/>
      </c>
      <c r="H770" s="27" t="str">
        <f aca="false">IF(G770="","",IF(G770="?","⚠ pub inconnue",IFERROR(INDEX(Pubs!$B$2:$B$3001,MATCH(G770,Pubs!$A$2:$A$3001,0))&amp;"","⚠ pub inconnue")))</f>
        <v/>
      </c>
      <c r="I770" s="27" t="str">
        <f aca="false">IF(OR(G770="",G770="?"),"",IFERROR(INDEX(Pubs!$C$2:$C$3001,MATCH(G770,Pubs!$A$2:$A$3001,0))&amp;"",""))</f>
        <v/>
      </c>
      <c r="J770" s="27" t="str">
        <f aca="false">IF(OR(G770="",G770="?"),"",IFERROR(INDEX(Pubs!$G$2:$G$3001,MATCH(G770,Pubs!$A$2:$A$3001,0))&amp;"",""))</f>
        <v/>
      </c>
      <c r="K770" s="28" t="str">
        <f aca="false">IF(OR(G770="",G770="?"),"",IFERROR(INDEX(Pubs!$E$2:$E$3001,MATCH(G770,Pubs!$A$2:$A$3001,0)),""))</f>
        <v/>
      </c>
      <c r="L770" s="29" t="str">
        <f aca="false">IF(A770="","",IFERROR(1/(1/INDEX(Numéros!$C$2:$C$3001,MATCH(A770&amp;"|"&amp;B770,Numéros!$F$2:$F$3001,0))),""))</f>
        <v/>
      </c>
      <c r="M770" s="27" t="str">
        <f aca="false">IF(OR(G770="",G770="?"),"",IFERROR(INDEX(Pubs!$D$2:$D$3001,MATCH(G770,Pubs!$A$2:$A$3001,0))&amp;"",""))</f>
        <v/>
      </c>
      <c r="N770" s="27" t="n">
        <f aca="false">N(N769)+IF(AND(A770&lt;&gt;"",OR(Recherche!$C$4="",A770=Recherche!$C$4),OR(Recherche!$C$5="",B770&amp;""=Recherche!$C$5&amp;""),OR(Recherche!$C$6="",IFERROR(YEAR(L770),0)=Recherche!$C$6),OR(Recherche!$C$7="",ISNUMBER(SEARCH(Recherche!$C$7,H770))),OR(Recherche!$C$8="",J770=Recherche!$C$8),OR(Recherche!$C$9="",I770=Recherche!$C$9),OR(Recherche!$C$10="",G770&amp;""=Recherche!$C$10&amp;""),OR(Recherche!$C$11="",E770=Recherche!$C$11),OR(Recherche!$C$12="",ISNUMBER(SEARCH(Recherche!$C$12,M770&amp;" "&amp;F770)))),1,0)</f>
        <v>8</v>
      </c>
    </row>
    <row r="771" customFormat="false" ht="15" hidden="false" customHeight="false" outlineLevel="0" collapsed="false">
      <c r="A771" s="19"/>
      <c r="B771" s="19"/>
      <c r="C771" s="19"/>
      <c r="D771" s="19"/>
      <c r="E771" s="22"/>
      <c r="F771" s="19"/>
      <c r="G771" s="26" t="str">
        <f aca="false">IF(D771="","",IFERROR(VALUE(LEFT(D771,FIND(" |",D771&amp;" |")-1)),"?"))</f>
        <v/>
      </c>
      <c r="H771" s="27" t="str">
        <f aca="false">IF(G771="","",IF(G771="?","⚠ pub inconnue",IFERROR(INDEX(Pubs!$B$2:$B$3001,MATCH(G771,Pubs!$A$2:$A$3001,0))&amp;"","⚠ pub inconnue")))</f>
        <v/>
      </c>
      <c r="I771" s="27" t="str">
        <f aca="false">IF(OR(G771="",G771="?"),"",IFERROR(INDEX(Pubs!$C$2:$C$3001,MATCH(G771,Pubs!$A$2:$A$3001,0))&amp;"",""))</f>
        <v/>
      </c>
      <c r="J771" s="27" t="str">
        <f aca="false">IF(OR(G771="",G771="?"),"",IFERROR(INDEX(Pubs!$G$2:$G$3001,MATCH(G771,Pubs!$A$2:$A$3001,0))&amp;"",""))</f>
        <v/>
      </c>
      <c r="K771" s="28" t="str">
        <f aca="false">IF(OR(G771="",G771="?"),"",IFERROR(INDEX(Pubs!$E$2:$E$3001,MATCH(G771,Pubs!$A$2:$A$3001,0)),""))</f>
        <v/>
      </c>
      <c r="L771" s="29" t="str">
        <f aca="false">IF(A771="","",IFERROR(1/(1/INDEX(Numéros!$C$2:$C$3001,MATCH(A771&amp;"|"&amp;B771,Numéros!$F$2:$F$3001,0))),""))</f>
        <v/>
      </c>
      <c r="M771" s="27" t="str">
        <f aca="false">IF(OR(G771="",G771="?"),"",IFERROR(INDEX(Pubs!$D$2:$D$3001,MATCH(G771,Pubs!$A$2:$A$3001,0))&amp;"",""))</f>
        <v/>
      </c>
      <c r="N771" s="27" t="n">
        <f aca="false">N(N770)+IF(AND(A771&lt;&gt;"",OR(Recherche!$C$4="",A771=Recherche!$C$4),OR(Recherche!$C$5="",B771&amp;""=Recherche!$C$5&amp;""),OR(Recherche!$C$6="",IFERROR(YEAR(L771),0)=Recherche!$C$6),OR(Recherche!$C$7="",ISNUMBER(SEARCH(Recherche!$C$7,H771))),OR(Recherche!$C$8="",J771=Recherche!$C$8),OR(Recherche!$C$9="",I771=Recherche!$C$9),OR(Recherche!$C$10="",G771&amp;""=Recherche!$C$10&amp;""),OR(Recherche!$C$11="",E771=Recherche!$C$11),OR(Recherche!$C$12="",ISNUMBER(SEARCH(Recherche!$C$12,M771&amp;" "&amp;F771)))),1,0)</f>
        <v>8</v>
      </c>
    </row>
    <row r="772" customFormat="false" ht="15" hidden="false" customHeight="false" outlineLevel="0" collapsed="false">
      <c r="A772" s="19"/>
      <c r="B772" s="19"/>
      <c r="C772" s="19"/>
      <c r="D772" s="19"/>
      <c r="E772" s="22"/>
      <c r="F772" s="19"/>
      <c r="G772" s="26" t="str">
        <f aca="false">IF(D772="","",IFERROR(VALUE(LEFT(D772,FIND(" |",D772&amp;" |")-1)),"?"))</f>
        <v/>
      </c>
      <c r="H772" s="27" t="str">
        <f aca="false">IF(G772="","",IF(G772="?","⚠ pub inconnue",IFERROR(INDEX(Pubs!$B$2:$B$3001,MATCH(G772,Pubs!$A$2:$A$3001,0))&amp;"","⚠ pub inconnue")))</f>
        <v/>
      </c>
      <c r="I772" s="27" t="str">
        <f aca="false">IF(OR(G772="",G772="?"),"",IFERROR(INDEX(Pubs!$C$2:$C$3001,MATCH(G772,Pubs!$A$2:$A$3001,0))&amp;"",""))</f>
        <v/>
      </c>
      <c r="J772" s="27" t="str">
        <f aca="false">IF(OR(G772="",G772="?"),"",IFERROR(INDEX(Pubs!$G$2:$G$3001,MATCH(G772,Pubs!$A$2:$A$3001,0))&amp;"",""))</f>
        <v/>
      </c>
      <c r="K772" s="28" t="str">
        <f aca="false">IF(OR(G772="",G772="?"),"",IFERROR(INDEX(Pubs!$E$2:$E$3001,MATCH(G772,Pubs!$A$2:$A$3001,0)),""))</f>
        <v/>
      </c>
      <c r="L772" s="29" t="str">
        <f aca="false">IF(A772="","",IFERROR(1/(1/INDEX(Numéros!$C$2:$C$3001,MATCH(A772&amp;"|"&amp;B772,Numéros!$F$2:$F$3001,0))),""))</f>
        <v/>
      </c>
      <c r="M772" s="27" t="str">
        <f aca="false">IF(OR(G772="",G772="?"),"",IFERROR(INDEX(Pubs!$D$2:$D$3001,MATCH(G772,Pubs!$A$2:$A$3001,0))&amp;"",""))</f>
        <v/>
      </c>
      <c r="N772" s="27" t="n">
        <f aca="false">N(N771)+IF(AND(A772&lt;&gt;"",OR(Recherche!$C$4="",A772=Recherche!$C$4),OR(Recherche!$C$5="",B772&amp;""=Recherche!$C$5&amp;""),OR(Recherche!$C$6="",IFERROR(YEAR(L772),0)=Recherche!$C$6),OR(Recherche!$C$7="",ISNUMBER(SEARCH(Recherche!$C$7,H772))),OR(Recherche!$C$8="",J772=Recherche!$C$8),OR(Recherche!$C$9="",I772=Recherche!$C$9),OR(Recherche!$C$10="",G772&amp;""=Recherche!$C$10&amp;""),OR(Recherche!$C$11="",E772=Recherche!$C$11),OR(Recherche!$C$12="",ISNUMBER(SEARCH(Recherche!$C$12,M772&amp;" "&amp;F772)))),1,0)</f>
        <v>8</v>
      </c>
    </row>
    <row r="773" customFormat="false" ht="15" hidden="false" customHeight="false" outlineLevel="0" collapsed="false">
      <c r="A773" s="19"/>
      <c r="B773" s="19"/>
      <c r="C773" s="19"/>
      <c r="D773" s="19"/>
      <c r="E773" s="22"/>
      <c r="F773" s="19"/>
      <c r="G773" s="26" t="str">
        <f aca="false">IF(D773="","",IFERROR(VALUE(LEFT(D773,FIND(" |",D773&amp;" |")-1)),"?"))</f>
        <v/>
      </c>
      <c r="H773" s="27" t="str">
        <f aca="false">IF(G773="","",IF(G773="?","⚠ pub inconnue",IFERROR(INDEX(Pubs!$B$2:$B$3001,MATCH(G773,Pubs!$A$2:$A$3001,0))&amp;"","⚠ pub inconnue")))</f>
        <v/>
      </c>
      <c r="I773" s="27" t="str">
        <f aca="false">IF(OR(G773="",G773="?"),"",IFERROR(INDEX(Pubs!$C$2:$C$3001,MATCH(G773,Pubs!$A$2:$A$3001,0))&amp;"",""))</f>
        <v/>
      </c>
      <c r="J773" s="27" t="str">
        <f aca="false">IF(OR(G773="",G773="?"),"",IFERROR(INDEX(Pubs!$G$2:$G$3001,MATCH(G773,Pubs!$A$2:$A$3001,0))&amp;"",""))</f>
        <v/>
      </c>
      <c r="K773" s="28" t="str">
        <f aca="false">IF(OR(G773="",G773="?"),"",IFERROR(INDEX(Pubs!$E$2:$E$3001,MATCH(G773,Pubs!$A$2:$A$3001,0)),""))</f>
        <v/>
      </c>
      <c r="L773" s="29" t="str">
        <f aca="false">IF(A773="","",IFERROR(1/(1/INDEX(Numéros!$C$2:$C$3001,MATCH(A773&amp;"|"&amp;B773,Numéros!$F$2:$F$3001,0))),""))</f>
        <v/>
      </c>
      <c r="M773" s="27" t="str">
        <f aca="false">IF(OR(G773="",G773="?"),"",IFERROR(INDEX(Pubs!$D$2:$D$3001,MATCH(G773,Pubs!$A$2:$A$3001,0))&amp;"",""))</f>
        <v/>
      </c>
      <c r="N773" s="27" t="n">
        <f aca="false">N(N772)+IF(AND(A773&lt;&gt;"",OR(Recherche!$C$4="",A773=Recherche!$C$4),OR(Recherche!$C$5="",B773&amp;""=Recherche!$C$5&amp;""),OR(Recherche!$C$6="",IFERROR(YEAR(L773),0)=Recherche!$C$6),OR(Recherche!$C$7="",ISNUMBER(SEARCH(Recherche!$C$7,H773))),OR(Recherche!$C$8="",J773=Recherche!$C$8),OR(Recherche!$C$9="",I773=Recherche!$C$9),OR(Recherche!$C$10="",G773&amp;""=Recherche!$C$10&amp;""),OR(Recherche!$C$11="",E773=Recherche!$C$11),OR(Recherche!$C$12="",ISNUMBER(SEARCH(Recherche!$C$12,M773&amp;" "&amp;F773)))),1,0)</f>
        <v>8</v>
      </c>
    </row>
    <row r="774" customFormat="false" ht="15" hidden="false" customHeight="false" outlineLevel="0" collapsed="false">
      <c r="A774" s="19"/>
      <c r="B774" s="19"/>
      <c r="C774" s="19"/>
      <c r="D774" s="19"/>
      <c r="E774" s="22"/>
      <c r="F774" s="19"/>
      <c r="G774" s="26" t="str">
        <f aca="false">IF(D774="","",IFERROR(VALUE(LEFT(D774,FIND(" |",D774&amp;" |")-1)),"?"))</f>
        <v/>
      </c>
      <c r="H774" s="27" t="str">
        <f aca="false">IF(G774="","",IF(G774="?","⚠ pub inconnue",IFERROR(INDEX(Pubs!$B$2:$B$3001,MATCH(G774,Pubs!$A$2:$A$3001,0))&amp;"","⚠ pub inconnue")))</f>
        <v/>
      </c>
      <c r="I774" s="27" t="str">
        <f aca="false">IF(OR(G774="",G774="?"),"",IFERROR(INDEX(Pubs!$C$2:$C$3001,MATCH(G774,Pubs!$A$2:$A$3001,0))&amp;"",""))</f>
        <v/>
      </c>
      <c r="J774" s="27" t="str">
        <f aca="false">IF(OR(G774="",G774="?"),"",IFERROR(INDEX(Pubs!$G$2:$G$3001,MATCH(G774,Pubs!$A$2:$A$3001,0))&amp;"",""))</f>
        <v/>
      </c>
      <c r="K774" s="28" t="str">
        <f aca="false">IF(OR(G774="",G774="?"),"",IFERROR(INDEX(Pubs!$E$2:$E$3001,MATCH(G774,Pubs!$A$2:$A$3001,0)),""))</f>
        <v/>
      </c>
      <c r="L774" s="29" t="str">
        <f aca="false">IF(A774="","",IFERROR(1/(1/INDEX(Numéros!$C$2:$C$3001,MATCH(A774&amp;"|"&amp;B774,Numéros!$F$2:$F$3001,0))),""))</f>
        <v/>
      </c>
      <c r="M774" s="27" t="str">
        <f aca="false">IF(OR(G774="",G774="?"),"",IFERROR(INDEX(Pubs!$D$2:$D$3001,MATCH(G774,Pubs!$A$2:$A$3001,0))&amp;"",""))</f>
        <v/>
      </c>
      <c r="N774" s="27" t="n">
        <f aca="false">N(N773)+IF(AND(A774&lt;&gt;"",OR(Recherche!$C$4="",A774=Recherche!$C$4),OR(Recherche!$C$5="",B774&amp;""=Recherche!$C$5&amp;""),OR(Recherche!$C$6="",IFERROR(YEAR(L774),0)=Recherche!$C$6),OR(Recherche!$C$7="",ISNUMBER(SEARCH(Recherche!$C$7,H774))),OR(Recherche!$C$8="",J774=Recherche!$C$8),OR(Recherche!$C$9="",I774=Recherche!$C$9),OR(Recherche!$C$10="",G774&amp;""=Recherche!$C$10&amp;""),OR(Recherche!$C$11="",E774=Recherche!$C$11),OR(Recherche!$C$12="",ISNUMBER(SEARCH(Recherche!$C$12,M774&amp;" "&amp;F774)))),1,0)</f>
        <v>8</v>
      </c>
    </row>
    <row r="775" customFormat="false" ht="15" hidden="false" customHeight="false" outlineLevel="0" collapsed="false">
      <c r="A775" s="19"/>
      <c r="B775" s="19"/>
      <c r="C775" s="19"/>
      <c r="D775" s="19"/>
      <c r="E775" s="22"/>
      <c r="F775" s="19"/>
      <c r="G775" s="26" t="str">
        <f aca="false">IF(D775="","",IFERROR(VALUE(LEFT(D775,FIND(" |",D775&amp;" |")-1)),"?"))</f>
        <v/>
      </c>
      <c r="H775" s="27" t="str">
        <f aca="false">IF(G775="","",IF(G775="?","⚠ pub inconnue",IFERROR(INDEX(Pubs!$B$2:$B$3001,MATCH(G775,Pubs!$A$2:$A$3001,0))&amp;"","⚠ pub inconnue")))</f>
        <v/>
      </c>
      <c r="I775" s="27" t="str">
        <f aca="false">IF(OR(G775="",G775="?"),"",IFERROR(INDEX(Pubs!$C$2:$C$3001,MATCH(G775,Pubs!$A$2:$A$3001,0))&amp;"",""))</f>
        <v/>
      </c>
      <c r="J775" s="27" t="str">
        <f aca="false">IF(OR(G775="",G775="?"),"",IFERROR(INDEX(Pubs!$G$2:$G$3001,MATCH(G775,Pubs!$A$2:$A$3001,0))&amp;"",""))</f>
        <v/>
      </c>
      <c r="K775" s="28" t="str">
        <f aca="false">IF(OR(G775="",G775="?"),"",IFERROR(INDEX(Pubs!$E$2:$E$3001,MATCH(G775,Pubs!$A$2:$A$3001,0)),""))</f>
        <v/>
      </c>
      <c r="L775" s="29" t="str">
        <f aca="false">IF(A775="","",IFERROR(1/(1/INDEX(Numéros!$C$2:$C$3001,MATCH(A775&amp;"|"&amp;B775,Numéros!$F$2:$F$3001,0))),""))</f>
        <v/>
      </c>
      <c r="M775" s="27" t="str">
        <f aca="false">IF(OR(G775="",G775="?"),"",IFERROR(INDEX(Pubs!$D$2:$D$3001,MATCH(G775,Pubs!$A$2:$A$3001,0))&amp;"",""))</f>
        <v/>
      </c>
      <c r="N775" s="27" t="n">
        <f aca="false">N(N774)+IF(AND(A775&lt;&gt;"",OR(Recherche!$C$4="",A775=Recherche!$C$4),OR(Recherche!$C$5="",B775&amp;""=Recherche!$C$5&amp;""),OR(Recherche!$C$6="",IFERROR(YEAR(L775),0)=Recherche!$C$6),OR(Recherche!$C$7="",ISNUMBER(SEARCH(Recherche!$C$7,H775))),OR(Recherche!$C$8="",J775=Recherche!$C$8),OR(Recherche!$C$9="",I775=Recherche!$C$9),OR(Recherche!$C$10="",G775&amp;""=Recherche!$C$10&amp;""),OR(Recherche!$C$11="",E775=Recherche!$C$11),OR(Recherche!$C$12="",ISNUMBER(SEARCH(Recherche!$C$12,M775&amp;" "&amp;F775)))),1,0)</f>
        <v>8</v>
      </c>
    </row>
    <row r="776" customFormat="false" ht="15" hidden="false" customHeight="false" outlineLevel="0" collapsed="false">
      <c r="A776" s="19"/>
      <c r="B776" s="19"/>
      <c r="C776" s="19"/>
      <c r="D776" s="19"/>
      <c r="E776" s="22"/>
      <c r="F776" s="19"/>
      <c r="G776" s="26" t="str">
        <f aca="false">IF(D776="","",IFERROR(VALUE(LEFT(D776,FIND(" |",D776&amp;" |")-1)),"?"))</f>
        <v/>
      </c>
      <c r="H776" s="27" t="str">
        <f aca="false">IF(G776="","",IF(G776="?","⚠ pub inconnue",IFERROR(INDEX(Pubs!$B$2:$B$3001,MATCH(G776,Pubs!$A$2:$A$3001,0))&amp;"","⚠ pub inconnue")))</f>
        <v/>
      </c>
      <c r="I776" s="27" t="str">
        <f aca="false">IF(OR(G776="",G776="?"),"",IFERROR(INDEX(Pubs!$C$2:$C$3001,MATCH(G776,Pubs!$A$2:$A$3001,0))&amp;"",""))</f>
        <v/>
      </c>
      <c r="J776" s="27" t="str">
        <f aca="false">IF(OR(G776="",G776="?"),"",IFERROR(INDEX(Pubs!$G$2:$G$3001,MATCH(G776,Pubs!$A$2:$A$3001,0))&amp;"",""))</f>
        <v/>
      </c>
      <c r="K776" s="28" t="str">
        <f aca="false">IF(OR(G776="",G776="?"),"",IFERROR(INDEX(Pubs!$E$2:$E$3001,MATCH(G776,Pubs!$A$2:$A$3001,0)),""))</f>
        <v/>
      </c>
      <c r="L776" s="29" t="str">
        <f aca="false">IF(A776="","",IFERROR(1/(1/INDEX(Numéros!$C$2:$C$3001,MATCH(A776&amp;"|"&amp;B776,Numéros!$F$2:$F$3001,0))),""))</f>
        <v/>
      </c>
      <c r="M776" s="27" t="str">
        <f aca="false">IF(OR(G776="",G776="?"),"",IFERROR(INDEX(Pubs!$D$2:$D$3001,MATCH(G776,Pubs!$A$2:$A$3001,0))&amp;"",""))</f>
        <v/>
      </c>
      <c r="N776" s="27" t="n">
        <f aca="false">N(N775)+IF(AND(A776&lt;&gt;"",OR(Recherche!$C$4="",A776=Recherche!$C$4),OR(Recherche!$C$5="",B776&amp;""=Recherche!$C$5&amp;""),OR(Recherche!$C$6="",IFERROR(YEAR(L776),0)=Recherche!$C$6),OR(Recherche!$C$7="",ISNUMBER(SEARCH(Recherche!$C$7,H776))),OR(Recherche!$C$8="",J776=Recherche!$C$8),OR(Recherche!$C$9="",I776=Recherche!$C$9),OR(Recherche!$C$10="",G776&amp;""=Recherche!$C$10&amp;""),OR(Recherche!$C$11="",E776=Recherche!$C$11),OR(Recherche!$C$12="",ISNUMBER(SEARCH(Recherche!$C$12,M776&amp;" "&amp;F776)))),1,0)</f>
        <v>8</v>
      </c>
    </row>
    <row r="777" customFormat="false" ht="15" hidden="false" customHeight="false" outlineLevel="0" collapsed="false">
      <c r="A777" s="19"/>
      <c r="B777" s="19"/>
      <c r="C777" s="19"/>
      <c r="D777" s="19"/>
      <c r="E777" s="22"/>
      <c r="F777" s="19"/>
      <c r="G777" s="26" t="str">
        <f aca="false">IF(D777="","",IFERROR(VALUE(LEFT(D777,FIND(" |",D777&amp;" |")-1)),"?"))</f>
        <v/>
      </c>
      <c r="H777" s="27" t="str">
        <f aca="false">IF(G777="","",IF(G777="?","⚠ pub inconnue",IFERROR(INDEX(Pubs!$B$2:$B$3001,MATCH(G777,Pubs!$A$2:$A$3001,0))&amp;"","⚠ pub inconnue")))</f>
        <v/>
      </c>
      <c r="I777" s="27" t="str">
        <f aca="false">IF(OR(G777="",G777="?"),"",IFERROR(INDEX(Pubs!$C$2:$C$3001,MATCH(G777,Pubs!$A$2:$A$3001,0))&amp;"",""))</f>
        <v/>
      </c>
      <c r="J777" s="27" t="str">
        <f aca="false">IF(OR(G777="",G777="?"),"",IFERROR(INDEX(Pubs!$G$2:$G$3001,MATCH(G777,Pubs!$A$2:$A$3001,0))&amp;"",""))</f>
        <v/>
      </c>
      <c r="K777" s="28" t="str">
        <f aca="false">IF(OR(G777="",G777="?"),"",IFERROR(INDEX(Pubs!$E$2:$E$3001,MATCH(G777,Pubs!$A$2:$A$3001,0)),""))</f>
        <v/>
      </c>
      <c r="L777" s="29" t="str">
        <f aca="false">IF(A777="","",IFERROR(1/(1/INDEX(Numéros!$C$2:$C$3001,MATCH(A777&amp;"|"&amp;B777,Numéros!$F$2:$F$3001,0))),""))</f>
        <v/>
      </c>
      <c r="M777" s="27" t="str">
        <f aca="false">IF(OR(G777="",G777="?"),"",IFERROR(INDEX(Pubs!$D$2:$D$3001,MATCH(G777,Pubs!$A$2:$A$3001,0))&amp;"",""))</f>
        <v/>
      </c>
      <c r="N777" s="27" t="n">
        <f aca="false">N(N776)+IF(AND(A777&lt;&gt;"",OR(Recherche!$C$4="",A777=Recherche!$C$4),OR(Recherche!$C$5="",B777&amp;""=Recherche!$C$5&amp;""),OR(Recherche!$C$6="",IFERROR(YEAR(L777),0)=Recherche!$C$6),OR(Recherche!$C$7="",ISNUMBER(SEARCH(Recherche!$C$7,H777))),OR(Recherche!$C$8="",J777=Recherche!$C$8),OR(Recherche!$C$9="",I777=Recherche!$C$9),OR(Recherche!$C$10="",G777&amp;""=Recherche!$C$10&amp;""),OR(Recherche!$C$11="",E777=Recherche!$C$11),OR(Recherche!$C$12="",ISNUMBER(SEARCH(Recherche!$C$12,M777&amp;" "&amp;F777)))),1,0)</f>
        <v>8</v>
      </c>
    </row>
    <row r="778" customFormat="false" ht="15" hidden="false" customHeight="false" outlineLevel="0" collapsed="false">
      <c r="A778" s="19"/>
      <c r="B778" s="19"/>
      <c r="C778" s="19"/>
      <c r="D778" s="19"/>
      <c r="E778" s="22"/>
      <c r="F778" s="19"/>
      <c r="G778" s="26" t="str">
        <f aca="false">IF(D778="","",IFERROR(VALUE(LEFT(D778,FIND(" |",D778&amp;" |")-1)),"?"))</f>
        <v/>
      </c>
      <c r="H778" s="27" t="str">
        <f aca="false">IF(G778="","",IF(G778="?","⚠ pub inconnue",IFERROR(INDEX(Pubs!$B$2:$B$3001,MATCH(G778,Pubs!$A$2:$A$3001,0))&amp;"","⚠ pub inconnue")))</f>
        <v/>
      </c>
      <c r="I778" s="27" t="str">
        <f aca="false">IF(OR(G778="",G778="?"),"",IFERROR(INDEX(Pubs!$C$2:$C$3001,MATCH(G778,Pubs!$A$2:$A$3001,0))&amp;"",""))</f>
        <v/>
      </c>
      <c r="J778" s="27" t="str">
        <f aca="false">IF(OR(G778="",G778="?"),"",IFERROR(INDEX(Pubs!$G$2:$G$3001,MATCH(G778,Pubs!$A$2:$A$3001,0))&amp;"",""))</f>
        <v/>
      </c>
      <c r="K778" s="28" t="str">
        <f aca="false">IF(OR(G778="",G778="?"),"",IFERROR(INDEX(Pubs!$E$2:$E$3001,MATCH(G778,Pubs!$A$2:$A$3001,0)),""))</f>
        <v/>
      </c>
      <c r="L778" s="29" t="str">
        <f aca="false">IF(A778="","",IFERROR(1/(1/INDEX(Numéros!$C$2:$C$3001,MATCH(A778&amp;"|"&amp;B778,Numéros!$F$2:$F$3001,0))),""))</f>
        <v/>
      </c>
      <c r="M778" s="27" t="str">
        <f aca="false">IF(OR(G778="",G778="?"),"",IFERROR(INDEX(Pubs!$D$2:$D$3001,MATCH(G778,Pubs!$A$2:$A$3001,0))&amp;"",""))</f>
        <v/>
      </c>
      <c r="N778" s="27" t="n">
        <f aca="false">N(N777)+IF(AND(A778&lt;&gt;"",OR(Recherche!$C$4="",A778=Recherche!$C$4),OR(Recherche!$C$5="",B778&amp;""=Recherche!$C$5&amp;""),OR(Recherche!$C$6="",IFERROR(YEAR(L778),0)=Recherche!$C$6),OR(Recherche!$C$7="",ISNUMBER(SEARCH(Recherche!$C$7,H778))),OR(Recherche!$C$8="",J778=Recherche!$C$8),OR(Recherche!$C$9="",I778=Recherche!$C$9),OR(Recherche!$C$10="",G778&amp;""=Recherche!$C$10&amp;""),OR(Recherche!$C$11="",E778=Recherche!$C$11),OR(Recherche!$C$12="",ISNUMBER(SEARCH(Recherche!$C$12,M778&amp;" "&amp;F778)))),1,0)</f>
        <v>8</v>
      </c>
    </row>
    <row r="779" customFormat="false" ht="15" hidden="false" customHeight="false" outlineLevel="0" collapsed="false">
      <c r="A779" s="19"/>
      <c r="B779" s="19"/>
      <c r="C779" s="19"/>
      <c r="D779" s="19"/>
      <c r="E779" s="22"/>
      <c r="F779" s="19"/>
      <c r="G779" s="26" t="str">
        <f aca="false">IF(D779="","",IFERROR(VALUE(LEFT(D779,FIND(" |",D779&amp;" |")-1)),"?"))</f>
        <v/>
      </c>
      <c r="H779" s="27" t="str">
        <f aca="false">IF(G779="","",IF(G779="?","⚠ pub inconnue",IFERROR(INDEX(Pubs!$B$2:$B$3001,MATCH(G779,Pubs!$A$2:$A$3001,0))&amp;"","⚠ pub inconnue")))</f>
        <v/>
      </c>
      <c r="I779" s="27" t="str">
        <f aca="false">IF(OR(G779="",G779="?"),"",IFERROR(INDEX(Pubs!$C$2:$C$3001,MATCH(G779,Pubs!$A$2:$A$3001,0))&amp;"",""))</f>
        <v/>
      </c>
      <c r="J779" s="27" t="str">
        <f aca="false">IF(OR(G779="",G779="?"),"",IFERROR(INDEX(Pubs!$G$2:$G$3001,MATCH(G779,Pubs!$A$2:$A$3001,0))&amp;"",""))</f>
        <v/>
      </c>
      <c r="K779" s="28" t="str">
        <f aca="false">IF(OR(G779="",G779="?"),"",IFERROR(INDEX(Pubs!$E$2:$E$3001,MATCH(G779,Pubs!$A$2:$A$3001,0)),""))</f>
        <v/>
      </c>
      <c r="L779" s="29" t="str">
        <f aca="false">IF(A779="","",IFERROR(1/(1/INDEX(Numéros!$C$2:$C$3001,MATCH(A779&amp;"|"&amp;B779,Numéros!$F$2:$F$3001,0))),""))</f>
        <v/>
      </c>
      <c r="M779" s="27" t="str">
        <f aca="false">IF(OR(G779="",G779="?"),"",IFERROR(INDEX(Pubs!$D$2:$D$3001,MATCH(G779,Pubs!$A$2:$A$3001,0))&amp;"",""))</f>
        <v/>
      </c>
      <c r="N779" s="27" t="n">
        <f aca="false">N(N778)+IF(AND(A779&lt;&gt;"",OR(Recherche!$C$4="",A779=Recherche!$C$4),OR(Recherche!$C$5="",B779&amp;""=Recherche!$C$5&amp;""),OR(Recherche!$C$6="",IFERROR(YEAR(L779),0)=Recherche!$C$6),OR(Recherche!$C$7="",ISNUMBER(SEARCH(Recherche!$C$7,H779))),OR(Recherche!$C$8="",J779=Recherche!$C$8),OR(Recherche!$C$9="",I779=Recherche!$C$9),OR(Recherche!$C$10="",G779&amp;""=Recherche!$C$10&amp;""),OR(Recherche!$C$11="",E779=Recherche!$C$11),OR(Recherche!$C$12="",ISNUMBER(SEARCH(Recherche!$C$12,M779&amp;" "&amp;F779)))),1,0)</f>
        <v>8</v>
      </c>
    </row>
    <row r="780" customFormat="false" ht="15" hidden="false" customHeight="false" outlineLevel="0" collapsed="false">
      <c r="A780" s="19"/>
      <c r="B780" s="19"/>
      <c r="C780" s="19"/>
      <c r="D780" s="19"/>
      <c r="E780" s="22"/>
      <c r="F780" s="19"/>
      <c r="G780" s="26" t="str">
        <f aca="false">IF(D780="","",IFERROR(VALUE(LEFT(D780,FIND(" |",D780&amp;" |")-1)),"?"))</f>
        <v/>
      </c>
      <c r="H780" s="27" t="str">
        <f aca="false">IF(G780="","",IF(G780="?","⚠ pub inconnue",IFERROR(INDEX(Pubs!$B$2:$B$3001,MATCH(G780,Pubs!$A$2:$A$3001,0))&amp;"","⚠ pub inconnue")))</f>
        <v/>
      </c>
      <c r="I780" s="27" t="str">
        <f aca="false">IF(OR(G780="",G780="?"),"",IFERROR(INDEX(Pubs!$C$2:$C$3001,MATCH(G780,Pubs!$A$2:$A$3001,0))&amp;"",""))</f>
        <v/>
      </c>
      <c r="J780" s="27" t="str">
        <f aca="false">IF(OR(G780="",G780="?"),"",IFERROR(INDEX(Pubs!$G$2:$G$3001,MATCH(G780,Pubs!$A$2:$A$3001,0))&amp;"",""))</f>
        <v/>
      </c>
      <c r="K780" s="28" t="str">
        <f aca="false">IF(OR(G780="",G780="?"),"",IFERROR(INDEX(Pubs!$E$2:$E$3001,MATCH(G780,Pubs!$A$2:$A$3001,0)),""))</f>
        <v/>
      </c>
      <c r="L780" s="29" t="str">
        <f aca="false">IF(A780="","",IFERROR(1/(1/INDEX(Numéros!$C$2:$C$3001,MATCH(A780&amp;"|"&amp;B780,Numéros!$F$2:$F$3001,0))),""))</f>
        <v/>
      </c>
      <c r="M780" s="27" t="str">
        <f aca="false">IF(OR(G780="",G780="?"),"",IFERROR(INDEX(Pubs!$D$2:$D$3001,MATCH(G780,Pubs!$A$2:$A$3001,0))&amp;"",""))</f>
        <v/>
      </c>
      <c r="N780" s="27" t="n">
        <f aca="false">N(N779)+IF(AND(A780&lt;&gt;"",OR(Recherche!$C$4="",A780=Recherche!$C$4),OR(Recherche!$C$5="",B780&amp;""=Recherche!$C$5&amp;""),OR(Recherche!$C$6="",IFERROR(YEAR(L780),0)=Recherche!$C$6),OR(Recherche!$C$7="",ISNUMBER(SEARCH(Recherche!$C$7,H780))),OR(Recherche!$C$8="",J780=Recherche!$C$8),OR(Recherche!$C$9="",I780=Recherche!$C$9),OR(Recherche!$C$10="",G780&amp;""=Recherche!$C$10&amp;""),OR(Recherche!$C$11="",E780=Recherche!$C$11),OR(Recherche!$C$12="",ISNUMBER(SEARCH(Recherche!$C$12,M780&amp;" "&amp;F780)))),1,0)</f>
        <v>8</v>
      </c>
    </row>
    <row r="781" customFormat="false" ht="15" hidden="false" customHeight="false" outlineLevel="0" collapsed="false">
      <c r="A781" s="19"/>
      <c r="B781" s="19"/>
      <c r="C781" s="19"/>
      <c r="D781" s="19"/>
      <c r="E781" s="22"/>
      <c r="F781" s="19"/>
      <c r="G781" s="26" t="str">
        <f aca="false">IF(D781="","",IFERROR(VALUE(LEFT(D781,FIND(" |",D781&amp;" |")-1)),"?"))</f>
        <v/>
      </c>
      <c r="H781" s="27" t="str">
        <f aca="false">IF(G781="","",IF(G781="?","⚠ pub inconnue",IFERROR(INDEX(Pubs!$B$2:$B$3001,MATCH(G781,Pubs!$A$2:$A$3001,0))&amp;"","⚠ pub inconnue")))</f>
        <v/>
      </c>
      <c r="I781" s="27" t="str">
        <f aca="false">IF(OR(G781="",G781="?"),"",IFERROR(INDEX(Pubs!$C$2:$C$3001,MATCH(G781,Pubs!$A$2:$A$3001,0))&amp;"",""))</f>
        <v/>
      </c>
      <c r="J781" s="27" t="str">
        <f aca="false">IF(OR(G781="",G781="?"),"",IFERROR(INDEX(Pubs!$G$2:$G$3001,MATCH(G781,Pubs!$A$2:$A$3001,0))&amp;"",""))</f>
        <v/>
      </c>
      <c r="K781" s="28" t="str">
        <f aca="false">IF(OR(G781="",G781="?"),"",IFERROR(INDEX(Pubs!$E$2:$E$3001,MATCH(G781,Pubs!$A$2:$A$3001,0)),""))</f>
        <v/>
      </c>
      <c r="L781" s="29" t="str">
        <f aca="false">IF(A781="","",IFERROR(1/(1/INDEX(Numéros!$C$2:$C$3001,MATCH(A781&amp;"|"&amp;B781,Numéros!$F$2:$F$3001,0))),""))</f>
        <v/>
      </c>
      <c r="M781" s="27" t="str">
        <f aca="false">IF(OR(G781="",G781="?"),"",IFERROR(INDEX(Pubs!$D$2:$D$3001,MATCH(G781,Pubs!$A$2:$A$3001,0))&amp;"",""))</f>
        <v/>
      </c>
      <c r="N781" s="27" t="n">
        <f aca="false">N(N780)+IF(AND(A781&lt;&gt;"",OR(Recherche!$C$4="",A781=Recherche!$C$4),OR(Recherche!$C$5="",B781&amp;""=Recherche!$C$5&amp;""),OR(Recherche!$C$6="",IFERROR(YEAR(L781),0)=Recherche!$C$6),OR(Recherche!$C$7="",ISNUMBER(SEARCH(Recherche!$C$7,H781))),OR(Recherche!$C$8="",J781=Recherche!$C$8),OR(Recherche!$C$9="",I781=Recherche!$C$9),OR(Recherche!$C$10="",G781&amp;""=Recherche!$C$10&amp;""),OR(Recherche!$C$11="",E781=Recherche!$C$11),OR(Recherche!$C$12="",ISNUMBER(SEARCH(Recherche!$C$12,M781&amp;" "&amp;F781)))),1,0)</f>
        <v>8</v>
      </c>
    </row>
    <row r="782" customFormat="false" ht="15" hidden="false" customHeight="false" outlineLevel="0" collapsed="false">
      <c r="A782" s="19"/>
      <c r="B782" s="19"/>
      <c r="C782" s="19"/>
      <c r="D782" s="19"/>
      <c r="E782" s="22"/>
      <c r="F782" s="19"/>
      <c r="G782" s="26" t="str">
        <f aca="false">IF(D782="","",IFERROR(VALUE(LEFT(D782,FIND(" |",D782&amp;" |")-1)),"?"))</f>
        <v/>
      </c>
      <c r="H782" s="27" t="str">
        <f aca="false">IF(G782="","",IF(G782="?","⚠ pub inconnue",IFERROR(INDEX(Pubs!$B$2:$B$3001,MATCH(G782,Pubs!$A$2:$A$3001,0))&amp;"","⚠ pub inconnue")))</f>
        <v/>
      </c>
      <c r="I782" s="27" t="str">
        <f aca="false">IF(OR(G782="",G782="?"),"",IFERROR(INDEX(Pubs!$C$2:$C$3001,MATCH(G782,Pubs!$A$2:$A$3001,0))&amp;"",""))</f>
        <v/>
      </c>
      <c r="J782" s="27" t="str">
        <f aca="false">IF(OR(G782="",G782="?"),"",IFERROR(INDEX(Pubs!$G$2:$G$3001,MATCH(G782,Pubs!$A$2:$A$3001,0))&amp;"",""))</f>
        <v/>
      </c>
      <c r="K782" s="28" t="str">
        <f aca="false">IF(OR(G782="",G782="?"),"",IFERROR(INDEX(Pubs!$E$2:$E$3001,MATCH(G782,Pubs!$A$2:$A$3001,0)),""))</f>
        <v/>
      </c>
      <c r="L782" s="29" t="str">
        <f aca="false">IF(A782="","",IFERROR(1/(1/INDEX(Numéros!$C$2:$C$3001,MATCH(A782&amp;"|"&amp;B782,Numéros!$F$2:$F$3001,0))),""))</f>
        <v/>
      </c>
      <c r="M782" s="27" t="str">
        <f aca="false">IF(OR(G782="",G782="?"),"",IFERROR(INDEX(Pubs!$D$2:$D$3001,MATCH(G782,Pubs!$A$2:$A$3001,0))&amp;"",""))</f>
        <v/>
      </c>
      <c r="N782" s="27" t="n">
        <f aca="false">N(N781)+IF(AND(A782&lt;&gt;"",OR(Recherche!$C$4="",A782=Recherche!$C$4),OR(Recherche!$C$5="",B782&amp;""=Recherche!$C$5&amp;""),OR(Recherche!$C$6="",IFERROR(YEAR(L782),0)=Recherche!$C$6),OR(Recherche!$C$7="",ISNUMBER(SEARCH(Recherche!$C$7,H782))),OR(Recherche!$C$8="",J782=Recherche!$C$8),OR(Recherche!$C$9="",I782=Recherche!$C$9),OR(Recherche!$C$10="",G782&amp;""=Recherche!$C$10&amp;""),OR(Recherche!$C$11="",E782=Recherche!$C$11),OR(Recherche!$C$12="",ISNUMBER(SEARCH(Recherche!$C$12,M782&amp;" "&amp;F782)))),1,0)</f>
        <v>8</v>
      </c>
    </row>
    <row r="783" customFormat="false" ht="15" hidden="false" customHeight="false" outlineLevel="0" collapsed="false">
      <c r="A783" s="19"/>
      <c r="B783" s="19"/>
      <c r="C783" s="19"/>
      <c r="D783" s="19"/>
      <c r="E783" s="22"/>
      <c r="F783" s="19"/>
      <c r="G783" s="26" t="str">
        <f aca="false">IF(D783="","",IFERROR(VALUE(LEFT(D783,FIND(" |",D783&amp;" |")-1)),"?"))</f>
        <v/>
      </c>
      <c r="H783" s="27" t="str">
        <f aca="false">IF(G783="","",IF(G783="?","⚠ pub inconnue",IFERROR(INDEX(Pubs!$B$2:$B$3001,MATCH(G783,Pubs!$A$2:$A$3001,0))&amp;"","⚠ pub inconnue")))</f>
        <v/>
      </c>
      <c r="I783" s="27" t="str">
        <f aca="false">IF(OR(G783="",G783="?"),"",IFERROR(INDEX(Pubs!$C$2:$C$3001,MATCH(G783,Pubs!$A$2:$A$3001,0))&amp;"",""))</f>
        <v/>
      </c>
      <c r="J783" s="27" t="str">
        <f aca="false">IF(OR(G783="",G783="?"),"",IFERROR(INDEX(Pubs!$G$2:$G$3001,MATCH(G783,Pubs!$A$2:$A$3001,0))&amp;"",""))</f>
        <v/>
      </c>
      <c r="K783" s="28" t="str">
        <f aca="false">IF(OR(G783="",G783="?"),"",IFERROR(INDEX(Pubs!$E$2:$E$3001,MATCH(G783,Pubs!$A$2:$A$3001,0)),""))</f>
        <v/>
      </c>
      <c r="L783" s="29" t="str">
        <f aca="false">IF(A783="","",IFERROR(1/(1/INDEX(Numéros!$C$2:$C$3001,MATCH(A783&amp;"|"&amp;B783,Numéros!$F$2:$F$3001,0))),""))</f>
        <v/>
      </c>
      <c r="M783" s="27" t="str">
        <f aca="false">IF(OR(G783="",G783="?"),"",IFERROR(INDEX(Pubs!$D$2:$D$3001,MATCH(G783,Pubs!$A$2:$A$3001,0))&amp;"",""))</f>
        <v/>
      </c>
      <c r="N783" s="27" t="n">
        <f aca="false">N(N782)+IF(AND(A783&lt;&gt;"",OR(Recherche!$C$4="",A783=Recherche!$C$4),OR(Recherche!$C$5="",B783&amp;""=Recherche!$C$5&amp;""),OR(Recherche!$C$6="",IFERROR(YEAR(L783),0)=Recherche!$C$6),OR(Recherche!$C$7="",ISNUMBER(SEARCH(Recherche!$C$7,H783))),OR(Recherche!$C$8="",J783=Recherche!$C$8),OR(Recherche!$C$9="",I783=Recherche!$C$9),OR(Recherche!$C$10="",G783&amp;""=Recherche!$C$10&amp;""),OR(Recherche!$C$11="",E783=Recherche!$C$11),OR(Recherche!$C$12="",ISNUMBER(SEARCH(Recherche!$C$12,M783&amp;" "&amp;F783)))),1,0)</f>
        <v>8</v>
      </c>
    </row>
    <row r="784" customFormat="false" ht="15" hidden="false" customHeight="false" outlineLevel="0" collapsed="false">
      <c r="A784" s="19"/>
      <c r="B784" s="19"/>
      <c r="C784" s="19"/>
      <c r="D784" s="19"/>
      <c r="E784" s="22"/>
      <c r="F784" s="19"/>
      <c r="G784" s="26" t="str">
        <f aca="false">IF(D784="","",IFERROR(VALUE(LEFT(D784,FIND(" |",D784&amp;" |")-1)),"?"))</f>
        <v/>
      </c>
      <c r="H784" s="27" t="str">
        <f aca="false">IF(G784="","",IF(G784="?","⚠ pub inconnue",IFERROR(INDEX(Pubs!$B$2:$B$3001,MATCH(G784,Pubs!$A$2:$A$3001,0))&amp;"","⚠ pub inconnue")))</f>
        <v/>
      </c>
      <c r="I784" s="27" t="str">
        <f aca="false">IF(OR(G784="",G784="?"),"",IFERROR(INDEX(Pubs!$C$2:$C$3001,MATCH(G784,Pubs!$A$2:$A$3001,0))&amp;"",""))</f>
        <v/>
      </c>
      <c r="J784" s="27" t="str">
        <f aca="false">IF(OR(G784="",G784="?"),"",IFERROR(INDEX(Pubs!$G$2:$G$3001,MATCH(G784,Pubs!$A$2:$A$3001,0))&amp;"",""))</f>
        <v/>
      </c>
      <c r="K784" s="28" t="str">
        <f aca="false">IF(OR(G784="",G784="?"),"",IFERROR(INDEX(Pubs!$E$2:$E$3001,MATCH(G784,Pubs!$A$2:$A$3001,0)),""))</f>
        <v/>
      </c>
      <c r="L784" s="29" t="str">
        <f aca="false">IF(A784="","",IFERROR(1/(1/INDEX(Numéros!$C$2:$C$3001,MATCH(A784&amp;"|"&amp;B784,Numéros!$F$2:$F$3001,0))),""))</f>
        <v/>
      </c>
      <c r="M784" s="27" t="str">
        <f aca="false">IF(OR(G784="",G784="?"),"",IFERROR(INDEX(Pubs!$D$2:$D$3001,MATCH(G784,Pubs!$A$2:$A$3001,0))&amp;"",""))</f>
        <v/>
      </c>
      <c r="N784" s="27" t="n">
        <f aca="false">N(N783)+IF(AND(A784&lt;&gt;"",OR(Recherche!$C$4="",A784=Recherche!$C$4),OR(Recherche!$C$5="",B784&amp;""=Recherche!$C$5&amp;""),OR(Recherche!$C$6="",IFERROR(YEAR(L784),0)=Recherche!$C$6),OR(Recherche!$C$7="",ISNUMBER(SEARCH(Recherche!$C$7,H784))),OR(Recherche!$C$8="",J784=Recherche!$C$8),OR(Recherche!$C$9="",I784=Recherche!$C$9),OR(Recherche!$C$10="",G784&amp;""=Recherche!$C$10&amp;""),OR(Recherche!$C$11="",E784=Recherche!$C$11),OR(Recherche!$C$12="",ISNUMBER(SEARCH(Recherche!$C$12,M784&amp;" "&amp;F784)))),1,0)</f>
        <v>8</v>
      </c>
    </row>
    <row r="785" customFormat="false" ht="15" hidden="false" customHeight="false" outlineLevel="0" collapsed="false">
      <c r="A785" s="19"/>
      <c r="B785" s="19"/>
      <c r="C785" s="19"/>
      <c r="D785" s="19"/>
      <c r="E785" s="22"/>
      <c r="F785" s="19"/>
      <c r="G785" s="26" t="str">
        <f aca="false">IF(D785="","",IFERROR(VALUE(LEFT(D785,FIND(" |",D785&amp;" |")-1)),"?"))</f>
        <v/>
      </c>
      <c r="H785" s="27" t="str">
        <f aca="false">IF(G785="","",IF(G785="?","⚠ pub inconnue",IFERROR(INDEX(Pubs!$B$2:$B$3001,MATCH(G785,Pubs!$A$2:$A$3001,0))&amp;"","⚠ pub inconnue")))</f>
        <v/>
      </c>
      <c r="I785" s="27" t="str">
        <f aca="false">IF(OR(G785="",G785="?"),"",IFERROR(INDEX(Pubs!$C$2:$C$3001,MATCH(G785,Pubs!$A$2:$A$3001,0))&amp;"",""))</f>
        <v/>
      </c>
      <c r="J785" s="27" t="str">
        <f aca="false">IF(OR(G785="",G785="?"),"",IFERROR(INDEX(Pubs!$G$2:$G$3001,MATCH(G785,Pubs!$A$2:$A$3001,0))&amp;"",""))</f>
        <v/>
      </c>
      <c r="K785" s="28" t="str">
        <f aca="false">IF(OR(G785="",G785="?"),"",IFERROR(INDEX(Pubs!$E$2:$E$3001,MATCH(G785,Pubs!$A$2:$A$3001,0)),""))</f>
        <v/>
      </c>
      <c r="L785" s="29" t="str">
        <f aca="false">IF(A785="","",IFERROR(1/(1/INDEX(Numéros!$C$2:$C$3001,MATCH(A785&amp;"|"&amp;B785,Numéros!$F$2:$F$3001,0))),""))</f>
        <v/>
      </c>
      <c r="M785" s="27" t="str">
        <f aca="false">IF(OR(G785="",G785="?"),"",IFERROR(INDEX(Pubs!$D$2:$D$3001,MATCH(G785,Pubs!$A$2:$A$3001,0))&amp;"",""))</f>
        <v/>
      </c>
      <c r="N785" s="27" t="n">
        <f aca="false">N(N784)+IF(AND(A785&lt;&gt;"",OR(Recherche!$C$4="",A785=Recherche!$C$4),OR(Recherche!$C$5="",B785&amp;""=Recherche!$C$5&amp;""),OR(Recherche!$C$6="",IFERROR(YEAR(L785),0)=Recherche!$C$6),OR(Recherche!$C$7="",ISNUMBER(SEARCH(Recherche!$C$7,H785))),OR(Recherche!$C$8="",J785=Recherche!$C$8),OR(Recherche!$C$9="",I785=Recherche!$C$9),OR(Recherche!$C$10="",G785&amp;""=Recherche!$C$10&amp;""),OR(Recherche!$C$11="",E785=Recherche!$C$11),OR(Recherche!$C$12="",ISNUMBER(SEARCH(Recherche!$C$12,M785&amp;" "&amp;F785)))),1,0)</f>
        <v>8</v>
      </c>
    </row>
    <row r="786" customFormat="false" ht="15" hidden="false" customHeight="false" outlineLevel="0" collapsed="false">
      <c r="A786" s="19"/>
      <c r="B786" s="19"/>
      <c r="C786" s="19"/>
      <c r="D786" s="19"/>
      <c r="E786" s="22"/>
      <c r="F786" s="19"/>
      <c r="G786" s="26" t="str">
        <f aca="false">IF(D786="","",IFERROR(VALUE(LEFT(D786,FIND(" |",D786&amp;" |")-1)),"?"))</f>
        <v/>
      </c>
      <c r="H786" s="27" t="str">
        <f aca="false">IF(G786="","",IF(G786="?","⚠ pub inconnue",IFERROR(INDEX(Pubs!$B$2:$B$3001,MATCH(G786,Pubs!$A$2:$A$3001,0))&amp;"","⚠ pub inconnue")))</f>
        <v/>
      </c>
      <c r="I786" s="27" t="str">
        <f aca="false">IF(OR(G786="",G786="?"),"",IFERROR(INDEX(Pubs!$C$2:$C$3001,MATCH(G786,Pubs!$A$2:$A$3001,0))&amp;"",""))</f>
        <v/>
      </c>
      <c r="J786" s="27" t="str">
        <f aca="false">IF(OR(G786="",G786="?"),"",IFERROR(INDEX(Pubs!$G$2:$G$3001,MATCH(G786,Pubs!$A$2:$A$3001,0))&amp;"",""))</f>
        <v/>
      </c>
      <c r="K786" s="28" t="str">
        <f aca="false">IF(OR(G786="",G786="?"),"",IFERROR(INDEX(Pubs!$E$2:$E$3001,MATCH(G786,Pubs!$A$2:$A$3001,0)),""))</f>
        <v/>
      </c>
      <c r="L786" s="29" t="str">
        <f aca="false">IF(A786="","",IFERROR(1/(1/INDEX(Numéros!$C$2:$C$3001,MATCH(A786&amp;"|"&amp;B786,Numéros!$F$2:$F$3001,0))),""))</f>
        <v/>
      </c>
      <c r="M786" s="27" t="str">
        <f aca="false">IF(OR(G786="",G786="?"),"",IFERROR(INDEX(Pubs!$D$2:$D$3001,MATCH(G786,Pubs!$A$2:$A$3001,0))&amp;"",""))</f>
        <v/>
      </c>
      <c r="N786" s="27" t="n">
        <f aca="false">N(N785)+IF(AND(A786&lt;&gt;"",OR(Recherche!$C$4="",A786=Recherche!$C$4),OR(Recherche!$C$5="",B786&amp;""=Recherche!$C$5&amp;""),OR(Recherche!$C$6="",IFERROR(YEAR(L786),0)=Recherche!$C$6),OR(Recherche!$C$7="",ISNUMBER(SEARCH(Recherche!$C$7,H786))),OR(Recherche!$C$8="",J786=Recherche!$C$8),OR(Recherche!$C$9="",I786=Recherche!$C$9),OR(Recherche!$C$10="",G786&amp;""=Recherche!$C$10&amp;""),OR(Recherche!$C$11="",E786=Recherche!$C$11),OR(Recherche!$C$12="",ISNUMBER(SEARCH(Recherche!$C$12,M786&amp;" "&amp;F786)))),1,0)</f>
        <v>8</v>
      </c>
    </row>
    <row r="787" customFormat="false" ht="15" hidden="false" customHeight="false" outlineLevel="0" collapsed="false">
      <c r="A787" s="19"/>
      <c r="B787" s="19"/>
      <c r="C787" s="19"/>
      <c r="D787" s="19"/>
      <c r="E787" s="22"/>
      <c r="F787" s="19"/>
      <c r="G787" s="26" t="str">
        <f aca="false">IF(D787="","",IFERROR(VALUE(LEFT(D787,FIND(" |",D787&amp;" |")-1)),"?"))</f>
        <v/>
      </c>
      <c r="H787" s="27" t="str">
        <f aca="false">IF(G787="","",IF(G787="?","⚠ pub inconnue",IFERROR(INDEX(Pubs!$B$2:$B$3001,MATCH(G787,Pubs!$A$2:$A$3001,0))&amp;"","⚠ pub inconnue")))</f>
        <v/>
      </c>
      <c r="I787" s="27" t="str">
        <f aca="false">IF(OR(G787="",G787="?"),"",IFERROR(INDEX(Pubs!$C$2:$C$3001,MATCH(G787,Pubs!$A$2:$A$3001,0))&amp;"",""))</f>
        <v/>
      </c>
      <c r="J787" s="27" t="str">
        <f aca="false">IF(OR(G787="",G787="?"),"",IFERROR(INDEX(Pubs!$G$2:$G$3001,MATCH(G787,Pubs!$A$2:$A$3001,0))&amp;"",""))</f>
        <v/>
      </c>
      <c r="K787" s="28" t="str">
        <f aca="false">IF(OR(G787="",G787="?"),"",IFERROR(INDEX(Pubs!$E$2:$E$3001,MATCH(G787,Pubs!$A$2:$A$3001,0)),""))</f>
        <v/>
      </c>
      <c r="L787" s="29" t="str">
        <f aca="false">IF(A787="","",IFERROR(1/(1/INDEX(Numéros!$C$2:$C$3001,MATCH(A787&amp;"|"&amp;B787,Numéros!$F$2:$F$3001,0))),""))</f>
        <v/>
      </c>
      <c r="M787" s="27" t="str">
        <f aca="false">IF(OR(G787="",G787="?"),"",IFERROR(INDEX(Pubs!$D$2:$D$3001,MATCH(G787,Pubs!$A$2:$A$3001,0))&amp;"",""))</f>
        <v/>
      </c>
      <c r="N787" s="27" t="n">
        <f aca="false">N(N786)+IF(AND(A787&lt;&gt;"",OR(Recherche!$C$4="",A787=Recherche!$C$4),OR(Recherche!$C$5="",B787&amp;""=Recherche!$C$5&amp;""),OR(Recherche!$C$6="",IFERROR(YEAR(L787),0)=Recherche!$C$6),OR(Recherche!$C$7="",ISNUMBER(SEARCH(Recherche!$C$7,H787))),OR(Recherche!$C$8="",J787=Recherche!$C$8),OR(Recherche!$C$9="",I787=Recherche!$C$9),OR(Recherche!$C$10="",G787&amp;""=Recherche!$C$10&amp;""),OR(Recherche!$C$11="",E787=Recherche!$C$11),OR(Recherche!$C$12="",ISNUMBER(SEARCH(Recherche!$C$12,M787&amp;" "&amp;F787)))),1,0)</f>
        <v>8</v>
      </c>
    </row>
    <row r="788" customFormat="false" ht="15" hidden="false" customHeight="false" outlineLevel="0" collapsed="false">
      <c r="A788" s="19"/>
      <c r="B788" s="19"/>
      <c r="C788" s="19"/>
      <c r="D788" s="19"/>
      <c r="E788" s="22"/>
      <c r="F788" s="19"/>
      <c r="G788" s="26" t="str">
        <f aca="false">IF(D788="","",IFERROR(VALUE(LEFT(D788,FIND(" |",D788&amp;" |")-1)),"?"))</f>
        <v/>
      </c>
      <c r="H788" s="27" t="str">
        <f aca="false">IF(G788="","",IF(G788="?","⚠ pub inconnue",IFERROR(INDEX(Pubs!$B$2:$B$3001,MATCH(G788,Pubs!$A$2:$A$3001,0))&amp;"","⚠ pub inconnue")))</f>
        <v/>
      </c>
      <c r="I788" s="27" t="str">
        <f aca="false">IF(OR(G788="",G788="?"),"",IFERROR(INDEX(Pubs!$C$2:$C$3001,MATCH(G788,Pubs!$A$2:$A$3001,0))&amp;"",""))</f>
        <v/>
      </c>
      <c r="J788" s="27" t="str">
        <f aca="false">IF(OR(G788="",G788="?"),"",IFERROR(INDEX(Pubs!$G$2:$G$3001,MATCH(G788,Pubs!$A$2:$A$3001,0))&amp;"",""))</f>
        <v/>
      </c>
      <c r="K788" s="28" t="str">
        <f aca="false">IF(OR(G788="",G788="?"),"",IFERROR(INDEX(Pubs!$E$2:$E$3001,MATCH(G788,Pubs!$A$2:$A$3001,0)),""))</f>
        <v/>
      </c>
      <c r="L788" s="29" t="str">
        <f aca="false">IF(A788="","",IFERROR(1/(1/INDEX(Numéros!$C$2:$C$3001,MATCH(A788&amp;"|"&amp;B788,Numéros!$F$2:$F$3001,0))),""))</f>
        <v/>
      </c>
      <c r="M788" s="27" t="str">
        <f aca="false">IF(OR(G788="",G788="?"),"",IFERROR(INDEX(Pubs!$D$2:$D$3001,MATCH(G788,Pubs!$A$2:$A$3001,0))&amp;"",""))</f>
        <v/>
      </c>
      <c r="N788" s="27" t="n">
        <f aca="false">N(N787)+IF(AND(A788&lt;&gt;"",OR(Recherche!$C$4="",A788=Recherche!$C$4),OR(Recherche!$C$5="",B788&amp;""=Recherche!$C$5&amp;""),OR(Recherche!$C$6="",IFERROR(YEAR(L788),0)=Recherche!$C$6),OR(Recherche!$C$7="",ISNUMBER(SEARCH(Recherche!$C$7,H788))),OR(Recherche!$C$8="",J788=Recherche!$C$8),OR(Recherche!$C$9="",I788=Recherche!$C$9),OR(Recherche!$C$10="",G788&amp;""=Recherche!$C$10&amp;""),OR(Recherche!$C$11="",E788=Recherche!$C$11),OR(Recherche!$C$12="",ISNUMBER(SEARCH(Recherche!$C$12,M788&amp;" "&amp;F788)))),1,0)</f>
        <v>8</v>
      </c>
    </row>
    <row r="789" customFormat="false" ht="15" hidden="false" customHeight="false" outlineLevel="0" collapsed="false">
      <c r="A789" s="19"/>
      <c r="B789" s="19"/>
      <c r="C789" s="19"/>
      <c r="D789" s="19"/>
      <c r="E789" s="22"/>
      <c r="F789" s="19"/>
      <c r="G789" s="26" t="str">
        <f aca="false">IF(D789="","",IFERROR(VALUE(LEFT(D789,FIND(" |",D789&amp;" |")-1)),"?"))</f>
        <v/>
      </c>
      <c r="H789" s="27" t="str">
        <f aca="false">IF(G789="","",IF(G789="?","⚠ pub inconnue",IFERROR(INDEX(Pubs!$B$2:$B$3001,MATCH(G789,Pubs!$A$2:$A$3001,0))&amp;"","⚠ pub inconnue")))</f>
        <v/>
      </c>
      <c r="I789" s="27" t="str">
        <f aca="false">IF(OR(G789="",G789="?"),"",IFERROR(INDEX(Pubs!$C$2:$C$3001,MATCH(G789,Pubs!$A$2:$A$3001,0))&amp;"",""))</f>
        <v/>
      </c>
      <c r="J789" s="27" t="str">
        <f aca="false">IF(OR(G789="",G789="?"),"",IFERROR(INDEX(Pubs!$G$2:$G$3001,MATCH(G789,Pubs!$A$2:$A$3001,0))&amp;"",""))</f>
        <v/>
      </c>
      <c r="K789" s="28" t="str">
        <f aca="false">IF(OR(G789="",G789="?"),"",IFERROR(INDEX(Pubs!$E$2:$E$3001,MATCH(G789,Pubs!$A$2:$A$3001,0)),""))</f>
        <v/>
      </c>
      <c r="L789" s="29" t="str">
        <f aca="false">IF(A789="","",IFERROR(1/(1/INDEX(Numéros!$C$2:$C$3001,MATCH(A789&amp;"|"&amp;B789,Numéros!$F$2:$F$3001,0))),""))</f>
        <v/>
      </c>
      <c r="M789" s="27" t="str">
        <f aca="false">IF(OR(G789="",G789="?"),"",IFERROR(INDEX(Pubs!$D$2:$D$3001,MATCH(G789,Pubs!$A$2:$A$3001,0))&amp;"",""))</f>
        <v/>
      </c>
      <c r="N789" s="27" t="n">
        <f aca="false">N(N788)+IF(AND(A789&lt;&gt;"",OR(Recherche!$C$4="",A789=Recherche!$C$4),OR(Recherche!$C$5="",B789&amp;""=Recherche!$C$5&amp;""),OR(Recherche!$C$6="",IFERROR(YEAR(L789),0)=Recherche!$C$6),OR(Recherche!$C$7="",ISNUMBER(SEARCH(Recherche!$C$7,H789))),OR(Recherche!$C$8="",J789=Recherche!$C$8),OR(Recherche!$C$9="",I789=Recherche!$C$9),OR(Recherche!$C$10="",G789&amp;""=Recherche!$C$10&amp;""),OR(Recherche!$C$11="",E789=Recherche!$C$11),OR(Recherche!$C$12="",ISNUMBER(SEARCH(Recherche!$C$12,M789&amp;" "&amp;F789)))),1,0)</f>
        <v>8</v>
      </c>
    </row>
    <row r="790" customFormat="false" ht="15" hidden="false" customHeight="false" outlineLevel="0" collapsed="false">
      <c r="A790" s="19"/>
      <c r="B790" s="19"/>
      <c r="C790" s="19"/>
      <c r="D790" s="19"/>
      <c r="E790" s="22"/>
      <c r="F790" s="19"/>
      <c r="G790" s="26" t="str">
        <f aca="false">IF(D790="","",IFERROR(VALUE(LEFT(D790,FIND(" |",D790&amp;" |")-1)),"?"))</f>
        <v/>
      </c>
      <c r="H790" s="27" t="str">
        <f aca="false">IF(G790="","",IF(G790="?","⚠ pub inconnue",IFERROR(INDEX(Pubs!$B$2:$B$3001,MATCH(G790,Pubs!$A$2:$A$3001,0))&amp;"","⚠ pub inconnue")))</f>
        <v/>
      </c>
      <c r="I790" s="27" t="str">
        <f aca="false">IF(OR(G790="",G790="?"),"",IFERROR(INDEX(Pubs!$C$2:$C$3001,MATCH(G790,Pubs!$A$2:$A$3001,0))&amp;"",""))</f>
        <v/>
      </c>
      <c r="J790" s="27" t="str">
        <f aca="false">IF(OR(G790="",G790="?"),"",IFERROR(INDEX(Pubs!$G$2:$G$3001,MATCH(G790,Pubs!$A$2:$A$3001,0))&amp;"",""))</f>
        <v/>
      </c>
      <c r="K790" s="28" t="str">
        <f aca="false">IF(OR(G790="",G790="?"),"",IFERROR(INDEX(Pubs!$E$2:$E$3001,MATCH(G790,Pubs!$A$2:$A$3001,0)),""))</f>
        <v/>
      </c>
      <c r="L790" s="29" t="str">
        <f aca="false">IF(A790="","",IFERROR(1/(1/INDEX(Numéros!$C$2:$C$3001,MATCH(A790&amp;"|"&amp;B790,Numéros!$F$2:$F$3001,0))),""))</f>
        <v/>
      </c>
      <c r="M790" s="27" t="str">
        <f aca="false">IF(OR(G790="",G790="?"),"",IFERROR(INDEX(Pubs!$D$2:$D$3001,MATCH(G790,Pubs!$A$2:$A$3001,0))&amp;"",""))</f>
        <v/>
      </c>
      <c r="N790" s="27" t="n">
        <f aca="false">N(N789)+IF(AND(A790&lt;&gt;"",OR(Recherche!$C$4="",A790=Recherche!$C$4),OR(Recherche!$C$5="",B790&amp;""=Recherche!$C$5&amp;""),OR(Recherche!$C$6="",IFERROR(YEAR(L790),0)=Recherche!$C$6),OR(Recherche!$C$7="",ISNUMBER(SEARCH(Recherche!$C$7,H790))),OR(Recherche!$C$8="",J790=Recherche!$C$8),OR(Recherche!$C$9="",I790=Recherche!$C$9),OR(Recherche!$C$10="",G790&amp;""=Recherche!$C$10&amp;""),OR(Recherche!$C$11="",E790=Recherche!$C$11),OR(Recherche!$C$12="",ISNUMBER(SEARCH(Recherche!$C$12,M790&amp;" "&amp;F790)))),1,0)</f>
        <v>8</v>
      </c>
    </row>
    <row r="791" customFormat="false" ht="15" hidden="false" customHeight="false" outlineLevel="0" collapsed="false">
      <c r="A791" s="19"/>
      <c r="B791" s="19"/>
      <c r="C791" s="19"/>
      <c r="D791" s="19"/>
      <c r="E791" s="22"/>
      <c r="F791" s="19"/>
      <c r="G791" s="26" t="str">
        <f aca="false">IF(D791="","",IFERROR(VALUE(LEFT(D791,FIND(" |",D791&amp;" |")-1)),"?"))</f>
        <v/>
      </c>
      <c r="H791" s="27" t="str">
        <f aca="false">IF(G791="","",IF(G791="?","⚠ pub inconnue",IFERROR(INDEX(Pubs!$B$2:$B$3001,MATCH(G791,Pubs!$A$2:$A$3001,0))&amp;"","⚠ pub inconnue")))</f>
        <v/>
      </c>
      <c r="I791" s="27" t="str">
        <f aca="false">IF(OR(G791="",G791="?"),"",IFERROR(INDEX(Pubs!$C$2:$C$3001,MATCH(G791,Pubs!$A$2:$A$3001,0))&amp;"",""))</f>
        <v/>
      </c>
      <c r="J791" s="27" t="str">
        <f aca="false">IF(OR(G791="",G791="?"),"",IFERROR(INDEX(Pubs!$G$2:$G$3001,MATCH(G791,Pubs!$A$2:$A$3001,0))&amp;"",""))</f>
        <v/>
      </c>
      <c r="K791" s="28" t="str">
        <f aca="false">IF(OR(G791="",G791="?"),"",IFERROR(INDEX(Pubs!$E$2:$E$3001,MATCH(G791,Pubs!$A$2:$A$3001,0)),""))</f>
        <v/>
      </c>
      <c r="L791" s="29" t="str">
        <f aca="false">IF(A791="","",IFERROR(1/(1/INDEX(Numéros!$C$2:$C$3001,MATCH(A791&amp;"|"&amp;B791,Numéros!$F$2:$F$3001,0))),""))</f>
        <v/>
      </c>
      <c r="M791" s="27" t="str">
        <f aca="false">IF(OR(G791="",G791="?"),"",IFERROR(INDEX(Pubs!$D$2:$D$3001,MATCH(G791,Pubs!$A$2:$A$3001,0))&amp;"",""))</f>
        <v/>
      </c>
      <c r="N791" s="27" t="n">
        <f aca="false">N(N790)+IF(AND(A791&lt;&gt;"",OR(Recherche!$C$4="",A791=Recherche!$C$4),OR(Recherche!$C$5="",B791&amp;""=Recherche!$C$5&amp;""),OR(Recherche!$C$6="",IFERROR(YEAR(L791),0)=Recherche!$C$6),OR(Recherche!$C$7="",ISNUMBER(SEARCH(Recherche!$C$7,H791))),OR(Recherche!$C$8="",J791=Recherche!$C$8),OR(Recherche!$C$9="",I791=Recherche!$C$9),OR(Recherche!$C$10="",G791&amp;""=Recherche!$C$10&amp;""),OR(Recherche!$C$11="",E791=Recherche!$C$11),OR(Recherche!$C$12="",ISNUMBER(SEARCH(Recherche!$C$12,M791&amp;" "&amp;F791)))),1,0)</f>
        <v>8</v>
      </c>
    </row>
    <row r="792" customFormat="false" ht="15" hidden="false" customHeight="false" outlineLevel="0" collapsed="false">
      <c r="A792" s="19"/>
      <c r="B792" s="19"/>
      <c r="C792" s="19"/>
      <c r="D792" s="19"/>
      <c r="E792" s="22"/>
      <c r="F792" s="19"/>
      <c r="G792" s="26" t="str">
        <f aca="false">IF(D792="","",IFERROR(VALUE(LEFT(D792,FIND(" |",D792&amp;" |")-1)),"?"))</f>
        <v/>
      </c>
      <c r="H792" s="27" t="str">
        <f aca="false">IF(G792="","",IF(G792="?","⚠ pub inconnue",IFERROR(INDEX(Pubs!$B$2:$B$3001,MATCH(G792,Pubs!$A$2:$A$3001,0))&amp;"","⚠ pub inconnue")))</f>
        <v/>
      </c>
      <c r="I792" s="27" t="str">
        <f aca="false">IF(OR(G792="",G792="?"),"",IFERROR(INDEX(Pubs!$C$2:$C$3001,MATCH(G792,Pubs!$A$2:$A$3001,0))&amp;"",""))</f>
        <v/>
      </c>
      <c r="J792" s="27" t="str">
        <f aca="false">IF(OR(G792="",G792="?"),"",IFERROR(INDEX(Pubs!$G$2:$G$3001,MATCH(G792,Pubs!$A$2:$A$3001,0))&amp;"",""))</f>
        <v/>
      </c>
      <c r="K792" s="28" t="str">
        <f aca="false">IF(OR(G792="",G792="?"),"",IFERROR(INDEX(Pubs!$E$2:$E$3001,MATCH(G792,Pubs!$A$2:$A$3001,0)),""))</f>
        <v/>
      </c>
      <c r="L792" s="29" t="str">
        <f aca="false">IF(A792="","",IFERROR(1/(1/INDEX(Numéros!$C$2:$C$3001,MATCH(A792&amp;"|"&amp;B792,Numéros!$F$2:$F$3001,0))),""))</f>
        <v/>
      </c>
      <c r="M792" s="27" t="str">
        <f aca="false">IF(OR(G792="",G792="?"),"",IFERROR(INDEX(Pubs!$D$2:$D$3001,MATCH(G792,Pubs!$A$2:$A$3001,0))&amp;"",""))</f>
        <v/>
      </c>
      <c r="N792" s="27" t="n">
        <f aca="false">N(N791)+IF(AND(A792&lt;&gt;"",OR(Recherche!$C$4="",A792=Recherche!$C$4),OR(Recherche!$C$5="",B792&amp;""=Recherche!$C$5&amp;""),OR(Recherche!$C$6="",IFERROR(YEAR(L792),0)=Recherche!$C$6),OR(Recherche!$C$7="",ISNUMBER(SEARCH(Recherche!$C$7,H792))),OR(Recherche!$C$8="",J792=Recherche!$C$8),OR(Recherche!$C$9="",I792=Recherche!$C$9),OR(Recherche!$C$10="",G792&amp;""=Recherche!$C$10&amp;""),OR(Recherche!$C$11="",E792=Recherche!$C$11),OR(Recherche!$C$12="",ISNUMBER(SEARCH(Recherche!$C$12,M792&amp;" "&amp;F792)))),1,0)</f>
        <v>8</v>
      </c>
    </row>
    <row r="793" customFormat="false" ht="15" hidden="false" customHeight="false" outlineLevel="0" collapsed="false">
      <c r="A793" s="19"/>
      <c r="B793" s="19"/>
      <c r="C793" s="19"/>
      <c r="D793" s="19"/>
      <c r="E793" s="22"/>
      <c r="F793" s="19"/>
      <c r="G793" s="26" t="str">
        <f aca="false">IF(D793="","",IFERROR(VALUE(LEFT(D793,FIND(" |",D793&amp;" |")-1)),"?"))</f>
        <v/>
      </c>
      <c r="H793" s="27" t="str">
        <f aca="false">IF(G793="","",IF(G793="?","⚠ pub inconnue",IFERROR(INDEX(Pubs!$B$2:$B$3001,MATCH(G793,Pubs!$A$2:$A$3001,0))&amp;"","⚠ pub inconnue")))</f>
        <v/>
      </c>
      <c r="I793" s="27" t="str">
        <f aca="false">IF(OR(G793="",G793="?"),"",IFERROR(INDEX(Pubs!$C$2:$C$3001,MATCH(G793,Pubs!$A$2:$A$3001,0))&amp;"",""))</f>
        <v/>
      </c>
      <c r="J793" s="27" t="str">
        <f aca="false">IF(OR(G793="",G793="?"),"",IFERROR(INDEX(Pubs!$G$2:$G$3001,MATCH(G793,Pubs!$A$2:$A$3001,0))&amp;"",""))</f>
        <v/>
      </c>
      <c r="K793" s="28" t="str">
        <f aca="false">IF(OR(G793="",G793="?"),"",IFERROR(INDEX(Pubs!$E$2:$E$3001,MATCH(G793,Pubs!$A$2:$A$3001,0)),""))</f>
        <v/>
      </c>
      <c r="L793" s="29" t="str">
        <f aca="false">IF(A793="","",IFERROR(1/(1/INDEX(Numéros!$C$2:$C$3001,MATCH(A793&amp;"|"&amp;B793,Numéros!$F$2:$F$3001,0))),""))</f>
        <v/>
      </c>
      <c r="M793" s="27" t="str">
        <f aca="false">IF(OR(G793="",G793="?"),"",IFERROR(INDEX(Pubs!$D$2:$D$3001,MATCH(G793,Pubs!$A$2:$A$3001,0))&amp;"",""))</f>
        <v/>
      </c>
      <c r="N793" s="27" t="n">
        <f aca="false">N(N792)+IF(AND(A793&lt;&gt;"",OR(Recherche!$C$4="",A793=Recherche!$C$4),OR(Recherche!$C$5="",B793&amp;""=Recherche!$C$5&amp;""),OR(Recherche!$C$6="",IFERROR(YEAR(L793),0)=Recherche!$C$6),OR(Recherche!$C$7="",ISNUMBER(SEARCH(Recherche!$C$7,H793))),OR(Recherche!$C$8="",J793=Recherche!$C$8),OR(Recherche!$C$9="",I793=Recherche!$C$9),OR(Recherche!$C$10="",G793&amp;""=Recherche!$C$10&amp;""),OR(Recherche!$C$11="",E793=Recherche!$C$11),OR(Recherche!$C$12="",ISNUMBER(SEARCH(Recherche!$C$12,M793&amp;" "&amp;F793)))),1,0)</f>
        <v>8</v>
      </c>
    </row>
    <row r="794" customFormat="false" ht="15" hidden="false" customHeight="false" outlineLevel="0" collapsed="false">
      <c r="A794" s="19"/>
      <c r="B794" s="19"/>
      <c r="C794" s="19"/>
      <c r="D794" s="19"/>
      <c r="E794" s="22"/>
      <c r="F794" s="19"/>
      <c r="G794" s="26" t="str">
        <f aca="false">IF(D794="","",IFERROR(VALUE(LEFT(D794,FIND(" |",D794&amp;" |")-1)),"?"))</f>
        <v/>
      </c>
      <c r="H794" s="27" t="str">
        <f aca="false">IF(G794="","",IF(G794="?","⚠ pub inconnue",IFERROR(INDEX(Pubs!$B$2:$B$3001,MATCH(G794,Pubs!$A$2:$A$3001,0))&amp;"","⚠ pub inconnue")))</f>
        <v/>
      </c>
      <c r="I794" s="27" t="str">
        <f aca="false">IF(OR(G794="",G794="?"),"",IFERROR(INDEX(Pubs!$C$2:$C$3001,MATCH(G794,Pubs!$A$2:$A$3001,0))&amp;"",""))</f>
        <v/>
      </c>
      <c r="J794" s="27" t="str">
        <f aca="false">IF(OR(G794="",G794="?"),"",IFERROR(INDEX(Pubs!$G$2:$G$3001,MATCH(G794,Pubs!$A$2:$A$3001,0))&amp;"",""))</f>
        <v/>
      </c>
      <c r="K794" s="28" t="str">
        <f aca="false">IF(OR(G794="",G794="?"),"",IFERROR(INDEX(Pubs!$E$2:$E$3001,MATCH(G794,Pubs!$A$2:$A$3001,0)),""))</f>
        <v/>
      </c>
      <c r="L794" s="29" t="str">
        <f aca="false">IF(A794="","",IFERROR(1/(1/INDEX(Numéros!$C$2:$C$3001,MATCH(A794&amp;"|"&amp;B794,Numéros!$F$2:$F$3001,0))),""))</f>
        <v/>
      </c>
      <c r="M794" s="27" t="str">
        <f aca="false">IF(OR(G794="",G794="?"),"",IFERROR(INDEX(Pubs!$D$2:$D$3001,MATCH(G794,Pubs!$A$2:$A$3001,0))&amp;"",""))</f>
        <v/>
      </c>
      <c r="N794" s="27" t="n">
        <f aca="false">N(N793)+IF(AND(A794&lt;&gt;"",OR(Recherche!$C$4="",A794=Recherche!$C$4),OR(Recherche!$C$5="",B794&amp;""=Recherche!$C$5&amp;""),OR(Recherche!$C$6="",IFERROR(YEAR(L794),0)=Recherche!$C$6),OR(Recherche!$C$7="",ISNUMBER(SEARCH(Recherche!$C$7,H794))),OR(Recherche!$C$8="",J794=Recherche!$C$8),OR(Recherche!$C$9="",I794=Recherche!$C$9),OR(Recherche!$C$10="",G794&amp;""=Recherche!$C$10&amp;""),OR(Recherche!$C$11="",E794=Recherche!$C$11),OR(Recherche!$C$12="",ISNUMBER(SEARCH(Recherche!$C$12,M794&amp;" "&amp;F794)))),1,0)</f>
        <v>8</v>
      </c>
    </row>
    <row r="795" customFormat="false" ht="15" hidden="false" customHeight="false" outlineLevel="0" collapsed="false">
      <c r="A795" s="19"/>
      <c r="B795" s="19"/>
      <c r="C795" s="19"/>
      <c r="D795" s="19"/>
      <c r="E795" s="22"/>
      <c r="F795" s="19"/>
      <c r="G795" s="26" t="str">
        <f aca="false">IF(D795="","",IFERROR(VALUE(LEFT(D795,FIND(" |",D795&amp;" |")-1)),"?"))</f>
        <v/>
      </c>
      <c r="H795" s="27" t="str">
        <f aca="false">IF(G795="","",IF(G795="?","⚠ pub inconnue",IFERROR(INDEX(Pubs!$B$2:$B$3001,MATCH(G795,Pubs!$A$2:$A$3001,0))&amp;"","⚠ pub inconnue")))</f>
        <v/>
      </c>
      <c r="I795" s="27" t="str">
        <f aca="false">IF(OR(G795="",G795="?"),"",IFERROR(INDEX(Pubs!$C$2:$C$3001,MATCH(G795,Pubs!$A$2:$A$3001,0))&amp;"",""))</f>
        <v/>
      </c>
      <c r="J795" s="27" t="str">
        <f aca="false">IF(OR(G795="",G795="?"),"",IFERROR(INDEX(Pubs!$G$2:$G$3001,MATCH(G795,Pubs!$A$2:$A$3001,0))&amp;"",""))</f>
        <v/>
      </c>
      <c r="K795" s="28" t="str">
        <f aca="false">IF(OR(G795="",G795="?"),"",IFERROR(INDEX(Pubs!$E$2:$E$3001,MATCH(G795,Pubs!$A$2:$A$3001,0)),""))</f>
        <v/>
      </c>
      <c r="L795" s="29" t="str">
        <f aca="false">IF(A795="","",IFERROR(1/(1/INDEX(Numéros!$C$2:$C$3001,MATCH(A795&amp;"|"&amp;B795,Numéros!$F$2:$F$3001,0))),""))</f>
        <v/>
      </c>
      <c r="M795" s="27" t="str">
        <f aca="false">IF(OR(G795="",G795="?"),"",IFERROR(INDEX(Pubs!$D$2:$D$3001,MATCH(G795,Pubs!$A$2:$A$3001,0))&amp;"",""))</f>
        <v/>
      </c>
      <c r="N795" s="27" t="n">
        <f aca="false">N(N794)+IF(AND(A795&lt;&gt;"",OR(Recherche!$C$4="",A795=Recherche!$C$4),OR(Recherche!$C$5="",B795&amp;""=Recherche!$C$5&amp;""),OR(Recherche!$C$6="",IFERROR(YEAR(L795),0)=Recherche!$C$6),OR(Recherche!$C$7="",ISNUMBER(SEARCH(Recherche!$C$7,H795))),OR(Recherche!$C$8="",J795=Recherche!$C$8),OR(Recherche!$C$9="",I795=Recherche!$C$9),OR(Recherche!$C$10="",G795&amp;""=Recherche!$C$10&amp;""),OR(Recherche!$C$11="",E795=Recherche!$C$11),OR(Recherche!$C$12="",ISNUMBER(SEARCH(Recherche!$C$12,M795&amp;" "&amp;F795)))),1,0)</f>
        <v>8</v>
      </c>
    </row>
    <row r="796" customFormat="false" ht="15" hidden="false" customHeight="false" outlineLevel="0" collapsed="false">
      <c r="A796" s="19"/>
      <c r="B796" s="19"/>
      <c r="C796" s="19"/>
      <c r="D796" s="19"/>
      <c r="E796" s="22"/>
      <c r="F796" s="19"/>
      <c r="G796" s="26" t="str">
        <f aca="false">IF(D796="","",IFERROR(VALUE(LEFT(D796,FIND(" |",D796&amp;" |")-1)),"?"))</f>
        <v/>
      </c>
      <c r="H796" s="27" t="str">
        <f aca="false">IF(G796="","",IF(G796="?","⚠ pub inconnue",IFERROR(INDEX(Pubs!$B$2:$B$3001,MATCH(G796,Pubs!$A$2:$A$3001,0))&amp;"","⚠ pub inconnue")))</f>
        <v/>
      </c>
      <c r="I796" s="27" t="str">
        <f aca="false">IF(OR(G796="",G796="?"),"",IFERROR(INDEX(Pubs!$C$2:$C$3001,MATCH(G796,Pubs!$A$2:$A$3001,0))&amp;"",""))</f>
        <v/>
      </c>
      <c r="J796" s="27" t="str">
        <f aca="false">IF(OR(G796="",G796="?"),"",IFERROR(INDEX(Pubs!$G$2:$G$3001,MATCH(G796,Pubs!$A$2:$A$3001,0))&amp;"",""))</f>
        <v/>
      </c>
      <c r="K796" s="28" t="str">
        <f aca="false">IF(OR(G796="",G796="?"),"",IFERROR(INDEX(Pubs!$E$2:$E$3001,MATCH(G796,Pubs!$A$2:$A$3001,0)),""))</f>
        <v/>
      </c>
      <c r="L796" s="29" t="str">
        <f aca="false">IF(A796="","",IFERROR(1/(1/INDEX(Numéros!$C$2:$C$3001,MATCH(A796&amp;"|"&amp;B796,Numéros!$F$2:$F$3001,0))),""))</f>
        <v/>
      </c>
      <c r="M796" s="27" t="str">
        <f aca="false">IF(OR(G796="",G796="?"),"",IFERROR(INDEX(Pubs!$D$2:$D$3001,MATCH(G796,Pubs!$A$2:$A$3001,0))&amp;"",""))</f>
        <v/>
      </c>
      <c r="N796" s="27" t="n">
        <f aca="false">N(N795)+IF(AND(A796&lt;&gt;"",OR(Recherche!$C$4="",A796=Recherche!$C$4),OR(Recherche!$C$5="",B796&amp;""=Recherche!$C$5&amp;""),OR(Recherche!$C$6="",IFERROR(YEAR(L796),0)=Recherche!$C$6),OR(Recherche!$C$7="",ISNUMBER(SEARCH(Recherche!$C$7,H796))),OR(Recherche!$C$8="",J796=Recherche!$C$8),OR(Recherche!$C$9="",I796=Recherche!$C$9),OR(Recherche!$C$10="",G796&amp;""=Recherche!$C$10&amp;""),OR(Recherche!$C$11="",E796=Recherche!$C$11),OR(Recherche!$C$12="",ISNUMBER(SEARCH(Recherche!$C$12,M796&amp;" "&amp;F796)))),1,0)</f>
        <v>8</v>
      </c>
    </row>
    <row r="797" customFormat="false" ht="15" hidden="false" customHeight="false" outlineLevel="0" collapsed="false">
      <c r="A797" s="19"/>
      <c r="B797" s="19"/>
      <c r="C797" s="19"/>
      <c r="D797" s="19"/>
      <c r="E797" s="22"/>
      <c r="F797" s="19"/>
      <c r="G797" s="26" t="str">
        <f aca="false">IF(D797="","",IFERROR(VALUE(LEFT(D797,FIND(" |",D797&amp;" |")-1)),"?"))</f>
        <v/>
      </c>
      <c r="H797" s="27" t="str">
        <f aca="false">IF(G797="","",IF(G797="?","⚠ pub inconnue",IFERROR(INDEX(Pubs!$B$2:$B$3001,MATCH(G797,Pubs!$A$2:$A$3001,0))&amp;"","⚠ pub inconnue")))</f>
        <v/>
      </c>
      <c r="I797" s="27" t="str">
        <f aca="false">IF(OR(G797="",G797="?"),"",IFERROR(INDEX(Pubs!$C$2:$C$3001,MATCH(G797,Pubs!$A$2:$A$3001,0))&amp;"",""))</f>
        <v/>
      </c>
      <c r="J797" s="27" t="str">
        <f aca="false">IF(OR(G797="",G797="?"),"",IFERROR(INDEX(Pubs!$G$2:$G$3001,MATCH(G797,Pubs!$A$2:$A$3001,0))&amp;"",""))</f>
        <v/>
      </c>
      <c r="K797" s="28" t="str">
        <f aca="false">IF(OR(G797="",G797="?"),"",IFERROR(INDEX(Pubs!$E$2:$E$3001,MATCH(G797,Pubs!$A$2:$A$3001,0)),""))</f>
        <v/>
      </c>
      <c r="L797" s="29" t="str">
        <f aca="false">IF(A797="","",IFERROR(1/(1/INDEX(Numéros!$C$2:$C$3001,MATCH(A797&amp;"|"&amp;B797,Numéros!$F$2:$F$3001,0))),""))</f>
        <v/>
      </c>
      <c r="M797" s="27" t="str">
        <f aca="false">IF(OR(G797="",G797="?"),"",IFERROR(INDEX(Pubs!$D$2:$D$3001,MATCH(G797,Pubs!$A$2:$A$3001,0))&amp;"",""))</f>
        <v/>
      </c>
      <c r="N797" s="27" t="n">
        <f aca="false">N(N796)+IF(AND(A797&lt;&gt;"",OR(Recherche!$C$4="",A797=Recherche!$C$4),OR(Recherche!$C$5="",B797&amp;""=Recherche!$C$5&amp;""),OR(Recherche!$C$6="",IFERROR(YEAR(L797),0)=Recherche!$C$6),OR(Recherche!$C$7="",ISNUMBER(SEARCH(Recherche!$C$7,H797))),OR(Recherche!$C$8="",J797=Recherche!$C$8),OR(Recherche!$C$9="",I797=Recherche!$C$9),OR(Recherche!$C$10="",G797&amp;""=Recherche!$C$10&amp;""),OR(Recherche!$C$11="",E797=Recherche!$C$11),OR(Recherche!$C$12="",ISNUMBER(SEARCH(Recherche!$C$12,M797&amp;" "&amp;F797)))),1,0)</f>
        <v>8</v>
      </c>
    </row>
    <row r="798" customFormat="false" ht="15" hidden="false" customHeight="false" outlineLevel="0" collapsed="false">
      <c r="A798" s="19"/>
      <c r="B798" s="19"/>
      <c r="C798" s="19"/>
      <c r="D798" s="19"/>
      <c r="E798" s="22"/>
      <c r="F798" s="19"/>
      <c r="G798" s="26" t="str">
        <f aca="false">IF(D798="","",IFERROR(VALUE(LEFT(D798,FIND(" |",D798&amp;" |")-1)),"?"))</f>
        <v/>
      </c>
      <c r="H798" s="27" t="str">
        <f aca="false">IF(G798="","",IF(G798="?","⚠ pub inconnue",IFERROR(INDEX(Pubs!$B$2:$B$3001,MATCH(G798,Pubs!$A$2:$A$3001,0))&amp;"","⚠ pub inconnue")))</f>
        <v/>
      </c>
      <c r="I798" s="27" t="str">
        <f aca="false">IF(OR(G798="",G798="?"),"",IFERROR(INDEX(Pubs!$C$2:$C$3001,MATCH(G798,Pubs!$A$2:$A$3001,0))&amp;"",""))</f>
        <v/>
      </c>
      <c r="J798" s="27" t="str">
        <f aca="false">IF(OR(G798="",G798="?"),"",IFERROR(INDEX(Pubs!$G$2:$G$3001,MATCH(G798,Pubs!$A$2:$A$3001,0))&amp;"",""))</f>
        <v/>
      </c>
      <c r="K798" s="28" t="str">
        <f aca="false">IF(OR(G798="",G798="?"),"",IFERROR(INDEX(Pubs!$E$2:$E$3001,MATCH(G798,Pubs!$A$2:$A$3001,0)),""))</f>
        <v/>
      </c>
      <c r="L798" s="29" t="str">
        <f aca="false">IF(A798="","",IFERROR(1/(1/INDEX(Numéros!$C$2:$C$3001,MATCH(A798&amp;"|"&amp;B798,Numéros!$F$2:$F$3001,0))),""))</f>
        <v/>
      </c>
      <c r="M798" s="27" t="str">
        <f aca="false">IF(OR(G798="",G798="?"),"",IFERROR(INDEX(Pubs!$D$2:$D$3001,MATCH(G798,Pubs!$A$2:$A$3001,0))&amp;"",""))</f>
        <v/>
      </c>
      <c r="N798" s="27" t="n">
        <f aca="false">N(N797)+IF(AND(A798&lt;&gt;"",OR(Recherche!$C$4="",A798=Recherche!$C$4),OR(Recherche!$C$5="",B798&amp;""=Recherche!$C$5&amp;""),OR(Recherche!$C$6="",IFERROR(YEAR(L798),0)=Recherche!$C$6),OR(Recherche!$C$7="",ISNUMBER(SEARCH(Recherche!$C$7,H798))),OR(Recherche!$C$8="",J798=Recherche!$C$8),OR(Recherche!$C$9="",I798=Recherche!$C$9),OR(Recherche!$C$10="",G798&amp;""=Recherche!$C$10&amp;""),OR(Recherche!$C$11="",E798=Recherche!$C$11),OR(Recherche!$C$12="",ISNUMBER(SEARCH(Recherche!$C$12,M798&amp;" "&amp;F798)))),1,0)</f>
        <v>8</v>
      </c>
    </row>
    <row r="799" customFormat="false" ht="15" hidden="false" customHeight="false" outlineLevel="0" collapsed="false">
      <c r="A799" s="19"/>
      <c r="B799" s="19"/>
      <c r="C799" s="19"/>
      <c r="D799" s="19"/>
      <c r="E799" s="22"/>
      <c r="F799" s="19"/>
      <c r="G799" s="26" t="str">
        <f aca="false">IF(D799="","",IFERROR(VALUE(LEFT(D799,FIND(" |",D799&amp;" |")-1)),"?"))</f>
        <v/>
      </c>
      <c r="H799" s="27" t="str">
        <f aca="false">IF(G799="","",IF(G799="?","⚠ pub inconnue",IFERROR(INDEX(Pubs!$B$2:$B$3001,MATCH(G799,Pubs!$A$2:$A$3001,0))&amp;"","⚠ pub inconnue")))</f>
        <v/>
      </c>
      <c r="I799" s="27" t="str">
        <f aca="false">IF(OR(G799="",G799="?"),"",IFERROR(INDEX(Pubs!$C$2:$C$3001,MATCH(G799,Pubs!$A$2:$A$3001,0))&amp;"",""))</f>
        <v/>
      </c>
      <c r="J799" s="27" t="str">
        <f aca="false">IF(OR(G799="",G799="?"),"",IFERROR(INDEX(Pubs!$G$2:$G$3001,MATCH(G799,Pubs!$A$2:$A$3001,0))&amp;"",""))</f>
        <v/>
      </c>
      <c r="K799" s="28" t="str">
        <f aca="false">IF(OR(G799="",G799="?"),"",IFERROR(INDEX(Pubs!$E$2:$E$3001,MATCH(G799,Pubs!$A$2:$A$3001,0)),""))</f>
        <v/>
      </c>
      <c r="L799" s="29" t="str">
        <f aca="false">IF(A799="","",IFERROR(1/(1/INDEX(Numéros!$C$2:$C$3001,MATCH(A799&amp;"|"&amp;B799,Numéros!$F$2:$F$3001,0))),""))</f>
        <v/>
      </c>
      <c r="M799" s="27" t="str">
        <f aca="false">IF(OR(G799="",G799="?"),"",IFERROR(INDEX(Pubs!$D$2:$D$3001,MATCH(G799,Pubs!$A$2:$A$3001,0))&amp;"",""))</f>
        <v/>
      </c>
      <c r="N799" s="27" t="n">
        <f aca="false">N(N798)+IF(AND(A799&lt;&gt;"",OR(Recherche!$C$4="",A799=Recherche!$C$4),OR(Recherche!$C$5="",B799&amp;""=Recherche!$C$5&amp;""),OR(Recherche!$C$6="",IFERROR(YEAR(L799),0)=Recherche!$C$6),OR(Recherche!$C$7="",ISNUMBER(SEARCH(Recherche!$C$7,H799))),OR(Recherche!$C$8="",J799=Recherche!$C$8),OR(Recherche!$C$9="",I799=Recherche!$C$9),OR(Recherche!$C$10="",G799&amp;""=Recherche!$C$10&amp;""),OR(Recherche!$C$11="",E799=Recherche!$C$11),OR(Recherche!$C$12="",ISNUMBER(SEARCH(Recherche!$C$12,M799&amp;" "&amp;F799)))),1,0)</f>
        <v>8</v>
      </c>
    </row>
    <row r="800" customFormat="false" ht="15" hidden="false" customHeight="false" outlineLevel="0" collapsed="false">
      <c r="A800" s="19"/>
      <c r="B800" s="19"/>
      <c r="C800" s="19"/>
      <c r="D800" s="19"/>
      <c r="E800" s="22"/>
      <c r="F800" s="19"/>
      <c r="G800" s="26" t="str">
        <f aca="false">IF(D800="","",IFERROR(VALUE(LEFT(D800,FIND(" |",D800&amp;" |")-1)),"?"))</f>
        <v/>
      </c>
      <c r="H800" s="27" t="str">
        <f aca="false">IF(G800="","",IF(G800="?","⚠ pub inconnue",IFERROR(INDEX(Pubs!$B$2:$B$3001,MATCH(G800,Pubs!$A$2:$A$3001,0))&amp;"","⚠ pub inconnue")))</f>
        <v/>
      </c>
      <c r="I800" s="27" t="str">
        <f aca="false">IF(OR(G800="",G800="?"),"",IFERROR(INDEX(Pubs!$C$2:$C$3001,MATCH(G800,Pubs!$A$2:$A$3001,0))&amp;"",""))</f>
        <v/>
      </c>
      <c r="J800" s="27" t="str">
        <f aca="false">IF(OR(G800="",G800="?"),"",IFERROR(INDEX(Pubs!$G$2:$G$3001,MATCH(G800,Pubs!$A$2:$A$3001,0))&amp;"",""))</f>
        <v/>
      </c>
      <c r="K800" s="28" t="str">
        <f aca="false">IF(OR(G800="",G800="?"),"",IFERROR(INDEX(Pubs!$E$2:$E$3001,MATCH(G800,Pubs!$A$2:$A$3001,0)),""))</f>
        <v/>
      </c>
      <c r="L800" s="29" t="str">
        <f aca="false">IF(A800="","",IFERROR(1/(1/INDEX(Numéros!$C$2:$C$3001,MATCH(A800&amp;"|"&amp;B800,Numéros!$F$2:$F$3001,0))),""))</f>
        <v/>
      </c>
      <c r="M800" s="27" t="str">
        <f aca="false">IF(OR(G800="",G800="?"),"",IFERROR(INDEX(Pubs!$D$2:$D$3001,MATCH(G800,Pubs!$A$2:$A$3001,0))&amp;"",""))</f>
        <v/>
      </c>
      <c r="N800" s="27" t="n">
        <f aca="false">N(N799)+IF(AND(A800&lt;&gt;"",OR(Recherche!$C$4="",A800=Recherche!$C$4),OR(Recherche!$C$5="",B800&amp;""=Recherche!$C$5&amp;""),OR(Recherche!$C$6="",IFERROR(YEAR(L800),0)=Recherche!$C$6),OR(Recherche!$C$7="",ISNUMBER(SEARCH(Recherche!$C$7,H800))),OR(Recherche!$C$8="",J800=Recherche!$C$8),OR(Recherche!$C$9="",I800=Recherche!$C$9),OR(Recherche!$C$10="",G800&amp;""=Recherche!$C$10&amp;""),OR(Recherche!$C$11="",E800=Recherche!$C$11),OR(Recherche!$C$12="",ISNUMBER(SEARCH(Recherche!$C$12,M800&amp;" "&amp;F800)))),1,0)</f>
        <v>8</v>
      </c>
    </row>
    <row r="801" customFormat="false" ht="15" hidden="false" customHeight="false" outlineLevel="0" collapsed="false">
      <c r="A801" s="19"/>
      <c r="B801" s="19"/>
      <c r="C801" s="19"/>
      <c r="D801" s="19"/>
      <c r="E801" s="22"/>
      <c r="F801" s="19"/>
      <c r="G801" s="26" t="str">
        <f aca="false">IF(D801="","",IFERROR(VALUE(LEFT(D801,FIND(" |",D801&amp;" |")-1)),"?"))</f>
        <v/>
      </c>
      <c r="H801" s="27" t="str">
        <f aca="false">IF(G801="","",IF(G801="?","⚠ pub inconnue",IFERROR(INDEX(Pubs!$B$2:$B$3001,MATCH(G801,Pubs!$A$2:$A$3001,0))&amp;"","⚠ pub inconnue")))</f>
        <v/>
      </c>
      <c r="I801" s="27" t="str">
        <f aca="false">IF(OR(G801="",G801="?"),"",IFERROR(INDEX(Pubs!$C$2:$C$3001,MATCH(G801,Pubs!$A$2:$A$3001,0))&amp;"",""))</f>
        <v/>
      </c>
      <c r="J801" s="27" t="str">
        <f aca="false">IF(OR(G801="",G801="?"),"",IFERROR(INDEX(Pubs!$G$2:$G$3001,MATCH(G801,Pubs!$A$2:$A$3001,0))&amp;"",""))</f>
        <v/>
      </c>
      <c r="K801" s="28" t="str">
        <f aca="false">IF(OR(G801="",G801="?"),"",IFERROR(INDEX(Pubs!$E$2:$E$3001,MATCH(G801,Pubs!$A$2:$A$3001,0)),""))</f>
        <v/>
      </c>
      <c r="L801" s="29" t="str">
        <f aca="false">IF(A801="","",IFERROR(1/(1/INDEX(Numéros!$C$2:$C$3001,MATCH(A801&amp;"|"&amp;B801,Numéros!$F$2:$F$3001,0))),""))</f>
        <v/>
      </c>
      <c r="M801" s="27" t="str">
        <f aca="false">IF(OR(G801="",G801="?"),"",IFERROR(INDEX(Pubs!$D$2:$D$3001,MATCH(G801,Pubs!$A$2:$A$3001,0))&amp;"",""))</f>
        <v/>
      </c>
      <c r="N801" s="27" t="n">
        <f aca="false">N(N800)+IF(AND(A801&lt;&gt;"",OR(Recherche!$C$4="",A801=Recherche!$C$4),OR(Recherche!$C$5="",B801&amp;""=Recherche!$C$5&amp;""),OR(Recherche!$C$6="",IFERROR(YEAR(L801),0)=Recherche!$C$6),OR(Recherche!$C$7="",ISNUMBER(SEARCH(Recherche!$C$7,H801))),OR(Recherche!$C$8="",J801=Recherche!$C$8),OR(Recherche!$C$9="",I801=Recherche!$C$9),OR(Recherche!$C$10="",G801&amp;""=Recherche!$C$10&amp;""),OR(Recherche!$C$11="",E801=Recherche!$C$11),OR(Recherche!$C$12="",ISNUMBER(SEARCH(Recherche!$C$12,M801&amp;" "&amp;F801)))),1,0)</f>
        <v>8</v>
      </c>
    </row>
    <row r="802" customFormat="false" ht="15" hidden="false" customHeight="false" outlineLevel="0" collapsed="false">
      <c r="A802" s="19"/>
      <c r="B802" s="19"/>
      <c r="C802" s="19"/>
      <c r="D802" s="19"/>
      <c r="E802" s="22"/>
      <c r="F802" s="19"/>
      <c r="G802" s="26" t="str">
        <f aca="false">IF(D802="","",IFERROR(VALUE(LEFT(D802,FIND(" |",D802&amp;" |")-1)),"?"))</f>
        <v/>
      </c>
      <c r="H802" s="27" t="str">
        <f aca="false">IF(G802="","",IF(G802="?","⚠ pub inconnue",IFERROR(INDEX(Pubs!$B$2:$B$3001,MATCH(G802,Pubs!$A$2:$A$3001,0))&amp;"","⚠ pub inconnue")))</f>
        <v/>
      </c>
      <c r="I802" s="27" t="str">
        <f aca="false">IF(OR(G802="",G802="?"),"",IFERROR(INDEX(Pubs!$C$2:$C$3001,MATCH(G802,Pubs!$A$2:$A$3001,0))&amp;"",""))</f>
        <v/>
      </c>
      <c r="J802" s="27" t="str">
        <f aca="false">IF(OR(G802="",G802="?"),"",IFERROR(INDEX(Pubs!$G$2:$G$3001,MATCH(G802,Pubs!$A$2:$A$3001,0))&amp;"",""))</f>
        <v/>
      </c>
      <c r="K802" s="28" t="str">
        <f aca="false">IF(OR(G802="",G802="?"),"",IFERROR(INDEX(Pubs!$E$2:$E$3001,MATCH(G802,Pubs!$A$2:$A$3001,0)),""))</f>
        <v/>
      </c>
      <c r="L802" s="29" t="str">
        <f aca="false">IF(A802="","",IFERROR(1/(1/INDEX(Numéros!$C$2:$C$3001,MATCH(A802&amp;"|"&amp;B802,Numéros!$F$2:$F$3001,0))),""))</f>
        <v/>
      </c>
      <c r="M802" s="27" t="str">
        <f aca="false">IF(OR(G802="",G802="?"),"",IFERROR(INDEX(Pubs!$D$2:$D$3001,MATCH(G802,Pubs!$A$2:$A$3001,0))&amp;"",""))</f>
        <v/>
      </c>
      <c r="N802" s="27" t="n">
        <f aca="false">N(N801)+IF(AND(A802&lt;&gt;"",OR(Recherche!$C$4="",A802=Recherche!$C$4),OR(Recherche!$C$5="",B802&amp;""=Recherche!$C$5&amp;""),OR(Recherche!$C$6="",IFERROR(YEAR(L802),0)=Recherche!$C$6),OR(Recherche!$C$7="",ISNUMBER(SEARCH(Recherche!$C$7,H802))),OR(Recherche!$C$8="",J802=Recherche!$C$8),OR(Recherche!$C$9="",I802=Recherche!$C$9),OR(Recherche!$C$10="",G802&amp;""=Recherche!$C$10&amp;""),OR(Recherche!$C$11="",E802=Recherche!$C$11),OR(Recherche!$C$12="",ISNUMBER(SEARCH(Recherche!$C$12,M802&amp;" "&amp;F802)))),1,0)</f>
        <v>8</v>
      </c>
    </row>
    <row r="803" customFormat="false" ht="15" hidden="false" customHeight="false" outlineLevel="0" collapsed="false">
      <c r="A803" s="19"/>
      <c r="B803" s="19"/>
      <c r="C803" s="19"/>
      <c r="D803" s="19"/>
      <c r="E803" s="22"/>
      <c r="F803" s="19"/>
      <c r="G803" s="26" t="str">
        <f aca="false">IF(D803="","",IFERROR(VALUE(LEFT(D803,FIND(" |",D803&amp;" |")-1)),"?"))</f>
        <v/>
      </c>
      <c r="H803" s="27" t="str">
        <f aca="false">IF(G803="","",IF(G803="?","⚠ pub inconnue",IFERROR(INDEX(Pubs!$B$2:$B$3001,MATCH(G803,Pubs!$A$2:$A$3001,0))&amp;"","⚠ pub inconnue")))</f>
        <v/>
      </c>
      <c r="I803" s="27" t="str">
        <f aca="false">IF(OR(G803="",G803="?"),"",IFERROR(INDEX(Pubs!$C$2:$C$3001,MATCH(G803,Pubs!$A$2:$A$3001,0))&amp;"",""))</f>
        <v/>
      </c>
      <c r="J803" s="27" t="str">
        <f aca="false">IF(OR(G803="",G803="?"),"",IFERROR(INDEX(Pubs!$G$2:$G$3001,MATCH(G803,Pubs!$A$2:$A$3001,0))&amp;"",""))</f>
        <v/>
      </c>
      <c r="K803" s="28" t="str">
        <f aca="false">IF(OR(G803="",G803="?"),"",IFERROR(INDEX(Pubs!$E$2:$E$3001,MATCH(G803,Pubs!$A$2:$A$3001,0)),""))</f>
        <v/>
      </c>
      <c r="L803" s="29" t="str">
        <f aca="false">IF(A803="","",IFERROR(1/(1/INDEX(Numéros!$C$2:$C$3001,MATCH(A803&amp;"|"&amp;B803,Numéros!$F$2:$F$3001,0))),""))</f>
        <v/>
      </c>
      <c r="M803" s="27" t="str">
        <f aca="false">IF(OR(G803="",G803="?"),"",IFERROR(INDEX(Pubs!$D$2:$D$3001,MATCH(G803,Pubs!$A$2:$A$3001,0))&amp;"",""))</f>
        <v/>
      </c>
      <c r="N803" s="27" t="n">
        <f aca="false">N(N802)+IF(AND(A803&lt;&gt;"",OR(Recherche!$C$4="",A803=Recherche!$C$4),OR(Recherche!$C$5="",B803&amp;""=Recherche!$C$5&amp;""),OR(Recherche!$C$6="",IFERROR(YEAR(L803),0)=Recherche!$C$6),OR(Recherche!$C$7="",ISNUMBER(SEARCH(Recherche!$C$7,H803))),OR(Recherche!$C$8="",J803=Recherche!$C$8),OR(Recherche!$C$9="",I803=Recherche!$C$9),OR(Recherche!$C$10="",G803&amp;""=Recherche!$C$10&amp;""),OR(Recherche!$C$11="",E803=Recherche!$C$11),OR(Recherche!$C$12="",ISNUMBER(SEARCH(Recherche!$C$12,M803&amp;" "&amp;F803)))),1,0)</f>
        <v>8</v>
      </c>
    </row>
    <row r="804" customFormat="false" ht="15" hidden="false" customHeight="false" outlineLevel="0" collapsed="false">
      <c r="A804" s="19"/>
      <c r="B804" s="19"/>
      <c r="C804" s="19"/>
      <c r="D804" s="19"/>
      <c r="E804" s="22"/>
      <c r="F804" s="19"/>
      <c r="G804" s="26" t="str">
        <f aca="false">IF(D804="","",IFERROR(VALUE(LEFT(D804,FIND(" |",D804&amp;" |")-1)),"?"))</f>
        <v/>
      </c>
      <c r="H804" s="27" t="str">
        <f aca="false">IF(G804="","",IF(G804="?","⚠ pub inconnue",IFERROR(INDEX(Pubs!$B$2:$B$3001,MATCH(G804,Pubs!$A$2:$A$3001,0))&amp;"","⚠ pub inconnue")))</f>
        <v/>
      </c>
      <c r="I804" s="27" t="str">
        <f aca="false">IF(OR(G804="",G804="?"),"",IFERROR(INDEX(Pubs!$C$2:$C$3001,MATCH(G804,Pubs!$A$2:$A$3001,0))&amp;"",""))</f>
        <v/>
      </c>
      <c r="J804" s="27" t="str">
        <f aca="false">IF(OR(G804="",G804="?"),"",IFERROR(INDEX(Pubs!$G$2:$G$3001,MATCH(G804,Pubs!$A$2:$A$3001,0))&amp;"",""))</f>
        <v/>
      </c>
      <c r="K804" s="28" t="str">
        <f aca="false">IF(OR(G804="",G804="?"),"",IFERROR(INDEX(Pubs!$E$2:$E$3001,MATCH(G804,Pubs!$A$2:$A$3001,0)),""))</f>
        <v/>
      </c>
      <c r="L804" s="29" t="str">
        <f aca="false">IF(A804="","",IFERROR(1/(1/INDEX(Numéros!$C$2:$C$3001,MATCH(A804&amp;"|"&amp;B804,Numéros!$F$2:$F$3001,0))),""))</f>
        <v/>
      </c>
      <c r="M804" s="27" t="str">
        <f aca="false">IF(OR(G804="",G804="?"),"",IFERROR(INDEX(Pubs!$D$2:$D$3001,MATCH(G804,Pubs!$A$2:$A$3001,0))&amp;"",""))</f>
        <v/>
      </c>
      <c r="N804" s="27" t="n">
        <f aca="false">N(N803)+IF(AND(A804&lt;&gt;"",OR(Recherche!$C$4="",A804=Recherche!$C$4),OR(Recherche!$C$5="",B804&amp;""=Recherche!$C$5&amp;""),OR(Recherche!$C$6="",IFERROR(YEAR(L804),0)=Recherche!$C$6),OR(Recherche!$C$7="",ISNUMBER(SEARCH(Recherche!$C$7,H804))),OR(Recherche!$C$8="",J804=Recherche!$C$8),OR(Recherche!$C$9="",I804=Recherche!$C$9),OR(Recherche!$C$10="",G804&amp;""=Recherche!$C$10&amp;""),OR(Recherche!$C$11="",E804=Recherche!$C$11),OR(Recherche!$C$12="",ISNUMBER(SEARCH(Recherche!$C$12,M804&amp;" "&amp;F804)))),1,0)</f>
        <v>8</v>
      </c>
    </row>
    <row r="805" customFormat="false" ht="15" hidden="false" customHeight="false" outlineLevel="0" collapsed="false">
      <c r="A805" s="19"/>
      <c r="B805" s="19"/>
      <c r="C805" s="19"/>
      <c r="D805" s="19"/>
      <c r="E805" s="22"/>
      <c r="F805" s="19"/>
      <c r="G805" s="26" t="str">
        <f aca="false">IF(D805="","",IFERROR(VALUE(LEFT(D805,FIND(" |",D805&amp;" |")-1)),"?"))</f>
        <v/>
      </c>
      <c r="H805" s="27" t="str">
        <f aca="false">IF(G805="","",IF(G805="?","⚠ pub inconnue",IFERROR(INDEX(Pubs!$B$2:$B$3001,MATCH(G805,Pubs!$A$2:$A$3001,0))&amp;"","⚠ pub inconnue")))</f>
        <v/>
      </c>
      <c r="I805" s="27" t="str">
        <f aca="false">IF(OR(G805="",G805="?"),"",IFERROR(INDEX(Pubs!$C$2:$C$3001,MATCH(G805,Pubs!$A$2:$A$3001,0))&amp;"",""))</f>
        <v/>
      </c>
      <c r="J805" s="27" t="str">
        <f aca="false">IF(OR(G805="",G805="?"),"",IFERROR(INDEX(Pubs!$G$2:$G$3001,MATCH(G805,Pubs!$A$2:$A$3001,0))&amp;"",""))</f>
        <v/>
      </c>
      <c r="K805" s="28" t="str">
        <f aca="false">IF(OR(G805="",G805="?"),"",IFERROR(INDEX(Pubs!$E$2:$E$3001,MATCH(G805,Pubs!$A$2:$A$3001,0)),""))</f>
        <v/>
      </c>
      <c r="L805" s="29" t="str">
        <f aca="false">IF(A805="","",IFERROR(1/(1/INDEX(Numéros!$C$2:$C$3001,MATCH(A805&amp;"|"&amp;B805,Numéros!$F$2:$F$3001,0))),""))</f>
        <v/>
      </c>
      <c r="M805" s="27" t="str">
        <f aca="false">IF(OR(G805="",G805="?"),"",IFERROR(INDEX(Pubs!$D$2:$D$3001,MATCH(G805,Pubs!$A$2:$A$3001,0))&amp;"",""))</f>
        <v/>
      </c>
      <c r="N805" s="27" t="n">
        <f aca="false">N(N804)+IF(AND(A805&lt;&gt;"",OR(Recherche!$C$4="",A805=Recherche!$C$4),OR(Recherche!$C$5="",B805&amp;""=Recherche!$C$5&amp;""),OR(Recherche!$C$6="",IFERROR(YEAR(L805),0)=Recherche!$C$6),OR(Recherche!$C$7="",ISNUMBER(SEARCH(Recherche!$C$7,H805))),OR(Recherche!$C$8="",J805=Recherche!$C$8),OR(Recherche!$C$9="",I805=Recherche!$C$9),OR(Recherche!$C$10="",G805&amp;""=Recherche!$C$10&amp;""),OR(Recherche!$C$11="",E805=Recherche!$C$11),OR(Recherche!$C$12="",ISNUMBER(SEARCH(Recherche!$C$12,M805&amp;" "&amp;F805)))),1,0)</f>
        <v>8</v>
      </c>
    </row>
    <row r="806" customFormat="false" ht="15" hidden="false" customHeight="false" outlineLevel="0" collapsed="false">
      <c r="A806" s="19"/>
      <c r="B806" s="19"/>
      <c r="C806" s="19"/>
      <c r="D806" s="19"/>
      <c r="E806" s="22"/>
      <c r="F806" s="19"/>
      <c r="G806" s="26" t="str">
        <f aca="false">IF(D806="","",IFERROR(VALUE(LEFT(D806,FIND(" |",D806&amp;" |")-1)),"?"))</f>
        <v/>
      </c>
      <c r="H806" s="27" t="str">
        <f aca="false">IF(G806="","",IF(G806="?","⚠ pub inconnue",IFERROR(INDEX(Pubs!$B$2:$B$3001,MATCH(G806,Pubs!$A$2:$A$3001,0))&amp;"","⚠ pub inconnue")))</f>
        <v/>
      </c>
      <c r="I806" s="27" t="str">
        <f aca="false">IF(OR(G806="",G806="?"),"",IFERROR(INDEX(Pubs!$C$2:$C$3001,MATCH(G806,Pubs!$A$2:$A$3001,0))&amp;"",""))</f>
        <v/>
      </c>
      <c r="J806" s="27" t="str">
        <f aca="false">IF(OR(G806="",G806="?"),"",IFERROR(INDEX(Pubs!$G$2:$G$3001,MATCH(G806,Pubs!$A$2:$A$3001,0))&amp;"",""))</f>
        <v/>
      </c>
      <c r="K806" s="28" t="str">
        <f aca="false">IF(OR(G806="",G806="?"),"",IFERROR(INDEX(Pubs!$E$2:$E$3001,MATCH(G806,Pubs!$A$2:$A$3001,0)),""))</f>
        <v/>
      </c>
      <c r="L806" s="29" t="str">
        <f aca="false">IF(A806="","",IFERROR(1/(1/INDEX(Numéros!$C$2:$C$3001,MATCH(A806&amp;"|"&amp;B806,Numéros!$F$2:$F$3001,0))),""))</f>
        <v/>
      </c>
      <c r="M806" s="27" t="str">
        <f aca="false">IF(OR(G806="",G806="?"),"",IFERROR(INDEX(Pubs!$D$2:$D$3001,MATCH(G806,Pubs!$A$2:$A$3001,0))&amp;"",""))</f>
        <v/>
      </c>
      <c r="N806" s="27" t="n">
        <f aca="false">N(N805)+IF(AND(A806&lt;&gt;"",OR(Recherche!$C$4="",A806=Recherche!$C$4),OR(Recherche!$C$5="",B806&amp;""=Recherche!$C$5&amp;""),OR(Recherche!$C$6="",IFERROR(YEAR(L806),0)=Recherche!$C$6),OR(Recherche!$C$7="",ISNUMBER(SEARCH(Recherche!$C$7,H806))),OR(Recherche!$C$8="",J806=Recherche!$C$8),OR(Recherche!$C$9="",I806=Recherche!$C$9),OR(Recherche!$C$10="",G806&amp;""=Recherche!$C$10&amp;""),OR(Recherche!$C$11="",E806=Recherche!$C$11),OR(Recherche!$C$12="",ISNUMBER(SEARCH(Recherche!$C$12,M806&amp;" "&amp;F806)))),1,0)</f>
        <v>8</v>
      </c>
    </row>
    <row r="807" customFormat="false" ht="15" hidden="false" customHeight="false" outlineLevel="0" collapsed="false">
      <c r="A807" s="19"/>
      <c r="B807" s="19"/>
      <c r="C807" s="19"/>
      <c r="D807" s="19"/>
      <c r="E807" s="22"/>
      <c r="F807" s="19"/>
      <c r="G807" s="26" t="str">
        <f aca="false">IF(D807="","",IFERROR(VALUE(LEFT(D807,FIND(" |",D807&amp;" |")-1)),"?"))</f>
        <v/>
      </c>
      <c r="H807" s="27" t="str">
        <f aca="false">IF(G807="","",IF(G807="?","⚠ pub inconnue",IFERROR(INDEX(Pubs!$B$2:$B$3001,MATCH(G807,Pubs!$A$2:$A$3001,0))&amp;"","⚠ pub inconnue")))</f>
        <v/>
      </c>
      <c r="I807" s="27" t="str">
        <f aca="false">IF(OR(G807="",G807="?"),"",IFERROR(INDEX(Pubs!$C$2:$C$3001,MATCH(G807,Pubs!$A$2:$A$3001,0))&amp;"",""))</f>
        <v/>
      </c>
      <c r="J807" s="27" t="str">
        <f aca="false">IF(OR(G807="",G807="?"),"",IFERROR(INDEX(Pubs!$G$2:$G$3001,MATCH(G807,Pubs!$A$2:$A$3001,0))&amp;"",""))</f>
        <v/>
      </c>
      <c r="K807" s="28" t="str">
        <f aca="false">IF(OR(G807="",G807="?"),"",IFERROR(INDEX(Pubs!$E$2:$E$3001,MATCH(G807,Pubs!$A$2:$A$3001,0)),""))</f>
        <v/>
      </c>
      <c r="L807" s="29" t="str">
        <f aca="false">IF(A807="","",IFERROR(1/(1/INDEX(Numéros!$C$2:$C$3001,MATCH(A807&amp;"|"&amp;B807,Numéros!$F$2:$F$3001,0))),""))</f>
        <v/>
      </c>
      <c r="M807" s="27" t="str">
        <f aca="false">IF(OR(G807="",G807="?"),"",IFERROR(INDEX(Pubs!$D$2:$D$3001,MATCH(G807,Pubs!$A$2:$A$3001,0))&amp;"",""))</f>
        <v/>
      </c>
      <c r="N807" s="27" t="n">
        <f aca="false">N(N806)+IF(AND(A807&lt;&gt;"",OR(Recherche!$C$4="",A807=Recherche!$C$4),OR(Recherche!$C$5="",B807&amp;""=Recherche!$C$5&amp;""),OR(Recherche!$C$6="",IFERROR(YEAR(L807),0)=Recherche!$C$6),OR(Recherche!$C$7="",ISNUMBER(SEARCH(Recherche!$C$7,H807))),OR(Recherche!$C$8="",J807=Recherche!$C$8),OR(Recherche!$C$9="",I807=Recherche!$C$9),OR(Recherche!$C$10="",G807&amp;""=Recherche!$C$10&amp;""),OR(Recherche!$C$11="",E807=Recherche!$C$11),OR(Recherche!$C$12="",ISNUMBER(SEARCH(Recherche!$C$12,M807&amp;" "&amp;F807)))),1,0)</f>
        <v>8</v>
      </c>
    </row>
    <row r="808" customFormat="false" ht="15" hidden="false" customHeight="false" outlineLevel="0" collapsed="false">
      <c r="A808" s="19"/>
      <c r="B808" s="19"/>
      <c r="C808" s="19"/>
      <c r="D808" s="19"/>
      <c r="E808" s="22"/>
      <c r="F808" s="19"/>
      <c r="G808" s="26" t="str">
        <f aca="false">IF(D808="","",IFERROR(VALUE(LEFT(D808,FIND(" |",D808&amp;" |")-1)),"?"))</f>
        <v/>
      </c>
      <c r="H808" s="27" t="str">
        <f aca="false">IF(G808="","",IF(G808="?","⚠ pub inconnue",IFERROR(INDEX(Pubs!$B$2:$B$3001,MATCH(G808,Pubs!$A$2:$A$3001,0))&amp;"","⚠ pub inconnue")))</f>
        <v/>
      </c>
      <c r="I808" s="27" t="str">
        <f aca="false">IF(OR(G808="",G808="?"),"",IFERROR(INDEX(Pubs!$C$2:$C$3001,MATCH(G808,Pubs!$A$2:$A$3001,0))&amp;"",""))</f>
        <v/>
      </c>
      <c r="J808" s="27" t="str">
        <f aca="false">IF(OR(G808="",G808="?"),"",IFERROR(INDEX(Pubs!$G$2:$G$3001,MATCH(G808,Pubs!$A$2:$A$3001,0))&amp;"",""))</f>
        <v/>
      </c>
      <c r="K808" s="28" t="str">
        <f aca="false">IF(OR(G808="",G808="?"),"",IFERROR(INDEX(Pubs!$E$2:$E$3001,MATCH(G808,Pubs!$A$2:$A$3001,0)),""))</f>
        <v/>
      </c>
      <c r="L808" s="29" t="str">
        <f aca="false">IF(A808="","",IFERROR(1/(1/INDEX(Numéros!$C$2:$C$3001,MATCH(A808&amp;"|"&amp;B808,Numéros!$F$2:$F$3001,0))),""))</f>
        <v/>
      </c>
      <c r="M808" s="27" t="str">
        <f aca="false">IF(OR(G808="",G808="?"),"",IFERROR(INDEX(Pubs!$D$2:$D$3001,MATCH(G808,Pubs!$A$2:$A$3001,0))&amp;"",""))</f>
        <v/>
      </c>
      <c r="N808" s="27" t="n">
        <f aca="false">N(N807)+IF(AND(A808&lt;&gt;"",OR(Recherche!$C$4="",A808=Recherche!$C$4),OR(Recherche!$C$5="",B808&amp;""=Recherche!$C$5&amp;""),OR(Recherche!$C$6="",IFERROR(YEAR(L808),0)=Recherche!$C$6),OR(Recherche!$C$7="",ISNUMBER(SEARCH(Recherche!$C$7,H808))),OR(Recherche!$C$8="",J808=Recherche!$C$8),OR(Recherche!$C$9="",I808=Recherche!$C$9),OR(Recherche!$C$10="",G808&amp;""=Recherche!$C$10&amp;""),OR(Recherche!$C$11="",E808=Recherche!$C$11),OR(Recherche!$C$12="",ISNUMBER(SEARCH(Recherche!$C$12,M808&amp;" "&amp;F808)))),1,0)</f>
        <v>8</v>
      </c>
    </row>
    <row r="809" customFormat="false" ht="15" hidden="false" customHeight="false" outlineLevel="0" collapsed="false">
      <c r="A809" s="19"/>
      <c r="B809" s="19"/>
      <c r="C809" s="19"/>
      <c r="D809" s="19"/>
      <c r="E809" s="22"/>
      <c r="F809" s="19"/>
      <c r="G809" s="26" t="str">
        <f aca="false">IF(D809="","",IFERROR(VALUE(LEFT(D809,FIND(" |",D809&amp;" |")-1)),"?"))</f>
        <v/>
      </c>
      <c r="H809" s="27" t="str">
        <f aca="false">IF(G809="","",IF(G809="?","⚠ pub inconnue",IFERROR(INDEX(Pubs!$B$2:$B$3001,MATCH(G809,Pubs!$A$2:$A$3001,0))&amp;"","⚠ pub inconnue")))</f>
        <v/>
      </c>
      <c r="I809" s="27" t="str">
        <f aca="false">IF(OR(G809="",G809="?"),"",IFERROR(INDEX(Pubs!$C$2:$C$3001,MATCH(G809,Pubs!$A$2:$A$3001,0))&amp;"",""))</f>
        <v/>
      </c>
      <c r="J809" s="27" t="str">
        <f aca="false">IF(OR(G809="",G809="?"),"",IFERROR(INDEX(Pubs!$G$2:$G$3001,MATCH(G809,Pubs!$A$2:$A$3001,0))&amp;"",""))</f>
        <v/>
      </c>
      <c r="K809" s="28" t="str">
        <f aca="false">IF(OR(G809="",G809="?"),"",IFERROR(INDEX(Pubs!$E$2:$E$3001,MATCH(G809,Pubs!$A$2:$A$3001,0)),""))</f>
        <v/>
      </c>
      <c r="L809" s="29" t="str">
        <f aca="false">IF(A809="","",IFERROR(1/(1/INDEX(Numéros!$C$2:$C$3001,MATCH(A809&amp;"|"&amp;B809,Numéros!$F$2:$F$3001,0))),""))</f>
        <v/>
      </c>
      <c r="M809" s="27" t="str">
        <f aca="false">IF(OR(G809="",G809="?"),"",IFERROR(INDEX(Pubs!$D$2:$D$3001,MATCH(G809,Pubs!$A$2:$A$3001,0))&amp;"",""))</f>
        <v/>
      </c>
      <c r="N809" s="27" t="n">
        <f aca="false">N(N808)+IF(AND(A809&lt;&gt;"",OR(Recherche!$C$4="",A809=Recherche!$C$4),OR(Recherche!$C$5="",B809&amp;""=Recherche!$C$5&amp;""),OR(Recherche!$C$6="",IFERROR(YEAR(L809),0)=Recherche!$C$6),OR(Recherche!$C$7="",ISNUMBER(SEARCH(Recherche!$C$7,H809))),OR(Recherche!$C$8="",J809=Recherche!$C$8),OR(Recherche!$C$9="",I809=Recherche!$C$9),OR(Recherche!$C$10="",G809&amp;""=Recherche!$C$10&amp;""),OR(Recherche!$C$11="",E809=Recherche!$C$11),OR(Recherche!$C$12="",ISNUMBER(SEARCH(Recherche!$C$12,M809&amp;" "&amp;F809)))),1,0)</f>
        <v>8</v>
      </c>
    </row>
    <row r="810" customFormat="false" ht="15" hidden="false" customHeight="false" outlineLevel="0" collapsed="false">
      <c r="A810" s="19"/>
      <c r="B810" s="19"/>
      <c r="C810" s="19"/>
      <c r="D810" s="19"/>
      <c r="E810" s="22"/>
      <c r="F810" s="19"/>
      <c r="G810" s="26" t="str">
        <f aca="false">IF(D810="","",IFERROR(VALUE(LEFT(D810,FIND(" |",D810&amp;" |")-1)),"?"))</f>
        <v/>
      </c>
      <c r="H810" s="27" t="str">
        <f aca="false">IF(G810="","",IF(G810="?","⚠ pub inconnue",IFERROR(INDEX(Pubs!$B$2:$B$3001,MATCH(G810,Pubs!$A$2:$A$3001,0))&amp;"","⚠ pub inconnue")))</f>
        <v/>
      </c>
      <c r="I810" s="27" t="str">
        <f aca="false">IF(OR(G810="",G810="?"),"",IFERROR(INDEX(Pubs!$C$2:$C$3001,MATCH(G810,Pubs!$A$2:$A$3001,0))&amp;"",""))</f>
        <v/>
      </c>
      <c r="J810" s="27" t="str">
        <f aca="false">IF(OR(G810="",G810="?"),"",IFERROR(INDEX(Pubs!$G$2:$G$3001,MATCH(G810,Pubs!$A$2:$A$3001,0))&amp;"",""))</f>
        <v/>
      </c>
      <c r="K810" s="28" t="str">
        <f aca="false">IF(OR(G810="",G810="?"),"",IFERROR(INDEX(Pubs!$E$2:$E$3001,MATCH(G810,Pubs!$A$2:$A$3001,0)),""))</f>
        <v/>
      </c>
      <c r="L810" s="29" t="str">
        <f aca="false">IF(A810="","",IFERROR(1/(1/INDEX(Numéros!$C$2:$C$3001,MATCH(A810&amp;"|"&amp;B810,Numéros!$F$2:$F$3001,0))),""))</f>
        <v/>
      </c>
      <c r="M810" s="27" t="str">
        <f aca="false">IF(OR(G810="",G810="?"),"",IFERROR(INDEX(Pubs!$D$2:$D$3001,MATCH(G810,Pubs!$A$2:$A$3001,0))&amp;"",""))</f>
        <v/>
      </c>
      <c r="N810" s="27" t="n">
        <f aca="false">N(N809)+IF(AND(A810&lt;&gt;"",OR(Recherche!$C$4="",A810=Recherche!$C$4),OR(Recherche!$C$5="",B810&amp;""=Recherche!$C$5&amp;""),OR(Recherche!$C$6="",IFERROR(YEAR(L810),0)=Recherche!$C$6),OR(Recherche!$C$7="",ISNUMBER(SEARCH(Recherche!$C$7,H810))),OR(Recherche!$C$8="",J810=Recherche!$C$8),OR(Recherche!$C$9="",I810=Recherche!$C$9),OR(Recherche!$C$10="",G810&amp;""=Recherche!$C$10&amp;""),OR(Recherche!$C$11="",E810=Recherche!$C$11),OR(Recherche!$C$12="",ISNUMBER(SEARCH(Recherche!$C$12,M810&amp;" "&amp;F810)))),1,0)</f>
        <v>8</v>
      </c>
    </row>
    <row r="811" customFormat="false" ht="15" hidden="false" customHeight="false" outlineLevel="0" collapsed="false">
      <c r="A811" s="19"/>
      <c r="B811" s="19"/>
      <c r="C811" s="19"/>
      <c r="D811" s="19"/>
      <c r="E811" s="22"/>
      <c r="F811" s="19"/>
      <c r="G811" s="26" t="str">
        <f aca="false">IF(D811="","",IFERROR(VALUE(LEFT(D811,FIND(" |",D811&amp;" |")-1)),"?"))</f>
        <v/>
      </c>
      <c r="H811" s="27" t="str">
        <f aca="false">IF(G811="","",IF(G811="?","⚠ pub inconnue",IFERROR(INDEX(Pubs!$B$2:$B$3001,MATCH(G811,Pubs!$A$2:$A$3001,0))&amp;"","⚠ pub inconnue")))</f>
        <v/>
      </c>
      <c r="I811" s="27" t="str">
        <f aca="false">IF(OR(G811="",G811="?"),"",IFERROR(INDEX(Pubs!$C$2:$C$3001,MATCH(G811,Pubs!$A$2:$A$3001,0))&amp;"",""))</f>
        <v/>
      </c>
      <c r="J811" s="27" t="str">
        <f aca="false">IF(OR(G811="",G811="?"),"",IFERROR(INDEX(Pubs!$G$2:$G$3001,MATCH(G811,Pubs!$A$2:$A$3001,0))&amp;"",""))</f>
        <v/>
      </c>
      <c r="K811" s="28" t="str">
        <f aca="false">IF(OR(G811="",G811="?"),"",IFERROR(INDEX(Pubs!$E$2:$E$3001,MATCH(G811,Pubs!$A$2:$A$3001,0)),""))</f>
        <v/>
      </c>
      <c r="L811" s="29" t="str">
        <f aca="false">IF(A811="","",IFERROR(1/(1/INDEX(Numéros!$C$2:$C$3001,MATCH(A811&amp;"|"&amp;B811,Numéros!$F$2:$F$3001,0))),""))</f>
        <v/>
      </c>
      <c r="M811" s="27" t="str">
        <f aca="false">IF(OR(G811="",G811="?"),"",IFERROR(INDEX(Pubs!$D$2:$D$3001,MATCH(G811,Pubs!$A$2:$A$3001,0))&amp;"",""))</f>
        <v/>
      </c>
      <c r="N811" s="27" t="n">
        <f aca="false">N(N810)+IF(AND(A811&lt;&gt;"",OR(Recherche!$C$4="",A811=Recherche!$C$4),OR(Recherche!$C$5="",B811&amp;""=Recherche!$C$5&amp;""),OR(Recherche!$C$6="",IFERROR(YEAR(L811),0)=Recherche!$C$6),OR(Recherche!$C$7="",ISNUMBER(SEARCH(Recherche!$C$7,H811))),OR(Recherche!$C$8="",J811=Recherche!$C$8),OR(Recherche!$C$9="",I811=Recherche!$C$9),OR(Recherche!$C$10="",G811&amp;""=Recherche!$C$10&amp;""),OR(Recherche!$C$11="",E811=Recherche!$C$11),OR(Recherche!$C$12="",ISNUMBER(SEARCH(Recherche!$C$12,M811&amp;" "&amp;F811)))),1,0)</f>
        <v>8</v>
      </c>
    </row>
    <row r="812" customFormat="false" ht="15" hidden="false" customHeight="false" outlineLevel="0" collapsed="false">
      <c r="A812" s="19"/>
      <c r="B812" s="19"/>
      <c r="C812" s="19"/>
      <c r="D812" s="19"/>
      <c r="E812" s="22"/>
      <c r="F812" s="19"/>
      <c r="G812" s="26" t="str">
        <f aca="false">IF(D812="","",IFERROR(VALUE(LEFT(D812,FIND(" |",D812&amp;" |")-1)),"?"))</f>
        <v/>
      </c>
      <c r="H812" s="27" t="str">
        <f aca="false">IF(G812="","",IF(G812="?","⚠ pub inconnue",IFERROR(INDEX(Pubs!$B$2:$B$3001,MATCH(G812,Pubs!$A$2:$A$3001,0))&amp;"","⚠ pub inconnue")))</f>
        <v/>
      </c>
      <c r="I812" s="27" t="str">
        <f aca="false">IF(OR(G812="",G812="?"),"",IFERROR(INDEX(Pubs!$C$2:$C$3001,MATCH(G812,Pubs!$A$2:$A$3001,0))&amp;"",""))</f>
        <v/>
      </c>
      <c r="J812" s="27" t="str">
        <f aca="false">IF(OR(G812="",G812="?"),"",IFERROR(INDEX(Pubs!$G$2:$G$3001,MATCH(G812,Pubs!$A$2:$A$3001,0))&amp;"",""))</f>
        <v/>
      </c>
      <c r="K812" s="28" t="str">
        <f aca="false">IF(OR(G812="",G812="?"),"",IFERROR(INDEX(Pubs!$E$2:$E$3001,MATCH(G812,Pubs!$A$2:$A$3001,0)),""))</f>
        <v/>
      </c>
      <c r="L812" s="29" t="str">
        <f aca="false">IF(A812="","",IFERROR(1/(1/INDEX(Numéros!$C$2:$C$3001,MATCH(A812&amp;"|"&amp;B812,Numéros!$F$2:$F$3001,0))),""))</f>
        <v/>
      </c>
      <c r="M812" s="27" t="str">
        <f aca="false">IF(OR(G812="",G812="?"),"",IFERROR(INDEX(Pubs!$D$2:$D$3001,MATCH(G812,Pubs!$A$2:$A$3001,0))&amp;"",""))</f>
        <v/>
      </c>
      <c r="N812" s="27" t="n">
        <f aca="false">N(N811)+IF(AND(A812&lt;&gt;"",OR(Recherche!$C$4="",A812=Recherche!$C$4),OR(Recherche!$C$5="",B812&amp;""=Recherche!$C$5&amp;""),OR(Recherche!$C$6="",IFERROR(YEAR(L812),0)=Recherche!$C$6),OR(Recherche!$C$7="",ISNUMBER(SEARCH(Recherche!$C$7,H812))),OR(Recherche!$C$8="",J812=Recherche!$C$8),OR(Recherche!$C$9="",I812=Recherche!$C$9),OR(Recherche!$C$10="",G812&amp;""=Recherche!$C$10&amp;""),OR(Recherche!$C$11="",E812=Recherche!$C$11),OR(Recherche!$C$12="",ISNUMBER(SEARCH(Recherche!$C$12,M812&amp;" "&amp;F812)))),1,0)</f>
        <v>8</v>
      </c>
    </row>
    <row r="813" customFormat="false" ht="15" hidden="false" customHeight="false" outlineLevel="0" collapsed="false">
      <c r="A813" s="19"/>
      <c r="B813" s="19"/>
      <c r="C813" s="19"/>
      <c r="D813" s="19"/>
      <c r="E813" s="22"/>
      <c r="F813" s="19"/>
      <c r="G813" s="26" t="str">
        <f aca="false">IF(D813="","",IFERROR(VALUE(LEFT(D813,FIND(" |",D813&amp;" |")-1)),"?"))</f>
        <v/>
      </c>
      <c r="H813" s="27" t="str">
        <f aca="false">IF(G813="","",IF(G813="?","⚠ pub inconnue",IFERROR(INDEX(Pubs!$B$2:$B$3001,MATCH(G813,Pubs!$A$2:$A$3001,0))&amp;"","⚠ pub inconnue")))</f>
        <v/>
      </c>
      <c r="I813" s="27" t="str">
        <f aca="false">IF(OR(G813="",G813="?"),"",IFERROR(INDEX(Pubs!$C$2:$C$3001,MATCH(G813,Pubs!$A$2:$A$3001,0))&amp;"",""))</f>
        <v/>
      </c>
      <c r="J813" s="27" t="str">
        <f aca="false">IF(OR(G813="",G813="?"),"",IFERROR(INDEX(Pubs!$G$2:$G$3001,MATCH(G813,Pubs!$A$2:$A$3001,0))&amp;"",""))</f>
        <v/>
      </c>
      <c r="K813" s="28" t="str">
        <f aca="false">IF(OR(G813="",G813="?"),"",IFERROR(INDEX(Pubs!$E$2:$E$3001,MATCH(G813,Pubs!$A$2:$A$3001,0)),""))</f>
        <v/>
      </c>
      <c r="L813" s="29" t="str">
        <f aca="false">IF(A813="","",IFERROR(1/(1/INDEX(Numéros!$C$2:$C$3001,MATCH(A813&amp;"|"&amp;B813,Numéros!$F$2:$F$3001,0))),""))</f>
        <v/>
      </c>
      <c r="M813" s="27" t="str">
        <f aca="false">IF(OR(G813="",G813="?"),"",IFERROR(INDEX(Pubs!$D$2:$D$3001,MATCH(G813,Pubs!$A$2:$A$3001,0))&amp;"",""))</f>
        <v/>
      </c>
      <c r="N813" s="27" t="n">
        <f aca="false">N(N812)+IF(AND(A813&lt;&gt;"",OR(Recherche!$C$4="",A813=Recherche!$C$4),OR(Recherche!$C$5="",B813&amp;""=Recherche!$C$5&amp;""),OR(Recherche!$C$6="",IFERROR(YEAR(L813),0)=Recherche!$C$6),OR(Recherche!$C$7="",ISNUMBER(SEARCH(Recherche!$C$7,H813))),OR(Recherche!$C$8="",J813=Recherche!$C$8),OR(Recherche!$C$9="",I813=Recherche!$C$9),OR(Recherche!$C$10="",G813&amp;""=Recherche!$C$10&amp;""),OR(Recherche!$C$11="",E813=Recherche!$C$11),OR(Recherche!$C$12="",ISNUMBER(SEARCH(Recherche!$C$12,M813&amp;" "&amp;F813)))),1,0)</f>
        <v>8</v>
      </c>
    </row>
    <row r="814" customFormat="false" ht="15" hidden="false" customHeight="false" outlineLevel="0" collapsed="false">
      <c r="A814" s="19"/>
      <c r="B814" s="19"/>
      <c r="C814" s="19"/>
      <c r="D814" s="19"/>
      <c r="E814" s="22"/>
      <c r="F814" s="19"/>
      <c r="G814" s="26" t="str">
        <f aca="false">IF(D814="","",IFERROR(VALUE(LEFT(D814,FIND(" |",D814&amp;" |")-1)),"?"))</f>
        <v/>
      </c>
      <c r="H814" s="27" t="str">
        <f aca="false">IF(G814="","",IF(G814="?","⚠ pub inconnue",IFERROR(INDEX(Pubs!$B$2:$B$3001,MATCH(G814,Pubs!$A$2:$A$3001,0))&amp;"","⚠ pub inconnue")))</f>
        <v/>
      </c>
      <c r="I814" s="27" t="str">
        <f aca="false">IF(OR(G814="",G814="?"),"",IFERROR(INDEX(Pubs!$C$2:$C$3001,MATCH(G814,Pubs!$A$2:$A$3001,0))&amp;"",""))</f>
        <v/>
      </c>
      <c r="J814" s="27" t="str">
        <f aca="false">IF(OR(G814="",G814="?"),"",IFERROR(INDEX(Pubs!$G$2:$G$3001,MATCH(G814,Pubs!$A$2:$A$3001,0))&amp;"",""))</f>
        <v/>
      </c>
      <c r="K814" s="28" t="str">
        <f aca="false">IF(OR(G814="",G814="?"),"",IFERROR(INDEX(Pubs!$E$2:$E$3001,MATCH(G814,Pubs!$A$2:$A$3001,0)),""))</f>
        <v/>
      </c>
      <c r="L814" s="29" t="str">
        <f aca="false">IF(A814="","",IFERROR(1/(1/INDEX(Numéros!$C$2:$C$3001,MATCH(A814&amp;"|"&amp;B814,Numéros!$F$2:$F$3001,0))),""))</f>
        <v/>
      </c>
      <c r="M814" s="27" t="str">
        <f aca="false">IF(OR(G814="",G814="?"),"",IFERROR(INDEX(Pubs!$D$2:$D$3001,MATCH(G814,Pubs!$A$2:$A$3001,0))&amp;"",""))</f>
        <v/>
      </c>
      <c r="N814" s="27" t="n">
        <f aca="false">N(N813)+IF(AND(A814&lt;&gt;"",OR(Recherche!$C$4="",A814=Recherche!$C$4),OR(Recherche!$C$5="",B814&amp;""=Recherche!$C$5&amp;""),OR(Recherche!$C$6="",IFERROR(YEAR(L814),0)=Recherche!$C$6),OR(Recherche!$C$7="",ISNUMBER(SEARCH(Recherche!$C$7,H814))),OR(Recherche!$C$8="",J814=Recherche!$C$8),OR(Recherche!$C$9="",I814=Recherche!$C$9),OR(Recherche!$C$10="",G814&amp;""=Recherche!$C$10&amp;""),OR(Recherche!$C$11="",E814=Recherche!$C$11),OR(Recherche!$C$12="",ISNUMBER(SEARCH(Recherche!$C$12,M814&amp;" "&amp;F814)))),1,0)</f>
        <v>8</v>
      </c>
    </row>
    <row r="815" customFormat="false" ht="15" hidden="false" customHeight="false" outlineLevel="0" collapsed="false">
      <c r="A815" s="19"/>
      <c r="B815" s="19"/>
      <c r="C815" s="19"/>
      <c r="D815" s="19"/>
      <c r="E815" s="22"/>
      <c r="F815" s="19"/>
      <c r="G815" s="26" t="str">
        <f aca="false">IF(D815="","",IFERROR(VALUE(LEFT(D815,FIND(" |",D815&amp;" |")-1)),"?"))</f>
        <v/>
      </c>
      <c r="H815" s="27" t="str">
        <f aca="false">IF(G815="","",IF(G815="?","⚠ pub inconnue",IFERROR(INDEX(Pubs!$B$2:$B$3001,MATCH(G815,Pubs!$A$2:$A$3001,0))&amp;"","⚠ pub inconnue")))</f>
        <v/>
      </c>
      <c r="I815" s="27" t="str">
        <f aca="false">IF(OR(G815="",G815="?"),"",IFERROR(INDEX(Pubs!$C$2:$C$3001,MATCH(G815,Pubs!$A$2:$A$3001,0))&amp;"",""))</f>
        <v/>
      </c>
      <c r="J815" s="27" t="str">
        <f aca="false">IF(OR(G815="",G815="?"),"",IFERROR(INDEX(Pubs!$G$2:$G$3001,MATCH(G815,Pubs!$A$2:$A$3001,0))&amp;"",""))</f>
        <v/>
      </c>
      <c r="K815" s="28" t="str">
        <f aca="false">IF(OR(G815="",G815="?"),"",IFERROR(INDEX(Pubs!$E$2:$E$3001,MATCH(G815,Pubs!$A$2:$A$3001,0)),""))</f>
        <v/>
      </c>
      <c r="L815" s="29" t="str">
        <f aca="false">IF(A815="","",IFERROR(1/(1/INDEX(Numéros!$C$2:$C$3001,MATCH(A815&amp;"|"&amp;B815,Numéros!$F$2:$F$3001,0))),""))</f>
        <v/>
      </c>
      <c r="M815" s="27" t="str">
        <f aca="false">IF(OR(G815="",G815="?"),"",IFERROR(INDEX(Pubs!$D$2:$D$3001,MATCH(G815,Pubs!$A$2:$A$3001,0))&amp;"",""))</f>
        <v/>
      </c>
      <c r="N815" s="27" t="n">
        <f aca="false">N(N814)+IF(AND(A815&lt;&gt;"",OR(Recherche!$C$4="",A815=Recherche!$C$4),OR(Recherche!$C$5="",B815&amp;""=Recherche!$C$5&amp;""),OR(Recherche!$C$6="",IFERROR(YEAR(L815),0)=Recherche!$C$6),OR(Recherche!$C$7="",ISNUMBER(SEARCH(Recherche!$C$7,H815))),OR(Recherche!$C$8="",J815=Recherche!$C$8),OR(Recherche!$C$9="",I815=Recherche!$C$9),OR(Recherche!$C$10="",G815&amp;""=Recherche!$C$10&amp;""),OR(Recherche!$C$11="",E815=Recherche!$C$11),OR(Recherche!$C$12="",ISNUMBER(SEARCH(Recherche!$C$12,M815&amp;" "&amp;F815)))),1,0)</f>
        <v>8</v>
      </c>
    </row>
    <row r="816" customFormat="false" ht="15" hidden="false" customHeight="false" outlineLevel="0" collapsed="false">
      <c r="A816" s="19"/>
      <c r="B816" s="19"/>
      <c r="C816" s="19"/>
      <c r="D816" s="19"/>
      <c r="E816" s="22"/>
      <c r="F816" s="19"/>
      <c r="G816" s="26" t="str">
        <f aca="false">IF(D816="","",IFERROR(VALUE(LEFT(D816,FIND(" |",D816&amp;" |")-1)),"?"))</f>
        <v/>
      </c>
      <c r="H816" s="27" t="str">
        <f aca="false">IF(G816="","",IF(G816="?","⚠ pub inconnue",IFERROR(INDEX(Pubs!$B$2:$B$3001,MATCH(G816,Pubs!$A$2:$A$3001,0))&amp;"","⚠ pub inconnue")))</f>
        <v/>
      </c>
      <c r="I816" s="27" t="str">
        <f aca="false">IF(OR(G816="",G816="?"),"",IFERROR(INDEX(Pubs!$C$2:$C$3001,MATCH(G816,Pubs!$A$2:$A$3001,0))&amp;"",""))</f>
        <v/>
      </c>
      <c r="J816" s="27" t="str">
        <f aca="false">IF(OR(G816="",G816="?"),"",IFERROR(INDEX(Pubs!$G$2:$G$3001,MATCH(G816,Pubs!$A$2:$A$3001,0))&amp;"",""))</f>
        <v/>
      </c>
      <c r="K816" s="28" t="str">
        <f aca="false">IF(OR(G816="",G816="?"),"",IFERROR(INDEX(Pubs!$E$2:$E$3001,MATCH(G816,Pubs!$A$2:$A$3001,0)),""))</f>
        <v/>
      </c>
      <c r="L816" s="29" t="str">
        <f aca="false">IF(A816="","",IFERROR(1/(1/INDEX(Numéros!$C$2:$C$3001,MATCH(A816&amp;"|"&amp;B816,Numéros!$F$2:$F$3001,0))),""))</f>
        <v/>
      </c>
      <c r="M816" s="27" t="str">
        <f aca="false">IF(OR(G816="",G816="?"),"",IFERROR(INDEX(Pubs!$D$2:$D$3001,MATCH(G816,Pubs!$A$2:$A$3001,0))&amp;"",""))</f>
        <v/>
      </c>
      <c r="N816" s="27" t="n">
        <f aca="false">N(N815)+IF(AND(A816&lt;&gt;"",OR(Recherche!$C$4="",A816=Recherche!$C$4),OR(Recherche!$C$5="",B816&amp;""=Recherche!$C$5&amp;""),OR(Recherche!$C$6="",IFERROR(YEAR(L816),0)=Recherche!$C$6),OR(Recherche!$C$7="",ISNUMBER(SEARCH(Recherche!$C$7,H816))),OR(Recherche!$C$8="",J816=Recherche!$C$8),OR(Recherche!$C$9="",I816=Recherche!$C$9),OR(Recherche!$C$10="",G816&amp;""=Recherche!$C$10&amp;""),OR(Recherche!$C$11="",E816=Recherche!$C$11),OR(Recherche!$C$12="",ISNUMBER(SEARCH(Recherche!$C$12,M816&amp;" "&amp;F816)))),1,0)</f>
        <v>8</v>
      </c>
    </row>
    <row r="817" customFormat="false" ht="15" hidden="false" customHeight="false" outlineLevel="0" collapsed="false">
      <c r="A817" s="19"/>
      <c r="B817" s="19"/>
      <c r="C817" s="19"/>
      <c r="D817" s="19"/>
      <c r="E817" s="22"/>
      <c r="F817" s="19"/>
      <c r="G817" s="26" t="str">
        <f aca="false">IF(D817="","",IFERROR(VALUE(LEFT(D817,FIND(" |",D817&amp;" |")-1)),"?"))</f>
        <v/>
      </c>
      <c r="H817" s="27" t="str">
        <f aca="false">IF(G817="","",IF(G817="?","⚠ pub inconnue",IFERROR(INDEX(Pubs!$B$2:$B$3001,MATCH(G817,Pubs!$A$2:$A$3001,0))&amp;"","⚠ pub inconnue")))</f>
        <v/>
      </c>
      <c r="I817" s="27" t="str">
        <f aca="false">IF(OR(G817="",G817="?"),"",IFERROR(INDEX(Pubs!$C$2:$C$3001,MATCH(G817,Pubs!$A$2:$A$3001,0))&amp;"",""))</f>
        <v/>
      </c>
      <c r="J817" s="27" t="str">
        <f aca="false">IF(OR(G817="",G817="?"),"",IFERROR(INDEX(Pubs!$G$2:$G$3001,MATCH(G817,Pubs!$A$2:$A$3001,0))&amp;"",""))</f>
        <v/>
      </c>
      <c r="K817" s="28" t="str">
        <f aca="false">IF(OR(G817="",G817="?"),"",IFERROR(INDEX(Pubs!$E$2:$E$3001,MATCH(G817,Pubs!$A$2:$A$3001,0)),""))</f>
        <v/>
      </c>
      <c r="L817" s="29" t="str">
        <f aca="false">IF(A817="","",IFERROR(1/(1/INDEX(Numéros!$C$2:$C$3001,MATCH(A817&amp;"|"&amp;B817,Numéros!$F$2:$F$3001,0))),""))</f>
        <v/>
      </c>
      <c r="M817" s="27" t="str">
        <f aca="false">IF(OR(G817="",G817="?"),"",IFERROR(INDEX(Pubs!$D$2:$D$3001,MATCH(G817,Pubs!$A$2:$A$3001,0))&amp;"",""))</f>
        <v/>
      </c>
      <c r="N817" s="27" t="n">
        <f aca="false">N(N816)+IF(AND(A817&lt;&gt;"",OR(Recherche!$C$4="",A817=Recherche!$C$4),OR(Recherche!$C$5="",B817&amp;""=Recherche!$C$5&amp;""),OR(Recherche!$C$6="",IFERROR(YEAR(L817),0)=Recherche!$C$6),OR(Recherche!$C$7="",ISNUMBER(SEARCH(Recherche!$C$7,H817))),OR(Recherche!$C$8="",J817=Recherche!$C$8),OR(Recherche!$C$9="",I817=Recherche!$C$9),OR(Recherche!$C$10="",G817&amp;""=Recherche!$C$10&amp;""),OR(Recherche!$C$11="",E817=Recherche!$C$11),OR(Recherche!$C$12="",ISNUMBER(SEARCH(Recherche!$C$12,M817&amp;" "&amp;F817)))),1,0)</f>
        <v>8</v>
      </c>
    </row>
    <row r="818" customFormat="false" ht="15" hidden="false" customHeight="false" outlineLevel="0" collapsed="false">
      <c r="A818" s="19"/>
      <c r="B818" s="19"/>
      <c r="C818" s="19"/>
      <c r="D818" s="19"/>
      <c r="E818" s="22"/>
      <c r="F818" s="19"/>
      <c r="G818" s="26" t="str">
        <f aca="false">IF(D818="","",IFERROR(VALUE(LEFT(D818,FIND(" |",D818&amp;" |")-1)),"?"))</f>
        <v/>
      </c>
      <c r="H818" s="27" t="str">
        <f aca="false">IF(G818="","",IF(G818="?","⚠ pub inconnue",IFERROR(INDEX(Pubs!$B$2:$B$3001,MATCH(G818,Pubs!$A$2:$A$3001,0))&amp;"","⚠ pub inconnue")))</f>
        <v/>
      </c>
      <c r="I818" s="27" t="str">
        <f aca="false">IF(OR(G818="",G818="?"),"",IFERROR(INDEX(Pubs!$C$2:$C$3001,MATCH(G818,Pubs!$A$2:$A$3001,0))&amp;"",""))</f>
        <v/>
      </c>
      <c r="J818" s="27" t="str">
        <f aca="false">IF(OR(G818="",G818="?"),"",IFERROR(INDEX(Pubs!$G$2:$G$3001,MATCH(G818,Pubs!$A$2:$A$3001,0))&amp;"",""))</f>
        <v/>
      </c>
      <c r="K818" s="28" t="str">
        <f aca="false">IF(OR(G818="",G818="?"),"",IFERROR(INDEX(Pubs!$E$2:$E$3001,MATCH(G818,Pubs!$A$2:$A$3001,0)),""))</f>
        <v/>
      </c>
      <c r="L818" s="29" t="str">
        <f aca="false">IF(A818="","",IFERROR(1/(1/INDEX(Numéros!$C$2:$C$3001,MATCH(A818&amp;"|"&amp;B818,Numéros!$F$2:$F$3001,0))),""))</f>
        <v/>
      </c>
      <c r="M818" s="27" t="str">
        <f aca="false">IF(OR(G818="",G818="?"),"",IFERROR(INDEX(Pubs!$D$2:$D$3001,MATCH(G818,Pubs!$A$2:$A$3001,0))&amp;"",""))</f>
        <v/>
      </c>
      <c r="N818" s="27" t="n">
        <f aca="false">N(N817)+IF(AND(A818&lt;&gt;"",OR(Recherche!$C$4="",A818=Recherche!$C$4),OR(Recherche!$C$5="",B818&amp;""=Recherche!$C$5&amp;""),OR(Recherche!$C$6="",IFERROR(YEAR(L818),0)=Recherche!$C$6),OR(Recherche!$C$7="",ISNUMBER(SEARCH(Recherche!$C$7,H818))),OR(Recherche!$C$8="",J818=Recherche!$C$8),OR(Recherche!$C$9="",I818=Recherche!$C$9),OR(Recherche!$C$10="",G818&amp;""=Recherche!$C$10&amp;""),OR(Recherche!$C$11="",E818=Recherche!$C$11),OR(Recherche!$C$12="",ISNUMBER(SEARCH(Recherche!$C$12,M818&amp;" "&amp;F818)))),1,0)</f>
        <v>8</v>
      </c>
    </row>
    <row r="819" customFormat="false" ht="15" hidden="false" customHeight="false" outlineLevel="0" collapsed="false">
      <c r="A819" s="19"/>
      <c r="B819" s="19"/>
      <c r="C819" s="19"/>
      <c r="D819" s="19"/>
      <c r="E819" s="22"/>
      <c r="F819" s="19"/>
      <c r="G819" s="26" t="str">
        <f aca="false">IF(D819="","",IFERROR(VALUE(LEFT(D819,FIND(" |",D819&amp;" |")-1)),"?"))</f>
        <v/>
      </c>
      <c r="H819" s="27" t="str">
        <f aca="false">IF(G819="","",IF(G819="?","⚠ pub inconnue",IFERROR(INDEX(Pubs!$B$2:$B$3001,MATCH(G819,Pubs!$A$2:$A$3001,0))&amp;"","⚠ pub inconnue")))</f>
        <v/>
      </c>
      <c r="I819" s="27" t="str">
        <f aca="false">IF(OR(G819="",G819="?"),"",IFERROR(INDEX(Pubs!$C$2:$C$3001,MATCH(G819,Pubs!$A$2:$A$3001,0))&amp;"",""))</f>
        <v/>
      </c>
      <c r="J819" s="27" t="str">
        <f aca="false">IF(OR(G819="",G819="?"),"",IFERROR(INDEX(Pubs!$G$2:$G$3001,MATCH(G819,Pubs!$A$2:$A$3001,0))&amp;"",""))</f>
        <v/>
      </c>
      <c r="K819" s="28" t="str">
        <f aca="false">IF(OR(G819="",G819="?"),"",IFERROR(INDEX(Pubs!$E$2:$E$3001,MATCH(G819,Pubs!$A$2:$A$3001,0)),""))</f>
        <v/>
      </c>
      <c r="L819" s="29" t="str">
        <f aca="false">IF(A819="","",IFERROR(1/(1/INDEX(Numéros!$C$2:$C$3001,MATCH(A819&amp;"|"&amp;B819,Numéros!$F$2:$F$3001,0))),""))</f>
        <v/>
      </c>
      <c r="M819" s="27" t="str">
        <f aca="false">IF(OR(G819="",G819="?"),"",IFERROR(INDEX(Pubs!$D$2:$D$3001,MATCH(G819,Pubs!$A$2:$A$3001,0))&amp;"",""))</f>
        <v/>
      </c>
      <c r="N819" s="27" t="n">
        <f aca="false">N(N818)+IF(AND(A819&lt;&gt;"",OR(Recherche!$C$4="",A819=Recherche!$C$4),OR(Recherche!$C$5="",B819&amp;""=Recherche!$C$5&amp;""),OR(Recherche!$C$6="",IFERROR(YEAR(L819),0)=Recherche!$C$6),OR(Recherche!$C$7="",ISNUMBER(SEARCH(Recherche!$C$7,H819))),OR(Recherche!$C$8="",J819=Recherche!$C$8),OR(Recherche!$C$9="",I819=Recherche!$C$9),OR(Recherche!$C$10="",G819&amp;""=Recherche!$C$10&amp;""),OR(Recherche!$C$11="",E819=Recherche!$C$11),OR(Recherche!$C$12="",ISNUMBER(SEARCH(Recherche!$C$12,M819&amp;" "&amp;F819)))),1,0)</f>
        <v>8</v>
      </c>
    </row>
    <row r="820" customFormat="false" ht="15" hidden="false" customHeight="false" outlineLevel="0" collapsed="false">
      <c r="A820" s="19"/>
      <c r="B820" s="19"/>
      <c r="C820" s="19"/>
      <c r="D820" s="19"/>
      <c r="E820" s="22"/>
      <c r="F820" s="19"/>
      <c r="G820" s="26" t="str">
        <f aca="false">IF(D820="","",IFERROR(VALUE(LEFT(D820,FIND(" |",D820&amp;" |")-1)),"?"))</f>
        <v/>
      </c>
      <c r="H820" s="27" t="str">
        <f aca="false">IF(G820="","",IF(G820="?","⚠ pub inconnue",IFERROR(INDEX(Pubs!$B$2:$B$3001,MATCH(G820,Pubs!$A$2:$A$3001,0))&amp;"","⚠ pub inconnue")))</f>
        <v/>
      </c>
      <c r="I820" s="27" t="str">
        <f aca="false">IF(OR(G820="",G820="?"),"",IFERROR(INDEX(Pubs!$C$2:$C$3001,MATCH(G820,Pubs!$A$2:$A$3001,0))&amp;"",""))</f>
        <v/>
      </c>
      <c r="J820" s="27" t="str">
        <f aca="false">IF(OR(G820="",G820="?"),"",IFERROR(INDEX(Pubs!$G$2:$G$3001,MATCH(G820,Pubs!$A$2:$A$3001,0))&amp;"",""))</f>
        <v/>
      </c>
      <c r="K820" s="28" t="str">
        <f aca="false">IF(OR(G820="",G820="?"),"",IFERROR(INDEX(Pubs!$E$2:$E$3001,MATCH(G820,Pubs!$A$2:$A$3001,0)),""))</f>
        <v/>
      </c>
      <c r="L820" s="29" t="str">
        <f aca="false">IF(A820="","",IFERROR(1/(1/INDEX(Numéros!$C$2:$C$3001,MATCH(A820&amp;"|"&amp;B820,Numéros!$F$2:$F$3001,0))),""))</f>
        <v/>
      </c>
      <c r="M820" s="27" t="str">
        <f aca="false">IF(OR(G820="",G820="?"),"",IFERROR(INDEX(Pubs!$D$2:$D$3001,MATCH(G820,Pubs!$A$2:$A$3001,0))&amp;"",""))</f>
        <v/>
      </c>
      <c r="N820" s="27" t="n">
        <f aca="false">N(N819)+IF(AND(A820&lt;&gt;"",OR(Recherche!$C$4="",A820=Recherche!$C$4),OR(Recherche!$C$5="",B820&amp;""=Recherche!$C$5&amp;""),OR(Recherche!$C$6="",IFERROR(YEAR(L820),0)=Recherche!$C$6),OR(Recherche!$C$7="",ISNUMBER(SEARCH(Recherche!$C$7,H820))),OR(Recherche!$C$8="",J820=Recherche!$C$8),OR(Recherche!$C$9="",I820=Recherche!$C$9),OR(Recherche!$C$10="",G820&amp;""=Recherche!$C$10&amp;""),OR(Recherche!$C$11="",E820=Recherche!$C$11),OR(Recherche!$C$12="",ISNUMBER(SEARCH(Recherche!$C$12,M820&amp;" "&amp;F820)))),1,0)</f>
        <v>8</v>
      </c>
    </row>
    <row r="821" customFormat="false" ht="15" hidden="false" customHeight="false" outlineLevel="0" collapsed="false">
      <c r="A821" s="19"/>
      <c r="B821" s="19"/>
      <c r="C821" s="19"/>
      <c r="D821" s="19"/>
      <c r="E821" s="22"/>
      <c r="F821" s="19"/>
      <c r="G821" s="26" t="str">
        <f aca="false">IF(D821="","",IFERROR(VALUE(LEFT(D821,FIND(" |",D821&amp;" |")-1)),"?"))</f>
        <v/>
      </c>
      <c r="H821" s="27" t="str">
        <f aca="false">IF(G821="","",IF(G821="?","⚠ pub inconnue",IFERROR(INDEX(Pubs!$B$2:$B$3001,MATCH(G821,Pubs!$A$2:$A$3001,0))&amp;"","⚠ pub inconnue")))</f>
        <v/>
      </c>
      <c r="I821" s="27" t="str">
        <f aca="false">IF(OR(G821="",G821="?"),"",IFERROR(INDEX(Pubs!$C$2:$C$3001,MATCH(G821,Pubs!$A$2:$A$3001,0))&amp;"",""))</f>
        <v/>
      </c>
      <c r="J821" s="27" t="str">
        <f aca="false">IF(OR(G821="",G821="?"),"",IFERROR(INDEX(Pubs!$G$2:$G$3001,MATCH(G821,Pubs!$A$2:$A$3001,0))&amp;"",""))</f>
        <v/>
      </c>
      <c r="K821" s="28" t="str">
        <f aca="false">IF(OR(G821="",G821="?"),"",IFERROR(INDEX(Pubs!$E$2:$E$3001,MATCH(G821,Pubs!$A$2:$A$3001,0)),""))</f>
        <v/>
      </c>
      <c r="L821" s="29" t="str">
        <f aca="false">IF(A821="","",IFERROR(1/(1/INDEX(Numéros!$C$2:$C$3001,MATCH(A821&amp;"|"&amp;B821,Numéros!$F$2:$F$3001,0))),""))</f>
        <v/>
      </c>
      <c r="M821" s="27" t="str">
        <f aca="false">IF(OR(G821="",G821="?"),"",IFERROR(INDEX(Pubs!$D$2:$D$3001,MATCH(G821,Pubs!$A$2:$A$3001,0))&amp;"",""))</f>
        <v/>
      </c>
      <c r="N821" s="27" t="n">
        <f aca="false">N(N820)+IF(AND(A821&lt;&gt;"",OR(Recherche!$C$4="",A821=Recherche!$C$4),OR(Recherche!$C$5="",B821&amp;""=Recherche!$C$5&amp;""),OR(Recherche!$C$6="",IFERROR(YEAR(L821),0)=Recherche!$C$6),OR(Recherche!$C$7="",ISNUMBER(SEARCH(Recherche!$C$7,H821))),OR(Recherche!$C$8="",J821=Recherche!$C$8),OR(Recherche!$C$9="",I821=Recherche!$C$9),OR(Recherche!$C$10="",G821&amp;""=Recherche!$C$10&amp;""),OR(Recherche!$C$11="",E821=Recherche!$C$11),OR(Recherche!$C$12="",ISNUMBER(SEARCH(Recherche!$C$12,M821&amp;" "&amp;F821)))),1,0)</f>
        <v>8</v>
      </c>
    </row>
    <row r="822" customFormat="false" ht="15" hidden="false" customHeight="false" outlineLevel="0" collapsed="false">
      <c r="A822" s="19"/>
      <c r="B822" s="19"/>
      <c r="C822" s="19"/>
      <c r="D822" s="19"/>
      <c r="E822" s="22"/>
      <c r="F822" s="19"/>
      <c r="G822" s="26" t="str">
        <f aca="false">IF(D822="","",IFERROR(VALUE(LEFT(D822,FIND(" |",D822&amp;" |")-1)),"?"))</f>
        <v/>
      </c>
      <c r="H822" s="27" t="str">
        <f aca="false">IF(G822="","",IF(G822="?","⚠ pub inconnue",IFERROR(INDEX(Pubs!$B$2:$B$3001,MATCH(G822,Pubs!$A$2:$A$3001,0))&amp;"","⚠ pub inconnue")))</f>
        <v/>
      </c>
      <c r="I822" s="27" t="str">
        <f aca="false">IF(OR(G822="",G822="?"),"",IFERROR(INDEX(Pubs!$C$2:$C$3001,MATCH(G822,Pubs!$A$2:$A$3001,0))&amp;"",""))</f>
        <v/>
      </c>
      <c r="J822" s="27" t="str">
        <f aca="false">IF(OR(G822="",G822="?"),"",IFERROR(INDEX(Pubs!$G$2:$G$3001,MATCH(G822,Pubs!$A$2:$A$3001,0))&amp;"",""))</f>
        <v/>
      </c>
      <c r="K822" s="28" t="str">
        <f aca="false">IF(OR(G822="",G822="?"),"",IFERROR(INDEX(Pubs!$E$2:$E$3001,MATCH(G822,Pubs!$A$2:$A$3001,0)),""))</f>
        <v/>
      </c>
      <c r="L822" s="29" t="str">
        <f aca="false">IF(A822="","",IFERROR(1/(1/INDEX(Numéros!$C$2:$C$3001,MATCH(A822&amp;"|"&amp;B822,Numéros!$F$2:$F$3001,0))),""))</f>
        <v/>
      </c>
      <c r="M822" s="27" t="str">
        <f aca="false">IF(OR(G822="",G822="?"),"",IFERROR(INDEX(Pubs!$D$2:$D$3001,MATCH(G822,Pubs!$A$2:$A$3001,0))&amp;"",""))</f>
        <v/>
      </c>
      <c r="N822" s="27" t="n">
        <f aca="false">N(N821)+IF(AND(A822&lt;&gt;"",OR(Recherche!$C$4="",A822=Recherche!$C$4),OR(Recherche!$C$5="",B822&amp;""=Recherche!$C$5&amp;""),OR(Recherche!$C$6="",IFERROR(YEAR(L822),0)=Recherche!$C$6),OR(Recherche!$C$7="",ISNUMBER(SEARCH(Recherche!$C$7,H822))),OR(Recherche!$C$8="",J822=Recherche!$C$8),OR(Recherche!$C$9="",I822=Recherche!$C$9),OR(Recherche!$C$10="",G822&amp;""=Recherche!$C$10&amp;""),OR(Recherche!$C$11="",E822=Recherche!$C$11),OR(Recherche!$C$12="",ISNUMBER(SEARCH(Recherche!$C$12,M822&amp;" "&amp;F822)))),1,0)</f>
        <v>8</v>
      </c>
    </row>
    <row r="823" customFormat="false" ht="15" hidden="false" customHeight="false" outlineLevel="0" collapsed="false">
      <c r="A823" s="19"/>
      <c r="B823" s="19"/>
      <c r="C823" s="19"/>
      <c r="D823" s="19"/>
      <c r="E823" s="22"/>
      <c r="F823" s="19"/>
      <c r="G823" s="26" t="str">
        <f aca="false">IF(D823="","",IFERROR(VALUE(LEFT(D823,FIND(" |",D823&amp;" |")-1)),"?"))</f>
        <v/>
      </c>
      <c r="H823" s="27" t="str">
        <f aca="false">IF(G823="","",IF(G823="?","⚠ pub inconnue",IFERROR(INDEX(Pubs!$B$2:$B$3001,MATCH(G823,Pubs!$A$2:$A$3001,0))&amp;"","⚠ pub inconnue")))</f>
        <v/>
      </c>
      <c r="I823" s="27" t="str">
        <f aca="false">IF(OR(G823="",G823="?"),"",IFERROR(INDEX(Pubs!$C$2:$C$3001,MATCH(G823,Pubs!$A$2:$A$3001,0))&amp;"",""))</f>
        <v/>
      </c>
      <c r="J823" s="27" t="str">
        <f aca="false">IF(OR(G823="",G823="?"),"",IFERROR(INDEX(Pubs!$G$2:$G$3001,MATCH(G823,Pubs!$A$2:$A$3001,0))&amp;"",""))</f>
        <v/>
      </c>
      <c r="K823" s="28" t="str">
        <f aca="false">IF(OR(G823="",G823="?"),"",IFERROR(INDEX(Pubs!$E$2:$E$3001,MATCH(G823,Pubs!$A$2:$A$3001,0)),""))</f>
        <v/>
      </c>
      <c r="L823" s="29" t="str">
        <f aca="false">IF(A823="","",IFERROR(1/(1/INDEX(Numéros!$C$2:$C$3001,MATCH(A823&amp;"|"&amp;B823,Numéros!$F$2:$F$3001,0))),""))</f>
        <v/>
      </c>
      <c r="M823" s="27" t="str">
        <f aca="false">IF(OR(G823="",G823="?"),"",IFERROR(INDEX(Pubs!$D$2:$D$3001,MATCH(G823,Pubs!$A$2:$A$3001,0))&amp;"",""))</f>
        <v/>
      </c>
      <c r="N823" s="27" t="n">
        <f aca="false">N(N822)+IF(AND(A823&lt;&gt;"",OR(Recherche!$C$4="",A823=Recherche!$C$4),OR(Recherche!$C$5="",B823&amp;""=Recherche!$C$5&amp;""),OR(Recherche!$C$6="",IFERROR(YEAR(L823),0)=Recherche!$C$6),OR(Recherche!$C$7="",ISNUMBER(SEARCH(Recherche!$C$7,H823))),OR(Recherche!$C$8="",J823=Recherche!$C$8),OR(Recherche!$C$9="",I823=Recherche!$C$9),OR(Recherche!$C$10="",G823&amp;""=Recherche!$C$10&amp;""),OR(Recherche!$C$11="",E823=Recherche!$C$11),OR(Recherche!$C$12="",ISNUMBER(SEARCH(Recherche!$C$12,M823&amp;" "&amp;F823)))),1,0)</f>
        <v>8</v>
      </c>
    </row>
    <row r="824" customFormat="false" ht="15" hidden="false" customHeight="false" outlineLevel="0" collapsed="false">
      <c r="A824" s="19"/>
      <c r="B824" s="19"/>
      <c r="C824" s="19"/>
      <c r="D824" s="19"/>
      <c r="E824" s="22"/>
      <c r="F824" s="19"/>
      <c r="G824" s="26" t="str">
        <f aca="false">IF(D824="","",IFERROR(VALUE(LEFT(D824,FIND(" |",D824&amp;" |")-1)),"?"))</f>
        <v/>
      </c>
      <c r="H824" s="27" t="str">
        <f aca="false">IF(G824="","",IF(G824="?","⚠ pub inconnue",IFERROR(INDEX(Pubs!$B$2:$B$3001,MATCH(G824,Pubs!$A$2:$A$3001,0))&amp;"","⚠ pub inconnue")))</f>
        <v/>
      </c>
      <c r="I824" s="27" t="str">
        <f aca="false">IF(OR(G824="",G824="?"),"",IFERROR(INDEX(Pubs!$C$2:$C$3001,MATCH(G824,Pubs!$A$2:$A$3001,0))&amp;"",""))</f>
        <v/>
      </c>
      <c r="J824" s="27" t="str">
        <f aca="false">IF(OR(G824="",G824="?"),"",IFERROR(INDEX(Pubs!$G$2:$G$3001,MATCH(G824,Pubs!$A$2:$A$3001,0))&amp;"",""))</f>
        <v/>
      </c>
      <c r="K824" s="28" t="str">
        <f aca="false">IF(OR(G824="",G824="?"),"",IFERROR(INDEX(Pubs!$E$2:$E$3001,MATCH(G824,Pubs!$A$2:$A$3001,0)),""))</f>
        <v/>
      </c>
      <c r="L824" s="29" t="str">
        <f aca="false">IF(A824="","",IFERROR(1/(1/INDEX(Numéros!$C$2:$C$3001,MATCH(A824&amp;"|"&amp;B824,Numéros!$F$2:$F$3001,0))),""))</f>
        <v/>
      </c>
      <c r="M824" s="27" t="str">
        <f aca="false">IF(OR(G824="",G824="?"),"",IFERROR(INDEX(Pubs!$D$2:$D$3001,MATCH(G824,Pubs!$A$2:$A$3001,0))&amp;"",""))</f>
        <v/>
      </c>
      <c r="N824" s="27" t="n">
        <f aca="false">N(N823)+IF(AND(A824&lt;&gt;"",OR(Recherche!$C$4="",A824=Recherche!$C$4),OR(Recherche!$C$5="",B824&amp;""=Recherche!$C$5&amp;""),OR(Recherche!$C$6="",IFERROR(YEAR(L824),0)=Recherche!$C$6),OR(Recherche!$C$7="",ISNUMBER(SEARCH(Recherche!$C$7,H824))),OR(Recherche!$C$8="",J824=Recherche!$C$8),OR(Recherche!$C$9="",I824=Recherche!$C$9),OR(Recherche!$C$10="",G824&amp;""=Recherche!$C$10&amp;""),OR(Recherche!$C$11="",E824=Recherche!$C$11),OR(Recherche!$C$12="",ISNUMBER(SEARCH(Recherche!$C$12,M824&amp;" "&amp;F824)))),1,0)</f>
        <v>8</v>
      </c>
    </row>
    <row r="825" customFormat="false" ht="15" hidden="false" customHeight="false" outlineLevel="0" collapsed="false">
      <c r="A825" s="19"/>
      <c r="B825" s="19"/>
      <c r="C825" s="19"/>
      <c r="D825" s="19"/>
      <c r="E825" s="22"/>
      <c r="F825" s="19"/>
      <c r="G825" s="26" t="str">
        <f aca="false">IF(D825="","",IFERROR(VALUE(LEFT(D825,FIND(" |",D825&amp;" |")-1)),"?"))</f>
        <v/>
      </c>
      <c r="H825" s="27" t="str">
        <f aca="false">IF(G825="","",IF(G825="?","⚠ pub inconnue",IFERROR(INDEX(Pubs!$B$2:$B$3001,MATCH(G825,Pubs!$A$2:$A$3001,0))&amp;"","⚠ pub inconnue")))</f>
        <v/>
      </c>
      <c r="I825" s="27" t="str">
        <f aca="false">IF(OR(G825="",G825="?"),"",IFERROR(INDEX(Pubs!$C$2:$C$3001,MATCH(G825,Pubs!$A$2:$A$3001,0))&amp;"",""))</f>
        <v/>
      </c>
      <c r="J825" s="27" t="str">
        <f aca="false">IF(OR(G825="",G825="?"),"",IFERROR(INDEX(Pubs!$G$2:$G$3001,MATCH(G825,Pubs!$A$2:$A$3001,0))&amp;"",""))</f>
        <v/>
      </c>
      <c r="K825" s="28" t="str">
        <f aca="false">IF(OR(G825="",G825="?"),"",IFERROR(INDEX(Pubs!$E$2:$E$3001,MATCH(G825,Pubs!$A$2:$A$3001,0)),""))</f>
        <v/>
      </c>
      <c r="L825" s="29" t="str">
        <f aca="false">IF(A825="","",IFERROR(1/(1/INDEX(Numéros!$C$2:$C$3001,MATCH(A825&amp;"|"&amp;B825,Numéros!$F$2:$F$3001,0))),""))</f>
        <v/>
      </c>
      <c r="M825" s="27" t="str">
        <f aca="false">IF(OR(G825="",G825="?"),"",IFERROR(INDEX(Pubs!$D$2:$D$3001,MATCH(G825,Pubs!$A$2:$A$3001,0))&amp;"",""))</f>
        <v/>
      </c>
      <c r="N825" s="27" t="n">
        <f aca="false">N(N824)+IF(AND(A825&lt;&gt;"",OR(Recherche!$C$4="",A825=Recherche!$C$4),OR(Recherche!$C$5="",B825&amp;""=Recherche!$C$5&amp;""),OR(Recherche!$C$6="",IFERROR(YEAR(L825),0)=Recherche!$C$6),OR(Recherche!$C$7="",ISNUMBER(SEARCH(Recherche!$C$7,H825))),OR(Recherche!$C$8="",J825=Recherche!$C$8),OR(Recherche!$C$9="",I825=Recherche!$C$9),OR(Recherche!$C$10="",G825&amp;""=Recherche!$C$10&amp;""),OR(Recherche!$C$11="",E825=Recherche!$C$11),OR(Recherche!$C$12="",ISNUMBER(SEARCH(Recherche!$C$12,M825&amp;" "&amp;F825)))),1,0)</f>
        <v>8</v>
      </c>
    </row>
    <row r="826" customFormat="false" ht="15" hidden="false" customHeight="false" outlineLevel="0" collapsed="false">
      <c r="A826" s="19"/>
      <c r="B826" s="19"/>
      <c r="C826" s="19"/>
      <c r="D826" s="19"/>
      <c r="E826" s="22"/>
      <c r="F826" s="19"/>
      <c r="G826" s="26" t="str">
        <f aca="false">IF(D826="","",IFERROR(VALUE(LEFT(D826,FIND(" |",D826&amp;" |")-1)),"?"))</f>
        <v/>
      </c>
      <c r="H826" s="27" t="str">
        <f aca="false">IF(G826="","",IF(G826="?","⚠ pub inconnue",IFERROR(INDEX(Pubs!$B$2:$B$3001,MATCH(G826,Pubs!$A$2:$A$3001,0))&amp;"","⚠ pub inconnue")))</f>
        <v/>
      </c>
      <c r="I826" s="27" t="str">
        <f aca="false">IF(OR(G826="",G826="?"),"",IFERROR(INDEX(Pubs!$C$2:$C$3001,MATCH(G826,Pubs!$A$2:$A$3001,0))&amp;"",""))</f>
        <v/>
      </c>
      <c r="J826" s="27" t="str">
        <f aca="false">IF(OR(G826="",G826="?"),"",IFERROR(INDEX(Pubs!$G$2:$G$3001,MATCH(G826,Pubs!$A$2:$A$3001,0))&amp;"",""))</f>
        <v/>
      </c>
      <c r="K826" s="28" t="str">
        <f aca="false">IF(OR(G826="",G826="?"),"",IFERROR(INDEX(Pubs!$E$2:$E$3001,MATCH(G826,Pubs!$A$2:$A$3001,0)),""))</f>
        <v/>
      </c>
      <c r="L826" s="29" t="str">
        <f aca="false">IF(A826="","",IFERROR(1/(1/INDEX(Numéros!$C$2:$C$3001,MATCH(A826&amp;"|"&amp;B826,Numéros!$F$2:$F$3001,0))),""))</f>
        <v/>
      </c>
      <c r="M826" s="27" t="str">
        <f aca="false">IF(OR(G826="",G826="?"),"",IFERROR(INDEX(Pubs!$D$2:$D$3001,MATCH(G826,Pubs!$A$2:$A$3001,0))&amp;"",""))</f>
        <v/>
      </c>
      <c r="N826" s="27" t="n">
        <f aca="false">N(N825)+IF(AND(A826&lt;&gt;"",OR(Recherche!$C$4="",A826=Recherche!$C$4),OR(Recherche!$C$5="",B826&amp;""=Recherche!$C$5&amp;""),OR(Recherche!$C$6="",IFERROR(YEAR(L826),0)=Recherche!$C$6),OR(Recherche!$C$7="",ISNUMBER(SEARCH(Recherche!$C$7,H826))),OR(Recherche!$C$8="",J826=Recherche!$C$8),OR(Recherche!$C$9="",I826=Recherche!$C$9),OR(Recherche!$C$10="",G826&amp;""=Recherche!$C$10&amp;""),OR(Recherche!$C$11="",E826=Recherche!$C$11),OR(Recherche!$C$12="",ISNUMBER(SEARCH(Recherche!$C$12,M826&amp;" "&amp;F826)))),1,0)</f>
        <v>8</v>
      </c>
    </row>
    <row r="827" customFormat="false" ht="15" hidden="false" customHeight="false" outlineLevel="0" collapsed="false">
      <c r="A827" s="19"/>
      <c r="B827" s="19"/>
      <c r="C827" s="19"/>
      <c r="D827" s="19"/>
      <c r="E827" s="22"/>
      <c r="F827" s="19"/>
      <c r="G827" s="26" t="str">
        <f aca="false">IF(D827="","",IFERROR(VALUE(LEFT(D827,FIND(" |",D827&amp;" |")-1)),"?"))</f>
        <v/>
      </c>
      <c r="H827" s="27" t="str">
        <f aca="false">IF(G827="","",IF(G827="?","⚠ pub inconnue",IFERROR(INDEX(Pubs!$B$2:$B$3001,MATCH(G827,Pubs!$A$2:$A$3001,0))&amp;"","⚠ pub inconnue")))</f>
        <v/>
      </c>
      <c r="I827" s="27" t="str">
        <f aca="false">IF(OR(G827="",G827="?"),"",IFERROR(INDEX(Pubs!$C$2:$C$3001,MATCH(G827,Pubs!$A$2:$A$3001,0))&amp;"",""))</f>
        <v/>
      </c>
      <c r="J827" s="27" t="str">
        <f aca="false">IF(OR(G827="",G827="?"),"",IFERROR(INDEX(Pubs!$G$2:$G$3001,MATCH(G827,Pubs!$A$2:$A$3001,0))&amp;"",""))</f>
        <v/>
      </c>
      <c r="K827" s="28" t="str">
        <f aca="false">IF(OR(G827="",G827="?"),"",IFERROR(INDEX(Pubs!$E$2:$E$3001,MATCH(G827,Pubs!$A$2:$A$3001,0)),""))</f>
        <v/>
      </c>
      <c r="L827" s="29" t="str">
        <f aca="false">IF(A827="","",IFERROR(1/(1/INDEX(Numéros!$C$2:$C$3001,MATCH(A827&amp;"|"&amp;B827,Numéros!$F$2:$F$3001,0))),""))</f>
        <v/>
      </c>
      <c r="M827" s="27" t="str">
        <f aca="false">IF(OR(G827="",G827="?"),"",IFERROR(INDEX(Pubs!$D$2:$D$3001,MATCH(G827,Pubs!$A$2:$A$3001,0))&amp;"",""))</f>
        <v/>
      </c>
      <c r="N827" s="27" t="n">
        <f aca="false">N(N826)+IF(AND(A827&lt;&gt;"",OR(Recherche!$C$4="",A827=Recherche!$C$4),OR(Recherche!$C$5="",B827&amp;""=Recherche!$C$5&amp;""),OR(Recherche!$C$6="",IFERROR(YEAR(L827),0)=Recherche!$C$6),OR(Recherche!$C$7="",ISNUMBER(SEARCH(Recherche!$C$7,H827))),OR(Recherche!$C$8="",J827=Recherche!$C$8),OR(Recherche!$C$9="",I827=Recherche!$C$9),OR(Recherche!$C$10="",G827&amp;""=Recherche!$C$10&amp;""),OR(Recherche!$C$11="",E827=Recherche!$C$11),OR(Recherche!$C$12="",ISNUMBER(SEARCH(Recherche!$C$12,M827&amp;" "&amp;F827)))),1,0)</f>
        <v>8</v>
      </c>
    </row>
    <row r="828" customFormat="false" ht="15" hidden="false" customHeight="false" outlineLevel="0" collapsed="false">
      <c r="A828" s="19"/>
      <c r="B828" s="19"/>
      <c r="C828" s="19"/>
      <c r="D828" s="19"/>
      <c r="E828" s="22"/>
      <c r="F828" s="19"/>
      <c r="G828" s="26" t="str">
        <f aca="false">IF(D828="","",IFERROR(VALUE(LEFT(D828,FIND(" |",D828&amp;" |")-1)),"?"))</f>
        <v/>
      </c>
      <c r="H828" s="27" t="str">
        <f aca="false">IF(G828="","",IF(G828="?","⚠ pub inconnue",IFERROR(INDEX(Pubs!$B$2:$B$3001,MATCH(G828,Pubs!$A$2:$A$3001,0))&amp;"","⚠ pub inconnue")))</f>
        <v/>
      </c>
      <c r="I828" s="27" t="str">
        <f aca="false">IF(OR(G828="",G828="?"),"",IFERROR(INDEX(Pubs!$C$2:$C$3001,MATCH(G828,Pubs!$A$2:$A$3001,0))&amp;"",""))</f>
        <v/>
      </c>
      <c r="J828" s="27" t="str">
        <f aca="false">IF(OR(G828="",G828="?"),"",IFERROR(INDEX(Pubs!$G$2:$G$3001,MATCH(G828,Pubs!$A$2:$A$3001,0))&amp;"",""))</f>
        <v/>
      </c>
      <c r="K828" s="28" t="str">
        <f aca="false">IF(OR(G828="",G828="?"),"",IFERROR(INDEX(Pubs!$E$2:$E$3001,MATCH(G828,Pubs!$A$2:$A$3001,0)),""))</f>
        <v/>
      </c>
      <c r="L828" s="29" t="str">
        <f aca="false">IF(A828="","",IFERROR(1/(1/INDEX(Numéros!$C$2:$C$3001,MATCH(A828&amp;"|"&amp;B828,Numéros!$F$2:$F$3001,0))),""))</f>
        <v/>
      </c>
      <c r="M828" s="27" t="str">
        <f aca="false">IF(OR(G828="",G828="?"),"",IFERROR(INDEX(Pubs!$D$2:$D$3001,MATCH(G828,Pubs!$A$2:$A$3001,0))&amp;"",""))</f>
        <v/>
      </c>
      <c r="N828" s="27" t="n">
        <f aca="false">N(N827)+IF(AND(A828&lt;&gt;"",OR(Recherche!$C$4="",A828=Recherche!$C$4),OR(Recherche!$C$5="",B828&amp;""=Recherche!$C$5&amp;""),OR(Recherche!$C$6="",IFERROR(YEAR(L828),0)=Recherche!$C$6),OR(Recherche!$C$7="",ISNUMBER(SEARCH(Recherche!$C$7,H828))),OR(Recherche!$C$8="",J828=Recherche!$C$8),OR(Recherche!$C$9="",I828=Recherche!$C$9),OR(Recherche!$C$10="",G828&amp;""=Recherche!$C$10&amp;""),OR(Recherche!$C$11="",E828=Recherche!$C$11),OR(Recherche!$C$12="",ISNUMBER(SEARCH(Recherche!$C$12,M828&amp;" "&amp;F828)))),1,0)</f>
        <v>8</v>
      </c>
    </row>
    <row r="829" customFormat="false" ht="15" hidden="false" customHeight="false" outlineLevel="0" collapsed="false">
      <c r="A829" s="19"/>
      <c r="B829" s="19"/>
      <c r="C829" s="19"/>
      <c r="D829" s="19"/>
      <c r="E829" s="22"/>
      <c r="F829" s="19"/>
      <c r="G829" s="26" t="str">
        <f aca="false">IF(D829="","",IFERROR(VALUE(LEFT(D829,FIND(" |",D829&amp;" |")-1)),"?"))</f>
        <v/>
      </c>
      <c r="H829" s="27" t="str">
        <f aca="false">IF(G829="","",IF(G829="?","⚠ pub inconnue",IFERROR(INDEX(Pubs!$B$2:$B$3001,MATCH(G829,Pubs!$A$2:$A$3001,0))&amp;"","⚠ pub inconnue")))</f>
        <v/>
      </c>
      <c r="I829" s="27" t="str">
        <f aca="false">IF(OR(G829="",G829="?"),"",IFERROR(INDEX(Pubs!$C$2:$C$3001,MATCH(G829,Pubs!$A$2:$A$3001,0))&amp;"",""))</f>
        <v/>
      </c>
      <c r="J829" s="27" t="str">
        <f aca="false">IF(OR(G829="",G829="?"),"",IFERROR(INDEX(Pubs!$G$2:$G$3001,MATCH(G829,Pubs!$A$2:$A$3001,0))&amp;"",""))</f>
        <v/>
      </c>
      <c r="K829" s="28" t="str">
        <f aca="false">IF(OR(G829="",G829="?"),"",IFERROR(INDEX(Pubs!$E$2:$E$3001,MATCH(G829,Pubs!$A$2:$A$3001,0)),""))</f>
        <v/>
      </c>
      <c r="L829" s="29" t="str">
        <f aca="false">IF(A829="","",IFERROR(1/(1/INDEX(Numéros!$C$2:$C$3001,MATCH(A829&amp;"|"&amp;B829,Numéros!$F$2:$F$3001,0))),""))</f>
        <v/>
      </c>
      <c r="M829" s="27" t="str">
        <f aca="false">IF(OR(G829="",G829="?"),"",IFERROR(INDEX(Pubs!$D$2:$D$3001,MATCH(G829,Pubs!$A$2:$A$3001,0))&amp;"",""))</f>
        <v/>
      </c>
      <c r="N829" s="27" t="n">
        <f aca="false">N(N828)+IF(AND(A829&lt;&gt;"",OR(Recherche!$C$4="",A829=Recherche!$C$4),OR(Recherche!$C$5="",B829&amp;""=Recherche!$C$5&amp;""),OR(Recherche!$C$6="",IFERROR(YEAR(L829),0)=Recherche!$C$6),OR(Recherche!$C$7="",ISNUMBER(SEARCH(Recherche!$C$7,H829))),OR(Recherche!$C$8="",J829=Recherche!$C$8),OR(Recherche!$C$9="",I829=Recherche!$C$9),OR(Recherche!$C$10="",G829&amp;""=Recherche!$C$10&amp;""),OR(Recherche!$C$11="",E829=Recherche!$C$11),OR(Recherche!$C$12="",ISNUMBER(SEARCH(Recherche!$C$12,M829&amp;" "&amp;F829)))),1,0)</f>
        <v>8</v>
      </c>
    </row>
    <row r="830" customFormat="false" ht="15" hidden="false" customHeight="false" outlineLevel="0" collapsed="false">
      <c r="A830" s="19"/>
      <c r="B830" s="19"/>
      <c r="C830" s="19"/>
      <c r="D830" s="19"/>
      <c r="E830" s="22"/>
      <c r="F830" s="19"/>
      <c r="G830" s="26" t="str">
        <f aca="false">IF(D830="","",IFERROR(VALUE(LEFT(D830,FIND(" |",D830&amp;" |")-1)),"?"))</f>
        <v/>
      </c>
      <c r="H830" s="27" t="str">
        <f aca="false">IF(G830="","",IF(G830="?","⚠ pub inconnue",IFERROR(INDEX(Pubs!$B$2:$B$3001,MATCH(G830,Pubs!$A$2:$A$3001,0))&amp;"","⚠ pub inconnue")))</f>
        <v/>
      </c>
      <c r="I830" s="27" t="str">
        <f aca="false">IF(OR(G830="",G830="?"),"",IFERROR(INDEX(Pubs!$C$2:$C$3001,MATCH(G830,Pubs!$A$2:$A$3001,0))&amp;"",""))</f>
        <v/>
      </c>
      <c r="J830" s="27" t="str">
        <f aca="false">IF(OR(G830="",G830="?"),"",IFERROR(INDEX(Pubs!$G$2:$G$3001,MATCH(G830,Pubs!$A$2:$A$3001,0))&amp;"",""))</f>
        <v/>
      </c>
      <c r="K830" s="28" t="str">
        <f aca="false">IF(OR(G830="",G830="?"),"",IFERROR(INDEX(Pubs!$E$2:$E$3001,MATCH(G830,Pubs!$A$2:$A$3001,0)),""))</f>
        <v/>
      </c>
      <c r="L830" s="29" t="str">
        <f aca="false">IF(A830="","",IFERROR(1/(1/INDEX(Numéros!$C$2:$C$3001,MATCH(A830&amp;"|"&amp;B830,Numéros!$F$2:$F$3001,0))),""))</f>
        <v/>
      </c>
      <c r="M830" s="27" t="str">
        <f aca="false">IF(OR(G830="",G830="?"),"",IFERROR(INDEX(Pubs!$D$2:$D$3001,MATCH(G830,Pubs!$A$2:$A$3001,0))&amp;"",""))</f>
        <v/>
      </c>
      <c r="N830" s="27" t="n">
        <f aca="false">N(N829)+IF(AND(A830&lt;&gt;"",OR(Recherche!$C$4="",A830=Recherche!$C$4),OR(Recherche!$C$5="",B830&amp;""=Recherche!$C$5&amp;""),OR(Recherche!$C$6="",IFERROR(YEAR(L830),0)=Recherche!$C$6),OR(Recherche!$C$7="",ISNUMBER(SEARCH(Recherche!$C$7,H830))),OR(Recherche!$C$8="",J830=Recherche!$C$8),OR(Recherche!$C$9="",I830=Recherche!$C$9),OR(Recherche!$C$10="",G830&amp;""=Recherche!$C$10&amp;""),OR(Recherche!$C$11="",E830=Recherche!$C$11),OR(Recherche!$C$12="",ISNUMBER(SEARCH(Recherche!$C$12,M830&amp;" "&amp;F830)))),1,0)</f>
        <v>8</v>
      </c>
    </row>
    <row r="831" customFormat="false" ht="15" hidden="false" customHeight="false" outlineLevel="0" collapsed="false">
      <c r="A831" s="19"/>
      <c r="B831" s="19"/>
      <c r="C831" s="19"/>
      <c r="D831" s="19"/>
      <c r="E831" s="22"/>
      <c r="F831" s="19"/>
      <c r="G831" s="26" t="str">
        <f aca="false">IF(D831="","",IFERROR(VALUE(LEFT(D831,FIND(" |",D831&amp;" |")-1)),"?"))</f>
        <v/>
      </c>
      <c r="H831" s="27" t="str">
        <f aca="false">IF(G831="","",IF(G831="?","⚠ pub inconnue",IFERROR(INDEX(Pubs!$B$2:$B$3001,MATCH(G831,Pubs!$A$2:$A$3001,0))&amp;"","⚠ pub inconnue")))</f>
        <v/>
      </c>
      <c r="I831" s="27" t="str">
        <f aca="false">IF(OR(G831="",G831="?"),"",IFERROR(INDEX(Pubs!$C$2:$C$3001,MATCH(G831,Pubs!$A$2:$A$3001,0))&amp;"",""))</f>
        <v/>
      </c>
      <c r="J831" s="27" t="str">
        <f aca="false">IF(OR(G831="",G831="?"),"",IFERROR(INDEX(Pubs!$G$2:$G$3001,MATCH(G831,Pubs!$A$2:$A$3001,0))&amp;"",""))</f>
        <v/>
      </c>
      <c r="K831" s="28" t="str">
        <f aca="false">IF(OR(G831="",G831="?"),"",IFERROR(INDEX(Pubs!$E$2:$E$3001,MATCH(G831,Pubs!$A$2:$A$3001,0)),""))</f>
        <v/>
      </c>
      <c r="L831" s="29" t="str">
        <f aca="false">IF(A831="","",IFERROR(1/(1/INDEX(Numéros!$C$2:$C$3001,MATCH(A831&amp;"|"&amp;B831,Numéros!$F$2:$F$3001,0))),""))</f>
        <v/>
      </c>
      <c r="M831" s="27" t="str">
        <f aca="false">IF(OR(G831="",G831="?"),"",IFERROR(INDEX(Pubs!$D$2:$D$3001,MATCH(G831,Pubs!$A$2:$A$3001,0))&amp;"",""))</f>
        <v/>
      </c>
      <c r="N831" s="27" t="n">
        <f aca="false">N(N830)+IF(AND(A831&lt;&gt;"",OR(Recherche!$C$4="",A831=Recherche!$C$4),OR(Recherche!$C$5="",B831&amp;""=Recherche!$C$5&amp;""),OR(Recherche!$C$6="",IFERROR(YEAR(L831),0)=Recherche!$C$6),OR(Recherche!$C$7="",ISNUMBER(SEARCH(Recherche!$C$7,H831))),OR(Recherche!$C$8="",J831=Recherche!$C$8),OR(Recherche!$C$9="",I831=Recherche!$C$9),OR(Recherche!$C$10="",G831&amp;""=Recherche!$C$10&amp;""),OR(Recherche!$C$11="",E831=Recherche!$C$11),OR(Recherche!$C$12="",ISNUMBER(SEARCH(Recherche!$C$12,M831&amp;" "&amp;F831)))),1,0)</f>
        <v>8</v>
      </c>
    </row>
    <row r="832" customFormat="false" ht="15" hidden="false" customHeight="false" outlineLevel="0" collapsed="false">
      <c r="A832" s="19"/>
      <c r="B832" s="19"/>
      <c r="C832" s="19"/>
      <c r="D832" s="19"/>
      <c r="E832" s="22"/>
      <c r="F832" s="19"/>
      <c r="G832" s="26" t="str">
        <f aca="false">IF(D832="","",IFERROR(VALUE(LEFT(D832,FIND(" |",D832&amp;" |")-1)),"?"))</f>
        <v/>
      </c>
      <c r="H832" s="27" t="str">
        <f aca="false">IF(G832="","",IF(G832="?","⚠ pub inconnue",IFERROR(INDEX(Pubs!$B$2:$B$3001,MATCH(G832,Pubs!$A$2:$A$3001,0))&amp;"","⚠ pub inconnue")))</f>
        <v/>
      </c>
      <c r="I832" s="27" t="str">
        <f aca="false">IF(OR(G832="",G832="?"),"",IFERROR(INDEX(Pubs!$C$2:$C$3001,MATCH(G832,Pubs!$A$2:$A$3001,0))&amp;"",""))</f>
        <v/>
      </c>
      <c r="J832" s="27" t="str">
        <f aca="false">IF(OR(G832="",G832="?"),"",IFERROR(INDEX(Pubs!$G$2:$G$3001,MATCH(G832,Pubs!$A$2:$A$3001,0))&amp;"",""))</f>
        <v/>
      </c>
      <c r="K832" s="28" t="str">
        <f aca="false">IF(OR(G832="",G832="?"),"",IFERROR(INDEX(Pubs!$E$2:$E$3001,MATCH(G832,Pubs!$A$2:$A$3001,0)),""))</f>
        <v/>
      </c>
      <c r="L832" s="29" t="str">
        <f aca="false">IF(A832="","",IFERROR(1/(1/INDEX(Numéros!$C$2:$C$3001,MATCH(A832&amp;"|"&amp;B832,Numéros!$F$2:$F$3001,0))),""))</f>
        <v/>
      </c>
      <c r="M832" s="27" t="str">
        <f aca="false">IF(OR(G832="",G832="?"),"",IFERROR(INDEX(Pubs!$D$2:$D$3001,MATCH(G832,Pubs!$A$2:$A$3001,0))&amp;"",""))</f>
        <v/>
      </c>
      <c r="N832" s="27" t="n">
        <f aca="false">N(N831)+IF(AND(A832&lt;&gt;"",OR(Recherche!$C$4="",A832=Recherche!$C$4),OR(Recherche!$C$5="",B832&amp;""=Recherche!$C$5&amp;""),OR(Recherche!$C$6="",IFERROR(YEAR(L832),0)=Recherche!$C$6),OR(Recherche!$C$7="",ISNUMBER(SEARCH(Recherche!$C$7,H832))),OR(Recherche!$C$8="",J832=Recherche!$C$8),OR(Recherche!$C$9="",I832=Recherche!$C$9),OR(Recherche!$C$10="",G832&amp;""=Recherche!$C$10&amp;""),OR(Recherche!$C$11="",E832=Recherche!$C$11),OR(Recherche!$C$12="",ISNUMBER(SEARCH(Recherche!$C$12,M832&amp;" "&amp;F832)))),1,0)</f>
        <v>8</v>
      </c>
    </row>
    <row r="833" customFormat="false" ht="15" hidden="false" customHeight="false" outlineLevel="0" collapsed="false">
      <c r="A833" s="19"/>
      <c r="B833" s="19"/>
      <c r="C833" s="19"/>
      <c r="D833" s="19"/>
      <c r="E833" s="22"/>
      <c r="F833" s="19"/>
      <c r="G833" s="26" t="str">
        <f aca="false">IF(D833="","",IFERROR(VALUE(LEFT(D833,FIND(" |",D833&amp;" |")-1)),"?"))</f>
        <v/>
      </c>
      <c r="H833" s="27" t="str">
        <f aca="false">IF(G833="","",IF(G833="?","⚠ pub inconnue",IFERROR(INDEX(Pubs!$B$2:$B$3001,MATCH(G833,Pubs!$A$2:$A$3001,0))&amp;"","⚠ pub inconnue")))</f>
        <v/>
      </c>
      <c r="I833" s="27" t="str">
        <f aca="false">IF(OR(G833="",G833="?"),"",IFERROR(INDEX(Pubs!$C$2:$C$3001,MATCH(G833,Pubs!$A$2:$A$3001,0))&amp;"",""))</f>
        <v/>
      </c>
      <c r="J833" s="27" t="str">
        <f aca="false">IF(OR(G833="",G833="?"),"",IFERROR(INDEX(Pubs!$G$2:$G$3001,MATCH(G833,Pubs!$A$2:$A$3001,0))&amp;"",""))</f>
        <v/>
      </c>
      <c r="K833" s="28" t="str">
        <f aca="false">IF(OR(G833="",G833="?"),"",IFERROR(INDEX(Pubs!$E$2:$E$3001,MATCH(G833,Pubs!$A$2:$A$3001,0)),""))</f>
        <v/>
      </c>
      <c r="L833" s="29" t="str">
        <f aca="false">IF(A833="","",IFERROR(1/(1/INDEX(Numéros!$C$2:$C$3001,MATCH(A833&amp;"|"&amp;B833,Numéros!$F$2:$F$3001,0))),""))</f>
        <v/>
      </c>
      <c r="M833" s="27" t="str">
        <f aca="false">IF(OR(G833="",G833="?"),"",IFERROR(INDEX(Pubs!$D$2:$D$3001,MATCH(G833,Pubs!$A$2:$A$3001,0))&amp;"",""))</f>
        <v/>
      </c>
      <c r="N833" s="27" t="n">
        <f aca="false">N(N832)+IF(AND(A833&lt;&gt;"",OR(Recherche!$C$4="",A833=Recherche!$C$4),OR(Recherche!$C$5="",B833&amp;""=Recherche!$C$5&amp;""),OR(Recherche!$C$6="",IFERROR(YEAR(L833),0)=Recherche!$C$6),OR(Recherche!$C$7="",ISNUMBER(SEARCH(Recherche!$C$7,H833))),OR(Recherche!$C$8="",J833=Recherche!$C$8),OR(Recherche!$C$9="",I833=Recherche!$C$9),OR(Recherche!$C$10="",G833&amp;""=Recherche!$C$10&amp;""),OR(Recherche!$C$11="",E833=Recherche!$C$11),OR(Recherche!$C$12="",ISNUMBER(SEARCH(Recherche!$C$12,M833&amp;" "&amp;F833)))),1,0)</f>
        <v>8</v>
      </c>
    </row>
    <row r="834" customFormat="false" ht="15" hidden="false" customHeight="false" outlineLevel="0" collapsed="false">
      <c r="A834" s="19"/>
      <c r="B834" s="19"/>
      <c r="C834" s="19"/>
      <c r="D834" s="19"/>
      <c r="E834" s="22"/>
      <c r="F834" s="19"/>
      <c r="G834" s="26" t="str">
        <f aca="false">IF(D834="","",IFERROR(VALUE(LEFT(D834,FIND(" |",D834&amp;" |")-1)),"?"))</f>
        <v/>
      </c>
      <c r="H834" s="27" t="str">
        <f aca="false">IF(G834="","",IF(G834="?","⚠ pub inconnue",IFERROR(INDEX(Pubs!$B$2:$B$3001,MATCH(G834,Pubs!$A$2:$A$3001,0))&amp;"","⚠ pub inconnue")))</f>
        <v/>
      </c>
      <c r="I834" s="27" t="str">
        <f aca="false">IF(OR(G834="",G834="?"),"",IFERROR(INDEX(Pubs!$C$2:$C$3001,MATCH(G834,Pubs!$A$2:$A$3001,0))&amp;"",""))</f>
        <v/>
      </c>
      <c r="J834" s="27" t="str">
        <f aca="false">IF(OR(G834="",G834="?"),"",IFERROR(INDEX(Pubs!$G$2:$G$3001,MATCH(G834,Pubs!$A$2:$A$3001,0))&amp;"",""))</f>
        <v/>
      </c>
      <c r="K834" s="28" t="str">
        <f aca="false">IF(OR(G834="",G834="?"),"",IFERROR(INDEX(Pubs!$E$2:$E$3001,MATCH(G834,Pubs!$A$2:$A$3001,0)),""))</f>
        <v/>
      </c>
      <c r="L834" s="29" t="str">
        <f aca="false">IF(A834="","",IFERROR(1/(1/INDEX(Numéros!$C$2:$C$3001,MATCH(A834&amp;"|"&amp;B834,Numéros!$F$2:$F$3001,0))),""))</f>
        <v/>
      </c>
      <c r="M834" s="27" t="str">
        <f aca="false">IF(OR(G834="",G834="?"),"",IFERROR(INDEX(Pubs!$D$2:$D$3001,MATCH(G834,Pubs!$A$2:$A$3001,0))&amp;"",""))</f>
        <v/>
      </c>
      <c r="N834" s="27" t="n">
        <f aca="false">N(N833)+IF(AND(A834&lt;&gt;"",OR(Recherche!$C$4="",A834=Recherche!$C$4),OR(Recherche!$C$5="",B834&amp;""=Recherche!$C$5&amp;""),OR(Recherche!$C$6="",IFERROR(YEAR(L834),0)=Recherche!$C$6),OR(Recherche!$C$7="",ISNUMBER(SEARCH(Recherche!$C$7,H834))),OR(Recherche!$C$8="",J834=Recherche!$C$8),OR(Recherche!$C$9="",I834=Recherche!$C$9),OR(Recherche!$C$10="",G834&amp;""=Recherche!$C$10&amp;""),OR(Recherche!$C$11="",E834=Recherche!$C$11),OR(Recherche!$C$12="",ISNUMBER(SEARCH(Recherche!$C$12,M834&amp;" "&amp;F834)))),1,0)</f>
        <v>8</v>
      </c>
    </row>
    <row r="835" customFormat="false" ht="15" hidden="false" customHeight="false" outlineLevel="0" collapsed="false">
      <c r="A835" s="19"/>
      <c r="B835" s="19"/>
      <c r="C835" s="19"/>
      <c r="D835" s="19"/>
      <c r="E835" s="22"/>
      <c r="F835" s="19"/>
      <c r="G835" s="26" t="str">
        <f aca="false">IF(D835="","",IFERROR(VALUE(LEFT(D835,FIND(" |",D835&amp;" |")-1)),"?"))</f>
        <v/>
      </c>
      <c r="H835" s="27" t="str">
        <f aca="false">IF(G835="","",IF(G835="?","⚠ pub inconnue",IFERROR(INDEX(Pubs!$B$2:$B$3001,MATCH(G835,Pubs!$A$2:$A$3001,0))&amp;"","⚠ pub inconnue")))</f>
        <v/>
      </c>
      <c r="I835" s="27" t="str">
        <f aca="false">IF(OR(G835="",G835="?"),"",IFERROR(INDEX(Pubs!$C$2:$C$3001,MATCH(G835,Pubs!$A$2:$A$3001,0))&amp;"",""))</f>
        <v/>
      </c>
      <c r="J835" s="27" t="str">
        <f aca="false">IF(OR(G835="",G835="?"),"",IFERROR(INDEX(Pubs!$G$2:$G$3001,MATCH(G835,Pubs!$A$2:$A$3001,0))&amp;"",""))</f>
        <v/>
      </c>
      <c r="K835" s="28" t="str">
        <f aca="false">IF(OR(G835="",G835="?"),"",IFERROR(INDEX(Pubs!$E$2:$E$3001,MATCH(G835,Pubs!$A$2:$A$3001,0)),""))</f>
        <v/>
      </c>
      <c r="L835" s="29" t="str">
        <f aca="false">IF(A835="","",IFERROR(1/(1/INDEX(Numéros!$C$2:$C$3001,MATCH(A835&amp;"|"&amp;B835,Numéros!$F$2:$F$3001,0))),""))</f>
        <v/>
      </c>
      <c r="M835" s="27" t="str">
        <f aca="false">IF(OR(G835="",G835="?"),"",IFERROR(INDEX(Pubs!$D$2:$D$3001,MATCH(G835,Pubs!$A$2:$A$3001,0))&amp;"",""))</f>
        <v/>
      </c>
      <c r="N835" s="27" t="n">
        <f aca="false">N(N834)+IF(AND(A835&lt;&gt;"",OR(Recherche!$C$4="",A835=Recherche!$C$4),OR(Recherche!$C$5="",B835&amp;""=Recherche!$C$5&amp;""),OR(Recherche!$C$6="",IFERROR(YEAR(L835),0)=Recherche!$C$6),OR(Recherche!$C$7="",ISNUMBER(SEARCH(Recherche!$C$7,H835))),OR(Recherche!$C$8="",J835=Recherche!$C$8),OR(Recherche!$C$9="",I835=Recherche!$C$9),OR(Recherche!$C$10="",G835&amp;""=Recherche!$C$10&amp;""),OR(Recherche!$C$11="",E835=Recherche!$C$11),OR(Recherche!$C$12="",ISNUMBER(SEARCH(Recherche!$C$12,M835&amp;" "&amp;F835)))),1,0)</f>
        <v>8</v>
      </c>
    </row>
    <row r="836" customFormat="false" ht="15" hidden="false" customHeight="false" outlineLevel="0" collapsed="false">
      <c r="A836" s="19"/>
      <c r="B836" s="19"/>
      <c r="C836" s="19"/>
      <c r="D836" s="19"/>
      <c r="E836" s="22"/>
      <c r="F836" s="19"/>
      <c r="G836" s="26" t="str">
        <f aca="false">IF(D836="","",IFERROR(VALUE(LEFT(D836,FIND(" |",D836&amp;" |")-1)),"?"))</f>
        <v/>
      </c>
      <c r="H836" s="27" t="str">
        <f aca="false">IF(G836="","",IF(G836="?","⚠ pub inconnue",IFERROR(INDEX(Pubs!$B$2:$B$3001,MATCH(G836,Pubs!$A$2:$A$3001,0))&amp;"","⚠ pub inconnue")))</f>
        <v/>
      </c>
      <c r="I836" s="27" t="str">
        <f aca="false">IF(OR(G836="",G836="?"),"",IFERROR(INDEX(Pubs!$C$2:$C$3001,MATCH(G836,Pubs!$A$2:$A$3001,0))&amp;"",""))</f>
        <v/>
      </c>
      <c r="J836" s="27" t="str">
        <f aca="false">IF(OR(G836="",G836="?"),"",IFERROR(INDEX(Pubs!$G$2:$G$3001,MATCH(G836,Pubs!$A$2:$A$3001,0))&amp;"",""))</f>
        <v/>
      </c>
      <c r="K836" s="28" t="str">
        <f aca="false">IF(OR(G836="",G836="?"),"",IFERROR(INDEX(Pubs!$E$2:$E$3001,MATCH(G836,Pubs!$A$2:$A$3001,0)),""))</f>
        <v/>
      </c>
      <c r="L836" s="29" t="str">
        <f aca="false">IF(A836="","",IFERROR(1/(1/INDEX(Numéros!$C$2:$C$3001,MATCH(A836&amp;"|"&amp;B836,Numéros!$F$2:$F$3001,0))),""))</f>
        <v/>
      </c>
      <c r="M836" s="27" t="str">
        <f aca="false">IF(OR(G836="",G836="?"),"",IFERROR(INDEX(Pubs!$D$2:$D$3001,MATCH(G836,Pubs!$A$2:$A$3001,0))&amp;"",""))</f>
        <v/>
      </c>
      <c r="N836" s="27" t="n">
        <f aca="false">N(N835)+IF(AND(A836&lt;&gt;"",OR(Recherche!$C$4="",A836=Recherche!$C$4),OR(Recherche!$C$5="",B836&amp;""=Recherche!$C$5&amp;""),OR(Recherche!$C$6="",IFERROR(YEAR(L836),0)=Recherche!$C$6),OR(Recherche!$C$7="",ISNUMBER(SEARCH(Recherche!$C$7,H836))),OR(Recherche!$C$8="",J836=Recherche!$C$8),OR(Recherche!$C$9="",I836=Recherche!$C$9),OR(Recherche!$C$10="",G836&amp;""=Recherche!$C$10&amp;""),OR(Recherche!$C$11="",E836=Recherche!$C$11),OR(Recherche!$C$12="",ISNUMBER(SEARCH(Recherche!$C$12,M836&amp;" "&amp;F836)))),1,0)</f>
        <v>8</v>
      </c>
    </row>
    <row r="837" customFormat="false" ht="15" hidden="false" customHeight="false" outlineLevel="0" collapsed="false">
      <c r="A837" s="19"/>
      <c r="B837" s="19"/>
      <c r="C837" s="19"/>
      <c r="D837" s="19"/>
      <c r="E837" s="22"/>
      <c r="F837" s="19"/>
      <c r="G837" s="26" t="str">
        <f aca="false">IF(D837="","",IFERROR(VALUE(LEFT(D837,FIND(" |",D837&amp;" |")-1)),"?"))</f>
        <v/>
      </c>
      <c r="H837" s="27" t="str">
        <f aca="false">IF(G837="","",IF(G837="?","⚠ pub inconnue",IFERROR(INDEX(Pubs!$B$2:$B$3001,MATCH(G837,Pubs!$A$2:$A$3001,0))&amp;"","⚠ pub inconnue")))</f>
        <v/>
      </c>
      <c r="I837" s="27" t="str">
        <f aca="false">IF(OR(G837="",G837="?"),"",IFERROR(INDEX(Pubs!$C$2:$C$3001,MATCH(G837,Pubs!$A$2:$A$3001,0))&amp;"",""))</f>
        <v/>
      </c>
      <c r="J837" s="27" t="str">
        <f aca="false">IF(OR(G837="",G837="?"),"",IFERROR(INDEX(Pubs!$G$2:$G$3001,MATCH(G837,Pubs!$A$2:$A$3001,0))&amp;"",""))</f>
        <v/>
      </c>
      <c r="K837" s="28" t="str">
        <f aca="false">IF(OR(G837="",G837="?"),"",IFERROR(INDEX(Pubs!$E$2:$E$3001,MATCH(G837,Pubs!$A$2:$A$3001,0)),""))</f>
        <v/>
      </c>
      <c r="L837" s="29" t="str">
        <f aca="false">IF(A837="","",IFERROR(1/(1/INDEX(Numéros!$C$2:$C$3001,MATCH(A837&amp;"|"&amp;B837,Numéros!$F$2:$F$3001,0))),""))</f>
        <v/>
      </c>
      <c r="M837" s="27" t="str">
        <f aca="false">IF(OR(G837="",G837="?"),"",IFERROR(INDEX(Pubs!$D$2:$D$3001,MATCH(G837,Pubs!$A$2:$A$3001,0))&amp;"",""))</f>
        <v/>
      </c>
      <c r="N837" s="27" t="n">
        <f aca="false">N(N836)+IF(AND(A837&lt;&gt;"",OR(Recherche!$C$4="",A837=Recherche!$C$4),OR(Recherche!$C$5="",B837&amp;""=Recherche!$C$5&amp;""),OR(Recherche!$C$6="",IFERROR(YEAR(L837),0)=Recherche!$C$6),OR(Recherche!$C$7="",ISNUMBER(SEARCH(Recherche!$C$7,H837))),OR(Recherche!$C$8="",J837=Recherche!$C$8),OR(Recherche!$C$9="",I837=Recherche!$C$9),OR(Recherche!$C$10="",G837&amp;""=Recherche!$C$10&amp;""),OR(Recherche!$C$11="",E837=Recherche!$C$11),OR(Recherche!$C$12="",ISNUMBER(SEARCH(Recherche!$C$12,M837&amp;" "&amp;F837)))),1,0)</f>
        <v>8</v>
      </c>
    </row>
    <row r="838" customFormat="false" ht="15" hidden="false" customHeight="false" outlineLevel="0" collapsed="false">
      <c r="A838" s="19"/>
      <c r="B838" s="19"/>
      <c r="C838" s="19"/>
      <c r="D838" s="19"/>
      <c r="E838" s="22"/>
      <c r="F838" s="19"/>
      <c r="G838" s="26" t="str">
        <f aca="false">IF(D838="","",IFERROR(VALUE(LEFT(D838,FIND(" |",D838&amp;" |")-1)),"?"))</f>
        <v/>
      </c>
      <c r="H838" s="27" t="str">
        <f aca="false">IF(G838="","",IF(G838="?","⚠ pub inconnue",IFERROR(INDEX(Pubs!$B$2:$B$3001,MATCH(G838,Pubs!$A$2:$A$3001,0))&amp;"","⚠ pub inconnue")))</f>
        <v/>
      </c>
      <c r="I838" s="27" t="str">
        <f aca="false">IF(OR(G838="",G838="?"),"",IFERROR(INDEX(Pubs!$C$2:$C$3001,MATCH(G838,Pubs!$A$2:$A$3001,0))&amp;"",""))</f>
        <v/>
      </c>
      <c r="J838" s="27" t="str">
        <f aca="false">IF(OR(G838="",G838="?"),"",IFERROR(INDEX(Pubs!$G$2:$G$3001,MATCH(G838,Pubs!$A$2:$A$3001,0))&amp;"",""))</f>
        <v/>
      </c>
      <c r="K838" s="28" t="str">
        <f aca="false">IF(OR(G838="",G838="?"),"",IFERROR(INDEX(Pubs!$E$2:$E$3001,MATCH(G838,Pubs!$A$2:$A$3001,0)),""))</f>
        <v/>
      </c>
      <c r="L838" s="29" t="str">
        <f aca="false">IF(A838="","",IFERROR(1/(1/INDEX(Numéros!$C$2:$C$3001,MATCH(A838&amp;"|"&amp;B838,Numéros!$F$2:$F$3001,0))),""))</f>
        <v/>
      </c>
      <c r="M838" s="27" t="str">
        <f aca="false">IF(OR(G838="",G838="?"),"",IFERROR(INDEX(Pubs!$D$2:$D$3001,MATCH(G838,Pubs!$A$2:$A$3001,0))&amp;"",""))</f>
        <v/>
      </c>
      <c r="N838" s="27" t="n">
        <f aca="false">N(N837)+IF(AND(A838&lt;&gt;"",OR(Recherche!$C$4="",A838=Recherche!$C$4),OR(Recherche!$C$5="",B838&amp;""=Recherche!$C$5&amp;""),OR(Recherche!$C$6="",IFERROR(YEAR(L838),0)=Recherche!$C$6),OR(Recherche!$C$7="",ISNUMBER(SEARCH(Recherche!$C$7,H838))),OR(Recherche!$C$8="",J838=Recherche!$C$8),OR(Recherche!$C$9="",I838=Recherche!$C$9),OR(Recherche!$C$10="",G838&amp;""=Recherche!$C$10&amp;""),OR(Recherche!$C$11="",E838=Recherche!$C$11),OR(Recherche!$C$12="",ISNUMBER(SEARCH(Recherche!$C$12,M838&amp;" "&amp;F838)))),1,0)</f>
        <v>8</v>
      </c>
    </row>
    <row r="839" customFormat="false" ht="15" hidden="false" customHeight="false" outlineLevel="0" collapsed="false">
      <c r="A839" s="19"/>
      <c r="B839" s="19"/>
      <c r="C839" s="19"/>
      <c r="D839" s="19"/>
      <c r="E839" s="22"/>
      <c r="F839" s="19"/>
      <c r="G839" s="26" t="str">
        <f aca="false">IF(D839="","",IFERROR(VALUE(LEFT(D839,FIND(" |",D839&amp;" |")-1)),"?"))</f>
        <v/>
      </c>
      <c r="H839" s="27" t="str">
        <f aca="false">IF(G839="","",IF(G839="?","⚠ pub inconnue",IFERROR(INDEX(Pubs!$B$2:$B$3001,MATCH(G839,Pubs!$A$2:$A$3001,0))&amp;"","⚠ pub inconnue")))</f>
        <v/>
      </c>
      <c r="I839" s="27" t="str">
        <f aca="false">IF(OR(G839="",G839="?"),"",IFERROR(INDEX(Pubs!$C$2:$C$3001,MATCH(G839,Pubs!$A$2:$A$3001,0))&amp;"",""))</f>
        <v/>
      </c>
      <c r="J839" s="27" t="str">
        <f aca="false">IF(OR(G839="",G839="?"),"",IFERROR(INDEX(Pubs!$G$2:$G$3001,MATCH(G839,Pubs!$A$2:$A$3001,0))&amp;"",""))</f>
        <v/>
      </c>
      <c r="K839" s="28" t="str">
        <f aca="false">IF(OR(G839="",G839="?"),"",IFERROR(INDEX(Pubs!$E$2:$E$3001,MATCH(G839,Pubs!$A$2:$A$3001,0)),""))</f>
        <v/>
      </c>
      <c r="L839" s="29" t="str">
        <f aca="false">IF(A839="","",IFERROR(1/(1/INDEX(Numéros!$C$2:$C$3001,MATCH(A839&amp;"|"&amp;B839,Numéros!$F$2:$F$3001,0))),""))</f>
        <v/>
      </c>
      <c r="M839" s="27" t="str">
        <f aca="false">IF(OR(G839="",G839="?"),"",IFERROR(INDEX(Pubs!$D$2:$D$3001,MATCH(G839,Pubs!$A$2:$A$3001,0))&amp;"",""))</f>
        <v/>
      </c>
      <c r="N839" s="27" t="n">
        <f aca="false">N(N838)+IF(AND(A839&lt;&gt;"",OR(Recherche!$C$4="",A839=Recherche!$C$4),OR(Recherche!$C$5="",B839&amp;""=Recherche!$C$5&amp;""),OR(Recherche!$C$6="",IFERROR(YEAR(L839),0)=Recherche!$C$6),OR(Recherche!$C$7="",ISNUMBER(SEARCH(Recherche!$C$7,H839))),OR(Recherche!$C$8="",J839=Recherche!$C$8),OR(Recherche!$C$9="",I839=Recherche!$C$9),OR(Recherche!$C$10="",G839&amp;""=Recherche!$C$10&amp;""),OR(Recherche!$C$11="",E839=Recherche!$C$11),OR(Recherche!$C$12="",ISNUMBER(SEARCH(Recherche!$C$12,M839&amp;" "&amp;F839)))),1,0)</f>
        <v>8</v>
      </c>
    </row>
    <row r="840" customFormat="false" ht="15" hidden="false" customHeight="false" outlineLevel="0" collapsed="false">
      <c r="A840" s="19"/>
      <c r="B840" s="19"/>
      <c r="C840" s="19"/>
      <c r="D840" s="19"/>
      <c r="E840" s="22"/>
      <c r="F840" s="19"/>
      <c r="G840" s="26" t="str">
        <f aca="false">IF(D840="","",IFERROR(VALUE(LEFT(D840,FIND(" |",D840&amp;" |")-1)),"?"))</f>
        <v/>
      </c>
      <c r="H840" s="27" t="str">
        <f aca="false">IF(G840="","",IF(G840="?","⚠ pub inconnue",IFERROR(INDEX(Pubs!$B$2:$B$3001,MATCH(G840,Pubs!$A$2:$A$3001,0))&amp;"","⚠ pub inconnue")))</f>
        <v/>
      </c>
      <c r="I840" s="27" t="str">
        <f aca="false">IF(OR(G840="",G840="?"),"",IFERROR(INDEX(Pubs!$C$2:$C$3001,MATCH(G840,Pubs!$A$2:$A$3001,0))&amp;"",""))</f>
        <v/>
      </c>
      <c r="J840" s="27" t="str">
        <f aca="false">IF(OR(G840="",G840="?"),"",IFERROR(INDEX(Pubs!$G$2:$G$3001,MATCH(G840,Pubs!$A$2:$A$3001,0))&amp;"",""))</f>
        <v/>
      </c>
      <c r="K840" s="28" t="str">
        <f aca="false">IF(OR(G840="",G840="?"),"",IFERROR(INDEX(Pubs!$E$2:$E$3001,MATCH(G840,Pubs!$A$2:$A$3001,0)),""))</f>
        <v/>
      </c>
      <c r="L840" s="29" t="str">
        <f aca="false">IF(A840="","",IFERROR(1/(1/INDEX(Numéros!$C$2:$C$3001,MATCH(A840&amp;"|"&amp;B840,Numéros!$F$2:$F$3001,0))),""))</f>
        <v/>
      </c>
      <c r="M840" s="27" t="str">
        <f aca="false">IF(OR(G840="",G840="?"),"",IFERROR(INDEX(Pubs!$D$2:$D$3001,MATCH(G840,Pubs!$A$2:$A$3001,0))&amp;"",""))</f>
        <v/>
      </c>
      <c r="N840" s="27" t="n">
        <f aca="false">N(N839)+IF(AND(A840&lt;&gt;"",OR(Recherche!$C$4="",A840=Recherche!$C$4),OR(Recherche!$C$5="",B840&amp;""=Recherche!$C$5&amp;""),OR(Recherche!$C$6="",IFERROR(YEAR(L840),0)=Recherche!$C$6),OR(Recherche!$C$7="",ISNUMBER(SEARCH(Recherche!$C$7,H840))),OR(Recherche!$C$8="",J840=Recherche!$C$8),OR(Recherche!$C$9="",I840=Recherche!$C$9),OR(Recherche!$C$10="",G840&amp;""=Recherche!$C$10&amp;""),OR(Recherche!$C$11="",E840=Recherche!$C$11),OR(Recherche!$C$12="",ISNUMBER(SEARCH(Recherche!$C$12,M840&amp;" "&amp;F840)))),1,0)</f>
        <v>8</v>
      </c>
    </row>
    <row r="841" customFormat="false" ht="15" hidden="false" customHeight="false" outlineLevel="0" collapsed="false">
      <c r="A841" s="19"/>
      <c r="B841" s="19"/>
      <c r="C841" s="19"/>
      <c r="D841" s="19"/>
      <c r="E841" s="22"/>
      <c r="F841" s="19"/>
      <c r="G841" s="26" t="str">
        <f aca="false">IF(D841="","",IFERROR(VALUE(LEFT(D841,FIND(" |",D841&amp;" |")-1)),"?"))</f>
        <v/>
      </c>
      <c r="H841" s="27" t="str">
        <f aca="false">IF(G841="","",IF(G841="?","⚠ pub inconnue",IFERROR(INDEX(Pubs!$B$2:$B$3001,MATCH(G841,Pubs!$A$2:$A$3001,0))&amp;"","⚠ pub inconnue")))</f>
        <v/>
      </c>
      <c r="I841" s="27" t="str">
        <f aca="false">IF(OR(G841="",G841="?"),"",IFERROR(INDEX(Pubs!$C$2:$C$3001,MATCH(G841,Pubs!$A$2:$A$3001,0))&amp;"",""))</f>
        <v/>
      </c>
      <c r="J841" s="27" t="str">
        <f aca="false">IF(OR(G841="",G841="?"),"",IFERROR(INDEX(Pubs!$G$2:$G$3001,MATCH(G841,Pubs!$A$2:$A$3001,0))&amp;"",""))</f>
        <v/>
      </c>
      <c r="K841" s="28" t="str">
        <f aca="false">IF(OR(G841="",G841="?"),"",IFERROR(INDEX(Pubs!$E$2:$E$3001,MATCH(G841,Pubs!$A$2:$A$3001,0)),""))</f>
        <v/>
      </c>
      <c r="L841" s="29" t="str">
        <f aca="false">IF(A841="","",IFERROR(1/(1/INDEX(Numéros!$C$2:$C$3001,MATCH(A841&amp;"|"&amp;B841,Numéros!$F$2:$F$3001,0))),""))</f>
        <v/>
      </c>
      <c r="M841" s="27" t="str">
        <f aca="false">IF(OR(G841="",G841="?"),"",IFERROR(INDEX(Pubs!$D$2:$D$3001,MATCH(G841,Pubs!$A$2:$A$3001,0))&amp;"",""))</f>
        <v/>
      </c>
      <c r="N841" s="27" t="n">
        <f aca="false">N(N840)+IF(AND(A841&lt;&gt;"",OR(Recherche!$C$4="",A841=Recherche!$C$4),OR(Recherche!$C$5="",B841&amp;""=Recherche!$C$5&amp;""),OR(Recherche!$C$6="",IFERROR(YEAR(L841),0)=Recherche!$C$6),OR(Recherche!$C$7="",ISNUMBER(SEARCH(Recherche!$C$7,H841))),OR(Recherche!$C$8="",J841=Recherche!$C$8),OR(Recherche!$C$9="",I841=Recherche!$C$9),OR(Recherche!$C$10="",G841&amp;""=Recherche!$C$10&amp;""),OR(Recherche!$C$11="",E841=Recherche!$C$11),OR(Recherche!$C$12="",ISNUMBER(SEARCH(Recherche!$C$12,M841&amp;" "&amp;F841)))),1,0)</f>
        <v>8</v>
      </c>
    </row>
    <row r="842" customFormat="false" ht="15" hidden="false" customHeight="false" outlineLevel="0" collapsed="false">
      <c r="A842" s="19"/>
      <c r="B842" s="19"/>
      <c r="C842" s="19"/>
      <c r="D842" s="19"/>
      <c r="E842" s="22"/>
      <c r="F842" s="19"/>
      <c r="G842" s="26" t="str">
        <f aca="false">IF(D842="","",IFERROR(VALUE(LEFT(D842,FIND(" |",D842&amp;" |")-1)),"?"))</f>
        <v/>
      </c>
      <c r="H842" s="27" t="str">
        <f aca="false">IF(G842="","",IF(G842="?","⚠ pub inconnue",IFERROR(INDEX(Pubs!$B$2:$B$3001,MATCH(G842,Pubs!$A$2:$A$3001,0))&amp;"","⚠ pub inconnue")))</f>
        <v/>
      </c>
      <c r="I842" s="27" t="str">
        <f aca="false">IF(OR(G842="",G842="?"),"",IFERROR(INDEX(Pubs!$C$2:$C$3001,MATCH(G842,Pubs!$A$2:$A$3001,0))&amp;"",""))</f>
        <v/>
      </c>
      <c r="J842" s="27" t="str">
        <f aca="false">IF(OR(G842="",G842="?"),"",IFERROR(INDEX(Pubs!$G$2:$G$3001,MATCH(G842,Pubs!$A$2:$A$3001,0))&amp;"",""))</f>
        <v/>
      </c>
      <c r="K842" s="28" t="str">
        <f aca="false">IF(OR(G842="",G842="?"),"",IFERROR(INDEX(Pubs!$E$2:$E$3001,MATCH(G842,Pubs!$A$2:$A$3001,0)),""))</f>
        <v/>
      </c>
      <c r="L842" s="29" t="str">
        <f aca="false">IF(A842="","",IFERROR(1/(1/INDEX(Numéros!$C$2:$C$3001,MATCH(A842&amp;"|"&amp;B842,Numéros!$F$2:$F$3001,0))),""))</f>
        <v/>
      </c>
      <c r="M842" s="27" t="str">
        <f aca="false">IF(OR(G842="",G842="?"),"",IFERROR(INDEX(Pubs!$D$2:$D$3001,MATCH(G842,Pubs!$A$2:$A$3001,0))&amp;"",""))</f>
        <v/>
      </c>
      <c r="N842" s="27" t="n">
        <f aca="false">N(N841)+IF(AND(A842&lt;&gt;"",OR(Recherche!$C$4="",A842=Recherche!$C$4),OR(Recherche!$C$5="",B842&amp;""=Recherche!$C$5&amp;""),OR(Recherche!$C$6="",IFERROR(YEAR(L842),0)=Recherche!$C$6),OR(Recherche!$C$7="",ISNUMBER(SEARCH(Recherche!$C$7,H842))),OR(Recherche!$C$8="",J842=Recherche!$C$8),OR(Recherche!$C$9="",I842=Recherche!$C$9),OR(Recherche!$C$10="",G842&amp;""=Recherche!$C$10&amp;""),OR(Recherche!$C$11="",E842=Recherche!$C$11),OR(Recherche!$C$12="",ISNUMBER(SEARCH(Recherche!$C$12,M842&amp;" "&amp;F842)))),1,0)</f>
        <v>8</v>
      </c>
    </row>
    <row r="843" customFormat="false" ht="15" hidden="false" customHeight="false" outlineLevel="0" collapsed="false">
      <c r="A843" s="19"/>
      <c r="B843" s="19"/>
      <c r="C843" s="19"/>
      <c r="D843" s="19"/>
      <c r="E843" s="22"/>
      <c r="F843" s="19"/>
      <c r="G843" s="26" t="str">
        <f aca="false">IF(D843="","",IFERROR(VALUE(LEFT(D843,FIND(" |",D843&amp;" |")-1)),"?"))</f>
        <v/>
      </c>
      <c r="H843" s="27" t="str">
        <f aca="false">IF(G843="","",IF(G843="?","⚠ pub inconnue",IFERROR(INDEX(Pubs!$B$2:$B$3001,MATCH(G843,Pubs!$A$2:$A$3001,0))&amp;"","⚠ pub inconnue")))</f>
        <v/>
      </c>
      <c r="I843" s="27" t="str">
        <f aca="false">IF(OR(G843="",G843="?"),"",IFERROR(INDEX(Pubs!$C$2:$C$3001,MATCH(G843,Pubs!$A$2:$A$3001,0))&amp;"",""))</f>
        <v/>
      </c>
      <c r="J843" s="27" t="str">
        <f aca="false">IF(OR(G843="",G843="?"),"",IFERROR(INDEX(Pubs!$G$2:$G$3001,MATCH(G843,Pubs!$A$2:$A$3001,0))&amp;"",""))</f>
        <v/>
      </c>
      <c r="K843" s="28" t="str">
        <f aca="false">IF(OR(G843="",G843="?"),"",IFERROR(INDEX(Pubs!$E$2:$E$3001,MATCH(G843,Pubs!$A$2:$A$3001,0)),""))</f>
        <v/>
      </c>
      <c r="L843" s="29" t="str">
        <f aca="false">IF(A843="","",IFERROR(1/(1/INDEX(Numéros!$C$2:$C$3001,MATCH(A843&amp;"|"&amp;B843,Numéros!$F$2:$F$3001,0))),""))</f>
        <v/>
      </c>
      <c r="M843" s="27" t="str">
        <f aca="false">IF(OR(G843="",G843="?"),"",IFERROR(INDEX(Pubs!$D$2:$D$3001,MATCH(G843,Pubs!$A$2:$A$3001,0))&amp;"",""))</f>
        <v/>
      </c>
      <c r="N843" s="27" t="n">
        <f aca="false">N(N842)+IF(AND(A843&lt;&gt;"",OR(Recherche!$C$4="",A843=Recherche!$C$4),OR(Recherche!$C$5="",B843&amp;""=Recherche!$C$5&amp;""),OR(Recherche!$C$6="",IFERROR(YEAR(L843),0)=Recherche!$C$6),OR(Recherche!$C$7="",ISNUMBER(SEARCH(Recherche!$C$7,H843))),OR(Recherche!$C$8="",J843=Recherche!$C$8),OR(Recherche!$C$9="",I843=Recherche!$C$9),OR(Recherche!$C$10="",G843&amp;""=Recherche!$C$10&amp;""),OR(Recherche!$C$11="",E843=Recherche!$C$11),OR(Recherche!$C$12="",ISNUMBER(SEARCH(Recherche!$C$12,M843&amp;" "&amp;F843)))),1,0)</f>
        <v>8</v>
      </c>
    </row>
    <row r="844" customFormat="false" ht="15" hidden="false" customHeight="false" outlineLevel="0" collapsed="false">
      <c r="A844" s="19"/>
      <c r="B844" s="19"/>
      <c r="C844" s="19"/>
      <c r="D844" s="19"/>
      <c r="E844" s="22"/>
      <c r="F844" s="19"/>
      <c r="G844" s="26" t="str">
        <f aca="false">IF(D844="","",IFERROR(VALUE(LEFT(D844,FIND(" |",D844&amp;" |")-1)),"?"))</f>
        <v/>
      </c>
      <c r="H844" s="27" t="str">
        <f aca="false">IF(G844="","",IF(G844="?","⚠ pub inconnue",IFERROR(INDEX(Pubs!$B$2:$B$3001,MATCH(G844,Pubs!$A$2:$A$3001,0))&amp;"","⚠ pub inconnue")))</f>
        <v/>
      </c>
      <c r="I844" s="27" t="str">
        <f aca="false">IF(OR(G844="",G844="?"),"",IFERROR(INDEX(Pubs!$C$2:$C$3001,MATCH(G844,Pubs!$A$2:$A$3001,0))&amp;"",""))</f>
        <v/>
      </c>
      <c r="J844" s="27" t="str">
        <f aca="false">IF(OR(G844="",G844="?"),"",IFERROR(INDEX(Pubs!$G$2:$G$3001,MATCH(G844,Pubs!$A$2:$A$3001,0))&amp;"",""))</f>
        <v/>
      </c>
      <c r="K844" s="28" t="str">
        <f aca="false">IF(OR(G844="",G844="?"),"",IFERROR(INDEX(Pubs!$E$2:$E$3001,MATCH(G844,Pubs!$A$2:$A$3001,0)),""))</f>
        <v/>
      </c>
      <c r="L844" s="29" t="str">
        <f aca="false">IF(A844="","",IFERROR(1/(1/INDEX(Numéros!$C$2:$C$3001,MATCH(A844&amp;"|"&amp;B844,Numéros!$F$2:$F$3001,0))),""))</f>
        <v/>
      </c>
      <c r="M844" s="27" t="str">
        <f aca="false">IF(OR(G844="",G844="?"),"",IFERROR(INDEX(Pubs!$D$2:$D$3001,MATCH(G844,Pubs!$A$2:$A$3001,0))&amp;"",""))</f>
        <v/>
      </c>
      <c r="N844" s="27" t="n">
        <f aca="false">N(N843)+IF(AND(A844&lt;&gt;"",OR(Recherche!$C$4="",A844=Recherche!$C$4),OR(Recherche!$C$5="",B844&amp;""=Recherche!$C$5&amp;""),OR(Recherche!$C$6="",IFERROR(YEAR(L844),0)=Recherche!$C$6),OR(Recherche!$C$7="",ISNUMBER(SEARCH(Recherche!$C$7,H844))),OR(Recherche!$C$8="",J844=Recherche!$C$8),OR(Recherche!$C$9="",I844=Recherche!$C$9),OR(Recherche!$C$10="",G844&amp;""=Recherche!$C$10&amp;""),OR(Recherche!$C$11="",E844=Recherche!$C$11),OR(Recherche!$C$12="",ISNUMBER(SEARCH(Recherche!$C$12,M844&amp;" "&amp;F844)))),1,0)</f>
        <v>8</v>
      </c>
    </row>
    <row r="845" customFormat="false" ht="15" hidden="false" customHeight="false" outlineLevel="0" collapsed="false">
      <c r="A845" s="19"/>
      <c r="B845" s="19"/>
      <c r="C845" s="19"/>
      <c r="D845" s="19"/>
      <c r="E845" s="22"/>
      <c r="F845" s="19"/>
      <c r="G845" s="26" t="str">
        <f aca="false">IF(D845="","",IFERROR(VALUE(LEFT(D845,FIND(" |",D845&amp;" |")-1)),"?"))</f>
        <v/>
      </c>
      <c r="H845" s="27" t="str">
        <f aca="false">IF(G845="","",IF(G845="?","⚠ pub inconnue",IFERROR(INDEX(Pubs!$B$2:$B$3001,MATCH(G845,Pubs!$A$2:$A$3001,0))&amp;"","⚠ pub inconnue")))</f>
        <v/>
      </c>
      <c r="I845" s="27" t="str">
        <f aca="false">IF(OR(G845="",G845="?"),"",IFERROR(INDEX(Pubs!$C$2:$C$3001,MATCH(G845,Pubs!$A$2:$A$3001,0))&amp;"",""))</f>
        <v/>
      </c>
      <c r="J845" s="27" t="str">
        <f aca="false">IF(OR(G845="",G845="?"),"",IFERROR(INDEX(Pubs!$G$2:$G$3001,MATCH(G845,Pubs!$A$2:$A$3001,0))&amp;"",""))</f>
        <v/>
      </c>
      <c r="K845" s="28" t="str">
        <f aca="false">IF(OR(G845="",G845="?"),"",IFERROR(INDEX(Pubs!$E$2:$E$3001,MATCH(G845,Pubs!$A$2:$A$3001,0)),""))</f>
        <v/>
      </c>
      <c r="L845" s="29" t="str">
        <f aca="false">IF(A845="","",IFERROR(1/(1/INDEX(Numéros!$C$2:$C$3001,MATCH(A845&amp;"|"&amp;B845,Numéros!$F$2:$F$3001,0))),""))</f>
        <v/>
      </c>
      <c r="M845" s="27" t="str">
        <f aca="false">IF(OR(G845="",G845="?"),"",IFERROR(INDEX(Pubs!$D$2:$D$3001,MATCH(G845,Pubs!$A$2:$A$3001,0))&amp;"",""))</f>
        <v/>
      </c>
      <c r="N845" s="27" t="n">
        <f aca="false">N(N844)+IF(AND(A845&lt;&gt;"",OR(Recherche!$C$4="",A845=Recherche!$C$4),OR(Recherche!$C$5="",B845&amp;""=Recherche!$C$5&amp;""),OR(Recherche!$C$6="",IFERROR(YEAR(L845),0)=Recherche!$C$6),OR(Recherche!$C$7="",ISNUMBER(SEARCH(Recherche!$C$7,H845))),OR(Recherche!$C$8="",J845=Recherche!$C$8),OR(Recherche!$C$9="",I845=Recherche!$C$9),OR(Recherche!$C$10="",G845&amp;""=Recherche!$C$10&amp;""),OR(Recherche!$C$11="",E845=Recherche!$C$11),OR(Recherche!$C$12="",ISNUMBER(SEARCH(Recherche!$C$12,M845&amp;" "&amp;F845)))),1,0)</f>
        <v>8</v>
      </c>
    </row>
    <row r="846" customFormat="false" ht="15" hidden="false" customHeight="false" outlineLevel="0" collapsed="false">
      <c r="A846" s="19"/>
      <c r="B846" s="19"/>
      <c r="C846" s="19"/>
      <c r="D846" s="19"/>
      <c r="E846" s="22"/>
      <c r="F846" s="19"/>
      <c r="G846" s="26" t="str">
        <f aca="false">IF(D846="","",IFERROR(VALUE(LEFT(D846,FIND(" |",D846&amp;" |")-1)),"?"))</f>
        <v/>
      </c>
      <c r="H846" s="27" t="str">
        <f aca="false">IF(G846="","",IF(G846="?","⚠ pub inconnue",IFERROR(INDEX(Pubs!$B$2:$B$3001,MATCH(G846,Pubs!$A$2:$A$3001,0))&amp;"","⚠ pub inconnue")))</f>
        <v/>
      </c>
      <c r="I846" s="27" t="str">
        <f aca="false">IF(OR(G846="",G846="?"),"",IFERROR(INDEX(Pubs!$C$2:$C$3001,MATCH(G846,Pubs!$A$2:$A$3001,0))&amp;"",""))</f>
        <v/>
      </c>
      <c r="J846" s="27" t="str">
        <f aca="false">IF(OR(G846="",G846="?"),"",IFERROR(INDEX(Pubs!$G$2:$G$3001,MATCH(G846,Pubs!$A$2:$A$3001,0))&amp;"",""))</f>
        <v/>
      </c>
      <c r="K846" s="28" t="str">
        <f aca="false">IF(OR(G846="",G846="?"),"",IFERROR(INDEX(Pubs!$E$2:$E$3001,MATCH(G846,Pubs!$A$2:$A$3001,0)),""))</f>
        <v/>
      </c>
      <c r="L846" s="29" t="str">
        <f aca="false">IF(A846="","",IFERROR(1/(1/INDEX(Numéros!$C$2:$C$3001,MATCH(A846&amp;"|"&amp;B846,Numéros!$F$2:$F$3001,0))),""))</f>
        <v/>
      </c>
      <c r="M846" s="27" t="str">
        <f aca="false">IF(OR(G846="",G846="?"),"",IFERROR(INDEX(Pubs!$D$2:$D$3001,MATCH(G846,Pubs!$A$2:$A$3001,0))&amp;"",""))</f>
        <v/>
      </c>
      <c r="N846" s="27" t="n">
        <f aca="false">N(N845)+IF(AND(A846&lt;&gt;"",OR(Recherche!$C$4="",A846=Recherche!$C$4),OR(Recherche!$C$5="",B846&amp;""=Recherche!$C$5&amp;""),OR(Recherche!$C$6="",IFERROR(YEAR(L846),0)=Recherche!$C$6),OR(Recherche!$C$7="",ISNUMBER(SEARCH(Recherche!$C$7,H846))),OR(Recherche!$C$8="",J846=Recherche!$C$8),OR(Recherche!$C$9="",I846=Recherche!$C$9),OR(Recherche!$C$10="",G846&amp;""=Recherche!$C$10&amp;""),OR(Recherche!$C$11="",E846=Recherche!$C$11),OR(Recherche!$C$12="",ISNUMBER(SEARCH(Recherche!$C$12,M846&amp;" "&amp;F846)))),1,0)</f>
        <v>8</v>
      </c>
    </row>
    <row r="847" customFormat="false" ht="15" hidden="false" customHeight="false" outlineLevel="0" collapsed="false">
      <c r="A847" s="19"/>
      <c r="B847" s="19"/>
      <c r="C847" s="19"/>
      <c r="D847" s="19"/>
      <c r="E847" s="22"/>
      <c r="F847" s="19"/>
      <c r="G847" s="26" t="str">
        <f aca="false">IF(D847="","",IFERROR(VALUE(LEFT(D847,FIND(" |",D847&amp;" |")-1)),"?"))</f>
        <v/>
      </c>
      <c r="H847" s="27" t="str">
        <f aca="false">IF(G847="","",IF(G847="?","⚠ pub inconnue",IFERROR(INDEX(Pubs!$B$2:$B$3001,MATCH(G847,Pubs!$A$2:$A$3001,0))&amp;"","⚠ pub inconnue")))</f>
        <v/>
      </c>
      <c r="I847" s="27" t="str">
        <f aca="false">IF(OR(G847="",G847="?"),"",IFERROR(INDEX(Pubs!$C$2:$C$3001,MATCH(G847,Pubs!$A$2:$A$3001,0))&amp;"",""))</f>
        <v/>
      </c>
      <c r="J847" s="27" t="str">
        <f aca="false">IF(OR(G847="",G847="?"),"",IFERROR(INDEX(Pubs!$G$2:$G$3001,MATCH(G847,Pubs!$A$2:$A$3001,0))&amp;"",""))</f>
        <v/>
      </c>
      <c r="K847" s="28" t="str">
        <f aca="false">IF(OR(G847="",G847="?"),"",IFERROR(INDEX(Pubs!$E$2:$E$3001,MATCH(G847,Pubs!$A$2:$A$3001,0)),""))</f>
        <v/>
      </c>
      <c r="L847" s="29" t="str">
        <f aca="false">IF(A847="","",IFERROR(1/(1/INDEX(Numéros!$C$2:$C$3001,MATCH(A847&amp;"|"&amp;B847,Numéros!$F$2:$F$3001,0))),""))</f>
        <v/>
      </c>
      <c r="M847" s="27" t="str">
        <f aca="false">IF(OR(G847="",G847="?"),"",IFERROR(INDEX(Pubs!$D$2:$D$3001,MATCH(G847,Pubs!$A$2:$A$3001,0))&amp;"",""))</f>
        <v/>
      </c>
      <c r="N847" s="27" t="n">
        <f aca="false">N(N846)+IF(AND(A847&lt;&gt;"",OR(Recherche!$C$4="",A847=Recherche!$C$4),OR(Recherche!$C$5="",B847&amp;""=Recherche!$C$5&amp;""),OR(Recherche!$C$6="",IFERROR(YEAR(L847),0)=Recherche!$C$6),OR(Recherche!$C$7="",ISNUMBER(SEARCH(Recherche!$C$7,H847))),OR(Recherche!$C$8="",J847=Recherche!$C$8),OR(Recherche!$C$9="",I847=Recherche!$C$9),OR(Recherche!$C$10="",G847&amp;""=Recherche!$C$10&amp;""),OR(Recherche!$C$11="",E847=Recherche!$C$11),OR(Recherche!$C$12="",ISNUMBER(SEARCH(Recherche!$C$12,M847&amp;" "&amp;F847)))),1,0)</f>
        <v>8</v>
      </c>
    </row>
    <row r="848" customFormat="false" ht="15" hidden="false" customHeight="false" outlineLevel="0" collapsed="false">
      <c r="A848" s="19"/>
      <c r="B848" s="19"/>
      <c r="C848" s="19"/>
      <c r="D848" s="19"/>
      <c r="E848" s="22"/>
      <c r="F848" s="19"/>
      <c r="G848" s="26" t="str">
        <f aca="false">IF(D848="","",IFERROR(VALUE(LEFT(D848,FIND(" |",D848&amp;" |")-1)),"?"))</f>
        <v/>
      </c>
      <c r="H848" s="27" t="str">
        <f aca="false">IF(G848="","",IF(G848="?","⚠ pub inconnue",IFERROR(INDEX(Pubs!$B$2:$B$3001,MATCH(G848,Pubs!$A$2:$A$3001,0))&amp;"","⚠ pub inconnue")))</f>
        <v/>
      </c>
      <c r="I848" s="27" t="str">
        <f aca="false">IF(OR(G848="",G848="?"),"",IFERROR(INDEX(Pubs!$C$2:$C$3001,MATCH(G848,Pubs!$A$2:$A$3001,0))&amp;"",""))</f>
        <v/>
      </c>
      <c r="J848" s="27" t="str">
        <f aca="false">IF(OR(G848="",G848="?"),"",IFERROR(INDEX(Pubs!$G$2:$G$3001,MATCH(G848,Pubs!$A$2:$A$3001,0))&amp;"",""))</f>
        <v/>
      </c>
      <c r="K848" s="28" t="str">
        <f aca="false">IF(OR(G848="",G848="?"),"",IFERROR(INDEX(Pubs!$E$2:$E$3001,MATCH(G848,Pubs!$A$2:$A$3001,0)),""))</f>
        <v/>
      </c>
      <c r="L848" s="29" t="str">
        <f aca="false">IF(A848="","",IFERROR(1/(1/INDEX(Numéros!$C$2:$C$3001,MATCH(A848&amp;"|"&amp;B848,Numéros!$F$2:$F$3001,0))),""))</f>
        <v/>
      </c>
      <c r="M848" s="27" t="str">
        <f aca="false">IF(OR(G848="",G848="?"),"",IFERROR(INDEX(Pubs!$D$2:$D$3001,MATCH(G848,Pubs!$A$2:$A$3001,0))&amp;"",""))</f>
        <v/>
      </c>
      <c r="N848" s="27" t="n">
        <f aca="false">N(N847)+IF(AND(A848&lt;&gt;"",OR(Recherche!$C$4="",A848=Recherche!$C$4),OR(Recherche!$C$5="",B848&amp;""=Recherche!$C$5&amp;""),OR(Recherche!$C$6="",IFERROR(YEAR(L848),0)=Recherche!$C$6),OR(Recherche!$C$7="",ISNUMBER(SEARCH(Recherche!$C$7,H848))),OR(Recherche!$C$8="",J848=Recherche!$C$8),OR(Recherche!$C$9="",I848=Recherche!$C$9),OR(Recherche!$C$10="",G848&amp;""=Recherche!$C$10&amp;""),OR(Recherche!$C$11="",E848=Recherche!$C$11),OR(Recherche!$C$12="",ISNUMBER(SEARCH(Recherche!$C$12,M848&amp;" "&amp;F848)))),1,0)</f>
        <v>8</v>
      </c>
    </row>
    <row r="849" customFormat="false" ht="15" hidden="false" customHeight="false" outlineLevel="0" collapsed="false">
      <c r="A849" s="19"/>
      <c r="B849" s="19"/>
      <c r="C849" s="19"/>
      <c r="D849" s="19"/>
      <c r="E849" s="22"/>
      <c r="F849" s="19"/>
      <c r="G849" s="26" t="str">
        <f aca="false">IF(D849="","",IFERROR(VALUE(LEFT(D849,FIND(" |",D849&amp;" |")-1)),"?"))</f>
        <v/>
      </c>
      <c r="H849" s="27" t="str">
        <f aca="false">IF(G849="","",IF(G849="?","⚠ pub inconnue",IFERROR(INDEX(Pubs!$B$2:$B$3001,MATCH(G849,Pubs!$A$2:$A$3001,0))&amp;"","⚠ pub inconnue")))</f>
        <v/>
      </c>
      <c r="I849" s="27" t="str">
        <f aca="false">IF(OR(G849="",G849="?"),"",IFERROR(INDEX(Pubs!$C$2:$C$3001,MATCH(G849,Pubs!$A$2:$A$3001,0))&amp;"",""))</f>
        <v/>
      </c>
      <c r="J849" s="27" t="str">
        <f aca="false">IF(OR(G849="",G849="?"),"",IFERROR(INDEX(Pubs!$G$2:$G$3001,MATCH(G849,Pubs!$A$2:$A$3001,0))&amp;"",""))</f>
        <v/>
      </c>
      <c r="K849" s="28" t="str">
        <f aca="false">IF(OR(G849="",G849="?"),"",IFERROR(INDEX(Pubs!$E$2:$E$3001,MATCH(G849,Pubs!$A$2:$A$3001,0)),""))</f>
        <v/>
      </c>
      <c r="L849" s="29" t="str">
        <f aca="false">IF(A849="","",IFERROR(1/(1/INDEX(Numéros!$C$2:$C$3001,MATCH(A849&amp;"|"&amp;B849,Numéros!$F$2:$F$3001,0))),""))</f>
        <v/>
      </c>
      <c r="M849" s="27" t="str">
        <f aca="false">IF(OR(G849="",G849="?"),"",IFERROR(INDEX(Pubs!$D$2:$D$3001,MATCH(G849,Pubs!$A$2:$A$3001,0))&amp;"",""))</f>
        <v/>
      </c>
      <c r="N849" s="27" t="n">
        <f aca="false">N(N848)+IF(AND(A849&lt;&gt;"",OR(Recherche!$C$4="",A849=Recherche!$C$4),OR(Recherche!$C$5="",B849&amp;""=Recherche!$C$5&amp;""),OR(Recherche!$C$6="",IFERROR(YEAR(L849),0)=Recherche!$C$6),OR(Recherche!$C$7="",ISNUMBER(SEARCH(Recherche!$C$7,H849))),OR(Recherche!$C$8="",J849=Recherche!$C$8),OR(Recherche!$C$9="",I849=Recherche!$C$9),OR(Recherche!$C$10="",G849&amp;""=Recherche!$C$10&amp;""),OR(Recherche!$C$11="",E849=Recherche!$C$11),OR(Recherche!$C$12="",ISNUMBER(SEARCH(Recherche!$C$12,M849&amp;" "&amp;F849)))),1,0)</f>
        <v>8</v>
      </c>
    </row>
    <row r="850" customFormat="false" ht="15" hidden="false" customHeight="false" outlineLevel="0" collapsed="false">
      <c r="A850" s="19"/>
      <c r="B850" s="19"/>
      <c r="C850" s="19"/>
      <c r="D850" s="19"/>
      <c r="E850" s="22"/>
      <c r="F850" s="19"/>
      <c r="G850" s="26" t="str">
        <f aca="false">IF(D850="","",IFERROR(VALUE(LEFT(D850,FIND(" |",D850&amp;" |")-1)),"?"))</f>
        <v/>
      </c>
      <c r="H850" s="27" t="str">
        <f aca="false">IF(G850="","",IF(G850="?","⚠ pub inconnue",IFERROR(INDEX(Pubs!$B$2:$B$3001,MATCH(G850,Pubs!$A$2:$A$3001,0))&amp;"","⚠ pub inconnue")))</f>
        <v/>
      </c>
      <c r="I850" s="27" t="str">
        <f aca="false">IF(OR(G850="",G850="?"),"",IFERROR(INDEX(Pubs!$C$2:$C$3001,MATCH(G850,Pubs!$A$2:$A$3001,0))&amp;"",""))</f>
        <v/>
      </c>
      <c r="J850" s="27" t="str">
        <f aca="false">IF(OR(G850="",G850="?"),"",IFERROR(INDEX(Pubs!$G$2:$G$3001,MATCH(G850,Pubs!$A$2:$A$3001,0))&amp;"",""))</f>
        <v/>
      </c>
      <c r="K850" s="28" t="str">
        <f aca="false">IF(OR(G850="",G850="?"),"",IFERROR(INDEX(Pubs!$E$2:$E$3001,MATCH(G850,Pubs!$A$2:$A$3001,0)),""))</f>
        <v/>
      </c>
      <c r="L850" s="29" t="str">
        <f aca="false">IF(A850="","",IFERROR(1/(1/INDEX(Numéros!$C$2:$C$3001,MATCH(A850&amp;"|"&amp;B850,Numéros!$F$2:$F$3001,0))),""))</f>
        <v/>
      </c>
      <c r="M850" s="27" t="str">
        <f aca="false">IF(OR(G850="",G850="?"),"",IFERROR(INDEX(Pubs!$D$2:$D$3001,MATCH(G850,Pubs!$A$2:$A$3001,0))&amp;"",""))</f>
        <v/>
      </c>
      <c r="N850" s="27" t="n">
        <f aca="false">N(N849)+IF(AND(A850&lt;&gt;"",OR(Recherche!$C$4="",A850=Recherche!$C$4),OR(Recherche!$C$5="",B850&amp;""=Recherche!$C$5&amp;""),OR(Recherche!$C$6="",IFERROR(YEAR(L850),0)=Recherche!$C$6),OR(Recherche!$C$7="",ISNUMBER(SEARCH(Recherche!$C$7,H850))),OR(Recherche!$C$8="",J850=Recherche!$C$8),OR(Recherche!$C$9="",I850=Recherche!$C$9),OR(Recherche!$C$10="",G850&amp;""=Recherche!$C$10&amp;""),OR(Recherche!$C$11="",E850=Recherche!$C$11),OR(Recherche!$C$12="",ISNUMBER(SEARCH(Recherche!$C$12,M850&amp;" "&amp;F850)))),1,0)</f>
        <v>8</v>
      </c>
    </row>
    <row r="851" customFormat="false" ht="15" hidden="false" customHeight="false" outlineLevel="0" collapsed="false">
      <c r="A851" s="19"/>
      <c r="B851" s="19"/>
      <c r="C851" s="19"/>
      <c r="D851" s="19"/>
      <c r="E851" s="22"/>
      <c r="F851" s="19"/>
      <c r="G851" s="26" t="str">
        <f aca="false">IF(D851="","",IFERROR(VALUE(LEFT(D851,FIND(" |",D851&amp;" |")-1)),"?"))</f>
        <v/>
      </c>
      <c r="H851" s="27" t="str">
        <f aca="false">IF(G851="","",IF(G851="?","⚠ pub inconnue",IFERROR(INDEX(Pubs!$B$2:$B$3001,MATCH(G851,Pubs!$A$2:$A$3001,0))&amp;"","⚠ pub inconnue")))</f>
        <v/>
      </c>
      <c r="I851" s="27" t="str">
        <f aca="false">IF(OR(G851="",G851="?"),"",IFERROR(INDEX(Pubs!$C$2:$C$3001,MATCH(G851,Pubs!$A$2:$A$3001,0))&amp;"",""))</f>
        <v/>
      </c>
      <c r="J851" s="27" t="str">
        <f aca="false">IF(OR(G851="",G851="?"),"",IFERROR(INDEX(Pubs!$G$2:$G$3001,MATCH(G851,Pubs!$A$2:$A$3001,0))&amp;"",""))</f>
        <v/>
      </c>
      <c r="K851" s="28" t="str">
        <f aca="false">IF(OR(G851="",G851="?"),"",IFERROR(INDEX(Pubs!$E$2:$E$3001,MATCH(G851,Pubs!$A$2:$A$3001,0)),""))</f>
        <v/>
      </c>
      <c r="L851" s="29" t="str">
        <f aca="false">IF(A851="","",IFERROR(1/(1/INDEX(Numéros!$C$2:$C$3001,MATCH(A851&amp;"|"&amp;B851,Numéros!$F$2:$F$3001,0))),""))</f>
        <v/>
      </c>
      <c r="M851" s="27" t="str">
        <f aca="false">IF(OR(G851="",G851="?"),"",IFERROR(INDEX(Pubs!$D$2:$D$3001,MATCH(G851,Pubs!$A$2:$A$3001,0))&amp;"",""))</f>
        <v/>
      </c>
      <c r="N851" s="27" t="n">
        <f aca="false">N(N850)+IF(AND(A851&lt;&gt;"",OR(Recherche!$C$4="",A851=Recherche!$C$4),OR(Recherche!$C$5="",B851&amp;""=Recherche!$C$5&amp;""),OR(Recherche!$C$6="",IFERROR(YEAR(L851),0)=Recherche!$C$6),OR(Recherche!$C$7="",ISNUMBER(SEARCH(Recherche!$C$7,H851))),OR(Recherche!$C$8="",J851=Recherche!$C$8),OR(Recherche!$C$9="",I851=Recherche!$C$9),OR(Recherche!$C$10="",G851&amp;""=Recherche!$C$10&amp;""),OR(Recherche!$C$11="",E851=Recherche!$C$11),OR(Recherche!$C$12="",ISNUMBER(SEARCH(Recherche!$C$12,M851&amp;" "&amp;F851)))),1,0)</f>
        <v>8</v>
      </c>
    </row>
    <row r="852" customFormat="false" ht="15" hidden="false" customHeight="false" outlineLevel="0" collapsed="false">
      <c r="A852" s="19"/>
      <c r="B852" s="19"/>
      <c r="C852" s="19"/>
      <c r="D852" s="19"/>
      <c r="E852" s="22"/>
      <c r="F852" s="19"/>
      <c r="G852" s="26" t="str">
        <f aca="false">IF(D852="","",IFERROR(VALUE(LEFT(D852,FIND(" |",D852&amp;" |")-1)),"?"))</f>
        <v/>
      </c>
      <c r="H852" s="27" t="str">
        <f aca="false">IF(G852="","",IF(G852="?","⚠ pub inconnue",IFERROR(INDEX(Pubs!$B$2:$B$3001,MATCH(G852,Pubs!$A$2:$A$3001,0))&amp;"","⚠ pub inconnue")))</f>
        <v/>
      </c>
      <c r="I852" s="27" t="str">
        <f aca="false">IF(OR(G852="",G852="?"),"",IFERROR(INDEX(Pubs!$C$2:$C$3001,MATCH(G852,Pubs!$A$2:$A$3001,0))&amp;"",""))</f>
        <v/>
      </c>
      <c r="J852" s="27" t="str">
        <f aca="false">IF(OR(G852="",G852="?"),"",IFERROR(INDEX(Pubs!$G$2:$G$3001,MATCH(G852,Pubs!$A$2:$A$3001,0))&amp;"",""))</f>
        <v/>
      </c>
      <c r="K852" s="28" t="str">
        <f aca="false">IF(OR(G852="",G852="?"),"",IFERROR(INDEX(Pubs!$E$2:$E$3001,MATCH(G852,Pubs!$A$2:$A$3001,0)),""))</f>
        <v/>
      </c>
      <c r="L852" s="29" t="str">
        <f aca="false">IF(A852="","",IFERROR(1/(1/INDEX(Numéros!$C$2:$C$3001,MATCH(A852&amp;"|"&amp;B852,Numéros!$F$2:$F$3001,0))),""))</f>
        <v/>
      </c>
      <c r="M852" s="27" t="str">
        <f aca="false">IF(OR(G852="",G852="?"),"",IFERROR(INDEX(Pubs!$D$2:$D$3001,MATCH(G852,Pubs!$A$2:$A$3001,0))&amp;"",""))</f>
        <v/>
      </c>
      <c r="N852" s="27" t="n">
        <f aca="false">N(N851)+IF(AND(A852&lt;&gt;"",OR(Recherche!$C$4="",A852=Recherche!$C$4),OR(Recherche!$C$5="",B852&amp;""=Recherche!$C$5&amp;""),OR(Recherche!$C$6="",IFERROR(YEAR(L852),0)=Recherche!$C$6),OR(Recherche!$C$7="",ISNUMBER(SEARCH(Recherche!$C$7,H852))),OR(Recherche!$C$8="",J852=Recherche!$C$8),OR(Recherche!$C$9="",I852=Recherche!$C$9),OR(Recherche!$C$10="",G852&amp;""=Recherche!$C$10&amp;""),OR(Recherche!$C$11="",E852=Recherche!$C$11),OR(Recherche!$C$12="",ISNUMBER(SEARCH(Recherche!$C$12,M852&amp;" "&amp;F852)))),1,0)</f>
        <v>8</v>
      </c>
    </row>
    <row r="853" customFormat="false" ht="15" hidden="false" customHeight="false" outlineLevel="0" collapsed="false">
      <c r="A853" s="19"/>
      <c r="B853" s="19"/>
      <c r="C853" s="19"/>
      <c r="D853" s="19"/>
      <c r="E853" s="22"/>
      <c r="F853" s="19"/>
      <c r="G853" s="26" t="str">
        <f aca="false">IF(D853="","",IFERROR(VALUE(LEFT(D853,FIND(" |",D853&amp;" |")-1)),"?"))</f>
        <v/>
      </c>
      <c r="H853" s="27" t="str">
        <f aca="false">IF(G853="","",IF(G853="?","⚠ pub inconnue",IFERROR(INDEX(Pubs!$B$2:$B$3001,MATCH(G853,Pubs!$A$2:$A$3001,0))&amp;"","⚠ pub inconnue")))</f>
        <v/>
      </c>
      <c r="I853" s="27" t="str">
        <f aca="false">IF(OR(G853="",G853="?"),"",IFERROR(INDEX(Pubs!$C$2:$C$3001,MATCH(G853,Pubs!$A$2:$A$3001,0))&amp;"",""))</f>
        <v/>
      </c>
      <c r="J853" s="27" t="str">
        <f aca="false">IF(OR(G853="",G853="?"),"",IFERROR(INDEX(Pubs!$G$2:$G$3001,MATCH(G853,Pubs!$A$2:$A$3001,0))&amp;"",""))</f>
        <v/>
      </c>
      <c r="K853" s="28" t="str">
        <f aca="false">IF(OR(G853="",G853="?"),"",IFERROR(INDEX(Pubs!$E$2:$E$3001,MATCH(G853,Pubs!$A$2:$A$3001,0)),""))</f>
        <v/>
      </c>
      <c r="L853" s="29" t="str">
        <f aca="false">IF(A853="","",IFERROR(1/(1/INDEX(Numéros!$C$2:$C$3001,MATCH(A853&amp;"|"&amp;B853,Numéros!$F$2:$F$3001,0))),""))</f>
        <v/>
      </c>
      <c r="M853" s="27" t="str">
        <f aca="false">IF(OR(G853="",G853="?"),"",IFERROR(INDEX(Pubs!$D$2:$D$3001,MATCH(G853,Pubs!$A$2:$A$3001,0))&amp;"",""))</f>
        <v/>
      </c>
      <c r="N853" s="27" t="n">
        <f aca="false">N(N852)+IF(AND(A853&lt;&gt;"",OR(Recherche!$C$4="",A853=Recherche!$C$4),OR(Recherche!$C$5="",B853&amp;""=Recherche!$C$5&amp;""),OR(Recherche!$C$6="",IFERROR(YEAR(L853),0)=Recherche!$C$6),OR(Recherche!$C$7="",ISNUMBER(SEARCH(Recherche!$C$7,H853))),OR(Recherche!$C$8="",J853=Recherche!$C$8),OR(Recherche!$C$9="",I853=Recherche!$C$9),OR(Recherche!$C$10="",G853&amp;""=Recherche!$C$10&amp;""),OR(Recherche!$C$11="",E853=Recherche!$C$11),OR(Recherche!$C$12="",ISNUMBER(SEARCH(Recherche!$C$12,M853&amp;" "&amp;F853)))),1,0)</f>
        <v>8</v>
      </c>
    </row>
    <row r="854" customFormat="false" ht="15" hidden="false" customHeight="false" outlineLevel="0" collapsed="false">
      <c r="A854" s="19"/>
      <c r="B854" s="19"/>
      <c r="C854" s="19"/>
      <c r="D854" s="19"/>
      <c r="E854" s="22"/>
      <c r="F854" s="19"/>
      <c r="G854" s="26" t="str">
        <f aca="false">IF(D854="","",IFERROR(VALUE(LEFT(D854,FIND(" |",D854&amp;" |")-1)),"?"))</f>
        <v/>
      </c>
      <c r="H854" s="27" t="str">
        <f aca="false">IF(G854="","",IF(G854="?","⚠ pub inconnue",IFERROR(INDEX(Pubs!$B$2:$B$3001,MATCH(G854,Pubs!$A$2:$A$3001,0))&amp;"","⚠ pub inconnue")))</f>
        <v/>
      </c>
      <c r="I854" s="27" t="str">
        <f aca="false">IF(OR(G854="",G854="?"),"",IFERROR(INDEX(Pubs!$C$2:$C$3001,MATCH(G854,Pubs!$A$2:$A$3001,0))&amp;"",""))</f>
        <v/>
      </c>
      <c r="J854" s="27" t="str">
        <f aca="false">IF(OR(G854="",G854="?"),"",IFERROR(INDEX(Pubs!$G$2:$G$3001,MATCH(G854,Pubs!$A$2:$A$3001,0))&amp;"",""))</f>
        <v/>
      </c>
      <c r="K854" s="28" t="str">
        <f aca="false">IF(OR(G854="",G854="?"),"",IFERROR(INDEX(Pubs!$E$2:$E$3001,MATCH(G854,Pubs!$A$2:$A$3001,0)),""))</f>
        <v/>
      </c>
      <c r="L854" s="29" t="str">
        <f aca="false">IF(A854="","",IFERROR(1/(1/INDEX(Numéros!$C$2:$C$3001,MATCH(A854&amp;"|"&amp;B854,Numéros!$F$2:$F$3001,0))),""))</f>
        <v/>
      </c>
      <c r="M854" s="27" t="str">
        <f aca="false">IF(OR(G854="",G854="?"),"",IFERROR(INDEX(Pubs!$D$2:$D$3001,MATCH(G854,Pubs!$A$2:$A$3001,0))&amp;"",""))</f>
        <v/>
      </c>
      <c r="N854" s="27" t="n">
        <f aca="false">N(N853)+IF(AND(A854&lt;&gt;"",OR(Recherche!$C$4="",A854=Recherche!$C$4),OR(Recherche!$C$5="",B854&amp;""=Recherche!$C$5&amp;""),OR(Recherche!$C$6="",IFERROR(YEAR(L854),0)=Recherche!$C$6),OR(Recherche!$C$7="",ISNUMBER(SEARCH(Recherche!$C$7,H854))),OR(Recherche!$C$8="",J854=Recherche!$C$8),OR(Recherche!$C$9="",I854=Recherche!$C$9),OR(Recherche!$C$10="",G854&amp;""=Recherche!$C$10&amp;""),OR(Recherche!$C$11="",E854=Recherche!$C$11),OR(Recherche!$C$12="",ISNUMBER(SEARCH(Recherche!$C$12,M854&amp;" "&amp;F854)))),1,0)</f>
        <v>8</v>
      </c>
    </row>
    <row r="855" customFormat="false" ht="15" hidden="false" customHeight="false" outlineLevel="0" collapsed="false">
      <c r="A855" s="19"/>
      <c r="B855" s="19"/>
      <c r="C855" s="19"/>
      <c r="D855" s="19"/>
      <c r="E855" s="22"/>
      <c r="F855" s="19"/>
      <c r="G855" s="26" t="str">
        <f aca="false">IF(D855="","",IFERROR(VALUE(LEFT(D855,FIND(" |",D855&amp;" |")-1)),"?"))</f>
        <v/>
      </c>
      <c r="H855" s="27" t="str">
        <f aca="false">IF(G855="","",IF(G855="?","⚠ pub inconnue",IFERROR(INDEX(Pubs!$B$2:$B$3001,MATCH(G855,Pubs!$A$2:$A$3001,0))&amp;"","⚠ pub inconnue")))</f>
        <v/>
      </c>
      <c r="I855" s="27" t="str">
        <f aca="false">IF(OR(G855="",G855="?"),"",IFERROR(INDEX(Pubs!$C$2:$C$3001,MATCH(G855,Pubs!$A$2:$A$3001,0))&amp;"",""))</f>
        <v/>
      </c>
      <c r="J855" s="27" t="str">
        <f aca="false">IF(OR(G855="",G855="?"),"",IFERROR(INDEX(Pubs!$G$2:$G$3001,MATCH(G855,Pubs!$A$2:$A$3001,0))&amp;"",""))</f>
        <v/>
      </c>
      <c r="K855" s="28" t="str">
        <f aca="false">IF(OR(G855="",G855="?"),"",IFERROR(INDEX(Pubs!$E$2:$E$3001,MATCH(G855,Pubs!$A$2:$A$3001,0)),""))</f>
        <v/>
      </c>
      <c r="L855" s="29" t="str">
        <f aca="false">IF(A855="","",IFERROR(1/(1/INDEX(Numéros!$C$2:$C$3001,MATCH(A855&amp;"|"&amp;B855,Numéros!$F$2:$F$3001,0))),""))</f>
        <v/>
      </c>
      <c r="M855" s="27" t="str">
        <f aca="false">IF(OR(G855="",G855="?"),"",IFERROR(INDEX(Pubs!$D$2:$D$3001,MATCH(G855,Pubs!$A$2:$A$3001,0))&amp;"",""))</f>
        <v/>
      </c>
      <c r="N855" s="27" t="n">
        <f aca="false">N(N854)+IF(AND(A855&lt;&gt;"",OR(Recherche!$C$4="",A855=Recherche!$C$4),OR(Recherche!$C$5="",B855&amp;""=Recherche!$C$5&amp;""),OR(Recherche!$C$6="",IFERROR(YEAR(L855),0)=Recherche!$C$6),OR(Recherche!$C$7="",ISNUMBER(SEARCH(Recherche!$C$7,H855))),OR(Recherche!$C$8="",J855=Recherche!$C$8),OR(Recherche!$C$9="",I855=Recherche!$C$9),OR(Recherche!$C$10="",G855&amp;""=Recherche!$C$10&amp;""),OR(Recherche!$C$11="",E855=Recherche!$C$11),OR(Recherche!$C$12="",ISNUMBER(SEARCH(Recherche!$C$12,M855&amp;" "&amp;F855)))),1,0)</f>
        <v>8</v>
      </c>
    </row>
    <row r="856" customFormat="false" ht="15" hidden="false" customHeight="false" outlineLevel="0" collapsed="false">
      <c r="A856" s="19"/>
      <c r="B856" s="19"/>
      <c r="C856" s="19"/>
      <c r="D856" s="19"/>
      <c r="E856" s="22"/>
      <c r="F856" s="19"/>
      <c r="G856" s="26" t="str">
        <f aca="false">IF(D856="","",IFERROR(VALUE(LEFT(D856,FIND(" |",D856&amp;" |")-1)),"?"))</f>
        <v/>
      </c>
      <c r="H856" s="27" t="str">
        <f aca="false">IF(G856="","",IF(G856="?","⚠ pub inconnue",IFERROR(INDEX(Pubs!$B$2:$B$3001,MATCH(G856,Pubs!$A$2:$A$3001,0))&amp;"","⚠ pub inconnue")))</f>
        <v/>
      </c>
      <c r="I856" s="27" t="str">
        <f aca="false">IF(OR(G856="",G856="?"),"",IFERROR(INDEX(Pubs!$C$2:$C$3001,MATCH(G856,Pubs!$A$2:$A$3001,0))&amp;"",""))</f>
        <v/>
      </c>
      <c r="J856" s="27" t="str">
        <f aca="false">IF(OR(G856="",G856="?"),"",IFERROR(INDEX(Pubs!$G$2:$G$3001,MATCH(G856,Pubs!$A$2:$A$3001,0))&amp;"",""))</f>
        <v/>
      </c>
      <c r="K856" s="28" t="str">
        <f aca="false">IF(OR(G856="",G856="?"),"",IFERROR(INDEX(Pubs!$E$2:$E$3001,MATCH(G856,Pubs!$A$2:$A$3001,0)),""))</f>
        <v/>
      </c>
      <c r="L856" s="29" t="str">
        <f aca="false">IF(A856="","",IFERROR(1/(1/INDEX(Numéros!$C$2:$C$3001,MATCH(A856&amp;"|"&amp;B856,Numéros!$F$2:$F$3001,0))),""))</f>
        <v/>
      </c>
      <c r="M856" s="27" t="str">
        <f aca="false">IF(OR(G856="",G856="?"),"",IFERROR(INDEX(Pubs!$D$2:$D$3001,MATCH(G856,Pubs!$A$2:$A$3001,0))&amp;"",""))</f>
        <v/>
      </c>
      <c r="N856" s="27" t="n">
        <f aca="false">N(N855)+IF(AND(A856&lt;&gt;"",OR(Recherche!$C$4="",A856=Recherche!$C$4),OR(Recherche!$C$5="",B856&amp;""=Recherche!$C$5&amp;""),OR(Recherche!$C$6="",IFERROR(YEAR(L856),0)=Recherche!$C$6),OR(Recherche!$C$7="",ISNUMBER(SEARCH(Recherche!$C$7,H856))),OR(Recherche!$C$8="",J856=Recherche!$C$8),OR(Recherche!$C$9="",I856=Recherche!$C$9),OR(Recherche!$C$10="",G856&amp;""=Recherche!$C$10&amp;""),OR(Recherche!$C$11="",E856=Recherche!$C$11),OR(Recherche!$C$12="",ISNUMBER(SEARCH(Recherche!$C$12,M856&amp;" "&amp;F856)))),1,0)</f>
        <v>8</v>
      </c>
    </row>
    <row r="857" customFormat="false" ht="15" hidden="false" customHeight="false" outlineLevel="0" collapsed="false">
      <c r="A857" s="19"/>
      <c r="B857" s="19"/>
      <c r="C857" s="19"/>
      <c r="D857" s="19"/>
      <c r="E857" s="22"/>
      <c r="F857" s="19"/>
      <c r="G857" s="26" t="str">
        <f aca="false">IF(D857="","",IFERROR(VALUE(LEFT(D857,FIND(" |",D857&amp;" |")-1)),"?"))</f>
        <v/>
      </c>
      <c r="H857" s="27" t="str">
        <f aca="false">IF(G857="","",IF(G857="?","⚠ pub inconnue",IFERROR(INDEX(Pubs!$B$2:$B$3001,MATCH(G857,Pubs!$A$2:$A$3001,0))&amp;"","⚠ pub inconnue")))</f>
        <v/>
      </c>
      <c r="I857" s="27" t="str">
        <f aca="false">IF(OR(G857="",G857="?"),"",IFERROR(INDEX(Pubs!$C$2:$C$3001,MATCH(G857,Pubs!$A$2:$A$3001,0))&amp;"",""))</f>
        <v/>
      </c>
      <c r="J857" s="27" t="str">
        <f aca="false">IF(OR(G857="",G857="?"),"",IFERROR(INDEX(Pubs!$G$2:$G$3001,MATCH(G857,Pubs!$A$2:$A$3001,0))&amp;"",""))</f>
        <v/>
      </c>
      <c r="K857" s="28" t="str">
        <f aca="false">IF(OR(G857="",G857="?"),"",IFERROR(INDEX(Pubs!$E$2:$E$3001,MATCH(G857,Pubs!$A$2:$A$3001,0)),""))</f>
        <v/>
      </c>
      <c r="L857" s="29" t="str">
        <f aca="false">IF(A857="","",IFERROR(1/(1/INDEX(Numéros!$C$2:$C$3001,MATCH(A857&amp;"|"&amp;B857,Numéros!$F$2:$F$3001,0))),""))</f>
        <v/>
      </c>
      <c r="M857" s="27" t="str">
        <f aca="false">IF(OR(G857="",G857="?"),"",IFERROR(INDEX(Pubs!$D$2:$D$3001,MATCH(G857,Pubs!$A$2:$A$3001,0))&amp;"",""))</f>
        <v/>
      </c>
      <c r="N857" s="27" t="n">
        <f aca="false">N(N856)+IF(AND(A857&lt;&gt;"",OR(Recherche!$C$4="",A857=Recherche!$C$4),OR(Recherche!$C$5="",B857&amp;""=Recherche!$C$5&amp;""),OR(Recherche!$C$6="",IFERROR(YEAR(L857),0)=Recherche!$C$6),OR(Recherche!$C$7="",ISNUMBER(SEARCH(Recherche!$C$7,H857))),OR(Recherche!$C$8="",J857=Recherche!$C$8),OR(Recherche!$C$9="",I857=Recherche!$C$9),OR(Recherche!$C$10="",G857&amp;""=Recherche!$C$10&amp;""),OR(Recherche!$C$11="",E857=Recherche!$C$11),OR(Recherche!$C$12="",ISNUMBER(SEARCH(Recherche!$C$12,M857&amp;" "&amp;F857)))),1,0)</f>
        <v>8</v>
      </c>
    </row>
    <row r="858" customFormat="false" ht="15" hidden="false" customHeight="false" outlineLevel="0" collapsed="false">
      <c r="A858" s="19"/>
      <c r="B858" s="19"/>
      <c r="C858" s="19"/>
      <c r="D858" s="19"/>
      <c r="E858" s="22"/>
      <c r="F858" s="19"/>
      <c r="G858" s="26" t="str">
        <f aca="false">IF(D858="","",IFERROR(VALUE(LEFT(D858,FIND(" |",D858&amp;" |")-1)),"?"))</f>
        <v/>
      </c>
      <c r="H858" s="27" t="str">
        <f aca="false">IF(G858="","",IF(G858="?","⚠ pub inconnue",IFERROR(INDEX(Pubs!$B$2:$B$3001,MATCH(G858,Pubs!$A$2:$A$3001,0))&amp;"","⚠ pub inconnue")))</f>
        <v/>
      </c>
      <c r="I858" s="27" t="str">
        <f aca="false">IF(OR(G858="",G858="?"),"",IFERROR(INDEX(Pubs!$C$2:$C$3001,MATCH(G858,Pubs!$A$2:$A$3001,0))&amp;"",""))</f>
        <v/>
      </c>
      <c r="J858" s="27" t="str">
        <f aca="false">IF(OR(G858="",G858="?"),"",IFERROR(INDEX(Pubs!$G$2:$G$3001,MATCH(G858,Pubs!$A$2:$A$3001,0))&amp;"",""))</f>
        <v/>
      </c>
      <c r="K858" s="28" t="str">
        <f aca="false">IF(OR(G858="",G858="?"),"",IFERROR(INDEX(Pubs!$E$2:$E$3001,MATCH(G858,Pubs!$A$2:$A$3001,0)),""))</f>
        <v/>
      </c>
      <c r="L858" s="29" t="str">
        <f aca="false">IF(A858="","",IFERROR(1/(1/INDEX(Numéros!$C$2:$C$3001,MATCH(A858&amp;"|"&amp;B858,Numéros!$F$2:$F$3001,0))),""))</f>
        <v/>
      </c>
      <c r="M858" s="27" t="str">
        <f aca="false">IF(OR(G858="",G858="?"),"",IFERROR(INDEX(Pubs!$D$2:$D$3001,MATCH(G858,Pubs!$A$2:$A$3001,0))&amp;"",""))</f>
        <v/>
      </c>
      <c r="N858" s="27" t="n">
        <f aca="false">N(N857)+IF(AND(A858&lt;&gt;"",OR(Recherche!$C$4="",A858=Recherche!$C$4),OR(Recherche!$C$5="",B858&amp;""=Recherche!$C$5&amp;""),OR(Recherche!$C$6="",IFERROR(YEAR(L858),0)=Recherche!$C$6),OR(Recherche!$C$7="",ISNUMBER(SEARCH(Recherche!$C$7,H858))),OR(Recherche!$C$8="",J858=Recherche!$C$8),OR(Recherche!$C$9="",I858=Recherche!$C$9),OR(Recherche!$C$10="",G858&amp;""=Recherche!$C$10&amp;""),OR(Recherche!$C$11="",E858=Recherche!$C$11),OR(Recherche!$C$12="",ISNUMBER(SEARCH(Recherche!$C$12,M858&amp;" "&amp;F858)))),1,0)</f>
        <v>8</v>
      </c>
    </row>
    <row r="859" customFormat="false" ht="15" hidden="false" customHeight="false" outlineLevel="0" collapsed="false">
      <c r="A859" s="19"/>
      <c r="B859" s="19"/>
      <c r="C859" s="19"/>
      <c r="D859" s="19"/>
      <c r="E859" s="22"/>
      <c r="F859" s="19"/>
      <c r="G859" s="26" t="str">
        <f aca="false">IF(D859="","",IFERROR(VALUE(LEFT(D859,FIND(" |",D859&amp;" |")-1)),"?"))</f>
        <v/>
      </c>
      <c r="H859" s="27" t="str">
        <f aca="false">IF(G859="","",IF(G859="?","⚠ pub inconnue",IFERROR(INDEX(Pubs!$B$2:$B$3001,MATCH(G859,Pubs!$A$2:$A$3001,0))&amp;"","⚠ pub inconnue")))</f>
        <v/>
      </c>
      <c r="I859" s="27" t="str">
        <f aca="false">IF(OR(G859="",G859="?"),"",IFERROR(INDEX(Pubs!$C$2:$C$3001,MATCH(G859,Pubs!$A$2:$A$3001,0))&amp;"",""))</f>
        <v/>
      </c>
      <c r="J859" s="27" t="str">
        <f aca="false">IF(OR(G859="",G859="?"),"",IFERROR(INDEX(Pubs!$G$2:$G$3001,MATCH(G859,Pubs!$A$2:$A$3001,0))&amp;"",""))</f>
        <v/>
      </c>
      <c r="K859" s="28" t="str">
        <f aca="false">IF(OR(G859="",G859="?"),"",IFERROR(INDEX(Pubs!$E$2:$E$3001,MATCH(G859,Pubs!$A$2:$A$3001,0)),""))</f>
        <v/>
      </c>
      <c r="L859" s="29" t="str">
        <f aca="false">IF(A859="","",IFERROR(1/(1/INDEX(Numéros!$C$2:$C$3001,MATCH(A859&amp;"|"&amp;B859,Numéros!$F$2:$F$3001,0))),""))</f>
        <v/>
      </c>
      <c r="M859" s="27" t="str">
        <f aca="false">IF(OR(G859="",G859="?"),"",IFERROR(INDEX(Pubs!$D$2:$D$3001,MATCH(G859,Pubs!$A$2:$A$3001,0))&amp;"",""))</f>
        <v/>
      </c>
      <c r="N859" s="27" t="n">
        <f aca="false">N(N858)+IF(AND(A859&lt;&gt;"",OR(Recherche!$C$4="",A859=Recherche!$C$4),OR(Recherche!$C$5="",B859&amp;""=Recherche!$C$5&amp;""),OR(Recherche!$C$6="",IFERROR(YEAR(L859),0)=Recherche!$C$6),OR(Recherche!$C$7="",ISNUMBER(SEARCH(Recherche!$C$7,H859))),OR(Recherche!$C$8="",J859=Recherche!$C$8),OR(Recherche!$C$9="",I859=Recherche!$C$9),OR(Recherche!$C$10="",G859&amp;""=Recherche!$C$10&amp;""),OR(Recherche!$C$11="",E859=Recherche!$C$11),OR(Recherche!$C$12="",ISNUMBER(SEARCH(Recherche!$C$12,M859&amp;" "&amp;F859)))),1,0)</f>
        <v>8</v>
      </c>
    </row>
    <row r="860" customFormat="false" ht="15" hidden="false" customHeight="false" outlineLevel="0" collapsed="false">
      <c r="A860" s="19"/>
      <c r="B860" s="19"/>
      <c r="C860" s="19"/>
      <c r="D860" s="19"/>
      <c r="E860" s="22"/>
      <c r="F860" s="19"/>
      <c r="G860" s="26" t="str">
        <f aca="false">IF(D860="","",IFERROR(VALUE(LEFT(D860,FIND(" |",D860&amp;" |")-1)),"?"))</f>
        <v/>
      </c>
      <c r="H860" s="27" t="str">
        <f aca="false">IF(G860="","",IF(G860="?","⚠ pub inconnue",IFERROR(INDEX(Pubs!$B$2:$B$3001,MATCH(G860,Pubs!$A$2:$A$3001,0))&amp;"","⚠ pub inconnue")))</f>
        <v/>
      </c>
      <c r="I860" s="27" t="str">
        <f aca="false">IF(OR(G860="",G860="?"),"",IFERROR(INDEX(Pubs!$C$2:$C$3001,MATCH(G860,Pubs!$A$2:$A$3001,0))&amp;"",""))</f>
        <v/>
      </c>
      <c r="J860" s="27" t="str">
        <f aca="false">IF(OR(G860="",G860="?"),"",IFERROR(INDEX(Pubs!$G$2:$G$3001,MATCH(G860,Pubs!$A$2:$A$3001,0))&amp;"",""))</f>
        <v/>
      </c>
      <c r="K860" s="28" t="str">
        <f aca="false">IF(OR(G860="",G860="?"),"",IFERROR(INDEX(Pubs!$E$2:$E$3001,MATCH(G860,Pubs!$A$2:$A$3001,0)),""))</f>
        <v/>
      </c>
      <c r="L860" s="29" t="str">
        <f aca="false">IF(A860="","",IFERROR(1/(1/INDEX(Numéros!$C$2:$C$3001,MATCH(A860&amp;"|"&amp;B860,Numéros!$F$2:$F$3001,0))),""))</f>
        <v/>
      </c>
      <c r="M860" s="27" t="str">
        <f aca="false">IF(OR(G860="",G860="?"),"",IFERROR(INDEX(Pubs!$D$2:$D$3001,MATCH(G860,Pubs!$A$2:$A$3001,0))&amp;"",""))</f>
        <v/>
      </c>
      <c r="N860" s="27" t="n">
        <f aca="false">N(N859)+IF(AND(A860&lt;&gt;"",OR(Recherche!$C$4="",A860=Recherche!$C$4),OR(Recherche!$C$5="",B860&amp;""=Recherche!$C$5&amp;""),OR(Recherche!$C$6="",IFERROR(YEAR(L860),0)=Recherche!$C$6),OR(Recherche!$C$7="",ISNUMBER(SEARCH(Recherche!$C$7,H860))),OR(Recherche!$C$8="",J860=Recherche!$C$8),OR(Recherche!$C$9="",I860=Recherche!$C$9),OR(Recherche!$C$10="",G860&amp;""=Recherche!$C$10&amp;""),OR(Recherche!$C$11="",E860=Recherche!$C$11),OR(Recherche!$C$12="",ISNUMBER(SEARCH(Recherche!$C$12,M860&amp;" "&amp;F860)))),1,0)</f>
        <v>8</v>
      </c>
    </row>
    <row r="861" customFormat="false" ht="15" hidden="false" customHeight="false" outlineLevel="0" collapsed="false">
      <c r="A861" s="19"/>
      <c r="B861" s="19"/>
      <c r="C861" s="19"/>
      <c r="D861" s="19"/>
      <c r="E861" s="22"/>
      <c r="F861" s="19"/>
      <c r="G861" s="26" t="str">
        <f aca="false">IF(D861="","",IFERROR(VALUE(LEFT(D861,FIND(" |",D861&amp;" |")-1)),"?"))</f>
        <v/>
      </c>
      <c r="H861" s="27" t="str">
        <f aca="false">IF(G861="","",IF(G861="?","⚠ pub inconnue",IFERROR(INDEX(Pubs!$B$2:$B$3001,MATCH(G861,Pubs!$A$2:$A$3001,0))&amp;"","⚠ pub inconnue")))</f>
        <v/>
      </c>
      <c r="I861" s="27" t="str">
        <f aca="false">IF(OR(G861="",G861="?"),"",IFERROR(INDEX(Pubs!$C$2:$C$3001,MATCH(G861,Pubs!$A$2:$A$3001,0))&amp;"",""))</f>
        <v/>
      </c>
      <c r="J861" s="27" t="str">
        <f aca="false">IF(OR(G861="",G861="?"),"",IFERROR(INDEX(Pubs!$G$2:$G$3001,MATCH(G861,Pubs!$A$2:$A$3001,0))&amp;"",""))</f>
        <v/>
      </c>
      <c r="K861" s="28" t="str">
        <f aca="false">IF(OR(G861="",G861="?"),"",IFERROR(INDEX(Pubs!$E$2:$E$3001,MATCH(G861,Pubs!$A$2:$A$3001,0)),""))</f>
        <v/>
      </c>
      <c r="L861" s="29" t="str">
        <f aca="false">IF(A861="","",IFERROR(1/(1/INDEX(Numéros!$C$2:$C$3001,MATCH(A861&amp;"|"&amp;B861,Numéros!$F$2:$F$3001,0))),""))</f>
        <v/>
      </c>
      <c r="M861" s="27" t="str">
        <f aca="false">IF(OR(G861="",G861="?"),"",IFERROR(INDEX(Pubs!$D$2:$D$3001,MATCH(G861,Pubs!$A$2:$A$3001,0))&amp;"",""))</f>
        <v/>
      </c>
      <c r="N861" s="27" t="n">
        <f aca="false">N(N860)+IF(AND(A861&lt;&gt;"",OR(Recherche!$C$4="",A861=Recherche!$C$4),OR(Recherche!$C$5="",B861&amp;""=Recherche!$C$5&amp;""),OR(Recherche!$C$6="",IFERROR(YEAR(L861),0)=Recherche!$C$6),OR(Recherche!$C$7="",ISNUMBER(SEARCH(Recherche!$C$7,H861))),OR(Recherche!$C$8="",J861=Recherche!$C$8),OR(Recherche!$C$9="",I861=Recherche!$C$9),OR(Recherche!$C$10="",G861&amp;""=Recherche!$C$10&amp;""),OR(Recherche!$C$11="",E861=Recherche!$C$11),OR(Recherche!$C$12="",ISNUMBER(SEARCH(Recherche!$C$12,M861&amp;" "&amp;F861)))),1,0)</f>
        <v>8</v>
      </c>
    </row>
    <row r="862" customFormat="false" ht="15" hidden="false" customHeight="false" outlineLevel="0" collapsed="false">
      <c r="A862" s="19"/>
      <c r="B862" s="19"/>
      <c r="C862" s="19"/>
      <c r="D862" s="19"/>
      <c r="E862" s="22"/>
      <c r="F862" s="19"/>
      <c r="G862" s="26" t="str">
        <f aca="false">IF(D862="","",IFERROR(VALUE(LEFT(D862,FIND(" |",D862&amp;" |")-1)),"?"))</f>
        <v/>
      </c>
      <c r="H862" s="27" t="str">
        <f aca="false">IF(G862="","",IF(G862="?","⚠ pub inconnue",IFERROR(INDEX(Pubs!$B$2:$B$3001,MATCH(G862,Pubs!$A$2:$A$3001,0))&amp;"","⚠ pub inconnue")))</f>
        <v/>
      </c>
      <c r="I862" s="27" t="str">
        <f aca="false">IF(OR(G862="",G862="?"),"",IFERROR(INDEX(Pubs!$C$2:$C$3001,MATCH(G862,Pubs!$A$2:$A$3001,0))&amp;"",""))</f>
        <v/>
      </c>
      <c r="J862" s="27" t="str">
        <f aca="false">IF(OR(G862="",G862="?"),"",IFERROR(INDEX(Pubs!$G$2:$G$3001,MATCH(G862,Pubs!$A$2:$A$3001,0))&amp;"",""))</f>
        <v/>
      </c>
      <c r="K862" s="28" t="str">
        <f aca="false">IF(OR(G862="",G862="?"),"",IFERROR(INDEX(Pubs!$E$2:$E$3001,MATCH(G862,Pubs!$A$2:$A$3001,0)),""))</f>
        <v/>
      </c>
      <c r="L862" s="29" t="str">
        <f aca="false">IF(A862="","",IFERROR(1/(1/INDEX(Numéros!$C$2:$C$3001,MATCH(A862&amp;"|"&amp;B862,Numéros!$F$2:$F$3001,0))),""))</f>
        <v/>
      </c>
      <c r="M862" s="27" t="str">
        <f aca="false">IF(OR(G862="",G862="?"),"",IFERROR(INDEX(Pubs!$D$2:$D$3001,MATCH(G862,Pubs!$A$2:$A$3001,0))&amp;"",""))</f>
        <v/>
      </c>
      <c r="N862" s="27" t="n">
        <f aca="false">N(N861)+IF(AND(A862&lt;&gt;"",OR(Recherche!$C$4="",A862=Recherche!$C$4),OR(Recherche!$C$5="",B862&amp;""=Recherche!$C$5&amp;""),OR(Recherche!$C$6="",IFERROR(YEAR(L862),0)=Recherche!$C$6),OR(Recherche!$C$7="",ISNUMBER(SEARCH(Recherche!$C$7,H862))),OR(Recherche!$C$8="",J862=Recherche!$C$8),OR(Recherche!$C$9="",I862=Recherche!$C$9),OR(Recherche!$C$10="",G862&amp;""=Recherche!$C$10&amp;""),OR(Recherche!$C$11="",E862=Recherche!$C$11),OR(Recherche!$C$12="",ISNUMBER(SEARCH(Recherche!$C$12,M862&amp;" "&amp;F862)))),1,0)</f>
        <v>8</v>
      </c>
    </row>
    <row r="863" customFormat="false" ht="15" hidden="false" customHeight="false" outlineLevel="0" collapsed="false">
      <c r="A863" s="19"/>
      <c r="B863" s="19"/>
      <c r="C863" s="19"/>
      <c r="D863" s="19"/>
      <c r="E863" s="22"/>
      <c r="F863" s="19"/>
      <c r="G863" s="26" t="str">
        <f aca="false">IF(D863="","",IFERROR(VALUE(LEFT(D863,FIND(" |",D863&amp;" |")-1)),"?"))</f>
        <v/>
      </c>
      <c r="H863" s="27" t="str">
        <f aca="false">IF(G863="","",IF(G863="?","⚠ pub inconnue",IFERROR(INDEX(Pubs!$B$2:$B$3001,MATCH(G863,Pubs!$A$2:$A$3001,0))&amp;"","⚠ pub inconnue")))</f>
        <v/>
      </c>
      <c r="I863" s="27" t="str">
        <f aca="false">IF(OR(G863="",G863="?"),"",IFERROR(INDEX(Pubs!$C$2:$C$3001,MATCH(G863,Pubs!$A$2:$A$3001,0))&amp;"",""))</f>
        <v/>
      </c>
      <c r="J863" s="27" t="str">
        <f aca="false">IF(OR(G863="",G863="?"),"",IFERROR(INDEX(Pubs!$G$2:$G$3001,MATCH(G863,Pubs!$A$2:$A$3001,0))&amp;"",""))</f>
        <v/>
      </c>
      <c r="K863" s="28" t="str">
        <f aca="false">IF(OR(G863="",G863="?"),"",IFERROR(INDEX(Pubs!$E$2:$E$3001,MATCH(G863,Pubs!$A$2:$A$3001,0)),""))</f>
        <v/>
      </c>
      <c r="L863" s="29" t="str">
        <f aca="false">IF(A863="","",IFERROR(1/(1/INDEX(Numéros!$C$2:$C$3001,MATCH(A863&amp;"|"&amp;B863,Numéros!$F$2:$F$3001,0))),""))</f>
        <v/>
      </c>
      <c r="M863" s="27" t="str">
        <f aca="false">IF(OR(G863="",G863="?"),"",IFERROR(INDEX(Pubs!$D$2:$D$3001,MATCH(G863,Pubs!$A$2:$A$3001,0))&amp;"",""))</f>
        <v/>
      </c>
      <c r="N863" s="27" t="n">
        <f aca="false">N(N862)+IF(AND(A863&lt;&gt;"",OR(Recherche!$C$4="",A863=Recherche!$C$4),OR(Recherche!$C$5="",B863&amp;""=Recherche!$C$5&amp;""),OR(Recherche!$C$6="",IFERROR(YEAR(L863),0)=Recherche!$C$6),OR(Recherche!$C$7="",ISNUMBER(SEARCH(Recherche!$C$7,H863))),OR(Recherche!$C$8="",J863=Recherche!$C$8),OR(Recherche!$C$9="",I863=Recherche!$C$9),OR(Recherche!$C$10="",G863&amp;""=Recherche!$C$10&amp;""),OR(Recherche!$C$11="",E863=Recherche!$C$11),OR(Recherche!$C$12="",ISNUMBER(SEARCH(Recherche!$C$12,M863&amp;" "&amp;F863)))),1,0)</f>
        <v>8</v>
      </c>
    </row>
    <row r="864" customFormat="false" ht="15" hidden="false" customHeight="false" outlineLevel="0" collapsed="false">
      <c r="A864" s="19"/>
      <c r="B864" s="19"/>
      <c r="C864" s="19"/>
      <c r="D864" s="19"/>
      <c r="E864" s="22"/>
      <c r="F864" s="19"/>
      <c r="G864" s="26" t="str">
        <f aca="false">IF(D864="","",IFERROR(VALUE(LEFT(D864,FIND(" |",D864&amp;" |")-1)),"?"))</f>
        <v/>
      </c>
      <c r="H864" s="27" t="str">
        <f aca="false">IF(G864="","",IF(G864="?","⚠ pub inconnue",IFERROR(INDEX(Pubs!$B$2:$B$3001,MATCH(G864,Pubs!$A$2:$A$3001,0))&amp;"","⚠ pub inconnue")))</f>
        <v/>
      </c>
      <c r="I864" s="27" t="str">
        <f aca="false">IF(OR(G864="",G864="?"),"",IFERROR(INDEX(Pubs!$C$2:$C$3001,MATCH(G864,Pubs!$A$2:$A$3001,0))&amp;"",""))</f>
        <v/>
      </c>
      <c r="J864" s="27" t="str">
        <f aca="false">IF(OR(G864="",G864="?"),"",IFERROR(INDEX(Pubs!$G$2:$G$3001,MATCH(G864,Pubs!$A$2:$A$3001,0))&amp;"",""))</f>
        <v/>
      </c>
      <c r="K864" s="28" t="str">
        <f aca="false">IF(OR(G864="",G864="?"),"",IFERROR(INDEX(Pubs!$E$2:$E$3001,MATCH(G864,Pubs!$A$2:$A$3001,0)),""))</f>
        <v/>
      </c>
      <c r="L864" s="29" t="str">
        <f aca="false">IF(A864="","",IFERROR(1/(1/INDEX(Numéros!$C$2:$C$3001,MATCH(A864&amp;"|"&amp;B864,Numéros!$F$2:$F$3001,0))),""))</f>
        <v/>
      </c>
      <c r="M864" s="27" t="str">
        <f aca="false">IF(OR(G864="",G864="?"),"",IFERROR(INDEX(Pubs!$D$2:$D$3001,MATCH(G864,Pubs!$A$2:$A$3001,0))&amp;"",""))</f>
        <v/>
      </c>
      <c r="N864" s="27" t="n">
        <f aca="false">N(N863)+IF(AND(A864&lt;&gt;"",OR(Recherche!$C$4="",A864=Recherche!$C$4),OR(Recherche!$C$5="",B864&amp;""=Recherche!$C$5&amp;""),OR(Recherche!$C$6="",IFERROR(YEAR(L864),0)=Recherche!$C$6),OR(Recherche!$C$7="",ISNUMBER(SEARCH(Recherche!$C$7,H864))),OR(Recherche!$C$8="",J864=Recherche!$C$8),OR(Recherche!$C$9="",I864=Recherche!$C$9),OR(Recherche!$C$10="",G864&amp;""=Recherche!$C$10&amp;""),OR(Recherche!$C$11="",E864=Recherche!$C$11),OR(Recherche!$C$12="",ISNUMBER(SEARCH(Recherche!$C$12,M864&amp;" "&amp;F864)))),1,0)</f>
        <v>8</v>
      </c>
    </row>
    <row r="865" customFormat="false" ht="15" hidden="false" customHeight="false" outlineLevel="0" collapsed="false">
      <c r="A865" s="19"/>
      <c r="B865" s="19"/>
      <c r="C865" s="19"/>
      <c r="D865" s="19"/>
      <c r="E865" s="22"/>
      <c r="F865" s="19"/>
      <c r="G865" s="26" t="str">
        <f aca="false">IF(D865="","",IFERROR(VALUE(LEFT(D865,FIND(" |",D865&amp;" |")-1)),"?"))</f>
        <v/>
      </c>
      <c r="H865" s="27" t="str">
        <f aca="false">IF(G865="","",IF(G865="?","⚠ pub inconnue",IFERROR(INDEX(Pubs!$B$2:$B$3001,MATCH(G865,Pubs!$A$2:$A$3001,0))&amp;"","⚠ pub inconnue")))</f>
        <v/>
      </c>
      <c r="I865" s="27" t="str">
        <f aca="false">IF(OR(G865="",G865="?"),"",IFERROR(INDEX(Pubs!$C$2:$C$3001,MATCH(G865,Pubs!$A$2:$A$3001,0))&amp;"",""))</f>
        <v/>
      </c>
      <c r="J865" s="27" t="str">
        <f aca="false">IF(OR(G865="",G865="?"),"",IFERROR(INDEX(Pubs!$G$2:$G$3001,MATCH(G865,Pubs!$A$2:$A$3001,0))&amp;"",""))</f>
        <v/>
      </c>
      <c r="K865" s="28" t="str">
        <f aca="false">IF(OR(G865="",G865="?"),"",IFERROR(INDEX(Pubs!$E$2:$E$3001,MATCH(G865,Pubs!$A$2:$A$3001,0)),""))</f>
        <v/>
      </c>
      <c r="L865" s="29" t="str">
        <f aca="false">IF(A865="","",IFERROR(1/(1/INDEX(Numéros!$C$2:$C$3001,MATCH(A865&amp;"|"&amp;B865,Numéros!$F$2:$F$3001,0))),""))</f>
        <v/>
      </c>
      <c r="M865" s="27" t="str">
        <f aca="false">IF(OR(G865="",G865="?"),"",IFERROR(INDEX(Pubs!$D$2:$D$3001,MATCH(G865,Pubs!$A$2:$A$3001,0))&amp;"",""))</f>
        <v/>
      </c>
      <c r="N865" s="27" t="n">
        <f aca="false">N(N864)+IF(AND(A865&lt;&gt;"",OR(Recherche!$C$4="",A865=Recherche!$C$4),OR(Recherche!$C$5="",B865&amp;""=Recherche!$C$5&amp;""),OR(Recherche!$C$6="",IFERROR(YEAR(L865),0)=Recherche!$C$6),OR(Recherche!$C$7="",ISNUMBER(SEARCH(Recherche!$C$7,H865))),OR(Recherche!$C$8="",J865=Recherche!$C$8),OR(Recherche!$C$9="",I865=Recherche!$C$9),OR(Recherche!$C$10="",G865&amp;""=Recherche!$C$10&amp;""),OR(Recherche!$C$11="",E865=Recherche!$C$11),OR(Recherche!$C$12="",ISNUMBER(SEARCH(Recherche!$C$12,M865&amp;" "&amp;F865)))),1,0)</f>
        <v>8</v>
      </c>
    </row>
    <row r="866" customFormat="false" ht="15" hidden="false" customHeight="false" outlineLevel="0" collapsed="false">
      <c r="A866" s="19"/>
      <c r="B866" s="19"/>
      <c r="C866" s="19"/>
      <c r="D866" s="19"/>
      <c r="E866" s="22"/>
      <c r="F866" s="19"/>
      <c r="G866" s="26" t="str">
        <f aca="false">IF(D866="","",IFERROR(VALUE(LEFT(D866,FIND(" |",D866&amp;" |")-1)),"?"))</f>
        <v/>
      </c>
      <c r="H866" s="27" t="str">
        <f aca="false">IF(G866="","",IF(G866="?","⚠ pub inconnue",IFERROR(INDEX(Pubs!$B$2:$B$3001,MATCH(G866,Pubs!$A$2:$A$3001,0))&amp;"","⚠ pub inconnue")))</f>
        <v/>
      </c>
      <c r="I866" s="27" t="str">
        <f aca="false">IF(OR(G866="",G866="?"),"",IFERROR(INDEX(Pubs!$C$2:$C$3001,MATCH(G866,Pubs!$A$2:$A$3001,0))&amp;"",""))</f>
        <v/>
      </c>
      <c r="J866" s="27" t="str">
        <f aca="false">IF(OR(G866="",G866="?"),"",IFERROR(INDEX(Pubs!$G$2:$G$3001,MATCH(G866,Pubs!$A$2:$A$3001,0))&amp;"",""))</f>
        <v/>
      </c>
      <c r="K866" s="28" t="str">
        <f aca="false">IF(OR(G866="",G866="?"),"",IFERROR(INDEX(Pubs!$E$2:$E$3001,MATCH(G866,Pubs!$A$2:$A$3001,0)),""))</f>
        <v/>
      </c>
      <c r="L866" s="29" t="str">
        <f aca="false">IF(A866="","",IFERROR(1/(1/INDEX(Numéros!$C$2:$C$3001,MATCH(A866&amp;"|"&amp;B866,Numéros!$F$2:$F$3001,0))),""))</f>
        <v/>
      </c>
      <c r="M866" s="27" t="str">
        <f aca="false">IF(OR(G866="",G866="?"),"",IFERROR(INDEX(Pubs!$D$2:$D$3001,MATCH(G866,Pubs!$A$2:$A$3001,0))&amp;"",""))</f>
        <v/>
      </c>
      <c r="N866" s="27" t="n">
        <f aca="false">N(N865)+IF(AND(A866&lt;&gt;"",OR(Recherche!$C$4="",A866=Recherche!$C$4),OR(Recherche!$C$5="",B866&amp;""=Recherche!$C$5&amp;""),OR(Recherche!$C$6="",IFERROR(YEAR(L866),0)=Recherche!$C$6),OR(Recherche!$C$7="",ISNUMBER(SEARCH(Recherche!$C$7,H866))),OR(Recherche!$C$8="",J866=Recherche!$C$8),OR(Recherche!$C$9="",I866=Recherche!$C$9),OR(Recherche!$C$10="",G866&amp;""=Recherche!$C$10&amp;""),OR(Recherche!$C$11="",E866=Recherche!$C$11),OR(Recherche!$C$12="",ISNUMBER(SEARCH(Recherche!$C$12,M866&amp;" "&amp;F866)))),1,0)</f>
        <v>8</v>
      </c>
    </row>
    <row r="867" customFormat="false" ht="15" hidden="false" customHeight="false" outlineLevel="0" collapsed="false">
      <c r="A867" s="19"/>
      <c r="B867" s="19"/>
      <c r="C867" s="19"/>
      <c r="D867" s="19"/>
      <c r="E867" s="22"/>
      <c r="F867" s="19"/>
      <c r="G867" s="26" t="str">
        <f aca="false">IF(D867="","",IFERROR(VALUE(LEFT(D867,FIND(" |",D867&amp;" |")-1)),"?"))</f>
        <v/>
      </c>
      <c r="H867" s="27" t="str">
        <f aca="false">IF(G867="","",IF(G867="?","⚠ pub inconnue",IFERROR(INDEX(Pubs!$B$2:$B$3001,MATCH(G867,Pubs!$A$2:$A$3001,0))&amp;"","⚠ pub inconnue")))</f>
        <v/>
      </c>
      <c r="I867" s="27" t="str">
        <f aca="false">IF(OR(G867="",G867="?"),"",IFERROR(INDEX(Pubs!$C$2:$C$3001,MATCH(G867,Pubs!$A$2:$A$3001,0))&amp;"",""))</f>
        <v/>
      </c>
      <c r="J867" s="27" t="str">
        <f aca="false">IF(OR(G867="",G867="?"),"",IFERROR(INDEX(Pubs!$G$2:$G$3001,MATCH(G867,Pubs!$A$2:$A$3001,0))&amp;"",""))</f>
        <v/>
      </c>
      <c r="K867" s="28" t="str">
        <f aca="false">IF(OR(G867="",G867="?"),"",IFERROR(INDEX(Pubs!$E$2:$E$3001,MATCH(G867,Pubs!$A$2:$A$3001,0)),""))</f>
        <v/>
      </c>
      <c r="L867" s="29" t="str">
        <f aca="false">IF(A867="","",IFERROR(1/(1/INDEX(Numéros!$C$2:$C$3001,MATCH(A867&amp;"|"&amp;B867,Numéros!$F$2:$F$3001,0))),""))</f>
        <v/>
      </c>
      <c r="M867" s="27" t="str">
        <f aca="false">IF(OR(G867="",G867="?"),"",IFERROR(INDEX(Pubs!$D$2:$D$3001,MATCH(G867,Pubs!$A$2:$A$3001,0))&amp;"",""))</f>
        <v/>
      </c>
      <c r="N867" s="27" t="n">
        <f aca="false">N(N866)+IF(AND(A867&lt;&gt;"",OR(Recherche!$C$4="",A867=Recherche!$C$4),OR(Recherche!$C$5="",B867&amp;""=Recherche!$C$5&amp;""),OR(Recherche!$C$6="",IFERROR(YEAR(L867),0)=Recherche!$C$6),OR(Recherche!$C$7="",ISNUMBER(SEARCH(Recherche!$C$7,H867))),OR(Recherche!$C$8="",J867=Recherche!$C$8),OR(Recherche!$C$9="",I867=Recherche!$C$9),OR(Recherche!$C$10="",G867&amp;""=Recherche!$C$10&amp;""),OR(Recherche!$C$11="",E867=Recherche!$C$11),OR(Recherche!$C$12="",ISNUMBER(SEARCH(Recherche!$C$12,M867&amp;" "&amp;F867)))),1,0)</f>
        <v>8</v>
      </c>
    </row>
    <row r="868" customFormat="false" ht="15" hidden="false" customHeight="false" outlineLevel="0" collapsed="false">
      <c r="A868" s="19"/>
      <c r="B868" s="19"/>
      <c r="C868" s="19"/>
      <c r="D868" s="19"/>
      <c r="E868" s="22"/>
      <c r="F868" s="19"/>
      <c r="G868" s="26" t="str">
        <f aca="false">IF(D868="","",IFERROR(VALUE(LEFT(D868,FIND(" |",D868&amp;" |")-1)),"?"))</f>
        <v/>
      </c>
      <c r="H868" s="27" t="str">
        <f aca="false">IF(G868="","",IF(G868="?","⚠ pub inconnue",IFERROR(INDEX(Pubs!$B$2:$B$3001,MATCH(G868,Pubs!$A$2:$A$3001,0))&amp;"","⚠ pub inconnue")))</f>
        <v/>
      </c>
      <c r="I868" s="27" t="str">
        <f aca="false">IF(OR(G868="",G868="?"),"",IFERROR(INDEX(Pubs!$C$2:$C$3001,MATCH(G868,Pubs!$A$2:$A$3001,0))&amp;"",""))</f>
        <v/>
      </c>
      <c r="J868" s="27" t="str">
        <f aca="false">IF(OR(G868="",G868="?"),"",IFERROR(INDEX(Pubs!$G$2:$G$3001,MATCH(G868,Pubs!$A$2:$A$3001,0))&amp;"",""))</f>
        <v/>
      </c>
      <c r="K868" s="28" t="str">
        <f aca="false">IF(OR(G868="",G868="?"),"",IFERROR(INDEX(Pubs!$E$2:$E$3001,MATCH(G868,Pubs!$A$2:$A$3001,0)),""))</f>
        <v/>
      </c>
      <c r="L868" s="29" t="str">
        <f aca="false">IF(A868="","",IFERROR(1/(1/INDEX(Numéros!$C$2:$C$3001,MATCH(A868&amp;"|"&amp;B868,Numéros!$F$2:$F$3001,0))),""))</f>
        <v/>
      </c>
      <c r="M868" s="27" t="str">
        <f aca="false">IF(OR(G868="",G868="?"),"",IFERROR(INDEX(Pubs!$D$2:$D$3001,MATCH(G868,Pubs!$A$2:$A$3001,0))&amp;"",""))</f>
        <v/>
      </c>
      <c r="N868" s="27" t="n">
        <f aca="false">N(N867)+IF(AND(A868&lt;&gt;"",OR(Recherche!$C$4="",A868=Recherche!$C$4),OR(Recherche!$C$5="",B868&amp;""=Recherche!$C$5&amp;""),OR(Recherche!$C$6="",IFERROR(YEAR(L868),0)=Recherche!$C$6),OR(Recherche!$C$7="",ISNUMBER(SEARCH(Recherche!$C$7,H868))),OR(Recherche!$C$8="",J868=Recherche!$C$8),OR(Recherche!$C$9="",I868=Recherche!$C$9),OR(Recherche!$C$10="",G868&amp;""=Recherche!$C$10&amp;""),OR(Recherche!$C$11="",E868=Recherche!$C$11),OR(Recherche!$C$12="",ISNUMBER(SEARCH(Recherche!$C$12,M868&amp;" "&amp;F868)))),1,0)</f>
        <v>8</v>
      </c>
    </row>
    <row r="869" customFormat="false" ht="15" hidden="false" customHeight="false" outlineLevel="0" collapsed="false">
      <c r="A869" s="19"/>
      <c r="B869" s="19"/>
      <c r="C869" s="19"/>
      <c r="D869" s="19"/>
      <c r="E869" s="22"/>
      <c r="F869" s="19"/>
      <c r="G869" s="26" t="str">
        <f aca="false">IF(D869="","",IFERROR(VALUE(LEFT(D869,FIND(" |",D869&amp;" |")-1)),"?"))</f>
        <v/>
      </c>
      <c r="H869" s="27" t="str">
        <f aca="false">IF(G869="","",IF(G869="?","⚠ pub inconnue",IFERROR(INDEX(Pubs!$B$2:$B$3001,MATCH(G869,Pubs!$A$2:$A$3001,0))&amp;"","⚠ pub inconnue")))</f>
        <v/>
      </c>
      <c r="I869" s="27" t="str">
        <f aca="false">IF(OR(G869="",G869="?"),"",IFERROR(INDEX(Pubs!$C$2:$C$3001,MATCH(G869,Pubs!$A$2:$A$3001,0))&amp;"",""))</f>
        <v/>
      </c>
      <c r="J869" s="27" t="str">
        <f aca="false">IF(OR(G869="",G869="?"),"",IFERROR(INDEX(Pubs!$G$2:$G$3001,MATCH(G869,Pubs!$A$2:$A$3001,0))&amp;"",""))</f>
        <v/>
      </c>
      <c r="K869" s="28" t="str">
        <f aca="false">IF(OR(G869="",G869="?"),"",IFERROR(INDEX(Pubs!$E$2:$E$3001,MATCH(G869,Pubs!$A$2:$A$3001,0)),""))</f>
        <v/>
      </c>
      <c r="L869" s="29" t="str">
        <f aca="false">IF(A869="","",IFERROR(1/(1/INDEX(Numéros!$C$2:$C$3001,MATCH(A869&amp;"|"&amp;B869,Numéros!$F$2:$F$3001,0))),""))</f>
        <v/>
      </c>
      <c r="M869" s="27" t="str">
        <f aca="false">IF(OR(G869="",G869="?"),"",IFERROR(INDEX(Pubs!$D$2:$D$3001,MATCH(G869,Pubs!$A$2:$A$3001,0))&amp;"",""))</f>
        <v/>
      </c>
      <c r="N869" s="27" t="n">
        <f aca="false">N(N868)+IF(AND(A869&lt;&gt;"",OR(Recherche!$C$4="",A869=Recherche!$C$4),OR(Recherche!$C$5="",B869&amp;""=Recherche!$C$5&amp;""),OR(Recherche!$C$6="",IFERROR(YEAR(L869),0)=Recherche!$C$6),OR(Recherche!$C$7="",ISNUMBER(SEARCH(Recherche!$C$7,H869))),OR(Recherche!$C$8="",J869=Recherche!$C$8),OR(Recherche!$C$9="",I869=Recherche!$C$9),OR(Recherche!$C$10="",G869&amp;""=Recherche!$C$10&amp;""),OR(Recherche!$C$11="",E869=Recherche!$C$11),OR(Recherche!$C$12="",ISNUMBER(SEARCH(Recherche!$C$12,M869&amp;" "&amp;F869)))),1,0)</f>
        <v>8</v>
      </c>
    </row>
    <row r="870" customFormat="false" ht="15" hidden="false" customHeight="false" outlineLevel="0" collapsed="false">
      <c r="A870" s="19"/>
      <c r="B870" s="19"/>
      <c r="C870" s="19"/>
      <c r="D870" s="19"/>
      <c r="E870" s="22"/>
      <c r="F870" s="19"/>
      <c r="G870" s="26" t="str">
        <f aca="false">IF(D870="","",IFERROR(VALUE(LEFT(D870,FIND(" |",D870&amp;" |")-1)),"?"))</f>
        <v/>
      </c>
      <c r="H870" s="27" t="str">
        <f aca="false">IF(G870="","",IF(G870="?","⚠ pub inconnue",IFERROR(INDEX(Pubs!$B$2:$B$3001,MATCH(G870,Pubs!$A$2:$A$3001,0))&amp;"","⚠ pub inconnue")))</f>
        <v/>
      </c>
      <c r="I870" s="27" t="str">
        <f aca="false">IF(OR(G870="",G870="?"),"",IFERROR(INDEX(Pubs!$C$2:$C$3001,MATCH(G870,Pubs!$A$2:$A$3001,0))&amp;"",""))</f>
        <v/>
      </c>
      <c r="J870" s="27" t="str">
        <f aca="false">IF(OR(G870="",G870="?"),"",IFERROR(INDEX(Pubs!$G$2:$G$3001,MATCH(G870,Pubs!$A$2:$A$3001,0))&amp;"",""))</f>
        <v/>
      </c>
      <c r="K870" s="28" t="str">
        <f aca="false">IF(OR(G870="",G870="?"),"",IFERROR(INDEX(Pubs!$E$2:$E$3001,MATCH(G870,Pubs!$A$2:$A$3001,0)),""))</f>
        <v/>
      </c>
      <c r="L870" s="29" t="str">
        <f aca="false">IF(A870="","",IFERROR(1/(1/INDEX(Numéros!$C$2:$C$3001,MATCH(A870&amp;"|"&amp;B870,Numéros!$F$2:$F$3001,0))),""))</f>
        <v/>
      </c>
      <c r="M870" s="27" t="str">
        <f aca="false">IF(OR(G870="",G870="?"),"",IFERROR(INDEX(Pubs!$D$2:$D$3001,MATCH(G870,Pubs!$A$2:$A$3001,0))&amp;"",""))</f>
        <v/>
      </c>
      <c r="N870" s="27" t="n">
        <f aca="false">N(N869)+IF(AND(A870&lt;&gt;"",OR(Recherche!$C$4="",A870=Recherche!$C$4),OR(Recherche!$C$5="",B870&amp;""=Recherche!$C$5&amp;""),OR(Recherche!$C$6="",IFERROR(YEAR(L870),0)=Recherche!$C$6),OR(Recherche!$C$7="",ISNUMBER(SEARCH(Recherche!$C$7,H870))),OR(Recherche!$C$8="",J870=Recherche!$C$8),OR(Recherche!$C$9="",I870=Recherche!$C$9),OR(Recherche!$C$10="",G870&amp;""=Recherche!$C$10&amp;""),OR(Recherche!$C$11="",E870=Recherche!$C$11),OR(Recherche!$C$12="",ISNUMBER(SEARCH(Recherche!$C$12,M870&amp;" "&amp;F870)))),1,0)</f>
        <v>8</v>
      </c>
    </row>
    <row r="871" customFormat="false" ht="15" hidden="false" customHeight="false" outlineLevel="0" collapsed="false">
      <c r="A871" s="19"/>
      <c r="B871" s="19"/>
      <c r="C871" s="19"/>
      <c r="D871" s="19"/>
      <c r="E871" s="22"/>
      <c r="F871" s="19"/>
      <c r="G871" s="26" t="str">
        <f aca="false">IF(D871="","",IFERROR(VALUE(LEFT(D871,FIND(" |",D871&amp;" |")-1)),"?"))</f>
        <v/>
      </c>
      <c r="H871" s="27" t="str">
        <f aca="false">IF(G871="","",IF(G871="?","⚠ pub inconnue",IFERROR(INDEX(Pubs!$B$2:$B$3001,MATCH(G871,Pubs!$A$2:$A$3001,0))&amp;"","⚠ pub inconnue")))</f>
        <v/>
      </c>
      <c r="I871" s="27" t="str">
        <f aca="false">IF(OR(G871="",G871="?"),"",IFERROR(INDEX(Pubs!$C$2:$C$3001,MATCH(G871,Pubs!$A$2:$A$3001,0))&amp;"",""))</f>
        <v/>
      </c>
      <c r="J871" s="27" t="str">
        <f aca="false">IF(OR(G871="",G871="?"),"",IFERROR(INDEX(Pubs!$G$2:$G$3001,MATCH(G871,Pubs!$A$2:$A$3001,0))&amp;"",""))</f>
        <v/>
      </c>
      <c r="K871" s="28" t="str">
        <f aca="false">IF(OR(G871="",G871="?"),"",IFERROR(INDEX(Pubs!$E$2:$E$3001,MATCH(G871,Pubs!$A$2:$A$3001,0)),""))</f>
        <v/>
      </c>
      <c r="L871" s="29" t="str">
        <f aca="false">IF(A871="","",IFERROR(1/(1/INDEX(Numéros!$C$2:$C$3001,MATCH(A871&amp;"|"&amp;B871,Numéros!$F$2:$F$3001,0))),""))</f>
        <v/>
      </c>
      <c r="M871" s="27" t="str">
        <f aca="false">IF(OR(G871="",G871="?"),"",IFERROR(INDEX(Pubs!$D$2:$D$3001,MATCH(G871,Pubs!$A$2:$A$3001,0))&amp;"",""))</f>
        <v/>
      </c>
      <c r="N871" s="27" t="n">
        <f aca="false">N(N870)+IF(AND(A871&lt;&gt;"",OR(Recherche!$C$4="",A871=Recherche!$C$4),OR(Recherche!$C$5="",B871&amp;""=Recherche!$C$5&amp;""),OR(Recherche!$C$6="",IFERROR(YEAR(L871),0)=Recherche!$C$6),OR(Recherche!$C$7="",ISNUMBER(SEARCH(Recherche!$C$7,H871))),OR(Recherche!$C$8="",J871=Recherche!$C$8),OR(Recherche!$C$9="",I871=Recherche!$C$9),OR(Recherche!$C$10="",G871&amp;""=Recherche!$C$10&amp;""),OR(Recherche!$C$11="",E871=Recherche!$C$11),OR(Recherche!$C$12="",ISNUMBER(SEARCH(Recherche!$C$12,M871&amp;" "&amp;F871)))),1,0)</f>
        <v>8</v>
      </c>
    </row>
    <row r="872" customFormat="false" ht="15" hidden="false" customHeight="false" outlineLevel="0" collapsed="false">
      <c r="A872" s="19"/>
      <c r="B872" s="19"/>
      <c r="C872" s="19"/>
      <c r="D872" s="19"/>
      <c r="E872" s="22"/>
      <c r="F872" s="19"/>
      <c r="G872" s="26" t="str">
        <f aca="false">IF(D872="","",IFERROR(VALUE(LEFT(D872,FIND(" |",D872&amp;" |")-1)),"?"))</f>
        <v/>
      </c>
      <c r="H872" s="27" t="str">
        <f aca="false">IF(G872="","",IF(G872="?","⚠ pub inconnue",IFERROR(INDEX(Pubs!$B$2:$B$3001,MATCH(G872,Pubs!$A$2:$A$3001,0))&amp;"","⚠ pub inconnue")))</f>
        <v/>
      </c>
      <c r="I872" s="27" t="str">
        <f aca="false">IF(OR(G872="",G872="?"),"",IFERROR(INDEX(Pubs!$C$2:$C$3001,MATCH(G872,Pubs!$A$2:$A$3001,0))&amp;"",""))</f>
        <v/>
      </c>
      <c r="J872" s="27" t="str">
        <f aca="false">IF(OR(G872="",G872="?"),"",IFERROR(INDEX(Pubs!$G$2:$G$3001,MATCH(G872,Pubs!$A$2:$A$3001,0))&amp;"",""))</f>
        <v/>
      </c>
      <c r="K872" s="28" t="str">
        <f aca="false">IF(OR(G872="",G872="?"),"",IFERROR(INDEX(Pubs!$E$2:$E$3001,MATCH(G872,Pubs!$A$2:$A$3001,0)),""))</f>
        <v/>
      </c>
      <c r="L872" s="29" t="str">
        <f aca="false">IF(A872="","",IFERROR(1/(1/INDEX(Numéros!$C$2:$C$3001,MATCH(A872&amp;"|"&amp;B872,Numéros!$F$2:$F$3001,0))),""))</f>
        <v/>
      </c>
      <c r="M872" s="27" t="str">
        <f aca="false">IF(OR(G872="",G872="?"),"",IFERROR(INDEX(Pubs!$D$2:$D$3001,MATCH(G872,Pubs!$A$2:$A$3001,0))&amp;"",""))</f>
        <v/>
      </c>
      <c r="N872" s="27" t="n">
        <f aca="false">N(N871)+IF(AND(A872&lt;&gt;"",OR(Recherche!$C$4="",A872=Recherche!$C$4),OR(Recherche!$C$5="",B872&amp;""=Recherche!$C$5&amp;""),OR(Recherche!$C$6="",IFERROR(YEAR(L872),0)=Recherche!$C$6),OR(Recherche!$C$7="",ISNUMBER(SEARCH(Recherche!$C$7,H872))),OR(Recherche!$C$8="",J872=Recherche!$C$8),OR(Recherche!$C$9="",I872=Recherche!$C$9),OR(Recherche!$C$10="",G872&amp;""=Recherche!$C$10&amp;""),OR(Recherche!$C$11="",E872=Recherche!$C$11),OR(Recherche!$C$12="",ISNUMBER(SEARCH(Recherche!$C$12,M872&amp;" "&amp;F872)))),1,0)</f>
        <v>8</v>
      </c>
    </row>
    <row r="873" customFormat="false" ht="15" hidden="false" customHeight="false" outlineLevel="0" collapsed="false">
      <c r="A873" s="19"/>
      <c r="B873" s="19"/>
      <c r="C873" s="19"/>
      <c r="D873" s="19"/>
      <c r="E873" s="22"/>
      <c r="F873" s="19"/>
      <c r="G873" s="26" t="str">
        <f aca="false">IF(D873="","",IFERROR(VALUE(LEFT(D873,FIND(" |",D873&amp;" |")-1)),"?"))</f>
        <v/>
      </c>
      <c r="H873" s="27" t="str">
        <f aca="false">IF(G873="","",IF(G873="?","⚠ pub inconnue",IFERROR(INDEX(Pubs!$B$2:$B$3001,MATCH(G873,Pubs!$A$2:$A$3001,0))&amp;"","⚠ pub inconnue")))</f>
        <v/>
      </c>
      <c r="I873" s="27" t="str">
        <f aca="false">IF(OR(G873="",G873="?"),"",IFERROR(INDEX(Pubs!$C$2:$C$3001,MATCH(G873,Pubs!$A$2:$A$3001,0))&amp;"",""))</f>
        <v/>
      </c>
      <c r="J873" s="27" t="str">
        <f aca="false">IF(OR(G873="",G873="?"),"",IFERROR(INDEX(Pubs!$G$2:$G$3001,MATCH(G873,Pubs!$A$2:$A$3001,0))&amp;"",""))</f>
        <v/>
      </c>
      <c r="K873" s="28" t="str">
        <f aca="false">IF(OR(G873="",G873="?"),"",IFERROR(INDEX(Pubs!$E$2:$E$3001,MATCH(G873,Pubs!$A$2:$A$3001,0)),""))</f>
        <v/>
      </c>
      <c r="L873" s="29" t="str">
        <f aca="false">IF(A873="","",IFERROR(1/(1/INDEX(Numéros!$C$2:$C$3001,MATCH(A873&amp;"|"&amp;B873,Numéros!$F$2:$F$3001,0))),""))</f>
        <v/>
      </c>
      <c r="M873" s="27" t="str">
        <f aca="false">IF(OR(G873="",G873="?"),"",IFERROR(INDEX(Pubs!$D$2:$D$3001,MATCH(G873,Pubs!$A$2:$A$3001,0))&amp;"",""))</f>
        <v/>
      </c>
      <c r="N873" s="27" t="n">
        <f aca="false">N(N872)+IF(AND(A873&lt;&gt;"",OR(Recherche!$C$4="",A873=Recherche!$C$4),OR(Recherche!$C$5="",B873&amp;""=Recherche!$C$5&amp;""),OR(Recherche!$C$6="",IFERROR(YEAR(L873),0)=Recherche!$C$6),OR(Recherche!$C$7="",ISNUMBER(SEARCH(Recherche!$C$7,H873))),OR(Recherche!$C$8="",J873=Recherche!$C$8),OR(Recherche!$C$9="",I873=Recherche!$C$9),OR(Recherche!$C$10="",G873&amp;""=Recherche!$C$10&amp;""),OR(Recherche!$C$11="",E873=Recherche!$C$11),OR(Recherche!$C$12="",ISNUMBER(SEARCH(Recherche!$C$12,M873&amp;" "&amp;F873)))),1,0)</f>
        <v>8</v>
      </c>
    </row>
    <row r="874" customFormat="false" ht="15" hidden="false" customHeight="false" outlineLevel="0" collapsed="false">
      <c r="A874" s="19"/>
      <c r="B874" s="19"/>
      <c r="C874" s="19"/>
      <c r="D874" s="19"/>
      <c r="E874" s="22"/>
      <c r="F874" s="19"/>
      <c r="G874" s="26" t="str">
        <f aca="false">IF(D874="","",IFERROR(VALUE(LEFT(D874,FIND(" |",D874&amp;" |")-1)),"?"))</f>
        <v/>
      </c>
      <c r="H874" s="27" t="str">
        <f aca="false">IF(G874="","",IF(G874="?","⚠ pub inconnue",IFERROR(INDEX(Pubs!$B$2:$B$3001,MATCH(G874,Pubs!$A$2:$A$3001,0))&amp;"","⚠ pub inconnue")))</f>
        <v/>
      </c>
      <c r="I874" s="27" t="str">
        <f aca="false">IF(OR(G874="",G874="?"),"",IFERROR(INDEX(Pubs!$C$2:$C$3001,MATCH(G874,Pubs!$A$2:$A$3001,0))&amp;"",""))</f>
        <v/>
      </c>
      <c r="J874" s="27" t="str">
        <f aca="false">IF(OR(G874="",G874="?"),"",IFERROR(INDEX(Pubs!$G$2:$G$3001,MATCH(G874,Pubs!$A$2:$A$3001,0))&amp;"",""))</f>
        <v/>
      </c>
      <c r="K874" s="28" t="str">
        <f aca="false">IF(OR(G874="",G874="?"),"",IFERROR(INDEX(Pubs!$E$2:$E$3001,MATCH(G874,Pubs!$A$2:$A$3001,0)),""))</f>
        <v/>
      </c>
      <c r="L874" s="29" t="str">
        <f aca="false">IF(A874="","",IFERROR(1/(1/INDEX(Numéros!$C$2:$C$3001,MATCH(A874&amp;"|"&amp;B874,Numéros!$F$2:$F$3001,0))),""))</f>
        <v/>
      </c>
      <c r="M874" s="27" t="str">
        <f aca="false">IF(OR(G874="",G874="?"),"",IFERROR(INDEX(Pubs!$D$2:$D$3001,MATCH(G874,Pubs!$A$2:$A$3001,0))&amp;"",""))</f>
        <v/>
      </c>
      <c r="N874" s="27" t="n">
        <f aca="false">N(N873)+IF(AND(A874&lt;&gt;"",OR(Recherche!$C$4="",A874=Recherche!$C$4),OR(Recherche!$C$5="",B874&amp;""=Recherche!$C$5&amp;""),OR(Recherche!$C$6="",IFERROR(YEAR(L874),0)=Recherche!$C$6),OR(Recherche!$C$7="",ISNUMBER(SEARCH(Recherche!$C$7,H874))),OR(Recherche!$C$8="",J874=Recherche!$C$8),OR(Recherche!$C$9="",I874=Recherche!$C$9),OR(Recherche!$C$10="",G874&amp;""=Recherche!$C$10&amp;""),OR(Recherche!$C$11="",E874=Recherche!$C$11),OR(Recherche!$C$12="",ISNUMBER(SEARCH(Recherche!$C$12,M874&amp;" "&amp;F874)))),1,0)</f>
        <v>8</v>
      </c>
    </row>
    <row r="875" customFormat="false" ht="15" hidden="false" customHeight="false" outlineLevel="0" collapsed="false">
      <c r="A875" s="19"/>
      <c r="B875" s="19"/>
      <c r="C875" s="19"/>
      <c r="D875" s="19"/>
      <c r="E875" s="22"/>
      <c r="F875" s="19"/>
      <c r="G875" s="26" t="str">
        <f aca="false">IF(D875="","",IFERROR(VALUE(LEFT(D875,FIND(" |",D875&amp;" |")-1)),"?"))</f>
        <v/>
      </c>
      <c r="H875" s="27" t="str">
        <f aca="false">IF(G875="","",IF(G875="?","⚠ pub inconnue",IFERROR(INDEX(Pubs!$B$2:$B$3001,MATCH(G875,Pubs!$A$2:$A$3001,0))&amp;"","⚠ pub inconnue")))</f>
        <v/>
      </c>
      <c r="I875" s="27" t="str">
        <f aca="false">IF(OR(G875="",G875="?"),"",IFERROR(INDEX(Pubs!$C$2:$C$3001,MATCH(G875,Pubs!$A$2:$A$3001,0))&amp;"",""))</f>
        <v/>
      </c>
      <c r="J875" s="27" t="str">
        <f aca="false">IF(OR(G875="",G875="?"),"",IFERROR(INDEX(Pubs!$G$2:$G$3001,MATCH(G875,Pubs!$A$2:$A$3001,0))&amp;"",""))</f>
        <v/>
      </c>
      <c r="K875" s="28" t="str">
        <f aca="false">IF(OR(G875="",G875="?"),"",IFERROR(INDEX(Pubs!$E$2:$E$3001,MATCH(G875,Pubs!$A$2:$A$3001,0)),""))</f>
        <v/>
      </c>
      <c r="L875" s="29" t="str">
        <f aca="false">IF(A875="","",IFERROR(1/(1/INDEX(Numéros!$C$2:$C$3001,MATCH(A875&amp;"|"&amp;B875,Numéros!$F$2:$F$3001,0))),""))</f>
        <v/>
      </c>
      <c r="M875" s="27" t="str">
        <f aca="false">IF(OR(G875="",G875="?"),"",IFERROR(INDEX(Pubs!$D$2:$D$3001,MATCH(G875,Pubs!$A$2:$A$3001,0))&amp;"",""))</f>
        <v/>
      </c>
      <c r="N875" s="27" t="n">
        <f aca="false">N(N874)+IF(AND(A875&lt;&gt;"",OR(Recherche!$C$4="",A875=Recherche!$C$4),OR(Recherche!$C$5="",B875&amp;""=Recherche!$C$5&amp;""),OR(Recherche!$C$6="",IFERROR(YEAR(L875),0)=Recherche!$C$6),OR(Recherche!$C$7="",ISNUMBER(SEARCH(Recherche!$C$7,H875))),OR(Recherche!$C$8="",J875=Recherche!$C$8),OR(Recherche!$C$9="",I875=Recherche!$C$9),OR(Recherche!$C$10="",G875&amp;""=Recherche!$C$10&amp;""),OR(Recherche!$C$11="",E875=Recherche!$C$11),OR(Recherche!$C$12="",ISNUMBER(SEARCH(Recherche!$C$12,M875&amp;" "&amp;F875)))),1,0)</f>
        <v>8</v>
      </c>
    </row>
    <row r="876" customFormat="false" ht="15" hidden="false" customHeight="false" outlineLevel="0" collapsed="false">
      <c r="A876" s="19"/>
      <c r="B876" s="19"/>
      <c r="C876" s="19"/>
      <c r="D876" s="19"/>
      <c r="E876" s="22"/>
      <c r="F876" s="19"/>
      <c r="G876" s="26" t="str">
        <f aca="false">IF(D876="","",IFERROR(VALUE(LEFT(D876,FIND(" |",D876&amp;" |")-1)),"?"))</f>
        <v/>
      </c>
      <c r="H876" s="27" t="str">
        <f aca="false">IF(G876="","",IF(G876="?","⚠ pub inconnue",IFERROR(INDEX(Pubs!$B$2:$B$3001,MATCH(G876,Pubs!$A$2:$A$3001,0))&amp;"","⚠ pub inconnue")))</f>
        <v/>
      </c>
      <c r="I876" s="27" t="str">
        <f aca="false">IF(OR(G876="",G876="?"),"",IFERROR(INDEX(Pubs!$C$2:$C$3001,MATCH(G876,Pubs!$A$2:$A$3001,0))&amp;"",""))</f>
        <v/>
      </c>
      <c r="J876" s="27" t="str">
        <f aca="false">IF(OR(G876="",G876="?"),"",IFERROR(INDEX(Pubs!$G$2:$G$3001,MATCH(G876,Pubs!$A$2:$A$3001,0))&amp;"",""))</f>
        <v/>
      </c>
      <c r="K876" s="28" t="str">
        <f aca="false">IF(OR(G876="",G876="?"),"",IFERROR(INDEX(Pubs!$E$2:$E$3001,MATCH(G876,Pubs!$A$2:$A$3001,0)),""))</f>
        <v/>
      </c>
      <c r="L876" s="29" t="str">
        <f aca="false">IF(A876="","",IFERROR(1/(1/INDEX(Numéros!$C$2:$C$3001,MATCH(A876&amp;"|"&amp;B876,Numéros!$F$2:$F$3001,0))),""))</f>
        <v/>
      </c>
      <c r="M876" s="27" t="str">
        <f aca="false">IF(OR(G876="",G876="?"),"",IFERROR(INDEX(Pubs!$D$2:$D$3001,MATCH(G876,Pubs!$A$2:$A$3001,0))&amp;"",""))</f>
        <v/>
      </c>
      <c r="N876" s="27" t="n">
        <f aca="false">N(N875)+IF(AND(A876&lt;&gt;"",OR(Recherche!$C$4="",A876=Recherche!$C$4),OR(Recherche!$C$5="",B876&amp;""=Recherche!$C$5&amp;""),OR(Recherche!$C$6="",IFERROR(YEAR(L876),0)=Recherche!$C$6),OR(Recherche!$C$7="",ISNUMBER(SEARCH(Recherche!$C$7,H876))),OR(Recherche!$C$8="",J876=Recherche!$C$8),OR(Recherche!$C$9="",I876=Recherche!$C$9),OR(Recherche!$C$10="",G876&amp;""=Recherche!$C$10&amp;""),OR(Recherche!$C$11="",E876=Recherche!$C$11),OR(Recherche!$C$12="",ISNUMBER(SEARCH(Recherche!$C$12,M876&amp;" "&amp;F876)))),1,0)</f>
        <v>8</v>
      </c>
    </row>
    <row r="877" customFormat="false" ht="15" hidden="false" customHeight="false" outlineLevel="0" collapsed="false">
      <c r="A877" s="19"/>
      <c r="B877" s="19"/>
      <c r="C877" s="19"/>
      <c r="D877" s="19"/>
      <c r="E877" s="22"/>
      <c r="F877" s="19"/>
      <c r="G877" s="26" t="str">
        <f aca="false">IF(D877="","",IFERROR(VALUE(LEFT(D877,FIND(" |",D877&amp;" |")-1)),"?"))</f>
        <v/>
      </c>
      <c r="H877" s="27" t="str">
        <f aca="false">IF(G877="","",IF(G877="?","⚠ pub inconnue",IFERROR(INDEX(Pubs!$B$2:$B$3001,MATCH(G877,Pubs!$A$2:$A$3001,0))&amp;"","⚠ pub inconnue")))</f>
        <v/>
      </c>
      <c r="I877" s="27" t="str">
        <f aca="false">IF(OR(G877="",G877="?"),"",IFERROR(INDEX(Pubs!$C$2:$C$3001,MATCH(G877,Pubs!$A$2:$A$3001,0))&amp;"",""))</f>
        <v/>
      </c>
      <c r="J877" s="27" t="str">
        <f aca="false">IF(OR(G877="",G877="?"),"",IFERROR(INDEX(Pubs!$G$2:$G$3001,MATCH(G877,Pubs!$A$2:$A$3001,0))&amp;"",""))</f>
        <v/>
      </c>
      <c r="K877" s="28" t="str">
        <f aca="false">IF(OR(G877="",G877="?"),"",IFERROR(INDEX(Pubs!$E$2:$E$3001,MATCH(G877,Pubs!$A$2:$A$3001,0)),""))</f>
        <v/>
      </c>
      <c r="L877" s="29" t="str">
        <f aca="false">IF(A877="","",IFERROR(1/(1/INDEX(Numéros!$C$2:$C$3001,MATCH(A877&amp;"|"&amp;B877,Numéros!$F$2:$F$3001,0))),""))</f>
        <v/>
      </c>
      <c r="M877" s="27" t="str">
        <f aca="false">IF(OR(G877="",G877="?"),"",IFERROR(INDEX(Pubs!$D$2:$D$3001,MATCH(G877,Pubs!$A$2:$A$3001,0))&amp;"",""))</f>
        <v/>
      </c>
      <c r="N877" s="27" t="n">
        <f aca="false">N(N876)+IF(AND(A877&lt;&gt;"",OR(Recherche!$C$4="",A877=Recherche!$C$4),OR(Recherche!$C$5="",B877&amp;""=Recherche!$C$5&amp;""),OR(Recherche!$C$6="",IFERROR(YEAR(L877),0)=Recherche!$C$6),OR(Recherche!$C$7="",ISNUMBER(SEARCH(Recherche!$C$7,H877))),OR(Recherche!$C$8="",J877=Recherche!$C$8),OR(Recherche!$C$9="",I877=Recherche!$C$9),OR(Recherche!$C$10="",G877&amp;""=Recherche!$C$10&amp;""),OR(Recherche!$C$11="",E877=Recherche!$C$11),OR(Recherche!$C$12="",ISNUMBER(SEARCH(Recherche!$C$12,M877&amp;" "&amp;F877)))),1,0)</f>
        <v>8</v>
      </c>
    </row>
    <row r="878" customFormat="false" ht="15" hidden="false" customHeight="false" outlineLevel="0" collapsed="false">
      <c r="A878" s="19"/>
      <c r="B878" s="19"/>
      <c r="C878" s="19"/>
      <c r="D878" s="19"/>
      <c r="E878" s="22"/>
      <c r="F878" s="19"/>
      <c r="G878" s="26" t="str">
        <f aca="false">IF(D878="","",IFERROR(VALUE(LEFT(D878,FIND(" |",D878&amp;" |")-1)),"?"))</f>
        <v/>
      </c>
      <c r="H878" s="27" t="str">
        <f aca="false">IF(G878="","",IF(G878="?","⚠ pub inconnue",IFERROR(INDEX(Pubs!$B$2:$B$3001,MATCH(G878,Pubs!$A$2:$A$3001,0))&amp;"","⚠ pub inconnue")))</f>
        <v/>
      </c>
      <c r="I878" s="27" t="str">
        <f aca="false">IF(OR(G878="",G878="?"),"",IFERROR(INDEX(Pubs!$C$2:$C$3001,MATCH(G878,Pubs!$A$2:$A$3001,0))&amp;"",""))</f>
        <v/>
      </c>
      <c r="J878" s="27" t="str">
        <f aca="false">IF(OR(G878="",G878="?"),"",IFERROR(INDEX(Pubs!$G$2:$G$3001,MATCH(G878,Pubs!$A$2:$A$3001,0))&amp;"",""))</f>
        <v/>
      </c>
      <c r="K878" s="28" t="str">
        <f aca="false">IF(OR(G878="",G878="?"),"",IFERROR(INDEX(Pubs!$E$2:$E$3001,MATCH(G878,Pubs!$A$2:$A$3001,0)),""))</f>
        <v/>
      </c>
      <c r="L878" s="29" t="str">
        <f aca="false">IF(A878="","",IFERROR(1/(1/INDEX(Numéros!$C$2:$C$3001,MATCH(A878&amp;"|"&amp;B878,Numéros!$F$2:$F$3001,0))),""))</f>
        <v/>
      </c>
      <c r="M878" s="27" t="str">
        <f aca="false">IF(OR(G878="",G878="?"),"",IFERROR(INDEX(Pubs!$D$2:$D$3001,MATCH(G878,Pubs!$A$2:$A$3001,0))&amp;"",""))</f>
        <v/>
      </c>
      <c r="N878" s="27" t="n">
        <f aca="false">N(N877)+IF(AND(A878&lt;&gt;"",OR(Recherche!$C$4="",A878=Recherche!$C$4),OR(Recherche!$C$5="",B878&amp;""=Recherche!$C$5&amp;""),OR(Recherche!$C$6="",IFERROR(YEAR(L878),0)=Recherche!$C$6),OR(Recherche!$C$7="",ISNUMBER(SEARCH(Recherche!$C$7,H878))),OR(Recherche!$C$8="",J878=Recherche!$C$8),OR(Recherche!$C$9="",I878=Recherche!$C$9),OR(Recherche!$C$10="",G878&amp;""=Recherche!$C$10&amp;""),OR(Recherche!$C$11="",E878=Recherche!$C$11),OR(Recherche!$C$12="",ISNUMBER(SEARCH(Recherche!$C$12,M878&amp;" "&amp;F878)))),1,0)</f>
        <v>8</v>
      </c>
    </row>
    <row r="879" customFormat="false" ht="15" hidden="false" customHeight="false" outlineLevel="0" collapsed="false">
      <c r="A879" s="19"/>
      <c r="B879" s="19"/>
      <c r="C879" s="19"/>
      <c r="D879" s="19"/>
      <c r="E879" s="22"/>
      <c r="F879" s="19"/>
      <c r="G879" s="26" t="str">
        <f aca="false">IF(D879="","",IFERROR(VALUE(LEFT(D879,FIND(" |",D879&amp;" |")-1)),"?"))</f>
        <v/>
      </c>
      <c r="H879" s="27" t="str">
        <f aca="false">IF(G879="","",IF(G879="?","⚠ pub inconnue",IFERROR(INDEX(Pubs!$B$2:$B$3001,MATCH(G879,Pubs!$A$2:$A$3001,0))&amp;"","⚠ pub inconnue")))</f>
        <v/>
      </c>
      <c r="I879" s="27" t="str">
        <f aca="false">IF(OR(G879="",G879="?"),"",IFERROR(INDEX(Pubs!$C$2:$C$3001,MATCH(G879,Pubs!$A$2:$A$3001,0))&amp;"",""))</f>
        <v/>
      </c>
      <c r="J879" s="27" t="str">
        <f aca="false">IF(OR(G879="",G879="?"),"",IFERROR(INDEX(Pubs!$G$2:$G$3001,MATCH(G879,Pubs!$A$2:$A$3001,0))&amp;"",""))</f>
        <v/>
      </c>
      <c r="K879" s="28" t="str">
        <f aca="false">IF(OR(G879="",G879="?"),"",IFERROR(INDEX(Pubs!$E$2:$E$3001,MATCH(G879,Pubs!$A$2:$A$3001,0)),""))</f>
        <v/>
      </c>
      <c r="L879" s="29" t="str">
        <f aca="false">IF(A879="","",IFERROR(1/(1/INDEX(Numéros!$C$2:$C$3001,MATCH(A879&amp;"|"&amp;B879,Numéros!$F$2:$F$3001,0))),""))</f>
        <v/>
      </c>
      <c r="M879" s="27" t="str">
        <f aca="false">IF(OR(G879="",G879="?"),"",IFERROR(INDEX(Pubs!$D$2:$D$3001,MATCH(G879,Pubs!$A$2:$A$3001,0))&amp;"",""))</f>
        <v/>
      </c>
      <c r="N879" s="27" t="n">
        <f aca="false">N(N878)+IF(AND(A879&lt;&gt;"",OR(Recherche!$C$4="",A879=Recherche!$C$4),OR(Recherche!$C$5="",B879&amp;""=Recherche!$C$5&amp;""),OR(Recherche!$C$6="",IFERROR(YEAR(L879),0)=Recherche!$C$6),OR(Recherche!$C$7="",ISNUMBER(SEARCH(Recherche!$C$7,H879))),OR(Recherche!$C$8="",J879=Recherche!$C$8),OR(Recherche!$C$9="",I879=Recherche!$C$9),OR(Recherche!$C$10="",G879&amp;""=Recherche!$C$10&amp;""),OR(Recherche!$C$11="",E879=Recherche!$C$11),OR(Recherche!$C$12="",ISNUMBER(SEARCH(Recherche!$C$12,M879&amp;" "&amp;F879)))),1,0)</f>
        <v>8</v>
      </c>
    </row>
    <row r="880" customFormat="false" ht="15" hidden="false" customHeight="false" outlineLevel="0" collapsed="false">
      <c r="A880" s="19"/>
      <c r="B880" s="19"/>
      <c r="C880" s="19"/>
      <c r="D880" s="19"/>
      <c r="E880" s="22"/>
      <c r="F880" s="19"/>
      <c r="G880" s="26" t="str">
        <f aca="false">IF(D880="","",IFERROR(VALUE(LEFT(D880,FIND(" |",D880&amp;" |")-1)),"?"))</f>
        <v/>
      </c>
      <c r="H880" s="27" t="str">
        <f aca="false">IF(G880="","",IF(G880="?","⚠ pub inconnue",IFERROR(INDEX(Pubs!$B$2:$B$3001,MATCH(G880,Pubs!$A$2:$A$3001,0))&amp;"","⚠ pub inconnue")))</f>
        <v/>
      </c>
      <c r="I880" s="27" t="str">
        <f aca="false">IF(OR(G880="",G880="?"),"",IFERROR(INDEX(Pubs!$C$2:$C$3001,MATCH(G880,Pubs!$A$2:$A$3001,0))&amp;"",""))</f>
        <v/>
      </c>
      <c r="J880" s="27" t="str">
        <f aca="false">IF(OR(G880="",G880="?"),"",IFERROR(INDEX(Pubs!$G$2:$G$3001,MATCH(G880,Pubs!$A$2:$A$3001,0))&amp;"",""))</f>
        <v/>
      </c>
      <c r="K880" s="28" t="str">
        <f aca="false">IF(OR(G880="",G880="?"),"",IFERROR(INDEX(Pubs!$E$2:$E$3001,MATCH(G880,Pubs!$A$2:$A$3001,0)),""))</f>
        <v/>
      </c>
      <c r="L880" s="29" t="str">
        <f aca="false">IF(A880="","",IFERROR(1/(1/INDEX(Numéros!$C$2:$C$3001,MATCH(A880&amp;"|"&amp;B880,Numéros!$F$2:$F$3001,0))),""))</f>
        <v/>
      </c>
      <c r="M880" s="27" t="str">
        <f aca="false">IF(OR(G880="",G880="?"),"",IFERROR(INDEX(Pubs!$D$2:$D$3001,MATCH(G880,Pubs!$A$2:$A$3001,0))&amp;"",""))</f>
        <v/>
      </c>
      <c r="N880" s="27" t="n">
        <f aca="false">N(N879)+IF(AND(A880&lt;&gt;"",OR(Recherche!$C$4="",A880=Recherche!$C$4),OR(Recherche!$C$5="",B880&amp;""=Recherche!$C$5&amp;""),OR(Recherche!$C$6="",IFERROR(YEAR(L880),0)=Recherche!$C$6),OR(Recherche!$C$7="",ISNUMBER(SEARCH(Recherche!$C$7,H880))),OR(Recherche!$C$8="",J880=Recherche!$C$8),OR(Recherche!$C$9="",I880=Recherche!$C$9),OR(Recherche!$C$10="",G880&amp;""=Recherche!$C$10&amp;""),OR(Recherche!$C$11="",E880=Recherche!$C$11),OR(Recherche!$C$12="",ISNUMBER(SEARCH(Recherche!$C$12,M880&amp;" "&amp;F880)))),1,0)</f>
        <v>8</v>
      </c>
    </row>
    <row r="881" customFormat="false" ht="15" hidden="false" customHeight="false" outlineLevel="0" collapsed="false">
      <c r="A881" s="19"/>
      <c r="B881" s="19"/>
      <c r="C881" s="19"/>
      <c r="D881" s="19"/>
      <c r="E881" s="22"/>
      <c r="F881" s="19"/>
      <c r="G881" s="26" t="str">
        <f aca="false">IF(D881="","",IFERROR(VALUE(LEFT(D881,FIND(" |",D881&amp;" |")-1)),"?"))</f>
        <v/>
      </c>
      <c r="H881" s="27" t="str">
        <f aca="false">IF(G881="","",IF(G881="?","⚠ pub inconnue",IFERROR(INDEX(Pubs!$B$2:$B$3001,MATCH(G881,Pubs!$A$2:$A$3001,0))&amp;"","⚠ pub inconnue")))</f>
        <v/>
      </c>
      <c r="I881" s="27" t="str">
        <f aca="false">IF(OR(G881="",G881="?"),"",IFERROR(INDEX(Pubs!$C$2:$C$3001,MATCH(G881,Pubs!$A$2:$A$3001,0))&amp;"",""))</f>
        <v/>
      </c>
      <c r="J881" s="27" t="str">
        <f aca="false">IF(OR(G881="",G881="?"),"",IFERROR(INDEX(Pubs!$G$2:$G$3001,MATCH(G881,Pubs!$A$2:$A$3001,0))&amp;"",""))</f>
        <v/>
      </c>
      <c r="K881" s="28" t="str">
        <f aca="false">IF(OR(G881="",G881="?"),"",IFERROR(INDEX(Pubs!$E$2:$E$3001,MATCH(G881,Pubs!$A$2:$A$3001,0)),""))</f>
        <v/>
      </c>
      <c r="L881" s="29" t="str">
        <f aca="false">IF(A881="","",IFERROR(1/(1/INDEX(Numéros!$C$2:$C$3001,MATCH(A881&amp;"|"&amp;B881,Numéros!$F$2:$F$3001,0))),""))</f>
        <v/>
      </c>
      <c r="M881" s="27" t="str">
        <f aca="false">IF(OR(G881="",G881="?"),"",IFERROR(INDEX(Pubs!$D$2:$D$3001,MATCH(G881,Pubs!$A$2:$A$3001,0))&amp;"",""))</f>
        <v/>
      </c>
      <c r="N881" s="27" t="n">
        <f aca="false">N(N880)+IF(AND(A881&lt;&gt;"",OR(Recherche!$C$4="",A881=Recherche!$C$4),OR(Recherche!$C$5="",B881&amp;""=Recherche!$C$5&amp;""),OR(Recherche!$C$6="",IFERROR(YEAR(L881),0)=Recherche!$C$6),OR(Recherche!$C$7="",ISNUMBER(SEARCH(Recherche!$C$7,H881))),OR(Recherche!$C$8="",J881=Recherche!$C$8),OR(Recherche!$C$9="",I881=Recherche!$C$9),OR(Recherche!$C$10="",G881&amp;""=Recherche!$C$10&amp;""),OR(Recherche!$C$11="",E881=Recherche!$C$11),OR(Recherche!$C$12="",ISNUMBER(SEARCH(Recherche!$C$12,M881&amp;" "&amp;F881)))),1,0)</f>
        <v>8</v>
      </c>
    </row>
    <row r="882" customFormat="false" ht="15" hidden="false" customHeight="false" outlineLevel="0" collapsed="false">
      <c r="A882" s="19"/>
      <c r="B882" s="19"/>
      <c r="C882" s="19"/>
      <c r="D882" s="19"/>
      <c r="E882" s="22"/>
      <c r="F882" s="19"/>
      <c r="G882" s="26" t="str">
        <f aca="false">IF(D882="","",IFERROR(VALUE(LEFT(D882,FIND(" |",D882&amp;" |")-1)),"?"))</f>
        <v/>
      </c>
      <c r="H882" s="27" t="str">
        <f aca="false">IF(G882="","",IF(G882="?","⚠ pub inconnue",IFERROR(INDEX(Pubs!$B$2:$B$3001,MATCH(G882,Pubs!$A$2:$A$3001,0))&amp;"","⚠ pub inconnue")))</f>
        <v/>
      </c>
      <c r="I882" s="27" t="str">
        <f aca="false">IF(OR(G882="",G882="?"),"",IFERROR(INDEX(Pubs!$C$2:$C$3001,MATCH(G882,Pubs!$A$2:$A$3001,0))&amp;"",""))</f>
        <v/>
      </c>
      <c r="J882" s="27" t="str">
        <f aca="false">IF(OR(G882="",G882="?"),"",IFERROR(INDEX(Pubs!$G$2:$G$3001,MATCH(G882,Pubs!$A$2:$A$3001,0))&amp;"",""))</f>
        <v/>
      </c>
      <c r="K882" s="28" t="str">
        <f aca="false">IF(OR(G882="",G882="?"),"",IFERROR(INDEX(Pubs!$E$2:$E$3001,MATCH(G882,Pubs!$A$2:$A$3001,0)),""))</f>
        <v/>
      </c>
      <c r="L882" s="29" t="str">
        <f aca="false">IF(A882="","",IFERROR(1/(1/INDEX(Numéros!$C$2:$C$3001,MATCH(A882&amp;"|"&amp;B882,Numéros!$F$2:$F$3001,0))),""))</f>
        <v/>
      </c>
      <c r="M882" s="27" t="str">
        <f aca="false">IF(OR(G882="",G882="?"),"",IFERROR(INDEX(Pubs!$D$2:$D$3001,MATCH(G882,Pubs!$A$2:$A$3001,0))&amp;"",""))</f>
        <v/>
      </c>
      <c r="N882" s="27" t="n">
        <f aca="false">N(N881)+IF(AND(A882&lt;&gt;"",OR(Recherche!$C$4="",A882=Recherche!$C$4),OR(Recherche!$C$5="",B882&amp;""=Recherche!$C$5&amp;""),OR(Recherche!$C$6="",IFERROR(YEAR(L882),0)=Recherche!$C$6),OR(Recherche!$C$7="",ISNUMBER(SEARCH(Recherche!$C$7,H882))),OR(Recherche!$C$8="",J882=Recherche!$C$8),OR(Recherche!$C$9="",I882=Recherche!$C$9),OR(Recherche!$C$10="",G882&amp;""=Recherche!$C$10&amp;""),OR(Recherche!$C$11="",E882=Recherche!$C$11),OR(Recherche!$C$12="",ISNUMBER(SEARCH(Recherche!$C$12,M882&amp;" "&amp;F882)))),1,0)</f>
        <v>8</v>
      </c>
    </row>
    <row r="883" customFormat="false" ht="15" hidden="false" customHeight="false" outlineLevel="0" collapsed="false">
      <c r="A883" s="19"/>
      <c r="B883" s="19"/>
      <c r="C883" s="19"/>
      <c r="D883" s="19"/>
      <c r="E883" s="22"/>
      <c r="F883" s="19"/>
      <c r="G883" s="26" t="str">
        <f aca="false">IF(D883="","",IFERROR(VALUE(LEFT(D883,FIND(" |",D883&amp;" |")-1)),"?"))</f>
        <v/>
      </c>
      <c r="H883" s="27" t="str">
        <f aca="false">IF(G883="","",IF(G883="?","⚠ pub inconnue",IFERROR(INDEX(Pubs!$B$2:$B$3001,MATCH(G883,Pubs!$A$2:$A$3001,0))&amp;"","⚠ pub inconnue")))</f>
        <v/>
      </c>
      <c r="I883" s="27" t="str">
        <f aca="false">IF(OR(G883="",G883="?"),"",IFERROR(INDEX(Pubs!$C$2:$C$3001,MATCH(G883,Pubs!$A$2:$A$3001,0))&amp;"",""))</f>
        <v/>
      </c>
      <c r="J883" s="27" t="str">
        <f aca="false">IF(OR(G883="",G883="?"),"",IFERROR(INDEX(Pubs!$G$2:$G$3001,MATCH(G883,Pubs!$A$2:$A$3001,0))&amp;"",""))</f>
        <v/>
      </c>
      <c r="K883" s="28" t="str">
        <f aca="false">IF(OR(G883="",G883="?"),"",IFERROR(INDEX(Pubs!$E$2:$E$3001,MATCH(G883,Pubs!$A$2:$A$3001,0)),""))</f>
        <v/>
      </c>
      <c r="L883" s="29" t="str">
        <f aca="false">IF(A883="","",IFERROR(1/(1/INDEX(Numéros!$C$2:$C$3001,MATCH(A883&amp;"|"&amp;B883,Numéros!$F$2:$F$3001,0))),""))</f>
        <v/>
      </c>
      <c r="M883" s="27" t="str">
        <f aca="false">IF(OR(G883="",G883="?"),"",IFERROR(INDEX(Pubs!$D$2:$D$3001,MATCH(G883,Pubs!$A$2:$A$3001,0))&amp;"",""))</f>
        <v/>
      </c>
      <c r="N883" s="27" t="n">
        <f aca="false">N(N882)+IF(AND(A883&lt;&gt;"",OR(Recherche!$C$4="",A883=Recherche!$C$4),OR(Recherche!$C$5="",B883&amp;""=Recherche!$C$5&amp;""),OR(Recherche!$C$6="",IFERROR(YEAR(L883),0)=Recherche!$C$6),OR(Recherche!$C$7="",ISNUMBER(SEARCH(Recherche!$C$7,H883))),OR(Recherche!$C$8="",J883=Recherche!$C$8),OR(Recherche!$C$9="",I883=Recherche!$C$9),OR(Recherche!$C$10="",G883&amp;""=Recherche!$C$10&amp;""),OR(Recherche!$C$11="",E883=Recherche!$C$11),OR(Recherche!$C$12="",ISNUMBER(SEARCH(Recherche!$C$12,M883&amp;" "&amp;F883)))),1,0)</f>
        <v>8</v>
      </c>
    </row>
    <row r="884" customFormat="false" ht="15" hidden="false" customHeight="false" outlineLevel="0" collapsed="false">
      <c r="A884" s="19"/>
      <c r="B884" s="19"/>
      <c r="C884" s="19"/>
      <c r="D884" s="19"/>
      <c r="E884" s="22"/>
      <c r="F884" s="19"/>
      <c r="G884" s="26" t="str">
        <f aca="false">IF(D884="","",IFERROR(VALUE(LEFT(D884,FIND(" |",D884&amp;" |")-1)),"?"))</f>
        <v/>
      </c>
      <c r="H884" s="27" t="str">
        <f aca="false">IF(G884="","",IF(G884="?","⚠ pub inconnue",IFERROR(INDEX(Pubs!$B$2:$B$3001,MATCH(G884,Pubs!$A$2:$A$3001,0))&amp;"","⚠ pub inconnue")))</f>
        <v/>
      </c>
      <c r="I884" s="27" t="str">
        <f aca="false">IF(OR(G884="",G884="?"),"",IFERROR(INDEX(Pubs!$C$2:$C$3001,MATCH(G884,Pubs!$A$2:$A$3001,0))&amp;"",""))</f>
        <v/>
      </c>
      <c r="J884" s="27" t="str">
        <f aca="false">IF(OR(G884="",G884="?"),"",IFERROR(INDEX(Pubs!$G$2:$G$3001,MATCH(G884,Pubs!$A$2:$A$3001,0))&amp;"",""))</f>
        <v/>
      </c>
      <c r="K884" s="28" t="str">
        <f aca="false">IF(OR(G884="",G884="?"),"",IFERROR(INDEX(Pubs!$E$2:$E$3001,MATCH(G884,Pubs!$A$2:$A$3001,0)),""))</f>
        <v/>
      </c>
      <c r="L884" s="29" t="str">
        <f aca="false">IF(A884="","",IFERROR(1/(1/INDEX(Numéros!$C$2:$C$3001,MATCH(A884&amp;"|"&amp;B884,Numéros!$F$2:$F$3001,0))),""))</f>
        <v/>
      </c>
      <c r="M884" s="27" t="str">
        <f aca="false">IF(OR(G884="",G884="?"),"",IFERROR(INDEX(Pubs!$D$2:$D$3001,MATCH(G884,Pubs!$A$2:$A$3001,0))&amp;"",""))</f>
        <v/>
      </c>
      <c r="N884" s="27" t="n">
        <f aca="false">N(N883)+IF(AND(A884&lt;&gt;"",OR(Recherche!$C$4="",A884=Recherche!$C$4),OR(Recherche!$C$5="",B884&amp;""=Recherche!$C$5&amp;""),OR(Recherche!$C$6="",IFERROR(YEAR(L884),0)=Recherche!$C$6),OR(Recherche!$C$7="",ISNUMBER(SEARCH(Recherche!$C$7,H884))),OR(Recherche!$C$8="",J884=Recherche!$C$8),OR(Recherche!$C$9="",I884=Recherche!$C$9),OR(Recherche!$C$10="",G884&amp;""=Recherche!$C$10&amp;""),OR(Recherche!$C$11="",E884=Recherche!$C$11),OR(Recherche!$C$12="",ISNUMBER(SEARCH(Recherche!$C$12,M884&amp;" "&amp;F884)))),1,0)</f>
        <v>8</v>
      </c>
    </row>
    <row r="885" customFormat="false" ht="15" hidden="false" customHeight="false" outlineLevel="0" collapsed="false">
      <c r="A885" s="19"/>
      <c r="B885" s="19"/>
      <c r="C885" s="19"/>
      <c r="D885" s="19"/>
      <c r="E885" s="22"/>
      <c r="F885" s="19"/>
      <c r="G885" s="26" t="str">
        <f aca="false">IF(D885="","",IFERROR(VALUE(LEFT(D885,FIND(" |",D885&amp;" |")-1)),"?"))</f>
        <v/>
      </c>
      <c r="H885" s="27" t="str">
        <f aca="false">IF(G885="","",IF(G885="?","⚠ pub inconnue",IFERROR(INDEX(Pubs!$B$2:$B$3001,MATCH(G885,Pubs!$A$2:$A$3001,0))&amp;"","⚠ pub inconnue")))</f>
        <v/>
      </c>
      <c r="I885" s="27" t="str">
        <f aca="false">IF(OR(G885="",G885="?"),"",IFERROR(INDEX(Pubs!$C$2:$C$3001,MATCH(G885,Pubs!$A$2:$A$3001,0))&amp;"",""))</f>
        <v/>
      </c>
      <c r="J885" s="27" t="str">
        <f aca="false">IF(OR(G885="",G885="?"),"",IFERROR(INDEX(Pubs!$G$2:$G$3001,MATCH(G885,Pubs!$A$2:$A$3001,0))&amp;"",""))</f>
        <v/>
      </c>
      <c r="K885" s="28" t="str">
        <f aca="false">IF(OR(G885="",G885="?"),"",IFERROR(INDEX(Pubs!$E$2:$E$3001,MATCH(G885,Pubs!$A$2:$A$3001,0)),""))</f>
        <v/>
      </c>
      <c r="L885" s="29" t="str">
        <f aca="false">IF(A885="","",IFERROR(1/(1/INDEX(Numéros!$C$2:$C$3001,MATCH(A885&amp;"|"&amp;B885,Numéros!$F$2:$F$3001,0))),""))</f>
        <v/>
      </c>
      <c r="M885" s="27" t="str">
        <f aca="false">IF(OR(G885="",G885="?"),"",IFERROR(INDEX(Pubs!$D$2:$D$3001,MATCH(G885,Pubs!$A$2:$A$3001,0))&amp;"",""))</f>
        <v/>
      </c>
      <c r="N885" s="27" t="n">
        <f aca="false">N(N884)+IF(AND(A885&lt;&gt;"",OR(Recherche!$C$4="",A885=Recherche!$C$4),OR(Recherche!$C$5="",B885&amp;""=Recherche!$C$5&amp;""),OR(Recherche!$C$6="",IFERROR(YEAR(L885),0)=Recherche!$C$6),OR(Recherche!$C$7="",ISNUMBER(SEARCH(Recherche!$C$7,H885))),OR(Recherche!$C$8="",J885=Recherche!$C$8),OR(Recherche!$C$9="",I885=Recherche!$C$9),OR(Recherche!$C$10="",G885&amp;""=Recherche!$C$10&amp;""),OR(Recherche!$C$11="",E885=Recherche!$C$11),OR(Recherche!$C$12="",ISNUMBER(SEARCH(Recherche!$C$12,M885&amp;" "&amp;F885)))),1,0)</f>
        <v>8</v>
      </c>
    </row>
    <row r="886" customFormat="false" ht="15" hidden="false" customHeight="false" outlineLevel="0" collapsed="false">
      <c r="A886" s="19"/>
      <c r="B886" s="19"/>
      <c r="C886" s="19"/>
      <c r="D886" s="19"/>
      <c r="E886" s="22"/>
      <c r="F886" s="19"/>
      <c r="G886" s="26" t="str">
        <f aca="false">IF(D886="","",IFERROR(VALUE(LEFT(D886,FIND(" |",D886&amp;" |")-1)),"?"))</f>
        <v/>
      </c>
      <c r="H886" s="27" t="str">
        <f aca="false">IF(G886="","",IF(G886="?","⚠ pub inconnue",IFERROR(INDEX(Pubs!$B$2:$B$3001,MATCH(G886,Pubs!$A$2:$A$3001,0))&amp;"","⚠ pub inconnue")))</f>
        <v/>
      </c>
      <c r="I886" s="27" t="str">
        <f aca="false">IF(OR(G886="",G886="?"),"",IFERROR(INDEX(Pubs!$C$2:$C$3001,MATCH(G886,Pubs!$A$2:$A$3001,0))&amp;"",""))</f>
        <v/>
      </c>
      <c r="J886" s="27" t="str">
        <f aca="false">IF(OR(G886="",G886="?"),"",IFERROR(INDEX(Pubs!$G$2:$G$3001,MATCH(G886,Pubs!$A$2:$A$3001,0))&amp;"",""))</f>
        <v/>
      </c>
      <c r="K886" s="28" t="str">
        <f aca="false">IF(OR(G886="",G886="?"),"",IFERROR(INDEX(Pubs!$E$2:$E$3001,MATCH(G886,Pubs!$A$2:$A$3001,0)),""))</f>
        <v/>
      </c>
      <c r="L886" s="29" t="str">
        <f aca="false">IF(A886="","",IFERROR(1/(1/INDEX(Numéros!$C$2:$C$3001,MATCH(A886&amp;"|"&amp;B886,Numéros!$F$2:$F$3001,0))),""))</f>
        <v/>
      </c>
      <c r="M886" s="27" t="str">
        <f aca="false">IF(OR(G886="",G886="?"),"",IFERROR(INDEX(Pubs!$D$2:$D$3001,MATCH(G886,Pubs!$A$2:$A$3001,0))&amp;"",""))</f>
        <v/>
      </c>
      <c r="N886" s="27" t="n">
        <f aca="false">N(N885)+IF(AND(A886&lt;&gt;"",OR(Recherche!$C$4="",A886=Recherche!$C$4),OR(Recherche!$C$5="",B886&amp;""=Recherche!$C$5&amp;""),OR(Recherche!$C$6="",IFERROR(YEAR(L886),0)=Recherche!$C$6),OR(Recherche!$C$7="",ISNUMBER(SEARCH(Recherche!$C$7,H886))),OR(Recherche!$C$8="",J886=Recherche!$C$8),OR(Recherche!$C$9="",I886=Recherche!$C$9),OR(Recherche!$C$10="",G886&amp;""=Recherche!$C$10&amp;""),OR(Recherche!$C$11="",E886=Recherche!$C$11),OR(Recherche!$C$12="",ISNUMBER(SEARCH(Recherche!$C$12,M886&amp;" "&amp;F886)))),1,0)</f>
        <v>8</v>
      </c>
    </row>
    <row r="887" customFormat="false" ht="15" hidden="false" customHeight="false" outlineLevel="0" collapsed="false">
      <c r="A887" s="19"/>
      <c r="B887" s="19"/>
      <c r="C887" s="19"/>
      <c r="D887" s="19"/>
      <c r="E887" s="22"/>
      <c r="F887" s="19"/>
      <c r="G887" s="26" t="str">
        <f aca="false">IF(D887="","",IFERROR(VALUE(LEFT(D887,FIND(" |",D887&amp;" |")-1)),"?"))</f>
        <v/>
      </c>
      <c r="H887" s="27" t="str">
        <f aca="false">IF(G887="","",IF(G887="?","⚠ pub inconnue",IFERROR(INDEX(Pubs!$B$2:$B$3001,MATCH(G887,Pubs!$A$2:$A$3001,0))&amp;"","⚠ pub inconnue")))</f>
        <v/>
      </c>
      <c r="I887" s="27" t="str">
        <f aca="false">IF(OR(G887="",G887="?"),"",IFERROR(INDEX(Pubs!$C$2:$C$3001,MATCH(G887,Pubs!$A$2:$A$3001,0))&amp;"",""))</f>
        <v/>
      </c>
      <c r="J887" s="27" t="str">
        <f aca="false">IF(OR(G887="",G887="?"),"",IFERROR(INDEX(Pubs!$G$2:$G$3001,MATCH(G887,Pubs!$A$2:$A$3001,0))&amp;"",""))</f>
        <v/>
      </c>
      <c r="K887" s="28" t="str">
        <f aca="false">IF(OR(G887="",G887="?"),"",IFERROR(INDEX(Pubs!$E$2:$E$3001,MATCH(G887,Pubs!$A$2:$A$3001,0)),""))</f>
        <v/>
      </c>
      <c r="L887" s="29" t="str">
        <f aca="false">IF(A887="","",IFERROR(1/(1/INDEX(Numéros!$C$2:$C$3001,MATCH(A887&amp;"|"&amp;B887,Numéros!$F$2:$F$3001,0))),""))</f>
        <v/>
      </c>
      <c r="M887" s="27" t="str">
        <f aca="false">IF(OR(G887="",G887="?"),"",IFERROR(INDEX(Pubs!$D$2:$D$3001,MATCH(G887,Pubs!$A$2:$A$3001,0))&amp;"",""))</f>
        <v/>
      </c>
      <c r="N887" s="27" t="n">
        <f aca="false">N(N886)+IF(AND(A887&lt;&gt;"",OR(Recherche!$C$4="",A887=Recherche!$C$4),OR(Recherche!$C$5="",B887&amp;""=Recherche!$C$5&amp;""),OR(Recherche!$C$6="",IFERROR(YEAR(L887),0)=Recherche!$C$6),OR(Recherche!$C$7="",ISNUMBER(SEARCH(Recherche!$C$7,H887))),OR(Recherche!$C$8="",J887=Recherche!$C$8),OR(Recherche!$C$9="",I887=Recherche!$C$9),OR(Recherche!$C$10="",G887&amp;""=Recherche!$C$10&amp;""),OR(Recherche!$C$11="",E887=Recherche!$C$11),OR(Recherche!$C$12="",ISNUMBER(SEARCH(Recherche!$C$12,M887&amp;" "&amp;F887)))),1,0)</f>
        <v>8</v>
      </c>
    </row>
    <row r="888" customFormat="false" ht="15" hidden="false" customHeight="false" outlineLevel="0" collapsed="false">
      <c r="A888" s="19"/>
      <c r="B888" s="19"/>
      <c r="C888" s="19"/>
      <c r="D888" s="19"/>
      <c r="E888" s="22"/>
      <c r="F888" s="19"/>
      <c r="G888" s="26" t="str">
        <f aca="false">IF(D888="","",IFERROR(VALUE(LEFT(D888,FIND(" |",D888&amp;" |")-1)),"?"))</f>
        <v/>
      </c>
      <c r="H888" s="27" t="str">
        <f aca="false">IF(G888="","",IF(G888="?","⚠ pub inconnue",IFERROR(INDEX(Pubs!$B$2:$B$3001,MATCH(G888,Pubs!$A$2:$A$3001,0))&amp;"","⚠ pub inconnue")))</f>
        <v/>
      </c>
      <c r="I888" s="27" t="str">
        <f aca="false">IF(OR(G888="",G888="?"),"",IFERROR(INDEX(Pubs!$C$2:$C$3001,MATCH(G888,Pubs!$A$2:$A$3001,0))&amp;"",""))</f>
        <v/>
      </c>
      <c r="J888" s="27" t="str">
        <f aca="false">IF(OR(G888="",G888="?"),"",IFERROR(INDEX(Pubs!$G$2:$G$3001,MATCH(G888,Pubs!$A$2:$A$3001,0))&amp;"",""))</f>
        <v/>
      </c>
      <c r="K888" s="28" t="str">
        <f aca="false">IF(OR(G888="",G888="?"),"",IFERROR(INDEX(Pubs!$E$2:$E$3001,MATCH(G888,Pubs!$A$2:$A$3001,0)),""))</f>
        <v/>
      </c>
      <c r="L888" s="29" t="str">
        <f aca="false">IF(A888="","",IFERROR(1/(1/INDEX(Numéros!$C$2:$C$3001,MATCH(A888&amp;"|"&amp;B888,Numéros!$F$2:$F$3001,0))),""))</f>
        <v/>
      </c>
      <c r="M888" s="27" t="str">
        <f aca="false">IF(OR(G888="",G888="?"),"",IFERROR(INDEX(Pubs!$D$2:$D$3001,MATCH(G888,Pubs!$A$2:$A$3001,0))&amp;"",""))</f>
        <v/>
      </c>
      <c r="N888" s="27" t="n">
        <f aca="false">N(N887)+IF(AND(A888&lt;&gt;"",OR(Recherche!$C$4="",A888=Recherche!$C$4),OR(Recherche!$C$5="",B888&amp;""=Recherche!$C$5&amp;""),OR(Recherche!$C$6="",IFERROR(YEAR(L888),0)=Recherche!$C$6),OR(Recherche!$C$7="",ISNUMBER(SEARCH(Recherche!$C$7,H888))),OR(Recherche!$C$8="",J888=Recherche!$C$8),OR(Recherche!$C$9="",I888=Recherche!$C$9),OR(Recherche!$C$10="",G888&amp;""=Recherche!$C$10&amp;""),OR(Recherche!$C$11="",E888=Recherche!$C$11),OR(Recherche!$C$12="",ISNUMBER(SEARCH(Recherche!$C$12,M888&amp;" "&amp;F888)))),1,0)</f>
        <v>8</v>
      </c>
    </row>
    <row r="889" customFormat="false" ht="15" hidden="false" customHeight="false" outlineLevel="0" collapsed="false">
      <c r="A889" s="19"/>
      <c r="B889" s="19"/>
      <c r="C889" s="19"/>
      <c r="D889" s="19"/>
      <c r="E889" s="22"/>
      <c r="F889" s="19"/>
      <c r="G889" s="26" t="str">
        <f aca="false">IF(D889="","",IFERROR(VALUE(LEFT(D889,FIND(" |",D889&amp;" |")-1)),"?"))</f>
        <v/>
      </c>
      <c r="H889" s="27" t="str">
        <f aca="false">IF(G889="","",IF(G889="?","⚠ pub inconnue",IFERROR(INDEX(Pubs!$B$2:$B$3001,MATCH(G889,Pubs!$A$2:$A$3001,0))&amp;"","⚠ pub inconnue")))</f>
        <v/>
      </c>
      <c r="I889" s="27" t="str">
        <f aca="false">IF(OR(G889="",G889="?"),"",IFERROR(INDEX(Pubs!$C$2:$C$3001,MATCH(G889,Pubs!$A$2:$A$3001,0))&amp;"",""))</f>
        <v/>
      </c>
      <c r="J889" s="27" t="str">
        <f aca="false">IF(OR(G889="",G889="?"),"",IFERROR(INDEX(Pubs!$G$2:$G$3001,MATCH(G889,Pubs!$A$2:$A$3001,0))&amp;"",""))</f>
        <v/>
      </c>
      <c r="K889" s="28" t="str">
        <f aca="false">IF(OR(G889="",G889="?"),"",IFERROR(INDEX(Pubs!$E$2:$E$3001,MATCH(G889,Pubs!$A$2:$A$3001,0)),""))</f>
        <v/>
      </c>
      <c r="L889" s="29" t="str">
        <f aca="false">IF(A889="","",IFERROR(1/(1/INDEX(Numéros!$C$2:$C$3001,MATCH(A889&amp;"|"&amp;B889,Numéros!$F$2:$F$3001,0))),""))</f>
        <v/>
      </c>
      <c r="M889" s="27" t="str">
        <f aca="false">IF(OR(G889="",G889="?"),"",IFERROR(INDEX(Pubs!$D$2:$D$3001,MATCH(G889,Pubs!$A$2:$A$3001,0))&amp;"",""))</f>
        <v/>
      </c>
      <c r="N889" s="27" t="n">
        <f aca="false">N(N888)+IF(AND(A889&lt;&gt;"",OR(Recherche!$C$4="",A889=Recherche!$C$4),OR(Recherche!$C$5="",B889&amp;""=Recherche!$C$5&amp;""),OR(Recherche!$C$6="",IFERROR(YEAR(L889),0)=Recherche!$C$6),OR(Recherche!$C$7="",ISNUMBER(SEARCH(Recherche!$C$7,H889))),OR(Recherche!$C$8="",J889=Recherche!$C$8),OR(Recherche!$C$9="",I889=Recherche!$C$9),OR(Recherche!$C$10="",G889&amp;""=Recherche!$C$10&amp;""),OR(Recherche!$C$11="",E889=Recherche!$C$11),OR(Recherche!$C$12="",ISNUMBER(SEARCH(Recherche!$C$12,M889&amp;" "&amp;F889)))),1,0)</f>
        <v>8</v>
      </c>
    </row>
    <row r="890" customFormat="false" ht="15" hidden="false" customHeight="false" outlineLevel="0" collapsed="false">
      <c r="A890" s="19"/>
      <c r="B890" s="19"/>
      <c r="C890" s="19"/>
      <c r="D890" s="19"/>
      <c r="E890" s="22"/>
      <c r="F890" s="19"/>
      <c r="G890" s="26" t="str">
        <f aca="false">IF(D890="","",IFERROR(VALUE(LEFT(D890,FIND(" |",D890&amp;" |")-1)),"?"))</f>
        <v/>
      </c>
      <c r="H890" s="27" t="str">
        <f aca="false">IF(G890="","",IF(G890="?","⚠ pub inconnue",IFERROR(INDEX(Pubs!$B$2:$B$3001,MATCH(G890,Pubs!$A$2:$A$3001,0))&amp;"","⚠ pub inconnue")))</f>
        <v/>
      </c>
      <c r="I890" s="27" t="str">
        <f aca="false">IF(OR(G890="",G890="?"),"",IFERROR(INDEX(Pubs!$C$2:$C$3001,MATCH(G890,Pubs!$A$2:$A$3001,0))&amp;"",""))</f>
        <v/>
      </c>
      <c r="J890" s="27" t="str">
        <f aca="false">IF(OR(G890="",G890="?"),"",IFERROR(INDEX(Pubs!$G$2:$G$3001,MATCH(G890,Pubs!$A$2:$A$3001,0))&amp;"",""))</f>
        <v/>
      </c>
      <c r="K890" s="28" t="str">
        <f aca="false">IF(OR(G890="",G890="?"),"",IFERROR(INDEX(Pubs!$E$2:$E$3001,MATCH(G890,Pubs!$A$2:$A$3001,0)),""))</f>
        <v/>
      </c>
      <c r="L890" s="29" t="str">
        <f aca="false">IF(A890="","",IFERROR(1/(1/INDEX(Numéros!$C$2:$C$3001,MATCH(A890&amp;"|"&amp;B890,Numéros!$F$2:$F$3001,0))),""))</f>
        <v/>
      </c>
      <c r="M890" s="27" t="str">
        <f aca="false">IF(OR(G890="",G890="?"),"",IFERROR(INDEX(Pubs!$D$2:$D$3001,MATCH(G890,Pubs!$A$2:$A$3001,0))&amp;"",""))</f>
        <v/>
      </c>
      <c r="N890" s="27" t="n">
        <f aca="false">N(N889)+IF(AND(A890&lt;&gt;"",OR(Recherche!$C$4="",A890=Recherche!$C$4),OR(Recherche!$C$5="",B890&amp;""=Recherche!$C$5&amp;""),OR(Recherche!$C$6="",IFERROR(YEAR(L890),0)=Recherche!$C$6),OR(Recherche!$C$7="",ISNUMBER(SEARCH(Recherche!$C$7,H890))),OR(Recherche!$C$8="",J890=Recherche!$C$8),OR(Recherche!$C$9="",I890=Recherche!$C$9),OR(Recherche!$C$10="",G890&amp;""=Recherche!$C$10&amp;""),OR(Recherche!$C$11="",E890=Recherche!$C$11),OR(Recherche!$C$12="",ISNUMBER(SEARCH(Recherche!$C$12,M890&amp;" "&amp;F890)))),1,0)</f>
        <v>8</v>
      </c>
    </row>
    <row r="891" customFormat="false" ht="15" hidden="false" customHeight="false" outlineLevel="0" collapsed="false">
      <c r="A891" s="19"/>
      <c r="B891" s="19"/>
      <c r="C891" s="19"/>
      <c r="D891" s="19"/>
      <c r="E891" s="22"/>
      <c r="F891" s="19"/>
      <c r="G891" s="26" t="str">
        <f aca="false">IF(D891="","",IFERROR(VALUE(LEFT(D891,FIND(" |",D891&amp;" |")-1)),"?"))</f>
        <v/>
      </c>
      <c r="H891" s="27" t="str">
        <f aca="false">IF(G891="","",IF(G891="?","⚠ pub inconnue",IFERROR(INDEX(Pubs!$B$2:$B$3001,MATCH(G891,Pubs!$A$2:$A$3001,0))&amp;"","⚠ pub inconnue")))</f>
        <v/>
      </c>
      <c r="I891" s="27" t="str">
        <f aca="false">IF(OR(G891="",G891="?"),"",IFERROR(INDEX(Pubs!$C$2:$C$3001,MATCH(G891,Pubs!$A$2:$A$3001,0))&amp;"",""))</f>
        <v/>
      </c>
      <c r="J891" s="27" t="str">
        <f aca="false">IF(OR(G891="",G891="?"),"",IFERROR(INDEX(Pubs!$G$2:$G$3001,MATCH(G891,Pubs!$A$2:$A$3001,0))&amp;"",""))</f>
        <v/>
      </c>
      <c r="K891" s="28" t="str">
        <f aca="false">IF(OR(G891="",G891="?"),"",IFERROR(INDEX(Pubs!$E$2:$E$3001,MATCH(G891,Pubs!$A$2:$A$3001,0)),""))</f>
        <v/>
      </c>
      <c r="L891" s="29" t="str">
        <f aca="false">IF(A891="","",IFERROR(1/(1/INDEX(Numéros!$C$2:$C$3001,MATCH(A891&amp;"|"&amp;B891,Numéros!$F$2:$F$3001,0))),""))</f>
        <v/>
      </c>
      <c r="M891" s="27" t="str">
        <f aca="false">IF(OR(G891="",G891="?"),"",IFERROR(INDEX(Pubs!$D$2:$D$3001,MATCH(G891,Pubs!$A$2:$A$3001,0))&amp;"",""))</f>
        <v/>
      </c>
      <c r="N891" s="27" t="n">
        <f aca="false">N(N890)+IF(AND(A891&lt;&gt;"",OR(Recherche!$C$4="",A891=Recherche!$C$4),OR(Recherche!$C$5="",B891&amp;""=Recherche!$C$5&amp;""),OR(Recherche!$C$6="",IFERROR(YEAR(L891),0)=Recherche!$C$6),OR(Recherche!$C$7="",ISNUMBER(SEARCH(Recherche!$C$7,H891))),OR(Recherche!$C$8="",J891=Recherche!$C$8),OR(Recherche!$C$9="",I891=Recherche!$C$9),OR(Recherche!$C$10="",G891&amp;""=Recherche!$C$10&amp;""),OR(Recherche!$C$11="",E891=Recherche!$C$11),OR(Recherche!$C$12="",ISNUMBER(SEARCH(Recherche!$C$12,M891&amp;" "&amp;F891)))),1,0)</f>
        <v>8</v>
      </c>
    </row>
    <row r="892" customFormat="false" ht="15" hidden="false" customHeight="false" outlineLevel="0" collapsed="false">
      <c r="A892" s="19"/>
      <c r="B892" s="19"/>
      <c r="C892" s="19"/>
      <c r="D892" s="19"/>
      <c r="E892" s="22"/>
      <c r="F892" s="19"/>
      <c r="G892" s="26" t="str">
        <f aca="false">IF(D892="","",IFERROR(VALUE(LEFT(D892,FIND(" |",D892&amp;" |")-1)),"?"))</f>
        <v/>
      </c>
      <c r="H892" s="27" t="str">
        <f aca="false">IF(G892="","",IF(G892="?","⚠ pub inconnue",IFERROR(INDEX(Pubs!$B$2:$B$3001,MATCH(G892,Pubs!$A$2:$A$3001,0))&amp;"","⚠ pub inconnue")))</f>
        <v/>
      </c>
      <c r="I892" s="27" t="str">
        <f aca="false">IF(OR(G892="",G892="?"),"",IFERROR(INDEX(Pubs!$C$2:$C$3001,MATCH(G892,Pubs!$A$2:$A$3001,0))&amp;"",""))</f>
        <v/>
      </c>
      <c r="J892" s="27" t="str">
        <f aca="false">IF(OR(G892="",G892="?"),"",IFERROR(INDEX(Pubs!$G$2:$G$3001,MATCH(G892,Pubs!$A$2:$A$3001,0))&amp;"",""))</f>
        <v/>
      </c>
      <c r="K892" s="28" t="str">
        <f aca="false">IF(OR(G892="",G892="?"),"",IFERROR(INDEX(Pubs!$E$2:$E$3001,MATCH(G892,Pubs!$A$2:$A$3001,0)),""))</f>
        <v/>
      </c>
      <c r="L892" s="29" t="str">
        <f aca="false">IF(A892="","",IFERROR(1/(1/INDEX(Numéros!$C$2:$C$3001,MATCH(A892&amp;"|"&amp;B892,Numéros!$F$2:$F$3001,0))),""))</f>
        <v/>
      </c>
      <c r="M892" s="27" t="str">
        <f aca="false">IF(OR(G892="",G892="?"),"",IFERROR(INDEX(Pubs!$D$2:$D$3001,MATCH(G892,Pubs!$A$2:$A$3001,0))&amp;"",""))</f>
        <v/>
      </c>
      <c r="N892" s="27" t="n">
        <f aca="false">N(N891)+IF(AND(A892&lt;&gt;"",OR(Recherche!$C$4="",A892=Recherche!$C$4),OR(Recherche!$C$5="",B892&amp;""=Recherche!$C$5&amp;""),OR(Recherche!$C$6="",IFERROR(YEAR(L892),0)=Recherche!$C$6),OR(Recherche!$C$7="",ISNUMBER(SEARCH(Recherche!$C$7,H892))),OR(Recherche!$C$8="",J892=Recherche!$C$8),OR(Recherche!$C$9="",I892=Recherche!$C$9),OR(Recherche!$C$10="",G892&amp;""=Recherche!$C$10&amp;""),OR(Recherche!$C$11="",E892=Recherche!$C$11),OR(Recherche!$C$12="",ISNUMBER(SEARCH(Recherche!$C$12,M892&amp;" "&amp;F892)))),1,0)</f>
        <v>8</v>
      </c>
    </row>
    <row r="893" customFormat="false" ht="15" hidden="false" customHeight="false" outlineLevel="0" collapsed="false">
      <c r="A893" s="19"/>
      <c r="B893" s="19"/>
      <c r="C893" s="19"/>
      <c r="D893" s="19"/>
      <c r="E893" s="22"/>
      <c r="F893" s="19"/>
      <c r="G893" s="26" t="str">
        <f aca="false">IF(D893="","",IFERROR(VALUE(LEFT(D893,FIND(" |",D893&amp;" |")-1)),"?"))</f>
        <v/>
      </c>
      <c r="H893" s="27" t="str">
        <f aca="false">IF(G893="","",IF(G893="?","⚠ pub inconnue",IFERROR(INDEX(Pubs!$B$2:$B$3001,MATCH(G893,Pubs!$A$2:$A$3001,0))&amp;"","⚠ pub inconnue")))</f>
        <v/>
      </c>
      <c r="I893" s="27" t="str">
        <f aca="false">IF(OR(G893="",G893="?"),"",IFERROR(INDEX(Pubs!$C$2:$C$3001,MATCH(G893,Pubs!$A$2:$A$3001,0))&amp;"",""))</f>
        <v/>
      </c>
      <c r="J893" s="27" t="str">
        <f aca="false">IF(OR(G893="",G893="?"),"",IFERROR(INDEX(Pubs!$G$2:$G$3001,MATCH(G893,Pubs!$A$2:$A$3001,0))&amp;"",""))</f>
        <v/>
      </c>
      <c r="K893" s="28" t="str">
        <f aca="false">IF(OR(G893="",G893="?"),"",IFERROR(INDEX(Pubs!$E$2:$E$3001,MATCH(G893,Pubs!$A$2:$A$3001,0)),""))</f>
        <v/>
      </c>
      <c r="L893" s="29" t="str">
        <f aca="false">IF(A893="","",IFERROR(1/(1/INDEX(Numéros!$C$2:$C$3001,MATCH(A893&amp;"|"&amp;B893,Numéros!$F$2:$F$3001,0))),""))</f>
        <v/>
      </c>
      <c r="M893" s="27" t="str">
        <f aca="false">IF(OR(G893="",G893="?"),"",IFERROR(INDEX(Pubs!$D$2:$D$3001,MATCH(G893,Pubs!$A$2:$A$3001,0))&amp;"",""))</f>
        <v/>
      </c>
      <c r="N893" s="27" t="n">
        <f aca="false">N(N892)+IF(AND(A893&lt;&gt;"",OR(Recherche!$C$4="",A893=Recherche!$C$4),OR(Recherche!$C$5="",B893&amp;""=Recherche!$C$5&amp;""),OR(Recherche!$C$6="",IFERROR(YEAR(L893),0)=Recherche!$C$6),OR(Recherche!$C$7="",ISNUMBER(SEARCH(Recherche!$C$7,H893))),OR(Recherche!$C$8="",J893=Recherche!$C$8),OR(Recherche!$C$9="",I893=Recherche!$C$9),OR(Recherche!$C$10="",G893&amp;""=Recherche!$C$10&amp;""),OR(Recherche!$C$11="",E893=Recherche!$C$11),OR(Recherche!$C$12="",ISNUMBER(SEARCH(Recherche!$C$12,M893&amp;" "&amp;F893)))),1,0)</f>
        <v>8</v>
      </c>
    </row>
    <row r="894" customFormat="false" ht="15" hidden="false" customHeight="false" outlineLevel="0" collapsed="false">
      <c r="A894" s="19"/>
      <c r="B894" s="19"/>
      <c r="C894" s="19"/>
      <c r="D894" s="19"/>
      <c r="E894" s="22"/>
      <c r="F894" s="19"/>
      <c r="G894" s="26" t="str">
        <f aca="false">IF(D894="","",IFERROR(VALUE(LEFT(D894,FIND(" |",D894&amp;" |")-1)),"?"))</f>
        <v/>
      </c>
      <c r="H894" s="27" t="str">
        <f aca="false">IF(G894="","",IF(G894="?","⚠ pub inconnue",IFERROR(INDEX(Pubs!$B$2:$B$3001,MATCH(G894,Pubs!$A$2:$A$3001,0))&amp;"","⚠ pub inconnue")))</f>
        <v/>
      </c>
      <c r="I894" s="27" t="str">
        <f aca="false">IF(OR(G894="",G894="?"),"",IFERROR(INDEX(Pubs!$C$2:$C$3001,MATCH(G894,Pubs!$A$2:$A$3001,0))&amp;"",""))</f>
        <v/>
      </c>
      <c r="J894" s="27" t="str">
        <f aca="false">IF(OR(G894="",G894="?"),"",IFERROR(INDEX(Pubs!$G$2:$G$3001,MATCH(G894,Pubs!$A$2:$A$3001,0))&amp;"",""))</f>
        <v/>
      </c>
      <c r="K894" s="28" t="str">
        <f aca="false">IF(OR(G894="",G894="?"),"",IFERROR(INDEX(Pubs!$E$2:$E$3001,MATCH(G894,Pubs!$A$2:$A$3001,0)),""))</f>
        <v/>
      </c>
      <c r="L894" s="29" t="str">
        <f aca="false">IF(A894="","",IFERROR(1/(1/INDEX(Numéros!$C$2:$C$3001,MATCH(A894&amp;"|"&amp;B894,Numéros!$F$2:$F$3001,0))),""))</f>
        <v/>
      </c>
      <c r="M894" s="27" t="str">
        <f aca="false">IF(OR(G894="",G894="?"),"",IFERROR(INDEX(Pubs!$D$2:$D$3001,MATCH(G894,Pubs!$A$2:$A$3001,0))&amp;"",""))</f>
        <v/>
      </c>
      <c r="N894" s="27" t="n">
        <f aca="false">N(N893)+IF(AND(A894&lt;&gt;"",OR(Recherche!$C$4="",A894=Recherche!$C$4),OR(Recherche!$C$5="",B894&amp;""=Recherche!$C$5&amp;""),OR(Recherche!$C$6="",IFERROR(YEAR(L894),0)=Recherche!$C$6),OR(Recherche!$C$7="",ISNUMBER(SEARCH(Recherche!$C$7,H894))),OR(Recherche!$C$8="",J894=Recherche!$C$8),OR(Recherche!$C$9="",I894=Recherche!$C$9),OR(Recherche!$C$10="",G894&amp;""=Recherche!$C$10&amp;""),OR(Recherche!$C$11="",E894=Recherche!$C$11),OR(Recherche!$C$12="",ISNUMBER(SEARCH(Recherche!$C$12,M894&amp;" "&amp;F894)))),1,0)</f>
        <v>8</v>
      </c>
    </row>
    <row r="895" customFormat="false" ht="15" hidden="false" customHeight="false" outlineLevel="0" collapsed="false">
      <c r="A895" s="19"/>
      <c r="B895" s="19"/>
      <c r="C895" s="19"/>
      <c r="D895" s="19"/>
      <c r="E895" s="22"/>
      <c r="F895" s="19"/>
      <c r="G895" s="26" t="str">
        <f aca="false">IF(D895="","",IFERROR(VALUE(LEFT(D895,FIND(" |",D895&amp;" |")-1)),"?"))</f>
        <v/>
      </c>
      <c r="H895" s="27" t="str">
        <f aca="false">IF(G895="","",IF(G895="?","⚠ pub inconnue",IFERROR(INDEX(Pubs!$B$2:$B$3001,MATCH(G895,Pubs!$A$2:$A$3001,0))&amp;"","⚠ pub inconnue")))</f>
        <v/>
      </c>
      <c r="I895" s="27" t="str">
        <f aca="false">IF(OR(G895="",G895="?"),"",IFERROR(INDEX(Pubs!$C$2:$C$3001,MATCH(G895,Pubs!$A$2:$A$3001,0))&amp;"",""))</f>
        <v/>
      </c>
      <c r="J895" s="27" t="str">
        <f aca="false">IF(OR(G895="",G895="?"),"",IFERROR(INDEX(Pubs!$G$2:$G$3001,MATCH(G895,Pubs!$A$2:$A$3001,0))&amp;"",""))</f>
        <v/>
      </c>
      <c r="K895" s="28" t="str">
        <f aca="false">IF(OR(G895="",G895="?"),"",IFERROR(INDEX(Pubs!$E$2:$E$3001,MATCH(G895,Pubs!$A$2:$A$3001,0)),""))</f>
        <v/>
      </c>
      <c r="L895" s="29" t="str">
        <f aca="false">IF(A895="","",IFERROR(1/(1/INDEX(Numéros!$C$2:$C$3001,MATCH(A895&amp;"|"&amp;B895,Numéros!$F$2:$F$3001,0))),""))</f>
        <v/>
      </c>
      <c r="M895" s="27" t="str">
        <f aca="false">IF(OR(G895="",G895="?"),"",IFERROR(INDEX(Pubs!$D$2:$D$3001,MATCH(G895,Pubs!$A$2:$A$3001,0))&amp;"",""))</f>
        <v/>
      </c>
      <c r="N895" s="27" t="n">
        <f aca="false">N(N894)+IF(AND(A895&lt;&gt;"",OR(Recherche!$C$4="",A895=Recherche!$C$4),OR(Recherche!$C$5="",B895&amp;""=Recherche!$C$5&amp;""),OR(Recherche!$C$6="",IFERROR(YEAR(L895),0)=Recherche!$C$6),OR(Recherche!$C$7="",ISNUMBER(SEARCH(Recherche!$C$7,H895))),OR(Recherche!$C$8="",J895=Recherche!$C$8),OR(Recherche!$C$9="",I895=Recherche!$C$9),OR(Recherche!$C$10="",G895&amp;""=Recherche!$C$10&amp;""),OR(Recherche!$C$11="",E895=Recherche!$C$11),OR(Recherche!$C$12="",ISNUMBER(SEARCH(Recherche!$C$12,M895&amp;" "&amp;F895)))),1,0)</f>
        <v>8</v>
      </c>
    </row>
    <row r="896" customFormat="false" ht="15" hidden="false" customHeight="false" outlineLevel="0" collapsed="false">
      <c r="A896" s="19"/>
      <c r="B896" s="19"/>
      <c r="C896" s="19"/>
      <c r="D896" s="19"/>
      <c r="E896" s="22"/>
      <c r="F896" s="19"/>
      <c r="G896" s="26" t="str">
        <f aca="false">IF(D896="","",IFERROR(VALUE(LEFT(D896,FIND(" |",D896&amp;" |")-1)),"?"))</f>
        <v/>
      </c>
      <c r="H896" s="27" t="str">
        <f aca="false">IF(G896="","",IF(G896="?","⚠ pub inconnue",IFERROR(INDEX(Pubs!$B$2:$B$3001,MATCH(G896,Pubs!$A$2:$A$3001,0))&amp;"","⚠ pub inconnue")))</f>
        <v/>
      </c>
      <c r="I896" s="27" t="str">
        <f aca="false">IF(OR(G896="",G896="?"),"",IFERROR(INDEX(Pubs!$C$2:$C$3001,MATCH(G896,Pubs!$A$2:$A$3001,0))&amp;"",""))</f>
        <v/>
      </c>
      <c r="J896" s="27" t="str">
        <f aca="false">IF(OR(G896="",G896="?"),"",IFERROR(INDEX(Pubs!$G$2:$G$3001,MATCH(G896,Pubs!$A$2:$A$3001,0))&amp;"",""))</f>
        <v/>
      </c>
      <c r="K896" s="28" t="str">
        <f aca="false">IF(OR(G896="",G896="?"),"",IFERROR(INDEX(Pubs!$E$2:$E$3001,MATCH(G896,Pubs!$A$2:$A$3001,0)),""))</f>
        <v/>
      </c>
      <c r="L896" s="29" t="str">
        <f aca="false">IF(A896="","",IFERROR(1/(1/INDEX(Numéros!$C$2:$C$3001,MATCH(A896&amp;"|"&amp;B896,Numéros!$F$2:$F$3001,0))),""))</f>
        <v/>
      </c>
      <c r="M896" s="27" t="str">
        <f aca="false">IF(OR(G896="",G896="?"),"",IFERROR(INDEX(Pubs!$D$2:$D$3001,MATCH(G896,Pubs!$A$2:$A$3001,0))&amp;"",""))</f>
        <v/>
      </c>
      <c r="N896" s="27" t="n">
        <f aca="false">N(N895)+IF(AND(A896&lt;&gt;"",OR(Recherche!$C$4="",A896=Recherche!$C$4),OR(Recherche!$C$5="",B896&amp;""=Recherche!$C$5&amp;""),OR(Recherche!$C$6="",IFERROR(YEAR(L896),0)=Recherche!$C$6),OR(Recherche!$C$7="",ISNUMBER(SEARCH(Recherche!$C$7,H896))),OR(Recherche!$C$8="",J896=Recherche!$C$8),OR(Recherche!$C$9="",I896=Recherche!$C$9),OR(Recherche!$C$10="",G896&amp;""=Recherche!$C$10&amp;""),OR(Recherche!$C$11="",E896=Recherche!$C$11),OR(Recherche!$C$12="",ISNUMBER(SEARCH(Recherche!$C$12,M896&amp;" "&amp;F896)))),1,0)</f>
        <v>8</v>
      </c>
    </row>
    <row r="897" customFormat="false" ht="15" hidden="false" customHeight="false" outlineLevel="0" collapsed="false">
      <c r="A897" s="19"/>
      <c r="B897" s="19"/>
      <c r="C897" s="19"/>
      <c r="D897" s="19"/>
      <c r="E897" s="22"/>
      <c r="F897" s="19"/>
      <c r="G897" s="26" t="str">
        <f aca="false">IF(D897="","",IFERROR(VALUE(LEFT(D897,FIND(" |",D897&amp;" |")-1)),"?"))</f>
        <v/>
      </c>
      <c r="H897" s="27" t="str">
        <f aca="false">IF(G897="","",IF(G897="?","⚠ pub inconnue",IFERROR(INDEX(Pubs!$B$2:$B$3001,MATCH(G897,Pubs!$A$2:$A$3001,0))&amp;"","⚠ pub inconnue")))</f>
        <v/>
      </c>
      <c r="I897" s="27" t="str">
        <f aca="false">IF(OR(G897="",G897="?"),"",IFERROR(INDEX(Pubs!$C$2:$C$3001,MATCH(G897,Pubs!$A$2:$A$3001,0))&amp;"",""))</f>
        <v/>
      </c>
      <c r="J897" s="27" t="str">
        <f aca="false">IF(OR(G897="",G897="?"),"",IFERROR(INDEX(Pubs!$G$2:$G$3001,MATCH(G897,Pubs!$A$2:$A$3001,0))&amp;"",""))</f>
        <v/>
      </c>
      <c r="K897" s="28" t="str">
        <f aca="false">IF(OR(G897="",G897="?"),"",IFERROR(INDEX(Pubs!$E$2:$E$3001,MATCH(G897,Pubs!$A$2:$A$3001,0)),""))</f>
        <v/>
      </c>
      <c r="L897" s="29" t="str">
        <f aca="false">IF(A897="","",IFERROR(1/(1/INDEX(Numéros!$C$2:$C$3001,MATCH(A897&amp;"|"&amp;B897,Numéros!$F$2:$F$3001,0))),""))</f>
        <v/>
      </c>
      <c r="M897" s="27" t="str">
        <f aca="false">IF(OR(G897="",G897="?"),"",IFERROR(INDEX(Pubs!$D$2:$D$3001,MATCH(G897,Pubs!$A$2:$A$3001,0))&amp;"",""))</f>
        <v/>
      </c>
      <c r="N897" s="27" t="n">
        <f aca="false">N(N896)+IF(AND(A897&lt;&gt;"",OR(Recherche!$C$4="",A897=Recherche!$C$4),OR(Recherche!$C$5="",B897&amp;""=Recherche!$C$5&amp;""),OR(Recherche!$C$6="",IFERROR(YEAR(L897),0)=Recherche!$C$6),OR(Recherche!$C$7="",ISNUMBER(SEARCH(Recherche!$C$7,H897))),OR(Recherche!$C$8="",J897=Recherche!$C$8),OR(Recherche!$C$9="",I897=Recherche!$C$9),OR(Recherche!$C$10="",G897&amp;""=Recherche!$C$10&amp;""),OR(Recherche!$C$11="",E897=Recherche!$C$11),OR(Recherche!$C$12="",ISNUMBER(SEARCH(Recherche!$C$12,M897&amp;" "&amp;F897)))),1,0)</f>
        <v>8</v>
      </c>
    </row>
    <row r="898" customFormat="false" ht="15" hidden="false" customHeight="false" outlineLevel="0" collapsed="false">
      <c r="A898" s="19"/>
      <c r="B898" s="19"/>
      <c r="C898" s="19"/>
      <c r="D898" s="19"/>
      <c r="E898" s="22"/>
      <c r="F898" s="19"/>
      <c r="G898" s="26" t="str">
        <f aca="false">IF(D898="","",IFERROR(VALUE(LEFT(D898,FIND(" |",D898&amp;" |")-1)),"?"))</f>
        <v/>
      </c>
      <c r="H898" s="27" t="str">
        <f aca="false">IF(G898="","",IF(G898="?","⚠ pub inconnue",IFERROR(INDEX(Pubs!$B$2:$B$3001,MATCH(G898,Pubs!$A$2:$A$3001,0))&amp;"","⚠ pub inconnue")))</f>
        <v/>
      </c>
      <c r="I898" s="27" t="str">
        <f aca="false">IF(OR(G898="",G898="?"),"",IFERROR(INDEX(Pubs!$C$2:$C$3001,MATCH(G898,Pubs!$A$2:$A$3001,0))&amp;"",""))</f>
        <v/>
      </c>
      <c r="J898" s="27" t="str">
        <f aca="false">IF(OR(G898="",G898="?"),"",IFERROR(INDEX(Pubs!$G$2:$G$3001,MATCH(G898,Pubs!$A$2:$A$3001,0))&amp;"",""))</f>
        <v/>
      </c>
      <c r="K898" s="28" t="str">
        <f aca="false">IF(OR(G898="",G898="?"),"",IFERROR(INDEX(Pubs!$E$2:$E$3001,MATCH(G898,Pubs!$A$2:$A$3001,0)),""))</f>
        <v/>
      </c>
      <c r="L898" s="29" t="str">
        <f aca="false">IF(A898="","",IFERROR(1/(1/INDEX(Numéros!$C$2:$C$3001,MATCH(A898&amp;"|"&amp;B898,Numéros!$F$2:$F$3001,0))),""))</f>
        <v/>
      </c>
      <c r="M898" s="27" t="str">
        <f aca="false">IF(OR(G898="",G898="?"),"",IFERROR(INDEX(Pubs!$D$2:$D$3001,MATCH(G898,Pubs!$A$2:$A$3001,0))&amp;"",""))</f>
        <v/>
      </c>
      <c r="N898" s="27" t="n">
        <f aca="false">N(N897)+IF(AND(A898&lt;&gt;"",OR(Recherche!$C$4="",A898=Recherche!$C$4),OR(Recherche!$C$5="",B898&amp;""=Recherche!$C$5&amp;""),OR(Recherche!$C$6="",IFERROR(YEAR(L898),0)=Recherche!$C$6),OR(Recherche!$C$7="",ISNUMBER(SEARCH(Recherche!$C$7,H898))),OR(Recherche!$C$8="",J898=Recherche!$C$8),OR(Recherche!$C$9="",I898=Recherche!$C$9),OR(Recherche!$C$10="",G898&amp;""=Recherche!$C$10&amp;""),OR(Recherche!$C$11="",E898=Recherche!$C$11),OR(Recherche!$C$12="",ISNUMBER(SEARCH(Recherche!$C$12,M898&amp;" "&amp;F898)))),1,0)</f>
        <v>8</v>
      </c>
    </row>
    <row r="899" customFormat="false" ht="15" hidden="false" customHeight="false" outlineLevel="0" collapsed="false">
      <c r="A899" s="19"/>
      <c r="B899" s="19"/>
      <c r="C899" s="19"/>
      <c r="D899" s="19"/>
      <c r="E899" s="22"/>
      <c r="F899" s="19"/>
      <c r="G899" s="26" t="str">
        <f aca="false">IF(D899="","",IFERROR(VALUE(LEFT(D899,FIND(" |",D899&amp;" |")-1)),"?"))</f>
        <v/>
      </c>
      <c r="H899" s="27" t="str">
        <f aca="false">IF(G899="","",IF(G899="?","⚠ pub inconnue",IFERROR(INDEX(Pubs!$B$2:$B$3001,MATCH(G899,Pubs!$A$2:$A$3001,0))&amp;"","⚠ pub inconnue")))</f>
        <v/>
      </c>
      <c r="I899" s="27" t="str">
        <f aca="false">IF(OR(G899="",G899="?"),"",IFERROR(INDEX(Pubs!$C$2:$C$3001,MATCH(G899,Pubs!$A$2:$A$3001,0))&amp;"",""))</f>
        <v/>
      </c>
      <c r="J899" s="27" t="str">
        <f aca="false">IF(OR(G899="",G899="?"),"",IFERROR(INDEX(Pubs!$G$2:$G$3001,MATCH(G899,Pubs!$A$2:$A$3001,0))&amp;"",""))</f>
        <v/>
      </c>
      <c r="K899" s="28" t="str">
        <f aca="false">IF(OR(G899="",G899="?"),"",IFERROR(INDEX(Pubs!$E$2:$E$3001,MATCH(G899,Pubs!$A$2:$A$3001,0)),""))</f>
        <v/>
      </c>
      <c r="L899" s="29" t="str">
        <f aca="false">IF(A899="","",IFERROR(1/(1/INDEX(Numéros!$C$2:$C$3001,MATCH(A899&amp;"|"&amp;B899,Numéros!$F$2:$F$3001,0))),""))</f>
        <v/>
      </c>
      <c r="M899" s="27" t="str">
        <f aca="false">IF(OR(G899="",G899="?"),"",IFERROR(INDEX(Pubs!$D$2:$D$3001,MATCH(G899,Pubs!$A$2:$A$3001,0))&amp;"",""))</f>
        <v/>
      </c>
      <c r="N899" s="27" t="n">
        <f aca="false">N(N898)+IF(AND(A899&lt;&gt;"",OR(Recherche!$C$4="",A899=Recherche!$C$4),OR(Recherche!$C$5="",B899&amp;""=Recherche!$C$5&amp;""),OR(Recherche!$C$6="",IFERROR(YEAR(L899),0)=Recherche!$C$6),OR(Recherche!$C$7="",ISNUMBER(SEARCH(Recherche!$C$7,H899))),OR(Recherche!$C$8="",J899=Recherche!$C$8),OR(Recherche!$C$9="",I899=Recherche!$C$9),OR(Recherche!$C$10="",G899&amp;""=Recherche!$C$10&amp;""),OR(Recherche!$C$11="",E899=Recherche!$C$11),OR(Recherche!$C$12="",ISNUMBER(SEARCH(Recherche!$C$12,M899&amp;" "&amp;F899)))),1,0)</f>
        <v>8</v>
      </c>
    </row>
    <row r="900" customFormat="false" ht="15" hidden="false" customHeight="false" outlineLevel="0" collapsed="false">
      <c r="A900" s="19"/>
      <c r="B900" s="19"/>
      <c r="C900" s="19"/>
      <c r="D900" s="19"/>
      <c r="E900" s="22"/>
      <c r="F900" s="19"/>
      <c r="G900" s="26" t="str">
        <f aca="false">IF(D900="","",IFERROR(VALUE(LEFT(D900,FIND(" |",D900&amp;" |")-1)),"?"))</f>
        <v/>
      </c>
      <c r="H900" s="27" t="str">
        <f aca="false">IF(G900="","",IF(G900="?","⚠ pub inconnue",IFERROR(INDEX(Pubs!$B$2:$B$3001,MATCH(G900,Pubs!$A$2:$A$3001,0))&amp;"","⚠ pub inconnue")))</f>
        <v/>
      </c>
      <c r="I900" s="27" t="str">
        <f aca="false">IF(OR(G900="",G900="?"),"",IFERROR(INDEX(Pubs!$C$2:$C$3001,MATCH(G900,Pubs!$A$2:$A$3001,0))&amp;"",""))</f>
        <v/>
      </c>
      <c r="J900" s="27" t="str">
        <f aca="false">IF(OR(G900="",G900="?"),"",IFERROR(INDEX(Pubs!$G$2:$G$3001,MATCH(G900,Pubs!$A$2:$A$3001,0))&amp;"",""))</f>
        <v/>
      </c>
      <c r="K900" s="28" t="str">
        <f aca="false">IF(OR(G900="",G900="?"),"",IFERROR(INDEX(Pubs!$E$2:$E$3001,MATCH(G900,Pubs!$A$2:$A$3001,0)),""))</f>
        <v/>
      </c>
      <c r="L900" s="29" t="str">
        <f aca="false">IF(A900="","",IFERROR(1/(1/INDEX(Numéros!$C$2:$C$3001,MATCH(A900&amp;"|"&amp;B900,Numéros!$F$2:$F$3001,0))),""))</f>
        <v/>
      </c>
      <c r="M900" s="27" t="str">
        <f aca="false">IF(OR(G900="",G900="?"),"",IFERROR(INDEX(Pubs!$D$2:$D$3001,MATCH(G900,Pubs!$A$2:$A$3001,0))&amp;"",""))</f>
        <v/>
      </c>
      <c r="N900" s="27" t="n">
        <f aca="false">N(N899)+IF(AND(A900&lt;&gt;"",OR(Recherche!$C$4="",A900=Recherche!$C$4),OR(Recherche!$C$5="",B900&amp;""=Recherche!$C$5&amp;""),OR(Recherche!$C$6="",IFERROR(YEAR(L900),0)=Recherche!$C$6),OR(Recherche!$C$7="",ISNUMBER(SEARCH(Recherche!$C$7,H900))),OR(Recherche!$C$8="",J900=Recherche!$C$8),OR(Recherche!$C$9="",I900=Recherche!$C$9),OR(Recherche!$C$10="",G900&amp;""=Recherche!$C$10&amp;""),OR(Recherche!$C$11="",E900=Recherche!$C$11),OR(Recherche!$C$12="",ISNUMBER(SEARCH(Recherche!$C$12,M900&amp;" "&amp;F900)))),1,0)</f>
        <v>8</v>
      </c>
    </row>
    <row r="901" customFormat="false" ht="15" hidden="false" customHeight="false" outlineLevel="0" collapsed="false">
      <c r="A901" s="19"/>
      <c r="B901" s="19"/>
      <c r="C901" s="19"/>
      <c r="D901" s="19"/>
      <c r="E901" s="22"/>
      <c r="F901" s="19"/>
      <c r="G901" s="26" t="str">
        <f aca="false">IF(D901="","",IFERROR(VALUE(LEFT(D901,FIND(" |",D901&amp;" |")-1)),"?"))</f>
        <v/>
      </c>
      <c r="H901" s="27" t="str">
        <f aca="false">IF(G901="","",IF(G901="?","⚠ pub inconnue",IFERROR(INDEX(Pubs!$B$2:$B$3001,MATCH(G901,Pubs!$A$2:$A$3001,0))&amp;"","⚠ pub inconnue")))</f>
        <v/>
      </c>
      <c r="I901" s="27" t="str">
        <f aca="false">IF(OR(G901="",G901="?"),"",IFERROR(INDEX(Pubs!$C$2:$C$3001,MATCH(G901,Pubs!$A$2:$A$3001,0))&amp;"",""))</f>
        <v/>
      </c>
      <c r="J901" s="27" t="str">
        <f aca="false">IF(OR(G901="",G901="?"),"",IFERROR(INDEX(Pubs!$G$2:$G$3001,MATCH(G901,Pubs!$A$2:$A$3001,0))&amp;"",""))</f>
        <v/>
      </c>
      <c r="K901" s="28" t="str">
        <f aca="false">IF(OR(G901="",G901="?"),"",IFERROR(INDEX(Pubs!$E$2:$E$3001,MATCH(G901,Pubs!$A$2:$A$3001,0)),""))</f>
        <v/>
      </c>
      <c r="L901" s="29" t="str">
        <f aca="false">IF(A901="","",IFERROR(1/(1/INDEX(Numéros!$C$2:$C$3001,MATCH(A901&amp;"|"&amp;B901,Numéros!$F$2:$F$3001,0))),""))</f>
        <v/>
      </c>
      <c r="M901" s="27" t="str">
        <f aca="false">IF(OR(G901="",G901="?"),"",IFERROR(INDEX(Pubs!$D$2:$D$3001,MATCH(G901,Pubs!$A$2:$A$3001,0))&amp;"",""))</f>
        <v/>
      </c>
      <c r="N901" s="27" t="n">
        <f aca="false">N(N900)+IF(AND(A901&lt;&gt;"",OR(Recherche!$C$4="",A901=Recherche!$C$4),OR(Recherche!$C$5="",B901&amp;""=Recherche!$C$5&amp;""),OR(Recherche!$C$6="",IFERROR(YEAR(L901),0)=Recherche!$C$6),OR(Recherche!$C$7="",ISNUMBER(SEARCH(Recherche!$C$7,H901))),OR(Recherche!$C$8="",J901=Recherche!$C$8),OR(Recherche!$C$9="",I901=Recherche!$C$9),OR(Recherche!$C$10="",G901&amp;""=Recherche!$C$10&amp;""),OR(Recherche!$C$11="",E901=Recherche!$C$11),OR(Recherche!$C$12="",ISNUMBER(SEARCH(Recherche!$C$12,M901&amp;" "&amp;F901)))),1,0)</f>
        <v>8</v>
      </c>
    </row>
    <row r="902" customFormat="false" ht="15" hidden="false" customHeight="false" outlineLevel="0" collapsed="false">
      <c r="A902" s="19"/>
      <c r="B902" s="19"/>
      <c r="C902" s="19"/>
      <c r="D902" s="19"/>
      <c r="E902" s="22"/>
      <c r="F902" s="19"/>
      <c r="G902" s="26" t="str">
        <f aca="false">IF(D902="","",IFERROR(VALUE(LEFT(D902,FIND(" |",D902&amp;" |")-1)),"?"))</f>
        <v/>
      </c>
      <c r="H902" s="27" t="str">
        <f aca="false">IF(G902="","",IF(G902="?","⚠ pub inconnue",IFERROR(INDEX(Pubs!$B$2:$B$3001,MATCH(G902,Pubs!$A$2:$A$3001,0))&amp;"","⚠ pub inconnue")))</f>
        <v/>
      </c>
      <c r="I902" s="27" t="str">
        <f aca="false">IF(OR(G902="",G902="?"),"",IFERROR(INDEX(Pubs!$C$2:$C$3001,MATCH(G902,Pubs!$A$2:$A$3001,0))&amp;"",""))</f>
        <v/>
      </c>
      <c r="J902" s="27" t="str">
        <f aca="false">IF(OR(G902="",G902="?"),"",IFERROR(INDEX(Pubs!$G$2:$G$3001,MATCH(G902,Pubs!$A$2:$A$3001,0))&amp;"",""))</f>
        <v/>
      </c>
      <c r="K902" s="28" t="str">
        <f aca="false">IF(OR(G902="",G902="?"),"",IFERROR(INDEX(Pubs!$E$2:$E$3001,MATCH(G902,Pubs!$A$2:$A$3001,0)),""))</f>
        <v/>
      </c>
      <c r="L902" s="29" t="str">
        <f aca="false">IF(A902="","",IFERROR(1/(1/INDEX(Numéros!$C$2:$C$3001,MATCH(A902&amp;"|"&amp;B902,Numéros!$F$2:$F$3001,0))),""))</f>
        <v/>
      </c>
      <c r="M902" s="27" t="str">
        <f aca="false">IF(OR(G902="",G902="?"),"",IFERROR(INDEX(Pubs!$D$2:$D$3001,MATCH(G902,Pubs!$A$2:$A$3001,0))&amp;"",""))</f>
        <v/>
      </c>
      <c r="N902" s="27" t="n">
        <f aca="false">N(N901)+IF(AND(A902&lt;&gt;"",OR(Recherche!$C$4="",A902=Recherche!$C$4),OR(Recherche!$C$5="",B902&amp;""=Recherche!$C$5&amp;""),OR(Recherche!$C$6="",IFERROR(YEAR(L902),0)=Recherche!$C$6),OR(Recherche!$C$7="",ISNUMBER(SEARCH(Recherche!$C$7,H902))),OR(Recherche!$C$8="",J902=Recherche!$C$8),OR(Recherche!$C$9="",I902=Recherche!$C$9),OR(Recherche!$C$10="",G902&amp;""=Recherche!$C$10&amp;""),OR(Recherche!$C$11="",E902=Recherche!$C$11),OR(Recherche!$C$12="",ISNUMBER(SEARCH(Recherche!$C$12,M902&amp;" "&amp;F902)))),1,0)</f>
        <v>8</v>
      </c>
    </row>
    <row r="903" customFormat="false" ht="15" hidden="false" customHeight="false" outlineLevel="0" collapsed="false">
      <c r="A903" s="19"/>
      <c r="B903" s="19"/>
      <c r="C903" s="19"/>
      <c r="D903" s="19"/>
      <c r="E903" s="22"/>
      <c r="F903" s="19"/>
      <c r="G903" s="26" t="str">
        <f aca="false">IF(D903="","",IFERROR(VALUE(LEFT(D903,FIND(" |",D903&amp;" |")-1)),"?"))</f>
        <v/>
      </c>
      <c r="H903" s="27" t="str">
        <f aca="false">IF(G903="","",IF(G903="?","⚠ pub inconnue",IFERROR(INDEX(Pubs!$B$2:$B$3001,MATCH(G903,Pubs!$A$2:$A$3001,0))&amp;"","⚠ pub inconnue")))</f>
        <v/>
      </c>
      <c r="I903" s="27" t="str">
        <f aca="false">IF(OR(G903="",G903="?"),"",IFERROR(INDEX(Pubs!$C$2:$C$3001,MATCH(G903,Pubs!$A$2:$A$3001,0))&amp;"",""))</f>
        <v/>
      </c>
      <c r="J903" s="27" t="str">
        <f aca="false">IF(OR(G903="",G903="?"),"",IFERROR(INDEX(Pubs!$G$2:$G$3001,MATCH(G903,Pubs!$A$2:$A$3001,0))&amp;"",""))</f>
        <v/>
      </c>
      <c r="K903" s="28" t="str">
        <f aca="false">IF(OR(G903="",G903="?"),"",IFERROR(INDEX(Pubs!$E$2:$E$3001,MATCH(G903,Pubs!$A$2:$A$3001,0)),""))</f>
        <v/>
      </c>
      <c r="L903" s="29" t="str">
        <f aca="false">IF(A903="","",IFERROR(1/(1/INDEX(Numéros!$C$2:$C$3001,MATCH(A903&amp;"|"&amp;B903,Numéros!$F$2:$F$3001,0))),""))</f>
        <v/>
      </c>
      <c r="M903" s="27" t="str">
        <f aca="false">IF(OR(G903="",G903="?"),"",IFERROR(INDEX(Pubs!$D$2:$D$3001,MATCH(G903,Pubs!$A$2:$A$3001,0))&amp;"",""))</f>
        <v/>
      </c>
      <c r="N903" s="27" t="n">
        <f aca="false">N(N902)+IF(AND(A903&lt;&gt;"",OR(Recherche!$C$4="",A903=Recherche!$C$4),OR(Recherche!$C$5="",B903&amp;""=Recherche!$C$5&amp;""),OR(Recherche!$C$6="",IFERROR(YEAR(L903),0)=Recherche!$C$6),OR(Recherche!$C$7="",ISNUMBER(SEARCH(Recherche!$C$7,H903))),OR(Recherche!$C$8="",J903=Recherche!$C$8),OR(Recherche!$C$9="",I903=Recherche!$C$9),OR(Recherche!$C$10="",G903&amp;""=Recherche!$C$10&amp;""),OR(Recherche!$C$11="",E903=Recherche!$C$11),OR(Recherche!$C$12="",ISNUMBER(SEARCH(Recherche!$C$12,M903&amp;" "&amp;F903)))),1,0)</f>
        <v>8</v>
      </c>
    </row>
    <row r="904" customFormat="false" ht="15" hidden="false" customHeight="false" outlineLevel="0" collapsed="false">
      <c r="A904" s="19"/>
      <c r="B904" s="19"/>
      <c r="C904" s="19"/>
      <c r="D904" s="19"/>
      <c r="E904" s="22"/>
      <c r="F904" s="19"/>
      <c r="G904" s="26" t="str">
        <f aca="false">IF(D904="","",IFERROR(VALUE(LEFT(D904,FIND(" |",D904&amp;" |")-1)),"?"))</f>
        <v/>
      </c>
      <c r="H904" s="27" t="str">
        <f aca="false">IF(G904="","",IF(G904="?","⚠ pub inconnue",IFERROR(INDEX(Pubs!$B$2:$B$3001,MATCH(G904,Pubs!$A$2:$A$3001,0))&amp;"","⚠ pub inconnue")))</f>
        <v/>
      </c>
      <c r="I904" s="27" t="str">
        <f aca="false">IF(OR(G904="",G904="?"),"",IFERROR(INDEX(Pubs!$C$2:$C$3001,MATCH(G904,Pubs!$A$2:$A$3001,0))&amp;"",""))</f>
        <v/>
      </c>
      <c r="J904" s="27" t="str">
        <f aca="false">IF(OR(G904="",G904="?"),"",IFERROR(INDEX(Pubs!$G$2:$G$3001,MATCH(G904,Pubs!$A$2:$A$3001,0))&amp;"",""))</f>
        <v/>
      </c>
      <c r="K904" s="28" t="str">
        <f aca="false">IF(OR(G904="",G904="?"),"",IFERROR(INDEX(Pubs!$E$2:$E$3001,MATCH(G904,Pubs!$A$2:$A$3001,0)),""))</f>
        <v/>
      </c>
      <c r="L904" s="29" t="str">
        <f aca="false">IF(A904="","",IFERROR(1/(1/INDEX(Numéros!$C$2:$C$3001,MATCH(A904&amp;"|"&amp;B904,Numéros!$F$2:$F$3001,0))),""))</f>
        <v/>
      </c>
      <c r="M904" s="27" t="str">
        <f aca="false">IF(OR(G904="",G904="?"),"",IFERROR(INDEX(Pubs!$D$2:$D$3001,MATCH(G904,Pubs!$A$2:$A$3001,0))&amp;"",""))</f>
        <v/>
      </c>
      <c r="N904" s="27" t="n">
        <f aca="false">N(N903)+IF(AND(A904&lt;&gt;"",OR(Recherche!$C$4="",A904=Recherche!$C$4),OR(Recherche!$C$5="",B904&amp;""=Recherche!$C$5&amp;""),OR(Recherche!$C$6="",IFERROR(YEAR(L904),0)=Recherche!$C$6),OR(Recherche!$C$7="",ISNUMBER(SEARCH(Recherche!$C$7,H904))),OR(Recherche!$C$8="",J904=Recherche!$C$8),OR(Recherche!$C$9="",I904=Recherche!$C$9),OR(Recherche!$C$10="",G904&amp;""=Recherche!$C$10&amp;""),OR(Recherche!$C$11="",E904=Recherche!$C$11),OR(Recherche!$C$12="",ISNUMBER(SEARCH(Recherche!$C$12,M904&amp;" "&amp;F904)))),1,0)</f>
        <v>8</v>
      </c>
    </row>
    <row r="905" customFormat="false" ht="15" hidden="false" customHeight="false" outlineLevel="0" collapsed="false">
      <c r="A905" s="19"/>
      <c r="B905" s="19"/>
      <c r="C905" s="19"/>
      <c r="D905" s="19"/>
      <c r="E905" s="22"/>
      <c r="F905" s="19"/>
      <c r="G905" s="26" t="str">
        <f aca="false">IF(D905="","",IFERROR(VALUE(LEFT(D905,FIND(" |",D905&amp;" |")-1)),"?"))</f>
        <v/>
      </c>
      <c r="H905" s="27" t="str">
        <f aca="false">IF(G905="","",IF(G905="?","⚠ pub inconnue",IFERROR(INDEX(Pubs!$B$2:$B$3001,MATCH(G905,Pubs!$A$2:$A$3001,0))&amp;"","⚠ pub inconnue")))</f>
        <v/>
      </c>
      <c r="I905" s="27" t="str">
        <f aca="false">IF(OR(G905="",G905="?"),"",IFERROR(INDEX(Pubs!$C$2:$C$3001,MATCH(G905,Pubs!$A$2:$A$3001,0))&amp;"",""))</f>
        <v/>
      </c>
      <c r="J905" s="27" t="str">
        <f aca="false">IF(OR(G905="",G905="?"),"",IFERROR(INDEX(Pubs!$G$2:$G$3001,MATCH(G905,Pubs!$A$2:$A$3001,0))&amp;"",""))</f>
        <v/>
      </c>
      <c r="K905" s="28" t="str">
        <f aca="false">IF(OR(G905="",G905="?"),"",IFERROR(INDEX(Pubs!$E$2:$E$3001,MATCH(G905,Pubs!$A$2:$A$3001,0)),""))</f>
        <v/>
      </c>
      <c r="L905" s="29" t="str">
        <f aca="false">IF(A905="","",IFERROR(1/(1/INDEX(Numéros!$C$2:$C$3001,MATCH(A905&amp;"|"&amp;B905,Numéros!$F$2:$F$3001,0))),""))</f>
        <v/>
      </c>
      <c r="M905" s="27" t="str">
        <f aca="false">IF(OR(G905="",G905="?"),"",IFERROR(INDEX(Pubs!$D$2:$D$3001,MATCH(G905,Pubs!$A$2:$A$3001,0))&amp;"",""))</f>
        <v/>
      </c>
      <c r="N905" s="27" t="n">
        <f aca="false">N(N904)+IF(AND(A905&lt;&gt;"",OR(Recherche!$C$4="",A905=Recherche!$C$4),OR(Recherche!$C$5="",B905&amp;""=Recherche!$C$5&amp;""),OR(Recherche!$C$6="",IFERROR(YEAR(L905),0)=Recherche!$C$6),OR(Recherche!$C$7="",ISNUMBER(SEARCH(Recherche!$C$7,H905))),OR(Recherche!$C$8="",J905=Recherche!$C$8),OR(Recherche!$C$9="",I905=Recherche!$C$9),OR(Recherche!$C$10="",G905&amp;""=Recherche!$C$10&amp;""),OR(Recherche!$C$11="",E905=Recherche!$C$11),OR(Recherche!$C$12="",ISNUMBER(SEARCH(Recherche!$C$12,M905&amp;" "&amp;F905)))),1,0)</f>
        <v>8</v>
      </c>
    </row>
    <row r="906" customFormat="false" ht="15" hidden="false" customHeight="false" outlineLevel="0" collapsed="false">
      <c r="A906" s="19"/>
      <c r="B906" s="19"/>
      <c r="C906" s="19"/>
      <c r="D906" s="19"/>
      <c r="E906" s="22"/>
      <c r="F906" s="19"/>
      <c r="G906" s="26" t="str">
        <f aca="false">IF(D906="","",IFERROR(VALUE(LEFT(D906,FIND(" |",D906&amp;" |")-1)),"?"))</f>
        <v/>
      </c>
      <c r="H906" s="27" t="str">
        <f aca="false">IF(G906="","",IF(G906="?","⚠ pub inconnue",IFERROR(INDEX(Pubs!$B$2:$B$3001,MATCH(G906,Pubs!$A$2:$A$3001,0))&amp;"","⚠ pub inconnue")))</f>
        <v/>
      </c>
      <c r="I906" s="27" t="str">
        <f aca="false">IF(OR(G906="",G906="?"),"",IFERROR(INDEX(Pubs!$C$2:$C$3001,MATCH(G906,Pubs!$A$2:$A$3001,0))&amp;"",""))</f>
        <v/>
      </c>
      <c r="J906" s="27" t="str">
        <f aca="false">IF(OR(G906="",G906="?"),"",IFERROR(INDEX(Pubs!$G$2:$G$3001,MATCH(G906,Pubs!$A$2:$A$3001,0))&amp;"",""))</f>
        <v/>
      </c>
      <c r="K906" s="28" t="str">
        <f aca="false">IF(OR(G906="",G906="?"),"",IFERROR(INDEX(Pubs!$E$2:$E$3001,MATCH(G906,Pubs!$A$2:$A$3001,0)),""))</f>
        <v/>
      </c>
      <c r="L906" s="29" t="str">
        <f aca="false">IF(A906="","",IFERROR(1/(1/INDEX(Numéros!$C$2:$C$3001,MATCH(A906&amp;"|"&amp;B906,Numéros!$F$2:$F$3001,0))),""))</f>
        <v/>
      </c>
      <c r="M906" s="27" t="str">
        <f aca="false">IF(OR(G906="",G906="?"),"",IFERROR(INDEX(Pubs!$D$2:$D$3001,MATCH(G906,Pubs!$A$2:$A$3001,0))&amp;"",""))</f>
        <v/>
      </c>
      <c r="N906" s="27" t="n">
        <f aca="false">N(N905)+IF(AND(A906&lt;&gt;"",OR(Recherche!$C$4="",A906=Recherche!$C$4),OR(Recherche!$C$5="",B906&amp;""=Recherche!$C$5&amp;""),OR(Recherche!$C$6="",IFERROR(YEAR(L906),0)=Recherche!$C$6),OR(Recherche!$C$7="",ISNUMBER(SEARCH(Recherche!$C$7,H906))),OR(Recherche!$C$8="",J906=Recherche!$C$8),OR(Recherche!$C$9="",I906=Recherche!$C$9),OR(Recherche!$C$10="",G906&amp;""=Recherche!$C$10&amp;""),OR(Recherche!$C$11="",E906=Recherche!$C$11),OR(Recherche!$C$12="",ISNUMBER(SEARCH(Recherche!$C$12,M906&amp;" "&amp;F906)))),1,0)</f>
        <v>8</v>
      </c>
    </row>
    <row r="907" customFormat="false" ht="15" hidden="false" customHeight="false" outlineLevel="0" collapsed="false">
      <c r="A907" s="19"/>
      <c r="B907" s="19"/>
      <c r="C907" s="19"/>
      <c r="D907" s="19"/>
      <c r="E907" s="22"/>
      <c r="F907" s="19"/>
      <c r="G907" s="26" t="str">
        <f aca="false">IF(D907="","",IFERROR(VALUE(LEFT(D907,FIND(" |",D907&amp;" |")-1)),"?"))</f>
        <v/>
      </c>
      <c r="H907" s="27" t="str">
        <f aca="false">IF(G907="","",IF(G907="?","⚠ pub inconnue",IFERROR(INDEX(Pubs!$B$2:$B$3001,MATCH(G907,Pubs!$A$2:$A$3001,0))&amp;"","⚠ pub inconnue")))</f>
        <v/>
      </c>
      <c r="I907" s="27" t="str">
        <f aca="false">IF(OR(G907="",G907="?"),"",IFERROR(INDEX(Pubs!$C$2:$C$3001,MATCH(G907,Pubs!$A$2:$A$3001,0))&amp;"",""))</f>
        <v/>
      </c>
      <c r="J907" s="27" t="str">
        <f aca="false">IF(OR(G907="",G907="?"),"",IFERROR(INDEX(Pubs!$G$2:$G$3001,MATCH(G907,Pubs!$A$2:$A$3001,0))&amp;"",""))</f>
        <v/>
      </c>
      <c r="K907" s="28" t="str">
        <f aca="false">IF(OR(G907="",G907="?"),"",IFERROR(INDEX(Pubs!$E$2:$E$3001,MATCH(G907,Pubs!$A$2:$A$3001,0)),""))</f>
        <v/>
      </c>
      <c r="L907" s="29" t="str">
        <f aca="false">IF(A907="","",IFERROR(1/(1/INDEX(Numéros!$C$2:$C$3001,MATCH(A907&amp;"|"&amp;B907,Numéros!$F$2:$F$3001,0))),""))</f>
        <v/>
      </c>
      <c r="M907" s="27" t="str">
        <f aca="false">IF(OR(G907="",G907="?"),"",IFERROR(INDEX(Pubs!$D$2:$D$3001,MATCH(G907,Pubs!$A$2:$A$3001,0))&amp;"",""))</f>
        <v/>
      </c>
      <c r="N907" s="27" t="n">
        <f aca="false">N(N906)+IF(AND(A907&lt;&gt;"",OR(Recherche!$C$4="",A907=Recherche!$C$4),OR(Recherche!$C$5="",B907&amp;""=Recherche!$C$5&amp;""),OR(Recherche!$C$6="",IFERROR(YEAR(L907),0)=Recherche!$C$6),OR(Recherche!$C$7="",ISNUMBER(SEARCH(Recherche!$C$7,H907))),OR(Recherche!$C$8="",J907=Recherche!$C$8),OR(Recherche!$C$9="",I907=Recherche!$C$9),OR(Recherche!$C$10="",G907&amp;""=Recherche!$C$10&amp;""),OR(Recherche!$C$11="",E907=Recherche!$C$11),OR(Recherche!$C$12="",ISNUMBER(SEARCH(Recherche!$C$12,M907&amp;" "&amp;F907)))),1,0)</f>
        <v>8</v>
      </c>
    </row>
    <row r="908" customFormat="false" ht="15" hidden="false" customHeight="false" outlineLevel="0" collapsed="false">
      <c r="A908" s="19"/>
      <c r="B908" s="19"/>
      <c r="C908" s="19"/>
      <c r="D908" s="19"/>
      <c r="E908" s="22"/>
      <c r="F908" s="19"/>
      <c r="G908" s="26" t="str">
        <f aca="false">IF(D908="","",IFERROR(VALUE(LEFT(D908,FIND(" |",D908&amp;" |")-1)),"?"))</f>
        <v/>
      </c>
      <c r="H908" s="27" t="str">
        <f aca="false">IF(G908="","",IF(G908="?","⚠ pub inconnue",IFERROR(INDEX(Pubs!$B$2:$B$3001,MATCH(G908,Pubs!$A$2:$A$3001,0))&amp;"","⚠ pub inconnue")))</f>
        <v/>
      </c>
      <c r="I908" s="27" t="str">
        <f aca="false">IF(OR(G908="",G908="?"),"",IFERROR(INDEX(Pubs!$C$2:$C$3001,MATCH(G908,Pubs!$A$2:$A$3001,0))&amp;"",""))</f>
        <v/>
      </c>
      <c r="J908" s="27" t="str">
        <f aca="false">IF(OR(G908="",G908="?"),"",IFERROR(INDEX(Pubs!$G$2:$G$3001,MATCH(G908,Pubs!$A$2:$A$3001,0))&amp;"",""))</f>
        <v/>
      </c>
      <c r="K908" s="28" t="str">
        <f aca="false">IF(OR(G908="",G908="?"),"",IFERROR(INDEX(Pubs!$E$2:$E$3001,MATCH(G908,Pubs!$A$2:$A$3001,0)),""))</f>
        <v/>
      </c>
      <c r="L908" s="29" t="str">
        <f aca="false">IF(A908="","",IFERROR(1/(1/INDEX(Numéros!$C$2:$C$3001,MATCH(A908&amp;"|"&amp;B908,Numéros!$F$2:$F$3001,0))),""))</f>
        <v/>
      </c>
      <c r="M908" s="27" t="str">
        <f aca="false">IF(OR(G908="",G908="?"),"",IFERROR(INDEX(Pubs!$D$2:$D$3001,MATCH(G908,Pubs!$A$2:$A$3001,0))&amp;"",""))</f>
        <v/>
      </c>
      <c r="N908" s="27" t="n">
        <f aca="false">N(N907)+IF(AND(A908&lt;&gt;"",OR(Recherche!$C$4="",A908=Recherche!$C$4),OR(Recherche!$C$5="",B908&amp;""=Recherche!$C$5&amp;""),OR(Recherche!$C$6="",IFERROR(YEAR(L908),0)=Recherche!$C$6),OR(Recherche!$C$7="",ISNUMBER(SEARCH(Recherche!$C$7,H908))),OR(Recherche!$C$8="",J908=Recherche!$C$8),OR(Recherche!$C$9="",I908=Recherche!$C$9),OR(Recherche!$C$10="",G908&amp;""=Recherche!$C$10&amp;""),OR(Recherche!$C$11="",E908=Recherche!$C$11),OR(Recherche!$C$12="",ISNUMBER(SEARCH(Recherche!$C$12,M908&amp;" "&amp;F908)))),1,0)</f>
        <v>8</v>
      </c>
    </row>
    <row r="909" customFormat="false" ht="15" hidden="false" customHeight="false" outlineLevel="0" collapsed="false">
      <c r="A909" s="19"/>
      <c r="B909" s="19"/>
      <c r="C909" s="19"/>
      <c r="D909" s="19"/>
      <c r="E909" s="22"/>
      <c r="F909" s="19"/>
      <c r="G909" s="26" t="str">
        <f aca="false">IF(D909="","",IFERROR(VALUE(LEFT(D909,FIND(" |",D909&amp;" |")-1)),"?"))</f>
        <v/>
      </c>
      <c r="H909" s="27" t="str">
        <f aca="false">IF(G909="","",IF(G909="?","⚠ pub inconnue",IFERROR(INDEX(Pubs!$B$2:$B$3001,MATCH(G909,Pubs!$A$2:$A$3001,0))&amp;"","⚠ pub inconnue")))</f>
        <v/>
      </c>
      <c r="I909" s="27" t="str">
        <f aca="false">IF(OR(G909="",G909="?"),"",IFERROR(INDEX(Pubs!$C$2:$C$3001,MATCH(G909,Pubs!$A$2:$A$3001,0))&amp;"",""))</f>
        <v/>
      </c>
      <c r="J909" s="27" t="str">
        <f aca="false">IF(OR(G909="",G909="?"),"",IFERROR(INDEX(Pubs!$G$2:$G$3001,MATCH(G909,Pubs!$A$2:$A$3001,0))&amp;"",""))</f>
        <v/>
      </c>
      <c r="K909" s="28" t="str">
        <f aca="false">IF(OR(G909="",G909="?"),"",IFERROR(INDEX(Pubs!$E$2:$E$3001,MATCH(G909,Pubs!$A$2:$A$3001,0)),""))</f>
        <v/>
      </c>
      <c r="L909" s="29" t="str">
        <f aca="false">IF(A909="","",IFERROR(1/(1/INDEX(Numéros!$C$2:$C$3001,MATCH(A909&amp;"|"&amp;B909,Numéros!$F$2:$F$3001,0))),""))</f>
        <v/>
      </c>
      <c r="M909" s="27" t="str">
        <f aca="false">IF(OR(G909="",G909="?"),"",IFERROR(INDEX(Pubs!$D$2:$D$3001,MATCH(G909,Pubs!$A$2:$A$3001,0))&amp;"",""))</f>
        <v/>
      </c>
      <c r="N909" s="27" t="n">
        <f aca="false">N(N908)+IF(AND(A909&lt;&gt;"",OR(Recherche!$C$4="",A909=Recherche!$C$4),OR(Recherche!$C$5="",B909&amp;""=Recherche!$C$5&amp;""),OR(Recherche!$C$6="",IFERROR(YEAR(L909),0)=Recherche!$C$6),OR(Recherche!$C$7="",ISNUMBER(SEARCH(Recherche!$C$7,H909))),OR(Recherche!$C$8="",J909=Recherche!$C$8),OR(Recherche!$C$9="",I909=Recherche!$C$9),OR(Recherche!$C$10="",G909&amp;""=Recherche!$C$10&amp;""),OR(Recherche!$C$11="",E909=Recherche!$C$11),OR(Recherche!$C$12="",ISNUMBER(SEARCH(Recherche!$C$12,M909&amp;" "&amp;F909)))),1,0)</f>
        <v>8</v>
      </c>
    </row>
    <row r="910" customFormat="false" ht="15" hidden="false" customHeight="false" outlineLevel="0" collapsed="false">
      <c r="A910" s="19"/>
      <c r="B910" s="19"/>
      <c r="C910" s="19"/>
      <c r="D910" s="19"/>
      <c r="E910" s="22"/>
      <c r="F910" s="19"/>
      <c r="G910" s="26" t="str">
        <f aca="false">IF(D910="","",IFERROR(VALUE(LEFT(D910,FIND(" |",D910&amp;" |")-1)),"?"))</f>
        <v/>
      </c>
      <c r="H910" s="27" t="str">
        <f aca="false">IF(G910="","",IF(G910="?","⚠ pub inconnue",IFERROR(INDEX(Pubs!$B$2:$B$3001,MATCH(G910,Pubs!$A$2:$A$3001,0))&amp;"","⚠ pub inconnue")))</f>
        <v/>
      </c>
      <c r="I910" s="27" t="str">
        <f aca="false">IF(OR(G910="",G910="?"),"",IFERROR(INDEX(Pubs!$C$2:$C$3001,MATCH(G910,Pubs!$A$2:$A$3001,0))&amp;"",""))</f>
        <v/>
      </c>
      <c r="J910" s="27" t="str">
        <f aca="false">IF(OR(G910="",G910="?"),"",IFERROR(INDEX(Pubs!$G$2:$G$3001,MATCH(G910,Pubs!$A$2:$A$3001,0))&amp;"",""))</f>
        <v/>
      </c>
      <c r="K910" s="28" t="str">
        <f aca="false">IF(OR(G910="",G910="?"),"",IFERROR(INDEX(Pubs!$E$2:$E$3001,MATCH(G910,Pubs!$A$2:$A$3001,0)),""))</f>
        <v/>
      </c>
      <c r="L910" s="29" t="str">
        <f aca="false">IF(A910="","",IFERROR(1/(1/INDEX(Numéros!$C$2:$C$3001,MATCH(A910&amp;"|"&amp;B910,Numéros!$F$2:$F$3001,0))),""))</f>
        <v/>
      </c>
      <c r="M910" s="27" t="str">
        <f aca="false">IF(OR(G910="",G910="?"),"",IFERROR(INDEX(Pubs!$D$2:$D$3001,MATCH(G910,Pubs!$A$2:$A$3001,0))&amp;"",""))</f>
        <v/>
      </c>
      <c r="N910" s="27" t="n">
        <f aca="false">N(N909)+IF(AND(A910&lt;&gt;"",OR(Recherche!$C$4="",A910=Recherche!$C$4),OR(Recherche!$C$5="",B910&amp;""=Recherche!$C$5&amp;""),OR(Recherche!$C$6="",IFERROR(YEAR(L910),0)=Recherche!$C$6),OR(Recherche!$C$7="",ISNUMBER(SEARCH(Recherche!$C$7,H910))),OR(Recherche!$C$8="",J910=Recherche!$C$8),OR(Recherche!$C$9="",I910=Recherche!$C$9),OR(Recherche!$C$10="",G910&amp;""=Recherche!$C$10&amp;""),OR(Recherche!$C$11="",E910=Recherche!$C$11),OR(Recherche!$C$12="",ISNUMBER(SEARCH(Recherche!$C$12,M910&amp;" "&amp;F910)))),1,0)</f>
        <v>8</v>
      </c>
    </row>
    <row r="911" customFormat="false" ht="15" hidden="false" customHeight="false" outlineLevel="0" collapsed="false">
      <c r="A911" s="19"/>
      <c r="B911" s="19"/>
      <c r="C911" s="19"/>
      <c r="D911" s="19"/>
      <c r="E911" s="22"/>
      <c r="F911" s="19"/>
      <c r="G911" s="26" t="str">
        <f aca="false">IF(D911="","",IFERROR(VALUE(LEFT(D911,FIND(" |",D911&amp;" |")-1)),"?"))</f>
        <v/>
      </c>
      <c r="H911" s="27" t="str">
        <f aca="false">IF(G911="","",IF(G911="?","⚠ pub inconnue",IFERROR(INDEX(Pubs!$B$2:$B$3001,MATCH(G911,Pubs!$A$2:$A$3001,0))&amp;"","⚠ pub inconnue")))</f>
        <v/>
      </c>
      <c r="I911" s="27" t="str">
        <f aca="false">IF(OR(G911="",G911="?"),"",IFERROR(INDEX(Pubs!$C$2:$C$3001,MATCH(G911,Pubs!$A$2:$A$3001,0))&amp;"",""))</f>
        <v/>
      </c>
      <c r="J911" s="27" t="str">
        <f aca="false">IF(OR(G911="",G911="?"),"",IFERROR(INDEX(Pubs!$G$2:$G$3001,MATCH(G911,Pubs!$A$2:$A$3001,0))&amp;"",""))</f>
        <v/>
      </c>
      <c r="K911" s="28" t="str">
        <f aca="false">IF(OR(G911="",G911="?"),"",IFERROR(INDEX(Pubs!$E$2:$E$3001,MATCH(G911,Pubs!$A$2:$A$3001,0)),""))</f>
        <v/>
      </c>
      <c r="L911" s="29" t="str">
        <f aca="false">IF(A911="","",IFERROR(1/(1/INDEX(Numéros!$C$2:$C$3001,MATCH(A911&amp;"|"&amp;B911,Numéros!$F$2:$F$3001,0))),""))</f>
        <v/>
      </c>
      <c r="M911" s="27" t="str">
        <f aca="false">IF(OR(G911="",G911="?"),"",IFERROR(INDEX(Pubs!$D$2:$D$3001,MATCH(G911,Pubs!$A$2:$A$3001,0))&amp;"",""))</f>
        <v/>
      </c>
      <c r="N911" s="27" t="n">
        <f aca="false">N(N910)+IF(AND(A911&lt;&gt;"",OR(Recherche!$C$4="",A911=Recherche!$C$4),OR(Recherche!$C$5="",B911&amp;""=Recherche!$C$5&amp;""),OR(Recherche!$C$6="",IFERROR(YEAR(L911),0)=Recherche!$C$6),OR(Recherche!$C$7="",ISNUMBER(SEARCH(Recherche!$C$7,H911))),OR(Recherche!$C$8="",J911=Recherche!$C$8),OR(Recherche!$C$9="",I911=Recherche!$C$9),OR(Recherche!$C$10="",G911&amp;""=Recherche!$C$10&amp;""),OR(Recherche!$C$11="",E911=Recherche!$C$11),OR(Recherche!$C$12="",ISNUMBER(SEARCH(Recherche!$C$12,M911&amp;" "&amp;F911)))),1,0)</f>
        <v>8</v>
      </c>
    </row>
    <row r="912" customFormat="false" ht="15" hidden="false" customHeight="false" outlineLevel="0" collapsed="false">
      <c r="A912" s="19"/>
      <c r="B912" s="19"/>
      <c r="C912" s="19"/>
      <c r="D912" s="19"/>
      <c r="E912" s="22"/>
      <c r="F912" s="19"/>
      <c r="G912" s="26" t="str">
        <f aca="false">IF(D912="","",IFERROR(VALUE(LEFT(D912,FIND(" |",D912&amp;" |")-1)),"?"))</f>
        <v/>
      </c>
      <c r="H912" s="27" t="str">
        <f aca="false">IF(G912="","",IF(G912="?","⚠ pub inconnue",IFERROR(INDEX(Pubs!$B$2:$B$3001,MATCH(G912,Pubs!$A$2:$A$3001,0))&amp;"","⚠ pub inconnue")))</f>
        <v/>
      </c>
      <c r="I912" s="27" t="str">
        <f aca="false">IF(OR(G912="",G912="?"),"",IFERROR(INDEX(Pubs!$C$2:$C$3001,MATCH(G912,Pubs!$A$2:$A$3001,0))&amp;"",""))</f>
        <v/>
      </c>
      <c r="J912" s="27" t="str">
        <f aca="false">IF(OR(G912="",G912="?"),"",IFERROR(INDEX(Pubs!$G$2:$G$3001,MATCH(G912,Pubs!$A$2:$A$3001,0))&amp;"",""))</f>
        <v/>
      </c>
      <c r="K912" s="28" t="str">
        <f aca="false">IF(OR(G912="",G912="?"),"",IFERROR(INDEX(Pubs!$E$2:$E$3001,MATCH(G912,Pubs!$A$2:$A$3001,0)),""))</f>
        <v/>
      </c>
      <c r="L912" s="29" t="str">
        <f aca="false">IF(A912="","",IFERROR(1/(1/INDEX(Numéros!$C$2:$C$3001,MATCH(A912&amp;"|"&amp;B912,Numéros!$F$2:$F$3001,0))),""))</f>
        <v/>
      </c>
      <c r="M912" s="27" t="str">
        <f aca="false">IF(OR(G912="",G912="?"),"",IFERROR(INDEX(Pubs!$D$2:$D$3001,MATCH(G912,Pubs!$A$2:$A$3001,0))&amp;"",""))</f>
        <v/>
      </c>
      <c r="N912" s="27" t="n">
        <f aca="false">N(N911)+IF(AND(A912&lt;&gt;"",OR(Recherche!$C$4="",A912=Recherche!$C$4),OR(Recherche!$C$5="",B912&amp;""=Recherche!$C$5&amp;""),OR(Recherche!$C$6="",IFERROR(YEAR(L912),0)=Recherche!$C$6),OR(Recherche!$C$7="",ISNUMBER(SEARCH(Recherche!$C$7,H912))),OR(Recherche!$C$8="",J912=Recherche!$C$8),OR(Recherche!$C$9="",I912=Recherche!$C$9),OR(Recherche!$C$10="",G912&amp;""=Recherche!$C$10&amp;""),OR(Recherche!$C$11="",E912=Recherche!$C$11),OR(Recherche!$C$12="",ISNUMBER(SEARCH(Recherche!$C$12,M912&amp;" "&amp;F912)))),1,0)</f>
        <v>8</v>
      </c>
    </row>
    <row r="913" customFormat="false" ht="15" hidden="false" customHeight="false" outlineLevel="0" collapsed="false">
      <c r="A913" s="19"/>
      <c r="B913" s="19"/>
      <c r="C913" s="19"/>
      <c r="D913" s="19"/>
      <c r="E913" s="22"/>
      <c r="F913" s="19"/>
      <c r="G913" s="26" t="str">
        <f aca="false">IF(D913="","",IFERROR(VALUE(LEFT(D913,FIND(" |",D913&amp;" |")-1)),"?"))</f>
        <v/>
      </c>
      <c r="H913" s="27" t="str">
        <f aca="false">IF(G913="","",IF(G913="?","⚠ pub inconnue",IFERROR(INDEX(Pubs!$B$2:$B$3001,MATCH(G913,Pubs!$A$2:$A$3001,0))&amp;"","⚠ pub inconnue")))</f>
        <v/>
      </c>
      <c r="I913" s="27" t="str">
        <f aca="false">IF(OR(G913="",G913="?"),"",IFERROR(INDEX(Pubs!$C$2:$C$3001,MATCH(G913,Pubs!$A$2:$A$3001,0))&amp;"",""))</f>
        <v/>
      </c>
      <c r="J913" s="27" t="str">
        <f aca="false">IF(OR(G913="",G913="?"),"",IFERROR(INDEX(Pubs!$G$2:$G$3001,MATCH(G913,Pubs!$A$2:$A$3001,0))&amp;"",""))</f>
        <v/>
      </c>
      <c r="K913" s="28" t="str">
        <f aca="false">IF(OR(G913="",G913="?"),"",IFERROR(INDEX(Pubs!$E$2:$E$3001,MATCH(G913,Pubs!$A$2:$A$3001,0)),""))</f>
        <v/>
      </c>
      <c r="L913" s="29" t="str">
        <f aca="false">IF(A913="","",IFERROR(1/(1/INDEX(Numéros!$C$2:$C$3001,MATCH(A913&amp;"|"&amp;B913,Numéros!$F$2:$F$3001,0))),""))</f>
        <v/>
      </c>
      <c r="M913" s="27" t="str">
        <f aca="false">IF(OR(G913="",G913="?"),"",IFERROR(INDEX(Pubs!$D$2:$D$3001,MATCH(G913,Pubs!$A$2:$A$3001,0))&amp;"",""))</f>
        <v/>
      </c>
      <c r="N913" s="27" t="n">
        <f aca="false">N(N912)+IF(AND(A913&lt;&gt;"",OR(Recherche!$C$4="",A913=Recherche!$C$4),OR(Recherche!$C$5="",B913&amp;""=Recherche!$C$5&amp;""),OR(Recherche!$C$6="",IFERROR(YEAR(L913),0)=Recherche!$C$6),OR(Recherche!$C$7="",ISNUMBER(SEARCH(Recherche!$C$7,H913))),OR(Recherche!$C$8="",J913=Recherche!$C$8),OR(Recherche!$C$9="",I913=Recherche!$C$9),OR(Recherche!$C$10="",G913&amp;""=Recherche!$C$10&amp;""),OR(Recherche!$C$11="",E913=Recherche!$C$11),OR(Recherche!$C$12="",ISNUMBER(SEARCH(Recherche!$C$12,M913&amp;" "&amp;F913)))),1,0)</f>
        <v>8</v>
      </c>
    </row>
    <row r="914" customFormat="false" ht="15" hidden="false" customHeight="false" outlineLevel="0" collapsed="false">
      <c r="A914" s="19"/>
      <c r="B914" s="19"/>
      <c r="C914" s="19"/>
      <c r="D914" s="19"/>
      <c r="E914" s="22"/>
      <c r="F914" s="19"/>
      <c r="G914" s="26" t="str">
        <f aca="false">IF(D914="","",IFERROR(VALUE(LEFT(D914,FIND(" |",D914&amp;" |")-1)),"?"))</f>
        <v/>
      </c>
      <c r="H914" s="27" t="str">
        <f aca="false">IF(G914="","",IF(G914="?","⚠ pub inconnue",IFERROR(INDEX(Pubs!$B$2:$B$3001,MATCH(G914,Pubs!$A$2:$A$3001,0))&amp;"","⚠ pub inconnue")))</f>
        <v/>
      </c>
      <c r="I914" s="27" t="str">
        <f aca="false">IF(OR(G914="",G914="?"),"",IFERROR(INDEX(Pubs!$C$2:$C$3001,MATCH(G914,Pubs!$A$2:$A$3001,0))&amp;"",""))</f>
        <v/>
      </c>
      <c r="J914" s="27" t="str">
        <f aca="false">IF(OR(G914="",G914="?"),"",IFERROR(INDEX(Pubs!$G$2:$G$3001,MATCH(G914,Pubs!$A$2:$A$3001,0))&amp;"",""))</f>
        <v/>
      </c>
      <c r="K914" s="28" t="str">
        <f aca="false">IF(OR(G914="",G914="?"),"",IFERROR(INDEX(Pubs!$E$2:$E$3001,MATCH(G914,Pubs!$A$2:$A$3001,0)),""))</f>
        <v/>
      </c>
      <c r="L914" s="29" t="str">
        <f aca="false">IF(A914="","",IFERROR(1/(1/INDEX(Numéros!$C$2:$C$3001,MATCH(A914&amp;"|"&amp;B914,Numéros!$F$2:$F$3001,0))),""))</f>
        <v/>
      </c>
      <c r="M914" s="27" t="str">
        <f aca="false">IF(OR(G914="",G914="?"),"",IFERROR(INDEX(Pubs!$D$2:$D$3001,MATCH(G914,Pubs!$A$2:$A$3001,0))&amp;"",""))</f>
        <v/>
      </c>
      <c r="N914" s="27" t="n">
        <f aca="false">N(N913)+IF(AND(A914&lt;&gt;"",OR(Recherche!$C$4="",A914=Recherche!$C$4),OR(Recherche!$C$5="",B914&amp;""=Recherche!$C$5&amp;""),OR(Recherche!$C$6="",IFERROR(YEAR(L914),0)=Recherche!$C$6),OR(Recherche!$C$7="",ISNUMBER(SEARCH(Recherche!$C$7,H914))),OR(Recherche!$C$8="",J914=Recherche!$C$8),OR(Recherche!$C$9="",I914=Recherche!$C$9),OR(Recherche!$C$10="",G914&amp;""=Recherche!$C$10&amp;""),OR(Recherche!$C$11="",E914=Recherche!$C$11),OR(Recherche!$C$12="",ISNUMBER(SEARCH(Recherche!$C$12,M914&amp;" "&amp;F914)))),1,0)</f>
        <v>8</v>
      </c>
    </row>
    <row r="915" customFormat="false" ht="15" hidden="false" customHeight="false" outlineLevel="0" collapsed="false">
      <c r="A915" s="19"/>
      <c r="B915" s="19"/>
      <c r="C915" s="19"/>
      <c r="D915" s="19"/>
      <c r="E915" s="22"/>
      <c r="F915" s="19"/>
      <c r="G915" s="26" t="str">
        <f aca="false">IF(D915="","",IFERROR(VALUE(LEFT(D915,FIND(" |",D915&amp;" |")-1)),"?"))</f>
        <v/>
      </c>
      <c r="H915" s="27" t="str">
        <f aca="false">IF(G915="","",IF(G915="?","⚠ pub inconnue",IFERROR(INDEX(Pubs!$B$2:$B$3001,MATCH(G915,Pubs!$A$2:$A$3001,0))&amp;"","⚠ pub inconnue")))</f>
        <v/>
      </c>
      <c r="I915" s="27" t="str">
        <f aca="false">IF(OR(G915="",G915="?"),"",IFERROR(INDEX(Pubs!$C$2:$C$3001,MATCH(G915,Pubs!$A$2:$A$3001,0))&amp;"",""))</f>
        <v/>
      </c>
      <c r="J915" s="27" t="str">
        <f aca="false">IF(OR(G915="",G915="?"),"",IFERROR(INDEX(Pubs!$G$2:$G$3001,MATCH(G915,Pubs!$A$2:$A$3001,0))&amp;"",""))</f>
        <v/>
      </c>
      <c r="K915" s="28" t="str">
        <f aca="false">IF(OR(G915="",G915="?"),"",IFERROR(INDEX(Pubs!$E$2:$E$3001,MATCH(G915,Pubs!$A$2:$A$3001,0)),""))</f>
        <v/>
      </c>
      <c r="L915" s="29" t="str">
        <f aca="false">IF(A915="","",IFERROR(1/(1/INDEX(Numéros!$C$2:$C$3001,MATCH(A915&amp;"|"&amp;B915,Numéros!$F$2:$F$3001,0))),""))</f>
        <v/>
      </c>
      <c r="M915" s="27" t="str">
        <f aca="false">IF(OR(G915="",G915="?"),"",IFERROR(INDEX(Pubs!$D$2:$D$3001,MATCH(G915,Pubs!$A$2:$A$3001,0))&amp;"",""))</f>
        <v/>
      </c>
      <c r="N915" s="27" t="n">
        <f aca="false">N(N914)+IF(AND(A915&lt;&gt;"",OR(Recherche!$C$4="",A915=Recherche!$C$4),OR(Recherche!$C$5="",B915&amp;""=Recherche!$C$5&amp;""),OR(Recherche!$C$6="",IFERROR(YEAR(L915),0)=Recherche!$C$6),OR(Recherche!$C$7="",ISNUMBER(SEARCH(Recherche!$C$7,H915))),OR(Recherche!$C$8="",J915=Recherche!$C$8),OR(Recherche!$C$9="",I915=Recherche!$C$9),OR(Recherche!$C$10="",G915&amp;""=Recherche!$C$10&amp;""),OR(Recherche!$C$11="",E915=Recherche!$C$11),OR(Recherche!$C$12="",ISNUMBER(SEARCH(Recherche!$C$12,M915&amp;" "&amp;F915)))),1,0)</f>
        <v>8</v>
      </c>
    </row>
    <row r="916" customFormat="false" ht="15" hidden="false" customHeight="false" outlineLevel="0" collapsed="false">
      <c r="A916" s="19"/>
      <c r="B916" s="19"/>
      <c r="C916" s="19"/>
      <c r="D916" s="19"/>
      <c r="E916" s="22"/>
      <c r="F916" s="19"/>
      <c r="G916" s="26" t="str">
        <f aca="false">IF(D916="","",IFERROR(VALUE(LEFT(D916,FIND(" |",D916&amp;" |")-1)),"?"))</f>
        <v/>
      </c>
      <c r="H916" s="27" t="str">
        <f aca="false">IF(G916="","",IF(G916="?","⚠ pub inconnue",IFERROR(INDEX(Pubs!$B$2:$B$3001,MATCH(G916,Pubs!$A$2:$A$3001,0))&amp;"","⚠ pub inconnue")))</f>
        <v/>
      </c>
      <c r="I916" s="27" t="str">
        <f aca="false">IF(OR(G916="",G916="?"),"",IFERROR(INDEX(Pubs!$C$2:$C$3001,MATCH(G916,Pubs!$A$2:$A$3001,0))&amp;"",""))</f>
        <v/>
      </c>
      <c r="J916" s="27" t="str">
        <f aca="false">IF(OR(G916="",G916="?"),"",IFERROR(INDEX(Pubs!$G$2:$G$3001,MATCH(G916,Pubs!$A$2:$A$3001,0))&amp;"",""))</f>
        <v/>
      </c>
      <c r="K916" s="28" t="str">
        <f aca="false">IF(OR(G916="",G916="?"),"",IFERROR(INDEX(Pubs!$E$2:$E$3001,MATCH(G916,Pubs!$A$2:$A$3001,0)),""))</f>
        <v/>
      </c>
      <c r="L916" s="29" t="str">
        <f aca="false">IF(A916="","",IFERROR(1/(1/INDEX(Numéros!$C$2:$C$3001,MATCH(A916&amp;"|"&amp;B916,Numéros!$F$2:$F$3001,0))),""))</f>
        <v/>
      </c>
      <c r="M916" s="27" t="str">
        <f aca="false">IF(OR(G916="",G916="?"),"",IFERROR(INDEX(Pubs!$D$2:$D$3001,MATCH(G916,Pubs!$A$2:$A$3001,0))&amp;"",""))</f>
        <v/>
      </c>
      <c r="N916" s="27" t="n">
        <f aca="false">N(N915)+IF(AND(A916&lt;&gt;"",OR(Recherche!$C$4="",A916=Recherche!$C$4),OR(Recherche!$C$5="",B916&amp;""=Recherche!$C$5&amp;""),OR(Recherche!$C$6="",IFERROR(YEAR(L916),0)=Recherche!$C$6),OR(Recherche!$C$7="",ISNUMBER(SEARCH(Recherche!$C$7,H916))),OR(Recherche!$C$8="",J916=Recherche!$C$8),OR(Recherche!$C$9="",I916=Recherche!$C$9),OR(Recherche!$C$10="",G916&amp;""=Recherche!$C$10&amp;""),OR(Recherche!$C$11="",E916=Recherche!$C$11),OR(Recherche!$C$12="",ISNUMBER(SEARCH(Recherche!$C$12,M916&amp;" "&amp;F916)))),1,0)</f>
        <v>8</v>
      </c>
    </row>
    <row r="917" customFormat="false" ht="15" hidden="false" customHeight="false" outlineLevel="0" collapsed="false">
      <c r="A917" s="19"/>
      <c r="B917" s="19"/>
      <c r="C917" s="19"/>
      <c r="D917" s="19"/>
      <c r="E917" s="22"/>
      <c r="F917" s="19"/>
      <c r="G917" s="26" t="str">
        <f aca="false">IF(D917="","",IFERROR(VALUE(LEFT(D917,FIND(" |",D917&amp;" |")-1)),"?"))</f>
        <v/>
      </c>
      <c r="H917" s="27" t="str">
        <f aca="false">IF(G917="","",IF(G917="?","⚠ pub inconnue",IFERROR(INDEX(Pubs!$B$2:$B$3001,MATCH(G917,Pubs!$A$2:$A$3001,0))&amp;"","⚠ pub inconnue")))</f>
        <v/>
      </c>
      <c r="I917" s="27" t="str">
        <f aca="false">IF(OR(G917="",G917="?"),"",IFERROR(INDEX(Pubs!$C$2:$C$3001,MATCH(G917,Pubs!$A$2:$A$3001,0))&amp;"",""))</f>
        <v/>
      </c>
      <c r="J917" s="27" t="str">
        <f aca="false">IF(OR(G917="",G917="?"),"",IFERROR(INDEX(Pubs!$G$2:$G$3001,MATCH(G917,Pubs!$A$2:$A$3001,0))&amp;"",""))</f>
        <v/>
      </c>
      <c r="K917" s="28" t="str">
        <f aca="false">IF(OR(G917="",G917="?"),"",IFERROR(INDEX(Pubs!$E$2:$E$3001,MATCH(G917,Pubs!$A$2:$A$3001,0)),""))</f>
        <v/>
      </c>
      <c r="L917" s="29" t="str">
        <f aca="false">IF(A917="","",IFERROR(1/(1/INDEX(Numéros!$C$2:$C$3001,MATCH(A917&amp;"|"&amp;B917,Numéros!$F$2:$F$3001,0))),""))</f>
        <v/>
      </c>
      <c r="M917" s="27" t="str">
        <f aca="false">IF(OR(G917="",G917="?"),"",IFERROR(INDEX(Pubs!$D$2:$D$3001,MATCH(G917,Pubs!$A$2:$A$3001,0))&amp;"",""))</f>
        <v/>
      </c>
      <c r="N917" s="27" t="n">
        <f aca="false">N(N916)+IF(AND(A917&lt;&gt;"",OR(Recherche!$C$4="",A917=Recherche!$C$4),OR(Recherche!$C$5="",B917&amp;""=Recherche!$C$5&amp;""),OR(Recherche!$C$6="",IFERROR(YEAR(L917),0)=Recherche!$C$6),OR(Recherche!$C$7="",ISNUMBER(SEARCH(Recherche!$C$7,H917))),OR(Recherche!$C$8="",J917=Recherche!$C$8),OR(Recherche!$C$9="",I917=Recherche!$C$9),OR(Recherche!$C$10="",G917&amp;""=Recherche!$C$10&amp;""),OR(Recherche!$C$11="",E917=Recherche!$C$11),OR(Recherche!$C$12="",ISNUMBER(SEARCH(Recherche!$C$12,M917&amp;" "&amp;F917)))),1,0)</f>
        <v>8</v>
      </c>
    </row>
    <row r="918" customFormat="false" ht="15" hidden="false" customHeight="false" outlineLevel="0" collapsed="false">
      <c r="A918" s="19"/>
      <c r="B918" s="19"/>
      <c r="C918" s="19"/>
      <c r="D918" s="19"/>
      <c r="E918" s="22"/>
      <c r="F918" s="19"/>
      <c r="G918" s="26" t="str">
        <f aca="false">IF(D918="","",IFERROR(VALUE(LEFT(D918,FIND(" |",D918&amp;" |")-1)),"?"))</f>
        <v/>
      </c>
      <c r="H918" s="27" t="str">
        <f aca="false">IF(G918="","",IF(G918="?","⚠ pub inconnue",IFERROR(INDEX(Pubs!$B$2:$B$3001,MATCH(G918,Pubs!$A$2:$A$3001,0))&amp;"","⚠ pub inconnue")))</f>
        <v/>
      </c>
      <c r="I918" s="27" t="str">
        <f aca="false">IF(OR(G918="",G918="?"),"",IFERROR(INDEX(Pubs!$C$2:$C$3001,MATCH(G918,Pubs!$A$2:$A$3001,0))&amp;"",""))</f>
        <v/>
      </c>
      <c r="J918" s="27" t="str">
        <f aca="false">IF(OR(G918="",G918="?"),"",IFERROR(INDEX(Pubs!$G$2:$G$3001,MATCH(G918,Pubs!$A$2:$A$3001,0))&amp;"",""))</f>
        <v/>
      </c>
      <c r="K918" s="28" t="str">
        <f aca="false">IF(OR(G918="",G918="?"),"",IFERROR(INDEX(Pubs!$E$2:$E$3001,MATCH(G918,Pubs!$A$2:$A$3001,0)),""))</f>
        <v/>
      </c>
      <c r="L918" s="29" t="str">
        <f aca="false">IF(A918="","",IFERROR(1/(1/INDEX(Numéros!$C$2:$C$3001,MATCH(A918&amp;"|"&amp;B918,Numéros!$F$2:$F$3001,0))),""))</f>
        <v/>
      </c>
      <c r="M918" s="27" t="str">
        <f aca="false">IF(OR(G918="",G918="?"),"",IFERROR(INDEX(Pubs!$D$2:$D$3001,MATCH(G918,Pubs!$A$2:$A$3001,0))&amp;"",""))</f>
        <v/>
      </c>
      <c r="N918" s="27" t="n">
        <f aca="false">N(N917)+IF(AND(A918&lt;&gt;"",OR(Recherche!$C$4="",A918=Recherche!$C$4),OR(Recherche!$C$5="",B918&amp;""=Recherche!$C$5&amp;""),OR(Recherche!$C$6="",IFERROR(YEAR(L918),0)=Recherche!$C$6),OR(Recherche!$C$7="",ISNUMBER(SEARCH(Recherche!$C$7,H918))),OR(Recherche!$C$8="",J918=Recherche!$C$8),OR(Recherche!$C$9="",I918=Recherche!$C$9),OR(Recherche!$C$10="",G918&amp;""=Recherche!$C$10&amp;""),OR(Recherche!$C$11="",E918=Recherche!$C$11),OR(Recherche!$C$12="",ISNUMBER(SEARCH(Recherche!$C$12,M918&amp;" "&amp;F918)))),1,0)</f>
        <v>8</v>
      </c>
    </row>
    <row r="919" customFormat="false" ht="15" hidden="false" customHeight="false" outlineLevel="0" collapsed="false">
      <c r="A919" s="19"/>
      <c r="B919" s="19"/>
      <c r="C919" s="19"/>
      <c r="D919" s="19"/>
      <c r="E919" s="22"/>
      <c r="F919" s="19"/>
      <c r="G919" s="26" t="str">
        <f aca="false">IF(D919="","",IFERROR(VALUE(LEFT(D919,FIND(" |",D919&amp;" |")-1)),"?"))</f>
        <v/>
      </c>
      <c r="H919" s="27" t="str">
        <f aca="false">IF(G919="","",IF(G919="?","⚠ pub inconnue",IFERROR(INDEX(Pubs!$B$2:$B$3001,MATCH(G919,Pubs!$A$2:$A$3001,0))&amp;"","⚠ pub inconnue")))</f>
        <v/>
      </c>
      <c r="I919" s="27" t="str">
        <f aca="false">IF(OR(G919="",G919="?"),"",IFERROR(INDEX(Pubs!$C$2:$C$3001,MATCH(G919,Pubs!$A$2:$A$3001,0))&amp;"",""))</f>
        <v/>
      </c>
      <c r="J919" s="27" t="str">
        <f aca="false">IF(OR(G919="",G919="?"),"",IFERROR(INDEX(Pubs!$G$2:$G$3001,MATCH(G919,Pubs!$A$2:$A$3001,0))&amp;"",""))</f>
        <v/>
      </c>
      <c r="K919" s="28" t="str">
        <f aca="false">IF(OR(G919="",G919="?"),"",IFERROR(INDEX(Pubs!$E$2:$E$3001,MATCH(G919,Pubs!$A$2:$A$3001,0)),""))</f>
        <v/>
      </c>
      <c r="L919" s="29" t="str">
        <f aca="false">IF(A919="","",IFERROR(1/(1/INDEX(Numéros!$C$2:$C$3001,MATCH(A919&amp;"|"&amp;B919,Numéros!$F$2:$F$3001,0))),""))</f>
        <v/>
      </c>
      <c r="M919" s="27" t="str">
        <f aca="false">IF(OR(G919="",G919="?"),"",IFERROR(INDEX(Pubs!$D$2:$D$3001,MATCH(G919,Pubs!$A$2:$A$3001,0))&amp;"",""))</f>
        <v/>
      </c>
      <c r="N919" s="27" t="n">
        <f aca="false">N(N918)+IF(AND(A919&lt;&gt;"",OR(Recherche!$C$4="",A919=Recherche!$C$4),OR(Recherche!$C$5="",B919&amp;""=Recherche!$C$5&amp;""),OR(Recherche!$C$6="",IFERROR(YEAR(L919),0)=Recherche!$C$6),OR(Recherche!$C$7="",ISNUMBER(SEARCH(Recherche!$C$7,H919))),OR(Recherche!$C$8="",J919=Recherche!$C$8),OR(Recherche!$C$9="",I919=Recherche!$C$9),OR(Recherche!$C$10="",G919&amp;""=Recherche!$C$10&amp;""),OR(Recherche!$C$11="",E919=Recherche!$C$11),OR(Recherche!$C$12="",ISNUMBER(SEARCH(Recherche!$C$12,M919&amp;" "&amp;F919)))),1,0)</f>
        <v>8</v>
      </c>
    </row>
    <row r="920" customFormat="false" ht="15" hidden="false" customHeight="false" outlineLevel="0" collapsed="false">
      <c r="A920" s="19"/>
      <c r="B920" s="19"/>
      <c r="C920" s="19"/>
      <c r="D920" s="19"/>
      <c r="E920" s="22"/>
      <c r="F920" s="19"/>
      <c r="G920" s="26" t="str">
        <f aca="false">IF(D920="","",IFERROR(VALUE(LEFT(D920,FIND(" |",D920&amp;" |")-1)),"?"))</f>
        <v/>
      </c>
      <c r="H920" s="27" t="str">
        <f aca="false">IF(G920="","",IF(G920="?","⚠ pub inconnue",IFERROR(INDEX(Pubs!$B$2:$B$3001,MATCH(G920,Pubs!$A$2:$A$3001,0))&amp;"","⚠ pub inconnue")))</f>
        <v/>
      </c>
      <c r="I920" s="27" t="str">
        <f aca="false">IF(OR(G920="",G920="?"),"",IFERROR(INDEX(Pubs!$C$2:$C$3001,MATCH(G920,Pubs!$A$2:$A$3001,0))&amp;"",""))</f>
        <v/>
      </c>
      <c r="J920" s="27" t="str">
        <f aca="false">IF(OR(G920="",G920="?"),"",IFERROR(INDEX(Pubs!$G$2:$G$3001,MATCH(G920,Pubs!$A$2:$A$3001,0))&amp;"",""))</f>
        <v/>
      </c>
      <c r="K920" s="28" t="str">
        <f aca="false">IF(OR(G920="",G920="?"),"",IFERROR(INDEX(Pubs!$E$2:$E$3001,MATCH(G920,Pubs!$A$2:$A$3001,0)),""))</f>
        <v/>
      </c>
      <c r="L920" s="29" t="str">
        <f aca="false">IF(A920="","",IFERROR(1/(1/INDEX(Numéros!$C$2:$C$3001,MATCH(A920&amp;"|"&amp;B920,Numéros!$F$2:$F$3001,0))),""))</f>
        <v/>
      </c>
      <c r="M920" s="27" t="str">
        <f aca="false">IF(OR(G920="",G920="?"),"",IFERROR(INDEX(Pubs!$D$2:$D$3001,MATCH(G920,Pubs!$A$2:$A$3001,0))&amp;"",""))</f>
        <v/>
      </c>
      <c r="N920" s="27" t="n">
        <f aca="false">N(N919)+IF(AND(A920&lt;&gt;"",OR(Recherche!$C$4="",A920=Recherche!$C$4),OR(Recherche!$C$5="",B920&amp;""=Recherche!$C$5&amp;""),OR(Recherche!$C$6="",IFERROR(YEAR(L920),0)=Recherche!$C$6),OR(Recherche!$C$7="",ISNUMBER(SEARCH(Recherche!$C$7,H920))),OR(Recherche!$C$8="",J920=Recherche!$C$8),OR(Recherche!$C$9="",I920=Recherche!$C$9),OR(Recherche!$C$10="",G920&amp;""=Recherche!$C$10&amp;""),OR(Recherche!$C$11="",E920=Recherche!$C$11),OR(Recherche!$C$12="",ISNUMBER(SEARCH(Recherche!$C$12,M920&amp;" "&amp;F920)))),1,0)</f>
        <v>8</v>
      </c>
    </row>
    <row r="921" customFormat="false" ht="15" hidden="false" customHeight="false" outlineLevel="0" collapsed="false">
      <c r="A921" s="19"/>
      <c r="B921" s="19"/>
      <c r="C921" s="19"/>
      <c r="D921" s="19"/>
      <c r="E921" s="22"/>
      <c r="F921" s="19"/>
      <c r="G921" s="26" t="str">
        <f aca="false">IF(D921="","",IFERROR(VALUE(LEFT(D921,FIND(" |",D921&amp;" |")-1)),"?"))</f>
        <v/>
      </c>
      <c r="H921" s="27" t="str">
        <f aca="false">IF(G921="","",IF(G921="?","⚠ pub inconnue",IFERROR(INDEX(Pubs!$B$2:$B$3001,MATCH(G921,Pubs!$A$2:$A$3001,0))&amp;"","⚠ pub inconnue")))</f>
        <v/>
      </c>
      <c r="I921" s="27" t="str">
        <f aca="false">IF(OR(G921="",G921="?"),"",IFERROR(INDEX(Pubs!$C$2:$C$3001,MATCH(G921,Pubs!$A$2:$A$3001,0))&amp;"",""))</f>
        <v/>
      </c>
      <c r="J921" s="27" t="str">
        <f aca="false">IF(OR(G921="",G921="?"),"",IFERROR(INDEX(Pubs!$G$2:$G$3001,MATCH(G921,Pubs!$A$2:$A$3001,0))&amp;"",""))</f>
        <v/>
      </c>
      <c r="K921" s="28" t="str">
        <f aca="false">IF(OR(G921="",G921="?"),"",IFERROR(INDEX(Pubs!$E$2:$E$3001,MATCH(G921,Pubs!$A$2:$A$3001,0)),""))</f>
        <v/>
      </c>
      <c r="L921" s="29" t="str">
        <f aca="false">IF(A921="","",IFERROR(1/(1/INDEX(Numéros!$C$2:$C$3001,MATCH(A921&amp;"|"&amp;B921,Numéros!$F$2:$F$3001,0))),""))</f>
        <v/>
      </c>
      <c r="M921" s="27" t="str">
        <f aca="false">IF(OR(G921="",G921="?"),"",IFERROR(INDEX(Pubs!$D$2:$D$3001,MATCH(G921,Pubs!$A$2:$A$3001,0))&amp;"",""))</f>
        <v/>
      </c>
      <c r="N921" s="27" t="n">
        <f aca="false">N(N920)+IF(AND(A921&lt;&gt;"",OR(Recherche!$C$4="",A921=Recherche!$C$4),OR(Recherche!$C$5="",B921&amp;""=Recherche!$C$5&amp;""),OR(Recherche!$C$6="",IFERROR(YEAR(L921),0)=Recherche!$C$6),OR(Recherche!$C$7="",ISNUMBER(SEARCH(Recherche!$C$7,H921))),OR(Recherche!$C$8="",J921=Recherche!$C$8),OR(Recherche!$C$9="",I921=Recherche!$C$9),OR(Recherche!$C$10="",G921&amp;""=Recherche!$C$10&amp;""),OR(Recherche!$C$11="",E921=Recherche!$C$11),OR(Recherche!$C$12="",ISNUMBER(SEARCH(Recherche!$C$12,M921&amp;" "&amp;F921)))),1,0)</f>
        <v>8</v>
      </c>
    </row>
    <row r="922" customFormat="false" ht="15" hidden="false" customHeight="false" outlineLevel="0" collapsed="false">
      <c r="A922" s="19"/>
      <c r="B922" s="19"/>
      <c r="C922" s="19"/>
      <c r="D922" s="19"/>
      <c r="E922" s="22"/>
      <c r="F922" s="19"/>
      <c r="G922" s="26" t="str">
        <f aca="false">IF(D922="","",IFERROR(VALUE(LEFT(D922,FIND(" |",D922&amp;" |")-1)),"?"))</f>
        <v/>
      </c>
      <c r="H922" s="27" t="str">
        <f aca="false">IF(G922="","",IF(G922="?","⚠ pub inconnue",IFERROR(INDEX(Pubs!$B$2:$B$3001,MATCH(G922,Pubs!$A$2:$A$3001,0))&amp;"","⚠ pub inconnue")))</f>
        <v/>
      </c>
      <c r="I922" s="27" t="str">
        <f aca="false">IF(OR(G922="",G922="?"),"",IFERROR(INDEX(Pubs!$C$2:$C$3001,MATCH(G922,Pubs!$A$2:$A$3001,0))&amp;"",""))</f>
        <v/>
      </c>
      <c r="J922" s="27" t="str">
        <f aca="false">IF(OR(G922="",G922="?"),"",IFERROR(INDEX(Pubs!$G$2:$G$3001,MATCH(G922,Pubs!$A$2:$A$3001,0))&amp;"",""))</f>
        <v/>
      </c>
      <c r="K922" s="28" t="str">
        <f aca="false">IF(OR(G922="",G922="?"),"",IFERROR(INDEX(Pubs!$E$2:$E$3001,MATCH(G922,Pubs!$A$2:$A$3001,0)),""))</f>
        <v/>
      </c>
      <c r="L922" s="29" t="str">
        <f aca="false">IF(A922="","",IFERROR(1/(1/INDEX(Numéros!$C$2:$C$3001,MATCH(A922&amp;"|"&amp;B922,Numéros!$F$2:$F$3001,0))),""))</f>
        <v/>
      </c>
      <c r="M922" s="27" t="str">
        <f aca="false">IF(OR(G922="",G922="?"),"",IFERROR(INDEX(Pubs!$D$2:$D$3001,MATCH(G922,Pubs!$A$2:$A$3001,0))&amp;"",""))</f>
        <v/>
      </c>
      <c r="N922" s="27" t="n">
        <f aca="false">N(N921)+IF(AND(A922&lt;&gt;"",OR(Recherche!$C$4="",A922=Recherche!$C$4),OR(Recherche!$C$5="",B922&amp;""=Recherche!$C$5&amp;""),OR(Recherche!$C$6="",IFERROR(YEAR(L922),0)=Recherche!$C$6),OR(Recherche!$C$7="",ISNUMBER(SEARCH(Recherche!$C$7,H922))),OR(Recherche!$C$8="",J922=Recherche!$C$8),OR(Recherche!$C$9="",I922=Recherche!$C$9),OR(Recherche!$C$10="",G922&amp;""=Recherche!$C$10&amp;""),OR(Recherche!$C$11="",E922=Recherche!$C$11),OR(Recherche!$C$12="",ISNUMBER(SEARCH(Recherche!$C$12,M922&amp;" "&amp;F922)))),1,0)</f>
        <v>8</v>
      </c>
    </row>
    <row r="923" customFormat="false" ht="15" hidden="false" customHeight="false" outlineLevel="0" collapsed="false">
      <c r="A923" s="19"/>
      <c r="B923" s="19"/>
      <c r="C923" s="19"/>
      <c r="D923" s="19"/>
      <c r="E923" s="22"/>
      <c r="F923" s="19"/>
      <c r="G923" s="26" t="str">
        <f aca="false">IF(D923="","",IFERROR(VALUE(LEFT(D923,FIND(" |",D923&amp;" |")-1)),"?"))</f>
        <v/>
      </c>
      <c r="H923" s="27" t="str">
        <f aca="false">IF(G923="","",IF(G923="?","⚠ pub inconnue",IFERROR(INDEX(Pubs!$B$2:$B$3001,MATCH(G923,Pubs!$A$2:$A$3001,0))&amp;"","⚠ pub inconnue")))</f>
        <v/>
      </c>
      <c r="I923" s="27" t="str">
        <f aca="false">IF(OR(G923="",G923="?"),"",IFERROR(INDEX(Pubs!$C$2:$C$3001,MATCH(G923,Pubs!$A$2:$A$3001,0))&amp;"",""))</f>
        <v/>
      </c>
      <c r="J923" s="27" t="str">
        <f aca="false">IF(OR(G923="",G923="?"),"",IFERROR(INDEX(Pubs!$G$2:$G$3001,MATCH(G923,Pubs!$A$2:$A$3001,0))&amp;"",""))</f>
        <v/>
      </c>
      <c r="K923" s="28" t="str">
        <f aca="false">IF(OR(G923="",G923="?"),"",IFERROR(INDEX(Pubs!$E$2:$E$3001,MATCH(G923,Pubs!$A$2:$A$3001,0)),""))</f>
        <v/>
      </c>
      <c r="L923" s="29" t="str">
        <f aca="false">IF(A923="","",IFERROR(1/(1/INDEX(Numéros!$C$2:$C$3001,MATCH(A923&amp;"|"&amp;B923,Numéros!$F$2:$F$3001,0))),""))</f>
        <v/>
      </c>
      <c r="M923" s="27" t="str">
        <f aca="false">IF(OR(G923="",G923="?"),"",IFERROR(INDEX(Pubs!$D$2:$D$3001,MATCH(G923,Pubs!$A$2:$A$3001,0))&amp;"",""))</f>
        <v/>
      </c>
      <c r="N923" s="27" t="n">
        <f aca="false">N(N922)+IF(AND(A923&lt;&gt;"",OR(Recherche!$C$4="",A923=Recherche!$C$4),OR(Recherche!$C$5="",B923&amp;""=Recherche!$C$5&amp;""),OR(Recherche!$C$6="",IFERROR(YEAR(L923),0)=Recherche!$C$6),OR(Recherche!$C$7="",ISNUMBER(SEARCH(Recherche!$C$7,H923))),OR(Recherche!$C$8="",J923=Recherche!$C$8),OR(Recherche!$C$9="",I923=Recherche!$C$9),OR(Recherche!$C$10="",G923&amp;""=Recherche!$C$10&amp;""),OR(Recherche!$C$11="",E923=Recherche!$C$11),OR(Recherche!$C$12="",ISNUMBER(SEARCH(Recherche!$C$12,M923&amp;" "&amp;F923)))),1,0)</f>
        <v>8</v>
      </c>
    </row>
    <row r="924" customFormat="false" ht="15" hidden="false" customHeight="false" outlineLevel="0" collapsed="false">
      <c r="A924" s="19"/>
      <c r="B924" s="19"/>
      <c r="C924" s="19"/>
      <c r="D924" s="19"/>
      <c r="E924" s="22"/>
      <c r="F924" s="19"/>
      <c r="G924" s="26" t="str">
        <f aca="false">IF(D924="","",IFERROR(VALUE(LEFT(D924,FIND(" |",D924&amp;" |")-1)),"?"))</f>
        <v/>
      </c>
      <c r="H924" s="27" t="str">
        <f aca="false">IF(G924="","",IF(G924="?","⚠ pub inconnue",IFERROR(INDEX(Pubs!$B$2:$B$3001,MATCH(G924,Pubs!$A$2:$A$3001,0))&amp;"","⚠ pub inconnue")))</f>
        <v/>
      </c>
      <c r="I924" s="27" t="str">
        <f aca="false">IF(OR(G924="",G924="?"),"",IFERROR(INDEX(Pubs!$C$2:$C$3001,MATCH(G924,Pubs!$A$2:$A$3001,0))&amp;"",""))</f>
        <v/>
      </c>
      <c r="J924" s="27" t="str">
        <f aca="false">IF(OR(G924="",G924="?"),"",IFERROR(INDEX(Pubs!$G$2:$G$3001,MATCH(G924,Pubs!$A$2:$A$3001,0))&amp;"",""))</f>
        <v/>
      </c>
      <c r="K924" s="28" t="str">
        <f aca="false">IF(OR(G924="",G924="?"),"",IFERROR(INDEX(Pubs!$E$2:$E$3001,MATCH(G924,Pubs!$A$2:$A$3001,0)),""))</f>
        <v/>
      </c>
      <c r="L924" s="29" t="str">
        <f aca="false">IF(A924="","",IFERROR(1/(1/INDEX(Numéros!$C$2:$C$3001,MATCH(A924&amp;"|"&amp;B924,Numéros!$F$2:$F$3001,0))),""))</f>
        <v/>
      </c>
      <c r="M924" s="27" t="str">
        <f aca="false">IF(OR(G924="",G924="?"),"",IFERROR(INDEX(Pubs!$D$2:$D$3001,MATCH(G924,Pubs!$A$2:$A$3001,0))&amp;"",""))</f>
        <v/>
      </c>
      <c r="N924" s="27" t="n">
        <f aca="false">N(N923)+IF(AND(A924&lt;&gt;"",OR(Recherche!$C$4="",A924=Recherche!$C$4),OR(Recherche!$C$5="",B924&amp;""=Recherche!$C$5&amp;""),OR(Recherche!$C$6="",IFERROR(YEAR(L924),0)=Recherche!$C$6),OR(Recherche!$C$7="",ISNUMBER(SEARCH(Recherche!$C$7,H924))),OR(Recherche!$C$8="",J924=Recherche!$C$8),OR(Recherche!$C$9="",I924=Recherche!$C$9),OR(Recherche!$C$10="",G924&amp;""=Recherche!$C$10&amp;""),OR(Recherche!$C$11="",E924=Recherche!$C$11),OR(Recherche!$C$12="",ISNUMBER(SEARCH(Recherche!$C$12,M924&amp;" "&amp;F924)))),1,0)</f>
        <v>8</v>
      </c>
    </row>
    <row r="925" customFormat="false" ht="15" hidden="false" customHeight="false" outlineLevel="0" collapsed="false">
      <c r="A925" s="19"/>
      <c r="B925" s="19"/>
      <c r="C925" s="19"/>
      <c r="D925" s="19"/>
      <c r="E925" s="22"/>
      <c r="F925" s="19"/>
      <c r="G925" s="26" t="str">
        <f aca="false">IF(D925="","",IFERROR(VALUE(LEFT(D925,FIND(" |",D925&amp;" |")-1)),"?"))</f>
        <v/>
      </c>
      <c r="H925" s="27" t="str">
        <f aca="false">IF(G925="","",IF(G925="?","⚠ pub inconnue",IFERROR(INDEX(Pubs!$B$2:$B$3001,MATCH(G925,Pubs!$A$2:$A$3001,0))&amp;"","⚠ pub inconnue")))</f>
        <v/>
      </c>
      <c r="I925" s="27" t="str">
        <f aca="false">IF(OR(G925="",G925="?"),"",IFERROR(INDEX(Pubs!$C$2:$C$3001,MATCH(G925,Pubs!$A$2:$A$3001,0))&amp;"",""))</f>
        <v/>
      </c>
      <c r="J925" s="27" t="str">
        <f aca="false">IF(OR(G925="",G925="?"),"",IFERROR(INDEX(Pubs!$G$2:$G$3001,MATCH(G925,Pubs!$A$2:$A$3001,0))&amp;"",""))</f>
        <v/>
      </c>
      <c r="K925" s="28" t="str">
        <f aca="false">IF(OR(G925="",G925="?"),"",IFERROR(INDEX(Pubs!$E$2:$E$3001,MATCH(G925,Pubs!$A$2:$A$3001,0)),""))</f>
        <v/>
      </c>
      <c r="L925" s="29" t="str">
        <f aca="false">IF(A925="","",IFERROR(1/(1/INDEX(Numéros!$C$2:$C$3001,MATCH(A925&amp;"|"&amp;B925,Numéros!$F$2:$F$3001,0))),""))</f>
        <v/>
      </c>
      <c r="M925" s="27" t="str">
        <f aca="false">IF(OR(G925="",G925="?"),"",IFERROR(INDEX(Pubs!$D$2:$D$3001,MATCH(G925,Pubs!$A$2:$A$3001,0))&amp;"",""))</f>
        <v/>
      </c>
      <c r="N925" s="27" t="n">
        <f aca="false">N(N924)+IF(AND(A925&lt;&gt;"",OR(Recherche!$C$4="",A925=Recherche!$C$4),OR(Recherche!$C$5="",B925&amp;""=Recherche!$C$5&amp;""),OR(Recherche!$C$6="",IFERROR(YEAR(L925),0)=Recherche!$C$6),OR(Recherche!$C$7="",ISNUMBER(SEARCH(Recherche!$C$7,H925))),OR(Recherche!$C$8="",J925=Recherche!$C$8),OR(Recherche!$C$9="",I925=Recherche!$C$9),OR(Recherche!$C$10="",G925&amp;""=Recherche!$C$10&amp;""),OR(Recherche!$C$11="",E925=Recherche!$C$11),OR(Recherche!$C$12="",ISNUMBER(SEARCH(Recherche!$C$12,M925&amp;" "&amp;F925)))),1,0)</f>
        <v>8</v>
      </c>
    </row>
    <row r="926" customFormat="false" ht="15" hidden="false" customHeight="false" outlineLevel="0" collapsed="false">
      <c r="A926" s="19"/>
      <c r="B926" s="19"/>
      <c r="C926" s="19"/>
      <c r="D926" s="19"/>
      <c r="E926" s="22"/>
      <c r="F926" s="19"/>
      <c r="G926" s="26" t="str">
        <f aca="false">IF(D926="","",IFERROR(VALUE(LEFT(D926,FIND(" |",D926&amp;" |")-1)),"?"))</f>
        <v/>
      </c>
      <c r="H926" s="27" t="str">
        <f aca="false">IF(G926="","",IF(G926="?","⚠ pub inconnue",IFERROR(INDEX(Pubs!$B$2:$B$3001,MATCH(G926,Pubs!$A$2:$A$3001,0))&amp;"","⚠ pub inconnue")))</f>
        <v/>
      </c>
      <c r="I926" s="27" t="str">
        <f aca="false">IF(OR(G926="",G926="?"),"",IFERROR(INDEX(Pubs!$C$2:$C$3001,MATCH(G926,Pubs!$A$2:$A$3001,0))&amp;"",""))</f>
        <v/>
      </c>
      <c r="J926" s="27" t="str">
        <f aca="false">IF(OR(G926="",G926="?"),"",IFERROR(INDEX(Pubs!$G$2:$G$3001,MATCH(G926,Pubs!$A$2:$A$3001,0))&amp;"",""))</f>
        <v/>
      </c>
      <c r="K926" s="28" t="str">
        <f aca="false">IF(OR(G926="",G926="?"),"",IFERROR(INDEX(Pubs!$E$2:$E$3001,MATCH(G926,Pubs!$A$2:$A$3001,0)),""))</f>
        <v/>
      </c>
      <c r="L926" s="29" t="str">
        <f aca="false">IF(A926="","",IFERROR(1/(1/INDEX(Numéros!$C$2:$C$3001,MATCH(A926&amp;"|"&amp;B926,Numéros!$F$2:$F$3001,0))),""))</f>
        <v/>
      </c>
      <c r="M926" s="27" t="str">
        <f aca="false">IF(OR(G926="",G926="?"),"",IFERROR(INDEX(Pubs!$D$2:$D$3001,MATCH(G926,Pubs!$A$2:$A$3001,0))&amp;"",""))</f>
        <v/>
      </c>
      <c r="N926" s="27" t="n">
        <f aca="false">N(N925)+IF(AND(A926&lt;&gt;"",OR(Recherche!$C$4="",A926=Recherche!$C$4),OR(Recherche!$C$5="",B926&amp;""=Recherche!$C$5&amp;""),OR(Recherche!$C$6="",IFERROR(YEAR(L926),0)=Recherche!$C$6),OR(Recherche!$C$7="",ISNUMBER(SEARCH(Recherche!$C$7,H926))),OR(Recherche!$C$8="",J926=Recherche!$C$8),OR(Recherche!$C$9="",I926=Recherche!$C$9),OR(Recherche!$C$10="",G926&amp;""=Recherche!$C$10&amp;""),OR(Recherche!$C$11="",E926=Recherche!$C$11),OR(Recherche!$C$12="",ISNUMBER(SEARCH(Recherche!$C$12,M926&amp;" "&amp;F926)))),1,0)</f>
        <v>8</v>
      </c>
    </row>
    <row r="927" customFormat="false" ht="15" hidden="false" customHeight="false" outlineLevel="0" collapsed="false">
      <c r="A927" s="19"/>
      <c r="B927" s="19"/>
      <c r="C927" s="19"/>
      <c r="D927" s="19"/>
      <c r="E927" s="22"/>
      <c r="F927" s="19"/>
      <c r="G927" s="26" t="str">
        <f aca="false">IF(D927="","",IFERROR(VALUE(LEFT(D927,FIND(" |",D927&amp;" |")-1)),"?"))</f>
        <v/>
      </c>
      <c r="H927" s="27" t="str">
        <f aca="false">IF(G927="","",IF(G927="?","⚠ pub inconnue",IFERROR(INDEX(Pubs!$B$2:$B$3001,MATCH(G927,Pubs!$A$2:$A$3001,0))&amp;"","⚠ pub inconnue")))</f>
        <v/>
      </c>
      <c r="I927" s="27" t="str">
        <f aca="false">IF(OR(G927="",G927="?"),"",IFERROR(INDEX(Pubs!$C$2:$C$3001,MATCH(G927,Pubs!$A$2:$A$3001,0))&amp;"",""))</f>
        <v/>
      </c>
      <c r="J927" s="27" t="str">
        <f aca="false">IF(OR(G927="",G927="?"),"",IFERROR(INDEX(Pubs!$G$2:$G$3001,MATCH(G927,Pubs!$A$2:$A$3001,0))&amp;"",""))</f>
        <v/>
      </c>
      <c r="K927" s="28" t="str">
        <f aca="false">IF(OR(G927="",G927="?"),"",IFERROR(INDEX(Pubs!$E$2:$E$3001,MATCH(G927,Pubs!$A$2:$A$3001,0)),""))</f>
        <v/>
      </c>
      <c r="L927" s="29" t="str">
        <f aca="false">IF(A927="","",IFERROR(1/(1/INDEX(Numéros!$C$2:$C$3001,MATCH(A927&amp;"|"&amp;B927,Numéros!$F$2:$F$3001,0))),""))</f>
        <v/>
      </c>
      <c r="M927" s="27" t="str">
        <f aca="false">IF(OR(G927="",G927="?"),"",IFERROR(INDEX(Pubs!$D$2:$D$3001,MATCH(G927,Pubs!$A$2:$A$3001,0))&amp;"",""))</f>
        <v/>
      </c>
      <c r="N927" s="27" t="n">
        <f aca="false">N(N926)+IF(AND(A927&lt;&gt;"",OR(Recherche!$C$4="",A927=Recherche!$C$4),OR(Recherche!$C$5="",B927&amp;""=Recherche!$C$5&amp;""),OR(Recherche!$C$6="",IFERROR(YEAR(L927),0)=Recherche!$C$6),OR(Recherche!$C$7="",ISNUMBER(SEARCH(Recherche!$C$7,H927))),OR(Recherche!$C$8="",J927=Recherche!$C$8),OR(Recherche!$C$9="",I927=Recherche!$C$9),OR(Recherche!$C$10="",G927&amp;""=Recherche!$C$10&amp;""),OR(Recherche!$C$11="",E927=Recherche!$C$11),OR(Recherche!$C$12="",ISNUMBER(SEARCH(Recherche!$C$12,M927&amp;" "&amp;F927)))),1,0)</f>
        <v>8</v>
      </c>
    </row>
    <row r="928" customFormat="false" ht="15" hidden="false" customHeight="false" outlineLevel="0" collapsed="false">
      <c r="A928" s="19"/>
      <c r="B928" s="19"/>
      <c r="C928" s="19"/>
      <c r="D928" s="19"/>
      <c r="E928" s="22"/>
      <c r="F928" s="19"/>
      <c r="G928" s="26" t="str">
        <f aca="false">IF(D928="","",IFERROR(VALUE(LEFT(D928,FIND(" |",D928&amp;" |")-1)),"?"))</f>
        <v/>
      </c>
      <c r="H928" s="27" t="str">
        <f aca="false">IF(G928="","",IF(G928="?","⚠ pub inconnue",IFERROR(INDEX(Pubs!$B$2:$B$3001,MATCH(G928,Pubs!$A$2:$A$3001,0))&amp;"","⚠ pub inconnue")))</f>
        <v/>
      </c>
      <c r="I928" s="27" t="str">
        <f aca="false">IF(OR(G928="",G928="?"),"",IFERROR(INDEX(Pubs!$C$2:$C$3001,MATCH(G928,Pubs!$A$2:$A$3001,0))&amp;"",""))</f>
        <v/>
      </c>
      <c r="J928" s="27" t="str">
        <f aca="false">IF(OR(G928="",G928="?"),"",IFERROR(INDEX(Pubs!$G$2:$G$3001,MATCH(G928,Pubs!$A$2:$A$3001,0))&amp;"",""))</f>
        <v/>
      </c>
      <c r="K928" s="28" t="str">
        <f aca="false">IF(OR(G928="",G928="?"),"",IFERROR(INDEX(Pubs!$E$2:$E$3001,MATCH(G928,Pubs!$A$2:$A$3001,0)),""))</f>
        <v/>
      </c>
      <c r="L928" s="29" t="str">
        <f aca="false">IF(A928="","",IFERROR(1/(1/INDEX(Numéros!$C$2:$C$3001,MATCH(A928&amp;"|"&amp;B928,Numéros!$F$2:$F$3001,0))),""))</f>
        <v/>
      </c>
      <c r="M928" s="27" t="str">
        <f aca="false">IF(OR(G928="",G928="?"),"",IFERROR(INDEX(Pubs!$D$2:$D$3001,MATCH(G928,Pubs!$A$2:$A$3001,0))&amp;"",""))</f>
        <v/>
      </c>
      <c r="N928" s="27" t="n">
        <f aca="false">N(N927)+IF(AND(A928&lt;&gt;"",OR(Recherche!$C$4="",A928=Recherche!$C$4),OR(Recherche!$C$5="",B928&amp;""=Recherche!$C$5&amp;""),OR(Recherche!$C$6="",IFERROR(YEAR(L928),0)=Recherche!$C$6),OR(Recherche!$C$7="",ISNUMBER(SEARCH(Recherche!$C$7,H928))),OR(Recherche!$C$8="",J928=Recherche!$C$8),OR(Recherche!$C$9="",I928=Recherche!$C$9),OR(Recherche!$C$10="",G928&amp;""=Recherche!$C$10&amp;""),OR(Recherche!$C$11="",E928=Recherche!$C$11),OR(Recherche!$C$12="",ISNUMBER(SEARCH(Recherche!$C$12,M928&amp;" "&amp;F928)))),1,0)</f>
        <v>8</v>
      </c>
    </row>
    <row r="929" customFormat="false" ht="15" hidden="false" customHeight="false" outlineLevel="0" collapsed="false">
      <c r="A929" s="19"/>
      <c r="B929" s="19"/>
      <c r="C929" s="19"/>
      <c r="D929" s="19"/>
      <c r="E929" s="22"/>
      <c r="F929" s="19"/>
      <c r="G929" s="26" t="str">
        <f aca="false">IF(D929="","",IFERROR(VALUE(LEFT(D929,FIND(" |",D929&amp;" |")-1)),"?"))</f>
        <v/>
      </c>
      <c r="H929" s="27" t="str">
        <f aca="false">IF(G929="","",IF(G929="?","⚠ pub inconnue",IFERROR(INDEX(Pubs!$B$2:$B$3001,MATCH(G929,Pubs!$A$2:$A$3001,0))&amp;"","⚠ pub inconnue")))</f>
        <v/>
      </c>
      <c r="I929" s="27" t="str">
        <f aca="false">IF(OR(G929="",G929="?"),"",IFERROR(INDEX(Pubs!$C$2:$C$3001,MATCH(G929,Pubs!$A$2:$A$3001,0))&amp;"",""))</f>
        <v/>
      </c>
      <c r="J929" s="27" t="str">
        <f aca="false">IF(OR(G929="",G929="?"),"",IFERROR(INDEX(Pubs!$G$2:$G$3001,MATCH(G929,Pubs!$A$2:$A$3001,0))&amp;"",""))</f>
        <v/>
      </c>
      <c r="K929" s="28" t="str">
        <f aca="false">IF(OR(G929="",G929="?"),"",IFERROR(INDEX(Pubs!$E$2:$E$3001,MATCH(G929,Pubs!$A$2:$A$3001,0)),""))</f>
        <v/>
      </c>
      <c r="L929" s="29" t="str">
        <f aca="false">IF(A929="","",IFERROR(1/(1/INDEX(Numéros!$C$2:$C$3001,MATCH(A929&amp;"|"&amp;B929,Numéros!$F$2:$F$3001,0))),""))</f>
        <v/>
      </c>
      <c r="M929" s="27" t="str">
        <f aca="false">IF(OR(G929="",G929="?"),"",IFERROR(INDEX(Pubs!$D$2:$D$3001,MATCH(G929,Pubs!$A$2:$A$3001,0))&amp;"",""))</f>
        <v/>
      </c>
      <c r="N929" s="27" t="n">
        <f aca="false">N(N928)+IF(AND(A929&lt;&gt;"",OR(Recherche!$C$4="",A929=Recherche!$C$4),OR(Recherche!$C$5="",B929&amp;""=Recherche!$C$5&amp;""),OR(Recherche!$C$6="",IFERROR(YEAR(L929),0)=Recherche!$C$6),OR(Recherche!$C$7="",ISNUMBER(SEARCH(Recherche!$C$7,H929))),OR(Recherche!$C$8="",J929=Recherche!$C$8),OR(Recherche!$C$9="",I929=Recherche!$C$9),OR(Recherche!$C$10="",G929&amp;""=Recherche!$C$10&amp;""),OR(Recherche!$C$11="",E929=Recherche!$C$11),OR(Recherche!$C$12="",ISNUMBER(SEARCH(Recherche!$C$12,M929&amp;" "&amp;F929)))),1,0)</f>
        <v>8</v>
      </c>
    </row>
    <row r="930" customFormat="false" ht="15" hidden="false" customHeight="false" outlineLevel="0" collapsed="false">
      <c r="A930" s="19"/>
      <c r="B930" s="19"/>
      <c r="C930" s="19"/>
      <c r="D930" s="19"/>
      <c r="E930" s="22"/>
      <c r="F930" s="19"/>
      <c r="G930" s="26" t="str">
        <f aca="false">IF(D930="","",IFERROR(VALUE(LEFT(D930,FIND(" |",D930&amp;" |")-1)),"?"))</f>
        <v/>
      </c>
      <c r="H930" s="27" t="str">
        <f aca="false">IF(G930="","",IF(G930="?","⚠ pub inconnue",IFERROR(INDEX(Pubs!$B$2:$B$3001,MATCH(G930,Pubs!$A$2:$A$3001,0))&amp;"","⚠ pub inconnue")))</f>
        <v/>
      </c>
      <c r="I930" s="27" t="str">
        <f aca="false">IF(OR(G930="",G930="?"),"",IFERROR(INDEX(Pubs!$C$2:$C$3001,MATCH(G930,Pubs!$A$2:$A$3001,0))&amp;"",""))</f>
        <v/>
      </c>
      <c r="J930" s="27" t="str">
        <f aca="false">IF(OR(G930="",G930="?"),"",IFERROR(INDEX(Pubs!$G$2:$G$3001,MATCH(G930,Pubs!$A$2:$A$3001,0))&amp;"",""))</f>
        <v/>
      </c>
      <c r="K930" s="28" t="str">
        <f aca="false">IF(OR(G930="",G930="?"),"",IFERROR(INDEX(Pubs!$E$2:$E$3001,MATCH(G930,Pubs!$A$2:$A$3001,0)),""))</f>
        <v/>
      </c>
      <c r="L930" s="29" t="str">
        <f aca="false">IF(A930="","",IFERROR(1/(1/INDEX(Numéros!$C$2:$C$3001,MATCH(A930&amp;"|"&amp;B930,Numéros!$F$2:$F$3001,0))),""))</f>
        <v/>
      </c>
      <c r="M930" s="27" t="str">
        <f aca="false">IF(OR(G930="",G930="?"),"",IFERROR(INDEX(Pubs!$D$2:$D$3001,MATCH(G930,Pubs!$A$2:$A$3001,0))&amp;"",""))</f>
        <v/>
      </c>
      <c r="N930" s="27" t="n">
        <f aca="false">N(N929)+IF(AND(A930&lt;&gt;"",OR(Recherche!$C$4="",A930=Recherche!$C$4),OR(Recherche!$C$5="",B930&amp;""=Recherche!$C$5&amp;""),OR(Recherche!$C$6="",IFERROR(YEAR(L930),0)=Recherche!$C$6),OR(Recherche!$C$7="",ISNUMBER(SEARCH(Recherche!$C$7,H930))),OR(Recherche!$C$8="",J930=Recherche!$C$8),OR(Recherche!$C$9="",I930=Recherche!$C$9),OR(Recherche!$C$10="",G930&amp;""=Recherche!$C$10&amp;""),OR(Recherche!$C$11="",E930=Recherche!$C$11),OR(Recherche!$C$12="",ISNUMBER(SEARCH(Recherche!$C$12,M930&amp;" "&amp;F930)))),1,0)</f>
        <v>8</v>
      </c>
    </row>
    <row r="931" customFormat="false" ht="15" hidden="false" customHeight="false" outlineLevel="0" collapsed="false">
      <c r="A931" s="19"/>
      <c r="B931" s="19"/>
      <c r="C931" s="19"/>
      <c r="D931" s="19"/>
      <c r="E931" s="22"/>
      <c r="F931" s="19"/>
      <c r="G931" s="26" t="str">
        <f aca="false">IF(D931="","",IFERROR(VALUE(LEFT(D931,FIND(" |",D931&amp;" |")-1)),"?"))</f>
        <v/>
      </c>
      <c r="H931" s="27" t="str">
        <f aca="false">IF(G931="","",IF(G931="?","⚠ pub inconnue",IFERROR(INDEX(Pubs!$B$2:$B$3001,MATCH(G931,Pubs!$A$2:$A$3001,0))&amp;"","⚠ pub inconnue")))</f>
        <v/>
      </c>
      <c r="I931" s="27" t="str">
        <f aca="false">IF(OR(G931="",G931="?"),"",IFERROR(INDEX(Pubs!$C$2:$C$3001,MATCH(G931,Pubs!$A$2:$A$3001,0))&amp;"",""))</f>
        <v/>
      </c>
      <c r="J931" s="27" t="str">
        <f aca="false">IF(OR(G931="",G931="?"),"",IFERROR(INDEX(Pubs!$G$2:$G$3001,MATCH(G931,Pubs!$A$2:$A$3001,0))&amp;"",""))</f>
        <v/>
      </c>
      <c r="K931" s="28" t="str">
        <f aca="false">IF(OR(G931="",G931="?"),"",IFERROR(INDEX(Pubs!$E$2:$E$3001,MATCH(G931,Pubs!$A$2:$A$3001,0)),""))</f>
        <v/>
      </c>
      <c r="L931" s="29" t="str">
        <f aca="false">IF(A931="","",IFERROR(1/(1/INDEX(Numéros!$C$2:$C$3001,MATCH(A931&amp;"|"&amp;B931,Numéros!$F$2:$F$3001,0))),""))</f>
        <v/>
      </c>
      <c r="M931" s="27" t="str">
        <f aca="false">IF(OR(G931="",G931="?"),"",IFERROR(INDEX(Pubs!$D$2:$D$3001,MATCH(G931,Pubs!$A$2:$A$3001,0))&amp;"",""))</f>
        <v/>
      </c>
      <c r="N931" s="27" t="n">
        <f aca="false">N(N930)+IF(AND(A931&lt;&gt;"",OR(Recherche!$C$4="",A931=Recherche!$C$4),OR(Recherche!$C$5="",B931&amp;""=Recherche!$C$5&amp;""),OR(Recherche!$C$6="",IFERROR(YEAR(L931),0)=Recherche!$C$6),OR(Recherche!$C$7="",ISNUMBER(SEARCH(Recherche!$C$7,H931))),OR(Recherche!$C$8="",J931=Recherche!$C$8),OR(Recherche!$C$9="",I931=Recherche!$C$9),OR(Recherche!$C$10="",G931&amp;""=Recherche!$C$10&amp;""),OR(Recherche!$C$11="",E931=Recherche!$C$11),OR(Recherche!$C$12="",ISNUMBER(SEARCH(Recherche!$C$12,M931&amp;" "&amp;F931)))),1,0)</f>
        <v>8</v>
      </c>
    </row>
    <row r="932" customFormat="false" ht="15" hidden="false" customHeight="false" outlineLevel="0" collapsed="false">
      <c r="A932" s="19"/>
      <c r="B932" s="19"/>
      <c r="C932" s="19"/>
      <c r="D932" s="19"/>
      <c r="E932" s="22"/>
      <c r="F932" s="19"/>
      <c r="G932" s="26" t="str">
        <f aca="false">IF(D932="","",IFERROR(VALUE(LEFT(D932,FIND(" |",D932&amp;" |")-1)),"?"))</f>
        <v/>
      </c>
      <c r="H932" s="27" t="str">
        <f aca="false">IF(G932="","",IF(G932="?","⚠ pub inconnue",IFERROR(INDEX(Pubs!$B$2:$B$3001,MATCH(G932,Pubs!$A$2:$A$3001,0))&amp;"","⚠ pub inconnue")))</f>
        <v/>
      </c>
      <c r="I932" s="27" t="str">
        <f aca="false">IF(OR(G932="",G932="?"),"",IFERROR(INDEX(Pubs!$C$2:$C$3001,MATCH(G932,Pubs!$A$2:$A$3001,0))&amp;"",""))</f>
        <v/>
      </c>
      <c r="J932" s="27" t="str">
        <f aca="false">IF(OR(G932="",G932="?"),"",IFERROR(INDEX(Pubs!$G$2:$G$3001,MATCH(G932,Pubs!$A$2:$A$3001,0))&amp;"",""))</f>
        <v/>
      </c>
      <c r="K932" s="28" t="str">
        <f aca="false">IF(OR(G932="",G932="?"),"",IFERROR(INDEX(Pubs!$E$2:$E$3001,MATCH(G932,Pubs!$A$2:$A$3001,0)),""))</f>
        <v/>
      </c>
      <c r="L932" s="29" t="str">
        <f aca="false">IF(A932="","",IFERROR(1/(1/INDEX(Numéros!$C$2:$C$3001,MATCH(A932&amp;"|"&amp;B932,Numéros!$F$2:$F$3001,0))),""))</f>
        <v/>
      </c>
      <c r="M932" s="27" t="str">
        <f aca="false">IF(OR(G932="",G932="?"),"",IFERROR(INDEX(Pubs!$D$2:$D$3001,MATCH(G932,Pubs!$A$2:$A$3001,0))&amp;"",""))</f>
        <v/>
      </c>
      <c r="N932" s="27" t="n">
        <f aca="false">N(N931)+IF(AND(A932&lt;&gt;"",OR(Recherche!$C$4="",A932=Recherche!$C$4),OR(Recherche!$C$5="",B932&amp;""=Recherche!$C$5&amp;""),OR(Recherche!$C$6="",IFERROR(YEAR(L932),0)=Recherche!$C$6),OR(Recherche!$C$7="",ISNUMBER(SEARCH(Recherche!$C$7,H932))),OR(Recherche!$C$8="",J932=Recherche!$C$8),OR(Recherche!$C$9="",I932=Recherche!$C$9),OR(Recherche!$C$10="",G932&amp;""=Recherche!$C$10&amp;""),OR(Recherche!$C$11="",E932=Recherche!$C$11),OR(Recherche!$C$12="",ISNUMBER(SEARCH(Recherche!$C$12,M932&amp;" "&amp;F932)))),1,0)</f>
        <v>8</v>
      </c>
    </row>
    <row r="933" customFormat="false" ht="15" hidden="false" customHeight="false" outlineLevel="0" collapsed="false">
      <c r="A933" s="19"/>
      <c r="B933" s="19"/>
      <c r="C933" s="19"/>
      <c r="D933" s="19"/>
      <c r="E933" s="22"/>
      <c r="F933" s="19"/>
      <c r="G933" s="26" t="str">
        <f aca="false">IF(D933="","",IFERROR(VALUE(LEFT(D933,FIND(" |",D933&amp;" |")-1)),"?"))</f>
        <v/>
      </c>
      <c r="H933" s="27" t="str">
        <f aca="false">IF(G933="","",IF(G933="?","⚠ pub inconnue",IFERROR(INDEX(Pubs!$B$2:$B$3001,MATCH(G933,Pubs!$A$2:$A$3001,0))&amp;"","⚠ pub inconnue")))</f>
        <v/>
      </c>
      <c r="I933" s="27" t="str">
        <f aca="false">IF(OR(G933="",G933="?"),"",IFERROR(INDEX(Pubs!$C$2:$C$3001,MATCH(G933,Pubs!$A$2:$A$3001,0))&amp;"",""))</f>
        <v/>
      </c>
      <c r="J933" s="27" t="str">
        <f aca="false">IF(OR(G933="",G933="?"),"",IFERROR(INDEX(Pubs!$G$2:$G$3001,MATCH(G933,Pubs!$A$2:$A$3001,0))&amp;"",""))</f>
        <v/>
      </c>
      <c r="K933" s="28" t="str">
        <f aca="false">IF(OR(G933="",G933="?"),"",IFERROR(INDEX(Pubs!$E$2:$E$3001,MATCH(G933,Pubs!$A$2:$A$3001,0)),""))</f>
        <v/>
      </c>
      <c r="L933" s="29" t="str">
        <f aca="false">IF(A933="","",IFERROR(1/(1/INDEX(Numéros!$C$2:$C$3001,MATCH(A933&amp;"|"&amp;B933,Numéros!$F$2:$F$3001,0))),""))</f>
        <v/>
      </c>
      <c r="M933" s="27" t="str">
        <f aca="false">IF(OR(G933="",G933="?"),"",IFERROR(INDEX(Pubs!$D$2:$D$3001,MATCH(G933,Pubs!$A$2:$A$3001,0))&amp;"",""))</f>
        <v/>
      </c>
      <c r="N933" s="27" t="n">
        <f aca="false">N(N932)+IF(AND(A933&lt;&gt;"",OR(Recherche!$C$4="",A933=Recherche!$C$4),OR(Recherche!$C$5="",B933&amp;""=Recherche!$C$5&amp;""),OR(Recherche!$C$6="",IFERROR(YEAR(L933),0)=Recherche!$C$6),OR(Recherche!$C$7="",ISNUMBER(SEARCH(Recherche!$C$7,H933))),OR(Recherche!$C$8="",J933=Recherche!$C$8),OR(Recherche!$C$9="",I933=Recherche!$C$9),OR(Recherche!$C$10="",G933&amp;""=Recherche!$C$10&amp;""),OR(Recherche!$C$11="",E933=Recherche!$C$11),OR(Recherche!$C$12="",ISNUMBER(SEARCH(Recherche!$C$12,M933&amp;" "&amp;F933)))),1,0)</f>
        <v>8</v>
      </c>
    </row>
    <row r="934" customFormat="false" ht="15" hidden="false" customHeight="false" outlineLevel="0" collapsed="false">
      <c r="A934" s="19"/>
      <c r="B934" s="19"/>
      <c r="C934" s="19"/>
      <c r="D934" s="19"/>
      <c r="E934" s="22"/>
      <c r="F934" s="19"/>
      <c r="G934" s="26" t="str">
        <f aca="false">IF(D934="","",IFERROR(VALUE(LEFT(D934,FIND(" |",D934&amp;" |")-1)),"?"))</f>
        <v/>
      </c>
      <c r="H934" s="27" t="str">
        <f aca="false">IF(G934="","",IF(G934="?","⚠ pub inconnue",IFERROR(INDEX(Pubs!$B$2:$B$3001,MATCH(G934,Pubs!$A$2:$A$3001,0))&amp;"","⚠ pub inconnue")))</f>
        <v/>
      </c>
      <c r="I934" s="27" t="str">
        <f aca="false">IF(OR(G934="",G934="?"),"",IFERROR(INDEX(Pubs!$C$2:$C$3001,MATCH(G934,Pubs!$A$2:$A$3001,0))&amp;"",""))</f>
        <v/>
      </c>
      <c r="J934" s="27" t="str">
        <f aca="false">IF(OR(G934="",G934="?"),"",IFERROR(INDEX(Pubs!$G$2:$G$3001,MATCH(G934,Pubs!$A$2:$A$3001,0))&amp;"",""))</f>
        <v/>
      </c>
      <c r="K934" s="28" t="str">
        <f aca="false">IF(OR(G934="",G934="?"),"",IFERROR(INDEX(Pubs!$E$2:$E$3001,MATCH(G934,Pubs!$A$2:$A$3001,0)),""))</f>
        <v/>
      </c>
      <c r="L934" s="29" t="str">
        <f aca="false">IF(A934="","",IFERROR(1/(1/INDEX(Numéros!$C$2:$C$3001,MATCH(A934&amp;"|"&amp;B934,Numéros!$F$2:$F$3001,0))),""))</f>
        <v/>
      </c>
      <c r="M934" s="27" t="str">
        <f aca="false">IF(OR(G934="",G934="?"),"",IFERROR(INDEX(Pubs!$D$2:$D$3001,MATCH(G934,Pubs!$A$2:$A$3001,0))&amp;"",""))</f>
        <v/>
      </c>
      <c r="N934" s="27" t="n">
        <f aca="false">N(N933)+IF(AND(A934&lt;&gt;"",OR(Recherche!$C$4="",A934=Recherche!$C$4),OR(Recherche!$C$5="",B934&amp;""=Recherche!$C$5&amp;""),OR(Recherche!$C$6="",IFERROR(YEAR(L934),0)=Recherche!$C$6),OR(Recherche!$C$7="",ISNUMBER(SEARCH(Recherche!$C$7,H934))),OR(Recherche!$C$8="",J934=Recherche!$C$8),OR(Recherche!$C$9="",I934=Recherche!$C$9),OR(Recherche!$C$10="",G934&amp;""=Recherche!$C$10&amp;""),OR(Recherche!$C$11="",E934=Recherche!$C$11),OR(Recherche!$C$12="",ISNUMBER(SEARCH(Recherche!$C$12,M934&amp;" "&amp;F934)))),1,0)</f>
        <v>8</v>
      </c>
    </row>
    <row r="935" customFormat="false" ht="15" hidden="false" customHeight="false" outlineLevel="0" collapsed="false">
      <c r="A935" s="19"/>
      <c r="B935" s="19"/>
      <c r="C935" s="19"/>
      <c r="D935" s="19"/>
      <c r="E935" s="22"/>
      <c r="F935" s="19"/>
      <c r="G935" s="26" t="str">
        <f aca="false">IF(D935="","",IFERROR(VALUE(LEFT(D935,FIND(" |",D935&amp;" |")-1)),"?"))</f>
        <v/>
      </c>
      <c r="H935" s="27" t="str">
        <f aca="false">IF(G935="","",IF(G935="?","⚠ pub inconnue",IFERROR(INDEX(Pubs!$B$2:$B$3001,MATCH(G935,Pubs!$A$2:$A$3001,0))&amp;"","⚠ pub inconnue")))</f>
        <v/>
      </c>
      <c r="I935" s="27" t="str">
        <f aca="false">IF(OR(G935="",G935="?"),"",IFERROR(INDEX(Pubs!$C$2:$C$3001,MATCH(G935,Pubs!$A$2:$A$3001,0))&amp;"",""))</f>
        <v/>
      </c>
      <c r="J935" s="27" t="str">
        <f aca="false">IF(OR(G935="",G935="?"),"",IFERROR(INDEX(Pubs!$G$2:$G$3001,MATCH(G935,Pubs!$A$2:$A$3001,0))&amp;"",""))</f>
        <v/>
      </c>
      <c r="K935" s="28" t="str">
        <f aca="false">IF(OR(G935="",G935="?"),"",IFERROR(INDEX(Pubs!$E$2:$E$3001,MATCH(G935,Pubs!$A$2:$A$3001,0)),""))</f>
        <v/>
      </c>
      <c r="L935" s="29" t="str">
        <f aca="false">IF(A935="","",IFERROR(1/(1/INDEX(Numéros!$C$2:$C$3001,MATCH(A935&amp;"|"&amp;B935,Numéros!$F$2:$F$3001,0))),""))</f>
        <v/>
      </c>
      <c r="M935" s="27" t="str">
        <f aca="false">IF(OR(G935="",G935="?"),"",IFERROR(INDEX(Pubs!$D$2:$D$3001,MATCH(G935,Pubs!$A$2:$A$3001,0))&amp;"",""))</f>
        <v/>
      </c>
      <c r="N935" s="27" t="n">
        <f aca="false">N(N934)+IF(AND(A935&lt;&gt;"",OR(Recherche!$C$4="",A935=Recherche!$C$4),OR(Recherche!$C$5="",B935&amp;""=Recherche!$C$5&amp;""),OR(Recherche!$C$6="",IFERROR(YEAR(L935),0)=Recherche!$C$6),OR(Recherche!$C$7="",ISNUMBER(SEARCH(Recherche!$C$7,H935))),OR(Recherche!$C$8="",J935=Recherche!$C$8),OR(Recherche!$C$9="",I935=Recherche!$C$9),OR(Recherche!$C$10="",G935&amp;""=Recherche!$C$10&amp;""),OR(Recherche!$C$11="",E935=Recherche!$C$11),OR(Recherche!$C$12="",ISNUMBER(SEARCH(Recherche!$C$12,M935&amp;" "&amp;F935)))),1,0)</f>
        <v>8</v>
      </c>
    </row>
    <row r="936" customFormat="false" ht="15" hidden="false" customHeight="false" outlineLevel="0" collapsed="false">
      <c r="A936" s="19"/>
      <c r="B936" s="19"/>
      <c r="C936" s="19"/>
      <c r="D936" s="19"/>
      <c r="E936" s="22"/>
      <c r="F936" s="19"/>
      <c r="G936" s="26" t="str">
        <f aca="false">IF(D936="","",IFERROR(VALUE(LEFT(D936,FIND(" |",D936&amp;" |")-1)),"?"))</f>
        <v/>
      </c>
      <c r="H936" s="27" t="str">
        <f aca="false">IF(G936="","",IF(G936="?","⚠ pub inconnue",IFERROR(INDEX(Pubs!$B$2:$B$3001,MATCH(G936,Pubs!$A$2:$A$3001,0))&amp;"","⚠ pub inconnue")))</f>
        <v/>
      </c>
      <c r="I936" s="27" t="str">
        <f aca="false">IF(OR(G936="",G936="?"),"",IFERROR(INDEX(Pubs!$C$2:$C$3001,MATCH(G936,Pubs!$A$2:$A$3001,0))&amp;"",""))</f>
        <v/>
      </c>
      <c r="J936" s="27" t="str">
        <f aca="false">IF(OR(G936="",G936="?"),"",IFERROR(INDEX(Pubs!$G$2:$G$3001,MATCH(G936,Pubs!$A$2:$A$3001,0))&amp;"",""))</f>
        <v/>
      </c>
      <c r="K936" s="28" t="str">
        <f aca="false">IF(OR(G936="",G936="?"),"",IFERROR(INDEX(Pubs!$E$2:$E$3001,MATCH(G936,Pubs!$A$2:$A$3001,0)),""))</f>
        <v/>
      </c>
      <c r="L936" s="29" t="str">
        <f aca="false">IF(A936="","",IFERROR(1/(1/INDEX(Numéros!$C$2:$C$3001,MATCH(A936&amp;"|"&amp;B936,Numéros!$F$2:$F$3001,0))),""))</f>
        <v/>
      </c>
      <c r="M936" s="27" t="str">
        <f aca="false">IF(OR(G936="",G936="?"),"",IFERROR(INDEX(Pubs!$D$2:$D$3001,MATCH(G936,Pubs!$A$2:$A$3001,0))&amp;"",""))</f>
        <v/>
      </c>
      <c r="N936" s="27" t="n">
        <f aca="false">N(N935)+IF(AND(A936&lt;&gt;"",OR(Recherche!$C$4="",A936=Recherche!$C$4),OR(Recherche!$C$5="",B936&amp;""=Recherche!$C$5&amp;""),OR(Recherche!$C$6="",IFERROR(YEAR(L936),0)=Recherche!$C$6),OR(Recherche!$C$7="",ISNUMBER(SEARCH(Recherche!$C$7,H936))),OR(Recherche!$C$8="",J936=Recherche!$C$8),OR(Recherche!$C$9="",I936=Recherche!$C$9),OR(Recherche!$C$10="",G936&amp;""=Recherche!$C$10&amp;""),OR(Recherche!$C$11="",E936=Recherche!$C$11),OR(Recherche!$C$12="",ISNUMBER(SEARCH(Recherche!$C$12,M936&amp;" "&amp;F936)))),1,0)</f>
        <v>8</v>
      </c>
    </row>
    <row r="937" customFormat="false" ht="15" hidden="false" customHeight="false" outlineLevel="0" collapsed="false">
      <c r="A937" s="19"/>
      <c r="B937" s="19"/>
      <c r="C937" s="19"/>
      <c r="D937" s="19"/>
      <c r="E937" s="22"/>
      <c r="F937" s="19"/>
      <c r="G937" s="26" t="str">
        <f aca="false">IF(D937="","",IFERROR(VALUE(LEFT(D937,FIND(" |",D937&amp;" |")-1)),"?"))</f>
        <v/>
      </c>
      <c r="H937" s="27" t="str">
        <f aca="false">IF(G937="","",IF(G937="?","⚠ pub inconnue",IFERROR(INDEX(Pubs!$B$2:$B$3001,MATCH(G937,Pubs!$A$2:$A$3001,0))&amp;"","⚠ pub inconnue")))</f>
        <v/>
      </c>
      <c r="I937" s="27" t="str">
        <f aca="false">IF(OR(G937="",G937="?"),"",IFERROR(INDEX(Pubs!$C$2:$C$3001,MATCH(G937,Pubs!$A$2:$A$3001,0))&amp;"",""))</f>
        <v/>
      </c>
      <c r="J937" s="27" t="str">
        <f aca="false">IF(OR(G937="",G937="?"),"",IFERROR(INDEX(Pubs!$G$2:$G$3001,MATCH(G937,Pubs!$A$2:$A$3001,0))&amp;"",""))</f>
        <v/>
      </c>
      <c r="K937" s="28" t="str">
        <f aca="false">IF(OR(G937="",G937="?"),"",IFERROR(INDEX(Pubs!$E$2:$E$3001,MATCH(G937,Pubs!$A$2:$A$3001,0)),""))</f>
        <v/>
      </c>
      <c r="L937" s="29" t="str">
        <f aca="false">IF(A937="","",IFERROR(1/(1/INDEX(Numéros!$C$2:$C$3001,MATCH(A937&amp;"|"&amp;B937,Numéros!$F$2:$F$3001,0))),""))</f>
        <v/>
      </c>
      <c r="M937" s="27" t="str">
        <f aca="false">IF(OR(G937="",G937="?"),"",IFERROR(INDEX(Pubs!$D$2:$D$3001,MATCH(G937,Pubs!$A$2:$A$3001,0))&amp;"",""))</f>
        <v/>
      </c>
      <c r="N937" s="27" t="n">
        <f aca="false">N(N936)+IF(AND(A937&lt;&gt;"",OR(Recherche!$C$4="",A937=Recherche!$C$4),OR(Recherche!$C$5="",B937&amp;""=Recherche!$C$5&amp;""),OR(Recherche!$C$6="",IFERROR(YEAR(L937),0)=Recherche!$C$6),OR(Recherche!$C$7="",ISNUMBER(SEARCH(Recherche!$C$7,H937))),OR(Recherche!$C$8="",J937=Recherche!$C$8),OR(Recherche!$C$9="",I937=Recherche!$C$9),OR(Recherche!$C$10="",G937&amp;""=Recherche!$C$10&amp;""),OR(Recherche!$C$11="",E937=Recherche!$C$11),OR(Recherche!$C$12="",ISNUMBER(SEARCH(Recherche!$C$12,M937&amp;" "&amp;F937)))),1,0)</f>
        <v>8</v>
      </c>
    </row>
    <row r="938" customFormat="false" ht="15" hidden="false" customHeight="false" outlineLevel="0" collapsed="false">
      <c r="A938" s="19"/>
      <c r="B938" s="19"/>
      <c r="C938" s="19"/>
      <c r="D938" s="19"/>
      <c r="E938" s="22"/>
      <c r="F938" s="19"/>
      <c r="G938" s="26" t="str">
        <f aca="false">IF(D938="","",IFERROR(VALUE(LEFT(D938,FIND(" |",D938&amp;" |")-1)),"?"))</f>
        <v/>
      </c>
      <c r="H938" s="27" t="str">
        <f aca="false">IF(G938="","",IF(G938="?","⚠ pub inconnue",IFERROR(INDEX(Pubs!$B$2:$B$3001,MATCH(G938,Pubs!$A$2:$A$3001,0))&amp;"","⚠ pub inconnue")))</f>
        <v/>
      </c>
      <c r="I938" s="27" t="str">
        <f aca="false">IF(OR(G938="",G938="?"),"",IFERROR(INDEX(Pubs!$C$2:$C$3001,MATCH(G938,Pubs!$A$2:$A$3001,0))&amp;"",""))</f>
        <v/>
      </c>
      <c r="J938" s="27" t="str">
        <f aca="false">IF(OR(G938="",G938="?"),"",IFERROR(INDEX(Pubs!$G$2:$G$3001,MATCH(G938,Pubs!$A$2:$A$3001,0))&amp;"",""))</f>
        <v/>
      </c>
      <c r="K938" s="28" t="str">
        <f aca="false">IF(OR(G938="",G938="?"),"",IFERROR(INDEX(Pubs!$E$2:$E$3001,MATCH(G938,Pubs!$A$2:$A$3001,0)),""))</f>
        <v/>
      </c>
      <c r="L938" s="29" t="str">
        <f aca="false">IF(A938="","",IFERROR(1/(1/INDEX(Numéros!$C$2:$C$3001,MATCH(A938&amp;"|"&amp;B938,Numéros!$F$2:$F$3001,0))),""))</f>
        <v/>
      </c>
      <c r="M938" s="27" t="str">
        <f aca="false">IF(OR(G938="",G938="?"),"",IFERROR(INDEX(Pubs!$D$2:$D$3001,MATCH(G938,Pubs!$A$2:$A$3001,0))&amp;"",""))</f>
        <v/>
      </c>
      <c r="N938" s="27" t="n">
        <f aca="false">N(N937)+IF(AND(A938&lt;&gt;"",OR(Recherche!$C$4="",A938=Recherche!$C$4),OR(Recherche!$C$5="",B938&amp;""=Recherche!$C$5&amp;""),OR(Recherche!$C$6="",IFERROR(YEAR(L938),0)=Recherche!$C$6),OR(Recherche!$C$7="",ISNUMBER(SEARCH(Recherche!$C$7,H938))),OR(Recherche!$C$8="",J938=Recherche!$C$8),OR(Recherche!$C$9="",I938=Recherche!$C$9),OR(Recherche!$C$10="",G938&amp;""=Recherche!$C$10&amp;""),OR(Recherche!$C$11="",E938=Recherche!$C$11),OR(Recherche!$C$12="",ISNUMBER(SEARCH(Recherche!$C$12,M938&amp;" "&amp;F938)))),1,0)</f>
        <v>8</v>
      </c>
    </row>
    <row r="939" customFormat="false" ht="15" hidden="false" customHeight="false" outlineLevel="0" collapsed="false">
      <c r="A939" s="19"/>
      <c r="B939" s="19"/>
      <c r="C939" s="19"/>
      <c r="D939" s="19"/>
      <c r="E939" s="22"/>
      <c r="F939" s="19"/>
      <c r="G939" s="26" t="str">
        <f aca="false">IF(D939="","",IFERROR(VALUE(LEFT(D939,FIND(" |",D939&amp;" |")-1)),"?"))</f>
        <v/>
      </c>
      <c r="H939" s="27" t="str">
        <f aca="false">IF(G939="","",IF(G939="?","⚠ pub inconnue",IFERROR(INDEX(Pubs!$B$2:$B$3001,MATCH(G939,Pubs!$A$2:$A$3001,0))&amp;"","⚠ pub inconnue")))</f>
        <v/>
      </c>
      <c r="I939" s="27" t="str">
        <f aca="false">IF(OR(G939="",G939="?"),"",IFERROR(INDEX(Pubs!$C$2:$C$3001,MATCH(G939,Pubs!$A$2:$A$3001,0))&amp;"",""))</f>
        <v/>
      </c>
      <c r="J939" s="27" t="str">
        <f aca="false">IF(OR(G939="",G939="?"),"",IFERROR(INDEX(Pubs!$G$2:$G$3001,MATCH(G939,Pubs!$A$2:$A$3001,0))&amp;"",""))</f>
        <v/>
      </c>
      <c r="K939" s="28" t="str">
        <f aca="false">IF(OR(G939="",G939="?"),"",IFERROR(INDEX(Pubs!$E$2:$E$3001,MATCH(G939,Pubs!$A$2:$A$3001,0)),""))</f>
        <v/>
      </c>
      <c r="L939" s="29" t="str">
        <f aca="false">IF(A939="","",IFERROR(1/(1/INDEX(Numéros!$C$2:$C$3001,MATCH(A939&amp;"|"&amp;B939,Numéros!$F$2:$F$3001,0))),""))</f>
        <v/>
      </c>
      <c r="M939" s="27" t="str">
        <f aca="false">IF(OR(G939="",G939="?"),"",IFERROR(INDEX(Pubs!$D$2:$D$3001,MATCH(G939,Pubs!$A$2:$A$3001,0))&amp;"",""))</f>
        <v/>
      </c>
      <c r="N939" s="27" t="n">
        <f aca="false">N(N938)+IF(AND(A939&lt;&gt;"",OR(Recherche!$C$4="",A939=Recherche!$C$4),OR(Recherche!$C$5="",B939&amp;""=Recherche!$C$5&amp;""),OR(Recherche!$C$6="",IFERROR(YEAR(L939),0)=Recherche!$C$6),OR(Recherche!$C$7="",ISNUMBER(SEARCH(Recherche!$C$7,H939))),OR(Recherche!$C$8="",J939=Recherche!$C$8),OR(Recherche!$C$9="",I939=Recherche!$C$9),OR(Recherche!$C$10="",G939&amp;""=Recherche!$C$10&amp;""),OR(Recherche!$C$11="",E939=Recherche!$C$11),OR(Recherche!$C$12="",ISNUMBER(SEARCH(Recherche!$C$12,M939&amp;" "&amp;F939)))),1,0)</f>
        <v>8</v>
      </c>
    </row>
    <row r="940" customFormat="false" ht="15" hidden="false" customHeight="false" outlineLevel="0" collapsed="false">
      <c r="A940" s="19"/>
      <c r="B940" s="19"/>
      <c r="C940" s="19"/>
      <c r="D940" s="19"/>
      <c r="E940" s="22"/>
      <c r="F940" s="19"/>
      <c r="G940" s="26" t="str">
        <f aca="false">IF(D940="","",IFERROR(VALUE(LEFT(D940,FIND(" |",D940&amp;" |")-1)),"?"))</f>
        <v/>
      </c>
      <c r="H940" s="27" t="str">
        <f aca="false">IF(G940="","",IF(G940="?","⚠ pub inconnue",IFERROR(INDEX(Pubs!$B$2:$B$3001,MATCH(G940,Pubs!$A$2:$A$3001,0))&amp;"","⚠ pub inconnue")))</f>
        <v/>
      </c>
      <c r="I940" s="27" t="str">
        <f aca="false">IF(OR(G940="",G940="?"),"",IFERROR(INDEX(Pubs!$C$2:$C$3001,MATCH(G940,Pubs!$A$2:$A$3001,0))&amp;"",""))</f>
        <v/>
      </c>
      <c r="J940" s="27" t="str">
        <f aca="false">IF(OR(G940="",G940="?"),"",IFERROR(INDEX(Pubs!$G$2:$G$3001,MATCH(G940,Pubs!$A$2:$A$3001,0))&amp;"",""))</f>
        <v/>
      </c>
      <c r="K940" s="28" t="str">
        <f aca="false">IF(OR(G940="",G940="?"),"",IFERROR(INDEX(Pubs!$E$2:$E$3001,MATCH(G940,Pubs!$A$2:$A$3001,0)),""))</f>
        <v/>
      </c>
      <c r="L940" s="29" t="str">
        <f aca="false">IF(A940="","",IFERROR(1/(1/INDEX(Numéros!$C$2:$C$3001,MATCH(A940&amp;"|"&amp;B940,Numéros!$F$2:$F$3001,0))),""))</f>
        <v/>
      </c>
      <c r="M940" s="27" t="str">
        <f aca="false">IF(OR(G940="",G940="?"),"",IFERROR(INDEX(Pubs!$D$2:$D$3001,MATCH(G940,Pubs!$A$2:$A$3001,0))&amp;"",""))</f>
        <v/>
      </c>
      <c r="N940" s="27" t="n">
        <f aca="false">N(N939)+IF(AND(A940&lt;&gt;"",OR(Recherche!$C$4="",A940=Recherche!$C$4),OR(Recherche!$C$5="",B940&amp;""=Recherche!$C$5&amp;""),OR(Recherche!$C$6="",IFERROR(YEAR(L940),0)=Recherche!$C$6),OR(Recherche!$C$7="",ISNUMBER(SEARCH(Recherche!$C$7,H940))),OR(Recherche!$C$8="",J940=Recherche!$C$8),OR(Recherche!$C$9="",I940=Recherche!$C$9),OR(Recherche!$C$10="",G940&amp;""=Recherche!$C$10&amp;""),OR(Recherche!$C$11="",E940=Recherche!$C$11),OR(Recherche!$C$12="",ISNUMBER(SEARCH(Recherche!$C$12,M940&amp;" "&amp;F940)))),1,0)</f>
        <v>8</v>
      </c>
    </row>
    <row r="941" customFormat="false" ht="15" hidden="false" customHeight="false" outlineLevel="0" collapsed="false">
      <c r="A941" s="19"/>
      <c r="B941" s="19"/>
      <c r="C941" s="19"/>
      <c r="D941" s="19"/>
      <c r="E941" s="22"/>
      <c r="F941" s="19"/>
      <c r="G941" s="26" t="str">
        <f aca="false">IF(D941="","",IFERROR(VALUE(LEFT(D941,FIND(" |",D941&amp;" |")-1)),"?"))</f>
        <v/>
      </c>
      <c r="H941" s="27" t="str">
        <f aca="false">IF(G941="","",IF(G941="?","⚠ pub inconnue",IFERROR(INDEX(Pubs!$B$2:$B$3001,MATCH(G941,Pubs!$A$2:$A$3001,0))&amp;"","⚠ pub inconnue")))</f>
        <v/>
      </c>
      <c r="I941" s="27" t="str">
        <f aca="false">IF(OR(G941="",G941="?"),"",IFERROR(INDEX(Pubs!$C$2:$C$3001,MATCH(G941,Pubs!$A$2:$A$3001,0))&amp;"",""))</f>
        <v/>
      </c>
      <c r="J941" s="27" t="str">
        <f aca="false">IF(OR(G941="",G941="?"),"",IFERROR(INDEX(Pubs!$G$2:$G$3001,MATCH(G941,Pubs!$A$2:$A$3001,0))&amp;"",""))</f>
        <v/>
      </c>
      <c r="K941" s="28" t="str">
        <f aca="false">IF(OR(G941="",G941="?"),"",IFERROR(INDEX(Pubs!$E$2:$E$3001,MATCH(G941,Pubs!$A$2:$A$3001,0)),""))</f>
        <v/>
      </c>
      <c r="L941" s="29" t="str">
        <f aca="false">IF(A941="","",IFERROR(1/(1/INDEX(Numéros!$C$2:$C$3001,MATCH(A941&amp;"|"&amp;B941,Numéros!$F$2:$F$3001,0))),""))</f>
        <v/>
      </c>
      <c r="M941" s="27" t="str">
        <f aca="false">IF(OR(G941="",G941="?"),"",IFERROR(INDEX(Pubs!$D$2:$D$3001,MATCH(G941,Pubs!$A$2:$A$3001,0))&amp;"",""))</f>
        <v/>
      </c>
      <c r="N941" s="27" t="n">
        <f aca="false">N(N940)+IF(AND(A941&lt;&gt;"",OR(Recherche!$C$4="",A941=Recherche!$C$4),OR(Recherche!$C$5="",B941&amp;""=Recherche!$C$5&amp;""),OR(Recherche!$C$6="",IFERROR(YEAR(L941),0)=Recherche!$C$6),OR(Recherche!$C$7="",ISNUMBER(SEARCH(Recherche!$C$7,H941))),OR(Recherche!$C$8="",J941=Recherche!$C$8),OR(Recherche!$C$9="",I941=Recherche!$C$9),OR(Recherche!$C$10="",G941&amp;""=Recherche!$C$10&amp;""),OR(Recherche!$C$11="",E941=Recherche!$C$11),OR(Recherche!$C$12="",ISNUMBER(SEARCH(Recherche!$C$12,M941&amp;" "&amp;F941)))),1,0)</f>
        <v>8</v>
      </c>
    </row>
    <row r="942" customFormat="false" ht="15" hidden="false" customHeight="false" outlineLevel="0" collapsed="false">
      <c r="A942" s="19"/>
      <c r="B942" s="19"/>
      <c r="C942" s="19"/>
      <c r="D942" s="19"/>
      <c r="E942" s="22"/>
      <c r="F942" s="19"/>
      <c r="G942" s="26" t="str">
        <f aca="false">IF(D942="","",IFERROR(VALUE(LEFT(D942,FIND(" |",D942&amp;" |")-1)),"?"))</f>
        <v/>
      </c>
      <c r="H942" s="27" t="str">
        <f aca="false">IF(G942="","",IF(G942="?","⚠ pub inconnue",IFERROR(INDEX(Pubs!$B$2:$B$3001,MATCH(G942,Pubs!$A$2:$A$3001,0))&amp;"","⚠ pub inconnue")))</f>
        <v/>
      </c>
      <c r="I942" s="27" t="str">
        <f aca="false">IF(OR(G942="",G942="?"),"",IFERROR(INDEX(Pubs!$C$2:$C$3001,MATCH(G942,Pubs!$A$2:$A$3001,0))&amp;"",""))</f>
        <v/>
      </c>
      <c r="J942" s="27" t="str">
        <f aca="false">IF(OR(G942="",G942="?"),"",IFERROR(INDEX(Pubs!$G$2:$G$3001,MATCH(G942,Pubs!$A$2:$A$3001,0))&amp;"",""))</f>
        <v/>
      </c>
      <c r="K942" s="28" t="str">
        <f aca="false">IF(OR(G942="",G942="?"),"",IFERROR(INDEX(Pubs!$E$2:$E$3001,MATCH(G942,Pubs!$A$2:$A$3001,0)),""))</f>
        <v/>
      </c>
      <c r="L942" s="29" t="str">
        <f aca="false">IF(A942="","",IFERROR(1/(1/INDEX(Numéros!$C$2:$C$3001,MATCH(A942&amp;"|"&amp;B942,Numéros!$F$2:$F$3001,0))),""))</f>
        <v/>
      </c>
      <c r="M942" s="27" t="str">
        <f aca="false">IF(OR(G942="",G942="?"),"",IFERROR(INDEX(Pubs!$D$2:$D$3001,MATCH(G942,Pubs!$A$2:$A$3001,0))&amp;"",""))</f>
        <v/>
      </c>
      <c r="N942" s="27" t="n">
        <f aca="false">N(N941)+IF(AND(A942&lt;&gt;"",OR(Recherche!$C$4="",A942=Recherche!$C$4),OR(Recherche!$C$5="",B942&amp;""=Recherche!$C$5&amp;""),OR(Recherche!$C$6="",IFERROR(YEAR(L942),0)=Recherche!$C$6),OR(Recherche!$C$7="",ISNUMBER(SEARCH(Recherche!$C$7,H942))),OR(Recherche!$C$8="",J942=Recherche!$C$8),OR(Recherche!$C$9="",I942=Recherche!$C$9),OR(Recherche!$C$10="",G942&amp;""=Recherche!$C$10&amp;""),OR(Recherche!$C$11="",E942=Recherche!$C$11),OR(Recherche!$C$12="",ISNUMBER(SEARCH(Recherche!$C$12,M942&amp;" "&amp;F942)))),1,0)</f>
        <v>8</v>
      </c>
    </row>
    <row r="943" customFormat="false" ht="15" hidden="false" customHeight="false" outlineLevel="0" collapsed="false">
      <c r="A943" s="19"/>
      <c r="B943" s="19"/>
      <c r="C943" s="19"/>
      <c r="D943" s="19"/>
      <c r="E943" s="22"/>
      <c r="F943" s="19"/>
      <c r="G943" s="26" t="str">
        <f aca="false">IF(D943="","",IFERROR(VALUE(LEFT(D943,FIND(" |",D943&amp;" |")-1)),"?"))</f>
        <v/>
      </c>
      <c r="H943" s="27" t="str">
        <f aca="false">IF(G943="","",IF(G943="?","⚠ pub inconnue",IFERROR(INDEX(Pubs!$B$2:$B$3001,MATCH(G943,Pubs!$A$2:$A$3001,0))&amp;"","⚠ pub inconnue")))</f>
        <v/>
      </c>
      <c r="I943" s="27" t="str">
        <f aca="false">IF(OR(G943="",G943="?"),"",IFERROR(INDEX(Pubs!$C$2:$C$3001,MATCH(G943,Pubs!$A$2:$A$3001,0))&amp;"",""))</f>
        <v/>
      </c>
      <c r="J943" s="27" t="str">
        <f aca="false">IF(OR(G943="",G943="?"),"",IFERROR(INDEX(Pubs!$G$2:$G$3001,MATCH(G943,Pubs!$A$2:$A$3001,0))&amp;"",""))</f>
        <v/>
      </c>
      <c r="K943" s="28" t="str">
        <f aca="false">IF(OR(G943="",G943="?"),"",IFERROR(INDEX(Pubs!$E$2:$E$3001,MATCH(G943,Pubs!$A$2:$A$3001,0)),""))</f>
        <v/>
      </c>
      <c r="L943" s="29" t="str">
        <f aca="false">IF(A943="","",IFERROR(1/(1/INDEX(Numéros!$C$2:$C$3001,MATCH(A943&amp;"|"&amp;B943,Numéros!$F$2:$F$3001,0))),""))</f>
        <v/>
      </c>
      <c r="M943" s="27" t="str">
        <f aca="false">IF(OR(G943="",G943="?"),"",IFERROR(INDEX(Pubs!$D$2:$D$3001,MATCH(G943,Pubs!$A$2:$A$3001,0))&amp;"",""))</f>
        <v/>
      </c>
      <c r="N943" s="27" t="n">
        <f aca="false">N(N942)+IF(AND(A943&lt;&gt;"",OR(Recherche!$C$4="",A943=Recherche!$C$4),OR(Recherche!$C$5="",B943&amp;""=Recherche!$C$5&amp;""),OR(Recherche!$C$6="",IFERROR(YEAR(L943),0)=Recherche!$C$6),OR(Recherche!$C$7="",ISNUMBER(SEARCH(Recherche!$C$7,H943))),OR(Recherche!$C$8="",J943=Recherche!$C$8),OR(Recherche!$C$9="",I943=Recherche!$C$9),OR(Recherche!$C$10="",G943&amp;""=Recherche!$C$10&amp;""),OR(Recherche!$C$11="",E943=Recherche!$C$11),OR(Recherche!$C$12="",ISNUMBER(SEARCH(Recherche!$C$12,M943&amp;" "&amp;F943)))),1,0)</f>
        <v>8</v>
      </c>
    </row>
    <row r="944" customFormat="false" ht="15" hidden="false" customHeight="false" outlineLevel="0" collapsed="false">
      <c r="A944" s="19"/>
      <c r="B944" s="19"/>
      <c r="C944" s="19"/>
      <c r="D944" s="19"/>
      <c r="E944" s="22"/>
      <c r="F944" s="19"/>
      <c r="G944" s="26" t="str">
        <f aca="false">IF(D944="","",IFERROR(VALUE(LEFT(D944,FIND(" |",D944&amp;" |")-1)),"?"))</f>
        <v/>
      </c>
      <c r="H944" s="27" t="str">
        <f aca="false">IF(G944="","",IF(G944="?","⚠ pub inconnue",IFERROR(INDEX(Pubs!$B$2:$B$3001,MATCH(G944,Pubs!$A$2:$A$3001,0))&amp;"","⚠ pub inconnue")))</f>
        <v/>
      </c>
      <c r="I944" s="27" t="str">
        <f aca="false">IF(OR(G944="",G944="?"),"",IFERROR(INDEX(Pubs!$C$2:$C$3001,MATCH(G944,Pubs!$A$2:$A$3001,0))&amp;"",""))</f>
        <v/>
      </c>
      <c r="J944" s="27" t="str">
        <f aca="false">IF(OR(G944="",G944="?"),"",IFERROR(INDEX(Pubs!$G$2:$G$3001,MATCH(G944,Pubs!$A$2:$A$3001,0))&amp;"",""))</f>
        <v/>
      </c>
      <c r="K944" s="28" t="str">
        <f aca="false">IF(OR(G944="",G944="?"),"",IFERROR(INDEX(Pubs!$E$2:$E$3001,MATCH(G944,Pubs!$A$2:$A$3001,0)),""))</f>
        <v/>
      </c>
      <c r="L944" s="29" t="str">
        <f aca="false">IF(A944="","",IFERROR(1/(1/INDEX(Numéros!$C$2:$C$3001,MATCH(A944&amp;"|"&amp;B944,Numéros!$F$2:$F$3001,0))),""))</f>
        <v/>
      </c>
      <c r="M944" s="27" t="str">
        <f aca="false">IF(OR(G944="",G944="?"),"",IFERROR(INDEX(Pubs!$D$2:$D$3001,MATCH(G944,Pubs!$A$2:$A$3001,0))&amp;"",""))</f>
        <v/>
      </c>
      <c r="N944" s="27" t="n">
        <f aca="false">N(N943)+IF(AND(A944&lt;&gt;"",OR(Recherche!$C$4="",A944=Recherche!$C$4),OR(Recherche!$C$5="",B944&amp;""=Recherche!$C$5&amp;""),OR(Recherche!$C$6="",IFERROR(YEAR(L944),0)=Recherche!$C$6),OR(Recherche!$C$7="",ISNUMBER(SEARCH(Recherche!$C$7,H944))),OR(Recherche!$C$8="",J944=Recherche!$C$8),OR(Recherche!$C$9="",I944=Recherche!$C$9),OR(Recherche!$C$10="",G944&amp;""=Recherche!$C$10&amp;""),OR(Recherche!$C$11="",E944=Recherche!$C$11),OR(Recherche!$C$12="",ISNUMBER(SEARCH(Recherche!$C$12,M944&amp;" "&amp;F944)))),1,0)</f>
        <v>8</v>
      </c>
    </row>
    <row r="945" customFormat="false" ht="15" hidden="false" customHeight="false" outlineLevel="0" collapsed="false">
      <c r="A945" s="19"/>
      <c r="B945" s="19"/>
      <c r="C945" s="19"/>
      <c r="D945" s="19"/>
      <c r="E945" s="22"/>
      <c r="F945" s="19"/>
      <c r="G945" s="26" t="str">
        <f aca="false">IF(D945="","",IFERROR(VALUE(LEFT(D945,FIND(" |",D945&amp;" |")-1)),"?"))</f>
        <v/>
      </c>
      <c r="H945" s="27" t="str">
        <f aca="false">IF(G945="","",IF(G945="?","⚠ pub inconnue",IFERROR(INDEX(Pubs!$B$2:$B$3001,MATCH(G945,Pubs!$A$2:$A$3001,0))&amp;"","⚠ pub inconnue")))</f>
        <v/>
      </c>
      <c r="I945" s="27" t="str">
        <f aca="false">IF(OR(G945="",G945="?"),"",IFERROR(INDEX(Pubs!$C$2:$C$3001,MATCH(G945,Pubs!$A$2:$A$3001,0))&amp;"",""))</f>
        <v/>
      </c>
      <c r="J945" s="27" t="str">
        <f aca="false">IF(OR(G945="",G945="?"),"",IFERROR(INDEX(Pubs!$G$2:$G$3001,MATCH(G945,Pubs!$A$2:$A$3001,0))&amp;"",""))</f>
        <v/>
      </c>
      <c r="K945" s="28" t="str">
        <f aca="false">IF(OR(G945="",G945="?"),"",IFERROR(INDEX(Pubs!$E$2:$E$3001,MATCH(G945,Pubs!$A$2:$A$3001,0)),""))</f>
        <v/>
      </c>
      <c r="L945" s="29" t="str">
        <f aca="false">IF(A945="","",IFERROR(1/(1/INDEX(Numéros!$C$2:$C$3001,MATCH(A945&amp;"|"&amp;B945,Numéros!$F$2:$F$3001,0))),""))</f>
        <v/>
      </c>
      <c r="M945" s="27" t="str">
        <f aca="false">IF(OR(G945="",G945="?"),"",IFERROR(INDEX(Pubs!$D$2:$D$3001,MATCH(G945,Pubs!$A$2:$A$3001,0))&amp;"",""))</f>
        <v/>
      </c>
      <c r="N945" s="27" t="n">
        <f aca="false">N(N944)+IF(AND(A945&lt;&gt;"",OR(Recherche!$C$4="",A945=Recherche!$C$4),OR(Recherche!$C$5="",B945&amp;""=Recherche!$C$5&amp;""),OR(Recherche!$C$6="",IFERROR(YEAR(L945),0)=Recherche!$C$6),OR(Recherche!$C$7="",ISNUMBER(SEARCH(Recherche!$C$7,H945))),OR(Recherche!$C$8="",J945=Recherche!$C$8),OR(Recherche!$C$9="",I945=Recherche!$C$9),OR(Recherche!$C$10="",G945&amp;""=Recherche!$C$10&amp;""),OR(Recherche!$C$11="",E945=Recherche!$C$11),OR(Recherche!$C$12="",ISNUMBER(SEARCH(Recherche!$C$12,M945&amp;" "&amp;F945)))),1,0)</f>
        <v>8</v>
      </c>
    </row>
    <row r="946" customFormat="false" ht="15" hidden="false" customHeight="false" outlineLevel="0" collapsed="false">
      <c r="A946" s="19"/>
      <c r="B946" s="19"/>
      <c r="C946" s="19"/>
      <c r="D946" s="19"/>
      <c r="E946" s="22"/>
      <c r="F946" s="19"/>
      <c r="G946" s="26" t="str">
        <f aca="false">IF(D946="","",IFERROR(VALUE(LEFT(D946,FIND(" |",D946&amp;" |")-1)),"?"))</f>
        <v/>
      </c>
      <c r="H946" s="27" t="str">
        <f aca="false">IF(G946="","",IF(G946="?","⚠ pub inconnue",IFERROR(INDEX(Pubs!$B$2:$B$3001,MATCH(G946,Pubs!$A$2:$A$3001,0))&amp;"","⚠ pub inconnue")))</f>
        <v/>
      </c>
      <c r="I946" s="27" t="str">
        <f aca="false">IF(OR(G946="",G946="?"),"",IFERROR(INDEX(Pubs!$C$2:$C$3001,MATCH(G946,Pubs!$A$2:$A$3001,0))&amp;"",""))</f>
        <v/>
      </c>
      <c r="J946" s="27" t="str">
        <f aca="false">IF(OR(G946="",G946="?"),"",IFERROR(INDEX(Pubs!$G$2:$G$3001,MATCH(G946,Pubs!$A$2:$A$3001,0))&amp;"",""))</f>
        <v/>
      </c>
      <c r="K946" s="28" t="str">
        <f aca="false">IF(OR(G946="",G946="?"),"",IFERROR(INDEX(Pubs!$E$2:$E$3001,MATCH(G946,Pubs!$A$2:$A$3001,0)),""))</f>
        <v/>
      </c>
      <c r="L946" s="29" t="str">
        <f aca="false">IF(A946="","",IFERROR(1/(1/INDEX(Numéros!$C$2:$C$3001,MATCH(A946&amp;"|"&amp;B946,Numéros!$F$2:$F$3001,0))),""))</f>
        <v/>
      </c>
      <c r="M946" s="27" t="str">
        <f aca="false">IF(OR(G946="",G946="?"),"",IFERROR(INDEX(Pubs!$D$2:$D$3001,MATCH(G946,Pubs!$A$2:$A$3001,0))&amp;"",""))</f>
        <v/>
      </c>
      <c r="N946" s="27" t="n">
        <f aca="false">N(N945)+IF(AND(A946&lt;&gt;"",OR(Recherche!$C$4="",A946=Recherche!$C$4),OR(Recherche!$C$5="",B946&amp;""=Recherche!$C$5&amp;""),OR(Recherche!$C$6="",IFERROR(YEAR(L946),0)=Recherche!$C$6),OR(Recherche!$C$7="",ISNUMBER(SEARCH(Recherche!$C$7,H946))),OR(Recherche!$C$8="",J946=Recherche!$C$8),OR(Recherche!$C$9="",I946=Recherche!$C$9),OR(Recherche!$C$10="",G946&amp;""=Recherche!$C$10&amp;""),OR(Recherche!$C$11="",E946=Recherche!$C$11),OR(Recherche!$C$12="",ISNUMBER(SEARCH(Recherche!$C$12,M946&amp;" "&amp;F946)))),1,0)</f>
        <v>8</v>
      </c>
    </row>
    <row r="947" customFormat="false" ht="15" hidden="false" customHeight="false" outlineLevel="0" collapsed="false">
      <c r="A947" s="19"/>
      <c r="B947" s="19"/>
      <c r="C947" s="19"/>
      <c r="D947" s="19"/>
      <c r="E947" s="22"/>
      <c r="F947" s="19"/>
      <c r="G947" s="26" t="str">
        <f aca="false">IF(D947="","",IFERROR(VALUE(LEFT(D947,FIND(" |",D947&amp;" |")-1)),"?"))</f>
        <v/>
      </c>
      <c r="H947" s="27" t="str">
        <f aca="false">IF(G947="","",IF(G947="?","⚠ pub inconnue",IFERROR(INDEX(Pubs!$B$2:$B$3001,MATCH(G947,Pubs!$A$2:$A$3001,0))&amp;"","⚠ pub inconnue")))</f>
        <v/>
      </c>
      <c r="I947" s="27" t="str">
        <f aca="false">IF(OR(G947="",G947="?"),"",IFERROR(INDEX(Pubs!$C$2:$C$3001,MATCH(G947,Pubs!$A$2:$A$3001,0))&amp;"",""))</f>
        <v/>
      </c>
      <c r="J947" s="27" t="str">
        <f aca="false">IF(OR(G947="",G947="?"),"",IFERROR(INDEX(Pubs!$G$2:$G$3001,MATCH(G947,Pubs!$A$2:$A$3001,0))&amp;"",""))</f>
        <v/>
      </c>
      <c r="K947" s="28" t="str">
        <f aca="false">IF(OR(G947="",G947="?"),"",IFERROR(INDEX(Pubs!$E$2:$E$3001,MATCH(G947,Pubs!$A$2:$A$3001,0)),""))</f>
        <v/>
      </c>
      <c r="L947" s="29" t="str">
        <f aca="false">IF(A947="","",IFERROR(1/(1/INDEX(Numéros!$C$2:$C$3001,MATCH(A947&amp;"|"&amp;B947,Numéros!$F$2:$F$3001,0))),""))</f>
        <v/>
      </c>
      <c r="M947" s="27" t="str">
        <f aca="false">IF(OR(G947="",G947="?"),"",IFERROR(INDEX(Pubs!$D$2:$D$3001,MATCH(G947,Pubs!$A$2:$A$3001,0))&amp;"",""))</f>
        <v/>
      </c>
      <c r="N947" s="27" t="n">
        <f aca="false">N(N946)+IF(AND(A947&lt;&gt;"",OR(Recherche!$C$4="",A947=Recherche!$C$4),OR(Recherche!$C$5="",B947&amp;""=Recherche!$C$5&amp;""),OR(Recherche!$C$6="",IFERROR(YEAR(L947),0)=Recherche!$C$6),OR(Recherche!$C$7="",ISNUMBER(SEARCH(Recherche!$C$7,H947))),OR(Recherche!$C$8="",J947=Recherche!$C$8),OR(Recherche!$C$9="",I947=Recherche!$C$9),OR(Recherche!$C$10="",G947&amp;""=Recherche!$C$10&amp;""),OR(Recherche!$C$11="",E947=Recherche!$C$11),OR(Recherche!$C$12="",ISNUMBER(SEARCH(Recherche!$C$12,M947&amp;" "&amp;F947)))),1,0)</f>
        <v>8</v>
      </c>
    </row>
    <row r="948" customFormat="false" ht="15" hidden="false" customHeight="false" outlineLevel="0" collapsed="false">
      <c r="A948" s="19"/>
      <c r="B948" s="19"/>
      <c r="C948" s="19"/>
      <c r="D948" s="19"/>
      <c r="E948" s="22"/>
      <c r="F948" s="19"/>
      <c r="G948" s="26" t="str">
        <f aca="false">IF(D948="","",IFERROR(VALUE(LEFT(D948,FIND(" |",D948&amp;" |")-1)),"?"))</f>
        <v/>
      </c>
      <c r="H948" s="27" t="str">
        <f aca="false">IF(G948="","",IF(G948="?","⚠ pub inconnue",IFERROR(INDEX(Pubs!$B$2:$B$3001,MATCH(G948,Pubs!$A$2:$A$3001,0))&amp;"","⚠ pub inconnue")))</f>
        <v/>
      </c>
      <c r="I948" s="27" t="str">
        <f aca="false">IF(OR(G948="",G948="?"),"",IFERROR(INDEX(Pubs!$C$2:$C$3001,MATCH(G948,Pubs!$A$2:$A$3001,0))&amp;"",""))</f>
        <v/>
      </c>
      <c r="J948" s="27" t="str">
        <f aca="false">IF(OR(G948="",G948="?"),"",IFERROR(INDEX(Pubs!$G$2:$G$3001,MATCH(G948,Pubs!$A$2:$A$3001,0))&amp;"",""))</f>
        <v/>
      </c>
      <c r="K948" s="28" t="str">
        <f aca="false">IF(OR(G948="",G948="?"),"",IFERROR(INDEX(Pubs!$E$2:$E$3001,MATCH(G948,Pubs!$A$2:$A$3001,0)),""))</f>
        <v/>
      </c>
      <c r="L948" s="29" t="str">
        <f aca="false">IF(A948="","",IFERROR(1/(1/INDEX(Numéros!$C$2:$C$3001,MATCH(A948&amp;"|"&amp;B948,Numéros!$F$2:$F$3001,0))),""))</f>
        <v/>
      </c>
      <c r="M948" s="27" t="str">
        <f aca="false">IF(OR(G948="",G948="?"),"",IFERROR(INDEX(Pubs!$D$2:$D$3001,MATCH(G948,Pubs!$A$2:$A$3001,0))&amp;"",""))</f>
        <v/>
      </c>
      <c r="N948" s="27" t="n">
        <f aca="false">N(N947)+IF(AND(A948&lt;&gt;"",OR(Recherche!$C$4="",A948=Recherche!$C$4),OR(Recherche!$C$5="",B948&amp;""=Recherche!$C$5&amp;""),OR(Recherche!$C$6="",IFERROR(YEAR(L948),0)=Recherche!$C$6),OR(Recherche!$C$7="",ISNUMBER(SEARCH(Recherche!$C$7,H948))),OR(Recherche!$C$8="",J948=Recherche!$C$8),OR(Recherche!$C$9="",I948=Recherche!$C$9),OR(Recherche!$C$10="",G948&amp;""=Recherche!$C$10&amp;""),OR(Recherche!$C$11="",E948=Recherche!$C$11),OR(Recherche!$C$12="",ISNUMBER(SEARCH(Recherche!$C$12,M948&amp;" "&amp;F948)))),1,0)</f>
        <v>8</v>
      </c>
    </row>
    <row r="949" customFormat="false" ht="15" hidden="false" customHeight="false" outlineLevel="0" collapsed="false">
      <c r="A949" s="19"/>
      <c r="B949" s="19"/>
      <c r="C949" s="19"/>
      <c r="D949" s="19"/>
      <c r="E949" s="22"/>
      <c r="F949" s="19"/>
      <c r="G949" s="26" t="str">
        <f aca="false">IF(D949="","",IFERROR(VALUE(LEFT(D949,FIND(" |",D949&amp;" |")-1)),"?"))</f>
        <v/>
      </c>
      <c r="H949" s="27" t="str">
        <f aca="false">IF(G949="","",IF(G949="?","⚠ pub inconnue",IFERROR(INDEX(Pubs!$B$2:$B$3001,MATCH(G949,Pubs!$A$2:$A$3001,0))&amp;"","⚠ pub inconnue")))</f>
        <v/>
      </c>
      <c r="I949" s="27" t="str">
        <f aca="false">IF(OR(G949="",G949="?"),"",IFERROR(INDEX(Pubs!$C$2:$C$3001,MATCH(G949,Pubs!$A$2:$A$3001,0))&amp;"",""))</f>
        <v/>
      </c>
      <c r="J949" s="27" t="str">
        <f aca="false">IF(OR(G949="",G949="?"),"",IFERROR(INDEX(Pubs!$G$2:$G$3001,MATCH(G949,Pubs!$A$2:$A$3001,0))&amp;"",""))</f>
        <v/>
      </c>
      <c r="K949" s="28" t="str">
        <f aca="false">IF(OR(G949="",G949="?"),"",IFERROR(INDEX(Pubs!$E$2:$E$3001,MATCH(G949,Pubs!$A$2:$A$3001,0)),""))</f>
        <v/>
      </c>
      <c r="L949" s="29" t="str">
        <f aca="false">IF(A949="","",IFERROR(1/(1/INDEX(Numéros!$C$2:$C$3001,MATCH(A949&amp;"|"&amp;B949,Numéros!$F$2:$F$3001,0))),""))</f>
        <v/>
      </c>
      <c r="M949" s="27" t="str">
        <f aca="false">IF(OR(G949="",G949="?"),"",IFERROR(INDEX(Pubs!$D$2:$D$3001,MATCH(G949,Pubs!$A$2:$A$3001,0))&amp;"",""))</f>
        <v/>
      </c>
      <c r="N949" s="27" t="n">
        <f aca="false">N(N948)+IF(AND(A949&lt;&gt;"",OR(Recherche!$C$4="",A949=Recherche!$C$4),OR(Recherche!$C$5="",B949&amp;""=Recherche!$C$5&amp;""),OR(Recherche!$C$6="",IFERROR(YEAR(L949),0)=Recherche!$C$6),OR(Recherche!$C$7="",ISNUMBER(SEARCH(Recherche!$C$7,H949))),OR(Recherche!$C$8="",J949=Recherche!$C$8),OR(Recherche!$C$9="",I949=Recherche!$C$9),OR(Recherche!$C$10="",G949&amp;""=Recherche!$C$10&amp;""),OR(Recherche!$C$11="",E949=Recherche!$C$11),OR(Recherche!$C$12="",ISNUMBER(SEARCH(Recherche!$C$12,M949&amp;" "&amp;F949)))),1,0)</f>
        <v>8</v>
      </c>
    </row>
    <row r="950" customFormat="false" ht="15" hidden="false" customHeight="false" outlineLevel="0" collapsed="false">
      <c r="A950" s="19"/>
      <c r="B950" s="19"/>
      <c r="C950" s="19"/>
      <c r="D950" s="19"/>
      <c r="E950" s="22"/>
      <c r="F950" s="19"/>
      <c r="G950" s="26" t="str">
        <f aca="false">IF(D950="","",IFERROR(VALUE(LEFT(D950,FIND(" |",D950&amp;" |")-1)),"?"))</f>
        <v/>
      </c>
      <c r="H950" s="27" t="str">
        <f aca="false">IF(G950="","",IF(G950="?","⚠ pub inconnue",IFERROR(INDEX(Pubs!$B$2:$B$3001,MATCH(G950,Pubs!$A$2:$A$3001,0))&amp;"","⚠ pub inconnue")))</f>
        <v/>
      </c>
      <c r="I950" s="27" t="str">
        <f aca="false">IF(OR(G950="",G950="?"),"",IFERROR(INDEX(Pubs!$C$2:$C$3001,MATCH(G950,Pubs!$A$2:$A$3001,0))&amp;"",""))</f>
        <v/>
      </c>
      <c r="J950" s="27" t="str">
        <f aca="false">IF(OR(G950="",G950="?"),"",IFERROR(INDEX(Pubs!$G$2:$G$3001,MATCH(G950,Pubs!$A$2:$A$3001,0))&amp;"",""))</f>
        <v/>
      </c>
      <c r="K950" s="28" t="str">
        <f aca="false">IF(OR(G950="",G950="?"),"",IFERROR(INDEX(Pubs!$E$2:$E$3001,MATCH(G950,Pubs!$A$2:$A$3001,0)),""))</f>
        <v/>
      </c>
      <c r="L950" s="29" t="str">
        <f aca="false">IF(A950="","",IFERROR(1/(1/INDEX(Numéros!$C$2:$C$3001,MATCH(A950&amp;"|"&amp;B950,Numéros!$F$2:$F$3001,0))),""))</f>
        <v/>
      </c>
      <c r="M950" s="27" t="str">
        <f aca="false">IF(OR(G950="",G950="?"),"",IFERROR(INDEX(Pubs!$D$2:$D$3001,MATCH(G950,Pubs!$A$2:$A$3001,0))&amp;"",""))</f>
        <v/>
      </c>
      <c r="N950" s="27" t="n">
        <f aca="false">N(N949)+IF(AND(A950&lt;&gt;"",OR(Recherche!$C$4="",A950=Recherche!$C$4),OR(Recherche!$C$5="",B950&amp;""=Recherche!$C$5&amp;""),OR(Recherche!$C$6="",IFERROR(YEAR(L950),0)=Recherche!$C$6),OR(Recherche!$C$7="",ISNUMBER(SEARCH(Recherche!$C$7,H950))),OR(Recherche!$C$8="",J950=Recherche!$C$8),OR(Recherche!$C$9="",I950=Recherche!$C$9),OR(Recherche!$C$10="",G950&amp;""=Recherche!$C$10&amp;""),OR(Recherche!$C$11="",E950=Recherche!$C$11),OR(Recherche!$C$12="",ISNUMBER(SEARCH(Recherche!$C$12,M950&amp;" "&amp;F950)))),1,0)</f>
        <v>8</v>
      </c>
    </row>
    <row r="951" customFormat="false" ht="15" hidden="false" customHeight="false" outlineLevel="0" collapsed="false">
      <c r="A951" s="19"/>
      <c r="B951" s="19"/>
      <c r="C951" s="19"/>
      <c r="D951" s="19"/>
      <c r="E951" s="22"/>
      <c r="F951" s="19"/>
      <c r="G951" s="26" t="str">
        <f aca="false">IF(D951="","",IFERROR(VALUE(LEFT(D951,FIND(" |",D951&amp;" |")-1)),"?"))</f>
        <v/>
      </c>
      <c r="H951" s="27" t="str">
        <f aca="false">IF(G951="","",IF(G951="?","⚠ pub inconnue",IFERROR(INDEX(Pubs!$B$2:$B$3001,MATCH(G951,Pubs!$A$2:$A$3001,0))&amp;"","⚠ pub inconnue")))</f>
        <v/>
      </c>
      <c r="I951" s="27" t="str">
        <f aca="false">IF(OR(G951="",G951="?"),"",IFERROR(INDEX(Pubs!$C$2:$C$3001,MATCH(G951,Pubs!$A$2:$A$3001,0))&amp;"",""))</f>
        <v/>
      </c>
      <c r="J951" s="27" t="str">
        <f aca="false">IF(OR(G951="",G951="?"),"",IFERROR(INDEX(Pubs!$G$2:$G$3001,MATCH(G951,Pubs!$A$2:$A$3001,0))&amp;"",""))</f>
        <v/>
      </c>
      <c r="K951" s="28" t="str">
        <f aca="false">IF(OR(G951="",G951="?"),"",IFERROR(INDEX(Pubs!$E$2:$E$3001,MATCH(G951,Pubs!$A$2:$A$3001,0)),""))</f>
        <v/>
      </c>
      <c r="L951" s="29" t="str">
        <f aca="false">IF(A951="","",IFERROR(1/(1/INDEX(Numéros!$C$2:$C$3001,MATCH(A951&amp;"|"&amp;B951,Numéros!$F$2:$F$3001,0))),""))</f>
        <v/>
      </c>
      <c r="M951" s="27" t="str">
        <f aca="false">IF(OR(G951="",G951="?"),"",IFERROR(INDEX(Pubs!$D$2:$D$3001,MATCH(G951,Pubs!$A$2:$A$3001,0))&amp;"",""))</f>
        <v/>
      </c>
      <c r="N951" s="27" t="n">
        <f aca="false">N(N950)+IF(AND(A951&lt;&gt;"",OR(Recherche!$C$4="",A951=Recherche!$C$4),OR(Recherche!$C$5="",B951&amp;""=Recherche!$C$5&amp;""),OR(Recherche!$C$6="",IFERROR(YEAR(L951),0)=Recherche!$C$6),OR(Recherche!$C$7="",ISNUMBER(SEARCH(Recherche!$C$7,H951))),OR(Recherche!$C$8="",J951=Recherche!$C$8),OR(Recherche!$C$9="",I951=Recherche!$C$9),OR(Recherche!$C$10="",G951&amp;""=Recherche!$C$10&amp;""),OR(Recherche!$C$11="",E951=Recherche!$C$11),OR(Recherche!$C$12="",ISNUMBER(SEARCH(Recherche!$C$12,M951&amp;" "&amp;F951)))),1,0)</f>
        <v>8</v>
      </c>
    </row>
    <row r="952" customFormat="false" ht="15" hidden="false" customHeight="false" outlineLevel="0" collapsed="false">
      <c r="A952" s="19"/>
      <c r="B952" s="19"/>
      <c r="C952" s="19"/>
      <c r="D952" s="19"/>
      <c r="E952" s="22"/>
      <c r="F952" s="19"/>
      <c r="G952" s="26" t="str">
        <f aca="false">IF(D952="","",IFERROR(VALUE(LEFT(D952,FIND(" |",D952&amp;" |")-1)),"?"))</f>
        <v/>
      </c>
      <c r="H952" s="27" t="str">
        <f aca="false">IF(G952="","",IF(G952="?","⚠ pub inconnue",IFERROR(INDEX(Pubs!$B$2:$B$3001,MATCH(G952,Pubs!$A$2:$A$3001,0))&amp;"","⚠ pub inconnue")))</f>
        <v/>
      </c>
      <c r="I952" s="27" t="str">
        <f aca="false">IF(OR(G952="",G952="?"),"",IFERROR(INDEX(Pubs!$C$2:$C$3001,MATCH(G952,Pubs!$A$2:$A$3001,0))&amp;"",""))</f>
        <v/>
      </c>
      <c r="J952" s="27" t="str">
        <f aca="false">IF(OR(G952="",G952="?"),"",IFERROR(INDEX(Pubs!$G$2:$G$3001,MATCH(G952,Pubs!$A$2:$A$3001,0))&amp;"",""))</f>
        <v/>
      </c>
      <c r="K952" s="28" t="str">
        <f aca="false">IF(OR(G952="",G952="?"),"",IFERROR(INDEX(Pubs!$E$2:$E$3001,MATCH(G952,Pubs!$A$2:$A$3001,0)),""))</f>
        <v/>
      </c>
      <c r="L952" s="29" t="str">
        <f aca="false">IF(A952="","",IFERROR(1/(1/INDEX(Numéros!$C$2:$C$3001,MATCH(A952&amp;"|"&amp;B952,Numéros!$F$2:$F$3001,0))),""))</f>
        <v/>
      </c>
      <c r="M952" s="27" t="str">
        <f aca="false">IF(OR(G952="",G952="?"),"",IFERROR(INDEX(Pubs!$D$2:$D$3001,MATCH(G952,Pubs!$A$2:$A$3001,0))&amp;"",""))</f>
        <v/>
      </c>
      <c r="N952" s="27" t="n">
        <f aca="false">N(N951)+IF(AND(A952&lt;&gt;"",OR(Recherche!$C$4="",A952=Recherche!$C$4),OR(Recherche!$C$5="",B952&amp;""=Recherche!$C$5&amp;""),OR(Recherche!$C$6="",IFERROR(YEAR(L952),0)=Recherche!$C$6),OR(Recherche!$C$7="",ISNUMBER(SEARCH(Recherche!$C$7,H952))),OR(Recherche!$C$8="",J952=Recherche!$C$8),OR(Recherche!$C$9="",I952=Recherche!$C$9),OR(Recherche!$C$10="",G952&amp;""=Recherche!$C$10&amp;""),OR(Recherche!$C$11="",E952=Recherche!$C$11),OR(Recherche!$C$12="",ISNUMBER(SEARCH(Recherche!$C$12,M952&amp;" "&amp;F952)))),1,0)</f>
        <v>8</v>
      </c>
    </row>
    <row r="953" customFormat="false" ht="15" hidden="false" customHeight="false" outlineLevel="0" collapsed="false">
      <c r="A953" s="19"/>
      <c r="B953" s="19"/>
      <c r="C953" s="19"/>
      <c r="D953" s="19"/>
      <c r="E953" s="22"/>
      <c r="F953" s="19"/>
      <c r="G953" s="26" t="str">
        <f aca="false">IF(D953="","",IFERROR(VALUE(LEFT(D953,FIND(" |",D953&amp;" |")-1)),"?"))</f>
        <v/>
      </c>
      <c r="H953" s="27" t="str">
        <f aca="false">IF(G953="","",IF(G953="?","⚠ pub inconnue",IFERROR(INDEX(Pubs!$B$2:$B$3001,MATCH(G953,Pubs!$A$2:$A$3001,0))&amp;"","⚠ pub inconnue")))</f>
        <v/>
      </c>
      <c r="I953" s="27" t="str">
        <f aca="false">IF(OR(G953="",G953="?"),"",IFERROR(INDEX(Pubs!$C$2:$C$3001,MATCH(G953,Pubs!$A$2:$A$3001,0))&amp;"",""))</f>
        <v/>
      </c>
      <c r="J953" s="27" t="str">
        <f aca="false">IF(OR(G953="",G953="?"),"",IFERROR(INDEX(Pubs!$G$2:$G$3001,MATCH(G953,Pubs!$A$2:$A$3001,0))&amp;"",""))</f>
        <v/>
      </c>
      <c r="K953" s="28" t="str">
        <f aca="false">IF(OR(G953="",G953="?"),"",IFERROR(INDEX(Pubs!$E$2:$E$3001,MATCH(G953,Pubs!$A$2:$A$3001,0)),""))</f>
        <v/>
      </c>
      <c r="L953" s="29" t="str">
        <f aca="false">IF(A953="","",IFERROR(1/(1/INDEX(Numéros!$C$2:$C$3001,MATCH(A953&amp;"|"&amp;B953,Numéros!$F$2:$F$3001,0))),""))</f>
        <v/>
      </c>
      <c r="M953" s="27" t="str">
        <f aca="false">IF(OR(G953="",G953="?"),"",IFERROR(INDEX(Pubs!$D$2:$D$3001,MATCH(G953,Pubs!$A$2:$A$3001,0))&amp;"",""))</f>
        <v/>
      </c>
      <c r="N953" s="27" t="n">
        <f aca="false">N(N952)+IF(AND(A953&lt;&gt;"",OR(Recherche!$C$4="",A953=Recherche!$C$4),OR(Recherche!$C$5="",B953&amp;""=Recherche!$C$5&amp;""),OR(Recherche!$C$6="",IFERROR(YEAR(L953),0)=Recherche!$C$6),OR(Recherche!$C$7="",ISNUMBER(SEARCH(Recherche!$C$7,H953))),OR(Recherche!$C$8="",J953=Recherche!$C$8),OR(Recherche!$C$9="",I953=Recherche!$C$9),OR(Recherche!$C$10="",G953&amp;""=Recherche!$C$10&amp;""),OR(Recherche!$C$11="",E953=Recherche!$C$11),OR(Recherche!$C$12="",ISNUMBER(SEARCH(Recherche!$C$12,M953&amp;" "&amp;F953)))),1,0)</f>
        <v>8</v>
      </c>
    </row>
    <row r="954" customFormat="false" ht="15" hidden="false" customHeight="false" outlineLevel="0" collapsed="false">
      <c r="A954" s="19"/>
      <c r="B954" s="19"/>
      <c r="C954" s="19"/>
      <c r="D954" s="19"/>
      <c r="E954" s="22"/>
      <c r="F954" s="19"/>
      <c r="G954" s="26" t="str">
        <f aca="false">IF(D954="","",IFERROR(VALUE(LEFT(D954,FIND(" |",D954&amp;" |")-1)),"?"))</f>
        <v/>
      </c>
      <c r="H954" s="27" t="str">
        <f aca="false">IF(G954="","",IF(G954="?","⚠ pub inconnue",IFERROR(INDEX(Pubs!$B$2:$B$3001,MATCH(G954,Pubs!$A$2:$A$3001,0))&amp;"","⚠ pub inconnue")))</f>
        <v/>
      </c>
      <c r="I954" s="27" t="str">
        <f aca="false">IF(OR(G954="",G954="?"),"",IFERROR(INDEX(Pubs!$C$2:$C$3001,MATCH(G954,Pubs!$A$2:$A$3001,0))&amp;"",""))</f>
        <v/>
      </c>
      <c r="J954" s="27" t="str">
        <f aca="false">IF(OR(G954="",G954="?"),"",IFERROR(INDEX(Pubs!$G$2:$G$3001,MATCH(G954,Pubs!$A$2:$A$3001,0))&amp;"",""))</f>
        <v/>
      </c>
      <c r="K954" s="28" t="str">
        <f aca="false">IF(OR(G954="",G954="?"),"",IFERROR(INDEX(Pubs!$E$2:$E$3001,MATCH(G954,Pubs!$A$2:$A$3001,0)),""))</f>
        <v/>
      </c>
      <c r="L954" s="29" t="str">
        <f aca="false">IF(A954="","",IFERROR(1/(1/INDEX(Numéros!$C$2:$C$3001,MATCH(A954&amp;"|"&amp;B954,Numéros!$F$2:$F$3001,0))),""))</f>
        <v/>
      </c>
      <c r="M954" s="27" t="str">
        <f aca="false">IF(OR(G954="",G954="?"),"",IFERROR(INDEX(Pubs!$D$2:$D$3001,MATCH(G954,Pubs!$A$2:$A$3001,0))&amp;"",""))</f>
        <v/>
      </c>
      <c r="N954" s="27" t="n">
        <f aca="false">N(N953)+IF(AND(A954&lt;&gt;"",OR(Recherche!$C$4="",A954=Recherche!$C$4),OR(Recherche!$C$5="",B954&amp;""=Recherche!$C$5&amp;""),OR(Recherche!$C$6="",IFERROR(YEAR(L954),0)=Recherche!$C$6),OR(Recherche!$C$7="",ISNUMBER(SEARCH(Recherche!$C$7,H954))),OR(Recherche!$C$8="",J954=Recherche!$C$8),OR(Recherche!$C$9="",I954=Recherche!$C$9),OR(Recherche!$C$10="",G954&amp;""=Recherche!$C$10&amp;""),OR(Recherche!$C$11="",E954=Recherche!$C$11),OR(Recherche!$C$12="",ISNUMBER(SEARCH(Recherche!$C$12,M954&amp;" "&amp;F954)))),1,0)</f>
        <v>8</v>
      </c>
    </row>
    <row r="955" customFormat="false" ht="15" hidden="false" customHeight="false" outlineLevel="0" collapsed="false">
      <c r="A955" s="19"/>
      <c r="B955" s="19"/>
      <c r="C955" s="19"/>
      <c r="D955" s="19"/>
      <c r="E955" s="22"/>
      <c r="F955" s="19"/>
      <c r="G955" s="26" t="str">
        <f aca="false">IF(D955="","",IFERROR(VALUE(LEFT(D955,FIND(" |",D955&amp;" |")-1)),"?"))</f>
        <v/>
      </c>
      <c r="H955" s="27" t="str">
        <f aca="false">IF(G955="","",IF(G955="?","⚠ pub inconnue",IFERROR(INDEX(Pubs!$B$2:$B$3001,MATCH(G955,Pubs!$A$2:$A$3001,0))&amp;"","⚠ pub inconnue")))</f>
        <v/>
      </c>
      <c r="I955" s="27" t="str">
        <f aca="false">IF(OR(G955="",G955="?"),"",IFERROR(INDEX(Pubs!$C$2:$C$3001,MATCH(G955,Pubs!$A$2:$A$3001,0))&amp;"",""))</f>
        <v/>
      </c>
      <c r="J955" s="27" t="str">
        <f aca="false">IF(OR(G955="",G955="?"),"",IFERROR(INDEX(Pubs!$G$2:$G$3001,MATCH(G955,Pubs!$A$2:$A$3001,0))&amp;"",""))</f>
        <v/>
      </c>
      <c r="K955" s="28" t="str">
        <f aca="false">IF(OR(G955="",G955="?"),"",IFERROR(INDEX(Pubs!$E$2:$E$3001,MATCH(G955,Pubs!$A$2:$A$3001,0)),""))</f>
        <v/>
      </c>
      <c r="L955" s="29" t="str">
        <f aca="false">IF(A955="","",IFERROR(1/(1/INDEX(Numéros!$C$2:$C$3001,MATCH(A955&amp;"|"&amp;B955,Numéros!$F$2:$F$3001,0))),""))</f>
        <v/>
      </c>
      <c r="M955" s="27" t="str">
        <f aca="false">IF(OR(G955="",G955="?"),"",IFERROR(INDEX(Pubs!$D$2:$D$3001,MATCH(G955,Pubs!$A$2:$A$3001,0))&amp;"",""))</f>
        <v/>
      </c>
      <c r="N955" s="27" t="n">
        <f aca="false">N(N954)+IF(AND(A955&lt;&gt;"",OR(Recherche!$C$4="",A955=Recherche!$C$4),OR(Recherche!$C$5="",B955&amp;""=Recherche!$C$5&amp;""),OR(Recherche!$C$6="",IFERROR(YEAR(L955),0)=Recherche!$C$6),OR(Recherche!$C$7="",ISNUMBER(SEARCH(Recherche!$C$7,H955))),OR(Recherche!$C$8="",J955=Recherche!$C$8),OR(Recherche!$C$9="",I955=Recherche!$C$9),OR(Recherche!$C$10="",G955&amp;""=Recherche!$C$10&amp;""),OR(Recherche!$C$11="",E955=Recherche!$C$11),OR(Recherche!$C$12="",ISNUMBER(SEARCH(Recherche!$C$12,M955&amp;" "&amp;F955)))),1,0)</f>
        <v>8</v>
      </c>
    </row>
    <row r="956" customFormat="false" ht="15" hidden="false" customHeight="false" outlineLevel="0" collapsed="false">
      <c r="A956" s="19"/>
      <c r="B956" s="19"/>
      <c r="C956" s="19"/>
      <c r="D956" s="19"/>
      <c r="E956" s="22"/>
      <c r="F956" s="19"/>
      <c r="G956" s="26" t="str">
        <f aca="false">IF(D956="","",IFERROR(VALUE(LEFT(D956,FIND(" |",D956&amp;" |")-1)),"?"))</f>
        <v/>
      </c>
      <c r="H956" s="27" t="str">
        <f aca="false">IF(G956="","",IF(G956="?","⚠ pub inconnue",IFERROR(INDEX(Pubs!$B$2:$B$3001,MATCH(G956,Pubs!$A$2:$A$3001,0))&amp;"","⚠ pub inconnue")))</f>
        <v/>
      </c>
      <c r="I956" s="27" t="str">
        <f aca="false">IF(OR(G956="",G956="?"),"",IFERROR(INDEX(Pubs!$C$2:$C$3001,MATCH(G956,Pubs!$A$2:$A$3001,0))&amp;"",""))</f>
        <v/>
      </c>
      <c r="J956" s="27" t="str">
        <f aca="false">IF(OR(G956="",G956="?"),"",IFERROR(INDEX(Pubs!$G$2:$G$3001,MATCH(G956,Pubs!$A$2:$A$3001,0))&amp;"",""))</f>
        <v/>
      </c>
      <c r="K956" s="28" t="str">
        <f aca="false">IF(OR(G956="",G956="?"),"",IFERROR(INDEX(Pubs!$E$2:$E$3001,MATCH(G956,Pubs!$A$2:$A$3001,0)),""))</f>
        <v/>
      </c>
      <c r="L956" s="29" t="str">
        <f aca="false">IF(A956="","",IFERROR(1/(1/INDEX(Numéros!$C$2:$C$3001,MATCH(A956&amp;"|"&amp;B956,Numéros!$F$2:$F$3001,0))),""))</f>
        <v/>
      </c>
      <c r="M956" s="27" t="str">
        <f aca="false">IF(OR(G956="",G956="?"),"",IFERROR(INDEX(Pubs!$D$2:$D$3001,MATCH(G956,Pubs!$A$2:$A$3001,0))&amp;"",""))</f>
        <v/>
      </c>
      <c r="N956" s="27" t="n">
        <f aca="false">N(N955)+IF(AND(A956&lt;&gt;"",OR(Recherche!$C$4="",A956=Recherche!$C$4),OR(Recherche!$C$5="",B956&amp;""=Recherche!$C$5&amp;""),OR(Recherche!$C$6="",IFERROR(YEAR(L956),0)=Recherche!$C$6),OR(Recherche!$C$7="",ISNUMBER(SEARCH(Recherche!$C$7,H956))),OR(Recherche!$C$8="",J956=Recherche!$C$8),OR(Recherche!$C$9="",I956=Recherche!$C$9),OR(Recherche!$C$10="",G956&amp;""=Recherche!$C$10&amp;""),OR(Recherche!$C$11="",E956=Recherche!$C$11),OR(Recherche!$C$12="",ISNUMBER(SEARCH(Recherche!$C$12,M956&amp;" "&amp;F956)))),1,0)</f>
        <v>8</v>
      </c>
    </row>
    <row r="957" customFormat="false" ht="15" hidden="false" customHeight="false" outlineLevel="0" collapsed="false">
      <c r="A957" s="19"/>
      <c r="B957" s="19"/>
      <c r="C957" s="19"/>
      <c r="D957" s="19"/>
      <c r="E957" s="22"/>
      <c r="F957" s="19"/>
      <c r="G957" s="26" t="str">
        <f aca="false">IF(D957="","",IFERROR(VALUE(LEFT(D957,FIND(" |",D957&amp;" |")-1)),"?"))</f>
        <v/>
      </c>
      <c r="H957" s="27" t="str">
        <f aca="false">IF(G957="","",IF(G957="?","⚠ pub inconnue",IFERROR(INDEX(Pubs!$B$2:$B$3001,MATCH(G957,Pubs!$A$2:$A$3001,0))&amp;"","⚠ pub inconnue")))</f>
        <v/>
      </c>
      <c r="I957" s="27" t="str">
        <f aca="false">IF(OR(G957="",G957="?"),"",IFERROR(INDEX(Pubs!$C$2:$C$3001,MATCH(G957,Pubs!$A$2:$A$3001,0))&amp;"",""))</f>
        <v/>
      </c>
      <c r="J957" s="27" t="str">
        <f aca="false">IF(OR(G957="",G957="?"),"",IFERROR(INDEX(Pubs!$G$2:$G$3001,MATCH(G957,Pubs!$A$2:$A$3001,0))&amp;"",""))</f>
        <v/>
      </c>
      <c r="K957" s="28" t="str">
        <f aca="false">IF(OR(G957="",G957="?"),"",IFERROR(INDEX(Pubs!$E$2:$E$3001,MATCH(G957,Pubs!$A$2:$A$3001,0)),""))</f>
        <v/>
      </c>
      <c r="L957" s="29" t="str">
        <f aca="false">IF(A957="","",IFERROR(1/(1/INDEX(Numéros!$C$2:$C$3001,MATCH(A957&amp;"|"&amp;B957,Numéros!$F$2:$F$3001,0))),""))</f>
        <v/>
      </c>
      <c r="M957" s="27" t="str">
        <f aca="false">IF(OR(G957="",G957="?"),"",IFERROR(INDEX(Pubs!$D$2:$D$3001,MATCH(G957,Pubs!$A$2:$A$3001,0))&amp;"",""))</f>
        <v/>
      </c>
      <c r="N957" s="27" t="n">
        <f aca="false">N(N956)+IF(AND(A957&lt;&gt;"",OR(Recherche!$C$4="",A957=Recherche!$C$4),OR(Recherche!$C$5="",B957&amp;""=Recherche!$C$5&amp;""),OR(Recherche!$C$6="",IFERROR(YEAR(L957),0)=Recherche!$C$6),OR(Recherche!$C$7="",ISNUMBER(SEARCH(Recherche!$C$7,H957))),OR(Recherche!$C$8="",J957=Recherche!$C$8),OR(Recherche!$C$9="",I957=Recherche!$C$9),OR(Recherche!$C$10="",G957&amp;""=Recherche!$C$10&amp;""),OR(Recherche!$C$11="",E957=Recherche!$C$11),OR(Recherche!$C$12="",ISNUMBER(SEARCH(Recherche!$C$12,M957&amp;" "&amp;F957)))),1,0)</f>
        <v>8</v>
      </c>
    </row>
    <row r="958" customFormat="false" ht="15" hidden="false" customHeight="false" outlineLevel="0" collapsed="false">
      <c r="A958" s="19"/>
      <c r="B958" s="19"/>
      <c r="C958" s="19"/>
      <c r="D958" s="19"/>
      <c r="E958" s="22"/>
      <c r="F958" s="19"/>
      <c r="G958" s="26" t="str">
        <f aca="false">IF(D958="","",IFERROR(VALUE(LEFT(D958,FIND(" |",D958&amp;" |")-1)),"?"))</f>
        <v/>
      </c>
      <c r="H958" s="27" t="str">
        <f aca="false">IF(G958="","",IF(G958="?","⚠ pub inconnue",IFERROR(INDEX(Pubs!$B$2:$B$3001,MATCH(G958,Pubs!$A$2:$A$3001,0))&amp;"","⚠ pub inconnue")))</f>
        <v/>
      </c>
      <c r="I958" s="27" t="str">
        <f aca="false">IF(OR(G958="",G958="?"),"",IFERROR(INDEX(Pubs!$C$2:$C$3001,MATCH(G958,Pubs!$A$2:$A$3001,0))&amp;"",""))</f>
        <v/>
      </c>
      <c r="J958" s="27" t="str">
        <f aca="false">IF(OR(G958="",G958="?"),"",IFERROR(INDEX(Pubs!$G$2:$G$3001,MATCH(G958,Pubs!$A$2:$A$3001,0))&amp;"",""))</f>
        <v/>
      </c>
      <c r="K958" s="28" t="str">
        <f aca="false">IF(OR(G958="",G958="?"),"",IFERROR(INDEX(Pubs!$E$2:$E$3001,MATCH(G958,Pubs!$A$2:$A$3001,0)),""))</f>
        <v/>
      </c>
      <c r="L958" s="29" t="str">
        <f aca="false">IF(A958="","",IFERROR(1/(1/INDEX(Numéros!$C$2:$C$3001,MATCH(A958&amp;"|"&amp;B958,Numéros!$F$2:$F$3001,0))),""))</f>
        <v/>
      </c>
      <c r="M958" s="27" t="str">
        <f aca="false">IF(OR(G958="",G958="?"),"",IFERROR(INDEX(Pubs!$D$2:$D$3001,MATCH(G958,Pubs!$A$2:$A$3001,0))&amp;"",""))</f>
        <v/>
      </c>
      <c r="N958" s="27" t="n">
        <f aca="false">N(N957)+IF(AND(A958&lt;&gt;"",OR(Recherche!$C$4="",A958=Recherche!$C$4),OR(Recherche!$C$5="",B958&amp;""=Recherche!$C$5&amp;""),OR(Recherche!$C$6="",IFERROR(YEAR(L958),0)=Recherche!$C$6),OR(Recherche!$C$7="",ISNUMBER(SEARCH(Recherche!$C$7,H958))),OR(Recherche!$C$8="",J958=Recherche!$C$8),OR(Recherche!$C$9="",I958=Recherche!$C$9),OR(Recherche!$C$10="",G958&amp;""=Recherche!$C$10&amp;""),OR(Recherche!$C$11="",E958=Recherche!$C$11),OR(Recherche!$C$12="",ISNUMBER(SEARCH(Recherche!$C$12,M958&amp;" "&amp;F958)))),1,0)</f>
        <v>8</v>
      </c>
    </row>
    <row r="959" customFormat="false" ht="15" hidden="false" customHeight="false" outlineLevel="0" collapsed="false">
      <c r="A959" s="19"/>
      <c r="B959" s="19"/>
      <c r="C959" s="19"/>
      <c r="D959" s="19"/>
      <c r="E959" s="22"/>
      <c r="F959" s="19"/>
      <c r="G959" s="26" t="str">
        <f aca="false">IF(D959="","",IFERROR(VALUE(LEFT(D959,FIND(" |",D959&amp;" |")-1)),"?"))</f>
        <v/>
      </c>
      <c r="H959" s="27" t="str">
        <f aca="false">IF(G959="","",IF(G959="?","⚠ pub inconnue",IFERROR(INDEX(Pubs!$B$2:$B$3001,MATCH(G959,Pubs!$A$2:$A$3001,0))&amp;"","⚠ pub inconnue")))</f>
        <v/>
      </c>
      <c r="I959" s="27" t="str">
        <f aca="false">IF(OR(G959="",G959="?"),"",IFERROR(INDEX(Pubs!$C$2:$C$3001,MATCH(G959,Pubs!$A$2:$A$3001,0))&amp;"",""))</f>
        <v/>
      </c>
      <c r="J959" s="27" t="str">
        <f aca="false">IF(OR(G959="",G959="?"),"",IFERROR(INDEX(Pubs!$G$2:$G$3001,MATCH(G959,Pubs!$A$2:$A$3001,0))&amp;"",""))</f>
        <v/>
      </c>
      <c r="K959" s="28" t="str">
        <f aca="false">IF(OR(G959="",G959="?"),"",IFERROR(INDEX(Pubs!$E$2:$E$3001,MATCH(G959,Pubs!$A$2:$A$3001,0)),""))</f>
        <v/>
      </c>
      <c r="L959" s="29" t="str">
        <f aca="false">IF(A959="","",IFERROR(1/(1/INDEX(Numéros!$C$2:$C$3001,MATCH(A959&amp;"|"&amp;B959,Numéros!$F$2:$F$3001,0))),""))</f>
        <v/>
      </c>
      <c r="M959" s="27" t="str">
        <f aca="false">IF(OR(G959="",G959="?"),"",IFERROR(INDEX(Pubs!$D$2:$D$3001,MATCH(G959,Pubs!$A$2:$A$3001,0))&amp;"",""))</f>
        <v/>
      </c>
      <c r="N959" s="27" t="n">
        <f aca="false">N(N958)+IF(AND(A959&lt;&gt;"",OR(Recherche!$C$4="",A959=Recherche!$C$4),OR(Recherche!$C$5="",B959&amp;""=Recherche!$C$5&amp;""),OR(Recherche!$C$6="",IFERROR(YEAR(L959),0)=Recherche!$C$6),OR(Recherche!$C$7="",ISNUMBER(SEARCH(Recherche!$C$7,H959))),OR(Recherche!$C$8="",J959=Recherche!$C$8),OR(Recherche!$C$9="",I959=Recherche!$C$9),OR(Recherche!$C$10="",G959&amp;""=Recherche!$C$10&amp;""),OR(Recherche!$C$11="",E959=Recherche!$C$11),OR(Recherche!$C$12="",ISNUMBER(SEARCH(Recherche!$C$12,M959&amp;" "&amp;F959)))),1,0)</f>
        <v>8</v>
      </c>
    </row>
    <row r="960" customFormat="false" ht="15" hidden="false" customHeight="false" outlineLevel="0" collapsed="false">
      <c r="A960" s="19"/>
      <c r="B960" s="19"/>
      <c r="C960" s="19"/>
      <c r="D960" s="19"/>
      <c r="E960" s="22"/>
      <c r="F960" s="19"/>
      <c r="G960" s="26" t="str">
        <f aca="false">IF(D960="","",IFERROR(VALUE(LEFT(D960,FIND(" |",D960&amp;" |")-1)),"?"))</f>
        <v/>
      </c>
      <c r="H960" s="27" t="str">
        <f aca="false">IF(G960="","",IF(G960="?","⚠ pub inconnue",IFERROR(INDEX(Pubs!$B$2:$B$3001,MATCH(G960,Pubs!$A$2:$A$3001,0))&amp;"","⚠ pub inconnue")))</f>
        <v/>
      </c>
      <c r="I960" s="27" t="str">
        <f aca="false">IF(OR(G960="",G960="?"),"",IFERROR(INDEX(Pubs!$C$2:$C$3001,MATCH(G960,Pubs!$A$2:$A$3001,0))&amp;"",""))</f>
        <v/>
      </c>
      <c r="J960" s="27" t="str">
        <f aca="false">IF(OR(G960="",G960="?"),"",IFERROR(INDEX(Pubs!$G$2:$G$3001,MATCH(G960,Pubs!$A$2:$A$3001,0))&amp;"",""))</f>
        <v/>
      </c>
      <c r="K960" s="28" t="str">
        <f aca="false">IF(OR(G960="",G960="?"),"",IFERROR(INDEX(Pubs!$E$2:$E$3001,MATCH(G960,Pubs!$A$2:$A$3001,0)),""))</f>
        <v/>
      </c>
      <c r="L960" s="29" t="str">
        <f aca="false">IF(A960="","",IFERROR(1/(1/INDEX(Numéros!$C$2:$C$3001,MATCH(A960&amp;"|"&amp;B960,Numéros!$F$2:$F$3001,0))),""))</f>
        <v/>
      </c>
      <c r="M960" s="27" t="str">
        <f aca="false">IF(OR(G960="",G960="?"),"",IFERROR(INDEX(Pubs!$D$2:$D$3001,MATCH(G960,Pubs!$A$2:$A$3001,0))&amp;"",""))</f>
        <v/>
      </c>
      <c r="N960" s="27" t="n">
        <f aca="false">N(N959)+IF(AND(A960&lt;&gt;"",OR(Recherche!$C$4="",A960=Recherche!$C$4),OR(Recherche!$C$5="",B960&amp;""=Recherche!$C$5&amp;""),OR(Recherche!$C$6="",IFERROR(YEAR(L960),0)=Recherche!$C$6),OR(Recherche!$C$7="",ISNUMBER(SEARCH(Recherche!$C$7,H960))),OR(Recherche!$C$8="",J960=Recherche!$C$8),OR(Recherche!$C$9="",I960=Recherche!$C$9),OR(Recherche!$C$10="",G960&amp;""=Recherche!$C$10&amp;""),OR(Recherche!$C$11="",E960=Recherche!$C$11),OR(Recherche!$C$12="",ISNUMBER(SEARCH(Recherche!$C$12,M960&amp;" "&amp;F960)))),1,0)</f>
        <v>8</v>
      </c>
    </row>
    <row r="961" customFormat="false" ht="15" hidden="false" customHeight="false" outlineLevel="0" collapsed="false">
      <c r="A961" s="19"/>
      <c r="B961" s="19"/>
      <c r="C961" s="19"/>
      <c r="D961" s="19"/>
      <c r="E961" s="22"/>
      <c r="F961" s="19"/>
      <c r="G961" s="26" t="str">
        <f aca="false">IF(D961="","",IFERROR(VALUE(LEFT(D961,FIND(" |",D961&amp;" |")-1)),"?"))</f>
        <v/>
      </c>
      <c r="H961" s="27" t="str">
        <f aca="false">IF(G961="","",IF(G961="?","⚠ pub inconnue",IFERROR(INDEX(Pubs!$B$2:$B$3001,MATCH(G961,Pubs!$A$2:$A$3001,0))&amp;"","⚠ pub inconnue")))</f>
        <v/>
      </c>
      <c r="I961" s="27" t="str">
        <f aca="false">IF(OR(G961="",G961="?"),"",IFERROR(INDEX(Pubs!$C$2:$C$3001,MATCH(G961,Pubs!$A$2:$A$3001,0))&amp;"",""))</f>
        <v/>
      </c>
      <c r="J961" s="27" t="str">
        <f aca="false">IF(OR(G961="",G961="?"),"",IFERROR(INDEX(Pubs!$G$2:$G$3001,MATCH(G961,Pubs!$A$2:$A$3001,0))&amp;"",""))</f>
        <v/>
      </c>
      <c r="K961" s="28" t="str">
        <f aca="false">IF(OR(G961="",G961="?"),"",IFERROR(INDEX(Pubs!$E$2:$E$3001,MATCH(G961,Pubs!$A$2:$A$3001,0)),""))</f>
        <v/>
      </c>
      <c r="L961" s="29" t="str">
        <f aca="false">IF(A961="","",IFERROR(1/(1/INDEX(Numéros!$C$2:$C$3001,MATCH(A961&amp;"|"&amp;B961,Numéros!$F$2:$F$3001,0))),""))</f>
        <v/>
      </c>
      <c r="M961" s="27" t="str">
        <f aca="false">IF(OR(G961="",G961="?"),"",IFERROR(INDEX(Pubs!$D$2:$D$3001,MATCH(G961,Pubs!$A$2:$A$3001,0))&amp;"",""))</f>
        <v/>
      </c>
      <c r="N961" s="27" t="n">
        <f aca="false">N(N960)+IF(AND(A961&lt;&gt;"",OR(Recherche!$C$4="",A961=Recherche!$C$4),OR(Recherche!$C$5="",B961&amp;""=Recherche!$C$5&amp;""),OR(Recherche!$C$6="",IFERROR(YEAR(L961),0)=Recherche!$C$6),OR(Recherche!$C$7="",ISNUMBER(SEARCH(Recherche!$C$7,H961))),OR(Recherche!$C$8="",J961=Recherche!$C$8),OR(Recherche!$C$9="",I961=Recherche!$C$9),OR(Recherche!$C$10="",G961&amp;""=Recherche!$C$10&amp;""),OR(Recherche!$C$11="",E961=Recherche!$C$11),OR(Recherche!$C$12="",ISNUMBER(SEARCH(Recherche!$C$12,M961&amp;" "&amp;F961)))),1,0)</f>
        <v>8</v>
      </c>
    </row>
    <row r="962" customFormat="false" ht="15" hidden="false" customHeight="false" outlineLevel="0" collapsed="false">
      <c r="A962" s="19"/>
      <c r="B962" s="19"/>
      <c r="C962" s="19"/>
      <c r="D962" s="19"/>
      <c r="E962" s="22"/>
      <c r="F962" s="19"/>
      <c r="G962" s="26" t="str">
        <f aca="false">IF(D962="","",IFERROR(VALUE(LEFT(D962,FIND(" |",D962&amp;" |")-1)),"?"))</f>
        <v/>
      </c>
      <c r="H962" s="27" t="str">
        <f aca="false">IF(G962="","",IF(G962="?","⚠ pub inconnue",IFERROR(INDEX(Pubs!$B$2:$B$3001,MATCH(G962,Pubs!$A$2:$A$3001,0))&amp;"","⚠ pub inconnue")))</f>
        <v/>
      </c>
      <c r="I962" s="27" t="str">
        <f aca="false">IF(OR(G962="",G962="?"),"",IFERROR(INDEX(Pubs!$C$2:$C$3001,MATCH(G962,Pubs!$A$2:$A$3001,0))&amp;"",""))</f>
        <v/>
      </c>
      <c r="J962" s="27" t="str">
        <f aca="false">IF(OR(G962="",G962="?"),"",IFERROR(INDEX(Pubs!$G$2:$G$3001,MATCH(G962,Pubs!$A$2:$A$3001,0))&amp;"",""))</f>
        <v/>
      </c>
      <c r="K962" s="28" t="str">
        <f aca="false">IF(OR(G962="",G962="?"),"",IFERROR(INDEX(Pubs!$E$2:$E$3001,MATCH(G962,Pubs!$A$2:$A$3001,0)),""))</f>
        <v/>
      </c>
      <c r="L962" s="29" t="str">
        <f aca="false">IF(A962="","",IFERROR(1/(1/INDEX(Numéros!$C$2:$C$3001,MATCH(A962&amp;"|"&amp;B962,Numéros!$F$2:$F$3001,0))),""))</f>
        <v/>
      </c>
      <c r="M962" s="27" t="str">
        <f aca="false">IF(OR(G962="",G962="?"),"",IFERROR(INDEX(Pubs!$D$2:$D$3001,MATCH(G962,Pubs!$A$2:$A$3001,0))&amp;"",""))</f>
        <v/>
      </c>
      <c r="N962" s="27" t="n">
        <f aca="false">N(N961)+IF(AND(A962&lt;&gt;"",OR(Recherche!$C$4="",A962=Recherche!$C$4),OR(Recherche!$C$5="",B962&amp;""=Recherche!$C$5&amp;""),OR(Recherche!$C$6="",IFERROR(YEAR(L962),0)=Recherche!$C$6),OR(Recherche!$C$7="",ISNUMBER(SEARCH(Recherche!$C$7,H962))),OR(Recherche!$C$8="",J962=Recherche!$C$8),OR(Recherche!$C$9="",I962=Recherche!$C$9),OR(Recherche!$C$10="",G962&amp;""=Recherche!$C$10&amp;""),OR(Recherche!$C$11="",E962=Recherche!$C$11),OR(Recherche!$C$12="",ISNUMBER(SEARCH(Recherche!$C$12,M962&amp;" "&amp;F962)))),1,0)</f>
        <v>8</v>
      </c>
    </row>
    <row r="963" customFormat="false" ht="15" hidden="false" customHeight="false" outlineLevel="0" collapsed="false">
      <c r="A963" s="19"/>
      <c r="B963" s="19"/>
      <c r="C963" s="19"/>
      <c r="D963" s="19"/>
      <c r="E963" s="22"/>
      <c r="F963" s="19"/>
      <c r="G963" s="26" t="str">
        <f aca="false">IF(D963="","",IFERROR(VALUE(LEFT(D963,FIND(" |",D963&amp;" |")-1)),"?"))</f>
        <v/>
      </c>
      <c r="H963" s="27" t="str">
        <f aca="false">IF(G963="","",IF(G963="?","⚠ pub inconnue",IFERROR(INDEX(Pubs!$B$2:$B$3001,MATCH(G963,Pubs!$A$2:$A$3001,0))&amp;"","⚠ pub inconnue")))</f>
        <v/>
      </c>
      <c r="I963" s="27" t="str">
        <f aca="false">IF(OR(G963="",G963="?"),"",IFERROR(INDEX(Pubs!$C$2:$C$3001,MATCH(G963,Pubs!$A$2:$A$3001,0))&amp;"",""))</f>
        <v/>
      </c>
      <c r="J963" s="27" t="str">
        <f aca="false">IF(OR(G963="",G963="?"),"",IFERROR(INDEX(Pubs!$G$2:$G$3001,MATCH(G963,Pubs!$A$2:$A$3001,0))&amp;"",""))</f>
        <v/>
      </c>
      <c r="K963" s="28" t="str">
        <f aca="false">IF(OR(G963="",G963="?"),"",IFERROR(INDEX(Pubs!$E$2:$E$3001,MATCH(G963,Pubs!$A$2:$A$3001,0)),""))</f>
        <v/>
      </c>
      <c r="L963" s="29" t="str">
        <f aca="false">IF(A963="","",IFERROR(1/(1/INDEX(Numéros!$C$2:$C$3001,MATCH(A963&amp;"|"&amp;B963,Numéros!$F$2:$F$3001,0))),""))</f>
        <v/>
      </c>
      <c r="M963" s="27" t="str">
        <f aca="false">IF(OR(G963="",G963="?"),"",IFERROR(INDEX(Pubs!$D$2:$D$3001,MATCH(G963,Pubs!$A$2:$A$3001,0))&amp;"",""))</f>
        <v/>
      </c>
      <c r="N963" s="27" t="n">
        <f aca="false">N(N962)+IF(AND(A963&lt;&gt;"",OR(Recherche!$C$4="",A963=Recherche!$C$4),OR(Recherche!$C$5="",B963&amp;""=Recherche!$C$5&amp;""),OR(Recherche!$C$6="",IFERROR(YEAR(L963),0)=Recherche!$C$6),OR(Recherche!$C$7="",ISNUMBER(SEARCH(Recherche!$C$7,H963))),OR(Recherche!$C$8="",J963=Recherche!$C$8),OR(Recherche!$C$9="",I963=Recherche!$C$9),OR(Recherche!$C$10="",G963&amp;""=Recherche!$C$10&amp;""),OR(Recherche!$C$11="",E963=Recherche!$C$11),OR(Recherche!$C$12="",ISNUMBER(SEARCH(Recherche!$C$12,M963&amp;" "&amp;F963)))),1,0)</f>
        <v>8</v>
      </c>
    </row>
    <row r="964" customFormat="false" ht="15" hidden="false" customHeight="false" outlineLevel="0" collapsed="false">
      <c r="A964" s="19"/>
      <c r="B964" s="19"/>
      <c r="C964" s="19"/>
      <c r="D964" s="19"/>
      <c r="E964" s="22"/>
      <c r="F964" s="19"/>
      <c r="G964" s="26" t="str">
        <f aca="false">IF(D964="","",IFERROR(VALUE(LEFT(D964,FIND(" |",D964&amp;" |")-1)),"?"))</f>
        <v/>
      </c>
      <c r="H964" s="27" t="str">
        <f aca="false">IF(G964="","",IF(G964="?","⚠ pub inconnue",IFERROR(INDEX(Pubs!$B$2:$B$3001,MATCH(G964,Pubs!$A$2:$A$3001,0))&amp;"","⚠ pub inconnue")))</f>
        <v/>
      </c>
      <c r="I964" s="27" t="str">
        <f aca="false">IF(OR(G964="",G964="?"),"",IFERROR(INDEX(Pubs!$C$2:$C$3001,MATCH(G964,Pubs!$A$2:$A$3001,0))&amp;"",""))</f>
        <v/>
      </c>
      <c r="J964" s="27" t="str">
        <f aca="false">IF(OR(G964="",G964="?"),"",IFERROR(INDEX(Pubs!$G$2:$G$3001,MATCH(G964,Pubs!$A$2:$A$3001,0))&amp;"",""))</f>
        <v/>
      </c>
      <c r="K964" s="28" t="str">
        <f aca="false">IF(OR(G964="",G964="?"),"",IFERROR(INDEX(Pubs!$E$2:$E$3001,MATCH(G964,Pubs!$A$2:$A$3001,0)),""))</f>
        <v/>
      </c>
      <c r="L964" s="29" t="str">
        <f aca="false">IF(A964="","",IFERROR(1/(1/INDEX(Numéros!$C$2:$C$3001,MATCH(A964&amp;"|"&amp;B964,Numéros!$F$2:$F$3001,0))),""))</f>
        <v/>
      </c>
      <c r="M964" s="27" t="str">
        <f aca="false">IF(OR(G964="",G964="?"),"",IFERROR(INDEX(Pubs!$D$2:$D$3001,MATCH(G964,Pubs!$A$2:$A$3001,0))&amp;"",""))</f>
        <v/>
      </c>
      <c r="N964" s="27" t="n">
        <f aca="false">N(N963)+IF(AND(A964&lt;&gt;"",OR(Recherche!$C$4="",A964=Recherche!$C$4),OR(Recherche!$C$5="",B964&amp;""=Recherche!$C$5&amp;""),OR(Recherche!$C$6="",IFERROR(YEAR(L964),0)=Recherche!$C$6),OR(Recherche!$C$7="",ISNUMBER(SEARCH(Recherche!$C$7,H964))),OR(Recherche!$C$8="",J964=Recherche!$C$8),OR(Recherche!$C$9="",I964=Recherche!$C$9),OR(Recherche!$C$10="",G964&amp;""=Recherche!$C$10&amp;""),OR(Recherche!$C$11="",E964=Recherche!$C$11),OR(Recherche!$C$12="",ISNUMBER(SEARCH(Recherche!$C$12,M964&amp;" "&amp;F964)))),1,0)</f>
        <v>8</v>
      </c>
    </row>
    <row r="965" customFormat="false" ht="15" hidden="false" customHeight="false" outlineLevel="0" collapsed="false">
      <c r="A965" s="19"/>
      <c r="B965" s="19"/>
      <c r="C965" s="19"/>
      <c r="D965" s="19"/>
      <c r="E965" s="22"/>
      <c r="F965" s="19"/>
      <c r="G965" s="26" t="str">
        <f aca="false">IF(D965="","",IFERROR(VALUE(LEFT(D965,FIND(" |",D965&amp;" |")-1)),"?"))</f>
        <v/>
      </c>
      <c r="H965" s="27" t="str">
        <f aca="false">IF(G965="","",IF(G965="?","⚠ pub inconnue",IFERROR(INDEX(Pubs!$B$2:$B$3001,MATCH(G965,Pubs!$A$2:$A$3001,0))&amp;"","⚠ pub inconnue")))</f>
        <v/>
      </c>
      <c r="I965" s="27" t="str">
        <f aca="false">IF(OR(G965="",G965="?"),"",IFERROR(INDEX(Pubs!$C$2:$C$3001,MATCH(G965,Pubs!$A$2:$A$3001,0))&amp;"",""))</f>
        <v/>
      </c>
      <c r="J965" s="27" t="str">
        <f aca="false">IF(OR(G965="",G965="?"),"",IFERROR(INDEX(Pubs!$G$2:$G$3001,MATCH(G965,Pubs!$A$2:$A$3001,0))&amp;"",""))</f>
        <v/>
      </c>
      <c r="K965" s="28" t="str">
        <f aca="false">IF(OR(G965="",G965="?"),"",IFERROR(INDEX(Pubs!$E$2:$E$3001,MATCH(G965,Pubs!$A$2:$A$3001,0)),""))</f>
        <v/>
      </c>
      <c r="L965" s="29" t="str">
        <f aca="false">IF(A965="","",IFERROR(1/(1/INDEX(Numéros!$C$2:$C$3001,MATCH(A965&amp;"|"&amp;B965,Numéros!$F$2:$F$3001,0))),""))</f>
        <v/>
      </c>
      <c r="M965" s="27" t="str">
        <f aca="false">IF(OR(G965="",G965="?"),"",IFERROR(INDEX(Pubs!$D$2:$D$3001,MATCH(G965,Pubs!$A$2:$A$3001,0))&amp;"",""))</f>
        <v/>
      </c>
      <c r="N965" s="27" t="n">
        <f aca="false">N(N964)+IF(AND(A965&lt;&gt;"",OR(Recherche!$C$4="",A965=Recherche!$C$4),OR(Recherche!$C$5="",B965&amp;""=Recherche!$C$5&amp;""),OR(Recherche!$C$6="",IFERROR(YEAR(L965),0)=Recherche!$C$6),OR(Recherche!$C$7="",ISNUMBER(SEARCH(Recherche!$C$7,H965))),OR(Recherche!$C$8="",J965=Recherche!$C$8),OR(Recherche!$C$9="",I965=Recherche!$C$9),OR(Recherche!$C$10="",G965&amp;""=Recherche!$C$10&amp;""),OR(Recherche!$C$11="",E965=Recherche!$C$11),OR(Recherche!$C$12="",ISNUMBER(SEARCH(Recherche!$C$12,M965&amp;" "&amp;F965)))),1,0)</f>
        <v>8</v>
      </c>
    </row>
    <row r="966" customFormat="false" ht="15" hidden="false" customHeight="false" outlineLevel="0" collapsed="false">
      <c r="A966" s="19"/>
      <c r="B966" s="19"/>
      <c r="C966" s="19"/>
      <c r="D966" s="19"/>
      <c r="E966" s="22"/>
      <c r="F966" s="19"/>
      <c r="G966" s="26" t="str">
        <f aca="false">IF(D966="","",IFERROR(VALUE(LEFT(D966,FIND(" |",D966&amp;" |")-1)),"?"))</f>
        <v/>
      </c>
      <c r="H966" s="27" t="str">
        <f aca="false">IF(G966="","",IF(G966="?","⚠ pub inconnue",IFERROR(INDEX(Pubs!$B$2:$B$3001,MATCH(G966,Pubs!$A$2:$A$3001,0))&amp;"","⚠ pub inconnue")))</f>
        <v/>
      </c>
      <c r="I966" s="27" t="str">
        <f aca="false">IF(OR(G966="",G966="?"),"",IFERROR(INDEX(Pubs!$C$2:$C$3001,MATCH(G966,Pubs!$A$2:$A$3001,0))&amp;"",""))</f>
        <v/>
      </c>
      <c r="J966" s="27" t="str">
        <f aca="false">IF(OR(G966="",G966="?"),"",IFERROR(INDEX(Pubs!$G$2:$G$3001,MATCH(G966,Pubs!$A$2:$A$3001,0))&amp;"",""))</f>
        <v/>
      </c>
      <c r="K966" s="28" t="str">
        <f aca="false">IF(OR(G966="",G966="?"),"",IFERROR(INDEX(Pubs!$E$2:$E$3001,MATCH(G966,Pubs!$A$2:$A$3001,0)),""))</f>
        <v/>
      </c>
      <c r="L966" s="29" t="str">
        <f aca="false">IF(A966="","",IFERROR(1/(1/INDEX(Numéros!$C$2:$C$3001,MATCH(A966&amp;"|"&amp;B966,Numéros!$F$2:$F$3001,0))),""))</f>
        <v/>
      </c>
      <c r="M966" s="27" t="str">
        <f aca="false">IF(OR(G966="",G966="?"),"",IFERROR(INDEX(Pubs!$D$2:$D$3001,MATCH(G966,Pubs!$A$2:$A$3001,0))&amp;"",""))</f>
        <v/>
      </c>
      <c r="N966" s="27" t="n">
        <f aca="false">N(N965)+IF(AND(A966&lt;&gt;"",OR(Recherche!$C$4="",A966=Recherche!$C$4),OR(Recherche!$C$5="",B966&amp;""=Recherche!$C$5&amp;""),OR(Recherche!$C$6="",IFERROR(YEAR(L966),0)=Recherche!$C$6),OR(Recherche!$C$7="",ISNUMBER(SEARCH(Recherche!$C$7,H966))),OR(Recherche!$C$8="",J966=Recherche!$C$8),OR(Recherche!$C$9="",I966=Recherche!$C$9),OR(Recherche!$C$10="",G966&amp;""=Recherche!$C$10&amp;""),OR(Recherche!$C$11="",E966=Recherche!$C$11),OR(Recherche!$C$12="",ISNUMBER(SEARCH(Recherche!$C$12,M966&amp;" "&amp;F966)))),1,0)</f>
        <v>8</v>
      </c>
    </row>
    <row r="967" customFormat="false" ht="15" hidden="false" customHeight="false" outlineLevel="0" collapsed="false">
      <c r="A967" s="19"/>
      <c r="B967" s="19"/>
      <c r="C967" s="19"/>
      <c r="D967" s="19"/>
      <c r="E967" s="22"/>
      <c r="F967" s="19"/>
      <c r="G967" s="26" t="str">
        <f aca="false">IF(D967="","",IFERROR(VALUE(LEFT(D967,FIND(" |",D967&amp;" |")-1)),"?"))</f>
        <v/>
      </c>
      <c r="H967" s="27" t="str">
        <f aca="false">IF(G967="","",IF(G967="?","⚠ pub inconnue",IFERROR(INDEX(Pubs!$B$2:$B$3001,MATCH(G967,Pubs!$A$2:$A$3001,0))&amp;"","⚠ pub inconnue")))</f>
        <v/>
      </c>
      <c r="I967" s="27" t="str">
        <f aca="false">IF(OR(G967="",G967="?"),"",IFERROR(INDEX(Pubs!$C$2:$C$3001,MATCH(G967,Pubs!$A$2:$A$3001,0))&amp;"",""))</f>
        <v/>
      </c>
      <c r="J967" s="27" t="str">
        <f aca="false">IF(OR(G967="",G967="?"),"",IFERROR(INDEX(Pubs!$G$2:$G$3001,MATCH(G967,Pubs!$A$2:$A$3001,0))&amp;"",""))</f>
        <v/>
      </c>
      <c r="K967" s="28" t="str">
        <f aca="false">IF(OR(G967="",G967="?"),"",IFERROR(INDEX(Pubs!$E$2:$E$3001,MATCH(G967,Pubs!$A$2:$A$3001,0)),""))</f>
        <v/>
      </c>
      <c r="L967" s="29" t="str">
        <f aca="false">IF(A967="","",IFERROR(1/(1/INDEX(Numéros!$C$2:$C$3001,MATCH(A967&amp;"|"&amp;B967,Numéros!$F$2:$F$3001,0))),""))</f>
        <v/>
      </c>
      <c r="M967" s="27" t="str">
        <f aca="false">IF(OR(G967="",G967="?"),"",IFERROR(INDEX(Pubs!$D$2:$D$3001,MATCH(G967,Pubs!$A$2:$A$3001,0))&amp;"",""))</f>
        <v/>
      </c>
      <c r="N967" s="27" t="n">
        <f aca="false">N(N966)+IF(AND(A967&lt;&gt;"",OR(Recherche!$C$4="",A967=Recherche!$C$4),OR(Recherche!$C$5="",B967&amp;""=Recherche!$C$5&amp;""),OR(Recherche!$C$6="",IFERROR(YEAR(L967),0)=Recherche!$C$6),OR(Recherche!$C$7="",ISNUMBER(SEARCH(Recherche!$C$7,H967))),OR(Recherche!$C$8="",J967=Recherche!$C$8),OR(Recherche!$C$9="",I967=Recherche!$C$9),OR(Recherche!$C$10="",G967&amp;""=Recherche!$C$10&amp;""),OR(Recherche!$C$11="",E967=Recherche!$C$11),OR(Recherche!$C$12="",ISNUMBER(SEARCH(Recherche!$C$12,M967&amp;" "&amp;F967)))),1,0)</f>
        <v>8</v>
      </c>
    </row>
    <row r="968" customFormat="false" ht="15" hidden="false" customHeight="false" outlineLevel="0" collapsed="false">
      <c r="A968" s="19"/>
      <c r="B968" s="19"/>
      <c r="C968" s="19"/>
      <c r="D968" s="19"/>
      <c r="E968" s="22"/>
      <c r="F968" s="19"/>
      <c r="G968" s="26" t="str">
        <f aca="false">IF(D968="","",IFERROR(VALUE(LEFT(D968,FIND(" |",D968&amp;" |")-1)),"?"))</f>
        <v/>
      </c>
      <c r="H968" s="27" t="str">
        <f aca="false">IF(G968="","",IF(G968="?","⚠ pub inconnue",IFERROR(INDEX(Pubs!$B$2:$B$3001,MATCH(G968,Pubs!$A$2:$A$3001,0))&amp;"","⚠ pub inconnue")))</f>
        <v/>
      </c>
      <c r="I968" s="27" t="str">
        <f aca="false">IF(OR(G968="",G968="?"),"",IFERROR(INDEX(Pubs!$C$2:$C$3001,MATCH(G968,Pubs!$A$2:$A$3001,0))&amp;"",""))</f>
        <v/>
      </c>
      <c r="J968" s="27" t="str">
        <f aca="false">IF(OR(G968="",G968="?"),"",IFERROR(INDEX(Pubs!$G$2:$G$3001,MATCH(G968,Pubs!$A$2:$A$3001,0))&amp;"",""))</f>
        <v/>
      </c>
      <c r="K968" s="28" t="str">
        <f aca="false">IF(OR(G968="",G968="?"),"",IFERROR(INDEX(Pubs!$E$2:$E$3001,MATCH(G968,Pubs!$A$2:$A$3001,0)),""))</f>
        <v/>
      </c>
      <c r="L968" s="29" t="str">
        <f aca="false">IF(A968="","",IFERROR(1/(1/INDEX(Numéros!$C$2:$C$3001,MATCH(A968&amp;"|"&amp;B968,Numéros!$F$2:$F$3001,0))),""))</f>
        <v/>
      </c>
      <c r="M968" s="27" t="str">
        <f aca="false">IF(OR(G968="",G968="?"),"",IFERROR(INDEX(Pubs!$D$2:$D$3001,MATCH(G968,Pubs!$A$2:$A$3001,0))&amp;"",""))</f>
        <v/>
      </c>
      <c r="N968" s="27" t="n">
        <f aca="false">N(N967)+IF(AND(A968&lt;&gt;"",OR(Recherche!$C$4="",A968=Recherche!$C$4),OR(Recherche!$C$5="",B968&amp;""=Recherche!$C$5&amp;""),OR(Recherche!$C$6="",IFERROR(YEAR(L968),0)=Recherche!$C$6),OR(Recherche!$C$7="",ISNUMBER(SEARCH(Recherche!$C$7,H968))),OR(Recherche!$C$8="",J968=Recherche!$C$8),OR(Recherche!$C$9="",I968=Recherche!$C$9),OR(Recherche!$C$10="",G968&amp;""=Recherche!$C$10&amp;""),OR(Recherche!$C$11="",E968=Recherche!$C$11),OR(Recherche!$C$12="",ISNUMBER(SEARCH(Recherche!$C$12,M968&amp;" "&amp;F968)))),1,0)</f>
        <v>8</v>
      </c>
    </row>
    <row r="969" customFormat="false" ht="15" hidden="false" customHeight="false" outlineLevel="0" collapsed="false">
      <c r="A969" s="19"/>
      <c r="B969" s="19"/>
      <c r="C969" s="19"/>
      <c r="D969" s="19"/>
      <c r="E969" s="22"/>
      <c r="F969" s="19"/>
      <c r="G969" s="26" t="str">
        <f aca="false">IF(D969="","",IFERROR(VALUE(LEFT(D969,FIND(" |",D969&amp;" |")-1)),"?"))</f>
        <v/>
      </c>
      <c r="H969" s="27" t="str">
        <f aca="false">IF(G969="","",IF(G969="?","⚠ pub inconnue",IFERROR(INDEX(Pubs!$B$2:$B$3001,MATCH(G969,Pubs!$A$2:$A$3001,0))&amp;"","⚠ pub inconnue")))</f>
        <v/>
      </c>
      <c r="I969" s="27" t="str">
        <f aca="false">IF(OR(G969="",G969="?"),"",IFERROR(INDEX(Pubs!$C$2:$C$3001,MATCH(G969,Pubs!$A$2:$A$3001,0))&amp;"",""))</f>
        <v/>
      </c>
      <c r="J969" s="27" t="str">
        <f aca="false">IF(OR(G969="",G969="?"),"",IFERROR(INDEX(Pubs!$G$2:$G$3001,MATCH(G969,Pubs!$A$2:$A$3001,0))&amp;"",""))</f>
        <v/>
      </c>
      <c r="K969" s="28" t="str">
        <f aca="false">IF(OR(G969="",G969="?"),"",IFERROR(INDEX(Pubs!$E$2:$E$3001,MATCH(G969,Pubs!$A$2:$A$3001,0)),""))</f>
        <v/>
      </c>
      <c r="L969" s="29" t="str">
        <f aca="false">IF(A969="","",IFERROR(1/(1/INDEX(Numéros!$C$2:$C$3001,MATCH(A969&amp;"|"&amp;B969,Numéros!$F$2:$F$3001,0))),""))</f>
        <v/>
      </c>
      <c r="M969" s="27" t="str">
        <f aca="false">IF(OR(G969="",G969="?"),"",IFERROR(INDEX(Pubs!$D$2:$D$3001,MATCH(G969,Pubs!$A$2:$A$3001,0))&amp;"",""))</f>
        <v/>
      </c>
      <c r="N969" s="27" t="n">
        <f aca="false">N(N968)+IF(AND(A969&lt;&gt;"",OR(Recherche!$C$4="",A969=Recherche!$C$4),OR(Recherche!$C$5="",B969&amp;""=Recherche!$C$5&amp;""),OR(Recherche!$C$6="",IFERROR(YEAR(L969),0)=Recherche!$C$6),OR(Recherche!$C$7="",ISNUMBER(SEARCH(Recherche!$C$7,H969))),OR(Recherche!$C$8="",J969=Recherche!$C$8),OR(Recherche!$C$9="",I969=Recherche!$C$9),OR(Recherche!$C$10="",G969&amp;""=Recherche!$C$10&amp;""),OR(Recherche!$C$11="",E969=Recherche!$C$11),OR(Recherche!$C$12="",ISNUMBER(SEARCH(Recherche!$C$12,M969&amp;" "&amp;F969)))),1,0)</f>
        <v>8</v>
      </c>
    </row>
    <row r="970" customFormat="false" ht="15" hidden="false" customHeight="false" outlineLevel="0" collapsed="false">
      <c r="A970" s="19"/>
      <c r="B970" s="19"/>
      <c r="C970" s="19"/>
      <c r="D970" s="19"/>
      <c r="E970" s="22"/>
      <c r="F970" s="19"/>
      <c r="G970" s="26" t="str">
        <f aca="false">IF(D970="","",IFERROR(VALUE(LEFT(D970,FIND(" |",D970&amp;" |")-1)),"?"))</f>
        <v/>
      </c>
      <c r="H970" s="27" t="str">
        <f aca="false">IF(G970="","",IF(G970="?","⚠ pub inconnue",IFERROR(INDEX(Pubs!$B$2:$B$3001,MATCH(G970,Pubs!$A$2:$A$3001,0))&amp;"","⚠ pub inconnue")))</f>
        <v/>
      </c>
      <c r="I970" s="27" t="str">
        <f aca="false">IF(OR(G970="",G970="?"),"",IFERROR(INDEX(Pubs!$C$2:$C$3001,MATCH(G970,Pubs!$A$2:$A$3001,0))&amp;"",""))</f>
        <v/>
      </c>
      <c r="J970" s="27" t="str">
        <f aca="false">IF(OR(G970="",G970="?"),"",IFERROR(INDEX(Pubs!$G$2:$G$3001,MATCH(G970,Pubs!$A$2:$A$3001,0))&amp;"",""))</f>
        <v/>
      </c>
      <c r="K970" s="28" t="str">
        <f aca="false">IF(OR(G970="",G970="?"),"",IFERROR(INDEX(Pubs!$E$2:$E$3001,MATCH(G970,Pubs!$A$2:$A$3001,0)),""))</f>
        <v/>
      </c>
      <c r="L970" s="29" t="str">
        <f aca="false">IF(A970="","",IFERROR(1/(1/INDEX(Numéros!$C$2:$C$3001,MATCH(A970&amp;"|"&amp;B970,Numéros!$F$2:$F$3001,0))),""))</f>
        <v/>
      </c>
      <c r="M970" s="27" t="str">
        <f aca="false">IF(OR(G970="",G970="?"),"",IFERROR(INDEX(Pubs!$D$2:$D$3001,MATCH(G970,Pubs!$A$2:$A$3001,0))&amp;"",""))</f>
        <v/>
      </c>
      <c r="N970" s="27" t="n">
        <f aca="false">N(N969)+IF(AND(A970&lt;&gt;"",OR(Recherche!$C$4="",A970=Recherche!$C$4),OR(Recherche!$C$5="",B970&amp;""=Recherche!$C$5&amp;""),OR(Recherche!$C$6="",IFERROR(YEAR(L970),0)=Recherche!$C$6),OR(Recherche!$C$7="",ISNUMBER(SEARCH(Recherche!$C$7,H970))),OR(Recherche!$C$8="",J970=Recherche!$C$8),OR(Recherche!$C$9="",I970=Recherche!$C$9),OR(Recherche!$C$10="",G970&amp;""=Recherche!$C$10&amp;""),OR(Recherche!$C$11="",E970=Recherche!$C$11),OR(Recherche!$C$12="",ISNUMBER(SEARCH(Recherche!$C$12,M970&amp;" "&amp;F970)))),1,0)</f>
        <v>8</v>
      </c>
    </row>
    <row r="971" customFormat="false" ht="15" hidden="false" customHeight="false" outlineLevel="0" collapsed="false">
      <c r="A971" s="19"/>
      <c r="B971" s="19"/>
      <c r="C971" s="19"/>
      <c r="D971" s="19"/>
      <c r="E971" s="22"/>
      <c r="F971" s="19"/>
      <c r="G971" s="26" t="str">
        <f aca="false">IF(D971="","",IFERROR(VALUE(LEFT(D971,FIND(" |",D971&amp;" |")-1)),"?"))</f>
        <v/>
      </c>
      <c r="H971" s="27" t="str">
        <f aca="false">IF(G971="","",IF(G971="?","⚠ pub inconnue",IFERROR(INDEX(Pubs!$B$2:$B$3001,MATCH(G971,Pubs!$A$2:$A$3001,0))&amp;"","⚠ pub inconnue")))</f>
        <v/>
      </c>
      <c r="I971" s="27" t="str">
        <f aca="false">IF(OR(G971="",G971="?"),"",IFERROR(INDEX(Pubs!$C$2:$C$3001,MATCH(G971,Pubs!$A$2:$A$3001,0))&amp;"",""))</f>
        <v/>
      </c>
      <c r="J971" s="27" t="str">
        <f aca="false">IF(OR(G971="",G971="?"),"",IFERROR(INDEX(Pubs!$G$2:$G$3001,MATCH(G971,Pubs!$A$2:$A$3001,0))&amp;"",""))</f>
        <v/>
      </c>
      <c r="K971" s="28" t="str">
        <f aca="false">IF(OR(G971="",G971="?"),"",IFERROR(INDEX(Pubs!$E$2:$E$3001,MATCH(G971,Pubs!$A$2:$A$3001,0)),""))</f>
        <v/>
      </c>
      <c r="L971" s="29" t="str">
        <f aca="false">IF(A971="","",IFERROR(1/(1/INDEX(Numéros!$C$2:$C$3001,MATCH(A971&amp;"|"&amp;B971,Numéros!$F$2:$F$3001,0))),""))</f>
        <v/>
      </c>
      <c r="M971" s="27" t="str">
        <f aca="false">IF(OR(G971="",G971="?"),"",IFERROR(INDEX(Pubs!$D$2:$D$3001,MATCH(G971,Pubs!$A$2:$A$3001,0))&amp;"",""))</f>
        <v/>
      </c>
      <c r="N971" s="27" t="n">
        <f aca="false">N(N970)+IF(AND(A971&lt;&gt;"",OR(Recherche!$C$4="",A971=Recherche!$C$4),OR(Recherche!$C$5="",B971&amp;""=Recherche!$C$5&amp;""),OR(Recherche!$C$6="",IFERROR(YEAR(L971),0)=Recherche!$C$6),OR(Recherche!$C$7="",ISNUMBER(SEARCH(Recherche!$C$7,H971))),OR(Recherche!$C$8="",J971=Recherche!$C$8),OR(Recherche!$C$9="",I971=Recherche!$C$9),OR(Recherche!$C$10="",G971&amp;""=Recherche!$C$10&amp;""),OR(Recherche!$C$11="",E971=Recherche!$C$11),OR(Recherche!$C$12="",ISNUMBER(SEARCH(Recherche!$C$12,M971&amp;" "&amp;F971)))),1,0)</f>
        <v>8</v>
      </c>
    </row>
    <row r="972" customFormat="false" ht="15" hidden="false" customHeight="false" outlineLevel="0" collapsed="false">
      <c r="A972" s="19"/>
      <c r="B972" s="19"/>
      <c r="C972" s="19"/>
      <c r="D972" s="19"/>
      <c r="E972" s="22"/>
      <c r="F972" s="19"/>
      <c r="G972" s="26" t="str">
        <f aca="false">IF(D972="","",IFERROR(VALUE(LEFT(D972,FIND(" |",D972&amp;" |")-1)),"?"))</f>
        <v/>
      </c>
      <c r="H972" s="27" t="str">
        <f aca="false">IF(G972="","",IF(G972="?","⚠ pub inconnue",IFERROR(INDEX(Pubs!$B$2:$B$3001,MATCH(G972,Pubs!$A$2:$A$3001,0))&amp;"","⚠ pub inconnue")))</f>
        <v/>
      </c>
      <c r="I972" s="27" t="str">
        <f aca="false">IF(OR(G972="",G972="?"),"",IFERROR(INDEX(Pubs!$C$2:$C$3001,MATCH(G972,Pubs!$A$2:$A$3001,0))&amp;"",""))</f>
        <v/>
      </c>
      <c r="J972" s="27" t="str">
        <f aca="false">IF(OR(G972="",G972="?"),"",IFERROR(INDEX(Pubs!$G$2:$G$3001,MATCH(G972,Pubs!$A$2:$A$3001,0))&amp;"",""))</f>
        <v/>
      </c>
      <c r="K972" s="28" t="str">
        <f aca="false">IF(OR(G972="",G972="?"),"",IFERROR(INDEX(Pubs!$E$2:$E$3001,MATCH(G972,Pubs!$A$2:$A$3001,0)),""))</f>
        <v/>
      </c>
      <c r="L972" s="29" t="str">
        <f aca="false">IF(A972="","",IFERROR(1/(1/INDEX(Numéros!$C$2:$C$3001,MATCH(A972&amp;"|"&amp;B972,Numéros!$F$2:$F$3001,0))),""))</f>
        <v/>
      </c>
      <c r="M972" s="27" t="str">
        <f aca="false">IF(OR(G972="",G972="?"),"",IFERROR(INDEX(Pubs!$D$2:$D$3001,MATCH(G972,Pubs!$A$2:$A$3001,0))&amp;"",""))</f>
        <v/>
      </c>
      <c r="N972" s="27" t="n">
        <f aca="false">N(N971)+IF(AND(A972&lt;&gt;"",OR(Recherche!$C$4="",A972=Recherche!$C$4),OR(Recherche!$C$5="",B972&amp;""=Recherche!$C$5&amp;""),OR(Recherche!$C$6="",IFERROR(YEAR(L972),0)=Recherche!$C$6),OR(Recherche!$C$7="",ISNUMBER(SEARCH(Recherche!$C$7,H972))),OR(Recherche!$C$8="",J972=Recherche!$C$8),OR(Recherche!$C$9="",I972=Recherche!$C$9),OR(Recherche!$C$10="",G972&amp;""=Recherche!$C$10&amp;""),OR(Recherche!$C$11="",E972=Recherche!$C$11),OR(Recherche!$C$12="",ISNUMBER(SEARCH(Recherche!$C$12,M972&amp;" "&amp;F972)))),1,0)</f>
        <v>8</v>
      </c>
    </row>
    <row r="973" customFormat="false" ht="15" hidden="false" customHeight="false" outlineLevel="0" collapsed="false">
      <c r="A973" s="19"/>
      <c r="B973" s="19"/>
      <c r="C973" s="19"/>
      <c r="D973" s="19"/>
      <c r="E973" s="22"/>
      <c r="F973" s="19"/>
      <c r="G973" s="26" t="str">
        <f aca="false">IF(D973="","",IFERROR(VALUE(LEFT(D973,FIND(" |",D973&amp;" |")-1)),"?"))</f>
        <v/>
      </c>
      <c r="H973" s="27" t="str">
        <f aca="false">IF(G973="","",IF(G973="?","⚠ pub inconnue",IFERROR(INDEX(Pubs!$B$2:$B$3001,MATCH(G973,Pubs!$A$2:$A$3001,0))&amp;"","⚠ pub inconnue")))</f>
        <v/>
      </c>
      <c r="I973" s="27" t="str">
        <f aca="false">IF(OR(G973="",G973="?"),"",IFERROR(INDEX(Pubs!$C$2:$C$3001,MATCH(G973,Pubs!$A$2:$A$3001,0))&amp;"",""))</f>
        <v/>
      </c>
      <c r="J973" s="27" t="str">
        <f aca="false">IF(OR(G973="",G973="?"),"",IFERROR(INDEX(Pubs!$G$2:$G$3001,MATCH(G973,Pubs!$A$2:$A$3001,0))&amp;"",""))</f>
        <v/>
      </c>
      <c r="K973" s="28" t="str">
        <f aca="false">IF(OR(G973="",G973="?"),"",IFERROR(INDEX(Pubs!$E$2:$E$3001,MATCH(G973,Pubs!$A$2:$A$3001,0)),""))</f>
        <v/>
      </c>
      <c r="L973" s="29" t="str">
        <f aca="false">IF(A973="","",IFERROR(1/(1/INDEX(Numéros!$C$2:$C$3001,MATCH(A973&amp;"|"&amp;B973,Numéros!$F$2:$F$3001,0))),""))</f>
        <v/>
      </c>
      <c r="M973" s="27" t="str">
        <f aca="false">IF(OR(G973="",G973="?"),"",IFERROR(INDEX(Pubs!$D$2:$D$3001,MATCH(G973,Pubs!$A$2:$A$3001,0))&amp;"",""))</f>
        <v/>
      </c>
      <c r="N973" s="27" t="n">
        <f aca="false">N(N972)+IF(AND(A973&lt;&gt;"",OR(Recherche!$C$4="",A973=Recherche!$C$4),OR(Recherche!$C$5="",B973&amp;""=Recherche!$C$5&amp;""),OR(Recherche!$C$6="",IFERROR(YEAR(L973),0)=Recherche!$C$6),OR(Recherche!$C$7="",ISNUMBER(SEARCH(Recherche!$C$7,H973))),OR(Recherche!$C$8="",J973=Recherche!$C$8),OR(Recherche!$C$9="",I973=Recherche!$C$9),OR(Recherche!$C$10="",G973&amp;""=Recherche!$C$10&amp;""),OR(Recherche!$C$11="",E973=Recherche!$C$11),OR(Recherche!$C$12="",ISNUMBER(SEARCH(Recherche!$C$12,M973&amp;" "&amp;F973)))),1,0)</f>
        <v>8</v>
      </c>
    </row>
    <row r="974" customFormat="false" ht="15" hidden="false" customHeight="false" outlineLevel="0" collapsed="false">
      <c r="A974" s="19"/>
      <c r="B974" s="19"/>
      <c r="C974" s="19"/>
      <c r="D974" s="19"/>
      <c r="E974" s="22"/>
      <c r="F974" s="19"/>
      <c r="G974" s="26" t="str">
        <f aca="false">IF(D974="","",IFERROR(VALUE(LEFT(D974,FIND(" |",D974&amp;" |")-1)),"?"))</f>
        <v/>
      </c>
      <c r="H974" s="27" t="str">
        <f aca="false">IF(G974="","",IF(G974="?","⚠ pub inconnue",IFERROR(INDEX(Pubs!$B$2:$B$3001,MATCH(G974,Pubs!$A$2:$A$3001,0))&amp;"","⚠ pub inconnue")))</f>
        <v/>
      </c>
      <c r="I974" s="27" t="str">
        <f aca="false">IF(OR(G974="",G974="?"),"",IFERROR(INDEX(Pubs!$C$2:$C$3001,MATCH(G974,Pubs!$A$2:$A$3001,0))&amp;"",""))</f>
        <v/>
      </c>
      <c r="J974" s="27" t="str">
        <f aca="false">IF(OR(G974="",G974="?"),"",IFERROR(INDEX(Pubs!$G$2:$G$3001,MATCH(G974,Pubs!$A$2:$A$3001,0))&amp;"",""))</f>
        <v/>
      </c>
      <c r="K974" s="28" t="str">
        <f aca="false">IF(OR(G974="",G974="?"),"",IFERROR(INDEX(Pubs!$E$2:$E$3001,MATCH(G974,Pubs!$A$2:$A$3001,0)),""))</f>
        <v/>
      </c>
      <c r="L974" s="29" t="str">
        <f aca="false">IF(A974="","",IFERROR(1/(1/INDEX(Numéros!$C$2:$C$3001,MATCH(A974&amp;"|"&amp;B974,Numéros!$F$2:$F$3001,0))),""))</f>
        <v/>
      </c>
      <c r="M974" s="27" t="str">
        <f aca="false">IF(OR(G974="",G974="?"),"",IFERROR(INDEX(Pubs!$D$2:$D$3001,MATCH(G974,Pubs!$A$2:$A$3001,0))&amp;"",""))</f>
        <v/>
      </c>
      <c r="N974" s="27" t="n">
        <f aca="false">N(N973)+IF(AND(A974&lt;&gt;"",OR(Recherche!$C$4="",A974=Recherche!$C$4),OR(Recherche!$C$5="",B974&amp;""=Recherche!$C$5&amp;""),OR(Recherche!$C$6="",IFERROR(YEAR(L974),0)=Recherche!$C$6),OR(Recherche!$C$7="",ISNUMBER(SEARCH(Recherche!$C$7,H974))),OR(Recherche!$C$8="",J974=Recherche!$C$8),OR(Recherche!$C$9="",I974=Recherche!$C$9),OR(Recherche!$C$10="",G974&amp;""=Recherche!$C$10&amp;""),OR(Recherche!$C$11="",E974=Recherche!$C$11),OR(Recherche!$C$12="",ISNUMBER(SEARCH(Recherche!$C$12,M974&amp;" "&amp;F974)))),1,0)</f>
        <v>8</v>
      </c>
    </row>
    <row r="975" customFormat="false" ht="15" hidden="false" customHeight="false" outlineLevel="0" collapsed="false">
      <c r="A975" s="19"/>
      <c r="B975" s="19"/>
      <c r="C975" s="19"/>
      <c r="D975" s="19"/>
      <c r="E975" s="22"/>
      <c r="F975" s="19"/>
      <c r="G975" s="26" t="str">
        <f aca="false">IF(D975="","",IFERROR(VALUE(LEFT(D975,FIND(" |",D975&amp;" |")-1)),"?"))</f>
        <v/>
      </c>
      <c r="H975" s="27" t="str">
        <f aca="false">IF(G975="","",IF(G975="?","⚠ pub inconnue",IFERROR(INDEX(Pubs!$B$2:$B$3001,MATCH(G975,Pubs!$A$2:$A$3001,0))&amp;"","⚠ pub inconnue")))</f>
        <v/>
      </c>
      <c r="I975" s="27" t="str">
        <f aca="false">IF(OR(G975="",G975="?"),"",IFERROR(INDEX(Pubs!$C$2:$C$3001,MATCH(G975,Pubs!$A$2:$A$3001,0))&amp;"",""))</f>
        <v/>
      </c>
      <c r="J975" s="27" t="str">
        <f aca="false">IF(OR(G975="",G975="?"),"",IFERROR(INDEX(Pubs!$G$2:$G$3001,MATCH(G975,Pubs!$A$2:$A$3001,0))&amp;"",""))</f>
        <v/>
      </c>
      <c r="K975" s="28" t="str">
        <f aca="false">IF(OR(G975="",G975="?"),"",IFERROR(INDEX(Pubs!$E$2:$E$3001,MATCH(G975,Pubs!$A$2:$A$3001,0)),""))</f>
        <v/>
      </c>
      <c r="L975" s="29" t="str">
        <f aca="false">IF(A975="","",IFERROR(1/(1/INDEX(Numéros!$C$2:$C$3001,MATCH(A975&amp;"|"&amp;B975,Numéros!$F$2:$F$3001,0))),""))</f>
        <v/>
      </c>
      <c r="M975" s="27" t="str">
        <f aca="false">IF(OR(G975="",G975="?"),"",IFERROR(INDEX(Pubs!$D$2:$D$3001,MATCH(G975,Pubs!$A$2:$A$3001,0))&amp;"",""))</f>
        <v/>
      </c>
      <c r="N975" s="27" t="n">
        <f aca="false">N(N974)+IF(AND(A975&lt;&gt;"",OR(Recherche!$C$4="",A975=Recherche!$C$4),OR(Recherche!$C$5="",B975&amp;""=Recherche!$C$5&amp;""),OR(Recherche!$C$6="",IFERROR(YEAR(L975),0)=Recherche!$C$6),OR(Recherche!$C$7="",ISNUMBER(SEARCH(Recherche!$C$7,H975))),OR(Recherche!$C$8="",J975=Recherche!$C$8),OR(Recherche!$C$9="",I975=Recherche!$C$9),OR(Recherche!$C$10="",G975&amp;""=Recherche!$C$10&amp;""),OR(Recherche!$C$11="",E975=Recherche!$C$11),OR(Recherche!$C$12="",ISNUMBER(SEARCH(Recherche!$C$12,M975&amp;" "&amp;F975)))),1,0)</f>
        <v>8</v>
      </c>
    </row>
    <row r="976" customFormat="false" ht="15" hidden="false" customHeight="false" outlineLevel="0" collapsed="false">
      <c r="A976" s="19"/>
      <c r="B976" s="19"/>
      <c r="C976" s="19"/>
      <c r="D976" s="19"/>
      <c r="E976" s="22"/>
      <c r="F976" s="19"/>
      <c r="G976" s="26" t="str">
        <f aca="false">IF(D976="","",IFERROR(VALUE(LEFT(D976,FIND(" |",D976&amp;" |")-1)),"?"))</f>
        <v/>
      </c>
      <c r="H976" s="27" t="str">
        <f aca="false">IF(G976="","",IF(G976="?","⚠ pub inconnue",IFERROR(INDEX(Pubs!$B$2:$B$3001,MATCH(G976,Pubs!$A$2:$A$3001,0))&amp;"","⚠ pub inconnue")))</f>
        <v/>
      </c>
      <c r="I976" s="27" t="str">
        <f aca="false">IF(OR(G976="",G976="?"),"",IFERROR(INDEX(Pubs!$C$2:$C$3001,MATCH(G976,Pubs!$A$2:$A$3001,0))&amp;"",""))</f>
        <v/>
      </c>
      <c r="J976" s="27" t="str">
        <f aca="false">IF(OR(G976="",G976="?"),"",IFERROR(INDEX(Pubs!$G$2:$G$3001,MATCH(G976,Pubs!$A$2:$A$3001,0))&amp;"",""))</f>
        <v/>
      </c>
      <c r="K976" s="28" t="str">
        <f aca="false">IF(OR(G976="",G976="?"),"",IFERROR(INDEX(Pubs!$E$2:$E$3001,MATCH(G976,Pubs!$A$2:$A$3001,0)),""))</f>
        <v/>
      </c>
      <c r="L976" s="29" t="str">
        <f aca="false">IF(A976="","",IFERROR(1/(1/INDEX(Numéros!$C$2:$C$3001,MATCH(A976&amp;"|"&amp;B976,Numéros!$F$2:$F$3001,0))),""))</f>
        <v/>
      </c>
      <c r="M976" s="27" t="str">
        <f aca="false">IF(OR(G976="",G976="?"),"",IFERROR(INDEX(Pubs!$D$2:$D$3001,MATCH(G976,Pubs!$A$2:$A$3001,0))&amp;"",""))</f>
        <v/>
      </c>
      <c r="N976" s="27" t="n">
        <f aca="false">N(N975)+IF(AND(A976&lt;&gt;"",OR(Recherche!$C$4="",A976=Recherche!$C$4),OR(Recherche!$C$5="",B976&amp;""=Recherche!$C$5&amp;""),OR(Recherche!$C$6="",IFERROR(YEAR(L976),0)=Recherche!$C$6),OR(Recherche!$C$7="",ISNUMBER(SEARCH(Recherche!$C$7,H976))),OR(Recherche!$C$8="",J976=Recherche!$C$8),OR(Recherche!$C$9="",I976=Recherche!$C$9),OR(Recherche!$C$10="",G976&amp;""=Recherche!$C$10&amp;""),OR(Recherche!$C$11="",E976=Recherche!$C$11),OR(Recherche!$C$12="",ISNUMBER(SEARCH(Recherche!$C$12,M976&amp;" "&amp;F976)))),1,0)</f>
        <v>8</v>
      </c>
    </row>
    <row r="977" customFormat="false" ht="15" hidden="false" customHeight="false" outlineLevel="0" collapsed="false">
      <c r="A977" s="19"/>
      <c r="B977" s="19"/>
      <c r="C977" s="19"/>
      <c r="D977" s="19"/>
      <c r="E977" s="22"/>
      <c r="F977" s="19"/>
      <c r="G977" s="26" t="str">
        <f aca="false">IF(D977="","",IFERROR(VALUE(LEFT(D977,FIND(" |",D977&amp;" |")-1)),"?"))</f>
        <v/>
      </c>
      <c r="H977" s="27" t="str">
        <f aca="false">IF(G977="","",IF(G977="?","⚠ pub inconnue",IFERROR(INDEX(Pubs!$B$2:$B$3001,MATCH(G977,Pubs!$A$2:$A$3001,0))&amp;"","⚠ pub inconnue")))</f>
        <v/>
      </c>
      <c r="I977" s="27" t="str">
        <f aca="false">IF(OR(G977="",G977="?"),"",IFERROR(INDEX(Pubs!$C$2:$C$3001,MATCH(G977,Pubs!$A$2:$A$3001,0))&amp;"",""))</f>
        <v/>
      </c>
      <c r="J977" s="27" t="str">
        <f aca="false">IF(OR(G977="",G977="?"),"",IFERROR(INDEX(Pubs!$G$2:$G$3001,MATCH(G977,Pubs!$A$2:$A$3001,0))&amp;"",""))</f>
        <v/>
      </c>
      <c r="K977" s="28" t="str">
        <f aca="false">IF(OR(G977="",G977="?"),"",IFERROR(INDEX(Pubs!$E$2:$E$3001,MATCH(G977,Pubs!$A$2:$A$3001,0)),""))</f>
        <v/>
      </c>
      <c r="L977" s="29" t="str">
        <f aca="false">IF(A977="","",IFERROR(1/(1/INDEX(Numéros!$C$2:$C$3001,MATCH(A977&amp;"|"&amp;B977,Numéros!$F$2:$F$3001,0))),""))</f>
        <v/>
      </c>
      <c r="M977" s="27" t="str">
        <f aca="false">IF(OR(G977="",G977="?"),"",IFERROR(INDEX(Pubs!$D$2:$D$3001,MATCH(G977,Pubs!$A$2:$A$3001,0))&amp;"",""))</f>
        <v/>
      </c>
      <c r="N977" s="27" t="n">
        <f aca="false">N(N976)+IF(AND(A977&lt;&gt;"",OR(Recherche!$C$4="",A977=Recherche!$C$4),OR(Recherche!$C$5="",B977&amp;""=Recherche!$C$5&amp;""),OR(Recherche!$C$6="",IFERROR(YEAR(L977),0)=Recherche!$C$6),OR(Recherche!$C$7="",ISNUMBER(SEARCH(Recherche!$C$7,H977))),OR(Recherche!$C$8="",J977=Recherche!$C$8),OR(Recherche!$C$9="",I977=Recherche!$C$9),OR(Recherche!$C$10="",G977&amp;""=Recherche!$C$10&amp;""),OR(Recherche!$C$11="",E977=Recherche!$C$11),OR(Recherche!$C$12="",ISNUMBER(SEARCH(Recherche!$C$12,M977&amp;" "&amp;F977)))),1,0)</f>
        <v>8</v>
      </c>
    </row>
    <row r="978" customFormat="false" ht="15" hidden="false" customHeight="false" outlineLevel="0" collapsed="false">
      <c r="A978" s="19"/>
      <c r="B978" s="19"/>
      <c r="C978" s="19"/>
      <c r="D978" s="19"/>
      <c r="E978" s="22"/>
      <c r="F978" s="19"/>
      <c r="G978" s="26" t="str">
        <f aca="false">IF(D978="","",IFERROR(VALUE(LEFT(D978,FIND(" |",D978&amp;" |")-1)),"?"))</f>
        <v/>
      </c>
      <c r="H978" s="27" t="str">
        <f aca="false">IF(G978="","",IF(G978="?","⚠ pub inconnue",IFERROR(INDEX(Pubs!$B$2:$B$3001,MATCH(G978,Pubs!$A$2:$A$3001,0))&amp;"","⚠ pub inconnue")))</f>
        <v/>
      </c>
      <c r="I978" s="27" t="str">
        <f aca="false">IF(OR(G978="",G978="?"),"",IFERROR(INDEX(Pubs!$C$2:$C$3001,MATCH(G978,Pubs!$A$2:$A$3001,0))&amp;"",""))</f>
        <v/>
      </c>
      <c r="J978" s="27" t="str">
        <f aca="false">IF(OR(G978="",G978="?"),"",IFERROR(INDEX(Pubs!$G$2:$G$3001,MATCH(G978,Pubs!$A$2:$A$3001,0))&amp;"",""))</f>
        <v/>
      </c>
      <c r="K978" s="28" t="str">
        <f aca="false">IF(OR(G978="",G978="?"),"",IFERROR(INDEX(Pubs!$E$2:$E$3001,MATCH(G978,Pubs!$A$2:$A$3001,0)),""))</f>
        <v/>
      </c>
      <c r="L978" s="29" t="str">
        <f aca="false">IF(A978="","",IFERROR(1/(1/INDEX(Numéros!$C$2:$C$3001,MATCH(A978&amp;"|"&amp;B978,Numéros!$F$2:$F$3001,0))),""))</f>
        <v/>
      </c>
      <c r="M978" s="27" t="str">
        <f aca="false">IF(OR(G978="",G978="?"),"",IFERROR(INDEX(Pubs!$D$2:$D$3001,MATCH(G978,Pubs!$A$2:$A$3001,0))&amp;"",""))</f>
        <v/>
      </c>
      <c r="N978" s="27" t="n">
        <f aca="false">N(N977)+IF(AND(A978&lt;&gt;"",OR(Recherche!$C$4="",A978=Recherche!$C$4),OR(Recherche!$C$5="",B978&amp;""=Recherche!$C$5&amp;""),OR(Recherche!$C$6="",IFERROR(YEAR(L978),0)=Recherche!$C$6),OR(Recherche!$C$7="",ISNUMBER(SEARCH(Recherche!$C$7,H978))),OR(Recherche!$C$8="",J978=Recherche!$C$8),OR(Recherche!$C$9="",I978=Recherche!$C$9),OR(Recherche!$C$10="",G978&amp;""=Recherche!$C$10&amp;""),OR(Recherche!$C$11="",E978=Recherche!$C$11),OR(Recherche!$C$12="",ISNUMBER(SEARCH(Recherche!$C$12,M978&amp;" "&amp;F978)))),1,0)</f>
        <v>8</v>
      </c>
    </row>
    <row r="979" customFormat="false" ht="15" hidden="false" customHeight="false" outlineLevel="0" collapsed="false">
      <c r="A979" s="19"/>
      <c r="B979" s="19"/>
      <c r="C979" s="19"/>
      <c r="D979" s="19"/>
      <c r="E979" s="22"/>
      <c r="F979" s="19"/>
      <c r="G979" s="26" t="str">
        <f aca="false">IF(D979="","",IFERROR(VALUE(LEFT(D979,FIND(" |",D979&amp;" |")-1)),"?"))</f>
        <v/>
      </c>
      <c r="H979" s="27" t="str">
        <f aca="false">IF(G979="","",IF(G979="?","⚠ pub inconnue",IFERROR(INDEX(Pubs!$B$2:$B$3001,MATCH(G979,Pubs!$A$2:$A$3001,0))&amp;"","⚠ pub inconnue")))</f>
        <v/>
      </c>
      <c r="I979" s="27" t="str">
        <f aca="false">IF(OR(G979="",G979="?"),"",IFERROR(INDEX(Pubs!$C$2:$C$3001,MATCH(G979,Pubs!$A$2:$A$3001,0))&amp;"",""))</f>
        <v/>
      </c>
      <c r="J979" s="27" t="str">
        <f aca="false">IF(OR(G979="",G979="?"),"",IFERROR(INDEX(Pubs!$G$2:$G$3001,MATCH(G979,Pubs!$A$2:$A$3001,0))&amp;"",""))</f>
        <v/>
      </c>
      <c r="K979" s="28" t="str">
        <f aca="false">IF(OR(G979="",G979="?"),"",IFERROR(INDEX(Pubs!$E$2:$E$3001,MATCH(G979,Pubs!$A$2:$A$3001,0)),""))</f>
        <v/>
      </c>
      <c r="L979" s="29" t="str">
        <f aca="false">IF(A979="","",IFERROR(1/(1/INDEX(Numéros!$C$2:$C$3001,MATCH(A979&amp;"|"&amp;B979,Numéros!$F$2:$F$3001,0))),""))</f>
        <v/>
      </c>
      <c r="M979" s="27" t="str">
        <f aca="false">IF(OR(G979="",G979="?"),"",IFERROR(INDEX(Pubs!$D$2:$D$3001,MATCH(G979,Pubs!$A$2:$A$3001,0))&amp;"",""))</f>
        <v/>
      </c>
      <c r="N979" s="27" t="n">
        <f aca="false">N(N978)+IF(AND(A979&lt;&gt;"",OR(Recherche!$C$4="",A979=Recherche!$C$4),OR(Recherche!$C$5="",B979&amp;""=Recherche!$C$5&amp;""),OR(Recherche!$C$6="",IFERROR(YEAR(L979),0)=Recherche!$C$6),OR(Recherche!$C$7="",ISNUMBER(SEARCH(Recherche!$C$7,H979))),OR(Recherche!$C$8="",J979=Recherche!$C$8),OR(Recherche!$C$9="",I979=Recherche!$C$9),OR(Recherche!$C$10="",G979&amp;""=Recherche!$C$10&amp;""),OR(Recherche!$C$11="",E979=Recherche!$C$11),OR(Recherche!$C$12="",ISNUMBER(SEARCH(Recherche!$C$12,M979&amp;" "&amp;F979)))),1,0)</f>
        <v>8</v>
      </c>
    </row>
    <row r="980" customFormat="false" ht="15" hidden="false" customHeight="false" outlineLevel="0" collapsed="false">
      <c r="A980" s="19"/>
      <c r="B980" s="19"/>
      <c r="C980" s="19"/>
      <c r="D980" s="19"/>
      <c r="E980" s="22"/>
      <c r="F980" s="19"/>
      <c r="G980" s="26" t="str">
        <f aca="false">IF(D980="","",IFERROR(VALUE(LEFT(D980,FIND(" |",D980&amp;" |")-1)),"?"))</f>
        <v/>
      </c>
      <c r="H980" s="27" t="str">
        <f aca="false">IF(G980="","",IF(G980="?","⚠ pub inconnue",IFERROR(INDEX(Pubs!$B$2:$B$3001,MATCH(G980,Pubs!$A$2:$A$3001,0))&amp;"","⚠ pub inconnue")))</f>
        <v/>
      </c>
      <c r="I980" s="27" t="str">
        <f aca="false">IF(OR(G980="",G980="?"),"",IFERROR(INDEX(Pubs!$C$2:$C$3001,MATCH(G980,Pubs!$A$2:$A$3001,0))&amp;"",""))</f>
        <v/>
      </c>
      <c r="J980" s="27" t="str">
        <f aca="false">IF(OR(G980="",G980="?"),"",IFERROR(INDEX(Pubs!$G$2:$G$3001,MATCH(G980,Pubs!$A$2:$A$3001,0))&amp;"",""))</f>
        <v/>
      </c>
      <c r="K980" s="28" t="str">
        <f aca="false">IF(OR(G980="",G980="?"),"",IFERROR(INDEX(Pubs!$E$2:$E$3001,MATCH(G980,Pubs!$A$2:$A$3001,0)),""))</f>
        <v/>
      </c>
      <c r="L980" s="29" t="str">
        <f aca="false">IF(A980="","",IFERROR(1/(1/INDEX(Numéros!$C$2:$C$3001,MATCH(A980&amp;"|"&amp;B980,Numéros!$F$2:$F$3001,0))),""))</f>
        <v/>
      </c>
      <c r="M980" s="27" t="str">
        <f aca="false">IF(OR(G980="",G980="?"),"",IFERROR(INDEX(Pubs!$D$2:$D$3001,MATCH(G980,Pubs!$A$2:$A$3001,0))&amp;"",""))</f>
        <v/>
      </c>
      <c r="N980" s="27" t="n">
        <f aca="false">N(N979)+IF(AND(A980&lt;&gt;"",OR(Recherche!$C$4="",A980=Recherche!$C$4),OR(Recherche!$C$5="",B980&amp;""=Recherche!$C$5&amp;""),OR(Recherche!$C$6="",IFERROR(YEAR(L980),0)=Recherche!$C$6),OR(Recherche!$C$7="",ISNUMBER(SEARCH(Recherche!$C$7,H980))),OR(Recherche!$C$8="",J980=Recherche!$C$8),OR(Recherche!$C$9="",I980=Recherche!$C$9),OR(Recherche!$C$10="",G980&amp;""=Recherche!$C$10&amp;""),OR(Recherche!$C$11="",E980=Recherche!$C$11),OR(Recherche!$C$12="",ISNUMBER(SEARCH(Recherche!$C$12,M980&amp;" "&amp;F980)))),1,0)</f>
        <v>8</v>
      </c>
    </row>
    <row r="981" customFormat="false" ht="15" hidden="false" customHeight="false" outlineLevel="0" collapsed="false">
      <c r="A981" s="19"/>
      <c r="B981" s="19"/>
      <c r="C981" s="19"/>
      <c r="D981" s="19"/>
      <c r="E981" s="22"/>
      <c r="F981" s="19"/>
      <c r="G981" s="26" t="str">
        <f aca="false">IF(D981="","",IFERROR(VALUE(LEFT(D981,FIND(" |",D981&amp;" |")-1)),"?"))</f>
        <v/>
      </c>
      <c r="H981" s="27" t="str">
        <f aca="false">IF(G981="","",IF(G981="?","⚠ pub inconnue",IFERROR(INDEX(Pubs!$B$2:$B$3001,MATCH(G981,Pubs!$A$2:$A$3001,0))&amp;"","⚠ pub inconnue")))</f>
        <v/>
      </c>
      <c r="I981" s="27" t="str">
        <f aca="false">IF(OR(G981="",G981="?"),"",IFERROR(INDEX(Pubs!$C$2:$C$3001,MATCH(G981,Pubs!$A$2:$A$3001,0))&amp;"",""))</f>
        <v/>
      </c>
      <c r="J981" s="27" t="str">
        <f aca="false">IF(OR(G981="",G981="?"),"",IFERROR(INDEX(Pubs!$G$2:$G$3001,MATCH(G981,Pubs!$A$2:$A$3001,0))&amp;"",""))</f>
        <v/>
      </c>
      <c r="K981" s="28" t="str">
        <f aca="false">IF(OR(G981="",G981="?"),"",IFERROR(INDEX(Pubs!$E$2:$E$3001,MATCH(G981,Pubs!$A$2:$A$3001,0)),""))</f>
        <v/>
      </c>
      <c r="L981" s="29" t="str">
        <f aca="false">IF(A981="","",IFERROR(1/(1/INDEX(Numéros!$C$2:$C$3001,MATCH(A981&amp;"|"&amp;B981,Numéros!$F$2:$F$3001,0))),""))</f>
        <v/>
      </c>
      <c r="M981" s="27" t="str">
        <f aca="false">IF(OR(G981="",G981="?"),"",IFERROR(INDEX(Pubs!$D$2:$D$3001,MATCH(G981,Pubs!$A$2:$A$3001,0))&amp;"",""))</f>
        <v/>
      </c>
      <c r="N981" s="27" t="n">
        <f aca="false">N(N980)+IF(AND(A981&lt;&gt;"",OR(Recherche!$C$4="",A981=Recherche!$C$4),OR(Recherche!$C$5="",B981&amp;""=Recherche!$C$5&amp;""),OR(Recherche!$C$6="",IFERROR(YEAR(L981),0)=Recherche!$C$6),OR(Recherche!$C$7="",ISNUMBER(SEARCH(Recherche!$C$7,H981))),OR(Recherche!$C$8="",J981=Recherche!$C$8),OR(Recherche!$C$9="",I981=Recherche!$C$9),OR(Recherche!$C$10="",G981&amp;""=Recherche!$C$10&amp;""),OR(Recherche!$C$11="",E981=Recherche!$C$11),OR(Recherche!$C$12="",ISNUMBER(SEARCH(Recherche!$C$12,M981&amp;" "&amp;F981)))),1,0)</f>
        <v>8</v>
      </c>
    </row>
    <row r="982" customFormat="false" ht="15" hidden="false" customHeight="false" outlineLevel="0" collapsed="false">
      <c r="A982" s="19"/>
      <c r="B982" s="19"/>
      <c r="C982" s="19"/>
      <c r="D982" s="19"/>
      <c r="E982" s="22"/>
      <c r="F982" s="19"/>
      <c r="G982" s="26" t="str">
        <f aca="false">IF(D982="","",IFERROR(VALUE(LEFT(D982,FIND(" |",D982&amp;" |")-1)),"?"))</f>
        <v/>
      </c>
      <c r="H982" s="27" t="str">
        <f aca="false">IF(G982="","",IF(G982="?","⚠ pub inconnue",IFERROR(INDEX(Pubs!$B$2:$B$3001,MATCH(G982,Pubs!$A$2:$A$3001,0))&amp;"","⚠ pub inconnue")))</f>
        <v/>
      </c>
      <c r="I982" s="27" t="str">
        <f aca="false">IF(OR(G982="",G982="?"),"",IFERROR(INDEX(Pubs!$C$2:$C$3001,MATCH(G982,Pubs!$A$2:$A$3001,0))&amp;"",""))</f>
        <v/>
      </c>
      <c r="J982" s="27" t="str">
        <f aca="false">IF(OR(G982="",G982="?"),"",IFERROR(INDEX(Pubs!$G$2:$G$3001,MATCH(G982,Pubs!$A$2:$A$3001,0))&amp;"",""))</f>
        <v/>
      </c>
      <c r="K982" s="28" t="str">
        <f aca="false">IF(OR(G982="",G982="?"),"",IFERROR(INDEX(Pubs!$E$2:$E$3001,MATCH(G982,Pubs!$A$2:$A$3001,0)),""))</f>
        <v/>
      </c>
      <c r="L982" s="29" t="str">
        <f aca="false">IF(A982="","",IFERROR(1/(1/INDEX(Numéros!$C$2:$C$3001,MATCH(A982&amp;"|"&amp;B982,Numéros!$F$2:$F$3001,0))),""))</f>
        <v/>
      </c>
      <c r="M982" s="27" t="str">
        <f aca="false">IF(OR(G982="",G982="?"),"",IFERROR(INDEX(Pubs!$D$2:$D$3001,MATCH(G982,Pubs!$A$2:$A$3001,0))&amp;"",""))</f>
        <v/>
      </c>
      <c r="N982" s="27" t="n">
        <f aca="false">N(N981)+IF(AND(A982&lt;&gt;"",OR(Recherche!$C$4="",A982=Recherche!$C$4),OR(Recherche!$C$5="",B982&amp;""=Recherche!$C$5&amp;""),OR(Recherche!$C$6="",IFERROR(YEAR(L982),0)=Recherche!$C$6),OR(Recherche!$C$7="",ISNUMBER(SEARCH(Recherche!$C$7,H982))),OR(Recherche!$C$8="",J982=Recherche!$C$8),OR(Recherche!$C$9="",I982=Recherche!$C$9),OR(Recherche!$C$10="",G982&amp;""=Recherche!$C$10&amp;""),OR(Recherche!$C$11="",E982=Recherche!$C$11),OR(Recherche!$C$12="",ISNUMBER(SEARCH(Recherche!$C$12,M982&amp;" "&amp;F982)))),1,0)</f>
        <v>8</v>
      </c>
    </row>
    <row r="983" customFormat="false" ht="15" hidden="false" customHeight="false" outlineLevel="0" collapsed="false">
      <c r="A983" s="19"/>
      <c r="B983" s="19"/>
      <c r="C983" s="19"/>
      <c r="D983" s="19"/>
      <c r="E983" s="22"/>
      <c r="F983" s="19"/>
      <c r="G983" s="26" t="str">
        <f aca="false">IF(D983="","",IFERROR(VALUE(LEFT(D983,FIND(" |",D983&amp;" |")-1)),"?"))</f>
        <v/>
      </c>
      <c r="H983" s="27" t="str">
        <f aca="false">IF(G983="","",IF(G983="?","⚠ pub inconnue",IFERROR(INDEX(Pubs!$B$2:$B$3001,MATCH(G983,Pubs!$A$2:$A$3001,0))&amp;"","⚠ pub inconnue")))</f>
        <v/>
      </c>
      <c r="I983" s="27" t="str">
        <f aca="false">IF(OR(G983="",G983="?"),"",IFERROR(INDEX(Pubs!$C$2:$C$3001,MATCH(G983,Pubs!$A$2:$A$3001,0))&amp;"",""))</f>
        <v/>
      </c>
      <c r="J983" s="27" t="str">
        <f aca="false">IF(OR(G983="",G983="?"),"",IFERROR(INDEX(Pubs!$G$2:$G$3001,MATCH(G983,Pubs!$A$2:$A$3001,0))&amp;"",""))</f>
        <v/>
      </c>
      <c r="K983" s="28" t="str">
        <f aca="false">IF(OR(G983="",G983="?"),"",IFERROR(INDEX(Pubs!$E$2:$E$3001,MATCH(G983,Pubs!$A$2:$A$3001,0)),""))</f>
        <v/>
      </c>
      <c r="L983" s="29" t="str">
        <f aca="false">IF(A983="","",IFERROR(1/(1/INDEX(Numéros!$C$2:$C$3001,MATCH(A983&amp;"|"&amp;B983,Numéros!$F$2:$F$3001,0))),""))</f>
        <v/>
      </c>
      <c r="M983" s="27" t="str">
        <f aca="false">IF(OR(G983="",G983="?"),"",IFERROR(INDEX(Pubs!$D$2:$D$3001,MATCH(G983,Pubs!$A$2:$A$3001,0))&amp;"",""))</f>
        <v/>
      </c>
      <c r="N983" s="27" t="n">
        <f aca="false">N(N982)+IF(AND(A983&lt;&gt;"",OR(Recherche!$C$4="",A983=Recherche!$C$4),OR(Recherche!$C$5="",B983&amp;""=Recherche!$C$5&amp;""),OR(Recherche!$C$6="",IFERROR(YEAR(L983),0)=Recherche!$C$6),OR(Recherche!$C$7="",ISNUMBER(SEARCH(Recherche!$C$7,H983))),OR(Recherche!$C$8="",J983=Recherche!$C$8),OR(Recherche!$C$9="",I983=Recherche!$C$9),OR(Recherche!$C$10="",G983&amp;""=Recherche!$C$10&amp;""),OR(Recherche!$C$11="",E983=Recherche!$C$11),OR(Recherche!$C$12="",ISNUMBER(SEARCH(Recherche!$C$12,M983&amp;" "&amp;F983)))),1,0)</f>
        <v>8</v>
      </c>
    </row>
    <row r="984" customFormat="false" ht="15" hidden="false" customHeight="false" outlineLevel="0" collapsed="false">
      <c r="A984" s="19"/>
      <c r="B984" s="19"/>
      <c r="C984" s="19"/>
      <c r="D984" s="19"/>
      <c r="E984" s="22"/>
      <c r="F984" s="19"/>
      <c r="G984" s="26" t="str">
        <f aca="false">IF(D984="","",IFERROR(VALUE(LEFT(D984,FIND(" |",D984&amp;" |")-1)),"?"))</f>
        <v/>
      </c>
      <c r="H984" s="27" t="str">
        <f aca="false">IF(G984="","",IF(G984="?","⚠ pub inconnue",IFERROR(INDEX(Pubs!$B$2:$B$3001,MATCH(G984,Pubs!$A$2:$A$3001,0))&amp;"","⚠ pub inconnue")))</f>
        <v/>
      </c>
      <c r="I984" s="27" t="str">
        <f aca="false">IF(OR(G984="",G984="?"),"",IFERROR(INDEX(Pubs!$C$2:$C$3001,MATCH(G984,Pubs!$A$2:$A$3001,0))&amp;"",""))</f>
        <v/>
      </c>
      <c r="J984" s="27" t="str">
        <f aca="false">IF(OR(G984="",G984="?"),"",IFERROR(INDEX(Pubs!$G$2:$G$3001,MATCH(G984,Pubs!$A$2:$A$3001,0))&amp;"",""))</f>
        <v/>
      </c>
      <c r="K984" s="28" t="str">
        <f aca="false">IF(OR(G984="",G984="?"),"",IFERROR(INDEX(Pubs!$E$2:$E$3001,MATCH(G984,Pubs!$A$2:$A$3001,0)),""))</f>
        <v/>
      </c>
      <c r="L984" s="29" t="str">
        <f aca="false">IF(A984="","",IFERROR(1/(1/INDEX(Numéros!$C$2:$C$3001,MATCH(A984&amp;"|"&amp;B984,Numéros!$F$2:$F$3001,0))),""))</f>
        <v/>
      </c>
      <c r="M984" s="27" t="str">
        <f aca="false">IF(OR(G984="",G984="?"),"",IFERROR(INDEX(Pubs!$D$2:$D$3001,MATCH(G984,Pubs!$A$2:$A$3001,0))&amp;"",""))</f>
        <v/>
      </c>
      <c r="N984" s="27" t="n">
        <f aca="false">N(N983)+IF(AND(A984&lt;&gt;"",OR(Recherche!$C$4="",A984=Recherche!$C$4),OR(Recherche!$C$5="",B984&amp;""=Recherche!$C$5&amp;""),OR(Recherche!$C$6="",IFERROR(YEAR(L984),0)=Recherche!$C$6),OR(Recherche!$C$7="",ISNUMBER(SEARCH(Recherche!$C$7,H984))),OR(Recherche!$C$8="",J984=Recherche!$C$8),OR(Recherche!$C$9="",I984=Recherche!$C$9),OR(Recherche!$C$10="",G984&amp;""=Recherche!$C$10&amp;""),OR(Recherche!$C$11="",E984=Recherche!$C$11),OR(Recherche!$C$12="",ISNUMBER(SEARCH(Recherche!$C$12,M984&amp;" "&amp;F984)))),1,0)</f>
        <v>8</v>
      </c>
    </row>
    <row r="985" customFormat="false" ht="15" hidden="false" customHeight="false" outlineLevel="0" collapsed="false">
      <c r="A985" s="19"/>
      <c r="B985" s="19"/>
      <c r="C985" s="19"/>
      <c r="D985" s="19"/>
      <c r="E985" s="22"/>
      <c r="F985" s="19"/>
      <c r="G985" s="26" t="str">
        <f aca="false">IF(D985="","",IFERROR(VALUE(LEFT(D985,FIND(" |",D985&amp;" |")-1)),"?"))</f>
        <v/>
      </c>
      <c r="H985" s="27" t="str">
        <f aca="false">IF(G985="","",IF(G985="?","⚠ pub inconnue",IFERROR(INDEX(Pubs!$B$2:$B$3001,MATCH(G985,Pubs!$A$2:$A$3001,0))&amp;"","⚠ pub inconnue")))</f>
        <v/>
      </c>
      <c r="I985" s="27" t="str">
        <f aca="false">IF(OR(G985="",G985="?"),"",IFERROR(INDEX(Pubs!$C$2:$C$3001,MATCH(G985,Pubs!$A$2:$A$3001,0))&amp;"",""))</f>
        <v/>
      </c>
      <c r="J985" s="27" t="str">
        <f aca="false">IF(OR(G985="",G985="?"),"",IFERROR(INDEX(Pubs!$G$2:$G$3001,MATCH(G985,Pubs!$A$2:$A$3001,0))&amp;"",""))</f>
        <v/>
      </c>
      <c r="K985" s="28" t="str">
        <f aca="false">IF(OR(G985="",G985="?"),"",IFERROR(INDEX(Pubs!$E$2:$E$3001,MATCH(G985,Pubs!$A$2:$A$3001,0)),""))</f>
        <v/>
      </c>
      <c r="L985" s="29" t="str">
        <f aca="false">IF(A985="","",IFERROR(1/(1/INDEX(Numéros!$C$2:$C$3001,MATCH(A985&amp;"|"&amp;B985,Numéros!$F$2:$F$3001,0))),""))</f>
        <v/>
      </c>
      <c r="M985" s="27" t="str">
        <f aca="false">IF(OR(G985="",G985="?"),"",IFERROR(INDEX(Pubs!$D$2:$D$3001,MATCH(G985,Pubs!$A$2:$A$3001,0))&amp;"",""))</f>
        <v/>
      </c>
      <c r="N985" s="27" t="n">
        <f aca="false">N(N984)+IF(AND(A985&lt;&gt;"",OR(Recherche!$C$4="",A985=Recherche!$C$4),OR(Recherche!$C$5="",B985&amp;""=Recherche!$C$5&amp;""),OR(Recherche!$C$6="",IFERROR(YEAR(L985),0)=Recherche!$C$6),OR(Recherche!$C$7="",ISNUMBER(SEARCH(Recherche!$C$7,H985))),OR(Recherche!$C$8="",J985=Recherche!$C$8),OR(Recherche!$C$9="",I985=Recherche!$C$9),OR(Recherche!$C$10="",G985&amp;""=Recherche!$C$10&amp;""),OR(Recherche!$C$11="",E985=Recherche!$C$11),OR(Recherche!$C$12="",ISNUMBER(SEARCH(Recherche!$C$12,M985&amp;" "&amp;F985)))),1,0)</f>
        <v>8</v>
      </c>
    </row>
    <row r="986" customFormat="false" ht="15" hidden="false" customHeight="false" outlineLevel="0" collapsed="false">
      <c r="A986" s="19"/>
      <c r="B986" s="19"/>
      <c r="C986" s="19"/>
      <c r="D986" s="19"/>
      <c r="E986" s="22"/>
      <c r="F986" s="19"/>
      <c r="G986" s="26" t="str">
        <f aca="false">IF(D986="","",IFERROR(VALUE(LEFT(D986,FIND(" |",D986&amp;" |")-1)),"?"))</f>
        <v/>
      </c>
      <c r="H986" s="27" t="str">
        <f aca="false">IF(G986="","",IF(G986="?","⚠ pub inconnue",IFERROR(INDEX(Pubs!$B$2:$B$3001,MATCH(G986,Pubs!$A$2:$A$3001,0))&amp;"","⚠ pub inconnue")))</f>
        <v/>
      </c>
      <c r="I986" s="27" t="str">
        <f aca="false">IF(OR(G986="",G986="?"),"",IFERROR(INDEX(Pubs!$C$2:$C$3001,MATCH(G986,Pubs!$A$2:$A$3001,0))&amp;"",""))</f>
        <v/>
      </c>
      <c r="J986" s="27" t="str">
        <f aca="false">IF(OR(G986="",G986="?"),"",IFERROR(INDEX(Pubs!$G$2:$G$3001,MATCH(G986,Pubs!$A$2:$A$3001,0))&amp;"",""))</f>
        <v/>
      </c>
      <c r="K986" s="28" t="str">
        <f aca="false">IF(OR(G986="",G986="?"),"",IFERROR(INDEX(Pubs!$E$2:$E$3001,MATCH(G986,Pubs!$A$2:$A$3001,0)),""))</f>
        <v/>
      </c>
      <c r="L986" s="29" t="str">
        <f aca="false">IF(A986="","",IFERROR(1/(1/INDEX(Numéros!$C$2:$C$3001,MATCH(A986&amp;"|"&amp;B986,Numéros!$F$2:$F$3001,0))),""))</f>
        <v/>
      </c>
      <c r="M986" s="27" t="str">
        <f aca="false">IF(OR(G986="",G986="?"),"",IFERROR(INDEX(Pubs!$D$2:$D$3001,MATCH(G986,Pubs!$A$2:$A$3001,0))&amp;"",""))</f>
        <v/>
      </c>
      <c r="N986" s="27" t="n">
        <f aca="false">N(N985)+IF(AND(A986&lt;&gt;"",OR(Recherche!$C$4="",A986=Recherche!$C$4),OR(Recherche!$C$5="",B986&amp;""=Recherche!$C$5&amp;""),OR(Recherche!$C$6="",IFERROR(YEAR(L986),0)=Recherche!$C$6),OR(Recherche!$C$7="",ISNUMBER(SEARCH(Recherche!$C$7,H986))),OR(Recherche!$C$8="",J986=Recherche!$C$8),OR(Recherche!$C$9="",I986=Recherche!$C$9),OR(Recherche!$C$10="",G986&amp;""=Recherche!$C$10&amp;""),OR(Recherche!$C$11="",E986=Recherche!$C$11),OR(Recherche!$C$12="",ISNUMBER(SEARCH(Recherche!$C$12,M986&amp;" "&amp;F986)))),1,0)</f>
        <v>8</v>
      </c>
    </row>
    <row r="987" customFormat="false" ht="15" hidden="false" customHeight="false" outlineLevel="0" collapsed="false">
      <c r="A987" s="19"/>
      <c r="B987" s="19"/>
      <c r="C987" s="19"/>
      <c r="D987" s="19"/>
      <c r="E987" s="22"/>
      <c r="F987" s="19"/>
      <c r="G987" s="26" t="str">
        <f aca="false">IF(D987="","",IFERROR(VALUE(LEFT(D987,FIND(" |",D987&amp;" |")-1)),"?"))</f>
        <v/>
      </c>
      <c r="H987" s="27" t="str">
        <f aca="false">IF(G987="","",IF(G987="?","⚠ pub inconnue",IFERROR(INDEX(Pubs!$B$2:$B$3001,MATCH(G987,Pubs!$A$2:$A$3001,0))&amp;"","⚠ pub inconnue")))</f>
        <v/>
      </c>
      <c r="I987" s="27" t="str">
        <f aca="false">IF(OR(G987="",G987="?"),"",IFERROR(INDEX(Pubs!$C$2:$C$3001,MATCH(G987,Pubs!$A$2:$A$3001,0))&amp;"",""))</f>
        <v/>
      </c>
      <c r="J987" s="27" t="str">
        <f aca="false">IF(OR(G987="",G987="?"),"",IFERROR(INDEX(Pubs!$G$2:$G$3001,MATCH(G987,Pubs!$A$2:$A$3001,0))&amp;"",""))</f>
        <v/>
      </c>
      <c r="K987" s="28" t="str">
        <f aca="false">IF(OR(G987="",G987="?"),"",IFERROR(INDEX(Pubs!$E$2:$E$3001,MATCH(G987,Pubs!$A$2:$A$3001,0)),""))</f>
        <v/>
      </c>
      <c r="L987" s="29" t="str">
        <f aca="false">IF(A987="","",IFERROR(1/(1/INDEX(Numéros!$C$2:$C$3001,MATCH(A987&amp;"|"&amp;B987,Numéros!$F$2:$F$3001,0))),""))</f>
        <v/>
      </c>
      <c r="M987" s="27" t="str">
        <f aca="false">IF(OR(G987="",G987="?"),"",IFERROR(INDEX(Pubs!$D$2:$D$3001,MATCH(G987,Pubs!$A$2:$A$3001,0))&amp;"",""))</f>
        <v/>
      </c>
      <c r="N987" s="27" t="n">
        <f aca="false">N(N986)+IF(AND(A987&lt;&gt;"",OR(Recherche!$C$4="",A987=Recherche!$C$4),OR(Recherche!$C$5="",B987&amp;""=Recherche!$C$5&amp;""),OR(Recherche!$C$6="",IFERROR(YEAR(L987),0)=Recherche!$C$6),OR(Recherche!$C$7="",ISNUMBER(SEARCH(Recherche!$C$7,H987))),OR(Recherche!$C$8="",J987=Recherche!$C$8),OR(Recherche!$C$9="",I987=Recherche!$C$9),OR(Recherche!$C$10="",G987&amp;""=Recherche!$C$10&amp;""),OR(Recherche!$C$11="",E987=Recherche!$C$11),OR(Recherche!$C$12="",ISNUMBER(SEARCH(Recherche!$C$12,M987&amp;" "&amp;F987)))),1,0)</f>
        <v>8</v>
      </c>
    </row>
    <row r="988" customFormat="false" ht="15" hidden="false" customHeight="false" outlineLevel="0" collapsed="false">
      <c r="A988" s="19"/>
      <c r="B988" s="19"/>
      <c r="C988" s="19"/>
      <c r="D988" s="19"/>
      <c r="E988" s="22"/>
      <c r="F988" s="19"/>
      <c r="G988" s="26" t="str">
        <f aca="false">IF(D988="","",IFERROR(VALUE(LEFT(D988,FIND(" |",D988&amp;" |")-1)),"?"))</f>
        <v/>
      </c>
      <c r="H988" s="27" t="str">
        <f aca="false">IF(G988="","",IF(G988="?","⚠ pub inconnue",IFERROR(INDEX(Pubs!$B$2:$B$3001,MATCH(G988,Pubs!$A$2:$A$3001,0))&amp;"","⚠ pub inconnue")))</f>
        <v/>
      </c>
      <c r="I988" s="27" t="str">
        <f aca="false">IF(OR(G988="",G988="?"),"",IFERROR(INDEX(Pubs!$C$2:$C$3001,MATCH(G988,Pubs!$A$2:$A$3001,0))&amp;"",""))</f>
        <v/>
      </c>
      <c r="J988" s="27" t="str">
        <f aca="false">IF(OR(G988="",G988="?"),"",IFERROR(INDEX(Pubs!$G$2:$G$3001,MATCH(G988,Pubs!$A$2:$A$3001,0))&amp;"",""))</f>
        <v/>
      </c>
      <c r="K988" s="28" t="str">
        <f aca="false">IF(OR(G988="",G988="?"),"",IFERROR(INDEX(Pubs!$E$2:$E$3001,MATCH(G988,Pubs!$A$2:$A$3001,0)),""))</f>
        <v/>
      </c>
      <c r="L988" s="29" t="str">
        <f aca="false">IF(A988="","",IFERROR(1/(1/INDEX(Numéros!$C$2:$C$3001,MATCH(A988&amp;"|"&amp;B988,Numéros!$F$2:$F$3001,0))),""))</f>
        <v/>
      </c>
      <c r="M988" s="27" t="str">
        <f aca="false">IF(OR(G988="",G988="?"),"",IFERROR(INDEX(Pubs!$D$2:$D$3001,MATCH(G988,Pubs!$A$2:$A$3001,0))&amp;"",""))</f>
        <v/>
      </c>
      <c r="N988" s="27" t="n">
        <f aca="false">N(N987)+IF(AND(A988&lt;&gt;"",OR(Recherche!$C$4="",A988=Recherche!$C$4),OR(Recherche!$C$5="",B988&amp;""=Recherche!$C$5&amp;""),OR(Recherche!$C$6="",IFERROR(YEAR(L988),0)=Recherche!$C$6),OR(Recherche!$C$7="",ISNUMBER(SEARCH(Recherche!$C$7,H988))),OR(Recherche!$C$8="",J988=Recherche!$C$8),OR(Recherche!$C$9="",I988=Recherche!$C$9),OR(Recherche!$C$10="",G988&amp;""=Recherche!$C$10&amp;""),OR(Recherche!$C$11="",E988=Recherche!$C$11),OR(Recherche!$C$12="",ISNUMBER(SEARCH(Recherche!$C$12,M988&amp;" "&amp;F988)))),1,0)</f>
        <v>8</v>
      </c>
    </row>
    <row r="989" customFormat="false" ht="15" hidden="false" customHeight="false" outlineLevel="0" collapsed="false">
      <c r="A989" s="19"/>
      <c r="B989" s="19"/>
      <c r="C989" s="19"/>
      <c r="D989" s="19"/>
      <c r="E989" s="22"/>
      <c r="F989" s="19"/>
      <c r="G989" s="26" t="str">
        <f aca="false">IF(D989="","",IFERROR(VALUE(LEFT(D989,FIND(" |",D989&amp;" |")-1)),"?"))</f>
        <v/>
      </c>
      <c r="H989" s="27" t="str">
        <f aca="false">IF(G989="","",IF(G989="?","⚠ pub inconnue",IFERROR(INDEX(Pubs!$B$2:$B$3001,MATCH(G989,Pubs!$A$2:$A$3001,0))&amp;"","⚠ pub inconnue")))</f>
        <v/>
      </c>
      <c r="I989" s="27" t="str">
        <f aca="false">IF(OR(G989="",G989="?"),"",IFERROR(INDEX(Pubs!$C$2:$C$3001,MATCH(G989,Pubs!$A$2:$A$3001,0))&amp;"",""))</f>
        <v/>
      </c>
      <c r="J989" s="27" t="str">
        <f aca="false">IF(OR(G989="",G989="?"),"",IFERROR(INDEX(Pubs!$G$2:$G$3001,MATCH(G989,Pubs!$A$2:$A$3001,0))&amp;"",""))</f>
        <v/>
      </c>
      <c r="K989" s="28" t="str">
        <f aca="false">IF(OR(G989="",G989="?"),"",IFERROR(INDEX(Pubs!$E$2:$E$3001,MATCH(G989,Pubs!$A$2:$A$3001,0)),""))</f>
        <v/>
      </c>
      <c r="L989" s="29" t="str">
        <f aca="false">IF(A989="","",IFERROR(1/(1/INDEX(Numéros!$C$2:$C$3001,MATCH(A989&amp;"|"&amp;B989,Numéros!$F$2:$F$3001,0))),""))</f>
        <v/>
      </c>
      <c r="M989" s="27" t="str">
        <f aca="false">IF(OR(G989="",G989="?"),"",IFERROR(INDEX(Pubs!$D$2:$D$3001,MATCH(G989,Pubs!$A$2:$A$3001,0))&amp;"",""))</f>
        <v/>
      </c>
      <c r="N989" s="27" t="n">
        <f aca="false">N(N988)+IF(AND(A989&lt;&gt;"",OR(Recherche!$C$4="",A989=Recherche!$C$4),OR(Recherche!$C$5="",B989&amp;""=Recherche!$C$5&amp;""),OR(Recherche!$C$6="",IFERROR(YEAR(L989),0)=Recherche!$C$6),OR(Recherche!$C$7="",ISNUMBER(SEARCH(Recherche!$C$7,H989))),OR(Recherche!$C$8="",J989=Recherche!$C$8),OR(Recherche!$C$9="",I989=Recherche!$C$9),OR(Recherche!$C$10="",G989&amp;""=Recherche!$C$10&amp;""),OR(Recherche!$C$11="",E989=Recherche!$C$11),OR(Recherche!$C$12="",ISNUMBER(SEARCH(Recherche!$C$12,M989&amp;" "&amp;F989)))),1,0)</f>
        <v>8</v>
      </c>
    </row>
    <row r="990" customFormat="false" ht="15" hidden="false" customHeight="false" outlineLevel="0" collapsed="false">
      <c r="A990" s="19"/>
      <c r="B990" s="19"/>
      <c r="C990" s="19"/>
      <c r="D990" s="19"/>
      <c r="E990" s="22"/>
      <c r="F990" s="19"/>
      <c r="G990" s="26" t="str">
        <f aca="false">IF(D990="","",IFERROR(VALUE(LEFT(D990,FIND(" |",D990&amp;" |")-1)),"?"))</f>
        <v/>
      </c>
      <c r="H990" s="27" t="str">
        <f aca="false">IF(G990="","",IF(G990="?","⚠ pub inconnue",IFERROR(INDEX(Pubs!$B$2:$B$3001,MATCH(G990,Pubs!$A$2:$A$3001,0))&amp;"","⚠ pub inconnue")))</f>
        <v/>
      </c>
      <c r="I990" s="27" t="str">
        <f aca="false">IF(OR(G990="",G990="?"),"",IFERROR(INDEX(Pubs!$C$2:$C$3001,MATCH(G990,Pubs!$A$2:$A$3001,0))&amp;"",""))</f>
        <v/>
      </c>
      <c r="J990" s="27" t="str">
        <f aca="false">IF(OR(G990="",G990="?"),"",IFERROR(INDEX(Pubs!$G$2:$G$3001,MATCH(G990,Pubs!$A$2:$A$3001,0))&amp;"",""))</f>
        <v/>
      </c>
      <c r="K990" s="28" t="str">
        <f aca="false">IF(OR(G990="",G990="?"),"",IFERROR(INDEX(Pubs!$E$2:$E$3001,MATCH(G990,Pubs!$A$2:$A$3001,0)),""))</f>
        <v/>
      </c>
      <c r="L990" s="29" t="str">
        <f aca="false">IF(A990="","",IFERROR(1/(1/INDEX(Numéros!$C$2:$C$3001,MATCH(A990&amp;"|"&amp;B990,Numéros!$F$2:$F$3001,0))),""))</f>
        <v/>
      </c>
      <c r="M990" s="27" t="str">
        <f aca="false">IF(OR(G990="",G990="?"),"",IFERROR(INDEX(Pubs!$D$2:$D$3001,MATCH(G990,Pubs!$A$2:$A$3001,0))&amp;"",""))</f>
        <v/>
      </c>
      <c r="N990" s="27" t="n">
        <f aca="false">N(N989)+IF(AND(A990&lt;&gt;"",OR(Recherche!$C$4="",A990=Recherche!$C$4),OR(Recherche!$C$5="",B990&amp;""=Recherche!$C$5&amp;""),OR(Recherche!$C$6="",IFERROR(YEAR(L990),0)=Recherche!$C$6),OR(Recherche!$C$7="",ISNUMBER(SEARCH(Recherche!$C$7,H990))),OR(Recherche!$C$8="",J990=Recherche!$C$8),OR(Recherche!$C$9="",I990=Recherche!$C$9),OR(Recherche!$C$10="",G990&amp;""=Recherche!$C$10&amp;""),OR(Recherche!$C$11="",E990=Recherche!$C$11),OR(Recherche!$C$12="",ISNUMBER(SEARCH(Recherche!$C$12,M990&amp;" "&amp;F990)))),1,0)</f>
        <v>8</v>
      </c>
    </row>
    <row r="991" customFormat="false" ht="15" hidden="false" customHeight="false" outlineLevel="0" collapsed="false">
      <c r="A991" s="19"/>
      <c r="B991" s="19"/>
      <c r="C991" s="19"/>
      <c r="D991" s="19"/>
      <c r="E991" s="22"/>
      <c r="F991" s="19"/>
      <c r="G991" s="26" t="str">
        <f aca="false">IF(D991="","",IFERROR(VALUE(LEFT(D991,FIND(" |",D991&amp;" |")-1)),"?"))</f>
        <v/>
      </c>
      <c r="H991" s="27" t="str">
        <f aca="false">IF(G991="","",IF(G991="?","⚠ pub inconnue",IFERROR(INDEX(Pubs!$B$2:$B$3001,MATCH(G991,Pubs!$A$2:$A$3001,0))&amp;"","⚠ pub inconnue")))</f>
        <v/>
      </c>
      <c r="I991" s="27" t="str">
        <f aca="false">IF(OR(G991="",G991="?"),"",IFERROR(INDEX(Pubs!$C$2:$C$3001,MATCH(G991,Pubs!$A$2:$A$3001,0))&amp;"",""))</f>
        <v/>
      </c>
      <c r="J991" s="27" t="str">
        <f aca="false">IF(OR(G991="",G991="?"),"",IFERROR(INDEX(Pubs!$G$2:$G$3001,MATCH(G991,Pubs!$A$2:$A$3001,0))&amp;"",""))</f>
        <v/>
      </c>
      <c r="K991" s="28" t="str">
        <f aca="false">IF(OR(G991="",G991="?"),"",IFERROR(INDEX(Pubs!$E$2:$E$3001,MATCH(G991,Pubs!$A$2:$A$3001,0)),""))</f>
        <v/>
      </c>
      <c r="L991" s="29" t="str">
        <f aca="false">IF(A991="","",IFERROR(1/(1/INDEX(Numéros!$C$2:$C$3001,MATCH(A991&amp;"|"&amp;B991,Numéros!$F$2:$F$3001,0))),""))</f>
        <v/>
      </c>
      <c r="M991" s="27" t="str">
        <f aca="false">IF(OR(G991="",G991="?"),"",IFERROR(INDEX(Pubs!$D$2:$D$3001,MATCH(G991,Pubs!$A$2:$A$3001,0))&amp;"",""))</f>
        <v/>
      </c>
      <c r="N991" s="27" t="n">
        <f aca="false">N(N990)+IF(AND(A991&lt;&gt;"",OR(Recherche!$C$4="",A991=Recherche!$C$4),OR(Recherche!$C$5="",B991&amp;""=Recherche!$C$5&amp;""),OR(Recherche!$C$6="",IFERROR(YEAR(L991),0)=Recherche!$C$6),OR(Recherche!$C$7="",ISNUMBER(SEARCH(Recherche!$C$7,H991))),OR(Recherche!$C$8="",J991=Recherche!$C$8),OR(Recherche!$C$9="",I991=Recherche!$C$9),OR(Recherche!$C$10="",G991&amp;""=Recherche!$C$10&amp;""),OR(Recherche!$C$11="",E991=Recherche!$C$11),OR(Recherche!$C$12="",ISNUMBER(SEARCH(Recherche!$C$12,M991&amp;" "&amp;F991)))),1,0)</f>
        <v>8</v>
      </c>
    </row>
    <row r="992" customFormat="false" ht="15" hidden="false" customHeight="false" outlineLevel="0" collapsed="false">
      <c r="A992" s="19"/>
      <c r="B992" s="19"/>
      <c r="C992" s="19"/>
      <c r="D992" s="19"/>
      <c r="E992" s="22"/>
      <c r="F992" s="19"/>
      <c r="G992" s="26" t="str">
        <f aca="false">IF(D992="","",IFERROR(VALUE(LEFT(D992,FIND(" |",D992&amp;" |")-1)),"?"))</f>
        <v/>
      </c>
      <c r="H992" s="27" t="str">
        <f aca="false">IF(G992="","",IF(G992="?","⚠ pub inconnue",IFERROR(INDEX(Pubs!$B$2:$B$3001,MATCH(G992,Pubs!$A$2:$A$3001,0))&amp;"","⚠ pub inconnue")))</f>
        <v/>
      </c>
      <c r="I992" s="27" t="str">
        <f aca="false">IF(OR(G992="",G992="?"),"",IFERROR(INDEX(Pubs!$C$2:$C$3001,MATCH(G992,Pubs!$A$2:$A$3001,0))&amp;"",""))</f>
        <v/>
      </c>
      <c r="J992" s="27" t="str">
        <f aca="false">IF(OR(G992="",G992="?"),"",IFERROR(INDEX(Pubs!$G$2:$G$3001,MATCH(G992,Pubs!$A$2:$A$3001,0))&amp;"",""))</f>
        <v/>
      </c>
      <c r="K992" s="28" t="str">
        <f aca="false">IF(OR(G992="",G992="?"),"",IFERROR(INDEX(Pubs!$E$2:$E$3001,MATCH(G992,Pubs!$A$2:$A$3001,0)),""))</f>
        <v/>
      </c>
      <c r="L992" s="29" t="str">
        <f aca="false">IF(A992="","",IFERROR(1/(1/INDEX(Numéros!$C$2:$C$3001,MATCH(A992&amp;"|"&amp;B992,Numéros!$F$2:$F$3001,0))),""))</f>
        <v/>
      </c>
      <c r="M992" s="27" t="str">
        <f aca="false">IF(OR(G992="",G992="?"),"",IFERROR(INDEX(Pubs!$D$2:$D$3001,MATCH(G992,Pubs!$A$2:$A$3001,0))&amp;"",""))</f>
        <v/>
      </c>
      <c r="N992" s="27" t="n">
        <f aca="false">N(N991)+IF(AND(A992&lt;&gt;"",OR(Recherche!$C$4="",A992=Recherche!$C$4),OR(Recherche!$C$5="",B992&amp;""=Recherche!$C$5&amp;""),OR(Recherche!$C$6="",IFERROR(YEAR(L992),0)=Recherche!$C$6),OR(Recherche!$C$7="",ISNUMBER(SEARCH(Recherche!$C$7,H992))),OR(Recherche!$C$8="",J992=Recherche!$C$8),OR(Recherche!$C$9="",I992=Recherche!$C$9),OR(Recherche!$C$10="",G992&amp;""=Recherche!$C$10&amp;""),OR(Recherche!$C$11="",E992=Recherche!$C$11),OR(Recherche!$C$12="",ISNUMBER(SEARCH(Recherche!$C$12,M992&amp;" "&amp;F992)))),1,0)</f>
        <v>8</v>
      </c>
    </row>
    <row r="993" customFormat="false" ht="15" hidden="false" customHeight="false" outlineLevel="0" collapsed="false">
      <c r="A993" s="19"/>
      <c r="B993" s="19"/>
      <c r="C993" s="19"/>
      <c r="D993" s="19"/>
      <c r="E993" s="22"/>
      <c r="F993" s="19"/>
      <c r="G993" s="26" t="str">
        <f aca="false">IF(D993="","",IFERROR(VALUE(LEFT(D993,FIND(" |",D993&amp;" |")-1)),"?"))</f>
        <v/>
      </c>
      <c r="H993" s="27" t="str">
        <f aca="false">IF(G993="","",IF(G993="?","⚠ pub inconnue",IFERROR(INDEX(Pubs!$B$2:$B$3001,MATCH(G993,Pubs!$A$2:$A$3001,0))&amp;"","⚠ pub inconnue")))</f>
        <v/>
      </c>
      <c r="I993" s="27" t="str">
        <f aca="false">IF(OR(G993="",G993="?"),"",IFERROR(INDEX(Pubs!$C$2:$C$3001,MATCH(G993,Pubs!$A$2:$A$3001,0))&amp;"",""))</f>
        <v/>
      </c>
      <c r="J993" s="27" t="str">
        <f aca="false">IF(OR(G993="",G993="?"),"",IFERROR(INDEX(Pubs!$G$2:$G$3001,MATCH(G993,Pubs!$A$2:$A$3001,0))&amp;"",""))</f>
        <v/>
      </c>
      <c r="K993" s="28" t="str">
        <f aca="false">IF(OR(G993="",G993="?"),"",IFERROR(INDEX(Pubs!$E$2:$E$3001,MATCH(G993,Pubs!$A$2:$A$3001,0)),""))</f>
        <v/>
      </c>
      <c r="L993" s="29" t="str">
        <f aca="false">IF(A993="","",IFERROR(1/(1/INDEX(Numéros!$C$2:$C$3001,MATCH(A993&amp;"|"&amp;B993,Numéros!$F$2:$F$3001,0))),""))</f>
        <v/>
      </c>
      <c r="M993" s="27" t="str">
        <f aca="false">IF(OR(G993="",G993="?"),"",IFERROR(INDEX(Pubs!$D$2:$D$3001,MATCH(G993,Pubs!$A$2:$A$3001,0))&amp;"",""))</f>
        <v/>
      </c>
      <c r="N993" s="27" t="n">
        <f aca="false">N(N992)+IF(AND(A993&lt;&gt;"",OR(Recherche!$C$4="",A993=Recherche!$C$4),OR(Recherche!$C$5="",B993&amp;""=Recherche!$C$5&amp;""),OR(Recherche!$C$6="",IFERROR(YEAR(L993),0)=Recherche!$C$6),OR(Recherche!$C$7="",ISNUMBER(SEARCH(Recherche!$C$7,H993))),OR(Recherche!$C$8="",J993=Recherche!$C$8),OR(Recherche!$C$9="",I993=Recherche!$C$9),OR(Recherche!$C$10="",G993&amp;""=Recherche!$C$10&amp;""),OR(Recherche!$C$11="",E993=Recherche!$C$11),OR(Recherche!$C$12="",ISNUMBER(SEARCH(Recherche!$C$12,M993&amp;" "&amp;F993)))),1,0)</f>
        <v>8</v>
      </c>
    </row>
    <row r="994" customFormat="false" ht="15" hidden="false" customHeight="false" outlineLevel="0" collapsed="false">
      <c r="A994" s="19"/>
      <c r="B994" s="19"/>
      <c r="C994" s="19"/>
      <c r="D994" s="19"/>
      <c r="E994" s="22"/>
      <c r="F994" s="19"/>
      <c r="G994" s="26" t="str">
        <f aca="false">IF(D994="","",IFERROR(VALUE(LEFT(D994,FIND(" |",D994&amp;" |")-1)),"?"))</f>
        <v/>
      </c>
      <c r="H994" s="27" t="str">
        <f aca="false">IF(G994="","",IF(G994="?","⚠ pub inconnue",IFERROR(INDEX(Pubs!$B$2:$B$3001,MATCH(G994,Pubs!$A$2:$A$3001,0))&amp;"","⚠ pub inconnue")))</f>
        <v/>
      </c>
      <c r="I994" s="27" t="str">
        <f aca="false">IF(OR(G994="",G994="?"),"",IFERROR(INDEX(Pubs!$C$2:$C$3001,MATCH(G994,Pubs!$A$2:$A$3001,0))&amp;"",""))</f>
        <v/>
      </c>
      <c r="J994" s="27" t="str">
        <f aca="false">IF(OR(G994="",G994="?"),"",IFERROR(INDEX(Pubs!$G$2:$G$3001,MATCH(G994,Pubs!$A$2:$A$3001,0))&amp;"",""))</f>
        <v/>
      </c>
      <c r="K994" s="28" t="str">
        <f aca="false">IF(OR(G994="",G994="?"),"",IFERROR(INDEX(Pubs!$E$2:$E$3001,MATCH(G994,Pubs!$A$2:$A$3001,0)),""))</f>
        <v/>
      </c>
      <c r="L994" s="29" t="str">
        <f aca="false">IF(A994="","",IFERROR(1/(1/INDEX(Numéros!$C$2:$C$3001,MATCH(A994&amp;"|"&amp;B994,Numéros!$F$2:$F$3001,0))),""))</f>
        <v/>
      </c>
      <c r="M994" s="27" t="str">
        <f aca="false">IF(OR(G994="",G994="?"),"",IFERROR(INDEX(Pubs!$D$2:$D$3001,MATCH(G994,Pubs!$A$2:$A$3001,0))&amp;"",""))</f>
        <v/>
      </c>
      <c r="N994" s="27" t="n">
        <f aca="false">N(N993)+IF(AND(A994&lt;&gt;"",OR(Recherche!$C$4="",A994=Recherche!$C$4),OR(Recherche!$C$5="",B994&amp;""=Recherche!$C$5&amp;""),OR(Recherche!$C$6="",IFERROR(YEAR(L994),0)=Recherche!$C$6),OR(Recherche!$C$7="",ISNUMBER(SEARCH(Recherche!$C$7,H994))),OR(Recherche!$C$8="",J994=Recherche!$C$8),OR(Recherche!$C$9="",I994=Recherche!$C$9),OR(Recherche!$C$10="",G994&amp;""=Recherche!$C$10&amp;""),OR(Recherche!$C$11="",E994=Recherche!$C$11),OR(Recherche!$C$12="",ISNUMBER(SEARCH(Recherche!$C$12,M994&amp;" "&amp;F994)))),1,0)</f>
        <v>8</v>
      </c>
    </row>
    <row r="995" customFormat="false" ht="15" hidden="false" customHeight="false" outlineLevel="0" collapsed="false">
      <c r="A995" s="19"/>
      <c r="B995" s="19"/>
      <c r="C995" s="19"/>
      <c r="D995" s="19"/>
      <c r="E995" s="22"/>
      <c r="F995" s="19"/>
      <c r="G995" s="26" t="str">
        <f aca="false">IF(D995="","",IFERROR(VALUE(LEFT(D995,FIND(" |",D995&amp;" |")-1)),"?"))</f>
        <v/>
      </c>
      <c r="H995" s="27" t="str">
        <f aca="false">IF(G995="","",IF(G995="?","⚠ pub inconnue",IFERROR(INDEX(Pubs!$B$2:$B$3001,MATCH(G995,Pubs!$A$2:$A$3001,0))&amp;"","⚠ pub inconnue")))</f>
        <v/>
      </c>
      <c r="I995" s="27" t="str">
        <f aca="false">IF(OR(G995="",G995="?"),"",IFERROR(INDEX(Pubs!$C$2:$C$3001,MATCH(G995,Pubs!$A$2:$A$3001,0))&amp;"",""))</f>
        <v/>
      </c>
      <c r="J995" s="27" t="str">
        <f aca="false">IF(OR(G995="",G995="?"),"",IFERROR(INDEX(Pubs!$G$2:$G$3001,MATCH(G995,Pubs!$A$2:$A$3001,0))&amp;"",""))</f>
        <v/>
      </c>
      <c r="K995" s="28" t="str">
        <f aca="false">IF(OR(G995="",G995="?"),"",IFERROR(INDEX(Pubs!$E$2:$E$3001,MATCH(G995,Pubs!$A$2:$A$3001,0)),""))</f>
        <v/>
      </c>
      <c r="L995" s="29" t="str">
        <f aca="false">IF(A995="","",IFERROR(1/(1/INDEX(Numéros!$C$2:$C$3001,MATCH(A995&amp;"|"&amp;B995,Numéros!$F$2:$F$3001,0))),""))</f>
        <v/>
      </c>
      <c r="M995" s="27" t="str">
        <f aca="false">IF(OR(G995="",G995="?"),"",IFERROR(INDEX(Pubs!$D$2:$D$3001,MATCH(G995,Pubs!$A$2:$A$3001,0))&amp;"",""))</f>
        <v/>
      </c>
      <c r="N995" s="27" t="n">
        <f aca="false">N(N994)+IF(AND(A995&lt;&gt;"",OR(Recherche!$C$4="",A995=Recherche!$C$4),OR(Recherche!$C$5="",B995&amp;""=Recherche!$C$5&amp;""),OR(Recherche!$C$6="",IFERROR(YEAR(L995),0)=Recherche!$C$6),OR(Recherche!$C$7="",ISNUMBER(SEARCH(Recherche!$C$7,H995))),OR(Recherche!$C$8="",J995=Recherche!$C$8),OR(Recherche!$C$9="",I995=Recherche!$C$9),OR(Recherche!$C$10="",G995&amp;""=Recherche!$C$10&amp;""),OR(Recherche!$C$11="",E995=Recherche!$C$11),OR(Recherche!$C$12="",ISNUMBER(SEARCH(Recherche!$C$12,M995&amp;" "&amp;F995)))),1,0)</f>
        <v>8</v>
      </c>
    </row>
    <row r="996" customFormat="false" ht="15" hidden="false" customHeight="false" outlineLevel="0" collapsed="false">
      <c r="A996" s="19"/>
      <c r="B996" s="19"/>
      <c r="C996" s="19"/>
      <c r="D996" s="19"/>
      <c r="E996" s="22"/>
      <c r="F996" s="19"/>
      <c r="G996" s="26" t="str">
        <f aca="false">IF(D996="","",IFERROR(VALUE(LEFT(D996,FIND(" |",D996&amp;" |")-1)),"?"))</f>
        <v/>
      </c>
      <c r="H996" s="27" t="str">
        <f aca="false">IF(G996="","",IF(G996="?","⚠ pub inconnue",IFERROR(INDEX(Pubs!$B$2:$B$3001,MATCH(G996,Pubs!$A$2:$A$3001,0))&amp;"","⚠ pub inconnue")))</f>
        <v/>
      </c>
      <c r="I996" s="27" t="str">
        <f aca="false">IF(OR(G996="",G996="?"),"",IFERROR(INDEX(Pubs!$C$2:$C$3001,MATCH(G996,Pubs!$A$2:$A$3001,0))&amp;"",""))</f>
        <v/>
      </c>
      <c r="J996" s="27" t="str">
        <f aca="false">IF(OR(G996="",G996="?"),"",IFERROR(INDEX(Pubs!$G$2:$G$3001,MATCH(G996,Pubs!$A$2:$A$3001,0))&amp;"",""))</f>
        <v/>
      </c>
      <c r="K996" s="28" t="str">
        <f aca="false">IF(OR(G996="",G996="?"),"",IFERROR(INDEX(Pubs!$E$2:$E$3001,MATCH(G996,Pubs!$A$2:$A$3001,0)),""))</f>
        <v/>
      </c>
      <c r="L996" s="29" t="str">
        <f aca="false">IF(A996="","",IFERROR(1/(1/INDEX(Numéros!$C$2:$C$3001,MATCH(A996&amp;"|"&amp;B996,Numéros!$F$2:$F$3001,0))),""))</f>
        <v/>
      </c>
      <c r="M996" s="27" t="str">
        <f aca="false">IF(OR(G996="",G996="?"),"",IFERROR(INDEX(Pubs!$D$2:$D$3001,MATCH(G996,Pubs!$A$2:$A$3001,0))&amp;"",""))</f>
        <v/>
      </c>
      <c r="N996" s="27" t="n">
        <f aca="false">N(N995)+IF(AND(A996&lt;&gt;"",OR(Recherche!$C$4="",A996=Recherche!$C$4),OR(Recherche!$C$5="",B996&amp;""=Recherche!$C$5&amp;""),OR(Recherche!$C$6="",IFERROR(YEAR(L996),0)=Recherche!$C$6),OR(Recherche!$C$7="",ISNUMBER(SEARCH(Recherche!$C$7,H996))),OR(Recherche!$C$8="",J996=Recherche!$C$8),OR(Recherche!$C$9="",I996=Recherche!$C$9),OR(Recherche!$C$10="",G996&amp;""=Recherche!$C$10&amp;""),OR(Recherche!$C$11="",E996=Recherche!$C$11),OR(Recherche!$C$12="",ISNUMBER(SEARCH(Recherche!$C$12,M996&amp;" "&amp;F996)))),1,0)</f>
        <v>8</v>
      </c>
    </row>
    <row r="997" customFormat="false" ht="15" hidden="false" customHeight="false" outlineLevel="0" collapsed="false">
      <c r="A997" s="19"/>
      <c r="B997" s="19"/>
      <c r="C997" s="19"/>
      <c r="D997" s="19"/>
      <c r="E997" s="22"/>
      <c r="F997" s="19"/>
      <c r="G997" s="26" t="str">
        <f aca="false">IF(D997="","",IFERROR(VALUE(LEFT(D997,FIND(" |",D997&amp;" |")-1)),"?"))</f>
        <v/>
      </c>
      <c r="H997" s="27" t="str">
        <f aca="false">IF(G997="","",IF(G997="?","⚠ pub inconnue",IFERROR(INDEX(Pubs!$B$2:$B$3001,MATCH(G997,Pubs!$A$2:$A$3001,0))&amp;"","⚠ pub inconnue")))</f>
        <v/>
      </c>
      <c r="I997" s="27" t="str">
        <f aca="false">IF(OR(G997="",G997="?"),"",IFERROR(INDEX(Pubs!$C$2:$C$3001,MATCH(G997,Pubs!$A$2:$A$3001,0))&amp;"",""))</f>
        <v/>
      </c>
      <c r="J997" s="27" t="str">
        <f aca="false">IF(OR(G997="",G997="?"),"",IFERROR(INDEX(Pubs!$G$2:$G$3001,MATCH(G997,Pubs!$A$2:$A$3001,0))&amp;"",""))</f>
        <v/>
      </c>
      <c r="K997" s="28" t="str">
        <f aca="false">IF(OR(G997="",G997="?"),"",IFERROR(INDEX(Pubs!$E$2:$E$3001,MATCH(G997,Pubs!$A$2:$A$3001,0)),""))</f>
        <v/>
      </c>
      <c r="L997" s="29" t="str">
        <f aca="false">IF(A997="","",IFERROR(1/(1/INDEX(Numéros!$C$2:$C$3001,MATCH(A997&amp;"|"&amp;B997,Numéros!$F$2:$F$3001,0))),""))</f>
        <v/>
      </c>
      <c r="M997" s="27" t="str">
        <f aca="false">IF(OR(G997="",G997="?"),"",IFERROR(INDEX(Pubs!$D$2:$D$3001,MATCH(G997,Pubs!$A$2:$A$3001,0))&amp;"",""))</f>
        <v/>
      </c>
      <c r="N997" s="27" t="n">
        <f aca="false">N(N996)+IF(AND(A997&lt;&gt;"",OR(Recherche!$C$4="",A997=Recherche!$C$4),OR(Recherche!$C$5="",B997&amp;""=Recherche!$C$5&amp;""),OR(Recherche!$C$6="",IFERROR(YEAR(L997),0)=Recherche!$C$6),OR(Recherche!$C$7="",ISNUMBER(SEARCH(Recherche!$C$7,H997))),OR(Recherche!$C$8="",J997=Recherche!$C$8),OR(Recherche!$C$9="",I997=Recherche!$C$9),OR(Recherche!$C$10="",G997&amp;""=Recherche!$C$10&amp;""),OR(Recherche!$C$11="",E997=Recherche!$C$11),OR(Recherche!$C$12="",ISNUMBER(SEARCH(Recherche!$C$12,M997&amp;" "&amp;F997)))),1,0)</f>
        <v>8</v>
      </c>
    </row>
    <row r="998" customFormat="false" ht="15" hidden="false" customHeight="false" outlineLevel="0" collapsed="false">
      <c r="A998" s="19"/>
      <c r="B998" s="19"/>
      <c r="C998" s="19"/>
      <c r="D998" s="19"/>
      <c r="E998" s="22"/>
      <c r="F998" s="19"/>
      <c r="G998" s="26" t="str">
        <f aca="false">IF(D998="","",IFERROR(VALUE(LEFT(D998,FIND(" |",D998&amp;" |")-1)),"?"))</f>
        <v/>
      </c>
      <c r="H998" s="27" t="str">
        <f aca="false">IF(G998="","",IF(G998="?","⚠ pub inconnue",IFERROR(INDEX(Pubs!$B$2:$B$3001,MATCH(G998,Pubs!$A$2:$A$3001,0))&amp;"","⚠ pub inconnue")))</f>
        <v/>
      </c>
      <c r="I998" s="27" t="str">
        <f aca="false">IF(OR(G998="",G998="?"),"",IFERROR(INDEX(Pubs!$C$2:$C$3001,MATCH(G998,Pubs!$A$2:$A$3001,0))&amp;"",""))</f>
        <v/>
      </c>
      <c r="J998" s="27" t="str">
        <f aca="false">IF(OR(G998="",G998="?"),"",IFERROR(INDEX(Pubs!$G$2:$G$3001,MATCH(G998,Pubs!$A$2:$A$3001,0))&amp;"",""))</f>
        <v/>
      </c>
      <c r="K998" s="28" t="str">
        <f aca="false">IF(OR(G998="",G998="?"),"",IFERROR(INDEX(Pubs!$E$2:$E$3001,MATCH(G998,Pubs!$A$2:$A$3001,0)),""))</f>
        <v/>
      </c>
      <c r="L998" s="29" t="str">
        <f aca="false">IF(A998="","",IFERROR(1/(1/INDEX(Numéros!$C$2:$C$3001,MATCH(A998&amp;"|"&amp;B998,Numéros!$F$2:$F$3001,0))),""))</f>
        <v/>
      </c>
      <c r="M998" s="27" t="str">
        <f aca="false">IF(OR(G998="",G998="?"),"",IFERROR(INDEX(Pubs!$D$2:$D$3001,MATCH(G998,Pubs!$A$2:$A$3001,0))&amp;"",""))</f>
        <v/>
      </c>
      <c r="N998" s="27" t="n">
        <f aca="false">N(N997)+IF(AND(A998&lt;&gt;"",OR(Recherche!$C$4="",A998=Recherche!$C$4),OR(Recherche!$C$5="",B998&amp;""=Recherche!$C$5&amp;""),OR(Recherche!$C$6="",IFERROR(YEAR(L998),0)=Recherche!$C$6),OR(Recherche!$C$7="",ISNUMBER(SEARCH(Recherche!$C$7,H998))),OR(Recherche!$C$8="",J998=Recherche!$C$8),OR(Recherche!$C$9="",I998=Recherche!$C$9),OR(Recherche!$C$10="",G998&amp;""=Recherche!$C$10&amp;""),OR(Recherche!$C$11="",E998=Recherche!$C$11),OR(Recherche!$C$12="",ISNUMBER(SEARCH(Recherche!$C$12,M998&amp;" "&amp;F998)))),1,0)</f>
        <v>8</v>
      </c>
    </row>
    <row r="999" customFormat="false" ht="15" hidden="false" customHeight="false" outlineLevel="0" collapsed="false">
      <c r="A999" s="19"/>
      <c r="B999" s="19"/>
      <c r="C999" s="19"/>
      <c r="D999" s="19"/>
      <c r="E999" s="22"/>
      <c r="F999" s="19"/>
      <c r="G999" s="26" t="str">
        <f aca="false">IF(D999="","",IFERROR(VALUE(LEFT(D999,FIND(" |",D999&amp;" |")-1)),"?"))</f>
        <v/>
      </c>
      <c r="H999" s="27" t="str">
        <f aca="false">IF(G999="","",IF(G999="?","⚠ pub inconnue",IFERROR(INDEX(Pubs!$B$2:$B$3001,MATCH(G999,Pubs!$A$2:$A$3001,0))&amp;"","⚠ pub inconnue")))</f>
        <v/>
      </c>
      <c r="I999" s="27" t="str">
        <f aca="false">IF(OR(G999="",G999="?"),"",IFERROR(INDEX(Pubs!$C$2:$C$3001,MATCH(G999,Pubs!$A$2:$A$3001,0))&amp;"",""))</f>
        <v/>
      </c>
      <c r="J999" s="27" t="str">
        <f aca="false">IF(OR(G999="",G999="?"),"",IFERROR(INDEX(Pubs!$G$2:$G$3001,MATCH(G999,Pubs!$A$2:$A$3001,0))&amp;"",""))</f>
        <v/>
      </c>
      <c r="K999" s="28" t="str">
        <f aca="false">IF(OR(G999="",G999="?"),"",IFERROR(INDEX(Pubs!$E$2:$E$3001,MATCH(G999,Pubs!$A$2:$A$3001,0)),""))</f>
        <v/>
      </c>
      <c r="L999" s="29" t="str">
        <f aca="false">IF(A999="","",IFERROR(1/(1/INDEX(Numéros!$C$2:$C$3001,MATCH(A999&amp;"|"&amp;B999,Numéros!$F$2:$F$3001,0))),""))</f>
        <v/>
      </c>
      <c r="M999" s="27" t="str">
        <f aca="false">IF(OR(G999="",G999="?"),"",IFERROR(INDEX(Pubs!$D$2:$D$3001,MATCH(G999,Pubs!$A$2:$A$3001,0))&amp;"",""))</f>
        <v/>
      </c>
      <c r="N999" s="27" t="n">
        <f aca="false">N(N998)+IF(AND(A999&lt;&gt;"",OR(Recherche!$C$4="",A999=Recherche!$C$4),OR(Recherche!$C$5="",B999&amp;""=Recherche!$C$5&amp;""),OR(Recherche!$C$6="",IFERROR(YEAR(L999),0)=Recherche!$C$6),OR(Recherche!$C$7="",ISNUMBER(SEARCH(Recherche!$C$7,H999))),OR(Recherche!$C$8="",J999=Recherche!$C$8),OR(Recherche!$C$9="",I999=Recherche!$C$9),OR(Recherche!$C$10="",G999&amp;""=Recherche!$C$10&amp;""),OR(Recherche!$C$11="",E999=Recherche!$C$11),OR(Recherche!$C$12="",ISNUMBER(SEARCH(Recherche!$C$12,M999&amp;" "&amp;F999)))),1,0)</f>
        <v>8</v>
      </c>
    </row>
    <row r="1000" customFormat="false" ht="15" hidden="false" customHeight="false" outlineLevel="0" collapsed="false">
      <c r="A1000" s="19"/>
      <c r="B1000" s="19"/>
      <c r="C1000" s="19"/>
      <c r="D1000" s="19"/>
      <c r="E1000" s="22"/>
      <c r="F1000" s="19"/>
      <c r="G1000" s="26" t="str">
        <f aca="false">IF(D1000="","",IFERROR(VALUE(LEFT(D1000,FIND(" |",D1000&amp;" |")-1)),"?"))</f>
        <v/>
      </c>
      <c r="H1000" s="27" t="str">
        <f aca="false">IF(G1000="","",IF(G1000="?","⚠ pub inconnue",IFERROR(INDEX(Pubs!$B$2:$B$3001,MATCH(G1000,Pubs!$A$2:$A$3001,0))&amp;"","⚠ pub inconnue")))</f>
        <v/>
      </c>
      <c r="I1000" s="27" t="str">
        <f aca="false">IF(OR(G1000="",G1000="?"),"",IFERROR(INDEX(Pubs!$C$2:$C$3001,MATCH(G1000,Pubs!$A$2:$A$3001,0))&amp;"",""))</f>
        <v/>
      </c>
      <c r="J1000" s="27" t="str">
        <f aca="false">IF(OR(G1000="",G1000="?"),"",IFERROR(INDEX(Pubs!$G$2:$G$3001,MATCH(G1000,Pubs!$A$2:$A$3001,0))&amp;"",""))</f>
        <v/>
      </c>
      <c r="K1000" s="28" t="str">
        <f aca="false">IF(OR(G1000="",G1000="?"),"",IFERROR(INDEX(Pubs!$E$2:$E$3001,MATCH(G1000,Pubs!$A$2:$A$3001,0)),""))</f>
        <v/>
      </c>
      <c r="L1000" s="29" t="str">
        <f aca="false">IF(A1000="","",IFERROR(1/(1/INDEX(Numéros!$C$2:$C$3001,MATCH(A1000&amp;"|"&amp;B1000,Numéros!$F$2:$F$3001,0))),""))</f>
        <v/>
      </c>
      <c r="M1000" s="27" t="str">
        <f aca="false">IF(OR(G1000="",G1000="?"),"",IFERROR(INDEX(Pubs!$D$2:$D$3001,MATCH(G1000,Pubs!$A$2:$A$3001,0))&amp;"",""))</f>
        <v/>
      </c>
      <c r="N1000" s="27" t="n">
        <f aca="false">N(N999)+IF(AND(A1000&lt;&gt;"",OR(Recherche!$C$4="",A1000=Recherche!$C$4),OR(Recherche!$C$5="",B1000&amp;""=Recherche!$C$5&amp;""),OR(Recherche!$C$6="",IFERROR(YEAR(L1000),0)=Recherche!$C$6),OR(Recherche!$C$7="",ISNUMBER(SEARCH(Recherche!$C$7,H1000))),OR(Recherche!$C$8="",J1000=Recherche!$C$8),OR(Recherche!$C$9="",I1000=Recherche!$C$9),OR(Recherche!$C$10="",G1000&amp;""=Recherche!$C$10&amp;""),OR(Recherche!$C$11="",E1000=Recherche!$C$11),OR(Recherche!$C$12="",ISNUMBER(SEARCH(Recherche!$C$12,M1000&amp;" "&amp;F1000)))),1,0)</f>
        <v>8</v>
      </c>
    </row>
    <row r="1001" customFormat="false" ht="15" hidden="false" customHeight="false" outlineLevel="0" collapsed="false">
      <c r="A1001" s="19"/>
      <c r="B1001" s="19"/>
      <c r="C1001" s="19"/>
      <c r="D1001" s="19"/>
      <c r="E1001" s="22"/>
      <c r="F1001" s="19"/>
      <c r="G1001" s="26" t="str">
        <f aca="false">IF(D1001="","",IFERROR(VALUE(LEFT(D1001,FIND(" |",D1001&amp;" |")-1)),"?"))</f>
        <v/>
      </c>
      <c r="H1001" s="27" t="str">
        <f aca="false">IF(G1001="","",IF(G1001="?","⚠ pub inconnue",IFERROR(INDEX(Pubs!$B$2:$B$3001,MATCH(G1001,Pubs!$A$2:$A$3001,0))&amp;"","⚠ pub inconnue")))</f>
        <v/>
      </c>
      <c r="I1001" s="27" t="str">
        <f aca="false">IF(OR(G1001="",G1001="?"),"",IFERROR(INDEX(Pubs!$C$2:$C$3001,MATCH(G1001,Pubs!$A$2:$A$3001,0))&amp;"",""))</f>
        <v/>
      </c>
      <c r="J1001" s="27" t="str">
        <f aca="false">IF(OR(G1001="",G1001="?"),"",IFERROR(INDEX(Pubs!$G$2:$G$3001,MATCH(G1001,Pubs!$A$2:$A$3001,0))&amp;"",""))</f>
        <v/>
      </c>
      <c r="K1001" s="28" t="str">
        <f aca="false">IF(OR(G1001="",G1001="?"),"",IFERROR(INDEX(Pubs!$E$2:$E$3001,MATCH(G1001,Pubs!$A$2:$A$3001,0)),""))</f>
        <v/>
      </c>
      <c r="L1001" s="29" t="str">
        <f aca="false">IF(A1001="","",IFERROR(1/(1/INDEX(Numéros!$C$2:$C$3001,MATCH(A1001&amp;"|"&amp;B1001,Numéros!$F$2:$F$3001,0))),""))</f>
        <v/>
      </c>
      <c r="M1001" s="27" t="str">
        <f aca="false">IF(OR(G1001="",G1001="?"),"",IFERROR(INDEX(Pubs!$D$2:$D$3001,MATCH(G1001,Pubs!$A$2:$A$3001,0))&amp;"",""))</f>
        <v/>
      </c>
      <c r="N1001" s="27" t="n">
        <f aca="false">N(N1000)+IF(AND(A1001&lt;&gt;"",OR(Recherche!$C$4="",A1001=Recherche!$C$4),OR(Recherche!$C$5="",B1001&amp;""=Recherche!$C$5&amp;""),OR(Recherche!$C$6="",IFERROR(YEAR(L1001),0)=Recherche!$C$6),OR(Recherche!$C$7="",ISNUMBER(SEARCH(Recherche!$C$7,H1001))),OR(Recherche!$C$8="",J1001=Recherche!$C$8),OR(Recherche!$C$9="",I1001=Recherche!$C$9),OR(Recherche!$C$10="",G1001&amp;""=Recherche!$C$10&amp;""),OR(Recherche!$C$11="",E1001=Recherche!$C$11),OR(Recherche!$C$12="",ISNUMBER(SEARCH(Recherche!$C$12,M1001&amp;" "&amp;F1001)))),1,0)</f>
        <v>8</v>
      </c>
    </row>
    <row r="1002" customFormat="false" ht="15" hidden="false" customHeight="false" outlineLevel="0" collapsed="false">
      <c r="A1002" s="19"/>
      <c r="B1002" s="19"/>
      <c r="C1002" s="19"/>
      <c r="D1002" s="19"/>
      <c r="E1002" s="22"/>
      <c r="F1002" s="19"/>
      <c r="G1002" s="26" t="str">
        <f aca="false">IF(D1002="","",IFERROR(VALUE(LEFT(D1002,FIND(" |",D1002&amp;" |")-1)),"?"))</f>
        <v/>
      </c>
      <c r="H1002" s="27" t="str">
        <f aca="false">IF(G1002="","",IF(G1002="?","⚠ pub inconnue",IFERROR(INDEX(Pubs!$B$2:$B$3001,MATCH(G1002,Pubs!$A$2:$A$3001,0))&amp;"","⚠ pub inconnue")))</f>
        <v/>
      </c>
      <c r="I1002" s="27" t="str">
        <f aca="false">IF(OR(G1002="",G1002="?"),"",IFERROR(INDEX(Pubs!$C$2:$C$3001,MATCH(G1002,Pubs!$A$2:$A$3001,0))&amp;"",""))</f>
        <v/>
      </c>
      <c r="J1002" s="27" t="str">
        <f aca="false">IF(OR(G1002="",G1002="?"),"",IFERROR(INDEX(Pubs!$G$2:$G$3001,MATCH(G1002,Pubs!$A$2:$A$3001,0))&amp;"",""))</f>
        <v/>
      </c>
      <c r="K1002" s="28" t="str">
        <f aca="false">IF(OR(G1002="",G1002="?"),"",IFERROR(INDEX(Pubs!$E$2:$E$3001,MATCH(G1002,Pubs!$A$2:$A$3001,0)),""))</f>
        <v/>
      </c>
      <c r="L1002" s="29" t="str">
        <f aca="false">IF(A1002="","",IFERROR(1/(1/INDEX(Numéros!$C$2:$C$3001,MATCH(A1002&amp;"|"&amp;B1002,Numéros!$F$2:$F$3001,0))),""))</f>
        <v/>
      </c>
      <c r="M1002" s="27" t="str">
        <f aca="false">IF(OR(G1002="",G1002="?"),"",IFERROR(INDEX(Pubs!$D$2:$D$3001,MATCH(G1002,Pubs!$A$2:$A$3001,0))&amp;"",""))</f>
        <v/>
      </c>
      <c r="N1002" s="27" t="n">
        <f aca="false">N(N1001)+IF(AND(A1002&lt;&gt;"",OR(Recherche!$C$4="",A1002=Recherche!$C$4),OR(Recherche!$C$5="",B1002&amp;""=Recherche!$C$5&amp;""),OR(Recherche!$C$6="",IFERROR(YEAR(L1002),0)=Recherche!$C$6),OR(Recherche!$C$7="",ISNUMBER(SEARCH(Recherche!$C$7,H1002))),OR(Recherche!$C$8="",J1002=Recherche!$C$8),OR(Recherche!$C$9="",I1002=Recherche!$C$9),OR(Recherche!$C$10="",G1002&amp;""=Recherche!$C$10&amp;""),OR(Recherche!$C$11="",E1002=Recherche!$C$11),OR(Recherche!$C$12="",ISNUMBER(SEARCH(Recherche!$C$12,M1002&amp;" "&amp;F1002)))),1,0)</f>
        <v>8</v>
      </c>
    </row>
    <row r="1003" customFormat="false" ht="15" hidden="false" customHeight="false" outlineLevel="0" collapsed="false">
      <c r="A1003" s="19"/>
      <c r="B1003" s="19"/>
      <c r="C1003" s="19"/>
      <c r="D1003" s="19"/>
      <c r="E1003" s="22"/>
      <c r="F1003" s="19"/>
      <c r="G1003" s="26" t="str">
        <f aca="false">IF(D1003="","",IFERROR(VALUE(LEFT(D1003,FIND(" |",D1003&amp;" |")-1)),"?"))</f>
        <v/>
      </c>
      <c r="H1003" s="27" t="str">
        <f aca="false">IF(G1003="","",IF(G1003="?","⚠ pub inconnue",IFERROR(INDEX(Pubs!$B$2:$B$3001,MATCH(G1003,Pubs!$A$2:$A$3001,0))&amp;"","⚠ pub inconnue")))</f>
        <v/>
      </c>
      <c r="I1003" s="27" t="str">
        <f aca="false">IF(OR(G1003="",G1003="?"),"",IFERROR(INDEX(Pubs!$C$2:$C$3001,MATCH(G1003,Pubs!$A$2:$A$3001,0))&amp;"",""))</f>
        <v/>
      </c>
      <c r="J1003" s="27" t="str">
        <f aca="false">IF(OR(G1003="",G1003="?"),"",IFERROR(INDEX(Pubs!$G$2:$G$3001,MATCH(G1003,Pubs!$A$2:$A$3001,0))&amp;"",""))</f>
        <v/>
      </c>
      <c r="K1003" s="28" t="str">
        <f aca="false">IF(OR(G1003="",G1003="?"),"",IFERROR(INDEX(Pubs!$E$2:$E$3001,MATCH(G1003,Pubs!$A$2:$A$3001,0)),""))</f>
        <v/>
      </c>
      <c r="L1003" s="29" t="str">
        <f aca="false">IF(A1003="","",IFERROR(1/(1/INDEX(Numéros!$C$2:$C$3001,MATCH(A1003&amp;"|"&amp;B1003,Numéros!$F$2:$F$3001,0))),""))</f>
        <v/>
      </c>
      <c r="M1003" s="27" t="str">
        <f aca="false">IF(OR(G1003="",G1003="?"),"",IFERROR(INDEX(Pubs!$D$2:$D$3001,MATCH(G1003,Pubs!$A$2:$A$3001,0))&amp;"",""))</f>
        <v/>
      </c>
      <c r="N1003" s="27" t="n">
        <f aca="false">N(N1002)+IF(AND(A1003&lt;&gt;"",OR(Recherche!$C$4="",A1003=Recherche!$C$4),OR(Recherche!$C$5="",B1003&amp;""=Recherche!$C$5&amp;""),OR(Recherche!$C$6="",IFERROR(YEAR(L1003),0)=Recherche!$C$6),OR(Recherche!$C$7="",ISNUMBER(SEARCH(Recherche!$C$7,H1003))),OR(Recherche!$C$8="",J1003=Recherche!$C$8),OR(Recherche!$C$9="",I1003=Recherche!$C$9),OR(Recherche!$C$10="",G1003&amp;""=Recherche!$C$10&amp;""),OR(Recherche!$C$11="",E1003=Recherche!$C$11),OR(Recherche!$C$12="",ISNUMBER(SEARCH(Recherche!$C$12,M1003&amp;" "&amp;F1003)))),1,0)</f>
        <v>8</v>
      </c>
    </row>
    <row r="1004" customFormat="false" ht="15" hidden="false" customHeight="false" outlineLevel="0" collapsed="false">
      <c r="A1004" s="19"/>
      <c r="B1004" s="19"/>
      <c r="C1004" s="19"/>
      <c r="D1004" s="19"/>
      <c r="E1004" s="22"/>
      <c r="F1004" s="19"/>
      <c r="G1004" s="26" t="str">
        <f aca="false">IF(D1004="","",IFERROR(VALUE(LEFT(D1004,FIND(" |",D1004&amp;" |")-1)),"?"))</f>
        <v/>
      </c>
      <c r="H1004" s="27" t="str">
        <f aca="false">IF(G1004="","",IF(G1004="?","⚠ pub inconnue",IFERROR(INDEX(Pubs!$B$2:$B$3001,MATCH(G1004,Pubs!$A$2:$A$3001,0))&amp;"","⚠ pub inconnue")))</f>
        <v/>
      </c>
      <c r="I1004" s="27" t="str">
        <f aca="false">IF(OR(G1004="",G1004="?"),"",IFERROR(INDEX(Pubs!$C$2:$C$3001,MATCH(G1004,Pubs!$A$2:$A$3001,0))&amp;"",""))</f>
        <v/>
      </c>
      <c r="J1004" s="27" t="str">
        <f aca="false">IF(OR(G1004="",G1004="?"),"",IFERROR(INDEX(Pubs!$G$2:$G$3001,MATCH(G1004,Pubs!$A$2:$A$3001,0))&amp;"",""))</f>
        <v/>
      </c>
      <c r="K1004" s="28" t="str">
        <f aca="false">IF(OR(G1004="",G1004="?"),"",IFERROR(INDEX(Pubs!$E$2:$E$3001,MATCH(G1004,Pubs!$A$2:$A$3001,0)),""))</f>
        <v/>
      </c>
      <c r="L1004" s="29" t="str">
        <f aca="false">IF(A1004="","",IFERROR(1/(1/INDEX(Numéros!$C$2:$C$3001,MATCH(A1004&amp;"|"&amp;B1004,Numéros!$F$2:$F$3001,0))),""))</f>
        <v/>
      </c>
      <c r="M1004" s="27" t="str">
        <f aca="false">IF(OR(G1004="",G1004="?"),"",IFERROR(INDEX(Pubs!$D$2:$D$3001,MATCH(G1004,Pubs!$A$2:$A$3001,0))&amp;"",""))</f>
        <v/>
      </c>
      <c r="N1004" s="27" t="n">
        <f aca="false">N(N1003)+IF(AND(A1004&lt;&gt;"",OR(Recherche!$C$4="",A1004=Recherche!$C$4),OR(Recherche!$C$5="",B1004&amp;""=Recherche!$C$5&amp;""),OR(Recherche!$C$6="",IFERROR(YEAR(L1004),0)=Recherche!$C$6),OR(Recherche!$C$7="",ISNUMBER(SEARCH(Recherche!$C$7,H1004))),OR(Recherche!$C$8="",J1004=Recherche!$C$8),OR(Recherche!$C$9="",I1004=Recherche!$C$9),OR(Recherche!$C$10="",G1004&amp;""=Recherche!$C$10&amp;""),OR(Recherche!$C$11="",E1004=Recherche!$C$11),OR(Recherche!$C$12="",ISNUMBER(SEARCH(Recherche!$C$12,M1004&amp;" "&amp;F1004)))),1,0)</f>
        <v>8</v>
      </c>
    </row>
    <row r="1005" customFormat="false" ht="15" hidden="false" customHeight="false" outlineLevel="0" collapsed="false">
      <c r="A1005" s="19"/>
      <c r="B1005" s="19"/>
      <c r="C1005" s="19"/>
      <c r="D1005" s="19"/>
      <c r="E1005" s="22"/>
      <c r="F1005" s="19"/>
      <c r="G1005" s="26" t="str">
        <f aca="false">IF(D1005="","",IFERROR(VALUE(LEFT(D1005,FIND(" |",D1005&amp;" |")-1)),"?"))</f>
        <v/>
      </c>
      <c r="H1005" s="27" t="str">
        <f aca="false">IF(G1005="","",IF(G1005="?","⚠ pub inconnue",IFERROR(INDEX(Pubs!$B$2:$B$3001,MATCH(G1005,Pubs!$A$2:$A$3001,0))&amp;"","⚠ pub inconnue")))</f>
        <v/>
      </c>
      <c r="I1005" s="27" t="str">
        <f aca="false">IF(OR(G1005="",G1005="?"),"",IFERROR(INDEX(Pubs!$C$2:$C$3001,MATCH(G1005,Pubs!$A$2:$A$3001,0))&amp;"",""))</f>
        <v/>
      </c>
      <c r="J1005" s="27" t="str">
        <f aca="false">IF(OR(G1005="",G1005="?"),"",IFERROR(INDEX(Pubs!$G$2:$G$3001,MATCH(G1005,Pubs!$A$2:$A$3001,0))&amp;"",""))</f>
        <v/>
      </c>
      <c r="K1005" s="28" t="str">
        <f aca="false">IF(OR(G1005="",G1005="?"),"",IFERROR(INDEX(Pubs!$E$2:$E$3001,MATCH(G1005,Pubs!$A$2:$A$3001,0)),""))</f>
        <v/>
      </c>
      <c r="L1005" s="29" t="str">
        <f aca="false">IF(A1005="","",IFERROR(1/(1/INDEX(Numéros!$C$2:$C$3001,MATCH(A1005&amp;"|"&amp;B1005,Numéros!$F$2:$F$3001,0))),""))</f>
        <v/>
      </c>
      <c r="M1005" s="27" t="str">
        <f aca="false">IF(OR(G1005="",G1005="?"),"",IFERROR(INDEX(Pubs!$D$2:$D$3001,MATCH(G1005,Pubs!$A$2:$A$3001,0))&amp;"",""))</f>
        <v/>
      </c>
      <c r="N1005" s="27" t="n">
        <f aca="false">N(N1004)+IF(AND(A1005&lt;&gt;"",OR(Recherche!$C$4="",A1005=Recherche!$C$4),OR(Recherche!$C$5="",B1005&amp;""=Recherche!$C$5&amp;""),OR(Recherche!$C$6="",IFERROR(YEAR(L1005),0)=Recherche!$C$6),OR(Recherche!$C$7="",ISNUMBER(SEARCH(Recherche!$C$7,H1005))),OR(Recherche!$C$8="",J1005=Recherche!$C$8),OR(Recherche!$C$9="",I1005=Recherche!$C$9),OR(Recherche!$C$10="",G1005&amp;""=Recherche!$C$10&amp;""),OR(Recherche!$C$11="",E1005=Recherche!$C$11),OR(Recherche!$C$12="",ISNUMBER(SEARCH(Recherche!$C$12,M1005&amp;" "&amp;F1005)))),1,0)</f>
        <v>8</v>
      </c>
    </row>
    <row r="1006" customFormat="false" ht="15" hidden="false" customHeight="false" outlineLevel="0" collapsed="false">
      <c r="A1006" s="19"/>
      <c r="B1006" s="19"/>
      <c r="C1006" s="19"/>
      <c r="D1006" s="19"/>
      <c r="E1006" s="22"/>
      <c r="F1006" s="19"/>
      <c r="G1006" s="26" t="str">
        <f aca="false">IF(D1006="","",IFERROR(VALUE(LEFT(D1006,FIND(" |",D1006&amp;" |")-1)),"?"))</f>
        <v/>
      </c>
      <c r="H1006" s="27" t="str">
        <f aca="false">IF(G1006="","",IF(G1006="?","⚠ pub inconnue",IFERROR(INDEX(Pubs!$B$2:$B$3001,MATCH(G1006,Pubs!$A$2:$A$3001,0))&amp;"","⚠ pub inconnue")))</f>
        <v/>
      </c>
      <c r="I1006" s="27" t="str">
        <f aca="false">IF(OR(G1006="",G1006="?"),"",IFERROR(INDEX(Pubs!$C$2:$C$3001,MATCH(G1006,Pubs!$A$2:$A$3001,0))&amp;"",""))</f>
        <v/>
      </c>
      <c r="J1006" s="27" t="str">
        <f aca="false">IF(OR(G1006="",G1006="?"),"",IFERROR(INDEX(Pubs!$G$2:$G$3001,MATCH(G1006,Pubs!$A$2:$A$3001,0))&amp;"",""))</f>
        <v/>
      </c>
      <c r="K1006" s="28" t="str">
        <f aca="false">IF(OR(G1006="",G1006="?"),"",IFERROR(INDEX(Pubs!$E$2:$E$3001,MATCH(G1006,Pubs!$A$2:$A$3001,0)),""))</f>
        <v/>
      </c>
      <c r="L1006" s="29" t="str">
        <f aca="false">IF(A1006="","",IFERROR(1/(1/INDEX(Numéros!$C$2:$C$3001,MATCH(A1006&amp;"|"&amp;B1006,Numéros!$F$2:$F$3001,0))),""))</f>
        <v/>
      </c>
      <c r="M1006" s="27" t="str">
        <f aca="false">IF(OR(G1006="",G1006="?"),"",IFERROR(INDEX(Pubs!$D$2:$D$3001,MATCH(G1006,Pubs!$A$2:$A$3001,0))&amp;"",""))</f>
        <v/>
      </c>
      <c r="N1006" s="27" t="n">
        <f aca="false">N(N1005)+IF(AND(A1006&lt;&gt;"",OR(Recherche!$C$4="",A1006=Recherche!$C$4),OR(Recherche!$C$5="",B1006&amp;""=Recherche!$C$5&amp;""),OR(Recherche!$C$6="",IFERROR(YEAR(L1006),0)=Recherche!$C$6),OR(Recherche!$C$7="",ISNUMBER(SEARCH(Recherche!$C$7,H1006))),OR(Recherche!$C$8="",J1006=Recherche!$C$8),OR(Recherche!$C$9="",I1006=Recherche!$C$9),OR(Recherche!$C$10="",G1006&amp;""=Recherche!$C$10&amp;""),OR(Recherche!$C$11="",E1006=Recherche!$C$11),OR(Recherche!$C$12="",ISNUMBER(SEARCH(Recherche!$C$12,M1006&amp;" "&amp;F1006)))),1,0)</f>
        <v>8</v>
      </c>
    </row>
    <row r="1007" customFormat="false" ht="15" hidden="false" customHeight="false" outlineLevel="0" collapsed="false">
      <c r="A1007" s="19"/>
      <c r="B1007" s="19"/>
      <c r="C1007" s="19"/>
      <c r="D1007" s="19"/>
      <c r="E1007" s="22"/>
      <c r="F1007" s="19"/>
      <c r="G1007" s="26" t="str">
        <f aca="false">IF(D1007="","",IFERROR(VALUE(LEFT(D1007,FIND(" |",D1007&amp;" |")-1)),"?"))</f>
        <v/>
      </c>
      <c r="H1007" s="27" t="str">
        <f aca="false">IF(G1007="","",IF(G1007="?","⚠ pub inconnue",IFERROR(INDEX(Pubs!$B$2:$B$3001,MATCH(G1007,Pubs!$A$2:$A$3001,0))&amp;"","⚠ pub inconnue")))</f>
        <v/>
      </c>
      <c r="I1007" s="27" t="str">
        <f aca="false">IF(OR(G1007="",G1007="?"),"",IFERROR(INDEX(Pubs!$C$2:$C$3001,MATCH(G1007,Pubs!$A$2:$A$3001,0))&amp;"",""))</f>
        <v/>
      </c>
      <c r="J1007" s="27" t="str">
        <f aca="false">IF(OR(G1007="",G1007="?"),"",IFERROR(INDEX(Pubs!$G$2:$G$3001,MATCH(G1007,Pubs!$A$2:$A$3001,0))&amp;"",""))</f>
        <v/>
      </c>
      <c r="K1007" s="28" t="str">
        <f aca="false">IF(OR(G1007="",G1007="?"),"",IFERROR(INDEX(Pubs!$E$2:$E$3001,MATCH(G1007,Pubs!$A$2:$A$3001,0)),""))</f>
        <v/>
      </c>
      <c r="L1007" s="29" t="str">
        <f aca="false">IF(A1007="","",IFERROR(1/(1/INDEX(Numéros!$C$2:$C$3001,MATCH(A1007&amp;"|"&amp;B1007,Numéros!$F$2:$F$3001,0))),""))</f>
        <v/>
      </c>
      <c r="M1007" s="27" t="str">
        <f aca="false">IF(OR(G1007="",G1007="?"),"",IFERROR(INDEX(Pubs!$D$2:$D$3001,MATCH(G1007,Pubs!$A$2:$A$3001,0))&amp;"",""))</f>
        <v/>
      </c>
      <c r="N1007" s="27" t="n">
        <f aca="false">N(N1006)+IF(AND(A1007&lt;&gt;"",OR(Recherche!$C$4="",A1007=Recherche!$C$4),OR(Recherche!$C$5="",B1007&amp;""=Recherche!$C$5&amp;""),OR(Recherche!$C$6="",IFERROR(YEAR(L1007),0)=Recherche!$C$6),OR(Recherche!$C$7="",ISNUMBER(SEARCH(Recherche!$C$7,H1007))),OR(Recherche!$C$8="",J1007=Recherche!$C$8),OR(Recherche!$C$9="",I1007=Recherche!$C$9),OR(Recherche!$C$10="",G1007&amp;""=Recherche!$C$10&amp;""),OR(Recherche!$C$11="",E1007=Recherche!$C$11),OR(Recherche!$C$12="",ISNUMBER(SEARCH(Recherche!$C$12,M1007&amp;" "&amp;F1007)))),1,0)</f>
        <v>8</v>
      </c>
    </row>
    <row r="1008" customFormat="false" ht="15" hidden="false" customHeight="false" outlineLevel="0" collapsed="false">
      <c r="A1008" s="19"/>
      <c r="B1008" s="19"/>
      <c r="C1008" s="19"/>
      <c r="D1008" s="19"/>
      <c r="E1008" s="22"/>
      <c r="F1008" s="19"/>
      <c r="G1008" s="26" t="str">
        <f aca="false">IF(D1008="","",IFERROR(VALUE(LEFT(D1008,FIND(" |",D1008&amp;" |")-1)),"?"))</f>
        <v/>
      </c>
      <c r="H1008" s="27" t="str">
        <f aca="false">IF(G1008="","",IF(G1008="?","⚠ pub inconnue",IFERROR(INDEX(Pubs!$B$2:$B$3001,MATCH(G1008,Pubs!$A$2:$A$3001,0))&amp;"","⚠ pub inconnue")))</f>
        <v/>
      </c>
      <c r="I1008" s="27" t="str">
        <f aca="false">IF(OR(G1008="",G1008="?"),"",IFERROR(INDEX(Pubs!$C$2:$C$3001,MATCH(G1008,Pubs!$A$2:$A$3001,0))&amp;"",""))</f>
        <v/>
      </c>
      <c r="J1008" s="27" t="str">
        <f aca="false">IF(OR(G1008="",G1008="?"),"",IFERROR(INDEX(Pubs!$G$2:$G$3001,MATCH(G1008,Pubs!$A$2:$A$3001,0))&amp;"",""))</f>
        <v/>
      </c>
      <c r="K1008" s="28" t="str">
        <f aca="false">IF(OR(G1008="",G1008="?"),"",IFERROR(INDEX(Pubs!$E$2:$E$3001,MATCH(G1008,Pubs!$A$2:$A$3001,0)),""))</f>
        <v/>
      </c>
      <c r="L1008" s="29" t="str">
        <f aca="false">IF(A1008="","",IFERROR(1/(1/INDEX(Numéros!$C$2:$C$3001,MATCH(A1008&amp;"|"&amp;B1008,Numéros!$F$2:$F$3001,0))),""))</f>
        <v/>
      </c>
      <c r="M1008" s="27" t="str">
        <f aca="false">IF(OR(G1008="",G1008="?"),"",IFERROR(INDEX(Pubs!$D$2:$D$3001,MATCH(G1008,Pubs!$A$2:$A$3001,0))&amp;"",""))</f>
        <v/>
      </c>
      <c r="N1008" s="27" t="n">
        <f aca="false">N(N1007)+IF(AND(A1008&lt;&gt;"",OR(Recherche!$C$4="",A1008=Recherche!$C$4),OR(Recherche!$C$5="",B1008&amp;""=Recherche!$C$5&amp;""),OR(Recherche!$C$6="",IFERROR(YEAR(L1008),0)=Recherche!$C$6),OR(Recherche!$C$7="",ISNUMBER(SEARCH(Recherche!$C$7,H1008))),OR(Recherche!$C$8="",J1008=Recherche!$C$8),OR(Recherche!$C$9="",I1008=Recherche!$C$9),OR(Recherche!$C$10="",G1008&amp;""=Recherche!$C$10&amp;""),OR(Recherche!$C$11="",E1008=Recherche!$C$11),OR(Recherche!$C$12="",ISNUMBER(SEARCH(Recherche!$C$12,M1008&amp;" "&amp;F1008)))),1,0)</f>
        <v>8</v>
      </c>
    </row>
    <row r="1009" customFormat="false" ht="15" hidden="false" customHeight="false" outlineLevel="0" collapsed="false">
      <c r="A1009" s="19"/>
      <c r="B1009" s="19"/>
      <c r="C1009" s="19"/>
      <c r="D1009" s="19"/>
      <c r="E1009" s="22"/>
      <c r="F1009" s="19"/>
      <c r="G1009" s="26" t="str">
        <f aca="false">IF(D1009="","",IFERROR(VALUE(LEFT(D1009,FIND(" |",D1009&amp;" |")-1)),"?"))</f>
        <v/>
      </c>
      <c r="H1009" s="27" t="str">
        <f aca="false">IF(G1009="","",IF(G1009="?","⚠ pub inconnue",IFERROR(INDEX(Pubs!$B$2:$B$3001,MATCH(G1009,Pubs!$A$2:$A$3001,0))&amp;"","⚠ pub inconnue")))</f>
        <v/>
      </c>
      <c r="I1009" s="27" t="str">
        <f aca="false">IF(OR(G1009="",G1009="?"),"",IFERROR(INDEX(Pubs!$C$2:$C$3001,MATCH(G1009,Pubs!$A$2:$A$3001,0))&amp;"",""))</f>
        <v/>
      </c>
      <c r="J1009" s="27" t="str">
        <f aca="false">IF(OR(G1009="",G1009="?"),"",IFERROR(INDEX(Pubs!$G$2:$G$3001,MATCH(G1009,Pubs!$A$2:$A$3001,0))&amp;"",""))</f>
        <v/>
      </c>
      <c r="K1009" s="28" t="str">
        <f aca="false">IF(OR(G1009="",G1009="?"),"",IFERROR(INDEX(Pubs!$E$2:$E$3001,MATCH(G1009,Pubs!$A$2:$A$3001,0)),""))</f>
        <v/>
      </c>
      <c r="L1009" s="29" t="str">
        <f aca="false">IF(A1009="","",IFERROR(1/(1/INDEX(Numéros!$C$2:$C$3001,MATCH(A1009&amp;"|"&amp;B1009,Numéros!$F$2:$F$3001,0))),""))</f>
        <v/>
      </c>
      <c r="M1009" s="27" t="str">
        <f aca="false">IF(OR(G1009="",G1009="?"),"",IFERROR(INDEX(Pubs!$D$2:$D$3001,MATCH(G1009,Pubs!$A$2:$A$3001,0))&amp;"",""))</f>
        <v/>
      </c>
      <c r="N1009" s="27" t="n">
        <f aca="false">N(N1008)+IF(AND(A1009&lt;&gt;"",OR(Recherche!$C$4="",A1009=Recherche!$C$4),OR(Recherche!$C$5="",B1009&amp;""=Recherche!$C$5&amp;""),OR(Recherche!$C$6="",IFERROR(YEAR(L1009),0)=Recherche!$C$6),OR(Recherche!$C$7="",ISNUMBER(SEARCH(Recherche!$C$7,H1009))),OR(Recherche!$C$8="",J1009=Recherche!$C$8),OR(Recherche!$C$9="",I1009=Recherche!$C$9),OR(Recherche!$C$10="",G1009&amp;""=Recherche!$C$10&amp;""),OR(Recherche!$C$11="",E1009=Recherche!$C$11),OR(Recherche!$C$12="",ISNUMBER(SEARCH(Recherche!$C$12,M1009&amp;" "&amp;F1009)))),1,0)</f>
        <v>8</v>
      </c>
    </row>
    <row r="1010" customFormat="false" ht="15" hidden="false" customHeight="false" outlineLevel="0" collapsed="false">
      <c r="A1010" s="19"/>
      <c r="B1010" s="19"/>
      <c r="C1010" s="19"/>
      <c r="D1010" s="19"/>
      <c r="E1010" s="22"/>
      <c r="F1010" s="19"/>
      <c r="G1010" s="26" t="str">
        <f aca="false">IF(D1010="","",IFERROR(VALUE(LEFT(D1010,FIND(" |",D1010&amp;" |")-1)),"?"))</f>
        <v/>
      </c>
      <c r="H1010" s="27" t="str">
        <f aca="false">IF(G1010="","",IF(G1010="?","⚠ pub inconnue",IFERROR(INDEX(Pubs!$B$2:$B$3001,MATCH(G1010,Pubs!$A$2:$A$3001,0))&amp;"","⚠ pub inconnue")))</f>
        <v/>
      </c>
      <c r="I1010" s="27" t="str">
        <f aca="false">IF(OR(G1010="",G1010="?"),"",IFERROR(INDEX(Pubs!$C$2:$C$3001,MATCH(G1010,Pubs!$A$2:$A$3001,0))&amp;"",""))</f>
        <v/>
      </c>
      <c r="J1010" s="27" t="str">
        <f aca="false">IF(OR(G1010="",G1010="?"),"",IFERROR(INDEX(Pubs!$G$2:$G$3001,MATCH(G1010,Pubs!$A$2:$A$3001,0))&amp;"",""))</f>
        <v/>
      </c>
      <c r="K1010" s="28" t="str">
        <f aca="false">IF(OR(G1010="",G1010="?"),"",IFERROR(INDEX(Pubs!$E$2:$E$3001,MATCH(G1010,Pubs!$A$2:$A$3001,0)),""))</f>
        <v/>
      </c>
      <c r="L1010" s="29" t="str">
        <f aca="false">IF(A1010="","",IFERROR(1/(1/INDEX(Numéros!$C$2:$C$3001,MATCH(A1010&amp;"|"&amp;B1010,Numéros!$F$2:$F$3001,0))),""))</f>
        <v/>
      </c>
      <c r="M1010" s="27" t="str">
        <f aca="false">IF(OR(G1010="",G1010="?"),"",IFERROR(INDEX(Pubs!$D$2:$D$3001,MATCH(G1010,Pubs!$A$2:$A$3001,0))&amp;"",""))</f>
        <v/>
      </c>
      <c r="N1010" s="27" t="n">
        <f aca="false">N(N1009)+IF(AND(A1010&lt;&gt;"",OR(Recherche!$C$4="",A1010=Recherche!$C$4),OR(Recherche!$C$5="",B1010&amp;""=Recherche!$C$5&amp;""),OR(Recherche!$C$6="",IFERROR(YEAR(L1010),0)=Recherche!$C$6),OR(Recherche!$C$7="",ISNUMBER(SEARCH(Recherche!$C$7,H1010))),OR(Recherche!$C$8="",J1010=Recherche!$C$8),OR(Recherche!$C$9="",I1010=Recherche!$C$9),OR(Recherche!$C$10="",G1010&amp;""=Recherche!$C$10&amp;""),OR(Recherche!$C$11="",E1010=Recherche!$C$11),OR(Recherche!$C$12="",ISNUMBER(SEARCH(Recherche!$C$12,M1010&amp;" "&amp;F1010)))),1,0)</f>
        <v>8</v>
      </c>
    </row>
    <row r="1011" customFormat="false" ht="15" hidden="false" customHeight="false" outlineLevel="0" collapsed="false">
      <c r="A1011" s="19"/>
      <c r="B1011" s="19"/>
      <c r="C1011" s="19"/>
      <c r="D1011" s="19"/>
      <c r="E1011" s="22"/>
      <c r="F1011" s="19"/>
      <c r="G1011" s="26" t="str">
        <f aca="false">IF(D1011="","",IFERROR(VALUE(LEFT(D1011,FIND(" |",D1011&amp;" |")-1)),"?"))</f>
        <v/>
      </c>
      <c r="H1011" s="27" t="str">
        <f aca="false">IF(G1011="","",IF(G1011="?","⚠ pub inconnue",IFERROR(INDEX(Pubs!$B$2:$B$3001,MATCH(G1011,Pubs!$A$2:$A$3001,0))&amp;"","⚠ pub inconnue")))</f>
        <v/>
      </c>
      <c r="I1011" s="27" t="str">
        <f aca="false">IF(OR(G1011="",G1011="?"),"",IFERROR(INDEX(Pubs!$C$2:$C$3001,MATCH(G1011,Pubs!$A$2:$A$3001,0))&amp;"",""))</f>
        <v/>
      </c>
      <c r="J1011" s="27" t="str">
        <f aca="false">IF(OR(G1011="",G1011="?"),"",IFERROR(INDEX(Pubs!$G$2:$G$3001,MATCH(G1011,Pubs!$A$2:$A$3001,0))&amp;"",""))</f>
        <v/>
      </c>
      <c r="K1011" s="28" t="str">
        <f aca="false">IF(OR(G1011="",G1011="?"),"",IFERROR(INDEX(Pubs!$E$2:$E$3001,MATCH(G1011,Pubs!$A$2:$A$3001,0)),""))</f>
        <v/>
      </c>
      <c r="L1011" s="29" t="str">
        <f aca="false">IF(A1011="","",IFERROR(1/(1/INDEX(Numéros!$C$2:$C$3001,MATCH(A1011&amp;"|"&amp;B1011,Numéros!$F$2:$F$3001,0))),""))</f>
        <v/>
      </c>
      <c r="M1011" s="27" t="str">
        <f aca="false">IF(OR(G1011="",G1011="?"),"",IFERROR(INDEX(Pubs!$D$2:$D$3001,MATCH(G1011,Pubs!$A$2:$A$3001,0))&amp;"",""))</f>
        <v/>
      </c>
      <c r="N1011" s="27" t="n">
        <f aca="false">N(N1010)+IF(AND(A1011&lt;&gt;"",OR(Recherche!$C$4="",A1011=Recherche!$C$4),OR(Recherche!$C$5="",B1011&amp;""=Recherche!$C$5&amp;""),OR(Recherche!$C$6="",IFERROR(YEAR(L1011),0)=Recherche!$C$6),OR(Recherche!$C$7="",ISNUMBER(SEARCH(Recherche!$C$7,H1011))),OR(Recherche!$C$8="",J1011=Recherche!$C$8),OR(Recherche!$C$9="",I1011=Recherche!$C$9),OR(Recherche!$C$10="",G1011&amp;""=Recherche!$C$10&amp;""),OR(Recherche!$C$11="",E1011=Recherche!$C$11),OR(Recherche!$C$12="",ISNUMBER(SEARCH(Recherche!$C$12,M1011&amp;" "&amp;F1011)))),1,0)</f>
        <v>8</v>
      </c>
    </row>
    <row r="1012" customFormat="false" ht="15" hidden="false" customHeight="false" outlineLevel="0" collapsed="false">
      <c r="A1012" s="19"/>
      <c r="B1012" s="19"/>
      <c r="C1012" s="19"/>
      <c r="D1012" s="19"/>
      <c r="E1012" s="22"/>
      <c r="F1012" s="19"/>
      <c r="G1012" s="26" t="str">
        <f aca="false">IF(D1012="","",IFERROR(VALUE(LEFT(D1012,FIND(" |",D1012&amp;" |")-1)),"?"))</f>
        <v/>
      </c>
      <c r="H1012" s="27" t="str">
        <f aca="false">IF(G1012="","",IF(G1012="?","⚠ pub inconnue",IFERROR(INDEX(Pubs!$B$2:$B$3001,MATCH(G1012,Pubs!$A$2:$A$3001,0))&amp;"","⚠ pub inconnue")))</f>
        <v/>
      </c>
      <c r="I1012" s="27" t="str">
        <f aca="false">IF(OR(G1012="",G1012="?"),"",IFERROR(INDEX(Pubs!$C$2:$C$3001,MATCH(G1012,Pubs!$A$2:$A$3001,0))&amp;"",""))</f>
        <v/>
      </c>
      <c r="J1012" s="27" t="str">
        <f aca="false">IF(OR(G1012="",G1012="?"),"",IFERROR(INDEX(Pubs!$G$2:$G$3001,MATCH(G1012,Pubs!$A$2:$A$3001,0))&amp;"",""))</f>
        <v/>
      </c>
      <c r="K1012" s="28" t="str">
        <f aca="false">IF(OR(G1012="",G1012="?"),"",IFERROR(INDEX(Pubs!$E$2:$E$3001,MATCH(G1012,Pubs!$A$2:$A$3001,0)),""))</f>
        <v/>
      </c>
      <c r="L1012" s="29" t="str">
        <f aca="false">IF(A1012="","",IFERROR(1/(1/INDEX(Numéros!$C$2:$C$3001,MATCH(A1012&amp;"|"&amp;B1012,Numéros!$F$2:$F$3001,0))),""))</f>
        <v/>
      </c>
      <c r="M1012" s="27" t="str">
        <f aca="false">IF(OR(G1012="",G1012="?"),"",IFERROR(INDEX(Pubs!$D$2:$D$3001,MATCH(G1012,Pubs!$A$2:$A$3001,0))&amp;"",""))</f>
        <v/>
      </c>
      <c r="N1012" s="27" t="n">
        <f aca="false">N(N1011)+IF(AND(A1012&lt;&gt;"",OR(Recherche!$C$4="",A1012=Recherche!$C$4),OR(Recherche!$C$5="",B1012&amp;""=Recherche!$C$5&amp;""),OR(Recherche!$C$6="",IFERROR(YEAR(L1012),0)=Recherche!$C$6),OR(Recherche!$C$7="",ISNUMBER(SEARCH(Recherche!$C$7,H1012))),OR(Recherche!$C$8="",J1012=Recherche!$C$8),OR(Recherche!$C$9="",I1012=Recherche!$C$9),OR(Recherche!$C$10="",G1012&amp;""=Recherche!$C$10&amp;""),OR(Recherche!$C$11="",E1012=Recherche!$C$11),OR(Recherche!$C$12="",ISNUMBER(SEARCH(Recherche!$C$12,M1012&amp;" "&amp;F1012)))),1,0)</f>
        <v>8</v>
      </c>
    </row>
    <row r="1013" customFormat="false" ht="15" hidden="false" customHeight="false" outlineLevel="0" collapsed="false">
      <c r="A1013" s="19"/>
      <c r="B1013" s="19"/>
      <c r="C1013" s="19"/>
      <c r="D1013" s="19"/>
      <c r="E1013" s="22"/>
      <c r="F1013" s="19"/>
      <c r="G1013" s="26" t="str">
        <f aca="false">IF(D1013="","",IFERROR(VALUE(LEFT(D1013,FIND(" |",D1013&amp;" |")-1)),"?"))</f>
        <v/>
      </c>
      <c r="H1013" s="27" t="str">
        <f aca="false">IF(G1013="","",IF(G1013="?","⚠ pub inconnue",IFERROR(INDEX(Pubs!$B$2:$B$3001,MATCH(G1013,Pubs!$A$2:$A$3001,0))&amp;"","⚠ pub inconnue")))</f>
        <v/>
      </c>
      <c r="I1013" s="27" t="str">
        <f aca="false">IF(OR(G1013="",G1013="?"),"",IFERROR(INDEX(Pubs!$C$2:$C$3001,MATCH(G1013,Pubs!$A$2:$A$3001,0))&amp;"",""))</f>
        <v/>
      </c>
      <c r="J1013" s="27" t="str">
        <f aca="false">IF(OR(G1013="",G1013="?"),"",IFERROR(INDEX(Pubs!$G$2:$G$3001,MATCH(G1013,Pubs!$A$2:$A$3001,0))&amp;"",""))</f>
        <v/>
      </c>
      <c r="K1013" s="28" t="str">
        <f aca="false">IF(OR(G1013="",G1013="?"),"",IFERROR(INDEX(Pubs!$E$2:$E$3001,MATCH(G1013,Pubs!$A$2:$A$3001,0)),""))</f>
        <v/>
      </c>
      <c r="L1013" s="29" t="str">
        <f aca="false">IF(A1013="","",IFERROR(1/(1/INDEX(Numéros!$C$2:$C$3001,MATCH(A1013&amp;"|"&amp;B1013,Numéros!$F$2:$F$3001,0))),""))</f>
        <v/>
      </c>
      <c r="M1013" s="27" t="str">
        <f aca="false">IF(OR(G1013="",G1013="?"),"",IFERROR(INDEX(Pubs!$D$2:$D$3001,MATCH(G1013,Pubs!$A$2:$A$3001,0))&amp;"",""))</f>
        <v/>
      </c>
      <c r="N1013" s="27" t="n">
        <f aca="false">N(N1012)+IF(AND(A1013&lt;&gt;"",OR(Recherche!$C$4="",A1013=Recherche!$C$4),OR(Recherche!$C$5="",B1013&amp;""=Recherche!$C$5&amp;""),OR(Recherche!$C$6="",IFERROR(YEAR(L1013),0)=Recherche!$C$6),OR(Recherche!$C$7="",ISNUMBER(SEARCH(Recherche!$C$7,H1013))),OR(Recherche!$C$8="",J1013=Recherche!$C$8),OR(Recherche!$C$9="",I1013=Recherche!$C$9),OR(Recherche!$C$10="",G1013&amp;""=Recherche!$C$10&amp;""),OR(Recherche!$C$11="",E1013=Recherche!$C$11),OR(Recherche!$C$12="",ISNUMBER(SEARCH(Recherche!$C$12,M1013&amp;" "&amp;F1013)))),1,0)</f>
        <v>8</v>
      </c>
    </row>
    <row r="1014" customFormat="false" ht="15" hidden="false" customHeight="false" outlineLevel="0" collapsed="false">
      <c r="A1014" s="19"/>
      <c r="B1014" s="19"/>
      <c r="C1014" s="19"/>
      <c r="D1014" s="19"/>
      <c r="E1014" s="22"/>
      <c r="F1014" s="19"/>
      <c r="G1014" s="26" t="str">
        <f aca="false">IF(D1014="","",IFERROR(VALUE(LEFT(D1014,FIND(" |",D1014&amp;" |")-1)),"?"))</f>
        <v/>
      </c>
      <c r="H1014" s="27" t="str">
        <f aca="false">IF(G1014="","",IF(G1014="?","⚠ pub inconnue",IFERROR(INDEX(Pubs!$B$2:$B$3001,MATCH(G1014,Pubs!$A$2:$A$3001,0))&amp;"","⚠ pub inconnue")))</f>
        <v/>
      </c>
      <c r="I1014" s="27" t="str">
        <f aca="false">IF(OR(G1014="",G1014="?"),"",IFERROR(INDEX(Pubs!$C$2:$C$3001,MATCH(G1014,Pubs!$A$2:$A$3001,0))&amp;"",""))</f>
        <v/>
      </c>
      <c r="J1014" s="27" t="str">
        <f aca="false">IF(OR(G1014="",G1014="?"),"",IFERROR(INDEX(Pubs!$G$2:$G$3001,MATCH(G1014,Pubs!$A$2:$A$3001,0))&amp;"",""))</f>
        <v/>
      </c>
      <c r="K1014" s="28" t="str">
        <f aca="false">IF(OR(G1014="",G1014="?"),"",IFERROR(INDEX(Pubs!$E$2:$E$3001,MATCH(G1014,Pubs!$A$2:$A$3001,0)),""))</f>
        <v/>
      </c>
      <c r="L1014" s="29" t="str">
        <f aca="false">IF(A1014="","",IFERROR(1/(1/INDEX(Numéros!$C$2:$C$3001,MATCH(A1014&amp;"|"&amp;B1014,Numéros!$F$2:$F$3001,0))),""))</f>
        <v/>
      </c>
      <c r="M1014" s="27" t="str">
        <f aca="false">IF(OR(G1014="",G1014="?"),"",IFERROR(INDEX(Pubs!$D$2:$D$3001,MATCH(G1014,Pubs!$A$2:$A$3001,0))&amp;"",""))</f>
        <v/>
      </c>
      <c r="N1014" s="27" t="n">
        <f aca="false">N(N1013)+IF(AND(A1014&lt;&gt;"",OR(Recherche!$C$4="",A1014=Recherche!$C$4),OR(Recherche!$C$5="",B1014&amp;""=Recherche!$C$5&amp;""),OR(Recherche!$C$6="",IFERROR(YEAR(L1014),0)=Recherche!$C$6),OR(Recherche!$C$7="",ISNUMBER(SEARCH(Recherche!$C$7,H1014))),OR(Recherche!$C$8="",J1014=Recherche!$C$8),OR(Recherche!$C$9="",I1014=Recherche!$C$9),OR(Recherche!$C$10="",G1014&amp;""=Recherche!$C$10&amp;""),OR(Recherche!$C$11="",E1014=Recherche!$C$11),OR(Recherche!$C$12="",ISNUMBER(SEARCH(Recherche!$C$12,M1014&amp;" "&amp;F1014)))),1,0)</f>
        <v>8</v>
      </c>
    </row>
    <row r="1015" customFormat="false" ht="15" hidden="false" customHeight="false" outlineLevel="0" collapsed="false">
      <c r="A1015" s="19"/>
      <c r="B1015" s="19"/>
      <c r="C1015" s="19"/>
      <c r="D1015" s="19"/>
      <c r="E1015" s="22"/>
      <c r="F1015" s="19"/>
      <c r="G1015" s="26" t="str">
        <f aca="false">IF(D1015="","",IFERROR(VALUE(LEFT(D1015,FIND(" |",D1015&amp;" |")-1)),"?"))</f>
        <v/>
      </c>
      <c r="H1015" s="27" t="str">
        <f aca="false">IF(G1015="","",IF(G1015="?","⚠ pub inconnue",IFERROR(INDEX(Pubs!$B$2:$B$3001,MATCH(G1015,Pubs!$A$2:$A$3001,0))&amp;"","⚠ pub inconnue")))</f>
        <v/>
      </c>
      <c r="I1015" s="27" t="str">
        <f aca="false">IF(OR(G1015="",G1015="?"),"",IFERROR(INDEX(Pubs!$C$2:$C$3001,MATCH(G1015,Pubs!$A$2:$A$3001,0))&amp;"",""))</f>
        <v/>
      </c>
      <c r="J1015" s="27" t="str">
        <f aca="false">IF(OR(G1015="",G1015="?"),"",IFERROR(INDEX(Pubs!$G$2:$G$3001,MATCH(G1015,Pubs!$A$2:$A$3001,0))&amp;"",""))</f>
        <v/>
      </c>
      <c r="K1015" s="28" t="str">
        <f aca="false">IF(OR(G1015="",G1015="?"),"",IFERROR(INDEX(Pubs!$E$2:$E$3001,MATCH(G1015,Pubs!$A$2:$A$3001,0)),""))</f>
        <v/>
      </c>
      <c r="L1015" s="29" t="str">
        <f aca="false">IF(A1015="","",IFERROR(1/(1/INDEX(Numéros!$C$2:$C$3001,MATCH(A1015&amp;"|"&amp;B1015,Numéros!$F$2:$F$3001,0))),""))</f>
        <v/>
      </c>
      <c r="M1015" s="27" t="str">
        <f aca="false">IF(OR(G1015="",G1015="?"),"",IFERROR(INDEX(Pubs!$D$2:$D$3001,MATCH(G1015,Pubs!$A$2:$A$3001,0))&amp;"",""))</f>
        <v/>
      </c>
      <c r="N1015" s="27" t="n">
        <f aca="false">N(N1014)+IF(AND(A1015&lt;&gt;"",OR(Recherche!$C$4="",A1015=Recherche!$C$4),OR(Recherche!$C$5="",B1015&amp;""=Recherche!$C$5&amp;""),OR(Recherche!$C$6="",IFERROR(YEAR(L1015),0)=Recherche!$C$6),OR(Recherche!$C$7="",ISNUMBER(SEARCH(Recherche!$C$7,H1015))),OR(Recherche!$C$8="",J1015=Recherche!$C$8),OR(Recherche!$C$9="",I1015=Recherche!$C$9),OR(Recherche!$C$10="",G1015&amp;""=Recherche!$C$10&amp;""),OR(Recherche!$C$11="",E1015=Recherche!$C$11),OR(Recherche!$C$12="",ISNUMBER(SEARCH(Recherche!$C$12,M1015&amp;" "&amp;F1015)))),1,0)</f>
        <v>8</v>
      </c>
    </row>
    <row r="1016" customFormat="false" ht="15" hidden="false" customHeight="false" outlineLevel="0" collapsed="false">
      <c r="A1016" s="19"/>
      <c r="B1016" s="19"/>
      <c r="C1016" s="19"/>
      <c r="D1016" s="19"/>
      <c r="E1016" s="22"/>
      <c r="F1016" s="19"/>
      <c r="G1016" s="26" t="str">
        <f aca="false">IF(D1016="","",IFERROR(VALUE(LEFT(D1016,FIND(" |",D1016&amp;" |")-1)),"?"))</f>
        <v/>
      </c>
      <c r="H1016" s="27" t="str">
        <f aca="false">IF(G1016="","",IF(G1016="?","⚠ pub inconnue",IFERROR(INDEX(Pubs!$B$2:$B$3001,MATCH(G1016,Pubs!$A$2:$A$3001,0))&amp;"","⚠ pub inconnue")))</f>
        <v/>
      </c>
      <c r="I1016" s="27" t="str">
        <f aca="false">IF(OR(G1016="",G1016="?"),"",IFERROR(INDEX(Pubs!$C$2:$C$3001,MATCH(G1016,Pubs!$A$2:$A$3001,0))&amp;"",""))</f>
        <v/>
      </c>
      <c r="J1016" s="27" t="str">
        <f aca="false">IF(OR(G1016="",G1016="?"),"",IFERROR(INDEX(Pubs!$G$2:$G$3001,MATCH(G1016,Pubs!$A$2:$A$3001,0))&amp;"",""))</f>
        <v/>
      </c>
      <c r="K1016" s="28" t="str">
        <f aca="false">IF(OR(G1016="",G1016="?"),"",IFERROR(INDEX(Pubs!$E$2:$E$3001,MATCH(G1016,Pubs!$A$2:$A$3001,0)),""))</f>
        <v/>
      </c>
      <c r="L1016" s="29" t="str">
        <f aca="false">IF(A1016="","",IFERROR(1/(1/INDEX(Numéros!$C$2:$C$3001,MATCH(A1016&amp;"|"&amp;B1016,Numéros!$F$2:$F$3001,0))),""))</f>
        <v/>
      </c>
      <c r="M1016" s="27" t="str">
        <f aca="false">IF(OR(G1016="",G1016="?"),"",IFERROR(INDEX(Pubs!$D$2:$D$3001,MATCH(G1016,Pubs!$A$2:$A$3001,0))&amp;"",""))</f>
        <v/>
      </c>
      <c r="N1016" s="27" t="n">
        <f aca="false">N(N1015)+IF(AND(A1016&lt;&gt;"",OR(Recherche!$C$4="",A1016=Recherche!$C$4),OR(Recherche!$C$5="",B1016&amp;""=Recherche!$C$5&amp;""),OR(Recherche!$C$6="",IFERROR(YEAR(L1016),0)=Recherche!$C$6),OR(Recherche!$C$7="",ISNUMBER(SEARCH(Recherche!$C$7,H1016))),OR(Recherche!$C$8="",J1016=Recherche!$C$8),OR(Recherche!$C$9="",I1016=Recherche!$C$9),OR(Recherche!$C$10="",G1016&amp;""=Recherche!$C$10&amp;""),OR(Recherche!$C$11="",E1016=Recherche!$C$11),OR(Recherche!$C$12="",ISNUMBER(SEARCH(Recherche!$C$12,M1016&amp;" "&amp;F1016)))),1,0)</f>
        <v>8</v>
      </c>
    </row>
    <row r="1017" customFormat="false" ht="15" hidden="false" customHeight="false" outlineLevel="0" collapsed="false">
      <c r="A1017" s="19"/>
      <c r="B1017" s="19"/>
      <c r="C1017" s="19"/>
      <c r="D1017" s="19"/>
      <c r="E1017" s="22"/>
      <c r="F1017" s="19"/>
      <c r="G1017" s="26" t="str">
        <f aca="false">IF(D1017="","",IFERROR(VALUE(LEFT(D1017,FIND(" |",D1017&amp;" |")-1)),"?"))</f>
        <v/>
      </c>
      <c r="H1017" s="27" t="str">
        <f aca="false">IF(G1017="","",IF(G1017="?","⚠ pub inconnue",IFERROR(INDEX(Pubs!$B$2:$B$3001,MATCH(G1017,Pubs!$A$2:$A$3001,0))&amp;"","⚠ pub inconnue")))</f>
        <v/>
      </c>
      <c r="I1017" s="27" t="str">
        <f aca="false">IF(OR(G1017="",G1017="?"),"",IFERROR(INDEX(Pubs!$C$2:$C$3001,MATCH(G1017,Pubs!$A$2:$A$3001,0))&amp;"",""))</f>
        <v/>
      </c>
      <c r="J1017" s="27" t="str">
        <f aca="false">IF(OR(G1017="",G1017="?"),"",IFERROR(INDEX(Pubs!$G$2:$G$3001,MATCH(G1017,Pubs!$A$2:$A$3001,0))&amp;"",""))</f>
        <v/>
      </c>
      <c r="K1017" s="28" t="str">
        <f aca="false">IF(OR(G1017="",G1017="?"),"",IFERROR(INDEX(Pubs!$E$2:$E$3001,MATCH(G1017,Pubs!$A$2:$A$3001,0)),""))</f>
        <v/>
      </c>
      <c r="L1017" s="29" t="str">
        <f aca="false">IF(A1017="","",IFERROR(1/(1/INDEX(Numéros!$C$2:$C$3001,MATCH(A1017&amp;"|"&amp;B1017,Numéros!$F$2:$F$3001,0))),""))</f>
        <v/>
      </c>
      <c r="M1017" s="27" t="str">
        <f aca="false">IF(OR(G1017="",G1017="?"),"",IFERROR(INDEX(Pubs!$D$2:$D$3001,MATCH(G1017,Pubs!$A$2:$A$3001,0))&amp;"",""))</f>
        <v/>
      </c>
      <c r="N1017" s="27" t="n">
        <f aca="false">N(N1016)+IF(AND(A1017&lt;&gt;"",OR(Recherche!$C$4="",A1017=Recherche!$C$4),OR(Recherche!$C$5="",B1017&amp;""=Recherche!$C$5&amp;""),OR(Recherche!$C$6="",IFERROR(YEAR(L1017),0)=Recherche!$C$6),OR(Recherche!$C$7="",ISNUMBER(SEARCH(Recherche!$C$7,H1017))),OR(Recherche!$C$8="",J1017=Recherche!$C$8),OR(Recherche!$C$9="",I1017=Recherche!$C$9),OR(Recherche!$C$10="",G1017&amp;""=Recherche!$C$10&amp;""),OR(Recherche!$C$11="",E1017=Recherche!$C$11),OR(Recherche!$C$12="",ISNUMBER(SEARCH(Recherche!$C$12,M1017&amp;" "&amp;F1017)))),1,0)</f>
        <v>8</v>
      </c>
    </row>
    <row r="1018" customFormat="false" ht="15" hidden="false" customHeight="false" outlineLevel="0" collapsed="false">
      <c r="A1018" s="19"/>
      <c r="B1018" s="19"/>
      <c r="C1018" s="19"/>
      <c r="D1018" s="19"/>
      <c r="E1018" s="22"/>
      <c r="F1018" s="19"/>
      <c r="G1018" s="26" t="str">
        <f aca="false">IF(D1018="","",IFERROR(VALUE(LEFT(D1018,FIND(" |",D1018&amp;" |")-1)),"?"))</f>
        <v/>
      </c>
      <c r="H1018" s="27" t="str">
        <f aca="false">IF(G1018="","",IF(G1018="?","⚠ pub inconnue",IFERROR(INDEX(Pubs!$B$2:$B$3001,MATCH(G1018,Pubs!$A$2:$A$3001,0))&amp;"","⚠ pub inconnue")))</f>
        <v/>
      </c>
      <c r="I1018" s="27" t="str">
        <f aca="false">IF(OR(G1018="",G1018="?"),"",IFERROR(INDEX(Pubs!$C$2:$C$3001,MATCH(G1018,Pubs!$A$2:$A$3001,0))&amp;"",""))</f>
        <v/>
      </c>
      <c r="J1018" s="27" t="str">
        <f aca="false">IF(OR(G1018="",G1018="?"),"",IFERROR(INDEX(Pubs!$G$2:$G$3001,MATCH(G1018,Pubs!$A$2:$A$3001,0))&amp;"",""))</f>
        <v/>
      </c>
      <c r="K1018" s="28" t="str">
        <f aca="false">IF(OR(G1018="",G1018="?"),"",IFERROR(INDEX(Pubs!$E$2:$E$3001,MATCH(G1018,Pubs!$A$2:$A$3001,0)),""))</f>
        <v/>
      </c>
      <c r="L1018" s="29" t="str">
        <f aca="false">IF(A1018="","",IFERROR(1/(1/INDEX(Numéros!$C$2:$C$3001,MATCH(A1018&amp;"|"&amp;B1018,Numéros!$F$2:$F$3001,0))),""))</f>
        <v/>
      </c>
      <c r="M1018" s="27" t="str">
        <f aca="false">IF(OR(G1018="",G1018="?"),"",IFERROR(INDEX(Pubs!$D$2:$D$3001,MATCH(G1018,Pubs!$A$2:$A$3001,0))&amp;"",""))</f>
        <v/>
      </c>
      <c r="N1018" s="27" t="n">
        <f aca="false">N(N1017)+IF(AND(A1018&lt;&gt;"",OR(Recherche!$C$4="",A1018=Recherche!$C$4),OR(Recherche!$C$5="",B1018&amp;""=Recherche!$C$5&amp;""),OR(Recherche!$C$6="",IFERROR(YEAR(L1018),0)=Recherche!$C$6),OR(Recherche!$C$7="",ISNUMBER(SEARCH(Recherche!$C$7,H1018))),OR(Recherche!$C$8="",J1018=Recherche!$C$8),OR(Recherche!$C$9="",I1018=Recherche!$C$9),OR(Recherche!$C$10="",G1018&amp;""=Recherche!$C$10&amp;""),OR(Recherche!$C$11="",E1018=Recherche!$C$11),OR(Recherche!$C$12="",ISNUMBER(SEARCH(Recherche!$C$12,M1018&amp;" "&amp;F1018)))),1,0)</f>
        <v>8</v>
      </c>
    </row>
    <row r="1019" customFormat="false" ht="15" hidden="false" customHeight="false" outlineLevel="0" collapsed="false">
      <c r="A1019" s="19"/>
      <c r="B1019" s="19"/>
      <c r="C1019" s="19"/>
      <c r="D1019" s="19"/>
      <c r="E1019" s="22"/>
      <c r="F1019" s="19"/>
      <c r="G1019" s="26" t="str">
        <f aca="false">IF(D1019="","",IFERROR(VALUE(LEFT(D1019,FIND(" |",D1019&amp;" |")-1)),"?"))</f>
        <v/>
      </c>
      <c r="H1019" s="27" t="str">
        <f aca="false">IF(G1019="","",IF(G1019="?","⚠ pub inconnue",IFERROR(INDEX(Pubs!$B$2:$B$3001,MATCH(G1019,Pubs!$A$2:$A$3001,0))&amp;"","⚠ pub inconnue")))</f>
        <v/>
      </c>
      <c r="I1019" s="27" t="str">
        <f aca="false">IF(OR(G1019="",G1019="?"),"",IFERROR(INDEX(Pubs!$C$2:$C$3001,MATCH(G1019,Pubs!$A$2:$A$3001,0))&amp;"",""))</f>
        <v/>
      </c>
      <c r="J1019" s="27" t="str">
        <f aca="false">IF(OR(G1019="",G1019="?"),"",IFERROR(INDEX(Pubs!$G$2:$G$3001,MATCH(G1019,Pubs!$A$2:$A$3001,0))&amp;"",""))</f>
        <v/>
      </c>
      <c r="K1019" s="28" t="str">
        <f aca="false">IF(OR(G1019="",G1019="?"),"",IFERROR(INDEX(Pubs!$E$2:$E$3001,MATCH(G1019,Pubs!$A$2:$A$3001,0)),""))</f>
        <v/>
      </c>
      <c r="L1019" s="29" t="str">
        <f aca="false">IF(A1019="","",IFERROR(1/(1/INDEX(Numéros!$C$2:$C$3001,MATCH(A1019&amp;"|"&amp;B1019,Numéros!$F$2:$F$3001,0))),""))</f>
        <v/>
      </c>
      <c r="M1019" s="27" t="str">
        <f aca="false">IF(OR(G1019="",G1019="?"),"",IFERROR(INDEX(Pubs!$D$2:$D$3001,MATCH(G1019,Pubs!$A$2:$A$3001,0))&amp;"",""))</f>
        <v/>
      </c>
      <c r="N1019" s="27" t="n">
        <f aca="false">N(N1018)+IF(AND(A1019&lt;&gt;"",OR(Recherche!$C$4="",A1019=Recherche!$C$4),OR(Recherche!$C$5="",B1019&amp;""=Recherche!$C$5&amp;""),OR(Recherche!$C$6="",IFERROR(YEAR(L1019),0)=Recherche!$C$6),OR(Recherche!$C$7="",ISNUMBER(SEARCH(Recherche!$C$7,H1019))),OR(Recherche!$C$8="",J1019=Recherche!$C$8),OR(Recherche!$C$9="",I1019=Recherche!$C$9),OR(Recherche!$C$10="",G1019&amp;""=Recherche!$C$10&amp;""),OR(Recherche!$C$11="",E1019=Recherche!$C$11),OR(Recherche!$C$12="",ISNUMBER(SEARCH(Recherche!$C$12,M1019&amp;" "&amp;F1019)))),1,0)</f>
        <v>8</v>
      </c>
    </row>
    <row r="1020" customFormat="false" ht="15" hidden="false" customHeight="false" outlineLevel="0" collapsed="false">
      <c r="A1020" s="19"/>
      <c r="B1020" s="19"/>
      <c r="C1020" s="19"/>
      <c r="D1020" s="19"/>
      <c r="E1020" s="22"/>
      <c r="F1020" s="19"/>
      <c r="G1020" s="26" t="str">
        <f aca="false">IF(D1020="","",IFERROR(VALUE(LEFT(D1020,FIND(" |",D1020&amp;" |")-1)),"?"))</f>
        <v/>
      </c>
      <c r="H1020" s="27" t="str">
        <f aca="false">IF(G1020="","",IF(G1020="?","⚠ pub inconnue",IFERROR(INDEX(Pubs!$B$2:$B$3001,MATCH(G1020,Pubs!$A$2:$A$3001,0))&amp;"","⚠ pub inconnue")))</f>
        <v/>
      </c>
      <c r="I1020" s="27" t="str">
        <f aca="false">IF(OR(G1020="",G1020="?"),"",IFERROR(INDEX(Pubs!$C$2:$C$3001,MATCH(G1020,Pubs!$A$2:$A$3001,0))&amp;"",""))</f>
        <v/>
      </c>
      <c r="J1020" s="27" t="str">
        <f aca="false">IF(OR(G1020="",G1020="?"),"",IFERROR(INDEX(Pubs!$G$2:$G$3001,MATCH(G1020,Pubs!$A$2:$A$3001,0))&amp;"",""))</f>
        <v/>
      </c>
      <c r="K1020" s="28" t="str">
        <f aca="false">IF(OR(G1020="",G1020="?"),"",IFERROR(INDEX(Pubs!$E$2:$E$3001,MATCH(G1020,Pubs!$A$2:$A$3001,0)),""))</f>
        <v/>
      </c>
      <c r="L1020" s="29" t="str">
        <f aca="false">IF(A1020="","",IFERROR(1/(1/INDEX(Numéros!$C$2:$C$3001,MATCH(A1020&amp;"|"&amp;B1020,Numéros!$F$2:$F$3001,0))),""))</f>
        <v/>
      </c>
      <c r="M1020" s="27" t="str">
        <f aca="false">IF(OR(G1020="",G1020="?"),"",IFERROR(INDEX(Pubs!$D$2:$D$3001,MATCH(G1020,Pubs!$A$2:$A$3001,0))&amp;"",""))</f>
        <v/>
      </c>
      <c r="N1020" s="27" t="n">
        <f aca="false">N(N1019)+IF(AND(A1020&lt;&gt;"",OR(Recherche!$C$4="",A1020=Recherche!$C$4),OR(Recherche!$C$5="",B1020&amp;""=Recherche!$C$5&amp;""),OR(Recherche!$C$6="",IFERROR(YEAR(L1020),0)=Recherche!$C$6),OR(Recherche!$C$7="",ISNUMBER(SEARCH(Recherche!$C$7,H1020))),OR(Recherche!$C$8="",J1020=Recherche!$C$8),OR(Recherche!$C$9="",I1020=Recherche!$C$9),OR(Recherche!$C$10="",G1020&amp;""=Recherche!$C$10&amp;""),OR(Recherche!$C$11="",E1020=Recherche!$C$11),OR(Recherche!$C$12="",ISNUMBER(SEARCH(Recherche!$C$12,M1020&amp;" "&amp;F1020)))),1,0)</f>
        <v>8</v>
      </c>
    </row>
    <row r="1021" customFormat="false" ht="15" hidden="false" customHeight="false" outlineLevel="0" collapsed="false">
      <c r="A1021" s="19"/>
      <c r="B1021" s="19"/>
      <c r="C1021" s="19"/>
      <c r="D1021" s="19"/>
      <c r="E1021" s="22"/>
      <c r="F1021" s="19"/>
      <c r="G1021" s="26" t="str">
        <f aca="false">IF(D1021="","",IFERROR(VALUE(LEFT(D1021,FIND(" |",D1021&amp;" |")-1)),"?"))</f>
        <v/>
      </c>
      <c r="H1021" s="27" t="str">
        <f aca="false">IF(G1021="","",IF(G1021="?","⚠ pub inconnue",IFERROR(INDEX(Pubs!$B$2:$B$3001,MATCH(G1021,Pubs!$A$2:$A$3001,0))&amp;"","⚠ pub inconnue")))</f>
        <v/>
      </c>
      <c r="I1021" s="27" t="str">
        <f aca="false">IF(OR(G1021="",G1021="?"),"",IFERROR(INDEX(Pubs!$C$2:$C$3001,MATCH(G1021,Pubs!$A$2:$A$3001,0))&amp;"",""))</f>
        <v/>
      </c>
      <c r="J1021" s="27" t="str">
        <f aca="false">IF(OR(G1021="",G1021="?"),"",IFERROR(INDEX(Pubs!$G$2:$G$3001,MATCH(G1021,Pubs!$A$2:$A$3001,0))&amp;"",""))</f>
        <v/>
      </c>
      <c r="K1021" s="28" t="str">
        <f aca="false">IF(OR(G1021="",G1021="?"),"",IFERROR(INDEX(Pubs!$E$2:$E$3001,MATCH(G1021,Pubs!$A$2:$A$3001,0)),""))</f>
        <v/>
      </c>
      <c r="L1021" s="29" t="str">
        <f aca="false">IF(A1021="","",IFERROR(1/(1/INDEX(Numéros!$C$2:$C$3001,MATCH(A1021&amp;"|"&amp;B1021,Numéros!$F$2:$F$3001,0))),""))</f>
        <v/>
      </c>
      <c r="M1021" s="27" t="str">
        <f aca="false">IF(OR(G1021="",G1021="?"),"",IFERROR(INDEX(Pubs!$D$2:$D$3001,MATCH(G1021,Pubs!$A$2:$A$3001,0))&amp;"",""))</f>
        <v/>
      </c>
      <c r="N1021" s="27" t="n">
        <f aca="false">N(N1020)+IF(AND(A1021&lt;&gt;"",OR(Recherche!$C$4="",A1021=Recherche!$C$4),OR(Recherche!$C$5="",B1021&amp;""=Recherche!$C$5&amp;""),OR(Recherche!$C$6="",IFERROR(YEAR(L1021),0)=Recherche!$C$6),OR(Recherche!$C$7="",ISNUMBER(SEARCH(Recherche!$C$7,H1021))),OR(Recherche!$C$8="",J1021=Recherche!$C$8),OR(Recherche!$C$9="",I1021=Recherche!$C$9),OR(Recherche!$C$10="",G1021&amp;""=Recherche!$C$10&amp;""),OR(Recherche!$C$11="",E1021=Recherche!$C$11),OR(Recherche!$C$12="",ISNUMBER(SEARCH(Recherche!$C$12,M1021&amp;" "&amp;F1021)))),1,0)</f>
        <v>8</v>
      </c>
    </row>
    <row r="1022" customFormat="false" ht="15" hidden="false" customHeight="false" outlineLevel="0" collapsed="false">
      <c r="A1022" s="19"/>
      <c r="B1022" s="19"/>
      <c r="C1022" s="19"/>
      <c r="D1022" s="19"/>
      <c r="E1022" s="22"/>
      <c r="F1022" s="19"/>
      <c r="G1022" s="26" t="str">
        <f aca="false">IF(D1022="","",IFERROR(VALUE(LEFT(D1022,FIND(" |",D1022&amp;" |")-1)),"?"))</f>
        <v/>
      </c>
      <c r="H1022" s="27" t="str">
        <f aca="false">IF(G1022="","",IF(G1022="?","⚠ pub inconnue",IFERROR(INDEX(Pubs!$B$2:$B$3001,MATCH(G1022,Pubs!$A$2:$A$3001,0))&amp;"","⚠ pub inconnue")))</f>
        <v/>
      </c>
      <c r="I1022" s="27" t="str">
        <f aca="false">IF(OR(G1022="",G1022="?"),"",IFERROR(INDEX(Pubs!$C$2:$C$3001,MATCH(G1022,Pubs!$A$2:$A$3001,0))&amp;"",""))</f>
        <v/>
      </c>
      <c r="J1022" s="27" t="str">
        <f aca="false">IF(OR(G1022="",G1022="?"),"",IFERROR(INDEX(Pubs!$G$2:$G$3001,MATCH(G1022,Pubs!$A$2:$A$3001,0))&amp;"",""))</f>
        <v/>
      </c>
      <c r="K1022" s="28" t="str">
        <f aca="false">IF(OR(G1022="",G1022="?"),"",IFERROR(INDEX(Pubs!$E$2:$E$3001,MATCH(G1022,Pubs!$A$2:$A$3001,0)),""))</f>
        <v/>
      </c>
      <c r="L1022" s="29" t="str">
        <f aca="false">IF(A1022="","",IFERROR(1/(1/INDEX(Numéros!$C$2:$C$3001,MATCH(A1022&amp;"|"&amp;B1022,Numéros!$F$2:$F$3001,0))),""))</f>
        <v/>
      </c>
      <c r="M1022" s="27" t="str">
        <f aca="false">IF(OR(G1022="",G1022="?"),"",IFERROR(INDEX(Pubs!$D$2:$D$3001,MATCH(G1022,Pubs!$A$2:$A$3001,0))&amp;"",""))</f>
        <v/>
      </c>
      <c r="N1022" s="27" t="n">
        <f aca="false">N(N1021)+IF(AND(A1022&lt;&gt;"",OR(Recherche!$C$4="",A1022=Recherche!$C$4),OR(Recherche!$C$5="",B1022&amp;""=Recherche!$C$5&amp;""),OR(Recherche!$C$6="",IFERROR(YEAR(L1022),0)=Recherche!$C$6),OR(Recherche!$C$7="",ISNUMBER(SEARCH(Recherche!$C$7,H1022))),OR(Recherche!$C$8="",J1022=Recherche!$C$8),OR(Recherche!$C$9="",I1022=Recherche!$C$9),OR(Recherche!$C$10="",G1022&amp;""=Recherche!$C$10&amp;""),OR(Recherche!$C$11="",E1022=Recherche!$C$11),OR(Recherche!$C$12="",ISNUMBER(SEARCH(Recherche!$C$12,M1022&amp;" "&amp;F1022)))),1,0)</f>
        <v>8</v>
      </c>
    </row>
    <row r="1023" customFormat="false" ht="15" hidden="false" customHeight="false" outlineLevel="0" collapsed="false">
      <c r="A1023" s="19"/>
      <c r="B1023" s="19"/>
      <c r="C1023" s="19"/>
      <c r="D1023" s="19"/>
      <c r="E1023" s="22"/>
      <c r="F1023" s="19"/>
      <c r="G1023" s="26" t="str">
        <f aca="false">IF(D1023="","",IFERROR(VALUE(LEFT(D1023,FIND(" |",D1023&amp;" |")-1)),"?"))</f>
        <v/>
      </c>
      <c r="H1023" s="27" t="str">
        <f aca="false">IF(G1023="","",IF(G1023="?","⚠ pub inconnue",IFERROR(INDEX(Pubs!$B$2:$B$3001,MATCH(G1023,Pubs!$A$2:$A$3001,0))&amp;"","⚠ pub inconnue")))</f>
        <v/>
      </c>
      <c r="I1023" s="27" t="str">
        <f aca="false">IF(OR(G1023="",G1023="?"),"",IFERROR(INDEX(Pubs!$C$2:$C$3001,MATCH(G1023,Pubs!$A$2:$A$3001,0))&amp;"",""))</f>
        <v/>
      </c>
      <c r="J1023" s="27" t="str">
        <f aca="false">IF(OR(G1023="",G1023="?"),"",IFERROR(INDEX(Pubs!$G$2:$G$3001,MATCH(G1023,Pubs!$A$2:$A$3001,0))&amp;"",""))</f>
        <v/>
      </c>
      <c r="K1023" s="28" t="str">
        <f aca="false">IF(OR(G1023="",G1023="?"),"",IFERROR(INDEX(Pubs!$E$2:$E$3001,MATCH(G1023,Pubs!$A$2:$A$3001,0)),""))</f>
        <v/>
      </c>
      <c r="L1023" s="29" t="str">
        <f aca="false">IF(A1023="","",IFERROR(1/(1/INDEX(Numéros!$C$2:$C$3001,MATCH(A1023&amp;"|"&amp;B1023,Numéros!$F$2:$F$3001,0))),""))</f>
        <v/>
      </c>
      <c r="M1023" s="27" t="str">
        <f aca="false">IF(OR(G1023="",G1023="?"),"",IFERROR(INDEX(Pubs!$D$2:$D$3001,MATCH(G1023,Pubs!$A$2:$A$3001,0))&amp;"",""))</f>
        <v/>
      </c>
      <c r="N1023" s="27" t="n">
        <f aca="false">N(N1022)+IF(AND(A1023&lt;&gt;"",OR(Recherche!$C$4="",A1023=Recherche!$C$4),OR(Recherche!$C$5="",B1023&amp;""=Recherche!$C$5&amp;""),OR(Recherche!$C$6="",IFERROR(YEAR(L1023),0)=Recherche!$C$6),OR(Recherche!$C$7="",ISNUMBER(SEARCH(Recherche!$C$7,H1023))),OR(Recherche!$C$8="",J1023=Recherche!$C$8),OR(Recherche!$C$9="",I1023=Recherche!$C$9),OR(Recherche!$C$10="",G1023&amp;""=Recherche!$C$10&amp;""),OR(Recherche!$C$11="",E1023=Recherche!$C$11),OR(Recherche!$C$12="",ISNUMBER(SEARCH(Recherche!$C$12,M1023&amp;" "&amp;F1023)))),1,0)</f>
        <v>8</v>
      </c>
    </row>
    <row r="1024" customFormat="false" ht="15" hidden="false" customHeight="false" outlineLevel="0" collapsed="false">
      <c r="A1024" s="19"/>
      <c r="B1024" s="19"/>
      <c r="C1024" s="19"/>
      <c r="D1024" s="19"/>
      <c r="E1024" s="22"/>
      <c r="F1024" s="19"/>
      <c r="G1024" s="26" t="str">
        <f aca="false">IF(D1024="","",IFERROR(VALUE(LEFT(D1024,FIND(" |",D1024&amp;" |")-1)),"?"))</f>
        <v/>
      </c>
      <c r="H1024" s="27" t="str">
        <f aca="false">IF(G1024="","",IF(G1024="?","⚠ pub inconnue",IFERROR(INDEX(Pubs!$B$2:$B$3001,MATCH(G1024,Pubs!$A$2:$A$3001,0))&amp;"","⚠ pub inconnue")))</f>
        <v/>
      </c>
      <c r="I1024" s="27" t="str">
        <f aca="false">IF(OR(G1024="",G1024="?"),"",IFERROR(INDEX(Pubs!$C$2:$C$3001,MATCH(G1024,Pubs!$A$2:$A$3001,0))&amp;"",""))</f>
        <v/>
      </c>
      <c r="J1024" s="27" t="str">
        <f aca="false">IF(OR(G1024="",G1024="?"),"",IFERROR(INDEX(Pubs!$G$2:$G$3001,MATCH(G1024,Pubs!$A$2:$A$3001,0))&amp;"",""))</f>
        <v/>
      </c>
      <c r="K1024" s="28" t="str">
        <f aca="false">IF(OR(G1024="",G1024="?"),"",IFERROR(INDEX(Pubs!$E$2:$E$3001,MATCH(G1024,Pubs!$A$2:$A$3001,0)),""))</f>
        <v/>
      </c>
      <c r="L1024" s="29" t="str">
        <f aca="false">IF(A1024="","",IFERROR(1/(1/INDEX(Numéros!$C$2:$C$3001,MATCH(A1024&amp;"|"&amp;B1024,Numéros!$F$2:$F$3001,0))),""))</f>
        <v/>
      </c>
      <c r="M1024" s="27" t="str">
        <f aca="false">IF(OR(G1024="",G1024="?"),"",IFERROR(INDEX(Pubs!$D$2:$D$3001,MATCH(G1024,Pubs!$A$2:$A$3001,0))&amp;"",""))</f>
        <v/>
      </c>
      <c r="N1024" s="27" t="n">
        <f aca="false">N(N1023)+IF(AND(A1024&lt;&gt;"",OR(Recherche!$C$4="",A1024=Recherche!$C$4),OR(Recherche!$C$5="",B1024&amp;""=Recherche!$C$5&amp;""),OR(Recherche!$C$6="",IFERROR(YEAR(L1024),0)=Recherche!$C$6),OR(Recherche!$C$7="",ISNUMBER(SEARCH(Recherche!$C$7,H1024))),OR(Recherche!$C$8="",J1024=Recherche!$C$8),OR(Recherche!$C$9="",I1024=Recherche!$C$9),OR(Recherche!$C$10="",G1024&amp;""=Recherche!$C$10&amp;""),OR(Recherche!$C$11="",E1024=Recherche!$C$11),OR(Recherche!$C$12="",ISNUMBER(SEARCH(Recherche!$C$12,M1024&amp;" "&amp;F1024)))),1,0)</f>
        <v>8</v>
      </c>
    </row>
    <row r="1025" customFormat="false" ht="15" hidden="false" customHeight="false" outlineLevel="0" collapsed="false">
      <c r="A1025" s="19"/>
      <c r="B1025" s="19"/>
      <c r="C1025" s="19"/>
      <c r="D1025" s="19"/>
      <c r="E1025" s="22"/>
      <c r="F1025" s="19"/>
      <c r="G1025" s="26" t="str">
        <f aca="false">IF(D1025="","",IFERROR(VALUE(LEFT(D1025,FIND(" |",D1025&amp;" |")-1)),"?"))</f>
        <v/>
      </c>
      <c r="H1025" s="27" t="str">
        <f aca="false">IF(G1025="","",IF(G1025="?","⚠ pub inconnue",IFERROR(INDEX(Pubs!$B$2:$B$3001,MATCH(G1025,Pubs!$A$2:$A$3001,0))&amp;"","⚠ pub inconnue")))</f>
        <v/>
      </c>
      <c r="I1025" s="27" t="str">
        <f aca="false">IF(OR(G1025="",G1025="?"),"",IFERROR(INDEX(Pubs!$C$2:$C$3001,MATCH(G1025,Pubs!$A$2:$A$3001,0))&amp;"",""))</f>
        <v/>
      </c>
      <c r="J1025" s="27" t="str">
        <f aca="false">IF(OR(G1025="",G1025="?"),"",IFERROR(INDEX(Pubs!$G$2:$G$3001,MATCH(G1025,Pubs!$A$2:$A$3001,0))&amp;"",""))</f>
        <v/>
      </c>
      <c r="K1025" s="28" t="str">
        <f aca="false">IF(OR(G1025="",G1025="?"),"",IFERROR(INDEX(Pubs!$E$2:$E$3001,MATCH(G1025,Pubs!$A$2:$A$3001,0)),""))</f>
        <v/>
      </c>
      <c r="L1025" s="29" t="str">
        <f aca="false">IF(A1025="","",IFERROR(1/(1/INDEX(Numéros!$C$2:$C$3001,MATCH(A1025&amp;"|"&amp;B1025,Numéros!$F$2:$F$3001,0))),""))</f>
        <v/>
      </c>
      <c r="M1025" s="27" t="str">
        <f aca="false">IF(OR(G1025="",G1025="?"),"",IFERROR(INDEX(Pubs!$D$2:$D$3001,MATCH(G1025,Pubs!$A$2:$A$3001,0))&amp;"",""))</f>
        <v/>
      </c>
      <c r="N1025" s="27" t="n">
        <f aca="false">N(N1024)+IF(AND(A1025&lt;&gt;"",OR(Recherche!$C$4="",A1025=Recherche!$C$4),OR(Recherche!$C$5="",B1025&amp;""=Recherche!$C$5&amp;""),OR(Recherche!$C$6="",IFERROR(YEAR(L1025),0)=Recherche!$C$6),OR(Recherche!$C$7="",ISNUMBER(SEARCH(Recherche!$C$7,H1025))),OR(Recherche!$C$8="",J1025=Recherche!$C$8),OR(Recherche!$C$9="",I1025=Recherche!$C$9),OR(Recherche!$C$10="",G1025&amp;""=Recherche!$C$10&amp;""),OR(Recherche!$C$11="",E1025=Recherche!$C$11),OR(Recherche!$C$12="",ISNUMBER(SEARCH(Recherche!$C$12,M1025&amp;" "&amp;F1025)))),1,0)</f>
        <v>8</v>
      </c>
    </row>
    <row r="1026" customFormat="false" ht="15" hidden="false" customHeight="false" outlineLevel="0" collapsed="false">
      <c r="A1026" s="19"/>
      <c r="B1026" s="19"/>
      <c r="C1026" s="19"/>
      <c r="D1026" s="19"/>
      <c r="E1026" s="22"/>
      <c r="F1026" s="19"/>
      <c r="G1026" s="26" t="str">
        <f aca="false">IF(D1026="","",IFERROR(VALUE(LEFT(D1026,FIND(" |",D1026&amp;" |")-1)),"?"))</f>
        <v/>
      </c>
      <c r="H1026" s="27" t="str">
        <f aca="false">IF(G1026="","",IF(G1026="?","⚠ pub inconnue",IFERROR(INDEX(Pubs!$B$2:$B$3001,MATCH(G1026,Pubs!$A$2:$A$3001,0))&amp;"","⚠ pub inconnue")))</f>
        <v/>
      </c>
      <c r="I1026" s="27" t="str">
        <f aca="false">IF(OR(G1026="",G1026="?"),"",IFERROR(INDEX(Pubs!$C$2:$C$3001,MATCH(G1026,Pubs!$A$2:$A$3001,0))&amp;"",""))</f>
        <v/>
      </c>
      <c r="J1026" s="27" t="str">
        <f aca="false">IF(OR(G1026="",G1026="?"),"",IFERROR(INDEX(Pubs!$G$2:$G$3001,MATCH(G1026,Pubs!$A$2:$A$3001,0))&amp;"",""))</f>
        <v/>
      </c>
      <c r="K1026" s="28" t="str">
        <f aca="false">IF(OR(G1026="",G1026="?"),"",IFERROR(INDEX(Pubs!$E$2:$E$3001,MATCH(G1026,Pubs!$A$2:$A$3001,0)),""))</f>
        <v/>
      </c>
      <c r="L1026" s="29" t="str">
        <f aca="false">IF(A1026="","",IFERROR(1/(1/INDEX(Numéros!$C$2:$C$3001,MATCH(A1026&amp;"|"&amp;B1026,Numéros!$F$2:$F$3001,0))),""))</f>
        <v/>
      </c>
      <c r="M1026" s="27" t="str">
        <f aca="false">IF(OR(G1026="",G1026="?"),"",IFERROR(INDEX(Pubs!$D$2:$D$3001,MATCH(G1026,Pubs!$A$2:$A$3001,0))&amp;"",""))</f>
        <v/>
      </c>
      <c r="N1026" s="27" t="n">
        <f aca="false">N(N1025)+IF(AND(A1026&lt;&gt;"",OR(Recherche!$C$4="",A1026=Recherche!$C$4),OR(Recherche!$C$5="",B1026&amp;""=Recherche!$C$5&amp;""),OR(Recherche!$C$6="",IFERROR(YEAR(L1026),0)=Recherche!$C$6),OR(Recherche!$C$7="",ISNUMBER(SEARCH(Recherche!$C$7,H1026))),OR(Recherche!$C$8="",J1026=Recherche!$C$8),OR(Recherche!$C$9="",I1026=Recherche!$C$9),OR(Recherche!$C$10="",G1026&amp;""=Recherche!$C$10&amp;""),OR(Recherche!$C$11="",E1026=Recherche!$C$11),OR(Recherche!$C$12="",ISNUMBER(SEARCH(Recherche!$C$12,M1026&amp;" "&amp;F1026)))),1,0)</f>
        <v>8</v>
      </c>
    </row>
    <row r="1027" customFormat="false" ht="15" hidden="false" customHeight="false" outlineLevel="0" collapsed="false">
      <c r="A1027" s="19"/>
      <c r="B1027" s="19"/>
      <c r="C1027" s="19"/>
      <c r="D1027" s="19"/>
      <c r="E1027" s="22"/>
      <c r="F1027" s="19"/>
      <c r="G1027" s="26" t="str">
        <f aca="false">IF(D1027="","",IFERROR(VALUE(LEFT(D1027,FIND(" |",D1027&amp;" |")-1)),"?"))</f>
        <v/>
      </c>
      <c r="H1027" s="27" t="str">
        <f aca="false">IF(G1027="","",IF(G1027="?","⚠ pub inconnue",IFERROR(INDEX(Pubs!$B$2:$B$3001,MATCH(G1027,Pubs!$A$2:$A$3001,0))&amp;"","⚠ pub inconnue")))</f>
        <v/>
      </c>
      <c r="I1027" s="27" t="str">
        <f aca="false">IF(OR(G1027="",G1027="?"),"",IFERROR(INDEX(Pubs!$C$2:$C$3001,MATCH(G1027,Pubs!$A$2:$A$3001,0))&amp;"",""))</f>
        <v/>
      </c>
      <c r="J1027" s="27" t="str">
        <f aca="false">IF(OR(G1027="",G1027="?"),"",IFERROR(INDEX(Pubs!$G$2:$G$3001,MATCH(G1027,Pubs!$A$2:$A$3001,0))&amp;"",""))</f>
        <v/>
      </c>
      <c r="K1027" s="28" t="str">
        <f aca="false">IF(OR(G1027="",G1027="?"),"",IFERROR(INDEX(Pubs!$E$2:$E$3001,MATCH(G1027,Pubs!$A$2:$A$3001,0)),""))</f>
        <v/>
      </c>
      <c r="L1027" s="29" t="str">
        <f aca="false">IF(A1027="","",IFERROR(1/(1/INDEX(Numéros!$C$2:$C$3001,MATCH(A1027&amp;"|"&amp;B1027,Numéros!$F$2:$F$3001,0))),""))</f>
        <v/>
      </c>
      <c r="M1027" s="27" t="str">
        <f aca="false">IF(OR(G1027="",G1027="?"),"",IFERROR(INDEX(Pubs!$D$2:$D$3001,MATCH(G1027,Pubs!$A$2:$A$3001,0))&amp;"",""))</f>
        <v/>
      </c>
      <c r="N1027" s="27" t="n">
        <f aca="false">N(N1026)+IF(AND(A1027&lt;&gt;"",OR(Recherche!$C$4="",A1027=Recherche!$C$4),OR(Recherche!$C$5="",B1027&amp;""=Recherche!$C$5&amp;""),OR(Recherche!$C$6="",IFERROR(YEAR(L1027),0)=Recherche!$C$6),OR(Recherche!$C$7="",ISNUMBER(SEARCH(Recherche!$C$7,H1027))),OR(Recherche!$C$8="",J1027=Recherche!$C$8),OR(Recherche!$C$9="",I1027=Recherche!$C$9),OR(Recherche!$C$10="",G1027&amp;""=Recherche!$C$10&amp;""),OR(Recherche!$C$11="",E1027=Recherche!$C$11),OR(Recherche!$C$12="",ISNUMBER(SEARCH(Recherche!$C$12,M1027&amp;" "&amp;F1027)))),1,0)</f>
        <v>8</v>
      </c>
    </row>
    <row r="1028" customFormat="false" ht="15" hidden="false" customHeight="false" outlineLevel="0" collapsed="false">
      <c r="A1028" s="19"/>
      <c r="B1028" s="19"/>
      <c r="C1028" s="19"/>
      <c r="D1028" s="19"/>
      <c r="E1028" s="22"/>
      <c r="F1028" s="19"/>
      <c r="G1028" s="26" t="str">
        <f aca="false">IF(D1028="","",IFERROR(VALUE(LEFT(D1028,FIND(" |",D1028&amp;" |")-1)),"?"))</f>
        <v/>
      </c>
      <c r="H1028" s="27" t="str">
        <f aca="false">IF(G1028="","",IF(G1028="?","⚠ pub inconnue",IFERROR(INDEX(Pubs!$B$2:$B$3001,MATCH(G1028,Pubs!$A$2:$A$3001,0))&amp;"","⚠ pub inconnue")))</f>
        <v/>
      </c>
      <c r="I1028" s="27" t="str">
        <f aca="false">IF(OR(G1028="",G1028="?"),"",IFERROR(INDEX(Pubs!$C$2:$C$3001,MATCH(G1028,Pubs!$A$2:$A$3001,0))&amp;"",""))</f>
        <v/>
      </c>
      <c r="J1028" s="27" t="str">
        <f aca="false">IF(OR(G1028="",G1028="?"),"",IFERROR(INDEX(Pubs!$G$2:$G$3001,MATCH(G1028,Pubs!$A$2:$A$3001,0))&amp;"",""))</f>
        <v/>
      </c>
      <c r="K1028" s="28" t="str">
        <f aca="false">IF(OR(G1028="",G1028="?"),"",IFERROR(INDEX(Pubs!$E$2:$E$3001,MATCH(G1028,Pubs!$A$2:$A$3001,0)),""))</f>
        <v/>
      </c>
      <c r="L1028" s="29" t="str">
        <f aca="false">IF(A1028="","",IFERROR(1/(1/INDEX(Numéros!$C$2:$C$3001,MATCH(A1028&amp;"|"&amp;B1028,Numéros!$F$2:$F$3001,0))),""))</f>
        <v/>
      </c>
      <c r="M1028" s="27" t="str">
        <f aca="false">IF(OR(G1028="",G1028="?"),"",IFERROR(INDEX(Pubs!$D$2:$D$3001,MATCH(G1028,Pubs!$A$2:$A$3001,0))&amp;"",""))</f>
        <v/>
      </c>
      <c r="N1028" s="27" t="n">
        <f aca="false">N(N1027)+IF(AND(A1028&lt;&gt;"",OR(Recherche!$C$4="",A1028=Recherche!$C$4),OR(Recherche!$C$5="",B1028&amp;""=Recherche!$C$5&amp;""),OR(Recherche!$C$6="",IFERROR(YEAR(L1028),0)=Recherche!$C$6),OR(Recherche!$C$7="",ISNUMBER(SEARCH(Recherche!$C$7,H1028))),OR(Recherche!$C$8="",J1028=Recherche!$C$8),OR(Recherche!$C$9="",I1028=Recherche!$C$9),OR(Recherche!$C$10="",G1028&amp;""=Recherche!$C$10&amp;""),OR(Recherche!$C$11="",E1028=Recherche!$C$11),OR(Recherche!$C$12="",ISNUMBER(SEARCH(Recherche!$C$12,M1028&amp;" "&amp;F1028)))),1,0)</f>
        <v>8</v>
      </c>
    </row>
    <row r="1029" customFormat="false" ht="15" hidden="false" customHeight="false" outlineLevel="0" collapsed="false">
      <c r="A1029" s="19"/>
      <c r="B1029" s="19"/>
      <c r="C1029" s="19"/>
      <c r="D1029" s="19"/>
      <c r="E1029" s="22"/>
      <c r="F1029" s="19"/>
      <c r="G1029" s="26" t="str">
        <f aca="false">IF(D1029="","",IFERROR(VALUE(LEFT(D1029,FIND(" |",D1029&amp;" |")-1)),"?"))</f>
        <v/>
      </c>
      <c r="H1029" s="27" t="str">
        <f aca="false">IF(G1029="","",IF(G1029="?","⚠ pub inconnue",IFERROR(INDEX(Pubs!$B$2:$B$3001,MATCH(G1029,Pubs!$A$2:$A$3001,0))&amp;"","⚠ pub inconnue")))</f>
        <v/>
      </c>
      <c r="I1029" s="27" t="str">
        <f aca="false">IF(OR(G1029="",G1029="?"),"",IFERROR(INDEX(Pubs!$C$2:$C$3001,MATCH(G1029,Pubs!$A$2:$A$3001,0))&amp;"",""))</f>
        <v/>
      </c>
      <c r="J1029" s="27" t="str">
        <f aca="false">IF(OR(G1029="",G1029="?"),"",IFERROR(INDEX(Pubs!$G$2:$G$3001,MATCH(G1029,Pubs!$A$2:$A$3001,0))&amp;"",""))</f>
        <v/>
      </c>
      <c r="K1029" s="28" t="str">
        <f aca="false">IF(OR(G1029="",G1029="?"),"",IFERROR(INDEX(Pubs!$E$2:$E$3001,MATCH(G1029,Pubs!$A$2:$A$3001,0)),""))</f>
        <v/>
      </c>
      <c r="L1029" s="29" t="str">
        <f aca="false">IF(A1029="","",IFERROR(1/(1/INDEX(Numéros!$C$2:$C$3001,MATCH(A1029&amp;"|"&amp;B1029,Numéros!$F$2:$F$3001,0))),""))</f>
        <v/>
      </c>
      <c r="M1029" s="27" t="str">
        <f aca="false">IF(OR(G1029="",G1029="?"),"",IFERROR(INDEX(Pubs!$D$2:$D$3001,MATCH(G1029,Pubs!$A$2:$A$3001,0))&amp;"",""))</f>
        <v/>
      </c>
      <c r="N1029" s="27" t="n">
        <f aca="false">N(N1028)+IF(AND(A1029&lt;&gt;"",OR(Recherche!$C$4="",A1029=Recherche!$C$4),OR(Recherche!$C$5="",B1029&amp;""=Recherche!$C$5&amp;""),OR(Recherche!$C$6="",IFERROR(YEAR(L1029),0)=Recherche!$C$6),OR(Recherche!$C$7="",ISNUMBER(SEARCH(Recherche!$C$7,H1029))),OR(Recherche!$C$8="",J1029=Recherche!$C$8),OR(Recherche!$C$9="",I1029=Recherche!$C$9),OR(Recherche!$C$10="",G1029&amp;""=Recherche!$C$10&amp;""),OR(Recherche!$C$11="",E1029=Recherche!$C$11),OR(Recherche!$C$12="",ISNUMBER(SEARCH(Recherche!$C$12,M1029&amp;" "&amp;F1029)))),1,0)</f>
        <v>8</v>
      </c>
    </row>
    <row r="1030" customFormat="false" ht="15" hidden="false" customHeight="false" outlineLevel="0" collapsed="false">
      <c r="A1030" s="19"/>
      <c r="B1030" s="19"/>
      <c r="C1030" s="19"/>
      <c r="D1030" s="19"/>
      <c r="E1030" s="22"/>
      <c r="F1030" s="19"/>
      <c r="G1030" s="26" t="str">
        <f aca="false">IF(D1030="","",IFERROR(VALUE(LEFT(D1030,FIND(" |",D1030&amp;" |")-1)),"?"))</f>
        <v/>
      </c>
      <c r="H1030" s="27" t="str">
        <f aca="false">IF(G1030="","",IF(G1030="?","⚠ pub inconnue",IFERROR(INDEX(Pubs!$B$2:$B$3001,MATCH(G1030,Pubs!$A$2:$A$3001,0))&amp;"","⚠ pub inconnue")))</f>
        <v/>
      </c>
      <c r="I1030" s="27" t="str">
        <f aca="false">IF(OR(G1030="",G1030="?"),"",IFERROR(INDEX(Pubs!$C$2:$C$3001,MATCH(G1030,Pubs!$A$2:$A$3001,0))&amp;"",""))</f>
        <v/>
      </c>
      <c r="J1030" s="27" t="str">
        <f aca="false">IF(OR(G1030="",G1030="?"),"",IFERROR(INDEX(Pubs!$G$2:$G$3001,MATCH(G1030,Pubs!$A$2:$A$3001,0))&amp;"",""))</f>
        <v/>
      </c>
      <c r="K1030" s="28" t="str">
        <f aca="false">IF(OR(G1030="",G1030="?"),"",IFERROR(INDEX(Pubs!$E$2:$E$3001,MATCH(G1030,Pubs!$A$2:$A$3001,0)),""))</f>
        <v/>
      </c>
      <c r="L1030" s="29" t="str">
        <f aca="false">IF(A1030="","",IFERROR(1/(1/INDEX(Numéros!$C$2:$C$3001,MATCH(A1030&amp;"|"&amp;B1030,Numéros!$F$2:$F$3001,0))),""))</f>
        <v/>
      </c>
      <c r="M1030" s="27" t="str">
        <f aca="false">IF(OR(G1030="",G1030="?"),"",IFERROR(INDEX(Pubs!$D$2:$D$3001,MATCH(G1030,Pubs!$A$2:$A$3001,0))&amp;"",""))</f>
        <v/>
      </c>
      <c r="N1030" s="27" t="n">
        <f aca="false">N(N1029)+IF(AND(A1030&lt;&gt;"",OR(Recherche!$C$4="",A1030=Recherche!$C$4),OR(Recherche!$C$5="",B1030&amp;""=Recherche!$C$5&amp;""),OR(Recherche!$C$6="",IFERROR(YEAR(L1030),0)=Recherche!$C$6),OR(Recherche!$C$7="",ISNUMBER(SEARCH(Recherche!$C$7,H1030))),OR(Recherche!$C$8="",J1030=Recherche!$C$8),OR(Recherche!$C$9="",I1030=Recherche!$C$9),OR(Recherche!$C$10="",G1030&amp;""=Recherche!$C$10&amp;""),OR(Recherche!$C$11="",E1030=Recherche!$C$11),OR(Recherche!$C$12="",ISNUMBER(SEARCH(Recherche!$C$12,M1030&amp;" "&amp;F1030)))),1,0)</f>
        <v>8</v>
      </c>
    </row>
    <row r="1031" customFormat="false" ht="15" hidden="false" customHeight="false" outlineLevel="0" collapsed="false">
      <c r="A1031" s="19"/>
      <c r="B1031" s="19"/>
      <c r="C1031" s="19"/>
      <c r="D1031" s="19"/>
      <c r="E1031" s="22"/>
      <c r="F1031" s="19"/>
      <c r="G1031" s="26" t="str">
        <f aca="false">IF(D1031="","",IFERROR(VALUE(LEFT(D1031,FIND(" |",D1031&amp;" |")-1)),"?"))</f>
        <v/>
      </c>
      <c r="H1031" s="27" t="str">
        <f aca="false">IF(G1031="","",IF(G1031="?","⚠ pub inconnue",IFERROR(INDEX(Pubs!$B$2:$B$3001,MATCH(G1031,Pubs!$A$2:$A$3001,0))&amp;"","⚠ pub inconnue")))</f>
        <v/>
      </c>
      <c r="I1031" s="27" t="str">
        <f aca="false">IF(OR(G1031="",G1031="?"),"",IFERROR(INDEX(Pubs!$C$2:$C$3001,MATCH(G1031,Pubs!$A$2:$A$3001,0))&amp;"",""))</f>
        <v/>
      </c>
      <c r="J1031" s="27" t="str">
        <f aca="false">IF(OR(G1031="",G1031="?"),"",IFERROR(INDEX(Pubs!$G$2:$G$3001,MATCH(G1031,Pubs!$A$2:$A$3001,0))&amp;"",""))</f>
        <v/>
      </c>
      <c r="K1031" s="28" t="str">
        <f aca="false">IF(OR(G1031="",G1031="?"),"",IFERROR(INDEX(Pubs!$E$2:$E$3001,MATCH(G1031,Pubs!$A$2:$A$3001,0)),""))</f>
        <v/>
      </c>
      <c r="L1031" s="29" t="str">
        <f aca="false">IF(A1031="","",IFERROR(1/(1/INDEX(Numéros!$C$2:$C$3001,MATCH(A1031&amp;"|"&amp;B1031,Numéros!$F$2:$F$3001,0))),""))</f>
        <v/>
      </c>
      <c r="M1031" s="27" t="str">
        <f aca="false">IF(OR(G1031="",G1031="?"),"",IFERROR(INDEX(Pubs!$D$2:$D$3001,MATCH(G1031,Pubs!$A$2:$A$3001,0))&amp;"",""))</f>
        <v/>
      </c>
      <c r="N1031" s="27" t="n">
        <f aca="false">N(N1030)+IF(AND(A1031&lt;&gt;"",OR(Recherche!$C$4="",A1031=Recherche!$C$4),OR(Recherche!$C$5="",B1031&amp;""=Recherche!$C$5&amp;""),OR(Recherche!$C$6="",IFERROR(YEAR(L1031),0)=Recherche!$C$6),OR(Recherche!$C$7="",ISNUMBER(SEARCH(Recherche!$C$7,H1031))),OR(Recherche!$C$8="",J1031=Recherche!$C$8),OR(Recherche!$C$9="",I1031=Recherche!$C$9),OR(Recherche!$C$10="",G1031&amp;""=Recherche!$C$10&amp;""),OR(Recherche!$C$11="",E1031=Recherche!$C$11),OR(Recherche!$C$12="",ISNUMBER(SEARCH(Recherche!$C$12,M1031&amp;" "&amp;F1031)))),1,0)</f>
        <v>8</v>
      </c>
    </row>
    <row r="1032" customFormat="false" ht="15" hidden="false" customHeight="false" outlineLevel="0" collapsed="false">
      <c r="A1032" s="19"/>
      <c r="B1032" s="19"/>
      <c r="C1032" s="19"/>
      <c r="D1032" s="19"/>
      <c r="E1032" s="22"/>
      <c r="F1032" s="19"/>
      <c r="G1032" s="26" t="str">
        <f aca="false">IF(D1032="","",IFERROR(VALUE(LEFT(D1032,FIND(" |",D1032&amp;" |")-1)),"?"))</f>
        <v/>
      </c>
      <c r="H1032" s="27" t="str">
        <f aca="false">IF(G1032="","",IF(G1032="?","⚠ pub inconnue",IFERROR(INDEX(Pubs!$B$2:$B$3001,MATCH(G1032,Pubs!$A$2:$A$3001,0))&amp;"","⚠ pub inconnue")))</f>
        <v/>
      </c>
      <c r="I1032" s="27" t="str">
        <f aca="false">IF(OR(G1032="",G1032="?"),"",IFERROR(INDEX(Pubs!$C$2:$C$3001,MATCH(G1032,Pubs!$A$2:$A$3001,0))&amp;"",""))</f>
        <v/>
      </c>
      <c r="J1032" s="27" t="str">
        <f aca="false">IF(OR(G1032="",G1032="?"),"",IFERROR(INDEX(Pubs!$G$2:$G$3001,MATCH(G1032,Pubs!$A$2:$A$3001,0))&amp;"",""))</f>
        <v/>
      </c>
      <c r="K1032" s="28" t="str">
        <f aca="false">IF(OR(G1032="",G1032="?"),"",IFERROR(INDEX(Pubs!$E$2:$E$3001,MATCH(G1032,Pubs!$A$2:$A$3001,0)),""))</f>
        <v/>
      </c>
      <c r="L1032" s="29" t="str">
        <f aca="false">IF(A1032="","",IFERROR(1/(1/INDEX(Numéros!$C$2:$C$3001,MATCH(A1032&amp;"|"&amp;B1032,Numéros!$F$2:$F$3001,0))),""))</f>
        <v/>
      </c>
      <c r="M1032" s="27" t="str">
        <f aca="false">IF(OR(G1032="",G1032="?"),"",IFERROR(INDEX(Pubs!$D$2:$D$3001,MATCH(G1032,Pubs!$A$2:$A$3001,0))&amp;"",""))</f>
        <v/>
      </c>
      <c r="N1032" s="27" t="n">
        <f aca="false">N(N1031)+IF(AND(A1032&lt;&gt;"",OR(Recherche!$C$4="",A1032=Recherche!$C$4),OR(Recherche!$C$5="",B1032&amp;""=Recherche!$C$5&amp;""),OR(Recherche!$C$6="",IFERROR(YEAR(L1032),0)=Recherche!$C$6),OR(Recherche!$C$7="",ISNUMBER(SEARCH(Recherche!$C$7,H1032))),OR(Recherche!$C$8="",J1032=Recherche!$C$8),OR(Recherche!$C$9="",I1032=Recherche!$C$9),OR(Recherche!$C$10="",G1032&amp;""=Recherche!$C$10&amp;""),OR(Recherche!$C$11="",E1032=Recherche!$C$11),OR(Recherche!$C$12="",ISNUMBER(SEARCH(Recherche!$C$12,M1032&amp;" "&amp;F1032)))),1,0)</f>
        <v>8</v>
      </c>
    </row>
    <row r="1033" customFormat="false" ht="15" hidden="false" customHeight="false" outlineLevel="0" collapsed="false">
      <c r="A1033" s="19"/>
      <c r="B1033" s="19"/>
      <c r="C1033" s="19"/>
      <c r="D1033" s="19"/>
      <c r="E1033" s="22"/>
      <c r="F1033" s="19"/>
      <c r="G1033" s="26" t="str">
        <f aca="false">IF(D1033="","",IFERROR(VALUE(LEFT(D1033,FIND(" |",D1033&amp;" |")-1)),"?"))</f>
        <v/>
      </c>
      <c r="H1033" s="27" t="str">
        <f aca="false">IF(G1033="","",IF(G1033="?","⚠ pub inconnue",IFERROR(INDEX(Pubs!$B$2:$B$3001,MATCH(G1033,Pubs!$A$2:$A$3001,0))&amp;"","⚠ pub inconnue")))</f>
        <v/>
      </c>
      <c r="I1033" s="27" t="str">
        <f aca="false">IF(OR(G1033="",G1033="?"),"",IFERROR(INDEX(Pubs!$C$2:$C$3001,MATCH(G1033,Pubs!$A$2:$A$3001,0))&amp;"",""))</f>
        <v/>
      </c>
      <c r="J1033" s="27" t="str">
        <f aca="false">IF(OR(G1033="",G1033="?"),"",IFERROR(INDEX(Pubs!$G$2:$G$3001,MATCH(G1033,Pubs!$A$2:$A$3001,0))&amp;"",""))</f>
        <v/>
      </c>
      <c r="K1033" s="28" t="str">
        <f aca="false">IF(OR(G1033="",G1033="?"),"",IFERROR(INDEX(Pubs!$E$2:$E$3001,MATCH(G1033,Pubs!$A$2:$A$3001,0)),""))</f>
        <v/>
      </c>
      <c r="L1033" s="29" t="str">
        <f aca="false">IF(A1033="","",IFERROR(1/(1/INDEX(Numéros!$C$2:$C$3001,MATCH(A1033&amp;"|"&amp;B1033,Numéros!$F$2:$F$3001,0))),""))</f>
        <v/>
      </c>
      <c r="M1033" s="27" t="str">
        <f aca="false">IF(OR(G1033="",G1033="?"),"",IFERROR(INDEX(Pubs!$D$2:$D$3001,MATCH(G1033,Pubs!$A$2:$A$3001,0))&amp;"",""))</f>
        <v/>
      </c>
      <c r="N1033" s="27" t="n">
        <f aca="false">N(N1032)+IF(AND(A1033&lt;&gt;"",OR(Recherche!$C$4="",A1033=Recherche!$C$4),OR(Recherche!$C$5="",B1033&amp;""=Recherche!$C$5&amp;""),OR(Recherche!$C$6="",IFERROR(YEAR(L1033),0)=Recherche!$C$6),OR(Recherche!$C$7="",ISNUMBER(SEARCH(Recherche!$C$7,H1033))),OR(Recherche!$C$8="",J1033=Recherche!$C$8),OR(Recherche!$C$9="",I1033=Recherche!$C$9),OR(Recherche!$C$10="",G1033&amp;""=Recherche!$C$10&amp;""),OR(Recherche!$C$11="",E1033=Recherche!$C$11),OR(Recherche!$C$12="",ISNUMBER(SEARCH(Recherche!$C$12,M1033&amp;" "&amp;F1033)))),1,0)</f>
        <v>8</v>
      </c>
    </row>
    <row r="1034" customFormat="false" ht="15" hidden="false" customHeight="false" outlineLevel="0" collapsed="false">
      <c r="A1034" s="19"/>
      <c r="B1034" s="19"/>
      <c r="C1034" s="19"/>
      <c r="D1034" s="19"/>
      <c r="E1034" s="22"/>
      <c r="F1034" s="19"/>
      <c r="G1034" s="26" t="str">
        <f aca="false">IF(D1034="","",IFERROR(VALUE(LEFT(D1034,FIND(" |",D1034&amp;" |")-1)),"?"))</f>
        <v/>
      </c>
      <c r="H1034" s="27" t="str">
        <f aca="false">IF(G1034="","",IF(G1034="?","⚠ pub inconnue",IFERROR(INDEX(Pubs!$B$2:$B$3001,MATCH(G1034,Pubs!$A$2:$A$3001,0))&amp;"","⚠ pub inconnue")))</f>
        <v/>
      </c>
      <c r="I1034" s="27" t="str">
        <f aca="false">IF(OR(G1034="",G1034="?"),"",IFERROR(INDEX(Pubs!$C$2:$C$3001,MATCH(G1034,Pubs!$A$2:$A$3001,0))&amp;"",""))</f>
        <v/>
      </c>
      <c r="J1034" s="27" t="str">
        <f aca="false">IF(OR(G1034="",G1034="?"),"",IFERROR(INDEX(Pubs!$G$2:$G$3001,MATCH(G1034,Pubs!$A$2:$A$3001,0))&amp;"",""))</f>
        <v/>
      </c>
      <c r="K1034" s="28" t="str">
        <f aca="false">IF(OR(G1034="",G1034="?"),"",IFERROR(INDEX(Pubs!$E$2:$E$3001,MATCH(G1034,Pubs!$A$2:$A$3001,0)),""))</f>
        <v/>
      </c>
      <c r="L1034" s="29" t="str">
        <f aca="false">IF(A1034="","",IFERROR(1/(1/INDEX(Numéros!$C$2:$C$3001,MATCH(A1034&amp;"|"&amp;B1034,Numéros!$F$2:$F$3001,0))),""))</f>
        <v/>
      </c>
      <c r="M1034" s="27" t="str">
        <f aca="false">IF(OR(G1034="",G1034="?"),"",IFERROR(INDEX(Pubs!$D$2:$D$3001,MATCH(G1034,Pubs!$A$2:$A$3001,0))&amp;"",""))</f>
        <v/>
      </c>
      <c r="N1034" s="27" t="n">
        <f aca="false">N(N1033)+IF(AND(A1034&lt;&gt;"",OR(Recherche!$C$4="",A1034=Recherche!$C$4),OR(Recherche!$C$5="",B1034&amp;""=Recherche!$C$5&amp;""),OR(Recherche!$C$6="",IFERROR(YEAR(L1034),0)=Recherche!$C$6),OR(Recherche!$C$7="",ISNUMBER(SEARCH(Recherche!$C$7,H1034))),OR(Recherche!$C$8="",J1034=Recherche!$C$8),OR(Recherche!$C$9="",I1034=Recherche!$C$9),OR(Recherche!$C$10="",G1034&amp;""=Recherche!$C$10&amp;""),OR(Recherche!$C$11="",E1034=Recherche!$C$11),OR(Recherche!$C$12="",ISNUMBER(SEARCH(Recherche!$C$12,M1034&amp;" "&amp;F1034)))),1,0)</f>
        <v>8</v>
      </c>
    </row>
    <row r="1035" customFormat="false" ht="15" hidden="false" customHeight="false" outlineLevel="0" collapsed="false">
      <c r="A1035" s="19"/>
      <c r="B1035" s="19"/>
      <c r="C1035" s="19"/>
      <c r="D1035" s="19"/>
      <c r="E1035" s="22"/>
      <c r="F1035" s="19"/>
      <c r="G1035" s="26" t="str">
        <f aca="false">IF(D1035="","",IFERROR(VALUE(LEFT(D1035,FIND(" |",D1035&amp;" |")-1)),"?"))</f>
        <v/>
      </c>
      <c r="H1035" s="27" t="str">
        <f aca="false">IF(G1035="","",IF(G1035="?","⚠ pub inconnue",IFERROR(INDEX(Pubs!$B$2:$B$3001,MATCH(G1035,Pubs!$A$2:$A$3001,0))&amp;"","⚠ pub inconnue")))</f>
        <v/>
      </c>
      <c r="I1035" s="27" t="str">
        <f aca="false">IF(OR(G1035="",G1035="?"),"",IFERROR(INDEX(Pubs!$C$2:$C$3001,MATCH(G1035,Pubs!$A$2:$A$3001,0))&amp;"",""))</f>
        <v/>
      </c>
      <c r="J1035" s="27" t="str">
        <f aca="false">IF(OR(G1035="",G1035="?"),"",IFERROR(INDEX(Pubs!$G$2:$G$3001,MATCH(G1035,Pubs!$A$2:$A$3001,0))&amp;"",""))</f>
        <v/>
      </c>
      <c r="K1035" s="28" t="str">
        <f aca="false">IF(OR(G1035="",G1035="?"),"",IFERROR(INDEX(Pubs!$E$2:$E$3001,MATCH(G1035,Pubs!$A$2:$A$3001,0)),""))</f>
        <v/>
      </c>
      <c r="L1035" s="29" t="str">
        <f aca="false">IF(A1035="","",IFERROR(1/(1/INDEX(Numéros!$C$2:$C$3001,MATCH(A1035&amp;"|"&amp;B1035,Numéros!$F$2:$F$3001,0))),""))</f>
        <v/>
      </c>
      <c r="M1035" s="27" t="str">
        <f aca="false">IF(OR(G1035="",G1035="?"),"",IFERROR(INDEX(Pubs!$D$2:$D$3001,MATCH(G1035,Pubs!$A$2:$A$3001,0))&amp;"",""))</f>
        <v/>
      </c>
      <c r="N1035" s="27" t="n">
        <f aca="false">N(N1034)+IF(AND(A1035&lt;&gt;"",OR(Recherche!$C$4="",A1035=Recherche!$C$4),OR(Recherche!$C$5="",B1035&amp;""=Recherche!$C$5&amp;""),OR(Recherche!$C$6="",IFERROR(YEAR(L1035),0)=Recherche!$C$6),OR(Recherche!$C$7="",ISNUMBER(SEARCH(Recherche!$C$7,H1035))),OR(Recherche!$C$8="",J1035=Recherche!$C$8),OR(Recherche!$C$9="",I1035=Recherche!$C$9),OR(Recherche!$C$10="",G1035&amp;""=Recherche!$C$10&amp;""),OR(Recherche!$C$11="",E1035=Recherche!$C$11),OR(Recherche!$C$12="",ISNUMBER(SEARCH(Recherche!$C$12,M1035&amp;" "&amp;F1035)))),1,0)</f>
        <v>8</v>
      </c>
    </row>
    <row r="1036" customFormat="false" ht="15" hidden="false" customHeight="false" outlineLevel="0" collapsed="false">
      <c r="A1036" s="19"/>
      <c r="B1036" s="19"/>
      <c r="C1036" s="19"/>
      <c r="D1036" s="19"/>
      <c r="E1036" s="22"/>
      <c r="F1036" s="19"/>
      <c r="G1036" s="26" t="str">
        <f aca="false">IF(D1036="","",IFERROR(VALUE(LEFT(D1036,FIND(" |",D1036&amp;" |")-1)),"?"))</f>
        <v/>
      </c>
      <c r="H1036" s="27" t="str">
        <f aca="false">IF(G1036="","",IF(G1036="?","⚠ pub inconnue",IFERROR(INDEX(Pubs!$B$2:$B$3001,MATCH(G1036,Pubs!$A$2:$A$3001,0))&amp;"","⚠ pub inconnue")))</f>
        <v/>
      </c>
      <c r="I1036" s="27" t="str">
        <f aca="false">IF(OR(G1036="",G1036="?"),"",IFERROR(INDEX(Pubs!$C$2:$C$3001,MATCH(G1036,Pubs!$A$2:$A$3001,0))&amp;"",""))</f>
        <v/>
      </c>
      <c r="J1036" s="27" t="str">
        <f aca="false">IF(OR(G1036="",G1036="?"),"",IFERROR(INDEX(Pubs!$G$2:$G$3001,MATCH(G1036,Pubs!$A$2:$A$3001,0))&amp;"",""))</f>
        <v/>
      </c>
      <c r="K1036" s="28" t="str">
        <f aca="false">IF(OR(G1036="",G1036="?"),"",IFERROR(INDEX(Pubs!$E$2:$E$3001,MATCH(G1036,Pubs!$A$2:$A$3001,0)),""))</f>
        <v/>
      </c>
      <c r="L1036" s="29" t="str">
        <f aca="false">IF(A1036="","",IFERROR(1/(1/INDEX(Numéros!$C$2:$C$3001,MATCH(A1036&amp;"|"&amp;B1036,Numéros!$F$2:$F$3001,0))),""))</f>
        <v/>
      </c>
      <c r="M1036" s="27" t="str">
        <f aca="false">IF(OR(G1036="",G1036="?"),"",IFERROR(INDEX(Pubs!$D$2:$D$3001,MATCH(G1036,Pubs!$A$2:$A$3001,0))&amp;"",""))</f>
        <v/>
      </c>
      <c r="N1036" s="27" t="n">
        <f aca="false">N(N1035)+IF(AND(A1036&lt;&gt;"",OR(Recherche!$C$4="",A1036=Recherche!$C$4),OR(Recherche!$C$5="",B1036&amp;""=Recherche!$C$5&amp;""),OR(Recherche!$C$6="",IFERROR(YEAR(L1036),0)=Recherche!$C$6),OR(Recherche!$C$7="",ISNUMBER(SEARCH(Recherche!$C$7,H1036))),OR(Recherche!$C$8="",J1036=Recherche!$C$8),OR(Recherche!$C$9="",I1036=Recherche!$C$9),OR(Recherche!$C$10="",G1036&amp;""=Recherche!$C$10&amp;""),OR(Recherche!$C$11="",E1036=Recherche!$C$11),OR(Recherche!$C$12="",ISNUMBER(SEARCH(Recherche!$C$12,M1036&amp;" "&amp;F1036)))),1,0)</f>
        <v>8</v>
      </c>
    </row>
    <row r="1037" customFormat="false" ht="15" hidden="false" customHeight="false" outlineLevel="0" collapsed="false">
      <c r="A1037" s="19"/>
      <c r="B1037" s="19"/>
      <c r="C1037" s="19"/>
      <c r="D1037" s="19"/>
      <c r="E1037" s="22"/>
      <c r="F1037" s="19"/>
      <c r="G1037" s="26" t="str">
        <f aca="false">IF(D1037="","",IFERROR(VALUE(LEFT(D1037,FIND(" |",D1037&amp;" |")-1)),"?"))</f>
        <v/>
      </c>
      <c r="H1037" s="27" t="str">
        <f aca="false">IF(G1037="","",IF(G1037="?","⚠ pub inconnue",IFERROR(INDEX(Pubs!$B$2:$B$3001,MATCH(G1037,Pubs!$A$2:$A$3001,0))&amp;"","⚠ pub inconnue")))</f>
        <v/>
      </c>
      <c r="I1037" s="27" t="str">
        <f aca="false">IF(OR(G1037="",G1037="?"),"",IFERROR(INDEX(Pubs!$C$2:$C$3001,MATCH(G1037,Pubs!$A$2:$A$3001,0))&amp;"",""))</f>
        <v/>
      </c>
      <c r="J1037" s="27" t="str">
        <f aca="false">IF(OR(G1037="",G1037="?"),"",IFERROR(INDEX(Pubs!$G$2:$G$3001,MATCH(G1037,Pubs!$A$2:$A$3001,0))&amp;"",""))</f>
        <v/>
      </c>
      <c r="K1037" s="28" t="str">
        <f aca="false">IF(OR(G1037="",G1037="?"),"",IFERROR(INDEX(Pubs!$E$2:$E$3001,MATCH(G1037,Pubs!$A$2:$A$3001,0)),""))</f>
        <v/>
      </c>
      <c r="L1037" s="29" t="str">
        <f aca="false">IF(A1037="","",IFERROR(1/(1/INDEX(Numéros!$C$2:$C$3001,MATCH(A1037&amp;"|"&amp;B1037,Numéros!$F$2:$F$3001,0))),""))</f>
        <v/>
      </c>
      <c r="M1037" s="27" t="str">
        <f aca="false">IF(OR(G1037="",G1037="?"),"",IFERROR(INDEX(Pubs!$D$2:$D$3001,MATCH(G1037,Pubs!$A$2:$A$3001,0))&amp;"",""))</f>
        <v/>
      </c>
      <c r="N1037" s="27" t="n">
        <f aca="false">N(N1036)+IF(AND(A1037&lt;&gt;"",OR(Recherche!$C$4="",A1037=Recherche!$C$4),OR(Recherche!$C$5="",B1037&amp;""=Recherche!$C$5&amp;""),OR(Recherche!$C$6="",IFERROR(YEAR(L1037),0)=Recherche!$C$6),OR(Recherche!$C$7="",ISNUMBER(SEARCH(Recherche!$C$7,H1037))),OR(Recherche!$C$8="",J1037=Recherche!$C$8),OR(Recherche!$C$9="",I1037=Recherche!$C$9),OR(Recherche!$C$10="",G1037&amp;""=Recherche!$C$10&amp;""),OR(Recherche!$C$11="",E1037=Recherche!$C$11),OR(Recherche!$C$12="",ISNUMBER(SEARCH(Recherche!$C$12,M1037&amp;" "&amp;F1037)))),1,0)</f>
        <v>8</v>
      </c>
    </row>
    <row r="1038" customFormat="false" ht="15" hidden="false" customHeight="false" outlineLevel="0" collapsed="false">
      <c r="A1038" s="19"/>
      <c r="B1038" s="19"/>
      <c r="C1038" s="19"/>
      <c r="D1038" s="19"/>
      <c r="E1038" s="22"/>
      <c r="F1038" s="19"/>
      <c r="G1038" s="26" t="str">
        <f aca="false">IF(D1038="","",IFERROR(VALUE(LEFT(D1038,FIND(" |",D1038&amp;" |")-1)),"?"))</f>
        <v/>
      </c>
      <c r="H1038" s="27" t="str">
        <f aca="false">IF(G1038="","",IF(G1038="?","⚠ pub inconnue",IFERROR(INDEX(Pubs!$B$2:$B$3001,MATCH(G1038,Pubs!$A$2:$A$3001,0))&amp;"","⚠ pub inconnue")))</f>
        <v/>
      </c>
      <c r="I1038" s="27" t="str">
        <f aca="false">IF(OR(G1038="",G1038="?"),"",IFERROR(INDEX(Pubs!$C$2:$C$3001,MATCH(G1038,Pubs!$A$2:$A$3001,0))&amp;"",""))</f>
        <v/>
      </c>
      <c r="J1038" s="27" t="str">
        <f aca="false">IF(OR(G1038="",G1038="?"),"",IFERROR(INDEX(Pubs!$G$2:$G$3001,MATCH(G1038,Pubs!$A$2:$A$3001,0))&amp;"",""))</f>
        <v/>
      </c>
      <c r="K1038" s="28" t="str">
        <f aca="false">IF(OR(G1038="",G1038="?"),"",IFERROR(INDEX(Pubs!$E$2:$E$3001,MATCH(G1038,Pubs!$A$2:$A$3001,0)),""))</f>
        <v/>
      </c>
      <c r="L1038" s="29" t="str">
        <f aca="false">IF(A1038="","",IFERROR(1/(1/INDEX(Numéros!$C$2:$C$3001,MATCH(A1038&amp;"|"&amp;B1038,Numéros!$F$2:$F$3001,0))),""))</f>
        <v/>
      </c>
      <c r="M1038" s="27" t="str">
        <f aca="false">IF(OR(G1038="",G1038="?"),"",IFERROR(INDEX(Pubs!$D$2:$D$3001,MATCH(G1038,Pubs!$A$2:$A$3001,0))&amp;"",""))</f>
        <v/>
      </c>
      <c r="N1038" s="27" t="n">
        <f aca="false">N(N1037)+IF(AND(A1038&lt;&gt;"",OR(Recherche!$C$4="",A1038=Recherche!$C$4),OR(Recherche!$C$5="",B1038&amp;""=Recherche!$C$5&amp;""),OR(Recherche!$C$6="",IFERROR(YEAR(L1038),0)=Recherche!$C$6),OR(Recherche!$C$7="",ISNUMBER(SEARCH(Recherche!$C$7,H1038))),OR(Recherche!$C$8="",J1038=Recherche!$C$8),OR(Recherche!$C$9="",I1038=Recherche!$C$9),OR(Recherche!$C$10="",G1038&amp;""=Recherche!$C$10&amp;""),OR(Recherche!$C$11="",E1038=Recherche!$C$11),OR(Recherche!$C$12="",ISNUMBER(SEARCH(Recherche!$C$12,M1038&amp;" "&amp;F1038)))),1,0)</f>
        <v>8</v>
      </c>
    </row>
    <row r="1039" customFormat="false" ht="15" hidden="false" customHeight="false" outlineLevel="0" collapsed="false">
      <c r="A1039" s="19"/>
      <c r="B1039" s="19"/>
      <c r="C1039" s="19"/>
      <c r="D1039" s="19"/>
      <c r="E1039" s="22"/>
      <c r="F1039" s="19"/>
      <c r="G1039" s="26" t="str">
        <f aca="false">IF(D1039="","",IFERROR(VALUE(LEFT(D1039,FIND(" |",D1039&amp;" |")-1)),"?"))</f>
        <v/>
      </c>
      <c r="H1039" s="27" t="str">
        <f aca="false">IF(G1039="","",IF(G1039="?","⚠ pub inconnue",IFERROR(INDEX(Pubs!$B$2:$B$3001,MATCH(G1039,Pubs!$A$2:$A$3001,0))&amp;"","⚠ pub inconnue")))</f>
        <v/>
      </c>
      <c r="I1039" s="27" t="str">
        <f aca="false">IF(OR(G1039="",G1039="?"),"",IFERROR(INDEX(Pubs!$C$2:$C$3001,MATCH(G1039,Pubs!$A$2:$A$3001,0))&amp;"",""))</f>
        <v/>
      </c>
      <c r="J1039" s="27" t="str">
        <f aca="false">IF(OR(G1039="",G1039="?"),"",IFERROR(INDEX(Pubs!$G$2:$G$3001,MATCH(G1039,Pubs!$A$2:$A$3001,0))&amp;"",""))</f>
        <v/>
      </c>
      <c r="K1039" s="28" t="str">
        <f aca="false">IF(OR(G1039="",G1039="?"),"",IFERROR(INDEX(Pubs!$E$2:$E$3001,MATCH(G1039,Pubs!$A$2:$A$3001,0)),""))</f>
        <v/>
      </c>
      <c r="L1039" s="29" t="str">
        <f aca="false">IF(A1039="","",IFERROR(1/(1/INDEX(Numéros!$C$2:$C$3001,MATCH(A1039&amp;"|"&amp;B1039,Numéros!$F$2:$F$3001,0))),""))</f>
        <v/>
      </c>
      <c r="M1039" s="27" t="str">
        <f aca="false">IF(OR(G1039="",G1039="?"),"",IFERROR(INDEX(Pubs!$D$2:$D$3001,MATCH(G1039,Pubs!$A$2:$A$3001,0))&amp;"",""))</f>
        <v/>
      </c>
      <c r="N1039" s="27" t="n">
        <f aca="false">N(N1038)+IF(AND(A1039&lt;&gt;"",OR(Recherche!$C$4="",A1039=Recherche!$C$4),OR(Recherche!$C$5="",B1039&amp;""=Recherche!$C$5&amp;""),OR(Recherche!$C$6="",IFERROR(YEAR(L1039),0)=Recherche!$C$6),OR(Recherche!$C$7="",ISNUMBER(SEARCH(Recherche!$C$7,H1039))),OR(Recherche!$C$8="",J1039=Recherche!$C$8),OR(Recherche!$C$9="",I1039=Recherche!$C$9),OR(Recherche!$C$10="",G1039&amp;""=Recherche!$C$10&amp;""),OR(Recherche!$C$11="",E1039=Recherche!$C$11),OR(Recherche!$C$12="",ISNUMBER(SEARCH(Recherche!$C$12,M1039&amp;" "&amp;F1039)))),1,0)</f>
        <v>8</v>
      </c>
    </row>
    <row r="1040" customFormat="false" ht="15" hidden="false" customHeight="false" outlineLevel="0" collapsed="false">
      <c r="A1040" s="19"/>
      <c r="B1040" s="19"/>
      <c r="C1040" s="19"/>
      <c r="D1040" s="19"/>
      <c r="E1040" s="22"/>
      <c r="F1040" s="19"/>
      <c r="G1040" s="26" t="str">
        <f aca="false">IF(D1040="","",IFERROR(VALUE(LEFT(D1040,FIND(" |",D1040&amp;" |")-1)),"?"))</f>
        <v/>
      </c>
      <c r="H1040" s="27" t="str">
        <f aca="false">IF(G1040="","",IF(G1040="?","⚠ pub inconnue",IFERROR(INDEX(Pubs!$B$2:$B$3001,MATCH(G1040,Pubs!$A$2:$A$3001,0))&amp;"","⚠ pub inconnue")))</f>
        <v/>
      </c>
      <c r="I1040" s="27" t="str">
        <f aca="false">IF(OR(G1040="",G1040="?"),"",IFERROR(INDEX(Pubs!$C$2:$C$3001,MATCH(G1040,Pubs!$A$2:$A$3001,0))&amp;"",""))</f>
        <v/>
      </c>
      <c r="J1040" s="27" t="str">
        <f aca="false">IF(OR(G1040="",G1040="?"),"",IFERROR(INDEX(Pubs!$G$2:$G$3001,MATCH(G1040,Pubs!$A$2:$A$3001,0))&amp;"",""))</f>
        <v/>
      </c>
      <c r="K1040" s="28" t="str">
        <f aca="false">IF(OR(G1040="",G1040="?"),"",IFERROR(INDEX(Pubs!$E$2:$E$3001,MATCH(G1040,Pubs!$A$2:$A$3001,0)),""))</f>
        <v/>
      </c>
      <c r="L1040" s="29" t="str">
        <f aca="false">IF(A1040="","",IFERROR(1/(1/INDEX(Numéros!$C$2:$C$3001,MATCH(A1040&amp;"|"&amp;B1040,Numéros!$F$2:$F$3001,0))),""))</f>
        <v/>
      </c>
      <c r="M1040" s="27" t="str">
        <f aca="false">IF(OR(G1040="",G1040="?"),"",IFERROR(INDEX(Pubs!$D$2:$D$3001,MATCH(G1040,Pubs!$A$2:$A$3001,0))&amp;"",""))</f>
        <v/>
      </c>
      <c r="N1040" s="27" t="n">
        <f aca="false">N(N1039)+IF(AND(A1040&lt;&gt;"",OR(Recherche!$C$4="",A1040=Recherche!$C$4),OR(Recherche!$C$5="",B1040&amp;""=Recherche!$C$5&amp;""),OR(Recherche!$C$6="",IFERROR(YEAR(L1040),0)=Recherche!$C$6),OR(Recherche!$C$7="",ISNUMBER(SEARCH(Recherche!$C$7,H1040))),OR(Recherche!$C$8="",J1040=Recherche!$C$8),OR(Recherche!$C$9="",I1040=Recherche!$C$9),OR(Recherche!$C$10="",G1040&amp;""=Recherche!$C$10&amp;""),OR(Recherche!$C$11="",E1040=Recherche!$C$11),OR(Recherche!$C$12="",ISNUMBER(SEARCH(Recherche!$C$12,M1040&amp;" "&amp;F1040)))),1,0)</f>
        <v>8</v>
      </c>
    </row>
    <row r="1041" customFormat="false" ht="15" hidden="false" customHeight="false" outlineLevel="0" collapsed="false">
      <c r="A1041" s="19"/>
      <c r="B1041" s="19"/>
      <c r="C1041" s="19"/>
      <c r="D1041" s="19"/>
      <c r="E1041" s="22"/>
      <c r="F1041" s="19"/>
      <c r="G1041" s="26" t="str">
        <f aca="false">IF(D1041="","",IFERROR(VALUE(LEFT(D1041,FIND(" |",D1041&amp;" |")-1)),"?"))</f>
        <v/>
      </c>
      <c r="H1041" s="27" t="str">
        <f aca="false">IF(G1041="","",IF(G1041="?","⚠ pub inconnue",IFERROR(INDEX(Pubs!$B$2:$B$3001,MATCH(G1041,Pubs!$A$2:$A$3001,0))&amp;"","⚠ pub inconnue")))</f>
        <v/>
      </c>
      <c r="I1041" s="27" t="str">
        <f aca="false">IF(OR(G1041="",G1041="?"),"",IFERROR(INDEX(Pubs!$C$2:$C$3001,MATCH(G1041,Pubs!$A$2:$A$3001,0))&amp;"",""))</f>
        <v/>
      </c>
      <c r="J1041" s="27" t="str">
        <f aca="false">IF(OR(G1041="",G1041="?"),"",IFERROR(INDEX(Pubs!$G$2:$G$3001,MATCH(G1041,Pubs!$A$2:$A$3001,0))&amp;"",""))</f>
        <v/>
      </c>
      <c r="K1041" s="28" t="str">
        <f aca="false">IF(OR(G1041="",G1041="?"),"",IFERROR(INDEX(Pubs!$E$2:$E$3001,MATCH(G1041,Pubs!$A$2:$A$3001,0)),""))</f>
        <v/>
      </c>
      <c r="L1041" s="29" t="str">
        <f aca="false">IF(A1041="","",IFERROR(1/(1/INDEX(Numéros!$C$2:$C$3001,MATCH(A1041&amp;"|"&amp;B1041,Numéros!$F$2:$F$3001,0))),""))</f>
        <v/>
      </c>
      <c r="M1041" s="27" t="str">
        <f aca="false">IF(OR(G1041="",G1041="?"),"",IFERROR(INDEX(Pubs!$D$2:$D$3001,MATCH(G1041,Pubs!$A$2:$A$3001,0))&amp;"",""))</f>
        <v/>
      </c>
      <c r="N1041" s="27" t="n">
        <f aca="false">N(N1040)+IF(AND(A1041&lt;&gt;"",OR(Recherche!$C$4="",A1041=Recherche!$C$4),OR(Recherche!$C$5="",B1041&amp;""=Recherche!$C$5&amp;""),OR(Recherche!$C$6="",IFERROR(YEAR(L1041),0)=Recherche!$C$6),OR(Recherche!$C$7="",ISNUMBER(SEARCH(Recherche!$C$7,H1041))),OR(Recherche!$C$8="",J1041=Recherche!$C$8),OR(Recherche!$C$9="",I1041=Recherche!$C$9),OR(Recherche!$C$10="",G1041&amp;""=Recherche!$C$10&amp;""),OR(Recherche!$C$11="",E1041=Recherche!$C$11),OR(Recherche!$C$12="",ISNUMBER(SEARCH(Recherche!$C$12,M1041&amp;" "&amp;F1041)))),1,0)</f>
        <v>8</v>
      </c>
    </row>
    <row r="1042" customFormat="false" ht="15" hidden="false" customHeight="false" outlineLevel="0" collapsed="false">
      <c r="A1042" s="19"/>
      <c r="B1042" s="19"/>
      <c r="C1042" s="19"/>
      <c r="D1042" s="19"/>
      <c r="E1042" s="22"/>
      <c r="F1042" s="19"/>
      <c r="G1042" s="26" t="str">
        <f aca="false">IF(D1042="","",IFERROR(VALUE(LEFT(D1042,FIND(" |",D1042&amp;" |")-1)),"?"))</f>
        <v/>
      </c>
      <c r="H1042" s="27" t="str">
        <f aca="false">IF(G1042="","",IF(G1042="?","⚠ pub inconnue",IFERROR(INDEX(Pubs!$B$2:$B$3001,MATCH(G1042,Pubs!$A$2:$A$3001,0))&amp;"","⚠ pub inconnue")))</f>
        <v/>
      </c>
      <c r="I1042" s="27" t="str">
        <f aca="false">IF(OR(G1042="",G1042="?"),"",IFERROR(INDEX(Pubs!$C$2:$C$3001,MATCH(G1042,Pubs!$A$2:$A$3001,0))&amp;"",""))</f>
        <v/>
      </c>
      <c r="J1042" s="27" t="str">
        <f aca="false">IF(OR(G1042="",G1042="?"),"",IFERROR(INDEX(Pubs!$G$2:$G$3001,MATCH(G1042,Pubs!$A$2:$A$3001,0))&amp;"",""))</f>
        <v/>
      </c>
      <c r="K1042" s="28" t="str">
        <f aca="false">IF(OR(G1042="",G1042="?"),"",IFERROR(INDEX(Pubs!$E$2:$E$3001,MATCH(G1042,Pubs!$A$2:$A$3001,0)),""))</f>
        <v/>
      </c>
      <c r="L1042" s="29" t="str">
        <f aca="false">IF(A1042="","",IFERROR(1/(1/INDEX(Numéros!$C$2:$C$3001,MATCH(A1042&amp;"|"&amp;B1042,Numéros!$F$2:$F$3001,0))),""))</f>
        <v/>
      </c>
      <c r="M1042" s="27" t="str">
        <f aca="false">IF(OR(G1042="",G1042="?"),"",IFERROR(INDEX(Pubs!$D$2:$D$3001,MATCH(G1042,Pubs!$A$2:$A$3001,0))&amp;"",""))</f>
        <v/>
      </c>
      <c r="N1042" s="27" t="n">
        <f aca="false">N(N1041)+IF(AND(A1042&lt;&gt;"",OR(Recherche!$C$4="",A1042=Recherche!$C$4),OR(Recherche!$C$5="",B1042&amp;""=Recherche!$C$5&amp;""),OR(Recherche!$C$6="",IFERROR(YEAR(L1042),0)=Recherche!$C$6),OR(Recherche!$C$7="",ISNUMBER(SEARCH(Recherche!$C$7,H1042))),OR(Recherche!$C$8="",J1042=Recherche!$C$8),OR(Recherche!$C$9="",I1042=Recherche!$C$9),OR(Recherche!$C$10="",G1042&amp;""=Recherche!$C$10&amp;""),OR(Recherche!$C$11="",E1042=Recherche!$C$11),OR(Recherche!$C$12="",ISNUMBER(SEARCH(Recherche!$C$12,M1042&amp;" "&amp;F1042)))),1,0)</f>
        <v>8</v>
      </c>
    </row>
    <row r="1043" customFormat="false" ht="15" hidden="false" customHeight="false" outlineLevel="0" collapsed="false">
      <c r="A1043" s="19"/>
      <c r="B1043" s="19"/>
      <c r="C1043" s="19"/>
      <c r="D1043" s="19"/>
      <c r="E1043" s="22"/>
      <c r="F1043" s="19"/>
      <c r="G1043" s="26" t="str">
        <f aca="false">IF(D1043="","",IFERROR(VALUE(LEFT(D1043,FIND(" |",D1043&amp;" |")-1)),"?"))</f>
        <v/>
      </c>
      <c r="H1043" s="27" t="str">
        <f aca="false">IF(G1043="","",IF(G1043="?","⚠ pub inconnue",IFERROR(INDEX(Pubs!$B$2:$B$3001,MATCH(G1043,Pubs!$A$2:$A$3001,0))&amp;"","⚠ pub inconnue")))</f>
        <v/>
      </c>
      <c r="I1043" s="27" t="str">
        <f aca="false">IF(OR(G1043="",G1043="?"),"",IFERROR(INDEX(Pubs!$C$2:$C$3001,MATCH(G1043,Pubs!$A$2:$A$3001,0))&amp;"",""))</f>
        <v/>
      </c>
      <c r="J1043" s="27" t="str">
        <f aca="false">IF(OR(G1043="",G1043="?"),"",IFERROR(INDEX(Pubs!$G$2:$G$3001,MATCH(G1043,Pubs!$A$2:$A$3001,0))&amp;"",""))</f>
        <v/>
      </c>
      <c r="K1043" s="28" t="str">
        <f aca="false">IF(OR(G1043="",G1043="?"),"",IFERROR(INDEX(Pubs!$E$2:$E$3001,MATCH(G1043,Pubs!$A$2:$A$3001,0)),""))</f>
        <v/>
      </c>
      <c r="L1043" s="29" t="str">
        <f aca="false">IF(A1043="","",IFERROR(1/(1/INDEX(Numéros!$C$2:$C$3001,MATCH(A1043&amp;"|"&amp;B1043,Numéros!$F$2:$F$3001,0))),""))</f>
        <v/>
      </c>
      <c r="M1043" s="27" t="str">
        <f aca="false">IF(OR(G1043="",G1043="?"),"",IFERROR(INDEX(Pubs!$D$2:$D$3001,MATCH(G1043,Pubs!$A$2:$A$3001,0))&amp;"",""))</f>
        <v/>
      </c>
      <c r="N1043" s="27" t="n">
        <f aca="false">N(N1042)+IF(AND(A1043&lt;&gt;"",OR(Recherche!$C$4="",A1043=Recherche!$C$4),OR(Recherche!$C$5="",B1043&amp;""=Recherche!$C$5&amp;""),OR(Recherche!$C$6="",IFERROR(YEAR(L1043),0)=Recherche!$C$6),OR(Recherche!$C$7="",ISNUMBER(SEARCH(Recherche!$C$7,H1043))),OR(Recherche!$C$8="",J1043=Recherche!$C$8),OR(Recherche!$C$9="",I1043=Recherche!$C$9),OR(Recherche!$C$10="",G1043&amp;""=Recherche!$C$10&amp;""),OR(Recherche!$C$11="",E1043=Recherche!$C$11),OR(Recherche!$C$12="",ISNUMBER(SEARCH(Recherche!$C$12,M1043&amp;" "&amp;F1043)))),1,0)</f>
        <v>8</v>
      </c>
    </row>
    <row r="1044" customFormat="false" ht="15" hidden="false" customHeight="false" outlineLevel="0" collapsed="false">
      <c r="A1044" s="19"/>
      <c r="B1044" s="19"/>
      <c r="C1044" s="19"/>
      <c r="D1044" s="19"/>
      <c r="E1044" s="22"/>
      <c r="F1044" s="19"/>
      <c r="G1044" s="26" t="str">
        <f aca="false">IF(D1044="","",IFERROR(VALUE(LEFT(D1044,FIND(" |",D1044&amp;" |")-1)),"?"))</f>
        <v/>
      </c>
      <c r="H1044" s="27" t="str">
        <f aca="false">IF(G1044="","",IF(G1044="?","⚠ pub inconnue",IFERROR(INDEX(Pubs!$B$2:$B$3001,MATCH(G1044,Pubs!$A$2:$A$3001,0))&amp;"","⚠ pub inconnue")))</f>
        <v/>
      </c>
      <c r="I1044" s="27" t="str">
        <f aca="false">IF(OR(G1044="",G1044="?"),"",IFERROR(INDEX(Pubs!$C$2:$C$3001,MATCH(G1044,Pubs!$A$2:$A$3001,0))&amp;"",""))</f>
        <v/>
      </c>
      <c r="J1044" s="27" t="str">
        <f aca="false">IF(OR(G1044="",G1044="?"),"",IFERROR(INDEX(Pubs!$G$2:$G$3001,MATCH(G1044,Pubs!$A$2:$A$3001,0))&amp;"",""))</f>
        <v/>
      </c>
      <c r="K1044" s="28" t="str">
        <f aca="false">IF(OR(G1044="",G1044="?"),"",IFERROR(INDEX(Pubs!$E$2:$E$3001,MATCH(G1044,Pubs!$A$2:$A$3001,0)),""))</f>
        <v/>
      </c>
      <c r="L1044" s="29" t="str">
        <f aca="false">IF(A1044="","",IFERROR(1/(1/INDEX(Numéros!$C$2:$C$3001,MATCH(A1044&amp;"|"&amp;B1044,Numéros!$F$2:$F$3001,0))),""))</f>
        <v/>
      </c>
      <c r="M1044" s="27" t="str">
        <f aca="false">IF(OR(G1044="",G1044="?"),"",IFERROR(INDEX(Pubs!$D$2:$D$3001,MATCH(G1044,Pubs!$A$2:$A$3001,0))&amp;"",""))</f>
        <v/>
      </c>
      <c r="N1044" s="27" t="n">
        <f aca="false">N(N1043)+IF(AND(A1044&lt;&gt;"",OR(Recherche!$C$4="",A1044=Recherche!$C$4),OR(Recherche!$C$5="",B1044&amp;""=Recherche!$C$5&amp;""),OR(Recherche!$C$6="",IFERROR(YEAR(L1044),0)=Recherche!$C$6),OR(Recherche!$C$7="",ISNUMBER(SEARCH(Recherche!$C$7,H1044))),OR(Recherche!$C$8="",J1044=Recherche!$C$8),OR(Recherche!$C$9="",I1044=Recherche!$C$9),OR(Recherche!$C$10="",G1044&amp;""=Recherche!$C$10&amp;""),OR(Recherche!$C$11="",E1044=Recherche!$C$11),OR(Recherche!$C$12="",ISNUMBER(SEARCH(Recherche!$C$12,M1044&amp;" "&amp;F1044)))),1,0)</f>
        <v>8</v>
      </c>
    </row>
    <row r="1045" customFormat="false" ht="15" hidden="false" customHeight="false" outlineLevel="0" collapsed="false">
      <c r="A1045" s="19"/>
      <c r="B1045" s="19"/>
      <c r="C1045" s="19"/>
      <c r="D1045" s="19"/>
      <c r="E1045" s="22"/>
      <c r="F1045" s="19"/>
      <c r="G1045" s="26" t="str">
        <f aca="false">IF(D1045="","",IFERROR(VALUE(LEFT(D1045,FIND(" |",D1045&amp;" |")-1)),"?"))</f>
        <v/>
      </c>
      <c r="H1045" s="27" t="str">
        <f aca="false">IF(G1045="","",IF(G1045="?","⚠ pub inconnue",IFERROR(INDEX(Pubs!$B$2:$B$3001,MATCH(G1045,Pubs!$A$2:$A$3001,0))&amp;"","⚠ pub inconnue")))</f>
        <v/>
      </c>
      <c r="I1045" s="27" t="str">
        <f aca="false">IF(OR(G1045="",G1045="?"),"",IFERROR(INDEX(Pubs!$C$2:$C$3001,MATCH(G1045,Pubs!$A$2:$A$3001,0))&amp;"",""))</f>
        <v/>
      </c>
      <c r="J1045" s="27" t="str">
        <f aca="false">IF(OR(G1045="",G1045="?"),"",IFERROR(INDEX(Pubs!$G$2:$G$3001,MATCH(G1045,Pubs!$A$2:$A$3001,0))&amp;"",""))</f>
        <v/>
      </c>
      <c r="K1045" s="28" t="str">
        <f aca="false">IF(OR(G1045="",G1045="?"),"",IFERROR(INDEX(Pubs!$E$2:$E$3001,MATCH(G1045,Pubs!$A$2:$A$3001,0)),""))</f>
        <v/>
      </c>
      <c r="L1045" s="29" t="str">
        <f aca="false">IF(A1045="","",IFERROR(1/(1/INDEX(Numéros!$C$2:$C$3001,MATCH(A1045&amp;"|"&amp;B1045,Numéros!$F$2:$F$3001,0))),""))</f>
        <v/>
      </c>
      <c r="M1045" s="27" t="str">
        <f aca="false">IF(OR(G1045="",G1045="?"),"",IFERROR(INDEX(Pubs!$D$2:$D$3001,MATCH(G1045,Pubs!$A$2:$A$3001,0))&amp;"",""))</f>
        <v/>
      </c>
      <c r="N1045" s="27" t="n">
        <f aca="false">N(N1044)+IF(AND(A1045&lt;&gt;"",OR(Recherche!$C$4="",A1045=Recherche!$C$4),OR(Recherche!$C$5="",B1045&amp;""=Recherche!$C$5&amp;""),OR(Recherche!$C$6="",IFERROR(YEAR(L1045),0)=Recherche!$C$6),OR(Recherche!$C$7="",ISNUMBER(SEARCH(Recherche!$C$7,H1045))),OR(Recherche!$C$8="",J1045=Recherche!$C$8),OR(Recherche!$C$9="",I1045=Recherche!$C$9),OR(Recherche!$C$10="",G1045&amp;""=Recherche!$C$10&amp;""),OR(Recherche!$C$11="",E1045=Recherche!$C$11),OR(Recherche!$C$12="",ISNUMBER(SEARCH(Recherche!$C$12,M1045&amp;" "&amp;F1045)))),1,0)</f>
        <v>8</v>
      </c>
    </row>
    <row r="1046" customFormat="false" ht="15" hidden="false" customHeight="false" outlineLevel="0" collapsed="false">
      <c r="A1046" s="19"/>
      <c r="B1046" s="19"/>
      <c r="C1046" s="19"/>
      <c r="D1046" s="19"/>
      <c r="E1046" s="22"/>
      <c r="F1046" s="19"/>
      <c r="G1046" s="26" t="str">
        <f aca="false">IF(D1046="","",IFERROR(VALUE(LEFT(D1046,FIND(" |",D1046&amp;" |")-1)),"?"))</f>
        <v/>
      </c>
      <c r="H1046" s="27" t="str">
        <f aca="false">IF(G1046="","",IF(G1046="?","⚠ pub inconnue",IFERROR(INDEX(Pubs!$B$2:$B$3001,MATCH(G1046,Pubs!$A$2:$A$3001,0))&amp;"","⚠ pub inconnue")))</f>
        <v/>
      </c>
      <c r="I1046" s="27" t="str">
        <f aca="false">IF(OR(G1046="",G1046="?"),"",IFERROR(INDEX(Pubs!$C$2:$C$3001,MATCH(G1046,Pubs!$A$2:$A$3001,0))&amp;"",""))</f>
        <v/>
      </c>
      <c r="J1046" s="27" t="str">
        <f aca="false">IF(OR(G1046="",G1046="?"),"",IFERROR(INDEX(Pubs!$G$2:$G$3001,MATCH(G1046,Pubs!$A$2:$A$3001,0))&amp;"",""))</f>
        <v/>
      </c>
      <c r="K1046" s="28" t="str">
        <f aca="false">IF(OR(G1046="",G1046="?"),"",IFERROR(INDEX(Pubs!$E$2:$E$3001,MATCH(G1046,Pubs!$A$2:$A$3001,0)),""))</f>
        <v/>
      </c>
      <c r="L1046" s="29" t="str">
        <f aca="false">IF(A1046="","",IFERROR(1/(1/INDEX(Numéros!$C$2:$C$3001,MATCH(A1046&amp;"|"&amp;B1046,Numéros!$F$2:$F$3001,0))),""))</f>
        <v/>
      </c>
      <c r="M1046" s="27" t="str">
        <f aca="false">IF(OR(G1046="",G1046="?"),"",IFERROR(INDEX(Pubs!$D$2:$D$3001,MATCH(G1046,Pubs!$A$2:$A$3001,0))&amp;"",""))</f>
        <v/>
      </c>
      <c r="N1046" s="27" t="n">
        <f aca="false">N(N1045)+IF(AND(A1046&lt;&gt;"",OR(Recherche!$C$4="",A1046=Recherche!$C$4),OR(Recherche!$C$5="",B1046&amp;""=Recherche!$C$5&amp;""),OR(Recherche!$C$6="",IFERROR(YEAR(L1046),0)=Recherche!$C$6),OR(Recherche!$C$7="",ISNUMBER(SEARCH(Recherche!$C$7,H1046))),OR(Recherche!$C$8="",J1046=Recherche!$C$8),OR(Recherche!$C$9="",I1046=Recherche!$C$9),OR(Recherche!$C$10="",G1046&amp;""=Recherche!$C$10&amp;""),OR(Recherche!$C$11="",E1046=Recherche!$C$11),OR(Recherche!$C$12="",ISNUMBER(SEARCH(Recherche!$C$12,M1046&amp;" "&amp;F1046)))),1,0)</f>
        <v>8</v>
      </c>
    </row>
    <row r="1047" customFormat="false" ht="15" hidden="false" customHeight="false" outlineLevel="0" collapsed="false">
      <c r="A1047" s="19"/>
      <c r="B1047" s="19"/>
      <c r="C1047" s="19"/>
      <c r="D1047" s="19"/>
      <c r="E1047" s="22"/>
      <c r="F1047" s="19"/>
      <c r="G1047" s="26" t="str">
        <f aca="false">IF(D1047="","",IFERROR(VALUE(LEFT(D1047,FIND(" |",D1047&amp;" |")-1)),"?"))</f>
        <v/>
      </c>
      <c r="H1047" s="27" t="str">
        <f aca="false">IF(G1047="","",IF(G1047="?","⚠ pub inconnue",IFERROR(INDEX(Pubs!$B$2:$B$3001,MATCH(G1047,Pubs!$A$2:$A$3001,0))&amp;"","⚠ pub inconnue")))</f>
        <v/>
      </c>
      <c r="I1047" s="27" t="str">
        <f aca="false">IF(OR(G1047="",G1047="?"),"",IFERROR(INDEX(Pubs!$C$2:$C$3001,MATCH(G1047,Pubs!$A$2:$A$3001,0))&amp;"",""))</f>
        <v/>
      </c>
      <c r="J1047" s="27" t="str">
        <f aca="false">IF(OR(G1047="",G1047="?"),"",IFERROR(INDEX(Pubs!$G$2:$G$3001,MATCH(G1047,Pubs!$A$2:$A$3001,0))&amp;"",""))</f>
        <v/>
      </c>
      <c r="K1047" s="28" t="str">
        <f aca="false">IF(OR(G1047="",G1047="?"),"",IFERROR(INDEX(Pubs!$E$2:$E$3001,MATCH(G1047,Pubs!$A$2:$A$3001,0)),""))</f>
        <v/>
      </c>
      <c r="L1047" s="29" t="str">
        <f aca="false">IF(A1047="","",IFERROR(1/(1/INDEX(Numéros!$C$2:$C$3001,MATCH(A1047&amp;"|"&amp;B1047,Numéros!$F$2:$F$3001,0))),""))</f>
        <v/>
      </c>
      <c r="M1047" s="27" t="str">
        <f aca="false">IF(OR(G1047="",G1047="?"),"",IFERROR(INDEX(Pubs!$D$2:$D$3001,MATCH(G1047,Pubs!$A$2:$A$3001,0))&amp;"",""))</f>
        <v/>
      </c>
      <c r="N1047" s="27" t="n">
        <f aca="false">N(N1046)+IF(AND(A1047&lt;&gt;"",OR(Recherche!$C$4="",A1047=Recherche!$C$4),OR(Recherche!$C$5="",B1047&amp;""=Recherche!$C$5&amp;""),OR(Recherche!$C$6="",IFERROR(YEAR(L1047),0)=Recherche!$C$6),OR(Recherche!$C$7="",ISNUMBER(SEARCH(Recherche!$C$7,H1047))),OR(Recherche!$C$8="",J1047=Recherche!$C$8),OR(Recherche!$C$9="",I1047=Recherche!$C$9),OR(Recherche!$C$10="",G1047&amp;""=Recherche!$C$10&amp;""),OR(Recherche!$C$11="",E1047=Recherche!$C$11),OR(Recherche!$C$12="",ISNUMBER(SEARCH(Recherche!$C$12,M1047&amp;" "&amp;F1047)))),1,0)</f>
        <v>8</v>
      </c>
    </row>
    <row r="1048" customFormat="false" ht="15" hidden="false" customHeight="false" outlineLevel="0" collapsed="false">
      <c r="A1048" s="19"/>
      <c r="B1048" s="19"/>
      <c r="C1048" s="19"/>
      <c r="D1048" s="19"/>
      <c r="E1048" s="22"/>
      <c r="F1048" s="19"/>
      <c r="G1048" s="26" t="str">
        <f aca="false">IF(D1048="","",IFERROR(VALUE(LEFT(D1048,FIND(" |",D1048&amp;" |")-1)),"?"))</f>
        <v/>
      </c>
      <c r="H1048" s="27" t="str">
        <f aca="false">IF(G1048="","",IF(G1048="?","⚠ pub inconnue",IFERROR(INDEX(Pubs!$B$2:$B$3001,MATCH(G1048,Pubs!$A$2:$A$3001,0))&amp;"","⚠ pub inconnue")))</f>
        <v/>
      </c>
      <c r="I1048" s="27" t="str">
        <f aca="false">IF(OR(G1048="",G1048="?"),"",IFERROR(INDEX(Pubs!$C$2:$C$3001,MATCH(G1048,Pubs!$A$2:$A$3001,0))&amp;"",""))</f>
        <v/>
      </c>
      <c r="J1048" s="27" t="str">
        <f aca="false">IF(OR(G1048="",G1048="?"),"",IFERROR(INDEX(Pubs!$G$2:$G$3001,MATCH(G1048,Pubs!$A$2:$A$3001,0))&amp;"",""))</f>
        <v/>
      </c>
      <c r="K1048" s="28" t="str">
        <f aca="false">IF(OR(G1048="",G1048="?"),"",IFERROR(INDEX(Pubs!$E$2:$E$3001,MATCH(G1048,Pubs!$A$2:$A$3001,0)),""))</f>
        <v/>
      </c>
      <c r="L1048" s="29" t="str">
        <f aca="false">IF(A1048="","",IFERROR(1/(1/INDEX(Numéros!$C$2:$C$3001,MATCH(A1048&amp;"|"&amp;B1048,Numéros!$F$2:$F$3001,0))),""))</f>
        <v/>
      </c>
      <c r="M1048" s="27" t="str">
        <f aca="false">IF(OR(G1048="",G1048="?"),"",IFERROR(INDEX(Pubs!$D$2:$D$3001,MATCH(G1048,Pubs!$A$2:$A$3001,0))&amp;"",""))</f>
        <v/>
      </c>
      <c r="N1048" s="27" t="n">
        <f aca="false">N(N1047)+IF(AND(A1048&lt;&gt;"",OR(Recherche!$C$4="",A1048=Recherche!$C$4),OR(Recherche!$C$5="",B1048&amp;""=Recherche!$C$5&amp;""),OR(Recherche!$C$6="",IFERROR(YEAR(L1048),0)=Recherche!$C$6),OR(Recherche!$C$7="",ISNUMBER(SEARCH(Recherche!$C$7,H1048))),OR(Recherche!$C$8="",J1048=Recherche!$C$8),OR(Recherche!$C$9="",I1048=Recherche!$C$9),OR(Recherche!$C$10="",G1048&amp;""=Recherche!$C$10&amp;""),OR(Recherche!$C$11="",E1048=Recherche!$C$11),OR(Recherche!$C$12="",ISNUMBER(SEARCH(Recherche!$C$12,M1048&amp;" "&amp;F1048)))),1,0)</f>
        <v>8</v>
      </c>
    </row>
    <row r="1049" customFormat="false" ht="15" hidden="false" customHeight="false" outlineLevel="0" collapsed="false">
      <c r="A1049" s="19"/>
      <c r="B1049" s="19"/>
      <c r="C1049" s="19"/>
      <c r="D1049" s="19"/>
      <c r="E1049" s="22"/>
      <c r="F1049" s="19"/>
      <c r="G1049" s="26" t="str">
        <f aca="false">IF(D1049="","",IFERROR(VALUE(LEFT(D1049,FIND(" |",D1049&amp;" |")-1)),"?"))</f>
        <v/>
      </c>
      <c r="H1049" s="27" t="str">
        <f aca="false">IF(G1049="","",IF(G1049="?","⚠ pub inconnue",IFERROR(INDEX(Pubs!$B$2:$B$3001,MATCH(G1049,Pubs!$A$2:$A$3001,0))&amp;"","⚠ pub inconnue")))</f>
        <v/>
      </c>
      <c r="I1049" s="27" t="str">
        <f aca="false">IF(OR(G1049="",G1049="?"),"",IFERROR(INDEX(Pubs!$C$2:$C$3001,MATCH(G1049,Pubs!$A$2:$A$3001,0))&amp;"",""))</f>
        <v/>
      </c>
      <c r="J1049" s="27" t="str">
        <f aca="false">IF(OR(G1049="",G1049="?"),"",IFERROR(INDEX(Pubs!$G$2:$G$3001,MATCH(G1049,Pubs!$A$2:$A$3001,0))&amp;"",""))</f>
        <v/>
      </c>
      <c r="K1049" s="28" t="str">
        <f aca="false">IF(OR(G1049="",G1049="?"),"",IFERROR(INDEX(Pubs!$E$2:$E$3001,MATCH(G1049,Pubs!$A$2:$A$3001,0)),""))</f>
        <v/>
      </c>
      <c r="L1049" s="29" t="str">
        <f aca="false">IF(A1049="","",IFERROR(1/(1/INDEX(Numéros!$C$2:$C$3001,MATCH(A1049&amp;"|"&amp;B1049,Numéros!$F$2:$F$3001,0))),""))</f>
        <v/>
      </c>
      <c r="M1049" s="27" t="str">
        <f aca="false">IF(OR(G1049="",G1049="?"),"",IFERROR(INDEX(Pubs!$D$2:$D$3001,MATCH(G1049,Pubs!$A$2:$A$3001,0))&amp;"",""))</f>
        <v/>
      </c>
      <c r="N1049" s="27" t="n">
        <f aca="false">N(N1048)+IF(AND(A1049&lt;&gt;"",OR(Recherche!$C$4="",A1049=Recherche!$C$4),OR(Recherche!$C$5="",B1049&amp;""=Recherche!$C$5&amp;""),OR(Recherche!$C$6="",IFERROR(YEAR(L1049),0)=Recherche!$C$6),OR(Recherche!$C$7="",ISNUMBER(SEARCH(Recherche!$C$7,H1049))),OR(Recherche!$C$8="",J1049=Recherche!$C$8),OR(Recherche!$C$9="",I1049=Recherche!$C$9),OR(Recherche!$C$10="",G1049&amp;""=Recherche!$C$10&amp;""),OR(Recherche!$C$11="",E1049=Recherche!$C$11),OR(Recherche!$C$12="",ISNUMBER(SEARCH(Recherche!$C$12,M1049&amp;" "&amp;F1049)))),1,0)</f>
        <v>8</v>
      </c>
    </row>
    <row r="1050" customFormat="false" ht="15" hidden="false" customHeight="false" outlineLevel="0" collapsed="false">
      <c r="A1050" s="19"/>
      <c r="B1050" s="19"/>
      <c r="C1050" s="19"/>
      <c r="D1050" s="19"/>
      <c r="E1050" s="22"/>
      <c r="F1050" s="19"/>
      <c r="G1050" s="26" t="str">
        <f aca="false">IF(D1050="","",IFERROR(VALUE(LEFT(D1050,FIND(" |",D1050&amp;" |")-1)),"?"))</f>
        <v/>
      </c>
      <c r="H1050" s="27" t="str">
        <f aca="false">IF(G1050="","",IF(G1050="?","⚠ pub inconnue",IFERROR(INDEX(Pubs!$B$2:$B$3001,MATCH(G1050,Pubs!$A$2:$A$3001,0))&amp;"","⚠ pub inconnue")))</f>
        <v/>
      </c>
      <c r="I1050" s="27" t="str">
        <f aca="false">IF(OR(G1050="",G1050="?"),"",IFERROR(INDEX(Pubs!$C$2:$C$3001,MATCH(G1050,Pubs!$A$2:$A$3001,0))&amp;"",""))</f>
        <v/>
      </c>
      <c r="J1050" s="27" t="str">
        <f aca="false">IF(OR(G1050="",G1050="?"),"",IFERROR(INDEX(Pubs!$G$2:$G$3001,MATCH(G1050,Pubs!$A$2:$A$3001,0))&amp;"",""))</f>
        <v/>
      </c>
      <c r="K1050" s="28" t="str">
        <f aca="false">IF(OR(G1050="",G1050="?"),"",IFERROR(INDEX(Pubs!$E$2:$E$3001,MATCH(G1050,Pubs!$A$2:$A$3001,0)),""))</f>
        <v/>
      </c>
      <c r="L1050" s="29" t="str">
        <f aca="false">IF(A1050="","",IFERROR(1/(1/INDEX(Numéros!$C$2:$C$3001,MATCH(A1050&amp;"|"&amp;B1050,Numéros!$F$2:$F$3001,0))),""))</f>
        <v/>
      </c>
      <c r="M1050" s="27" t="str">
        <f aca="false">IF(OR(G1050="",G1050="?"),"",IFERROR(INDEX(Pubs!$D$2:$D$3001,MATCH(G1050,Pubs!$A$2:$A$3001,0))&amp;"",""))</f>
        <v/>
      </c>
      <c r="N1050" s="27" t="n">
        <f aca="false">N(N1049)+IF(AND(A1050&lt;&gt;"",OR(Recherche!$C$4="",A1050=Recherche!$C$4),OR(Recherche!$C$5="",B1050&amp;""=Recherche!$C$5&amp;""),OR(Recherche!$C$6="",IFERROR(YEAR(L1050),0)=Recherche!$C$6),OR(Recherche!$C$7="",ISNUMBER(SEARCH(Recherche!$C$7,H1050))),OR(Recherche!$C$8="",J1050=Recherche!$C$8),OR(Recherche!$C$9="",I1050=Recherche!$C$9),OR(Recherche!$C$10="",G1050&amp;""=Recherche!$C$10&amp;""),OR(Recherche!$C$11="",E1050=Recherche!$C$11),OR(Recherche!$C$12="",ISNUMBER(SEARCH(Recherche!$C$12,M1050&amp;" "&amp;F1050)))),1,0)</f>
        <v>8</v>
      </c>
    </row>
    <row r="1051" customFormat="false" ht="15" hidden="false" customHeight="false" outlineLevel="0" collapsed="false">
      <c r="A1051" s="19"/>
      <c r="B1051" s="19"/>
      <c r="C1051" s="19"/>
      <c r="D1051" s="19"/>
      <c r="E1051" s="22"/>
      <c r="F1051" s="19"/>
      <c r="G1051" s="26" t="str">
        <f aca="false">IF(D1051="","",IFERROR(VALUE(LEFT(D1051,FIND(" |",D1051&amp;" |")-1)),"?"))</f>
        <v/>
      </c>
      <c r="H1051" s="27" t="str">
        <f aca="false">IF(G1051="","",IF(G1051="?","⚠ pub inconnue",IFERROR(INDEX(Pubs!$B$2:$B$3001,MATCH(G1051,Pubs!$A$2:$A$3001,0))&amp;"","⚠ pub inconnue")))</f>
        <v/>
      </c>
      <c r="I1051" s="27" t="str">
        <f aca="false">IF(OR(G1051="",G1051="?"),"",IFERROR(INDEX(Pubs!$C$2:$C$3001,MATCH(G1051,Pubs!$A$2:$A$3001,0))&amp;"",""))</f>
        <v/>
      </c>
      <c r="J1051" s="27" t="str">
        <f aca="false">IF(OR(G1051="",G1051="?"),"",IFERROR(INDEX(Pubs!$G$2:$G$3001,MATCH(G1051,Pubs!$A$2:$A$3001,0))&amp;"",""))</f>
        <v/>
      </c>
      <c r="K1051" s="28" t="str">
        <f aca="false">IF(OR(G1051="",G1051="?"),"",IFERROR(INDEX(Pubs!$E$2:$E$3001,MATCH(G1051,Pubs!$A$2:$A$3001,0)),""))</f>
        <v/>
      </c>
      <c r="L1051" s="29" t="str">
        <f aca="false">IF(A1051="","",IFERROR(1/(1/INDEX(Numéros!$C$2:$C$3001,MATCH(A1051&amp;"|"&amp;B1051,Numéros!$F$2:$F$3001,0))),""))</f>
        <v/>
      </c>
      <c r="M1051" s="27" t="str">
        <f aca="false">IF(OR(G1051="",G1051="?"),"",IFERROR(INDEX(Pubs!$D$2:$D$3001,MATCH(G1051,Pubs!$A$2:$A$3001,0))&amp;"",""))</f>
        <v/>
      </c>
      <c r="N1051" s="27" t="n">
        <f aca="false">N(N1050)+IF(AND(A1051&lt;&gt;"",OR(Recherche!$C$4="",A1051=Recherche!$C$4),OR(Recherche!$C$5="",B1051&amp;""=Recherche!$C$5&amp;""),OR(Recherche!$C$6="",IFERROR(YEAR(L1051),0)=Recherche!$C$6),OR(Recherche!$C$7="",ISNUMBER(SEARCH(Recherche!$C$7,H1051))),OR(Recherche!$C$8="",J1051=Recherche!$C$8),OR(Recherche!$C$9="",I1051=Recherche!$C$9),OR(Recherche!$C$10="",G1051&amp;""=Recherche!$C$10&amp;""),OR(Recherche!$C$11="",E1051=Recherche!$C$11),OR(Recherche!$C$12="",ISNUMBER(SEARCH(Recherche!$C$12,M1051&amp;" "&amp;F1051)))),1,0)</f>
        <v>8</v>
      </c>
    </row>
    <row r="1052" customFormat="false" ht="15" hidden="false" customHeight="false" outlineLevel="0" collapsed="false">
      <c r="A1052" s="19"/>
      <c r="B1052" s="19"/>
      <c r="C1052" s="19"/>
      <c r="D1052" s="19"/>
      <c r="E1052" s="22"/>
      <c r="F1052" s="19"/>
      <c r="G1052" s="26" t="str">
        <f aca="false">IF(D1052="","",IFERROR(VALUE(LEFT(D1052,FIND(" |",D1052&amp;" |")-1)),"?"))</f>
        <v/>
      </c>
      <c r="H1052" s="27" t="str">
        <f aca="false">IF(G1052="","",IF(G1052="?","⚠ pub inconnue",IFERROR(INDEX(Pubs!$B$2:$B$3001,MATCH(G1052,Pubs!$A$2:$A$3001,0))&amp;"","⚠ pub inconnue")))</f>
        <v/>
      </c>
      <c r="I1052" s="27" t="str">
        <f aca="false">IF(OR(G1052="",G1052="?"),"",IFERROR(INDEX(Pubs!$C$2:$C$3001,MATCH(G1052,Pubs!$A$2:$A$3001,0))&amp;"",""))</f>
        <v/>
      </c>
      <c r="J1052" s="27" t="str">
        <f aca="false">IF(OR(G1052="",G1052="?"),"",IFERROR(INDEX(Pubs!$G$2:$G$3001,MATCH(G1052,Pubs!$A$2:$A$3001,0))&amp;"",""))</f>
        <v/>
      </c>
      <c r="K1052" s="28" t="str">
        <f aca="false">IF(OR(G1052="",G1052="?"),"",IFERROR(INDEX(Pubs!$E$2:$E$3001,MATCH(G1052,Pubs!$A$2:$A$3001,0)),""))</f>
        <v/>
      </c>
      <c r="L1052" s="29" t="str">
        <f aca="false">IF(A1052="","",IFERROR(1/(1/INDEX(Numéros!$C$2:$C$3001,MATCH(A1052&amp;"|"&amp;B1052,Numéros!$F$2:$F$3001,0))),""))</f>
        <v/>
      </c>
      <c r="M1052" s="27" t="str">
        <f aca="false">IF(OR(G1052="",G1052="?"),"",IFERROR(INDEX(Pubs!$D$2:$D$3001,MATCH(G1052,Pubs!$A$2:$A$3001,0))&amp;"",""))</f>
        <v/>
      </c>
      <c r="N1052" s="27" t="n">
        <f aca="false">N(N1051)+IF(AND(A1052&lt;&gt;"",OR(Recherche!$C$4="",A1052=Recherche!$C$4),OR(Recherche!$C$5="",B1052&amp;""=Recherche!$C$5&amp;""),OR(Recherche!$C$6="",IFERROR(YEAR(L1052),0)=Recherche!$C$6),OR(Recherche!$C$7="",ISNUMBER(SEARCH(Recherche!$C$7,H1052))),OR(Recherche!$C$8="",J1052=Recherche!$C$8),OR(Recherche!$C$9="",I1052=Recherche!$C$9),OR(Recherche!$C$10="",G1052&amp;""=Recherche!$C$10&amp;""),OR(Recherche!$C$11="",E1052=Recherche!$C$11),OR(Recherche!$C$12="",ISNUMBER(SEARCH(Recherche!$C$12,M1052&amp;" "&amp;F1052)))),1,0)</f>
        <v>8</v>
      </c>
    </row>
    <row r="1053" customFormat="false" ht="15" hidden="false" customHeight="false" outlineLevel="0" collapsed="false">
      <c r="A1053" s="19"/>
      <c r="B1053" s="19"/>
      <c r="C1053" s="19"/>
      <c r="D1053" s="19"/>
      <c r="E1053" s="22"/>
      <c r="F1053" s="19"/>
      <c r="G1053" s="26" t="str">
        <f aca="false">IF(D1053="","",IFERROR(VALUE(LEFT(D1053,FIND(" |",D1053&amp;" |")-1)),"?"))</f>
        <v/>
      </c>
      <c r="H1053" s="27" t="str">
        <f aca="false">IF(G1053="","",IF(G1053="?","⚠ pub inconnue",IFERROR(INDEX(Pubs!$B$2:$B$3001,MATCH(G1053,Pubs!$A$2:$A$3001,0))&amp;"","⚠ pub inconnue")))</f>
        <v/>
      </c>
      <c r="I1053" s="27" t="str">
        <f aca="false">IF(OR(G1053="",G1053="?"),"",IFERROR(INDEX(Pubs!$C$2:$C$3001,MATCH(G1053,Pubs!$A$2:$A$3001,0))&amp;"",""))</f>
        <v/>
      </c>
      <c r="J1053" s="27" t="str">
        <f aca="false">IF(OR(G1053="",G1053="?"),"",IFERROR(INDEX(Pubs!$G$2:$G$3001,MATCH(G1053,Pubs!$A$2:$A$3001,0))&amp;"",""))</f>
        <v/>
      </c>
      <c r="K1053" s="28" t="str">
        <f aca="false">IF(OR(G1053="",G1053="?"),"",IFERROR(INDEX(Pubs!$E$2:$E$3001,MATCH(G1053,Pubs!$A$2:$A$3001,0)),""))</f>
        <v/>
      </c>
      <c r="L1053" s="29" t="str">
        <f aca="false">IF(A1053="","",IFERROR(1/(1/INDEX(Numéros!$C$2:$C$3001,MATCH(A1053&amp;"|"&amp;B1053,Numéros!$F$2:$F$3001,0))),""))</f>
        <v/>
      </c>
      <c r="M1053" s="27" t="str">
        <f aca="false">IF(OR(G1053="",G1053="?"),"",IFERROR(INDEX(Pubs!$D$2:$D$3001,MATCH(G1053,Pubs!$A$2:$A$3001,0))&amp;"",""))</f>
        <v/>
      </c>
      <c r="N1053" s="27" t="n">
        <f aca="false">N(N1052)+IF(AND(A1053&lt;&gt;"",OR(Recherche!$C$4="",A1053=Recherche!$C$4),OR(Recherche!$C$5="",B1053&amp;""=Recherche!$C$5&amp;""),OR(Recherche!$C$6="",IFERROR(YEAR(L1053),0)=Recherche!$C$6),OR(Recherche!$C$7="",ISNUMBER(SEARCH(Recherche!$C$7,H1053))),OR(Recherche!$C$8="",J1053=Recherche!$C$8),OR(Recherche!$C$9="",I1053=Recherche!$C$9),OR(Recherche!$C$10="",G1053&amp;""=Recherche!$C$10&amp;""),OR(Recherche!$C$11="",E1053=Recherche!$C$11),OR(Recherche!$C$12="",ISNUMBER(SEARCH(Recherche!$C$12,M1053&amp;" "&amp;F1053)))),1,0)</f>
        <v>8</v>
      </c>
    </row>
    <row r="1054" customFormat="false" ht="15" hidden="false" customHeight="false" outlineLevel="0" collapsed="false">
      <c r="A1054" s="19"/>
      <c r="B1054" s="19"/>
      <c r="C1054" s="19"/>
      <c r="D1054" s="19"/>
      <c r="E1054" s="22"/>
      <c r="F1054" s="19"/>
      <c r="G1054" s="26" t="str">
        <f aca="false">IF(D1054="","",IFERROR(VALUE(LEFT(D1054,FIND(" |",D1054&amp;" |")-1)),"?"))</f>
        <v/>
      </c>
      <c r="H1054" s="27" t="str">
        <f aca="false">IF(G1054="","",IF(G1054="?","⚠ pub inconnue",IFERROR(INDEX(Pubs!$B$2:$B$3001,MATCH(G1054,Pubs!$A$2:$A$3001,0))&amp;"","⚠ pub inconnue")))</f>
        <v/>
      </c>
      <c r="I1054" s="27" t="str">
        <f aca="false">IF(OR(G1054="",G1054="?"),"",IFERROR(INDEX(Pubs!$C$2:$C$3001,MATCH(G1054,Pubs!$A$2:$A$3001,0))&amp;"",""))</f>
        <v/>
      </c>
      <c r="J1054" s="27" t="str">
        <f aca="false">IF(OR(G1054="",G1054="?"),"",IFERROR(INDEX(Pubs!$G$2:$G$3001,MATCH(G1054,Pubs!$A$2:$A$3001,0))&amp;"",""))</f>
        <v/>
      </c>
      <c r="K1054" s="28" t="str">
        <f aca="false">IF(OR(G1054="",G1054="?"),"",IFERROR(INDEX(Pubs!$E$2:$E$3001,MATCH(G1054,Pubs!$A$2:$A$3001,0)),""))</f>
        <v/>
      </c>
      <c r="L1054" s="29" t="str">
        <f aca="false">IF(A1054="","",IFERROR(1/(1/INDEX(Numéros!$C$2:$C$3001,MATCH(A1054&amp;"|"&amp;B1054,Numéros!$F$2:$F$3001,0))),""))</f>
        <v/>
      </c>
      <c r="M1054" s="27" t="str">
        <f aca="false">IF(OR(G1054="",G1054="?"),"",IFERROR(INDEX(Pubs!$D$2:$D$3001,MATCH(G1054,Pubs!$A$2:$A$3001,0))&amp;"",""))</f>
        <v/>
      </c>
      <c r="N1054" s="27" t="n">
        <f aca="false">N(N1053)+IF(AND(A1054&lt;&gt;"",OR(Recherche!$C$4="",A1054=Recherche!$C$4),OR(Recherche!$C$5="",B1054&amp;""=Recherche!$C$5&amp;""),OR(Recherche!$C$6="",IFERROR(YEAR(L1054),0)=Recherche!$C$6),OR(Recherche!$C$7="",ISNUMBER(SEARCH(Recherche!$C$7,H1054))),OR(Recherche!$C$8="",J1054=Recherche!$C$8),OR(Recherche!$C$9="",I1054=Recherche!$C$9),OR(Recherche!$C$10="",G1054&amp;""=Recherche!$C$10&amp;""),OR(Recherche!$C$11="",E1054=Recherche!$C$11),OR(Recherche!$C$12="",ISNUMBER(SEARCH(Recherche!$C$12,M1054&amp;" "&amp;F1054)))),1,0)</f>
        <v>8</v>
      </c>
    </row>
    <row r="1055" customFormat="false" ht="15" hidden="false" customHeight="false" outlineLevel="0" collapsed="false">
      <c r="A1055" s="19"/>
      <c r="B1055" s="19"/>
      <c r="C1055" s="19"/>
      <c r="D1055" s="19"/>
      <c r="E1055" s="22"/>
      <c r="F1055" s="19"/>
      <c r="G1055" s="26" t="str">
        <f aca="false">IF(D1055="","",IFERROR(VALUE(LEFT(D1055,FIND(" |",D1055&amp;" |")-1)),"?"))</f>
        <v/>
      </c>
      <c r="H1055" s="27" t="str">
        <f aca="false">IF(G1055="","",IF(G1055="?","⚠ pub inconnue",IFERROR(INDEX(Pubs!$B$2:$B$3001,MATCH(G1055,Pubs!$A$2:$A$3001,0))&amp;"","⚠ pub inconnue")))</f>
        <v/>
      </c>
      <c r="I1055" s="27" t="str">
        <f aca="false">IF(OR(G1055="",G1055="?"),"",IFERROR(INDEX(Pubs!$C$2:$C$3001,MATCH(G1055,Pubs!$A$2:$A$3001,0))&amp;"",""))</f>
        <v/>
      </c>
      <c r="J1055" s="27" t="str">
        <f aca="false">IF(OR(G1055="",G1055="?"),"",IFERROR(INDEX(Pubs!$G$2:$G$3001,MATCH(G1055,Pubs!$A$2:$A$3001,0))&amp;"",""))</f>
        <v/>
      </c>
      <c r="K1055" s="28" t="str">
        <f aca="false">IF(OR(G1055="",G1055="?"),"",IFERROR(INDEX(Pubs!$E$2:$E$3001,MATCH(G1055,Pubs!$A$2:$A$3001,0)),""))</f>
        <v/>
      </c>
      <c r="L1055" s="29" t="str">
        <f aca="false">IF(A1055="","",IFERROR(1/(1/INDEX(Numéros!$C$2:$C$3001,MATCH(A1055&amp;"|"&amp;B1055,Numéros!$F$2:$F$3001,0))),""))</f>
        <v/>
      </c>
      <c r="M1055" s="27" t="str">
        <f aca="false">IF(OR(G1055="",G1055="?"),"",IFERROR(INDEX(Pubs!$D$2:$D$3001,MATCH(G1055,Pubs!$A$2:$A$3001,0))&amp;"",""))</f>
        <v/>
      </c>
      <c r="N1055" s="27" t="n">
        <f aca="false">N(N1054)+IF(AND(A1055&lt;&gt;"",OR(Recherche!$C$4="",A1055=Recherche!$C$4),OR(Recherche!$C$5="",B1055&amp;""=Recherche!$C$5&amp;""),OR(Recherche!$C$6="",IFERROR(YEAR(L1055),0)=Recherche!$C$6),OR(Recherche!$C$7="",ISNUMBER(SEARCH(Recherche!$C$7,H1055))),OR(Recherche!$C$8="",J1055=Recherche!$C$8),OR(Recherche!$C$9="",I1055=Recherche!$C$9),OR(Recherche!$C$10="",G1055&amp;""=Recherche!$C$10&amp;""),OR(Recherche!$C$11="",E1055=Recherche!$C$11),OR(Recherche!$C$12="",ISNUMBER(SEARCH(Recherche!$C$12,M1055&amp;" "&amp;F1055)))),1,0)</f>
        <v>8</v>
      </c>
    </row>
    <row r="1056" customFormat="false" ht="15" hidden="false" customHeight="false" outlineLevel="0" collapsed="false">
      <c r="A1056" s="19"/>
      <c r="B1056" s="19"/>
      <c r="C1056" s="19"/>
      <c r="D1056" s="19"/>
      <c r="E1056" s="22"/>
      <c r="F1056" s="19"/>
      <c r="G1056" s="26" t="str">
        <f aca="false">IF(D1056="","",IFERROR(VALUE(LEFT(D1056,FIND(" |",D1056&amp;" |")-1)),"?"))</f>
        <v/>
      </c>
      <c r="H1056" s="27" t="str">
        <f aca="false">IF(G1056="","",IF(G1056="?","⚠ pub inconnue",IFERROR(INDEX(Pubs!$B$2:$B$3001,MATCH(G1056,Pubs!$A$2:$A$3001,0))&amp;"","⚠ pub inconnue")))</f>
        <v/>
      </c>
      <c r="I1056" s="27" t="str">
        <f aca="false">IF(OR(G1056="",G1056="?"),"",IFERROR(INDEX(Pubs!$C$2:$C$3001,MATCH(G1056,Pubs!$A$2:$A$3001,0))&amp;"",""))</f>
        <v/>
      </c>
      <c r="J1056" s="27" t="str">
        <f aca="false">IF(OR(G1056="",G1056="?"),"",IFERROR(INDEX(Pubs!$G$2:$G$3001,MATCH(G1056,Pubs!$A$2:$A$3001,0))&amp;"",""))</f>
        <v/>
      </c>
      <c r="K1056" s="28" t="str">
        <f aca="false">IF(OR(G1056="",G1056="?"),"",IFERROR(INDEX(Pubs!$E$2:$E$3001,MATCH(G1056,Pubs!$A$2:$A$3001,0)),""))</f>
        <v/>
      </c>
      <c r="L1056" s="29" t="str">
        <f aca="false">IF(A1056="","",IFERROR(1/(1/INDEX(Numéros!$C$2:$C$3001,MATCH(A1056&amp;"|"&amp;B1056,Numéros!$F$2:$F$3001,0))),""))</f>
        <v/>
      </c>
      <c r="M1056" s="27" t="str">
        <f aca="false">IF(OR(G1056="",G1056="?"),"",IFERROR(INDEX(Pubs!$D$2:$D$3001,MATCH(G1056,Pubs!$A$2:$A$3001,0))&amp;"",""))</f>
        <v/>
      </c>
      <c r="N1056" s="27" t="n">
        <f aca="false">N(N1055)+IF(AND(A1056&lt;&gt;"",OR(Recherche!$C$4="",A1056=Recherche!$C$4),OR(Recherche!$C$5="",B1056&amp;""=Recherche!$C$5&amp;""),OR(Recherche!$C$6="",IFERROR(YEAR(L1056),0)=Recherche!$C$6),OR(Recherche!$C$7="",ISNUMBER(SEARCH(Recherche!$C$7,H1056))),OR(Recherche!$C$8="",J1056=Recherche!$C$8),OR(Recherche!$C$9="",I1056=Recherche!$C$9),OR(Recherche!$C$10="",G1056&amp;""=Recherche!$C$10&amp;""),OR(Recherche!$C$11="",E1056=Recherche!$C$11),OR(Recherche!$C$12="",ISNUMBER(SEARCH(Recherche!$C$12,M1056&amp;" "&amp;F1056)))),1,0)</f>
        <v>8</v>
      </c>
    </row>
    <row r="1057" customFormat="false" ht="15" hidden="false" customHeight="false" outlineLevel="0" collapsed="false">
      <c r="A1057" s="19"/>
      <c r="B1057" s="19"/>
      <c r="C1057" s="19"/>
      <c r="D1057" s="19"/>
      <c r="E1057" s="22"/>
      <c r="F1057" s="19"/>
      <c r="G1057" s="26" t="str">
        <f aca="false">IF(D1057="","",IFERROR(VALUE(LEFT(D1057,FIND(" |",D1057&amp;" |")-1)),"?"))</f>
        <v/>
      </c>
      <c r="H1057" s="27" t="str">
        <f aca="false">IF(G1057="","",IF(G1057="?","⚠ pub inconnue",IFERROR(INDEX(Pubs!$B$2:$B$3001,MATCH(G1057,Pubs!$A$2:$A$3001,0))&amp;"","⚠ pub inconnue")))</f>
        <v/>
      </c>
      <c r="I1057" s="27" t="str">
        <f aca="false">IF(OR(G1057="",G1057="?"),"",IFERROR(INDEX(Pubs!$C$2:$C$3001,MATCH(G1057,Pubs!$A$2:$A$3001,0))&amp;"",""))</f>
        <v/>
      </c>
      <c r="J1057" s="27" t="str">
        <f aca="false">IF(OR(G1057="",G1057="?"),"",IFERROR(INDEX(Pubs!$G$2:$G$3001,MATCH(G1057,Pubs!$A$2:$A$3001,0))&amp;"",""))</f>
        <v/>
      </c>
      <c r="K1057" s="28" t="str">
        <f aca="false">IF(OR(G1057="",G1057="?"),"",IFERROR(INDEX(Pubs!$E$2:$E$3001,MATCH(G1057,Pubs!$A$2:$A$3001,0)),""))</f>
        <v/>
      </c>
      <c r="L1057" s="29" t="str">
        <f aca="false">IF(A1057="","",IFERROR(1/(1/INDEX(Numéros!$C$2:$C$3001,MATCH(A1057&amp;"|"&amp;B1057,Numéros!$F$2:$F$3001,0))),""))</f>
        <v/>
      </c>
      <c r="M1057" s="27" t="str">
        <f aca="false">IF(OR(G1057="",G1057="?"),"",IFERROR(INDEX(Pubs!$D$2:$D$3001,MATCH(G1057,Pubs!$A$2:$A$3001,0))&amp;"",""))</f>
        <v/>
      </c>
      <c r="N1057" s="27" t="n">
        <f aca="false">N(N1056)+IF(AND(A1057&lt;&gt;"",OR(Recherche!$C$4="",A1057=Recherche!$C$4),OR(Recherche!$C$5="",B1057&amp;""=Recherche!$C$5&amp;""),OR(Recherche!$C$6="",IFERROR(YEAR(L1057),0)=Recherche!$C$6),OR(Recherche!$C$7="",ISNUMBER(SEARCH(Recherche!$C$7,H1057))),OR(Recherche!$C$8="",J1057=Recherche!$C$8),OR(Recherche!$C$9="",I1057=Recherche!$C$9),OR(Recherche!$C$10="",G1057&amp;""=Recherche!$C$10&amp;""),OR(Recherche!$C$11="",E1057=Recherche!$C$11),OR(Recherche!$C$12="",ISNUMBER(SEARCH(Recherche!$C$12,M1057&amp;" "&amp;F1057)))),1,0)</f>
        <v>8</v>
      </c>
    </row>
    <row r="1058" customFormat="false" ht="15" hidden="false" customHeight="false" outlineLevel="0" collapsed="false">
      <c r="A1058" s="19"/>
      <c r="B1058" s="19"/>
      <c r="C1058" s="19"/>
      <c r="D1058" s="19"/>
      <c r="E1058" s="22"/>
      <c r="F1058" s="19"/>
      <c r="G1058" s="26" t="str">
        <f aca="false">IF(D1058="","",IFERROR(VALUE(LEFT(D1058,FIND(" |",D1058&amp;" |")-1)),"?"))</f>
        <v/>
      </c>
      <c r="H1058" s="27" t="str">
        <f aca="false">IF(G1058="","",IF(G1058="?","⚠ pub inconnue",IFERROR(INDEX(Pubs!$B$2:$B$3001,MATCH(G1058,Pubs!$A$2:$A$3001,0))&amp;"","⚠ pub inconnue")))</f>
        <v/>
      </c>
      <c r="I1058" s="27" t="str">
        <f aca="false">IF(OR(G1058="",G1058="?"),"",IFERROR(INDEX(Pubs!$C$2:$C$3001,MATCH(G1058,Pubs!$A$2:$A$3001,0))&amp;"",""))</f>
        <v/>
      </c>
      <c r="J1058" s="27" t="str">
        <f aca="false">IF(OR(G1058="",G1058="?"),"",IFERROR(INDEX(Pubs!$G$2:$G$3001,MATCH(G1058,Pubs!$A$2:$A$3001,0))&amp;"",""))</f>
        <v/>
      </c>
      <c r="K1058" s="28" t="str">
        <f aca="false">IF(OR(G1058="",G1058="?"),"",IFERROR(INDEX(Pubs!$E$2:$E$3001,MATCH(G1058,Pubs!$A$2:$A$3001,0)),""))</f>
        <v/>
      </c>
      <c r="L1058" s="29" t="str">
        <f aca="false">IF(A1058="","",IFERROR(1/(1/INDEX(Numéros!$C$2:$C$3001,MATCH(A1058&amp;"|"&amp;B1058,Numéros!$F$2:$F$3001,0))),""))</f>
        <v/>
      </c>
      <c r="M1058" s="27" t="str">
        <f aca="false">IF(OR(G1058="",G1058="?"),"",IFERROR(INDEX(Pubs!$D$2:$D$3001,MATCH(G1058,Pubs!$A$2:$A$3001,0))&amp;"",""))</f>
        <v/>
      </c>
      <c r="N1058" s="27" t="n">
        <f aca="false">N(N1057)+IF(AND(A1058&lt;&gt;"",OR(Recherche!$C$4="",A1058=Recherche!$C$4),OR(Recherche!$C$5="",B1058&amp;""=Recherche!$C$5&amp;""),OR(Recherche!$C$6="",IFERROR(YEAR(L1058),0)=Recherche!$C$6),OR(Recherche!$C$7="",ISNUMBER(SEARCH(Recherche!$C$7,H1058))),OR(Recherche!$C$8="",J1058=Recherche!$C$8),OR(Recherche!$C$9="",I1058=Recherche!$C$9),OR(Recherche!$C$10="",G1058&amp;""=Recherche!$C$10&amp;""),OR(Recherche!$C$11="",E1058=Recherche!$C$11),OR(Recherche!$C$12="",ISNUMBER(SEARCH(Recherche!$C$12,M1058&amp;" "&amp;F1058)))),1,0)</f>
        <v>8</v>
      </c>
    </row>
    <row r="1059" customFormat="false" ht="15" hidden="false" customHeight="false" outlineLevel="0" collapsed="false">
      <c r="A1059" s="19"/>
      <c r="B1059" s="19"/>
      <c r="C1059" s="19"/>
      <c r="D1059" s="19"/>
      <c r="E1059" s="22"/>
      <c r="F1059" s="19"/>
      <c r="G1059" s="26" t="str">
        <f aca="false">IF(D1059="","",IFERROR(VALUE(LEFT(D1059,FIND(" |",D1059&amp;" |")-1)),"?"))</f>
        <v/>
      </c>
      <c r="H1059" s="27" t="str">
        <f aca="false">IF(G1059="","",IF(G1059="?","⚠ pub inconnue",IFERROR(INDEX(Pubs!$B$2:$B$3001,MATCH(G1059,Pubs!$A$2:$A$3001,0))&amp;"","⚠ pub inconnue")))</f>
        <v/>
      </c>
      <c r="I1059" s="27" t="str">
        <f aca="false">IF(OR(G1059="",G1059="?"),"",IFERROR(INDEX(Pubs!$C$2:$C$3001,MATCH(G1059,Pubs!$A$2:$A$3001,0))&amp;"",""))</f>
        <v/>
      </c>
      <c r="J1059" s="27" t="str">
        <f aca="false">IF(OR(G1059="",G1059="?"),"",IFERROR(INDEX(Pubs!$G$2:$G$3001,MATCH(G1059,Pubs!$A$2:$A$3001,0))&amp;"",""))</f>
        <v/>
      </c>
      <c r="K1059" s="28" t="str">
        <f aca="false">IF(OR(G1059="",G1059="?"),"",IFERROR(INDEX(Pubs!$E$2:$E$3001,MATCH(G1059,Pubs!$A$2:$A$3001,0)),""))</f>
        <v/>
      </c>
      <c r="L1059" s="29" t="str">
        <f aca="false">IF(A1059="","",IFERROR(1/(1/INDEX(Numéros!$C$2:$C$3001,MATCH(A1059&amp;"|"&amp;B1059,Numéros!$F$2:$F$3001,0))),""))</f>
        <v/>
      </c>
      <c r="M1059" s="27" t="str">
        <f aca="false">IF(OR(G1059="",G1059="?"),"",IFERROR(INDEX(Pubs!$D$2:$D$3001,MATCH(G1059,Pubs!$A$2:$A$3001,0))&amp;"",""))</f>
        <v/>
      </c>
      <c r="N1059" s="27" t="n">
        <f aca="false">N(N1058)+IF(AND(A1059&lt;&gt;"",OR(Recherche!$C$4="",A1059=Recherche!$C$4),OR(Recherche!$C$5="",B1059&amp;""=Recherche!$C$5&amp;""),OR(Recherche!$C$6="",IFERROR(YEAR(L1059),0)=Recherche!$C$6),OR(Recherche!$C$7="",ISNUMBER(SEARCH(Recherche!$C$7,H1059))),OR(Recherche!$C$8="",J1059=Recherche!$C$8),OR(Recherche!$C$9="",I1059=Recherche!$C$9),OR(Recherche!$C$10="",G1059&amp;""=Recherche!$C$10&amp;""),OR(Recherche!$C$11="",E1059=Recherche!$C$11),OR(Recherche!$C$12="",ISNUMBER(SEARCH(Recherche!$C$12,M1059&amp;" "&amp;F1059)))),1,0)</f>
        <v>8</v>
      </c>
    </row>
    <row r="1060" customFormat="false" ht="15" hidden="false" customHeight="false" outlineLevel="0" collapsed="false">
      <c r="A1060" s="19"/>
      <c r="B1060" s="19"/>
      <c r="C1060" s="19"/>
      <c r="D1060" s="19"/>
      <c r="E1060" s="22"/>
      <c r="F1060" s="19"/>
      <c r="G1060" s="26" t="str">
        <f aca="false">IF(D1060="","",IFERROR(VALUE(LEFT(D1060,FIND(" |",D1060&amp;" |")-1)),"?"))</f>
        <v/>
      </c>
      <c r="H1060" s="27" t="str">
        <f aca="false">IF(G1060="","",IF(G1060="?","⚠ pub inconnue",IFERROR(INDEX(Pubs!$B$2:$B$3001,MATCH(G1060,Pubs!$A$2:$A$3001,0))&amp;"","⚠ pub inconnue")))</f>
        <v/>
      </c>
      <c r="I1060" s="27" t="str">
        <f aca="false">IF(OR(G1060="",G1060="?"),"",IFERROR(INDEX(Pubs!$C$2:$C$3001,MATCH(G1060,Pubs!$A$2:$A$3001,0))&amp;"",""))</f>
        <v/>
      </c>
      <c r="J1060" s="27" t="str">
        <f aca="false">IF(OR(G1060="",G1060="?"),"",IFERROR(INDEX(Pubs!$G$2:$G$3001,MATCH(G1060,Pubs!$A$2:$A$3001,0))&amp;"",""))</f>
        <v/>
      </c>
      <c r="K1060" s="28" t="str">
        <f aca="false">IF(OR(G1060="",G1060="?"),"",IFERROR(INDEX(Pubs!$E$2:$E$3001,MATCH(G1060,Pubs!$A$2:$A$3001,0)),""))</f>
        <v/>
      </c>
      <c r="L1060" s="29" t="str">
        <f aca="false">IF(A1060="","",IFERROR(1/(1/INDEX(Numéros!$C$2:$C$3001,MATCH(A1060&amp;"|"&amp;B1060,Numéros!$F$2:$F$3001,0))),""))</f>
        <v/>
      </c>
      <c r="M1060" s="27" t="str">
        <f aca="false">IF(OR(G1060="",G1060="?"),"",IFERROR(INDEX(Pubs!$D$2:$D$3001,MATCH(G1060,Pubs!$A$2:$A$3001,0))&amp;"",""))</f>
        <v/>
      </c>
      <c r="N1060" s="27" t="n">
        <f aca="false">N(N1059)+IF(AND(A1060&lt;&gt;"",OR(Recherche!$C$4="",A1060=Recherche!$C$4),OR(Recherche!$C$5="",B1060&amp;""=Recherche!$C$5&amp;""),OR(Recherche!$C$6="",IFERROR(YEAR(L1060),0)=Recherche!$C$6),OR(Recherche!$C$7="",ISNUMBER(SEARCH(Recherche!$C$7,H1060))),OR(Recherche!$C$8="",J1060=Recherche!$C$8),OR(Recherche!$C$9="",I1060=Recherche!$C$9),OR(Recherche!$C$10="",G1060&amp;""=Recherche!$C$10&amp;""),OR(Recherche!$C$11="",E1060=Recherche!$C$11),OR(Recherche!$C$12="",ISNUMBER(SEARCH(Recherche!$C$12,M1060&amp;" "&amp;F1060)))),1,0)</f>
        <v>8</v>
      </c>
    </row>
    <row r="1061" customFormat="false" ht="15" hidden="false" customHeight="false" outlineLevel="0" collapsed="false">
      <c r="A1061" s="19"/>
      <c r="B1061" s="19"/>
      <c r="C1061" s="19"/>
      <c r="D1061" s="19"/>
      <c r="E1061" s="22"/>
      <c r="F1061" s="19"/>
      <c r="G1061" s="26" t="str">
        <f aca="false">IF(D1061="","",IFERROR(VALUE(LEFT(D1061,FIND(" |",D1061&amp;" |")-1)),"?"))</f>
        <v/>
      </c>
      <c r="H1061" s="27" t="str">
        <f aca="false">IF(G1061="","",IF(G1061="?","⚠ pub inconnue",IFERROR(INDEX(Pubs!$B$2:$B$3001,MATCH(G1061,Pubs!$A$2:$A$3001,0))&amp;"","⚠ pub inconnue")))</f>
        <v/>
      </c>
      <c r="I1061" s="27" t="str">
        <f aca="false">IF(OR(G1061="",G1061="?"),"",IFERROR(INDEX(Pubs!$C$2:$C$3001,MATCH(G1061,Pubs!$A$2:$A$3001,0))&amp;"",""))</f>
        <v/>
      </c>
      <c r="J1061" s="27" t="str">
        <f aca="false">IF(OR(G1061="",G1061="?"),"",IFERROR(INDEX(Pubs!$G$2:$G$3001,MATCH(G1061,Pubs!$A$2:$A$3001,0))&amp;"",""))</f>
        <v/>
      </c>
      <c r="K1061" s="28" t="str">
        <f aca="false">IF(OR(G1061="",G1061="?"),"",IFERROR(INDEX(Pubs!$E$2:$E$3001,MATCH(G1061,Pubs!$A$2:$A$3001,0)),""))</f>
        <v/>
      </c>
      <c r="L1061" s="29" t="str">
        <f aca="false">IF(A1061="","",IFERROR(1/(1/INDEX(Numéros!$C$2:$C$3001,MATCH(A1061&amp;"|"&amp;B1061,Numéros!$F$2:$F$3001,0))),""))</f>
        <v/>
      </c>
      <c r="M1061" s="27" t="str">
        <f aca="false">IF(OR(G1061="",G1061="?"),"",IFERROR(INDEX(Pubs!$D$2:$D$3001,MATCH(G1061,Pubs!$A$2:$A$3001,0))&amp;"",""))</f>
        <v/>
      </c>
      <c r="N1061" s="27" t="n">
        <f aca="false">N(N1060)+IF(AND(A1061&lt;&gt;"",OR(Recherche!$C$4="",A1061=Recherche!$C$4),OR(Recherche!$C$5="",B1061&amp;""=Recherche!$C$5&amp;""),OR(Recherche!$C$6="",IFERROR(YEAR(L1061),0)=Recherche!$C$6),OR(Recherche!$C$7="",ISNUMBER(SEARCH(Recherche!$C$7,H1061))),OR(Recherche!$C$8="",J1061=Recherche!$C$8),OR(Recherche!$C$9="",I1061=Recherche!$C$9),OR(Recherche!$C$10="",G1061&amp;""=Recherche!$C$10&amp;""),OR(Recherche!$C$11="",E1061=Recherche!$C$11),OR(Recherche!$C$12="",ISNUMBER(SEARCH(Recherche!$C$12,M1061&amp;" "&amp;F1061)))),1,0)</f>
        <v>8</v>
      </c>
    </row>
    <row r="1062" customFormat="false" ht="15" hidden="false" customHeight="false" outlineLevel="0" collapsed="false">
      <c r="A1062" s="19"/>
      <c r="B1062" s="19"/>
      <c r="C1062" s="19"/>
      <c r="D1062" s="19"/>
      <c r="E1062" s="22"/>
      <c r="F1062" s="19"/>
      <c r="G1062" s="26" t="str">
        <f aca="false">IF(D1062="","",IFERROR(VALUE(LEFT(D1062,FIND(" |",D1062&amp;" |")-1)),"?"))</f>
        <v/>
      </c>
      <c r="H1062" s="27" t="str">
        <f aca="false">IF(G1062="","",IF(G1062="?","⚠ pub inconnue",IFERROR(INDEX(Pubs!$B$2:$B$3001,MATCH(G1062,Pubs!$A$2:$A$3001,0))&amp;"","⚠ pub inconnue")))</f>
        <v/>
      </c>
      <c r="I1062" s="27" t="str">
        <f aca="false">IF(OR(G1062="",G1062="?"),"",IFERROR(INDEX(Pubs!$C$2:$C$3001,MATCH(G1062,Pubs!$A$2:$A$3001,0))&amp;"",""))</f>
        <v/>
      </c>
      <c r="J1062" s="27" t="str">
        <f aca="false">IF(OR(G1062="",G1062="?"),"",IFERROR(INDEX(Pubs!$G$2:$G$3001,MATCH(G1062,Pubs!$A$2:$A$3001,0))&amp;"",""))</f>
        <v/>
      </c>
      <c r="K1062" s="28" t="str">
        <f aca="false">IF(OR(G1062="",G1062="?"),"",IFERROR(INDEX(Pubs!$E$2:$E$3001,MATCH(G1062,Pubs!$A$2:$A$3001,0)),""))</f>
        <v/>
      </c>
      <c r="L1062" s="29" t="str">
        <f aca="false">IF(A1062="","",IFERROR(1/(1/INDEX(Numéros!$C$2:$C$3001,MATCH(A1062&amp;"|"&amp;B1062,Numéros!$F$2:$F$3001,0))),""))</f>
        <v/>
      </c>
      <c r="M1062" s="27" t="str">
        <f aca="false">IF(OR(G1062="",G1062="?"),"",IFERROR(INDEX(Pubs!$D$2:$D$3001,MATCH(G1062,Pubs!$A$2:$A$3001,0))&amp;"",""))</f>
        <v/>
      </c>
      <c r="N1062" s="27" t="n">
        <f aca="false">N(N1061)+IF(AND(A1062&lt;&gt;"",OR(Recherche!$C$4="",A1062=Recherche!$C$4),OR(Recherche!$C$5="",B1062&amp;""=Recherche!$C$5&amp;""),OR(Recherche!$C$6="",IFERROR(YEAR(L1062),0)=Recherche!$C$6),OR(Recherche!$C$7="",ISNUMBER(SEARCH(Recherche!$C$7,H1062))),OR(Recherche!$C$8="",J1062=Recherche!$C$8),OR(Recherche!$C$9="",I1062=Recherche!$C$9),OR(Recherche!$C$10="",G1062&amp;""=Recherche!$C$10&amp;""),OR(Recherche!$C$11="",E1062=Recherche!$C$11),OR(Recherche!$C$12="",ISNUMBER(SEARCH(Recherche!$C$12,M1062&amp;" "&amp;F1062)))),1,0)</f>
        <v>8</v>
      </c>
    </row>
    <row r="1063" customFormat="false" ht="15" hidden="false" customHeight="false" outlineLevel="0" collapsed="false">
      <c r="A1063" s="19"/>
      <c r="B1063" s="19"/>
      <c r="C1063" s="19"/>
      <c r="D1063" s="19"/>
      <c r="E1063" s="22"/>
      <c r="F1063" s="19"/>
      <c r="G1063" s="26" t="str">
        <f aca="false">IF(D1063="","",IFERROR(VALUE(LEFT(D1063,FIND(" |",D1063&amp;" |")-1)),"?"))</f>
        <v/>
      </c>
      <c r="H1063" s="27" t="str">
        <f aca="false">IF(G1063="","",IF(G1063="?","⚠ pub inconnue",IFERROR(INDEX(Pubs!$B$2:$B$3001,MATCH(G1063,Pubs!$A$2:$A$3001,0))&amp;"","⚠ pub inconnue")))</f>
        <v/>
      </c>
      <c r="I1063" s="27" t="str">
        <f aca="false">IF(OR(G1063="",G1063="?"),"",IFERROR(INDEX(Pubs!$C$2:$C$3001,MATCH(G1063,Pubs!$A$2:$A$3001,0))&amp;"",""))</f>
        <v/>
      </c>
      <c r="J1063" s="27" t="str">
        <f aca="false">IF(OR(G1063="",G1063="?"),"",IFERROR(INDEX(Pubs!$G$2:$G$3001,MATCH(G1063,Pubs!$A$2:$A$3001,0))&amp;"",""))</f>
        <v/>
      </c>
      <c r="K1063" s="28" t="str">
        <f aca="false">IF(OR(G1063="",G1063="?"),"",IFERROR(INDEX(Pubs!$E$2:$E$3001,MATCH(G1063,Pubs!$A$2:$A$3001,0)),""))</f>
        <v/>
      </c>
      <c r="L1063" s="29" t="str">
        <f aca="false">IF(A1063="","",IFERROR(1/(1/INDEX(Numéros!$C$2:$C$3001,MATCH(A1063&amp;"|"&amp;B1063,Numéros!$F$2:$F$3001,0))),""))</f>
        <v/>
      </c>
      <c r="M1063" s="27" t="str">
        <f aca="false">IF(OR(G1063="",G1063="?"),"",IFERROR(INDEX(Pubs!$D$2:$D$3001,MATCH(G1063,Pubs!$A$2:$A$3001,0))&amp;"",""))</f>
        <v/>
      </c>
      <c r="N1063" s="27" t="n">
        <f aca="false">N(N1062)+IF(AND(A1063&lt;&gt;"",OR(Recherche!$C$4="",A1063=Recherche!$C$4),OR(Recherche!$C$5="",B1063&amp;""=Recherche!$C$5&amp;""),OR(Recherche!$C$6="",IFERROR(YEAR(L1063),0)=Recherche!$C$6),OR(Recherche!$C$7="",ISNUMBER(SEARCH(Recherche!$C$7,H1063))),OR(Recherche!$C$8="",J1063=Recherche!$C$8),OR(Recherche!$C$9="",I1063=Recherche!$C$9),OR(Recherche!$C$10="",G1063&amp;""=Recherche!$C$10&amp;""),OR(Recherche!$C$11="",E1063=Recherche!$C$11),OR(Recherche!$C$12="",ISNUMBER(SEARCH(Recherche!$C$12,M1063&amp;" "&amp;F1063)))),1,0)</f>
        <v>8</v>
      </c>
    </row>
    <row r="1064" customFormat="false" ht="15" hidden="false" customHeight="false" outlineLevel="0" collapsed="false">
      <c r="A1064" s="19"/>
      <c r="B1064" s="19"/>
      <c r="C1064" s="19"/>
      <c r="D1064" s="19"/>
      <c r="E1064" s="22"/>
      <c r="F1064" s="19"/>
      <c r="G1064" s="26" t="str">
        <f aca="false">IF(D1064="","",IFERROR(VALUE(LEFT(D1064,FIND(" |",D1064&amp;" |")-1)),"?"))</f>
        <v/>
      </c>
      <c r="H1064" s="27" t="str">
        <f aca="false">IF(G1064="","",IF(G1064="?","⚠ pub inconnue",IFERROR(INDEX(Pubs!$B$2:$B$3001,MATCH(G1064,Pubs!$A$2:$A$3001,0))&amp;"","⚠ pub inconnue")))</f>
        <v/>
      </c>
      <c r="I1064" s="27" t="str">
        <f aca="false">IF(OR(G1064="",G1064="?"),"",IFERROR(INDEX(Pubs!$C$2:$C$3001,MATCH(G1064,Pubs!$A$2:$A$3001,0))&amp;"",""))</f>
        <v/>
      </c>
      <c r="J1064" s="27" t="str">
        <f aca="false">IF(OR(G1064="",G1064="?"),"",IFERROR(INDEX(Pubs!$G$2:$G$3001,MATCH(G1064,Pubs!$A$2:$A$3001,0))&amp;"",""))</f>
        <v/>
      </c>
      <c r="K1064" s="28" t="str">
        <f aca="false">IF(OR(G1064="",G1064="?"),"",IFERROR(INDEX(Pubs!$E$2:$E$3001,MATCH(G1064,Pubs!$A$2:$A$3001,0)),""))</f>
        <v/>
      </c>
      <c r="L1064" s="29" t="str">
        <f aca="false">IF(A1064="","",IFERROR(1/(1/INDEX(Numéros!$C$2:$C$3001,MATCH(A1064&amp;"|"&amp;B1064,Numéros!$F$2:$F$3001,0))),""))</f>
        <v/>
      </c>
      <c r="M1064" s="27" t="str">
        <f aca="false">IF(OR(G1064="",G1064="?"),"",IFERROR(INDEX(Pubs!$D$2:$D$3001,MATCH(G1064,Pubs!$A$2:$A$3001,0))&amp;"",""))</f>
        <v/>
      </c>
      <c r="N1064" s="27" t="n">
        <f aca="false">N(N1063)+IF(AND(A1064&lt;&gt;"",OR(Recherche!$C$4="",A1064=Recherche!$C$4),OR(Recherche!$C$5="",B1064&amp;""=Recherche!$C$5&amp;""),OR(Recherche!$C$6="",IFERROR(YEAR(L1064),0)=Recherche!$C$6),OR(Recherche!$C$7="",ISNUMBER(SEARCH(Recherche!$C$7,H1064))),OR(Recherche!$C$8="",J1064=Recherche!$C$8),OR(Recherche!$C$9="",I1064=Recherche!$C$9),OR(Recherche!$C$10="",G1064&amp;""=Recherche!$C$10&amp;""),OR(Recherche!$C$11="",E1064=Recherche!$C$11),OR(Recherche!$C$12="",ISNUMBER(SEARCH(Recherche!$C$12,M1064&amp;" "&amp;F1064)))),1,0)</f>
        <v>8</v>
      </c>
    </row>
    <row r="1065" customFormat="false" ht="15" hidden="false" customHeight="false" outlineLevel="0" collapsed="false">
      <c r="A1065" s="19"/>
      <c r="B1065" s="19"/>
      <c r="C1065" s="19"/>
      <c r="D1065" s="19"/>
      <c r="E1065" s="22"/>
      <c r="F1065" s="19"/>
      <c r="G1065" s="26" t="str">
        <f aca="false">IF(D1065="","",IFERROR(VALUE(LEFT(D1065,FIND(" |",D1065&amp;" |")-1)),"?"))</f>
        <v/>
      </c>
      <c r="H1065" s="27" t="str">
        <f aca="false">IF(G1065="","",IF(G1065="?","⚠ pub inconnue",IFERROR(INDEX(Pubs!$B$2:$B$3001,MATCH(G1065,Pubs!$A$2:$A$3001,0))&amp;"","⚠ pub inconnue")))</f>
        <v/>
      </c>
      <c r="I1065" s="27" t="str">
        <f aca="false">IF(OR(G1065="",G1065="?"),"",IFERROR(INDEX(Pubs!$C$2:$C$3001,MATCH(G1065,Pubs!$A$2:$A$3001,0))&amp;"",""))</f>
        <v/>
      </c>
      <c r="J1065" s="27" t="str">
        <f aca="false">IF(OR(G1065="",G1065="?"),"",IFERROR(INDEX(Pubs!$G$2:$G$3001,MATCH(G1065,Pubs!$A$2:$A$3001,0))&amp;"",""))</f>
        <v/>
      </c>
      <c r="K1065" s="28" t="str">
        <f aca="false">IF(OR(G1065="",G1065="?"),"",IFERROR(INDEX(Pubs!$E$2:$E$3001,MATCH(G1065,Pubs!$A$2:$A$3001,0)),""))</f>
        <v/>
      </c>
      <c r="L1065" s="29" t="str">
        <f aca="false">IF(A1065="","",IFERROR(1/(1/INDEX(Numéros!$C$2:$C$3001,MATCH(A1065&amp;"|"&amp;B1065,Numéros!$F$2:$F$3001,0))),""))</f>
        <v/>
      </c>
      <c r="M1065" s="27" t="str">
        <f aca="false">IF(OR(G1065="",G1065="?"),"",IFERROR(INDEX(Pubs!$D$2:$D$3001,MATCH(G1065,Pubs!$A$2:$A$3001,0))&amp;"",""))</f>
        <v/>
      </c>
      <c r="N1065" s="27" t="n">
        <f aca="false">N(N1064)+IF(AND(A1065&lt;&gt;"",OR(Recherche!$C$4="",A1065=Recherche!$C$4),OR(Recherche!$C$5="",B1065&amp;""=Recherche!$C$5&amp;""),OR(Recherche!$C$6="",IFERROR(YEAR(L1065),0)=Recherche!$C$6),OR(Recherche!$C$7="",ISNUMBER(SEARCH(Recherche!$C$7,H1065))),OR(Recherche!$C$8="",J1065=Recherche!$C$8),OR(Recherche!$C$9="",I1065=Recherche!$C$9),OR(Recherche!$C$10="",G1065&amp;""=Recherche!$C$10&amp;""),OR(Recherche!$C$11="",E1065=Recherche!$C$11),OR(Recherche!$C$12="",ISNUMBER(SEARCH(Recherche!$C$12,M1065&amp;" "&amp;F1065)))),1,0)</f>
        <v>8</v>
      </c>
    </row>
    <row r="1066" customFormat="false" ht="15" hidden="false" customHeight="false" outlineLevel="0" collapsed="false">
      <c r="A1066" s="19"/>
      <c r="B1066" s="19"/>
      <c r="C1066" s="19"/>
      <c r="D1066" s="19"/>
      <c r="E1066" s="22"/>
      <c r="F1066" s="19"/>
      <c r="G1066" s="26" t="str">
        <f aca="false">IF(D1066="","",IFERROR(VALUE(LEFT(D1066,FIND(" |",D1066&amp;" |")-1)),"?"))</f>
        <v/>
      </c>
      <c r="H1066" s="27" t="str">
        <f aca="false">IF(G1066="","",IF(G1066="?","⚠ pub inconnue",IFERROR(INDEX(Pubs!$B$2:$B$3001,MATCH(G1066,Pubs!$A$2:$A$3001,0))&amp;"","⚠ pub inconnue")))</f>
        <v/>
      </c>
      <c r="I1066" s="27" t="str">
        <f aca="false">IF(OR(G1066="",G1066="?"),"",IFERROR(INDEX(Pubs!$C$2:$C$3001,MATCH(G1066,Pubs!$A$2:$A$3001,0))&amp;"",""))</f>
        <v/>
      </c>
      <c r="J1066" s="27" t="str">
        <f aca="false">IF(OR(G1066="",G1066="?"),"",IFERROR(INDEX(Pubs!$G$2:$G$3001,MATCH(G1066,Pubs!$A$2:$A$3001,0))&amp;"",""))</f>
        <v/>
      </c>
      <c r="K1066" s="28" t="str">
        <f aca="false">IF(OR(G1066="",G1066="?"),"",IFERROR(INDEX(Pubs!$E$2:$E$3001,MATCH(G1066,Pubs!$A$2:$A$3001,0)),""))</f>
        <v/>
      </c>
      <c r="L1066" s="29" t="str">
        <f aca="false">IF(A1066="","",IFERROR(1/(1/INDEX(Numéros!$C$2:$C$3001,MATCH(A1066&amp;"|"&amp;B1066,Numéros!$F$2:$F$3001,0))),""))</f>
        <v/>
      </c>
      <c r="M1066" s="27" t="str">
        <f aca="false">IF(OR(G1066="",G1066="?"),"",IFERROR(INDEX(Pubs!$D$2:$D$3001,MATCH(G1066,Pubs!$A$2:$A$3001,0))&amp;"",""))</f>
        <v/>
      </c>
      <c r="N1066" s="27" t="n">
        <f aca="false">N(N1065)+IF(AND(A1066&lt;&gt;"",OR(Recherche!$C$4="",A1066=Recherche!$C$4),OR(Recherche!$C$5="",B1066&amp;""=Recherche!$C$5&amp;""),OR(Recherche!$C$6="",IFERROR(YEAR(L1066),0)=Recherche!$C$6),OR(Recherche!$C$7="",ISNUMBER(SEARCH(Recherche!$C$7,H1066))),OR(Recherche!$C$8="",J1066=Recherche!$C$8),OR(Recherche!$C$9="",I1066=Recherche!$C$9),OR(Recherche!$C$10="",G1066&amp;""=Recherche!$C$10&amp;""),OR(Recherche!$C$11="",E1066=Recherche!$C$11),OR(Recherche!$C$12="",ISNUMBER(SEARCH(Recherche!$C$12,M1066&amp;" "&amp;F1066)))),1,0)</f>
        <v>8</v>
      </c>
    </row>
    <row r="1067" customFormat="false" ht="15" hidden="false" customHeight="false" outlineLevel="0" collapsed="false">
      <c r="A1067" s="19"/>
      <c r="B1067" s="19"/>
      <c r="C1067" s="19"/>
      <c r="D1067" s="19"/>
      <c r="E1067" s="22"/>
      <c r="F1067" s="19"/>
      <c r="G1067" s="26" t="str">
        <f aca="false">IF(D1067="","",IFERROR(VALUE(LEFT(D1067,FIND(" |",D1067&amp;" |")-1)),"?"))</f>
        <v/>
      </c>
      <c r="H1067" s="27" t="str">
        <f aca="false">IF(G1067="","",IF(G1067="?","⚠ pub inconnue",IFERROR(INDEX(Pubs!$B$2:$B$3001,MATCH(G1067,Pubs!$A$2:$A$3001,0))&amp;"","⚠ pub inconnue")))</f>
        <v/>
      </c>
      <c r="I1067" s="27" t="str">
        <f aca="false">IF(OR(G1067="",G1067="?"),"",IFERROR(INDEX(Pubs!$C$2:$C$3001,MATCH(G1067,Pubs!$A$2:$A$3001,0))&amp;"",""))</f>
        <v/>
      </c>
      <c r="J1067" s="27" t="str">
        <f aca="false">IF(OR(G1067="",G1067="?"),"",IFERROR(INDEX(Pubs!$G$2:$G$3001,MATCH(G1067,Pubs!$A$2:$A$3001,0))&amp;"",""))</f>
        <v/>
      </c>
      <c r="K1067" s="28" t="str">
        <f aca="false">IF(OR(G1067="",G1067="?"),"",IFERROR(INDEX(Pubs!$E$2:$E$3001,MATCH(G1067,Pubs!$A$2:$A$3001,0)),""))</f>
        <v/>
      </c>
      <c r="L1067" s="29" t="str">
        <f aca="false">IF(A1067="","",IFERROR(1/(1/INDEX(Numéros!$C$2:$C$3001,MATCH(A1067&amp;"|"&amp;B1067,Numéros!$F$2:$F$3001,0))),""))</f>
        <v/>
      </c>
      <c r="M1067" s="27" t="str">
        <f aca="false">IF(OR(G1067="",G1067="?"),"",IFERROR(INDEX(Pubs!$D$2:$D$3001,MATCH(G1067,Pubs!$A$2:$A$3001,0))&amp;"",""))</f>
        <v/>
      </c>
      <c r="N1067" s="27" t="n">
        <f aca="false">N(N1066)+IF(AND(A1067&lt;&gt;"",OR(Recherche!$C$4="",A1067=Recherche!$C$4),OR(Recherche!$C$5="",B1067&amp;""=Recherche!$C$5&amp;""),OR(Recherche!$C$6="",IFERROR(YEAR(L1067),0)=Recherche!$C$6),OR(Recherche!$C$7="",ISNUMBER(SEARCH(Recherche!$C$7,H1067))),OR(Recherche!$C$8="",J1067=Recherche!$C$8),OR(Recherche!$C$9="",I1067=Recherche!$C$9),OR(Recherche!$C$10="",G1067&amp;""=Recherche!$C$10&amp;""),OR(Recherche!$C$11="",E1067=Recherche!$C$11),OR(Recherche!$C$12="",ISNUMBER(SEARCH(Recherche!$C$12,M1067&amp;" "&amp;F1067)))),1,0)</f>
        <v>8</v>
      </c>
    </row>
    <row r="1068" customFormat="false" ht="15" hidden="false" customHeight="false" outlineLevel="0" collapsed="false">
      <c r="A1068" s="19"/>
      <c r="B1068" s="19"/>
      <c r="C1068" s="19"/>
      <c r="D1068" s="19"/>
      <c r="E1068" s="22"/>
      <c r="F1068" s="19"/>
      <c r="G1068" s="26" t="str">
        <f aca="false">IF(D1068="","",IFERROR(VALUE(LEFT(D1068,FIND(" |",D1068&amp;" |")-1)),"?"))</f>
        <v/>
      </c>
      <c r="H1068" s="27" t="str">
        <f aca="false">IF(G1068="","",IF(G1068="?","⚠ pub inconnue",IFERROR(INDEX(Pubs!$B$2:$B$3001,MATCH(G1068,Pubs!$A$2:$A$3001,0))&amp;"","⚠ pub inconnue")))</f>
        <v/>
      </c>
      <c r="I1068" s="27" t="str">
        <f aca="false">IF(OR(G1068="",G1068="?"),"",IFERROR(INDEX(Pubs!$C$2:$C$3001,MATCH(G1068,Pubs!$A$2:$A$3001,0))&amp;"",""))</f>
        <v/>
      </c>
      <c r="J1068" s="27" t="str">
        <f aca="false">IF(OR(G1068="",G1068="?"),"",IFERROR(INDEX(Pubs!$G$2:$G$3001,MATCH(G1068,Pubs!$A$2:$A$3001,0))&amp;"",""))</f>
        <v/>
      </c>
      <c r="K1068" s="28" t="str">
        <f aca="false">IF(OR(G1068="",G1068="?"),"",IFERROR(INDEX(Pubs!$E$2:$E$3001,MATCH(G1068,Pubs!$A$2:$A$3001,0)),""))</f>
        <v/>
      </c>
      <c r="L1068" s="29" t="str">
        <f aca="false">IF(A1068="","",IFERROR(1/(1/INDEX(Numéros!$C$2:$C$3001,MATCH(A1068&amp;"|"&amp;B1068,Numéros!$F$2:$F$3001,0))),""))</f>
        <v/>
      </c>
      <c r="M1068" s="27" t="str">
        <f aca="false">IF(OR(G1068="",G1068="?"),"",IFERROR(INDEX(Pubs!$D$2:$D$3001,MATCH(G1068,Pubs!$A$2:$A$3001,0))&amp;"",""))</f>
        <v/>
      </c>
      <c r="N1068" s="27" t="n">
        <f aca="false">N(N1067)+IF(AND(A1068&lt;&gt;"",OR(Recherche!$C$4="",A1068=Recherche!$C$4),OR(Recherche!$C$5="",B1068&amp;""=Recherche!$C$5&amp;""),OR(Recherche!$C$6="",IFERROR(YEAR(L1068),0)=Recherche!$C$6),OR(Recherche!$C$7="",ISNUMBER(SEARCH(Recherche!$C$7,H1068))),OR(Recherche!$C$8="",J1068=Recherche!$C$8),OR(Recherche!$C$9="",I1068=Recherche!$C$9),OR(Recherche!$C$10="",G1068&amp;""=Recherche!$C$10&amp;""),OR(Recherche!$C$11="",E1068=Recherche!$C$11),OR(Recherche!$C$12="",ISNUMBER(SEARCH(Recherche!$C$12,M1068&amp;" "&amp;F1068)))),1,0)</f>
        <v>8</v>
      </c>
    </row>
    <row r="1069" customFormat="false" ht="15" hidden="false" customHeight="false" outlineLevel="0" collapsed="false">
      <c r="A1069" s="19"/>
      <c r="B1069" s="19"/>
      <c r="C1069" s="19"/>
      <c r="D1069" s="19"/>
      <c r="E1069" s="22"/>
      <c r="F1069" s="19"/>
      <c r="G1069" s="26" t="str">
        <f aca="false">IF(D1069="","",IFERROR(VALUE(LEFT(D1069,FIND(" |",D1069&amp;" |")-1)),"?"))</f>
        <v/>
      </c>
      <c r="H1069" s="27" t="str">
        <f aca="false">IF(G1069="","",IF(G1069="?","⚠ pub inconnue",IFERROR(INDEX(Pubs!$B$2:$B$3001,MATCH(G1069,Pubs!$A$2:$A$3001,0))&amp;"","⚠ pub inconnue")))</f>
        <v/>
      </c>
      <c r="I1069" s="27" t="str">
        <f aca="false">IF(OR(G1069="",G1069="?"),"",IFERROR(INDEX(Pubs!$C$2:$C$3001,MATCH(G1069,Pubs!$A$2:$A$3001,0))&amp;"",""))</f>
        <v/>
      </c>
      <c r="J1069" s="27" t="str">
        <f aca="false">IF(OR(G1069="",G1069="?"),"",IFERROR(INDEX(Pubs!$G$2:$G$3001,MATCH(G1069,Pubs!$A$2:$A$3001,0))&amp;"",""))</f>
        <v/>
      </c>
      <c r="K1069" s="28" t="str">
        <f aca="false">IF(OR(G1069="",G1069="?"),"",IFERROR(INDEX(Pubs!$E$2:$E$3001,MATCH(G1069,Pubs!$A$2:$A$3001,0)),""))</f>
        <v/>
      </c>
      <c r="L1069" s="29" t="str">
        <f aca="false">IF(A1069="","",IFERROR(1/(1/INDEX(Numéros!$C$2:$C$3001,MATCH(A1069&amp;"|"&amp;B1069,Numéros!$F$2:$F$3001,0))),""))</f>
        <v/>
      </c>
      <c r="M1069" s="27" t="str">
        <f aca="false">IF(OR(G1069="",G1069="?"),"",IFERROR(INDEX(Pubs!$D$2:$D$3001,MATCH(G1069,Pubs!$A$2:$A$3001,0))&amp;"",""))</f>
        <v/>
      </c>
      <c r="N1069" s="27" t="n">
        <f aca="false">N(N1068)+IF(AND(A1069&lt;&gt;"",OR(Recherche!$C$4="",A1069=Recherche!$C$4),OR(Recherche!$C$5="",B1069&amp;""=Recherche!$C$5&amp;""),OR(Recherche!$C$6="",IFERROR(YEAR(L1069),0)=Recherche!$C$6),OR(Recherche!$C$7="",ISNUMBER(SEARCH(Recherche!$C$7,H1069))),OR(Recherche!$C$8="",J1069=Recherche!$C$8),OR(Recherche!$C$9="",I1069=Recherche!$C$9),OR(Recherche!$C$10="",G1069&amp;""=Recherche!$C$10&amp;""),OR(Recherche!$C$11="",E1069=Recherche!$C$11),OR(Recherche!$C$12="",ISNUMBER(SEARCH(Recherche!$C$12,M1069&amp;" "&amp;F1069)))),1,0)</f>
        <v>8</v>
      </c>
    </row>
    <row r="1070" customFormat="false" ht="15" hidden="false" customHeight="false" outlineLevel="0" collapsed="false">
      <c r="A1070" s="19"/>
      <c r="B1070" s="19"/>
      <c r="C1070" s="19"/>
      <c r="D1070" s="19"/>
      <c r="E1070" s="22"/>
      <c r="F1070" s="19"/>
      <c r="G1070" s="26" t="str">
        <f aca="false">IF(D1070="","",IFERROR(VALUE(LEFT(D1070,FIND(" |",D1070&amp;" |")-1)),"?"))</f>
        <v/>
      </c>
      <c r="H1070" s="27" t="str">
        <f aca="false">IF(G1070="","",IF(G1070="?","⚠ pub inconnue",IFERROR(INDEX(Pubs!$B$2:$B$3001,MATCH(G1070,Pubs!$A$2:$A$3001,0))&amp;"","⚠ pub inconnue")))</f>
        <v/>
      </c>
      <c r="I1070" s="27" t="str">
        <f aca="false">IF(OR(G1070="",G1070="?"),"",IFERROR(INDEX(Pubs!$C$2:$C$3001,MATCH(G1070,Pubs!$A$2:$A$3001,0))&amp;"",""))</f>
        <v/>
      </c>
      <c r="J1070" s="27" t="str">
        <f aca="false">IF(OR(G1070="",G1070="?"),"",IFERROR(INDEX(Pubs!$G$2:$G$3001,MATCH(G1070,Pubs!$A$2:$A$3001,0))&amp;"",""))</f>
        <v/>
      </c>
      <c r="K1070" s="28" t="str">
        <f aca="false">IF(OR(G1070="",G1070="?"),"",IFERROR(INDEX(Pubs!$E$2:$E$3001,MATCH(G1070,Pubs!$A$2:$A$3001,0)),""))</f>
        <v/>
      </c>
      <c r="L1070" s="29" t="str">
        <f aca="false">IF(A1070="","",IFERROR(1/(1/INDEX(Numéros!$C$2:$C$3001,MATCH(A1070&amp;"|"&amp;B1070,Numéros!$F$2:$F$3001,0))),""))</f>
        <v/>
      </c>
      <c r="M1070" s="27" t="str">
        <f aca="false">IF(OR(G1070="",G1070="?"),"",IFERROR(INDEX(Pubs!$D$2:$D$3001,MATCH(G1070,Pubs!$A$2:$A$3001,0))&amp;"",""))</f>
        <v/>
      </c>
      <c r="N1070" s="27" t="n">
        <f aca="false">N(N1069)+IF(AND(A1070&lt;&gt;"",OR(Recherche!$C$4="",A1070=Recherche!$C$4),OR(Recherche!$C$5="",B1070&amp;""=Recherche!$C$5&amp;""),OR(Recherche!$C$6="",IFERROR(YEAR(L1070),0)=Recherche!$C$6),OR(Recherche!$C$7="",ISNUMBER(SEARCH(Recherche!$C$7,H1070))),OR(Recherche!$C$8="",J1070=Recherche!$C$8),OR(Recherche!$C$9="",I1070=Recherche!$C$9),OR(Recherche!$C$10="",G1070&amp;""=Recherche!$C$10&amp;""),OR(Recherche!$C$11="",E1070=Recherche!$C$11),OR(Recherche!$C$12="",ISNUMBER(SEARCH(Recherche!$C$12,M1070&amp;" "&amp;F1070)))),1,0)</f>
        <v>8</v>
      </c>
    </row>
    <row r="1071" customFormat="false" ht="15" hidden="false" customHeight="false" outlineLevel="0" collapsed="false">
      <c r="A1071" s="19"/>
      <c r="B1071" s="19"/>
      <c r="C1071" s="19"/>
      <c r="D1071" s="19"/>
      <c r="E1071" s="22"/>
      <c r="F1071" s="19"/>
      <c r="G1071" s="26" t="str">
        <f aca="false">IF(D1071="","",IFERROR(VALUE(LEFT(D1071,FIND(" |",D1071&amp;" |")-1)),"?"))</f>
        <v/>
      </c>
      <c r="H1071" s="27" t="str">
        <f aca="false">IF(G1071="","",IF(G1071="?","⚠ pub inconnue",IFERROR(INDEX(Pubs!$B$2:$B$3001,MATCH(G1071,Pubs!$A$2:$A$3001,0))&amp;"","⚠ pub inconnue")))</f>
        <v/>
      </c>
      <c r="I1071" s="27" t="str">
        <f aca="false">IF(OR(G1071="",G1071="?"),"",IFERROR(INDEX(Pubs!$C$2:$C$3001,MATCH(G1071,Pubs!$A$2:$A$3001,0))&amp;"",""))</f>
        <v/>
      </c>
      <c r="J1071" s="27" t="str">
        <f aca="false">IF(OR(G1071="",G1071="?"),"",IFERROR(INDEX(Pubs!$G$2:$G$3001,MATCH(G1071,Pubs!$A$2:$A$3001,0))&amp;"",""))</f>
        <v/>
      </c>
      <c r="K1071" s="28" t="str">
        <f aca="false">IF(OR(G1071="",G1071="?"),"",IFERROR(INDEX(Pubs!$E$2:$E$3001,MATCH(G1071,Pubs!$A$2:$A$3001,0)),""))</f>
        <v/>
      </c>
      <c r="L1071" s="29" t="str">
        <f aca="false">IF(A1071="","",IFERROR(1/(1/INDEX(Numéros!$C$2:$C$3001,MATCH(A1071&amp;"|"&amp;B1071,Numéros!$F$2:$F$3001,0))),""))</f>
        <v/>
      </c>
      <c r="M1071" s="27" t="str">
        <f aca="false">IF(OR(G1071="",G1071="?"),"",IFERROR(INDEX(Pubs!$D$2:$D$3001,MATCH(G1071,Pubs!$A$2:$A$3001,0))&amp;"",""))</f>
        <v/>
      </c>
      <c r="N1071" s="27" t="n">
        <f aca="false">N(N1070)+IF(AND(A1071&lt;&gt;"",OR(Recherche!$C$4="",A1071=Recherche!$C$4),OR(Recherche!$C$5="",B1071&amp;""=Recherche!$C$5&amp;""),OR(Recherche!$C$6="",IFERROR(YEAR(L1071),0)=Recherche!$C$6),OR(Recherche!$C$7="",ISNUMBER(SEARCH(Recherche!$C$7,H1071))),OR(Recherche!$C$8="",J1071=Recherche!$C$8),OR(Recherche!$C$9="",I1071=Recherche!$C$9),OR(Recherche!$C$10="",G1071&amp;""=Recherche!$C$10&amp;""),OR(Recherche!$C$11="",E1071=Recherche!$C$11),OR(Recherche!$C$12="",ISNUMBER(SEARCH(Recherche!$C$12,M1071&amp;" "&amp;F1071)))),1,0)</f>
        <v>8</v>
      </c>
    </row>
    <row r="1072" customFormat="false" ht="15" hidden="false" customHeight="false" outlineLevel="0" collapsed="false">
      <c r="A1072" s="19"/>
      <c r="B1072" s="19"/>
      <c r="C1072" s="19"/>
      <c r="D1072" s="19"/>
      <c r="E1072" s="22"/>
      <c r="F1072" s="19"/>
      <c r="G1072" s="26" t="str">
        <f aca="false">IF(D1072="","",IFERROR(VALUE(LEFT(D1072,FIND(" |",D1072&amp;" |")-1)),"?"))</f>
        <v/>
      </c>
      <c r="H1072" s="27" t="str">
        <f aca="false">IF(G1072="","",IF(G1072="?","⚠ pub inconnue",IFERROR(INDEX(Pubs!$B$2:$B$3001,MATCH(G1072,Pubs!$A$2:$A$3001,0))&amp;"","⚠ pub inconnue")))</f>
        <v/>
      </c>
      <c r="I1072" s="27" t="str">
        <f aca="false">IF(OR(G1072="",G1072="?"),"",IFERROR(INDEX(Pubs!$C$2:$C$3001,MATCH(G1072,Pubs!$A$2:$A$3001,0))&amp;"",""))</f>
        <v/>
      </c>
      <c r="J1072" s="27" t="str">
        <f aca="false">IF(OR(G1072="",G1072="?"),"",IFERROR(INDEX(Pubs!$G$2:$G$3001,MATCH(G1072,Pubs!$A$2:$A$3001,0))&amp;"",""))</f>
        <v/>
      </c>
      <c r="K1072" s="28" t="str">
        <f aca="false">IF(OR(G1072="",G1072="?"),"",IFERROR(INDEX(Pubs!$E$2:$E$3001,MATCH(G1072,Pubs!$A$2:$A$3001,0)),""))</f>
        <v/>
      </c>
      <c r="L1072" s="29" t="str">
        <f aca="false">IF(A1072="","",IFERROR(1/(1/INDEX(Numéros!$C$2:$C$3001,MATCH(A1072&amp;"|"&amp;B1072,Numéros!$F$2:$F$3001,0))),""))</f>
        <v/>
      </c>
      <c r="M1072" s="27" t="str">
        <f aca="false">IF(OR(G1072="",G1072="?"),"",IFERROR(INDEX(Pubs!$D$2:$D$3001,MATCH(G1072,Pubs!$A$2:$A$3001,0))&amp;"",""))</f>
        <v/>
      </c>
      <c r="N1072" s="27" t="n">
        <f aca="false">N(N1071)+IF(AND(A1072&lt;&gt;"",OR(Recherche!$C$4="",A1072=Recherche!$C$4),OR(Recherche!$C$5="",B1072&amp;""=Recherche!$C$5&amp;""),OR(Recherche!$C$6="",IFERROR(YEAR(L1072),0)=Recherche!$C$6),OR(Recherche!$C$7="",ISNUMBER(SEARCH(Recherche!$C$7,H1072))),OR(Recherche!$C$8="",J1072=Recherche!$C$8),OR(Recherche!$C$9="",I1072=Recherche!$C$9),OR(Recherche!$C$10="",G1072&amp;""=Recherche!$C$10&amp;""),OR(Recherche!$C$11="",E1072=Recherche!$C$11),OR(Recherche!$C$12="",ISNUMBER(SEARCH(Recherche!$C$12,M1072&amp;" "&amp;F1072)))),1,0)</f>
        <v>8</v>
      </c>
    </row>
    <row r="1073" customFormat="false" ht="15" hidden="false" customHeight="false" outlineLevel="0" collapsed="false">
      <c r="A1073" s="19"/>
      <c r="B1073" s="19"/>
      <c r="C1073" s="19"/>
      <c r="D1073" s="19"/>
      <c r="E1073" s="22"/>
      <c r="F1073" s="19"/>
      <c r="G1073" s="26" t="str">
        <f aca="false">IF(D1073="","",IFERROR(VALUE(LEFT(D1073,FIND(" |",D1073&amp;" |")-1)),"?"))</f>
        <v/>
      </c>
      <c r="H1073" s="27" t="str">
        <f aca="false">IF(G1073="","",IF(G1073="?","⚠ pub inconnue",IFERROR(INDEX(Pubs!$B$2:$B$3001,MATCH(G1073,Pubs!$A$2:$A$3001,0))&amp;"","⚠ pub inconnue")))</f>
        <v/>
      </c>
      <c r="I1073" s="27" t="str">
        <f aca="false">IF(OR(G1073="",G1073="?"),"",IFERROR(INDEX(Pubs!$C$2:$C$3001,MATCH(G1073,Pubs!$A$2:$A$3001,0))&amp;"",""))</f>
        <v/>
      </c>
      <c r="J1073" s="27" t="str">
        <f aca="false">IF(OR(G1073="",G1073="?"),"",IFERROR(INDEX(Pubs!$G$2:$G$3001,MATCH(G1073,Pubs!$A$2:$A$3001,0))&amp;"",""))</f>
        <v/>
      </c>
      <c r="K1073" s="28" t="str">
        <f aca="false">IF(OR(G1073="",G1073="?"),"",IFERROR(INDEX(Pubs!$E$2:$E$3001,MATCH(G1073,Pubs!$A$2:$A$3001,0)),""))</f>
        <v/>
      </c>
      <c r="L1073" s="29" t="str">
        <f aca="false">IF(A1073="","",IFERROR(1/(1/INDEX(Numéros!$C$2:$C$3001,MATCH(A1073&amp;"|"&amp;B1073,Numéros!$F$2:$F$3001,0))),""))</f>
        <v/>
      </c>
      <c r="M1073" s="27" t="str">
        <f aca="false">IF(OR(G1073="",G1073="?"),"",IFERROR(INDEX(Pubs!$D$2:$D$3001,MATCH(G1073,Pubs!$A$2:$A$3001,0))&amp;"",""))</f>
        <v/>
      </c>
      <c r="N1073" s="27" t="n">
        <f aca="false">N(N1072)+IF(AND(A1073&lt;&gt;"",OR(Recherche!$C$4="",A1073=Recherche!$C$4),OR(Recherche!$C$5="",B1073&amp;""=Recherche!$C$5&amp;""),OR(Recherche!$C$6="",IFERROR(YEAR(L1073),0)=Recherche!$C$6),OR(Recherche!$C$7="",ISNUMBER(SEARCH(Recherche!$C$7,H1073))),OR(Recherche!$C$8="",J1073=Recherche!$C$8),OR(Recherche!$C$9="",I1073=Recherche!$C$9),OR(Recherche!$C$10="",G1073&amp;""=Recherche!$C$10&amp;""),OR(Recherche!$C$11="",E1073=Recherche!$C$11),OR(Recherche!$C$12="",ISNUMBER(SEARCH(Recherche!$C$12,M1073&amp;" "&amp;F1073)))),1,0)</f>
        <v>8</v>
      </c>
    </row>
    <row r="1074" customFormat="false" ht="15" hidden="false" customHeight="false" outlineLevel="0" collapsed="false">
      <c r="A1074" s="19"/>
      <c r="B1074" s="19"/>
      <c r="C1074" s="19"/>
      <c r="D1074" s="19"/>
      <c r="E1074" s="22"/>
      <c r="F1074" s="19"/>
      <c r="G1074" s="26" t="str">
        <f aca="false">IF(D1074="","",IFERROR(VALUE(LEFT(D1074,FIND(" |",D1074&amp;" |")-1)),"?"))</f>
        <v/>
      </c>
      <c r="H1074" s="27" t="str">
        <f aca="false">IF(G1074="","",IF(G1074="?","⚠ pub inconnue",IFERROR(INDEX(Pubs!$B$2:$B$3001,MATCH(G1074,Pubs!$A$2:$A$3001,0))&amp;"","⚠ pub inconnue")))</f>
        <v/>
      </c>
      <c r="I1074" s="27" t="str">
        <f aca="false">IF(OR(G1074="",G1074="?"),"",IFERROR(INDEX(Pubs!$C$2:$C$3001,MATCH(G1074,Pubs!$A$2:$A$3001,0))&amp;"",""))</f>
        <v/>
      </c>
      <c r="J1074" s="27" t="str">
        <f aca="false">IF(OR(G1074="",G1074="?"),"",IFERROR(INDEX(Pubs!$G$2:$G$3001,MATCH(G1074,Pubs!$A$2:$A$3001,0))&amp;"",""))</f>
        <v/>
      </c>
      <c r="K1074" s="28" t="str">
        <f aca="false">IF(OR(G1074="",G1074="?"),"",IFERROR(INDEX(Pubs!$E$2:$E$3001,MATCH(G1074,Pubs!$A$2:$A$3001,0)),""))</f>
        <v/>
      </c>
      <c r="L1074" s="29" t="str">
        <f aca="false">IF(A1074="","",IFERROR(1/(1/INDEX(Numéros!$C$2:$C$3001,MATCH(A1074&amp;"|"&amp;B1074,Numéros!$F$2:$F$3001,0))),""))</f>
        <v/>
      </c>
      <c r="M1074" s="27" t="str">
        <f aca="false">IF(OR(G1074="",G1074="?"),"",IFERROR(INDEX(Pubs!$D$2:$D$3001,MATCH(G1074,Pubs!$A$2:$A$3001,0))&amp;"",""))</f>
        <v/>
      </c>
      <c r="N1074" s="27" t="n">
        <f aca="false">N(N1073)+IF(AND(A1074&lt;&gt;"",OR(Recherche!$C$4="",A1074=Recherche!$C$4),OR(Recherche!$C$5="",B1074&amp;""=Recherche!$C$5&amp;""),OR(Recherche!$C$6="",IFERROR(YEAR(L1074),0)=Recherche!$C$6),OR(Recherche!$C$7="",ISNUMBER(SEARCH(Recherche!$C$7,H1074))),OR(Recherche!$C$8="",J1074=Recherche!$C$8),OR(Recherche!$C$9="",I1074=Recherche!$C$9),OR(Recherche!$C$10="",G1074&amp;""=Recherche!$C$10&amp;""),OR(Recherche!$C$11="",E1074=Recherche!$C$11),OR(Recherche!$C$12="",ISNUMBER(SEARCH(Recherche!$C$12,M1074&amp;" "&amp;F1074)))),1,0)</f>
        <v>8</v>
      </c>
    </row>
    <row r="1075" customFormat="false" ht="15" hidden="false" customHeight="false" outlineLevel="0" collapsed="false">
      <c r="A1075" s="19"/>
      <c r="B1075" s="19"/>
      <c r="C1075" s="19"/>
      <c r="D1075" s="19"/>
      <c r="E1075" s="22"/>
      <c r="F1075" s="19"/>
      <c r="G1075" s="26" t="str">
        <f aca="false">IF(D1075="","",IFERROR(VALUE(LEFT(D1075,FIND(" |",D1075&amp;" |")-1)),"?"))</f>
        <v/>
      </c>
      <c r="H1075" s="27" t="str">
        <f aca="false">IF(G1075="","",IF(G1075="?","⚠ pub inconnue",IFERROR(INDEX(Pubs!$B$2:$B$3001,MATCH(G1075,Pubs!$A$2:$A$3001,0))&amp;"","⚠ pub inconnue")))</f>
        <v/>
      </c>
      <c r="I1075" s="27" t="str">
        <f aca="false">IF(OR(G1075="",G1075="?"),"",IFERROR(INDEX(Pubs!$C$2:$C$3001,MATCH(G1075,Pubs!$A$2:$A$3001,0))&amp;"",""))</f>
        <v/>
      </c>
      <c r="J1075" s="27" t="str">
        <f aca="false">IF(OR(G1075="",G1075="?"),"",IFERROR(INDEX(Pubs!$G$2:$G$3001,MATCH(G1075,Pubs!$A$2:$A$3001,0))&amp;"",""))</f>
        <v/>
      </c>
      <c r="K1075" s="28" t="str">
        <f aca="false">IF(OR(G1075="",G1075="?"),"",IFERROR(INDEX(Pubs!$E$2:$E$3001,MATCH(G1075,Pubs!$A$2:$A$3001,0)),""))</f>
        <v/>
      </c>
      <c r="L1075" s="29" t="str">
        <f aca="false">IF(A1075="","",IFERROR(1/(1/INDEX(Numéros!$C$2:$C$3001,MATCH(A1075&amp;"|"&amp;B1075,Numéros!$F$2:$F$3001,0))),""))</f>
        <v/>
      </c>
      <c r="M1075" s="27" t="str">
        <f aca="false">IF(OR(G1075="",G1075="?"),"",IFERROR(INDEX(Pubs!$D$2:$D$3001,MATCH(G1075,Pubs!$A$2:$A$3001,0))&amp;"",""))</f>
        <v/>
      </c>
      <c r="N1075" s="27" t="n">
        <f aca="false">N(N1074)+IF(AND(A1075&lt;&gt;"",OR(Recherche!$C$4="",A1075=Recherche!$C$4),OR(Recherche!$C$5="",B1075&amp;""=Recherche!$C$5&amp;""),OR(Recherche!$C$6="",IFERROR(YEAR(L1075),0)=Recherche!$C$6),OR(Recherche!$C$7="",ISNUMBER(SEARCH(Recherche!$C$7,H1075))),OR(Recherche!$C$8="",J1075=Recherche!$C$8),OR(Recherche!$C$9="",I1075=Recherche!$C$9),OR(Recherche!$C$10="",G1075&amp;""=Recherche!$C$10&amp;""),OR(Recherche!$C$11="",E1075=Recherche!$C$11),OR(Recherche!$C$12="",ISNUMBER(SEARCH(Recherche!$C$12,M1075&amp;" "&amp;F1075)))),1,0)</f>
        <v>8</v>
      </c>
    </row>
    <row r="1076" customFormat="false" ht="15" hidden="false" customHeight="false" outlineLevel="0" collapsed="false">
      <c r="A1076" s="19"/>
      <c r="B1076" s="19"/>
      <c r="C1076" s="19"/>
      <c r="D1076" s="19"/>
      <c r="E1076" s="22"/>
      <c r="F1076" s="19"/>
      <c r="G1076" s="26" t="str">
        <f aca="false">IF(D1076="","",IFERROR(VALUE(LEFT(D1076,FIND(" |",D1076&amp;" |")-1)),"?"))</f>
        <v/>
      </c>
      <c r="H1076" s="27" t="str">
        <f aca="false">IF(G1076="","",IF(G1076="?","⚠ pub inconnue",IFERROR(INDEX(Pubs!$B$2:$B$3001,MATCH(G1076,Pubs!$A$2:$A$3001,0))&amp;"","⚠ pub inconnue")))</f>
        <v/>
      </c>
      <c r="I1076" s="27" t="str">
        <f aca="false">IF(OR(G1076="",G1076="?"),"",IFERROR(INDEX(Pubs!$C$2:$C$3001,MATCH(G1076,Pubs!$A$2:$A$3001,0))&amp;"",""))</f>
        <v/>
      </c>
      <c r="J1076" s="27" t="str">
        <f aca="false">IF(OR(G1076="",G1076="?"),"",IFERROR(INDEX(Pubs!$G$2:$G$3001,MATCH(G1076,Pubs!$A$2:$A$3001,0))&amp;"",""))</f>
        <v/>
      </c>
      <c r="K1076" s="28" t="str">
        <f aca="false">IF(OR(G1076="",G1076="?"),"",IFERROR(INDEX(Pubs!$E$2:$E$3001,MATCH(G1076,Pubs!$A$2:$A$3001,0)),""))</f>
        <v/>
      </c>
      <c r="L1076" s="29" t="str">
        <f aca="false">IF(A1076="","",IFERROR(1/(1/INDEX(Numéros!$C$2:$C$3001,MATCH(A1076&amp;"|"&amp;B1076,Numéros!$F$2:$F$3001,0))),""))</f>
        <v/>
      </c>
      <c r="M1076" s="27" t="str">
        <f aca="false">IF(OR(G1076="",G1076="?"),"",IFERROR(INDEX(Pubs!$D$2:$D$3001,MATCH(G1076,Pubs!$A$2:$A$3001,0))&amp;"",""))</f>
        <v/>
      </c>
      <c r="N1076" s="27" t="n">
        <f aca="false">N(N1075)+IF(AND(A1076&lt;&gt;"",OR(Recherche!$C$4="",A1076=Recherche!$C$4),OR(Recherche!$C$5="",B1076&amp;""=Recherche!$C$5&amp;""),OR(Recherche!$C$6="",IFERROR(YEAR(L1076),0)=Recherche!$C$6),OR(Recherche!$C$7="",ISNUMBER(SEARCH(Recherche!$C$7,H1076))),OR(Recherche!$C$8="",J1076=Recherche!$C$8),OR(Recherche!$C$9="",I1076=Recherche!$C$9),OR(Recherche!$C$10="",G1076&amp;""=Recherche!$C$10&amp;""),OR(Recherche!$C$11="",E1076=Recherche!$C$11),OR(Recherche!$C$12="",ISNUMBER(SEARCH(Recherche!$C$12,M1076&amp;" "&amp;F1076)))),1,0)</f>
        <v>8</v>
      </c>
    </row>
    <row r="1077" customFormat="false" ht="15" hidden="false" customHeight="false" outlineLevel="0" collapsed="false">
      <c r="A1077" s="19"/>
      <c r="B1077" s="19"/>
      <c r="C1077" s="19"/>
      <c r="D1077" s="19"/>
      <c r="E1077" s="22"/>
      <c r="F1077" s="19"/>
      <c r="G1077" s="26" t="str">
        <f aca="false">IF(D1077="","",IFERROR(VALUE(LEFT(D1077,FIND(" |",D1077&amp;" |")-1)),"?"))</f>
        <v/>
      </c>
      <c r="H1077" s="27" t="str">
        <f aca="false">IF(G1077="","",IF(G1077="?","⚠ pub inconnue",IFERROR(INDEX(Pubs!$B$2:$B$3001,MATCH(G1077,Pubs!$A$2:$A$3001,0))&amp;"","⚠ pub inconnue")))</f>
        <v/>
      </c>
      <c r="I1077" s="27" t="str">
        <f aca="false">IF(OR(G1077="",G1077="?"),"",IFERROR(INDEX(Pubs!$C$2:$C$3001,MATCH(G1077,Pubs!$A$2:$A$3001,0))&amp;"",""))</f>
        <v/>
      </c>
      <c r="J1077" s="27" t="str">
        <f aca="false">IF(OR(G1077="",G1077="?"),"",IFERROR(INDEX(Pubs!$G$2:$G$3001,MATCH(G1077,Pubs!$A$2:$A$3001,0))&amp;"",""))</f>
        <v/>
      </c>
      <c r="K1077" s="28" t="str">
        <f aca="false">IF(OR(G1077="",G1077="?"),"",IFERROR(INDEX(Pubs!$E$2:$E$3001,MATCH(G1077,Pubs!$A$2:$A$3001,0)),""))</f>
        <v/>
      </c>
      <c r="L1077" s="29" t="str">
        <f aca="false">IF(A1077="","",IFERROR(1/(1/INDEX(Numéros!$C$2:$C$3001,MATCH(A1077&amp;"|"&amp;B1077,Numéros!$F$2:$F$3001,0))),""))</f>
        <v/>
      </c>
      <c r="M1077" s="27" t="str">
        <f aca="false">IF(OR(G1077="",G1077="?"),"",IFERROR(INDEX(Pubs!$D$2:$D$3001,MATCH(G1077,Pubs!$A$2:$A$3001,0))&amp;"",""))</f>
        <v/>
      </c>
      <c r="N1077" s="27" t="n">
        <f aca="false">N(N1076)+IF(AND(A1077&lt;&gt;"",OR(Recherche!$C$4="",A1077=Recherche!$C$4),OR(Recherche!$C$5="",B1077&amp;""=Recherche!$C$5&amp;""),OR(Recherche!$C$6="",IFERROR(YEAR(L1077),0)=Recherche!$C$6),OR(Recherche!$C$7="",ISNUMBER(SEARCH(Recherche!$C$7,H1077))),OR(Recherche!$C$8="",J1077=Recherche!$C$8),OR(Recherche!$C$9="",I1077=Recherche!$C$9),OR(Recherche!$C$10="",G1077&amp;""=Recherche!$C$10&amp;""),OR(Recherche!$C$11="",E1077=Recherche!$C$11),OR(Recherche!$C$12="",ISNUMBER(SEARCH(Recherche!$C$12,M1077&amp;" "&amp;F1077)))),1,0)</f>
        <v>8</v>
      </c>
    </row>
    <row r="1078" customFormat="false" ht="15" hidden="false" customHeight="false" outlineLevel="0" collapsed="false">
      <c r="A1078" s="19"/>
      <c r="B1078" s="19"/>
      <c r="C1078" s="19"/>
      <c r="D1078" s="19"/>
      <c r="E1078" s="22"/>
      <c r="F1078" s="19"/>
      <c r="G1078" s="26" t="str">
        <f aca="false">IF(D1078="","",IFERROR(VALUE(LEFT(D1078,FIND(" |",D1078&amp;" |")-1)),"?"))</f>
        <v/>
      </c>
      <c r="H1078" s="27" t="str">
        <f aca="false">IF(G1078="","",IF(G1078="?","⚠ pub inconnue",IFERROR(INDEX(Pubs!$B$2:$B$3001,MATCH(G1078,Pubs!$A$2:$A$3001,0))&amp;"","⚠ pub inconnue")))</f>
        <v/>
      </c>
      <c r="I1078" s="27" t="str">
        <f aca="false">IF(OR(G1078="",G1078="?"),"",IFERROR(INDEX(Pubs!$C$2:$C$3001,MATCH(G1078,Pubs!$A$2:$A$3001,0))&amp;"",""))</f>
        <v/>
      </c>
      <c r="J1078" s="27" t="str">
        <f aca="false">IF(OR(G1078="",G1078="?"),"",IFERROR(INDEX(Pubs!$G$2:$G$3001,MATCH(G1078,Pubs!$A$2:$A$3001,0))&amp;"",""))</f>
        <v/>
      </c>
      <c r="K1078" s="28" t="str">
        <f aca="false">IF(OR(G1078="",G1078="?"),"",IFERROR(INDEX(Pubs!$E$2:$E$3001,MATCH(G1078,Pubs!$A$2:$A$3001,0)),""))</f>
        <v/>
      </c>
      <c r="L1078" s="29" t="str">
        <f aca="false">IF(A1078="","",IFERROR(1/(1/INDEX(Numéros!$C$2:$C$3001,MATCH(A1078&amp;"|"&amp;B1078,Numéros!$F$2:$F$3001,0))),""))</f>
        <v/>
      </c>
      <c r="M1078" s="27" t="str">
        <f aca="false">IF(OR(G1078="",G1078="?"),"",IFERROR(INDEX(Pubs!$D$2:$D$3001,MATCH(G1078,Pubs!$A$2:$A$3001,0))&amp;"",""))</f>
        <v/>
      </c>
      <c r="N1078" s="27" t="n">
        <f aca="false">N(N1077)+IF(AND(A1078&lt;&gt;"",OR(Recherche!$C$4="",A1078=Recherche!$C$4),OR(Recherche!$C$5="",B1078&amp;""=Recherche!$C$5&amp;""),OR(Recherche!$C$6="",IFERROR(YEAR(L1078),0)=Recherche!$C$6),OR(Recherche!$C$7="",ISNUMBER(SEARCH(Recherche!$C$7,H1078))),OR(Recherche!$C$8="",J1078=Recherche!$C$8),OR(Recherche!$C$9="",I1078=Recherche!$C$9),OR(Recherche!$C$10="",G1078&amp;""=Recherche!$C$10&amp;""),OR(Recherche!$C$11="",E1078=Recherche!$C$11),OR(Recherche!$C$12="",ISNUMBER(SEARCH(Recherche!$C$12,M1078&amp;" "&amp;F1078)))),1,0)</f>
        <v>8</v>
      </c>
    </row>
    <row r="1079" customFormat="false" ht="15" hidden="false" customHeight="false" outlineLevel="0" collapsed="false">
      <c r="A1079" s="19"/>
      <c r="B1079" s="19"/>
      <c r="C1079" s="19"/>
      <c r="D1079" s="19"/>
      <c r="E1079" s="22"/>
      <c r="F1079" s="19"/>
      <c r="G1079" s="26" t="str">
        <f aca="false">IF(D1079="","",IFERROR(VALUE(LEFT(D1079,FIND(" |",D1079&amp;" |")-1)),"?"))</f>
        <v/>
      </c>
      <c r="H1079" s="27" t="str">
        <f aca="false">IF(G1079="","",IF(G1079="?","⚠ pub inconnue",IFERROR(INDEX(Pubs!$B$2:$B$3001,MATCH(G1079,Pubs!$A$2:$A$3001,0))&amp;"","⚠ pub inconnue")))</f>
        <v/>
      </c>
      <c r="I1079" s="27" t="str">
        <f aca="false">IF(OR(G1079="",G1079="?"),"",IFERROR(INDEX(Pubs!$C$2:$C$3001,MATCH(G1079,Pubs!$A$2:$A$3001,0))&amp;"",""))</f>
        <v/>
      </c>
      <c r="J1079" s="27" t="str">
        <f aca="false">IF(OR(G1079="",G1079="?"),"",IFERROR(INDEX(Pubs!$G$2:$G$3001,MATCH(G1079,Pubs!$A$2:$A$3001,0))&amp;"",""))</f>
        <v/>
      </c>
      <c r="K1079" s="28" t="str">
        <f aca="false">IF(OR(G1079="",G1079="?"),"",IFERROR(INDEX(Pubs!$E$2:$E$3001,MATCH(G1079,Pubs!$A$2:$A$3001,0)),""))</f>
        <v/>
      </c>
      <c r="L1079" s="29" t="str">
        <f aca="false">IF(A1079="","",IFERROR(1/(1/INDEX(Numéros!$C$2:$C$3001,MATCH(A1079&amp;"|"&amp;B1079,Numéros!$F$2:$F$3001,0))),""))</f>
        <v/>
      </c>
      <c r="M1079" s="27" t="str">
        <f aca="false">IF(OR(G1079="",G1079="?"),"",IFERROR(INDEX(Pubs!$D$2:$D$3001,MATCH(G1079,Pubs!$A$2:$A$3001,0))&amp;"",""))</f>
        <v/>
      </c>
      <c r="N1079" s="27" t="n">
        <f aca="false">N(N1078)+IF(AND(A1079&lt;&gt;"",OR(Recherche!$C$4="",A1079=Recherche!$C$4),OR(Recherche!$C$5="",B1079&amp;""=Recherche!$C$5&amp;""),OR(Recherche!$C$6="",IFERROR(YEAR(L1079),0)=Recherche!$C$6),OR(Recherche!$C$7="",ISNUMBER(SEARCH(Recherche!$C$7,H1079))),OR(Recherche!$C$8="",J1079=Recherche!$C$8),OR(Recherche!$C$9="",I1079=Recherche!$C$9),OR(Recherche!$C$10="",G1079&amp;""=Recherche!$C$10&amp;""),OR(Recherche!$C$11="",E1079=Recherche!$C$11),OR(Recherche!$C$12="",ISNUMBER(SEARCH(Recherche!$C$12,M1079&amp;" "&amp;F1079)))),1,0)</f>
        <v>8</v>
      </c>
    </row>
    <row r="1080" customFormat="false" ht="15" hidden="false" customHeight="false" outlineLevel="0" collapsed="false">
      <c r="A1080" s="19"/>
      <c r="B1080" s="19"/>
      <c r="C1080" s="19"/>
      <c r="D1080" s="19"/>
      <c r="E1080" s="22"/>
      <c r="F1080" s="19"/>
      <c r="G1080" s="26" t="str">
        <f aca="false">IF(D1080="","",IFERROR(VALUE(LEFT(D1080,FIND(" |",D1080&amp;" |")-1)),"?"))</f>
        <v/>
      </c>
      <c r="H1080" s="27" t="str">
        <f aca="false">IF(G1080="","",IF(G1080="?","⚠ pub inconnue",IFERROR(INDEX(Pubs!$B$2:$B$3001,MATCH(G1080,Pubs!$A$2:$A$3001,0))&amp;"","⚠ pub inconnue")))</f>
        <v/>
      </c>
      <c r="I1080" s="27" t="str">
        <f aca="false">IF(OR(G1080="",G1080="?"),"",IFERROR(INDEX(Pubs!$C$2:$C$3001,MATCH(G1080,Pubs!$A$2:$A$3001,0))&amp;"",""))</f>
        <v/>
      </c>
      <c r="J1080" s="27" t="str">
        <f aca="false">IF(OR(G1080="",G1080="?"),"",IFERROR(INDEX(Pubs!$G$2:$G$3001,MATCH(G1080,Pubs!$A$2:$A$3001,0))&amp;"",""))</f>
        <v/>
      </c>
      <c r="K1080" s="28" t="str">
        <f aca="false">IF(OR(G1080="",G1080="?"),"",IFERROR(INDEX(Pubs!$E$2:$E$3001,MATCH(G1080,Pubs!$A$2:$A$3001,0)),""))</f>
        <v/>
      </c>
      <c r="L1080" s="29" t="str">
        <f aca="false">IF(A1080="","",IFERROR(1/(1/INDEX(Numéros!$C$2:$C$3001,MATCH(A1080&amp;"|"&amp;B1080,Numéros!$F$2:$F$3001,0))),""))</f>
        <v/>
      </c>
      <c r="M1080" s="27" t="str">
        <f aca="false">IF(OR(G1080="",G1080="?"),"",IFERROR(INDEX(Pubs!$D$2:$D$3001,MATCH(G1080,Pubs!$A$2:$A$3001,0))&amp;"",""))</f>
        <v/>
      </c>
      <c r="N1080" s="27" t="n">
        <f aca="false">N(N1079)+IF(AND(A1080&lt;&gt;"",OR(Recherche!$C$4="",A1080=Recherche!$C$4),OR(Recherche!$C$5="",B1080&amp;""=Recherche!$C$5&amp;""),OR(Recherche!$C$6="",IFERROR(YEAR(L1080),0)=Recherche!$C$6),OR(Recherche!$C$7="",ISNUMBER(SEARCH(Recherche!$C$7,H1080))),OR(Recherche!$C$8="",J1080=Recherche!$C$8),OR(Recherche!$C$9="",I1080=Recherche!$C$9),OR(Recherche!$C$10="",G1080&amp;""=Recherche!$C$10&amp;""),OR(Recherche!$C$11="",E1080=Recherche!$C$11),OR(Recherche!$C$12="",ISNUMBER(SEARCH(Recherche!$C$12,M1080&amp;" "&amp;F1080)))),1,0)</f>
        <v>8</v>
      </c>
    </row>
    <row r="1081" customFormat="false" ht="15" hidden="false" customHeight="false" outlineLevel="0" collapsed="false">
      <c r="A1081" s="19"/>
      <c r="B1081" s="19"/>
      <c r="C1081" s="19"/>
      <c r="D1081" s="19"/>
      <c r="E1081" s="22"/>
      <c r="F1081" s="19"/>
      <c r="G1081" s="26" t="str">
        <f aca="false">IF(D1081="","",IFERROR(VALUE(LEFT(D1081,FIND(" |",D1081&amp;" |")-1)),"?"))</f>
        <v/>
      </c>
      <c r="H1081" s="27" t="str">
        <f aca="false">IF(G1081="","",IF(G1081="?","⚠ pub inconnue",IFERROR(INDEX(Pubs!$B$2:$B$3001,MATCH(G1081,Pubs!$A$2:$A$3001,0))&amp;"","⚠ pub inconnue")))</f>
        <v/>
      </c>
      <c r="I1081" s="27" t="str">
        <f aca="false">IF(OR(G1081="",G1081="?"),"",IFERROR(INDEX(Pubs!$C$2:$C$3001,MATCH(G1081,Pubs!$A$2:$A$3001,0))&amp;"",""))</f>
        <v/>
      </c>
      <c r="J1081" s="27" t="str">
        <f aca="false">IF(OR(G1081="",G1081="?"),"",IFERROR(INDEX(Pubs!$G$2:$G$3001,MATCH(G1081,Pubs!$A$2:$A$3001,0))&amp;"",""))</f>
        <v/>
      </c>
      <c r="K1081" s="28" t="str">
        <f aca="false">IF(OR(G1081="",G1081="?"),"",IFERROR(INDEX(Pubs!$E$2:$E$3001,MATCH(G1081,Pubs!$A$2:$A$3001,0)),""))</f>
        <v/>
      </c>
      <c r="L1081" s="29" t="str">
        <f aca="false">IF(A1081="","",IFERROR(1/(1/INDEX(Numéros!$C$2:$C$3001,MATCH(A1081&amp;"|"&amp;B1081,Numéros!$F$2:$F$3001,0))),""))</f>
        <v/>
      </c>
      <c r="M1081" s="27" t="str">
        <f aca="false">IF(OR(G1081="",G1081="?"),"",IFERROR(INDEX(Pubs!$D$2:$D$3001,MATCH(G1081,Pubs!$A$2:$A$3001,0))&amp;"",""))</f>
        <v/>
      </c>
      <c r="N1081" s="27" t="n">
        <f aca="false">N(N1080)+IF(AND(A1081&lt;&gt;"",OR(Recherche!$C$4="",A1081=Recherche!$C$4),OR(Recherche!$C$5="",B1081&amp;""=Recherche!$C$5&amp;""),OR(Recherche!$C$6="",IFERROR(YEAR(L1081),0)=Recherche!$C$6),OR(Recherche!$C$7="",ISNUMBER(SEARCH(Recherche!$C$7,H1081))),OR(Recherche!$C$8="",J1081=Recherche!$C$8),OR(Recherche!$C$9="",I1081=Recherche!$C$9),OR(Recherche!$C$10="",G1081&amp;""=Recherche!$C$10&amp;""),OR(Recherche!$C$11="",E1081=Recherche!$C$11),OR(Recherche!$C$12="",ISNUMBER(SEARCH(Recherche!$C$12,M1081&amp;" "&amp;F1081)))),1,0)</f>
        <v>8</v>
      </c>
    </row>
    <row r="1082" customFormat="false" ht="15" hidden="false" customHeight="false" outlineLevel="0" collapsed="false">
      <c r="A1082" s="19"/>
      <c r="B1082" s="19"/>
      <c r="C1082" s="19"/>
      <c r="D1082" s="19"/>
      <c r="E1082" s="22"/>
      <c r="F1082" s="19"/>
      <c r="G1082" s="26" t="str">
        <f aca="false">IF(D1082="","",IFERROR(VALUE(LEFT(D1082,FIND(" |",D1082&amp;" |")-1)),"?"))</f>
        <v/>
      </c>
      <c r="H1082" s="27" t="str">
        <f aca="false">IF(G1082="","",IF(G1082="?","⚠ pub inconnue",IFERROR(INDEX(Pubs!$B$2:$B$3001,MATCH(G1082,Pubs!$A$2:$A$3001,0))&amp;"","⚠ pub inconnue")))</f>
        <v/>
      </c>
      <c r="I1082" s="27" t="str">
        <f aca="false">IF(OR(G1082="",G1082="?"),"",IFERROR(INDEX(Pubs!$C$2:$C$3001,MATCH(G1082,Pubs!$A$2:$A$3001,0))&amp;"",""))</f>
        <v/>
      </c>
      <c r="J1082" s="27" t="str">
        <f aca="false">IF(OR(G1082="",G1082="?"),"",IFERROR(INDEX(Pubs!$G$2:$G$3001,MATCH(G1082,Pubs!$A$2:$A$3001,0))&amp;"",""))</f>
        <v/>
      </c>
      <c r="K1082" s="28" t="str">
        <f aca="false">IF(OR(G1082="",G1082="?"),"",IFERROR(INDEX(Pubs!$E$2:$E$3001,MATCH(G1082,Pubs!$A$2:$A$3001,0)),""))</f>
        <v/>
      </c>
      <c r="L1082" s="29" t="str">
        <f aca="false">IF(A1082="","",IFERROR(1/(1/INDEX(Numéros!$C$2:$C$3001,MATCH(A1082&amp;"|"&amp;B1082,Numéros!$F$2:$F$3001,0))),""))</f>
        <v/>
      </c>
      <c r="M1082" s="27" t="str">
        <f aca="false">IF(OR(G1082="",G1082="?"),"",IFERROR(INDEX(Pubs!$D$2:$D$3001,MATCH(G1082,Pubs!$A$2:$A$3001,0))&amp;"",""))</f>
        <v/>
      </c>
      <c r="N1082" s="27" t="n">
        <f aca="false">N(N1081)+IF(AND(A1082&lt;&gt;"",OR(Recherche!$C$4="",A1082=Recherche!$C$4),OR(Recherche!$C$5="",B1082&amp;""=Recherche!$C$5&amp;""),OR(Recherche!$C$6="",IFERROR(YEAR(L1082),0)=Recherche!$C$6),OR(Recherche!$C$7="",ISNUMBER(SEARCH(Recherche!$C$7,H1082))),OR(Recherche!$C$8="",J1082=Recherche!$C$8),OR(Recherche!$C$9="",I1082=Recherche!$C$9),OR(Recherche!$C$10="",G1082&amp;""=Recherche!$C$10&amp;""),OR(Recherche!$C$11="",E1082=Recherche!$C$11),OR(Recherche!$C$12="",ISNUMBER(SEARCH(Recherche!$C$12,M1082&amp;" "&amp;F1082)))),1,0)</f>
        <v>8</v>
      </c>
    </row>
    <row r="1083" customFormat="false" ht="15" hidden="false" customHeight="false" outlineLevel="0" collapsed="false">
      <c r="A1083" s="19"/>
      <c r="B1083" s="19"/>
      <c r="C1083" s="19"/>
      <c r="D1083" s="19"/>
      <c r="E1083" s="22"/>
      <c r="F1083" s="19"/>
      <c r="G1083" s="26" t="str">
        <f aca="false">IF(D1083="","",IFERROR(VALUE(LEFT(D1083,FIND(" |",D1083&amp;" |")-1)),"?"))</f>
        <v/>
      </c>
      <c r="H1083" s="27" t="str">
        <f aca="false">IF(G1083="","",IF(G1083="?","⚠ pub inconnue",IFERROR(INDEX(Pubs!$B$2:$B$3001,MATCH(G1083,Pubs!$A$2:$A$3001,0))&amp;"","⚠ pub inconnue")))</f>
        <v/>
      </c>
      <c r="I1083" s="27" t="str">
        <f aca="false">IF(OR(G1083="",G1083="?"),"",IFERROR(INDEX(Pubs!$C$2:$C$3001,MATCH(G1083,Pubs!$A$2:$A$3001,0))&amp;"",""))</f>
        <v/>
      </c>
      <c r="J1083" s="27" t="str">
        <f aca="false">IF(OR(G1083="",G1083="?"),"",IFERROR(INDEX(Pubs!$G$2:$G$3001,MATCH(G1083,Pubs!$A$2:$A$3001,0))&amp;"",""))</f>
        <v/>
      </c>
      <c r="K1083" s="28" t="str">
        <f aca="false">IF(OR(G1083="",G1083="?"),"",IFERROR(INDEX(Pubs!$E$2:$E$3001,MATCH(G1083,Pubs!$A$2:$A$3001,0)),""))</f>
        <v/>
      </c>
      <c r="L1083" s="29" t="str">
        <f aca="false">IF(A1083="","",IFERROR(1/(1/INDEX(Numéros!$C$2:$C$3001,MATCH(A1083&amp;"|"&amp;B1083,Numéros!$F$2:$F$3001,0))),""))</f>
        <v/>
      </c>
      <c r="M1083" s="27" t="str">
        <f aca="false">IF(OR(G1083="",G1083="?"),"",IFERROR(INDEX(Pubs!$D$2:$D$3001,MATCH(G1083,Pubs!$A$2:$A$3001,0))&amp;"",""))</f>
        <v/>
      </c>
      <c r="N1083" s="27" t="n">
        <f aca="false">N(N1082)+IF(AND(A1083&lt;&gt;"",OR(Recherche!$C$4="",A1083=Recherche!$C$4),OR(Recherche!$C$5="",B1083&amp;""=Recherche!$C$5&amp;""),OR(Recherche!$C$6="",IFERROR(YEAR(L1083),0)=Recherche!$C$6),OR(Recherche!$C$7="",ISNUMBER(SEARCH(Recherche!$C$7,H1083))),OR(Recherche!$C$8="",J1083=Recherche!$C$8),OR(Recherche!$C$9="",I1083=Recherche!$C$9),OR(Recherche!$C$10="",G1083&amp;""=Recherche!$C$10&amp;""),OR(Recherche!$C$11="",E1083=Recherche!$C$11),OR(Recherche!$C$12="",ISNUMBER(SEARCH(Recherche!$C$12,M1083&amp;" "&amp;F1083)))),1,0)</f>
        <v>8</v>
      </c>
    </row>
    <row r="1084" customFormat="false" ht="15" hidden="false" customHeight="false" outlineLevel="0" collapsed="false">
      <c r="A1084" s="19"/>
      <c r="B1084" s="19"/>
      <c r="C1084" s="19"/>
      <c r="D1084" s="19"/>
      <c r="E1084" s="22"/>
      <c r="F1084" s="19"/>
      <c r="G1084" s="26" t="str">
        <f aca="false">IF(D1084="","",IFERROR(VALUE(LEFT(D1084,FIND(" |",D1084&amp;" |")-1)),"?"))</f>
        <v/>
      </c>
      <c r="H1084" s="27" t="str">
        <f aca="false">IF(G1084="","",IF(G1084="?","⚠ pub inconnue",IFERROR(INDEX(Pubs!$B$2:$B$3001,MATCH(G1084,Pubs!$A$2:$A$3001,0))&amp;"","⚠ pub inconnue")))</f>
        <v/>
      </c>
      <c r="I1084" s="27" t="str">
        <f aca="false">IF(OR(G1084="",G1084="?"),"",IFERROR(INDEX(Pubs!$C$2:$C$3001,MATCH(G1084,Pubs!$A$2:$A$3001,0))&amp;"",""))</f>
        <v/>
      </c>
      <c r="J1084" s="27" t="str">
        <f aca="false">IF(OR(G1084="",G1084="?"),"",IFERROR(INDEX(Pubs!$G$2:$G$3001,MATCH(G1084,Pubs!$A$2:$A$3001,0))&amp;"",""))</f>
        <v/>
      </c>
      <c r="K1084" s="28" t="str">
        <f aca="false">IF(OR(G1084="",G1084="?"),"",IFERROR(INDEX(Pubs!$E$2:$E$3001,MATCH(G1084,Pubs!$A$2:$A$3001,0)),""))</f>
        <v/>
      </c>
      <c r="L1084" s="29" t="str">
        <f aca="false">IF(A1084="","",IFERROR(1/(1/INDEX(Numéros!$C$2:$C$3001,MATCH(A1084&amp;"|"&amp;B1084,Numéros!$F$2:$F$3001,0))),""))</f>
        <v/>
      </c>
      <c r="M1084" s="27" t="str">
        <f aca="false">IF(OR(G1084="",G1084="?"),"",IFERROR(INDEX(Pubs!$D$2:$D$3001,MATCH(G1084,Pubs!$A$2:$A$3001,0))&amp;"",""))</f>
        <v/>
      </c>
      <c r="N1084" s="27" t="n">
        <f aca="false">N(N1083)+IF(AND(A1084&lt;&gt;"",OR(Recherche!$C$4="",A1084=Recherche!$C$4),OR(Recherche!$C$5="",B1084&amp;""=Recherche!$C$5&amp;""),OR(Recherche!$C$6="",IFERROR(YEAR(L1084),0)=Recherche!$C$6),OR(Recherche!$C$7="",ISNUMBER(SEARCH(Recherche!$C$7,H1084))),OR(Recherche!$C$8="",J1084=Recherche!$C$8),OR(Recherche!$C$9="",I1084=Recherche!$C$9),OR(Recherche!$C$10="",G1084&amp;""=Recherche!$C$10&amp;""),OR(Recherche!$C$11="",E1084=Recherche!$C$11),OR(Recherche!$C$12="",ISNUMBER(SEARCH(Recherche!$C$12,M1084&amp;" "&amp;F1084)))),1,0)</f>
        <v>8</v>
      </c>
    </row>
    <row r="1085" customFormat="false" ht="15" hidden="false" customHeight="false" outlineLevel="0" collapsed="false">
      <c r="A1085" s="19"/>
      <c r="B1085" s="19"/>
      <c r="C1085" s="19"/>
      <c r="D1085" s="19"/>
      <c r="E1085" s="22"/>
      <c r="F1085" s="19"/>
      <c r="G1085" s="26" t="str">
        <f aca="false">IF(D1085="","",IFERROR(VALUE(LEFT(D1085,FIND(" |",D1085&amp;" |")-1)),"?"))</f>
        <v/>
      </c>
      <c r="H1085" s="27" t="str">
        <f aca="false">IF(G1085="","",IF(G1085="?","⚠ pub inconnue",IFERROR(INDEX(Pubs!$B$2:$B$3001,MATCH(G1085,Pubs!$A$2:$A$3001,0))&amp;"","⚠ pub inconnue")))</f>
        <v/>
      </c>
      <c r="I1085" s="27" t="str">
        <f aca="false">IF(OR(G1085="",G1085="?"),"",IFERROR(INDEX(Pubs!$C$2:$C$3001,MATCH(G1085,Pubs!$A$2:$A$3001,0))&amp;"",""))</f>
        <v/>
      </c>
      <c r="J1085" s="27" t="str">
        <f aca="false">IF(OR(G1085="",G1085="?"),"",IFERROR(INDEX(Pubs!$G$2:$G$3001,MATCH(G1085,Pubs!$A$2:$A$3001,0))&amp;"",""))</f>
        <v/>
      </c>
      <c r="K1085" s="28" t="str">
        <f aca="false">IF(OR(G1085="",G1085="?"),"",IFERROR(INDEX(Pubs!$E$2:$E$3001,MATCH(G1085,Pubs!$A$2:$A$3001,0)),""))</f>
        <v/>
      </c>
      <c r="L1085" s="29" t="str">
        <f aca="false">IF(A1085="","",IFERROR(1/(1/INDEX(Numéros!$C$2:$C$3001,MATCH(A1085&amp;"|"&amp;B1085,Numéros!$F$2:$F$3001,0))),""))</f>
        <v/>
      </c>
      <c r="M1085" s="27" t="str">
        <f aca="false">IF(OR(G1085="",G1085="?"),"",IFERROR(INDEX(Pubs!$D$2:$D$3001,MATCH(G1085,Pubs!$A$2:$A$3001,0))&amp;"",""))</f>
        <v/>
      </c>
      <c r="N1085" s="27" t="n">
        <f aca="false">N(N1084)+IF(AND(A1085&lt;&gt;"",OR(Recherche!$C$4="",A1085=Recherche!$C$4),OR(Recherche!$C$5="",B1085&amp;""=Recherche!$C$5&amp;""),OR(Recherche!$C$6="",IFERROR(YEAR(L1085),0)=Recherche!$C$6),OR(Recherche!$C$7="",ISNUMBER(SEARCH(Recherche!$C$7,H1085))),OR(Recherche!$C$8="",J1085=Recherche!$C$8),OR(Recherche!$C$9="",I1085=Recherche!$C$9),OR(Recherche!$C$10="",G1085&amp;""=Recherche!$C$10&amp;""),OR(Recherche!$C$11="",E1085=Recherche!$C$11),OR(Recherche!$C$12="",ISNUMBER(SEARCH(Recherche!$C$12,M1085&amp;" "&amp;F1085)))),1,0)</f>
        <v>8</v>
      </c>
    </row>
    <row r="1086" customFormat="false" ht="15" hidden="false" customHeight="false" outlineLevel="0" collapsed="false">
      <c r="A1086" s="19"/>
      <c r="B1086" s="19"/>
      <c r="C1086" s="19"/>
      <c r="D1086" s="19"/>
      <c r="E1086" s="22"/>
      <c r="F1086" s="19"/>
      <c r="G1086" s="26" t="str">
        <f aca="false">IF(D1086="","",IFERROR(VALUE(LEFT(D1086,FIND(" |",D1086&amp;" |")-1)),"?"))</f>
        <v/>
      </c>
      <c r="H1086" s="27" t="str">
        <f aca="false">IF(G1086="","",IF(G1086="?","⚠ pub inconnue",IFERROR(INDEX(Pubs!$B$2:$B$3001,MATCH(G1086,Pubs!$A$2:$A$3001,0))&amp;"","⚠ pub inconnue")))</f>
        <v/>
      </c>
      <c r="I1086" s="27" t="str">
        <f aca="false">IF(OR(G1086="",G1086="?"),"",IFERROR(INDEX(Pubs!$C$2:$C$3001,MATCH(G1086,Pubs!$A$2:$A$3001,0))&amp;"",""))</f>
        <v/>
      </c>
      <c r="J1086" s="27" t="str">
        <f aca="false">IF(OR(G1086="",G1086="?"),"",IFERROR(INDEX(Pubs!$G$2:$G$3001,MATCH(G1086,Pubs!$A$2:$A$3001,0))&amp;"",""))</f>
        <v/>
      </c>
      <c r="K1086" s="28" t="str">
        <f aca="false">IF(OR(G1086="",G1086="?"),"",IFERROR(INDEX(Pubs!$E$2:$E$3001,MATCH(G1086,Pubs!$A$2:$A$3001,0)),""))</f>
        <v/>
      </c>
      <c r="L1086" s="29" t="str">
        <f aca="false">IF(A1086="","",IFERROR(1/(1/INDEX(Numéros!$C$2:$C$3001,MATCH(A1086&amp;"|"&amp;B1086,Numéros!$F$2:$F$3001,0))),""))</f>
        <v/>
      </c>
      <c r="M1086" s="27" t="str">
        <f aca="false">IF(OR(G1086="",G1086="?"),"",IFERROR(INDEX(Pubs!$D$2:$D$3001,MATCH(G1086,Pubs!$A$2:$A$3001,0))&amp;"",""))</f>
        <v/>
      </c>
      <c r="N1086" s="27" t="n">
        <f aca="false">N(N1085)+IF(AND(A1086&lt;&gt;"",OR(Recherche!$C$4="",A1086=Recherche!$C$4),OR(Recherche!$C$5="",B1086&amp;""=Recherche!$C$5&amp;""),OR(Recherche!$C$6="",IFERROR(YEAR(L1086),0)=Recherche!$C$6),OR(Recherche!$C$7="",ISNUMBER(SEARCH(Recherche!$C$7,H1086))),OR(Recherche!$C$8="",J1086=Recherche!$C$8),OR(Recherche!$C$9="",I1086=Recherche!$C$9),OR(Recherche!$C$10="",G1086&amp;""=Recherche!$C$10&amp;""),OR(Recherche!$C$11="",E1086=Recherche!$C$11),OR(Recherche!$C$12="",ISNUMBER(SEARCH(Recherche!$C$12,M1086&amp;" "&amp;F1086)))),1,0)</f>
        <v>8</v>
      </c>
    </row>
    <row r="1087" customFormat="false" ht="15" hidden="false" customHeight="false" outlineLevel="0" collapsed="false">
      <c r="A1087" s="19"/>
      <c r="B1087" s="19"/>
      <c r="C1087" s="19"/>
      <c r="D1087" s="19"/>
      <c r="E1087" s="22"/>
      <c r="F1087" s="19"/>
      <c r="G1087" s="26" t="str">
        <f aca="false">IF(D1087="","",IFERROR(VALUE(LEFT(D1087,FIND(" |",D1087&amp;" |")-1)),"?"))</f>
        <v/>
      </c>
      <c r="H1087" s="27" t="str">
        <f aca="false">IF(G1087="","",IF(G1087="?","⚠ pub inconnue",IFERROR(INDEX(Pubs!$B$2:$B$3001,MATCH(G1087,Pubs!$A$2:$A$3001,0))&amp;"","⚠ pub inconnue")))</f>
        <v/>
      </c>
      <c r="I1087" s="27" t="str">
        <f aca="false">IF(OR(G1087="",G1087="?"),"",IFERROR(INDEX(Pubs!$C$2:$C$3001,MATCH(G1087,Pubs!$A$2:$A$3001,0))&amp;"",""))</f>
        <v/>
      </c>
      <c r="J1087" s="27" t="str">
        <f aca="false">IF(OR(G1087="",G1087="?"),"",IFERROR(INDEX(Pubs!$G$2:$G$3001,MATCH(G1087,Pubs!$A$2:$A$3001,0))&amp;"",""))</f>
        <v/>
      </c>
      <c r="K1087" s="28" t="str">
        <f aca="false">IF(OR(G1087="",G1087="?"),"",IFERROR(INDEX(Pubs!$E$2:$E$3001,MATCH(G1087,Pubs!$A$2:$A$3001,0)),""))</f>
        <v/>
      </c>
      <c r="L1087" s="29" t="str">
        <f aca="false">IF(A1087="","",IFERROR(1/(1/INDEX(Numéros!$C$2:$C$3001,MATCH(A1087&amp;"|"&amp;B1087,Numéros!$F$2:$F$3001,0))),""))</f>
        <v/>
      </c>
      <c r="M1087" s="27" t="str">
        <f aca="false">IF(OR(G1087="",G1087="?"),"",IFERROR(INDEX(Pubs!$D$2:$D$3001,MATCH(G1087,Pubs!$A$2:$A$3001,0))&amp;"",""))</f>
        <v/>
      </c>
      <c r="N1087" s="27" t="n">
        <f aca="false">N(N1086)+IF(AND(A1087&lt;&gt;"",OR(Recherche!$C$4="",A1087=Recherche!$C$4),OR(Recherche!$C$5="",B1087&amp;""=Recherche!$C$5&amp;""),OR(Recherche!$C$6="",IFERROR(YEAR(L1087),0)=Recherche!$C$6),OR(Recherche!$C$7="",ISNUMBER(SEARCH(Recherche!$C$7,H1087))),OR(Recherche!$C$8="",J1087=Recherche!$C$8),OR(Recherche!$C$9="",I1087=Recherche!$C$9),OR(Recherche!$C$10="",G1087&amp;""=Recherche!$C$10&amp;""),OR(Recherche!$C$11="",E1087=Recherche!$C$11),OR(Recherche!$C$12="",ISNUMBER(SEARCH(Recherche!$C$12,M1087&amp;" "&amp;F1087)))),1,0)</f>
        <v>8</v>
      </c>
    </row>
    <row r="1088" customFormat="false" ht="15" hidden="false" customHeight="false" outlineLevel="0" collapsed="false">
      <c r="A1088" s="19"/>
      <c r="B1088" s="19"/>
      <c r="C1088" s="19"/>
      <c r="D1088" s="19"/>
      <c r="E1088" s="22"/>
      <c r="F1088" s="19"/>
      <c r="G1088" s="26" t="str">
        <f aca="false">IF(D1088="","",IFERROR(VALUE(LEFT(D1088,FIND(" |",D1088&amp;" |")-1)),"?"))</f>
        <v/>
      </c>
      <c r="H1088" s="27" t="str">
        <f aca="false">IF(G1088="","",IF(G1088="?","⚠ pub inconnue",IFERROR(INDEX(Pubs!$B$2:$B$3001,MATCH(G1088,Pubs!$A$2:$A$3001,0))&amp;"","⚠ pub inconnue")))</f>
        <v/>
      </c>
      <c r="I1088" s="27" t="str">
        <f aca="false">IF(OR(G1088="",G1088="?"),"",IFERROR(INDEX(Pubs!$C$2:$C$3001,MATCH(G1088,Pubs!$A$2:$A$3001,0))&amp;"",""))</f>
        <v/>
      </c>
      <c r="J1088" s="27" t="str">
        <f aca="false">IF(OR(G1088="",G1088="?"),"",IFERROR(INDEX(Pubs!$G$2:$G$3001,MATCH(G1088,Pubs!$A$2:$A$3001,0))&amp;"",""))</f>
        <v/>
      </c>
      <c r="K1088" s="28" t="str">
        <f aca="false">IF(OR(G1088="",G1088="?"),"",IFERROR(INDEX(Pubs!$E$2:$E$3001,MATCH(G1088,Pubs!$A$2:$A$3001,0)),""))</f>
        <v/>
      </c>
      <c r="L1088" s="29" t="str">
        <f aca="false">IF(A1088="","",IFERROR(1/(1/INDEX(Numéros!$C$2:$C$3001,MATCH(A1088&amp;"|"&amp;B1088,Numéros!$F$2:$F$3001,0))),""))</f>
        <v/>
      </c>
      <c r="M1088" s="27" t="str">
        <f aca="false">IF(OR(G1088="",G1088="?"),"",IFERROR(INDEX(Pubs!$D$2:$D$3001,MATCH(G1088,Pubs!$A$2:$A$3001,0))&amp;"",""))</f>
        <v/>
      </c>
      <c r="N1088" s="27" t="n">
        <f aca="false">N(N1087)+IF(AND(A1088&lt;&gt;"",OR(Recherche!$C$4="",A1088=Recherche!$C$4),OR(Recherche!$C$5="",B1088&amp;""=Recherche!$C$5&amp;""),OR(Recherche!$C$6="",IFERROR(YEAR(L1088),0)=Recherche!$C$6),OR(Recherche!$C$7="",ISNUMBER(SEARCH(Recherche!$C$7,H1088))),OR(Recherche!$C$8="",J1088=Recherche!$C$8),OR(Recherche!$C$9="",I1088=Recherche!$C$9),OR(Recherche!$C$10="",G1088&amp;""=Recherche!$C$10&amp;""),OR(Recherche!$C$11="",E1088=Recherche!$C$11),OR(Recherche!$C$12="",ISNUMBER(SEARCH(Recherche!$C$12,M1088&amp;" "&amp;F1088)))),1,0)</f>
        <v>8</v>
      </c>
    </row>
    <row r="1089" customFormat="false" ht="15" hidden="false" customHeight="false" outlineLevel="0" collapsed="false">
      <c r="A1089" s="19"/>
      <c r="B1089" s="19"/>
      <c r="C1089" s="19"/>
      <c r="D1089" s="19"/>
      <c r="E1089" s="22"/>
      <c r="F1089" s="19"/>
      <c r="G1089" s="26" t="str">
        <f aca="false">IF(D1089="","",IFERROR(VALUE(LEFT(D1089,FIND(" |",D1089&amp;" |")-1)),"?"))</f>
        <v/>
      </c>
      <c r="H1089" s="27" t="str">
        <f aca="false">IF(G1089="","",IF(G1089="?","⚠ pub inconnue",IFERROR(INDEX(Pubs!$B$2:$B$3001,MATCH(G1089,Pubs!$A$2:$A$3001,0))&amp;"","⚠ pub inconnue")))</f>
        <v/>
      </c>
      <c r="I1089" s="27" t="str">
        <f aca="false">IF(OR(G1089="",G1089="?"),"",IFERROR(INDEX(Pubs!$C$2:$C$3001,MATCH(G1089,Pubs!$A$2:$A$3001,0))&amp;"",""))</f>
        <v/>
      </c>
      <c r="J1089" s="27" t="str">
        <f aca="false">IF(OR(G1089="",G1089="?"),"",IFERROR(INDEX(Pubs!$G$2:$G$3001,MATCH(G1089,Pubs!$A$2:$A$3001,0))&amp;"",""))</f>
        <v/>
      </c>
      <c r="K1089" s="28" t="str">
        <f aca="false">IF(OR(G1089="",G1089="?"),"",IFERROR(INDEX(Pubs!$E$2:$E$3001,MATCH(G1089,Pubs!$A$2:$A$3001,0)),""))</f>
        <v/>
      </c>
      <c r="L1089" s="29" t="str">
        <f aca="false">IF(A1089="","",IFERROR(1/(1/INDEX(Numéros!$C$2:$C$3001,MATCH(A1089&amp;"|"&amp;B1089,Numéros!$F$2:$F$3001,0))),""))</f>
        <v/>
      </c>
      <c r="M1089" s="27" t="str">
        <f aca="false">IF(OR(G1089="",G1089="?"),"",IFERROR(INDEX(Pubs!$D$2:$D$3001,MATCH(G1089,Pubs!$A$2:$A$3001,0))&amp;"",""))</f>
        <v/>
      </c>
      <c r="N1089" s="27" t="n">
        <f aca="false">N(N1088)+IF(AND(A1089&lt;&gt;"",OR(Recherche!$C$4="",A1089=Recherche!$C$4),OR(Recherche!$C$5="",B1089&amp;""=Recherche!$C$5&amp;""),OR(Recherche!$C$6="",IFERROR(YEAR(L1089),0)=Recherche!$C$6),OR(Recherche!$C$7="",ISNUMBER(SEARCH(Recherche!$C$7,H1089))),OR(Recherche!$C$8="",J1089=Recherche!$C$8),OR(Recherche!$C$9="",I1089=Recherche!$C$9),OR(Recherche!$C$10="",G1089&amp;""=Recherche!$C$10&amp;""),OR(Recherche!$C$11="",E1089=Recherche!$C$11),OR(Recherche!$C$12="",ISNUMBER(SEARCH(Recherche!$C$12,M1089&amp;" "&amp;F1089)))),1,0)</f>
        <v>8</v>
      </c>
    </row>
    <row r="1090" customFormat="false" ht="15" hidden="false" customHeight="false" outlineLevel="0" collapsed="false">
      <c r="A1090" s="19"/>
      <c r="B1090" s="19"/>
      <c r="C1090" s="19"/>
      <c r="D1090" s="19"/>
      <c r="E1090" s="22"/>
      <c r="F1090" s="19"/>
      <c r="G1090" s="26" t="str">
        <f aca="false">IF(D1090="","",IFERROR(VALUE(LEFT(D1090,FIND(" |",D1090&amp;" |")-1)),"?"))</f>
        <v/>
      </c>
      <c r="H1090" s="27" t="str">
        <f aca="false">IF(G1090="","",IF(G1090="?","⚠ pub inconnue",IFERROR(INDEX(Pubs!$B$2:$B$3001,MATCH(G1090,Pubs!$A$2:$A$3001,0))&amp;"","⚠ pub inconnue")))</f>
        <v/>
      </c>
      <c r="I1090" s="27" t="str">
        <f aca="false">IF(OR(G1090="",G1090="?"),"",IFERROR(INDEX(Pubs!$C$2:$C$3001,MATCH(G1090,Pubs!$A$2:$A$3001,0))&amp;"",""))</f>
        <v/>
      </c>
      <c r="J1090" s="27" t="str">
        <f aca="false">IF(OR(G1090="",G1090="?"),"",IFERROR(INDEX(Pubs!$G$2:$G$3001,MATCH(G1090,Pubs!$A$2:$A$3001,0))&amp;"",""))</f>
        <v/>
      </c>
      <c r="K1090" s="28" t="str">
        <f aca="false">IF(OR(G1090="",G1090="?"),"",IFERROR(INDEX(Pubs!$E$2:$E$3001,MATCH(G1090,Pubs!$A$2:$A$3001,0)),""))</f>
        <v/>
      </c>
      <c r="L1090" s="29" t="str">
        <f aca="false">IF(A1090="","",IFERROR(1/(1/INDEX(Numéros!$C$2:$C$3001,MATCH(A1090&amp;"|"&amp;B1090,Numéros!$F$2:$F$3001,0))),""))</f>
        <v/>
      </c>
      <c r="M1090" s="27" t="str">
        <f aca="false">IF(OR(G1090="",G1090="?"),"",IFERROR(INDEX(Pubs!$D$2:$D$3001,MATCH(G1090,Pubs!$A$2:$A$3001,0))&amp;"",""))</f>
        <v/>
      </c>
      <c r="N1090" s="27" t="n">
        <f aca="false">N(N1089)+IF(AND(A1090&lt;&gt;"",OR(Recherche!$C$4="",A1090=Recherche!$C$4),OR(Recherche!$C$5="",B1090&amp;""=Recherche!$C$5&amp;""),OR(Recherche!$C$6="",IFERROR(YEAR(L1090),0)=Recherche!$C$6),OR(Recherche!$C$7="",ISNUMBER(SEARCH(Recherche!$C$7,H1090))),OR(Recherche!$C$8="",J1090=Recherche!$C$8),OR(Recherche!$C$9="",I1090=Recherche!$C$9),OR(Recherche!$C$10="",G1090&amp;""=Recherche!$C$10&amp;""),OR(Recherche!$C$11="",E1090=Recherche!$C$11),OR(Recherche!$C$12="",ISNUMBER(SEARCH(Recherche!$C$12,M1090&amp;" "&amp;F1090)))),1,0)</f>
        <v>8</v>
      </c>
    </row>
    <row r="1091" customFormat="false" ht="15" hidden="false" customHeight="false" outlineLevel="0" collapsed="false">
      <c r="A1091" s="19"/>
      <c r="B1091" s="19"/>
      <c r="C1091" s="19"/>
      <c r="D1091" s="19"/>
      <c r="E1091" s="22"/>
      <c r="F1091" s="19"/>
      <c r="G1091" s="26" t="str">
        <f aca="false">IF(D1091="","",IFERROR(VALUE(LEFT(D1091,FIND(" |",D1091&amp;" |")-1)),"?"))</f>
        <v/>
      </c>
      <c r="H1091" s="27" t="str">
        <f aca="false">IF(G1091="","",IF(G1091="?","⚠ pub inconnue",IFERROR(INDEX(Pubs!$B$2:$B$3001,MATCH(G1091,Pubs!$A$2:$A$3001,0))&amp;"","⚠ pub inconnue")))</f>
        <v/>
      </c>
      <c r="I1091" s="27" t="str">
        <f aca="false">IF(OR(G1091="",G1091="?"),"",IFERROR(INDEX(Pubs!$C$2:$C$3001,MATCH(G1091,Pubs!$A$2:$A$3001,0))&amp;"",""))</f>
        <v/>
      </c>
      <c r="J1091" s="27" t="str">
        <f aca="false">IF(OR(G1091="",G1091="?"),"",IFERROR(INDEX(Pubs!$G$2:$G$3001,MATCH(G1091,Pubs!$A$2:$A$3001,0))&amp;"",""))</f>
        <v/>
      </c>
      <c r="K1091" s="28" t="str">
        <f aca="false">IF(OR(G1091="",G1091="?"),"",IFERROR(INDEX(Pubs!$E$2:$E$3001,MATCH(G1091,Pubs!$A$2:$A$3001,0)),""))</f>
        <v/>
      </c>
      <c r="L1091" s="29" t="str">
        <f aca="false">IF(A1091="","",IFERROR(1/(1/INDEX(Numéros!$C$2:$C$3001,MATCH(A1091&amp;"|"&amp;B1091,Numéros!$F$2:$F$3001,0))),""))</f>
        <v/>
      </c>
      <c r="M1091" s="27" t="str">
        <f aca="false">IF(OR(G1091="",G1091="?"),"",IFERROR(INDEX(Pubs!$D$2:$D$3001,MATCH(G1091,Pubs!$A$2:$A$3001,0))&amp;"",""))</f>
        <v/>
      </c>
      <c r="N1091" s="27" t="n">
        <f aca="false">N(N1090)+IF(AND(A1091&lt;&gt;"",OR(Recherche!$C$4="",A1091=Recherche!$C$4),OR(Recherche!$C$5="",B1091&amp;""=Recherche!$C$5&amp;""),OR(Recherche!$C$6="",IFERROR(YEAR(L1091),0)=Recherche!$C$6),OR(Recherche!$C$7="",ISNUMBER(SEARCH(Recherche!$C$7,H1091))),OR(Recherche!$C$8="",J1091=Recherche!$C$8),OR(Recherche!$C$9="",I1091=Recherche!$C$9),OR(Recherche!$C$10="",G1091&amp;""=Recherche!$C$10&amp;""),OR(Recherche!$C$11="",E1091=Recherche!$C$11),OR(Recherche!$C$12="",ISNUMBER(SEARCH(Recherche!$C$12,M1091&amp;" "&amp;F1091)))),1,0)</f>
        <v>8</v>
      </c>
    </row>
    <row r="1092" customFormat="false" ht="15" hidden="false" customHeight="false" outlineLevel="0" collapsed="false">
      <c r="A1092" s="19"/>
      <c r="B1092" s="19"/>
      <c r="C1092" s="19"/>
      <c r="D1092" s="19"/>
      <c r="E1092" s="22"/>
      <c r="F1092" s="19"/>
      <c r="G1092" s="26" t="str">
        <f aca="false">IF(D1092="","",IFERROR(VALUE(LEFT(D1092,FIND(" |",D1092&amp;" |")-1)),"?"))</f>
        <v/>
      </c>
      <c r="H1092" s="27" t="str">
        <f aca="false">IF(G1092="","",IF(G1092="?","⚠ pub inconnue",IFERROR(INDEX(Pubs!$B$2:$B$3001,MATCH(G1092,Pubs!$A$2:$A$3001,0))&amp;"","⚠ pub inconnue")))</f>
        <v/>
      </c>
      <c r="I1092" s="27" t="str">
        <f aca="false">IF(OR(G1092="",G1092="?"),"",IFERROR(INDEX(Pubs!$C$2:$C$3001,MATCH(G1092,Pubs!$A$2:$A$3001,0))&amp;"",""))</f>
        <v/>
      </c>
      <c r="J1092" s="27" t="str">
        <f aca="false">IF(OR(G1092="",G1092="?"),"",IFERROR(INDEX(Pubs!$G$2:$G$3001,MATCH(G1092,Pubs!$A$2:$A$3001,0))&amp;"",""))</f>
        <v/>
      </c>
      <c r="K1092" s="28" t="str">
        <f aca="false">IF(OR(G1092="",G1092="?"),"",IFERROR(INDEX(Pubs!$E$2:$E$3001,MATCH(G1092,Pubs!$A$2:$A$3001,0)),""))</f>
        <v/>
      </c>
      <c r="L1092" s="29" t="str">
        <f aca="false">IF(A1092="","",IFERROR(1/(1/INDEX(Numéros!$C$2:$C$3001,MATCH(A1092&amp;"|"&amp;B1092,Numéros!$F$2:$F$3001,0))),""))</f>
        <v/>
      </c>
      <c r="M1092" s="27" t="str">
        <f aca="false">IF(OR(G1092="",G1092="?"),"",IFERROR(INDEX(Pubs!$D$2:$D$3001,MATCH(G1092,Pubs!$A$2:$A$3001,0))&amp;"",""))</f>
        <v/>
      </c>
      <c r="N1092" s="27" t="n">
        <f aca="false">N(N1091)+IF(AND(A1092&lt;&gt;"",OR(Recherche!$C$4="",A1092=Recherche!$C$4),OR(Recherche!$C$5="",B1092&amp;""=Recherche!$C$5&amp;""),OR(Recherche!$C$6="",IFERROR(YEAR(L1092),0)=Recherche!$C$6),OR(Recherche!$C$7="",ISNUMBER(SEARCH(Recherche!$C$7,H1092))),OR(Recherche!$C$8="",J1092=Recherche!$C$8),OR(Recherche!$C$9="",I1092=Recherche!$C$9),OR(Recherche!$C$10="",G1092&amp;""=Recherche!$C$10&amp;""),OR(Recherche!$C$11="",E1092=Recherche!$C$11),OR(Recherche!$C$12="",ISNUMBER(SEARCH(Recherche!$C$12,M1092&amp;" "&amp;F1092)))),1,0)</f>
        <v>8</v>
      </c>
    </row>
    <row r="1093" customFormat="false" ht="15" hidden="false" customHeight="false" outlineLevel="0" collapsed="false">
      <c r="A1093" s="19"/>
      <c r="B1093" s="19"/>
      <c r="C1093" s="19"/>
      <c r="D1093" s="19"/>
      <c r="E1093" s="22"/>
      <c r="F1093" s="19"/>
      <c r="G1093" s="26" t="str">
        <f aca="false">IF(D1093="","",IFERROR(VALUE(LEFT(D1093,FIND(" |",D1093&amp;" |")-1)),"?"))</f>
        <v/>
      </c>
      <c r="H1093" s="27" t="str">
        <f aca="false">IF(G1093="","",IF(G1093="?","⚠ pub inconnue",IFERROR(INDEX(Pubs!$B$2:$B$3001,MATCH(G1093,Pubs!$A$2:$A$3001,0))&amp;"","⚠ pub inconnue")))</f>
        <v/>
      </c>
      <c r="I1093" s="27" t="str">
        <f aca="false">IF(OR(G1093="",G1093="?"),"",IFERROR(INDEX(Pubs!$C$2:$C$3001,MATCH(G1093,Pubs!$A$2:$A$3001,0))&amp;"",""))</f>
        <v/>
      </c>
      <c r="J1093" s="27" t="str">
        <f aca="false">IF(OR(G1093="",G1093="?"),"",IFERROR(INDEX(Pubs!$G$2:$G$3001,MATCH(G1093,Pubs!$A$2:$A$3001,0))&amp;"",""))</f>
        <v/>
      </c>
      <c r="K1093" s="28" t="str">
        <f aca="false">IF(OR(G1093="",G1093="?"),"",IFERROR(INDEX(Pubs!$E$2:$E$3001,MATCH(G1093,Pubs!$A$2:$A$3001,0)),""))</f>
        <v/>
      </c>
      <c r="L1093" s="29" t="str">
        <f aca="false">IF(A1093="","",IFERROR(1/(1/INDEX(Numéros!$C$2:$C$3001,MATCH(A1093&amp;"|"&amp;B1093,Numéros!$F$2:$F$3001,0))),""))</f>
        <v/>
      </c>
      <c r="M1093" s="27" t="str">
        <f aca="false">IF(OR(G1093="",G1093="?"),"",IFERROR(INDEX(Pubs!$D$2:$D$3001,MATCH(G1093,Pubs!$A$2:$A$3001,0))&amp;"",""))</f>
        <v/>
      </c>
      <c r="N1093" s="27" t="n">
        <f aca="false">N(N1092)+IF(AND(A1093&lt;&gt;"",OR(Recherche!$C$4="",A1093=Recherche!$C$4),OR(Recherche!$C$5="",B1093&amp;""=Recherche!$C$5&amp;""),OR(Recherche!$C$6="",IFERROR(YEAR(L1093),0)=Recherche!$C$6),OR(Recherche!$C$7="",ISNUMBER(SEARCH(Recherche!$C$7,H1093))),OR(Recherche!$C$8="",J1093=Recherche!$C$8),OR(Recherche!$C$9="",I1093=Recherche!$C$9),OR(Recherche!$C$10="",G1093&amp;""=Recherche!$C$10&amp;""),OR(Recherche!$C$11="",E1093=Recherche!$C$11),OR(Recherche!$C$12="",ISNUMBER(SEARCH(Recherche!$C$12,M1093&amp;" "&amp;F1093)))),1,0)</f>
        <v>8</v>
      </c>
    </row>
    <row r="1094" customFormat="false" ht="15" hidden="false" customHeight="false" outlineLevel="0" collapsed="false">
      <c r="A1094" s="19"/>
      <c r="B1094" s="19"/>
      <c r="C1094" s="19"/>
      <c r="D1094" s="19"/>
      <c r="E1094" s="22"/>
      <c r="F1094" s="19"/>
      <c r="G1094" s="26" t="str">
        <f aca="false">IF(D1094="","",IFERROR(VALUE(LEFT(D1094,FIND(" |",D1094&amp;" |")-1)),"?"))</f>
        <v/>
      </c>
      <c r="H1094" s="27" t="str">
        <f aca="false">IF(G1094="","",IF(G1094="?","⚠ pub inconnue",IFERROR(INDEX(Pubs!$B$2:$B$3001,MATCH(G1094,Pubs!$A$2:$A$3001,0))&amp;"","⚠ pub inconnue")))</f>
        <v/>
      </c>
      <c r="I1094" s="27" t="str">
        <f aca="false">IF(OR(G1094="",G1094="?"),"",IFERROR(INDEX(Pubs!$C$2:$C$3001,MATCH(G1094,Pubs!$A$2:$A$3001,0))&amp;"",""))</f>
        <v/>
      </c>
      <c r="J1094" s="27" t="str">
        <f aca="false">IF(OR(G1094="",G1094="?"),"",IFERROR(INDEX(Pubs!$G$2:$G$3001,MATCH(G1094,Pubs!$A$2:$A$3001,0))&amp;"",""))</f>
        <v/>
      </c>
      <c r="K1094" s="28" t="str">
        <f aca="false">IF(OR(G1094="",G1094="?"),"",IFERROR(INDEX(Pubs!$E$2:$E$3001,MATCH(G1094,Pubs!$A$2:$A$3001,0)),""))</f>
        <v/>
      </c>
      <c r="L1094" s="29" t="str">
        <f aca="false">IF(A1094="","",IFERROR(1/(1/INDEX(Numéros!$C$2:$C$3001,MATCH(A1094&amp;"|"&amp;B1094,Numéros!$F$2:$F$3001,0))),""))</f>
        <v/>
      </c>
      <c r="M1094" s="27" t="str">
        <f aca="false">IF(OR(G1094="",G1094="?"),"",IFERROR(INDEX(Pubs!$D$2:$D$3001,MATCH(G1094,Pubs!$A$2:$A$3001,0))&amp;"",""))</f>
        <v/>
      </c>
      <c r="N1094" s="27" t="n">
        <f aca="false">N(N1093)+IF(AND(A1094&lt;&gt;"",OR(Recherche!$C$4="",A1094=Recherche!$C$4),OR(Recherche!$C$5="",B1094&amp;""=Recherche!$C$5&amp;""),OR(Recherche!$C$6="",IFERROR(YEAR(L1094),0)=Recherche!$C$6),OR(Recherche!$C$7="",ISNUMBER(SEARCH(Recherche!$C$7,H1094))),OR(Recherche!$C$8="",J1094=Recherche!$C$8),OR(Recherche!$C$9="",I1094=Recherche!$C$9),OR(Recherche!$C$10="",G1094&amp;""=Recherche!$C$10&amp;""),OR(Recherche!$C$11="",E1094=Recherche!$C$11),OR(Recherche!$C$12="",ISNUMBER(SEARCH(Recherche!$C$12,M1094&amp;" "&amp;F1094)))),1,0)</f>
        <v>8</v>
      </c>
    </row>
    <row r="1095" customFormat="false" ht="15" hidden="false" customHeight="false" outlineLevel="0" collapsed="false">
      <c r="A1095" s="19"/>
      <c r="B1095" s="19"/>
      <c r="C1095" s="19"/>
      <c r="D1095" s="19"/>
      <c r="E1095" s="22"/>
      <c r="F1095" s="19"/>
      <c r="G1095" s="26" t="str">
        <f aca="false">IF(D1095="","",IFERROR(VALUE(LEFT(D1095,FIND(" |",D1095&amp;" |")-1)),"?"))</f>
        <v/>
      </c>
      <c r="H1095" s="27" t="str">
        <f aca="false">IF(G1095="","",IF(G1095="?","⚠ pub inconnue",IFERROR(INDEX(Pubs!$B$2:$B$3001,MATCH(G1095,Pubs!$A$2:$A$3001,0))&amp;"","⚠ pub inconnue")))</f>
        <v/>
      </c>
      <c r="I1095" s="27" t="str">
        <f aca="false">IF(OR(G1095="",G1095="?"),"",IFERROR(INDEX(Pubs!$C$2:$C$3001,MATCH(G1095,Pubs!$A$2:$A$3001,0))&amp;"",""))</f>
        <v/>
      </c>
      <c r="J1095" s="27" t="str">
        <f aca="false">IF(OR(G1095="",G1095="?"),"",IFERROR(INDEX(Pubs!$G$2:$G$3001,MATCH(G1095,Pubs!$A$2:$A$3001,0))&amp;"",""))</f>
        <v/>
      </c>
      <c r="K1095" s="28" t="str">
        <f aca="false">IF(OR(G1095="",G1095="?"),"",IFERROR(INDEX(Pubs!$E$2:$E$3001,MATCH(G1095,Pubs!$A$2:$A$3001,0)),""))</f>
        <v/>
      </c>
      <c r="L1095" s="29" t="str">
        <f aca="false">IF(A1095="","",IFERROR(1/(1/INDEX(Numéros!$C$2:$C$3001,MATCH(A1095&amp;"|"&amp;B1095,Numéros!$F$2:$F$3001,0))),""))</f>
        <v/>
      </c>
      <c r="M1095" s="27" t="str">
        <f aca="false">IF(OR(G1095="",G1095="?"),"",IFERROR(INDEX(Pubs!$D$2:$D$3001,MATCH(G1095,Pubs!$A$2:$A$3001,0))&amp;"",""))</f>
        <v/>
      </c>
      <c r="N1095" s="27" t="n">
        <f aca="false">N(N1094)+IF(AND(A1095&lt;&gt;"",OR(Recherche!$C$4="",A1095=Recherche!$C$4),OR(Recherche!$C$5="",B1095&amp;""=Recherche!$C$5&amp;""),OR(Recherche!$C$6="",IFERROR(YEAR(L1095),0)=Recherche!$C$6),OR(Recherche!$C$7="",ISNUMBER(SEARCH(Recherche!$C$7,H1095))),OR(Recherche!$C$8="",J1095=Recherche!$C$8),OR(Recherche!$C$9="",I1095=Recherche!$C$9),OR(Recherche!$C$10="",G1095&amp;""=Recherche!$C$10&amp;""),OR(Recherche!$C$11="",E1095=Recherche!$C$11),OR(Recherche!$C$12="",ISNUMBER(SEARCH(Recherche!$C$12,M1095&amp;" "&amp;F1095)))),1,0)</f>
        <v>8</v>
      </c>
    </row>
    <row r="1096" customFormat="false" ht="15" hidden="false" customHeight="false" outlineLevel="0" collapsed="false">
      <c r="A1096" s="19"/>
      <c r="B1096" s="19"/>
      <c r="C1096" s="19"/>
      <c r="D1096" s="19"/>
      <c r="E1096" s="22"/>
      <c r="F1096" s="19"/>
      <c r="G1096" s="26" t="str">
        <f aca="false">IF(D1096="","",IFERROR(VALUE(LEFT(D1096,FIND(" |",D1096&amp;" |")-1)),"?"))</f>
        <v/>
      </c>
      <c r="H1096" s="27" t="str">
        <f aca="false">IF(G1096="","",IF(G1096="?","⚠ pub inconnue",IFERROR(INDEX(Pubs!$B$2:$B$3001,MATCH(G1096,Pubs!$A$2:$A$3001,0))&amp;"","⚠ pub inconnue")))</f>
        <v/>
      </c>
      <c r="I1096" s="27" t="str">
        <f aca="false">IF(OR(G1096="",G1096="?"),"",IFERROR(INDEX(Pubs!$C$2:$C$3001,MATCH(G1096,Pubs!$A$2:$A$3001,0))&amp;"",""))</f>
        <v/>
      </c>
      <c r="J1096" s="27" t="str">
        <f aca="false">IF(OR(G1096="",G1096="?"),"",IFERROR(INDEX(Pubs!$G$2:$G$3001,MATCH(G1096,Pubs!$A$2:$A$3001,0))&amp;"",""))</f>
        <v/>
      </c>
      <c r="K1096" s="28" t="str">
        <f aca="false">IF(OR(G1096="",G1096="?"),"",IFERROR(INDEX(Pubs!$E$2:$E$3001,MATCH(G1096,Pubs!$A$2:$A$3001,0)),""))</f>
        <v/>
      </c>
      <c r="L1096" s="29" t="str">
        <f aca="false">IF(A1096="","",IFERROR(1/(1/INDEX(Numéros!$C$2:$C$3001,MATCH(A1096&amp;"|"&amp;B1096,Numéros!$F$2:$F$3001,0))),""))</f>
        <v/>
      </c>
      <c r="M1096" s="27" t="str">
        <f aca="false">IF(OR(G1096="",G1096="?"),"",IFERROR(INDEX(Pubs!$D$2:$D$3001,MATCH(G1096,Pubs!$A$2:$A$3001,0))&amp;"",""))</f>
        <v/>
      </c>
      <c r="N1096" s="27" t="n">
        <f aca="false">N(N1095)+IF(AND(A1096&lt;&gt;"",OR(Recherche!$C$4="",A1096=Recherche!$C$4),OR(Recherche!$C$5="",B1096&amp;""=Recherche!$C$5&amp;""),OR(Recherche!$C$6="",IFERROR(YEAR(L1096),0)=Recherche!$C$6),OR(Recherche!$C$7="",ISNUMBER(SEARCH(Recherche!$C$7,H1096))),OR(Recherche!$C$8="",J1096=Recherche!$C$8),OR(Recherche!$C$9="",I1096=Recherche!$C$9),OR(Recherche!$C$10="",G1096&amp;""=Recherche!$C$10&amp;""),OR(Recherche!$C$11="",E1096=Recherche!$C$11),OR(Recherche!$C$12="",ISNUMBER(SEARCH(Recherche!$C$12,M1096&amp;" "&amp;F1096)))),1,0)</f>
        <v>8</v>
      </c>
    </row>
    <row r="1097" customFormat="false" ht="15" hidden="false" customHeight="false" outlineLevel="0" collapsed="false">
      <c r="A1097" s="19"/>
      <c r="B1097" s="19"/>
      <c r="C1097" s="19"/>
      <c r="D1097" s="19"/>
      <c r="E1097" s="22"/>
      <c r="F1097" s="19"/>
      <c r="G1097" s="26" t="str">
        <f aca="false">IF(D1097="","",IFERROR(VALUE(LEFT(D1097,FIND(" |",D1097&amp;" |")-1)),"?"))</f>
        <v/>
      </c>
      <c r="H1097" s="27" t="str">
        <f aca="false">IF(G1097="","",IF(G1097="?","⚠ pub inconnue",IFERROR(INDEX(Pubs!$B$2:$B$3001,MATCH(G1097,Pubs!$A$2:$A$3001,0))&amp;"","⚠ pub inconnue")))</f>
        <v/>
      </c>
      <c r="I1097" s="27" t="str">
        <f aca="false">IF(OR(G1097="",G1097="?"),"",IFERROR(INDEX(Pubs!$C$2:$C$3001,MATCH(G1097,Pubs!$A$2:$A$3001,0))&amp;"",""))</f>
        <v/>
      </c>
      <c r="J1097" s="27" t="str">
        <f aca="false">IF(OR(G1097="",G1097="?"),"",IFERROR(INDEX(Pubs!$G$2:$G$3001,MATCH(G1097,Pubs!$A$2:$A$3001,0))&amp;"",""))</f>
        <v/>
      </c>
      <c r="K1097" s="28" t="str">
        <f aca="false">IF(OR(G1097="",G1097="?"),"",IFERROR(INDEX(Pubs!$E$2:$E$3001,MATCH(G1097,Pubs!$A$2:$A$3001,0)),""))</f>
        <v/>
      </c>
      <c r="L1097" s="29" t="str">
        <f aca="false">IF(A1097="","",IFERROR(1/(1/INDEX(Numéros!$C$2:$C$3001,MATCH(A1097&amp;"|"&amp;B1097,Numéros!$F$2:$F$3001,0))),""))</f>
        <v/>
      </c>
      <c r="M1097" s="27" t="str">
        <f aca="false">IF(OR(G1097="",G1097="?"),"",IFERROR(INDEX(Pubs!$D$2:$D$3001,MATCH(G1097,Pubs!$A$2:$A$3001,0))&amp;"",""))</f>
        <v/>
      </c>
      <c r="N1097" s="27" t="n">
        <f aca="false">N(N1096)+IF(AND(A1097&lt;&gt;"",OR(Recherche!$C$4="",A1097=Recherche!$C$4),OR(Recherche!$C$5="",B1097&amp;""=Recherche!$C$5&amp;""),OR(Recherche!$C$6="",IFERROR(YEAR(L1097),0)=Recherche!$C$6),OR(Recherche!$C$7="",ISNUMBER(SEARCH(Recherche!$C$7,H1097))),OR(Recherche!$C$8="",J1097=Recherche!$C$8),OR(Recherche!$C$9="",I1097=Recherche!$C$9),OR(Recherche!$C$10="",G1097&amp;""=Recherche!$C$10&amp;""),OR(Recherche!$C$11="",E1097=Recherche!$C$11),OR(Recherche!$C$12="",ISNUMBER(SEARCH(Recherche!$C$12,M1097&amp;" "&amp;F1097)))),1,0)</f>
        <v>8</v>
      </c>
    </row>
    <row r="1098" customFormat="false" ht="15" hidden="false" customHeight="false" outlineLevel="0" collapsed="false">
      <c r="A1098" s="19"/>
      <c r="B1098" s="19"/>
      <c r="C1098" s="19"/>
      <c r="D1098" s="19"/>
      <c r="E1098" s="22"/>
      <c r="F1098" s="19"/>
      <c r="G1098" s="26" t="str">
        <f aca="false">IF(D1098="","",IFERROR(VALUE(LEFT(D1098,FIND(" |",D1098&amp;" |")-1)),"?"))</f>
        <v/>
      </c>
      <c r="H1098" s="27" t="str">
        <f aca="false">IF(G1098="","",IF(G1098="?","⚠ pub inconnue",IFERROR(INDEX(Pubs!$B$2:$B$3001,MATCH(G1098,Pubs!$A$2:$A$3001,0))&amp;"","⚠ pub inconnue")))</f>
        <v/>
      </c>
      <c r="I1098" s="27" t="str">
        <f aca="false">IF(OR(G1098="",G1098="?"),"",IFERROR(INDEX(Pubs!$C$2:$C$3001,MATCH(G1098,Pubs!$A$2:$A$3001,0))&amp;"",""))</f>
        <v/>
      </c>
      <c r="J1098" s="27" t="str">
        <f aca="false">IF(OR(G1098="",G1098="?"),"",IFERROR(INDEX(Pubs!$G$2:$G$3001,MATCH(G1098,Pubs!$A$2:$A$3001,0))&amp;"",""))</f>
        <v/>
      </c>
      <c r="K1098" s="28" t="str">
        <f aca="false">IF(OR(G1098="",G1098="?"),"",IFERROR(INDEX(Pubs!$E$2:$E$3001,MATCH(G1098,Pubs!$A$2:$A$3001,0)),""))</f>
        <v/>
      </c>
      <c r="L1098" s="29" t="str">
        <f aca="false">IF(A1098="","",IFERROR(1/(1/INDEX(Numéros!$C$2:$C$3001,MATCH(A1098&amp;"|"&amp;B1098,Numéros!$F$2:$F$3001,0))),""))</f>
        <v/>
      </c>
      <c r="M1098" s="27" t="str">
        <f aca="false">IF(OR(G1098="",G1098="?"),"",IFERROR(INDEX(Pubs!$D$2:$D$3001,MATCH(G1098,Pubs!$A$2:$A$3001,0))&amp;"",""))</f>
        <v/>
      </c>
      <c r="N1098" s="27" t="n">
        <f aca="false">N(N1097)+IF(AND(A1098&lt;&gt;"",OR(Recherche!$C$4="",A1098=Recherche!$C$4),OR(Recherche!$C$5="",B1098&amp;""=Recherche!$C$5&amp;""),OR(Recherche!$C$6="",IFERROR(YEAR(L1098),0)=Recherche!$C$6),OR(Recherche!$C$7="",ISNUMBER(SEARCH(Recherche!$C$7,H1098))),OR(Recherche!$C$8="",J1098=Recherche!$C$8),OR(Recherche!$C$9="",I1098=Recherche!$C$9),OR(Recherche!$C$10="",G1098&amp;""=Recherche!$C$10&amp;""),OR(Recherche!$C$11="",E1098=Recherche!$C$11),OR(Recherche!$C$12="",ISNUMBER(SEARCH(Recherche!$C$12,M1098&amp;" "&amp;F1098)))),1,0)</f>
        <v>8</v>
      </c>
    </row>
    <row r="1099" customFormat="false" ht="15" hidden="false" customHeight="false" outlineLevel="0" collapsed="false">
      <c r="A1099" s="19"/>
      <c r="B1099" s="19"/>
      <c r="C1099" s="19"/>
      <c r="D1099" s="19"/>
      <c r="E1099" s="22"/>
      <c r="F1099" s="19"/>
      <c r="G1099" s="26" t="str">
        <f aca="false">IF(D1099="","",IFERROR(VALUE(LEFT(D1099,FIND(" |",D1099&amp;" |")-1)),"?"))</f>
        <v/>
      </c>
      <c r="H1099" s="27" t="str">
        <f aca="false">IF(G1099="","",IF(G1099="?","⚠ pub inconnue",IFERROR(INDEX(Pubs!$B$2:$B$3001,MATCH(G1099,Pubs!$A$2:$A$3001,0))&amp;"","⚠ pub inconnue")))</f>
        <v/>
      </c>
      <c r="I1099" s="27" t="str">
        <f aca="false">IF(OR(G1099="",G1099="?"),"",IFERROR(INDEX(Pubs!$C$2:$C$3001,MATCH(G1099,Pubs!$A$2:$A$3001,0))&amp;"",""))</f>
        <v/>
      </c>
      <c r="J1099" s="27" t="str">
        <f aca="false">IF(OR(G1099="",G1099="?"),"",IFERROR(INDEX(Pubs!$G$2:$G$3001,MATCH(G1099,Pubs!$A$2:$A$3001,0))&amp;"",""))</f>
        <v/>
      </c>
      <c r="K1099" s="28" t="str">
        <f aca="false">IF(OR(G1099="",G1099="?"),"",IFERROR(INDEX(Pubs!$E$2:$E$3001,MATCH(G1099,Pubs!$A$2:$A$3001,0)),""))</f>
        <v/>
      </c>
      <c r="L1099" s="29" t="str">
        <f aca="false">IF(A1099="","",IFERROR(1/(1/INDEX(Numéros!$C$2:$C$3001,MATCH(A1099&amp;"|"&amp;B1099,Numéros!$F$2:$F$3001,0))),""))</f>
        <v/>
      </c>
      <c r="M1099" s="27" t="str">
        <f aca="false">IF(OR(G1099="",G1099="?"),"",IFERROR(INDEX(Pubs!$D$2:$D$3001,MATCH(G1099,Pubs!$A$2:$A$3001,0))&amp;"",""))</f>
        <v/>
      </c>
      <c r="N1099" s="27" t="n">
        <f aca="false">N(N1098)+IF(AND(A1099&lt;&gt;"",OR(Recherche!$C$4="",A1099=Recherche!$C$4),OR(Recherche!$C$5="",B1099&amp;""=Recherche!$C$5&amp;""),OR(Recherche!$C$6="",IFERROR(YEAR(L1099),0)=Recherche!$C$6),OR(Recherche!$C$7="",ISNUMBER(SEARCH(Recherche!$C$7,H1099))),OR(Recherche!$C$8="",J1099=Recherche!$C$8),OR(Recherche!$C$9="",I1099=Recherche!$C$9),OR(Recherche!$C$10="",G1099&amp;""=Recherche!$C$10&amp;""),OR(Recherche!$C$11="",E1099=Recherche!$C$11),OR(Recherche!$C$12="",ISNUMBER(SEARCH(Recherche!$C$12,M1099&amp;" "&amp;F1099)))),1,0)</f>
        <v>8</v>
      </c>
    </row>
    <row r="1100" customFormat="false" ht="15" hidden="false" customHeight="false" outlineLevel="0" collapsed="false">
      <c r="A1100" s="19"/>
      <c r="B1100" s="19"/>
      <c r="C1100" s="19"/>
      <c r="D1100" s="19"/>
      <c r="E1100" s="22"/>
      <c r="F1100" s="19"/>
      <c r="G1100" s="26" t="str">
        <f aca="false">IF(D1100="","",IFERROR(VALUE(LEFT(D1100,FIND(" |",D1100&amp;" |")-1)),"?"))</f>
        <v/>
      </c>
      <c r="H1100" s="27" t="str">
        <f aca="false">IF(G1100="","",IF(G1100="?","⚠ pub inconnue",IFERROR(INDEX(Pubs!$B$2:$B$3001,MATCH(G1100,Pubs!$A$2:$A$3001,0))&amp;"","⚠ pub inconnue")))</f>
        <v/>
      </c>
      <c r="I1100" s="27" t="str">
        <f aca="false">IF(OR(G1100="",G1100="?"),"",IFERROR(INDEX(Pubs!$C$2:$C$3001,MATCH(G1100,Pubs!$A$2:$A$3001,0))&amp;"",""))</f>
        <v/>
      </c>
      <c r="J1100" s="27" t="str">
        <f aca="false">IF(OR(G1100="",G1100="?"),"",IFERROR(INDEX(Pubs!$G$2:$G$3001,MATCH(G1100,Pubs!$A$2:$A$3001,0))&amp;"",""))</f>
        <v/>
      </c>
      <c r="K1100" s="28" t="str">
        <f aca="false">IF(OR(G1100="",G1100="?"),"",IFERROR(INDEX(Pubs!$E$2:$E$3001,MATCH(G1100,Pubs!$A$2:$A$3001,0)),""))</f>
        <v/>
      </c>
      <c r="L1100" s="29" t="str">
        <f aca="false">IF(A1100="","",IFERROR(1/(1/INDEX(Numéros!$C$2:$C$3001,MATCH(A1100&amp;"|"&amp;B1100,Numéros!$F$2:$F$3001,0))),""))</f>
        <v/>
      </c>
      <c r="M1100" s="27" t="str">
        <f aca="false">IF(OR(G1100="",G1100="?"),"",IFERROR(INDEX(Pubs!$D$2:$D$3001,MATCH(G1100,Pubs!$A$2:$A$3001,0))&amp;"",""))</f>
        <v/>
      </c>
      <c r="N1100" s="27" t="n">
        <f aca="false">N(N1099)+IF(AND(A1100&lt;&gt;"",OR(Recherche!$C$4="",A1100=Recherche!$C$4),OR(Recherche!$C$5="",B1100&amp;""=Recherche!$C$5&amp;""),OR(Recherche!$C$6="",IFERROR(YEAR(L1100),0)=Recherche!$C$6),OR(Recherche!$C$7="",ISNUMBER(SEARCH(Recherche!$C$7,H1100))),OR(Recherche!$C$8="",J1100=Recherche!$C$8),OR(Recherche!$C$9="",I1100=Recherche!$C$9),OR(Recherche!$C$10="",G1100&amp;""=Recherche!$C$10&amp;""),OR(Recherche!$C$11="",E1100=Recherche!$C$11),OR(Recherche!$C$12="",ISNUMBER(SEARCH(Recherche!$C$12,M1100&amp;" "&amp;F1100)))),1,0)</f>
        <v>8</v>
      </c>
    </row>
    <row r="1101" customFormat="false" ht="15" hidden="false" customHeight="false" outlineLevel="0" collapsed="false">
      <c r="A1101" s="19"/>
      <c r="B1101" s="19"/>
      <c r="C1101" s="19"/>
      <c r="D1101" s="19"/>
      <c r="E1101" s="22"/>
      <c r="F1101" s="19"/>
      <c r="G1101" s="26" t="str">
        <f aca="false">IF(D1101="","",IFERROR(VALUE(LEFT(D1101,FIND(" |",D1101&amp;" |")-1)),"?"))</f>
        <v/>
      </c>
      <c r="H1101" s="27" t="str">
        <f aca="false">IF(G1101="","",IF(G1101="?","⚠ pub inconnue",IFERROR(INDEX(Pubs!$B$2:$B$3001,MATCH(G1101,Pubs!$A$2:$A$3001,0))&amp;"","⚠ pub inconnue")))</f>
        <v/>
      </c>
      <c r="I1101" s="27" t="str">
        <f aca="false">IF(OR(G1101="",G1101="?"),"",IFERROR(INDEX(Pubs!$C$2:$C$3001,MATCH(G1101,Pubs!$A$2:$A$3001,0))&amp;"",""))</f>
        <v/>
      </c>
      <c r="J1101" s="27" t="str">
        <f aca="false">IF(OR(G1101="",G1101="?"),"",IFERROR(INDEX(Pubs!$G$2:$G$3001,MATCH(G1101,Pubs!$A$2:$A$3001,0))&amp;"",""))</f>
        <v/>
      </c>
      <c r="K1101" s="28" t="str">
        <f aca="false">IF(OR(G1101="",G1101="?"),"",IFERROR(INDEX(Pubs!$E$2:$E$3001,MATCH(G1101,Pubs!$A$2:$A$3001,0)),""))</f>
        <v/>
      </c>
      <c r="L1101" s="29" t="str">
        <f aca="false">IF(A1101="","",IFERROR(1/(1/INDEX(Numéros!$C$2:$C$3001,MATCH(A1101&amp;"|"&amp;B1101,Numéros!$F$2:$F$3001,0))),""))</f>
        <v/>
      </c>
      <c r="M1101" s="27" t="str">
        <f aca="false">IF(OR(G1101="",G1101="?"),"",IFERROR(INDEX(Pubs!$D$2:$D$3001,MATCH(G1101,Pubs!$A$2:$A$3001,0))&amp;"",""))</f>
        <v/>
      </c>
      <c r="N1101" s="27" t="n">
        <f aca="false">N(N1100)+IF(AND(A1101&lt;&gt;"",OR(Recherche!$C$4="",A1101=Recherche!$C$4),OR(Recherche!$C$5="",B1101&amp;""=Recherche!$C$5&amp;""),OR(Recherche!$C$6="",IFERROR(YEAR(L1101),0)=Recherche!$C$6),OR(Recherche!$C$7="",ISNUMBER(SEARCH(Recherche!$C$7,H1101))),OR(Recherche!$C$8="",J1101=Recherche!$C$8),OR(Recherche!$C$9="",I1101=Recherche!$C$9),OR(Recherche!$C$10="",G1101&amp;""=Recherche!$C$10&amp;""),OR(Recherche!$C$11="",E1101=Recherche!$C$11),OR(Recherche!$C$12="",ISNUMBER(SEARCH(Recherche!$C$12,M1101&amp;" "&amp;F1101)))),1,0)</f>
        <v>8</v>
      </c>
    </row>
    <row r="1102" customFormat="false" ht="15" hidden="false" customHeight="false" outlineLevel="0" collapsed="false">
      <c r="A1102" s="19"/>
      <c r="B1102" s="19"/>
      <c r="C1102" s="19"/>
      <c r="D1102" s="19"/>
      <c r="E1102" s="22"/>
      <c r="F1102" s="19"/>
      <c r="G1102" s="26" t="str">
        <f aca="false">IF(D1102="","",IFERROR(VALUE(LEFT(D1102,FIND(" |",D1102&amp;" |")-1)),"?"))</f>
        <v/>
      </c>
      <c r="H1102" s="27" t="str">
        <f aca="false">IF(G1102="","",IF(G1102="?","⚠ pub inconnue",IFERROR(INDEX(Pubs!$B$2:$B$3001,MATCH(G1102,Pubs!$A$2:$A$3001,0))&amp;"","⚠ pub inconnue")))</f>
        <v/>
      </c>
      <c r="I1102" s="27" t="str">
        <f aca="false">IF(OR(G1102="",G1102="?"),"",IFERROR(INDEX(Pubs!$C$2:$C$3001,MATCH(G1102,Pubs!$A$2:$A$3001,0))&amp;"",""))</f>
        <v/>
      </c>
      <c r="J1102" s="27" t="str">
        <f aca="false">IF(OR(G1102="",G1102="?"),"",IFERROR(INDEX(Pubs!$G$2:$G$3001,MATCH(G1102,Pubs!$A$2:$A$3001,0))&amp;"",""))</f>
        <v/>
      </c>
      <c r="K1102" s="28" t="str">
        <f aca="false">IF(OR(G1102="",G1102="?"),"",IFERROR(INDEX(Pubs!$E$2:$E$3001,MATCH(G1102,Pubs!$A$2:$A$3001,0)),""))</f>
        <v/>
      </c>
      <c r="L1102" s="29" t="str">
        <f aca="false">IF(A1102="","",IFERROR(1/(1/INDEX(Numéros!$C$2:$C$3001,MATCH(A1102&amp;"|"&amp;B1102,Numéros!$F$2:$F$3001,0))),""))</f>
        <v/>
      </c>
      <c r="M1102" s="27" t="str">
        <f aca="false">IF(OR(G1102="",G1102="?"),"",IFERROR(INDEX(Pubs!$D$2:$D$3001,MATCH(G1102,Pubs!$A$2:$A$3001,0))&amp;"",""))</f>
        <v/>
      </c>
      <c r="N1102" s="27" t="n">
        <f aca="false">N(N1101)+IF(AND(A1102&lt;&gt;"",OR(Recherche!$C$4="",A1102=Recherche!$C$4),OR(Recherche!$C$5="",B1102&amp;""=Recherche!$C$5&amp;""),OR(Recherche!$C$6="",IFERROR(YEAR(L1102),0)=Recherche!$C$6),OR(Recherche!$C$7="",ISNUMBER(SEARCH(Recherche!$C$7,H1102))),OR(Recherche!$C$8="",J1102=Recherche!$C$8),OR(Recherche!$C$9="",I1102=Recherche!$C$9),OR(Recherche!$C$10="",G1102&amp;""=Recherche!$C$10&amp;""),OR(Recherche!$C$11="",E1102=Recherche!$C$11),OR(Recherche!$C$12="",ISNUMBER(SEARCH(Recherche!$C$12,M1102&amp;" "&amp;F1102)))),1,0)</f>
        <v>8</v>
      </c>
    </row>
    <row r="1103" customFormat="false" ht="15" hidden="false" customHeight="false" outlineLevel="0" collapsed="false">
      <c r="A1103" s="19"/>
      <c r="B1103" s="19"/>
      <c r="C1103" s="19"/>
      <c r="D1103" s="19"/>
      <c r="E1103" s="22"/>
      <c r="F1103" s="19"/>
      <c r="G1103" s="26" t="str">
        <f aca="false">IF(D1103="","",IFERROR(VALUE(LEFT(D1103,FIND(" |",D1103&amp;" |")-1)),"?"))</f>
        <v/>
      </c>
      <c r="H1103" s="27" t="str">
        <f aca="false">IF(G1103="","",IF(G1103="?","⚠ pub inconnue",IFERROR(INDEX(Pubs!$B$2:$B$3001,MATCH(G1103,Pubs!$A$2:$A$3001,0))&amp;"","⚠ pub inconnue")))</f>
        <v/>
      </c>
      <c r="I1103" s="27" t="str">
        <f aca="false">IF(OR(G1103="",G1103="?"),"",IFERROR(INDEX(Pubs!$C$2:$C$3001,MATCH(G1103,Pubs!$A$2:$A$3001,0))&amp;"",""))</f>
        <v/>
      </c>
      <c r="J1103" s="27" t="str">
        <f aca="false">IF(OR(G1103="",G1103="?"),"",IFERROR(INDEX(Pubs!$G$2:$G$3001,MATCH(G1103,Pubs!$A$2:$A$3001,0))&amp;"",""))</f>
        <v/>
      </c>
      <c r="K1103" s="28" t="str">
        <f aca="false">IF(OR(G1103="",G1103="?"),"",IFERROR(INDEX(Pubs!$E$2:$E$3001,MATCH(G1103,Pubs!$A$2:$A$3001,0)),""))</f>
        <v/>
      </c>
      <c r="L1103" s="29" t="str">
        <f aca="false">IF(A1103="","",IFERROR(1/(1/INDEX(Numéros!$C$2:$C$3001,MATCH(A1103&amp;"|"&amp;B1103,Numéros!$F$2:$F$3001,0))),""))</f>
        <v/>
      </c>
      <c r="M1103" s="27" t="str">
        <f aca="false">IF(OR(G1103="",G1103="?"),"",IFERROR(INDEX(Pubs!$D$2:$D$3001,MATCH(G1103,Pubs!$A$2:$A$3001,0))&amp;"",""))</f>
        <v/>
      </c>
      <c r="N1103" s="27" t="n">
        <f aca="false">N(N1102)+IF(AND(A1103&lt;&gt;"",OR(Recherche!$C$4="",A1103=Recherche!$C$4),OR(Recherche!$C$5="",B1103&amp;""=Recherche!$C$5&amp;""),OR(Recherche!$C$6="",IFERROR(YEAR(L1103),0)=Recherche!$C$6),OR(Recherche!$C$7="",ISNUMBER(SEARCH(Recherche!$C$7,H1103))),OR(Recherche!$C$8="",J1103=Recherche!$C$8),OR(Recherche!$C$9="",I1103=Recherche!$C$9),OR(Recherche!$C$10="",G1103&amp;""=Recherche!$C$10&amp;""),OR(Recherche!$C$11="",E1103=Recherche!$C$11),OR(Recherche!$C$12="",ISNUMBER(SEARCH(Recherche!$C$12,M1103&amp;" "&amp;F1103)))),1,0)</f>
        <v>8</v>
      </c>
    </row>
    <row r="1104" customFormat="false" ht="15" hidden="false" customHeight="false" outlineLevel="0" collapsed="false">
      <c r="A1104" s="19"/>
      <c r="B1104" s="19"/>
      <c r="C1104" s="19"/>
      <c r="D1104" s="19"/>
      <c r="E1104" s="22"/>
      <c r="F1104" s="19"/>
      <c r="G1104" s="26" t="str">
        <f aca="false">IF(D1104="","",IFERROR(VALUE(LEFT(D1104,FIND(" |",D1104&amp;" |")-1)),"?"))</f>
        <v/>
      </c>
      <c r="H1104" s="27" t="str">
        <f aca="false">IF(G1104="","",IF(G1104="?","⚠ pub inconnue",IFERROR(INDEX(Pubs!$B$2:$B$3001,MATCH(G1104,Pubs!$A$2:$A$3001,0))&amp;"","⚠ pub inconnue")))</f>
        <v/>
      </c>
      <c r="I1104" s="27" t="str">
        <f aca="false">IF(OR(G1104="",G1104="?"),"",IFERROR(INDEX(Pubs!$C$2:$C$3001,MATCH(G1104,Pubs!$A$2:$A$3001,0))&amp;"",""))</f>
        <v/>
      </c>
      <c r="J1104" s="27" t="str">
        <f aca="false">IF(OR(G1104="",G1104="?"),"",IFERROR(INDEX(Pubs!$G$2:$G$3001,MATCH(G1104,Pubs!$A$2:$A$3001,0))&amp;"",""))</f>
        <v/>
      </c>
      <c r="K1104" s="28" t="str">
        <f aca="false">IF(OR(G1104="",G1104="?"),"",IFERROR(INDEX(Pubs!$E$2:$E$3001,MATCH(G1104,Pubs!$A$2:$A$3001,0)),""))</f>
        <v/>
      </c>
      <c r="L1104" s="29" t="str">
        <f aca="false">IF(A1104="","",IFERROR(1/(1/INDEX(Numéros!$C$2:$C$3001,MATCH(A1104&amp;"|"&amp;B1104,Numéros!$F$2:$F$3001,0))),""))</f>
        <v/>
      </c>
      <c r="M1104" s="27" t="str">
        <f aca="false">IF(OR(G1104="",G1104="?"),"",IFERROR(INDEX(Pubs!$D$2:$D$3001,MATCH(G1104,Pubs!$A$2:$A$3001,0))&amp;"",""))</f>
        <v/>
      </c>
      <c r="N1104" s="27" t="n">
        <f aca="false">N(N1103)+IF(AND(A1104&lt;&gt;"",OR(Recherche!$C$4="",A1104=Recherche!$C$4),OR(Recherche!$C$5="",B1104&amp;""=Recherche!$C$5&amp;""),OR(Recherche!$C$6="",IFERROR(YEAR(L1104),0)=Recherche!$C$6),OR(Recherche!$C$7="",ISNUMBER(SEARCH(Recherche!$C$7,H1104))),OR(Recherche!$C$8="",J1104=Recherche!$C$8),OR(Recherche!$C$9="",I1104=Recherche!$C$9),OR(Recherche!$C$10="",G1104&amp;""=Recherche!$C$10&amp;""),OR(Recherche!$C$11="",E1104=Recherche!$C$11),OR(Recherche!$C$12="",ISNUMBER(SEARCH(Recherche!$C$12,M1104&amp;" "&amp;F1104)))),1,0)</f>
        <v>8</v>
      </c>
    </row>
    <row r="1105" customFormat="false" ht="15" hidden="false" customHeight="false" outlineLevel="0" collapsed="false">
      <c r="A1105" s="19"/>
      <c r="B1105" s="19"/>
      <c r="C1105" s="19"/>
      <c r="D1105" s="19"/>
      <c r="E1105" s="22"/>
      <c r="F1105" s="19"/>
      <c r="G1105" s="26" t="str">
        <f aca="false">IF(D1105="","",IFERROR(VALUE(LEFT(D1105,FIND(" |",D1105&amp;" |")-1)),"?"))</f>
        <v/>
      </c>
      <c r="H1105" s="27" t="str">
        <f aca="false">IF(G1105="","",IF(G1105="?","⚠ pub inconnue",IFERROR(INDEX(Pubs!$B$2:$B$3001,MATCH(G1105,Pubs!$A$2:$A$3001,0))&amp;"","⚠ pub inconnue")))</f>
        <v/>
      </c>
      <c r="I1105" s="27" t="str">
        <f aca="false">IF(OR(G1105="",G1105="?"),"",IFERROR(INDEX(Pubs!$C$2:$C$3001,MATCH(G1105,Pubs!$A$2:$A$3001,0))&amp;"",""))</f>
        <v/>
      </c>
      <c r="J1105" s="27" t="str">
        <f aca="false">IF(OR(G1105="",G1105="?"),"",IFERROR(INDEX(Pubs!$G$2:$G$3001,MATCH(G1105,Pubs!$A$2:$A$3001,0))&amp;"",""))</f>
        <v/>
      </c>
      <c r="K1105" s="28" t="str">
        <f aca="false">IF(OR(G1105="",G1105="?"),"",IFERROR(INDEX(Pubs!$E$2:$E$3001,MATCH(G1105,Pubs!$A$2:$A$3001,0)),""))</f>
        <v/>
      </c>
      <c r="L1105" s="29" t="str">
        <f aca="false">IF(A1105="","",IFERROR(1/(1/INDEX(Numéros!$C$2:$C$3001,MATCH(A1105&amp;"|"&amp;B1105,Numéros!$F$2:$F$3001,0))),""))</f>
        <v/>
      </c>
      <c r="M1105" s="27" t="str">
        <f aca="false">IF(OR(G1105="",G1105="?"),"",IFERROR(INDEX(Pubs!$D$2:$D$3001,MATCH(G1105,Pubs!$A$2:$A$3001,0))&amp;"",""))</f>
        <v/>
      </c>
      <c r="N1105" s="27" t="n">
        <f aca="false">N(N1104)+IF(AND(A1105&lt;&gt;"",OR(Recherche!$C$4="",A1105=Recherche!$C$4),OR(Recherche!$C$5="",B1105&amp;""=Recherche!$C$5&amp;""),OR(Recherche!$C$6="",IFERROR(YEAR(L1105),0)=Recherche!$C$6),OR(Recherche!$C$7="",ISNUMBER(SEARCH(Recherche!$C$7,H1105))),OR(Recherche!$C$8="",J1105=Recherche!$C$8),OR(Recherche!$C$9="",I1105=Recherche!$C$9),OR(Recherche!$C$10="",G1105&amp;""=Recherche!$C$10&amp;""),OR(Recherche!$C$11="",E1105=Recherche!$C$11),OR(Recherche!$C$12="",ISNUMBER(SEARCH(Recherche!$C$12,M1105&amp;" "&amp;F1105)))),1,0)</f>
        <v>8</v>
      </c>
    </row>
    <row r="1106" customFormat="false" ht="15" hidden="false" customHeight="false" outlineLevel="0" collapsed="false">
      <c r="A1106" s="19"/>
      <c r="B1106" s="19"/>
      <c r="C1106" s="19"/>
      <c r="D1106" s="19"/>
      <c r="E1106" s="22"/>
      <c r="F1106" s="19"/>
      <c r="G1106" s="26" t="str">
        <f aca="false">IF(D1106="","",IFERROR(VALUE(LEFT(D1106,FIND(" |",D1106&amp;" |")-1)),"?"))</f>
        <v/>
      </c>
      <c r="H1106" s="27" t="str">
        <f aca="false">IF(G1106="","",IF(G1106="?","⚠ pub inconnue",IFERROR(INDEX(Pubs!$B$2:$B$3001,MATCH(G1106,Pubs!$A$2:$A$3001,0))&amp;"","⚠ pub inconnue")))</f>
        <v/>
      </c>
      <c r="I1106" s="27" t="str">
        <f aca="false">IF(OR(G1106="",G1106="?"),"",IFERROR(INDEX(Pubs!$C$2:$C$3001,MATCH(G1106,Pubs!$A$2:$A$3001,0))&amp;"",""))</f>
        <v/>
      </c>
      <c r="J1106" s="27" t="str">
        <f aca="false">IF(OR(G1106="",G1106="?"),"",IFERROR(INDEX(Pubs!$G$2:$G$3001,MATCH(G1106,Pubs!$A$2:$A$3001,0))&amp;"",""))</f>
        <v/>
      </c>
      <c r="K1106" s="28" t="str">
        <f aca="false">IF(OR(G1106="",G1106="?"),"",IFERROR(INDEX(Pubs!$E$2:$E$3001,MATCH(G1106,Pubs!$A$2:$A$3001,0)),""))</f>
        <v/>
      </c>
      <c r="L1106" s="29" t="str">
        <f aca="false">IF(A1106="","",IFERROR(1/(1/INDEX(Numéros!$C$2:$C$3001,MATCH(A1106&amp;"|"&amp;B1106,Numéros!$F$2:$F$3001,0))),""))</f>
        <v/>
      </c>
      <c r="M1106" s="27" t="str">
        <f aca="false">IF(OR(G1106="",G1106="?"),"",IFERROR(INDEX(Pubs!$D$2:$D$3001,MATCH(G1106,Pubs!$A$2:$A$3001,0))&amp;"",""))</f>
        <v/>
      </c>
      <c r="N1106" s="27" t="n">
        <f aca="false">N(N1105)+IF(AND(A1106&lt;&gt;"",OR(Recherche!$C$4="",A1106=Recherche!$C$4),OR(Recherche!$C$5="",B1106&amp;""=Recherche!$C$5&amp;""),OR(Recherche!$C$6="",IFERROR(YEAR(L1106),0)=Recherche!$C$6),OR(Recherche!$C$7="",ISNUMBER(SEARCH(Recherche!$C$7,H1106))),OR(Recherche!$C$8="",J1106=Recherche!$C$8),OR(Recherche!$C$9="",I1106=Recherche!$C$9),OR(Recherche!$C$10="",G1106&amp;""=Recherche!$C$10&amp;""),OR(Recherche!$C$11="",E1106=Recherche!$C$11),OR(Recherche!$C$12="",ISNUMBER(SEARCH(Recherche!$C$12,M1106&amp;" "&amp;F1106)))),1,0)</f>
        <v>8</v>
      </c>
    </row>
    <row r="1107" customFormat="false" ht="15" hidden="false" customHeight="false" outlineLevel="0" collapsed="false">
      <c r="A1107" s="19"/>
      <c r="B1107" s="19"/>
      <c r="C1107" s="19"/>
      <c r="D1107" s="19"/>
      <c r="E1107" s="22"/>
      <c r="F1107" s="19"/>
      <c r="G1107" s="26" t="str">
        <f aca="false">IF(D1107="","",IFERROR(VALUE(LEFT(D1107,FIND(" |",D1107&amp;" |")-1)),"?"))</f>
        <v/>
      </c>
      <c r="H1107" s="27" t="str">
        <f aca="false">IF(G1107="","",IF(G1107="?","⚠ pub inconnue",IFERROR(INDEX(Pubs!$B$2:$B$3001,MATCH(G1107,Pubs!$A$2:$A$3001,0))&amp;"","⚠ pub inconnue")))</f>
        <v/>
      </c>
      <c r="I1107" s="27" t="str">
        <f aca="false">IF(OR(G1107="",G1107="?"),"",IFERROR(INDEX(Pubs!$C$2:$C$3001,MATCH(G1107,Pubs!$A$2:$A$3001,0))&amp;"",""))</f>
        <v/>
      </c>
      <c r="J1107" s="27" t="str">
        <f aca="false">IF(OR(G1107="",G1107="?"),"",IFERROR(INDEX(Pubs!$G$2:$G$3001,MATCH(G1107,Pubs!$A$2:$A$3001,0))&amp;"",""))</f>
        <v/>
      </c>
      <c r="K1107" s="28" t="str">
        <f aca="false">IF(OR(G1107="",G1107="?"),"",IFERROR(INDEX(Pubs!$E$2:$E$3001,MATCH(G1107,Pubs!$A$2:$A$3001,0)),""))</f>
        <v/>
      </c>
      <c r="L1107" s="29" t="str">
        <f aca="false">IF(A1107="","",IFERROR(1/(1/INDEX(Numéros!$C$2:$C$3001,MATCH(A1107&amp;"|"&amp;B1107,Numéros!$F$2:$F$3001,0))),""))</f>
        <v/>
      </c>
      <c r="M1107" s="27" t="str">
        <f aca="false">IF(OR(G1107="",G1107="?"),"",IFERROR(INDEX(Pubs!$D$2:$D$3001,MATCH(G1107,Pubs!$A$2:$A$3001,0))&amp;"",""))</f>
        <v/>
      </c>
      <c r="N1107" s="27" t="n">
        <f aca="false">N(N1106)+IF(AND(A1107&lt;&gt;"",OR(Recherche!$C$4="",A1107=Recherche!$C$4),OR(Recherche!$C$5="",B1107&amp;""=Recherche!$C$5&amp;""),OR(Recherche!$C$6="",IFERROR(YEAR(L1107),0)=Recherche!$C$6),OR(Recherche!$C$7="",ISNUMBER(SEARCH(Recherche!$C$7,H1107))),OR(Recherche!$C$8="",J1107=Recherche!$C$8),OR(Recherche!$C$9="",I1107=Recherche!$C$9),OR(Recherche!$C$10="",G1107&amp;""=Recherche!$C$10&amp;""),OR(Recherche!$C$11="",E1107=Recherche!$C$11),OR(Recherche!$C$12="",ISNUMBER(SEARCH(Recherche!$C$12,M1107&amp;" "&amp;F1107)))),1,0)</f>
        <v>8</v>
      </c>
    </row>
    <row r="1108" customFormat="false" ht="15" hidden="false" customHeight="false" outlineLevel="0" collapsed="false">
      <c r="A1108" s="19"/>
      <c r="B1108" s="19"/>
      <c r="C1108" s="19"/>
      <c r="D1108" s="19"/>
      <c r="E1108" s="22"/>
      <c r="F1108" s="19"/>
      <c r="G1108" s="26" t="str">
        <f aca="false">IF(D1108="","",IFERROR(VALUE(LEFT(D1108,FIND(" |",D1108&amp;" |")-1)),"?"))</f>
        <v/>
      </c>
      <c r="H1108" s="27" t="str">
        <f aca="false">IF(G1108="","",IF(G1108="?","⚠ pub inconnue",IFERROR(INDEX(Pubs!$B$2:$B$3001,MATCH(G1108,Pubs!$A$2:$A$3001,0))&amp;"","⚠ pub inconnue")))</f>
        <v/>
      </c>
      <c r="I1108" s="27" t="str">
        <f aca="false">IF(OR(G1108="",G1108="?"),"",IFERROR(INDEX(Pubs!$C$2:$C$3001,MATCH(G1108,Pubs!$A$2:$A$3001,0))&amp;"",""))</f>
        <v/>
      </c>
      <c r="J1108" s="27" t="str">
        <f aca="false">IF(OR(G1108="",G1108="?"),"",IFERROR(INDEX(Pubs!$G$2:$G$3001,MATCH(G1108,Pubs!$A$2:$A$3001,0))&amp;"",""))</f>
        <v/>
      </c>
      <c r="K1108" s="28" t="str">
        <f aca="false">IF(OR(G1108="",G1108="?"),"",IFERROR(INDEX(Pubs!$E$2:$E$3001,MATCH(G1108,Pubs!$A$2:$A$3001,0)),""))</f>
        <v/>
      </c>
      <c r="L1108" s="29" t="str">
        <f aca="false">IF(A1108="","",IFERROR(1/(1/INDEX(Numéros!$C$2:$C$3001,MATCH(A1108&amp;"|"&amp;B1108,Numéros!$F$2:$F$3001,0))),""))</f>
        <v/>
      </c>
      <c r="M1108" s="27" t="str">
        <f aca="false">IF(OR(G1108="",G1108="?"),"",IFERROR(INDEX(Pubs!$D$2:$D$3001,MATCH(G1108,Pubs!$A$2:$A$3001,0))&amp;"",""))</f>
        <v/>
      </c>
      <c r="N1108" s="27" t="n">
        <f aca="false">N(N1107)+IF(AND(A1108&lt;&gt;"",OR(Recherche!$C$4="",A1108=Recherche!$C$4),OR(Recherche!$C$5="",B1108&amp;""=Recherche!$C$5&amp;""),OR(Recherche!$C$6="",IFERROR(YEAR(L1108),0)=Recherche!$C$6),OR(Recherche!$C$7="",ISNUMBER(SEARCH(Recherche!$C$7,H1108))),OR(Recherche!$C$8="",J1108=Recherche!$C$8),OR(Recherche!$C$9="",I1108=Recherche!$C$9),OR(Recherche!$C$10="",G1108&amp;""=Recherche!$C$10&amp;""),OR(Recherche!$C$11="",E1108=Recherche!$C$11),OR(Recherche!$C$12="",ISNUMBER(SEARCH(Recherche!$C$12,M1108&amp;" "&amp;F1108)))),1,0)</f>
        <v>8</v>
      </c>
    </row>
    <row r="1109" customFormat="false" ht="15" hidden="false" customHeight="false" outlineLevel="0" collapsed="false">
      <c r="A1109" s="19"/>
      <c r="B1109" s="19"/>
      <c r="C1109" s="19"/>
      <c r="D1109" s="19"/>
      <c r="E1109" s="22"/>
      <c r="F1109" s="19"/>
      <c r="G1109" s="26" t="str">
        <f aca="false">IF(D1109="","",IFERROR(VALUE(LEFT(D1109,FIND(" |",D1109&amp;" |")-1)),"?"))</f>
        <v/>
      </c>
      <c r="H1109" s="27" t="str">
        <f aca="false">IF(G1109="","",IF(G1109="?","⚠ pub inconnue",IFERROR(INDEX(Pubs!$B$2:$B$3001,MATCH(G1109,Pubs!$A$2:$A$3001,0))&amp;"","⚠ pub inconnue")))</f>
        <v/>
      </c>
      <c r="I1109" s="27" t="str">
        <f aca="false">IF(OR(G1109="",G1109="?"),"",IFERROR(INDEX(Pubs!$C$2:$C$3001,MATCH(G1109,Pubs!$A$2:$A$3001,0))&amp;"",""))</f>
        <v/>
      </c>
      <c r="J1109" s="27" t="str">
        <f aca="false">IF(OR(G1109="",G1109="?"),"",IFERROR(INDEX(Pubs!$G$2:$G$3001,MATCH(G1109,Pubs!$A$2:$A$3001,0))&amp;"",""))</f>
        <v/>
      </c>
      <c r="K1109" s="28" t="str">
        <f aca="false">IF(OR(G1109="",G1109="?"),"",IFERROR(INDEX(Pubs!$E$2:$E$3001,MATCH(G1109,Pubs!$A$2:$A$3001,0)),""))</f>
        <v/>
      </c>
      <c r="L1109" s="29" t="str">
        <f aca="false">IF(A1109="","",IFERROR(1/(1/INDEX(Numéros!$C$2:$C$3001,MATCH(A1109&amp;"|"&amp;B1109,Numéros!$F$2:$F$3001,0))),""))</f>
        <v/>
      </c>
      <c r="M1109" s="27" t="str">
        <f aca="false">IF(OR(G1109="",G1109="?"),"",IFERROR(INDEX(Pubs!$D$2:$D$3001,MATCH(G1109,Pubs!$A$2:$A$3001,0))&amp;"",""))</f>
        <v/>
      </c>
      <c r="N1109" s="27" t="n">
        <f aca="false">N(N1108)+IF(AND(A1109&lt;&gt;"",OR(Recherche!$C$4="",A1109=Recherche!$C$4),OR(Recherche!$C$5="",B1109&amp;""=Recherche!$C$5&amp;""),OR(Recherche!$C$6="",IFERROR(YEAR(L1109),0)=Recherche!$C$6),OR(Recherche!$C$7="",ISNUMBER(SEARCH(Recherche!$C$7,H1109))),OR(Recherche!$C$8="",J1109=Recherche!$C$8),OR(Recherche!$C$9="",I1109=Recherche!$C$9),OR(Recherche!$C$10="",G1109&amp;""=Recherche!$C$10&amp;""),OR(Recherche!$C$11="",E1109=Recherche!$C$11),OR(Recherche!$C$12="",ISNUMBER(SEARCH(Recherche!$C$12,M1109&amp;" "&amp;F1109)))),1,0)</f>
        <v>8</v>
      </c>
    </row>
    <row r="1110" customFormat="false" ht="15" hidden="false" customHeight="false" outlineLevel="0" collapsed="false">
      <c r="A1110" s="19"/>
      <c r="B1110" s="19"/>
      <c r="C1110" s="19"/>
      <c r="D1110" s="19"/>
      <c r="E1110" s="22"/>
      <c r="F1110" s="19"/>
      <c r="G1110" s="26" t="str">
        <f aca="false">IF(D1110="","",IFERROR(VALUE(LEFT(D1110,FIND(" |",D1110&amp;" |")-1)),"?"))</f>
        <v/>
      </c>
      <c r="H1110" s="27" t="str">
        <f aca="false">IF(G1110="","",IF(G1110="?","⚠ pub inconnue",IFERROR(INDEX(Pubs!$B$2:$B$3001,MATCH(G1110,Pubs!$A$2:$A$3001,0))&amp;"","⚠ pub inconnue")))</f>
        <v/>
      </c>
      <c r="I1110" s="27" t="str">
        <f aca="false">IF(OR(G1110="",G1110="?"),"",IFERROR(INDEX(Pubs!$C$2:$C$3001,MATCH(G1110,Pubs!$A$2:$A$3001,0))&amp;"",""))</f>
        <v/>
      </c>
      <c r="J1110" s="27" t="str">
        <f aca="false">IF(OR(G1110="",G1110="?"),"",IFERROR(INDEX(Pubs!$G$2:$G$3001,MATCH(G1110,Pubs!$A$2:$A$3001,0))&amp;"",""))</f>
        <v/>
      </c>
      <c r="K1110" s="28" t="str">
        <f aca="false">IF(OR(G1110="",G1110="?"),"",IFERROR(INDEX(Pubs!$E$2:$E$3001,MATCH(G1110,Pubs!$A$2:$A$3001,0)),""))</f>
        <v/>
      </c>
      <c r="L1110" s="29" t="str">
        <f aca="false">IF(A1110="","",IFERROR(1/(1/INDEX(Numéros!$C$2:$C$3001,MATCH(A1110&amp;"|"&amp;B1110,Numéros!$F$2:$F$3001,0))),""))</f>
        <v/>
      </c>
      <c r="M1110" s="27" t="str">
        <f aca="false">IF(OR(G1110="",G1110="?"),"",IFERROR(INDEX(Pubs!$D$2:$D$3001,MATCH(G1110,Pubs!$A$2:$A$3001,0))&amp;"",""))</f>
        <v/>
      </c>
      <c r="N1110" s="27" t="n">
        <f aca="false">N(N1109)+IF(AND(A1110&lt;&gt;"",OR(Recherche!$C$4="",A1110=Recherche!$C$4),OR(Recherche!$C$5="",B1110&amp;""=Recherche!$C$5&amp;""),OR(Recherche!$C$6="",IFERROR(YEAR(L1110),0)=Recherche!$C$6),OR(Recherche!$C$7="",ISNUMBER(SEARCH(Recherche!$C$7,H1110))),OR(Recherche!$C$8="",J1110=Recherche!$C$8),OR(Recherche!$C$9="",I1110=Recherche!$C$9),OR(Recherche!$C$10="",G1110&amp;""=Recherche!$C$10&amp;""),OR(Recherche!$C$11="",E1110=Recherche!$C$11),OR(Recherche!$C$12="",ISNUMBER(SEARCH(Recherche!$C$12,M1110&amp;" "&amp;F1110)))),1,0)</f>
        <v>8</v>
      </c>
    </row>
    <row r="1111" customFormat="false" ht="15" hidden="false" customHeight="false" outlineLevel="0" collapsed="false">
      <c r="A1111" s="19"/>
      <c r="B1111" s="19"/>
      <c r="C1111" s="19"/>
      <c r="D1111" s="19"/>
      <c r="E1111" s="22"/>
      <c r="F1111" s="19"/>
      <c r="G1111" s="26" t="str">
        <f aca="false">IF(D1111="","",IFERROR(VALUE(LEFT(D1111,FIND(" |",D1111&amp;" |")-1)),"?"))</f>
        <v/>
      </c>
      <c r="H1111" s="27" t="str">
        <f aca="false">IF(G1111="","",IF(G1111="?","⚠ pub inconnue",IFERROR(INDEX(Pubs!$B$2:$B$3001,MATCH(G1111,Pubs!$A$2:$A$3001,0))&amp;"","⚠ pub inconnue")))</f>
        <v/>
      </c>
      <c r="I1111" s="27" t="str">
        <f aca="false">IF(OR(G1111="",G1111="?"),"",IFERROR(INDEX(Pubs!$C$2:$C$3001,MATCH(G1111,Pubs!$A$2:$A$3001,0))&amp;"",""))</f>
        <v/>
      </c>
      <c r="J1111" s="27" t="str">
        <f aca="false">IF(OR(G1111="",G1111="?"),"",IFERROR(INDEX(Pubs!$G$2:$G$3001,MATCH(G1111,Pubs!$A$2:$A$3001,0))&amp;"",""))</f>
        <v/>
      </c>
      <c r="K1111" s="28" t="str">
        <f aca="false">IF(OR(G1111="",G1111="?"),"",IFERROR(INDEX(Pubs!$E$2:$E$3001,MATCH(G1111,Pubs!$A$2:$A$3001,0)),""))</f>
        <v/>
      </c>
      <c r="L1111" s="29" t="str">
        <f aca="false">IF(A1111="","",IFERROR(1/(1/INDEX(Numéros!$C$2:$C$3001,MATCH(A1111&amp;"|"&amp;B1111,Numéros!$F$2:$F$3001,0))),""))</f>
        <v/>
      </c>
      <c r="M1111" s="27" t="str">
        <f aca="false">IF(OR(G1111="",G1111="?"),"",IFERROR(INDEX(Pubs!$D$2:$D$3001,MATCH(G1111,Pubs!$A$2:$A$3001,0))&amp;"",""))</f>
        <v/>
      </c>
      <c r="N1111" s="27" t="n">
        <f aca="false">N(N1110)+IF(AND(A1111&lt;&gt;"",OR(Recherche!$C$4="",A1111=Recherche!$C$4),OR(Recherche!$C$5="",B1111&amp;""=Recherche!$C$5&amp;""),OR(Recherche!$C$6="",IFERROR(YEAR(L1111),0)=Recherche!$C$6),OR(Recherche!$C$7="",ISNUMBER(SEARCH(Recherche!$C$7,H1111))),OR(Recherche!$C$8="",J1111=Recherche!$C$8),OR(Recherche!$C$9="",I1111=Recherche!$C$9),OR(Recherche!$C$10="",G1111&amp;""=Recherche!$C$10&amp;""),OR(Recherche!$C$11="",E1111=Recherche!$C$11),OR(Recherche!$C$12="",ISNUMBER(SEARCH(Recherche!$C$12,M1111&amp;" "&amp;F1111)))),1,0)</f>
        <v>8</v>
      </c>
    </row>
    <row r="1112" customFormat="false" ht="15" hidden="false" customHeight="false" outlineLevel="0" collapsed="false">
      <c r="A1112" s="19"/>
      <c r="B1112" s="19"/>
      <c r="C1112" s="19"/>
      <c r="D1112" s="19"/>
      <c r="E1112" s="22"/>
      <c r="F1112" s="19"/>
      <c r="G1112" s="26" t="str">
        <f aca="false">IF(D1112="","",IFERROR(VALUE(LEFT(D1112,FIND(" |",D1112&amp;" |")-1)),"?"))</f>
        <v/>
      </c>
      <c r="H1112" s="27" t="str">
        <f aca="false">IF(G1112="","",IF(G1112="?","⚠ pub inconnue",IFERROR(INDEX(Pubs!$B$2:$B$3001,MATCH(G1112,Pubs!$A$2:$A$3001,0))&amp;"","⚠ pub inconnue")))</f>
        <v/>
      </c>
      <c r="I1112" s="27" t="str">
        <f aca="false">IF(OR(G1112="",G1112="?"),"",IFERROR(INDEX(Pubs!$C$2:$C$3001,MATCH(G1112,Pubs!$A$2:$A$3001,0))&amp;"",""))</f>
        <v/>
      </c>
      <c r="J1112" s="27" t="str">
        <f aca="false">IF(OR(G1112="",G1112="?"),"",IFERROR(INDEX(Pubs!$G$2:$G$3001,MATCH(G1112,Pubs!$A$2:$A$3001,0))&amp;"",""))</f>
        <v/>
      </c>
      <c r="K1112" s="28" t="str">
        <f aca="false">IF(OR(G1112="",G1112="?"),"",IFERROR(INDEX(Pubs!$E$2:$E$3001,MATCH(G1112,Pubs!$A$2:$A$3001,0)),""))</f>
        <v/>
      </c>
      <c r="L1112" s="29" t="str">
        <f aca="false">IF(A1112="","",IFERROR(1/(1/INDEX(Numéros!$C$2:$C$3001,MATCH(A1112&amp;"|"&amp;B1112,Numéros!$F$2:$F$3001,0))),""))</f>
        <v/>
      </c>
      <c r="M1112" s="27" t="str">
        <f aca="false">IF(OR(G1112="",G1112="?"),"",IFERROR(INDEX(Pubs!$D$2:$D$3001,MATCH(G1112,Pubs!$A$2:$A$3001,0))&amp;"",""))</f>
        <v/>
      </c>
      <c r="N1112" s="27" t="n">
        <f aca="false">N(N1111)+IF(AND(A1112&lt;&gt;"",OR(Recherche!$C$4="",A1112=Recherche!$C$4),OR(Recherche!$C$5="",B1112&amp;""=Recherche!$C$5&amp;""),OR(Recherche!$C$6="",IFERROR(YEAR(L1112),0)=Recherche!$C$6),OR(Recherche!$C$7="",ISNUMBER(SEARCH(Recherche!$C$7,H1112))),OR(Recherche!$C$8="",J1112=Recherche!$C$8),OR(Recherche!$C$9="",I1112=Recherche!$C$9),OR(Recherche!$C$10="",G1112&amp;""=Recherche!$C$10&amp;""),OR(Recherche!$C$11="",E1112=Recherche!$C$11),OR(Recherche!$C$12="",ISNUMBER(SEARCH(Recherche!$C$12,M1112&amp;" "&amp;F1112)))),1,0)</f>
        <v>8</v>
      </c>
    </row>
    <row r="1113" customFormat="false" ht="15" hidden="false" customHeight="false" outlineLevel="0" collapsed="false">
      <c r="A1113" s="19"/>
      <c r="B1113" s="19"/>
      <c r="C1113" s="19"/>
      <c r="D1113" s="19"/>
      <c r="E1113" s="22"/>
      <c r="F1113" s="19"/>
      <c r="G1113" s="26" t="str">
        <f aca="false">IF(D1113="","",IFERROR(VALUE(LEFT(D1113,FIND(" |",D1113&amp;" |")-1)),"?"))</f>
        <v/>
      </c>
      <c r="H1113" s="27" t="str">
        <f aca="false">IF(G1113="","",IF(G1113="?","⚠ pub inconnue",IFERROR(INDEX(Pubs!$B$2:$B$3001,MATCH(G1113,Pubs!$A$2:$A$3001,0))&amp;"","⚠ pub inconnue")))</f>
        <v/>
      </c>
      <c r="I1113" s="27" t="str">
        <f aca="false">IF(OR(G1113="",G1113="?"),"",IFERROR(INDEX(Pubs!$C$2:$C$3001,MATCH(G1113,Pubs!$A$2:$A$3001,0))&amp;"",""))</f>
        <v/>
      </c>
      <c r="J1113" s="27" t="str">
        <f aca="false">IF(OR(G1113="",G1113="?"),"",IFERROR(INDEX(Pubs!$G$2:$G$3001,MATCH(G1113,Pubs!$A$2:$A$3001,0))&amp;"",""))</f>
        <v/>
      </c>
      <c r="K1113" s="28" t="str">
        <f aca="false">IF(OR(G1113="",G1113="?"),"",IFERROR(INDEX(Pubs!$E$2:$E$3001,MATCH(G1113,Pubs!$A$2:$A$3001,0)),""))</f>
        <v/>
      </c>
      <c r="L1113" s="29" t="str">
        <f aca="false">IF(A1113="","",IFERROR(1/(1/INDEX(Numéros!$C$2:$C$3001,MATCH(A1113&amp;"|"&amp;B1113,Numéros!$F$2:$F$3001,0))),""))</f>
        <v/>
      </c>
      <c r="M1113" s="27" t="str">
        <f aca="false">IF(OR(G1113="",G1113="?"),"",IFERROR(INDEX(Pubs!$D$2:$D$3001,MATCH(G1113,Pubs!$A$2:$A$3001,0))&amp;"",""))</f>
        <v/>
      </c>
      <c r="N1113" s="27" t="n">
        <f aca="false">N(N1112)+IF(AND(A1113&lt;&gt;"",OR(Recherche!$C$4="",A1113=Recherche!$C$4),OR(Recherche!$C$5="",B1113&amp;""=Recherche!$C$5&amp;""),OR(Recherche!$C$6="",IFERROR(YEAR(L1113),0)=Recherche!$C$6),OR(Recherche!$C$7="",ISNUMBER(SEARCH(Recherche!$C$7,H1113))),OR(Recherche!$C$8="",J1113=Recherche!$C$8),OR(Recherche!$C$9="",I1113=Recherche!$C$9),OR(Recherche!$C$10="",G1113&amp;""=Recherche!$C$10&amp;""),OR(Recherche!$C$11="",E1113=Recherche!$C$11),OR(Recherche!$C$12="",ISNUMBER(SEARCH(Recherche!$C$12,M1113&amp;" "&amp;F1113)))),1,0)</f>
        <v>8</v>
      </c>
    </row>
    <row r="1114" customFormat="false" ht="15" hidden="false" customHeight="false" outlineLevel="0" collapsed="false">
      <c r="A1114" s="19"/>
      <c r="B1114" s="19"/>
      <c r="C1114" s="19"/>
      <c r="D1114" s="19"/>
      <c r="E1114" s="22"/>
      <c r="F1114" s="19"/>
      <c r="G1114" s="26" t="str">
        <f aca="false">IF(D1114="","",IFERROR(VALUE(LEFT(D1114,FIND(" |",D1114&amp;" |")-1)),"?"))</f>
        <v/>
      </c>
      <c r="H1114" s="27" t="str">
        <f aca="false">IF(G1114="","",IF(G1114="?","⚠ pub inconnue",IFERROR(INDEX(Pubs!$B$2:$B$3001,MATCH(G1114,Pubs!$A$2:$A$3001,0))&amp;"","⚠ pub inconnue")))</f>
        <v/>
      </c>
      <c r="I1114" s="27" t="str">
        <f aca="false">IF(OR(G1114="",G1114="?"),"",IFERROR(INDEX(Pubs!$C$2:$C$3001,MATCH(G1114,Pubs!$A$2:$A$3001,0))&amp;"",""))</f>
        <v/>
      </c>
      <c r="J1114" s="27" t="str">
        <f aca="false">IF(OR(G1114="",G1114="?"),"",IFERROR(INDEX(Pubs!$G$2:$G$3001,MATCH(G1114,Pubs!$A$2:$A$3001,0))&amp;"",""))</f>
        <v/>
      </c>
      <c r="K1114" s="28" t="str">
        <f aca="false">IF(OR(G1114="",G1114="?"),"",IFERROR(INDEX(Pubs!$E$2:$E$3001,MATCH(G1114,Pubs!$A$2:$A$3001,0)),""))</f>
        <v/>
      </c>
      <c r="L1114" s="29" t="str">
        <f aca="false">IF(A1114="","",IFERROR(1/(1/INDEX(Numéros!$C$2:$C$3001,MATCH(A1114&amp;"|"&amp;B1114,Numéros!$F$2:$F$3001,0))),""))</f>
        <v/>
      </c>
      <c r="M1114" s="27" t="str">
        <f aca="false">IF(OR(G1114="",G1114="?"),"",IFERROR(INDEX(Pubs!$D$2:$D$3001,MATCH(G1114,Pubs!$A$2:$A$3001,0))&amp;"",""))</f>
        <v/>
      </c>
      <c r="N1114" s="27" t="n">
        <f aca="false">N(N1113)+IF(AND(A1114&lt;&gt;"",OR(Recherche!$C$4="",A1114=Recherche!$C$4),OR(Recherche!$C$5="",B1114&amp;""=Recherche!$C$5&amp;""),OR(Recherche!$C$6="",IFERROR(YEAR(L1114),0)=Recherche!$C$6),OR(Recherche!$C$7="",ISNUMBER(SEARCH(Recherche!$C$7,H1114))),OR(Recherche!$C$8="",J1114=Recherche!$C$8),OR(Recherche!$C$9="",I1114=Recherche!$C$9),OR(Recherche!$C$10="",G1114&amp;""=Recherche!$C$10&amp;""),OR(Recherche!$C$11="",E1114=Recherche!$C$11),OR(Recherche!$C$12="",ISNUMBER(SEARCH(Recherche!$C$12,M1114&amp;" "&amp;F1114)))),1,0)</f>
        <v>8</v>
      </c>
    </row>
    <row r="1115" customFormat="false" ht="15" hidden="false" customHeight="false" outlineLevel="0" collapsed="false">
      <c r="A1115" s="19"/>
      <c r="B1115" s="19"/>
      <c r="C1115" s="19"/>
      <c r="D1115" s="19"/>
      <c r="E1115" s="22"/>
      <c r="F1115" s="19"/>
      <c r="G1115" s="26" t="str">
        <f aca="false">IF(D1115="","",IFERROR(VALUE(LEFT(D1115,FIND(" |",D1115&amp;" |")-1)),"?"))</f>
        <v/>
      </c>
      <c r="H1115" s="27" t="str">
        <f aca="false">IF(G1115="","",IF(G1115="?","⚠ pub inconnue",IFERROR(INDEX(Pubs!$B$2:$B$3001,MATCH(G1115,Pubs!$A$2:$A$3001,0))&amp;"","⚠ pub inconnue")))</f>
        <v/>
      </c>
      <c r="I1115" s="27" t="str">
        <f aca="false">IF(OR(G1115="",G1115="?"),"",IFERROR(INDEX(Pubs!$C$2:$C$3001,MATCH(G1115,Pubs!$A$2:$A$3001,0))&amp;"",""))</f>
        <v/>
      </c>
      <c r="J1115" s="27" t="str">
        <f aca="false">IF(OR(G1115="",G1115="?"),"",IFERROR(INDEX(Pubs!$G$2:$G$3001,MATCH(G1115,Pubs!$A$2:$A$3001,0))&amp;"",""))</f>
        <v/>
      </c>
      <c r="K1115" s="28" t="str">
        <f aca="false">IF(OR(G1115="",G1115="?"),"",IFERROR(INDEX(Pubs!$E$2:$E$3001,MATCH(G1115,Pubs!$A$2:$A$3001,0)),""))</f>
        <v/>
      </c>
      <c r="L1115" s="29" t="str">
        <f aca="false">IF(A1115="","",IFERROR(1/(1/INDEX(Numéros!$C$2:$C$3001,MATCH(A1115&amp;"|"&amp;B1115,Numéros!$F$2:$F$3001,0))),""))</f>
        <v/>
      </c>
      <c r="M1115" s="27" t="str">
        <f aca="false">IF(OR(G1115="",G1115="?"),"",IFERROR(INDEX(Pubs!$D$2:$D$3001,MATCH(G1115,Pubs!$A$2:$A$3001,0))&amp;"",""))</f>
        <v/>
      </c>
      <c r="N1115" s="27" t="n">
        <f aca="false">N(N1114)+IF(AND(A1115&lt;&gt;"",OR(Recherche!$C$4="",A1115=Recherche!$C$4),OR(Recherche!$C$5="",B1115&amp;""=Recherche!$C$5&amp;""),OR(Recherche!$C$6="",IFERROR(YEAR(L1115),0)=Recherche!$C$6),OR(Recherche!$C$7="",ISNUMBER(SEARCH(Recherche!$C$7,H1115))),OR(Recherche!$C$8="",J1115=Recherche!$C$8),OR(Recherche!$C$9="",I1115=Recherche!$C$9),OR(Recherche!$C$10="",G1115&amp;""=Recherche!$C$10&amp;""),OR(Recherche!$C$11="",E1115=Recherche!$C$11),OR(Recherche!$C$12="",ISNUMBER(SEARCH(Recherche!$C$12,M1115&amp;" "&amp;F1115)))),1,0)</f>
        <v>8</v>
      </c>
    </row>
    <row r="1116" customFormat="false" ht="15" hidden="false" customHeight="false" outlineLevel="0" collapsed="false">
      <c r="A1116" s="19"/>
      <c r="B1116" s="19"/>
      <c r="C1116" s="19"/>
      <c r="D1116" s="19"/>
      <c r="E1116" s="22"/>
      <c r="F1116" s="19"/>
      <c r="G1116" s="26" t="str">
        <f aca="false">IF(D1116="","",IFERROR(VALUE(LEFT(D1116,FIND(" |",D1116&amp;" |")-1)),"?"))</f>
        <v/>
      </c>
      <c r="H1116" s="27" t="str">
        <f aca="false">IF(G1116="","",IF(G1116="?","⚠ pub inconnue",IFERROR(INDEX(Pubs!$B$2:$B$3001,MATCH(G1116,Pubs!$A$2:$A$3001,0))&amp;"","⚠ pub inconnue")))</f>
        <v/>
      </c>
      <c r="I1116" s="27" t="str">
        <f aca="false">IF(OR(G1116="",G1116="?"),"",IFERROR(INDEX(Pubs!$C$2:$C$3001,MATCH(G1116,Pubs!$A$2:$A$3001,0))&amp;"",""))</f>
        <v/>
      </c>
      <c r="J1116" s="27" t="str">
        <f aca="false">IF(OR(G1116="",G1116="?"),"",IFERROR(INDEX(Pubs!$G$2:$G$3001,MATCH(G1116,Pubs!$A$2:$A$3001,0))&amp;"",""))</f>
        <v/>
      </c>
      <c r="K1116" s="28" t="str">
        <f aca="false">IF(OR(G1116="",G1116="?"),"",IFERROR(INDEX(Pubs!$E$2:$E$3001,MATCH(G1116,Pubs!$A$2:$A$3001,0)),""))</f>
        <v/>
      </c>
      <c r="L1116" s="29" t="str">
        <f aca="false">IF(A1116="","",IFERROR(1/(1/INDEX(Numéros!$C$2:$C$3001,MATCH(A1116&amp;"|"&amp;B1116,Numéros!$F$2:$F$3001,0))),""))</f>
        <v/>
      </c>
      <c r="M1116" s="27" t="str">
        <f aca="false">IF(OR(G1116="",G1116="?"),"",IFERROR(INDEX(Pubs!$D$2:$D$3001,MATCH(G1116,Pubs!$A$2:$A$3001,0))&amp;"",""))</f>
        <v/>
      </c>
      <c r="N1116" s="27" t="n">
        <f aca="false">N(N1115)+IF(AND(A1116&lt;&gt;"",OR(Recherche!$C$4="",A1116=Recherche!$C$4),OR(Recherche!$C$5="",B1116&amp;""=Recherche!$C$5&amp;""),OR(Recherche!$C$6="",IFERROR(YEAR(L1116),0)=Recherche!$C$6),OR(Recherche!$C$7="",ISNUMBER(SEARCH(Recherche!$C$7,H1116))),OR(Recherche!$C$8="",J1116=Recherche!$C$8),OR(Recherche!$C$9="",I1116=Recherche!$C$9),OR(Recherche!$C$10="",G1116&amp;""=Recherche!$C$10&amp;""),OR(Recherche!$C$11="",E1116=Recherche!$C$11),OR(Recherche!$C$12="",ISNUMBER(SEARCH(Recherche!$C$12,M1116&amp;" "&amp;F1116)))),1,0)</f>
        <v>8</v>
      </c>
    </row>
    <row r="1117" customFormat="false" ht="15" hidden="false" customHeight="false" outlineLevel="0" collapsed="false">
      <c r="A1117" s="19"/>
      <c r="B1117" s="19"/>
      <c r="C1117" s="19"/>
      <c r="D1117" s="19"/>
      <c r="E1117" s="22"/>
      <c r="F1117" s="19"/>
      <c r="G1117" s="26" t="str">
        <f aca="false">IF(D1117="","",IFERROR(VALUE(LEFT(D1117,FIND(" |",D1117&amp;" |")-1)),"?"))</f>
        <v/>
      </c>
      <c r="H1117" s="27" t="str">
        <f aca="false">IF(G1117="","",IF(G1117="?","⚠ pub inconnue",IFERROR(INDEX(Pubs!$B$2:$B$3001,MATCH(G1117,Pubs!$A$2:$A$3001,0))&amp;"","⚠ pub inconnue")))</f>
        <v/>
      </c>
      <c r="I1117" s="27" t="str">
        <f aca="false">IF(OR(G1117="",G1117="?"),"",IFERROR(INDEX(Pubs!$C$2:$C$3001,MATCH(G1117,Pubs!$A$2:$A$3001,0))&amp;"",""))</f>
        <v/>
      </c>
      <c r="J1117" s="27" t="str">
        <f aca="false">IF(OR(G1117="",G1117="?"),"",IFERROR(INDEX(Pubs!$G$2:$G$3001,MATCH(G1117,Pubs!$A$2:$A$3001,0))&amp;"",""))</f>
        <v/>
      </c>
      <c r="K1117" s="28" t="str">
        <f aca="false">IF(OR(G1117="",G1117="?"),"",IFERROR(INDEX(Pubs!$E$2:$E$3001,MATCH(G1117,Pubs!$A$2:$A$3001,0)),""))</f>
        <v/>
      </c>
      <c r="L1117" s="29" t="str">
        <f aca="false">IF(A1117="","",IFERROR(1/(1/INDEX(Numéros!$C$2:$C$3001,MATCH(A1117&amp;"|"&amp;B1117,Numéros!$F$2:$F$3001,0))),""))</f>
        <v/>
      </c>
      <c r="M1117" s="27" t="str">
        <f aca="false">IF(OR(G1117="",G1117="?"),"",IFERROR(INDEX(Pubs!$D$2:$D$3001,MATCH(G1117,Pubs!$A$2:$A$3001,0))&amp;"",""))</f>
        <v/>
      </c>
      <c r="N1117" s="27" t="n">
        <f aca="false">N(N1116)+IF(AND(A1117&lt;&gt;"",OR(Recherche!$C$4="",A1117=Recherche!$C$4),OR(Recherche!$C$5="",B1117&amp;""=Recherche!$C$5&amp;""),OR(Recherche!$C$6="",IFERROR(YEAR(L1117),0)=Recherche!$C$6),OR(Recherche!$C$7="",ISNUMBER(SEARCH(Recherche!$C$7,H1117))),OR(Recherche!$C$8="",J1117=Recherche!$C$8),OR(Recherche!$C$9="",I1117=Recherche!$C$9),OR(Recherche!$C$10="",G1117&amp;""=Recherche!$C$10&amp;""),OR(Recherche!$C$11="",E1117=Recherche!$C$11),OR(Recherche!$C$12="",ISNUMBER(SEARCH(Recherche!$C$12,M1117&amp;" "&amp;F1117)))),1,0)</f>
        <v>8</v>
      </c>
    </row>
    <row r="1118" customFormat="false" ht="15" hidden="false" customHeight="false" outlineLevel="0" collapsed="false">
      <c r="A1118" s="19"/>
      <c r="B1118" s="19"/>
      <c r="C1118" s="19"/>
      <c r="D1118" s="19"/>
      <c r="E1118" s="22"/>
      <c r="F1118" s="19"/>
      <c r="G1118" s="26" t="str">
        <f aca="false">IF(D1118="","",IFERROR(VALUE(LEFT(D1118,FIND(" |",D1118&amp;" |")-1)),"?"))</f>
        <v/>
      </c>
      <c r="H1118" s="27" t="str">
        <f aca="false">IF(G1118="","",IF(G1118="?","⚠ pub inconnue",IFERROR(INDEX(Pubs!$B$2:$B$3001,MATCH(G1118,Pubs!$A$2:$A$3001,0))&amp;"","⚠ pub inconnue")))</f>
        <v/>
      </c>
      <c r="I1118" s="27" t="str">
        <f aca="false">IF(OR(G1118="",G1118="?"),"",IFERROR(INDEX(Pubs!$C$2:$C$3001,MATCH(G1118,Pubs!$A$2:$A$3001,0))&amp;"",""))</f>
        <v/>
      </c>
      <c r="J1118" s="27" t="str">
        <f aca="false">IF(OR(G1118="",G1118="?"),"",IFERROR(INDEX(Pubs!$G$2:$G$3001,MATCH(G1118,Pubs!$A$2:$A$3001,0))&amp;"",""))</f>
        <v/>
      </c>
      <c r="K1118" s="28" t="str">
        <f aca="false">IF(OR(G1118="",G1118="?"),"",IFERROR(INDEX(Pubs!$E$2:$E$3001,MATCH(G1118,Pubs!$A$2:$A$3001,0)),""))</f>
        <v/>
      </c>
      <c r="L1118" s="29" t="str">
        <f aca="false">IF(A1118="","",IFERROR(1/(1/INDEX(Numéros!$C$2:$C$3001,MATCH(A1118&amp;"|"&amp;B1118,Numéros!$F$2:$F$3001,0))),""))</f>
        <v/>
      </c>
      <c r="M1118" s="27" t="str">
        <f aca="false">IF(OR(G1118="",G1118="?"),"",IFERROR(INDEX(Pubs!$D$2:$D$3001,MATCH(G1118,Pubs!$A$2:$A$3001,0))&amp;"",""))</f>
        <v/>
      </c>
      <c r="N1118" s="27" t="n">
        <f aca="false">N(N1117)+IF(AND(A1118&lt;&gt;"",OR(Recherche!$C$4="",A1118=Recherche!$C$4),OR(Recherche!$C$5="",B1118&amp;""=Recherche!$C$5&amp;""),OR(Recherche!$C$6="",IFERROR(YEAR(L1118),0)=Recherche!$C$6),OR(Recherche!$C$7="",ISNUMBER(SEARCH(Recherche!$C$7,H1118))),OR(Recherche!$C$8="",J1118=Recherche!$C$8),OR(Recherche!$C$9="",I1118=Recherche!$C$9),OR(Recherche!$C$10="",G1118&amp;""=Recherche!$C$10&amp;""),OR(Recherche!$C$11="",E1118=Recherche!$C$11),OR(Recherche!$C$12="",ISNUMBER(SEARCH(Recherche!$C$12,M1118&amp;" "&amp;F1118)))),1,0)</f>
        <v>8</v>
      </c>
    </row>
    <row r="1119" customFormat="false" ht="15" hidden="false" customHeight="false" outlineLevel="0" collapsed="false">
      <c r="A1119" s="19"/>
      <c r="B1119" s="19"/>
      <c r="C1119" s="19"/>
      <c r="D1119" s="19"/>
      <c r="E1119" s="22"/>
      <c r="F1119" s="19"/>
      <c r="G1119" s="26" t="str">
        <f aca="false">IF(D1119="","",IFERROR(VALUE(LEFT(D1119,FIND(" |",D1119&amp;" |")-1)),"?"))</f>
        <v/>
      </c>
      <c r="H1119" s="27" t="str">
        <f aca="false">IF(G1119="","",IF(G1119="?","⚠ pub inconnue",IFERROR(INDEX(Pubs!$B$2:$B$3001,MATCH(G1119,Pubs!$A$2:$A$3001,0))&amp;"","⚠ pub inconnue")))</f>
        <v/>
      </c>
      <c r="I1119" s="27" t="str">
        <f aca="false">IF(OR(G1119="",G1119="?"),"",IFERROR(INDEX(Pubs!$C$2:$C$3001,MATCH(G1119,Pubs!$A$2:$A$3001,0))&amp;"",""))</f>
        <v/>
      </c>
      <c r="J1119" s="27" t="str">
        <f aca="false">IF(OR(G1119="",G1119="?"),"",IFERROR(INDEX(Pubs!$G$2:$G$3001,MATCH(G1119,Pubs!$A$2:$A$3001,0))&amp;"",""))</f>
        <v/>
      </c>
      <c r="K1119" s="28" t="str">
        <f aca="false">IF(OR(G1119="",G1119="?"),"",IFERROR(INDEX(Pubs!$E$2:$E$3001,MATCH(G1119,Pubs!$A$2:$A$3001,0)),""))</f>
        <v/>
      </c>
      <c r="L1119" s="29" t="str">
        <f aca="false">IF(A1119="","",IFERROR(1/(1/INDEX(Numéros!$C$2:$C$3001,MATCH(A1119&amp;"|"&amp;B1119,Numéros!$F$2:$F$3001,0))),""))</f>
        <v/>
      </c>
      <c r="M1119" s="27" t="str">
        <f aca="false">IF(OR(G1119="",G1119="?"),"",IFERROR(INDEX(Pubs!$D$2:$D$3001,MATCH(G1119,Pubs!$A$2:$A$3001,0))&amp;"",""))</f>
        <v/>
      </c>
      <c r="N1119" s="27" t="n">
        <f aca="false">N(N1118)+IF(AND(A1119&lt;&gt;"",OR(Recherche!$C$4="",A1119=Recherche!$C$4),OR(Recherche!$C$5="",B1119&amp;""=Recherche!$C$5&amp;""),OR(Recherche!$C$6="",IFERROR(YEAR(L1119),0)=Recherche!$C$6),OR(Recherche!$C$7="",ISNUMBER(SEARCH(Recherche!$C$7,H1119))),OR(Recherche!$C$8="",J1119=Recherche!$C$8),OR(Recherche!$C$9="",I1119=Recherche!$C$9),OR(Recherche!$C$10="",G1119&amp;""=Recherche!$C$10&amp;""),OR(Recherche!$C$11="",E1119=Recherche!$C$11),OR(Recherche!$C$12="",ISNUMBER(SEARCH(Recherche!$C$12,M1119&amp;" "&amp;F1119)))),1,0)</f>
        <v>8</v>
      </c>
    </row>
    <row r="1120" customFormat="false" ht="15" hidden="false" customHeight="false" outlineLevel="0" collapsed="false">
      <c r="A1120" s="19"/>
      <c r="B1120" s="19"/>
      <c r="C1120" s="19"/>
      <c r="D1120" s="19"/>
      <c r="E1120" s="22"/>
      <c r="F1120" s="19"/>
      <c r="G1120" s="26" t="str">
        <f aca="false">IF(D1120="","",IFERROR(VALUE(LEFT(D1120,FIND(" |",D1120&amp;" |")-1)),"?"))</f>
        <v/>
      </c>
      <c r="H1120" s="27" t="str">
        <f aca="false">IF(G1120="","",IF(G1120="?","⚠ pub inconnue",IFERROR(INDEX(Pubs!$B$2:$B$3001,MATCH(G1120,Pubs!$A$2:$A$3001,0))&amp;"","⚠ pub inconnue")))</f>
        <v/>
      </c>
      <c r="I1120" s="27" t="str">
        <f aca="false">IF(OR(G1120="",G1120="?"),"",IFERROR(INDEX(Pubs!$C$2:$C$3001,MATCH(G1120,Pubs!$A$2:$A$3001,0))&amp;"",""))</f>
        <v/>
      </c>
      <c r="J1120" s="27" t="str">
        <f aca="false">IF(OR(G1120="",G1120="?"),"",IFERROR(INDEX(Pubs!$G$2:$G$3001,MATCH(G1120,Pubs!$A$2:$A$3001,0))&amp;"",""))</f>
        <v/>
      </c>
      <c r="K1120" s="28" t="str">
        <f aca="false">IF(OR(G1120="",G1120="?"),"",IFERROR(INDEX(Pubs!$E$2:$E$3001,MATCH(G1120,Pubs!$A$2:$A$3001,0)),""))</f>
        <v/>
      </c>
      <c r="L1120" s="29" t="str">
        <f aca="false">IF(A1120="","",IFERROR(1/(1/INDEX(Numéros!$C$2:$C$3001,MATCH(A1120&amp;"|"&amp;B1120,Numéros!$F$2:$F$3001,0))),""))</f>
        <v/>
      </c>
      <c r="M1120" s="27" t="str">
        <f aca="false">IF(OR(G1120="",G1120="?"),"",IFERROR(INDEX(Pubs!$D$2:$D$3001,MATCH(G1120,Pubs!$A$2:$A$3001,0))&amp;"",""))</f>
        <v/>
      </c>
      <c r="N1120" s="27" t="n">
        <f aca="false">N(N1119)+IF(AND(A1120&lt;&gt;"",OR(Recherche!$C$4="",A1120=Recherche!$C$4),OR(Recherche!$C$5="",B1120&amp;""=Recherche!$C$5&amp;""),OR(Recherche!$C$6="",IFERROR(YEAR(L1120),0)=Recherche!$C$6),OR(Recherche!$C$7="",ISNUMBER(SEARCH(Recherche!$C$7,H1120))),OR(Recherche!$C$8="",J1120=Recherche!$C$8),OR(Recherche!$C$9="",I1120=Recherche!$C$9),OR(Recherche!$C$10="",G1120&amp;""=Recherche!$C$10&amp;""),OR(Recherche!$C$11="",E1120=Recherche!$C$11),OR(Recherche!$C$12="",ISNUMBER(SEARCH(Recherche!$C$12,M1120&amp;" "&amp;F1120)))),1,0)</f>
        <v>8</v>
      </c>
    </row>
    <row r="1121" customFormat="false" ht="15" hidden="false" customHeight="false" outlineLevel="0" collapsed="false">
      <c r="A1121" s="19"/>
      <c r="B1121" s="19"/>
      <c r="C1121" s="19"/>
      <c r="D1121" s="19"/>
      <c r="E1121" s="22"/>
      <c r="F1121" s="19"/>
      <c r="G1121" s="26" t="str">
        <f aca="false">IF(D1121="","",IFERROR(VALUE(LEFT(D1121,FIND(" |",D1121&amp;" |")-1)),"?"))</f>
        <v/>
      </c>
      <c r="H1121" s="27" t="str">
        <f aca="false">IF(G1121="","",IF(G1121="?","⚠ pub inconnue",IFERROR(INDEX(Pubs!$B$2:$B$3001,MATCH(G1121,Pubs!$A$2:$A$3001,0))&amp;"","⚠ pub inconnue")))</f>
        <v/>
      </c>
      <c r="I1121" s="27" t="str">
        <f aca="false">IF(OR(G1121="",G1121="?"),"",IFERROR(INDEX(Pubs!$C$2:$C$3001,MATCH(G1121,Pubs!$A$2:$A$3001,0))&amp;"",""))</f>
        <v/>
      </c>
      <c r="J1121" s="27" t="str">
        <f aca="false">IF(OR(G1121="",G1121="?"),"",IFERROR(INDEX(Pubs!$G$2:$G$3001,MATCH(G1121,Pubs!$A$2:$A$3001,0))&amp;"",""))</f>
        <v/>
      </c>
      <c r="K1121" s="28" t="str">
        <f aca="false">IF(OR(G1121="",G1121="?"),"",IFERROR(INDEX(Pubs!$E$2:$E$3001,MATCH(G1121,Pubs!$A$2:$A$3001,0)),""))</f>
        <v/>
      </c>
      <c r="L1121" s="29" t="str">
        <f aca="false">IF(A1121="","",IFERROR(1/(1/INDEX(Numéros!$C$2:$C$3001,MATCH(A1121&amp;"|"&amp;B1121,Numéros!$F$2:$F$3001,0))),""))</f>
        <v/>
      </c>
      <c r="M1121" s="27" t="str">
        <f aca="false">IF(OR(G1121="",G1121="?"),"",IFERROR(INDEX(Pubs!$D$2:$D$3001,MATCH(G1121,Pubs!$A$2:$A$3001,0))&amp;"",""))</f>
        <v/>
      </c>
      <c r="N1121" s="27" t="n">
        <f aca="false">N(N1120)+IF(AND(A1121&lt;&gt;"",OR(Recherche!$C$4="",A1121=Recherche!$C$4),OR(Recherche!$C$5="",B1121&amp;""=Recherche!$C$5&amp;""),OR(Recherche!$C$6="",IFERROR(YEAR(L1121),0)=Recherche!$C$6),OR(Recherche!$C$7="",ISNUMBER(SEARCH(Recherche!$C$7,H1121))),OR(Recherche!$C$8="",J1121=Recherche!$C$8),OR(Recherche!$C$9="",I1121=Recherche!$C$9),OR(Recherche!$C$10="",G1121&amp;""=Recherche!$C$10&amp;""),OR(Recherche!$C$11="",E1121=Recherche!$C$11),OR(Recherche!$C$12="",ISNUMBER(SEARCH(Recherche!$C$12,M1121&amp;" "&amp;F1121)))),1,0)</f>
        <v>8</v>
      </c>
    </row>
    <row r="1122" customFormat="false" ht="15" hidden="false" customHeight="false" outlineLevel="0" collapsed="false">
      <c r="A1122" s="19"/>
      <c r="B1122" s="19"/>
      <c r="C1122" s="19"/>
      <c r="D1122" s="19"/>
      <c r="E1122" s="22"/>
      <c r="F1122" s="19"/>
      <c r="G1122" s="26" t="str">
        <f aca="false">IF(D1122="","",IFERROR(VALUE(LEFT(D1122,FIND(" |",D1122&amp;" |")-1)),"?"))</f>
        <v/>
      </c>
      <c r="H1122" s="27" t="str">
        <f aca="false">IF(G1122="","",IF(G1122="?","⚠ pub inconnue",IFERROR(INDEX(Pubs!$B$2:$B$3001,MATCH(G1122,Pubs!$A$2:$A$3001,0))&amp;"","⚠ pub inconnue")))</f>
        <v/>
      </c>
      <c r="I1122" s="27" t="str">
        <f aca="false">IF(OR(G1122="",G1122="?"),"",IFERROR(INDEX(Pubs!$C$2:$C$3001,MATCH(G1122,Pubs!$A$2:$A$3001,0))&amp;"",""))</f>
        <v/>
      </c>
      <c r="J1122" s="27" t="str">
        <f aca="false">IF(OR(G1122="",G1122="?"),"",IFERROR(INDEX(Pubs!$G$2:$G$3001,MATCH(G1122,Pubs!$A$2:$A$3001,0))&amp;"",""))</f>
        <v/>
      </c>
      <c r="K1122" s="28" t="str">
        <f aca="false">IF(OR(G1122="",G1122="?"),"",IFERROR(INDEX(Pubs!$E$2:$E$3001,MATCH(G1122,Pubs!$A$2:$A$3001,0)),""))</f>
        <v/>
      </c>
      <c r="L1122" s="29" t="str">
        <f aca="false">IF(A1122="","",IFERROR(1/(1/INDEX(Numéros!$C$2:$C$3001,MATCH(A1122&amp;"|"&amp;B1122,Numéros!$F$2:$F$3001,0))),""))</f>
        <v/>
      </c>
      <c r="M1122" s="27" t="str">
        <f aca="false">IF(OR(G1122="",G1122="?"),"",IFERROR(INDEX(Pubs!$D$2:$D$3001,MATCH(G1122,Pubs!$A$2:$A$3001,0))&amp;"",""))</f>
        <v/>
      </c>
      <c r="N1122" s="27" t="n">
        <f aca="false">N(N1121)+IF(AND(A1122&lt;&gt;"",OR(Recherche!$C$4="",A1122=Recherche!$C$4),OR(Recherche!$C$5="",B1122&amp;""=Recherche!$C$5&amp;""),OR(Recherche!$C$6="",IFERROR(YEAR(L1122),0)=Recherche!$C$6),OR(Recherche!$C$7="",ISNUMBER(SEARCH(Recherche!$C$7,H1122))),OR(Recherche!$C$8="",J1122=Recherche!$C$8),OR(Recherche!$C$9="",I1122=Recherche!$C$9),OR(Recherche!$C$10="",G1122&amp;""=Recherche!$C$10&amp;""),OR(Recherche!$C$11="",E1122=Recherche!$C$11),OR(Recherche!$C$12="",ISNUMBER(SEARCH(Recherche!$C$12,M1122&amp;" "&amp;F1122)))),1,0)</f>
        <v>8</v>
      </c>
    </row>
    <row r="1123" customFormat="false" ht="15" hidden="false" customHeight="false" outlineLevel="0" collapsed="false">
      <c r="A1123" s="19"/>
      <c r="B1123" s="19"/>
      <c r="C1123" s="19"/>
      <c r="D1123" s="19"/>
      <c r="E1123" s="22"/>
      <c r="F1123" s="19"/>
      <c r="G1123" s="26" t="str">
        <f aca="false">IF(D1123="","",IFERROR(VALUE(LEFT(D1123,FIND(" |",D1123&amp;" |")-1)),"?"))</f>
        <v/>
      </c>
      <c r="H1123" s="27" t="str">
        <f aca="false">IF(G1123="","",IF(G1123="?","⚠ pub inconnue",IFERROR(INDEX(Pubs!$B$2:$B$3001,MATCH(G1123,Pubs!$A$2:$A$3001,0))&amp;"","⚠ pub inconnue")))</f>
        <v/>
      </c>
      <c r="I1123" s="27" t="str">
        <f aca="false">IF(OR(G1123="",G1123="?"),"",IFERROR(INDEX(Pubs!$C$2:$C$3001,MATCH(G1123,Pubs!$A$2:$A$3001,0))&amp;"",""))</f>
        <v/>
      </c>
      <c r="J1123" s="27" t="str">
        <f aca="false">IF(OR(G1123="",G1123="?"),"",IFERROR(INDEX(Pubs!$G$2:$G$3001,MATCH(G1123,Pubs!$A$2:$A$3001,0))&amp;"",""))</f>
        <v/>
      </c>
      <c r="K1123" s="28" t="str">
        <f aca="false">IF(OR(G1123="",G1123="?"),"",IFERROR(INDEX(Pubs!$E$2:$E$3001,MATCH(G1123,Pubs!$A$2:$A$3001,0)),""))</f>
        <v/>
      </c>
      <c r="L1123" s="29" t="str">
        <f aca="false">IF(A1123="","",IFERROR(1/(1/INDEX(Numéros!$C$2:$C$3001,MATCH(A1123&amp;"|"&amp;B1123,Numéros!$F$2:$F$3001,0))),""))</f>
        <v/>
      </c>
      <c r="M1123" s="27" t="str">
        <f aca="false">IF(OR(G1123="",G1123="?"),"",IFERROR(INDEX(Pubs!$D$2:$D$3001,MATCH(G1123,Pubs!$A$2:$A$3001,0))&amp;"",""))</f>
        <v/>
      </c>
      <c r="N1123" s="27" t="n">
        <f aca="false">N(N1122)+IF(AND(A1123&lt;&gt;"",OR(Recherche!$C$4="",A1123=Recherche!$C$4),OR(Recherche!$C$5="",B1123&amp;""=Recherche!$C$5&amp;""),OR(Recherche!$C$6="",IFERROR(YEAR(L1123),0)=Recherche!$C$6),OR(Recherche!$C$7="",ISNUMBER(SEARCH(Recherche!$C$7,H1123))),OR(Recherche!$C$8="",J1123=Recherche!$C$8),OR(Recherche!$C$9="",I1123=Recherche!$C$9),OR(Recherche!$C$10="",G1123&amp;""=Recherche!$C$10&amp;""),OR(Recherche!$C$11="",E1123=Recherche!$C$11),OR(Recherche!$C$12="",ISNUMBER(SEARCH(Recherche!$C$12,M1123&amp;" "&amp;F1123)))),1,0)</f>
        <v>8</v>
      </c>
    </row>
    <row r="1124" customFormat="false" ht="15" hidden="false" customHeight="false" outlineLevel="0" collapsed="false">
      <c r="A1124" s="19"/>
      <c r="B1124" s="19"/>
      <c r="C1124" s="19"/>
      <c r="D1124" s="19"/>
      <c r="E1124" s="22"/>
      <c r="F1124" s="19"/>
      <c r="G1124" s="26" t="str">
        <f aca="false">IF(D1124="","",IFERROR(VALUE(LEFT(D1124,FIND(" |",D1124&amp;" |")-1)),"?"))</f>
        <v/>
      </c>
      <c r="H1124" s="27" t="str">
        <f aca="false">IF(G1124="","",IF(G1124="?","⚠ pub inconnue",IFERROR(INDEX(Pubs!$B$2:$B$3001,MATCH(G1124,Pubs!$A$2:$A$3001,0))&amp;"","⚠ pub inconnue")))</f>
        <v/>
      </c>
      <c r="I1124" s="27" t="str">
        <f aca="false">IF(OR(G1124="",G1124="?"),"",IFERROR(INDEX(Pubs!$C$2:$C$3001,MATCH(G1124,Pubs!$A$2:$A$3001,0))&amp;"",""))</f>
        <v/>
      </c>
      <c r="J1124" s="27" t="str">
        <f aca="false">IF(OR(G1124="",G1124="?"),"",IFERROR(INDEX(Pubs!$G$2:$G$3001,MATCH(G1124,Pubs!$A$2:$A$3001,0))&amp;"",""))</f>
        <v/>
      </c>
      <c r="K1124" s="28" t="str">
        <f aca="false">IF(OR(G1124="",G1124="?"),"",IFERROR(INDEX(Pubs!$E$2:$E$3001,MATCH(G1124,Pubs!$A$2:$A$3001,0)),""))</f>
        <v/>
      </c>
      <c r="L1124" s="29" t="str">
        <f aca="false">IF(A1124="","",IFERROR(1/(1/INDEX(Numéros!$C$2:$C$3001,MATCH(A1124&amp;"|"&amp;B1124,Numéros!$F$2:$F$3001,0))),""))</f>
        <v/>
      </c>
      <c r="M1124" s="27" t="str">
        <f aca="false">IF(OR(G1124="",G1124="?"),"",IFERROR(INDEX(Pubs!$D$2:$D$3001,MATCH(G1124,Pubs!$A$2:$A$3001,0))&amp;"",""))</f>
        <v/>
      </c>
      <c r="N1124" s="27" t="n">
        <f aca="false">N(N1123)+IF(AND(A1124&lt;&gt;"",OR(Recherche!$C$4="",A1124=Recherche!$C$4),OR(Recherche!$C$5="",B1124&amp;""=Recherche!$C$5&amp;""),OR(Recherche!$C$6="",IFERROR(YEAR(L1124),0)=Recherche!$C$6),OR(Recherche!$C$7="",ISNUMBER(SEARCH(Recherche!$C$7,H1124))),OR(Recherche!$C$8="",J1124=Recherche!$C$8),OR(Recherche!$C$9="",I1124=Recherche!$C$9),OR(Recherche!$C$10="",G1124&amp;""=Recherche!$C$10&amp;""),OR(Recherche!$C$11="",E1124=Recherche!$C$11),OR(Recherche!$C$12="",ISNUMBER(SEARCH(Recherche!$C$12,M1124&amp;" "&amp;F1124)))),1,0)</f>
        <v>8</v>
      </c>
    </row>
    <row r="1125" customFormat="false" ht="15" hidden="false" customHeight="false" outlineLevel="0" collapsed="false">
      <c r="A1125" s="19"/>
      <c r="B1125" s="19"/>
      <c r="C1125" s="19"/>
      <c r="D1125" s="19"/>
      <c r="E1125" s="22"/>
      <c r="F1125" s="19"/>
      <c r="G1125" s="26" t="str">
        <f aca="false">IF(D1125="","",IFERROR(VALUE(LEFT(D1125,FIND(" |",D1125&amp;" |")-1)),"?"))</f>
        <v/>
      </c>
      <c r="H1125" s="27" t="str">
        <f aca="false">IF(G1125="","",IF(G1125="?","⚠ pub inconnue",IFERROR(INDEX(Pubs!$B$2:$B$3001,MATCH(G1125,Pubs!$A$2:$A$3001,0))&amp;"","⚠ pub inconnue")))</f>
        <v/>
      </c>
      <c r="I1125" s="27" t="str">
        <f aca="false">IF(OR(G1125="",G1125="?"),"",IFERROR(INDEX(Pubs!$C$2:$C$3001,MATCH(G1125,Pubs!$A$2:$A$3001,0))&amp;"",""))</f>
        <v/>
      </c>
      <c r="J1125" s="27" t="str">
        <f aca="false">IF(OR(G1125="",G1125="?"),"",IFERROR(INDEX(Pubs!$G$2:$G$3001,MATCH(G1125,Pubs!$A$2:$A$3001,0))&amp;"",""))</f>
        <v/>
      </c>
      <c r="K1125" s="28" t="str">
        <f aca="false">IF(OR(G1125="",G1125="?"),"",IFERROR(INDEX(Pubs!$E$2:$E$3001,MATCH(G1125,Pubs!$A$2:$A$3001,0)),""))</f>
        <v/>
      </c>
      <c r="L1125" s="29" t="str">
        <f aca="false">IF(A1125="","",IFERROR(1/(1/INDEX(Numéros!$C$2:$C$3001,MATCH(A1125&amp;"|"&amp;B1125,Numéros!$F$2:$F$3001,0))),""))</f>
        <v/>
      </c>
      <c r="M1125" s="27" t="str">
        <f aca="false">IF(OR(G1125="",G1125="?"),"",IFERROR(INDEX(Pubs!$D$2:$D$3001,MATCH(G1125,Pubs!$A$2:$A$3001,0))&amp;"",""))</f>
        <v/>
      </c>
      <c r="N1125" s="27" t="n">
        <f aca="false">N(N1124)+IF(AND(A1125&lt;&gt;"",OR(Recherche!$C$4="",A1125=Recherche!$C$4),OR(Recherche!$C$5="",B1125&amp;""=Recherche!$C$5&amp;""),OR(Recherche!$C$6="",IFERROR(YEAR(L1125),0)=Recherche!$C$6),OR(Recherche!$C$7="",ISNUMBER(SEARCH(Recherche!$C$7,H1125))),OR(Recherche!$C$8="",J1125=Recherche!$C$8),OR(Recherche!$C$9="",I1125=Recherche!$C$9),OR(Recherche!$C$10="",G1125&amp;""=Recherche!$C$10&amp;""),OR(Recherche!$C$11="",E1125=Recherche!$C$11),OR(Recherche!$C$12="",ISNUMBER(SEARCH(Recherche!$C$12,M1125&amp;" "&amp;F1125)))),1,0)</f>
        <v>8</v>
      </c>
    </row>
    <row r="1126" customFormat="false" ht="15" hidden="false" customHeight="false" outlineLevel="0" collapsed="false">
      <c r="A1126" s="19"/>
      <c r="B1126" s="19"/>
      <c r="C1126" s="19"/>
      <c r="D1126" s="19"/>
      <c r="E1126" s="22"/>
      <c r="F1126" s="19"/>
      <c r="G1126" s="26" t="str">
        <f aca="false">IF(D1126="","",IFERROR(VALUE(LEFT(D1126,FIND(" |",D1126&amp;" |")-1)),"?"))</f>
        <v/>
      </c>
      <c r="H1126" s="27" t="str">
        <f aca="false">IF(G1126="","",IF(G1126="?","⚠ pub inconnue",IFERROR(INDEX(Pubs!$B$2:$B$3001,MATCH(G1126,Pubs!$A$2:$A$3001,0))&amp;"","⚠ pub inconnue")))</f>
        <v/>
      </c>
      <c r="I1126" s="27" t="str">
        <f aca="false">IF(OR(G1126="",G1126="?"),"",IFERROR(INDEX(Pubs!$C$2:$C$3001,MATCH(G1126,Pubs!$A$2:$A$3001,0))&amp;"",""))</f>
        <v/>
      </c>
      <c r="J1126" s="27" t="str">
        <f aca="false">IF(OR(G1126="",G1126="?"),"",IFERROR(INDEX(Pubs!$G$2:$G$3001,MATCH(G1126,Pubs!$A$2:$A$3001,0))&amp;"",""))</f>
        <v/>
      </c>
      <c r="K1126" s="28" t="str">
        <f aca="false">IF(OR(G1126="",G1126="?"),"",IFERROR(INDEX(Pubs!$E$2:$E$3001,MATCH(G1126,Pubs!$A$2:$A$3001,0)),""))</f>
        <v/>
      </c>
      <c r="L1126" s="29" t="str">
        <f aca="false">IF(A1126="","",IFERROR(1/(1/INDEX(Numéros!$C$2:$C$3001,MATCH(A1126&amp;"|"&amp;B1126,Numéros!$F$2:$F$3001,0))),""))</f>
        <v/>
      </c>
      <c r="M1126" s="27" t="str">
        <f aca="false">IF(OR(G1126="",G1126="?"),"",IFERROR(INDEX(Pubs!$D$2:$D$3001,MATCH(G1126,Pubs!$A$2:$A$3001,0))&amp;"",""))</f>
        <v/>
      </c>
      <c r="N1126" s="27" t="n">
        <f aca="false">N(N1125)+IF(AND(A1126&lt;&gt;"",OR(Recherche!$C$4="",A1126=Recherche!$C$4),OR(Recherche!$C$5="",B1126&amp;""=Recherche!$C$5&amp;""),OR(Recherche!$C$6="",IFERROR(YEAR(L1126),0)=Recherche!$C$6),OR(Recherche!$C$7="",ISNUMBER(SEARCH(Recherche!$C$7,H1126))),OR(Recherche!$C$8="",J1126=Recherche!$C$8),OR(Recherche!$C$9="",I1126=Recherche!$C$9),OR(Recherche!$C$10="",G1126&amp;""=Recherche!$C$10&amp;""),OR(Recherche!$C$11="",E1126=Recherche!$C$11),OR(Recherche!$C$12="",ISNUMBER(SEARCH(Recherche!$C$12,M1126&amp;" "&amp;F1126)))),1,0)</f>
        <v>8</v>
      </c>
    </row>
    <row r="1127" customFormat="false" ht="15" hidden="false" customHeight="false" outlineLevel="0" collapsed="false">
      <c r="A1127" s="19"/>
      <c r="B1127" s="19"/>
      <c r="C1127" s="19"/>
      <c r="D1127" s="19"/>
      <c r="E1127" s="22"/>
      <c r="F1127" s="19"/>
      <c r="G1127" s="26" t="str">
        <f aca="false">IF(D1127="","",IFERROR(VALUE(LEFT(D1127,FIND(" |",D1127&amp;" |")-1)),"?"))</f>
        <v/>
      </c>
      <c r="H1127" s="27" t="str">
        <f aca="false">IF(G1127="","",IF(G1127="?","⚠ pub inconnue",IFERROR(INDEX(Pubs!$B$2:$B$3001,MATCH(G1127,Pubs!$A$2:$A$3001,0))&amp;"","⚠ pub inconnue")))</f>
        <v/>
      </c>
      <c r="I1127" s="27" t="str">
        <f aca="false">IF(OR(G1127="",G1127="?"),"",IFERROR(INDEX(Pubs!$C$2:$C$3001,MATCH(G1127,Pubs!$A$2:$A$3001,0))&amp;"",""))</f>
        <v/>
      </c>
      <c r="J1127" s="27" t="str">
        <f aca="false">IF(OR(G1127="",G1127="?"),"",IFERROR(INDEX(Pubs!$G$2:$G$3001,MATCH(G1127,Pubs!$A$2:$A$3001,0))&amp;"",""))</f>
        <v/>
      </c>
      <c r="K1127" s="28" t="str">
        <f aca="false">IF(OR(G1127="",G1127="?"),"",IFERROR(INDEX(Pubs!$E$2:$E$3001,MATCH(G1127,Pubs!$A$2:$A$3001,0)),""))</f>
        <v/>
      </c>
      <c r="L1127" s="29" t="str">
        <f aca="false">IF(A1127="","",IFERROR(1/(1/INDEX(Numéros!$C$2:$C$3001,MATCH(A1127&amp;"|"&amp;B1127,Numéros!$F$2:$F$3001,0))),""))</f>
        <v/>
      </c>
      <c r="M1127" s="27" t="str">
        <f aca="false">IF(OR(G1127="",G1127="?"),"",IFERROR(INDEX(Pubs!$D$2:$D$3001,MATCH(G1127,Pubs!$A$2:$A$3001,0))&amp;"",""))</f>
        <v/>
      </c>
      <c r="N1127" s="27" t="n">
        <f aca="false">N(N1126)+IF(AND(A1127&lt;&gt;"",OR(Recherche!$C$4="",A1127=Recherche!$C$4),OR(Recherche!$C$5="",B1127&amp;""=Recherche!$C$5&amp;""),OR(Recherche!$C$6="",IFERROR(YEAR(L1127),0)=Recherche!$C$6),OR(Recherche!$C$7="",ISNUMBER(SEARCH(Recherche!$C$7,H1127))),OR(Recherche!$C$8="",J1127=Recherche!$C$8),OR(Recherche!$C$9="",I1127=Recherche!$C$9),OR(Recherche!$C$10="",G1127&amp;""=Recherche!$C$10&amp;""),OR(Recherche!$C$11="",E1127=Recherche!$C$11),OR(Recherche!$C$12="",ISNUMBER(SEARCH(Recherche!$C$12,M1127&amp;" "&amp;F1127)))),1,0)</f>
        <v>8</v>
      </c>
    </row>
    <row r="1128" customFormat="false" ht="15" hidden="false" customHeight="false" outlineLevel="0" collapsed="false">
      <c r="A1128" s="19"/>
      <c r="B1128" s="19"/>
      <c r="C1128" s="19"/>
      <c r="D1128" s="19"/>
      <c r="E1128" s="22"/>
      <c r="F1128" s="19"/>
      <c r="G1128" s="26" t="str">
        <f aca="false">IF(D1128="","",IFERROR(VALUE(LEFT(D1128,FIND(" |",D1128&amp;" |")-1)),"?"))</f>
        <v/>
      </c>
      <c r="H1128" s="27" t="str">
        <f aca="false">IF(G1128="","",IF(G1128="?","⚠ pub inconnue",IFERROR(INDEX(Pubs!$B$2:$B$3001,MATCH(G1128,Pubs!$A$2:$A$3001,0))&amp;"","⚠ pub inconnue")))</f>
        <v/>
      </c>
      <c r="I1128" s="27" t="str">
        <f aca="false">IF(OR(G1128="",G1128="?"),"",IFERROR(INDEX(Pubs!$C$2:$C$3001,MATCH(G1128,Pubs!$A$2:$A$3001,0))&amp;"",""))</f>
        <v/>
      </c>
      <c r="J1128" s="27" t="str">
        <f aca="false">IF(OR(G1128="",G1128="?"),"",IFERROR(INDEX(Pubs!$G$2:$G$3001,MATCH(G1128,Pubs!$A$2:$A$3001,0))&amp;"",""))</f>
        <v/>
      </c>
      <c r="K1128" s="28" t="str">
        <f aca="false">IF(OR(G1128="",G1128="?"),"",IFERROR(INDEX(Pubs!$E$2:$E$3001,MATCH(G1128,Pubs!$A$2:$A$3001,0)),""))</f>
        <v/>
      </c>
      <c r="L1128" s="29" t="str">
        <f aca="false">IF(A1128="","",IFERROR(1/(1/INDEX(Numéros!$C$2:$C$3001,MATCH(A1128&amp;"|"&amp;B1128,Numéros!$F$2:$F$3001,0))),""))</f>
        <v/>
      </c>
      <c r="M1128" s="27" t="str">
        <f aca="false">IF(OR(G1128="",G1128="?"),"",IFERROR(INDEX(Pubs!$D$2:$D$3001,MATCH(G1128,Pubs!$A$2:$A$3001,0))&amp;"",""))</f>
        <v/>
      </c>
      <c r="N1128" s="27" t="n">
        <f aca="false">N(N1127)+IF(AND(A1128&lt;&gt;"",OR(Recherche!$C$4="",A1128=Recherche!$C$4),OR(Recherche!$C$5="",B1128&amp;""=Recherche!$C$5&amp;""),OR(Recherche!$C$6="",IFERROR(YEAR(L1128),0)=Recherche!$C$6),OR(Recherche!$C$7="",ISNUMBER(SEARCH(Recherche!$C$7,H1128))),OR(Recherche!$C$8="",J1128=Recherche!$C$8),OR(Recherche!$C$9="",I1128=Recherche!$C$9),OR(Recherche!$C$10="",G1128&amp;""=Recherche!$C$10&amp;""),OR(Recherche!$C$11="",E1128=Recherche!$C$11),OR(Recherche!$C$12="",ISNUMBER(SEARCH(Recherche!$C$12,M1128&amp;" "&amp;F1128)))),1,0)</f>
        <v>8</v>
      </c>
    </row>
    <row r="1129" customFormat="false" ht="15" hidden="false" customHeight="false" outlineLevel="0" collapsed="false">
      <c r="A1129" s="19"/>
      <c r="B1129" s="19"/>
      <c r="C1129" s="19"/>
      <c r="D1129" s="19"/>
      <c r="E1129" s="22"/>
      <c r="F1129" s="19"/>
      <c r="G1129" s="26" t="str">
        <f aca="false">IF(D1129="","",IFERROR(VALUE(LEFT(D1129,FIND(" |",D1129&amp;" |")-1)),"?"))</f>
        <v/>
      </c>
      <c r="H1129" s="27" t="str">
        <f aca="false">IF(G1129="","",IF(G1129="?","⚠ pub inconnue",IFERROR(INDEX(Pubs!$B$2:$B$3001,MATCH(G1129,Pubs!$A$2:$A$3001,0))&amp;"","⚠ pub inconnue")))</f>
        <v/>
      </c>
      <c r="I1129" s="27" t="str">
        <f aca="false">IF(OR(G1129="",G1129="?"),"",IFERROR(INDEX(Pubs!$C$2:$C$3001,MATCH(G1129,Pubs!$A$2:$A$3001,0))&amp;"",""))</f>
        <v/>
      </c>
      <c r="J1129" s="27" t="str">
        <f aca="false">IF(OR(G1129="",G1129="?"),"",IFERROR(INDEX(Pubs!$G$2:$G$3001,MATCH(G1129,Pubs!$A$2:$A$3001,0))&amp;"",""))</f>
        <v/>
      </c>
      <c r="K1129" s="28" t="str">
        <f aca="false">IF(OR(G1129="",G1129="?"),"",IFERROR(INDEX(Pubs!$E$2:$E$3001,MATCH(G1129,Pubs!$A$2:$A$3001,0)),""))</f>
        <v/>
      </c>
      <c r="L1129" s="29" t="str">
        <f aca="false">IF(A1129="","",IFERROR(1/(1/INDEX(Numéros!$C$2:$C$3001,MATCH(A1129&amp;"|"&amp;B1129,Numéros!$F$2:$F$3001,0))),""))</f>
        <v/>
      </c>
      <c r="M1129" s="27" t="str">
        <f aca="false">IF(OR(G1129="",G1129="?"),"",IFERROR(INDEX(Pubs!$D$2:$D$3001,MATCH(G1129,Pubs!$A$2:$A$3001,0))&amp;"",""))</f>
        <v/>
      </c>
      <c r="N1129" s="27" t="n">
        <f aca="false">N(N1128)+IF(AND(A1129&lt;&gt;"",OR(Recherche!$C$4="",A1129=Recherche!$C$4),OR(Recherche!$C$5="",B1129&amp;""=Recherche!$C$5&amp;""),OR(Recherche!$C$6="",IFERROR(YEAR(L1129),0)=Recherche!$C$6),OR(Recherche!$C$7="",ISNUMBER(SEARCH(Recherche!$C$7,H1129))),OR(Recherche!$C$8="",J1129=Recherche!$C$8),OR(Recherche!$C$9="",I1129=Recherche!$C$9),OR(Recherche!$C$10="",G1129&amp;""=Recherche!$C$10&amp;""),OR(Recherche!$C$11="",E1129=Recherche!$C$11),OR(Recherche!$C$12="",ISNUMBER(SEARCH(Recherche!$C$12,M1129&amp;" "&amp;F1129)))),1,0)</f>
        <v>8</v>
      </c>
    </row>
    <row r="1130" customFormat="false" ht="15" hidden="false" customHeight="false" outlineLevel="0" collapsed="false">
      <c r="A1130" s="19"/>
      <c r="B1130" s="19"/>
      <c r="C1130" s="19"/>
      <c r="D1130" s="19"/>
      <c r="E1130" s="22"/>
      <c r="F1130" s="19"/>
      <c r="G1130" s="26" t="str">
        <f aca="false">IF(D1130="","",IFERROR(VALUE(LEFT(D1130,FIND(" |",D1130&amp;" |")-1)),"?"))</f>
        <v/>
      </c>
      <c r="H1130" s="27" t="str">
        <f aca="false">IF(G1130="","",IF(G1130="?","⚠ pub inconnue",IFERROR(INDEX(Pubs!$B$2:$B$3001,MATCH(G1130,Pubs!$A$2:$A$3001,0))&amp;"","⚠ pub inconnue")))</f>
        <v/>
      </c>
      <c r="I1130" s="27" t="str">
        <f aca="false">IF(OR(G1130="",G1130="?"),"",IFERROR(INDEX(Pubs!$C$2:$C$3001,MATCH(G1130,Pubs!$A$2:$A$3001,0))&amp;"",""))</f>
        <v/>
      </c>
      <c r="J1130" s="27" t="str">
        <f aca="false">IF(OR(G1130="",G1130="?"),"",IFERROR(INDEX(Pubs!$G$2:$G$3001,MATCH(G1130,Pubs!$A$2:$A$3001,0))&amp;"",""))</f>
        <v/>
      </c>
      <c r="K1130" s="28" t="str">
        <f aca="false">IF(OR(G1130="",G1130="?"),"",IFERROR(INDEX(Pubs!$E$2:$E$3001,MATCH(G1130,Pubs!$A$2:$A$3001,0)),""))</f>
        <v/>
      </c>
      <c r="L1130" s="29" t="str">
        <f aca="false">IF(A1130="","",IFERROR(1/(1/INDEX(Numéros!$C$2:$C$3001,MATCH(A1130&amp;"|"&amp;B1130,Numéros!$F$2:$F$3001,0))),""))</f>
        <v/>
      </c>
      <c r="M1130" s="27" t="str">
        <f aca="false">IF(OR(G1130="",G1130="?"),"",IFERROR(INDEX(Pubs!$D$2:$D$3001,MATCH(G1130,Pubs!$A$2:$A$3001,0))&amp;"",""))</f>
        <v/>
      </c>
      <c r="N1130" s="27" t="n">
        <f aca="false">N(N1129)+IF(AND(A1130&lt;&gt;"",OR(Recherche!$C$4="",A1130=Recherche!$C$4),OR(Recherche!$C$5="",B1130&amp;""=Recherche!$C$5&amp;""),OR(Recherche!$C$6="",IFERROR(YEAR(L1130),0)=Recherche!$C$6),OR(Recherche!$C$7="",ISNUMBER(SEARCH(Recherche!$C$7,H1130))),OR(Recherche!$C$8="",J1130=Recherche!$C$8),OR(Recherche!$C$9="",I1130=Recherche!$C$9),OR(Recherche!$C$10="",G1130&amp;""=Recherche!$C$10&amp;""),OR(Recherche!$C$11="",E1130=Recherche!$C$11),OR(Recherche!$C$12="",ISNUMBER(SEARCH(Recherche!$C$12,M1130&amp;" "&amp;F1130)))),1,0)</f>
        <v>8</v>
      </c>
    </row>
    <row r="1131" customFormat="false" ht="15" hidden="false" customHeight="false" outlineLevel="0" collapsed="false">
      <c r="A1131" s="19"/>
      <c r="B1131" s="19"/>
      <c r="C1131" s="19"/>
      <c r="D1131" s="19"/>
      <c r="E1131" s="22"/>
      <c r="F1131" s="19"/>
      <c r="G1131" s="26" t="str">
        <f aca="false">IF(D1131="","",IFERROR(VALUE(LEFT(D1131,FIND(" |",D1131&amp;" |")-1)),"?"))</f>
        <v/>
      </c>
      <c r="H1131" s="27" t="str">
        <f aca="false">IF(G1131="","",IF(G1131="?","⚠ pub inconnue",IFERROR(INDEX(Pubs!$B$2:$B$3001,MATCH(G1131,Pubs!$A$2:$A$3001,0))&amp;"","⚠ pub inconnue")))</f>
        <v/>
      </c>
      <c r="I1131" s="27" t="str">
        <f aca="false">IF(OR(G1131="",G1131="?"),"",IFERROR(INDEX(Pubs!$C$2:$C$3001,MATCH(G1131,Pubs!$A$2:$A$3001,0))&amp;"",""))</f>
        <v/>
      </c>
      <c r="J1131" s="27" t="str">
        <f aca="false">IF(OR(G1131="",G1131="?"),"",IFERROR(INDEX(Pubs!$G$2:$G$3001,MATCH(G1131,Pubs!$A$2:$A$3001,0))&amp;"",""))</f>
        <v/>
      </c>
      <c r="K1131" s="28" t="str">
        <f aca="false">IF(OR(G1131="",G1131="?"),"",IFERROR(INDEX(Pubs!$E$2:$E$3001,MATCH(G1131,Pubs!$A$2:$A$3001,0)),""))</f>
        <v/>
      </c>
      <c r="L1131" s="29" t="str">
        <f aca="false">IF(A1131="","",IFERROR(1/(1/INDEX(Numéros!$C$2:$C$3001,MATCH(A1131&amp;"|"&amp;B1131,Numéros!$F$2:$F$3001,0))),""))</f>
        <v/>
      </c>
      <c r="M1131" s="27" t="str">
        <f aca="false">IF(OR(G1131="",G1131="?"),"",IFERROR(INDEX(Pubs!$D$2:$D$3001,MATCH(G1131,Pubs!$A$2:$A$3001,0))&amp;"",""))</f>
        <v/>
      </c>
      <c r="N1131" s="27" t="n">
        <f aca="false">N(N1130)+IF(AND(A1131&lt;&gt;"",OR(Recherche!$C$4="",A1131=Recherche!$C$4),OR(Recherche!$C$5="",B1131&amp;""=Recherche!$C$5&amp;""),OR(Recherche!$C$6="",IFERROR(YEAR(L1131),0)=Recherche!$C$6),OR(Recherche!$C$7="",ISNUMBER(SEARCH(Recherche!$C$7,H1131))),OR(Recherche!$C$8="",J1131=Recherche!$C$8),OR(Recherche!$C$9="",I1131=Recherche!$C$9),OR(Recherche!$C$10="",G1131&amp;""=Recherche!$C$10&amp;""),OR(Recherche!$C$11="",E1131=Recherche!$C$11),OR(Recherche!$C$12="",ISNUMBER(SEARCH(Recherche!$C$12,M1131&amp;" "&amp;F1131)))),1,0)</f>
        <v>8</v>
      </c>
    </row>
    <row r="1132" customFormat="false" ht="15" hidden="false" customHeight="false" outlineLevel="0" collapsed="false">
      <c r="A1132" s="19"/>
      <c r="B1132" s="19"/>
      <c r="C1132" s="19"/>
      <c r="D1132" s="19"/>
      <c r="E1132" s="22"/>
      <c r="F1132" s="19"/>
      <c r="G1132" s="26" t="str">
        <f aca="false">IF(D1132="","",IFERROR(VALUE(LEFT(D1132,FIND(" |",D1132&amp;" |")-1)),"?"))</f>
        <v/>
      </c>
      <c r="H1132" s="27" t="str">
        <f aca="false">IF(G1132="","",IF(G1132="?","⚠ pub inconnue",IFERROR(INDEX(Pubs!$B$2:$B$3001,MATCH(G1132,Pubs!$A$2:$A$3001,0))&amp;"","⚠ pub inconnue")))</f>
        <v/>
      </c>
      <c r="I1132" s="27" t="str">
        <f aca="false">IF(OR(G1132="",G1132="?"),"",IFERROR(INDEX(Pubs!$C$2:$C$3001,MATCH(G1132,Pubs!$A$2:$A$3001,0))&amp;"",""))</f>
        <v/>
      </c>
      <c r="J1132" s="27" t="str">
        <f aca="false">IF(OR(G1132="",G1132="?"),"",IFERROR(INDEX(Pubs!$G$2:$G$3001,MATCH(G1132,Pubs!$A$2:$A$3001,0))&amp;"",""))</f>
        <v/>
      </c>
      <c r="K1132" s="28" t="str">
        <f aca="false">IF(OR(G1132="",G1132="?"),"",IFERROR(INDEX(Pubs!$E$2:$E$3001,MATCH(G1132,Pubs!$A$2:$A$3001,0)),""))</f>
        <v/>
      </c>
      <c r="L1132" s="29" t="str">
        <f aca="false">IF(A1132="","",IFERROR(1/(1/INDEX(Numéros!$C$2:$C$3001,MATCH(A1132&amp;"|"&amp;B1132,Numéros!$F$2:$F$3001,0))),""))</f>
        <v/>
      </c>
      <c r="M1132" s="27" t="str">
        <f aca="false">IF(OR(G1132="",G1132="?"),"",IFERROR(INDEX(Pubs!$D$2:$D$3001,MATCH(G1132,Pubs!$A$2:$A$3001,0))&amp;"",""))</f>
        <v/>
      </c>
      <c r="N1132" s="27" t="n">
        <f aca="false">N(N1131)+IF(AND(A1132&lt;&gt;"",OR(Recherche!$C$4="",A1132=Recherche!$C$4),OR(Recherche!$C$5="",B1132&amp;""=Recherche!$C$5&amp;""),OR(Recherche!$C$6="",IFERROR(YEAR(L1132),0)=Recherche!$C$6),OR(Recherche!$C$7="",ISNUMBER(SEARCH(Recherche!$C$7,H1132))),OR(Recherche!$C$8="",J1132=Recherche!$C$8),OR(Recherche!$C$9="",I1132=Recherche!$C$9),OR(Recherche!$C$10="",G1132&amp;""=Recherche!$C$10&amp;""),OR(Recherche!$C$11="",E1132=Recherche!$C$11),OR(Recherche!$C$12="",ISNUMBER(SEARCH(Recherche!$C$12,M1132&amp;" "&amp;F1132)))),1,0)</f>
        <v>8</v>
      </c>
    </row>
    <row r="1133" customFormat="false" ht="15" hidden="false" customHeight="false" outlineLevel="0" collapsed="false">
      <c r="A1133" s="19"/>
      <c r="B1133" s="19"/>
      <c r="C1133" s="19"/>
      <c r="D1133" s="19"/>
      <c r="E1133" s="22"/>
      <c r="F1133" s="19"/>
      <c r="G1133" s="26" t="str">
        <f aca="false">IF(D1133="","",IFERROR(VALUE(LEFT(D1133,FIND(" |",D1133&amp;" |")-1)),"?"))</f>
        <v/>
      </c>
      <c r="H1133" s="27" t="str">
        <f aca="false">IF(G1133="","",IF(G1133="?","⚠ pub inconnue",IFERROR(INDEX(Pubs!$B$2:$B$3001,MATCH(G1133,Pubs!$A$2:$A$3001,0))&amp;"","⚠ pub inconnue")))</f>
        <v/>
      </c>
      <c r="I1133" s="27" t="str">
        <f aca="false">IF(OR(G1133="",G1133="?"),"",IFERROR(INDEX(Pubs!$C$2:$C$3001,MATCH(G1133,Pubs!$A$2:$A$3001,0))&amp;"",""))</f>
        <v/>
      </c>
      <c r="J1133" s="27" t="str">
        <f aca="false">IF(OR(G1133="",G1133="?"),"",IFERROR(INDEX(Pubs!$G$2:$G$3001,MATCH(G1133,Pubs!$A$2:$A$3001,0))&amp;"",""))</f>
        <v/>
      </c>
      <c r="K1133" s="28" t="str">
        <f aca="false">IF(OR(G1133="",G1133="?"),"",IFERROR(INDEX(Pubs!$E$2:$E$3001,MATCH(G1133,Pubs!$A$2:$A$3001,0)),""))</f>
        <v/>
      </c>
      <c r="L1133" s="29" t="str">
        <f aca="false">IF(A1133="","",IFERROR(1/(1/INDEX(Numéros!$C$2:$C$3001,MATCH(A1133&amp;"|"&amp;B1133,Numéros!$F$2:$F$3001,0))),""))</f>
        <v/>
      </c>
      <c r="M1133" s="27" t="str">
        <f aca="false">IF(OR(G1133="",G1133="?"),"",IFERROR(INDEX(Pubs!$D$2:$D$3001,MATCH(G1133,Pubs!$A$2:$A$3001,0))&amp;"",""))</f>
        <v/>
      </c>
      <c r="N1133" s="27" t="n">
        <f aca="false">N(N1132)+IF(AND(A1133&lt;&gt;"",OR(Recherche!$C$4="",A1133=Recherche!$C$4),OR(Recherche!$C$5="",B1133&amp;""=Recherche!$C$5&amp;""),OR(Recherche!$C$6="",IFERROR(YEAR(L1133),0)=Recherche!$C$6),OR(Recherche!$C$7="",ISNUMBER(SEARCH(Recherche!$C$7,H1133))),OR(Recherche!$C$8="",J1133=Recherche!$C$8),OR(Recherche!$C$9="",I1133=Recherche!$C$9),OR(Recherche!$C$10="",G1133&amp;""=Recherche!$C$10&amp;""),OR(Recherche!$C$11="",E1133=Recherche!$C$11),OR(Recherche!$C$12="",ISNUMBER(SEARCH(Recherche!$C$12,M1133&amp;" "&amp;F1133)))),1,0)</f>
        <v>8</v>
      </c>
    </row>
    <row r="1134" customFormat="false" ht="15" hidden="false" customHeight="false" outlineLevel="0" collapsed="false">
      <c r="A1134" s="19"/>
      <c r="B1134" s="19"/>
      <c r="C1134" s="19"/>
      <c r="D1134" s="19"/>
      <c r="E1134" s="22"/>
      <c r="F1134" s="19"/>
      <c r="G1134" s="26" t="str">
        <f aca="false">IF(D1134="","",IFERROR(VALUE(LEFT(D1134,FIND(" |",D1134&amp;" |")-1)),"?"))</f>
        <v/>
      </c>
      <c r="H1134" s="27" t="str">
        <f aca="false">IF(G1134="","",IF(G1134="?","⚠ pub inconnue",IFERROR(INDEX(Pubs!$B$2:$B$3001,MATCH(G1134,Pubs!$A$2:$A$3001,0))&amp;"","⚠ pub inconnue")))</f>
        <v/>
      </c>
      <c r="I1134" s="27" t="str">
        <f aca="false">IF(OR(G1134="",G1134="?"),"",IFERROR(INDEX(Pubs!$C$2:$C$3001,MATCH(G1134,Pubs!$A$2:$A$3001,0))&amp;"",""))</f>
        <v/>
      </c>
      <c r="J1134" s="27" t="str">
        <f aca="false">IF(OR(G1134="",G1134="?"),"",IFERROR(INDEX(Pubs!$G$2:$G$3001,MATCH(G1134,Pubs!$A$2:$A$3001,0))&amp;"",""))</f>
        <v/>
      </c>
      <c r="K1134" s="28" t="str">
        <f aca="false">IF(OR(G1134="",G1134="?"),"",IFERROR(INDEX(Pubs!$E$2:$E$3001,MATCH(G1134,Pubs!$A$2:$A$3001,0)),""))</f>
        <v/>
      </c>
      <c r="L1134" s="29" t="str">
        <f aca="false">IF(A1134="","",IFERROR(1/(1/INDEX(Numéros!$C$2:$C$3001,MATCH(A1134&amp;"|"&amp;B1134,Numéros!$F$2:$F$3001,0))),""))</f>
        <v/>
      </c>
      <c r="M1134" s="27" t="str">
        <f aca="false">IF(OR(G1134="",G1134="?"),"",IFERROR(INDEX(Pubs!$D$2:$D$3001,MATCH(G1134,Pubs!$A$2:$A$3001,0))&amp;"",""))</f>
        <v/>
      </c>
      <c r="N1134" s="27" t="n">
        <f aca="false">N(N1133)+IF(AND(A1134&lt;&gt;"",OR(Recherche!$C$4="",A1134=Recherche!$C$4),OR(Recherche!$C$5="",B1134&amp;""=Recherche!$C$5&amp;""),OR(Recherche!$C$6="",IFERROR(YEAR(L1134),0)=Recherche!$C$6),OR(Recherche!$C$7="",ISNUMBER(SEARCH(Recherche!$C$7,H1134))),OR(Recherche!$C$8="",J1134=Recherche!$C$8),OR(Recherche!$C$9="",I1134=Recherche!$C$9),OR(Recherche!$C$10="",G1134&amp;""=Recherche!$C$10&amp;""),OR(Recherche!$C$11="",E1134=Recherche!$C$11),OR(Recherche!$C$12="",ISNUMBER(SEARCH(Recherche!$C$12,M1134&amp;" "&amp;F1134)))),1,0)</f>
        <v>8</v>
      </c>
    </row>
    <row r="1135" customFormat="false" ht="15" hidden="false" customHeight="false" outlineLevel="0" collapsed="false">
      <c r="A1135" s="19"/>
      <c r="B1135" s="19"/>
      <c r="C1135" s="19"/>
      <c r="D1135" s="19"/>
      <c r="E1135" s="22"/>
      <c r="F1135" s="19"/>
      <c r="G1135" s="26" t="str">
        <f aca="false">IF(D1135="","",IFERROR(VALUE(LEFT(D1135,FIND(" |",D1135&amp;" |")-1)),"?"))</f>
        <v/>
      </c>
      <c r="H1135" s="27" t="str">
        <f aca="false">IF(G1135="","",IF(G1135="?","⚠ pub inconnue",IFERROR(INDEX(Pubs!$B$2:$B$3001,MATCH(G1135,Pubs!$A$2:$A$3001,0))&amp;"","⚠ pub inconnue")))</f>
        <v/>
      </c>
      <c r="I1135" s="27" t="str">
        <f aca="false">IF(OR(G1135="",G1135="?"),"",IFERROR(INDEX(Pubs!$C$2:$C$3001,MATCH(G1135,Pubs!$A$2:$A$3001,0))&amp;"",""))</f>
        <v/>
      </c>
      <c r="J1135" s="27" t="str">
        <f aca="false">IF(OR(G1135="",G1135="?"),"",IFERROR(INDEX(Pubs!$G$2:$G$3001,MATCH(G1135,Pubs!$A$2:$A$3001,0))&amp;"",""))</f>
        <v/>
      </c>
      <c r="K1135" s="28" t="str">
        <f aca="false">IF(OR(G1135="",G1135="?"),"",IFERROR(INDEX(Pubs!$E$2:$E$3001,MATCH(G1135,Pubs!$A$2:$A$3001,0)),""))</f>
        <v/>
      </c>
      <c r="L1135" s="29" t="str">
        <f aca="false">IF(A1135="","",IFERROR(1/(1/INDEX(Numéros!$C$2:$C$3001,MATCH(A1135&amp;"|"&amp;B1135,Numéros!$F$2:$F$3001,0))),""))</f>
        <v/>
      </c>
      <c r="M1135" s="27" t="str">
        <f aca="false">IF(OR(G1135="",G1135="?"),"",IFERROR(INDEX(Pubs!$D$2:$D$3001,MATCH(G1135,Pubs!$A$2:$A$3001,0))&amp;"",""))</f>
        <v/>
      </c>
      <c r="N1135" s="27" t="n">
        <f aca="false">N(N1134)+IF(AND(A1135&lt;&gt;"",OR(Recherche!$C$4="",A1135=Recherche!$C$4),OR(Recherche!$C$5="",B1135&amp;""=Recherche!$C$5&amp;""),OR(Recherche!$C$6="",IFERROR(YEAR(L1135),0)=Recherche!$C$6),OR(Recherche!$C$7="",ISNUMBER(SEARCH(Recherche!$C$7,H1135))),OR(Recherche!$C$8="",J1135=Recherche!$C$8),OR(Recherche!$C$9="",I1135=Recherche!$C$9),OR(Recherche!$C$10="",G1135&amp;""=Recherche!$C$10&amp;""),OR(Recherche!$C$11="",E1135=Recherche!$C$11),OR(Recherche!$C$12="",ISNUMBER(SEARCH(Recherche!$C$12,M1135&amp;" "&amp;F1135)))),1,0)</f>
        <v>8</v>
      </c>
    </row>
    <row r="1136" customFormat="false" ht="15" hidden="false" customHeight="false" outlineLevel="0" collapsed="false">
      <c r="A1136" s="19"/>
      <c r="B1136" s="19"/>
      <c r="C1136" s="19"/>
      <c r="D1136" s="19"/>
      <c r="E1136" s="22"/>
      <c r="F1136" s="19"/>
      <c r="G1136" s="26" t="str">
        <f aca="false">IF(D1136="","",IFERROR(VALUE(LEFT(D1136,FIND(" |",D1136&amp;" |")-1)),"?"))</f>
        <v/>
      </c>
      <c r="H1136" s="27" t="str">
        <f aca="false">IF(G1136="","",IF(G1136="?","⚠ pub inconnue",IFERROR(INDEX(Pubs!$B$2:$B$3001,MATCH(G1136,Pubs!$A$2:$A$3001,0))&amp;"","⚠ pub inconnue")))</f>
        <v/>
      </c>
      <c r="I1136" s="27" t="str">
        <f aca="false">IF(OR(G1136="",G1136="?"),"",IFERROR(INDEX(Pubs!$C$2:$C$3001,MATCH(G1136,Pubs!$A$2:$A$3001,0))&amp;"",""))</f>
        <v/>
      </c>
      <c r="J1136" s="27" t="str">
        <f aca="false">IF(OR(G1136="",G1136="?"),"",IFERROR(INDEX(Pubs!$G$2:$G$3001,MATCH(G1136,Pubs!$A$2:$A$3001,0))&amp;"",""))</f>
        <v/>
      </c>
      <c r="K1136" s="28" t="str">
        <f aca="false">IF(OR(G1136="",G1136="?"),"",IFERROR(INDEX(Pubs!$E$2:$E$3001,MATCH(G1136,Pubs!$A$2:$A$3001,0)),""))</f>
        <v/>
      </c>
      <c r="L1136" s="29" t="str">
        <f aca="false">IF(A1136="","",IFERROR(1/(1/INDEX(Numéros!$C$2:$C$3001,MATCH(A1136&amp;"|"&amp;B1136,Numéros!$F$2:$F$3001,0))),""))</f>
        <v/>
      </c>
      <c r="M1136" s="27" t="str">
        <f aca="false">IF(OR(G1136="",G1136="?"),"",IFERROR(INDEX(Pubs!$D$2:$D$3001,MATCH(G1136,Pubs!$A$2:$A$3001,0))&amp;"",""))</f>
        <v/>
      </c>
      <c r="N1136" s="27" t="n">
        <f aca="false">N(N1135)+IF(AND(A1136&lt;&gt;"",OR(Recherche!$C$4="",A1136=Recherche!$C$4),OR(Recherche!$C$5="",B1136&amp;""=Recherche!$C$5&amp;""),OR(Recherche!$C$6="",IFERROR(YEAR(L1136),0)=Recherche!$C$6),OR(Recherche!$C$7="",ISNUMBER(SEARCH(Recherche!$C$7,H1136))),OR(Recherche!$C$8="",J1136=Recherche!$C$8),OR(Recherche!$C$9="",I1136=Recherche!$C$9),OR(Recherche!$C$10="",G1136&amp;""=Recherche!$C$10&amp;""),OR(Recherche!$C$11="",E1136=Recherche!$C$11),OR(Recherche!$C$12="",ISNUMBER(SEARCH(Recherche!$C$12,M1136&amp;" "&amp;F1136)))),1,0)</f>
        <v>8</v>
      </c>
    </row>
    <row r="1137" customFormat="false" ht="15" hidden="false" customHeight="false" outlineLevel="0" collapsed="false">
      <c r="A1137" s="19"/>
      <c r="B1137" s="19"/>
      <c r="C1137" s="19"/>
      <c r="D1137" s="19"/>
      <c r="E1137" s="22"/>
      <c r="F1137" s="19"/>
      <c r="G1137" s="26" t="str">
        <f aca="false">IF(D1137="","",IFERROR(VALUE(LEFT(D1137,FIND(" |",D1137&amp;" |")-1)),"?"))</f>
        <v/>
      </c>
      <c r="H1137" s="27" t="str">
        <f aca="false">IF(G1137="","",IF(G1137="?","⚠ pub inconnue",IFERROR(INDEX(Pubs!$B$2:$B$3001,MATCH(G1137,Pubs!$A$2:$A$3001,0))&amp;"","⚠ pub inconnue")))</f>
        <v/>
      </c>
      <c r="I1137" s="27" t="str">
        <f aca="false">IF(OR(G1137="",G1137="?"),"",IFERROR(INDEX(Pubs!$C$2:$C$3001,MATCH(G1137,Pubs!$A$2:$A$3001,0))&amp;"",""))</f>
        <v/>
      </c>
      <c r="J1137" s="27" t="str">
        <f aca="false">IF(OR(G1137="",G1137="?"),"",IFERROR(INDEX(Pubs!$G$2:$G$3001,MATCH(G1137,Pubs!$A$2:$A$3001,0))&amp;"",""))</f>
        <v/>
      </c>
      <c r="K1137" s="28" t="str">
        <f aca="false">IF(OR(G1137="",G1137="?"),"",IFERROR(INDEX(Pubs!$E$2:$E$3001,MATCH(G1137,Pubs!$A$2:$A$3001,0)),""))</f>
        <v/>
      </c>
      <c r="L1137" s="29" t="str">
        <f aca="false">IF(A1137="","",IFERROR(1/(1/INDEX(Numéros!$C$2:$C$3001,MATCH(A1137&amp;"|"&amp;B1137,Numéros!$F$2:$F$3001,0))),""))</f>
        <v/>
      </c>
      <c r="M1137" s="27" t="str">
        <f aca="false">IF(OR(G1137="",G1137="?"),"",IFERROR(INDEX(Pubs!$D$2:$D$3001,MATCH(G1137,Pubs!$A$2:$A$3001,0))&amp;"",""))</f>
        <v/>
      </c>
      <c r="N1137" s="27" t="n">
        <f aca="false">N(N1136)+IF(AND(A1137&lt;&gt;"",OR(Recherche!$C$4="",A1137=Recherche!$C$4),OR(Recherche!$C$5="",B1137&amp;""=Recherche!$C$5&amp;""),OR(Recherche!$C$6="",IFERROR(YEAR(L1137),0)=Recherche!$C$6),OR(Recherche!$C$7="",ISNUMBER(SEARCH(Recherche!$C$7,H1137))),OR(Recherche!$C$8="",J1137=Recherche!$C$8),OR(Recherche!$C$9="",I1137=Recherche!$C$9),OR(Recherche!$C$10="",G1137&amp;""=Recherche!$C$10&amp;""),OR(Recherche!$C$11="",E1137=Recherche!$C$11),OR(Recherche!$C$12="",ISNUMBER(SEARCH(Recherche!$C$12,M1137&amp;" "&amp;F1137)))),1,0)</f>
        <v>8</v>
      </c>
    </row>
    <row r="1138" customFormat="false" ht="15" hidden="false" customHeight="false" outlineLevel="0" collapsed="false">
      <c r="A1138" s="19"/>
      <c r="B1138" s="19"/>
      <c r="C1138" s="19"/>
      <c r="D1138" s="19"/>
      <c r="E1138" s="22"/>
      <c r="F1138" s="19"/>
      <c r="G1138" s="26" t="str">
        <f aca="false">IF(D1138="","",IFERROR(VALUE(LEFT(D1138,FIND(" |",D1138&amp;" |")-1)),"?"))</f>
        <v/>
      </c>
      <c r="H1138" s="27" t="str">
        <f aca="false">IF(G1138="","",IF(G1138="?","⚠ pub inconnue",IFERROR(INDEX(Pubs!$B$2:$B$3001,MATCH(G1138,Pubs!$A$2:$A$3001,0))&amp;"","⚠ pub inconnue")))</f>
        <v/>
      </c>
      <c r="I1138" s="27" t="str">
        <f aca="false">IF(OR(G1138="",G1138="?"),"",IFERROR(INDEX(Pubs!$C$2:$C$3001,MATCH(G1138,Pubs!$A$2:$A$3001,0))&amp;"",""))</f>
        <v/>
      </c>
      <c r="J1138" s="27" t="str">
        <f aca="false">IF(OR(G1138="",G1138="?"),"",IFERROR(INDEX(Pubs!$G$2:$G$3001,MATCH(G1138,Pubs!$A$2:$A$3001,0))&amp;"",""))</f>
        <v/>
      </c>
      <c r="K1138" s="28" t="str">
        <f aca="false">IF(OR(G1138="",G1138="?"),"",IFERROR(INDEX(Pubs!$E$2:$E$3001,MATCH(G1138,Pubs!$A$2:$A$3001,0)),""))</f>
        <v/>
      </c>
      <c r="L1138" s="29" t="str">
        <f aca="false">IF(A1138="","",IFERROR(1/(1/INDEX(Numéros!$C$2:$C$3001,MATCH(A1138&amp;"|"&amp;B1138,Numéros!$F$2:$F$3001,0))),""))</f>
        <v/>
      </c>
      <c r="M1138" s="27" t="str">
        <f aca="false">IF(OR(G1138="",G1138="?"),"",IFERROR(INDEX(Pubs!$D$2:$D$3001,MATCH(G1138,Pubs!$A$2:$A$3001,0))&amp;"",""))</f>
        <v/>
      </c>
      <c r="N1138" s="27" t="n">
        <f aca="false">N(N1137)+IF(AND(A1138&lt;&gt;"",OR(Recherche!$C$4="",A1138=Recherche!$C$4),OR(Recherche!$C$5="",B1138&amp;""=Recherche!$C$5&amp;""),OR(Recherche!$C$6="",IFERROR(YEAR(L1138),0)=Recherche!$C$6),OR(Recherche!$C$7="",ISNUMBER(SEARCH(Recherche!$C$7,H1138))),OR(Recherche!$C$8="",J1138=Recherche!$C$8),OR(Recherche!$C$9="",I1138=Recherche!$C$9),OR(Recherche!$C$10="",G1138&amp;""=Recherche!$C$10&amp;""),OR(Recherche!$C$11="",E1138=Recherche!$C$11),OR(Recherche!$C$12="",ISNUMBER(SEARCH(Recherche!$C$12,M1138&amp;" "&amp;F1138)))),1,0)</f>
        <v>8</v>
      </c>
    </row>
    <row r="1139" customFormat="false" ht="15" hidden="false" customHeight="false" outlineLevel="0" collapsed="false">
      <c r="A1139" s="19"/>
      <c r="B1139" s="19"/>
      <c r="C1139" s="19"/>
      <c r="D1139" s="19"/>
      <c r="E1139" s="22"/>
      <c r="F1139" s="19"/>
      <c r="G1139" s="26" t="str">
        <f aca="false">IF(D1139="","",IFERROR(VALUE(LEFT(D1139,FIND(" |",D1139&amp;" |")-1)),"?"))</f>
        <v/>
      </c>
      <c r="H1139" s="27" t="str">
        <f aca="false">IF(G1139="","",IF(G1139="?","⚠ pub inconnue",IFERROR(INDEX(Pubs!$B$2:$B$3001,MATCH(G1139,Pubs!$A$2:$A$3001,0))&amp;"","⚠ pub inconnue")))</f>
        <v/>
      </c>
      <c r="I1139" s="27" t="str">
        <f aca="false">IF(OR(G1139="",G1139="?"),"",IFERROR(INDEX(Pubs!$C$2:$C$3001,MATCH(G1139,Pubs!$A$2:$A$3001,0))&amp;"",""))</f>
        <v/>
      </c>
      <c r="J1139" s="27" t="str">
        <f aca="false">IF(OR(G1139="",G1139="?"),"",IFERROR(INDEX(Pubs!$G$2:$G$3001,MATCH(G1139,Pubs!$A$2:$A$3001,0))&amp;"",""))</f>
        <v/>
      </c>
      <c r="K1139" s="28" t="str">
        <f aca="false">IF(OR(G1139="",G1139="?"),"",IFERROR(INDEX(Pubs!$E$2:$E$3001,MATCH(G1139,Pubs!$A$2:$A$3001,0)),""))</f>
        <v/>
      </c>
      <c r="L1139" s="29" t="str">
        <f aca="false">IF(A1139="","",IFERROR(1/(1/INDEX(Numéros!$C$2:$C$3001,MATCH(A1139&amp;"|"&amp;B1139,Numéros!$F$2:$F$3001,0))),""))</f>
        <v/>
      </c>
      <c r="M1139" s="27" t="str">
        <f aca="false">IF(OR(G1139="",G1139="?"),"",IFERROR(INDEX(Pubs!$D$2:$D$3001,MATCH(G1139,Pubs!$A$2:$A$3001,0))&amp;"",""))</f>
        <v/>
      </c>
      <c r="N1139" s="27" t="n">
        <f aca="false">N(N1138)+IF(AND(A1139&lt;&gt;"",OR(Recherche!$C$4="",A1139=Recherche!$C$4),OR(Recherche!$C$5="",B1139&amp;""=Recherche!$C$5&amp;""),OR(Recherche!$C$6="",IFERROR(YEAR(L1139),0)=Recherche!$C$6),OR(Recherche!$C$7="",ISNUMBER(SEARCH(Recherche!$C$7,H1139))),OR(Recherche!$C$8="",J1139=Recherche!$C$8),OR(Recherche!$C$9="",I1139=Recherche!$C$9),OR(Recherche!$C$10="",G1139&amp;""=Recherche!$C$10&amp;""),OR(Recherche!$C$11="",E1139=Recherche!$C$11),OR(Recherche!$C$12="",ISNUMBER(SEARCH(Recherche!$C$12,M1139&amp;" "&amp;F1139)))),1,0)</f>
        <v>8</v>
      </c>
    </row>
    <row r="1140" customFormat="false" ht="15" hidden="false" customHeight="false" outlineLevel="0" collapsed="false">
      <c r="A1140" s="19"/>
      <c r="B1140" s="19"/>
      <c r="C1140" s="19"/>
      <c r="D1140" s="19"/>
      <c r="E1140" s="22"/>
      <c r="F1140" s="19"/>
      <c r="G1140" s="26" t="str">
        <f aca="false">IF(D1140="","",IFERROR(VALUE(LEFT(D1140,FIND(" |",D1140&amp;" |")-1)),"?"))</f>
        <v/>
      </c>
      <c r="H1140" s="27" t="str">
        <f aca="false">IF(G1140="","",IF(G1140="?","⚠ pub inconnue",IFERROR(INDEX(Pubs!$B$2:$B$3001,MATCH(G1140,Pubs!$A$2:$A$3001,0))&amp;"","⚠ pub inconnue")))</f>
        <v/>
      </c>
      <c r="I1140" s="27" t="str">
        <f aca="false">IF(OR(G1140="",G1140="?"),"",IFERROR(INDEX(Pubs!$C$2:$C$3001,MATCH(G1140,Pubs!$A$2:$A$3001,0))&amp;"",""))</f>
        <v/>
      </c>
      <c r="J1140" s="27" t="str">
        <f aca="false">IF(OR(G1140="",G1140="?"),"",IFERROR(INDEX(Pubs!$G$2:$G$3001,MATCH(G1140,Pubs!$A$2:$A$3001,0))&amp;"",""))</f>
        <v/>
      </c>
      <c r="K1140" s="28" t="str">
        <f aca="false">IF(OR(G1140="",G1140="?"),"",IFERROR(INDEX(Pubs!$E$2:$E$3001,MATCH(G1140,Pubs!$A$2:$A$3001,0)),""))</f>
        <v/>
      </c>
      <c r="L1140" s="29" t="str">
        <f aca="false">IF(A1140="","",IFERROR(1/(1/INDEX(Numéros!$C$2:$C$3001,MATCH(A1140&amp;"|"&amp;B1140,Numéros!$F$2:$F$3001,0))),""))</f>
        <v/>
      </c>
      <c r="M1140" s="27" t="str">
        <f aca="false">IF(OR(G1140="",G1140="?"),"",IFERROR(INDEX(Pubs!$D$2:$D$3001,MATCH(G1140,Pubs!$A$2:$A$3001,0))&amp;"",""))</f>
        <v/>
      </c>
      <c r="N1140" s="27" t="n">
        <f aca="false">N(N1139)+IF(AND(A1140&lt;&gt;"",OR(Recherche!$C$4="",A1140=Recherche!$C$4),OR(Recherche!$C$5="",B1140&amp;""=Recherche!$C$5&amp;""),OR(Recherche!$C$6="",IFERROR(YEAR(L1140),0)=Recherche!$C$6),OR(Recherche!$C$7="",ISNUMBER(SEARCH(Recherche!$C$7,H1140))),OR(Recherche!$C$8="",J1140=Recherche!$C$8),OR(Recherche!$C$9="",I1140=Recherche!$C$9),OR(Recherche!$C$10="",G1140&amp;""=Recherche!$C$10&amp;""),OR(Recherche!$C$11="",E1140=Recherche!$C$11),OR(Recherche!$C$12="",ISNUMBER(SEARCH(Recherche!$C$12,M1140&amp;" "&amp;F1140)))),1,0)</f>
        <v>8</v>
      </c>
    </row>
    <row r="1141" customFormat="false" ht="15" hidden="false" customHeight="false" outlineLevel="0" collapsed="false">
      <c r="A1141" s="19"/>
      <c r="B1141" s="19"/>
      <c r="C1141" s="19"/>
      <c r="D1141" s="19"/>
      <c r="E1141" s="22"/>
      <c r="F1141" s="19"/>
      <c r="G1141" s="26" t="str">
        <f aca="false">IF(D1141="","",IFERROR(VALUE(LEFT(D1141,FIND(" |",D1141&amp;" |")-1)),"?"))</f>
        <v/>
      </c>
      <c r="H1141" s="27" t="str">
        <f aca="false">IF(G1141="","",IF(G1141="?","⚠ pub inconnue",IFERROR(INDEX(Pubs!$B$2:$B$3001,MATCH(G1141,Pubs!$A$2:$A$3001,0))&amp;"","⚠ pub inconnue")))</f>
        <v/>
      </c>
      <c r="I1141" s="27" t="str">
        <f aca="false">IF(OR(G1141="",G1141="?"),"",IFERROR(INDEX(Pubs!$C$2:$C$3001,MATCH(G1141,Pubs!$A$2:$A$3001,0))&amp;"",""))</f>
        <v/>
      </c>
      <c r="J1141" s="27" t="str">
        <f aca="false">IF(OR(G1141="",G1141="?"),"",IFERROR(INDEX(Pubs!$G$2:$G$3001,MATCH(G1141,Pubs!$A$2:$A$3001,0))&amp;"",""))</f>
        <v/>
      </c>
      <c r="K1141" s="28" t="str">
        <f aca="false">IF(OR(G1141="",G1141="?"),"",IFERROR(INDEX(Pubs!$E$2:$E$3001,MATCH(G1141,Pubs!$A$2:$A$3001,0)),""))</f>
        <v/>
      </c>
      <c r="L1141" s="29" t="str">
        <f aca="false">IF(A1141="","",IFERROR(1/(1/INDEX(Numéros!$C$2:$C$3001,MATCH(A1141&amp;"|"&amp;B1141,Numéros!$F$2:$F$3001,0))),""))</f>
        <v/>
      </c>
      <c r="M1141" s="27" t="str">
        <f aca="false">IF(OR(G1141="",G1141="?"),"",IFERROR(INDEX(Pubs!$D$2:$D$3001,MATCH(G1141,Pubs!$A$2:$A$3001,0))&amp;"",""))</f>
        <v/>
      </c>
      <c r="N1141" s="27" t="n">
        <f aca="false">N(N1140)+IF(AND(A1141&lt;&gt;"",OR(Recherche!$C$4="",A1141=Recherche!$C$4),OR(Recherche!$C$5="",B1141&amp;""=Recherche!$C$5&amp;""),OR(Recherche!$C$6="",IFERROR(YEAR(L1141),0)=Recherche!$C$6),OR(Recherche!$C$7="",ISNUMBER(SEARCH(Recherche!$C$7,H1141))),OR(Recherche!$C$8="",J1141=Recherche!$C$8),OR(Recherche!$C$9="",I1141=Recherche!$C$9),OR(Recherche!$C$10="",G1141&amp;""=Recherche!$C$10&amp;""),OR(Recherche!$C$11="",E1141=Recherche!$C$11),OR(Recherche!$C$12="",ISNUMBER(SEARCH(Recherche!$C$12,M1141&amp;" "&amp;F1141)))),1,0)</f>
        <v>8</v>
      </c>
    </row>
    <row r="1142" customFormat="false" ht="15" hidden="false" customHeight="false" outlineLevel="0" collapsed="false">
      <c r="A1142" s="19"/>
      <c r="B1142" s="19"/>
      <c r="C1142" s="19"/>
      <c r="D1142" s="19"/>
      <c r="E1142" s="22"/>
      <c r="F1142" s="19"/>
      <c r="G1142" s="26" t="str">
        <f aca="false">IF(D1142="","",IFERROR(VALUE(LEFT(D1142,FIND(" |",D1142&amp;" |")-1)),"?"))</f>
        <v/>
      </c>
      <c r="H1142" s="27" t="str">
        <f aca="false">IF(G1142="","",IF(G1142="?","⚠ pub inconnue",IFERROR(INDEX(Pubs!$B$2:$B$3001,MATCH(G1142,Pubs!$A$2:$A$3001,0))&amp;"","⚠ pub inconnue")))</f>
        <v/>
      </c>
      <c r="I1142" s="27" t="str">
        <f aca="false">IF(OR(G1142="",G1142="?"),"",IFERROR(INDEX(Pubs!$C$2:$C$3001,MATCH(G1142,Pubs!$A$2:$A$3001,0))&amp;"",""))</f>
        <v/>
      </c>
      <c r="J1142" s="27" t="str">
        <f aca="false">IF(OR(G1142="",G1142="?"),"",IFERROR(INDEX(Pubs!$G$2:$G$3001,MATCH(G1142,Pubs!$A$2:$A$3001,0))&amp;"",""))</f>
        <v/>
      </c>
      <c r="K1142" s="28" t="str">
        <f aca="false">IF(OR(G1142="",G1142="?"),"",IFERROR(INDEX(Pubs!$E$2:$E$3001,MATCH(G1142,Pubs!$A$2:$A$3001,0)),""))</f>
        <v/>
      </c>
      <c r="L1142" s="29" t="str">
        <f aca="false">IF(A1142="","",IFERROR(1/(1/INDEX(Numéros!$C$2:$C$3001,MATCH(A1142&amp;"|"&amp;B1142,Numéros!$F$2:$F$3001,0))),""))</f>
        <v/>
      </c>
      <c r="M1142" s="27" t="str">
        <f aca="false">IF(OR(G1142="",G1142="?"),"",IFERROR(INDEX(Pubs!$D$2:$D$3001,MATCH(G1142,Pubs!$A$2:$A$3001,0))&amp;"",""))</f>
        <v/>
      </c>
      <c r="N1142" s="27" t="n">
        <f aca="false">N(N1141)+IF(AND(A1142&lt;&gt;"",OR(Recherche!$C$4="",A1142=Recherche!$C$4),OR(Recherche!$C$5="",B1142&amp;""=Recherche!$C$5&amp;""),OR(Recherche!$C$6="",IFERROR(YEAR(L1142),0)=Recherche!$C$6),OR(Recherche!$C$7="",ISNUMBER(SEARCH(Recherche!$C$7,H1142))),OR(Recherche!$C$8="",J1142=Recherche!$C$8),OR(Recherche!$C$9="",I1142=Recherche!$C$9),OR(Recherche!$C$10="",G1142&amp;""=Recherche!$C$10&amp;""),OR(Recherche!$C$11="",E1142=Recherche!$C$11),OR(Recherche!$C$12="",ISNUMBER(SEARCH(Recherche!$C$12,M1142&amp;" "&amp;F1142)))),1,0)</f>
        <v>8</v>
      </c>
    </row>
    <row r="1143" customFormat="false" ht="15" hidden="false" customHeight="false" outlineLevel="0" collapsed="false">
      <c r="A1143" s="19"/>
      <c r="B1143" s="19"/>
      <c r="C1143" s="19"/>
      <c r="D1143" s="19"/>
      <c r="E1143" s="22"/>
      <c r="F1143" s="19"/>
      <c r="G1143" s="26" t="str">
        <f aca="false">IF(D1143="","",IFERROR(VALUE(LEFT(D1143,FIND(" |",D1143&amp;" |")-1)),"?"))</f>
        <v/>
      </c>
      <c r="H1143" s="27" t="str">
        <f aca="false">IF(G1143="","",IF(G1143="?","⚠ pub inconnue",IFERROR(INDEX(Pubs!$B$2:$B$3001,MATCH(G1143,Pubs!$A$2:$A$3001,0))&amp;"","⚠ pub inconnue")))</f>
        <v/>
      </c>
      <c r="I1143" s="27" t="str">
        <f aca="false">IF(OR(G1143="",G1143="?"),"",IFERROR(INDEX(Pubs!$C$2:$C$3001,MATCH(G1143,Pubs!$A$2:$A$3001,0))&amp;"",""))</f>
        <v/>
      </c>
      <c r="J1143" s="27" t="str">
        <f aca="false">IF(OR(G1143="",G1143="?"),"",IFERROR(INDEX(Pubs!$G$2:$G$3001,MATCH(G1143,Pubs!$A$2:$A$3001,0))&amp;"",""))</f>
        <v/>
      </c>
      <c r="K1143" s="28" t="str">
        <f aca="false">IF(OR(G1143="",G1143="?"),"",IFERROR(INDEX(Pubs!$E$2:$E$3001,MATCH(G1143,Pubs!$A$2:$A$3001,0)),""))</f>
        <v/>
      </c>
      <c r="L1143" s="29" t="str">
        <f aca="false">IF(A1143="","",IFERROR(1/(1/INDEX(Numéros!$C$2:$C$3001,MATCH(A1143&amp;"|"&amp;B1143,Numéros!$F$2:$F$3001,0))),""))</f>
        <v/>
      </c>
      <c r="M1143" s="27" t="str">
        <f aca="false">IF(OR(G1143="",G1143="?"),"",IFERROR(INDEX(Pubs!$D$2:$D$3001,MATCH(G1143,Pubs!$A$2:$A$3001,0))&amp;"",""))</f>
        <v/>
      </c>
      <c r="N1143" s="27" t="n">
        <f aca="false">N(N1142)+IF(AND(A1143&lt;&gt;"",OR(Recherche!$C$4="",A1143=Recherche!$C$4),OR(Recherche!$C$5="",B1143&amp;""=Recherche!$C$5&amp;""),OR(Recherche!$C$6="",IFERROR(YEAR(L1143),0)=Recherche!$C$6),OR(Recherche!$C$7="",ISNUMBER(SEARCH(Recherche!$C$7,H1143))),OR(Recherche!$C$8="",J1143=Recherche!$C$8),OR(Recherche!$C$9="",I1143=Recherche!$C$9),OR(Recherche!$C$10="",G1143&amp;""=Recherche!$C$10&amp;""),OR(Recherche!$C$11="",E1143=Recherche!$C$11),OR(Recherche!$C$12="",ISNUMBER(SEARCH(Recherche!$C$12,M1143&amp;" "&amp;F1143)))),1,0)</f>
        <v>8</v>
      </c>
    </row>
    <row r="1144" customFormat="false" ht="15" hidden="false" customHeight="false" outlineLevel="0" collapsed="false">
      <c r="A1144" s="19"/>
      <c r="B1144" s="19"/>
      <c r="C1144" s="19"/>
      <c r="D1144" s="19"/>
      <c r="E1144" s="22"/>
      <c r="F1144" s="19"/>
      <c r="G1144" s="26" t="str">
        <f aca="false">IF(D1144="","",IFERROR(VALUE(LEFT(D1144,FIND(" |",D1144&amp;" |")-1)),"?"))</f>
        <v/>
      </c>
      <c r="H1144" s="27" t="str">
        <f aca="false">IF(G1144="","",IF(G1144="?","⚠ pub inconnue",IFERROR(INDEX(Pubs!$B$2:$B$3001,MATCH(G1144,Pubs!$A$2:$A$3001,0))&amp;"","⚠ pub inconnue")))</f>
        <v/>
      </c>
      <c r="I1144" s="27" t="str">
        <f aca="false">IF(OR(G1144="",G1144="?"),"",IFERROR(INDEX(Pubs!$C$2:$C$3001,MATCH(G1144,Pubs!$A$2:$A$3001,0))&amp;"",""))</f>
        <v/>
      </c>
      <c r="J1144" s="27" t="str">
        <f aca="false">IF(OR(G1144="",G1144="?"),"",IFERROR(INDEX(Pubs!$G$2:$G$3001,MATCH(G1144,Pubs!$A$2:$A$3001,0))&amp;"",""))</f>
        <v/>
      </c>
      <c r="K1144" s="28" t="str">
        <f aca="false">IF(OR(G1144="",G1144="?"),"",IFERROR(INDEX(Pubs!$E$2:$E$3001,MATCH(G1144,Pubs!$A$2:$A$3001,0)),""))</f>
        <v/>
      </c>
      <c r="L1144" s="29" t="str">
        <f aca="false">IF(A1144="","",IFERROR(1/(1/INDEX(Numéros!$C$2:$C$3001,MATCH(A1144&amp;"|"&amp;B1144,Numéros!$F$2:$F$3001,0))),""))</f>
        <v/>
      </c>
      <c r="M1144" s="27" t="str">
        <f aca="false">IF(OR(G1144="",G1144="?"),"",IFERROR(INDEX(Pubs!$D$2:$D$3001,MATCH(G1144,Pubs!$A$2:$A$3001,0))&amp;"",""))</f>
        <v/>
      </c>
      <c r="N1144" s="27" t="n">
        <f aca="false">N(N1143)+IF(AND(A1144&lt;&gt;"",OR(Recherche!$C$4="",A1144=Recherche!$C$4),OR(Recherche!$C$5="",B1144&amp;""=Recherche!$C$5&amp;""),OR(Recherche!$C$6="",IFERROR(YEAR(L1144),0)=Recherche!$C$6),OR(Recherche!$C$7="",ISNUMBER(SEARCH(Recherche!$C$7,H1144))),OR(Recherche!$C$8="",J1144=Recherche!$C$8),OR(Recherche!$C$9="",I1144=Recherche!$C$9),OR(Recherche!$C$10="",G1144&amp;""=Recherche!$C$10&amp;""),OR(Recherche!$C$11="",E1144=Recherche!$C$11),OR(Recherche!$C$12="",ISNUMBER(SEARCH(Recherche!$C$12,M1144&amp;" "&amp;F1144)))),1,0)</f>
        <v>8</v>
      </c>
    </row>
    <row r="1145" customFormat="false" ht="15" hidden="false" customHeight="false" outlineLevel="0" collapsed="false">
      <c r="A1145" s="19"/>
      <c r="B1145" s="19"/>
      <c r="C1145" s="19"/>
      <c r="D1145" s="19"/>
      <c r="E1145" s="22"/>
      <c r="F1145" s="19"/>
      <c r="G1145" s="26" t="str">
        <f aca="false">IF(D1145="","",IFERROR(VALUE(LEFT(D1145,FIND(" |",D1145&amp;" |")-1)),"?"))</f>
        <v/>
      </c>
      <c r="H1145" s="27" t="str">
        <f aca="false">IF(G1145="","",IF(G1145="?","⚠ pub inconnue",IFERROR(INDEX(Pubs!$B$2:$B$3001,MATCH(G1145,Pubs!$A$2:$A$3001,0))&amp;"","⚠ pub inconnue")))</f>
        <v/>
      </c>
      <c r="I1145" s="27" t="str">
        <f aca="false">IF(OR(G1145="",G1145="?"),"",IFERROR(INDEX(Pubs!$C$2:$C$3001,MATCH(G1145,Pubs!$A$2:$A$3001,0))&amp;"",""))</f>
        <v/>
      </c>
      <c r="J1145" s="27" t="str">
        <f aca="false">IF(OR(G1145="",G1145="?"),"",IFERROR(INDEX(Pubs!$G$2:$G$3001,MATCH(G1145,Pubs!$A$2:$A$3001,0))&amp;"",""))</f>
        <v/>
      </c>
      <c r="K1145" s="28" t="str">
        <f aca="false">IF(OR(G1145="",G1145="?"),"",IFERROR(INDEX(Pubs!$E$2:$E$3001,MATCH(G1145,Pubs!$A$2:$A$3001,0)),""))</f>
        <v/>
      </c>
      <c r="L1145" s="29" t="str">
        <f aca="false">IF(A1145="","",IFERROR(1/(1/INDEX(Numéros!$C$2:$C$3001,MATCH(A1145&amp;"|"&amp;B1145,Numéros!$F$2:$F$3001,0))),""))</f>
        <v/>
      </c>
      <c r="M1145" s="27" t="str">
        <f aca="false">IF(OR(G1145="",G1145="?"),"",IFERROR(INDEX(Pubs!$D$2:$D$3001,MATCH(G1145,Pubs!$A$2:$A$3001,0))&amp;"",""))</f>
        <v/>
      </c>
      <c r="N1145" s="27" t="n">
        <f aca="false">N(N1144)+IF(AND(A1145&lt;&gt;"",OR(Recherche!$C$4="",A1145=Recherche!$C$4),OR(Recherche!$C$5="",B1145&amp;""=Recherche!$C$5&amp;""),OR(Recherche!$C$6="",IFERROR(YEAR(L1145),0)=Recherche!$C$6),OR(Recherche!$C$7="",ISNUMBER(SEARCH(Recherche!$C$7,H1145))),OR(Recherche!$C$8="",J1145=Recherche!$C$8),OR(Recherche!$C$9="",I1145=Recherche!$C$9),OR(Recherche!$C$10="",G1145&amp;""=Recherche!$C$10&amp;""),OR(Recherche!$C$11="",E1145=Recherche!$C$11),OR(Recherche!$C$12="",ISNUMBER(SEARCH(Recherche!$C$12,M1145&amp;" "&amp;F1145)))),1,0)</f>
        <v>8</v>
      </c>
    </row>
    <row r="1146" customFormat="false" ht="15" hidden="false" customHeight="false" outlineLevel="0" collapsed="false">
      <c r="A1146" s="19"/>
      <c r="B1146" s="19"/>
      <c r="C1146" s="19"/>
      <c r="D1146" s="19"/>
      <c r="E1146" s="22"/>
      <c r="F1146" s="19"/>
      <c r="G1146" s="26" t="str">
        <f aca="false">IF(D1146="","",IFERROR(VALUE(LEFT(D1146,FIND(" |",D1146&amp;" |")-1)),"?"))</f>
        <v/>
      </c>
      <c r="H1146" s="27" t="str">
        <f aca="false">IF(G1146="","",IF(G1146="?","⚠ pub inconnue",IFERROR(INDEX(Pubs!$B$2:$B$3001,MATCH(G1146,Pubs!$A$2:$A$3001,0))&amp;"","⚠ pub inconnue")))</f>
        <v/>
      </c>
      <c r="I1146" s="27" t="str">
        <f aca="false">IF(OR(G1146="",G1146="?"),"",IFERROR(INDEX(Pubs!$C$2:$C$3001,MATCH(G1146,Pubs!$A$2:$A$3001,0))&amp;"",""))</f>
        <v/>
      </c>
      <c r="J1146" s="27" t="str">
        <f aca="false">IF(OR(G1146="",G1146="?"),"",IFERROR(INDEX(Pubs!$G$2:$G$3001,MATCH(G1146,Pubs!$A$2:$A$3001,0))&amp;"",""))</f>
        <v/>
      </c>
      <c r="K1146" s="28" t="str">
        <f aca="false">IF(OR(G1146="",G1146="?"),"",IFERROR(INDEX(Pubs!$E$2:$E$3001,MATCH(G1146,Pubs!$A$2:$A$3001,0)),""))</f>
        <v/>
      </c>
      <c r="L1146" s="29" t="str">
        <f aca="false">IF(A1146="","",IFERROR(1/(1/INDEX(Numéros!$C$2:$C$3001,MATCH(A1146&amp;"|"&amp;B1146,Numéros!$F$2:$F$3001,0))),""))</f>
        <v/>
      </c>
      <c r="M1146" s="27" t="str">
        <f aca="false">IF(OR(G1146="",G1146="?"),"",IFERROR(INDEX(Pubs!$D$2:$D$3001,MATCH(G1146,Pubs!$A$2:$A$3001,0))&amp;"",""))</f>
        <v/>
      </c>
      <c r="N1146" s="27" t="n">
        <f aca="false">N(N1145)+IF(AND(A1146&lt;&gt;"",OR(Recherche!$C$4="",A1146=Recherche!$C$4),OR(Recherche!$C$5="",B1146&amp;""=Recherche!$C$5&amp;""),OR(Recherche!$C$6="",IFERROR(YEAR(L1146),0)=Recherche!$C$6),OR(Recherche!$C$7="",ISNUMBER(SEARCH(Recherche!$C$7,H1146))),OR(Recherche!$C$8="",J1146=Recherche!$C$8),OR(Recherche!$C$9="",I1146=Recherche!$C$9),OR(Recherche!$C$10="",G1146&amp;""=Recherche!$C$10&amp;""),OR(Recherche!$C$11="",E1146=Recherche!$C$11),OR(Recherche!$C$12="",ISNUMBER(SEARCH(Recherche!$C$12,M1146&amp;" "&amp;F1146)))),1,0)</f>
        <v>8</v>
      </c>
    </row>
    <row r="1147" customFormat="false" ht="15" hidden="false" customHeight="false" outlineLevel="0" collapsed="false">
      <c r="A1147" s="19"/>
      <c r="B1147" s="19"/>
      <c r="C1147" s="19"/>
      <c r="D1147" s="19"/>
      <c r="E1147" s="22"/>
      <c r="F1147" s="19"/>
      <c r="G1147" s="26" t="str">
        <f aca="false">IF(D1147="","",IFERROR(VALUE(LEFT(D1147,FIND(" |",D1147&amp;" |")-1)),"?"))</f>
        <v/>
      </c>
      <c r="H1147" s="27" t="str">
        <f aca="false">IF(G1147="","",IF(G1147="?","⚠ pub inconnue",IFERROR(INDEX(Pubs!$B$2:$B$3001,MATCH(G1147,Pubs!$A$2:$A$3001,0))&amp;"","⚠ pub inconnue")))</f>
        <v/>
      </c>
      <c r="I1147" s="27" t="str">
        <f aca="false">IF(OR(G1147="",G1147="?"),"",IFERROR(INDEX(Pubs!$C$2:$C$3001,MATCH(G1147,Pubs!$A$2:$A$3001,0))&amp;"",""))</f>
        <v/>
      </c>
      <c r="J1147" s="27" t="str">
        <f aca="false">IF(OR(G1147="",G1147="?"),"",IFERROR(INDEX(Pubs!$G$2:$G$3001,MATCH(G1147,Pubs!$A$2:$A$3001,0))&amp;"",""))</f>
        <v/>
      </c>
      <c r="K1147" s="28" t="str">
        <f aca="false">IF(OR(G1147="",G1147="?"),"",IFERROR(INDEX(Pubs!$E$2:$E$3001,MATCH(G1147,Pubs!$A$2:$A$3001,0)),""))</f>
        <v/>
      </c>
      <c r="L1147" s="29" t="str">
        <f aca="false">IF(A1147="","",IFERROR(1/(1/INDEX(Numéros!$C$2:$C$3001,MATCH(A1147&amp;"|"&amp;B1147,Numéros!$F$2:$F$3001,0))),""))</f>
        <v/>
      </c>
      <c r="M1147" s="27" t="str">
        <f aca="false">IF(OR(G1147="",G1147="?"),"",IFERROR(INDEX(Pubs!$D$2:$D$3001,MATCH(G1147,Pubs!$A$2:$A$3001,0))&amp;"",""))</f>
        <v/>
      </c>
      <c r="N1147" s="27" t="n">
        <f aca="false">N(N1146)+IF(AND(A1147&lt;&gt;"",OR(Recherche!$C$4="",A1147=Recherche!$C$4),OR(Recherche!$C$5="",B1147&amp;""=Recherche!$C$5&amp;""),OR(Recherche!$C$6="",IFERROR(YEAR(L1147),0)=Recherche!$C$6),OR(Recherche!$C$7="",ISNUMBER(SEARCH(Recherche!$C$7,H1147))),OR(Recherche!$C$8="",J1147=Recherche!$C$8),OR(Recherche!$C$9="",I1147=Recherche!$C$9),OR(Recherche!$C$10="",G1147&amp;""=Recherche!$C$10&amp;""),OR(Recherche!$C$11="",E1147=Recherche!$C$11),OR(Recherche!$C$12="",ISNUMBER(SEARCH(Recherche!$C$12,M1147&amp;" "&amp;F1147)))),1,0)</f>
        <v>8</v>
      </c>
    </row>
    <row r="1148" customFormat="false" ht="15" hidden="false" customHeight="false" outlineLevel="0" collapsed="false">
      <c r="A1148" s="19"/>
      <c r="B1148" s="19"/>
      <c r="C1148" s="19"/>
      <c r="D1148" s="19"/>
      <c r="E1148" s="22"/>
      <c r="F1148" s="19"/>
      <c r="G1148" s="26" t="str">
        <f aca="false">IF(D1148="","",IFERROR(VALUE(LEFT(D1148,FIND(" |",D1148&amp;" |")-1)),"?"))</f>
        <v/>
      </c>
      <c r="H1148" s="27" t="str">
        <f aca="false">IF(G1148="","",IF(G1148="?","⚠ pub inconnue",IFERROR(INDEX(Pubs!$B$2:$B$3001,MATCH(G1148,Pubs!$A$2:$A$3001,0))&amp;"","⚠ pub inconnue")))</f>
        <v/>
      </c>
      <c r="I1148" s="27" t="str">
        <f aca="false">IF(OR(G1148="",G1148="?"),"",IFERROR(INDEX(Pubs!$C$2:$C$3001,MATCH(G1148,Pubs!$A$2:$A$3001,0))&amp;"",""))</f>
        <v/>
      </c>
      <c r="J1148" s="27" t="str">
        <f aca="false">IF(OR(G1148="",G1148="?"),"",IFERROR(INDEX(Pubs!$G$2:$G$3001,MATCH(G1148,Pubs!$A$2:$A$3001,0))&amp;"",""))</f>
        <v/>
      </c>
      <c r="K1148" s="28" t="str">
        <f aca="false">IF(OR(G1148="",G1148="?"),"",IFERROR(INDEX(Pubs!$E$2:$E$3001,MATCH(G1148,Pubs!$A$2:$A$3001,0)),""))</f>
        <v/>
      </c>
      <c r="L1148" s="29" t="str">
        <f aca="false">IF(A1148="","",IFERROR(1/(1/INDEX(Numéros!$C$2:$C$3001,MATCH(A1148&amp;"|"&amp;B1148,Numéros!$F$2:$F$3001,0))),""))</f>
        <v/>
      </c>
      <c r="M1148" s="27" t="str">
        <f aca="false">IF(OR(G1148="",G1148="?"),"",IFERROR(INDEX(Pubs!$D$2:$D$3001,MATCH(G1148,Pubs!$A$2:$A$3001,0))&amp;"",""))</f>
        <v/>
      </c>
      <c r="N1148" s="27" t="n">
        <f aca="false">N(N1147)+IF(AND(A1148&lt;&gt;"",OR(Recherche!$C$4="",A1148=Recherche!$C$4),OR(Recherche!$C$5="",B1148&amp;""=Recherche!$C$5&amp;""),OR(Recherche!$C$6="",IFERROR(YEAR(L1148),0)=Recherche!$C$6),OR(Recherche!$C$7="",ISNUMBER(SEARCH(Recherche!$C$7,H1148))),OR(Recherche!$C$8="",J1148=Recherche!$C$8),OR(Recherche!$C$9="",I1148=Recherche!$C$9),OR(Recherche!$C$10="",G1148&amp;""=Recherche!$C$10&amp;""),OR(Recherche!$C$11="",E1148=Recherche!$C$11),OR(Recherche!$C$12="",ISNUMBER(SEARCH(Recherche!$C$12,M1148&amp;" "&amp;F1148)))),1,0)</f>
        <v>8</v>
      </c>
    </row>
    <row r="1149" customFormat="false" ht="15" hidden="false" customHeight="false" outlineLevel="0" collapsed="false">
      <c r="A1149" s="19"/>
      <c r="B1149" s="19"/>
      <c r="C1149" s="19"/>
      <c r="D1149" s="19"/>
      <c r="E1149" s="22"/>
      <c r="F1149" s="19"/>
      <c r="G1149" s="26" t="str">
        <f aca="false">IF(D1149="","",IFERROR(VALUE(LEFT(D1149,FIND(" |",D1149&amp;" |")-1)),"?"))</f>
        <v/>
      </c>
      <c r="H1149" s="27" t="str">
        <f aca="false">IF(G1149="","",IF(G1149="?","⚠ pub inconnue",IFERROR(INDEX(Pubs!$B$2:$B$3001,MATCH(G1149,Pubs!$A$2:$A$3001,0))&amp;"","⚠ pub inconnue")))</f>
        <v/>
      </c>
      <c r="I1149" s="27" t="str">
        <f aca="false">IF(OR(G1149="",G1149="?"),"",IFERROR(INDEX(Pubs!$C$2:$C$3001,MATCH(G1149,Pubs!$A$2:$A$3001,0))&amp;"",""))</f>
        <v/>
      </c>
      <c r="J1149" s="27" t="str">
        <f aca="false">IF(OR(G1149="",G1149="?"),"",IFERROR(INDEX(Pubs!$G$2:$G$3001,MATCH(G1149,Pubs!$A$2:$A$3001,0))&amp;"",""))</f>
        <v/>
      </c>
      <c r="K1149" s="28" t="str">
        <f aca="false">IF(OR(G1149="",G1149="?"),"",IFERROR(INDEX(Pubs!$E$2:$E$3001,MATCH(G1149,Pubs!$A$2:$A$3001,0)),""))</f>
        <v/>
      </c>
      <c r="L1149" s="29" t="str">
        <f aca="false">IF(A1149="","",IFERROR(1/(1/INDEX(Numéros!$C$2:$C$3001,MATCH(A1149&amp;"|"&amp;B1149,Numéros!$F$2:$F$3001,0))),""))</f>
        <v/>
      </c>
      <c r="M1149" s="27" t="str">
        <f aca="false">IF(OR(G1149="",G1149="?"),"",IFERROR(INDEX(Pubs!$D$2:$D$3001,MATCH(G1149,Pubs!$A$2:$A$3001,0))&amp;"",""))</f>
        <v/>
      </c>
      <c r="N1149" s="27" t="n">
        <f aca="false">N(N1148)+IF(AND(A1149&lt;&gt;"",OR(Recherche!$C$4="",A1149=Recherche!$C$4),OR(Recherche!$C$5="",B1149&amp;""=Recherche!$C$5&amp;""),OR(Recherche!$C$6="",IFERROR(YEAR(L1149),0)=Recherche!$C$6),OR(Recherche!$C$7="",ISNUMBER(SEARCH(Recherche!$C$7,H1149))),OR(Recherche!$C$8="",J1149=Recherche!$C$8),OR(Recherche!$C$9="",I1149=Recherche!$C$9),OR(Recherche!$C$10="",G1149&amp;""=Recherche!$C$10&amp;""),OR(Recherche!$C$11="",E1149=Recherche!$C$11),OR(Recherche!$C$12="",ISNUMBER(SEARCH(Recherche!$C$12,M1149&amp;" "&amp;F1149)))),1,0)</f>
        <v>8</v>
      </c>
    </row>
    <row r="1150" customFormat="false" ht="15" hidden="false" customHeight="false" outlineLevel="0" collapsed="false">
      <c r="A1150" s="19"/>
      <c r="B1150" s="19"/>
      <c r="C1150" s="19"/>
      <c r="D1150" s="19"/>
      <c r="E1150" s="22"/>
      <c r="F1150" s="19"/>
      <c r="G1150" s="26" t="str">
        <f aca="false">IF(D1150="","",IFERROR(VALUE(LEFT(D1150,FIND(" |",D1150&amp;" |")-1)),"?"))</f>
        <v/>
      </c>
      <c r="H1150" s="27" t="str">
        <f aca="false">IF(G1150="","",IF(G1150="?","⚠ pub inconnue",IFERROR(INDEX(Pubs!$B$2:$B$3001,MATCH(G1150,Pubs!$A$2:$A$3001,0))&amp;"","⚠ pub inconnue")))</f>
        <v/>
      </c>
      <c r="I1150" s="27" t="str">
        <f aca="false">IF(OR(G1150="",G1150="?"),"",IFERROR(INDEX(Pubs!$C$2:$C$3001,MATCH(G1150,Pubs!$A$2:$A$3001,0))&amp;"",""))</f>
        <v/>
      </c>
      <c r="J1150" s="27" t="str">
        <f aca="false">IF(OR(G1150="",G1150="?"),"",IFERROR(INDEX(Pubs!$G$2:$G$3001,MATCH(G1150,Pubs!$A$2:$A$3001,0))&amp;"",""))</f>
        <v/>
      </c>
      <c r="K1150" s="28" t="str">
        <f aca="false">IF(OR(G1150="",G1150="?"),"",IFERROR(INDEX(Pubs!$E$2:$E$3001,MATCH(G1150,Pubs!$A$2:$A$3001,0)),""))</f>
        <v/>
      </c>
      <c r="L1150" s="29" t="str">
        <f aca="false">IF(A1150="","",IFERROR(1/(1/INDEX(Numéros!$C$2:$C$3001,MATCH(A1150&amp;"|"&amp;B1150,Numéros!$F$2:$F$3001,0))),""))</f>
        <v/>
      </c>
      <c r="M1150" s="27" t="str">
        <f aca="false">IF(OR(G1150="",G1150="?"),"",IFERROR(INDEX(Pubs!$D$2:$D$3001,MATCH(G1150,Pubs!$A$2:$A$3001,0))&amp;"",""))</f>
        <v/>
      </c>
      <c r="N1150" s="27" t="n">
        <f aca="false">N(N1149)+IF(AND(A1150&lt;&gt;"",OR(Recherche!$C$4="",A1150=Recherche!$C$4),OR(Recherche!$C$5="",B1150&amp;""=Recherche!$C$5&amp;""),OR(Recherche!$C$6="",IFERROR(YEAR(L1150),0)=Recherche!$C$6),OR(Recherche!$C$7="",ISNUMBER(SEARCH(Recherche!$C$7,H1150))),OR(Recherche!$C$8="",J1150=Recherche!$C$8),OR(Recherche!$C$9="",I1150=Recherche!$C$9),OR(Recherche!$C$10="",G1150&amp;""=Recherche!$C$10&amp;""),OR(Recherche!$C$11="",E1150=Recherche!$C$11),OR(Recherche!$C$12="",ISNUMBER(SEARCH(Recherche!$C$12,M1150&amp;" "&amp;F1150)))),1,0)</f>
        <v>8</v>
      </c>
    </row>
    <row r="1151" customFormat="false" ht="15" hidden="false" customHeight="false" outlineLevel="0" collapsed="false">
      <c r="A1151" s="19"/>
      <c r="B1151" s="19"/>
      <c r="C1151" s="19"/>
      <c r="D1151" s="19"/>
      <c r="E1151" s="22"/>
      <c r="F1151" s="19"/>
      <c r="G1151" s="26" t="str">
        <f aca="false">IF(D1151="","",IFERROR(VALUE(LEFT(D1151,FIND(" |",D1151&amp;" |")-1)),"?"))</f>
        <v/>
      </c>
      <c r="H1151" s="27" t="str">
        <f aca="false">IF(G1151="","",IF(G1151="?","⚠ pub inconnue",IFERROR(INDEX(Pubs!$B$2:$B$3001,MATCH(G1151,Pubs!$A$2:$A$3001,0))&amp;"","⚠ pub inconnue")))</f>
        <v/>
      </c>
      <c r="I1151" s="27" t="str">
        <f aca="false">IF(OR(G1151="",G1151="?"),"",IFERROR(INDEX(Pubs!$C$2:$C$3001,MATCH(G1151,Pubs!$A$2:$A$3001,0))&amp;"",""))</f>
        <v/>
      </c>
      <c r="J1151" s="27" t="str">
        <f aca="false">IF(OR(G1151="",G1151="?"),"",IFERROR(INDEX(Pubs!$G$2:$G$3001,MATCH(G1151,Pubs!$A$2:$A$3001,0))&amp;"",""))</f>
        <v/>
      </c>
      <c r="K1151" s="28" t="str">
        <f aca="false">IF(OR(G1151="",G1151="?"),"",IFERROR(INDEX(Pubs!$E$2:$E$3001,MATCH(G1151,Pubs!$A$2:$A$3001,0)),""))</f>
        <v/>
      </c>
      <c r="L1151" s="29" t="str">
        <f aca="false">IF(A1151="","",IFERROR(1/(1/INDEX(Numéros!$C$2:$C$3001,MATCH(A1151&amp;"|"&amp;B1151,Numéros!$F$2:$F$3001,0))),""))</f>
        <v/>
      </c>
      <c r="M1151" s="27" t="str">
        <f aca="false">IF(OR(G1151="",G1151="?"),"",IFERROR(INDEX(Pubs!$D$2:$D$3001,MATCH(G1151,Pubs!$A$2:$A$3001,0))&amp;"",""))</f>
        <v/>
      </c>
      <c r="N1151" s="27" t="n">
        <f aca="false">N(N1150)+IF(AND(A1151&lt;&gt;"",OR(Recherche!$C$4="",A1151=Recherche!$C$4),OR(Recherche!$C$5="",B1151&amp;""=Recherche!$C$5&amp;""),OR(Recherche!$C$6="",IFERROR(YEAR(L1151),0)=Recherche!$C$6),OR(Recherche!$C$7="",ISNUMBER(SEARCH(Recherche!$C$7,H1151))),OR(Recherche!$C$8="",J1151=Recherche!$C$8),OR(Recherche!$C$9="",I1151=Recherche!$C$9),OR(Recherche!$C$10="",G1151&amp;""=Recherche!$C$10&amp;""),OR(Recherche!$C$11="",E1151=Recherche!$C$11),OR(Recherche!$C$12="",ISNUMBER(SEARCH(Recherche!$C$12,M1151&amp;" "&amp;F1151)))),1,0)</f>
        <v>8</v>
      </c>
    </row>
    <row r="1152" customFormat="false" ht="15" hidden="false" customHeight="false" outlineLevel="0" collapsed="false">
      <c r="A1152" s="19"/>
      <c r="B1152" s="19"/>
      <c r="C1152" s="19"/>
      <c r="D1152" s="19"/>
      <c r="E1152" s="22"/>
      <c r="F1152" s="19"/>
      <c r="G1152" s="26" t="str">
        <f aca="false">IF(D1152="","",IFERROR(VALUE(LEFT(D1152,FIND(" |",D1152&amp;" |")-1)),"?"))</f>
        <v/>
      </c>
      <c r="H1152" s="27" t="str">
        <f aca="false">IF(G1152="","",IF(G1152="?","⚠ pub inconnue",IFERROR(INDEX(Pubs!$B$2:$B$3001,MATCH(G1152,Pubs!$A$2:$A$3001,0))&amp;"","⚠ pub inconnue")))</f>
        <v/>
      </c>
      <c r="I1152" s="27" t="str">
        <f aca="false">IF(OR(G1152="",G1152="?"),"",IFERROR(INDEX(Pubs!$C$2:$C$3001,MATCH(G1152,Pubs!$A$2:$A$3001,0))&amp;"",""))</f>
        <v/>
      </c>
      <c r="J1152" s="27" t="str">
        <f aca="false">IF(OR(G1152="",G1152="?"),"",IFERROR(INDEX(Pubs!$G$2:$G$3001,MATCH(G1152,Pubs!$A$2:$A$3001,0))&amp;"",""))</f>
        <v/>
      </c>
      <c r="K1152" s="28" t="str">
        <f aca="false">IF(OR(G1152="",G1152="?"),"",IFERROR(INDEX(Pubs!$E$2:$E$3001,MATCH(G1152,Pubs!$A$2:$A$3001,0)),""))</f>
        <v/>
      </c>
      <c r="L1152" s="29" t="str">
        <f aca="false">IF(A1152="","",IFERROR(1/(1/INDEX(Numéros!$C$2:$C$3001,MATCH(A1152&amp;"|"&amp;B1152,Numéros!$F$2:$F$3001,0))),""))</f>
        <v/>
      </c>
      <c r="M1152" s="27" t="str">
        <f aca="false">IF(OR(G1152="",G1152="?"),"",IFERROR(INDEX(Pubs!$D$2:$D$3001,MATCH(G1152,Pubs!$A$2:$A$3001,0))&amp;"",""))</f>
        <v/>
      </c>
      <c r="N1152" s="27" t="n">
        <f aca="false">N(N1151)+IF(AND(A1152&lt;&gt;"",OR(Recherche!$C$4="",A1152=Recherche!$C$4),OR(Recherche!$C$5="",B1152&amp;""=Recherche!$C$5&amp;""),OR(Recherche!$C$6="",IFERROR(YEAR(L1152),0)=Recherche!$C$6),OR(Recherche!$C$7="",ISNUMBER(SEARCH(Recherche!$C$7,H1152))),OR(Recherche!$C$8="",J1152=Recherche!$C$8),OR(Recherche!$C$9="",I1152=Recherche!$C$9),OR(Recherche!$C$10="",G1152&amp;""=Recherche!$C$10&amp;""),OR(Recherche!$C$11="",E1152=Recherche!$C$11),OR(Recherche!$C$12="",ISNUMBER(SEARCH(Recherche!$C$12,M1152&amp;" "&amp;F1152)))),1,0)</f>
        <v>8</v>
      </c>
    </row>
    <row r="1153" customFormat="false" ht="15" hidden="false" customHeight="false" outlineLevel="0" collapsed="false">
      <c r="A1153" s="19"/>
      <c r="B1153" s="19"/>
      <c r="C1153" s="19"/>
      <c r="D1153" s="19"/>
      <c r="E1153" s="22"/>
      <c r="F1153" s="19"/>
      <c r="G1153" s="26" t="str">
        <f aca="false">IF(D1153="","",IFERROR(VALUE(LEFT(D1153,FIND(" |",D1153&amp;" |")-1)),"?"))</f>
        <v/>
      </c>
      <c r="H1153" s="27" t="str">
        <f aca="false">IF(G1153="","",IF(G1153="?","⚠ pub inconnue",IFERROR(INDEX(Pubs!$B$2:$B$3001,MATCH(G1153,Pubs!$A$2:$A$3001,0))&amp;"","⚠ pub inconnue")))</f>
        <v/>
      </c>
      <c r="I1153" s="27" t="str">
        <f aca="false">IF(OR(G1153="",G1153="?"),"",IFERROR(INDEX(Pubs!$C$2:$C$3001,MATCH(G1153,Pubs!$A$2:$A$3001,0))&amp;"",""))</f>
        <v/>
      </c>
      <c r="J1153" s="27" t="str">
        <f aca="false">IF(OR(G1153="",G1153="?"),"",IFERROR(INDEX(Pubs!$G$2:$G$3001,MATCH(G1153,Pubs!$A$2:$A$3001,0))&amp;"",""))</f>
        <v/>
      </c>
      <c r="K1153" s="28" t="str">
        <f aca="false">IF(OR(G1153="",G1153="?"),"",IFERROR(INDEX(Pubs!$E$2:$E$3001,MATCH(G1153,Pubs!$A$2:$A$3001,0)),""))</f>
        <v/>
      </c>
      <c r="L1153" s="29" t="str">
        <f aca="false">IF(A1153="","",IFERROR(1/(1/INDEX(Numéros!$C$2:$C$3001,MATCH(A1153&amp;"|"&amp;B1153,Numéros!$F$2:$F$3001,0))),""))</f>
        <v/>
      </c>
      <c r="M1153" s="27" t="str">
        <f aca="false">IF(OR(G1153="",G1153="?"),"",IFERROR(INDEX(Pubs!$D$2:$D$3001,MATCH(G1153,Pubs!$A$2:$A$3001,0))&amp;"",""))</f>
        <v/>
      </c>
      <c r="N1153" s="27" t="n">
        <f aca="false">N(N1152)+IF(AND(A1153&lt;&gt;"",OR(Recherche!$C$4="",A1153=Recherche!$C$4),OR(Recherche!$C$5="",B1153&amp;""=Recherche!$C$5&amp;""),OR(Recherche!$C$6="",IFERROR(YEAR(L1153),0)=Recherche!$C$6),OR(Recherche!$C$7="",ISNUMBER(SEARCH(Recherche!$C$7,H1153))),OR(Recherche!$C$8="",J1153=Recherche!$C$8),OR(Recherche!$C$9="",I1153=Recherche!$C$9),OR(Recherche!$C$10="",G1153&amp;""=Recherche!$C$10&amp;""),OR(Recherche!$C$11="",E1153=Recherche!$C$11),OR(Recherche!$C$12="",ISNUMBER(SEARCH(Recherche!$C$12,M1153&amp;" "&amp;F1153)))),1,0)</f>
        <v>8</v>
      </c>
    </row>
    <row r="1154" customFormat="false" ht="15" hidden="false" customHeight="false" outlineLevel="0" collapsed="false">
      <c r="A1154" s="19"/>
      <c r="B1154" s="19"/>
      <c r="C1154" s="19"/>
      <c r="D1154" s="19"/>
      <c r="E1154" s="22"/>
      <c r="F1154" s="19"/>
      <c r="G1154" s="26" t="str">
        <f aca="false">IF(D1154="","",IFERROR(VALUE(LEFT(D1154,FIND(" |",D1154&amp;" |")-1)),"?"))</f>
        <v/>
      </c>
      <c r="H1154" s="27" t="str">
        <f aca="false">IF(G1154="","",IF(G1154="?","⚠ pub inconnue",IFERROR(INDEX(Pubs!$B$2:$B$3001,MATCH(G1154,Pubs!$A$2:$A$3001,0))&amp;"","⚠ pub inconnue")))</f>
        <v/>
      </c>
      <c r="I1154" s="27" t="str">
        <f aca="false">IF(OR(G1154="",G1154="?"),"",IFERROR(INDEX(Pubs!$C$2:$C$3001,MATCH(G1154,Pubs!$A$2:$A$3001,0))&amp;"",""))</f>
        <v/>
      </c>
      <c r="J1154" s="27" t="str">
        <f aca="false">IF(OR(G1154="",G1154="?"),"",IFERROR(INDEX(Pubs!$G$2:$G$3001,MATCH(G1154,Pubs!$A$2:$A$3001,0))&amp;"",""))</f>
        <v/>
      </c>
      <c r="K1154" s="28" t="str">
        <f aca="false">IF(OR(G1154="",G1154="?"),"",IFERROR(INDEX(Pubs!$E$2:$E$3001,MATCH(G1154,Pubs!$A$2:$A$3001,0)),""))</f>
        <v/>
      </c>
      <c r="L1154" s="29" t="str">
        <f aca="false">IF(A1154="","",IFERROR(1/(1/INDEX(Numéros!$C$2:$C$3001,MATCH(A1154&amp;"|"&amp;B1154,Numéros!$F$2:$F$3001,0))),""))</f>
        <v/>
      </c>
      <c r="M1154" s="27" t="str">
        <f aca="false">IF(OR(G1154="",G1154="?"),"",IFERROR(INDEX(Pubs!$D$2:$D$3001,MATCH(G1154,Pubs!$A$2:$A$3001,0))&amp;"",""))</f>
        <v/>
      </c>
      <c r="N1154" s="27" t="n">
        <f aca="false">N(N1153)+IF(AND(A1154&lt;&gt;"",OR(Recherche!$C$4="",A1154=Recherche!$C$4),OR(Recherche!$C$5="",B1154&amp;""=Recherche!$C$5&amp;""),OR(Recherche!$C$6="",IFERROR(YEAR(L1154),0)=Recherche!$C$6),OR(Recherche!$C$7="",ISNUMBER(SEARCH(Recherche!$C$7,H1154))),OR(Recherche!$C$8="",J1154=Recherche!$C$8),OR(Recherche!$C$9="",I1154=Recherche!$C$9),OR(Recherche!$C$10="",G1154&amp;""=Recherche!$C$10&amp;""),OR(Recherche!$C$11="",E1154=Recherche!$C$11),OR(Recherche!$C$12="",ISNUMBER(SEARCH(Recherche!$C$12,M1154&amp;" "&amp;F1154)))),1,0)</f>
        <v>8</v>
      </c>
    </row>
    <row r="1155" customFormat="false" ht="15" hidden="false" customHeight="false" outlineLevel="0" collapsed="false">
      <c r="A1155" s="19"/>
      <c r="B1155" s="19"/>
      <c r="C1155" s="19"/>
      <c r="D1155" s="19"/>
      <c r="E1155" s="22"/>
      <c r="F1155" s="19"/>
      <c r="G1155" s="26" t="str">
        <f aca="false">IF(D1155="","",IFERROR(VALUE(LEFT(D1155,FIND(" |",D1155&amp;" |")-1)),"?"))</f>
        <v/>
      </c>
      <c r="H1155" s="27" t="str">
        <f aca="false">IF(G1155="","",IF(G1155="?","⚠ pub inconnue",IFERROR(INDEX(Pubs!$B$2:$B$3001,MATCH(G1155,Pubs!$A$2:$A$3001,0))&amp;"","⚠ pub inconnue")))</f>
        <v/>
      </c>
      <c r="I1155" s="27" t="str">
        <f aca="false">IF(OR(G1155="",G1155="?"),"",IFERROR(INDEX(Pubs!$C$2:$C$3001,MATCH(G1155,Pubs!$A$2:$A$3001,0))&amp;"",""))</f>
        <v/>
      </c>
      <c r="J1155" s="27" t="str">
        <f aca="false">IF(OR(G1155="",G1155="?"),"",IFERROR(INDEX(Pubs!$G$2:$G$3001,MATCH(G1155,Pubs!$A$2:$A$3001,0))&amp;"",""))</f>
        <v/>
      </c>
      <c r="K1155" s="28" t="str">
        <f aca="false">IF(OR(G1155="",G1155="?"),"",IFERROR(INDEX(Pubs!$E$2:$E$3001,MATCH(G1155,Pubs!$A$2:$A$3001,0)),""))</f>
        <v/>
      </c>
      <c r="L1155" s="29" t="str">
        <f aca="false">IF(A1155="","",IFERROR(1/(1/INDEX(Numéros!$C$2:$C$3001,MATCH(A1155&amp;"|"&amp;B1155,Numéros!$F$2:$F$3001,0))),""))</f>
        <v/>
      </c>
      <c r="M1155" s="27" t="str">
        <f aca="false">IF(OR(G1155="",G1155="?"),"",IFERROR(INDEX(Pubs!$D$2:$D$3001,MATCH(G1155,Pubs!$A$2:$A$3001,0))&amp;"",""))</f>
        <v/>
      </c>
      <c r="N1155" s="27" t="n">
        <f aca="false">N(N1154)+IF(AND(A1155&lt;&gt;"",OR(Recherche!$C$4="",A1155=Recherche!$C$4),OR(Recherche!$C$5="",B1155&amp;""=Recherche!$C$5&amp;""),OR(Recherche!$C$6="",IFERROR(YEAR(L1155),0)=Recherche!$C$6),OR(Recherche!$C$7="",ISNUMBER(SEARCH(Recherche!$C$7,H1155))),OR(Recherche!$C$8="",J1155=Recherche!$C$8),OR(Recherche!$C$9="",I1155=Recherche!$C$9),OR(Recherche!$C$10="",G1155&amp;""=Recherche!$C$10&amp;""),OR(Recherche!$C$11="",E1155=Recherche!$C$11),OR(Recherche!$C$12="",ISNUMBER(SEARCH(Recherche!$C$12,M1155&amp;" "&amp;F1155)))),1,0)</f>
        <v>8</v>
      </c>
    </row>
    <row r="1156" customFormat="false" ht="15" hidden="false" customHeight="false" outlineLevel="0" collapsed="false">
      <c r="A1156" s="19"/>
      <c r="B1156" s="19"/>
      <c r="C1156" s="19"/>
      <c r="D1156" s="19"/>
      <c r="E1156" s="22"/>
      <c r="F1156" s="19"/>
      <c r="G1156" s="26" t="str">
        <f aca="false">IF(D1156="","",IFERROR(VALUE(LEFT(D1156,FIND(" |",D1156&amp;" |")-1)),"?"))</f>
        <v/>
      </c>
      <c r="H1156" s="27" t="str">
        <f aca="false">IF(G1156="","",IF(G1156="?","⚠ pub inconnue",IFERROR(INDEX(Pubs!$B$2:$B$3001,MATCH(G1156,Pubs!$A$2:$A$3001,0))&amp;"","⚠ pub inconnue")))</f>
        <v/>
      </c>
      <c r="I1156" s="27" t="str">
        <f aca="false">IF(OR(G1156="",G1156="?"),"",IFERROR(INDEX(Pubs!$C$2:$C$3001,MATCH(G1156,Pubs!$A$2:$A$3001,0))&amp;"",""))</f>
        <v/>
      </c>
      <c r="J1156" s="27" t="str">
        <f aca="false">IF(OR(G1156="",G1156="?"),"",IFERROR(INDEX(Pubs!$G$2:$G$3001,MATCH(G1156,Pubs!$A$2:$A$3001,0))&amp;"",""))</f>
        <v/>
      </c>
      <c r="K1156" s="28" t="str">
        <f aca="false">IF(OR(G1156="",G1156="?"),"",IFERROR(INDEX(Pubs!$E$2:$E$3001,MATCH(G1156,Pubs!$A$2:$A$3001,0)),""))</f>
        <v/>
      </c>
      <c r="L1156" s="29" t="str">
        <f aca="false">IF(A1156="","",IFERROR(1/(1/INDEX(Numéros!$C$2:$C$3001,MATCH(A1156&amp;"|"&amp;B1156,Numéros!$F$2:$F$3001,0))),""))</f>
        <v/>
      </c>
      <c r="M1156" s="27" t="str">
        <f aca="false">IF(OR(G1156="",G1156="?"),"",IFERROR(INDEX(Pubs!$D$2:$D$3001,MATCH(G1156,Pubs!$A$2:$A$3001,0))&amp;"",""))</f>
        <v/>
      </c>
      <c r="N1156" s="27" t="n">
        <f aca="false">N(N1155)+IF(AND(A1156&lt;&gt;"",OR(Recherche!$C$4="",A1156=Recherche!$C$4),OR(Recherche!$C$5="",B1156&amp;""=Recherche!$C$5&amp;""),OR(Recherche!$C$6="",IFERROR(YEAR(L1156),0)=Recherche!$C$6),OR(Recherche!$C$7="",ISNUMBER(SEARCH(Recherche!$C$7,H1156))),OR(Recherche!$C$8="",J1156=Recherche!$C$8),OR(Recherche!$C$9="",I1156=Recherche!$C$9),OR(Recherche!$C$10="",G1156&amp;""=Recherche!$C$10&amp;""),OR(Recherche!$C$11="",E1156=Recherche!$C$11),OR(Recherche!$C$12="",ISNUMBER(SEARCH(Recherche!$C$12,M1156&amp;" "&amp;F1156)))),1,0)</f>
        <v>8</v>
      </c>
    </row>
    <row r="1157" customFormat="false" ht="15" hidden="false" customHeight="false" outlineLevel="0" collapsed="false">
      <c r="A1157" s="19"/>
      <c r="B1157" s="19"/>
      <c r="C1157" s="19"/>
      <c r="D1157" s="19"/>
      <c r="E1157" s="22"/>
      <c r="F1157" s="19"/>
      <c r="G1157" s="26" t="str">
        <f aca="false">IF(D1157="","",IFERROR(VALUE(LEFT(D1157,FIND(" |",D1157&amp;" |")-1)),"?"))</f>
        <v/>
      </c>
      <c r="H1157" s="27" t="str">
        <f aca="false">IF(G1157="","",IF(G1157="?","⚠ pub inconnue",IFERROR(INDEX(Pubs!$B$2:$B$3001,MATCH(G1157,Pubs!$A$2:$A$3001,0))&amp;"","⚠ pub inconnue")))</f>
        <v/>
      </c>
      <c r="I1157" s="27" t="str">
        <f aca="false">IF(OR(G1157="",G1157="?"),"",IFERROR(INDEX(Pubs!$C$2:$C$3001,MATCH(G1157,Pubs!$A$2:$A$3001,0))&amp;"",""))</f>
        <v/>
      </c>
      <c r="J1157" s="27" t="str">
        <f aca="false">IF(OR(G1157="",G1157="?"),"",IFERROR(INDEX(Pubs!$G$2:$G$3001,MATCH(G1157,Pubs!$A$2:$A$3001,0))&amp;"",""))</f>
        <v/>
      </c>
      <c r="K1157" s="28" t="str">
        <f aca="false">IF(OR(G1157="",G1157="?"),"",IFERROR(INDEX(Pubs!$E$2:$E$3001,MATCH(G1157,Pubs!$A$2:$A$3001,0)),""))</f>
        <v/>
      </c>
      <c r="L1157" s="29" t="str">
        <f aca="false">IF(A1157="","",IFERROR(1/(1/INDEX(Numéros!$C$2:$C$3001,MATCH(A1157&amp;"|"&amp;B1157,Numéros!$F$2:$F$3001,0))),""))</f>
        <v/>
      </c>
      <c r="M1157" s="27" t="str">
        <f aca="false">IF(OR(G1157="",G1157="?"),"",IFERROR(INDEX(Pubs!$D$2:$D$3001,MATCH(G1157,Pubs!$A$2:$A$3001,0))&amp;"",""))</f>
        <v/>
      </c>
      <c r="N1157" s="27" t="n">
        <f aca="false">N(N1156)+IF(AND(A1157&lt;&gt;"",OR(Recherche!$C$4="",A1157=Recherche!$C$4),OR(Recherche!$C$5="",B1157&amp;""=Recherche!$C$5&amp;""),OR(Recherche!$C$6="",IFERROR(YEAR(L1157),0)=Recherche!$C$6),OR(Recherche!$C$7="",ISNUMBER(SEARCH(Recherche!$C$7,H1157))),OR(Recherche!$C$8="",J1157=Recherche!$C$8),OR(Recherche!$C$9="",I1157=Recherche!$C$9),OR(Recherche!$C$10="",G1157&amp;""=Recherche!$C$10&amp;""),OR(Recherche!$C$11="",E1157=Recherche!$C$11),OR(Recherche!$C$12="",ISNUMBER(SEARCH(Recherche!$C$12,M1157&amp;" "&amp;F1157)))),1,0)</f>
        <v>8</v>
      </c>
    </row>
    <row r="1158" customFormat="false" ht="15" hidden="false" customHeight="false" outlineLevel="0" collapsed="false">
      <c r="A1158" s="19"/>
      <c r="B1158" s="19"/>
      <c r="C1158" s="19"/>
      <c r="D1158" s="19"/>
      <c r="E1158" s="22"/>
      <c r="F1158" s="19"/>
      <c r="G1158" s="26" t="str">
        <f aca="false">IF(D1158="","",IFERROR(VALUE(LEFT(D1158,FIND(" |",D1158&amp;" |")-1)),"?"))</f>
        <v/>
      </c>
      <c r="H1158" s="27" t="str">
        <f aca="false">IF(G1158="","",IF(G1158="?","⚠ pub inconnue",IFERROR(INDEX(Pubs!$B$2:$B$3001,MATCH(G1158,Pubs!$A$2:$A$3001,0))&amp;"","⚠ pub inconnue")))</f>
        <v/>
      </c>
      <c r="I1158" s="27" t="str">
        <f aca="false">IF(OR(G1158="",G1158="?"),"",IFERROR(INDEX(Pubs!$C$2:$C$3001,MATCH(G1158,Pubs!$A$2:$A$3001,0))&amp;"",""))</f>
        <v/>
      </c>
      <c r="J1158" s="27" t="str">
        <f aca="false">IF(OR(G1158="",G1158="?"),"",IFERROR(INDEX(Pubs!$G$2:$G$3001,MATCH(G1158,Pubs!$A$2:$A$3001,0))&amp;"",""))</f>
        <v/>
      </c>
      <c r="K1158" s="28" t="str">
        <f aca="false">IF(OR(G1158="",G1158="?"),"",IFERROR(INDEX(Pubs!$E$2:$E$3001,MATCH(G1158,Pubs!$A$2:$A$3001,0)),""))</f>
        <v/>
      </c>
      <c r="L1158" s="29" t="str">
        <f aca="false">IF(A1158="","",IFERROR(1/(1/INDEX(Numéros!$C$2:$C$3001,MATCH(A1158&amp;"|"&amp;B1158,Numéros!$F$2:$F$3001,0))),""))</f>
        <v/>
      </c>
      <c r="M1158" s="27" t="str">
        <f aca="false">IF(OR(G1158="",G1158="?"),"",IFERROR(INDEX(Pubs!$D$2:$D$3001,MATCH(G1158,Pubs!$A$2:$A$3001,0))&amp;"",""))</f>
        <v/>
      </c>
      <c r="N1158" s="27" t="n">
        <f aca="false">N(N1157)+IF(AND(A1158&lt;&gt;"",OR(Recherche!$C$4="",A1158=Recherche!$C$4),OR(Recherche!$C$5="",B1158&amp;""=Recherche!$C$5&amp;""),OR(Recherche!$C$6="",IFERROR(YEAR(L1158),0)=Recherche!$C$6),OR(Recherche!$C$7="",ISNUMBER(SEARCH(Recherche!$C$7,H1158))),OR(Recherche!$C$8="",J1158=Recherche!$C$8),OR(Recherche!$C$9="",I1158=Recherche!$C$9),OR(Recherche!$C$10="",G1158&amp;""=Recherche!$C$10&amp;""),OR(Recherche!$C$11="",E1158=Recherche!$C$11),OR(Recherche!$C$12="",ISNUMBER(SEARCH(Recherche!$C$12,M1158&amp;" "&amp;F1158)))),1,0)</f>
        <v>8</v>
      </c>
    </row>
    <row r="1159" customFormat="false" ht="15" hidden="false" customHeight="false" outlineLevel="0" collapsed="false">
      <c r="A1159" s="19"/>
      <c r="B1159" s="19"/>
      <c r="C1159" s="19"/>
      <c r="D1159" s="19"/>
      <c r="E1159" s="22"/>
      <c r="F1159" s="19"/>
      <c r="G1159" s="26" t="str">
        <f aca="false">IF(D1159="","",IFERROR(VALUE(LEFT(D1159,FIND(" |",D1159&amp;" |")-1)),"?"))</f>
        <v/>
      </c>
      <c r="H1159" s="27" t="str">
        <f aca="false">IF(G1159="","",IF(G1159="?","⚠ pub inconnue",IFERROR(INDEX(Pubs!$B$2:$B$3001,MATCH(G1159,Pubs!$A$2:$A$3001,0))&amp;"","⚠ pub inconnue")))</f>
        <v/>
      </c>
      <c r="I1159" s="27" t="str">
        <f aca="false">IF(OR(G1159="",G1159="?"),"",IFERROR(INDEX(Pubs!$C$2:$C$3001,MATCH(G1159,Pubs!$A$2:$A$3001,0))&amp;"",""))</f>
        <v/>
      </c>
      <c r="J1159" s="27" t="str">
        <f aca="false">IF(OR(G1159="",G1159="?"),"",IFERROR(INDEX(Pubs!$G$2:$G$3001,MATCH(G1159,Pubs!$A$2:$A$3001,0))&amp;"",""))</f>
        <v/>
      </c>
      <c r="K1159" s="28" t="str">
        <f aca="false">IF(OR(G1159="",G1159="?"),"",IFERROR(INDEX(Pubs!$E$2:$E$3001,MATCH(G1159,Pubs!$A$2:$A$3001,0)),""))</f>
        <v/>
      </c>
      <c r="L1159" s="29" t="str">
        <f aca="false">IF(A1159="","",IFERROR(1/(1/INDEX(Numéros!$C$2:$C$3001,MATCH(A1159&amp;"|"&amp;B1159,Numéros!$F$2:$F$3001,0))),""))</f>
        <v/>
      </c>
      <c r="M1159" s="27" t="str">
        <f aca="false">IF(OR(G1159="",G1159="?"),"",IFERROR(INDEX(Pubs!$D$2:$D$3001,MATCH(G1159,Pubs!$A$2:$A$3001,0))&amp;"",""))</f>
        <v/>
      </c>
      <c r="N1159" s="27" t="n">
        <f aca="false">N(N1158)+IF(AND(A1159&lt;&gt;"",OR(Recherche!$C$4="",A1159=Recherche!$C$4),OR(Recherche!$C$5="",B1159&amp;""=Recherche!$C$5&amp;""),OR(Recherche!$C$6="",IFERROR(YEAR(L1159),0)=Recherche!$C$6),OR(Recherche!$C$7="",ISNUMBER(SEARCH(Recherche!$C$7,H1159))),OR(Recherche!$C$8="",J1159=Recherche!$C$8),OR(Recherche!$C$9="",I1159=Recherche!$C$9),OR(Recherche!$C$10="",G1159&amp;""=Recherche!$C$10&amp;""),OR(Recherche!$C$11="",E1159=Recherche!$C$11),OR(Recherche!$C$12="",ISNUMBER(SEARCH(Recherche!$C$12,M1159&amp;" "&amp;F1159)))),1,0)</f>
        <v>8</v>
      </c>
    </row>
    <row r="1160" customFormat="false" ht="15" hidden="false" customHeight="false" outlineLevel="0" collapsed="false">
      <c r="A1160" s="19"/>
      <c r="B1160" s="19"/>
      <c r="C1160" s="19"/>
      <c r="D1160" s="19"/>
      <c r="E1160" s="22"/>
      <c r="F1160" s="19"/>
      <c r="G1160" s="26" t="str">
        <f aca="false">IF(D1160="","",IFERROR(VALUE(LEFT(D1160,FIND(" |",D1160&amp;" |")-1)),"?"))</f>
        <v/>
      </c>
      <c r="H1160" s="27" t="str">
        <f aca="false">IF(G1160="","",IF(G1160="?","⚠ pub inconnue",IFERROR(INDEX(Pubs!$B$2:$B$3001,MATCH(G1160,Pubs!$A$2:$A$3001,0))&amp;"","⚠ pub inconnue")))</f>
        <v/>
      </c>
      <c r="I1160" s="27" t="str">
        <f aca="false">IF(OR(G1160="",G1160="?"),"",IFERROR(INDEX(Pubs!$C$2:$C$3001,MATCH(G1160,Pubs!$A$2:$A$3001,0))&amp;"",""))</f>
        <v/>
      </c>
      <c r="J1160" s="27" t="str">
        <f aca="false">IF(OR(G1160="",G1160="?"),"",IFERROR(INDEX(Pubs!$G$2:$G$3001,MATCH(G1160,Pubs!$A$2:$A$3001,0))&amp;"",""))</f>
        <v/>
      </c>
      <c r="K1160" s="28" t="str">
        <f aca="false">IF(OR(G1160="",G1160="?"),"",IFERROR(INDEX(Pubs!$E$2:$E$3001,MATCH(G1160,Pubs!$A$2:$A$3001,0)),""))</f>
        <v/>
      </c>
      <c r="L1160" s="29" t="str">
        <f aca="false">IF(A1160="","",IFERROR(1/(1/INDEX(Numéros!$C$2:$C$3001,MATCH(A1160&amp;"|"&amp;B1160,Numéros!$F$2:$F$3001,0))),""))</f>
        <v/>
      </c>
      <c r="M1160" s="27" t="str">
        <f aca="false">IF(OR(G1160="",G1160="?"),"",IFERROR(INDEX(Pubs!$D$2:$D$3001,MATCH(G1160,Pubs!$A$2:$A$3001,0))&amp;"",""))</f>
        <v/>
      </c>
      <c r="N1160" s="27" t="n">
        <f aca="false">N(N1159)+IF(AND(A1160&lt;&gt;"",OR(Recherche!$C$4="",A1160=Recherche!$C$4),OR(Recherche!$C$5="",B1160&amp;""=Recherche!$C$5&amp;""),OR(Recherche!$C$6="",IFERROR(YEAR(L1160),0)=Recherche!$C$6),OR(Recherche!$C$7="",ISNUMBER(SEARCH(Recherche!$C$7,H1160))),OR(Recherche!$C$8="",J1160=Recherche!$C$8),OR(Recherche!$C$9="",I1160=Recherche!$C$9),OR(Recherche!$C$10="",G1160&amp;""=Recherche!$C$10&amp;""),OR(Recherche!$C$11="",E1160=Recherche!$C$11),OR(Recherche!$C$12="",ISNUMBER(SEARCH(Recherche!$C$12,M1160&amp;" "&amp;F1160)))),1,0)</f>
        <v>8</v>
      </c>
    </row>
    <row r="1161" customFormat="false" ht="15" hidden="false" customHeight="false" outlineLevel="0" collapsed="false">
      <c r="A1161" s="19"/>
      <c r="B1161" s="19"/>
      <c r="C1161" s="19"/>
      <c r="D1161" s="19"/>
      <c r="E1161" s="22"/>
      <c r="F1161" s="19"/>
      <c r="G1161" s="26" t="str">
        <f aca="false">IF(D1161="","",IFERROR(VALUE(LEFT(D1161,FIND(" |",D1161&amp;" |")-1)),"?"))</f>
        <v/>
      </c>
      <c r="H1161" s="27" t="str">
        <f aca="false">IF(G1161="","",IF(G1161="?","⚠ pub inconnue",IFERROR(INDEX(Pubs!$B$2:$B$3001,MATCH(G1161,Pubs!$A$2:$A$3001,0))&amp;"","⚠ pub inconnue")))</f>
        <v/>
      </c>
      <c r="I1161" s="27" t="str">
        <f aca="false">IF(OR(G1161="",G1161="?"),"",IFERROR(INDEX(Pubs!$C$2:$C$3001,MATCH(G1161,Pubs!$A$2:$A$3001,0))&amp;"",""))</f>
        <v/>
      </c>
      <c r="J1161" s="27" t="str">
        <f aca="false">IF(OR(G1161="",G1161="?"),"",IFERROR(INDEX(Pubs!$G$2:$G$3001,MATCH(G1161,Pubs!$A$2:$A$3001,0))&amp;"",""))</f>
        <v/>
      </c>
      <c r="K1161" s="28" t="str">
        <f aca="false">IF(OR(G1161="",G1161="?"),"",IFERROR(INDEX(Pubs!$E$2:$E$3001,MATCH(G1161,Pubs!$A$2:$A$3001,0)),""))</f>
        <v/>
      </c>
      <c r="L1161" s="29" t="str">
        <f aca="false">IF(A1161="","",IFERROR(1/(1/INDEX(Numéros!$C$2:$C$3001,MATCH(A1161&amp;"|"&amp;B1161,Numéros!$F$2:$F$3001,0))),""))</f>
        <v/>
      </c>
      <c r="M1161" s="27" t="str">
        <f aca="false">IF(OR(G1161="",G1161="?"),"",IFERROR(INDEX(Pubs!$D$2:$D$3001,MATCH(G1161,Pubs!$A$2:$A$3001,0))&amp;"",""))</f>
        <v/>
      </c>
      <c r="N1161" s="27" t="n">
        <f aca="false">N(N1160)+IF(AND(A1161&lt;&gt;"",OR(Recherche!$C$4="",A1161=Recherche!$C$4),OR(Recherche!$C$5="",B1161&amp;""=Recherche!$C$5&amp;""),OR(Recherche!$C$6="",IFERROR(YEAR(L1161),0)=Recherche!$C$6),OR(Recherche!$C$7="",ISNUMBER(SEARCH(Recherche!$C$7,H1161))),OR(Recherche!$C$8="",J1161=Recherche!$C$8),OR(Recherche!$C$9="",I1161=Recherche!$C$9),OR(Recherche!$C$10="",G1161&amp;""=Recherche!$C$10&amp;""),OR(Recherche!$C$11="",E1161=Recherche!$C$11),OR(Recherche!$C$12="",ISNUMBER(SEARCH(Recherche!$C$12,M1161&amp;" "&amp;F1161)))),1,0)</f>
        <v>8</v>
      </c>
    </row>
    <row r="1162" customFormat="false" ht="15" hidden="false" customHeight="false" outlineLevel="0" collapsed="false">
      <c r="A1162" s="19"/>
      <c r="B1162" s="19"/>
      <c r="C1162" s="19"/>
      <c r="D1162" s="19"/>
      <c r="E1162" s="22"/>
      <c r="F1162" s="19"/>
      <c r="G1162" s="26" t="str">
        <f aca="false">IF(D1162="","",IFERROR(VALUE(LEFT(D1162,FIND(" |",D1162&amp;" |")-1)),"?"))</f>
        <v/>
      </c>
      <c r="H1162" s="27" t="str">
        <f aca="false">IF(G1162="","",IF(G1162="?","⚠ pub inconnue",IFERROR(INDEX(Pubs!$B$2:$B$3001,MATCH(G1162,Pubs!$A$2:$A$3001,0))&amp;"","⚠ pub inconnue")))</f>
        <v/>
      </c>
      <c r="I1162" s="27" t="str">
        <f aca="false">IF(OR(G1162="",G1162="?"),"",IFERROR(INDEX(Pubs!$C$2:$C$3001,MATCH(G1162,Pubs!$A$2:$A$3001,0))&amp;"",""))</f>
        <v/>
      </c>
      <c r="J1162" s="27" t="str">
        <f aca="false">IF(OR(G1162="",G1162="?"),"",IFERROR(INDEX(Pubs!$G$2:$G$3001,MATCH(G1162,Pubs!$A$2:$A$3001,0))&amp;"",""))</f>
        <v/>
      </c>
      <c r="K1162" s="28" t="str">
        <f aca="false">IF(OR(G1162="",G1162="?"),"",IFERROR(INDEX(Pubs!$E$2:$E$3001,MATCH(G1162,Pubs!$A$2:$A$3001,0)),""))</f>
        <v/>
      </c>
      <c r="L1162" s="29" t="str">
        <f aca="false">IF(A1162="","",IFERROR(1/(1/INDEX(Numéros!$C$2:$C$3001,MATCH(A1162&amp;"|"&amp;B1162,Numéros!$F$2:$F$3001,0))),""))</f>
        <v/>
      </c>
      <c r="M1162" s="27" t="str">
        <f aca="false">IF(OR(G1162="",G1162="?"),"",IFERROR(INDEX(Pubs!$D$2:$D$3001,MATCH(G1162,Pubs!$A$2:$A$3001,0))&amp;"",""))</f>
        <v/>
      </c>
      <c r="N1162" s="27" t="n">
        <f aca="false">N(N1161)+IF(AND(A1162&lt;&gt;"",OR(Recherche!$C$4="",A1162=Recherche!$C$4),OR(Recherche!$C$5="",B1162&amp;""=Recherche!$C$5&amp;""),OR(Recherche!$C$6="",IFERROR(YEAR(L1162),0)=Recherche!$C$6),OR(Recherche!$C$7="",ISNUMBER(SEARCH(Recherche!$C$7,H1162))),OR(Recherche!$C$8="",J1162=Recherche!$C$8),OR(Recherche!$C$9="",I1162=Recherche!$C$9),OR(Recherche!$C$10="",G1162&amp;""=Recherche!$C$10&amp;""),OR(Recherche!$C$11="",E1162=Recherche!$C$11),OR(Recherche!$C$12="",ISNUMBER(SEARCH(Recherche!$C$12,M1162&amp;" "&amp;F1162)))),1,0)</f>
        <v>8</v>
      </c>
    </row>
    <row r="1163" customFormat="false" ht="15" hidden="false" customHeight="false" outlineLevel="0" collapsed="false">
      <c r="A1163" s="19"/>
      <c r="B1163" s="19"/>
      <c r="C1163" s="19"/>
      <c r="D1163" s="19"/>
      <c r="E1163" s="22"/>
      <c r="F1163" s="19"/>
      <c r="G1163" s="26" t="str">
        <f aca="false">IF(D1163="","",IFERROR(VALUE(LEFT(D1163,FIND(" |",D1163&amp;" |")-1)),"?"))</f>
        <v/>
      </c>
      <c r="H1163" s="27" t="str">
        <f aca="false">IF(G1163="","",IF(G1163="?","⚠ pub inconnue",IFERROR(INDEX(Pubs!$B$2:$B$3001,MATCH(G1163,Pubs!$A$2:$A$3001,0))&amp;"","⚠ pub inconnue")))</f>
        <v/>
      </c>
      <c r="I1163" s="27" t="str">
        <f aca="false">IF(OR(G1163="",G1163="?"),"",IFERROR(INDEX(Pubs!$C$2:$C$3001,MATCH(G1163,Pubs!$A$2:$A$3001,0))&amp;"",""))</f>
        <v/>
      </c>
      <c r="J1163" s="27" t="str">
        <f aca="false">IF(OR(G1163="",G1163="?"),"",IFERROR(INDEX(Pubs!$G$2:$G$3001,MATCH(G1163,Pubs!$A$2:$A$3001,0))&amp;"",""))</f>
        <v/>
      </c>
      <c r="K1163" s="28" t="str">
        <f aca="false">IF(OR(G1163="",G1163="?"),"",IFERROR(INDEX(Pubs!$E$2:$E$3001,MATCH(G1163,Pubs!$A$2:$A$3001,0)),""))</f>
        <v/>
      </c>
      <c r="L1163" s="29" t="str">
        <f aca="false">IF(A1163="","",IFERROR(1/(1/INDEX(Numéros!$C$2:$C$3001,MATCH(A1163&amp;"|"&amp;B1163,Numéros!$F$2:$F$3001,0))),""))</f>
        <v/>
      </c>
      <c r="M1163" s="27" t="str">
        <f aca="false">IF(OR(G1163="",G1163="?"),"",IFERROR(INDEX(Pubs!$D$2:$D$3001,MATCH(G1163,Pubs!$A$2:$A$3001,0))&amp;"",""))</f>
        <v/>
      </c>
      <c r="N1163" s="27" t="n">
        <f aca="false">N(N1162)+IF(AND(A1163&lt;&gt;"",OR(Recherche!$C$4="",A1163=Recherche!$C$4),OR(Recherche!$C$5="",B1163&amp;""=Recherche!$C$5&amp;""),OR(Recherche!$C$6="",IFERROR(YEAR(L1163),0)=Recherche!$C$6),OR(Recherche!$C$7="",ISNUMBER(SEARCH(Recherche!$C$7,H1163))),OR(Recherche!$C$8="",J1163=Recherche!$C$8),OR(Recherche!$C$9="",I1163=Recherche!$C$9),OR(Recherche!$C$10="",G1163&amp;""=Recherche!$C$10&amp;""),OR(Recherche!$C$11="",E1163=Recherche!$C$11),OR(Recherche!$C$12="",ISNUMBER(SEARCH(Recherche!$C$12,M1163&amp;" "&amp;F1163)))),1,0)</f>
        <v>8</v>
      </c>
    </row>
    <row r="1164" customFormat="false" ht="15" hidden="false" customHeight="false" outlineLevel="0" collapsed="false">
      <c r="A1164" s="19"/>
      <c r="B1164" s="19"/>
      <c r="C1164" s="19"/>
      <c r="D1164" s="19"/>
      <c r="E1164" s="22"/>
      <c r="F1164" s="19"/>
      <c r="G1164" s="26" t="str">
        <f aca="false">IF(D1164="","",IFERROR(VALUE(LEFT(D1164,FIND(" |",D1164&amp;" |")-1)),"?"))</f>
        <v/>
      </c>
      <c r="H1164" s="27" t="str">
        <f aca="false">IF(G1164="","",IF(G1164="?","⚠ pub inconnue",IFERROR(INDEX(Pubs!$B$2:$B$3001,MATCH(G1164,Pubs!$A$2:$A$3001,0))&amp;"","⚠ pub inconnue")))</f>
        <v/>
      </c>
      <c r="I1164" s="27" t="str">
        <f aca="false">IF(OR(G1164="",G1164="?"),"",IFERROR(INDEX(Pubs!$C$2:$C$3001,MATCH(G1164,Pubs!$A$2:$A$3001,0))&amp;"",""))</f>
        <v/>
      </c>
      <c r="J1164" s="27" t="str">
        <f aca="false">IF(OR(G1164="",G1164="?"),"",IFERROR(INDEX(Pubs!$G$2:$G$3001,MATCH(G1164,Pubs!$A$2:$A$3001,0))&amp;"",""))</f>
        <v/>
      </c>
      <c r="K1164" s="28" t="str">
        <f aca="false">IF(OR(G1164="",G1164="?"),"",IFERROR(INDEX(Pubs!$E$2:$E$3001,MATCH(G1164,Pubs!$A$2:$A$3001,0)),""))</f>
        <v/>
      </c>
      <c r="L1164" s="29" t="str">
        <f aca="false">IF(A1164="","",IFERROR(1/(1/INDEX(Numéros!$C$2:$C$3001,MATCH(A1164&amp;"|"&amp;B1164,Numéros!$F$2:$F$3001,0))),""))</f>
        <v/>
      </c>
      <c r="M1164" s="27" t="str">
        <f aca="false">IF(OR(G1164="",G1164="?"),"",IFERROR(INDEX(Pubs!$D$2:$D$3001,MATCH(G1164,Pubs!$A$2:$A$3001,0))&amp;"",""))</f>
        <v/>
      </c>
      <c r="N1164" s="27" t="n">
        <f aca="false">N(N1163)+IF(AND(A1164&lt;&gt;"",OR(Recherche!$C$4="",A1164=Recherche!$C$4),OR(Recherche!$C$5="",B1164&amp;""=Recherche!$C$5&amp;""),OR(Recherche!$C$6="",IFERROR(YEAR(L1164),0)=Recherche!$C$6),OR(Recherche!$C$7="",ISNUMBER(SEARCH(Recherche!$C$7,H1164))),OR(Recherche!$C$8="",J1164=Recherche!$C$8),OR(Recherche!$C$9="",I1164=Recherche!$C$9),OR(Recherche!$C$10="",G1164&amp;""=Recherche!$C$10&amp;""),OR(Recherche!$C$11="",E1164=Recherche!$C$11),OR(Recherche!$C$12="",ISNUMBER(SEARCH(Recherche!$C$12,M1164&amp;" "&amp;F1164)))),1,0)</f>
        <v>8</v>
      </c>
    </row>
    <row r="1165" customFormat="false" ht="15" hidden="false" customHeight="false" outlineLevel="0" collapsed="false">
      <c r="A1165" s="19"/>
      <c r="B1165" s="19"/>
      <c r="C1165" s="19"/>
      <c r="D1165" s="19"/>
      <c r="E1165" s="22"/>
      <c r="F1165" s="19"/>
      <c r="G1165" s="26" t="str">
        <f aca="false">IF(D1165="","",IFERROR(VALUE(LEFT(D1165,FIND(" |",D1165&amp;" |")-1)),"?"))</f>
        <v/>
      </c>
      <c r="H1165" s="27" t="str">
        <f aca="false">IF(G1165="","",IF(G1165="?","⚠ pub inconnue",IFERROR(INDEX(Pubs!$B$2:$B$3001,MATCH(G1165,Pubs!$A$2:$A$3001,0))&amp;"","⚠ pub inconnue")))</f>
        <v/>
      </c>
      <c r="I1165" s="27" t="str">
        <f aca="false">IF(OR(G1165="",G1165="?"),"",IFERROR(INDEX(Pubs!$C$2:$C$3001,MATCH(G1165,Pubs!$A$2:$A$3001,0))&amp;"",""))</f>
        <v/>
      </c>
      <c r="J1165" s="27" t="str">
        <f aca="false">IF(OR(G1165="",G1165="?"),"",IFERROR(INDEX(Pubs!$G$2:$G$3001,MATCH(G1165,Pubs!$A$2:$A$3001,0))&amp;"",""))</f>
        <v/>
      </c>
      <c r="K1165" s="28" t="str">
        <f aca="false">IF(OR(G1165="",G1165="?"),"",IFERROR(INDEX(Pubs!$E$2:$E$3001,MATCH(G1165,Pubs!$A$2:$A$3001,0)),""))</f>
        <v/>
      </c>
      <c r="L1165" s="29" t="str">
        <f aca="false">IF(A1165="","",IFERROR(1/(1/INDEX(Numéros!$C$2:$C$3001,MATCH(A1165&amp;"|"&amp;B1165,Numéros!$F$2:$F$3001,0))),""))</f>
        <v/>
      </c>
      <c r="M1165" s="27" t="str">
        <f aca="false">IF(OR(G1165="",G1165="?"),"",IFERROR(INDEX(Pubs!$D$2:$D$3001,MATCH(G1165,Pubs!$A$2:$A$3001,0))&amp;"",""))</f>
        <v/>
      </c>
      <c r="N1165" s="27" t="n">
        <f aca="false">N(N1164)+IF(AND(A1165&lt;&gt;"",OR(Recherche!$C$4="",A1165=Recherche!$C$4),OR(Recherche!$C$5="",B1165&amp;""=Recherche!$C$5&amp;""),OR(Recherche!$C$6="",IFERROR(YEAR(L1165),0)=Recherche!$C$6),OR(Recherche!$C$7="",ISNUMBER(SEARCH(Recherche!$C$7,H1165))),OR(Recherche!$C$8="",J1165=Recherche!$C$8),OR(Recherche!$C$9="",I1165=Recherche!$C$9),OR(Recherche!$C$10="",G1165&amp;""=Recherche!$C$10&amp;""),OR(Recherche!$C$11="",E1165=Recherche!$C$11),OR(Recherche!$C$12="",ISNUMBER(SEARCH(Recherche!$C$12,M1165&amp;" "&amp;F1165)))),1,0)</f>
        <v>8</v>
      </c>
    </row>
    <row r="1166" customFormat="false" ht="15" hidden="false" customHeight="false" outlineLevel="0" collapsed="false">
      <c r="A1166" s="19"/>
      <c r="B1166" s="19"/>
      <c r="C1166" s="19"/>
      <c r="D1166" s="19"/>
      <c r="E1166" s="22"/>
      <c r="F1166" s="19"/>
      <c r="G1166" s="26" t="str">
        <f aca="false">IF(D1166="","",IFERROR(VALUE(LEFT(D1166,FIND(" |",D1166&amp;" |")-1)),"?"))</f>
        <v/>
      </c>
      <c r="H1166" s="27" t="str">
        <f aca="false">IF(G1166="","",IF(G1166="?","⚠ pub inconnue",IFERROR(INDEX(Pubs!$B$2:$B$3001,MATCH(G1166,Pubs!$A$2:$A$3001,0))&amp;"","⚠ pub inconnue")))</f>
        <v/>
      </c>
      <c r="I1166" s="27" t="str">
        <f aca="false">IF(OR(G1166="",G1166="?"),"",IFERROR(INDEX(Pubs!$C$2:$C$3001,MATCH(G1166,Pubs!$A$2:$A$3001,0))&amp;"",""))</f>
        <v/>
      </c>
      <c r="J1166" s="27" t="str">
        <f aca="false">IF(OR(G1166="",G1166="?"),"",IFERROR(INDEX(Pubs!$G$2:$G$3001,MATCH(G1166,Pubs!$A$2:$A$3001,0))&amp;"",""))</f>
        <v/>
      </c>
      <c r="K1166" s="28" t="str">
        <f aca="false">IF(OR(G1166="",G1166="?"),"",IFERROR(INDEX(Pubs!$E$2:$E$3001,MATCH(G1166,Pubs!$A$2:$A$3001,0)),""))</f>
        <v/>
      </c>
      <c r="L1166" s="29" t="str">
        <f aca="false">IF(A1166="","",IFERROR(1/(1/INDEX(Numéros!$C$2:$C$3001,MATCH(A1166&amp;"|"&amp;B1166,Numéros!$F$2:$F$3001,0))),""))</f>
        <v/>
      </c>
      <c r="M1166" s="27" t="str">
        <f aca="false">IF(OR(G1166="",G1166="?"),"",IFERROR(INDEX(Pubs!$D$2:$D$3001,MATCH(G1166,Pubs!$A$2:$A$3001,0))&amp;"",""))</f>
        <v/>
      </c>
      <c r="N1166" s="27" t="n">
        <f aca="false">N(N1165)+IF(AND(A1166&lt;&gt;"",OR(Recherche!$C$4="",A1166=Recherche!$C$4),OR(Recherche!$C$5="",B1166&amp;""=Recherche!$C$5&amp;""),OR(Recherche!$C$6="",IFERROR(YEAR(L1166),0)=Recherche!$C$6),OR(Recherche!$C$7="",ISNUMBER(SEARCH(Recherche!$C$7,H1166))),OR(Recherche!$C$8="",J1166=Recherche!$C$8),OR(Recherche!$C$9="",I1166=Recherche!$C$9),OR(Recherche!$C$10="",G1166&amp;""=Recherche!$C$10&amp;""),OR(Recherche!$C$11="",E1166=Recherche!$C$11),OR(Recherche!$C$12="",ISNUMBER(SEARCH(Recherche!$C$12,M1166&amp;" "&amp;F1166)))),1,0)</f>
        <v>8</v>
      </c>
    </row>
    <row r="1167" customFormat="false" ht="15" hidden="false" customHeight="false" outlineLevel="0" collapsed="false">
      <c r="A1167" s="19"/>
      <c r="B1167" s="19"/>
      <c r="C1167" s="19"/>
      <c r="D1167" s="19"/>
      <c r="E1167" s="22"/>
      <c r="F1167" s="19"/>
      <c r="G1167" s="26" t="str">
        <f aca="false">IF(D1167="","",IFERROR(VALUE(LEFT(D1167,FIND(" |",D1167&amp;" |")-1)),"?"))</f>
        <v/>
      </c>
      <c r="H1167" s="27" t="str">
        <f aca="false">IF(G1167="","",IF(G1167="?","⚠ pub inconnue",IFERROR(INDEX(Pubs!$B$2:$B$3001,MATCH(G1167,Pubs!$A$2:$A$3001,0))&amp;"","⚠ pub inconnue")))</f>
        <v/>
      </c>
      <c r="I1167" s="27" t="str">
        <f aca="false">IF(OR(G1167="",G1167="?"),"",IFERROR(INDEX(Pubs!$C$2:$C$3001,MATCH(G1167,Pubs!$A$2:$A$3001,0))&amp;"",""))</f>
        <v/>
      </c>
      <c r="J1167" s="27" t="str">
        <f aca="false">IF(OR(G1167="",G1167="?"),"",IFERROR(INDEX(Pubs!$G$2:$G$3001,MATCH(G1167,Pubs!$A$2:$A$3001,0))&amp;"",""))</f>
        <v/>
      </c>
      <c r="K1167" s="28" t="str">
        <f aca="false">IF(OR(G1167="",G1167="?"),"",IFERROR(INDEX(Pubs!$E$2:$E$3001,MATCH(G1167,Pubs!$A$2:$A$3001,0)),""))</f>
        <v/>
      </c>
      <c r="L1167" s="29" t="str">
        <f aca="false">IF(A1167="","",IFERROR(1/(1/INDEX(Numéros!$C$2:$C$3001,MATCH(A1167&amp;"|"&amp;B1167,Numéros!$F$2:$F$3001,0))),""))</f>
        <v/>
      </c>
      <c r="M1167" s="27" t="str">
        <f aca="false">IF(OR(G1167="",G1167="?"),"",IFERROR(INDEX(Pubs!$D$2:$D$3001,MATCH(G1167,Pubs!$A$2:$A$3001,0))&amp;"",""))</f>
        <v/>
      </c>
      <c r="N1167" s="27" t="n">
        <f aca="false">N(N1166)+IF(AND(A1167&lt;&gt;"",OR(Recherche!$C$4="",A1167=Recherche!$C$4),OR(Recherche!$C$5="",B1167&amp;""=Recherche!$C$5&amp;""),OR(Recherche!$C$6="",IFERROR(YEAR(L1167),0)=Recherche!$C$6),OR(Recherche!$C$7="",ISNUMBER(SEARCH(Recherche!$C$7,H1167))),OR(Recherche!$C$8="",J1167=Recherche!$C$8),OR(Recherche!$C$9="",I1167=Recherche!$C$9),OR(Recherche!$C$10="",G1167&amp;""=Recherche!$C$10&amp;""),OR(Recherche!$C$11="",E1167=Recherche!$C$11),OR(Recherche!$C$12="",ISNUMBER(SEARCH(Recherche!$C$12,M1167&amp;" "&amp;F1167)))),1,0)</f>
        <v>8</v>
      </c>
    </row>
    <row r="1168" customFormat="false" ht="15" hidden="false" customHeight="false" outlineLevel="0" collapsed="false">
      <c r="A1168" s="19"/>
      <c r="B1168" s="19"/>
      <c r="C1168" s="19"/>
      <c r="D1168" s="19"/>
      <c r="E1168" s="22"/>
      <c r="F1168" s="19"/>
      <c r="G1168" s="26" t="str">
        <f aca="false">IF(D1168="","",IFERROR(VALUE(LEFT(D1168,FIND(" |",D1168&amp;" |")-1)),"?"))</f>
        <v/>
      </c>
      <c r="H1168" s="27" t="str">
        <f aca="false">IF(G1168="","",IF(G1168="?","⚠ pub inconnue",IFERROR(INDEX(Pubs!$B$2:$B$3001,MATCH(G1168,Pubs!$A$2:$A$3001,0))&amp;"","⚠ pub inconnue")))</f>
        <v/>
      </c>
      <c r="I1168" s="27" t="str">
        <f aca="false">IF(OR(G1168="",G1168="?"),"",IFERROR(INDEX(Pubs!$C$2:$C$3001,MATCH(G1168,Pubs!$A$2:$A$3001,0))&amp;"",""))</f>
        <v/>
      </c>
      <c r="J1168" s="27" t="str">
        <f aca="false">IF(OR(G1168="",G1168="?"),"",IFERROR(INDEX(Pubs!$G$2:$G$3001,MATCH(G1168,Pubs!$A$2:$A$3001,0))&amp;"",""))</f>
        <v/>
      </c>
      <c r="K1168" s="28" t="str">
        <f aca="false">IF(OR(G1168="",G1168="?"),"",IFERROR(INDEX(Pubs!$E$2:$E$3001,MATCH(G1168,Pubs!$A$2:$A$3001,0)),""))</f>
        <v/>
      </c>
      <c r="L1168" s="29" t="str">
        <f aca="false">IF(A1168="","",IFERROR(1/(1/INDEX(Numéros!$C$2:$C$3001,MATCH(A1168&amp;"|"&amp;B1168,Numéros!$F$2:$F$3001,0))),""))</f>
        <v/>
      </c>
      <c r="M1168" s="27" t="str">
        <f aca="false">IF(OR(G1168="",G1168="?"),"",IFERROR(INDEX(Pubs!$D$2:$D$3001,MATCH(G1168,Pubs!$A$2:$A$3001,0))&amp;"",""))</f>
        <v/>
      </c>
      <c r="N1168" s="27" t="n">
        <f aca="false">N(N1167)+IF(AND(A1168&lt;&gt;"",OR(Recherche!$C$4="",A1168=Recherche!$C$4),OR(Recherche!$C$5="",B1168&amp;""=Recherche!$C$5&amp;""),OR(Recherche!$C$6="",IFERROR(YEAR(L1168),0)=Recherche!$C$6),OR(Recherche!$C$7="",ISNUMBER(SEARCH(Recherche!$C$7,H1168))),OR(Recherche!$C$8="",J1168=Recherche!$C$8),OR(Recherche!$C$9="",I1168=Recherche!$C$9),OR(Recherche!$C$10="",G1168&amp;""=Recherche!$C$10&amp;""),OR(Recherche!$C$11="",E1168=Recherche!$C$11),OR(Recherche!$C$12="",ISNUMBER(SEARCH(Recherche!$C$12,M1168&amp;" "&amp;F1168)))),1,0)</f>
        <v>8</v>
      </c>
    </row>
    <row r="1169" customFormat="false" ht="15" hidden="false" customHeight="false" outlineLevel="0" collapsed="false">
      <c r="A1169" s="19"/>
      <c r="B1169" s="19"/>
      <c r="C1169" s="19"/>
      <c r="D1169" s="19"/>
      <c r="E1169" s="22"/>
      <c r="F1169" s="19"/>
      <c r="G1169" s="26" t="str">
        <f aca="false">IF(D1169="","",IFERROR(VALUE(LEFT(D1169,FIND(" |",D1169&amp;" |")-1)),"?"))</f>
        <v/>
      </c>
      <c r="H1169" s="27" t="str">
        <f aca="false">IF(G1169="","",IF(G1169="?","⚠ pub inconnue",IFERROR(INDEX(Pubs!$B$2:$B$3001,MATCH(G1169,Pubs!$A$2:$A$3001,0))&amp;"","⚠ pub inconnue")))</f>
        <v/>
      </c>
      <c r="I1169" s="27" t="str">
        <f aca="false">IF(OR(G1169="",G1169="?"),"",IFERROR(INDEX(Pubs!$C$2:$C$3001,MATCH(G1169,Pubs!$A$2:$A$3001,0))&amp;"",""))</f>
        <v/>
      </c>
      <c r="J1169" s="27" t="str">
        <f aca="false">IF(OR(G1169="",G1169="?"),"",IFERROR(INDEX(Pubs!$G$2:$G$3001,MATCH(G1169,Pubs!$A$2:$A$3001,0))&amp;"",""))</f>
        <v/>
      </c>
      <c r="K1169" s="28" t="str">
        <f aca="false">IF(OR(G1169="",G1169="?"),"",IFERROR(INDEX(Pubs!$E$2:$E$3001,MATCH(G1169,Pubs!$A$2:$A$3001,0)),""))</f>
        <v/>
      </c>
      <c r="L1169" s="29" t="str">
        <f aca="false">IF(A1169="","",IFERROR(1/(1/INDEX(Numéros!$C$2:$C$3001,MATCH(A1169&amp;"|"&amp;B1169,Numéros!$F$2:$F$3001,0))),""))</f>
        <v/>
      </c>
      <c r="M1169" s="27" t="str">
        <f aca="false">IF(OR(G1169="",G1169="?"),"",IFERROR(INDEX(Pubs!$D$2:$D$3001,MATCH(G1169,Pubs!$A$2:$A$3001,0))&amp;"",""))</f>
        <v/>
      </c>
      <c r="N1169" s="27" t="n">
        <f aca="false">N(N1168)+IF(AND(A1169&lt;&gt;"",OR(Recherche!$C$4="",A1169=Recherche!$C$4),OR(Recherche!$C$5="",B1169&amp;""=Recherche!$C$5&amp;""),OR(Recherche!$C$6="",IFERROR(YEAR(L1169),0)=Recherche!$C$6),OR(Recherche!$C$7="",ISNUMBER(SEARCH(Recherche!$C$7,H1169))),OR(Recherche!$C$8="",J1169=Recherche!$C$8),OR(Recherche!$C$9="",I1169=Recherche!$C$9),OR(Recherche!$C$10="",G1169&amp;""=Recherche!$C$10&amp;""),OR(Recherche!$C$11="",E1169=Recherche!$C$11),OR(Recherche!$C$12="",ISNUMBER(SEARCH(Recherche!$C$12,M1169&amp;" "&amp;F1169)))),1,0)</f>
        <v>8</v>
      </c>
    </row>
    <row r="1170" customFormat="false" ht="15" hidden="false" customHeight="false" outlineLevel="0" collapsed="false">
      <c r="A1170" s="19"/>
      <c r="B1170" s="19"/>
      <c r="C1170" s="19"/>
      <c r="D1170" s="19"/>
      <c r="E1170" s="22"/>
      <c r="F1170" s="19"/>
      <c r="G1170" s="26" t="str">
        <f aca="false">IF(D1170="","",IFERROR(VALUE(LEFT(D1170,FIND(" |",D1170&amp;" |")-1)),"?"))</f>
        <v/>
      </c>
      <c r="H1170" s="27" t="str">
        <f aca="false">IF(G1170="","",IF(G1170="?","⚠ pub inconnue",IFERROR(INDEX(Pubs!$B$2:$B$3001,MATCH(G1170,Pubs!$A$2:$A$3001,0))&amp;"","⚠ pub inconnue")))</f>
        <v/>
      </c>
      <c r="I1170" s="27" t="str">
        <f aca="false">IF(OR(G1170="",G1170="?"),"",IFERROR(INDEX(Pubs!$C$2:$C$3001,MATCH(G1170,Pubs!$A$2:$A$3001,0))&amp;"",""))</f>
        <v/>
      </c>
      <c r="J1170" s="27" t="str">
        <f aca="false">IF(OR(G1170="",G1170="?"),"",IFERROR(INDEX(Pubs!$G$2:$G$3001,MATCH(G1170,Pubs!$A$2:$A$3001,0))&amp;"",""))</f>
        <v/>
      </c>
      <c r="K1170" s="28" t="str">
        <f aca="false">IF(OR(G1170="",G1170="?"),"",IFERROR(INDEX(Pubs!$E$2:$E$3001,MATCH(G1170,Pubs!$A$2:$A$3001,0)),""))</f>
        <v/>
      </c>
      <c r="L1170" s="29" t="str">
        <f aca="false">IF(A1170="","",IFERROR(1/(1/INDEX(Numéros!$C$2:$C$3001,MATCH(A1170&amp;"|"&amp;B1170,Numéros!$F$2:$F$3001,0))),""))</f>
        <v/>
      </c>
      <c r="M1170" s="27" t="str">
        <f aca="false">IF(OR(G1170="",G1170="?"),"",IFERROR(INDEX(Pubs!$D$2:$D$3001,MATCH(G1170,Pubs!$A$2:$A$3001,0))&amp;"",""))</f>
        <v/>
      </c>
      <c r="N1170" s="27" t="n">
        <f aca="false">N(N1169)+IF(AND(A1170&lt;&gt;"",OR(Recherche!$C$4="",A1170=Recherche!$C$4),OR(Recherche!$C$5="",B1170&amp;""=Recherche!$C$5&amp;""),OR(Recherche!$C$6="",IFERROR(YEAR(L1170),0)=Recherche!$C$6),OR(Recherche!$C$7="",ISNUMBER(SEARCH(Recherche!$C$7,H1170))),OR(Recherche!$C$8="",J1170=Recherche!$C$8),OR(Recherche!$C$9="",I1170=Recherche!$C$9),OR(Recherche!$C$10="",G1170&amp;""=Recherche!$C$10&amp;""),OR(Recherche!$C$11="",E1170=Recherche!$C$11),OR(Recherche!$C$12="",ISNUMBER(SEARCH(Recherche!$C$12,M1170&amp;" "&amp;F1170)))),1,0)</f>
        <v>8</v>
      </c>
    </row>
    <row r="1171" customFormat="false" ht="15" hidden="false" customHeight="false" outlineLevel="0" collapsed="false">
      <c r="A1171" s="19"/>
      <c r="B1171" s="19"/>
      <c r="C1171" s="19"/>
      <c r="D1171" s="19"/>
      <c r="E1171" s="22"/>
      <c r="F1171" s="19"/>
      <c r="G1171" s="26" t="str">
        <f aca="false">IF(D1171="","",IFERROR(VALUE(LEFT(D1171,FIND(" |",D1171&amp;" |")-1)),"?"))</f>
        <v/>
      </c>
      <c r="H1171" s="27" t="str">
        <f aca="false">IF(G1171="","",IF(G1171="?","⚠ pub inconnue",IFERROR(INDEX(Pubs!$B$2:$B$3001,MATCH(G1171,Pubs!$A$2:$A$3001,0))&amp;"","⚠ pub inconnue")))</f>
        <v/>
      </c>
      <c r="I1171" s="27" t="str">
        <f aca="false">IF(OR(G1171="",G1171="?"),"",IFERROR(INDEX(Pubs!$C$2:$C$3001,MATCH(G1171,Pubs!$A$2:$A$3001,0))&amp;"",""))</f>
        <v/>
      </c>
      <c r="J1171" s="27" t="str">
        <f aca="false">IF(OR(G1171="",G1171="?"),"",IFERROR(INDEX(Pubs!$G$2:$G$3001,MATCH(G1171,Pubs!$A$2:$A$3001,0))&amp;"",""))</f>
        <v/>
      </c>
      <c r="K1171" s="28" t="str">
        <f aca="false">IF(OR(G1171="",G1171="?"),"",IFERROR(INDEX(Pubs!$E$2:$E$3001,MATCH(G1171,Pubs!$A$2:$A$3001,0)),""))</f>
        <v/>
      </c>
      <c r="L1171" s="29" t="str">
        <f aca="false">IF(A1171="","",IFERROR(1/(1/INDEX(Numéros!$C$2:$C$3001,MATCH(A1171&amp;"|"&amp;B1171,Numéros!$F$2:$F$3001,0))),""))</f>
        <v/>
      </c>
      <c r="M1171" s="27" t="str">
        <f aca="false">IF(OR(G1171="",G1171="?"),"",IFERROR(INDEX(Pubs!$D$2:$D$3001,MATCH(G1171,Pubs!$A$2:$A$3001,0))&amp;"",""))</f>
        <v/>
      </c>
      <c r="N1171" s="27" t="n">
        <f aca="false">N(N1170)+IF(AND(A1171&lt;&gt;"",OR(Recherche!$C$4="",A1171=Recherche!$C$4),OR(Recherche!$C$5="",B1171&amp;""=Recherche!$C$5&amp;""),OR(Recherche!$C$6="",IFERROR(YEAR(L1171),0)=Recherche!$C$6),OR(Recherche!$C$7="",ISNUMBER(SEARCH(Recherche!$C$7,H1171))),OR(Recherche!$C$8="",J1171=Recherche!$C$8),OR(Recherche!$C$9="",I1171=Recherche!$C$9),OR(Recherche!$C$10="",G1171&amp;""=Recherche!$C$10&amp;""),OR(Recherche!$C$11="",E1171=Recherche!$C$11),OR(Recherche!$C$12="",ISNUMBER(SEARCH(Recherche!$C$12,M1171&amp;" "&amp;F1171)))),1,0)</f>
        <v>8</v>
      </c>
    </row>
    <row r="1172" customFormat="false" ht="15" hidden="false" customHeight="false" outlineLevel="0" collapsed="false">
      <c r="A1172" s="19"/>
      <c r="B1172" s="19"/>
      <c r="C1172" s="19"/>
      <c r="D1172" s="19"/>
      <c r="E1172" s="22"/>
      <c r="F1172" s="19"/>
      <c r="G1172" s="26" t="str">
        <f aca="false">IF(D1172="","",IFERROR(VALUE(LEFT(D1172,FIND(" |",D1172&amp;" |")-1)),"?"))</f>
        <v/>
      </c>
      <c r="H1172" s="27" t="str">
        <f aca="false">IF(G1172="","",IF(G1172="?","⚠ pub inconnue",IFERROR(INDEX(Pubs!$B$2:$B$3001,MATCH(G1172,Pubs!$A$2:$A$3001,0))&amp;"","⚠ pub inconnue")))</f>
        <v/>
      </c>
      <c r="I1172" s="27" t="str">
        <f aca="false">IF(OR(G1172="",G1172="?"),"",IFERROR(INDEX(Pubs!$C$2:$C$3001,MATCH(G1172,Pubs!$A$2:$A$3001,0))&amp;"",""))</f>
        <v/>
      </c>
      <c r="J1172" s="27" t="str">
        <f aca="false">IF(OR(G1172="",G1172="?"),"",IFERROR(INDEX(Pubs!$G$2:$G$3001,MATCH(G1172,Pubs!$A$2:$A$3001,0))&amp;"",""))</f>
        <v/>
      </c>
      <c r="K1172" s="28" t="str">
        <f aca="false">IF(OR(G1172="",G1172="?"),"",IFERROR(INDEX(Pubs!$E$2:$E$3001,MATCH(G1172,Pubs!$A$2:$A$3001,0)),""))</f>
        <v/>
      </c>
      <c r="L1172" s="29" t="str">
        <f aca="false">IF(A1172="","",IFERROR(1/(1/INDEX(Numéros!$C$2:$C$3001,MATCH(A1172&amp;"|"&amp;B1172,Numéros!$F$2:$F$3001,0))),""))</f>
        <v/>
      </c>
      <c r="M1172" s="27" t="str">
        <f aca="false">IF(OR(G1172="",G1172="?"),"",IFERROR(INDEX(Pubs!$D$2:$D$3001,MATCH(G1172,Pubs!$A$2:$A$3001,0))&amp;"",""))</f>
        <v/>
      </c>
      <c r="N1172" s="27" t="n">
        <f aca="false">N(N1171)+IF(AND(A1172&lt;&gt;"",OR(Recherche!$C$4="",A1172=Recherche!$C$4),OR(Recherche!$C$5="",B1172&amp;""=Recherche!$C$5&amp;""),OR(Recherche!$C$6="",IFERROR(YEAR(L1172),0)=Recherche!$C$6),OR(Recherche!$C$7="",ISNUMBER(SEARCH(Recherche!$C$7,H1172))),OR(Recherche!$C$8="",J1172=Recherche!$C$8),OR(Recherche!$C$9="",I1172=Recherche!$C$9),OR(Recherche!$C$10="",G1172&amp;""=Recherche!$C$10&amp;""),OR(Recherche!$C$11="",E1172=Recherche!$C$11),OR(Recherche!$C$12="",ISNUMBER(SEARCH(Recherche!$C$12,M1172&amp;" "&amp;F1172)))),1,0)</f>
        <v>8</v>
      </c>
    </row>
    <row r="1173" customFormat="false" ht="15" hidden="false" customHeight="false" outlineLevel="0" collapsed="false">
      <c r="A1173" s="19"/>
      <c r="B1173" s="19"/>
      <c r="C1173" s="19"/>
      <c r="D1173" s="19"/>
      <c r="E1173" s="22"/>
      <c r="F1173" s="19"/>
      <c r="G1173" s="26" t="str">
        <f aca="false">IF(D1173="","",IFERROR(VALUE(LEFT(D1173,FIND(" |",D1173&amp;" |")-1)),"?"))</f>
        <v/>
      </c>
      <c r="H1173" s="27" t="str">
        <f aca="false">IF(G1173="","",IF(G1173="?","⚠ pub inconnue",IFERROR(INDEX(Pubs!$B$2:$B$3001,MATCH(G1173,Pubs!$A$2:$A$3001,0))&amp;"","⚠ pub inconnue")))</f>
        <v/>
      </c>
      <c r="I1173" s="27" t="str">
        <f aca="false">IF(OR(G1173="",G1173="?"),"",IFERROR(INDEX(Pubs!$C$2:$C$3001,MATCH(G1173,Pubs!$A$2:$A$3001,0))&amp;"",""))</f>
        <v/>
      </c>
      <c r="J1173" s="27" t="str">
        <f aca="false">IF(OR(G1173="",G1173="?"),"",IFERROR(INDEX(Pubs!$G$2:$G$3001,MATCH(G1173,Pubs!$A$2:$A$3001,0))&amp;"",""))</f>
        <v/>
      </c>
      <c r="K1173" s="28" t="str">
        <f aca="false">IF(OR(G1173="",G1173="?"),"",IFERROR(INDEX(Pubs!$E$2:$E$3001,MATCH(G1173,Pubs!$A$2:$A$3001,0)),""))</f>
        <v/>
      </c>
      <c r="L1173" s="29" t="str">
        <f aca="false">IF(A1173="","",IFERROR(1/(1/INDEX(Numéros!$C$2:$C$3001,MATCH(A1173&amp;"|"&amp;B1173,Numéros!$F$2:$F$3001,0))),""))</f>
        <v/>
      </c>
      <c r="M1173" s="27" t="str">
        <f aca="false">IF(OR(G1173="",G1173="?"),"",IFERROR(INDEX(Pubs!$D$2:$D$3001,MATCH(G1173,Pubs!$A$2:$A$3001,0))&amp;"",""))</f>
        <v/>
      </c>
      <c r="N1173" s="27" t="n">
        <f aca="false">N(N1172)+IF(AND(A1173&lt;&gt;"",OR(Recherche!$C$4="",A1173=Recherche!$C$4),OR(Recherche!$C$5="",B1173&amp;""=Recherche!$C$5&amp;""),OR(Recherche!$C$6="",IFERROR(YEAR(L1173),0)=Recherche!$C$6),OR(Recherche!$C$7="",ISNUMBER(SEARCH(Recherche!$C$7,H1173))),OR(Recherche!$C$8="",J1173=Recherche!$C$8),OR(Recherche!$C$9="",I1173=Recherche!$C$9),OR(Recherche!$C$10="",G1173&amp;""=Recherche!$C$10&amp;""),OR(Recherche!$C$11="",E1173=Recherche!$C$11),OR(Recherche!$C$12="",ISNUMBER(SEARCH(Recherche!$C$12,M1173&amp;" "&amp;F1173)))),1,0)</f>
        <v>8</v>
      </c>
    </row>
    <row r="1174" customFormat="false" ht="15" hidden="false" customHeight="false" outlineLevel="0" collapsed="false">
      <c r="A1174" s="19"/>
      <c r="B1174" s="19"/>
      <c r="C1174" s="19"/>
      <c r="D1174" s="19"/>
      <c r="E1174" s="22"/>
      <c r="F1174" s="19"/>
      <c r="G1174" s="26" t="str">
        <f aca="false">IF(D1174="","",IFERROR(VALUE(LEFT(D1174,FIND(" |",D1174&amp;" |")-1)),"?"))</f>
        <v/>
      </c>
      <c r="H1174" s="27" t="str">
        <f aca="false">IF(G1174="","",IF(G1174="?","⚠ pub inconnue",IFERROR(INDEX(Pubs!$B$2:$B$3001,MATCH(G1174,Pubs!$A$2:$A$3001,0))&amp;"","⚠ pub inconnue")))</f>
        <v/>
      </c>
      <c r="I1174" s="27" t="str">
        <f aca="false">IF(OR(G1174="",G1174="?"),"",IFERROR(INDEX(Pubs!$C$2:$C$3001,MATCH(G1174,Pubs!$A$2:$A$3001,0))&amp;"",""))</f>
        <v/>
      </c>
      <c r="J1174" s="27" t="str">
        <f aca="false">IF(OR(G1174="",G1174="?"),"",IFERROR(INDEX(Pubs!$G$2:$G$3001,MATCH(G1174,Pubs!$A$2:$A$3001,0))&amp;"",""))</f>
        <v/>
      </c>
      <c r="K1174" s="28" t="str">
        <f aca="false">IF(OR(G1174="",G1174="?"),"",IFERROR(INDEX(Pubs!$E$2:$E$3001,MATCH(G1174,Pubs!$A$2:$A$3001,0)),""))</f>
        <v/>
      </c>
      <c r="L1174" s="29" t="str">
        <f aca="false">IF(A1174="","",IFERROR(1/(1/INDEX(Numéros!$C$2:$C$3001,MATCH(A1174&amp;"|"&amp;B1174,Numéros!$F$2:$F$3001,0))),""))</f>
        <v/>
      </c>
      <c r="M1174" s="27" t="str">
        <f aca="false">IF(OR(G1174="",G1174="?"),"",IFERROR(INDEX(Pubs!$D$2:$D$3001,MATCH(G1174,Pubs!$A$2:$A$3001,0))&amp;"",""))</f>
        <v/>
      </c>
      <c r="N1174" s="27" t="n">
        <f aca="false">N(N1173)+IF(AND(A1174&lt;&gt;"",OR(Recherche!$C$4="",A1174=Recherche!$C$4),OR(Recherche!$C$5="",B1174&amp;""=Recherche!$C$5&amp;""),OR(Recherche!$C$6="",IFERROR(YEAR(L1174),0)=Recherche!$C$6),OR(Recherche!$C$7="",ISNUMBER(SEARCH(Recherche!$C$7,H1174))),OR(Recherche!$C$8="",J1174=Recherche!$C$8),OR(Recherche!$C$9="",I1174=Recherche!$C$9),OR(Recherche!$C$10="",G1174&amp;""=Recherche!$C$10&amp;""),OR(Recherche!$C$11="",E1174=Recherche!$C$11),OR(Recherche!$C$12="",ISNUMBER(SEARCH(Recherche!$C$12,M1174&amp;" "&amp;F1174)))),1,0)</f>
        <v>8</v>
      </c>
    </row>
    <row r="1175" customFormat="false" ht="15" hidden="false" customHeight="false" outlineLevel="0" collapsed="false">
      <c r="A1175" s="19"/>
      <c r="B1175" s="19"/>
      <c r="C1175" s="19"/>
      <c r="D1175" s="19"/>
      <c r="E1175" s="22"/>
      <c r="F1175" s="19"/>
      <c r="G1175" s="26" t="str">
        <f aca="false">IF(D1175="","",IFERROR(VALUE(LEFT(D1175,FIND(" |",D1175&amp;" |")-1)),"?"))</f>
        <v/>
      </c>
      <c r="H1175" s="27" t="str">
        <f aca="false">IF(G1175="","",IF(G1175="?","⚠ pub inconnue",IFERROR(INDEX(Pubs!$B$2:$B$3001,MATCH(G1175,Pubs!$A$2:$A$3001,0))&amp;"","⚠ pub inconnue")))</f>
        <v/>
      </c>
      <c r="I1175" s="27" t="str">
        <f aca="false">IF(OR(G1175="",G1175="?"),"",IFERROR(INDEX(Pubs!$C$2:$C$3001,MATCH(G1175,Pubs!$A$2:$A$3001,0))&amp;"",""))</f>
        <v/>
      </c>
      <c r="J1175" s="27" t="str">
        <f aca="false">IF(OR(G1175="",G1175="?"),"",IFERROR(INDEX(Pubs!$G$2:$G$3001,MATCH(G1175,Pubs!$A$2:$A$3001,0))&amp;"",""))</f>
        <v/>
      </c>
      <c r="K1175" s="28" t="str">
        <f aca="false">IF(OR(G1175="",G1175="?"),"",IFERROR(INDEX(Pubs!$E$2:$E$3001,MATCH(G1175,Pubs!$A$2:$A$3001,0)),""))</f>
        <v/>
      </c>
      <c r="L1175" s="29" t="str">
        <f aca="false">IF(A1175="","",IFERROR(1/(1/INDEX(Numéros!$C$2:$C$3001,MATCH(A1175&amp;"|"&amp;B1175,Numéros!$F$2:$F$3001,0))),""))</f>
        <v/>
      </c>
      <c r="M1175" s="27" t="str">
        <f aca="false">IF(OR(G1175="",G1175="?"),"",IFERROR(INDEX(Pubs!$D$2:$D$3001,MATCH(G1175,Pubs!$A$2:$A$3001,0))&amp;"",""))</f>
        <v/>
      </c>
      <c r="N1175" s="27" t="n">
        <f aca="false">N(N1174)+IF(AND(A1175&lt;&gt;"",OR(Recherche!$C$4="",A1175=Recherche!$C$4),OR(Recherche!$C$5="",B1175&amp;""=Recherche!$C$5&amp;""),OR(Recherche!$C$6="",IFERROR(YEAR(L1175),0)=Recherche!$C$6),OR(Recherche!$C$7="",ISNUMBER(SEARCH(Recherche!$C$7,H1175))),OR(Recherche!$C$8="",J1175=Recherche!$C$8),OR(Recherche!$C$9="",I1175=Recherche!$C$9),OR(Recherche!$C$10="",G1175&amp;""=Recherche!$C$10&amp;""),OR(Recherche!$C$11="",E1175=Recherche!$C$11),OR(Recherche!$C$12="",ISNUMBER(SEARCH(Recherche!$C$12,M1175&amp;" "&amp;F1175)))),1,0)</f>
        <v>8</v>
      </c>
    </row>
    <row r="1176" customFormat="false" ht="15" hidden="false" customHeight="false" outlineLevel="0" collapsed="false">
      <c r="A1176" s="19"/>
      <c r="B1176" s="19"/>
      <c r="C1176" s="19"/>
      <c r="D1176" s="19"/>
      <c r="E1176" s="22"/>
      <c r="F1176" s="19"/>
      <c r="G1176" s="26" t="str">
        <f aca="false">IF(D1176="","",IFERROR(VALUE(LEFT(D1176,FIND(" |",D1176&amp;" |")-1)),"?"))</f>
        <v/>
      </c>
      <c r="H1176" s="27" t="str">
        <f aca="false">IF(G1176="","",IF(G1176="?","⚠ pub inconnue",IFERROR(INDEX(Pubs!$B$2:$B$3001,MATCH(G1176,Pubs!$A$2:$A$3001,0))&amp;"","⚠ pub inconnue")))</f>
        <v/>
      </c>
      <c r="I1176" s="27" t="str">
        <f aca="false">IF(OR(G1176="",G1176="?"),"",IFERROR(INDEX(Pubs!$C$2:$C$3001,MATCH(G1176,Pubs!$A$2:$A$3001,0))&amp;"",""))</f>
        <v/>
      </c>
      <c r="J1176" s="27" t="str">
        <f aca="false">IF(OR(G1176="",G1176="?"),"",IFERROR(INDEX(Pubs!$G$2:$G$3001,MATCH(G1176,Pubs!$A$2:$A$3001,0))&amp;"",""))</f>
        <v/>
      </c>
      <c r="K1176" s="28" t="str">
        <f aca="false">IF(OR(G1176="",G1176="?"),"",IFERROR(INDEX(Pubs!$E$2:$E$3001,MATCH(G1176,Pubs!$A$2:$A$3001,0)),""))</f>
        <v/>
      </c>
      <c r="L1176" s="29" t="str">
        <f aca="false">IF(A1176="","",IFERROR(1/(1/INDEX(Numéros!$C$2:$C$3001,MATCH(A1176&amp;"|"&amp;B1176,Numéros!$F$2:$F$3001,0))),""))</f>
        <v/>
      </c>
      <c r="M1176" s="27" t="str">
        <f aca="false">IF(OR(G1176="",G1176="?"),"",IFERROR(INDEX(Pubs!$D$2:$D$3001,MATCH(G1176,Pubs!$A$2:$A$3001,0))&amp;"",""))</f>
        <v/>
      </c>
      <c r="N1176" s="27" t="n">
        <f aca="false">N(N1175)+IF(AND(A1176&lt;&gt;"",OR(Recherche!$C$4="",A1176=Recherche!$C$4),OR(Recherche!$C$5="",B1176&amp;""=Recherche!$C$5&amp;""),OR(Recherche!$C$6="",IFERROR(YEAR(L1176),0)=Recherche!$C$6),OR(Recherche!$C$7="",ISNUMBER(SEARCH(Recherche!$C$7,H1176))),OR(Recherche!$C$8="",J1176=Recherche!$C$8),OR(Recherche!$C$9="",I1176=Recherche!$C$9),OR(Recherche!$C$10="",G1176&amp;""=Recherche!$C$10&amp;""),OR(Recherche!$C$11="",E1176=Recherche!$C$11),OR(Recherche!$C$12="",ISNUMBER(SEARCH(Recherche!$C$12,M1176&amp;" "&amp;F1176)))),1,0)</f>
        <v>8</v>
      </c>
    </row>
    <row r="1177" customFormat="false" ht="15" hidden="false" customHeight="false" outlineLevel="0" collapsed="false">
      <c r="A1177" s="19"/>
      <c r="B1177" s="19"/>
      <c r="C1177" s="19"/>
      <c r="D1177" s="19"/>
      <c r="E1177" s="22"/>
      <c r="F1177" s="19"/>
      <c r="G1177" s="26" t="str">
        <f aca="false">IF(D1177="","",IFERROR(VALUE(LEFT(D1177,FIND(" |",D1177&amp;" |")-1)),"?"))</f>
        <v/>
      </c>
      <c r="H1177" s="27" t="str">
        <f aca="false">IF(G1177="","",IF(G1177="?","⚠ pub inconnue",IFERROR(INDEX(Pubs!$B$2:$B$3001,MATCH(G1177,Pubs!$A$2:$A$3001,0))&amp;"","⚠ pub inconnue")))</f>
        <v/>
      </c>
      <c r="I1177" s="27" t="str">
        <f aca="false">IF(OR(G1177="",G1177="?"),"",IFERROR(INDEX(Pubs!$C$2:$C$3001,MATCH(G1177,Pubs!$A$2:$A$3001,0))&amp;"",""))</f>
        <v/>
      </c>
      <c r="J1177" s="27" t="str">
        <f aca="false">IF(OR(G1177="",G1177="?"),"",IFERROR(INDEX(Pubs!$G$2:$G$3001,MATCH(G1177,Pubs!$A$2:$A$3001,0))&amp;"",""))</f>
        <v/>
      </c>
      <c r="K1177" s="28" t="str">
        <f aca="false">IF(OR(G1177="",G1177="?"),"",IFERROR(INDEX(Pubs!$E$2:$E$3001,MATCH(G1177,Pubs!$A$2:$A$3001,0)),""))</f>
        <v/>
      </c>
      <c r="L1177" s="29" t="str">
        <f aca="false">IF(A1177="","",IFERROR(1/(1/INDEX(Numéros!$C$2:$C$3001,MATCH(A1177&amp;"|"&amp;B1177,Numéros!$F$2:$F$3001,0))),""))</f>
        <v/>
      </c>
      <c r="M1177" s="27" t="str">
        <f aca="false">IF(OR(G1177="",G1177="?"),"",IFERROR(INDEX(Pubs!$D$2:$D$3001,MATCH(G1177,Pubs!$A$2:$A$3001,0))&amp;"",""))</f>
        <v/>
      </c>
      <c r="N1177" s="27" t="n">
        <f aca="false">N(N1176)+IF(AND(A1177&lt;&gt;"",OR(Recherche!$C$4="",A1177=Recherche!$C$4),OR(Recherche!$C$5="",B1177&amp;""=Recherche!$C$5&amp;""),OR(Recherche!$C$6="",IFERROR(YEAR(L1177),0)=Recherche!$C$6),OR(Recherche!$C$7="",ISNUMBER(SEARCH(Recherche!$C$7,H1177))),OR(Recherche!$C$8="",J1177=Recherche!$C$8),OR(Recherche!$C$9="",I1177=Recherche!$C$9),OR(Recherche!$C$10="",G1177&amp;""=Recherche!$C$10&amp;""),OR(Recherche!$C$11="",E1177=Recherche!$C$11),OR(Recherche!$C$12="",ISNUMBER(SEARCH(Recherche!$C$12,M1177&amp;" "&amp;F1177)))),1,0)</f>
        <v>8</v>
      </c>
    </row>
    <row r="1178" customFormat="false" ht="15" hidden="false" customHeight="false" outlineLevel="0" collapsed="false">
      <c r="A1178" s="19"/>
      <c r="B1178" s="19"/>
      <c r="C1178" s="19"/>
      <c r="D1178" s="19"/>
      <c r="E1178" s="22"/>
      <c r="F1178" s="19"/>
      <c r="G1178" s="26" t="str">
        <f aca="false">IF(D1178="","",IFERROR(VALUE(LEFT(D1178,FIND(" |",D1178&amp;" |")-1)),"?"))</f>
        <v/>
      </c>
      <c r="H1178" s="27" t="str">
        <f aca="false">IF(G1178="","",IF(G1178="?","⚠ pub inconnue",IFERROR(INDEX(Pubs!$B$2:$B$3001,MATCH(G1178,Pubs!$A$2:$A$3001,0))&amp;"","⚠ pub inconnue")))</f>
        <v/>
      </c>
      <c r="I1178" s="27" t="str">
        <f aca="false">IF(OR(G1178="",G1178="?"),"",IFERROR(INDEX(Pubs!$C$2:$C$3001,MATCH(G1178,Pubs!$A$2:$A$3001,0))&amp;"",""))</f>
        <v/>
      </c>
      <c r="J1178" s="27" t="str">
        <f aca="false">IF(OR(G1178="",G1178="?"),"",IFERROR(INDEX(Pubs!$G$2:$G$3001,MATCH(G1178,Pubs!$A$2:$A$3001,0))&amp;"",""))</f>
        <v/>
      </c>
      <c r="K1178" s="28" t="str">
        <f aca="false">IF(OR(G1178="",G1178="?"),"",IFERROR(INDEX(Pubs!$E$2:$E$3001,MATCH(G1178,Pubs!$A$2:$A$3001,0)),""))</f>
        <v/>
      </c>
      <c r="L1178" s="29" t="str">
        <f aca="false">IF(A1178="","",IFERROR(1/(1/INDEX(Numéros!$C$2:$C$3001,MATCH(A1178&amp;"|"&amp;B1178,Numéros!$F$2:$F$3001,0))),""))</f>
        <v/>
      </c>
      <c r="M1178" s="27" t="str">
        <f aca="false">IF(OR(G1178="",G1178="?"),"",IFERROR(INDEX(Pubs!$D$2:$D$3001,MATCH(G1178,Pubs!$A$2:$A$3001,0))&amp;"",""))</f>
        <v/>
      </c>
      <c r="N1178" s="27" t="n">
        <f aca="false">N(N1177)+IF(AND(A1178&lt;&gt;"",OR(Recherche!$C$4="",A1178=Recherche!$C$4),OR(Recherche!$C$5="",B1178&amp;""=Recherche!$C$5&amp;""),OR(Recherche!$C$6="",IFERROR(YEAR(L1178),0)=Recherche!$C$6),OR(Recherche!$C$7="",ISNUMBER(SEARCH(Recherche!$C$7,H1178))),OR(Recherche!$C$8="",J1178=Recherche!$C$8),OR(Recherche!$C$9="",I1178=Recherche!$C$9),OR(Recherche!$C$10="",G1178&amp;""=Recherche!$C$10&amp;""),OR(Recherche!$C$11="",E1178=Recherche!$C$11),OR(Recherche!$C$12="",ISNUMBER(SEARCH(Recherche!$C$12,M1178&amp;" "&amp;F1178)))),1,0)</f>
        <v>8</v>
      </c>
    </row>
    <row r="1179" customFormat="false" ht="15" hidden="false" customHeight="false" outlineLevel="0" collapsed="false">
      <c r="A1179" s="19"/>
      <c r="B1179" s="19"/>
      <c r="C1179" s="19"/>
      <c r="D1179" s="19"/>
      <c r="E1179" s="22"/>
      <c r="F1179" s="19"/>
      <c r="G1179" s="26" t="str">
        <f aca="false">IF(D1179="","",IFERROR(VALUE(LEFT(D1179,FIND(" |",D1179&amp;" |")-1)),"?"))</f>
        <v/>
      </c>
      <c r="H1179" s="27" t="str">
        <f aca="false">IF(G1179="","",IF(G1179="?","⚠ pub inconnue",IFERROR(INDEX(Pubs!$B$2:$B$3001,MATCH(G1179,Pubs!$A$2:$A$3001,0))&amp;"","⚠ pub inconnue")))</f>
        <v/>
      </c>
      <c r="I1179" s="27" t="str">
        <f aca="false">IF(OR(G1179="",G1179="?"),"",IFERROR(INDEX(Pubs!$C$2:$C$3001,MATCH(G1179,Pubs!$A$2:$A$3001,0))&amp;"",""))</f>
        <v/>
      </c>
      <c r="J1179" s="27" t="str">
        <f aca="false">IF(OR(G1179="",G1179="?"),"",IFERROR(INDEX(Pubs!$G$2:$G$3001,MATCH(G1179,Pubs!$A$2:$A$3001,0))&amp;"",""))</f>
        <v/>
      </c>
      <c r="K1179" s="28" t="str">
        <f aca="false">IF(OR(G1179="",G1179="?"),"",IFERROR(INDEX(Pubs!$E$2:$E$3001,MATCH(G1179,Pubs!$A$2:$A$3001,0)),""))</f>
        <v/>
      </c>
      <c r="L1179" s="29" t="str">
        <f aca="false">IF(A1179="","",IFERROR(1/(1/INDEX(Numéros!$C$2:$C$3001,MATCH(A1179&amp;"|"&amp;B1179,Numéros!$F$2:$F$3001,0))),""))</f>
        <v/>
      </c>
      <c r="M1179" s="27" t="str">
        <f aca="false">IF(OR(G1179="",G1179="?"),"",IFERROR(INDEX(Pubs!$D$2:$D$3001,MATCH(G1179,Pubs!$A$2:$A$3001,0))&amp;"",""))</f>
        <v/>
      </c>
      <c r="N1179" s="27" t="n">
        <f aca="false">N(N1178)+IF(AND(A1179&lt;&gt;"",OR(Recherche!$C$4="",A1179=Recherche!$C$4),OR(Recherche!$C$5="",B1179&amp;""=Recherche!$C$5&amp;""),OR(Recherche!$C$6="",IFERROR(YEAR(L1179),0)=Recherche!$C$6),OR(Recherche!$C$7="",ISNUMBER(SEARCH(Recherche!$C$7,H1179))),OR(Recherche!$C$8="",J1179=Recherche!$C$8),OR(Recherche!$C$9="",I1179=Recherche!$C$9),OR(Recherche!$C$10="",G1179&amp;""=Recherche!$C$10&amp;""),OR(Recherche!$C$11="",E1179=Recherche!$C$11),OR(Recherche!$C$12="",ISNUMBER(SEARCH(Recherche!$C$12,M1179&amp;" "&amp;F1179)))),1,0)</f>
        <v>8</v>
      </c>
    </row>
    <row r="1180" customFormat="false" ht="15" hidden="false" customHeight="false" outlineLevel="0" collapsed="false">
      <c r="A1180" s="19"/>
      <c r="B1180" s="19"/>
      <c r="C1180" s="19"/>
      <c r="D1180" s="19"/>
      <c r="E1180" s="22"/>
      <c r="F1180" s="19"/>
      <c r="G1180" s="26" t="str">
        <f aca="false">IF(D1180="","",IFERROR(VALUE(LEFT(D1180,FIND(" |",D1180&amp;" |")-1)),"?"))</f>
        <v/>
      </c>
      <c r="H1180" s="27" t="str">
        <f aca="false">IF(G1180="","",IF(G1180="?","⚠ pub inconnue",IFERROR(INDEX(Pubs!$B$2:$B$3001,MATCH(G1180,Pubs!$A$2:$A$3001,0))&amp;"","⚠ pub inconnue")))</f>
        <v/>
      </c>
      <c r="I1180" s="27" t="str">
        <f aca="false">IF(OR(G1180="",G1180="?"),"",IFERROR(INDEX(Pubs!$C$2:$C$3001,MATCH(G1180,Pubs!$A$2:$A$3001,0))&amp;"",""))</f>
        <v/>
      </c>
      <c r="J1180" s="27" t="str">
        <f aca="false">IF(OR(G1180="",G1180="?"),"",IFERROR(INDEX(Pubs!$G$2:$G$3001,MATCH(G1180,Pubs!$A$2:$A$3001,0))&amp;"",""))</f>
        <v/>
      </c>
      <c r="K1180" s="28" t="str">
        <f aca="false">IF(OR(G1180="",G1180="?"),"",IFERROR(INDEX(Pubs!$E$2:$E$3001,MATCH(G1180,Pubs!$A$2:$A$3001,0)),""))</f>
        <v/>
      </c>
      <c r="L1180" s="29" t="str">
        <f aca="false">IF(A1180="","",IFERROR(1/(1/INDEX(Numéros!$C$2:$C$3001,MATCH(A1180&amp;"|"&amp;B1180,Numéros!$F$2:$F$3001,0))),""))</f>
        <v/>
      </c>
      <c r="M1180" s="27" t="str">
        <f aca="false">IF(OR(G1180="",G1180="?"),"",IFERROR(INDEX(Pubs!$D$2:$D$3001,MATCH(G1180,Pubs!$A$2:$A$3001,0))&amp;"",""))</f>
        <v/>
      </c>
      <c r="N1180" s="27" t="n">
        <f aca="false">N(N1179)+IF(AND(A1180&lt;&gt;"",OR(Recherche!$C$4="",A1180=Recherche!$C$4),OR(Recherche!$C$5="",B1180&amp;""=Recherche!$C$5&amp;""),OR(Recherche!$C$6="",IFERROR(YEAR(L1180),0)=Recherche!$C$6),OR(Recherche!$C$7="",ISNUMBER(SEARCH(Recherche!$C$7,H1180))),OR(Recherche!$C$8="",J1180=Recherche!$C$8),OR(Recherche!$C$9="",I1180=Recherche!$C$9),OR(Recherche!$C$10="",G1180&amp;""=Recherche!$C$10&amp;""),OR(Recherche!$C$11="",E1180=Recherche!$C$11),OR(Recherche!$C$12="",ISNUMBER(SEARCH(Recherche!$C$12,M1180&amp;" "&amp;F1180)))),1,0)</f>
        <v>8</v>
      </c>
    </row>
    <row r="1181" customFormat="false" ht="15" hidden="false" customHeight="false" outlineLevel="0" collapsed="false">
      <c r="A1181" s="19"/>
      <c r="B1181" s="19"/>
      <c r="C1181" s="19"/>
      <c r="D1181" s="19"/>
      <c r="E1181" s="22"/>
      <c r="F1181" s="19"/>
      <c r="G1181" s="26" t="str">
        <f aca="false">IF(D1181="","",IFERROR(VALUE(LEFT(D1181,FIND(" |",D1181&amp;" |")-1)),"?"))</f>
        <v/>
      </c>
      <c r="H1181" s="27" t="str">
        <f aca="false">IF(G1181="","",IF(G1181="?","⚠ pub inconnue",IFERROR(INDEX(Pubs!$B$2:$B$3001,MATCH(G1181,Pubs!$A$2:$A$3001,0))&amp;"","⚠ pub inconnue")))</f>
        <v/>
      </c>
      <c r="I1181" s="27" t="str">
        <f aca="false">IF(OR(G1181="",G1181="?"),"",IFERROR(INDEX(Pubs!$C$2:$C$3001,MATCH(G1181,Pubs!$A$2:$A$3001,0))&amp;"",""))</f>
        <v/>
      </c>
      <c r="J1181" s="27" t="str">
        <f aca="false">IF(OR(G1181="",G1181="?"),"",IFERROR(INDEX(Pubs!$G$2:$G$3001,MATCH(G1181,Pubs!$A$2:$A$3001,0))&amp;"",""))</f>
        <v/>
      </c>
      <c r="K1181" s="28" t="str">
        <f aca="false">IF(OR(G1181="",G1181="?"),"",IFERROR(INDEX(Pubs!$E$2:$E$3001,MATCH(G1181,Pubs!$A$2:$A$3001,0)),""))</f>
        <v/>
      </c>
      <c r="L1181" s="29" t="str">
        <f aca="false">IF(A1181="","",IFERROR(1/(1/INDEX(Numéros!$C$2:$C$3001,MATCH(A1181&amp;"|"&amp;B1181,Numéros!$F$2:$F$3001,0))),""))</f>
        <v/>
      </c>
      <c r="M1181" s="27" t="str">
        <f aca="false">IF(OR(G1181="",G1181="?"),"",IFERROR(INDEX(Pubs!$D$2:$D$3001,MATCH(G1181,Pubs!$A$2:$A$3001,0))&amp;"",""))</f>
        <v/>
      </c>
      <c r="N1181" s="27" t="n">
        <f aca="false">N(N1180)+IF(AND(A1181&lt;&gt;"",OR(Recherche!$C$4="",A1181=Recherche!$C$4),OR(Recherche!$C$5="",B1181&amp;""=Recherche!$C$5&amp;""),OR(Recherche!$C$6="",IFERROR(YEAR(L1181),0)=Recherche!$C$6),OR(Recherche!$C$7="",ISNUMBER(SEARCH(Recherche!$C$7,H1181))),OR(Recherche!$C$8="",J1181=Recherche!$C$8),OR(Recherche!$C$9="",I1181=Recherche!$C$9),OR(Recherche!$C$10="",G1181&amp;""=Recherche!$C$10&amp;""),OR(Recherche!$C$11="",E1181=Recherche!$C$11),OR(Recherche!$C$12="",ISNUMBER(SEARCH(Recherche!$C$12,M1181&amp;" "&amp;F1181)))),1,0)</f>
        <v>8</v>
      </c>
    </row>
    <row r="1182" customFormat="false" ht="15" hidden="false" customHeight="false" outlineLevel="0" collapsed="false">
      <c r="A1182" s="19"/>
      <c r="B1182" s="19"/>
      <c r="C1182" s="19"/>
      <c r="D1182" s="19"/>
      <c r="E1182" s="22"/>
      <c r="F1182" s="19"/>
      <c r="G1182" s="26" t="str">
        <f aca="false">IF(D1182="","",IFERROR(VALUE(LEFT(D1182,FIND(" |",D1182&amp;" |")-1)),"?"))</f>
        <v/>
      </c>
      <c r="H1182" s="27" t="str">
        <f aca="false">IF(G1182="","",IF(G1182="?","⚠ pub inconnue",IFERROR(INDEX(Pubs!$B$2:$B$3001,MATCH(G1182,Pubs!$A$2:$A$3001,0))&amp;"","⚠ pub inconnue")))</f>
        <v/>
      </c>
      <c r="I1182" s="27" t="str">
        <f aca="false">IF(OR(G1182="",G1182="?"),"",IFERROR(INDEX(Pubs!$C$2:$C$3001,MATCH(G1182,Pubs!$A$2:$A$3001,0))&amp;"",""))</f>
        <v/>
      </c>
      <c r="J1182" s="27" t="str">
        <f aca="false">IF(OR(G1182="",G1182="?"),"",IFERROR(INDEX(Pubs!$G$2:$G$3001,MATCH(G1182,Pubs!$A$2:$A$3001,0))&amp;"",""))</f>
        <v/>
      </c>
      <c r="K1182" s="28" t="str">
        <f aca="false">IF(OR(G1182="",G1182="?"),"",IFERROR(INDEX(Pubs!$E$2:$E$3001,MATCH(G1182,Pubs!$A$2:$A$3001,0)),""))</f>
        <v/>
      </c>
      <c r="L1182" s="29" t="str">
        <f aca="false">IF(A1182="","",IFERROR(1/(1/INDEX(Numéros!$C$2:$C$3001,MATCH(A1182&amp;"|"&amp;B1182,Numéros!$F$2:$F$3001,0))),""))</f>
        <v/>
      </c>
      <c r="M1182" s="27" t="str">
        <f aca="false">IF(OR(G1182="",G1182="?"),"",IFERROR(INDEX(Pubs!$D$2:$D$3001,MATCH(G1182,Pubs!$A$2:$A$3001,0))&amp;"",""))</f>
        <v/>
      </c>
      <c r="N1182" s="27" t="n">
        <f aca="false">N(N1181)+IF(AND(A1182&lt;&gt;"",OR(Recherche!$C$4="",A1182=Recherche!$C$4),OR(Recherche!$C$5="",B1182&amp;""=Recherche!$C$5&amp;""),OR(Recherche!$C$6="",IFERROR(YEAR(L1182),0)=Recherche!$C$6),OR(Recherche!$C$7="",ISNUMBER(SEARCH(Recherche!$C$7,H1182))),OR(Recherche!$C$8="",J1182=Recherche!$C$8),OR(Recherche!$C$9="",I1182=Recherche!$C$9),OR(Recherche!$C$10="",G1182&amp;""=Recherche!$C$10&amp;""),OR(Recherche!$C$11="",E1182=Recherche!$C$11),OR(Recherche!$C$12="",ISNUMBER(SEARCH(Recherche!$C$12,M1182&amp;" "&amp;F1182)))),1,0)</f>
        <v>8</v>
      </c>
    </row>
    <row r="1183" customFormat="false" ht="15" hidden="false" customHeight="false" outlineLevel="0" collapsed="false">
      <c r="A1183" s="19"/>
      <c r="B1183" s="19"/>
      <c r="C1183" s="19"/>
      <c r="D1183" s="19"/>
      <c r="E1183" s="22"/>
      <c r="F1183" s="19"/>
      <c r="G1183" s="26" t="str">
        <f aca="false">IF(D1183="","",IFERROR(VALUE(LEFT(D1183,FIND(" |",D1183&amp;" |")-1)),"?"))</f>
        <v/>
      </c>
      <c r="H1183" s="27" t="str">
        <f aca="false">IF(G1183="","",IF(G1183="?","⚠ pub inconnue",IFERROR(INDEX(Pubs!$B$2:$B$3001,MATCH(G1183,Pubs!$A$2:$A$3001,0))&amp;"","⚠ pub inconnue")))</f>
        <v/>
      </c>
      <c r="I1183" s="27" t="str">
        <f aca="false">IF(OR(G1183="",G1183="?"),"",IFERROR(INDEX(Pubs!$C$2:$C$3001,MATCH(G1183,Pubs!$A$2:$A$3001,0))&amp;"",""))</f>
        <v/>
      </c>
      <c r="J1183" s="27" t="str">
        <f aca="false">IF(OR(G1183="",G1183="?"),"",IFERROR(INDEX(Pubs!$G$2:$G$3001,MATCH(G1183,Pubs!$A$2:$A$3001,0))&amp;"",""))</f>
        <v/>
      </c>
      <c r="K1183" s="28" t="str">
        <f aca="false">IF(OR(G1183="",G1183="?"),"",IFERROR(INDEX(Pubs!$E$2:$E$3001,MATCH(G1183,Pubs!$A$2:$A$3001,0)),""))</f>
        <v/>
      </c>
      <c r="L1183" s="29" t="str">
        <f aca="false">IF(A1183="","",IFERROR(1/(1/INDEX(Numéros!$C$2:$C$3001,MATCH(A1183&amp;"|"&amp;B1183,Numéros!$F$2:$F$3001,0))),""))</f>
        <v/>
      </c>
      <c r="M1183" s="27" t="str">
        <f aca="false">IF(OR(G1183="",G1183="?"),"",IFERROR(INDEX(Pubs!$D$2:$D$3001,MATCH(G1183,Pubs!$A$2:$A$3001,0))&amp;"",""))</f>
        <v/>
      </c>
      <c r="N1183" s="27" t="n">
        <f aca="false">N(N1182)+IF(AND(A1183&lt;&gt;"",OR(Recherche!$C$4="",A1183=Recherche!$C$4),OR(Recherche!$C$5="",B1183&amp;""=Recherche!$C$5&amp;""),OR(Recherche!$C$6="",IFERROR(YEAR(L1183),0)=Recherche!$C$6),OR(Recherche!$C$7="",ISNUMBER(SEARCH(Recherche!$C$7,H1183))),OR(Recherche!$C$8="",J1183=Recherche!$C$8),OR(Recherche!$C$9="",I1183=Recherche!$C$9),OR(Recherche!$C$10="",G1183&amp;""=Recherche!$C$10&amp;""),OR(Recherche!$C$11="",E1183=Recherche!$C$11),OR(Recherche!$C$12="",ISNUMBER(SEARCH(Recherche!$C$12,M1183&amp;" "&amp;F1183)))),1,0)</f>
        <v>8</v>
      </c>
    </row>
    <row r="1184" customFormat="false" ht="15" hidden="false" customHeight="false" outlineLevel="0" collapsed="false">
      <c r="A1184" s="19"/>
      <c r="B1184" s="19"/>
      <c r="C1184" s="19"/>
      <c r="D1184" s="19"/>
      <c r="E1184" s="22"/>
      <c r="F1184" s="19"/>
      <c r="G1184" s="26" t="str">
        <f aca="false">IF(D1184="","",IFERROR(VALUE(LEFT(D1184,FIND(" |",D1184&amp;" |")-1)),"?"))</f>
        <v/>
      </c>
      <c r="H1184" s="27" t="str">
        <f aca="false">IF(G1184="","",IF(G1184="?","⚠ pub inconnue",IFERROR(INDEX(Pubs!$B$2:$B$3001,MATCH(G1184,Pubs!$A$2:$A$3001,0))&amp;"","⚠ pub inconnue")))</f>
        <v/>
      </c>
      <c r="I1184" s="27" t="str">
        <f aca="false">IF(OR(G1184="",G1184="?"),"",IFERROR(INDEX(Pubs!$C$2:$C$3001,MATCH(G1184,Pubs!$A$2:$A$3001,0))&amp;"",""))</f>
        <v/>
      </c>
      <c r="J1184" s="27" t="str">
        <f aca="false">IF(OR(G1184="",G1184="?"),"",IFERROR(INDEX(Pubs!$G$2:$G$3001,MATCH(G1184,Pubs!$A$2:$A$3001,0))&amp;"",""))</f>
        <v/>
      </c>
      <c r="K1184" s="28" t="str">
        <f aca="false">IF(OR(G1184="",G1184="?"),"",IFERROR(INDEX(Pubs!$E$2:$E$3001,MATCH(G1184,Pubs!$A$2:$A$3001,0)),""))</f>
        <v/>
      </c>
      <c r="L1184" s="29" t="str">
        <f aca="false">IF(A1184="","",IFERROR(1/(1/INDEX(Numéros!$C$2:$C$3001,MATCH(A1184&amp;"|"&amp;B1184,Numéros!$F$2:$F$3001,0))),""))</f>
        <v/>
      </c>
      <c r="M1184" s="27" t="str">
        <f aca="false">IF(OR(G1184="",G1184="?"),"",IFERROR(INDEX(Pubs!$D$2:$D$3001,MATCH(G1184,Pubs!$A$2:$A$3001,0))&amp;"",""))</f>
        <v/>
      </c>
      <c r="N1184" s="27" t="n">
        <f aca="false">N(N1183)+IF(AND(A1184&lt;&gt;"",OR(Recherche!$C$4="",A1184=Recherche!$C$4),OR(Recherche!$C$5="",B1184&amp;""=Recherche!$C$5&amp;""),OR(Recherche!$C$6="",IFERROR(YEAR(L1184),0)=Recherche!$C$6),OR(Recherche!$C$7="",ISNUMBER(SEARCH(Recherche!$C$7,H1184))),OR(Recherche!$C$8="",J1184=Recherche!$C$8),OR(Recherche!$C$9="",I1184=Recherche!$C$9),OR(Recherche!$C$10="",G1184&amp;""=Recherche!$C$10&amp;""),OR(Recherche!$C$11="",E1184=Recherche!$C$11),OR(Recherche!$C$12="",ISNUMBER(SEARCH(Recherche!$C$12,M1184&amp;" "&amp;F1184)))),1,0)</f>
        <v>8</v>
      </c>
    </row>
    <row r="1185" customFormat="false" ht="15" hidden="false" customHeight="false" outlineLevel="0" collapsed="false">
      <c r="A1185" s="19"/>
      <c r="B1185" s="19"/>
      <c r="C1185" s="19"/>
      <c r="D1185" s="19"/>
      <c r="E1185" s="22"/>
      <c r="F1185" s="19"/>
      <c r="G1185" s="26" t="str">
        <f aca="false">IF(D1185="","",IFERROR(VALUE(LEFT(D1185,FIND(" |",D1185&amp;" |")-1)),"?"))</f>
        <v/>
      </c>
      <c r="H1185" s="27" t="str">
        <f aca="false">IF(G1185="","",IF(G1185="?","⚠ pub inconnue",IFERROR(INDEX(Pubs!$B$2:$B$3001,MATCH(G1185,Pubs!$A$2:$A$3001,0))&amp;"","⚠ pub inconnue")))</f>
        <v/>
      </c>
      <c r="I1185" s="27" t="str">
        <f aca="false">IF(OR(G1185="",G1185="?"),"",IFERROR(INDEX(Pubs!$C$2:$C$3001,MATCH(G1185,Pubs!$A$2:$A$3001,0))&amp;"",""))</f>
        <v/>
      </c>
      <c r="J1185" s="27" t="str">
        <f aca="false">IF(OR(G1185="",G1185="?"),"",IFERROR(INDEX(Pubs!$G$2:$G$3001,MATCH(G1185,Pubs!$A$2:$A$3001,0))&amp;"",""))</f>
        <v/>
      </c>
      <c r="K1185" s="28" t="str">
        <f aca="false">IF(OR(G1185="",G1185="?"),"",IFERROR(INDEX(Pubs!$E$2:$E$3001,MATCH(G1185,Pubs!$A$2:$A$3001,0)),""))</f>
        <v/>
      </c>
      <c r="L1185" s="29" t="str">
        <f aca="false">IF(A1185="","",IFERROR(1/(1/INDEX(Numéros!$C$2:$C$3001,MATCH(A1185&amp;"|"&amp;B1185,Numéros!$F$2:$F$3001,0))),""))</f>
        <v/>
      </c>
      <c r="M1185" s="27" t="str">
        <f aca="false">IF(OR(G1185="",G1185="?"),"",IFERROR(INDEX(Pubs!$D$2:$D$3001,MATCH(G1185,Pubs!$A$2:$A$3001,0))&amp;"",""))</f>
        <v/>
      </c>
      <c r="N1185" s="27" t="n">
        <f aca="false">N(N1184)+IF(AND(A1185&lt;&gt;"",OR(Recherche!$C$4="",A1185=Recherche!$C$4),OR(Recherche!$C$5="",B1185&amp;""=Recherche!$C$5&amp;""),OR(Recherche!$C$6="",IFERROR(YEAR(L1185),0)=Recherche!$C$6),OR(Recherche!$C$7="",ISNUMBER(SEARCH(Recherche!$C$7,H1185))),OR(Recherche!$C$8="",J1185=Recherche!$C$8),OR(Recherche!$C$9="",I1185=Recherche!$C$9),OR(Recherche!$C$10="",G1185&amp;""=Recherche!$C$10&amp;""),OR(Recherche!$C$11="",E1185=Recherche!$C$11),OR(Recherche!$C$12="",ISNUMBER(SEARCH(Recherche!$C$12,M1185&amp;" "&amp;F1185)))),1,0)</f>
        <v>8</v>
      </c>
    </row>
    <row r="1186" customFormat="false" ht="15" hidden="false" customHeight="false" outlineLevel="0" collapsed="false">
      <c r="A1186" s="19"/>
      <c r="B1186" s="19"/>
      <c r="C1186" s="19"/>
      <c r="D1186" s="19"/>
      <c r="E1186" s="22"/>
      <c r="F1186" s="19"/>
      <c r="G1186" s="26" t="str">
        <f aca="false">IF(D1186="","",IFERROR(VALUE(LEFT(D1186,FIND(" |",D1186&amp;" |")-1)),"?"))</f>
        <v/>
      </c>
      <c r="H1186" s="27" t="str">
        <f aca="false">IF(G1186="","",IF(G1186="?","⚠ pub inconnue",IFERROR(INDEX(Pubs!$B$2:$B$3001,MATCH(G1186,Pubs!$A$2:$A$3001,0))&amp;"","⚠ pub inconnue")))</f>
        <v/>
      </c>
      <c r="I1186" s="27" t="str">
        <f aca="false">IF(OR(G1186="",G1186="?"),"",IFERROR(INDEX(Pubs!$C$2:$C$3001,MATCH(G1186,Pubs!$A$2:$A$3001,0))&amp;"",""))</f>
        <v/>
      </c>
      <c r="J1186" s="27" t="str">
        <f aca="false">IF(OR(G1186="",G1186="?"),"",IFERROR(INDEX(Pubs!$G$2:$G$3001,MATCH(G1186,Pubs!$A$2:$A$3001,0))&amp;"",""))</f>
        <v/>
      </c>
      <c r="K1186" s="28" t="str">
        <f aca="false">IF(OR(G1186="",G1186="?"),"",IFERROR(INDEX(Pubs!$E$2:$E$3001,MATCH(G1186,Pubs!$A$2:$A$3001,0)),""))</f>
        <v/>
      </c>
      <c r="L1186" s="29" t="str">
        <f aca="false">IF(A1186="","",IFERROR(1/(1/INDEX(Numéros!$C$2:$C$3001,MATCH(A1186&amp;"|"&amp;B1186,Numéros!$F$2:$F$3001,0))),""))</f>
        <v/>
      </c>
      <c r="M1186" s="27" t="str">
        <f aca="false">IF(OR(G1186="",G1186="?"),"",IFERROR(INDEX(Pubs!$D$2:$D$3001,MATCH(G1186,Pubs!$A$2:$A$3001,0))&amp;"",""))</f>
        <v/>
      </c>
      <c r="N1186" s="27" t="n">
        <f aca="false">N(N1185)+IF(AND(A1186&lt;&gt;"",OR(Recherche!$C$4="",A1186=Recherche!$C$4),OR(Recherche!$C$5="",B1186&amp;""=Recherche!$C$5&amp;""),OR(Recherche!$C$6="",IFERROR(YEAR(L1186),0)=Recherche!$C$6),OR(Recherche!$C$7="",ISNUMBER(SEARCH(Recherche!$C$7,H1186))),OR(Recherche!$C$8="",J1186=Recherche!$C$8),OR(Recherche!$C$9="",I1186=Recherche!$C$9),OR(Recherche!$C$10="",G1186&amp;""=Recherche!$C$10&amp;""),OR(Recherche!$C$11="",E1186=Recherche!$C$11),OR(Recherche!$C$12="",ISNUMBER(SEARCH(Recherche!$C$12,M1186&amp;" "&amp;F1186)))),1,0)</f>
        <v>8</v>
      </c>
    </row>
    <row r="1187" customFormat="false" ht="15" hidden="false" customHeight="false" outlineLevel="0" collapsed="false">
      <c r="A1187" s="19"/>
      <c r="B1187" s="19"/>
      <c r="C1187" s="19"/>
      <c r="D1187" s="19"/>
      <c r="E1187" s="22"/>
      <c r="F1187" s="19"/>
      <c r="G1187" s="26" t="str">
        <f aca="false">IF(D1187="","",IFERROR(VALUE(LEFT(D1187,FIND(" |",D1187&amp;" |")-1)),"?"))</f>
        <v/>
      </c>
      <c r="H1187" s="27" t="str">
        <f aca="false">IF(G1187="","",IF(G1187="?","⚠ pub inconnue",IFERROR(INDEX(Pubs!$B$2:$B$3001,MATCH(G1187,Pubs!$A$2:$A$3001,0))&amp;"","⚠ pub inconnue")))</f>
        <v/>
      </c>
      <c r="I1187" s="27" t="str">
        <f aca="false">IF(OR(G1187="",G1187="?"),"",IFERROR(INDEX(Pubs!$C$2:$C$3001,MATCH(G1187,Pubs!$A$2:$A$3001,0))&amp;"",""))</f>
        <v/>
      </c>
      <c r="J1187" s="27" t="str">
        <f aca="false">IF(OR(G1187="",G1187="?"),"",IFERROR(INDEX(Pubs!$G$2:$G$3001,MATCH(G1187,Pubs!$A$2:$A$3001,0))&amp;"",""))</f>
        <v/>
      </c>
      <c r="K1187" s="28" t="str">
        <f aca="false">IF(OR(G1187="",G1187="?"),"",IFERROR(INDEX(Pubs!$E$2:$E$3001,MATCH(G1187,Pubs!$A$2:$A$3001,0)),""))</f>
        <v/>
      </c>
      <c r="L1187" s="29" t="str">
        <f aca="false">IF(A1187="","",IFERROR(1/(1/INDEX(Numéros!$C$2:$C$3001,MATCH(A1187&amp;"|"&amp;B1187,Numéros!$F$2:$F$3001,0))),""))</f>
        <v/>
      </c>
      <c r="M1187" s="27" t="str">
        <f aca="false">IF(OR(G1187="",G1187="?"),"",IFERROR(INDEX(Pubs!$D$2:$D$3001,MATCH(G1187,Pubs!$A$2:$A$3001,0))&amp;"",""))</f>
        <v/>
      </c>
      <c r="N1187" s="27" t="n">
        <f aca="false">N(N1186)+IF(AND(A1187&lt;&gt;"",OR(Recherche!$C$4="",A1187=Recherche!$C$4),OR(Recherche!$C$5="",B1187&amp;""=Recherche!$C$5&amp;""),OR(Recherche!$C$6="",IFERROR(YEAR(L1187),0)=Recherche!$C$6),OR(Recherche!$C$7="",ISNUMBER(SEARCH(Recherche!$C$7,H1187))),OR(Recherche!$C$8="",J1187=Recherche!$C$8),OR(Recherche!$C$9="",I1187=Recherche!$C$9),OR(Recherche!$C$10="",G1187&amp;""=Recherche!$C$10&amp;""),OR(Recherche!$C$11="",E1187=Recherche!$C$11),OR(Recherche!$C$12="",ISNUMBER(SEARCH(Recherche!$C$12,M1187&amp;" "&amp;F1187)))),1,0)</f>
        <v>8</v>
      </c>
    </row>
    <row r="1188" customFormat="false" ht="15" hidden="false" customHeight="false" outlineLevel="0" collapsed="false">
      <c r="A1188" s="19"/>
      <c r="B1188" s="19"/>
      <c r="C1188" s="19"/>
      <c r="D1188" s="19"/>
      <c r="E1188" s="22"/>
      <c r="F1188" s="19"/>
      <c r="G1188" s="26" t="str">
        <f aca="false">IF(D1188="","",IFERROR(VALUE(LEFT(D1188,FIND(" |",D1188&amp;" |")-1)),"?"))</f>
        <v/>
      </c>
      <c r="H1188" s="27" t="str">
        <f aca="false">IF(G1188="","",IF(G1188="?","⚠ pub inconnue",IFERROR(INDEX(Pubs!$B$2:$B$3001,MATCH(G1188,Pubs!$A$2:$A$3001,0))&amp;"","⚠ pub inconnue")))</f>
        <v/>
      </c>
      <c r="I1188" s="27" t="str">
        <f aca="false">IF(OR(G1188="",G1188="?"),"",IFERROR(INDEX(Pubs!$C$2:$C$3001,MATCH(G1188,Pubs!$A$2:$A$3001,0))&amp;"",""))</f>
        <v/>
      </c>
      <c r="J1188" s="27" t="str">
        <f aca="false">IF(OR(G1188="",G1188="?"),"",IFERROR(INDEX(Pubs!$G$2:$G$3001,MATCH(G1188,Pubs!$A$2:$A$3001,0))&amp;"",""))</f>
        <v/>
      </c>
      <c r="K1188" s="28" t="str">
        <f aca="false">IF(OR(G1188="",G1188="?"),"",IFERROR(INDEX(Pubs!$E$2:$E$3001,MATCH(G1188,Pubs!$A$2:$A$3001,0)),""))</f>
        <v/>
      </c>
      <c r="L1188" s="29" t="str">
        <f aca="false">IF(A1188="","",IFERROR(1/(1/INDEX(Numéros!$C$2:$C$3001,MATCH(A1188&amp;"|"&amp;B1188,Numéros!$F$2:$F$3001,0))),""))</f>
        <v/>
      </c>
      <c r="M1188" s="27" t="str">
        <f aca="false">IF(OR(G1188="",G1188="?"),"",IFERROR(INDEX(Pubs!$D$2:$D$3001,MATCH(G1188,Pubs!$A$2:$A$3001,0))&amp;"",""))</f>
        <v/>
      </c>
      <c r="N1188" s="27" t="n">
        <f aca="false">N(N1187)+IF(AND(A1188&lt;&gt;"",OR(Recherche!$C$4="",A1188=Recherche!$C$4),OR(Recherche!$C$5="",B1188&amp;""=Recherche!$C$5&amp;""),OR(Recherche!$C$6="",IFERROR(YEAR(L1188),0)=Recherche!$C$6),OR(Recherche!$C$7="",ISNUMBER(SEARCH(Recherche!$C$7,H1188))),OR(Recherche!$C$8="",J1188=Recherche!$C$8),OR(Recherche!$C$9="",I1188=Recherche!$C$9),OR(Recherche!$C$10="",G1188&amp;""=Recherche!$C$10&amp;""),OR(Recherche!$C$11="",E1188=Recherche!$C$11),OR(Recherche!$C$12="",ISNUMBER(SEARCH(Recherche!$C$12,M1188&amp;" "&amp;F1188)))),1,0)</f>
        <v>8</v>
      </c>
    </row>
    <row r="1189" customFormat="false" ht="15" hidden="false" customHeight="false" outlineLevel="0" collapsed="false">
      <c r="A1189" s="19"/>
      <c r="B1189" s="19"/>
      <c r="C1189" s="19"/>
      <c r="D1189" s="19"/>
      <c r="E1189" s="22"/>
      <c r="F1189" s="19"/>
      <c r="G1189" s="26" t="str">
        <f aca="false">IF(D1189="","",IFERROR(VALUE(LEFT(D1189,FIND(" |",D1189&amp;" |")-1)),"?"))</f>
        <v/>
      </c>
      <c r="H1189" s="27" t="str">
        <f aca="false">IF(G1189="","",IF(G1189="?","⚠ pub inconnue",IFERROR(INDEX(Pubs!$B$2:$B$3001,MATCH(G1189,Pubs!$A$2:$A$3001,0))&amp;"","⚠ pub inconnue")))</f>
        <v/>
      </c>
      <c r="I1189" s="27" t="str">
        <f aca="false">IF(OR(G1189="",G1189="?"),"",IFERROR(INDEX(Pubs!$C$2:$C$3001,MATCH(G1189,Pubs!$A$2:$A$3001,0))&amp;"",""))</f>
        <v/>
      </c>
      <c r="J1189" s="27" t="str">
        <f aca="false">IF(OR(G1189="",G1189="?"),"",IFERROR(INDEX(Pubs!$G$2:$G$3001,MATCH(G1189,Pubs!$A$2:$A$3001,0))&amp;"",""))</f>
        <v/>
      </c>
      <c r="K1189" s="28" t="str">
        <f aca="false">IF(OR(G1189="",G1189="?"),"",IFERROR(INDEX(Pubs!$E$2:$E$3001,MATCH(G1189,Pubs!$A$2:$A$3001,0)),""))</f>
        <v/>
      </c>
      <c r="L1189" s="29" t="str">
        <f aca="false">IF(A1189="","",IFERROR(1/(1/INDEX(Numéros!$C$2:$C$3001,MATCH(A1189&amp;"|"&amp;B1189,Numéros!$F$2:$F$3001,0))),""))</f>
        <v/>
      </c>
      <c r="M1189" s="27" t="str">
        <f aca="false">IF(OR(G1189="",G1189="?"),"",IFERROR(INDEX(Pubs!$D$2:$D$3001,MATCH(G1189,Pubs!$A$2:$A$3001,0))&amp;"",""))</f>
        <v/>
      </c>
      <c r="N1189" s="27" t="n">
        <f aca="false">N(N1188)+IF(AND(A1189&lt;&gt;"",OR(Recherche!$C$4="",A1189=Recherche!$C$4),OR(Recherche!$C$5="",B1189&amp;""=Recherche!$C$5&amp;""),OR(Recherche!$C$6="",IFERROR(YEAR(L1189),0)=Recherche!$C$6),OR(Recherche!$C$7="",ISNUMBER(SEARCH(Recherche!$C$7,H1189))),OR(Recherche!$C$8="",J1189=Recherche!$C$8),OR(Recherche!$C$9="",I1189=Recherche!$C$9),OR(Recherche!$C$10="",G1189&amp;""=Recherche!$C$10&amp;""),OR(Recherche!$C$11="",E1189=Recherche!$C$11),OR(Recherche!$C$12="",ISNUMBER(SEARCH(Recherche!$C$12,M1189&amp;" "&amp;F1189)))),1,0)</f>
        <v>8</v>
      </c>
    </row>
    <row r="1190" customFormat="false" ht="15" hidden="false" customHeight="false" outlineLevel="0" collapsed="false">
      <c r="A1190" s="19"/>
      <c r="B1190" s="19"/>
      <c r="C1190" s="19"/>
      <c r="D1190" s="19"/>
      <c r="E1190" s="22"/>
      <c r="F1190" s="19"/>
      <c r="G1190" s="26" t="str">
        <f aca="false">IF(D1190="","",IFERROR(VALUE(LEFT(D1190,FIND(" |",D1190&amp;" |")-1)),"?"))</f>
        <v/>
      </c>
      <c r="H1190" s="27" t="str">
        <f aca="false">IF(G1190="","",IF(G1190="?","⚠ pub inconnue",IFERROR(INDEX(Pubs!$B$2:$B$3001,MATCH(G1190,Pubs!$A$2:$A$3001,0))&amp;"","⚠ pub inconnue")))</f>
        <v/>
      </c>
      <c r="I1190" s="27" t="str">
        <f aca="false">IF(OR(G1190="",G1190="?"),"",IFERROR(INDEX(Pubs!$C$2:$C$3001,MATCH(G1190,Pubs!$A$2:$A$3001,0))&amp;"",""))</f>
        <v/>
      </c>
      <c r="J1190" s="27" t="str">
        <f aca="false">IF(OR(G1190="",G1190="?"),"",IFERROR(INDEX(Pubs!$G$2:$G$3001,MATCH(G1190,Pubs!$A$2:$A$3001,0))&amp;"",""))</f>
        <v/>
      </c>
      <c r="K1190" s="28" t="str">
        <f aca="false">IF(OR(G1190="",G1190="?"),"",IFERROR(INDEX(Pubs!$E$2:$E$3001,MATCH(G1190,Pubs!$A$2:$A$3001,0)),""))</f>
        <v/>
      </c>
      <c r="L1190" s="29" t="str">
        <f aca="false">IF(A1190="","",IFERROR(1/(1/INDEX(Numéros!$C$2:$C$3001,MATCH(A1190&amp;"|"&amp;B1190,Numéros!$F$2:$F$3001,0))),""))</f>
        <v/>
      </c>
      <c r="M1190" s="27" t="str">
        <f aca="false">IF(OR(G1190="",G1190="?"),"",IFERROR(INDEX(Pubs!$D$2:$D$3001,MATCH(G1190,Pubs!$A$2:$A$3001,0))&amp;"",""))</f>
        <v/>
      </c>
      <c r="N1190" s="27" t="n">
        <f aca="false">N(N1189)+IF(AND(A1190&lt;&gt;"",OR(Recherche!$C$4="",A1190=Recherche!$C$4),OR(Recherche!$C$5="",B1190&amp;""=Recherche!$C$5&amp;""),OR(Recherche!$C$6="",IFERROR(YEAR(L1190),0)=Recherche!$C$6),OR(Recherche!$C$7="",ISNUMBER(SEARCH(Recherche!$C$7,H1190))),OR(Recherche!$C$8="",J1190=Recherche!$C$8),OR(Recherche!$C$9="",I1190=Recherche!$C$9),OR(Recherche!$C$10="",G1190&amp;""=Recherche!$C$10&amp;""),OR(Recherche!$C$11="",E1190=Recherche!$C$11),OR(Recherche!$C$12="",ISNUMBER(SEARCH(Recherche!$C$12,M1190&amp;" "&amp;F1190)))),1,0)</f>
        <v>8</v>
      </c>
    </row>
    <row r="1191" customFormat="false" ht="15" hidden="false" customHeight="false" outlineLevel="0" collapsed="false">
      <c r="A1191" s="19"/>
      <c r="B1191" s="19"/>
      <c r="C1191" s="19"/>
      <c r="D1191" s="19"/>
      <c r="E1191" s="22"/>
      <c r="F1191" s="19"/>
      <c r="G1191" s="26" t="str">
        <f aca="false">IF(D1191="","",IFERROR(VALUE(LEFT(D1191,FIND(" |",D1191&amp;" |")-1)),"?"))</f>
        <v/>
      </c>
      <c r="H1191" s="27" t="str">
        <f aca="false">IF(G1191="","",IF(G1191="?","⚠ pub inconnue",IFERROR(INDEX(Pubs!$B$2:$B$3001,MATCH(G1191,Pubs!$A$2:$A$3001,0))&amp;"","⚠ pub inconnue")))</f>
        <v/>
      </c>
      <c r="I1191" s="27" t="str">
        <f aca="false">IF(OR(G1191="",G1191="?"),"",IFERROR(INDEX(Pubs!$C$2:$C$3001,MATCH(G1191,Pubs!$A$2:$A$3001,0))&amp;"",""))</f>
        <v/>
      </c>
      <c r="J1191" s="27" t="str">
        <f aca="false">IF(OR(G1191="",G1191="?"),"",IFERROR(INDEX(Pubs!$G$2:$G$3001,MATCH(G1191,Pubs!$A$2:$A$3001,0))&amp;"",""))</f>
        <v/>
      </c>
      <c r="K1191" s="28" t="str">
        <f aca="false">IF(OR(G1191="",G1191="?"),"",IFERROR(INDEX(Pubs!$E$2:$E$3001,MATCH(G1191,Pubs!$A$2:$A$3001,0)),""))</f>
        <v/>
      </c>
      <c r="L1191" s="29" t="str">
        <f aca="false">IF(A1191="","",IFERROR(1/(1/INDEX(Numéros!$C$2:$C$3001,MATCH(A1191&amp;"|"&amp;B1191,Numéros!$F$2:$F$3001,0))),""))</f>
        <v/>
      </c>
      <c r="M1191" s="27" t="str">
        <f aca="false">IF(OR(G1191="",G1191="?"),"",IFERROR(INDEX(Pubs!$D$2:$D$3001,MATCH(G1191,Pubs!$A$2:$A$3001,0))&amp;"",""))</f>
        <v/>
      </c>
      <c r="N1191" s="27" t="n">
        <f aca="false">N(N1190)+IF(AND(A1191&lt;&gt;"",OR(Recherche!$C$4="",A1191=Recherche!$C$4),OR(Recherche!$C$5="",B1191&amp;""=Recherche!$C$5&amp;""),OR(Recherche!$C$6="",IFERROR(YEAR(L1191),0)=Recherche!$C$6),OR(Recherche!$C$7="",ISNUMBER(SEARCH(Recherche!$C$7,H1191))),OR(Recherche!$C$8="",J1191=Recherche!$C$8),OR(Recherche!$C$9="",I1191=Recherche!$C$9),OR(Recherche!$C$10="",G1191&amp;""=Recherche!$C$10&amp;""),OR(Recherche!$C$11="",E1191=Recherche!$C$11),OR(Recherche!$C$12="",ISNUMBER(SEARCH(Recherche!$C$12,M1191&amp;" "&amp;F1191)))),1,0)</f>
        <v>8</v>
      </c>
    </row>
    <row r="1192" customFormat="false" ht="15" hidden="false" customHeight="false" outlineLevel="0" collapsed="false">
      <c r="A1192" s="19"/>
      <c r="B1192" s="19"/>
      <c r="C1192" s="19"/>
      <c r="D1192" s="19"/>
      <c r="E1192" s="22"/>
      <c r="F1192" s="19"/>
      <c r="G1192" s="26" t="str">
        <f aca="false">IF(D1192="","",IFERROR(VALUE(LEFT(D1192,FIND(" |",D1192&amp;" |")-1)),"?"))</f>
        <v/>
      </c>
      <c r="H1192" s="27" t="str">
        <f aca="false">IF(G1192="","",IF(G1192="?","⚠ pub inconnue",IFERROR(INDEX(Pubs!$B$2:$B$3001,MATCH(G1192,Pubs!$A$2:$A$3001,0))&amp;"","⚠ pub inconnue")))</f>
        <v/>
      </c>
      <c r="I1192" s="27" t="str">
        <f aca="false">IF(OR(G1192="",G1192="?"),"",IFERROR(INDEX(Pubs!$C$2:$C$3001,MATCH(G1192,Pubs!$A$2:$A$3001,0))&amp;"",""))</f>
        <v/>
      </c>
      <c r="J1192" s="27" t="str">
        <f aca="false">IF(OR(G1192="",G1192="?"),"",IFERROR(INDEX(Pubs!$G$2:$G$3001,MATCH(G1192,Pubs!$A$2:$A$3001,0))&amp;"",""))</f>
        <v/>
      </c>
      <c r="K1192" s="28" t="str">
        <f aca="false">IF(OR(G1192="",G1192="?"),"",IFERROR(INDEX(Pubs!$E$2:$E$3001,MATCH(G1192,Pubs!$A$2:$A$3001,0)),""))</f>
        <v/>
      </c>
      <c r="L1192" s="29" t="str">
        <f aca="false">IF(A1192="","",IFERROR(1/(1/INDEX(Numéros!$C$2:$C$3001,MATCH(A1192&amp;"|"&amp;B1192,Numéros!$F$2:$F$3001,0))),""))</f>
        <v/>
      </c>
      <c r="M1192" s="27" t="str">
        <f aca="false">IF(OR(G1192="",G1192="?"),"",IFERROR(INDEX(Pubs!$D$2:$D$3001,MATCH(G1192,Pubs!$A$2:$A$3001,0))&amp;"",""))</f>
        <v/>
      </c>
      <c r="N1192" s="27" t="n">
        <f aca="false">N(N1191)+IF(AND(A1192&lt;&gt;"",OR(Recherche!$C$4="",A1192=Recherche!$C$4),OR(Recherche!$C$5="",B1192&amp;""=Recherche!$C$5&amp;""),OR(Recherche!$C$6="",IFERROR(YEAR(L1192),0)=Recherche!$C$6),OR(Recherche!$C$7="",ISNUMBER(SEARCH(Recherche!$C$7,H1192))),OR(Recherche!$C$8="",J1192=Recherche!$C$8),OR(Recherche!$C$9="",I1192=Recherche!$C$9),OR(Recherche!$C$10="",G1192&amp;""=Recherche!$C$10&amp;""),OR(Recherche!$C$11="",E1192=Recherche!$C$11),OR(Recherche!$C$12="",ISNUMBER(SEARCH(Recherche!$C$12,M1192&amp;" "&amp;F1192)))),1,0)</f>
        <v>8</v>
      </c>
    </row>
    <row r="1193" customFormat="false" ht="15" hidden="false" customHeight="false" outlineLevel="0" collapsed="false">
      <c r="A1193" s="19"/>
      <c r="B1193" s="19"/>
      <c r="C1193" s="19"/>
      <c r="D1193" s="19"/>
      <c r="E1193" s="22"/>
      <c r="F1193" s="19"/>
      <c r="G1193" s="26" t="str">
        <f aca="false">IF(D1193="","",IFERROR(VALUE(LEFT(D1193,FIND(" |",D1193&amp;" |")-1)),"?"))</f>
        <v/>
      </c>
      <c r="H1193" s="27" t="str">
        <f aca="false">IF(G1193="","",IF(G1193="?","⚠ pub inconnue",IFERROR(INDEX(Pubs!$B$2:$B$3001,MATCH(G1193,Pubs!$A$2:$A$3001,0))&amp;"","⚠ pub inconnue")))</f>
        <v/>
      </c>
      <c r="I1193" s="27" t="str">
        <f aca="false">IF(OR(G1193="",G1193="?"),"",IFERROR(INDEX(Pubs!$C$2:$C$3001,MATCH(G1193,Pubs!$A$2:$A$3001,0))&amp;"",""))</f>
        <v/>
      </c>
      <c r="J1193" s="27" t="str">
        <f aca="false">IF(OR(G1193="",G1193="?"),"",IFERROR(INDEX(Pubs!$G$2:$G$3001,MATCH(G1193,Pubs!$A$2:$A$3001,0))&amp;"",""))</f>
        <v/>
      </c>
      <c r="K1193" s="28" t="str">
        <f aca="false">IF(OR(G1193="",G1193="?"),"",IFERROR(INDEX(Pubs!$E$2:$E$3001,MATCH(G1193,Pubs!$A$2:$A$3001,0)),""))</f>
        <v/>
      </c>
      <c r="L1193" s="29" t="str">
        <f aca="false">IF(A1193="","",IFERROR(1/(1/INDEX(Numéros!$C$2:$C$3001,MATCH(A1193&amp;"|"&amp;B1193,Numéros!$F$2:$F$3001,0))),""))</f>
        <v/>
      </c>
      <c r="M1193" s="27" t="str">
        <f aca="false">IF(OR(G1193="",G1193="?"),"",IFERROR(INDEX(Pubs!$D$2:$D$3001,MATCH(G1193,Pubs!$A$2:$A$3001,0))&amp;"",""))</f>
        <v/>
      </c>
      <c r="N1193" s="27" t="n">
        <f aca="false">N(N1192)+IF(AND(A1193&lt;&gt;"",OR(Recherche!$C$4="",A1193=Recherche!$C$4),OR(Recherche!$C$5="",B1193&amp;""=Recherche!$C$5&amp;""),OR(Recherche!$C$6="",IFERROR(YEAR(L1193),0)=Recherche!$C$6),OR(Recherche!$C$7="",ISNUMBER(SEARCH(Recherche!$C$7,H1193))),OR(Recherche!$C$8="",J1193=Recherche!$C$8),OR(Recherche!$C$9="",I1193=Recherche!$C$9),OR(Recherche!$C$10="",G1193&amp;""=Recherche!$C$10&amp;""),OR(Recherche!$C$11="",E1193=Recherche!$C$11),OR(Recherche!$C$12="",ISNUMBER(SEARCH(Recherche!$C$12,M1193&amp;" "&amp;F1193)))),1,0)</f>
        <v>8</v>
      </c>
    </row>
    <row r="1194" customFormat="false" ht="15" hidden="false" customHeight="false" outlineLevel="0" collapsed="false">
      <c r="A1194" s="19"/>
      <c r="B1194" s="19"/>
      <c r="C1194" s="19"/>
      <c r="D1194" s="19"/>
      <c r="E1194" s="22"/>
      <c r="F1194" s="19"/>
      <c r="G1194" s="26" t="str">
        <f aca="false">IF(D1194="","",IFERROR(VALUE(LEFT(D1194,FIND(" |",D1194&amp;" |")-1)),"?"))</f>
        <v/>
      </c>
      <c r="H1194" s="27" t="str">
        <f aca="false">IF(G1194="","",IF(G1194="?","⚠ pub inconnue",IFERROR(INDEX(Pubs!$B$2:$B$3001,MATCH(G1194,Pubs!$A$2:$A$3001,0))&amp;"","⚠ pub inconnue")))</f>
        <v/>
      </c>
      <c r="I1194" s="27" t="str">
        <f aca="false">IF(OR(G1194="",G1194="?"),"",IFERROR(INDEX(Pubs!$C$2:$C$3001,MATCH(G1194,Pubs!$A$2:$A$3001,0))&amp;"",""))</f>
        <v/>
      </c>
      <c r="J1194" s="27" t="str">
        <f aca="false">IF(OR(G1194="",G1194="?"),"",IFERROR(INDEX(Pubs!$G$2:$G$3001,MATCH(G1194,Pubs!$A$2:$A$3001,0))&amp;"",""))</f>
        <v/>
      </c>
      <c r="K1194" s="28" t="str">
        <f aca="false">IF(OR(G1194="",G1194="?"),"",IFERROR(INDEX(Pubs!$E$2:$E$3001,MATCH(G1194,Pubs!$A$2:$A$3001,0)),""))</f>
        <v/>
      </c>
      <c r="L1194" s="29" t="str">
        <f aca="false">IF(A1194="","",IFERROR(1/(1/INDEX(Numéros!$C$2:$C$3001,MATCH(A1194&amp;"|"&amp;B1194,Numéros!$F$2:$F$3001,0))),""))</f>
        <v/>
      </c>
      <c r="M1194" s="27" t="str">
        <f aca="false">IF(OR(G1194="",G1194="?"),"",IFERROR(INDEX(Pubs!$D$2:$D$3001,MATCH(G1194,Pubs!$A$2:$A$3001,0))&amp;"",""))</f>
        <v/>
      </c>
      <c r="N1194" s="27" t="n">
        <f aca="false">N(N1193)+IF(AND(A1194&lt;&gt;"",OR(Recherche!$C$4="",A1194=Recherche!$C$4),OR(Recherche!$C$5="",B1194&amp;""=Recherche!$C$5&amp;""),OR(Recherche!$C$6="",IFERROR(YEAR(L1194),0)=Recherche!$C$6),OR(Recherche!$C$7="",ISNUMBER(SEARCH(Recherche!$C$7,H1194))),OR(Recherche!$C$8="",J1194=Recherche!$C$8),OR(Recherche!$C$9="",I1194=Recherche!$C$9),OR(Recherche!$C$10="",G1194&amp;""=Recherche!$C$10&amp;""),OR(Recherche!$C$11="",E1194=Recherche!$C$11),OR(Recherche!$C$12="",ISNUMBER(SEARCH(Recherche!$C$12,M1194&amp;" "&amp;F1194)))),1,0)</f>
        <v>8</v>
      </c>
    </row>
    <row r="1195" customFormat="false" ht="15" hidden="false" customHeight="false" outlineLevel="0" collapsed="false">
      <c r="A1195" s="19"/>
      <c r="B1195" s="19"/>
      <c r="C1195" s="19"/>
      <c r="D1195" s="19"/>
      <c r="E1195" s="22"/>
      <c r="F1195" s="19"/>
      <c r="G1195" s="26" t="str">
        <f aca="false">IF(D1195="","",IFERROR(VALUE(LEFT(D1195,FIND(" |",D1195&amp;" |")-1)),"?"))</f>
        <v/>
      </c>
      <c r="H1195" s="27" t="str">
        <f aca="false">IF(G1195="","",IF(G1195="?","⚠ pub inconnue",IFERROR(INDEX(Pubs!$B$2:$B$3001,MATCH(G1195,Pubs!$A$2:$A$3001,0))&amp;"","⚠ pub inconnue")))</f>
        <v/>
      </c>
      <c r="I1195" s="27" t="str">
        <f aca="false">IF(OR(G1195="",G1195="?"),"",IFERROR(INDEX(Pubs!$C$2:$C$3001,MATCH(G1195,Pubs!$A$2:$A$3001,0))&amp;"",""))</f>
        <v/>
      </c>
      <c r="J1195" s="27" t="str">
        <f aca="false">IF(OR(G1195="",G1195="?"),"",IFERROR(INDEX(Pubs!$G$2:$G$3001,MATCH(G1195,Pubs!$A$2:$A$3001,0))&amp;"",""))</f>
        <v/>
      </c>
      <c r="K1195" s="28" t="str">
        <f aca="false">IF(OR(G1195="",G1195="?"),"",IFERROR(INDEX(Pubs!$E$2:$E$3001,MATCH(G1195,Pubs!$A$2:$A$3001,0)),""))</f>
        <v/>
      </c>
      <c r="L1195" s="29" t="str">
        <f aca="false">IF(A1195="","",IFERROR(1/(1/INDEX(Numéros!$C$2:$C$3001,MATCH(A1195&amp;"|"&amp;B1195,Numéros!$F$2:$F$3001,0))),""))</f>
        <v/>
      </c>
      <c r="M1195" s="27" t="str">
        <f aca="false">IF(OR(G1195="",G1195="?"),"",IFERROR(INDEX(Pubs!$D$2:$D$3001,MATCH(G1195,Pubs!$A$2:$A$3001,0))&amp;"",""))</f>
        <v/>
      </c>
      <c r="N1195" s="27" t="n">
        <f aca="false">N(N1194)+IF(AND(A1195&lt;&gt;"",OR(Recherche!$C$4="",A1195=Recherche!$C$4),OR(Recherche!$C$5="",B1195&amp;""=Recherche!$C$5&amp;""),OR(Recherche!$C$6="",IFERROR(YEAR(L1195),0)=Recherche!$C$6),OR(Recherche!$C$7="",ISNUMBER(SEARCH(Recherche!$C$7,H1195))),OR(Recherche!$C$8="",J1195=Recherche!$C$8),OR(Recherche!$C$9="",I1195=Recherche!$C$9),OR(Recherche!$C$10="",G1195&amp;""=Recherche!$C$10&amp;""),OR(Recherche!$C$11="",E1195=Recherche!$C$11),OR(Recherche!$C$12="",ISNUMBER(SEARCH(Recherche!$C$12,M1195&amp;" "&amp;F1195)))),1,0)</f>
        <v>8</v>
      </c>
    </row>
    <row r="1196" customFormat="false" ht="15" hidden="false" customHeight="false" outlineLevel="0" collapsed="false">
      <c r="A1196" s="19"/>
      <c r="B1196" s="19"/>
      <c r="C1196" s="19"/>
      <c r="D1196" s="19"/>
      <c r="E1196" s="22"/>
      <c r="F1196" s="19"/>
      <c r="G1196" s="26" t="str">
        <f aca="false">IF(D1196="","",IFERROR(VALUE(LEFT(D1196,FIND(" |",D1196&amp;" |")-1)),"?"))</f>
        <v/>
      </c>
      <c r="H1196" s="27" t="str">
        <f aca="false">IF(G1196="","",IF(G1196="?","⚠ pub inconnue",IFERROR(INDEX(Pubs!$B$2:$B$3001,MATCH(G1196,Pubs!$A$2:$A$3001,0))&amp;"","⚠ pub inconnue")))</f>
        <v/>
      </c>
      <c r="I1196" s="27" t="str">
        <f aca="false">IF(OR(G1196="",G1196="?"),"",IFERROR(INDEX(Pubs!$C$2:$C$3001,MATCH(G1196,Pubs!$A$2:$A$3001,0))&amp;"",""))</f>
        <v/>
      </c>
      <c r="J1196" s="27" t="str">
        <f aca="false">IF(OR(G1196="",G1196="?"),"",IFERROR(INDEX(Pubs!$G$2:$G$3001,MATCH(G1196,Pubs!$A$2:$A$3001,0))&amp;"",""))</f>
        <v/>
      </c>
      <c r="K1196" s="28" t="str">
        <f aca="false">IF(OR(G1196="",G1196="?"),"",IFERROR(INDEX(Pubs!$E$2:$E$3001,MATCH(G1196,Pubs!$A$2:$A$3001,0)),""))</f>
        <v/>
      </c>
      <c r="L1196" s="29" t="str">
        <f aca="false">IF(A1196="","",IFERROR(1/(1/INDEX(Numéros!$C$2:$C$3001,MATCH(A1196&amp;"|"&amp;B1196,Numéros!$F$2:$F$3001,0))),""))</f>
        <v/>
      </c>
      <c r="M1196" s="27" t="str">
        <f aca="false">IF(OR(G1196="",G1196="?"),"",IFERROR(INDEX(Pubs!$D$2:$D$3001,MATCH(G1196,Pubs!$A$2:$A$3001,0))&amp;"",""))</f>
        <v/>
      </c>
      <c r="N1196" s="27" t="n">
        <f aca="false">N(N1195)+IF(AND(A1196&lt;&gt;"",OR(Recherche!$C$4="",A1196=Recherche!$C$4),OR(Recherche!$C$5="",B1196&amp;""=Recherche!$C$5&amp;""),OR(Recherche!$C$6="",IFERROR(YEAR(L1196),0)=Recherche!$C$6),OR(Recherche!$C$7="",ISNUMBER(SEARCH(Recherche!$C$7,H1196))),OR(Recherche!$C$8="",J1196=Recherche!$C$8),OR(Recherche!$C$9="",I1196=Recherche!$C$9),OR(Recherche!$C$10="",G1196&amp;""=Recherche!$C$10&amp;""),OR(Recherche!$C$11="",E1196=Recherche!$C$11),OR(Recherche!$C$12="",ISNUMBER(SEARCH(Recherche!$C$12,M1196&amp;" "&amp;F1196)))),1,0)</f>
        <v>8</v>
      </c>
    </row>
    <row r="1197" customFormat="false" ht="15" hidden="false" customHeight="false" outlineLevel="0" collapsed="false">
      <c r="A1197" s="19"/>
      <c r="B1197" s="19"/>
      <c r="C1197" s="19"/>
      <c r="D1197" s="19"/>
      <c r="E1197" s="22"/>
      <c r="F1197" s="19"/>
      <c r="G1197" s="26" t="str">
        <f aca="false">IF(D1197="","",IFERROR(VALUE(LEFT(D1197,FIND(" |",D1197&amp;" |")-1)),"?"))</f>
        <v/>
      </c>
      <c r="H1197" s="27" t="str">
        <f aca="false">IF(G1197="","",IF(G1197="?","⚠ pub inconnue",IFERROR(INDEX(Pubs!$B$2:$B$3001,MATCH(G1197,Pubs!$A$2:$A$3001,0))&amp;"","⚠ pub inconnue")))</f>
        <v/>
      </c>
      <c r="I1197" s="27" t="str">
        <f aca="false">IF(OR(G1197="",G1197="?"),"",IFERROR(INDEX(Pubs!$C$2:$C$3001,MATCH(G1197,Pubs!$A$2:$A$3001,0))&amp;"",""))</f>
        <v/>
      </c>
      <c r="J1197" s="27" t="str">
        <f aca="false">IF(OR(G1197="",G1197="?"),"",IFERROR(INDEX(Pubs!$G$2:$G$3001,MATCH(G1197,Pubs!$A$2:$A$3001,0))&amp;"",""))</f>
        <v/>
      </c>
      <c r="K1197" s="28" t="str">
        <f aca="false">IF(OR(G1197="",G1197="?"),"",IFERROR(INDEX(Pubs!$E$2:$E$3001,MATCH(G1197,Pubs!$A$2:$A$3001,0)),""))</f>
        <v/>
      </c>
      <c r="L1197" s="29" t="str">
        <f aca="false">IF(A1197="","",IFERROR(1/(1/INDEX(Numéros!$C$2:$C$3001,MATCH(A1197&amp;"|"&amp;B1197,Numéros!$F$2:$F$3001,0))),""))</f>
        <v/>
      </c>
      <c r="M1197" s="27" t="str">
        <f aca="false">IF(OR(G1197="",G1197="?"),"",IFERROR(INDEX(Pubs!$D$2:$D$3001,MATCH(G1197,Pubs!$A$2:$A$3001,0))&amp;"",""))</f>
        <v/>
      </c>
      <c r="N1197" s="27" t="n">
        <f aca="false">N(N1196)+IF(AND(A1197&lt;&gt;"",OR(Recherche!$C$4="",A1197=Recherche!$C$4),OR(Recherche!$C$5="",B1197&amp;""=Recherche!$C$5&amp;""),OR(Recherche!$C$6="",IFERROR(YEAR(L1197),0)=Recherche!$C$6),OR(Recherche!$C$7="",ISNUMBER(SEARCH(Recherche!$C$7,H1197))),OR(Recherche!$C$8="",J1197=Recherche!$C$8),OR(Recherche!$C$9="",I1197=Recherche!$C$9),OR(Recherche!$C$10="",G1197&amp;""=Recherche!$C$10&amp;""),OR(Recherche!$C$11="",E1197=Recherche!$C$11),OR(Recherche!$C$12="",ISNUMBER(SEARCH(Recherche!$C$12,M1197&amp;" "&amp;F1197)))),1,0)</f>
        <v>8</v>
      </c>
    </row>
    <row r="1198" customFormat="false" ht="15" hidden="false" customHeight="false" outlineLevel="0" collapsed="false">
      <c r="A1198" s="19"/>
      <c r="B1198" s="19"/>
      <c r="C1198" s="19"/>
      <c r="D1198" s="19"/>
      <c r="E1198" s="22"/>
      <c r="F1198" s="19"/>
      <c r="G1198" s="26" t="str">
        <f aca="false">IF(D1198="","",IFERROR(VALUE(LEFT(D1198,FIND(" |",D1198&amp;" |")-1)),"?"))</f>
        <v/>
      </c>
      <c r="H1198" s="27" t="str">
        <f aca="false">IF(G1198="","",IF(G1198="?","⚠ pub inconnue",IFERROR(INDEX(Pubs!$B$2:$B$3001,MATCH(G1198,Pubs!$A$2:$A$3001,0))&amp;"","⚠ pub inconnue")))</f>
        <v/>
      </c>
      <c r="I1198" s="27" t="str">
        <f aca="false">IF(OR(G1198="",G1198="?"),"",IFERROR(INDEX(Pubs!$C$2:$C$3001,MATCH(G1198,Pubs!$A$2:$A$3001,0))&amp;"",""))</f>
        <v/>
      </c>
      <c r="J1198" s="27" t="str">
        <f aca="false">IF(OR(G1198="",G1198="?"),"",IFERROR(INDEX(Pubs!$G$2:$G$3001,MATCH(G1198,Pubs!$A$2:$A$3001,0))&amp;"",""))</f>
        <v/>
      </c>
      <c r="K1198" s="28" t="str">
        <f aca="false">IF(OR(G1198="",G1198="?"),"",IFERROR(INDEX(Pubs!$E$2:$E$3001,MATCH(G1198,Pubs!$A$2:$A$3001,0)),""))</f>
        <v/>
      </c>
      <c r="L1198" s="29" t="str">
        <f aca="false">IF(A1198="","",IFERROR(1/(1/INDEX(Numéros!$C$2:$C$3001,MATCH(A1198&amp;"|"&amp;B1198,Numéros!$F$2:$F$3001,0))),""))</f>
        <v/>
      </c>
      <c r="M1198" s="27" t="str">
        <f aca="false">IF(OR(G1198="",G1198="?"),"",IFERROR(INDEX(Pubs!$D$2:$D$3001,MATCH(G1198,Pubs!$A$2:$A$3001,0))&amp;"",""))</f>
        <v/>
      </c>
      <c r="N1198" s="27" t="n">
        <f aca="false">N(N1197)+IF(AND(A1198&lt;&gt;"",OR(Recherche!$C$4="",A1198=Recherche!$C$4),OR(Recherche!$C$5="",B1198&amp;""=Recherche!$C$5&amp;""),OR(Recherche!$C$6="",IFERROR(YEAR(L1198),0)=Recherche!$C$6),OR(Recherche!$C$7="",ISNUMBER(SEARCH(Recherche!$C$7,H1198))),OR(Recherche!$C$8="",J1198=Recherche!$C$8),OR(Recherche!$C$9="",I1198=Recherche!$C$9),OR(Recherche!$C$10="",G1198&amp;""=Recherche!$C$10&amp;""),OR(Recherche!$C$11="",E1198=Recherche!$C$11),OR(Recherche!$C$12="",ISNUMBER(SEARCH(Recherche!$C$12,M1198&amp;" "&amp;F1198)))),1,0)</f>
        <v>8</v>
      </c>
    </row>
    <row r="1199" customFormat="false" ht="15" hidden="false" customHeight="false" outlineLevel="0" collapsed="false">
      <c r="A1199" s="19"/>
      <c r="B1199" s="19"/>
      <c r="C1199" s="19"/>
      <c r="D1199" s="19"/>
      <c r="E1199" s="22"/>
      <c r="F1199" s="19"/>
      <c r="G1199" s="26" t="str">
        <f aca="false">IF(D1199="","",IFERROR(VALUE(LEFT(D1199,FIND(" |",D1199&amp;" |")-1)),"?"))</f>
        <v/>
      </c>
      <c r="H1199" s="27" t="str">
        <f aca="false">IF(G1199="","",IF(G1199="?","⚠ pub inconnue",IFERROR(INDEX(Pubs!$B$2:$B$3001,MATCH(G1199,Pubs!$A$2:$A$3001,0))&amp;"","⚠ pub inconnue")))</f>
        <v/>
      </c>
      <c r="I1199" s="27" t="str">
        <f aca="false">IF(OR(G1199="",G1199="?"),"",IFERROR(INDEX(Pubs!$C$2:$C$3001,MATCH(G1199,Pubs!$A$2:$A$3001,0))&amp;"",""))</f>
        <v/>
      </c>
      <c r="J1199" s="27" t="str">
        <f aca="false">IF(OR(G1199="",G1199="?"),"",IFERROR(INDEX(Pubs!$G$2:$G$3001,MATCH(G1199,Pubs!$A$2:$A$3001,0))&amp;"",""))</f>
        <v/>
      </c>
      <c r="K1199" s="28" t="str">
        <f aca="false">IF(OR(G1199="",G1199="?"),"",IFERROR(INDEX(Pubs!$E$2:$E$3001,MATCH(G1199,Pubs!$A$2:$A$3001,0)),""))</f>
        <v/>
      </c>
      <c r="L1199" s="29" t="str">
        <f aca="false">IF(A1199="","",IFERROR(1/(1/INDEX(Numéros!$C$2:$C$3001,MATCH(A1199&amp;"|"&amp;B1199,Numéros!$F$2:$F$3001,0))),""))</f>
        <v/>
      </c>
      <c r="M1199" s="27" t="str">
        <f aca="false">IF(OR(G1199="",G1199="?"),"",IFERROR(INDEX(Pubs!$D$2:$D$3001,MATCH(G1199,Pubs!$A$2:$A$3001,0))&amp;"",""))</f>
        <v/>
      </c>
      <c r="N1199" s="27" t="n">
        <f aca="false">N(N1198)+IF(AND(A1199&lt;&gt;"",OR(Recherche!$C$4="",A1199=Recherche!$C$4),OR(Recherche!$C$5="",B1199&amp;""=Recherche!$C$5&amp;""),OR(Recherche!$C$6="",IFERROR(YEAR(L1199),0)=Recherche!$C$6),OR(Recherche!$C$7="",ISNUMBER(SEARCH(Recherche!$C$7,H1199))),OR(Recherche!$C$8="",J1199=Recherche!$C$8),OR(Recherche!$C$9="",I1199=Recherche!$C$9),OR(Recherche!$C$10="",G1199&amp;""=Recherche!$C$10&amp;""),OR(Recherche!$C$11="",E1199=Recherche!$C$11),OR(Recherche!$C$12="",ISNUMBER(SEARCH(Recherche!$C$12,M1199&amp;" "&amp;F1199)))),1,0)</f>
        <v>8</v>
      </c>
    </row>
    <row r="1200" customFormat="false" ht="15" hidden="false" customHeight="false" outlineLevel="0" collapsed="false">
      <c r="A1200" s="19"/>
      <c r="B1200" s="19"/>
      <c r="C1200" s="19"/>
      <c r="D1200" s="19"/>
      <c r="E1200" s="22"/>
      <c r="F1200" s="19"/>
      <c r="G1200" s="26" t="str">
        <f aca="false">IF(D1200="","",IFERROR(VALUE(LEFT(D1200,FIND(" |",D1200&amp;" |")-1)),"?"))</f>
        <v/>
      </c>
      <c r="H1200" s="27" t="str">
        <f aca="false">IF(G1200="","",IF(G1200="?","⚠ pub inconnue",IFERROR(INDEX(Pubs!$B$2:$B$3001,MATCH(G1200,Pubs!$A$2:$A$3001,0))&amp;"","⚠ pub inconnue")))</f>
        <v/>
      </c>
      <c r="I1200" s="27" t="str">
        <f aca="false">IF(OR(G1200="",G1200="?"),"",IFERROR(INDEX(Pubs!$C$2:$C$3001,MATCH(G1200,Pubs!$A$2:$A$3001,0))&amp;"",""))</f>
        <v/>
      </c>
      <c r="J1200" s="27" t="str">
        <f aca="false">IF(OR(G1200="",G1200="?"),"",IFERROR(INDEX(Pubs!$G$2:$G$3001,MATCH(G1200,Pubs!$A$2:$A$3001,0))&amp;"",""))</f>
        <v/>
      </c>
      <c r="K1200" s="28" t="str">
        <f aca="false">IF(OR(G1200="",G1200="?"),"",IFERROR(INDEX(Pubs!$E$2:$E$3001,MATCH(G1200,Pubs!$A$2:$A$3001,0)),""))</f>
        <v/>
      </c>
      <c r="L1200" s="29" t="str">
        <f aca="false">IF(A1200="","",IFERROR(1/(1/INDEX(Numéros!$C$2:$C$3001,MATCH(A1200&amp;"|"&amp;B1200,Numéros!$F$2:$F$3001,0))),""))</f>
        <v/>
      </c>
      <c r="M1200" s="27" t="str">
        <f aca="false">IF(OR(G1200="",G1200="?"),"",IFERROR(INDEX(Pubs!$D$2:$D$3001,MATCH(G1200,Pubs!$A$2:$A$3001,0))&amp;"",""))</f>
        <v/>
      </c>
      <c r="N1200" s="27" t="n">
        <f aca="false">N(N1199)+IF(AND(A1200&lt;&gt;"",OR(Recherche!$C$4="",A1200=Recherche!$C$4),OR(Recherche!$C$5="",B1200&amp;""=Recherche!$C$5&amp;""),OR(Recherche!$C$6="",IFERROR(YEAR(L1200),0)=Recherche!$C$6),OR(Recherche!$C$7="",ISNUMBER(SEARCH(Recherche!$C$7,H1200))),OR(Recherche!$C$8="",J1200=Recherche!$C$8),OR(Recherche!$C$9="",I1200=Recherche!$C$9),OR(Recherche!$C$10="",G1200&amp;""=Recherche!$C$10&amp;""),OR(Recherche!$C$11="",E1200=Recherche!$C$11),OR(Recherche!$C$12="",ISNUMBER(SEARCH(Recherche!$C$12,M1200&amp;" "&amp;F1200)))),1,0)</f>
        <v>8</v>
      </c>
    </row>
    <row r="1201" customFormat="false" ht="15" hidden="false" customHeight="false" outlineLevel="0" collapsed="false">
      <c r="A1201" s="19"/>
      <c r="B1201" s="19"/>
      <c r="C1201" s="19"/>
      <c r="D1201" s="19"/>
      <c r="E1201" s="22"/>
      <c r="F1201" s="19"/>
      <c r="G1201" s="26" t="str">
        <f aca="false">IF(D1201="","",IFERROR(VALUE(LEFT(D1201,FIND(" |",D1201&amp;" |")-1)),"?"))</f>
        <v/>
      </c>
      <c r="H1201" s="27" t="str">
        <f aca="false">IF(G1201="","",IF(G1201="?","⚠ pub inconnue",IFERROR(INDEX(Pubs!$B$2:$B$3001,MATCH(G1201,Pubs!$A$2:$A$3001,0))&amp;"","⚠ pub inconnue")))</f>
        <v/>
      </c>
      <c r="I1201" s="27" t="str">
        <f aca="false">IF(OR(G1201="",G1201="?"),"",IFERROR(INDEX(Pubs!$C$2:$C$3001,MATCH(G1201,Pubs!$A$2:$A$3001,0))&amp;"",""))</f>
        <v/>
      </c>
      <c r="J1201" s="27" t="str">
        <f aca="false">IF(OR(G1201="",G1201="?"),"",IFERROR(INDEX(Pubs!$G$2:$G$3001,MATCH(G1201,Pubs!$A$2:$A$3001,0))&amp;"",""))</f>
        <v/>
      </c>
      <c r="K1201" s="28" t="str">
        <f aca="false">IF(OR(G1201="",G1201="?"),"",IFERROR(INDEX(Pubs!$E$2:$E$3001,MATCH(G1201,Pubs!$A$2:$A$3001,0)),""))</f>
        <v/>
      </c>
      <c r="L1201" s="29" t="str">
        <f aca="false">IF(A1201="","",IFERROR(1/(1/INDEX(Numéros!$C$2:$C$3001,MATCH(A1201&amp;"|"&amp;B1201,Numéros!$F$2:$F$3001,0))),""))</f>
        <v/>
      </c>
      <c r="M1201" s="27" t="str">
        <f aca="false">IF(OR(G1201="",G1201="?"),"",IFERROR(INDEX(Pubs!$D$2:$D$3001,MATCH(G1201,Pubs!$A$2:$A$3001,0))&amp;"",""))</f>
        <v/>
      </c>
      <c r="N1201" s="27" t="n">
        <f aca="false">N(N1200)+IF(AND(A1201&lt;&gt;"",OR(Recherche!$C$4="",A1201=Recherche!$C$4),OR(Recherche!$C$5="",B1201&amp;""=Recherche!$C$5&amp;""),OR(Recherche!$C$6="",IFERROR(YEAR(L1201),0)=Recherche!$C$6),OR(Recherche!$C$7="",ISNUMBER(SEARCH(Recherche!$C$7,H1201))),OR(Recherche!$C$8="",J1201=Recherche!$C$8),OR(Recherche!$C$9="",I1201=Recherche!$C$9),OR(Recherche!$C$10="",G1201&amp;""=Recherche!$C$10&amp;""),OR(Recherche!$C$11="",E1201=Recherche!$C$11),OR(Recherche!$C$12="",ISNUMBER(SEARCH(Recherche!$C$12,M1201&amp;" "&amp;F1201)))),1,0)</f>
        <v>8</v>
      </c>
    </row>
    <row r="1202" customFormat="false" ht="15" hidden="false" customHeight="false" outlineLevel="0" collapsed="false">
      <c r="A1202" s="19"/>
      <c r="B1202" s="19"/>
      <c r="C1202" s="19"/>
      <c r="D1202" s="19"/>
      <c r="E1202" s="22"/>
      <c r="F1202" s="19"/>
      <c r="G1202" s="26" t="str">
        <f aca="false">IF(D1202="","",IFERROR(VALUE(LEFT(D1202,FIND(" |",D1202&amp;" |")-1)),"?"))</f>
        <v/>
      </c>
      <c r="H1202" s="27" t="str">
        <f aca="false">IF(G1202="","",IF(G1202="?","⚠ pub inconnue",IFERROR(INDEX(Pubs!$B$2:$B$3001,MATCH(G1202,Pubs!$A$2:$A$3001,0))&amp;"","⚠ pub inconnue")))</f>
        <v/>
      </c>
      <c r="I1202" s="27" t="str">
        <f aca="false">IF(OR(G1202="",G1202="?"),"",IFERROR(INDEX(Pubs!$C$2:$C$3001,MATCH(G1202,Pubs!$A$2:$A$3001,0))&amp;"",""))</f>
        <v/>
      </c>
      <c r="J1202" s="27" t="str">
        <f aca="false">IF(OR(G1202="",G1202="?"),"",IFERROR(INDEX(Pubs!$G$2:$G$3001,MATCH(G1202,Pubs!$A$2:$A$3001,0))&amp;"",""))</f>
        <v/>
      </c>
      <c r="K1202" s="28" t="str">
        <f aca="false">IF(OR(G1202="",G1202="?"),"",IFERROR(INDEX(Pubs!$E$2:$E$3001,MATCH(G1202,Pubs!$A$2:$A$3001,0)),""))</f>
        <v/>
      </c>
      <c r="L1202" s="29" t="str">
        <f aca="false">IF(A1202="","",IFERROR(1/(1/INDEX(Numéros!$C$2:$C$3001,MATCH(A1202&amp;"|"&amp;B1202,Numéros!$F$2:$F$3001,0))),""))</f>
        <v/>
      </c>
      <c r="M1202" s="27" t="str">
        <f aca="false">IF(OR(G1202="",G1202="?"),"",IFERROR(INDEX(Pubs!$D$2:$D$3001,MATCH(G1202,Pubs!$A$2:$A$3001,0))&amp;"",""))</f>
        <v/>
      </c>
      <c r="N1202" s="27" t="n">
        <f aca="false">N(N1201)+IF(AND(A1202&lt;&gt;"",OR(Recherche!$C$4="",A1202=Recherche!$C$4),OR(Recherche!$C$5="",B1202&amp;""=Recherche!$C$5&amp;""),OR(Recherche!$C$6="",IFERROR(YEAR(L1202),0)=Recherche!$C$6),OR(Recherche!$C$7="",ISNUMBER(SEARCH(Recherche!$C$7,H1202))),OR(Recherche!$C$8="",J1202=Recherche!$C$8),OR(Recherche!$C$9="",I1202=Recherche!$C$9),OR(Recherche!$C$10="",G1202&amp;""=Recherche!$C$10&amp;""),OR(Recherche!$C$11="",E1202=Recherche!$C$11),OR(Recherche!$C$12="",ISNUMBER(SEARCH(Recherche!$C$12,M1202&amp;" "&amp;F1202)))),1,0)</f>
        <v>8</v>
      </c>
    </row>
    <row r="1203" customFormat="false" ht="15" hidden="false" customHeight="false" outlineLevel="0" collapsed="false">
      <c r="A1203" s="19"/>
      <c r="B1203" s="19"/>
      <c r="C1203" s="19"/>
      <c r="D1203" s="19"/>
      <c r="E1203" s="22"/>
      <c r="F1203" s="19"/>
      <c r="G1203" s="26" t="str">
        <f aca="false">IF(D1203="","",IFERROR(VALUE(LEFT(D1203,FIND(" |",D1203&amp;" |")-1)),"?"))</f>
        <v/>
      </c>
      <c r="H1203" s="27" t="str">
        <f aca="false">IF(G1203="","",IF(G1203="?","⚠ pub inconnue",IFERROR(INDEX(Pubs!$B$2:$B$3001,MATCH(G1203,Pubs!$A$2:$A$3001,0))&amp;"","⚠ pub inconnue")))</f>
        <v/>
      </c>
      <c r="I1203" s="27" t="str">
        <f aca="false">IF(OR(G1203="",G1203="?"),"",IFERROR(INDEX(Pubs!$C$2:$C$3001,MATCH(G1203,Pubs!$A$2:$A$3001,0))&amp;"",""))</f>
        <v/>
      </c>
      <c r="J1203" s="27" t="str">
        <f aca="false">IF(OR(G1203="",G1203="?"),"",IFERROR(INDEX(Pubs!$G$2:$G$3001,MATCH(G1203,Pubs!$A$2:$A$3001,0))&amp;"",""))</f>
        <v/>
      </c>
      <c r="K1203" s="28" t="str">
        <f aca="false">IF(OR(G1203="",G1203="?"),"",IFERROR(INDEX(Pubs!$E$2:$E$3001,MATCH(G1203,Pubs!$A$2:$A$3001,0)),""))</f>
        <v/>
      </c>
      <c r="L1203" s="29" t="str">
        <f aca="false">IF(A1203="","",IFERROR(1/(1/INDEX(Numéros!$C$2:$C$3001,MATCH(A1203&amp;"|"&amp;B1203,Numéros!$F$2:$F$3001,0))),""))</f>
        <v/>
      </c>
      <c r="M1203" s="27" t="str">
        <f aca="false">IF(OR(G1203="",G1203="?"),"",IFERROR(INDEX(Pubs!$D$2:$D$3001,MATCH(G1203,Pubs!$A$2:$A$3001,0))&amp;"",""))</f>
        <v/>
      </c>
      <c r="N1203" s="27" t="n">
        <f aca="false">N(N1202)+IF(AND(A1203&lt;&gt;"",OR(Recherche!$C$4="",A1203=Recherche!$C$4),OR(Recherche!$C$5="",B1203&amp;""=Recherche!$C$5&amp;""),OR(Recherche!$C$6="",IFERROR(YEAR(L1203),0)=Recherche!$C$6),OR(Recherche!$C$7="",ISNUMBER(SEARCH(Recherche!$C$7,H1203))),OR(Recherche!$C$8="",J1203=Recherche!$C$8),OR(Recherche!$C$9="",I1203=Recherche!$C$9),OR(Recherche!$C$10="",G1203&amp;""=Recherche!$C$10&amp;""),OR(Recherche!$C$11="",E1203=Recherche!$C$11),OR(Recherche!$C$12="",ISNUMBER(SEARCH(Recherche!$C$12,M1203&amp;" "&amp;F1203)))),1,0)</f>
        <v>8</v>
      </c>
    </row>
    <row r="1204" customFormat="false" ht="15" hidden="false" customHeight="false" outlineLevel="0" collapsed="false">
      <c r="A1204" s="19"/>
      <c r="B1204" s="19"/>
      <c r="C1204" s="19"/>
      <c r="D1204" s="19"/>
      <c r="E1204" s="22"/>
      <c r="F1204" s="19"/>
      <c r="G1204" s="26" t="str">
        <f aca="false">IF(D1204="","",IFERROR(VALUE(LEFT(D1204,FIND(" |",D1204&amp;" |")-1)),"?"))</f>
        <v/>
      </c>
      <c r="H1204" s="27" t="str">
        <f aca="false">IF(G1204="","",IF(G1204="?","⚠ pub inconnue",IFERROR(INDEX(Pubs!$B$2:$B$3001,MATCH(G1204,Pubs!$A$2:$A$3001,0))&amp;"","⚠ pub inconnue")))</f>
        <v/>
      </c>
      <c r="I1204" s="27" t="str">
        <f aca="false">IF(OR(G1204="",G1204="?"),"",IFERROR(INDEX(Pubs!$C$2:$C$3001,MATCH(G1204,Pubs!$A$2:$A$3001,0))&amp;"",""))</f>
        <v/>
      </c>
      <c r="J1204" s="27" t="str">
        <f aca="false">IF(OR(G1204="",G1204="?"),"",IFERROR(INDEX(Pubs!$G$2:$G$3001,MATCH(G1204,Pubs!$A$2:$A$3001,0))&amp;"",""))</f>
        <v/>
      </c>
      <c r="K1204" s="28" t="str">
        <f aca="false">IF(OR(G1204="",G1204="?"),"",IFERROR(INDEX(Pubs!$E$2:$E$3001,MATCH(G1204,Pubs!$A$2:$A$3001,0)),""))</f>
        <v/>
      </c>
      <c r="L1204" s="29" t="str">
        <f aca="false">IF(A1204="","",IFERROR(1/(1/INDEX(Numéros!$C$2:$C$3001,MATCH(A1204&amp;"|"&amp;B1204,Numéros!$F$2:$F$3001,0))),""))</f>
        <v/>
      </c>
      <c r="M1204" s="27" t="str">
        <f aca="false">IF(OR(G1204="",G1204="?"),"",IFERROR(INDEX(Pubs!$D$2:$D$3001,MATCH(G1204,Pubs!$A$2:$A$3001,0))&amp;"",""))</f>
        <v/>
      </c>
      <c r="N1204" s="27" t="n">
        <f aca="false">N(N1203)+IF(AND(A1204&lt;&gt;"",OR(Recherche!$C$4="",A1204=Recherche!$C$4),OR(Recherche!$C$5="",B1204&amp;""=Recherche!$C$5&amp;""),OR(Recherche!$C$6="",IFERROR(YEAR(L1204),0)=Recherche!$C$6),OR(Recherche!$C$7="",ISNUMBER(SEARCH(Recherche!$C$7,H1204))),OR(Recherche!$C$8="",J1204=Recherche!$C$8),OR(Recherche!$C$9="",I1204=Recherche!$C$9),OR(Recherche!$C$10="",G1204&amp;""=Recherche!$C$10&amp;""),OR(Recherche!$C$11="",E1204=Recherche!$C$11),OR(Recherche!$C$12="",ISNUMBER(SEARCH(Recherche!$C$12,M1204&amp;" "&amp;F1204)))),1,0)</f>
        <v>8</v>
      </c>
    </row>
    <row r="1205" customFormat="false" ht="15" hidden="false" customHeight="false" outlineLevel="0" collapsed="false">
      <c r="A1205" s="19"/>
      <c r="B1205" s="19"/>
      <c r="C1205" s="19"/>
      <c r="D1205" s="19"/>
      <c r="E1205" s="22"/>
      <c r="F1205" s="19"/>
      <c r="G1205" s="26" t="str">
        <f aca="false">IF(D1205="","",IFERROR(VALUE(LEFT(D1205,FIND(" |",D1205&amp;" |")-1)),"?"))</f>
        <v/>
      </c>
      <c r="H1205" s="27" t="str">
        <f aca="false">IF(G1205="","",IF(G1205="?","⚠ pub inconnue",IFERROR(INDEX(Pubs!$B$2:$B$3001,MATCH(G1205,Pubs!$A$2:$A$3001,0))&amp;"","⚠ pub inconnue")))</f>
        <v/>
      </c>
      <c r="I1205" s="27" t="str">
        <f aca="false">IF(OR(G1205="",G1205="?"),"",IFERROR(INDEX(Pubs!$C$2:$C$3001,MATCH(G1205,Pubs!$A$2:$A$3001,0))&amp;"",""))</f>
        <v/>
      </c>
      <c r="J1205" s="27" t="str">
        <f aca="false">IF(OR(G1205="",G1205="?"),"",IFERROR(INDEX(Pubs!$G$2:$G$3001,MATCH(G1205,Pubs!$A$2:$A$3001,0))&amp;"",""))</f>
        <v/>
      </c>
      <c r="K1205" s="28" t="str">
        <f aca="false">IF(OR(G1205="",G1205="?"),"",IFERROR(INDEX(Pubs!$E$2:$E$3001,MATCH(G1205,Pubs!$A$2:$A$3001,0)),""))</f>
        <v/>
      </c>
      <c r="L1205" s="29" t="str">
        <f aca="false">IF(A1205="","",IFERROR(1/(1/INDEX(Numéros!$C$2:$C$3001,MATCH(A1205&amp;"|"&amp;B1205,Numéros!$F$2:$F$3001,0))),""))</f>
        <v/>
      </c>
      <c r="M1205" s="27" t="str">
        <f aca="false">IF(OR(G1205="",G1205="?"),"",IFERROR(INDEX(Pubs!$D$2:$D$3001,MATCH(G1205,Pubs!$A$2:$A$3001,0))&amp;"",""))</f>
        <v/>
      </c>
      <c r="N1205" s="27" t="n">
        <f aca="false">N(N1204)+IF(AND(A1205&lt;&gt;"",OR(Recherche!$C$4="",A1205=Recherche!$C$4),OR(Recherche!$C$5="",B1205&amp;""=Recherche!$C$5&amp;""),OR(Recherche!$C$6="",IFERROR(YEAR(L1205),0)=Recherche!$C$6),OR(Recherche!$C$7="",ISNUMBER(SEARCH(Recherche!$C$7,H1205))),OR(Recherche!$C$8="",J1205=Recherche!$C$8),OR(Recherche!$C$9="",I1205=Recherche!$C$9),OR(Recherche!$C$10="",G1205&amp;""=Recherche!$C$10&amp;""),OR(Recherche!$C$11="",E1205=Recherche!$C$11),OR(Recherche!$C$12="",ISNUMBER(SEARCH(Recherche!$C$12,M1205&amp;" "&amp;F1205)))),1,0)</f>
        <v>8</v>
      </c>
    </row>
    <row r="1206" customFormat="false" ht="15" hidden="false" customHeight="false" outlineLevel="0" collapsed="false">
      <c r="A1206" s="19"/>
      <c r="B1206" s="19"/>
      <c r="C1206" s="19"/>
      <c r="D1206" s="19"/>
      <c r="E1206" s="22"/>
      <c r="F1206" s="19"/>
      <c r="G1206" s="26" t="str">
        <f aca="false">IF(D1206="","",IFERROR(VALUE(LEFT(D1206,FIND(" |",D1206&amp;" |")-1)),"?"))</f>
        <v/>
      </c>
      <c r="H1206" s="27" t="str">
        <f aca="false">IF(G1206="","",IF(G1206="?","⚠ pub inconnue",IFERROR(INDEX(Pubs!$B$2:$B$3001,MATCH(G1206,Pubs!$A$2:$A$3001,0))&amp;"","⚠ pub inconnue")))</f>
        <v/>
      </c>
      <c r="I1206" s="27" t="str">
        <f aca="false">IF(OR(G1206="",G1206="?"),"",IFERROR(INDEX(Pubs!$C$2:$C$3001,MATCH(G1206,Pubs!$A$2:$A$3001,0))&amp;"",""))</f>
        <v/>
      </c>
      <c r="J1206" s="27" t="str">
        <f aca="false">IF(OR(G1206="",G1206="?"),"",IFERROR(INDEX(Pubs!$G$2:$G$3001,MATCH(G1206,Pubs!$A$2:$A$3001,0))&amp;"",""))</f>
        <v/>
      </c>
      <c r="K1206" s="28" t="str">
        <f aca="false">IF(OR(G1206="",G1206="?"),"",IFERROR(INDEX(Pubs!$E$2:$E$3001,MATCH(G1206,Pubs!$A$2:$A$3001,0)),""))</f>
        <v/>
      </c>
      <c r="L1206" s="29" t="str">
        <f aca="false">IF(A1206="","",IFERROR(1/(1/INDEX(Numéros!$C$2:$C$3001,MATCH(A1206&amp;"|"&amp;B1206,Numéros!$F$2:$F$3001,0))),""))</f>
        <v/>
      </c>
      <c r="M1206" s="27" t="str">
        <f aca="false">IF(OR(G1206="",G1206="?"),"",IFERROR(INDEX(Pubs!$D$2:$D$3001,MATCH(G1206,Pubs!$A$2:$A$3001,0))&amp;"",""))</f>
        <v/>
      </c>
      <c r="N1206" s="27" t="n">
        <f aca="false">N(N1205)+IF(AND(A1206&lt;&gt;"",OR(Recherche!$C$4="",A1206=Recherche!$C$4),OR(Recherche!$C$5="",B1206&amp;""=Recherche!$C$5&amp;""),OR(Recherche!$C$6="",IFERROR(YEAR(L1206),0)=Recherche!$C$6),OR(Recherche!$C$7="",ISNUMBER(SEARCH(Recherche!$C$7,H1206))),OR(Recherche!$C$8="",J1206=Recherche!$C$8),OR(Recherche!$C$9="",I1206=Recherche!$C$9),OR(Recherche!$C$10="",G1206&amp;""=Recherche!$C$10&amp;""),OR(Recherche!$C$11="",E1206=Recherche!$C$11),OR(Recherche!$C$12="",ISNUMBER(SEARCH(Recherche!$C$12,M1206&amp;" "&amp;F1206)))),1,0)</f>
        <v>8</v>
      </c>
    </row>
    <row r="1207" customFormat="false" ht="15" hidden="false" customHeight="false" outlineLevel="0" collapsed="false">
      <c r="A1207" s="19"/>
      <c r="B1207" s="19"/>
      <c r="C1207" s="19"/>
      <c r="D1207" s="19"/>
      <c r="E1207" s="22"/>
      <c r="F1207" s="19"/>
      <c r="G1207" s="26" t="str">
        <f aca="false">IF(D1207="","",IFERROR(VALUE(LEFT(D1207,FIND(" |",D1207&amp;" |")-1)),"?"))</f>
        <v/>
      </c>
      <c r="H1207" s="27" t="str">
        <f aca="false">IF(G1207="","",IF(G1207="?","⚠ pub inconnue",IFERROR(INDEX(Pubs!$B$2:$B$3001,MATCH(G1207,Pubs!$A$2:$A$3001,0))&amp;"","⚠ pub inconnue")))</f>
        <v/>
      </c>
      <c r="I1207" s="27" t="str">
        <f aca="false">IF(OR(G1207="",G1207="?"),"",IFERROR(INDEX(Pubs!$C$2:$C$3001,MATCH(G1207,Pubs!$A$2:$A$3001,0))&amp;"",""))</f>
        <v/>
      </c>
      <c r="J1207" s="27" t="str">
        <f aca="false">IF(OR(G1207="",G1207="?"),"",IFERROR(INDEX(Pubs!$G$2:$G$3001,MATCH(G1207,Pubs!$A$2:$A$3001,0))&amp;"",""))</f>
        <v/>
      </c>
      <c r="K1207" s="28" t="str">
        <f aca="false">IF(OR(G1207="",G1207="?"),"",IFERROR(INDEX(Pubs!$E$2:$E$3001,MATCH(G1207,Pubs!$A$2:$A$3001,0)),""))</f>
        <v/>
      </c>
      <c r="L1207" s="29" t="str">
        <f aca="false">IF(A1207="","",IFERROR(1/(1/INDEX(Numéros!$C$2:$C$3001,MATCH(A1207&amp;"|"&amp;B1207,Numéros!$F$2:$F$3001,0))),""))</f>
        <v/>
      </c>
      <c r="M1207" s="27" t="str">
        <f aca="false">IF(OR(G1207="",G1207="?"),"",IFERROR(INDEX(Pubs!$D$2:$D$3001,MATCH(G1207,Pubs!$A$2:$A$3001,0))&amp;"",""))</f>
        <v/>
      </c>
      <c r="N1207" s="27" t="n">
        <f aca="false">N(N1206)+IF(AND(A1207&lt;&gt;"",OR(Recherche!$C$4="",A1207=Recherche!$C$4),OR(Recherche!$C$5="",B1207&amp;""=Recherche!$C$5&amp;""),OR(Recherche!$C$6="",IFERROR(YEAR(L1207),0)=Recherche!$C$6),OR(Recherche!$C$7="",ISNUMBER(SEARCH(Recherche!$C$7,H1207))),OR(Recherche!$C$8="",J1207=Recherche!$C$8),OR(Recherche!$C$9="",I1207=Recherche!$C$9),OR(Recherche!$C$10="",G1207&amp;""=Recherche!$C$10&amp;""),OR(Recherche!$C$11="",E1207=Recherche!$C$11),OR(Recherche!$C$12="",ISNUMBER(SEARCH(Recherche!$C$12,M1207&amp;" "&amp;F1207)))),1,0)</f>
        <v>8</v>
      </c>
    </row>
    <row r="1208" customFormat="false" ht="15" hidden="false" customHeight="false" outlineLevel="0" collapsed="false">
      <c r="A1208" s="19"/>
      <c r="B1208" s="19"/>
      <c r="C1208" s="19"/>
      <c r="D1208" s="19"/>
      <c r="E1208" s="22"/>
      <c r="F1208" s="19"/>
      <c r="G1208" s="26" t="str">
        <f aca="false">IF(D1208="","",IFERROR(VALUE(LEFT(D1208,FIND(" |",D1208&amp;" |")-1)),"?"))</f>
        <v/>
      </c>
      <c r="H1208" s="27" t="str">
        <f aca="false">IF(G1208="","",IF(G1208="?","⚠ pub inconnue",IFERROR(INDEX(Pubs!$B$2:$B$3001,MATCH(G1208,Pubs!$A$2:$A$3001,0))&amp;"","⚠ pub inconnue")))</f>
        <v/>
      </c>
      <c r="I1208" s="27" t="str">
        <f aca="false">IF(OR(G1208="",G1208="?"),"",IFERROR(INDEX(Pubs!$C$2:$C$3001,MATCH(G1208,Pubs!$A$2:$A$3001,0))&amp;"",""))</f>
        <v/>
      </c>
      <c r="J1208" s="27" t="str">
        <f aca="false">IF(OR(G1208="",G1208="?"),"",IFERROR(INDEX(Pubs!$G$2:$G$3001,MATCH(G1208,Pubs!$A$2:$A$3001,0))&amp;"",""))</f>
        <v/>
      </c>
      <c r="K1208" s="28" t="str">
        <f aca="false">IF(OR(G1208="",G1208="?"),"",IFERROR(INDEX(Pubs!$E$2:$E$3001,MATCH(G1208,Pubs!$A$2:$A$3001,0)),""))</f>
        <v/>
      </c>
      <c r="L1208" s="29" t="str">
        <f aca="false">IF(A1208="","",IFERROR(1/(1/INDEX(Numéros!$C$2:$C$3001,MATCH(A1208&amp;"|"&amp;B1208,Numéros!$F$2:$F$3001,0))),""))</f>
        <v/>
      </c>
      <c r="M1208" s="27" t="str">
        <f aca="false">IF(OR(G1208="",G1208="?"),"",IFERROR(INDEX(Pubs!$D$2:$D$3001,MATCH(G1208,Pubs!$A$2:$A$3001,0))&amp;"",""))</f>
        <v/>
      </c>
      <c r="N1208" s="27" t="n">
        <f aca="false">N(N1207)+IF(AND(A1208&lt;&gt;"",OR(Recherche!$C$4="",A1208=Recherche!$C$4),OR(Recherche!$C$5="",B1208&amp;""=Recherche!$C$5&amp;""),OR(Recherche!$C$6="",IFERROR(YEAR(L1208),0)=Recherche!$C$6),OR(Recherche!$C$7="",ISNUMBER(SEARCH(Recherche!$C$7,H1208))),OR(Recherche!$C$8="",J1208=Recherche!$C$8),OR(Recherche!$C$9="",I1208=Recherche!$C$9),OR(Recherche!$C$10="",G1208&amp;""=Recherche!$C$10&amp;""),OR(Recherche!$C$11="",E1208=Recherche!$C$11),OR(Recherche!$C$12="",ISNUMBER(SEARCH(Recherche!$C$12,M1208&amp;" "&amp;F1208)))),1,0)</f>
        <v>8</v>
      </c>
    </row>
    <row r="1209" customFormat="false" ht="15" hidden="false" customHeight="false" outlineLevel="0" collapsed="false">
      <c r="A1209" s="19"/>
      <c r="B1209" s="19"/>
      <c r="C1209" s="19"/>
      <c r="D1209" s="19"/>
      <c r="E1209" s="22"/>
      <c r="F1209" s="19"/>
      <c r="G1209" s="26" t="str">
        <f aca="false">IF(D1209="","",IFERROR(VALUE(LEFT(D1209,FIND(" |",D1209&amp;" |")-1)),"?"))</f>
        <v/>
      </c>
      <c r="H1209" s="27" t="str">
        <f aca="false">IF(G1209="","",IF(G1209="?","⚠ pub inconnue",IFERROR(INDEX(Pubs!$B$2:$B$3001,MATCH(G1209,Pubs!$A$2:$A$3001,0))&amp;"","⚠ pub inconnue")))</f>
        <v/>
      </c>
      <c r="I1209" s="27" t="str">
        <f aca="false">IF(OR(G1209="",G1209="?"),"",IFERROR(INDEX(Pubs!$C$2:$C$3001,MATCH(G1209,Pubs!$A$2:$A$3001,0))&amp;"",""))</f>
        <v/>
      </c>
      <c r="J1209" s="27" t="str">
        <f aca="false">IF(OR(G1209="",G1209="?"),"",IFERROR(INDEX(Pubs!$G$2:$G$3001,MATCH(G1209,Pubs!$A$2:$A$3001,0))&amp;"",""))</f>
        <v/>
      </c>
      <c r="K1209" s="28" t="str">
        <f aca="false">IF(OR(G1209="",G1209="?"),"",IFERROR(INDEX(Pubs!$E$2:$E$3001,MATCH(G1209,Pubs!$A$2:$A$3001,0)),""))</f>
        <v/>
      </c>
      <c r="L1209" s="29" t="str">
        <f aca="false">IF(A1209="","",IFERROR(1/(1/INDEX(Numéros!$C$2:$C$3001,MATCH(A1209&amp;"|"&amp;B1209,Numéros!$F$2:$F$3001,0))),""))</f>
        <v/>
      </c>
      <c r="M1209" s="27" t="str">
        <f aca="false">IF(OR(G1209="",G1209="?"),"",IFERROR(INDEX(Pubs!$D$2:$D$3001,MATCH(G1209,Pubs!$A$2:$A$3001,0))&amp;"",""))</f>
        <v/>
      </c>
      <c r="N1209" s="27" t="n">
        <f aca="false">N(N1208)+IF(AND(A1209&lt;&gt;"",OR(Recherche!$C$4="",A1209=Recherche!$C$4),OR(Recherche!$C$5="",B1209&amp;""=Recherche!$C$5&amp;""),OR(Recherche!$C$6="",IFERROR(YEAR(L1209),0)=Recherche!$C$6),OR(Recherche!$C$7="",ISNUMBER(SEARCH(Recherche!$C$7,H1209))),OR(Recherche!$C$8="",J1209=Recherche!$C$8),OR(Recherche!$C$9="",I1209=Recherche!$C$9),OR(Recherche!$C$10="",G1209&amp;""=Recherche!$C$10&amp;""),OR(Recherche!$C$11="",E1209=Recherche!$C$11),OR(Recherche!$C$12="",ISNUMBER(SEARCH(Recherche!$C$12,M1209&amp;" "&amp;F1209)))),1,0)</f>
        <v>8</v>
      </c>
    </row>
    <row r="1210" customFormat="false" ht="15" hidden="false" customHeight="false" outlineLevel="0" collapsed="false">
      <c r="A1210" s="19"/>
      <c r="B1210" s="19"/>
      <c r="C1210" s="19"/>
      <c r="D1210" s="19"/>
      <c r="E1210" s="22"/>
      <c r="F1210" s="19"/>
      <c r="G1210" s="26" t="str">
        <f aca="false">IF(D1210="","",IFERROR(VALUE(LEFT(D1210,FIND(" |",D1210&amp;" |")-1)),"?"))</f>
        <v/>
      </c>
      <c r="H1210" s="27" t="str">
        <f aca="false">IF(G1210="","",IF(G1210="?","⚠ pub inconnue",IFERROR(INDEX(Pubs!$B$2:$B$3001,MATCH(G1210,Pubs!$A$2:$A$3001,0))&amp;"","⚠ pub inconnue")))</f>
        <v/>
      </c>
      <c r="I1210" s="27" t="str">
        <f aca="false">IF(OR(G1210="",G1210="?"),"",IFERROR(INDEX(Pubs!$C$2:$C$3001,MATCH(G1210,Pubs!$A$2:$A$3001,0))&amp;"",""))</f>
        <v/>
      </c>
      <c r="J1210" s="27" t="str">
        <f aca="false">IF(OR(G1210="",G1210="?"),"",IFERROR(INDEX(Pubs!$G$2:$G$3001,MATCH(G1210,Pubs!$A$2:$A$3001,0))&amp;"",""))</f>
        <v/>
      </c>
      <c r="K1210" s="28" t="str">
        <f aca="false">IF(OR(G1210="",G1210="?"),"",IFERROR(INDEX(Pubs!$E$2:$E$3001,MATCH(G1210,Pubs!$A$2:$A$3001,0)),""))</f>
        <v/>
      </c>
      <c r="L1210" s="29" t="str">
        <f aca="false">IF(A1210="","",IFERROR(1/(1/INDEX(Numéros!$C$2:$C$3001,MATCH(A1210&amp;"|"&amp;B1210,Numéros!$F$2:$F$3001,0))),""))</f>
        <v/>
      </c>
      <c r="M1210" s="27" t="str">
        <f aca="false">IF(OR(G1210="",G1210="?"),"",IFERROR(INDEX(Pubs!$D$2:$D$3001,MATCH(G1210,Pubs!$A$2:$A$3001,0))&amp;"",""))</f>
        <v/>
      </c>
      <c r="N1210" s="27" t="n">
        <f aca="false">N(N1209)+IF(AND(A1210&lt;&gt;"",OR(Recherche!$C$4="",A1210=Recherche!$C$4),OR(Recherche!$C$5="",B1210&amp;""=Recherche!$C$5&amp;""),OR(Recherche!$C$6="",IFERROR(YEAR(L1210),0)=Recherche!$C$6),OR(Recherche!$C$7="",ISNUMBER(SEARCH(Recherche!$C$7,H1210))),OR(Recherche!$C$8="",J1210=Recherche!$C$8),OR(Recherche!$C$9="",I1210=Recherche!$C$9),OR(Recherche!$C$10="",G1210&amp;""=Recherche!$C$10&amp;""),OR(Recherche!$C$11="",E1210=Recherche!$C$11),OR(Recherche!$C$12="",ISNUMBER(SEARCH(Recherche!$C$12,M1210&amp;" "&amp;F1210)))),1,0)</f>
        <v>8</v>
      </c>
    </row>
    <row r="1211" customFormat="false" ht="15" hidden="false" customHeight="false" outlineLevel="0" collapsed="false">
      <c r="A1211" s="19"/>
      <c r="B1211" s="19"/>
      <c r="C1211" s="19"/>
      <c r="D1211" s="19"/>
      <c r="E1211" s="22"/>
      <c r="F1211" s="19"/>
      <c r="G1211" s="26" t="str">
        <f aca="false">IF(D1211="","",IFERROR(VALUE(LEFT(D1211,FIND(" |",D1211&amp;" |")-1)),"?"))</f>
        <v/>
      </c>
      <c r="H1211" s="27" t="str">
        <f aca="false">IF(G1211="","",IF(G1211="?","⚠ pub inconnue",IFERROR(INDEX(Pubs!$B$2:$B$3001,MATCH(G1211,Pubs!$A$2:$A$3001,0))&amp;"","⚠ pub inconnue")))</f>
        <v/>
      </c>
      <c r="I1211" s="27" t="str">
        <f aca="false">IF(OR(G1211="",G1211="?"),"",IFERROR(INDEX(Pubs!$C$2:$C$3001,MATCH(G1211,Pubs!$A$2:$A$3001,0))&amp;"",""))</f>
        <v/>
      </c>
      <c r="J1211" s="27" t="str">
        <f aca="false">IF(OR(G1211="",G1211="?"),"",IFERROR(INDEX(Pubs!$G$2:$G$3001,MATCH(G1211,Pubs!$A$2:$A$3001,0))&amp;"",""))</f>
        <v/>
      </c>
      <c r="K1211" s="28" t="str">
        <f aca="false">IF(OR(G1211="",G1211="?"),"",IFERROR(INDEX(Pubs!$E$2:$E$3001,MATCH(G1211,Pubs!$A$2:$A$3001,0)),""))</f>
        <v/>
      </c>
      <c r="L1211" s="29" t="str">
        <f aca="false">IF(A1211="","",IFERROR(1/(1/INDEX(Numéros!$C$2:$C$3001,MATCH(A1211&amp;"|"&amp;B1211,Numéros!$F$2:$F$3001,0))),""))</f>
        <v/>
      </c>
      <c r="M1211" s="27" t="str">
        <f aca="false">IF(OR(G1211="",G1211="?"),"",IFERROR(INDEX(Pubs!$D$2:$D$3001,MATCH(G1211,Pubs!$A$2:$A$3001,0))&amp;"",""))</f>
        <v/>
      </c>
      <c r="N1211" s="27" t="n">
        <f aca="false">N(N1210)+IF(AND(A1211&lt;&gt;"",OR(Recherche!$C$4="",A1211=Recherche!$C$4),OR(Recherche!$C$5="",B1211&amp;""=Recherche!$C$5&amp;""),OR(Recherche!$C$6="",IFERROR(YEAR(L1211),0)=Recherche!$C$6),OR(Recherche!$C$7="",ISNUMBER(SEARCH(Recherche!$C$7,H1211))),OR(Recherche!$C$8="",J1211=Recherche!$C$8),OR(Recherche!$C$9="",I1211=Recherche!$C$9),OR(Recherche!$C$10="",G1211&amp;""=Recherche!$C$10&amp;""),OR(Recherche!$C$11="",E1211=Recherche!$C$11),OR(Recherche!$C$12="",ISNUMBER(SEARCH(Recherche!$C$12,M1211&amp;" "&amp;F1211)))),1,0)</f>
        <v>8</v>
      </c>
    </row>
    <row r="1212" customFormat="false" ht="15" hidden="false" customHeight="false" outlineLevel="0" collapsed="false">
      <c r="A1212" s="19"/>
      <c r="B1212" s="19"/>
      <c r="C1212" s="19"/>
      <c r="D1212" s="19"/>
      <c r="E1212" s="22"/>
      <c r="F1212" s="19"/>
      <c r="G1212" s="26" t="str">
        <f aca="false">IF(D1212="","",IFERROR(VALUE(LEFT(D1212,FIND(" |",D1212&amp;" |")-1)),"?"))</f>
        <v/>
      </c>
      <c r="H1212" s="27" t="str">
        <f aca="false">IF(G1212="","",IF(G1212="?","⚠ pub inconnue",IFERROR(INDEX(Pubs!$B$2:$B$3001,MATCH(G1212,Pubs!$A$2:$A$3001,0))&amp;"","⚠ pub inconnue")))</f>
        <v/>
      </c>
      <c r="I1212" s="27" t="str">
        <f aca="false">IF(OR(G1212="",G1212="?"),"",IFERROR(INDEX(Pubs!$C$2:$C$3001,MATCH(G1212,Pubs!$A$2:$A$3001,0))&amp;"",""))</f>
        <v/>
      </c>
      <c r="J1212" s="27" t="str">
        <f aca="false">IF(OR(G1212="",G1212="?"),"",IFERROR(INDEX(Pubs!$G$2:$G$3001,MATCH(G1212,Pubs!$A$2:$A$3001,0))&amp;"",""))</f>
        <v/>
      </c>
      <c r="K1212" s="28" t="str">
        <f aca="false">IF(OR(G1212="",G1212="?"),"",IFERROR(INDEX(Pubs!$E$2:$E$3001,MATCH(G1212,Pubs!$A$2:$A$3001,0)),""))</f>
        <v/>
      </c>
      <c r="L1212" s="29" t="str">
        <f aca="false">IF(A1212="","",IFERROR(1/(1/INDEX(Numéros!$C$2:$C$3001,MATCH(A1212&amp;"|"&amp;B1212,Numéros!$F$2:$F$3001,0))),""))</f>
        <v/>
      </c>
      <c r="M1212" s="27" t="str">
        <f aca="false">IF(OR(G1212="",G1212="?"),"",IFERROR(INDEX(Pubs!$D$2:$D$3001,MATCH(G1212,Pubs!$A$2:$A$3001,0))&amp;"",""))</f>
        <v/>
      </c>
      <c r="N1212" s="27" t="n">
        <f aca="false">N(N1211)+IF(AND(A1212&lt;&gt;"",OR(Recherche!$C$4="",A1212=Recherche!$C$4),OR(Recherche!$C$5="",B1212&amp;""=Recherche!$C$5&amp;""),OR(Recherche!$C$6="",IFERROR(YEAR(L1212),0)=Recherche!$C$6),OR(Recherche!$C$7="",ISNUMBER(SEARCH(Recherche!$C$7,H1212))),OR(Recherche!$C$8="",J1212=Recherche!$C$8),OR(Recherche!$C$9="",I1212=Recherche!$C$9),OR(Recherche!$C$10="",G1212&amp;""=Recherche!$C$10&amp;""),OR(Recherche!$C$11="",E1212=Recherche!$C$11),OR(Recherche!$C$12="",ISNUMBER(SEARCH(Recherche!$C$12,M1212&amp;" "&amp;F1212)))),1,0)</f>
        <v>8</v>
      </c>
    </row>
    <row r="1213" customFormat="false" ht="15" hidden="false" customHeight="false" outlineLevel="0" collapsed="false">
      <c r="A1213" s="19"/>
      <c r="B1213" s="19"/>
      <c r="C1213" s="19"/>
      <c r="D1213" s="19"/>
      <c r="E1213" s="22"/>
      <c r="F1213" s="19"/>
      <c r="G1213" s="26" t="str">
        <f aca="false">IF(D1213="","",IFERROR(VALUE(LEFT(D1213,FIND(" |",D1213&amp;" |")-1)),"?"))</f>
        <v/>
      </c>
      <c r="H1213" s="27" t="str">
        <f aca="false">IF(G1213="","",IF(G1213="?","⚠ pub inconnue",IFERROR(INDEX(Pubs!$B$2:$B$3001,MATCH(G1213,Pubs!$A$2:$A$3001,0))&amp;"","⚠ pub inconnue")))</f>
        <v/>
      </c>
      <c r="I1213" s="27" t="str">
        <f aca="false">IF(OR(G1213="",G1213="?"),"",IFERROR(INDEX(Pubs!$C$2:$C$3001,MATCH(G1213,Pubs!$A$2:$A$3001,0))&amp;"",""))</f>
        <v/>
      </c>
      <c r="J1213" s="27" t="str">
        <f aca="false">IF(OR(G1213="",G1213="?"),"",IFERROR(INDEX(Pubs!$G$2:$G$3001,MATCH(G1213,Pubs!$A$2:$A$3001,0))&amp;"",""))</f>
        <v/>
      </c>
      <c r="K1213" s="28" t="str">
        <f aca="false">IF(OR(G1213="",G1213="?"),"",IFERROR(INDEX(Pubs!$E$2:$E$3001,MATCH(G1213,Pubs!$A$2:$A$3001,0)),""))</f>
        <v/>
      </c>
      <c r="L1213" s="29" t="str">
        <f aca="false">IF(A1213="","",IFERROR(1/(1/INDEX(Numéros!$C$2:$C$3001,MATCH(A1213&amp;"|"&amp;B1213,Numéros!$F$2:$F$3001,0))),""))</f>
        <v/>
      </c>
      <c r="M1213" s="27" t="str">
        <f aca="false">IF(OR(G1213="",G1213="?"),"",IFERROR(INDEX(Pubs!$D$2:$D$3001,MATCH(G1213,Pubs!$A$2:$A$3001,0))&amp;"",""))</f>
        <v/>
      </c>
      <c r="N1213" s="27" t="n">
        <f aca="false">N(N1212)+IF(AND(A1213&lt;&gt;"",OR(Recherche!$C$4="",A1213=Recherche!$C$4),OR(Recherche!$C$5="",B1213&amp;""=Recherche!$C$5&amp;""),OR(Recherche!$C$6="",IFERROR(YEAR(L1213),0)=Recherche!$C$6),OR(Recherche!$C$7="",ISNUMBER(SEARCH(Recherche!$C$7,H1213))),OR(Recherche!$C$8="",J1213=Recherche!$C$8),OR(Recherche!$C$9="",I1213=Recherche!$C$9),OR(Recherche!$C$10="",G1213&amp;""=Recherche!$C$10&amp;""),OR(Recherche!$C$11="",E1213=Recherche!$C$11),OR(Recherche!$C$12="",ISNUMBER(SEARCH(Recherche!$C$12,M1213&amp;" "&amp;F1213)))),1,0)</f>
        <v>8</v>
      </c>
    </row>
    <row r="1214" customFormat="false" ht="15" hidden="false" customHeight="false" outlineLevel="0" collapsed="false">
      <c r="A1214" s="19"/>
      <c r="B1214" s="19"/>
      <c r="C1214" s="19"/>
      <c r="D1214" s="19"/>
      <c r="E1214" s="22"/>
      <c r="F1214" s="19"/>
      <c r="G1214" s="26" t="str">
        <f aca="false">IF(D1214="","",IFERROR(VALUE(LEFT(D1214,FIND(" |",D1214&amp;" |")-1)),"?"))</f>
        <v/>
      </c>
      <c r="H1214" s="27" t="str">
        <f aca="false">IF(G1214="","",IF(G1214="?","⚠ pub inconnue",IFERROR(INDEX(Pubs!$B$2:$B$3001,MATCH(G1214,Pubs!$A$2:$A$3001,0))&amp;"","⚠ pub inconnue")))</f>
        <v/>
      </c>
      <c r="I1214" s="27" t="str">
        <f aca="false">IF(OR(G1214="",G1214="?"),"",IFERROR(INDEX(Pubs!$C$2:$C$3001,MATCH(G1214,Pubs!$A$2:$A$3001,0))&amp;"",""))</f>
        <v/>
      </c>
      <c r="J1214" s="27" t="str">
        <f aca="false">IF(OR(G1214="",G1214="?"),"",IFERROR(INDEX(Pubs!$G$2:$G$3001,MATCH(G1214,Pubs!$A$2:$A$3001,0))&amp;"",""))</f>
        <v/>
      </c>
      <c r="K1214" s="28" t="str">
        <f aca="false">IF(OR(G1214="",G1214="?"),"",IFERROR(INDEX(Pubs!$E$2:$E$3001,MATCH(G1214,Pubs!$A$2:$A$3001,0)),""))</f>
        <v/>
      </c>
      <c r="L1214" s="29" t="str">
        <f aca="false">IF(A1214="","",IFERROR(1/(1/INDEX(Numéros!$C$2:$C$3001,MATCH(A1214&amp;"|"&amp;B1214,Numéros!$F$2:$F$3001,0))),""))</f>
        <v/>
      </c>
      <c r="M1214" s="27" t="str">
        <f aca="false">IF(OR(G1214="",G1214="?"),"",IFERROR(INDEX(Pubs!$D$2:$D$3001,MATCH(G1214,Pubs!$A$2:$A$3001,0))&amp;"",""))</f>
        <v/>
      </c>
      <c r="N1214" s="27" t="n">
        <f aca="false">N(N1213)+IF(AND(A1214&lt;&gt;"",OR(Recherche!$C$4="",A1214=Recherche!$C$4),OR(Recherche!$C$5="",B1214&amp;""=Recherche!$C$5&amp;""),OR(Recherche!$C$6="",IFERROR(YEAR(L1214),0)=Recherche!$C$6),OR(Recherche!$C$7="",ISNUMBER(SEARCH(Recherche!$C$7,H1214))),OR(Recherche!$C$8="",J1214=Recherche!$C$8),OR(Recherche!$C$9="",I1214=Recherche!$C$9),OR(Recherche!$C$10="",G1214&amp;""=Recherche!$C$10&amp;""),OR(Recherche!$C$11="",E1214=Recherche!$C$11),OR(Recherche!$C$12="",ISNUMBER(SEARCH(Recherche!$C$12,M1214&amp;" "&amp;F1214)))),1,0)</f>
        <v>8</v>
      </c>
    </row>
    <row r="1215" customFormat="false" ht="15" hidden="false" customHeight="false" outlineLevel="0" collapsed="false">
      <c r="A1215" s="19"/>
      <c r="B1215" s="19"/>
      <c r="C1215" s="19"/>
      <c r="D1215" s="19"/>
      <c r="E1215" s="22"/>
      <c r="F1215" s="19"/>
      <c r="G1215" s="26" t="str">
        <f aca="false">IF(D1215="","",IFERROR(VALUE(LEFT(D1215,FIND(" |",D1215&amp;" |")-1)),"?"))</f>
        <v/>
      </c>
      <c r="H1215" s="27" t="str">
        <f aca="false">IF(G1215="","",IF(G1215="?","⚠ pub inconnue",IFERROR(INDEX(Pubs!$B$2:$B$3001,MATCH(G1215,Pubs!$A$2:$A$3001,0))&amp;"","⚠ pub inconnue")))</f>
        <v/>
      </c>
      <c r="I1215" s="27" t="str">
        <f aca="false">IF(OR(G1215="",G1215="?"),"",IFERROR(INDEX(Pubs!$C$2:$C$3001,MATCH(G1215,Pubs!$A$2:$A$3001,0))&amp;"",""))</f>
        <v/>
      </c>
      <c r="J1215" s="27" t="str">
        <f aca="false">IF(OR(G1215="",G1215="?"),"",IFERROR(INDEX(Pubs!$G$2:$G$3001,MATCH(G1215,Pubs!$A$2:$A$3001,0))&amp;"",""))</f>
        <v/>
      </c>
      <c r="K1215" s="28" t="str">
        <f aca="false">IF(OR(G1215="",G1215="?"),"",IFERROR(INDEX(Pubs!$E$2:$E$3001,MATCH(G1215,Pubs!$A$2:$A$3001,0)),""))</f>
        <v/>
      </c>
      <c r="L1215" s="29" t="str">
        <f aca="false">IF(A1215="","",IFERROR(1/(1/INDEX(Numéros!$C$2:$C$3001,MATCH(A1215&amp;"|"&amp;B1215,Numéros!$F$2:$F$3001,0))),""))</f>
        <v/>
      </c>
      <c r="M1215" s="27" t="str">
        <f aca="false">IF(OR(G1215="",G1215="?"),"",IFERROR(INDEX(Pubs!$D$2:$D$3001,MATCH(G1215,Pubs!$A$2:$A$3001,0))&amp;"",""))</f>
        <v/>
      </c>
      <c r="N1215" s="27" t="n">
        <f aca="false">N(N1214)+IF(AND(A1215&lt;&gt;"",OR(Recherche!$C$4="",A1215=Recherche!$C$4),OR(Recherche!$C$5="",B1215&amp;""=Recherche!$C$5&amp;""),OR(Recherche!$C$6="",IFERROR(YEAR(L1215),0)=Recherche!$C$6),OR(Recherche!$C$7="",ISNUMBER(SEARCH(Recherche!$C$7,H1215))),OR(Recherche!$C$8="",J1215=Recherche!$C$8),OR(Recherche!$C$9="",I1215=Recherche!$C$9),OR(Recherche!$C$10="",G1215&amp;""=Recherche!$C$10&amp;""),OR(Recherche!$C$11="",E1215=Recherche!$C$11),OR(Recherche!$C$12="",ISNUMBER(SEARCH(Recherche!$C$12,M1215&amp;" "&amp;F1215)))),1,0)</f>
        <v>8</v>
      </c>
    </row>
    <row r="1216" customFormat="false" ht="15" hidden="false" customHeight="false" outlineLevel="0" collapsed="false">
      <c r="A1216" s="19"/>
      <c r="B1216" s="19"/>
      <c r="C1216" s="19"/>
      <c r="D1216" s="19"/>
      <c r="E1216" s="22"/>
      <c r="F1216" s="19"/>
      <c r="G1216" s="26" t="str">
        <f aca="false">IF(D1216="","",IFERROR(VALUE(LEFT(D1216,FIND(" |",D1216&amp;" |")-1)),"?"))</f>
        <v/>
      </c>
      <c r="H1216" s="27" t="str">
        <f aca="false">IF(G1216="","",IF(G1216="?","⚠ pub inconnue",IFERROR(INDEX(Pubs!$B$2:$B$3001,MATCH(G1216,Pubs!$A$2:$A$3001,0))&amp;"","⚠ pub inconnue")))</f>
        <v/>
      </c>
      <c r="I1216" s="27" t="str">
        <f aca="false">IF(OR(G1216="",G1216="?"),"",IFERROR(INDEX(Pubs!$C$2:$C$3001,MATCH(G1216,Pubs!$A$2:$A$3001,0))&amp;"",""))</f>
        <v/>
      </c>
      <c r="J1216" s="27" t="str">
        <f aca="false">IF(OR(G1216="",G1216="?"),"",IFERROR(INDEX(Pubs!$G$2:$G$3001,MATCH(G1216,Pubs!$A$2:$A$3001,0))&amp;"",""))</f>
        <v/>
      </c>
      <c r="K1216" s="28" t="str">
        <f aca="false">IF(OR(G1216="",G1216="?"),"",IFERROR(INDEX(Pubs!$E$2:$E$3001,MATCH(G1216,Pubs!$A$2:$A$3001,0)),""))</f>
        <v/>
      </c>
      <c r="L1216" s="29" t="str">
        <f aca="false">IF(A1216="","",IFERROR(1/(1/INDEX(Numéros!$C$2:$C$3001,MATCH(A1216&amp;"|"&amp;B1216,Numéros!$F$2:$F$3001,0))),""))</f>
        <v/>
      </c>
      <c r="M1216" s="27" t="str">
        <f aca="false">IF(OR(G1216="",G1216="?"),"",IFERROR(INDEX(Pubs!$D$2:$D$3001,MATCH(G1216,Pubs!$A$2:$A$3001,0))&amp;"",""))</f>
        <v/>
      </c>
      <c r="N1216" s="27" t="n">
        <f aca="false">N(N1215)+IF(AND(A1216&lt;&gt;"",OR(Recherche!$C$4="",A1216=Recherche!$C$4),OR(Recherche!$C$5="",B1216&amp;""=Recherche!$C$5&amp;""),OR(Recherche!$C$6="",IFERROR(YEAR(L1216),0)=Recherche!$C$6),OR(Recherche!$C$7="",ISNUMBER(SEARCH(Recherche!$C$7,H1216))),OR(Recherche!$C$8="",J1216=Recherche!$C$8),OR(Recherche!$C$9="",I1216=Recherche!$C$9),OR(Recherche!$C$10="",G1216&amp;""=Recherche!$C$10&amp;""),OR(Recherche!$C$11="",E1216=Recherche!$C$11),OR(Recherche!$C$12="",ISNUMBER(SEARCH(Recherche!$C$12,M1216&amp;" "&amp;F1216)))),1,0)</f>
        <v>8</v>
      </c>
    </row>
    <row r="1217" customFormat="false" ht="15" hidden="false" customHeight="false" outlineLevel="0" collapsed="false">
      <c r="A1217" s="19"/>
      <c r="B1217" s="19"/>
      <c r="C1217" s="19"/>
      <c r="D1217" s="19"/>
      <c r="E1217" s="22"/>
      <c r="F1217" s="19"/>
      <c r="G1217" s="26" t="str">
        <f aca="false">IF(D1217="","",IFERROR(VALUE(LEFT(D1217,FIND(" |",D1217&amp;" |")-1)),"?"))</f>
        <v/>
      </c>
      <c r="H1217" s="27" t="str">
        <f aca="false">IF(G1217="","",IF(G1217="?","⚠ pub inconnue",IFERROR(INDEX(Pubs!$B$2:$B$3001,MATCH(G1217,Pubs!$A$2:$A$3001,0))&amp;"","⚠ pub inconnue")))</f>
        <v/>
      </c>
      <c r="I1217" s="27" t="str">
        <f aca="false">IF(OR(G1217="",G1217="?"),"",IFERROR(INDEX(Pubs!$C$2:$C$3001,MATCH(G1217,Pubs!$A$2:$A$3001,0))&amp;"",""))</f>
        <v/>
      </c>
      <c r="J1217" s="27" t="str">
        <f aca="false">IF(OR(G1217="",G1217="?"),"",IFERROR(INDEX(Pubs!$G$2:$G$3001,MATCH(G1217,Pubs!$A$2:$A$3001,0))&amp;"",""))</f>
        <v/>
      </c>
      <c r="K1217" s="28" t="str">
        <f aca="false">IF(OR(G1217="",G1217="?"),"",IFERROR(INDEX(Pubs!$E$2:$E$3001,MATCH(G1217,Pubs!$A$2:$A$3001,0)),""))</f>
        <v/>
      </c>
      <c r="L1217" s="29" t="str">
        <f aca="false">IF(A1217="","",IFERROR(1/(1/INDEX(Numéros!$C$2:$C$3001,MATCH(A1217&amp;"|"&amp;B1217,Numéros!$F$2:$F$3001,0))),""))</f>
        <v/>
      </c>
      <c r="M1217" s="27" t="str">
        <f aca="false">IF(OR(G1217="",G1217="?"),"",IFERROR(INDEX(Pubs!$D$2:$D$3001,MATCH(G1217,Pubs!$A$2:$A$3001,0))&amp;"",""))</f>
        <v/>
      </c>
      <c r="N1217" s="27" t="n">
        <f aca="false">N(N1216)+IF(AND(A1217&lt;&gt;"",OR(Recherche!$C$4="",A1217=Recherche!$C$4),OR(Recherche!$C$5="",B1217&amp;""=Recherche!$C$5&amp;""),OR(Recherche!$C$6="",IFERROR(YEAR(L1217),0)=Recherche!$C$6),OR(Recherche!$C$7="",ISNUMBER(SEARCH(Recherche!$C$7,H1217))),OR(Recherche!$C$8="",J1217=Recherche!$C$8),OR(Recherche!$C$9="",I1217=Recherche!$C$9),OR(Recherche!$C$10="",G1217&amp;""=Recherche!$C$10&amp;""),OR(Recherche!$C$11="",E1217=Recherche!$C$11),OR(Recherche!$C$12="",ISNUMBER(SEARCH(Recherche!$C$12,M1217&amp;" "&amp;F1217)))),1,0)</f>
        <v>8</v>
      </c>
    </row>
    <row r="1218" customFormat="false" ht="15" hidden="false" customHeight="false" outlineLevel="0" collapsed="false">
      <c r="A1218" s="19"/>
      <c r="B1218" s="19"/>
      <c r="C1218" s="19"/>
      <c r="D1218" s="19"/>
      <c r="E1218" s="22"/>
      <c r="F1218" s="19"/>
      <c r="G1218" s="26" t="str">
        <f aca="false">IF(D1218="","",IFERROR(VALUE(LEFT(D1218,FIND(" |",D1218&amp;" |")-1)),"?"))</f>
        <v/>
      </c>
      <c r="H1218" s="27" t="str">
        <f aca="false">IF(G1218="","",IF(G1218="?","⚠ pub inconnue",IFERROR(INDEX(Pubs!$B$2:$B$3001,MATCH(G1218,Pubs!$A$2:$A$3001,0))&amp;"","⚠ pub inconnue")))</f>
        <v/>
      </c>
      <c r="I1218" s="27" t="str">
        <f aca="false">IF(OR(G1218="",G1218="?"),"",IFERROR(INDEX(Pubs!$C$2:$C$3001,MATCH(G1218,Pubs!$A$2:$A$3001,0))&amp;"",""))</f>
        <v/>
      </c>
      <c r="J1218" s="27" t="str">
        <f aca="false">IF(OR(G1218="",G1218="?"),"",IFERROR(INDEX(Pubs!$G$2:$G$3001,MATCH(G1218,Pubs!$A$2:$A$3001,0))&amp;"",""))</f>
        <v/>
      </c>
      <c r="K1218" s="28" t="str">
        <f aca="false">IF(OR(G1218="",G1218="?"),"",IFERROR(INDEX(Pubs!$E$2:$E$3001,MATCH(G1218,Pubs!$A$2:$A$3001,0)),""))</f>
        <v/>
      </c>
      <c r="L1218" s="29" t="str">
        <f aca="false">IF(A1218="","",IFERROR(1/(1/INDEX(Numéros!$C$2:$C$3001,MATCH(A1218&amp;"|"&amp;B1218,Numéros!$F$2:$F$3001,0))),""))</f>
        <v/>
      </c>
      <c r="M1218" s="27" t="str">
        <f aca="false">IF(OR(G1218="",G1218="?"),"",IFERROR(INDEX(Pubs!$D$2:$D$3001,MATCH(G1218,Pubs!$A$2:$A$3001,0))&amp;"",""))</f>
        <v/>
      </c>
      <c r="N1218" s="27" t="n">
        <f aca="false">N(N1217)+IF(AND(A1218&lt;&gt;"",OR(Recherche!$C$4="",A1218=Recherche!$C$4),OR(Recherche!$C$5="",B1218&amp;""=Recherche!$C$5&amp;""),OR(Recherche!$C$6="",IFERROR(YEAR(L1218),0)=Recherche!$C$6),OR(Recherche!$C$7="",ISNUMBER(SEARCH(Recherche!$C$7,H1218))),OR(Recherche!$C$8="",J1218=Recherche!$C$8),OR(Recherche!$C$9="",I1218=Recherche!$C$9),OR(Recherche!$C$10="",G1218&amp;""=Recherche!$C$10&amp;""),OR(Recherche!$C$11="",E1218=Recherche!$C$11),OR(Recherche!$C$12="",ISNUMBER(SEARCH(Recherche!$C$12,M1218&amp;" "&amp;F1218)))),1,0)</f>
        <v>8</v>
      </c>
    </row>
    <row r="1219" customFormat="false" ht="15" hidden="false" customHeight="false" outlineLevel="0" collapsed="false">
      <c r="A1219" s="19"/>
      <c r="B1219" s="19"/>
      <c r="C1219" s="19"/>
      <c r="D1219" s="19"/>
      <c r="E1219" s="22"/>
      <c r="F1219" s="19"/>
      <c r="G1219" s="26" t="str">
        <f aca="false">IF(D1219="","",IFERROR(VALUE(LEFT(D1219,FIND(" |",D1219&amp;" |")-1)),"?"))</f>
        <v/>
      </c>
      <c r="H1219" s="27" t="str">
        <f aca="false">IF(G1219="","",IF(G1219="?","⚠ pub inconnue",IFERROR(INDEX(Pubs!$B$2:$B$3001,MATCH(G1219,Pubs!$A$2:$A$3001,0))&amp;"","⚠ pub inconnue")))</f>
        <v/>
      </c>
      <c r="I1219" s="27" t="str">
        <f aca="false">IF(OR(G1219="",G1219="?"),"",IFERROR(INDEX(Pubs!$C$2:$C$3001,MATCH(G1219,Pubs!$A$2:$A$3001,0))&amp;"",""))</f>
        <v/>
      </c>
      <c r="J1219" s="27" t="str">
        <f aca="false">IF(OR(G1219="",G1219="?"),"",IFERROR(INDEX(Pubs!$G$2:$G$3001,MATCH(G1219,Pubs!$A$2:$A$3001,0))&amp;"",""))</f>
        <v/>
      </c>
      <c r="K1219" s="28" t="str">
        <f aca="false">IF(OR(G1219="",G1219="?"),"",IFERROR(INDEX(Pubs!$E$2:$E$3001,MATCH(G1219,Pubs!$A$2:$A$3001,0)),""))</f>
        <v/>
      </c>
      <c r="L1219" s="29" t="str">
        <f aca="false">IF(A1219="","",IFERROR(1/(1/INDEX(Numéros!$C$2:$C$3001,MATCH(A1219&amp;"|"&amp;B1219,Numéros!$F$2:$F$3001,0))),""))</f>
        <v/>
      </c>
      <c r="M1219" s="27" t="str">
        <f aca="false">IF(OR(G1219="",G1219="?"),"",IFERROR(INDEX(Pubs!$D$2:$D$3001,MATCH(G1219,Pubs!$A$2:$A$3001,0))&amp;"",""))</f>
        <v/>
      </c>
      <c r="N1219" s="27" t="n">
        <f aca="false">N(N1218)+IF(AND(A1219&lt;&gt;"",OR(Recherche!$C$4="",A1219=Recherche!$C$4),OR(Recherche!$C$5="",B1219&amp;""=Recherche!$C$5&amp;""),OR(Recherche!$C$6="",IFERROR(YEAR(L1219),0)=Recherche!$C$6),OR(Recherche!$C$7="",ISNUMBER(SEARCH(Recherche!$C$7,H1219))),OR(Recherche!$C$8="",J1219=Recherche!$C$8),OR(Recherche!$C$9="",I1219=Recherche!$C$9),OR(Recherche!$C$10="",G1219&amp;""=Recherche!$C$10&amp;""),OR(Recherche!$C$11="",E1219=Recherche!$C$11),OR(Recherche!$C$12="",ISNUMBER(SEARCH(Recherche!$C$12,M1219&amp;" "&amp;F1219)))),1,0)</f>
        <v>8</v>
      </c>
    </row>
    <row r="1220" customFormat="false" ht="15" hidden="false" customHeight="false" outlineLevel="0" collapsed="false">
      <c r="A1220" s="19"/>
      <c r="B1220" s="19"/>
      <c r="C1220" s="19"/>
      <c r="D1220" s="19"/>
      <c r="E1220" s="22"/>
      <c r="F1220" s="19"/>
      <c r="G1220" s="26" t="str">
        <f aca="false">IF(D1220="","",IFERROR(VALUE(LEFT(D1220,FIND(" |",D1220&amp;" |")-1)),"?"))</f>
        <v/>
      </c>
      <c r="H1220" s="27" t="str">
        <f aca="false">IF(G1220="","",IF(G1220="?","⚠ pub inconnue",IFERROR(INDEX(Pubs!$B$2:$B$3001,MATCH(G1220,Pubs!$A$2:$A$3001,0))&amp;"","⚠ pub inconnue")))</f>
        <v/>
      </c>
      <c r="I1220" s="27" t="str">
        <f aca="false">IF(OR(G1220="",G1220="?"),"",IFERROR(INDEX(Pubs!$C$2:$C$3001,MATCH(G1220,Pubs!$A$2:$A$3001,0))&amp;"",""))</f>
        <v/>
      </c>
      <c r="J1220" s="27" t="str">
        <f aca="false">IF(OR(G1220="",G1220="?"),"",IFERROR(INDEX(Pubs!$G$2:$G$3001,MATCH(G1220,Pubs!$A$2:$A$3001,0))&amp;"",""))</f>
        <v/>
      </c>
      <c r="K1220" s="28" t="str">
        <f aca="false">IF(OR(G1220="",G1220="?"),"",IFERROR(INDEX(Pubs!$E$2:$E$3001,MATCH(G1220,Pubs!$A$2:$A$3001,0)),""))</f>
        <v/>
      </c>
      <c r="L1220" s="29" t="str">
        <f aca="false">IF(A1220="","",IFERROR(1/(1/INDEX(Numéros!$C$2:$C$3001,MATCH(A1220&amp;"|"&amp;B1220,Numéros!$F$2:$F$3001,0))),""))</f>
        <v/>
      </c>
      <c r="M1220" s="27" t="str">
        <f aca="false">IF(OR(G1220="",G1220="?"),"",IFERROR(INDEX(Pubs!$D$2:$D$3001,MATCH(G1220,Pubs!$A$2:$A$3001,0))&amp;"",""))</f>
        <v/>
      </c>
      <c r="N1220" s="27" t="n">
        <f aca="false">N(N1219)+IF(AND(A1220&lt;&gt;"",OR(Recherche!$C$4="",A1220=Recherche!$C$4),OR(Recherche!$C$5="",B1220&amp;""=Recherche!$C$5&amp;""),OR(Recherche!$C$6="",IFERROR(YEAR(L1220),0)=Recherche!$C$6),OR(Recherche!$C$7="",ISNUMBER(SEARCH(Recherche!$C$7,H1220))),OR(Recherche!$C$8="",J1220=Recherche!$C$8),OR(Recherche!$C$9="",I1220=Recherche!$C$9),OR(Recherche!$C$10="",G1220&amp;""=Recherche!$C$10&amp;""),OR(Recherche!$C$11="",E1220=Recherche!$C$11),OR(Recherche!$C$12="",ISNUMBER(SEARCH(Recherche!$C$12,M1220&amp;" "&amp;F1220)))),1,0)</f>
        <v>8</v>
      </c>
    </row>
    <row r="1221" customFormat="false" ht="15" hidden="false" customHeight="false" outlineLevel="0" collapsed="false">
      <c r="A1221" s="19"/>
      <c r="B1221" s="19"/>
      <c r="C1221" s="19"/>
      <c r="D1221" s="19"/>
      <c r="E1221" s="22"/>
      <c r="F1221" s="19"/>
      <c r="G1221" s="26" t="str">
        <f aca="false">IF(D1221="","",IFERROR(VALUE(LEFT(D1221,FIND(" |",D1221&amp;" |")-1)),"?"))</f>
        <v/>
      </c>
      <c r="H1221" s="27" t="str">
        <f aca="false">IF(G1221="","",IF(G1221="?","⚠ pub inconnue",IFERROR(INDEX(Pubs!$B$2:$B$3001,MATCH(G1221,Pubs!$A$2:$A$3001,0))&amp;"","⚠ pub inconnue")))</f>
        <v/>
      </c>
      <c r="I1221" s="27" t="str">
        <f aca="false">IF(OR(G1221="",G1221="?"),"",IFERROR(INDEX(Pubs!$C$2:$C$3001,MATCH(G1221,Pubs!$A$2:$A$3001,0))&amp;"",""))</f>
        <v/>
      </c>
      <c r="J1221" s="27" t="str">
        <f aca="false">IF(OR(G1221="",G1221="?"),"",IFERROR(INDEX(Pubs!$G$2:$G$3001,MATCH(G1221,Pubs!$A$2:$A$3001,0))&amp;"",""))</f>
        <v/>
      </c>
      <c r="K1221" s="28" t="str">
        <f aca="false">IF(OR(G1221="",G1221="?"),"",IFERROR(INDEX(Pubs!$E$2:$E$3001,MATCH(G1221,Pubs!$A$2:$A$3001,0)),""))</f>
        <v/>
      </c>
      <c r="L1221" s="29" t="str">
        <f aca="false">IF(A1221="","",IFERROR(1/(1/INDEX(Numéros!$C$2:$C$3001,MATCH(A1221&amp;"|"&amp;B1221,Numéros!$F$2:$F$3001,0))),""))</f>
        <v/>
      </c>
      <c r="M1221" s="27" t="str">
        <f aca="false">IF(OR(G1221="",G1221="?"),"",IFERROR(INDEX(Pubs!$D$2:$D$3001,MATCH(G1221,Pubs!$A$2:$A$3001,0))&amp;"",""))</f>
        <v/>
      </c>
      <c r="N1221" s="27" t="n">
        <f aca="false">N(N1220)+IF(AND(A1221&lt;&gt;"",OR(Recherche!$C$4="",A1221=Recherche!$C$4),OR(Recherche!$C$5="",B1221&amp;""=Recherche!$C$5&amp;""),OR(Recherche!$C$6="",IFERROR(YEAR(L1221),0)=Recherche!$C$6),OR(Recherche!$C$7="",ISNUMBER(SEARCH(Recherche!$C$7,H1221))),OR(Recherche!$C$8="",J1221=Recherche!$C$8),OR(Recherche!$C$9="",I1221=Recherche!$C$9),OR(Recherche!$C$10="",G1221&amp;""=Recherche!$C$10&amp;""),OR(Recherche!$C$11="",E1221=Recherche!$C$11),OR(Recherche!$C$12="",ISNUMBER(SEARCH(Recherche!$C$12,M1221&amp;" "&amp;F1221)))),1,0)</f>
        <v>8</v>
      </c>
    </row>
    <row r="1222" customFormat="false" ht="15" hidden="false" customHeight="false" outlineLevel="0" collapsed="false">
      <c r="A1222" s="19"/>
      <c r="B1222" s="19"/>
      <c r="C1222" s="19"/>
      <c r="D1222" s="19"/>
      <c r="E1222" s="22"/>
      <c r="F1222" s="19"/>
      <c r="G1222" s="26" t="str">
        <f aca="false">IF(D1222="","",IFERROR(VALUE(LEFT(D1222,FIND(" |",D1222&amp;" |")-1)),"?"))</f>
        <v/>
      </c>
      <c r="H1222" s="27" t="str">
        <f aca="false">IF(G1222="","",IF(G1222="?","⚠ pub inconnue",IFERROR(INDEX(Pubs!$B$2:$B$3001,MATCH(G1222,Pubs!$A$2:$A$3001,0))&amp;"","⚠ pub inconnue")))</f>
        <v/>
      </c>
      <c r="I1222" s="27" t="str">
        <f aca="false">IF(OR(G1222="",G1222="?"),"",IFERROR(INDEX(Pubs!$C$2:$C$3001,MATCH(G1222,Pubs!$A$2:$A$3001,0))&amp;"",""))</f>
        <v/>
      </c>
      <c r="J1222" s="27" t="str">
        <f aca="false">IF(OR(G1222="",G1222="?"),"",IFERROR(INDEX(Pubs!$G$2:$G$3001,MATCH(G1222,Pubs!$A$2:$A$3001,0))&amp;"",""))</f>
        <v/>
      </c>
      <c r="K1222" s="28" t="str">
        <f aca="false">IF(OR(G1222="",G1222="?"),"",IFERROR(INDEX(Pubs!$E$2:$E$3001,MATCH(G1222,Pubs!$A$2:$A$3001,0)),""))</f>
        <v/>
      </c>
      <c r="L1222" s="29" t="str">
        <f aca="false">IF(A1222="","",IFERROR(1/(1/INDEX(Numéros!$C$2:$C$3001,MATCH(A1222&amp;"|"&amp;B1222,Numéros!$F$2:$F$3001,0))),""))</f>
        <v/>
      </c>
      <c r="M1222" s="27" t="str">
        <f aca="false">IF(OR(G1222="",G1222="?"),"",IFERROR(INDEX(Pubs!$D$2:$D$3001,MATCH(G1222,Pubs!$A$2:$A$3001,0))&amp;"",""))</f>
        <v/>
      </c>
      <c r="N1222" s="27" t="n">
        <f aca="false">N(N1221)+IF(AND(A1222&lt;&gt;"",OR(Recherche!$C$4="",A1222=Recherche!$C$4),OR(Recherche!$C$5="",B1222&amp;""=Recherche!$C$5&amp;""),OR(Recherche!$C$6="",IFERROR(YEAR(L1222),0)=Recherche!$C$6),OR(Recherche!$C$7="",ISNUMBER(SEARCH(Recherche!$C$7,H1222))),OR(Recherche!$C$8="",J1222=Recherche!$C$8),OR(Recherche!$C$9="",I1222=Recherche!$C$9),OR(Recherche!$C$10="",G1222&amp;""=Recherche!$C$10&amp;""),OR(Recherche!$C$11="",E1222=Recherche!$C$11),OR(Recherche!$C$12="",ISNUMBER(SEARCH(Recherche!$C$12,M1222&amp;" "&amp;F1222)))),1,0)</f>
        <v>8</v>
      </c>
    </row>
    <row r="1223" customFormat="false" ht="15" hidden="false" customHeight="false" outlineLevel="0" collapsed="false">
      <c r="A1223" s="19"/>
      <c r="B1223" s="19"/>
      <c r="C1223" s="19"/>
      <c r="D1223" s="19"/>
      <c r="E1223" s="22"/>
      <c r="F1223" s="19"/>
      <c r="G1223" s="26" t="str">
        <f aca="false">IF(D1223="","",IFERROR(VALUE(LEFT(D1223,FIND(" |",D1223&amp;" |")-1)),"?"))</f>
        <v/>
      </c>
      <c r="H1223" s="27" t="str">
        <f aca="false">IF(G1223="","",IF(G1223="?","⚠ pub inconnue",IFERROR(INDEX(Pubs!$B$2:$B$3001,MATCH(G1223,Pubs!$A$2:$A$3001,0))&amp;"","⚠ pub inconnue")))</f>
        <v/>
      </c>
      <c r="I1223" s="27" t="str">
        <f aca="false">IF(OR(G1223="",G1223="?"),"",IFERROR(INDEX(Pubs!$C$2:$C$3001,MATCH(G1223,Pubs!$A$2:$A$3001,0))&amp;"",""))</f>
        <v/>
      </c>
      <c r="J1223" s="27" t="str">
        <f aca="false">IF(OR(G1223="",G1223="?"),"",IFERROR(INDEX(Pubs!$G$2:$G$3001,MATCH(G1223,Pubs!$A$2:$A$3001,0))&amp;"",""))</f>
        <v/>
      </c>
      <c r="K1223" s="28" t="str">
        <f aca="false">IF(OR(G1223="",G1223="?"),"",IFERROR(INDEX(Pubs!$E$2:$E$3001,MATCH(G1223,Pubs!$A$2:$A$3001,0)),""))</f>
        <v/>
      </c>
      <c r="L1223" s="29" t="str">
        <f aca="false">IF(A1223="","",IFERROR(1/(1/INDEX(Numéros!$C$2:$C$3001,MATCH(A1223&amp;"|"&amp;B1223,Numéros!$F$2:$F$3001,0))),""))</f>
        <v/>
      </c>
      <c r="M1223" s="27" t="str">
        <f aca="false">IF(OR(G1223="",G1223="?"),"",IFERROR(INDEX(Pubs!$D$2:$D$3001,MATCH(G1223,Pubs!$A$2:$A$3001,0))&amp;"",""))</f>
        <v/>
      </c>
      <c r="N1223" s="27" t="n">
        <f aca="false">N(N1222)+IF(AND(A1223&lt;&gt;"",OR(Recherche!$C$4="",A1223=Recherche!$C$4),OR(Recherche!$C$5="",B1223&amp;""=Recherche!$C$5&amp;""),OR(Recherche!$C$6="",IFERROR(YEAR(L1223),0)=Recherche!$C$6),OR(Recherche!$C$7="",ISNUMBER(SEARCH(Recherche!$C$7,H1223))),OR(Recherche!$C$8="",J1223=Recherche!$C$8),OR(Recherche!$C$9="",I1223=Recherche!$C$9),OR(Recherche!$C$10="",G1223&amp;""=Recherche!$C$10&amp;""),OR(Recherche!$C$11="",E1223=Recherche!$C$11),OR(Recherche!$C$12="",ISNUMBER(SEARCH(Recherche!$C$12,M1223&amp;" "&amp;F1223)))),1,0)</f>
        <v>8</v>
      </c>
    </row>
    <row r="1224" customFormat="false" ht="15" hidden="false" customHeight="false" outlineLevel="0" collapsed="false">
      <c r="A1224" s="19"/>
      <c r="B1224" s="19"/>
      <c r="C1224" s="19"/>
      <c r="D1224" s="19"/>
      <c r="E1224" s="22"/>
      <c r="F1224" s="19"/>
      <c r="G1224" s="26" t="str">
        <f aca="false">IF(D1224="","",IFERROR(VALUE(LEFT(D1224,FIND(" |",D1224&amp;" |")-1)),"?"))</f>
        <v/>
      </c>
      <c r="H1224" s="27" t="str">
        <f aca="false">IF(G1224="","",IF(G1224="?","⚠ pub inconnue",IFERROR(INDEX(Pubs!$B$2:$B$3001,MATCH(G1224,Pubs!$A$2:$A$3001,0))&amp;"","⚠ pub inconnue")))</f>
        <v/>
      </c>
      <c r="I1224" s="27" t="str">
        <f aca="false">IF(OR(G1224="",G1224="?"),"",IFERROR(INDEX(Pubs!$C$2:$C$3001,MATCH(G1224,Pubs!$A$2:$A$3001,0))&amp;"",""))</f>
        <v/>
      </c>
      <c r="J1224" s="27" t="str">
        <f aca="false">IF(OR(G1224="",G1224="?"),"",IFERROR(INDEX(Pubs!$G$2:$G$3001,MATCH(G1224,Pubs!$A$2:$A$3001,0))&amp;"",""))</f>
        <v/>
      </c>
      <c r="K1224" s="28" t="str">
        <f aca="false">IF(OR(G1224="",G1224="?"),"",IFERROR(INDEX(Pubs!$E$2:$E$3001,MATCH(G1224,Pubs!$A$2:$A$3001,0)),""))</f>
        <v/>
      </c>
      <c r="L1224" s="29" t="str">
        <f aca="false">IF(A1224="","",IFERROR(1/(1/INDEX(Numéros!$C$2:$C$3001,MATCH(A1224&amp;"|"&amp;B1224,Numéros!$F$2:$F$3001,0))),""))</f>
        <v/>
      </c>
      <c r="M1224" s="27" t="str">
        <f aca="false">IF(OR(G1224="",G1224="?"),"",IFERROR(INDEX(Pubs!$D$2:$D$3001,MATCH(G1224,Pubs!$A$2:$A$3001,0))&amp;"",""))</f>
        <v/>
      </c>
      <c r="N1224" s="27" t="n">
        <f aca="false">N(N1223)+IF(AND(A1224&lt;&gt;"",OR(Recherche!$C$4="",A1224=Recherche!$C$4),OR(Recherche!$C$5="",B1224&amp;""=Recherche!$C$5&amp;""),OR(Recherche!$C$6="",IFERROR(YEAR(L1224),0)=Recherche!$C$6),OR(Recherche!$C$7="",ISNUMBER(SEARCH(Recherche!$C$7,H1224))),OR(Recherche!$C$8="",J1224=Recherche!$C$8),OR(Recherche!$C$9="",I1224=Recherche!$C$9),OR(Recherche!$C$10="",G1224&amp;""=Recherche!$C$10&amp;""),OR(Recherche!$C$11="",E1224=Recherche!$C$11),OR(Recherche!$C$12="",ISNUMBER(SEARCH(Recherche!$C$12,M1224&amp;" "&amp;F1224)))),1,0)</f>
        <v>8</v>
      </c>
    </row>
    <row r="1225" customFormat="false" ht="15" hidden="false" customHeight="false" outlineLevel="0" collapsed="false">
      <c r="A1225" s="19"/>
      <c r="B1225" s="19"/>
      <c r="C1225" s="19"/>
      <c r="D1225" s="19"/>
      <c r="E1225" s="22"/>
      <c r="F1225" s="19"/>
      <c r="G1225" s="26" t="str">
        <f aca="false">IF(D1225="","",IFERROR(VALUE(LEFT(D1225,FIND(" |",D1225&amp;" |")-1)),"?"))</f>
        <v/>
      </c>
      <c r="H1225" s="27" t="str">
        <f aca="false">IF(G1225="","",IF(G1225="?","⚠ pub inconnue",IFERROR(INDEX(Pubs!$B$2:$B$3001,MATCH(G1225,Pubs!$A$2:$A$3001,0))&amp;"","⚠ pub inconnue")))</f>
        <v/>
      </c>
      <c r="I1225" s="27" t="str">
        <f aca="false">IF(OR(G1225="",G1225="?"),"",IFERROR(INDEX(Pubs!$C$2:$C$3001,MATCH(G1225,Pubs!$A$2:$A$3001,0))&amp;"",""))</f>
        <v/>
      </c>
      <c r="J1225" s="27" t="str">
        <f aca="false">IF(OR(G1225="",G1225="?"),"",IFERROR(INDEX(Pubs!$G$2:$G$3001,MATCH(G1225,Pubs!$A$2:$A$3001,0))&amp;"",""))</f>
        <v/>
      </c>
      <c r="K1225" s="28" t="str">
        <f aca="false">IF(OR(G1225="",G1225="?"),"",IFERROR(INDEX(Pubs!$E$2:$E$3001,MATCH(G1225,Pubs!$A$2:$A$3001,0)),""))</f>
        <v/>
      </c>
      <c r="L1225" s="29" t="str">
        <f aca="false">IF(A1225="","",IFERROR(1/(1/INDEX(Numéros!$C$2:$C$3001,MATCH(A1225&amp;"|"&amp;B1225,Numéros!$F$2:$F$3001,0))),""))</f>
        <v/>
      </c>
      <c r="M1225" s="27" t="str">
        <f aca="false">IF(OR(G1225="",G1225="?"),"",IFERROR(INDEX(Pubs!$D$2:$D$3001,MATCH(G1225,Pubs!$A$2:$A$3001,0))&amp;"",""))</f>
        <v/>
      </c>
      <c r="N1225" s="27" t="n">
        <f aca="false">N(N1224)+IF(AND(A1225&lt;&gt;"",OR(Recherche!$C$4="",A1225=Recherche!$C$4),OR(Recherche!$C$5="",B1225&amp;""=Recherche!$C$5&amp;""),OR(Recherche!$C$6="",IFERROR(YEAR(L1225),0)=Recherche!$C$6),OR(Recherche!$C$7="",ISNUMBER(SEARCH(Recherche!$C$7,H1225))),OR(Recherche!$C$8="",J1225=Recherche!$C$8),OR(Recherche!$C$9="",I1225=Recherche!$C$9),OR(Recherche!$C$10="",G1225&amp;""=Recherche!$C$10&amp;""),OR(Recherche!$C$11="",E1225=Recherche!$C$11),OR(Recherche!$C$12="",ISNUMBER(SEARCH(Recherche!$C$12,M1225&amp;" "&amp;F1225)))),1,0)</f>
        <v>8</v>
      </c>
    </row>
    <row r="1226" customFormat="false" ht="15" hidden="false" customHeight="false" outlineLevel="0" collapsed="false">
      <c r="A1226" s="19"/>
      <c r="B1226" s="19"/>
      <c r="C1226" s="19"/>
      <c r="D1226" s="19"/>
      <c r="E1226" s="22"/>
      <c r="F1226" s="19"/>
      <c r="G1226" s="26" t="str">
        <f aca="false">IF(D1226="","",IFERROR(VALUE(LEFT(D1226,FIND(" |",D1226&amp;" |")-1)),"?"))</f>
        <v/>
      </c>
      <c r="H1226" s="27" t="str">
        <f aca="false">IF(G1226="","",IF(G1226="?","⚠ pub inconnue",IFERROR(INDEX(Pubs!$B$2:$B$3001,MATCH(G1226,Pubs!$A$2:$A$3001,0))&amp;"","⚠ pub inconnue")))</f>
        <v/>
      </c>
      <c r="I1226" s="27" t="str">
        <f aca="false">IF(OR(G1226="",G1226="?"),"",IFERROR(INDEX(Pubs!$C$2:$C$3001,MATCH(G1226,Pubs!$A$2:$A$3001,0))&amp;"",""))</f>
        <v/>
      </c>
      <c r="J1226" s="27" t="str">
        <f aca="false">IF(OR(G1226="",G1226="?"),"",IFERROR(INDEX(Pubs!$G$2:$G$3001,MATCH(G1226,Pubs!$A$2:$A$3001,0))&amp;"",""))</f>
        <v/>
      </c>
      <c r="K1226" s="28" t="str">
        <f aca="false">IF(OR(G1226="",G1226="?"),"",IFERROR(INDEX(Pubs!$E$2:$E$3001,MATCH(G1226,Pubs!$A$2:$A$3001,0)),""))</f>
        <v/>
      </c>
      <c r="L1226" s="29" t="str">
        <f aca="false">IF(A1226="","",IFERROR(1/(1/INDEX(Numéros!$C$2:$C$3001,MATCH(A1226&amp;"|"&amp;B1226,Numéros!$F$2:$F$3001,0))),""))</f>
        <v/>
      </c>
      <c r="M1226" s="27" t="str">
        <f aca="false">IF(OR(G1226="",G1226="?"),"",IFERROR(INDEX(Pubs!$D$2:$D$3001,MATCH(G1226,Pubs!$A$2:$A$3001,0))&amp;"",""))</f>
        <v/>
      </c>
      <c r="N1226" s="27" t="n">
        <f aca="false">N(N1225)+IF(AND(A1226&lt;&gt;"",OR(Recherche!$C$4="",A1226=Recherche!$C$4),OR(Recherche!$C$5="",B1226&amp;""=Recherche!$C$5&amp;""),OR(Recherche!$C$6="",IFERROR(YEAR(L1226),0)=Recherche!$C$6),OR(Recherche!$C$7="",ISNUMBER(SEARCH(Recherche!$C$7,H1226))),OR(Recherche!$C$8="",J1226=Recherche!$C$8),OR(Recherche!$C$9="",I1226=Recherche!$C$9),OR(Recherche!$C$10="",G1226&amp;""=Recherche!$C$10&amp;""),OR(Recherche!$C$11="",E1226=Recherche!$C$11),OR(Recherche!$C$12="",ISNUMBER(SEARCH(Recherche!$C$12,M1226&amp;" "&amp;F1226)))),1,0)</f>
        <v>8</v>
      </c>
    </row>
    <row r="1227" customFormat="false" ht="15" hidden="false" customHeight="false" outlineLevel="0" collapsed="false">
      <c r="A1227" s="19"/>
      <c r="B1227" s="19"/>
      <c r="C1227" s="19"/>
      <c r="D1227" s="19"/>
      <c r="E1227" s="22"/>
      <c r="F1227" s="19"/>
      <c r="G1227" s="26" t="str">
        <f aca="false">IF(D1227="","",IFERROR(VALUE(LEFT(D1227,FIND(" |",D1227&amp;" |")-1)),"?"))</f>
        <v/>
      </c>
      <c r="H1227" s="27" t="str">
        <f aca="false">IF(G1227="","",IF(G1227="?","⚠ pub inconnue",IFERROR(INDEX(Pubs!$B$2:$B$3001,MATCH(G1227,Pubs!$A$2:$A$3001,0))&amp;"","⚠ pub inconnue")))</f>
        <v/>
      </c>
      <c r="I1227" s="27" t="str">
        <f aca="false">IF(OR(G1227="",G1227="?"),"",IFERROR(INDEX(Pubs!$C$2:$C$3001,MATCH(G1227,Pubs!$A$2:$A$3001,0))&amp;"",""))</f>
        <v/>
      </c>
      <c r="J1227" s="27" t="str">
        <f aca="false">IF(OR(G1227="",G1227="?"),"",IFERROR(INDEX(Pubs!$G$2:$G$3001,MATCH(G1227,Pubs!$A$2:$A$3001,0))&amp;"",""))</f>
        <v/>
      </c>
      <c r="K1227" s="28" t="str">
        <f aca="false">IF(OR(G1227="",G1227="?"),"",IFERROR(INDEX(Pubs!$E$2:$E$3001,MATCH(G1227,Pubs!$A$2:$A$3001,0)),""))</f>
        <v/>
      </c>
      <c r="L1227" s="29" t="str">
        <f aca="false">IF(A1227="","",IFERROR(1/(1/INDEX(Numéros!$C$2:$C$3001,MATCH(A1227&amp;"|"&amp;B1227,Numéros!$F$2:$F$3001,0))),""))</f>
        <v/>
      </c>
      <c r="M1227" s="27" t="str">
        <f aca="false">IF(OR(G1227="",G1227="?"),"",IFERROR(INDEX(Pubs!$D$2:$D$3001,MATCH(G1227,Pubs!$A$2:$A$3001,0))&amp;"",""))</f>
        <v/>
      </c>
      <c r="N1227" s="27" t="n">
        <f aca="false">N(N1226)+IF(AND(A1227&lt;&gt;"",OR(Recherche!$C$4="",A1227=Recherche!$C$4),OR(Recherche!$C$5="",B1227&amp;""=Recherche!$C$5&amp;""),OR(Recherche!$C$6="",IFERROR(YEAR(L1227),0)=Recherche!$C$6),OR(Recherche!$C$7="",ISNUMBER(SEARCH(Recherche!$C$7,H1227))),OR(Recherche!$C$8="",J1227=Recherche!$C$8),OR(Recherche!$C$9="",I1227=Recherche!$C$9),OR(Recherche!$C$10="",G1227&amp;""=Recherche!$C$10&amp;""),OR(Recherche!$C$11="",E1227=Recherche!$C$11),OR(Recherche!$C$12="",ISNUMBER(SEARCH(Recherche!$C$12,M1227&amp;" "&amp;F1227)))),1,0)</f>
        <v>8</v>
      </c>
    </row>
    <row r="1228" customFormat="false" ht="15" hidden="false" customHeight="false" outlineLevel="0" collapsed="false">
      <c r="A1228" s="19"/>
      <c r="B1228" s="19"/>
      <c r="C1228" s="19"/>
      <c r="D1228" s="19"/>
      <c r="E1228" s="22"/>
      <c r="F1228" s="19"/>
      <c r="G1228" s="26" t="str">
        <f aca="false">IF(D1228="","",IFERROR(VALUE(LEFT(D1228,FIND(" |",D1228&amp;" |")-1)),"?"))</f>
        <v/>
      </c>
      <c r="H1228" s="27" t="str">
        <f aca="false">IF(G1228="","",IF(G1228="?","⚠ pub inconnue",IFERROR(INDEX(Pubs!$B$2:$B$3001,MATCH(G1228,Pubs!$A$2:$A$3001,0))&amp;"","⚠ pub inconnue")))</f>
        <v/>
      </c>
      <c r="I1228" s="27" t="str">
        <f aca="false">IF(OR(G1228="",G1228="?"),"",IFERROR(INDEX(Pubs!$C$2:$C$3001,MATCH(G1228,Pubs!$A$2:$A$3001,0))&amp;"",""))</f>
        <v/>
      </c>
      <c r="J1228" s="27" t="str">
        <f aca="false">IF(OR(G1228="",G1228="?"),"",IFERROR(INDEX(Pubs!$G$2:$G$3001,MATCH(G1228,Pubs!$A$2:$A$3001,0))&amp;"",""))</f>
        <v/>
      </c>
      <c r="K1228" s="28" t="str">
        <f aca="false">IF(OR(G1228="",G1228="?"),"",IFERROR(INDEX(Pubs!$E$2:$E$3001,MATCH(G1228,Pubs!$A$2:$A$3001,0)),""))</f>
        <v/>
      </c>
      <c r="L1228" s="29" t="str">
        <f aca="false">IF(A1228="","",IFERROR(1/(1/INDEX(Numéros!$C$2:$C$3001,MATCH(A1228&amp;"|"&amp;B1228,Numéros!$F$2:$F$3001,0))),""))</f>
        <v/>
      </c>
      <c r="M1228" s="27" t="str">
        <f aca="false">IF(OR(G1228="",G1228="?"),"",IFERROR(INDEX(Pubs!$D$2:$D$3001,MATCH(G1228,Pubs!$A$2:$A$3001,0))&amp;"",""))</f>
        <v/>
      </c>
      <c r="N1228" s="27" t="n">
        <f aca="false">N(N1227)+IF(AND(A1228&lt;&gt;"",OR(Recherche!$C$4="",A1228=Recherche!$C$4),OR(Recherche!$C$5="",B1228&amp;""=Recherche!$C$5&amp;""),OR(Recherche!$C$6="",IFERROR(YEAR(L1228),0)=Recherche!$C$6),OR(Recherche!$C$7="",ISNUMBER(SEARCH(Recherche!$C$7,H1228))),OR(Recherche!$C$8="",J1228=Recherche!$C$8),OR(Recherche!$C$9="",I1228=Recherche!$C$9),OR(Recherche!$C$10="",G1228&amp;""=Recherche!$C$10&amp;""),OR(Recherche!$C$11="",E1228=Recherche!$C$11),OR(Recherche!$C$12="",ISNUMBER(SEARCH(Recherche!$C$12,M1228&amp;" "&amp;F1228)))),1,0)</f>
        <v>8</v>
      </c>
    </row>
    <row r="1229" customFormat="false" ht="15" hidden="false" customHeight="false" outlineLevel="0" collapsed="false">
      <c r="A1229" s="19"/>
      <c r="B1229" s="19"/>
      <c r="C1229" s="19"/>
      <c r="D1229" s="19"/>
      <c r="E1229" s="22"/>
      <c r="F1229" s="19"/>
      <c r="G1229" s="26" t="str">
        <f aca="false">IF(D1229="","",IFERROR(VALUE(LEFT(D1229,FIND(" |",D1229&amp;" |")-1)),"?"))</f>
        <v/>
      </c>
      <c r="H1229" s="27" t="str">
        <f aca="false">IF(G1229="","",IF(G1229="?","⚠ pub inconnue",IFERROR(INDEX(Pubs!$B$2:$B$3001,MATCH(G1229,Pubs!$A$2:$A$3001,0))&amp;"","⚠ pub inconnue")))</f>
        <v/>
      </c>
      <c r="I1229" s="27" t="str">
        <f aca="false">IF(OR(G1229="",G1229="?"),"",IFERROR(INDEX(Pubs!$C$2:$C$3001,MATCH(G1229,Pubs!$A$2:$A$3001,0))&amp;"",""))</f>
        <v/>
      </c>
      <c r="J1229" s="27" t="str">
        <f aca="false">IF(OR(G1229="",G1229="?"),"",IFERROR(INDEX(Pubs!$G$2:$G$3001,MATCH(G1229,Pubs!$A$2:$A$3001,0))&amp;"",""))</f>
        <v/>
      </c>
      <c r="K1229" s="28" t="str">
        <f aca="false">IF(OR(G1229="",G1229="?"),"",IFERROR(INDEX(Pubs!$E$2:$E$3001,MATCH(G1229,Pubs!$A$2:$A$3001,0)),""))</f>
        <v/>
      </c>
      <c r="L1229" s="29" t="str">
        <f aca="false">IF(A1229="","",IFERROR(1/(1/INDEX(Numéros!$C$2:$C$3001,MATCH(A1229&amp;"|"&amp;B1229,Numéros!$F$2:$F$3001,0))),""))</f>
        <v/>
      </c>
      <c r="M1229" s="27" t="str">
        <f aca="false">IF(OR(G1229="",G1229="?"),"",IFERROR(INDEX(Pubs!$D$2:$D$3001,MATCH(G1229,Pubs!$A$2:$A$3001,0))&amp;"",""))</f>
        <v/>
      </c>
      <c r="N1229" s="27" t="n">
        <f aca="false">N(N1228)+IF(AND(A1229&lt;&gt;"",OR(Recherche!$C$4="",A1229=Recherche!$C$4),OR(Recherche!$C$5="",B1229&amp;""=Recherche!$C$5&amp;""),OR(Recherche!$C$6="",IFERROR(YEAR(L1229),0)=Recherche!$C$6),OR(Recherche!$C$7="",ISNUMBER(SEARCH(Recherche!$C$7,H1229))),OR(Recherche!$C$8="",J1229=Recherche!$C$8),OR(Recherche!$C$9="",I1229=Recherche!$C$9),OR(Recherche!$C$10="",G1229&amp;""=Recherche!$C$10&amp;""),OR(Recherche!$C$11="",E1229=Recherche!$C$11),OR(Recherche!$C$12="",ISNUMBER(SEARCH(Recherche!$C$12,M1229&amp;" "&amp;F1229)))),1,0)</f>
        <v>8</v>
      </c>
    </row>
    <row r="1230" customFormat="false" ht="15" hidden="false" customHeight="false" outlineLevel="0" collapsed="false">
      <c r="A1230" s="19"/>
      <c r="B1230" s="19"/>
      <c r="C1230" s="19"/>
      <c r="D1230" s="19"/>
      <c r="E1230" s="22"/>
      <c r="F1230" s="19"/>
      <c r="G1230" s="26" t="str">
        <f aca="false">IF(D1230="","",IFERROR(VALUE(LEFT(D1230,FIND(" |",D1230&amp;" |")-1)),"?"))</f>
        <v/>
      </c>
      <c r="H1230" s="27" t="str">
        <f aca="false">IF(G1230="","",IF(G1230="?","⚠ pub inconnue",IFERROR(INDEX(Pubs!$B$2:$B$3001,MATCH(G1230,Pubs!$A$2:$A$3001,0))&amp;"","⚠ pub inconnue")))</f>
        <v/>
      </c>
      <c r="I1230" s="27" t="str">
        <f aca="false">IF(OR(G1230="",G1230="?"),"",IFERROR(INDEX(Pubs!$C$2:$C$3001,MATCH(G1230,Pubs!$A$2:$A$3001,0))&amp;"",""))</f>
        <v/>
      </c>
      <c r="J1230" s="27" t="str">
        <f aca="false">IF(OR(G1230="",G1230="?"),"",IFERROR(INDEX(Pubs!$G$2:$G$3001,MATCH(G1230,Pubs!$A$2:$A$3001,0))&amp;"",""))</f>
        <v/>
      </c>
      <c r="K1230" s="28" t="str">
        <f aca="false">IF(OR(G1230="",G1230="?"),"",IFERROR(INDEX(Pubs!$E$2:$E$3001,MATCH(G1230,Pubs!$A$2:$A$3001,0)),""))</f>
        <v/>
      </c>
      <c r="L1230" s="29" t="str">
        <f aca="false">IF(A1230="","",IFERROR(1/(1/INDEX(Numéros!$C$2:$C$3001,MATCH(A1230&amp;"|"&amp;B1230,Numéros!$F$2:$F$3001,0))),""))</f>
        <v/>
      </c>
      <c r="M1230" s="27" t="str">
        <f aca="false">IF(OR(G1230="",G1230="?"),"",IFERROR(INDEX(Pubs!$D$2:$D$3001,MATCH(G1230,Pubs!$A$2:$A$3001,0))&amp;"",""))</f>
        <v/>
      </c>
      <c r="N1230" s="27" t="n">
        <f aca="false">N(N1229)+IF(AND(A1230&lt;&gt;"",OR(Recherche!$C$4="",A1230=Recherche!$C$4),OR(Recherche!$C$5="",B1230&amp;""=Recherche!$C$5&amp;""),OR(Recherche!$C$6="",IFERROR(YEAR(L1230),0)=Recherche!$C$6),OR(Recherche!$C$7="",ISNUMBER(SEARCH(Recherche!$C$7,H1230))),OR(Recherche!$C$8="",J1230=Recherche!$C$8),OR(Recherche!$C$9="",I1230=Recherche!$C$9),OR(Recherche!$C$10="",G1230&amp;""=Recherche!$C$10&amp;""),OR(Recherche!$C$11="",E1230=Recherche!$C$11),OR(Recherche!$C$12="",ISNUMBER(SEARCH(Recherche!$C$12,M1230&amp;" "&amp;F1230)))),1,0)</f>
        <v>8</v>
      </c>
    </row>
    <row r="1231" customFormat="false" ht="15" hidden="false" customHeight="false" outlineLevel="0" collapsed="false">
      <c r="A1231" s="19"/>
      <c r="B1231" s="19"/>
      <c r="C1231" s="19"/>
      <c r="D1231" s="19"/>
      <c r="E1231" s="22"/>
      <c r="F1231" s="19"/>
      <c r="G1231" s="26" t="str">
        <f aca="false">IF(D1231="","",IFERROR(VALUE(LEFT(D1231,FIND(" |",D1231&amp;" |")-1)),"?"))</f>
        <v/>
      </c>
      <c r="H1231" s="27" t="str">
        <f aca="false">IF(G1231="","",IF(G1231="?","⚠ pub inconnue",IFERROR(INDEX(Pubs!$B$2:$B$3001,MATCH(G1231,Pubs!$A$2:$A$3001,0))&amp;"","⚠ pub inconnue")))</f>
        <v/>
      </c>
      <c r="I1231" s="27" t="str">
        <f aca="false">IF(OR(G1231="",G1231="?"),"",IFERROR(INDEX(Pubs!$C$2:$C$3001,MATCH(G1231,Pubs!$A$2:$A$3001,0))&amp;"",""))</f>
        <v/>
      </c>
      <c r="J1231" s="27" t="str">
        <f aca="false">IF(OR(G1231="",G1231="?"),"",IFERROR(INDEX(Pubs!$G$2:$G$3001,MATCH(G1231,Pubs!$A$2:$A$3001,0))&amp;"",""))</f>
        <v/>
      </c>
      <c r="K1231" s="28" t="str">
        <f aca="false">IF(OR(G1231="",G1231="?"),"",IFERROR(INDEX(Pubs!$E$2:$E$3001,MATCH(G1231,Pubs!$A$2:$A$3001,0)),""))</f>
        <v/>
      </c>
      <c r="L1231" s="29" t="str">
        <f aca="false">IF(A1231="","",IFERROR(1/(1/INDEX(Numéros!$C$2:$C$3001,MATCH(A1231&amp;"|"&amp;B1231,Numéros!$F$2:$F$3001,0))),""))</f>
        <v/>
      </c>
      <c r="M1231" s="27" t="str">
        <f aca="false">IF(OR(G1231="",G1231="?"),"",IFERROR(INDEX(Pubs!$D$2:$D$3001,MATCH(G1231,Pubs!$A$2:$A$3001,0))&amp;"",""))</f>
        <v/>
      </c>
      <c r="N1231" s="27" t="n">
        <f aca="false">N(N1230)+IF(AND(A1231&lt;&gt;"",OR(Recherche!$C$4="",A1231=Recherche!$C$4),OR(Recherche!$C$5="",B1231&amp;""=Recherche!$C$5&amp;""),OR(Recherche!$C$6="",IFERROR(YEAR(L1231),0)=Recherche!$C$6),OR(Recherche!$C$7="",ISNUMBER(SEARCH(Recherche!$C$7,H1231))),OR(Recherche!$C$8="",J1231=Recherche!$C$8),OR(Recherche!$C$9="",I1231=Recherche!$C$9),OR(Recherche!$C$10="",G1231&amp;""=Recherche!$C$10&amp;""),OR(Recherche!$C$11="",E1231=Recherche!$C$11),OR(Recherche!$C$12="",ISNUMBER(SEARCH(Recherche!$C$12,M1231&amp;" "&amp;F1231)))),1,0)</f>
        <v>8</v>
      </c>
    </row>
    <row r="1232" customFormat="false" ht="15" hidden="false" customHeight="false" outlineLevel="0" collapsed="false">
      <c r="A1232" s="19"/>
      <c r="B1232" s="19"/>
      <c r="C1232" s="19"/>
      <c r="D1232" s="19"/>
      <c r="E1232" s="22"/>
      <c r="F1232" s="19"/>
      <c r="G1232" s="26" t="str">
        <f aca="false">IF(D1232="","",IFERROR(VALUE(LEFT(D1232,FIND(" |",D1232&amp;" |")-1)),"?"))</f>
        <v/>
      </c>
      <c r="H1232" s="27" t="str">
        <f aca="false">IF(G1232="","",IF(G1232="?","⚠ pub inconnue",IFERROR(INDEX(Pubs!$B$2:$B$3001,MATCH(G1232,Pubs!$A$2:$A$3001,0))&amp;"","⚠ pub inconnue")))</f>
        <v/>
      </c>
      <c r="I1232" s="27" t="str">
        <f aca="false">IF(OR(G1232="",G1232="?"),"",IFERROR(INDEX(Pubs!$C$2:$C$3001,MATCH(G1232,Pubs!$A$2:$A$3001,0))&amp;"",""))</f>
        <v/>
      </c>
      <c r="J1232" s="27" t="str">
        <f aca="false">IF(OR(G1232="",G1232="?"),"",IFERROR(INDEX(Pubs!$G$2:$G$3001,MATCH(G1232,Pubs!$A$2:$A$3001,0))&amp;"",""))</f>
        <v/>
      </c>
      <c r="K1232" s="28" t="str">
        <f aca="false">IF(OR(G1232="",G1232="?"),"",IFERROR(INDEX(Pubs!$E$2:$E$3001,MATCH(G1232,Pubs!$A$2:$A$3001,0)),""))</f>
        <v/>
      </c>
      <c r="L1232" s="29" t="str">
        <f aca="false">IF(A1232="","",IFERROR(1/(1/INDEX(Numéros!$C$2:$C$3001,MATCH(A1232&amp;"|"&amp;B1232,Numéros!$F$2:$F$3001,0))),""))</f>
        <v/>
      </c>
      <c r="M1232" s="27" t="str">
        <f aca="false">IF(OR(G1232="",G1232="?"),"",IFERROR(INDEX(Pubs!$D$2:$D$3001,MATCH(G1232,Pubs!$A$2:$A$3001,0))&amp;"",""))</f>
        <v/>
      </c>
      <c r="N1232" s="27" t="n">
        <f aca="false">N(N1231)+IF(AND(A1232&lt;&gt;"",OR(Recherche!$C$4="",A1232=Recherche!$C$4),OR(Recherche!$C$5="",B1232&amp;""=Recherche!$C$5&amp;""),OR(Recherche!$C$6="",IFERROR(YEAR(L1232),0)=Recherche!$C$6),OR(Recherche!$C$7="",ISNUMBER(SEARCH(Recherche!$C$7,H1232))),OR(Recherche!$C$8="",J1232=Recherche!$C$8),OR(Recherche!$C$9="",I1232=Recherche!$C$9),OR(Recherche!$C$10="",G1232&amp;""=Recherche!$C$10&amp;""),OR(Recherche!$C$11="",E1232=Recherche!$C$11),OR(Recherche!$C$12="",ISNUMBER(SEARCH(Recherche!$C$12,M1232&amp;" "&amp;F1232)))),1,0)</f>
        <v>8</v>
      </c>
    </row>
    <row r="1233" customFormat="false" ht="15" hidden="false" customHeight="false" outlineLevel="0" collapsed="false">
      <c r="A1233" s="19"/>
      <c r="B1233" s="19"/>
      <c r="C1233" s="19"/>
      <c r="D1233" s="19"/>
      <c r="E1233" s="22"/>
      <c r="F1233" s="19"/>
      <c r="G1233" s="26" t="str">
        <f aca="false">IF(D1233="","",IFERROR(VALUE(LEFT(D1233,FIND(" |",D1233&amp;" |")-1)),"?"))</f>
        <v/>
      </c>
      <c r="H1233" s="27" t="str">
        <f aca="false">IF(G1233="","",IF(G1233="?","⚠ pub inconnue",IFERROR(INDEX(Pubs!$B$2:$B$3001,MATCH(G1233,Pubs!$A$2:$A$3001,0))&amp;"","⚠ pub inconnue")))</f>
        <v/>
      </c>
      <c r="I1233" s="27" t="str">
        <f aca="false">IF(OR(G1233="",G1233="?"),"",IFERROR(INDEX(Pubs!$C$2:$C$3001,MATCH(G1233,Pubs!$A$2:$A$3001,0))&amp;"",""))</f>
        <v/>
      </c>
      <c r="J1233" s="27" t="str">
        <f aca="false">IF(OR(G1233="",G1233="?"),"",IFERROR(INDEX(Pubs!$G$2:$G$3001,MATCH(G1233,Pubs!$A$2:$A$3001,0))&amp;"",""))</f>
        <v/>
      </c>
      <c r="K1233" s="28" t="str">
        <f aca="false">IF(OR(G1233="",G1233="?"),"",IFERROR(INDEX(Pubs!$E$2:$E$3001,MATCH(G1233,Pubs!$A$2:$A$3001,0)),""))</f>
        <v/>
      </c>
      <c r="L1233" s="29" t="str">
        <f aca="false">IF(A1233="","",IFERROR(1/(1/INDEX(Numéros!$C$2:$C$3001,MATCH(A1233&amp;"|"&amp;B1233,Numéros!$F$2:$F$3001,0))),""))</f>
        <v/>
      </c>
      <c r="M1233" s="27" t="str">
        <f aca="false">IF(OR(G1233="",G1233="?"),"",IFERROR(INDEX(Pubs!$D$2:$D$3001,MATCH(G1233,Pubs!$A$2:$A$3001,0))&amp;"",""))</f>
        <v/>
      </c>
      <c r="N1233" s="27" t="n">
        <f aca="false">N(N1232)+IF(AND(A1233&lt;&gt;"",OR(Recherche!$C$4="",A1233=Recherche!$C$4),OR(Recherche!$C$5="",B1233&amp;""=Recherche!$C$5&amp;""),OR(Recherche!$C$6="",IFERROR(YEAR(L1233),0)=Recherche!$C$6),OR(Recherche!$C$7="",ISNUMBER(SEARCH(Recherche!$C$7,H1233))),OR(Recherche!$C$8="",J1233=Recherche!$C$8),OR(Recherche!$C$9="",I1233=Recherche!$C$9),OR(Recherche!$C$10="",G1233&amp;""=Recherche!$C$10&amp;""),OR(Recherche!$C$11="",E1233=Recherche!$C$11),OR(Recherche!$C$12="",ISNUMBER(SEARCH(Recherche!$C$12,M1233&amp;" "&amp;F1233)))),1,0)</f>
        <v>8</v>
      </c>
    </row>
    <row r="1234" customFormat="false" ht="15" hidden="false" customHeight="false" outlineLevel="0" collapsed="false">
      <c r="A1234" s="19"/>
      <c r="B1234" s="19"/>
      <c r="C1234" s="19"/>
      <c r="D1234" s="19"/>
      <c r="E1234" s="22"/>
      <c r="F1234" s="19"/>
      <c r="G1234" s="26" t="str">
        <f aca="false">IF(D1234="","",IFERROR(VALUE(LEFT(D1234,FIND(" |",D1234&amp;" |")-1)),"?"))</f>
        <v/>
      </c>
      <c r="H1234" s="27" t="str">
        <f aca="false">IF(G1234="","",IF(G1234="?","⚠ pub inconnue",IFERROR(INDEX(Pubs!$B$2:$B$3001,MATCH(G1234,Pubs!$A$2:$A$3001,0))&amp;"","⚠ pub inconnue")))</f>
        <v/>
      </c>
      <c r="I1234" s="27" t="str">
        <f aca="false">IF(OR(G1234="",G1234="?"),"",IFERROR(INDEX(Pubs!$C$2:$C$3001,MATCH(G1234,Pubs!$A$2:$A$3001,0))&amp;"",""))</f>
        <v/>
      </c>
      <c r="J1234" s="27" t="str">
        <f aca="false">IF(OR(G1234="",G1234="?"),"",IFERROR(INDEX(Pubs!$G$2:$G$3001,MATCH(G1234,Pubs!$A$2:$A$3001,0))&amp;"",""))</f>
        <v/>
      </c>
      <c r="K1234" s="28" t="str">
        <f aca="false">IF(OR(G1234="",G1234="?"),"",IFERROR(INDEX(Pubs!$E$2:$E$3001,MATCH(G1234,Pubs!$A$2:$A$3001,0)),""))</f>
        <v/>
      </c>
      <c r="L1234" s="29" t="str">
        <f aca="false">IF(A1234="","",IFERROR(1/(1/INDEX(Numéros!$C$2:$C$3001,MATCH(A1234&amp;"|"&amp;B1234,Numéros!$F$2:$F$3001,0))),""))</f>
        <v/>
      </c>
      <c r="M1234" s="27" t="str">
        <f aca="false">IF(OR(G1234="",G1234="?"),"",IFERROR(INDEX(Pubs!$D$2:$D$3001,MATCH(G1234,Pubs!$A$2:$A$3001,0))&amp;"",""))</f>
        <v/>
      </c>
      <c r="N1234" s="27" t="n">
        <f aca="false">N(N1233)+IF(AND(A1234&lt;&gt;"",OR(Recherche!$C$4="",A1234=Recherche!$C$4),OR(Recherche!$C$5="",B1234&amp;""=Recherche!$C$5&amp;""),OR(Recherche!$C$6="",IFERROR(YEAR(L1234),0)=Recherche!$C$6),OR(Recherche!$C$7="",ISNUMBER(SEARCH(Recherche!$C$7,H1234))),OR(Recherche!$C$8="",J1234=Recherche!$C$8),OR(Recherche!$C$9="",I1234=Recherche!$C$9),OR(Recherche!$C$10="",G1234&amp;""=Recherche!$C$10&amp;""),OR(Recherche!$C$11="",E1234=Recherche!$C$11),OR(Recherche!$C$12="",ISNUMBER(SEARCH(Recherche!$C$12,M1234&amp;" "&amp;F1234)))),1,0)</f>
        <v>8</v>
      </c>
    </row>
    <row r="1235" customFormat="false" ht="15" hidden="false" customHeight="false" outlineLevel="0" collapsed="false">
      <c r="A1235" s="19"/>
      <c r="B1235" s="19"/>
      <c r="C1235" s="19"/>
      <c r="D1235" s="19"/>
      <c r="E1235" s="22"/>
      <c r="F1235" s="19"/>
      <c r="G1235" s="26" t="str">
        <f aca="false">IF(D1235="","",IFERROR(VALUE(LEFT(D1235,FIND(" |",D1235&amp;" |")-1)),"?"))</f>
        <v/>
      </c>
      <c r="H1235" s="27" t="str">
        <f aca="false">IF(G1235="","",IF(G1235="?","⚠ pub inconnue",IFERROR(INDEX(Pubs!$B$2:$B$3001,MATCH(G1235,Pubs!$A$2:$A$3001,0))&amp;"","⚠ pub inconnue")))</f>
        <v/>
      </c>
      <c r="I1235" s="27" t="str">
        <f aca="false">IF(OR(G1235="",G1235="?"),"",IFERROR(INDEX(Pubs!$C$2:$C$3001,MATCH(G1235,Pubs!$A$2:$A$3001,0))&amp;"",""))</f>
        <v/>
      </c>
      <c r="J1235" s="27" t="str">
        <f aca="false">IF(OR(G1235="",G1235="?"),"",IFERROR(INDEX(Pubs!$G$2:$G$3001,MATCH(G1235,Pubs!$A$2:$A$3001,0))&amp;"",""))</f>
        <v/>
      </c>
      <c r="K1235" s="28" t="str">
        <f aca="false">IF(OR(G1235="",G1235="?"),"",IFERROR(INDEX(Pubs!$E$2:$E$3001,MATCH(G1235,Pubs!$A$2:$A$3001,0)),""))</f>
        <v/>
      </c>
      <c r="L1235" s="29" t="str">
        <f aca="false">IF(A1235="","",IFERROR(1/(1/INDEX(Numéros!$C$2:$C$3001,MATCH(A1235&amp;"|"&amp;B1235,Numéros!$F$2:$F$3001,0))),""))</f>
        <v/>
      </c>
      <c r="M1235" s="27" t="str">
        <f aca="false">IF(OR(G1235="",G1235="?"),"",IFERROR(INDEX(Pubs!$D$2:$D$3001,MATCH(G1235,Pubs!$A$2:$A$3001,0))&amp;"",""))</f>
        <v/>
      </c>
      <c r="N1235" s="27" t="n">
        <f aca="false">N(N1234)+IF(AND(A1235&lt;&gt;"",OR(Recherche!$C$4="",A1235=Recherche!$C$4),OR(Recherche!$C$5="",B1235&amp;""=Recherche!$C$5&amp;""),OR(Recherche!$C$6="",IFERROR(YEAR(L1235),0)=Recherche!$C$6),OR(Recherche!$C$7="",ISNUMBER(SEARCH(Recherche!$C$7,H1235))),OR(Recherche!$C$8="",J1235=Recherche!$C$8),OR(Recherche!$C$9="",I1235=Recherche!$C$9),OR(Recherche!$C$10="",G1235&amp;""=Recherche!$C$10&amp;""),OR(Recherche!$C$11="",E1235=Recherche!$C$11),OR(Recherche!$C$12="",ISNUMBER(SEARCH(Recherche!$C$12,M1235&amp;" "&amp;F1235)))),1,0)</f>
        <v>8</v>
      </c>
    </row>
    <row r="1236" customFormat="false" ht="15" hidden="false" customHeight="false" outlineLevel="0" collapsed="false">
      <c r="A1236" s="19"/>
      <c r="B1236" s="19"/>
      <c r="C1236" s="19"/>
      <c r="D1236" s="19"/>
      <c r="E1236" s="22"/>
      <c r="F1236" s="19"/>
      <c r="G1236" s="26" t="str">
        <f aca="false">IF(D1236="","",IFERROR(VALUE(LEFT(D1236,FIND(" |",D1236&amp;" |")-1)),"?"))</f>
        <v/>
      </c>
      <c r="H1236" s="27" t="str">
        <f aca="false">IF(G1236="","",IF(G1236="?","⚠ pub inconnue",IFERROR(INDEX(Pubs!$B$2:$B$3001,MATCH(G1236,Pubs!$A$2:$A$3001,0))&amp;"","⚠ pub inconnue")))</f>
        <v/>
      </c>
      <c r="I1236" s="27" t="str">
        <f aca="false">IF(OR(G1236="",G1236="?"),"",IFERROR(INDEX(Pubs!$C$2:$C$3001,MATCH(G1236,Pubs!$A$2:$A$3001,0))&amp;"",""))</f>
        <v/>
      </c>
      <c r="J1236" s="27" t="str">
        <f aca="false">IF(OR(G1236="",G1236="?"),"",IFERROR(INDEX(Pubs!$G$2:$G$3001,MATCH(G1236,Pubs!$A$2:$A$3001,0))&amp;"",""))</f>
        <v/>
      </c>
      <c r="K1236" s="28" t="str">
        <f aca="false">IF(OR(G1236="",G1236="?"),"",IFERROR(INDEX(Pubs!$E$2:$E$3001,MATCH(G1236,Pubs!$A$2:$A$3001,0)),""))</f>
        <v/>
      </c>
      <c r="L1236" s="29" t="str">
        <f aca="false">IF(A1236="","",IFERROR(1/(1/INDEX(Numéros!$C$2:$C$3001,MATCH(A1236&amp;"|"&amp;B1236,Numéros!$F$2:$F$3001,0))),""))</f>
        <v/>
      </c>
      <c r="M1236" s="27" t="str">
        <f aca="false">IF(OR(G1236="",G1236="?"),"",IFERROR(INDEX(Pubs!$D$2:$D$3001,MATCH(G1236,Pubs!$A$2:$A$3001,0))&amp;"",""))</f>
        <v/>
      </c>
      <c r="N1236" s="27" t="n">
        <f aca="false">N(N1235)+IF(AND(A1236&lt;&gt;"",OR(Recherche!$C$4="",A1236=Recherche!$C$4),OR(Recherche!$C$5="",B1236&amp;""=Recherche!$C$5&amp;""),OR(Recherche!$C$6="",IFERROR(YEAR(L1236),0)=Recherche!$C$6),OR(Recherche!$C$7="",ISNUMBER(SEARCH(Recherche!$C$7,H1236))),OR(Recherche!$C$8="",J1236=Recherche!$C$8),OR(Recherche!$C$9="",I1236=Recherche!$C$9),OR(Recherche!$C$10="",G1236&amp;""=Recherche!$C$10&amp;""),OR(Recherche!$C$11="",E1236=Recherche!$C$11),OR(Recherche!$C$12="",ISNUMBER(SEARCH(Recherche!$C$12,M1236&amp;" "&amp;F1236)))),1,0)</f>
        <v>8</v>
      </c>
    </row>
    <row r="1237" customFormat="false" ht="15" hidden="false" customHeight="false" outlineLevel="0" collapsed="false">
      <c r="A1237" s="19"/>
      <c r="B1237" s="19"/>
      <c r="C1237" s="19"/>
      <c r="D1237" s="19"/>
      <c r="E1237" s="22"/>
      <c r="F1237" s="19"/>
      <c r="G1237" s="26" t="str">
        <f aca="false">IF(D1237="","",IFERROR(VALUE(LEFT(D1237,FIND(" |",D1237&amp;" |")-1)),"?"))</f>
        <v/>
      </c>
      <c r="H1237" s="27" t="str">
        <f aca="false">IF(G1237="","",IF(G1237="?","⚠ pub inconnue",IFERROR(INDEX(Pubs!$B$2:$B$3001,MATCH(G1237,Pubs!$A$2:$A$3001,0))&amp;"","⚠ pub inconnue")))</f>
        <v/>
      </c>
      <c r="I1237" s="27" t="str">
        <f aca="false">IF(OR(G1237="",G1237="?"),"",IFERROR(INDEX(Pubs!$C$2:$C$3001,MATCH(G1237,Pubs!$A$2:$A$3001,0))&amp;"",""))</f>
        <v/>
      </c>
      <c r="J1237" s="27" t="str">
        <f aca="false">IF(OR(G1237="",G1237="?"),"",IFERROR(INDEX(Pubs!$G$2:$G$3001,MATCH(G1237,Pubs!$A$2:$A$3001,0))&amp;"",""))</f>
        <v/>
      </c>
      <c r="K1237" s="28" t="str">
        <f aca="false">IF(OR(G1237="",G1237="?"),"",IFERROR(INDEX(Pubs!$E$2:$E$3001,MATCH(G1237,Pubs!$A$2:$A$3001,0)),""))</f>
        <v/>
      </c>
      <c r="L1237" s="29" t="str">
        <f aca="false">IF(A1237="","",IFERROR(1/(1/INDEX(Numéros!$C$2:$C$3001,MATCH(A1237&amp;"|"&amp;B1237,Numéros!$F$2:$F$3001,0))),""))</f>
        <v/>
      </c>
      <c r="M1237" s="27" t="str">
        <f aca="false">IF(OR(G1237="",G1237="?"),"",IFERROR(INDEX(Pubs!$D$2:$D$3001,MATCH(G1237,Pubs!$A$2:$A$3001,0))&amp;"",""))</f>
        <v/>
      </c>
      <c r="N1237" s="27" t="n">
        <f aca="false">N(N1236)+IF(AND(A1237&lt;&gt;"",OR(Recherche!$C$4="",A1237=Recherche!$C$4),OR(Recherche!$C$5="",B1237&amp;""=Recherche!$C$5&amp;""),OR(Recherche!$C$6="",IFERROR(YEAR(L1237),0)=Recherche!$C$6),OR(Recherche!$C$7="",ISNUMBER(SEARCH(Recherche!$C$7,H1237))),OR(Recherche!$C$8="",J1237=Recherche!$C$8),OR(Recherche!$C$9="",I1237=Recherche!$C$9),OR(Recherche!$C$10="",G1237&amp;""=Recherche!$C$10&amp;""),OR(Recherche!$C$11="",E1237=Recherche!$C$11),OR(Recherche!$C$12="",ISNUMBER(SEARCH(Recherche!$C$12,M1237&amp;" "&amp;F1237)))),1,0)</f>
        <v>8</v>
      </c>
    </row>
    <row r="1238" customFormat="false" ht="15" hidden="false" customHeight="false" outlineLevel="0" collapsed="false">
      <c r="A1238" s="19"/>
      <c r="B1238" s="19"/>
      <c r="C1238" s="19"/>
      <c r="D1238" s="19"/>
      <c r="E1238" s="22"/>
      <c r="F1238" s="19"/>
      <c r="G1238" s="26" t="str">
        <f aca="false">IF(D1238="","",IFERROR(VALUE(LEFT(D1238,FIND(" |",D1238&amp;" |")-1)),"?"))</f>
        <v/>
      </c>
      <c r="H1238" s="27" t="str">
        <f aca="false">IF(G1238="","",IF(G1238="?","⚠ pub inconnue",IFERROR(INDEX(Pubs!$B$2:$B$3001,MATCH(G1238,Pubs!$A$2:$A$3001,0))&amp;"","⚠ pub inconnue")))</f>
        <v/>
      </c>
      <c r="I1238" s="27" t="str">
        <f aca="false">IF(OR(G1238="",G1238="?"),"",IFERROR(INDEX(Pubs!$C$2:$C$3001,MATCH(G1238,Pubs!$A$2:$A$3001,0))&amp;"",""))</f>
        <v/>
      </c>
      <c r="J1238" s="27" t="str">
        <f aca="false">IF(OR(G1238="",G1238="?"),"",IFERROR(INDEX(Pubs!$G$2:$G$3001,MATCH(G1238,Pubs!$A$2:$A$3001,0))&amp;"",""))</f>
        <v/>
      </c>
      <c r="K1238" s="28" t="str">
        <f aca="false">IF(OR(G1238="",G1238="?"),"",IFERROR(INDEX(Pubs!$E$2:$E$3001,MATCH(G1238,Pubs!$A$2:$A$3001,0)),""))</f>
        <v/>
      </c>
      <c r="L1238" s="29" t="str">
        <f aca="false">IF(A1238="","",IFERROR(1/(1/INDEX(Numéros!$C$2:$C$3001,MATCH(A1238&amp;"|"&amp;B1238,Numéros!$F$2:$F$3001,0))),""))</f>
        <v/>
      </c>
      <c r="M1238" s="27" t="str">
        <f aca="false">IF(OR(G1238="",G1238="?"),"",IFERROR(INDEX(Pubs!$D$2:$D$3001,MATCH(G1238,Pubs!$A$2:$A$3001,0))&amp;"",""))</f>
        <v/>
      </c>
      <c r="N1238" s="27" t="n">
        <f aca="false">N(N1237)+IF(AND(A1238&lt;&gt;"",OR(Recherche!$C$4="",A1238=Recherche!$C$4),OR(Recherche!$C$5="",B1238&amp;""=Recherche!$C$5&amp;""),OR(Recherche!$C$6="",IFERROR(YEAR(L1238),0)=Recherche!$C$6),OR(Recherche!$C$7="",ISNUMBER(SEARCH(Recherche!$C$7,H1238))),OR(Recherche!$C$8="",J1238=Recherche!$C$8),OR(Recherche!$C$9="",I1238=Recherche!$C$9),OR(Recherche!$C$10="",G1238&amp;""=Recherche!$C$10&amp;""),OR(Recherche!$C$11="",E1238=Recherche!$C$11),OR(Recherche!$C$12="",ISNUMBER(SEARCH(Recherche!$C$12,M1238&amp;" "&amp;F1238)))),1,0)</f>
        <v>8</v>
      </c>
    </row>
    <row r="1239" customFormat="false" ht="15" hidden="false" customHeight="false" outlineLevel="0" collapsed="false">
      <c r="A1239" s="19"/>
      <c r="B1239" s="19"/>
      <c r="C1239" s="19"/>
      <c r="D1239" s="19"/>
      <c r="E1239" s="22"/>
      <c r="F1239" s="19"/>
      <c r="G1239" s="26" t="str">
        <f aca="false">IF(D1239="","",IFERROR(VALUE(LEFT(D1239,FIND(" |",D1239&amp;" |")-1)),"?"))</f>
        <v/>
      </c>
      <c r="H1239" s="27" t="str">
        <f aca="false">IF(G1239="","",IF(G1239="?","⚠ pub inconnue",IFERROR(INDEX(Pubs!$B$2:$B$3001,MATCH(G1239,Pubs!$A$2:$A$3001,0))&amp;"","⚠ pub inconnue")))</f>
        <v/>
      </c>
      <c r="I1239" s="27" t="str">
        <f aca="false">IF(OR(G1239="",G1239="?"),"",IFERROR(INDEX(Pubs!$C$2:$C$3001,MATCH(G1239,Pubs!$A$2:$A$3001,0))&amp;"",""))</f>
        <v/>
      </c>
      <c r="J1239" s="27" t="str">
        <f aca="false">IF(OR(G1239="",G1239="?"),"",IFERROR(INDEX(Pubs!$G$2:$G$3001,MATCH(G1239,Pubs!$A$2:$A$3001,0))&amp;"",""))</f>
        <v/>
      </c>
      <c r="K1239" s="28" t="str">
        <f aca="false">IF(OR(G1239="",G1239="?"),"",IFERROR(INDEX(Pubs!$E$2:$E$3001,MATCH(G1239,Pubs!$A$2:$A$3001,0)),""))</f>
        <v/>
      </c>
      <c r="L1239" s="29" t="str">
        <f aca="false">IF(A1239="","",IFERROR(1/(1/INDEX(Numéros!$C$2:$C$3001,MATCH(A1239&amp;"|"&amp;B1239,Numéros!$F$2:$F$3001,0))),""))</f>
        <v/>
      </c>
      <c r="M1239" s="27" t="str">
        <f aca="false">IF(OR(G1239="",G1239="?"),"",IFERROR(INDEX(Pubs!$D$2:$D$3001,MATCH(G1239,Pubs!$A$2:$A$3001,0))&amp;"",""))</f>
        <v/>
      </c>
      <c r="N1239" s="27" t="n">
        <f aca="false">N(N1238)+IF(AND(A1239&lt;&gt;"",OR(Recherche!$C$4="",A1239=Recherche!$C$4),OR(Recherche!$C$5="",B1239&amp;""=Recherche!$C$5&amp;""),OR(Recherche!$C$6="",IFERROR(YEAR(L1239),0)=Recherche!$C$6),OR(Recherche!$C$7="",ISNUMBER(SEARCH(Recherche!$C$7,H1239))),OR(Recherche!$C$8="",J1239=Recherche!$C$8),OR(Recherche!$C$9="",I1239=Recherche!$C$9),OR(Recherche!$C$10="",G1239&amp;""=Recherche!$C$10&amp;""),OR(Recherche!$C$11="",E1239=Recherche!$C$11),OR(Recherche!$C$12="",ISNUMBER(SEARCH(Recherche!$C$12,M1239&amp;" "&amp;F1239)))),1,0)</f>
        <v>8</v>
      </c>
    </row>
    <row r="1240" customFormat="false" ht="15" hidden="false" customHeight="false" outlineLevel="0" collapsed="false">
      <c r="A1240" s="19"/>
      <c r="B1240" s="19"/>
      <c r="C1240" s="19"/>
      <c r="D1240" s="19"/>
      <c r="E1240" s="22"/>
      <c r="F1240" s="19"/>
      <c r="G1240" s="26" t="str">
        <f aca="false">IF(D1240="","",IFERROR(VALUE(LEFT(D1240,FIND(" |",D1240&amp;" |")-1)),"?"))</f>
        <v/>
      </c>
      <c r="H1240" s="27" t="str">
        <f aca="false">IF(G1240="","",IF(G1240="?","⚠ pub inconnue",IFERROR(INDEX(Pubs!$B$2:$B$3001,MATCH(G1240,Pubs!$A$2:$A$3001,0))&amp;"","⚠ pub inconnue")))</f>
        <v/>
      </c>
      <c r="I1240" s="27" t="str">
        <f aca="false">IF(OR(G1240="",G1240="?"),"",IFERROR(INDEX(Pubs!$C$2:$C$3001,MATCH(G1240,Pubs!$A$2:$A$3001,0))&amp;"",""))</f>
        <v/>
      </c>
      <c r="J1240" s="27" t="str">
        <f aca="false">IF(OR(G1240="",G1240="?"),"",IFERROR(INDEX(Pubs!$G$2:$G$3001,MATCH(G1240,Pubs!$A$2:$A$3001,0))&amp;"",""))</f>
        <v/>
      </c>
      <c r="K1240" s="28" t="str">
        <f aca="false">IF(OR(G1240="",G1240="?"),"",IFERROR(INDEX(Pubs!$E$2:$E$3001,MATCH(G1240,Pubs!$A$2:$A$3001,0)),""))</f>
        <v/>
      </c>
      <c r="L1240" s="29" t="str">
        <f aca="false">IF(A1240="","",IFERROR(1/(1/INDEX(Numéros!$C$2:$C$3001,MATCH(A1240&amp;"|"&amp;B1240,Numéros!$F$2:$F$3001,0))),""))</f>
        <v/>
      </c>
      <c r="M1240" s="27" t="str">
        <f aca="false">IF(OR(G1240="",G1240="?"),"",IFERROR(INDEX(Pubs!$D$2:$D$3001,MATCH(G1240,Pubs!$A$2:$A$3001,0))&amp;"",""))</f>
        <v/>
      </c>
      <c r="N1240" s="27" t="n">
        <f aca="false">N(N1239)+IF(AND(A1240&lt;&gt;"",OR(Recherche!$C$4="",A1240=Recherche!$C$4),OR(Recherche!$C$5="",B1240&amp;""=Recherche!$C$5&amp;""),OR(Recherche!$C$6="",IFERROR(YEAR(L1240),0)=Recherche!$C$6),OR(Recherche!$C$7="",ISNUMBER(SEARCH(Recherche!$C$7,H1240))),OR(Recherche!$C$8="",J1240=Recherche!$C$8),OR(Recherche!$C$9="",I1240=Recherche!$C$9),OR(Recherche!$C$10="",G1240&amp;""=Recherche!$C$10&amp;""),OR(Recherche!$C$11="",E1240=Recherche!$C$11),OR(Recherche!$C$12="",ISNUMBER(SEARCH(Recherche!$C$12,M1240&amp;" "&amp;F1240)))),1,0)</f>
        <v>8</v>
      </c>
    </row>
    <row r="1241" customFormat="false" ht="15" hidden="false" customHeight="false" outlineLevel="0" collapsed="false">
      <c r="A1241" s="19"/>
      <c r="B1241" s="19"/>
      <c r="C1241" s="19"/>
      <c r="D1241" s="19"/>
      <c r="E1241" s="22"/>
      <c r="F1241" s="19"/>
      <c r="G1241" s="26" t="str">
        <f aca="false">IF(D1241="","",IFERROR(VALUE(LEFT(D1241,FIND(" |",D1241&amp;" |")-1)),"?"))</f>
        <v/>
      </c>
      <c r="H1241" s="27" t="str">
        <f aca="false">IF(G1241="","",IF(G1241="?","⚠ pub inconnue",IFERROR(INDEX(Pubs!$B$2:$B$3001,MATCH(G1241,Pubs!$A$2:$A$3001,0))&amp;"","⚠ pub inconnue")))</f>
        <v/>
      </c>
      <c r="I1241" s="27" t="str">
        <f aca="false">IF(OR(G1241="",G1241="?"),"",IFERROR(INDEX(Pubs!$C$2:$C$3001,MATCH(G1241,Pubs!$A$2:$A$3001,0))&amp;"",""))</f>
        <v/>
      </c>
      <c r="J1241" s="27" t="str">
        <f aca="false">IF(OR(G1241="",G1241="?"),"",IFERROR(INDEX(Pubs!$G$2:$G$3001,MATCH(G1241,Pubs!$A$2:$A$3001,0))&amp;"",""))</f>
        <v/>
      </c>
      <c r="K1241" s="28" t="str">
        <f aca="false">IF(OR(G1241="",G1241="?"),"",IFERROR(INDEX(Pubs!$E$2:$E$3001,MATCH(G1241,Pubs!$A$2:$A$3001,0)),""))</f>
        <v/>
      </c>
      <c r="L1241" s="29" t="str">
        <f aca="false">IF(A1241="","",IFERROR(1/(1/INDEX(Numéros!$C$2:$C$3001,MATCH(A1241&amp;"|"&amp;B1241,Numéros!$F$2:$F$3001,0))),""))</f>
        <v/>
      </c>
      <c r="M1241" s="27" t="str">
        <f aca="false">IF(OR(G1241="",G1241="?"),"",IFERROR(INDEX(Pubs!$D$2:$D$3001,MATCH(G1241,Pubs!$A$2:$A$3001,0))&amp;"",""))</f>
        <v/>
      </c>
      <c r="N1241" s="27" t="n">
        <f aca="false">N(N1240)+IF(AND(A1241&lt;&gt;"",OR(Recherche!$C$4="",A1241=Recherche!$C$4),OR(Recherche!$C$5="",B1241&amp;""=Recherche!$C$5&amp;""),OR(Recherche!$C$6="",IFERROR(YEAR(L1241),0)=Recherche!$C$6),OR(Recherche!$C$7="",ISNUMBER(SEARCH(Recherche!$C$7,H1241))),OR(Recherche!$C$8="",J1241=Recherche!$C$8),OR(Recherche!$C$9="",I1241=Recherche!$C$9),OR(Recherche!$C$10="",G1241&amp;""=Recherche!$C$10&amp;""),OR(Recherche!$C$11="",E1241=Recherche!$C$11),OR(Recherche!$C$12="",ISNUMBER(SEARCH(Recherche!$C$12,M1241&amp;" "&amp;F1241)))),1,0)</f>
        <v>8</v>
      </c>
    </row>
    <row r="1242" customFormat="false" ht="15" hidden="false" customHeight="false" outlineLevel="0" collapsed="false">
      <c r="A1242" s="19"/>
      <c r="B1242" s="19"/>
      <c r="C1242" s="19"/>
      <c r="D1242" s="19"/>
      <c r="E1242" s="22"/>
      <c r="F1242" s="19"/>
      <c r="G1242" s="26" t="str">
        <f aca="false">IF(D1242="","",IFERROR(VALUE(LEFT(D1242,FIND(" |",D1242&amp;" |")-1)),"?"))</f>
        <v/>
      </c>
      <c r="H1242" s="27" t="str">
        <f aca="false">IF(G1242="","",IF(G1242="?","⚠ pub inconnue",IFERROR(INDEX(Pubs!$B$2:$B$3001,MATCH(G1242,Pubs!$A$2:$A$3001,0))&amp;"","⚠ pub inconnue")))</f>
        <v/>
      </c>
      <c r="I1242" s="27" t="str">
        <f aca="false">IF(OR(G1242="",G1242="?"),"",IFERROR(INDEX(Pubs!$C$2:$C$3001,MATCH(G1242,Pubs!$A$2:$A$3001,0))&amp;"",""))</f>
        <v/>
      </c>
      <c r="J1242" s="27" t="str">
        <f aca="false">IF(OR(G1242="",G1242="?"),"",IFERROR(INDEX(Pubs!$G$2:$G$3001,MATCH(G1242,Pubs!$A$2:$A$3001,0))&amp;"",""))</f>
        <v/>
      </c>
      <c r="K1242" s="28" t="str">
        <f aca="false">IF(OR(G1242="",G1242="?"),"",IFERROR(INDEX(Pubs!$E$2:$E$3001,MATCH(G1242,Pubs!$A$2:$A$3001,0)),""))</f>
        <v/>
      </c>
      <c r="L1242" s="29" t="str">
        <f aca="false">IF(A1242="","",IFERROR(1/(1/INDEX(Numéros!$C$2:$C$3001,MATCH(A1242&amp;"|"&amp;B1242,Numéros!$F$2:$F$3001,0))),""))</f>
        <v/>
      </c>
      <c r="M1242" s="27" t="str">
        <f aca="false">IF(OR(G1242="",G1242="?"),"",IFERROR(INDEX(Pubs!$D$2:$D$3001,MATCH(G1242,Pubs!$A$2:$A$3001,0))&amp;"",""))</f>
        <v/>
      </c>
      <c r="N1242" s="27" t="n">
        <f aca="false">N(N1241)+IF(AND(A1242&lt;&gt;"",OR(Recherche!$C$4="",A1242=Recherche!$C$4),OR(Recherche!$C$5="",B1242&amp;""=Recherche!$C$5&amp;""),OR(Recherche!$C$6="",IFERROR(YEAR(L1242),0)=Recherche!$C$6),OR(Recherche!$C$7="",ISNUMBER(SEARCH(Recherche!$C$7,H1242))),OR(Recherche!$C$8="",J1242=Recherche!$C$8),OR(Recherche!$C$9="",I1242=Recherche!$C$9),OR(Recherche!$C$10="",G1242&amp;""=Recherche!$C$10&amp;""),OR(Recherche!$C$11="",E1242=Recherche!$C$11),OR(Recherche!$C$12="",ISNUMBER(SEARCH(Recherche!$C$12,M1242&amp;" "&amp;F1242)))),1,0)</f>
        <v>8</v>
      </c>
    </row>
    <row r="1243" customFormat="false" ht="15" hidden="false" customHeight="false" outlineLevel="0" collapsed="false">
      <c r="A1243" s="19"/>
      <c r="B1243" s="19"/>
      <c r="C1243" s="19"/>
      <c r="D1243" s="19"/>
      <c r="E1243" s="22"/>
      <c r="F1243" s="19"/>
      <c r="G1243" s="26" t="str">
        <f aca="false">IF(D1243="","",IFERROR(VALUE(LEFT(D1243,FIND(" |",D1243&amp;" |")-1)),"?"))</f>
        <v/>
      </c>
      <c r="H1243" s="27" t="str">
        <f aca="false">IF(G1243="","",IF(G1243="?","⚠ pub inconnue",IFERROR(INDEX(Pubs!$B$2:$B$3001,MATCH(G1243,Pubs!$A$2:$A$3001,0))&amp;"","⚠ pub inconnue")))</f>
        <v/>
      </c>
      <c r="I1243" s="27" t="str">
        <f aca="false">IF(OR(G1243="",G1243="?"),"",IFERROR(INDEX(Pubs!$C$2:$C$3001,MATCH(G1243,Pubs!$A$2:$A$3001,0))&amp;"",""))</f>
        <v/>
      </c>
      <c r="J1243" s="27" t="str">
        <f aca="false">IF(OR(G1243="",G1243="?"),"",IFERROR(INDEX(Pubs!$G$2:$G$3001,MATCH(G1243,Pubs!$A$2:$A$3001,0))&amp;"",""))</f>
        <v/>
      </c>
      <c r="K1243" s="28" t="str">
        <f aca="false">IF(OR(G1243="",G1243="?"),"",IFERROR(INDEX(Pubs!$E$2:$E$3001,MATCH(G1243,Pubs!$A$2:$A$3001,0)),""))</f>
        <v/>
      </c>
      <c r="L1243" s="29" t="str">
        <f aca="false">IF(A1243="","",IFERROR(1/(1/INDEX(Numéros!$C$2:$C$3001,MATCH(A1243&amp;"|"&amp;B1243,Numéros!$F$2:$F$3001,0))),""))</f>
        <v/>
      </c>
      <c r="M1243" s="27" t="str">
        <f aca="false">IF(OR(G1243="",G1243="?"),"",IFERROR(INDEX(Pubs!$D$2:$D$3001,MATCH(G1243,Pubs!$A$2:$A$3001,0))&amp;"",""))</f>
        <v/>
      </c>
      <c r="N1243" s="27" t="n">
        <f aca="false">N(N1242)+IF(AND(A1243&lt;&gt;"",OR(Recherche!$C$4="",A1243=Recherche!$C$4),OR(Recherche!$C$5="",B1243&amp;""=Recherche!$C$5&amp;""),OR(Recherche!$C$6="",IFERROR(YEAR(L1243),0)=Recherche!$C$6),OR(Recherche!$C$7="",ISNUMBER(SEARCH(Recherche!$C$7,H1243))),OR(Recherche!$C$8="",J1243=Recherche!$C$8),OR(Recherche!$C$9="",I1243=Recherche!$C$9),OR(Recherche!$C$10="",G1243&amp;""=Recherche!$C$10&amp;""),OR(Recherche!$C$11="",E1243=Recherche!$C$11),OR(Recherche!$C$12="",ISNUMBER(SEARCH(Recherche!$C$12,M1243&amp;" "&amp;F1243)))),1,0)</f>
        <v>8</v>
      </c>
    </row>
    <row r="1244" customFormat="false" ht="15" hidden="false" customHeight="false" outlineLevel="0" collapsed="false">
      <c r="A1244" s="19"/>
      <c r="B1244" s="19"/>
      <c r="C1244" s="19"/>
      <c r="D1244" s="19"/>
      <c r="E1244" s="22"/>
      <c r="F1244" s="19"/>
      <c r="G1244" s="26" t="str">
        <f aca="false">IF(D1244="","",IFERROR(VALUE(LEFT(D1244,FIND(" |",D1244&amp;" |")-1)),"?"))</f>
        <v/>
      </c>
      <c r="H1244" s="27" t="str">
        <f aca="false">IF(G1244="","",IF(G1244="?","⚠ pub inconnue",IFERROR(INDEX(Pubs!$B$2:$B$3001,MATCH(G1244,Pubs!$A$2:$A$3001,0))&amp;"","⚠ pub inconnue")))</f>
        <v/>
      </c>
      <c r="I1244" s="27" t="str">
        <f aca="false">IF(OR(G1244="",G1244="?"),"",IFERROR(INDEX(Pubs!$C$2:$C$3001,MATCH(G1244,Pubs!$A$2:$A$3001,0))&amp;"",""))</f>
        <v/>
      </c>
      <c r="J1244" s="27" t="str">
        <f aca="false">IF(OR(G1244="",G1244="?"),"",IFERROR(INDEX(Pubs!$G$2:$G$3001,MATCH(G1244,Pubs!$A$2:$A$3001,0))&amp;"",""))</f>
        <v/>
      </c>
      <c r="K1244" s="28" t="str">
        <f aca="false">IF(OR(G1244="",G1244="?"),"",IFERROR(INDEX(Pubs!$E$2:$E$3001,MATCH(G1244,Pubs!$A$2:$A$3001,0)),""))</f>
        <v/>
      </c>
      <c r="L1244" s="29" t="str">
        <f aca="false">IF(A1244="","",IFERROR(1/(1/INDEX(Numéros!$C$2:$C$3001,MATCH(A1244&amp;"|"&amp;B1244,Numéros!$F$2:$F$3001,0))),""))</f>
        <v/>
      </c>
      <c r="M1244" s="27" t="str">
        <f aca="false">IF(OR(G1244="",G1244="?"),"",IFERROR(INDEX(Pubs!$D$2:$D$3001,MATCH(G1244,Pubs!$A$2:$A$3001,0))&amp;"",""))</f>
        <v/>
      </c>
      <c r="N1244" s="27" t="n">
        <f aca="false">N(N1243)+IF(AND(A1244&lt;&gt;"",OR(Recherche!$C$4="",A1244=Recherche!$C$4),OR(Recherche!$C$5="",B1244&amp;""=Recherche!$C$5&amp;""),OR(Recherche!$C$6="",IFERROR(YEAR(L1244),0)=Recherche!$C$6),OR(Recherche!$C$7="",ISNUMBER(SEARCH(Recherche!$C$7,H1244))),OR(Recherche!$C$8="",J1244=Recherche!$C$8),OR(Recherche!$C$9="",I1244=Recherche!$C$9),OR(Recherche!$C$10="",G1244&amp;""=Recherche!$C$10&amp;""),OR(Recherche!$C$11="",E1244=Recherche!$C$11),OR(Recherche!$C$12="",ISNUMBER(SEARCH(Recherche!$C$12,M1244&amp;" "&amp;F1244)))),1,0)</f>
        <v>8</v>
      </c>
    </row>
    <row r="1245" customFormat="false" ht="15" hidden="false" customHeight="false" outlineLevel="0" collapsed="false">
      <c r="A1245" s="19"/>
      <c r="B1245" s="19"/>
      <c r="C1245" s="19"/>
      <c r="D1245" s="19"/>
      <c r="E1245" s="22"/>
      <c r="F1245" s="19"/>
      <c r="G1245" s="26" t="str">
        <f aca="false">IF(D1245="","",IFERROR(VALUE(LEFT(D1245,FIND(" |",D1245&amp;" |")-1)),"?"))</f>
        <v/>
      </c>
      <c r="H1245" s="27" t="str">
        <f aca="false">IF(G1245="","",IF(G1245="?","⚠ pub inconnue",IFERROR(INDEX(Pubs!$B$2:$B$3001,MATCH(G1245,Pubs!$A$2:$A$3001,0))&amp;"","⚠ pub inconnue")))</f>
        <v/>
      </c>
      <c r="I1245" s="27" t="str">
        <f aca="false">IF(OR(G1245="",G1245="?"),"",IFERROR(INDEX(Pubs!$C$2:$C$3001,MATCH(G1245,Pubs!$A$2:$A$3001,0))&amp;"",""))</f>
        <v/>
      </c>
      <c r="J1245" s="27" t="str">
        <f aca="false">IF(OR(G1245="",G1245="?"),"",IFERROR(INDEX(Pubs!$G$2:$G$3001,MATCH(G1245,Pubs!$A$2:$A$3001,0))&amp;"",""))</f>
        <v/>
      </c>
      <c r="K1245" s="28" t="str">
        <f aca="false">IF(OR(G1245="",G1245="?"),"",IFERROR(INDEX(Pubs!$E$2:$E$3001,MATCH(G1245,Pubs!$A$2:$A$3001,0)),""))</f>
        <v/>
      </c>
      <c r="L1245" s="29" t="str">
        <f aca="false">IF(A1245="","",IFERROR(1/(1/INDEX(Numéros!$C$2:$C$3001,MATCH(A1245&amp;"|"&amp;B1245,Numéros!$F$2:$F$3001,0))),""))</f>
        <v/>
      </c>
      <c r="M1245" s="27" t="str">
        <f aca="false">IF(OR(G1245="",G1245="?"),"",IFERROR(INDEX(Pubs!$D$2:$D$3001,MATCH(G1245,Pubs!$A$2:$A$3001,0))&amp;"",""))</f>
        <v/>
      </c>
      <c r="N1245" s="27" t="n">
        <f aca="false">N(N1244)+IF(AND(A1245&lt;&gt;"",OR(Recherche!$C$4="",A1245=Recherche!$C$4),OR(Recherche!$C$5="",B1245&amp;""=Recherche!$C$5&amp;""),OR(Recherche!$C$6="",IFERROR(YEAR(L1245),0)=Recherche!$C$6),OR(Recherche!$C$7="",ISNUMBER(SEARCH(Recherche!$C$7,H1245))),OR(Recherche!$C$8="",J1245=Recherche!$C$8),OR(Recherche!$C$9="",I1245=Recherche!$C$9),OR(Recherche!$C$10="",G1245&amp;""=Recherche!$C$10&amp;""),OR(Recherche!$C$11="",E1245=Recherche!$C$11),OR(Recherche!$C$12="",ISNUMBER(SEARCH(Recherche!$C$12,M1245&amp;" "&amp;F1245)))),1,0)</f>
        <v>8</v>
      </c>
    </row>
    <row r="1246" customFormat="false" ht="15" hidden="false" customHeight="false" outlineLevel="0" collapsed="false">
      <c r="A1246" s="19"/>
      <c r="B1246" s="19"/>
      <c r="C1246" s="19"/>
      <c r="D1246" s="19"/>
      <c r="E1246" s="22"/>
      <c r="F1246" s="19"/>
      <c r="G1246" s="26" t="str">
        <f aca="false">IF(D1246="","",IFERROR(VALUE(LEFT(D1246,FIND(" |",D1246&amp;" |")-1)),"?"))</f>
        <v/>
      </c>
      <c r="H1246" s="27" t="str">
        <f aca="false">IF(G1246="","",IF(G1246="?","⚠ pub inconnue",IFERROR(INDEX(Pubs!$B$2:$B$3001,MATCH(G1246,Pubs!$A$2:$A$3001,0))&amp;"","⚠ pub inconnue")))</f>
        <v/>
      </c>
      <c r="I1246" s="27" t="str">
        <f aca="false">IF(OR(G1246="",G1246="?"),"",IFERROR(INDEX(Pubs!$C$2:$C$3001,MATCH(G1246,Pubs!$A$2:$A$3001,0))&amp;"",""))</f>
        <v/>
      </c>
      <c r="J1246" s="27" t="str">
        <f aca="false">IF(OR(G1246="",G1246="?"),"",IFERROR(INDEX(Pubs!$G$2:$G$3001,MATCH(G1246,Pubs!$A$2:$A$3001,0))&amp;"",""))</f>
        <v/>
      </c>
      <c r="K1246" s="28" t="str">
        <f aca="false">IF(OR(G1246="",G1246="?"),"",IFERROR(INDEX(Pubs!$E$2:$E$3001,MATCH(G1246,Pubs!$A$2:$A$3001,0)),""))</f>
        <v/>
      </c>
      <c r="L1246" s="29" t="str">
        <f aca="false">IF(A1246="","",IFERROR(1/(1/INDEX(Numéros!$C$2:$C$3001,MATCH(A1246&amp;"|"&amp;B1246,Numéros!$F$2:$F$3001,0))),""))</f>
        <v/>
      </c>
      <c r="M1246" s="27" t="str">
        <f aca="false">IF(OR(G1246="",G1246="?"),"",IFERROR(INDEX(Pubs!$D$2:$D$3001,MATCH(G1246,Pubs!$A$2:$A$3001,0))&amp;"",""))</f>
        <v/>
      </c>
      <c r="N1246" s="27" t="n">
        <f aca="false">N(N1245)+IF(AND(A1246&lt;&gt;"",OR(Recherche!$C$4="",A1246=Recherche!$C$4),OR(Recherche!$C$5="",B1246&amp;""=Recherche!$C$5&amp;""),OR(Recherche!$C$6="",IFERROR(YEAR(L1246),0)=Recherche!$C$6),OR(Recherche!$C$7="",ISNUMBER(SEARCH(Recherche!$C$7,H1246))),OR(Recherche!$C$8="",J1246=Recherche!$C$8),OR(Recherche!$C$9="",I1246=Recherche!$C$9),OR(Recherche!$C$10="",G1246&amp;""=Recherche!$C$10&amp;""),OR(Recherche!$C$11="",E1246=Recherche!$C$11),OR(Recherche!$C$12="",ISNUMBER(SEARCH(Recherche!$C$12,M1246&amp;" "&amp;F1246)))),1,0)</f>
        <v>8</v>
      </c>
    </row>
    <row r="1247" customFormat="false" ht="15" hidden="false" customHeight="false" outlineLevel="0" collapsed="false">
      <c r="A1247" s="19"/>
      <c r="B1247" s="19"/>
      <c r="C1247" s="19"/>
      <c r="D1247" s="19"/>
      <c r="E1247" s="22"/>
      <c r="F1247" s="19"/>
      <c r="G1247" s="26" t="str">
        <f aca="false">IF(D1247="","",IFERROR(VALUE(LEFT(D1247,FIND(" |",D1247&amp;" |")-1)),"?"))</f>
        <v/>
      </c>
      <c r="H1247" s="27" t="str">
        <f aca="false">IF(G1247="","",IF(G1247="?","⚠ pub inconnue",IFERROR(INDEX(Pubs!$B$2:$B$3001,MATCH(G1247,Pubs!$A$2:$A$3001,0))&amp;"","⚠ pub inconnue")))</f>
        <v/>
      </c>
      <c r="I1247" s="27" t="str">
        <f aca="false">IF(OR(G1247="",G1247="?"),"",IFERROR(INDEX(Pubs!$C$2:$C$3001,MATCH(G1247,Pubs!$A$2:$A$3001,0))&amp;"",""))</f>
        <v/>
      </c>
      <c r="J1247" s="27" t="str">
        <f aca="false">IF(OR(G1247="",G1247="?"),"",IFERROR(INDEX(Pubs!$G$2:$G$3001,MATCH(G1247,Pubs!$A$2:$A$3001,0))&amp;"",""))</f>
        <v/>
      </c>
      <c r="K1247" s="28" t="str">
        <f aca="false">IF(OR(G1247="",G1247="?"),"",IFERROR(INDEX(Pubs!$E$2:$E$3001,MATCH(G1247,Pubs!$A$2:$A$3001,0)),""))</f>
        <v/>
      </c>
      <c r="L1247" s="29" t="str">
        <f aca="false">IF(A1247="","",IFERROR(1/(1/INDEX(Numéros!$C$2:$C$3001,MATCH(A1247&amp;"|"&amp;B1247,Numéros!$F$2:$F$3001,0))),""))</f>
        <v/>
      </c>
      <c r="M1247" s="27" t="str">
        <f aca="false">IF(OR(G1247="",G1247="?"),"",IFERROR(INDEX(Pubs!$D$2:$D$3001,MATCH(G1247,Pubs!$A$2:$A$3001,0))&amp;"",""))</f>
        <v/>
      </c>
      <c r="N1247" s="27" t="n">
        <f aca="false">N(N1246)+IF(AND(A1247&lt;&gt;"",OR(Recherche!$C$4="",A1247=Recherche!$C$4),OR(Recherche!$C$5="",B1247&amp;""=Recherche!$C$5&amp;""),OR(Recherche!$C$6="",IFERROR(YEAR(L1247),0)=Recherche!$C$6),OR(Recherche!$C$7="",ISNUMBER(SEARCH(Recherche!$C$7,H1247))),OR(Recherche!$C$8="",J1247=Recherche!$C$8),OR(Recherche!$C$9="",I1247=Recherche!$C$9),OR(Recherche!$C$10="",G1247&amp;""=Recherche!$C$10&amp;""),OR(Recherche!$C$11="",E1247=Recherche!$C$11),OR(Recherche!$C$12="",ISNUMBER(SEARCH(Recherche!$C$12,M1247&amp;" "&amp;F1247)))),1,0)</f>
        <v>8</v>
      </c>
    </row>
    <row r="1248" customFormat="false" ht="15" hidden="false" customHeight="false" outlineLevel="0" collapsed="false">
      <c r="A1248" s="19"/>
      <c r="B1248" s="19"/>
      <c r="C1248" s="19"/>
      <c r="D1248" s="19"/>
      <c r="E1248" s="22"/>
      <c r="F1248" s="19"/>
      <c r="G1248" s="26" t="str">
        <f aca="false">IF(D1248="","",IFERROR(VALUE(LEFT(D1248,FIND(" |",D1248&amp;" |")-1)),"?"))</f>
        <v/>
      </c>
      <c r="H1248" s="27" t="str">
        <f aca="false">IF(G1248="","",IF(G1248="?","⚠ pub inconnue",IFERROR(INDEX(Pubs!$B$2:$B$3001,MATCH(G1248,Pubs!$A$2:$A$3001,0))&amp;"","⚠ pub inconnue")))</f>
        <v/>
      </c>
      <c r="I1248" s="27" t="str">
        <f aca="false">IF(OR(G1248="",G1248="?"),"",IFERROR(INDEX(Pubs!$C$2:$C$3001,MATCH(G1248,Pubs!$A$2:$A$3001,0))&amp;"",""))</f>
        <v/>
      </c>
      <c r="J1248" s="27" t="str">
        <f aca="false">IF(OR(G1248="",G1248="?"),"",IFERROR(INDEX(Pubs!$G$2:$G$3001,MATCH(G1248,Pubs!$A$2:$A$3001,0))&amp;"",""))</f>
        <v/>
      </c>
      <c r="K1248" s="28" t="str">
        <f aca="false">IF(OR(G1248="",G1248="?"),"",IFERROR(INDEX(Pubs!$E$2:$E$3001,MATCH(G1248,Pubs!$A$2:$A$3001,0)),""))</f>
        <v/>
      </c>
      <c r="L1248" s="29" t="str">
        <f aca="false">IF(A1248="","",IFERROR(1/(1/INDEX(Numéros!$C$2:$C$3001,MATCH(A1248&amp;"|"&amp;B1248,Numéros!$F$2:$F$3001,0))),""))</f>
        <v/>
      </c>
      <c r="M1248" s="27" t="str">
        <f aca="false">IF(OR(G1248="",G1248="?"),"",IFERROR(INDEX(Pubs!$D$2:$D$3001,MATCH(G1248,Pubs!$A$2:$A$3001,0))&amp;"",""))</f>
        <v/>
      </c>
      <c r="N1248" s="27" t="n">
        <f aca="false">N(N1247)+IF(AND(A1248&lt;&gt;"",OR(Recherche!$C$4="",A1248=Recherche!$C$4),OR(Recherche!$C$5="",B1248&amp;""=Recherche!$C$5&amp;""),OR(Recherche!$C$6="",IFERROR(YEAR(L1248),0)=Recherche!$C$6),OR(Recherche!$C$7="",ISNUMBER(SEARCH(Recherche!$C$7,H1248))),OR(Recherche!$C$8="",J1248=Recherche!$C$8),OR(Recherche!$C$9="",I1248=Recherche!$C$9),OR(Recherche!$C$10="",G1248&amp;""=Recherche!$C$10&amp;""),OR(Recherche!$C$11="",E1248=Recherche!$C$11),OR(Recherche!$C$12="",ISNUMBER(SEARCH(Recherche!$C$12,M1248&amp;" "&amp;F1248)))),1,0)</f>
        <v>8</v>
      </c>
    </row>
    <row r="1249" customFormat="false" ht="15" hidden="false" customHeight="false" outlineLevel="0" collapsed="false">
      <c r="A1249" s="19"/>
      <c r="B1249" s="19"/>
      <c r="C1249" s="19"/>
      <c r="D1249" s="19"/>
      <c r="E1249" s="22"/>
      <c r="F1249" s="19"/>
      <c r="G1249" s="26" t="str">
        <f aca="false">IF(D1249="","",IFERROR(VALUE(LEFT(D1249,FIND(" |",D1249&amp;" |")-1)),"?"))</f>
        <v/>
      </c>
      <c r="H1249" s="27" t="str">
        <f aca="false">IF(G1249="","",IF(G1249="?","⚠ pub inconnue",IFERROR(INDEX(Pubs!$B$2:$B$3001,MATCH(G1249,Pubs!$A$2:$A$3001,0))&amp;"","⚠ pub inconnue")))</f>
        <v/>
      </c>
      <c r="I1249" s="27" t="str">
        <f aca="false">IF(OR(G1249="",G1249="?"),"",IFERROR(INDEX(Pubs!$C$2:$C$3001,MATCH(G1249,Pubs!$A$2:$A$3001,0))&amp;"",""))</f>
        <v/>
      </c>
      <c r="J1249" s="27" t="str">
        <f aca="false">IF(OR(G1249="",G1249="?"),"",IFERROR(INDEX(Pubs!$G$2:$G$3001,MATCH(G1249,Pubs!$A$2:$A$3001,0))&amp;"",""))</f>
        <v/>
      </c>
      <c r="K1249" s="28" t="str">
        <f aca="false">IF(OR(G1249="",G1249="?"),"",IFERROR(INDEX(Pubs!$E$2:$E$3001,MATCH(G1249,Pubs!$A$2:$A$3001,0)),""))</f>
        <v/>
      </c>
      <c r="L1249" s="29" t="str">
        <f aca="false">IF(A1249="","",IFERROR(1/(1/INDEX(Numéros!$C$2:$C$3001,MATCH(A1249&amp;"|"&amp;B1249,Numéros!$F$2:$F$3001,0))),""))</f>
        <v/>
      </c>
      <c r="M1249" s="27" t="str">
        <f aca="false">IF(OR(G1249="",G1249="?"),"",IFERROR(INDEX(Pubs!$D$2:$D$3001,MATCH(G1249,Pubs!$A$2:$A$3001,0))&amp;"",""))</f>
        <v/>
      </c>
      <c r="N1249" s="27" t="n">
        <f aca="false">N(N1248)+IF(AND(A1249&lt;&gt;"",OR(Recherche!$C$4="",A1249=Recherche!$C$4),OR(Recherche!$C$5="",B1249&amp;""=Recherche!$C$5&amp;""),OR(Recherche!$C$6="",IFERROR(YEAR(L1249),0)=Recherche!$C$6),OR(Recherche!$C$7="",ISNUMBER(SEARCH(Recherche!$C$7,H1249))),OR(Recherche!$C$8="",J1249=Recherche!$C$8),OR(Recherche!$C$9="",I1249=Recherche!$C$9),OR(Recherche!$C$10="",G1249&amp;""=Recherche!$C$10&amp;""),OR(Recherche!$C$11="",E1249=Recherche!$C$11),OR(Recherche!$C$12="",ISNUMBER(SEARCH(Recherche!$C$12,M1249&amp;" "&amp;F1249)))),1,0)</f>
        <v>8</v>
      </c>
    </row>
    <row r="1250" customFormat="false" ht="15" hidden="false" customHeight="false" outlineLevel="0" collapsed="false">
      <c r="A1250" s="19"/>
      <c r="B1250" s="19"/>
      <c r="C1250" s="19"/>
      <c r="D1250" s="19"/>
      <c r="E1250" s="22"/>
      <c r="F1250" s="19"/>
      <c r="G1250" s="26" t="str">
        <f aca="false">IF(D1250="","",IFERROR(VALUE(LEFT(D1250,FIND(" |",D1250&amp;" |")-1)),"?"))</f>
        <v/>
      </c>
      <c r="H1250" s="27" t="str">
        <f aca="false">IF(G1250="","",IF(G1250="?","⚠ pub inconnue",IFERROR(INDEX(Pubs!$B$2:$B$3001,MATCH(G1250,Pubs!$A$2:$A$3001,0))&amp;"","⚠ pub inconnue")))</f>
        <v/>
      </c>
      <c r="I1250" s="27" t="str">
        <f aca="false">IF(OR(G1250="",G1250="?"),"",IFERROR(INDEX(Pubs!$C$2:$C$3001,MATCH(G1250,Pubs!$A$2:$A$3001,0))&amp;"",""))</f>
        <v/>
      </c>
      <c r="J1250" s="27" t="str">
        <f aca="false">IF(OR(G1250="",G1250="?"),"",IFERROR(INDEX(Pubs!$G$2:$G$3001,MATCH(G1250,Pubs!$A$2:$A$3001,0))&amp;"",""))</f>
        <v/>
      </c>
      <c r="K1250" s="28" t="str">
        <f aca="false">IF(OR(G1250="",G1250="?"),"",IFERROR(INDEX(Pubs!$E$2:$E$3001,MATCH(G1250,Pubs!$A$2:$A$3001,0)),""))</f>
        <v/>
      </c>
      <c r="L1250" s="29" t="str">
        <f aca="false">IF(A1250="","",IFERROR(1/(1/INDEX(Numéros!$C$2:$C$3001,MATCH(A1250&amp;"|"&amp;B1250,Numéros!$F$2:$F$3001,0))),""))</f>
        <v/>
      </c>
      <c r="M1250" s="27" t="str">
        <f aca="false">IF(OR(G1250="",G1250="?"),"",IFERROR(INDEX(Pubs!$D$2:$D$3001,MATCH(G1250,Pubs!$A$2:$A$3001,0))&amp;"",""))</f>
        <v/>
      </c>
      <c r="N1250" s="27" t="n">
        <f aca="false">N(N1249)+IF(AND(A1250&lt;&gt;"",OR(Recherche!$C$4="",A1250=Recherche!$C$4),OR(Recherche!$C$5="",B1250&amp;""=Recherche!$C$5&amp;""),OR(Recherche!$C$6="",IFERROR(YEAR(L1250),0)=Recherche!$C$6),OR(Recherche!$C$7="",ISNUMBER(SEARCH(Recherche!$C$7,H1250))),OR(Recherche!$C$8="",J1250=Recherche!$C$8),OR(Recherche!$C$9="",I1250=Recherche!$C$9),OR(Recherche!$C$10="",G1250&amp;""=Recherche!$C$10&amp;""),OR(Recherche!$C$11="",E1250=Recherche!$C$11),OR(Recherche!$C$12="",ISNUMBER(SEARCH(Recherche!$C$12,M1250&amp;" "&amp;F1250)))),1,0)</f>
        <v>8</v>
      </c>
    </row>
    <row r="1251" customFormat="false" ht="15" hidden="false" customHeight="false" outlineLevel="0" collapsed="false">
      <c r="A1251" s="19"/>
      <c r="B1251" s="19"/>
      <c r="C1251" s="19"/>
      <c r="D1251" s="19"/>
      <c r="E1251" s="22"/>
      <c r="F1251" s="19"/>
      <c r="G1251" s="26" t="str">
        <f aca="false">IF(D1251="","",IFERROR(VALUE(LEFT(D1251,FIND(" |",D1251&amp;" |")-1)),"?"))</f>
        <v/>
      </c>
      <c r="H1251" s="27" t="str">
        <f aca="false">IF(G1251="","",IF(G1251="?","⚠ pub inconnue",IFERROR(INDEX(Pubs!$B$2:$B$3001,MATCH(G1251,Pubs!$A$2:$A$3001,0))&amp;"","⚠ pub inconnue")))</f>
        <v/>
      </c>
      <c r="I1251" s="27" t="str">
        <f aca="false">IF(OR(G1251="",G1251="?"),"",IFERROR(INDEX(Pubs!$C$2:$C$3001,MATCH(G1251,Pubs!$A$2:$A$3001,0))&amp;"",""))</f>
        <v/>
      </c>
      <c r="J1251" s="27" t="str">
        <f aca="false">IF(OR(G1251="",G1251="?"),"",IFERROR(INDEX(Pubs!$G$2:$G$3001,MATCH(G1251,Pubs!$A$2:$A$3001,0))&amp;"",""))</f>
        <v/>
      </c>
      <c r="K1251" s="28" t="str">
        <f aca="false">IF(OR(G1251="",G1251="?"),"",IFERROR(INDEX(Pubs!$E$2:$E$3001,MATCH(G1251,Pubs!$A$2:$A$3001,0)),""))</f>
        <v/>
      </c>
      <c r="L1251" s="29" t="str">
        <f aca="false">IF(A1251="","",IFERROR(1/(1/INDEX(Numéros!$C$2:$C$3001,MATCH(A1251&amp;"|"&amp;B1251,Numéros!$F$2:$F$3001,0))),""))</f>
        <v/>
      </c>
      <c r="M1251" s="27" t="str">
        <f aca="false">IF(OR(G1251="",G1251="?"),"",IFERROR(INDEX(Pubs!$D$2:$D$3001,MATCH(G1251,Pubs!$A$2:$A$3001,0))&amp;"",""))</f>
        <v/>
      </c>
      <c r="N1251" s="27" t="n">
        <f aca="false">N(N1250)+IF(AND(A1251&lt;&gt;"",OR(Recherche!$C$4="",A1251=Recherche!$C$4),OR(Recherche!$C$5="",B1251&amp;""=Recherche!$C$5&amp;""),OR(Recherche!$C$6="",IFERROR(YEAR(L1251),0)=Recherche!$C$6),OR(Recherche!$C$7="",ISNUMBER(SEARCH(Recherche!$C$7,H1251))),OR(Recherche!$C$8="",J1251=Recherche!$C$8),OR(Recherche!$C$9="",I1251=Recherche!$C$9),OR(Recherche!$C$10="",G1251&amp;""=Recherche!$C$10&amp;""),OR(Recherche!$C$11="",E1251=Recherche!$C$11),OR(Recherche!$C$12="",ISNUMBER(SEARCH(Recherche!$C$12,M1251&amp;" "&amp;F1251)))),1,0)</f>
        <v>8</v>
      </c>
    </row>
    <row r="1252" customFormat="false" ht="15" hidden="false" customHeight="false" outlineLevel="0" collapsed="false">
      <c r="A1252" s="19"/>
      <c r="B1252" s="19"/>
      <c r="C1252" s="19"/>
      <c r="D1252" s="19"/>
      <c r="E1252" s="22"/>
      <c r="F1252" s="19"/>
      <c r="G1252" s="26" t="str">
        <f aca="false">IF(D1252="","",IFERROR(VALUE(LEFT(D1252,FIND(" |",D1252&amp;" |")-1)),"?"))</f>
        <v/>
      </c>
      <c r="H1252" s="27" t="str">
        <f aca="false">IF(G1252="","",IF(G1252="?","⚠ pub inconnue",IFERROR(INDEX(Pubs!$B$2:$B$3001,MATCH(G1252,Pubs!$A$2:$A$3001,0))&amp;"","⚠ pub inconnue")))</f>
        <v/>
      </c>
      <c r="I1252" s="27" t="str">
        <f aca="false">IF(OR(G1252="",G1252="?"),"",IFERROR(INDEX(Pubs!$C$2:$C$3001,MATCH(G1252,Pubs!$A$2:$A$3001,0))&amp;"",""))</f>
        <v/>
      </c>
      <c r="J1252" s="27" t="str">
        <f aca="false">IF(OR(G1252="",G1252="?"),"",IFERROR(INDEX(Pubs!$G$2:$G$3001,MATCH(G1252,Pubs!$A$2:$A$3001,0))&amp;"",""))</f>
        <v/>
      </c>
      <c r="K1252" s="28" t="str">
        <f aca="false">IF(OR(G1252="",G1252="?"),"",IFERROR(INDEX(Pubs!$E$2:$E$3001,MATCH(G1252,Pubs!$A$2:$A$3001,0)),""))</f>
        <v/>
      </c>
      <c r="L1252" s="29" t="str">
        <f aca="false">IF(A1252="","",IFERROR(1/(1/INDEX(Numéros!$C$2:$C$3001,MATCH(A1252&amp;"|"&amp;B1252,Numéros!$F$2:$F$3001,0))),""))</f>
        <v/>
      </c>
      <c r="M1252" s="27" t="str">
        <f aca="false">IF(OR(G1252="",G1252="?"),"",IFERROR(INDEX(Pubs!$D$2:$D$3001,MATCH(G1252,Pubs!$A$2:$A$3001,0))&amp;"",""))</f>
        <v/>
      </c>
      <c r="N1252" s="27" t="n">
        <f aca="false">N(N1251)+IF(AND(A1252&lt;&gt;"",OR(Recherche!$C$4="",A1252=Recherche!$C$4),OR(Recherche!$C$5="",B1252&amp;""=Recherche!$C$5&amp;""),OR(Recherche!$C$6="",IFERROR(YEAR(L1252),0)=Recherche!$C$6),OR(Recherche!$C$7="",ISNUMBER(SEARCH(Recherche!$C$7,H1252))),OR(Recherche!$C$8="",J1252=Recherche!$C$8),OR(Recherche!$C$9="",I1252=Recherche!$C$9),OR(Recherche!$C$10="",G1252&amp;""=Recherche!$C$10&amp;""),OR(Recherche!$C$11="",E1252=Recherche!$C$11),OR(Recherche!$C$12="",ISNUMBER(SEARCH(Recherche!$C$12,M1252&amp;" "&amp;F1252)))),1,0)</f>
        <v>8</v>
      </c>
    </row>
    <row r="1253" customFormat="false" ht="15" hidden="false" customHeight="false" outlineLevel="0" collapsed="false">
      <c r="A1253" s="19"/>
      <c r="B1253" s="19"/>
      <c r="C1253" s="19"/>
      <c r="D1253" s="19"/>
      <c r="E1253" s="22"/>
      <c r="F1253" s="19"/>
      <c r="G1253" s="26" t="str">
        <f aca="false">IF(D1253="","",IFERROR(VALUE(LEFT(D1253,FIND(" |",D1253&amp;" |")-1)),"?"))</f>
        <v/>
      </c>
      <c r="H1253" s="27" t="str">
        <f aca="false">IF(G1253="","",IF(G1253="?","⚠ pub inconnue",IFERROR(INDEX(Pubs!$B$2:$B$3001,MATCH(G1253,Pubs!$A$2:$A$3001,0))&amp;"","⚠ pub inconnue")))</f>
        <v/>
      </c>
      <c r="I1253" s="27" t="str">
        <f aca="false">IF(OR(G1253="",G1253="?"),"",IFERROR(INDEX(Pubs!$C$2:$C$3001,MATCH(G1253,Pubs!$A$2:$A$3001,0))&amp;"",""))</f>
        <v/>
      </c>
      <c r="J1253" s="27" t="str">
        <f aca="false">IF(OR(G1253="",G1253="?"),"",IFERROR(INDEX(Pubs!$G$2:$G$3001,MATCH(G1253,Pubs!$A$2:$A$3001,0))&amp;"",""))</f>
        <v/>
      </c>
      <c r="K1253" s="28" t="str">
        <f aca="false">IF(OR(G1253="",G1253="?"),"",IFERROR(INDEX(Pubs!$E$2:$E$3001,MATCH(G1253,Pubs!$A$2:$A$3001,0)),""))</f>
        <v/>
      </c>
      <c r="L1253" s="29" t="str">
        <f aca="false">IF(A1253="","",IFERROR(1/(1/INDEX(Numéros!$C$2:$C$3001,MATCH(A1253&amp;"|"&amp;B1253,Numéros!$F$2:$F$3001,0))),""))</f>
        <v/>
      </c>
      <c r="M1253" s="27" t="str">
        <f aca="false">IF(OR(G1253="",G1253="?"),"",IFERROR(INDEX(Pubs!$D$2:$D$3001,MATCH(G1253,Pubs!$A$2:$A$3001,0))&amp;"",""))</f>
        <v/>
      </c>
      <c r="N1253" s="27" t="n">
        <f aca="false">N(N1252)+IF(AND(A1253&lt;&gt;"",OR(Recherche!$C$4="",A1253=Recherche!$C$4),OR(Recherche!$C$5="",B1253&amp;""=Recherche!$C$5&amp;""),OR(Recherche!$C$6="",IFERROR(YEAR(L1253),0)=Recherche!$C$6),OR(Recherche!$C$7="",ISNUMBER(SEARCH(Recherche!$C$7,H1253))),OR(Recherche!$C$8="",J1253=Recherche!$C$8),OR(Recherche!$C$9="",I1253=Recherche!$C$9),OR(Recherche!$C$10="",G1253&amp;""=Recherche!$C$10&amp;""),OR(Recherche!$C$11="",E1253=Recherche!$C$11),OR(Recherche!$C$12="",ISNUMBER(SEARCH(Recherche!$C$12,M1253&amp;" "&amp;F1253)))),1,0)</f>
        <v>8</v>
      </c>
    </row>
    <row r="1254" customFormat="false" ht="15" hidden="false" customHeight="false" outlineLevel="0" collapsed="false">
      <c r="A1254" s="19"/>
      <c r="B1254" s="19"/>
      <c r="C1254" s="19"/>
      <c r="D1254" s="19"/>
      <c r="E1254" s="22"/>
      <c r="F1254" s="19"/>
      <c r="G1254" s="26" t="str">
        <f aca="false">IF(D1254="","",IFERROR(VALUE(LEFT(D1254,FIND(" |",D1254&amp;" |")-1)),"?"))</f>
        <v/>
      </c>
      <c r="H1254" s="27" t="str">
        <f aca="false">IF(G1254="","",IF(G1254="?","⚠ pub inconnue",IFERROR(INDEX(Pubs!$B$2:$B$3001,MATCH(G1254,Pubs!$A$2:$A$3001,0))&amp;"","⚠ pub inconnue")))</f>
        <v/>
      </c>
      <c r="I1254" s="27" t="str">
        <f aca="false">IF(OR(G1254="",G1254="?"),"",IFERROR(INDEX(Pubs!$C$2:$C$3001,MATCH(G1254,Pubs!$A$2:$A$3001,0))&amp;"",""))</f>
        <v/>
      </c>
      <c r="J1254" s="27" t="str">
        <f aca="false">IF(OR(G1254="",G1254="?"),"",IFERROR(INDEX(Pubs!$G$2:$G$3001,MATCH(G1254,Pubs!$A$2:$A$3001,0))&amp;"",""))</f>
        <v/>
      </c>
      <c r="K1254" s="28" t="str">
        <f aca="false">IF(OR(G1254="",G1254="?"),"",IFERROR(INDEX(Pubs!$E$2:$E$3001,MATCH(G1254,Pubs!$A$2:$A$3001,0)),""))</f>
        <v/>
      </c>
      <c r="L1254" s="29" t="str">
        <f aca="false">IF(A1254="","",IFERROR(1/(1/INDEX(Numéros!$C$2:$C$3001,MATCH(A1254&amp;"|"&amp;B1254,Numéros!$F$2:$F$3001,0))),""))</f>
        <v/>
      </c>
      <c r="M1254" s="27" t="str">
        <f aca="false">IF(OR(G1254="",G1254="?"),"",IFERROR(INDEX(Pubs!$D$2:$D$3001,MATCH(G1254,Pubs!$A$2:$A$3001,0))&amp;"",""))</f>
        <v/>
      </c>
      <c r="N1254" s="27" t="n">
        <f aca="false">N(N1253)+IF(AND(A1254&lt;&gt;"",OR(Recherche!$C$4="",A1254=Recherche!$C$4),OR(Recherche!$C$5="",B1254&amp;""=Recherche!$C$5&amp;""),OR(Recherche!$C$6="",IFERROR(YEAR(L1254),0)=Recherche!$C$6),OR(Recherche!$C$7="",ISNUMBER(SEARCH(Recherche!$C$7,H1254))),OR(Recherche!$C$8="",J1254=Recherche!$C$8),OR(Recherche!$C$9="",I1254=Recherche!$C$9),OR(Recherche!$C$10="",G1254&amp;""=Recherche!$C$10&amp;""),OR(Recherche!$C$11="",E1254=Recherche!$C$11),OR(Recherche!$C$12="",ISNUMBER(SEARCH(Recherche!$C$12,M1254&amp;" "&amp;F1254)))),1,0)</f>
        <v>8</v>
      </c>
    </row>
    <row r="1255" customFormat="false" ht="15" hidden="false" customHeight="false" outlineLevel="0" collapsed="false">
      <c r="A1255" s="19"/>
      <c r="B1255" s="19"/>
      <c r="C1255" s="19"/>
      <c r="D1255" s="19"/>
      <c r="E1255" s="22"/>
      <c r="F1255" s="19"/>
      <c r="G1255" s="26" t="str">
        <f aca="false">IF(D1255="","",IFERROR(VALUE(LEFT(D1255,FIND(" |",D1255&amp;" |")-1)),"?"))</f>
        <v/>
      </c>
      <c r="H1255" s="27" t="str">
        <f aca="false">IF(G1255="","",IF(G1255="?","⚠ pub inconnue",IFERROR(INDEX(Pubs!$B$2:$B$3001,MATCH(G1255,Pubs!$A$2:$A$3001,0))&amp;"","⚠ pub inconnue")))</f>
        <v/>
      </c>
      <c r="I1255" s="27" t="str">
        <f aca="false">IF(OR(G1255="",G1255="?"),"",IFERROR(INDEX(Pubs!$C$2:$C$3001,MATCH(G1255,Pubs!$A$2:$A$3001,0))&amp;"",""))</f>
        <v/>
      </c>
      <c r="J1255" s="27" t="str">
        <f aca="false">IF(OR(G1255="",G1255="?"),"",IFERROR(INDEX(Pubs!$G$2:$G$3001,MATCH(G1255,Pubs!$A$2:$A$3001,0))&amp;"",""))</f>
        <v/>
      </c>
      <c r="K1255" s="28" t="str">
        <f aca="false">IF(OR(G1255="",G1255="?"),"",IFERROR(INDEX(Pubs!$E$2:$E$3001,MATCH(G1255,Pubs!$A$2:$A$3001,0)),""))</f>
        <v/>
      </c>
      <c r="L1255" s="29" t="str">
        <f aca="false">IF(A1255="","",IFERROR(1/(1/INDEX(Numéros!$C$2:$C$3001,MATCH(A1255&amp;"|"&amp;B1255,Numéros!$F$2:$F$3001,0))),""))</f>
        <v/>
      </c>
      <c r="M1255" s="27" t="str">
        <f aca="false">IF(OR(G1255="",G1255="?"),"",IFERROR(INDEX(Pubs!$D$2:$D$3001,MATCH(G1255,Pubs!$A$2:$A$3001,0))&amp;"",""))</f>
        <v/>
      </c>
      <c r="N1255" s="27" t="n">
        <f aca="false">N(N1254)+IF(AND(A1255&lt;&gt;"",OR(Recherche!$C$4="",A1255=Recherche!$C$4),OR(Recherche!$C$5="",B1255&amp;""=Recherche!$C$5&amp;""),OR(Recherche!$C$6="",IFERROR(YEAR(L1255),0)=Recherche!$C$6),OR(Recherche!$C$7="",ISNUMBER(SEARCH(Recherche!$C$7,H1255))),OR(Recherche!$C$8="",J1255=Recherche!$C$8),OR(Recherche!$C$9="",I1255=Recherche!$C$9),OR(Recherche!$C$10="",G1255&amp;""=Recherche!$C$10&amp;""),OR(Recherche!$C$11="",E1255=Recherche!$C$11),OR(Recherche!$C$12="",ISNUMBER(SEARCH(Recherche!$C$12,M1255&amp;" "&amp;F1255)))),1,0)</f>
        <v>8</v>
      </c>
    </row>
    <row r="1256" customFormat="false" ht="15" hidden="false" customHeight="false" outlineLevel="0" collapsed="false">
      <c r="A1256" s="19"/>
      <c r="B1256" s="19"/>
      <c r="C1256" s="19"/>
      <c r="D1256" s="19"/>
      <c r="E1256" s="22"/>
      <c r="F1256" s="19"/>
      <c r="G1256" s="26" t="str">
        <f aca="false">IF(D1256="","",IFERROR(VALUE(LEFT(D1256,FIND(" |",D1256&amp;" |")-1)),"?"))</f>
        <v/>
      </c>
      <c r="H1256" s="27" t="str">
        <f aca="false">IF(G1256="","",IF(G1256="?","⚠ pub inconnue",IFERROR(INDEX(Pubs!$B$2:$B$3001,MATCH(G1256,Pubs!$A$2:$A$3001,0))&amp;"","⚠ pub inconnue")))</f>
        <v/>
      </c>
      <c r="I1256" s="27" t="str">
        <f aca="false">IF(OR(G1256="",G1256="?"),"",IFERROR(INDEX(Pubs!$C$2:$C$3001,MATCH(G1256,Pubs!$A$2:$A$3001,0))&amp;"",""))</f>
        <v/>
      </c>
      <c r="J1256" s="27" t="str">
        <f aca="false">IF(OR(G1256="",G1256="?"),"",IFERROR(INDEX(Pubs!$G$2:$G$3001,MATCH(G1256,Pubs!$A$2:$A$3001,0))&amp;"",""))</f>
        <v/>
      </c>
      <c r="K1256" s="28" t="str">
        <f aca="false">IF(OR(G1256="",G1256="?"),"",IFERROR(INDEX(Pubs!$E$2:$E$3001,MATCH(G1256,Pubs!$A$2:$A$3001,0)),""))</f>
        <v/>
      </c>
      <c r="L1256" s="29" t="str">
        <f aca="false">IF(A1256="","",IFERROR(1/(1/INDEX(Numéros!$C$2:$C$3001,MATCH(A1256&amp;"|"&amp;B1256,Numéros!$F$2:$F$3001,0))),""))</f>
        <v/>
      </c>
      <c r="M1256" s="27" t="str">
        <f aca="false">IF(OR(G1256="",G1256="?"),"",IFERROR(INDEX(Pubs!$D$2:$D$3001,MATCH(G1256,Pubs!$A$2:$A$3001,0))&amp;"",""))</f>
        <v/>
      </c>
      <c r="N1256" s="27" t="n">
        <f aca="false">N(N1255)+IF(AND(A1256&lt;&gt;"",OR(Recherche!$C$4="",A1256=Recherche!$C$4),OR(Recherche!$C$5="",B1256&amp;""=Recherche!$C$5&amp;""),OR(Recherche!$C$6="",IFERROR(YEAR(L1256),0)=Recherche!$C$6),OR(Recherche!$C$7="",ISNUMBER(SEARCH(Recherche!$C$7,H1256))),OR(Recherche!$C$8="",J1256=Recherche!$C$8),OR(Recherche!$C$9="",I1256=Recherche!$C$9),OR(Recherche!$C$10="",G1256&amp;""=Recherche!$C$10&amp;""),OR(Recherche!$C$11="",E1256=Recherche!$C$11),OR(Recherche!$C$12="",ISNUMBER(SEARCH(Recherche!$C$12,M1256&amp;" "&amp;F1256)))),1,0)</f>
        <v>8</v>
      </c>
    </row>
    <row r="1257" customFormat="false" ht="15" hidden="false" customHeight="false" outlineLevel="0" collapsed="false">
      <c r="A1257" s="19"/>
      <c r="B1257" s="19"/>
      <c r="C1257" s="19"/>
      <c r="D1257" s="19"/>
      <c r="E1257" s="22"/>
      <c r="F1257" s="19"/>
      <c r="G1257" s="26" t="str">
        <f aca="false">IF(D1257="","",IFERROR(VALUE(LEFT(D1257,FIND(" |",D1257&amp;" |")-1)),"?"))</f>
        <v/>
      </c>
      <c r="H1257" s="27" t="str">
        <f aca="false">IF(G1257="","",IF(G1257="?","⚠ pub inconnue",IFERROR(INDEX(Pubs!$B$2:$B$3001,MATCH(G1257,Pubs!$A$2:$A$3001,0))&amp;"","⚠ pub inconnue")))</f>
        <v/>
      </c>
      <c r="I1257" s="27" t="str">
        <f aca="false">IF(OR(G1257="",G1257="?"),"",IFERROR(INDEX(Pubs!$C$2:$C$3001,MATCH(G1257,Pubs!$A$2:$A$3001,0))&amp;"",""))</f>
        <v/>
      </c>
      <c r="J1257" s="27" t="str">
        <f aca="false">IF(OR(G1257="",G1257="?"),"",IFERROR(INDEX(Pubs!$G$2:$G$3001,MATCH(G1257,Pubs!$A$2:$A$3001,0))&amp;"",""))</f>
        <v/>
      </c>
      <c r="K1257" s="28" t="str">
        <f aca="false">IF(OR(G1257="",G1257="?"),"",IFERROR(INDEX(Pubs!$E$2:$E$3001,MATCH(G1257,Pubs!$A$2:$A$3001,0)),""))</f>
        <v/>
      </c>
      <c r="L1257" s="29" t="str">
        <f aca="false">IF(A1257="","",IFERROR(1/(1/INDEX(Numéros!$C$2:$C$3001,MATCH(A1257&amp;"|"&amp;B1257,Numéros!$F$2:$F$3001,0))),""))</f>
        <v/>
      </c>
      <c r="M1257" s="27" t="str">
        <f aca="false">IF(OR(G1257="",G1257="?"),"",IFERROR(INDEX(Pubs!$D$2:$D$3001,MATCH(G1257,Pubs!$A$2:$A$3001,0))&amp;"",""))</f>
        <v/>
      </c>
      <c r="N1257" s="27" t="n">
        <f aca="false">N(N1256)+IF(AND(A1257&lt;&gt;"",OR(Recherche!$C$4="",A1257=Recherche!$C$4),OR(Recherche!$C$5="",B1257&amp;""=Recherche!$C$5&amp;""),OR(Recherche!$C$6="",IFERROR(YEAR(L1257),0)=Recherche!$C$6),OR(Recherche!$C$7="",ISNUMBER(SEARCH(Recherche!$C$7,H1257))),OR(Recherche!$C$8="",J1257=Recherche!$C$8),OR(Recherche!$C$9="",I1257=Recherche!$C$9),OR(Recherche!$C$10="",G1257&amp;""=Recherche!$C$10&amp;""),OR(Recherche!$C$11="",E1257=Recherche!$C$11),OR(Recherche!$C$12="",ISNUMBER(SEARCH(Recherche!$C$12,M1257&amp;" "&amp;F1257)))),1,0)</f>
        <v>8</v>
      </c>
    </row>
    <row r="1258" customFormat="false" ht="15" hidden="false" customHeight="false" outlineLevel="0" collapsed="false">
      <c r="A1258" s="19"/>
      <c r="B1258" s="19"/>
      <c r="C1258" s="19"/>
      <c r="D1258" s="19"/>
      <c r="E1258" s="22"/>
      <c r="F1258" s="19"/>
      <c r="G1258" s="26" t="str">
        <f aca="false">IF(D1258="","",IFERROR(VALUE(LEFT(D1258,FIND(" |",D1258&amp;" |")-1)),"?"))</f>
        <v/>
      </c>
      <c r="H1258" s="27" t="str">
        <f aca="false">IF(G1258="","",IF(G1258="?","⚠ pub inconnue",IFERROR(INDEX(Pubs!$B$2:$B$3001,MATCH(G1258,Pubs!$A$2:$A$3001,0))&amp;"","⚠ pub inconnue")))</f>
        <v/>
      </c>
      <c r="I1258" s="27" t="str">
        <f aca="false">IF(OR(G1258="",G1258="?"),"",IFERROR(INDEX(Pubs!$C$2:$C$3001,MATCH(G1258,Pubs!$A$2:$A$3001,0))&amp;"",""))</f>
        <v/>
      </c>
      <c r="J1258" s="27" t="str">
        <f aca="false">IF(OR(G1258="",G1258="?"),"",IFERROR(INDEX(Pubs!$G$2:$G$3001,MATCH(G1258,Pubs!$A$2:$A$3001,0))&amp;"",""))</f>
        <v/>
      </c>
      <c r="K1258" s="28" t="str">
        <f aca="false">IF(OR(G1258="",G1258="?"),"",IFERROR(INDEX(Pubs!$E$2:$E$3001,MATCH(G1258,Pubs!$A$2:$A$3001,0)),""))</f>
        <v/>
      </c>
      <c r="L1258" s="29" t="str">
        <f aca="false">IF(A1258="","",IFERROR(1/(1/INDEX(Numéros!$C$2:$C$3001,MATCH(A1258&amp;"|"&amp;B1258,Numéros!$F$2:$F$3001,0))),""))</f>
        <v/>
      </c>
      <c r="M1258" s="27" t="str">
        <f aca="false">IF(OR(G1258="",G1258="?"),"",IFERROR(INDEX(Pubs!$D$2:$D$3001,MATCH(G1258,Pubs!$A$2:$A$3001,0))&amp;"",""))</f>
        <v/>
      </c>
      <c r="N1258" s="27" t="n">
        <f aca="false">N(N1257)+IF(AND(A1258&lt;&gt;"",OR(Recherche!$C$4="",A1258=Recherche!$C$4),OR(Recherche!$C$5="",B1258&amp;""=Recherche!$C$5&amp;""),OR(Recherche!$C$6="",IFERROR(YEAR(L1258),0)=Recherche!$C$6),OR(Recherche!$C$7="",ISNUMBER(SEARCH(Recherche!$C$7,H1258))),OR(Recherche!$C$8="",J1258=Recherche!$C$8),OR(Recherche!$C$9="",I1258=Recherche!$C$9),OR(Recherche!$C$10="",G1258&amp;""=Recherche!$C$10&amp;""),OR(Recherche!$C$11="",E1258=Recherche!$C$11),OR(Recherche!$C$12="",ISNUMBER(SEARCH(Recherche!$C$12,M1258&amp;" "&amp;F1258)))),1,0)</f>
        <v>8</v>
      </c>
    </row>
    <row r="1259" customFormat="false" ht="15" hidden="false" customHeight="false" outlineLevel="0" collapsed="false">
      <c r="A1259" s="19"/>
      <c r="B1259" s="19"/>
      <c r="C1259" s="19"/>
      <c r="D1259" s="19"/>
      <c r="E1259" s="22"/>
      <c r="F1259" s="19"/>
      <c r="G1259" s="26" t="str">
        <f aca="false">IF(D1259="","",IFERROR(VALUE(LEFT(D1259,FIND(" |",D1259&amp;" |")-1)),"?"))</f>
        <v/>
      </c>
      <c r="H1259" s="27" t="str">
        <f aca="false">IF(G1259="","",IF(G1259="?","⚠ pub inconnue",IFERROR(INDEX(Pubs!$B$2:$B$3001,MATCH(G1259,Pubs!$A$2:$A$3001,0))&amp;"","⚠ pub inconnue")))</f>
        <v/>
      </c>
      <c r="I1259" s="27" t="str">
        <f aca="false">IF(OR(G1259="",G1259="?"),"",IFERROR(INDEX(Pubs!$C$2:$C$3001,MATCH(G1259,Pubs!$A$2:$A$3001,0))&amp;"",""))</f>
        <v/>
      </c>
      <c r="J1259" s="27" t="str">
        <f aca="false">IF(OR(G1259="",G1259="?"),"",IFERROR(INDEX(Pubs!$G$2:$G$3001,MATCH(G1259,Pubs!$A$2:$A$3001,0))&amp;"",""))</f>
        <v/>
      </c>
      <c r="K1259" s="28" t="str">
        <f aca="false">IF(OR(G1259="",G1259="?"),"",IFERROR(INDEX(Pubs!$E$2:$E$3001,MATCH(G1259,Pubs!$A$2:$A$3001,0)),""))</f>
        <v/>
      </c>
      <c r="L1259" s="29" t="str">
        <f aca="false">IF(A1259="","",IFERROR(1/(1/INDEX(Numéros!$C$2:$C$3001,MATCH(A1259&amp;"|"&amp;B1259,Numéros!$F$2:$F$3001,0))),""))</f>
        <v/>
      </c>
      <c r="M1259" s="27" t="str">
        <f aca="false">IF(OR(G1259="",G1259="?"),"",IFERROR(INDEX(Pubs!$D$2:$D$3001,MATCH(G1259,Pubs!$A$2:$A$3001,0))&amp;"",""))</f>
        <v/>
      </c>
      <c r="N1259" s="27" t="n">
        <f aca="false">N(N1258)+IF(AND(A1259&lt;&gt;"",OR(Recherche!$C$4="",A1259=Recherche!$C$4),OR(Recherche!$C$5="",B1259&amp;""=Recherche!$C$5&amp;""),OR(Recherche!$C$6="",IFERROR(YEAR(L1259),0)=Recherche!$C$6),OR(Recherche!$C$7="",ISNUMBER(SEARCH(Recherche!$C$7,H1259))),OR(Recherche!$C$8="",J1259=Recherche!$C$8),OR(Recherche!$C$9="",I1259=Recherche!$C$9),OR(Recherche!$C$10="",G1259&amp;""=Recherche!$C$10&amp;""),OR(Recherche!$C$11="",E1259=Recherche!$C$11),OR(Recherche!$C$12="",ISNUMBER(SEARCH(Recherche!$C$12,M1259&amp;" "&amp;F1259)))),1,0)</f>
        <v>8</v>
      </c>
    </row>
    <row r="1260" customFormat="false" ht="15" hidden="false" customHeight="false" outlineLevel="0" collapsed="false">
      <c r="A1260" s="19"/>
      <c r="B1260" s="19"/>
      <c r="C1260" s="19"/>
      <c r="D1260" s="19"/>
      <c r="E1260" s="22"/>
      <c r="F1260" s="19"/>
      <c r="G1260" s="26" t="str">
        <f aca="false">IF(D1260="","",IFERROR(VALUE(LEFT(D1260,FIND(" |",D1260&amp;" |")-1)),"?"))</f>
        <v/>
      </c>
      <c r="H1260" s="27" t="str">
        <f aca="false">IF(G1260="","",IF(G1260="?","⚠ pub inconnue",IFERROR(INDEX(Pubs!$B$2:$B$3001,MATCH(G1260,Pubs!$A$2:$A$3001,0))&amp;"","⚠ pub inconnue")))</f>
        <v/>
      </c>
      <c r="I1260" s="27" t="str">
        <f aca="false">IF(OR(G1260="",G1260="?"),"",IFERROR(INDEX(Pubs!$C$2:$C$3001,MATCH(G1260,Pubs!$A$2:$A$3001,0))&amp;"",""))</f>
        <v/>
      </c>
      <c r="J1260" s="27" t="str">
        <f aca="false">IF(OR(G1260="",G1260="?"),"",IFERROR(INDEX(Pubs!$G$2:$G$3001,MATCH(G1260,Pubs!$A$2:$A$3001,0))&amp;"",""))</f>
        <v/>
      </c>
      <c r="K1260" s="28" t="str">
        <f aca="false">IF(OR(G1260="",G1260="?"),"",IFERROR(INDEX(Pubs!$E$2:$E$3001,MATCH(G1260,Pubs!$A$2:$A$3001,0)),""))</f>
        <v/>
      </c>
      <c r="L1260" s="29" t="str">
        <f aca="false">IF(A1260="","",IFERROR(1/(1/INDEX(Numéros!$C$2:$C$3001,MATCH(A1260&amp;"|"&amp;B1260,Numéros!$F$2:$F$3001,0))),""))</f>
        <v/>
      </c>
      <c r="M1260" s="27" t="str">
        <f aca="false">IF(OR(G1260="",G1260="?"),"",IFERROR(INDEX(Pubs!$D$2:$D$3001,MATCH(G1260,Pubs!$A$2:$A$3001,0))&amp;"",""))</f>
        <v/>
      </c>
      <c r="N1260" s="27" t="n">
        <f aca="false">N(N1259)+IF(AND(A1260&lt;&gt;"",OR(Recherche!$C$4="",A1260=Recherche!$C$4),OR(Recherche!$C$5="",B1260&amp;""=Recherche!$C$5&amp;""),OR(Recherche!$C$6="",IFERROR(YEAR(L1260),0)=Recherche!$C$6),OR(Recherche!$C$7="",ISNUMBER(SEARCH(Recherche!$C$7,H1260))),OR(Recherche!$C$8="",J1260=Recherche!$C$8),OR(Recherche!$C$9="",I1260=Recherche!$C$9),OR(Recherche!$C$10="",G1260&amp;""=Recherche!$C$10&amp;""),OR(Recherche!$C$11="",E1260=Recherche!$C$11),OR(Recherche!$C$12="",ISNUMBER(SEARCH(Recherche!$C$12,M1260&amp;" "&amp;F1260)))),1,0)</f>
        <v>8</v>
      </c>
    </row>
    <row r="1261" customFormat="false" ht="15" hidden="false" customHeight="false" outlineLevel="0" collapsed="false">
      <c r="A1261" s="19"/>
      <c r="B1261" s="19"/>
      <c r="C1261" s="19"/>
      <c r="D1261" s="19"/>
      <c r="E1261" s="22"/>
      <c r="F1261" s="19"/>
      <c r="G1261" s="26" t="str">
        <f aca="false">IF(D1261="","",IFERROR(VALUE(LEFT(D1261,FIND(" |",D1261&amp;" |")-1)),"?"))</f>
        <v/>
      </c>
      <c r="H1261" s="27" t="str">
        <f aca="false">IF(G1261="","",IF(G1261="?","⚠ pub inconnue",IFERROR(INDEX(Pubs!$B$2:$B$3001,MATCH(G1261,Pubs!$A$2:$A$3001,0))&amp;"","⚠ pub inconnue")))</f>
        <v/>
      </c>
      <c r="I1261" s="27" t="str">
        <f aca="false">IF(OR(G1261="",G1261="?"),"",IFERROR(INDEX(Pubs!$C$2:$C$3001,MATCH(G1261,Pubs!$A$2:$A$3001,0))&amp;"",""))</f>
        <v/>
      </c>
      <c r="J1261" s="27" t="str">
        <f aca="false">IF(OR(G1261="",G1261="?"),"",IFERROR(INDEX(Pubs!$G$2:$G$3001,MATCH(G1261,Pubs!$A$2:$A$3001,0))&amp;"",""))</f>
        <v/>
      </c>
      <c r="K1261" s="28" t="str">
        <f aca="false">IF(OR(G1261="",G1261="?"),"",IFERROR(INDEX(Pubs!$E$2:$E$3001,MATCH(G1261,Pubs!$A$2:$A$3001,0)),""))</f>
        <v/>
      </c>
      <c r="L1261" s="29" t="str">
        <f aca="false">IF(A1261="","",IFERROR(1/(1/INDEX(Numéros!$C$2:$C$3001,MATCH(A1261&amp;"|"&amp;B1261,Numéros!$F$2:$F$3001,0))),""))</f>
        <v/>
      </c>
      <c r="M1261" s="27" t="str">
        <f aca="false">IF(OR(G1261="",G1261="?"),"",IFERROR(INDEX(Pubs!$D$2:$D$3001,MATCH(G1261,Pubs!$A$2:$A$3001,0))&amp;"",""))</f>
        <v/>
      </c>
      <c r="N1261" s="27" t="n">
        <f aca="false">N(N1260)+IF(AND(A1261&lt;&gt;"",OR(Recherche!$C$4="",A1261=Recherche!$C$4),OR(Recherche!$C$5="",B1261&amp;""=Recherche!$C$5&amp;""),OR(Recherche!$C$6="",IFERROR(YEAR(L1261),0)=Recherche!$C$6),OR(Recherche!$C$7="",ISNUMBER(SEARCH(Recherche!$C$7,H1261))),OR(Recherche!$C$8="",J1261=Recherche!$C$8),OR(Recherche!$C$9="",I1261=Recherche!$C$9),OR(Recherche!$C$10="",G1261&amp;""=Recherche!$C$10&amp;""),OR(Recherche!$C$11="",E1261=Recherche!$C$11),OR(Recherche!$C$12="",ISNUMBER(SEARCH(Recherche!$C$12,M1261&amp;" "&amp;F1261)))),1,0)</f>
        <v>8</v>
      </c>
    </row>
    <row r="1262" customFormat="false" ht="15" hidden="false" customHeight="false" outlineLevel="0" collapsed="false">
      <c r="A1262" s="19"/>
      <c r="B1262" s="19"/>
      <c r="C1262" s="19"/>
      <c r="D1262" s="19"/>
      <c r="E1262" s="22"/>
      <c r="F1262" s="19"/>
      <c r="G1262" s="26" t="str">
        <f aca="false">IF(D1262="","",IFERROR(VALUE(LEFT(D1262,FIND(" |",D1262&amp;" |")-1)),"?"))</f>
        <v/>
      </c>
      <c r="H1262" s="27" t="str">
        <f aca="false">IF(G1262="","",IF(G1262="?","⚠ pub inconnue",IFERROR(INDEX(Pubs!$B$2:$B$3001,MATCH(G1262,Pubs!$A$2:$A$3001,0))&amp;"","⚠ pub inconnue")))</f>
        <v/>
      </c>
      <c r="I1262" s="27" t="str">
        <f aca="false">IF(OR(G1262="",G1262="?"),"",IFERROR(INDEX(Pubs!$C$2:$C$3001,MATCH(G1262,Pubs!$A$2:$A$3001,0))&amp;"",""))</f>
        <v/>
      </c>
      <c r="J1262" s="27" t="str">
        <f aca="false">IF(OR(G1262="",G1262="?"),"",IFERROR(INDEX(Pubs!$G$2:$G$3001,MATCH(G1262,Pubs!$A$2:$A$3001,0))&amp;"",""))</f>
        <v/>
      </c>
      <c r="K1262" s="28" t="str">
        <f aca="false">IF(OR(G1262="",G1262="?"),"",IFERROR(INDEX(Pubs!$E$2:$E$3001,MATCH(G1262,Pubs!$A$2:$A$3001,0)),""))</f>
        <v/>
      </c>
      <c r="L1262" s="29" t="str">
        <f aca="false">IF(A1262="","",IFERROR(1/(1/INDEX(Numéros!$C$2:$C$3001,MATCH(A1262&amp;"|"&amp;B1262,Numéros!$F$2:$F$3001,0))),""))</f>
        <v/>
      </c>
      <c r="M1262" s="27" t="str">
        <f aca="false">IF(OR(G1262="",G1262="?"),"",IFERROR(INDEX(Pubs!$D$2:$D$3001,MATCH(G1262,Pubs!$A$2:$A$3001,0))&amp;"",""))</f>
        <v/>
      </c>
      <c r="N1262" s="27" t="n">
        <f aca="false">N(N1261)+IF(AND(A1262&lt;&gt;"",OR(Recherche!$C$4="",A1262=Recherche!$C$4),OR(Recherche!$C$5="",B1262&amp;""=Recherche!$C$5&amp;""),OR(Recherche!$C$6="",IFERROR(YEAR(L1262),0)=Recherche!$C$6),OR(Recherche!$C$7="",ISNUMBER(SEARCH(Recherche!$C$7,H1262))),OR(Recherche!$C$8="",J1262=Recherche!$C$8),OR(Recherche!$C$9="",I1262=Recherche!$C$9),OR(Recherche!$C$10="",G1262&amp;""=Recherche!$C$10&amp;""),OR(Recherche!$C$11="",E1262=Recherche!$C$11),OR(Recherche!$C$12="",ISNUMBER(SEARCH(Recherche!$C$12,M1262&amp;" "&amp;F1262)))),1,0)</f>
        <v>8</v>
      </c>
    </row>
    <row r="1263" customFormat="false" ht="15" hidden="false" customHeight="false" outlineLevel="0" collapsed="false">
      <c r="A1263" s="19"/>
      <c r="B1263" s="19"/>
      <c r="C1263" s="19"/>
      <c r="D1263" s="19"/>
      <c r="E1263" s="22"/>
      <c r="F1263" s="19"/>
      <c r="G1263" s="26" t="str">
        <f aca="false">IF(D1263="","",IFERROR(VALUE(LEFT(D1263,FIND(" |",D1263&amp;" |")-1)),"?"))</f>
        <v/>
      </c>
      <c r="H1263" s="27" t="str">
        <f aca="false">IF(G1263="","",IF(G1263="?","⚠ pub inconnue",IFERROR(INDEX(Pubs!$B$2:$B$3001,MATCH(G1263,Pubs!$A$2:$A$3001,0))&amp;"","⚠ pub inconnue")))</f>
        <v/>
      </c>
      <c r="I1263" s="27" t="str">
        <f aca="false">IF(OR(G1263="",G1263="?"),"",IFERROR(INDEX(Pubs!$C$2:$C$3001,MATCH(G1263,Pubs!$A$2:$A$3001,0))&amp;"",""))</f>
        <v/>
      </c>
      <c r="J1263" s="27" t="str">
        <f aca="false">IF(OR(G1263="",G1263="?"),"",IFERROR(INDEX(Pubs!$G$2:$G$3001,MATCH(G1263,Pubs!$A$2:$A$3001,0))&amp;"",""))</f>
        <v/>
      </c>
      <c r="K1263" s="28" t="str">
        <f aca="false">IF(OR(G1263="",G1263="?"),"",IFERROR(INDEX(Pubs!$E$2:$E$3001,MATCH(G1263,Pubs!$A$2:$A$3001,0)),""))</f>
        <v/>
      </c>
      <c r="L1263" s="29" t="str">
        <f aca="false">IF(A1263="","",IFERROR(1/(1/INDEX(Numéros!$C$2:$C$3001,MATCH(A1263&amp;"|"&amp;B1263,Numéros!$F$2:$F$3001,0))),""))</f>
        <v/>
      </c>
      <c r="M1263" s="27" t="str">
        <f aca="false">IF(OR(G1263="",G1263="?"),"",IFERROR(INDEX(Pubs!$D$2:$D$3001,MATCH(G1263,Pubs!$A$2:$A$3001,0))&amp;"",""))</f>
        <v/>
      </c>
      <c r="N1263" s="27" t="n">
        <f aca="false">N(N1262)+IF(AND(A1263&lt;&gt;"",OR(Recherche!$C$4="",A1263=Recherche!$C$4),OR(Recherche!$C$5="",B1263&amp;""=Recherche!$C$5&amp;""),OR(Recherche!$C$6="",IFERROR(YEAR(L1263),0)=Recherche!$C$6),OR(Recherche!$C$7="",ISNUMBER(SEARCH(Recherche!$C$7,H1263))),OR(Recherche!$C$8="",J1263=Recherche!$C$8),OR(Recherche!$C$9="",I1263=Recherche!$C$9),OR(Recherche!$C$10="",G1263&amp;""=Recherche!$C$10&amp;""),OR(Recherche!$C$11="",E1263=Recherche!$C$11),OR(Recherche!$C$12="",ISNUMBER(SEARCH(Recherche!$C$12,M1263&amp;" "&amp;F1263)))),1,0)</f>
        <v>8</v>
      </c>
    </row>
    <row r="1264" customFormat="false" ht="15" hidden="false" customHeight="false" outlineLevel="0" collapsed="false">
      <c r="A1264" s="19"/>
      <c r="B1264" s="19"/>
      <c r="C1264" s="19"/>
      <c r="D1264" s="19"/>
      <c r="E1264" s="22"/>
      <c r="F1264" s="19"/>
      <c r="G1264" s="26" t="str">
        <f aca="false">IF(D1264="","",IFERROR(VALUE(LEFT(D1264,FIND(" |",D1264&amp;" |")-1)),"?"))</f>
        <v/>
      </c>
      <c r="H1264" s="27" t="str">
        <f aca="false">IF(G1264="","",IF(G1264="?","⚠ pub inconnue",IFERROR(INDEX(Pubs!$B$2:$B$3001,MATCH(G1264,Pubs!$A$2:$A$3001,0))&amp;"","⚠ pub inconnue")))</f>
        <v/>
      </c>
      <c r="I1264" s="27" t="str">
        <f aca="false">IF(OR(G1264="",G1264="?"),"",IFERROR(INDEX(Pubs!$C$2:$C$3001,MATCH(G1264,Pubs!$A$2:$A$3001,0))&amp;"",""))</f>
        <v/>
      </c>
      <c r="J1264" s="27" t="str">
        <f aca="false">IF(OR(G1264="",G1264="?"),"",IFERROR(INDEX(Pubs!$G$2:$G$3001,MATCH(G1264,Pubs!$A$2:$A$3001,0))&amp;"",""))</f>
        <v/>
      </c>
      <c r="K1264" s="28" t="str">
        <f aca="false">IF(OR(G1264="",G1264="?"),"",IFERROR(INDEX(Pubs!$E$2:$E$3001,MATCH(G1264,Pubs!$A$2:$A$3001,0)),""))</f>
        <v/>
      </c>
      <c r="L1264" s="29" t="str">
        <f aca="false">IF(A1264="","",IFERROR(1/(1/INDEX(Numéros!$C$2:$C$3001,MATCH(A1264&amp;"|"&amp;B1264,Numéros!$F$2:$F$3001,0))),""))</f>
        <v/>
      </c>
      <c r="M1264" s="27" t="str">
        <f aca="false">IF(OR(G1264="",G1264="?"),"",IFERROR(INDEX(Pubs!$D$2:$D$3001,MATCH(G1264,Pubs!$A$2:$A$3001,0))&amp;"",""))</f>
        <v/>
      </c>
      <c r="N1264" s="27" t="n">
        <f aca="false">N(N1263)+IF(AND(A1264&lt;&gt;"",OR(Recherche!$C$4="",A1264=Recherche!$C$4),OR(Recherche!$C$5="",B1264&amp;""=Recherche!$C$5&amp;""),OR(Recherche!$C$6="",IFERROR(YEAR(L1264),0)=Recherche!$C$6),OR(Recherche!$C$7="",ISNUMBER(SEARCH(Recherche!$C$7,H1264))),OR(Recherche!$C$8="",J1264=Recherche!$C$8),OR(Recherche!$C$9="",I1264=Recherche!$C$9),OR(Recherche!$C$10="",G1264&amp;""=Recherche!$C$10&amp;""),OR(Recherche!$C$11="",E1264=Recherche!$C$11),OR(Recherche!$C$12="",ISNUMBER(SEARCH(Recherche!$C$12,M1264&amp;" "&amp;F1264)))),1,0)</f>
        <v>8</v>
      </c>
    </row>
    <row r="1265" customFormat="false" ht="15" hidden="false" customHeight="false" outlineLevel="0" collapsed="false">
      <c r="A1265" s="19"/>
      <c r="B1265" s="19"/>
      <c r="C1265" s="19"/>
      <c r="D1265" s="19"/>
      <c r="E1265" s="22"/>
      <c r="F1265" s="19"/>
      <c r="G1265" s="26" t="str">
        <f aca="false">IF(D1265="","",IFERROR(VALUE(LEFT(D1265,FIND(" |",D1265&amp;" |")-1)),"?"))</f>
        <v/>
      </c>
      <c r="H1265" s="27" t="str">
        <f aca="false">IF(G1265="","",IF(G1265="?","⚠ pub inconnue",IFERROR(INDEX(Pubs!$B$2:$B$3001,MATCH(G1265,Pubs!$A$2:$A$3001,0))&amp;"","⚠ pub inconnue")))</f>
        <v/>
      </c>
      <c r="I1265" s="27" t="str">
        <f aca="false">IF(OR(G1265="",G1265="?"),"",IFERROR(INDEX(Pubs!$C$2:$C$3001,MATCH(G1265,Pubs!$A$2:$A$3001,0))&amp;"",""))</f>
        <v/>
      </c>
      <c r="J1265" s="27" t="str">
        <f aca="false">IF(OR(G1265="",G1265="?"),"",IFERROR(INDEX(Pubs!$G$2:$G$3001,MATCH(G1265,Pubs!$A$2:$A$3001,0))&amp;"",""))</f>
        <v/>
      </c>
      <c r="K1265" s="28" t="str">
        <f aca="false">IF(OR(G1265="",G1265="?"),"",IFERROR(INDEX(Pubs!$E$2:$E$3001,MATCH(G1265,Pubs!$A$2:$A$3001,0)),""))</f>
        <v/>
      </c>
      <c r="L1265" s="29" t="str">
        <f aca="false">IF(A1265="","",IFERROR(1/(1/INDEX(Numéros!$C$2:$C$3001,MATCH(A1265&amp;"|"&amp;B1265,Numéros!$F$2:$F$3001,0))),""))</f>
        <v/>
      </c>
      <c r="M1265" s="27" t="str">
        <f aca="false">IF(OR(G1265="",G1265="?"),"",IFERROR(INDEX(Pubs!$D$2:$D$3001,MATCH(G1265,Pubs!$A$2:$A$3001,0))&amp;"",""))</f>
        <v/>
      </c>
      <c r="N1265" s="27" t="n">
        <f aca="false">N(N1264)+IF(AND(A1265&lt;&gt;"",OR(Recherche!$C$4="",A1265=Recherche!$C$4),OR(Recherche!$C$5="",B1265&amp;""=Recherche!$C$5&amp;""),OR(Recherche!$C$6="",IFERROR(YEAR(L1265),0)=Recherche!$C$6),OR(Recherche!$C$7="",ISNUMBER(SEARCH(Recherche!$C$7,H1265))),OR(Recherche!$C$8="",J1265=Recherche!$C$8),OR(Recherche!$C$9="",I1265=Recherche!$C$9),OR(Recherche!$C$10="",G1265&amp;""=Recherche!$C$10&amp;""),OR(Recherche!$C$11="",E1265=Recherche!$C$11),OR(Recherche!$C$12="",ISNUMBER(SEARCH(Recherche!$C$12,M1265&amp;" "&amp;F1265)))),1,0)</f>
        <v>8</v>
      </c>
    </row>
    <row r="1266" customFormat="false" ht="15" hidden="false" customHeight="false" outlineLevel="0" collapsed="false">
      <c r="A1266" s="19"/>
      <c r="B1266" s="19"/>
      <c r="C1266" s="19"/>
      <c r="D1266" s="19"/>
      <c r="E1266" s="22"/>
      <c r="F1266" s="19"/>
      <c r="G1266" s="26" t="str">
        <f aca="false">IF(D1266="","",IFERROR(VALUE(LEFT(D1266,FIND(" |",D1266&amp;" |")-1)),"?"))</f>
        <v/>
      </c>
      <c r="H1266" s="27" t="str">
        <f aca="false">IF(G1266="","",IF(G1266="?","⚠ pub inconnue",IFERROR(INDEX(Pubs!$B$2:$B$3001,MATCH(G1266,Pubs!$A$2:$A$3001,0))&amp;"","⚠ pub inconnue")))</f>
        <v/>
      </c>
      <c r="I1266" s="27" t="str">
        <f aca="false">IF(OR(G1266="",G1266="?"),"",IFERROR(INDEX(Pubs!$C$2:$C$3001,MATCH(G1266,Pubs!$A$2:$A$3001,0))&amp;"",""))</f>
        <v/>
      </c>
      <c r="J1266" s="27" t="str">
        <f aca="false">IF(OR(G1266="",G1266="?"),"",IFERROR(INDEX(Pubs!$G$2:$G$3001,MATCH(G1266,Pubs!$A$2:$A$3001,0))&amp;"",""))</f>
        <v/>
      </c>
      <c r="K1266" s="28" t="str">
        <f aca="false">IF(OR(G1266="",G1266="?"),"",IFERROR(INDEX(Pubs!$E$2:$E$3001,MATCH(G1266,Pubs!$A$2:$A$3001,0)),""))</f>
        <v/>
      </c>
      <c r="L1266" s="29" t="str">
        <f aca="false">IF(A1266="","",IFERROR(1/(1/INDEX(Numéros!$C$2:$C$3001,MATCH(A1266&amp;"|"&amp;B1266,Numéros!$F$2:$F$3001,0))),""))</f>
        <v/>
      </c>
      <c r="M1266" s="27" t="str">
        <f aca="false">IF(OR(G1266="",G1266="?"),"",IFERROR(INDEX(Pubs!$D$2:$D$3001,MATCH(G1266,Pubs!$A$2:$A$3001,0))&amp;"",""))</f>
        <v/>
      </c>
      <c r="N1266" s="27" t="n">
        <f aca="false">N(N1265)+IF(AND(A1266&lt;&gt;"",OR(Recherche!$C$4="",A1266=Recherche!$C$4),OR(Recherche!$C$5="",B1266&amp;""=Recherche!$C$5&amp;""),OR(Recherche!$C$6="",IFERROR(YEAR(L1266),0)=Recherche!$C$6),OR(Recherche!$C$7="",ISNUMBER(SEARCH(Recherche!$C$7,H1266))),OR(Recherche!$C$8="",J1266=Recherche!$C$8),OR(Recherche!$C$9="",I1266=Recherche!$C$9),OR(Recherche!$C$10="",G1266&amp;""=Recherche!$C$10&amp;""),OR(Recherche!$C$11="",E1266=Recherche!$C$11),OR(Recherche!$C$12="",ISNUMBER(SEARCH(Recherche!$C$12,M1266&amp;" "&amp;F1266)))),1,0)</f>
        <v>8</v>
      </c>
    </row>
    <row r="1267" customFormat="false" ht="15" hidden="false" customHeight="false" outlineLevel="0" collapsed="false">
      <c r="A1267" s="19"/>
      <c r="B1267" s="19"/>
      <c r="C1267" s="19"/>
      <c r="D1267" s="19"/>
      <c r="E1267" s="22"/>
      <c r="F1267" s="19"/>
      <c r="G1267" s="26" t="str">
        <f aca="false">IF(D1267="","",IFERROR(VALUE(LEFT(D1267,FIND(" |",D1267&amp;" |")-1)),"?"))</f>
        <v/>
      </c>
      <c r="H1267" s="27" t="str">
        <f aca="false">IF(G1267="","",IF(G1267="?","⚠ pub inconnue",IFERROR(INDEX(Pubs!$B$2:$B$3001,MATCH(G1267,Pubs!$A$2:$A$3001,0))&amp;"","⚠ pub inconnue")))</f>
        <v/>
      </c>
      <c r="I1267" s="27" t="str">
        <f aca="false">IF(OR(G1267="",G1267="?"),"",IFERROR(INDEX(Pubs!$C$2:$C$3001,MATCH(G1267,Pubs!$A$2:$A$3001,0))&amp;"",""))</f>
        <v/>
      </c>
      <c r="J1267" s="27" t="str">
        <f aca="false">IF(OR(G1267="",G1267="?"),"",IFERROR(INDEX(Pubs!$G$2:$G$3001,MATCH(G1267,Pubs!$A$2:$A$3001,0))&amp;"",""))</f>
        <v/>
      </c>
      <c r="K1267" s="28" t="str">
        <f aca="false">IF(OR(G1267="",G1267="?"),"",IFERROR(INDEX(Pubs!$E$2:$E$3001,MATCH(G1267,Pubs!$A$2:$A$3001,0)),""))</f>
        <v/>
      </c>
      <c r="L1267" s="29" t="str">
        <f aca="false">IF(A1267="","",IFERROR(1/(1/INDEX(Numéros!$C$2:$C$3001,MATCH(A1267&amp;"|"&amp;B1267,Numéros!$F$2:$F$3001,0))),""))</f>
        <v/>
      </c>
      <c r="M1267" s="27" t="str">
        <f aca="false">IF(OR(G1267="",G1267="?"),"",IFERROR(INDEX(Pubs!$D$2:$D$3001,MATCH(G1267,Pubs!$A$2:$A$3001,0))&amp;"",""))</f>
        <v/>
      </c>
      <c r="N1267" s="27" t="n">
        <f aca="false">N(N1266)+IF(AND(A1267&lt;&gt;"",OR(Recherche!$C$4="",A1267=Recherche!$C$4),OR(Recherche!$C$5="",B1267&amp;""=Recherche!$C$5&amp;""),OR(Recherche!$C$6="",IFERROR(YEAR(L1267),0)=Recherche!$C$6),OR(Recherche!$C$7="",ISNUMBER(SEARCH(Recherche!$C$7,H1267))),OR(Recherche!$C$8="",J1267=Recherche!$C$8),OR(Recherche!$C$9="",I1267=Recherche!$C$9),OR(Recherche!$C$10="",G1267&amp;""=Recherche!$C$10&amp;""),OR(Recherche!$C$11="",E1267=Recherche!$C$11),OR(Recherche!$C$12="",ISNUMBER(SEARCH(Recherche!$C$12,M1267&amp;" "&amp;F1267)))),1,0)</f>
        <v>8</v>
      </c>
    </row>
    <row r="1268" customFormat="false" ht="15" hidden="false" customHeight="false" outlineLevel="0" collapsed="false">
      <c r="A1268" s="19"/>
      <c r="B1268" s="19"/>
      <c r="C1268" s="19"/>
      <c r="D1268" s="19"/>
      <c r="E1268" s="22"/>
      <c r="F1268" s="19"/>
      <c r="G1268" s="26" t="str">
        <f aca="false">IF(D1268="","",IFERROR(VALUE(LEFT(D1268,FIND(" |",D1268&amp;" |")-1)),"?"))</f>
        <v/>
      </c>
      <c r="H1268" s="27" t="str">
        <f aca="false">IF(G1268="","",IF(G1268="?","⚠ pub inconnue",IFERROR(INDEX(Pubs!$B$2:$B$3001,MATCH(G1268,Pubs!$A$2:$A$3001,0))&amp;"","⚠ pub inconnue")))</f>
        <v/>
      </c>
      <c r="I1268" s="27" t="str">
        <f aca="false">IF(OR(G1268="",G1268="?"),"",IFERROR(INDEX(Pubs!$C$2:$C$3001,MATCH(G1268,Pubs!$A$2:$A$3001,0))&amp;"",""))</f>
        <v/>
      </c>
      <c r="J1268" s="27" t="str">
        <f aca="false">IF(OR(G1268="",G1268="?"),"",IFERROR(INDEX(Pubs!$G$2:$G$3001,MATCH(G1268,Pubs!$A$2:$A$3001,0))&amp;"",""))</f>
        <v/>
      </c>
      <c r="K1268" s="28" t="str">
        <f aca="false">IF(OR(G1268="",G1268="?"),"",IFERROR(INDEX(Pubs!$E$2:$E$3001,MATCH(G1268,Pubs!$A$2:$A$3001,0)),""))</f>
        <v/>
      </c>
      <c r="L1268" s="29" t="str">
        <f aca="false">IF(A1268="","",IFERROR(1/(1/INDEX(Numéros!$C$2:$C$3001,MATCH(A1268&amp;"|"&amp;B1268,Numéros!$F$2:$F$3001,0))),""))</f>
        <v/>
      </c>
      <c r="M1268" s="27" t="str">
        <f aca="false">IF(OR(G1268="",G1268="?"),"",IFERROR(INDEX(Pubs!$D$2:$D$3001,MATCH(G1268,Pubs!$A$2:$A$3001,0))&amp;"",""))</f>
        <v/>
      </c>
      <c r="N1268" s="27" t="n">
        <f aca="false">N(N1267)+IF(AND(A1268&lt;&gt;"",OR(Recherche!$C$4="",A1268=Recherche!$C$4),OR(Recherche!$C$5="",B1268&amp;""=Recherche!$C$5&amp;""),OR(Recherche!$C$6="",IFERROR(YEAR(L1268),0)=Recherche!$C$6),OR(Recherche!$C$7="",ISNUMBER(SEARCH(Recherche!$C$7,H1268))),OR(Recherche!$C$8="",J1268=Recherche!$C$8),OR(Recherche!$C$9="",I1268=Recherche!$C$9),OR(Recherche!$C$10="",G1268&amp;""=Recherche!$C$10&amp;""),OR(Recherche!$C$11="",E1268=Recherche!$C$11),OR(Recherche!$C$12="",ISNUMBER(SEARCH(Recherche!$C$12,M1268&amp;" "&amp;F1268)))),1,0)</f>
        <v>8</v>
      </c>
    </row>
    <row r="1269" customFormat="false" ht="15" hidden="false" customHeight="false" outlineLevel="0" collapsed="false">
      <c r="A1269" s="19"/>
      <c r="B1269" s="19"/>
      <c r="C1269" s="19"/>
      <c r="D1269" s="19"/>
      <c r="E1269" s="22"/>
      <c r="F1269" s="19"/>
      <c r="G1269" s="26" t="str">
        <f aca="false">IF(D1269="","",IFERROR(VALUE(LEFT(D1269,FIND(" |",D1269&amp;" |")-1)),"?"))</f>
        <v/>
      </c>
      <c r="H1269" s="27" t="str">
        <f aca="false">IF(G1269="","",IF(G1269="?","⚠ pub inconnue",IFERROR(INDEX(Pubs!$B$2:$B$3001,MATCH(G1269,Pubs!$A$2:$A$3001,0))&amp;"","⚠ pub inconnue")))</f>
        <v/>
      </c>
      <c r="I1269" s="27" t="str">
        <f aca="false">IF(OR(G1269="",G1269="?"),"",IFERROR(INDEX(Pubs!$C$2:$C$3001,MATCH(G1269,Pubs!$A$2:$A$3001,0))&amp;"",""))</f>
        <v/>
      </c>
      <c r="J1269" s="27" t="str">
        <f aca="false">IF(OR(G1269="",G1269="?"),"",IFERROR(INDEX(Pubs!$G$2:$G$3001,MATCH(G1269,Pubs!$A$2:$A$3001,0))&amp;"",""))</f>
        <v/>
      </c>
      <c r="K1269" s="28" t="str">
        <f aca="false">IF(OR(G1269="",G1269="?"),"",IFERROR(INDEX(Pubs!$E$2:$E$3001,MATCH(G1269,Pubs!$A$2:$A$3001,0)),""))</f>
        <v/>
      </c>
      <c r="L1269" s="29" t="str">
        <f aca="false">IF(A1269="","",IFERROR(1/(1/INDEX(Numéros!$C$2:$C$3001,MATCH(A1269&amp;"|"&amp;B1269,Numéros!$F$2:$F$3001,0))),""))</f>
        <v/>
      </c>
      <c r="M1269" s="27" t="str">
        <f aca="false">IF(OR(G1269="",G1269="?"),"",IFERROR(INDEX(Pubs!$D$2:$D$3001,MATCH(G1269,Pubs!$A$2:$A$3001,0))&amp;"",""))</f>
        <v/>
      </c>
      <c r="N1269" s="27" t="n">
        <f aca="false">N(N1268)+IF(AND(A1269&lt;&gt;"",OR(Recherche!$C$4="",A1269=Recherche!$C$4),OR(Recherche!$C$5="",B1269&amp;""=Recherche!$C$5&amp;""),OR(Recherche!$C$6="",IFERROR(YEAR(L1269),0)=Recherche!$C$6),OR(Recherche!$C$7="",ISNUMBER(SEARCH(Recherche!$C$7,H1269))),OR(Recherche!$C$8="",J1269=Recherche!$C$8),OR(Recherche!$C$9="",I1269=Recherche!$C$9),OR(Recherche!$C$10="",G1269&amp;""=Recherche!$C$10&amp;""),OR(Recherche!$C$11="",E1269=Recherche!$C$11),OR(Recherche!$C$12="",ISNUMBER(SEARCH(Recherche!$C$12,M1269&amp;" "&amp;F1269)))),1,0)</f>
        <v>8</v>
      </c>
    </row>
    <row r="1270" customFormat="false" ht="15" hidden="false" customHeight="false" outlineLevel="0" collapsed="false">
      <c r="A1270" s="19"/>
      <c r="B1270" s="19"/>
      <c r="C1270" s="19"/>
      <c r="D1270" s="19"/>
      <c r="E1270" s="22"/>
      <c r="F1270" s="19"/>
      <c r="G1270" s="26" t="str">
        <f aca="false">IF(D1270="","",IFERROR(VALUE(LEFT(D1270,FIND(" |",D1270&amp;" |")-1)),"?"))</f>
        <v/>
      </c>
      <c r="H1270" s="27" t="str">
        <f aca="false">IF(G1270="","",IF(G1270="?","⚠ pub inconnue",IFERROR(INDEX(Pubs!$B$2:$B$3001,MATCH(G1270,Pubs!$A$2:$A$3001,0))&amp;"","⚠ pub inconnue")))</f>
        <v/>
      </c>
      <c r="I1270" s="27" t="str">
        <f aca="false">IF(OR(G1270="",G1270="?"),"",IFERROR(INDEX(Pubs!$C$2:$C$3001,MATCH(G1270,Pubs!$A$2:$A$3001,0))&amp;"",""))</f>
        <v/>
      </c>
      <c r="J1270" s="27" t="str">
        <f aca="false">IF(OR(G1270="",G1270="?"),"",IFERROR(INDEX(Pubs!$G$2:$G$3001,MATCH(G1270,Pubs!$A$2:$A$3001,0))&amp;"",""))</f>
        <v/>
      </c>
      <c r="K1270" s="28" t="str">
        <f aca="false">IF(OR(G1270="",G1270="?"),"",IFERROR(INDEX(Pubs!$E$2:$E$3001,MATCH(G1270,Pubs!$A$2:$A$3001,0)),""))</f>
        <v/>
      </c>
      <c r="L1270" s="29" t="str">
        <f aca="false">IF(A1270="","",IFERROR(1/(1/INDEX(Numéros!$C$2:$C$3001,MATCH(A1270&amp;"|"&amp;B1270,Numéros!$F$2:$F$3001,0))),""))</f>
        <v/>
      </c>
      <c r="M1270" s="27" t="str">
        <f aca="false">IF(OR(G1270="",G1270="?"),"",IFERROR(INDEX(Pubs!$D$2:$D$3001,MATCH(G1270,Pubs!$A$2:$A$3001,0))&amp;"",""))</f>
        <v/>
      </c>
      <c r="N1270" s="27" t="n">
        <f aca="false">N(N1269)+IF(AND(A1270&lt;&gt;"",OR(Recherche!$C$4="",A1270=Recherche!$C$4),OR(Recherche!$C$5="",B1270&amp;""=Recherche!$C$5&amp;""),OR(Recherche!$C$6="",IFERROR(YEAR(L1270),0)=Recherche!$C$6),OR(Recherche!$C$7="",ISNUMBER(SEARCH(Recherche!$C$7,H1270))),OR(Recherche!$C$8="",J1270=Recherche!$C$8),OR(Recherche!$C$9="",I1270=Recherche!$C$9),OR(Recherche!$C$10="",G1270&amp;""=Recherche!$C$10&amp;""),OR(Recherche!$C$11="",E1270=Recherche!$C$11),OR(Recherche!$C$12="",ISNUMBER(SEARCH(Recherche!$C$12,M1270&amp;" "&amp;F1270)))),1,0)</f>
        <v>8</v>
      </c>
    </row>
    <row r="1271" customFormat="false" ht="15" hidden="false" customHeight="false" outlineLevel="0" collapsed="false">
      <c r="A1271" s="19"/>
      <c r="B1271" s="19"/>
      <c r="C1271" s="19"/>
      <c r="D1271" s="19"/>
      <c r="E1271" s="22"/>
      <c r="F1271" s="19"/>
      <c r="G1271" s="26" t="str">
        <f aca="false">IF(D1271="","",IFERROR(VALUE(LEFT(D1271,FIND(" |",D1271&amp;" |")-1)),"?"))</f>
        <v/>
      </c>
      <c r="H1271" s="27" t="str">
        <f aca="false">IF(G1271="","",IF(G1271="?","⚠ pub inconnue",IFERROR(INDEX(Pubs!$B$2:$B$3001,MATCH(G1271,Pubs!$A$2:$A$3001,0))&amp;"","⚠ pub inconnue")))</f>
        <v/>
      </c>
      <c r="I1271" s="27" t="str">
        <f aca="false">IF(OR(G1271="",G1271="?"),"",IFERROR(INDEX(Pubs!$C$2:$C$3001,MATCH(G1271,Pubs!$A$2:$A$3001,0))&amp;"",""))</f>
        <v/>
      </c>
      <c r="J1271" s="27" t="str">
        <f aca="false">IF(OR(G1271="",G1271="?"),"",IFERROR(INDEX(Pubs!$G$2:$G$3001,MATCH(G1271,Pubs!$A$2:$A$3001,0))&amp;"",""))</f>
        <v/>
      </c>
      <c r="K1271" s="28" t="str">
        <f aca="false">IF(OR(G1271="",G1271="?"),"",IFERROR(INDEX(Pubs!$E$2:$E$3001,MATCH(G1271,Pubs!$A$2:$A$3001,0)),""))</f>
        <v/>
      </c>
      <c r="L1271" s="29" t="str">
        <f aca="false">IF(A1271="","",IFERROR(1/(1/INDEX(Numéros!$C$2:$C$3001,MATCH(A1271&amp;"|"&amp;B1271,Numéros!$F$2:$F$3001,0))),""))</f>
        <v/>
      </c>
      <c r="M1271" s="27" t="str">
        <f aca="false">IF(OR(G1271="",G1271="?"),"",IFERROR(INDEX(Pubs!$D$2:$D$3001,MATCH(G1271,Pubs!$A$2:$A$3001,0))&amp;"",""))</f>
        <v/>
      </c>
      <c r="N1271" s="27" t="n">
        <f aca="false">N(N1270)+IF(AND(A1271&lt;&gt;"",OR(Recherche!$C$4="",A1271=Recherche!$C$4),OR(Recherche!$C$5="",B1271&amp;""=Recherche!$C$5&amp;""),OR(Recherche!$C$6="",IFERROR(YEAR(L1271),0)=Recherche!$C$6),OR(Recherche!$C$7="",ISNUMBER(SEARCH(Recherche!$C$7,H1271))),OR(Recherche!$C$8="",J1271=Recherche!$C$8),OR(Recherche!$C$9="",I1271=Recherche!$C$9),OR(Recherche!$C$10="",G1271&amp;""=Recherche!$C$10&amp;""),OR(Recherche!$C$11="",E1271=Recherche!$C$11),OR(Recherche!$C$12="",ISNUMBER(SEARCH(Recherche!$C$12,M1271&amp;" "&amp;F1271)))),1,0)</f>
        <v>8</v>
      </c>
    </row>
    <row r="1272" customFormat="false" ht="15" hidden="false" customHeight="false" outlineLevel="0" collapsed="false">
      <c r="A1272" s="19"/>
      <c r="B1272" s="19"/>
      <c r="C1272" s="19"/>
      <c r="D1272" s="19"/>
      <c r="E1272" s="22"/>
      <c r="F1272" s="19"/>
      <c r="G1272" s="26" t="str">
        <f aca="false">IF(D1272="","",IFERROR(VALUE(LEFT(D1272,FIND(" |",D1272&amp;" |")-1)),"?"))</f>
        <v/>
      </c>
      <c r="H1272" s="27" t="str">
        <f aca="false">IF(G1272="","",IF(G1272="?","⚠ pub inconnue",IFERROR(INDEX(Pubs!$B$2:$B$3001,MATCH(G1272,Pubs!$A$2:$A$3001,0))&amp;"","⚠ pub inconnue")))</f>
        <v/>
      </c>
      <c r="I1272" s="27" t="str">
        <f aca="false">IF(OR(G1272="",G1272="?"),"",IFERROR(INDEX(Pubs!$C$2:$C$3001,MATCH(G1272,Pubs!$A$2:$A$3001,0))&amp;"",""))</f>
        <v/>
      </c>
      <c r="J1272" s="27" t="str">
        <f aca="false">IF(OR(G1272="",G1272="?"),"",IFERROR(INDEX(Pubs!$G$2:$G$3001,MATCH(G1272,Pubs!$A$2:$A$3001,0))&amp;"",""))</f>
        <v/>
      </c>
      <c r="K1272" s="28" t="str">
        <f aca="false">IF(OR(G1272="",G1272="?"),"",IFERROR(INDEX(Pubs!$E$2:$E$3001,MATCH(G1272,Pubs!$A$2:$A$3001,0)),""))</f>
        <v/>
      </c>
      <c r="L1272" s="29" t="str">
        <f aca="false">IF(A1272="","",IFERROR(1/(1/INDEX(Numéros!$C$2:$C$3001,MATCH(A1272&amp;"|"&amp;B1272,Numéros!$F$2:$F$3001,0))),""))</f>
        <v/>
      </c>
      <c r="M1272" s="27" t="str">
        <f aca="false">IF(OR(G1272="",G1272="?"),"",IFERROR(INDEX(Pubs!$D$2:$D$3001,MATCH(G1272,Pubs!$A$2:$A$3001,0))&amp;"",""))</f>
        <v/>
      </c>
      <c r="N1272" s="27" t="n">
        <f aca="false">N(N1271)+IF(AND(A1272&lt;&gt;"",OR(Recherche!$C$4="",A1272=Recherche!$C$4),OR(Recherche!$C$5="",B1272&amp;""=Recherche!$C$5&amp;""),OR(Recherche!$C$6="",IFERROR(YEAR(L1272),0)=Recherche!$C$6),OR(Recherche!$C$7="",ISNUMBER(SEARCH(Recherche!$C$7,H1272))),OR(Recherche!$C$8="",J1272=Recherche!$C$8),OR(Recherche!$C$9="",I1272=Recherche!$C$9),OR(Recherche!$C$10="",G1272&amp;""=Recherche!$C$10&amp;""),OR(Recherche!$C$11="",E1272=Recherche!$C$11),OR(Recherche!$C$12="",ISNUMBER(SEARCH(Recherche!$C$12,M1272&amp;" "&amp;F1272)))),1,0)</f>
        <v>8</v>
      </c>
    </row>
    <row r="1273" customFormat="false" ht="15" hidden="false" customHeight="false" outlineLevel="0" collapsed="false">
      <c r="A1273" s="19"/>
      <c r="B1273" s="19"/>
      <c r="C1273" s="19"/>
      <c r="D1273" s="19"/>
      <c r="E1273" s="22"/>
      <c r="F1273" s="19"/>
      <c r="G1273" s="26" t="str">
        <f aca="false">IF(D1273="","",IFERROR(VALUE(LEFT(D1273,FIND(" |",D1273&amp;" |")-1)),"?"))</f>
        <v/>
      </c>
      <c r="H1273" s="27" t="str">
        <f aca="false">IF(G1273="","",IF(G1273="?","⚠ pub inconnue",IFERROR(INDEX(Pubs!$B$2:$B$3001,MATCH(G1273,Pubs!$A$2:$A$3001,0))&amp;"","⚠ pub inconnue")))</f>
        <v/>
      </c>
      <c r="I1273" s="27" t="str">
        <f aca="false">IF(OR(G1273="",G1273="?"),"",IFERROR(INDEX(Pubs!$C$2:$C$3001,MATCH(G1273,Pubs!$A$2:$A$3001,0))&amp;"",""))</f>
        <v/>
      </c>
      <c r="J1273" s="27" t="str">
        <f aca="false">IF(OR(G1273="",G1273="?"),"",IFERROR(INDEX(Pubs!$G$2:$G$3001,MATCH(G1273,Pubs!$A$2:$A$3001,0))&amp;"",""))</f>
        <v/>
      </c>
      <c r="K1273" s="28" t="str">
        <f aca="false">IF(OR(G1273="",G1273="?"),"",IFERROR(INDEX(Pubs!$E$2:$E$3001,MATCH(G1273,Pubs!$A$2:$A$3001,0)),""))</f>
        <v/>
      </c>
      <c r="L1273" s="29" t="str">
        <f aca="false">IF(A1273="","",IFERROR(1/(1/INDEX(Numéros!$C$2:$C$3001,MATCH(A1273&amp;"|"&amp;B1273,Numéros!$F$2:$F$3001,0))),""))</f>
        <v/>
      </c>
      <c r="M1273" s="27" t="str">
        <f aca="false">IF(OR(G1273="",G1273="?"),"",IFERROR(INDEX(Pubs!$D$2:$D$3001,MATCH(G1273,Pubs!$A$2:$A$3001,0))&amp;"",""))</f>
        <v/>
      </c>
      <c r="N1273" s="27" t="n">
        <f aca="false">N(N1272)+IF(AND(A1273&lt;&gt;"",OR(Recherche!$C$4="",A1273=Recherche!$C$4),OR(Recherche!$C$5="",B1273&amp;""=Recherche!$C$5&amp;""),OR(Recherche!$C$6="",IFERROR(YEAR(L1273),0)=Recherche!$C$6),OR(Recherche!$C$7="",ISNUMBER(SEARCH(Recherche!$C$7,H1273))),OR(Recherche!$C$8="",J1273=Recherche!$C$8),OR(Recherche!$C$9="",I1273=Recherche!$C$9),OR(Recherche!$C$10="",G1273&amp;""=Recherche!$C$10&amp;""),OR(Recherche!$C$11="",E1273=Recherche!$C$11),OR(Recherche!$C$12="",ISNUMBER(SEARCH(Recherche!$C$12,M1273&amp;" "&amp;F1273)))),1,0)</f>
        <v>8</v>
      </c>
    </row>
    <row r="1274" customFormat="false" ht="15" hidden="false" customHeight="false" outlineLevel="0" collapsed="false">
      <c r="A1274" s="19"/>
      <c r="B1274" s="19"/>
      <c r="C1274" s="19"/>
      <c r="D1274" s="19"/>
      <c r="E1274" s="22"/>
      <c r="F1274" s="19"/>
      <c r="G1274" s="26" t="str">
        <f aca="false">IF(D1274="","",IFERROR(VALUE(LEFT(D1274,FIND(" |",D1274&amp;" |")-1)),"?"))</f>
        <v/>
      </c>
      <c r="H1274" s="27" t="str">
        <f aca="false">IF(G1274="","",IF(G1274="?","⚠ pub inconnue",IFERROR(INDEX(Pubs!$B$2:$B$3001,MATCH(G1274,Pubs!$A$2:$A$3001,0))&amp;"","⚠ pub inconnue")))</f>
        <v/>
      </c>
      <c r="I1274" s="27" t="str">
        <f aca="false">IF(OR(G1274="",G1274="?"),"",IFERROR(INDEX(Pubs!$C$2:$C$3001,MATCH(G1274,Pubs!$A$2:$A$3001,0))&amp;"",""))</f>
        <v/>
      </c>
      <c r="J1274" s="27" t="str">
        <f aca="false">IF(OR(G1274="",G1274="?"),"",IFERROR(INDEX(Pubs!$G$2:$G$3001,MATCH(G1274,Pubs!$A$2:$A$3001,0))&amp;"",""))</f>
        <v/>
      </c>
      <c r="K1274" s="28" t="str">
        <f aca="false">IF(OR(G1274="",G1274="?"),"",IFERROR(INDEX(Pubs!$E$2:$E$3001,MATCH(G1274,Pubs!$A$2:$A$3001,0)),""))</f>
        <v/>
      </c>
      <c r="L1274" s="29" t="str">
        <f aca="false">IF(A1274="","",IFERROR(1/(1/INDEX(Numéros!$C$2:$C$3001,MATCH(A1274&amp;"|"&amp;B1274,Numéros!$F$2:$F$3001,0))),""))</f>
        <v/>
      </c>
      <c r="M1274" s="27" t="str">
        <f aca="false">IF(OR(G1274="",G1274="?"),"",IFERROR(INDEX(Pubs!$D$2:$D$3001,MATCH(G1274,Pubs!$A$2:$A$3001,0))&amp;"",""))</f>
        <v/>
      </c>
      <c r="N1274" s="27" t="n">
        <f aca="false">N(N1273)+IF(AND(A1274&lt;&gt;"",OR(Recherche!$C$4="",A1274=Recherche!$C$4),OR(Recherche!$C$5="",B1274&amp;""=Recherche!$C$5&amp;""),OR(Recherche!$C$6="",IFERROR(YEAR(L1274),0)=Recherche!$C$6),OR(Recherche!$C$7="",ISNUMBER(SEARCH(Recherche!$C$7,H1274))),OR(Recherche!$C$8="",J1274=Recherche!$C$8),OR(Recherche!$C$9="",I1274=Recherche!$C$9),OR(Recherche!$C$10="",G1274&amp;""=Recherche!$C$10&amp;""),OR(Recherche!$C$11="",E1274=Recherche!$C$11),OR(Recherche!$C$12="",ISNUMBER(SEARCH(Recherche!$C$12,M1274&amp;" "&amp;F1274)))),1,0)</f>
        <v>8</v>
      </c>
    </row>
    <row r="1275" customFormat="false" ht="15" hidden="false" customHeight="false" outlineLevel="0" collapsed="false">
      <c r="A1275" s="19"/>
      <c r="B1275" s="19"/>
      <c r="C1275" s="19"/>
      <c r="D1275" s="19"/>
      <c r="E1275" s="22"/>
      <c r="F1275" s="19"/>
      <c r="G1275" s="26" t="str">
        <f aca="false">IF(D1275="","",IFERROR(VALUE(LEFT(D1275,FIND(" |",D1275&amp;" |")-1)),"?"))</f>
        <v/>
      </c>
      <c r="H1275" s="27" t="str">
        <f aca="false">IF(G1275="","",IF(G1275="?","⚠ pub inconnue",IFERROR(INDEX(Pubs!$B$2:$B$3001,MATCH(G1275,Pubs!$A$2:$A$3001,0))&amp;"","⚠ pub inconnue")))</f>
        <v/>
      </c>
      <c r="I1275" s="27" t="str">
        <f aca="false">IF(OR(G1275="",G1275="?"),"",IFERROR(INDEX(Pubs!$C$2:$C$3001,MATCH(G1275,Pubs!$A$2:$A$3001,0))&amp;"",""))</f>
        <v/>
      </c>
      <c r="J1275" s="27" t="str">
        <f aca="false">IF(OR(G1275="",G1275="?"),"",IFERROR(INDEX(Pubs!$G$2:$G$3001,MATCH(G1275,Pubs!$A$2:$A$3001,0))&amp;"",""))</f>
        <v/>
      </c>
      <c r="K1275" s="28" t="str">
        <f aca="false">IF(OR(G1275="",G1275="?"),"",IFERROR(INDEX(Pubs!$E$2:$E$3001,MATCH(G1275,Pubs!$A$2:$A$3001,0)),""))</f>
        <v/>
      </c>
      <c r="L1275" s="29" t="str">
        <f aca="false">IF(A1275="","",IFERROR(1/(1/INDEX(Numéros!$C$2:$C$3001,MATCH(A1275&amp;"|"&amp;B1275,Numéros!$F$2:$F$3001,0))),""))</f>
        <v/>
      </c>
      <c r="M1275" s="27" t="str">
        <f aca="false">IF(OR(G1275="",G1275="?"),"",IFERROR(INDEX(Pubs!$D$2:$D$3001,MATCH(G1275,Pubs!$A$2:$A$3001,0))&amp;"",""))</f>
        <v/>
      </c>
      <c r="N1275" s="27" t="n">
        <f aca="false">N(N1274)+IF(AND(A1275&lt;&gt;"",OR(Recherche!$C$4="",A1275=Recherche!$C$4),OR(Recherche!$C$5="",B1275&amp;""=Recherche!$C$5&amp;""),OR(Recherche!$C$6="",IFERROR(YEAR(L1275),0)=Recherche!$C$6),OR(Recherche!$C$7="",ISNUMBER(SEARCH(Recherche!$C$7,H1275))),OR(Recherche!$C$8="",J1275=Recherche!$C$8),OR(Recherche!$C$9="",I1275=Recherche!$C$9),OR(Recherche!$C$10="",G1275&amp;""=Recherche!$C$10&amp;""),OR(Recherche!$C$11="",E1275=Recherche!$C$11),OR(Recherche!$C$12="",ISNUMBER(SEARCH(Recherche!$C$12,M1275&amp;" "&amp;F1275)))),1,0)</f>
        <v>8</v>
      </c>
    </row>
    <row r="1276" customFormat="false" ht="15" hidden="false" customHeight="false" outlineLevel="0" collapsed="false">
      <c r="A1276" s="19"/>
      <c r="B1276" s="19"/>
      <c r="C1276" s="19"/>
      <c r="D1276" s="19"/>
      <c r="E1276" s="22"/>
      <c r="F1276" s="19"/>
      <c r="G1276" s="26" t="str">
        <f aca="false">IF(D1276="","",IFERROR(VALUE(LEFT(D1276,FIND(" |",D1276&amp;" |")-1)),"?"))</f>
        <v/>
      </c>
      <c r="H1276" s="27" t="str">
        <f aca="false">IF(G1276="","",IF(G1276="?","⚠ pub inconnue",IFERROR(INDEX(Pubs!$B$2:$B$3001,MATCH(G1276,Pubs!$A$2:$A$3001,0))&amp;"","⚠ pub inconnue")))</f>
        <v/>
      </c>
      <c r="I1276" s="27" t="str">
        <f aca="false">IF(OR(G1276="",G1276="?"),"",IFERROR(INDEX(Pubs!$C$2:$C$3001,MATCH(G1276,Pubs!$A$2:$A$3001,0))&amp;"",""))</f>
        <v/>
      </c>
      <c r="J1276" s="27" t="str">
        <f aca="false">IF(OR(G1276="",G1276="?"),"",IFERROR(INDEX(Pubs!$G$2:$G$3001,MATCH(G1276,Pubs!$A$2:$A$3001,0))&amp;"",""))</f>
        <v/>
      </c>
      <c r="K1276" s="28" t="str">
        <f aca="false">IF(OR(G1276="",G1276="?"),"",IFERROR(INDEX(Pubs!$E$2:$E$3001,MATCH(G1276,Pubs!$A$2:$A$3001,0)),""))</f>
        <v/>
      </c>
      <c r="L1276" s="29" t="str">
        <f aca="false">IF(A1276="","",IFERROR(1/(1/INDEX(Numéros!$C$2:$C$3001,MATCH(A1276&amp;"|"&amp;B1276,Numéros!$F$2:$F$3001,0))),""))</f>
        <v/>
      </c>
      <c r="M1276" s="27" t="str">
        <f aca="false">IF(OR(G1276="",G1276="?"),"",IFERROR(INDEX(Pubs!$D$2:$D$3001,MATCH(G1276,Pubs!$A$2:$A$3001,0))&amp;"",""))</f>
        <v/>
      </c>
      <c r="N1276" s="27" t="n">
        <f aca="false">N(N1275)+IF(AND(A1276&lt;&gt;"",OR(Recherche!$C$4="",A1276=Recherche!$C$4),OR(Recherche!$C$5="",B1276&amp;""=Recherche!$C$5&amp;""),OR(Recherche!$C$6="",IFERROR(YEAR(L1276),0)=Recherche!$C$6),OR(Recherche!$C$7="",ISNUMBER(SEARCH(Recherche!$C$7,H1276))),OR(Recherche!$C$8="",J1276=Recherche!$C$8),OR(Recherche!$C$9="",I1276=Recherche!$C$9),OR(Recherche!$C$10="",G1276&amp;""=Recherche!$C$10&amp;""),OR(Recherche!$C$11="",E1276=Recherche!$C$11),OR(Recherche!$C$12="",ISNUMBER(SEARCH(Recherche!$C$12,M1276&amp;" "&amp;F1276)))),1,0)</f>
        <v>8</v>
      </c>
    </row>
    <row r="1277" customFormat="false" ht="15" hidden="false" customHeight="false" outlineLevel="0" collapsed="false">
      <c r="A1277" s="19"/>
      <c r="B1277" s="19"/>
      <c r="C1277" s="19"/>
      <c r="D1277" s="19"/>
      <c r="E1277" s="22"/>
      <c r="F1277" s="19"/>
      <c r="G1277" s="26" t="str">
        <f aca="false">IF(D1277="","",IFERROR(VALUE(LEFT(D1277,FIND(" |",D1277&amp;" |")-1)),"?"))</f>
        <v/>
      </c>
      <c r="H1277" s="27" t="str">
        <f aca="false">IF(G1277="","",IF(G1277="?","⚠ pub inconnue",IFERROR(INDEX(Pubs!$B$2:$B$3001,MATCH(G1277,Pubs!$A$2:$A$3001,0))&amp;"","⚠ pub inconnue")))</f>
        <v/>
      </c>
      <c r="I1277" s="27" t="str">
        <f aca="false">IF(OR(G1277="",G1277="?"),"",IFERROR(INDEX(Pubs!$C$2:$C$3001,MATCH(G1277,Pubs!$A$2:$A$3001,0))&amp;"",""))</f>
        <v/>
      </c>
      <c r="J1277" s="27" t="str">
        <f aca="false">IF(OR(G1277="",G1277="?"),"",IFERROR(INDEX(Pubs!$G$2:$G$3001,MATCH(G1277,Pubs!$A$2:$A$3001,0))&amp;"",""))</f>
        <v/>
      </c>
      <c r="K1277" s="28" t="str">
        <f aca="false">IF(OR(G1277="",G1277="?"),"",IFERROR(INDEX(Pubs!$E$2:$E$3001,MATCH(G1277,Pubs!$A$2:$A$3001,0)),""))</f>
        <v/>
      </c>
      <c r="L1277" s="29" t="str">
        <f aca="false">IF(A1277="","",IFERROR(1/(1/INDEX(Numéros!$C$2:$C$3001,MATCH(A1277&amp;"|"&amp;B1277,Numéros!$F$2:$F$3001,0))),""))</f>
        <v/>
      </c>
      <c r="M1277" s="27" t="str">
        <f aca="false">IF(OR(G1277="",G1277="?"),"",IFERROR(INDEX(Pubs!$D$2:$D$3001,MATCH(G1277,Pubs!$A$2:$A$3001,0))&amp;"",""))</f>
        <v/>
      </c>
      <c r="N1277" s="27" t="n">
        <f aca="false">N(N1276)+IF(AND(A1277&lt;&gt;"",OR(Recherche!$C$4="",A1277=Recherche!$C$4),OR(Recherche!$C$5="",B1277&amp;""=Recherche!$C$5&amp;""),OR(Recherche!$C$6="",IFERROR(YEAR(L1277),0)=Recherche!$C$6),OR(Recherche!$C$7="",ISNUMBER(SEARCH(Recherche!$C$7,H1277))),OR(Recherche!$C$8="",J1277=Recherche!$C$8),OR(Recherche!$C$9="",I1277=Recherche!$C$9),OR(Recherche!$C$10="",G1277&amp;""=Recherche!$C$10&amp;""),OR(Recherche!$C$11="",E1277=Recherche!$C$11),OR(Recherche!$C$12="",ISNUMBER(SEARCH(Recherche!$C$12,M1277&amp;" "&amp;F1277)))),1,0)</f>
        <v>8</v>
      </c>
    </row>
    <row r="1278" customFormat="false" ht="15" hidden="false" customHeight="false" outlineLevel="0" collapsed="false">
      <c r="A1278" s="19"/>
      <c r="B1278" s="19"/>
      <c r="C1278" s="19"/>
      <c r="D1278" s="19"/>
      <c r="E1278" s="22"/>
      <c r="F1278" s="19"/>
      <c r="G1278" s="26" t="str">
        <f aca="false">IF(D1278="","",IFERROR(VALUE(LEFT(D1278,FIND(" |",D1278&amp;" |")-1)),"?"))</f>
        <v/>
      </c>
      <c r="H1278" s="27" t="str">
        <f aca="false">IF(G1278="","",IF(G1278="?","⚠ pub inconnue",IFERROR(INDEX(Pubs!$B$2:$B$3001,MATCH(G1278,Pubs!$A$2:$A$3001,0))&amp;"","⚠ pub inconnue")))</f>
        <v/>
      </c>
      <c r="I1278" s="27" t="str">
        <f aca="false">IF(OR(G1278="",G1278="?"),"",IFERROR(INDEX(Pubs!$C$2:$C$3001,MATCH(G1278,Pubs!$A$2:$A$3001,0))&amp;"",""))</f>
        <v/>
      </c>
      <c r="J1278" s="27" t="str">
        <f aca="false">IF(OR(G1278="",G1278="?"),"",IFERROR(INDEX(Pubs!$G$2:$G$3001,MATCH(G1278,Pubs!$A$2:$A$3001,0))&amp;"",""))</f>
        <v/>
      </c>
      <c r="K1278" s="28" t="str">
        <f aca="false">IF(OR(G1278="",G1278="?"),"",IFERROR(INDEX(Pubs!$E$2:$E$3001,MATCH(G1278,Pubs!$A$2:$A$3001,0)),""))</f>
        <v/>
      </c>
      <c r="L1278" s="29" t="str">
        <f aca="false">IF(A1278="","",IFERROR(1/(1/INDEX(Numéros!$C$2:$C$3001,MATCH(A1278&amp;"|"&amp;B1278,Numéros!$F$2:$F$3001,0))),""))</f>
        <v/>
      </c>
      <c r="M1278" s="27" t="str">
        <f aca="false">IF(OR(G1278="",G1278="?"),"",IFERROR(INDEX(Pubs!$D$2:$D$3001,MATCH(G1278,Pubs!$A$2:$A$3001,0))&amp;"",""))</f>
        <v/>
      </c>
      <c r="N1278" s="27" t="n">
        <f aca="false">N(N1277)+IF(AND(A1278&lt;&gt;"",OR(Recherche!$C$4="",A1278=Recherche!$C$4),OR(Recherche!$C$5="",B1278&amp;""=Recherche!$C$5&amp;""),OR(Recherche!$C$6="",IFERROR(YEAR(L1278),0)=Recherche!$C$6),OR(Recherche!$C$7="",ISNUMBER(SEARCH(Recherche!$C$7,H1278))),OR(Recherche!$C$8="",J1278=Recherche!$C$8),OR(Recherche!$C$9="",I1278=Recherche!$C$9),OR(Recherche!$C$10="",G1278&amp;""=Recherche!$C$10&amp;""),OR(Recherche!$C$11="",E1278=Recherche!$C$11),OR(Recherche!$C$12="",ISNUMBER(SEARCH(Recherche!$C$12,M1278&amp;" "&amp;F1278)))),1,0)</f>
        <v>8</v>
      </c>
    </row>
    <row r="1279" customFormat="false" ht="15" hidden="false" customHeight="false" outlineLevel="0" collapsed="false">
      <c r="A1279" s="19"/>
      <c r="B1279" s="19"/>
      <c r="C1279" s="19"/>
      <c r="D1279" s="19"/>
      <c r="E1279" s="22"/>
      <c r="F1279" s="19"/>
      <c r="G1279" s="26" t="str">
        <f aca="false">IF(D1279="","",IFERROR(VALUE(LEFT(D1279,FIND(" |",D1279&amp;" |")-1)),"?"))</f>
        <v/>
      </c>
      <c r="H1279" s="27" t="str">
        <f aca="false">IF(G1279="","",IF(G1279="?","⚠ pub inconnue",IFERROR(INDEX(Pubs!$B$2:$B$3001,MATCH(G1279,Pubs!$A$2:$A$3001,0))&amp;"","⚠ pub inconnue")))</f>
        <v/>
      </c>
      <c r="I1279" s="27" t="str">
        <f aca="false">IF(OR(G1279="",G1279="?"),"",IFERROR(INDEX(Pubs!$C$2:$C$3001,MATCH(G1279,Pubs!$A$2:$A$3001,0))&amp;"",""))</f>
        <v/>
      </c>
      <c r="J1279" s="27" t="str">
        <f aca="false">IF(OR(G1279="",G1279="?"),"",IFERROR(INDEX(Pubs!$G$2:$G$3001,MATCH(G1279,Pubs!$A$2:$A$3001,0))&amp;"",""))</f>
        <v/>
      </c>
      <c r="K1279" s="28" t="str">
        <f aca="false">IF(OR(G1279="",G1279="?"),"",IFERROR(INDEX(Pubs!$E$2:$E$3001,MATCH(G1279,Pubs!$A$2:$A$3001,0)),""))</f>
        <v/>
      </c>
      <c r="L1279" s="29" t="str">
        <f aca="false">IF(A1279="","",IFERROR(1/(1/INDEX(Numéros!$C$2:$C$3001,MATCH(A1279&amp;"|"&amp;B1279,Numéros!$F$2:$F$3001,0))),""))</f>
        <v/>
      </c>
      <c r="M1279" s="27" t="str">
        <f aca="false">IF(OR(G1279="",G1279="?"),"",IFERROR(INDEX(Pubs!$D$2:$D$3001,MATCH(G1279,Pubs!$A$2:$A$3001,0))&amp;"",""))</f>
        <v/>
      </c>
      <c r="N1279" s="27" t="n">
        <f aca="false">N(N1278)+IF(AND(A1279&lt;&gt;"",OR(Recherche!$C$4="",A1279=Recherche!$C$4),OR(Recherche!$C$5="",B1279&amp;""=Recherche!$C$5&amp;""),OR(Recherche!$C$6="",IFERROR(YEAR(L1279),0)=Recherche!$C$6),OR(Recherche!$C$7="",ISNUMBER(SEARCH(Recherche!$C$7,H1279))),OR(Recherche!$C$8="",J1279=Recherche!$C$8),OR(Recherche!$C$9="",I1279=Recherche!$C$9),OR(Recherche!$C$10="",G1279&amp;""=Recherche!$C$10&amp;""),OR(Recherche!$C$11="",E1279=Recherche!$C$11),OR(Recherche!$C$12="",ISNUMBER(SEARCH(Recherche!$C$12,M1279&amp;" "&amp;F1279)))),1,0)</f>
        <v>8</v>
      </c>
    </row>
    <row r="1280" customFormat="false" ht="15" hidden="false" customHeight="false" outlineLevel="0" collapsed="false">
      <c r="A1280" s="19"/>
      <c r="B1280" s="19"/>
      <c r="C1280" s="19"/>
      <c r="D1280" s="19"/>
      <c r="E1280" s="22"/>
      <c r="F1280" s="19"/>
      <c r="G1280" s="26" t="str">
        <f aca="false">IF(D1280="","",IFERROR(VALUE(LEFT(D1280,FIND(" |",D1280&amp;" |")-1)),"?"))</f>
        <v/>
      </c>
      <c r="H1280" s="27" t="str">
        <f aca="false">IF(G1280="","",IF(G1280="?","⚠ pub inconnue",IFERROR(INDEX(Pubs!$B$2:$B$3001,MATCH(G1280,Pubs!$A$2:$A$3001,0))&amp;"","⚠ pub inconnue")))</f>
        <v/>
      </c>
      <c r="I1280" s="27" t="str">
        <f aca="false">IF(OR(G1280="",G1280="?"),"",IFERROR(INDEX(Pubs!$C$2:$C$3001,MATCH(G1280,Pubs!$A$2:$A$3001,0))&amp;"",""))</f>
        <v/>
      </c>
      <c r="J1280" s="27" t="str">
        <f aca="false">IF(OR(G1280="",G1280="?"),"",IFERROR(INDEX(Pubs!$G$2:$G$3001,MATCH(G1280,Pubs!$A$2:$A$3001,0))&amp;"",""))</f>
        <v/>
      </c>
      <c r="K1280" s="28" t="str">
        <f aca="false">IF(OR(G1280="",G1280="?"),"",IFERROR(INDEX(Pubs!$E$2:$E$3001,MATCH(G1280,Pubs!$A$2:$A$3001,0)),""))</f>
        <v/>
      </c>
      <c r="L1280" s="29" t="str">
        <f aca="false">IF(A1280="","",IFERROR(1/(1/INDEX(Numéros!$C$2:$C$3001,MATCH(A1280&amp;"|"&amp;B1280,Numéros!$F$2:$F$3001,0))),""))</f>
        <v/>
      </c>
      <c r="M1280" s="27" t="str">
        <f aca="false">IF(OR(G1280="",G1280="?"),"",IFERROR(INDEX(Pubs!$D$2:$D$3001,MATCH(G1280,Pubs!$A$2:$A$3001,0))&amp;"",""))</f>
        <v/>
      </c>
      <c r="N1280" s="27" t="n">
        <f aca="false">N(N1279)+IF(AND(A1280&lt;&gt;"",OR(Recherche!$C$4="",A1280=Recherche!$C$4),OR(Recherche!$C$5="",B1280&amp;""=Recherche!$C$5&amp;""),OR(Recherche!$C$6="",IFERROR(YEAR(L1280),0)=Recherche!$C$6),OR(Recherche!$C$7="",ISNUMBER(SEARCH(Recherche!$C$7,H1280))),OR(Recherche!$C$8="",J1280=Recherche!$C$8),OR(Recherche!$C$9="",I1280=Recherche!$C$9),OR(Recherche!$C$10="",G1280&amp;""=Recherche!$C$10&amp;""),OR(Recherche!$C$11="",E1280=Recherche!$C$11),OR(Recherche!$C$12="",ISNUMBER(SEARCH(Recherche!$C$12,M1280&amp;" "&amp;F1280)))),1,0)</f>
        <v>8</v>
      </c>
    </row>
    <row r="1281" customFormat="false" ht="15" hidden="false" customHeight="false" outlineLevel="0" collapsed="false">
      <c r="A1281" s="19"/>
      <c r="B1281" s="19"/>
      <c r="C1281" s="19"/>
      <c r="D1281" s="19"/>
      <c r="E1281" s="22"/>
      <c r="F1281" s="19"/>
      <c r="G1281" s="26" t="str">
        <f aca="false">IF(D1281="","",IFERROR(VALUE(LEFT(D1281,FIND(" |",D1281&amp;" |")-1)),"?"))</f>
        <v/>
      </c>
      <c r="H1281" s="27" t="str">
        <f aca="false">IF(G1281="","",IF(G1281="?","⚠ pub inconnue",IFERROR(INDEX(Pubs!$B$2:$B$3001,MATCH(G1281,Pubs!$A$2:$A$3001,0))&amp;"","⚠ pub inconnue")))</f>
        <v/>
      </c>
      <c r="I1281" s="27" t="str">
        <f aca="false">IF(OR(G1281="",G1281="?"),"",IFERROR(INDEX(Pubs!$C$2:$C$3001,MATCH(G1281,Pubs!$A$2:$A$3001,0))&amp;"",""))</f>
        <v/>
      </c>
      <c r="J1281" s="27" t="str">
        <f aca="false">IF(OR(G1281="",G1281="?"),"",IFERROR(INDEX(Pubs!$G$2:$G$3001,MATCH(G1281,Pubs!$A$2:$A$3001,0))&amp;"",""))</f>
        <v/>
      </c>
      <c r="K1281" s="28" t="str">
        <f aca="false">IF(OR(G1281="",G1281="?"),"",IFERROR(INDEX(Pubs!$E$2:$E$3001,MATCH(G1281,Pubs!$A$2:$A$3001,0)),""))</f>
        <v/>
      </c>
      <c r="L1281" s="29" t="str">
        <f aca="false">IF(A1281="","",IFERROR(1/(1/INDEX(Numéros!$C$2:$C$3001,MATCH(A1281&amp;"|"&amp;B1281,Numéros!$F$2:$F$3001,0))),""))</f>
        <v/>
      </c>
      <c r="M1281" s="27" t="str">
        <f aca="false">IF(OR(G1281="",G1281="?"),"",IFERROR(INDEX(Pubs!$D$2:$D$3001,MATCH(G1281,Pubs!$A$2:$A$3001,0))&amp;"",""))</f>
        <v/>
      </c>
      <c r="N1281" s="27" t="n">
        <f aca="false">N(N1280)+IF(AND(A1281&lt;&gt;"",OR(Recherche!$C$4="",A1281=Recherche!$C$4),OR(Recherche!$C$5="",B1281&amp;""=Recherche!$C$5&amp;""),OR(Recherche!$C$6="",IFERROR(YEAR(L1281),0)=Recherche!$C$6),OR(Recherche!$C$7="",ISNUMBER(SEARCH(Recherche!$C$7,H1281))),OR(Recherche!$C$8="",J1281=Recherche!$C$8),OR(Recherche!$C$9="",I1281=Recherche!$C$9),OR(Recherche!$C$10="",G1281&amp;""=Recherche!$C$10&amp;""),OR(Recherche!$C$11="",E1281=Recherche!$C$11),OR(Recherche!$C$12="",ISNUMBER(SEARCH(Recherche!$C$12,M1281&amp;" "&amp;F1281)))),1,0)</f>
        <v>8</v>
      </c>
    </row>
    <row r="1282" customFormat="false" ht="15" hidden="false" customHeight="false" outlineLevel="0" collapsed="false">
      <c r="A1282" s="19"/>
      <c r="B1282" s="19"/>
      <c r="C1282" s="19"/>
      <c r="D1282" s="19"/>
      <c r="E1282" s="22"/>
      <c r="F1282" s="19"/>
      <c r="G1282" s="26" t="str">
        <f aca="false">IF(D1282="","",IFERROR(VALUE(LEFT(D1282,FIND(" |",D1282&amp;" |")-1)),"?"))</f>
        <v/>
      </c>
      <c r="H1282" s="27" t="str">
        <f aca="false">IF(G1282="","",IF(G1282="?","⚠ pub inconnue",IFERROR(INDEX(Pubs!$B$2:$B$3001,MATCH(G1282,Pubs!$A$2:$A$3001,0))&amp;"","⚠ pub inconnue")))</f>
        <v/>
      </c>
      <c r="I1282" s="27" t="str">
        <f aca="false">IF(OR(G1282="",G1282="?"),"",IFERROR(INDEX(Pubs!$C$2:$C$3001,MATCH(G1282,Pubs!$A$2:$A$3001,0))&amp;"",""))</f>
        <v/>
      </c>
      <c r="J1282" s="27" t="str">
        <f aca="false">IF(OR(G1282="",G1282="?"),"",IFERROR(INDEX(Pubs!$G$2:$G$3001,MATCH(G1282,Pubs!$A$2:$A$3001,0))&amp;"",""))</f>
        <v/>
      </c>
      <c r="K1282" s="28" t="str">
        <f aca="false">IF(OR(G1282="",G1282="?"),"",IFERROR(INDEX(Pubs!$E$2:$E$3001,MATCH(G1282,Pubs!$A$2:$A$3001,0)),""))</f>
        <v/>
      </c>
      <c r="L1282" s="29" t="str">
        <f aca="false">IF(A1282="","",IFERROR(1/(1/INDEX(Numéros!$C$2:$C$3001,MATCH(A1282&amp;"|"&amp;B1282,Numéros!$F$2:$F$3001,0))),""))</f>
        <v/>
      </c>
      <c r="M1282" s="27" t="str">
        <f aca="false">IF(OR(G1282="",G1282="?"),"",IFERROR(INDEX(Pubs!$D$2:$D$3001,MATCH(G1282,Pubs!$A$2:$A$3001,0))&amp;"",""))</f>
        <v/>
      </c>
      <c r="N1282" s="27" t="n">
        <f aca="false">N(N1281)+IF(AND(A1282&lt;&gt;"",OR(Recherche!$C$4="",A1282=Recherche!$C$4),OR(Recherche!$C$5="",B1282&amp;""=Recherche!$C$5&amp;""),OR(Recherche!$C$6="",IFERROR(YEAR(L1282),0)=Recherche!$C$6),OR(Recherche!$C$7="",ISNUMBER(SEARCH(Recherche!$C$7,H1282))),OR(Recherche!$C$8="",J1282=Recherche!$C$8),OR(Recherche!$C$9="",I1282=Recherche!$C$9),OR(Recherche!$C$10="",G1282&amp;""=Recherche!$C$10&amp;""),OR(Recherche!$C$11="",E1282=Recherche!$C$11),OR(Recherche!$C$12="",ISNUMBER(SEARCH(Recherche!$C$12,M1282&amp;" "&amp;F1282)))),1,0)</f>
        <v>8</v>
      </c>
    </row>
    <row r="1283" customFormat="false" ht="15" hidden="false" customHeight="false" outlineLevel="0" collapsed="false">
      <c r="A1283" s="19"/>
      <c r="B1283" s="19"/>
      <c r="C1283" s="19"/>
      <c r="D1283" s="19"/>
      <c r="E1283" s="22"/>
      <c r="F1283" s="19"/>
      <c r="G1283" s="26" t="str">
        <f aca="false">IF(D1283="","",IFERROR(VALUE(LEFT(D1283,FIND(" |",D1283&amp;" |")-1)),"?"))</f>
        <v/>
      </c>
      <c r="H1283" s="27" t="str">
        <f aca="false">IF(G1283="","",IF(G1283="?","⚠ pub inconnue",IFERROR(INDEX(Pubs!$B$2:$B$3001,MATCH(G1283,Pubs!$A$2:$A$3001,0))&amp;"","⚠ pub inconnue")))</f>
        <v/>
      </c>
      <c r="I1283" s="27" t="str">
        <f aca="false">IF(OR(G1283="",G1283="?"),"",IFERROR(INDEX(Pubs!$C$2:$C$3001,MATCH(G1283,Pubs!$A$2:$A$3001,0))&amp;"",""))</f>
        <v/>
      </c>
      <c r="J1283" s="27" t="str">
        <f aca="false">IF(OR(G1283="",G1283="?"),"",IFERROR(INDEX(Pubs!$G$2:$G$3001,MATCH(G1283,Pubs!$A$2:$A$3001,0))&amp;"",""))</f>
        <v/>
      </c>
      <c r="K1283" s="28" t="str">
        <f aca="false">IF(OR(G1283="",G1283="?"),"",IFERROR(INDEX(Pubs!$E$2:$E$3001,MATCH(G1283,Pubs!$A$2:$A$3001,0)),""))</f>
        <v/>
      </c>
      <c r="L1283" s="29" t="str">
        <f aca="false">IF(A1283="","",IFERROR(1/(1/INDEX(Numéros!$C$2:$C$3001,MATCH(A1283&amp;"|"&amp;B1283,Numéros!$F$2:$F$3001,0))),""))</f>
        <v/>
      </c>
      <c r="M1283" s="27" t="str">
        <f aca="false">IF(OR(G1283="",G1283="?"),"",IFERROR(INDEX(Pubs!$D$2:$D$3001,MATCH(G1283,Pubs!$A$2:$A$3001,0))&amp;"",""))</f>
        <v/>
      </c>
      <c r="N1283" s="27" t="n">
        <f aca="false">N(N1282)+IF(AND(A1283&lt;&gt;"",OR(Recherche!$C$4="",A1283=Recherche!$C$4),OR(Recherche!$C$5="",B1283&amp;""=Recherche!$C$5&amp;""),OR(Recherche!$C$6="",IFERROR(YEAR(L1283),0)=Recherche!$C$6),OR(Recherche!$C$7="",ISNUMBER(SEARCH(Recherche!$C$7,H1283))),OR(Recherche!$C$8="",J1283=Recherche!$C$8),OR(Recherche!$C$9="",I1283=Recherche!$C$9),OR(Recherche!$C$10="",G1283&amp;""=Recherche!$C$10&amp;""),OR(Recherche!$C$11="",E1283=Recherche!$C$11),OR(Recherche!$C$12="",ISNUMBER(SEARCH(Recherche!$C$12,M1283&amp;" "&amp;F1283)))),1,0)</f>
        <v>8</v>
      </c>
    </row>
    <row r="1284" customFormat="false" ht="15" hidden="false" customHeight="false" outlineLevel="0" collapsed="false">
      <c r="A1284" s="19"/>
      <c r="B1284" s="19"/>
      <c r="C1284" s="19"/>
      <c r="D1284" s="19"/>
      <c r="E1284" s="22"/>
      <c r="F1284" s="19"/>
      <c r="G1284" s="26" t="str">
        <f aca="false">IF(D1284="","",IFERROR(VALUE(LEFT(D1284,FIND(" |",D1284&amp;" |")-1)),"?"))</f>
        <v/>
      </c>
      <c r="H1284" s="27" t="str">
        <f aca="false">IF(G1284="","",IF(G1284="?","⚠ pub inconnue",IFERROR(INDEX(Pubs!$B$2:$B$3001,MATCH(G1284,Pubs!$A$2:$A$3001,0))&amp;"","⚠ pub inconnue")))</f>
        <v/>
      </c>
      <c r="I1284" s="27" t="str">
        <f aca="false">IF(OR(G1284="",G1284="?"),"",IFERROR(INDEX(Pubs!$C$2:$C$3001,MATCH(G1284,Pubs!$A$2:$A$3001,0))&amp;"",""))</f>
        <v/>
      </c>
      <c r="J1284" s="27" t="str">
        <f aca="false">IF(OR(G1284="",G1284="?"),"",IFERROR(INDEX(Pubs!$G$2:$G$3001,MATCH(G1284,Pubs!$A$2:$A$3001,0))&amp;"",""))</f>
        <v/>
      </c>
      <c r="K1284" s="28" t="str">
        <f aca="false">IF(OR(G1284="",G1284="?"),"",IFERROR(INDEX(Pubs!$E$2:$E$3001,MATCH(G1284,Pubs!$A$2:$A$3001,0)),""))</f>
        <v/>
      </c>
      <c r="L1284" s="29" t="str">
        <f aca="false">IF(A1284="","",IFERROR(1/(1/INDEX(Numéros!$C$2:$C$3001,MATCH(A1284&amp;"|"&amp;B1284,Numéros!$F$2:$F$3001,0))),""))</f>
        <v/>
      </c>
      <c r="M1284" s="27" t="str">
        <f aca="false">IF(OR(G1284="",G1284="?"),"",IFERROR(INDEX(Pubs!$D$2:$D$3001,MATCH(G1284,Pubs!$A$2:$A$3001,0))&amp;"",""))</f>
        <v/>
      </c>
      <c r="N1284" s="27" t="n">
        <f aca="false">N(N1283)+IF(AND(A1284&lt;&gt;"",OR(Recherche!$C$4="",A1284=Recherche!$C$4),OR(Recherche!$C$5="",B1284&amp;""=Recherche!$C$5&amp;""),OR(Recherche!$C$6="",IFERROR(YEAR(L1284),0)=Recherche!$C$6),OR(Recherche!$C$7="",ISNUMBER(SEARCH(Recherche!$C$7,H1284))),OR(Recherche!$C$8="",J1284=Recherche!$C$8),OR(Recherche!$C$9="",I1284=Recherche!$C$9),OR(Recherche!$C$10="",G1284&amp;""=Recherche!$C$10&amp;""),OR(Recherche!$C$11="",E1284=Recherche!$C$11),OR(Recherche!$C$12="",ISNUMBER(SEARCH(Recherche!$C$12,M1284&amp;" "&amp;F1284)))),1,0)</f>
        <v>8</v>
      </c>
    </row>
    <row r="1285" customFormat="false" ht="15" hidden="false" customHeight="false" outlineLevel="0" collapsed="false">
      <c r="A1285" s="19"/>
      <c r="B1285" s="19"/>
      <c r="C1285" s="19"/>
      <c r="D1285" s="19"/>
      <c r="E1285" s="22"/>
      <c r="F1285" s="19"/>
      <c r="G1285" s="26" t="str">
        <f aca="false">IF(D1285="","",IFERROR(VALUE(LEFT(D1285,FIND(" |",D1285&amp;" |")-1)),"?"))</f>
        <v/>
      </c>
      <c r="H1285" s="27" t="str">
        <f aca="false">IF(G1285="","",IF(G1285="?","⚠ pub inconnue",IFERROR(INDEX(Pubs!$B$2:$B$3001,MATCH(G1285,Pubs!$A$2:$A$3001,0))&amp;"","⚠ pub inconnue")))</f>
        <v/>
      </c>
      <c r="I1285" s="27" t="str">
        <f aca="false">IF(OR(G1285="",G1285="?"),"",IFERROR(INDEX(Pubs!$C$2:$C$3001,MATCH(G1285,Pubs!$A$2:$A$3001,0))&amp;"",""))</f>
        <v/>
      </c>
      <c r="J1285" s="27" t="str">
        <f aca="false">IF(OR(G1285="",G1285="?"),"",IFERROR(INDEX(Pubs!$G$2:$G$3001,MATCH(G1285,Pubs!$A$2:$A$3001,0))&amp;"",""))</f>
        <v/>
      </c>
      <c r="K1285" s="28" t="str">
        <f aca="false">IF(OR(G1285="",G1285="?"),"",IFERROR(INDEX(Pubs!$E$2:$E$3001,MATCH(G1285,Pubs!$A$2:$A$3001,0)),""))</f>
        <v/>
      </c>
      <c r="L1285" s="29" t="str">
        <f aca="false">IF(A1285="","",IFERROR(1/(1/INDEX(Numéros!$C$2:$C$3001,MATCH(A1285&amp;"|"&amp;B1285,Numéros!$F$2:$F$3001,0))),""))</f>
        <v/>
      </c>
      <c r="M1285" s="27" t="str">
        <f aca="false">IF(OR(G1285="",G1285="?"),"",IFERROR(INDEX(Pubs!$D$2:$D$3001,MATCH(G1285,Pubs!$A$2:$A$3001,0))&amp;"",""))</f>
        <v/>
      </c>
      <c r="N1285" s="27" t="n">
        <f aca="false">N(N1284)+IF(AND(A1285&lt;&gt;"",OR(Recherche!$C$4="",A1285=Recherche!$C$4),OR(Recherche!$C$5="",B1285&amp;""=Recherche!$C$5&amp;""),OR(Recherche!$C$6="",IFERROR(YEAR(L1285),0)=Recherche!$C$6),OR(Recherche!$C$7="",ISNUMBER(SEARCH(Recherche!$C$7,H1285))),OR(Recherche!$C$8="",J1285=Recherche!$C$8),OR(Recherche!$C$9="",I1285=Recherche!$C$9),OR(Recherche!$C$10="",G1285&amp;""=Recherche!$C$10&amp;""),OR(Recherche!$C$11="",E1285=Recherche!$C$11),OR(Recherche!$C$12="",ISNUMBER(SEARCH(Recherche!$C$12,M1285&amp;" "&amp;F1285)))),1,0)</f>
        <v>8</v>
      </c>
    </row>
    <row r="1286" customFormat="false" ht="15" hidden="false" customHeight="false" outlineLevel="0" collapsed="false">
      <c r="A1286" s="19"/>
      <c r="B1286" s="19"/>
      <c r="C1286" s="19"/>
      <c r="D1286" s="19"/>
      <c r="E1286" s="22"/>
      <c r="F1286" s="19"/>
      <c r="G1286" s="26" t="str">
        <f aca="false">IF(D1286="","",IFERROR(VALUE(LEFT(D1286,FIND(" |",D1286&amp;" |")-1)),"?"))</f>
        <v/>
      </c>
      <c r="H1286" s="27" t="str">
        <f aca="false">IF(G1286="","",IF(G1286="?","⚠ pub inconnue",IFERROR(INDEX(Pubs!$B$2:$B$3001,MATCH(G1286,Pubs!$A$2:$A$3001,0))&amp;"","⚠ pub inconnue")))</f>
        <v/>
      </c>
      <c r="I1286" s="27" t="str">
        <f aca="false">IF(OR(G1286="",G1286="?"),"",IFERROR(INDEX(Pubs!$C$2:$C$3001,MATCH(G1286,Pubs!$A$2:$A$3001,0))&amp;"",""))</f>
        <v/>
      </c>
      <c r="J1286" s="27" t="str">
        <f aca="false">IF(OR(G1286="",G1286="?"),"",IFERROR(INDEX(Pubs!$G$2:$G$3001,MATCH(G1286,Pubs!$A$2:$A$3001,0))&amp;"",""))</f>
        <v/>
      </c>
      <c r="K1286" s="28" t="str">
        <f aca="false">IF(OR(G1286="",G1286="?"),"",IFERROR(INDEX(Pubs!$E$2:$E$3001,MATCH(G1286,Pubs!$A$2:$A$3001,0)),""))</f>
        <v/>
      </c>
      <c r="L1286" s="29" t="str">
        <f aca="false">IF(A1286="","",IFERROR(1/(1/INDEX(Numéros!$C$2:$C$3001,MATCH(A1286&amp;"|"&amp;B1286,Numéros!$F$2:$F$3001,0))),""))</f>
        <v/>
      </c>
      <c r="M1286" s="27" t="str">
        <f aca="false">IF(OR(G1286="",G1286="?"),"",IFERROR(INDEX(Pubs!$D$2:$D$3001,MATCH(G1286,Pubs!$A$2:$A$3001,0))&amp;"",""))</f>
        <v/>
      </c>
      <c r="N1286" s="27" t="n">
        <f aca="false">N(N1285)+IF(AND(A1286&lt;&gt;"",OR(Recherche!$C$4="",A1286=Recherche!$C$4),OR(Recherche!$C$5="",B1286&amp;""=Recherche!$C$5&amp;""),OR(Recherche!$C$6="",IFERROR(YEAR(L1286),0)=Recherche!$C$6),OR(Recherche!$C$7="",ISNUMBER(SEARCH(Recherche!$C$7,H1286))),OR(Recherche!$C$8="",J1286=Recherche!$C$8),OR(Recherche!$C$9="",I1286=Recherche!$C$9),OR(Recherche!$C$10="",G1286&amp;""=Recherche!$C$10&amp;""),OR(Recherche!$C$11="",E1286=Recherche!$C$11),OR(Recherche!$C$12="",ISNUMBER(SEARCH(Recherche!$C$12,M1286&amp;" "&amp;F1286)))),1,0)</f>
        <v>8</v>
      </c>
    </row>
    <row r="1287" customFormat="false" ht="15" hidden="false" customHeight="false" outlineLevel="0" collapsed="false">
      <c r="A1287" s="19"/>
      <c r="B1287" s="19"/>
      <c r="C1287" s="19"/>
      <c r="D1287" s="19"/>
      <c r="E1287" s="22"/>
      <c r="F1287" s="19"/>
      <c r="G1287" s="26" t="str">
        <f aca="false">IF(D1287="","",IFERROR(VALUE(LEFT(D1287,FIND(" |",D1287&amp;" |")-1)),"?"))</f>
        <v/>
      </c>
      <c r="H1287" s="27" t="str">
        <f aca="false">IF(G1287="","",IF(G1287="?","⚠ pub inconnue",IFERROR(INDEX(Pubs!$B$2:$B$3001,MATCH(G1287,Pubs!$A$2:$A$3001,0))&amp;"","⚠ pub inconnue")))</f>
        <v/>
      </c>
      <c r="I1287" s="27" t="str">
        <f aca="false">IF(OR(G1287="",G1287="?"),"",IFERROR(INDEX(Pubs!$C$2:$C$3001,MATCH(G1287,Pubs!$A$2:$A$3001,0))&amp;"",""))</f>
        <v/>
      </c>
      <c r="J1287" s="27" t="str">
        <f aca="false">IF(OR(G1287="",G1287="?"),"",IFERROR(INDEX(Pubs!$G$2:$G$3001,MATCH(G1287,Pubs!$A$2:$A$3001,0))&amp;"",""))</f>
        <v/>
      </c>
      <c r="K1287" s="28" t="str">
        <f aca="false">IF(OR(G1287="",G1287="?"),"",IFERROR(INDEX(Pubs!$E$2:$E$3001,MATCH(G1287,Pubs!$A$2:$A$3001,0)),""))</f>
        <v/>
      </c>
      <c r="L1287" s="29" t="str">
        <f aca="false">IF(A1287="","",IFERROR(1/(1/INDEX(Numéros!$C$2:$C$3001,MATCH(A1287&amp;"|"&amp;B1287,Numéros!$F$2:$F$3001,0))),""))</f>
        <v/>
      </c>
      <c r="M1287" s="27" t="str">
        <f aca="false">IF(OR(G1287="",G1287="?"),"",IFERROR(INDEX(Pubs!$D$2:$D$3001,MATCH(G1287,Pubs!$A$2:$A$3001,0))&amp;"",""))</f>
        <v/>
      </c>
      <c r="N1287" s="27" t="n">
        <f aca="false">N(N1286)+IF(AND(A1287&lt;&gt;"",OR(Recherche!$C$4="",A1287=Recherche!$C$4),OR(Recherche!$C$5="",B1287&amp;""=Recherche!$C$5&amp;""),OR(Recherche!$C$6="",IFERROR(YEAR(L1287),0)=Recherche!$C$6),OR(Recherche!$C$7="",ISNUMBER(SEARCH(Recherche!$C$7,H1287))),OR(Recherche!$C$8="",J1287=Recherche!$C$8),OR(Recherche!$C$9="",I1287=Recherche!$C$9),OR(Recherche!$C$10="",G1287&amp;""=Recherche!$C$10&amp;""),OR(Recherche!$C$11="",E1287=Recherche!$C$11),OR(Recherche!$C$12="",ISNUMBER(SEARCH(Recherche!$C$12,M1287&amp;" "&amp;F1287)))),1,0)</f>
        <v>8</v>
      </c>
    </row>
    <row r="1288" customFormat="false" ht="15" hidden="false" customHeight="false" outlineLevel="0" collapsed="false">
      <c r="A1288" s="19"/>
      <c r="B1288" s="19"/>
      <c r="C1288" s="19"/>
      <c r="D1288" s="19"/>
      <c r="E1288" s="22"/>
      <c r="F1288" s="19"/>
      <c r="G1288" s="26" t="str">
        <f aca="false">IF(D1288="","",IFERROR(VALUE(LEFT(D1288,FIND(" |",D1288&amp;" |")-1)),"?"))</f>
        <v/>
      </c>
      <c r="H1288" s="27" t="str">
        <f aca="false">IF(G1288="","",IF(G1288="?","⚠ pub inconnue",IFERROR(INDEX(Pubs!$B$2:$B$3001,MATCH(G1288,Pubs!$A$2:$A$3001,0))&amp;"","⚠ pub inconnue")))</f>
        <v/>
      </c>
      <c r="I1288" s="27" t="str">
        <f aca="false">IF(OR(G1288="",G1288="?"),"",IFERROR(INDEX(Pubs!$C$2:$C$3001,MATCH(G1288,Pubs!$A$2:$A$3001,0))&amp;"",""))</f>
        <v/>
      </c>
      <c r="J1288" s="27" t="str">
        <f aca="false">IF(OR(G1288="",G1288="?"),"",IFERROR(INDEX(Pubs!$G$2:$G$3001,MATCH(G1288,Pubs!$A$2:$A$3001,0))&amp;"",""))</f>
        <v/>
      </c>
      <c r="K1288" s="28" t="str">
        <f aca="false">IF(OR(G1288="",G1288="?"),"",IFERROR(INDEX(Pubs!$E$2:$E$3001,MATCH(G1288,Pubs!$A$2:$A$3001,0)),""))</f>
        <v/>
      </c>
      <c r="L1288" s="29" t="str">
        <f aca="false">IF(A1288="","",IFERROR(1/(1/INDEX(Numéros!$C$2:$C$3001,MATCH(A1288&amp;"|"&amp;B1288,Numéros!$F$2:$F$3001,0))),""))</f>
        <v/>
      </c>
      <c r="M1288" s="27" t="str">
        <f aca="false">IF(OR(G1288="",G1288="?"),"",IFERROR(INDEX(Pubs!$D$2:$D$3001,MATCH(G1288,Pubs!$A$2:$A$3001,0))&amp;"",""))</f>
        <v/>
      </c>
      <c r="N1288" s="27" t="n">
        <f aca="false">N(N1287)+IF(AND(A1288&lt;&gt;"",OR(Recherche!$C$4="",A1288=Recherche!$C$4),OR(Recherche!$C$5="",B1288&amp;""=Recherche!$C$5&amp;""),OR(Recherche!$C$6="",IFERROR(YEAR(L1288),0)=Recherche!$C$6),OR(Recherche!$C$7="",ISNUMBER(SEARCH(Recherche!$C$7,H1288))),OR(Recherche!$C$8="",J1288=Recherche!$C$8),OR(Recherche!$C$9="",I1288=Recherche!$C$9),OR(Recherche!$C$10="",G1288&amp;""=Recherche!$C$10&amp;""),OR(Recherche!$C$11="",E1288=Recherche!$C$11),OR(Recherche!$C$12="",ISNUMBER(SEARCH(Recherche!$C$12,M1288&amp;" "&amp;F1288)))),1,0)</f>
        <v>8</v>
      </c>
    </row>
    <row r="1289" customFormat="false" ht="15" hidden="false" customHeight="false" outlineLevel="0" collapsed="false">
      <c r="A1289" s="19"/>
      <c r="B1289" s="19"/>
      <c r="C1289" s="19"/>
      <c r="D1289" s="19"/>
      <c r="E1289" s="22"/>
      <c r="F1289" s="19"/>
      <c r="G1289" s="26" t="str">
        <f aca="false">IF(D1289="","",IFERROR(VALUE(LEFT(D1289,FIND(" |",D1289&amp;" |")-1)),"?"))</f>
        <v/>
      </c>
      <c r="H1289" s="27" t="str">
        <f aca="false">IF(G1289="","",IF(G1289="?","⚠ pub inconnue",IFERROR(INDEX(Pubs!$B$2:$B$3001,MATCH(G1289,Pubs!$A$2:$A$3001,0))&amp;"","⚠ pub inconnue")))</f>
        <v/>
      </c>
      <c r="I1289" s="27" t="str">
        <f aca="false">IF(OR(G1289="",G1289="?"),"",IFERROR(INDEX(Pubs!$C$2:$C$3001,MATCH(G1289,Pubs!$A$2:$A$3001,0))&amp;"",""))</f>
        <v/>
      </c>
      <c r="J1289" s="27" t="str">
        <f aca="false">IF(OR(G1289="",G1289="?"),"",IFERROR(INDEX(Pubs!$G$2:$G$3001,MATCH(G1289,Pubs!$A$2:$A$3001,0))&amp;"",""))</f>
        <v/>
      </c>
      <c r="K1289" s="28" t="str">
        <f aca="false">IF(OR(G1289="",G1289="?"),"",IFERROR(INDEX(Pubs!$E$2:$E$3001,MATCH(G1289,Pubs!$A$2:$A$3001,0)),""))</f>
        <v/>
      </c>
      <c r="L1289" s="29" t="str">
        <f aca="false">IF(A1289="","",IFERROR(1/(1/INDEX(Numéros!$C$2:$C$3001,MATCH(A1289&amp;"|"&amp;B1289,Numéros!$F$2:$F$3001,0))),""))</f>
        <v/>
      </c>
      <c r="M1289" s="27" t="str">
        <f aca="false">IF(OR(G1289="",G1289="?"),"",IFERROR(INDEX(Pubs!$D$2:$D$3001,MATCH(G1289,Pubs!$A$2:$A$3001,0))&amp;"",""))</f>
        <v/>
      </c>
      <c r="N1289" s="27" t="n">
        <f aca="false">N(N1288)+IF(AND(A1289&lt;&gt;"",OR(Recherche!$C$4="",A1289=Recherche!$C$4),OR(Recherche!$C$5="",B1289&amp;""=Recherche!$C$5&amp;""),OR(Recherche!$C$6="",IFERROR(YEAR(L1289),0)=Recherche!$C$6),OR(Recherche!$C$7="",ISNUMBER(SEARCH(Recherche!$C$7,H1289))),OR(Recherche!$C$8="",J1289=Recherche!$C$8),OR(Recherche!$C$9="",I1289=Recherche!$C$9),OR(Recherche!$C$10="",G1289&amp;""=Recherche!$C$10&amp;""),OR(Recherche!$C$11="",E1289=Recherche!$C$11),OR(Recherche!$C$12="",ISNUMBER(SEARCH(Recherche!$C$12,M1289&amp;" "&amp;F1289)))),1,0)</f>
        <v>8</v>
      </c>
    </row>
    <row r="1290" customFormat="false" ht="15" hidden="false" customHeight="false" outlineLevel="0" collapsed="false">
      <c r="A1290" s="19"/>
      <c r="B1290" s="19"/>
      <c r="C1290" s="19"/>
      <c r="D1290" s="19"/>
      <c r="E1290" s="22"/>
      <c r="F1290" s="19"/>
      <c r="G1290" s="26" t="str">
        <f aca="false">IF(D1290="","",IFERROR(VALUE(LEFT(D1290,FIND(" |",D1290&amp;" |")-1)),"?"))</f>
        <v/>
      </c>
      <c r="H1290" s="27" t="str">
        <f aca="false">IF(G1290="","",IF(G1290="?","⚠ pub inconnue",IFERROR(INDEX(Pubs!$B$2:$B$3001,MATCH(G1290,Pubs!$A$2:$A$3001,0))&amp;"","⚠ pub inconnue")))</f>
        <v/>
      </c>
      <c r="I1290" s="27" t="str">
        <f aca="false">IF(OR(G1290="",G1290="?"),"",IFERROR(INDEX(Pubs!$C$2:$C$3001,MATCH(G1290,Pubs!$A$2:$A$3001,0))&amp;"",""))</f>
        <v/>
      </c>
      <c r="J1290" s="27" t="str">
        <f aca="false">IF(OR(G1290="",G1290="?"),"",IFERROR(INDEX(Pubs!$G$2:$G$3001,MATCH(G1290,Pubs!$A$2:$A$3001,0))&amp;"",""))</f>
        <v/>
      </c>
      <c r="K1290" s="28" t="str">
        <f aca="false">IF(OR(G1290="",G1290="?"),"",IFERROR(INDEX(Pubs!$E$2:$E$3001,MATCH(G1290,Pubs!$A$2:$A$3001,0)),""))</f>
        <v/>
      </c>
      <c r="L1290" s="29" t="str">
        <f aca="false">IF(A1290="","",IFERROR(1/(1/INDEX(Numéros!$C$2:$C$3001,MATCH(A1290&amp;"|"&amp;B1290,Numéros!$F$2:$F$3001,0))),""))</f>
        <v/>
      </c>
      <c r="M1290" s="27" t="str">
        <f aca="false">IF(OR(G1290="",G1290="?"),"",IFERROR(INDEX(Pubs!$D$2:$D$3001,MATCH(G1290,Pubs!$A$2:$A$3001,0))&amp;"",""))</f>
        <v/>
      </c>
      <c r="N1290" s="27" t="n">
        <f aca="false">N(N1289)+IF(AND(A1290&lt;&gt;"",OR(Recherche!$C$4="",A1290=Recherche!$C$4),OR(Recherche!$C$5="",B1290&amp;""=Recherche!$C$5&amp;""),OR(Recherche!$C$6="",IFERROR(YEAR(L1290),0)=Recherche!$C$6),OR(Recherche!$C$7="",ISNUMBER(SEARCH(Recherche!$C$7,H1290))),OR(Recherche!$C$8="",J1290=Recherche!$C$8),OR(Recherche!$C$9="",I1290=Recherche!$C$9),OR(Recherche!$C$10="",G1290&amp;""=Recherche!$C$10&amp;""),OR(Recherche!$C$11="",E1290=Recherche!$C$11),OR(Recherche!$C$12="",ISNUMBER(SEARCH(Recherche!$C$12,M1290&amp;" "&amp;F1290)))),1,0)</f>
        <v>8</v>
      </c>
    </row>
    <row r="1291" customFormat="false" ht="15" hidden="false" customHeight="false" outlineLevel="0" collapsed="false">
      <c r="A1291" s="19"/>
      <c r="B1291" s="19"/>
      <c r="C1291" s="19"/>
      <c r="D1291" s="19"/>
      <c r="E1291" s="22"/>
      <c r="F1291" s="19"/>
      <c r="G1291" s="26" t="str">
        <f aca="false">IF(D1291="","",IFERROR(VALUE(LEFT(D1291,FIND(" |",D1291&amp;" |")-1)),"?"))</f>
        <v/>
      </c>
      <c r="H1291" s="27" t="str">
        <f aca="false">IF(G1291="","",IF(G1291="?","⚠ pub inconnue",IFERROR(INDEX(Pubs!$B$2:$B$3001,MATCH(G1291,Pubs!$A$2:$A$3001,0))&amp;"","⚠ pub inconnue")))</f>
        <v/>
      </c>
      <c r="I1291" s="27" t="str">
        <f aca="false">IF(OR(G1291="",G1291="?"),"",IFERROR(INDEX(Pubs!$C$2:$C$3001,MATCH(G1291,Pubs!$A$2:$A$3001,0))&amp;"",""))</f>
        <v/>
      </c>
      <c r="J1291" s="27" t="str">
        <f aca="false">IF(OR(G1291="",G1291="?"),"",IFERROR(INDEX(Pubs!$G$2:$G$3001,MATCH(G1291,Pubs!$A$2:$A$3001,0))&amp;"",""))</f>
        <v/>
      </c>
      <c r="K1291" s="28" t="str">
        <f aca="false">IF(OR(G1291="",G1291="?"),"",IFERROR(INDEX(Pubs!$E$2:$E$3001,MATCH(G1291,Pubs!$A$2:$A$3001,0)),""))</f>
        <v/>
      </c>
      <c r="L1291" s="29" t="str">
        <f aca="false">IF(A1291="","",IFERROR(1/(1/INDEX(Numéros!$C$2:$C$3001,MATCH(A1291&amp;"|"&amp;B1291,Numéros!$F$2:$F$3001,0))),""))</f>
        <v/>
      </c>
      <c r="M1291" s="27" t="str">
        <f aca="false">IF(OR(G1291="",G1291="?"),"",IFERROR(INDEX(Pubs!$D$2:$D$3001,MATCH(G1291,Pubs!$A$2:$A$3001,0))&amp;"",""))</f>
        <v/>
      </c>
      <c r="N1291" s="27" t="n">
        <f aca="false">N(N1290)+IF(AND(A1291&lt;&gt;"",OR(Recherche!$C$4="",A1291=Recherche!$C$4),OR(Recherche!$C$5="",B1291&amp;""=Recherche!$C$5&amp;""),OR(Recherche!$C$6="",IFERROR(YEAR(L1291),0)=Recherche!$C$6),OR(Recherche!$C$7="",ISNUMBER(SEARCH(Recherche!$C$7,H1291))),OR(Recherche!$C$8="",J1291=Recherche!$C$8),OR(Recherche!$C$9="",I1291=Recherche!$C$9),OR(Recherche!$C$10="",G1291&amp;""=Recherche!$C$10&amp;""),OR(Recherche!$C$11="",E1291=Recherche!$C$11),OR(Recherche!$C$12="",ISNUMBER(SEARCH(Recherche!$C$12,M1291&amp;" "&amp;F1291)))),1,0)</f>
        <v>8</v>
      </c>
    </row>
    <row r="1292" customFormat="false" ht="15" hidden="false" customHeight="false" outlineLevel="0" collapsed="false">
      <c r="A1292" s="19"/>
      <c r="B1292" s="19"/>
      <c r="C1292" s="19"/>
      <c r="D1292" s="19"/>
      <c r="E1292" s="22"/>
      <c r="F1292" s="19"/>
      <c r="G1292" s="26" t="str">
        <f aca="false">IF(D1292="","",IFERROR(VALUE(LEFT(D1292,FIND(" |",D1292&amp;" |")-1)),"?"))</f>
        <v/>
      </c>
      <c r="H1292" s="27" t="str">
        <f aca="false">IF(G1292="","",IF(G1292="?","⚠ pub inconnue",IFERROR(INDEX(Pubs!$B$2:$B$3001,MATCH(G1292,Pubs!$A$2:$A$3001,0))&amp;"","⚠ pub inconnue")))</f>
        <v/>
      </c>
      <c r="I1292" s="27" t="str">
        <f aca="false">IF(OR(G1292="",G1292="?"),"",IFERROR(INDEX(Pubs!$C$2:$C$3001,MATCH(G1292,Pubs!$A$2:$A$3001,0))&amp;"",""))</f>
        <v/>
      </c>
      <c r="J1292" s="27" t="str">
        <f aca="false">IF(OR(G1292="",G1292="?"),"",IFERROR(INDEX(Pubs!$G$2:$G$3001,MATCH(G1292,Pubs!$A$2:$A$3001,0))&amp;"",""))</f>
        <v/>
      </c>
      <c r="K1292" s="28" t="str">
        <f aca="false">IF(OR(G1292="",G1292="?"),"",IFERROR(INDEX(Pubs!$E$2:$E$3001,MATCH(G1292,Pubs!$A$2:$A$3001,0)),""))</f>
        <v/>
      </c>
      <c r="L1292" s="29" t="str">
        <f aca="false">IF(A1292="","",IFERROR(1/(1/INDEX(Numéros!$C$2:$C$3001,MATCH(A1292&amp;"|"&amp;B1292,Numéros!$F$2:$F$3001,0))),""))</f>
        <v/>
      </c>
      <c r="M1292" s="27" t="str">
        <f aca="false">IF(OR(G1292="",G1292="?"),"",IFERROR(INDEX(Pubs!$D$2:$D$3001,MATCH(G1292,Pubs!$A$2:$A$3001,0))&amp;"",""))</f>
        <v/>
      </c>
      <c r="N1292" s="27" t="n">
        <f aca="false">N(N1291)+IF(AND(A1292&lt;&gt;"",OR(Recherche!$C$4="",A1292=Recherche!$C$4),OR(Recherche!$C$5="",B1292&amp;""=Recherche!$C$5&amp;""),OR(Recherche!$C$6="",IFERROR(YEAR(L1292),0)=Recherche!$C$6),OR(Recherche!$C$7="",ISNUMBER(SEARCH(Recherche!$C$7,H1292))),OR(Recherche!$C$8="",J1292=Recherche!$C$8),OR(Recherche!$C$9="",I1292=Recherche!$C$9),OR(Recherche!$C$10="",G1292&amp;""=Recherche!$C$10&amp;""),OR(Recherche!$C$11="",E1292=Recherche!$C$11),OR(Recherche!$C$12="",ISNUMBER(SEARCH(Recherche!$C$12,M1292&amp;" "&amp;F1292)))),1,0)</f>
        <v>8</v>
      </c>
    </row>
    <row r="1293" customFormat="false" ht="15" hidden="false" customHeight="false" outlineLevel="0" collapsed="false">
      <c r="A1293" s="19"/>
      <c r="B1293" s="19"/>
      <c r="C1293" s="19"/>
      <c r="D1293" s="19"/>
      <c r="E1293" s="22"/>
      <c r="F1293" s="19"/>
      <c r="G1293" s="26" t="str">
        <f aca="false">IF(D1293="","",IFERROR(VALUE(LEFT(D1293,FIND(" |",D1293&amp;" |")-1)),"?"))</f>
        <v/>
      </c>
      <c r="H1293" s="27" t="str">
        <f aca="false">IF(G1293="","",IF(G1293="?","⚠ pub inconnue",IFERROR(INDEX(Pubs!$B$2:$B$3001,MATCH(G1293,Pubs!$A$2:$A$3001,0))&amp;"","⚠ pub inconnue")))</f>
        <v/>
      </c>
      <c r="I1293" s="27" t="str">
        <f aca="false">IF(OR(G1293="",G1293="?"),"",IFERROR(INDEX(Pubs!$C$2:$C$3001,MATCH(G1293,Pubs!$A$2:$A$3001,0))&amp;"",""))</f>
        <v/>
      </c>
      <c r="J1293" s="27" t="str">
        <f aca="false">IF(OR(G1293="",G1293="?"),"",IFERROR(INDEX(Pubs!$G$2:$G$3001,MATCH(G1293,Pubs!$A$2:$A$3001,0))&amp;"",""))</f>
        <v/>
      </c>
      <c r="K1293" s="28" t="str">
        <f aca="false">IF(OR(G1293="",G1293="?"),"",IFERROR(INDEX(Pubs!$E$2:$E$3001,MATCH(G1293,Pubs!$A$2:$A$3001,0)),""))</f>
        <v/>
      </c>
      <c r="L1293" s="29" t="str">
        <f aca="false">IF(A1293="","",IFERROR(1/(1/INDEX(Numéros!$C$2:$C$3001,MATCH(A1293&amp;"|"&amp;B1293,Numéros!$F$2:$F$3001,0))),""))</f>
        <v/>
      </c>
      <c r="M1293" s="27" t="str">
        <f aca="false">IF(OR(G1293="",G1293="?"),"",IFERROR(INDEX(Pubs!$D$2:$D$3001,MATCH(G1293,Pubs!$A$2:$A$3001,0))&amp;"",""))</f>
        <v/>
      </c>
      <c r="N1293" s="27" t="n">
        <f aca="false">N(N1292)+IF(AND(A1293&lt;&gt;"",OR(Recherche!$C$4="",A1293=Recherche!$C$4),OR(Recherche!$C$5="",B1293&amp;""=Recherche!$C$5&amp;""),OR(Recherche!$C$6="",IFERROR(YEAR(L1293),0)=Recherche!$C$6),OR(Recherche!$C$7="",ISNUMBER(SEARCH(Recherche!$C$7,H1293))),OR(Recherche!$C$8="",J1293=Recherche!$C$8),OR(Recherche!$C$9="",I1293=Recherche!$C$9),OR(Recherche!$C$10="",G1293&amp;""=Recherche!$C$10&amp;""),OR(Recherche!$C$11="",E1293=Recherche!$C$11),OR(Recherche!$C$12="",ISNUMBER(SEARCH(Recherche!$C$12,M1293&amp;" "&amp;F1293)))),1,0)</f>
        <v>8</v>
      </c>
    </row>
    <row r="1294" customFormat="false" ht="15" hidden="false" customHeight="false" outlineLevel="0" collapsed="false">
      <c r="A1294" s="19"/>
      <c r="B1294" s="19"/>
      <c r="C1294" s="19"/>
      <c r="D1294" s="19"/>
      <c r="E1294" s="22"/>
      <c r="F1294" s="19"/>
      <c r="G1294" s="26" t="str">
        <f aca="false">IF(D1294="","",IFERROR(VALUE(LEFT(D1294,FIND(" |",D1294&amp;" |")-1)),"?"))</f>
        <v/>
      </c>
      <c r="H1294" s="27" t="str">
        <f aca="false">IF(G1294="","",IF(G1294="?","⚠ pub inconnue",IFERROR(INDEX(Pubs!$B$2:$B$3001,MATCH(G1294,Pubs!$A$2:$A$3001,0))&amp;"","⚠ pub inconnue")))</f>
        <v/>
      </c>
      <c r="I1294" s="27" t="str">
        <f aca="false">IF(OR(G1294="",G1294="?"),"",IFERROR(INDEX(Pubs!$C$2:$C$3001,MATCH(G1294,Pubs!$A$2:$A$3001,0))&amp;"",""))</f>
        <v/>
      </c>
      <c r="J1294" s="27" t="str">
        <f aca="false">IF(OR(G1294="",G1294="?"),"",IFERROR(INDEX(Pubs!$G$2:$G$3001,MATCH(G1294,Pubs!$A$2:$A$3001,0))&amp;"",""))</f>
        <v/>
      </c>
      <c r="K1294" s="28" t="str">
        <f aca="false">IF(OR(G1294="",G1294="?"),"",IFERROR(INDEX(Pubs!$E$2:$E$3001,MATCH(G1294,Pubs!$A$2:$A$3001,0)),""))</f>
        <v/>
      </c>
      <c r="L1294" s="29" t="str">
        <f aca="false">IF(A1294="","",IFERROR(1/(1/INDEX(Numéros!$C$2:$C$3001,MATCH(A1294&amp;"|"&amp;B1294,Numéros!$F$2:$F$3001,0))),""))</f>
        <v/>
      </c>
      <c r="M1294" s="27" t="str">
        <f aca="false">IF(OR(G1294="",G1294="?"),"",IFERROR(INDEX(Pubs!$D$2:$D$3001,MATCH(G1294,Pubs!$A$2:$A$3001,0))&amp;"",""))</f>
        <v/>
      </c>
      <c r="N1294" s="27" t="n">
        <f aca="false">N(N1293)+IF(AND(A1294&lt;&gt;"",OR(Recherche!$C$4="",A1294=Recherche!$C$4),OR(Recherche!$C$5="",B1294&amp;""=Recherche!$C$5&amp;""),OR(Recherche!$C$6="",IFERROR(YEAR(L1294),0)=Recherche!$C$6),OR(Recherche!$C$7="",ISNUMBER(SEARCH(Recherche!$C$7,H1294))),OR(Recherche!$C$8="",J1294=Recherche!$C$8),OR(Recherche!$C$9="",I1294=Recherche!$C$9),OR(Recherche!$C$10="",G1294&amp;""=Recherche!$C$10&amp;""),OR(Recherche!$C$11="",E1294=Recherche!$C$11),OR(Recherche!$C$12="",ISNUMBER(SEARCH(Recherche!$C$12,M1294&amp;" "&amp;F1294)))),1,0)</f>
        <v>8</v>
      </c>
    </row>
    <row r="1295" customFormat="false" ht="15" hidden="false" customHeight="false" outlineLevel="0" collapsed="false">
      <c r="A1295" s="19"/>
      <c r="B1295" s="19"/>
      <c r="C1295" s="19"/>
      <c r="D1295" s="19"/>
      <c r="E1295" s="22"/>
      <c r="F1295" s="19"/>
      <c r="G1295" s="26" t="str">
        <f aca="false">IF(D1295="","",IFERROR(VALUE(LEFT(D1295,FIND(" |",D1295&amp;" |")-1)),"?"))</f>
        <v/>
      </c>
      <c r="H1295" s="27" t="str">
        <f aca="false">IF(G1295="","",IF(G1295="?","⚠ pub inconnue",IFERROR(INDEX(Pubs!$B$2:$B$3001,MATCH(G1295,Pubs!$A$2:$A$3001,0))&amp;"","⚠ pub inconnue")))</f>
        <v/>
      </c>
      <c r="I1295" s="27" t="str">
        <f aca="false">IF(OR(G1295="",G1295="?"),"",IFERROR(INDEX(Pubs!$C$2:$C$3001,MATCH(G1295,Pubs!$A$2:$A$3001,0))&amp;"",""))</f>
        <v/>
      </c>
      <c r="J1295" s="27" t="str">
        <f aca="false">IF(OR(G1295="",G1295="?"),"",IFERROR(INDEX(Pubs!$G$2:$G$3001,MATCH(G1295,Pubs!$A$2:$A$3001,0))&amp;"",""))</f>
        <v/>
      </c>
      <c r="K1295" s="28" t="str">
        <f aca="false">IF(OR(G1295="",G1295="?"),"",IFERROR(INDEX(Pubs!$E$2:$E$3001,MATCH(G1295,Pubs!$A$2:$A$3001,0)),""))</f>
        <v/>
      </c>
      <c r="L1295" s="29" t="str">
        <f aca="false">IF(A1295="","",IFERROR(1/(1/INDEX(Numéros!$C$2:$C$3001,MATCH(A1295&amp;"|"&amp;B1295,Numéros!$F$2:$F$3001,0))),""))</f>
        <v/>
      </c>
      <c r="M1295" s="27" t="str">
        <f aca="false">IF(OR(G1295="",G1295="?"),"",IFERROR(INDEX(Pubs!$D$2:$D$3001,MATCH(G1295,Pubs!$A$2:$A$3001,0))&amp;"",""))</f>
        <v/>
      </c>
      <c r="N1295" s="27" t="n">
        <f aca="false">N(N1294)+IF(AND(A1295&lt;&gt;"",OR(Recherche!$C$4="",A1295=Recherche!$C$4),OR(Recherche!$C$5="",B1295&amp;""=Recherche!$C$5&amp;""),OR(Recherche!$C$6="",IFERROR(YEAR(L1295),0)=Recherche!$C$6),OR(Recherche!$C$7="",ISNUMBER(SEARCH(Recherche!$C$7,H1295))),OR(Recherche!$C$8="",J1295=Recherche!$C$8),OR(Recherche!$C$9="",I1295=Recherche!$C$9),OR(Recherche!$C$10="",G1295&amp;""=Recherche!$C$10&amp;""),OR(Recherche!$C$11="",E1295=Recherche!$C$11),OR(Recherche!$C$12="",ISNUMBER(SEARCH(Recherche!$C$12,M1295&amp;" "&amp;F1295)))),1,0)</f>
        <v>8</v>
      </c>
    </row>
    <row r="1296" customFormat="false" ht="15" hidden="false" customHeight="false" outlineLevel="0" collapsed="false">
      <c r="A1296" s="19"/>
      <c r="B1296" s="19"/>
      <c r="C1296" s="19"/>
      <c r="D1296" s="19"/>
      <c r="E1296" s="22"/>
      <c r="F1296" s="19"/>
      <c r="G1296" s="26" t="str">
        <f aca="false">IF(D1296="","",IFERROR(VALUE(LEFT(D1296,FIND(" |",D1296&amp;" |")-1)),"?"))</f>
        <v/>
      </c>
      <c r="H1296" s="27" t="str">
        <f aca="false">IF(G1296="","",IF(G1296="?","⚠ pub inconnue",IFERROR(INDEX(Pubs!$B$2:$B$3001,MATCH(G1296,Pubs!$A$2:$A$3001,0))&amp;"","⚠ pub inconnue")))</f>
        <v/>
      </c>
      <c r="I1296" s="27" t="str">
        <f aca="false">IF(OR(G1296="",G1296="?"),"",IFERROR(INDEX(Pubs!$C$2:$C$3001,MATCH(G1296,Pubs!$A$2:$A$3001,0))&amp;"",""))</f>
        <v/>
      </c>
      <c r="J1296" s="27" t="str">
        <f aca="false">IF(OR(G1296="",G1296="?"),"",IFERROR(INDEX(Pubs!$G$2:$G$3001,MATCH(G1296,Pubs!$A$2:$A$3001,0))&amp;"",""))</f>
        <v/>
      </c>
      <c r="K1296" s="28" t="str">
        <f aca="false">IF(OR(G1296="",G1296="?"),"",IFERROR(INDEX(Pubs!$E$2:$E$3001,MATCH(G1296,Pubs!$A$2:$A$3001,0)),""))</f>
        <v/>
      </c>
      <c r="L1296" s="29" t="str">
        <f aca="false">IF(A1296="","",IFERROR(1/(1/INDEX(Numéros!$C$2:$C$3001,MATCH(A1296&amp;"|"&amp;B1296,Numéros!$F$2:$F$3001,0))),""))</f>
        <v/>
      </c>
      <c r="M1296" s="27" t="str">
        <f aca="false">IF(OR(G1296="",G1296="?"),"",IFERROR(INDEX(Pubs!$D$2:$D$3001,MATCH(G1296,Pubs!$A$2:$A$3001,0))&amp;"",""))</f>
        <v/>
      </c>
      <c r="N1296" s="27" t="n">
        <f aca="false">N(N1295)+IF(AND(A1296&lt;&gt;"",OR(Recherche!$C$4="",A1296=Recherche!$C$4),OR(Recherche!$C$5="",B1296&amp;""=Recherche!$C$5&amp;""),OR(Recherche!$C$6="",IFERROR(YEAR(L1296),0)=Recherche!$C$6),OR(Recherche!$C$7="",ISNUMBER(SEARCH(Recherche!$C$7,H1296))),OR(Recherche!$C$8="",J1296=Recherche!$C$8),OR(Recherche!$C$9="",I1296=Recherche!$C$9),OR(Recherche!$C$10="",G1296&amp;""=Recherche!$C$10&amp;""),OR(Recherche!$C$11="",E1296=Recherche!$C$11),OR(Recherche!$C$12="",ISNUMBER(SEARCH(Recherche!$C$12,M1296&amp;" "&amp;F1296)))),1,0)</f>
        <v>8</v>
      </c>
    </row>
    <row r="1297" customFormat="false" ht="15" hidden="false" customHeight="false" outlineLevel="0" collapsed="false">
      <c r="A1297" s="19"/>
      <c r="B1297" s="19"/>
      <c r="C1297" s="19"/>
      <c r="D1297" s="19"/>
      <c r="E1297" s="22"/>
      <c r="F1297" s="19"/>
      <c r="G1297" s="26" t="str">
        <f aca="false">IF(D1297="","",IFERROR(VALUE(LEFT(D1297,FIND(" |",D1297&amp;" |")-1)),"?"))</f>
        <v/>
      </c>
      <c r="H1297" s="27" t="str">
        <f aca="false">IF(G1297="","",IF(G1297="?","⚠ pub inconnue",IFERROR(INDEX(Pubs!$B$2:$B$3001,MATCH(G1297,Pubs!$A$2:$A$3001,0))&amp;"","⚠ pub inconnue")))</f>
        <v/>
      </c>
      <c r="I1297" s="27" t="str">
        <f aca="false">IF(OR(G1297="",G1297="?"),"",IFERROR(INDEX(Pubs!$C$2:$C$3001,MATCH(G1297,Pubs!$A$2:$A$3001,0))&amp;"",""))</f>
        <v/>
      </c>
      <c r="J1297" s="27" t="str">
        <f aca="false">IF(OR(G1297="",G1297="?"),"",IFERROR(INDEX(Pubs!$G$2:$G$3001,MATCH(G1297,Pubs!$A$2:$A$3001,0))&amp;"",""))</f>
        <v/>
      </c>
      <c r="K1297" s="28" t="str">
        <f aca="false">IF(OR(G1297="",G1297="?"),"",IFERROR(INDEX(Pubs!$E$2:$E$3001,MATCH(G1297,Pubs!$A$2:$A$3001,0)),""))</f>
        <v/>
      </c>
      <c r="L1297" s="29" t="str">
        <f aca="false">IF(A1297="","",IFERROR(1/(1/INDEX(Numéros!$C$2:$C$3001,MATCH(A1297&amp;"|"&amp;B1297,Numéros!$F$2:$F$3001,0))),""))</f>
        <v/>
      </c>
      <c r="M1297" s="27" t="str">
        <f aca="false">IF(OR(G1297="",G1297="?"),"",IFERROR(INDEX(Pubs!$D$2:$D$3001,MATCH(G1297,Pubs!$A$2:$A$3001,0))&amp;"",""))</f>
        <v/>
      </c>
      <c r="N1297" s="27" t="n">
        <f aca="false">N(N1296)+IF(AND(A1297&lt;&gt;"",OR(Recherche!$C$4="",A1297=Recherche!$C$4),OR(Recherche!$C$5="",B1297&amp;""=Recherche!$C$5&amp;""),OR(Recherche!$C$6="",IFERROR(YEAR(L1297),0)=Recherche!$C$6),OR(Recherche!$C$7="",ISNUMBER(SEARCH(Recherche!$C$7,H1297))),OR(Recherche!$C$8="",J1297=Recherche!$C$8),OR(Recherche!$C$9="",I1297=Recherche!$C$9),OR(Recherche!$C$10="",G1297&amp;""=Recherche!$C$10&amp;""),OR(Recherche!$C$11="",E1297=Recherche!$C$11),OR(Recherche!$C$12="",ISNUMBER(SEARCH(Recherche!$C$12,M1297&amp;" "&amp;F1297)))),1,0)</f>
        <v>8</v>
      </c>
    </row>
    <row r="1298" customFormat="false" ht="15" hidden="false" customHeight="false" outlineLevel="0" collapsed="false">
      <c r="A1298" s="19"/>
      <c r="B1298" s="19"/>
      <c r="C1298" s="19"/>
      <c r="D1298" s="19"/>
      <c r="E1298" s="22"/>
      <c r="F1298" s="19"/>
      <c r="G1298" s="26" t="str">
        <f aca="false">IF(D1298="","",IFERROR(VALUE(LEFT(D1298,FIND(" |",D1298&amp;" |")-1)),"?"))</f>
        <v/>
      </c>
      <c r="H1298" s="27" t="str">
        <f aca="false">IF(G1298="","",IF(G1298="?","⚠ pub inconnue",IFERROR(INDEX(Pubs!$B$2:$B$3001,MATCH(G1298,Pubs!$A$2:$A$3001,0))&amp;"","⚠ pub inconnue")))</f>
        <v/>
      </c>
      <c r="I1298" s="27" t="str">
        <f aca="false">IF(OR(G1298="",G1298="?"),"",IFERROR(INDEX(Pubs!$C$2:$C$3001,MATCH(G1298,Pubs!$A$2:$A$3001,0))&amp;"",""))</f>
        <v/>
      </c>
      <c r="J1298" s="27" t="str">
        <f aca="false">IF(OR(G1298="",G1298="?"),"",IFERROR(INDEX(Pubs!$G$2:$G$3001,MATCH(G1298,Pubs!$A$2:$A$3001,0))&amp;"",""))</f>
        <v/>
      </c>
      <c r="K1298" s="28" t="str">
        <f aca="false">IF(OR(G1298="",G1298="?"),"",IFERROR(INDEX(Pubs!$E$2:$E$3001,MATCH(G1298,Pubs!$A$2:$A$3001,0)),""))</f>
        <v/>
      </c>
      <c r="L1298" s="29" t="str">
        <f aca="false">IF(A1298="","",IFERROR(1/(1/INDEX(Numéros!$C$2:$C$3001,MATCH(A1298&amp;"|"&amp;B1298,Numéros!$F$2:$F$3001,0))),""))</f>
        <v/>
      </c>
      <c r="M1298" s="27" t="str">
        <f aca="false">IF(OR(G1298="",G1298="?"),"",IFERROR(INDEX(Pubs!$D$2:$D$3001,MATCH(G1298,Pubs!$A$2:$A$3001,0))&amp;"",""))</f>
        <v/>
      </c>
      <c r="N1298" s="27" t="n">
        <f aca="false">N(N1297)+IF(AND(A1298&lt;&gt;"",OR(Recherche!$C$4="",A1298=Recherche!$C$4),OR(Recherche!$C$5="",B1298&amp;""=Recherche!$C$5&amp;""),OR(Recherche!$C$6="",IFERROR(YEAR(L1298),0)=Recherche!$C$6),OR(Recherche!$C$7="",ISNUMBER(SEARCH(Recherche!$C$7,H1298))),OR(Recherche!$C$8="",J1298=Recherche!$C$8),OR(Recherche!$C$9="",I1298=Recherche!$C$9),OR(Recherche!$C$10="",G1298&amp;""=Recherche!$C$10&amp;""),OR(Recherche!$C$11="",E1298=Recherche!$C$11),OR(Recherche!$C$12="",ISNUMBER(SEARCH(Recherche!$C$12,M1298&amp;" "&amp;F1298)))),1,0)</f>
        <v>8</v>
      </c>
    </row>
    <row r="1299" customFormat="false" ht="15" hidden="false" customHeight="false" outlineLevel="0" collapsed="false">
      <c r="A1299" s="19"/>
      <c r="B1299" s="19"/>
      <c r="C1299" s="19"/>
      <c r="D1299" s="19"/>
      <c r="E1299" s="22"/>
      <c r="F1299" s="19"/>
      <c r="G1299" s="26" t="str">
        <f aca="false">IF(D1299="","",IFERROR(VALUE(LEFT(D1299,FIND(" |",D1299&amp;" |")-1)),"?"))</f>
        <v/>
      </c>
      <c r="H1299" s="27" t="str">
        <f aca="false">IF(G1299="","",IF(G1299="?","⚠ pub inconnue",IFERROR(INDEX(Pubs!$B$2:$B$3001,MATCH(G1299,Pubs!$A$2:$A$3001,0))&amp;"","⚠ pub inconnue")))</f>
        <v/>
      </c>
      <c r="I1299" s="27" t="str">
        <f aca="false">IF(OR(G1299="",G1299="?"),"",IFERROR(INDEX(Pubs!$C$2:$C$3001,MATCH(G1299,Pubs!$A$2:$A$3001,0))&amp;"",""))</f>
        <v/>
      </c>
      <c r="J1299" s="27" t="str">
        <f aca="false">IF(OR(G1299="",G1299="?"),"",IFERROR(INDEX(Pubs!$G$2:$G$3001,MATCH(G1299,Pubs!$A$2:$A$3001,0))&amp;"",""))</f>
        <v/>
      </c>
      <c r="K1299" s="28" t="str">
        <f aca="false">IF(OR(G1299="",G1299="?"),"",IFERROR(INDEX(Pubs!$E$2:$E$3001,MATCH(G1299,Pubs!$A$2:$A$3001,0)),""))</f>
        <v/>
      </c>
      <c r="L1299" s="29" t="str">
        <f aca="false">IF(A1299="","",IFERROR(1/(1/INDEX(Numéros!$C$2:$C$3001,MATCH(A1299&amp;"|"&amp;B1299,Numéros!$F$2:$F$3001,0))),""))</f>
        <v/>
      </c>
      <c r="M1299" s="27" t="str">
        <f aca="false">IF(OR(G1299="",G1299="?"),"",IFERROR(INDEX(Pubs!$D$2:$D$3001,MATCH(G1299,Pubs!$A$2:$A$3001,0))&amp;"",""))</f>
        <v/>
      </c>
      <c r="N1299" s="27" t="n">
        <f aca="false">N(N1298)+IF(AND(A1299&lt;&gt;"",OR(Recherche!$C$4="",A1299=Recherche!$C$4),OR(Recherche!$C$5="",B1299&amp;""=Recherche!$C$5&amp;""),OR(Recherche!$C$6="",IFERROR(YEAR(L1299),0)=Recherche!$C$6),OR(Recherche!$C$7="",ISNUMBER(SEARCH(Recherche!$C$7,H1299))),OR(Recherche!$C$8="",J1299=Recherche!$C$8),OR(Recherche!$C$9="",I1299=Recherche!$C$9),OR(Recherche!$C$10="",G1299&amp;""=Recherche!$C$10&amp;""),OR(Recherche!$C$11="",E1299=Recherche!$C$11),OR(Recherche!$C$12="",ISNUMBER(SEARCH(Recherche!$C$12,M1299&amp;" "&amp;F1299)))),1,0)</f>
        <v>8</v>
      </c>
    </row>
    <row r="1300" customFormat="false" ht="15" hidden="false" customHeight="false" outlineLevel="0" collapsed="false">
      <c r="A1300" s="19"/>
      <c r="B1300" s="19"/>
      <c r="C1300" s="19"/>
      <c r="D1300" s="19"/>
      <c r="E1300" s="22"/>
      <c r="F1300" s="19"/>
      <c r="G1300" s="26" t="str">
        <f aca="false">IF(D1300="","",IFERROR(VALUE(LEFT(D1300,FIND(" |",D1300&amp;" |")-1)),"?"))</f>
        <v/>
      </c>
      <c r="H1300" s="27" t="str">
        <f aca="false">IF(G1300="","",IF(G1300="?","⚠ pub inconnue",IFERROR(INDEX(Pubs!$B$2:$B$3001,MATCH(G1300,Pubs!$A$2:$A$3001,0))&amp;"","⚠ pub inconnue")))</f>
        <v/>
      </c>
      <c r="I1300" s="27" t="str">
        <f aca="false">IF(OR(G1300="",G1300="?"),"",IFERROR(INDEX(Pubs!$C$2:$C$3001,MATCH(G1300,Pubs!$A$2:$A$3001,0))&amp;"",""))</f>
        <v/>
      </c>
      <c r="J1300" s="27" t="str">
        <f aca="false">IF(OR(G1300="",G1300="?"),"",IFERROR(INDEX(Pubs!$G$2:$G$3001,MATCH(G1300,Pubs!$A$2:$A$3001,0))&amp;"",""))</f>
        <v/>
      </c>
      <c r="K1300" s="28" t="str">
        <f aca="false">IF(OR(G1300="",G1300="?"),"",IFERROR(INDEX(Pubs!$E$2:$E$3001,MATCH(G1300,Pubs!$A$2:$A$3001,0)),""))</f>
        <v/>
      </c>
      <c r="L1300" s="29" t="str">
        <f aca="false">IF(A1300="","",IFERROR(1/(1/INDEX(Numéros!$C$2:$C$3001,MATCH(A1300&amp;"|"&amp;B1300,Numéros!$F$2:$F$3001,0))),""))</f>
        <v/>
      </c>
      <c r="M1300" s="27" t="str">
        <f aca="false">IF(OR(G1300="",G1300="?"),"",IFERROR(INDEX(Pubs!$D$2:$D$3001,MATCH(G1300,Pubs!$A$2:$A$3001,0))&amp;"",""))</f>
        <v/>
      </c>
      <c r="N1300" s="27" t="n">
        <f aca="false">N(N1299)+IF(AND(A1300&lt;&gt;"",OR(Recherche!$C$4="",A1300=Recherche!$C$4),OR(Recherche!$C$5="",B1300&amp;""=Recherche!$C$5&amp;""),OR(Recherche!$C$6="",IFERROR(YEAR(L1300),0)=Recherche!$C$6),OR(Recherche!$C$7="",ISNUMBER(SEARCH(Recherche!$C$7,H1300))),OR(Recherche!$C$8="",J1300=Recherche!$C$8),OR(Recherche!$C$9="",I1300=Recherche!$C$9),OR(Recherche!$C$10="",G1300&amp;""=Recherche!$C$10&amp;""),OR(Recherche!$C$11="",E1300=Recherche!$C$11),OR(Recherche!$C$12="",ISNUMBER(SEARCH(Recherche!$C$12,M1300&amp;" "&amp;F1300)))),1,0)</f>
        <v>8</v>
      </c>
    </row>
    <row r="1301" customFormat="false" ht="15" hidden="false" customHeight="false" outlineLevel="0" collapsed="false">
      <c r="A1301" s="19"/>
      <c r="B1301" s="19"/>
      <c r="C1301" s="19"/>
      <c r="D1301" s="19"/>
      <c r="E1301" s="22"/>
      <c r="F1301" s="19"/>
      <c r="G1301" s="26" t="str">
        <f aca="false">IF(D1301="","",IFERROR(VALUE(LEFT(D1301,FIND(" |",D1301&amp;" |")-1)),"?"))</f>
        <v/>
      </c>
      <c r="H1301" s="27" t="str">
        <f aca="false">IF(G1301="","",IF(G1301="?","⚠ pub inconnue",IFERROR(INDEX(Pubs!$B$2:$B$3001,MATCH(G1301,Pubs!$A$2:$A$3001,0))&amp;"","⚠ pub inconnue")))</f>
        <v/>
      </c>
      <c r="I1301" s="27" t="str">
        <f aca="false">IF(OR(G1301="",G1301="?"),"",IFERROR(INDEX(Pubs!$C$2:$C$3001,MATCH(G1301,Pubs!$A$2:$A$3001,0))&amp;"",""))</f>
        <v/>
      </c>
      <c r="J1301" s="27" t="str">
        <f aca="false">IF(OR(G1301="",G1301="?"),"",IFERROR(INDEX(Pubs!$G$2:$G$3001,MATCH(G1301,Pubs!$A$2:$A$3001,0))&amp;"",""))</f>
        <v/>
      </c>
      <c r="K1301" s="28" t="str">
        <f aca="false">IF(OR(G1301="",G1301="?"),"",IFERROR(INDEX(Pubs!$E$2:$E$3001,MATCH(G1301,Pubs!$A$2:$A$3001,0)),""))</f>
        <v/>
      </c>
      <c r="L1301" s="29" t="str">
        <f aca="false">IF(A1301="","",IFERROR(1/(1/INDEX(Numéros!$C$2:$C$3001,MATCH(A1301&amp;"|"&amp;B1301,Numéros!$F$2:$F$3001,0))),""))</f>
        <v/>
      </c>
      <c r="M1301" s="27" t="str">
        <f aca="false">IF(OR(G1301="",G1301="?"),"",IFERROR(INDEX(Pubs!$D$2:$D$3001,MATCH(G1301,Pubs!$A$2:$A$3001,0))&amp;"",""))</f>
        <v/>
      </c>
      <c r="N1301" s="27" t="n">
        <f aca="false">N(N1300)+IF(AND(A1301&lt;&gt;"",OR(Recherche!$C$4="",A1301=Recherche!$C$4),OR(Recherche!$C$5="",B1301&amp;""=Recherche!$C$5&amp;""),OR(Recherche!$C$6="",IFERROR(YEAR(L1301),0)=Recherche!$C$6),OR(Recherche!$C$7="",ISNUMBER(SEARCH(Recherche!$C$7,H1301))),OR(Recherche!$C$8="",J1301=Recherche!$C$8),OR(Recherche!$C$9="",I1301=Recherche!$C$9),OR(Recherche!$C$10="",G1301&amp;""=Recherche!$C$10&amp;""),OR(Recherche!$C$11="",E1301=Recherche!$C$11),OR(Recherche!$C$12="",ISNUMBER(SEARCH(Recherche!$C$12,M1301&amp;" "&amp;F1301)))),1,0)</f>
        <v>8</v>
      </c>
    </row>
    <row r="1302" customFormat="false" ht="15" hidden="false" customHeight="false" outlineLevel="0" collapsed="false">
      <c r="A1302" s="19"/>
      <c r="B1302" s="19"/>
      <c r="C1302" s="19"/>
      <c r="D1302" s="19"/>
      <c r="E1302" s="22"/>
      <c r="F1302" s="19"/>
      <c r="G1302" s="26" t="str">
        <f aca="false">IF(D1302="","",IFERROR(VALUE(LEFT(D1302,FIND(" |",D1302&amp;" |")-1)),"?"))</f>
        <v/>
      </c>
      <c r="H1302" s="27" t="str">
        <f aca="false">IF(G1302="","",IF(G1302="?","⚠ pub inconnue",IFERROR(INDEX(Pubs!$B$2:$B$3001,MATCH(G1302,Pubs!$A$2:$A$3001,0))&amp;"","⚠ pub inconnue")))</f>
        <v/>
      </c>
      <c r="I1302" s="27" t="str">
        <f aca="false">IF(OR(G1302="",G1302="?"),"",IFERROR(INDEX(Pubs!$C$2:$C$3001,MATCH(G1302,Pubs!$A$2:$A$3001,0))&amp;"",""))</f>
        <v/>
      </c>
      <c r="J1302" s="27" t="str">
        <f aca="false">IF(OR(G1302="",G1302="?"),"",IFERROR(INDEX(Pubs!$G$2:$G$3001,MATCH(G1302,Pubs!$A$2:$A$3001,0))&amp;"",""))</f>
        <v/>
      </c>
      <c r="K1302" s="28" t="str">
        <f aca="false">IF(OR(G1302="",G1302="?"),"",IFERROR(INDEX(Pubs!$E$2:$E$3001,MATCH(G1302,Pubs!$A$2:$A$3001,0)),""))</f>
        <v/>
      </c>
      <c r="L1302" s="29" t="str">
        <f aca="false">IF(A1302="","",IFERROR(1/(1/INDEX(Numéros!$C$2:$C$3001,MATCH(A1302&amp;"|"&amp;B1302,Numéros!$F$2:$F$3001,0))),""))</f>
        <v/>
      </c>
      <c r="M1302" s="27" t="str">
        <f aca="false">IF(OR(G1302="",G1302="?"),"",IFERROR(INDEX(Pubs!$D$2:$D$3001,MATCH(G1302,Pubs!$A$2:$A$3001,0))&amp;"",""))</f>
        <v/>
      </c>
      <c r="N1302" s="27" t="n">
        <f aca="false">N(N1301)+IF(AND(A1302&lt;&gt;"",OR(Recherche!$C$4="",A1302=Recherche!$C$4),OR(Recherche!$C$5="",B1302&amp;""=Recherche!$C$5&amp;""),OR(Recherche!$C$6="",IFERROR(YEAR(L1302),0)=Recherche!$C$6),OR(Recherche!$C$7="",ISNUMBER(SEARCH(Recherche!$C$7,H1302))),OR(Recherche!$C$8="",J1302=Recherche!$C$8),OR(Recherche!$C$9="",I1302=Recherche!$C$9),OR(Recherche!$C$10="",G1302&amp;""=Recherche!$C$10&amp;""),OR(Recherche!$C$11="",E1302=Recherche!$C$11),OR(Recherche!$C$12="",ISNUMBER(SEARCH(Recherche!$C$12,M1302&amp;" "&amp;F1302)))),1,0)</f>
        <v>8</v>
      </c>
    </row>
    <row r="1303" customFormat="false" ht="15" hidden="false" customHeight="false" outlineLevel="0" collapsed="false">
      <c r="A1303" s="19"/>
      <c r="B1303" s="19"/>
      <c r="C1303" s="19"/>
      <c r="D1303" s="19"/>
      <c r="E1303" s="22"/>
      <c r="F1303" s="19"/>
      <c r="G1303" s="26" t="str">
        <f aca="false">IF(D1303="","",IFERROR(VALUE(LEFT(D1303,FIND(" |",D1303&amp;" |")-1)),"?"))</f>
        <v/>
      </c>
      <c r="H1303" s="27" t="str">
        <f aca="false">IF(G1303="","",IF(G1303="?","⚠ pub inconnue",IFERROR(INDEX(Pubs!$B$2:$B$3001,MATCH(G1303,Pubs!$A$2:$A$3001,0))&amp;"","⚠ pub inconnue")))</f>
        <v/>
      </c>
      <c r="I1303" s="27" t="str">
        <f aca="false">IF(OR(G1303="",G1303="?"),"",IFERROR(INDEX(Pubs!$C$2:$C$3001,MATCH(G1303,Pubs!$A$2:$A$3001,0))&amp;"",""))</f>
        <v/>
      </c>
      <c r="J1303" s="27" t="str">
        <f aca="false">IF(OR(G1303="",G1303="?"),"",IFERROR(INDEX(Pubs!$G$2:$G$3001,MATCH(G1303,Pubs!$A$2:$A$3001,0))&amp;"",""))</f>
        <v/>
      </c>
      <c r="K1303" s="28" t="str">
        <f aca="false">IF(OR(G1303="",G1303="?"),"",IFERROR(INDEX(Pubs!$E$2:$E$3001,MATCH(G1303,Pubs!$A$2:$A$3001,0)),""))</f>
        <v/>
      </c>
      <c r="L1303" s="29" t="str">
        <f aca="false">IF(A1303="","",IFERROR(1/(1/INDEX(Numéros!$C$2:$C$3001,MATCH(A1303&amp;"|"&amp;B1303,Numéros!$F$2:$F$3001,0))),""))</f>
        <v/>
      </c>
      <c r="M1303" s="27" t="str">
        <f aca="false">IF(OR(G1303="",G1303="?"),"",IFERROR(INDEX(Pubs!$D$2:$D$3001,MATCH(G1303,Pubs!$A$2:$A$3001,0))&amp;"",""))</f>
        <v/>
      </c>
      <c r="N1303" s="27" t="n">
        <f aca="false">N(N1302)+IF(AND(A1303&lt;&gt;"",OR(Recherche!$C$4="",A1303=Recherche!$C$4),OR(Recherche!$C$5="",B1303&amp;""=Recherche!$C$5&amp;""),OR(Recherche!$C$6="",IFERROR(YEAR(L1303),0)=Recherche!$C$6),OR(Recherche!$C$7="",ISNUMBER(SEARCH(Recherche!$C$7,H1303))),OR(Recherche!$C$8="",J1303=Recherche!$C$8),OR(Recherche!$C$9="",I1303=Recherche!$C$9),OR(Recherche!$C$10="",G1303&amp;""=Recherche!$C$10&amp;""),OR(Recherche!$C$11="",E1303=Recherche!$C$11),OR(Recherche!$C$12="",ISNUMBER(SEARCH(Recherche!$C$12,M1303&amp;" "&amp;F1303)))),1,0)</f>
        <v>8</v>
      </c>
    </row>
    <row r="1304" customFormat="false" ht="15" hidden="false" customHeight="false" outlineLevel="0" collapsed="false">
      <c r="A1304" s="19"/>
      <c r="B1304" s="19"/>
      <c r="C1304" s="19"/>
      <c r="D1304" s="19"/>
      <c r="E1304" s="22"/>
      <c r="F1304" s="19"/>
      <c r="G1304" s="26" t="str">
        <f aca="false">IF(D1304="","",IFERROR(VALUE(LEFT(D1304,FIND(" |",D1304&amp;" |")-1)),"?"))</f>
        <v/>
      </c>
      <c r="H1304" s="27" t="str">
        <f aca="false">IF(G1304="","",IF(G1304="?","⚠ pub inconnue",IFERROR(INDEX(Pubs!$B$2:$B$3001,MATCH(G1304,Pubs!$A$2:$A$3001,0))&amp;"","⚠ pub inconnue")))</f>
        <v/>
      </c>
      <c r="I1304" s="27" t="str">
        <f aca="false">IF(OR(G1304="",G1304="?"),"",IFERROR(INDEX(Pubs!$C$2:$C$3001,MATCH(G1304,Pubs!$A$2:$A$3001,0))&amp;"",""))</f>
        <v/>
      </c>
      <c r="J1304" s="27" t="str">
        <f aca="false">IF(OR(G1304="",G1304="?"),"",IFERROR(INDEX(Pubs!$G$2:$G$3001,MATCH(G1304,Pubs!$A$2:$A$3001,0))&amp;"",""))</f>
        <v/>
      </c>
      <c r="K1304" s="28" t="str">
        <f aca="false">IF(OR(G1304="",G1304="?"),"",IFERROR(INDEX(Pubs!$E$2:$E$3001,MATCH(G1304,Pubs!$A$2:$A$3001,0)),""))</f>
        <v/>
      </c>
      <c r="L1304" s="29" t="str">
        <f aca="false">IF(A1304="","",IFERROR(1/(1/INDEX(Numéros!$C$2:$C$3001,MATCH(A1304&amp;"|"&amp;B1304,Numéros!$F$2:$F$3001,0))),""))</f>
        <v/>
      </c>
      <c r="M1304" s="27" t="str">
        <f aca="false">IF(OR(G1304="",G1304="?"),"",IFERROR(INDEX(Pubs!$D$2:$D$3001,MATCH(G1304,Pubs!$A$2:$A$3001,0))&amp;"",""))</f>
        <v/>
      </c>
      <c r="N1304" s="27" t="n">
        <f aca="false">N(N1303)+IF(AND(A1304&lt;&gt;"",OR(Recherche!$C$4="",A1304=Recherche!$C$4),OR(Recherche!$C$5="",B1304&amp;""=Recherche!$C$5&amp;""),OR(Recherche!$C$6="",IFERROR(YEAR(L1304),0)=Recherche!$C$6),OR(Recherche!$C$7="",ISNUMBER(SEARCH(Recherche!$C$7,H1304))),OR(Recherche!$C$8="",J1304=Recherche!$C$8),OR(Recherche!$C$9="",I1304=Recherche!$C$9),OR(Recherche!$C$10="",G1304&amp;""=Recherche!$C$10&amp;""),OR(Recherche!$C$11="",E1304=Recherche!$C$11),OR(Recherche!$C$12="",ISNUMBER(SEARCH(Recherche!$C$12,M1304&amp;" "&amp;F1304)))),1,0)</f>
        <v>8</v>
      </c>
    </row>
    <row r="1305" customFormat="false" ht="15" hidden="false" customHeight="false" outlineLevel="0" collapsed="false">
      <c r="A1305" s="19"/>
      <c r="B1305" s="19"/>
      <c r="C1305" s="19"/>
      <c r="D1305" s="19"/>
      <c r="E1305" s="22"/>
      <c r="F1305" s="19"/>
      <c r="G1305" s="26" t="str">
        <f aca="false">IF(D1305="","",IFERROR(VALUE(LEFT(D1305,FIND(" |",D1305&amp;" |")-1)),"?"))</f>
        <v/>
      </c>
      <c r="H1305" s="27" t="str">
        <f aca="false">IF(G1305="","",IF(G1305="?","⚠ pub inconnue",IFERROR(INDEX(Pubs!$B$2:$B$3001,MATCH(G1305,Pubs!$A$2:$A$3001,0))&amp;"","⚠ pub inconnue")))</f>
        <v/>
      </c>
      <c r="I1305" s="27" t="str">
        <f aca="false">IF(OR(G1305="",G1305="?"),"",IFERROR(INDEX(Pubs!$C$2:$C$3001,MATCH(G1305,Pubs!$A$2:$A$3001,0))&amp;"",""))</f>
        <v/>
      </c>
      <c r="J1305" s="27" t="str">
        <f aca="false">IF(OR(G1305="",G1305="?"),"",IFERROR(INDEX(Pubs!$G$2:$G$3001,MATCH(G1305,Pubs!$A$2:$A$3001,0))&amp;"",""))</f>
        <v/>
      </c>
      <c r="K1305" s="28" t="str">
        <f aca="false">IF(OR(G1305="",G1305="?"),"",IFERROR(INDEX(Pubs!$E$2:$E$3001,MATCH(G1305,Pubs!$A$2:$A$3001,0)),""))</f>
        <v/>
      </c>
      <c r="L1305" s="29" t="str">
        <f aca="false">IF(A1305="","",IFERROR(1/(1/INDEX(Numéros!$C$2:$C$3001,MATCH(A1305&amp;"|"&amp;B1305,Numéros!$F$2:$F$3001,0))),""))</f>
        <v/>
      </c>
      <c r="M1305" s="27" t="str">
        <f aca="false">IF(OR(G1305="",G1305="?"),"",IFERROR(INDEX(Pubs!$D$2:$D$3001,MATCH(G1305,Pubs!$A$2:$A$3001,0))&amp;"",""))</f>
        <v/>
      </c>
      <c r="N1305" s="27" t="n">
        <f aca="false">N(N1304)+IF(AND(A1305&lt;&gt;"",OR(Recherche!$C$4="",A1305=Recherche!$C$4),OR(Recherche!$C$5="",B1305&amp;""=Recherche!$C$5&amp;""),OR(Recherche!$C$6="",IFERROR(YEAR(L1305),0)=Recherche!$C$6),OR(Recherche!$C$7="",ISNUMBER(SEARCH(Recherche!$C$7,H1305))),OR(Recherche!$C$8="",J1305=Recherche!$C$8),OR(Recherche!$C$9="",I1305=Recherche!$C$9),OR(Recherche!$C$10="",G1305&amp;""=Recherche!$C$10&amp;""),OR(Recherche!$C$11="",E1305=Recherche!$C$11),OR(Recherche!$C$12="",ISNUMBER(SEARCH(Recherche!$C$12,M1305&amp;" "&amp;F1305)))),1,0)</f>
        <v>8</v>
      </c>
    </row>
    <row r="1306" customFormat="false" ht="15" hidden="false" customHeight="false" outlineLevel="0" collapsed="false">
      <c r="A1306" s="19"/>
      <c r="B1306" s="19"/>
      <c r="C1306" s="19"/>
      <c r="D1306" s="19"/>
      <c r="E1306" s="22"/>
      <c r="F1306" s="19"/>
      <c r="G1306" s="26" t="str">
        <f aca="false">IF(D1306="","",IFERROR(VALUE(LEFT(D1306,FIND(" |",D1306&amp;" |")-1)),"?"))</f>
        <v/>
      </c>
      <c r="H1306" s="27" t="str">
        <f aca="false">IF(G1306="","",IF(G1306="?","⚠ pub inconnue",IFERROR(INDEX(Pubs!$B$2:$B$3001,MATCH(G1306,Pubs!$A$2:$A$3001,0))&amp;"","⚠ pub inconnue")))</f>
        <v/>
      </c>
      <c r="I1306" s="27" t="str">
        <f aca="false">IF(OR(G1306="",G1306="?"),"",IFERROR(INDEX(Pubs!$C$2:$C$3001,MATCH(G1306,Pubs!$A$2:$A$3001,0))&amp;"",""))</f>
        <v/>
      </c>
      <c r="J1306" s="27" t="str">
        <f aca="false">IF(OR(G1306="",G1306="?"),"",IFERROR(INDEX(Pubs!$G$2:$G$3001,MATCH(G1306,Pubs!$A$2:$A$3001,0))&amp;"",""))</f>
        <v/>
      </c>
      <c r="K1306" s="28" t="str">
        <f aca="false">IF(OR(G1306="",G1306="?"),"",IFERROR(INDEX(Pubs!$E$2:$E$3001,MATCH(G1306,Pubs!$A$2:$A$3001,0)),""))</f>
        <v/>
      </c>
      <c r="L1306" s="29" t="str">
        <f aca="false">IF(A1306="","",IFERROR(1/(1/INDEX(Numéros!$C$2:$C$3001,MATCH(A1306&amp;"|"&amp;B1306,Numéros!$F$2:$F$3001,0))),""))</f>
        <v/>
      </c>
      <c r="M1306" s="27" t="str">
        <f aca="false">IF(OR(G1306="",G1306="?"),"",IFERROR(INDEX(Pubs!$D$2:$D$3001,MATCH(G1306,Pubs!$A$2:$A$3001,0))&amp;"",""))</f>
        <v/>
      </c>
      <c r="N1306" s="27" t="n">
        <f aca="false">N(N1305)+IF(AND(A1306&lt;&gt;"",OR(Recherche!$C$4="",A1306=Recherche!$C$4),OR(Recherche!$C$5="",B1306&amp;""=Recherche!$C$5&amp;""),OR(Recherche!$C$6="",IFERROR(YEAR(L1306),0)=Recherche!$C$6),OR(Recherche!$C$7="",ISNUMBER(SEARCH(Recherche!$C$7,H1306))),OR(Recherche!$C$8="",J1306=Recherche!$C$8),OR(Recherche!$C$9="",I1306=Recherche!$C$9),OR(Recherche!$C$10="",G1306&amp;""=Recherche!$C$10&amp;""),OR(Recherche!$C$11="",E1306=Recherche!$C$11),OR(Recherche!$C$12="",ISNUMBER(SEARCH(Recherche!$C$12,M1306&amp;" "&amp;F1306)))),1,0)</f>
        <v>8</v>
      </c>
    </row>
    <row r="1307" customFormat="false" ht="15" hidden="false" customHeight="false" outlineLevel="0" collapsed="false">
      <c r="A1307" s="19"/>
      <c r="B1307" s="19"/>
      <c r="C1307" s="19"/>
      <c r="D1307" s="19"/>
      <c r="E1307" s="22"/>
      <c r="F1307" s="19"/>
      <c r="G1307" s="26" t="str">
        <f aca="false">IF(D1307="","",IFERROR(VALUE(LEFT(D1307,FIND(" |",D1307&amp;" |")-1)),"?"))</f>
        <v/>
      </c>
      <c r="H1307" s="27" t="str">
        <f aca="false">IF(G1307="","",IF(G1307="?","⚠ pub inconnue",IFERROR(INDEX(Pubs!$B$2:$B$3001,MATCH(G1307,Pubs!$A$2:$A$3001,0))&amp;"","⚠ pub inconnue")))</f>
        <v/>
      </c>
      <c r="I1307" s="27" t="str">
        <f aca="false">IF(OR(G1307="",G1307="?"),"",IFERROR(INDEX(Pubs!$C$2:$C$3001,MATCH(G1307,Pubs!$A$2:$A$3001,0))&amp;"",""))</f>
        <v/>
      </c>
      <c r="J1307" s="27" t="str">
        <f aca="false">IF(OR(G1307="",G1307="?"),"",IFERROR(INDEX(Pubs!$G$2:$G$3001,MATCH(G1307,Pubs!$A$2:$A$3001,0))&amp;"",""))</f>
        <v/>
      </c>
      <c r="K1307" s="28" t="str">
        <f aca="false">IF(OR(G1307="",G1307="?"),"",IFERROR(INDEX(Pubs!$E$2:$E$3001,MATCH(G1307,Pubs!$A$2:$A$3001,0)),""))</f>
        <v/>
      </c>
      <c r="L1307" s="29" t="str">
        <f aca="false">IF(A1307="","",IFERROR(1/(1/INDEX(Numéros!$C$2:$C$3001,MATCH(A1307&amp;"|"&amp;B1307,Numéros!$F$2:$F$3001,0))),""))</f>
        <v/>
      </c>
      <c r="M1307" s="27" t="str">
        <f aca="false">IF(OR(G1307="",G1307="?"),"",IFERROR(INDEX(Pubs!$D$2:$D$3001,MATCH(G1307,Pubs!$A$2:$A$3001,0))&amp;"",""))</f>
        <v/>
      </c>
      <c r="N1307" s="27" t="n">
        <f aca="false">N(N1306)+IF(AND(A1307&lt;&gt;"",OR(Recherche!$C$4="",A1307=Recherche!$C$4),OR(Recherche!$C$5="",B1307&amp;""=Recherche!$C$5&amp;""),OR(Recherche!$C$6="",IFERROR(YEAR(L1307),0)=Recherche!$C$6),OR(Recherche!$C$7="",ISNUMBER(SEARCH(Recherche!$C$7,H1307))),OR(Recherche!$C$8="",J1307=Recherche!$C$8),OR(Recherche!$C$9="",I1307=Recherche!$C$9),OR(Recherche!$C$10="",G1307&amp;""=Recherche!$C$10&amp;""),OR(Recherche!$C$11="",E1307=Recherche!$C$11),OR(Recherche!$C$12="",ISNUMBER(SEARCH(Recherche!$C$12,M1307&amp;" "&amp;F1307)))),1,0)</f>
        <v>8</v>
      </c>
    </row>
    <row r="1308" customFormat="false" ht="15" hidden="false" customHeight="false" outlineLevel="0" collapsed="false">
      <c r="A1308" s="19"/>
      <c r="B1308" s="19"/>
      <c r="C1308" s="19"/>
      <c r="D1308" s="19"/>
      <c r="E1308" s="22"/>
      <c r="F1308" s="19"/>
      <c r="G1308" s="26" t="str">
        <f aca="false">IF(D1308="","",IFERROR(VALUE(LEFT(D1308,FIND(" |",D1308&amp;" |")-1)),"?"))</f>
        <v/>
      </c>
      <c r="H1308" s="27" t="str">
        <f aca="false">IF(G1308="","",IF(G1308="?","⚠ pub inconnue",IFERROR(INDEX(Pubs!$B$2:$B$3001,MATCH(G1308,Pubs!$A$2:$A$3001,0))&amp;"","⚠ pub inconnue")))</f>
        <v/>
      </c>
      <c r="I1308" s="27" t="str">
        <f aca="false">IF(OR(G1308="",G1308="?"),"",IFERROR(INDEX(Pubs!$C$2:$C$3001,MATCH(G1308,Pubs!$A$2:$A$3001,0))&amp;"",""))</f>
        <v/>
      </c>
      <c r="J1308" s="27" t="str">
        <f aca="false">IF(OR(G1308="",G1308="?"),"",IFERROR(INDEX(Pubs!$G$2:$G$3001,MATCH(G1308,Pubs!$A$2:$A$3001,0))&amp;"",""))</f>
        <v/>
      </c>
      <c r="K1308" s="28" t="str">
        <f aca="false">IF(OR(G1308="",G1308="?"),"",IFERROR(INDEX(Pubs!$E$2:$E$3001,MATCH(G1308,Pubs!$A$2:$A$3001,0)),""))</f>
        <v/>
      </c>
      <c r="L1308" s="29" t="str">
        <f aca="false">IF(A1308="","",IFERROR(1/(1/INDEX(Numéros!$C$2:$C$3001,MATCH(A1308&amp;"|"&amp;B1308,Numéros!$F$2:$F$3001,0))),""))</f>
        <v/>
      </c>
      <c r="M1308" s="27" t="str">
        <f aca="false">IF(OR(G1308="",G1308="?"),"",IFERROR(INDEX(Pubs!$D$2:$D$3001,MATCH(G1308,Pubs!$A$2:$A$3001,0))&amp;"",""))</f>
        <v/>
      </c>
      <c r="N1308" s="27" t="n">
        <f aca="false">N(N1307)+IF(AND(A1308&lt;&gt;"",OR(Recherche!$C$4="",A1308=Recherche!$C$4),OR(Recherche!$C$5="",B1308&amp;""=Recherche!$C$5&amp;""),OR(Recherche!$C$6="",IFERROR(YEAR(L1308),0)=Recherche!$C$6),OR(Recherche!$C$7="",ISNUMBER(SEARCH(Recherche!$C$7,H1308))),OR(Recherche!$C$8="",J1308=Recherche!$C$8),OR(Recherche!$C$9="",I1308=Recherche!$C$9),OR(Recherche!$C$10="",G1308&amp;""=Recherche!$C$10&amp;""),OR(Recherche!$C$11="",E1308=Recherche!$C$11),OR(Recherche!$C$12="",ISNUMBER(SEARCH(Recherche!$C$12,M1308&amp;" "&amp;F1308)))),1,0)</f>
        <v>8</v>
      </c>
    </row>
    <row r="1309" customFormat="false" ht="15" hidden="false" customHeight="false" outlineLevel="0" collapsed="false">
      <c r="A1309" s="19"/>
      <c r="B1309" s="19"/>
      <c r="C1309" s="19"/>
      <c r="D1309" s="19"/>
      <c r="E1309" s="22"/>
      <c r="F1309" s="19"/>
      <c r="G1309" s="26" t="str">
        <f aca="false">IF(D1309="","",IFERROR(VALUE(LEFT(D1309,FIND(" |",D1309&amp;" |")-1)),"?"))</f>
        <v/>
      </c>
      <c r="H1309" s="27" t="str">
        <f aca="false">IF(G1309="","",IF(G1309="?","⚠ pub inconnue",IFERROR(INDEX(Pubs!$B$2:$B$3001,MATCH(G1309,Pubs!$A$2:$A$3001,0))&amp;"","⚠ pub inconnue")))</f>
        <v/>
      </c>
      <c r="I1309" s="27" t="str">
        <f aca="false">IF(OR(G1309="",G1309="?"),"",IFERROR(INDEX(Pubs!$C$2:$C$3001,MATCH(G1309,Pubs!$A$2:$A$3001,0))&amp;"",""))</f>
        <v/>
      </c>
      <c r="J1309" s="27" t="str">
        <f aca="false">IF(OR(G1309="",G1309="?"),"",IFERROR(INDEX(Pubs!$G$2:$G$3001,MATCH(G1309,Pubs!$A$2:$A$3001,0))&amp;"",""))</f>
        <v/>
      </c>
      <c r="K1309" s="28" t="str">
        <f aca="false">IF(OR(G1309="",G1309="?"),"",IFERROR(INDEX(Pubs!$E$2:$E$3001,MATCH(G1309,Pubs!$A$2:$A$3001,0)),""))</f>
        <v/>
      </c>
      <c r="L1309" s="29" t="str">
        <f aca="false">IF(A1309="","",IFERROR(1/(1/INDEX(Numéros!$C$2:$C$3001,MATCH(A1309&amp;"|"&amp;B1309,Numéros!$F$2:$F$3001,0))),""))</f>
        <v/>
      </c>
      <c r="M1309" s="27" t="str">
        <f aca="false">IF(OR(G1309="",G1309="?"),"",IFERROR(INDEX(Pubs!$D$2:$D$3001,MATCH(G1309,Pubs!$A$2:$A$3001,0))&amp;"",""))</f>
        <v/>
      </c>
      <c r="N1309" s="27" t="n">
        <f aca="false">N(N1308)+IF(AND(A1309&lt;&gt;"",OR(Recherche!$C$4="",A1309=Recherche!$C$4),OR(Recherche!$C$5="",B1309&amp;""=Recherche!$C$5&amp;""),OR(Recherche!$C$6="",IFERROR(YEAR(L1309),0)=Recherche!$C$6),OR(Recherche!$C$7="",ISNUMBER(SEARCH(Recherche!$C$7,H1309))),OR(Recherche!$C$8="",J1309=Recherche!$C$8),OR(Recherche!$C$9="",I1309=Recherche!$C$9),OR(Recherche!$C$10="",G1309&amp;""=Recherche!$C$10&amp;""),OR(Recherche!$C$11="",E1309=Recherche!$C$11),OR(Recherche!$C$12="",ISNUMBER(SEARCH(Recherche!$C$12,M1309&amp;" "&amp;F1309)))),1,0)</f>
        <v>8</v>
      </c>
    </row>
    <row r="1310" customFormat="false" ht="15" hidden="false" customHeight="false" outlineLevel="0" collapsed="false">
      <c r="A1310" s="19"/>
      <c r="B1310" s="19"/>
      <c r="C1310" s="19"/>
      <c r="D1310" s="19"/>
      <c r="E1310" s="22"/>
      <c r="F1310" s="19"/>
      <c r="G1310" s="26" t="str">
        <f aca="false">IF(D1310="","",IFERROR(VALUE(LEFT(D1310,FIND(" |",D1310&amp;" |")-1)),"?"))</f>
        <v/>
      </c>
      <c r="H1310" s="27" t="str">
        <f aca="false">IF(G1310="","",IF(G1310="?","⚠ pub inconnue",IFERROR(INDEX(Pubs!$B$2:$B$3001,MATCH(G1310,Pubs!$A$2:$A$3001,0))&amp;"","⚠ pub inconnue")))</f>
        <v/>
      </c>
      <c r="I1310" s="27" t="str">
        <f aca="false">IF(OR(G1310="",G1310="?"),"",IFERROR(INDEX(Pubs!$C$2:$C$3001,MATCH(G1310,Pubs!$A$2:$A$3001,0))&amp;"",""))</f>
        <v/>
      </c>
      <c r="J1310" s="27" t="str">
        <f aca="false">IF(OR(G1310="",G1310="?"),"",IFERROR(INDEX(Pubs!$G$2:$G$3001,MATCH(G1310,Pubs!$A$2:$A$3001,0))&amp;"",""))</f>
        <v/>
      </c>
      <c r="K1310" s="28" t="str">
        <f aca="false">IF(OR(G1310="",G1310="?"),"",IFERROR(INDEX(Pubs!$E$2:$E$3001,MATCH(G1310,Pubs!$A$2:$A$3001,0)),""))</f>
        <v/>
      </c>
      <c r="L1310" s="29" t="str">
        <f aca="false">IF(A1310="","",IFERROR(1/(1/INDEX(Numéros!$C$2:$C$3001,MATCH(A1310&amp;"|"&amp;B1310,Numéros!$F$2:$F$3001,0))),""))</f>
        <v/>
      </c>
      <c r="M1310" s="27" t="str">
        <f aca="false">IF(OR(G1310="",G1310="?"),"",IFERROR(INDEX(Pubs!$D$2:$D$3001,MATCH(G1310,Pubs!$A$2:$A$3001,0))&amp;"",""))</f>
        <v/>
      </c>
      <c r="N1310" s="27" t="n">
        <f aca="false">N(N1309)+IF(AND(A1310&lt;&gt;"",OR(Recherche!$C$4="",A1310=Recherche!$C$4),OR(Recherche!$C$5="",B1310&amp;""=Recherche!$C$5&amp;""),OR(Recherche!$C$6="",IFERROR(YEAR(L1310),0)=Recherche!$C$6),OR(Recherche!$C$7="",ISNUMBER(SEARCH(Recherche!$C$7,H1310))),OR(Recherche!$C$8="",J1310=Recherche!$C$8),OR(Recherche!$C$9="",I1310=Recherche!$C$9),OR(Recherche!$C$10="",G1310&amp;""=Recherche!$C$10&amp;""),OR(Recherche!$C$11="",E1310=Recherche!$C$11),OR(Recherche!$C$12="",ISNUMBER(SEARCH(Recherche!$C$12,M1310&amp;" "&amp;F1310)))),1,0)</f>
        <v>8</v>
      </c>
    </row>
    <row r="1311" customFormat="false" ht="15" hidden="false" customHeight="false" outlineLevel="0" collapsed="false">
      <c r="A1311" s="19"/>
      <c r="B1311" s="19"/>
      <c r="C1311" s="19"/>
      <c r="D1311" s="19"/>
      <c r="E1311" s="22"/>
      <c r="F1311" s="19"/>
      <c r="G1311" s="26" t="str">
        <f aca="false">IF(D1311="","",IFERROR(VALUE(LEFT(D1311,FIND(" |",D1311&amp;" |")-1)),"?"))</f>
        <v/>
      </c>
      <c r="H1311" s="27" t="str">
        <f aca="false">IF(G1311="","",IF(G1311="?","⚠ pub inconnue",IFERROR(INDEX(Pubs!$B$2:$B$3001,MATCH(G1311,Pubs!$A$2:$A$3001,0))&amp;"","⚠ pub inconnue")))</f>
        <v/>
      </c>
      <c r="I1311" s="27" t="str">
        <f aca="false">IF(OR(G1311="",G1311="?"),"",IFERROR(INDEX(Pubs!$C$2:$C$3001,MATCH(G1311,Pubs!$A$2:$A$3001,0))&amp;"",""))</f>
        <v/>
      </c>
      <c r="J1311" s="27" t="str">
        <f aca="false">IF(OR(G1311="",G1311="?"),"",IFERROR(INDEX(Pubs!$G$2:$G$3001,MATCH(G1311,Pubs!$A$2:$A$3001,0))&amp;"",""))</f>
        <v/>
      </c>
      <c r="K1311" s="28" t="str">
        <f aca="false">IF(OR(G1311="",G1311="?"),"",IFERROR(INDEX(Pubs!$E$2:$E$3001,MATCH(G1311,Pubs!$A$2:$A$3001,0)),""))</f>
        <v/>
      </c>
      <c r="L1311" s="29" t="str">
        <f aca="false">IF(A1311="","",IFERROR(1/(1/INDEX(Numéros!$C$2:$C$3001,MATCH(A1311&amp;"|"&amp;B1311,Numéros!$F$2:$F$3001,0))),""))</f>
        <v/>
      </c>
      <c r="M1311" s="27" t="str">
        <f aca="false">IF(OR(G1311="",G1311="?"),"",IFERROR(INDEX(Pubs!$D$2:$D$3001,MATCH(G1311,Pubs!$A$2:$A$3001,0))&amp;"",""))</f>
        <v/>
      </c>
      <c r="N1311" s="27" t="n">
        <f aca="false">N(N1310)+IF(AND(A1311&lt;&gt;"",OR(Recherche!$C$4="",A1311=Recherche!$C$4),OR(Recherche!$C$5="",B1311&amp;""=Recherche!$C$5&amp;""),OR(Recherche!$C$6="",IFERROR(YEAR(L1311),0)=Recherche!$C$6),OR(Recherche!$C$7="",ISNUMBER(SEARCH(Recherche!$C$7,H1311))),OR(Recherche!$C$8="",J1311=Recherche!$C$8),OR(Recherche!$C$9="",I1311=Recherche!$C$9),OR(Recherche!$C$10="",G1311&amp;""=Recherche!$C$10&amp;""),OR(Recherche!$C$11="",E1311=Recherche!$C$11),OR(Recherche!$C$12="",ISNUMBER(SEARCH(Recherche!$C$12,M1311&amp;" "&amp;F1311)))),1,0)</f>
        <v>8</v>
      </c>
    </row>
    <row r="1312" customFormat="false" ht="15" hidden="false" customHeight="false" outlineLevel="0" collapsed="false">
      <c r="A1312" s="19"/>
      <c r="B1312" s="19"/>
      <c r="C1312" s="19"/>
      <c r="D1312" s="19"/>
      <c r="E1312" s="22"/>
      <c r="F1312" s="19"/>
      <c r="G1312" s="26" t="str">
        <f aca="false">IF(D1312="","",IFERROR(VALUE(LEFT(D1312,FIND(" |",D1312&amp;" |")-1)),"?"))</f>
        <v/>
      </c>
      <c r="H1312" s="27" t="str">
        <f aca="false">IF(G1312="","",IF(G1312="?","⚠ pub inconnue",IFERROR(INDEX(Pubs!$B$2:$B$3001,MATCH(G1312,Pubs!$A$2:$A$3001,0))&amp;"","⚠ pub inconnue")))</f>
        <v/>
      </c>
      <c r="I1312" s="27" t="str">
        <f aca="false">IF(OR(G1312="",G1312="?"),"",IFERROR(INDEX(Pubs!$C$2:$C$3001,MATCH(G1312,Pubs!$A$2:$A$3001,0))&amp;"",""))</f>
        <v/>
      </c>
      <c r="J1312" s="27" t="str">
        <f aca="false">IF(OR(G1312="",G1312="?"),"",IFERROR(INDEX(Pubs!$G$2:$G$3001,MATCH(G1312,Pubs!$A$2:$A$3001,0))&amp;"",""))</f>
        <v/>
      </c>
      <c r="K1312" s="28" t="str">
        <f aca="false">IF(OR(G1312="",G1312="?"),"",IFERROR(INDEX(Pubs!$E$2:$E$3001,MATCH(G1312,Pubs!$A$2:$A$3001,0)),""))</f>
        <v/>
      </c>
      <c r="L1312" s="29" t="str">
        <f aca="false">IF(A1312="","",IFERROR(1/(1/INDEX(Numéros!$C$2:$C$3001,MATCH(A1312&amp;"|"&amp;B1312,Numéros!$F$2:$F$3001,0))),""))</f>
        <v/>
      </c>
      <c r="M1312" s="27" t="str">
        <f aca="false">IF(OR(G1312="",G1312="?"),"",IFERROR(INDEX(Pubs!$D$2:$D$3001,MATCH(G1312,Pubs!$A$2:$A$3001,0))&amp;"",""))</f>
        <v/>
      </c>
      <c r="N1312" s="27" t="n">
        <f aca="false">N(N1311)+IF(AND(A1312&lt;&gt;"",OR(Recherche!$C$4="",A1312=Recherche!$C$4),OR(Recherche!$C$5="",B1312&amp;""=Recherche!$C$5&amp;""),OR(Recherche!$C$6="",IFERROR(YEAR(L1312),0)=Recherche!$C$6),OR(Recherche!$C$7="",ISNUMBER(SEARCH(Recherche!$C$7,H1312))),OR(Recherche!$C$8="",J1312=Recherche!$C$8),OR(Recherche!$C$9="",I1312=Recherche!$C$9),OR(Recherche!$C$10="",G1312&amp;""=Recherche!$C$10&amp;""),OR(Recherche!$C$11="",E1312=Recherche!$C$11),OR(Recherche!$C$12="",ISNUMBER(SEARCH(Recherche!$C$12,M1312&amp;" "&amp;F1312)))),1,0)</f>
        <v>8</v>
      </c>
    </row>
    <row r="1313" customFormat="false" ht="15" hidden="false" customHeight="false" outlineLevel="0" collapsed="false">
      <c r="A1313" s="19"/>
      <c r="B1313" s="19"/>
      <c r="C1313" s="19"/>
      <c r="D1313" s="19"/>
      <c r="E1313" s="22"/>
      <c r="F1313" s="19"/>
      <c r="G1313" s="26" t="str">
        <f aca="false">IF(D1313="","",IFERROR(VALUE(LEFT(D1313,FIND(" |",D1313&amp;" |")-1)),"?"))</f>
        <v/>
      </c>
      <c r="H1313" s="27" t="str">
        <f aca="false">IF(G1313="","",IF(G1313="?","⚠ pub inconnue",IFERROR(INDEX(Pubs!$B$2:$B$3001,MATCH(G1313,Pubs!$A$2:$A$3001,0))&amp;"","⚠ pub inconnue")))</f>
        <v/>
      </c>
      <c r="I1313" s="27" t="str">
        <f aca="false">IF(OR(G1313="",G1313="?"),"",IFERROR(INDEX(Pubs!$C$2:$C$3001,MATCH(G1313,Pubs!$A$2:$A$3001,0))&amp;"",""))</f>
        <v/>
      </c>
      <c r="J1313" s="27" t="str">
        <f aca="false">IF(OR(G1313="",G1313="?"),"",IFERROR(INDEX(Pubs!$G$2:$G$3001,MATCH(G1313,Pubs!$A$2:$A$3001,0))&amp;"",""))</f>
        <v/>
      </c>
      <c r="K1313" s="28" t="str">
        <f aca="false">IF(OR(G1313="",G1313="?"),"",IFERROR(INDEX(Pubs!$E$2:$E$3001,MATCH(G1313,Pubs!$A$2:$A$3001,0)),""))</f>
        <v/>
      </c>
      <c r="L1313" s="29" t="str">
        <f aca="false">IF(A1313="","",IFERROR(1/(1/INDEX(Numéros!$C$2:$C$3001,MATCH(A1313&amp;"|"&amp;B1313,Numéros!$F$2:$F$3001,0))),""))</f>
        <v/>
      </c>
      <c r="M1313" s="27" t="str">
        <f aca="false">IF(OR(G1313="",G1313="?"),"",IFERROR(INDEX(Pubs!$D$2:$D$3001,MATCH(G1313,Pubs!$A$2:$A$3001,0))&amp;"",""))</f>
        <v/>
      </c>
      <c r="N1313" s="27" t="n">
        <f aca="false">N(N1312)+IF(AND(A1313&lt;&gt;"",OR(Recherche!$C$4="",A1313=Recherche!$C$4),OR(Recherche!$C$5="",B1313&amp;""=Recherche!$C$5&amp;""),OR(Recherche!$C$6="",IFERROR(YEAR(L1313),0)=Recherche!$C$6),OR(Recherche!$C$7="",ISNUMBER(SEARCH(Recherche!$C$7,H1313))),OR(Recherche!$C$8="",J1313=Recherche!$C$8),OR(Recherche!$C$9="",I1313=Recherche!$C$9),OR(Recherche!$C$10="",G1313&amp;""=Recherche!$C$10&amp;""),OR(Recherche!$C$11="",E1313=Recherche!$C$11),OR(Recherche!$C$12="",ISNUMBER(SEARCH(Recherche!$C$12,M1313&amp;" "&amp;F1313)))),1,0)</f>
        <v>8</v>
      </c>
    </row>
    <row r="1314" customFormat="false" ht="15" hidden="false" customHeight="false" outlineLevel="0" collapsed="false">
      <c r="A1314" s="19"/>
      <c r="B1314" s="19"/>
      <c r="C1314" s="19"/>
      <c r="D1314" s="19"/>
      <c r="E1314" s="22"/>
      <c r="F1314" s="19"/>
      <c r="G1314" s="26" t="str">
        <f aca="false">IF(D1314="","",IFERROR(VALUE(LEFT(D1314,FIND(" |",D1314&amp;" |")-1)),"?"))</f>
        <v/>
      </c>
      <c r="H1314" s="27" t="str">
        <f aca="false">IF(G1314="","",IF(G1314="?","⚠ pub inconnue",IFERROR(INDEX(Pubs!$B$2:$B$3001,MATCH(G1314,Pubs!$A$2:$A$3001,0))&amp;"","⚠ pub inconnue")))</f>
        <v/>
      </c>
      <c r="I1314" s="27" t="str">
        <f aca="false">IF(OR(G1314="",G1314="?"),"",IFERROR(INDEX(Pubs!$C$2:$C$3001,MATCH(G1314,Pubs!$A$2:$A$3001,0))&amp;"",""))</f>
        <v/>
      </c>
      <c r="J1314" s="27" t="str">
        <f aca="false">IF(OR(G1314="",G1314="?"),"",IFERROR(INDEX(Pubs!$G$2:$G$3001,MATCH(G1314,Pubs!$A$2:$A$3001,0))&amp;"",""))</f>
        <v/>
      </c>
      <c r="K1314" s="28" t="str">
        <f aca="false">IF(OR(G1314="",G1314="?"),"",IFERROR(INDEX(Pubs!$E$2:$E$3001,MATCH(G1314,Pubs!$A$2:$A$3001,0)),""))</f>
        <v/>
      </c>
      <c r="L1314" s="29" t="str">
        <f aca="false">IF(A1314="","",IFERROR(1/(1/INDEX(Numéros!$C$2:$C$3001,MATCH(A1314&amp;"|"&amp;B1314,Numéros!$F$2:$F$3001,0))),""))</f>
        <v/>
      </c>
      <c r="M1314" s="27" t="str">
        <f aca="false">IF(OR(G1314="",G1314="?"),"",IFERROR(INDEX(Pubs!$D$2:$D$3001,MATCH(G1314,Pubs!$A$2:$A$3001,0))&amp;"",""))</f>
        <v/>
      </c>
      <c r="N1314" s="27" t="n">
        <f aca="false">N(N1313)+IF(AND(A1314&lt;&gt;"",OR(Recherche!$C$4="",A1314=Recherche!$C$4),OR(Recherche!$C$5="",B1314&amp;""=Recherche!$C$5&amp;""),OR(Recherche!$C$6="",IFERROR(YEAR(L1314),0)=Recherche!$C$6),OR(Recherche!$C$7="",ISNUMBER(SEARCH(Recherche!$C$7,H1314))),OR(Recherche!$C$8="",J1314=Recherche!$C$8),OR(Recherche!$C$9="",I1314=Recherche!$C$9),OR(Recherche!$C$10="",G1314&amp;""=Recherche!$C$10&amp;""),OR(Recherche!$C$11="",E1314=Recherche!$C$11),OR(Recherche!$C$12="",ISNUMBER(SEARCH(Recherche!$C$12,M1314&amp;" "&amp;F1314)))),1,0)</f>
        <v>8</v>
      </c>
    </row>
    <row r="1315" customFormat="false" ht="15" hidden="false" customHeight="false" outlineLevel="0" collapsed="false">
      <c r="A1315" s="19"/>
      <c r="B1315" s="19"/>
      <c r="C1315" s="19"/>
      <c r="D1315" s="19"/>
      <c r="E1315" s="22"/>
      <c r="F1315" s="19"/>
      <c r="G1315" s="26" t="str">
        <f aca="false">IF(D1315="","",IFERROR(VALUE(LEFT(D1315,FIND(" |",D1315&amp;" |")-1)),"?"))</f>
        <v/>
      </c>
      <c r="H1315" s="27" t="str">
        <f aca="false">IF(G1315="","",IF(G1315="?","⚠ pub inconnue",IFERROR(INDEX(Pubs!$B$2:$B$3001,MATCH(G1315,Pubs!$A$2:$A$3001,0))&amp;"","⚠ pub inconnue")))</f>
        <v/>
      </c>
      <c r="I1315" s="27" t="str">
        <f aca="false">IF(OR(G1315="",G1315="?"),"",IFERROR(INDEX(Pubs!$C$2:$C$3001,MATCH(G1315,Pubs!$A$2:$A$3001,0))&amp;"",""))</f>
        <v/>
      </c>
      <c r="J1315" s="27" t="str">
        <f aca="false">IF(OR(G1315="",G1315="?"),"",IFERROR(INDEX(Pubs!$G$2:$G$3001,MATCH(G1315,Pubs!$A$2:$A$3001,0))&amp;"",""))</f>
        <v/>
      </c>
      <c r="K1315" s="28" t="str">
        <f aca="false">IF(OR(G1315="",G1315="?"),"",IFERROR(INDEX(Pubs!$E$2:$E$3001,MATCH(G1315,Pubs!$A$2:$A$3001,0)),""))</f>
        <v/>
      </c>
      <c r="L1315" s="29" t="str">
        <f aca="false">IF(A1315="","",IFERROR(1/(1/INDEX(Numéros!$C$2:$C$3001,MATCH(A1315&amp;"|"&amp;B1315,Numéros!$F$2:$F$3001,0))),""))</f>
        <v/>
      </c>
      <c r="M1315" s="27" t="str">
        <f aca="false">IF(OR(G1315="",G1315="?"),"",IFERROR(INDEX(Pubs!$D$2:$D$3001,MATCH(G1315,Pubs!$A$2:$A$3001,0))&amp;"",""))</f>
        <v/>
      </c>
      <c r="N1315" s="27" t="n">
        <f aca="false">N(N1314)+IF(AND(A1315&lt;&gt;"",OR(Recherche!$C$4="",A1315=Recherche!$C$4),OR(Recherche!$C$5="",B1315&amp;""=Recherche!$C$5&amp;""),OR(Recherche!$C$6="",IFERROR(YEAR(L1315),0)=Recherche!$C$6),OR(Recherche!$C$7="",ISNUMBER(SEARCH(Recherche!$C$7,H1315))),OR(Recherche!$C$8="",J1315=Recherche!$C$8),OR(Recherche!$C$9="",I1315=Recherche!$C$9),OR(Recherche!$C$10="",G1315&amp;""=Recherche!$C$10&amp;""),OR(Recherche!$C$11="",E1315=Recherche!$C$11),OR(Recherche!$C$12="",ISNUMBER(SEARCH(Recherche!$C$12,M1315&amp;" "&amp;F1315)))),1,0)</f>
        <v>8</v>
      </c>
    </row>
    <row r="1316" customFormat="false" ht="15" hidden="false" customHeight="false" outlineLevel="0" collapsed="false">
      <c r="A1316" s="19"/>
      <c r="B1316" s="19"/>
      <c r="C1316" s="19"/>
      <c r="D1316" s="19"/>
      <c r="E1316" s="22"/>
      <c r="F1316" s="19"/>
      <c r="G1316" s="26" t="str">
        <f aca="false">IF(D1316="","",IFERROR(VALUE(LEFT(D1316,FIND(" |",D1316&amp;" |")-1)),"?"))</f>
        <v/>
      </c>
      <c r="H1316" s="27" t="str">
        <f aca="false">IF(G1316="","",IF(G1316="?","⚠ pub inconnue",IFERROR(INDEX(Pubs!$B$2:$B$3001,MATCH(G1316,Pubs!$A$2:$A$3001,0))&amp;"","⚠ pub inconnue")))</f>
        <v/>
      </c>
      <c r="I1316" s="27" t="str">
        <f aca="false">IF(OR(G1316="",G1316="?"),"",IFERROR(INDEX(Pubs!$C$2:$C$3001,MATCH(G1316,Pubs!$A$2:$A$3001,0))&amp;"",""))</f>
        <v/>
      </c>
      <c r="J1316" s="27" t="str">
        <f aca="false">IF(OR(G1316="",G1316="?"),"",IFERROR(INDEX(Pubs!$G$2:$G$3001,MATCH(G1316,Pubs!$A$2:$A$3001,0))&amp;"",""))</f>
        <v/>
      </c>
      <c r="K1316" s="28" t="str">
        <f aca="false">IF(OR(G1316="",G1316="?"),"",IFERROR(INDEX(Pubs!$E$2:$E$3001,MATCH(G1316,Pubs!$A$2:$A$3001,0)),""))</f>
        <v/>
      </c>
      <c r="L1316" s="29" t="str">
        <f aca="false">IF(A1316="","",IFERROR(1/(1/INDEX(Numéros!$C$2:$C$3001,MATCH(A1316&amp;"|"&amp;B1316,Numéros!$F$2:$F$3001,0))),""))</f>
        <v/>
      </c>
      <c r="M1316" s="27" t="str">
        <f aca="false">IF(OR(G1316="",G1316="?"),"",IFERROR(INDEX(Pubs!$D$2:$D$3001,MATCH(G1316,Pubs!$A$2:$A$3001,0))&amp;"",""))</f>
        <v/>
      </c>
      <c r="N1316" s="27" t="n">
        <f aca="false">N(N1315)+IF(AND(A1316&lt;&gt;"",OR(Recherche!$C$4="",A1316=Recherche!$C$4),OR(Recherche!$C$5="",B1316&amp;""=Recherche!$C$5&amp;""),OR(Recherche!$C$6="",IFERROR(YEAR(L1316),0)=Recherche!$C$6),OR(Recherche!$C$7="",ISNUMBER(SEARCH(Recherche!$C$7,H1316))),OR(Recherche!$C$8="",J1316=Recherche!$C$8),OR(Recherche!$C$9="",I1316=Recherche!$C$9),OR(Recherche!$C$10="",G1316&amp;""=Recherche!$C$10&amp;""),OR(Recherche!$C$11="",E1316=Recherche!$C$11),OR(Recherche!$C$12="",ISNUMBER(SEARCH(Recherche!$C$12,M1316&amp;" "&amp;F1316)))),1,0)</f>
        <v>8</v>
      </c>
    </row>
    <row r="1317" customFormat="false" ht="15" hidden="false" customHeight="false" outlineLevel="0" collapsed="false">
      <c r="A1317" s="19"/>
      <c r="B1317" s="19"/>
      <c r="C1317" s="19"/>
      <c r="D1317" s="19"/>
      <c r="E1317" s="22"/>
      <c r="F1317" s="19"/>
      <c r="G1317" s="26" t="str">
        <f aca="false">IF(D1317="","",IFERROR(VALUE(LEFT(D1317,FIND(" |",D1317&amp;" |")-1)),"?"))</f>
        <v/>
      </c>
      <c r="H1317" s="27" t="str">
        <f aca="false">IF(G1317="","",IF(G1317="?","⚠ pub inconnue",IFERROR(INDEX(Pubs!$B$2:$B$3001,MATCH(G1317,Pubs!$A$2:$A$3001,0))&amp;"","⚠ pub inconnue")))</f>
        <v/>
      </c>
      <c r="I1317" s="27" t="str">
        <f aca="false">IF(OR(G1317="",G1317="?"),"",IFERROR(INDEX(Pubs!$C$2:$C$3001,MATCH(G1317,Pubs!$A$2:$A$3001,0))&amp;"",""))</f>
        <v/>
      </c>
      <c r="J1317" s="27" t="str">
        <f aca="false">IF(OR(G1317="",G1317="?"),"",IFERROR(INDEX(Pubs!$G$2:$G$3001,MATCH(G1317,Pubs!$A$2:$A$3001,0))&amp;"",""))</f>
        <v/>
      </c>
      <c r="K1317" s="28" t="str">
        <f aca="false">IF(OR(G1317="",G1317="?"),"",IFERROR(INDEX(Pubs!$E$2:$E$3001,MATCH(G1317,Pubs!$A$2:$A$3001,0)),""))</f>
        <v/>
      </c>
      <c r="L1317" s="29" t="str">
        <f aca="false">IF(A1317="","",IFERROR(1/(1/INDEX(Numéros!$C$2:$C$3001,MATCH(A1317&amp;"|"&amp;B1317,Numéros!$F$2:$F$3001,0))),""))</f>
        <v/>
      </c>
      <c r="M1317" s="27" t="str">
        <f aca="false">IF(OR(G1317="",G1317="?"),"",IFERROR(INDEX(Pubs!$D$2:$D$3001,MATCH(G1317,Pubs!$A$2:$A$3001,0))&amp;"",""))</f>
        <v/>
      </c>
      <c r="N1317" s="27" t="n">
        <f aca="false">N(N1316)+IF(AND(A1317&lt;&gt;"",OR(Recherche!$C$4="",A1317=Recherche!$C$4),OR(Recherche!$C$5="",B1317&amp;""=Recherche!$C$5&amp;""),OR(Recherche!$C$6="",IFERROR(YEAR(L1317),0)=Recherche!$C$6),OR(Recherche!$C$7="",ISNUMBER(SEARCH(Recherche!$C$7,H1317))),OR(Recherche!$C$8="",J1317=Recherche!$C$8),OR(Recherche!$C$9="",I1317=Recherche!$C$9),OR(Recherche!$C$10="",G1317&amp;""=Recherche!$C$10&amp;""),OR(Recherche!$C$11="",E1317=Recherche!$C$11),OR(Recherche!$C$12="",ISNUMBER(SEARCH(Recherche!$C$12,M1317&amp;" "&amp;F1317)))),1,0)</f>
        <v>8</v>
      </c>
    </row>
    <row r="1318" customFormat="false" ht="15" hidden="false" customHeight="false" outlineLevel="0" collapsed="false">
      <c r="A1318" s="19"/>
      <c r="B1318" s="19"/>
      <c r="C1318" s="19"/>
      <c r="D1318" s="19"/>
      <c r="E1318" s="22"/>
      <c r="F1318" s="19"/>
      <c r="G1318" s="26" t="str">
        <f aca="false">IF(D1318="","",IFERROR(VALUE(LEFT(D1318,FIND(" |",D1318&amp;" |")-1)),"?"))</f>
        <v/>
      </c>
      <c r="H1318" s="27" t="str">
        <f aca="false">IF(G1318="","",IF(G1318="?","⚠ pub inconnue",IFERROR(INDEX(Pubs!$B$2:$B$3001,MATCH(G1318,Pubs!$A$2:$A$3001,0))&amp;"","⚠ pub inconnue")))</f>
        <v/>
      </c>
      <c r="I1318" s="27" t="str">
        <f aca="false">IF(OR(G1318="",G1318="?"),"",IFERROR(INDEX(Pubs!$C$2:$C$3001,MATCH(G1318,Pubs!$A$2:$A$3001,0))&amp;"",""))</f>
        <v/>
      </c>
      <c r="J1318" s="27" t="str">
        <f aca="false">IF(OR(G1318="",G1318="?"),"",IFERROR(INDEX(Pubs!$G$2:$G$3001,MATCH(G1318,Pubs!$A$2:$A$3001,0))&amp;"",""))</f>
        <v/>
      </c>
      <c r="K1318" s="28" t="str">
        <f aca="false">IF(OR(G1318="",G1318="?"),"",IFERROR(INDEX(Pubs!$E$2:$E$3001,MATCH(G1318,Pubs!$A$2:$A$3001,0)),""))</f>
        <v/>
      </c>
      <c r="L1318" s="29" t="str">
        <f aca="false">IF(A1318="","",IFERROR(1/(1/INDEX(Numéros!$C$2:$C$3001,MATCH(A1318&amp;"|"&amp;B1318,Numéros!$F$2:$F$3001,0))),""))</f>
        <v/>
      </c>
      <c r="M1318" s="27" t="str">
        <f aca="false">IF(OR(G1318="",G1318="?"),"",IFERROR(INDEX(Pubs!$D$2:$D$3001,MATCH(G1318,Pubs!$A$2:$A$3001,0))&amp;"",""))</f>
        <v/>
      </c>
      <c r="N1318" s="27" t="n">
        <f aca="false">N(N1317)+IF(AND(A1318&lt;&gt;"",OR(Recherche!$C$4="",A1318=Recherche!$C$4),OR(Recherche!$C$5="",B1318&amp;""=Recherche!$C$5&amp;""),OR(Recherche!$C$6="",IFERROR(YEAR(L1318),0)=Recherche!$C$6),OR(Recherche!$C$7="",ISNUMBER(SEARCH(Recherche!$C$7,H1318))),OR(Recherche!$C$8="",J1318=Recherche!$C$8),OR(Recherche!$C$9="",I1318=Recherche!$C$9),OR(Recherche!$C$10="",G1318&amp;""=Recherche!$C$10&amp;""),OR(Recherche!$C$11="",E1318=Recherche!$C$11),OR(Recherche!$C$12="",ISNUMBER(SEARCH(Recherche!$C$12,M1318&amp;" "&amp;F1318)))),1,0)</f>
        <v>8</v>
      </c>
    </row>
    <row r="1319" customFormat="false" ht="15" hidden="false" customHeight="false" outlineLevel="0" collapsed="false">
      <c r="A1319" s="19"/>
      <c r="B1319" s="19"/>
      <c r="C1319" s="19"/>
      <c r="D1319" s="19"/>
      <c r="E1319" s="22"/>
      <c r="F1319" s="19"/>
      <c r="G1319" s="26" t="str">
        <f aca="false">IF(D1319="","",IFERROR(VALUE(LEFT(D1319,FIND(" |",D1319&amp;" |")-1)),"?"))</f>
        <v/>
      </c>
      <c r="H1319" s="27" t="str">
        <f aca="false">IF(G1319="","",IF(G1319="?","⚠ pub inconnue",IFERROR(INDEX(Pubs!$B$2:$B$3001,MATCH(G1319,Pubs!$A$2:$A$3001,0))&amp;"","⚠ pub inconnue")))</f>
        <v/>
      </c>
      <c r="I1319" s="27" t="str">
        <f aca="false">IF(OR(G1319="",G1319="?"),"",IFERROR(INDEX(Pubs!$C$2:$C$3001,MATCH(G1319,Pubs!$A$2:$A$3001,0))&amp;"",""))</f>
        <v/>
      </c>
      <c r="J1319" s="27" t="str">
        <f aca="false">IF(OR(G1319="",G1319="?"),"",IFERROR(INDEX(Pubs!$G$2:$G$3001,MATCH(G1319,Pubs!$A$2:$A$3001,0))&amp;"",""))</f>
        <v/>
      </c>
      <c r="K1319" s="28" t="str">
        <f aca="false">IF(OR(G1319="",G1319="?"),"",IFERROR(INDEX(Pubs!$E$2:$E$3001,MATCH(G1319,Pubs!$A$2:$A$3001,0)),""))</f>
        <v/>
      </c>
      <c r="L1319" s="29" t="str">
        <f aca="false">IF(A1319="","",IFERROR(1/(1/INDEX(Numéros!$C$2:$C$3001,MATCH(A1319&amp;"|"&amp;B1319,Numéros!$F$2:$F$3001,0))),""))</f>
        <v/>
      </c>
      <c r="M1319" s="27" t="str">
        <f aca="false">IF(OR(G1319="",G1319="?"),"",IFERROR(INDEX(Pubs!$D$2:$D$3001,MATCH(G1319,Pubs!$A$2:$A$3001,0))&amp;"",""))</f>
        <v/>
      </c>
      <c r="N1319" s="27" t="n">
        <f aca="false">N(N1318)+IF(AND(A1319&lt;&gt;"",OR(Recherche!$C$4="",A1319=Recherche!$C$4),OR(Recherche!$C$5="",B1319&amp;""=Recherche!$C$5&amp;""),OR(Recherche!$C$6="",IFERROR(YEAR(L1319),0)=Recherche!$C$6),OR(Recherche!$C$7="",ISNUMBER(SEARCH(Recherche!$C$7,H1319))),OR(Recherche!$C$8="",J1319=Recherche!$C$8),OR(Recherche!$C$9="",I1319=Recherche!$C$9),OR(Recherche!$C$10="",G1319&amp;""=Recherche!$C$10&amp;""),OR(Recherche!$C$11="",E1319=Recherche!$C$11),OR(Recherche!$C$12="",ISNUMBER(SEARCH(Recherche!$C$12,M1319&amp;" "&amp;F1319)))),1,0)</f>
        <v>8</v>
      </c>
    </row>
    <row r="1320" customFormat="false" ht="15" hidden="false" customHeight="false" outlineLevel="0" collapsed="false">
      <c r="A1320" s="19"/>
      <c r="B1320" s="19"/>
      <c r="C1320" s="19"/>
      <c r="D1320" s="19"/>
      <c r="E1320" s="22"/>
      <c r="F1320" s="19"/>
      <c r="G1320" s="26" t="str">
        <f aca="false">IF(D1320="","",IFERROR(VALUE(LEFT(D1320,FIND(" |",D1320&amp;" |")-1)),"?"))</f>
        <v/>
      </c>
      <c r="H1320" s="27" t="str">
        <f aca="false">IF(G1320="","",IF(G1320="?","⚠ pub inconnue",IFERROR(INDEX(Pubs!$B$2:$B$3001,MATCH(G1320,Pubs!$A$2:$A$3001,0))&amp;"","⚠ pub inconnue")))</f>
        <v/>
      </c>
      <c r="I1320" s="27" t="str">
        <f aca="false">IF(OR(G1320="",G1320="?"),"",IFERROR(INDEX(Pubs!$C$2:$C$3001,MATCH(G1320,Pubs!$A$2:$A$3001,0))&amp;"",""))</f>
        <v/>
      </c>
      <c r="J1320" s="27" t="str">
        <f aca="false">IF(OR(G1320="",G1320="?"),"",IFERROR(INDEX(Pubs!$G$2:$G$3001,MATCH(G1320,Pubs!$A$2:$A$3001,0))&amp;"",""))</f>
        <v/>
      </c>
      <c r="K1320" s="28" t="str">
        <f aca="false">IF(OR(G1320="",G1320="?"),"",IFERROR(INDEX(Pubs!$E$2:$E$3001,MATCH(G1320,Pubs!$A$2:$A$3001,0)),""))</f>
        <v/>
      </c>
      <c r="L1320" s="29" t="str">
        <f aca="false">IF(A1320="","",IFERROR(1/(1/INDEX(Numéros!$C$2:$C$3001,MATCH(A1320&amp;"|"&amp;B1320,Numéros!$F$2:$F$3001,0))),""))</f>
        <v/>
      </c>
      <c r="M1320" s="27" t="str">
        <f aca="false">IF(OR(G1320="",G1320="?"),"",IFERROR(INDEX(Pubs!$D$2:$D$3001,MATCH(G1320,Pubs!$A$2:$A$3001,0))&amp;"",""))</f>
        <v/>
      </c>
      <c r="N1320" s="27" t="n">
        <f aca="false">N(N1319)+IF(AND(A1320&lt;&gt;"",OR(Recherche!$C$4="",A1320=Recherche!$C$4),OR(Recherche!$C$5="",B1320&amp;""=Recherche!$C$5&amp;""),OR(Recherche!$C$6="",IFERROR(YEAR(L1320),0)=Recherche!$C$6),OR(Recherche!$C$7="",ISNUMBER(SEARCH(Recherche!$C$7,H1320))),OR(Recherche!$C$8="",J1320=Recherche!$C$8),OR(Recherche!$C$9="",I1320=Recherche!$C$9),OR(Recherche!$C$10="",G1320&amp;""=Recherche!$C$10&amp;""),OR(Recherche!$C$11="",E1320=Recherche!$C$11),OR(Recherche!$C$12="",ISNUMBER(SEARCH(Recherche!$C$12,M1320&amp;" "&amp;F1320)))),1,0)</f>
        <v>8</v>
      </c>
    </row>
    <row r="1321" customFormat="false" ht="15" hidden="false" customHeight="false" outlineLevel="0" collapsed="false">
      <c r="A1321" s="19"/>
      <c r="B1321" s="19"/>
      <c r="C1321" s="19"/>
      <c r="D1321" s="19"/>
      <c r="E1321" s="22"/>
      <c r="F1321" s="19"/>
      <c r="G1321" s="26" t="str">
        <f aca="false">IF(D1321="","",IFERROR(VALUE(LEFT(D1321,FIND(" |",D1321&amp;" |")-1)),"?"))</f>
        <v/>
      </c>
      <c r="H1321" s="27" t="str">
        <f aca="false">IF(G1321="","",IF(G1321="?","⚠ pub inconnue",IFERROR(INDEX(Pubs!$B$2:$B$3001,MATCH(G1321,Pubs!$A$2:$A$3001,0))&amp;"","⚠ pub inconnue")))</f>
        <v/>
      </c>
      <c r="I1321" s="27" t="str">
        <f aca="false">IF(OR(G1321="",G1321="?"),"",IFERROR(INDEX(Pubs!$C$2:$C$3001,MATCH(G1321,Pubs!$A$2:$A$3001,0))&amp;"",""))</f>
        <v/>
      </c>
      <c r="J1321" s="27" t="str">
        <f aca="false">IF(OR(G1321="",G1321="?"),"",IFERROR(INDEX(Pubs!$G$2:$G$3001,MATCH(G1321,Pubs!$A$2:$A$3001,0))&amp;"",""))</f>
        <v/>
      </c>
      <c r="K1321" s="28" t="str">
        <f aca="false">IF(OR(G1321="",G1321="?"),"",IFERROR(INDEX(Pubs!$E$2:$E$3001,MATCH(G1321,Pubs!$A$2:$A$3001,0)),""))</f>
        <v/>
      </c>
      <c r="L1321" s="29" t="str">
        <f aca="false">IF(A1321="","",IFERROR(1/(1/INDEX(Numéros!$C$2:$C$3001,MATCH(A1321&amp;"|"&amp;B1321,Numéros!$F$2:$F$3001,0))),""))</f>
        <v/>
      </c>
      <c r="M1321" s="27" t="str">
        <f aca="false">IF(OR(G1321="",G1321="?"),"",IFERROR(INDEX(Pubs!$D$2:$D$3001,MATCH(G1321,Pubs!$A$2:$A$3001,0))&amp;"",""))</f>
        <v/>
      </c>
      <c r="N1321" s="27" t="n">
        <f aca="false">N(N1320)+IF(AND(A1321&lt;&gt;"",OR(Recherche!$C$4="",A1321=Recherche!$C$4),OR(Recherche!$C$5="",B1321&amp;""=Recherche!$C$5&amp;""),OR(Recherche!$C$6="",IFERROR(YEAR(L1321),0)=Recherche!$C$6),OR(Recherche!$C$7="",ISNUMBER(SEARCH(Recherche!$C$7,H1321))),OR(Recherche!$C$8="",J1321=Recherche!$C$8),OR(Recherche!$C$9="",I1321=Recherche!$C$9),OR(Recherche!$C$10="",G1321&amp;""=Recherche!$C$10&amp;""),OR(Recherche!$C$11="",E1321=Recherche!$C$11),OR(Recherche!$C$12="",ISNUMBER(SEARCH(Recherche!$C$12,M1321&amp;" "&amp;F1321)))),1,0)</f>
        <v>8</v>
      </c>
    </row>
    <row r="1322" customFormat="false" ht="15" hidden="false" customHeight="false" outlineLevel="0" collapsed="false">
      <c r="A1322" s="19"/>
      <c r="B1322" s="19"/>
      <c r="C1322" s="19"/>
      <c r="D1322" s="19"/>
      <c r="E1322" s="22"/>
      <c r="F1322" s="19"/>
      <c r="G1322" s="26" t="str">
        <f aca="false">IF(D1322="","",IFERROR(VALUE(LEFT(D1322,FIND(" |",D1322&amp;" |")-1)),"?"))</f>
        <v/>
      </c>
      <c r="H1322" s="27" t="str">
        <f aca="false">IF(G1322="","",IF(G1322="?","⚠ pub inconnue",IFERROR(INDEX(Pubs!$B$2:$B$3001,MATCH(G1322,Pubs!$A$2:$A$3001,0))&amp;"","⚠ pub inconnue")))</f>
        <v/>
      </c>
      <c r="I1322" s="27" t="str">
        <f aca="false">IF(OR(G1322="",G1322="?"),"",IFERROR(INDEX(Pubs!$C$2:$C$3001,MATCH(G1322,Pubs!$A$2:$A$3001,0))&amp;"",""))</f>
        <v/>
      </c>
      <c r="J1322" s="27" t="str">
        <f aca="false">IF(OR(G1322="",G1322="?"),"",IFERROR(INDEX(Pubs!$G$2:$G$3001,MATCH(G1322,Pubs!$A$2:$A$3001,0))&amp;"",""))</f>
        <v/>
      </c>
      <c r="K1322" s="28" t="str">
        <f aca="false">IF(OR(G1322="",G1322="?"),"",IFERROR(INDEX(Pubs!$E$2:$E$3001,MATCH(G1322,Pubs!$A$2:$A$3001,0)),""))</f>
        <v/>
      </c>
      <c r="L1322" s="29" t="str">
        <f aca="false">IF(A1322="","",IFERROR(1/(1/INDEX(Numéros!$C$2:$C$3001,MATCH(A1322&amp;"|"&amp;B1322,Numéros!$F$2:$F$3001,0))),""))</f>
        <v/>
      </c>
      <c r="M1322" s="27" t="str">
        <f aca="false">IF(OR(G1322="",G1322="?"),"",IFERROR(INDEX(Pubs!$D$2:$D$3001,MATCH(G1322,Pubs!$A$2:$A$3001,0))&amp;"",""))</f>
        <v/>
      </c>
      <c r="N1322" s="27" t="n">
        <f aca="false">N(N1321)+IF(AND(A1322&lt;&gt;"",OR(Recherche!$C$4="",A1322=Recherche!$C$4),OR(Recherche!$C$5="",B1322&amp;""=Recherche!$C$5&amp;""),OR(Recherche!$C$6="",IFERROR(YEAR(L1322),0)=Recherche!$C$6),OR(Recherche!$C$7="",ISNUMBER(SEARCH(Recherche!$C$7,H1322))),OR(Recherche!$C$8="",J1322=Recherche!$C$8),OR(Recherche!$C$9="",I1322=Recherche!$C$9),OR(Recherche!$C$10="",G1322&amp;""=Recherche!$C$10&amp;""),OR(Recherche!$C$11="",E1322=Recherche!$C$11),OR(Recherche!$C$12="",ISNUMBER(SEARCH(Recherche!$C$12,M1322&amp;" "&amp;F1322)))),1,0)</f>
        <v>8</v>
      </c>
    </row>
    <row r="1323" customFormat="false" ht="15" hidden="false" customHeight="false" outlineLevel="0" collapsed="false">
      <c r="A1323" s="19"/>
      <c r="B1323" s="19"/>
      <c r="C1323" s="19"/>
      <c r="D1323" s="19"/>
      <c r="E1323" s="22"/>
      <c r="F1323" s="19"/>
      <c r="G1323" s="26" t="str">
        <f aca="false">IF(D1323="","",IFERROR(VALUE(LEFT(D1323,FIND(" |",D1323&amp;" |")-1)),"?"))</f>
        <v/>
      </c>
      <c r="H1323" s="27" t="str">
        <f aca="false">IF(G1323="","",IF(G1323="?","⚠ pub inconnue",IFERROR(INDEX(Pubs!$B$2:$B$3001,MATCH(G1323,Pubs!$A$2:$A$3001,0))&amp;"","⚠ pub inconnue")))</f>
        <v/>
      </c>
      <c r="I1323" s="27" t="str">
        <f aca="false">IF(OR(G1323="",G1323="?"),"",IFERROR(INDEX(Pubs!$C$2:$C$3001,MATCH(G1323,Pubs!$A$2:$A$3001,0))&amp;"",""))</f>
        <v/>
      </c>
      <c r="J1323" s="27" t="str">
        <f aca="false">IF(OR(G1323="",G1323="?"),"",IFERROR(INDEX(Pubs!$G$2:$G$3001,MATCH(G1323,Pubs!$A$2:$A$3001,0))&amp;"",""))</f>
        <v/>
      </c>
      <c r="K1323" s="28" t="str">
        <f aca="false">IF(OR(G1323="",G1323="?"),"",IFERROR(INDEX(Pubs!$E$2:$E$3001,MATCH(G1323,Pubs!$A$2:$A$3001,0)),""))</f>
        <v/>
      </c>
      <c r="L1323" s="29" t="str">
        <f aca="false">IF(A1323="","",IFERROR(1/(1/INDEX(Numéros!$C$2:$C$3001,MATCH(A1323&amp;"|"&amp;B1323,Numéros!$F$2:$F$3001,0))),""))</f>
        <v/>
      </c>
      <c r="M1323" s="27" t="str">
        <f aca="false">IF(OR(G1323="",G1323="?"),"",IFERROR(INDEX(Pubs!$D$2:$D$3001,MATCH(G1323,Pubs!$A$2:$A$3001,0))&amp;"",""))</f>
        <v/>
      </c>
      <c r="N1323" s="27" t="n">
        <f aca="false">N(N1322)+IF(AND(A1323&lt;&gt;"",OR(Recherche!$C$4="",A1323=Recherche!$C$4),OR(Recherche!$C$5="",B1323&amp;""=Recherche!$C$5&amp;""),OR(Recherche!$C$6="",IFERROR(YEAR(L1323),0)=Recherche!$C$6),OR(Recherche!$C$7="",ISNUMBER(SEARCH(Recherche!$C$7,H1323))),OR(Recherche!$C$8="",J1323=Recherche!$C$8),OR(Recherche!$C$9="",I1323=Recherche!$C$9),OR(Recherche!$C$10="",G1323&amp;""=Recherche!$C$10&amp;""),OR(Recherche!$C$11="",E1323=Recherche!$C$11),OR(Recherche!$C$12="",ISNUMBER(SEARCH(Recherche!$C$12,M1323&amp;" "&amp;F1323)))),1,0)</f>
        <v>8</v>
      </c>
    </row>
    <row r="1324" customFormat="false" ht="15" hidden="false" customHeight="false" outlineLevel="0" collapsed="false">
      <c r="A1324" s="19"/>
      <c r="B1324" s="19"/>
      <c r="C1324" s="19"/>
      <c r="D1324" s="19"/>
      <c r="E1324" s="22"/>
      <c r="F1324" s="19"/>
      <c r="G1324" s="26" t="str">
        <f aca="false">IF(D1324="","",IFERROR(VALUE(LEFT(D1324,FIND(" |",D1324&amp;" |")-1)),"?"))</f>
        <v/>
      </c>
      <c r="H1324" s="27" t="str">
        <f aca="false">IF(G1324="","",IF(G1324="?","⚠ pub inconnue",IFERROR(INDEX(Pubs!$B$2:$B$3001,MATCH(G1324,Pubs!$A$2:$A$3001,0))&amp;"","⚠ pub inconnue")))</f>
        <v/>
      </c>
      <c r="I1324" s="27" t="str">
        <f aca="false">IF(OR(G1324="",G1324="?"),"",IFERROR(INDEX(Pubs!$C$2:$C$3001,MATCH(G1324,Pubs!$A$2:$A$3001,0))&amp;"",""))</f>
        <v/>
      </c>
      <c r="J1324" s="27" t="str">
        <f aca="false">IF(OR(G1324="",G1324="?"),"",IFERROR(INDEX(Pubs!$G$2:$G$3001,MATCH(G1324,Pubs!$A$2:$A$3001,0))&amp;"",""))</f>
        <v/>
      </c>
      <c r="K1324" s="28" t="str">
        <f aca="false">IF(OR(G1324="",G1324="?"),"",IFERROR(INDEX(Pubs!$E$2:$E$3001,MATCH(G1324,Pubs!$A$2:$A$3001,0)),""))</f>
        <v/>
      </c>
      <c r="L1324" s="29" t="str">
        <f aca="false">IF(A1324="","",IFERROR(1/(1/INDEX(Numéros!$C$2:$C$3001,MATCH(A1324&amp;"|"&amp;B1324,Numéros!$F$2:$F$3001,0))),""))</f>
        <v/>
      </c>
      <c r="M1324" s="27" t="str">
        <f aca="false">IF(OR(G1324="",G1324="?"),"",IFERROR(INDEX(Pubs!$D$2:$D$3001,MATCH(G1324,Pubs!$A$2:$A$3001,0))&amp;"",""))</f>
        <v/>
      </c>
      <c r="N1324" s="27" t="n">
        <f aca="false">N(N1323)+IF(AND(A1324&lt;&gt;"",OR(Recherche!$C$4="",A1324=Recherche!$C$4),OR(Recherche!$C$5="",B1324&amp;""=Recherche!$C$5&amp;""),OR(Recherche!$C$6="",IFERROR(YEAR(L1324),0)=Recherche!$C$6),OR(Recherche!$C$7="",ISNUMBER(SEARCH(Recherche!$C$7,H1324))),OR(Recherche!$C$8="",J1324=Recherche!$C$8),OR(Recherche!$C$9="",I1324=Recherche!$C$9),OR(Recherche!$C$10="",G1324&amp;""=Recherche!$C$10&amp;""),OR(Recherche!$C$11="",E1324=Recherche!$C$11),OR(Recherche!$C$12="",ISNUMBER(SEARCH(Recherche!$C$12,M1324&amp;" "&amp;F1324)))),1,0)</f>
        <v>8</v>
      </c>
    </row>
    <row r="1325" customFormat="false" ht="15" hidden="false" customHeight="false" outlineLevel="0" collapsed="false">
      <c r="A1325" s="19"/>
      <c r="B1325" s="19"/>
      <c r="C1325" s="19"/>
      <c r="D1325" s="19"/>
      <c r="E1325" s="22"/>
      <c r="F1325" s="19"/>
      <c r="G1325" s="26" t="str">
        <f aca="false">IF(D1325="","",IFERROR(VALUE(LEFT(D1325,FIND(" |",D1325&amp;" |")-1)),"?"))</f>
        <v/>
      </c>
      <c r="H1325" s="27" t="str">
        <f aca="false">IF(G1325="","",IF(G1325="?","⚠ pub inconnue",IFERROR(INDEX(Pubs!$B$2:$B$3001,MATCH(G1325,Pubs!$A$2:$A$3001,0))&amp;"","⚠ pub inconnue")))</f>
        <v/>
      </c>
      <c r="I1325" s="27" t="str">
        <f aca="false">IF(OR(G1325="",G1325="?"),"",IFERROR(INDEX(Pubs!$C$2:$C$3001,MATCH(G1325,Pubs!$A$2:$A$3001,0))&amp;"",""))</f>
        <v/>
      </c>
      <c r="J1325" s="27" t="str">
        <f aca="false">IF(OR(G1325="",G1325="?"),"",IFERROR(INDEX(Pubs!$G$2:$G$3001,MATCH(G1325,Pubs!$A$2:$A$3001,0))&amp;"",""))</f>
        <v/>
      </c>
      <c r="K1325" s="28" t="str">
        <f aca="false">IF(OR(G1325="",G1325="?"),"",IFERROR(INDEX(Pubs!$E$2:$E$3001,MATCH(G1325,Pubs!$A$2:$A$3001,0)),""))</f>
        <v/>
      </c>
      <c r="L1325" s="29" t="str">
        <f aca="false">IF(A1325="","",IFERROR(1/(1/INDEX(Numéros!$C$2:$C$3001,MATCH(A1325&amp;"|"&amp;B1325,Numéros!$F$2:$F$3001,0))),""))</f>
        <v/>
      </c>
      <c r="M1325" s="27" t="str">
        <f aca="false">IF(OR(G1325="",G1325="?"),"",IFERROR(INDEX(Pubs!$D$2:$D$3001,MATCH(G1325,Pubs!$A$2:$A$3001,0))&amp;"",""))</f>
        <v/>
      </c>
      <c r="N1325" s="27" t="n">
        <f aca="false">N(N1324)+IF(AND(A1325&lt;&gt;"",OR(Recherche!$C$4="",A1325=Recherche!$C$4),OR(Recherche!$C$5="",B1325&amp;""=Recherche!$C$5&amp;""),OR(Recherche!$C$6="",IFERROR(YEAR(L1325),0)=Recherche!$C$6),OR(Recherche!$C$7="",ISNUMBER(SEARCH(Recherche!$C$7,H1325))),OR(Recherche!$C$8="",J1325=Recherche!$C$8),OR(Recherche!$C$9="",I1325=Recherche!$C$9),OR(Recherche!$C$10="",G1325&amp;""=Recherche!$C$10&amp;""),OR(Recherche!$C$11="",E1325=Recherche!$C$11),OR(Recherche!$C$12="",ISNUMBER(SEARCH(Recherche!$C$12,M1325&amp;" "&amp;F1325)))),1,0)</f>
        <v>8</v>
      </c>
    </row>
    <row r="1326" customFormat="false" ht="15" hidden="false" customHeight="false" outlineLevel="0" collapsed="false">
      <c r="A1326" s="19"/>
      <c r="B1326" s="19"/>
      <c r="C1326" s="19"/>
      <c r="D1326" s="19"/>
      <c r="E1326" s="22"/>
      <c r="F1326" s="19"/>
      <c r="G1326" s="26" t="str">
        <f aca="false">IF(D1326="","",IFERROR(VALUE(LEFT(D1326,FIND(" |",D1326&amp;" |")-1)),"?"))</f>
        <v/>
      </c>
      <c r="H1326" s="27" t="str">
        <f aca="false">IF(G1326="","",IF(G1326="?","⚠ pub inconnue",IFERROR(INDEX(Pubs!$B$2:$B$3001,MATCH(G1326,Pubs!$A$2:$A$3001,0))&amp;"","⚠ pub inconnue")))</f>
        <v/>
      </c>
      <c r="I1326" s="27" t="str">
        <f aca="false">IF(OR(G1326="",G1326="?"),"",IFERROR(INDEX(Pubs!$C$2:$C$3001,MATCH(G1326,Pubs!$A$2:$A$3001,0))&amp;"",""))</f>
        <v/>
      </c>
      <c r="J1326" s="27" t="str">
        <f aca="false">IF(OR(G1326="",G1326="?"),"",IFERROR(INDEX(Pubs!$G$2:$G$3001,MATCH(G1326,Pubs!$A$2:$A$3001,0))&amp;"",""))</f>
        <v/>
      </c>
      <c r="K1326" s="28" t="str">
        <f aca="false">IF(OR(G1326="",G1326="?"),"",IFERROR(INDEX(Pubs!$E$2:$E$3001,MATCH(G1326,Pubs!$A$2:$A$3001,0)),""))</f>
        <v/>
      </c>
      <c r="L1326" s="29" t="str">
        <f aca="false">IF(A1326="","",IFERROR(1/(1/INDEX(Numéros!$C$2:$C$3001,MATCH(A1326&amp;"|"&amp;B1326,Numéros!$F$2:$F$3001,0))),""))</f>
        <v/>
      </c>
      <c r="M1326" s="27" t="str">
        <f aca="false">IF(OR(G1326="",G1326="?"),"",IFERROR(INDEX(Pubs!$D$2:$D$3001,MATCH(G1326,Pubs!$A$2:$A$3001,0))&amp;"",""))</f>
        <v/>
      </c>
      <c r="N1326" s="27" t="n">
        <f aca="false">N(N1325)+IF(AND(A1326&lt;&gt;"",OR(Recherche!$C$4="",A1326=Recherche!$C$4),OR(Recherche!$C$5="",B1326&amp;""=Recherche!$C$5&amp;""),OR(Recherche!$C$6="",IFERROR(YEAR(L1326),0)=Recherche!$C$6),OR(Recherche!$C$7="",ISNUMBER(SEARCH(Recherche!$C$7,H1326))),OR(Recherche!$C$8="",J1326=Recherche!$C$8),OR(Recherche!$C$9="",I1326=Recherche!$C$9),OR(Recherche!$C$10="",G1326&amp;""=Recherche!$C$10&amp;""),OR(Recherche!$C$11="",E1326=Recherche!$C$11),OR(Recherche!$C$12="",ISNUMBER(SEARCH(Recherche!$C$12,M1326&amp;" "&amp;F1326)))),1,0)</f>
        <v>8</v>
      </c>
    </row>
    <row r="1327" customFormat="false" ht="15" hidden="false" customHeight="false" outlineLevel="0" collapsed="false">
      <c r="A1327" s="19"/>
      <c r="B1327" s="19"/>
      <c r="C1327" s="19"/>
      <c r="D1327" s="19"/>
      <c r="E1327" s="22"/>
      <c r="F1327" s="19"/>
      <c r="G1327" s="26" t="str">
        <f aca="false">IF(D1327="","",IFERROR(VALUE(LEFT(D1327,FIND(" |",D1327&amp;" |")-1)),"?"))</f>
        <v/>
      </c>
      <c r="H1327" s="27" t="str">
        <f aca="false">IF(G1327="","",IF(G1327="?","⚠ pub inconnue",IFERROR(INDEX(Pubs!$B$2:$B$3001,MATCH(G1327,Pubs!$A$2:$A$3001,0))&amp;"","⚠ pub inconnue")))</f>
        <v/>
      </c>
      <c r="I1327" s="27" t="str">
        <f aca="false">IF(OR(G1327="",G1327="?"),"",IFERROR(INDEX(Pubs!$C$2:$C$3001,MATCH(G1327,Pubs!$A$2:$A$3001,0))&amp;"",""))</f>
        <v/>
      </c>
      <c r="J1327" s="27" t="str">
        <f aca="false">IF(OR(G1327="",G1327="?"),"",IFERROR(INDEX(Pubs!$G$2:$G$3001,MATCH(G1327,Pubs!$A$2:$A$3001,0))&amp;"",""))</f>
        <v/>
      </c>
      <c r="K1327" s="28" t="str">
        <f aca="false">IF(OR(G1327="",G1327="?"),"",IFERROR(INDEX(Pubs!$E$2:$E$3001,MATCH(G1327,Pubs!$A$2:$A$3001,0)),""))</f>
        <v/>
      </c>
      <c r="L1327" s="29" t="str">
        <f aca="false">IF(A1327="","",IFERROR(1/(1/INDEX(Numéros!$C$2:$C$3001,MATCH(A1327&amp;"|"&amp;B1327,Numéros!$F$2:$F$3001,0))),""))</f>
        <v/>
      </c>
      <c r="M1327" s="27" t="str">
        <f aca="false">IF(OR(G1327="",G1327="?"),"",IFERROR(INDEX(Pubs!$D$2:$D$3001,MATCH(G1327,Pubs!$A$2:$A$3001,0))&amp;"",""))</f>
        <v/>
      </c>
      <c r="N1327" s="27" t="n">
        <f aca="false">N(N1326)+IF(AND(A1327&lt;&gt;"",OR(Recherche!$C$4="",A1327=Recherche!$C$4),OR(Recherche!$C$5="",B1327&amp;""=Recherche!$C$5&amp;""),OR(Recherche!$C$6="",IFERROR(YEAR(L1327),0)=Recherche!$C$6),OR(Recherche!$C$7="",ISNUMBER(SEARCH(Recherche!$C$7,H1327))),OR(Recherche!$C$8="",J1327=Recherche!$C$8),OR(Recherche!$C$9="",I1327=Recherche!$C$9),OR(Recherche!$C$10="",G1327&amp;""=Recherche!$C$10&amp;""),OR(Recherche!$C$11="",E1327=Recherche!$C$11),OR(Recherche!$C$12="",ISNUMBER(SEARCH(Recherche!$C$12,M1327&amp;" "&amp;F1327)))),1,0)</f>
        <v>8</v>
      </c>
    </row>
    <row r="1328" customFormat="false" ht="15" hidden="false" customHeight="false" outlineLevel="0" collapsed="false">
      <c r="A1328" s="19"/>
      <c r="B1328" s="19"/>
      <c r="C1328" s="19"/>
      <c r="D1328" s="19"/>
      <c r="E1328" s="22"/>
      <c r="F1328" s="19"/>
      <c r="G1328" s="26" t="str">
        <f aca="false">IF(D1328="","",IFERROR(VALUE(LEFT(D1328,FIND(" |",D1328&amp;" |")-1)),"?"))</f>
        <v/>
      </c>
      <c r="H1328" s="27" t="str">
        <f aca="false">IF(G1328="","",IF(G1328="?","⚠ pub inconnue",IFERROR(INDEX(Pubs!$B$2:$B$3001,MATCH(G1328,Pubs!$A$2:$A$3001,0))&amp;"","⚠ pub inconnue")))</f>
        <v/>
      </c>
      <c r="I1328" s="27" t="str">
        <f aca="false">IF(OR(G1328="",G1328="?"),"",IFERROR(INDEX(Pubs!$C$2:$C$3001,MATCH(G1328,Pubs!$A$2:$A$3001,0))&amp;"",""))</f>
        <v/>
      </c>
      <c r="J1328" s="27" t="str">
        <f aca="false">IF(OR(G1328="",G1328="?"),"",IFERROR(INDEX(Pubs!$G$2:$G$3001,MATCH(G1328,Pubs!$A$2:$A$3001,0))&amp;"",""))</f>
        <v/>
      </c>
      <c r="K1328" s="28" t="str">
        <f aca="false">IF(OR(G1328="",G1328="?"),"",IFERROR(INDEX(Pubs!$E$2:$E$3001,MATCH(G1328,Pubs!$A$2:$A$3001,0)),""))</f>
        <v/>
      </c>
      <c r="L1328" s="29" t="str">
        <f aca="false">IF(A1328="","",IFERROR(1/(1/INDEX(Numéros!$C$2:$C$3001,MATCH(A1328&amp;"|"&amp;B1328,Numéros!$F$2:$F$3001,0))),""))</f>
        <v/>
      </c>
      <c r="M1328" s="27" t="str">
        <f aca="false">IF(OR(G1328="",G1328="?"),"",IFERROR(INDEX(Pubs!$D$2:$D$3001,MATCH(G1328,Pubs!$A$2:$A$3001,0))&amp;"",""))</f>
        <v/>
      </c>
      <c r="N1328" s="27" t="n">
        <f aca="false">N(N1327)+IF(AND(A1328&lt;&gt;"",OR(Recherche!$C$4="",A1328=Recherche!$C$4),OR(Recherche!$C$5="",B1328&amp;""=Recherche!$C$5&amp;""),OR(Recherche!$C$6="",IFERROR(YEAR(L1328),0)=Recherche!$C$6),OR(Recherche!$C$7="",ISNUMBER(SEARCH(Recherche!$C$7,H1328))),OR(Recherche!$C$8="",J1328=Recherche!$C$8),OR(Recherche!$C$9="",I1328=Recherche!$C$9),OR(Recherche!$C$10="",G1328&amp;""=Recherche!$C$10&amp;""),OR(Recherche!$C$11="",E1328=Recherche!$C$11),OR(Recherche!$C$12="",ISNUMBER(SEARCH(Recherche!$C$12,M1328&amp;" "&amp;F1328)))),1,0)</f>
        <v>8</v>
      </c>
    </row>
    <row r="1329" customFormat="false" ht="15" hidden="false" customHeight="false" outlineLevel="0" collapsed="false">
      <c r="A1329" s="19"/>
      <c r="B1329" s="19"/>
      <c r="C1329" s="19"/>
      <c r="D1329" s="19"/>
      <c r="E1329" s="22"/>
      <c r="F1329" s="19"/>
      <c r="G1329" s="26" t="str">
        <f aca="false">IF(D1329="","",IFERROR(VALUE(LEFT(D1329,FIND(" |",D1329&amp;" |")-1)),"?"))</f>
        <v/>
      </c>
      <c r="H1329" s="27" t="str">
        <f aca="false">IF(G1329="","",IF(G1329="?","⚠ pub inconnue",IFERROR(INDEX(Pubs!$B$2:$B$3001,MATCH(G1329,Pubs!$A$2:$A$3001,0))&amp;"","⚠ pub inconnue")))</f>
        <v/>
      </c>
      <c r="I1329" s="27" t="str">
        <f aca="false">IF(OR(G1329="",G1329="?"),"",IFERROR(INDEX(Pubs!$C$2:$C$3001,MATCH(G1329,Pubs!$A$2:$A$3001,0))&amp;"",""))</f>
        <v/>
      </c>
      <c r="J1329" s="27" t="str">
        <f aca="false">IF(OR(G1329="",G1329="?"),"",IFERROR(INDEX(Pubs!$G$2:$G$3001,MATCH(G1329,Pubs!$A$2:$A$3001,0))&amp;"",""))</f>
        <v/>
      </c>
      <c r="K1329" s="28" t="str">
        <f aca="false">IF(OR(G1329="",G1329="?"),"",IFERROR(INDEX(Pubs!$E$2:$E$3001,MATCH(G1329,Pubs!$A$2:$A$3001,0)),""))</f>
        <v/>
      </c>
      <c r="L1329" s="29" t="str">
        <f aca="false">IF(A1329="","",IFERROR(1/(1/INDEX(Numéros!$C$2:$C$3001,MATCH(A1329&amp;"|"&amp;B1329,Numéros!$F$2:$F$3001,0))),""))</f>
        <v/>
      </c>
      <c r="M1329" s="27" t="str">
        <f aca="false">IF(OR(G1329="",G1329="?"),"",IFERROR(INDEX(Pubs!$D$2:$D$3001,MATCH(G1329,Pubs!$A$2:$A$3001,0))&amp;"",""))</f>
        <v/>
      </c>
      <c r="N1329" s="27" t="n">
        <f aca="false">N(N1328)+IF(AND(A1329&lt;&gt;"",OR(Recherche!$C$4="",A1329=Recherche!$C$4),OR(Recherche!$C$5="",B1329&amp;""=Recherche!$C$5&amp;""),OR(Recherche!$C$6="",IFERROR(YEAR(L1329),0)=Recherche!$C$6),OR(Recherche!$C$7="",ISNUMBER(SEARCH(Recherche!$C$7,H1329))),OR(Recherche!$C$8="",J1329=Recherche!$C$8),OR(Recherche!$C$9="",I1329=Recherche!$C$9),OR(Recherche!$C$10="",G1329&amp;""=Recherche!$C$10&amp;""),OR(Recherche!$C$11="",E1329=Recherche!$C$11),OR(Recherche!$C$12="",ISNUMBER(SEARCH(Recherche!$C$12,M1329&amp;" "&amp;F1329)))),1,0)</f>
        <v>8</v>
      </c>
    </row>
    <row r="1330" customFormat="false" ht="15" hidden="false" customHeight="false" outlineLevel="0" collapsed="false">
      <c r="A1330" s="19"/>
      <c r="B1330" s="19"/>
      <c r="C1330" s="19"/>
      <c r="D1330" s="19"/>
      <c r="E1330" s="22"/>
      <c r="F1330" s="19"/>
      <c r="G1330" s="26" t="str">
        <f aca="false">IF(D1330="","",IFERROR(VALUE(LEFT(D1330,FIND(" |",D1330&amp;" |")-1)),"?"))</f>
        <v/>
      </c>
      <c r="H1330" s="27" t="str">
        <f aca="false">IF(G1330="","",IF(G1330="?","⚠ pub inconnue",IFERROR(INDEX(Pubs!$B$2:$B$3001,MATCH(G1330,Pubs!$A$2:$A$3001,0))&amp;"","⚠ pub inconnue")))</f>
        <v/>
      </c>
      <c r="I1330" s="27" t="str">
        <f aca="false">IF(OR(G1330="",G1330="?"),"",IFERROR(INDEX(Pubs!$C$2:$C$3001,MATCH(G1330,Pubs!$A$2:$A$3001,0))&amp;"",""))</f>
        <v/>
      </c>
      <c r="J1330" s="27" t="str">
        <f aca="false">IF(OR(G1330="",G1330="?"),"",IFERROR(INDEX(Pubs!$G$2:$G$3001,MATCH(G1330,Pubs!$A$2:$A$3001,0))&amp;"",""))</f>
        <v/>
      </c>
      <c r="K1330" s="28" t="str">
        <f aca="false">IF(OR(G1330="",G1330="?"),"",IFERROR(INDEX(Pubs!$E$2:$E$3001,MATCH(G1330,Pubs!$A$2:$A$3001,0)),""))</f>
        <v/>
      </c>
      <c r="L1330" s="29" t="str">
        <f aca="false">IF(A1330="","",IFERROR(1/(1/INDEX(Numéros!$C$2:$C$3001,MATCH(A1330&amp;"|"&amp;B1330,Numéros!$F$2:$F$3001,0))),""))</f>
        <v/>
      </c>
      <c r="M1330" s="27" t="str">
        <f aca="false">IF(OR(G1330="",G1330="?"),"",IFERROR(INDEX(Pubs!$D$2:$D$3001,MATCH(G1330,Pubs!$A$2:$A$3001,0))&amp;"",""))</f>
        <v/>
      </c>
      <c r="N1330" s="27" t="n">
        <f aca="false">N(N1329)+IF(AND(A1330&lt;&gt;"",OR(Recherche!$C$4="",A1330=Recherche!$C$4),OR(Recherche!$C$5="",B1330&amp;""=Recherche!$C$5&amp;""),OR(Recherche!$C$6="",IFERROR(YEAR(L1330),0)=Recherche!$C$6),OR(Recherche!$C$7="",ISNUMBER(SEARCH(Recherche!$C$7,H1330))),OR(Recherche!$C$8="",J1330=Recherche!$C$8),OR(Recherche!$C$9="",I1330=Recherche!$C$9),OR(Recherche!$C$10="",G1330&amp;""=Recherche!$C$10&amp;""),OR(Recherche!$C$11="",E1330=Recherche!$C$11),OR(Recherche!$C$12="",ISNUMBER(SEARCH(Recherche!$C$12,M1330&amp;" "&amp;F1330)))),1,0)</f>
        <v>8</v>
      </c>
    </row>
    <row r="1331" customFormat="false" ht="15" hidden="false" customHeight="false" outlineLevel="0" collapsed="false">
      <c r="A1331" s="19"/>
      <c r="B1331" s="19"/>
      <c r="C1331" s="19"/>
      <c r="D1331" s="19"/>
      <c r="E1331" s="22"/>
      <c r="F1331" s="19"/>
      <c r="G1331" s="26" t="str">
        <f aca="false">IF(D1331="","",IFERROR(VALUE(LEFT(D1331,FIND(" |",D1331&amp;" |")-1)),"?"))</f>
        <v/>
      </c>
      <c r="H1331" s="27" t="str">
        <f aca="false">IF(G1331="","",IF(G1331="?","⚠ pub inconnue",IFERROR(INDEX(Pubs!$B$2:$B$3001,MATCH(G1331,Pubs!$A$2:$A$3001,0))&amp;"","⚠ pub inconnue")))</f>
        <v/>
      </c>
      <c r="I1331" s="27" t="str">
        <f aca="false">IF(OR(G1331="",G1331="?"),"",IFERROR(INDEX(Pubs!$C$2:$C$3001,MATCH(G1331,Pubs!$A$2:$A$3001,0))&amp;"",""))</f>
        <v/>
      </c>
      <c r="J1331" s="27" t="str">
        <f aca="false">IF(OR(G1331="",G1331="?"),"",IFERROR(INDEX(Pubs!$G$2:$G$3001,MATCH(G1331,Pubs!$A$2:$A$3001,0))&amp;"",""))</f>
        <v/>
      </c>
      <c r="K1331" s="28" t="str">
        <f aca="false">IF(OR(G1331="",G1331="?"),"",IFERROR(INDEX(Pubs!$E$2:$E$3001,MATCH(G1331,Pubs!$A$2:$A$3001,0)),""))</f>
        <v/>
      </c>
      <c r="L1331" s="29" t="str">
        <f aca="false">IF(A1331="","",IFERROR(1/(1/INDEX(Numéros!$C$2:$C$3001,MATCH(A1331&amp;"|"&amp;B1331,Numéros!$F$2:$F$3001,0))),""))</f>
        <v/>
      </c>
      <c r="M1331" s="27" t="str">
        <f aca="false">IF(OR(G1331="",G1331="?"),"",IFERROR(INDEX(Pubs!$D$2:$D$3001,MATCH(G1331,Pubs!$A$2:$A$3001,0))&amp;"",""))</f>
        <v/>
      </c>
      <c r="N1331" s="27" t="n">
        <f aca="false">N(N1330)+IF(AND(A1331&lt;&gt;"",OR(Recherche!$C$4="",A1331=Recherche!$C$4),OR(Recherche!$C$5="",B1331&amp;""=Recherche!$C$5&amp;""),OR(Recherche!$C$6="",IFERROR(YEAR(L1331),0)=Recherche!$C$6),OR(Recherche!$C$7="",ISNUMBER(SEARCH(Recherche!$C$7,H1331))),OR(Recherche!$C$8="",J1331=Recherche!$C$8),OR(Recherche!$C$9="",I1331=Recherche!$C$9),OR(Recherche!$C$10="",G1331&amp;""=Recherche!$C$10&amp;""),OR(Recherche!$C$11="",E1331=Recherche!$C$11),OR(Recherche!$C$12="",ISNUMBER(SEARCH(Recherche!$C$12,M1331&amp;" "&amp;F1331)))),1,0)</f>
        <v>8</v>
      </c>
    </row>
    <row r="1332" customFormat="false" ht="15" hidden="false" customHeight="false" outlineLevel="0" collapsed="false">
      <c r="A1332" s="19"/>
      <c r="B1332" s="19"/>
      <c r="C1332" s="19"/>
      <c r="D1332" s="19"/>
      <c r="E1332" s="22"/>
      <c r="F1332" s="19"/>
      <c r="G1332" s="26" t="str">
        <f aca="false">IF(D1332="","",IFERROR(VALUE(LEFT(D1332,FIND(" |",D1332&amp;" |")-1)),"?"))</f>
        <v/>
      </c>
      <c r="H1332" s="27" t="str">
        <f aca="false">IF(G1332="","",IF(G1332="?","⚠ pub inconnue",IFERROR(INDEX(Pubs!$B$2:$B$3001,MATCH(G1332,Pubs!$A$2:$A$3001,0))&amp;"","⚠ pub inconnue")))</f>
        <v/>
      </c>
      <c r="I1332" s="27" t="str">
        <f aca="false">IF(OR(G1332="",G1332="?"),"",IFERROR(INDEX(Pubs!$C$2:$C$3001,MATCH(G1332,Pubs!$A$2:$A$3001,0))&amp;"",""))</f>
        <v/>
      </c>
      <c r="J1332" s="27" t="str">
        <f aca="false">IF(OR(G1332="",G1332="?"),"",IFERROR(INDEX(Pubs!$G$2:$G$3001,MATCH(G1332,Pubs!$A$2:$A$3001,0))&amp;"",""))</f>
        <v/>
      </c>
      <c r="K1332" s="28" t="str">
        <f aca="false">IF(OR(G1332="",G1332="?"),"",IFERROR(INDEX(Pubs!$E$2:$E$3001,MATCH(G1332,Pubs!$A$2:$A$3001,0)),""))</f>
        <v/>
      </c>
      <c r="L1332" s="29" t="str">
        <f aca="false">IF(A1332="","",IFERROR(1/(1/INDEX(Numéros!$C$2:$C$3001,MATCH(A1332&amp;"|"&amp;B1332,Numéros!$F$2:$F$3001,0))),""))</f>
        <v/>
      </c>
      <c r="M1332" s="27" t="str">
        <f aca="false">IF(OR(G1332="",G1332="?"),"",IFERROR(INDEX(Pubs!$D$2:$D$3001,MATCH(G1332,Pubs!$A$2:$A$3001,0))&amp;"",""))</f>
        <v/>
      </c>
      <c r="N1332" s="27" t="n">
        <f aca="false">N(N1331)+IF(AND(A1332&lt;&gt;"",OR(Recherche!$C$4="",A1332=Recherche!$C$4),OR(Recherche!$C$5="",B1332&amp;""=Recherche!$C$5&amp;""),OR(Recherche!$C$6="",IFERROR(YEAR(L1332),0)=Recherche!$C$6),OR(Recherche!$C$7="",ISNUMBER(SEARCH(Recherche!$C$7,H1332))),OR(Recherche!$C$8="",J1332=Recherche!$C$8),OR(Recherche!$C$9="",I1332=Recherche!$C$9),OR(Recherche!$C$10="",G1332&amp;""=Recherche!$C$10&amp;""),OR(Recherche!$C$11="",E1332=Recherche!$C$11),OR(Recherche!$C$12="",ISNUMBER(SEARCH(Recherche!$C$12,M1332&amp;" "&amp;F1332)))),1,0)</f>
        <v>8</v>
      </c>
    </row>
    <row r="1333" customFormat="false" ht="15" hidden="false" customHeight="false" outlineLevel="0" collapsed="false">
      <c r="A1333" s="19"/>
      <c r="B1333" s="19"/>
      <c r="C1333" s="19"/>
      <c r="D1333" s="19"/>
      <c r="E1333" s="22"/>
      <c r="F1333" s="19"/>
      <c r="G1333" s="26" t="str">
        <f aca="false">IF(D1333="","",IFERROR(VALUE(LEFT(D1333,FIND(" |",D1333&amp;" |")-1)),"?"))</f>
        <v/>
      </c>
      <c r="H1333" s="27" t="str">
        <f aca="false">IF(G1333="","",IF(G1333="?","⚠ pub inconnue",IFERROR(INDEX(Pubs!$B$2:$B$3001,MATCH(G1333,Pubs!$A$2:$A$3001,0))&amp;"","⚠ pub inconnue")))</f>
        <v/>
      </c>
      <c r="I1333" s="27" t="str">
        <f aca="false">IF(OR(G1333="",G1333="?"),"",IFERROR(INDEX(Pubs!$C$2:$C$3001,MATCH(G1333,Pubs!$A$2:$A$3001,0))&amp;"",""))</f>
        <v/>
      </c>
      <c r="J1333" s="27" t="str">
        <f aca="false">IF(OR(G1333="",G1333="?"),"",IFERROR(INDEX(Pubs!$G$2:$G$3001,MATCH(G1333,Pubs!$A$2:$A$3001,0))&amp;"",""))</f>
        <v/>
      </c>
      <c r="K1333" s="28" t="str">
        <f aca="false">IF(OR(G1333="",G1333="?"),"",IFERROR(INDEX(Pubs!$E$2:$E$3001,MATCH(G1333,Pubs!$A$2:$A$3001,0)),""))</f>
        <v/>
      </c>
      <c r="L1333" s="29" t="str">
        <f aca="false">IF(A1333="","",IFERROR(1/(1/INDEX(Numéros!$C$2:$C$3001,MATCH(A1333&amp;"|"&amp;B1333,Numéros!$F$2:$F$3001,0))),""))</f>
        <v/>
      </c>
      <c r="M1333" s="27" t="str">
        <f aca="false">IF(OR(G1333="",G1333="?"),"",IFERROR(INDEX(Pubs!$D$2:$D$3001,MATCH(G1333,Pubs!$A$2:$A$3001,0))&amp;"",""))</f>
        <v/>
      </c>
      <c r="N1333" s="27" t="n">
        <f aca="false">N(N1332)+IF(AND(A1333&lt;&gt;"",OR(Recherche!$C$4="",A1333=Recherche!$C$4),OR(Recherche!$C$5="",B1333&amp;""=Recherche!$C$5&amp;""),OR(Recherche!$C$6="",IFERROR(YEAR(L1333),0)=Recherche!$C$6),OR(Recherche!$C$7="",ISNUMBER(SEARCH(Recherche!$C$7,H1333))),OR(Recherche!$C$8="",J1333=Recherche!$C$8),OR(Recherche!$C$9="",I1333=Recherche!$C$9),OR(Recherche!$C$10="",G1333&amp;""=Recherche!$C$10&amp;""),OR(Recherche!$C$11="",E1333=Recherche!$C$11),OR(Recherche!$C$12="",ISNUMBER(SEARCH(Recherche!$C$12,M1333&amp;" "&amp;F1333)))),1,0)</f>
        <v>8</v>
      </c>
    </row>
    <row r="1334" customFormat="false" ht="15" hidden="false" customHeight="false" outlineLevel="0" collapsed="false">
      <c r="A1334" s="19"/>
      <c r="B1334" s="19"/>
      <c r="C1334" s="19"/>
      <c r="D1334" s="19"/>
      <c r="E1334" s="22"/>
      <c r="F1334" s="19"/>
      <c r="G1334" s="26" t="str">
        <f aca="false">IF(D1334="","",IFERROR(VALUE(LEFT(D1334,FIND(" |",D1334&amp;" |")-1)),"?"))</f>
        <v/>
      </c>
      <c r="H1334" s="27" t="str">
        <f aca="false">IF(G1334="","",IF(G1334="?","⚠ pub inconnue",IFERROR(INDEX(Pubs!$B$2:$B$3001,MATCH(G1334,Pubs!$A$2:$A$3001,0))&amp;"","⚠ pub inconnue")))</f>
        <v/>
      </c>
      <c r="I1334" s="27" t="str">
        <f aca="false">IF(OR(G1334="",G1334="?"),"",IFERROR(INDEX(Pubs!$C$2:$C$3001,MATCH(G1334,Pubs!$A$2:$A$3001,0))&amp;"",""))</f>
        <v/>
      </c>
      <c r="J1334" s="27" t="str">
        <f aca="false">IF(OR(G1334="",G1334="?"),"",IFERROR(INDEX(Pubs!$G$2:$G$3001,MATCH(G1334,Pubs!$A$2:$A$3001,0))&amp;"",""))</f>
        <v/>
      </c>
      <c r="K1334" s="28" t="str">
        <f aca="false">IF(OR(G1334="",G1334="?"),"",IFERROR(INDEX(Pubs!$E$2:$E$3001,MATCH(G1334,Pubs!$A$2:$A$3001,0)),""))</f>
        <v/>
      </c>
      <c r="L1334" s="29" t="str">
        <f aca="false">IF(A1334="","",IFERROR(1/(1/INDEX(Numéros!$C$2:$C$3001,MATCH(A1334&amp;"|"&amp;B1334,Numéros!$F$2:$F$3001,0))),""))</f>
        <v/>
      </c>
      <c r="M1334" s="27" t="str">
        <f aca="false">IF(OR(G1334="",G1334="?"),"",IFERROR(INDEX(Pubs!$D$2:$D$3001,MATCH(G1334,Pubs!$A$2:$A$3001,0))&amp;"",""))</f>
        <v/>
      </c>
      <c r="N1334" s="27" t="n">
        <f aca="false">N(N1333)+IF(AND(A1334&lt;&gt;"",OR(Recherche!$C$4="",A1334=Recherche!$C$4),OR(Recherche!$C$5="",B1334&amp;""=Recherche!$C$5&amp;""),OR(Recherche!$C$6="",IFERROR(YEAR(L1334),0)=Recherche!$C$6),OR(Recherche!$C$7="",ISNUMBER(SEARCH(Recherche!$C$7,H1334))),OR(Recherche!$C$8="",J1334=Recherche!$C$8),OR(Recherche!$C$9="",I1334=Recherche!$C$9),OR(Recherche!$C$10="",G1334&amp;""=Recherche!$C$10&amp;""),OR(Recherche!$C$11="",E1334=Recherche!$C$11),OR(Recherche!$C$12="",ISNUMBER(SEARCH(Recherche!$C$12,M1334&amp;" "&amp;F1334)))),1,0)</f>
        <v>8</v>
      </c>
    </row>
    <row r="1335" customFormat="false" ht="15" hidden="false" customHeight="false" outlineLevel="0" collapsed="false">
      <c r="A1335" s="19"/>
      <c r="B1335" s="19"/>
      <c r="C1335" s="19"/>
      <c r="D1335" s="19"/>
      <c r="E1335" s="22"/>
      <c r="F1335" s="19"/>
      <c r="G1335" s="26" t="str">
        <f aca="false">IF(D1335="","",IFERROR(VALUE(LEFT(D1335,FIND(" |",D1335&amp;" |")-1)),"?"))</f>
        <v/>
      </c>
      <c r="H1335" s="27" t="str">
        <f aca="false">IF(G1335="","",IF(G1335="?","⚠ pub inconnue",IFERROR(INDEX(Pubs!$B$2:$B$3001,MATCH(G1335,Pubs!$A$2:$A$3001,0))&amp;"","⚠ pub inconnue")))</f>
        <v/>
      </c>
      <c r="I1335" s="27" t="str">
        <f aca="false">IF(OR(G1335="",G1335="?"),"",IFERROR(INDEX(Pubs!$C$2:$C$3001,MATCH(G1335,Pubs!$A$2:$A$3001,0))&amp;"",""))</f>
        <v/>
      </c>
      <c r="J1335" s="27" t="str">
        <f aca="false">IF(OR(G1335="",G1335="?"),"",IFERROR(INDEX(Pubs!$G$2:$G$3001,MATCH(G1335,Pubs!$A$2:$A$3001,0))&amp;"",""))</f>
        <v/>
      </c>
      <c r="K1335" s="28" t="str">
        <f aca="false">IF(OR(G1335="",G1335="?"),"",IFERROR(INDEX(Pubs!$E$2:$E$3001,MATCH(G1335,Pubs!$A$2:$A$3001,0)),""))</f>
        <v/>
      </c>
      <c r="L1335" s="29" t="str">
        <f aca="false">IF(A1335="","",IFERROR(1/(1/INDEX(Numéros!$C$2:$C$3001,MATCH(A1335&amp;"|"&amp;B1335,Numéros!$F$2:$F$3001,0))),""))</f>
        <v/>
      </c>
      <c r="M1335" s="27" t="str">
        <f aca="false">IF(OR(G1335="",G1335="?"),"",IFERROR(INDEX(Pubs!$D$2:$D$3001,MATCH(G1335,Pubs!$A$2:$A$3001,0))&amp;"",""))</f>
        <v/>
      </c>
      <c r="N1335" s="27" t="n">
        <f aca="false">N(N1334)+IF(AND(A1335&lt;&gt;"",OR(Recherche!$C$4="",A1335=Recherche!$C$4),OR(Recherche!$C$5="",B1335&amp;""=Recherche!$C$5&amp;""),OR(Recherche!$C$6="",IFERROR(YEAR(L1335),0)=Recherche!$C$6),OR(Recherche!$C$7="",ISNUMBER(SEARCH(Recherche!$C$7,H1335))),OR(Recherche!$C$8="",J1335=Recherche!$C$8),OR(Recherche!$C$9="",I1335=Recherche!$C$9),OR(Recherche!$C$10="",G1335&amp;""=Recherche!$C$10&amp;""),OR(Recherche!$C$11="",E1335=Recherche!$C$11),OR(Recherche!$C$12="",ISNUMBER(SEARCH(Recherche!$C$12,M1335&amp;" "&amp;F1335)))),1,0)</f>
        <v>8</v>
      </c>
    </row>
    <row r="1336" customFormat="false" ht="15" hidden="false" customHeight="false" outlineLevel="0" collapsed="false">
      <c r="A1336" s="19"/>
      <c r="B1336" s="19"/>
      <c r="C1336" s="19"/>
      <c r="D1336" s="19"/>
      <c r="E1336" s="22"/>
      <c r="F1336" s="19"/>
      <c r="G1336" s="26" t="str">
        <f aca="false">IF(D1336="","",IFERROR(VALUE(LEFT(D1336,FIND(" |",D1336&amp;" |")-1)),"?"))</f>
        <v/>
      </c>
      <c r="H1336" s="27" t="str">
        <f aca="false">IF(G1336="","",IF(G1336="?","⚠ pub inconnue",IFERROR(INDEX(Pubs!$B$2:$B$3001,MATCH(G1336,Pubs!$A$2:$A$3001,0))&amp;"","⚠ pub inconnue")))</f>
        <v/>
      </c>
      <c r="I1336" s="27" t="str">
        <f aca="false">IF(OR(G1336="",G1336="?"),"",IFERROR(INDEX(Pubs!$C$2:$C$3001,MATCH(G1336,Pubs!$A$2:$A$3001,0))&amp;"",""))</f>
        <v/>
      </c>
      <c r="J1336" s="27" t="str">
        <f aca="false">IF(OR(G1336="",G1336="?"),"",IFERROR(INDEX(Pubs!$G$2:$G$3001,MATCH(G1336,Pubs!$A$2:$A$3001,0))&amp;"",""))</f>
        <v/>
      </c>
      <c r="K1336" s="28" t="str">
        <f aca="false">IF(OR(G1336="",G1336="?"),"",IFERROR(INDEX(Pubs!$E$2:$E$3001,MATCH(G1336,Pubs!$A$2:$A$3001,0)),""))</f>
        <v/>
      </c>
      <c r="L1336" s="29" t="str">
        <f aca="false">IF(A1336="","",IFERROR(1/(1/INDEX(Numéros!$C$2:$C$3001,MATCH(A1336&amp;"|"&amp;B1336,Numéros!$F$2:$F$3001,0))),""))</f>
        <v/>
      </c>
      <c r="M1336" s="27" t="str">
        <f aca="false">IF(OR(G1336="",G1336="?"),"",IFERROR(INDEX(Pubs!$D$2:$D$3001,MATCH(G1336,Pubs!$A$2:$A$3001,0))&amp;"",""))</f>
        <v/>
      </c>
      <c r="N1336" s="27" t="n">
        <f aca="false">N(N1335)+IF(AND(A1336&lt;&gt;"",OR(Recherche!$C$4="",A1336=Recherche!$C$4),OR(Recherche!$C$5="",B1336&amp;""=Recherche!$C$5&amp;""),OR(Recherche!$C$6="",IFERROR(YEAR(L1336),0)=Recherche!$C$6),OR(Recherche!$C$7="",ISNUMBER(SEARCH(Recherche!$C$7,H1336))),OR(Recherche!$C$8="",J1336=Recherche!$C$8),OR(Recherche!$C$9="",I1336=Recherche!$C$9),OR(Recherche!$C$10="",G1336&amp;""=Recherche!$C$10&amp;""),OR(Recherche!$C$11="",E1336=Recherche!$C$11),OR(Recherche!$C$12="",ISNUMBER(SEARCH(Recherche!$C$12,M1336&amp;" "&amp;F1336)))),1,0)</f>
        <v>8</v>
      </c>
    </row>
    <row r="1337" customFormat="false" ht="15" hidden="false" customHeight="false" outlineLevel="0" collapsed="false">
      <c r="A1337" s="19"/>
      <c r="B1337" s="19"/>
      <c r="C1337" s="19"/>
      <c r="D1337" s="19"/>
      <c r="E1337" s="22"/>
      <c r="F1337" s="19"/>
      <c r="G1337" s="26" t="str">
        <f aca="false">IF(D1337="","",IFERROR(VALUE(LEFT(D1337,FIND(" |",D1337&amp;" |")-1)),"?"))</f>
        <v/>
      </c>
      <c r="H1337" s="27" t="str">
        <f aca="false">IF(G1337="","",IF(G1337="?","⚠ pub inconnue",IFERROR(INDEX(Pubs!$B$2:$B$3001,MATCH(G1337,Pubs!$A$2:$A$3001,0))&amp;"","⚠ pub inconnue")))</f>
        <v/>
      </c>
      <c r="I1337" s="27" t="str">
        <f aca="false">IF(OR(G1337="",G1337="?"),"",IFERROR(INDEX(Pubs!$C$2:$C$3001,MATCH(G1337,Pubs!$A$2:$A$3001,0))&amp;"",""))</f>
        <v/>
      </c>
      <c r="J1337" s="27" t="str">
        <f aca="false">IF(OR(G1337="",G1337="?"),"",IFERROR(INDEX(Pubs!$G$2:$G$3001,MATCH(G1337,Pubs!$A$2:$A$3001,0))&amp;"",""))</f>
        <v/>
      </c>
      <c r="K1337" s="28" t="str">
        <f aca="false">IF(OR(G1337="",G1337="?"),"",IFERROR(INDEX(Pubs!$E$2:$E$3001,MATCH(G1337,Pubs!$A$2:$A$3001,0)),""))</f>
        <v/>
      </c>
      <c r="L1337" s="29" t="str">
        <f aca="false">IF(A1337="","",IFERROR(1/(1/INDEX(Numéros!$C$2:$C$3001,MATCH(A1337&amp;"|"&amp;B1337,Numéros!$F$2:$F$3001,0))),""))</f>
        <v/>
      </c>
      <c r="M1337" s="27" t="str">
        <f aca="false">IF(OR(G1337="",G1337="?"),"",IFERROR(INDEX(Pubs!$D$2:$D$3001,MATCH(G1337,Pubs!$A$2:$A$3001,0))&amp;"",""))</f>
        <v/>
      </c>
      <c r="N1337" s="27" t="n">
        <f aca="false">N(N1336)+IF(AND(A1337&lt;&gt;"",OR(Recherche!$C$4="",A1337=Recherche!$C$4),OR(Recherche!$C$5="",B1337&amp;""=Recherche!$C$5&amp;""),OR(Recherche!$C$6="",IFERROR(YEAR(L1337),0)=Recherche!$C$6),OR(Recherche!$C$7="",ISNUMBER(SEARCH(Recherche!$C$7,H1337))),OR(Recherche!$C$8="",J1337=Recherche!$C$8),OR(Recherche!$C$9="",I1337=Recherche!$C$9),OR(Recherche!$C$10="",G1337&amp;""=Recherche!$C$10&amp;""),OR(Recherche!$C$11="",E1337=Recherche!$C$11),OR(Recherche!$C$12="",ISNUMBER(SEARCH(Recherche!$C$12,M1337&amp;" "&amp;F1337)))),1,0)</f>
        <v>8</v>
      </c>
    </row>
    <row r="1338" customFormat="false" ht="15" hidden="false" customHeight="false" outlineLevel="0" collapsed="false">
      <c r="A1338" s="19"/>
      <c r="B1338" s="19"/>
      <c r="C1338" s="19"/>
      <c r="D1338" s="19"/>
      <c r="E1338" s="22"/>
      <c r="F1338" s="19"/>
      <c r="G1338" s="26" t="str">
        <f aca="false">IF(D1338="","",IFERROR(VALUE(LEFT(D1338,FIND(" |",D1338&amp;" |")-1)),"?"))</f>
        <v/>
      </c>
      <c r="H1338" s="27" t="str">
        <f aca="false">IF(G1338="","",IF(G1338="?","⚠ pub inconnue",IFERROR(INDEX(Pubs!$B$2:$B$3001,MATCH(G1338,Pubs!$A$2:$A$3001,0))&amp;"","⚠ pub inconnue")))</f>
        <v/>
      </c>
      <c r="I1338" s="27" t="str">
        <f aca="false">IF(OR(G1338="",G1338="?"),"",IFERROR(INDEX(Pubs!$C$2:$C$3001,MATCH(G1338,Pubs!$A$2:$A$3001,0))&amp;"",""))</f>
        <v/>
      </c>
      <c r="J1338" s="27" t="str">
        <f aca="false">IF(OR(G1338="",G1338="?"),"",IFERROR(INDEX(Pubs!$G$2:$G$3001,MATCH(G1338,Pubs!$A$2:$A$3001,0))&amp;"",""))</f>
        <v/>
      </c>
      <c r="K1338" s="28" t="str">
        <f aca="false">IF(OR(G1338="",G1338="?"),"",IFERROR(INDEX(Pubs!$E$2:$E$3001,MATCH(G1338,Pubs!$A$2:$A$3001,0)),""))</f>
        <v/>
      </c>
      <c r="L1338" s="29" t="str">
        <f aca="false">IF(A1338="","",IFERROR(1/(1/INDEX(Numéros!$C$2:$C$3001,MATCH(A1338&amp;"|"&amp;B1338,Numéros!$F$2:$F$3001,0))),""))</f>
        <v/>
      </c>
      <c r="M1338" s="27" t="str">
        <f aca="false">IF(OR(G1338="",G1338="?"),"",IFERROR(INDEX(Pubs!$D$2:$D$3001,MATCH(G1338,Pubs!$A$2:$A$3001,0))&amp;"",""))</f>
        <v/>
      </c>
      <c r="N1338" s="27" t="n">
        <f aca="false">N(N1337)+IF(AND(A1338&lt;&gt;"",OR(Recherche!$C$4="",A1338=Recherche!$C$4),OR(Recherche!$C$5="",B1338&amp;""=Recherche!$C$5&amp;""),OR(Recherche!$C$6="",IFERROR(YEAR(L1338),0)=Recherche!$C$6),OR(Recherche!$C$7="",ISNUMBER(SEARCH(Recherche!$C$7,H1338))),OR(Recherche!$C$8="",J1338=Recherche!$C$8),OR(Recherche!$C$9="",I1338=Recherche!$C$9),OR(Recherche!$C$10="",G1338&amp;""=Recherche!$C$10&amp;""),OR(Recherche!$C$11="",E1338=Recherche!$C$11),OR(Recherche!$C$12="",ISNUMBER(SEARCH(Recherche!$C$12,M1338&amp;" "&amp;F1338)))),1,0)</f>
        <v>8</v>
      </c>
    </row>
    <row r="1339" customFormat="false" ht="15" hidden="false" customHeight="false" outlineLevel="0" collapsed="false">
      <c r="A1339" s="19"/>
      <c r="B1339" s="19"/>
      <c r="C1339" s="19"/>
      <c r="D1339" s="19"/>
      <c r="E1339" s="22"/>
      <c r="F1339" s="19"/>
      <c r="G1339" s="26" t="str">
        <f aca="false">IF(D1339="","",IFERROR(VALUE(LEFT(D1339,FIND(" |",D1339&amp;" |")-1)),"?"))</f>
        <v/>
      </c>
      <c r="H1339" s="27" t="str">
        <f aca="false">IF(G1339="","",IF(G1339="?","⚠ pub inconnue",IFERROR(INDEX(Pubs!$B$2:$B$3001,MATCH(G1339,Pubs!$A$2:$A$3001,0))&amp;"","⚠ pub inconnue")))</f>
        <v/>
      </c>
      <c r="I1339" s="27" t="str">
        <f aca="false">IF(OR(G1339="",G1339="?"),"",IFERROR(INDEX(Pubs!$C$2:$C$3001,MATCH(G1339,Pubs!$A$2:$A$3001,0))&amp;"",""))</f>
        <v/>
      </c>
      <c r="J1339" s="27" t="str">
        <f aca="false">IF(OR(G1339="",G1339="?"),"",IFERROR(INDEX(Pubs!$G$2:$G$3001,MATCH(G1339,Pubs!$A$2:$A$3001,0))&amp;"",""))</f>
        <v/>
      </c>
      <c r="K1339" s="28" t="str">
        <f aca="false">IF(OR(G1339="",G1339="?"),"",IFERROR(INDEX(Pubs!$E$2:$E$3001,MATCH(G1339,Pubs!$A$2:$A$3001,0)),""))</f>
        <v/>
      </c>
      <c r="L1339" s="29" t="str">
        <f aca="false">IF(A1339="","",IFERROR(1/(1/INDEX(Numéros!$C$2:$C$3001,MATCH(A1339&amp;"|"&amp;B1339,Numéros!$F$2:$F$3001,0))),""))</f>
        <v/>
      </c>
      <c r="M1339" s="27" t="str">
        <f aca="false">IF(OR(G1339="",G1339="?"),"",IFERROR(INDEX(Pubs!$D$2:$D$3001,MATCH(G1339,Pubs!$A$2:$A$3001,0))&amp;"",""))</f>
        <v/>
      </c>
      <c r="N1339" s="27" t="n">
        <f aca="false">N(N1338)+IF(AND(A1339&lt;&gt;"",OR(Recherche!$C$4="",A1339=Recherche!$C$4),OR(Recherche!$C$5="",B1339&amp;""=Recherche!$C$5&amp;""),OR(Recherche!$C$6="",IFERROR(YEAR(L1339),0)=Recherche!$C$6),OR(Recherche!$C$7="",ISNUMBER(SEARCH(Recherche!$C$7,H1339))),OR(Recherche!$C$8="",J1339=Recherche!$C$8),OR(Recherche!$C$9="",I1339=Recherche!$C$9),OR(Recherche!$C$10="",G1339&amp;""=Recherche!$C$10&amp;""),OR(Recherche!$C$11="",E1339=Recherche!$C$11),OR(Recherche!$C$12="",ISNUMBER(SEARCH(Recherche!$C$12,M1339&amp;" "&amp;F1339)))),1,0)</f>
        <v>8</v>
      </c>
    </row>
    <row r="1340" customFormat="false" ht="15" hidden="false" customHeight="false" outlineLevel="0" collapsed="false">
      <c r="A1340" s="19"/>
      <c r="B1340" s="19"/>
      <c r="C1340" s="19"/>
      <c r="D1340" s="19"/>
      <c r="E1340" s="22"/>
      <c r="F1340" s="19"/>
      <c r="G1340" s="26" t="str">
        <f aca="false">IF(D1340="","",IFERROR(VALUE(LEFT(D1340,FIND(" |",D1340&amp;" |")-1)),"?"))</f>
        <v/>
      </c>
      <c r="H1340" s="27" t="str">
        <f aca="false">IF(G1340="","",IF(G1340="?","⚠ pub inconnue",IFERROR(INDEX(Pubs!$B$2:$B$3001,MATCH(G1340,Pubs!$A$2:$A$3001,0))&amp;"","⚠ pub inconnue")))</f>
        <v/>
      </c>
      <c r="I1340" s="27" t="str">
        <f aca="false">IF(OR(G1340="",G1340="?"),"",IFERROR(INDEX(Pubs!$C$2:$C$3001,MATCH(G1340,Pubs!$A$2:$A$3001,0))&amp;"",""))</f>
        <v/>
      </c>
      <c r="J1340" s="27" t="str">
        <f aca="false">IF(OR(G1340="",G1340="?"),"",IFERROR(INDEX(Pubs!$G$2:$G$3001,MATCH(G1340,Pubs!$A$2:$A$3001,0))&amp;"",""))</f>
        <v/>
      </c>
      <c r="K1340" s="28" t="str">
        <f aca="false">IF(OR(G1340="",G1340="?"),"",IFERROR(INDEX(Pubs!$E$2:$E$3001,MATCH(G1340,Pubs!$A$2:$A$3001,0)),""))</f>
        <v/>
      </c>
      <c r="L1340" s="29" t="str">
        <f aca="false">IF(A1340="","",IFERROR(1/(1/INDEX(Numéros!$C$2:$C$3001,MATCH(A1340&amp;"|"&amp;B1340,Numéros!$F$2:$F$3001,0))),""))</f>
        <v/>
      </c>
      <c r="M1340" s="27" t="str">
        <f aca="false">IF(OR(G1340="",G1340="?"),"",IFERROR(INDEX(Pubs!$D$2:$D$3001,MATCH(G1340,Pubs!$A$2:$A$3001,0))&amp;"",""))</f>
        <v/>
      </c>
      <c r="N1340" s="27" t="n">
        <f aca="false">N(N1339)+IF(AND(A1340&lt;&gt;"",OR(Recherche!$C$4="",A1340=Recherche!$C$4),OR(Recherche!$C$5="",B1340&amp;""=Recherche!$C$5&amp;""),OR(Recherche!$C$6="",IFERROR(YEAR(L1340),0)=Recherche!$C$6),OR(Recherche!$C$7="",ISNUMBER(SEARCH(Recherche!$C$7,H1340))),OR(Recherche!$C$8="",J1340=Recherche!$C$8),OR(Recherche!$C$9="",I1340=Recherche!$C$9),OR(Recherche!$C$10="",G1340&amp;""=Recherche!$C$10&amp;""),OR(Recherche!$C$11="",E1340=Recherche!$C$11),OR(Recherche!$C$12="",ISNUMBER(SEARCH(Recherche!$C$12,M1340&amp;" "&amp;F1340)))),1,0)</f>
        <v>8</v>
      </c>
    </row>
    <row r="1341" customFormat="false" ht="15" hidden="false" customHeight="false" outlineLevel="0" collapsed="false">
      <c r="A1341" s="19"/>
      <c r="B1341" s="19"/>
      <c r="C1341" s="19"/>
      <c r="D1341" s="19"/>
      <c r="E1341" s="22"/>
      <c r="F1341" s="19"/>
      <c r="G1341" s="26" t="str">
        <f aca="false">IF(D1341="","",IFERROR(VALUE(LEFT(D1341,FIND(" |",D1341&amp;" |")-1)),"?"))</f>
        <v/>
      </c>
      <c r="H1341" s="27" t="str">
        <f aca="false">IF(G1341="","",IF(G1341="?","⚠ pub inconnue",IFERROR(INDEX(Pubs!$B$2:$B$3001,MATCH(G1341,Pubs!$A$2:$A$3001,0))&amp;"","⚠ pub inconnue")))</f>
        <v/>
      </c>
      <c r="I1341" s="27" t="str">
        <f aca="false">IF(OR(G1341="",G1341="?"),"",IFERROR(INDEX(Pubs!$C$2:$C$3001,MATCH(G1341,Pubs!$A$2:$A$3001,0))&amp;"",""))</f>
        <v/>
      </c>
      <c r="J1341" s="27" t="str">
        <f aca="false">IF(OR(G1341="",G1341="?"),"",IFERROR(INDEX(Pubs!$G$2:$G$3001,MATCH(G1341,Pubs!$A$2:$A$3001,0))&amp;"",""))</f>
        <v/>
      </c>
      <c r="K1341" s="28" t="str">
        <f aca="false">IF(OR(G1341="",G1341="?"),"",IFERROR(INDEX(Pubs!$E$2:$E$3001,MATCH(G1341,Pubs!$A$2:$A$3001,0)),""))</f>
        <v/>
      </c>
      <c r="L1341" s="29" t="str">
        <f aca="false">IF(A1341="","",IFERROR(1/(1/INDEX(Numéros!$C$2:$C$3001,MATCH(A1341&amp;"|"&amp;B1341,Numéros!$F$2:$F$3001,0))),""))</f>
        <v/>
      </c>
      <c r="M1341" s="27" t="str">
        <f aca="false">IF(OR(G1341="",G1341="?"),"",IFERROR(INDEX(Pubs!$D$2:$D$3001,MATCH(G1341,Pubs!$A$2:$A$3001,0))&amp;"",""))</f>
        <v/>
      </c>
      <c r="N1341" s="27" t="n">
        <f aca="false">N(N1340)+IF(AND(A1341&lt;&gt;"",OR(Recherche!$C$4="",A1341=Recherche!$C$4),OR(Recherche!$C$5="",B1341&amp;""=Recherche!$C$5&amp;""),OR(Recherche!$C$6="",IFERROR(YEAR(L1341),0)=Recherche!$C$6),OR(Recherche!$C$7="",ISNUMBER(SEARCH(Recherche!$C$7,H1341))),OR(Recherche!$C$8="",J1341=Recherche!$C$8),OR(Recherche!$C$9="",I1341=Recherche!$C$9),OR(Recherche!$C$10="",G1341&amp;""=Recherche!$C$10&amp;""),OR(Recherche!$C$11="",E1341=Recherche!$C$11),OR(Recherche!$C$12="",ISNUMBER(SEARCH(Recherche!$C$12,M1341&amp;" "&amp;F1341)))),1,0)</f>
        <v>8</v>
      </c>
    </row>
    <row r="1342" customFormat="false" ht="15" hidden="false" customHeight="false" outlineLevel="0" collapsed="false">
      <c r="A1342" s="19"/>
      <c r="B1342" s="19"/>
      <c r="C1342" s="19"/>
      <c r="D1342" s="19"/>
      <c r="E1342" s="22"/>
      <c r="F1342" s="19"/>
      <c r="G1342" s="26" t="str">
        <f aca="false">IF(D1342="","",IFERROR(VALUE(LEFT(D1342,FIND(" |",D1342&amp;" |")-1)),"?"))</f>
        <v/>
      </c>
      <c r="H1342" s="27" t="str">
        <f aca="false">IF(G1342="","",IF(G1342="?","⚠ pub inconnue",IFERROR(INDEX(Pubs!$B$2:$B$3001,MATCH(G1342,Pubs!$A$2:$A$3001,0))&amp;"","⚠ pub inconnue")))</f>
        <v/>
      </c>
      <c r="I1342" s="27" t="str">
        <f aca="false">IF(OR(G1342="",G1342="?"),"",IFERROR(INDEX(Pubs!$C$2:$C$3001,MATCH(G1342,Pubs!$A$2:$A$3001,0))&amp;"",""))</f>
        <v/>
      </c>
      <c r="J1342" s="27" t="str">
        <f aca="false">IF(OR(G1342="",G1342="?"),"",IFERROR(INDEX(Pubs!$G$2:$G$3001,MATCH(G1342,Pubs!$A$2:$A$3001,0))&amp;"",""))</f>
        <v/>
      </c>
      <c r="K1342" s="28" t="str">
        <f aca="false">IF(OR(G1342="",G1342="?"),"",IFERROR(INDEX(Pubs!$E$2:$E$3001,MATCH(G1342,Pubs!$A$2:$A$3001,0)),""))</f>
        <v/>
      </c>
      <c r="L1342" s="29" t="str">
        <f aca="false">IF(A1342="","",IFERROR(1/(1/INDEX(Numéros!$C$2:$C$3001,MATCH(A1342&amp;"|"&amp;B1342,Numéros!$F$2:$F$3001,0))),""))</f>
        <v/>
      </c>
      <c r="M1342" s="27" t="str">
        <f aca="false">IF(OR(G1342="",G1342="?"),"",IFERROR(INDEX(Pubs!$D$2:$D$3001,MATCH(G1342,Pubs!$A$2:$A$3001,0))&amp;"",""))</f>
        <v/>
      </c>
      <c r="N1342" s="27" t="n">
        <f aca="false">N(N1341)+IF(AND(A1342&lt;&gt;"",OR(Recherche!$C$4="",A1342=Recherche!$C$4),OR(Recherche!$C$5="",B1342&amp;""=Recherche!$C$5&amp;""),OR(Recherche!$C$6="",IFERROR(YEAR(L1342),0)=Recherche!$C$6),OR(Recherche!$C$7="",ISNUMBER(SEARCH(Recherche!$C$7,H1342))),OR(Recherche!$C$8="",J1342=Recherche!$C$8),OR(Recherche!$C$9="",I1342=Recherche!$C$9),OR(Recherche!$C$10="",G1342&amp;""=Recherche!$C$10&amp;""),OR(Recherche!$C$11="",E1342=Recherche!$C$11),OR(Recherche!$C$12="",ISNUMBER(SEARCH(Recherche!$C$12,M1342&amp;" "&amp;F1342)))),1,0)</f>
        <v>8</v>
      </c>
    </row>
    <row r="1343" customFormat="false" ht="15" hidden="false" customHeight="false" outlineLevel="0" collapsed="false">
      <c r="A1343" s="19"/>
      <c r="B1343" s="19"/>
      <c r="C1343" s="19"/>
      <c r="D1343" s="19"/>
      <c r="E1343" s="22"/>
      <c r="F1343" s="19"/>
      <c r="G1343" s="26" t="str">
        <f aca="false">IF(D1343="","",IFERROR(VALUE(LEFT(D1343,FIND(" |",D1343&amp;" |")-1)),"?"))</f>
        <v/>
      </c>
      <c r="H1343" s="27" t="str">
        <f aca="false">IF(G1343="","",IF(G1343="?","⚠ pub inconnue",IFERROR(INDEX(Pubs!$B$2:$B$3001,MATCH(G1343,Pubs!$A$2:$A$3001,0))&amp;"","⚠ pub inconnue")))</f>
        <v/>
      </c>
      <c r="I1343" s="27" t="str">
        <f aca="false">IF(OR(G1343="",G1343="?"),"",IFERROR(INDEX(Pubs!$C$2:$C$3001,MATCH(G1343,Pubs!$A$2:$A$3001,0))&amp;"",""))</f>
        <v/>
      </c>
      <c r="J1343" s="27" t="str">
        <f aca="false">IF(OR(G1343="",G1343="?"),"",IFERROR(INDEX(Pubs!$G$2:$G$3001,MATCH(G1343,Pubs!$A$2:$A$3001,0))&amp;"",""))</f>
        <v/>
      </c>
      <c r="K1343" s="28" t="str">
        <f aca="false">IF(OR(G1343="",G1343="?"),"",IFERROR(INDEX(Pubs!$E$2:$E$3001,MATCH(G1343,Pubs!$A$2:$A$3001,0)),""))</f>
        <v/>
      </c>
      <c r="L1343" s="29" t="str">
        <f aca="false">IF(A1343="","",IFERROR(1/(1/INDEX(Numéros!$C$2:$C$3001,MATCH(A1343&amp;"|"&amp;B1343,Numéros!$F$2:$F$3001,0))),""))</f>
        <v/>
      </c>
      <c r="M1343" s="27" t="str">
        <f aca="false">IF(OR(G1343="",G1343="?"),"",IFERROR(INDEX(Pubs!$D$2:$D$3001,MATCH(G1343,Pubs!$A$2:$A$3001,0))&amp;"",""))</f>
        <v/>
      </c>
      <c r="N1343" s="27" t="n">
        <f aca="false">N(N1342)+IF(AND(A1343&lt;&gt;"",OR(Recherche!$C$4="",A1343=Recherche!$C$4),OR(Recherche!$C$5="",B1343&amp;""=Recherche!$C$5&amp;""),OR(Recherche!$C$6="",IFERROR(YEAR(L1343),0)=Recherche!$C$6),OR(Recherche!$C$7="",ISNUMBER(SEARCH(Recherche!$C$7,H1343))),OR(Recherche!$C$8="",J1343=Recherche!$C$8),OR(Recherche!$C$9="",I1343=Recherche!$C$9),OR(Recherche!$C$10="",G1343&amp;""=Recherche!$C$10&amp;""),OR(Recherche!$C$11="",E1343=Recherche!$C$11),OR(Recherche!$C$12="",ISNUMBER(SEARCH(Recherche!$C$12,M1343&amp;" "&amp;F1343)))),1,0)</f>
        <v>8</v>
      </c>
    </row>
    <row r="1344" customFormat="false" ht="15" hidden="false" customHeight="false" outlineLevel="0" collapsed="false">
      <c r="A1344" s="19"/>
      <c r="B1344" s="19"/>
      <c r="C1344" s="19"/>
      <c r="D1344" s="19"/>
      <c r="E1344" s="22"/>
      <c r="F1344" s="19"/>
      <c r="G1344" s="26" t="str">
        <f aca="false">IF(D1344="","",IFERROR(VALUE(LEFT(D1344,FIND(" |",D1344&amp;" |")-1)),"?"))</f>
        <v/>
      </c>
      <c r="H1344" s="27" t="str">
        <f aca="false">IF(G1344="","",IF(G1344="?","⚠ pub inconnue",IFERROR(INDEX(Pubs!$B$2:$B$3001,MATCH(G1344,Pubs!$A$2:$A$3001,0))&amp;"","⚠ pub inconnue")))</f>
        <v/>
      </c>
      <c r="I1344" s="27" t="str">
        <f aca="false">IF(OR(G1344="",G1344="?"),"",IFERROR(INDEX(Pubs!$C$2:$C$3001,MATCH(G1344,Pubs!$A$2:$A$3001,0))&amp;"",""))</f>
        <v/>
      </c>
      <c r="J1344" s="27" t="str">
        <f aca="false">IF(OR(G1344="",G1344="?"),"",IFERROR(INDEX(Pubs!$G$2:$G$3001,MATCH(G1344,Pubs!$A$2:$A$3001,0))&amp;"",""))</f>
        <v/>
      </c>
      <c r="K1344" s="28" t="str">
        <f aca="false">IF(OR(G1344="",G1344="?"),"",IFERROR(INDEX(Pubs!$E$2:$E$3001,MATCH(G1344,Pubs!$A$2:$A$3001,0)),""))</f>
        <v/>
      </c>
      <c r="L1344" s="29" t="str">
        <f aca="false">IF(A1344="","",IFERROR(1/(1/INDEX(Numéros!$C$2:$C$3001,MATCH(A1344&amp;"|"&amp;B1344,Numéros!$F$2:$F$3001,0))),""))</f>
        <v/>
      </c>
      <c r="M1344" s="27" t="str">
        <f aca="false">IF(OR(G1344="",G1344="?"),"",IFERROR(INDEX(Pubs!$D$2:$D$3001,MATCH(G1344,Pubs!$A$2:$A$3001,0))&amp;"",""))</f>
        <v/>
      </c>
      <c r="N1344" s="27" t="n">
        <f aca="false">N(N1343)+IF(AND(A1344&lt;&gt;"",OR(Recherche!$C$4="",A1344=Recherche!$C$4),OR(Recherche!$C$5="",B1344&amp;""=Recherche!$C$5&amp;""),OR(Recherche!$C$6="",IFERROR(YEAR(L1344),0)=Recherche!$C$6),OR(Recherche!$C$7="",ISNUMBER(SEARCH(Recherche!$C$7,H1344))),OR(Recherche!$C$8="",J1344=Recherche!$C$8),OR(Recherche!$C$9="",I1344=Recherche!$C$9),OR(Recherche!$C$10="",G1344&amp;""=Recherche!$C$10&amp;""),OR(Recherche!$C$11="",E1344=Recherche!$C$11),OR(Recherche!$C$12="",ISNUMBER(SEARCH(Recherche!$C$12,M1344&amp;" "&amp;F1344)))),1,0)</f>
        <v>8</v>
      </c>
    </row>
    <row r="1345" customFormat="false" ht="15" hidden="false" customHeight="false" outlineLevel="0" collapsed="false">
      <c r="A1345" s="19"/>
      <c r="B1345" s="19"/>
      <c r="C1345" s="19"/>
      <c r="D1345" s="19"/>
      <c r="E1345" s="22"/>
      <c r="F1345" s="19"/>
      <c r="G1345" s="26" t="str">
        <f aca="false">IF(D1345="","",IFERROR(VALUE(LEFT(D1345,FIND(" |",D1345&amp;" |")-1)),"?"))</f>
        <v/>
      </c>
      <c r="H1345" s="27" t="str">
        <f aca="false">IF(G1345="","",IF(G1345="?","⚠ pub inconnue",IFERROR(INDEX(Pubs!$B$2:$B$3001,MATCH(G1345,Pubs!$A$2:$A$3001,0))&amp;"","⚠ pub inconnue")))</f>
        <v/>
      </c>
      <c r="I1345" s="27" t="str">
        <f aca="false">IF(OR(G1345="",G1345="?"),"",IFERROR(INDEX(Pubs!$C$2:$C$3001,MATCH(G1345,Pubs!$A$2:$A$3001,0))&amp;"",""))</f>
        <v/>
      </c>
      <c r="J1345" s="27" t="str">
        <f aca="false">IF(OR(G1345="",G1345="?"),"",IFERROR(INDEX(Pubs!$G$2:$G$3001,MATCH(G1345,Pubs!$A$2:$A$3001,0))&amp;"",""))</f>
        <v/>
      </c>
      <c r="K1345" s="28" t="str">
        <f aca="false">IF(OR(G1345="",G1345="?"),"",IFERROR(INDEX(Pubs!$E$2:$E$3001,MATCH(G1345,Pubs!$A$2:$A$3001,0)),""))</f>
        <v/>
      </c>
      <c r="L1345" s="29" t="str">
        <f aca="false">IF(A1345="","",IFERROR(1/(1/INDEX(Numéros!$C$2:$C$3001,MATCH(A1345&amp;"|"&amp;B1345,Numéros!$F$2:$F$3001,0))),""))</f>
        <v/>
      </c>
      <c r="M1345" s="27" t="str">
        <f aca="false">IF(OR(G1345="",G1345="?"),"",IFERROR(INDEX(Pubs!$D$2:$D$3001,MATCH(G1345,Pubs!$A$2:$A$3001,0))&amp;"",""))</f>
        <v/>
      </c>
      <c r="N1345" s="27" t="n">
        <f aca="false">N(N1344)+IF(AND(A1345&lt;&gt;"",OR(Recherche!$C$4="",A1345=Recherche!$C$4),OR(Recherche!$C$5="",B1345&amp;""=Recherche!$C$5&amp;""),OR(Recherche!$C$6="",IFERROR(YEAR(L1345),0)=Recherche!$C$6),OR(Recherche!$C$7="",ISNUMBER(SEARCH(Recherche!$C$7,H1345))),OR(Recherche!$C$8="",J1345=Recherche!$C$8),OR(Recherche!$C$9="",I1345=Recherche!$C$9),OR(Recherche!$C$10="",G1345&amp;""=Recherche!$C$10&amp;""),OR(Recherche!$C$11="",E1345=Recherche!$C$11),OR(Recherche!$C$12="",ISNUMBER(SEARCH(Recherche!$C$12,M1345&amp;" "&amp;F1345)))),1,0)</f>
        <v>8</v>
      </c>
    </row>
    <row r="1346" customFormat="false" ht="15" hidden="false" customHeight="false" outlineLevel="0" collapsed="false">
      <c r="A1346" s="19"/>
      <c r="B1346" s="19"/>
      <c r="C1346" s="19"/>
      <c r="D1346" s="19"/>
      <c r="E1346" s="22"/>
      <c r="F1346" s="19"/>
      <c r="G1346" s="26" t="str">
        <f aca="false">IF(D1346="","",IFERROR(VALUE(LEFT(D1346,FIND(" |",D1346&amp;" |")-1)),"?"))</f>
        <v/>
      </c>
      <c r="H1346" s="27" t="str">
        <f aca="false">IF(G1346="","",IF(G1346="?","⚠ pub inconnue",IFERROR(INDEX(Pubs!$B$2:$B$3001,MATCH(G1346,Pubs!$A$2:$A$3001,0))&amp;"","⚠ pub inconnue")))</f>
        <v/>
      </c>
      <c r="I1346" s="27" t="str">
        <f aca="false">IF(OR(G1346="",G1346="?"),"",IFERROR(INDEX(Pubs!$C$2:$C$3001,MATCH(G1346,Pubs!$A$2:$A$3001,0))&amp;"",""))</f>
        <v/>
      </c>
      <c r="J1346" s="27" t="str">
        <f aca="false">IF(OR(G1346="",G1346="?"),"",IFERROR(INDEX(Pubs!$G$2:$G$3001,MATCH(G1346,Pubs!$A$2:$A$3001,0))&amp;"",""))</f>
        <v/>
      </c>
      <c r="K1346" s="28" t="str">
        <f aca="false">IF(OR(G1346="",G1346="?"),"",IFERROR(INDEX(Pubs!$E$2:$E$3001,MATCH(G1346,Pubs!$A$2:$A$3001,0)),""))</f>
        <v/>
      </c>
      <c r="L1346" s="29" t="str">
        <f aca="false">IF(A1346="","",IFERROR(1/(1/INDEX(Numéros!$C$2:$C$3001,MATCH(A1346&amp;"|"&amp;B1346,Numéros!$F$2:$F$3001,0))),""))</f>
        <v/>
      </c>
      <c r="M1346" s="27" t="str">
        <f aca="false">IF(OR(G1346="",G1346="?"),"",IFERROR(INDEX(Pubs!$D$2:$D$3001,MATCH(G1346,Pubs!$A$2:$A$3001,0))&amp;"",""))</f>
        <v/>
      </c>
      <c r="N1346" s="27" t="n">
        <f aca="false">N(N1345)+IF(AND(A1346&lt;&gt;"",OR(Recherche!$C$4="",A1346=Recherche!$C$4),OR(Recherche!$C$5="",B1346&amp;""=Recherche!$C$5&amp;""),OR(Recherche!$C$6="",IFERROR(YEAR(L1346),0)=Recherche!$C$6),OR(Recherche!$C$7="",ISNUMBER(SEARCH(Recherche!$C$7,H1346))),OR(Recherche!$C$8="",J1346=Recherche!$C$8),OR(Recherche!$C$9="",I1346=Recherche!$C$9),OR(Recherche!$C$10="",G1346&amp;""=Recherche!$C$10&amp;""),OR(Recherche!$C$11="",E1346=Recherche!$C$11),OR(Recherche!$C$12="",ISNUMBER(SEARCH(Recherche!$C$12,M1346&amp;" "&amp;F1346)))),1,0)</f>
        <v>8</v>
      </c>
    </row>
    <row r="1347" customFormat="false" ht="15" hidden="false" customHeight="false" outlineLevel="0" collapsed="false">
      <c r="A1347" s="19"/>
      <c r="B1347" s="19"/>
      <c r="C1347" s="19"/>
      <c r="D1347" s="19"/>
      <c r="E1347" s="22"/>
      <c r="F1347" s="19"/>
      <c r="G1347" s="26" t="str">
        <f aca="false">IF(D1347="","",IFERROR(VALUE(LEFT(D1347,FIND(" |",D1347&amp;" |")-1)),"?"))</f>
        <v/>
      </c>
      <c r="H1347" s="27" t="str">
        <f aca="false">IF(G1347="","",IF(G1347="?","⚠ pub inconnue",IFERROR(INDEX(Pubs!$B$2:$B$3001,MATCH(G1347,Pubs!$A$2:$A$3001,0))&amp;"","⚠ pub inconnue")))</f>
        <v/>
      </c>
      <c r="I1347" s="27" t="str">
        <f aca="false">IF(OR(G1347="",G1347="?"),"",IFERROR(INDEX(Pubs!$C$2:$C$3001,MATCH(G1347,Pubs!$A$2:$A$3001,0))&amp;"",""))</f>
        <v/>
      </c>
      <c r="J1347" s="27" t="str">
        <f aca="false">IF(OR(G1347="",G1347="?"),"",IFERROR(INDEX(Pubs!$G$2:$G$3001,MATCH(G1347,Pubs!$A$2:$A$3001,0))&amp;"",""))</f>
        <v/>
      </c>
      <c r="K1347" s="28" t="str">
        <f aca="false">IF(OR(G1347="",G1347="?"),"",IFERROR(INDEX(Pubs!$E$2:$E$3001,MATCH(G1347,Pubs!$A$2:$A$3001,0)),""))</f>
        <v/>
      </c>
      <c r="L1347" s="29" t="str">
        <f aca="false">IF(A1347="","",IFERROR(1/(1/INDEX(Numéros!$C$2:$C$3001,MATCH(A1347&amp;"|"&amp;B1347,Numéros!$F$2:$F$3001,0))),""))</f>
        <v/>
      </c>
      <c r="M1347" s="27" t="str">
        <f aca="false">IF(OR(G1347="",G1347="?"),"",IFERROR(INDEX(Pubs!$D$2:$D$3001,MATCH(G1347,Pubs!$A$2:$A$3001,0))&amp;"",""))</f>
        <v/>
      </c>
      <c r="N1347" s="27" t="n">
        <f aca="false">N(N1346)+IF(AND(A1347&lt;&gt;"",OR(Recherche!$C$4="",A1347=Recherche!$C$4),OR(Recherche!$C$5="",B1347&amp;""=Recherche!$C$5&amp;""),OR(Recherche!$C$6="",IFERROR(YEAR(L1347),0)=Recherche!$C$6),OR(Recherche!$C$7="",ISNUMBER(SEARCH(Recherche!$C$7,H1347))),OR(Recherche!$C$8="",J1347=Recherche!$C$8),OR(Recherche!$C$9="",I1347=Recherche!$C$9),OR(Recherche!$C$10="",G1347&amp;""=Recherche!$C$10&amp;""),OR(Recherche!$C$11="",E1347=Recherche!$C$11),OR(Recherche!$C$12="",ISNUMBER(SEARCH(Recherche!$C$12,M1347&amp;" "&amp;F1347)))),1,0)</f>
        <v>8</v>
      </c>
    </row>
    <row r="1348" customFormat="false" ht="15" hidden="false" customHeight="false" outlineLevel="0" collapsed="false">
      <c r="A1348" s="19"/>
      <c r="B1348" s="19"/>
      <c r="C1348" s="19"/>
      <c r="D1348" s="19"/>
      <c r="E1348" s="22"/>
      <c r="F1348" s="19"/>
      <c r="G1348" s="26" t="str">
        <f aca="false">IF(D1348="","",IFERROR(VALUE(LEFT(D1348,FIND(" |",D1348&amp;" |")-1)),"?"))</f>
        <v/>
      </c>
      <c r="H1348" s="27" t="str">
        <f aca="false">IF(G1348="","",IF(G1348="?","⚠ pub inconnue",IFERROR(INDEX(Pubs!$B$2:$B$3001,MATCH(G1348,Pubs!$A$2:$A$3001,0))&amp;"","⚠ pub inconnue")))</f>
        <v/>
      </c>
      <c r="I1348" s="27" t="str">
        <f aca="false">IF(OR(G1348="",G1348="?"),"",IFERROR(INDEX(Pubs!$C$2:$C$3001,MATCH(G1348,Pubs!$A$2:$A$3001,0))&amp;"",""))</f>
        <v/>
      </c>
      <c r="J1348" s="27" t="str">
        <f aca="false">IF(OR(G1348="",G1348="?"),"",IFERROR(INDEX(Pubs!$G$2:$G$3001,MATCH(G1348,Pubs!$A$2:$A$3001,0))&amp;"",""))</f>
        <v/>
      </c>
      <c r="K1348" s="28" t="str">
        <f aca="false">IF(OR(G1348="",G1348="?"),"",IFERROR(INDEX(Pubs!$E$2:$E$3001,MATCH(G1348,Pubs!$A$2:$A$3001,0)),""))</f>
        <v/>
      </c>
      <c r="L1348" s="29" t="str">
        <f aca="false">IF(A1348="","",IFERROR(1/(1/INDEX(Numéros!$C$2:$C$3001,MATCH(A1348&amp;"|"&amp;B1348,Numéros!$F$2:$F$3001,0))),""))</f>
        <v/>
      </c>
      <c r="M1348" s="27" t="str">
        <f aca="false">IF(OR(G1348="",G1348="?"),"",IFERROR(INDEX(Pubs!$D$2:$D$3001,MATCH(G1348,Pubs!$A$2:$A$3001,0))&amp;"",""))</f>
        <v/>
      </c>
      <c r="N1348" s="27" t="n">
        <f aca="false">N(N1347)+IF(AND(A1348&lt;&gt;"",OR(Recherche!$C$4="",A1348=Recherche!$C$4),OR(Recherche!$C$5="",B1348&amp;""=Recherche!$C$5&amp;""),OR(Recherche!$C$6="",IFERROR(YEAR(L1348),0)=Recherche!$C$6),OR(Recherche!$C$7="",ISNUMBER(SEARCH(Recherche!$C$7,H1348))),OR(Recherche!$C$8="",J1348=Recherche!$C$8),OR(Recherche!$C$9="",I1348=Recherche!$C$9),OR(Recherche!$C$10="",G1348&amp;""=Recherche!$C$10&amp;""),OR(Recherche!$C$11="",E1348=Recherche!$C$11),OR(Recherche!$C$12="",ISNUMBER(SEARCH(Recherche!$C$12,M1348&amp;" "&amp;F1348)))),1,0)</f>
        <v>8</v>
      </c>
    </row>
    <row r="1349" customFormat="false" ht="15" hidden="false" customHeight="false" outlineLevel="0" collapsed="false">
      <c r="A1349" s="19"/>
      <c r="B1349" s="19"/>
      <c r="C1349" s="19"/>
      <c r="D1349" s="19"/>
      <c r="E1349" s="22"/>
      <c r="F1349" s="19"/>
      <c r="G1349" s="26" t="str">
        <f aca="false">IF(D1349="","",IFERROR(VALUE(LEFT(D1349,FIND(" |",D1349&amp;" |")-1)),"?"))</f>
        <v/>
      </c>
      <c r="H1349" s="27" t="str">
        <f aca="false">IF(G1349="","",IF(G1349="?","⚠ pub inconnue",IFERROR(INDEX(Pubs!$B$2:$B$3001,MATCH(G1349,Pubs!$A$2:$A$3001,0))&amp;"","⚠ pub inconnue")))</f>
        <v/>
      </c>
      <c r="I1349" s="27" t="str">
        <f aca="false">IF(OR(G1349="",G1349="?"),"",IFERROR(INDEX(Pubs!$C$2:$C$3001,MATCH(G1349,Pubs!$A$2:$A$3001,0))&amp;"",""))</f>
        <v/>
      </c>
      <c r="J1349" s="27" t="str">
        <f aca="false">IF(OR(G1349="",G1349="?"),"",IFERROR(INDEX(Pubs!$G$2:$G$3001,MATCH(G1349,Pubs!$A$2:$A$3001,0))&amp;"",""))</f>
        <v/>
      </c>
      <c r="K1349" s="28" t="str">
        <f aca="false">IF(OR(G1349="",G1349="?"),"",IFERROR(INDEX(Pubs!$E$2:$E$3001,MATCH(G1349,Pubs!$A$2:$A$3001,0)),""))</f>
        <v/>
      </c>
      <c r="L1349" s="29" t="str">
        <f aca="false">IF(A1349="","",IFERROR(1/(1/INDEX(Numéros!$C$2:$C$3001,MATCH(A1349&amp;"|"&amp;B1349,Numéros!$F$2:$F$3001,0))),""))</f>
        <v/>
      </c>
      <c r="M1349" s="27" t="str">
        <f aca="false">IF(OR(G1349="",G1349="?"),"",IFERROR(INDEX(Pubs!$D$2:$D$3001,MATCH(G1349,Pubs!$A$2:$A$3001,0))&amp;"",""))</f>
        <v/>
      </c>
      <c r="N1349" s="27" t="n">
        <f aca="false">N(N1348)+IF(AND(A1349&lt;&gt;"",OR(Recherche!$C$4="",A1349=Recherche!$C$4),OR(Recherche!$C$5="",B1349&amp;""=Recherche!$C$5&amp;""),OR(Recherche!$C$6="",IFERROR(YEAR(L1349),0)=Recherche!$C$6),OR(Recherche!$C$7="",ISNUMBER(SEARCH(Recherche!$C$7,H1349))),OR(Recherche!$C$8="",J1349=Recherche!$C$8),OR(Recherche!$C$9="",I1349=Recherche!$C$9),OR(Recherche!$C$10="",G1349&amp;""=Recherche!$C$10&amp;""),OR(Recherche!$C$11="",E1349=Recherche!$C$11),OR(Recherche!$C$12="",ISNUMBER(SEARCH(Recherche!$C$12,M1349&amp;" "&amp;F1349)))),1,0)</f>
        <v>8</v>
      </c>
    </row>
    <row r="1350" customFormat="false" ht="15" hidden="false" customHeight="false" outlineLevel="0" collapsed="false">
      <c r="A1350" s="19"/>
      <c r="B1350" s="19"/>
      <c r="C1350" s="19"/>
      <c r="D1350" s="19"/>
      <c r="E1350" s="22"/>
      <c r="F1350" s="19"/>
      <c r="G1350" s="26" t="str">
        <f aca="false">IF(D1350="","",IFERROR(VALUE(LEFT(D1350,FIND(" |",D1350&amp;" |")-1)),"?"))</f>
        <v/>
      </c>
      <c r="H1350" s="27" t="str">
        <f aca="false">IF(G1350="","",IF(G1350="?","⚠ pub inconnue",IFERROR(INDEX(Pubs!$B$2:$B$3001,MATCH(G1350,Pubs!$A$2:$A$3001,0))&amp;"","⚠ pub inconnue")))</f>
        <v/>
      </c>
      <c r="I1350" s="27" t="str">
        <f aca="false">IF(OR(G1350="",G1350="?"),"",IFERROR(INDEX(Pubs!$C$2:$C$3001,MATCH(G1350,Pubs!$A$2:$A$3001,0))&amp;"",""))</f>
        <v/>
      </c>
      <c r="J1350" s="27" t="str">
        <f aca="false">IF(OR(G1350="",G1350="?"),"",IFERROR(INDEX(Pubs!$G$2:$G$3001,MATCH(G1350,Pubs!$A$2:$A$3001,0))&amp;"",""))</f>
        <v/>
      </c>
      <c r="K1350" s="28" t="str">
        <f aca="false">IF(OR(G1350="",G1350="?"),"",IFERROR(INDEX(Pubs!$E$2:$E$3001,MATCH(G1350,Pubs!$A$2:$A$3001,0)),""))</f>
        <v/>
      </c>
      <c r="L1350" s="29" t="str">
        <f aca="false">IF(A1350="","",IFERROR(1/(1/INDEX(Numéros!$C$2:$C$3001,MATCH(A1350&amp;"|"&amp;B1350,Numéros!$F$2:$F$3001,0))),""))</f>
        <v/>
      </c>
      <c r="M1350" s="27" t="str">
        <f aca="false">IF(OR(G1350="",G1350="?"),"",IFERROR(INDEX(Pubs!$D$2:$D$3001,MATCH(G1350,Pubs!$A$2:$A$3001,0))&amp;"",""))</f>
        <v/>
      </c>
      <c r="N1350" s="27" t="n">
        <f aca="false">N(N1349)+IF(AND(A1350&lt;&gt;"",OR(Recherche!$C$4="",A1350=Recherche!$C$4),OR(Recherche!$C$5="",B1350&amp;""=Recherche!$C$5&amp;""),OR(Recherche!$C$6="",IFERROR(YEAR(L1350),0)=Recherche!$C$6),OR(Recherche!$C$7="",ISNUMBER(SEARCH(Recherche!$C$7,H1350))),OR(Recherche!$C$8="",J1350=Recherche!$C$8),OR(Recherche!$C$9="",I1350=Recherche!$C$9),OR(Recherche!$C$10="",G1350&amp;""=Recherche!$C$10&amp;""),OR(Recherche!$C$11="",E1350=Recherche!$C$11),OR(Recherche!$C$12="",ISNUMBER(SEARCH(Recherche!$C$12,M1350&amp;" "&amp;F1350)))),1,0)</f>
        <v>8</v>
      </c>
    </row>
    <row r="1351" customFormat="false" ht="15" hidden="false" customHeight="false" outlineLevel="0" collapsed="false">
      <c r="A1351" s="19"/>
      <c r="B1351" s="19"/>
      <c r="C1351" s="19"/>
      <c r="D1351" s="19"/>
      <c r="E1351" s="22"/>
      <c r="F1351" s="19"/>
      <c r="G1351" s="26" t="str">
        <f aca="false">IF(D1351="","",IFERROR(VALUE(LEFT(D1351,FIND(" |",D1351&amp;" |")-1)),"?"))</f>
        <v/>
      </c>
      <c r="H1351" s="27" t="str">
        <f aca="false">IF(G1351="","",IF(G1351="?","⚠ pub inconnue",IFERROR(INDEX(Pubs!$B$2:$B$3001,MATCH(G1351,Pubs!$A$2:$A$3001,0))&amp;"","⚠ pub inconnue")))</f>
        <v/>
      </c>
      <c r="I1351" s="27" t="str">
        <f aca="false">IF(OR(G1351="",G1351="?"),"",IFERROR(INDEX(Pubs!$C$2:$C$3001,MATCH(G1351,Pubs!$A$2:$A$3001,0))&amp;"",""))</f>
        <v/>
      </c>
      <c r="J1351" s="27" t="str">
        <f aca="false">IF(OR(G1351="",G1351="?"),"",IFERROR(INDEX(Pubs!$G$2:$G$3001,MATCH(G1351,Pubs!$A$2:$A$3001,0))&amp;"",""))</f>
        <v/>
      </c>
      <c r="K1351" s="28" t="str">
        <f aca="false">IF(OR(G1351="",G1351="?"),"",IFERROR(INDEX(Pubs!$E$2:$E$3001,MATCH(G1351,Pubs!$A$2:$A$3001,0)),""))</f>
        <v/>
      </c>
      <c r="L1351" s="29" t="str">
        <f aca="false">IF(A1351="","",IFERROR(1/(1/INDEX(Numéros!$C$2:$C$3001,MATCH(A1351&amp;"|"&amp;B1351,Numéros!$F$2:$F$3001,0))),""))</f>
        <v/>
      </c>
      <c r="M1351" s="27" t="str">
        <f aca="false">IF(OR(G1351="",G1351="?"),"",IFERROR(INDEX(Pubs!$D$2:$D$3001,MATCH(G1351,Pubs!$A$2:$A$3001,0))&amp;"",""))</f>
        <v/>
      </c>
      <c r="N1351" s="27" t="n">
        <f aca="false">N(N1350)+IF(AND(A1351&lt;&gt;"",OR(Recherche!$C$4="",A1351=Recherche!$C$4),OR(Recherche!$C$5="",B1351&amp;""=Recherche!$C$5&amp;""),OR(Recherche!$C$6="",IFERROR(YEAR(L1351),0)=Recherche!$C$6),OR(Recherche!$C$7="",ISNUMBER(SEARCH(Recherche!$C$7,H1351))),OR(Recherche!$C$8="",J1351=Recherche!$C$8),OR(Recherche!$C$9="",I1351=Recherche!$C$9),OR(Recherche!$C$10="",G1351&amp;""=Recherche!$C$10&amp;""),OR(Recherche!$C$11="",E1351=Recherche!$C$11),OR(Recherche!$C$12="",ISNUMBER(SEARCH(Recherche!$C$12,M1351&amp;" "&amp;F1351)))),1,0)</f>
        <v>8</v>
      </c>
    </row>
    <row r="1352" customFormat="false" ht="15" hidden="false" customHeight="false" outlineLevel="0" collapsed="false">
      <c r="A1352" s="19"/>
      <c r="B1352" s="19"/>
      <c r="C1352" s="19"/>
      <c r="D1352" s="19"/>
      <c r="E1352" s="22"/>
      <c r="F1352" s="19"/>
      <c r="G1352" s="26" t="str">
        <f aca="false">IF(D1352="","",IFERROR(VALUE(LEFT(D1352,FIND(" |",D1352&amp;" |")-1)),"?"))</f>
        <v/>
      </c>
      <c r="H1352" s="27" t="str">
        <f aca="false">IF(G1352="","",IF(G1352="?","⚠ pub inconnue",IFERROR(INDEX(Pubs!$B$2:$B$3001,MATCH(G1352,Pubs!$A$2:$A$3001,0))&amp;"","⚠ pub inconnue")))</f>
        <v/>
      </c>
      <c r="I1352" s="27" t="str">
        <f aca="false">IF(OR(G1352="",G1352="?"),"",IFERROR(INDEX(Pubs!$C$2:$C$3001,MATCH(G1352,Pubs!$A$2:$A$3001,0))&amp;"",""))</f>
        <v/>
      </c>
      <c r="J1352" s="27" t="str">
        <f aca="false">IF(OR(G1352="",G1352="?"),"",IFERROR(INDEX(Pubs!$G$2:$G$3001,MATCH(G1352,Pubs!$A$2:$A$3001,0))&amp;"",""))</f>
        <v/>
      </c>
      <c r="K1352" s="28" t="str">
        <f aca="false">IF(OR(G1352="",G1352="?"),"",IFERROR(INDEX(Pubs!$E$2:$E$3001,MATCH(G1352,Pubs!$A$2:$A$3001,0)),""))</f>
        <v/>
      </c>
      <c r="L1352" s="29" t="str">
        <f aca="false">IF(A1352="","",IFERROR(1/(1/INDEX(Numéros!$C$2:$C$3001,MATCH(A1352&amp;"|"&amp;B1352,Numéros!$F$2:$F$3001,0))),""))</f>
        <v/>
      </c>
      <c r="M1352" s="27" t="str">
        <f aca="false">IF(OR(G1352="",G1352="?"),"",IFERROR(INDEX(Pubs!$D$2:$D$3001,MATCH(G1352,Pubs!$A$2:$A$3001,0))&amp;"",""))</f>
        <v/>
      </c>
      <c r="N1352" s="27" t="n">
        <f aca="false">N(N1351)+IF(AND(A1352&lt;&gt;"",OR(Recherche!$C$4="",A1352=Recherche!$C$4),OR(Recherche!$C$5="",B1352&amp;""=Recherche!$C$5&amp;""),OR(Recherche!$C$6="",IFERROR(YEAR(L1352),0)=Recherche!$C$6),OR(Recherche!$C$7="",ISNUMBER(SEARCH(Recherche!$C$7,H1352))),OR(Recherche!$C$8="",J1352=Recherche!$C$8),OR(Recherche!$C$9="",I1352=Recherche!$C$9),OR(Recherche!$C$10="",G1352&amp;""=Recherche!$C$10&amp;""),OR(Recherche!$C$11="",E1352=Recherche!$C$11),OR(Recherche!$C$12="",ISNUMBER(SEARCH(Recherche!$C$12,M1352&amp;" "&amp;F1352)))),1,0)</f>
        <v>8</v>
      </c>
    </row>
    <row r="1353" customFormat="false" ht="15" hidden="false" customHeight="false" outlineLevel="0" collapsed="false">
      <c r="A1353" s="19"/>
      <c r="B1353" s="19"/>
      <c r="C1353" s="19"/>
      <c r="D1353" s="19"/>
      <c r="E1353" s="22"/>
      <c r="F1353" s="19"/>
      <c r="G1353" s="26" t="str">
        <f aca="false">IF(D1353="","",IFERROR(VALUE(LEFT(D1353,FIND(" |",D1353&amp;" |")-1)),"?"))</f>
        <v/>
      </c>
      <c r="H1353" s="27" t="str">
        <f aca="false">IF(G1353="","",IF(G1353="?","⚠ pub inconnue",IFERROR(INDEX(Pubs!$B$2:$B$3001,MATCH(G1353,Pubs!$A$2:$A$3001,0))&amp;"","⚠ pub inconnue")))</f>
        <v/>
      </c>
      <c r="I1353" s="27" t="str">
        <f aca="false">IF(OR(G1353="",G1353="?"),"",IFERROR(INDEX(Pubs!$C$2:$C$3001,MATCH(G1353,Pubs!$A$2:$A$3001,0))&amp;"",""))</f>
        <v/>
      </c>
      <c r="J1353" s="27" t="str">
        <f aca="false">IF(OR(G1353="",G1353="?"),"",IFERROR(INDEX(Pubs!$G$2:$G$3001,MATCH(G1353,Pubs!$A$2:$A$3001,0))&amp;"",""))</f>
        <v/>
      </c>
      <c r="K1353" s="28" t="str">
        <f aca="false">IF(OR(G1353="",G1353="?"),"",IFERROR(INDEX(Pubs!$E$2:$E$3001,MATCH(G1353,Pubs!$A$2:$A$3001,0)),""))</f>
        <v/>
      </c>
      <c r="L1353" s="29" t="str">
        <f aca="false">IF(A1353="","",IFERROR(1/(1/INDEX(Numéros!$C$2:$C$3001,MATCH(A1353&amp;"|"&amp;B1353,Numéros!$F$2:$F$3001,0))),""))</f>
        <v/>
      </c>
      <c r="M1353" s="27" t="str">
        <f aca="false">IF(OR(G1353="",G1353="?"),"",IFERROR(INDEX(Pubs!$D$2:$D$3001,MATCH(G1353,Pubs!$A$2:$A$3001,0))&amp;"",""))</f>
        <v/>
      </c>
      <c r="N1353" s="27" t="n">
        <f aca="false">N(N1352)+IF(AND(A1353&lt;&gt;"",OR(Recherche!$C$4="",A1353=Recherche!$C$4),OR(Recherche!$C$5="",B1353&amp;""=Recherche!$C$5&amp;""),OR(Recherche!$C$6="",IFERROR(YEAR(L1353),0)=Recherche!$C$6),OR(Recherche!$C$7="",ISNUMBER(SEARCH(Recherche!$C$7,H1353))),OR(Recherche!$C$8="",J1353=Recherche!$C$8),OR(Recherche!$C$9="",I1353=Recherche!$C$9),OR(Recherche!$C$10="",G1353&amp;""=Recherche!$C$10&amp;""),OR(Recherche!$C$11="",E1353=Recherche!$C$11),OR(Recherche!$C$12="",ISNUMBER(SEARCH(Recherche!$C$12,M1353&amp;" "&amp;F1353)))),1,0)</f>
        <v>8</v>
      </c>
    </row>
    <row r="1354" customFormat="false" ht="15" hidden="false" customHeight="false" outlineLevel="0" collapsed="false">
      <c r="A1354" s="19"/>
      <c r="B1354" s="19"/>
      <c r="C1354" s="19"/>
      <c r="D1354" s="19"/>
      <c r="E1354" s="22"/>
      <c r="F1354" s="19"/>
      <c r="G1354" s="26" t="str">
        <f aca="false">IF(D1354="","",IFERROR(VALUE(LEFT(D1354,FIND(" |",D1354&amp;" |")-1)),"?"))</f>
        <v/>
      </c>
      <c r="H1354" s="27" t="str">
        <f aca="false">IF(G1354="","",IF(G1354="?","⚠ pub inconnue",IFERROR(INDEX(Pubs!$B$2:$B$3001,MATCH(G1354,Pubs!$A$2:$A$3001,0))&amp;"","⚠ pub inconnue")))</f>
        <v/>
      </c>
      <c r="I1354" s="27" t="str">
        <f aca="false">IF(OR(G1354="",G1354="?"),"",IFERROR(INDEX(Pubs!$C$2:$C$3001,MATCH(G1354,Pubs!$A$2:$A$3001,0))&amp;"",""))</f>
        <v/>
      </c>
      <c r="J1354" s="27" t="str">
        <f aca="false">IF(OR(G1354="",G1354="?"),"",IFERROR(INDEX(Pubs!$G$2:$G$3001,MATCH(G1354,Pubs!$A$2:$A$3001,0))&amp;"",""))</f>
        <v/>
      </c>
      <c r="K1354" s="28" t="str">
        <f aca="false">IF(OR(G1354="",G1354="?"),"",IFERROR(INDEX(Pubs!$E$2:$E$3001,MATCH(G1354,Pubs!$A$2:$A$3001,0)),""))</f>
        <v/>
      </c>
      <c r="L1354" s="29" t="str">
        <f aca="false">IF(A1354="","",IFERROR(1/(1/INDEX(Numéros!$C$2:$C$3001,MATCH(A1354&amp;"|"&amp;B1354,Numéros!$F$2:$F$3001,0))),""))</f>
        <v/>
      </c>
      <c r="M1354" s="27" t="str">
        <f aca="false">IF(OR(G1354="",G1354="?"),"",IFERROR(INDEX(Pubs!$D$2:$D$3001,MATCH(G1354,Pubs!$A$2:$A$3001,0))&amp;"",""))</f>
        <v/>
      </c>
      <c r="N1354" s="27" t="n">
        <f aca="false">N(N1353)+IF(AND(A1354&lt;&gt;"",OR(Recherche!$C$4="",A1354=Recherche!$C$4),OR(Recherche!$C$5="",B1354&amp;""=Recherche!$C$5&amp;""),OR(Recherche!$C$6="",IFERROR(YEAR(L1354),0)=Recherche!$C$6),OR(Recherche!$C$7="",ISNUMBER(SEARCH(Recherche!$C$7,H1354))),OR(Recherche!$C$8="",J1354=Recherche!$C$8),OR(Recherche!$C$9="",I1354=Recherche!$C$9),OR(Recherche!$C$10="",G1354&amp;""=Recherche!$C$10&amp;""),OR(Recherche!$C$11="",E1354=Recherche!$C$11),OR(Recherche!$C$12="",ISNUMBER(SEARCH(Recherche!$C$12,M1354&amp;" "&amp;F1354)))),1,0)</f>
        <v>8</v>
      </c>
    </row>
    <row r="1355" customFormat="false" ht="15" hidden="false" customHeight="false" outlineLevel="0" collapsed="false">
      <c r="A1355" s="19"/>
      <c r="B1355" s="19"/>
      <c r="C1355" s="19"/>
      <c r="D1355" s="19"/>
      <c r="E1355" s="22"/>
      <c r="F1355" s="19"/>
      <c r="G1355" s="26" t="str">
        <f aca="false">IF(D1355="","",IFERROR(VALUE(LEFT(D1355,FIND(" |",D1355&amp;" |")-1)),"?"))</f>
        <v/>
      </c>
      <c r="H1355" s="27" t="str">
        <f aca="false">IF(G1355="","",IF(G1355="?","⚠ pub inconnue",IFERROR(INDEX(Pubs!$B$2:$B$3001,MATCH(G1355,Pubs!$A$2:$A$3001,0))&amp;"","⚠ pub inconnue")))</f>
        <v/>
      </c>
      <c r="I1355" s="27" t="str">
        <f aca="false">IF(OR(G1355="",G1355="?"),"",IFERROR(INDEX(Pubs!$C$2:$C$3001,MATCH(G1355,Pubs!$A$2:$A$3001,0))&amp;"",""))</f>
        <v/>
      </c>
      <c r="J1355" s="27" t="str">
        <f aca="false">IF(OR(G1355="",G1355="?"),"",IFERROR(INDEX(Pubs!$G$2:$G$3001,MATCH(G1355,Pubs!$A$2:$A$3001,0))&amp;"",""))</f>
        <v/>
      </c>
      <c r="K1355" s="28" t="str">
        <f aca="false">IF(OR(G1355="",G1355="?"),"",IFERROR(INDEX(Pubs!$E$2:$E$3001,MATCH(G1355,Pubs!$A$2:$A$3001,0)),""))</f>
        <v/>
      </c>
      <c r="L1355" s="29" t="str">
        <f aca="false">IF(A1355="","",IFERROR(1/(1/INDEX(Numéros!$C$2:$C$3001,MATCH(A1355&amp;"|"&amp;B1355,Numéros!$F$2:$F$3001,0))),""))</f>
        <v/>
      </c>
      <c r="M1355" s="27" t="str">
        <f aca="false">IF(OR(G1355="",G1355="?"),"",IFERROR(INDEX(Pubs!$D$2:$D$3001,MATCH(G1355,Pubs!$A$2:$A$3001,0))&amp;"",""))</f>
        <v/>
      </c>
      <c r="N1355" s="27" t="n">
        <f aca="false">N(N1354)+IF(AND(A1355&lt;&gt;"",OR(Recherche!$C$4="",A1355=Recherche!$C$4),OR(Recherche!$C$5="",B1355&amp;""=Recherche!$C$5&amp;""),OR(Recherche!$C$6="",IFERROR(YEAR(L1355),0)=Recherche!$C$6),OR(Recherche!$C$7="",ISNUMBER(SEARCH(Recherche!$C$7,H1355))),OR(Recherche!$C$8="",J1355=Recherche!$C$8),OR(Recherche!$C$9="",I1355=Recherche!$C$9),OR(Recherche!$C$10="",G1355&amp;""=Recherche!$C$10&amp;""),OR(Recherche!$C$11="",E1355=Recherche!$C$11),OR(Recherche!$C$12="",ISNUMBER(SEARCH(Recherche!$C$12,M1355&amp;" "&amp;F1355)))),1,0)</f>
        <v>8</v>
      </c>
    </row>
    <row r="1356" customFormat="false" ht="15" hidden="false" customHeight="false" outlineLevel="0" collapsed="false">
      <c r="A1356" s="19"/>
      <c r="B1356" s="19"/>
      <c r="C1356" s="19"/>
      <c r="D1356" s="19"/>
      <c r="E1356" s="22"/>
      <c r="F1356" s="19"/>
      <c r="G1356" s="26" t="str">
        <f aca="false">IF(D1356="","",IFERROR(VALUE(LEFT(D1356,FIND(" |",D1356&amp;" |")-1)),"?"))</f>
        <v/>
      </c>
      <c r="H1356" s="27" t="str">
        <f aca="false">IF(G1356="","",IF(G1356="?","⚠ pub inconnue",IFERROR(INDEX(Pubs!$B$2:$B$3001,MATCH(G1356,Pubs!$A$2:$A$3001,0))&amp;"","⚠ pub inconnue")))</f>
        <v/>
      </c>
      <c r="I1356" s="27" t="str">
        <f aca="false">IF(OR(G1356="",G1356="?"),"",IFERROR(INDEX(Pubs!$C$2:$C$3001,MATCH(G1356,Pubs!$A$2:$A$3001,0))&amp;"",""))</f>
        <v/>
      </c>
      <c r="J1356" s="27" t="str">
        <f aca="false">IF(OR(G1356="",G1356="?"),"",IFERROR(INDEX(Pubs!$G$2:$G$3001,MATCH(G1356,Pubs!$A$2:$A$3001,0))&amp;"",""))</f>
        <v/>
      </c>
      <c r="K1356" s="28" t="str">
        <f aca="false">IF(OR(G1356="",G1356="?"),"",IFERROR(INDEX(Pubs!$E$2:$E$3001,MATCH(G1356,Pubs!$A$2:$A$3001,0)),""))</f>
        <v/>
      </c>
      <c r="L1356" s="29" t="str">
        <f aca="false">IF(A1356="","",IFERROR(1/(1/INDEX(Numéros!$C$2:$C$3001,MATCH(A1356&amp;"|"&amp;B1356,Numéros!$F$2:$F$3001,0))),""))</f>
        <v/>
      </c>
      <c r="M1356" s="27" t="str">
        <f aca="false">IF(OR(G1356="",G1356="?"),"",IFERROR(INDEX(Pubs!$D$2:$D$3001,MATCH(G1356,Pubs!$A$2:$A$3001,0))&amp;"",""))</f>
        <v/>
      </c>
      <c r="N1356" s="27" t="n">
        <f aca="false">N(N1355)+IF(AND(A1356&lt;&gt;"",OR(Recherche!$C$4="",A1356=Recherche!$C$4),OR(Recherche!$C$5="",B1356&amp;""=Recherche!$C$5&amp;""),OR(Recherche!$C$6="",IFERROR(YEAR(L1356),0)=Recherche!$C$6),OR(Recherche!$C$7="",ISNUMBER(SEARCH(Recherche!$C$7,H1356))),OR(Recherche!$C$8="",J1356=Recherche!$C$8),OR(Recherche!$C$9="",I1356=Recherche!$C$9),OR(Recherche!$C$10="",G1356&amp;""=Recherche!$C$10&amp;""),OR(Recherche!$C$11="",E1356=Recherche!$C$11),OR(Recherche!$C$12="",ISNUMBER(SEARCH(Recherche!$C$12,M1356&amp;" "&amp;F1356)))),1,0)</f>
        <v>8</v>
      </c>
    </row>
    <row r="1357" customFormat="false" ht="15" hidden="false" customHeight="false" outlineLevel="0" collapsed="false">
      <c r="A1357" s="19"/>
      <c r="B1357" s="19"/>
      <c r="C1357" s="19"/>
      <c r="D1357" s="19"/>
      <c r="E1357" s="22"/>
      <c r="F1357" s="19"/>
      <c r="G1357" s="26" t="str">
        <f aca="false">IF(D1357="","",IFERROR(VALUE(LEFT(D1357,FIND(" |",D1357&amp;" |")-1)),"?"))</f>
        <v/>
      </c>
      <c r="H1357" s="27" t="str">
        <f aca="false">IF(G1357="","",IF(G1357="?","⚠ pub inconnue",IFERROR(INDEX(Pubs!$B$2:$B$3001,MATCH(G1357,Pubs!$A$2:$A$3001,0))&amp;"","⚠ pub inconnue")))</f>
        <v/>
      </c>
      <c r="I1357" s="27" t="str">
        <f aca="false">IF(OR(G1357="",G1357="?"),"",IFERROR(INDEX(Pubs!$C$2:$C$3001,MATCH(G1357,Pubs!$A$2:$A$3001,0))&amp;"",""))</f>
        <v/>
      </c>
      <c r="J1357" s="27" t="str">
        <f aca="false">IF(OR(G1357="",G1357="?"),"",IFERROR(INDEX(Pubs!$G$2:$G$3001,MATCH(G1357,Pubs!$A$2:$A$3001,0))&amp;"",""))</f>
        <v/>
      </c>
      <c r="K1357" s="28" t="str">
        <f aca="false">IF(OR(G1357="",G1357="?"),"",IFERROR(INDEX(Pubs!$E$2:$E$3001,MATCH(G1357,Pubs!$A$2:$A$3001,0)),""))</f>
        <v/>
      </c>
      <c r="L1357" s="29" t="str">
        <f aca="false">IF(A1357="","",IFERROR(1/(1/INDEX(Numéros!$C$2:$C$3001,MATCH(A1357&amp;"|"&amp;B1357,Numéros!$F$2:$F$3001,0))),""))</f>
        <v/>
      </c>
      <c r="M1357" s="27" t="str">
        <f aca="false">IF(OR(G1357="",G1357="?"),"",IFERROR(INDEX(Pubs!$D$2:$D$3001,MATCH(G1357,Pubs!$A$2:$A$3001,0))&amp;"",""))</f>
        <v/>
      </c>
      <c r="N1357" s="27" t="n">
        <f aca="false">N(N1356)+IF(AND(A1357&lt;&gt;"",OR(Recherche!$C$4="",A1357=Recherche!$C$4),OR(Recherche!$C$5="",B1357&amp;""=Recherche!$C$5&amp;""),OR(Recherche!$C$6="",IFERROR(YEAR(L1357),0)=Recherche!$C$6),OR(Recherche!$C$7="",ISNUMBER(SEARCH(Recherche!$C$7,H1357))),OR(Recherche!$C$8="",J1357=Recherche!$C$8),OR(Recherche!$C$9="",I1357=Recherche!$C$9),OR(Recherche!$C$10="",G1357&amp;""=Recherche!$C$10&amp;""),OR(Recherche!$C$11="",E1357=Recherche!$C$11),OR(Recherche!$C$12="",ISNUMBER(SEARCH(Recherche!$C$12,M1357&amp;" "&amp;F1357)))),1,0)</f>
        <v>8</v>
      </c>
    </row>
    <row r="1358" customFormat="false" ht="15" hidden="false" customHeight="false" outlineLevel="0" collapsed="false">
      <c r="A1358" s="19"/>
      <c r="B1358" s="19"/>
      <c r="C1358" s="19"/>
      <c r="D1358" s="19"/>
      <c r="E1358" s="22"/>
      <c r="F1358" s="19"/>
      <c r="G1358" s="26" t="str">
        <f aca="false">IF(D1358="","",IFERROR(VALUE(LEFT(D1358,FIND(" |",D1358&amp;" |")-1)),"?"))</f>
        <v/>
      </c>
      <c r="H1358" s="27" t="str">
        <f aca="false">IF(G1358="","",IF(G1358="?","⚠ pub inconnue",IFERROR(INDEX(Pubs!$B$2:$B$3001,MATCH(G1358,Pubs!$A$2:$A$3001,0))&amp;"","⚠ pub inconnue")))</f>
        <v/>
      </c>
      <c r="I1358" s="27" t="str">
        <f aca="false">IF(OR(G1358="",G1358="?"),"",IFERROR(INDEX(Pubs!$C$2:$C$3001,MATCH(G1358,Pubs!$A$2:$A$3001,0))&amp;"",""))</f>
        <v/>
      </c>
      <c r="J1358" s="27" t="str">
        <f aca="false">IF(OR(G1358="",G1358="?"),"",IFERROR(INDEX(Pubs!$G$2:$G$3001,MATCH(G1358,Pubs!$A$2:$A$3001,0))&amp;"",""))</f>
        <v/>
      </c>
      <c r="K1358" s="28" t="str">
        <f aca="false">IF(OR(G1358="",G1358="?"),"",IFERROR(INDEX(Pubs!$E$2:$E$3001,MATCH(G1358,Pubs!$A$2:$A$3001,0)),""))</f>
        <v/>
      </c>
      <c r="L1358" s="29" t="str">
        <f aca="false">IF(A1358="","",IFERROR(1/(1/INDEX(Numéros!$C$2:$C$3001,MATCH(A1358&amp;"|"&amp;B1358,Numéros!$F$2:$F$3001,0))),""))</f>
        <v/>
      </c>
      <c r="M1358" s="27" t="str">
        <f aca="false">IF(OR(G1358="",G1358="?"),"",IFERROR(INDEX(Pubs!$D$2:$D$3001,MATCH(G1358,Pubs!$A$2:$A$3001,0))&amp;"",""))</f>
        <v/>
      </c>
      <c r="N1358" s="27" t="n">
        <f aca="false">N(N1357)+IF(AND(A1358&lt;&gt;"",OR(Recherche!$C$4="",A1358=Recherche!$C$4),OR(Recherche!$C$5="",B1358&amp;""=Recherche!$C$5&amp;""),OR(Recherche!$C$6="",IFERROR(YEAR(L1358),0)=Recherche!$C$6),OR(Recherche!$C$7="",ISNUMBER(SEARCH(Recherche!$C$7,H1358))),OR(Recherche!$C$8="",J1358=Recherche!$C$8),OR(Recherche!$C$9="",I1358=Recherche!$C$9),OR(Recherche!$C$10="",G1358&amp;""=Recherche!$C$10&amp;""),OR(Recherche!$C$11="",E1358=Recherche!$C$11),OR(Recherche!$C$12="",ISNUMBER(SEARCH(Recherche!$C$12,M1358&amp;" "&amp;F1358)))),1,0)</f>
        <v>8</v>
      </c>
    </row>
    <row r="1359" customFormat="false" ht="15" hidden="false" customHeight="false" outlineLevel="0" collapsed="false">
      <c r="A1359" s="19"/>
      <c r="B1359" s="19"/>
      <c r="C1359" s="19"/>
      <c r="D1359" s="19"/>
      <c r="E1359" s="22"/>
      <c r="F1359" s="19"/>
      <c r="G1359" s="26" t="str">
        <f aca="false">IF(D1359="","",IFERROR(VALUE(LEFT(D1359,FIND(" |",D1359&amp;" |")-1)),"?"))</f>
        <v/>
      </c>
      <c r="H1359" s="27" t="str">
        <f aca="false">IF(G1359="","",IF(G1359="?","⚠ pub inconnue",IFERROR(INDEX(Pubs!$B$2:$B$3001,MATCH(G1359,Pubs!$A$2:$A$3001,0))&amp;"","⚠ pub inconnue")))</f>
        <v/>
      </c>
      <c r="I1359" s="27" t="str">
        <f aca="false">IF(OR(G1359="",G1359="?"),"",IFERROR(INDEX(Pubs!$C$2:$C$3001,MATCH(G1359,Pubs!$A$2:$A$3001,0))&amp;"",""))</f>
        <v/>
      </c>
      <c r="J1359" s="27" t="str">
        <f aca="false">IF(OR(G1359="",G1359="?"),"",IFERROR(INDEX(Pubs!$G$2:$G$3001,MATCH(G1359,Pubs!$A$2:$A$3001,0))&amp;"",""))</f>
        <v/>
      </c>
      <c r="K1359" s="28" t="str">
        <f aca="false">IF(OR(G1359="",G1359="?"),"",IFERROR(INDEX(Pubs!$E$2:$E$3001,MATCH(G1359,Pubs!$A$2:$A$3001,0)),""))</f>
        <v/>
      </c>
      <c r="L1359" s="29" t="str">
        <f aca="false">IF(A1359="","",IFERROR(1/(1/INDEX(Numéros!$C$2:$C$3001,MATCH(A1359&amp;"|"&amp;B1359,Numéros!$F$2:$F$3001,0))),""))</f>
        <v/>
      </c>
      <c r="M1359" s="27" t="str">
        <f aca="false">IF(OR(G1359="",G1359="?"),"",IFERROR(INDEX(Pubs!$D$2:$D$3001,MATCH(G1359,Pubs!$A$2:$A$3001,0))&amp;"",""))</f>
        <v/>
      </c>
      <c r="N1359" s="27" t="n">
        <f aca="false">N(N1358)+IF(AND(A1359&lt;&gt;"",OR(Recherche!$C$4="",A1359=Recherche!$C$4),OR(Recherche!$C$5="",B1359&amp;""=Recherche!$C$5&amp;""),OR(Recherche!$C$6="",IFERROR(YEAR(L1359),0)=Recherche!$C$6),OR(Recherche!$C$7="",ISNUMBER(SEARCH(Recherche!$C$7,H1359))),OR(Recherche!$C$8="",J1359=Recherche!$C$8),OR(Recherche!$C$9="",I1359=Recherche!$C$9),OR(Recherche!$C$10="",G1359&amp;""=Recherche!$C$10&amp;""),OR(Recherche!$C$11="",E1359=Recherche!$C$11),OR(Recherche!$C$12="",ISNUMBER(SEARCH(Recherche!$C$12,M1359&amp;" "&amp;F1359)))),1,0)</f>
        <v>8</v>
      </c>
    </row>
    <row r="1360" customFormat="false" ht="15" hidden="false" customHeight="false" outlineLevel="0" collapsed="false">
      <c r="A1360" s="19"/>
      <c r="B1360" s="19"/>
      <c r="C1360" s="19"/>
      <c r="D1360" s="19"/>
      <c r="E1360" s="22"/>
      <c r="F1360" s="19"/>
      <c r="G1360" s="26" t="str">
        <f aca="false">IF(D1360="","",IFERROR(VALUE(LEFT(D1360,FIND(" |",D1360&amp;" |")-1)),"?"))</f>
        <v/>
      </c>
      <c r="H1360" s="27" t="str">
        <f aca="false">IF(G1360="","",IF(G1360="?","⚠ pub inconnue",IFERROR(INDEX(Pubs!$B$2:$B$3001,MATCH(G1360,Pubs!$A$2:$A$3001,0))&amp;"","⚠ pub inconnue")))</f>
        <v/>
      </c>
      <c r="I1360" s="27" t="str">
        <f aca="false">IF(OR(G1360="",G1360="?"),"",IFERROR(INDEX(Pubs!$C$2:$C$3001,MATCH(G1360,Pubs!$A$2:$A$3001,0))&amp;"",""))</f>
        <v/>
      </c>
      <c r="J1360" s="27" t="str">
        <f aca="false">IF(OR(G1360="",G1360="?"),"",IFERROR(INDEX(Pubs!$G$2:$G$3001,MATCH(G1360,Pubs!$A$2:$A$3001,0))&amp;"",""))</f>
        <v/>
      </c>
      <c r="K1360" s="28" t="str">
        <f aca="false">IF(OR(G1360="",G1360="?"),"",IFERROR(INDEX(Pubs!$E$2:$E$3001,MATCH(G1360,Pubs!$A$2:$A$3001,0)),""))</f>
        <v/>
      </c>
      <c r="L1360" s="29" t="str">
        <f aca="false">IF(A1360="","",IFERROR(1/(1/INDEX(Numéros!$C$2:$C$3001,MATCH(A1360&amp;"|"&amp;B1360,Numéros!$F$2:$F$3001,0))),""))</f>
        <v/>
      </c>
      <c r="M1360" s="27" t="str">
        <f aca="false">IF(OR(G1360="",G1360="?"),"",IFERROR(INDEX(Pubs!$D$2:$D$3001,MATCH(G1360,Pubs!$A$2:$A$3001,0))&amp;"",""))</f>
        <v/>
      </c>
      <c r="N1360" s="27" t="n">
        <f aca="false">N(N1359)+IF(AND(A1360&lt;&gt;"",OR(Recherche!$C$4="",A1360=Recherche!$C$4),OR(Recherche!$C$5="",B1360&amp;""=Recherche!$C$5&amp;""),OR(Recherche!$C$6="",IFERROR(YEAR(L1360),0)=Recherche!$C$6),OR(Recherche!$C$7="",ISNUMBER(SEARCH(Recherche!$C$7,H1360))),OR(Recherche!$C$8="",J1360=Recherche!$C$8),OR(Recherche!$C$9="",I1360=Recherche!$C$9),OR(Recherche!$C$10="",G1360&amp;""=Recherche!$C$10&amp;""),OR(Recherche!$C$11="",E1360=Recherche!$C$11),OR(Recherche!$C$12="",ISNUMBER(SEARCH(Recherche!$C$12,M1360&amp;" "&amp;F1360)))),1,0)</f>
        <v>8</v>
      </c>
    </row>
    <row r="1361" customFormat="false" ht="15" hidden="false" customHeight="false" outlineLevel="0" collapsed="false">
      <c r="A1361" s="19"/>
      <c r="B1361" s="19"/>
      <c r="C1361" s="19"/>
      <c r="D1361" s="19"/>
      <c r="E1361" s="22"/>
      <c r="F1361" s="19"/>
      <c r="G1361" s="26" t="str">
        <f aca="false">IF(D1361="","",IFERROR(VALUE(LEFT(D1361,FIND(" |",D1361&amp;" |")-1)),"?"))</f>
        <v/>
      </c>
      <c r="H1361" s="27" t="str">
        <f aca="false">IF(G1361="","",IF(G1361="?","⚠ pub inconnue",IFERROR(INDEX(Pubs!$B$2:$B$3001,MATCH(G1361,Pubs!$A$2:$A$3001,0))&amp;"","⚠ pub inconnue")))</f>
        <v/>
      </c>
      <c r="I1361" s="27" t="str">
        <f aca="false">IF(OR(G1361="",G1361="?"),"",IFERROR(INDEX(Pubs!$C$2:$C$3001,MATCH(G1361,Pubs!$A$2:$A$3001,0))&amp;"",""))</f>
        <v/>
      </c>
      <c r="J1361" s="27" t="str">
        <f aca="false">IF(OR(G1361="",G1361="?"),"",IFERROR(INDEX(Pubs!$G$2:$G$3001,MATCH(G1361,Pubs!$A$2:$A$3001,0))&amp;"",""))</f>
        <v/>
      </c>
      <c r="K1361" s="28" t="str">
        <f aca="false">IF(OR(G1361="",G1361="?"),"",IFERROR(INDEX(Pubs!$E$2:$E$3001,MATCH(G1361,Pubs!$A$2:$A$3001,0)),""))</f>
        <v/>
      </c>
      <c r="L1361" s="29" t="str">
        <f aca="false">IF(A1361="","",IFERROR(1/(1/INDEX(Numéros!$C$2:$C$3001,MATCH(A1361&amp;"|"&amp;B1361,Numéros!$F$2:$F$3001,0))),""))</f>
        <v/>
      </c>
      <c r="M1361" s="27" t="str">
        <f aca="false">IF(OR(G1361="",G1361="?"),"",IFERROR(INDEX(Pubs!$D$2:$D$3001,MATCH(G1361,Pubs!$A$2:$A$3001,0))&amp;"",""))</f>
        <v/>
      </c>
      <c r="N1361" s="27" t="n">
        <f aca="false">N(N1360)+IF(AND(A1361&lt;&gt;"",OR(Recherche!$C$4="",A1361=Recherche!$C$4),OR(Recherche!$C$5="",B1361&amp;""=Recherche!$C$5&amp;""),OR(Recherche!$C$6="",IFERROR(YEAR(L1361),0)=Recherche!$C$6),OR(Recherche!$C$7="",ISNUMBER(SEARCH(Recherche!$C$7,H1361))),OR(Recherche!$C$8="",J1361=Recherche!$C$8),OR(Recherche!$C$9="",I1361=Recherche!$C$9),OR(Recherche!$C$10="",G1361&amp;""=Recherche!$C$10&amp;""),OR(Recherche!$C$11="",E1361=Recherche!$C$11),OR(Recherche!$C$12="",ISNUMBER(SEARCH(Recherche!$C$12,M1361&amp;" "&amp;F1361)))),1,0)</f>
        <v>8</v>
      </c>
    </row>
    <row r="1362" customFormat="false" ht="15" hidden="false" customHeight="false" outlineLevel="0" collapsed="false">
      <c r="A1362" s="19"/>
      <c r="B1362" s="19"/>
      <c r="C1362" s="19"/>
      <c r="D1362" s="19"/>
      <c r="E1362" s="22"/>
      <c r="F1362" s="19"/>
      <c r="G1362" s="26" t="str">
        <f aca="false">IF(D1362="","",IFERROR(VALUE(LEFT(D1362,FIND(" |",D1362&amp;" |")-1)),"?"))</f>
        <v/>
      </c>
      <c r="H1362" s="27" t="str">
        <f aca="false">IF(G1362="","",IF(G1362="?","⚠ pub inconnue",IFERROR(INDEX(Pubs!$B$2:$B$3001,MATCH(G1362,Pubs!$A$2:$A$3001,0))&amp;"","⚠ pub inconnue")))</f>
        <v/>
      </c>
      <c r="I1362" s="27" t="str">
        <f aca="false">IF(OR(G1362="",G1362="?"),"",IFERROR(INDEX(Pubs!$C$2:$C$3001,MATCH(G1362,Pubs!$A$2:$A$3001,0))&amp;"",""))</f>
        <v/>
      </c>
      <c r="J1362" s="27" t="str">
        <f aca="false">IF(OR(G1362="",G1362="?"),"",IFERROR(INDEX(Pubs!$G$2:$G$3001,MATCH(G1362,Pubs!$A$2:$A$3001,0))&amp;"",""))</f>
        <v/>
      </c>
      <c r="K1362" s="28" t="str">
        <f aca="false">IF(OR(G1362="",G1362="?"),"",IFERROR(INDEX(Pubs!$E$2:$E$3001,MATCH(G1362,Pubs!$A$2:$A$3001,0)),""))</f>
        <v/>
      </c>
      <c r="L1362" s="29" t="str">
        <f aca="false">IF(A1362="","",IFERROR(1/(1/INDEX(Numéros!$C$2:$C$3001,MATCH(A1362&amp;"|"&amp;B1362,Numéros!$F$2:$F$3001,0))),""))</f>
        <v/>
      </c>
      <c r="M1362" s="27" t="str">
        <f aca="false">IF(OR(G1362="",G1362="?"),"",IFERROR(INDEX(Pubs!$D$2:$D$3001,MATCH(G1362,Pubs!$A$2:$A$3001,0))&amp;"",""))</f>
        <v/>
      </c>
      <c r="N1362" s="27" t="n">
        <f aca="false">N(N1361)+IF(AND(A1362&lt;&gt;"",OR(Recherche!$C$4="",A1362=Recherche!$C$4),OR(Recherche!$C$5="",B1362&amp;""=Recherche!$C$5&amp;""),OR(Recherche!$C$6="",IFERROR(YEAR(L1362),0)=Recherche!$C$6),OR(Recherche!$C$7="",ISNUMBER(SEARCH(Recherche!$C$7,H1362))),OR(Recherche!$C$8="",J1362=Recherche!$C$8),OR(Recherche!$C$9="",I1362=Recherche!$C$9),OR(Recherche!$C$10="",G1362&amp;""=Recherche!$C$10&amp;""),OR(Recherche!$C$11="",E1362=Recherche!$C$11),OR(Recherche!$C$12="",ISNUMBER(SEARCH(Recherche!$C$12,M1362&amp;" "&amp;F1362)))),1,0)</f>
        <v>8</v>
      </c>
    </row>
    <row r="1363" customFormat="false" ht="15" hidden="false" customHeight="false" outlineLevel="0" collapsed="false">
      <c r="A1363" s="19"/>
      <c r="B1363" s="19"/>
      <c r="C1363" s="19"/>
      <c r="D1363" s="19"/>
      <c r="E1363" s="22"/>
      <c r="F1363" s="19"/>
      <c r="G1363" s="26" t="str">
        <f aca="false">IF(D1363="","",IFERROR(VALUE(LEFT(D1363,FIND(" |",D1363&amp;" |")-1)),"?"))</f>
        <v/>
      </c>
      <c r="H1363" s="27" t="str">
        <f aca="false">IF(G1363="","",IF(G1363="?","⚠ pub inconnue",IFERROR(INDEX(Pubs!$B$2:$B$3001,MATCH(G1363,Pubs!$A$2:$A$3001,0))&amp;"","⚠ pub inconnue")))</f>
        <v/>
      </c>
      <c r="I1363" s="27" t="str">
        <f aca="false">IF(OR(G1363="",G1363="?"),"",IFERROR(INDEX(Pubs!$C$2:$C$3001,MATCH(G1363,Pubs!$A$2:$A$3001,0))&amp;"",""))</f>
        <v/>
      </c>
      <c r="J1363" s="27" t="str">
        <f aca="false">IF(OR(G1363="",G1363="?"),"",IFERROR(INDEX(Pubs!$G$2:$G$3001,MATCH(G1363,Pubs!$A$2:$A$3001,0))&amp;"",""))</f>
        <v/>
      </c>
      <c r="K1363" s="28" t="str">
        <f aca="false">IF(OR(G1363="",G1363="?"),"",IFERROR(INDEX(Pubs!$E$2:$E$3001,MATCH(G1363,Pubs!$A$2:$A$3001,0)),""))</f>
        <v/>
      </c>
      <c r="L1363" s="29" t="str">
        <f aca="false">IF(A1363="","",IFERROR(1/(1/INDEX(Numéros!$C$2:$C$3001,MATCH(A1363&amp;"|"&amp;B1363,Numéros!$F$2:$F$3001,0))),""))</f>
        <v/>
      </c>
      <c r="M1363" s="27" t="str">
        <f aca="false">IF(OR(G1363="",G1363="?"),"",IFERROR(INDEX(Pubs!$D$2:$D$3001,MATCH(G1363,Pubs!$A$2:$A$3001,0))&amp;"",""))</f>
        <v/>
      </c>
      <c r="N1363" s="27" t="n">
        <f aca="false">N(N1362)+IF(AND(A1363&lt;&gt;"",OR(Recherche!$C$4="",A1363=Recherche!$C$4),OR(Recherche!$C$5="",B1363&amp;""=Recherche!$C$5&amp;""),OR(Recherche!$C$6="",IFERROR(YEAR(L1363),0)=Recherche!$C$6),OR(Recherche!$C$7="",ISNUMBER(SEARCH(Recherche!$C$7,H1363))),OR(Recherche!$C$8="",J1363=Recherche!$C$8),OR(Recherche!$C$9="",I1363=Recherche!$C$9),OR(Recherche!$C$10="",G1363&amp;""=Recherche!$C$10&amp;""),OR(Recherche!$C$11="",E1363=Recherche!$C$11),OR(Recherche!$C$12="",ISNUMBER(SEARCH(Recherche!$C$12,M1363&amp;" "&amp;F1363)))),1,0)</f>
        <v>8</v>
      </c>
    </row>
    <row r="1364" customFormat="false" ht="15" hidden="false" customHeight="false" outlineLevel="0" collapsed="false">
      <c r="A1364" s="19"/>
      <c r="B1364" s="19"/>
      <c r="C1364" s="19"/>
      <c r="D1364" s="19"/>
      <c r="E1364" s="22"/>
      <c r="F1364" s="19"/>
      <c r="G1364" s="26" t="str">
        <f aca="false">IF(D1364="","",IFERROR(VALUE(LEFT(D1364,FIND(" |",D1364&amp;" |")-1)),"?"))</f>
        <v/>
      </c>
      <c r="H1364" s="27" t="str">
        <f aca="false">IF(G1364="","",IF(G1364="?","⚠ pub inconnue",IFERROR(INDEX(Pubs!$B$2:$B$3001,MATCH(G1364,Pubs!$A$2:$A$3001,0))&amp;"","⚠ pub inconnue")))</f>
        <v/>
      </c>
      <c r="I1364" s="27" t="str">
        <f aca="false">IF(OR(G1364="",G1364="?"),"",IFERROR(INDEX(Pubs!$C$2:$C$3001,MATCH(G1364,Pubs!$A$2:$A$3001,0))&amp;"",""))</f>
        <v/>
      </c>
      <c r="J1364" s="27" t="str">
        <f aca="false">IF(OR(G1364="",G1364="?"),"",IFERROR(INDEX(Pubs!$G$2:$G$3001,MATCH(G1364,Pubs!$A$2:$A$3001,0))&amp;"",""))</f>
        <v/>
      </c>
      <c r="K1364" s="28" t="str">
        <f aca="false">IF(OR(G1364="",G1364="?"),"",IFERROR(INDEX(Pubs!$E$2:$E$3001,MATCH(G1364,Pubs!$A$2:$A$3001,0)),""))</f>
        <v/>
      </c>
      <c r="L1364" s="29" t="str">
        <f aca="false">IF(A1364="","",IFERROR(1/(1/INDEX(Numéros!$C$2:$C$3001,MATCH(A1364&amp;"|"&amp;B1364,Numéros!$F$2:$F$3001,0))),""))</f>
        <v/>
      </c>
      <c r="M1364" s="27" t="str">
        <f aca="false">IF(OR(G1364="",G1364="?"),"",IFERROR(INDEX(Pubs!$D$2:$D$3001,MATCH(G1364,Pubs!$A$2:$A$3001,0))&amp;"",""))</f>
        <v/>
      </c>
      <c r="N1364" s="27" t="n">
        <f aca="false">N(N1363)+IF(AND(A1364&lt;&gt;"",OR(Recherche!$C$4="",A1364=Recherche!$C$4),OR(Recherche!$C$5="",B1364&amp;""=Recherche!$C$5&amp;""),OR(Recherche!$C$6="",IFERROR(YEAR(L1364),0)=Recherche!$C$6),OR(Recherche!$C$7="",ISNUMBER(SEARCH(Recherche!$C$7,H1364))),OR(Recherche!$C$8="",J1364=Recherche!$C$8),OR(Recherche!$C$9="",I1364=Recherche!$C$9),OR(Recherche!$C$10="",G1364&amp;""=Recherche!$C$10&amp;""),OR(Recherche!$C$11="",E1364=Recherche!$C$11),OR(Recherche!$C$12="",ISNUMBER(SEARCH(Recherche!$C$12,M1364&amp;" "&amp;F1364)))),1,0)</f>
        <v>8</v>
      </c>
    </row>
    <row r="1365" customFormat="false" ht="15" hidden="false" customHeight="false" outlineLevel="0" collapsed="false">
      <c r="A1365" s="19"/>
      <c r="B1365" s="19"/>
      <c r="C1365" s="19"/>
      <c r="D1365" s="19"/>
      <c r="E1365" s="22"/>
      <c r="F1365" s="19"/>
      <c r="G1365" s="26" t="str">
        <f aca="false">IF(D1365="","",IFERROR(VALUE(LEFT(D1365,FIND(" |",D1365&amp;" |")-1)),"?"))</f>
        <v/>
      </c>
      <c r="H1365" s="27" t="str">
        <f aca="false">IF(G1365="","",IF(G1365="?","⚠ pub inconnue",IFERROR(INDEX(Pubs!$B$2:$B$3001,MATCH(G1365,Pubs!$A$2:$A$3001,0))&amp;"","⚠ pub inconnue")))</f>
        <v/>
      </c>
      <c r="I1365" s="27" t="str">
        <f aca="false">IF(OR(G1365="",G1365="?"),"",IFERROR(INDEX(Pubs!$C$2:$C$3001,MATCH(G1365,Pubs!$A$2:$A$3001,0))&amp;"",""))</f>
        <v/>
      </c>
      <c r="J1365" s="27" t="str">
        <f aca="false">IF(OR(G1365="",G1365="?"),"",IFERROR(INDEX(Pubs!$G$2:$G$3001,MATCH(G1365,Pubs!$A$2:$A$3001,0))&amp;"",""))</f>
        <v/>
      </c>
      <c r="K1365" s="28" t="str">
        <f aca="false">IF(OR(G1365="",G1365="?"),"",IFERROR(INDEX(Pubs!$E$2:$E$3001,MATCH(G1365,Pubs!$A$2:$A$3001,0)),""))</f>
        <v/>
      </c>
      <c r="L1365" s="29" t="str">
        <f aca="false">IF(A1365="","",IFERROR(1/(1/INDEX(Numéros!$C$2:$C$3001,MATCH(A1365&amp;"|"&amp;B1365,Numéros!$F$2:$F$3001,0))),""))</f>
        <v/>
      </c>
      <c r="M1365" s="27" t="str">
        <f aca="false">IF(OR(G1365="",G1365="?"),"",IFERROR(INDEX(Pubs!$D$2:$D$3001,MATCH(G1365,Pubs!$A$2:$A$3001,0))&amp;"",""))</f>
        <v/>
      </c>
      <c r="N1365" s="27" t="n">
        <f aca="false">N(N1364)+IF(AND(A1365&lt;&gt;"",OR(Recherche!$C$4="",A1365=Recherche!$C$4),OR(Recherche!$C$5="",B1365&amp;""=Recherche!$C$5&amp;""),OR(Recherche!$C$6="",IFERROR(YEAR(L1365),0)=Recherche!$C$6),OR(Recherche!$C$7="",ISNUMBER(SEARCH(Recherche!$C$7,H1365))),OR(Recherche!$C$8="",J1365=Recherche!$C$8),OR(Recherche!$C$9="",I1365=Recherche!$C$9),OR(Recherche!$C$10="",G1365&amp;""=Recherche!$C$10&amp;""),OR(Recherche!$C$11="",E1365=Recherche!$C$11),OR(Recherche!$C$12="",ISNUMBER(SEARCH(Recherche!$C$12,M1365&amp;" "&amp;F1365)))),1,0)</f>
        <v>8</v>
      </c>
    </row>
    <row r="1366" customFormat="false" ht="15" hidden="false" customHeight="false" outlineLevel="0" collapsed="false">
      <c r="A1366" s="19"/>
      <c r="B1366" s="19"/>
      <c r="C1366" s="19"/>
      <c r="D1366" s="19"/>
      <c r="E1366" s="22"/>
      <c r="F1366" s="19"/>
      <c r="G1366" s="26" t="str">
        <f aca="false">IF(D1366="","",IFERROR(VALUE(LEFT(D1366,FIND(" |",D1366&amp;" |")-1)),"?"))</f>
        <v/>
      </c>
      <c r="H1366" s="27" t="str">
        <f aca="false">IF(G1366="","",IF(G1366="?","⚠ pub inconnue",IFERROR(INDEX(Pubs!$B$2:$B$3001,MATCH(G1366,Pubs!$A$2:$A$3001,0))&amp;"","⚠ pub inconnue")))</f>
        <v/>
      </c>
      <c r="I1366" s="27" t="str">
        <f aca="false">IF(OR(G1366="",G1366="?"),"",IFERROR(INDEX(Pubs!$C$2:$C$3001,MATCH(G1366,Pubs!$A$2:$A$3001,0))&amp;"",""))</f>
        <v/>
      </c>
      <c r="J1366" s="27" t="str">
        <f aca="false">IF(OR(G1366="",G1366="?"),"",IFERROR(INDEX(Pubs!$G$2:$G$3001,MATCH(G1366,Pubs!$A$2:$A$3001,0))&amp;"",""))</f>
        <v/>
      </c>
      <c r="K1366" s="28" t="str">
        <f aca="false">IF(OR(G1366="",G1366="?"),"",IFERROR(INDEX(Pubs!$E$2:$E$3001,MATCH(G1366,Pubs!$A$2:$A$3001,0)),""))</f>
        <v/>
      </c>
      <c r="L1366" s="29" t="str">
        <f aca="false">IF(A1366="","",IFERROR(1/(1/INDEX(Numéros!$C$2:$C$3001,MATCH(A1366&amp;"|"&amp;B1366,Numéros!$F$2:$F$3001,0))),""))</f>
        <v/>
      </c>
      <c r="M1366" s="27" t="str">
        <f aca="false">IF(OR(G1366="",G1366="?"),"",IFERROR(INDEX(Pubs!$D$2:$D$3001,MATCH(G1366,Pubs!$A$2:$A$3001,0))&amp;"",""))</f>
        <v/>
      </c>
      <c r="N1366" s="27" t="n">
        <f aca="false">N(N1365)+IF(AND(A1366&lt;&gt;"",OR(Recherche!$C$4="",A1366=Recherche!$C$4),OR(Recherche!$C$5="",B1366&amp;""=Recherche!$C$5&amp;""),OR(Recherche!$C$6="",IFERROR(YEAR(L1366),0)=Recherche!$C$6),OR(Recherche!$C$7="",ISNUMBER(SEARCH(Recherche!$C$7,H1366))),OR(Recherche!$C$8="",J1366=Recherche!$C$8),OR(Recherche!$C$9="",I1366=Recherche!$C$9),OR(Recherche!$C$10="",G1366&amp;""=Recherche!$C$10&amp;""),OR(Recherche!$C$11="",E1366=Recherche!$C$11),OR(Recherche!$C$12="",ISNUMBER(SEARCH(Recherche!$C$12,M1366&amp;" "&amp;F1366)))),1,0)</f>
        <v>8</v>
      </c>
    </row>
    <row r="1367" customFormat="false" ht="15" hidden="false" customHeight="false" outlineLevel="0" collapsed="false">
      <c r="A1367" s="19"/>
      <c r="B1367" s="19"/>
      <c r="C1367" s="19"/>
      <c r="D1367" s="19"/>
      <c r="E1367" s="22"/>
      <c r="F1367" s="19"/>
      <c r="G1367" s="26" t="str">
        <f aca="false">IF(D1367="","",IFERROR(VALUE(LEFT(D1367,FIND(" |",D1367&amp;" |")-1)),"?"))</f>
        <v/>
      </c>
      <c r="H1367" s="27" t="str">
        <f aca="false">IF(G1367="","",IF(G1367="?","⚠ pub inconnue",IFERROR(INDEX(Pubs!$B$2:$B$3001,MATCH(G1367,Pubs!$A$2:$A$3001,0))&amp;"","⚠ pub inconnue")))</f>
        <v/>
      </c>
      <c r="I1367" s="27" t="str">
        <f aca="false">IF(OR(G1367="",G1367="?"),"",IFERROR(INDEX(Pubs!$C$2:$C$3001,MATCH(G1367,Pubs!$A$2:$A$3001,0))&amp;"",""))</f>
        <v/>
      </c>
      <c r="J1367" s="27" t="str">
        <f aca="false">IF(OR(G1367="",G1367="?"),"",IFERROR(INDEX(Pubs!$G$2:$G$3001,MATCH(G1367,Pubs!$A$2:$A$3001,0))&amp;"",""))</f>
        <v/>
      </c>
      <c r="K1367" s="28" t="str">
        <f aca="false">IF(OR(G1367="",G1367="?"),"",IFERROR(INDEX(Pubs!$E$2:$E$3001,MATCH(G1367,Pubs!$A$2:$A$3001,0)),""))</f>
        <v/>
      </c>
      <c r="L1367" s="29" t="str">
        <f aca="false">IF(A1367="","",IFERROR(1/(1/INDEX(Numéros!$C$2:$C$3001,MATCH(A1367&amp;"|"&amp;B1367,Numéros!$F$2:$F$3001,0))),""))</f>
        <v/>
      </c>
      <c r="M1367" s="27" t="str">
        <f aca="false">IF(OR(G1367="",G1367="?"),"",IFERROR(INDEX(Pubs!$D$2:$D$3001,MATCH(G1367,Pubs!$A$2:$A$3001,0))&amp;"",""))</f>
        <v/>
      </c>
      <c r="N1367" s="27" t="n">
        <f aca="false">N(N1366)+IF(AND(A1367&lt;&gt;"",OR(Recherche!$C$4="",A1367=Recherche!$C$4),OR(Recherche!$C$5="",B1367&amp;""=Recherche!$C$5&amp;""),OR(Recherche!$C$6="",IFERROR(YEAR(L1367),0)=Recherche!$C$6),OR(Recherche!$C$7="",ISNUMBER(SEARCH(Recherche!$C$7,H1367))),OR(Recherche!$C$8="",J1367=Recherche!$C$8),OR(Recherche!$C$9="",I1367=Recherche!$C$9),OR(Recherche!$C$10="",G1367&amp;""=Recherche!$C$10&amp;""),OR(Recherche!$C$11="",E1367=Recherche!$C$11),OR(Recherche!$C$12="",ISNUMBER(SEARCH(Recherche!$C$12,M1367&amp;" "&amp;F1367)))),1,0)</f>
        <v>8</v>
      </c>
    </row>
    <row r="1368" customFormat="false" ht="15" hidden="false" customHeight="false" outlineLevel="0" collapsed="false">
      <c r="A1368" s="19"/>
      <c r="B1368" s="19"/>
      <c r="C1368" s="19"/>
      <c r="D1368" s="19"/>
      <c r="E1368" s="22"/>
      <c r="F1368" s="19"/>
      <c r="G1368" s="26" t="str">
        <f aca="false">IF(D1368="","",IFERROR(VALUE(LEFT(D1368,FIND(" |",D1368&amp;" |")-1)),"?"))</f>
        <v/>
      </c>
      <c r="H1368" s="27" t="str">
        <f aca="false">IF(G1368="","",IF(G1368="?","⚠ pub inconnue",IFERROR(INDEX(Pubs!$B$2:$B$3001,MATCH(G1368,Pubs!$A$2:$A$3001,0))&amp;"","⚠ pub inconnue")))</f>
        <v/>
      </c>
      <c r="I1368" s="27" t="str">
        <f aca="false">IF(OR(G1368="",G1368="?"),"",IFERROR(INDEX(Pubs!$C$2:$C$3001,MATCH(G1368,Pubs!$A$2:$A$3001,0))&amp;"",""))</f>
        <v/>
      </c>
      <c r="J1368" s="27" t="str">
        <f aca="false">IF(OR(G1368="",G1368="?"),"",IFERROR(INDEX(Pubs!$G$2:$G$3001,MATCH(G1368,Pubs!$A$2:$A$3001,0))&amp;"",""))</f>
        <v/>
      </c>
      <c r="K1368" s="28" t="str">
        <f aca="false">IF(OR(G1368="",G1368="?"),"",IFERROR(INDEX(Pubs!$E$2:$E$3001,MATCH(G1368,Pubs!$A$2:$A$3001,0)),""))</f>
        <v/>
      </c>
      <c r="L1368" s="29" t="str">
        <f aca="false">IF(A1368="","",IFERROR(1/(1/INDEX(Numéros!$C$2:$C$3001,MATCH(A1368&amp;"|"&amp;B1368,Numéros!$F$2:$F$3001,0))),""))</f>
        <v/>
      </c>
      <c r="M1368" s="27" t="str">
        <f aca="false">IF(OR(G1368="",G1368="?"),"",IFERROR(INDEX(Pubs!$D$2:$D$3001,MATCH(G1368,Pubs!$A$2:$A$3001,0))&amp;"",""))</f>
        <v/>
      </c>
      <c r="N1368" s="27" t="n">
        <f aca="false">N(N1367)+IF(AND(A1368&lt;&gt;"",OR(Recherche!$C$4="",A1368=Recherche!$C$4),OR(Recherche!$C$5="",B1368&amp;""=Recherche!$C$5&amp;""),OR(Recherche!$C$6="",IFERROR(YEAR(L1368),0)=Recherche!$C$6),OR(Recherche!$C$7="",ISNUMBER(SEARCH(Recherche!$C$7,H1368))),OR(Recherche!$C$8="",J1368=Recherche!$C$8),OR(Recherche!$C$9="",I1368=Recherche!$C$9),OR(Recherche!$C$10="",G1368&amp;""=Recherche!$C$10&amp;""),OR(Recherche!$C$11="",E1368=Recherche!$C$11),OR(Recherche!$C$12="",ISNUMBER(SEARCH(Recherche!$C$12,M1368&amp;" "&amp;F1368)))),1,0)</f>
        <v>8</v>
      </c>
    </row>
    <row r="1369" customFormat="false" ht="15" hidden="false" customHeight="false" outlineLevel="0" collapsed="false">
      <c r="A1369" s="19"/>
      <c r="B1369" s="19"/>
      <c r="C1369" s="19"/>
      <c r="D1369" s="19"/>
      <c r="E1369" s="22"/>
      <c r="F1369" s="19"/>
      <c r="G1369" s="26" t="str">
        <f aca="false">IF(D1369="","",IFERROR(VALUE(LEFT(D1369,FIND(" |",D1369&amp;" |")-1)),"?"))</f>
        <v/>
      </c>
      <c r="H1369" s="27" t="str">
        <f aca="false">IF(G1369="","",IF(G1369="?","⚠ pub inconnue",IFERROR(INDEX(Pubs!$B$2:$B$3001,MATCH(G1369,Pubs!$A$2:$A$3001,0))&amp;"","⚠ pub inconnue")))</f>
        <v/>
      </c>
      <c r="I1369" s="27" t="str">
        <f aca="false">IF(OR(G1369="",G1369="?"),"",IFERROR(INDEX(Pubs!$C$2:$C$3001,MATCH(G1369,Pubs!$A$2:$A$3001,0))&amp;"",""))</f>
        <v/>
      </c>
      <c r="J1369" s="27" t="str">
        <f aca="false">IF(OR(G1369="",G1369="?"),"",IFERROR(INDEX(Pubs!$G$2:$G$3001,MATCH(G1369,Pubs!$A$2:$A$3001,0))&amp;"",""))</f>
        <v/>
      </c>
      <c r="K1369" s="28" t="str">
        <f aca="false">IF(OR(G1369="",G1369="?"),"",IFERROR(INDEX(Pubs!$E$2:$E$3001,MATCH(G1369,Pubs!$A$2:$A$3001,0)),""))</f>
        <v/>
      </c>
      <c r="L1369" s="29" t="str">
        <f aca="false">IF(A1369="","",IFERROR(1/(1/INDEX(Numéros!$C$2:$C$3001,MATCH(A1369&amp;"|"&amp;B1369,Numéros!$F$2:$F$3001,0))),""))</f>
        <v/>
      </c>
      <c r="M1369" s="27" t="str">
        <f aca="false">IF(OR(G1369="",G1369="?"),"",IFERROR(INDEX(Pubs!$D$2:$D$3001,MATCH(G1369,Pubs!$A$2:$A$3001,0))&amp;"",""))</f>
        <v/>
      </c>
      <c r="N1369" s="27" t="n">
        <f aca="false">N(N1368)+IF(AND(A1369&lt;&gt;"",OR(Recherche!$C$4="",A1369=Recherche!$C$4),OR(Recherche!$C$5="",B1369&amp;""=Recherche!$C$5&amp;""),OR(Recherche!$C$6="",IFERROR(YEAR(L1369),0)=Recherche!$C$6),OR(Recherche!$C$7="",ISNUMBER(SEARCH(Recherche!$C$7,H1369))),OR(Recherche!$C$8="",J1369=Recherche!$C$8),OR(Recherche!$C$9="",I1369=Recherche!$C$9),OR(Recherche!$C$10="",G1369&amp;""=Recherche!$C$10&amp;""),OR(Recherche!$C$11="",E1369=Recherche!$C$11),OR(Recherche!$C$12="",ISNUMBER(SEARCH(Recherche!$C$12,M1369&amp;" "&amp;F1369)))),1,0)</f>
        <v>8</v>
      </c>
    </row>
    <row r="1370" customFormat="false" ht="15" hidden="false" customHeight="false" outlineLevel="0" collapsed="false">
      <c r="A1370" s="19"/>
      <c r="B1370" s="19"/>
      <c r="C1370" s="19"/>
      <c r="D1370" s="19"/>
      <c r="E1370" s="22"/>
      <c r="F1370" s="19"/>
      <c r="G1370" s="26" t="str">
        <f aca="false">IF(D1370="","",IFERROR(VALUE(LEFT(D1370,FIND(" |",D1370&amp;" |")-1)),"?"))</f>
        <v/>
      </c>
      <c r="H1370" s="27" t="str">
        <f aca="false">IF(G1370="","",IF(G1370="?","⚠ pub inconnue",IFERROR(INDEX(Pubs!$B$2:$B$3001,MATCH(G1370,Pubs!$A$2:$A$3001,0))&amp;"","⚠ pub inconnue")))</f>
        <v/>
      </c>
      <c r="I1370" s="27" t="str">
        <f aca="false">IF(OR(G1370="",G1370="?"),"",IFERROR(INDEX(Pubs!$C$2:$C$3001,MATCH(G1370,Pubs!$A$2:$A$3001,0))&amp;"",""))</f>
        <v/>
      </c>
      <c r="J1370" s="27" t="str">
        <f aca="false">IF(OR(G1370="",G1370="?"),"",IFERROR(INDEX(Pubs!$G$2:$G$3001,MATCH(G1370,Pubs!$A$2:$A$3001,0))&amp;"",""))</f>
        <v/>
      </c>
      <c r="K1370" s="28" t="str">
        <f aca="false">IF(OR(G1370="",G1370="?"),"",IFERROR(INDEX(Pubs!$E$2:$E$3001,MATCH(G1370,Pubs!$A$2:$A$3001,0)),""))</f>
        <v/>
      </c>
      <c r="L1370" s="29" t="str">
        <f aca="false">IF(A1370="","",IFERROR(1/(1/INDEX(Numéros!$C$2:$C$3001,MATCH(A1370&amp;"|"&amp;B1370,Numéros!$F$2:$F$3001,0))),""))</f>
        <v/>
      </c>
      <c r="M1370" s="27" t="str">
        <f aca="false">IF(OR(G1370="",G1370="?"),"",IFERROR(INDEX(Pubs!$D$2:$D$3001,MATCH(G1370,Pubs!$A$2:$A$3001,0))&amp;"",""))</f>
        <v/>
      </c>
      <c r="N1370" s="27" t="n">
        <f aca="false">N(N1369)+IF(AND(A1370&lt;&gt;"",OR(Recherche!$C$4="",A1370=Recherche!$C$4),OR(Recherche!$C$5="",B1370&amp;""=Recherche!$C$5&amp;""),OR(Recherche!$C$6="",IFERROR(YEAR(L1370),0)=Recherche!$C$6),OR(Recherche!$C$7="",ISNUMBER(SEARCH(Recherche!$C$7,H1370))),OR(Recherche!$C$8="",J1370=Recherche!$C$8),OR(Recherche!$C$9="",I1370=Recherche!$C$9),OR(Recherche!$C$10="",G1370&amp;""=Recherche!$C$10&amp;""),OR(Recherche!$C$11="",E1370=Recherche!$C$11),OR(Recherche!$C$12="",ISNUMBER(SEARCH(Recherche!$C$12,M1370&amp;" "&amp;F1370)))),1,0)</f>
        <v>8</v>
      </c>
    </row>
    <row r="1371" customFormat="false" ht="15" hidden="false" customHeight="false" outlineLevel="0" collapsed="false">
      <c r="A1371" s="19"/>
      <c r="B1371" s="19"/>
      <c r="C1371" s="19"/>
      <c r="D1371" s="19"/>
      <c r="E1371" s="22"/>
      <c r="F1371" s="19"/>
      <c r="G1371" s="26" t="str">
        <f aca="false">IF(D1371="","",IFERROR(VALUE(LEFT(D1371,FIND(" |",D1371&amp;" |")-1)),"?"))</f>
        <v/>
      </c>
      <c r="H1371" s="27" t="str">
        <f aca="false">IF(G1371="","",IF(G1371="?","⚠ pub inconnue",IFERROR(INDEX(Pubs!$B$2:$B$3001,MATCH(G1371,Pubs!$A$2:$A$3001,0))&amp;"","⚠ pub inconnue")))</f>
        <v/>
      </c>
      <c r="I1371" s="27" t="str">
        <f aca="false">IF(OR(G1371="",G1371="?"),"",IFERROR(INDEX(Pubs!$C$2:$C$3001,MATCH(G1371,Pubs!$A$2:$A$3001,0))&amp;"",""))</f>
        <v/>
      </c>
      <c r="J1371" s="27" t="str">
        <f aca="false">IF(OR(G1371="",G1371="?"),"",IFERROR(INDEX(Pubs!$G$2:$G$3001,MATCH(G1371,Pubs!$A$2:$A$3001,0))&amp;"",""))</f>
        <v/>
      </c>
      <c r="K1371" s="28" t="str">
        <f aca="false">IF(OR(G1371="",G1371="?"),"",IFERROR(INDEX(Pubs!$E$2:$E$3001,MATCH(G1371,Pubs!$A$2:$A$3001,0)),""))</f>
        <v/>
      </c>
      <c r="L1371" s="29" t="str">
        <f aca="false">IF(A1371="","",IFERROR(1/(1/INDEX(Numéros!$C$2:$C$3001,MATCH(A1371&amp;"|"&amp;B1371,Numéros!$F$2:$F$3001,0))),""))</f>
        <v/>
      </c>
      <c r="M1371" s="27" t="str">
        <f aca="false">IF(OR(G1371="",G1371="?"),"",IFERROR(INDEX(Pubs!$D$2:$D$3001,MATCH(G1371,Pubs!$A$2:$A$3001,0))&amp;"",""))</f>
        <v/>
      </c>
      <c r="N1371" s="27" t="n">
        <f aca="false">N(N1370)+IF(AND(A1371&lt;&gt;"",OR(Recherche!$C$4="",A1371=Recherche!$C$4),OR(Recherche!$C$5="",B1371&amp;""=Recherche!$C$5&amp;""),OR(Recherche!$C$6="",IFERROR(YEAR(L1371),0)=Recherche!$C$6),OR(Recherche!$C$7="",ISNUMBER(SEARCH(Recherche!$C$7,H1371))),OR(Recherche!$C$8="",J1371=Recherche!$C$8),OR(Recherche!$C$9="",I1371=Recherche!$C$9),OR(Recherche!$C$10="",G1371&amp;""=Recherche!$C$10&amp;""),OR(Recherche!$C$11="",E1371=Recherche!$C$11),OR(Recherche!$C$12="",ISNUMBER(SEARCH(Recherche!$C$12,M1371&amp;" "&amp;F1371)))),1,0)</f>
        <v>8</v>
      </c>
    </row>
    <row r="1372" customFormat="false" ht="15" hidden="false" customHeight="false" outlineLevel="0" collapsed="false">
      <c r="A1372" s="19"/>
      <c r="B1372" s="19"/>
      <c r="C1372" s="19"/>
      <c r="D1372" s="19"/>
      <c r="E1372" s="22"/>
      <c r="F1372" s="19"/>
      <c r="G1372" s="26" t="str">
        <f aca="false">IF(D1372="","",IFERROR(VALUE(LEFT(D1372,FIND(" |",D1372&amp;" |")-1)),"?"))</f>
        <v/>
      </c>
      <c r="H1372" s="27" t="str">
        <f aca="false">IF(G1372="","",IF(G1372="?","⚠ pub inconnue",IFERROR(INDEX(Pubs!$B$2:$B$3001,MATCH(G1372,Pubs!$A$2:$A$3001,0))&amp;"","⚠ pub inconnue")))</f>
        <v/>
      </c>
      <c r="I1372" s="27" t="str">
        <f aca="false">IF(OR(G1372="",G1372="?"),"",IFERROR(INDEX(Pubs!$C$2:$C$3001,MATCH(G1372,Pubs!$A$2:$A$3001,0))&amp;"",""))</f>
        <v/>
      </c>
      <c r="J1372" s="27" t="str">
        <f aca="false">IF(OR(G1372="",G1372="?"),"",IFERROR(INDEX(Pubs!$G$2:$G$3001,MATCH(G1372,Pubs!$A$2:$A$3001,0))&amp;"",""))</f>
        <v/>
      </c>
      <c r="K1372" s="28" t="str">
        <f aca="false">IF(OR(G1372="",G1372="?"),"",IFERROR(INDEX(Pubs!$E$2:$E$3001,MATCH(G1372,Pubs!$A$2:$A$3001,0)),""))</f>
        <v/>
      </c>
      <c r="L1372" s="29" t="str">
        <f aca="false">IF(A1372="","",IFERROR(1/(1/INDEX(Numéros!$C$2:$C$3001,MATCH(A1372&amp;"|"&amp;B1372,Numéros!$F$2:$F$3001,0))),""))</f>
        <v/>
      </c>
      <c r="M1372" s="27" t="str">
        <f aca="false">IF(OR(G1372="",G1372="?"),"",IFERROR(INDEX(Pubs!$D$2:$D$3001,MATCH(G1372,Pubs!$A$2:$A$3001,0))&amp;"",""))</f>
        <v/>
      </c>
      <c r="N1372" s="27" t="n">
        <f aca="false">N(N1371)+IF(AND(A1372&lt;&gt;"",OR(Recherche!$C$4="",A1372=Recherche!$C$4),OR(Recherche!$C$5="",B1372&amp;""=Recherche!$C$5&amp;""),OR(Recherche!$C$6="",IFERROR(YEAR(L1372),0)=Recherche!$C$6),OR(Recherche!$C$7="",ISNUMBER(SEARCH(Recherche!$C$7,H1372))),OR(Recherche!$C$8="",J1372=Recherche!$C$8),OR(Recherche!$C$9="",I1372=Recherche!$C$9),OR(Recherche!$C$10="",G1372&amp;""=Recherche!$C$10&amp;""),OR(Recherche!$C$11="",E1372=Recherche!$C$11),OR(Recherche!$C$12="",ISNUMBER(SEARCH(Recherche!$C$12,M1372&amp;" "&amp;F1372)))),1,0)</f>
        <v>8</v>
      </c>
    </row>
    <row r="1373" customFormat="false" ht="15" hidden="false" customHeight="false" outlineLevel="0" collapsed="false">
      <c r="A1373" s="19"/>
      <c r="B1373" s="19"/>
      <c r="C1373" s="19"/>
      <c r="D1373" s="19"/>
      <c r="E1373" s="22"/>
      <c r="F1373" s="19"/>
      <c r="G1373" s="26" t="str">
        <f aca="false">IF(D1373="","",IFERROR(VALUE(LEFT(D1373,FIND(" |",D1373&amp;" |")-1)),"?"))</f>
        <v/>
      </c>
      <c r="H1373" s="27" t="str">
        <f aca="false">IF(G1373="","",IF(G1373="?","⚠ pub inconnue",IFERROR(INDEX(Pubs!$B$2:$B$3001,MATCH(G1373,Pubs!$A$2:$A$3001,0))&amp;"","⚠ pub inconnue")))</f>
        <v/>
      </c>
      <c r="I1373" s="27" t="str">
        <f aca="false">IF(OR(G1373="",G1373="?"),"",IFERROR(INDEX(Pubs!$C$2:$C$3001,MATCH(G1373,Pubs!$A$2:$A$3001,0))&amp;"",""))</f>
        <v/>
      </c>
      <c r="J1373" s="27" t="str">
        <f aca="false">IF(OR(G1373="",G1373="?"),"",IFERROR(INDEX(Pubs!$G$2:$G$3001,MATCH(G1373,Pubs!$A$2:$A$3001,0))&amp;"",""))</f>
        <v/>
      </c>
      <c r="K1373" s="28" t="str">
        <f aca="false">IF(OR(G1373="",G1373="?"),"",IFERROR(INDEX(Pubs!$E$2:$E$3001,MATCH(G1373,Pubs!$A$2:$A$3001,0)),""))</f>
        <v/>
      </c>
      <c r="L1373" s="29" t="str">
        <f aca="false">IF(A1373="","",IFERROR(1/(1/INDEX(Numéros!$C$2:$C$3001,MATCH(A1373&amp;"|"&amp;B1373,Numéros!$F$2:$F$3001,0))),""))</f>
        <v/>
      </c>
      <c r="M1373" s="27" t="str">
        <f aca="false">IF(OR(G1373="",G1373="?"),"",IFERROR(INDEX(Pubs!$D$2:$D$3001,MATCH(G1373,Pubs!$A$2:$A$3001,0))&amp;"",""))</f>
        <v/>
      </c>
      <c r="N1373" s="27" t="n">
        <f aca="false">N(N1372)+IF(AND(A1373&lt;&gt;"",OR(Recherche!$C$4="",A1373=Recherche!$C$4),OR(Recherche!$C$5="",B1373&amp;""=Recherche!$C$5&amp;""),OR(Recherche!$C$6="",IFERROR(YEAR(L1373),0)=Recherche!$C$6),OR(Recherche!$C$7="",ISNUMBER(SEARCH(Recherche!$C$7,H1373))),OR(Recherche!$C$8="",J1373=Recherche!$C$8),OR(Recherche!$C$9="",I1373=Recherche!$C$9),OR(Recherche!$C$10="",G1373&amp;""=Recherche!$C$10&amp;""),OR(Recherche!$C$11="",E1373=Recherche!$C$11),OR(Recherche!$C$12="",ISNUMBER(SEARCH(Recherche!$C$12,M1373&amp;" "&amp;F1373)))),1,0)</f>
        <v>8</v>
      </c>
    </row>
    <row r="1374" customFormat="false" ht="15" hidden="false" customHeight="false" outlineLevel="0" collapsed="false">
      <c r="A1374" s="19"/>
      <c r="B1374" s="19"/>
      <c r="C1374" s="19"/>
      <c r="D1374" s="19"/>
      <c r="E1374" s="22"/>
      <c r="F1374" s="19"/>
      <c r="G1374" s="26" t="str">
        <f aca="false">IF(D1374="","",IFERROR(VALUE(LEFT(D1374,FIND(" |",D1374&amp;" |")-1)),"?"))</f>
        <v/>
      </c>
      <c r="H1374" s="27" t="str">
        <f aca="false">IF(G1374="","",IF(G1374="?","⚠ pub inconnue",IFERROR(INDEX(Pubs!$B$2:$B$3001,MATCH(G1374,Pubs!$A$2:$A$3001,0))&amp;"","⚠ pub inconnue")))</f>
        <v/>
      </c>
      <c r="I1374" s="27" t="str">
        <f aca="false">IF(OR(G1374="",G1374="?"),"",IFERROR(INDEX(Pubs!$C$2:$C$3001,MATCH(G1374,Pubs!$A$2:$A$3001,0))&amp;"",""))</f>
        <v/>
      </c>
      <c r="J1374" s="27" t="str">
        <f aca="false">IF(OR(G1374="",G1374="?"),"",IFERROR(INDEX(Pubs!$G$2:$G$3001,MATCH(G1374,Pubs!$A$2:$A$3001,0))&amp;"",""))</f>
        <v/>
      </c>
      <c r="K1374" s="28" t="str">
        <f aca="false">IF(OR(G1374="",G1374="?"),"",IFERROR(INDEX(Pubs!$E$2:$E$3001,MATCH(G1374,Pubs!$A$2:$A$3001,0)),""))</f>
        <v/>
      </c>
      <c r="L1374" s="29" t="str">
        <f aca="false">IF(A1374="","",IFERROR(1/(1/INDEX(Numéros!$C$2:$C$3001,MATCH(A1374&amp;"|"&amp;B1374,Numéros!$F$2:$F$3001,0))),""))</f>
        <v/>
      </c>
      <c r="M1374" s="27" t="str">
        <f aca="false">IF(OR(G1374="",G1374="?"),"",IFERROR(INDEX(Pubs!$D$2:$D$3001,MATCH(G1374,Pubs!$A$2:$A$3001,0))&amp;"",""))</f>
        <v/>
      </c>
      <c r="N1374" s="27" t="n">
        <f aca="false">N(N1373)+IF(AND(A1374&lt;&gt;"",OR(Recherche!$C$4="",A1374=Recherche!$C$4),OR(Recherche!$C$5="",B1374&amp;""=Recherche!$C$5&amp;""),OR(Recherche!$C$6="",IFERROR(YEAR(L1374),0)=Recherche!$C$6),OR(Recherche!$C$7="",ISNUMBER(SEARCH(Recherche!$C$7,H1374))),OR(Recherche!$C$8="",J1374=Recherche!$C$8),OR(Recherche!$C$9="",I1374=Recherche!$C$9),OR(Recherche!$C$10="",G1374&amp;""=Recherche!$C$10&amp;""),OR(Recherche!$C$11="",E1374=Recherche!$C$11),OR(Recherche!$C$12="",ISNUMBER(SEARCH(Recherche!$C$12,M1374&amp;" "&amp;F1374)))),1,0)</f>
        <v>8</v>
      </c>
    </row>
    <row r="1375" customFormat="false" ht="15" hidden="false" customHeight="false" outlineLevel="0" collapsed="false">
      <c r="A1375" s="19"/>
      <c r="B1375" s="19"/>
      <c r="C1375" s="19"/>
      <c r="D1375" s="19"/>
      <c r="E1375" s="22"/>
      <c r="F1375" s="19"/>
      <c r="G1375" s="26" t="str">
        <f aca="false">IF(D1375="","",IFERROR(VALUE(LEFT(D1375,FIND(" |",D1375&amp;" |")-1)),"?"))</f>
        <v/>
      </c>
      <c r="H1375" s="27" t="str">
        <f aca="false">IF(G1375="","",IF(G1375="?","⚠ pub inconnue",IFERROR(INDEX(Pubs!$B$2:$B$3001,MATCH(G1375,Pubs!$A$2:$A$3001,0))&amp;"","⚠ pub inconnue")))</f>
        <v/>
      </c>
      <c r="I1375" s="27" t="str">
        <f aca="false">IF(OR(G1375="",G1375="?"),"",IFERROR(INDEX(Pubs!$C$2:$C$3001,MATCH(G1375,Pubs!$A$2:$A$3001,0))&amp;"",""))</f>
        <v/>
      </c>
      <c r="J1375" s="27" t="str">
        <f aca="false">IF(OR(G1375="",G1375="?"),"",IFERROR(INDEX(Pubs!$G$2:$G$3001,MATCH(G1375,Pubs!$A$2:$A$3001,0))&amp;"",""))</f>
        <v/>
      </c>
      <c r="K1375" s="28" t="str">
        <f aca="false">IF(OR(G1375="",G1375="?"),"",IFERROR(INDEX(Pubs!$E$2:$E$3001,MATCH(G1375,Pubs!$A$2:$A$3001,0)),""))</f>
        <v/>
      </c>
      <c r="L1375" s="29" t="str">
        <f aca="false">IF(A1375="","",IFERROR(1/(1/INDEX(Numéros!$C$2:$C$3001,MATCH(A1375&amp;"|"&amp;B1375,Numéros!$F$2:$F$3001,0))),""))</f>
        <v/>
      </c>
      <c r="M1375" s="27" t="str">
        <f aca="false">IF(OR(G1375="",G1375="?"),"",IFERROR(INDEX(Pubs!$D$2:$D$3001,MATCH(G1375,Pubs!$A$2:$A$3001,0))&amp;"",""))</f>
        <v/>
      </c>
      <c r="N1375" s="27" t="n">
        <f aca="false">N(N1374)+IF(AND(A1375&lt;&gt;"",OR(Recherche!$C$4="",A1375=Recherche!$C$4),OR(Recherche!$C$5="",B1375&amp;""=Recherche!$C$5&amp;""),OR(Recherche!$C$6="",IFERROR(YEAR(L1375),0)=Recherche!$C$6),OR(Recherche!$C$7="",ISNUMBER(SEARCH(Recherche!$C$7,H1375))),OR(Recherche!$C$8="",J1375=Recherche!$C$8),OR(Recherche!$C$9="",I1375=Recherche!$C$9),OR(Recherche!$C$10="",G1375&amp;""=Recherche!$C$10&amp;""),OR(Recherche!$C$11="",E1375=Recherche!$C$11),OR(Recherche!$C$12="",ISNUMBER(SEARCH(Recherche!$C$12,M1375&amp;" "&amp;F1375)))),1,0)</f>
        <v>8</v>
      </c>
    </row>
    <row r="1376" customFormat="false" ht="15" hidden="false" customHeight="false" outlineLevel="0" collapsed="false">
      <c r="A1376" s="19"/>
      <c r="B1376" s="19"/>
      <c r="C1376" s="19"/>
      <c r="D1376" s="19"/>
      <c r="E1376" s="22"/>
      <c r="F1376" s="19"/>
      <c r="G1376" s="26" t="str">
        <f aca="false">IF(D1376="","",IFERROR(VALUE(LEFT(D1376,FIND(" |",D1376&amp;" |")-1)),"?"))</f>
        <v/>
      </c>
      <c r="H1376" s="27" t="str">
        <f aca="false">IF(G1376="","",IF(G1376="?","⚠ pub inconnue",IFERROR(INDEX(Pubs!$B$2:$B$3001,MATCH(G1376,Pubs!$A$2:$A$3001,0))&amp;"","⚠ pub inconnue")))</f>
        <v/>
      </c>
      <c r="I1376" s="27" t="str">
        <f aca="false">IF(OR(G1376="",G1376="?"),"",IFERROR(INDEX(Pubs!$C$2:$C$3001,MATCH(G1376,Pubs!$A$2:$A$3001,0))&amp;"",""))</f>
        <v/>
      </c>
      <c r="J1376" s="27" t="str">
        <f aca="false">IF(OR(G1376="",G1376="?"),"",IFERROR(INDEX(Pubs!$G$2:$G$3001,MATCH(G1376,Pubs!$A$2:$A$3001,0))&amp;"",""))</f>
        <v/>
      </c>
      <c r="K1376" s="28" t="str">
        <f aca="false">IF(OR(G1376="",G1376="?"),"",IFERROR(INDEX(Pubs!$E$2:$E$3001,MATCH(G1376,Pubs!$A$2:$A$3001,0)),""))</f>
        <v/>
      </c>
      <c r="L1376" s="29" t="str">
        <f aca="false">IF(A1376="","",IFERROR(1/(1/INDEX(Numéros!$C$2:$C$3001,MATCH(A1376&amp;"|"&amp;B1376,Numéros!$F$2:$F$3001,0))),""))</f>
        <v/>
      </c>
      <c r="M1376" s="27" t="str">
        <f aca="false">IF(OR(G1376="",G1376="?"),"",IFERROR(INDEX(Pubs!$D$2:$D$3001,MATCH(G1376,Pubs!$A$2:$A$3001,0))&amp;"",""))</f>
        <v/>
      </c>
      <c r="N1376" s="27" t="n">
        <f aca="false">N(N1375)+IF(AND(A1376&lt;&gt;"",OR(Recherche!$C$4="",A1376=Recherche!$C$4),OR(Recherche!$C$5="",B1376&amp;""=Recherche!$C$5&amp;""),OR(Recherche!$C$6="",IFERROR(YEAR(L1376),0)=Recherche!$C$6),OR(Recherche!$C$7="",ISNUMBER(SEARCH(Recherche!$C$7,H1376))),OR(Recherche!$C$8="",J1376=Recherche!$C$8),OR(Recherche!$C$9="",I1376=Recherche!$C$9),OR(Recherche!$C$10="",G1376&amp;""=Recherche!$C$10&amp;""),OR(Recherche!$C$11="",E1376=Recherche!$C$11),OR(Recherche!$C$12="",ISNUMBER(SEARCH(Recherche!$C$12,M1376&amp;" "&amp;F1376)))),1,0)</f>
        <v>8</v>
      </c>
    </row>
    <row r="1377" customFormat="false" ht="15" hidden="false" customHeight="false" outlineLevel="0" collapsed="false">
      <c r="A1377" s="19"/>
      <c r="B1377" s="19"/>
      <c r="C1377" s="19"/>
      <c r="D1377" s="19"/>
      <c r="E1377" s="22"/>
      <c r="F1377" s="19"/>
      <c r="G1377" s="26" t="str">
        <f aca="false">IF(D1377="","",IFERROR(VALUE(LEFT(D1377,FIND(" |",D1377&amp;" |")-1)),"?"))</f>
        <v/>
      </c>
      <c r="H1377" s="27" t="str">
        <f aca="false">IF(G1377="","",IF(G1377="?","⚠ pub inconnue",IFERROR(INDEX(Pubs!$B$2:$B$3001,MATCH(G1377,Pubs!$A$2:$A$3001,0))&amp;"","⚠ pub inconnue")))</f>
        <v/>
      </c>
      <c r="I1377" s="27" t="str">
        <f aca="false">IF(OR(G1377="",G1377="?"),"",IFERROR(INDEX(Pubs!$C$2:$C$3001,MATCH(G1377,Pubs!$A$2:$A$3001,0))&amp;"",""))</f>
        <v/>
      </c>
      <c r="J1377" s="27" t="str">
        <f aca="false">IF(OR(G1377="",G1377="?"),"",IFERROR(INDEX(Pubs!$G$2:$G$3001,MATCH(G1377,Pubs!$A$2:$A$3001,0))&amp;"",""))</f>
        <v/>
      </c>
      <c r="K1377" s="28" t="str">
        <f aca="false">IF(OR(G1377="",G1377="?"),"",IFERROR(INDEX(Pubs!$E$2:$E$3001,MATCH(G1377,Pubs!$A$2:$A$3001,0)),""))</f>
        <v/>
      </c>
      <c r="L1377" s="29" t="str">
        <f aca="false">IF(A1377="","",IFERROR(1/(1/INDEX(Numéros!$C$2:$C$3001,MATCH(A1377&amp;"|"&amp;B1377,Numéros!$F$2:$F$3001,0))),""))</f>
        <v/>
      </c>
      <c r="M1377" s="27" t="str">
        <f aca="false">IF(OR(G1377="",G1377="?"),"",IFERROR(INDEX(Pubs!$D$2:$D$3001,MATCH(G1377,Pubs!$A$2:$A$3001,0))&amp;"",""))</f>
        <v/>
      </c>
      <c r="N1377" s="27" t="n">
        <f aca="false">N(N1376)+IF(AND(A1377&lt;&gt;"",OR(Recherche!$C$4="",A1377=Recherche!$C$4),OR(Recherche!$C$5="",B1377&amp;""=Recherche!$C$5&amp;""),OR(Recherche!$C$6="",IFERROR(YEAR(L1377),0)=Recherche!$C$6),OR(Recherche!$C$7="",ISNUMBER(SEARCH(Recherche!$C$7,H1377))),OR(Recherche!$C$8="",J1377=Recherche!$C$8),OR(Recherche!$C$9="",I1377=Recherche!$C$9),OR(Recherche!$C$10="",G1377&amp;""=Recherche!$C$10&amp;""),OR(Recherche!$C$11="",E1377=Recherche!$C$11),OR(Recherche!$C$12="",ISNUMBER(SEARCH(Recherche!$C$12,M1377&amp;" "&amp;F1377)))),1,0)</f>
        <v>8</v>
      </c>
    </row>
    <row r="1378" customFormat="false" ht="15" hidden="false" customHeight="false" outlineLevel="0" collapsed="false">
      <c r="A1378" s="19"/>
      <c r="B1378" s="19"/>
      <c r="C1378" s="19"/>
      <c r="D1378" s="19"/>
      <c r="E1378" s="22"/>
      <c r="F1378" s="19"/>
      <c r="G1378" s="26" t="str">
        <f aca="false">IF(D1378="","",IFERROR(VALUE(LEFT(D1378,FIND(" |",D1378&amp;" |")-1)),"?"))</f>
        <v/>
      </c>
      <c r="H1378" s="27" t="str">
        <f aca="false">IF(G1378="","",IF(G1378="?","⚠ pub inconnue",IFERROR(INDEX(Pubs!$B$2:$B$3001,MATCH(G1378,Pubs!$A$2:$A$3001,0))&amp;"","⚠ pub inconnue")))</f>
        <v/>
      </c>
      <c r="I1378" s="27" t="str">
        <f aca="false">IF(OR(G1378="",G1378="?"),"",IFERROR(INDEX(Pubs!$C$2:$C$3001,MATCH(G1378,Pubs!$A$2:$A$3001,0))&amp;"",""))</f>
        <v/>
      </c>
      <c r="J1378" s="27" t="str">
        <f aca="false">IF(OR(G1378="",G1378="?"),"",IFERROR(INDEX(Pubs!$G$2:$G$3001,MATCH(G1378,Pubs!$A$2:$A$3001,0))&amp;"",""))</f>
        <v/>
      </c>
      <c r="K1378" s="28" t="str">
        <f aca="false">IF(OR(G1378="",G1378="?"),"",IFERROR(INDEX(Pubs!$E$2:$E$3001,MATCH(G1378,Pubs!$A$2:$A$3001,0)),""))</f>
        <v/>
      </c>
      <c r="L1378" s="29" t="str">
        <f aca="false">IF(A1378="","",IFERROR(1/(1/INDEX(Numéros!$C$2:$C$3001,MATCH(A1378&amp;"|"&amp;B1378,Numéros!$F$2:$F$3001,0))),""))</f>
        <v/>
      </c>
      <c r="M1378" s="27" t="str">
        <f aca="false">IF(OR(G1378="",G1378="?"),"",IFERROR(INDEX(Pubs!$D$2:$D$3001,MATCH(G1378,Pubs!$A$2:$A$3001,0))&amp;"",""))</f>
        <v/>
      </c>
      <c r="N1378" s="27" t="n">
        <f aca="false">N(N1377)+IF(AND(A1378&lt;&gt;"",OR(Recherche!$C$4="",A1378=Recherche!$C$4),OR(Recherche!$C$5="",B1378&amp;""=Recherche!$C$5&amp;""),OR(Recherche!$C$6="",IFERROR(YEAR(L1378),0)=Recherche!$C$6),OR(Recherche!$C$7="",ISNUMBER(SEARCH(Recherche!$C$7,H1378))),OR(Recherche!$C$8="",J1378=Recherche!$C$8),OR(Recherche!$C$9="",I1378=Recherche!$C$9),OR(Recherche!$C$10="",G1378&amp;""=Recherche!$C$10&amp;""),OR(Recherche!$C$11="",E1378=Recherche!$C$11),OR(Recherche!$C$12="",ISNUMBER(SEARCH(Recherche!$C$12,M1378&amp;" "&amp;F1378)))),1,0)</f>
        <v>8</v>
      </c>
    </row>
    <row r="1379" customFormat="false" ht="15" hidden="false" customHeight="false" outlineLevel="0" collapsed="false">
      <c r="A1379" s="19"/>
      <c r="B1379" s="19"/>
      <c r="C1379" s="19"/>
      <c r="D1379" s="19"/>
      <c r="E1379" s="22"/>
      <c r="F1379" s="19"/>
      <c r="G1379" s="26" t="str">
        <f aca="false">IF(D1379="","",IFERROR(VALUE(LEFT(D1379,FIND(" |",D1379&amp;" |")-1)),"?"))</f>
        <v/>
      </c>
      <c r="H1379" s="27" t="str">
        <f aca="false">IF(G1379="","",IF(G1379="?","⚠ pub inconnue",IFERROR(INDEX(Pubs!$B$2:$B$3001,MATCH(G1379,Pubs!$A$2:$A$3001,0))&amp;"","⚠ pub inconnue")))</f>
        <v/>
      </c>
      <c r="I1379" s="27" t="str">
        <f aca="false">IF(OR(G1379="",G1379="?"),"",IFERROR(INDEX(Pubs!$C$2:$C$3001,MATCH(G1379,Pubs!$A$2:$A$3001,0))&amp;"",""))</f>
        <v/>
      </c>
      <c r="J1379" s="27" t="str">
        <f aca="false">IF(OR(G1379="",G1379="?"),"",IFERROR(INDEX(Pubs!$G$2:$G$3001,MATCH(G1379,Pubs!$A$2:$A$3001,0))&amp;"",""))</f>
        <v/>
      </c>
      <c r="K1379" s="28" t="str">
        <f aca="false">IF(OR(G1379="",G1379="?"),"",IFERROR(INDEX(Pubs!$E$2:$E$3001,MATCH(G1379,Pubs!$A$2:$A$3001,0)),""))</f>
        <v/>
      </c>
      <c r="L1379" s="29" t="str">
        <f aca="false">IF(A1379="","",IFERROR(1/(1/INDEX(Numéros!$C$2:$C$3001,MATCH(A1379&amp;"|"&amp;B1379,Numéros!$F$2:$F$3001,0))),""))</f>
        <v/>
      </c>
      <c r="M1379" s="27" t="str">
        <f aca="false">IF(OR(G1379="",G1379="?"),"",IFERROR(INDEX(Pubs!$D$2:$D$3001,MATCH(G1379,Pubs!$A$2:$A$3001,0))&amp;"",""))</f>
        <v/>
      </c>
      <c r="N1379" s="27" t="n">
        <f aca="false">N(N1378)+IF(AND(A1379&lt;&gt;"",OR(Recherche!$C$4="",A1379=Recherche!$C$4),OR(Recherche!$C$5="",B1379&amp;""=Recherche!$C$5&amp;""),OR(Recherche!$C$6="",IFERROR(YEAR(L1379),0)=Recherche!$C$6),OR(Recherche!$C$7="",ISNUMBER(SEARCH(Recherche!$C$7,H1379))),OR(Recherche!$C$8="",J1379=Recherche!$C$8),OR(Recherche!$C$9="",I1379=Recherche!$C$9),OR(Recherche!$C$10="",G1379&amp;""=Recherche!$C$10&amp;""),OR(Recherche!$C$11="",E1379=Recherche!$C$11),OR(Recherche!$C$12="",ISNUMBER(SEARCH(Recherche!$C$12,M1379&amp;" "&amp;F1379)))),1,0)</f>
        <v>8</v>
      </c>
    </row>
    <row r="1380" customFormat="false" ht="15" hidden="false" customHeight="false" outlineLevel="0" collapsed="false">
      <c r="A1380" s="19"/>
      <c r="B1380" s="19"/>
      <c r="C1380" s="19"/>
      <c r="D1380" s="19"/>
      <c r="E1380" s="22"/>
      <c r="F1380" s="19"/>
      <c r="G1380" s="26" t="str">
        <f aca="false">IF(D1380="","",IFERROR(VALUE(LEFT(D1380,FIND(" |",D1380&amp;" |")-1)),"?"))</f>
        <v/>
      </c>
      <c r="H1380" s="27" t="str">
        <f aca="false">IF(G1380="","",IF(G1380="?","⚠ pub inconnue",IFERROR(INDEX(Pubs!$B$2:$B$3001,MATCH(G1380,Pubs!$A$2:$A$3001,0))&amp;"","⚠ pub inconnue")))</f>
        <v/>
      </c>
      <c r="I1380" s="27" t="str">
        <f aca="false">IF(OR(G1380="",G1380="?"),"",IFERROR(INDEX(Pubs!$C$2:$C$3001,MATCH(G1380,Pubs!$A$2:$A$3001,0))&amp;"",""))</f>
        <v/>
      </c>
      <c r="J1380" s="27" t="str">
        <f aca="false">IF(OR(G1380="",G1380="?"),"",IFERROR(INDEX(Pubs!$G$2:$G$3001,MATCH(G1380,Pubs!$A$2:$A$3001,0))&amp;"",""))</f>
        <v/>
      </c>
      <c r="K1380" s="28" t="str">
        <f aca="false">IF(OR(G1380="",G1380="?"),"",IFERROR(INDEX(Pubs!$E$2:$E$3001,MATCH(G1380,Pubs!$A$2:$A$3001,0)),""))</f>
        <v/>
      </c>
      <c r="L1380" s="29" t="str">
        <f aca="false">IF(A1380="","",IFERROR(1/(1/INDEX(Numéros!$C$2:$C$3001,MATCH(A1380&amp;"|"&amp;B1380,Numéros!$F$2:$F$3001,0))),""))</f>
        <v/>
      </c>
      <c r="M1380" s="27" t="str">
        <f aca="false">IF(OR(G1380="",G1380="?"),"",IFERROR(INDEX(Pubs!$D$2:$D$3001,MATCH(G1380,Pubs!$A$2:$A$3001,0))&amp;"",""))</f>
        <v/>
      </c>
      <c r="N1380" s="27" t="n">
        <f aca="false">N(N1379)+IF(AND(A1380&lt;&gt;"",OR(Recherche!$C$4="",A1380=Recherche!$C$4),OR(Recherche!$C$5="",B1380&amp;""=Recherche!$C$5&amp;""),OR(Recherche!$C$6="",IFERROR(YEAR(L1380),0)=Recherche!$C$6),OR(Recherche!$C$7="",ISNUMBER(SEARCH(Recherche!$C$7,H1380))),OR(Recherche!$C$8="",J1380=Recherche!$C$8),OR(Recherche!$C$9="",I1380=Recherche!$C$9),OR(Recherche!$C$10="",G1380&amp;""=Recherche!$C$10&amp;""),OR(Recherche!$C$11="",E1380=Recherche!$C$11),OR(Recherche!$C$12="",ISNUMBER(SEARCH(Recherche!$C$12,M1380&amp;" "&amp;F1380)))),1,0)</f>
        <v>8</v>
      </c>
    </row>
    <row r="1381" customFormat="false" ht="15" hidden="false" customHeight="false" outlineLevel="0" collapsed="false">
      <c r="A1381" s="19"/>
      <c r="B1381" s="19"/>
      <c r="C1381" s="19"/>
      <c r="D1381" s="19"/>
      <c r="E1381" s="22"/>
      <c r="F1381" s="19"/>
      <c r="G1381" s="26" t="str">
        <f aca="false">IF(D1381="","",IFERROR(VALUE(LEFT(D1381,FIND(" |",D1381&amp;" |")-1)),"?"))</f>
        <v/>
      </c>
      <c r="H1381" s="27" t="str">
        <f aca="false">IF(G1381="","",IF(G1381="?","⚠ pub inconnue",IFERROR(INDEX(Pubs!$B$2:$B$3001,MATCH(G1381,Pubs!$A$2:$A$3001,0))&amp;"","⚠ pub inconnue")))</f>
        <v/>
      </c>
      <c r="I1381" s="27" t="str">
        <f aca="false">IF(OR(G1381="",G1381="?"),"",IFERROR(INDEX(Pubs!$C$2:$C$3001,MATCH(G1381,Pubs!$A$2:$A$3001,0))&amp;"",""))</f>
        <v/>
      </c>
      <c r="J1381" s="27" t="str">
        <f aca="false">IF(OR(G1381="",G1381="?"),"",IFERROR(INDEX(Pubs!$G$2:$G$3001,MATCH(G1381,Pubs!$A$2:$A$3001,0))&amp;"",""))</f>
        <v/>
      </c>
      <c r="K1381" s="28" t="str">
        <f aca="false">IF(OR(G1381="",G1381="?"),"",IFERROR(INDEX(Pubs!$E$2:$E$3001,MATCH(G1381,Pubs!$A$2:$A$3001,0)),""))</f>
        <v/>
      </c>
      <c r="L1381" s="29" t="str">
        <f aca="false">IF(A1381="","",IFERROR(1/(1/INDEX(Numéros!$C$2:$C$3001,MATCH(A1381&amp;"|"&amp;B1381,Numéros!$F$2:$F$3001,0))),""))</f>
        <v/>
      </c>
      <c r="M1381" s="27" t="str">
        <f aca="false">IF(OR(G1381="",G1381="?"),"",IFERROR(INDEX(Pubs!$D$2:$D$3001,MATCH(G1381,Pubs!$A$2:$A$3001,0))&amp;"",""))</f>
        <v/>
      </c>
      <c r="N1381" s="27" t="n">
        <f aca="false">N(N1380)+IF(AND(A1381&lt;&gt;"",OR(Recherche!$C$4="",A1381=Recherche!$C$4),OR(Recherche!$C$5="",B1381&amp;""=Recherche!$C$5&amp;""),OR(Recherche!$C$6="",IFERROR(YEAR(L1381),0)=Recherche!$C$6),OR(Recherche!$C$7="",ISNUMBER(SEARCH(Recherche!$C$7,H1381))),OR(Recherche!$C$8="",J1381=Recherche!$C$8),OR(Recherche!$C$9="",I1381=Recherche!$C$9),OR(Recherche!$C$10="",G1381&amp;""=Recherche!$C$10&amp;""),OR(Recherche!$C$11="",E1381=Recherche!$C$11),OR(Recherche!$C$12="",ISNUMBER(SEARCH(Recherche!$C$12,M1381&amp;" "&amp;F1381)))),1,0)</f>
        <v>8</v>
      </c>
    </row>
    <row r="1382" customFormat="false" ht="15" hidden="false" customHeight="false" outlineLevel="0" collapsed="false">
      <c r="A1382" s="19"/>
      <c r="B1382" s="19"/>
      <c r="C1382" s="19"/>
      <c r="D1382" s="19"/>
      <c r="E1382" s="22"/>
      <c r="F1382" s="19"/>
      <c r="G1382" s="26" t="str">
        <f aca="false">IF(D1382="","",IFERROR(VALUE(LEFT(D1382,FIND(" |",D1382&amp;" |")-1)),"?"))</f>
        <v/>
      </c>
      <c r="H1382" s="27" t="str">
        <f aca="false">IF(G1382="","",IF(G1382="?","⚠ pub inconnue",IFERROR(INDEX(Pubs!$B$2:$B$3001,MATCH(G1382,Pubs!$A$2:$A$3001,0))&amp;"","⚠ pub inconnue")))</f>
        <v/>
      </c>
      <c r="I1382" s="27" t="str">
        <f aca="false">IF(OR(G1382="",G1382="?"),"",IFERROR(INDEX(Pubs!$C$2:$C$3001,MATCH(G1382,Pubs!$A$2:$A$3001,0))&amp;"",""))</f>
        <v/>
      </c>
      <c r="J1382" s="27" t="str">
        <f aca="false">IF(OR(G1382="",G1382="?"),"",IFERROR(INDEX(Pubs!$G$2:$G$3001,MATCH(G1382,Pubs!$A$2:$A$3001,0))&amp;"",""))</f>
        <v/>
      </c>
      <c r="K1382" s="28" t="str">
        <f aca="false">IF(OR(G1382="",G1382="?"),"",IFERROR(INDEX(Pubs!$E$2:$E$3001,MATCH(G1382,Pubs!$A$2:$A$3001,0)),""))</f>
        <v/>
      </c>
      <c r="L1382" s="29" t="str">
        <f aca="false">IF(A1382="","",IFERROR(1/(1/INDEX(Numéros!$C$2:$C$3001,MATCH(A1382&amp;"|"&amp;B1382,Numéros!$F$2:$F$3001,0))),""))</f>
        <v/>
      </c>
      <c r="M1382" s="27" t="str">
        <f aca="false">IF(OR(G1382="",G1382="?"),"",IFERROR(INDEX(Pubs!$D$2:$D$3001,MATCH(G1382,Pubs!$A$2:$A$3001,0))&amp;"",""))</f>
        <v/>
      </c>
      <c r="N1382" s="27" t="n">
        <f aca="false">N(N1381)+IF(AND(A1382&lt;&gt;"",OR(Recherche!$C$4="",A1382=Recherche!$C$4),OR(Recherche!$C$5="",B1382&amp;""=Recherche!$C$5&amp;""),OR(Recherche!$C$6="",IFERROR(YEAR(L1382),0)=Recherche!$C$6),OR(Recherche!$C$7="",ISNUMBER(SEARCH(Recherche!$C$7,H1382))),OR(Recherche!$C$8="",J1382=Recherche!$C$8),OR(Recherche!$C$9="",I1382=Recherche!$C$9),OR(Recherche!$C$10="",G1382&amp;""=Recherche!$C$10&amp;""),OR(Recherche!$C$11="",E1382=Recherche!$C$11),OR(Recherche!$C$12="",ISNUMBER(SEARCH(Recherche!$C$12,M1382&amp;" "&amp;F1382)))),1,0)</f>
        <v>8</v>
      </c>
    </row>
    <row r="1383" customFormat="false" ht="15" hidden="false" customHeight="false" outlineLevel="0" collapsed="false">
      <c r="A1383" s="19"/>
      <c r="B1383" s="19"/>
      <c r="C1383" s="19"/>
      <c r="D1383" s="19"/>
      <c r="E1383" s="22"/>
      <c r="F1383" s="19"/>
      <c r="G1383" s="26" t="str">
        <f aca="false">IF(D1383="","",IFERROR(VALUE(LEFT(D1383,FIND(" |",D1383&amp;" |")-1)),"?"))</f>
        <v/>
      </c>
      <c r="H1383" s="27" t="str">
        <f aca="false">IF(G1383="","",IF(G1383="?","⚠ pub inconnue",IFERROR(INDEX(Pubs!$B$2:$B$3001,MATCH(G1383,Pubs!$A$2:$A$3001,0))&amp;"","⚠ pub inconnue")))</f>
        <v/>
      </c>
      <c r="I1383" s="27" t="str">
        <f aca="false">IF(OR(G1383="",G1383="?"),"",IFERROR(INDEX(Pubs!$C$2:$C$3001,MATCH(G1383,Pubs!$A$2:$A$3001,0))&amp;"",""))</f>
        <v/>
      </c>
      <c r="J1383" s="27" t="str">
        <f aca="false">IF(OR(G1383="",G1383="?"),"",IFERROR(INDEX(Pubs!$G$2:$G$3001,MATCH(G1383,Pubs!$A$2:$A$3001,0))&amp;"",""))</f>
        <v/>
      </c>
      <c r="K1383" s="28" t="str">
        <f aca="false">IF(OR(G1383="",G1383="?"),"",IFERROR(INDEX(Pubs!$E$2:$E$3001,MATCH(G1383,Pubs!$A$2:$A$3001,0)),""))</f>
        <v/>
      </c>
      <c r="L1383" s="29" t="str">
        <f aca="false">IF(A1383="","",IFERROR(1/(1/INDEX(Numéros!$C$2:$C$3001,MATCH(A1383&amp;"|"&amp;B1383,Numéros!$F$2:$F$3001,0))),""))</f>
        <v/>
      </c>
      <c r="M1383" s="27" t="str">
        <f aca="false">IF(OR(G1383="",G1383="?"),"",IFERROR(INDEX(Pubs!$D$2:$D$3001,MATCH(G1383,Pubs!$A$2:$A$3001,0))&amp;"",""))</f>
        <v/>
      </c>
      <c r="N1383" s="27" t="n">
        <f aca="false">N(N1382)+IF(AND(A1383&lt;&gt;"",OR(Recherche!$C$4="",A1383=Recherche!$C$4),OR(Recherche!$C$5="",B1383&amp;""=Recherche!$C$5&amp;""),OR(Recherche!$C$6="",IFERROR(YEAR(L1383),0)=Recherche!$C$6),OR(Recherche!$C$7="",ISNUMBER(SEARCH(Recherche!$C$7,H1383))),OR(Recherche!$C$8="",J1383=Recherche!$C$8),OR(Recherche!$C$9="",I1383=Recherche!$C$9),OR(Recherche!$C$10="",G1383&amp;""=Recherche!$C$10&amp;""),OR(Recherche!$C$11="",E1383=Recherche!$C$11),OR(Recherche!$C$12="",ISNUMBER(SEARCH(Recherche!$C$12,M1383&amp;" "&amp;F1383)))),1,0)</f>
        <v>8</v>
      </c>
    </row>
    <row r="1384" customFormat="false" ht="15" hidden="false" customHeight="false" outlineLevel="0" collapsed="false">
      <c r="A1384" s="19"/>
      <c r="B1384" s="19"/>
      <c r="C1384" s="19"/>
      <c r="D1384" s="19"/>
      <c r="E1384" s="22"/>
      <c r="F1384" s="19"/>
      <c r="G1384" s="26" t="str">
        <f aca="false">IF(D1384="","",IFERROR(VALUE(LEFT(D1384,FIND(" |",D1384&amp;" |")-1)),"?"))</f>
        <v/>
      </c>
      <c r="H1384" s="27" t="str">
        <f aca="false">IF(G1384="","",IF(G1384="?","⚠ pub inconnue",IFERROR(INDEX(Pubs!$B$2:$B$3001,MATCH(G1384,Pubs!$A$2:$A$3001,0))&amp;"","⚠ pub inconnue")))</f>
        <v/>
      </c>
      <c r="I1384" s="27" t="str">
        <f aca="false">IF(OR(G1384="",G1384="?"),"",IFERROR(INDEX(Pubs!$C$2:$C$3001,MATCH(G1384,Pubs!$A$2:$A$3001,0))&amp;"",""))</f>
        <v/>
      </c>
      <c r="J1384" s="27" t="str">
        <f aca="false">IF(OR(G1384="",G1384="?"),"",IFERROR(INDEX(Pubs!$G$2:$G$3001,MATCH(G1384,Pubs!$A$2:$A$3001,0))&amp;"",""))</f>
        <v/>
      </c>
      <c r="K1384" s="28" t="str">
        <f aca="false">IF(OR(G1384="",G1384="?"),"",IFERROR(INDEX(Pubs!$E$2:$E$3001,MATCH(G1384,Pubs!$A$2:$A$3001,0)),""))</f>
        <v/>
      </c>
      <c r="L1384" s="29" t="str">
        <f aca="false">IF(A1384="","",IFERROR(1/(1/INDEX(Numéros!$C$2:$C$3001,MATCH(A1384&amp;"|"&amp;B1384,Numéros!$F$2:$F$3001,0))),""))</f>
        <v/>
      </c>
      <c r="M1384" s="27" t="str">
        <f aca="false">IF(OR(G1384="",G1384="?"),"",IFERROR(INDEX(Pubs!$D$2:$D$3001,MATCH(G1384,Pubs!$A$2:$A$3001,0))&amp;"",""))</f>
        <v/>
      </c>
      <c r="N1384" s="27" t="n">
        <f aca="false">N(N1383)+IF(AND(A1384&lt;&gt;"",OR(Recherche!$C$4="",A1384=Recherche!$C$4),OR(Recherche!$C$5="",B1384&amp;""=Recherche!$C$5&amp;""),OR(Recherche!$C$6="",IFERROR(YEAR(L1384),0)=Recherche!$C$6),OR(Recherche!$C$7="",ISNUMBER(SEARCH(Recherche!$C$7,H1384))),OR(Recherche!$C$8="",J1384=Recherche!$C$8),OR(Recherche!$C$9="",I1384=Recherche!$C$9),OR(Recherche!$C$10="",G1384&amp;""=Recherche!$C$10&amp;""),OR(Recherche!$C$11="",E1384=Recherche!$C$11),OR(Recherche!$C$12="",ISNUMBER(SEARCH(Recherche!$C$12,M1384&amp;" "&amp;F1384)))),1,0)</f>
        <v>8</v>
      </c>
    </row>
    <row r="1385" customFormat="false" ht="15" hidden="false" customHeight="false" outlineLevel="0" collapsed="false">
      <c r="A1385" s="19"/>
      <c r="B1385" s="19"/>
      <c r="C1385" s="19"/>
      <c r="D1385" s="19"/>
      <c r="E1385" s="22"/>
      <c r="F1385" s="19"/>
      <c r="G1385" s="26" t="str">
        <f aca="false">IF(D1385="","",IFERROR(VALUE(LEFT(D1385,FIND(" |",D1385&amp;" |")-1)),"?"))</f>
        <v/>
      </c>
      <c r="H1385" s="27" t="str">
        <f aca="false">IF(G1385="","",IF(G1385="?","⚠ pub inconnue",IFERROR(INDEX(Pubs!$B$2:$B$3001,MATCH(G1385,Pubs!$A$2:$A$3001,0))&amp;"","⚠ pub inconnue")))</f>
        <v/>
      </c>
      <c r="I1385" s="27" t="str">
        <f aca="false">IF(OR(G1385="",G1385="?"),"",IFERROR(INDEX(Pubs!$C$2:$C$3001,MATCH(G1385,Pubs!$A$2:$A$3001,0))&amp;"",""))</f>
        <v/>
      </c>
      <c r="J1385" s="27" t="str">
        <f aca="false">IF(OR(G1385="",G1385="?"),"",IFERROR(INDEX(Pubs!$G$2:$G$3001,MATCH(G1385,Pubs!$A$2:$A$3001,0))&amp;"",""))</f>
        <v/>
      </c>
      <c r="K1385" s="28" t="str">
        <f aca="false">IF(OR(G1385="",G1385="?"),"",IFERROR(INDEX(Pubs!$E$2:$E$3001,MATCH(G1385,Pubs!$A$2:$A$3001,0)),""))</f>
        <v/>
      </c>
      <c r="L1385" s="29" t="str">
        <f aca="false">IF(A1385="","",IFERROR(1/(1/INDEX(Numéros!$C$2:$C$3001,MATCH(A1385&amp;"|"&amp;B1385,Numéros!$F$2:$F$3001,0))),""))</f>
        <v/>
      </c>
      <c r="M1385" s="27" t="str">
        <f aca="false">IF(OR(G1385="",G1385="?"),"",IFERROR(INDEX(Pubs!$D$2:$D$3001,MATCH(G1385,Pubs!$A$2:$A$3001,0))&amp;"",""))</f>
        <v/>
      </c>
      <c r="N1385" s="27" t="n">
        <f aca="false">N(N1384)+IF(AND(A1385&lt;&gt;"",OR(Recherche!$C$4="",A1385=Recherche!$C$4),OR(Recherche!$C$5="",B1385&amp;""=Recherche!$C$5&amp;""),OR(Recherche!$C$6="",IFERROR(YEAR(L1385),0)=Recherche!$C$6),OR(Recherche!$C$7="",ISNUMBER(SEARCH(Recherche!$C$7,H1385))),OR(Recherche!$C$8="",J1385=Recherche!$C$8),OR(Recherche!$C$9="",I1385=Recherche!$C$9),OR(Recherche!$C$10="",G1385&amp;""=Recherche!$C$10&amp;""),OR(Recherche!$C$11="",E1385=Recherche!$C$11),OR(Recherche!$C$12="",ISNUMBER(SEARCH(Recherche!$C$12,M1385&amp;" "&amp;F1385)))),1,0)</f>
        <v>8</v>
      </c>
    </row>
    <row r="1386" customFormat="false" ht="15" hidden="false" customHeight="false" outlineLevel="0" collapsed="false">
      <c r="A1386" s="19"/>
      <c r="B1386" s="19"/>
      <c r="C1386" s="19"/>
      <c r="D1386" s="19"/>
      <c r="E1386" s="22"/>
      <c r="F1386" s="19"/>
      <c r="G1386" s="26" t="str">
        <f aca="false">IF(D1386="","",IFERROR(VALUE(LEFT(D1386,FIND(" |",D1386&amp;" |")-1)),"?"))</f>
        <v/>
      </c>
      <c r="H1386" s="27" t="str">
        <f aca="false">IF(G1386="","",IF(G1386="?","⚠ pub inconnue",IFERROR(INDEX(Pubs!$B$2:$B$3001,MATCH(G1386,Pubs!$A$2:$A$3001,0))&amp;"","⚠ pub inconnue")))</f>
        <v/>
      </c>
      <c r="I1386" s="27" t="str">
        <f aca="false">IF(OR(G1386="",G1386="?"),"",IFERROR(INDEX(Pubs!$C$2:$C$3001,MATCH(G1386,Pubs!$A$2:$A$3001,0))&amp;"",""))</f>
        <v/>
      </c>
      <c r="J1386" s="27" t="str">
        <f aca="false">IF(OR(G1386="",G1386="?"),"",IFERROR(INDEX(Pubs!$G$2:$G$3001,MATCH(G1386,Pubs!$A$2:$A$3001,0))&amp;"",""))</f>
        <v/>
      </c>
      <c r="K1386" s="28" t="str">
        <f aca="false">IF(OR(G1386="",G1386="?"),"",IFERROR(INDEX(Pubs!$E$2:$E$3001,MATCH(G1386,Pubs!$A$2:$A$3001,0)),""))</f>
        <v/>
      </c>
      <c r="L1386" s="29" t="str">
        <f aca="false">IF(A1386="","",IFERROR(1/(1/INDEX(Numéros!$C$2:$C$3001,MATCH(A1386&amp;"|"&amp;B1386,Numéros!$F$2:$F$3001,0))),""))</f>
        <v/>
      </c>
      <c r="M1386" s="27" t="str">
        <f aca="false">IF(OR(G1386="",G1386="?"),"",IFERROR(INDEX(Pubs!$D$2:$D$3001,MATCH(G1386,Pubs!$A$2:$A$3001,0))&amp;"",""))</f>
        <v/>
      </c>
      <c r="N1386" s="27" t="n">
        <f aca="false">N(N1385)+IF(AND(A1386&lt;&gt;"",OR(Recherche!$C$4="",A1386=Recherche!$C$4),OR(Recherche!$C$5="",B1386&amp;""=Recherche!$C$5&amp;""),OR(Recherche!$C$6="",IFERROR(YEAR(L1386),0)=Recherche!$C$6),OR(Recherche!$C$7="",ISNUMBER(SEARCH(Recherche!$C$7,H1386))),OR(Recherche!$C$8="",J1386=Recherche!$C$8),OR(Recherche!$C$9="",I1386=Recherche!$C$9),OR(Recherche!$C$10="",G1386&amp;""=Recherche!$C$10&amp;""),OR(Recherche!$C$11="",E1386=Recherche!$C$11),OR(Recherche!$C$12="",ISNUMBER(SEARCH(Recherche!$C$12,M1386&amp;" "&amp;F1386)))),1,0)</f>
        <v>8</v>
      </c>
    </row>
    <row r="1387" customFormat="false" ht="15" hidden="false" customHeight="false" outlineLevel="0" collapsed="false">
      <c r="A1387" s="19"/>
      <c r="B1387" s="19"/>
      <c r="C1387" s="19"/>
      <c r="D1387" s="19"/>
      <c r="E1387" s="22"/>
      <c r="F1387" s="19"/>
      <c r="G1387" s="26" t="str">
        <f aca="false">IF(D1387="","",IFERROR(VALUE(LEFT(D1387,FIND(" |",D1387&amp;" |")-1)),"?"))</f>
        <v/>
      </c>
      <c r="H1387" s="27" t="str">
        <f aca="false">IF(G1387="","",IF(G1387="?","⚠ pub inconnue",IFERROR(INDEX(Pubs!$B$2:$B$3001,MATCH(G1387,Pubs!$A$2:$A$3001,0))&amp;"","⚠ pub inconnue")))</f>
        <v/>
      </c>
      <c r="I1387" s="27" t="str">
        <f aca="false">IF(OR(G1387="",G1387="?"),"",IFERROR(INDEX(Pubs!$C$2:$C$3001,MATCH(G1387,Pubs!$A$2:$A$3001,0))&amp;"",""))</f>
        <v/>
      </c>
      <c r="J1387" s="27" t="str">
        <f aca="false">IF(OR(G1387="",G1387="?"),"",IFERROR(INDEX(Pubs!$G$2:$G$3001,MATCH(G1387,Pubs!$A$2:$A$3001,0))&amp;"",""))</f>
        <v/>
      </c>
      <c r="K1387" s="28" t="str">
        <f aca="false">IF(OR(G1387="",G1387="?"),"",IFERROR(INDEX(Pubs!$E$2:$E$3001,MATCH(G1387,Pubs!$A$2:$A$3001,0)),""))</f>
        <v/>
      </c>
      <c r="L1387" s="29" t="str">
        <f aca="false">IF(A1387="","",IFERROR(1/(1/INDEX(Numéros!$C$2:$C$3001,MATCH(A1387&amp;"|"&amp;B1387,Numéros!$F$2:$F$3001,0))),""))</f>
        <v/>
      </c>
      <c r="M1387" s="27" t="str">
        <f aca="false">IF(OR(G1387="",G1387="?"),"",IFERROR(INDEX(Pubs!$D$2:$D$3001,MATCH(G1387,Pubs!$A$2:$A$3001,0))&amp;"",""))</f>
        <v/>
      </c>
      <c r="N1387" s="27" t="n">
        <f aca="false">N(N1386)+IF(AND(A1387&lt;&gt;"",OR(Recherche!$C$4="",A1387=Recherche!$C$4),OR(Recherche!$C$5="",B1387&amp;""=Recherche!$C$5&amp;""),OR(Recherche!$C$6="",IFERROR(YEAR(L1387),0)=Recherche!$C$6),OR(Recherche!$C$7="",ISNUMBER(SEARCH(Recherche!$C$7,H1387))),OR(Recherche!$C$8="",J1387=Recherche!$C$8),OR(Recherche!$C$9="",I1387=Recherche!$C$9),OR(Recherche!$C$10="",G1387&amp;""=Recherche!$C$10&amp;""),OR(Recherche!$C$11="",E1387=Recherche!$C$11),OR(Recherche!$C$12="",ISNUMBER(SEARCH(Recherche!$C$12,M1387&amp;" "&amp;F1387)))),1,0)</f>
        <v>8</v>
      </c>
    </row>
    <row r="1388" customFormat="false" ht="15" hidden="false" customHeight="false" outlineLevel="0" collapsed="false">
      <c r="A1388" s="19"/>
      <c r="B1388" s="19"/>
      <c r="C1388" s="19"/>
      <c r="D1388" s="19"/>
      <c r="E1388" s="22"/>
      <c r="F1388" s="19"/>
      <c r="G1388" s="26" t="str">
        <f aca="false">IF(D1388="","",IFERROR(VALUE(LEFT(D1388,FIND(" |",D1388&amp;" |")-1)),"?"))</f>
        <v/>
      </c>
      <c r="H1388" s="27" t="str">
        <f aca="false">IF(G1388="","",IF(G1388="?","⚠ pub inconnue",IFERROR(INDEX(Pubs!$B$2:$B$3001,MATCH(G1388,Pubs!$A$2:$A$3001,0))&amp;"","⚠ pub inconnue")))</f>
        <v/>
      </c>
      <c r="I1388" s="27" t="str">
        <f aca="false">IF(OR(G1388="",G1388="?"),"",IFERROR(INDEX(Pubs!$C$2:$C$3001,MATCH(G1388,Pubs!$A$2:$A$3001,0))&amp;"",""))</f>
        <v/>
      </c>
      <c r="J1388" s="27" t="str">
        <f aca="false">IF(OR(G1388="",G1388="?"),"",IFERROR(INDEX(Pubs!$G$2:$G$3001,MATCH(G1388,Pubs!$A$2:$A$3001,0))&amp;"",""))</f>
        <v/>
      </c>
      <c r="K1388" s="28" t="str">
        <f aca="false">IF(OR(G1388="",G1388="?"),"",IFERROR(INDEX(Pubs!$E$2:$E$3001,MATCH(G1388,Pubs!$A$2:$A$3001,0)),""))</f>
        <v/>
      </c>
      <c r="L1388" s="29" t="str">
        <f aca="false">IF(A1388="","",IFERROR(1/(1/INDEX(Numéros!$C$2:$C$3001,MATCH(A1388&amp;"|"&amp;B1388,Numéros!$F$2:$F$3001,0))),""))</f>
        <v/>
      </c>
      <c r="M1388" s="27" t="str">
        <f aca="false">IF(OR(G1388="",G1388="?"),"",IFERROR(INDEX(Pubs!$D$2:$D$3001,MATCH(G1388,Pubs!$A$2:$A$3001,0))&amp;"",""))</f>
        <v/>
      </c>
      <c r="N1388" s="27" t="n">
        <f aca="false">N(N1387)+IF(AND(A1388&lt;&gt;"",OR(Recherche!$C$4="",A1388=Recherche!$C$4),OR(Recherche!$C$5="",B1388&amp;""=Recherche!$C$5&amp;""),OR(Recherche!$C$6="",IFERROR(YEAR(L1388),0)=Recherche!$C$6),OR(Recherche!$C$7="",ISNUMBER(SEARCH(Recherche!$C$7,H1388))),OR(Recherche!$C$8="",J1388=Recherche!$C$8),OR(Recherche!$C$9="",I1388=Recherche!$C$9),OR(Recherche!$C$10="",G1388&amp;""=Recherche!$C$10&amp;""),OR(Recherche!$C$11="",E1388=Recherche!$C$11),OR(Recherche!$C$12="",ISNUMBER(SEARCH(Recherche!$C$12,M1388&amp;" "&amp;F1388)))),1,0)</f>
        <v>8</v>
      </c>
    </row>
    <row r="1389" customFormat="false" ht="15" hidden="false" customHeight="false" outlineLevel="0" collapsed="false">
      <c r="A1389" s="19"/>
      <c r="B1389" s="19"/>
      <c r="C1389" s="19"/>
      <c r="D1389" s="19"/>
      <c r="E1389" s="22"/>
      <c r="F1389" s="19"/>
      <c r="G1389" s="26" t="str">
        <f aca="false">IF(D1389="","",IFERROR(VALUE(LEFT(D1389,FIND(" |",D1389&amp;" |")-1)),"?"))</f>
        <v/>
      </c>
      <c r="H1389" s="27" t="str">
        <f aca="false">IF(G1389="","",IF(G1389="?","⚠ pub inconnue",IFERROR(INDEX(Pubs!$B$2:$B$3001,MATCH(G1389,Pubs!$A$2:$A$3001,0))&amp;"","⚠ pub inconnue")))</f>
        <v/>
      </c>
      <c r="I1389" s="27" t="str">
        <f aca="false">IF(OR(G1389="",G1389="?"),"",IFERROR(INDEX(Pubs!$C$2:$C$3001,MATCH(G1389,Pubs!$A$2:$A$3001,0))&amp;"",""))</f>
        <v/>
      </c>
      <c r="J1389" s="27" t="str">
        <f aca="false">IF(OR(G1389="",G1389="?"),"",IFERROR(INDEX(Pubs!$G$2:$G$3001,MATCH(G1389,Pubs!$A$2:$A$3001,0))&amp;"",""))</f>
        <v/>
      </c>
      <c r="K1389" s="28" t="str">
        <f aca="false">IF(OR(G1389="",G1389="?"),"",IFERROR(INDEX(Pubs!$E$2:$E$3001,MATCH(G1389,Pubs!$A$2:$A$3001,0)),""))</f>
        <v/>
      </c>
      <c r="L1389" s="29" t="str">
        <f aca="false">IF(A1389="","",IFERROR(1/(1/INDEX(Numéros!$C$2:$C$3001,MATCH(A1389&amp;"|"&amp;B1389,Numéros!$F$2:$F$3001,0))),""))</f>
        <v/>
      </c>
      <c r="M1389" s="27" t="str">
        <f aca="false">IF(OR(G1389="",G1389="?"),"",IFERROR(INDEX(Pubs!$D$2:$D$3001,MATCH(G1389,Pubs!$A$2:$A$3001,0))&amp;"",""))</f>
        <v/>
      </c>
      <c r="N1389" s="27" t="n">
        <f aca="false">N(N1388)+IF(AND(A1389&lt;&gt;"",OR(Recherche!$C$4="",A1389=Recherche!$C$4),OR(Recherche!$C$5="",B1389&amp;""=Recherche!$C$5&amp;""),OR(Recherche!$C$6="",IFERROR(YEAR(L1389),0)=Recherche!$C$6),OR(Recherche!$C$7="",ISNUMBER(SEARCH(Recherche!$C$7,H1389))),OR(Recherche!$C$8="",J1389=Recherche!$C$8),OR(Recherche!$C$9="",I1389=Recherche!$C$9),OR(Recherche!$C$10="",G1389&amp;""=Recherche!$C$10&amp;""),OR(Recherche!$C$11="",E1389=Recherche!$C$11),OR(Recherche!$C$12="",ISNUMBER(SEARCH(Recherche!$C$12,M1389&amp;" "&amp;F1389)))),1,0)</f>
        <v>8</v>
      </c>
    </row>
    <row r="1390" customFormat="false" ht="15" hidden="false" customHeight="false" outlineLevel="0" collapsed="false">
      <c r="A1390" s="19"/>
      <c r="B1390" s="19"/>
      <c r="C1390" s="19"/>
      <c r="D1390" s="19"/>
      <c r="E1390" s="22"/>
      <c r="F1390" s="19"/>
      <c r="G1390" s="26" t="str">
        <f aca="false">IF(D1390="","",IFERROR(VALUE(LEFT(D1390,FIND(" |",D1390&amp;" |")-1)),"?"))</f>
        <v/>
      </c>
      <c r="H1390" s="27" t="str">
        <f aca="false">IF(G1390="","",IF(G1390="?","⚠ pub inconnue",IFERROR(INDEX(Pubs!$B$2:$B$3001,MATCH(G1390,Pubs!$A$2:$A$3001,0))&amp;"","⚠ pub inconnue")))</f>
        <v/>
      </c>
      <c r="I1390" s="27" t="str">
        <f aca="false">IF(OR(G1390="",G1390="?"),"",IFERROR(INDEX(Pubs!$C$2:$C$3001,MATCH(G1390,Pubs!$A$2:$A$3001,0))&amp;"",""))</f>
        <v/>
      </c>
      <c r="J1390" s="27" t="str">
        <f aca="false">IF(OR(G1390="",G1390="?"),"",IFERROR(INDEX(Pubs!$G$2:$G$3001,MATCH(G1390,Pubs!$A$2:$A$3001,0))&amp;"",""))</f>
        <v/>
      </c>
      <c r="K1390" s="28" t="str">
        <f aca="false">IF(OR(G1390="",G1390="?"),"",IFERROR(INDEX(Pubs!$E$2:$E$3001,MATCH(G1390,Pubs!$A$2:$A$3001,0)),""))</f>
        <v/>
      </c>
      <c r="L1390" s="29" t="str">
        <f aca="false">IF(A1390="","",IFERROR(1/(1/INDEX(Numéros!$C$2:$C$3001,MATCH(A1390&amp;"|"&amp;B1390,Numéros!$F$2:$F$3001,0))),""))</f>
        <v/>
      </c>
      <c r="M1390" s="27" t="str">
        <f aca="false">IF(OR(G1390="",G1390="?"),"",IFERROR(INDEX(Pubs!$D$2:$D$3001,MATCH(G1390,Pubs!$A$2:$A$3001,0))&amp;"",""))</f>
        <v/>
      </c>
      <c r="N1390" s="27" t="n">
        <f aca="false">N(N1389)+IF(AND(A1390&lt;&gt;"",OR(Recherche!$C$4="",A1390=Recherche!$C$4),OR(Recherche!$C$5="",B1390&amp;""=Recherche!$C$5&amp;""),OR(Recherche!$C$6="",IFERROR(YEAR(L1390),0)=Recherche!$C$6),OR(Recherche!$C$7="",ISNUMBER(SEARCH(Recherche!$C$7,H1390))),OR(Recherche!$C$8="",J1390=Recherche!$C$8),OR(Recherche!$C$9="",I1390=Recherche!$C$9),OR(Recherche!$C$10="",G1390&amp;""=Recherche!$C$10&amp;""),OR(Recherche!$C$11="",E1390=Recherche!$C$11),OR(Recherche!$C$12="",ISNUMBER(SEARCH(Recherche!$C$12,M1390&amp;" "&amp;F1390)))),1,0)</f>
        <v>8</v>
      </c>
    </row>
    <row r="1391" customFormat="false" ht="15" hidden="false" customHeight="false" outlineLevel="0" collapsed="false">
      <c r="A1391" s="19"/>
      <c r="B1391" s="19"/>
      <c r="C1391" s="19"/>
      <c r="D1391" s="19"/>
      <c r="E1391" s="22"/>
      <c r="F1391" s="19"/>
      <c r="G1391" s="26" t="str">
        <f aca="false">IF(D1391="","",IFERROR(VALUE(LEFT(D1391,FIND(" |",D1391&amp;" |")-1)),"?"))</f>
        <v/>
      </c>
      <c r="H1391" s="27" t="str">
        <f aca="false">IF(G1391="","",IF(G1391="?","⚠ pub inconnue",IFERROR(INDEX(Pubs!$B$2:$B$3001,MATCH(G1391,Pubs!$A$2:$A$3001,0))&amp;"","⚠ pub inconnue")))</f>
        <v/>
      </c>
      <c r="I1391" s="27" t="str">
        <f aca="false">IF(OR(G1391="",G1391="?"),"",IFERROR(INDEX(Pubs!$C$2:$C$3001,MATCH(G1391,Pubs!$A$2:$A$3001,0))&amp;"",""))</f>
        <v/>
      </c>
      <c r="J1391" s="27" t="str">
        <f aca="false">IF(OR(G1391="",G1391="?"),"",IFERROR(INDEX(Pubs!$G$2:$G$3001,MATCH(G1391,Pubs!$A$2:$A$3001,0))&amp;"",""))</f>
        <v/>
      </c>
      <c r="K1391" s="28" t="str">
        <f aca="false">IF(OR(G1391="",G1391="?"),"",IFERROR(INDEX(Pubs!$E$2:$E$3001,MATCH(G1391,Pubs!$A$2:$A$3001,0)),""))</f>
        <v/>
      </c>
      <c r="L1391" s="29" t="str">
        <f aca="false">IF(A1391="","",IFERROR(1/(1/INDEX(Numéros!$C$2:$C$3001,MATCH(A1391&amp;"|"&amp;B1391,Numéros!$F$2:$F$3001,0))),""))</f>
        <v/>
      </c>
      <c r="M1391" s="27" t="str">
        <f aca="false">IF(OR(G1391="",G1391="?"),"",IFERROR(INDEX(Pubs!$D$2:$D$3001,MATCH(G1391,Pubs!$A$2:$A$3001,0))&amp;"",""))</f>
        <v/>
      </c>
      <c r="N1391" s="27" t="n">
        <f aca="false">N(N1390)+IF(AND(A1391&lt;&gt;"",OR(Recherche!$C$4="",A1391=Recherche!$C$4),OR(Recherche!$C$5="",B1391&amp;""=Recherche!$C$5&amp;""),OR(Recherche!$C$6="",IFERROR(YEAR(L1391),0)=Recherche!$C$6),OR(Recherche!$C$7="",ISNUMBER(SEARCH(Recherche!$C$7,H1391))),OR(Recherche!$C$8="",J1391=Recherche!$C$8),OR(Recherche!$C$9="",I1391=Recherche!$C$9),OR(Recherche!$C$10="",G1391&amp;""=Recherche!$C$10&amp;""),OR(Recherche!$C$11="",E1391=Recherche!$C$11),OR(Recherche!$C$12="",ISNUMBER(SEARCH(Recherche!$C$12,M1391&amp;" "&amp;F1391)))),1,0)</f>
        <v>8</v>
      </c>
    </row>
    <row r="1392" customFormat="false" ht="15" hidden="false" customHeight="false" outlineLevel="0" collapsed="false">
      <c r="A1392" s="19"/>
      <c r="B1392" s="19"/>
      <c r="C1392" s="19"/>
      <c r="D1392" s="19"/>
      <c r="E1392" s="22"/>
      <c r="F1392" s="19"/>
      <c r="G1392" s="26" t="str">
        <f aca="false">IF(D1392="","",IFERROR(VALUE(LEFT(D1392,FIND(" |",D1392&amp;" |")-1)),"?"))</f>
        <v/>
      </c>
      <c r="H1392" s="27" t="str">
        <f aca="false">IF(G1392="","",IF(G1392="?","⚠ pub inconnue",IFERROR(INDEX(Pubs!$B$2:$B$3001,MATCH(G1392,Pubs!$A$2:$A$3001,0))&amp;"","⚠ pub inconnue")))</f>
        <v/>
      </c>
      <c r="I1392" s="27" t="str">
        <f aca="false">IF(OR(G1392="",G1392="?"),"",IFERROR(INDEX(Pubs!$C$2:$C$3001,MATCH(G1392,Pubs!$A$2:$A$3001,0))&amp;"",""))</f>
        <v/>
      </c>
      <c r="J1392" s="27" t="str">
        <f aca="false">IF(OR(G1392="",G1392="?"),"",IFERROR(INDEX(Pubs!$G$2:$G$3001,MATCH(G1392,Pubs!$A$2:$A$3001,0))&amp;"",""))</f>
        <v/>
      </c>
      <c r="K1392" s="28" t="str">
        <f aca="false">IF(OR(G1392="",G1392="?"),"",IFERROR(INDEX(Pubs!$E$2:$E$3001,MATCH(G1392,Pubs!$A$2:$A$3001,0)),""))</f>
        <v/>
      </c>
      <c r="L1392" s="29" t="str">
        <f aca="false">IF(A1392="","",IFERROR(1/(1/INDEX(Numéros!$C$2:$C$3001,MATCH(A1392&amp;"|"&amp;B1392,Numéros!$F$2:$F$3001,0))),""))</f>
        <v/>
      </c>
      <c r="M1392" s="27" t="str">
        <f aca="false">IF(OR(G1392="",G1392="?"),"",IFERROR(INDEX(Pubs!$D$2:$D$3001,MATCH(G1392,Pubs!$A$2:$A$3001,0))&amp;"",""))</f>
        <v/>
      </c>
      <c r="N1392" s="27" t="n">
        <f aca="false">N(N1391)+IF(AND(A1392&lt;&gt;"",OR(Recherche!$C$4="",A1392=Recherche!$C$4),OR(Recherche!$C$5="",B1392&amp;""=Recherche!$C$5&amp;""),OR(Recherche!$C$6="",IFERROR(YEAR(L1392),0)=Recherche!$C$6),OR(Recherche!$C$7="",ISNUMBER(SEARCH(Recherche!$C$7,H1392))),OR(Recherche!$C$8="",J1392=Recherche!$C$8),OR(Recherche!$C$9="",I1392=Recherche!$C$9),OR(Recherche!$C$10="",G1392&amp;""=Recherche!$C$10&amp;""),OR(Recherche!$C$11="",E1392=Recherche!$C$11),OR(Recherche!$C$12="",ISNUMBER(SEARCH(Recherche!$C$12,M1392&amp;" "&amp;F1392)))),1,0)</f>
        <v>8</v>
      </c>
    </row>
    <row r="1393" customFormat="false" ht="15" hidden="false" customHeight="false" outlineLevel="0" collapsed="false">
      <c r="A1393" s="19"/>
      <c r="B1393" s="19"/>
      <c r="C1393" s="19"/>
      <c r="D1393" s="19"/>
      <c r="E1393" s="22"/>
      <c r="F1393" s="19"/>
      <c r="G1393" s="26" t="str">
        <f aca="false">IF(D1393="","",IFERROR(VALUE(LEFT(D1393,FIND(" |",D1393&amp;" |")-1)),"?"))</f>
        <v/>
      </c>
      <c r="H1393" s="27" t="str">
        <f aca="false">IF(G1393="","",IF(G1393="?","⚠ pub inconnue",IFERROR(INDEX(Pubs!$B$2:$B$3001,MATCH(G1393,Pubs!$A$2:$A$3001,0))&amp;"","⚠ pub inconnue")))</f>
        <v/>
      </c>
      <c r="I1393" s="27" t="str">
        <f aca="false">IF(OR(G1393="",G1393="?"),"",IFERROR(INDEX(Pubs!$C$2:$C$3001,MATCH(G1393,Pubs!$A$2:$A$3001,0))&amp;"",""))</f>
        <v/>
      </c>
      <c r="J1393" s="27" t="str">
        <f aca="false">IF(OR(G1393="",G1393="?"),"",IFERROR(INDEX(Pubs!$G$2:$G$3001,MATCH(G1393,Pubs!$A$2:$A$3001,0))&amp;"",""))</f>
        <v/>
      </c>
      <c r="K1393" s="28" t="str">
        <f aca="false">IF(OR(G1393="",G1393="?"),"",IFERROR(INDEX(Pubs!$E$2:$E$3001,MATCH(G1393,Pubs!$A$2:$A$3001,0)),""))</f>
        <v/>
      </c>
      <c r="L1393" s="29" t="str">
        <f aca="false">IF(A1393="","",IFERROR(1/(1/INDEX(Numéros!$C$2:$C$3001,MATCH(A1393&amp;"|"&amp;B1393,Numéros!$F$2:$F$3001,0))),""))</f>
        <v/>
      </c>
      <c r="M1393" s="27" t="str">
        <f aca="false">IF(OR(G1393="",G1393="?"),"",IFERROR(INDEX(Pubs!$D$2:$D$3001,MATCH(G1393,Pubs!$A$2:$A$3001,0))&amp;"",""))</f>
        <v/>
      </c>
      <c r="N1393" s="27" t="n">
        <f aca="false">N(N1392)+IF(AND(A1393&lt;&gt;"",OR(Recherche!$C$4="",A1393=Recherche!$C$4),OR(Recherche!$C$5="",B1393&amp;""=Recherche!$C$5&amp;""),OR(Recherche!$C$6="",IFERROR(YEAR(L1393),0)=Recherche!$C$6),OR(Recherche!$C$7="",ISNUMBER(SEARCH(Recherche!$C$7,H1393))),OR(Recherche!$C$8="",J1393=Recherche!$C$8),OR(Recherche!$C$9="",I1393=Recherche!$C$9),OR(Recherche!$C$10="",G1393&amp;""=Recherche!$C$10&amp;""),OR(Recherche!$C$11="",E1393=Recherche!$C$11),OR(Recherche!$C$12="",ISNUMBER(SEARCH(Recherche!$C$12,M1393&amp;" "&amp;F1393)))),1,0)</f>
        <v>8</v>
      </c>
    </row>
    <row r="1394" customFormat="false" ht="15" hidden="false" customHeight="false" outlineLevel="0" collapsed="false">
      <c r="A1394" s="19"/>
      <c r="B1394" s="19"/>
      <c r="C1394" s="19"/>
      <c r="D1394" s="19"/>
      <c r="E1394" s="22"/>
      <c r="F1394" s="19"/>
      <c r="G1394" s="26" t="str">
        <f aca="false">IF(D1394="","",IFERROR(VALUE(LEFT(D1394,FIND(" |",D1394&amp;" |")-1)),"?"))</f>
        <v/>
      </c>
      <c r="H1394" s="27" t="str">
        <f aca="false">IF(G1394="","",IF(G1394="?","⚠ pub inconnue",IFERROR(INDEX(Pubs!$B$2:$B$3001,MATCH(G1394,Pubs!$A$2:$A$3001,0))&amp;"","⚠ pub inconnue")))</f>
        <v/>
      </c>
      <c r="I1394" s="27" t="str">
        <f aca="false">IF(OR(G1394="",G1394="?"),"",IFERROR(INDEX(Pubs!$C$2:$C$3001,MATCH(G1394,Pubs!$A$2:$A$3001,0))&amp;"",""))</f>
        <v/>
      </c>
      <c r="J1394" s="27" t="str">
        <f aca="false">IF(OR(G1394="",G1394="?"),"",IFERROR(INDEX(Pubs!$G$2:$G$3001,MATCH(G1394,Pubs!$A$2:$A$3001,0))&amp;"",""))</f>
        <v/>
      </c>
      <c r="K1394" s="28" t="str">
        <f aca="false">IF(OR(G1394="",G1394="?"),"",IFERROR(INDEX(Pubs!$E$2:$E$3001,MATCH(G1394,Pubs!$A$2:$A$3001,0)),""))</f>
        <v/>
      </c>
      <c r="L1394" s="29" t="str">
        <f aca="false">IF(A1394="","",IFERROR(1/(1/INDEX(Numéros!$C$2:$C$3001,MATCH(A1394&amp;"|"&amp;B1394,Numéros!$F$2:$F$3001,0))),""))</f>
        <v/>
      </c>
      <c r="M1394" s="27" t="str">
        <f aca="false">IF(OR(G1394="",G1394="?"),"",IFERROR(INDEX(Pubs!$D$2:$D$3001,MATCH(G1394,Pubs!$A$2:$A$3001,0))&amp;"",""))</f>
        <v/>
      </c>
      <c r="N1394" s="27" t="n">
        <f aca="false">N(N1393)+IF(AND(A1394&lt;&gt;"",OR(Recherche!$C$4="",A1394=Recherche!$C$4),OR(Recherche!$C$5="",B1394&amp;""=Recherche!$C$5&amp;""),OR(Recherche!$C$6="",IFERROR(YEAR(L1394),0)=Recherche!$C$6),OR(Recherche!$C$7="",ISNUMBER(SEARCH(Recherche!$C$7,H1394))),OR(Recherche!$C$8="",J1394=Recherche!$C$8),OR(Recherche!$C$9="",I1394=Recherche!$C$9),OR(Recherche!$C$10="",G1394&amp;""=Recherche!$C$10&amp;""),OR(Recherche!$C$11="",E1394=Recherche!$C$11),OR(Recherche!$C$12="",ISNUMBER(SEARCH(Recherche!$C$12,M1394&amp;" "&amp;F1394)))),1,0)</f>
        <v>8</v>
      </c>
    </row>
    <row r="1395" customFormat="false" ht="15" hidden="false" customHeight="false" outlineLevel="0" collapsed="false">
      <c r="A1395" s="19"/>
      <c r="B1395" s="19"/>
      <c r="C1395" s="19"/>
      <c r="D1395" s="19"/>
      <c r="E1395" s="22"/>
      <c r="F1395" s="19"/>
      <c r="G1395" s="26" t="str">
        <f aca="false">IF(D1395="","",IFERROR(VALUE(LEFT(D1395,FIND(" |",D1395&amp;" |")-1)),"?"))</f>
        <v/>
      </c>
      <c r="H1395" s="27" t="str">
        <f aca="false">IF(G1395="","",IF(G1395="?","⚠ pub inconnue",IFERROR(INDEX(Pubs!$B$2:$B$3001,MATCH(G1395,Pubs!$A$2:$A$3001,0))&amp;"","⚠ pub inconnue")))</f>
        <v/>
      </c>
      <c r="I1395" s="27" t="str">
        <f aca="false">IF(OR(G1395="",G1395="?"),"",IFERROR(INDEX(Pubs!$C$2:$C$3001,MATCH(G1395,Pubs!$A$2:$A$3001,0))&amp;"",""))</f>
        <v/>
      </c>
      <c r="J1395" s="27" t="str">
        <f aca="false">IF(OR(G1395="",G1395="?"),"",IFERROR(INDEX(Pubs!$G$2:$G$3001,MATCH(G1395,Pubs!$A$2:$A$3001,0))&amp;"",""))</f>
        <v/>
      </c>
      <c r="K1395" s="28" t="str">
        <f aca="false">IF(OR(G1395="",G1395="?"),"",IFERROR(INDEX(Pubs!$E$2:$E$3001,MATCH(G1395,Pubs!$A$2:$A$3001,0)),""))</f>
        <v/>
      </c>
      <c r="L1395" s="29" t="str">
        <f aca="false">IF(A1395="","",IFERROR(1/(1/INDEX(Numéros!$C$2:$C$3001,MATCH(A1395&amp;"|"&amp;B1395,Numéros!$F$2:$F$3001,0))),""))</f>
        <v/>
      </c>
      <c r="M1395" s="27" t="str">
        <f aca="false">IF(OR(G1395="",G1395="?"),"",IFERROR(INDEX(Pubs!$D$2:$D$3001,MATCH(G1395,Pubs!$A$2:$A$3001,0))&amp;"",""))</f>
        <v/>
      </c>
      <c r="N1395" s="27" t="n">
        <f aca="false">N(N1394)+IF(AND(A1395&lt;&gt;"",OR(Recherche!$C$4="",A1395=Recherche!$C$4),OR(Recherche!$C$5="",B1395&amp;""=Recherche!$C$5&amp;""),OR(Recherche!$C$6="",IFERROR(YEAR(L1395),0)=Recherche!$C$6),OR(Recherche!$C$7="",ISNUMBER(SEARCH(Recherche!$C$7,H1395))),OR(Recherche!$C$8="",J1395=Recherche!$C$8),OR(Recherche!$C$9="",I1395=Recherche!$C$9),OR(Recherche!$C$10="",G1395&amp;""=Recherche!$C$10&amp;""),OR(Recherche!$C$11="",E1395=Recherche!$C$11),OR(Recherche!$C$12="",ISNUMBER(SEARCH(Recherche!$C$12,M1395&amp;" "&amp;F1395)))),1,0)</f>
        <v>8</v>
      </c>
    </row>
    <row r="1396" customFormat="false" ht="15" hidden="false" customHeight="false" outlineLevel="0" collapsed="false">
      <c r="A1396" s="19"/>
      <c r="B1396" s="19"/>
      <c r="C1396" s="19"/>
      <c r="D1396" s="19"/>
      <c r="E1396" s="22"/>
      <c r="F1396" s="19"/>
      <c r="G1396" s="26" t="str">
        <f aca="false">IF(D1396="","",IFERROR(VALUE(LEFT(D1396,FIND(" |",D1396&amp;" |")-1)),"?"))</f>
        <v/>
      </c>
      <c r="H1396" s="27" t="str">
        <f aca="false">IF(G1396="","",IF(G1396="?","⚠ pub inconnue",IFERROR(INDEX(Pubs!$B$2:$B$3001,MATCH(G1396,Pubs!$A$2:$A$3001,0))&amp;"","⚠ pub inconnue")))</f>
        <v/>
      </c>
      <c r="I1396" s="27" t="str">
        <f aca="false">IF(OR(G1396="",G1396="?"),"",IFERROR(INDEX(Pubs!$C$2:$C$3001,MATCH(G1396,Pubs!$A$2:$A$3001,0))&amp;"",""))</f>
        <v/>
      </c>
      <c r="J1396" s="27" t="str">
        <f aca="false">IF(OR(G1396="",G1396="?"),"",IFERROR(INDEX(Pubs!$G$2:$G$3001,MATCH(G1396,Pubs!$A$2:$A$3001,0))&amp;"",""))</f>
        <v/>
      </c>
      <c r="K1396" s="28" t="str">
        <f aca="false">IF(OR(G1396="",G1396="?"),"",IFERROR(INDEX(Pubs!$E$2:$E$3001,MATCH(G1396,Pubs!$A$2:$A$3001,0)),""))</f>
        <v/>
      </c>
      <c r="L1396" s="29" t="str">
        <f aca="false">IF(A1396="","",IFERROR(1/(1/INDEX(Numéros!$C$2:$C$3001,MATCH(A1396&amp;"|"&amp;B1396,Numéros!$F$2:$F$3001,0))),""))</f>
        <v/>
      </c>
      <c r="M1396" s="27" t="str">
        <f aca="false">IF(OR(G1396="",G1396="?"),"",IFERROR(INDEX(Pubs!$D$2:$D$3001,MATCH(G1396,Pubs!$A$2:$A$3001,0))&amp;"",""))</f>
        <v/>
      </c>
      <c r="N1396" s="27" t="n">
        <f aca="false">N(N1395)+IF(AND(A1396&lt;&gt;"",OR(Recherche!$C$4="",A1396=Recherche!$C$4),OR(Recherche!$C$5="",B1396&amp;""=Recherche!$C$5&amp;""),OR(Recherche!$C$6="",IFERROR(YEAR(L1396),0)=Recherche!$C$6),OR(Recherche!$C$7="",ISNUMBER(SEARCH(Recherche!$C$7,H1396))),OR(Recherche!$C$8="",J1396=Recherche!$C$8),OR(Recherche!$C$9="",I1396=Recherche!$C$9),OR(Recherche!$C$10="",G1396&amp;""=Recherche!$C$10&amp;""),OR(Recherche!$C$11="",E1396=Recherche!$C$11),OR(Recherche!$C$12="",ISNUMBER(SEARCH(Recherche!$C$12,M1396&amp;" "&amp;F1396)))),1,0)</f>
        <v>8</v>
      </c>
    </row>
    <row r="1397" customFormat="false" ht="15" hidden="false" customHeight="false" outlineLevel="0" collapsed="false">
      <c r="A1397" s="19"/>
      <c r="B1397" s="19"/>
      <c r="C1397" s="19"/>
      <c r="D1397" s="19"/>
      <c r="E1397" s="22"/>
      <c r="F1397" s="19"/>
      <c r="G1397" s="26" t="str">
        <f aca="false">IF(D1397="","",IFERROR(VALUE(LEFT(D1397,FIND(" |",D1397&amp;" |")-1)),"?"))</f>
        <v/>
      </c>
      <c r="H1397" s="27" t="str">
        <f aca="false">IF(G1397="","",IF(G1397="?","⚠ pub inconnue",IFERROR(INDEX(Pubs!$B$2:$B$3001,MATCH(G1397,Pubs!$A$2:$A$3001,0))&amp;"","⚠ pub inconnue")))</f>
        <v/>
      </c>
      <c r="I1397" s="27" t="str">
        <f aca="false">IF(OR(G1397="",G1397="?"),"",IFERROR(INDEX(Pubs!$C$2:$C$3001,MATCH(G1397,Pubs!$A$2:$A$3001,0))&amp;"",""))</f>
        <v/>
      </c>
      <c r="J1397" s="27" t="str">
        <f aca="false">IF(OR(G1397="",G1397="?"),"",IFERROR(INDEX(Pubs!$G$2:$G$3001,MATCH(G1397,Pubs!$A$2:$A$3001,0))&amp;"",""))</f>
        <v/>
      </c>
      <c r="K1397" s="28" t="str">
        <f aca="false">IF(OR(G1397="",G1397="?"),"",IFERROR(INDEX(Pubs!$E$2:$E$3001,MATCH(G1397,Pubs!$A$2:$A$3001,0)),""))</f>
        <v/>
      </c>
      <c r="L1397" s="29" t="str">
        <f aca="false">IF(A1397="","",IFERROR(1/(1/INDEX(Numéros!$C$2:$C$3001,MATCH(A1397&amp;"|"&amp;B1397,Numéros!$F$2:$F$3001,0))),""))</f>
        <v/>
      </c>
      <c r="M1397" s="27" t="str">
        <f aca="false">IF(OR(G1397="",G1397="?"),"",IFERROR(INDEX(Pubs!$D$2:$D$3001,MATCH(G1397,Pubs!$A$2:$A$3001,0))&amp;"",""))</f>
        <v/>
      </c>
      <c r="N1397" s="27" t="n">
        <f aca="false">N(N1396)+IF(AND(A1397&lt;&gt;"",OR(Recherche!$C$4="",A1397=Recherche!$C$4),OR(Recherche!$C$5="",B1397&amp;""=Recherche!$C$5&amp;""),OR(Recherche!$C$6="",IFERROR(YEAR(L1397),0)=Recherche!$C$6),OR(Recherche!$C$7="",ISNUMBER(SEARCH(Recherche!$C$7,H1397))),OR(Recherche!$C$8="",J1397=Recherche!$C$8),OR(Recherche!$C$9="",I1397=Recherche!$C$9),OR(Recherche!$C$10="",G1397&amp;""=Recherche!$C$10&amp;""),OR(Recherche!$C$11="",E1397=Recherche!$C$11),OR(Recherche!$C$12="",ISNUMBER(SEARCH(Recherche!$C$12,M1397&amp;" "&amp;F1397)))),1,0)</f>
        <v>8</v>
      </c>
    </row>
    <row r="1398" customFormat="false" ht="15" hidden="false" customHeight="false" outlineLevel="0" collapsed="false">
      <c r="A1398" s="19"/>
      <c r="B1398" s="19"/>
      <c r="C1398" s="19"/>
      <c r="D1398" s="19"/>
      <c r="E1398" s="22"/>
      <c r="F1398" s="19"/>
      <c r="G1398" s="26" t="str">
        <f aca="false">IF(D1398="","",IFERROR(VALUE(LEFT(D1398,FIND(" |",D1398&amp;" |")-1)),"?"))</f>
        <v/>
      </c>
      <c r="H1398" s="27" t="str">
        <f aca="false">IF(G1398="","",IF(G1398="?","⚠ pub inconnue",IFERROR(INDEX(Pubs!$B$2:$B$3001,MATCH(G1398,Pubs!$A$2:$A$3001,0))&amp;"","⚠ pub inconnue")))</f>
        <v/>
      </c>
      <c r="I1398" s="27" t="str">
        <f aca="false">IF(OR(G1398="",G1398="?"),"",IFERROR(INDEX(Pubs!$C$2:$C$3001,MATCH(G1398,Pubs!$A$2:$A$3001,0))&amp;"",""))</f>
        <v/>
      </c>
      <c r="J1398" s="27" t="str">
        <f aca="false">IF(OR(G1398="",G1398="?"),"",IFERROR(INDEX(Pubs!$G$2:$G$3001,MATCH(G1398,Pubs!$A$2:$A$3001,0))&amp;"",""))</f>
        <v/>
      </c>
      <c r="K1398" s="28" t="str">
        <f aca="false">IF(OR(G1398="",G1398="?"),"",IFERROR(INDEX(Pubs!$E$2:$E$3001,MATCH(G1398,Pubs!$A$2:$A$3001,0)),""))</f>
        <v/>
      </c>
      <c r="L1398" s="29" t="str">
        <f aca="false">IF(A1398="","",IFERROR(1/(1/INDEX(Numéros!$C$2:$C$3001,MATCH(A1398&amp;"|"&amp;B1398,Numéros!$F$2:$F$3001,0))),""))</f>
        <v/>
      </c>
      <c r="M1398" s="27" t="str">
        <f aca="false">IF(OR(G1398="",G1398="?"),"",IFERROR(INDEX(Pubs!$D$2:$D$3001,MATCH(G1398,Pubs!$A$2:$A$3001,0))&amp;"",""))</f>
        <v/>
      </c>
      <c r="N1398" s="27" t="n">
        <f aca="false">N(N1397)+IF(AND(A1398&lt;&gt;"",OR(Recherche!$C$4="",A1398=Recherche!$C$4),OR(Recherche!$C$5="",B1398&amp;""=Recherche!$C$5&amp;""),OR(Recherche!$C$6="",IFERROR(YEAR(L1398),0)=Recherche!$C$6),OR(Recherche!$C$7="",ISNUMBER(SEARCH(Recherche!$C$7,H1398))),OR(Recherche!$C$8="",J1398=Recherche!$C$8),OR(Recherche!$C$9="",I1398=Recherche!$C$9),OR(Recherche!$C$10="",G1398&amp;""=Recherche!$C$10&amp;""),OR(Recherche!$C$11="",E1398=Recherche!$C$11),OR(Recherche!$C$12="",ISNUMBER(SEARCH(Recherche!$C$12,M1398&amp;" "&amp;F1398)))),1,0)</f>
        <v>8</v>
      </c>
    </row>
    <row r="1399" customFormat="false" ht="15" hidden="false" customHeight="false" outlineLevel="0" collapsed="false">
      <c r="A1399" s="19"/>
      <c r="B1399" s="19"/>
      <c r="C1399" s="19"/>
      <c r="D1399" s="19"/>
      <c r="E1399" s="22"/>
      <c r="F1399" s="19"/>
      <c r="G1399" s="26" t="str">
        <f aca="false">IF(D1399="","",IFERROR(VALUE(LEFT(D1399,FIND(" |",D1399&amp;" |")-1)),"?"))</f>
        <v/>
      </c>
      <c r="H1399" s="27" t="str">
        <f aca="false">IF(G1399="","",IF(G1399="?","⚠ pub inconnue",IFERROR(INDEX(Pubs!$B$2:$B$3001,MATCH(G1399,Pubs!$A$2:$A$3001,0))&amp;"","⚠ pub inconnue")))</f>
        <v/>
      </c>
      <c r="I1399" s="27" t="str">
        <f aca="false">IF(OR(G1399="",G1399="?"),"",IFERROR(INDEX(Pubs!$C$2:$C$3001,MATCH(G1399,Pubs!$A$2:$A$3001,0))&amp;"",""))</f>
        <v/>
      </c>
      <c r="J1399" s="27" t="str">
        <f aca="false">IF(OR(G1399="",G1399="?"),"",IFERROR(INDEX(Pubs!$G$2:$G$3001,MATCH(G1399,Pubs!$A$2:$A$3001,0))&amp;"",""))</f>
        <v/>
      </c>
      <c r="K1399" s="28" t="str">
        <f aca="false">IF(OR(G1399="",G1399="?"),"",IFERROR(INDEX(Pubs!$E$2:$E$3001,MATCH(G1399,Pubs!$A$2:$A$3001,0)),""))</f>
        <v/>
      </c>
      <c r="L1399" s="29" t="str">
        <f aca="false">IF(A1399="","",IFERROR(1/(1/INDEX(Numéros!$C$2:$C$3001,MATCH(A1399&amp;"|"&amp;B1399,Numéros!$F$2:$F$3001,0))),""))</f>
        <v/>
      </c>
      <c r="M1399" s="27" t="str">
        <f aca="false">IF(OR(G1399="",G1399="?"),"",IFERROR(INDEX(Pubs!$D$2:$D$3001,MATCH(G1399,Pubs!$A$2:$A$3001,0))&amp;"",""))</f>
        <v/>
      </c>
      <c r="N1399" s="27" t="n">
        <f aca="false">N(N1398)+IF(AND(A1399&lt;&gt;"",OR(Recherche!$C$4="",A1399=Recherche!$C$4),OR(Recherche!$C$5="",B1399&amp;""=Recherche!$C$5&amp;""),OR(Recherche!$C$6="",IFERROR(YEAR(L1399),0)=Recherche!$C$6),OR(Recherche!$C$7="",ISNUMBER(SEARCH(Recherche!$C$7,H1399))),OR(Recherche!$C$8="",J1399=Recherche!$C$8),OR(Recherche!$C$9="",I1399=Recherche!$C$9),OR(Recherche!$C$10="",G1399&amp;""=Recherche!$C$10&amp;""),OR(Recherche!$C$11="",E1399=Recherche!$C$11),OR(Recherche!$C$12="",ISNUMBER(SEARCH(Recherche!$C$12,M1399&amp;" "&amp;F1399)))),1,0)</f>
        <v>8</v>
      </c>
    </row>
    <row r="1400" customFormat="false" ht="15" hidden="false" customHeight="false" outlineLevel="0" collapsed="false">
      <c r="A1400" s="19"/>
      <c r="B1400" s="19"/>
      <c r="C1400" s="19"/>
      <c r="D1400" s="19"/>
      <c r="E1400" s="22"/>
      <c r="F1400" s="19"/>
      <c r="G1400" s="26" t="str">
        <f aca="false">IF(D1400="","",IFERROR(VALUE(LEFT(D1400,FIND(" |",D1400&amp;" |")-1)),"?"))</f>
        <v/>
      </c>
      <c r="H1400" s="27" t="str">
        <f aca="false">IF(G1400="","",IF(G1400="?","⚠ pub inconnue",IFERROR(INDEX(Pubs!$B$2:$B$3001,MATCH(G1400,Pubs!$A$2:$A$3001,0))&amp;"","⚠ pub inconnue")))</f>
        <v/>
      </c>
      <c r="I1400" s="27" t="str">
        <f aca="false">IF(OR(G1400="",G1400="?"),"",IFERROR(INDEX(Pubs!$C$2:$C$3001,MATCH(G1400,Pubs!$A$2:$A$3001,0))&amp;"",""))</f>
        <v/>
      </c>
      <c r="J1400" s="27" t="str">
        <f aca="false">IF(OR(G1400="",G1400="?"),"",IFERROR(INDEX(Pubs!$G$2:$G$3001,MATCH(G1400,Pubs!$A$2:$A$3001,0))&amp;"",""))</f>
        <v/>
      </c>
      <c r="K1400" s="28" t="str">
        <f aca="false">IF(OR(G1400="",G1400="?"),"",IFERROR(INDEX(Pubs!$E$2:$E$3001,MATCH(G1400,Pubs!$A$2:$A$3001,0)),""))</f>
        <v/>
      </c>
      <c r="L1400" s="29" t="str">
        <f aca="false">IF(A1400="","",IFERROR(1/(1/INDEX(Numéros!$C$2:$C$3001,MATCH(A1400&amp;"|"&amp;B1400,Numéros!$F$2:$F$3001,0))),""))</f>
        <v/>
      </c>
      <c r="M1400" s="27" t="str">
        <f aca="false">IF(OR(G1400="",G1400="?"),"",IFERROR(INDEX(Pubs!$D$2:$D$3001,MATCH(G1400,Pubs!$A$2:$A$3001,0))&amp;"",""))</f>
        <v/>
      </c>
      <c r="N1400" s="27" t="n">
        <f aca="false">N(N1399)+IF(AND(A1400&lt;&gt;"",OR(Recherche!$C$4="",A1400=Recherche!$C$4),OR(Recherche!$C$5="",B1400&amp;""=Recherche!$C$5&amp;""),OR(Recherche!$C$6="",IFERROR(YEAR(L1400),0)=Recherche!$C$6),OR(Recherche!$C$7="",ISNUMBER(SEARCH(Recherche!$C$7,H1400))),OR(Recherche!$C$8="",J1400=Recherche!$C$8),OR(Recherche!$C$9="",I1400=Recherche!$C$9),OR(Recherche!$C$10="",G1400&amp;""=Recherche!$C$10&amp;""),OR(Recherche!$C$11="",E1400=Recherche!$C$11),OR(Recherche!$C$12="",ISNUMBER(SEARCH(Recherche!$C$12,M1400&amp;" "&amp;F1400)))),1,0)</f>
        <v>8</v>
      </c>
    </row>
    <row r="1401" customFormat="false" ht="15" hidden="false" customHeight="false" outlineLevel="0" collapsed="false">
      <c r="A1401" s="19"/>
      <c r="B1401" s="19"/>
      <c r="C1401" s="19"/>
      <c r="D1401" s="19"/>
      <c r="E1401" s="22"/>
      <c r="F1401" s="19"/>
      <c r="G1401" s="26" t="str">
        <f aca="false">IF(D1401="","",IFERROR(VALUE(LEFT(D1401,FIND(" |",D1401&amp;" |")-1)),"?"))</f>
        <v/>
      </c>
      <c r="H1401" s="27" t="str">
        <f aca="false">IF(G1401="","",IF(G1401="?","⚠ pub inconnue",IFERROR(INDEX(Pubs!$B$2:$B$3001,MATCH(G1401,Pubs!$A$2:$A$3001,0))&amp;"","⚠ pub inconnue")))</f>
        <v/>
      </c>
      <c r="I1401" s="27" t="str">
        <f aca="false">IF(OR(G1401="",G1401="?"),"",IFERROR(INDEX(Pubs!$C$2:$C$3001,MATCH(G1401,Pubs!$A$2:$A$3001,0))&amp;"",""))</f>
        <v/>
      </c>
      <c r="J1401" s="27" t="str">
        <f aca="false">IF(OR(G1401="",G1401="?"),"",IFERROR(INDEX(Pubs!$G$2:$G$3001,MATCH(G1401,Pubs!$A$2:$A$3001,0))&amp;"",""))</f>
        <v/>
      </c>
      <c r="K1401" s="28" t="str">
        <f aca="false">IF(OR(G1401="",G1401="?"),"",IFERROR(INDEX(Pubs!$E$2:$E$3001,MATCH(G1401,Pubs!$A$2:$A$3001,0)),""))</f>
        <v/>
      </c>
      <c r="L1401" s="29" t="str">
        <f aca="false">IF(A1401="","",IFERROR(1/(1/INDEX(Numéros!$C$2:$C$3001,MATCH(A1401&amp;"|"&amp;B1401,Numéros!$F$2:$F$3001,0))),""))</f>
        <v/>
      </c>
      <c r="M1401" s="27" t="str">
        <f aca="false">IF(OR(G1401="",G1401="?"),"",IFERROR(INDEX(Pubs!$D$2:$D$3001,MATCH(G1401,Pubs!$A$2:$A$3001,0))&amp;"",""))</f>
        <v/>
      </c>
      <c r="N1401" s="27" t="n">
        <f aca="false">N(N1400)+IF(AND(A1401&lt;&gt;"",OR(Recherche!$C$4="",A1401=Recherche!$C$4),OR(Recherche!$C$5="",B1401&amp;""=Recherche!$C$5&amp;""),OR(Recherche!$C$6="",IFERROR(YEAR(L1401),0)=Recherche!$C$6),OR(Recherche!$C$7="",ISNUMBER(SEARCH(Recherche!$C$7,H1401))),OR(Recherche!$C$8="",J1401=Recherche!$C$8),OR(Recherche!$C$9="",I1401=Recherche!$C$9),OR(Recherche!$C$10="",G1401&amp;""=Recherche!$C$10&amp;""),OR(Recherche!$C$11="",E1401=Recherche!$C$11),OR(Recherche!$C$12="",ISNUMBER(SEARCH(Recherche!$C$12,M1401&amp;" "&amp;F1401)))),1,0)</f>
        <v>8</v>
      </c>
    </row>
    <row r="1402" customFormat="false" ht="15" hidden="false" customHeight="false" outlineLevel="0" collapsed="false">
      <c r="A1402" s="19"/>
      <c r="B1402" s="19"/>
      <c r="C1402" s="19"/>
      <c r="D1402" s="19"/>
      <c r="E1402" s="22"/>
      <c r="F1402" s="19"/>
      <c r="G1402" s="26" t="str">
        <f aca="false">IF(D1402="","",IFERROR(VALUE(LEFT(D1402,FIND(" |",D1402&amp;" |")-1)),"?"))</f>
        <v/>
      </c>
      <c r="H1402" s="27" t="str">
        <f aca="false">IF(G1402="","",IF(G1402="?","⚠ pub inconnue",IFERROR(INDEX(Pubs!$B$2:$B$3001,MATCH(G1402,Pubs!$A$2:$A$3001,0))&amp;"","⚠ pub inconnue")))</f>
        <v/>
      </c>
      <c r="I1402" s="27" t="str">
        <f aca="false">IF(OR(G1402="",G1402="?"),"",IFERROR(INDEX(Pubs!$C$2:$C$3001,MATCH(G1402,Pubs!$A$2:$A$3001,0))&amp;"",""))</f>
        <v/>
      </c>
      <c r="J1402" s="27" t="str">
        <f aca="false">IF(OR(G1402="",G1402="?"),"",IFERROR(INDEX(Pubs!$G$2:$G$3001,MATCH(G1402,Pubs!$A$2:$A$3001,0))&amp;"",""))</f>
        <v/>
      </c>
      <c r="K1402" s="28" t="str">
        <f aca="false">IF(OR(G1402="",G1402="?"),"",IFERROR(INDEX(Pubs!$E$2:$E$3001,MATCH(G1402,Pubs!$A$2:$A$3001,0)),""))</f>
        <v/>
      </c>
      <c r="L1402" s="29" t="str">
        <f aca="false">IF(A1402="","",IFERROR(1/(1/INDEX(Numéros!$C$2:$C$3001,MATCH(A1402&amp;"|"&amp;B1402,Numéros!$F$2:$F$3001,0))),""))</f>
        <v/>
      </c>
      <c r="M1402" s="27" t="str">
        <f aca="false">IF(OR(G1402="",G1402="?"),"",IFERROR(INDEX(Pubs!$D$2:$D$3001,MATCH(G1402,Pubs!$A$2:$A$3001,0))&amp;"",""))</f>
        <v/>
      </c>
      <c r="N1402" s="27" t="n">
        <f aca="false">N(N1401)+IF(AND(A1402&lt;&gt;"",OR(Recherche!$C$4="",A1402=Recherche!$C$4),OR(Recherche!$C$5="",B1402&amp;""=Recherche!$C$5&amp;""),OR(Recherche!$C$6="",IFERROR(YEAR(L1402),0)=Recherche!$C$6),OR(Recherche!$C$7="",ISNUMBER(SEARCH(Recherche!$C$7,H1402))),OR(Recherche!$C$8="",J1402=Recherche!$C$8),OR(Recherche!$C$9="",I1402=Recherche!$C$9),OR(Recherche!$C$10="",G1402&amp;""=Recherche!$C$10&amp;""),OR(Recherche!$C$11="",E1402=Recherche!$C$11),OR(Recherche!$C$12="",ISNUMBER(SEARCH(Recherche!$C$12,M1402&amp;" "&amp;F1402)))),1,0)</f>
        <v>8</v>
      </c>
    </row>
    <row r="1403" customFormat="false" ht="15" hidden="false" customHeight="false" outlineLevel="0" collapsed="false">
      <c r="A1403" s="19"/>
      <c r="B1403" s="19"/>
      <c r="C1403" s="19"/>
      <c r="D1403" s="19"/>
      <c r="E1403" s="22"/>
      <c r="F1403" s="19"/>
      <c r="G1403" s="26" t="str">
        <f aca="false">IF(D1403="","",IFERROR(VALUE(LEFT(D1403,FIND(" |",D1403&amp;" |")-1)),"?"))</f>
        <v/>
      </c>
      <c r="H1403" s="27" t="str">
        <f aca="false">IF(G1403="","",IF(G1403="?","⚠ pub inconnue",IFERROR(INDEX(Pubs!$B$2:$B$3001,MATCH(G1403,Pubs!$A$2:$A$3001,0))&amp;"","⚠ pub inconnue")))</f>
        <v/>
      </c>
      <c r="I1403" s="27" t="str">
        <f aca="false">IF(OR(G1403="",G1403="?"),"",IFERROR(INDEX(Pubs!$C$2:$C$3001,MATCH(G1403,Pubs!$A$2:$A$3001,0))&amp;"",""))</f>
        <v/>
      </c>
      <c r="J1403" s="27" t="str">
        <f aca="false">IF(OR(G1403="",G1403="?"),"",IFERROR(INDEX(Pubs!$G$2:$G$3001,MATCH(G1403,Pubs!$A$2:$A$3001,0))&amp;"",""))</f>
        <v/>
      </c>
      <c r="K1403" s="28" t="str">
        <f aca="false">IF(OR(G1403="",G1403="?"),"",IFERROR(INDEX(Pubs!$E$2:$E$3001,MATCH(G1403,Pubs!$A$2:$A$3001,0)),""))</f>
        <v/>
      </c>
      <c r="L1403" s="29" t="str">
        <f aca="false">IF(A1403="","",IFERROR(1/(1/INDEX(Numéros!$C$2:$C$3001,MATCH(A1403&amp;"|"&amp;B1403,Numéros!$F$2:$F$3001,0))),""))</f>
        <v/>
      </c>
      <c r="M1403" s="27" t="str">
        <f aca="false">IF(OR(G1403="",G1403="?"),"",IFERROR(INDEX(Pubs!$D$2:$D$3001,MATCH(G1403,Pubs!$A$2:$A$3001,0))&amp;"",""))</f>
        <v/>
      </c>
      <c r="N1403" s="27" t="n">
        <f aca="false">N(N1402)+IF(AND(A1403&lt;&gt;"",OR(Recherche!$C$4="",A1403=Recherche!$C$4),OR(Recherche!$C$5="",B1403&amp;""=Recherche!$C$5&amp;""),OR(Recherche!$C$6="",IFERROR(YEAR(L1403),0)=Recherche!$C$6),OR(Recherche!$C$7="",ISNUMBER(SEARCH(Recherche!$C$7,H1403))),OR(Recherche!$C$8="",J1403=Recherche!$C$8),OR(Recherche!$C$9="",I1403=Recherche!$C$9),OR(Recherche!$C$10="",G1403&amp;""=Recherche!$C$10&amp;""),OR(Recherche!$C$11="",E1403=Recherche!$C$11),OR(Recherche!$C$12="",ISNUMBER(SEARCH(Recherche!$C$12,M1403&amp;" "&amp;F1403)))),1,0)</f>
        <v>8</v>
      </c>
    </row>
    <row r="1404" customFormat="false" ht="15" hidden="false" customHeight="false" outlineLevel="0" collapsed="false">
      <c r="A1404" s="19"/>
      <c r="B1404" s="19"/>
      <c r="C1404" s="19"/>
      <c r="D1404" s="19"/>
      <c r="E1404" s="22"/>
      <c r="F1404" s="19"/>
      <c r="G1404" s="26" t="str">
        <f aca="false">IF(D1404="","",IFERROR(VALUE(LEFT(D1404,FIND(" |",D1404&amp;" |")-1)),"?"))</f>
        <v/>
      </c>
      <c r="H1404" s="27" t="str">
        <f aca="false">IF(G1404="","",IF(G1404="?","⚠ pub inconnue",IFERROR(INDEX(Pubs!$B$2:$B$3001,MATCH(G1404,Pubs!$A$2:$A$3001,0))&amp;"","⚠ pub inconnue")))</f>
        <v/>
      </c>
      <c r="I1404" s="27" t="str">
        <f aca="false">IF(OR(G1404="",G1404="?"),"",IFERROR(INDEX(Pubs!$C$2:$C$3001,MATCH(G1404,Pubs!$A$2:$A$3001,0))&amp;"",""))</f>
        <v/>
      </c>
      <c r="J1404" s="27" t="str">
        <f aca="false">IF(OR(G1404="",G1404="?"),"",IFERROR(INDEX(Pubs!$G$2:$G$3001,MATCH(G1404,Pubs!$A$2:$A$3001,0))&amp;"",""))</f>
        <v/>
      </c>
      <c r="K1404" s="28" t="str">
        <f aca="false">IF(OR(G1404="",G1404="?"),"",IFERROR(INDEX(Pubs!$E$2:$E$3001,MATCH(G1404,Pubs!$A$2:$A$3001,0)),""))</f>
        <v/>
      </c>
      <c r="L1404" s="29" t="str">
        <f aca="false">IF(A1404="","",IFERROR(1/(1/INDEX(Numéros!$C$2:$C$3001,MATCH(A1404&amp;"|"&amp;B1404,Numéros!$F$2:$F$3001,0))),""))</f>
        <v/>
      </c>
      <c r="M1404" s="27" t="str">
        <f aca="false">IF(OR(G1404="",G1404="?"),"",IFERROR(INDEX(Pubs!$D$2:$D$3001,MATCH(G1404,Pubs!$A$2:$A$3001,0))&amp;"",""))</f>
        <v/>
      </c>
      <c r="N1404" s="27" t="n">
        <f aca="false">N(N1403)+IF(AND(A1404&lt;&gt;"",OR(Recherche!$C$4="",A1404=Recherche!$C$4),OR(Recherche!$C$5="",B1404&amp;""=Recherche!$C$5&amp;""),OR(Recherche!$C$6="",IFERROR(YEAR(L1404),0)=Recherche!$C$6),OR(Recherche!$C$7="",ISNUMBER(SEARCH(Recherche!$C$7,H1404))),OR(Recherche!$C$8="",J1404=Recherche!$C$8),OR(Recherche!$C$9="",I1404=Recherche!$C$9),OR(Recherche!$C$10="",G1404&amp;""=Recherche!$C$10&amp;""),OR(Recherche!$C$11="",E1404=Recherche!$C$11),OR(Recherche!$C$12="",ISNUMBER(SEARCH(Recherche!$C$12,M1404&amp;" "&amp;F1404)))),1,0)</f>
        <v>8</v>
      </c>
    </row>
    <row r="1405" customFormat="false" ht="15" hidden="false" customHeight="false" outlineLevel="0" collapsed="false">
      <c r="A1405" s="19"/>
      <c r="B1405" s="19"/>
      <c r="C1405" s="19"/>
      <c r="D1405" s="19"/>
      <c r="E1405" s="22"/>
      <c r="F1405" s="19"/>
      <c r="G1405" s="26" t="str">
        <f aca="false">IF(D1405="","",IFERROR(VALUE(LEFT(D1405,FIND(" |",D1405&amp;" |")-1)),"?"))</f>
        <v/>
      </c>
      <c r="H1405" s="27" t="str">
        <f aca="false">IF(G1405="","",IF(G1405="?","⚠ pub inconnue",IFERROR(INDEX(Pubs!$B$2:$B$3001,MATCH(G1405,Pubs!$A$2:$A$3001,0))&amp;"","⚠ pub inconnue")))</f>
        <v/>
      </c>
      <c r="I1405" s="27" t="str">
        <f aca="false">IF(OR(G1405="",G1405="?"),"",IFERROR(INDEX(Pubs!$C$2:$C$3001,MATCH(G1405,Pubs!$A$2:$A$3001,0))&amp;"",""))</f>
        <v/>
      </c>
      <c r="J1405" s="27" t="str">
        <f aca="false">IF(OR(G1405="",G1405="?"),"",IFERROR(INDEX(Pubs!$G$2:$G$3001,MATCH(G1405,Pubs!$A$2:$A$3001,0))&amp;"",""))</f>
        <v/>
      </c>
      <c r="K1405" s="28" t="str">
        <f aca="false">IF(OR(G1405="",G1405="?"),"",IFERROR(INDEX(Pubs!$E$2:$E$3001,MATCH(G1405,Pubs!$A$2:$A$3001,0)),""))</f>
        <v/>
      </c>
      <c r="L1405" s="29" t="str">
        <f aca="false">IF(A1405="","",IFERROR(1/(1/INDEX(Numéros!$C$2:$C$3001,MATCH(A1405&amp;"|"&amp;B1405,Numéros!$F$2:$F$3001,0))),""))</f>
        <v/>
      </c>
      <c r="M1405" s="27" t="str">
        <f aca="false">IF(OR(G1405="",G1405="?"),"",IFERROR(INDEX(Pubs!$D$2:$D$3001,MATCH(G1405,Pubs!$A$2:$A$3001,0))&amp;"",""))</f>
        <v/>
      </c>
      <c r="N1405" s="27" t="n">
        <f aca="false">N(N1404)+IF(AND(A1405&lt;&gt;"",OR(Recherche!$C$4="",A1405=Recherche!$C$4),OR(Recherche!$C$5="",B1405&amp;""=Recherche!$C$5&amp;""),OR(Recherche!$C$6="",IFERROR(YEAR(L1405),0)=Recherche!$C$6),OR(Recherche!$C$7="",ISNUMBER(SEARCH(Recherche!$C$7,H1405))),OR(Recherche!$C$8="",J1405=Recherche!$C$8),OR(Recherche!$C$9="",I1405=Recherche!$C$9),OR(Recherche!$C$10="",G1405&amp;""=Recherche!$C$10&amp;""),OR(Recherche!$C$11="",E1405=Recherche!$C$11),OR(Recherche!$C$12="",ISNUMBER(SEARCH(Recherche!$C$12,M1405&amp;" "&amp;F1405)))),1,0)</f>
        <v>8</v>
      </c>
    </row>
    <row r="1406" customFormat="false" ht="15" hidden="false" customHeight="false" outlineLevel="0" collapsed="false">
      <c r="A1406" s="19"/>
      <c r="B1406" s="19"/>
      <c r="C1406" s="19"/>
      <c r="D1406" s="19"/>
      <c r="E1406" s="22"/>
      <c r="F1406" s="19"/>
      <c r="G1406" s="26" t="str">
        <f aca="false">IF(D1406="","",IFERROR(VALUE(LEFT(D1406,FIND(" |",D1406&amp;" |")-1)),"?"))</f>
        <v/>
      </c>
      <c r="H1406" s="27" t="str">
        <f aca="false">IF(G1406="","",IF(G1406="?","⚠ pub inconnue",IFERROR(INDEX(Pubs!$B$2:$B$3001,MATCH(G1406,Pubs!$A$2:$A$3001,0))&amp;"","⚠ pub inconnue")))</f>
        <v/>
      </c>
      <c r="I1406" s="27" t="str">
        <f aca="false">IF(OR(G1406="",G1406="?"),"",IFERROR(INDEX(Pubs!$C$2:$C$3001,MATCH(G1406,Pubs!$A$2:$A$3001,0))&amp;"",""))</f>
        <v/>
      </c>
      <c r="J1406" s="27" t="str">
        <f aca="false">IF(OR(G1406="",G1406="?"),"",IFERROR(INDEX(Pubs!$G$2:$G$3001,MATCH(G1406,Pubs!$A$2:$A$3001,0))&amp;"",""))</f>
        <v/>
      </c>
      <c r="K1406" s="28" t="str">
        <f aca="false">IF(OR(G1406="",G1406="?"),"",IFERROR(INDEX(Pubs!$E$2:$E$3001,MATCH(G1406,Pubs!$A$2:$A$3001,0)),""))</f>
        <v/>
      </c>
      <c r="L1406" s="29" t="str">
        <f aca="false">IF(A1406="","",IFERROR(1/(1/INDEX(Numéros!$C$2:$C$3001,MATCH(A1406&amp;"|"&amp;B1406,Numéros!$F$2:$F$3001,0))),""))</f>
        <v/>
      </c>
      <c r="M1406" s="27" t="str">
        <f aca="false">IF(OR(G1406="",G1406="?"),"",IFERROR(INDEX(Pubs!$D$2:$D$3001,MATCH(G1406,Pubs!$A$2:$A$3001,0))&amp;"",""))</f>
        <v/>
      </c>
      <c r="N1406" s="27" t="n">
        <f aca="false">N(N1405)+IF(AND(A1406&lt;&gt;"",OR(Recherche!$C$4="",A1406=Recherche!$C$4),OR(Recherche!$C$5="",B1406&amp;""=Recherche!$C$5&amp;""),OR(Recherche!$C$6="",IFERROR(YEAR(L1406),0)=Recherche!$C$6),OR(Recherche!$C$7="",ISNUMBER(SEARCH(Recherche!$C$7,H1406))),OR(Recherche!$C$8="",J1406=Recherche!$C$8),OR(Recherche!$C$9="",I1406=Recherche!$C$9),OR(Recherche!$C$10="",G1406&amp;""=Recherche!$C$10&amp;""),OR(Recherche!$C$11="",E1406=Recherche!$C$11),OR(Recherche!$C$12="",ISNUMBER(SEARCH(Recherche!$C$12,M1406&amp;" "&amp;F1406)))),1,0)</f>
        <v>8</v>
      </c>
    </row>
    <row r="1407" customFormat="false" ht="15" hidden="false" customHeight="false" outlineLevel="0" collapsed="false">
      <c r="A1407" s="19"/>
      <c r="B1407" s="19"/>
      <c r="C1407" s="19"/>
      <c r="D1407" s="19"/>
      <c r="E1407" s="22"/>
      <c r="F1407" s="19"/>
      <c r="G1407" s="26" t="str">
        <f aca="false">IF(D1407="","",IFERROR(VALUE(LEFT(D1407,FIND(" |",D1407&amp;" |")-1)),"?"))</f>
        <v/>
      </c>
      <c r="H1407" s="27" t="str">
        <f aca="false">IF(G1407="","",IF(G1407="?","⚠ pub inconnue",IFERROR(INDEX(Pubs!$B$2:$B$3001,MATCH(G1407,Pubs!$A$2:$A$3001,0))&amp;"","⚠ pub inconnue")))</f>
        <v/>
      </c>
      <c r="I1407" s="27" t="str">
        <f aca="false">IF(OR(G1407="",G1407="?"),"",IFERROR(INDEX(Pubs!$C$2:$C$3001,MATCH(G1407,Pubs!$A$2:$A$3001,0))&amp;"",""))</f>
        <v/>
      </c>
      <c r="J1407" s="27" t="str">
        <f aca="false">IF(OR(G1407="",G1407="?"),"",IFERROR(INDEX(Pubs!$G$2:$G$3001,MATCH(G1407,Pubs!$A$2:$A$3001,0))&amp;"",""))</f>
        <v/>
      </c>
      <c r="K1407" s="28" t="str">
        <f aca="false">IF(OR(G1407="",G1407="?"),"",IFERROR(INDEX(Pubs!$E$2:$E$3001,MATCH(G1407,Pubs!$A$2:$A$3001,0)),""))</f>
        <v/>
      </c>
      <c r="L1407" s="29" t="str">
        <f aca="false">IF(A1407="","",IFERROR(1/(1/INDEX(Numéros!$C$2:$C$3001,MATCH(A1407&amp;"|"&amp;B1407,Numéros!$F$2:$F$3001,0))),""))</f>
        <v/>
      </c>
      <c r="M1407" s="27" t="str">
        <f aca="false">IF(OR(G1407="",G1407="?"),"",IFERROR(INDEX(Pubs!$D$2:$D$3001,MATCH(G1407,Pubs!$A$2:$A$3001,0))&amp;"",""))</f>
        <v/>
      </c>
      <c r="N1407" s="27" t="n">
        <f aca="false">N(N1406)+IF(AND(A1407&lt;&gt;"",OR(Recherche!$C$4="",A1407=Recherche!$C$4),OR(Recherche!$C$5="",B1407&amp;""=Recherche!$C$5&amp;""),OR(Recherche!$C$6="",IFERROR(YEAR(L1407),0)=Recherche!$C$6),OR(Recherche!$C$7="",ISNUMBER(SEARCH(Recherche!$C$7,H1407))),OR(Recherche!$C$8="",J1407=Recherche!$C$8),OR(Recherche!$C$9="",I1407=Recherche!$C$9),OR(Recherche!$C$10="",G1407&amp;""=Recherche!$C$10&amp;""),OR(Recherche!$C$11="",E1407=Recherche!$C$11),OR(Recherche!$C$12="",ISNUMBER(SEARCH(Recherche!$C$12,M1407&amp;" "&amp;F1407)))),1,0)</f>
        <v>8</v>
      </c>
    </row>
    <row r="1408" customFormat="false" ht="15" hidden="false" customHeight="false" outlineLevel="0" collapsed="false">
      <c r="A1408" s="19"/>
      <c r="B1408" s="19"/>
      <c r="C1408" s="19"/>
      <c r="D1408" s="19"/>
      <c r="E1408" s="22"/>
      <c r="F1408" s="19"/>
      <c r="G1408" s="26" t="str">
        <f aca="false">IF(D1408="","",IFERROR(VALUE(LEFT(D1408,FIND(" |",D1408&amp;" |")-1)),"?"))</f>
        <v/>
      </c>
      <c r="H1408" s="27" t="str">
        <f aca="false">IF(G1408="","",IF(G1408="?","⚠ pub inconnue",IFERROR(INDEX(Pubs!$B$2:$B$3001,MATCH(G1408,Pubs!$A$2:$A$3001,0))&amp;"","⚠ pub inconnue")))</f>
        <v/>
      </c>
      <c r="I1408" s="27" t="str">
        <f aca="false">IF(OR(G1408="",G1408="?"),"",IFERROR(INDEX(Pubs!$C$2:$C$3001,MATCH(G1408,Pubs!$A$2:$A$3001,0))&amp;"",""))</f>
        <v/>
      </c>
      <c r="J1408" s="27" t="str">
        <f aca="false">IF(OR(G1408="",G1408="?"),"",IFERROR(INDEX(Pubs!$G$2:$G$3001,MATCH(G1408,Pubs!$A$2:$A$3001,0))&amp;"",""))</f>
        <v/>
      </c>
      <c r="K1408" s="28" t="str">
        <f aca="false">IF(OR(G1408="",G1408="?"),"",IFERROR(INDEX(Pubs!$E$2:$E$3001,MATCH(G1408,Pubs!$A$2:$A$3001,0)),""))</f>
        <v/>
      </c>
      <c r="L1408" s="29" t="str">
        <f aca="false">IF(A1408="","",IFERROR(1/(1/INDEX(Numéros!$C$2:$C$3001,MATCH(A1408&amp;"|"&amp;B1408,Numéros!$F$2:$F$3001,0))),""))</f>
        <v/>
      </c>
      <c r="M1408" s="27" t="str">
        <f aca="false">IF(OR(G1408="",G1408="?"),"",IFERROR(INDEX(Pubs!$D$2:$D$3001,MATCH(G1408,Pubs!$A$2:$A$3001,0))&amp;"",""))</f>
        <v/>
      </c>
      <c r="N1408" s="27" t="n">
        <f aca="false">N(N1407)+IF(AND(A1408&lt;&gt;"",OR(Recherche!$C$4="",A1408=Recherche!$C$4),OR(Recherche!$C$5="",B1408&amp;""=Recherche!$C$5&amp;""),OR(Recherche!$C$6="",IFERROR(YEAR(L1408),0)=Recherche!$C$6),OR(Recherche!$C$7="",ISNUMBER(SEARCH(Recherche!$C$7,H1408))),OR(Recherche!$C$8="",J1408=Recherche!$C$8),OR(Recherche!$C$9="",I1408=Recherche!$C$9),OR(Recherche!$C$10="",G1408&amp;""=Recherche!$C$10&amp;""),OR(Recherche!$C$11="",E1408=Recherche!$C$11),OR(Recherche!$C$12="",ISNUMBER(SEARCH(Recherche!$C$12,M1408&amp;" "&amp;F1408)))),1,0)</f>
        <v>8</v>
      </c>
    </row>
    <row r="1409" customFormat="false" ht="15" hidden="false" customHeight="false" outlineLevel="0" collapsed="false">
      <c r="A1409" s="19"/>
      <c r="B1409" s="19"/>
      <c r="C1409" s="19"/>
      <c r="D1409" s="19"/>
      <c r="E1409" s="22"/>
      <c r="F1409" s="19"/>
      <c r="G1409" s="26" t="str">
        <f aca="false">IF(D1409="","",IFERROR(VALUE(LEFT(D1409,FIND(" |",D1409&amp;" |")-1)),"?"))</f>
        <v/>
      </c>
      <c r="H1409" s="27" t="str">
        <f aca="false">IF(G1409="","",IF(G1409="?","⚠ pub inconnue",IFERROR(INDEX(Pubs!$B$2:$B$3001,MATCH(G1409,Pubs!$A$2:$A$3001,0))&amp;"","⚠ pub inconnue")))</f>
        <v/>
      </c>
      <c r="I1409" s="27" t="str">
        <f aca="false">IF(OR(G1409="",G1409="?"),"",IFERROR(INDEX(Pubs!$C$2:$C$3001,MATCH(G1409,Pubs!$A$2:$A$3001,0))&amp;"",""))</f>
        <v/>
      </c>
      <c r="J1409" s="27" t="str">
        <f aca="false">IF(OR(G1409="",G1409="?"),"",IFERROR(INDEX(Pubs!$G$2:$G$3001,MATCH(G1409,Pubs!$A$2:$A$3001,0))&amp;"",""))</f>
        <v/>
      </c>
      <c r="K1409" s="28" t="str">
        <f aca="false">IF(OR(G1409="",G1409="?"),"",IFERROR(INDEX(Pubs!$E$2:$E$3001,MATCH(G1409,Pubs!$A$2:$A$3001,0)),""))</f>
        <v/>
      </c>
      <c r="L1409" s="29" t="str">
        <f aca="false">IF(A1409="","",IFERROR(1/(1/INDEX(Numéros!$C$2:$C$3001,MATCH(A1409&amp;"|"&amp;B1409,Numéros!$F$2:$F$3001,0))),""))</f>
        <v/>
      </c>
      <c r="M1409" s="27" t="str">
        <f aca="false">IF(OR(G1409="",G1409="?"),"",IFERROR(INDEX(Pubs!$D$2:$D$3001,MATCH(G1409,Pubs!$A$2:$A$3001,0))&amp;"",""))</f>
        <v/>
      </c>
      <c r="N1409" s="27" t="n">
        <f aca="false">N(N1408)+IF(AND(A1409&lt;&gt;"",OR(Recherche!$C$4="",A1409=Recherche!$C$4),OR(Recherche!$C$5="",B1409&amp;""=Recherche!$C$5&amp;""),OR(Recherche!$C$6="",IFERROR(YEAR(L1409),0)=Recherche!$C$6),OR(Recherche!$C$7="",ISNUMBER(SEARCH(Recherche!$C$7,H1409))),OR(Recherche!$C$8="",J1409=Recherche!$C$8),OR(Recherche!$C$9="",I1409=Recherche!$C$9),OR(Recherche!$C$10="",G1409&amp;""=Recherche!$C$10&amp;""),OR(Recherche!$C$11="",E1409=Recherche!$C$11),OR(Recherche!$C$12="",ISNUMBER(SEARCH(Recherche!$C$12,M1409&amp;" "&amp;F1409)))),1,0)</f>
        <v>8</v>
      </c>
    </row>
    <row r="1410" customFormat="false" ht="15" hidden="false" customHeight="false" outlineLevel="0" collapsed="false">
      <c r="A1410" s="19"/>
      <c r="B1410" s="19"/>
      <c r="C1410" s="19"/>
      <c r="D1410" s="19"/>
      <c r="E1410" s="22"/>
      <c r="F1410" s="19"/>
      <c r="G1410" s="26" t="str">
        <f aca="false">IF(D1410="","",IFERROR(VALUE(LEFT(D1410,FIND(" |",D1410&amp;" |")-1)),"?"))</f>
        <v/>
      </c>
      <c r="H1410" s="27" t="str">
        <f aca="false">IF(G1410="","",IF(G1410="?","⚠ pub inconnue",IFERROR(INDEX(Pubs!$B$2:$B$3001,MATCH(G1410,Pubs!$A$2:$A$3001,0))&amp;"","⚠ pub inconnue")))</f>
        <v/>
      </c>
      <c r="I1410" s="27" t="str">
        <f aca="false">IF(OR(G1410="",G1410="?"),"",IFERROR(INDEX(Pubs!$C$2:$C$3001,MATCH(G1410,Pubs!$A$2:$A$3001,0))&amp;"",""))</f>
        <v/>
      </c>
      <c r="J1410" s="27" t="str">
        <f aca="false">IF(OR(G1410="",G1410="?"),"",IFERROR(INDEX(Pubs!$G$2:$G$3001,MATCH(G1410,Pubs!$A$2:$A$3001,0))&amp;"",""))</f>
        <v/>
      </c>
      <c r="K1410" s="28" t="str">
        <f aca="false">IF(OR(G1410="",G1410="?"),"",IFERROR(INDEX(Pubs!$E$2:$E$3001,MATCH(G1410,Pubs!$A$2:$A$3001,0)),""))</f>
        <v/>
      </c>
      <c r="L1410" s="29" t="str">
        <f aca="false">IF(A1410="","",IFERROR(1/(1/INDEX(Numéros!$C$2:$C$3001,MATCH(A1410&amp;"|"&amp;B1410,Numéros!$F$2:$F$3001,0))),""))</f>
        <v/>
      </c>
      <c r="M1410" s="27" t="str">
        <f aca="false">IF(OR(G1410="",G1410="?"),"",IFERROR(INDEX(Pubs!$D$2:$D$3001,MATCH(G1410,Pubs!$A$2:$A$3001,0))&amp;"",""))</f>
        <v/>
      </c>
      <c r="N1410" s="27" t="n">
        <f aca="false">N(N1409)+IF(AND(A1410&lt;&gt;"",OR(Recherche!$C$4="",A1410=Recherche!$C$4),OR(Recherche!$C$5="",B1410&amp;""=Recherche!$C$5&amp;""),OR(Recherche!$C$6="",IFERROR(YEAR(L1410),0)=Recherche!$C$6),OR(Recherche!$C$7="",ISNUMBER(SEARCH(Recherche!$C$7,H1410))),OR(Recherche!$C$8="",J1410=Recherche!$C$8),OR(Recherche!$C$9="",I1410=Recherche!$C$9),OR(Recherche!$C$10="",G1410&amp;""=Recherche!$C$10&amp;""),OR(Recherche!$C$11="",E1410=Recherche!$C$11),OR(Recherche!$C$12="",ISNUMBER(SEARCH(Recherche!$C$12,M1410&amp;" "&amp;F1410)))),1,0)</f>
        <v>8</v>
      </c>
    </row>
    <row r="1411" customFormat="false" ht="15" hidden="false" customHeight="false" outlineLevel="0" collapsed="false">
      <c r="A1411" s="19"/>
      <c r="B1411" s="19"/>
      <c r="C1411" s="19"/>
      <c r="D1411" s="19"/>
      <c r="E1411" s="22"/>
      <c r="F1411" s="19"/>
      <c r="G1411" s="26" t="str">
        <f aca="false">IF(D1411="","",IFERROR(VALUE(LEFT(D1411,FIND(" |",D1411&amp;" |")-1)),"?"))</f>
        <v/>
      </c>
      <c r="H1411" s="27" t="str">
        <f aca="false">IF(G1411="","",IF(G1411="?","⚠ pub inconnue",IFERROR(INDEX(Pubs!$B$2:$B$3001,MATCH(G1411,Pubs!$A$2:$A$3001,0))&amp;"","⚠ pub inconnue")))</f>
        <v/>
      </c>
      <c r="I1411" s="27" t="str">
        <f aca="false">IF(OR(G1411="",G1411="?"),"",IFERROR(INDEX(Pubs!$C$2:$C$3001,MATCH(G1411,Pubs!$A$2:$A$3001,0))&amp;"",""))</f>
        <v/>
      </c>
      <c r="J1411" s="27" t="str">
        <f aca="false">IF(OR(G1411="",G1411="?"),"",IFERROR(INDEX(Pubs!$G$2:$G$3001,MATCH(G1411,Pubs!$A$2:$A$3001,0))&amp;"",""))</f>
        <v/>
      </c>
      <c r="K1411" s="28" t="str">
        <f aca="false">IF(OR(G1411="",G1411="?"),"",IFERROR(INDEX(Pubs!$E$2:$E$3001,MATCH(G1411,Pubs!$A$2:$A$3001,0)),""))</f>
        <v/>
      </c>
      <c r="L1411" s="29" t="str">
        <f aca="false">IF(A1411="","",IFERROR(1/(1/INDEX(Numéros!$C$2:$C$3001,MATCH(A1411&amp;"|"&amp;B1411,Numéros!$F$2:$F$3001,0))),""))</f>
        <v/>
      </c>
      <c r="M1411" s="27" t="str">
        <f aca="false">IF(OR(G1411="",G1411="?"),"",IFERROR(INDEX(Pubs!$D$2:$D$3001,MATCH(G1411,Pubs!$A$2:$A$3001,0))&amp;"",""))</f>
        <v/>
      </c>
      <c r="N1411" s="27" t="n">
        <f aca="false">N(N1410)+IF(AND(A1411&lt;&gt;"",OR(Recherche!$C$4="",A1411=Recherche!$C$4),OR(Recherche!$C$5="",B1411&amp;""=Recherche!$C$5&amp;""),OR(Recherche!$C$6="",IFERROR(YEAR(L1411),0)=Recherche!$C$6),OR(Recherche!$C$7="",ISNUMBER(SEARCH(Recherche!$C$7,H1411))),OR(Recherche!$C$8="",J1411=Recherche!$C$8),OR(Recherche!$C$9="",I1411=Recherche!$C$9),OR(Recherche!$C$10="",G1411&amp;""=Recherche!$C$10&amp;""),OR(Recherche!$C$11="",E1411=Recherche!$C$11),OR(Recherche!$C$12="",ISNUMBER(SEARCH(Recherche!$C$12,M1411&amp;" "&amp;F1411)))),1,0)</f>
        <v>8</v>
      </c>
    </row>
    <row r="1412" customFormat="false" ht="15" hidden="false" customHeight="false" outlineLevel="0" collapsed="false">
      <c r="A1412" s="19"/>
      <c r="B1412" s="19"/>
      <c r="C1412" s="19"/>
      <c r="D1412" s="19"/>
      <c r="E1412" s="22"/>
      <c r="F1412" s="19"/>
      <c r="G1412" s="26" t="str">
        <f aca="false">IF(D1412="","",IFERROR(VALUE(LEFT(D1412,FIND(" |",D1412&amp;" |")-1)),"?"))</f>
        <v/>
      </c>
      <c r="H1412" s="27" t="str">
        <f aca="false">IF(G1412="","",IF(G1412="?","⚠ pub inconnue",IFERROR(INDEX(Pubs!$B$2:$B$3001,MATCH(G1412,Pubs!$A$2:$A$3001,0))&amp;"","⚠ pub inconnue")))</f>
        <v/>
      </c>
      <c r="I1412" s="27" t="str">
        <f aca="false">IF(OR(G1412="",G1412="?"),"",IFERROR(INDEX(Pubs!$C$2:$C$3001,MATCH(G1412,Pubs!$A$2:$A$3001,0))&amp;"",""))</f>
        <v/>
      </c>
      <c r="J1412" s="27" t="str">
        <f aca="false">IF(OR(G1412="",G1412="?"),"",IFERROR(INDEX(Pubs!$G$2:$G$3001,MATCH(G1412,Pubs!$A$2:$A$3001,0))&amp;"",""))</f>
        <v/>
      </c>
      <c r="K1412" s="28" t="str">
        <f aca="false">IF(OR(G1412="",G1412="?"),"",IFERROR(INDEX(Pubs!$E$2:$E$3001,MATCH(G1412,Pubs!$A$2:$A$3001,0)),""))</f>
        <v/>
      </c>
      <c r="L1412" s="29" t="str">
        <f aca="false">IF(A1412="","",IFERROR(1/(1/INDEX(Numéros!$C$2:$C$3001,MATCH(A1412&amp;"|"&amp;B1412,Numéros!$F$2:$F$3001,0))),""))</f>
        <v/>
      </c>
      <c r="M1412" s="27" t="str">
        <f aca="false">IF(OR(G1412="",G1412="?"),"",IFERROR(INDEX(Pubs!$D$2:$D$3001,MATCH(G1412,Pubs!$A$2:$A$3001,0))&amp;"",""))</f>
        <v/>
      </c>
      <c r="N1412" s="27" t="n">
        <f aca="false">N(N1411)+IF(AND(A1412&lt;&gt;"",OR(Recherche!$C$4="",A1412=Recherche!$C$4),OR(Recherche!$C$5="",B1412&amp;""=Recherche!$C$5&amp;""),OR(Recherche!$C$6="",IFERROR(YEAR(L1412),0)=Recherche!$C$6),OR(Recherche!$C$7="",ISNUMBER(SEARCH(Recherche!$C$7,H1412))),OR(Recherche!$C$8="",J1412=Recherche!$C$8),OR(Recherche!$C$9="",I1412=Recherche!$C$9),OR(Recherche!$C$10="",G1412&amp;""=Recherche!$C$10&amp;""),OR(Recherche!$C$11="",E1412=Recherche!$C$11),OR(Recherche!$C$12="",ISNUMBER(SEARCH(Recherche!$C$12,M1412&amp;" "&amp;F1412)))),1,0)</f>
        <v>8</v>
      </c>
    </row>
    <row r="1413" customFormat="false" ht="15" hidden="false" customHeight="false" outlineLevel="0" collapsed="false">
      <c r="A1413" s="19"/>
      <c r="B1413" s="19"/>
      <c r="C1413" s="19"/>
      <c r="D1413" s="19"/>
      <c r="E1413" s="22"/>
      <c r="F1413" s="19"/>
      <c r="G1413" s="26" t="str">
        <f aca="false">IF(D1413="","",IFERROR(VALUE(LEFT(D1413,FIND(" |",D1413&amp;" |")-1)),"?"))</f>
        <v/>
      </c>
      <c r="H1413" s="27" t="str">
        <f aca="false">IF(G1413="","",IF(G1413="?","⚠ pub inconnue",IFERROR(INDEX(Pubs!$B$2:$B$3001,MATCH(G1413,Pubs!$A$2:$A$3001,0))&amp;"","⚠ pub inconnue")))</f>
        <v/>
      </c>
      <c r="I1413" s="27" t="str">
        <f aca="false">IF(OR(G1413="",G1413="?"),"",IFERROR(INDEX(Pubs!$C$2:$C$3001,MATCH(G1413,Pubs!$A$2:$A$3001,0))&amp;"",""))</f>
        <v/>
      </c>
      <c r="J1413" s="27" t="str">
        <f aca="false">IF(OR(G1413="",G1413="?"),"",IFERROR(INDEX(Pubs!$G$2:$G$3001,MATCH(G1413,Pubs!$A$2:$A$3001,0))&amp;"",""))</f>
        <v/>
      </c>
      <c r="K1413" s="28" t="str">
        <f aca="false">IF(OR(G1413="",G1413="?"),"",IFERROR(INDEX(Pubs!$E$2:$E$3001,MATCH(G1413,Pubs!$A$2:$A$3001,0)),""))</f>
        <v/>
      </c>
      <c r="L1413" s="29" t="str">
        <f aca="false">IF(A1413="","",IFERROR(1/(1/INDEX(Numéros!$C$2:$C$3001,MATCH(A1413&amp;"|"&amp;B1413,Numéros!$F$2:$F$3001,0))),""))</f>
        <v/>
      </c>
      <c r="M1413" s="27" t="str">
        <f aca="false">IF(OR(G1413="",G1413="?"),"",IFERROR(INDEX(Pubs!$D$2:$D$3001,MATCH(G1413,Pubs!$A$2:$A$3001,0))&amp;"",""))</f>
        <v/>
      </c>
      <c r="N1413" s="27" t="n">
        <f aca="false">N(N1412)+IF(AND(A1413&lt;&gt;"",OR(Recherche!$C$4="",A1413=Recherche!$C$4),OR(Recherche!$C$5="",B1413&amp;""=Recherche!$C$5&amp;""),OR(Recherche!$C$6="",IFERROR(YEAR(L1413),0)=Recherche!$C$6),OR(Recherche!$C$7="",ISNUMBER(SEARCH(Recherche!$C$7,H1413))),OR(Recherche!$C$8="",J1413=Recherche!$C$8),OR(Recherche!$C$9="",I1413=Recherche!$C$9),OR(Recherche!$C$10="",G1413&amp;""=Recherche!$C$10&amp;""),OR(Recherche!$C$11="",E1413=Recherche!$C$11),OR(Recherche!$C$12="",ISNUMBER(SEARCH(Recherche!$C$12,M1413&amp;" "&amp;F1413)))),1,0)</f>
        <v>8</v>
      </c>
    </row>
    <row r="1414" customFormat="false" ht="15" hidden="false" customHeight="false" outlineLevel="0" collapsed="false">
      <c r="A1414" s="19"/>
      <c r="B1414" s="19"/>
      <c r="C1414" s="19"/>
      <c r="D1414" s="19"/>
      <c r="E1414" s="22"/>
      <c r="F1414" s="19"/>
      <c r="G1414" s="26" t="str">
        <f aca="false">IF(D1414="","",IFERROR(VALUE(LEFT(D1414,FIND(" |",D1414&amp;" |")-1)),"?"))</f>
        <v/>
      </c>
      <c r="H1414" s="27" t="str">
        <f aca="false">IF(G1414="","",IF(G1414="?","⚠ pub inconnue",IFERROR(INDEX(Pubs!$B$2:$B$3001,MATCH(G1414,Pubs!$A$2:$A$3001,0))&amp;"","⚠ pub inconnue")))</f>
        <v/>
      </c>
      <c r="I1414" s="27" t="str">
        <f aca="false">IF(OR(G1414="",G1414="?"),"",IFERROR(INDEX(Pubs!$C$2:$C$3001,MATCH(G1414,Pubs!$A$2:$A$3001,0))&amp;"",""))</f>
        <v/>
      </c>
      <c r="J1414" s="27" t="str">
        <f aca="false">IF(OR(G1414="",G1414="?"),"",IFERROR(INDEX(Pubs!$G$2:$G$3001,MATCH(G1414,Pubs!$A$2:$A$3001,0))&amp;"",""))</f>
        <v/>
      </c>
      <c r="K1414" s="28" t="str">
        <f aca="false">IF(OR(G1414="",G1414="?"),"",IFERROR(INDEX(Pubs!$E$2:$E$3001,MATCH(G1414,Pubs!$A$2:$A$3001,0)),""))</f>
        <v/>
      </c>
      <c r="L1414" s="29" t="str">
        <f aca="false">IF(A1414="","",IFERROR(1/(1/INDEX(Numéros!$C$2:$C$3001,MATCH(A1414&amp;"|"&amp;B1414,Numéros!$F$2:$F$3001,0))),""))</f>
        <v/>
      </c>
      <c r="M1414" s="27" t="str">
        <f aca="false">IF(OR(G1414="",G1414="?"),"",IFERROR(INDEX(Pubs!$D$2:$D$3001,MATCH(G1414,Pubs!$A$2:$A$3001,0))&amp;"",""))</f>
        <v/>
      </c>
      <c r="N1414" s="27" t="n">
        <f aca="false">N(N1413)+IF(AND(A1414&lt;&gt;"",OR(Recherche!$C$4="",A1414=Recherche!$C$4),OR(Recherche!$C$5="",B1414&amp;""=Recherche!$C$5&amp;""),OR(Recherche!$C$6="",IFERROR(YEAR(L1414),0)=Recherche!$C$6),OR(Recherche!$C$7="",ISNUMBER(SEARCH(Recherche!$C$7,H1414))),OR(Recherche!$C$8="",J1414=Recherche!$C$8),OR(Recherche!$C$9="",I1414=Recherche!$C$9),OR(Recherche!$C$10="",G1414&amp;""=Recherche!$C$10&amp;""),OR(Recherche!$C$11="",E1414=Recherche!$C$11),OR(Recherche!$C$12="",ISNUMBER(SEARCH(Recherche!$C$12,M1414&amp;" "&amp;F1414)))),1,0)</f>
        <v>8</v>
      </c>
    </row>
    <row r="1415" customFormat="false" ht="15" hidden="false" customHeight="false" outlineLevel="0" collapsed="false">
      <c r="A1415" s="19"/>
      <c r="B1415" s="19"/>
      <c r="C1415" s="19"/>
      <c r="D1415" s="19"/>
      <c r="E1415" s="22"/>
      <c r="F1415" s="19"/>
      <c r="G1415" s="26" t="str">
        <f aca="false">IF(D1415="","",IFERROR(VALUE(LEFT(D1415,FIND(" |",D1415&amp;" |")-1)),"?"))</f>
        <v/>
      </c>
      <c r="H1415" s="27" t="str">
        <f aca="false">IF(G1415="","",IF(G1415="?","⚠ pub inconnue",IFERROR(INDEX(Pubs!$B$2:$B$3001,MATCH(G1415,Pubs!$A$2:$A$3001,0))&amp;"","⚠ pub inconnue")))</f>
        <v/>
      </c>
      <c r="I1415" s="27" t="str">
        <f aca="false">IF(OR(G1415="",G1415="?"),"",IFERROR(INDEX(Pubs!$C$2:$C$3001,MATCH(G1415,Pubs!$A$2:$A$3001,0))&amp;"",""))</f>
        <v/>
      </c>
      <c r="J1415" s="27" t="str">
        <f aca="false">IF(OR(G1415="",G1415="?"),"",IFERROR(INDEX(Pubs!$G$2:$G$3001,MATCH(G1415,Pubs!$A$2:$A$3001,0))&amp;"",""))</f>
        <v/>
      </c>
      <c r="K1415" s="28" t="str">
        <f aca="false">IF(OR(G1415="",G1415="?"),"",IFERROR(INDEX(Pubs!$E$2:$E$3001,MATCH(G1415,Pubs!$A$2:$A$3001,0)),""))</f>
        <v/>
      </c>
      <c r="L1415" s="29" t="str">
        <f aca="false">IF(A1415="","",IFERROR(1/(1/INDEX(Numéros!$C$2:$C$3001,MATCH(A1415&amp;"|"&amp;B1415,Numéros!$F$2:$F$3001,0))),""))</f>
        <v/>
      </c>
      <c r="M1415" s="27" t="str">
        <f aca="false">IF(OR(G1415="",G1415="?"),"",IFERROR(INDEX(Pubs!$D$2:$D$3001,MATCH(G1415,Pubs!$A$2:$A$3001,0))&amp;"",""))</f>
        <v/>
      </c>
      <c r="N1415" s="27" t="n">
        <f aca="false">N(N1414)+IF(AND(A1415&lt;&gt;"",OR(Recherche!$C$4="",A1415=Recherche!$C$4),OR(Recherche!$C$5="",B1415&amp;""=Recherche!$C$5&amp;""),OR(Recherche!$C$6="",IFERROR(YEAR(L1415),0)=Recherche!$C$6),OR(Recherche!$C$7="",ISNUMBER(SEARCH(Recherche!$C$7,H1415))),OR(Recherche!$C$8="",J1415=Recherche!$C$8),OR(Recherche!$C$9="",I1415=Recherche!$C$9),OR(Recherche!$C$10="",G1415&amp;""=Recherche!$C$10&amp;""),OR(Recherche!$C$11="",E1415=Recherche!$C$11),OR(Recherche!$C$12="",ISNUMBER(SEARCH(Recherche!$C$12,M1415&amp;" "&amp;F1415)))),1,0)</f>
        <v>8</v>
      </c>
    </row>
    <row r="1416" customFormat="false" ht="15" hidden="false" customHeight="false" outlineLevel="0" collapsed="false">
      <c r="A1416" s="19"/>
      <c r="B1416" s="19"/>
      <c r="C1416" s="19"/>
      <c r="D1416" s="19"/>
      <c r="E1416" s="22"/>
      <c r="F1416" s="19"/>
      <c r="G1416" s="26" t="str">
        <f aca="false">IF(D1416="","",IFERROR(VALUE(LEFT(D1416,FIND(" |",D1416&amp;" |")-1)),"?"))</f>
        <v/>
      </c>
      <c r="H1416" s="27" t="str">
        <f aca="false">IF(G1416="","",IF(G1416="?","⚠ pub inconnue",IFERROR(INDEX(Pubs!$B$2:$B$3001,MATCH(G1416,Pubs!$A$2:$A$3001,0))&amp;"","⚠ pub inconnue")))</f>
        <v/>
      </c>
      <c r="I1416" s="27" t="str">
        <f aca="false">IF(OR(G1416="",G1416="?"),"",IFERROR(INDEX(Pubs!$C$2:$C$3001,MATCH(G1416,Pubs!$A$2:$A$3001,0))&amp;"",""))</f>
        <v/>
      </c>
      <c r="J1416" s="27" t="str">
        <f aca="false">IF(OR(G1416="",G1416="?"),"",IFERROR(INDEX(Pubs!$G$2:$G$3001,MATCH(G1416,Pubs!$A$2:$A$3001,0))&amp;"",""))</f>
        <v/>
      </c>
      <c r="K1416" s="28" t="str">
        <f aca="false">IF(OR(G1416="",G1416="?"),"",IFERROR(INDEX(Pubs!$E$2:$E$3001,MATCH(G1416,Pubs!$A$2:$A$3001,0)),""))</f>
        <v/>
      </c>
      <c r="L1416" s="29" t="str">
        <f aca="false">IF(A1416="","",IFERROR(1/(1/INDEX(Numéros!$C$2:$C$3001,MATCH(A1416&amp;"|"&amp;B1416,Numéros!$F$2:$F$3001,0))),""))</f>
        <v/>
      </c>
      <c r="M1416" s="27" t="str">
        <f aca="false">IF(OR(G1416="",G1416="?"),"",IFERROR(INDEX(Pubs!$D$2:$D$3001,MATCH(G1416,Pubs!$A$2:$A$3001,0))&amp;"",""))</f>
        <v/>
      </c>
      <c r="N1416" s="27" t="n">
        <f aca="false">N(N1415)+IF(AND(A1416&lt;&gt;"",OR(Recherche!$C$4="",A1416=Recherche!$C$4),OR(Recherche!$C$5="",B1416&amp;""=Recherche!$C$5&amp;""),OR(Recherche!$C$6="",IFERROR(YEAR(L1416),0)=Recherche!$C$6),OR(Recherche!$C$7="",ISNUMBER(SEARCH(Recherche!$C$7,H1416))),OR(Recherche!$C$8="",J1416=Recherche!$C$8),OR(Recherche!$C$9="",I1416=Recherche!$C$9),OR(Recherche!$C$10="",G1416&amp;""=Recherche!$C$10&amp;""),OR(Recherche!$C$11="",E1416=Recherche!$C$11),OR(Recherche!$C$12="",ISNUMBER(SEARCH(Recherche!$C$12,M1416&amp;" "&amp;F1416)))),1,0)</f>
        <v>8</v>
      </c>
    </row>
    <row r="1417" customFormat="false" ht="15" hidden="false" customHeight="false" outlineLevel="0" collapsed="false">
      <c r="A1417" s="19"/>
      <c r="B1417" s="19"/>
      <c r="C1417" s="19"/>
      <c r="D1417" s="19"/>
      <c r="E1417" s="22"/>
      <c r="F1417" s="19"/>
      <c r="G1417" s="26" t="str">
        <f aca="false">IF(D1417="","",IFERROR(VALUE(LEFT(D1417,FIND(" |",D1417&amp;" |")-1)),"?"))</f>
        <v/>
      </c>
      <c r="H1417" s="27" t="str">
        <f aca="false">IF(G1417="","",IF(G1417="?","⚠ pub inconnue",IFERROR(INDEX(Pubs!$B$2:$B$3001,MATCH(G1417,Pubs!$A$2:$A$3001,0))&amp;"","⚠ pub inconnue")))</f>
        <v/>
      </c>
      <c r="I1417" s="27" t="str">
        <f aca="false">IF(OR(G1417="",G1417="?"),"",IFERROR(INDEX(Pubs!$C$2:$C$3001,MATCH(G1417,Pubs!$A$2:$A$3001,0))&amp;"",""))</f>
        <v/>
      </c>
      <c r="J1417" s="27" t="str">
        <f aca="false">IF(OR(G1417="",G1417="?"),"",IFERROR(INDEX(Pubs!$G$2:$G$3001,MATCH(G1417,Pubs!$A$2:$A$3001,0))&amp;"",""))</f>
        <v/>
      </c>
      <c r="K1417" s="28" t="str">
        <f aca="false">IF(OR(G1417="",G1417="?"),"",IFERROR(INDEX(Pubs!$E$2:$E$3001,MATCH(G1417,Pubs!$A$2:$A$3001,0)),""))</f>
        <v/>
      </c>
      <c r="L1417" s="29" t="str">
        <f aca="false">IF(A1417="","",IFERROR(1/(1/INDEX(Numéros!$C$2:$C$3001,MATCH(A1417&amp;"|"&amp;B1417,Numéros!$F$2:$F$3001,0))),""))</f>
        <v/>
      </c>
      <c r="M1417" s="27" t="str">
        <f aca="false">IF(OR(G1417="",G1417="?"),"",IFERROR(INDEX(Pubs!$D$2:$D$3001,MATCH(G1417,Pubs!$A$2:$A$3001,0))&amp;"",""))</f>
        <v/>
      </c>
      <c r="N1417" s="27" t="n">
        <f aca="false">N(N1416)+IF(AND(A1417&lt;&gt;"",OR(Recherche!$C$4="",A1417=Recherche!$C$4),OR(Recherche!$C$5="",B1417&amp;""=Recherche!$C$5&amp;""),OR(Recherche!$C$6="",IFERROR(YEAR(L1417),0)=Recherche!$C$6),OR(Recherche!$C$7="",ISNUMBER(SEARCH(Recherche!$C$7,H1417))),OR(Recherche!$C$8="",J1417=Recherche!$C$8),OR(Recherche!$C$9="",I1417=Recherche!$C$9),OR(Recherche!$C$10="",G1417&amp;""=Recherche!$C$10&amp;""),OR(Recherche!$C$11="",E1417=Recherche!$C$11),OR(Recherche!$C$12="",ISNUMBER(SEARCH(Recherche!$C$12,M1417&amp;" "&amp;F1417)))),1,0)</f>
        <v>8</v>
      </c>
    </row>
    <row r="1418" customFormat="false" ht="15" hidden="false" customHeight="false" outlineLevel="0" collapsed="false">
      <c r="A1418" s="19"/>
      <c r="B1418" s="19"/>
      <c r="C1418" s="19"/>
      <c r="D1418" s="19"/>
      <c r="E1418" s="22"/>
      <c r="F1418" s="19"/>
      <c r="G1418" s="26" t="str">
        <f aca="false">IF(D1418="","",IFERROR(VALUE(LEFT(D1418,FIND(" |",D1418&amp;" |")-1)),"?"))</f>
        <v/>
      </c>
      <c r="H1418" s="27" t="str">
        <f aca="false">IF(G1418="","",IF(G1418="?","⚠ pub inconnue",IFERROR(INDEX(Pubs!$B$2:$B$3001,MATCH(G1418,Pubs!$A$2:$A$3001,0))&amp;"","⚠ pub inconnue")))</f>
        <v/>
      </c>
      <c r="I1418" s="27" t="str">
        <f aca="false">IF(OR(G1418="",G1418="?"),"",IFERROR(INDEX(Pubs!$C$2:$C$3001,MATCH(G1418,Pubs!$A$2:$A$3001,0))&amp;"",""))</f>
        <v/>
      </c>
      <c r="J1418" s="27" t="str">
        <f aca="false">IF(OR(G1418="",G1418="?"),"",IFERROR(INDEX(Pubs!$G$2:$G$3001,MATCH(G1418,Pubs!$A$2:$A$3001,0))&amp;"",""))</f>
        <v/>
      </c>
      <c r="K1418" s="28" t="str">
        <f aca="false">IF(OR(G1418="",G1418="?"),"",IFERROR(INDEX(Pubs!$E$2:$E$3001,MATCH(G1418,Pubs!$A$2:$A$3001,0)),""))</f>
        <v/>
      </c>
      <c r="L1418" s="29" t="str">
        <f aca="false">IF(A1418="","",IFERROR(1/(1/INDEX(Numéros!$C$2:$C$3001,MATCH(A1418&amp;"|"&amp;B1418,Numéros!$F$2:$F$3001,0))),""))</f>
        <v/>
      </c>
      <c r="M1418" s="27" t="str">
        <f aca="false">IF(OR(G1418="",G1418="?"),"",IFERROR(INDEX(Pubs!$D$2:$D$3001,MATCH(G1418,Pubs!$A$2:$A$3001,0))&amp;"",""))</f>
        <v/>
      </c>
      <c r="N1418" s="27" t="n">
        <f aca="false">N(N1417)+IF(AND(A1418&lt;&gt;"",OR(Recherche!$C$4="",A1418=Recherche!$C$4),OR(Recherche!$C$5="",B1418&amp;""=Recherche!$C$5&amp;""),OR(Recherche!$C$6="",IFERROR(YEAR(L1418),0)=Recherche!$C$6),OR(Recherche!$C$7="",ISNUMBER(SEARCH(Recherche!$C$7,H1418))),OR(Recherche!$C$8="",J1418=Recherche!$C$8),OR(Recherche!$C$9="",I1418=Recherche!$C$9),OR(Recherche!$C$10="",G1418&amp;""=Recherche!$C$10&amp;""),OR(Recherche!$C$11="",E1418=Recherche!$C$11),OR(Recherche!$C$12="",ISNUMBER(SEARCH(Recherche!$C$12,M1418&amp;" "&amp;F1418)))),1,0)</f>
        <v>8</v>
      </c>
    </row>
    <row r="1419" customFormat="false" ht="15" hidden="false" customHeight="false" outlineLevel="0" collapsed="false">
      <c r="A1419" s="19"/>
      <c r="B1419" s="19"/>
      <c r="C1419" s="19"/>
      <c r="D1419" s="19"/>
      <c r="E1419" s="22"/>
      <c r="F1419" s="19"/>
      <c r="G1419" s="26" t="str">
        <f aca="false">IF(D1419="","",IFERROR(VALUE(LEFT(D1419,FIND(" |",D1419&amp;" |")-1)),"?"))</f>
        <v/>
      </c>
      <c r="H1419" s="27" t="str">
        <f aca="false">IF(G1419="","",IF(G1419="?","⚠ pub inconnue",IFERROR(INDEX(Pubs!$B$2:$B$3001,MATCH(G1419,Pubs!$A$2:$A$3001,0))&amp;"","⚠ pub inconnue")))</f>
        <v/>
      </c>
      <c r="I1419" s="27" t="str">
        <f aca="false">IF(OR(G1419="",G1419="?"),"",IFERROR(INDEX(Pubs!$C$2:$C$3001,MATCH(G1419,Pubs!$A$2:$A$3001,0))&amp;"",""))</f>
        <v/>
      </c>
      <c r="J1419" s="27" t="str">
        <f aca="false">IF(OR(G1419="",G1419="?"),"",IFERROR(INDEX(Pubs!$G$2:$G$3001,MATCH(G1419,Pubs!$A$2:$A$3001,0))&amp;"",""))</f>
        <v/>
      </c>
      <c r="K1419" s="28" t="str">
        <f aca="false">IF(OR(G1419="",G1419="?"),"",IFERROR(INDEX(Pubs!$E$2:$E$3001,MATCH(G1419,Pubs!$A$2:$A$3001,0)),""))</f>
        <v/>
      </c>
      <c r="L1419" s="29" t="str">
        <f aca="false">IF(A1419="","",IFERROR(1/(1/INDEX(Numéros!$C$2:$C$3001,MATCH(A1419&amp;"|"&amp;B1419,Numéros!$F$2:$F$3001,0))),""))</f>
        <v/>
      </c>
      <c r="M1419" s="27" t="str">
        <f aca="false">IF(OR(G1419="",G1419="?"),"",IFERROR(INDEX(Pubs!$D$2:$D$3001,MATCH(G1419,Pubs!$A$2:$A$3001,0))&amp;"",""))</f>
        <v/>
      </c>
      <c r="N1419" s="27" t="n">
        <f aca="false">N(N1418)+IF(AND(A1419&lt;&gt;"",OR(Recherche!$C$4="",A1419=Recherche!$C$4),OR(Recherche!$C$5="",B1419&amp;""=Recherche!$C$5&amp;""),OR(Recherche!$C$6="",IFERROR(YEAR(L1419),0)=Recherche!$C$6),OR(Recherche!$C$7="",ISNUMBER(SEARCH(Recherche!$C$7,H1419))),OR(Recherche!$C$8="",J1419=Recherche!$C$8),OR(Recherche!$C$9="",I1419=Recherche!$C$9),OR(Recherche!$C$10="",G1419&amp;""=Recherche!$C$10&amp;""),OR(Recherche!$C$11="",E1419=Recherche!$C$11),OR(Recherche!$C$12="",ISNUMBER(SEARCH(Recherche!$C$12,M1419&amp;" "&amp;F1419)))),1,0)</f>
        <v>8</v>
      </c>
    </row>
    <row r="1420" customFormat="false" ht="15" hidden="false" customHeight="false" outlineLevel="0" collapsed="false">
      <c r="A1420" s="19"/>
      <c r="B1420" s="19"/>
      <c r="C1420" s="19"/>
      <c r="D1420" s="19"/>
      <c r="E1420" s="22"/>
      <c r="F1420" s="19"/>
      <c r="G1420" s="26" t="str">
        <f aca="false">IF(D1420="","",IFERROR(VALUE(LEFT(D1420,FIND(" |",D1420&amp;" |")-1)),"?"))</f>
        <v/>
      </c>
      <c r="H1420" s="27" t="str">
        <f aca="false">IF(G1420="","",IF(G1420="?","⚠ pub inconnue",IFERROR(INDEX(Pubs!$B$2:$B$3001,MATCH(G1420,Pubs!$A$2:$A$3001,0))&amp;"","⚠ pub inconnue")))</f>
        <v/>
      </c>
      <c r="I1420" s="27" t="str">
        <f aca="false">IF(OR(G1420="",G1420="?"),"",IFERROR(INDEX(Pubs!$C$2:$C$3001,MATCH(G1420,Pubs!$A$2:$A$3001,0))&amp;"",""))</f>
        <v/>
      </c>
      <c r="J1420" s="27" t="str">
        <f aca="false">IF(OR(G1420="",G1420="?"),"",IFERROR(INDEX(Pubs!$G$2:$G$3001,MATCH(G1420,Pubs!$A$2:$A$3001,0))&amp;"",""))</f>
        <v/>
      </c>
      <c r="K1420" s="28" t="str">
        <f aca="false">IF(OR(G1420="",G1420="?"),"",IFERROR(INDEX(Pubs!$E$2:$E$3001,MATCH(G1420,Pubs!$A$2:$A$3001,0)),""))</f>
        <v/>
      </c>
      <c r="L1420" s="29" t="str">
        <f aca="false">IF(A1420="","",IFERROR(1/(1/INDEX(Numéros!$C$2:$C$3001,MATCH(A1420&amp;"|"&amp;B1420,Numéros!$F$2:$F$3001,0))),""))</f>
        <v/>
      </c>
      <c r="M1420" s="27" t="str">
        <f aca="false">IF(OR(G1420="",G1420="?"),"",IFERROR(INDEX(Pubs!$D$2:$D$3001,MATCH(G1420,Pubs!$A$2:$A$3001,0))&amp;"",""))</f>
        <v/>
      </c>
      <c r="N1420" s="27" t="n">
        <f aca="false">N(N1419)+IF(AND(A1420&lt;&gt;"",OR(Recherche!$C$4="",A1420=Recherche!$C$4),OR(Recherche!$C$5="",B1420&amp;""=Recherche!$C$5&amp;""),OR(Recherche!$C$6="",IFERROR(YEAR(L1420),0)=Recherche!$C$6),OR(Recherche!$C$7="",ISNUMBER(SEARCH(Recherche!$C$7,H1420))),OR(Recherche!$C$8="",J1420=Recherche!$C$8),OR(Recherche!$C$9="",I1420=Recherche!$C$9),OR(Recherche!$C$10="",G1420&amp;""=Recherche!$C$10&amp;""),OR(Recherche!$C$11="",E1420=Recherche!$C$11),OR(Recherche!$C$12="",ISNUMBER(SEARCH(Recherche!$C$12,M1420&amp;" "&amp;F1420)))),1,0)</f>
        <v>8</v>
      </c>
    </row>
    <row r="1421" customFormat="false" ht="15" hidden="false" customHeight="false" outlineLevel="0" collapsed="false">
      <c r="A1421" s="19"/>
      <c r="B1421" s="19"/>
      <c r="C1421" s="19"/>
      <c r="D1421" s="19"/>
      <c r="E1421" s="22"/>
      <c r="F1421" s="19"/>
      <c r="G1421" s="26" t="str">
        <f aca="false">IF(D1421="","",IFERROR(VALUE(LEFT(D1421,FIND(" |",D1421&amp;" |")-1)),"?"))</f>
        <v/>
      </c>
      <c r="H1421" s="27" t="str">
        <f aca="false">IF(G1421="","",IF(G1421="?","⚠ pub inconnue",IFERROR(INDEX(Pubs!$B$2:$B$3001,MATCH(G1421,Pubs!$A$2:$A$3001,0))&amp;"","⚠ pub inconnue")))</f>
        <v/>
      </c>
      <c r="I1421" s="27" t="str">
        <f aca="false">IF(OR(G1421="",G1421="?"),"",IFERROR(INDEX(Pubs!$C$2:$C$3001,MATCH(G1421,Pubs!$A$2:$A$3001,0))&amp;"",""))</f>
        <v/>
      </c>
      <c r="J1421" s="27" t="str">
        <f aca="false">IF(OR(G1421="",G1421="?"),"",IFERROR(INDEX(Pubs!$G$2:$G$3001,MATCH(G1421,Pubs!$A$2:$A$3001,0))&amp;"",""))</f>
        <v/>
      </c>
      <c r="K1421" s="28" t="str">
        <f aca="false">IF(OR(G1421="",G1421="?"),"",IFERROR(INDEX(Pubs!$E$2:$E$3001,MATCH(G1421,Pubs!$A$2:$A$3001,0)),""))</f>
        <v/>
      </c>
      <c r="L1421" s="29" t="str">
        <f aca="false">IF(A1421="","",IFERROR(1/(1/INDEX(Numéros!$C$2:$C$3001,MATCH(A1421&amp;"|"&amp;B1421,Numéros!$F$2:$F$3001,0))),""))</f>
        <v/>
      </c>
      <c r="M1421" s="27" t="str">
        <f aca="false">IF(OR(G1421="",G1421="?"),"",IFERROR(INDEX(Pubs!$D$2:$D$3001,MATCH(G1421,Pubs!$A$2:$A$3001,0))&amp;"",""))</f>
        <v/>
      </c>
      <c r="N1421" s="27" t="n">
        <f aca="false">N(N1420)+IF(AND(A1421&lt;&gt;"",OR(Recherche!$C$4="",A1421=Recherche!$C$4),OR(Recherche!$C$5="",B1421&amp;""=Recherche!$C$5&amp;""),OR(Recherche!$C$6="",IFERROR(YEAR(L1421),0)=Recherche!$C$6),OR(Recherche!$C$7="",ISNUMBER(SEARCH(Recherche!$C$7,H1421))),OR(Recherche!$C$8="",J1421=Recherche!$C$8),OR(Recherche!$C$9="",I1421=Recherche!$C$9),OR(Recherche!$C$10="",G1421&amp;""=Recherche!$C$10&amp;""),OR(Recherche!$C$11="",E1421=Recherche!$C$11),OR(Recherche!$C$12="",ISNUMBER(SEARCH(Recherche!$C$12,M1421&amp;" "&amp;F1421)))),1,0)</f>
        <v>8</v>
      </c>
    </row>
    <row r="1422" customFormat="false" ht="15" hidden="false" customHeight="false" outlineLevel="0" collapsed="false">
      <c r="A1422" s="19"/>
      <c r="B1422" s="19"/>
      <c r="C1422" s="19"/>
      <c r="D1422" s="19"/>
      <c r="E1422" s="22"/>
      <c r="F1422" s="19"/>
      <c r="G1422" s="26" t="str">
        <f aca="false">IF(D1422="","",IFERROR(VALUE(LEFT(D1422,FIND(" |",D1422&amp;" |")-1)),"?"))</f>
        <v/>
      </c>
      <c r="H1422" s="27" t="str">
        <f aca="false">IF(G1422="","",IF(G1422="?","⚠ pub inconnue",IFERROR(INDEX(Pubs!$B$2:$B$3001,MATCH(G1422,Pubs!$A$2:$A$3001,0))&amp;"","⚠ pub inconnue")))</f>
        <v/>
      </c>
      <c r="I1422" s="27" t="str">
        <f aca="false">IF(OR(G1422="",G1422="?"),"",IFERROR(INDEX(Pubs!$C$2:$C$3001,MATCH(G1422,Pubs!$A$2:$A$3001,0))&amp;"",""))</f>
        <v/>
      </c>
      <c r="J1422" s="27" t="str">
        <f aca="false">IF(OR(G1422="",G1422="?"),"",IFERROR(INDEX(Pubs!$G$2:$G$3001,MATCH(G1422,Pubs!$A$2:$A$3001,0))&amp;"",""))</f>
        <v/>
      </c>
      <c r="K1422" s="28" t="str">
        <f aca="false">IF(OR(G1422="",G1422="?"),"",IFERROR(INDEX(Pubs!$E$2:$E$3001,MATCH(G1422,Pubs!$A$2:$A$3001,0)),""))</f>
        <v/>
      </c>
      <c r="L1422" s="29" t="str">
        <f aca="false">IF(A1422="","",IFERROR(1/(1/INDEX(Numéros!$C$2:$C$3001,MATCH(A1422&amp;"|"&amp;B1422,Numéros!$F$2:$F$3001,0))),""))</f>
        <v/>
      </c>
      <c r="M1422" s="27" t="str">
        <f aca="false">IF(OR(G1422="",G1422="?"),"",IFERROR(INDEX(Pubs!$D$2:$D$3001,MATCH(G1422,Pubs!$A$2:$A$3001,0))&amp;"",""))</f>
        <v/>
      </c>
      <c r="N1422" s="27" t="n">
        <f aca="false">N(N1421)+IF(AND(A1422&lt;&gt;"",OR(Recherche!$C$4="",A1422=Recherche!$C$4),OR(Recherche!$C$5="",B1422&amp;""=Recherche!$C$5&amp;""),OR(Recherche!$C$6="",IFERROR(YEAR(L1422),0)=Recherche!$C$6),OR(Recherche!$C$7="",ISNUMBER(SEARCH(Recherche!$C$7,H1422))),OR(Recherche!$C$8="",J1422=Recherche!$C$8),OR(Recherche!$C$9="",I1422=Recherche!$C$9),OR(Recherche!$C$10="",G1422&amp;""=Recherche!$C$10&amp;""),OR(Recherche!$C$11="",E1422=Recherche!$C$11),OR(Recherche!$C$12="",ISNUMBER(SEARCH(Recherche!$C$12,M1422&amp;" "&amp;F1422)))),1,0)</f>
        <v>8</v>
      </c>
    </row>
    <row r="1423" customFormat="false" ht="15" hidden="false" customHeight="false" outlineLevel="0" collapsed="false">
      <c r="A1423" s="19"/>
      <c r="B1423" s="19"/>
      <c r="C1423" s="19"/>
      <c r="D1423" s="19"/>
      <c r="E1423" s="22"/>
      <c r="F1423" s="19"/>
      <c r="G1423" s="26" t="str">
        <f aca="false">IF(D1423="","",IFERROR(VALUE(LEFT(D1423,FIND(" |",D1423&amp;" |")-1)),"?"))</f>
        <v/>
      </c>
      <c r="H1423" s="27" t="str">
        <f aca="false">IF(G1423="","",IF(G1423="?","⚠ pub inconnue",IFERROR(INDEX(Pubs!$B$2:$B$3001,MATCH(G1423,Pubs!$A$2:$A$3001,0))&amp;"","⚠ pub inconnue")))</f>
        <v/>
      </c>
      <c r="I1423" s="27" t="str">
        <f aca="false">IF(OR(G1423="",G1423="?"),"",IFERROR(INDEX(Pubs!$C$2:$C$3001,MATCH(G1423,Pubs!$A$2:$A$3001,0))&amp;"",""))</f>
        <v/>
      </c>
      <c r="J1423" s="27" t="str">
        <f aca="false">IF(OR(G1423="",G1423="?"),"",IFERROR(INDEX(Pubs!$G$2:$G$3001,MATCH(G1423,Pubs!$A$2:$A$3001,0))&amp;"",""))</f>
        <v/>
      </c>
      <c r="K1423" s="28" t="str">
        <f aca="false">IF(OR(G1423="",G1423="?"),"",IFERROR(INDEX(Pubs!$E$2:$E$3001,MATCH(G1423,Pubs!$A$2:$A$3001,0)),""))</f>
        <v/>
      </c>
      <c r="L1423" s="29" t="str">
        <f aca="false">IF(A1423="","",IFERROR(1/(1/INDEX(Numéros!$C$2:$C$3001,MATCH(A1423&amp;"|"&amp;B1423,Numéros!$F$2:$F$3001,0))),""))</f>
        <v/>
      </c>
      <c r="M1423" s="27" t="str">
        <f aca="false">IF(OR(G1423="",G1423="?"),"",IFERROR(INDEX(Pubs!$D$2:$D$3001,MATCH(G1423,Pubs!$A$2:$A$3001,0))&amp;"",""))</f>
        <v/>
      </c>
      <c r="N1423" s="27" t="n">
        <f aca="false">N(N1422)+IF(AND(A1423&lt;&gt;"",OR(Recherche!$C$4="",A1423=Recherche!$C$4),OR(Recherche!$C$5="",B1423&amp;""=Recherche!$C$5&amp;""),OR(Recherche!$C$6="",IFERROR(YEAR(L1423),0)=Recherche!$C$6),OR(Recherche!$C$7="",ISNUMBER(SEARCH(Recherche!$C$7,H1423))),OR(Recherche!$C$8="",J1423=Recherche!$C$8),OR(Recherche!$C$9="",I1423=Recherche!$C$9),OR(Recherche!$C$10="",G1423&amp;""=Recherche!$C$10&amp;""),OR(Recherche!$C$11="",E1423=Recherche!$C$11),OR(Recherche!$C$12="",ISNUMBER(SEARCH(Recherche!$C$12,M1423&amp;" "&amp;F1423)))),1,0)</f>
        <v>8</v>
      </c>
    </row>
    <row r="1424" customFormat="false" ht="15" hidden="false" customHeight="false" outlineLevel="0" collapsed="false">
      <c r="A1424" s="19"/>
      <c r="B1424" s="19"/>
      <c r="C1424" s="19"/>
      <c r="D1424" s="19"/>
      <c r="E1424" s="22"/>
      <c r="F1424" s="19"/>
      <c r="G1424" s="26" t="str">
        <f aca="false">IF(D1424="","",IFERROR(VALUE(LEFT(D1424,FIND(" |",D1424&amp;" |")-1)),"?"))</f>
        <v/>
      </c>
      <c r="H1424" s="27" t="str">
        <f aca="false">IF(G1424="","",IF(G1424="?","⚠ pub inconnue",IFERROR(INDEX(Pubs!$B$2:$B$3001,MATCH(G1424,Pubs!$A$2:$A$3001,0))&amp;"","⚠ pub inconnue")))</f>
        <v/>
      </c>
      <c r="I1424" s="27" t="str">
        <f aca="false">IF(OR(G1424="",G1424="?"),"",IFERROR(INDEX(Pubs!$C$2:$C$3001,MATCH(G1424,Pubs!$A$2:$A$3001,0))&amp;"",""))</f>
        <v/>
      </c>
      <c r="J1424" s="27" t="str">
        <f aca="false">IF(OR(G1424="",G1424="?"),"",IFERROR(INDEX(Pubs!$G$2:$G$3001,MATCH(G1424,Pubs!$A$2:$A$3001,0))&amp;"",""))</f>
        <v/>
      </c>
      <c r="K1424" s="28" t="str">
        <f aca="false">IF(OR(G1424="",G1424="?"),"",IFERROR(INDEX(Pubs!$E$2:$E$3001,MATCH(G1424,Pubs!$A$2:$A$3001,0)),""))</f>
        <v/>
      </c>
      <c r="L1424" s="29" t="str">
        <f aca="false">IF(A1424="","",IFERROR(1/(1/INDEX(Numéros!$C$2:$C$3001,MATCH(A1424&amp;"|"&amp;B1424,Numéros!$F$2:$F$3001,0))),""))</f>
        <v/>
      </c>
      <c r="M1424" s="27" t="str">
        <f aca="false">IF(OR(G1424="",G1424="?"),"",IFERROR(INDEX(Pubs!$D$2:$D$3001,MATCH(G1424,Pubs!$A$2:$A$3001,0))&amp;"",""))</f>
        <v/>
      </c>
      <c r="N1424" s="27" t="n">
        <f aca="false">N(N1423)+IF(AND(A1424&lt;&gt;"",OR(Recherche!$C$4="",A1424=Recherche!$C$4),OR(Recherche!$C$5="",B1424&amp;""=Recherche!$C$5&amp;""),OR(Recherche!$C$6="",IFERROR(YEAR(L1424),0)=Recherche!$C$6),OR(Recherche!$C$7="",ISNUMBER(SEARCH(Recherche!$C$7,H1424))),OR(Recherche!$C$8="",J1424=Recherche!$C$8),OR(Recherche!$C$9="",I1424=Recherche!$C$9),OR(Recherche!$C$10="",G1424&amp;""=Recherche!$C$10&amp;""),OR(Recherche!$C$11="",E1424=Recherche!$C$11),OR(Recherche!$C$12="",ISNUMBER(SEARCH(Recherche!$C$12,M1424&amp;" "&amp;F1424)))),1,0)</f>
        <v>8</v>
      </c>
    </row>
    <row r="1425" customFormat="false" ht="15" hidden="false" customHeight="false" outlineLevel="0" collapsed="false">
      <c r="A1425" s="19"/>
      <c r="B1425" s="19"/>
      <c r="C1425" s="19"/>
      <c r="D1425" s="19"/>
      <c r="E1425" s="22"/>
      <c r="F1425" s="19"/>
      <c r="G1425" s="26" t="str">
        <f aca="false">IF(D1425="","",IFERROR(VALUE(LEFT(D1425,FIND(" |",D1425&amp;" |")-1)),"?"))</f>
        <v/>
      </c>
      <c r="H1425" s="27" t="str">
        <f aca="false">IF(G1425="","",IF(G1425="?","⚠ pub inconnue",IFERROR(INDEX(Pubs!$B$2:$B$3001,MATCH(G1425,Pubs!$A$2:$A$3001,0))&amp;"","⚠ pub inconnue")))</f>
        <v/>
      </c>
      <c r="I1425" s="27" t="str">
        <f aca="false">IF(OR(G1425="",G1425="?"),"",IFERROR(INDEX(Pubs!$C$2:$C$3001,MATCH(G1425,Pubs!$A$2:$A$3001,0))&amp;"",""))</f>
        <v/>
      </c>
      <c r="J1425" s="27" t="str">
        <f aca="false">IF(OR(G1425="",G1425="?"),"",IFERROR(INDEX(Pubs!$G$2:$G$3001,MATCH(G1425,Pubs!$A$2:$A$3001,0))&amp;"",""))</f>
        <v/>
      </c>
      <c r="K1425" s="28" t="str">
        <f aca="false">IF(OR(G1425="",G1425="?"),"",IFERROR(INDEX(Pubs!$E$2:$E$3001,MATCH(G1425,Pubs!$A$2:$A$3001,0)),""))</f>
        <v/>
      </c>
      <c r="L1425" s="29" t="str">
        <f aca="false">IF(A1425="","",IFERROR(1/(1/INDEX(Numéros!$C$2:$C$3001,MATCH(A1425&amp;"|"&amp;B1425,Numéros!$F$2:$F$3001,0))),""))</f>
        <v/>
      </c>
      <c r="M1425" s="27" t="str">
        <f aca="false">IF(OR(G1425="",G1425="?"),"",IFERROR(INDEX(Pubs!$D$2:$D$3001,MATCH(G1425,Pubs!$A$2:$A$3001,0))&amp;"",""))</f>
        <v/>
      </c>
      <c r="N1425" s="27" t="n">
        <f aca="false">N(N1424)+IF(AND(A1425&lt;&gt;"",OR(Recherche!$C$4="",A1425=Recherche!$C$4),OR(Recherche!$C$5="",B1425&amp;""=Recherche!$C$5&amp;""),OR(Recherche!$C$6="",IFERROR(YEAR(L1425),0)=Recherche!$C$6),OR(Recherche!$C$7="",ISNUMBER(SEARCH(Recherche!$C$7,H1425))),OR(Recherche!$C$8="",J1425=Recherche!$C$8),OR(Recherche!$C$9="",I1425=Recherche!$C$9),OR(Recherche!$C$10="",G1425&amp;""=Recherche!$C$10&amp;""),OR(Recherche!$C$11="",E1425=Recherche!$C$11),OR(Recherche!$C$12="",ISNUMBER(SEARCH(Recherche!$C$12,M1425&amp;" "&amp;F1425)))),1,0)</f>
        <v>8</v>
      </c>
    </row>
    <row r="1426" customFormat="false" ht="15" hidden="false" customHeight="false" outlineLevel="0" collapsed="false">
      <c r="A1426" s="19"/>
      <c r="B1426" s="19"/>
      <c r="C1426" s="19"/>
      <c r="D1426" s="19"/>
      <c r="E1426" s="22"/>
      <c r="F1426" s="19"/>
      <c r="G1426" s="26" t="str">
        <f aca="false">IF(D1426="","",IFERROR(VALUE(LEFT(D1426,FIND(" |",D1426&amp;" |")-1)),"?"))</f>
        <v/>
      </c>
      <c r="H1426" s="27" t="str">
        <f aca="false">IF(G1426="","",IF(G1426="?","⚠ pub inconnue",IFERROR(INDEX(Pubs!$B$2:$B$3001,MATCH(G1426,Pubs!$A$2:$A$3001,0))&amp;"","⚠ pub inconnue")))</f>
        <v/>
      </c>
      <c r="I1426" s="27" t="str">
        <f aca="false">IF(OR(G1426="",G1426="?"),"",IFERROR(INDEX(Pubs!$C$2:$C$3001,MATCH(G1426,Pubs!$A$2:$A$3001,0))&amp;"",""))</f>
        <v/>
      </c>
      <c r="J1426" s="27" t="str">
        <f aca="false">IF(OR(G1426="",G1426="?"),"",IFERROR(INDEX(Pubs!$G$2:$G$3001,MATCH(G1426,Pubs!$A$2:$A$3001,0))&amp;"",""))</f>
        <v/>
      </c>
      <c r="K1426" s="28" t="str">
        <f aca="false">IF(OR(G1426="",G1426="?"),"",IFERROR(INDEX(Pubs!$E$2:$E$3001,MATCH(G1426,Pubs!$A$2:$A$3001,0)),""))</f>
        <v/>
      </c>
      <c r="L1426" s="29" t="str">
        <f aca="false">IF(A1426="","",IFERROR(1/(1/INDEX(Numéros!$C$2:$C$3001,MATCH(A1426&amp;"|"&amp;B1426,Numéros!$F$2:$F$3001,0))),""))</f>
        <v/>
      </c>
      <c r="M1426" s="27" t="str">
        <f aca="false">IF(OR(G1426="",G1426="?"),"",IFERROR(INDEX(Pubs!$D$2:$D$3001,MATCH(G1426,Pubs!$A$2:$A$3001,0))&amp;"",""))</f>
        <v/>
      </c>
      <c r="N1426" s="27" t="n">
        <f aca="false">N(N1425)+IF(AND(A1426&lt;&gt;"",OR(Recherche!$C$4="",A1426=Recherche!$C$4),OR(Recherche!$C$5="",B1426&amp;""=Recherche!$C$5&amp;""),OR(Recherche!$C$6="",IFERROR(YEAR(L1426),0)=Recherche!$C$6),OR(Recherche!$C$7="",ISNUMBER(SEARCH(Recherche!$C$7,H1426))),OR(Recherche!$C$8="",J1426=Recherche!$C$8),OR(Recherche!$C$9="",I1426=Recherche!$C$9),OR(Recherche!$C$10="",G1426&amp;""=Recherche!$C$10&amp;""),OR(Recherche!$C$11="",E1426=Recherche!$C$11),OR(Recherche!$C$12="",ISNUMBER(SEARCH(Recherche!$C$12,M1426&amp;" "&amp;F1426)))),1,0)</f>
        <v>8</v>
      </c>
    </row>
    <row r="1427" customFormat="false" ht="15" hidden="false" customHeight="false" outlineLevel="0" collapsed="false">
      <c r="A1427" s="19"/>
      <c r="B1427" s="19"/>
      <c r="C1427" s="19"/>
      <c r="D1427" s="19"/>
      <c r="E1427" s="22"/>
      <c r="F1427" s="19"/>
      <c r="G1427" s="26" t="str">
        <f aca="false">IF(D1427="","",IFERROR(VALUE(LEFT(D1427,FIND(" |",D1427&amp;" |")-1)),"?"))</f>
        <v/>
      </c>
      <c r="H1427" s="27" t="str">
        <f aca="false">IF(G1427="","",IF(G1427="?","⚠ pub inconnue",IFERROR(INDEX(Pubs!$B$2:$B$3001,MATCH(G1427,Pubs!$A$2:$A$3001,0))&amp;"","⚠ pub inconnue")))</f>
        <v/>
      </c>
      <c r="I1427" s="27" t="str">
        <f aca="false">IF(OR(G1427="",G1427="?"),"",IFERROR(INDEX(Pubs!$C$2:$C$3001,MATCH(G1427,Pubs!$A$2:$A$3001,0))&amp;"",""))</f>
        <v/>
      </c>
      <c r="J1427" s="27" t="str">
        <f aca="false">IF(OR(G1427="",G1427="?"),"",IFERROR(INDEX(Pubs!$G$2:$G$3001,MATCH(G1427,Pubs!$A$2:$A$3001,0))&amp;"",""))</f>
        <v/>
      </c>
      <c r="K1427" s="28" t="str">
        <f aca="false">IF(OR(G1427="",G1427="?"),"",IFERROR(INDEX(Pubs!$E$2:$E$3001,MATCH(G1427,Pubs!$A$2:$A$3001,0)),""))</f>
        <v/>
      </c>
      <c r="L1427" s="29" t="str">
        <f aca="false">IF(A1427="","",IFERROR(1/(1/INDEX(Numéros!$C$2:$C$3001,MATCH(A1427&amp;"|"&amp;B1427,Numéros!$F$2:$F$3001,0))),""))</f>
        <v/>
      </c>
      <c r="M1427" s="27" t="str">
        <f aca="false">IF(OR(G1427="",G1427="?"),"",IFERROR(INDEX(Pubs!$D$2:$D$3001,MATCH(G1427,Pubs!$A$2:$A$3001,0))&amp;"",""))</f>
        <v/>
      </c>
      <c r="N1427" s="27" t="n">
        <f aca="false">N(N1426)+IF(AND(A1427&lt;&gt;"",OR(Recherche!$C$4="",A1427=Recherche!$C$4),OR(Recherche!$C$5="",B1427&amp;""=Recherche!$C$5&amp;""),OR(Recherche!$C$6="",IFERROR(YEAR(L1427),0)=Recherche!$C$6),OR(Recherche!$C$7="",ISNUMBER(SEARCH(Recherche!$C$7,H1427))),OR(Recherche!$C$8="",J1427=Recherche!$C$8),OR(Recherche!$C$9="",I1427=Recherche!$C$9),OR(Recherche!$C$10="",G1427&amp;""=Recherche!$C$10&amp;""),OR(Recherche!$C$11="",E1427=Recherche!$C$11),OR(Recherche!$C$12="",ISNUMBER(SEARCH(Recherche!$C$12,M1427&amp;" "&amp;F1427)))),1,0)</f>
        <v>8</v>
      </c>
    </row>
    <row r="1428" customFormat="false" ht="15" hidden="false" customHeight="false" outlineLevel="0" collapsed="false">
      <c r="A1428" s="19"/>
      <c r="B1428" s="19"/>
      <c r="C1428" s="19"/>
      <c r="D1428" s="19"/>
      <c r="E1428" s="22"/>
      <c r="F1428" s="19"/>
      <c r="G1428" s="26" t="str">
        <f aca="false">IF(D1428="","",IFERROR(VALUE(LEFT(D1428,FIND(" |",D1428&amp;" |")-1)),"?"))</f>
        <v/>
      </c>
      <c r="H1428" s="27" t="str">
        <f aca="false">IF(G1428="","",IF(G1428="?","⚠ pub inconnue",IFERROR(INDEX(Pubs!$B$2:$B$3001,MATCH(G1428,Pubs!$A$2:$A$3001,0))&amp;"","⚠ pub inconnue")))</f>
        <v/>
      </c>
      <c r="I1428" s="27" t="str">
        <f aca="false">IF(OR(G1428="",G1428="?"),"",IFERROR(INDEX(Pubs!$C$2:$C$3001,MATCH(G1428,Pubs!$A$2:$A$3001,0))&amp;"",""))</f>
        <v/>
      </c>
      <c r="J1428" s="27" t="str">
        <f aca="false">IF(OR(G1428="",G1428="?"),"",IFERROR(INDEX(Pubs!$G$2:$G$3001,MATCH(G1428,Pubs!$A$2:$A$3001,0))&amp;"",""))</f>
        <v/>
      </c>
      <c r="K1428" s="28" t="str">
        <f aca="false">IF(OR(G1428="",G1428="?"),"",IFERROR(INDEX(Pubs!$E$2:$E$3001,MATCH(G1428,Pubs!$A$2:$A$3001,0)),""))</f>
        <v/>
      </c>
      <c r="L1428" s="29" t="str">
        <f aca="false">IF(A1428="","",IFERROR(1/(1/INDEX(Numéros!$C$2:$C$3001,MATCH(A1428&amp;"|"&amp;B1428,Numéros!$F$2:$F$3001,0))),""))</f>
        <v/>
      </c>
      <c r="M1428" s="27" t="str">
        <f aca="false">IF(OR(G1428="",G1428="?"),"",IFERROR(INDEX(Pubs!$D$2:$D$3001,MATCH(G1428,Pubs!$A$2:$A$3001,0))&amp;"",""))</f>
        <v/>
      </c>
      <c r="N1428" s="27" t="n">
        <f aca="false">N(N1427)+IF(AND(A1428&lt;&gt;"",OR(Recherche!$C$4="",A1428=Recherche!$C$4),OR(Recherche!$C$5="",B1428&amp;""=Recherche!$C$5&amp;""),OR(Recherche!$C$6="",IFERROR(YEAR(L1428),0)=Recherche!$C$6),OR(Recherche!$C$7="",ISNUMBER(SEARCH(Recherche!$C$7,H1428))),OR(Recherche!$C$8="",J1428=Recherche!$C$8),OR(Recherche!$C$9="",I1428=Recherche!$C$9),OR(Recherche!$C$10="",G1428&amp;""=Recherche!$C$10&amp;""),OR(Recherche!$C$11="",E1428=Recherche!$C$11),OR(Recherche!$C$12="",ISNUMBER(SEARCH(Recherche!$C$12,M1428&amp;" "&amp;F1428)))),1,0)</f>
        <v>8</v>
      </c>
    </row>
    <row r="1429" customFormat="false" ht="15" hidden="false" customHeight="false" outlineLevel="0" collapsed="false">
      <c r="A1429" s="19"/>
      <c r="B1429" s="19"/>
      <c r="C1429" s="19"/>
      <c r="D1429" s="19"/>
      <c r="E1429" s="22"/>
      <c r="F1429" s="19"/>
      <c r="G1429" s="26" t="str">
        <f aca="false">IF(D1429="","",IFERROR(VALUE(LEFT(D1429,FIND(" |",D1429&amp;" |")-1)),"?"))</f>
        <v/>
      </c>
      <c r="H1429" s="27" t="str">
        <f aca="false">IF(G1429="","",IF(G1429="?","⚠ pub inconnue",IFERROR(INDEX(Pubs!$B$2:$B$3001,MATCH(G1429,Pubs!$A$2:$A$3001,0))&amp;"","⚠ pub inconnue")))</f>
        <v/>
      </c>
      <c r="I1429" s="27" t="str">
        <f aca="false">IF(OR(G1429="",G1429="?"),"",IFERROR(INDEX(Pubs!$C$2:$C$3001,MATCH(G1429,Pubs!$A$2:$A$3001,0))&amp;"",""))</f>
        <v/>
      </c>
      <c r="J1429" s="27" t="str">
        <f aca="false">IF(OR(G1429="",G1429="?"),"",IFERROR(INDEX(Pubs!$G$2:$G$3001,MATCH(G1429,Pubs!$A$2:$A$3001,0))&amp;"",""))</f>
        <v/>
      </c>
      <c r="K1429" s="28" t="str">
        <f aca="false">IF(OR(G1429="",G1429="?"),"",IFERROR(INDEX(Pubs!$E$2:$E$3001,MATCH(G1429,Pubs!$A$2:$A$3001,0)),""))</f>
        <v/>
      </c>
      <c r="L1429" s="29" t="str">
        <f aca="false">IF(A1429="","",IFERROR(1/(1/INDEX(Numéros!$C$2:$C$3001,MATCH(A1429&amp;"|"&amp;B1429,Numéros!$F$2:$F$3001,0))),""))</f>
        <v/>
      </c>
      <c r="M1429" s="27" t="str">
        <f aca="false">IF(OR(G1429="",G1429="?"),"",IFERROR(INDEX(Pubs!$D$2:$D$3001,MATCH(G1429,Pubs!$A$2:$A$3001,0))&amp;"",""))</f>
        <v/>
      </c>
      <c r="N1429" s="27" t="n">
        <f aca="false">N(N1428)+IF(AND(A1429&lt;&gt;"",OR(Recherche!$C$4="",A1429=Recherche!$C$4),OR(Recherche!$C$5="",B1429&amp;""=Recherche!$C$5&amp;""),OR(Recherche!$C$6="",IFERROR(YEAR(L1429),0)=Recherche!$C$6),OR(Recherche!$C$7="",ISNUMBER(SEARCH(Recherche!$C$7,H1429))),OR(Recherche!$C$8="",J1429=Recherche!$C$8),OR(Recherche!$C$9="",I1429=Recherche!$C$9),OR(Recherche!$C$10="",G1429&amp;""=Recherche!$C$10&amp;""),OR(Recherche!$C$11="",E1429=Recherche!$C$11),OR(Recherche!$C$12="",ISNUMBER(SEARCH(Recherche!$C$12,M1429&amp;" "&amp;F1429)))),1,0)</f>
        <v>8</v>
      </c>
    </row>
    <row r="1430" customFormat="false" ht="15" hidden="false" customHeight="false" outlineLevel="0" collapsed="false">
      <c r="A1430" s="19"/>
      <c r="B1430" s="19"/>
      <c r="C1430" s="19"/>
      <c r="D1430" s="19"/>
      <c r="E1430" s="22"/>
      <c r="F1430" s="19"/>
      <c r="G1430" s="26" t="str">
        <f aca="false">IF(D1430="","",IFERROR(VALUE(LEFT(D1430,FIND(" |",D1430&amp;" |")-1)),"?"))</f>
        <v/>
      </c>
      <c r="H1430" s="27" t="str">
        <f aca="false">IF(G1430="","",IF(G1430="?","⚠ pub inconnue",IFERROR(INDEX(Pubs!$B$2:$B$3001,MATCH(G1430,Pubs!$A$2:$A$3001,0))&amp;"","⚠ pub inconnue")))</f>
        <v/>
      </c>
      <c r="I1430" s="27" t="str">
        <f aca="false">IF(OR(G1430="",G1430="?"),"",IFERROR(INDEX(Pubs!$C$2:$C$3001,MATCH(G1430,Pubs!$A$2:$A$3001,0))&amp;"",""))</f>
        <v/>
      </c>
      <c r="J1430" s="27" t="str">
        <f aca="false">IF(OR(G1430="",G1430="?"),"",IFERROR(INDEX(Pubs!$G$2:$G$3001,MATCH(G1430,Pubs!$A$2:$A$3001,0))&amp;"",""))</f>
        <v/>
      </c>
      <c r="K1430" s="28" t="str">
        <f aca="false">IF(OR(G1430="",G1430="?"),"",IFERROR(INDEX(Pubs!$E$2:$E$3001,MATCH(G1430,Pubs!$A$2:$A$3001,0)),""))</f>
        <v/>
      </c>
      <c r="L1430" s="29" t="str">
        <f aca="false">IF(A1430="","",IFERROR(1/(1/INDEX(Numéros!$C$2:$C$3001,MATCH(A1430&amp;"|"&amp;B1430,Numéros!$F$2:$F$3001,0))),""))</f>
        <v/>
      </c>
      <c r="M1430" s="27" t="str">
        <f aca="false">IF(OR(G1430="",G1430="?"),"",IFERROR(INDEX(Pubs!$D$2:$D$3001,MATCH(G1430,Pubs!$A$2:$A$3001,0))&amp;"",""))</f>
        <v/>
      </c>
      <c r="N1430" s="27" t="n">
        <f aca="false">N(N1429)+IF(AND(A1430&lt;&gt;"",OR(Recherche!$C$4="",A1430=Recherche!$C$4),OR(Recherche!$C$5="",B1430&amp;""=Recherche!$C$5&amp;""),OR(Recherche!$C$6="",IFERROR(YEAR(L1430),0)=Recherche!$C$6),OR(Recherche!$C$7="",ISNUMBER(SEARCH(Recherche!$C$7,H1430))),OR(Recherche!$C$8="",J1430=Recherche!$C$8),OR(Recherche!$C$9="",I1430=Recherche!$C$9),OR(Recherche!$C$10="",G1430&amp;""=Recherche!$C$10&amp;""),OR(Recherche!$C$11="",E1430=Recherche!$C$11),OR(Recherche!$C$12="",ISNUMBER(SEARCH(Recherche!$C$12,M1430&amp;" "&amp;F1430)))),1,0)</f>
        <v>8</v>
      </c>
    </row>
    <row r="1431" customFormat="false" ht="15" hidden="false" customHeight="false" outlineLevel="0" collapsed="false">
      <c r="A1431" s="19"/>
      <c r="B1431" s="19"/>
      <c r="C1431" s="19"/>
      <c r="D1431" s="19"/>
      <c r="E1431" s="22"/>
      <c r="F1431" s="19"/>
      <c r="G1431" s="26" t="str">
        <f aca="false">IF(D1431="","",IFERROR(VALUE(LEFT(D1431,FIND(" |",D1431&amp;" |")-1)),"?"))</f>
        <v/>
      </c>
      <c r="H1431" s="27" t="str">
        <f aca="false">IF(G1431="","",IF(G1431="?","⚠ pub inconnue",IFERROR(INDEX(Pubs!$B$2:$B$3001,MATCH(G1431,Pubs!$A$2:$A$3001,0))&amp;"","⚠ pub inconnue")))</f>
        <v/>
      </c>
      <c r="I1431" s="27" t="str">
        <f aca="false">IF(OR(G1431="",G1431="?"),"",IFERROR(INDEX(Pubs!$C$2:$C$3001,MATCH(G1431,Pubs!$A$2:$A$3001,0))&amp;"",""))</f>
        <v/>
      </c>
      <c r="J1431" s="27" t="str">
        <f aca="false">IF(OR(G1431="",G1431="?"),"",IFERROR(INDEX(Pubs!$G$2:$G$3001,MATCH(G1431,Pubs!$A$2:$A$3001,0))&amp;"",""))</f>
        <v/>
      </c>
      <c r="K1431" s="28" t="str">
        <f aca="false">IF(OR(G1431="",G1431="?"),"",IFERROR(INDEX(Pubs!$E$2:$E$3001,MATCH(G1431,Pubs!$A$2:$A$3001,0)),""))</f>
        <v/>
      </c>
      <c r="L1431" s="29" t="str">
        <f aca="false">IF(A1431="","",IFERROR(1/(1/INDEX(Numéros!$C$2:$C$3001,MATCH(A1431&amp;"|"&amp;B1431,Numéros!$F$2:$F$3001,0))),""))</f>
        <v/>
      </c>
      <c r="M1431" s="27" t="str">
        <f aca="false">IF(OR(G1431="",G1431="?"),"",IFERROR(INDEX(Pubs!$D$2:$D$3001,MATCH(G1431,Pubs!$A$2:$A$3001,0))&amp;"",""))</f>
        <v/>
      </c>
      <c r="N1431" s="27" t="n">
        <f aca="false">N(N1430)+IF(AND(A1431&lt;&gt;"",OR(Recherche!$C$4="",A1431=Recherche!$C$4),OR(Recherche!$C$5="",B1431&amp;""=Recherche!$C$5&amp;""),OR(Recherche!$C$6="",IFERROR(YEAR(L1431),0)=Recherche!$C$6),OR(Recherche!$C$7="",ISNUMBER(SEARCH(Recherche!$C$7,H1431))),OR(Recherche!$C$8="",J1431=Recherche!$C$8),OR(Recherche!$C$9="",I1431=Recherche!$C$9),OR(Recherche!$C$10="",G1431&amp;""=Recherche!$C$10&amp;""),OR(Recherche!$C$11="",E1431=Recherche!$C$11),OR(Recherche!$C$12="",ISNUMBER(SEARCH(Recherche!$C$12,M1431&amp;" "&amp;F1431)))),1,0)</f>
        <v>8</v>
      </c>
    </row>
    <row r="1432" customFormat="false" ht="15" hidden="false" customHeight="false" outlineLevel="0" collapsed="false">
      <c r="A1432" s="19"/>
      <c r="B1432" s="19"/>
      <c r="C1432" s="19"/>
      <c r="D1432" s="19"/>
      <c r="E1432" s="22"/>
      <c r="F1432" s="19"/>
      <c r="G1432" s="26" t="str">
        <f aca="false">IF(D1432="","",IFERROR(VALUE(LEFT(D1432,FIND(" |",D1432&amp;" |")-1)),"?"))</f>
        <v/>
      </c>
      <c r="H1432" s="27" t="str">
        <f aca="false">IF(G1432="","",IF(G1432="?","⚠ pub inconnue",IFERROR(INDEX(Pubs!$B$2:$B$3001,MATCH(G1432,Pubs!$A$2:$A$3001,0))&amp;"","⚠ pub inconnue")))</f>
        <v/>
      </c>
      <c r="I1432" s="27" t="str">
        <f aca="false">IF(OR(G1432="",G1432="?"),"",IFERROR(INDEX(Pubs!$C$2:$C$3001,MATCH(G1432,Pubs!$A$2:$A$3001,0))&amp;"",""))</f>
        <v/>
      </c>
      <c r="J1432" s="27" t="str">
        <f aca="false">IF(OR(G1432="",G1432="?"),"",IFERROR(INDEX(Pubs!$G$2:$G$3001,MATCH(G1432,Pubs!$A$2:$A$3001,0))&amp;"",""))</f>
        <v/>
      </c>
      <c r="K1432" s="28" t="str">
        <f aca="false">IF(OR(G1432="",G1432="?"),"",IFERROR(INDEX(Pubs!$E$2:$E$3001,MATCH(G1432,Pubs!$A$2:$A$3001,0)),""))</f>
        <v/>
      </c>
      <c r="L1432" s="29" t="str">
        <f aca="false">IF(A1432="","",IFERROR(1/(1/INDEX(Numéros!$C$2:$C$3001,MATCH(A1432&amp;"|"&amp;B1432,Numéros!$F$2:$F$3001,0))),""))</f>
        <v/>
      </c>
      <c r="M1432" s="27" t="str">
        <f aca="false">IF(OR(G1432="",G1432="?"),"",IFERROR(INDEX(Pubs!$D$2:$D$3001,MATCH(G1432,Pubs!$A$2:$A$3001,0))&amp;"",""))</f>
        <v/>
      </c>
      <c r="N1432" s="27" t="n">
        <f aca="false">N(N1431)+IF(AND(A1432&lt;&gt;"",OR(Recherche!$C$4="",A1432=Recherche!$C$4),OR(Recherche!$C$5="",B1432&amp;""=Recherche!$C$5&amp;""),OR(Recherche!$C$6="",IFERROR(YEAR(L1432),0)=Recherche!$C$6),OR(Recherche!$C$7="",ISNUMBER(SEARCH(Recherche!$C$7,H1432))),OR(Recherche!$C$8="",J1432=Recherche!$C$8),OR(Recherche!$C$9="",I1432=Recherche!$C$9),OR(Recherche!$C$10="",G1432&amp;""=Recherche!$C$10&amp;""),OR(Recherche!$C$11="",E1432=Recherche!$C$11),OR(Recherche!$C$12="",ISNUMBER(SEARCH(Recherche!$C$12,M1432&amp;" "&amp;F1432)))),1,0)</f>
        <v>8</v>
      </c>
    </row>
    <row r="1433" customFormat="false" ht="15" hidden="false" customHeight="false" outlineLevel="0" collapsed="false">
      <c r="A1433" s="19"/>
      <c r="B1433" s="19"/>
      <c r="C1433" s="19"/>
      <c r="D1433" s="19"/>
      <c r="E1433" s="22"/>
      <c r="F1433" s="19"/>
      <c r="G1433" s="26" t="str">
        <f aca="false">IF(D1433="","",IFERROR(VALUE(LEFT(D1433,FIND(" |",D1433&amp;" |")-1)),"?"))</f>
        <v/>
      </c>
      <c r="H1433" s="27" t="str">
        <f aca="false">IF(G1433="","",IF(G1433="?","⚠ pub inconnue",IFERROR(INDEX(Pubs!$B$2:$B$3001,MATCH(G1433,Pubs!$A$2:$A$3001,0))&amp;"","⚠ pub inconnue")))</f>
        <v/>
      </c>
      <c r="I1433" s="27" t="str">
        <f aca="false">IF(OR(G1433="",G1433="?"),"",IFERROR(INDEX(Pubs!$C$2:$C$3001,MATCH(G1433,Pubs!$A$2:$A$3001,0))&amp;"",""))</f>
        <v/>
      </c>
      <c r="J1433" s="27" t="str">
        <f aca="false">IF(OR(G1433="",G1433="?"),"",IFERROR(INDEX(Pubs!$G$2:$G$3001,MATCH(G1433,Pubs!$A$2:$A$3001,0))&amp;"",""))</f>
        <v/>
      </c>
      <c r="K1433" s="28" t="str">
        <f aca="false">IF(OR(G1433="",G1433="?"),"",IFERROR(INDEX(Pubs!$E$2:$E$3001,MATCH(G1433,Pubs!$A$2:$A$3001,0)),""))</f>
        <v/>
      </c>
      <c r="L1433" s="29" t="str">
        <f aca="false">IF(A1433="","",IFERROR(1/(1/INDEX(Numéros!$C$2:$C$3001,MATCH(A1433&amp;"|"&amp;B1433,Numéros!$F$2:$F$3001,0))),""))</f>
        <v/>
      </c>
      <c r="M1433" s="27" t="str">
        <f aca="false">IF(OR(G1433="",G1433="?"),"",IFERROR(INDEX(Pubs!$D$2:$D$3001,MATCH(G1433,Pubs!$A$2:$A$3001,0))&amp;"",""))</f>
        <v/>
      </c>
      <c r="N1433" s="27" t="n">
        <f aca="false">N(N1432)+IF(AND(A1433&lt;&gt;"",OR(Recherche!$C$4="",A1433=Recherche!$C$4),OR(Recherche!$C$5="",B1433&amp;""=Recherche!$C$5&amp;""),OR(Recherche!$C$6="",IFERROR(YEAR(L1433),0)=Recherche!$C$6),OR(Recherche!$C$7="",ISNUMBER(SEARCH(Recherche!$C$7,H1433))),OR(Recherche!$C$8="",J1433=Recherche!$C$8),OR(Recherche!$C$9="",I1433=Recherche!$C$9),OR(Recherche!$C$10="",G1433&amp;""=Recherche!$C$10&amp;""),OR(Recherche!$C$11="",E1433=Recherche!$C$11),OR(Recherche!$C$12="",ISNUMBER(SEARCH(Recherche!$C$12,M1433&amp;" "&amp;F1433)))),1,0)</f>
        <v>8</v>
      </c>
    </row>
    <row r="1434" customFormat="false" ht="15" hidden="false" customHeight="false" outlineLevel="0" collapsed="false">
      <c r="A1434" s="19"/>
      <c r="B1434" s="19"/>
      <c r="C1434" s="19"/>
      <c r="D1434" s="19"/>
      <c r="E1434" s="22"/>
      <c r="F1434" s="19"/>
      <c r="G1434" s="26" t="str">
        <f aca="false">IF(D1434="","",IFERROR(VALUE(LEFT(D1434,FIND(" |",D1434&amp;" |")-1)),"?"))</f>
        <v/>
      </c>
      <c r="H1434" s="27" t="str">
        <f aca="false">IF(G1434="","",IF(G1434="?","⚠ pub inconnue",IFERROR(INDEX(Pubs!$B$2:$B$3001,MATCH(G1434,Pubs!$A$2:$A$3001,0))&amp;"","⚠ pub inconnue")))</f>
        <v/>
      </c>
      <c r="I1434" s="27" t="str">
        <f aca="false">IF(OR(G1434="",G1434="?"),"",IFERROR(INDEX(Pubs!$C$2:$C$3001,MATCH(G1434,Pubs!$A$2:$A$3001,0))&amp;"",""))</f>
        <v/>
      </c>
      <c r="J1434" s="27" t="str">
        <f aca="false">IF(OR(G1434="",G1434="?"),"",IFERROR(INDEX(Pubs!$G$2:$G$3001,MATCH(G1434,Pubs!$A$2:$A$3001,0))&amp;"",""))</f>
        <v/>
      </c>
      <c r="K1434" s="28" t="str">
        <f aca="false">IF(OR(G1434="",G1434="?"),"",IFERROR(INDEX(Pubs!$E$2:$E$3001,MATCH(G1434,Pubs!$A$2:$A$3001,0)),""))</f>
        <v/>
      </c>
      <c r="L1434" s="29" t="str">
        <f aca="false">IF(A1434="","",IFERROR(1/(1/INDEX(Numéros!$C$2:$C$3001,MATCH(A1434&amp;"|"&amp;B1434,Numéros!$F$2:$F$3001,0))),""))</f>
        <v/>
      </c>
      <c r="M1434" s="27" t="str">
        <f aca="false">IF(OR(G1434="",G1434="?"),"",IFERROR(INDEX(Pubs!$D$2:$D$3001,MATCH(G1434,Pubs!$A$2:$A$3001,0))&amp;"",""))</f>
        <v/>
      </c>
      <c r="N1434" s="27" t="n">
        <f aca="false">N(N1433)+IF(AND(A1434&lt;&gt;"",OR(Recherche!$C$4="",A1434=Recherche!$C$4),OR(Recherche!$C$5="",B1434&amp;""=Recherche!$C$5&amp;""),OR(Recherche!$C$6="",IFERROR(YEAR(L1434),0)=Recherche!$C$6),OR(Recherche!$C$7="",ISNUMBER(SEARCH(Recherche!$C$7,H1434))),OR(Recherche!$C$8="",J1434=Recherche!$C$8),OR(Recherche!$C$9="",I1434=Recherche!$C$9),OR(Recherche!$C$10="",G1434&amp;""=Recherche!$C$10&amp;""),OR(Recherche!$C$11="",E1434=Recherche!$C$11),OR(Recherche!$C$12="",ISNUMBER(SEARCH(Recherche!$C$12,M1434&amp;" "&amp;F1434)))),1,0)</f>
        <v>8</v>
      </c>
    </row>
    <row r="1435" customFormat="false" ht="15" hidden="false" customHeight="false" outlineLevel="0" collapsed="false">
      <c r="A1435" s="19"/>
      <c r="B1435" s="19"/>
      <c r="C1435" s="19"/>
      <c r="D1435" s="19"/>
      <c r="E1435" s="22"/>
      <c r="F1435" s="19"/>
      <c r="G1435" s="26" t="str">
        <f aca="false">IF(D1435="","",IFERROR(VALUE(LEFT(D1435,FIND(" |",D1435&amp;" |")-1)),"?"))</f>
        <v/>
      </c>
      <c r="H1435" s="27" t="str">
        <f aca="false">IF(G1435="","",IF(G1435="?","⚠ pub inconnue",IFERROR(INDEX(Pubs!$B$2:$B$3001,MATCH(G1435,Pubs!$A$2:$A$3001,0))&amp;"","⚠ pub inconnue")))</f>
        <v/>
      </c>
      <c r="I1435" s="27" t="str">
        <f aca="false">IF(OR(G1435="",G1435="?"),"",IFERROR(INDEX(Pubs!$C$2:$C$3001,MATCH(G1435,Pubs!$A$2:$A$3001,0))&amp;"",""))</f>
        <v/>
      </c>
      <c r="J1435" s="27" t="str">
        <f aca="false">IF(OR(G1435="",G1435="?"),"",IFERROR(INDEX(Pubs!$G$2:$G$3001,MATCH(G1435,Pubs!$A$2:$A$3001,0))&amp;"",""))</f>
        <v/>
      </c>
      <c r="K1435" s="28" t="str">
        <f aca="false">IF(OR(G1435="",G1435="?"),"",IFERROR(INDEX(Pubs!$E$2:$E$3001,MATCH(G1435,Pubs!$A$2:$A$3001,0)),""))</f>
        <v/>
      </c>
      <c r="L1435" s="29" t="str">
        <f aca="false">IF(A1435="","",IFERROR(1/(1/INDEX(Numéros!$C$2:$C$3001,MATCH(A1435&amp;"|"&amp;B1435,Numéros!$F$2:$F$3001,0))),""))</f>
        <v/>
      </c>
      <c r="M1435" s="27" t="str">
        <f aca="false">IF(OR(G1435="",G1435="?"),"",IFERROR(INDEX(Pubs!$D$2:$D$3001,MATCH(G1435,Pubs!$A$2:$A$3001,0))&amp;"",""))</f>
        <v/>
      </c>
      <c r="N1435" s="27" t="n">
        <f aca="false">N(N1434)+IF(AND(A1435&lt;&gt;"",OR(Recherche!$C$4="",A1435=Recherche!$C$4),OR(Recherche!$C$5="",B1435&amp;""=Recherche!$C$5&amp;""),OR(Recherche!$C$6="",IFERROR(YEAR(L1435),0)=Recherche!$C$6),OR(Recherche!$C$7="",ISNUMBER(SEARCH(Recherche!$C$7,H1435))),OR(Recherche!$C$8="",J1435=Recherche!$C$8),OR(Recherche!$C$9="",I1435=Recherche!$C$9),OR(Recherche!$C$10="",G1435&amp;""=Recherche!$C$10&amp;""),OR(Recherche!$C$11="",E1435=Recherche!$C$11),OR(Recherche!$C$12="",ISNUMBER(SEARCH(Recherche!$C$12,M1435&amp;" "&amp;F1435)))),1,0)</f>
        <v>8</v>
      </c>
    </row>
    <row r="1436" customFormat="false" ht="15" hidden="false" customHeight="false" outlineLevel="0" collapsed="false">
      <c r="A1436" s="19"/>
      <c r="B1436" s="19"/>
      <c r="C1436" s="19"/>
      <c r="D1436" s="19"/>
      <c r="E1436" s="22"/>
      <c r="F1436" s="19"/>
      <c r="G1436" s="26" t="str">
        <f aca="false">IF(D1436="","",IFERROR(VALUE(LEFT(D1436,FIND(" |",D1436&amp;" |")-1)),"?"))</f>
        <v/>
      </c>
      <c r="H1436" s="27" t="str">
        <f aca="false">IF(G1436="","",IF(G1436="?","⚠ pub inconnue",IFERROR(INDEX(Pubs!$B$2:$B$3001,MATCH(G1436,Pubs!$A$2:$A$3001,0))&amp;"","⚠ pub inconnue")))</f>
        <v/>
      </c>
      <c r="I1436" s="27" t="str">
        <f aca="false">IF(OR(G1436="",G1436="?"),"",IFERROR(INDEX(Pubs!$C$2:$C$3001,MATCH(G1436,Pubs!$A$2:$A$3001,0))&amp;"",""))</f>
        <v/>
      </c>
      <c r="J1436" s="27" t="str">
        <f aca="false">IF(OR(G1436="",G1436="?"),"",IFERROR(INDEX(Pubs!$G$2:$G$3001,MATCH(G1436,Pubs!$A$2:$A$3001,0))&amp;"",""))</f>
        <v/>
      </c>
      <c r="K1436" s="28" t="str">
        <f aca="false">IF(OR(G1436="",G1436="?"),"",IFERROR(INDEX(Pubs!$E$2:$E$3001,MATCH(G1436,Pubs!$A$2:$A$3001,0)),""))</f>
        <v/>
      </c>
      <c r="L1436" s="29" t="str">
        <f aca="false">IF(A1436="","",IFERROR(1/(1/INDEX(Numéros!$C$2:$C$3001,MATCH(A1436&amp;"|"&amp;B1436,Numéros!$F$2:$F$3001,0))),""))</f>
        <v/>
      </c>
      <c r="M1436" s="27" t="str">
        <f aca="false">IF(OR(G1436="",G1436="?"),"",IFERROR(INDEX(Pubs!$D$2:$D$3001,MATCH(G1436,Pubs!$A$2:$A$3001,0))&amp;"",""))</f>
        <v/>
      </c>
      <c r="N1436" s="27" t="n">
        <f aca="false">N(N1435)+IF(AND(A1436&lt;&gt;"",OR(Recherche!$C$4="",A1436=Recherche!$C$4),OR(Recherche!$C$5="",B1436&amp;""=Recherche!$C$5&amp;""),OR(Recherche!$C$6="",IFERROR(YEAR(L1436),0)=Recherche!$C$6),OR(Recherche!$C$7="",ISNUMBER(SEARCH(Recherche!$C$7,H1436))),OR(Recherche!$C$8="",J1436=Recherche!$C$8),OR(Recherche!$C$9="",I1436=Recherche!$C$9),OR(Recherche!$C$10="",G1436&amp;""=Recherche!$C$10&amp;""),OR(Recherche!$C$11="",E1436=Recherche!$C$11),OR(Recherche!$C$12="",ISNUMBER(SEARCH(Recherche!$C$12,M1436&amp;" "&amp;F1436)))),1,0)</f>
        <v>8</v>
      </c>
    </row>
    <row r="1437" customFormat="false" ht="15" hidden="false" customHeight="false" outlineLevel="0" collapsed="false">
      <c r="A1437" s="19"/>
      <c r="B1437" s="19"/>
      <c r="C1437" s="19"/>
      <c r="D1437" s="19"/>
      <c r="E1437" s="22"/>
      <c r="F1437" s="19"/>
      <c r="G1437" s="26" t="str">
        <f aca="false">IF(D1437="","",IFERROR(VALUE(LEFT(D1437,FIND(" |",D1437&amp;" |")-1)),"?"))</f>
        <v/>
      </c>
      <c r="H1437" s="27" t="str">
        <f aca="false">IF(G1437="","",IF(G1437="?","⚠ pub inconnue",IFERROR(INDEX(Pubs!$B$2:$B$3001,MATCH(G1437,Pubs!$A$2:$A$3001,0))&amp;"","⚠ pub inconnue")))</f>
        <v/>
      </c>
      <c r="I1437" s="27" t="str">
        <f aca="false">IF(OR(G1437="",G1437="?"),"",IFERROR(INDEX(Pubs!$C$2:$C$3001,MATCH(G1437,Pubs!$A$2:$A$3001,0))&amp;"",""))</f>
        <v/>
      </c>
      <c r="J1437" s="27" t="str">
        <f aca="false">IF(OR(G1437="",G1437="?"),"",IFERROR(INDEX(Pubs!$G$2:$G$3001,MATCH(G1437,Pubs!$A$2:$A$3001,0))&amp;"",""))</f>
        <v/>
      </c>
      <c r="K1437" s="28" t="str">
        <f aca="false">IF(OR(G1437="",G1437="?"),"",IFERROR(INDEX(Pubs!$E$2:$E$3001,MATCH(G1437,Pubs!$A$2:$A$3001,0)),""))</f>
        <v/>
      </c>
      <c r="L1437" s="29" t="str">
        <f aca="false">IF(A1437="","",IFERROR(1/(1/INDEX(Numéros!$C$2:$C$3001,MATCH(A1437&amp;"|"&amp;B1437,Numéros!$F$2:$F$3001,0))),""))</f>
        <v/>
      </c>
      <c r="M1437" s="27" t="str">
        <f aca="false">IF(OR(G1437="",G1437="?"),"",IFERROR(INDEX(Pubs!$D$2:$D$3001,MATCH(G1437,Pubs!$A$2:$A$3001,0))&amp;"",""))</f>
        <v/>
      </c>
      <c r="N1437" s="27" t="n">
        <f aca="false">N(N1436)+IF(AND(A1437&lt;&gt;"",OR(Recherche!$C$4="",A1437=Recherche!$C$4),OR(Recherche!$C$5="",B1437&amp;""=Recherche!$C$5&amp;""),OR(Recherche!$C$6="",IFERROR(YEAR(L1437),0)=Recherche!$C$6),OR(Recherche!$C$7="",ISNUMBER(SEARCH(Recherche!$C$7,H1437))),OR(Recherche!$C$8="",J1437=Recherche!$C$8),OR(Recherche!$C$9="",I1437=Recherche!$C$9),OR(Recherche!$C$10="",G1437&amp;""=Recherche!$C$10&amp;""),OR(Recherche!$C$11="",E1437=Recherche!$C$11),OR(Recherche!$C$12="",ISNUMBER(SEARCH(Recherche!$C$12,M1437&amp;" "&amp;F1437)))),1,0)</f>
        <v>8</v>
      </c>
    </row>
    <row r="1438" customFormat="false" ht="15" hidden="false" customHeight="false" outlineLevel="0" collapsed="false">
      <c r="A1438" s="19"/>
      <c r="B1438" s="19"/>
      <c r="C1438" s="19"/>
      <c r="D1438" s="19"/>
      <c r="E1438" s="22"/>
      <c r="F1438" s="19"/>
      <c r="G1438" s="26" t="str">
        <f aca="false">IF(D1438="","",IFERROR(VALUE(LEFT(D1438,FIND(" |",D1438&amp;" |")-1)),"?"))</f>
        <v/>
      </c>
      <c r="H1438" s="27" t="str">
        <f aca="false">IF(G1438="","",IF(G1438="?","⚠ pub inconnue",IFERROR(INDEX(Pubs!$B$2:$B$3001,MATCH(G1438,Pubs!$A$2:$A$3001,0))&amp;"","⚠ pub inconnue")))</f>
        <v/>
      </c>
      <c r="I1438" s="27" t="str">
        <f aca="false">IF(OR(G1438="",G1438="?"),"",IFERROR(INDEX(Pubs!$C$2:$C$3001,MATCH(G1438,Pubs!$A$2:$A$3001,0))&amp;"",""))</f>
        <v/>
      </c>
      <c r="J1438" s="27" t="str">
        <f aca="false">IF(OR(G1438="",G1438="?"),"",IFERROR(INDEX(Pubs!$G$2:$G$3001,MATCH(G1438,Pubs!$A$2:$A$3001,0))&amp;"",""))</f>
        <v/>
      </c>
      <c r="K1438" s="28" t="str">
        <f aca="false">IF(OR(G1438="",G1438="?"),"",IFERROR(INDEX(Pubs!$E$2:$E$3001,MATCH(G1438,Pubs!$A$2:$A$3001,0)),""))</f>
        <v/>
      </c>
      <c r="L1438" s="29" t="str">
        <f aca="false">IF(A1438="","",IFERROR(1/(1/INDEX(Numéros!$C$2:$C$3001,MATCH(A1438&amp;"|"&amp;B1438,Numéros!$F$2:$F$3001,0))),""))</f>
        <v/>
      </c>
      <c r="M1438" s="27" t="str">
        <f aca="false">IF(OR(G1438="",G1438="?"),"",IFERROR(INDEX(Pubs!$D$2:$D$3001,MATCH(G1438,Pubs!$A$2:$A$3001,0))&amp;"",""))</f>
        <v/>
      </c>
      <c r="N1438" s="27" t="n">
        <f aca="false">N(N1437)+IF(AND(A1438&lt;&gt;"",OR(Recherche!$C$4="",A1438=Recherche!$C$4),OR(Recherche!$C$5="",B1438&amp;""=Recherche!$C$5&amp;""),OR(Recherche!$C$6="",IFERROR(YEAR(L1438),0)=Recherche!$C$6),OR(Recherche!$C$7="",ISNUMBER(SEARCH(Recherche!$C$7,H1438))),OR(Recherche!$C$8="",J1438=Recherche!$C$8),OR(Recherche!$C$9="",I1438=Recherche!$C$9),OR(Recherche!$C$10="",G1438&amp;""=Recherche!$C$10&amp;""),OR(Recherche!$C$11="",E1438=Recherche!$C$11),OR(Recherche!$C$12="",ISNUMBER(SEARCH(Recherche!$C$12,M1438&amp;" "&amp;F1438)))),1,0)</f>
        <v>8</v>
      </c>
    </row>
    <row r="1439" customFormat="false" ht="15" hidden="false" customHeight="false" outlineLevel="0" collapsed="false">
      <c r="A1439" s="19"/>
      <c r="B1439" s="19"/>
      <c r="C1439" s="19"/>
      <c r="D1439" s="19"/>
      <c r="E1439" s="22"/>
      <c r="F1439" s="19"/>
      <c r="G1439" s="26" t="str">
        <f aca="false">IF(D1439="","",IFERROR(VALUE(LEFT(D1439,FIND(" |",D1439&amp;" |")-1)),"?"))</f>
        <v/>
      </c>
      <c r="H1439" s="27" t="str">
        <f aca="false">IF(G1439="","",IF(G1439="?","⚠ pub inconnue",IFERROR(INDEX(Pubs!$B$2:$B$3001,MATCH(G1439,Pubs!$A$2:$A$3001,0))&amp;"","⚠ pub inconnue")))</f>
        <v/>
      </c>
      <c r="I1439" s="27" t="str">
        <f aca="false">IF(OR(G1439="",G1439="?"),"",IFERROR(INDEX(Pubs!$C$2:$C$3001,MATCH(G1439,Pubs!$A$2:$A$3001,0))&amp;"",""))</f>
        <v/>
      </c>
      <c r="J1439" s="27" t="str">
        <f aca="false">IF(OR(G1439="",G1439="?"),"",IFERROR(INDEX(Pubs!$G$2:$G$3001,MATCH(G1439,Pubs!$A$2:$A$3001,0))&amp;"",""))</f>
        <v/>
      </c>
      <c r="K1439" s="28" t="str">
        <f aca="false">IF(OR(G1439="",G1439="?"),"",IFERROR(INDEX(Pubs!$E$2:$E$3001,MATCH(G1439,Pubs!$A$2:$A$3001,0)),""))</f>
        <v/>
      </c>
      <c r="L1439" s="29" t="str">
        <f aca="false">IF(A1439="","",IFERROR(1/(1/INDEX(Numéros!$C$2:$C$3001,MATCH(A1439&amp;"|"&amp;B1439,Numéros!$F$2:$F$3001,0))),""))</f>
        <v/>
      </c>
      <c r="M1439" s="27" t="str">
        <f aca="false">IF(OR(G1439="",G1439="?"),"",IFERROR(INDEX(Pubs!$D$2:$D$3001,MATCH(G1439,Pubs!$A$2:$A$3001,0))&amp;"",""))</f>
        <v/>
      </c>
      <c r="N1439" s="27" t="n">
        <f aca="false">N(N1438)+IF(AND(A1439&lt;&gt;"",OR(Recherche!$C$4="",A1439=Recherche!$C$4),OR(Recherche!$C$5="",B1439&amp;""=Recherche!$C$5&amp;""),OR(Recherche!$C$6="",IFERROR(YEAR(L1439),0)=Recherche!$C$6),OR(Recherche!$C$7="",ISNUMBER(SEARCH(Recherche!$C$7,H1439))),OR(Recherche!$C$8="",J1439=Recherche!$C$8),OR(Recherche!$C$9="",I1439=Recherche!$C$9),OR(Recherche!$C$10="",G1439&amp;""=Recherche!$C$10&amp;""),OR(Recherche!$C$11="",E1439=Recherche!$C$11),OR(Recherche!$C$12="",ISNUMBER(SEARCH(Recherche!$C$12,M1439&amp;" "&amp;F1439)))),1,0)</f>
        <v>8</v>
      </c>
    </row>
    <row r="1440" customFormat="false" ht="15" hidden="false" customHeight="false" outlineLevel="0" collapsed="false">
      <c r="A1440" s="19"/>
      <c r="B1440" s="19"/>
      <c r="C1440" s="19"/>
      <c r="D1440" s="19"/>
      <c r="E1440" s="22"/>
      <c r="F1440" s="19"/>
      <c r="G1440" s="26" t="str">
        <f aca="false">IF(D1440="","",IFERROR(VALUE(LEFT(D1440,FIND(" |",D1440&amp;" |")-1)),"?"))</f>
        <v/>
      </c>
      <c r="H1440" s="27" t="str">
        <f aca="false">IF(G1440="","",IF(G1440="?","⚠ pub inconnue",IFERROR(INDEX(Pubs!$B$2:$B$3001,MATCH(G1440,Pubs!$A$2:$A$3001,0))&amp;"","⚠ pub inconnue")))</f>
        <v/>
      </c>
      <c r="I1440" s="27" t="str">
        <f aca="false">IF(OR(G1440="",G1440="?"),"",IFERROR(INDEX(Pubs!$C$2:$C$3001,MATCH(G1440,Pubs!$A$2:$A$3001,0))&amp;"",""))</f>
        <v/>
      </c>
      <c r="J1440" s="27" t="str">
        <f aca="false">IF(OR(G1440="",G1440="?"),"",IFERROR(INDEX(Pubs!$G$2:$G$3001,MATCH(G1440,Pubs!$A$2:$A$3001,0))&amp;"",""))</f>
        <v/>
      </c>
      <c r="K1440" s="28" t="str">
        <f aca="false">IF(OR(G1440="",G1440="?"),"",IFERROR(INDEX(Pubs!$E$2:$E$3001,MATCH(G1440,Pubs!$A$2:$A$3001,0)),""))</f>
        <v/>
      </c>
      <c r="L1440" s="29" t="str">
        <f aca="false">IF(A1440="","",IFERROR(1/(1/INDEX(Numéros!$C$2:$C$3001,MATCH(A1440&amp;"|"&amp;B1440,Numéros!$F$2:$F$3001,0))),""))</f>
        <v/>
      </c>
      <c r="M1440" s="27" t="str">
        <f aca="false">IF(OR(G1440="",G1440="?"),"",IFERROR(INDEX(Pubs!$D$2:$D$3001,MATCH(G1440,Pubs!$A$2:$A$3001,0))&amp;"",""))</f>
        <v/>
      </c>
      <c r="N1440" s="27" t="n">
        <f aca="false">N(N1439)+IF(AND(A1440&lt;&gt;"",OR(Recherche!$C$4="",A1440=Recherche!$C$4),OR(Recherche!$C$5="",B1440&amp;""=Recherche!$C$5&amp;""),OR(Recherche!$C$6="",IFERROR(YEAR(L1440),0)=Recherche!$C$6),OR(Recherche!$C$7="",ISNUMBER(SEARCH(Recherche!$C$7,H1440))),OR(Recherche!$C$8="",J1440=Recherche!$C$8),OR(Recherche!$C$9="",I1440=Recherche!$C$9),OR(Recherche!$C$10="",G1440&amp;""=Recherche!$C$10&amp;""),OR(Recherche!$C$11="",E1440=Recherche!$C$11),OR(Recherche!$C$12="",ISNUMBER(SEARCH(Recherche!$C$12,M1440&amp;" "&amp;F1440)))),1,0)</f>
        <v>8</v>
      </c>
    </row>
    <row r="1441" customFormat="false" ht="15" hidden="false" customHeight="false" outlineLevel="0" collapsed="false">
      <c r="A1441" s="19"/>
      <c r="B1441" s="19"/>
      <c r="C1441" s="19"/>
      <c r="D1441" s="19"/>
      <c r="E1441" s="22"/>
      <c r="F1441" s="19"/>
      <c r="G1441" s="26" t="str">
        <f aca="false">IF(D1441="","",IFERROR(VALUE(LEFT(D1441,FIND(" |",D1441&amp;" |")-1)),"?"))</f>
        <v/>
      </c>
      <c r="H1441" s="27" t="str">
        <f aca="false">IF(G1441="","",IF(G1441="?","⚠ pub inconnue",IFERROR(INDEX(Pubs!$B$2:$B$3001,MATCH(G1441,Pubs!$A$2:$A$3001,0))&amp;"","⚠ pub inconnue")))</f>
        <v/>
      </c>
      <c r="I1441" s="27" t="str">
        <f aca="false">IF(OR(G1441="",G1441="?"),"",IFERROR(INDEX(Pubs!$C$2:$C$3001,MATCH(G1441,Pubs!$A$2:$A$3001,0))&amp;"",""))</f>
        <v/>
      </c>
      <c r="J1441" s="27" t="str">
        <f aca="false">IF(OR(G1441="",G1441="?"),"",IFERROR(INDEX(Pubs!$G$2:$G$3001,MATCH(G1441,Pubs!$A$2:$A$3001,0))&amp;"",""))</f>
        <v/>
      </c>
      <c r="K1441" s="28" t="str">
        <f aca="false">IF(OR(G1441="",G1441="?"),"",IFERROR(INDEX(Pubs!$E$2:$E$3001,MATCH(G1441,Pubs!$A$2:$A$3001,0)),""))</f>
        <v/>
      </c>
      <c r="L1441" s="29" t="str">
        <f aca="false">IF(A1441="","",IFERROR(1/(1/INDEX(Numéros!$C$2:$C$3001,MATCH(A1441&amp;"|"&amp;B1441,Numéros!$F$2:$F$3001,0))),""))</f>
        <v/>
      </c>
      <c r="M1441" s="27" t="str">
        <f aca="false">IF(OR(G1441="",G1441="?"),"",IFERROR(INDEX(Pubs!$D$2:$D$3001,MATCH(G1441,Pubs!$A$2:$A$3001,0))&amp;"",""))</f>
        <v/>
      </c>
      <c r="N1441" s="27" t="n">
        <f aca="false">N(N1440)+IF(AND(A1441&lt;&gt;"",OR(Recherche!$C$4="",A1441=Recherche!$C$4),OR(Recherche!$C$5="",B1441&amp;""=Recherche!$C$5&amp;""),OR(Recherche!$C$6="",IFERROR(YEAR(L1441),0)=Recherche!$C$6),OR(Recherche!$C$7="",ISNUMBER(SEARCH(Recherche!$C$7,H1441))),OR(Recherche!$C$8="",J1441=Recherche!$C$8),OR(Recherche!$C$9="",I1441=Recherche!$C$9),OR(Recherche!$C$10="",G1441&amp;""=Recherche!$C$10&amp;""),OR(Recherche!$C$11="",E1441=Recherche!$C$11),OR(Recherche!$C$12="",ISNUMBER(SEARCH(Recherche!$C$12,M1441&amp;" "&amp;F1441)))),1,0)</f>
        <v>8</v>
      </c>
    </row>
    <row r="1442" customFormat="false" ht="15" hidden="false" customHeight="false" outlineLevel="0" collapsed="false">
      <c r="A1442" s="19"/>
      <c r="B1442" s="19"/>
      <c r="C1442" s="19"/>
      <c r="D1442" s="19"/>
      <c r="E1442" s="22"/>
      <c r="F1442" s="19"/>
      <c r="G1442" s="26" t="str">
        <f aca="false">IF(D1442="","",IFERROR(VALUE(LEFT(D1442,FIND(" |",D1442&amp;" |")-1)),"?"))</f>
        <v/>
      </c>
      <c r="H1442" s="27" t="str">
        <f aca="false">IF(G1442="","",IF(G1442="?","⚠ pub inconnue",IFERROR(INDEX(Pubs!$B$2:$B$3001,MATCH(G1442,Pubs!$A$2:$A$3001,0))&amp;"","⚠ pub inconnue")))</f>
        <v/>
      </c>
      <c r="I1442" s="27" t="str">
        <f aca="false">IF(OR(G1442="",G1442="?"),"",IFERROR(INDEX(Pubs!$C$2:$C$3001,MATCH(G1442,Pubs!$A$2:$A$3001,0))&amp;"",""))</f>
        <v/>
      </c>
      <c r="J1442" s="27" t="str">
        <f aca="false">IF(OR(G1442="",G1442="?"),"",IFERROR(INDEX(Pubs!$G$2:$G$3001,MATCH(G1442,Pubs!$A$2:$A$3001,0))&amp;"",""))</f>
        <v/>
      </c>
      <c r="K1442" s="28" t="str">
        <f aca="false">IF(OR(G1442="",G1442="?"),"",IFERROR(INDEX(Pubs!$E$2:$E$3001,MATCH(G1442,Pubs!$A$2:$A$3001,0)),""))</f>
        <v/>
      </c>
      <c r="L1442" s="29" t="str">
        <f aca="false">IF(A1442="","",IFERROR(1/(1/INDEX(Numéros!$C$2:$C$3001,MATCH(A1442&amp;"|"&amp;B1442,Numéros!$F$2:$F$3001,0))),""))</f>
        <v/>
      </c>
      <c r="M1442" s="27" t="str">
        <f aca="false">IF(OR(G1442="",G1442="?"),"",IFERROR(INDEX(Pubs!$D$2:$D$3001,MATCH(G1442,Pubs!$A$2:$A$3001,0))&amp;"",""))</f>
        <v/>
      </c>
      <c r="N1442" s="27" t="n">
        <f aca="false">N(N1441)+IF(AND(A1442&lt;&gt;"",OR(Recherche!$C$4="",A1442=Recherche!$C$4),OR(Recherche!$C$5="",B1442&amp;""=Recherche!$C$5&amp;""),OR(Recherche!$C$6="",IFERROR(YEAR(L1442),0)=Recherche!$C$6),OR(Recherche!$C$7="",ISNUMBER(SEARCH(Recherche!$C$7,H1442))),OR(Recherche!$C$8="",J1442=Recherche!$C$8),OR(Recherche!$C$9="",I1442=Recherche!$C$9),OR(Recherche!$C$10="",G1442&amp;""=Recherche!$C$10&amp;""),OR(Recherche!$C$11="",E1442=Recherche!$C$11),OR(Recherche!$C$12="",ISNUMBER(SEARCH(Recherche!$C$12,M1442&amp;" "&amp;F1442)))),1,0)</f>
        <v>8</v>
      </c>
    </row>
    <row r="1443" customFormat="false" ht="15" hidden="false" customHeight="false" outlineLevel="0" collapsed="false">
      <c r="A1443" s="19"/>
      <c r="B1443" s="19"/>
      <c r="C1443" s="19"/>
      <c r="D1443" s="19"/>
      <c r="E1443" s="22"/>
      <c r="F1443" s="19"/>
      <c r="G1443" s="26" t="str">
        <f aca="false">IF(D1443="","",IFERROR(VALUE(LEFT(D1443,FIND(" |",D1443&amp;" |")-1)),"?"))</f>
        <v/>
      </c>
      <c r="H1443" s="27" t="str">
        <f aca="false">IF(G1443="","",IF(G1443="?","⚠ pub inconnue",IFERROR(INDEX(Pubs!$B$2:$B$3001,MATCH(G1443,Pubs!$A$2:$A$3001,0))&amp;"","⚠ pub inconnue")))</f>
        <v/>
      </c>
      <c r="I1443" s="27" t="str">
        <f aca="false">IF(OR(G1443="",G1443="?"),"",IFERROR(INDEX(Pubs!$C$2:$C$3001,MATCH(G1443,Pubs!$A$2:$A$3001,0))&amp;"",""))</f>
        <v/>
      </c>
      <c r="J1443" s="27" t="str">
        <f aca="false">IF(OR(G1443="",G1443="?"),"",IFERROR(INDEX(Pubs!$G$2:$G$3001,MATCH(G1443,Pubs!$A$2:$A$3001,0))&amp;"",""))</f>
        <v/>
      </c>
      <c r="K1443" s="28" t="str">
        <f aca="false">IF(OR(G1443="",G1443="?"),"",IFERROR(INDEX(Pubs!$E$2:$E$3001,MATCH(G1443,Pubs!$A$2:$A$3001,0)),""))</f>
        <v/>
      </c>
      <c r="L1443" s="29" t="str">
        <f aca="false">IF(A1443="","",IFERROR(1/(1/INDEX(Numéros!$C$2:$C$3001,MATCH(A1443&amp;"|"&amp;B1443,Numéros!$F$2:$F$3001,0))),""))</f>
        <v/>
      </c>
      <c r="M1443" s="27" t="str">
        <f aca="false">IF(OR(G1443="",G1443="?"),"",IFERROR(INDEX(Pubs!$D$2:$D$3001,MATCH(G1443,Pubs!$A$2:$A$3001,0))&amp;"",""))</f>
        <v/>
      </c>
      <c r="N1443" s="27" t="n">
        <f aca="false">N(N1442)+IF(AND(A1443&lt;&gt;"",OR(Recherche!$C$4="",A1443=Recherche!$C$4),OR(Recherche!$C$5="",B1443&amp;""=Recherche!$C$5&amp;""),OR(Recherche!$C$6="",IFERROR(YEAR(L1443),0)=Recherche!$C$6),OR(Recherche!$C$7="",ISNUMBER(SEARCH(Recherche!$C$7,H1443))),OR(Recherche!$C$8="",J1443=Recherche!$C$8),OR(Recherche!$C$9="",I1443=Recherche!$C$9),OR(Recherche!$C$10="",G1443&amp;""=Recherche!$C$10&amp;""),OR(Recherche!$C$11="",E1443=Recherche!$C$11),OR(Recherche!$C$12="",ISNUMBER(SEARCH(Recherche!$C$12,M1443&amp;" "&amp;F1443)))),1,0)</f>
        <v>8</v>
      </c>
    </row>
    <row r="1444" customFormat="false" ht="15" hidden="false" customHeight="false" outlineLevel="0" collapsed="false">
      <c r="A1444" s="19"/>
      <c r="B1444" s="19"/>
      <c r="C1444" s="19"/>
      <c r="D1444" s="19"/>
      <c r="E1444" s="22"/>
      <c r="F1444" s="19"/>
      <c r="G1444" s="26" t="str">
        <f aca="false">IF(D1444="","",IFERROR(VALUE(LEFT(D1444,FIND(" |",D1444&amp;" |")-1)),"?"))</f>
        <v/>
      </c>
      <c r="H1444" s="27" t="str">
        <f aca="false">IF(G1444="","",IF(G1444="?","⚠ pub inconnue",IFERROR(INDEX(Pubs!$B$2:$B$3001,MATCH(G1444,Pubs!$A$2:$A$3001,0))&amp;"","⚠ pub inconnue")))</f>
        <v/>
      </c>
      <c r="I1444" s="27" t="str">
        <f aca="false">IF(OR(G1444="",G1444="?"),"",IFERROR(INDEX(Pubs!$C$2:$C$3001,MATCH(G1444,Pubs!$A$2:$A$3001,0))&amp;"",""))</f>
        <v/>
      </c>
      <c r="J1444" s="27" t="str">
        <f aca="false">IF(OR(G1444="",G1444="?"),"",IFERROR(INDEX(Pubs!$G$2:$G$3001,MATCH(G1444,Pubs!$A$2:$A$3001,0))&amp;"",""))</f>
        <v/>
      </c>
      <c r="K1444" s="28" t="str">
        <f aca="false">IF(OR(G1444="",G1444="?"),"",IFERROR(INDEX(Pubs!$E$2:$E$3001,MATCH(G1444,Pubs!$A$2:$A$3001,0)),""))</f>
        <v/>
      </c>
      <c r="L1444" s="29" t="str">
        <f aca="false">IF(A1444="","",IFERROR(1/(1/INDEX(Numéros!$C$2:$C$3001,MATCH(A1444&amp;"|"&amp;B1444,Numéros!$F$2:$F$3001,0))),""))</f>
        <v/>
      </c>
      <c r="M1444" s="27" t="str">
        <f aca="false">IF(OR(G1444="",G1444="?"),"",IFERROR(INDEX(Pubs!$D$2:$D$3001,MATCH(G1444,Pubs!$A$2:$A$3001,0))&amp;"",""))</f>
        <v/>
      </c>
      <c r="N1444" s="27" t="n">
        <f aca="false">N(N1443)+IF(AND(A1444&lt;&gt;"",OR(Recherche!$C$4="",A1444=Recherche!$C$4),OR(Recherche!$C$5="",B1444&amp;""=Recherche!$C$5&amp;""),OR(Recherche!$C$6="",IFERROR(YEAR(L1444),0)=Recherche!$C$6),OR(Recherche!$C$7="",ISNUMBER(SEARCH(Recherche!$C$7,H1444))),OR(Recherche!$C$8="",J1444=Recherche!$C$8),OR(Recherche!$C$9="",I1444=Recherche!$C$9),OR(Recherche!$C$10="",G1444&amp;""=Recherche!$C$10&amp;""),OR(Recherche!$C$11="",E1444=Recherche!$C$11),OR(Recherche!$C$12="",ISNUMBER(SEARCH(Recherche!$C$12,M1444&amp;" "&amp;F1444)))),1,0)</f>
        <v>8</v>
      </c>
    </row>
    <row r="1445" customFormat="false" ht="15" hidden="false" customHeight="false" outlineLevel="0" collapsed="false">
      <c r="A1445" s="19"/>
      <c r="B1445" s="19"/>
      <c r="C1445" s="19"/>
      <c r="D1445" s="19"/>
      <c r="E1445" s="22"/>
      <c r="F1445" s="19"/>
      <c r="G1445" s="26" t="str">
        <f aca="false">IF(D1445="","",IFERROR(VALUE(LEFT(D1445,FIND(" |",D1445&amp;" |")-1)),"?"))</f>
        <v/>
      </c>
      <c r="H1445" s="27" t="str">
        <f aca="false">IF(G1445="","",IF(G1445="?","⚠ pub inconnue",IFERROR(INDEX(Pubs!$B$2:$B$3001,MATCH(G1445,Pubs!$A$2:$A$3001,0))&amp;"","⚠ pub inconnue")))</f>
        <v/>
      </c>
      <c r="I1445" s="27" t="str">
        <f aca="false">IF(OR(G1445="",G1445="?"),"",IFERROR(INDEX(Pubs!$C$2:$C$3001,MATCH(G1445,Pubs!$A$2:$A$3001,0))&amp;"",""))</f>
        <v/>
      </c>
      <c r="J1445" s="27" t="str">
        <f aca="false">IF(OR(G1445="",G1445="?"),"",IFERROR(INDEX(Pubs!$G$2:$G$3001,MATCH(G1445,Pubs!$A$2:$A$3001,0))&amp;"",""))</f>
        <v/>
      </c>
      <c r="K1445" s="28" t="str">
        <f aca="false">IF(OR(G1445="",G1445="?"),"",IFERROR(INDEX(Pubs!$E$2:$E$3001,MATCH(G1445,Pubs!$A$2:$A$3001,0)),""))</f>
        <v/>
      </c>
      <c r="L1445" s="29" t="str">
        <f aca="false">IF(A1445="","",IFERROR(1/(1/INDEX(Numéros!$C$2:$C$3001,MATCH(A1445&amp;"|"&amp;B1445,Numéros!$F$2:$F$3001,0))),""))</f>
        <v/>
      </c>
      <c r="M1445" s="27" t="str">
        <f aca="false">IF(OR(G1445="",G1445="?"),"",IFERROR(INDEX(Pubs!$D$2:$D$3001,MATCH(G1445,Pubs!$A$2:$A$3001,0))&amp;"",""))</f>
        <v/>
      </c>
      <c r="N1445" s="27" t="n">
        <f aca="false">N(N1444)+IF(AND(A1445&lt;&gt;"",OR(Recherche!$C$4="",A1445=Recherche!$C$4),OR(Recherche!$C$5="",B1445&amp;""=Recherche!$C$5&amp;""),OR(Recherche!$C$6="",IFERROR(YEAR(L1445),0)=Recherche!$C$6),OR(Recherche!$C$7="",ISNUMBER(SEARCH(Recherche!$C$7,H1445))),OR(Recherche!$C$8="",J1445=Recherche!$C$8),OR(Recherche!$C$9="",I1445=Recherche!$C$9),OR(Recherche!$C$10="",G1445&amp;""=Recherche!$C$10&amp;""),OR(Recherche!$C$11="",E1445=Recherche!$C$11),OR(Recherche!$C$12="",ISNUMBER(SEARCH(Recherche!$C$12,M1445&amp;" "&amp;F1445)))),1,0)</f>
        <v>8</v>
      </c>
    </row>
    <row r="1446" customFormat="false" ht="15" hidden="false" customHeight="false" outlineLevel="0" collapsed="false">
      <c r="A1446" s="19"/>
      <c r="B1446" s="19"/>
      <c r="C1446" s="19"/>
      <c r="D1446" s="19"/>
      <c r="E1446" s="22"/>
      <c r="F1446" s="19"/>
      <c r="G1446" s="26" t="str">
        <f aca="false">IF(D1446="","",IFERROR(VALUE(LEFT(D1446,FIND(" |",D1446&amp;" |")-1)),"?"))</f>
        <v/>
      </c>
      <c r="H1446" s="27" t="str">
        <f aca="false">IF(G1446="","",IF(G1446="?","⚠ pub inconnue",IFERROR(INDEX(Pubs!$B$2:$B$3001,MATCH(G1446,Pubs!$A$2:$A$3001,0))&amp;"","⚠ pub inconnue")))</f>
        <v/>
      </c>
      <c r="I1446" s="27" t="str">
        <f aca="false">IF(OR(G1446="",G1446="?"),"",IFERROR(INDEX(Pubs!$C$2:$C$3001,MATCH(G1446,Pubs!$A$2:$A$3001,0))&amp;"",""))</f>
        <v/>
      </c>
      <c r="J1446" s="27" t="str">
        <f aca="false">IF(OR(G1446="",G1446="?"),"",IFERROR(INDEX(Pubs!$G$2:$G$3001,MATCH(G1446,Pubs!$A$2:$A$3001,0))&amp;"",""))</f>
        <v/>
      </c>
      <c r="K1446" s="28" t="str">
        <f aca="false">IF(OR(G1446="",G1446="?"),"",IFERROR(INDEX(Pubs!$E$2:$E$3001,MATCH(G1446,Pubs!$A$2:$A$3001,0)),""))</f>
        <v/>
      </c>
      <c r="L1446" s="29" t="str">
        <f aca="false">IF(A1446="","",IFERROR(1/(1/INDEX(Numéros!$C$2:$C$3001,MATCH(A1446&amp;"|"&amp;B1446,Numéros!$F$2:$F$3001,0))),""))</f>
        <v/>
      </c>
      <c r="M1446" s="27" t="str">
        <f aca="false">IF(OR(G1446="",G1446="?"),"",IFERROR(INDEX(Pubs!$D$2:$D$3001,MATCH(G1446,Pubs!$A$2:$A$3001,0))&amp;"",""))</f>
        <v/>
      </c>
      <c r="N1446" s="27" t="n">
        <f aca="false">N(N1445)+IF(AND(A1446&lt;&gt;"",OR(Recherche!$C$4="",A1446=Recherche!$C$4),OR(Recherche!$C$5="",B1446&amp;""=Recherche!$C$5&amp;""),OR(Recherche!$C$6="",IFERROR(YEAR(L1446),0)=Recherche!$C$6),OR(Recherche!$C$7="",ISNUMBER(SEARCH(Recherche!$C$7,H1446))),OR(Recherche!$C$8="",J1446=Recherche!$C$8),OR(Recherche!$C$9="",I1446=Recherche!$C$9),OR(Recherche!$C$10="",G1446&amp;""=Recherche!$C$10&amp;""),OR(Recherche!$C$11="",E1446=Recherche!$C$11),OR(Recherche!$C$12="",ISNUMBER(SEARCH(Recherche!$C$12,M1446&amp;" "&amp;F1446)))),1,0)</f>
        <v>8</v>
      </c>
    </row>
    <row r="1447" customFormat="false" ht="15" hidden="false" customHeight="false" outlineLevel="0" collapsed="false">
      <c r="A1447" s="19"/>
      <c r="B1447" s="19"/>
      <c r="C1447" s="19"/>
      <c r="D1447" s="19"/>
      <c r="E1447" s="22"/>
      <c r="F1447" s="19"/>
      <c r="G1447" s="26" t="str">
        <f aca="false">IF(D1447="","",IFERROR(VALUE(LEFT(D1447,FIND(" |",D1447&amp;" |")-1)),"?"))</f>
        <v/>
      </c>
      <c r="H1447" s="27" t="str">
        <f aca="false">IF(G1447="","",IF(G1447="?","⚠ pub inconnue",IFERROR(INDEX(Pubs!$B$2:$B$3001,MATCH(G1447,Pubs!$A$2:$A$3001,0))&amp;"","⚠ pub inconnue")))</f>
        <v/>
      </c>
      <c r="I1447" s="27" t="str">
        <f aca="false">IF(OR(G1447="",G1447="?"),"",IFERROR(INDEX(Pubs!$C$2:$C$3001,MATCH(G1447,Pubs!$A$2:$A$3001,0))&amp;"",""))</f>
        <v/>
      </c>
      <c r="J1447" s="27" t="str">
        <f aca="false">IF(OR(G1447="",G1447="?"),"",IFERROR(INDEX(Pubs!$G$2:$G$3001,MATCH(G1447,Pubs!$A$2:$A$3001,0))&amp;"",""))</f>
        <v/>
      </c>
      <c r="K1447" s="28" t="str">
        <f aca="false">IF(OR(G1447="",G1447="?"),"",IFERROR(INDEX(Pubs!$E$2:$E$3001,MATCH(G1447,Pubs!$A$2:$A$3001,0)),""))</f>
        <v/>
      </c>
      <c r="L1447" s="29" t="str">
        <f aca="false">IF(A1447="","",IFERROR(1/(1/INDEX(Numéros!$C$2:$C$3001,MATCH(A1447&amp;"|"&amp;B1447,Numéros!$F$2:$F$3001,0))),""))</f>
        <v/>
      </c>
      <c r="M1447" s="27" t="str">
        <f aca="false">IF(OR(G1447="",G1447="?"),"",IFERROR(INDEX(Pubs!$D$2:$D$3001,MATCH(G1447,Pubs!$A$2:$A$3001,0))&amp;"",""))</f>
        <v/>
      </c>
      <c r="N1447" s="27" t="n">
        <f aca="false">N(N1446)+IF(AND(A1447&lt;&gt;"",OR(Recherche!$C$4="",A1447=Recherche!$C$4),OR(Recherche!$C$5="",B1447&amp;""=Recherche!$C$5&amp;""),OR(Recherche!$C$6="",IFERROR(YEAR(L1447),0)=Recherche!$C$6),OR(Recherche!$C$7="",ISNUMBER(SEARCH(Recherche!$C$7,H1447))),OR(Recherche!$C$8="",J1447=Recherche!$C$8),OR(Recherche!$C$9="",I1447=Recherche!$C$9),OR(Recherche!$C$10="",G1447&amp;""=Recherche!$C$10&amp;""),OR(Recherche!$C$11="",E1447=Recherche!$C$11),OR(Recherche!$C$12="",ISNUMBER(SEARCH(Recherche!$C$12,M1447&amp;" "&amp;F1447)))),1,0)</f>
        <v>8</v>
      </c>
    </row>
    <row r="1448" customFormat="false" ht="15" hidden="false" customHeight="false" outlineLevel="0" collapsed="false">
      <c r="A1448" s="19"/>
      <c r="B1448" s="19"/>
      <c r="C1448" s="19"/>
      <c r="D1448" s="19"/>
      <c r="E1448" s="22"/>
      <c r="F1448" s="19"/>
      <c r="G1448" s="26" t="str">
        <f aca="false">IF(D1448="","",IFERROR(VALUE(LEFT(D1448,FIND(" |",D1448&amp;" |")-1)),"?"))</f>
        <v/>
      </c>
      <c r="H1448" s="27" t="str">
        <f aca="false">IF(G1448="","",IF(G1448="?","⚠ pub inconnue",IFERROR(INDEX(Pubs!$B$2:$B$3001,MATCH(G1448,Pubs!$A$2:$A$3001,0))&amp;"","⚠ pub inconnue")))</f>
        <v/>
      </c>
      <c r="I1448" s="27" t="str">
        <f aca="false">IF(OR(G1448="",G1448="?"),"",IFERROR(INDEX(Pubs!$C$2:$C$3001,MATCH(G1448,Pubs!$A$2:$A$3001,0))&amp;"",""))</f>
        <v/>
      </c>
      <c r="J1448" s="27" t="str">
        <f aca="false">IF(OR(G1448="",G1448="?"),"",IFERROR(INDEX(Pubs!$G$2:$G$3001,MATCH(G1448,Pubs!$A$2:$A$3001,0))&amp;"",""))</f>
        <v/>
      </c>
      <c r="K1448" s="28" t="str">
        <f aca="false">IF(OR(G1448="",G1448="?"),"",IFERROR(INDEX(Pubs!$E$2:$E$3001,MATCH(G1448,Pubs!$A$2:$A$3001,0)),""))</f>
        <v/>
      </c>
      <c r="L1448" s="29" t="str">
        <f aca="false">IF(A1448="","",IFERROR(1/(1/INDEX(Numéros!$C$2:$C$3001,MATCH(A1448&amp;"|"&amp;B1448,Numéros!$F$2:$F$3001,0))),""))</f>
        <v/>
      </c>
      <c r="M1448" s="27" t="str">
        <f aca="false">IF(OR(G1448="",G1448="?"),"",IFERROR(INDEX(Pubs!$D$2:$D$3001,MATCH(G1448,Pubs!$A$2:$A$3001,0))&amp;"",""))</f>
        <v/>
      </c>
      <c r="N1448" s="27" t="n">
        <f aca="false">N(N1447)+IF(AND(A1448&lt;&gt;"",OR(Recherche!$C$4="",A1448=Recherche!$C$4),OR(Recherche!$C$5="",B1448&amp;""=Recherche!$C$5&amp;""),OR(Recherche!$C$6="",IFERROR(YEAR(L1448),0)=Recherche!$C$6),OR(Recherche!$C$7="",ISNUMBER(SEARCH(Recherche!$C$7,H1448))),OR(Recherche!$C$8="",J1448=Recherche!$C$8),OR(Recherche!$C$9="",I1448=Recherche!$C$9),OR(Recherche!$C$10="",G1448&amp;""=Recherche!$C$10&amp;""),OR(Recherche!$C$11="",E1448=Recherche!$C$11),OR(Recherche!$C$12="",ISNUMBER(SEARCH(Recherche!$C$12,M1448&amp;" "&amp;F1448)))),1,0)</f>
        <v>8</v>
      </c>
    </row>
    <row r="1449" customFormat="false" ht="15" hidden="false" customHeight="false" outlineLevel="0" collapsed="false">
      <c r="A1449" s="19"/>
      <c r="B1449" s="19"/>
      <c r="C1449" s="19"/>
      <c r="D1449" s="19"/>
      <c r="E1449" s="22"/>
      <c r="F1449" s="19"/>
      <c r="G1449" s="26" t="str">
        <f aca="false">IF(D1449="","",IFERROR(VALUE(LEFT(D1449,FIND(" |",D1449&amp;" |")-1)),"?"))</f>
        <v/>
      </c>
      <c r="H1449" s="27" t="str">
        <f aca="false">IF(G1449="","",IF(G1449="?","⚠ pub inconnue",IFERROR(INDEX(Pubs!$B$2:$B$3001,MATCH(G1449,Pubs!$A$2:$A$3001,0))&amp;"","⚠ pub inconnue")))</f>
        <v/>
      </c>
      <c r="I1449" s="27" t="str">
        <f aca="false">IF(OR(G1449="",G1449="?"),"",IFERROR(INDEX(Pubs!$C$2:$C$3001,MATCH(G1449,Pubs!$A$2:$A$3001,0))&amp;"",""))</f>
        <v/>
      </c>
      <c r="J1449" s="27" t="str">
        <f aca="false">IF(OR(G1449="",G1449="?"),"",IFERROR(INDEX(Pubs!$G$2:$G$3001,MATCH(G1449,Pubs!$A$2:$A$3001,0))&amp;"",""))</f>
        <v/>
      </c>
      <c r="K1449" s="28" t="str">
        <f aca="false">IF(OR(G1449="",G1449="?"),"",IFERROR(INDEX(Pubs!$E$2:$E$3001,MATCH(G1449,Pubs!$A$2:$A$3001,0)),""))</f>
        <v/>
      </c>
      <c r="L1449" s="29" t="str">
        <f aca="false">IF(A1449="","",IFERROR(1/(1/INDEX(Numéros!$C$2:$C$3001,MATCH(A1449&amp;"|"&amp;B1449,Numéros!$F$2:$F$3001,0))),""))</f>
        <v/>
      </c>
      <c r="M1449" s="27" t="str">
        <f aca="false">IF(OR(G1449="",G1449="?"),"",IFERROR(INDEX(Pubs!$D$2:$D$3001,MATCH(G1449,Pubs!$A$2:$A$3001,0))&amp;"",""))</f>
        <v/>
      </c>
      <c r="N1449" s="27" t="n">
        <f aca="false">N(N1448)+IF(AND(A1449&lt;&gt;"",OR(Recherche!$C$4="",A1449=Recherche!$C$4),OR(Recherche!$C$5="",B1449&amp;""=Recherche!$C$5&amp;""),OR(Recherche!$C$6="",IFERROR(YEAR(L1449),0)=Recherche!$C$6),OR(Recherche!$C$7="",ISNUMBER(SEARCH(Recherche!$C$7,H1449))),OR(Recherche!$C$8="",J1449=Recherche!$C$8),OR(Recherche!$C$9="",I1449=Recherche!$C$9),OR(Recherche!$C$10="",G1449&amp;""=Recherche!$C$10&amp;""),OR(Recherche!$C$11="",E1449=Recherche!$C$11),OR(Recherche!$C$12="",ISNUMBER(SEARCH(Recherche!$C$12,M1449&amp;" "&amp;F1449)))),1,0)</f>
        <v>8</v>
      </c>
    </row>
    <row r="1450" customFormat="false" ht="15" hidden="false" customHeight="false" outlineLevel="0" collapsed="false">
      <c r="A1450" s="19"/>
      <c r="B1450" s="19"/>
      <c r="C1450" s="19"/>
      <c r="D1450" s="19"/>
      <c r="E1450" s="22"/>
      <c r="F1450" s="19"/>
      <c r="G1450" s="26" t="str">
        <f aca="false">IF(D1450="","",IFERROR(VALUE(LEFT(D1450,FIND(" |",D1450&amp;" |")-1)),"?"))</f>
        <v/>
      </c>
      <c r="H1450" s="27" t="str">
        <f aca="false">IF(G1450="","",IF(G1450="?","⚠ pub inconnue",IFERROR(INDEX(Pubs!$B$2:$B$3001,MATCH(G1450,Pubs!$A$2:$A$3001,0))&amp;"","⚠ pub inconnue")))</f>
        <v/>
      </c>
      <c r="I1450" s="27" t="str">
        <f aca="false">IF(OR(G1450="",G1450="?"),"",IFERROR(INDEX(Pubs!$C$2:$C$3001,MATCH(G1450,Pubs!$A$2:$A$3001,0))&amp;"",""))</f>
        <v/>
      </c>
      <c r="J1450" s="27" t="str">
        <f aca="false">IF(OR(G1450="",G1450="?"),"",IFERROR(INDEX(Pubs!$G$2:$G$3001,MATCH(G1450,Pubs!$A$2:$A$3001,0))&amp;"",""))</f>
        <v/>
      </c>
      <c r="K1450" s="28" t="str">
        <f aca="false">IF(OR(G1450="",G1450="?"),"",IFERROR(INDEX(Pubs!$E$2:$E$3001,MATCH(G1450,Pubs!$A$2:$A$3001,0)),""))</f>
        <v/>
      </c>
      <c r="L1450" s="29" t="str">
        <f aca="false">IF(A1450="","",IFERROR(1/(1/INDEX(Numéros!$C$2:$C$3001,MATCH(A1450&amp;"|"&amp;B1450,Numéros!$F$2:$F$3001,0))),""))</f>
        <v/>
      </c>
      <c r="M1450" s="27" t="str">
        <f aca="false">IF(OR(G1450="",G1450="?"),"",IFERROR(INDEX(Pubs!$D$2:$D$3001,MATCH(G1450,Pubs!$A$2:$A$3001,0))&amp;"",""))</f>
        <v/>
      </c>
      <c r="N1450" s="27" t="n">
        <f aca="false">N(N1449)+IF(AND(A1450&lt;&gt;"",OR(Recherche!$C$4="",A1450=Recherche!$C$4),OR(Recherche!$C$5="",B1450&amp;""=Recherche!$C$5&amp;""),OR(Recherche!$C$6="",IFERROR(YEAR(L1450),0)=Recherche!$C$6),OR(Recherche!$C$7="",ISNUMBER(SEARCH(Recherche!$C$7,H1450))),OR(Recherche!$C$8="",J1450=Recherche!$C$8),OR(Recherche!$C$9="",I1450=Recherche!$C$9),OR(Recherche!$C$10="",G1450&amp;""=Recherche!$C$10&amp;""),OR(Recherche!$C$11="",E1450=Recherche!$C$11),OR(Recherche!$C$12="",ISNUMBER(SEARCH(Recherche!$C$12,M1450&amp;" "&amp;F1450)))),1,0)</f>
        <v>8</v>
      </c>
    </row>
    <row r="1451" customFormat="false" ht="15" hidden="false" customHeight="false" outlineLevel="0" collapsed="false">
      <c r="A1451" s="19"/>
      <c r="B1451" s="19"/>
      <c r="C1451" s="19"/>
      <c r="D1451" s="19"/>
      <c r="E1451" s="22"/>
      <c r="F1451" s="19"/>
      <c r="G1451" s="26" t="str">
        <f aca="false">IF(D1451="","",IFERROR(VALUE(LEFT(D1451,FIND(" |",D1451&amp;" |")-1)),"?"))</f>
        <v/>
      </c>
      <c r="H1451" s="27" t="str">
        <f aca="false">IF(G1451="","",IF(G1451="?","⚠ pub inconnue",IFERROR(INDEX(Pubs!$B$2:$B$3001,MATCH(G1451,Pubs!$A$2:$A$3001,0))&amp;"","⚠ pub inconnue")))</f>
        <v/>
      </c>
      <c r="I1451" s="27" t="str">
        <f aca="false">IF(OR(G1451="",G1451="?"),"",IFERROR(INDEX(Pubs!$C$2:$C$3001,MATCH(G1451,Pubs!$A$2:$A$3001,0))&amp;"",""))</f>
        <v/>
      </c>
      <c r="J1451" s="27" t="str">
        <f aca="false">IF(OR(G1451="",G1451="?"),"",IFERROR(INDEX(Pubs!$G$2:$G$3001,MATCH(G1451,Pubs!$A$2:$A$3001,0))&amp;"",""))</f>
        <v/>
      </c>
      <c r="K1451" s="28" t="str">
        <f aca="false">IF(OR(G1451="",G1451="?"),"",IFERROR(INDEX(Pubs!$E$2:$E$3001,MATCH(G1451,Pubs!$A$2:$A$3001,0)),""))</f>
        <v/>
      </c>
      <c r="L1451" s="29" t="str">
        <f aca="false">IF(A1451="","",IFERROR(1/(1/INDEX(Numéros!$C$2:$C$3001,MATCH(A1451&amp;"|"&amp;B1451,Numéros!$F$2:$F$3001,0))),""))</f>
        <v/>
      </c>
      <c r="M1451" s="27" t="str">
        <f aca="false">IF(OR(G1451="",G1451="?"),"",IFERROR(INDEX(Pubs!$D$2:$D$3001,MATCH(G1451,Pubs!$A$2:$A$3001,0))&amp;"",""))</f>
        <v/>
      </c>
      <c r="N1451" s="27" t="n">
        <f aca="false">N(N1450)+IF(AND(A1451&lt;&gt;"",OR(Recherche!$C$4="",A1451=Recherche!$C$4),OR(Recherche!$C$5="",B1451&amp;""=Recherche!$C$5&amp;""),OR(Recherche!$C$6="",IFERROR(YEAR(L1451),0)=Recherche!$C$6),OR(Recherche!$C$7="",ISNUMBER(SEARCH(Recherche!$C$7,H1451))),OR(Recherche!$C$8="",J1451=Recherche!$C$8),OR(Recherche!$C$9="",I1451=Recherche!$C$9),OR(Recherche!$C$10="",G1451&amp;""=Recherche!$C$10&amp;""),OR(Recherche!$C$11="",E1451=Recherche!$C$11),OR(Recherche!$C$12="",ISNUMBER(SEARCH(Recherche!$C$12,M1451&amp;" "&amp;F1451)))),1,0)</f>
        <v>8</v>
      </c>
    </row>
    <row r="1452" customFormat="false" ht="15" hidden="false" customHeight="false" outlineLevel="0" collapsed="false">
      <c r="A1452" s="19"/>
      <c r="B1452" s="19"/>
      <c r="C1452" s="19"/>
      <c r="D1452" s="19"/>
      <c r="E1452" s="22"/>
      <c r="F1452" s="19"/>
      <c r="G1452" s="26" t="str">
        <f aca="false">IF(D1452="","",IFERROR(VALUE(LEFT(D1452,FIND(" |",D1452&amp;" |")-1)),"?"))</f>
        <v/>
      </c>
      <c r="H1452" s="27" t="str">
        <f aca="false">IF(G1452="","",IF(G1452="?","⚠ pub inconnue",IFERROR(INDEX(Pubs!$B$2:$B$3001,MATCH(G1452,Pubs!$A$2:$A$3001,0))&amp;"","⚠ pub inconnue")))</f>
        <v/>
      </c>
      <c r="I1452" s="27" t="str">
        <f aca="false">IF(OR(G1452="",G1452="?"),"",IFERROR(INDEX(Pubs!$C$2:$C$3001,MATCH(G1452,Pubs!$A$2:$A$3001,0))&amp;"",""))</f>
        <v/>
      </c>
      <c r="J1452" s="27" t="str">
        <f aca="false">IF(OR(G1452="",G1452="?"),"",IFERROR(INDEX(Pubs!$G$2:$G$3001,MATCH(G1452,Pubs!$A$2:$A$3001,0))&amp;"",""))</f>
        <v/>
      </c>
      <c r="K1452" s="28" t="str">
        <f aca="false">IF(OR(G1452="",G1452="?"),"",IFERROR(INDEX(Pubs!$E$2:$E$3001,MATCH(G1452,Pubs!$A$2:$A$3001,0)),""))</f>
        <v/>
      </c>
      <c r="L1452" s="29" t="str">
        <f aca="false">IF(A1452="","",IFERROR(1/(1/INDEX(Numéros!$C$2:$C$3001,MATCH(A1452&amp;"|"&amp;B1452,Numéros!$F$2:$F$3001,0))),""))</f>
        <v/>
      </c>
      <c r="M1452" s="27" t="str">
        <f aca="false">IF(OR(G1452="",G1452="?"),"",IFERROR(INDEX(Pubs!$D$2:$D$3001,MATCH(G1452,Pubs!$A$2:$A$3001,0))&amp;"",""))</f>
        <v/>
      </c>
      <c r="N1452" s="27" t="n">
        <f aca="false">N(N1451)+IF(AND(A1452&lt;&gt;"",OR(Recherche!$C$4="",A1452=Recherche!$C$4),OR(Recherche!$C$5="",B1452&amp;""=Recherche!$C$5&amp;""),OR(Recherche!$C$6="",IFERROR(YEAR(L1452),0)=Recherche!$C$6),OR(Recherche!$C$7="",ISNUMBER(SEARCH(Recherche!$C$7,H1452))),OR(Recherche!$C$8="",J1452=Recherche!$C$8),OR(Recherche!$C$9="",I1452=Recherche!$C$9),OR(Recherche!$C$10="",G1452&amp;""=Recherche!$C$10&amp;""),OR(Recherche!$C$11="",E1452=Recherche!$C$11),OR(Recherche!$C$12="",ISNUMBER(SEARCH(Recherche!$C$12,M1452&amp;" "&amp;F1452)))),1,0)</f>
        <v>8</v>
      </c>
    </row>
    <row r="1453" customFormat="false" ht="15" hidden="false" customHeight="false" outlineLevel="0" collapsed="false">
      <c r="A1453" s="19"/>
      <c r="B1453" s="19"/>
      <c r="C1453" s="19"/>
      <c r="D1453" s="19"/>
      <c r="E1453" s="22"/>
      <c r="F1453" s="19"/>
      <c r="G1453" s="26" t="str">
        <f aca="false">IF(D1453="","",IFERROR(VALUE(LEFT(D1453,FIND(" |",D1453&amp;" |")-1)),"?"))</f>
        <v/>
      </c>
      <c r="H1453" s="27" t="str">
        <f aca="false">IF(G1453="","",IF(G1453="?","⚠ pub inconnue",IFERROR(INDEX(Pubs!$B$2:$B$3001,MATCH(G1453,Pubs!$A$2:$A$3001,0))&amp;"","⚠ pub inconnue")))</f>
        <v/>
      </c>
      <c r="I1453" s="27" t="str">
        <f aca="false">IF(OR(G1453="",G1453="?"),"",IFERROR(INDEX(Pubs!$C$2:$C$3001,MATCH(G1453,Pubs!$A$2:$A$3001,0))&amp;"",""))</f>
        <v/>
      </c>
      <c r="J1453" s="27" t="str">
        <f aca="false">IF(OR(G1453="",G1453="?"),"",IFERROR(INDEX(Pubs!$G$2:$G$3001,MATCH(G1453,Pubs!$A$2:$A$3001,0))&amp;"",""))</f>
        <v/>
      </c>
      <c r="K1453" s="28" t="str">
        <f aca="false">IF(OR(G1453="",G1453="?"),"",IFERROR(INDEX(Pubs!$E$2:$E$3001,MATCH(G1453,Pubs!$A$2:$A$3001,0)),""))</f>
        <v/>
      </c>
      <c r="L1453" s="29" t="str">
        <f aca="false">IF(A1453="","",IFERROR(1/(1/INDEX(Numéros!$C$2:$C$3001,MATCH(A1453&amp;"|"&amp;B1453,Numéros!$F$2:$F$3001,0))),""))</f>
        <v/>
      </c>
      <c r="M1453" s="27" t="str">
        <f aca="false">IF(OR(G1453="",G1453="?"),"",IFERROR(INDEX(Pubs!$D$2:$D$3001,MATCH(G1453,Pubs!$A$2:$A$3001,0))&amp;"",""))</f>
        <v/>
      </c>
      <c r="N1453" s="27" t="n">
        <f aca="false">N(N1452)+IF(AND(A1453&lt;&gt;"",OR(Recherche!$C$4="",A1453=Recherche!$C$4),OR(Recherche!$C$5="",B1453&amp;""=Recherche!$C$5&amp;""),OR(Recherche!$C$6="",IFERROR(YEAR(L1453),0)=Recherche!$C$6),OR(Recherche!$C$7="",ISNUMBER(SEARCH(Recherche!$C$7,H1453))),OR(Recherche!$C$8="",J1453=Recherche!$C$8),OR(Recherche!$C$9="",I1453=Recherche!$C$9),OR(Recherche!$C$10="",G1453&amp;""=Recherche!$C$10&amp;""),OR(Recherche!$C$11="",E1453=Recherche!$C$11),OR(Recherche!$C$12="",ISNUMBER(SEARCH(Recherche!$C$12,M1453&amp;" "&amp;F1453)))),1,0)</f>
        <v>8</v>
      </c>
    </row>
    <row r="1454" customFormat="false" ht="15" hidden="false" customHeight="false" outlineLevel="0" collapsed="false">
      <c r="A1454" s="19"/>
      <c r="B1454" s="19"/>
      <c r="C1454" s="19"/>
      <c r="D1454" s="19"/>
      <c r="E1454" s="22"/>
      <c r="F1454" s="19"/>
      <c r="G1454" s="26" t="str">
        <f aca="false">IF(D1454="","",IFERROR(VALUE(LEFT(D1454,FIND(" |",D1454&amp;" |")-1)),"?"))</f>
        <v/>
      </c>
      <c r="H1454" s="27" t="str">
        <f aca="false">IF(G1454="","",IF(G1454="?","⚠ pub inconnue",IFERROR(INDEX(Pubs!$B$2:$B$3001,MATCH(G1454,Pubs!$A$2:$A$3001,0))&amp;"","⚠ pub inconnue")))</f>
        <v/>
      </c>
      <c r="I1454" s="27" t="str">
        <f aca="false">IF(OR(G1454="",G1454="?"),"",IFERROR(INDEX(Pubs!$C$2:$C$3001,MATCH(G1454,Pubs!$A$2:$A$3001,0))&amp;"",""))</f>
        <v/>
      </c>
      <c r="J1454" s="27" t="str">
        <f aca="false">IF(OR(G1454="",G1454="?"),"",IFERROR(INDEX(Pubs!$G$2:$G$3001,MATCH(G1454,Pubs!$A$2:$A$3001,0))&amp;"",""))</f>
        <v/>
      </c>
      <c r="K1454" s="28" t="str">
        <f aca="false">IF(OR(G1454="",G1454="?"),"",IFERROR(INDEX(Pubs!$E$2:$E$3001,MATCH(G1454,Pubs!$A$2:$A$3001,0)),""))</f>
        <v/>
      </c>
      <c r="L1454" s="29" t="str">
        <f aca="false">IF(A1454="","",IFERROR(1/(1/INDEX(Numéros!$C$2:$C$3001,MATCH(A1454&amp;"|"&amp;B1454,Numéros!$F$2:$F$3001,0))),""))</f>
        <v/>
      </c>
      <c r="M1454" s="27" t="str">
        <f aca="false">IF(OR(G1454="",G1454="?"),"",IFERROR(INDEX(Pubs!$D$2:$D$3001,MATCH(G1454,Pubs!$A$2:$A$3001,0))&amp;"",""))</f>
        <v/>
      </c>
      <c r="N1454" s="27" t="n">
        <f aca="false">N(N1453)+IF(AND(A1454&lt;&gt;"",OR(Recherche!$C$4="",A1454=Recherche!$C$4),OR(Recherche!$C$5="",B1454&amp;""=Recherche!$C$5&amp;""),OR(Recherche!$C$6="",IFERROR(YEAR(L1454),0)=Recherche!$C$6),OR(Recherche!$C$7="",ISNUMBER(SEARCH(Recherche!$C$7,H1454))),OR(Recherche!$C$8="",J1454=Recherche!$C$8),OR(Recherche!$C$9="",I1454=Recherche!$C$9),OR(Recherche!$C$10="",G1454&amp;""=Recherche!$C$10&amp;""),OR(Recherche!$C$11="",E1454=Recherche!$C$11),OR(Recherche!$C$12="",ISNUMBER(SEARCH(Recherche!$C$12,M1454&amp;" "&amp;F1454)))),1,0)</f>
        <v>8</v>
      </c>
    </row>
    <row r="1455" customFormat="false" ht="15" hidden="false" customHeight="false" outlineLevel="0" collapsed="false">
      <c r="A1455" s="19"/>
      <c r="B1455" s="19"/>
      <c r="C1455" s="19"/>
      <c r="D1455" s="19"/>
      <c r="E1455" s="22"/>
      <c r="F1455" s="19"/>
      <c r="G1455" s="26" t="str">
        <f aca="false">IF(D1455="","",IFERROR(VALUE(LEFT(D1455,FIND(" |",D1455&amp;" |")-1)),"?"))</f>
        <v/>
      </c>
      <c r="H1455" s="27" t="str">
        <f aca="false">IF(G1455="","",IF(G1455="?","⚠ pub inconnue",IFERROR(INDEX(Pubs!$B$2:$B$3001,MATCH(G1455,Pubs!$A$2:$A$3001,0))&amp;"","⚠ pub inconnue")))</f>
        <v/>
      </c>
      <c r="I1455" s="27" t="str">
        <f aca="false">IF(OR(G1455="",G1455="?"),"",IFERROR(INDEX(Pubs!$C$2:$C$3001,MATCH(G1455,Pubs!$A$2:$A$3001,0))&amp;"",""))</f>
        <v/>
      </c>
      <c r="J1455" s="27" t="str">
        <f aca="false">IF(OR(G1455="",G1455="?"),"",IFERROR(INDEX(Pubs!$G$2:$G$3001,MATCH(G1455,Pubs!$A$2:$A$3001,0))&amp;"",""))</f>
        <v/>
      </c>
      <c r="K1455" s="28" t="str">
        <f aca="false">IF(OR(G1455="",G1455="?"),"",IFERROR(INDEX(Pubs!$E$2:$E$3001,MATCH(G1455,Pubs!$A$2:$A$3001,0)),""))</f>
        <v/>
      </c>
      <c r="L1455" s="29" t="str">
        <f aca="false">IF(A1455="","",IFERROR(1/(1/INDEX(Numéros!$C$2:$C$3001,MATCH(A1455&amp;"|"&amp;B1455,Numéros!$F$2:$F$3001,0))),""))</f>
        <v/>
      </c>
      <c r="M1455" s="27" t="str">
        <f aca="false">IF(OR(G1455="",G1455="?"),"",IFERROR(INDEX(Pubs!$D$2:$D$3001,MATCH(G1455,Pubs!$A$2:$A$3001,0))&amp;"",""))</f>
        <v/>
      </c>
      <c r="N1455" s="27" t="n">
        <f aca="false">N(N1454)+IF(AND(A1455&lt;&gt;"",OR(Recherche!$C$4="",A1455=Recherche!$C$4),OR(Recherche!$C$5="",B1455&amp;""=Recherche!$C$5&amp;""),OR(Recherche!$C$6="",IFERROR(YEAR(L1455),0)=Recherche!$C$6),OR(Recherche!$C$7="",ISNUMBER(SEARCH(Recherche!$C$7,H1455))),OR(Recherche!$C$8="",J1455=Recherche!$C$8),OR(Recherche!$C$9="",I1455=Recherche!$C$9),OR(Recherche!$C$10="",G1455&amp;""=Recherche!$C$10&amp;""),OR(Recherche!$C$11="",E1455=Recherche!$C$11),OR(Recherche!$C$12="",ISNUMBER(SEARCH(Recherche!$C$12,M1455&amp;" "&amp;F1455)))),1,0)</f>
        <v>8</v>
      </c>
    </row>
    <row r="1456" customFormat="false" ht="15" hidden="false" customHeight="false" outlineLevel="0" collapsed="false">
      <c r="A1456" s="19"/>
      <c r="B1456" s="19"/>
      <c r="C1456" s="19"/>
      <c r="D1456" s="19"/>
      <c r="E1456" s="22"/>
      <c r="F1456" s="19"/>
      <c r="G1456" s="26" t="str">
        <f aca="false">IF(D1456="","",IFERROR(VALUE(LEFT(D1456,FIND(" |",D1456&amp;" |")-1)),"?"))</f>
        <v/>
      </c>
      <c r="H1456" s="27" t="str">
        <f aca="false">IF(G1456="","",IF(G1456="?","⚠ pub inconnue",IFERROR(INDEX(Pubs!$B$2:$B$3001,MATCH(G1456,Pubs!$A$2:$A$3001,0))&amp;"","⚠ pub inconnue")))</f>
        <v/>
      </c>
      <c r="I1456" s="27" t="str">
        <f aca="false">IF(OR(G1456="",G1456="?"),"",IFERROR(INDEX(Pubs!$C$2:$C$3001,MATCH(G1456,Pubs!$A$2:$A$3001,0))&amp;"",""))</f>
        <v/>
      </c>
      <c r="J1456" s="27" t="str">
        <f aca="false">IF(OR(G1456="",G1456="?"),"",IFERROR(INDEX(Pubs!$G$2:$G$3001,MATCH(G1456,Pubs!$A$2:$A$3001,0))&amp;"",""))</f>
        <v/>
      </c>
      <c r="K1456" s="28" t="str">
        <f aca="false">IF(OR(G1456="",G1456="?"),"",IFERROR(INDEX(Pubs!$E$2:$E$3001,MATCH(G1456,Pubs!$A$2:$A$3001,0)),""))</f>
        <v/>
      </c>
      <c r="L1456" s="29" t="str">
        <f aca="false">IF(A1456="","",IFERROR(1/(1/INDEX(Numéros!$C$2:$C$3001,MATCH(A1456&amp;"|"&amp;B1456,Numéros!$F$2:$F$3001,0))),""))</f>
        <v/>
      </c>
      <c r="M1456" s="27" t="str">
        <f aca="false">IF(OR(G1456="",G1456="?"),"",IFERROR(INDEX(Pubs!$D$2:$D$3001,MATCH(G1456,Pubs!$A$2:$A$3001,0))&amp;"",""))</f>
        <v/>
      </c>
      <c r="N1456" s="27" t="n">
        <f aca="false">N(N1455)+IF(AND(A1456&lt;&gt;"",OR(Recherche!$C$4="",A1456=Recherche!$C$4),OR(Recherche!$C$5="",B1456&amp;""=Recherche!$C$5&amp;""),OR(Recherche!$C$6="",IFERROR(YEAR(L1456),0)=Recherche!$C$6),OR(Recherche!$C$7="",ISNUMBER(SEARCH(Recherche!$C$7,H1456))),OR(Recherche!$C$8="",J1456=Recherche!$C$8),OR(Recherche!$C$9="",I1456=Recherche!$C$9),OR(Recherche!$C$10="",G1456&amp;""=Recherche!$C$10&amp;""),OR(Recherche!$C$11="",E1456=Recherche!$C$11),OR(Recherche!$C$12="",ISNUMBER(SEARCH(Recherche!$C$12,M1456&amp;" "&amp;F1456)))),1,0)</f>
        <v>8</v>
      </c>
    </row>
    <row r="1457" customFormat="false" ht="15" hidden="false" customHeight="false" outlineLevel="0" collapsed="false">
      <c r="A1457" s="19"/>
      <c r="B1457" s="19"/>
      <c r="C1457" s="19"/>
      <c r="D1457" s="19"/>
      <c r="E1457" s="22"/>
      <c r="F1457" s="19"/>
      <c r="G1457" s="26" t="str">
        <f aca="false">IF(D1457="","",IFERROR(VALUE(LEFT(D1457,FIND(" |",D1457&amp;" |")-1)),"?"))</f>
        <v/>
      </c>
      <c r="H1457" s="27" t="str">
        <f aca="false">IF(G1457="","",IF(G1457="?","⚠ pub inconnue",IFERROR(INDEX(Pubs!$B$2:$B$3001,MATCH(G1457,Pubs!$A$2:$A$3001,0))&amp;"","⚠ pub inconnue")))</f>
        <v/>
      </c>
      <c r="I1457" s="27" t="str">
        <f aca="false">IF(OR(G1457="",G1457="?"),"",IFERROR(INDEX(Pubs!$C$2:$C$3001,MATCH(G1457,Pubs!$A$2:$A$3001,0))&amp;"",""))</f>
        <v/>
      </c>
      <c r="J1457" s="27" t="str">
        <f aca="false">IF(OR(G1457="",G1457="?"),"",IFERROR(INDEX(Pubs!$G$2:$G$3001,MATCH(G1457,Pubs!$A$2:$A$3001,0))&amp;"",""))</f>
        <v/>
      </c>
      <c r="K1457" s="28" t="str">
        <f aca="false">IF(OR(G1457="",G1457="?"),"",IFERROR(INDEX(Pubs!$E$2:$E$3001,MATCH(G1457,Pubs!$A$2:$A$3001,0)),""))</f>
        <v/>
      </c>
      <c r="L1457" s="29" t="str">
        <f aca="false">IF(A1457="","",IFERROR(1/(1/INDEX(Numéros!$C$2:$C$3001,MATCH(A1457&amp;"|"&amp;B1457,Numéros!$F$2:$F$3001,0))),""))</f>
        <v/>
      </c>
      <c r="M1457" s="27" t="str">
        <f aca="false">IF(OR(G1457="",G1457="?"),"",IFERROR(INDEX(Pubs!$D$2:$D$3001,MATCH(G1457,Pubs!$A$2:$A$3001,0))&amp;"",""))</f>
        <v/>
      </c>
      <c r="N1457" s="27" t="n">
        <f aca="false">N(N1456)+IF(AND(A1457&lt;&gt;"",OR(Recherche!$C$4="",A1457=Recherche!$C$4),OR(Recherche!$C$5="",B1457&amp;""=Recherche!$C$5&amp;""),OR(Recherche!$C$6="",IFERROR(YEAR(L1457),0)=Recherche!$C$6),OR(Recherche!$C$7="",ISNUMBER(SEARCH(Recherche!$C$7,H1457))),OR(Recherche!$C$8="",J1457=Recherche!$C$8),OR(Recherche!$C$9="",I1457=Recherche!$C$9),OR(Recherche!$C$10="",G1457&amp;""=Recherche!$C$10&amp;""),OR(Recherche!$C$11="",E1457=Recherche!$C$11),OR(Recherche!$C$12="",ISNUMBER(SEARCH(Recherche!$C$12,M1457&amp;" "&amp;F1457)))),1,0)</f>
        <v>8</v>
      </c>
    </row>
    <row r="1458" customFormat="false" ht="15" hidden="false" customHeight="false" outlineLevel="0" collapsed="false">
      <c r="A1458" s="19"/>
      <c r="B1458" s="19"/>
      <c r="C1458" s="19"/>
      <c r="D1458" s="19"/>
      <c r="E1458" s="22"/>
      <c r="F1458" s="19"/>
      <c r="G1458" s="26" t="str">
        <f aca="false">IF(D1458="","",IFERROR(VALUE(LEFT(D1458,FIND(" |",D1458&amp;" |")-1)),"?"))</f>
        <v/>
      </c>
      <c r="H1458" s="27" t="str">
        <f aca="false">IF(G1458="","",IF(G1458="?","⚠ pub inconnue",IFERROR(INDEX(Pubs!$B$2:$B$3001,MATCH(G1458,Pubs!$A$2:$A$3001,0))&amp;"","⚠ pub inconnue")))</f>
        <v/>
      </c>
      <c r="I1458" s="27" t="str">
        <f aca="false">IF(OR(G1458="",G1458="?"),"",IFERROR(INDEX(Pubs!$C$2:$C$3001,MATCH(G1458,Pubs!$A$2:$A$3001,0))&amp;"",""))</f>
        <v/>
      </c>
      <c r="J1458" s="27" t="str">
        <f aca="false">IF(OR(G1458="",G1458="?"),"",IFERROR(INDEX(Pubs!$G$2:$G$3001,MATCH(G1458,Pubs!$A$2:$A$3001,0))&amp;"",""))</f>
        <v/>
      </c>
      <c r="K1458" s="28" t="str">
        <f aca="false">IF(OR(G1458="",G1458="?"),"",IFERROR(INDEX(Pubs!$E$2:$E$3001,MATCH(G1458,Pubs!$A$2:$A$3001,0)),""))</f>
        <v/>
      </c>
      <c r="L1458" s="29" t="str">
        <f aca="false">IF(A1458="","",IFERROR(1/(1/INDEX(Numéros!$C$2:$C$3001,MATCH(A1458&amp;"|"&amp;B1458,Numéros!$F$2:$F$3001,0))),""))</f>
        <v/>
      </c>
      <c r="M1458" s="27" t="str">
        <f aca="false">IF(OR(G1458="",G1458="?"),"",IFERROR(INDEX(Pubs!$D$2:$D$3001,MATCH(G1458,Pubs!$A$2:$A$3001,0))&amp;"",""))</f>
        <v/>
      </c>
      <c r="N1458" s="27" t="n">
        <f aca="false">N(N1457)+IF(AND(A1458&lt;&gt;"",OR(Recherche!$C$4="",A1458=Recherche!$C$4),OR(Recherche!$C$5="",B1458&amp;""=Recherche!$C$5&amp;""),OR(Recherche!$C$6="",IFERROR(YEAR(L1458),0)=Recherche!$C$6),OR(Recherche!$C$7="",ISNUMBER(SEARCH(Recherche!$C$7,H1458))),OR(Recherche!$C$8="",J1458=Recherche!$C$8),OR(Recherche!$C$9="",I1458=Recherche!$C$9),OR(Recherche!$C$10="",G1458&amp;""=Recherche!$C$10&amp;""),OR(Recherche!$C$11="",E1458=Recherche!$C$11),OR(Recherche!$C$12="",ISNUMBER(SEARCH(Recherche!$C$12,M1458&amp;" "&amp;F1458)))),1,0)</f>
        <v>8</v>
      </c>
    </row>
    <row r="1459" customFormat="false" ht="15" hidden="false" customHeight="false" outlineLevel="0" collapsed="false">
      <c r="A1459" s="19"/>
      <c r="B1459" s="19"/>
      <c r="C1459" s="19"/>
      <c r="D1459" s="19"/>
      <c r="E1459" s="22"/>
      <c r="F1459" s="19"/>
      <c r="G1459" s="26" t="str">
        <f aca="false">IF(D1459="","",IFERROR(VALUE(LEFT(D1459,FIND(" |",D1459&amp;" |")-1)),"?"))</f>
        <v/>
      </c>
      <c r="H1459" s="27" t="str">
        <f aca="false">IF(G1459="","",IF(G1459="?","⚠ pub inconnue",IFERROR(INDEX(Pubs!$B$2:$B$3001,MATCH(G1459,Pubs!$A$2:$A$3001,0))&amp;"","⚠ pub inconnue")))</f>
        <v/>
      </c>
      <c r="I1459" s="27" t="str">
        <f aca="false">IF(OR(G1459="",G1459="?"),"",IFERROR(INDEX(Pubs!$C$2:$C$3001,MATCH(G1459,Pubs!$A$2:$A$3001,0))&amp;"",""))</f>
        <v/>
      </c>
      <c r="J1459" s="27" t="str">
        <f aca="false">IF(OR(G1459="",G1459="?"),"",IFERROR(INDEX(Pubs!$G$2:$G$3001,MATCH(G1459,Pubs!$A$2:$A$3001,0))&amp;"",""))</f>
        <v/>
      </c>
      <c r="K1459" s="28" t="str">
        <f aca="false">IF(OR(G1459="",G1459="?"),"",IFERROR(INDEX(Pubs!$E$2:$E$3001,MATCH(G1459,Pubs!$A$2:$A$3001,0)),""))</f>
        <v/>
      </c>
      <c r="L1459" s="29" t="str">
        <f aca="false">IF(A1459="","",IFERROR(1/(1/INDEX(Numéros!$C$2:$C$3001,MATCH(A1459&amp;"|"&amp;B1459,Numéros!$F$2:$F$3001,0))),""))</f>
        <v/>
      </c>
      <c r="M1459" s="27" t="str">
        <f aca="false">IF(OR(G1459="",G1459="?"),"",IFERROR(INDEX(Pubs!$D$2:$D$3001,MATCH(G1459,Pubs!$A$2:$A$3001,0))&amp;"",""))</f>
        <v/>
      </c>
      <c r="N1459" s="27" t="n">
        <f aca="false">N(N1458)+IF(AND(A1459&lt;&gt;"",OR(Recherche!$C$4="",A1459=Recherche!$C$4),OR(Recherche!$C$5="",B1459&amp;""=Recherche!$C$5&amp;""),OR(Recherche!$C$6="",IFERROR(YEAR(L1459),0)=Recherche!$C$6),OR(Recherche!$C$7="",ISNUMBER(SEARCH(Recherche!$C$7,H1459))),OR(Recherche!$C$8="",J1459=Recherche!$C$8),OR(Recherche!$C$9="",I1459=Recherche!$C$9),OR(Recherche!$C$10="",G1459&amp;""=Recherche!$C$10&amp;""),OR(Recherche!$C$11="",E1459=Recherche!$C$11),OR(Recherche!$C$12="",ISNUMBER(SEARCH(Recherche!$C$12,M1459&amp;" "&amp;F1459)))),1,0)</f>
        <v>8</v>
      </c>
    </row>
    <row r="1460" customFormat="false" ht="15" hidden="false" customHeight="false" outlineLevel="0" collapsed="false">
      <c r="A1460" s="19"/>
      <c r="B1460" s="19"/>
      <c r="C1460" s="19"/>
      <c r="D1460" s="19"/>
      <c r="E1460" s="22"/>
      <c r="F1460" s="19"/>
      <c r="G1460" s="26" t="str">
        <f aca="false">IF(D1460="","",IFERROR(VALUE(LEFT(D1460,FIND(" |",D1460&amp;" |")-1)),"?"))</f>
        <v/>
      </c>
      <c r="H1460" s="27" t="str">
        <f aca="false">IF(G1460="","",IF(G1460="?","⚠ pub inconnue",IFERROR(INDEX(Pubs!$B$2:$B$3001,MATCH(G1460,Pubs!$A$2:$A$3001,0))&amp;"","⚠ pub inconnue")))</f>
        <v/>
      </c>
      <c r="I1460" s="27" t="str">
        <f aca="false">IF(OR(G1460="",G1460="?"),"",IFERROR(INDEX(Pubs!$C$2:$C$3001,MATCH(G1460,Pubs!$A$2:$A$3001,0))&amp;"",""))</f>
        <v/>
      </c>
      <c r="J1460" s="27" t="str">
        <f aca="false">IF(OR(G1460="",G1460="?"),"",IFERROR(INDEX(Pubs!$G$2:$G$3001,MATCH(G1460,Pubs!$A$2:$A$3001,0))&amp;"",""))</f>
        <v/>
      </c>
      <c r="K1460" s="28" t="str">
        <f aca="false">IF(OR(G1460="",G1460="?"),"",IFERROR(INDEX(Pubs!$E$2:$E$3001,MATCH(G1460,Pubs!$A$2:$A$3001,0)),""))</f>
        <v/>
      </c>
      <c r="L1460" s="29" t="str">
        <f aca="false">IF(A1460="","",IFERROR(1/(1/INDEX(Numéros!$C$2:$C$3001,MATCH(A1460&amp;"|"&amp;B1460,Numéros!$F$2:$F$3001,0))),""))</f>
        <v/>
      </c>
      <c r="M1460" s="27" t="str">
        <f aca="false">IF(OR(G1460="",G1460="?"),"",IFERROR(INDEX(Pubs!$D$2:$D$3001,MATCH(G1460,Pubs!$A$2:$A$3001,0))&amp;"",""))</f>
        <v/>
      </c>
      <c r="N1460" s="27" t="n">
        <f aca="false">N(N1459)+IF(AND(A1460&lt;&gt;"",OR(Recherche!$C$4="",A1460=Recherche!$C$4),OR(Recherche!$C$5="",B1460&amp;""=Recherche!$C$5&amp;""),OR(Recherche!$C$6="",IFERROR(YEAR(L1460),0)=Recherche!$C$6),OR(Recherche!$C$7="",ISNUMBER(SEARCH(Recherche!$C$7,H1460))),OR(Recherche!$C$8="",J1460=Recherche!$C$8),OR(Recherche!$C$9="",I1460=Recherche!$C$9),OR(Recherche!$C$10="",G1460&amp;""=Recherche!$C$10&amp;""),OR(Recherche!$C$11="",E1460=Recherche!$C$11),OR(Recherche!$C$12="",ISNUMBER(SEARCH(Recherche!$C$12,M1460&amp;" "&amp;F1460)))),1,0)</f>
        <v>8</v>
      </c>
    </row>
    <row r="1461" customFormat="false" ht="15" hidden="false" customHeight="false" outlineLevel="0" collapsed="false">
      <c r="A1461" s="19"/>
      <c r="B1461" s="19"/>
      <c r="C1461" s="19"/>
      <c r="D1461" s="19"/>
      <c r="E1461" s="22"/>
      <c r="F1461" s="19"/>
      <c r="G1461" s="26" t="str">
        <f aca="false">IF(D1461="","",IFERROR(VALUE(LEFT(D1461,FIND(" |",D1461&amp;" |")-1)),"?"))</f>
        <v/>
      </c>
      <c r="H1461" s="27" t="str">
        <f aca="false">IF(G1461="","",IF(G1461="?","⚠ pub inconnue",IFERROR(INDEX(Pubs!$B$2:$B$3001,MATCH(G1461,Pubs!$A$2:$A$3001,0))&amp;"","⚠ pub inconnue")))</f>
        <v/>
      </c>
      <c r="I1461" s="27" t="str">
        <f aca="false">IF(OR(G1461="",G1461="?"),"",IFERROR(INDEX(Pubs!$C$2:$C$3001,MATCH(G1461,Pubs!$A$2:$A$3001,0))&amp;"",""))</f>
        <v/>
      </c>
      <c r="J1461" s="27" t="str">
        <f aca="false">IF(OR(G1461="",G1461="?"),"",IFERROR(INDEX(Pubs!$G$2:$G$3001,MATCH(G1461,Pubs!$A$2:$A$3001,0))&amp;"",""))</f>
        <v/>
      </c>
      <c r="K1461" s="28" t="str">
        <f aca="false">IF(OR(G1461="",G1461="?"),"",IFERROR(INDEX(Pubs!$E$2:$E$3001,MATCH(G1461,Pubs!$A$2:$A$3001,0)),""))</f>
        <v/>
      </c>
      <c r="L1461" s="29" t="str">
        <f aca="false">IF(A1461="","",IFERROR(1/(1/INDEX(Numéros!$C$2:$C$3001,MATCH(A1461&amp;"|"&amp;B1461,Numéros!$F$2:$F$3001,0))),""))</f>
        <v/>
      </c>
      <c r="M1461" s="27" t="str">
        <f aca="false">IF(OR(G1461="",G1461="?"),"",IFERROR(INDEX(Pubs!$D$2:$D$3001,MATCH(G1461,Pubs!$A$2:$A$3001,0))&amp;"",""))</f>
        <v/>
      </c>
      <c r="N1461" s="27" t="n">
        <f aca="false">N(N1460)+IF(AND(A1461&lt;&gt;"",OR(Recherche!$C$4="",A1461=Recherche!$C$4),OR(Recherche!$C$5="",B1461&amp;""=Recherche!$C$5&amp;""),OR(Recherche!$C$6="",IFERROR(YEAR(L1461),0)=Recherche!$C$6),OR(Recherche!$C$7="",ISNUMBER(SEARCH(Recherche!$C$7,H1461))),OR(Recherche!$C$8="",J1461=Recherche!$C$8),OR(Recherche!$C$9="",I1461=Recherche!$C$9),OR(Recherche!$C$10="",G1461&amp;""=Recherche!$C$10&amp;""),OR(Recherche!$C$11="",E1461=Recherche!$C$11),OR(Recherche!$C$12="",ISNUMBER(SEARCH(Recherche!$C$12,M1461&amp;" "&amp;F1461)))),1,0)</f>
        <v>8</v>
      </c>
    </row>
    <row r="1462" customFormat="false" ht="15" hidden="false" customHeight="false" outlineLevel="0" collapsed="false">
      <c r="A1462" s="19"/>
      <c r="B1462" s="19"/>
      <c r="C1462" s="19"/>
      <c r="D1462" s="19"/>
      <c r="E1462" s="22"/>
      <c r="F1462" s="19"/>
      <c r="G1462" s="26" t="str">
        <f aca="false">IF(D1462="","",IFERROR(VALUE(LEFT(D1462,FIND(" |",D1462&amp;" |")-1)),"?"))</f>
        <v/>
      </c>
      <c r="H1462" s="27" t="str">
        <f aca="false">IF(G1462="","",IF(G1462="?","⚠ pub inconnue",IFERROR(INDEX(Pubs!$B$2:$B$3001,MATCH(G1462,Pubs!$A$2:$A$3001,0))&amp;"","⚠ pub inconnue")))</f>
        <v/>
      </c>
      <c r="I1462" s="27" t="str">
        <f aca="false">IF(OR(G1462="",G1462="?"),"",IFERROR(INDEX(Pubs!$C$2:$C$3001,MATCH(G1462,Pubs!$A$2:$A$3001,0))&amp;"",""))</f>
        <v/>
      </c>
      <c r="J1462" s="27" t="str">
        <f aca="false">IF(OR(G1462="",G1462="?"),"",IFERROR(INDEX(Pubs!$G$2:$G$3001,MATCH(G1462,Pubs!$A$2:$A$3001,0))&amp;"",""))</f>
        <v/>
      </c>
      <c r="K1462" s="28" t="str">
        <f aca="false">IF(OR(G1462="",G1462="?"),"",IFERROR(INDEX(Pubs!$E$2:$E$3001,MATCH(G1462,Pubs!$A$2:$A$3001,0)),""))</f>
        <v/>
      </c>
      <c r="L1462" s="29" t="str">
        <f aca="false">IF(A1462="","",IFERROR(1/(1/INDEX(Numéros!$C$2:$C$3001,MATCH(A1462&amp;"|"&amp;B1462,Numéros!$F$2:$F$3001,0))),""))</f>
        <v/>
      </c>
      <c r="M1462" s="27" t="str">
        <f aca="false">IF(OR(G1462="",G1462="?"),"",IFERROR(INDEX(Pubs!$D$2:$D$3001,MATCH(G1462,Pubs!$A$2:$A$3001,0))&amp;"",""))</f>
        <v/>
      </c>
      <c r="N1462" s="27" t="n">
        <f aca="false">N(N1461)+IF(AND(A1462&lt;&gt;"",OR(Recherche!$C$4="",A1462=Recherche!$C$4),OR(Recherche!$C$5="",B1462&amp;""=Recherche!$C$5&amp;""),OR(Recherche!$C$6="",IFERROR(YEAR(L1462),0)=Recherche!$C$6),OR(Recherche!$C$7="",ISNUMBER(SEARCH(Recherche!$C$7,H1462))),OR(Recherche!$C$8="",J1462=Recherche!$C$8),OR(Recherche!$C$9="",I1462=Recherche!$C$9),OR(Recherche!$C$10="",G1462&amp;""=Recherche!$C$10&amp;""),OR(Recherche!$C$11="",E1462=Recherche!$C$11),OR(Recherche!$C$12="",ISNUMBER(SEARCH(Recherche!$C$12,M1462&amp;" "&amp;F1462)))),1,0)</f>
        <v>8</v>
      </c>
    </row>
    <row r="1463" customFormat="false" ht="15" hidden="false" customHeight="false" outlineLevel="0" collapsed="false">
      <c r="A1463" s="19"/>
      <c r="B1463" s="19"/>
      <c r="C1463" s="19"/>
      <c r="D1463" s="19"/>
      <c r="E1463" s="22"/>
      <c r="F1463" s="19"/>
      <c r="G1463" s="26" t="str">
        <f aca="false">IF(D1463="","",IFERROR(VALUE(LEFT(D1463,FIND(" |",D1463&amp;" |")-1)),"?"))</f>
        <v/>
      </c>
      <c r="H1463" s="27" t="str">
        <f aca="false">IF(G1463="","",IF(G1463="?","⚠ pub inconnue",IFERROR(INDEX(Pubs!$B$2:$B$3001,MATCH(G1463,Pubs!$A$2:$A$3001,0))&amp;"","⚠ pub inconnue")))</f>
        <v/>
      </c>
      <c r="I1463" s="27" t="str">
        <f aca="false">IF(OR(G1463="",G1463="?"),"",IFERROR(INDEX(Pubs!$C$2:$C$3001,MATCH(G1463,Pubs!$A$2:$A$3001,0))&amp;"",""))</f>
        <v/>
      </c>
      <c r="J1463" s="27" t="str">
        <f aca="false">IF(OR(G1463="",G1463="?"),"",IFERROR(INDEX(Pubs!$G$2:$G$3001,MATCH(G1463,Pubs!$A$2:$A$3001,0))&amp;"",""))</f>
        <v/>
      </c>
      <c r="K1463" s="28" t="str">
        <f aca="false">IF(OR(G1463="",G1463="?"),"",IFERROR(INDEX(Pubs!$E$2:$E$3001,MATCH(G1463,Pubs!$A$2:$A$3001,0)),""))</f>
        <v/>
      </c>
      <c r="L1463" s="29" t="str">
        <f aca="false">IF(A1463="","",IFERROR(1/(1/INDEX(Numéros!$C$2:$C$3001,MATCH(A1463&amp;"|"&amp;B1463,Numéros!$F$2:$F$3001,0))),""))</f>
        <v/>
      </c>
      <c r="M1463" s="27" t="str">
        <f aca="false">IF(OR(G1463="",G1463="?"),"",IFERROR(INDEX(Pubs!$D$2:$D$3001,MATCH(G1463,Pubs!$A$2:$A$3001,0))&amp;"",""))</f>
        <v/>
      </c>
      <c r="N1463" s="27" t="n">
        <f aca="false">N(N1462)+IF(AND(A1463&lt;&gt;"",OR(Recherche!$C$4="",A1463=Recherche!$C$4),OR(Recherche!$C$5="",B1463&amp;""=Recherche!$C$5&amp;""),OR(Recherche!$C$6="",IFERROR(YEAR(L1463),0)=Recherche!$C$6),OR(Recherche!$C$7="",ISNUMBER(SEARCH(Recherche!$C$7,H1463))),OR(Recherche!$C$8="",J1463=Recherche!$C$8),OR(Recherche!$C$9="",I1463=Recherche!$C$9),OR(Recherche!$C$10="",G1463&amp;""=Recherche!$C$10&amp;""),OR(Recherche!$C$11="",E1463=Recherche!$C$11),OR(Recherche!$C$12="",ISNUMBER(SEARCH(Recherche!$C$12,M1463&amp;" "&amp;F1463)))),1,0)</f>
        <v>8</v>
      </c>
    </row>
    <row r="1464" customFormat="false" ht="15" hidden="false" customHeight="false" outlineLevel="0" collapsed="false">
      <c r="A1464" s="19"/>
      <c r="B1464" s="19"/>
      <c r="C1464" s="19"/>
      <c r="D1464" s="19"/>
      <c r="E1464" s="22"/>
      <c r="F1464" s="19"/>
      <c r="G1464" s="26" t="str">
        <f aca="false">IF(D1464="","",IFERROR(VALUE(LEFT(D1464,FIND(" |",D1464&amp;" |")-1)),"?"))</f>
        <v/>
      </c>
      <c r="H1464" s="27" t="str">
        <f aca="false">IF(G1464="","",IF(G1464="?","⚠ pub inconnue",IFERROR(INDEX(Pubs!$B$2:$B$3001,MATCH(G1464,Pubs!$A$2:$A$3001,0))&amp;"","⚠ pub inconnue")))</f>
        <v/>
      </c>
      <c r="I1464" s="27" t="str">
        <f aca="false">IF(OR(G1464="",G1464="?"),"",IFERROR(INDEX(Pubs!$C$2:$C$3001,MATCH(G1464,Pubs!$A$2:$A$3001,0))&amp;"",""))</f>
        <v/>
      </c>
      <c r="J1464" s="27" t="str">
        <f aca="false">IF(OR(G1464="",G1464="?"),"",IFERROR(INDEX(Pubs!$G$2:$G$3001,MATCH(G1464,Pubs!$A$2:$A$3001,0))&amp;"",""))</f>
        <v/>
      </c>
      <c r="K1464" s="28" t="str">
        <f aca="false">IF(OR(G1464="",G1464="?"),"",IFERROR(INDEX(Pubs!$E$2:$E$3001,MATCH(G1464,Pubs!$A$2:$A$3001,0)),""))</f>
        <v/>
      </c>
      <c r="L1464" s="29" t="str">
        <f aca="false">IF(A1464="","",IFERROR(1/(1/INDEX(Numéros!$C$2:$C$3001,MATCH(A1464&amp;"|"&amp;B1464,Numéros!$F$2:$F$3001,0))),""))</f>
        <v/>
      </c>
      <c r="M1464" s="27" t="str">
        <f aca="false">IF(OR(G1464="",G1464="?"),"",IFERROR(INDEX(Pubs!$D$2:$D$3001,MATCH(G1464,Pubs!$A$2:$A$3001,0))&amp;"",""))</f>
        <v/>
      </c>
      <c r="N1464" s="27" t="n">
        <f aca="false">N(N1463)+IF(AND(A1464&lt;&gt;"",OR(Recherche!$C$4="",A1464=Recherche!$C$4),OR(Recherche!$C$5="",B1464&amp;""=Recherche!$C$5&amp;""),OR(Recherche!$C$6="",IFERROR(YEAR(L1464),0)=Recherche!$C$6),OR(Recherche!$C$7="",ISNUMBER(SEARCH(Recherche!$C$7,H1464))),OR(Recherche!$C$8="",J1464=Recherche!$C$8),OR(Recherche!$C$9="",I1464=Recherche!$C$9),OR(Recherche!$C$10="",G1464&amp;""=Recherche!$C$10&amp;""),OR(Recherche!$C$11="",E1464=Recherche!$C$11),OR(Recherche!$C$12="",ISNUMBER(SEARCH(Recherche!$C$12,M1464&amp;" "&amp;F1464)))),1,0)</f>
        <v>8</v>
      </c>
    </row>
    <row r="1465" customFormat="false" ht="15" hidden="false" customHeight="false" outlineLevel="0" collapsed="false">
      <c r="A1465" s="19"/>
      <c r="B1465" s="19"/>
      <c r="C1465" s="19"/>
      <c r="D1465" s="19"/>
      <c r="E1465" s="22"/>
      <c r="F1465" s="19"/>
      <c r="G1465" s="26" t="str">
        <f aca="false">IF(D1465="","",IFERROR(VALUE(LEFT(D1465,FIND(" |",D1465&amp;" |")-1)),"?"))</f>
        <v/>
      </c>
      <c r="H1465" s="27" t="str">
        <f aca="false">IF(G1465="","",IF(G1465="?","⚠ pub inconnue",IFERROR(INDEX(Pubs!$B$2:$B$3001,MATCH(G1465,Pubs!$A$2:$A$3001,0))&amp;"","⚠ pub inconnue")))</f>
        <v/>
      </c>
      <c r="I1465" s="27" t="str">
        <f aca="false">IF(OR(G1465="",G1465="?"),"",IFERROR(INDEX(Pubs!$C$2:$C$3001,MATCH(G1465,Pubs!$A$2:$A$3001,0))&amp;"",""))</f>
        <v/>
      </c>
      <c r="J1465" s="27" t="str">
        <f aca="false">IF(OR(G1465="",G1465="?"),"",IFERROR(INDEX(Pubs!$G$2:$G$3001,MATCH(G1465,Pubs!$A$2:$A$3001,0))&amp;"",""))</f>
        <v/>
      </c>
      <c r="K1465" s="28" t="str">
        <f aca="false">IF(OR(G1465="",G1465="?"),"",IFERROR(INDEX(Pubs!$E$2:$E$3001,MATCH(G1465,Pubs!$A$2:$A$3001,0)),""))</f>
        <v/>
      </c>
      <c r="L1465" s="29" t="str">
        <f aca="false">IF(A1465="","",IFERROR(1/(1/INDEX(Numéros!$C$2:$C$3001,MATCH(A1465&amp;"|"&amp;B1465,Numéros!$F$2:$F$3001,0))),""))</f>
        <v/>
      </c>
      <c r="M1465" s="27" t="str">
        <f aca="false">IF(OR(G1465="",G1465="?"),"",IFERROR(INDEX(Pubs!$D$2:$D$3001,MATCH(G1465,Pubs!$A$2:$A$3001,0))&amp;"",""))</f>
        <v/>
      </c>
      <c r="N1465" s="27" t="n">
        <f aca="false">N(N1464)+IF(AND(A1465&lt;&gt;"",OR(Recherche!$C$4="",A1465=Recherche!$C$4),OR(Recherche!$C$5="",B1465&amp;""=Recherche!$C$5&amp;""),OR(Recherche!$C$6="",IFERROR(YEAR(L1465),0)=Recherche!$C$6),OR(Recherche!$C$7="",ISNUMBER(SEARCH(Recherche!$C$7,H1465))),OR(Recherche!$C$8="",J1465=Recherche!$C$8),OR(Recherche!$C$9="",I1465=Recherche!$C$9),OR(Recherche!$C$10="",G1465&amp;""=Recherche!$C$10&amp;""),OR(Recherche!$C$11="",E1465=Recherche!$C$11),OR(Recherche!$C$12="",ISNUMBER(SEARCH(Recherche!$C$12,M1465&amp;" "&amp;F1465)))),1,0)</f>
        <v>8</v>
      </c>
    </row>
    <row r="1466" customFormat="false" ht="15" hidden="false" customHeight="false" outlineLevel="0" collapsed="false">
      <c r="A1466" s="19"/>
      <c r="B1466" s="19"/>
      <c r="C1466" s="19"/>
      <c r="D1466" s="19"/>
      <c r="E1466" s="22"/>
      <c r="F1466" s="19"/>
      <c r="G1466" s="26" t="str">
        <f aca="false">IF(D1466="","",IFERROR(VALUE(LEFT(D1466,FIND(" |",D1466&amp;" |")-1)),"?"))</f>
        <v/>
      </c>
      <c r="H1466" s="27" t="str">
        <f aca="false">IF(G1466="","",IF(G1466="?","⚠ pub inconnue",IFERROR(INDEX(Pubs!$B$2:$B$3001,MATCH(G1466,Pubs!$A$2:$A$3001,0))&amp;"","⚠ pub inconnue")))</f>
        <v/>
      </c>
      <c r="I1466" s="27" t="str">
        <f aca="false">IF(OR(G1466="",G1466="?"),"",IFERROR(INDEX(Pubs!$C$2:$C$3001,MATCH(G1466,Pubs!$A$2:$A$3001,0))&amp;"",""))</f>
        <v/>
      </c>
      <c r="J1466" s="27" t="str">
        <f aca="false">IF(OR(G1466="",G1466="?"),"",IFERROR(INDEX(Pubs!$G$2:$G$3001,MATCH(G1466,Pubs!$A$2:$A$3001,0))&amp;"",""))</f>
        <v/>
      </c>
      <c r="K1466" s="28" t="str">
        <f aca="false">IF(OR(G1466="",G1466="?"),"",IFERROR(INDEX(Pubs!$E$2:$E$3001,MATCH(G1466,Pubs!$A$2:$A$3001,0)),""))</f>
        <v/>
      </c>
      <c r="L1466" s="29" t="str">
        <f aca="false">IF(A1466="","",IFERROR(1/(1/INDEX(Numéros!$C$2:$C$3001,MATCH(A1466&amp;"|"&amp;B1466,Numéros!$F$2:$F$3001,0))),""))</f>
        <v/>
      </c>
      <c r="M1466" s="27" t="str">
        <f aca="false">IF(OR(G1466="",G1466="?"),"",IFERROR(INDEX(Pubs!$D$2:$D$3001,MATCH(G1466,Pubs!$A$2:$A$3001,0))&amp;"",""))</f>
        <v/>
      </c>
      <c r="N1466" s="27" t="n">
        <f aca="false">N(N1465)+IF(AND(A1466&lt;&gt;"",OR(Recherche!$C$4="",A1466=Recherche!$C$4),OR(Recherche!$C$5="",B1466&amp;""=Recherche!$C$5&amp;""),OR(Recherche!$C$6="",IFERROR(YEAR(L1466),0)=Recherche!$C$6),OR(Recherche!$C$7="",ISNUMBER(SEARCH(Recherche!$C$7,H1466))),OR(Recherche!$C$8="",J1466=Recherche!$C$8),OR(Recherche!$C$9="",I1466=Recherche!$C$9),OR(Recherche!$C$10="",G1466&amp;""=Recherche!$C$10&amp;""),OR(Recherche!$C$11="",E1466=Recherche!$C$11),OR(Recherche!$C$12="",ISNUMBER(SEARCH(Recherche!$C$12,M1466&amp;" "&amp;F1466)))),1,0)</f>
        <v>8</v>
      </c>
    </row>
    <row r="1467" customFormat="false" ht="15" hidden="false" customHeight="false" outlineLevel="0" collapsed="false">
      <c r="A1467" s="19"/>
      <c r="B1467" s="19"/>
      <c r="C1467" s="19"/>
      <c r="D1467" s="19"/>
      <c r="E1467" s="22"/>
      <c r="F1467" s="19"/>
      <c r="G1467" s="26" t="str">
        <f aca="false">IF(D1467="","",IFERROR(VALUE(LEFT(D1467,FIND(" |",D1467&amp;" |")-1)),"?"))</f>
        <v/>
      </c>
      <c r="H1467" s="27" t="str">
        <f aca="false">IF(G1467="","",IF(G1467="?","⚠ pub inconnue",IFERROR(INDEX(Pubs!$B$2:$B$3001,MATCH(G1467,Pubs!$A$2:$A$3001,0))&amp;"","⚠ pub inconnue")))</f>
        <v/>
      </c>
      <c r="I1467" s="27" t="str">
        <f aca="false">IF(OR(G1467="",G1467="?"),"",IFERROR(INDEX(Pubs!$C$2:$C$3001,MATCH(G1467,Pubs!$A$2:$A$3001,0))&amp;"",""))</f>
        <v/>
      </c>
      <c r="J1467" s="27" t="str">
        <f aca="false">IF(OR(G1467="",G1467="?"),"",IFERROR(INDEX(Pubs!$G$2:$G$3001,MATCH(G1467,Pubs!$A$2:$A$3001,0))&amp;"",""))</f>
        <v/>
      </c>
      <c r="K1467" s="28" t="str">
        <f aca="false">IF(OR(G1467="",G1467="?"),"",IFERROR(INDEX(Pubs!$E$2:$E$3001,MATCH(G1467,Pubs!$A$2:$A$3001,0)),""))</f>
        <v/>
      </c>
      <c r="L1467" s="29" t="str">
        <f aca="false">IF(A1467="","",IFERROR(1/(1/INDEX(Numéros!$C$2:$C$3001,MATCH(A1467&amp;"|"&amp;B1467,Numéros!$F$2:$F$3001,0))),""))</f>
        <v/>
      </c>
      <c r="M1467" s="27" t="str">
        <f aca="false">IF(OR(G1467="",G1467="?"),"",IFERROR(INDEX(Pubs!$D$2:$D$3001,MATCH(G1467,Pubs!$A$2:$A$3001,0))&amp;"",""))</f>
        <v/>
      </c>
      <c r="N1467" s="27" t="n">
        <f aca="false">N(N1466)+IF(AND(A1467&lt;&gt;"",OR(Recherche!$C$4="",A1467=Recherche!$C$4),OR(Recherche!$C$5="",B1467&amp;""=Recherche!$C$5&amp;""),OR(Recherche!$C$6="",IFERROR(YEAR(L1467),0)=Recherche!$C$6),OR(Recherche!$C$7="",ISNUMBER(SEARCH(Recherche!$C$7,H1467))),OR(Recherche!$C$8="",J1467=Recherche!$C$8),OR(Recherche!$C$9="",I1467=Recherche!$C$9),OR(Recherche!$C$10="",G1467&amp;""=Recherche!$C$10&amp;""),OR(Recherche!$C$11="",E1467=Recherche!$C$11),OR(Recherche!$C$12="",ISNUMBER(SEARCH(Recherche!$C$12,M1467&amp;" "&amp;F1467)))),1,0)</f>
        <v>8</v>
      </c>
    </row>
    <row r="1468" customFormat="false" ht="15" hidden="false" customHeight="false" outlineLevel="0" collapsed="false">
      <c r="A1468" s="19"/>
      <c r="B1468" s="19"/>
      <c r="C1468" s="19"/>
      <c r="D1468" s="19"/>
      <c r="E1468" s="22"/>
      <c r="F1468" s="19"/>
      <c r="G1468" s="26" t="str">
        <f aca="false">IF(D1468="","",IFERROR(VALUE(LEFT(D1468,FIND(" |",D1468&amp;" |")-1)),"?"))</f>
        <v/>
      </c>
      <c r="H1468" s="27" t="str">
        <f aca="false">IF(G1468="","",IF(G1468="?","⚠ pub inconnue",IFERROR(INDEX(Pubs!$B$2:$B$3001,MATCH(G1468,Pubs!$A$2:$A$3001,0))&amp;"","⚠ pub inconnue")))</f>
        <v/>
      </c>
      <c r="I1468" s="27" t="str">
        <f aca="false">IF(OR(G1468="",G1468="?"),"",IFERROR(INDEX(Pubs!$C$2:$C$3001,MATCH(G1468,Pubs!$A$2:$A$3001,0))&amp;"",""))</f>
        <v/>
      </c>
      <c r="J1468" s="27" t="str">
        <f aca="false">IF(OR(G1468="",G1468="?"),"",IFERROR(INDEX(Pubs!$G$2:$G$3001,MATCH(G1468,Pubs!$A$2:$A$3001,0))&amp;"",""))</f>
        <v/>
      </c>
      <c r="K1468" s="28" t="str">
        <f aca="false">IF(OR(G1468="",G1468="?"),"",IFERROR(INDEX(Pubs!$E$2:$E$3001,MATCH(G1468,Pubs!$A$2:$A$3001,0)),""))</f>
        <v/>
      </c>
      <c r="L1468" s="29" t="str">
        <f aca="false">IF(A1468="","",IFERROR(1/(1/INDEX(Numéros!$C$2:$C$3001,MATCH(A1468&amp;"|"&amp;B1468,Numéros!$F$2:$F$3001,0))),""))</f>
        <v/>
      </c>
      <c r="M1468" s="27" t="str">
        <f aca="false">IF(OR(G1468="",G1468="?"),"",IFERROR(INDEX(Pubs!$D$2:$D$3001,MATCH(G1468,Pubs!$A$2:$A$3001,0))&amp;"",""))</f>
        <v/>
      </c>
      <c r="N1468" s="27" t="n">
        <f aca="false">N(N1467)+IF(AND(A1468&lt;&gt;"",OR(Recherche!$C$4="",A1468=Recherche!$C$4),OR(Recherche!$C$5="",B1468&amp;""=Recherche!$C$5&amp;""),OR(Recherche!$C$6="",IFERROR(YEAR(L1468),0)=Recherche!$C$6),OR(Recherche!$C$7="",ISNUMBER(SEARCH(Recherche!$C$7,H1468))),OR(Recherche!$C$8="",J1468=Recherche!$C$8),OR(Recherche!$C$9="",I1468=Recherche!$C$9),OR(Recherche!$C$10="",G1468&amp;""=Recherche!$C$10&amp;""),OR(Recherche!$C$11="",E1468=Recherche!$C$11),OR(Recherche!$C$12="",ISNUMBER(SEARCH(Recherche!$C$12,M1468&amp;" "&amp;F1468)))),1,0)</f>
        <v>8</v>
      </c>
    </row>
    <row r="1469" customFormat="false" ht="15" hidden="false" customHeight="false" outlineLevel="0" collapsed="false">
      <c r="A1469" s="19"/>
      <c r="B1469" s="19"/>
      <c r="C1469" s="19"/>
      <c r="D1469" s="19"/>
      <c r="E1469" s="22"/>
      <c r="F1469" s="19"/>
      <c r="G1469" s="26" t="str">
        <f aca="false">IF(D1469="","",IFERROR(VALUE(LEFT(D1469,FIND(" |",D1469&amp;" |")-1)),"?"))</f>
        <v/>
      </c>
      <c r="H1469" s="27" t="str">
        <f aca="false">IF(G1469="","",IF(G1469="?","⚠ pub inconnue",IFERROR(INDEX(Pubs!$B$2:$B$3001,MATCH(G1469,Pubs!$A$2:$A$3001,0))&amp;"","⚠ pub inconnue")))</f>
        <v/>
      </c>
      <c r="I1469" s="27" t="str">
        <f aca="false">IF(OR(G1469="",G1469="?"),"",IFERROR(INDEX(Pubs!$C$2:$C$3001,MATCH(G1469,Pubs!$A$2:$A$3001,0))&amp;"",""))</f>
        <v/>
      </c>
      <c r="J1469" s="27" t="str">
        <f aca="false">IF(OR(G1469="",G1469="?"),"",IFERROR(INDEX(Pubs!$G$2:$G$3001,MATCH(G1469,Pubs!$A$2:$A$3001,0))&amp;"",""))</f>
        <v/>
      </c>
      <c r="K1469" s="28" t="str">
        <f aca="false">IF(OR(G1469="",G1469="?"),"",IFERROR(INDEX(Pubs!$E$2:$E$3001,MATCH(G1469,Pubs!$A$2:$A$3001,0)),""))</f>
        <v/>
      </c>
      <c r="L1469" s="29" t="str">
        <f aca="false">IF(A1469="","",IFERROR(1/(1/INDEX(Numéros!$C$2:$C$3001,MATCH(A1469&amp;"|"&amp;B1469,Numéros!$F$2:$F$3001,0))),""))</f>
        <v/>
      </c>
      <c r="M1469" s="27" t="str">
        <f aca="false">IF(OR(G1469="",G1469="?"),"",IFERROR(INDEX(Pubs!$D$2:$D$3001,MATCH(G1469,Pubs!$A$2:$A$3001,0))&amp;"",""))</f>
        <v/>
      </c>
      <c r="N1469" s="27" t="n">
        <f aca="false">N(N1468)+IF(AND(A1469&lt;&gt;"",OR(Recherche!$C$4="",A1469=Recherche!$C$4),OR(Recherche!$C$5="",B1469&amp;""=Recherche!$C$5&amp;""),OR(Recherche!$C$6="",IFERROR(YEAR(L1469),0)=Recherche!$C$6),OR(Recherche!$C$7="",ISNUMBER(SEARCH(Recherche!$C$7,H1469))),OR(Recherche!$C$8="",J1469=Recherche!$C$8),OR(Recherche!$C$9="",I1469=Recherche!$C$9),OR(Recherche!$C$10="",G1469&amp;""=Recherche!$C$10&amp;""),OR(Recherche!$C$11="",E1469=Recherche!$C$11),OR(Recherche!$C$12="",ISNUMBER(SEARCH(Recherche!$C$12,M1469&amp;" "&amp;F1469)))),1,0)</f>
        <v>8</v>
      </c>
    </row>
    <row r="1470" customFormat="false" ht="15" hidden="false" customHeight="false" outlineLevel="0" collapsed="false">
      <c r="A1470" s="19"/>
      <c r="B1470" s="19"/>
      <c r="C1470" s="19"/>
      <c r="D1470" s="19"/>
      <c r="E1470" s="22"/>
      <c r="F1470" s="19"/>
      <c r="G1470" s="26" t="str">
        <f aca="false">IF(D1470="","",IFERROR(VALUE(LEFT(D1470,FIND(" |",D1470&amp;" |")-1)),"?"))</f>
        <v/>
      </c>
      <c r="H1470" s="27" t="str">
        <f aca="false">IF(G1470="","",IF(G1470="?","⚠ pub inconnue",IFERROR(INDEX(Pubs!$B$2:$B$3001,MATCH(G1470,Pubs!$A$2:$A$3001,0))&amp;"","⚠ pub inconnue")))</f>
        <v/>
      </c>
      <c r="I1470" s="27" t="str">
        <f aca="false">IF(OR(G1470="",G1470="?"),"",IFERROR(INDEX(Pubs!$C$2:$C$3001,MATCH(G1470,Pubs!$A$2:$A$3001,0))&amp;"",""))</f>
        <v/>
      </c>
      <c r="J1470" s="27" t="str">
        <f aca="false">IF(OR(G1470="",G1470="?"),"",IFERROR(INDEX(Pubs!$G$2:$G$3001,MATCH(G1470,Pubs!$A$2:$A$3001,0))&amp;"",""))</f>
        <v/>
      </c>
      <c r="K1470" s="28" t="str">
        <f aca="false">IF(OR(G1470="",G1470="?"),"",IFERROR(INDEX(Pubs!$E$2:$E$3001,MATCH(G1470,Pubs!$A$2:$A$3001,0)),""))</f>
        <v/>
      </c>
      <c r="L1470" s="29" t="str">
        <f aca="false">IF(A1470="","",IFERROR(1/(1/INDEX(Numéros!$C$2:$C$3001,MATCH(A1470&amp;"|"&amp;B1470,Numéros!$F$2:$F$3001,0))),""))</f>
        <v/>
      </c>
      <c r="M1470" s="27" t="str">
        <f aca="false">IF(OR(G1470="",G1470="?"),"",IFERROR(INDEX(Pubs!$D$2:$D$3001,MATCH(G1470,Pubs!$A$2:$A$3001,0))&amp;"",""))</f>
        <v/>
      </c>
      <c r="N1470" s="27" t="n">
        <f aca="false">N(N1469)+IF(AND(A1470&lt;&gt;"",OR(Recherche!$C$4="",A1470=Recherche!$C$4),OR(Recherche!$C$5="",B1470&amp;""=Recherche!$C$5&amp;""),OR(Recherche!$C$6="",IFERROR(YEAR(L1470),0)=Recherche!$C$6),OR(Recherche!$C$7="",ISNUMBER(SEARCH(Recherche!$C$7,H1470))),OR(Recherche!$C$8="",J1470=Recherche!$C$8),OR(Recherche!$C$9="",I1470=Recherche!$C$9),OR(Recherche!$C$10="",G1470&amp;""=Recherche!$C$10&amp;""),OR(Recherche!$C$11="",E1470=Recherche!$C$11),OR(Recherche!$C$12="",ISNUMBER(SEARCH(Recherche!$C$12,M1470&amp;" "&amp;F1470)))),1,0)</f>
        <v>8</v>
      </c>
    </row>
    <row r="1471" customFormat="false" ht="15" hidden="false" customHeight="false" outlineLevel="0" collapsed="false">
      <c r="A1471" s="19"/>
      <c r="B1471" s="19"/>
      <c r="C1471" s="19"/>
      <c r="D1471" s="19"/>
      <c r="E1471" s="22"/>
      <c r="F1471" s="19"/>
      <c r="G1471" s="26" t="str">
        <f aca="false">IF(D1471="","",IFERROR(VALUE(LEFT(D1471,FIND(" |",D1471&amp;" |")-1)),"?"))</f>
        <v/>
      </c>
      <c r="H1471" s="27" t="str">
        <f aca="false">IF(G1471="","",IF(G1471="?","⚠ pub inconnue",IFERROR(INDEX(Pubs!$B$2:$B$3001,MATCH(G1471,Pubs!$A$2:$A$3001,0))&amp;"","⚠ pub inconnue")))</f>
        <v/>
      </c>
      <c r="I1471" s="27" t="str">
        <f aca="false">IF(OR(G1471="",G1471="?"),"",IFERROR(INDEX(Pubs!$C$2:$C$3001,MATCH(G1471,Pubs!$A$2:$A$3001,0))&amp;"",""))</f>
        <v/>
      </c>
      <c r="J1471" s="27" t="str">
        <f aca="false">IF(OR(G1471="",G1471="?"),"",IFERROR(INDEX(Pubs!$G$2:$G$3001,MATCH(G1471,Pubs!$A$2:$A$3001,0))&amp;"",""))</f>
        <v/>
      </c>
      <c r="K1471" s="28" t="str">
        <f aca="false">IF(OR(G1471="",G1471="?"),"",IFERROR(INDEX(Pubs!$E$2:$E$3001,MATCH(G1471,Pubs!$A$2:$A$3001,0)),""))</f>
        <v/>
      </c>
      <c r="L1471" s="29" t="str">
        <f aca="false">IF(A1471="","",IFERROR(1/(1/INDEX(Numéros!$C$2:$C$3001,MATCH(A1471&amp;"|"&amp;B1471,Numéros!$F$2:$F$3001,0))),""))</f>
        <v/>
      </c>
      <c r="M1471" s="27" t="str">
        <f aca="false">IF(OR(G1471="",G1471="?"),"",IFERROR(INDEX(Pubs!$D$2:$D$3001,MATCH(G1471,Pubs!$A$2:$A$3001,0))&amp;"",""))</f>
        <v/>
      </c>
      <c r="N1471" s="27" t="n">
        <f aca="false">N(N1470)+IF(AND(A1471&lt;&gt;"",OR(Recherche!$C$4="",A1471=Recherche!$C$4),OR(Recherche!$C$5="",B1471&amp;""=Recherche!$C$5&amp;""),OR(Recherche!$C$6="",IFERROR(YEAR(L1471),0)=Recherche!$C$6),OR(Recherche!$C$7="",ISNUMBER(SEARCH(Recherche!$C$7,H1471))),OR(Recherche!$C$8="",J1471=Recherche!$C$8),OR(Recherche!$C$9="",I1471=Recherche!$C$9),OR(Recherche!$C$10="",G1471&amp;""=Recherche!$C$10&amp;""),OR(Recherche!$C$11="",E1471=Recherche!$C$11),OR(Recherche!$C$12="",ISNUMBER(SEARCH(Recherche!$C$12,M1471&amp;" "&amp;F1471)))),1,0)</f>
        <v>8</v>
      </c>
    </row>
    <row r="1472" customFormat="false" ht="15" hidden="false" customHeight="false" outlineLevel="0" collapsed="false">
      <c r="A1472" s="19"/>
      <c r="B1472" s="19"/>
      <c r="C1472" s="19"/>
      <c r="D1472" s="19"/>
      <c r="E1472" s="22"/>
      <c r="F1472" s="19"/>
      <c r="G1472" s="26" t="str">
        <f aca="false">IF(D1472="","",IFERROR(VALUE(LEFT(D1472,FIND(" |",D1472&amp;" |")-1)),"?"))</f>
        <v/>
      </c>
      <c r="H1472" s="27" t="str">
        <f aca="false">IF(G1472="","",IF(G1472="?","⚠ pub inconnue",IFERROR(INDEX(Pubs!$B$2:$B$3001,MATCH(G1472,Pubs!$A$2:$A$3001,0))&amp;"","⚠ pub inconnue")))</f>
        <v/>
      </c>
      <c r="I1472" s="27" t="str">
        <f aca="false">IF(OR(G1472="",G1472="?"),"",IFERROR(INDEX(Pubs!$C$2:$C$3001,MATCH(G1472,Pubs!$A$2:$A$3001,0))&amp;"",""))</f>
        <v/>
      </c>
      <c r="J1472" s="27" t="str">
        <f aca="false">IF(OR(G1472="",G1472="?"),"",IFERROR(INDEX(Pubs!$G$2:$G$3001,MATCH(G1472,Pubs!$A$2:$A$3001,0))&amp;"",""))</f>
        <v/>
      </c>
      <c r="K1472" s="28" t="str">
        <f aca="false">IF(OR(G1472="",G1472="?"),"",IFERROR(INDEX(Pubs!$E$2:$E$3001,MATCH(G1472,Pubs!$A$2:$A$3001,0)),""))</f>
        <v/>
      </c>
      <c r="L1472" s="29" t="str">
        <f aca="false">IF(A1472="","",IFERROR(1/(1/INDEX(Numéros!$C$2:$C$3001,MATCH(A1472&amp;"|"&amp;B1472,Numéros!$F$2:$F$3001,0))),""))</f>
        <v/>
      </c>
      <c r="M1472" s="27" t="str">
        <f aca="false">IF(OR(G1472="",G1472="?"),"",IFERROR(INDEX(Pubs!$D$2:$D$3001,MATCH(G1472,Pubs!$A$2:$A$3001,0))&amp;"",""))</f>
        <v/>
      </c>
      <c r="N1472" s="27" t="n">
        <f aca="false">N(N1471)+IF(AND(A1472&lt;&gt;"",OR(Recherche!$C$4="",A1472=Recherche!$C$4),OR(Recherche!$C$5="",B1472&amp;""=Recherche!$C$5&amp;""),OR(Recherche!$C$6="",IFERROR(YEAR(L1472),0)=Recherche!$C$6),OR(Recherche!$C$7="",ISNUMBER(SEARCH(Recherche!$C$7,H1472))),OR(Recherche!$C$8="",J1472=Recherche!$C$8),OR(Recherche!$C$9="",I1472=Recherche!$C$9),OR(Recherche!$C$10="",G1472&amp;""=Recherche!$C$10&amp;""),OR(Recherche!$C$11="",E1472=Recherche!$C$11),OR(Recherche!$C$12="",ISNUMBER(SEARCH(Recherche!$C$12,M1472&amp;" "&amp;F1472)))),1,0)</f>
        <v>8</v>
      </c>
    </row>
    <row r="1473" customFormat="false" ht="15" hidden="false" customHeight="false" outlineLevel="0" collapsed="false">
      <c r="A1473" s="19"/>
      <c r="B1473" s="19"/>
      <c r="C1473" s="19"/>
      <c r="D1473" s="19"/>
      <c r="E1473" s="22"/>
      <c r="F1473" s="19"/>
      <c r="G1473" s="26" t="str">
        <f aca="false">IF(D1473="","",IFERROR(VALUE(LEFT(D1473,FIND(" |",D1473&amp;" |")-1)),"?"))</f>
        <v/>
      </c>
      <c r="H1473" s="27" t="str">
        <f aca="false">IF(G1473="","",IF(G1473="?","⚠ pub inconnue",IFERROR(INDEX(Pubs!$B$2:$B$3001,MATCH(G1473,Pubs!$A$2:$A$3001,0))&amp;"","⚠ pub inconnue")))</f>
        <v/>
      </c>
      <c r="I1473" s="27" t="str">
        <f aca="false">IF(OR(G1473="",G1473="?"),"",IFERROR(INDEX(Pubs!$C$2:$C$3001,MATCH(G1473,Pubs!$A$2:$A$3001,0))&amp;"",""))</f>
        <v/>
      </c>
      <c r="J1473" s="27" t="str">
        <f aca="false">IF(OR(G1473="",G1473="?"),"",IFERROR(INDEX(Pubs!$G$2:$G$3001,MATCH(G1473,Pubs!$A$2:$A$3001,0))&amp;"",""))</f>
        <v/>
      </c>
      <c r="K1473" s="28" t="str">
        <f aca="false">IF(OR(G1473="",G1473="?"),"",IFERROR(INDEX(Pubs!$E$2:$E$3001,MATCH(G1473,Pubs!$A$2:$A$3001,0)),""))</f>
        <v/>
      </c>
      <c r="L1473" s="29" t="str">
        <f aca="false">IF(A1473="","",IFERROR(1/(1/INDEX(Numéros!$C$2:$C$3001,MATCH(A1473&amp;"|"&amp;B1473,Numéros!$F$2:$F$3001,0))),""))</f>
        <v/>
      </c>
      <c r="M1473" s="27" t="str">
        <f aca="false">IF(OR(G1473="",G1473="?"),"",IFERROR(INDEX(Pubs!$D$2:$D$3001,MATCH(G1473,Pubs!$A$2:$A$3001,0))&amp;"",""))</f>
        <v/>
      </c>
      <c r="N1473" s="27" t="n">
        <f aca="false">N(N1472)+IF(AND(A1473&lt;&gt;"",OR(Recherche!$C$4="",A1473=Recherche!$C$4),OR(Recherche!$C$5="",B1473&amp;""=Recherche!$C$5&amp;""),OR(Recherche!$C$6="",IFERROR(YEAR(L1473),0)=Recherche!$C$6),OR(Recherche!$C$7="",ISNUMBER(SEARCH(Recherche!$C$7,H1473))),OR(Recherche!$C$8="",J1473=Recherche!$C$8),OR(Recherche!$C$9="",I1473=Recherche!$C$9),OR(Recherche!$C$10="",G1473&amp;""=Recherche!$C$10&amp;""),OR(Recherche!$C$11="",E1473=Recherche!$C$11),OR(Recherche!$C$12="",ISNUMBER(SEARCH(Recherche!$C$12,M1473&amp;" "&amp;F1473)))),1,0)</f>
        <v>8</v>
      </c>
    </row>
    <row r="1474" customFormat="false" ht="15" hidden="false" customHeight="false" outlineLevel="0" collapsed="false">
      <c r="A1474" s="19"/>
      <c r="B1474" s="19"/>
      <c r="C1474" s="19"/>
      <c r="D1474" s="19"/>
      <c r="E1474" s="22"/>
      <c r="F1474" s="19"/>
      <c r="G1474" s="26" t="str">
        <f aca="false">IF(D1474="","",IFERROR(VALUE(LEFT(D1474,FIND(" |",D1474&amp;" |")-1)),"?"))</f>
        <v/>
      </c>
      <c r="H1474" s="27" t="str">
        <f aca="false">IF(G1474="","",IF(G1474="?","⚠ pub inconnue",IFERROR(INDEX(Pubs!$B$2:$B$3001,MATCH(G1474,Pubs!$A$2:$A$3001,0))&amp;"","⚠ pub inconnue")))</f>
        <v/>
      </c>
      <c r="I1474" s="27" t="str">
        <f aca="false">IF(OR(G1474="",G1474="?"),"",IFERROR(INDEX(Pubs!$C$2:$C$3001,MATCH(G1474,Pubs!$A$2:$A$3001,0))&amp;"",""))</f>
        <v/>
      </c>
      <c r="J1474" s="27" t="str">
        <f aca="false">IF(OR(G1474="",G1474="?"),"",IFERROR(INDEX(Pubs!$G$2:$G$3001,MATCH(G1474,Pubs!$A$2:$A$3001,0))&amp;"",""))</f>
        <v/>
      </c>
      <c r="K1474" s="28" t="str">
        <f aca="false">IF(OR(G1474="",G1474="?"),"",IFERROR(INDEX(Pubs!$E$2:$E$3001,MATCH(G1474,Pubs!$A$2:$A$3001,0)),""))</f>
        <v/>
      </c>
      <c r="L1474" s="29" t="str">
        <f aca="false">IF(A1474="","",IFERROR(1/(1/INDEX(Numéros!$C$2:$C$3001,MATCH(A1474&amp;"|"&amp;B1474,Numéros!$F$2:$F$3001,0))),""))</f>
        <v/>
      </c>
      <c r="M1474" s="27" t="str">
        <f aca="false">IF(OR(G1474="",G1474="?"),"",IFERROR(INDEX(Pubs!$D$2:$D$3001,MATCH(G1474,Pubs!$A$2:$A$3001,0))&amp;"",""))</f>
        <v/>
      </c>
      <c r="N1474" s="27" t="n">
        <f aca="false">N(N1473)+IF(AND(A1474&lt;&gt;"",OR(Recherche!$C$4="",A1474=Recherche!$C$4),OR(Recherche!$C$5="",B1474&amp;""=Recherche!$C$5&amp;""),OR(Recherche!$C$6="",IFERROR(YEAR(L1474),0)=Recherche!$C$6),OR(Recherche!$C$7="",ISNUMBER(SEARCH(Recherche!$C$7,H1474))),OR(Recherche!$C$8="",J1474=Recherche!$C$8),OR(Recherche!$C$9="",I1474=Recherche!$C$9),OR(Recherche!$C$10="",G1474&amp;""=Recherche!$C$10&amp;""),OR(Recherche!$C$11="",E1474=Recherche!$C$11),OR(Recherche!$C$12="",ISNUMBER(SEARCH(Recherche!$C$12,M1474&amp;" "&amp;F1474)))),1,0)</f>
        <v>8</v>
      </c>
    </row>
    <row r="1475" customFormat="false" ht="15" hidden="false" customHeight="false" outlineLevel="0" collapsed="false">
      <c r="A1475" s="19"/>
      <c r="B1475" s="19"/>
      <c r="C1475" s="19"/>
      <c r="D1475" s="19"/>
      <c r="E1475" s="22"/>
      <c r="F1475" s="19"/>
      <c r="G1475" s="26" t="str">
        <f aca="false">IF(D1475="","",IFERROR(VALUE(LEFT(D1475,FIND(" |",D1475&amp;" |")-1)),"?"))</f>
        <v/>
      </c>
      <c r="H1475" s="27" t="str">
        <f aca="false">IF(G1475="","",IF(G1475="?","⚠ pub inconnue",IFERROR(INDEX(Pubs!$B$2:$B$3001,MATCH(G1475,Pubs!$A$2:$A$3001,0))&amp;"","⚠ pub inconnue")))</f>
        <v/>
      </c>
      <c r="I1475" s="27" t="str">
        <f aca="false">IF(OR(G1475="",G1475="?"),"",IFERROR(INDEX(Pubs!$C$2:$C$3001,MATCH(G1475,Pubs!$A$2:$A$3001,0))&amp;"",""))</f>
        <v/>
      </c>
      <c r="J1475" s="27" t="str">
        <f aca="false">IF(OR(G1475="",G1475="?"),"",IFERROR(INDEX(Pubs!$G$2:$G$3001,MATCH(G1475,Pubs!$A$2:$A$3001,0))&amp;"",""))</f>
        <v/>
      </c>
      <c r="K1475" s="28" t="str">
        <f aca="false">IF(OR(G1475="",G1475="?"),"",IFERROR(INDEX(Pubs!$E$2:$E$3001,MATCH(G1475,Pubs!$A$2:$A$3001,0)),""))</f>
        <v/>
      </c>
      <c r="L1475" s="29" t="str">
        <f aca="false">IF(A1475="","",IFERROR(1/(1/INDEX(Numéros!$C$2:$C$3001,MATCH(A1475&amp;"|"&amp;B1475,Numéros!$F$2:$F$3001,0))),""))</f>
        <v/>
      </c>
      <c r="M1475" s="27" t="str">
        <f aca="false">IF(OR(G1475="",G1475="?"),"",IFERROR(INDEX(Pubs!$D$2:$D$3001,MATCH(G1475,Pubs!$A$2:$A$3001,0))&amp;"",""))</f>
        <v/>
      </c>
      <c r="N1475" s="27" t="n">
        <f aca="false">N(N1474)+IF(AND(A1475&lt;&gt;"",OR(Recherche!$C$4="",A1475=Recherche!$C$4),OR(Recherche!$C$5="",B1475&amp;""=Recherche!$C$5&amp;""),OR(Recherche!$C$6="",IFERROR(YEAR(L1475),0)=Recherche!$C$6),OR(Recherche!$C$7="",ISNUMBER(SEARCH(Recherche!$C$7,H1475))),OR(Recherche!$C$8="",J1475=Recherche!$C$8),OR(Recherche!$C$9="",I1475=Recherche!$C$9),OR(Recherche!$C$10="",G1475&amp;""=Recherche!$C$10&amp;""),OR(Recherche!$C$11="",E1475=Recherche!$C$11),OR(Recherche!$C$12="",ISNUMBER(SEARCH(Recherche!$C$12,M1475&amp;" "&amp;F1475)))),1,0)</f>
        <v>8</v>
      </c>
    </row>
    <row r="1476" customFormat="false" ht="15" hidden="false" customHeight="false" outlineLevel="0" collapsed="false">
      <c r="A1476" s="19"/>
      <c r="B1476" s="19"/>
      <c r="C1476" s="19"/>
      <c r="D1476" s="19"/>
      <c r="E1476" s="22"/>
      <c r="F1476" s="19"/>
      <c r="G1476" s="26" t="str">
        <f aca="false">IF(D1476="","",IFERROR(VALUE(LEFT(D1476,FIND(" |",D1476&amp;" |")-1)),"?"))</f>
        <v/>
      </c>
      <c r="H1476" s="27" t="str">
        <f aca="false">IF(G1476="","",IF(G1476="?","⚠ pub inconnue",IFERROR(INDEX(Pubs!$B$2:$B$3001,MATCH(G1476,Pubs!$A$2:$A$3001,0))&amp;"","⚠ pub inconnue")))</f>
        <v/>
      </c>
      <c r="I1476" s="27" t="str">
        <f aca="false">IF(OR(G1476="",G1476="?"),"",IFERROR(INDEX(Pubs!$C$2:$C$3001,MATCH(G1476,Pubs!$A$2:$A$3001,0))&amp;"",""))</f>
        <v/>
      </c>
      <c r="J1476" s="27" t="str">
        <f aca="false">IF(OR(G1476="",G1476="?"),"",IFERROR(INDEX(Pubs!$G$2:$G$3001,MATCH(G1476,Pubs!$A$2:$A$3001,0))&amp;"",""))</f>
        <v/>
      </c>
      <c r="K1476" s="28" t="str">
        <f aca="false">IF(OR(G1476="",G1476="?"),"",IFERROR(INDEX(Pubs!$E$2:$E$3001,MATCH(G1476,Pubs!$A$2:$A$3001,0)),""))</f>
        <v/>
      </c>
      <c r="L1476" s="29" t="str">
        <f aca="false">IF(A1476="","",IFERROR(1/(1/INDEX(Numéros!$C$2:$C$3001,MATCH(A1476&amp;"|"&amp;B1476,Numéros!$F$2:$F$3001,0))),""))</f>
        <v/>
      </c>
      <c r="M1476" s="27" t="str">
        <f aca="false">IF(OR(G1476="",G1476="?"),"",IFERROR(INDEX(Pubs!$D$2:$D$3001,MATCH(G1476,Pubs!$A$2:$A$3001,0))&amp;"",""))</f>
        <v/>
      </c>
      <c r="N1476" s="27" t="n">
        <f aca="false">N(N1475)+IF(AND(A1476&lt;&gt;"",OR(Recherche!$C$4="",A1476=Recherche!$C$4),OR(Recherche!$C$5="",B1476&amp;""=Recherche!$C$5&amp;""),OR(Recherche!$C$6="",IFERROR(YEAR(L1476),0)=Recherche!$C$6),OR(Recherche!$C$7="",ISNUMBER(SEARCH(Recherche!$C$7,H1476))),OR(Recherche!$C$8="",J1476=Recherche!$C$8),OR(Recherche!$C$9="",I1476=Recherche!$C$9),OR(Recherche!$C$10="",G1476&amp;""=Recherche!$C$10&amp;""),OR(Recherche!$C$11="",E1476=Recherche!$C$11),OR(Recherche!$C$12="",ISNUMBER(SEARCH(Recherche!$C$12,M1476&amp;" "&amp;F1476)))),1,0)</f>
        <v>8</v>
      </c>
    </row>
    <row r="1477" customFormat="false" ht="15" hidden="false" customHeight="false" outlineLevel="0" collapsed="false">
      <c r="A1477" s="19"/>
      <c r="B1477" s="19"/>
      <c r="C1477" s="19"/>
      <c r="D1477" s="19"/>
      <c r="E1477" s="22"/>
      <c r="F1477" s="19"/>
      <c r="G1477" s="26" t="str">
        <f aca="false">IF(D1477="","",IFERROR(VALUE(LEFT(D1477,FIND(" |",D1477&amp;" |")-1)),"?"))</f>
        <v/>
      </c>
      <c r="H1477" s="27" t="str">
        <f aca="false">IF(G1477="","",IF(G1477="?","⚠ pub inconnue",IFERROR(INDEX(Pubs!$B$2:$B$3001,MATCH(G1477,Pubs!$A$2:$A$3001,0))&amp;"","⚠ pub inconnue")))</f>
        <v/>
      </c>
      <c r="I1477" s="27" t="str">
        <f aca="false">IF(OR(G1477="",G1477="?"),"",IFERROR(INDEX(Pubs!$C$2:$C$3001,MATCH(G1477,Pubs!$A$2:$A$3001,0))&amp;"",""))</f>
        <v/>
      </c>
      <c r="J1477" s="27" t="str">
        <f aca="false">IF(OR(G1477="",G1477="?"),"",IFERROR(INDEX(Pubs!$G$2:$G$3001,MATCH(G1477,Pubs!$A$2:$A$3001,0))&amp;"",""))</f>
        <v/>
      </c>
      <c r="K1477" s="28" t="str">
        <f aca="false">IF(OR(G1477="",G1477="?"),"",IFERROR(INDEX(Pubs!$E$2:$E$3001,MATCH(G1477,Pubs!$A$2:$A$3001,0)),""))</f>
        <v/>
      </c>
      <c r="L1477" s="29" t="str">
        <f aca="false">IF(A1477="","",IFERROR(1/(1/INDEX(Numéros!$C$2:$C$3001,MATCH(A1477&amp;"|"&amp;B1477,Numéros!$F$2:$F$3001,0))),""))</f>
        <v/>
      </c>
      <c r="M1477" s="27" t="str">
        <f aca="false">IF(OR(G1477="",G1477="?"),"",IFERROR(INDEX(Pubs!$D$2:$D$3001,MATCH(G1477,Pubs!$A$2:$A$3001,0))&amp;"",""))</f>
        <v/>
      </c>
      <c r="N1477" s="27" t="n">
        <f aca="false">N(N1476)+IF(AND(A1477&lt;&gt;"",OR(Recherche!$C$4="",A1477=Recherche!$C$4),OR(Recherche!$C$5="",B1477&amp;""=Recherche!$C$5&amp;""),OR(Recherche!$C$6="",IFERROR(YEAR(L1477),0)=Recherche!$C$6),OR(Recherche!$C$7="",ISNUMBER(SEARCH(Recherche!$C$7,H1477))),OR(Recherche!$C$8="",J1477=Recherche!$C$8),OR(Recherche!$C$9="",I1477=Recherche!$C$9),OR(Recherche!$C$10="",G1477&amp;""=Recherche!$C$10&amp;""),OR(Recherche!$C$11="",E1477=Recherche!$C$11),OR(Recherche!$C$12="",ISNUMBER(SEARCH(Recherche!$C$12,M1477&amp;" "&amp;F1477)))),1,0)</f>
        <v>8</v>
      </c>
    </row>
    <row r="1478" customFormat="false" ht="15" hidden="false" customHeight="false" outlineLevel="0" collapsed="false">
      <c r="A1478" s="19"/>
      <c r="B1478" s="19"/>
      <c r="C1478" s="19"/>
      <c r="D1478" s="19"/>
      <c r="E1478" s="22"/>
      <c r="F1478" s="19"/>
      <c r="G1478" s="26" t="str">
        <f aca="false">IF(D1478="","",IFERROR(VALUE(LEFT(D1478,FIND(" |",D1478&amp;" |")-1)),"?"))</f>
        <v/>
      </c>
      <c r="H1478" s="27" t="str">
        <f aca="false">IF(G1478="","",IF(G1478="?","⚠ pub inconnue",IFERROR(INDEX(Pubs!$B$2:$B$3001,MATCH(G1478,Pubs!$A$2:$A$3001,0))&amp;"","⚠ pub inconnue")))</f>
        <v/>
      </c>
      <c r="I1478" s="27" t="str">
        <f aca="false">IF(OR(G1478="",G1478="?"),"",IFERROR(INDEX(Pubs!$C$2:$C$3001,MATCH(G1478,Pubs!$A$2:$A$3001,0))&amp;"",""))</f>
        <v/>
      </c>
      <c r="J1478" s="27" t="str">
        <f aca="false">IF(OR(G1478="",G1478="?"),"",IFERROR(INDEX(Pubs!$G$2:$G$3001,MATCH(G1478,Pubs!$A$2:$A$3001,0))&amp;"",""))</f>
        <v/>
      </c>
      <c r="K1478" s="28" t="str">
        <f aca="false">IF(OR(G1478="",G1478="?"),"",IFERROR(INDEX(Pubs!$E$2:$E$3001,MATCH(G1478,Pubs!$A$2:$A$3001,0)),""))</f>
        <v/>
      </c>
      <c r="L1478" s="29" t="str">
        <f aca="false">IF(A1478="","",IFERROR(1/(1/INDEX(Numéros!$C$2:$C$3001,MATCH(A1478&amp;"|"&amp;B1478,Numéros!$F$2:$F$3001,0))),""))</f>
        <v/>
      </c>
      <c r="M1478" s="27" t="str">
        <f aca="false">IF(OR(G1478="",G1478="?"),"",IFERROR(INDEX(Pubs!$D$2:$D$3001,MATCH(G1478,Pubs!$A$2:$A$3001,0))&amp;"",""))</f>
        <v/>
      </c>
      <c r="N1478" s="27" t="n">
        <f aca="false">N(N1477)+IF(AND(A1478&lt;&gt;"",OR(Recherche!$C$4="",A1478=Recherche!$C$4),OR(Recherche!$C$5="",B1478&amp;""=Recherche!$C$5&amp;""),OR(Recherche!$C$6="",IFERROR(YEAR(L1478),0)=Recherche!$C$6),OR(Recherche!$C$7="",ISNUMBER(SEARCH(Recherche!$C$7,H1478))),OR(Recherche!$C$8="",J1478=Recherche!$C$8),OR(Recherche!$C$9="",I1478=Recherche!$C$9),OR(Recherche!$C$10="",G1478&amp;""=Recherche!$C$10&amp;""),OR(Recherche!$C$11="",E1478=Recherche!$C$11),OR(Recherche!$C$12="",ISNUMBER(SEARCH(Recherche!$C$12,M1478&amp;" "&amp;F1478)))),1,0)</f>
        <v>8</v>
      </c>
    </row>
    <row r="1479" customFormat="false" ht="15" hidden="false" customHeight="false" outlineLevel="0" collapsed="false">
      <c r="A1479" s="19"/>
      <c r="B1479" s="19"/>
      <c r="C1479" s="19"/>
      <c r="D1479" s="19"/>
      <c r="E1479" s="22"/>
      <c r="F1479" s="19"/>
      <c r="G1479" s="26" t="str">
        <f aca="false">IF(D1479="","",IFERROR(VALUE(LEFT(D1479,FIND(" |",D1479&amp;" |")-1)),"?"))</f>
        <v/>
      </c>
      <c r="H1479" s="27" t="str">
        <f aca="false">IF(G1479="","",IF(G1479="?","⚠ pub inconnue",IFERROR(INDEX(Pubs!$B$2:$B$3001,MATCH(G1479,Pubs!$A$2:$A$3001,0))&amp;"","⚠ pub inconnue")))</f>
        <v/>
      </c>
      <c r="I1479" s="27" t="str">
        <f aca="false">IF(OR(G1479="",G1479="?"),"",IFERROR(INDEX(Pubs!$C$2:$C$3001,MATCH(G1479,Pubs!$A$2:$A$3001,0))&amp;"",""))</f>
        <v/>
      </c>
      <c r="J1479" s="27" t="str">
        <f aca="false">IF(OR(G1479="",G1479="?"),"",IFERROR(INDEX(Pubs!$G$2:$G$3001,MATCH(G1479,Pubs!$A$2:$A$3001,0))&amp;"",""))</f>
        <v/>
      </c>
      <c r="K1479" s="28" t="str">
        <f aca="false">IF(OR(G1479="",G1479="?"),"",IFERROR(INDEX(Pubs!$E$2:$E$3001,MATCH(G1479,Pubs!$A$2:$A$3001,0)),""))</f>
        <v/>
      </c>
      <c r="L1479" s="29" t="str">
        <f aca="false">IF(A1479="","",IFERROR(1/(1/INDEX(Numéros!$C$2:$C$3001,MATCH(A1479&amp;"|"&amp;B1479,Numéros!$F$2:$F$3001,0))),""))</f>
        <v/>
      </c>
      <c r="M1479" s="27" t="str">
        <f aca="false">IF(OR(G1479="",G1479="?"),"",IFERROR(INDEX(Pubs!$D$2:$D$3001,MATCH(G1479,Pubs!$A$2:$A$3001,0))&amp;"",""))</f>
        <v/>
      </c>
      <c r="N1479" s="27" t="n">
        <f aca="false">N(N1478)+IF(AND(A1479&lt;&gt;"",OR(Recherche!$C$4="",A1479=Recherche!$C$4),OR(Recherche!$C$5="",B1479&amp;""=Recherche!$C$5&amp;""),OR(Recherche!$C$6="",IFERROR(YEAR(L1479),0)=Recherche!$C$6),OR(Recherche!$C$7="",ISNUMBER(SEARCH(Recherche!$C$7,H1479))),OR(Recherche!$C$8="",J1479=Recherche!$C$8),OR(Recherche!$C$9="",I1479=Recherche!$C$9),OR(Recherche!$C$10="",G1479&amp;""=Recherche!$C$10&amp;""),OR(Recherche!$C$11="",E1479=Recherche!$C$11),OR(Recherche!$C$12="",ISNUMBER(SEARCH(Recherche!$C$12,M1479&amp;" "&amp;F1479)))),1,0)</f>
        <v>8</v>
      </c>
    </row>
    <row r="1480" customFormat="false" ht="15" hidden="false" customHeight="false" outlineLevel="0" collapsed="false">
      <c r="A1480" s="19"/>
      <c r="B1480" s="19"/>
      <c r="C1480" s="19"/>
      <c r="D1480" s="19"/>
      <c r="E1480" s="22"/>
      <c r="F1480" s="19"/>
      <c r="G1480" s="26" t="str">
        <f aca="false">IF(D1480="","",IFERROR(VALUE(LEFT(D1480,FIND(" |",D1480&amp;" |")-1)),"?"))</f>
        <v/>
      </c>
      <c r="H1480" s="27" t="str">
        <f aca="false">IF(G1480="","",IF(G1480="?","⚠ pub inconnue",IFERROR(INDEX(Pubs!$B$2:$B$3001,MATCH(G1480,Pubs!$A$2:$A$3001,0))&amp;"","⚠ pub inconnue")))</f>
        <v/>
      </c>
      <c r="I1480" s="27" t="str">
        <f aca="false">IF(OR(G1480="",G1480="?"),"",IFERROR(INDEX(Pubs!$C$2:$C$3001,MATCH(G1480,Pubs!$A$2:$A$3001,0))&amp;"",""))</f>
        <v/>
      </c>
      <c r="J1480" s="27" t="str">
        <f aca="false">IF(OR(G1480="",G1480="?"),"",IFERROR(INDEX(Pubs!$G$2:$G$3001,MATCH(G1480,Pubs!$A$2:$A$3001,0))&amp;"",""))</f>
        <v/>
      </c>
      <c r="K1480" s="28" t="str">
        <f aca="false">IF(OR(G1480="",G1480="?"),"",IFERROR(INDEX(Pubs!$E$2:$E$3001,MATCH(G1480,Pubs!$A$2:$A$3001,0)),""))</f>
        <v/>
      </c>
      <c r="L1480" s="29" t="str">
        <f aca="false">IF(A1480="","",IFERROR(1/(1/INDEX(Numéros!$C$2:$C$3001,MATCH(A1480&amp;"|"&amp;B1480,Numéros!$F$2:$F$3001,0))),""))</f>
        <v/>
      </c>
      <c r="M1480" s="27" t="str">
        <f aca="false">IF(OR(G1480="",G1480="?"),"",IFERROR(INDEX(Pubs!$D$2:$D$3001,MATCH(G1480,Pubs!$A$2:$A$3001,0))&amp;"",""))</f>
        <v/>
      </c>
      <c r="N1480" s="27" t="n">
        <f aca="false">N(N1479)+IF(AND(A1480&lt;&gt;"",OR(Recherche!$C$4="",A1480=Recherche!$C$4),OR(Recherche!$C$5="",B1480&amp;""=Recherche!$C$5&amp;""),OR(Recherche!$C$6="",IFERROR(YEAR(L1480),0)=Recherche!$C$6),OR(Recherche!$C$7="",ISNUMBER(SEARCH(Recherche!$C$7,H1480))),OR(Recherche!$C$8="",J1480=Recherche!$C$8),OR(Recherche!$C$9="",I1480=Recherche!$C$9),OR(Recherche!$C$10="",G1480&amp;""=Recherche!$C$10&amp;""),OR(Recherche!$C$11="",E1480=Recherche!$C$11),OR(Recherche!$C$12="",ISNUMBER(SEARCH(Recherche!$C$12,M1480&amp;" "&amp;F1480)))),1,0)</f>
        <v>8</v>
      </c>
    </row>
    <row r="1481" customFormat="false" ht="15" hidden="false" customHeight="false" outlineLevel="0" collapsed="false">
      <c r="A1481" s="19"/>
      <c r="B1481" s="19"/>
      <c r="C1481" s="19"/>
      <c r="D1481" s="19"/>
      <c r="E1481" s="22"/>
      <c r="F1481" s="19"/>
      <c r="G1481" s="26" t="str">
        <f aca="false">IF(D1481="","",IFERROR(VALUE(LEFT(D1481,FIND(" |",D1481&amp;" |")-1)),"?"))</f>
        <v/>
      </c>
      <c r="H1481" s="27" t="str">
        <f aca="false">IF(G1481="","",IF(G1481="?","⚠ pub inconnue",IFERROR(INDEX(Pubs!$B$2:$B$3001,MATCH(G1481,Pubs!$A$2:$A$3001,0))&amp;"","⚠ pub inconnue")))</f>
        <v/>
      </c>
      <c r="I1481" s="27" t="str">
        <f aca="false">IF(OR(G1481="",G1481="?"),"",IFERROR(INDEX(Pubs!$C$2:$C$3001,MATCH(G1481,Pubs!$A$2:$A$3001,0))&amp;"",""))</f>
        <v/>
      </c>
      <c r="J1481" s="27" t="str">
        <f aca="false">IF(OR(G1481="",G1481="?"),"",IFERROR(INDEX(Pubs!$G$2:$G$3001,MATCH(G1481,Pubs!$A$2:$A$3001,0))&amp;"",""))</f>
        <v/>
      </c>
      <c r="K1481" s="28" t="str">
        <f aca="false">IF(OR(G1481="",G1481="?"),"",IFERROR(INDEX(Pubs!$E$2:$E$3001,MATCH(G1481,Pubs!$A$2:$A$3001,0)),""))</f>
        <v/>
      </c>
      <c r="L1481" s="29" t="str">
        <f aca="false">IF(A1481="","",IFERROR(1/(1/INDEX(Numéros!$C$2:$C$3001,MATCH(A1481&amp;"|"&amp;B1481,Numéros!$F$2:$F$3001,0))),""))</f>
        <v/>
      </c>
      <c r="M1481" s="27" t="str">
        <f aca="false">IF(OR(G1481="",G1481="?"),"",IFERROR(INDEX(Pubs!$D$2:$D$3001,MATCH(G1481,Pubs!$A$2:$A$3001,0))&amp;"",""))</f>
        <v/>
      </c>
      <c r="N1481" s="27" t="n">
        <f aca="false">N(N1480)+IF(AND(A1481&lt;&gt;"",OR(Recherche!$C$4="",A1481=Recherche!$C$4),OR(Recherche!$C$5="",B1481&amp;""=Recherche!$C$5&amp;""),OR(Recherche!$C$6="",IFERROR(YEAR(L1481),0)=Recherche!$C$6),OR(Recherche!$C$7="",ISNUMBER(SEARCH(Recherche!$C$7,H1481))),OR(Recherche!$C$8="",J1481=Recherche!$C$8),OR(Recherche!$C$9="",I1481=Recherche!$C$9),OR(Recherche!$C$10="",G1481&amp;""=Recherche!$C$10&amp;""),OR(Recherche!$C$11="",E1481=Recherche!$C$11),OR(Recherche!$C$12="",ISNUMBER(SEARCH(Recherche!$C$12,M1481&amp;" "&amp;F1481)))),1,0)</f>
        <v>8</v>
      </c>
    </row>
    <row r="1482" customFormat="false" ht="15" hidden="false" customHeight="false" outlineLevel="0" collapsed="false">
      <c r="A1482" s="19"/>
      <c r="B1482" s="19"/>
      <c r="C1482" s="19"/>
      <c r="D1482" s="19"/>
      <c r="E1482" s="22"/>
      <c r="F1482" s="19"/>
      <c r="G1482" s="26" t="str">
        <f aca="false">IF(D1482="","",IFERROR(VALUE(LEFT(D1482,FIND(" |",D1482&amp;" |")-1)),"?"))</f>
        <v/>
      </c>
      <c r="H1482" s="27" t="str">
        <f aca="false">IF(G1482="","",IF(G1482="?","⚠ pub inconnue",IFERROR(INDEX(Pubs!$B$2:$B$3001,MATCH(G1482,Pubs!$A$2:$A$3001,0))&amp;"","⚠ pub inconnue")))</f>
        <v/>
      </c>
      <c r="I1482" s="27" t="str">
        <f aca="false">IF(OR(G1482="",G1482="?"),"",IFERROR(INDEX(Pubs!$C$2:$C$3001,MATCH(G1482,Pubs!$A$2:$A$3001,0))&amp;"",""))</f>
        <v/>
      </c>
      <c r="J1482" s="27" t="str">
        <f aca="false">IF(OR(G1482="",G1482="?"),"",IFERROR(INDEX(Pubs!$G$2:$G$3001,MATCH(G1482,Pubs!$A$2:$A$3001,0))&amp;"",""))</f>
        <v/>
      </c>
      <c r="K1482" s="28" t="str">
        <f aca="false">IF(OR(G1482="",G1482="?"),"",IFERROR(INDEX(Pubs!$E$2:$E$3001,MATCH(G1482,Pubs!$A$2:$A$3001,0)),""))</f>
        <v/>
      </c>
      <c r="L1482" s="29" t="str">
        <f aca="false">IF(A1482="","",IFERROR(1/(1/INDEX(Numéros!$C$2:$C$3001,MATCH(A1482&amp;"|"&amp;B1482,Numéros!$F$2:$F$3001,0))),""))</f>
        <v/>
      </c>
      <c r="M1482" s="27" t="str">
        <f aca="false">IF(OR(G1482="",G1482="?"),"",IFERROR(INDEX(Pubs!$D$2:$D$3001,MATCH(G1482,Pubs!$A$2:$A$3001,0))&amp;"",""))</f>
        <v/>
      </c>
      <c r="N1482" s="27" t="n">
        <f aca="false">N(N1481)+IF(AND(A1482&lt;&gt;"",OR(Recherche!$C$4="",A1482=Recherche!$C$4),OR(Recherche!$C$5="",B1482&amp;""=Recherche!$C$5&amp;""),OR(Recherche!$C$6="",IFERROR(YEAR(L1482),0)=Recherche!$C$6),OR(Recherche!$C$7="",ISNUMBER(SEARCH(Recherche!$C$7,H1482))),OR(Recherche!$C$8="",J1482=Recherche!$C$8),OR(Recherche!$C$9="",I1482=Recherche!$C$9),OR(Recherche!$C$10="",G1482&amp;""=Recherche!$C$10&amp;""),OR(Recherche!$C$11="",E1482=Recherche!$C$11),OR(Recherche!$C$12="",ISNUMBER(SEARCH(Recherche!$C$12,M1482&amp;" "&amp;F1482)))),1,0)</f>
        <v>8</v>
      </c>
    </row>
    <row r="1483" customFormat="false" ht="15" hidden="false" customHeight="false" outlineLevel="0" collapsed="false">
      <c r="A1483" s="19"/>
      <c r="B1483" s="19"/>
      <c r="C1483" s="19"/>
      <c r="D1483" s="19"/>
      <c r="E1483" s="22"/>
      <c r="F1483" s="19"/>
      <c r="G1483" s="26" t="str">
        <f aca="false">IF(D1483="","",IFERROR(VALUE(LEFT(D1483,FIND(" |",D1483&amp;" |")-1)),"?"))</f>
        <v/>
      </c>
      <c r="H1483" s="27" t="str">
        <f aca="false">IF(G1483="","",IF(G1483="?","⚠ pub inconnue",IFERROR(INDEX(Pubs!$B$2:$B$3001,MATCH(G1483,Pubs!$A$2:$A$3001,0))&amp;"","⚠ pub inconnue")))</f>
        <v/>
      </c>
      <c r="I1483" s="27" t="str">
        <f aca="false">IF(OR(G1483="",G1483="?"),"",IFERROR(INDEX(Pubs!$C$2:$C$3001,MATCH(G1483,Pubs!$A$2:$A$3001,0))&amp;"",""))</f>
        <v/>
      </c>
      <c r="J1483" s="27" t="str">
        <f aca="false">IF(OR(G1483="",G1483="?"),"",IFERROR(INDEX(Pubs!$G$2:$G$3001,MATCH(G1483,Pubs!$A$2:$A$3001,0))&amp;"",""))</f>
        <v/>
      </c>
      <c r="K1483" s="28" t="str">
        <f aca="false">IF(OR(G1483="",G1483="?"),"",IFERROR(INDEX(Pubs!$E$2:$E$3001,MATCH(G1483,Pubs!$A$2:$A$3001,0)),""))</f>
        <v/>
      </c>
      <c r="L1483" s="29" t="str">
        <f aca="false">IF(A1483="","",IFERROR(1/(1/INDEX(Numéros!$C$2:$C$3001,MATCH(A1483&amp;"|"&amp;B1483,Numéros!$F$2:$F$3001,0))),""))</f>
        <v/>
      </c>
      <c r="M1483" s="27" t="str">
        <f aca="false">IF(OR(G1483="",G1483="?"),"",IFERROR(INDEX(Pubs!$D$2:$D$3001,MATCH(G1483,Pubs!$A$2:$A$3001,0))&amp;"",""))</f>
        <v/>
      </c>
      <c r="N1483" s="27" t="n">
        <f aca="false">N(N1482)+IF(AND(A1483&lt;&gt;"",OR(Recherche!$C$4="",A1483=Recherche!$C$4),OR(Recherche!$C$5="",B1483&amp;""=Recherche!$C$5&amp;""),OR(Recherche!$C$6="",IFERROR(YEAR(L1483),0)=Recherche!$C$6),OR(Recherche!$C$7="",ISNUMBER(SEARCH(Recherche!$C$7,H1483))),OR(Recherche!$C$8="",J1483=Recherche!$C$8),OR(Recherche!$C$9="",I1483=Recherche!$C$9),OR(Recherche!$C$10="",G1483&amp;""=Recherche!$C$10&amp;""),OR(Recherche!$C$11="",E1483=Recherche!$C$11),OR(Recherche!$C$12="",ISNUMBER(SEARCH(Recherche!$C$12,M1483&amp;" "&amp;F1483)))),1,0)</f>
        <v>8</v>
      </c>
    </row>
    <row r="1484" customFormat="false" ht="15" hidden="false" customHeight="false" outlineLevel="0" collapsed="false">
      <c r="A1484" s="19"/>
      <c r="B1484" s="19"/>
      <c r="C1484" s="19"/>
      <c r="D1484" s="19"/>
      <c r="E1484" s="22"/>
      <c r="F1484" s="19"/>
      <c r="G1484" s="26" t="str">
        <f aca="false">IF(D1484="","",IFERROR(VALUE(LEFT(D1484,FIND(" |",D1484&amp;" |")-1)),"?"))</f>
        <v/>
      </c>
      <c r="H1484" s="27" t="str">
        <f aca="false">IF(G1484="","",IF(G1484="?","⚠ pub inconnue",IFERROR(INDEX(Pubs!$B$2:$B$3001,MATCH(G1484,Pubs!$A$2:$A$3001,0))&amp;"","⚠ pub inconnue")))</f>
        <v/>
      </c>
      <c r="I1484" s="27" t="str">
        <f aca="false">IF(OR(G1484="",G1484="?"),"",IFERROR(INDEX(Pubs!$C$2:$C$3001,MATCH(G1484,Pubs!$A$2:$A$3001,0))&amp;"",""))</f>
        <v/>
      </c>
      <c r="J1484" s="27" t="str">
        <f aca="false">IF(OR(G1484="",G1484="?"),"",IFERROR(INDEX(Pubs!$G$2:$G$3001,MATCH(G1484,Pubs!$A$2:$A$3001,0))&amp;"",""))</f>
        <v/>
      </c>
      <c r="K1484" s="28" t="str">
        <f aca="false">IF(OR(G1484="",G1484="?"),"",IFERROR(INDEX(Pubs!$E$2:$E$3001,MATCH(G1484,Pubs!$A$2:$A$3001,0)),""))</f>
        <v/>
      </c>
      <c r="L1484" s="29" t="str">
        <f aca="false">IF(A1484="","",IFERROR(1/(1/INDEX(Numéros!$C$2:$C$3001,MATCH(A1484&amp;"|"&amp;B1484,Numéros!$F$2:$F$3001,0))),""))</f>
        <v/>
      </c>
      <c r="M1484" s="27" t="str">
        <f aca="false">IF(OR(G1484="",G1484="?"),"",IFERROR(INDEX(Pubs!$D$2:$D$3001,MATCH(G1484,Pubs!$A$2:$A$3001,0))&amp;"",""))</f>
        <v/>
      </c>
      <c r="N1484" s="27" t="n">
        <f aca="false">N(N1483)+IF(AND(A1484&lt;&gt;"",OR(Recherche!$C$4="",A1484=Recherche!$C$4),OR(Recherche!$C$5="",B1484&amp;""=Recherche!$C$5&amp;""),OR(Recherche!$C$6="",IFERROR(YEAR(L1484),0)=Recherche!$C$6),OR(Recherche!$C$7="",ISNUMBER(SEARCH(Recherche!$C$7,H1484))),OR(Recherche!$C$8="",J1484=Recherche!$C$8),OR(Recherche!$C$9="",I1484=Recherche!$C$9),OR(Recherche!$C$10="",G1484&amp;""=Recherche!$C$10&amp;""),OR(Recherche!$C$11="",E1484=Recherche!$C$11),OR(Recherche!$C$12="",ISNUMBER(SEARCH(Recherche!$C$12,M1484&amp;" "&amp;F1484)))),1,0)</f>
        <v>8</v>
      </c>
    </row>
    <row r="1485" customFormat="false" ht="15" hidden="false" customHeight="false" outlineLevel="0" collapsed="false">
      <c r="A1485" s="19"/>
      <c r="B1485" s="19"/>
      <c r="C1485" s="19"/>
      <c r="D1485" s="19"/>
      <c r="E1485" s="22"/>
      <c r="F1485" s="19"/>
      <c r="G1485" s="26" t="str">
        <f aca="false">IF(D1485="","",IFERROR(VALUE(LEFT(D1485,FIND(" |",D1485&amp;" |")-1)),"?"))</f>
        <v/>
      </c>
      <c r="H1485" s="27" t="str">
        <f aca="false">IF(G1485="","",IF(G1485="?","⚠ pub inconnue",IFERROR(INDEX(Pubs!$B$2:$B$3001,MATCH(G1485,Pubs!$A$2:$A$3001,0))&amp;"","⚠ pub inconnue")))</f>
        <v/>
      </c>
      <c r="I1485" s="27" t="str">
        <f aca="false">IF(OR(G1485="",G1485="?"),"",IFERROR(INDEX(Pubs!$C$2:$C$3001,MATCH(G1485,Pubs!$A$2:$A$3001,0))&amp;"",""))</f>
        <v/>
      </c>
      <c r="J1485" s="27" t="str">
        <f aca="false">IF(OR(G1485="",G1485="?"),"",IFERROR(INDEX(Pubs!$G$2:$G$3001,MATCH(G1485,Pubs!$A$2:$A$3001,0))&amp;"",""))</f>
        <v/>
      </c>
      <c r="K1485" s="28" t="str">
        <f aca="false">IF(OR(G1485="",G1485="?"),"",IFERROR(INDEX(Pubs!$E$2:$E$3001,MATCH(G1485,Pubs!$A$2:$A$3001,0)),""))</f>
        <v/>
      </c>
      <c r="L1485" s="29" t="str">
        <f aca="false">IF(A1485="","",IFERROR(1/(1/INDEX(Numéros!$C$2:$C$3001,MATCH(A1485&amp;"|"&amp;B1485,Numéros!$F$2:$F$3001,0))),""))</f>
        <v/>
      </c>
      <c r="M1485" s="27" t="str">
        <f aca="false">IF(OR(G1485="",G1485="?"),"",IFERROR(INDEX(Pubs!$D$2:$D$3001,MATCH(G1485,Pubs!$A$2:$A$3001,0))&amp;"",""))</f>
        <v/>
      </c>
      <c r="N1485" s="27" t="n">
        <f aca="false">N(N1484)+IF(AND(A1485&lt;&gt;"",OR(Recherche!$C$4="",A1485=Recherche!$C$4),OR(Recherche!$C$5="",B1485&amp;""=Recherche!$C$5&amp;""),OR(Recherche!$C$6="",IFERROR(YEAR(L1485),0)=Recherche!$C$6),OR(Recherche!$C$7="",ISNUMBER(SEARCH(Recherche!$C$7,H1485))),OR(Recherche!$C$8="",J1485=Recherche!$C$8),OR(Recherche!$C$9="",I1485=Recherche!$C$9),OR(Recherche!$C$10="",G1485&amp;""=Recherche!$C$10&amp;""),OR(Recherche!$C$11="",E1485=Recherche!$C$11),OR(Recherche!$C$12="",ISNUMBER(SEARCH(Recherche!$C$12,M1485&amp;" "&amp;F1485)))),1,0)</f>
        <v>8</v>
      </c>
    </row>
    <row r="1486" customFormat="false" ht="15" hidden="false" customHeight="false" outlineLevel="0" collapsed="false">
      <c r="A1486" s="19"/>
      <c r="B1486" s="19"/>
      <c r="C1486" s="19"/>
      <c r="D1486" s="19"/>
      <c r="E1486" s="22"/>
      <c r="F1486" s="19"/>
      <c r="G1486" s="26" t="str">
        <f aca="false">IF(D1486="","",IFERROR(VALUE(LEFT(D1486,FIND(" |",D1486&amp;" |")-1)),"?"))</f>
        <v/>
      </c>
      <c r="H1486" s="27" t="str">
        <f aca="false">IF(G1486="","",IF(G1486="?","⚠ pub inconnue",IFERROR(INDEX(Pubs!$B$2:$B$3001,MATCH(G1486,Pubs!$A$2:$A$3001,0))&amp;"","⚠ pub inconnue")))</f>
        <v/>
      </c>
      <c r="I1486" s="27" t="str">
        <f aca="false">IF(OR(G1486="",G1486="?"),"",IFERROR(INDEX(Pubs!$C$2:$C$3001,MATCH(G1486,Pubs!$A$2:$A$3001,0))&amp;"",""))</f>
        <v/>
      </c>
      <c r="J1486" s="27" t="str">
        <f aca="false">IF(OR(G1486="",G1486="?"),"",IFERROR(INDEX(Pubs!$G$2:$G$3001,MATCH(G1486,Pubs!$A$2:$A$3001,0))&amp;"",""))</f>
        <v/>
      </c>
      <c r="K1486" s="28" t="str">
        <f aca="false">IF(OR(G1486="",G1486="?"),"",IFERROR(INDEX(Pubs!$E$2:$E$3001,MATCH(G1486,Pubs!$A$2:$A$3001,0)),""))</f>
        <v/>
      </c>
      <c r="L1486" s="29" t="str">
        <f aca="false">IF(A1486="","",IFERROR(1/(1/INDEX(Numéros!$C$2:$C$3001,MATCH(A1486&amp;"|"&amp;B1486,Numéros!$F$2:$F$3001,0))),""))</f>
        <v/>
      </c>
      <c r="M1486" s="27" t="str">
        <f aca="false">IF(OR(G1486="",G1486="?"),"",IFERROR(INDEX(Pubs!$D$2:$D$3001,MATCH(G1486,Pubs!$A$2:$A$3001,0))&amp;"",""))</f>
        <v/>
      </c>
      <c r="N1486" s="27" t="n">
        <f aca="false">N(N1485)+IF(AND(A1486&lt;&gt;"",OR(Recherche!$C$4="",A1486=Recherche!$C$4),OR(Recherche!$C$5="",B1486&amp;""=Recherche!$C$5&amp;""),OR(Recherche!$C$6="",IFERROR(YEAR(L1486),0)=Recherche!$C$6),OR(Recherche!$C$7="",ISNUMBER(SEARCH(Recherche!$C$7,H1486))),OR(Recherche!$C$8="",J1486=Recherche!$C$8),OR(Recherche!$C$9="",I1486=Recherche!$C$9),OR(Recherche!$C$10="",G1486&amp;""=Recherche!$C$10&amp;""),OR(Recherche!$C$11="",E1486=Recherche!$C$11),OR(Recherche!$C$12="",ISNUMBER(SEARCH(Recherche!$C$12,M1486&amp;" "&amp;F1486)))),1,0)</f>
        <v>8</v>
      </c>
    </row>
    <row r="1487" customFormat="false" ht="15" hidden="false" customHeight="false" outlineLevel="0" collapsed="false">
      <c r="A1487" s="19"/>
      <c r="B1487" s="19"/>
      <c r="C1487" s="19"/>
      <c r="D1487" s="19"/>
      <c r="E1487" s="22"/>
      <c r="F1487" s="19"/>
      <c r="G1487" s="26" t="str">
        <f aca="false">IF(D1487="","",IFERROR(VALUE(LEFT(D1487,FIND(" |",D1487&amp;" |")-1)),"?"))</f>
        <v/>
      </c>
      <c r="H1487" s="27" t="str">
        <f aca="false">IF(G1487="","",IF(G1487="?","⚠ pub inconnue",IFERROR(INDEX(Pubs!$B$2:$B$3001,MATCH(G1487,Pubs!$A$2:$A$3001,0))&amp;"","⚠ pub inconnue")))</f>
        <v/>
      </c>
      <c r="I1487" s="27" t="str">
        <f aca="false">IF(OR(G1487="",G1487="?"),"",IFERROR(INDEX(Pubs!$C$2:$C$3001,MATCH(G1487,Pubs!$A$2:$A$3001,0))&amp;"",""))</f>
        <v/>
      </c>
      <c r="J1487" s="27" t="str">
        <f aca="false">IF(OR(G1487="",G1487="?"),"",IFERROR(INDEX(Pubs!$G$2:$G$3001,MATCH(G1487,Pubs!$A$2:$A$3001,0))&amp;"",""))</f>
        <v/>
      </c>
      <c r="K1487" s="28" t="str">
        <f aca="false">IF(OR(G1487="",G1487="?"),"",IFERROR(INDEX(Pubs!$E$2:$E$3001,MATCH(G1487,Pubs!$A$2:$A$3001,0)),""))</f>
        <v/>
      </c>
      <c r="L1487" s="29" t="str">
        <f aca="false">IF(A1487="","",IFERROR(1/(1/INDEX(Numéros!$C$2:$C$3001,MATCH(A1487&amp;"|"&amp;B1487,Numéros!$F$2:$F$3001,0))),""))</f>
        <v/>
      </c>
      <c r="M1487" s="27" t="str">
        <f aca="false">IF(OR(G1487="",G1487="?"),"",IFERROR(INDEX(Pubs!$D$2:$D$3001,MATCH(G1487,Pubs!$A$2:$A$3001,0))&amp;"",""))</f>
        <v/>
      </c>
      <c r="N1487" s="27" t="n">
        <f aca="false">N(N1486)+IF(AND(A1487&lt;&gt;"",OR(Recherche!$C$4="",A1487=Recherche!$C$4),OR(Recherche!$C$5="",B1487&amp;""=Recherche!$C$5&amp;""),OR(Recherche!$C$6="",IFERROR(YEAR(L1487),0)=Recherche!$C$6),OR(Recherche!$C$7="",ISNUMBER(SEARCH(Recherche!$C$7,H1487))),OR(Recherche!$C$8="",J1487=Recherche!$C$8),OR(Recherche!$C$9="",I1487=Recherche!$C$9),OR(Recherche!$C$10="",G1487&amp;""=Recherche!$C$10&amp;""),OR(Recherche!$C$11="",E1487=Recherche!$C$11),OR(Recherche!$C$12="",ISNUMBER(SEARCH(Recherche!$C$12,M1487&amp;" "&amp;F1487)))),1,0)</f>
        <v>8</v>
      </c>
    </row>
    <row r="1488" customFormat="false" ht="15" hidden="false" customHeight="false" outlineLevel="0" collapsed="false">
      <c r="A1488" s="19"/>
      <c r="B1488" s="19"/>
      <c r="C1488" s="19"/>
      <c r="D1488" s="19"/>
      <c r="E1488" s="22"/>
      <c r="F1488" s="19"/>
      <c r="G1488" s="26" t="str">
        <f aca="false">IF(D1488="","",IFERROR(VALUE(LEFT(D1488,FIND(" |",D1488&amp;" |")-1)),"?"))</f>
        <v/>
      </c>
      <c r="H1488" s="27" t="str">
        <f aca="false">IF(G1488="","",IF(G1488="?","⚠ pub inconnue",IFERROR(INDEX(Pubs!$B$2:$B$3001,MATCH(G1488,Pubs!$A$2:$A$3001,0))&amp;"","⚠ pub inconnue")))</f>
        <v/>
      </c>
      <c r="I1488" s="27" t="str">
        <f aca="false">IF(OR(G1488="",G1488="?"),"",IFERROR(INDEX(Pubs!$C$2:$C$3001,MATCH(G1488,Pubs!$A$2:$A$3001,0))&amp;"",""))</f>
        <v/>
      </c>
      <c r="J1488" s="27" t="str">
        <f aca="false">IF(OR(G1488="",G1488="?"),"",IFERROR(INDEX(Pubs!$G$2:$G$3001,MATCH(G1488,Pubs!$A$2:$A$3001,0))&amp;"",""))</f>
        <v/>
      </c>
      <c r="K1488" s="28" t="str">
        <f aca="false">IF(OR(G1488="",G1488="?"),"",IFERROR(INDEX(Pubs!$E$2:$E$3001,MATCH(G1488,Pubs!$A$2:$A$3001,0)),""))</f>
        <v/>
      </c>
      <c r="L1488" s="29" t="str">
        <f aca="false">IF(A1488="","",IFERROR(1/(1/INDEX(Numéros!$C$2:$C$3001,MATCH(A1488&amp;"|"&amp;B1488,Numéros!$F$2:$F$3001,0))),""))</f>
        <v/>
      </c>
      <c r="M1488" s="27" t="str">
        <f aca="false">IF(OR(G1488="",G1488="?"),"",IFERROR(INDEX(Pubs!$D$2:$D$3001,MATCH(G1488,Pubs!$A$2:$A$3001,0))&amp;"",""))</f>
        <v/>
      </c>
      <c r="N1488" s="27" t="n">
        <f aca="false">N(N1487)+IF(AND(A1488&lt;&gt;"",OR(Recherche!$C$4="",A1488=Recherche!$C$4),OR(Recherche!$C$5="",B1488&amp;""=Recherche!$C$5&amp;""),OR(Recherche!$C$6="",IFERROR(YEAR(L1488),0)=Recherche!$C$6),OR(Recherche!$C$7="",ISNUMBER(SEARCH(Recherche!$C$7,H1488))),OR(Recherche!$C$8="",J1488=Recherche!$C$8),OR(Recherche!$C$9="",I1488=Recherche!$C$9),OR(Recherche!$C$10="",G1488&amp;""=Recherche!$C$10&amp;""),OR(Recherche!$C$11="",E1488=Recherche!$C$11),OR(Recherche!$C$12="",ISNUMBER(SEARCH(Recherche!$C$12,M1488&amp;" "&amp;F1488)))),1,0)</f>
        <v>8</v>
      </c>
    </row>
    <row r="1489" customFormat="false" ht="15" hidden="false" customHeight="false" outlineLevel="0" collapsed="false">
      <c r="A1489" s="19"/>
      <c r="B1489" s="19"/>
      <c r="C1489" s="19"/>
      <c r="D1489" s="19"/>
      <c r="E1489" s="22"/>
      <c r="F1489" s="19"/>
      <c r="G1489" s="26" t="str">
        <f aca="false">IF(D1489="","",IFERROR(VALUE(LEFT(D1489,FIND(" |",D1489&amp;" |")-1)),"?"))</f>
        <v/>
      </c>
      <c r="H1489" s="27" t="str">
        <f aca="false">IF(G1489="","",IF(G1489="?","⚠ pub inconnue",IFERROR(INDEX(Pubs!$B$2:$B$3001,MATCH(G1489,Pubs!$A$2:$A$3001,0))&amp;"","⚠ pub inconnue")))</f>
        <v/>
      </c>
      <c r="I1489" s="27" t="str">
        <f aca="false">IF(OR(G1489="",G1489="?"),"",IFERROR(INDEX(Pubs!$C$2:$C$3001,MATCH(G1489,Pubs!$A$2:$A$3001,0))&amp;"",""))</f>
        <v/>
      </c>
      <c r="J1489" s="27" t="str">
        <f aca="false">IF(OR(G1489="",G1489="?"),"",IFERROR(INDEX(Pubs!$G$2:$G$3001,MATCH(G1489,Pubs!$A$2:$A$3001,0))&amp;"",""))</f>
        <v/>
      </c>
      <c r="K1489" s="28" t="str">
        <f aca="false">IF(OR(G1489="",G1489="?"),"",IFERROR(INDEX(Pubs!$E$2:$E$3001,MATCH(G1489,Pubs!$A$2:$A$3001,0)),""))</f>
        <v/>
      </c>
      <c r="L1489" s="29" t="str">
        <f aca="false">IF(A1489="","",IFERROR(1/(1/INDEX(Numéros!$C$2:$C$3001,MATCH(A1489&amp;"|"&amp;B1489,Numéros!$F$2:$F$3001,0))),""))</f>
        <v/>
      </c>
      <c r="M1489" s="27" t="str">
        <f aca="false">IF(OR(G1489="",G1489="?"),"",IFERROR(INDEX(Pubs!$D$2:$D$3001,MATCH(G1489,Pubs!$A$2:$A$3001,0))&amp;"",""))</f>
        <v/>
      </c>
      <c r="N1489" s="27" t="n">
        <f aca="false">N(N1488)+IF(AND(A1489&lt;&gt;"",OR(Recherche!$C$4="",A1489=Recherche!$C$4),OR(Recherche!$C$5="",B1489&amp;""=Recherche!$C$5&amp;""),OR(Recherche!$C$6="",IFERROR(YEAR(L1489),0)=Recherche!$C$6),OR(Recherche!$C$7="",ISNUMBER(SEARCH(Recherche!$C$7,H1489))),OR(Recherche!$C$8="",J1489=Recherche!$C$8),OR(Recherche!$C$9="",I1489=Recherche!$C$9),OR(Recherche!$C$10="",G1489&amp;""=Recherche!$C$10&amp;""),OR(Recherche!$C$11="",E1489=Recherche!$C$11),OR(Recherche!$C$12="",ISNUMBER(SEARCH(Recherche!$C$12,M1489&amp;" "&amp;F1489)))),1,0)</f>
        <v>8</v>
      </c>
    </row>
    <row r="1490" customFormat="false" ht="15" hidden="false" customHeight="false" outlineLevel="0" collapsed="false">
      <c r="A1490" s="19"/>
      <c r="B1490" s="19"/>
      <c r="C1490" s="19"/>
      <c r="D1490" s="19"/>
      <c r="E1490" s="22"/>
      <c r="F1490" s="19"/>
      <c r="G1490" s="26" t="str">
        <f aca="false">IF(D1490="","",IFERROR(VALUE(LEFT(D1490,FIND(" |",D1490&amp;" |")-1)),"?"))</f>
        <v/>
      </c>
      <c r="H1490" s="27" t="str">
        <f aca="false">IF(G1490="","",IF(G1490="?","⚠ pub inconnue",IFERROR(INDEX(Pubs!$B$2:$B$3001,MATCH(G1490,Pubs!$A$2:$A$3001,0))&amp;"","⚠ pub inconnue")))</f>
        <v/>
      </c>
      <c r="I1490" s="27" t="str">
        <f aca="false">IF(OR(G1490="",G1490="?"),"",IFERROR(INDEX(Pubs!$C$2:$C$3001,MATCH(G1490,Pubs!$A$2:$A$3001,0))&amp;"",""))</f>
        <v/>
      </c>
      <c r="J1490" s="27" t="str">
        <f aca="false">IF(OR(G1490="",G1490="?"),"",IFERROR(INDEX(Pubs!$G$2:$G$3001,MATCH(G1490,Pubs!$A$2:$A$3001,0))&amp;"",""))</f>
        <v/>
      </c>
      <c r="K1490" s="28" t="str">
        <f aca="false">IF(OR(G1490="",G1490="?"),"",IFERROR(INDEX(Pubs!$E$2:$E$3001,MATCH(G1490,Pubs!$A$2:$A$3001,0)),""))</f>
        <v/>
      </c>
      <c r="L1490" s="29" t="str">
        <f aca="false">IF(A1490="","",IFERROR(1/(1/INDEX(Numéros!$C$2:$C$3001,MATCH(A1490&amp;"|"&amp;B1490,Numéros!$F$2:$F$3001,0))),""))</f>
        <v/>
      </c>
      <c r="M1490" s="27" t="str">
        <f aca="false">IF(OR(G1490="",G1490="?"),"",IFERROR(INDEX(Pubs!$D$2:$D$3001,MATCH(G1490,Pubs!$A$2:$A$3001,0))&amp;"",""))</f>
        <v/>
      </c>
      <c r="N1490" s="27" t="n">
        <f aca="false">N(N1489)+IF(AND(A1490&lt;&gt;"",OR(Recherche!$C$4="",A1490=Recherche!$C$4),OR(Recherche!$C$5="",B1490&amp;""=Recherche!$C$5&amp;""),OR(Recherche!$C$6="",IFERROR(YEAR(L1490),0)=Recherche!$C$6),OR(Recherche!$C$7="",ISNUMBER(SEARCH(Recherche!$C$7,H1490))),OR(Recherche!$C$8="",J1490=Recherche!$C$8),OR(Recherche!$C$9="",I1490=Recherche!$C$9),OR(Recherche!$C$10="",G1490&amp;""=Recherche!$C$10&amp;""),OR(Recherche!$C$11="",E1490=Recherche!$C$11),OR(Recherche!$C$12="",ISNUMBER(SEARCH(Recherche!$C$12,M1490&amp;" "&amp;F1490)))),1,0)</f>
        <v>8</v>
      </c>
    </row>
    <row r="1491" customFormat="false" ht="15" hidden="false" customHeight="false" outlineLevel="0" collapsed="false">
      <c r="A1491" s="19"/>
      <c r="B1491" s="19"/>
      <c r="C1491" s="19"/>
      <c r="D1491" s="19"/>
      <c r="E1491" s="22"/>
      <c r="F1491" s="19"/>
      <c r="G1491" s="26" t="str">
        <f aca="false">IF(D1491="","",IFERROR(VALUE(LEFT(D1491,FIND(" |",D1491&amp;" |")-1)),"?"))</f>
        <v/>
      </c>
      <c r="H1491" s="27" t="str">
        <f aca="false">IF(G1491="","",IF(G1491="?","⚠ pub inconnue",IFERROR(INDEX(Pubs!$B$2:$B$3001,MATCH(G1491,Pubs!$A$2:$A$3001,0))&amp;"","⚠ pub inconnue")))</f>
        <v/>
      </c>
      <c r="I1491" s="27" t="str">
        <f aca="false">IF(OR(G1491="",G1491="?"),"",IFERROR(INDEX(Pubs!$C$2:$C$3001,MATCH(G1491,Pubs!$A$2:$A$3001,0))&amp;"",""))</f>
        <v/>
      </c>
      <c r="J1491" s="27" t="str">
        <f aca="false">IF(OR(G1491="",G1491="?"),"",IFERROR(INDEX(Pubs!$G$2:$G$3001,MATCH(G1491,Pubs!$A$2:$A$3001,0))&amp;"",""))</f>
        <v/>
      </c>
      <c r="K1491" s="28" t="str">
        <f aca="false">IF(OR(G1491="",G1491="?"),"",IFERROR(INDEX(Pubs!$E$2:$E$3001,MATCH(G1491,Pubs!$A$2:$A$3001,0)),""))</f>
        <v/>
      </c>
      <c r="L1491" s="29" t="str">
        <f aca="false">IF(A1491="","",IFERROR(1/(1/INDEX(Numéros!$C$2:$C$3001,MATCH(A1491&amp;"|"&amp;B1491,Numéros!$F$2:$F$3001,0))),""))</f>
        <v/>
      </c>
      <c r="M1491" s="27" t="str">
        <f aca="false">IF(OR(G1491="",G1491="?"),"",IFERROR(INDEX(Pubs!$D$2:$D$3001,MATCH(G1491,Pubs!$A$2:$A$3001,0))&amp;"",""))</f>
        <v/>
      </c>
      <c r="N1491" s="27" t="n">
        <f aca="false">N(N1490)+IF(AND(A1491&lt;&gt;"",OR(Recherche!$C$4="",A1491=Recherche!$C$4),OR(Recherche!$C$5="",B1491&amp;""=Recherche!$C$5&amp;""),OR(Recherche!$C$6="",IFERROR(YEAR(L1491),0)=Recherche!$C$6),OR(Recherche!$C$7="",ISNUMBER(SEARCH(Recherche!$C$7,H1491))),OR(Recherche!$C$8="",J1491=Recherche!$C$8),OR(Recherche!$C$9="",I1491=Recherche!$C$9),OR(Recherche!$C$10="",G1491&amp;""=Recherche!$C$10&amp;""),OR(Recherche!$C$11="",E1491=Recherche!$C$11),OR(Recherche!$C$12="",ISNUMBER(SEARCH(Recherche!$C$12,M1491&amp;" "&amp;F1491)))),1,0)</f>
        <v>8</v>
      </c>
    </row>
    <row r="1492" customFormat="false" ht="15" hidden="false" customHeight="false" outlineLevel="0" collapsed="false">
      <c r="A1492" s="19"/>
      <c r="B1492" s="19"/>
      <c r="C1492" s="19"/>
      <c r="D1492" s="19"/>
      <c r="E1492" s="22"/>
      <c r="F1492" s="19"/>
      <c r="G1492" s="26" t="str">
        <f aca="false">IF(D1492="","",IFERROR(VALUE(LEFT(D1492,FIND(" |",D1492&amp;" |")-1)),"?"))</f>
        <v/>
      </c>
      <c r="H1492" s="27" t="str">
        <f aca="false">IF(G1492="","",IF(G1492="?","⚠ pub inconnue",IFERROR(INDEX(Pubs!$B$2:$B$3001,MATCH(G1492,Pubs!$A$2:$A$3001,0))&amp;"","⚠ pub inconnue")))</f>
        <v/>
      </c>
      <c r="I1492" s="27" t="str">
        <f aca="false">IF(OR(G1492="",G1492="?"),"",IFERROR(INDEX(Pubs!$C$2:$C$3001,MATCH(G1492,Pubs!$A$2:$A$3001,0))&amp;"",""))</f>
        <v/>
      </c>
      <c r="J1492" s="27" t="str">
        <f aca="false">IF(OR(G1492="",G1492="?"),"",IFERROR(INDEX(Pubs!$G$2:$G$3001,MATCH(G1492,Pubs!$A$2:$A$3001,0))&amp;"",""))</f>
        <v/>
      </c>
      <c r="K1492" s="28" t="str">
        <f aca="false">IF(OR(G1492="",G1492="?"),"",IFERROR(INDEX(Pubs!$E$2:$E$3001,MATCH(G1492,Pubs!$A$2:$A$3001,0)),""))</f>
        <v/>
      </c>
      <c r="L1492" s="29" t="str">
        <f aca="false">IF(A1492="","",IFERROR(1/(1/INDEX(Numéros!$C$2:$C$3001,MATCH(A1492&amp;"|"&amp;B1492,Numéros!$F$2:$F$3001,0))),""))</f>
        <v/>
      </c>
      <c r="M1492" s="27" t="str">
        <f aca="false">IF(OR(G1492="",G1492="?"),"",IFERROR(INDEX(Pubs!$D$2:$D$3001,MATCH(G1492,Pubs!$A$2:$A$3001,0))&amp;"",""))</f>
        <v/>
      </c>
      <c r="N1492" s="27" t="n">
        <f aca="false">N(N1491)+IF(AND(A1492&lt;&gt;"",OR(Recherche!$C$4="",A1492=Recherche!$C$4),OR(Recherche!$C$5="",B1492&amp;""=Recherche!$C$5&amp;""),OR(Recherche!$C$6="",IFERROR(YEAR(L1492),0)=Recherche!$C$6),OR(Recherche!$C$7="",ISNUMBER(SEARCH(Recherche!$C$7,H1492))),OR(Recherche!$C$8="",J1492=Recherche!$C$8),OR(Recherche!$C$9="",I1492=Recherche!$C$9),OR(Recherche!$C$10="",G1492&amp;""=Recherche!$C$10&amp;""),OR(Recherche!$C$11="",E1492=Recherche!$C$11),OR(Recherche!$C$12="",ISNUMBER(SEARCH(Recherche!$C$12,M1492&amp;" "&amp;F1492)))),1,0)</f>
        <v>8</v>
      </c>
    </row>
    <row r="1493" customFormat="false" ht="15" hidden="false" customHeight="false" outlineLevel="0" collapsed="false">
      <c r="A1493" s="19"/>
      <c r="B1493" s="19"/>
      <c r="C1493" s="19"/>
      <c r="D1493" s="19"/>
      <c r="E1493" s="22"/>
      <c r="F1493" s="19"/>
      <c r="G1493" s="26" t="str">
        <f aca="false">IF(D1493="","",IFERROR(VALUE(LEFT(D1493,FIND(" |",D1493&amp;" |")-1)),"?"))</f>
        <v/>
      </c>
      <c r="H1493" s="27" t="str">
        <f aca="false">IF(G1493="","",IF(G1493="?","⚠ pub inconnue",IFERROR(INDEX(Pubs!$B$2:$B$3001,MATCH(G1493,Pubs!$A$2:$A$3001,0))&amp;"","⚠ pub inconnue")))</f>
        <v/>
      </c>
      <c r="I1493" s="27" t="str">
        <f aca="false">IF(OR(G1493="",G1493="?"),"",IFERROR(INDEX(Pubs!$C$2:$C$3001,MATCH(G1493,Pubs!$A$2:$A$3001,0))&amp;"",""))</f>
        <v/>
      </c>
      <c r="J1493" s="27" t="str">
        <f aca="false">IF(OR(G1493="",G1493="?"),"",IFERROR(INDEX(Pubs!$G$2:$G$3001,MATCH(G1493,Pubs!$A$2:$A$3001,0))&amp;"",""))</f>
        <v/>
      </c>
      <c r="K1493" s="28" t="str">
        <f aca="false">IF(OR(G1493="",G1493="?"),"",IFERROR(INDEX(Pubs!$E$2:$E$3001,MATCH(G1493,Pubs!$A$2:$A$3001,0)),""))</f>
        <v/>
      </c>
      <c r="L1493" s="29" t="str">
        <f aca="false">IF(A1493="","",IFERROR(1/(1/INDEX(Numéros!$C$2:$C$3001,MATCH(A1493&amp;"|"&amp;B1493,Numéros!$F$2:$F$3001,0))),""))</f>
        <v/>
      </c>
      <c r="M1493" s="27" t="str">
        <f aca="false">IF(OR(G1493="",G1493="?"),"",IFERROR(INDEX(Pubs!$D$2:$D$3001,MATCH(G1493,Pubs!$A$2:$A$3001,0))&amp;"",""))</f>
        <v/>
      </c>
      <c r="N1493" s="27" t="n">
        <f aca="false">N(N1492)+IF(AND(A1493&lt;&gt;"",OR(Recherche!$C$4="",A1493=Recherche!$C$4),OR(Recherche!$C$5="",B1493&amp;""=Recherche!$C$5&amp;""),OR(Recherche!$C$6="",IFERROR(YEAR(L1493),0)=Recherche!$C$6),OR(Recherche!$C$7="",ISNUMBER(SEARCH(Recherche!$C$7,H1493))),OR(Recherche!$C$8="",J1493=Recherche!$C$8),OR(Recherche!$C$9="",I1493=Recherche!$C$9),OR(Recherche!$C$10="",G1493&amp;""=Recherche!$C$10&amp;""),OR(Recherche!$C$11="",E1493=Recherche!$C$11),OR(Recherche!$C$12="",ISNUMBER(SEARCH(Recherche!$C$12,M1493&amp;" "&amp;F1493)))),1,0)</f>
        <v>8</v>
      </c>
    </row>
    <row r="1494" customFormat="false" ht="15" hidden="false" customHeight="false" outlineLevel="0" collapsed="false">
      <c r="A1494" s="19"/>
      <c r="B1494" s="19"/>
      <c r="C1494" s="19"/>
      <c r="D1494" s="19"/>
      <c r="E1494" s="22"/>
      <c r="F1494" s="19"/>
      <c r="G1494" s="26" t="str">
        <f aca="false">IF(D1494="","",IFERROR(VALUE(LEFT(D1494,FIND(" |",D1494&amp;" |")-1)),"?"))</f>
        <v/>
      </c>
      <c r="H1494" s="27" t="str">
        <f aca="false">IF(G1494="","",IF(G1494="?","⚠ pub inconnue",IFERROR(INDEX(Pubs!$B$2:$B$3001,MATCH(G1494,Pubs!$A$2:$A$3001,0))&amp;"","⚠ pub inconnue")))</f>
        <v/>
      </c>
      <c r="I1494" s="27" t="str">
        <f aca="false">IF(OR(G1494="",G1494="?"),"",IFERROR(INDEX(Pubs!$C$2:$C$3001,MATCH(G1494,Pubs!$A$2:$A$3001,0))&amp;"",""))</f>
        <v/>
      </c>
      <c r="J1494" s="27" t="str">
        <f aca="false">IF(OR(G1494="",G1494="?"),"",IFERROR(INDEX(Pubs!$G$2:$G$3001,MATCH(G1494,Pubs!$A$2:$A$3001,0))&amp;"",""))</f>
        <v/>
      </c>
      <c r="K1494" s="28" t="str">
        <f aca="false">IF(OR(G1494="",G1494="?"),"",IFERROR(INDEX(Pubs!$E$2:$E$3001,MATCH(G1494,Pubs!$A$2:$A$3001,0)),""))</f>
        <v/>
      </c>
      <c r="L1494" s="29" t="str">
        <f aca="false">IF(A1494="","",IFERROR(1/(1/INDEX(Numéros!$C$2:$C$3001,MATCH(A1494&amp;"|"&amp;B1494,Numéros!$F$2:$F$3001,0))),""))</f>
        <v/>
      </c>
      <c r="M1494" s="27" t="str">
        <f aca="false">IF(OR(G1494="",G1494="?"),"",IFERROR(INDEX(Pubs!$D$2:$D$3001,MATCH(G1494,Pubs!$A$2:$A$3001,0))&amp;"",""))</f>
        <v/>
      </c>
      <c r="N1494" s="27" t="n">
        <f aca="false">N(N1493)+IF(AND(A1494&lt;&gt;"",OR(Recherche!$C$4="",A1494=Recherche!$C$4),OR(Recherche!$C$5="",B1494&amp;""=Recherche!$C$5&amp;""),OR(Recherche!$C$6="",IFERROR(YEAR(L1494),0)=Recherche!$C$6),OR(Recherche!$C$7="",ISNUMBER(SEARCH(Recherche!$C$7,H1494))),OR(Recherche!$C$8="",J1494=Recherche!$C$8),OR(Recherche!$C$9="",I1494=Recherche!$C$9),OR(Recherche!$C$10="",G1494&amp;""=Recherche!$C$10&amp;""),OR(Recherche!$C$11="",E1494=Recherche!$C$11),OR(Recherche!$C$12="",ISNUMBER(SEARCH(Recherche!$C$12,M1494&amp;" "&amp;F1494)))),1,0)</f>
        <v>8</v>
      </c>
    </row>
    <row r="1495" customFormat="false" ht="15" hidden="false" customHeight="false" outlineLevel="0" collapsed="false">
      <c r="A1495" s="19"/>
      <c r="B1495" s="19"/>
      <c r="C1495" s="19"/>
      <c r="D1495" s="19"/>
      <c r="E1495" s="22"/>
      <c r="F1495" s="19"/>
      <c r="G1495" s="26" t="str">
        <f aca="false">IF(D1495="","",IFERROR(VALUE(LEFT(D1495,FIND(" |",D1495&amp;" |")-1)),"?"))</f>
        <v/>
      </c>
      <c r="H1495" s="27" t="str">
        <f aca="false">IF(G1495="","",IF(G1495="?","⚠ pub inconnue",IFERROR(INDEX(Pubs!$B$2:$B$3001,MATCH(G1495,Pubs!$A$2:$A$3001,0))&amp;"","⚠ pub inconnue")))</f>
        <v/>
      </c>
      <c r="I1495" s="27" t="str">
        <f aca="false">IF(OR(G1495="",G1495="?"),"",IFERROR(INDEX(Pubs!$C$2:$C$3001,MATCH(G1495,Pubs!$A$2:$A$3001,0))&amp;"",""))</f>
        <v/>
      </c>
      <c r="J1495" s="27" t="str">
        <f aca="false">IF(OR(G1495="",G1495="?"),"",IFERROR(INDEX(Pubs!$G$2:$G$3001,MATCH(G1495,Pubs!$A$2:$A$3001,0))&amp;"",""))</f>
        <v/>
      </c>
      <c r="K1495" s="28" t="str">
        <f aca="false">IF(OR(G1495="",G1495="?"),"",IFERROR(INDEX(Pubs!$E$2:$E$3001,MATCH(G1495,Pubs!$A$2:$A$3001,0)),""))</f>
        <v/>
      </c>
      <c r="L1495" s="29" t="str">
        <f aca="false">IF(A1495="","",IFERROR(1/(1/INDEX(Numéros!$C$2:$C$3001,MATCH(A1495&amp;"|"&amp;B1495,Numéros!$F$2:$F$3001,0))),""))</f>
        <v/>
      </c>
      <c r="M1495" s="27" t="str">
        <f aca="false">IF(OR(G1495="",G1495="?"),"",IFERROR(INDEX(Pubs!$D$2:$D$3001,MATCH(G1495,Pubs!$A$2:$A$3001,0))&amp;"",""))</f>
        <v/>
      </c>
      <c r="N1495" s="27" t="n">
        <f aca="false">N(N1494)+IF(AND(A1495&lt;&gt;"",OR(Recherche!$C$4="",A1495=Recherche!$C$4),OR(Recherche!$C$5="",B1495&amp;""=Recherche!$C$5&amp;""),OR(Recherche!$C$6="",IFERROR(YEAR(L1495),0)=Recherche!$C$6),OR(Recherche!$C$7="",ISNUMBER(SEARCH(Recherche!$C$7,H1495))),OR(Recherche!$C$8="",J1495=Recherche!$C$8),OR(Recherche!$C$9="",I1495=Recherche!$C$9),OR(Recherche!$C$10="",G1495&amp;""=Recherche!$C$10&amp;""),OR(Recherche!$C$11="",E1495=Recherche!$C$11),OR(Recherche!$C$12="",ISNUMBER(SEARCH(Recherche!$C$12,M1495&amp;" "&amp;F1495)))),1,0)</f>
        <v>8</v>
      </c>
    </row>
    <row r="1496" customFormat="false" ht="15" hidden="false" customHeight="false" outlineLevel="0" collapsed="false">
      <c r="A1496" s="19"/>
      <c r="B1496" s="19"/>
      <c r="C1496" s="19"/>
      <c r="D1496" s="19"/>
      <c r="E1496" s="22"/>
      <c r="F1496" s="19"/>
      <c r="G1496" s="26" t="str">
        <f aca="false">IF(D1496="","",IFERROR(VALUE(LEFT(D1496,FIND(" |",D1496&amp;" |")-1)),"?"))</f>
        <v/>
      </c>
      <c r="H1496" s="27" t="str">
        <f aca="false">IF(G1496="","",IF(G1496="?","⚠ pub inconnue",IFERROR(INDEX(Pubs!$B$2:$B$3001,MATCH(G1496,Pubs!$A$2:$A$3001,0))&amp;"","⚠ pub inconnue")))</f>
        <v/>
      </c>
      <c r="I1496" s="27" t="str">
        <f aca="false">IF(OR(G1496="",G1496="?"),"",IFERROR(INDEX(Pubs!$C$2:$C$3001,MATCH(G1496,Pubs!$A$2:$A$3001,0))&amp;"",""))</f>
        <v/>
      </c>
      <c r="J1496" s="27" t="str">
        <f aca="false">IF(OR(G1496="",G1496="?"),"",IFERROR(INDEX(Pubs!$G$2:$G$3001,MATCH(G1496,Pubs!$A$2:$A$3001,0))&amp;"",""))</f>
        <v/>
      </c>
      <c r="K1496" s="28" t="str">
        <f aca="false">IF(OR(G1496="",G1496="?"),"",IFERROR(INDEX(Pubs!$E$2:$E$3001,MATCH(G1496,Pubs!$A$2:$A$3001,0)),""))</f>
        <v/>
      </c>
      <c r="L1496" s="29" t="str">
        <f aca="false">IF(A1496="","",IFERROR(1/(1/INDEX(Numéros!$C$2:$C$3001,MATCH(A1496&amp;"|"&amp;B1496,Numéros!$F$2:$F$3001,0))),""))</f>
        <v/>
      </c>
      <c r="M1496" s="27" t="str">
        <f aca="false">IF(OR(G1496="",G1496="?"),"",IFERROR(INDEX(Pubs!$D$2:$D$3001,MATCH(G1496,Pubs!$A$2:$A$3001,0))&amp;"",""))</f>
        <v/>
      </c>
      <c r="N1496" s="27" t="n">
        <f aca="false">N(N1495)+IF(AND(A1496&lt;&gt;"",OR(Recherche!$C$4="",A1496=Recherche!$C$4),OR(Recherche!$C$5="",B1496&amp;""=Recherche!$C$5&amp;""),OR(Recherche!$C$6="",IFERROR(YEAR(L1496),0)=Recherche!$C$6),OR(Recherche!$C$7="",ISNUMBER(SEARCH(Recherche!$C$7,H1496))),OR(Recherche!$C$8="",J1496=Recherche!$C$8),OR(Recherche!$C$9="",I1496=Recherche!$C$9),OR(Recherche!$C$10="",G1496&amp;""=Recherche!$C$10&amp;""),OR(Recherche!$C$11="",E1496=Recherche!$C$11),OR(Recherche!$C$12="",ISNUMBER(SEARCH(Recherche!$C$12,M1496&amp;" "&amp;F1496)))),1,0)</f>
        <v>8</v>
      </c>
    </row>
    <row r="1497" customFormat="false" ht="15" hidden="false" customHeight="false" outlineLevel="0" collapsed="false">
      <c r="A1497" s="19"/>
      <c r="B1497" s="19"/>
      <c r="C1497" s="19"/>
      <c r="D1497" s="19"/>
      <c r="E1497" s="22"/>
      <c r="F1497" s="19"/>
      <c r="G1497" s="26" t="str">
        <f aca="false">IF(D1497="","",IFERROR(VALUE(LEFT(D1497,FIND(" |",D1497&amp;" |")-1)),"?"))</f>
        <v/>
      </c>
      <c r="H1497" s="27" t="str">
        <f aca="false">IF(G1497="","",IF(G1497="?","⚠ pub inconnue",IFERROR(INDEX(Pubs!$B$2:$B$3001,MATCH(G1497,Pubs!$A$2:$A$3001,0))&amp;"","⚠ pub inconnue")))</f>
        <v/>
      </c>
      <c r="I1497" s="27" t="str">
        <f aca="false">IF(OR(G1497="",G1497="?"),"",IFERROR(INDEX(Pubs!$C$2:$C$3001,MATCH(G1497,Pubs!$A$2:$A$3001,0))&amp;"",""))</f>
        <v/>
      </c>
      <c r="J1497" s="27" t="str">
        <f aca="false">IF(OR(G1497="",G1497="?"),"",IFERROR(INDEX(Pubs!$G$2:$G$3001,MATCH(G1497,Pubs!$A$2:$A$3001,0))&amp;"",""))</f>
        <v/>
      </c>
      <c r="K1497" s="28" t="str">
        <f aca="false">IF(OR(G1497="",G1497="?"),"",IFERROR(INDEX(Pubs!$E$2:$E$3001,MATCH(G1497,Pubs!$A$2:$A$3001,0)),""))</f>
        <v/>
      </c>
      <c r="L1497" s="29" t="str">
        <f aca="false">IF(A1497="","",IFERROR(1/(1/INDEX(Numéros!$C$2:$C$3001,MATCH(A1497&amp;"|"&amp;B1497,Numéros!$F$2:$F$3001,0))),""))</f>
        <v/>
      </c>
      <c r="M1497" s="27" t="str">
        <f aca="false">IF(OR(G1497="",G1497="?"),"",IFERROR(INDEX(Pubs!$D$2:$D$3001,MATCH(G1497,Pubs!$A$2:$A$3001,0))&amp;"",""))</f>
        <v/>
      </c>
      <c r="N1497" s="27" t="n">
        <f aca="false">N(N1496)+IF(AND(A1497&lt;&gt;"",OR(Recherche!$C$4="",A1497=Recherche!$C$4),OR(Recherche!$C$5="",B1497&amp;""=Recherche!$C$5&amp;""),OR(Recherche!$C$6="",IFERROR(YEAR(L1497),0)=Recherche!$C$6),OR(Recherche!$C$7="",ISNUMBER(SEARCH(Recherche!$C$7,H1497))),OR(Recherche!$C$8="",J1497=Recherche!$C$8),OR(Recherche!$C$9="",I1497=Recherche!$C$9),OR(Recherche!$C$10="",G1497&amp;""=Recherche!$C$10&amp;""),OR(Recherche!$C$11="",E1497=Recherche!$C$11),OR(Recherche!$C$12="",ISNUMBER(SEARCH(Recherche!$C$12,M1497&amp;" "&amp;F1497)))),1,0)</f>
        <v>8</v>
      </c>
    </row>
    <row r="1498" customFormat="false" ht="15" hidden="false" customHeight="false" outlineLevel="0" collapsed="false">
      <c r="A1498" s="19"/>
      <c r="B1498" s="19"/>
      <c r="C1498" s="19"/>
      <c r="D1498" s="19"/>
      <c r="E1498" s="22"/>
      <c r="F1498" s="19"/>
      <c r="G1498" s="26" t="str">
        <f aca="false">IF(D1498="","",IFERROR(VALUE(LEFT(D1498,FIND(" |",D1498&amp;" |")-1)),"?"))</f>
        <v/>
      </c>
      <c r="H1498" s="27" t="str">
        <f aca="false">IF(G1498="","",IF(G1498="?","⚠ pub inconnue",IFERROR(INDEX(Pubs!$B$2:$B$3001,MATCH(G1498,Pubs!$A$2:$A$3001,0))&amp;"","⚠ pub inconnue")))</f>
        <v/>
      </c>
      <c r="I1498" s="27" t="str">
        <f aca="false">IF(OR(G1498="",G1498="?"),"",IFERROR(INDEX(Pubs!$C$2:$C$3001,MATCH(G1498,Pubs!$A$2:$A$3001,0))&amp;"",""))</f>
        <v/>
      </c>
      <c r="J1498" s="27" t="str">
        <f aca="false">IF(OR(G1498="",G1498="?"),"",IFERROR(INDEX(Pubs!$G$2:$G$3001,MATCH(G1498,Pubs!$A$2:$A$3001,0))&amp;"",""))</f>
        <v/>
      </c>
      <c r="K1498" s="28" t="str">
        <f aca="false">IF(OR(G1498="",G1498="?"),"",IFERROR(INDEX(Pubs!$E$2:$E$3001,MATCH(G1498,Pubs!$A$2:$A$3001,0)),""))</f>
        <v/>
      </c>
      <c r="L1498" s="29" t="str">
        <f aca="false">IF(A1498="","",IFERROR(1/(1/INDEX(Numéros!$C$2:$C$3001,MATCH(A1498&amp;"|"&amp;B1498,Numéros!$F$2:$F$3001,0))),""))</f>
        <v/>
      </c>
      <c r="M1498" s="27" t="str">
        <f aca="false">IF(OR(G1498="",G1498="?"),"",IFERROR(INDEX(Pubs!$D$2:$D$3001,MATCH(G1498,Pubs!$A$2:$A$3001,0))&amp;"",""))</f>
        <v/>
      </c>
      <c r="N1498" s="27" t="n">
        <f aca="false">N(N1497)+IF(AND(A1498&lt;&gt;"",OR(Recherche!$C$4="",A1498=Recherche!$C$4),OR(Recherche!$C$5="",B1498&amp;""=Recherche!$C$5&amp;""),OR(Recherche!$C$6="",IFERROR(YEAR(L1498),0)=Recherche!$C$6),OR(Recherche!$C$7="",ISNUMBER(SEARCH(Recherche!$C$7,H1498))),OR(Recherche!$C$8="",J1498=Recherche!$C$8),OR(Recherche!$C$9="",I1498=Recherche!$C$9),OR(Recherche!$C$10="",G1498&amp;""=Recherche!$C$10&amp;""),OR(Recherche!$C$11="",E1498=Recherche!$C$11),OR(Recherche!$C$12="",ISNUMBER(SEARCH(Recherche!$C$12,M1498&amp;" "&amp;F1498)))),1,0)</f>
        <v>8</v>
      </c>
    </row>
    <row r="1499" customFormat="false" ht="15" hidden="false" customHeight="false" outlineLevel="0" collapsed="false">
      <c r="A1499" s="19"/>
      <c r="B1499" s="19"/>
      <c r="C1499" s="19"/>
      <c r="D1499" s="19"/>
      <c r="E1499" s="22"/>
      <c r="F1499" s="19"/>
      <c r="G1499" s="26" t="str">
        <f aca="false">IF(D1499="","",IFERROR(VALUE(LEFT(D1499,FIND(" |",D1499&amp;" |")-1)),"?"))</f>
        <v/>
      </c>
      <c r="H1499" s="27" t="str">
        <f aca="false">IF(G1499="","",IF(G1499="?","⚠ pub inconnue",IFERROR(INDEX(Pubs!$B$2:$B$3001,MATCH(G1499,Pubs!$A$2:$A$3001,0))&amp;"","⚠ pub inconnue")))</f>
        <v/>
      </c>
      <c r="I1499" s="27" t="str">
        <f aca="false">IF(OR(G1499="",G1499="?"),"",IFERROR(INDEX(Pubs!$C$2:$C$3001,MATCH(G1499,Pubs!$A$2:$A$3001,0))&amp;"",""))</f>
        <v/>
      </c>
      <c r="J1499" s="27" t="str">
        <f aca="false">IF(OR(G1499="",G1499="?"),"",IFERROR(INDEX(Pubs!$G$2:$G$3001,MATCH(G1499,Pubs!$A$2:$A$3001,0))&amp;"",""))</f>
        <v/>
      </c>
      <c r="K1499" s="28" t="str">
        <f aca="false">IF(OR(G1499="",G1499="?"),"",IFERROR(INDEX(Pubs!$E$2:$E$3001,MATCH(G1499,Pubs!$A$2:$A$3001,0)),""))</f>
        <v/>
      </c>
      <c r="L1499" s="29" t="str">
        <f aca="false">IF(A1499="","",IFERROR(1/(1/INDEX(Numéros!$C$2:$C$3001,MATCH(A1499&amp;"|"&amp;B1499,Numéros!$F$2:$F$3001,0))),""))</f>
        <v/>
      </c>
      <c r="M1499" s="27" t="str">
        <f aca="false">IF(OR(G1499="",G1499="?"),"",IFERROR(INDEX(Pubs!$D$2:$D$3001,MATCH(G1499,Pubs!$A$2:$A$3001,0))&amp;"",""))</f>
        <v/>
      </c>
      <c r="N1499" s="27" t="n">
        <f aca="false">N(N1498)+IF(AND(A1499&lt;&gt;"",OR(Recherche!$C$4="",A1499=Recherche!$C$4),OR(Recherche!$C$5="",B1499&amp;""=Recherche!$C$5&amp;""),OR(Recherche!$C$6="",IFERROR(YEAR(L1499),0)=Recherche!$C$6),OR(Recherche!$C$7="",ISNUMBER(SEARCH(Recherche!$C$7,H1499))),OR(Recherche!$C$8="",J1499=Recherche!$C$8),OR(Recherche!$C$9="",I1499=Recherche!$C$9),OR(Recherche!$C$10="",G1499&amp;""=Recherche!$C$10&amp;""),OR(Recherche!$C$11="",E1499=Recherche!$C$11),OR(Recherche!$C$12="",ISNUMBER(SEARCH(Recherche!$C$12,M1499&amp;" "&amp;F1499)))),1,0)</f>
        <v>8</v>
      </c>
    </row>
    <row r="1500" customFormat="false" ht="15" hidden="false" customHeight="false" outlineLevel="0" collapsed="false">
      <c r="A1500" s="19"/>
      <c r="B1500" s="19"/>
      <c r="C1500" s="19"/>
      <c r="D1500" s="19"/>
      <c r="E1500" s="22"/>
      <c r="F1500" s="19"/>
      <c r="G1500" s="26" t="str">
        <f aca="false">IF(D1500="","",IFERROR(VALUE(LEFT(D1500,FIND(" |",D1500&amp;" |")-1)),"?"))</f>
        <v/>
      </c>
      <c r="H1500" s="27" t="str">
        <f aca="false">IF(G1500="","",IF(G1500="?","⚠ pub inconnue",IFERROR(INDEX(Pubs!$B$2:$B$3001,MATCH(G1500,Pubs!$A$2:$A$3001,0))&amp;"","⚠ pub inconnue")))</f>
        <v/>
      </c>
      <c r="I1500" s="27" t="str">
        <f aca="false">IF(OR(G1500="",G1500="?"),"",IFERROR(INDEX(Pubs!$C$2:$C$3001,MATCH(G1500,Pubs!$A$2:$A$3001,0))&amp;"",""))</f>
        <v/>
      </c>
      <c r="J1500" s="27" t="str">
        <f aca="false">IF(OR(G1500="",G1500="?"),"",IFERROR(INDEX(Pubs!$G$2:$G$3001,MATCH(G1500,Pubs!$A$2:$A$3001,0))&amp;"",""))</f>
        <v/>
      </c>
      <c r="K1500" s="28" t="str">
        <f aca="false">IF(OR(G1500="",G1500="?"),"",IFERROR(INDEX(Pubs!$E$2:$E$3001,MATCH(G1500,Pubs!$A$2:$A$3001,0)),""))</f>
        <v/>
      </c>
      <c r="L1500" s="29" t="str">
        <f aca="false">IF(A1500="","",IFERROR(1/(1/INDEX(Numéros!$C$2:$C$3001,MATCH(A1500&amp;"|"&amp;B1500,Numéros!$F$2:$F$3001,0))),""))</f>
        <v/>
      </c>
      <c r="M1500" s="27" t="str">
        <f aca="false">IF(OR(G1500="",G1500="?"),"",IFERROR(INDEX(Pubs!$D$2:$D$3001,MATCH(G1500,Pubs!$A$2:$A$3001,0))&amp;"",""))</f>
        <v/>
      </c>
      <c r="N1500" s="27" t="n">
        <f aca="false">N(N1499)+IF(AND(A1500&lt;&gt;"",OR(Recherche!$C$4="",A1500=Recherche!$C$4),OR(Recherche!$C$5="",B1500&amp;""=Recherche!$C$5&amp;""),OR(Recherche!$C$6="",IFERROR(YEAR(L1500),0)=Recherche!$C$6),OR(Recherche!$C$7="",ISNUMBER(SEARCH(Recherche!$C$7,H1500))),OR(Recherche!$C$8="",J1500=Recherche!$C$8),OR(Recherche!$C$9="",I1500=Recherche!$C$9),OR(Recherche!$C$10="",G1500&amp;""=Recherche!$C$10&amp;""),OR(Recherche!$C$11="",E1500=Recherche!$C$11),OR(Recherche!$C$12="",ISNUMBER(SEARCH(Recherche!$C$12,M1500&amp;" "&amp;F1500)))),1,0)</f>
        <v>8</v>
      </c>
    </row>
    <row r="1501" customFormat="false" ht="15" hidden="false" customHeight="false" outlineLevel="0" collapsed="false">
      <c r="A1501" s="19"/>
      <c r="B1501" s="19"/>
      <c r="C1501" s="19"/>
      <c r="D1501" s="19"/>
      <c r="E1501" s="22"/>
      <c r="F1501" s="19"/>
      <c r="G1501" s="26" t="str">
        <f aca="false">IF(D1501="","",IFERROR(VALUE(LEFT(D1501,FIND(" |",D1501&amp;" |")-1)),"?"))</f>
        <v/>
      </c>
      <c r="H1501" s="27" t="str">
        <f aca="false">IF(G1501="","",IF(G1501="?","⚠ pub inconnue",IFERROR(INDEX(Pubs!$B$2:$B$3001,MATCH(G1501,Pubs!$A$2:$A$3001,0))&amp;"","⚠ pub inconnue")))</f>
        <v/>
      </c>
      <c r="I1501" s="27" t="str">
        <f aca="false">IF(OR(G1501="",G1501="?"),"",IFERROR(INDEX(Pubs!$C$2:$C$3001,MATCH(G1501,Pubs!$A$2:$A$3001,0))&amp;"",""))</f>
        <v/>
      </c>
      <c r="J1501" s="27" t="str">
        <f aca="false">IF(OR(G1501="",G1501="?"),"",IFERROR(INDEX(Pubs!$G$2:$G$3001,MATCH(G1501,Pubs!$A$2:$A$3001,0))&amp;"",""))</f>
        <v/>
      </c>
      <c r="K1501" s="28" t="str">
        <f aca="false">IF(OR(G1501="",G1501="?"),"",IFERROR(INDEX(Pubs!$E$2:$E$3001,MATCH(G1501,Pubs!$A$2:$A$3001,0)),""))</f>
        <v/>
      </c>
      <c r="L1501" s="29" t="str">
        <f aca="false">IF(A1501="","",IFERROR(1/(1/INDEX(Numéros!$C$2:$C$3001,MATCH(A1501&amp;"|"&amp;B1501,Numéros!$F$2:$F$3001,0))),""))</f>
        <v/>
      </c>
      <c r="M1501" s="27" t="str">
        <f aca="false">IF(OR(G1501="",G1501="?"),"",IFERROR(INDEX(Pubs!$D$2:$D$3001,MATCH(G1501,Pubs!$A$2:$A$3001,0))&amp;"",""))</f>
        <v/>
      </c>
      <c r="N1501" s="27" t="n">
        <f aca="false">N(N1500)+IF(AND(A1501&lt;&gt;"",OR(Recherche!$C$4="",A1501=Recherche!$C$4),OR(Recherche!$C$5="",B1501&amp;""=Recherche!$C$5&amp;""),OR(Recherche!$C$6="",IFERROR(YEAR(L1501),0)=Recherche!$C$6),OR(Recherche!$C$7="",ISNUMBER(SEARCH(Recherche!$C$7,H1501))),OR(Recherche!$C$8="",J1501=Recherche!$C$8),OR(Recherche!$C$9="",I1501=Recherche!$C$9),OR(Recherche!$C$10="",G1501&amp;""=Recherche!$C$10&amp;""),OR(Recherche!$C$11="",E1501=Recherche!$C$11),OR(Recherche!$C$12="",ISNUMBER(SEARCH(Recherche!$C$12,M1501&amp;" "&amp;F1501)))),1,0)</f>
        <v>8</v>
      </c>
    </row>
    <row r="1502" customFormat="false" ht="15" hidden="false" customHeight="false" outlineLevel="0" collapsed="false">
      <c r="A1502" s="19"/>
      <c r="B1502" s="19"/>
      <c r="C1502" s="19"/>
      <c r="D1502" s="19"/>
      <c r="E1502" s="22"/>
      <c r="F1502" s="19"/>
      <c r="G1502" s="26" t="str">
        <f aca="false">IF(D1502="","",IFERROR(VALUE(LEFT(D1502,FIND(" |",D1502&amp;" |")-1)),"?"))</f>
        <v/>
      </c>
      <c r="H1502" s="27" t="str">
        <f aca="false">IF(G1502="","",IF(G1502="?","⚠ pub inconnue",IFERROR(INDEX(Pubs!$B$2:$B$3001,MATCH(G1502,Pubs!$A$2:$A$3001,0))&amp;"","⚠ pub inconnue")))</f>
        <v/>
      </c>
      <c r="I1502" s="27" t="str">
        <f aca="false">IF(OR(G1502="",G1502="?"),"",IFERROR(INDEX(Pubs!$C$2:$C$3001,MATCH(G1502,Pubs!$A$2:$A$3001,0))&amp;"",""))</f>
        <v/>
      </c>
      <c r="J1502" s="27" t="str">
        <f aca="false">IF(OR(G1502="",G1502="?"),"",IFERROR(INDEX(Pubs!$G$2:$G$3001,MATCH(G1502,Pubs!$A$2:$A$3001,0))&amp;"",""))</f>
        <v/>
      </c>
      <c r="K1502" s="28" t="str">
        <f aca="false">IF(OR(G1502="",G1502="?"),"",IFERROR(INDEX(Pubs!$E$2:$E$3001,MATCH(G1502,Pubs!$A$2:$A$3001,0)),""))</f>
        <v/>
      </c>
      <c r="L1502" s="29" t="str">
        <f aca="false">IF(A1502="","",IFERROR(1/(1/INDEX(Numéros!$C$2:$C$3001,MATCH(A1502&amp;"|"&amp;B1502,Numéros!$F$2:$F$3001,0))),""))</f>
        <v/>
      </c>
      <c r="M1502" s="27" t="str">
        <f aca="false">IF(OR(G1502="",G1502="?"),"",IFERROR(INDEX(Pubs!$D$2:$D$3001,MATCH(G1502,Pubs!$A$2:$A$3001,0))&amp;"",""))</f>
        <v/>
      </c>
      <c r="N1502" s="27" t="n">
        <f aca="false">N(N1501)+IF(AND(A1502&lt;&gt;"",OR(Recherche!$C$4="",A1502=Recherche!$C$4),OR(Recherche!$C$5="",B1502&amp;""=Recherche!$C$5&amp;""),OR(Recherche!$C$6="",IFERROR(YEAR(L1502),0)=Recherche!$C$6),OR(Recherche!$C$7="",ISNUMBER(SEARCH(Recherche!$C$7,H1502))),OR(Recherche!$C$8="",J1502=Recherche!$C$8),OR(Recherche!$C$9="",I1502=Recherche!$C$9),OR(Recherche!$C$10="",G1502&amp;""=Recherche!$C$10&amp;""),OR(Recherche!$C$11="",E1502=Recherche!$C$11),OR(Recherche!$C$12="",ISNUMBER(SEARCH(Recherche!$C$12,M1502&amp;" "&amp;F1502)))),1,0)</f>
        <v>8</v>
      </c>
    </row>
    <row r="1503" customFormat="false" ht="15" hidden="false" customHeight="false" outlineLevel="0" collapsed="false">
      <c r="A1503" s="19"/>
      <c r="B1503" s="19"/>
      <c r="C1503" s="19"/>
      <c r="D1503" s="19"/>
      <c r="E1503" s="22"/>
      <c r="F1503" s="19"/>
      <c r="G1503" s="26" t="str">
        <f aca="false">IF(D1503="","",IFERROR(VALUE(LEFT(D1503,FIND(" |",D1503&amp;" |")-1)),"?"))</f>
        <v/>
      </c>
      <c r="H1503" s="27" t="str">
        <f aca="false">IF(G1503="","",IF(G1503="?","⚠ pub inconnue",IFERROR(INDEX(Pubs!$B$2:$B$3001,MATCH(G1503,Pubs!$A$2:$A$3001,0))&amp;"","⚠ pub inconnue")))</f>
        <v/>
      </c>
      <c r="I1503" s="27" t="str">
        <f aca="false">IF(OR(G1503="",G1503="?"),"",IFERROR(INDEX(Pubs!$C$2:$C$3001,MATCH(G1503,Pubs!$A$2:$A$3001,0))&amp;"",""))</f>
        <v/>
      </c>
      <c r="J1503" s="27" t="str">
        <f aca="false">IF(OR(G1503="",G1503="?"),"",IFERROR(INDEX(Pubs!$G$2:$G$3001,MATCH(G1503,Pubs!$A$2:$A$3001,0))&amp;"",""))</f>
        <v/>
      </c>
      <c r="K1503" s="28" t="str">
        <f aca="false">IF(OR(G1503="",G1503="?"),"",IFERROR(INDEX(Pubs!$E$2:$E$3001,MATCH(G1503,Pubs!$A$2:$A$3001,0)),""))</f>
        <v/>
      </c>
      <c r="L1503" s="29" t="str">
        <f aca="false">IF(A1503="","",IFERROR(1/(1/INDEX(Numéros!$C$2:$C$3001,MATCH(A1503&amp;"|"&amp;B1503,Numéros!$F$2:$F$3001,0))),""))</f>
        <v/>
      </c>
      <c r="M1503" s="27" t="str">
        <f aca="false">IF(OR(G1503="",G1503="?"),"",IFERROR(INDEX(Pubs!$D$2:$D$3001,MATCH(G1503,Pubs!$A$2:$A$3001,0))&amp;"",""))</f>
        <v/>
      </c>
      <c r="N1503" s="27" t="n">
        <f aca="false">N(N1502)+IF(AND(A1503&lt;&gt;"",OR(Recherche!$C$4="",A1503=Recherche!$C$4),OR(Recherche!$C$5="",B1503&amp;""=Recherche!$C$5&amp;""),OR(Recherche!$C$6="",IFERROR(YEAR(L1503),0)=Recherche!$C$6),OR(Recherche!$C$7="",ISNUMBER(SEARCH(Recherche!$C$7,H1503))),OR(Recherche!$C$8="",J1503=Recherche!$C$8),OR(Recherche!$C$9="",I1503=Recherche!$C$9),OR(Recherche!$C$10="",G1503&amp;""=Recherche!$C$10&amp;""),OR(Recherche!$C$11="",E1503=Recherche!$C$11),OR(Recherche!$C$12="",ISNUMBER(SEARCH(Recherche!$C$12,M1503&amp;" "&amp;F1503)))),1,0)</f>
        <v>8</v>
      </c>
    </row>
    <row r="1504" customFormat="false" ht="15" hidden="false" customHeight="false" outlineLevel="0" collapsed="false">
      <c r="A1504" s="19"/>
      <c r="B1504" s="19"/>
      <c r="C1504" s="19"/>
      <c r="D1504" s="19"/>
      <c r="E1504" s="22"/>
      <c r="F1504" s="19"/>
      <c r="G1504" s="26" t="str">
        <f aca="false">IF(D1504="","",IFERROR(VALUE(LEFT(D1504,FIND(" |",D1504&amp;" |")-1)),"?"))</f>
        <v/>
      </c>
      <c r="H1504" s="27" t="str">
        <f aca="false">IF(G1504="","",IF(G1504="?","⚠ pub inconnue",IFERROR(INDEX(Pubs!$B$2:$B$3001,MATCH(G1504,Pubs!$A$2:$A$3001,0))&amp;"","⚠ pub inconnue")))</f>
        <v/>
      </c>
      <c r="I1504" s="27" t="str">
        <f aca="false">IF(OR(G1504="",G1504="?"),"",IFERROR(INDEX(Pubs!$C$2:$C$3001,MATCH(G1504,Pubs!$A$2:$A$3001,0))&amp;"",""))</f>
        <v/>
      </c>
      <c r="J1504" s="27" t="str">
        <f aca="false">IF(OR(G1504="",G1504="?"),"",IFERROR(INDEX(Pubs!$G$2:$G$3001,MATCH(G1504,Pubs!$A$2:$A$3001,0))&amp;"",""))</f>
        <v/>
      </c>
      <c r="K1504" s="28" t="str">
        <f aca="false">IF(OR(G1504="",G1504="?"),"",IFERROR(INDEX(Pubs!$E$2:$E$3001,MATCH(G1504,Pubs!$A$2:$A$3001,0)),""))</f>
        <v/>
      </c>
      <c r="L1504" s="29" t="str">
        <f aca="false">IF(A1504="","",IFERROR(1/(1/INDEX(Numéros!$C$2:$C$3001,MATCH(A1504&amp;"|"&amp;B1504,Numéros!$F$2:$F$3001,0))),""))</f>
        <v/>
      </c>
      <c r="M1504" s="27" t="str">
        <f aca="false">IF(OR(G1504="",G1504="?"),"",IFERROR(INDEX(Pubs!$D$2:$D$3001,MATCH(G1504,Pubs!$A$2:$A$3001,0))&amp;"",""))</f>
        <v/>
      </c>
      <c r="N1504" s="27" t="n">
        <f aca="false">N(N1503)+IF(AND(A1504&lt;&gt;"",OR(Recherche!$C$4="",A1504=Recherche!$C$4),OR(Recherche!$C$5="",B1504&amp;""=Recherche!$C$5&amp;""),OR(Recherche!$C$6="",IFERROR(YEAR(L1504),0)=Recherche!$C$6),OR(Recherche!$C$7="",ISNUMBER(SEARCH(Recherche!$C$7,H1504))),OR(Recherche!$C$8="",J1504=Recherche!$C$8),OR(Recherche!$C$9="",I1504=Recherche!$C$9),OR(Recherche!$C$10="",G1504&amp;""=Recherche!$C$10&amp;""),OR(Recherche!$C$11="",E1504=Recherche!$C$11),OR(Recherche!$C$12="",ISNUMBER(SEARCH(Recherche!$C$12,M1504&amp;" "&amp;F1504)))),1,0)</f>
        <v>8</v>
      </c>
    </row>
    <row r="1505" customFormat="false" ht="15" hidden="false" customHeight="false" outlineLevel="0" collapsed="false">
      <c r="A1505" s="19"/>
      <c r="B1505" s="19"/>
      <c r="C1505" s="19"/>
      <c r="D1505" s="19"/>
      <c r="E1505" s="22"/>
      <c r="F1505" s="19"/>
      <c r="G1505" s="26" t="str">
        <f aca="false">IF(D1505="","",IFERROR(VALUE(LEFT(D1505,FIND(" |",D1505&amp;" |")-1)),"?"))</f>
        <v/>
      </c>
      <c r="H1505" s="27" t="str">
        <f aca="false">IF(G1505="","",IF(G1505="?","⚠ pub inconnue",IFERROR(INDEX(Pubs!$B$2:$B$3001,MATCH(G1505,Pubs!$A$2:$A$3001,0))&amp;"","⚠ pub inconnue")))</f>
        <v/>
      </c>
      <c r="I1505" s="27" t="str">
        <f aca="false">IF(OR(G1505="",G1505="?"),"",IFERROR(INDEX(Pubs!$C$2:$C$3001,MATCH(G1505,Pubs!$A$2:$A$3001,0))&amp;"",""))</f>
        <v/>
      </c>
      <c r="J1505" s="27" t="str">
        <f aca="false">IF(OR(G1505="",G1505="?"),"",IFERROR(INDEX(Pubs!$G$2:$G$3001,MATCH(G1505,Pubs!$A$2:$A$3001,0))&amp;"",""))</f>
        <v/>
      </c>
      <c r="K1505" s="28" t="str">
        <f aca="false">IF(OR(G1505="",G1505="?"),"",IFERROR(INDEX(Pubs!$E$2:$E$3001,MATCH(G1505,Pubs!$A$2:$A$3001,0)),""))</f>
        <v/>
      </c>
      <c r="L1505" s="29" t="str">
        <f aca="false">IF(A1505="","",IFERROR(1/(1/INDEX(Numéros!$C$2:$C$3001,MATCH(A1505&amp;"|"&amp;B1505,Numéros!$F$2:$F$3001,0))),""))</f>
        <v/>
      </c>
      <c r="M1505" s="27" t="str">
        <f aca="false">IF(OR(G1505="",G1505="?"),"",IFERROR(INDEX(Pubs!$D$2:$D$3001,MATCH(G1505,Pubs!$A$2:$A$3001,0))&amp;"",""))</f>
        <v/>
      </c>
      <c r="N1505" s="27" t="n">
        <f aca="false">N(N1504)+IF(AND(A1505&lt;&gt;"",OR(Recherche!$C$4="",A1505=Recherche!$C$4),OR(Recherche!$C$5="",B1505&amp;""=Recherche!$C$5&amp;""),OR(Recherche!$C$6="",IFERROR(YEAR(L1505),0)=Recherche!$C$6),OR(Recherche!$C$7="",ISNUMBER(SEARCH(Recherche!$C$7,H1505))),OR(Recherche!$C$8="",J1505=Recherche!$C$8),OR(Recherche!$C$9="",I1505=Recherche!$C$9),OR(Recherche!$C$10="",G1505&amp;""=Recherche!$C$10&amp;""),OR(Recherche!$C$11="",E1505=Recherche!$C$11),OR(Recherche!$C$12="",ISNUMBER(SEARCH(Recherche!$C$12,M1505&amp;" "&amp;F1505)))),1,0)</f>
        <v>8</v>
      </c>
    </row>
    <row r="1506" customFormat="false" ht="15" hidden="false" customHeight="false" outlineLevel="0" collapsed="false">
      <c r="A1506" s="19"/>
      <c r="B1506" s="19"/>
      <c r="C1506" s="19"/>
      <c r="D1506" s="19"/>
      <c r="E1506" s="22"/>
      <c r="F1506" s="19"/>
      <c r="G1506" s="26" t="str">
        <f aca="false">IF(D1506="","",IFERROR(VALUE(LEFT(D1506,FIND(" |",D1506&amp;" |")-1)),"?"))</f>
        <v/>
      </c>
      <c r="H1506" s="27" t="str">
        <f aca="false">IF(G1506="","",IF(G1506="?","⚠ pub inconnue",IFERROR(INDEX(Pubs!$B$2:$B$3001,MATCH(G1506,Pubs!$A$2:$A$3001,0))&amp;"","⚠ pub inconnue")))</f>
        <v/>
      </c>
      <c r="I1506" s="27" t="str">
        <f aca="false">IF(OR(G1506="",G1506="?"),"",IFERROR(INDEX(Pubs!$C$2:$C$3001,MATCH(G1506,Pubs!$A$2:$A$3001,0))&amp;"",""))</f>
        <v/>
      </c>
      <c r="J1506" s="27" t="str">
        <f aca="false">IF(OR(G1506="",G1506="?"),"",IFERROR(INDEX(Pubs!$G$2:$G$3001,MATCH(G1506,Pubs!$A$2:$A$3001,0))&amp;"",""))</f>
        <v/>
      </c>
      <c r="K1506" s="28" t="str">
        <f aca="false">IF(OR(G1506="",G1506="?"),"",IFERROR(INDEX(Pubs!$E$2:$E$3001,MATCH(G1506,Pubs!$A$2:$A$3001,0)),""))</f>
        <v/>
      </c>
      <c r="L1506" s="29" t="str">
        <f aca="false">IF(A1506="","",IFERROR(1/(1/INDEX(Numéros!$C$2:$C$3001,MATCH(A1506&amp;"|"&amp;B1506,Numéros!$F$2:$F$3001,0))),""))</f>
        <v/>
      </c>
      <c r="M1506" s="27" t="str">
        <f aca="false">IF(OR(G1506="",G1506="?"),"",IFERROR(INDEX(Pubs!$D$2:$D$3001,MATCH(G1506,Pubs!$A$2:$A$3001,0))&amp;"",""))</f>
        <v/>
      </c>
      <c r="N1506" s="27" t="n">
        <f aca="false">N(N1505)+IF(AND(A1506&lt;&gt;"",OR(Recherche!$C$4="",A1506=Recherche!$C$4),OR(Recherche!$C$5="",B1506&amp;""=Recherche!$C$5&amp;""),OR(Recherche!$C$6="",IFERROR(YEAR(L1506),0)=Recherche!$C$6),OR(Recherche!$C$7="",ISNUMBER(SEARCH(Recherche!$C$7,H1506))),OR(Recherche!$C$8="",J1506=Recherche!$C$8),OR(Recherche!$C$9="",I1506=Recherche!$C$9),OR(Recherche!$C$10="",G1506&amp;""=Recherche!$C$10&amp;""),OR(Recherche!$C$11="",E1506=Recherche!$C$11),OR(Recherche!$C$12="",ISNUMBER(SEARCH(Recherche!$C$12,M1506&amp;" "&amp;F1506)))),1,0)</f>
        <v>8</v>
      </c>
    </row>
    <row r="1507" customFormat="false" ht="15" hidden="false" customHeight="false" outlineLevel="0" collapsed="false">
      <c r="A1507" s="19"/>
      <c r="B1507" s="19"/>
      <c r="C1507" s="19"/>
      <c r="D1507" s="19"/>
      <c r="E1507" s="22"/>
      <c r="F1507" s="19"/>
      <c r="G1507" s="26" t="str">
        <f aca="false">IF(D1507="","",IFERROR(VALUE(LEFT(D1507,FIND(" |",D1507&amp;" |")-1)),"?"))</f>
        <v/>
      </c>
      <c r="H1507" s="27" t="str">
        <f aca="false">IF(G1507="","",IF(G1507="?","⚠ pub inconnue",IFERROR(INDEX(Pubs!$B$2:$B$3001,MATCH(G1507,Pubs!$A$2:$A$3001,0))&amp;"","⚠ pub inconnue")))</f>
        <v/>
      </c>
      <c r="I1507" s="27" t="str">
        <f aca="false">IF(OR(G1507="",G1507="?"),"",IFERROR(INDEX(Pubs!$C$2:$C$3001,MATCH(G1507,Pubs!$A$2:$A$3001,0))&amp;"",""))</f>
        <v/>
      </c>
      <c r="J1507" s="27" t="str">
        <f aca="false">IF(OR(G1507="",G1507="?"),"",IFERROR(INDEX(Pubs!$G$2:$G$3001,MATCH(G1507,Pubs!$A$2:$A$3001,0))&amp;"",""))</f>
        <v/>
      </c>
      <c r="K1507" s="28" t="str">
        <f aca="false">IF(OR(G1507="",G1507="?"),"",IFERROR(INDEX(Pubs!$E$2:$E$3001,MATCH(G1507,Pubs!$A$2:$A$3001,0)),""))</f>
        <v/>
      </c>
      <c r="L1507" s="29" t="str">
        <f aca="false">IF(A1507="","",IFERROR(1/(1/INDEX(Numéros!$C$2:$C$3001,MATCH(A1507&amp;"|"&amp;B1507,Numéros!$F$2:$F$3001,0))),""))</f>
        <v/>
      </c>
      <c r="M1507" s="27" t="str">
        <f aca="false">IF(OR(G1507="",G1507="?"),"",IFERROR(INDEX(Pubs!$D$2:$D$3001,MATCH(G1507,Pubs!$A$2:$A$3001,0))&amp;"",""))</f>
        <v/>
      </c>
      <c r="N1507" s="27" t="n">
        <f aca="false">N(N1506)+IF(AND(A1507&lt;&gt;"",OR(Recherche!$C$4="",A1507=Recherche!$C$4),OR(Recherche!$C$5="",B1507&amp;""=Recherche!$C$5&amp;""),OR(Recherche!$C$6="",IFERROR(YEAR(L1507),0)=Recherche!$C$6),OR(Recherche!$C$7="",ISNUMBER(SEARCH(Recherche!$C$7,H1507))),OR(Recherche!$C$8="",J1507=Recherche!$C$8),OR(Recherche!$C$9="",I1507=Recherche!$C$9),OR(Recherche!$C$10="",G1507&amp;""=Recherche!$C$10&amp;""),OR(Recherche!$C$11="",E1507=Recherche!$C$11),OR(Recherche!$C$12="",ISNUMBER(SEARCH(Recherche!$C$12,M1507&amp;" "&amp;F1507)))),1,0)</f>
        <v>8</v>
      </c>
    </row>
    <row r="1508" customFormat="false" ht="15" hidden="false" customHeight="false" outlineLevel="0" collapsed="false">
      <c r="A1508" s="19"/>
      <c r="B1508" s="19"/>
      <c r="C1508" s="19"/>
      <c r="D1508" s="19"/>
      <c r="E1508" s="22"/>
      <c r="F1508" s="19"/>
      <c r="G1508" s="26" t="str">
        <f aca="false">IF(D1508="","",IFERROR(VALUE(LEFT(D1508,FIND(" |",D1508&amp;" |")-1)),"?"))</f>
        <v/>
      </c>
      <c r="H1508" s="27" t="str">
        <f aca="false">IF(G1508="","",IF(G1508="?","⚠ pub inconnue",IFERROR(INDEX(Pubs!$B$2:$B$3001,MATCH(G1508,Pubs!$A$2:$A$3001,0))&amp;"","⚠ pub inconnue")))</f>
        <v/>
      </c>
      <c r="I1508" s="27" t="str">
        <f aca="false">IF(OR(G1508="",G1508="?"),"",IFERROR(INDEX(Pubs!$C$2:$C$3001,MATCH(G1508,Pubs!$A$2:$A$3001,0))&amp;"",""))</f>
        <v/>
      </c>
      <c r="J1508" s="27" t="str">
        <f aca="false">IF(OR(G1508="",G1508="?"),"",IFERROR(INDEX(Pubs!$G$2:$G$3001,MATCH(G1508,Pubs!$A$2:$A$3001,0))&amp;"",""))</f>
        <v/>
      </c>
      <c r="K1508" s="28" t="str">
        <f aca="false">IF(OR(G1508="",G1508="?"),"",IFERROR(INDEX(Pubs!$E$2:$E$3001,MATCH(G1508,Pubs!$A$2:$A$3001,0)),""))</f>
        <v/>
      </c>
      <c r="L1508" s="29" t="str">
        <f aca="false">IF(A1508="","",IFERROR(1/(1/INDEX(Numéros!$C$2:$C$3001,MATCH(A1508&amp;"|"&amp;B1508,Numéros!$F$2:$F$3001,0))),""))</f>
        <v/>
      </c>
      <c r="M1508" s="27" t="str">
        <f aca="false">IF(OR(G1508="",G1508="?"),"",IFERROR(INDEX(Pubs!$D$2:$D$3001,MATCH(G1508,Pubs!$A$2:$A$3001,0))&amp;"",""))</f>
        <v/>
      </c>
      <c r="N1508" s="27" t="n">
        <f aca="false">N(N1507)+IF(AND(A1508&lt;&gt;"",OR(Recherche!$C$4="",A1508=Recherche!$C$4),OR(Recherche!$C$5="",B1508&amp;""=Recherche!$C$5&amp;""),OR(Recherche!$C$6="",IFERROR(YEAR(L1508),0)=Recherche!$C$6),OR(Recherche!$C$7="",ISNUMBER(SEARCH(Recherche!$C$7,H1508))),OR(Recherche!$C$8="",J1508=Recherche!$C$8),OR(Recherche!$C$9="",I1508=Recherche!$C$9),OR(Recherche!$C$10="",G1508&amp;""=Recherche!$C$10&amp;""),OR(Recherche!$C$11="",E1508=Recherche!$C$11),OR(Recherche!$C$12="",ISNUMBER(SEARCH(Recherche!$C$12,M1508&amp;" "&amp;F1508)))),1,0)</f>
        <v>8</v>
      </c>
    </row>
    <row r="1509" customFormat="false" ht="15" hidden="false" customHeight="false" outlineLevel="0" collapsed="false">
      <c r="A1509" s="19"/>
      <c r="B1509" s="19"/>
      <c r="C1509" s="19"/>
      <c r="D1509" s="19"/>
      <c r="E1509" s="22"/>
      <c r="F1509" s="19"/>
      <c r="G1509" s="26" t="str">
        <f aca="false">IF(D1509="","",IFERROR(VALUE(LEFT(D1509,FIND(" |",D1509&amp;" |")-1)),"?"))</f>
        <v/>
      </c>
      <c r="H1509" s="27" t="str">
        <f aca="false">IF(G1509="","",IF(G1509="?","⚠ pub inconnue",IFERROR(INDEX(Pubs!$B$2:$B$3001,MATCH(G1509,Pubs!$A$2:$A$3001,0))&amp;"","⚠ pub inconnue")))</f>
        <v/>
      </c>
      <c r="I1509" s="27" t="str">
        <f aca="false">IF(OR(G1509="",G1509="?"),"",IFERROR(INDEX(Pubs!$C$2:$C$3001,MATCH(G1509,Pubs!$A$2:$A$3001,0))&amp;"",""))</f>
        <v/>
      </c>
      <c r="J1509" s="27" t="str">
        <f aca="false">IF(OR(G1509="",G1509="?"),"",IFERROR(INDEX(Pubs!$G$2:$G$3001,MATCH(G1509,Pubs!$A$2:$A$3001,0))&amp;"",""))</f>
        <v/>
      </c>
      <c r="K1509" s="28" t="str">
        <f aca="false">IF(OR(G1509="",G1509="?"),"",IFERROR(INDEX(Pubs!$E$2:$E$3001,MATCH(G1509,Pubs!$A$2:$A$3001,0)),""))</f>
        <v/>
      </c>
      <c r="L1509" s="29" t="str">
        <f aca="false">IF(A1509="","",IFERROR(1/(1/INDEX(Numéros!$C$2:$C$3001,MATCH(A1509&amp;"|"&amp;B1509,Numéros!$F$2:$F$3001,0))),""))</f>
        <v/>
      </c>
      <c r="M1509" s="27" t="str">
        <f aca="false">IF(OR(G1509="",G1509="?"),"",IFERROR(INDEX(Pubs!$D$2:$D$3001,MATCH(G1509,Pubs!$A$2:$A$3001,0))&amp;"",""))</f>
        <v/>
      </c>
      <c r="N1509" s="27" t="n">
        <f aca="false">N(N1508)+IF(AND(A1509&lt;&gt;"",OR(Recherche!$C$4="",A1509=Recherche!$C$4),OR(Recherche!$C$5="",B1509&amp;""=Recherche!$C$5&amp;""),OR(Recherche!$C$6="",IFERROR(YEAR(L1509),0)=Recherche!$C$6),OR(Recherche!$C$7="",ISNUMBER(SEARCH(Recherche!$C$7,H1509))),OR(Recherche!$C$8="",J1509=Recherche!$C$8),OR(Recherche!$C$9="",I1509=Recherche!$C$9),OR(Recherche!$C$10="",G1509&amp;""=Recherche!$C$10&amp;""),OR(Recherche!$C$11="",E1509=Recherche!$C$11),OR(Recherche!$C$12="",ISNUMBER(SEARCH(Recherche!$C$12,M1509&amp;" "&amp;F1509)))),1,0)</f>
        <v>8</v>
      </c>
    </row>
    <row r="1510" customFormat="false" ht="15" hidden="false" customHeight="false" outlineLevel="0" collapsed="false">
      <c r="A1510" s="19"/>
      <c r="B1510" s="19"/>
      <c r="C1510" s="19"/>
      <c r="D1510" s="19"/>
      <c r="E1510" s="22"/>
      <c r="F1510" s="19"/>
      <c r="G1510" s="26" t="str">
        <f aca="false">IF(D1510="","",IFERROR(VALUE(LEFT(D1510,FIND(" |",D1510&amp;" |")-1)),"?"))</f>
        <v/>
      </c>
      <c r="H1510" s="27" t="str">
        <f aca="false">IF(G1510="","",IF(G1510="?","⚠ pub inconnue",IFERROR(INDEX(Pubs!$B$2:$B$3001,MATCH(G1510,Pubs!$A$2:$A$3001,0))&amp;"","⚠ pub inconnue")))</f>
        <v/>
      </c>
      <c r="I1510" s="27" t="str">
        <f aca="false">IF(OR(G1510="",G1510="?"),"",IFERROR(INDEX(Pubs!$C$2:$C$3001,MATCH(G1510,Pubs!$A$2:$A$3001,0))&amp;"",""))</f>
        <v/>
      </c>
      <c r="J1510" s="27" t="str">
        <f aca="false">IF(OR(G1510="",G1510="?"),"",IFERROR(INDEX(Pubs!$G$2:$G$3001,MATCH(G1510,Pubs!$A$2:$A$3001,0))&amp;"",""))</f>
        <v/>
      </c>
      <c r="K1510" s="28" t="str">
        <f aca="false">IF(OR(G1510="",G1510="?"),"",IFERROR(INDEX(Pubs!$E$2:$E$3001,MATCH(G1510,Pubs!$A$2:$A$3001,0)),""))</f>
        <v/>
      </c>
      <c r="L1510" s="29" t="str">
        <f aca="false">IF(A1510="","",IFERROR(1/(1/INDEX(Numéros!$C$2:$C$3001,MATCH(A1510&amp;"|"&amp;B1510,Numéros!$F$2:$F$3001,0))),""))</f>
        <v/>
      </c>
      <c r="M1510" s="27" t="str">
        <f aca="false">IF(OR(G1510="",G1510="?"),"",IFERROR(INDEX(Pubs!$D$2:$D$3001,MATCH(G1510,Pubs!$A$2:$A$3001,0))&amp;"",""))</f>
        <v/>
      </c>
      <c r="N1510" s="27" t="n">
        <f aca="false">N(N1509)+IF(AND(A1510&lt;&gt;"",OR(Recherche!$C$4="",A1510=Recherche!$C$4),OR(Recherche!$C$5="",B1510&amp;""=Recherche!$C$5&amp;""),OR(Recherche!$C$6="",IFERROR(YEAR(L1510),0)=Recherche!$C$6),OR(Recherche!$C$7="",ISNUMBER(SEARCH(Recherche!$C$7,H1510))),OR(Recherche!$C$8="",J1510=Recherche!$C$8),OR(Recherche!$C$9="",I1510=Recherche!$C$9),OR(Recherche!$C$10="",G1510&amp;""=Recherche!$C$10&amp;""),OR(Recherche!$C$11="",E1510=Recherche!$C$11),OR(Recherche!$C$12="",ISNUMBER(SEARCH(Recherche!$C$12,M1510&amp;" "&amp;F1510)))),1,0)</f>
        <v>8</v>
      </c>
    </row>
    <row r="1511" customFormat="false" ht="15" hidden="false" customHeight="false" outlineLevel="0" collapsed="false">
      <c r="A1511" s="19"/>
      <c r="B1511" s="19"/>
      <c r="C1511" s="19"/>
      <c r="D1511" s="19"/>
      <c r="E1511" s="22"/>
      <c r="F1511" s="19"/>
      <c r="G1511" s="26" t="str">
        <f aca="false">IF(D1511="","",IFERROR(VALUE(LEFT(D1511,FIND(" |",D1511&amp;" |")-1)),"?"))</f>
        <v/>
      </c>
      <c r="H1511" s="27" t="str">
        <f aca="false">IF(G1511="","",IF(G1511="?","⚠ pub inconnue",IFERROR(INDEX(Pubs!$B$2:$B$3001,MATCH(G1511,Pubs!$A$2:$A$3001,0))&amp;"","⚠ pub inconnue")))</f>
        <v/>
      </c>
      <c r="I1511" s="27" t="str">
        <f aca="false">IF(OR(G1511="",G1511="?"),"",IFERROR(INDEX(Pubs!$C$2:$C$3001,MATCH(G1511,Pubs!$A$2:$A$3001,0))&amp;"",""))</f>
        <v/>
      </c>
      <c r="J1511" s="27" t="str">
        <f aca="false">IF(OR(G1511="",G1511="?"),"",IFERROR(INDEX(Pubs!$G$2:$G$3001,MATCH(G1511,Pubs!$A$2:$A$3001,0))&amp;"",""))</f>
        <v/>
      </c>
      <c r="K1511" s="28" t="str">
        <f aca="false">IF(OR(G1511="",G1511="?"),"",IFERROR(INDEX(Pubs!$E$2:$E$3001,MATCH(G1511,Pubs!$A$2:$A$3001,0)),""))</f>
        <v/>
      </c>
      <c r="L1511" s="29" t="str">
        <f aca="false">IF(A1511="","",IFERROR(1/(1/INDEX(Numéros!$C$2:$C$3001,MATCH(A1511&amp;"|"&amp;B1511,Numéros!$F$2:$F$3001,0))),""))</f>
        <v/>
      </c>
      <c r="M1511" s="27" t="str">
        <f aca="false">IF(OR(G1511="",G1511="?"),"",IFERROR(INDEX(Pubs!$D$2:$D$3001,MATCH(G1511,Pubs!$A$2:$A$3001,0))&amp;"",""))</f>
        <v/>
      </c>
      <c r="N1511" s="27" t="n">
        <f aca="false">N(N1510)+IF(AND(A1511&lt;&gt;"",OR(Recherche!$C$4="",A1511=Recherche!$C$4),OR(Recherche!$C$5="",B1511&amp;""=Recherche!$C$5&amp;""),OR(Recherche!$C$6="",IFERROR(YEAR(L1511),0)=Recherche!$C$6),OR(Recherche!$C$7="",ISNUMBER(SEARCH(Recherche!$C$7,H1511))),OR(Recherche!$C$8="",J1511=Recherche!$C$8),OR(Recherche!$C$9="",I1511=Recherche!$C$9),OR(Recherche!$C$10="",G1511&amp;""=Recherche!$C$10&amp;""),OR(Recherche!$C$11="",E1511=Recherche!$C$11),OR(Recherche!$C$12="",ISNUMBER(SEARCH(Recherche!$C$12,M1511&amp;" "&amp;F1511)))),1,0)</f>
        <v>8</v>
      </c>
    </row>
    <row r="1512" customFormat="false" ht="15" hidden="false" customHeight="false" outlineLevel="0" collapsed="false">
      <c r="A1512" s="19"/>
      <c r="B1512" s="19"/>
      <c r="C1512" s="19"/>
      <c r="D1512" s="19"/>
      <c r="E1512" s="22"/>
      <c r="F1512" s="19"/>
      <c r="G1512" s="26" t="str">
        <f aca="false">IF(D1512="","",IFERROR(VALUE(LEFT(D1512,FIND(" |",D1512&amp;" |")-1)),"?"))</f>
        <v/>
      </c>
      <c r="H1512" s="27" t="str">
        <f aca="false">IF(G1512="","",IF(G1512="?","⚠ pub inconnue",IFERROR(INDEX(Pubs!$B$2:$B$3001,MATCH(G1512,Pubs!$A$2:$A$3001,0))&amp;"","⚠ pub inconnue")))</f>
        <v/>
      </c>
      <c r="I1512" s="27" t="str">
        <f aca="false">IF(OR(G1512="",G1512="?"),"",IFERROR(INDEX(Pubs!$C$2:$C$3001,MATCH(G1512,Pubs!$A$2:$A$3001,0))&amp;"",""))</f>
        <v/>
      </c>
      <c r="J1512" s="27" t="str">
        <f aca="false">IF(OR(G1512="",G1512="?"),"",IFERROR(INDEX(Pubs!$G$2:$G$3001,MATCH(G1512,Pubs!$A$2:$A$3001,0))&amp;"",""))</f>
        <v/>
      </c>
      <c r="K1512" s="28" t="str">
        <f aca="false">IF(OR(G1512="",G1512="?"),"",IFERROR(INDEX(Pubs!$E$2:$E$3001,MATCH(G1512,Pubs!$A$2:$A$3001,0)),""))</f>
        <v/>
      </c>
      <c r="L1512" s="29" t="str">
        <f aca="false">IF(A1512="","",IFERROR(1/(1/INDEX(Numéros!$C$2:$C$3001,MATCH(A1512&amp;"|"&amp;B1512,Numéros!$F$2:$F$3001,0))),""))</f>
        <v/>
      </c>
      <c r="M1512" s="27" t="str">
        <f aca="false">IF(OR(G1512="",G1512="?"),"",IFERROR(INDEX(Pubs!$D$2:$D$3001,MATCH(G1512,Pubs!$A$2:$A$3001,0))&amp;"",""))</f>
        <v/>
      </c>
      <c r="N1512" s="27" t="n">
        <f aca="false">N(N1511)+IF(AND(A1512&lt;&gt;"",OR(Recherche!$C$4="",A1512=Recherche!$C$4),OR(Recherche!$C$5="",B1512&amp;""=Recherche!$C$5&amp;""),OR(Recherche!$C$6="",IFERROR(YEAR(L1512),0)=Recherche!$C$6),OR(Recherche!$C$7="",ISNUMBER(SEARCH(Recherche!$C$7,H1512))),OR(Recherche!$C$8="",J1512=Recherche!$C$8),OR(Recherche!$C$9="",I1512=Recherche!$C$9),OR(Recherche!$C$10="",G1512&amp;""=Recherche!$C$10&amp;""),OR(Recherche!$C$11="",E1512=Recherche!$C$11),OR(Recherche!$C$12="",ISNUMBER(SEARCH(Recherche!$C$12,M1512&amp;" "&amp;F1512)))),1,0)</f>
        <v>8</v>
      </c>
    </row>
    <row r="1513" customFormat="false" ht="15" hidden="false" customHeight="false" outlineLevel="0" collapsed="false">
      <c r="A1513" s="19"/>
      <c r="B1513" s="19"/>
      <c r="C1513" s="19"/>
      <c r="D1513" s="19"/>
      <c r="E1513" s="22"/>
      <c r="F1513" s="19"/>
      <c r="G1513" s="26" t="str">
        <f aca="false">IF(D1513="","",IFERROR(VALUE(LEFT(D1513,FIND(" |",D1513&amp;" |")-1)),"?"))</f>
        <v/>
      </c>
      <c r="H1513" s="27" t="str">
        <f aca="false">IF(G1513="","",IF(G1513="?","⚠ pub inconnue",IFERROR(INDEX(Pubs!$B$2:$B$3001,MATCH(G1513,Pubs!$A$2:$A$3001,0))&amp;"","⚠ pub inconnue")))</f>
        <v/>
      </c>
      <c r="I1513" s="27" t="str">
        <f aca="false">IF(OR(G1513="",G1513="?"),"",IFERROR(INDEX(Pubs!$C$2:$C$3001,MATCH(G1513,Pubs!$A$2:$A$3001,0))&amp;"",""))</f>
        <v/>
      </c>
      <c r="J1513" s="27" t="str">
        <f aca="false">IF(OR(G1513="",G1513="?"),"",IFERROR(INDEX(Pubs!$G$2:$G$3001,MATCH(G1513,Pubs!$A$2:$A$3001,0))&amp;"",""))</f>
        <v/>
      </c>
      <c r="K1513" s="28" t="str">
        <f aca="false">IF(OR(G1513="",G1513="?"),"",IFERROR(INDEX(Pubs!$E$2:$E$3001,MATCH(G1513,Pubs!$A$2:$A$3001,0)),""))</f>
        <v/>
      </c>
      <c r="L1513" s="29" t="str">
        <f aca="false">IF(A1513="","",IFERROR(1/(1/INDEX(Numéros!$C$2:$C$3001,MATCH(A1513&amp;"|"&amp;B1513,Numéros!$F$2:$F$3001,0))),""))</f>
        <v/>
      </c>
      <c r="M1513" s="27" t="str">
        <f aca="false">IF(OR(G1513="",G1513="?"),"",IFERROR(INDEX(Pubs!$D$2:$D$3001,MATCH(G1513,Pubs!$A$2:$A$3001,0))&amp;"",""))</f>
        <v/>
      </c>
      <c r="N1513" s="27" t="n">
        <f aca="false">N(N1512)+IF(AND(A1513&lt;&gt;"",OR(Recherche!$C$4="",A1513=Recherche!$C$4),OR(Recherche!$C$5="",B1513&amp;""=Recherche!$C$5&amp;""),OR(Recherche!$C$6="",IFERROR(YEAR(L1513),0)=Recherche!$C$6),OR(Recherche!$C$7="",ISNUMBER(SEARCH(Recherche!$C$7,H1513))),OR(Recherche!$C$8="",J1513=Recherche!$C$8),OR(Recherche!$C$9="",I1513=Recherche!$C$9),OR(Recherche!$C$10="",G1513&amp;""=Recherche!$C$10&amp;""),OR(Recherche!$C$11="",E1513=Recherche!$C$11),OR(Recherche!$C$12="",ISNUMBER(SEARCH(Recherche!$C$12,M1513&amp;" "&amp;F1513)))),1,0)</f>
        <v>8</v>
      </c>
    </row>
    <row r="1514" customFormat="false" ht="15" hidden="false" customHeight="false" outlineLevel="0" collapsed="false">
      <c r="A1514" s="19"/>
      <c r="B1514" s="19"/>
      <c r="C1514" s="19"/>
      <c r="D1514" s="19"/>
      <c r="E1514" s="22"/>
      <c r="F1514" s="19"/>
      <c r="G1514" s="26" t="str">
        <f aca="false">IF(D1514="","",IFERROR(VALUE(LEFT(D1514,FIND(" |",D1514&amp;" |")-1)),"?"))</f>
        <v/>
      </c>
      <c r="H1514" s="27" t="str">
        <f aca="false">IF(G1514="","",IF(G1514="?","⚠ pub inconnue",IFERROR(INDEX(Pubs!$B$2:$B$3001,MATCH(G1514,Pubs!$A$2:$A$3001,0))&amp;"","⚠ pub inconnue")))</f>
        <v/>
      </c>
      <c r="I1514" s="27" t="str">
        <f aca="false">IF(OR(G1514="",G1514="?"),"",IFERROR(INDEX(Pubs!$C$2:$C$3001,MATCH(G1514,Pubs!$A$2:$A$3001,0))&amp;"",""))</f>
        <v/>
      </c>
      <c r="J1514" s="27" t="str">
        <f aca="false">IF(OR(G1514="",G1514="?"),"",IFERROR(INDEX(Pubs!$G$2:$G$3001,MATCH(G1514,Pubs!$A$2:$A$3001,0))&amp;"",""))</f>
        <v/>
      </c>
      <c r="K1514" s="28" t="str">
        <f aca="false">IF(OR(G1514="",G1514="?"),"",IFERROR(INDEX(Pubs!$E$2:$E$3001,MATCH(G1514,Pubs!$A$2:$A$3001,0)),""))</f>
        <v/>
      </c>
      <c r="L1514" s="29" t="str">
        <f aca="false">IF(A1514="","",IFERROR(1/(1/INDEX(Numéros!$C$2:$C$3001,MATCH(A1514&amp;"|"&amp;B1514,Numéros!$F$2:$F$3001,0))),""))</f>
        <v/>
      </c>
      <c r="M1514" s="27" t="str">
        <f aca="false">IF(OR(G1514="",G1514="?"),"",IFERROR(INDEX(Pubs!$D$2:$D$3001,MATCH(G1514,Pubs!$A$2:$A$3001,0))&amp;"",""))</f>
        <v/>
      </c>
      <c r="N1514" s="27" t="n">
        <f aca="false">N(N1513)+IF(AND(A1514&lt;&gt;"",OR(Recherche!$C$4="",A1514=Recherche!$C$4),OR(Recherche!$C$5="",B1514&amp;""=Recherche!$C$5&amp;""),OR(Recherche!$C$6="",IFERROR(YEAR(L1514),0)=Recherche!$C$6),OR(Recherche!$C$7="",ISNUMBER(SEARCH(Recherche!$C$7,H1514))),OR(Recherche!$C$8="",J1514=Recherche!$C$8),OR(Recherche!$C$9="",I1514=Recherche!$C$9),OR(Recherche!$C$10="",G1514&amp;""=Recherche!$C$10&amp;""),OR(Recherche!$C$11="",E1514=Recherche!$C$11),OR(Recherche!$C$12="",ISNUMBER(SEARCH(Recherche!$C$12,M1514&amp;" "&amp;F1514)))),1,0)</f>
        <v>8</v>
      </c>
    </row>
    <row r="1515" customFormat="false" ht="15" hidden="false" customHeight="false" outlineLevel="0" collapsed="false">
      <c r="A1515" s="19"/>
      <c r="B1515" s="19"/>
      <c r="C1515" s="19"/>
      <c r="D1515" s="19"/>
      <c r="E1515" s="22"/>
      <c r="F1515" s="19"/>
      <c r="G1515" s="26" t="str">
        <f aca="false">IF(D1515="","",IFERROR(VALUE(LEFT(D1515,FIND(" |",D1515&amp;" |")-1)),"?"))</f>
        <v/>
      </c>
      <c r="H1515" s="27" t="str">
        <f aca="false">IF(G1515="","",IF(G1515="?","⚠ pub inconnue",IFERROR(INDEX(Pubs!$B$2:$B$3001,MATCH(G1515,Pubs!$A$2:$A$3001,0))&amp;"","⚠ pub inconnue")))</f>
        <v/>
      </c>
      <c r="I1515" s="27" t="str">
        <f aca="false">IF(OR(G1515="",G1515="?"),"",IFERROR(INDEX(Pubs!$C$2:$C$3001,MATCH(G1515,Pubs!$A$2:$A$3001,0))&amp;"",""))</f>
        <v/>
      </c>
      <c r="J1515" s="27" t="str">
        <f aca="false">IF(OR(G1515="",G1515="?"),"",IFERROR(INDEX(Pubs!$G$2:$G$3001,MATCH(G1515,Pubs!$A$2:$A$3001,0))&amp;"",""))</f>
        <v/>
      </c>
      <c r="K1515" s="28" t="str">
        <f aca="false">IF(OR(G1515="",G1515="?"),"",IFERROR(INDEX(Pubs!$E$2:$E$3001,MATCH(G1515,Pubs!$A$2:$A$3001,0)),""))</f>
        <v/>
      </c>
      <c r="L1515" s="29" t="str">
        <f aca="false">IF(A1515="","",IFERROR(1/(1/INDEX(Numéros!$C$2:$C$3001,MATCH(A1515&amp;"|"&amp;B1515,Numéros!$F$2:$F$3001,0))),""))</f>
        <v/>
      </c>
      <c r="M1515" s="27" t="str">
        <f aca="false">IF(OR(G1515="",G1515="?"),"",IFERROR(INDEX(Pubs!$D$2:$D$3001,MATCH(G1515,Pubs!$A$2:$A$3001,0))&amp;"",""))</f>
        <v/>
      </c>
      <c r="N1515" s="27" t="n">
        <f aca="false">N(N1514)+IF(AND(A1515&lt;&gt;"",OR(Recherche!$C$4="",A1515=Recherche!$C$4),OR(Recherche!$C$5="",B1515&amp;""=Recherche!$C$5&amp;""),OR(Recherche!$C$6="",IFERROR(YEAR(L1515),0)=Recherche!$C$6),OR(Recherche!$C$7="",ISNUMBER(SEARCH(Recherche!$C$7,H1515))),OR(Recherche!$C$8="",J1515=Recherche!$C$8),OR(Recherche!$C$9="",I1515=Recherche!$C$9),OR(Recherche!$C$10="",G1515&amp;""=Recherche!$C$10&amp;""),OR(Recherche!$C$11="",E1515=Recherche!$C$11),OR(Recherche!$C$12="",ISNUMBER(SEARCH(Recherche!$C$12,M1515&amp;" "&amp;F1515)))),1,0)</f>
        <v>8</v>
      </c>
    </row>
    <row r="1516" customFormat="false" ht="15" hidden="false" customHeight="false" outlineLevel="0" collapsed="false">
      <c r="A1516" s="19"/>
      <c r="B1516" s="19"/>
      <c r="C1516" s="19"/>
      <c r="D1516" s="19"/>
      <c r="E1516" s="22"/>
      <c r="F1516" s="19"/>
      <c r="G1516" s="26" t="str">
        <f aca="false">IF(D1516="","",IFERROR(VALUE(LEFT(D1516,FIND(" |",D1516&amp;" |")-1)),"?"))</f>
        <v/>
      </c>
      <c r="H1516" s="27" t="str">
        <f aca="false">IF(G1516="","",IF(G1516="?","⚠ pub inconnue",IFERROR(INDEX(Pubs!$B$2:$B$3001,MATCH(G1516,Pubs!$A$2:$A$3001,0))&amp;"","⚠ pub inconnue")))</f>
        <v/>
      </c>
      <c r="I1516" s="27" t="str">
        <f aca="false">IF(OR(G1516="",G1516="?"),"",IFERROR(INDEX(Pubs!$C$2:$C$3001,MATCH(G1516,Pubs!$A$2:$A$3001,0))&amp;"",""))</f>
        <v/>
      </c>
      <c r="J1516" s="27" t="str">
        <f aca="false">IF(OR(G1516="",G1516="?"),"",IFERROR(INDEX(Pubs!$G$2:$G$3001,MATCH(G1516,Pubs!$A$2:$A$3001,0))&amp;"",""))</f>
        <v/>
      </c>
      <c r="K1516" s="28" t="str">
        <f aca="false">IF(OR(G1516="",G1516="?"),"",IFERROR(INDEX(Pubs!$E$2:$E$3001,MATCH(G1516,Pubs!$A$2:$A$3001,0)),""))</f>
        <v/>
      </c>
      <c r="L1516" s="29" t="str">
        <f aca="false">IF(A1516="","",IFERROR(1/(1/INDEX(Numéros!$C$2:$C$3001,MATCH(A1516&amp;"|"&amp;B1516,Numéros!$F$2:$F$3001,0))),""))</f>
        <v/>
      </c>
      <c r="M1516" s="27" t="str">
        <f aca="false">IF(OR(G1516="",G1516="?"),"",IFERROR(INDEX(Pubs!$D$2:$D$3001,MATCH(G1516,Pubs!$A$2:$A$3001,0))&amp;"",""))</f>
        <v/>
      </c>
      <c r="N1516" s="27" t="n">
        <f aca="false">N(N1515)+IF(AND(A1516&lt;&gt;"",OR(Recherche!$C$4="",A1516=Recherche!$C$4),OR(Recherche!$C$5="",B1516&amp;""=Recherche!$C$5&amp;""),OR(Recherche!$C$6="",IFERROR(YEAR(L1516),0)=Recherche!$C$6),OR(Recherche!$C$7="",ISNUMBER(SEARCH(Recherche!$C$7,H1516))),OR(Recherche!$C$8="",J1516=Recherche!$C$8),OR(Recherche!$C$9="",I1516=Recherche!$C$9),OR(Recherche!$C$10="",G1516&amp;""=Recherche!$C$10&amp;""),OR(Recherche!$C$11="",E1516=Recherche!$C$11),OR(Recherche!$C$12="",ISNUMBER(SEARCH(Recherche!$C$12,M1516&amp;" "&amp;F1516)))),1,0)</f>
        <v>8</v>
      </c>
    </row>
    <row r="1517" customFormat="false" ht="15" hidden="false" customHeight="false" outlineLevel="0" collapsed="false">
      <c r="A1517" s="19"/>
      <c r="B1517" s="19"/>
      <c r="C1517" s="19"/>
      <c r="D1517" s="19"/>
      <c r="E1517" s="22"/>
      <c r="F1517" s="19"/>
      <c r="G1517" s="26" t="str">
        <f aca="false">IF(D1517="","",IFERROR(VALUE(LEFT(D1517,FIND(" |",D1517&amp;" |")-1)),"?"))</f>
        <v/>
      </c>
      <c r="H1517" s="27" t="str">
        <f aca="false">IF(G1517="","",IF(G1517="?","⚠ pub inconnue",IFERROR(INDEX(Pubs!$B$2:$B$3001,MATCH(G1517,Pubs!$A$2:$A$3001,0))&amp;"","⚠ pub inconnue")))</f>
        <v/>
      </c>
      <c r="I1517" s="27" t="str">
        <f aca="false">IF(OR(G1517="",G1517="?"),"",IFERROR(INDEX(Pubs!$C$2:$C$3001,MATCH(G1517,Pubs!$A$2:$A$3001,0))&amp;"",""))</f>
        <v/>
      </c>
      <c r="J1517" s="27" t="str">
        <f aca="false">IF(OR(G1517="",G1517="?"),"",IFERROR(INDEX(Pubs!$G$2:$G$3001,MATCH(G1517,Pubs!$A$2:$A$3001,0))&amp;"",""))</f>
        <v/>
      </c>
      <c r="K1517" s="28" t="str">
        <f aca="false">IF(OR(G1517="",G1517="?"),"",IFERROR(INDEX(Pubs!$E$2:$E$3001,MATCH(G1517,Pubs!$A$2:$A$3001,0)),""))</f>
        <v/>
      </c>
      <c r="L1517" s="29" t="str">
        <f aca="false">IF(A1517="","",IFERROR(1/(1/INDEX(Numéros!$C$2:$C$3001,MATCH(A1517&amp;"|"&amp;B1517,Numéros!$F$2:$F$3001,0))),""))</f>
        <v/>
      </c>
      <c r="M1517" s="27" t="str">
        <f aca="false">IF(OR(G1517="",G1517="?"),"",IFERROR(INDEX(Pubs!$D$2:$D$3001,MATCH(G1517,Pubs!$A$2:$A$3001,0))&amp;"",""))</f>
        <v/>
      </c>
      <c r="N1517" s="27" t="n">
        <f aca="false">N(N1516)+IF(AND(A1517&lt;&gt;"",OR(Recherche!$C$4="",A1517=Recherche!$C$4),OR(Recherche!$C$5="",B1517&amp;""=Recherche!$C$5&amp;""),OR(Recherche!$C$6="",IFERROR(YEAR(L1517),0)=Recherche!$C$6),OR(Recherche!$C$7="",ISNUMBER(SEARCH(Recherche!$C$7,H1517))),OR(Recherche!$C$8="",J1517=Recherche!$C$8),OR(Recherche!$C$9="",I1517=Recherche!$C$9),OR(Recherche!$C$10="",G1517&amp;""=Recherche!$C$10&amp;""),OR(Recherche!$C$11="",E1517=Recherche!$C$11),OR(Recherche!$C$12="",ISNUMBER(SEARCH(Recherche!$C$12,M1517&amp;" "&amp;F1517)))),1,0)</f>
        <v>8</v>
      </c>
    </row>
    <row r="1518" customFormat="false" ht="15" hidden="false" customHeight="false" outlineLevel="0" collapsed="false">
      <c r="A1518" s="19"/>
      <c r="B1518" s="19"/>
      <c r="C1518" s="19"/>
      <c r="D1518" s="19"/>
      <c r="E1518" s="22"/>
      <c r="F1518" s="19"/>
      <c r="G1518" s="26" t="str">
        <f aca="false">IF(D1518="","",IFERROR(VALUE(LEFT(D1518,FIND(" |",D1518&amp;" |")-1)),"?"))</f>
        <v/>
      </c>
      <c r="H1518" s="27" t="str">
        <f aca="false">IF(G1518="","",IF(G1518="?","⚠ pub inconnue",IFERROR(INDEX(Pubs!$B$2:$B$3001,MATCH(G1518,Pubs!$A$2:$A$3001,0))&amp;"","⚠ pub inconnue")))</f>
        <v/>
      </c>
      <c r="I1518" s="27" t="str">
        <f aca="false">IF(OR(G1518="",G1518="?"),"",IFERROR(INDEX(Pubs!$C$2:$C$3001,MATCH(G1518,Pubs!$A$2:$A$3001,0))&amp;"",""))</f>
        <v/>
      </c>
      <c r="J1518" s="27" t="str">
        <f aca="false">IF(OR(G1518="",G1518="?"),"",IFERROR(INDEX(Pubs!$G$2:$G$3001,MATCH(G1518,Pubs!$A$2:$A$3001,0))&amp;"",""))</f>
        <v/>
      </c>
      <c r="K1518" s="28" t="str">
        <f aca="false">IF(OR(G1518="",G1518="?"),"",IFERROR(INDEX(Pubs!$E$2:$E$3001,MATCH(G1518,Pubs!$A$2:$A$3001,0)),""))</f>
        <v/>
      </c>
      <c r="L1518" s="29" t="str">
        <f aca="false">IF(A1518="","",IFERROR(1/(1/INDEX(Numéros!$C$2:$C$3001,MATCH(A1518&amp;"|"&amp;B1518,Numéros!$F$2:$F$3001,0))),""))</f>
        <v/>
      </c>
      <c r="M1518" s="27" t="str">
        <f aca="false">IF(OR(G1518="",G1518="?"),"",IFERROR(INDEX(Pubs!$D$2:$D$3001,MATCH(G1518,Pubs!$A$2:$A$3001,0))&amp;"",""))</f>
        <v/>
      </c>
      <c r="N1518" s="27" t="n">
        <f aca="false">N(N1517)+IF(AND(A1518&lt;&gt;"",OR(Recherche!$C$4="",A1518=Recherche!$C$4),OR(Recherche!$C$5="",B1518&amp;""=Recherche!$C$5&amp;""),OR(Recherche!$C$6="",IFERROR(YEAR(L1518),0)=Recherche!$C$6),OR(Recherche!$C$7="",ISNUMBER(SEARCH(Recherche!$C$7,H1518))),OR(Recherche!$C$8="",J1518=Recherche!$C$8),OR(Recherche!$C$9="",I1518=Recherche!$C$9),OR(Recherche!$C$10="",G1518&amp;""=Recherche!$C$10&amp;""),OR(Recherche!$C$11="",E1518=Recherche!$C$11),OR(Recherche!$C$12="",ISNUMBER(SEARCH(Recherche!$C$12,M1518&amp;" "&amp;F1518)))),1,0)</f>
        <v>8</v>
      </c>
    </row>
    <row r="1519" customFormat="false" ht="15" hidden="false" customHeight="false" outlineLevel="0" collapsed="false">
      <c r="A1519" s="19"/>
      <c r="B1519" s="19"/>
      <c r="C1519" s="19"/>
      <c r="D1519" s="19"/>
      <c r="E1519" s="22"/>
      <c r="F1519" s="19"/>
      <c r="G1519" s="26" t="str">
        <f aca="false">IF(D1519="","",IFERROR(VALUE(LEFT(D1519,FIND(" |",D1519&amp;" |")-1)),"?"))</f>
        <v/>
      </c>
      <c r="H1519" s="27" t="str">
        <f aca="false">IF(G1519="","",IF(G1519="?","⚠ pub inconnue",IFERROR(INDEX(Pubs!$B$2:$B$3001,MATCH(G1519,Pubs!$A$2:$A$3001,0))&amp;"","⚠ pub inconnue")))</f>
        <v/>
      </c>
      <c r="I1519" s="27" t="str">
        <f aca="false">IF(OR(G1519="",G1519="?"),"",IFERROR(INDEX(Pubs!$C$2:$C$3001,MATCH(G1519,Pubs!$A$2:$A$3001,0))&amp;"",""))</f>
        <v/>
      </c>
      <c r="J1519" s="27" t="str">
        <f aca="false">IF(OR(G1519="",G1519="?"),"",IFERROR(INDEX(Pubs!$G$2:$G$3001,MATCH(G1519,Pubs!$A$2:$A$3001,0))&amp;"",""))</f>
        <v/>
      </c>
      <c r="K1519" s="28" t="str">
        <f aca="false">IF(OR(G1519="",G1519="?"),"",IFERROR(INDEX(Pubs!$E$2:$E$3001,MATCH(G1519,Pubs!$A$2:$A$3001,0)),""))</f>
        <v/>
      </c>
      <c r="L1519" s="29" t="str">
        <f aca="false">IF(A1519="","",IFERROR(1/(1/INDEX(Numéros!$C$2:$C$3001,MATCH(A1519&amp;"|"&amp;B1519,Numéros!$F$2:$F$3001,0))),""))</f>
        <v/>
      </c>
      <c r="M1519" s="27" t="str">
        <f aca="false">IF(OR(G1519="",G1519="?"),"",IFERROR(INDEX(Pubs!$D$2:$D$3001,MATCH(G1519,Pubs!$A$2:$A$3001,0))&amp;"",""))</f>
        <v/>
      </c>
      <c r="N1519" s="27" t="n">
        <f aca="false">N(N1518)+IF(AND(A1519&lt;&gt;"",OR(Recherche!$C$4="",A1519=Recherche!$C$4),OR(Recherche!$C$5="",B1519&amp;""=Recherche!$C$5&amp;""),OR(Recherche!$C$6="",IFERROR(YEAR(L1519),0)=Recherche!$C$6),OR(Recherche!$C$7="",ISNUMBER(SEARCH(Recherche!$C$7,H1519))),OR(Recherche!$C$8="",J1519=Recherche!$C$8),OR(Recherche!$C$9="",I1519=Recherche!$C$9),OR(Recherche!$C$10="",G1519&amp;""=Recherche!$C$10&amp;""),OR(Recherche!$C$11="",E1519=Recherche!$C$11),OR(Recherche!$C$12="",ISNUMBER(SEARCH(Recherche!$C$12,M1519&amp;" "&amp;F1519)))),1,0)</f>
        <v>8</v>
      </c>
    </row>
    <row r="1520" customFormat="false" ht="15" hidden="false" customHeight="false" outlineLevel="0" collapsed="false">
      <c r="A1520" s="19"/>
      <c r="B1520" s="19"/>
      <c r="C1520" s="19"/>
      <c r="D1520" s="19"/>
      <c r="E1520" s="22"/>
      <c r="F1520" s="19"/>
      <c r="G1520" s="26" t="str">
        <f aca="false">IF(D1520="","",IFERROR(VALUE(LEFT(D1520,FIND(" |",D1520&amp;" |")-1)),"?"))</f>
        <v/>
      </c>
      <c r="H1520" s="27" t="str">
        <f aca="false">IF(G1520="","",IF(G1520="?","⚠ pub inconnue",IFERROR(INDEX(Pubs!$B$2:$B$3001,MATCH(G1520,Pubs!$A$2:$A$3001,0))&amp;"","⚠ pub inconnue")))</f>
        <v/>
      </c>
      <c r="I1520" s="27" t="str">
        <f aca="false">IF(OR(G1520="",G1520="?"),"",IFERROR(INDEX(Pubs!$C$2:$C$3001,MATCH(G1520,Pubs!$A$2:$A$3001,0))&amp;"",""))</f>
        <v/>
      </c>
      <c r="J1520" s="27" t="str">
        <f aca="false">IF(OR(G1520="",G1520="?"),"",IFERROR(INDEX(Pubs!$G$2:$G$3001,MATCH(G1520,Pubs!$A$2:$A$3001,0))&amp;"",""))</f>
        <v/>
      </c>
      <c r="K1520" s="28" t="str">
        <f aca="false">IF(OR(G1520="",G1520="?"),"",IFERROR(INDEX(Pubs!$E$2:$E$3001,MATCH(G1520,Pubs!$A$2:$A$3001,0)),""))</f>
        <v/>
      </c>
      <c r="L1520" s="29" t="str">
        <f aca="false">IF(A1520="","",IFERROR(1/(1/INDEX(Numéros!$C$2:$C$3001,MATCH(A1520&amp;"|"&amp;B1520,Numéros!$F$2:$F$3001,0))),""))</f>
        <v/>
      </c>
      <c r="M1520" s="27" t="str">
        <f aca="false">IF(OR(G1520="",G1520="?"),"",IFERROR(INDEX(Pubs!$D$2:$D$3001,MATCH(G1520,Pubs!$A$2:$A$3001,0))&amp;"",""))</f>
        <v/>
      </c>
      <c r="N1520" s="27" t="n">
        <f aca="false">N(N1519)+IF(AND(A1520&lt;&gt;"",OR(Recherche!$C$4="",A1520=Recherche!$C$4),OR(Recherche!$C$5="",B1520&amp;""=Recherche!$C$5&amp;""),OR(Recherche!$C$6="",IFERROR(YEAR(L1520),0)=Recherche!$C$6),OR(Recherche!$C$7="",ISNUMBER(SEARCH(Recherche!$C$7,H1520))),OR(Recherche!$C$8="",J1520=Recherche!$C$8),OR(Recherche!$C$9="",I1520=Recherche!$C$9),OR(Recherche!$C$10="",G1520&amp;""=Recherche!$C$10&amp;""),OR(Recherche!$C$11="",E1520=Recherche!$C$11),OR(Recherche!$C$12="",ISNUMBER(SEARCH(Recherche!$C$12,M1520&amp;" "&amp;F1520)))),1,0)</f>
        <v>8</v>
      </c>
    </row>
    <row r="1521" customFormat="false" ht="15" hidden="false" customHeight="false" outlineLevel="0" collapsed="false">
      <c r="A1521" s="19"/>
      <c r="B1521" s="19"/>
      <c r="C1521" s="19"/>
      <c r="D1521" s="19"/>
      <c r="E1521" s="22"/>
      <c r="F1521" s="19"/>
      <c r="G1521" s="26" t="str">
        <f aca="false">IF(D1521="","",IFERROR(VALUE(LEFT(D1521,FIND(" |",D1521&amp;" |")-1)),"?"))</f>
        <v/>
      </c>
      <c r="H1521" s="27" t="str">
        <f aca="false">IF(G1521="","",IF(G1521="?","⚠ pub inconnue",IFERROR(INDEX(Pubs!$B$2:$B$3001,MATCH(G1521,Pubs!$A$2:$A$3001,0))&amp;"","⚠ pub inconnue")))</f>
        <v/>
      </c>
      <c r="I1521" s="27" t="str">
        <f aca="false">IF(OR(G1521="",G1521="?"),"",IFERROR(INDEX(Pubs!$C$2:$C$3001,MATCH(G1521,Pubs!$A$2:$A$3001,0))&amp;"",""))</f>
        <v/>
      </c>
      <c r="J1521" s="27" t="str">
        <f aca="false">IF(OR(G1521="",G1521="?"),"",IFERROR(INDEX(Pubs!$G$2:$G$3001,MATCH(G1521,Pubs!$A$2:$A$3001,0))&amp;"",""))</f>
        <v/>
      </c>
      <c r="K1521" s="28" t="str">
        <f aca="false">IF(OR(G1521="",G1521="?"),"",IFERROR(INDEX(Pubs!$E$2:$E$3001,MATCH(G1521,Pubs!$A$2:$A$3001,0)),""))</f>
        <v/>
      </c>
      <c r="L1521" s="29" t="str">
        <f aca="false">IF(A1521="","",IFERROR(1/(1/INDEX(Numéros!$C$2:$C$3001,MATCH(A1521&amp;"|"&amp;B1521,Numéros!$F$2:$F$3001,0))),""))</f>
        <v/>
      </c>
      <c r="M1521" s="27" t="str">
        <f aca="false">IF(OR(G1521="",G1521="?"),"",IFERROR(INDEX(Pubs!$D$2:$D$3001,MATCH(G1521,Pubs!$A$2:$A$3001,0))&amp;"",""))</f>
        <v/>
      </c>
      <c r="N1521" s="27" t="n">
        <f aca="false">N(N1520)+IF(AND(A1521&lt;&gt;"",OR(Recherche!$C$4="",A1521=Recherche!$C$4),OR(Recherche!$C$5="",B1521&amp;""=Recherche!$C$5&amp;""),OR(Recherche!$C$6="",IFERROR(YEAR(L1521),0)=Recherche!$C$6),OR(Recherche!$C$7="",ISNUMBER(SEARCH(Recherche!$C$7,H1521))),OR(Recherche!$C$8="",J1521=Recherche!$C$8),OR(Recherche!$C$9="",I1521=Recherche!$C$9),OR(Recherche!$C$10="",G1521&amp;""=Recherche!$C$10&amp;""),OR(Recherche!$C$11="",E1521=Recherche!$C$11),OR(Recherche!$C$12="",ISNUMBER(SEARCH(Recherche!$C$12,M1521&amp;" "&amp;F1521)))),1,0)</f>
        <v>8</v>
      </c>
    </row>
    <row r="1522" customFormat="false" ht="15" hidden="false" customHeight="false" outlineLevel="0" collapsed="false">
      <c r="A1522" s="19"/>
      <c r="B1522" s="19"/>
      <c r="C1522" s="19"/>
      <c r="D1522" s="19"/>
      <c r="E1522" s="22"/>
      <c r="F1522" s="19"/>
      <c r="G1522" s="26" t="str">
        <f aca="false">IF(D1522="","",IFERROR(VALUE(LEFT(D1522,FIND(" |",D1522&amp;" |")-1)),"?"))</f>
        <v/>
      </c>
      <c r="H1522" s="27" t="str">
        <f aca="false">IF(G1522="","",IF(G1522="?","⚠ pub inconnue",IFERROR(INDEX(Pubs!$B$2:$B$3001,MATCH(G1522,Pubs!$A$2:$A$3001,0))&amp;"","⚠ pub inconnue")))</f>
        <v/>
      </c>
      <c r="I1522" s="27" t="str">
        <f aca="false">IF(OR(G1522="",G1522="?"),"",IFERROR(INDEX(Pubs!$C$2:$C$3001,MATCH(G1522,Pubs!$A$2:$A$3001,0))&amp;"",""))</f>
        <v/>
      </c>
      <c r="J1522" s="27" t="str">
        <f aca="false">IF(OR(G1522="",G1522="?"),"",IFERROR(INDEX(Pubs!$G$2:$G$3001,MATCH(G1522,Pubs!$A$2:$A$3001,0))&amp;"",""))</f>
        <v/>
      </c>
      <c r="K1522" s="28" t="str">
        <f aca="false">IF(OR(G1522="",G1522="?"),"",IFERROR(INDEX(Pubs!$E$2:$E$3001,MATCH(G1522,Pubs!$A$2:$A$3001,0)),""))</f>
        <v/>
      </c>
      <c r="L1522" s="29" t="str">
        <f aca="false">IF(A1522="","",IFERROR(1/(1/INDEX(Numéros!$C$2:$C$3001,MATCH(A1522&amp;"|"&amp;B1522,Numéros!$F$2:$F$3001,0))),""))</f>
        <v/>
      </c>
      <c r="M1522" s="27" t="str">
        <f aca="false">IF(OR(G1522="",G1522="?"),"",IFERROR(INDEX(Pubs!$D$2:$D$3001,MATCH(G1522,Pubs!$A$2:$A$3001,0))&amp;"",""))</f>
        <v/>
      </c>
      <c r="N1522" s="27" t="n">
        <f aca="false">N(N1521)+IF(AND(A1522&lt;&gt;"",OR(Recherche!$C$4="",A1522=Recherche!$C$4),OR(Recherche!$C$5="",B1522&amp;""=Recherche!$C$5&amp;""),OR(Recherche!$C$6="",IFERROR(YEAR(L1522),0)=Recherche!$C$6),OR(Recherche!$C$7="",ISNUMBER(SEARCH(Recherche!$C$7,H1522))),OR(Recherche!$C$8="",J1522=Recherche!$C$8),OR(Recherche!$C$9="",I1522=Recherche!$C$9),OR(Recherche!$C$10="",G1522&amp;""=Recherche!$C$10&amp;""),OR(Recherche!$C$11="",E1522=Recherche!$C$11),OR(Recherche!$C$12="",ISNUMBER(SEARCH(Recherche!$C$12,M1522&amp;" "&amp;F1522)))),1,0)</f>
        <v>8</v>
      </c>
    </row>
    <row r="1523" customFormat="false" ht="15" hidden="false" customHeight="false" outlineLevel="0" collapsed="false">
      <c r="A1523" s="19"/>
      <c r="B1523" s="19"/>
      <c r="C1523" s="19"/>
      <c r="D1523" s="19"/>
      <c r="E1523" s="22"/>
      <c r="F1523" s="19"/>
      <c r="G1523" s="26" t="str">
        <f aca="false">IF(D1523="","",IFERROR(VALUE(LEFT(D1523,FIND(" |",D1523&amp;" |")-1)),"?"))</f>
        <v/>
      </c>
      <c r="H1523" s="27" t="str">
        <f aca="false">IF(G1523="","",IF(G1523="?","⚠ pub inconnue",IFERROR(INDEX(Pubs!$B$2:$B$3001,MATCH(G1523,Pubs!$A$2:$A$3001,0))&amp;"","⚠ pub inconnue")))</f>
        <v/>
      </c>
      <c r="I1523" s="27" t="str">
        <f aca="false">IF(OR(G1523="",G1523="?"),"",IFERROR(INDEX(Pubs!$C$2:$C$3001,MATCH(G1523,Pubs!$A$2:$A$3001,0))&amp;"",""))</f>
        <v/>
      </c>
      <c r="J1523" s="27" t="str">
        <f aca="false">IF(OR(G1523="",G1523="?"),"",IFERROR(INDEX(Pubs!$G$2:$G$3001,MATCH(G1523,Pubs!$A$2:$A$3001,0))&amp;"",""))</f>
        <v/>
      </c>
      <c r="K1523" s="28" t="str">
        <f aca="false">IF(OR(G1523="",G1523="?"),"",IFERROR(INDEX(Pubs!$E$2:$E$3001,MATCH(G1523,Pubs!$A$2:$A$3001,0)),""))</f>
        <v/>
      </c>
      <c r="L1523" s="29" t="str">
        <f aca="false">IF(A1523="","",IFERROR(1/(1/INDEX(Numéros!$C$2:$C$3001,MATCH(A1523&amp;"|"&amp;B1523,Numéros!$F$2:$F$3001,0))),""))</f>
        <v/>
      </c>
      <c r="M1523" s="27" t="str">
        <f aca="false">IF(OR(G1523="",G1523="?"),"",IFERROR(INDEX(Pubs!$D$2:$D$3001,MATCH(G1523,Pubs!$A$2:$A$3001,0))&amp;"",""))</f>
        <v/>
      </c>
      <c r="N1523" s="27" t="n">
        <f aca="false">N(N1522)+IF(AND(A1523&lt;&gt;"",OR(Recherche!$C$4="",A1523=Recherche!$C$4),OR(Recherche!$C$5="",B1523&amp;""=Recherche!$C$5&amp;""),OR(Recherche!$C$6="",IFERROR(YEAR(L1523),0)=Recherche!$C$6),OR(Recherche!$C$7="",ISNUMBER(SEARCH(Recherche!$C$7,H1523))),OR(Recherche!$C$8="",J1523=Recherche!$C$8),OR(Recherche!$C$9="",I1523=Recherche!$C$9),OR(Recherche!$C$10="",G1523&amp;""=Recherche!$C$10&amp;""),OR(Recherche!$C$11="",E1523=Recherche!$C$11),OR(Recherche!$C$12="",ISNUMBER(SEARCH(Recherche!$C$12,M1523&amp;" "&amp;F1523)))),1,0)</f>
        <v>8</v>
      </c>
    </row>
    <row r="1524" customFormat="false" ht="15" hidden="false" customHeight="false" outlineLevel="0" collapsed="false">
      <c r="A1524" s="19"/>
      <c r="B1524" s="19"/>
      <c r="C1524" s="19"/>
      <c r="D1524" s="19"/>
      <c r="E1524" s="22"/>
      <c r="F1524" s="19"/>
      <c r="G1524" s="26" t="str">
        <f aca="false">IF(D1524="","",IFERROR(VALUE(LEFT(D1524,FIND(" |",D1524&amp;" |")-1)),"?"))</f>
        <v/>
      </c>
      <c r="H1524" s="27" t="str">
        <f aca="false">IF(G1524="","",IF(G1524="?","⚠ pub inconnue",IFERROR(INDEX(Pubs!$B$2:$B$3001,MATCH(G1524,Pubs!$A$2:$A$3001,0))&amp;"","⚠ pub inconnue")))</f>
        <v/>
      </c>
      <c r="I1524" s="27" t="str">
        <f aca="false">IF(OR(G1524="",G1524="?"),"",IFERROR(INDEX(Pubs!$C$2:$C$3001,MATCH(G1524,Pubs!$A$2:$A$3001,0))&amp;"",""))</f>
        <v/>
      </c>
      <c r="J1524" s="27" t="str">
        <f aca="false">IF(OR(G1524="",G1524="?"),"",IFERROR(INDEX(Pubs!$G$2:$G$3001,MATCH(G1524,Pubs!$A$2:$A$3001,0))&amp;"",""))</f>
        <v/>
      </c>
      <c r="K1524" s="28" t="str">
        <f aca="false">IF(OR(G1524="",G1524="?"),"",IFERROR(INDEX(Pubs!$E$2:$E$3001,MATCH(G1524,Pubs!$A$2:$A$3001,0)),""))</f>
        <v/>
      </c>
      <c r="L1524" s="29" t="str">
        <f aca="false">IF(A1524="","",IFERROR(1/(1/INDEX(Numéros!$C$2:$C$3001,MATCH(A1524&amp;"|"&amp;B1524,Numéros!$F$2:$F$3001,0))),""))</f>
        <v/>
      </c>
      <c r="M1524" s="27" t="str">
        <f aca="false">IF(OR(G1524="",G1524="?"),"",IFERROR(INDEX(Pubs!$D$2:$D$3001,MATCH(G1524,Pubs!$A$2:$A$3001,0))&amp;"",""))</f>
        <v/>
      </c>
      <c r="N1524" s="27" t="n">
        <f aca="false">N(N1523)+IF(AND(A1524&lt;&gt;"",OR(Recherche!$C$4="",A1524=Recherche!$C$4),OR(Recherche!$C$5="",B1524&amp;""=Recherche!$C$5&amp;""),OR(Recherche!$C$6="",IFERROR(YEAR(L1524),0)=Recherche!$C$6),OR(Recherche!$C$7="",ISNUMBER(SEARCH(Recherche!$C$7,H1524))),OR(Recherche!$C$8="",J1524=Recherche!$C$8),OR(Recherche!$C$9="",I1524=Recherche!$C$9),OR(Recherche!$C$10="",G1524&amp;""=Recherche!$C$10&amp;""),OR(Recherche!$C$11="",E1524=Recherche!$C$11),OR(Recherche!$C$12="",ISNUMBER(SEARCH(Recherche!$C$12,M1524&amp;" "&amp;F1524)))),1,0)</f>
        <v>8</v>
      </c>
    </row>
    <row r="1525" customFormat="false" ht="15" hidden="false" customHeight="false" outlineLevel="0" collapsed="false">
      <c r="A1525" s="19"/>
      <c r="B1525" s="19"/>
      <c r="C1525" s="19"/>
      <c r="D1525" s="19"/>
      <c r="E1525" s="22"/>
      <c r="F1525" s="19"/>
      <c r="G1525" s="26" t="str">
        <f aca="false">IF(D1525="","",IFERROR(VALUE(LEFT(D1525,FIND(" |",D1525&amp;" |")-1)),"?"))</f>
        <v/>
      </c>
      <c r="H1525" s="27" t="str">
        <f aca="false">IF(G1525="","",IF(G1525="?","⚠ pub inconnue",IFERROR(INDEX(Pubs!$B$2:$B$3001,MATCH(G1525,Pubs!$A$2:$A$3001,0))&amp;"","⚠ pub inconnue")))</f>
        <v/>
      </c>
      <c r="I1525" s="27" t="str">
        <f aca="false">IF(OR(G1525="",G1525="?"),"",IFERROR(INDEX(Pubs!$C$2:$C$3001,MATCH(G1525,Pubs!$A$2:$A$3001,0))&amp;"",""))</f>
        <v/>
      </c>
      <c r="J1525" s="27" t="str">
        <f aca="false">IF(OR(G1525="",G1525="?"),"",IFERROR(INDEX(Pubs!$G$2:$G$3001,MATCH(G1525,Pubs!$A$2:$A$3001,0))&amp;"",""))</f>
        <v/>
      </c>
      <c r="K1525" s="28" t="str">
        <f aca="false">IF(OR(G1525="",G1525="?"),"",IFERROR(INDEX(Pubs!$E$2:$E$3001,MATCH(G1525,Pubs!$A$2:$A$3001,0)),""))</f>
        <v/>
      </c>
      <c r="L1525" s="29" t="str">
        <f aca="false">IF(A1525="","",IFERROR(1/(1/INDEX(Numéros!$C$2:$C$3001,MATCH(A1525&amp;"|"&amp;B1525,Numéros!$F$2:$F$3001,0))),""))</f>
        <v/>
      </c>
      <c r="M1525" s="27" t="str">
        <f aca="false">IF(OR(G1525="",G1525="?"),"",IFERROR(INDEX(Pubs!$D$2:$D$3001,MATCH(G1525,Pubs!$A$2:$A$3001,0))&amp;"",""))</f>
        <v/>
      </c>
      <c r="N1525" s="27" t="n">
        <f aca="false">N(N1524)+IF(AND(A1525&lt;&gt;"",OR(Recherche!$C$4="",A1525=Recherche!$C$4),OR(Recherche!$C$5="",B1525&amp;""=Recherche!$C$5&amp;""),OR(Recherche!$C$6="",IFERROR(YEAR(L1525),0)=Recherche!$C$6),OR(Recherche!$C$7="",ISNUMBER(SEARCH(Recherche!$C$7,H1525))),OR(Recherche!$C$8="",J1525=Recherche!$C$8),OR(Recherche!$C$9="",I1525=Recherche!$C$9),OR(Recherche!$C$10="",G1525&amp;""=Recherche!$C$10&amp;""),OR(Recherche!$C$11="",E1525=Recherche!$C$11),OR(Recherche!$C$12="",ISNUMBER(SEARCH(Recherche!$C$12,M1525&amp;" "&amp;F1525)))),1,0)</f>
        <v>8</v>
      </c>
    </row>
    <row r="1526" customFormat="false" ht="15" hidden="false" customHeight="false" outlineLevel="0" collapsed="false">
      <c r="A1526" s="19"/>
      <c r="B1526" s="19"/>
      <c r="C1526" s="19"/>
      <c r="D1526" s="19"/>
      <c r="E1526" s="22"/>
      <c r="F1526" s="19"/>
      <c r="G1526" s="26" t="str">
        <f aca="false">IF(D1526="","",IFERROR(VALUE(LEFT(D1526,FIND(" |",D1526&amp;" |")-1)),"?"))</f>
        <v/>
      </c>
      <c r="H1526" s="27" t="str">
        <f aca="false">IF(G1526="","",IF(G1526="?","⚠ pub inconnue",IFERROR(INDEX(Pubs!$B$2:$B$3001,MATCH(G1526,Pubs!$A$2:$A$3001,0))&amp;"","⚠ pub inconnue")))</f>
        <v/>
      </c>
      <c r="I1526" s="27" t="str">
        <f aca="false">IF(OR(G1526="",G1526="?"),"",IFERROR(INDEX(Pubs!$C$2:$C$3001,MATCH(G1526,Pubs!$A$2:$A$3001,0))&amp;"",""))</f>
        <v/>
      </c>
      <c r="J1526" s="27" t="str">
        <f aca="false">IF(OR(G1526="",G1526="?"),"",IFERROR(INDEX(Pubs!$G$2:$G$3001,MATCH(G1526,Pubs!$A$2:$A$3001,0))&amp;"",""))</f>
        <v/>
      </c>
      <c r="K1526" s="28" t="str">
        <f aca="false">IF(OR(G1526="",G1526="?"),"",IFERROR(INDEX(Pubs!$E$2:$E$3001,MATCH(G1526,Pubs!$A$2:$A$3001,0)),""))</f>
        <v/>
      </c>
      <c r="L1526" s="29" t="str">
        <f aca="false">IF(A1526="","",IFERROR(1/(1/INDEX(Numéros!$C$2:$C$3001,MATCH(A1526&amp;"|"&amp;B1526,Numéros!$F$2:$F$3001,0))),""))</f>
        <v/>
      </c>
      <c r="M1526" s="27" t="str">
        <f aca="false">IF(OR(G1526="",G1526="?"),"",IFERROR(INDEX(Pubs!$D$2:$D$3001,MATCH(G1526,Pubs!$A$2:$A$3001,0))&amp;"",""))</f>
        <v/>
      </c>
      <c r="N1526" s="27" t="n">
        <f aca="false">N(N1525)+IF(AND(A1526&lt;&gt;"",OR(Recherche!$C$4="",A1526=Recherche!$C$4),OR(Recherche!$C$5="",B1526&amp;""=Recherche!$C$5&amp;""),OR(Recherche!$C$6="",IFERROR(YEAR(L1526),0)=Recherche!$C$6),OR(Recherche!$C$7="",ISNUMBER(SEARCH(Recherche!$C$7,H1526))),OR(Recherche!$C$8="",J1526=Recherche!$C$8),OR(Recherche!$C$9="",I1526=Recherche!$C$9),OR(Recherche!$C$10="",G1526&amp;""=Recherche!$C$10&amp;""),OR(Recherche!$C$11="",E1526=Recherche!$C$11),OR(Recherche!$C$12="",ISNUMBER(SEARCH(Recherche!$C$12,M1526&amp;" "&amp;F1526)))),1,0)</f>
        <v>8</v>
      </c>
    </row>
    <row r="1527" customFormat="false" ht="15" hidden="false" customHeight="false" outlineLevel="0" collapsed="false">
      <c r="A1527" s="19"/>
      <c r="B1527" s="19"/>
      <c r="C1527" s="19"/>
      <c r="D1527" s="19"/>
      <c r="E1527" s="22"/>
      <c r="F1527" s="19"/>
      <c r="G1527" s="26" t="str">
        <f aca="false">IF(D1527="","",IFERROR(VALUE(LEFT(D1527,FIND(" |",D1527&amp;" |")-1)),"?"))</f>
        <v/>
      </c>
      <c r="H1527" s="27" t="str">
        <f aca="false">IF(G1527="","",IF(G1527="?","⚠ pub inconnue",IFERROR(INDEX(Pubs!$B$2:$B$3001,MATCH(G1527,Pubs!$A$2:$A$3001,0))&amp;"","⚠ pub inconnue")))</f>
        <v/>
      </c>
      <c r="I1527" s="27" t="str">
        <f aca="false">IF(OR(G1527="",G1527="?"),"",IFERROR(INDEX(Pubs!$C$2:$C$3001,MATCH(G1527,Pubs!$A$2:$A$3001,0))&amp;"",""))</f>
        <v/>
      </c>
      <c r="J1527" s="27" t="str">
        <f aca="false">IF(OR(G1527="",G1527="?"),"",IFERROR(INDEX(Pubs!$G$2:$G$3001,MATCH(G1527,Pubs!$A$2:$A$3001,0))&amp;"",""))</f>
        <v/>
      </c>
      <c r="K1527" s="28" t="str">
        <f aca="false">IF(OR(G1527="",G1527="?"),"",IFERROR(INDEX(Pubs!$E$2:$E$3001,MATCH(G1527,Pubs!$A$2:$A$3001,0)),""))</f>
        <v/>
      </c>
      <c r="L1527" s="29" t="str">
        <f aca="false">IF(A1527="","",IFERROR(1/(1/INDEX(Numéros!$C$2:$C$3001,MATCH(A1527&amp;"|"&amp;B1527,Numéros!$F$2:$F$3001,0))),""))</f>
        <v/>
      </c>
      <c r="M1527" s="27" t="str">
        <f aca="false">IF(OR(G1527="",G1527="?"),"",IFERROR(INDEX(Pubs!$D$2:$D$3001,MATCH(G1527,Pubs!$A$2:$A$3001,0))&amp;"",""))</f>
        <v/>
      </c>
      <c r="N1527" s="27" t="n">
        <f aca="false">N(N1526)+IF(AND(A1527&lt;&gt;"",OR(Recherche!$C$4="",A1527=Recherche!$C$4),OR(Recherche!$C$5="",B1527&amp;""=Recherche!$C$5&amp;""),OR(Recherche!$C$6="",IFERROR(YEAR(L1527),0)=Recherche!$C$6),OR(Recherche!$C$7="",ISNUMBER(SEARCH(Recherche!$C$7,H1527))),OR(Recherche!$C$8="",J1527=Recherche!$C$8),OR(Recherche!$C$9="",I1527=Recherche!$C$9),OR(Recherche!$C$10="",G1527&amp;""=Recherche!$C$10&amp;""),OR(Recherche!$C$11="",E1527=Recherche!$C$11),OR(Recherche!$C$12="",ISNUMBER(SEARCH(Recherche!$C$12,M1527&amp;" "&amp;F1527)))),1,0)</f>
        <v>8</v>
      </c>
    </row>
    <row r="1528" customFormat="false" ht="15" hidden="false" customHeight="false" outlineLevel="0" collapsed="false">
      <c r="A1528" s="19"/>
      <c r="B1528" s="19"/>
      <c r="C1528" s="19"/>
      <c r="D1528" s="19"/>
      <c r="E1528" s="22"/>
      <c r="F1528" s="19"/>
      <c r="G1528" s="26" t="str">
        <f aca="false">IF(D1528="","",IFERROR(VALUE(LEFT(D1528,FIND(" |",D1528&amp;" |")-1)),"?"))</f>
        <v/>
      </c>
      <c r="H1528" s="27" t="str">
        <f aca="false">IF(G1528="","",IF(G1528="?","⚠ pub inconnue",IFERROR(INDEX(Pubs!$B$2:$B$3001,MATCH(G1528,Pubs!$A$2:$A$3001,0))&amp;"","⚠ pub inconnue")))</f>
        <v/>
      </c>
      <c r="I1528" s="27" t="str">
        <f aca="false">IF(OR(G1528="",G1528="?"),"",IFERROR(INDEX(Pubs!$C$2:$C$3001,MATCH(G1528,Pubs!$A$2:$A$3001,0))&amp;"",""))</f>
        <v/>
      </c>
      <c r="J1528" s="27" t="str">
        <f aca="false">IF(OR(G1528="",G1528="?"),"",IFERROR(INDEX(Pubs!$G$2:$G$3001,MATCH(G1528,Pubs!$A$2:$A$3001,0))&amp;"",""))</f>
        <v/>
      </c>
      <c r="K1528" s="28" t="str">
        <f aca="false">IF(OR(G1528="",G1528="?"),"",IFERROR(INDEX(Pubs!$E$2:$E$3001,MATCH(G1528,Pubs!$A$2:$A$3001,0)),""))</f>
        <v/>
      </c>
      <c r="L1528" s="29" t="str">
        <f aca="false">IF(A1528="","",IFERROR(1/(1/INDEX(Numéros!$C$2:$C$3001,MATCH(A1528&amp;"|"&amp;B1528,Numéros!$F$2:$F$3001,0))),""))</f>
        <v/>
      </c>
      <c r="M1528" s="27" t="str">
        <f aca="false">IF(OR(G1528="",G1528="?"),"",IFERROR(INDEX(Pubs!$D$2:$D$3001,MATCH(G1528,Pubs!$A$2:$A$3001,0))&amp;"",""))</f>
        <v/>
      </c>
      <c r="N1528" s="27" t="n">
        <f aca="false">N(N1527)+IF(AND(A1528&lt;&gt;"",OR(Recherche!$C$4="",A1528=Recherche!$C$4),OR(Recherche!$C$5="",B1528&amp;""=Recherche!$C$5&amp;""),OR(Recherche!$C$6="",IFERROR(YEAR(L1528),0)=Recherche!$C$6),OR(Recherche!$C$7="",ISNUMBER(SEARCH(Recherche!$C$7,H1528))),OR(Recherche!$C$8="",J1528=Recherche!$C$8),OR(Recherche!$C$9="",I1528=Recherche!$C$9),OR(Recherche!$C$10="",G1528&amp;""=Recherche!$C$10&amp;""),OR(Recherche!$C$11="",E1528=Recherche!$C$11),OR(Recherche!$C$12="",ISNUMBER(SEARCH(Recherche!$C$12,M1528&amp;" "&amp;F1528)))),1,0)</f>
        <v>8</v>
      </c>
    </row>
    <row r="1529" customFormat="false" ht="15" hidden="false" customHeight="false" outlineLevel="0" collapsed="false">
      <c r="A1529" s="19"/>
      <c r="B1529" s="19"/>
      <c r="C1529" s="19"/>
      <c r="D1529" s="19"/>
      <c r="E1529" s="22"/>
      <c r="F1529" s="19"/>
      <c r="G1529" s="26" t="str">
        <f aca="false">IF(D1529="","",IFERROR(VALUE(LEFT(D1529,FIND(" |",D1529&amp;" |")-1)),"?"))</f>
        <v/>
      </c>
      <c r="H1529" s="27" t="str">
        <f aca="false">IF(G1529="","",IF(G1529="?","⚠ pub inconnue",IFERROR(INDEX(Pubs!$B$2:$B$3001,MATCH(G1529,Pubs!$A$2:$A$3001,0))&amp;"","⚠ pub inconnue")))</f>
        <v/>
      </c>
      <c r="I1529" s="27" t="str">
        <f aca="false">IF(OR(G1529="",G1529="?"),"",IFERROR(INDEX(Pubs!$C$2:$C$3001,MATCH(G1529,Pubs!$A$2:$A$3001,0))&amp;"",""))</f>
        <v/>
      </c>
      <c r="J1529" s="27" t="str">
        <f aca="false">IF(OR(G1529="",G1529="?"),"",IFERROR(INDEX(Pubs!$G$2:$G$3001,MATCH(G1529,Pubs!$A$2:$A$3001,0))&amp;"",""))</f>
        <v/>
      </c>
      <c r="K1529" s="28" t="str">
        <f aca="false">IF(OR(G1529="",G1529="?"),"",IFERROR(INDEX(Pubs!$E$2:$E$3001,MATCH(G1529,Pubs!$A$2:$A$3001,0)),""))</f>
        <v/>
      </c>
      <c r="L1529" s="29" t="str">
        <f aca="false">IF(A1529="","",IFERROR(1/(1/INDEX(Numéros!$C$2:$C$3001,MATCH(A1529&amp;"|"&amp;B1529,Numéros!$F$2:$F$3001,0))),""))</f>
        <v/>
      </c>
      <c r="M1529" s="27" t="str">
        <f aca="false">IF(OR(G1529="",G1529="?"),"",IFERROR(INDEX(Pubs!$D$2:$D$3001,MATCH(G1529,Pubs!$A$2:$A$3001,0))&amp;"",""))</f>
        <v/>
      </c>
      <c r="N1529" s="27" t="n">
        <f aca="false">N(N1528)+IF(AND(A1529&lt;&gt;"",OR(Recherche!$C$4="",A1529=Recherche!$C$4),OR(Recherche!$C$5="",B1529&amp;""=Recherche!$C$5&amp;""),OR(Recherche!$C$6="",IFERROR(YEAR(L1529),0)=Recherche!$C$6),OR(Recherche!$C$7="",ISNUMBER(SEARCH(Recherche!$C$7,H1529))),OR(Recherche!$C$8="",J1529=Recherche!$C$8),OR(Recherche!$C$9="",I1529=Recherche!$C$9),OR(Recherche!$C$10="",G1529&amp;""=Recherche!$C$10&amp;""),OR(Recherche!$C$11="",E1529=Recherche!$C$11),OR(Recherche!$C$12="",ISNUMBER(SEARCH(Recherche!$C$12,M1529&amp;" "&amp;F1529)))),1,0)</f>
        <v>8</v>
      </c>
    </row>
    <row r="1530" customFormat="false" ht="15" hidden="false" customHeight="false" outlineLevel="0" collapsed="false">
      <c r="A1530" s="19"/>
      <c r="B1530" s="19"/>
      <c r="C1530" s="19"/>
      <c r="D1530" s="19"/>
      <c r="E1530" s="22"/>
      <c r="F1530" s="19"/>
      <c r="G1530" s="26" t="str">
        <f aca="false">IF(D1530="","",IFERROR(VALUE(LEFT(D1530,FIND(" |",D1530&amp;" |")-1)),"?"))</f>
        <v/>
      </c>
      <c r="H1530" s="27" t="str">
        <f aca="false">IF(G1530="","",IF(G1530="?","⚠ pub inconnue",IFERROR(INDEX(Pubs!$B$2:$B$3001,MATCH(G1530,Pubs!$A$2:$A$3001,0))&amp;"","⚠ pub inconnue")))</f>
        <v/>
      </c>
      <c r="I1530" s="27" t="str">
        <f aca="false">IF(OR(G1530="",G1530="?"),"",IFERROR(INDEX(Pubs!$C$2:$C$3001,MATCH(G1530,Pubs!$A$2:$A$3001,0))&amp;"",""))</f>
        <v/>
      </c>
      <c r="J1530" s="27" t="str">
        <f aca="false">IF(OR(G1530="",G1530="?"),"",IFERROR(INDEX(Pubs!$G$2:$G$3001,MATCH(G1530,Pubs!$A$2:$A$3001,0))&amp;"",""))</f>
        <v/>
      </c>
      <c r="K1530" s="28" t="str">
        <f aca="false">IF(OR(G1530="",G1530="?"),"",IFERROR(INDEX(Pubs!$E$2:$E$3001,MATCH(G1530,Pubs!$A$2:$A$3001,0)),""))</f>
        <v/>
      </c>
      <c r="L1530" s="29" t="str">
        <f aca="false">IF(A1530="","",IFERROR(1/(1/INDEX(Numéros!$C$2:$C$3001,MATCH(A1530&amp;"|"&amp;B1530,Numéros!$F$2:$F$3001,0))),""))</f>
        <v/>
      </c>
      <c r="M1530" s="27" t="str">
        <f aca="false">IF(OR(G1530="",G1530="?"),"",IFERROR(INDEX(Pubs!$D$2:$D$3001,MATCH(G1530,Pubs!$A$2:$A$3001,0))&amp;"",""))</f>
        <v/>
      </c>
      <c r="N1530" s="27" t="n">
        <f aca="false">N(N1529)+IF(AND(A1530&lt;&gt;"",OR(Recherche!$C$4="",A1530=Recherche!$C$4),OR(Recherche!$C$5="",B1530&amp;""=Recherche!$C$5&amp;""),OR(Recherche!$C$6="",IFERROR(YEAR(L1530),0)=Recherche!$C$6),OR(Recherche!$C$7="",ISNUMBER(SEARCH(Recherche!$C$7,H1530))),OR(Recherche!$C$8="",J1530=Recherche!$C$8),OR(Recherche!$C$9="",I1530=Recherche!$C$9),OR(Recherche!$C$10="",G1530&amp;""=Recherche!$C$10&amp;""),OR(Recherche!$C$11="",E1530=Recherche!$C$11),OR(Recherche!$C$12="",ISNUMBER(SEARCH(Recherche!$C$12,M1530&amp;" "&amp;F1530)))),1,0)</f>
        <v>8</v>
      </c>
    </row>
    <row r="1531" customFormat="false" ht="15" hidden="false" customHeight="false" outlineLevel="0" collapsed="false">
      <c r="A1531" s="19"/>
      <c r="B1531" s="19"/>
      <c r="C1531" s="19"/>
      <c r="D1531" s="19"/>
      <c r="E1531" s="22"/>
      <c r="F1531" s="19"/>
      <c r="G1531" s="26" t="str">
        <f aca="false">IF(D1531="","",IFERROR(VALUE(LEFT(D1531,FIND(" |",D1531&amp;" |")-1)),"?"))</f>
        <v/>
      </c>
      <c r="H1531" s="27" t="str">
        <f aca="false">IF(G1531="","",IF(G1531="?","⚠ pub inconnue",IFERROR(INDEX(Pubs!$B$2:$B$3001,MATCH(G1531,Pubs!$A$2:$A$3001,0))&amp;"","⚠ pub inconnue")))</f>
        <v/>
      </c>
      <c r="I1531" s="27" t="str">
        <f aca="false">IF(OR(G1531="",G1531="?"),"",IFERROR(INDEX(Pubs!$C$2:$C$3001,MATCH(G1531,Pubs!$A$2:$A$3001,0))&amp;"",""))</f>
        <v/>
      </c>
      <c r="J1531" s="27" t="str">
        <f aca="false">IF(OR(G1531="",G1531="?"),"",IFERROR(INDEX(Pubs!$G$2:$G$3001,MATCH(G1531,Pubs!$A$2:$A$3001,0))&amp;"",""))</f>
        <v/>
      </c>
      <c r="K1531" s="28" t="str">
        <f aca="false">IF(OR(G1531="",G1531="?"),"",IFERROR(INDEX(Pubs!$E$2:$E$3001,MATCH(G1531,Pubs!$A$2:$A$3001,0)),""))</f>
        <v/>
      </c>
      <c r="L1531" s="29" t="str">
        <f aca="false">IF(A1531="","",IFERROR(1/(1/INDEX(Numéros!$C$2:$C$3001,MATCH(A1531&amp;"|"&amp;B1531,Numéros!$F$2:$F$3001,0))),""))</f>
        <v/>
      </c>
      <c r="M1531" s="27" t="str">
        <f aca="false">IF(OR(G1531="",G1531="?"),"",IFERROR(INDEX(Pubs!$D$2:$D$3001,MATCH(G1531,Pubs!$A$2:$A$3001,0))&amp;"",""))</f>
        <v/>
      </c>
      <c r="N1531" s="27" t="n">
        <f aca="false">N(N1530)+IF(AND(A1531&lt;&gt;"",OR(Recherche!$C$4="",A1531=Recherche!$C$4),OR(Recherche!$C$5="",B1531&amp;""=Recherche!$C$5&amp;""),OR(Recherche!$C$6="",IFERROR(YEAR(L1531),0)=Recherche!$C$6),OR(Recherche!$C$7="",ISNUMBER(SEARCH(Recherche!$C$7,H1531))),OR(Recherche!$C$8="",J1531=Recherche!$C$8),OR(Recherche!$C$9="",I1531=Recherche!$C$9),OR(Recherche!$C$10="",G1531&amp;""=Recherche!$C$10&amp;""),OR(Recherche!$C$11="",E1531=Recherche!$C$11),OR(Recherche!$C$12="",ISNUMBER(SEARCH(Recherche!$C$12,M1531&amp;" "&amp;F1531)))),1,0)</f>
        <v>8</v>
      </c>
    </row>
    <row r="1532" customFormat="false" ht="15" hidden="false" customHeight="false" outlineLevel="0" collapsed="false">
      <c r="A1532" s="19"/>
      <c r="B1532" s="19"/>
      <c r="C1532" s="19"/>
      <c r="D1532" s="19"/>
      <c r="E1532" s="22"/>
      <c r="F1532" s="19"/>
      <c r="G1532" s="26" t="str">
        <f aca="false">IF(D1532="","",IFERROR(VALUE(LEFT(D1532,FIND(" |",D1532&amp;" |")-1)),"?"))</f>
        <v/>
      </c>
      <c r="H1532" s="27" t="str">
        <f aca="false">IF(G1532="","",IF(G1532="?","⚠ pub inconnue",IFERROR(INDEX(Pubs!$B$2:$B$3001,MATCH(G1532,Pubs!$A$2:$A$3001,0))&amp;"","⚠ pub inconnue")))</f>
        <v/>
      </c>
      <c r="I1532" s="27" t="str">
        <f aca="false">IF(OR(G1532="",G1532="?"),"",IFERROR(INDEX(Pubs!$C$2:$C$3001,MATCH(G1532,Pubs!$A$2:$A$3001,0))&amp;"",""))</f>
        <v/>
      </c>
      <c r="J1532" s="27" t="str">
        <f aca="false">IF(OR(G1532="",G1532="?"),"",IFERROR(INDEX(Pubs!$G$2:$G$3001,MATCH(G1532,Pubs!$A$2:$A$3001,0))&amp;"",""))</f>
        <v/>
      </c>
      <c r="K1532" s="28" t="str">
        <f aca="false">IF(OR(G1532="",G1532="?"),"",IFERROR(INDEX(Pubs!$E$2:$E$3001,MATCH(G1532,Pubs!$A$2:$A$3001,0)),""))</f>
        <v/>
      </c>
      <c r="L1532" s="29" t="str">
        <f aca="false">IF(A1532="","",IFERROR(1/(1/INDEX(Numéros!$C$2:$C$3001,MATCH(A1532&amp;"|"&amp;B1532,Numéros!$F$2:$F$3001,0))),""))</f>
        <v/>
      </c>
      <c r="M1532" s="27" t="str">
        <f aca="false">IF(OR(G1532="",G1532="?"),"",IFERROR(INDEX(Pubs!$D$2:$D$3001,MATCH(G1532,Pubs!$A$2:$A$3001,0))&amp;"",""))</f>
        <v/>
      </c>
      <c r="N1532" s="27" t="n">
        <f aca="false">N(N1531)+IF(AND(A1532&lt;&gt;"",OR(Recherche!$C$4="",A1532=Recherche!$C$4),OR(Recherche!$C$5="",B1532&amp;""=Recherche!$C$5&amp;""),OR(Recherche!$C$6="",IFERROR(YEAR(L1532),0)=Recherche!$C$6),OR(Recherche!$C$7="",ISNUMBER(SEARCH(Recherche!$C$7,H1532))),OR(Recherche!$C$8="",J1532=Recherche!$C$8),OR(Recherche!$C$9="",I1532=Recherche!$C$9),OR(Recherche!$C$10="",G1532&amp;""=Recherche!$C$10&amp;""),OR(Recherche!$C$11="",E1532=Recherche!$C$11),OR(Recherche!$C$12="",ISNUMBER(SEARCH(Recherche!$C$12,M1532&amp;" "&amp;F1532)))),1,0)</f>
        <v>8</v>
      </c>
    </row>
    <row r="1533" customFormat="false" ht="15" hidden="false" customHeight="false" outlineLevel="0" collapsed="false">
      <c r="A1533" s="19"/>
      <c r="B1533" s="19"/>
      <c r="C1533" s="19"/>
      <c r="D1533" s="19"/>
      <c r="E1533" s="22"/>
      <c r="F1533" s="19"/>
      <c r="G1533" s="26" t="str">
        <f aca="false">IF(D1533="","",IFERROR(VALUE(LEFT(D1533,FIND(" |",D1533&amp;" |")-1)),"?"))</f>
        <v/>
      </c>
      <c r="H1533" s="27" t="str">
        <f aca="false">IF(G1533="","",IF(G1533="?","⚠ pub inconnue",IFERROR(INDEX(Pubs!$B$2:$B$3001,MATCH(G1533,Pubs!$A$2:$A$3001,0))&amp;"","⚠ pub inconnue")))</f>
        <v/>
      </c>
      <c r="I1533" s="27" t="str">
        <f aca="false">IF(OR(G1533="",G1533="?"),"",IFERROR(INDEX(Pubs!$C$2:$C$3001,MATCH(G1533,Pubs!$A$2:$A$3001,0))&amp;"",""))</f>
        <v/>
      </c>
      <c r="J1533" s="27" t="str">
        <f aca="false">IF(OR(G1533="",G1533="?"),"",IFERROR(INDEX(Pubs!$G$2:$G$3001,MATCH(G1533,Pubs!$A$2:$A$3001,0))&amp;"",""))</f>
        <v/>
      </c>
      <c r="K1533" s="28" t="str">
        <f aca="false">IF(OR(G1533="",G1533="?"),"",IFERROR(INDEX(Pubs!$E$2:$E$3001,MATCH(G1533,Pubs!$A$2:$A$3001,0)),""))</f>
        <v/>
      </c>
      <c r="L1533" s="29" t="str">
        <f aca="false">IF(A1533="","",IFERROR(1/(1/INDEX(Numéros!$C$2:$C$3001,MATCH(A1533&amp;"|"&amp;B1533,Numéros!$F$2:$F$3001,0))),""))</f>
        <v/>
      </c>
      <c r="M1533" s="27" t="str">
        <f aca="false">IF(OR(G1533="",G1533="?"),"",IFERROR(INDEX(Pubs!$D$2:$D$3001,MATCH(G1533,Pubs!$A$2:$A$3001,0))&amp;"",""))</f>
        <v/>
      </c>
      <c r="N1533" s="27" t="n">
        <f aca="false">N(N1532)+IF(AND(A1533&lt;&gt;"",OR(Recherche!$C$4="",A1533=Recherche!$C$4),OR(Recherche!$C$5="",B1533&amp;""=Recherche!$C$5&amp;""),OR(Recherche!$C$6="",IFERROR(YEAR(L1533),0)=Recherche!$C$6),OR(Recherche!$C$7="",ISNUMBER(SEARCH(Recherche!$C$7,H1533))),OR(Recherche!$C$8="",J1533=Recherche!$C$8),OR(Recherche!$C$9="",I1533=Recherche!$C$9),OR(Recherche!$C$10="",G1533&amp;""=Recherche!$C$10&amp;""),OR(Recherche!$C$11="",E1533=Recherche!$C$11),OR(Recherche!$C$12="",ISNUMBER(SEARCH(Recherche!$C$12,M1533&amp;" "&amp;F1533)))),1,0)</f>
        <v>8</v>
      </c>
    </row>
    <row r="1534" customFormat="false" ht="15" hidden="false" customHeight="false" outlineLevel="0" collapsed="false">
      <c r="A1534" s="19"/>
      <c r="B1534" s="19"/>
      <c r="C1534" s="19"/>
      <c r="D1534" s="19"/>
      <c r="E1534" s="22"/>
      <c r="F1534" s="19"/>
      <c r="G1534" s="26" t="str">
        <f aca="false">IF(D1534="","",IFERROR(VALUE(LEFT(D1534,FIND(" |",D1534&amp;" |")-1)),"?"))</f>
        <v/>
      </c>
      <c r="H1534" s="27" t="str">
        <f aca="false">IF(G1534="","",IF(G1534="?","⚠ pub inconnue",IFERROR(INDEX(Pubs!$B$2:$B$3001,MATCH(G1534,Pubs!$A$2:$A$3001,0))&amp;"","⚠ pub inconnue")))</f>
        <v/>
      </c>
      <c r="I1534" s="27" t="str">
        <f aca="false">IF(OR(G1534="",G1534="?"),"",IFERROR(INDEX(Pubs!$C$2:$C$3001,MATCH(G1534,Pubs!$A$2:$A$3001,0))&amp;"",""))</f>
        <v/>
      </c>
      <c r="J1534" s="27" t="str">
        <f aca="false">IF(OR(G1534="",G1534="?"),"",IFERROR(INDEX(Pubs!$G$2:$G$3001,MATCH(G1534,Pubs!$A$2:$A$3001,0))&amp;"",""))</f>
        <v/>
      </c>
      <c r="K1534" s="28" t="str">
        <f aca="false">IF(OR(G1534="",G1534="?"),"",IFERROR(INDEX(Pubs!$E$2:$E$3001,MATCH(G1534,Pubs!$A$2:$A$3001,0)),""))</f>
        <v/>
      </c>
      <c r="L1534" s="29" t="str">
        <f aca="false">IF(A1534="","",IFERROR(1/(1/INDEX(Numéros!$C$2:$C$3001,MATCH(A1534&amp;"|"&amp;B1534,Numéros!$F$2:$F$3001,0))),""))</f>
        <v/>
      </c>
      <c r="M1534" s="27" t="str">
        <f aca="false">IF(OR(G1534="",G1534="?"),"",IFERROR(INDEX(Pubs!$D$2:$D$3001,MATCH(G1534,Pubs!$A$2:$A$3001,0))&amp;"",""))</f>
        <v/>
      </c>
      <c r="N1534" s="27" t="n">
        <f aca="false">N(N1533)+IF(AND(A1534&lt;&gt;"",OR(Recherche!$C$4="",A1534=Recherche!$C$4),OR(Recherche!$C$5="",B1534&amp;""=Recherche!$C$5&amp;""),OR(Recherche!$C$6="",IFERROR(YEAR(L1534),0)=Recherche!$C$6),OR(Recherche!$C$7="",ISNUMBER(SEARCH(Recherche!$C$7,H1534))),OR(Recherche!$C$8="",J1534=Recherche!$C$8),OR(Recherche!$C$9="",I1534=Recherche!$C$9),OR(Recherche!$C$10="",G1534&amp;""=Recherche!$C$10&amp;""),OR(Recherche!$C$11="",E1534=Recherche!$C$11),OR(Recherche!$C$12="",ISNUMBER(SEARCH(Recherche!$C$12,M1534&amp;" "&amp;F1534)))),1,0)</f>
        <v>8</v>
      </c>
    </row>
    <row r="1535" customFormat="false" ht="15" hidden="false" customHeight="false" outlineLevel="0" collapsed="false">
      <c r="A1535" s="19"/>
      <c r="B1535" s="19"/>
      <c r="C1535" s="19"/>
      <c r="D1535" s="19"/>
      <c r="E1535" s="22"/>
      <c r="F1535" s="19"/>
      <c r="G1535" s="26" t="str">
        <f aca="false">IF(D1535="","",IFERROR(VALUE(LEFT(D1535,FIND(" |",D1535&amp;" |")-1)),"?"))</f>
        <v/>
      </c>
      <c r="H1535" s="27" t="str">
        <f aca="false">IF(G1535="","",IF(G1535="?","⚠ pub inconnue",IFERROR(INDEX(Pubs!$B$2:$B$3001,MATCH(G1535,Pubs!$A$2:$A$3001,0))&amp;"","⚠ pub inconnue")))</f>
        <v/>
      </c>
      <c r="I1535" s="27" t="str">
        <f aca="false">IF(OR(G1535="",G1535="?"),"",IFERROR(INDEX(Pubs!$C$2:$C$3001,MATCH(G1535,Pubs!$A$2:$A$3001,0))&amp;"",""))</f>
        <v/>
      </c>
      <c r="J1535" s="27" t="str">
        <f aca="false">IF(OR(G1535="",G1535="?"),"",IFERROR(INDEX(Pubs!$G$2:$G$3001,MATCH(G1535,Pubs!$A$2:$A$3001,0))&amp;"",""))</f>
        <v/>
      </c>
      <c r="K1535" s="28" t="str">
        <f aca="false">IF(OR(G1535="",G1535="?"),"",IFERROR(INDEX(Pubs!$E$2:$E$3001,MATCH(G1535,Pubs!$A$2:$A$3001,0)),""))</f>
        <v/>
      </c>
      <c r="L1535" s="29" t="str">
        <f aca="false">IF(A1535="","",IFERROR(1/(1/INDEX(Numéros!$C$2:$C$3001,MATCH(A1535&amp;"|"&amp;B1535,Numéros!$F$2:$F$3001,0))),""))</f>
        <v/>
      </c>
      <c r="M1535" s="27" t="str">
        <f aca="false">IF(OR(G1535="",G1535="?"),"",IFERROR(INDEX(Pubs!$D$2:$D$3001,MATCH(G1535,Pubs!$A$2:$A$3001,0))&amp;"",""))</f>
        <v/>
      </c>
      <c r="N1535" s="27" t="n">
        <f aca="false">N(N1534)+IF(AND(A1535&lt;&gt;"",OR(Recherche!$C$4="",A1535=Recherche!$C$4),OR(Recherche!$C$5="",B1535&amp;""=Recherche!$C$5&amp;""),OR(Recherche!$C$6="",IFERROR(YEAR(L1535),0)=Recherche!$C$6),OR(Recherche!$C$7="",ISNUMBER(SEARCH(Recherche!$C$7,H1535))),OR(Recherche!$C$8="",J1535=Recherche!$C$8),OR(Recherche!$C$9="",I1535=Recherche!$C$9),OR(Recherche!$C$10="",G1535&amp;""=Recherche!$C$10&amp;""),OR(Recherche!$C$11="",E1535=Recherche!$C$11),OR(Recherche!$C$12="",ISNUMBER(SEARCH(Recherche!$C$12,M1535&amp;" "&amp;F1535)))),1,0)</f>
        <v>8</v>
      </c>
    </row>
    <row r="1536" customFormat="false" ht="15" hidden="false" customHeight="false" outlineLevel="0" collapsed="false">
      <c r="A1536" s="19"/>
      <c r="B1536" s="19"/>
      <c r="C1536" s="19"/>
      <c r="D1536" s="19"/>
      <c r="E1536" s="22"/>
      <c r="F1536" s="19"/>
      <c r="G1536" s="26" t="str">
        <f aca="false">IF(D1536="","",IFERROR(VALUE(LEFT(D1536,FIND(" |",D1536&amp;" |")-1)),"?"))</f>
        <v/>
      </c>
      <c r="H1536" s="27" t="str">
        <f aca="false">IF(G1536="","",IF(G1536="?","⚠ pub inconnue",IFERROR(INDEX(Pubs!$B$2:$B$3001,MATCH(G1536,Pubs!$A$2:$A$3001,0))&amp;"","⚠ pub inconnue")))</f>
        <v/>
      </c>
      <c r="I1536" s="27" t="str">
        <f aca="false">IF(OR(G1536="",G1536="?"),"",IFERROR(INDEX(Pubs!$C$2:$C$3001,MATCH(G1536,Pubs!$A$2:$A$3001,0))&amp;"",""))</f>
        <v/>
      </c>
      <c r="J1536" s="27" t="str">
        <f aca="false">IF(OR(G1536="",G1536="?"),"",IFERROR(INDEX(Pubs!$G$2:$G$3001,MATCH(G1536,Pubs!$A$2:$A$3001,0))&amp;"",""))</f>
        <v/>
      </c>
      <c r="K1536" s="28" t="str">
        <f aca="false">IF(OR(G1536="",G1536="?"),"",IFERROR(INDEX(Pubs!$E$2:$E$3001,MATCH(G1536,Pubs!$A$2:$A$3001,0)),""))</f>
        <v/>
      </c>
      <c r="L1536" s="29" t="str">
        <f aca="false">IF(A1536="","",IFERROR(1/(1/INDEX(Numéros!$C$2:$C$3001,MATCH(A1536&amp;"|"&amp;B1536,Numéros!$F$2:$F$3001,0))),""))</f>
        <v/>
      </c>
      <c r="M1536" s="27" t="str">
        <f aca="false">IF(OR(G1536="",G1536="?"),"",IFERROR(INDEX(Pubs!$D$2:$D$3001,MATCH(G1536,Pubs!$A$2:$A$3001,0))&amp;"",""))</f>
        <v/>
      </c>
      <c r="N1536" s="27" t="n">
        <f aca="false">N(N1535)+IF(AND(A1536&lt;&gt;"",OR(Recherche!$C$4="",A1536=Recherche!$C$4),OR(Recherche!$C$5="",B1536&amp;""=Recherche!$C$5&amp;""),OR(Recherche!$C$6="",IFERROR(YEAR(L1536),0)=Recherche!$C$6),OR(Recherche!$C$7="",ISNUMBER(SEARCH(Recherche!$C$7,H1536))),OR(Recherche!$C$8="",J1536=Recherche!$C$8),OR(Recherche!$C$9="",I1536=Recherche!$C$9),OR(Recherche!$C$10="",G1536&amp;""=Recherche!$C$10&amp;""),OR(Recherche!$C$11="",E1536=Recherche!$C$11),OR(Recherche!$C$12="",ISNUMBER(SEARCH(Recherche!$C$12,M1536&amp;" "&amp;F1536)))),1,0)</f>
        <v>8</v>
      </c>
    </row>
    <row r="1537" customFormat="false" ht="15" hidden="false" customHeight="false" outlineLevel="0" collapsed="false">
      <c r="A1537" s="19"/>
      <c r="B1537" s="19"/>
      <c r="C1537" s="19"/>
      <c r="D1537" s="19"/>
      <c r="E1537" s="22"/>
      <c r="F1537" s="19"/>
      <c r="G1537" s="26" t="str">
        <f aca="false">IF(D1537="","",IFERROR(VALUE(LEFT(D1537,FIND(" |",D1537&amp;" |")-1)),"?"))</f>
        <v/>
      </c>
      <c r="H1537" s="27" t="str">
        <f aca="false">IF(G1537="","",IF(G1537="?","⚠ pub inconnue",IFERROR(INDEX(Pubs!$B$2:$B$3001,MATCH(G1537,Pubs!$A$2:$A$3001,0))&amp;"","⚠ pub inconnue")))</f>
        <v/>
      </c>
      <c r="I1537" s="27" t="str">
        <f aca="false">IF(OR(G1537="",G1537="?"),"",IFERROR(INDEX(Pubs!$C$2:$C$3001,MATCH(G1537,Pubs!$A$2:$A$3001,0))&amp;"",""))</f>
        <v/>
      </c>
      <c r="J1537" s="27" t="str">
        <f aca="false">IF(OR(G1537="",G1537="?"),"",IFERROR(INDEX(Pubs!$G$2:$G$3001,MATCH(G1537,Pubs!$A$2:$A$3001,0))&amp;"",""))</f>
        <v/>
      </c>
      <c r="K1537" s="28" t="str">
        <f aca="false">IF(OR(G1537="",G1537="?"),"",IFERROR(INDEX(Pubs!$E$2:$E$3001,MATCH(G1537,Pubs!$A$2:$A$3001,0)),""))</f>
        <v/>
      </c>
      <c r="L1537" s="29" t="str">
        <f aca="false">IF(A1537="","",IFERROR(1/(1/INDEX(Numéros!$C$2:$C$3001,MATCH(A1537&amp;"|"&amp;B1537,Numéros!$F$2:$F$3001,0))),""))</f>
        <v/>
      </c>
      <c r="M1537" s="27" t="str">
        <f aca="false">IF(OR(G1537="",G1537="?"),"",IFERROR(INDEX(Pubs!$D$2:$D$3001,MATCH(G1537,Pubs!$A$2:$A$3001,0))&amp;"",""))</f>
        <v/>
      </c>
      <c r="N1537" s="27" t="n">
        <f aca="false">N(N1536)+IF(AND(A1537&lt;&gt;"",OR(Recherche!$C$4="",A1537=Recherche!$C$4),OR(Recherche!$C$5="",B1537&amp;""=Recherche!$C$5&amp;""),OR(Recherche!$C$6="",IFERROR(YEAR(L1537),0)=Recherche!$C$6),OR(Recherche!$C$7="",ISNUMBER(SEARCH(Recherche!$C$7,H1537))),OR(Recherche!$C$8="",J1537=Recherche!$C$8),OR(Recherche!$C$9="",I1537=Recherche!$C$9),OR(Recherche!$C$10="",G1537&amp;""=Recherche!$C$10&amp;""),OR(Recherche!$C$11="",E1537=Recherche!$C$11),OR(Recherche!$C$12="",ISNUMBER(SEARCH(Recherche!$C$12,M1537&amp;" "&amp;F1537)))),1,0)</f>
        <v>8</v>
      </c>
    </row>
    <row r="1538" customFormat="false" ht="15" hidden="false" customHeight="false" outlineLevel="0" collapsed="false">
      <c r="A1538" s="19"/>
      <c r="B1538" s="19"/>
      <c r="C1538" s="19"/>
      <c r="D1538" s="19"/>
      <c r="E1538" s="22"/>
      <c r="F1538" s="19"/>
      <c r="G1538" s="26" t="str">
        <f aca="false">IF(D1538="","",IFERROR(VALUE(LEFT(D1538,FIND(" |",D1538&amp;" |")-1)),"?"))</f>
        <v/>
      </c>
      <c r="H1538" s="27" t="str">
        <f aca="false">IF(G1538="","",IF(G1538="?","⚠ pub inconnue",IFERROR(INDEX(Pubs!$B$2:$B$3001,MATCH(G1538,Pubs!$A$2:$A$3001,0))&amp;"","⚠ pub inconnue")))</f>
        <v/>
      </c>
      <c r="I1538" s="27" t="str">
        <f aca="false">IF(OR(G1538="",G1538="?"),"",IFERROR(INDEX(Pubs!$C$2:$C$3001,MATCH(G1538,Pubs!$A$2:$A$3001,0))&amp;"",""))</f>
        <v/>
      </c>
      <c r="J1538" s="27" t="str">
        <f aca="false">IF(OR(G1538="",G1538="?"),"",IFERROR(INDEX(Pubs!$G$2:$G$3001,MATCH(G1538,Pubs!$A$2:$A$3001,0))&amp;"",""))</f>
        <v/>
      </c>
      <c r="K1538" s="28" t="str">
        <f aca="false">IF(OR(G1538="",G1538="?"),"",IFERROR(INDEX(Pubs!$E$2:$E$3001,MATCH(G1538,Pubs!$A$2:$A$3001,0)),""))</f>
        <v/>
      </c>
      <c r="L1538" s="29" t="str">
        <f aca="false">IF(A1538="","",IFERROR(1/(1/INDEX(Numéros!$C$2:$C$3001,MATCH(A1538&amp;"|"&amp;B1538,Numéros!$F$2:$F$3001,0))),""))</f>
        <v/>
      </c>
      <c r="M1538" s="27" t="str">
        <f aca="false">IF(OR(G1538="",G1538="?"),"",IFERROR(INDEX(Pubs!$D$2:$D$3001,MATCH(G1538,Pubs!$A$2:$A$3001,0))&amp;"",""))</f>
        <v/>
      </c>
      <c r="N1538" s="27" t="n">
        <f aca="false">N(N1537)+IF(AND(A1538&lt;&gt;"",OR(Recherche!$C$4="",A1538=Recherche!$C$4),OR(Recherche!$C$5="",B1538&amp;""=Recherche!$C$5&amp;""),OR(Recherche!$C$6="",IFERROR(YEAR(L1538),0)=Recherche!$C$6),OR(Recherche!$C$7="",ISNUMBER(SEARCH(Recherche!$C$7,H1538))),OR(Recherche!$C$8="",J1538=Recherche!$C$8),OR(Recherche!$C$9="",I1538=Recherche!$C$9),OR(Recherche!$C$10="",G1538&amp;""=Recherche!$C$10&amp;""),OR(Recherche!$C$11="",E1538=Recherche!$C$11),OR(Recherche!$C$12="",ISNUMBER(SEARCH(Recherche!$C$12,M1538&amp;" "&amp;F1538)))),1,0)</f>
        <v>8</v>
      </c>
    </row>
    <row r="1539" customFormat="false" ht="15" hidden="false" customHeight="false" outlineLevel="0" collapsed="false">
      <c r="A1539" s="19"/>
      <c r="B1539" s="19"/>
      <c r="C1539" s="19"/>
      <c r="D1539" s="19"/>
      <c r="E1539" s="22"/>
      <c r="F1539" s="19"/>
      <c r="G1539" s="26" t="str">
        <f aca="false">IF(D1539="","",IFERROR(VALUE(LEFT(D1539,FIND(" |",D1539&amp;" |")-1)),"?"))</f>
        <v/>
      </c>
      <c r="H1539" s="27" t="str">
        <f aca="false">IF(G1539="","",IF(G1539="?","⚠ pub inconnue",IFERROR(INDEX(Pubs!$B$2:$B$3001,MATCH(G1539,Pubs!$A$2:$A$3001,0))&amp;"","⚠ pub inconnue")))</f>
        <v/>
      </c>
      <c r="I1539" s="27" t="str">
        <f aca="false">IF(OR(G1539="",G1539="?"),"",IFERROR(INDEX(Pubs!$C$2:$C$3001,MATCH(G1539,Pubs!$A$2:$A$3001,0))&amp;"",""))</f>
        <v/>
      </c>
      <c r="J1539" s="27" t="str">
        <f aca="false">IF(OR(G1539="",G1539="?"),"",IFERROR(INDEX(Pubs!$G$2:$G$3001,MATCH(G1539,Pubs!$A$2:$A$3001,0))&amp;"",""))</f>
        <v/>
      </c>
      <c r="K1539" s="28" t="str">
        <f aca="false">IF(OR(G1539="",G1539="?"),"",IFERROR(INDEX(Pubs!$E$2:$E$3001,MATCH(G1539,Pubs!$A$2:$A$3001,0)),""))</f>
        <v/>
      </c>
      <c r="L1539" s="29" t="str">
        <f aca="false">IF(A1539="","",IFERROR(1/(1/INDEX(Numéros!$C$2:$C$3001,MATCH(A1539&amp;"|"&amp;B1539,Numéros!$F$2:$F$3001,0))),""))</f>
        <v/>
      </c>
      <c r="M1539" s="27" t="str">
        <f aca="false">IF(OR(G1539="",G1539="?"),"",IFERROR(INDEX(Pubs!$D$2:$D$3001,MATCH(G1539,Pubs!$A$2:$A$3001,0))&amp;"",""))</f>
        <v/>
      </c>
      <c r="N1539" s="27" t="n">
        <f aca="false">N(N1538)+IF(AND(A1539&lt;&gt;"",OR(Recherche!$C$4="",A1539=Recherche!$C$4),OR(Recherche!$C$5="",B1539&amp;""=Recherche!$C$5&amp;""),OR(Recherche!$C$6="",IFERROR(YEAR(L1539),0)=Recherche!$C$6),OR(Recherche!$C$7="",ISNUMBER(SEARCH(Recherche!$C$7,H1539))),OR(Recherche!$C$8="",J1539=Recherche!$C$8),OR(Recherche!$C$9="",I1539=Recherche!$C$9),OR(Recherche!$C$10="",G1539&amp;""=Recherche!$C$10&amp;""),OR(Recherche!$C$11="",E1539=Recherche!$C$11),OR(Recherche!$C$12="",ISNUMBER(SEARCH(Recherche!$C$12,M1539&amp;" "&amp;F1539)))),1,0)</f>
        <v>8</v>
      </c>
    </row>
    <row r="1540" customFormat="false" ht="15" hidden="false" customHeight="false" outlineLevel="0" collapsed="false">
      <c r="A1540" s="19"/>
      <c r="B1540" s="19"/>
      <c r="C1540" s="19"/>
      <c r="D1540" s="19"/>
      <c r="E1540" s="22"/>
      <c r="F1540" s="19"/>
      <c r="G1540" s="26" t="str">
        <f aca="false">IF(D1540="","",IFERROR(VALUE(LEFT(D1540,FIND(" |",D1540&amp;" |")-1)),"?"))</f>
        <v/>
      </c>
      <c r="H1540" s="27" t="str">
        <f aca="false">IF(G1540="","",IF(G1540="?","⚠ pub inconnue",IFERROR(INDEX(Pubs!$B$2:$B$3001,MATCH(G1540,Pubs!$A$2:$A$3001,0))&amp;"","⚠ pub inconnue")))</f>
        <v/>
      </c>
      <c r="I1540" s="27" t="str">
        <f aca="false">IF(OR(G1540="",G1540="?"),"",IFERROR(INDEX(Pubs!$C$2:$C$3001,MATCH(G1540,Pubs!$A$2:$A$3001,0))&amp;"",""))</f>
        <v/>
      </c>
      <c r="J1540" s="27" t="str">
        <f aca="false">IF(OR(G1540="",G1540="?"),"",IFERROR(INDEX(Pubs!$G$2:$G$3001,MATCH(G1540,Pubs!$A$2:$A$3001,0))&amp;"",""))</f>
        <v/>
      </c>
      <c r="K1540" s="28" t="str">
        <f aca="false">IF(OR(G1540="",G1540="?"),"",IFERROR(INDEX(Pubs!$E$2:$E$3001,MATCH(G1540,Pubs!$A$2:$A$3001,0)),""))</f>
        <v/>
      </c>
      <c r="L1540" s="29" t="str">
        <f aca="false">IF(A1540="","",IFERROR(1/(1/INDEX(Numéros!$C$2:$C$3001,MATCH(A1540&amp;"|"&amp;B1540,Numéros!$F$2:$F$3001,0))),""))</f>
        <v/>
      </c>
      <c r="M1540" s="27" t="str">
        <f aca="false">IF(OR(G1540="",G1540="?"),"",IFERROR(INDEX(Pubs!$D$2:$D$3001,MATCH(G1540,Pubs!$A$2:$A$3001,0))&amp;"",""))</f>
        <v/>
      </c>
      <c r="N1540" s="27" t="n">
        <f aca="false">N(N1539)+IF(AND(A1540&lt;&gt;"",OR(Recherche!$C$4="",A1540=Recherche!$C$4),OR(Recherche!$C$5="",B1540&amp;""=Recherche!$C$5&amp;""),OR(Recherche!$C$6="",IFERROR(YEAR(L1540),0)=Recherche!$C$6),OR(Recherche!$C$7="",ISNUMBER(SEARCH(Recherche!$C$7,H1540))),OR(Recherche!$C$8="",J1540=Recherche!$C$8),OR(Recherche!$C$9="",I1540=Recherche!$C$9),OR(Recherche!$C$10="",G1540&amp;""=Recherche!$C$10&amp;""),OR(Recherche!$C$11="",E1540=Recherche!$C$11),OR(Recherche!$C$12="",ISNUMBER(SEARCH(Recherche!$C$12,M1540&amp;" "&amp;F1540)))),1,0)</f>
        <v>8</v>
      </c>
    </row>
    <row r="1541" customFormat="false" ht="15" hidden="false" customHeight="false" outlineLevel="0" collapsed="false">
      <c r="A1541" s="19"/>
      <c r="B1541" s="19"/>
      <c r="C1541" s="19"/>
      <c r="D1541" s="19"/>
      <c r="E1541" s="22"/>
      <c r="F1541" s="19"/>
      <c r="G1541" s="26" t="str">
        <f aca="false">IF(D1541="","",IFERROR(VALUE(LEFT(D1541,FIND(" |",D1541&amp;" |")-1)),"?"))</f>
        <v/>
      </c>
      <c r="H1541" s="27" t="str">
        <f aca="false">IF(G1541="","",IF(G1541="?","⚠ pub inconnue",IFERROR(INDEX(Pubs!$B$2:$B$3001,MATCH(G1541,Pubs!$A$2:$A$3001,0))&amp;"","⚠ pub inconnue")))</f>
        <v/>
      </c>
      <c r="I1541" s="27" t="str">
        <f aca="false">IF(OR(G1541="",G1541="?"),"",IFERROR(INDEX(Pubs!$C$2:$C$3001,MATCH(G1541,Pubs!$A$2:$A$3001,0))&amp;"",""))</f>
        <v/>
      </c>
      <c r="J1541" s="27" t="str">
        <f aca="false">IF(OR(G1541="",G1541="?"),"",IFERROR(INDEX(Pubs!$G$2:$G$3001,MATCH(G1541,Pubs!$A$2:$A$3001,0))&amp;"",""))</f>
        <v/>
      </c>
      <c r="K1541" s="28" t="str">
        <f aca="false">IF(OR(G1541="",G1541="?"),"",IFERROR(INDEX(Pubs!$E$2:$E$3001,MATCH(G1541,Pubs!$A$2:$A$3001,0)),""))</f>
        <v/>
      </c>
      <c r="L1541" s="29" t="str">
        <f aca="false">IF(A1541="","",IFERROR(1/(1/INDEX(Numéros!$C$2:$C$3001,MATCH(A1541&amp;"|"&amp;B1541,Numéros!$F$2:$F$3001,0))),""))</f>
        <v/>
      </c>
      <c r="M1541" s="27" t="str">
        <f aca="false">IF(OR(G1541="",G1541="?"),"",IFERROR(INDEX(Pubs!$D$2:$D$3001,MATCH(G1541,Pubs!$A$2:$A$3001,0))&amp;"",""))</f>
        <v/>
      </c>
      <c r="N1541" s="27" t="n">
        <f aca="false">N(N1540)+IF(AND(A1541&lt;&gt;"",OR(Recherche!$C$4="",A1541=Recherche!$C$4),OR(Recherche!$C$5="",B1541&amp;""=Recherche!$C$5&amp;""),OR(Recherche!$C$6="",IFERROR(YEAR(L1541),0)=Recherche!$C$6),OR(Recherche!$C$7="",ISNUMBER(SEARCH(Recherche!$C$7,H1541))),OR(Recherche!$C$8="",J1541=Recherche!$C$8),OR(Recherche!$C$9="",I1541=Recherche!$C$9),OR(Recherche!$C$10="",G1541&amp;""=Recherche!$C$10&amp;""),OR(Recherche!$C$11="",E1541=Recherche!$C$11),OR(Recherche!$C$12="",ISNUMBER(SEARCH(Recherche!$C$12,M1541&amp;" "&amp;F1541)))),1,0)</f>
        <v>8</v>
      </c>
    </row>
    <row r="1542" customFormat="false" ht="15" hidden="false" customHeight="false" outlineLevel="0" collapsed="false">
      <c r="A1542" s="19"/>
      <c r="B1542" s="19"/>
      <c r="C1542" s="19"/>
      <c r="D1542" s="19"/>
      <c r="E1542" s="22"/>
      <c r="F1542" s="19"/>
      <c r="G1542" s="26" t="str">
        <f aca="false">IF(D1542="","",IFERROR(VALUE(LEFT(D1542,FIND(" |",D1542&amp;" |")-1)),"?"))</f>
        <v/>
      </c>
      <c r="H1542" s="27" t="str">
        <f aca="false">IF(G1542="","",IF(G1542="?","⚠ pub inconnue",IFERROR(INDEX(Pubs!$B$2:$B$3001,MATCH(G1542,Pubs!$A$2:$A$3001,0))&amp;"","⚠ pub inconnue")))</f>
        <v/>
      </c>
      <c r="I1542" s="27" t="str">
        <f aca="false">IF(OR(G1542="",G1542="?"),"",IFERROR(INDEX(Pubs!$C$2:$C$3001,MATCH(G1542,Pubs!$A$2:$A$3001,0))&amp;"",""))</f>
        <v/>
      </c>
      <c r="J1542" s="27" t="str">
        <f aca="false">IF(OR(G1542="",G1542="?"),"",IFERROR(INDEX(Pubs!$G$2:$G$3001,MATCH(G1542,Pubs!$A$2:$A$3001,0))&amp;"",""))</f>
        <v/>
      </c>
      <c r="K1542" s="28" t="str">
        <f aca="false">IF(OR(G1542="",G1542="?"),"",IFERROR(INDEX(Pubs!$E$2:$E$3001,MATCH(G1542,Pubs!$A$2:$A$3001,0)),""))</f>
        <v/>
      </c>
      <c r="L1542" s="29" t="str">
        <f aca="false">IF(A1542="","",IFERROR(1/(1/INDEX(Numéros!$C$2:$C$3001,MATCH(A1542&amp;"|"&amp;B1542,Numéros!$F$2:$F$3001,0))),""))</f>
        <v/>
      </c>
      <c r="M1542" s="27" t="str">
        <f aca="false">IF(OR(G1542="",G1542="?"),"",IFERROR(INDEX(Pubs!$D$2:$D$3001,MATCH(G1542,Pubs!$A$2:$A$3001,0))&amp;"",""))</f>
        <v/>
      </c>
      <c r="N1542" s="27" t="n">
        <f aca="false">N(N1541)+IF(AND(A1542&lt;&gt;"",OR(Recherche!$C$4="",A1542=Recherche!$C$4),OR(Recherche!$C$5="",B1542&amp;""=Recherche!$C$5&amp;""),OR(Recherche!$C$6="",IFERROR(YEAR(L1542),0)=Recherche!$C$6),OR(Recherche!$C$7="",ISNUMBER(SEARCH(Recherche!$C$7,H1542))),OR(Recherche!$C$8="",J1542=Recherche!$C$8),OR(Recherche!$C$9="",I1542=Recherche!$C$9),OR(Recherche!$C$10="",G1542&amp;""=Recherche!$C$10&amp;""),OR(Recherche!$C$11="",E1542=Recherche!$C$11),OR(Recherche!$C$12="",ISNUMBER(SEARCH(Recherche!$C$12,M1542&amp;" "&amp;F1542)))),1,0)</f>
        <v>8</v>
      </c>
    </row>
    <row r="1543" customFormat="false" ht="15" hidden="false" customHeight="false" outlineLevel="0" collapsed="false">
      <c r="A1543" s="19"/>
      <c r="B1543" s="19"/>
      <c r="C1543" s="19"/>
      <c r="D1543" s="19"/>
      <c r="E1543" s="22"/>
      <c r="F1543" s="19"/>
      <c r="G1543" s="26" t="str">
        <f aca="false">IF(D1543="","",IFERROR(VALUE(LEFT(D1543,FIND(" |",D1543&amp;" |")-1)),"?"))</f>
        <v/>
      </c>
      <c r="H1543" s="27" t="str">
        <f aca="false">IF(G1543="","",IF(G1543="?","⚠ pub inconnue",IFERROR(INDEX(Pubs!$B$2:$B$3001,MATCH(G1543,Pubs!$A$2:$A$3001,0))&amp;"","⚠ pub inconnue")))</f>
        <v/>
      </c>
      <c r="I1543" s="27" t="str">
        <f aca="false">IF(OR(G1543="",G1543="?"),"",IFERROR(INDEX(Pubs!$C$2:$C$3001,MATCH(G1543,Pubs!$A$2:$A$3001,0))&amp;"",""))</f>
        <v/>
      </c>
      <c r="J1543" s="27" t="str">
        <f aca="false">IF(OR(G1543="",G1543="?"),"",IFERROR(INDEX(Pubs!$G$2:$G$3001,MATCH(G1543,Pubs!$A$2:$A$3001,0))&amp;"",""))</f>
        <v/>
      </c>
      <c r="K1543" s="28" t="str">
        <f aca="false">IF(OR(G1543="",G1543="?"),"",IFERROR(INDEX(Pubs!$E$2:$E$3001,MATCH(G1543,Pubs!$A$2:$A$3001,0)),""))</f>
        <v/>
      </c>
      <c r="L1543" s="29" t="str">
        <f aca="false">IF(A1543="","",IFERROR(1/(1/INDEX(Numéros!$C$2:$C$3001,MATCH(A1543&amp;"|"&amp;B1543,Numéros!$F$2:$F$3001,0))),""))</f>
        <v/>
      </c>
      <c r="M1543" s="27" t="str">
        <f aca="false">IF(OR(G1543="",G1543="?"),"",IFERROR(INDEX(Pubs!$D$2:$D$3001,MATCH(G1543,Pubs!$A$2:$A$3001,0))&amp;"",""))</f>
        <v/>
      </c>
      <c r="N1543" s="27" t="n">
        <f aca="false">N(N1542)+IF(AND(A1543&lt;&gt;"",OR(Recherche!$C$4="",A1543=Recherche!$C$4),OR(Recherche!$C$5="",B1543&amp;""=Recherche!$C$5&amp;""),OR(Recherche!$C$6="",IFERROR(YEAR(L1543),0)=Recherche!$C$6),OR(Recherche!$C$7="",ISNUMBER(SEARCH(Recherche!$C$7,H1543))),OR(Recherche!$C$8="",J1543=Recherche!$C$8),OR(Recherche!$C$9="",I1543=Recherche!$C$9),OR(Recherche!$C$10="",G1543&amp;""=Recherche!$C$10&amp;""),OR(Recherche!$C$11="",E1543=Recherche!$C$11),OR(Recherche!$C$12="",ISNUMBER(SEARCH(Recherche!$C$12,M1543&amp;" "&amp;F1543)))),1,0)</f>
        <v>8</v>
      </c>
    </row>
    <row r="1544" customFormat="false" ht="15" hidden="false" customHeight="false" outlineLevel="0" collapsed="false">
      <c r="A1544" s="19"/>
      <c r="B1544" s="19"/>
      <c r="C1544" s="19"/>
      <c r="D1544" s="19"/>
      <c r="E1544" s="22"/>
      <c r="F1544" s="19"/>
      <c r="G1544" s="26" t="str">
        <f aca="false">IF(D1544="","",IFERROR(VALUE(LEFT(D1544,FIND(" |",D1544&amp;" |")-1)),"?"))</f>
        <v/>
      </c>
      <c r="H1544" s="27" t="str">
        <f aca="false">IF(G1544="","",IF(G1544="?","⚠ pub inconnue",IFERROR(INDEX(Pubs!$B$2:$B$3001,MATCH(G1544,Pubs!$A$2:$A$3001,0))&amp;"","⚠ pub inconnue")))</f>
        <v/>
      </c>
      <c r="I1544" s="27" t="str">
        <f aca="false">IF(OR(G1544="",G1544="?"),"",IFERROR(INDEX(Pubs!$C$2:$C$3001,MATCH(G1544,Pubs!$A$2:$A$3001,0))&amp;"",""))</f>
        <v/>
      </c>
      <c r="J1544" s="27" t="str">
        <f aca="false">IF(OR(G1544="",G1544="?"),"",IFERROR(INDEX(Pubs!$G$2:$G$3001,MATCH(G1544,Pubs!$A$2:$A$3001,0))&amp;"",""))</f>
        <v/>
      </c>
      <c r="K1544" s="28" t="str">
        <f aca="false">IF(OR(G1544="",G1544="?"),"",IFERROR(INDEX(Pubs!$E$2:$E$3001,MATCH(G1544,Pubs!$A$2:$A$3001,0)),""))</f>
        <v/>
      </c>
      <c r="L1544" s="29" t="str">
        <f aca="false">IF(A1544="","",IFERROR(1/(1/INDEX(Numéros!$C$2:$C$3001,MATCH(A1544&amp;"|"&amp;B1544,Numéros!$F$2:$F$3001,0))),""))</f>
        <v/>
      </c>
      <c r="M1544" s="27" t="str">
        <f aca="false">IF(OR(G1544="",G1544="?"),"",IFERROR(INDEX(Pubs!$D$2:$D$3001,MATCH(G1544,Pubs!$A$2:$A$3001,0))&amp;"",""))</f>
        <v/>
      </c>
      <c r="N1544" s="27" t="n">
        <f aca="false">N(N1543)+IF(AND(A1544&lt;&gt;"",OR(Recherche!$C$4="",A1544=Recherche!$C$4),OR(Recherche!$C$5="",B1544&amp;""=Recherche!$C$5&amp;""),OR(Recherche!$C$6="",IFERROR(YEAR(L1544),0)=Recherche!$C$6),OR(Recherche!$C$7="",ISNUMBER(SEARCH(Recherche!$C$7,H1544))),OR(Recherche!$C$8="",J1544=Recherche!$C$8),OR(Recherche!$C$9="",I1544=Recherche!$C$9),OR(Recherche!$C$10="",G1544&amp;""=Recherche!$C$10&amp;""),OR(Recherche!$C$11="",E1544=Recherche!$C$11),OR(Recherche!$C$12="",ISNUMBER(SEARCH(Recherche!$C$12,M1544&amp;" "&amp;F1544)))),1,0)</f>
        <v>8</v>
      </c>
    </row>
    <row r="1545" customFormat="false" ht="15" hidden="false" customHeight="false" outlineLevel="0" collapsed="false">
      <c r="A1545" s="19"/>
      <c r="B1545" s="19"/>
      <c r="C1545" s="19"/>
      <c r="D1545" s="19"/>
      <c r="E1545" s="22"/>
      <c r="F1545" s="19"/>
      <c r="G1545" s="26" t="str">
        <f aca="false">IF(D1545="","",IFERROR(VALUE(LEFT(D1545,FIND(" |",D1545&amp;" |")-1)),"?"))</f>
        <v/>
      </c>
      <c r="H1545" s="27" t="str">
        <f aca="false">IF(G1545="","",IF(G1545="?","⚠ pub inconnue",IFERROR(INDEX(Pubs!$B$2:$B$3001,MATCH(G1545,Pubs!$A$2:$A$3001,0))&amp;"","⚠ pub inconnue")))</f>
        <v/>
      </c>
      <c r="I1545" s="27" t="str">
        <f aca="false">IF(OR(G1545="",G1545="?"),"",IFERROR(INDEX(Pubs!$C$2:$C$3001,MATCH(G1545,Pubs!$A$2:$A$3001,0))&amp;"",""))</f>
        <v/>
      </c>
      <c r="J1545" s="27" t="str">
        <f aca="false">IF(OR(G1545="",G1545="?"),"",IFERROR(INDEX(Pubs!$G$2:$G$3001,MATCH(G1545,Pubs!$A$2:$A$3001,0))&amp;"",""))</f>
        <v/>
      </c>
      <c r="K1545" s="28" t="str">
        <f aca="false">IF(OR(G1545="",G1545="?"),"",IFERROR(INDEX(Pubs!$E$2:$E$3001,MATCH(G1545,Pubs!$A$2:$A$3001,0)),""))</f>
        <v/>
      </c>
      <c r="L1545" s="29" t="str">
        <f aca="false">IF(A1545="","",IFERROR(1/(1/INDEX(Numéros!$C$2:$C$3001,MATCH(A1545&amp;"|"&amp;B1545,Numéros!$F$2:$F$3001,0))),""))</f>
        <v/>
      </c>
      <c r="M1545" s="27" t="str">
        <f aca="false">IF(OR(G1545="",G1545="?"),"",IFERROR(INDEX(Pubs!$D$2:$D$3001,MATCH(G1545,Pubs!$A$2:$A$3001,0))&amp;"",""))</f>
        <v/>
      </c>
      <c r="N1545" s="27" t="n">
        <f aca="false">N(N1544)+IF(AND(A1545&lt;&gt;"",OR(Recherche!$C$4="",A1545=Recherche!$C$4),OR(Recherche!$C$5="",B1545&amp;""=Recherche!$C$5&amp;""),OR(Recherche!$C$6="",IFERROR(YEAR(L1545),0)=Recherche!$C$6),OR(Recherche!$C$7="",ISNUMBER(SEARCH(Recherche!$C$7,H1545))),OR(Recherche!$C$8="",J1545=Recherche!$C$8),OR(Recherche!$C$9="",I1545=Recherche!$C$9),OR(Recherche!$C$10="",G1545&amp;""=Recherche!$C$10&amp;""),OR(Recherche!$C$11="",E1545=Recherche!$C$11),OR(Recherche!$C$12="",ISNUMBER(SEARCH(Recherche!$C$12,M1545&amp;" "&amp;F1545)))),1,0)</f>
        <v>8</v>
      </c>
    </row>
    <row r="1546" customFormat="false" ht="15" hidden="false" customHeight="false" outlineLevel="0" collapsed="false">
      <c r="A1546" s="19"/>
      <c r="B1546" s="19"/>
      <c r="C1546" s="19"/>
      <c r="D1546" s="19"/>
      <c r="E1546" s="22"/>
      <c r="F1546" s="19"/>
      <c r="G1546" s="26" t="str">
        <f aca="false">IF(D1546="","",IFERROR(VALUE(LEFT(D1546,FIND(" |",D1546&amp;" |")-1)),"?"))</f>
        <v/>
      </c>
      <c r="H1546" s="27" t="str">
        <f aca="false">IF(G1546="","",IF(G1546="?","⚠ pub inconnue",IFERROR(INDEX(Pubs!$B$2:$B$3001,MATCH(G1546,Pubs!$A$2:$A$3001,0))&amp;"","⚠ pub inconnue")))</f>
        <v/>
      </c>
      <c r="I1546" s="27" t="str">
        <f aca="false">IF(OR(G1546="",G1546="?"),"",IFERROR(INDEX(Pubs!$C$2:$C$3001,MATCH(G1546,Pubs!$A$2:$A$3001,0))&amp;"",""))</f>
        <v/>
      </c>
      <c r="J1546" s="27" t="str">
        <f aca="false">IF(OR(G1546="",G1546="?"),"",IFERROR(INDEX(Pubs!$G$2:$G$3001,MATCH(G1546,Pubs!$A$2:$A$3001,0))&amp;"",""))</f>
        <v/>
      </c>
      <c r="K1546" s="28" t="str">
        <f aca="false">IF(OR(G1546="",G1546="?"),"",IFERROR(INDEX(Pubs!$E$2:$E$3001,MATCH(G1546,Pubs!$A$2:$A$3001,0)),""))</f>
        <v/>
      </c>
      <c r="L1546" s="29" t="str">
        <f aca="false">IF(A1546="","",IFERROR(1/(1/INDEX(Numéros!$C$2:$C$3001,MATCH(A1546&amp;"|"&amp;B1546,Numéros!$F$2:$F$3001,0))),""))</f>
        <v/>
      </c>
      <c r="M1546" s="27" t="str">
        <f aca="false">IF(OR(G1546="",G1546="?"),"",IFERROR(INDEX(Pubs!$D$2:$D$3001,MATCH(G1546,Pubs!$A$2:$A$3001,0))&amp;"",""))</f>
        <v/>
      </c>
      <c r="N1546" s="27" t="n">
        <f aca="false">N(N1545)+IF(AND(A1546&lt;&gt;"",OR(Recherche!$C$4="",A1546=Recherche!$C$4),OR(Recherche!$C$5="",B1546&amp;""=Recherche!$C$5&amp;""),OR(Recherche!$C$6="",IFERROR(YEAR(L1546),0)=Recherche!$C$6),OR(Recherche!$C$7="",ISNUMBER(SEARCH(Recherche!$C$7,H1546))),OR(Recherche!$C$8="",J1546=Recherche!$C$8),OR(Recherche!$C$9="",I1546=Recherche!$C$9),OR(Recherche!$C$10="",G1546&amp;""=Recherche!$C$10&amp;""),OR(Recherche!$C$11="",E1546=Recherche!$C$11),OR(Recherche!$C$12="",ISNUMBER(SEARCH(Recherche!$C$12,M1546&amp;" "&amp;F1546)))),1,0)</f>
        <v>8</v>
      </c>
    </row>
    <row r="1547" customFormat="false" ht="15" hidden="false" customHeight="false" outlineLevel="0" collapsed="false">
      <c r="A1547" s="19"/>
      <c r="B1547" s="19"/>
      <c r="C1547" s="19"/>
      <c r="D1547" s="19"/>
      <c r="E1547" s="22"/>
      <c r="F1547" s="19"/>
      <c r="G1547" s="26" t="str">
        <f aca="false">IF(D1547="","",IFERROR(VALUE(LEFT(D1547,FIND(" |",D1547&amp;" |")-1)),"?"))</f>
        <v/>
      </c>
      <c r="H1547" s="27" t="str">
        <f aca="false">IF(G1547="","",IF(G1547="?","⚠ pub inconnue",IFERROR(INDEX(Pubs!$B$2:$B$3001,MATCH(G1547,Pubs!$A$2:$A$3001,0))&amp;"","⚠ pub inconnue")))</f>
        <v/>
      </c>
      <c r="I1547" s="27" t="str">
        <f aca="false">IF(OR(G1547="",G1547="?"),"",IFERROR(INDEX(Pubs!$C$2:$C$3001,MATCH(G1547,Pubs!$A$2:$A$3001,0))&amp;"",""))</f>
        <v/>
      </c>
      <c r="J1547" s="27" t="str">
        <f aca="false">IF(OR(G1547="",G1547="?"),"",IFERROR(INDEX(Pubs!$G$2:$G$3001,MATCH(G1547,Pubs!$A$2:$A$3001,0))&amp;"",""))</f>
        <v/>
      </c>
      <c r="K1547" s="28" t="str">
        <f aca="false">IF(OR(G1547="",G1547="?"),"",IFERROR(INDEX(Pubs!$E$2:$E$3001,MATCH(G1547,Pubs!$A$2:$A$3001,0)),""))</f>
        <v/>
      </c>
      <c r="L1547" s="29" t="str">
        <f aca="false">IF(A1547="","",IFERROR(1/(1/INDEX(Numéros!$C$2:$C$3001,MATCH(A1547&amp;"|"&amp;B1547,Numéros!$F$2:$F$3001,0))),""))</f>
        <v/>
      </c>
      <c r="M1547" s="27" t="str">
        <f aca="false">IF(OR(G1547="",G1547="?"),"",IFERROR(INDEX(Pubs!$D$2:$D$3001,MATCH(G1547,Pubs!$A$2:$A$3001,0))&amp;"",""))</f>
        <v/>
      </c>
      <c r="N1547" s="27" t="n">
        <f aca="false">N(N1546)+IF(AND(A1547&lt;&gt;"",OR(Recherche!$C$4="",A1547=Recherche!$C$4),OR(Recherche!$C$5="",B1547&amp;""=Recherche!$C$5&amp;""),OR(Recherche!$C$6="",IFERROR(YEAR(L1547),0)=Recherche!$C$6),OR(Recherche!$C$7="",ISNUMBER(SEARCH(Recherche!$C$7,H1547))),OR(Recherche!$C$8="",J1547=Recherche!$C$8),OR(Recherche!$C$9="",I1547=Recherche!$C$9),OR(Recherche!$C$10="",G1547&amp;""=Recherche!$C$10&amp;""),OR(Recherche!$C$11="",E1547=Recherche!$C$11),OR(Recherche!$C$12="",ISNUMBER(SEARCH(Recherche!$C$12,M1547&amp;" "&amp;F1547)))),1,0)</f>
        <v>8</v>
      </c>
    </row>
    <row r="1548" customFormat="false" ht="15" hidden="false" customHeight="false" outlineLevel="0" collapsed="false">
      <c r="A1548" s="19"/>
      <c r="B1548" s="19"/>
      <c r="C1548" s="19"/>
      <c r="D1548" s="19"/>
      <c r="E1548" s="22"/>
      <c r="F1548" s="19"/>
      <c r="G1548" s="26" t="str">
        <f aca="false">IF(D1548="","",IFERROR(VALUE(LEFT(D1548,FIND(" |",D1548&amp;" |")-1)),"?"))</f>
        <v/>
      </c>
      <c r="H1548" s="27" t="str">
        <f aca="false">IF(G1548="","",IF(G1548="?","⚠ pub inconnue",IFERROR(INDEX(Pubs!$B$2:$B$3001,MATCH(G1548,Pubs!$A$2:$A$3001,0))&amp;"","⚠ pub inconnue")))</f>
        <v/>
      </c>
      <c r="I1548" s="27" t="str">
        <f aca="false">IF(OR(G1548="",G1548="?"),"",IFERROR(INDEX(Pubs!$C$2:$C$3001,MATCH(G1548,Pubs!$A$2:$A$3001,0))&amp;"",""))</f>
        <v/>
      </c>
      <c r="J1548" s="27" t="str">
        <f aca="false">IF(OR(G1548="",G1548="?"),"",IFERROR(INDEX(Pubs!$G$2:$G$3001,MATCH(G1548,Pubs!$A$2:$A$3001,0))&amp;"",""))</f>
        <v/>
      </c>
      <c r="K1548" s="28" t="str">
        <f aca="false">IF(OR(G1548="",G1548="?"),"",IFERROR(INDEX(Pubs!$E$2:$E$3001,MATCH(G1548,Pubs!$A$2:$A$3001,0)),""))</f>
        <v/>
      </c>
      <c r="L1548" s="29" t="str">
        <f aca="false">IF(A1548="","",IFERROR(1/(1/INDEX(Numéros!$C$2:$C$3001,MATCH(A1548&amp;"|"&amp;B1548,Numéros!$F$2:$F$3001,0))),""))</f>
        <v/>
      </c>
      <c r="M1548" s="27" t="str">
        <f aca="false">IF(OR(G1548="",G1548="?"),"",IFERROR(INDEX(Pubs!$D$2:$D$3001,MATCH(G1548,Pubs!$A$2:$A$3001,0))&amp;"",""))</f>
        <v/>
      </c>
      <c r="N1548" s="27" t="n">
        <f aca="false">N(N1547)+IF(AND(A1548&lt;&gt;"",OR(Recherche!$C$4="",A1548=Recherche!$C$4),OR(Recherche!$C$5="",B1548&amp;""=Recherche!$C$5&amp;""),OR(Recherche!$C$6="",IFERROR(YEAR(L1548),0)=Recherche!$C$6),OR(Recherche!$C$7="",ISNUMBER(SEARCH(Recherche!$C$7,H1548))),OR(Recherche!$C$8="",J1548=Recherche!$C$8),OR(Recherche!$C$9="",I1548=Recherche!$C$9),OR(Recherche!$C$10="",G1548&amp;""=Recherche!$C$10&amp;""),OR(Recherche!$C$11="",E1548=Recherche!$C$11),OR(Recherche!$C$12="",ISNUMBER(SEARCH(Recherche!$C$12,M1548&amp;" "&amp;F1548)))),1,0)</f>
        <v>8</v>
      </c>
    </row>
    <row r="1549" customFormat="false" ht="15" hidden="false" customHeight="false" outlineLevel="0" collapsed="false">
      <c r="A1549" s="19"/>
      <c r="B1549" s="19"/>
      <c r="C1549" s="19"/>
      <c r="D1549" s="19"/>
      <c r="E1549" s="22"/>
      <c r="F1549" s="19"/>
      <c r="G1549" s="26" t="str">
        <f aca="false">IF(D1549="","",IFERROR(VALUE(LEFT(D1549,FIND(" |",D1549&amp;" |")-1)),"?"))</f>
        <v/>
      </c>
      <c r="H1549" s="27" t="str">
        <f aca="false">IF(G1549="","",IF(G1549="?","⚠ pub inconnue",IFERROR(INDEX(Pubs!$B$2:$B$3001,MATCH(G1549,Pubs!$A$2:$A$3001,0))&amp;"","⚠ pub inconnue")))</f>
        <v/>
      </c>
      <c r="I1549" s="27" t="str">
        <f aca="false">IF(OR(G1549="",G1549="?"),"",IFERROR(INDEX(Pubs!$C$2:$C$3001,MATCH(G1549,Pubs!$A$2:$A$3001,0))&amp;"",""))</f>
        <v/>
      </c>
      <c r="J1549" s="27" t="str">
        <f aca="false">IF(OR(G1549="",G1549="?"),"",IFERROR(INDEX(Pubs!$G$2:$G$3001,MATCH(G1549,Pubs!$A$2:$A$3001,0))&amp;"",""))</f>
        <v/>
      </c>
      <c r="K1549" s="28" t="str">
        <f aca="false">IF(OR(G1549="",G1549="?"),"",IFERROR(INDEX(Pubs!$E$2:$E$3001,MATCH(G1549,Pubs!$A$2:$A$3001,0)),""))</f>
        <v/>
      </c>
      <c r="L1549" s="29" t="str">
        <f aca="false">IF(A1549="","",IFERROR(1/(1/INDEX(Numéros!$C$2:$C$3001,MATCH(A1549&amp;"|"&amp;B1549,Numéros!$F$2:$F$3001,0))),""))</f>
        <v/>
      </c>
      <c r="M1549" s="27" t="str">
        <f aca="false">IF(OR(G1549="",G1549="?"),"",IFERROR(INDEX(Pubs!$D$2:$D$3001,MATCH(G1549,Pubs!$A$2:$A$3001,0))&amp;"",""))</f>
        <v/>
      </c>
      <c r="N1549" s="27" t="n">
        <f aca="false">N(N1548)+IF(AND(A1549&lt;&gt;"",OR(Recherche!$C$4="",A1549=Recherche!$C$4),OR(Recherche!$C$5="",B1549&amp;""=Recherche!$C$5&amp;""),OR(Recherche!$C$6="",IFERROR(YEAR(L1549),0)=Recherche!$C$6),OR(Recherche!$C$7="",ISNUMBER(SEARCH(Recherche!$C$7,H1549))),OR(Recherche!$C$8="",J1549=Recherche!$C$8),OR(Recherche!$C$9="",I1549=Recherche!$C$9),OR(Recherche!$C$10="",G1549&amp;""=Recherche!$C$10&amp;""),OR(Recherche!$C$11="",E1549=Recherche!$C$11),OR(Recherche!$C$12="",ISNUMBER(SEARCH(Recherche!$C$12,M1549&amp;" "&amp;F1549)))),1,0)</f>
        <v>8</v>
      </c>
    </row>
    <row r="1550" customFormat="false" ht="15" hidden="false" customHeight="false" outlineLevel="0" collapsed="false">
      <c r="A1550" s="19"/>
      <c r="B1550" s="19"/>
      <c r="C1550" s="19"/>
      <c r="D1550" s="19"/>
      <c r="E1550" s="22"/>
      <c r="F1550" s="19"/>
      <c r="G1550" s="26" t="str">
        <f aca="false">IF(D1550="","",IFERROR(VALUE(LEFT(D1550,FIND(" |",D1550&amp;" |")-1)),"?"))</f>
        <v/>
      </c>
      <c r="H1550" s="27" t="str">
        <f aca="false">IF(G1550="","",IF(G1550="?","⚠ pub inconnue",IFERROR(INDEX(Pubs!$B$2:$B$3001,MATCH(G1550,Pubs!$A$2:$A$3001,0))&amp;"","⚠ pub inconnue")))</f>
        <v/>
      </c>
      <c r="I1550" s="27" t="str">
        <f aca="false">IF(OR(G1550="",G1550="?"),"",IFERROR(INDEX(Pubs!$C$2:$C$3001,MATCH(G1550,Pubs!$A$2:$A$3001,0))&amp;"",""))</f>
        <v/>
      </c>
      <c r="J1550" s="27" t="str">
        <f aca="false">IF(OR(G1550="",G1550="?"),"",IFERROR(INDEX(Pubs!$G$2:$G$3001,MATCH(G1550,Pubs!$A$2:$A$3001,0))&amp;"",""))</f>
        <v/>
      </c>
      <c r="K1550" s="28" t="str">
        <f aca="false">IF(OR(G1550="",G1550="?"),"",IFERROR(INDEX(Pubs!$E$2:$E$3001,MATCH(G1550,Pubs!$A$2:$A$3001,0)),""))</f>
        <v/>
      </c>
      <c r="L1550" s="29" t="str">
        <f aca="false">IF(A1550="","",IFERROR(1/(1/INDEX(Numéros!$C$2:$C$3001,MATCH(A1550&amp;"|"&amp;B1550,Numéros!$F$2:$F$3001,0))),""))</f>
        <v/>
      </c>
      <c r="M1550" s="27" t="str">
        <f aca="false">IF(OR(G1550="",G1550="?"),"",IFERROR(INDEX(Pubs!$D$2:$D$3001,MATCH(G1550,Pubs!$A$2:$A$3001,0))&amp;"",""))</f>
        <v/>
      </c>
      <c r="N1550" s="27" t="n">
        <f aca="false">N(N1549)+IF(AND(A1550&lt;&gt;"",OR(Recherche!$C$4="",A1550=Recherche!$C$4),OR(Recherche!$C$5="",B1550&amp;""=Recherche!$C$5&amp;""),OR(Recherche!$C$6="",IFERROR(YEAR(L1550),0)=Recherche!$C$6),OR(Recherche!$C$7="",ISNUMBER(SEARCH(Recherche!$C$7,H1550))),OR(Recherche!$C$8="",J1550=Recherche!$C$8),OR(Recherche!$C$9="",I1550=Recherche!$C$9),OR(Recherche!$C$10="",G1550&amp;""=Recherche!$C$10&amp;""),OR(Recherche!$C$11="",E1550=Recherche!$C$11),OR(Recherche!$C$12="",ISNUMBER(SEARCH(Recherche!$C$12,M1550&amp;" "&amp;F1550)))),1,0)</f>
        <v>8</v>
      </c>
    </row>
    <row r="1551" customFormat="false" ht="15" hidden="false" customHeight="false" outlineLevel="0" collapsed="false">
      <c r="A1551" s="19"/>
      <c r="B1551" s="19"/>
      <c r="C1551" s="19"/>
      <c r="D1551" s="19"/>
      <c r="E1551" s="22"/>
      <c r="F1551" s="19"/>
      <c r="G1551" s="26" t="str">
        <f aca="false">IF(D1551="","",IFERROR(VALUE(LEFT(D1551,FIND(" |",D1551&amp;" |")-1)),"?"))</f>
        <v/>
      </c>
      <c r="H1551" s="27" t="str">
        <f aca="false">IF(G1551="","",IF(G1551="?","⚠ pub inconnue",IFERROR(INDEX(Pubs!$B$2:$B$3001,MATCH(G1551,Pubs!$A$2:$A$3001,0))&amp;"","⚠ pub inconnue")))</f>
        <v/>
      </c>
      <c r="I1551" s="27" t="str">
        <f aca="false">IF(OR(G1551="",G1551="?"),"",IFERROR(INDEX(Pubs!$C$2:$C$3001,MATCH(G1551,Pubs!$A$2:$A$3001,0))&amp;"",""))</f>
        <v/>
      </c>
      <c r="J1551" s="27" t="str">
        <f aca="false">IF(OR(G1551="",G1551="?"),"",IFERROR(INDEX(Pubs!$G$2:$G$3001,MATCH(G1551,Pubs!$A$2:$A$3001,0))&amp;"",""))</f>
        <v/>
      </c>
      <c r="K1551" s="28" t="str">
        <f aca="false">IF(OR(G1551="",G1551="?"),"",IFERROR(INDEX(Pubs!$E$2:$E$3001,MATCH(G1551,Pubs!$A$2:$A$3001,0)),""))</f>
        <v/>
      </c>
      <c r="L1551" s="29" t="str">
        <f aca="false">IF(A1551="","",IFERROR(1/(1/INDEX(Numéros!$C$2:$C$3001,MATCH(A1551&amp;"|"&amp;B1551,Numéros!$F$2:$F$3001,0))),""))</f>
        <v/>
      </c>
      <c r="M1551" s="27" t="str">
        <f aca="false">IF(OR(G1551="",G1551="?"),"",IFERROR(INDEX(Pubs!$D$2:$D$3001,MATCH(G1551,Pubs!$A$2:$A$3001,0))&amp;"",""))</f>
        <v/>
      </c>
      <c r="N1551" s="27" t="n">
        <f aca="false">N(N1550)+IF(AND(A1551&lt;&gt;"",OR(Recherche!$C$4="",A1551=Recherche!$C$4),OR(Recherche!$C$5="",B1551&amp;""=Recherche!$C$5&amp;""),OR(Recherche!$C$6="",IFERROR(YEAR(L1551),0)=Recherche!$C$6),OR(Recherche!$C$7="",ISNUMBER(SEARCH(Recherche!$C$7,H1551))),OR(Recherche!$C$8="",J1551=Recherche!$C$8),OR(Recherche!$C$9="",I1551=Recherche!$C$9),OR(Recherche!$C$10="",G1551&amp;""=Recherche!$C$10&amp;""),OR(Recherche!$C$11="",E1551=Recherche!$C$11),OR(Recherche!$C$12="",ISNUMBER(SEARCH(Recherche!$C$12,M1551&amp;" "&amp;F1551)))),1,0)</f>
        <v>8</v>
      </c>
    </row>
    <row r="1552" customFormat="false" ht="15" hidden="false" customHeight="false" outlineLevel="0" collapsed="false">
      <c r="A1552" s="19"/>
      <c r="B1552" s="19"/>
      <c r="C1552" s="19"/>
      <c r="D1552" s="19"/>
      <c r="E1552" s="22"/>
      <c r="F1552" s="19"/>
      <c r="G1552" s="26" t="str">
        <f aca="false">IF(D1552="","",IFERROR(VALUE(LEFT(D1552,FIND(" |",D1552&amp;" |")-1)),"?"))</f>
        <v/>
      </c>
      <c r="H1552" s="27" t="str">
        <f aca="false">IF(G1552="","",IF(G1552="?","⚠ pub inconnue",IFERROR(INDEX(Pubs!$B$2:$B$3001,MATCH(G1552,Pubs!$A$2:$A$3001,0))&amp;"","⚠ pub inconnue")))</f>
        <v/>
      </c>
      <c r="I1552" s="27" t="str">
        <f aca="false">IF(OR(G1552="",G1552="?"),"",IFERROR(INDEX(Pubs!$C$2:$C$3001,MATCH(G1552,Pubs!$A$2:$A$3001,0))&amp;"",""))</f>
        <v/>
      </c>
      <c r="J1552" s="27" t="str">
        <f aca="false">IF(OR(G1552="",G1552="?"),"",IFERROR(INDEX(Pubs!$G$2:$G$3001,MATCH(G1552,Pubs!$A$2:$A$3001,0))&amp;"",""))</f>
        <v/>
      </c>
      <c r="K1552" s="28" t="str">
        <f aca="false">IF(OR(G1552="",G1552="?"),"",IFERROR(INDEX(Pubs!$E$2:$E$3001,MATCH(G1552,Pubs!$A$2:$A$3001,0)),""))</f>
        <v/>
      </c>
      <c r="L1552" s="29" t="str">
        <f aca="false">IF(A1552="","",IFERROR(1/(1/INDEX(Numéros!$C$2:$C$3001,MATCH(A1552&amp;"|"&amp;B1552,Numéros!$F$2:$F$3001,0))),""))</f>
        <v/>
      </c>
      <c r="M1552" s="27" t="str">
        <f aca="false">IF(OR(G1552="",G1552="?"),"",IFERROR(INDEX(Pubs!$D$2:$D$3001,MATCH(G1552,Pubs!$A$2:$A$3001,0))&amp;"",""))</f>
        <v/>
      </c>
      <c r="N1552" s="27" t="n">
        <f aca="false">N(N1551)+IF(AND(A1552&lt;&gt;"",OR(Recherche!$C$4="",A1552=Recherche!$C$4),OR(Recherche!$C$5="",B1552&amp;""=Recherche!$C$5&amp;""),OR(Recherche!$C$6="",IFERROR(YEAR(L1552),0)=Recherche!$C$6),OR(Recherche!$C$7="",ISNUMBER(SEARCH(Recherche!$C$7,H1552))),OR(Recherche!$C$8="",J1552=Recherche!$C$8),OR(Recherche!$C$9="",I1552=Recherche!$C$9),OR(Recherche!$C$10="",G1552&amp;""=Recherche!$C$10&amp;""),OR(Recherche!$C$11="",E1552=Recherche!$C$11),OR(Recherche!$C$12="",ISNUMBER(SEARCH(Recherche!$C$12,M1552&amp;" "&amp;F1552)))),1,0)</f>
        <v>8</v>
      </c>
    </row>
    <row r="1553" customFormat="false" ht="15" hidden="false" customHeight="false" outlineLevel="0" collapsed="false">
      <c r="A1553" s="19"/>
      <c r="B1553" s="19"/>
      <c r="C1553" s="19"/>
      <c r="D1553" s="19"/>
      <c r="E1553" s="22"/>
      <c r="F1553" s="19"/>
      <c r="G1553" s="26" t="str">
        <f aca="false">IF(D1553="","",IFERROR(VALUE(LEFT(D1553,FIND(" |",D1553&amp;" |")-1)),"?"))</f>
        <v/>
      </c>
      <c r="H1553" s="27" t="str">
        <f aca="false">IF(G1553="","",IF(G1553="?","⚠ pub inconnue",IFERROR(INDEX(Pubs!$B$2:$B$3001,MATCH(G1553,Pubs!$A$2:$A$3001,0))&amp;"","⚠ pub inconnue")))</f>
        <v/>
      </c>
      <c r="I1553" s="27" t="str">
        <f aca="false">IF(OR(G1553="",G1553="?"),"",IFERROR(INDEX(Pubs!$C$2:$C$3001,MATCH(G1553,Pubs!$A$2:$A$3001,0))&amp;"",""))</f>
        <v/>
      </c>
      <c r="J1553" s="27" t="str">
        <f aca="false">IF(OR(G1553="",G1553="?"),"",IFERROR(INDEX(Pubs!$G$2:$G$3001,MATCH(G1553,Pubs!$A$2:$A$3001,0))&amp;"",""))</f>
        <v/>
      </c>
      <c r="K1553" s="28" t="str">
        <f aca="false">IF(OR(G1553="",G1553="?"),"",IFERROR(INDEX(Pubs!$E$2:$E$3001,MATCH(G1553,Pubs!$A$2:$A$3001,0)),""))</f>
        <v/>
      </c>
      <c r="L1553" s="29" t="str">
        <f aca="false">IF(A1553="","",IFERROR(1/(1/INDEX(Numéros!$C$2:$C$3001,MATCH(A1553&amp;"|"&amp;B1553,Numéros!$F$2:$F$3001,0))),""))</f>
        <v/>
      </c>
      <c r="M1553" s="27" t="str">
        <f aca="false">IF(OR(G1553="",G1553="?"),"",IFERROR(INDEX(Pubs!$D$2:$D$3001,MATCH(G1553,Pubs!$A$2:$A$3001,0))&amp;"",""))</f>
        <v/>
      </c>
      <c r="N1553" s="27" t="n">
        <f aca="false">N(N1552)+IF(AND(A1553&lt;&gt;"",OR(Recherche!$C$4="",A1553=Recherche!$C$4),OR(Recherche!$C$5="",B1553&amp;""=Recherche!$C$5&amp;""),OR(Recherche!$C$6="",IFERROR(YEAR(L1553),0)=Recherche!$C$6),OR(Recherche!$C$7="",ISNUMBER(SEARCH(Recherche!$C$7,H1553))),OR(Recherche!$C$8="",J1553=Recherche!$C$8),OR(Recherche!$C$9="",I1553=Recherche!$C$9),OR(Recherche!$C$10="",G1553&amp;""=Recherche!$C$10&amp;""),OR(Recherche!$C$11="",E1553=Recherche!$C$11),OR(Recherche!$C$12="",ISNUMBER(SEARCH(Recherche!$C$12,M1553&amp;" "&amp;F1553)))),1,0)</f>
        <v>8</v>
      </c>
    </row>
    <row r="1554" customFormat="false" ht="15" hidden="false" customHeight="false" outlineLevel="0" collapsed="false">
      <c r="A1554" s="19"/>
      <c r="B1554" s="19"/>
      <c r="C1554" s="19"/>
      <c r="D1554" s="19"/>
      <c r="E1554" s="22"/>
      <c r="F1554" s="19"/>
      <c r="G1554" s="26" t="str">
        <f aca="false">IF(D1554="","",IFERROR(VALUE(LEFT(D1554,FIND(" |",D1554&amp;" |")-1)),"?"))</f>
        <v/>
      </c>
      <c r="H1554" s="27" t="str">
        <f aca="false">IF(G1554="","",IF(G1554="?","⚠ pub inconnue",IFERROR(INDEX(Pubs!$B$2:$B$3001,MATCH(G1554,Pubs!$A$2:$A$3001,0))&amp;"","⚠ pub inconnue")))</f>
        <v/>
      </c>
      <c r="I1554" s="27" t="str">
        <f aca="false">IF(OR(G1554="",G1554="?"),"",IFERROR(INDEX(Pubs!$C$2:$C$3001,MATCH(G1554,Pubs!$A$2:$A$3001,0))&amp;"",""))</f>
        <v/>
      </c>
      <c r="J1554" s="27" t="str">
        <f aca="false">IF(OR(G1554="",G1554="?"),"",IFERROR(INDEX(Pubs!$G$2:$G$3001,MATCH(G1554,Pubs!$A$2:$A$3001,0))&amp;"",""))</f>
        <v/>
      </c>
      <c r="K1554" s="28" t="str">
        <f aca="false">IF(OR(G1554="",G1554="?"),"",IFERROR(INDEX(Pubs!$E$2:$E$3001,MATCH(G1554,Pubs!$A$2:$A$3001,0)),""))</f>
        <v/>
      </c>
      <c r="L1554" s="29" t="str">
        <f aca="false">IF(A1554="","",IFERROR(1/(1/INDEX(Numéros!$C$2:$C$3001,MATCH(A1554&amp;"|"&amp;B1554,Numéros!$F$2:$F$3001,0))),""))</f>
        <v/>
      </c>
      <c r="M1554" s="27" t="str">
        <f aca="false">IF(OR(G1554="",G1554="?"),"",IFERROR(INDEX(Pubs!$D$2:$D$3001,MATCH(G1554,Pubs!$A$2:$A$3001,0))&amp;"",""))</f>
        <v/>
      </c>
      <c r="N1554" s="27" t="n">
        <f aca="false">N(N1553)+IF(AND(A1554&lt;&gt;"",OR(Recherche!$C$4="",A1554=Recherche!$C$4),OR(Recherche!$C$5="",B1554&amp;""=Recherche!$C$5&amp;""),OR(Recherche!$C$6="",IFERROR(YEAR(L1554),0)=Recherche!$C$6),OR(Recherche!$C$7="",ISNUMBER(SEARCH(Recherche!$C$7,H1554))),OR(Recherche!$C$8="",J1554=Recherche!$C$8),OR(Recherche!$C$9="",I1554=Recherche!$C$9),OR(Recherche!$C$10="",G1554&amp;""=Recherche!$C$10&amp;""),OR(Recherche!$C$11="",E1554=Recherche!$C$11),OR(Recherche!$C$12="",ISNUMBER(SEARCH(Recherche!$C$12,M1554&amp;" "&amp;F1554)))),1,0)</f>
        <v>8</v>
      </c>
    </row>
    <row r="1555" customFormat="false" ht="15" hidden="false" customHeight="false" outlineLevel="0" collapsed="false">
      <c r="A1555" s="19"/>
      <c r="B1555" s="19"/>
      <c r="C1555" s="19"/>
      <c r="D1555" s="19"/>
      <c r="E1555" s="22"/>
      <c r="F1555" s="19"/>
      <c r="G1555" s="26" t="str">
        <f aca="false">IF(D1555="","",IFERROR(VALUE(LEFT(D1555,FIND(" |",D1555&amp;" |")-1)),"?"))</f>
        <v/>
      </c>
      <c r="H1555" s="27" t="str">
        <f aca="false">IF(G1555="","",IF(G1555="?","⚠ pub inconnue",IFERROR(INDEX(Pubs!$B$2:$B$3001,MATCH(G1555,Pubs!$A$2:$A$3001,0))&amp;"","⚠ pub inconnue")))</f>
        <v/>
      </c>
      <c r="I1555" s="27" t="str">
        <f aca="false">IF(OR(G1555="",G1555="?"),"",IFERROR(INDEX(Pubs!$C$2:$C$3001,MATCH(G1555,Pubs!$A$2:$A$3001,0))&amp;"",""))</f>
        <v/>
      </c>
      <c r="J1555" s="27" t="str">
        <f aca="false">IF(OR(G1555="",G1555="?"),"",IFERROR(INDEX(Pubs!$G$2:$G$3001,MATCH(G1555,Pubs!$A$2:$A$3001,0))&amp;"",""))</f>
        <v/>
      </c>
      <c r="K1555" s="28" t="str">
        <f aca="false">IF(OR(G1555="",G1555="?"),"",IFERROR(INDEX(Pubs!$E$2:$E$3001,MATCH(G1555,Pubs!$A$2:$A$3001,0)),""))</f>
        <v/>
      </c>
      <c r="L1555" s="29" t="str">
        <f aca="false">IF(A1555="","",IFERROR(1/(1/INDEX(Numéros!$C$2:$C$3001,MATCH(A1555&amp;"|"&amp;B1555,Numéros!$F$2:$F$3001,0))),""))</f>
        <v/>
      </c>
      <c r="M1555" s="27" t="str">
        <f aca="false">IF(OR(G1555="",G1555="?"),"",IFERROR(INDEX(Pubs!$D$2:$D$3001,MATCH(G1555,Pubs!$A$2:$A$3001,0))&amp;"",""))</f>
        <v/>
      </c>
      <c r="N1555" s="27" t="n">
        <f aca="false">N(N1554)+IF(AND(A1555&lt;&gt;"",OR(Recherche!$C$4="",A1555=Recherche!$C$4),OR(Recherche!$C$5="",B1555&amp;""=Recherche!$C$5&amp;""),OR(Recherche!$C$6="",IFERROR(YEAR(L1555),0)=Recherche!$C$6),OR(Recherche!$C$7="",ISNUMBER(SEARCH(Recherche!$C$7,H1555))),OR(Recherche!$C$8="",J1555=Recherche!$C$8),OR(Recherche!$C$9="",I1555=Recherche!$C$9),OR(Recherche!$C$10="",G1555&amp;""=Recherche!$C$10&amp;""),OR(Recherche!$C$11="",E1555=Recherche!$C$11),OR(Recherche!$C$12="",ISNUMBER(SEARCH(Recherche!$C$12,M1555&amp;" "&amp;F1555)))),1,0)</f>
        <v>8</v>
      </c>
    </row>
    <row r="1556" customFormat="false" ht="15" hidden="false" customHeight="false" outlineLevel="0" collapsed="false">
      <c r="A1556" s="19"/>
      <c r="B1556" s="19"/>
      <c r="C1556" s="19"/>
      <c r="D1556" s="19"/>
      <c r="E1556" s="22"/>
      <c r="F1556" s="19"/>
      <c r="G1556" s="26" t="str">
        <f aca="false">IF(D1556="","",IFERROR(VALUE(LEFT(D1556,FIND(" |",D1556&amp;" |")-1)),"?"))</f>
        <v/>
      </c>
      <c r="H1556" s="27" t="str">
        <f aca="false">IF(G1556="","",IF(G1556="?","⚠ pub inconnue",IFERROR(INDEX(Pubs!$B$2:$B$3001,MATCH(G1556,Pubs!$A$2:$A$3001,0))&amp;"","⚠ pub inconnue")))</f>
        <v/>
      </c>
      <c r="I1556" s="27" t="str">
        <f aca="false">IF(OR(G1556="",G1556="?"),"",IFERROR(INDEX(Pubs!$C$2:$C$3001,MATCH(G1556,Pubs!$A$2:$A$3001,0))&amp;"",""))</f>
        <v/>
      </c>
      <c r="J1556" s="27" t="str">
        <f aca="false">IF(OR(G1556="",G1556="?"),"",IFERROR(INDEX(Pubs!$G$2:$G$3001,MATCH(G1556,Pubs!$A$2:$A$3001,0))&amp;"",""))</f>
        <v/>
      </c>
      <c r="K1556" s="28" t="str">
        <f aca="false">IF(OR(G1556="",G1556="?"),"",IFERROR(INDEX(Pubs!$E$2:$E$3001,MATCH(G1556,Pubs!$A$2:$A$3001,0)),""))</f>
        <v/>
      </c>
      <c r="L1556" s="29" t="str">
        <f aca="false">IF(A1556="","",IFERROR(1/(1/INDEX(Numéros!$C$2:$C$3001,MATCH(A1556&amp;"|"&amp;B1556,Numéros!$F$2:$F$3001,0))),""))</f>
        <v/>
      </c>
      <c r="M1556" s="27" t="str">
        <f aca="false">IF(OR(G1556="",G1556="?"),"",IFERROR(INDEX(Pubs!$D$2:$D$3001,MATCH(G1556,Pubs!$A$2:$A$3001,0))&amp;"",""))</f>
        <v/>
      </c>
      <c r="N1556" s="27" t="n">
        <f aca="false">N(N1555)+IF(AND(A1556&lt;&gt;"",OR(Recherche!$C$4="",A1556=Recherche!$C$4),OR(Recherche!$C$5="",B1556&amp;""=Recherche!$C$5&amp;""),OR(Recherche!$C$6="",IFERROR(YEAR(L1556),0)=Recherche!$C$6),OR(Recherche!$C$7="",ISNUMBER(SEARCH(Recherche!$C$7,H1556))),OR(Recherche!$C$8="",J1556=Recherche!$C$8),OR(Recherche!$C$9="",I1556=Recherche!$C$9),OR(Recherche!$C$10="",G1556&amp;""=Recherche!$C$10&amp;""),OR(Recherche!$C$11="",E1556=Recherche!$C$11),OR(Recherche!$C$12="",ISNUMBER(SEARCH(Recherche!$C$12,M1556&amp;" "&amp;F1556)))),1,0)</f>
        <v>8</v>
      </c>
    </row>
    <row r="1557" customFormat="false" ht="15" hidden="false" customHeight="false" outlineLevel="0" collapsed="false">
      <c r="A1557" s="19"/>
      <c r="B1557" s="19"/>
      <c r="C1557" s="19"/>
      <c r="D1557" s="19"/>
      <c r="E1557" s="22"/>
      <c r="F1557" s="19"/>
      <c r="G1557" s="26" t="str">
        <f aca="false">IF(D1557="","",IFERROR(VALUE(LEFT(D1557,FIND(" |",D1557&amp;" |")-1)),"?"))</f>
        <v/>
      </c>
      <c r="H1557" s="27" t="str">
        <f aca="false">IF(G1557="","",IF(G1557="?","⚠ pub inconnue",IFERROR(INDEX(Pubs!$B$2:$B$3001,MATCH(G1557,Pubs!$A$2:$A$3001,0))&amp;"","⚠ pub inconnue")))</f>
        <v/>
      </c>
      <c r="I1557" s="27" t="str">
        <f aca="false">IF(OR(G1557="",G1557="?"),"",IFERROR(INDEX(Pubs!$C$2:$C$3001,MATCH(G1557,Pubs!$A$2:$A$3001,0))&amp;"",""))</f>
        <v/>
      </c>
      <c r="J1557" s="27" t="str">
        <f aca="false">IF(OR(G1557="",G1557="?"),"",IFERROR(INDEX(Pubs!$G$2:$G$3001,MATCH(G1557,Pubs!$A$2:$A$3001,0))&amp;"",""))</f>
        <v/>
      </c>
      <c r="K1557" s="28" t="str">
        <f aca="false">IF(OR(G1557="",G1557="?"),"",IFERROR(INDEX(Pubs!$E$2:$E$3001,MATCH(G1557,Pubs!$A$2:$A$3001,0)),""))</f>
        <v/>
      </c>
      <c r="L1557" s="29" t="str">
        <f aca="false">IF(A1557="","",IFERROR(1/(1/INDEX(Numéros!$C$2:$C$3001,MATCH(A1557&amp;"|"&amp;B1557,Numéros!$F$2:$F$3001,0))),""))</f>
        <v/>
      </c>
      <c r="M1557" s="27" t="str">
        <f aca="false">IF(OR(G1557="",G1557="?"),"",IFERROR(INDEX(Pubs!$D$2:$D$3001,MATCH(G1557,Pubs!$A$2:$A$3001,0))&amp;"",""))</f>
        <v/>
      </c>
      <c r="N1557" s="27" t="n">
        <f aca="false">N(N1556)+IF(AND(A1557&lt;&gt;"",OR(Recherche!$C$4="",A1557=Recherche!$C$4),OR(Recherche!$C$5="",B1557&amp;""=Recherche!$C$5&amp;""),OR(Recherche!$C$6="",IFERROR(YEAR(L1557),0)=Recherche!$C$6),OR(Recherche!$C$7="",ISNUMBER(SEARCH(Recherche!$C$7,H1557))),OR(Recherche!$C$8="",J1557=Recherche!$C$8),OR(Recherche!$C$9="",I1557=Recherche!$C$9),OR(Recherche!$C$10="",G1557&amp;""=Recherche!$C$10&amp;""),OR(Recherche!$C$11="",E1557=Recherche!$C$11),OR(Recherche!$C$12="",ISNUMBER(SEARCH(Recherche!$C$12,M1557&amp;" "&amp;F1557)))),1,0)</f>
        <v>8</v>
      </c>
    </row>
    <row r="1558" customFormat="false" ht="15" hidden="false" customHeight="false" outlineLevel="0" collapsed="false">
      <c r="A1558" s="19"/>
      <c r="B1558" s="19"/>
      <c r="C1558" s="19"/>
      <c r="D1558" s="19"/>
      <c r="E1558" s="22"/>
      <c r="F1558" s="19"/>
      <c r="G1558" s="26" t="str">
        <f aca="false">IF(D1558="","",IFERROR(VALUE(LEFT(D1558,FIND(" |",D1558&amp;" |")-1)),"?"))</f>
        <v/>
      </c>
      <c r="H1558" s="27" t="str">
        <f aca="false">IF(G1558="","",IF(G1558="?","⚠ pub inconnue",IFERROR(INDEX(Pubs!$B$2:$B$3001,MATCH(G1558,Pubs!$A$2:$A$3001,0))&amp;"","⚠ pub inconnue")))</f>
        <v/>
      </c>
      <c r="I1558" s="27" t="str">
        <f aca="false">IF(OR(G1558="",G1558="?"),"",IFERROR(INDEX(Pubs!$C$2:$C$3001,MATCH(G1558,Pubs!$A$2:$A$3001,0))&amp;"",""))</f>
        <v/>
      </c>
      <c r="J1558" s="27" t="str">
        <f aca="false">IF(OR(G1558="",G1558="?"),"",IFERROR(INDEX(Pubs!$G$2:$G$3001,MATCH(G1558,Pubs!$A$2:$A$3001,0))&amp;"",""))</f>
        <v/>
      </c>
      <c r="K1558" s="28" t="str">
        <f aca="false">IF(OR(G1558="",G1558="?"),"",IFERROR(INDEX(Pubs!$E$2:$E$3001,MATCH(G1558,Pubs!$A$2:$A$3001,0)),""))</f>
        <v/>
      </c>
      <c r="L1558" s="29" t="str">
        <f aca="false">IF(A1558="","",IFERROR(1/(1/INDEX(Numéros!$C$2:$C$3001,MATCH(A1558&amp;"|"&amp;B1558,Numéros!$F$2:$F$3001,0))),""))</f>
        <v/>
      </c>
      <c r="M1558" s="27" t="str">
        <f aca="false">IF(OR(G1558="",G1558="?"),"",IFERROR(INDEX(Pubs!$D$2:$D$3001,MATCH(G1558,Pubs!$A$2:$A$3001,0))&amp;"",""))</f>
        <v/>
      </c>
      <c r="N1558" s="27" t="n">
        <f aca="false">N(N1557)+IF(AND(A1558&lt;&gt;"",OR(Recherche!$C$4="",A1558=Recherche!$C$4),OR(Recherche!$C$5="",B1558&amp;""=Recherche!$C$5&amp;""),OR(Recherche!$C$6="",IFERROR(YEAR(L1558),0)=Recherche!$C$6),OR(Recherche!$C$7="",ISNUMBER(SEARCH(Recherche!$C$7,H1558))),OR(Recherche!$C$8="",J1558=Recherche!$C$8),OR(Recherche!$C$9="",I1558=Recherche!$C$9),OR(Recherche!$C$10="",G1558&amp;""=Recherche!$C$10&amp;""),OR(Recherche!$C$11="",E1558=Recherche!$C$11),OR(Recherche!$C$12="",ISNUMBER(SEARCH(Recherche!$C$12,M1558&amp;" "&amp;F1558)))),1,0)</f>
        <v>8</v>
      </c>
    </row>
    <row r="1559" customFormat="false" ht="15" hidden="false" customHeight="false" outlineLevel="0" collapsed="false">
      <c r="A1559" s="19"/>
      <c r="B1559" s="19"/>
      <c r="C1559" s="19"/>
      <c r="D1559" s="19"/>
      <c r="E1559" s="22"/>
      <c r="F1559" s="19"/>
      <c r="G1559" s="26" t="str">
        <f aca="false">IF(D1559="","",IFERROR(VALUE(LEFT(D1559,FIND(" |",D1559&amp;" |")-1)),"?"))</f>
        <v/>
      </c>
      <c r="H1559" s="27" t="str">
        <f aca="false">IF(G1559="","",IF(G1559="?","⚠ pub inconnue",IFERROR(INDEX(Pubs!$B$2:$B$3001,MATCH(G1559,Pubs!$A$2:$A$3001,0))&amp;"","⚠ pub inconnue")))</f>
        <v/>
      </c>
      <c r="I1559" s="27" t="str">
        <f aca="false">IF(OR(G1559="",G1559="?"),"",IFERROR(INDEX(Pubs!$C$2:$C$3001,MATCH(G1559,Pubs!$A$2:$A$3001,0))&amp;"",""))</f>
        <v/>
      </c>
      <c r="J1559" s="27" t="str">
        <f aca="false">IF(OR(G1559="",G1559="?"),"",IFERROR(INDEX(Pubs!$G$2:$G$3001,MATCH(G1559,Pubs!$A$2:$A$3001,0))&amp;"",""))</f>
        <v/>
      </c>
      <c r="K1559" s="28" t="str">
        <f aca="false">IF(OR(G1559="",G1559="?"),"",IFERROR(INDEX(Pubs!$E$2:$E$3001,MATCH(G1559,Pubs!$A$2:$A$3001,0)),""))</f>
        <v/>
      </c>
      <c r="L1559" s="29" t="str">
        <f aca="false">IF(A1559="","",IFERROR(1/(1/INDEX(Numéros!$C$2:$C$3001,MATCH(A1559&amp;"|"&amp;B1559,Numéros!$F$2:$F$3001,0))),""))</f>
        <v/>
      </c>
      <c r="M1559" s="27" t="str">
        <f aca="false">IF(OR(G1559="",G1559="?"),"",IFERROR(INDEX(Pubs!$D$2:$D$3001,MATCH(G1559,Pubs!$A$2:$A$3001,0))&amp;"",""))</f>
        <v/>
      </c>
      <c r="N1559" s="27" t="n">
        <f aca="false">N(N1558)+IF(AND(A1559&lt;&gt;"",OR(Recherche!$C$4="",A1559=Recherche!$C$4),OR(Recherche!$C$5="",B1559&amp;""=Recherche!$C$5&amp;""),OR(Recherche!$C$6="",IFERROR(YEAR(L1559),0)=Recherche!$C$6),OR(Recherche!$C$7="",ISNUMBER(SEARCH(Recherche!$C$7,H1559))),OR(Recherche!$C$8="",J1559=Recherche!$C$8),OR(Recherche!$C$9="",I1559=Recherche!$C$9),OR(Recherche!$C$10="",G1559&amp;""=Recherche!$C$10&amp;""),OR(Recherche!$C$11="",E1559=Recherche!$C$11),OR(Recherche!$C$12="",ISNUMBER(SEARCH(Recherche!$C$12,M1559&amp;" "&amp;F1559)))),1,0)</f>
        <v>8</v>
      </c>
    </row>
    <row r="1560" customFormat="false" ht="15" hidden="false" customHeight="false" outlineLevel="0" collapsed="false">
      <c r="A1560" s="19"/>
      <c r="B1560" s="19"/>
      <c r="C1560" s="19"/>
      <c r="D1560" s="19"/>
      <c r="E1560" s="22"/>
      <c r="F1560" s="19"/>
      <c r="G1560" s="26" t="str">
        <f aca="false">IF(D1560="","",IFERROR(VALUE(LEFT(D1560,FIND(" |",D1560&amp;" |")-1)),"?"))</f>
        <v/>
      </c>
      <c r="H1560" s="27" t="str">
        <f aca="false">IF(G1560="","",IF(G1560="?","⚠ pub inconnue",IFERROR(INDEX(Pubs!$B$2:$B$3001,MATCH(G1560,Pubs!$A$2:$A$3001,0))&amp;"","⚠ pub inconnue")))</f>
        <v/>
      </c>
      <c r="I1560" s="27" t="str">
        <f aca="false">IF(OR(G1560="",G1560="?"),"",IFERROR(INDEX(Pubs!$C$2:$C$3001,MATCH(G1560,Pubs!$A$2:$A$3001,0))&amp;"",""))</f>
        <v/>
      </c>
      <c r="J1560" s="27" t="str">
        <f aca="false">IF(OR(G1560="",G1560="?"),"",IFERROR(INDEX(Pubs!$G$2:$G$3001,MATCH(G1560,Pubs!$A$2:$A$3001,0))&amp;"",""))</f>
        <v/>
      </c>
      <c r="K1560" s="28" t="str">
        <f aca="false">IF(OR(G1560="",G1560="?"),"",IFERROR(INDEX(Pubs!$E$2:$E$3001,MATCH(G1560,Pubs!$A$2:$A$3001,0)),""))</f>
        <v/>
      </c>
      <c r="L1560" s="29" t="str">
        <f aca="false">IF(A1560="","",IFERROR(1/(1/INDEX(Numéros!$C$2:$C$3001,MATCH(A1560&amp;"|"&amp;B1560,Numéros!$F$2:$F$3001,0))),""))</f>
        <v/>
      </c>
      <c r="M1560" s="27" t="str">
        <f aca="false">IF(OR(G1560="",G1560="?"),"",IFERROR(INDEX(Pubs!$D$2:$D$3001,MATCH(G1560,Pubs!$A$2:$A$3001,0))&amp;"",""))</f>
        <v/>
      </c>
      <c r="N1560" s="27" t="n">
        <f aca="false">N(N1559)+IF(AND(A1560&lt;&gt;"",OR(Recherche!$C$4="",A1560=Recherche!$C$4),OR(Recherche!$C$5="",B1560&amp;""=Recherche!$C$5&amp;""),OR(Recherche!$C$6="",IFERROR(YEAR(L1560),0)=Recherche!$C$6),OR(Recherche!$C$7="",ISNUMBER(SEARCH(Recherche!$C$7,H1560))),OR(Recherche!$C$8="",J1560=Recherche!$C$8),OR(Recherche!$C$9="",I1560=Recherche!$C$9),OR(Recherche!$C$10="",G1560&amp;""=Recherche!$C$10&amp;""),OR(Recherche!$C$11="",E1560=Recherche!$C$11),OR(Recherche!$C$12="",ISNUMBER(SEARCH(Recherche!$C$12,M1560&amp;" "&amp;F1560)))),1,0)</f>
        <v>8</v>
      </c>
    </row>
    <row r="1561" customFormat="false" ht="15" hidden="false" customHeight="false" outlineLevel="0" collapsed="false">
      <c r="A1561" s="19"/>
      <c r="B1561" s="19"/>
      <c r="C1561" s="19"/>
      <c r="D1561" s="19"/>
      <c r="E1561" s="22"/>
      <c r="F1561" s="19"/>
      <c r="G1561" s="26" t="str">
        <f aca="false">IF(D1561="","",IFERROR(VALUE(LEFT(D1561,FIND(" |",D1561&amp;" |")-1)),"?"))</f>
        <v/>
      </c>
      <c r="H1561" s="27" t="str">
        <f aca="false">IF(G1561="","",IF(G1561="?","⚠ pub inconnue",IFERROR(INDEX(Pubs!$B$2:$B$3001,MATCH(G1561,Pubs!$A$2:$A$3001,0))&amp;"","⚠ pub inconnue")))</f>
        <v/>
      </c>
      <c r="I1561" s="27" t="str">
        <f aca="false">IF(OR(G1561="",G1561="?"),"",IFERROR(INDEX(Pubs!$C$2:$C$3001,MATCH(G1561,Pubs!$A$2:$A$3001,0))&amp;"",""))</f>
        <v/>
      </c>
      <c r="J1561" s="27" t="str">
        <f aca="false">IF(OR(G1561="",G1561="?"),"",IFERROR(INDEX(Pubs!$G$2:$G$3001,MATCH(G1561,Pubs!$A$2:$A$3001,0))&amp;"",""))</f>
        <v/>
      </c>
      <c r="K1561" s="28" t="str">
        <f aca="false">IF(OR(G1561="",G1561="?"),"",IFERROR(INDEX(Pubs!$E$2:$E$3001,MATCH(G1561,Pubs!$A$2:$A$3001,0)),""))</f>
        <v/>
      </c>
      <c r="L1561" s="29" t="str">
        <f aca="false">IF(A1561="","",IFERROR(1/(1/INDEX(Numéros!$C$2:$C$3001,MATCH(A1561&amp;"|"&amp;B1561,Numéros!$F$2:$F$3001,0))),""))</f>
        <v/>
      </c>
      <c r="M1561" s="27" t="str">
        <f aca="false">IF(OR(G1561="",G1561="?"),"",IFERROR(INDEX(Pubs!$D$2:$D$3001,MATCH(G1561,Pubs!$A$2:$A$3001,0))&amp;"",""))</f>
        <v/>
      </c>
      <c r="N1561" s="27" t="n">
        <f aca="false">N(N1560)+IF(AND(A1561&lt;&gt;"",OR(Recherche!$C$4="",A1561=Recherche!$C$4),OR(Recherche!$C$5="",B1561&amp;""=Recherche!$C$5&amp;""),OR(Recherche!$C$6="",IFERROR(YEAR(L1561),0)=Recherche!$C$6),OR(Recherche!$C$7="",ISNUMBER(SEARCH(Recherche!$C$7,H1561))),OR(Recherche!$C$8="",J1561=Recherche!$C$8),OR(Recherche!$C$9="",I1561=Recherche!$C$9),OR(Recherche!$C$10="",G1561&amp;""=Recherche!$C$10&amp;""),OR(Recherche!$C$11="",E1561=Recherche!$C$11),OR(Recherche!$C$12="",ISNUMBER(SEARCH(Recherche!$C$12,M1561&amp;" "&amp;F1561)))),1,0)</f>
        <v>8</v>
      </c>
    </row>
    <row r="1562" customFormat="false" ht="15" hidden="false" customHeight="false" outlineLevel="0" collapsed="false">
      <c r="A1562" s="19"/>
      <c r="B1562" s="19"/>
      <c r="C1562" s="19"/>
      <c r="D1562" s="19"/>
      <c r="E1562" s="22"/>
      <c r="F1562" s="19"/>
      <c r="G1562" s="26" t="str">
        <f aca="false">IF(D1562="","",IFERROR(VALUE(LEFT(D1562,FIND(" |",D1562&amp;" |")-1)),"?"))</f>
        <v/>
      </c>
      <c r="H1562" s="27" t="str">
        <f aca="false">IF(G1562="","",IF(G1562="?","⚠ pub inconnue",IFERROR(INDEX(Pubs!$B$2:$B$3001,MATCH(G1562,Pubs!$A$2:$A$3001,0))&amp;"","⚠ pub inconnue")))</f>
        <v/>
      </c>
      <c r="I1562" s="27" t="str">
        <f aca="false">IF(OR(G1562="",G1562="?"),"",IFERROR(INDEX(Pubs!$C$2:$C$3001,MATCH(G1562,Pubs!$A$2:$A$3001,0))&amp;"",""))</f>
        <v/>
      </c>
      <c r="J1562" s="27" t="str">
        <f aca="false">IF(OR(G1562="",G1562="?"),"",IFERROR(INDEX(Pubs!$G$2:$G$3001,MATCH(G1562,Pubs!$A$2:$A$3001,0))&amp;"",""))</f>
        <v/>
      </c>
      <c r="K1562" s="28" t="str">
        <f aca="false">IF(OR(G1562="",G1562="?"),"",IFERROR(INDEX(Pubs!$E$2:$E$3001,MATCH(G1562,Pubs!$A$2:$A$3001,0)),""))</f>
        <v/>
      </c>
      <c r="L1562" s="29" t="str">
        <f aca="false">IF(A1562="","",IFERROR(1/(1/INDEX(Numéros!$C$2:$C$3001,MATCH(A1562&amp;"|"&amp;B1562,Numéros!$F$2:$F$3001,0))),""))</f>
        <v/>
      </c>
      <c r="M1562" s="27" t="str">
        <f aca="false">IF(OR(G1562="",G1562="?"),"",IFERROR(INDEX(Pubs!$D$2:$D$3001,MATCH(G1562,Pubs!$A$2:$A$3001,0))&amp;"",""))</f>
        <v/>
      </c>
      <c r="N1562" s="27" t="n">
        <f aca="false">N(N1561)+IF(AND(A1562&lt;&gt;"",OR(Recherche!$C$4="",A1562=Recherche!$C$4),OR(Recherche!$C$5="",B1562&amp;""=Recherche!$C$5&amp;""),OR(Recherche!$C$6="",IFERROR(YEAR(L1562),0)=Recherche!$C$6),OR(Recherche!$C$7="",ISNUMBER(SEARCH(Recherche!$C$7,H1562))),OR(Recherche!$C$8="",J1562=Recherche!$C$8),OR(Recherche!$C$9="",I1562=Recherche!$C$9),OR(Recherche!$C$10="",G1562&amp;""=Recherche!$C$10&amp;""),OR(Recherche!$C$11="",E1562=Recherche!$C$11),OR(Recherche!$C$12="",ISNUMBER(SEARCH(Recherche!$C$12,M1562&amp;" "&amp;F1562)))),1,0)</f>
        <v>8</v>
      </c>
    </row>
    <row r="1563" customFormat="false" ht="15" hidden="false" customHeight="false" outlineLevel="0" collapsed="false">
      <c r="A1563" s="19"/>
      <c r="B1563" s="19"/>
      <c r="C1563" s="19"/>
      <c r="D1563" s="19"/>
      <c r="E1563" s="22"/>
      <c r="F1563" s="19"/>
      <c r="G1563" s="26" t="str">
        <f aca="false">IF(D1563="","",IFERROR(VALUE(LEFT(D1563,FIND(" |",D1563&amp;" |")-1)),"?"))</f>
        <v/>
      </c>
      <c r="H1563" s="27" t="str">
        <f aca="false">IF(G1563="","",IF(G1563="?","⚠ pub inconnue",IFERROR(INDEX(Pubs!$B$2:$B$3001,MATCH(G1563,Pubs!$A$2:$A$3001,0))&amp;"","⚠ pub inconnue")))</f>
        <v/>
      </c>
      <c r="I1563" s="27" t="str">
        <f aca="false">IF(OR(G1563="",G1563="?"),"",IFERROR(INDEX(Pubs!$C$2:$C$3001,MATCH(G1563,Pubs!$A$2:$A$3001,0))&amp;"",""))</f>
        <v/>
      </c>
      <c r="J1563" s="27" t="str">
        <f aca="false">IF(OR(G1563="",G1563="?"),"",IFERROR(INDEX(Pubs!$G$2:$G$3001,MATCH(G1563,Pubs!$A$2:$A$3001,0))&amp;"",""))</f>
        <v/>
      </c>
      <c r="K1563" s="28" t="str">
        <f aca="false">IF(OR(G1563="",G1563="?"),"",IFERROR(INDEX(Pubs!$E$2:$E$3001,MATCH(G1563,Pubs!$A$2:$A$3001,0)),""))</f>
        <v/>
      </c>
      <c r="L1563" s="29" t="str">
        <f aca="false">IF(A1563="","",IFERROR(1/(1/INDEX(Numéros!$C$2:$C$3001,MATCH(A1563&amp;"|"&amp;B1563,Numéros!$F$2:$F$3001,0))),""))</f>
        <v/>
      </c>
      <c r="M1563" s="27" t="str">
        <f aca="false">IF(OR(G1563="",G1563="?"),"",IFERROR(INDEX(Pubs!$D$2:$D$3001,MATCH(G1563,Pubs!$A$2:$A$3001,0))&amp;"",""))</f>
        <v/>
      </c>
      <c r="N1563" s="27" t="n">
        <f aca="false">N(N1562)+IF(AND(A1563&lt;&gt;"",OR(Recherche!$C$4="",A1563=Recherche!$C$4),OR(Recherche!$C$5="",B1563&amp;""=Recherche!$C$5&amp;""),OR(Recherche!$C$6="",IFERROR(YEAR(L1563),0)=Recherche!$C$6),OR(Recherche!$C$7="",ISNUMBER(SEARCH(Recherche!$C$7,H1563))),OR(Recherche!$C$8="",J1563=Recherche!$C$8),OR(Recherche!$C$9="",I1563=Recherche!$C$9),OR(Recherche!$C$10="",G1563&amp;""=Recherche!$C$10&amp;""),OR(Recherche!$C$11="",E1563=Recherche!$C$11),OR(Recherche!$C$12="",ISNUMBER(SEARCH(Recherche!$C$12,M1563&amp;" "&amp;F1563)))),1,0)</f>
        <v>8</v>
      </c>
    </row>
    <row r="1564" customFormat="false" ht="15" hidden="false" customHeight="false" outlineLevel="0" collapsed="false">
      <c r="A1564" s="19"/>
      <c r="B1564" s="19"/>
      <c r="C1564" s="19"/>
      <c r="D1564" s="19"/>
      <c r="E1564" s="22"/>
      <c r="F1564" s="19"/>
      <c r="G1564" s="26" t="str">
        <f aca="false">IF(D1564="","",IFERROR(VALUE(LEFT(D1564,FIND(" |",D1564&amp;" |")-1)),"?"))</f>
        <v/>
      </c>
      <c r="H1564" s="27" t="str">
        <f aca="false">IF(G1564="","",IF(G1564="?","⚠ pub inconnue",IFERROR(INDEX(Pubs!$B$2:$B$3001,MATCH(G1564,Pubs!$A$2:$A$3001,0))&amp;"","⚠ pub inconnue")))</f>
        <v/>
      </c>
      <c r="I1564" s="27" t="str">
        <f aca="false">IF(OR(G1564="",G1564="?"),"",IFERROR(INDEX(Pubs!$C$2:$C$3001,MATCH(G1564,Pubs!$A$2:$A$3001,0))&amp;"",""))</f>
        <v/>
      </c>
      <c r="J1564" s="27" t="str">
        <f aca="false">IF(OR(G1564="",G1564="?"),"",IFERROR(INDEX(Pubs!$G$2:$G$3001,MATCH(G1564,Pubs!$A$2:$A$3001,0))&amp;"",""))</f>
        <v/>
      </c>
      <c r="K1564" s="28" t="str">
        <f aca="false">IF(OR(G1564="",G1564="?"),"",IFERROR(INDEX(Pubs!$E$2:$E$3001,MATCH(G1564,Pubs!$A$2:$A$3001,0)),""))</f>
        <v/>
      </c>
      <c r="L1564" s="29" t="str">
        <f aca="false">IF(A1564="","",IFERROR(1/(1/INDEX(Numéros!$C$2:$C$3001,MATCH(A1564&amp;"|"&amp;B1564,Numéros!$F$2:$F$3001,0))),""))</f>
        <v/>
      </c>
      <c r="M1564" s="27" t="str">
        <f aca="false">IF(OR(G1564="",G1564="?"),"",IFERROR(INDEX(Pubs!$D$2:$D$3001,MATCH(G1564,Pubs!$A$2:$A$3001,0))&amp;"",""))</f>
        <v/>
      </c>
      <c r="N1564" s="27" t="n">
        <f aca="false">N(N1563)+IF(AND(A1564&lt;&gt;"",OR(Recherche!$C$4="",A1564=Recherche!$C$4),OR(Recherche!$C$5="",B1564&amp;""=Recherche!$C$5&amp;""),OR(Recherche!$C$6="",IFERROR(YEAR(L1564),0)=Recherche!$C$6),OR(Recherche!$C$7="",ISNUMBER(SEARCH(Recherche!$C$7,H1564))),OR(Recherche!$C$8="",J1564=Recherche!$C$8),OR(Recherche!$C$9="",I1564=Recherche!$C$9),OR(Recherche!$C$10="",G1564&amp;""=Recherche!$C$10&amp;""),OR(Recherche!$C$11="",E1564=Recherche!$C$11),OR(Recherche!$C$12="",ISNUMBER(SEARCH(Recherche!$C$12,M1564&amp;" "&amp;F1564)))),1,0)</f>
        <v>8</v>
      </c>
    </row>
    <row r="1565" customFormat="false" ht="15" hidden="false" customHeight="false" outlineLevel="0" collapsed="false">
      <c r="A1565" s="19"/>
      <c r="B1565" s="19"/>
      <c r="C1565" s="19"/>
      <c r="D1565" s="19"/>
      <c r="E1565" s="22"/>
      <c r="F1565" s="19"/>
      <c r="G1565" s="26" t="str">
        <f aca="false">IF(D1565="","",IFERROR(VALUE(LEFT(D1565,FIND(" |",D1565&amp;" |")-1)),"?"))</f>
        <v/>
      </c>
      <c r="H1565" s="27" t="str">
        <f aca="false">IF(G1565="","",IF(G1565="?","⚠ pub inconnue",IFERROR(INDEX(Pubs!$B$2:$B$3001,MATCH(G1565,Pubs!$A$2:$A$3001,0))&amp;"","⚠ pub inconnue")))</f>
        <v/>
      </c>
      <c r="I1565" s="27" t="str">
        <f aca="false">IF(OR(G1565="",G1565="?"),"",IFERROR(INDEX(Pubs!$C$2:$C$3001,MATCH(G1565,Pubs!$A$2:$A$3001,0))&amp;"",""))</f>
        <v/>
      </c>
      <c r="J1565" s="27" t="str">
        <f aca="false">IF(OR(G1565="",G1565="?"),"",IFERROR(INDEX(Pubs!$G$2:$G$3001,MATCH(G1565,Pubs!$A$2:$A$3001,0))&amp;"",""))</f>
        <v/>
      </c>
      <c r="K1565" s="28" t="str">
        <f aca="false">IF(OR(G1565="",G1565="?"),"",IFERROR(INDEX(Pubs!$E$2:$E$3001,MATCH(G1565,Pubs!$A$2:$A$3001,0)),""))</f>
        <v/>
      </c>
      <c r="L1565" s="29" t="str">
        <f aca="false">IF(A1565="","",IFERROR(1/(1/INDEX(Numéros!$C$2:$C$3001,MATCH(A1565&amp;"|"&amp;B1565,Numéros!$F$2:$F$3001,0))),""))</f>
        <v/>
      </c>
      <c r="M1565" s="27" t="str">
        <f aca="false">IF(OR(G1565="",G1565="?"),"",IFERROR(INDEX(Pubs!$D$2:$D$3001,MATCH(G1565,Pubs!$A$2:$A$3001,0))&amp;"",""))</f>
        <v/>
      </c>
      <c r="N1565" s="27" t="n">
        <f aca="false">N(N1564)+IF(AND(A1565&lt;&gt;"",OR(Recherche!$C$4="",A1565=Recherche!$C$4),OR(Recherche!$C$5="",B1565&amp;""=Recherche!$C$5&amp;""),OR(Recherche!$C$6="",IFERROR(YEAR(L1565),0)=Recherche!$C$6),OR(Recherche!$C$7="",ISNUMBER(SEARCH(Recherche!$C$7,H1565))),OR(Recherche!$C$8="",J1565=Recherche!$C$8),OR(Recherche!$C$9="",I1565=Recherche!$C$9),OR(Recherche!$C$10="",G1565&amp;""=Recherche!$C$10&amp;""),OR(Recherche!$C$11="",E1565=Recherche!$C$11),OR(Recherche!$C$12="",ISNUMBER(SEARCH(Recherche!$C$12,M1565&amp;" "&amp;F1565)))),1,0)</f>
        <v>8</v>
      </c>
    </row>
    <row r="1566" customFormat="false" ht="15" hidden="false" customHeight="false" outlineLevel="0" collapsed="false">
      <c r="A1566" s="19"/>
      <c r="B1566" s="19"/>
      <c r="C1566" s="19"/>
      <c r="D1566" s="19"/>
      <c r="E1566" s="22"/>
      <c r="F1566" s="19"/>
      <c r="G1566" s="26" t="str">
        <f aca="false">IF(D1566="","",IFERROR(VALUE(LEFT(D1566,FIND(" |",D1566&amp;" |")-1)),"?"))</f>
        <v/>
      </c>
      <c r="H1566" s="27" t="str">
        <f aca="false">IF(G1566="","",IF(G1566="?","⚠ pub inconnue",IFERROR(INDEX(Pubs!$B$2:$B$3001,MATCH(G1566,Pubs!$A$2:$A$3001,0))&amp;"","⚠ pub inconnue")))</f>
        <v/>
      </c>
      <c r="I1566" s="27" t="str">
        <f aca="false">IF(OR(G1566="",G1566="?"),"",IFERROR(INDEX(Pubs!$C$2:$C$3001,MATCH(G1566,Pubs!$A$2:$A$3001,0))&amp;"",""))</f>
        <v/>
      </c>
      <c r="J1566" s="27" t="str">
        <f aca="false">IF(OR(G1566="",G1566="?"),"",IFERROR(INDEX(Pubs!$G$2:$G$3001,MATCH(G1566,Pubs!$A$2:$A$3001,0))&amp;"",""))</f>
        <v/>
      </c>
      <c r="K1566" s="28" t="str">
        <f aca="false">IF(OR(G1566="",G1566="?"),"",IFERROR(INDEX(Pubs!$E$2:$E$3001,MATCH(G1566,Pubs!$A$2:$A$3001,0)),""))</f>
        <v/>
      </c>
      <c r="L1566" s="29" t="str">
        <f aca="false">IF(A1566="","",IFERROR(1/(1/INDEX(Numéros!$C$2:$C$3001,MATCH(A1566&amp;"|"&amp;B1566,Numéros!$F$2:$F$3001,0))),""))</f>
        <v/>
      </c>
      <c r="M1566" s="27" t="str">
        <f aca="false">IF(OR(G1566="",G1566="?"),"",IFERROR(INDEX(Pubs!$D$2:$D$3001,MATCH(G1566,Pubs!$A$2:$A$3001,0))&amp;"",""))</f>
        <v/>
      </c>
      <c r="N1566" s="27" t="n">
        <f aca="false">N(N1565)+IF(AND(A1566&lt;&gt;"",OR(Recherche!$C$4="",A1566=Recherche!$C$4),OR(Recherche!$C$5="",B1566&amp;""=Recherche!$C$5&amp;""),OR(Recherche!$C$6="",IFERROR(YEAR(L1566),0)=Recherche!$C$6),OR(Recherche!$C$7="",ISNUMBER(SEARCH(Recherche!$C$7,H1566))),OR(Recherche!$C$8="",J1566=Recherche!$C$8),OR(Recherche!$C$9="",I1566=Recherche!$C$9),OR(Recherche!$C$10="",G1566&amp;""=Recherche!$C$10&amp;""),OR(Recherche!$C$11="",E1566=Recherche!$C$11),OR(Recherche!$C$12="",ISNUMBER(SEARCH(Recherche!$C$12,M1566&amp;" "&amp;F1566)))),1,0)</f>
        <v>8</v>
      </c>
    </row>
    <row r="1567" customFormat="false" ht="15" hidden="false" customHeight="false" outlineLevel="0" collapsed="false">
      <c r="A1567" s="19"/>
      <c r="B1567" s="19"/>
      <c r="C1567" s="19"/>
      <c r="D1567" s="19"/>
      <c r="E1567" s="22"/>
      <c r="F1567" s="19"/>
      <c r="G1567" s="26" t="str">
        <f aca="false">IF(D1567="","",IFERROR(VALUE(LEFT(D1567,FIND(" |",D1567&amp;" |")-1)),"?"))</f>
        <v/>
      </c>
      <c r="H1567" s="27" t="str">
        <f aca="false">IF(G1567="","",IF(G1567="?","⚠ pub inconnue",IFERROR(INDEX(Pubs!$B$2:$B$3001,MATCH(G1567,Pubs!$A$2:$A$3001,0))&amp;"","⚠ pub inconnue")))</f>
        <v/>
      </c>
      <c r="I1567" s="27" t="str">
        <f aca="false">IF(OR(G1567="",G1567="?"),"",IFERROR(INDEX(Pubs!$C$2:$C$3001,MATCH(G1567,Pubs!$A$2:$A$3001,0))&amp;"",""))</f>
        <v/>
      </c>
      <c r="J1567" s="27" t="str">
        <f aca="false">IF(OR(G1567="",G1567="?"),"",IFERROR(INDEX(Pubs!$G$2:$G$3001,MATCH(G1567,Pubs!$A$2:$A$3001,0))&amp;"",""))</f>
        <v/>
      </c>
      <c r="K1567" s="28" t="str">
        <f aca="false">IF(OR(G1567="",G1567="?"),"",IFERROR(INDEX(Pubs!$E$2:$E$3001,MATCH(G1567,Pubs!$A$2:$A$3001,0)),""))</f>
        <v/>
      </c>
      <c r="L1567" s="29" t="str">
        <f aca="false">IF(A1567="","",IFERROR(1/(1/INDEX(Numéros!$C$2:$C$3001,MATCH(A1567&amp;"|"&amp;B1567,Numéros!$F$2:$F$3001,0))),""))</f>
        <v/>
      </c>
      <c r="M1567" s="27" t="str">
        <f aca="false">IF(OR(G1567="",G1567="?"),"",IFERROR(INDEX(Pubs!$D$2:$D$3001,MATCH(G1567,Pubs!$A$2:$A$3001,0))&amp;"",""))</f>
        <v/>
      </c>
      <c r="N1567" s="27" t="n">
        <f aca="false">N(N1566)+IF(AND(A1567&lt;&gt;"",OR(Recherche!$C$4="",A1567=Recherche!$C$4),OR(Recherche!$C$5="",B1567&amp;""=Recherche!$C$5&amp;""),OR(Recherche!$C$6="",IFERROR(YEAR(L1567),0)=Recherche!$C$6),OR(Recherche!$C$7="",ISNUMBER(SEARCH(Recherche!$C$7,H1567))),OR(Recherche!$C$8="",J1567=Recherche!$C$8),OR(Recherche!$C$9="",I1567=Recherche!$C$9),OR(Recherche!$C$10="",G1567&amp;""=Recherche!$C$10&amp;""),OR(Recherche!$C$11="",E1567=Recherche!$C$11),OR(Recherche!$C$12="",ISNUMBER(SEARCH(Recherche!$C$12,M1567&amp;" "&amp;F1567)))),1,0)</f>
        <v>8</v>
      </c>
    </row>
    <row r="1568" customFormat="false" ht="15" hidden="false" customHeight="false" outlineLevel="0" collapsed="false">
      <c r="A1568" s="19"/>
      <c r="B1568" s="19"/>
      <c r="C1568" s="19"/>
      <c r="D1568" s="19"/>
      <c r="E1568" s="22"/>
      <c r="F1568" s="19"/>
      <c r="G1568" s="26" t="str">
        <f aca="false">IF(D1568="","",IFERROR(VALUE(LEFT(D1568,FIND(" |",D1568&amp;" |")-1)),"?"))</f>
        <v/>
      </c>
      <c r="H1568" s="27" t="str">
        <f aca="false">IF(G1568="","",IF(G1568="?","⚠ pub inconnue",IFERROR(INDEX(Pubs!$B$2:$B$3001,MATCH(G1568,Pubs!$A$2:$A$3001,0))&amp;"","⚠ pub inconnue")))</f>
        <v/>
      </c>
      <c r="I1568" s="27" t="str">
        <f aca="false">IF(OR(G1568="",G1568="?"),"",IFERROR(INDEX(Pubs!$C$2:$C$3001,MATCH(G1568,Pubs!$A$2:$A$3001,0))&amp;"",""))</f>
        <v/>
      </c>
      <c r="J1568" s="27" t="str">
        <f aca="false">IF(OR(G1568="",G1568="?"),"",IFERROR(INDEX(Pubs!$G$2:$G$3001,MATCH(G1568,Pubs!$A$2:$A$3001,0))&amp;"",""))</f>
        <v/>
      </c>
      <c r="K1568" s="28" t="str">
        <f aca="false">IF(OR(G1568="",G1568="?"),"",IFERROR(INDEX(Pubs!$E$2:$E$3001,MATCH(G1568,Pubs!$A$2:$A$3001,0)),""))</f>
        <v/>
      </c>
      <c r="L1568" s="29" t="str">
        <f aca="false">IF(A1568="","",IFERROR(1/(1/INDEX(Numéros!$C$2:$C$3001,MATCH(A1568&amp;"|"&amp;B1568,Numéros!$F$2:$F$3001,0))),""))</f>
        <v/>
      </c>
      <c r="M1568" s="27" t="str">
        <f aca="false">IF(OR(G1568="",G1568="?"),"",IFERROR(INDEX(Pubs!$D$2:$D$3001,MATCH(G1568,Pubs!$A$2:$A$3001,0))&amp;"",""))</f>
        <v/>
      </c>
      <c r="N1568" s="27" t="n">
        <f aca="false">N(N1567)+IF(AND(A1568&lt;&gt;"",OR(Recherche!$C$4="",A1568=Recherche!$C$4),OR(Recherche!$C$5="",B1568&amp;""=Recherche!$C$5&amp;""),OR(Recherche!$C$6="",IFERROR(YEAR(L1568),0)=Recherche!$C$6),OR(Recherche!$C$7="",ISNUMBER(SEARCH(Recherche!$C$7,H1568))),OR(Recherche!$C$8="",J1568=Recherche!$C$8),OR(Recherche!$C$9="",I1568=Recherche!$C$9),OR(Recherche!$C$10="",G1568&amp;""=Recherche!$C$10&amp;""),OR(Recherche!$C$11="",E1568=Recherche!$C$11),OR(Recherche!$C$12="",ISNUMBER(SEARCH(Recherche!$C$12,M1568&amp;" "&amp;F1568)))),1,0)</f>
        <v>8</v>
      </c>
    </row>
    <row r="1569" customFormat="false" ht="15" hidden="false" customHeight="false" outlineLevel="0" collapsed="false">
      <c r="A1569" s="19"/>
      <c r="B1569" s="19"/>
      <c r="C1569" s="19"/>
      <c r="D1569" s="19"/>
      <c r="E1569" s="22"/>
      <c r="F1569" s="19"/>
      <c r="G1569" s="26" t="str">
        <f aca="false">IF(D1569="","",IFERROR(VALUE(LEFT(D1569,FIND(" |",D1569&amp;" |")-1)),"?"))</f>
        <v/>
      </c>
      <c r="H1569" s="27" t="str">
        <f aca="false">IF(G1569="","",IF(G1569="?","⚠ pub inconnue",IFERROR(INDEX(Pubs!$B$2:$B$3001,MATCH(G1569,Pubs!$A$2:$A$3001,0))&amp;"","⚠ pub inconnue")))</f>
        <v/>
      </c>
      <c r="I1569" s="27" t="str">
        <f aca="false">IF(OR(G1569="",G1569="?"),"",IFERROR(INDEX(Pubs!$C$2:$C$3001,MATCH(G1569,Pubs!$A$2:$A$3001,0))&amp;"",""))</f>
        <v/>
      </c>
      <c r="J1569" s="27" t="str">
        <f aca="false">IF(OR(G1569="",G1569="?"),"",IFERROR(INDEX(Pubs!$G$2:$G$3001,MATCH(G1569,Pubs!$A$2:$A$3001,0))&amp;"",""))</f>
        <v/>
      </c>
      <c r="K1569" s="28" t="str">
        <f aca="false">IF(OR(G1569="",G1569="?"),"",IFERROR(INDEX(Pubs!$E$2:$E$3001,MATCH(G1569,Pubs!$A$2:$A$3001,0)),""))</f>
        <v/>
      </c>
      <c r="L1569" s="29" t="str">
        <f aca="false">IF(A1569="","",IFERROR(1/(1/INDEX(Numéros!$C$2:$C$3001,MATCH(A1569&amp;"|"&amp;B1569,Numéros!$F$2:$F$3001,0))),""))</f>
        <v/>
      </c>
      <c r="M1569" s="27" t="str">
        <f aca="false">IF(OR(G1569="",G1569="?"),"",IFERROR(INDEX(Pubs!$D$2:$D$3001,MATCH(G1569,Pubs!$A$2:$A$3001,0))&amp;"",""))</f>
        <v/>
      </c>
      <c r="N1569" s="27" t="n">
        <f aca="false">N(N1568)+IF(AND(A1569&lt;&gt;"",OR(Recherche!$C$4="",A1569=Recherche!$C$4),OR(Recherche!$C$5="",B1569&amp;""=Recherche!$C$5&amp;""),OR(Recherche!$C$6="",IFERROR(YEAR(L1569),0)=Recherche!$C$6),OR(Recherche!$C$7="",ISNUMBER(SEARCH(Recherche!$C$7,H1569))),OR(Recherche!$C$8="",J1569=Recherche!$C$8),OR(Recherche!$C$9="",I1569=Recherche!$C$9),OR(Recherche!$C$10="",G1569&amp;""=Recherche!$C$10&amp;""),OR(Recherche!$C$11="",E1569=Recherche!$C$11),OR(Recherche!$C$12="",ISNUMBER(SEARCH(Recherche!$C$12,M1569&amp;" "&amp;F1569)))),1,0)</f>
        <v>8</v>
      </c>
    </row>
    <row r="1570" customFormat="false" ht="15" hidden="false" customHeight="false" outlineLevel="0" collapsed="false">
      <c r="A1570" s="19"/>
      <c r="B1570" s="19"/>
      <c r="C1570" s="19"/>
      <c r="D1570" s="19"/>
      <c r="E1570" s="22"/>
      <c r="F1570" s="19"/>
      <c r="G1570" s="26" t="str">
        <f aca="false">IF(D1570="","",IFERROR(VALUE(LEFT(D1570,FIND(" |",D1570&amp;" |")-1)),"?"))</f>
        <v/>
      </c>
      <c r="H1570" s="27" t="str">
        <f aca="false">IF(G1570="","",IF(G1570="?","⚠ pub inconnue",IFERROR(INDEX(Pubs!$B$2:$B$3001,MATCH(G1570,Pubs!$A$2:$A$3001,0))&amp;"","⚠ pub inconnue")))</f>
        <v/>
      </c>
      <c r="I1570" s="27" t="str">
        <f aca="false">IF(OR(G1570="",G1570="?"),"",IFERROR(INDEX(Pubs!$C$2:$C$3001,MATCH(G1570,Pubs!$A$2:$A$3001,0))&amp;"",""))</f>
        <v/>
      </c>
      <c r="J1570" s="27" t="str">
        <f aca="false">IF(OR(G1570="",G1570="?"),"",IFERROR(INDEX(Pubs!$G$2:$G$3001,MATCH(G1570,Pubs!$A$2:$A$3001,0))&amp;"",""))</f>
        <v/>
      </c>
      <c r="K1570" s="28" t="str">
        <f aca="false">IF(OR(G1570="",G1570="?"),"",IFERROR(INDEX(Pubs!$E$2:$E$3001,MATCH(G1570,Pubs!$A$2:$A$3001,0)),""))</f>
        <v/>
      </c>
      <c r="L1570" s="29" t="str">
        <f aca="false">IF(A1570="","",IFERROR(1/(1/INDEX(Numéros!$C$2:$C$3001,MATCH(A1570&amp;"|"&amp;B1570,Numéros!$F$2:$F$3001,0))),""))</f>
        <v/>
      </c>
      <c r="M1570" s="27" t="str">
        <f aca="false">IF(OR(G1570="",G1570="?"),"",IFERROR(INDEX(Pubs!$D$2:$D$3001,MATCH(G1570,Pubs!$A$2:$A$3001,0))&amp;"",""))</f>
        <v/>
      </c>
      <c r="N1570" s="27" t="n">
        <f aca="false">N(N1569)+IF(AND(A1570&lt;&gt;"",OR(Recherche!$C$4="",A1570=Recherche!$C$4),OR(Recherche!$C$5="",B1570&amp;""=Recherche!$C$5&amp;""),OR(Recherche!$C$6="",IFERROR(YEAR(L1570),0)=Recherche!$C$6),OR(Recherche!$C$7="",ISNUMBER(SEARCH(Recherche!$C$7,H1570))),OR(Recherche!$C$8="",J1570=Recherche!$C$8),OR(Recherche!$C$9="",I1570=Recherche!$C$9),OR(Recherche!$C$10="",G1570&amp;""=Recherche!$C$10&amp;""),OR(Recherche!$C$11="",E1570=Recherche!$C$11),OR(Recherche!$C$12="",ISNUMBER(SEARCH(Recherche!$C$12,M1570&amp;" "&amp;F1570)))),1,0)</f>
        <v>8</v>
      </c>
    </row>
    <row r="1571" customFormat="false" ht="15" hidden="false" customHeight="false" outlineLevel="0" collapsed="false">
      <c r="A1571" s="19"/>
      <c r="B1571" s="19"/>
      <c r="C1571" s="19"/>
      <c r="D1571" s="19"/>
      <c r="E1571" s="22"/>
      <c r="F1571" s="19"/>
      <c r="G1571" s="26" t="str">
        <f aca="false">IF(D1571="","",IFERROR(VALUE(LEFT(D1571,FIND(" |",D1571&amp;" |")-1)),"?"))</f>
        <v/>
      </c>
      <c r="H1571" s="27" t="str">
        <f aca="false">IF(G1571="","",IF(G1571="?","⚠ pub inconnue",IFERROR(INDEX(Pubs!$B$2:$B$3001,MATCH(G1571,Pubs!$A$2:$A$3001,0))&amp;"","⚠ pub inconnue")))</f>
        <v/>
      </c>
      <c r="I1571" s="27" t="str">
        <f aca="false">IF(OR(G1571="",G1571="?"),"",IFERROR(INDEX(Pubs!$C$2:$C$3001,MATCH(G1571,Pubs!$A$2:$A$3001,0))&amp;"",""))</f>
        <v/>
      </c>
      <c r="J1571" s="27" t="str">
        <f aca="false">IF(OR(G1571="",G1571="?"),"",IFERROR(INDEX(Pubs!$G$2:$G$3001,MATCH(G1571,Pubs!$A$2:$A$3001,0))&amp;"",""))</f>
        <v/>
      </c>
      <c r="K1571" s="28" t="str">
        <f aca="false">IF(OR(G1571="",G1571="?"),"",IFERROR(INDEX(Pubs!$E$2:$E$3001,MATCH(G1571,Pubs!$A$2:$A$3001,0)),""))</f>
        <v/>
      </c>
      <c r="L1571" s="29" t="str">
        <f aca="false">IF(A1571="","",IFERROR(1/(1/INDEX(Numéros!$C$2:$C$3001,MATCH(A1571&amp;"|"&amp;B1571,Numéros!$F$2:$F$3001,0))),""))</f>
        <v/>
      </c>
      <c r="M1571" s="27" t="str">
        <f aca="false">IF(OR(G1571="",G1571="?"),"",IFERROR(INDEX(Pubs!$D$2:$D$3001,MATCH(G1571,Pubs!$A$2:$A$3001,0))&amp;"",""))</f>
        <v/>
      </c>
      <c r="N1571" s="27" t="n">
        <f aca="false">N(N1570)+IF(AND(A1571&lt;&gt;"",OR(Recherche!$C$4="",A1571=Recherche!$C$4),OR(Recherche!$C$5="",B1571&amp;""=Recherche!$C$5&amp;""),OR(Recherche!$C$6="",IFERROR(YEAR(L1571),0)=Recherche!$C$6),OR(Recherche!$C$7="",ISNUMBER(SEARCH(Recherche!$C$7,H1571))),OR(Recherche!$C$8="",J1571=Recherche!$C$8),OR(Recherche!$C$9="",I1571=Recherche!$C$9),OR(Recherche!$C$10="",G1571&amp;""=Recherche!$C$10&amp;""),OR(Recherche!$C$11="",E1571=Recherche!$C$11),OR(Recherche!$C$12="",ISNUMBER(SEARCH(Recherche!$C$12,M1571&amp;" "&amp;F1571)))),1,0)</f>
        <v>8</v>
      </c>
    </row>
    <row r="1572" customFormat="false" ht="15" hidden="false" customHeight="false" outlineLevel="0" collapsed="false">
      <c r="A1572" s="19"/>
      <c r="B1572" s="19"/>
      <c r="C1572" s="19"/>
      <c r="D1572" s="19"/>
      <c r="E1572" s="22"/>
      <c r="F1572" s="19"/>
      <c r="G1572" s="26" t="str">
        <f aca="false">IF(D1572="","",IFERROR(VALUE(LEFT(D1572,FIND(" |",D1572&amp;" |")-1)),"?"))</f>
        <v/>
      </c>
      <c r="H1572" s="27" t="str">
        <f aca="false">IF(G1572="","",IF(G1572="?","⚠ pub inconnue",IFERROR(INDEX(Pubs!$B$2:$B$3001,MATCH(G1572,Pubs!$A$2:$A$3001,0))&amp;"","⚠ pub inconnue")))</f>
        <v/>
      </c>
      <c r="I1572" s="27" t="str">
        <f aca="false">IF(OR(G1572="",G1572="?"),"",IFERROR(INDEX(Pubs!$C$2:$C$3001,MATCH(G1572,Pubs!$A$2:$A$3001,0))&amp;"",""))</f>
        <v/>
      </c>
      <c r="J1572" s="27" t="str">
        <f aca="false">IF(OR(G1572="",G1572="?"),"",IFERROR(INDEX(Pubs!$G$2:$G$3001,MATCH(G1572,Pubs!$A$2:$A$3001,0))&amp;"",""))</f>
        <v/>
      </c>
      <c r="K1572" s="28" t="str">
        <f aca="false">IF(OR(G1572="",G1572="?"),"",IFERROR(INDEX(Pubs!$E$2:$E$3001,MATCH(G1572,Pubs!$A$2:$A$3001,0)),""))</f>
        <v/>
      </c>
      <c r="L1572" s="29" t="str">
        <f aca="false">IF(A1572="","",IFERROR(1/(1/INDEX(Numéros!$C$2:$C$3001,MATCH(A1572&amp;"|"&amp;B1572,Numéros!$F$2:$F$3001,0))),""))</f>
        <v/>
      </c>
      <c r="M1572" s="27" t="str">
        <f aca="false">IF(OR(G1572="",G1572="?"),"",IFERROR(INDEX(Pubs!$D$2:$D$3001,MATCH(G1572,Pubs!$A$2:$A$3001,0))&amp;"",""))</f>
        <v/>
      </c>
      <c r="N1572" s="27" t="n">
        <f aca="false">N(N1571)+IF(AND(A1572&lt;&gt;"",OR(Recherche!$C$4="",A1572=Recherche!$C$4),OR(Recherche!$C$5="",B1572&amp;""=Recherche!$C$5&amp;""),OR(Recherche!$C$6="",IFERROR(YEAR(L1572),0)=Recherche!$C$6),OR(Recherche!$C$7="",ISNUMBER(SEARCH(Recherche!$C$7,H1572))),OR(Recherche!$C$8="",J1572=Recherche!$C$8),OR(Recherche!$C$9="",I1572=Recherche!$C$9),OR(Recherche!$C$10="",G1572&amp;""=Recherche!$C$10&amp;""),OR(Recherche!$C$11="",E1572=Recherche!$C$11),OR(Recherche!$C$12="",ISNUMBER(SEARCH(Recherche!$C$12,M1572&amp;" "&amp;F1572)))),1,0)</f>
        <v>8</v>
      </c>
    </row>
    <row r="1573" customFormat="false" ht="15" hidden="false" customHeight="false" outlineLevel="0" collapsed="false">
      <c r="A1573" s="19"/>
      <c r="B1573" s="19"/>
      <c r="C1573" s="19"/>
      <c r="D1573" s="19"/>
      <c r="E1573" s="22"/>
      <c r="F1573" s="19"/>
      <c r="G1573" s="26" t="str">
        <f aca="false">IF(D1573="","",IFERROR(VALUE(LEFT(D1573,FIND(" |",D1573&amp;" |")-1)),"?"))</f>
        <v/>
      </c>
      <c r="H1573" s="27" t="str">
        <f aca="false">IF(G1573="","",IF(G1573="?","⚠ pub inconnue",IFERROR(INDEX(Pubs!$B$2:$B$3001,MATCH(G1573,Pubs!$A$2:$A$3001,0))&amp;"","⚠ pub inconnue")))</f>
        <v/>
      </c>
      <c r="I1573" s="27" t="str">
        <f aca="false">IF(OR(G1573="",G1573="?"),"",IFERROR(INDEX(Pubs!$C$2:$C$3001,MATCH(G1573,Pubs!$A$2:$A$3001,0))&amp;"",""))</f>
        <v/>
      </c>
      <c r="J1573" s="27" t="str">
        <f aca="false">IF(OR(G1573="",G1573="?"),"",IFERROR(INDEX(Pubs!$G$2:$G$3001,MATCH(G1573,Pubs!$A$2:$A$3001,0))&amp;"",""))</f>
        <v/>
      </c>
      <c r="K1573" s="28" t="str">
        <f aca="false">IF(OR(G1573="",G1573="?"),"",IFERROR(INDEX(Pubs!$E$2:$E$3001,MATCH(G1573,Pubs!$A$2:$A$3001,0)),""))</f>
        <v/>
      </c>
      <c r="L1573" s="29" t="str">
        <f aca="false">IF(A1573="","",IFERROR(1/(1/INDEX(Numéros!$C$2:$C$3001,MATCH(A1573&amp;"|"&amp;B1573,Numéros!$F$2:$F$3001,0))),""))</f>
        <v/>
      </c>
      <c r="M1573" s="27" t="str">
        <f aca="false">IF(OR(G1573="",G1573="?"),"",IFERROR(INDEX(Pubs!$D$2:$D$3001,MATCH(G1573,Pubs!$A$2:$A$3001,0))&amp;"",""))</f>
        <v/>
      </c>
      <c r="N1573" s="27" t="n">
        <f aca="false">N(N1572)+IF(AND(A1573&lt;&gt;"",OR(Recherche!$C$4="",A1573=Recherche!$C$4),OR(Recherche!$C$5="",B1573&amp;""=Recherche!$C$5&amp;""),OR(Recherche!$C$6="",IFERROR(YEAR(L1573),0)=Recherche!$C$6),OR(Recherche!$C$7="",ISNUMBER(SEARCH(Recherche!$C$7,H1573))),OR(Recherche!$C$8="",J1573=Recherche!$C$8),OR(Recherche!$C$9="",I1573=Recherche!$C$9),OR(Recherche!$C$10="",G1573&amp;""=Recherche!$C$10&amp;""),OR(Recherche!$C$11="",E1573=Recherche!$C$11),OR(Recherche!$C$12="",ISNUMBER(SEARCH(Recherche!$C$12,M1573&amp;" "&amp;F1573)))),1,0)</f>
        <v>8</v>
      </c>
    </row>
    <row r="1574" customFormat="false" ht="15" hidden="false" customHeight="false" outlineLevel="0" collapsed="false">
      <c r="A1574" s="19"/>
      <c r="B1574" s="19"/>
      <c r="C1574" s="19"/>
      <c r="D1574" s="19"/>
      <c r="E1574" s="22"/>
      <c r="F1574" s="19"/>
      <c r="G1574" s="26" t="str">
        <f aca="false">IF(D1574="","",IFERROR(VALUE(LEFT(D1574,FIND(" |",D1574&amp;" |")-1)),"?"))</f>
        <v/>
      </c>
      <c r="H1574" s="27" t="str">
        <f aca="false">IF(G1574="","",IF(G1574="?","⚠ pub inconnue",IFERROR(INDEX(Pubs!$B$2:$B$3001,MATCH(G1574,Pubs!$A$2:$A$3001,0))&amp;"","⚠ pub inconnue")))</f>
        <v/>
      </c>
      <c r="I1574" s="27" t="str">
        <f aca="false">IF(OR(G1574="",G1574="?"),"",IFERROR(INDEX(Pubs!$C$2:$C$3001,MATCH(G1574,Pubs!$A$2:$A$3001,0))&amp;"",""))</f>
        <v/>
      </c>
      <c r="J1574" s="27" t="str">
        <f aca="false">IF(OR(G1574="",G1574="?"),"",IFERROR(INDEX(Pubs!$G$2:$G$3001,MATCH(G1574,Pubs!$A$2:$A$3001,0))&amp;"",""))</f>
        <v/>
      </c>
      <c r="K1574" s="28" t="str">
        <f aca="false">IF(OR(G1574="",G1574="?"),"",IFERROR(INDEX(Pubs!$E$2:$E$3001,MATCH(G1574,Pubs!$A$2:$A$3001,0)),""))</f>
        <v/>
      </c>
      <c r="L1574" s="29" t="str">
        <f aca="false">IF(A1574="","",IFERROR(1/(1/INDEX(Numéros!$C$2:$C$3001,MATCH(A1574&amp;"|"&amp;B1574,Numéros!$F$2:$F$3001,0))),""))</f>
        <v/>
      </c>
      <c r="M1574" s="27" t="str">
        <f aca="false">IF(OR(G1574="",G1574="?"),"",IFERROR(INDEX(Pubs!$D$2:$D$3001,MATCH(G1574,Pubs!$A$2:$A$3001,0))&amp;"",""))</f>
        <v/>
      </c>
      <c r="N1574" s="27" t="n">
        <f aca="false">N(N1573)+IF(AND(A1574&lt;&gt;"",OR(Recherche!$C$4="",A1574=Recherche!$C$4),OR(Recherche!$C$5="",B1574&amp;""=Recherche!$C$5&amp;""),OR(Recherche!$C$6="",IFERROR(YEAR(L1574),0)=Recherche!$C$6),OR(Recherche!$C$7="",ISNUMBER(SEARCH(Recherche!$C$7,H1574))),OR(Recherche!$C$8="",J1574=Recherche!$C$8),OR(Recherche!$C$9="",I1574=Recherche!$C$9),OR(Recherche!$C$10="",G1574&amp;""=Recherche!$C$10&amp;""),OR(Recherche!$C$11="",E1574=Recherche!$C$11),OR(Recherche!$C$12="",ISNUMBER(SEARCH(Recherche!$C$12,M1574&amp;" "&amp;F1574)))),1,0)</f>
        <v>8</v>
      </c>
    </row>
    <row r="1575" customFormat="false" ht="15" hidden="false" customHeight="false" outlineLevel="0" collapsed="false">
      <c r="A1575" s="19"/>
      <c r="B1575" s="19"/>
      <c r="C1575" s="19"/>
      <c r="D1575" s="19"/>
      <c r="E1575" s="22"/>
      <c r="F1575" s="19"/>
      <c r="G1575" s="26" t="str">
        <f aca="false">IF(D1575="","",IFERROR(VALUE(LEFT(D1575,FIND(" |",D1575&amp;" |")-1)),"?"))</f>
        <v/>
      </c>
      <c r="H1575" s="27" t="str">
        <f aca="false">IF(G1575="","",IF(G1575="?","⚠ pub inconnue",IFERROR(INDEX(Pubs!$B$2:$B$3001,MATCH(G1575,Pubs!$A$2:$A$3001,0))&amp;"","⚠ pub inconnue")))</f>
        <v/>
      </c>
      <c r="I1575" s="27" t="str">
        <f aca="false">IF(OR(G1575="",G1575="?"),"",IFERROR(INDEX(Pubs!$C$2:$C$3001,MATCH(G1575,Pubs!$A$2:$A$3001,0))&amp;"",""))</f>
        <v/>
      </c>
      <c r="J1575" s="27" t="str">
        <f aca="false">IF(OR(G1575="",G1575="?"),"",IFERROR(INDEX(Pubs!$G$2:$G$3001,MATCH(G1575,Pubs!$A$2:$A$3001,0))&amp;"",""))</f>
        <v/>
      </c>
      <c r="K1575" s="28" t="str">
        <f aca="false">IF(OR(G1575="",G1575="?"),"",IFERROR(INDEX(Pubs!$E$2:$E$3001,MATCH(G1575,Pubs!$A$2:$A$3001,0)),""))</f>
        <v/>
      </c>
      <c r="L1575" s="29" t="str">
        <f aca="false">IF(A1575="","",IFERROR(1/(1/INDEX(Numéros!$C$2:$C$3001,MATCH(A1575&amp;"|"&amp;B1575,Numéros!$F$2:$F$3001,0))),""))</f>
        <v/>
      </c>
      <c r="M1575" s="27" t="str">
        <f aca="false">IF(OR(G1575="",G1575="?"),"",IFERROR(INDEX(Pubs!$D$2:$D$3001,MATCH(G1575,Pubs!$A$2:$A$3001,0))&amp;"",""))</f>
        <v/>
      </c>
      <c r="N1575" s="27" t="n">
        <f aca="false">N(N1574)+IF(AND(A1575&lt;&gt;"",OR(Recherche!$C$4="",A1575=Recherche!$C$4),OR(Recherche!$C$5="",B1575&amp;""=Recherche!$C$5&amp;""),OR(Recherche!$C$6="",IFERROR(YEAR(L1575),0)=Recherche!$C$6),OR(Recherche!$C$7="",ISNUMBER(SEARCH(Recherche!$C$7,H1575))),OR(Recherche!$C$8="",J1575=Recherche!$C$8),OR(Recherche!$C$9="",I1575=Recherche!$C$9),OR(Recherche!$C$10="",G1575&amp;""=Recherche!$C$10&amp;""),OR(Recherche!$C$11="",E1575=Recherche!$C$11),OR(Recherche!$C$12="",ISNUMBER(SEARCH(Recherche!$C$12,M1575&amp;" "&amp;F1575)))),1,0)</f>
        <v>8</v>
      </c>
    </row>
    <row r="1576" customFormat="false" ht="15" hidden="false" customHeight="false" outlineLevel="0" collapsed="false">
      <c r="A1576" s="19"/>
      <c r="B1576" s="19"/>
      <c r="C1576" s="19"/>
      <c r="D1576" s="19"/>
      <c r="E1576" s="22"/>
      <c r="F1576" s="19"/>
      <c r="G1576" s="26" t="str">
        <f aca="false">IF(D1576="","",IFERROR(VALUE(LEFT(D1576,FIND(" |",D1576&amp;" |")-1)),"?"))</f>
        <v/>
      </c>
      <c r="H1576" s="27" t="str">
        <f aca="false">IF(G1576="","",IF(G1576="?","⚠ pub inconnue",IFERROR(INDEX(Pubs!$B$2:$B$3001,MATCH(G1576,Pubs!$A$2:$A$3001,0))&amp;"","⚠ pub inconnue")))</f>
        <v/>
      </c>
      <c r="I1576" s="27" t="str">
        <f aca="false">IF(OR(G1576="",G1576="?"),"",IFERROR(INDEX(Pubs!$C$2:$C$3001,MATCH(G1576,Pubs!$A$2:$A$3001,0))&amp;"",""))</f>
        <v/>
      </c>
      <c r="J1576" s="27" t="str">
        <f aca="false">IF(OR(G1576="",G1576="?"),"",IFERROR(INDEX(Pubs!$G$2:$G$3001,MATCH(G1576,Pubs!$A$2:$A$3001,0))&amp;"",""))</f>
        <v/>
      </c>
      <c r="K1576" s="28" t="str">
        <f aca="false">IF(OR(G1576="",G1576="?"),"",IFERROR(INDEX(Pubs!$E$2:$E$3001,MATCH(G1576,Pubs!$A$2:$A$3001,0)),""))</f>
        <v/>
      </c>
      <c r="L1576" s="29" t="str">
        <f aca="false">IF(A1576="","",IFERROR(1/(1/INDEX(Numéros!$C$2:$C$3001,MATCH(A1576&amp;"|"&amp;B1576,Numéros!$F$2:$F$3001,0))),""))</f>
        <v/>
      </c>
      <c r="M1576" s="27" t="str">
        <f aca="false">IF(OR(G1576="",G1576="?"),"",IFERROR(INDEX(Pubs!$D$2:$D$3001,MATCH(G1576,Pubs!$A$2:$A$3001,0))&amp;"",""))</f>
        <v/>
      </c>
      <c r="N1576" s="27" t="n">
        <f aca="false">N(N1575)+IF(AND(A1576&lt;&gt;"",OR(Recherche!$C$4="",A1576=Recherche!$C$4),OR(Recherche!$C$5="",B1576&amp;""=Recherche!$C$5&amp;""),OR(Recherche!$C$6="",IFERROR(YEAR(L1576),0)=Recherche!$C$6),OR(Recherche!$C$7="",ISNUMBER(SEARCH(Recherche!$C$7,H1576))),OR(Recherche!$C$8="",J1576=Recherche!$C$8),OR(Recherche!$C$9="",I1576=Recherche!$C$9),OR(Recherche!$C$10="",G1576&amp;""=Recherche!$C$10&amp;""),OR(Recherche!$C$11="",E1576=Recherche!$C$11),OR(Recherche!$C$12="",ISNUMBER(SEARCH(Recherche!$C$12,M1576&amp;" "&amp;F1576)))),1,0)</f>
        <v>8</v>
      </c>
    </row>
    <row r="1577" customFormat="false" ht="15" hidden="false" customHeight="false" outlineLevel="0" collapsed="false">
      <c r="A1577" s="19"/>
      <c r="B1577" s="19"/>
      <c r="C1577" s="19"/>
      <c r="D1577" s="19"/>
      <c r="E1577" s="22"/>
      <c r="F1577" s="19"/>
      <c r="G1577" s="26" t="str">
        <f aca="false">IF(D1577="","",IFERROR(VALUE(LEFT(D1577,FIND(" |",D1577&amp;" |")-1)),"?"))</f>
        <v/>
      </c>
      <c r="H1577" s="27" t="str">
        <f aca="false">IF(G1577="","",IF(G1577="?","⚠ pub inconnue",IFERROR(INDEX(Pubs!$B$2:$B$3001,MATCH(G1577,Pubs!$A$2:$A$3001,0))&amp;"","⚠ pub inconnue")))</f>
        <v/>
      </c>
      <c r="I1577" s="27" t="str">
        <f aca="false">IF(OR(G1577="",G1577="?"),"",IFERROR(INDEX(Pubs!$C$2:$C$3001,MATCH(G1577,Pubs!$A$2:$A$3001,0))&amp;"",""))</f>
        <v/>
      </c>
      <c r="J1577" s="27" t="str">
        <f aca="false">IF(OR(G1577="",G1577="?"),"",IFERROR(INDEX(Pubs!$G$2:$G$3001,MATCH(G1577,Pubs!$A$2:$A$3001,0))&amp;"",""))</f>
        <v/>
      </c>
      <c r="K1577" s="28" t="str">
        <f aca="false">IF(OR(G1577="",G1577="?"),"",IFERROR(INDEX(Pubs!$E$2:$E$3001,MATCH(G1577,Pubs!$A$2:$A$3001,0)),""))</f>
        <v/>
      </c>
      <c r="L1577" s="29" t="str">
        <f aca="false">IF(A1577="","",IFERROR(1/(1/INDEX(Numéros!$C$2:$C$3001,MATCH(A1577&amp;"|"&amp;B1577,Numéros!$F$2:$F$3001,0))),""))</f>
        <v/>
      </c>
      <c r="M1577" s="27" t="str">
        <f aca="false">IF(OR(G1577="",G1577="?"),"",IFERROR(INDEX(Pubs!$D$2:$D$3001,MATCH(G1577,Pubs!$A$2:$A$3001,0))&amp;"",""))</f>
        <v/>
      </c>
      <c r="N1577" s="27" t="n">
        <f aca="false">N(N1576)+IF(AND(A1577&lt;&gt;"",OR(Recherche!$C$4="",A1577=Recherche!$C$4),OR(Recherche!$C$5="",B1577&amp;""=Recherche!$C$5&amp;""),OR(Recherche!$C$6="",IFERROR(YEAR(L1577),0)=Recherche!$C$6),OR(Recherche!$C$7="",ISNUMBER(SEARCH(Recherche!$C$7,H1577))),OR(Recherche!$C$8="",J1577=Recherche!$C$8),OR(Recherche!$C$9="",I1577=Recherche!$C$9),OR(Recherche!$C$10="",G1577&amp;""=Recherche!$C$10&amp;""),OR(Recherche!$C$11="",E1577=Recherche!$C$11),OR(Recherche!$C$12="",ISNUMBER(SEARCH(Recherche!$C$12,M1577&amp;" "&amp;F1577)))),1,0)</f>
        <v>8</v>
      </c>
    </row>
    <row r="1578" customFormat="false" ht="15" hidden="false" customHeight="false" outlineLevel="0" collapsed="false">
      <c r="A1578" s="19"/>
      <c r="B1578" s="19"/>
      <c r="C1578" s="19"/>
      <c r="D1578" s="19"/>
      <c r="E1578" s="22"/>
      <c r="F1578" s="19"/>
      <c r="G1578" s="26" t="str">
        <f aca="false">IF(D1578="","",IFERROR(VALUE(LEFT(D1578,FIND(" |",D1578&amp;" |")-1)),"?"))</f>
        <v/>
      </c>
      <c r="H1578" s="27" t="str">
        <f aca="false">IF(G1578="","",IF(G1578="?","⚠ pub inconnue",IFERROR(INDEX(Pubs!$B$2:$B$3001,MATCH(G1578,Pubs!$A$2:$A$3001,0))&amp;"","⚠ pub inconnue")))</f>
        <v/>
      </c>
      <c r="I1578" s="27" t="str">
        <f aca="false">IF(OR(G1578="",G1578="?"),"",IFERROR(INDEX(Pubs!$C$2:$C$3001,MATCH(G1578,Pubs!$A$2:$A$3001,0))&amp;"",""))</f>
        <v/>
      </c>
      <c r="J1578" s="27" t="str">
        <f aca="false">IF(OR(G1578="",G1578="?"),"",IFERROR(INDEX(Pubs!$G$2:$G$3001,MATCH(G1578,Pubs!$A$2:$A$3001,0))&amp;"",""))</f>
        <v/>
      </c>
      <c r="K1578" s="28" t="str">
        <f aca="false">IF(OR(G1578="",G1578="?"),"",IFERROR(INDEX(Pubs!$E$2:$E$3001,MATCH(G1578,Pubs!$A$2:$A$3001,0)),""))</f>
        <v/>
      </c>
      <c r="L1578" s="29" t="str">
        <f aca="false">IF(A1578="","",IFERROR(1/(1/INDEX(Numéros!$C$2:$C$3001,MATCH(A1578&amp;"|"&amp;B1578,Numéros!$F$2:$F$3001,0))),""))</f>
        <v/>
      </c>
      <c r="M1578" s="27" t="str">
        <f aca="false">IF(OR(G1578="",G1578="?"),"",IFERROR(INDEX(Pubs!$D$2:$D$3001,MATCH(G1578,Pubs!$A$2:$A$3001,0))&amp;"",""))</f>
        <v/>
      </c>
      <c r="N1578" s="27" t="n">
        <f aca="false">N(N1577)+IF(AND(A1578&lt;&gt;"",OR(Recherche!$C$4="",A1578=Recherche!$C$4),OR(Recherche!$C$5="",B1578&amp;""=Recherche!$C$5&amp;""),OR(Recherche!$C$6="",IFERROR(YEAR(L1578),0)=Recherche!$C$6),OR(Recherche!$C$7="",ISNUMBER(SEARCH(Recherche!$C$7,H1578))),OR(Recherche!$C$8="",J1578=Recherche!$C$8),OR(Recherche!$C$9="",I1578=Recherche!$C$9),OR(Recherche!$C$10="",G1578&amp;""=Recherche!$C$10&amp;""),OR(Recherche!$C$11="",E1578=Recherche!$C$11),OR(Recherche!$C$12="",ISNUMBER(SEARCH(Recherche!$C$12,M1578&amp;" "&amp;F1578)))),1,0)</f>
        <v>8</v>
      </c>
    </row>
    <row r="1579" customFormat="false" ht="15" hidden="false" customHeight="false" outlineLevel="0" collapsed="false">
      <c r="A1579" s="19"/>
      <c r="B1579" s="19"/>
      <c r="C1579" s="19"/>
      <c r="D1579" s="19"/>
      <c r="E1579" s="22"/>
      <c r="F1579" s="19"/>
      <c r="G1579" s="26" t="str">
        <f aca="false">IF(D1579="","",IFERROR(VALUE(LEFT(D1579,FIND(" |",D1579&amp;" |")-1)),"?"))</f>
        <v/>
      </c>
      <c r="H1579" s="27" t="str">
        <f aca="false">IF(G1579="","",IF(G1579="?","⚠ pub inconnue",IFERROR(INDEX(Pubs!$B$2:$B$3001,MATCH(G1579,Pubs!$A$2:$A$3001,0))&amp;"","⚠ pub inconnue")))</f>
        <v/>
      </c>
      <c r="I1579" s="27" t="str">
        <f aca="false">IF(OR(G1579="",G1579="?"),"",IFERROR(INDEX(Pubs!$C$2:$C$3001,MATCH(G1579,Pubs!$A$2:$A$3001,0))&amp;"",""))</f>
        <v/>
      </c>
      <c r="J1579" s="27" t="str">
        <f aca="false">IF(OR(G1579="",G1579="?"),"",IFERROR(INDEX(Pubs!$G$2:$G$3001,MATCH(G1579,Pubs!$A$2:$A$3001,0))&amp;"",""))</f>
        <v/>
      </c>
      <c r="K1579" s="28" t="str">
        <f aca="false">IF(OR(G1579="",G1579="?"),"",IFERROR(INDEX(Pubs!$E$2:$E$3001,MATCH(G1579,Pubs!$A$2:$A$3001,0)),""))</f>
        <v/>
      </c>
      <c r="L1579" s="29" t="str">
        <f aca="false">IF(A1579="","",IFERROR(1/(1/INDEX(Numéros!$C$2:$C$3001,MATCH(A1579&amp;"|"&amp;B1579,Numéros!$F$2:$F$3001,0))),""))</f>
        <v/>
      </c>
      <c r="M1579" s="27" t="str">
        <f aca="false">IF(OR(G1579="",G1579="?"),"",IFERROR(INDEX(Pubs!$D$2:$D$3001,MATCH(G1579,Pubs!$A$2:$A$3001,0))&amp;"",""))</f>
        <v/>
      </c>
      <c r="N1579" s="27" t="n">
        <f aca="false">N(N1578)+IF(AND(A1579&lt;&gt;"",OR(Recherche!$C$4="",A1579=Recherche!$C$4),OR(Recherche!$C$5="",B1579&amp;""=Recherche!$C$5&amp;""),OR(Recherche!$C$6="",IFERROR(YEAR(L1579),0)=Recherche!$C$6),OR(Recherche!$C$7="",ISNUMBER(SEARCH(Recherche!$C$7,H1579))),OR(Recherche!$C$8="",J1579=Recherche!$C$8),OR(Recherche!$C$9="",I1579=Recherche!$C$9),OR(Recherche!$C$10="",G1579&amp;""=Recherche!$C$10&amp;""),OR(Recherche!$C$11="",E1579=Recherche!$C$11),OR(Recherche!$C$12="",ISNUMBER(SEARCH(Recherche!$C$12,M1579&amp;" "&amp;F1579)))),1,0)</f>
        <v>8</v>
      </c>
    </row>
    <row r="1580" customFormat="false" ht="15" hidden="false" customHeight="false" outlineLevel="0" collapsed="false">
      <c r="A1580" s="19"/>
      <c r="B1580" s="19"/>
      <c r="C1580" s="19"/>
      <c r="D1580" s="19"/>
      <c r="E1580" s="22"/>
      <c r="F1580" s="19"/>
      <c r="G1580" s="26" t="str">
        <f aca="false">IF(D1580="","",IFERROR(VALUE(LEFT(D1580,FIND(" |",D1580&amp;" |")-1)),"?"))</f>
        <v/>
      </c>
      <c r="H1580" s="27" t="str">
        <f aca="false">IF(G1580="","",IF(G1580="?","⚠ pub inconnue",IFERROR(INDEX(Pubs!$B$2:$B$3001,MATCH(G1580,Pubs!$A$2:$A$3001,0))&amp;"","⚠ pub inconnue")))</f>
        <v/>
      </c>
      <c r="I1580" s="27" t="str">
        <f aca="false">IF(OR(G1580="",G1580="?"),"",IFERROR(INDEX(Pubs!$C$2:$C$3001,MATCH(G1580,Pubs!$A$2:$A$3001,0))&amp;"",""))</f>
        <v/>
      </c>
      <c r="J1580" s="27" t="str">
        <f aca="false">IF(OR(G1580="",G1580="?"),"",IFERROR(INDEX(Pubs!$G$2:$G$3001,MATCH(G1580,Pubs!$A$2:$A$3001,0))&amp;"",""))</f>
        <v/>
      </c>
      <c r="K1580" s="28" t="str">
        <f aca="false">IF(OR(G1580="",G1580="?"),"",IFERROR(INDEX(Pubs!$E$2:$E$3001,MATCH(G1580,Pubs!$A$2:$A$3001,0)),""))</f>
        <v/>
      </c>
      <c r="L1580" s="29" t="str">
        <f aca="false">IF(A1580="","",IFERROR(1/(1/INDEX(Numéros!$C$2:$C$3001,MATCH(A1580&amp;"|"&amp;B1580,Numéros!$F$2:$F$3001,0))),""))</f>
        <v/>
      </c>
      <c r="M1580" s="27" t="str">
        <f aca="false">IF(OR(G1580="",G1580="?"),"",IFERROR(INDEX(Pubs!$D$2:$D$3001,MATCH(G1580,Pubs!$A$2:$A$3001,0))&amp;"",""))</f>
        <v/>
      </c>
      <c r="N1580" s="27" t="n">
        <f aca="false">N(N1579)+IF(AND(A1580&lt;&gt;"",OR(Recherche!$C$4="",A1580=Recherche!$C$4),OR(Recherche!$C$5="",B1580&amp;""=Recherche!$C$5&amp;""),OR(Recherche!$C$6="",IFERROR(YEAR(L1580),0)=Recherche!$C$6),OR(Recherche!$C$7="",ISNUMBER(SEARCH(Recherche!$C$7,H1580))),OR(Recherche!$C$8="",J1580=Recherche!$C$8),OR(Recherche!$C$9="",I1580=Recherche!$C$9),OR(Recherche!$C$10="",G1580&amp;""=Recherche!$C$10&amp;""),OR(Recherche!$C$11="",E1580=Recherche!$C$11),OR(Recherche!$C$12="",ISNUMBER(SEARCH(Recherche!$C$12,M1580&amp;" "&amp;F1580)))),1,0)</f>
        <v>8</v>
      </c>
    </row>
    <row r="1581" customFormat="false" ht="15" hidden="false" customHeight="false" outlineLevel="0" collapsed="false">
      <c r="A1581" s="19"/>
      <c r="B1581" s="19"/>
      <c r="C1581" s="19"/>
      <c r="D1581" s="19"/>
      <c r="E1581" s="22"/>
      <c r="F1581" s="19"/>
      <c r="G1581" s="26" t="str">
        <f aca="false">IF(D1581="","",IFERROR(VALUE(LEFT(D1581,FIND(" |",D1581&amp;" |")-1)),"?"))</f>
        <v/>
      </c>
      <c r="H1581" s="27" t="str">
        <f aca="false">IF(G1581="","",IF(G1581="?","⚠ pub inconnue",IFERROR(INDEX(Pubs!$B$2:$B$3001,MATCH(G1581,Pubs!$A$2:$A$3001,0))&amp;"","⚠ pub inconnue")))</f>
        <v/>
      </c>
      <c r="I1581" s="27" t="str">
        <f aca="false">IF(OR(G1581="",G1581="?"),"",IFERROR(INDEX(Pubs!$C$2:$C$3001,MATCH(G1581,Pubs!$A$2:$A$3001,0))&amp;"",""))</f>
        <v/>
      </c>
      <c r="J1581" s="27" t="str">
        <f aca="false">IF(OR(G1581="",G1581="?"),"",IFERROR(INDEX(Pubs!$G$2:$G$3001,MATCH(G1581,Pubs!$A$2:$A$3001,0))&amp;"",""))</f>
        <v/>
      </c>
      <c r="K1581" s="28" t="str">
        <f aca="false">IF(OR(G1581="",G1581="?"),"",IFERROR(INDEX(Pubs!$E$2:$E$3001,MATCH(G1581,Pubs!$A$2:$A$3001,0)),""))</f>
        <v/>
      </c>
      <c r="L1581" s="29" t="str">
        <f aca="false">IF(A1581="","",IFERROR(1/(1/INDEX(Numéros!$C$2:$C$3001,MATCH(A1581&amp;"|"&amp;B1581,Numéros!$F$2:$F$3001,0))),""))</f>
        <v/>
      </c>
      <c r="M1581" s="27" t="str">
        <f aca="false">IF(OR(G1581="",G1581="?"),"",IFERROR(INDEX(Pubs!$D$2:$D$3001,MATCH(G1581,Pubs!$A$2:$A$3001,0))&amp;"",""))</f>
        <v/>
      </c>
      <c r="N1581" s="27" t="n">
        <f aca="false">N(N1580)+IF(AND(A1581&lt;&gt;"",OR(Recherche!$C$4="",A1581=Recherche!$C$4),OR(Recherche!$C$5="",B1581&amp;""=Recherche!$C$5&amp;""),OR(Recherche!$C$6="",IFERROR(YEAR(L1581),0)=Recherche!$C$6),OR(Recherche!$C$7="",ISNUMBER(SEARCH(Recherche!$C$7,H1581))),OR(Recherche!$C$8="",J1581=Recherche!$C$8),OR(Recherche!$C$9="",I1581=Recherche!$C$9),OR(Recherche!$C$10="",G1581&amp;""=Recherche!$C$10&amp;""),OR(Recherche!$C$11="",E1581=Recherche!$C$11),OR(Recherche!$C$12="",ISNUMBER(SEARCH(Recherche!$C$12,M1581&amp;" "&amp;F1581)))),1,0)</f>
        <v>8</v>
      </c>
    </row>
    <row r="1582" customFormat="false" ht="15" hidden="false" customHeight="false" outlineLevel="0" collapsed="false">
      <c r="A1582" s="19"/>
      <c r="B1582" s="19"/>
      <c r="C1582" s="19"/>
      <c r="D1582" s="19"/>
      <c r="E1582" s="22"/>
      <c r="F1582" s="19"/>
      <c r="G1582" s="26" t="str">
        <f aca="false">IF(D1582="","",IFERROR(VALUE(LEFT(D1582,FIND(" |",D1582&amp;" |")-1)),"?"))</f>
        <v/>
      </c>
      <c r="H1582" s="27" t="str">
        <f aca="false">IF(G1582="","",IF(G1582="?","⚠ pub inconnue",IFERROR(INDEX(Pubs!$B$2:$B$3001,MATCH(G1582,Pubs!$A$2:$A$3001,0))&amp;"","⚠ pub inconnue")))</f>
        <v/>
      </c>
      <c r="I1582" s="27" t="str">
        <f aca="false">IF(OR(G1582="",G1582="?"),"",IFERROR(INDEX(Pubs!$C$2:$C$3001,MATCH(G1582,Pubs!$A$2:$A$3001,0))&amp;"",""))</f>
        <v/>
      </c>
      <c r="J1582" s="27" t="str">
        <f aca="false">IF(OR(G1582="",G1582="?"),"",IFERROR(INDEX(Pubs!$G$2:$G$3001,MATCH(G1582,Pubs!$A$2:$A$3001,0))&amp;"",""))</f>
        <v/>
      </c>
      <c r="K1582" s="28" t="str">
        <f aca="false">IF(OR(G1582="",G1582="?"),"",IFERROR(INDEX(Pubs!$E$2:$E$3001,MATCH(G1582,Pubs!$A$2:$A$3001,0)),""))</f>
        <v/>
      </c>
      <c r="L1582" s="29" t="str">
        <f aca="false">IF(A1582="","",IFERROR(1/(1/INDEX(Numéros!$C$2:$C$3001,MATCH(A1582&amp;"|"&amp;B1582,Numéros!$F$2:$F$3001,0))),""))</f>
        <v/>
      </c>
      <c r="M1582" s="27" t="str">
        <f aca="false">IF(OR(G1582="",G1582="?"),"",IFERROR(INDEX(Pubs!$D$2:$D$3001,MATCH(G1582,Pubs!$A$2:$A$3001,0))&amp;"",""))</f>
        <v/>
      </c>
      <c r="N1582" s="27" t="n">
        <f aca="false">N(N1581)+IF(AND(A1582&lt;&gt;"",OR(Recherche!$C$4="",A1582=Recherche!$C$4),OR(Recherche!$C$5="",B1582&amp;""=Recherche!$C$5&amp;""),OR(Recherche!$C$6="",IFERROR(YEAR(L1582),0)=Recherche!$C$6),OR(Recherche!$C$7="",ISNUMBER(SEARCH(Recherche!$C$7,H1582))),OR(Recherche!$C$8="",J1582=Recherche!$C$8),OR(Recherche!$C$9="",I1582=Recherche!$C$9),OR(Recherche!$C$10="",G1582&amp;""=Recherche!$C$10&amp;""),OR(Recherche!$C$11="",E1582=Recherche!$C$11),OR(Recherche!$C$12="",ISNUMBER(SEARCH(Recherche!$C$12,M1582&amp;" "&amp;F1582)))),1,0)</f>
        <v>8</v>
      </c>
    </row>
    <row r="1583" customFormat="false" ht="15" hidden="false" customHeight="false" outlineLevel="0" collapsed="false">
      <c r="A1583" s="19"/>
      <c r="B1583" s="19"/>
      <c r="C1583" s="19"/>
      <c r="D1583" s="19"/>
      <c r="E1583" s="22"/>
      <c r="F1583" s="19"/>
      <c r="G1583" s="26" t="str">
        <f aca="false">IF(D1583="","",IFERROR(VALUE(LEFT(D1583,FIND(" |",D1583&amp;" |")-1)),"?"))</f>
        <v/>
      </c>
      <c r="H1583" s="27" t="str">
        <f aca="false">IF(G1583="","",IF(G1583="?","⚠ pub inconnue",IFERROR(INDEX(Pubs!$B$2:$B$3001,MATCH(G1583,Pubs!$A$2:$A$3001,0))&amp;"","⚠ pub inconnue")))</f>
        <v/>
      </c>
      <c r="I1583" s="27" t="str">
        <f aca="false">IF(OR(G1583="",G1583="?"),"",IFERROR(INDEX(Pubs!$C$2:$C$3001,MATCH(G1583,Pubs!$A$2:$A$3001,0))&amp;"",""))</f>
        <v/>
      </c>
      <c r="J1583" s="27" t="str">
        <f aca="false">IF(OR(G1583="",G1583="?"),"",IFERROR(INDEX(Pubs!$G$2:$G$3001,MATCH(G1583,Pubs!$A$2:$A$3001,0))&amp;"",""))</f>
        <v/>
      </c>
      <c r="K1583" s="28" t="str">
        <f aca="false">IF(OR(G1583="",G1583="?"),"",IFERROR(INDEX(Pubs!$E$2:$E$3001,MATCH(G1583,Pubs!$A$2:$A$3001,0)),""))</f>
        <v/>
      </c>
      <c r="L1583" s="29" t="str">
        <f aca="false">IF(A1583="","",IFERROR(1/(1/INDEX(Numéros!$C$2:$C$3001,MATCH(A1583&amp;"|"&amp;B1583,Numéros!$F$2:$F$3001,0))),""))</f>
        <v/>
      </c>
      <c r="M1583" s="27" t="str">
        <f aca="false">IF(OR(G1583="",G1583="?"),"",IFERROR(INDEX(Pubs!$D$2:$D$3001,MATCH(G1583,Pubs!$A$2:$A$3001,0))&amp;"",""))</f>
        <v/>
      </c>
      <c r="N1583" s="27" t="n">
        <f aca="false">N(N1582)+IF(AND(A1583&lt;&gt;"",OR(Recherche!$C$4="",A1583=Recherche!$C$4),OR(Recherche!$C$5="",B1583&amp;""=Recherche!$C$5&amp;""),OR(Recherche!$C$6="",IFERROR(YEAR(L1583),0)=Recherche!$C$6),OR(Recherche!$C$7="",ISNUMBER(SEARCH(Recherche!$C$7,H1583))),OR(Recherche!$C$8="",J1583=Recherche!$C$8),OR(Recherche!$C$9="",I1583=Recherche!$C$9),OR(Recherche!$C$10="",G1583&amp;""=Recherche!$C$10&amp;""),OR(Recherche!$C$11="",E1583=Recherche!$C$11),OR(Recherche!$C$12="",ISNUMBER(SEARCH(Recherche!$C$12,M1583&amp;" "&amp;F1583)))),1,0)</f>
        <v>8</v>
      </c>
    </row>
    <row r="1584" customFormat="false" ht="15" hidden="false" customHeight="false" outlineLevel="0" collapsed="false">
      <c r="A1584" s="19"/>
      <c r="B1584" s="19"/>
      <c r="C1584" s="19"/>
      <c r="D1584" s="19"/>
      <c r="E1584" s="22"/>
      <c r="F1584" s="19"/>
      <c r="G1584" s="26" t="str">
        <f aca="false">IF(D1584="","",IFERROR(VALUE(LEFT(D1584,FIND(" |",D1584&amp;" |")-1)),"?"))</f>
        <v/>
      </c>
      <c r="H1584" s="27" t="str">
        <f aca="false">IF(G1584="","",IF(G1584="?","⚠ pub inconnue",IFERROR(INDEX(Pubs!$B$2:$B$3001,MATCH(G1584,Pubs!$A$2:$A$3001,0))&amp;"","⚠ pub inconnue")))</f>
        <v/>
      </c>
      <c r="I1584" s="27" t="str">
        <f aca="false">IF(OR(G1584="",G1584="?"),"",IFERROR(INDEX(Pubs!$C$2:$C$3001,MATCH(G1584,Pubs!$A$2:$A$3001,0))&amp;"",""))</f>
        <v/>
      </c>
      <c r="J1584" s="27" t="str">
        <f aca="false">IF(OR(G1584="",G1584="?"),"",IFERROR(INDEX(Pubs!$G$2:$G$3001,MATCH(G1584,Pubs!$A$2:$A$3001,0))&amp;"",""))</f>
        <v/>
      </c>
      <c r="K1584" s="28" t="str">
        <f aca="false">IF(OR(G1584="",G1584="?"),"",IFERROR(INDEX(Pubs!$E$2:$E$3001,MATCH(G1584,Pubs!$A$2:$A$3001,0)),""))</f>
        <v/>
      </c>
      <c r="L1584" s="29" t="str">
        <f aca="false">IF(A1584="","",IFERROR(1/(1/INDEX(Numéros!$C$2:$C$3001,MATCH(A1584&amp;"|"&amp;B1584,Numéros!$F$2:$F$3001,0))),""))</f>
        <v/>
      </c>
      <c r="M1584" s="27" t="str">
        <f aca="false">IF(OR(G1584="",G1584="?"),"",IFERROR(INDEX(Pubs!$D$2:$D$3001,MATCH(G1584,Pubs!$A$2:$A$3001,0))&amp;"",""))</f>
        <v/>
      </c>
      <c r="N1584" s="27" t="n">
        <f aca="false">N(N1583)+IF(AND(A1584&lt;&gt;"",OR(Recherche!$C$4="",A1584=Recherche!$C$4),OR(Recherche!$C$5="",B1584&amp;""=Recherche!$C$5&amp;""),OR(Recherche!$C$6="",IFERROR(YEAR(L1584),0)=Recherche!$C$6),OR(Recherche!$C$7="",ISNUMBER(SEARCH(Recherche!$C$7,H1584))),OR(Recherche!$C$8="",J1584=Recherche!$C$8),OR(Recherche!$C$9="",I1584=Recherche!$C$9),OR(Recherche!$C$10="",G1584&amp;""=Recherche!$C$10&amp;""),OR(Recherche!$C$11="",E1584=Recherche!$C$11),OR(Recherche!$C$12="",ISNUMBER(SEARCH(Recherche!$C$12,M1584&amp;" "&amp;F1584)))),1,0)</f>
        <v>8</v>
      </c>
    </row>
    <row r="1585" customFormat="false" ht="15" hidden="false" customHeight="false" outlineLevel="0" collapsed="false">
      <c r="A1585" s="19"/>
      <c r="B1585" s="19"/>
      <c r="C1585" s="19"/>
      <c r="D1585" s="19"/>
      <c r="E1585" s="22"/>
      <c r="F1585" s="19"/>
      <c r="G1585" s="26" t="str">
        <f aca="false">IF(D1585="","",IFERROR(VALUE(LEFT(D1585,FIND(" |",D1585&amp;" |")-1)),"?"))</f>
        <v/>
      </c>
      <c r="H1585" s="27" t="str">
        <f aca="false">IF(G1585="","",IF(G1585="?","⚠ pub inconnue",IFERROR(INDEX(Pubs!$B$2:$B$3001,MATCH(G1585,Pubs!$A$2:$A$3001,0))&amp;"","⚠ pub inconnue")))</f>
        <v/>
      </c>
      <c r="I1585" s="27" t="str">
        <f aca="false">IF(OR(G1585="",G1585="?"),"",IFERROR(INDEX(Pubs!$C$2:$C$3001,MATCH(G1585,Pubs!$A$2:$A$3001,0))&amp;"",""))</f>
        <v/>
      </c>
      <c r="J1585" s="27" t="str">
        <f aca="false">IF(OR(G1585="",G1585="?"),"",IFERROR(INDEX(Pubs!$G$2:$G$3001,MATCH(G1585,Pubs!$A$2:$A$3001,0))&amp;"",""))</f>
        <v/>
      </c>
      <c r="K1585" s="28" t="str">
        <f aca="false">IF(OR(G1585="",G1585="?"),"",IFERROR(INDEX(Pubs!$E$2:$E$3001,MATCH(G1585,Pubs!$A$2:$A$3001,0)),""))</f>
        <v/>
      </c>
      <c r="L1585" s="29" t="str">
        <f aca="false">IF(A1585="","",IFERROR(1/(1/INDEX(Numéros!$C$2:$C$3001,MATCH(A1585&amp;"|"&amp;B1585,Numéros!$F$2:$F$3001,0))),""))</f>
        <v/>
      </c>
      <c r="M1585" s="27" t="str">
        <f aca="false">IF(OR(G1585="",G1585="?"),"",IFERROR(INDEX(Pubs!$D$2:$D$3001,MATCH(G1585,Pubs!$A$2:$A$3001,0))&amp;"",""))</f>
        <v/>
      </c>
      <c r="N1585" s="27" t="n">
        <f aca="false">N(N1584)+IF(AND(A1585&lt;&gt;"",OR(Recherche!$C$4="",A1585=Recherche!$C$4),OR(Recherche!$C$5="",B1585&amp;""=Recherche!$C$5&amp;""),OR(Recherche!$C$6="",IFERROR(YEAR(L1585),0)=Recherche!$C$6),OR(Recherche!$C$7="",ISNUMBER(SEARCH(Recherche!$C$7,H1585))),OR(Recherche!$C$8="",J1585=Recherche!$C$8),OR(Recherche!$C$9="",I1585=Recherche!$C$9),OR(Recherche!$C$10="",G1585&amp;""=Recherche!$C$10&amp;""),OR(Recherche!$C$11="",E1585=Recherche!$C$11),OR(Recherche!$C$12="",ISNUMBER(SEARCH(Recherche!$C$12,M1585&amp;" "&amp;F1585)))),1,0)</f>
        <v>8</v>
      </c>
    </row>
    <row r="1586" customFormat="false" ht="15" hidden="false" customHeight="false" outlineLevel="0" collapsed="false">
      <c r="A1586" s="19"/>
      <c r="B1586" s="19"/>
      <c r="C1586" s="19"/>
      <c r="D1586" s="19"/>
      <c r="E1586" s="22"/>
      <c r="F1586" s="19"/>
      <c r="G1586" s="26" t="str">
        <f aca="false">IF(D1586="","",IFERROR(VALUE(LEFT(D1586,FIND(" |",D1586&amp;" |")-1)),"?"))</f>
        <v/>
      </c>
      <c r="H1586" s="27" t="str">
        <f aca="false">IF(G1586="","",IF(G1586="?","⚠ pub inconnue",IFERROR(INDEX(Pubs!$B$2:$B$3001,MATCH(G1586,Pubs!$A$2:$A$3001,0))&amp;"","⚠ pub inconnue")))</f>
        <v/>
      </c>
      <c r="I1586" s="27" t="str">
        <f aca="false">IF(OR(G1586="",G1586="?"),"",IFERROR(INDEX(Pubs!$C$2:$C$3001,MATCH(G1586,Pubs!$A$2:$A$3001,0))&amp;"",""))</f>
        <v/>
      </c>
      <c r="J1586" s="27" t="str">
        <f aca="false">IF(OR(G1586="",G1586="?"),"",IFERROR(INDEX(Pubs!$G$2:$G$3001,MATCH(G1586,Pubs!$A$2:$A$3001,0))&amp;"",""))</f>
        <v/>
      </c>
      <c r="K1586" s="28" t="str">
        <f aca="false">IF(OR(G1586="",G1586="?"),"",IFERROR(INDEX(Pubs!$E$2:$E$3001,MATCH(G1586,Pubs!$A$2:$A$3001,0)),""))</f>
        <v/>
      </c>
      <c r="L1586" s="29" t="str">
        <f aca="false">IF(A1586="","",IFERROR(1/(1/INDEX(Numéros!$C$2:$C$3001,MATCH(A1586&amp;"|"&amp;B1586,Numéros!$F$2:$F$3001,0))),""))</f>
        <v/>
      </c>
      <c r="M1586" s="27" t="str">
        <f aca="false">IF(OR(G1586="",G1586="?"),"",IFERROR(INDEX(Pubs!$D$2:$D$3001,MATCH(G1586,Pubs!$A$2:$A$3001,0))&amp;"",""))</f>
        <v/>
      </c>
      <c r="N1586" s="27" t="n">
        <f aca="false">N(N1585)+IF(AND(A1586&lt;&gt;"",OR(Recherche!$C$4="",A1586=Recherche!$C$4),OR(Recherche!$C$5="",B1586&amp;""=Recherche!$C$5&amp;""),OR(Recherche!$C$6="",IFERROR(YEAR(L1586),0)=Recherche!$C$6),OR(Recherche!$C$7="",ISNUMBER(SEARCH(Recherche!$C$7,H1586))),OR(Recherche!$C$8="",J1586=Recherche!$C$8),OR(Recherche!$C$9="",I1586=Recherche!$C$9),OR(Recherche!$C$10="",G1586&amp;""=Recherche!$C$10&amp;""),OR(Recherche!$C$11="",E1586=Recherche!$C$11),OR(Recherche!$C$12="",ISNUMBER(SEARCH(Recherche!$C$12,M1586&amp;" "&amp;F1586)))),1,0)</f>
        <v>8</v>
      </c>
    </row>
    <row r="1587" customFormat="false" ht="15" hidden="false" customHeight="false" outlineLevel="0" collapsed="false">
      <c r="A1587" s="19"/>
      <c r="B1587" s="19"/>
      <c r="C1587" s="19"/>
      <c r="D1587" s="19"/>
      <c r="E1587" s="22"/>
      <c r="F1587" s="19"/>
      <c r="G1587" s="26" t="str">
        <f aca="false">IF(D1587="","",IFERROR(VALUE(LEFT(D1587,FIND(" |",D1587&amp;" |")-1)),"?"))</f>
        <v/>
      </c>
      <c r="H1587" s="27" t="str">
        <f aca="false">IF(G1587="","",IF(G1587="?","⚠ pub inconnue",IFERROR(INDEX(Pubs!$B$2:$B$3001,MATCH(G1587,Pubs!$A$2:$A$3001,0))&amp;"","⚠ pub inconnue")))</f>
        <v/>
      </c>
      <c r="I1587" s="27" t="str">
        <f aca="false">IF(OR(G1587="",G1587="?"),"",IFERROR(INDEX(Pubs!$C$2:$C$3001,MATCH(G1587,Pubs!$A$2:$A$3001,0))&amp;"",""))</f>
        <v/>
      </c>
      <c r="J1587" s="27" t="str">
        <f aca="false">IF(OR(G1587="",G1587="?"),"",IFERROR(INDEX(Pubs!$G$2:$G$3001,MATCH(G1587,Pubs!$A$2:$A$3001,0))&amp;"",""))</f>
        <v/>
      </c>
      <c r="K1587" s="28" t="str">
        <f aca="false">IF(OR(G1587="",G1587="?"),"",IFERROR(INDEX(Pubs!$E$2:$E$3001,MATCH(G1587,Pubs!$A$2:$A$3001,0)),""))</f>
        <v/>
      </c>
      <c r="L1587" s="29" t="str">
        <f aca="false">IF(A1587="","",IFERROR(1/(1/INDEX(Numéros!$C$2:$C$3001,MATCH(A1587&amp;"|"&amp;B1587,Numéros!$F$2:$F$3001,0))),""))</f>
        <v/>
      </c>
      <c r="M1587" s="27" t="str">
        <f aca="false">IF(OR(G1587="",G1587="?"),"",IFERROR(INDEX(Pubs!$D$2:$D$3001,MATCH(G1587,Pubs!$A$2:$A$3001,0))&amp;"",""))</f>
        <v/>
      </c>
      <c r="N1587" s="27" t="n">
        <f aca="false">N(N1586)+IF(AND(A1587&lt;&gt;"",OR(Recherche!$C$4="",A1587=Recherche!$C$4),OR(Recherche!$C$5="",B1587&amp;""=Recherche!$C$5&amp;""),OR(Recherche!$C$6="",IFERROR(YEAR(L1587),0)=Recherche!$C$6),OR(Recherche!$C$7="",ISNUMBER(SEARCH(Recherche!$C$7,H1587))),OR(Recherche!$C$8="",J1587=Recherche!$C$8),OR(Recherche!$C$9="",I1587=Recherche!$C$9),OR(Recherche!$C$10="",G1587&amp;""=Recherche!$C$10&amp;""),OR(Recherche!$C$11="",E1587=Recherche!$C$11),OR(Recherche!$C$12="",ISNUMBER(SEARCH(Recherche!$C$12,M1587&amp;" "&amp;F1587)))),1,0)</f>
        <v>8</v>
      </c>
    </row>
    <row r="1588" customFormat="false" ht="15" hidden="false" customHeight="false" outlineLevel="0" collapsed="false">
      <c r="A1588" s="19"/>
      <c r="B1588" s="19"/>
      <c r="C1588" s="19"/>
      <c r="D1588" s="19"/>
      <c r="E1588" s="22"/>
      <c r="F1588" s="19"/>
      <c r="G1588" s="26" t="str">
        <f aca="false">IF(D1588="","",IFERROR(VALUE(LEFT(D1588,FIND(" |",D1588&amp;" |")-1)),"?"))</f>
        <v/>
      </c>
      <c r="H1588" s="27" t="str">
        <f aca="false">IF(G1588="","",IF(G1588="?","⚠ pub inconnue",IFERROR(INDEX(Pubs!$B$2:$B$3001,MATCH(G1588,Pubs!$A$2:$A$3001,0))&amp;"","⚠ pub inconnue")))</f>
        <v/>
      </c>
      <c r="I1588" s="27" t="str">
        <f aca="false">IF(OR(G1588="",G1588="?"),"",IFERROR(INDEX(Pubs!$C$2:$C$3001,MATCH(G1588,Pubs!$A$2:$A$3001,0))&amp;"",""))</f>
        <v/>
      </c>
      <c r="J1588" s="27" t="str">
        <f aca="false">IF(OR(G1588="",G1588="?"),"",IFERROR(INDEX(Pubs!$G$2:$G$3001,MATCH(G1588,Pubs!$A$2:$A$3001,0))&amp;"",""))</f>
        <v/>
      </c>
      <c r="K1588" s="28" t="str">
        <f aca="false">IF(OR(G1588="",G1588="?"),"",IFERROR(INDEX(Pubs!$E$2:$E$3001,MATCH(G1588,Pubs!$A$2:$A$3001,0)),""))</f>
        <v/>
      </c>
      <c r="L1588" s="29" t="str">
        <f aca="false">IF(A1588="","",IFERROR(1/(1/INDEX(Numéros!$C$2:$C$3001,MATCH(A1588&amp;"|"&amp;B1588,Numéros!$F$2:$F$3001,0))),""))</f>
        <v/>
      </c>
      <c r="M1588" s="27" t="str">
        <f aca="false">IF(OR(G1588="",G1588="?"),"",IFERROR(INDEX(Pubs!$D$2:$D$3001,MATCH(G1588,Pubs!$A$2:$A$3001,0))&amp;"",""))</f>
        <v/>
      </c>
      <c r="N1588" s="27" t="n">
        <f aca="false">N(N1587)+IF(AND(A1588&lt;&gt;"",OR(Recherche!$C$4="",A1588=Recherche!$C$4),OR(Recherche!$C$5="",B1588&amp;""=Recherche!$C$5&amp;""),OR(Recherche!$C$6="",IFERROR(YEAR(L1588),0)=Recherche!$C$6),OR(Recherche!$C$7="",ISNUMBER(SEARCH(Recherche!$C$7,H1588))),OR(Recherche!$C$8="",J1588=Recherche!$C$8),OR(Recherche!$C$9="",I1588=Recherche!$C$9),OR(Recherche!$C$10="",G1588&amp;""=Recherche!$C$10&amp;""),OR(Recherche!$C$11="",E1588=Recherche!$C$11),OR(Recherche!$C$12="",ISNUMBER(SEARCH(Recherche!$C$12,M1588&amp;" "&amp;F1588)))),1,0)</f>
        <v>8</v>
      </c>
    </row>
    <row r="1589" customFormat="false" ht="15" hidden="false" customHeight="false" outlineLevel="0" collapsed="false">
      <c r="A1589" s="19"/>
      <c r="B1589" s="19"/>
      <c r="C1589" s="19"/>
      <c r="D1589" s="19"/>
      <c r="E1589" s="22"/>
      <c r="F1589" s="19"/>
      <c r="G1589" s="26" t="str">
        <f aca="false">IF(D1589="","",IFERROR(VALUE(LEFT(D1589,FIND(" |",D1589&amp;" |")-1)),"?"))</f>
        <v/>
      </c>
      <c r="H1589" s="27" t="str">
        <f aca="false">IF(G1589="","",IF(G1589="?","⚠ pub inconnue",IFERROR(INDEX(Pubs!$B$2:$B$3001,MATCH(G1589,Pubs!$A$2:$A$3001,0))&amp;"","⚠ pub inconnue")))</f>
        <v/>
      </c>
      <c r="I1589" s="27" t="str">
        <f aca="false">IF(OR(G1589="",G1589="?"),"",IFERROR(INDEX(Pubs!$C$2:$C$3001,MATCH(G1589,Pubs!$A$2:$A$3001,0))&amp;"",""))</f>
        <v/>
      </c>
      <c r="J1589" s="27" t="str">
        <f aca="false">IF(OR(G1589="",G1589="?"),"",IFERROR(INDEX(Pubs!$G$2:$G$3001,MATCH(G1589,Pubs!$A$2:$A$3001,0))&amp;"",""))</f>
        <v/>
      </c>
      <c r="K1589" s="28" t="str">
        <f aca="false">IF(OR(G1589="",G1589="?"),"",IFERROR(INDEX(Pubs!$E$2:$E$3001,MATCH(G1589,Pubs!$A$2:$A$3001,0)),""))</f>
        <v/>
      </c>
      <c r="L1589" s="29" t="str">
        <f aca="false">IF(A1589="","",IFERROR(1/(1/INDEX(Numéros!$C$2:$C$3001,MATCH(A1589&amp;"|"&amp;B1589,Numéros!$F$2:$F$3001,0))),""))</f>
        <v/>
      </c>
      <c r="M1589" s="27" t="str">
        <f aca="false">IF(OR(G1589="",G1589="?"),"",IFERROR(INDEX(Pubs!$D$2:$D$3001,MATCH(G1589,Pubs!$A$2:$A$3001,0))&amp;"",""))</f>
        <v/>
      </c>
      <c r="N1589" s="27" t="n">
        <f aca="false">N(N1588)+IF(AND(A1589&lt;&gt;"",OR(Recherche!$C$4="",A1589=Recherche!$C$4),OR(Recherche!$C$5="",B1589&amp;""=Recherche!$C$5&amp;""),OR(Recherche!$C$6="",IFERROR(YEAR(L1589),0)=Recherche!$C$6),OR(Recherche!$C$7="",ISNUMBER(SEARCH(Recherche!$C$7,H1589))),OR(Recherche!$C$8="",J1589=Recherche!$C$8),OR(Recherche!$C$9="",I1589=Recherche!$C$9),OR(Recherche!$C$10="",G1589&amp;""=Recherche!$C$10&amp;""),OR(Recherche!$C$11="",E1589=Recherche!$C$11),OR(Recherche!$C$12="",ISNUMBER(SEARCH(Recherche!$C$12,M1589&amp;" "&amp;F1589)))),1,0)</f>
        <v>8</v>
      </c>
    </row>
    <row r="1590" customFormat="false" ht="15" hidden="false" customHeight="false" outlineLevel="0" collapsed="false">
      <c r="A1590" s="19"/>
      <c r="B1590" s="19"/>
      <c r="C1590" s="19"/>
      <c r="D1590" s="19"/>
      <c r="E1590" s="22"/>
      <c r="F1590" s="19"/>
      <c r="G1590" s="26" t="str">
        <f aca="false">IF(D1590="","",IFERROR(VALUE(LEFT(D1590,FIND(" |",D1590&amp;" |")-1)),"?"))</f>
        <v/>
      </c>
      <c r="H1590" s="27" t="str">
        <f aca="false">IF(G1590="","",IF(G1590="?","⚠ pub inconnue",IFERROR(INDEX(Pubs!$B$2:$B$3001,MATCH(G1590,Pubs!$A$2:$A$3001,0))&amp;"","⚠ pub inconnue")))</f>
        <v/>
      </c>
      <c r="I1590" s="27" t="str">
        <f aca="false">IF(OR(G1590="",G1590="?"),"",IFERROR(INDEX(Pubs!$C$2:$C$3001,MATCH(G1590,Pubs!$A$2:$A$3001,0))&amp;"",""))</f>
        <v/>
      </c>
      <c r="J1590" s="27" t="str">
        <f aca="false">IF(OR(G1590="",G1590="?"),"",IFERROR(INDEX(Pubs!$G$2:$G$3001,MATCH(G1590,Pubs!$A$2:$A$3001,0))&amp;"",""))</f>
        <v/>
      </c>
      <c r="K1590" s="28" t="str">
        <f aca="false">IF(OR(G1590="",G1590="?"),"",IFERROR(INDEX(Pubs!$E$2:$E$3001,MATCH(G1590,Pubs!$A$2:$A$3001,0)),""))</f>
        <v/>
      </c>
      <c r="L1590" s="29" t="str">
        <f aca="false">IF(A1590="","",IFERROR(1/(1/INDEX(Numéros!$C$2:$C$3001,MATCH(A1590&amp;"|"&amp;B1590,Numéros!$F$2:$F$3001,0))),""))</f>
        <v/>
      </c>
      <c r="M1590" s="27" t="str">
        <f aca="false">IF(OR(G1590="",G1590="?"),"",IFERROR(INDEX(Pubs!$D$2:$D$3001,MATCH(G1590,Pubs!$A$2:$A$3001,0))&amp;"",""))</f>
        <v/>
      </c>
      <c r="N1590" s="27" t="n">
        <f aca="false">N(N1589)+IF(AND(A1590&lt;&gt;"",OR(Recherche!$C$4="",A1590=Recherche!$C$4),OR(Recherche!$C$5="",B1590&amp;""=Recherche!$C$5&amp;""),OR(Recherche!$C$6="",IFERROR(YEAR(L1590),0)=Recherche!$C$6),OR(Recherche!$C$7="",ISNUMBER(SEARCH(Recherche!$C$7,H1590))),OR(Recherche!$C$8="",J1590=Recherche!$C$8),OR(Recherche!$C$9="",I1590=Recherche!$C$9),OR(Recherche!$C$10="",G1590&amp;""=Recherche!$C$10&amp;""),OR(Recherche!$C$11="",E1590=Recherche!$C$11),OR(Recherche!$C$12="",ISNUMBER(SEARCH(Recherche!$C$12,M1590&amp;" "&amp;F1590)))),1,0)</f>
        <v>8</v>
      </c>
    </row>
    <row r="1591" customFormat="false" ht="15" hidden="false" customHeight="false" outlineLevel="0" collapsed="false">
      <c r="A1591" s="19"/>
      <c r="B1591" s="19"/>
      <c r="C1591" s="19"/>
      <c r="D1591" s="19"/>
      <c r="E1591" s="22"/>
      <c r="F1591" s="19"/>
      <c r="G1591" s="26" t="str">
        <f aca="false">IF(D1591="","",IFERROR(VALUE(LEFT(D1591,FIND(" |",D1591&amp;" |")-1)),"?"))</f>
        <v/>
      </c>
      <c r="H1591" s="27" t="str">
        <f aca="false">IF(G1591="","",IF(G1591="?","⚠ pub inconnue",IFERROR(INDEX(Pubs!$B$2:$B$3001,MATCH(G1591,Pubs!$A$2:$A$3001,0))&amp;"","⚠ pub inconnue")))</f>
        <v/>
      </c>
      <c r="I1591" s="27" t="str">
        <f aca="false">IF(OR(G1591="",G1591="?"),"",IFERROR(INDEX(Pubs!$C$2:$C$3001,MATCH(G1591,Pubs!$A$2:$A$3001,0))&amp;"",""))</f>
        <v/>
      </c>
      <c r="J1591" s="27" t="str">
        <f aca="false">IF(OR(G1591="",G1591="?"),"",IFERROR(INDEX(Pubs!$G$2:$G$3001,MATCH(G1591,Pubs!$A$2:$A$3001,0))&amp;"",""))</f>
        <v/>
      </c>
      <c r="K1591" s="28" t="str">
        <f aca="false">IF(OR(G1591="",G1591="?"),"",IFERROR(INDEX(Pubs!$E$2:$E$3001,MATCH(G1591,Pubs!$A$2:$A$3001,0)),""))</f>
        <v/>
      </c>
      <c r="L1591" s="29" t="str">
        <f aca="false">IF(A1591="","",IFERROR(1/(1/INDEX(Numéros!$C$2:$C$3001,MATCH(A1591&amp;"|"&amp;B1591,Numéros!$F$2:$F$3001,0))),""))</f>
        <v/>
      </c>
      <c r="M1591" s="27" t="str">
        <f aca="false">IF(OR(G1591="",G1591="?"),"",IFERROR(INDEX(Pubs!$D$2:$D$3001,MATCH(G1591,Pubs!$A$2:$A$3001,0))&amp;"",""))</f>
        <v/>
      </c>
      <c r="N1591" s="27" t="n">
        <f aca="false">N(N1590)+IF(AND(A1591&lt;&gt;"",OR(Recherche!$C$4="",A1591=Recherche!$C$4),OR(Recherche!$C$5="",B1591&amp;""=Recherche!$C$5&amp;""),OR(Recherche!$C$6="",IFERROR(YEAR(L1591),0)=Recherche!$C$6),OR(Recherche!$C$7="",ISNUMBER(SEARCH(Recherche!$C$7,H1591))),OR(Recherche!$C$8="",J1591=Recherche!$C$8),OR(Recherche!$C$9="",I1591=Recherche!$C$9),OR(Recherche!$C$10="",G1591&amp;""=Recherche!$C$10&amp;""),OR(Recherche!$C$11="",E1591=Recherche!$C$11),OR(Recherche!$C$12="",ISNUMBER(SEARCH(Recherche!$C$12,M1591&amp;" "&amp;F1591)))),1,0)</f>
        <v>8</v>
      </c>
    </row>
    <row r="1592" customFormat="false" ht="15" hidden="false" customHeight="false" outlineLevel="0" collapsed="false">
      <c r="A1592" s="19"/>
      <c r="B1592" s="19"/>
      <c r="C1592" s="19"/>
      <c r="D1592" s="19"/>
      <c r="E1592" s="22"/>
      <c r="F1592" s="19"/>
      <c r="G1592" s="26" t="str">
        <f aca="false">IF(D1592="","",IFERROR(VALUE(LEFT(D1592,FIND(" |",D1592&amp;" |")-1)),"?"))</f>
        <v/>
      </c>
      <c r="H1592" s="27" t="str">
        <f aca="false">IF(G1592="","",IF(G1592="?","⚠ pub inconnue",IFERROR(INDEX(Pubs!$B$2:$B$3001,MATCH(G1592,Pubs!$A$2:$A$3001,0))&amp;"","⚠ pub inconnue")))</f>
        <v/>
      </c>
      <c r="I1592" s="27" t="str">
        <f aca="false">IF(OR(G1592="",G1592="?"),"",IFERROR(INDEX(Pubs!$C$2:$C$3001,MATCH(G1592,Pubs!$A$2:$A$3001,0))&amp;"",""))</f>
        <v/>
      </c>
      <c r="J1592" s="27" t="str">
        <f aca="false">IF(OR(G1592="",G1592="?"),"",IFERROR(INDEX(Pubs!$G$2:$G$3001,MATCH(G1592,Pubs!$A$2:$A$3001,0))&amp;"",""))</f>
        <v/>
      </c>
      <c r="K1592" s="28" t="str">
        <f aca="false">IF(OR(G1592="",G1592="?"),"",IFERROR(INDEX(Pubs!$E$2:$E$3001,MATCH(G1592,Pubs!$A$2:$A$3001,0)),""))</f>
        <v/>
      </c>
      <c r="L1592" s="29" t="str">
        <f aca="false">IF(A1592="","",IFERROR(1/(1/INDEX(Numéros!$C$2:$C$3001,MATCH(A1592&amp;"|"&amp;B1592,Numéros!$F$2:$F$3001,0))),""))</f>
        <v/>
      </c>
      <c r="M1592" s="27" t="str">
        <f aca="false">IF(OR(G1592="",G1592="?"),"",IFERROR(INDEX(Pubs!$D$2:$D$3001,MATCH(G1592,Pubs!$A$2:$A$3001,0))&amp;"",""))</f>
        <v/>
      </c>
      <c r="N1592" s="27" t="n">
        <f aca="false">N(N1591)+IF(AND(A1592&lt;&gt;"",OR(Recherche!$C$4="",A1592=Recherche!$C$4),OR(Recherche!$C$5="",B1592&amp;""=Recherche!$C$5&amp;""),OR(Recherche!$C$6="",IFERROR(YEAR(L1592),0)=Recherche!$C$6),OR(Recherche!$C$7="",ISNUMBER(SEARCH(Recherche!$C$7,H1592))),OR(Recherche!$C$8="",J1592=Recherche!$C$8),OR(Recherche!$C$9="",I1592=Recherche!$C$9),OR(Recherche!$C$10="",G1592&amp;""=Recherche!$C$10&amp;""),OR(Recherche!$C$11="",E1592=Recherche!$C$11),OR(Recherche!$C$12="",ISNUMBER(SEARCH(Recherche!$C$12,M1592&amp;" "&amp;F1592)))),1,0)</f>
        <v>8</v>
      </c>
    </row>
    <row r="1593" customFormat="false" ht="15" hidden="false" customHeight="false" outlineLevel="0" collapsed="false">
      <c r="A1593" s="19"/>
      <c r="B1593" s="19"/>
      <c r="C1593" s="19"/>
      <c r="D1593" s="19"/>
      <c r="E1593" s="22"/>
      <c r="F1593" s="19"/>
      <c r="G1593" s="26" t="str">
        <f aca="false">IF(D1593="","",IFERROR(VALUE(LEFT(D1593,FIND(" |",D1593&amp;" |")-1)),"?"))</f>
        <v/>
      </c>
      <c r="H1593" s="27" t="str">
        <f aca="false">IF(G1593="","",IF(G1593="?","⚠ pub inconnue",IFERROR(INDEX(Pubs!$B$2:$B$3001,MATCH(G1593,Pubs!$A$2:$A$3001,0))&amp;"","⚠ pub inconnue")))</f>
        <v/>
      </c>
      <c r="I1593" s="27" t="str">
        <f aca="false">IF(OR(G1593="",G1593="?"),"",IFERROR(INDEX(Pubs!$C$2:$C$3001,MATCH(G1593,Pubs!$A$2:$A$3001,0))&amp;"",""))</f>
        <v/>
      </c>
      <c r="J1593" s="27" t="str">
        <f aca="false">IF(OR(G1593="",G1593="?"),"",IFERROR(INDEX(Pubs!$G$2:$G$3001,MATCH(G1593,Pubs!$A$2:$A$3001,0))&amp;"",""))</f>
        <v/>
      </c>
      <c r="K1593" s="28" t="str">
        <f aca="false">IF(OR(G1593="",G1593="?"),"",IFERROR(INDEX(Pubs!$E$2:$E$3001,MATCH(G1593,Pubs!$A$2:$A$3001,0)),""))</f>
        <v/>
      </c>
      <c r="L1593" s="29" t="str">
        <f aca="false">IF(A1593="","",IFERROR(1/(1/INDEX(Numéros!$C$2:$C$3001,MATCH(A1593&amp;"|"&amp;B1593,Numéros!$F$2:$F$3001,0))),""))</f>
        <v/>
      </c>
      <c r="M1593" s="27" t="str">
        <f aca="false">IF(OR(G1593="",G1593="?"),"",IFERROR(INDEX(Pubs!$D$2:$D$3001,MATCH(G1593,Pubs!$A$2:$A$3001,0))&amp;"",""))</f>
        <v/>
      </c>
      <c r="N1593" s="27" t="n">
        <f aca="false">N(N1592)+IF(AND(A1593&lt;&gt;"",OR(Recherche!$C$4="",A1593=Recherche!$C$4),OR(Recherche!$C$5="",B1593&amp;""=Recherche!$C$5&amp;""),OR(Recherche!$C$6="",IFERROR(YEAR(L1593),0)=Recherche!$C$6),OR(Recherche!$C$7="",ISNUMBER(SEARCH(Recherche!$C$7,H1593))),OR(Recherche!$C$8="",J1593=Recherche!$C$8),OR(Recherche!$C$9="",I1593=Recherche!$C$9),OR(Recherche!$C$10="",G1593&amp;""=Recherche!$C$10&amp;""),OR(Recherche!$C$11="",E1593=Recherche!$C$11),OR(Recherche!$C$12="",ISNUMBER(SEARCH(Recherche!$C$12,M1593&amp;" "&amp;F1593)))),1,0)</f>
        <v>8</v>
      </c>
    </row>
    <row r="1594" customFormat="false" ht="15" hidden="false" customHeight="false" outlineLevel="0" collapsed="false">
      <c r="A1594" s="19"/>
      <c r="B1594" s="19"/>
      <c r="C1594" s="19"/>
      <c r="D1594" s="19"/>
      <c r="E1594" s="22"/>
      <c r="F1594" s="19"/>
      <c r="G1594" s="26" t="str">
        <f aca="false">IF(D1594="","",IFERROR(VALUE(LEFT(D1594,FIND(" |",D1594&amp;" |")-1)),"?"))</f>
        <v/>
      </c>
      <c r="H1594" s="27" t="str">
        <f aca="false">IF(G1594="","",IF(G1594="?","⚠ pub inconnue",IFERROR(INDEX(Pubs!$B$2:$B$3001,MATCH(G1594,Pubs!$A$2:$A$3001,0))&amp;"","⚠ pub inconnue")))</f>
        <v/>
      </c>
      <c r="I1594" s="27" t="str">
        <f aca="false">IF(OR(G1594="",G1594="?"),"",IFERROR(INDEX(Pubs!$C$2:$C$3001,MATCH(G1594,Pubs!$A$2:$A$3001,0))&amp;"",""))</f>
        <v/>
      </c>
      <c r="J1594" s="27" t="str">
        <f aca="false">IF(OR(G1594="",G1594="?"),"",IFERROR(INDEX(Pubs!$G$2:$G$3001,MATCH(G1594,Pubs!$A$2:$A$3001,0))&amp;"",""))</f>
        <v/>
      </c>
      <c r="K1594" s="28" t="str">
        <f aca="false">IF(OR(G1594="",G1594="?"),"",IFERROR(INDEX(Pubs!$E$2:$E$3001,MATCH(G1594,Pubs!$A$2:$A$3001,0)),""))</f>
        <v/>
      </c>
      <c r="L1594" s="29" t="str">
        <f aca="false">IF(A1594="","",IFERROR(1/(1/INDEX(Numéros!$C$2:$C$3001,MATCH(A1594&amp;"|"&amp;B1594,Numéros!$F$2:$F$3001,0))),""))</f>
        <v/>
      </c>
      <c r="M1594" s="27" t="str">
        <f aca="false">IF(OR(G1594="",G1594="?"),"",IFERROR(INDEX(Pubs!$D$2:$D$3001,MATCH(G1594,Pubs!$A$2:$A$3001,0))&amp;"",""))</f>
        <v/>
      </c>
      <c r="N1594" s="27" t="n">
        <f aca="false">N(N1593)+IF(AND(A1594&lt;&gt;"",OR(Recherche!$C$4="",A1594=Recherche!$C$4),OR(Recherche!$C$5="",B1594&amp;""=Recherche!$C$5&amp;""),OR(Recherche!$C$6="",IFERROR(YEAR(L1594),0)=Recherche!$C$6),OR(Recherche!$C$7="",ISNUMBER(SEARCH(Recherche!$C$7,H1594))),OR(Recherche!$C$8="",J1594=Recherche!$C$8),OR(Recherche!$C$9="",I1594=Recherche!$C$9),OR(Recherche!$C$10="",G1594&amp;""=Recherche!$C$10&amp;""),OR(Recherche!$C$11="",E1594=Recherche!$C$11),OR(Recherche!$C$12="",ISNUMBER(SEARCH(Recherche!$C$12,M1594&amp;" "&amp;F1594)))),1,0)</f>
        <v>8</v>
      </c>
    </row>
    <row r="1595" customFormat="false" ht="15" hidden="false" customHeight="false" outlineLevel="0" collapsed="false">
      <c r="A1595" s="19"/>
      <c r="B1595" s="19"/>
      <c r="C1595" s="19"/>
      <c r="D1595" s="19"/>
      <c r="E1595" s="22"/>
      <c r="F1595" s="19"/>
      <c r="G1595" s="26" t="str">
        <f aca="false">IF(D1595="","",IFERROR(VALUE(LEFT(D1595,FIND(" |",D1595&amp;" |")-1)),"?"))</f>
        <v/>
      </c>
      <c r="H1595" s="27" t="str">
        <f aca="false">IF(G1595="","",IF(G1595="?","⚠ pub inconnue",IFERROR(INDEX(Pubs!$B$2:$B$3001,MATCH(G1595,Pubs!$A$2:$A$3001,0))&amp;"","⚠ pub inconnue")))</f>
        <v/>
      </c>
      <c r="I1595" s="27" t="str">
        <f aca="false">IF(OR(G1595="",G1595="?"),"",IFERROR(INDEX(Pubs!$C$2:$C$3001,MATCH(G1595,Pubs!$A$2:$A$3001,0))&amp;"",""))</f>
        <v/>
      </c>
      <c r="J1595" s="27" t="str">
        <f aca="false">IF(OR(G1595="",G1595="?"),"",IFERROR(INDEX(Pubs!$G$2:$G$3001,MATCH(G1595,Pubs!$A$2:$A$3001,0))&amp;"",""))</f>
        <v/>
      </c>
      <c r="K1595" s="28" t="str">
        <f aca="false">IF(OR(G1595="",G1595="?"),"",IFERROR(INDEX(Pubs!$E$2:$E$3001,MATCH(G1595,Pubs!$A$2:$A$3001,0)),""))</f>
        <v/>
      </c>
      <c r="L1595" s="29" t="str">
        <f aca="false">IF(A1595="","",IFERROR(1/(1/INDEX(Numéros!$C$2:$C$3001,MATCH(A1595&amp;"|"&amp;B1595,Numéros!$F$2:$F$3001,0))),""))</f>
        <v/>
      </c>
      <c r="M1595" s="27" t="str">
        <f aca="false">IF(OR(G1595="",G1595="?"),"",IFERROR(INDEX(Pubs!$D$2:$D$3001,MATCH(G1595,Pubs!$A$2:$A$3001,0))&amp;"",""))</f>
        <v/>
      </c>
      <c r="N1595" s="27" t="n">
        <f aca="false">N(N1594)+IF(AND(A1595&lt;&gt;"",OR(Recherche!$C$4="",A1595=Recherche!$C$4),OR(Recherche!$C$5="",B1595&amp;""=Recherche!$C$5&amp;""),OR(Recherche!$C$6="",IFERROR(YEAR(L1595),0)=Recherche!$C$6),OR(Recherche!$C$7="",ISNUMBER(SEARCH(Recherche!$C$7,H1595))),OR(Recherche!$C$8="",J1595=Recherche!$C$8),OR(Recherche!$C$9="",I1595=Recherche!$C$9),OR(Recherche!$C$10="",G1595&amp;""=Recherche!$C$10&amp;""),OR(Recherche!$C$11="",E1595=Recherche!$C$11),OR(Recherche!$C$12="",ISNUMBER(SEARCH(Recherche!$C$12,M1595&amp;" "&amp;F1595)))),1,0)</f>
        <v>8</v>
      </c>
    </row>
    <row r="1596" customFormat="false" ht="15" hidden="false" customHeight="false" outlineLevel="0" collapsed="false">
      <c r="A1596" s="19"/>
      <c r="B1596" s="19"/>
      <c r="C1596" s="19"/>
      <c r="D1596" s="19"/>
      <c r="E1596" s="22"/>
      <c r="F1596" s="19"/>
      <c r="G1596" s="26" t="str">
        <f aca="false">IF(D1596="","",IFERROR(VALUE(LEFT(D1596,FIND(" |",D1596&amp;" |")-1)),"?"))</f>
        <v/>
      </c>
      <c r="H1596" s="27" t="str">
        <f aca="false">IF(G1596="","",IF(G1596="?","⚠ pub inconnue",IFERROR(INDEX(Pubs!$B$2:$B$3001,MATCH(G1596,Pubs!$A$2:$A$3001,0))&amp;"","⚠ pub inconnue")))</f>
        <v/>
      </c>
      <c r="I1596" s="27" t="str">
        <f aca="false">IF(OR(G1596="",G1596="?"),"",IFERROR(INDEX(Pubs!$C$2:$C$3001,MATCH(G1596,Pubs!$A$2:$A$3001,0))&amp;"",""))</f>
        <v/>
      </c>
      <c r="J1596" s="27" t="str">
        <f aca="false">IF(OR(G1596="",G1596="?"),"",IFERROR(INDEX(Pubs!$G$2:$G$3001,MATCH(G1596,Pubs!$A$2:$A$3001,0))&amp;"",""))</f>
        <v/>
      </c>
      <c r="K1596" s="28" t="str">
        <f aca="false">IF(OR(G1596="",G1596="?"),"",IFERROR(INDEX(Pubs!$E$2:$E$3001,MATCH(G1596,Pubs!$A$2:$A$3001,0)),""))</f>
        <v/>
      </c>
      <c r="L1596" s="29" t="str">
        <f aca="false">IF(A1596="","",IFERROR(1/(1/INDEX(Numéros!$C$2:$C$3001,MATCH(A1596&amp;"|"&amp;B1596,Numéros!$F$2:$F$3001,0))),""))</f>
        <v/>
      </c>
      <c r="M1596" s="27" t="str">
        <f aca="false">IF(OR(G1596="",G1596="?"),"",IFERROR(INDEX(Pubs!$D$2:$D$3001,MATCH(G1596,Pubs!$A$2:$A$3001,0))&amp;"",""))</f>
        <v/>
      </c>
      <c r="N1596" s="27" t="n">
        <f aca="false">N(N1595)+IF(AND(A1596&lt;&gt;"",OR(Recherche!$C$4="",A1596=Recherche!$C$4),OR(Recherche!$C$5="",B1596&amp;""=Recherche!$C$5&amp;""),OR(Recherche!$C$6="",IFERROR(YEAR(L1596),0)=Recherche!$C$6),OR(Recherche!$C$7="",ISNUMBER(SEARCH(Recherche!$C$7,H1596))),OR(Recherche!$C$8="",J1596=Recherche!$C$8),OR(Recherche!$C$9="",I1596=Recherche!$C$9),OR(Recherche!$C$10="",G1596&amp;""=Recherche!$C$10&amp;""),OR(Recherche!$C$11="",E1596=Recherche!$C$11),OR(Recherche!$C$12="",ISNUMBER(SEARCH(Recherche!$C$12,M1596&amp;" "&amp;F1596)))),1,0)</f>
        <v>8</v>
      </c>
    </row>
    <row r="1597" customFormat="false" ht="15" hidden="false" customHeight="false" outlineLevel="0" collapsed="false">
      <c r="A1597" s="19"/>
      <c r="B1597" s="19"/>
      <c r="C1597" s="19"/>
      <c r="D1597" s="19"/>
      <c r="E1597" s="22"/>
      <c r="F1597" s="19"/>
      <c r="G1597" s="26" t="str">
        <f aca="false">IF(D1597="","",IFERROR(VALUE(LEFT(D1597,FIND(" |",D1597&amp;" |")-1)),"?"))</f>
        <v/>
      </c>
      <c r="H1597" s="27" t="str">
        <f aca="false">IF(G1597="","",IF(G1597="?","⚠ pub inconnue",IFERROR(INDEX(Pubs!$B$2:$B$3001,MATCH(G1597,Pubs!$A$2:$A$3001,0))&amp;"","⚠ pub inconnue")))</f>
        <v/>
      </c>
      <c r="I1597" s="27" t="str">
        <f aca="false">IF(OR(G1597="",G1597="?"),"",IFERROR(INDEX(Pubs!$C$2:$C$3001,MATCH(G1597,Pubs!$A$2:$A$3001,0))&amp;"",""))</f>
        <v/>
      </c>
      <c r="J1597" s="27" t="str">
        <f aca="false">IF(OR(G1597="",G1597="?"),"",IFERROR(INDEX(Pubs!$G$2:$G$3001,MATCH(G1597,Pubs!$A$2:$A$3001,0))&amp;"",""))</f>
        <v/>
      </c>
      <c r="K1597" s="28" t="str">
        <f aca="false">IF(OR(G1597="",G1597="?"),"",IFERROR(INDEX(Pubs!$E$2:$E$3001,MATCH(G1597,Pubs!$A$2:$A$3001,0)),""))</f>
        <v/>
      </c>
      <c r="L1597" s="29" t="str">
        <f aca="false">IF(A1597="","",IFERROR(1/(1/INDEX(Numéros!$C$2:$C$3001,MATCH(A1597&amp;"|"&amp;B1597,Numéros!$F$2:$F$3001,0))),""))</f>
        <v/>
      </c>
      <c r="M1597" s="27" t="str">
        <f aca="false">IF(OR(G1597="",G1597="?"),"",IFERROR(INDEX(Pubs!$D$2:$D$3001,MATCH(G1597,Pubs!$A$2:$A$3001,0))&amp;"",""))</f>
        <v/>
      </c>
      <c r="N1597" s="27" t="n">
        <f aca="false">N(N1596)+IF(AND(A1597&lt;&gt;"",OR(Recherche!$C$4="",A1597=Recherche!$C$4),OR(Recherche!$C$5="",B1597&amp;""=Recherche!$C$5&amp;""),OR(Recherche!$C$6="",IFERROR(YEAR(L1597),0)=Recherche!$C$6),OR(Recherche!$C$7="",ISNUMBER(SEARCH(Recherche!$C$7,H1597))),OR(Recherche!$C$8="",J1597=Recherche!$C$8),OR(Recherche!$C$9="",I1597=Recherche!$C$9),OR(Recherche!$C$10="",G1597&amp;""=Recherche!$C$10&amp;""),OR(Recherche!$C$11="",E1597=Recherche!$C$11),OR(Recherche!$C$12="",ISNUMBER(SEARCH(Recherche!$C$12,M1597&amp;" "&amp;F1597)))),1,0)</f>
        <v>8</v>
      </c>
    </row>
    <row r="1598" customFormat="false" ht="15" hidden="false" customHeight="false" outlineLevel="0" collapsed="false">
      <c r="A1598" s="19"/>
      <c r="B1598" s="19"/>
      <c r="C1598" s="19"/>
      <c r="D1598" s="19"/>
      <c r="E1598" s="22"/>
      <c r="F1598" s="19"/>
      <c r="G1598" s="26" t="str">
        <f aca="false">IF(D1598="","",IFERROR(VALUE(LEFT(D1598,FIND(" |",D1598&amp;" |")-1)),"?"))</f>
        <v/>
      </c>
      <c r="H1598" s="27" t="str">
        <f aca="false">IF(G1598="","",IF(G1598="?","⚠ pub inconnue",IFERROR(INDEX(Pubs!$B$2:$B$3001,MATCH(G1598,Pubs!$A$2:$A$3001,0))&amp;"","⚠ pub inconnue")))</f>
        <v/>
      </c>
      <c r="I1598" s="27" t="str">
        <f aca="false">IF(OR(G1598="",G1598="?"),"",IFERROR(INDEX(Pubs!$C$2:$C$3001,MATCH(G1598,Pubs!$A$2:$A$3001,0))&amp;"",""))</f>
        <v/>
      </c>
      <c r="J1598" s="27" t="str">
        <f aca="false">IF(OR(G1598="",G1598="?"),"",IFERROR(INDEX(Pubs!$G$2:$G$3001,MATCH(G1598,Pubs!$A$2:$A$3001,0))&amp;"",""))</f>
        <v/>
      </c>
      <c r="K1598" s="28" t="str">
        <f aca="false">IF(OR(G1598="",G1598="?"),"",IFERROR(INDEX(Pubs!$E$2:$E$3001,MATCH(G1598,Pubs!$A$2:$A$3001,0)),""))</f>
        <v/>
      </c>
      <c r="L1598" s="29" t="str">
        <f aca="false">IF(A1598="","",IFERROR(1/(1/INDEX(Numéros!$C$2:$C$3001,MATCH(A1598&amp;"|"&amp;B1598,Numéros!$F$2:$F$3001,0))),""))</f>
        <v/>
      </c>
      <c r="M1598" s="27" t="str">
        <f aca="false">IF(OR(G1598="",G1598="?"),"",IFERROR(INDEX(Pubs!$D$2:$D$3001,MATCH(G1598,Pubs!$A$2:$A$3001,0))&amp;"",""))</f>
        <v/>
      </c>
      <c r="N1598" s="27" t="n">
        <f aca="false">N(N1597)+IF(AND(A1598&lt;&gt;"",OR(Recherche!$C$4="",A1598=Recherche!$C$4),OR(Recherche!$C$5="",B1598&amp;""=Recherche!$C$5&amp;""),OR(Recherche!$C$6="",IFERROR(YEAR(L1598),0)=Recherche!$C$6),OR(Recherche!$C$7="",ISNUMBER(SEARCH(Recherche!$C$7,H1598))),OR(Recherche!$C$8="",J1598=Recherche!$C$8),OR(Recherche!$C$9="",I1598=Recherche!$C$9),OR(Recherche!$C$10="",G1598&amp;""=Recherche!$C$10&amp;""),OR(Recherche!$C$11="",E1598=Recherche!$C$11),OR(Recherche!$C$12="",ISNUMBER(SEARCH(Recherche!$C$12,M1598&amp;" "&amp;F1598)))),1,0)</f>
        <v>8</v>
      </c>
    </row>
    <row r="1599" customFormat="false" ht="15" hidden="false" customHeight="false" outlineLevel="0" collapsed="false">
      <c r="A1599" s="19"/>
      <c r="B1599" s="19"/>
      <c r="C1599" s="19"/>
      <c r="D1599" s="19"/>
      <c r="E1599" s="22"/>
      <c r="F1599" s="19"/>
      <c r="G1599" s="26" t="str">
        <f aca="false">IF(D1599="","",IFERROR(VALUE(LEFT(D1599,FIND(" |",D1599&amp;" |")-1)),"?"))</f>
        <v/>
      </c>
      <c r="H1599" s="27" t="str">
        <f aca="false">IF(G1599="","",IF(G1599="?","⚠ pub inconnue",IFERROR(INDEX(Pubs!$B$2:$B$3001,MATCH(G1599,Pubs!$A$2:$A$3001,0))&amp;"","⚠ pub inconnue")))</f>
        <v/>
      </c>
      <c r="I1599" s="27" t="str">
        <f aca="false">IF(OR(G1599="",G1599="?"),"",IFERROR(INDEX(Pubs!$C$2:$C$3001,MATCH(G1599,Pubs!$A$2:$A$3001,0))&amp;"",""))</f>
        <v/>
      </c>
      <c r="J1599" s="27" t="str">
        <f aca="false">IF(OR(G1599="",G1599="?"),"",IFERROR(INDEX(Pubs!$G$2:$G$3001,MATCH(G1599,Pubs!$A$2:$A$3001,0))&amp;"",""))</f>
        <v/>
      </c>
      <c r="K1599" s="28" t="str">
        <f aca="false">IF(OR(G1599="",G1599="?"),"",IFERROR(INDEX(Pubs!$E$2:$E$3001,MATCH(G1599,Pubs!$A$2:$A$3001,0)),""))</f>
        <v/>
      </c>
      <c r="L1599" s="29" t="str">
        <f aca="false">IF(A1599="","",IFERROR(1/(1/INDEX(Numéros!$C$2:$C$3001,MATCH(A1599&amp;"|"&amp;B1599,Numéros!$F$2:$F$3001,0))),""))</f>
        <v/>
      </c>
      <c r="M1599" s="27" t="str">
        <f aca="false">IF(OR(G1599="",G1599="?"),"",IFERROR(INDEX(Pubs!$D$2:$D$3001,MATCH(G1599,Pubs!$A$2:$A$3001,0))&amp;"",""))</f>
        <v/>
      </c>
      <c r="N1599" s="27" t="n">
        <f aca="false">N(N1598)+IF(AND(A1599&lt;&gt;"",OR(Recherche!$C$4="",A1599=Recherche!$C$4),OR(Recherche!$C$5="",B1599&amp;""=Recherche!$C$5&amp;""),OR(Recherche!$C$6="",IFERROR(YEAR(L1599),0)=Recherche!$C$6),OR(Recherche!$C$7="",ISNUMBER(SEARCH(Recherche!$C$7,H1599))),OR(Recherche!$C$8="",J1599=Recherche!$C$8),OR(Recherche!$C$9="",I1599=Recherche!$C$9),OR(Recherche!$C$10="",G1599&amp;""=Recherche!$C$10&amp;""),OR(Recherche!$C$11="",E1599=Recherche!$C$11),OR(Recherche!$C$12="",ISNUMBER(SEARCH(Recherche!$C$12,M1599&amp;" "&amp;F1599)))),1,0)</f>
        <v>8</v>
      </c>
    </row>
    <row r="1600" customFormat="false" ht="15" hidden="false" customHeight="false" outlineLevel="0" collapsed="false">
      <c r="A1600" s="19"/>
      <c r="B1600" s="19"/>
      <c r="C1600" s="19"/>
      <c r="D1600" s="19"/>
      <c r="E1600" s="22"/>
      <c r="F1600" s="19"/>
      <c r="G1600" s="26" t="str">
        <f aca="false">IF(D1600="","",IFERROR(VALUE(LEFT(D1600,FIND(" |",D1600&amp;" |")-1)),"?"))</f>
        <v/>
      </c>
      <c r="H1600" s="27" t="str">
        <f aca="false">IF(G1600="","",IF(G1600="?","⚠ pub inconnue",IFERROR(INDEX(Pubs!$B$2:$B$3001,MATCH(G1600,Pubs!$A$2:$A$3001,0))&amp;"","⚠ pub inconnue")))</f>
        <v/>
      </c>
      <c r="I1600" s="27" t="str">
        <f aca="false">IF(OR(G1600="",G1600="?"),"",IFERROR(INDEX(Pubs!$C$2:$C$3001,MATCH(G1600,Pubs!$A$2:$A$3001,0))&amp;"",""))</f>
        <v/>
      </c>
      <c r="J1600" s="27" t="str">
        <f aca="false">IF(OR(G1600="",G1600="?"),"",IFERROR(INDEX(Pubs!$G$2:$G$3001,MATCH(G1600,Pubs!$A$2:$A$3001,0))&amp;"",""))</f>
        <v/>
      </c>
      <c r="K1600" s="28" t="str">
        <f aca="false">IF(OR(G1600="",G1600="?"),"",IFERROR(INDEX(Pubs!$E$2:$E$3001,MATCH(G1600,Pubs!$A$2:$A$3001,0)),""))</f>
        <v/>
      </c>
      <c r="L1600" s="29" t="str">
        <f aca="false">IF(A1600="","",IFERROR(1/(1/INDEX(Numéros!$C$2:$C$3001,MATCH(A1600&amp;"|"&amp;B1600,Numéros!$F$2:$F$3001,0))),""))</f>
        <v/>
      </c>
      <c r="M1600" s="27" t="str">
        <f aca="false">IF(OR(G1600="",G1600="?"),"",IFERROR(INDEX(Pubs!$D$2:$D$3001,MATCH(G1600,Pubs!$A$2:$A$3001,0))&amp;"",""))</f>
        <v/>
      </c>
      <c r="N1600" s="27" t="n">
        <f aca="false">N(N1599)+IF(AND(A1600&lt;&gt;"",OR(Recherche!$C$4="",A1600=Recherche!$C$4),OR(Recherche!$C$5="",B1600&amp;""=Recherche!$C$5&amp;""),OR(Recherche!$C$6="",IFERROR(YEAR(L1600),0)=Recherche!$C$6),OR(Recherche!$C$7="",ISNUMBER(SEARCH(Recherche!$C$7,H1600))),OR(Recherche!$C$8="",J1600=Recherche!$C$8),OR(Recherche!$C$9="",I1600=Recherche!$C$9),OR(Recherche!$C$10="",G1600&amp;""=Recherche!$C$10&amp;""),OR(Recherche!$C$11="",E1600=Recherche!$C$11),OR(Recherche!$C$12="",ISNUMBER(SEARCH(Recherche!$C$12,M1600&amp;" "&amp;F1600)))),1,0)</f>
        <v>8</v>
      </c>
    </row>
    <row r="1601" customFormat="false" ht="15" hidden="false" customHeight="false" outlineLevel="0" collapsed="false">
      <c r="A1601" s="19"/>
      <c r="B1601" s="19"/>
      <c r="C1601" s="19"/>
      <c r="D1601" s="19"/>
      <c r="E1601" s="22"/>
      <c r="F1601" s="19"/>
      <c r="G1601" s="26" t="str">
        <f aca="false">IF(D1601="","",IFERROR(VALUE(LEFT(D1601,FIND(" |",D1601&amp;" |")-1)),"?"))</f>
        <v/>
      </c>
      <c r="H1601" s="27" t="str">
        <f aca="false">IF(G1601="","",IF(G1601="?","⚠ pub inconnue",IFERROR(INDEX(Pubs!$B$2:$B$3001,MATCH(G1601,Pubs!$A$2:$A$3001,0))&amp;"","⚠ pub inconnue")))</f>
        <v/>
      </c>
      <c r="I1601" s="27" t="str">
        <f aca="false">IF(OR(G1601="",G1601="?"),"",IFERROR(INDEX(Pubs!$C$2:$C$3001,MATCH(G1601,Pubs!$A$2:$A$3001,0))&amp;"",""))</f>
        <v/>
      </c>
      <c r="J1601" s="27" t="str">
        <f aca="false">IF(OR(G1601="",G1601="?"),"",IFERROR(INDEX(Pubs!$G$2:$G$3001,MATCH(G1601,Pubs!$A$2:$A$3001,0))&amp;"",""))</f>
        <v/>
      </c>
      <c r="K1601" s="28" t="str">
        <f aca="false">IF(OR(G1601="",G1601="?"),"",IFERROR(INDEX(Pubs!$E$2:$E$3001,MATCH(G1601,Pubs!$A$2:$A$3001,0)),""))</f>
        <v/>
      </c>
      <c r="L1601" s="29" t="str">
        <f aca="false">IF(A1601="","",IFERROR(1/(1/INDEX(Numéros!$C$2:$C$3001,MATCH(A1601&amp;"|"&amp;B1601,Numéros!$F$2:$F$3001,0))),""))</f>
        <v/>
      </c>
      <c r="M1601" s="27" t="str">
        <f aca="false">IF(OR(G1601="",G1601="?"),"",IFERROR(INDEX(Pubs!$D$2:$D$3001,MATCH(G1601,Pubs!$A$2:$A$3001,0))&amp;"",""))</f>
        <v/>
      </c>
      <c r="N1601" s="27" t="n">
        <f aca="false">N(N1600)+IF(AND(A1601&lt;&gt;"",OR(Recherche!$C$4="",A1601=Recherche!$C$4),OR(Recherche!$C$5="",B1601&amp;""=Recherche!$C$5&amp;""),OR(Recherche!$C$6="",IFERROR(YEAR(L1601),0)=Recherche!$C$6),OR(Recherche!$C$7="",ISNUMBER(SEARCH(Recherche!$C$7,H1601))),OR(Recherche!$C$8="",J1601=Recherche!$C$8),OR(Recherche!$C$9="",I1601=Recherche!$C$9),OR(Recherche!$C$10="",G1601&amp;""=Recherche!$C$10&amp;""),OR(Recherche!$C$11="",E1601=Recherche!$C$11),OR(Recherche!$C$12="",ISNUMBER(SEARCH(Recherche!$C$12,M1601&amp;" "&amp;F1601)))),1,0)</f>
        <v>8</v>
      </c>
    </row>
    <row r="1602" customFormat="false" ht="15" hidden="false" customHeight="false" outlineLevel="0" collapsed="false">
      <c r="A1602" s="19"/>
      <c r="B1602" s="19"/>
      <c r="C1602" s="19"/>
      <c r="D1602" s="19"/>
      <c r="E1602" s="22"/>
      <c r="F1602" s="19"/>
      <c r="G1602" s="26" t="str">
        <f aca="false">IF(D1602="","",IFERROR(VALUE(LEFT(D1602,FIND(" |",D1602&amp;" |")-1)),"?"))</f>
        <v/>
      </c>
      <c r="H1602" s="27" t="str">
        <f aca="false">IF(G1602="","",IF(G1602="?","⚠ pub inconnue",IFERROR(INDEX(Pubs!$B$2:$B$3001,MATCH(G1602,Pubs!$A$2:$A$3001,0))&amp;"","⚠ pub inconnue")))</f>
        <v/>
      </c>
      <c r="I1602" s="27" t="str">
        <f aca="false">IF(OR(G1602="",G1602="?"),"",IFERROR(INDEX(Pubs!$C$2:$C$3001,MATCH(G1602,Pubs!$A$2:$A$3001,0))&amp;"",""))</f>
        <v/>
      </c>
      <c r="J1602" s="27" t="str">
        <f aca="false">IF(OR(G1602="",G1602="?"),"",IFERROR(INDEX(Pubs!$G$2:$G$3001,MATCH(G1602,Pubs!$A$2:$A$3001,0))&amp;"",""))</f>
        <v/>
      </c>
      <c r="K1602" s="28" t="str">
        <f aca="false">IF(OR(G1602="",G1602="?"),"",IFERROR(INDEX(Pubs!$E$2:$E$3001,MATCH(G1602,Pubs!$A$2:$A$3001,0)),""))</f>
        <v/>
      </c>
      <c r="L1602" s="29" t="str">
        <f aca="false">IF(A1602="","",IFERROR(1/(1/INDEX(Numéros!$C$2:$C$3001,MATCH(A1602&amp;"|"&amp;B1602,Numéros!$F$2:$F$3001,0))),""))</f>
        <v/>
      </c>
      <c r="M1602" s="27" t="str">
        <f aca="false">IF(OR(G1602="",G1602="?"),"",IFERROR(INDEX(Pubs!$D$2:$D$3001,MATCH(G1602,Pubs!$A$2:$A$3001,0))&amp;"",""))</f>
        <v/>
      </c>
      <c r="N1602" s="27" t="n">
        <f aca="false">N(N1601)+IF(AND(A1602&lt;&gt;"",OR(Recherche!$C$4="",A1602=Recherche!$C$4),OR(Recherche!$C$5="",B1602&amp;""=Recherche!$C$5&amp;""),OR(Recherche!$C$6="",IFERROR(YEAR(L1602),0)=Recherche!$C$6),OR(Recherche!$C$7="",ISNUMBER(SEARCH(Recherche!$C$7,H1602))),OR(Recherche!$C$8="",J1602=Recherche!$C$8),OR(Recherche!$C$9="",I1602=Recherche!$C$9),OR(Recherche!$C$10="",G1602&amp;""=Recherche!$C$10&amp;""),OR(Recherche!$C$11="",E1602=Recherche!$C$11),OR(Recherche!$C$12="",ISNUMBER(SEARCH(Recherche!$C$12,M1602&amp;" "&amp;F1602)))),1,0)</f>
        <v>8</v>
      </c>
    </row>
    <row r="1603" customFormat="false" ht="15" hidden="false" customHeight="false" outlineLevel="0" collapsed="false">
      <c r="A1603" s="19"/>
      <c r="B1603" s="19"/>
      <c r="C1603" s="19"/>
      <c r="D1603" s="19"/>
      <c r="E1603" s="22"/>
      <c r="F1603" s="19"/>
      <c r="G1603" s="26" t="str">
        <f aca="false">IF(D1603="","",IFERROR(VALUE(LEFT(D1603,FIND(" |",D1603&amp;" |")-1)),"?"))</f>
        <v/>
      </c>
      <c r="H1603" s="27" t="str">
        <f aca="false">IF(G1603="","",IF(G1603="?","⚠ pub inconnue",IFERROR(INDEX(Pubs!$B$2:$B$3001,MATCH(G1603,Pubs!$A$2:$A$3001,0))&amp;"","⚠ pub inconnue")))</f>
        <v/>
      </c>
      <c r="I1603" s="27" t="str">
        <f aca="false">IF(OR(G1603="",G1603="?"),"",IFERROR(INDEX(Pubs!$C$2:$C$3001,MATCH(G1603,Pubs!$A$2:$A$3001,0))&amp;"",""))</f>
        <v/>
      </c>
      <c r="J1603" s="27" t="str">
        <f aca="false">IF(OR(G1603="",G1603="?"),"",IFERROR(INDEX(Pubs!$G$2:$G$3001,MATCH(G1603,Pubs!$A$2:$A$3001,0))&amp;"",""))</f>
        <v/>
      </c>
      <c r="K1603" s="28" t="str">
        <f aca="false">IF(OR(G1603="",G1603="?"),"",IFERROR(INDEX(Pubs!$E$2:$E$3001,MATCH(G1603,Pubs!$A$2:$A$3001,0)),""))</f>
        <v/>
      </c>
      <c r="L1603" s="29" t="str">
        <f aca="false">IF(A1603="","",IFERROR(1/(1/INDEX(Numéros!$C$2:$C$3001,MATCH(A1603&amp;"|"&amp;B1603,Numéros!$F$2:$F$3001,0))),""))</f>
        <v/>
      </c>
      <c r="M1603" s="27" t="str">
        <f aca="false">IF(OR(G1603="",G1603="?"),"",IFERROR(INDEX(Pubs!$D$2:$D$3001,MATCH(G1603,Pubs!$A$2:$A$3001,0))&amp;"",""))</f>
        <v/>
      </c>
      <c r="N1603" s="27" t="n">
        <f aca="false">N(N1602)+IF(AND(A1603&lt;&gt;"",OR(Recherche!$C$4="",A1603=Recherche!$C$4),OR(Recherche!$C$5="",B1603&amp;""=Recherche!$C$5&amp;""),OR(Recherche!$C$6="",IFERROR(YEAR(L1603),0)=Recherche!$C$6),OR(Recherche!$C$7="",ISNUMBER(SEARCH(Recherche!$C$7,H1603))),OR(Recherche!$C$8="",J1603=Recherche!$C$8),OR(Recherche!$C$9="",I1603=Recherche!$C$9),OR(Recherche!$C$10="",G1603&amp;""=Recherche!$C$10&amp;""),OR(Recherche!$C$11="",E1603=Recherche!$C$11),OR(Recherche!$C$12="",ISNUMBER(SEARCH(Recherche!$C$12,M1603&amp;" "&amp;F1603)))),1,0)</f>
        <v>8</v>
      </c>
    </row>
    <row r="1604" customFormat="false" ht="15" hidden="false" customHeight="false" outlineLevel="0" collapsed="false">
      <c r="A1604" s="19"/>
      <c r="B1604" s="19"/>
      <c r="C1604" s="19"/>
      <c r="D1604" s="19"/>
      <c r="E1604" s="22"/>
      <c r="F1604" s="19"/>
      <c r="G1604" s="26" t="str">
        <f aca="false">IF(D1604="","",IFERROR(VALUE(LEFT(D1604,FIND(" |",D1604&amp;" |")-1)),"?"))</f>
        <v/>
      </c>
      <c r="H1604" s="27" t="str">
        <f aca="false">IF(G1604="","",IF(G1604="?","⚠ pub inconnue",IFERROR(INDEX(Pubs!$B$2:$B$3001,MATCH(G1604,Pubs!$A$2:$A$3001,0))&amp;"","⚠ pub inconnue")))</f>
        <v/>
      </c>
      <c r="I1604" s="27" t="str">
        <f aca="false">IF(OR(G1604="",G1604="?"),"",IFERROR(INDEX(Pubs!$C$2:$C$3001,MATCH(G1604,Pubs!$A$2:$A$3001,0))&amp;"",""))</f>
        <v/>
      </c>
      <c r="J1604" s="27" t="str">
        <f aca="false">IF(OR(G1604="",G1604="?"),"",IFERROR(INDEX(Pubs!$G$2:$G$3001,MATCH(G1604,Pubs!$A$2:$A$3001,0))&amp;"",""))</f>
        <v/>
      </c>
      <c r="K1604" s="28" t="str">
        <f aca="false">IF(OR(G1604="",G1604="?"),"",IFERROR(INDEX(Pubs!$E$2:$E$3001,MATCH(G1604,Pubs!$A$2:$A$3001,0)),""))</f>
        <v/>
      </c>
      <c r="L1604" s="29" t="str">
        <f aca="false">IF(A1604="","",IFERROR(1/(1/INDEX(Numéros!$C$2:$C$3001,MATCH(A1604&amp;"|"&amp;B1604,Numéros!$F$2:$F$3001,0))),""))</f>
        <v/>
      </c>
      <c r="M1604" s="27" t="str">
        <f aca="false">IF(OR(G1604="",G1604="?"),"",IFERROR(INDEX(Pubs!$D$2:$D$3001,MATCH(G1604,Pubs!$A$2:$A$3001,0))&amp;"",""))</f>
        <v/>
      </c>
      <c r="N1604" s="27" t="n">
        <f aca="false">N(N1603)+IF(AND(A1604&lt;&gt;"",OR(Recherche!$C$4="",A1604=Recherche!$C$4),OR(Recherche!$C$5="",B1604&amp;""=Recherche!$C$5&amp;""),OR(Recherche!$C$6="",IFERROR(YEAR(L1604),0)=Recherche!$C$6),OR(Recherche!$C$7="",ISNUMBER(SEARCH(Recherche!$C$7,H1604))),OR(Recherche!$C$8="",J1604=Recherche!$C$8),OR(Recherche!$C$9="",I1604=Recherche!$C$9),OR(Recherche!$C$10="",G1604&amp;""=Recherche!$C$10&amp;""),OR(Recherche!$C$11="",E1604=Recherche!$C$11),OR(Recherche!$C$12="",ISNUMBER(SEARCH(Recherche!$C$12,M1604&amp;" "&amp;F1604)))),1,0)</f>
        <v>8</v>
      </c>
    </row>
    <row r="1605" customFormat="false" ht="15" hidden="false" customHeight="false" outlineLevel="0" collapsed="false">
      <c r="A1605" s="19"/>
      <c r="B1605" s="19"/>
      <c r="C1605" s="19"/>
      <c r="D1605" s="19"/>
      <c r="E1605" s="22"/>
      <c r="F1605" s="19"/>
      <c r="G1605" s="26" t="str">
        <f aca="false">IF(D1605="","",IFERROR(VALUE(LEFT(D1605,FIND(" |",D1605&amp;" |")-1)),"?"))</f>
        <v/>
      </c>
      <c r="H1605" s="27" t="str">
        <f aca="false">IF(G1605="","",IF(G1605="?","⚠ pub inconnue",IFERROR(INDEX(Pubs!$B$2:$B$3001,MATCH(G1605,Pubs!$A$2:$A$3001,0))&amp;"","⚠ pub inconnue")))</f>
        <v/>
      </c>
      <c r="I1605" s="27" t="str">
        <f aca="false">IF(OR(G1605="",G1605="?"),"",IFERROR(INDEX(Pubs!$C$2:$C$3001,MATCH(G1605,Pubs!$A$2:$A$3001,0))&amp;"",""))</f>
        <v/>
      </c>
      <c r="J1605" s="27" t="str">
        <f aca="false">IF(OR(G1605="",G1605="?"),"",IFERROR(INDEX(Pubs!$G$2:$G$3001,MATCH(G1605,Pubs!$A$2:$A$3001,0))&amp;"",""))</f>
        <v/>
      </c>
      <c r="K1605" s="28" t="str">
        <f aca="false">IF(OR(G1605="",G1605="?"),"",IFERROR(INDEX(Pubs!$E$2:$E$3001,MATCH(G1605,Pubs!$A$2:$A$3001,0)),""))</f>
        <v/>
      </c>
      <c r="L1605" s="29" t="str">
        <f aca="false">IF(A1605="","",IFERROR(1/(1/INDEX(Numéros!$C$2:$C$3001,MATCH(A1605&amp;"|"&amp;B1605,Numéros!$F$2:$F$3001,0))),""))</f>
        <v/>
      </c>
      <c r="M1605" s="27" t="str">
        <f aca="false">IF(OR(G1605="",G1605="?"),"",IFERROR(INDEX(Pubs!$D$2:$D$3001,MATCH(G1605,Pubs!$A$2:$A$3001,0))&amp;"",""))</f>
        <v/>
      </c>
      <c r="N1605" s="27" t="n">
        <f aca="false">N(N1604)+IF(AND(A1605&lt;&gt;"",OR(Recherche!$C$4="",A1605=Recherche!$C$4),OR(Recherche!$C$5="",B1605&amp;""=Recherche!$C$5&amp;""),OR(Recherche!$C$6="",IFERROR(YEAR(L1605),0)=Recherche!$C$6),OR(Recherche!$C$7="",ISNUMBER(SEARCH(Recherche!$C$7,H1605))),OR(Recherche!$C$8="",J1605=Recherche!$C$8),OR(Recherche!$C$9="",I1605=Recherche!$C$9),OR(Recherche!$C$10="",G1605&amp;""=Recherche!$C$10&amp;""),OR(Recherche!$C$11="",E1605=Recherche!$C$11),OR(Recherche!$C$12="",ISNUMBER(SEARCH(Recherche!$C$12,M1605&amp;" "&amp;F1605)))),1,0)</f>
        <v>8</v>
      </c>
    </row>
    <row r="1606" customFormat="false" ht="15" hidden="false" customHeight="false" outlineLevel="0" collapsed="false">
      <c r="A1606" s="19"/>
      <c r="B1606" s="19"/>
      <c r="C1606" s="19"/>
      <c r="D1606" s="19"/>
      <c r="E1606" s="22"/>
      <c r="F1606" s="19"/>
      <c r="G1606" s="26" t="str">
        <f aca="false">IF(D1606="","",IFERROR(VALUE(LEFT(D1606,FIND(" |",D1606&amp;" |")-1)),"?"))</f>
        <v/>
      </c>
      <c r="H1606" s="27" t="str">
        <f aca="false">IF(G1606="","",IF(G1606="?","⚠ pub inconnue",IFERROR(INDEX(Pubs!$B$2:$B$3001,MATCH(G1606,Pubs!$A$2:$A$3001,0))&amp;"","⚠ pub inconnue")))</f>
        <v/>
      </c>
      <c r="I1606" s="27" t="str">
        <f aca="false">IF(OR(G1606="",G1606="?"),"",IFERROR(INDEX(Pubs!$C$2:$C$3001,MATCH(G1606,Pubs!$A$2:$A$3001,0))&amp;"",""))</f>
        <v/>
      </c>
      <c r="J1606" s="27" t="str">
        <f aca="false">IF(OR(G1606="",G1606="?"),"",IFERROR(INDEX(Pubs!$G$2:$G$3001,MATCH(G1606,Pubs!$A$2:$A$3001,0))&amp;"",""))</f>
        <v/>
      </c>
      <c r="K1606" s="28" t="str">
        <f aca="false">IF(OR(G1606="",G1606="?"),"",IFERROR(INDEX(Pubs!$E$2:$E$3001,MATCH(G1606,Pubs!$A$2:$A$3001,0)),""))</f>
        <v/>
      </c>
      <c r="L1606" s="29" t="str">
        <f aca="false">IF(A1606="","",IFERROR(1/(1/INDEX(Numéros!$C$2:$C$3001,MATCH(A1606&amp;"|"&amp;B1606,Numéros!$F$2:$F$3001,0))),""))</f>
        <v/>
      </c>
      <c r="M1606" s="27" t="str">
        <f aca="false">IF(OR(G1606="",G1606="?"),"",IFERROR(INDEX(Pubs!$D$2:$D$3001,MATCH(G1606,Pubs!$A$2:$A$3001,0))&amp;"",""))</f>
        <v/>
      </c>
      <c r="N1606" s="27" t="n">
        <f aca="false">N(N1605)+IF(AND(A1606&lt;&gt;"",OR(Recherche!$C$4="",A1606=Recherche!$C$4),OR(Recherche!$C$5="",B1606&amp;""=Recherche!$C$5&amp;""),OR(Recherche!$C$6="",IFERROR(YEAR(L1606),0)=Recherche!$C$6),OR(Recherche!$C$7="",ISNUMBER(SEARCH(Recherche!$C$7,H1606))),OR(Recherche!$C$8="",J1606=Recherche!$C$8),OR(Recherche!$C$9="",I1606=Recherche!$C$9),OR(Recherche!$C$10="",G1606&amp;""=Recherche!$C$10&amp;""),OR(Recherche!$C$11="",E1606=Recherche!$C$11),OR(Recherche!$C$12="",ISNUMBER(SEARCH(Recherche!$C$12,M1606&amp;" "&amp;F1606)))),1,0)</f>
        <v>8</v>
      </c>
    </row>
    <row r="1607" customFormat="false" ht="15" hidden="false" customHeight="false" outlineLevel="0" collapsed="false">
      <c r="A1607" s="19"/>
      <c r="B1607" s="19"/>
      <c r="C1607" s="19"/>
      <c r="D1607" s="19"/>
      <c r="E1607" s="22"/>
      <c r="F1607" s="19"/>
      <c r="G1607" s="26" t="str">
        <f aca="false">IF(D1607="","",IFERROR(VALUE(LEFT(D1607,FIND(" |",D1607&amp;" |")-1)),"?"))</f>
        <v/>
      </c>
      <c r="H1607" s="27" t="str">
        <f aca="false">IF(G1607="","",IF(G1607="?","⚠ pub inconnue",IFERROR(INDEX(Pubs!$B$2:$B$3001,MATCH(G1607,Pubs!$A$2:$A$3001,0))&amp;"","⚠ pub inconnue")))</f>
        <v/>
      </c>
      <c r="I1607" s="27" t="str">
        <f aca="false">IF(OR(G1607="",G1607="?"),"",IFERROR(INDEX(Pubs!$C$2:$C$3001,MATCH(G1607,Pubs!$A$2:$A$3001,0))&amp;"",""))</f>
        <v/>
      </c>
      <c r="J1607" s="27" t="str">
        <f aca="false">IF(OR(G1607="",G1607="?"),"",IFERROR(INDEX(Pubs!$G$2:$G$3001,MATCH(G1607,Pubs!$A$2:$A$3001,0))&amp;"",""))</f>
        <v/>
      </c>
      <c r="K1607" s="28" t="str">
        <f aca="false">IF(OR(G1607="",G1607="?"),"",IFERROR(INDEX(Pubs!$E$2:$E$3001,MATCH(G1607,Pubs!$A$2:$A$3001,0)),""))</f>
        <v/>
      </c>
      <c r="L1607" s="29" t="str">
        <f aca="false">IF(A1607="","",IFERROR(1/(1/INDEX(Numéros!$C$2:$C$3001,MATCH(A1607&amp;"|"&amp;B1607,Numéros!$F$2:$F$3001,0))),""))</f>
        <v/>
      </c>
      <c r="M1607" s="27" t="str">
        <f aca="false">IF(OR(G1607="",G1607="?"),"",IFERROR(INDEX(Pubs!$D$2:$D$3001,MATCH(G1607,Pubs!$A$2:$A$3001,0))&amp;"",""))</f>
        <v/>
      </c>
      <c r="N1607" s="27" t="n">
        <f aca="false">N(N1606)+IF(AND(A1607&lt;&gt;"",OR(Recherche!$C$4="",A1607=Recherche!$C$4),OR(Recherche!$C$5="",B1607&amp;""=Recherche!$C$5&amp;""),OR(Recherche!$C$6="",IFERROR(YEAR(L1607),0)=Recherche!$C$6),OR(Recherche!$C$7="",ISNUMBER(SEARCH(Recherche!$C$7,H1607))),OR(Recherche!$C$8="",J1607=Recherche!$C$8),OR(Recherche!$C$9="",I1607=Recherche!$C$9),OR(Recherche!$C$10="",G1607&amp;""=Recherche!$C$10&amp;""),OR(Recherche!$C$11="",E1607=Recherche!$C$11),OR(Recherche!$C$12="",ISNUMBER(SEARCH(Recherche!$C$12,M1607&amp;" "&amp;F1607)))),1,0)</f>
        <v>8</v>
      </c>
    </row>
    <row r="1608" customFormat="false" ht="15" hidden="false" customHeight="false" outlineLevel="0" collapsed="false">
      <c r="A1608" s="19"/>
      <c r="B1608" s="19"/>
      <c r="C1608" s="19"/>
      <c r="D1608" s="19"/>
      <c r="E1608" s="22"/>
      <c r="F1608" s="19"/>
      <c r="G1608" s="26" t="str">
        <f aca="false">IF(D1608="","",IFERROR(VALUE(LEFT(D1608,FIND(" |",D1608&amp;" |")-1)),"?"))</f>
        <v/>
      </c>
      <c r="H1608" s="27" t="str">
        <f aca="false">IF(G1608="","",IF(G1608="?","⚠ pub inconnue",IFERROR(INDEX(Pubs!$B$2:$B$3001,MATCH(G1608,Pubs!$A$2:$A$3001,0))&amp;"","⚠ pub inconnue")))</f>
        <v/>
      </c>
      <c r="I1608" s="27" t="str">
        <f aca="false">IF(OR(G1608="",G1608="?"),"",IFERROR(INDEX(Pubs!$C$2:$C$3001,MATCH(G1608,Pubs!$A$2:$A$3001,0))&amp;"",""))</f>
        <v/>
      </c>
      <c r="J1608" s="27" t="str">
        <f aca="false">IF(OR(G1608="",G1608="?"),"",IFERROR(INDEX(Pubs!$G$2:$G$3001,MATCH(G1608,Pubs!$A$2:$A$3001,0))&amp;"",""))</f>
        <v/>
      </c>
      <c r="K1608" s="28" t="str">
        <f aca="false">IF(OR(G1608="",G1608="?"),"",IFERROR(INDEX(Pubs!$E$2:$E$3001,MATCH(G1608,Pubs!$A$2:$A$3001,0)),""))</f>
        <v/>
      </c>
      <c r="L1608" s="29" t="str">
        <f aca="false">IF(A1608="","",IFERROR(1/(1/INDEX(Numéros!$C$2:$C$3001,MATCH(A1608&amp;"|"&amp;B1608,Numéros!$F$2:$F$3001,0))),""))</f>
        <v/>
      </c>
      <c r="M1608" s="27" t="str">
        <f aca="false">IF(OR(G1608="",G1608="?"),"",IFERROR(INDEX(Pubs!$D$2:$D$3001,MATCH(G1608,Pubs!$A$2:$A$3001,0))&amp;"",""))</f>
        <v/>
      </c>
      <c r="N1608" s="27" t="n">
        <f aca="false">N(N1607)+IF(AND(A1608&lt;&gt;"",OR(Recherche!$C$4="",A1608=Recherche!$C$4),OR(Recherche!$C$5="",B1608&amp;""=Recherche!$C$5&amp;""),OR(Recherche!$C$6="",IFERROR(YEAR(L1608),0)=Recherche!$C$6),OR(Recherche!$C$7="",ISNUMBER(SEARCH(Recherche!$C$7,H1608))),OR(Recherche!$C$8="",J1608=Recherche!$C$8),OR(Recherche!$C$9="",I1608=Recherche!$C$9),OR(Recherche!$C$10="",G1608&amp;""=Recherche!$C$10&amp;""),OR(Recherche!$C$11="",E1608=Recherche!$C$11),OR(Recherche!$C$12="",ISNUMBER(SEARCH(Recherche!$C$12,M1608&amp;" "&amp;F1608)))),1,0)</f>
        <v>8</v>
      </c>
    </row>
    <row r="1609" customFormat="false" ht="15" hidden="false" customHeight="false" outlineLevel="0" collapsed="false">
      <c r="A1609" s="19"/>
      <c r="B1609" s="19"/>
      <c r="C1609" s="19"/>
      <c r="D1609" s="19"/>
      <c r="E1609" s="22"/>
      <c r="F1609" s="19"/>
      <c r="G1609" s="26" t="str">
        <f aca="false">IF(D1609="","",IFERROR(VALUE(LEFT(D1609,FIND(" |",D1609&amp;" |")-1)),"?"))</f>
        <v/>
      </c>
      <c r="H1609" s="27" t="str">
        <f aca="false">IF(G1609="","",IF(G1609="?","⚠ pub inconnue",IFERROR(INDEX(Pubs!$B$2:$B$3001,MATCH(G1609,Pubs!$A$2:$A$3001,0))&amp;"","⚠ pub inconnue")))</f>
        <v/>
      </c>
      <c r="I1609" s="27" t="str">
        <f aca="false">IF(OR(G1609="",G1609="?"),"",IFERROR(INDEX(Pubs!$C$2:$C$3001,MATCH(G1609,Pubs!$A$2:$A$3001,0))&amp;"",""))</f>
        <v/>
      </c>
      <c r="J1609" s="27" t="str">
        <f aca="false">IF(OR(G1609="",G1609="?"),"",IFERROR(INDEX(Pubs!$G$2:$G$3001,MATCH(G1609,Pubs!$A$2:$A$3001,0))&amp;"",""))</f>
        <v/>
      </c>
      <c r="K1609" s="28" t="str">
        <f aca="false">IF(OR(G1609="",G1609="?"),"",IFERROR(INDEX(Pubs!$E$2:$E$3001,MATCH(G1609,Pubs!$A$2:$A$3001,0)),""))</f>
        <v/>
      </c>
      <c r="L1609" s="29" t="str">
        <f aca="false">IF(A1609="","",IFERROR(1/(1/INDEX(Numéros!$C$2:$C$3001,MATCH(A1609&amp;"|"&amp;B1609,Numéros!$F$2:$F$3001,0))),""))</f>
        <v/>
      </c>
      <c r="M1609" s="27" t="str">
        <f aca="false">IF(OR(G1609="",G1609="?"),"",IFERROR(INDEX(Pubs!$D$2:$D$3001,MATCH(G1609,Pubs!$A$2:$A$3001,0))&amp;"",""))</f>
        <v/>
      </c>
      <c r="N1609" s="27" t="n">
        <f aca="false">N(N1608)+IF(AND(A1609&lt;&gt;"",OR(Recherche!$C$4="",A1609=Recherche!$C$4),OR(Recherche!$C$5="",B1609&amp;""=Recherche!$C$5&amp;""),OR(Recherche!$C$6="",IFERROR(YEAR(L1609),0)=Recherche!$C$6),OR(Recherche!$C$7="",ISNUMBER(SEARCH(Recherche!$C$7,H1609))),OR(Recherche!$C$8="",J1609=Recherche!$C$8),OR(Recherche!$C$9="",I1609=Recherche!$C$9),OR(Recherche!$C$10="",G1609&amp;""=Recherche!$C$10&amp;""),OR(Recherche!$C$11="",E1609=Recherche!$C$11),OR(Recherche!$C$12="",ISNUMBER(SEARCH(Recherche!$C$12,M1609&amp;" "&amp;F1609)))),1,0)</f>
        <v>8</v>
      </c>
    </row>
    <row r="1610" customFormat="false" ht="15" hidden="false" customHeight="false" outlineLevel="0" collapsed="false">
      <c r="A1610" s="19"/>
      <c r="B1610" s="19"/>
      <c r="C1610" s="19"/>
      <c r="D1610" s="19"/>
      <c r="E1610" s="22"/>
      <c r="F1610" s="19"/>
      <c r="G1610" s="26" t="str">
        <f aca="false">IF(D1610="","",IFERROR(VALUE(LEFT(D1610,FIND(" |",D1610&amp;" |")-1)),"?"))</f>
        <v/>
      </c>
      <c r="H1610" s="27" t="str">
        <f aca="false">IF(G1610="","",IF(G1610="?","⚠ pub inconnue",IFERROR(INDEX(Pubs!$B$2:$B$3001,MATCH(G1610,Pubs!$A$2:$A$3001,0))&amp;"","⚠ pub inconnue")))</f>
        <v/>
      </c>
      <c r="I1610" s="27" t="str">
        <f aca="false">IF(OR(G1610="",G1610="?"),"",IFERROR(INDEX(Pubs!$C$2:$C$3001,MATCH(G1610,Pubs!$A$2:$A$3001,0))&amp;"",""))</f>
        <v/>
      </c>
      <c r="J1610" s="27" t="str">
        <f aca="false">IF(OR(G1610="",G1610="?"),"",IFERROR(INDEX(Pubs!$G$2:$G$3001,MATCH(G1610,Pubs!$A$2:$A$3001,0))&amp;"",""))</f>
        <v/>
      </c>
      <c r="K1610" s="28" t="str">
        <f aca="false">IF(OR(G1610="",G1610="?"),"",IFERROR(INDEX(Pubs!$E$2:$E$3001,MATCH(G1610,Pubs!$A$2:$A$3001,0)),""))</f>
        <v/>
      </c>
      <c r="L1610" s="29" t="str">
        <f aca="false">IF(A1610="","",IFERROR(1/(1/INDEX(Numéros!$C$2:$C$3001,MATCH(A1610&amp;"|"&amp;B1610,Numéros!$F$2:$F$3001,0))),""))</f>
        <v/>
      </c>
      <c r="M1610" s="27" t="str">
        <f aca="false">IF(OR(G1610="",G1610="?"),"",IFERROR(INDEX(Pubs!$D$2:$D$3001,MATCH(G1610,Pubs!$A$2:$A$3001,0))&amp;"",""))</f>
        <v/>
      </c>
      <c r="N1610" s="27" t="n">
        <f aca="false">N(N1609)+IF(AND(A1610&lt;&gt;"",OR(Recherche!$C$4="",A1610=Recherche!$C$4),OR(Recherche!$C$5="",B1610&amp;""=Recherche!$C$5&amp;""),OR(Recherche!$C$6="",IFERROR(YEAR(L1610),0)=Recherche!$C$6),OR(Recherche!$C$7="",ISNUMBER(SEARCH(Recherche!$C$7,H1610))),OR(Recherche!$C$8="",J1610=Recherche!$C$8),OR(Recherche!$C$9="",I1610=Recherche!$C$9),OR(Recherche!$C$10="",G1610&amp;""=Recherche!$C$10&amp;""),OR(Recherche!$C$11="",E1610=Recherche!$C$11),OR(Recherche!$C$12="",ISNUMBER(SEARCH(Recherche!$C$12,M1610&amp;" "&amp;F1610)))),1,0)</f>
        <v>8</v>
      </c>
    </row>
    <row r="1611" customFormat="false" ht="15" hidden="false" customHeight="false" outlineLevel="0" collapsed="false">
      <c r="A1611" s="19"/>
      <c r="B1611" s="19"/>
      <c r="C1611" s="19"/>
      <c r="D1611" s="19"/>
      <c r="E1611" s="22"/>
      <c r="F1611" s="19"/>
      <c r="G1611" s="26" t="str">
        <f aca="false">IF(D1611="","",IFERROR(VALUE(LEFT(D1611,FIND(" |",D1611&amp;" |")-1)),"?"))</f>
        <v/>
      </c>
      <c r="H1611" s="27" t="str">
        <f aca="false">IF(G1611="","",IF(G1611="?","⚠ pub inconnue",IFERROR(INDEX(Pubs!$B$2:$B$3001,MATCH(G1611,Pubs!$A$2:$A$3001,0))&amp;"","⚠ pub inconnue")))</f>
        <v/>
      </c>
      <c r="I1611" s="27" t="str">
        <f aca="false">IF(OR(G1611="",G1611="?"),"",IFERROR(INDEX(Pubs!$C$2:$C$3001,MATCH(G1611,Pubs!$A$2:$A$3001,0))&amp;"",""))</f>
        <v/>
      </c>
      <c r="J1611" s="27" t="str">
        <f aca="false">IF(OR(G1611="",G1611="?"),"",IFERROR(INDEX(Pubs!$G$2:$G$3001,MATCH(G1611,Pubs!$A$2:$A$3001,0))&amp;"",""))</f>
        <v/>
      </c>
      <c r="K1611" s="28" t="str">
        <f aca="false">IF(OR(G1611="",G1611="?"),"",IFERROR(INDEX(Pubs!$E$2:$E$3001,MATCH(G1611,Pubs!$A$2:$A$3001,0)),""))</f>
        <v/>
      </c>
      <c r="L1611" s="29" t="str">
        <f aca="false">IF(A1611="","",IFERROR(1/(1/INDEX(Numéros!$C$2:$C$3001,MATCH(A1611&amp;"|"&amp;B1611,Numéros!$F$2:$F$3001,0))),""))</f>
        <v/>
      </c>
      <c r="M1611" s="27" t="str">
        <f aca="false">IF(OR(G1611="",G1611="?"),"",IFERROR(INDEX(Pubs!$D$2:$D$3001,MATCH(G1611,Pubs!$A$2:$A$3001,0))&amp;"",""))</f>
        <v/>
      </c>
      <c r="N1611" s="27" t="n">
        <f aca="false">N(N1610)+IF(AND(A1611&lt;&gt;"",OR(Recherche!$C$4="",A1611=Recherche!$C$4),OR(Recherche!$C$5="",B1611&amp;""=Recherche!$C$5&amp;""),OR(Recherche!$C$6="",IFERROR(YEAR(L1611),0)=Recherche!$C$6),OR(Recherche!$C$7="",ISNUMBER(SEARCH(Recherche!$C$7,H1611))),OR(Recherche!$C$8="",J1611=Recherche!$C$8),OR(Recherche!$C$9="",I1611=Recherche!$C$9),OR(Recherche!$C$10="",G1611&amp;""=Recherche!$C$10&amp;""),OR(Recherche!$C$11="",E1611=Recherche!$C$11),OR(Recherche!$C$12="",ISNUMBER(SEARCH(Recherche!$C$12,M1611&amp;" "&amp;F1611)))),1,0)</f>
        <v>8</v>
      </c>
    </row>
    <row r="1612" customFormat="false" ht="15" hidden="false" customHeight="false" outlineLevel="0" collapsed="false">
      <c r="A1612" s="19"/>
      <c r="B1612" s="19"/>
      <c r="C1612" s="19"/>
      <c r="D1612" s="19"/>
      <c r="E1612" s="22"/>
      <c r="F1612" s="19"/>
      <c r="G1612" s="26" t="str">
        <f aca="false">IF(D1612="","",IFERROR(VALUE(LEFT(D1612,FIND(" |",D1612&amp;" |")-1)),"?"))</f>
        <v/>
      </c>
      <c r="H1612" s="27" t="str">
        <f aca="false">IF(G1612="","",IF(G1612="?","⚠ pub inconnue",IFERROR(INDEX(Pubs!$B$2:$B$3001,MATCH(G1612,Pubs!$A$2:$A$3001,0))&amp;"","⚠ pub inconnue")))</f>
        <v/>
      </c>
      <c r="I1612" s="27" t="str">
        <f aca="false">IF(OR(G1612="",G1612="?"),"",IFERROR(INDEX(Pubs!$C$2:$C$3001,MATCH(G1612,Pubs!$A$2:$A$3001,0))&amp;"",""))</f>
        <v/>
      </c>
      <c r="J1612" s="27" t="str">
        <f aca="false">IF(OR(G1612="",G1612="?"),"",IFERROR(INDEX(Pubs!$G$2:$G$3001,MATCH(G1612,Pubs!$A$2:$A$3001,0))&amp;"",""))</f>
        <v/>
      </c>
      <c r="K1612" s="28" t="str">
        <f aca="false">IF(OR(G1612="",G1612="?"),"",IFERROR(INDEX(Pubs!$E$2:$E$3001,MATCH(G1612,Pubs!$A$2:$A$3001,0)),""))</f>
        <v/>
      </c>
      <c r="L1612" s="29" t="str">
        <f aca="false">IF(A1612="","",IFERROR(1/(1/INDEX(Numéros!$C$2:$C$3001,MATCH(A1612&amp;"|"&amp;B1612,Numéros!$F$2:$F$3001,0))),""))</f>
        <v/>
      </c>
      <c r="M1612" s="27" t="str">
        <f aca="false">IF(OR(G1612="",G1612="?"),"",IFERROR(INDEX(Pubs!$D$2:$D$3001,MATCH(G1612,Pubs!$A$2:$A$3001,0))&amp;"",""))</f>
        <v/>
      </c>
      <c r="N1612" s="27" t="n">
        <f aca="false">N(N1611)+IF(AND(A1612&lt;&gt;"",OR(Recherche!$C$4="",A1612=Recherche!$C$4),OR(Recherche!$C$5="",B1612&amp;""=Recherche!$C$5&amp;""),OR(Recherche!$C$6="",IFERROR(YEAR(L1612),0)=Recherche!$C$6),OR(Recherche!$C$7="",ISNUMBER(SEARCH(Recherche!$C$7,H1612))),OR(Recherche!$C$8="",J1612=Recherche!$C$8),OR(Recherche!$C$9="",I1612=Recherche!$C$9),OR(Recherche!$C$10="",G1612&amp;""=Recherche!$C$10&amp;""),OR(Recherche!$C$11="",E1612=Recherche!$C$11),OR(Recherche!$C$12="",ISNUMBER(SEARCH(Recherche!$C$12,M1612&amp;" "&amp;F1612)))),1,0)</f>
        <v>8</v>
      </c>
    </row>
    <row r="1613" customFormat="false" ht="15" hidden="false" customHeight="false" outlineLevel="0" collapsed="false">
      <c r="A1613" s="19"/>
      <c r="B1613" s="19"/>
      <c r="C1613" s="19"/>
      <c r="D1613" s="19"/>
      <c r="E1613" s="22"/>
      <c r="F1613" s="19"/>
      <c r="G1613" s="26" t="str">
        <f aca="false">IF(D1613="","",IFERROR(VALUE(LEFT(D1613,FIND(" |",D1613&amp;" |")-1)),"?"))</f>
        <v/>
      </c>
      <c r="H1613" s="27" t="str">
        <f aca="false">IF(G1613="","",IF(G1613="?","⚠ pub inconnue",IFERROR(INDEX(Pubs!$B$2:$B$3001,MATCH(G1613,Pubs!$A$2:$A$3001,0))&amp;"","⚠ pub inconnue")))</f>
        <v/>
      </c>
      <c r="I1613" s="27" t="str">
        <f aca="false">IF(OR(G1613="",G1613="?"),"",IFERROR(INDEX(Pubs!$C$2:$C$3001,MATCH(G1613,Pubs!$A$2:$A$3001,0))&amp;"",""))</f>
        <v/>
      </c>
      <c r="J1613" s="27" t="str">
        <f aca="false">IF(OR(G1613="",G1613="?"),"",IFERROR(INDEX(Pubs!$G$2:$G$3001,MATCH(G1613,Pubs!$A$2:$A$3001,0))&amp;"",""))</f>
        <v/>
      </c>
      <c r="K1613" s="28" t="str">
        <f aca="false">IF(OR(G1613="",G1613="?"),"",IFERROR(INDEX(Pubs!$E$2:$E$3001,MATCH(G1613,Pubs!$A$2:$A$3001,0)),""))</f>
        <v/>
      </c>
      <c r="L1613" s="29" t="str">
        <f aca="false">IF(A1613="","",IFERROR(1/(1/INDEX(Numéros!$C$2:$C$3001,MATCH(A1613&amp;"|"&amp;B1613,Numéros!$F$2:$F$3001,0))),""))</f>
        <v/>
      </c>
      <c r="M1613" s="27" t="str">
        <f aca="false">IF(OR(G1613="",G1613="?"),"",IFERROR(INDEX(Pubs!$D$2:$D$3001,MATCH(G1613,Pubs!$A$2:$A$3001,0))&amp;"",""))</f>
        <v/>
      </c>
      <c r="N1613" s="27" t="n">
        <f aca="false">N(N1612)+IF(AND(A1613&lt;&gt;"",OR(Recherche!$C$4="",A1613=Recherche!$C$4),OR(Recherche!$C$5="",B1613&amp;""=Recherche!$C$5&amp;""),OR(Recherche!$C$6="",IFERROR(YEAR(L1613),0)=Recherche!$C$6),OR(Recherche!$C$7="",ISNUMBER(SEARCH(Recherche!$C$7,H1613))),OR(Recherche!$C$8="",J1613=Recherche!$C$8),OR(Recherche!$C$9="",I1613=Recherche!$C$9),OR(Recherche!$C$10="",G1613&amp;""=Recherche!$C$10&amp;""),OR(Recherche!$C$11="",E1613=Recherche!$C$11),OR(Recherche!$C$12="",ISNUMBER(SEARCH(Recherche!$C$12,M1613&amp;" "&amp;F1613)))),1,0)</f>
        <v>8</v>
      </c>
    </row>
    <row r="1614" customFormat="false" ht="15" hidden="false" customHeight="false" outlineLevel="0" collapsed="false">
      <c r="A1614" s="19"/>
      <c r="B1614" s="19"/>
      <c r="C1614" s="19"/>
      <c r="D1614" s="19"/>
      <c r="E1614" s="22"/>
      <c r="F1614" s="19"/>
      <c r="G1614" s="26" t="str">
        <f aca="false">IF(D1614="","",IFERROR(VALUE(LEFT(D1614,FIND(" |",D1614&amp;" |")-1)),"?"))</f>
        <v/>
      </c>
      <c r="H1614" s="27" t="str">
        <f aca="false">IF(G1614="","",IF(G1614="?","⚠ pub inconnue",IFERROR(INDEX(Pubs!$B$2:$B$3001,MATCH(G1614,Pubs!$A$2:$A$3001,0))&amp;"","⚠ pub inconnue")))</f>
        <v/>
      </c>
      <c r="I1614" s="27" t="str">
        <f aca="false">IF(OR(G1614="",G1614="?"),"",IFERROR(INDEX(Pubs!$C$2:$C$3001,MATCH(G1614,Pubs!$A$2:$A$3001,0))&amp;"",""))</f>
        <v/>
      </c>
      <c r="J1614" s="27" t="str">
        <f aca="false">IF(OR(G1614="",G1614="?"),"",IFERROR(INDEX(Pubs!$G$2:$G$3001,MATCH(G1614,Pubs!$A$2:$A$3001,0))&amp;"",""))</f>
        <v/>
      </c>
      <c r="K1614" s="28" t="str">
        <f aca="false">IF(OR(G1614="",G1614="?"),"",IFERROR(INDEX(Pubs!$E$2:$E$3001,MATCH(G1614,Pubs!$A$2:$A$3001,0)),""))</f>
        <v/>
      </c>
      <c r="L1614" s="29" t="str">
        <f aca="false">IF(A1614="","",IFERROR(1/(1/INDEX(Numéros!$C$2:$C$3001,MATCH(A1614&amp;"|"&amp;B1614,Numéros!$F$2:$F$3001,0))),""))</f>
        <v/>
      </c>
      <c r="M1614" s="27" t="str">
        <f aca="false">IF(OR(G1614="",G1614="?"),"",IFERROR(INDEX(Pubs!$D$2:$D$3001,MATCH(G1614,Pubs!$A$2:$A$3001,0))&amp;"",""))</f>
        <v/>
      </c>
      <c r="N1614" s="27" t="n">
        <f aca="false">N(N1613)+IF(AND(A1614&lt;&gt;"",OR(Recherche!$C$4="",A1614=Recherche!$C$4),OR(Recherche!$C$5="",B1614&amp;""=Recherche!$C$5&amp;""),OR(Recherche!$C$6="",IFERROR(YEAR(L1614),0)=Recherche!$C$6),OR(Recherche!$C$7="",ISNUMBER(SEARCH(Recherche!$C$7,H1614))),OR(Recherche!$C$8="",J1614=Recherche!$C$8),OR(Recherche!$C$9="",I1614=Recherche!$C$9),OR(Recherche!$C$10="",G1614&amp;""=Recherche!$C$10&amp;""),OR(Recherche!$C$11="",E1614=Recherche!$C$11),OR(Recherche!$C$12="",ISNUMBER(SEARCH(Recherche!$C$12,M1614&amp;" "&amp;F1614)))),1,0)</f>
        <v>8</v>
      </c>
    </row>
    <row r="1615" customFormat="false" ht="15" hidden="false" customHeight="false" outlineLevel="0" collapsed="false">
      <c r="A1615" s="19"/>
      <c r="B1615" s="19"/>
      <c r="C1615" s="19"/>
      <c r="D1615" s="19"/>
      <c r="E1615" s="22"/>
      <c r="F1615" s="19"/>
      <c r="G1615" s="26" t="str">
        <f aca="false">IF(D1615="","",IFERROR(VALUE(LEFT(D1615,FIND(" |",D1615&amp;" |")-1)),"?"))</f>
        <v/>
      </c>
      <c r="H1615" s="27" t="str">
        <f aca="false">IF(G1615="","",IF(G1615="?","⚠ pub inconnue",IFERROR(INDEX(Pubs!$B$2:$B$3001,MATCH(G1615,Pubs!$A$2:$A$3001,0))&amp;"","⚠ pub inconnue")))</f>
        <v/>
      </c>
      <c r="I1615" s="27" t="str">
        <f aca="false">IF(OR(G1615="",G1615="?"),"",IFERROR(INDEX(Pubs!$C$2:$C$3001,MATCH(G1615,Pubs!$A$2:$A$3001,0))&amp;"",""))</f>
        <v/>
      </c>
      <c r="J1615" s="27" t="str">
        <f aca="false">IF(OR(G1615="",G1615="?"),"",IFERROR(INDEX(Pubs!$G$2:$G$3001,MATCH(G1615,Pubs!$A$2:$A$3001,0))&amp;"",""))</f>
        <v/>
      </c>
      <c r="K1615" s="28" t="str">
        <f aca="false">IF(OR(G1615="",G1615="?"),"",IFERROR(INDEX(Pubs!$E$2:$E$3001,MATCH(G1615,Pubs!$A$2:$A$3001,0)),""))</f>
        <v/>
      </c>
      <c r="L1615" s="29" t="str">
        <f aca="false">IF(A1615="","",IFERROR(1/(1/INDEX(Numéros!$C$2:$C$3001,MATCH(A1615&amp;"|"&amp;B1615,Numéros!$F$2:$F$3001,0))),""))</f>
        <v/>
      </c>
      <c r="M1615" s="27" t="str">
        <f aca="false">IF(OR(G1615="",G1615="?"),"",IFERROR(INDEX(Pubs!$D$2:$D$3001,MATCH(G1615,Pubs!$A$2:$A$3001,0))&amp;"",""))</f>
        <v/>
      </c>
      <c r="N1615" s="27" t="n">
        <f aca="false">N(N1614)+IF(AND(A1615&lt;&gt;"",OR(Recherche!$C$4="",A1615=Recherche!$C$4),OR(Recherche!$C$5="",B1615&amp;""=Recherche!$C$5&amp;""),OR(Recherche!$C$6="",IFERROR(YEAR(L1615),0)=Recherche!$C$6),OR(Recherche!$C$7="",ISNUMBER(SEARCH(Recherche!$C$7,H1615))),OR(Recherche!$C$8="",J1615=Recherche!$C$8),OR(Recherche!$C$9="",I1615=Recherche!$C$9),OR(Recherche!$C$10="",G1615&amp;""=Recherche!$C$10&amp;""),OR(Recherche!$C$11="",E1615=Recherche!$C$11),OR(Recherche!$C$12="",ISNUMBER(SEARCH(Recherche!$C$12,M1615&amp;" "&amp;F1615)))),1,0)</f>
        <v>8</v>
      </c>
    </row>
    <row r="1616" customFormat="false" ht="15" hidden="false" customHeight="false" outlineLevel="0" collapsed="false">
      <c r="A1616" s="19"/>
      <c r="B1616" s="19"/>
      <c r="C1616" s="19"/>
      <c r="D1616" s="19"/>
      <c r="E1616" s="22"/>
      <c r="F1616" s="19"/>
      <c r="G1616" s="26" t="str">
        <f aca="false">IF(D1616="","",IFERROR(VALUE(LEFT(D1616,FIND(" |",D1616&amp;" |")-1)),"?"))</f>
        <v/>
      </c>
      <c r="H1616" s="27" t="str">
        <f aca="false">IF(G1616="","",IF(G1616="?","⚠ pub inconnue",IFERROR(INDEX(Pubs!$B$2:$B$3001,MATCH(G1616,Pubs!$A$2:$A$3001,0))&amp;"","⚠ pub inconnue")))</f>
        <v/>
      </c>
      <c r="I1616" s="27" t="str">
        <f aca="false">IF(OR(G1616="",G1616="?"),"",IFERROR(INDEX(Pubs!$C$2:$C$3001,MATCH(G1616,Pubs!$A$2:$A$3001,0))&amp;"",""))</f>
        <v/>
      </c>
      <c r="J1616" s="27" t="str">
        <f aca="false">IF(OR(G1616="",G1616="?"),"",IFERROR(INDEX(Pubs!$G$2:$G$3001,MATCH(G1616,Pubs!$A$2:$A$3001,0))&amp;"",""))</f>
        <v/>
      </c>
      <c r="K1616" s="28" t="str">
        <f aca="false">IF(OR(G1616="",G1616="?"),"",IFERROR(INDEX(Pubs!$E$2:$E$3001,MATCH(G1616,Pubs!$A$2:$A$3001,0)),""))</f>
        <v/>
      </c>
      <c r="L1616" s="29" t="str">
        <f aca="false">IF(A1616="","",IFERROR(1/(1/INDEX(Numéros!$C$2:$C$3001,MATCH(A1616&amp;"|"&amp;B1616,Numéros!$F$2:$F$3001,0))),""))</f>
        <v/>
      </c>
      <c r="M1616" s="27" t="str">
        <f aca="false">IF(OR(G1616="",G1616="?"),"",IFERROR(INDEX(Pubs!$D$2:$D$3001,MATCH(G1616,Pubs!$A$2:$A$3001,0))&amp;"",""))</f>
        <v/>
      </c>
      <c r="N1616" s="27" t="n">
        <f aca="false">N(N1615)+IF(AND(A1616&lt;&gt;"",OR(Recherche!$C$4="",A1616=Recherche!$C$4),OR(Recherche!$C$5="",B1616&amp;""=Recherche!$C$5&amp;""),OR(Recherche!$C$6="",IFERROR(YEAR(L1616),0)=Recherche!$C$6),OR(Recherche!$C$7="",ISNUMBER(SEARCH(Recherche!$C$7,H1616))),OR(Recherche!$C$8="",J1616=Recherche!$C$8),OR(Recherche!$C$9="",I1616=Recherche!$C$9),OR(Recherche!$C$10="",G1616&amp;""=Recherche!$C$10&amp;""),OR(Recherche!$C$11="",E1616=Recherche!$C$11),OR(Recherche!$C$12="",ISNUMBER(SEARCH(Recherche!$C$12,M1616&amp;" "&amp;F1616)))),1,0)</f>
        <v>8</v>
      </c>
    </row>
    <row r="1617" customFormat="false" ht="15" hidden="false" customHeight="false" outlineLevel="0" collapsed="false">
      <c r="A1617" s="19"/>
      <c r="B1617" s="19"/>
      <c r="C1617" s="19"/>
      <c r="D1617" s="19"/>
      <c r="E1617" s="22"/>
      <c r="F1617" s="19"/>
      <c r="G1617" s="26" t="str">
        <f aca="false">IF(D1617="","",IFERROR(VALUE(LEFT(D1617,FIND(" |",D1617&amp;" |")-1)),"?"))</f>
        <v/>
      </c>
      <c r="H1617" s="27" t="str">
        <f aca="false">IF(G1617="","",IF(G1617="?","⚠ pub inconnue",IFERROR(INDEX(Pubs!$B$2:$B$3001,MATCH(G1617,Pubs!$A$2:$A$3001,0))&amp;"","⚠ pub inconnue")))</f>
        <v/>
      </c>
      <c r="I1617" s="27" t="str">
        <f aca="false">IF(OR(G1617="",G1617="?"),"",IFERROR(INDEX(Pubs!$C$2:$C$3001,MATCH(G1617,Pubs!$A$2:$A$3001,0))&amp;"",""))</f>
        <v/>
      </c>
      <c r="J1617" s="27" t="str">
        <f aca="false">IF(OR(G1617="",G1617="?"),"",IFERROR(INDEX(Pubs!$G$2:$G$3001,MATCH(G1617,Pubs!$A$2:$A$3001,0))&amp;"",""))</f>
        <v/>
      </c>
      <c r="K1617" s="28" t="str">
        <f aca="false">IF(OR(G1617="",G1617="?"),"",IFERROR(INDEX(Pubs!$E$2:$E$3001,MATCH(G1617,Pubs!$A$2:$A$3001,0)),""))</f>
        <v/>
      </c>
      <c r="L1617" s="29" t="str">
        <f aca="false">IF(A1617="","",IFERROR(1/(1/INDEX(Numéros!$C$2:$C$3001,MATCH(A1617&amp;"|"&amp;B1617,Numéros!$F$2:$F$3001,0))),""))</f>
        <v/>
      </c>
      <c r="M1617" s="27" t="str">
        <f aca="false">IF(OR(G1617="",G1617="?"),"",IFERROR(INDEX(Pubs!$D$2:$D$3001,MATCH(G1617,Pubs!$A$2:$A$3001,0))&amp;"",""))</f>
        <v/>
      </c>
      <c r="N1617" s="27" t="n">
        <f aca="false">N(N1616)+IF(AND(A1617&lt;&gt;"",OR(Recherche!$C$4="",A1617=Recherche!$C$4),OR(Recherche!$C$5="",B1617&amp;""=Recherche!$C$5&amp;""),OR(Recherche!$C$6="",IFERROR(YEAR(L1617),0)=Recherche!$C$6),OR(Recherche!$C$7="",ISNUMBER(SEARCH(Recherche!$C$7,H1617))),OR(Recherche!$C$8="",J1617=Recherche!$C$8),OR(Recherche!$C$9="",I1617=Recherche!$C$9),OR(Recherche!$C$10="",G1617&amp;""=Recherche!$C$10&amp;""),OR(Recherche!$C$11="",E1617=Recherche!$C$11),OR(Recherche!$C$12="",ISNUMBER(SEARCH(Recherche!$C$12,M1617&amp;" "&amp;F1617)))),1,0)</f>
        <v>8</v>
      </c>
    </row>
    <row r="1618" customFormat="false" ht="15" hidden="false" customHeight="false" outlineLevel="0" collapsed="false">
      <c r="A1618" s="19"/>
      <c r="B1618" s="19"/>
      <c r="C1618" s="19"/>
      <c r="D1618" s="19"/>
      <c r="E1618" s="22"/>
      <c r="F1618" s="19"/>
      <c r="G1618" s="26" t="str">
        <f aca="false">IF(D1618="","",IFERROR(VALUE(LEFT(D1618,FIND(" |",D1618&amp;" |")-1)),"?"))</f>
        <v/>
      </c>
      <c r="H1618" s="27" t="str">
        <f aca="false">IF(G1618="","",IF(G1618="?","⚠ pub inconnue",IFERROR(INDEX(Pubs!$B$2:$B$3001,MATCH(G1618,Pubs!$A$2:$A$3001,0))&amp;"","⚠ pub inconnue")))</f>
        <v/>
      </c>
      <c r="I1618" s="27" t="str">
        <f aca="false">IF(OR(G1618="",G1618="?"),"",IFERROR(INDEX(Pubs!$C$2:$C$3001,MATCH(G1618,Pubs!$A$2:$A$3001,0))&amp;"",""))</f>
        <v/>
      </c>
      <c r="J1618" s="27" t="str">
        <f aca="false">IF(OR(G1618="",G1618="?"),"",IFERROR(INDEX(Pubs!$G$2:$G$3001,MATCH(G1618,Pubs!$A$2:$A$3001,0))&amp;"",""))</f>
        <v/>
      </c>
      <c r="K1618" s="28" t="str">
        <f aca="false">IF(OR(G1618="",G1618="?"),"",IFERROR(INDEX(Pubs!$E$2:$E$3001,MATCH(G1618,Pubs!$A$2:$A$3001,0)),""))</f>
        <v/>
      </c>
      <c r="L1618" s="29" t="str">
        <f aca="false">IF(A1618="","",IFERROR(1/(1/INDEX(Numéros!$C$2:$C$3001,MATCH(A1618&amp;"|"&amp;B1618,Numéros!$F$2:$F$3001,0))),""))</f>
        <v/>
      </c>
      <c r="M1618" s="27" t="str">
        <f aca="false">IF(OR(G1618="",G1618="?"),"",IFERROR(INDEX(Pubs!$D$2:$D$3001,MATCH(G1618,Pubs!$A$2:$A$3001,0))&amp;"",""))</f>
        <v/>
      </c>
      <c r="N1618" s="27" t="n">
        <f aca="false">N(N1617)+IF(AND(A1618&lt;&gt;"",OR(Recherche!$C$4="",A1618=Recherche!$C$4),OR(Recherche!$C$5="",B1618&amp;""=Recherche!$C$5&amp;""),OR(Recherche!$C$6="",IFERROR(YEAR(L1618),0)=Recherche!$C$6),OR(Recherche!$C$7="",ISNUMBER(SEARCH(Recherche!$C$7,H1618))),OR(Recherche!$C$8="",J1618=Recherche!$C$8),OR(Recherche!$C$9="",I1618=Recherche!$C$9),OR(Recherche!$C$10="",G1618&amp;""=Recherche!$C$10&amp;""),OR(Recherche!$C$11="",E1618=Recherche!$C$11),OR(Recherche!$C$12="",ISNUMBER(SEARCH(Recherche!$C$12,M1618&amp;" "&amp;F1618)))),1,0)</f>
        <v>8</v>
      </c>
    </row>
    <row r="1619" customFormat="false" ht="15" hidden="false" customHeight="false" outlineLevel="0" collapsed="false">
      <c r="A1619" s="19"/>
      <c r="B1619" s="19"/>
      <c r="C1619" s="19"/>
      <c r="D1619" s="19"/>
      <c r="E1619" s="22"/>
      <c r="F1619" s="19"/>
      <c r="G1619" s="26" t="str">
        <f aca="false">IF(D1619="","",IFERROR(VALUE(LEFT(D1619,FIND(" |",D1619&amp;" |")-1)),"?"))</f>
        <v/>
      </c>
      <c r="H1619" s="27" t="str">
        <f aca="false">IF(G1619="","",IF(G1619="?","⚠ pub inconnue",IFERROR(INDEX(Pubs!$B$2:$B$3001,MATCH(G1619,Pubs!$A$2:$A$3001,0))&amp;"","⚠ pub inconnue")))</f>
        <v/>
      </c>
      <c r="I1619" s="27" t="str">
        <f aca="false">IF(OR(G1619="",G1619="?"),"",IFERROR(INDEX(Pubs!$C$2:$C$3001,MATCH(G1619,Pubs!$A$2:$A$3001,0))&amp;"",""))</f>
        <v/>
      </c>
      <c r="J1619" s="27" t="str">
        <f aca="false">IF(OR(G1619="",G1619="?"),"",IFERROR(INDEX(Pubs!$G$2:$G$3001,MATCH(G1619,Pubs!$A$2:$A$3001,0))&amp;"",""))</f>
        <v/>
      </c>
      <c r="K1619" s="28" t="str">
        <f aca="false">IF(OR(G1619="",G1619="?"),"",IFERROR(INDEX(Pubs!$E$2:$E$3001,MATCH(G1619,Pubs!$A$2:$A$3001,0)),""))</f>
        <v/>
      </c>
      <c r="L1619" s="29" t="str">
        <f aca="false">IF(A1619="","",IFERROR(1/(1/INDEX(Numéros!$C$2:$C$3001,MATCH(A1619&amp;"|"&amp;B1619,Numéros!$F$2:$F$3001,0))),""))</f>
        <v/>
      </c>
      <c r="M1619" s="27" t="str">
        <f aca="false">IF(OR(G1619="",G1619="?"),"",IFERROR(INDEX(Pubs!$D$2:$D$3001,MATCH(G1619,Pubs!$A$2:$A$3001,0))&amp;"",""))</f>
        <v/>
      </c>
      <c r="N1619" s="27" t="n">
        <f aca="false">N(N1618)+IF(AND(A1619&lt;&gt;"",OR(Recherche!$C$4="",A1619=Recherche!$C$4),OR(Recherche!$C$5="",B1619&amp;""=Recherche!$C$5&amp;""),OR(Recherche!$C$6="",IFERROR(YEAR(L1619),0)=Recherche!$C$6),OR(Recherche!$C$7="",ISNUMBER(SEARCH(Recherche!$C$7,H1619))),OR(Recherche!$C$8="",J1619=Recherche!$C$8),OR(Recherche!$C$9="",I1619=Recherche!$C$9),OR(Recherche!$C$10="",G1619&amp;""=Recherche!$C$10&amp;""),OR(Recherche!$C$11="",E1619=Recherche!$C$11),OR(Recherche!$C$12="",ISNUMBER(SEARCH(Recherche!$C$12,M1619&amp;" "&amp;F1619)))),1,0)</f>
        <v>8</v>
      </c>
    </row>
    <row r="1620" customFormat="false" ht="15" hidden="false" customHeight="false" outlineLevel="0" collapsed="false">
      <c r="A1620" s="19"/>
      <c r="B1620" s="19"/>
      <c r="C1620" s="19"/>
      <c r="D1620" s="19"/>
      <c r="E1620" s="22"/>
      <c r="F1620" s="19"/>
      <c r="G1620" s="26" t="str">
        <f aca="false">IF(D1620="","",IFERROR(VALUE(LEFT(D1620,FIND(" |",D1620&amp;" |")-1)),"?"))</f>
        <v/>
      </c>
      <c r="H1620" s="27" t="str">
        <f aca="false">IF(G1620="","",IF(G1620="?","⚠ pub inconnue",IFERROR(INDEX(Pubs!$B$2:$B$3001,MATCH(G1620,Pubs!$A$2:$A$3001,0))&amp;"","⚠ pub inconnue")))</f>
        <v/>
      </c>
      <c r="I1620" s="27" t="str">
        <f aca="false">IF(OR(G1620="",G1620="?"),"",IFERROR(INDEX(Pubs!$C$2:$C$3001,MATCH(G1620,Pubs!$A$2:$A$3001,0))&amp;"",""))</f>
        <v/>
      </c>
      <c r="J1620" s="27" t="str">
        <f aca="false">IF(OR(G1620="",G1620="?"),"",IFERROR(INDEX(Pubs!$G$2:$G$3001,MATCH(G1620,Pubs!$A$2:$A$3001,0))&amp;"",""))</f>
        <v/>
      </c>
      <c r="K1620" s="28" t="str">
        <f aca="false">IF(OR(G1620="",G1620="?"),"",IFERROR(INDEX(Pubs!$E$2:$E$3001,MATCH(G1620,Pubs!$A$2:$A$3001,0)),""))</f>
        <v/>
      </c>
      <c r="L1620" s="29" t="str">
        <f aca="false">IF(A1620="","",IFERROR(1/(1/INDEX(Numéros!$C$2:$C$3001,MATCH(A1620&amp;"|"&amp;B1620,Numéros!$F$2:$F$3001,0))),""))</f>
        <v/>
      </c>
      <c r="M1620" s="27" t="str">
        <f aca="false">IF(OR(G1620="",G1620="?"),"",IFERROR(INDEX(Pubs!$D$2:$D$3001,MATCH(G1620,Pubs!$A$2:$A$3001,0))&amp;"",""))</f>
        <v/>
      </c>
      <c r="N1620" s="27" t="n">
        <f aca="false">N(N1619)+IF(AND(A1620&lt;&gt;"",OR(Recherche!$C$4="",A1620=Recherche!$C$4),OR(Recherche!$C$5="",B1620&amp;""=Recherche!$C$5&amp;""),OR(Recherche!$C$6="",IFERROR(YEAR(L1620),0)=Recherche!$C$6),OR(Recherche!$C$7="",ISNUMBER(SEARCH(Recherche!$C$7,H1620))),OR(Recherche!$C$8="",J1620=Recherche!$C$8),OR(Recherche!$C$9="",I1620=Recherche!$C$9),OR(Recherche!$C$10="",G1620&amp;""=Recherche!$C$10&amp;""),OR(Recherche!$C$11="",E1620=Recherche!$C$11),OR(Recherche!$C$12="",ISNUMBER(SEARCH(Recherche!$C$12,M1620&amp;" "&amp;F1620)))),1,0)</f>
        <v>8</v>
      </c>
    </row>
    <row r="1621" customFormat="false" ht="15" hidden="false" customHeight="false" outlineLevel="0" collapsed="false">
      <c r="A1621" s="19"/>
      <c r="B1621" s="19"/>
      <c r="C1621" s="19"/>
      <c r="D1621" s="19"/>
      <c r="E1621" s="22"/>
      <c r="F1621" s="19"/>
      <c r="G1621" s="26" t="str">
        <f aca="false">IF(D1621="","",IFERROR(VALUE(LEFT(D1621,FIND(" |",D1621&amp;" |")-1)),"?"))</f>
        <v/>
      </c>
      <c r="H1621" s="27" t="str">
        <f aca="false">IF(G1621="","",IF(G1621="?","⚠ pub inconnue",IFERROR(INDEX(Pubs!$B$2:$B$3001,MATCH(G1621,Pubs!$A$2:$A$3001,0))&amp;"","⚠ pub inconnue")))</f>
        <v/>
      </c>
      <c r="I1621" s="27" t="str">
        <f aca="false">IF(OR(G1621="",G1621="?"),"",IFERROR(INDEX(Pubs!$C$2:$C$3001,MATCH(G1621,Pubs!$A$2:$A$3001,0))&amp;"",""))</f>
        <v/>
      </c>
      <c r="J1621" s="27" t="str">
        <f aca="false">IF(OR(G1621="",G1621="?"),"",IFERROR(INDEX(Pubs!$G$2:$G$3001,MATCH(G1621,Pubs!$A$2:$A$3001,0))&amp;"",""))</f>
        <v/>
      </c>
      <c r="K1621" s="28" t="str">
        <f aca="false">IF(OR(G1621="",G1621="?"),"",IFERROR(INDEX(Pubs!$E$2:$E$3001,MATCH(G1621,Pubs!$A$2:$A$3001,0)),""))</f>
        <v/>
      </c>
      <c r="L1621" s="29" t="str">
        <f aca="false">IF(A1621="","",IFERROR(1/(1/INDEX(Numéros!$C$2:$C$3001,MATCH(A1621&amp;"|"&amp;B1621,Numéros!$F$2:$F$3001,0))),""))</f>
        <v/>
      </c>
      <c r="M1621" s="27" t="str">
        <f aca="false">IF(OR(G1621="",G1621="?"),"",IFERROR(INDEX(Pubs!$D$2:$D$3001,MATCH(G1621,Pubs!$A$2:$A$3001,0))&amp;"",""))</f>
        <v/>
      </c>
      <c r="N1621" s="27" t="n">
        <f aca="false">N(N1620)+IF(AND(A1621&lt;&gt;"",OR(Recherche!$C$4="",A1621=Recherche!$C$4),OR(Recherche!$C$5="",B1621&amp;""=Recherche!$C$5&amp;""),OR(Recherche!$C$6="",IFERROR(YEAR(L1621),0)=Recherche!$C$6),OR(Recherche!$C$7="",ISNUMBER(SEARCH(Recherche!$C$7,H1621))),OR(Recherche!$C$8="",J1621=Recherche!$C$8),OR(Recherche!$C$9="",I1621=Recherche!$C$9),OR(Recherche!$C$10="",G1621&amp;""=Recherche!$C$10&amp;""),OR(Recherche!$C$11="",E1621=Recherche!$C$11),OR(Recherche!$C$12="",ISNUMBER(SEARCH(Recherche!$C$12,M1621&amp;" "&amp;F1621)))),1,0)</f>
        <v>8</v>
      </c>
    </row>
    <row r="1622" customFormat="false" ht="15" hidden="false" customHeight="false" outlineLevel="0" collapsed="false">
      <c r="A1622" s="19"/>
      <c r="B1622" s="19"/>
      <c r="C1622" s="19"/>
      <c r="D1622" s="19"/>
      <c r="E1622" s="22"/>
      <c r="F1622" s="19"/>
      <c r="G1622" s="26" t="str">
        <f aca="false">IF(D1622="","",IFERROR(VALUE(LEFT(D1622,FIND(" |",D1622&amp;" |")-1)),"?"))</f>
        <v/>
      </c>
      <c r="H1622" s="27" t="str">
        <f aca="false">IF(G1622="","",IF(G1622="?","⚠ pub inconnue",IFERROR(INDEX(Pubs!$B$2:$B$3001,MATCH(G1622,Pubs!$A$2:$A$3001,0))&amp;"","⚠ pub inconnue")))</f>
        <v/>
      </c>
      <c r="I1622" s="27" t="str">
        <f aca="false">IF(OR(G1622="",G1622="?"),"",IFERROR(INDEX(Pubs!$C$2:$C$3001,MATCH(G1622,Pubs!$A$2:$A$3001,0))&amp;"",""))</f>
        <v/>
      </c>
      <c r="J1622" s="27" t="str">
        <f aca="false">IF(OR(G1622="",G1622="?"),"",IFERROR(INDEX(Pubs!$G$2:$G$3001,MATCH(G1622,Pubs!$A$2:$A$3001,0))&amp;"",""))</f>
        <v/>
      </c>
      <c r="K1622" s="28" t="str">
        <f aca="false">IF(OR(G1622="",G1622="?"),"",IFERROR(INDEX(Pubs!$E$2:$E$3001,MATCH(G1622,Pubs!$A$2:$A$3001,0)),""))</f>
        <v/>
      </c>
      <c r="L1622" s="29" t="str">
        <f aca="false">IF(A1622="","",IFERROR(1/(1/INDEX(Numéros!$C$2:$C$3001,MATCH(A1622&amp;"|"&amp;B1622,Numéros!$F$2:$F$3001,0))),""))</f>
        <v/>
      </c>
      <c r="M1622" s="27" t="str">
        <f aca="false">IF(OR(G1622="",G1622="?"),"",IFERROR(INDEX(Pubs!$D$2:$D$3001,MATCH(G1622,Pubs!$A$2:$A$3001,0))&amp;"",""))</f>
        <v/>
      </c>
      <c r="N1622" s="27" t="n">
        <f aca="false">N(N1621)+IF(AND(A1622&lt;&gt;"",OR(Recherche!$C$4="",A1622=Recherche!$C$4),OR(Recherche!$C$5="",B1622&amp;""=Recherche!$C$5&amp;""),OR(Recherche!$C$6="",IFERROR(YEAR(L1622),0)=Recherche!$C$6),OR(Recherche!$C$7="",ISNUMBER(SEARCH(Recherche!$C$7,H1622))),OR(Recherche!$C$8="",J1622=Recherche!$C$8),OR(Recherche!$C$9="",I1622=Recherche!$C$9),OR(Recherche!$C$10="",G1622&amp;""=Recherche!$C$10&amp;""),OR(Recherche!$C$11="",E1622=Recherche!$C$11),OR(Recherche!$C$12="",ISNUMBER(SEARCH(Recherche!$C$12,M1622&amp;" "&amp;F1622)))),1,0)</f>
        <v>8</v>
      </c>
    </row>
    <row r="1623" customFormat="false" ht="15" hidden="false" customHeight="false" outlineLevel="0" collapsed="false">
      <c r="A1623" s="19"/>
      <c r="B1623" s="19"/>
      <c r="C1623" s="19"/>
      <c r="D1623" s="19"/>
      <c r="E1623" s="22"/>
      <c r="F1623" s="19"/>
      <c r="G1623" s="26" t="str">
        <f aca="false">IF(D1623="","",IFERROR(VALUE(LEFT(D1623,FIND(" |",D1623&amp;" |")-1)),"?"))</f>
        <v/>
      </c>
      <c r="H1623" s="27" t="str">
        <f aca="false">IF(G1623="","",IF(G1623="?","⚠ pub inconnue",IFERROR(INDEX(Pubs!$B$2:$B$3001,MATCH(G1623,Pubs!$A$2:$A$3001,0))&amp;"","⚠ pub inconnue")))</f>
        <v/>
      </c>
      <c r="I1623" s="27" t="str">
        <f aca="false">IF(OR(G1623="",G1623="?"),"",IFERROR(INDEX(Pubs!$C$2:$C$3001,MATCH(G1623,Pubs!$A$2:$A$3001,0))&amp;"",""))</f>
        <v/>
      </c>
      <c r="J1623" s="27" t="str">
        <f aca="false">IF(OR(G1623="",G1623="?"),"",IFERROR(INDEX(Pubs!$G$2:$G$3001,MATCH(G1623,Pubs!$A$2:$A$3001,0))&amp;"",""))</f>
        <v/>
      </c>
      <c r="K1623" s="28" t="str">
        <f aca="false">IF(OR(G1623="",G1623="?"),"",IFERROR(INDEX(Pubs!$E$2:$E$3001,MATCH(G1623,Pubs!$A$2:$A$3001,0)),""))</f>
        <v/>
      </c>
      <c r="L1623" s="29" t="str">
        <f aca="false">IF(A1623="","",IFERROR(1/(1/INDEX(Numéros!$C$2:$C$3001,MATCH(A1623&amp;"|"&amp;B1623,Numéros!$F$2:$F$3001,0))),""))</f>
        <v/>
      </c>
      <c r="M1623" s="27" t="str">
        <f aca="false">IF(OR(G1623="",G1623="?"),"",IFERROR(INDEX(Pubs!$D$2:$D$3001,MATCH(G1623,Pubs!$A$2:$A$3001,0))&amp;"",""))</f>
        <v/>
      </c>
      <c r="N1623" s="27" t="n">
        <f aca="false">N(N1622)+IF(AND(A1623&lt;&gt;"",OR(Recherche!$C$4="",A1623=Recherche!$C$4),OR(Recherche!$C$5="",B1623&amp;""=Recherche!$C$5&amp;""),OR(Recherche!$C$6="",IFERROR(YEAR(L1623),0)=Recherche!$C$6),OR(Recherche!$C$7="",ISNUMBER(SEARCH(Recherche!$C$7,H1623))),OR(Recherche!$C$8="",J1623=Recherche!$C$8),OR(Recherche!$C$9="",I1623=Recherche!$C$9),OR(Recherche!$C$10="",G1623&amp;""=Recherche!$C$10&amp;""),OR(Recherche!$C$11="",E1623=Recherche!$C$11),OR(Recherche!$C$12="",ISNUMBER(SEARCH(Recherche!$C$12,M1623&amp;" "&amp;F1623)))),1,0)</f>
        <v>8</v>
      </c>
    </row>
    <row r="1624" customFormat="false" ht="15" hidden="false" customHeight="false" outlineLevel="0" collapsed="false">
      <c r="A1624" s="19"/>
      <c r="B1624" s="19"/>
      <c r="C1624" s="19"/>
      <c r="D1624" s="19"/>
      <c r="E1624" s="22"/>
      <c r="F1624" s="19"/>
      <c r="G1624" s="26" t="str">
        <f aca="false">IF(D1624="","",IFERROR(VALUE(LEFT(D1624,FIND(" |",D1624&amp;" |")-1)),"?"))</f>
        <v/>
      </c>
      <c r="H1624" s="27" t="str">
        <f aca="false">IF(G1624="","",IF(G1624="?","⚠ pub inconnue",IFERROR(INDEX(Pubs!$B$2:$B$3001,MATCH(G1624,Pubs!$A$2:$A$3001,0))&amp;"","⚠ pub inconnue")))</f>
        <v/>
      </c>
      <c r="I1624" s="27" t="str">
        <f aca="false">IF(OR(G1624="",G1624="?"),"",IFERROR(INDEX(Pubs!$C$2:$C$3001,MATCH(G1624,Pubs!$A$2:$A$3001,0))&amp;"",""))</f>
        <v/>
      </c>
      <c r="J1624" s="27" t="str">
        <f aca="false">IF(OR(G1624="",G1624="?"),"",IFERROR(INDEX(Pubs!$G$2:$G$3001,MATCH(G1624,Pubs!$A$2:$A$3001,0))&amp;"",""))</f>
        <v/>
      </c>
      <c r="K1624" s="28" t="str">
        <f aca="false">IF(OR(G1624="",G1624="?"),"",IFERROR(INDEX(Pubs!$E$2:$E$3001,MATCH(G1624,Pubs!$A$2:$A$3001,0)),""))</f>
        <v/>
      </c>
      <c r="L1624" s="29" t="str">
        <f aca="false">IF(A1624="","",IFERROR(1/(1/INDEX(Numéros!$C$2:$C$3001,MATCH(A1624&amp;"|"&amp;B1624,Numéros!$F$2:$F$3001,0))),""))</f>
        <v/>
      </c>
      <c r="M1624" s="27" t="str">
        <f aca="false">IF(OR(G1624="",G1624="?"),"",IFERROR(INDEX(Pubs!$D$2:$D$3001,MATCH(G1624,Pubs!$A$2:$A$3001,0))&amp;"",""))</f>
        <v/>
      </c>
      <c r="N1624" s="27" t="n">
        <f aca="false">N(N1623)+IF(AND(A1624&lt;&gt;"",OR(Recherche!$C$4="",A1624=Recherche!$C$4),OR(Recherche!$C$5="",B1624&amp;""=Recherche!$C$5&amp;""),OR(Recherche!$C$6="",IFERROR(YEAR(L1624),0)=Recherche!$C$6),OR(Recherche!$C$7="",ISNUMBER(SEARCH(Recherche!$C$7,H1624))),OR(Recherche!$C$8="",J1624=Recherche!$C$8),OR(Recherche!$C$9="",I1624=Recherche!$C$9),OR(Recherche!$C$10="",G1624&amp;""=Recherche!$C$10&amp;""),OR(Recherche!$C$11="",E1624=Recherche!$C$11),OR(Recherche!$C$12="",ISNUMBER(SEARCH(Recherche!$C$12,M1624&amp;" "&amp;F1624)))),1,0)</f>
        <v>8</v>
      </c>
    </row>
    <row r="1625" customFormat="false" ht="15" hidden="false" customHeight="false" outlineLevel="0" collapsed="false">
      <c r="A1625" s="19"/>
      <c r="B1625" s="19"/>
      <c r="C1625" s="19"/>
      <c r="D1625" s="19"/>
      <c r="E1625" s="22"/>
      <c r="F1625" s="19"/>
      <c r="G1625" s="26" t="str">
        <f aca="false">IF(D1625="","",IFERROR(VALUE(LEFT(D1625,FIND(" |",D1625&amp;" |")-1)),"?"))</f>
        <v/>
      </c>
      <c r="H1625" s="27" t="str">
        <f aca="false">IF(G1625="","",IF(G1625="?","⚠ pub inconnue",IFERROR(INDEX(Pubs!$B$2:$B$3001,MATCH(G1625,Pubs!$A$2:$A$3001,0))&amp;"","⚠ pub inconnue")))</f>
        <v/>
      </c>
      <c r="I1625" s="27" t="str">
        <f aca="false">IF(OR(G1625="",G1625="?"),"",IFERROR(INDEX(Pubs!$C$2:$C$3001,MATCH(G1625,Pubs!$A$2:$A$3001,0))&amp;"",""))</f>
        <v/>
      </c>
      <c r="J1625" s="27" t="str">
        <f aca="false">IF(OR(G1625="",G1625="?"),"",IFERROR(INDEX(Pubs!$G$2:$G$3001,MATCH(G1625,Pubs!$A$2:$A$3001,0))&amp;"",""))</f>
        <v/>
      </c>
      <c r="K1625" s="28" t="str">
        <f aca="false">IF(OR(G1625="",G1625="?"),"",IFERROR(INDEX(Pubs!$E$2:$E$3001,MATCH(G1625,Pubs!$A$2:$A$3001,0)),""))</f>
        <v/>
      </c>
      <c r="L1625" s="29" t="str">
        <f aca="false">IF(A1625="","",IFERROR(1/(1/INDEX(Numéros!$C$2:$C$3001,MATCH(A1625&amp;"|"&amp;B1625,Numéros!$F$2:$F$3001,0))),""))</f>
        <v/>
      </c>
      <c r="M1625" s="27" t="str">
        <f aca="false">IF(OR(G1625="",G1625="?"),"",IFERROR(INDEX(Pubs!$D$2:$D$3001,MATCH(G1625,Pubs!$A$2:$A$3001,0))&amp;"",""))</f>
        <v/>
      </c>
      <c r="N1625" s="27" t="n">
        <f aca="false">N(N1624)+IF(AND(A1625&lt;&gt;"",OR(Recherche!$C$4="",A1625=Recherche!$C$4),OR(Recherche!$C$5="",B1625&amp;""=Recherche!$C$5&amp;""),OR(Recherche!$C$6="",IFERROR(YEAR(L1625),0)=Recherche!$C$6),OR(Recherche!$C$7="",ISNUMBER(SEARCH(Recherche!$C$7,H1625))),OR(Recherche!$C$8="",J1625=Recherche!$C$8),OR(Recherche!$C$9="",I1625=Recherche!$C$9),OR(Recherche!$C$10="",G1625&amp;""=Recherche!$C$10&amp;""),OR(Recherche!$C$11="",E1625=Recherche!$C$11),OR(Recherche!$C$12="",ISNUMBER(SEARCH(Recherche!$C$12,M1625&amp;" "&amp;F1625)))),1,0)</f>
        <v>8</v>
      </c>
    </row>
    <row r="1626" customFormat="false" ht="15" hidden="false" customHeight="false" outlineLevel="0" collapsed="false">
      <c r="A1626" s="19"/>
      <c r="B1626" s="19"/>
      <c r="C1626" s="19"/>
      <c r="D1626" s="19"/>
      <c r="E1626" s="22"/>
      <c r="F1626" s="19"/>
      <c r="G1626" s="26" t="str">
        <f aca="false">IF(D1626="","",IFERROR(VALUE(LEFT(D1626,FIND(" |",D1626&amp;" |")-1)),"?"))</f>
        <v/>
      </c>
      <c r="H1626" s="27" t="str">
        <f aca="false">IF(G1626="","",IF(G1626="?","⚠ pub inconnue",IFERROR(INDEX(Pubs!$B$2:$B$3001,MATCH(G1626,Pubs!$A$2:$A$3001,0))&amp;"","⚠ pub inconnue")))</f>
        <v/>
      </c>
      <c r="I1626" s="27" t="str">
        <f aca="false">IF(OR(G1626="",G1626="?"),"",IFERROR(INDEX(Pubs!$C$2:$C$3001,MATCH(G1626,Pubs!$A$2:$A$3001,0))&amp;"",""))</f>
        <v/>
      </c>
      <c r="J1626" s="27" t="str">
        <f aca="false">IF(OR(G1626="",G1626="?"),"",IFERROR(INDEX(Pubs!$G$2:$G$3001,MATCH(G1626,Pubs!$A$2:$A$3001,0))&amp;"",""))</f>
        <v/>
      </c>
      <c r="K1626" s="28" t="str">
        <f aca="false">IF(OR(G1626="",G1626="?"),"",IFERROR(INDEX(Pubs!$E$2:$E$3001,MATCH(G1626,Pubs!$A$2:$A$3001,0)),""))</f>
        <v/>
      </c>
      <c r="L1626" s="29" t="str">
        <f aca="false">IF(A1626="","",IFERROR(1/(1/INDEX(Numéros!$C$2:$C$3001,MATCH(A1626&amp;"|"&amp;B1626,Numéros!$F$2:$F$3001,0))),""))</f>
        <v/>
      </c>
      <c r="M1626" s="27" t="str">
        <f aca="false">IF(OR(G1626="",G1626="?"),"",IFERROR(INDEX(Pubs!$D$2:$D$3001,MATCH(G1626,Pubs!$A$2:$A$3001,0))&amp;"",""))</f>
        <v/>
      </c>
      <c r="N1626" s="27" t="n">
        <f aca="false">N(N1625)+IF(AND(A1626&lt;&gt;"",OR(Recherche!$C$4="",A1626=Recherche!$C$4),OR(Recherche!$C$5="",B1626&amp;""=Recherche!$C$5&amp;""),OR(Recherche!$C$6="",IFERROR(YEAR(L1626),0)=Recherche!$C$6),OR(Recherche!$C$7="",ISNUMBER(SEARCH(Recherche!$C$7,H1626))),OR(Recherche!$C$8="",J1626=Recherche!$C$8),OR(Recherche!$C$9="",I1626=Recherche!$C$9),OR(Recherche!$C$10="",G1626&amp;""=Recherche!$C$10&amp;""),OR(Recherche!$C$11="",E1626=Recherche!$C$11),OR(Recherche!$C$12="",ISNUMBER(SEARCH(Recherche!$C$12,M1626&amp;" "&amp;F1626)))),1,0)</f>
        <v>8</v>
      </c>
    </row>
    <row r="1627" customFormat="false" ht="15" hidden="false" customHeight="false" outlineLevel="0" collapsed="false">
      <c r="A1627" s="19"/>
      <c r="B1627" s="19"/>
      <c r="C1627" s="19"/>
      <c r="D1627" s="19"/>
      <c r="E1627" s="22"/>
      <c r="F1627" s="19"/>
      <c r="G1627" s="26" t="str">
        <f aca="false">IF(D1627="","",IFERROR(VALUE(LEFT(D1627,FIND(" |",D1627&amp;" |")-1)),"?"))</f>
        <v/>
      </c>
      <c r="H1627" s="27" t="str">
        <f aca="false">IF(G1627="","",IF(G1627="?","⚠ pub inconnue",IFERROR(INDEX(Pubs!$B$2:$B$3001,MATCH(G1627,Pubs!$A$2:$A$3001,0))&amp;"","⚠ pub inconnue")))</f>
        <v/>
      </c>
      <c r="I1627" s="27" t="str">
        <f aca="false">IF(OR(G1627="",G1627="?"),"",IFERROR(INDEX(Pubs!$C$2:$C$3001,MATCH(G1627,Pubs!$A$2:$A$3001,0))&amp;"",""))</f>
        <v/>
      </c>
      <c r="J1627" s="27" t="str">
        <f aca="false">IF(OR(G1627="",G1627="?"),"",IFERROR(INDEX(Pubs!$G$2:$G$3001,MATCH(G1627,Pubs!$A$2:$A$3001,0))&amp;"",""))</f>
        <v/>
      </c>
      <c r="K1627" s="28" t="str">
        <f aca="false">IF(OR(G1627="",G1627="?"),"",IFERROR(INDEX(Pubs!$E$2:$E$3001,MATCH(G1627,Pubs!$A$2:$A$3001,0)),""))</f>
        <v/>
      </c>
      <c r="L1627" s="29" t="str">
        <f aca="false">IF(A1627="","",IFERROR(1/(1/INDEX(Numéros!$C$2:$C$3001,MATCH(A1627&amp;"|"&amp;B1627,Numéros!$F$2:$F$3001,0))),""))</f>
        <v/>
      </c>
      <c r="M1627" s="27" t="str">
        <f aca="false">IF(OR(G1627="",G1627="?"),"",IFERROR(INDEX(Pubs!$D$2:$D$3001,MATCH(G1627,Pubs!$A$2:$A$3001,0))&amp;"",""))</f>
        <v/>
      </c>
      <c r="N1627" s="27" t="n">
        <f aca="false">N(N1626)+IF(AND(A1627&lt;&gt;"",OR(Recherche!$C$4="",A1627=Recherche!$C$4),OR(Recherche!$C$5="",B1627&amp;""=Recherche!$C$5&amp;""),OR(Recherche!$C$6="",IFERROR(YEAR(L1627),0)=Recherche!$C$6),OR(Recherche!$C$7="",ISNUMBER(SEARCH(Recherche!$C$7,H1627))),OR(Recherche!$C$8="",J1627=Recherche!$C$8),OR(Recherche!$C$9="",I1627=Recherche!$C$9),OR(Recherche!$C$10="",G1627&amp;""=Recherche!$C$10&amp;""),OR(Recherche!$C$11="",E1627=Recherche!$C$11),OR(Recherche!$C$12="",ISNUMBER(SEARCH(Recherche!$C$12,M1627&amp;" "&amp;F1627)))),1,0)</f>
        <v>8</v>
      </c>
    </row>
    <row r="1628" customFormat="false" ht="15" hidden="false" customHeight="false" outlineLevel="0" collapsed="false">
      <c r="A1628" s="19"/>
      <c r="B1628" s="19"/>
      <c r="C1628" s="19"/>
      <c r="D1628" s="19"/>
      <c r="E1628" s="22"/>
      <c r="F1628" s="19"/>
      <c r="G1628" s="26" t="str">
        <f aca="false">IF(D1628="","",IFERROR(VALUE(LEFT(D1628,FIND(" |",D1628&amp;" |")-1)),"?"))</f>
        <v/>
      </c>
      <c r="H1628" s="27" t="str">
        <f aca="false">IF(G1628="","",IF(G1628="?","⚠ pub inconnue",IFERROR(INDEX(Pubs!$B$2:$B$3001,MATCH(G1628,Pubs!$A$2:$A$3001,0))&amp;"","⚠ pub inconnue")))</f>
        <v/>
      </c>
      <c r="I1628" s="27" t="str">
        <f aca="false">IF(OR(G1628="",G1628="?"),"",IFERROR(INDEX(Pubs!$C$2:$C$3001,MATCH(G1628,Pubs!$A$2:$A$3001,0))&amp;"",""))</f>
        <v/>
      </c>
      <c r="J1628" s="27" t="str">
        <f aca="false">IF(OR(G1628="",G1628="?"),"",IFERROR(INDEX(Pubs!$G$2:$G$3001,MATCH(G1628,Pubs!$A$2:$A$3001,0))&amp;"",""))</f>
        <v/>
      </c>
      <c r="K1628" s="28" t="str">
        <f aca="false">IF(OR(G1628="",G1628="?"),"",IFERROR(INDEX(Pubs!$E$2:$E$3001,MATCH(G1628,Pubs!$A$2:$A$3001,0)),""))</f>
        <v/>
      </c>
      <c r="L1628" s="29" t="str">
        <f aca="false">IF(A1628="","",IFERROR(1/(1/INDEX(Numéros!$C$2:$C$3001,MATCH(A1628&amp;"|"&amp;B1628,Numéros!$F$2:$F$3001,0))),""))</f>
        <v/>
      </c>
      <c r="M1628" s="27" t="str">
        <f aca="false">IF(OR(G1628="",G1628="?"),"",IFERROR(INDEX(Pubs!$D$2:$D$3001,MATCH(G1628,Pubs!$A$2:$A$3001,0))&amp;"",""))</f>
        <v/>
      </c>
      <c r="N1628" s="27" t="n">
        <f aca="false">N(N1627)+IF(AND(A1628&lt;&gt;"",OR(Recherche!$C$4="",A1628=Recherche!$C$4),OR(Recherche!$C$5="",B1628&amp;""=Recherche!$C$5&amp;""),OR(Recherche!$C$6="",IFERROR(YEAR(L1628),0)=Recherche!$C$6),OR(Recherche!$C$7="",ISNUMBER(SEARCH(Recherche!$C$7,H1628))),OR(Recherche!$C$8="",J1628=Recherche!$C$8),OR(Recherche!$C$9="",I1628=Recherche!$C$9),OR(Recherche!$C$10="",G1628&amp;""=Recherche!$C$10&amp;""),OR(Recherche!$C$11="",E1628=Recherche!$C$11),OR(Recherche!$C$12="",ISNUMBER(SEARCH(Recherche!$C$12,M1628&amp;" "&amp;F1628)))),1,0)</f>
        <v>8</v>
      </c>
    </row>
    <row r="1629" customFormat="false" ht="15" hidden="false" customHeight="false" outlineLevel="0" collapsed="false">
      <c r="A1629" s="19"/>
      <c r="B1629" s="19"/>
      <c r="C1629" s="19"/>
      <c r="D1629" s="19"/>
      <c r="E1629" s="22"/>
      <c r="F1629" s="19"/>
      <c r="G1629" s="26" t="str">
        <f aca="false">IF(D1629="","",IFERROR(VALUE(LEFT(D1629,FIND(" |",D1629&amp;" |")-1)),"?"))</f>
        <v/>
      </c>
      <c r="H1629" s="27" t="str">
        <f aca="false">IF(G1629="","",IF(G1629="?","⚠ pub inconnue",IFERROR(INDEX(Pubs!$B$2:$B$3001,MATCH(G1629,Pubs!$A$2:$A$3001,0))&amp;"","⚠ pub inconnue")))</f>
        <v/>
      </c>
      <c r="I1629" s="27" t="str">
        <f aca="false">IF(OR(G1629="",G1629="?"),"",IFERROR(INDEX(Pubs!$C$2:$C$3001,MATCH(G1629,Pubs!$A$2:$A$3001,0))&amp;"",""))</f>
        <v/>
      </c>
      <c r="J1629" s="27" t="str">
        <f aca="false">IF(OR(G1629="",G1629="?"),"",IFERROR(INDEX(Pubs!$G$2:$G$3001,MATCH(G1629,Pubs!$A$2:$A$3001,0))&amp;"",""))</f>
        <v/>
      </c>
      <c r="K1629" s="28" t="str">
        <f aca="false">IF(OR(G1629="",G1629="?"),"",IFERROR(INDEX(Pubs!$E$2:$E$3001,MATCH(G1629,Pubs!$A$2:$A$3001,0)),""))</f>
        <v/>
      </c>
      <c r="L1629" s="29" t="str">
        <f aca="false">IF(A1629="","",IFERROR(1/(1/INDEX(Numéros!$C$2:$C$3001,MATCH(A1629&amp;"|"&amp;B1629,Numéros!$F$2:$F$3001,0))),""))</f>
        <v/>
      </c>
      <c r="M1629" s="27" t="str">
        <f aca="false">IF(OR(G1629="",G1629="?"),"",IFERROR(INDEX(Pubs!$D$2:$D$3001,MATCH(G1629,Pubs!$A$2:$A$3001,0))&amp;"",""))</f>
        <v/>
      </c>
      <c r="N1629" s="27" t="n">
        <f aca="false">N(N1628)+IF(AND(A1629&lt;&gt;"",OR(Recherche!$C$4="",A1629=Recherche!$C$4),OR(Recherche!$C$5="",B1629&amp;""=Recherche!$C$5&amp;""),OR(Recherche!$C$6="",IFERROR(YEAR(L1629),0)=Recherche!$C$6),OR(Recherche!$C$7="",ISNUMBER(SEARCH(Recherche!$C$7,H1629))),OR(Recherche!$C$8="",J1629=Recherche!$C$8),OR(Recherche!$C$9="",I1629=Recherche!$C$9),OR(Recherche!$C$10="",G1629&amp;""=Recherche!$C$10&amp;""),OR(Recherche!$C$11="",E1629=Recherche!$C$11),OR(Recherche!$C$12="",ISNUMBER(SEARCH(Recherche!$C$12,M1629&amp;" "&amp;F1629)))),1,0)</f>
        <v>8</v>
      </c>
    </row>
    <row r="1630" customFormat="false" ht="15" hidden="false" customHeight="false" outlineLevel="0" collapsed="false">
      <c r="A1630" s="19"/>
      <c r="B1630" s="19"/>
      <c r="C1630" s="19"/>
      <c r="D1630" s="19"/>
      <c r="E1630" s="22"/>
      <c r="F1630" s="19"/>
      <c r="G1630" s="26" t="str">
        <f aca="false">IF(D1630="","",IFERROR(VALUE(LEFT(D1630,FIND(" |",D1630&amp;" |")-1)),"?"))</f>
        <v/>
      </c>
      <c r="H1630" s="27" t="str">
        <f aca="false">IF(G1630="","",IF(G1630="?","⚠ pub inconnue",IFERROR(INDEX(Pubs!$B$2:$B$3001,MATCH(G1630,Pubs!$A$2:$A$3001,0))&amp;"","⚠ pub inconnue")))</f>
        <v/>
      </c>
      <c r="I1630" s="27" t="str">
        <f aca="false">IF(OR(G1630="",G1630="?"),"",IFERROR(INDEX(Pubs!$C$2:$C$3001,MATCH(G1630,Pubs!$A$2:$A$3001,0))&amp;"",""))</f>
        <v/>
      </c>
      <c r="J1630" s="27" t="str">
        <f aca="false">IF(OR(G1630="",G1630="?"),"",IFERROR(INDEX(Pubs!$G$2:$G$3001,MATCH(G1630,Pubs!$A$2:$A$3001,0))&amp;"",""))</f>
        <v/>
      </c>
      <c r="K1630" s="28" t="str">
        <f aca="false">IF(OR(G1630="",G1630="?"),"",IFERROR(INDEX(Pubs!$E$2:$E$3001,MATCH(G1630,Pubs!$A$2:$A$3001,0)),""))</f>
        <v/>
      </c>
      <c r="L1630" s="29" t="str">
        <f aca="false">IF(A1630="","",IFERROR(1/(1/INDEX(Numéros!$C$2:$C$3001,MATCH(A1630&amp;"|"&amp;B1630,Numéros!$F$2:$F$3001,0))),""))</f>
        <v/>
      </c>
      <c r="M1630" s="27" t="str">
        <f aca="false">IF(OR(G1630="",G1630="?"),"",IFERROR(INDEX(Pubs!$D$2:$D$3001,MATCH(G1630,Pubs!$A$2:$A$3001,0))&amp;"",""))</f>
        <v/>
      </c>
      <c r="N1630" s="27" t="n">
        <f aca="false">N(N1629)+IF(AND(A1630&lt;&gt;"",OR(Recherche!$C$4="",A1630=Recherche!$C$4),OR(Recherche!$C$5="",B1630&amp;""=Recherche!$C$5&amp;""),OR(Recherche!$C$6="",IFERROR(YEAR(L1630),0)=Recherche!$C$6),OR(Recherche!$C$7="",ISNUMBER(SEARCH(Recherche!$C$7,H1630))),OR(Recherche!$C$8="",J1630=Recherche!$C$8),OR(Recherche!$C$9="",I1630=Recherche!$C$9),OR(Recherche!$C$10="",G1630&amp;""=Recherche!$C$10&amp;""),OR(Recherche!$C$11="",E1630=Recherche!$C$11),OR(Recherche!$C$12="",ISNUMBER(SEARCH(Recherche!$C$12,M1630&amp;" "&amp;F1630)))),1,0)</f>
        <v>8</v>
      </c>
    </row>
    <row r="1631" customFormat="false" ht="15" hidden="false" customHeight="false" outlineLevel="0" collapsed="false">
      <c r="A1631" s="19"/>
      <c r="B1631" s="19"/>
      <c r="C1631" s="19"/>
      <c r="D1631" s="19"/>
      <c r="E1631" s="22"/>
      <c r="F1631" s="19"/>
      <c r="G1631" s="26" t="str">
        <f aca="false">IF(D1631="","",IFERROR(VALUE(LEFT(D1631,FIND(" |",D1631&amp;" |")-1)),"?"))</f>
        <v/>
      </c>
      <c r="H1631" s="27" t="str">
        <f aca="false">IF(G1631="","",IF(G1631="?","⚠ pub inconnue",IFERROR(INDEX(Pubs!$B$2:$B$3001,MATCH(G1631,Pubs!$A$2:$A$3001,0))&amp;"","⚠ pub inconnue")))</f>
        <v/>
      </c>
      <c r="I1631" s="27" t="str">
        <f aca="false">IF(OR(G1631="",G1631="?"),"",IFERROR(INDEX(Pubs!$C$2:$C$3001,MATCH(G1631,Pubs!$A$2:$A$3001,0))&amp;"",""))</f>
        <v/>
      </c>
      <c r="J1631" s="27" t="str">
        <f aca="false">IF(OR(G1631="",G1631="?"),"",IFERROR(INDEX(Pubs!$G$2:$G$3001,MATCH(G1631,Pubs!$A$2:$A$3001,0))&amp;"",""))</f>
        <v/>
      </c>
      <c r="K1631" s="28" t="str">
        <f aca="false">IF(OR(G1631="",G1631="?"),"",IFERROR(INDEX(Pubs!$E$2:$E$3001,MATCH(G1631,Pubs!$A$2:$A$3001,0)),""))</f>
        <v/>
      </c>
      <c r="L1631" s="29" t="str">
        <f aca="false">IF(A1631="","",IFERROR(1/(1/INDEX(Numéros!$C$2:$C$3001,MATCH(A1631&amp;"|"&amp;B1631,Numéros!$F$2:$F$3001,0))),""))</f>
        <v/>
      </c>
      <c r="M1631" s="27" t="str">
        <f aca="false">IF(OR(G1631="",G1631="?"),"",IFERROR(INDEX(Pubs!$D$2:$D$3001,MATCH(G1631,Pubs!$A$2:$A$3001,0))&amp;"",""))</f>
        <v/>
      </c>
      <c r="N1631" s="27" t="n">
        <f aca="false">N(N1630)+IF(AND(A1631&lt;&gt;"",OR(Recherche!$C$4="",A1631=Recherche!$C$4),OR(Recherche!$C$5="",B1631&amp;""=Recherche!$C$5&amp;""),OR(Recherche!$C$6="",IFERROR(YEAR(L1631),0)=Recherche!$C$6),OR(Recherche!$C$7="",ISNUMBER(SEARCH(Recherche!$C$7,H1631))),OR(Recherche!$C$8="",J1631=Recherche!$C$8),OR(Recherche!$C$9="",I1631=Recherche!$C$9),OR(Recherche!$C$10="",G1631&amp;""=Recherche!$C$10&amp;""),OR(Recherche!$C$11="",E1631=Recherche!$C$11),OR(Recherche!$C$12="",ISNUMBER(SEARCH(Recherche!$C$12,M1631&amp;" "&amp;F1631)))),1,0)</f>
        <v>8</v>
      </c>
    </row>
    <row r="1632" customFormat="false" ht="15" hidden="false" customHeight="false" outlineLevel="0" collapsed="false">
      <c r="A1632" s="19"/>
      <c r="B1632" s="19"/>
      <c r="C1632" s="19"/>
      <c r="D1632" s="19"/>
      <c r="E1632" s="22"/>
      <c r="F1632" s="19"/>
      <c r="G1632" s="26" t="str">
        <f aca="false">IF(D1632="","",IFERROR(VALUE(LEFT(D1632,FIND(" |",D1632&amp;" |")-1)),"?"))</f>
        <v/>
      </c>
      <c r="H1632" s="27" t="str">
        <f aca="false">IF(G1632="","",IF(G1632="?","⚠ pub inconnue",IFERROR(INDEX(Pubs!$B$2:$B$3001,MATCH(G1632,Pubs!$A$2:$A$3001,0))&amp;"","⚠ pub inconnue")))</f>
        <v/>
      </c>
      <c r="I1632" s="27" t="str">
        <f aca="false">IF(OR(G1632="",G1632="?"),"",IFERROR(INDEX(Pubs!$C$2:$C$3001,MATCH(G1632,Pubs!$A$2:$A$3001,0))&amp;"",""))</f>
        <v/>
      </c>
      <c r="J1632" s="27" t="str">
        <f aca="false">IF(OR(G1632="",G1632="?"),"",IFERROR(INDEX(Pubs!$G$2:$G$3001,MATCH(G1632,Pubs!$A$2:$A$3001,0))&amp;"",""))</f>
        <v/>
      </c>
      <c r="K1632" s="28" t="str">
        <f aca="false">IF(OR(G1632="",G1632="?"),"",IFERROR(INDEX(Pubs!$E$2:$E$3001,MATCH(G1632,Pubs!$A$2:$A$3001,0)),""))</f>
        <v/>
      </c>
      <c r="L1632" s="29" t="str">
        <f aca="false">IF(A1632="","",IFERROR(1/(1/INDEX(Numéros!$C$2:$C$3001,MATCH(A1632&amp;"|"&amp;B1632,Numéros!$F$2:$F$3001,0))),""))</f>
        <v/>
      </c>
      <c r="M1632" s="27" t="str">
        <f aca="false">IF(OR(G1632="",G1632="?"),"",IFERROR(INDEX(Pubs!$D$2:$D$3001,MATCH(G1632,Pubs!$A$2:$A$3001,0))&amp;"",""))</f>
        <v/>
      </c>
      <c r="N1632" s="27" t="n">
        <f aca="false">N(N1631)+IF(AND(A1632&lt;&gt;"",OR(Recherche!$C$4="",A1632=Recherche!$C$4),OR(Recherche!$C$5="",B1632&amp;""=Recherche!$C$5&amp;""),OR(Recherche!$C$6="",IFERROR(YEAR(L1632),0)=Recherche!$C$6),OR(Recherche!$C$7="",ISNUMBER(SEARCH(Recherche!$C$7,H1632))),OR(Recherche!$C$8="",J1632=Recherche!$C$8),OR(Recherche!$C$9="",I1632=Recherche!$C$9),OR(Recherche!$C$10="",G1632&amp;""=Recherche!$C$10&amp;""),OR(Recherche!$C$11="",E1632=Recherche!$C$11),OR(Recherche!$C$12="",ISNUMBER(SEARCH(Recherche!$C$12,M1632&amp;" "&amp;F1632)))),1,0)</f>
        <v>8</v>
      </c>
    </row>
    <row r="1633" customFormat="false" ht="15" hidden="false" customHeight="false" outlineLevel="0" collapsed="false">
      <c r="A1633" s="19"/>
      <c r="B1633" s="19"/>
      <c r="C1633" s="19"/>
      <c r="D1633" s="19"/>
      <c r="E1633" s="22"/>
      <c r="F1633" s="19"/>
      <c r="G1633" s="26" t="str">
        <f aca="false">IF(D1633="","",IFERROR(VALUE(LEFT(D1633,FIND(" |",D1633&amp;" |")-1)),"?"))</f>
        <v/>
      </c>
      <c r="H1633" s="27" t="str">
        <f aca="false">IF(G1633="","",IF(G1633="?","⚠ pub inconnue",IFERROR(INDEX(Pubs!$B$2:$B$3001,MATCH(G1633,Pubs!$A$2:$A$3001,0))&amp;"","⚠ pub inconnue")))</f>
        <v/>
      </c>
      <c r="I1633" s="27" t="str">
        <f aca="false">IF(OR(G1633="",G1633="?"),"",IFERROR(INDEX(Pubs!$C$2:$C$3001,MATCH(G1633,Pubs!$A$2:$A$3001,0))&amp;"",""))</f>
        <v/>
      </c>
      <c r="J1633" s="27" t="str">
        <f aca="false">IF(OR(G1633="",G1633="?"),"",IFERROR(INDEX(Pubs!$G$2:$G$3001,MATCH(G1633,Pubs!$A$2:$A$3001,0))&amp;"",""))</f>
        <v/>
      </c>
      <c r="K1633" s="28" t="str">
        <f aca="false">IF(OR(G1633="",G1633="?"),"",IFERROR(INDEX(Pubs!$E$2:$E$3001,MATCH(G1633,Pubs!$A$2:$A$3001,0)),""))</f>
        <v/>
      </c>
      <c r="L1633" s="29" t="str">
        <f aca="false">IF(A1633="","",IFERROR(1/(1/INDEX(Numéros!$C$2:$C$3001,MATCH(A1633&amp;"|"&amp;B1633,Numéros!$F$2:$F$3001,0))),""))</f>
        <v/>
      </c>
      <c r="M1633" s="27" t="str">
        <f aca="false">IF(OR(G1633="",G1633="?"),"",IFERROR(INDEX(Pubs!$D$2:$D$3001,MATCH(G1633,Pubs!$A$2:$A$3001,0))&amp;"",""))</f>
        <v/>
      </c>
      <c r="N1633" s="27" t="n">
        <f aca="false">N(N1632)+IF(AND(A1633&lt;&gt;"",OR(Recherche!$C$4="",A1633=Recherche!$C$4),OR(Recherche!$C$5="",B1633&amp;""=Recherche!$C$5&amp;""),OR(Recherche!$C$6="",IFERROR(YEAR(L1633),0)=Recherche!$C$6),OR(Recherche!$C$7="",ISNUMBER(SEARCH(Recherche!$C$7,H1633))),OR(Recherche!$C$8="",J1633=Recherche!$C$8),OR(Recherche!$C$9="",I1633=Recherche!$C$9),OR(Recherche!$C$10="",G1633&amp;""=Recherche!$C$10&amp;""),OR(Recherche!$C$11="",E1633=Recherche!$C$11),OR(Recherche!$C$12="",ISNUMBER(SEARCH(Recherche!$C$12,M1633&amp;" "&amp;F1633)))),1,0)</f>
        <v>8</v>
      </c>
    </row>
    <row r="1634" customFormat="false" ht="15" hidden="false" customHeight="false" outlineLevel="0" collapsed="false">
      <c r="A1634" s="19"/>
      <c r="B1634" s="19"/>
      <c r="C1634" s="19"/>
      <c r="D1634" s="19"/>
      <c r="E1634" s="22"/>
      <c r="F1634" s="19"/>
      <c r="G1634" s="26" t="str">
        <f aca="false">IF(D1634="","",IFERROR(VALUE(LEFT(D1634,FIND(" |",D1634&amp;" |")-1)),"?"))</f>
        <v/>
      </c>
      <c r="H1634" s="27" t="str">
        <f aca="false">IF(G1634="","",IF(G1634="?","⚠ pub inconnue",IFERROR(INDEX(Pubs!$B$2:$B$3001,MATCH(G1634,Pubs!$A$2:$A$3001,0))&amp;"","⚠ pub inconnue")))</f>
        <v/>
      </c>
      <c r="I1634" s="27" t="str">
        <f aca="false">IF(OR(G1634="",G1634="?"),"",IFERROR(INDEX(Pubs!$C$2:$C$3001,MATCH(G1634,Pubs!$A$2:$A$3001,0))&amp;"",""))</f>
        <v/>
      </c>
      <c r="J1634" s="27" t="str">
        <f aca="false">IF(OR(G1634="",G1634="?"),"",IFERROR(INDEX(Pubs!$G$2:$G$3001,MATCH(G1634,Pubs!$A$2:$A$3001,0))&amp;"",""))</f>
        <v/>
      </c>
      <c r="K1634" s="28" t="str">
        <f aca="false">IF(OR(G1634="",G1634="?"),"",IFERROR(INDEX(Pubs!$E$2:$E$3001,MATCH(G1634,Pubs!$A$2:$A$3001,0)),""))</f>
        <v/>
      </c>
      <c r="L1634" s="29" t="str">
        <f aca="false">IF(A1634="","",IFERROR(1/(1/INDEX(Numéros!$C$2:$C$3001,MATCH(A1634&amp;"|"&amp;B1634,Numéros!$F$2:$F$3001,0))),""))</f>
        <v/>
      </c>
      <c r="M1634" s="27" t="str">
        <f aca="false">IF(OR(G1634="",G1634="?"),"",IFERROR(INDEX(Pubs!$D$2:$D$3001,MATCH(G1634,Pubs!$A$2:$A$3001,0))&amp;"",""))</f>
        <v/>
      </c>
      <c r="N1634" s="27" t="n">
        <f aca="false">N(N1633)+IF(AND(A1634&lt;&gt;"",OR(Recherche!$C$4="",A1634=Recherche!$C$4),OR(Recherche!$C$5="",B1634&amp;""=Recherche!$C$5&amp;""),OR(Recherche!$C$6="",IFERROR(YEAR(L1634),0)=Recherche!$C$6),OR(Recherche!$C$7="",ISNUMBER(SEARCH(Recherche!$C$7,H1634))),OR(Recherche!$C$8="",J1634=Recherche!$C$8),OR(Recherche!$C$9="",I1634=Recherche!$C$9),OR(Recherche!$C$10="",G1634&amp;""=Recherche!$C$10&amp;""),OR(Recherche!$C$11="",E1634=Recherche!$C$11),OR(Recherche!$C$12="",ISNUMBER(SEARCH(Recherche!$C$12,M1634&amp;" "&amp;F1634)))),1,0)</f>
        <v>8</v>
      </c>
    </row>
    <row r="1635" customFormat="false" ht="15" hidden="false" customHeight="false" outlineLevel="0" collapsed="false">
      <c r="A1635" s="19"/>
      <c r="B1635" s="19"/>
      <c r="C1635" s="19"/>
      <c r="D1635" s="19"/>
      <c r="E1635" s="22"/>
      <c r="F1635" s="19"/>
      <c r="G1635" s="26" t="str">
        <f aca="false">IF(D1635="","",IFERROR(VALUE(LEFT(D1635,FIND(" |",D1635&amp;" |")-1)),"?"))</f>
        <v/>
      </c>
      <c r="H1635" s="27" t="str">
        <f aca="false">IF(G1635="","",IF(G1635="?","⚠ pub inconnue",IFERROR(INDEX(Pubs!$B$2:$B$3001,MATCH(G1635,Pubs!$A$2:$A$3001,0))&amp;"","⚠ pub inconnue")))</f>
        <v/>
      </c>
      <c r="I1635" s="27" t="str">
        <f aca="false">IF(OR(G1635="",G1635="?"),"",IFERROR(INDEX(Pubs!$C$2:$C$3001,MATCH(G1635,Pubs!$A$2:$A$3001,0))&amp;"",""))</f>
        <v/>
      </c>
      <c r="J1635" s="27" t="str">
        <f aca="false">IF(OR(G1635="",G1635="?"),"",IFERROR(INDEX(Pubs!$G$2:$G$3001,MATCH(G1635,Pubs!$A$2:$A$3001,0))&amp;"",""))</f>
        <v/>
      </c>
      <c r="K1635" s="28" t="str">
        <f aca="false">IF(OR(G1635="",G1635="?"),"",IFERROR(INDEX(Pubs!$E$2:$E$3001,MATCH(G1635,Pubs!$A$2:$A$3001,0)),""))</f>
        <v/>
      </c>
      <c r="L1635" s="29" t="str">
        <f aca="false">IF(A1635="","",IFERROR(1/(1/INDEX(Numéros!$C$2:$C$3001,MATCH(A1635&amp;"|"&amp;B1635,Numéros!$F$2:$F$3001,0))),""))</f>
        <v/>
      </c>
      <c r="M1635" s="27" t="str">
        <f aca="false">IF(OR(G1635="",G1635="?"),"",IFERROR(INDEX(Pubs!$D$2:$D$3001,MATCH(G1635,Pubs!$A$2:$A$3001,0))&amp;"",""))</f>
        <v/>
      </c>
      <c r="N1635" s="27" t="n">
        <f aca="false">N(N1634)+IF(AND(A1635&lt;&gt;"",OR(Recherche!$C$4="",A1635=Recherche!$C$4),OR(Recherche!$C$5="",B1635&amp;""=Recherche!$C$5&amp;""),OR(Recherche!$C$6="",IFERROR(YEAR(L1635),0)=Recherche!$C$6),OR(Recherche!$C$7="",ISNUMBER(SEARCH(Recherche!$C$7,H1635))),OR(Recherche!$C$8="",J1635=Recherche!$C$8),OR(Recherche!$C$9="",I1635=Recherche!$C$9),OR(Recherche!$C$10="",G1635&amp;""=Recherche!$C$10&amp;""),OR(Recherche!$C$11="",E1635=Recherche!$C$11),OR(Recherche!$C$12="",ISNUMBER(SEARCH(Recherche!$C$12,M1635&amp;" "&amp;F1635)))),1,0)</f>
        <v>8</v>
      </c>
    </row>
    <row r="1636" customFormat="false" ht="15" hidden="false" customHeight="false" outlineLevel="0" collapsed="false">
      <c r="A1636" s="19"/>
      <c r="B1636" s="19"/>
      <c r="C1636" s="19"/>
      <c r="D1636" s="19"/>
      <c r="E1636" s="22"/>
      <c r="F1636" s="19"/>
      <c r="G1636" s="26" t="str">
        <f aca="false">IF(D1636="","",IFERROR(VALUE(LEFT(D1636,FIND(" |",D1636&amp;" |")-1)),"?"))</f>
        <v/>
      </c>
      <c r="H1636" s="27" t="str">
        <f aca="false">IF(G1636="","",IF(G1636="?","⚠ pub inconnue",IFERROR(INDEX(Pubs!$B$2:$B$3001,MATCH(G1636,Pubs!$A$2:$A$3001,0))&amp;"","⚠ pub inconnue")))</f>
        <v/>
      </c>
      <c r="I1636" s="27" t="str">
        <f aca="false">IF(OR(G1636="",G1636="?"),"",IFERROR(INDEX(Pubs!$C$2:$C$3001,MATCH(G1636,Pubs!$A$2:$A$3001,0))&amp;"",""))</f>
        <v/>
      </c>
      <c r="J1636" s="27" t="str">
        <f aca="false">IF(OR(G1636="",G1636="?"),"",IFERROR(INDEX(Pubs!$G$2:$G$3001,MATCH(G1636,Pubs!$A$2:$A$3001,0))&amp;"",""))</f>
        <v/>
      </c>
      <c r="K1636" s="28" t="str">
        <f aca="false">IF(OR(G1636="",G1636="?"),"",IFERROR(INDEX(Pubs!$E$2:$E$3001,MATCH(G1636,Pubs!$A$2:$A$3001,0)),""))</f>
        <v/>
      </c>
      <c r="L1636" s="29" t="str">
        <f aca="false">IF(A1636="","",IFERROR(1/(1/INDEX(Numéros!$C$2:$C$3001,MATCH(A1636&amp;"|"&amp;B1636,Numéros!$F$2:$F$3001,0))),""))</f>
        <v/>
      </c>
      <c r="M1636" s="27" t="str">
        <f aca="false">IF(OR(G1636="",G1636="?"),"",IFERROR(INDEX(Pubs!$D$2:$D$3001,MATCH(G1636,Pubs!$A$2:$A$3001,0))&amp;"",""))</f>
        <v/>
      </c>
      <c r="N1636" s="27" t="n">
        <f aca="false">N(N1635)+IF(AND(A1636&lt;&gt;"",OR(Recherche!$C$4="",A1636=Recherche!$C$4),OR(Recherche!$C$5="",B1636&amp;""=Recherche!$C$5&amp;""),OR(Recherche!$C$6="",IFERROR(YEAR(L1636),0)=Recherche!$C$6),OR(Recherche!$C$7="",ISNUMBER(SEARCH(Recherche!$C$7,H1636))),OR(Recherche!$C$8="",J1636=Recherche!$C$8),OR(Recherche!$C$9="",I1636=Recherche!$C$9),OR(Recherche!$C$10="",G1636&amp;""=Recherche!$C$10&amp;""),OR(Recherche!$C$11="",E1636=Recherche!$C$11),OR(Recherche!$C$12="",ISNUMBER(SEARCH(Recherche!$C$12,M1636&amp;" "&amp;F1636)))),1,0)</f>
        <v>8</v>
      </c>
    </row>
    <row r="1637" customFormat="false" ht="15" hidden="false" customHeight="false" outlineLevel="0" collapsed="false">
      <c r="A1637" s="19"/>
      <c r="B1637" s="19"/>
      <c r="C1637" s="19"/>
      <c r="D1637" s="19"/>
      <c r="E1637" s="22"/>
      <c r="F1637" s="19"/>
      <c r="G1637" s="26" t="str">
        <f aca="false">IF(D1637="","",IFERROR(VALUE(LEFT(D1637,FIND(" |",D1637&amp;" |")-1)),"?"))</f>
        <v/>
      </c>
      <c r="H1637" s="27" t="str">
        <f aca="false">IF(G1637="","",IF(G1637="?","⚠ pub inconnue",IFERROR(INDEX(Pubs!$B$2:$B$3001,MATCH(G1637,Pubs!$A$2:$A$3001,0))&amp;"","⚠ pub inconnue")))</f>
        <v/>
      </c>
      <c r="I1637" s="27" t="str">
        <f aca="false">IF(OR(G1637="",G1637="?"),"",IFERROR(INDEX(Pubs!$C$2:$C$3001,MATCH(G1637,Pubs!$A$2:$A$3001,0))&amp;"",""))</f>
        <v/>
      </c>
      <c r="J1637" s="27" t="str">
        <f aca="false">IF(OR(G1637="",G1637="?"),"",IFERROR(INDEX(Pubs!$G$2:$G$3001,MATCH(G1637,Pubs!$A$2:$A$3001,0))&amp;"",""))</f>
        <v/>
      </c>
      <c r="K1637" s="28" t="str">
        <f aca="false">IF(OR(G1637="",G1637="?"),"",IFERROR(INDEX(Pubs!$E$2:$E$3001,MATCH(G1637,Pubs!$A$2:$A$3001,0)),""))</f>
        <v/>
      </c>
      <c r="L1637" s="29" t="str">
        <f aca="false">IF(A1637="","",IFERROR(1/(1/INDEX(Numéros!$C$2:$C$3001,MATCH(A1637&amp;"|"&amp;B1637,Numéros!$F$2:$F$3001,0))),""))</f>
        <v/>
      </c>
      <c r="M1637" s="27" t="str">
        <f aca="false">IF(OR(G1637="",G1637="?"),"",IFERROR(INDEX(Pubs!$D$2:$D$3001,MATCH(G1637,Pubs!$A$2:$A$3001,0))&amp;"",""))</f>
        <v/>
      </c>
      <c r="N1637" s="27" t="n">
        <f aca="false">N(N1636)+IF(AND(A1637&lt;&gt;"",OR(Recherche!$C$4="",A1637=Recherche!$C$4),OR(Recherche!$C$5="",B1637&amp;""=Recherche!$C$5&amp;""),OR(Recherche!$C$6="",IFERROR(YEAR(L1637),0)=Recherche!$C$6),OR(Recherche!$C$7="",ISNUMBER(SEARCH(Recherche!$C$7,H1637))),OR(Recherche!$C$8="",J1637=Recherche!$C$8),OR(Recherche!$C$9="",I1637=Recherche!$C$9),OR(Recherche!$C$10="",G1637&amp;""=Recherche!$C$10&amp;""),OR(Recherche!$C$11="",E1637=Recherche!$C$11),OR(Recherche!$C$12="",ISNUMBER(SEARCH(Recherche!$C$12,M1637&amp;" "&amp;F1637)))),1,0)</f>
        <v>8</v>
      </c>
    </row>
    <row r="1638" customFormat="false" ht="15" hidden="false" customHeight="false" outlineLevel="0" collapsed="false">
      <c r="A1638" s="19"/>
      <c r="B1638" s="19"/>
      <c r="C1638" s="19"/>
      <c r="D1638" s="19"/>
      <c r="E1638" s="22"/>
      <c r="F1638" s="19"/>
      <c r="G1638" s="26" t="str">
        <f aca="false">IF(D1638="","",IFERROR(VALUE(LEFT(D1638,FIND(" |",D1638&amp;" |")-1)),"?"))</f>
        <v/>
      </c>
      <c r="H1638" s="27" t="str">
        <f aca="false">IF(G1638="","",IF(G1638="?","⚠ pub inconnue",IFERROR(INDEX(Pubs!$B$2:$B$3001,MATCH(G1638,Pubs!$A$2:$A$3001,0))&amp;"","⚠ pub inconnue")))</f>
        <v/>
      </c>
      <c r="I1638" s="27" t="str">
        <f aca="false">IF(OR(G1638="",G1638="?"),"",IFERROR(INDEX(Pubs!$C$2:$C$3001,MATCH(G1638,Pubs!$A$2:$A$3001,0))&amp;"",""))</f>
        <v/>
      </c>
      <c r="J1638" s="27" t="str">
        <f aca="false">IF(OR(G1638="",G1638="?"),"",IFERROR(INDEX(Pubs!$G$2:$G$3001,MATCH(G1638,Pubs!$A$2:$A$3001,0))&amp;"",""))</f>
        <v/>
      </c>
      <c r="K1638" s="28" t="str">
        <f aca="false">IF(OR(G1638="",G1638="?"),"",IFERROR(INDEX(Pubs!$E$2:$E$3001,MATCH(G1638,Pubs!$A$2:$A$3001,0)),""))</f>
        <v/>
      </c>
      <c r="L1638" s="29" t="str">
        <f aca="false">IF(A1638="","",IFERROR(1/(1/INDEX(Numéros!$C$2:$C$3001,MATCH(A1638&amp;"|"&amp;B1638,Numéros!$F$2:$F$3001,0))),""))</f>
        <v/>
      </c>
      <c r="M1638" s="27" t="str">
        <f aca="false">IF(OR(G1638="",G1638="?"),"",IFERROR(INDEX(Pubs!$D$2:$D$3001,MATCH(G1638,Pubs!$A$2:$A$3001,0))&amp;"",""))</f>
        <v/>
      </c>
      <c r="N1638" s="27" t="n">
        <f aca="false">N(N1637)+IF(AND(A1638&lt;&gt;"",OR(Recherche!$C$4="",A1638=Recherche!$C$4),OR(Recherche!$C$5="",B1638&amp;""=Recherche!$C$5&amp;""),OR(Recherche!$C$6="",IFERROR(YEAR(L1638),0)=Recherche!$C$6),OR(Recherche!$C$7="",ISNUMBER(SEARCH(Recherche!$C$7,H1638))),OR(Recherche!$C$8="",J1638=Recherche!$C$8),OR(Recherche!$C$9="",I1638=Recherche!$C$9),OR(Recherche!$C$10="",G1638&amp;""=Recherche!$C$10&amp;""),OR(Recherche!$C$11="",E1638=Recherche!$C$11),OR(Recherche!$C$12="",ISNUMBER(SEARCH(Recherche!$C$12,M1638&amp;" "&amp;F1638)))),1,0)</f>
        <v>8</v>
      </c>
    </row>
    <row r="1639" customFormat="false" ht="15" hidden="false" customHeight="false" outlineLevel="0" collapsed="false">
      <c r="A1639" s="19"/>
      <c r="B1639" s="19"/>
      <c r="C1639" s="19"/>
      <c r="D1639" s="19"/>
      <c r="E1639" s="22"/>
      <c r="F1639" s="19"/>
      <c r="G1639" s="26" t="str">
        <f aca="false">IF(D1639="","",IFERROR(VALUE(LEFT(D1639,FIND(" |",D1639&amp;" |")-1)),"?"))</f>
        <v/>
      </c>
      <c r="H1639" s="27" t="str">
        <f aca="false">IF(G1639="","",IF(G1639="?","⚠ pub inconnue",IFERROR(INDEX(Pubs!$B$2:$B$3001,MATCH(G1639,Pubs!$A$2:$A$3001,0))&amp;"","⚠ pub inconnue")))</f>
        <v/>
      </c>
      <c r="I1639" s="27" t="str">
        <f aca="false">IF(OR(G1639="",G1639="?"),"",IFERROR(INDEX(Pubs!$C$2:$C$3001,MATCH(G1639,Pubs!$A$2:$A$3001,0))&amp;"",""))</f>
        <v/>
      </c>
      <c r="J1639" s="27" t="str">
        <f aca="false">IF(OR(G1639="",G1639="?"),"",IFERROR(INDEX(Pubs!$G$2:$G$3001,MATCH(G1639,Pubs!$A$2:$A$3001,0))&amp;"",""))</f>
        <v/>
      </c>
      <c r="K1639" s="28" t="str">
        <f aca="false">IF(OR(G1639="",G1639="?"),"",IFERROR(INDEX(Pubs!$E$2:$E$3001,MATCH(G1639,Pubs!$A$2:$A$3001,0)),""))</f>
        <v/>
      </c>
      <c r="L1639" s="29" t="str">
        <f aca="false">IF(A1639="","",IFERROR(1/(1/INDEX(Numéros!$C$2:$C$3001,MATCH(A1639&amp;"|"&amp;B1639,Numéros!$F$2:$F$3001,0))),""))</f>
        <v/>
      </c>
      <c r="M1639" s="27" t="str">
        <f aca="false">IF(OR(G1639="",G1639="?"),"",IFERROR(INDEX(Pubs!$D$2:$D$3001,MATCH(G1639,Pubs!$A$2:$A$3001,0))&amp;"",""))</f>
        <v/>
      </c>
      <c r="N1639" s="27" t="n">
        <f aca="false">N(N1638)+IF(AND(A1639&lt;&gt;"",OR(Recherche!$C$4="",A1639=Recherche!$C$4),OR(Recherche!$C$5="",B1639&amp;""=Recherche!$C$5&amp;""),OR(Recherche!$C$6="",IFERROR(YEAR(L1639),0)=Recherche!$C$6),OR(Recherche!$C$7="",ISNUMBER(SEARCH(Recherche!$C$7,H1639))),OR(Recherche!$C$8="",J1639=Recherche!$C$8),OR(Recherche!$C$9="",I1639=Recherche!$C$9),OR(Recherche!$C$10="",G1639&amp;""=Recherche!$C$10&amp;""),OR(Recherche!$C$11="",E1639=Recherche!$C$11),OR(Recherche!$C$12="",ISNUMBER(SEARCH(Recherche!$C$12,M1639&amp;" "&amp;F1639)))),1,0)</f>
        <v>8</v>
      </c>
    </row>
    <row r="1640" customFormat="false" ht="15" hidden="false" customHeight="false" outlineLevel="0" collapsed="false">
      <c r="A1640" s="19"/>
      <c r="B1640" s="19"/>
      <c r="C1640" s="19"/>
      <c r="D1640" s="19"/>
      <c r="E1640" s="22"/>
      <c r="F1640" s="19"/>
      <c r="G1640" s="26" t="str">
        <f aca="false">IF(D1640="","",IFERROR(VALUE(LEFT(D1640,FIND(" |",D1640&amp;" |")-1)),"?"))</f>
        <v/>
      </c>
      <c r="H1640" s="27" t="str">
        <f aca="false">IF(G1640="","",IF(G1640="?","⚠ pub inconnue",IFERROR(INDEX(Pubs!$B$2:$B$3001,MATCH(G1640,Pubs!$A$2:$A$3001,0))&amp;"","⚠ pub inconnue")))</f>
        <v/>
      </c>
      <c r="I1640" s="27" t="str">
        <f aca="false">IF(OR(G1640="",G1640="?"),"",IFERROR(INDEX(Pubs!$C$2:$C$3001,MATCH(G1640,Pubs!$A$2:$A$3001,0))&amp;"",""))</f>
        <v/>
      </c>
      <c r="J1640" s="27" t="str">
        <f aca="false">IF(OR(G1640="",G1640="?"),"",IFERROR(INDEX(Pubs!$G$2:$G$3001,MATCH(G1640,Pubs!$A$2:$A$3001,0))&amp;"",""))</f>
        <v/>
      </c>
      <c r="K1640" s="28" t="str">
        <f aca="false">IF(OR(G1640="",G1640="?"),"",IFERROR(INDEX(Pubs!$E$2:$E$3001,MATCH(G1640,Pubs!$A$2:$A$3001,0)),""))</f>
        <v/>
      </c>
      <c r="L1640" s="29" t="str">
        <f aca="false">IF(A1640="","",IFERROR(1/(1/INDEX(Numéros!$C$2:$C$3001,MATCH(A1640&amp;"|"&amp;B1640,Numéros!$F$2:$F$3001,0))),""))</f>
        <v/>
      </c>
      <c r="M1640" s="27" t="str">
        <f aca="false">IF(OR(G1640="",G1640="?"),"",IFERROR(INDEX(Pubs!$D$2:$D$3001,MATCH(G1640,Pubs!$A$2:$A$3001,0))&amp;"",""))</f>
        <v/>
      </c>
      <c r="N1640" s="27" t="n">
        <f aca="false">N(N1639)+IF(AND(A1640&lt;&gt;"",OR(Recherche!$C$4="",A1640=Recherche!$C$4),OR(Recherche!$C$5="",B1640&amp;""=Recherche!$C$5&amp;""),OR(Recherche!$C$6="",IFERROR(YEAR(L1640),0)=Recherche!$C$6),OR(Recherche!$C$7="",ISNUMBER(SEARCH(Recherche!$C$7,H1640))),OR(Recherche!$C$8="",J1640=Recherche!$C$8),OR(Recherche!$C$9="",I1640=Recherche!$C$9),OR(Recherche!$C$10="",G1640&amp;""=Recherche!$C$10&amp;""),OR(Recherche!$C$11="",E1640=Recherche!$C$11),OR(Recherche!$C$12="",ISNUMBER(SEARCH(Recherche!$C$12,M1640&amp;" "&amp;F1640)))),1,0)</f>
        <v>8</v>
      </c>
    </row>
    <row r="1641" customFormat="false" ht="15" hidden="false" customHeight="false" outlineLevel="0" collapsed="false">
      <c r="A1641" s="19"/>
      <c r="B1641" s="19"/>
      <c r="C1641" s="19"/>
      <c r="D1641" s="19"/>
      <c r="E1641" s="22"/>
      <c r="F1641" s="19"/>
      <c r="G1641" s="26" t="str">
        <f aca="false">IF(D1641="","",IFERROR(VALUE(LEFT(D1641,FIND(" |",D1641&amp;" |")-1)),"?"))</f>
        <v/>
      </c>
      <c r="H1641" s="27" t="str">
        <f aca="false">IF(G1641="","",IF(G1641="?","⚠ pub inconnue",IFERROR(INDEX(Pubs!$B$2:$B$3001,MATCH(G1641,Pubs!$A$2:$A$3001,0))&amp;"","⚠ pub inconnue")))</f>
        <v/>
      </c>
      <c r="I1641" s="27" t="str">
        <f aca="false">IF(OR(G1641="",G1641="?"),"",IFERROR(INDEX(Pubs!$C$2:$C$3001,MATCH(G1641,Pubs!$A$2:$A$3001,0))&amp;"",""))</f>
        <v/>
      </c>
      <c r="J1641" s="27" t="str">
        <f aca="false">IF(OR(G1641="",G1641="?"),"",IFERROR(INDEX(Pubs!$G$2:$G$3001,MATCH(G1641,Pubs!$A$2:$A$3001,0))&amp;"",""))</f>
        <v/>
      </c>
      <c r="K1641" s="28" t="str">
        <f aca="false">IF(OR(G1641="",G1641="?"),"",IFERROR(INDEX(Pubs!$E$2:$E$3001,MATCH(G1641,Pubs!$A$2:$A$3001,0)),""))</f>
        <v/>
      </c>
      <c r="L1641" s="29" t="str">
        <f aca="false">IF(A1641="","",IFERROR(1/(1/INDEX(Numéros!$C$2:$C$3001,MATCH(A1641&amp;"|"&amp;B1641,Numéros!$F$2:$F$3001,0))),""))</f>
        <v/>
      </c>
      <c r="M1641" s="27" t="str">
        <f aca="false">IF(OR(G1641="",G1641="?"),"",IFERROR(INDEX(Pubs!$D$2:$D$3001,MATCH(G1641,Pubs!$A$2:$A$3001,0))&amp;"",""))</f>
        <v/>
      </c>
      <c r="N1641" s="27" t="n">
        <f aca="false">N(N1640)+IF(AND(A1641&lt;&gt;"",OR(Recherche!$C$4="",A1641=Recherche!$C$4),OR(Recherche!$C$5="",B1641&amp;""=Recherche!$C$5&amp;""),OR(Recherche!$C$6="",IFERROR(YEAR(L1641),0)=Recherche!$C$6),OR(Recherche!$C$7="",ISNUMBER(SEARCH(Recherche!$C$7,H1641))),OR(Recherche!$C$8="",J1641=Recherche!$C$8),OR(Recherche!$C$9="",I1641=Recherche!$C$9),OR(Recherche!$C$10="",G1641&amp;""=Recherche!$C$10&amp;""),OR(Recherche!$C$11="",E1641=Recherche!$C$11),OR(Recherche!$C$12="",ISNUMBER(SEARCH(Recherche!$C$12,M1641&amp;" "&amp;F1641)))),1,0)</f>
        <v>8</v>
      </c>
    </row>
    <row r="1642" customFormat="false" ht="15" hidden="false" customHeight="false" outlineLevel="0" collapsed="false">
      <c r="A1642" s="19"/>
      <c r="B1642" s="19"/>
      <c r="C1642" s="19"/>
      <c r="D1642" s="19"/>
      <c r="E1642" s="22"/>
      <c r="F1642" s="19"/>
      <c r="G1642" s="26" t="str">
        <f aca="false">IF(D1642="","",IFERROR(VALUE(LEFT(D1642,FIND(" |",D1642&amp;" |")-1)),"?"))</f>
        <v/>
      </c>
      <c r="H1642" s="27" t="str">
        <f aca="false">IF(G1642="","",IF(G1642="?","⚠ pub inconnue",IFERROR(INDEX(Pubs!$B$2:$B$3001,MATCH(G1642,Pubs!$A$2:$A$3001,0))&amp;"","⚠ pub inconnue")))</f>
        <v/>
      </c>
      <c r="I1642" s="27" t="str">
        <f aca="false">IF(OR(G1642="",G1642="?"),"",IFERROR(INDEX(Pubs!$C$2:$C$3001,MATCH(G1642,Pubs!$A$2:$A$3001,0))&amp;"",""))</f>
        <v/>
      </c>
      <c r="J1642" s="27" t="str">
        <f aca="false">IF(OR(G1642="",G1642="?"),"",IFERROR(INDEX(Pubs!$G$2:$G$3001,MATCH(G1642,Pubs!$A$2:$A$3001,0))&amp;"",""))</f>
        <v/>
      </c>
      <c r="K1642" s="28" t="str">
        <f aca="false">IF(OR(G1642="",G1642="?"),"",IFERROR(INDEX(Pubs!$E$2:$E$3001,MATCH(G1642,Pubs!$A$2:$A$3001,0)),""))</f>
        <v/>
      </c>
      <c r="L1642" s="29" t="str">
        <f aca="false">IF(A1642="","",IFERROR(1/(1/INDEX(Numéros!$C$2:$C$3001,MATCH(A1642&amp;"|"&amp;B1642,Numéros!$F$2:$F$3001,0))),""))</f>
        <v/>
      </c>
      <c r="M1642" s="27" t="str">
        <f aca="false">IF(OR(G1642="",G1642="?"),"",IFERROR(INDEX(Pubs!$D$2:$D$3001,MATCH(G1642,Pubs!$A$2:$A$3001,0))&amp;"",""))</f>
        <v/>
      </c>
      <c r="N1642" s="27" t="n">
        <f aca="false">N(N1641)+IF(AND(A1642&lt;&gt;"",OR(Recherche!$C$4="",A1642=Recherche!$C$4),OR(Recherche!$C$5="",B1642&amp;""=Recherche!$C$5&amp;""),OR(Recherche!$C$6="",IFERROR(YEAR(L1642),0)=Recherche!$C$6),OR(Recherche!$C$7="",ISNUMBER(SEARCH(Recherche!$C$7,H1642))),OR(Recherche!$C$8="",J1642=Recherche!$C$8),OR(Recherche!$C$9="",I1642=Recherche!$C$9),OR(Recherche!$C$10="",G1642&amp;""=Recherche!$C$10&amp;""),OR(Recherche!$C$11="",E1642=Recherche!$C$11),OR(Recherche!$C$12="",ISNUMBER(SEARCH(Recherche!$C$12,M1642&amp;" "&amp;F1642)))),1,0)</f>
        <v>8</v>
      </c>
    </row>
    <row r="1643" customFormat="false" ht="15" hidden="false" customHeight="false" outlineLevel="0" collapsed="false">
      <c r="A1643" s="19"/>
      <c r="B1643" s="19"/>
      <c r="C1643" s="19"/>
      <c r="D1643" s="19"/>
      <c r="E1643" s="22"/>
      <c r="F1643" s="19"/>
      <c r="G1643" s="26" t="str">
        <f aca="false">IF(D1643="","",IFERROR(VALUE(LEFT(D1643,FIND(" |",D1643&amp;" |")-1)),"?"))</f>
        <v/>
      </c>
      <c r="H1643" s="27" t="str">
        <f aca="false">IF(G1643="","",IF(G1643="?","⚠ pub inconnue",IFERROR(INDEX(Pubs!$B$2:$B$3001,MATCH(G1643,Pubs!$A$2:$A$3001,0))&amp;"","⚠ pub inconnue")))</f>
        <v/>
      </c>
      <c r="I1643" s="27" t="str">
        <f aca="false">IF(OR(G1643="",G1643="?"),"",IFERROR(INDEX(Pubs!$C$2:$C$3001,MATCH(G1643,Pubs!$A$2:$A$3001,0))&amp;"",""))</f>
        <v/>
      </c>
      <c r="J1643" s="27" t="str">
        <f aca="false">IF(OR(G1643="",G1643="?"),"",IFERROR(INDEX(Pubs!$G$2:$G$3001,MATCH(G1643,Pubs!$A$2:$A$3001,0))&amp;"",""))</f>
        <v/>
      </c>
      <c r="K1643" s="28" t="str">
        <f aca="false">IF(OR(G1643="",G1643="?"),"",IFERROR(INDEX(Pubs!$E$2:$E$3001,MATCH(G1643,Pubs!$A$2:$A$3001,0)),""))</f>
        <v/>
      </c>
      <c r="L1643" s="29" t="str">
        <f aca="false">IF(A1643="","",IFERROR(1/(1/INDEX(Numéros!$C$2:$C$3001,MATCH(A1643&amp;"|"&amp;B1643,Numéros!$F$2:$F$3001,0))),""))</f>
        <v/>
      </c>
      <c r="M1643" s="27" t="str">
        <f aca="false">IF(OR(G1643="",G1643="?"),"",IFERROR(INDEX(Pubs!$D$2:$D$3001,MATCH(G1643,Pubs!$A$2:$A$3001,0))&amp;"",""))</f>
        <v/>
      </c>
      <c r="N1643" s="27" t="n">
        <f aca="false">N(N1642)+IF(AND(A1643&lt;&gt;"",OR(Recherche!$C$4="",A1643=Recherche!$C$4),OR(Recherche!$C$5="",B1643&amp;""=Recherche!$C$5&amp;""),OR(Recherche!$C$6="",IFERROR(YEAR(L1643),0)=Recherche!$C$6),OR(Recherche!$C$7="",ISNUMBER(SEARCH(Recherche!$C$7,H1643))),OR(Recherche!$C$8="",J1643=Recherche!$C$8),OR(Recherche!$C$9="",I1643=Recherche!$C$9),OR(Recherche!$C$10="",G1643&amp;""=Recherche!$C$10&amp;""),OR(Recherche!$C$11="",E1643=Recherche!$C$11),OR(Recherche!$C$12="",ISNUMBER(SEARCH(Recherche!$C$12,M1643&amp;" "&amp;F1643)))),1,0)</f>
        <v>8</v>
      </c>
    </row>
    <row r="1644" customFormat="false" ht="15" hidden="false" customHeight="false" outlineLevel="0" collapsed="false">
      <c r="A1644" s="19"/>
      <c r="B1644" s="19"/>
      <c r="C1644" s="19"/>
      <c r="D1644" s="19"/>
      <c r="E1644" s="22"/>
      <c r="F1644" s="19"/>
      <c r="G1644" s="26" t="str">
        <f aca="false">IF(D1644="","",IFERROR(VALUE(LEFT(D1644,FIND(" |",D1644&amp;" |")-1)),"?"))</f>
        <v/>
      </c>
      <c r="H1644" s="27" t="str">
        <f aca="false">IF(G1644="","",IF(G1644="?","⚠ pub inconnue",IFERROR(INDEX(Pubs!$B$2:$B$3001,MATCH(G1644,Pubs!$A$2:$A$3001,0))&amp;"","⚠ pub inconnue")))</f>
        <v/>
      </c>
      <c r="I1644" s="27" t="str">
        <f aca="false">IF(OR(G1644="",G1644="?"),"",IFERROR(INDEX(Pubs!$C$2:$C$3001,MATCH(G1644,Pubs!$A$2:$A$3001,0))&amp;"",""))</f>
        <v/>
      </c>
      <c r="J1644" s="27" t="str">
        <f aca="false">IF(OR(G1644="",G1644="?"),"",IFERROR(INDEX(Pubs!$G$2:$G$3001,MATCH(G1644,Pubs!$A$2:$A$3001,0))&amp;"",""))</f>
        <v/>
      </c>
      <c r="K1644" s="28" t="str">
        <f aca="false">IF(OR(G1644="",G1644="?"),"",IFERROR(INDEX(Pubs!$E$2:$E$3001,MATCH(G1644,Pubs!$A$2:$A$3001,0)),""))</f>
        <v/>
      </c>
      <c r="L1644" s="29" t="str">
        <f aca="false">IF(A1644="","",IFERROR(1/(1/INDEX(Numéros!$C$2:$C$3001,MATCH(A1644&amp;"|"&amp;B1644,Numéros!$F$2:$F$3001,0))),""))</f>
        <v/>
      </c>
      <c r="M1644" s="27" t="str">
        <f aca="false">IF(OR(G1644="",G1644="?"),"",IFERROR(INDEX(Pubs!$D$2:$D$3001,MATCH(G1644,Pubs!$A$2:$A$3001,0))&amp;"",""))</f>
        <v/>
      </c>
      <c r="N1644" s="27" t="n">
        <f aca="false">N(N1643)+IF(AND(A1644&lt;&gt;"",OR(Recherche!$C$4="",A1644=Recherche!$C$4),OR(Recherche!$C$5="",B1644&amp;""=Recherche!$C$5&amp;""),OR(Recherche!$C$6="",IFERROR(YEAR(L1644),0)=Recherche!$C$6),OR(Recherche!$C$7="",ISNUMBER(SEARCH(Recherche!$C$7,H1644))),OR(Recherche!$C$8="",J1644=Recherche!$C$8),OR(Recherche!$C$9="",I1644=Recherche!$C$9),OR(Recherche!$C$10="",G1644&amp;""=Recherche!$C$10&amp;""),OR(Recherche!$C$11="",E1644=Recherche!$C$11),OR(Recherche!$C$12="",ISNUMBER(SEARCH(Recherche!$C$12,M1644&amp;" "&amp;F1644)))),1,0)</f>
        <v>8</v>
      </c>
    </row>
    <row r="1645" customFormat="false" ht="15" hidden="false" customHeight="false" outlineLevel="0" collapsed="false">
      <c r="A1645" s="19"/>
      <c r="B1645" s="19"/>
      <c r="C1645" s="19"/>
      <c r="D1645" s="19"/>
      <c r="E1645" s="22"/>
      <c r="F1645" s="19"/>
      <c r="G1645" s="26" t="str">
        <f aca="false">IF(D1645="","",IFERROR(VALUE(LEFT(D1645,FIND(" |",D1645&amp;" |")-1)),"?"))</f>
        <v/>
      </c>
      <c r="H1645" s="27" t="str">
        <f aca="false">IF(G1645="","",IF(G1645="?","⚠ pub inconnue",IFERROR(INDEX(Pubs!$B$2:$B$3001,MATCH(G1645,Pubs!$A$2:$A$3001,0))&amp;"","⚠ pub inconnue")))</f>
        <v/>
      </c>
      <c r="I1645" s="27" t="str">
        <f aca="false">IF(OR(G1645="",G1645="?"),"",IFERROR(INDEX(Pubs!$C$2:$C$3001,MATCH(G1645,Pubs!$A$2:$A$3001,0))&amp;"",""))</f>
        <v/>
      </c>
      <c r="J1645" s="27" t="str">
        <f aca="false">IF(OR(G1645="",G1645="?"),"",IFERROR(INDEX(Pubs!$G$2:$G$3001,MATCH(G1645,Pubs!$A$2:$A$3001,0))&amp;"",""))</f>
        <v/>
      </c>
      <c r="K1645" s="28" t="str">
        <f aca="false">IF(OR(G1645="",G1645="?"),"",IFERROR(INDEX(Pubs!$E$2:$E$3001,MATCH(G1645,Pubs!$A$2:$A$3001,0)),""))</f>
        <v/>
      </c>
      <c r="L1645" s="29" t="str">
        <f aca="false">IF(A1645="","",IFERROR(1/(1/INDEX(Numéros!$C$2:$C$3001,MATCH(A1645&amp;"|"&amp;B1645,Numéros!$F$2:$F$3001,0))),""))</f>
        <v/>
      </c>
      <c r="M1645" s="27" t="str">
        <f aca="false">IF(OR(G1645="",G1645="?"),"",IFERROR(INDEX(Pubs!$D$2:$D$3001,MATCH(G1645,Pubs!$A$2:$A$3001,0))&amp;"",""))</f>
        <v/>
      </c>
      <c r="N1645" s="27" t="n">
        <f aca="false">N(N1644)+IF(AND(A1645&lt;&gt;"",OR(Recherche!$C$4="",A1645=Recherche!$C$4),OR(Recherche!$C$5="",B1645&amp;""=Recherche!$C$5&amp;""),OR(Recherche!$C$6="",IFERROR(YEAR(L1645),0)=Recherche!$C$6),OR(Recherche!$C$7="",ISNUMBER(SEARCH(Recherche!$C$7,H1645))),OR(Recherche!$C$8="",J1645=Recherche!$C$8),OR(Recherche!$C$9="",I1645=Recherche!$C$9),OR(Recherche!$C$10="",G1645&amp;""=Recherche!$C$10&amp;""),OR(Recherche!$C$11="",E1645=Recherche!$C$11),OR(Recherche!$C$12="",ISNUMBER(SEARCH(Recherche!$C$12,M1645&amp;" "&amp;F1645)))),1,0)</f>
        <v>8</v>
      </c>
    </row>
    <row r="1646" customFormat="false" ht="15" hidden="false" customHeight="false" outlineLevel="0" collapsed="false">
      <c r="A1646" s="19"/>
      <c r="B1646" s="19"/>
      <c r="C1646" s="19"/>
      <c r="D1646" s="19"/>
      <c r="E1646" s="22"/>
      <c r="F1646" s="19"/>
      <c r="G1646" s="26" t="str">
        <f aca="false">IF(D1646="","",IFERROR(VALUE(LEFT(D1646,FIND(" |",D1646&amp;" |")-1)),"?"))</f>
        <v/>
      </c>
      <c r="H1646" s="27" t="str">
        <f aca="false">IF(G1646="","",IF(G1646="?","⚠ pub inconnue",IFERROR(INDEX(Pubs!$B$2:$B$3001,MATCH(G1646,Pubs!$A$2:$A$3001,0))&amp;"","⚠ pub inconnue")))</f>
        <v/>
      </c>
      <c r="I1646" s="27" t="str">
        <f aca="false">IF(OR(G1646="",G1646="?"),"",IFERROR(INDEX(Pubs!$C$2:$C$3001,MATCH(G1646,Pubs!$A$2:$A$3001,0))&amp;"",""))</f>
        <v/>
      </c>
      <c r="J1646" s="27" t="str">
        <f aca="false">IF(OR(G1646="",G1646="?"),"",IFERROR(INDEX(Pubs!$G$2:$G$3001,MATCH(G1646,Pubs!$A$2:$A$3001,0))&amp;"",""))</f>
        <v/>
      </c>
      <c r="K1646" s="28" t="str">
        <f aca="false">IF(OR(G1646="",G1646="?"),"",IFERROR(INDEX(Pubs!$E$2:$E$3001,MATCH(G1646,Pubs!$A$2:$A$3001,0)),""))</f>
        <v/>
      </c>
      <c r="L1646" s="29" t="str">
        <f aca="false">IF(A1646="","",IFERROR(1/(1/INDEX(Numéros!$C$2:$C$3001,MATCH(A1646&amp;"|"&amp;B1646,Numéros!$F$2:$F$3001,0))),""))</f>
        <v/>
      </c>
      <c r="M1646" s="27" t="str">
        <f aca="false">IF(OR(G1646="",G1646="?"),"",IFERROR(INDEX(Pubs!$D$2:$D$3001,MATCH(G1646,Pubs!$A$2:$A$3001,0))&amp;"",""))</f>
        <v/>
      </c>
      <c r="N1646" s="27" t="n">
        <f aca="false">N(N1645)+IF(AND(A1646&lt;&gt;"",OR(Recherche!$C$4="",A1646=Recherche!$C$4),OR(Recherche!$C$5="",B1646&amp;""=Recherche!$C$5&amp;""),OR(Recherche!$C$6="",IFERROR(YEAR(L1646),0)=Recherche!$C$6),OR(Recherche!$C$7="",ISNUMBER(SEARCH(Recherche!$C$7,H1646))),OR(Recherche!$C$8="",J1646=Recherche!$C$8),OR(Recherche!$C$9="",I1646=Recherche!$C$9),OR(Recherche!$C$10="",G1646&amp;""=Recherche!$C$10&amp;""),OR(Recherche!$C$11="",E1646=Recherche!$C$11),OR(Recherche!$C$12="",ISNUMBER(SEARCH(Recherche!$C$12,M1646&amp;" "&amp;F1646)))),1,0)</f>
        <v>8</v>
      </c>
    </row>
    <row r="1647" customFormat="false" ht="15" hidden="false" customHeight="false" outlineLevel="0" collapsed="false">
      <c r="A1647" s="19"/>
      <c r="B1647" s="19"/>
      <c r="C1647" s="19"/>
      <c r="D1647" s="19"/>
      <c r="E1647" s="22"/>
      <c r="F1647" s="19"/>
      <c r="G1647" s="26" t="str">
        <f aca="false">IF(D1647="","",IFERROR(VALUE(LEFT(D1647,FIND(" |",D1647&amp;" |")-1)),"?"))</f>
        <v/>
      </c>
      <c r="H1647" s="27" t="str">
        <f aca="false">IF(G1647="","",IF(G1647="?","⚠ pub inconnue",IFERROR(INDEX(Pubs!$B$2:$B$3001,MATCH(G1647,Pubs!$A$2:$A$3001,0))&amp;"","⚠ pub inconnue")))</f>
        <v/>
      </c>
      <c r="I1647" s="27" t="str">
        <f aca="false">IF(OR(G1647="",G1647="?"),"",IFERROR(INDEX(Pubs!$C$2:$C$3001,MATCH(G1647,Pubs!$A$2:$A$3001,0))&amp;"",""))</f>
        <v/>
      </c>
      <c r="J1647" s="27" t="str">
        <f aca="false">IF(OR(G1647="",G1647="?"),"",IFERROR(INDEX(Pubs!$G$2:$G$3001,MATCH(G1647,Pubs!$A$2:$A$3001,0))&amp;"",""))</f>
        <v/>
      </c>
      <c r="K1647" s="28" t="str">
        <f aca="false">IF(OR(G1647="",G1647="?"),"",IFERROR(INDEX(Pubs!$E$2:$E$3001,MATCH(G1647,Pubs!$A$2:$A$3001,0)),""))</f>
        <v/>
      </c>
      <c r="L1647" s="29" t="str">
        <f aca="false">IF(A1647="","",IFERROR(1/(1/INDEX(Numéros!$C$2:$C$3001,MATCH(A1647&amp;"|"&amp;B1647,Numéros!$F$2:$F$3001,0))),""))</f>
        <v/>
      </c>
      <c r="M1647" s="27" t="str">
        <f aca="false">IF(OR(G1647="",G1647="?"),"",IFERROR(INDEX(Pubs!$D$2:$D$3001,MATCH(G1647,Pubs!$A$2:$A$3001,0))&amp;"",""))</f>
        <v/>
      </c>
      <c r="N1647" s="27" t="n">
        <f aca="false">N(N1646)+IF(AND(A1647&lt;&gt;"",OR(Recherche!$C$4="",A1647=Recherche!$C$4),OR(Recherche!$C$5="",B1647&amp;""=Recherche!$C$5&amp;""),OR(Recherche!$C$6="",IFERROR(YEAR(L1647),0)=Recherche!$C$6),OR(Recherche!$C$7="",ISNUMBER(SEARCH(Recherche!$C$7,H1647))),OR(Recherche!$C$8="",J1647=Recherche!$C$8),OR(Recherche!$C$9="",I1647=Recherche!$C$9),OR(Recherche!$C$10="",G1647&amp;""=Recherche!$C$10&amp;""),OR(Recherche!$C$11="",E1647=Recherche!$C$11),OR(Recherche!$C$12="",ISNUMBER(SEARCH(Recherche!$C$12,M1647&amp;" "&amp;F1647)))),1,0)</f>
        <v>8</v>
      </c>
    </row>
    <row r="1648" customFormat="false" ht="15" hidden="false" customHeight="false" outlineLevel="0" collapsed="false">
      <c r="A1648" s="19"/>
      <c r="B1648" s="19"/>
      <c r="C1648" s="19"/>
      <c r="D1648" s="19"/>
      <c r="E1648" s="22"/>
      <c r="F1648" s="19"/>
      <c r="G1648" s="26" t="str">
        <f aca="false">IF(D1648="","",IFERROR(VALUE(LEFT(D1648,FIND(" |",D1648&amp;" |")-1)),"?"))</f>
        <v/>
      </c>
      <c r="H1648" s="27" t="str">
        <f aca="false">IF(G1648="","",IF(G1648="?","⚠ pub inconnue",IFERROR(INDEX(Pubs!$B$2:$B$3001,MATCH(G1648,Pubs!$A$2:$A$3001,0))&amp;"","⚠ pub inconnue")))</f>
        <v/>
      </c>
      <c r="I1648" s="27" t="str">
        <f aca="false">IF(OR(G1648="",G1648="?"),"",IFERROR(INDEX(Pubs!$C$2:$C$3001,MATCH(G1648,Pubs!$A$2:$A$3001,0))&amp;"",""))</f>
        <v/>
      </c>
      <c r="J1648" s="27" t="str">
        <f aca="false">IF(OR(G1648="",G1648="?"),"",IFERROR(INDEX(Pubs!$G$2:$G$3001,MATCH(G1648,Pubs!$A$2:$A$3001,0))&amp;"",""))</f>
        <v/>
      </c>
      <c r="K1648" s="28" t="str">
        <f aca="false">IF(OR(G1648="",G1648="?"),"",IFERROR(INDEX(Pubs!$E$2:$E$3001,MATCH(G1648,Pubs!$A$2:$A$3001,0)),""))</f>
        <v/>
      </c>
      <c r="L1648" s="29" t="str">
        <f aca="false">IF(A1648="","",IFERROR(1/(1/INDEX(Numéros!$C$2:$C$3001,MATCH(A1648&amp;"|"&amp;B1648,Numéros!$F$2:$F$3001,0))),""))</f>
        <v/>
      </c>
      <c r="M1648" s="27" t="str">
        <f aca="false">IF(OR(G1648="",G1648="?"),"",IFERROR(INDEX(Pubs!$D$2:$D$3001,MATCH(G1648,Pubs!$A$2:$A$3001,0))&amp;"",""))</f>
        <v/>
      </c>
      <c r="N1648" s="27" t="n">
        <f aca="false">N(N1647)+IF(AND(A1648&lt;&gt;"",OR(Recherche!$C$4="",A1648=Recherche!$C$4),OR(Recherche!$C$5="",B1648&amp;""=Recherche!$C$5&amp;""),OR(Recherche!$C$6="",IFERROR(YEAR(L1648),0)=Recherche!$C$6),OR(Recherche!$C$7="",ISNUMBER(SEARCH(Recherche!$C$7,H1648))),OR(Recherche!$C$8="",J1648=Recherche!$C$8),OR(Recherche!$C$9="",I1648=Recherche!$C$9),OR(Recherche!$C$10="",G1648&amp;""=Recherche!$C$10&amp;""),OR(Recherche!$C$11="",E1648=Recherche!$C$11),OR(Recherche!$C$12="",ISNUMBER(SEARCH(Recherche!$C$12,M1648&amp;" "&amp;F1648)))),1,0)</f>
        <v>8</v>
      </c>
    </row>
    <row r="1649" customFormat="false" ht="15" hidden="false" customHeight="false" outlineLevel="0" collapsed="false">
      <c r="A1649" s="19"/>
      <c r="B1649" s="19"/>
      <c r="C1649" s="19"/>
      <c r="D1649" s="19"/>
      <c r="E1649" s="22"/>
      <c r="F1649" s="19"/>
      <c r="G1649" s="26" t="str">
        <f aca="false">IF(D1649="","",IFERROR(VALUE(LEFT(D1649,FIND(" |",D1649&amp;" |")-1)),"?"))</f>
        <v/>
      </c>
      <c r="H1649" s="27" t="str">
        <f aca="false">IF(G1649="","",IF(G1649="?","⚠ pub inconnue",IFERROR(INDEX(Pubs!$B$2:$B$3001,MATCH(G1649,Pubs!$A$2:$A$3001,0))&amp;"","⚠ pub inconnue")))</f>
        <v/>
      </c>
      <c r="I1649" s="27" t="str">
        <f aca="false">IF(OR(G1649="",G1649="?"),"",IFERROR(INDEX(Pubs!$C$2:$C$3001,MATCH(G1649,Pubs!$A$2:$A$3001,0))&amp;"",""))</f>
        <v/>
      </c>
      <c r="J1649" s="27" t="str">
        <f aca="false">IF(OR(G1649="",G1649="?"),"",IFERROR(INDEX(Pubs!$G$2:$G$3001,MATCH(G1649,Pubs!$A$2:$A$3001,0))&amp;"",""))</f>
        <v/>
      </c>
      <c r="K1649" s="28" t="str">
        <f aca="false">IF(OR(G1649="",G1649="?"),"",IFERROR(INDEX(Pubs!$E$2:$E$3001,MATCH(G1649,Pubs!$A$2:$A$3001,0)),""))</f>
        <v/>
      </c>
      <c r="L1649" s="29" t="str">
        <f aca="false">IF(A1649="","",IFERROR(1/(1/INDEX(Numéros!$C$2:$C$3001,MATCH(A1649&amp;"|"&amp;B1649,Numéros!$F$2:$F$3001,0))),""))</f>
        <v/>
      </c>
      <c r="M1649" s="27" t="str">
        <f aca="false">IF(OR(G1649="",G1649="?"),"",IFERROR(INDEX(Pubs!$D$2:$D$3001,MATCH(G1649,Pubs!$A$2:$A$3001,0))&amp;"",""))</f>
        <v/>
      </c>
      <c r="N1649" s="27" t="n">
        <f aca="false">N(N1648)+IF(AND(A1649&lt;&gt;"",OR(Recherche!$C$4="",A1649=Recherche!$C$4),OR(Recherche!$C$5="",B1649&amp;""=Recherche!$C$5&amp;""),OR(Recherche!$C$6="",IFERROR(YEAR(L1649),0)=Recherche!$C$6),OR(Recherche!$C$7="",ISNUMBER(SEARCH(Recherche!$C$7,H1649))),OR(Recherche!$C$8="",J1649=Recherche!$C$8),OR(Recherche!$C$9="",I1649=Recherche!$C$9),OR(Recherche!$C$10="",G1649&amp;""=Recherche!$C$10&amp;""),OR(Recherche!$C$11="",E1649=Recherche!$C$11),OR(Recherche!$C$12="",ISNUMBER(SEARCH(Recherche!$C$12,M1649&amp;" "&amp;F1649)))),1,0)</f>
        <v>8</v>
      </c>
    </row>
    <row r="1650" customFormat="false" ht="15" hidden="false" customHeight="false" outlineLevel="0" collapsed="false">
      <c r="A1650" s="19"/>
      <c r="B1650" s="19"/>
      <c r="C1650" s="19"/>
      <c r="D1650" s="19"/>
      <c r="E1650" s="22"/>
      <c r="F1650" s="19"/>
      <c r="G1650" s="26" t="str">
        <f aca="false">IF(D1650="","",IFERROR(VALUE(LEFT(D1650,FIND(" |",D1650&amp;" |")-1)),"?"))</f>
        <v/>
      </c>
      <c r="H1650" s="27" t="str">
        <f aca="false">IF(G1650="","",IF(G1650="?","⚠ pub inconnue",IFERROR(INDEX(Pubs!$B$2:$B$3001,MATCH(G1650,Pubs!$A$2:$A$3001,0))&amp;"","⚠ pub inconnue")))</f>
        <v/>
      </c>
      <c r="I1650" s="27" t="str">
        <f aca="false">IF(OR(G1650="",G1650="?"),"",IFERROR(INDEX(Pubs!$C$2:$C$3001,MATCH(G1650,Pubs!$A$2:$A$3001,0))&amp;"",""))</f>
        <v/>
      </c>
      <c r="J1650" s="27" t="str">
        <f aca="false">IF(OR(G1650="",G1650="?"),"",IFERROR(INDEX(Pubs!$G$2:$G$3001,MATCH(G1650,Pubs!$A$2:$A$3001,0))&amp;"",""))</f>
        <v/>
      </c>
      <c r="K1650" s="28" t="str">
        <f aca="false">IF(OR(G1650="",G1650="?"),"",IFERROR(INDEX(Pubs!$E$2:$E$3001,MATCH(G1650,Pubs!$A$2:$A$3001,0)),""))</f>
        <v/>
      </c>
      <c r="L1650" s="29" t="str">
        <f aca="false">IF(A1650="","",IFERROR(1/(1/INDEX(Numéros!$C$2:$C$3001,MATCH(A1650&amp;"|"&amp;B1650,Numéros!$F$2:$F$3001,0))),""))</f>
        <v/>
      </c>
      <c r="M1650" s="27" t="str">
        <f aca="false">IF(OR(G1650="",G1650="?"),"",IFERROR(INDEX(Pubs!$D$2:$D$3001,MATCH(G1650,Pubs!$A$2:$A$3001,0))&amp;"",""))</f>
        <v/>
      </c>
      <c r="N1650" s="27" t="n">
        <f aca="false">N(N1649)+IF(AND(A1650&lt;&gt;"",OR(Recherche!$C$4="",A1650=Recherche!$C$4),OR(Recherche!$C$5="",B1650&amp;""=Recherche!$C$5&amp;""),OR(Recherche!$C$6="",IFERROR(YEAR(L1650),0)=Recherche!$C$6),OR(Recherche!$C$7="",ISNUMBER(SEARCH(Recherche!$C$7,H1650))),OR(Recherche!$C$8="",J1650=Recherche!$C$8),OR(Recherche!$C$9="",I1650=Recherche!$C$9),OR(Recherche!$C$10="",G1650&amp;""=Recherche!$C$10&amp;""),OR(Recherche!$C$11="",E1650=Recherche!$C$11),OR(Recherche!$C$12="",ISNUMBER(SEARCH(Recherche!$C$12,M1650&amp;" "&amp;F1650)))),1,0)</f>
        <v>8</v>
      </c>
    </row>
    <row r="1651" customFormat="false" ht="15" hidden="false" customHeight="false" outlineLevel="0" collapsed="false">
      <c r="A1651" s="19"/>
      <c r="B1651" s="19"/>
      <c r="C1651" s="19"/>
      <c r="D1651" s="19"/>
      <c r="E1651" s="22"/>
      <c r="F1651" s="19"/>
      <c r="G1651" s="26" t="str">
        <f aca="false">IF(D1651="","",IFERROR(VALUE(LEFT(D1651,FIND(" |",D1651&amp;" |")-1)),"?"))</f>
        <v/>
      </c>
      <c r="H1651" s="27" t="str">
        <f aca="false">IF(G1651="","",IF(G1651="?","⚠ pub inconnue",IFERROR(INDEX(Pubs!$B$2:$B$3001,MATCH(G1651,Pubs!$A$2:$A$3001,0))&amp;"","⚠ pub inconnue")))</f>
        <v/>
      </c>
      <c r="I1651" s="27" t="str">
        <f aca="false">IF(OR(G1651="",G1651="?"),"",IFERROR(INDEX(Pubs!$C$2:$C$3001,MATCH(G1651,Pubs!$A$2:$A$3001,0))&amp;"",""))</f>
        <v/>
      </c>
      <c r="J1651" s="27" t="str">
        <f aca="false">IF(OR(G1651="",G1651="?"),"",IFERROR(INDEX(Pubs!$G$2:$G$3001,MATCH(G1651,Pubs!$A$2:$A$3001,0))&amp;"",""))</f>
        <v/>
      </c>
      <c r="K1651" s="28" t="str">
        <f aca="false">IF(OR(G1651="",G1651="?"),"",IFERROR(INDEX(Pubs!$E$2:$E$3001,MATCH(G1651,Pubs!$A$2:$A$3001,0)),""))</f>
        <v/>
      </c>
      <c r="L1651" s="29" t="str">
        <f aca="false">IF(A1651="","",IFERROR(1/(1/INDEX(Numéros!$C$2:$C$3001,MATCH(A1651&amp;"|"&amp;B1651,Numéros!$F$2:$F$3001,0))),""))</f>
        <v/>
      </c>
      <c r="M1651" s="27" t="str">
        <f aca="false">IF(OR(G1651="",G1651="?"),"",IFERROR(INDEX(Pubs!$D$2:$D$3001,MATCH(G1651,Pubs!$A$2:$A$3001,0))&amp;"",""))</f>
        <v/>
      </c>
      <c r="N1651" s="27" t="n">
        <f aca="false">N(N1650)+IF(AND(A1651&lt;&gt;"",OR(Recherche!$C$4="",A1651=Recherche!$C$4),OR(Recherche!$C$5="",B1651&amp;""=Recherche!$C$5&amp;""),OR(Recherche!$C$6="",IFERROR(YEAR(L1651),0)=Recherche!$C$6),OR(Recherche!$C$7="",ISNUMBER(SEARCH(Recherche!$C$7,H1651))),OR(Recherche!$C$8="",J1651=Recherche!$C$8),OR(Recherche!$C$9="",I1651=Recherche!$C$9),OR(Recherche!$C$10="",G1651&amp;""=Recherche!$C$10&amp;""),OR(Recherche!$C$11="",E1651=Recherche!$C$11),OR(Recherche!$C$12="",ISNUMBER(SEARCH(Recherche!$C$12,M1651&amp;" "&amp;F1651)))),1,0)</f>
        <v>8</v>
      </c>
    </row>
    <row r="1652" customFormat="false" ht="15" hidden="false" customHeight="false" outlineLevel="0" collapsed="false">
      <c r="A1652" s="19"/>
      <c r="B1652" s="19"/>
      <c r="C1652" s="19"/>
      <c r="D1652" s="19"/>
      <c r="E1652" s="22"/>
      <c r="F1652" s="19"/>
      <c r="G1652" s="26" t="str">
        <f aca="false">IF(D1652="","",IFERROR(VALUE(LEFT(D1652,FIND(" |",D1652&amp;" |")-1)),"?"))</f>
        <v/>
      </c>
      <c r="H1652" s="27" t="str">
        <f aca="false">IF(G1652="","",IF(G1652="?","⚠ pub inconnue",IFERROR(INDEX(Pubs!$B$2:$B$3001,MATCH(G1652,Pubs!$A$2:$A$3001,0))&amp;"","⚠ pub inconnue")))</f>
        <v/>
      </c>
      <c r="I1652" s="27" t="str">
        <f aca="false">IF(OR(G1652="",G1652="?"),"",IFERROR(INDEX(Pubs!$C$2:$C$3001,MATCH(G1652,Pubs!$A$2:$A$3001,0))&amp;"",""))</f>
        <v/>
      </c>
      <c r="J1652" s="27" t="str">
        <f aca="false">IF(OR(G1652="",G1652="?"),"",IFERROR(INDEX(Pubs!$G$2:$G$3001,MATCH(G1652,Pubs!$A$2:$A$3001,0))&amp;"",""))</f>
        <v/>
      </c>
      <c r="K1652" s="28" t="str">
        <f aca="false">IF(OR(G1652="",G1652="?"),"",IFERROR(INDEX(Pubs!$E$2:$E$3001,MATCH(G1652,Pubs!$A$2:$A$3001,0)),""))</f>
        <v/>
      </c>
      <c r="L1652" s="29" t="str">
        <f aca="false">IF(A1652="","",IFERROR(1/(1/INDEX(Numéros!$C$2:$C$3001,MATCH(A1652&amp;"|"&amp;B1652,Numéros!$F$2:$F$3001,0))),""))</f>
        <v/>
      </c>
      <c r="M1652" s="27" t="str">
        <f aca="false">IF(OR(G1652="",G1652="?"),"",IFERROR(INDEX(Pubs!$D$2:$D$3001,MATCH(G1652,Pubs!$A$2:$A$3001,0))&amp;"",""))</f>
        <v/>
      </c>
      <c r="N1652" s="27" t="n">
        <f aca="false">N(N1651)+IF(AND(A1652&lt;&gt;"",OR(Recherche!$C$4="",A1652=Recherche!$C$4),OR(Recherche!$C$5="",B1652&amp;""=Recherche!$C$5&amp;""),OR(Recherche!$C$6="",IFERROR(YEAR(L1652),0)=Recherche!$C$6),OR(Recherche!$C$7="",ISNUMBER(SEARCH(Recherche!$C$7,H1652))),OR(Recherche!$C$8="",J1652=Recherche!$C$8),OR(Recherche!$C$9="",I1652=Recherche!$C$9),OR(Recherche!$C$10="",G1652&amp;""=Recherche!$C$10&amp;""),OR(Recherche!$C$11="",E1652=Recherche!$C$11),OR(Recherche!$C$12="",ISNUMBER(SEARCH(Recherche!$C$12,M1652&amp;" "&amp;F1652)))),1,0)</f>
        <v>8</v>
      </c>
    </row>
    <row r="1653" customFormat="false" ht="15" hidden="false" customHeight="false" outlineLevel="0" collapsed="false">
      <c r="A1653" s="19"/>
      <c r="B1653" s="19"/>
      <c r="C1653" s="19"/>
      <c r="D1653" s="19"/>
      <c r="E1653" s="22"/>
      <c r="F1653" s="19"/>
      <c r="G1653" s="26" t="str">
        <f aca="false">IF(D1653="","",IFERROR(VALUE(LEFT(D1653,FIND(" |",D1653&amp;" |")-1)),"?"))</f>
        <v/>
      </c>
      <c r="H1653" s="27" t="str">
        <f aca="false">IF(G1653="","",IF(G1653="?","⚠ pub inconnue",IFERROR(INDEX(Pubs!$B$2:$B$3001,MATCH(G1653,Pubs!$A$2:$A$3001,0))&amp;"","⚠ pub inconnue")))</f>
        <v/>
      </c>
      <c r="I1653" s="27" t="str">
        <f aca="false">IF(OR(G1653="",G1653="?"),"",IFERROR(INDEX(Pubs!$C$2:$C$3001,MATCH(G1653,Pubs!$A$2:$A$3001,0))&amp;"",""))</f>
        <v/>
      </c>
      <c r="J1653" s="27" t="str">
        <f aca="false">IF(OR(G1653="",G1653="?"),"",IFERROR(INDEX(Pubs!$G$2:$G$3001,MATCH(G1653,Pubs!$A$2:$A$3001,0))&amp;"",""))</f>
        <v/>
      </c>
      <c r="K1653" s="28" t="str">
        <f aca="false">IF(OR(G1653="",G1653="?"),"",IFERROR(INDEX(Pubs!$E$2:$E$3001,MATCH(G1653,Pubs!$A$2:$A$3001,0)),""))</f>
        <v/>
      </c>
      <c r="L1653" s="29" t="str">
        <f aca="false">IF(A1653="","",IFERROR(1/(1/INDEX(Numéros!$C$2:$C$3001,MATCH(A1653&amp;"|"&amp;B1653,Numéros!$F$2:$F$3001,0))),""))</f>
        <v/>
      </c>
      <c r="M1653" s="27" t="str">
        <f aca="false">IF(OR(G1653="",G1653="?"),"",IFERROR(INDEX(Pubs!$D$2:$D$3001,MATCH(G1653,Pubs!$A$2:$A$3001,0))&amp;"",""))</f>
        <v/>
      </c>
      <c r="N1653" s="27" t="n">
        <f aca="false">N(N1652)+IF(AND(A1653&lt;&gt;"",OR(Recherche!$C$4="",A1653=Recherche!$C$4),OR(Recherche!$C$5="",B1653&amp;""=Recherche!$C$5&amp;""),OR(Recherche!$C$6="",IFERROR(YEAR(L1653),0)=Recherche!$C$6),OR(Recherche!$C$7="",ISNUMBER(SEARCH(Recherche!$C$7,H1653))),OR(Recherche!$C$8="",J1653=Recherche!$C$8),OR(Recherche!$C$9="",I1653=Recherche!$C$9),OR(Recherche!$C$10="",G1653&amp;""=Recherche!$C$10&amp;""),OR(Recherche!$C$11="",E1653=Recherche!$C$11),OR(Recherche!$C$12="",ISNUMBER(SEARCH(Recherche!$C$12,M1653&amp;" "&amp;F1653)))),1,0)</f>
        <v>8</v>
      </c>
    </row>
    <row r="1654" customFormat="false" ht="15" hidden="false" customHeight="false" outlineLevel="0" collapsed="false">
      <c r="A1654" s="19"/>
      <c r="B1654" s="19"/>
      <c r="C1654" s="19"/>
      <c r="D1654" s="19"/>
      <c r="E1654" s="22"/>
      <c r="F1654" s="19"/>
      <c r="G1654" s="26" t="str">
        <f aca="false">IF(D1654="","",IFERROR(VALUE(LEFT(D1654,FIND(" |",D1654&amp;" |")-1)),"?"))</f>
        <v/>
      </c>
      <c r="H1654" s="27" t="str">
        <f aca="false">IF(G1654="","",IF(G1654="?","⚠ pub inconnue",IFERROR(INDEX(Pubs!$B$2:$B$3001,MATCH(G1654,Pubs!$A$2:$A$3001,0))&amp;"","⚠ pub inconnue")))</f>
        <v/>
      </c>
      <c r="I1654" s="27" t="str">
        <f aca="false">IF(OR(G1654="",G1654="?"),"",IFERROR(INDEX(Pubs!$C$2:$C$3001,MATCH(G1654,Pubs!$A$2:$A$3001,0))&amp;"",""))</f>
        <v/>
      </c>
      <c r="J1654" s="27" t="str">
        <f aca="false">IF(OR(G1654="",G1654="?"),"",IFERROR(INDEX(Pubs!$G$2:$G$3001,MATCH(G1654,Pubs!$A$2:$A$3001,0))&amp;"",""))</f>
        <v/>
      </c>
      <c r="K1654" s="28" t="str">
        <f aca="false">IF(OR(G1654="",G1654="?"),"",IFERROR(INDEX(Pubs!$E$2:$E$3001,MATCH(G1654,Pubs!$A$2:$A$3001,0)),""))</f>
        <v/>
      </c>
      <c r="L1654" s="29" t="str">
        <f aca="false">IF(A1654="","",IFERROR(1/(1/INDEX(Numéros!$C$2:$C$3001,MATCH(A1654&amp;"|"&amp;B1654,Numéros!$F$2:$F$3001,0))),""))</f>
        <v/>
      </c>
      <c r="M1654" s="27" t="str">
        <f aca="false">IF(OR(G1654="",G1654="?"),"",IFERROR(INDEX(Pubs!$D$2:$D$3001,MATCH(G1654,Pubs!$A$2:$A$3001,0))&amp;"",""))</f>
        <v/>
      </c>
      <c r="N1654" s="27" t="n">
        <f aca="false">N(N1653)+IF(AND(A1654&lt;&gt;"",OR(Recherche!$C$4="",A1654=Recherche!$C$4),OR(Recherche!$C$5="",B1654&amp;""=Recherche!$C$5&amp;""),OR(Recherche!$C$6="",IFERROR(YEAR(L1654),0)=Recherche!$C$6),OR(Recherche!$C$7="",ISNUMBER(SEARCH(Recherche!$C$7,H1654))),OR(Recherche!$C$8="",J1654=Recherche!$C$8),OR(Recherche!$C$9="",I1654=Recherche!$C$9),OR(Recherche!$C$10="",G1654&amp;""=Recherche!$C$10&amp;""),OR(Recherche!$C$11="",E1654=Recherche!$C$11),OR(Recherche!$C$12="",ISNUMBER(SEARCH(Recherche!$C$12,M1654&amp;" "&amp;F1654)))),1,0)</f>
        <v>8</v>
      </c>
    </row>
    <row r="1655" customFormat="false" ht="15" hidden="false" customHeight="false" outlineLevel="0" collapsed="false">
      <c r="A1655" s="19"/>
      <c r="B1655" s="19"/>
      <c r="C1655" s="19"/>
      <c r="D1655" s="19"/>
      <c r="E1655" s="22"/>
      <c r="F1655" s="19"/>
      <c r="G1655" s="26" t="str">
        <f aca="false">IF(D1655="","",IFERROR(VALUE(LEFT(D1655,FIND(" |",D1655&amp;" |")-1)),"?"))</f>
        <v/>
      </c>
      <c r="H1655" s="27" t="str">
        <f aca="false">IF(G1655="","",IF(G1655="?","⚠ pub inconnue",IFERROR(INDEX(Pubs!$B$2:$B$3001,MATCH(G1655,Pubs!$A$2:$A$3001,0))&amp;"","⚠ pub inconnue")))</f>
        <v/>
      </c>
      <c r="I1655" s="27" t="str">
        <f aca="false">IF(OR(G1655="",G1655="?"),"",IFERROR(INDEX(Pubs!$C$2:$C$3001,MATCH(G1655,Pubs!$A$2:$A$3001,0))&amp;"",""))</f>
        <v/>
      </c>
      <c r="J1655" s="27" t="str">
        <f aca="false">IF(OR(G1655="",G1655="?"),"",IFERROR(INDEX(Pubs!$G$2:$G$3001,MATCH(G1655,Pubs!$A$2:$A$3001,0))&amp;"",""))</f>
        <v/>
      </c>
      <c r="K1655" s="28" t="str">
        <f aca="false">IF(OR(G1655="",G1655="?"),"",IFERROR(INDEX(Pubs!$E$2:$E$3001,MATCH(G1655,Pubs!$A$2:$A$3001,0)),""))</f>
        <v/>
      </c>
      <c r="L1655" s="29" t="str">
        <f aca="false">IF(A1655="","",IFERROR(1/(1/INDEX(Numéros!$C$2:$C$3001,MATCH(A1655&amp;"|"&amp;B1655,Numéros!$F$2:$F$3001,0))),""))</f>
        <v/>
      </c>
      <c r="M1655" s="27" t="str">
        <f aca="false">IF(OR(G1655="",G1655="?"),"",IFERROR(INDEX(Pubs!$D$2:$D$3001,MATCH(G1655,Pubs!$A$2:$A$3001,0))&amp;"",""))</f>
        <v/>
      </c>
      <c r="N1655" s="27" t="n">
        <f aca="false">N(N1654)+IF(AND(A1655&lt;&gt;"",OR(Recherche!$C$4="",A1655=Recherche!$C$4),OR(Recherche!$C$5="",B1655&amp;""=Recherche!$C$5&amp;""),OR(Recherche!$C$6="",IFERROR(YEAR(L1655),0)=Recherche!$C$6),OR(Recherche!$C$7="",ISNUMBER(SEARCH(Recherche!$C$7,H1655))),OR(Recherche!$C$8="",J1655=Recherche!$C$8),OR(Recherche!$C$9="",I1655=Recherche!$C$9),OR(Recherche!$C$10="",G1655&amp;""=Recherche!$C$10&amp;""),OR(Recherche!$C$11="",E1655=Recherche!$C$11),OR(Recherche!$C$12="",ISNUMBER(SEARCH(Recherche!$C$12,M1655&amp;" "&amp;F1655)))),1,0)</f>
        <v>8</v>
      </c>
    </row>
    <row r="1656" customFormat="false" ht="15" hidden="false" customHeight="false" outlineLevel="0" collapsed="false">
      <c r="A1656" s="19"/>
      <c r="B1656" s="19"/>
      <c r="C1656" s="19"/>
      <c r="D1656" s="19"/>
      <c r="E1656" s="22"/>
      <c r="F1656" s="19"/>
      <c r="G1656" s="26" t="str">
        <f aca="false">IF(D1656="","",IFERROR(VALUE(LEFT(D1656,FIND(" |",D1656&amp;" |")-1)),"?"))</f>
        <v/>
      </c>
      <c r="H1656" s="27" t="str">
        <f aca="false">IF(G1656="","",IF(G1656="?","⚠ pub inconnue",IFERROR(INDEX(Pubs!$B$2:$B$3001,MATCH(G1656,Pubs!$A$2:$A$3001,0))&amp;"","⚠ pub inconnue")))</f>
        <v/>
      </c>
      <c r="I1656" s="27" t="str">
        <f aca="false">IF(OR(G1656="",G1656="?"),"",IFERROR(INDEX(Pubs!$C$2:$C$3001,MATCH(G1656,Pubs!$A$2:$A$3001,0))&amp;"",""))</f>
        <v/>
      </c>
      <c r="J1656" s="27" t="str">
        <f aca="false">IF(OR(G1656="",G1656="?"),"",IFERROR(INDEX(Pubs!$G$2:$G$3001,MATCH(G1656,Pubs!$A$2:$A$3001,0))&amp;"",""))</f>
        <v/>
      </c>
      <c r="K1656" s="28" t="str">
        <f aca="false">IF(OR(G1656="",G1656="?"),"",IFERROR(INDEX(Pubs!$E$2:$E$3001,MATCH(G1656,Pubs!$A$2:$A$3001,0)),""))</f>
        <v/>
      </c>
      <c r="L1656" s="29" t="str">
        <f aca="false">IF(A1656="","",IFERROR(1/(1/INDEX(Numéros!$C$2:$C$3001,MATCH(A1656&amp;"|"&amp;B1656,Numéros!$F$2:$F$3001,0))),""))</f>
        <v/>
      </c>
      <c r="M1656" s="27" t="str">
        <f aca="false">IF(OR(G1656="",G1656="?"),"",IFERROR(INDEX(Pubs!$D$2:$D$3001,MATCH(G1656,Pubs!$A$2:$A$3001,0))&amp;"",""))</f>
        <v/>
      </c>
      <c r="N1656" s="27" t="n">
        <f aca="false">N(N1655)+IF(AND(A1656&lt;&gt;"",OR(Recherche!$C$4="",A1656=Recherche!$C$4),OR(Recherche!$C$5="",B1656&amp;""=Recherche!$C$5&amp;""),OR(Recherche!$C$6="",IFERROR(YEAR(L1656),0)=Recherche!$C$6),OR(Recherche!$C$7="",ISNUMBER(SEARCH(Recherche!$C$7,H1656))),OR(Recherche!$C$8="",J1656=Recherche!$C$8),OR(Recherche!$C$9="",I1656=Recherche!$C$9),OR(Recherche!$C$10="",G1656&amp;""=Recherche!$C$10&amp;""),OR(Recherche!$C$11="",E1656=Recherche!$C$11),OR(Recherche!$C$12="",ISNUMBER(SEARCH(Recherche!$C$12,M1656&amp;" "&amp;F1656)))),1,0)</f>
        <v>8</v>
      </c>
    </row>
    <row r="1657" customFormat="false" ht="15" hidden="false" customHeight="false" outlineLevel="0" collapsed="false">
      <c r="A1657" s="19"/>
      <c r="B1657" s="19"/>
      <c r="C1657" s="19"/>
      <c r="D1657" s="19"/>
      <c r="E1657" s="22"/>
      <c r="F1657" s="19"/>
      <c r="G1657" s="26" t="str">
        <f aca="false">IF(D1657="","",IFERROR(VALUE(LEFT(D1657,FIND(" |",D1657&amp;" |")-1)),"?"))</f>
        <v/>
      </c>
      <c r="H1657" s="27" t="str">
        <f aca="false">IF(G1657="","",IF(G1657="?","⚠ pub inconnue",IFERROR(INDEX(Pubs!$B$2:$B$3001,MATCH(G1657,Pubs!$A$2:$A$3001,0))&amp;"","⚠ pub inconnue")))</f>
        <v/>
      </c>
      <c r="I1657" s="27" t="str">
        <f aca="false">IF(OR(G1657="",G1657="?"),"",IFERROR(INDEX(Pubs!$C$2:$C$3001,MATCH(G1657,Pubs!$A$2:$A$3001,0))&amp;"",""))</f>
        <v/>
      </c>
      <c r="J1657" s="27" t="str">
        <f aca="false">IF(OR(G1657="",G1657="?"),"",IFERROR(INDEX(Pubs!$G$2:$G$3001,MATCH(G1657,Pubs!$A$2:$A$3001,0))&amp;"",""))</f>
        <v/>
      </c>
      <c r="K1657" s="28" t="str">
        <f aca="false">IF(OR(G1657="",G1657="?"),"",IFERROR(INDEX(Pubs!$E$2:$E$3001,MATCH(G1657,Pubs!$A$2:$A$3001,0)),""))</f>
        <v/>
      </c>
      <c r="L1657" s="29" t="str">
        <f aca="false">IF(A1657="","",IFERROR(1/(1/INDEX(Numéros!$C$2:$C$3001,MATCH(A1657&amp;"|"&amp;B1657,Numéros!$F$2:$F$3001,0))),""))</f>
        <v/>
      </c>
      <c r="M1657" s="27" t="str">
        <f aca="false">IF(OR(G1657="",G1657="?"),"",IFERROR(INDEX(Pubs!$D$2:$D$3001,MATCH(G1657,Pubs!$A$2:$A$3001,0))&amp;"",""))</f>
        <v/>
      </c>
      <c r="N1657" s="27" t="n">
        <f aca="false">N(N1656)+IF(AND(A1657&lt;&gt;"",OR(Recherche!$C$4="",A1657=Recherche!$C$4),OR(Recherche!$C$5="",B1657&amp;""=Recherche!$C$5&amp;""),OR(Recherche!$C$6="",IFERROR(YEAR(L1657),0)=Recherche!$C$6),OR(Recherche!$C$7="",ISNUMBER(SEARCH(Recherche!$C$7,H1657))),OR(Recherche!$C$8="",J1657=Recherche!$C$8),OR(Recherche!$C$9="",I1657=Recherche!$C$9),OR(Recherche!$C$10="",G1657&amp;""=Recherche!$C$10&amp;""),OR(Recherche!$C$11="",E1657=Recherche!$C$11),OR(Recherche!$C$12="",ISNUMBER(SEARCH(Recherche!$C$12,M1657&amp;" "&amp;F1657)))),1,0)</f>
        <v>8</v>
      </c>
    </row>
    <row r="1658" customFormat="false" ht="15" hidden="false" customHeight="false" outlineLevel="0" collapsed="false">
      <c r="A1658" s="19"/>
      <c r="B1658" s="19"/>
      <c r="C1658" s="19"/>
      <c r="D1658" s="19"/>
      <c r="E1658" s="22"/>
      <c r="F1658" s="19"/>
      <c r="G1658" s="26" t="str">
        <f aca="false">IF(D1658="","",IFERROR(VALUE(LEFT(D1658,FIND(" |",D1658&amp;" |")-1)),"?"))</f>
        <v/>
      </c>
      <c r="H1658" s="27" t="str">
        <f aca="false">IF(G1658="","",IF(G1658="?","⚠ pub inconnue",IFERROR(INDEX(Pubs!$B$2:$B$3001,MATCH(G1658,Pubs!$A$2:$A$3001,0))&amp;"","⚠ pub inconnue")))</f>
        <v/>
      </c>
      <c r="I1658" s="27" t="str">
        <f aca="false">IF(OR(G1658="",G1658="?"),"",IFERROR(INDEX(Pubs!$C$2:$C$3001,MATCH(G1658,Pubs!$A$2:$A$3001,0))&amp;"",""))</f>
        <v/>
      </c>
      <c r="J1658" s="27" t="str">
        <f aca="false">IF(OR(G1658="",G1658="?"),"",IFERROR(INDEX(Pubs!$G$2:$G$3001,MATCH(G1658,Pubs!$A$2:$A$3001,0))&amp;"",""))</f>
        <v/>
      </c>
      <c r="K1658" s="28" t="str">
        <f aca="false">IF(OR(G1658="",G1658="?"),"",IFERROR(INDEX(Pubs!$E$2:$E$3001,MATCH(G1658,Pubs!$A$2:$A$3001,0)),""))</f>
        <v/>
      </c>
      <c r="L1658" s="29" t="str">
        <f aca="false">IF(A1658="","",IFERROR(1/(1/INDEX(Numéros!$C$2:$C$3001,MATCH(A1658&amp;"|"&amp;B1658,Numéros!$F$2:$F$3001,0))),""))</f>
        <v/>
      </c>
      <c r="M1658" s="27" t="str">
        <f aca="false">IF(OR(G1658="",G1658="?"),"",IFERROR(INDEX(Pubs!$D$2:$D$3001,MATCH(G1658,Pubs!$A$2:$A$3001,0))&amp;"",""))</f>
        <v/>
      </c>
      <c r="N1658" s="27" t="n">
        <f aca="false">N(N1657)+IF(AND(A1658&lt;&gt;"",OR(Recherche!$C$4="",A1658=Recherche!$C$4),OR(Recherche!$C$5="",B1658&amp;""=Recherche!$C$5&amp;""),OR(Recherche!$C$6="",IFERROR(YEAR(L1658),0)=Recherche!$C$6),OR(Recherche!$C$7="",ISNUMBER(SEARCH(Recherche!$C$7,H1658))),OR(Recherche!$C$8="",J1658=Recherche!$C$8),OR(Recherche!$C$9="",I1658=Recherche!$C$9),OR(Recherche!$C$10="",G1658&amp;""=Recherche!$C$10&amp;""),OR(Recherche!$C$11="",E1658=Recherche!$C$11),OR(Recherche!$C$12="",ISNUMBER(SEARCH(Recherche!$C$12,M1658&amp;" "&amp;F1658)))),1,0)</f>
        <v>8</v>
      </c>
    </row>
    <row r="1659" customFormat="false" ht="15" hidden="false" customHeight="false" outlineLevel="0" collapsed="false">
      <c r="A1659" s="19"/>
      <c r="B1659" s="19"/>
      <c r="C1659" s="19"/>
      <c r="D1659" s="19"/>
      <c r="E1659" s="22"/>
      <c r="F1659" s="19"/>
      <c r="G1659" s="26" t="str">
        <f aca="false">IF(D1659="","",IFERROR(VALUE(LEFT(D1659,FIND(" |",D1659&amp;" |")-1)),"?"))</f>
        <v/>
      </c>
      <c r="H1659" s="27" t="str">
        <f aca="false">IF(G1659="","",IF(G1659="?","⚠ pub inconnue",IFERROR(INDEX(Pubs!$B$2:$B$3001,MATCH(G1659,Pubs!$A$2:$A$3001,0))&amp;"","⚠ pub inconnue")))</f>
        <v/>
      </c>
      <c r="I1659" s="27" t="str">
        <f aca="false">IF(OR(G1659="",G1659="?"),"",IFERROR(INDEX(Pubs!$C$2:$C$3001,MATCH(G1659,Pubs!$A$2:$A$3001,0))&amp;"",""))</f>
        <v/>
      </c>
      <c r="J1659" s="27" t="str">
        <f aca="false">IF(OR(G1659="",G1659="?"),"",IFERROR(INDEX(Pubs!$G$2:$G$3001,MATCH(G1659,Pubs!$A$2:$A$3001,0))&amp;"",""))</f>
        <v/>
      </c>
      <c r="K1659" s="28" t="str">
        <f aca="false">IF(OR(G1659="",G1659="?"),"",IFERROR(INDEX(Pubs!$E$2:$E$3001,MATCH(G1659,Pubs!$A$2:$A$3001,0)),""))</f>
        <v/>
      </c>
      <c r="L1659" s="29" t="str">
        <f aca="false">IF(A1659="","",IFERROR(1/(1/INDEX(Numéros!$C$2:$C$3001,MATCH(A1659&amp;"|"&amp;B1659,Numéros!$F$2:$F$3001,0))),""))</f>
        <v/>
      </c>
      <c r="M1659" s="27" t="str">
        <f aca="false">IF(OR(G1659="",G1659="?"),"",IFERROR(INDEX(Pubs!$D$2:$D$3001,MATCH(G1659,Pubs!$A$2:$A$3001,0))&amp;"",""))</f>
        <v/>
      </c>
      <c r="N1659" s="27" t="n">
        <f aca="false">N(N1658)+IF(AND(A1659&lt;&gt;"",OR(Recherche!$C$4="",A1659=Recherche!$C$4),OR(Recherche!$C$5="",B1659&amp;""=Recherche!$C$5&amp;""),OR(Recherche!$C$6="",IFERROR(YEAR(L1659),0)=Recherche!$C$6),OR(Recherche!$C$7="",ISNUMBER(SEARCH(Recherche!$C$7,H1659))),OR(Recherche!$C$8="",J1659=Recherche!$C$8),OR(Recherche!$C$9="",I1659=Recherche!$C$9),OR(Recherche!$C$10="",G1659&amp;""=Recherche!$C$10&amp;""),OR(Recherche!$C$11="",E1659=Recherche!$C$11),OR(Recherche!$C$12="",ISNUMBER(SEARCH(Recherche!$C$12,M1659&amp;" "&amp;F1659)))),1,0)</f>
        <v>8</v>
      </c>
    </row>
    <row r="1660" customFormat="false" ht="15" hidden="false" customHeight="false" outlineLevel="0" collapsed="false">
      <c r="A1660" s="19"/>
      <c r="B1660" s="19"/>
      <c r="C1660" s="19"/>
      <c r="D1660" s="19"/>
      <c r="E1660" s="22"/>
      <c r="F1660" s="19"/>
      <c r="G1660" s="26" t="str">
        <f aca="false">IF(D1660="","",IFERROR(VALUE(LEFT(D1660,FIND(" |",D1660&amp;" |")-1)),"?"))</f>
        <v/>
      </c>
      <c r="H1660" s="27" t="str">
        <f aca="false">IF(G1660="","",IF(G1660="?","⚠ pub inconnue",IFERROR(INDEX(Pubs!$B$2:$B$3001,MATCH(G1660,Pubs!$A$2:$A$3001,0))&amp;"","⚠ pub inconnue")))</f>
        <v/>
      </c>
      <c r="I1660" s="27" t="str">
        <f aca="false">IF(OR(G1660="",G1660="?"),"",IFERROR(INDEX(Pubs!$C$2:$C$3001,MATCH(G1660,Pubs!$A$2:$A$3001,0))&amp;"",""))</f>
        <v/>
      </c>
      <c r="J1660" s="27" t="str">
        <f aca="false">IF(OR(G1660="",G1660="?"),"",IFERROR(INDEX(Pubs!$G$2:$G$3001,MATCH(G1660,Pubs!$A$2:$A$3001,0))&amp;"",""))</f>
        <v/>
      </c>
      <c r="K1660" s="28" t="str">
        <f aca="false">IF(OR(G1660="",G1660="?"),"",IFERROR(INDEX(Pubs!$E$2:$E$3001,MATCH(G1660,Pubs!$A$2:$A$3001,0)),""))</f>
        <v/>
      </c>
      <c r="L1660" s="29" t="str">
        <f aca="false">IF(A1660="","",IFERROR(1/(1/INDEX(Numéros!$C$2:$C$3001,MATCH(A1660&amp;"|"&amp;B1660,Numéros!$F$2:$F$3001,0))),""))</f>
        <v/>
      </c>
      <c r="M1660" s="27" t="str">
        <f aca="false">IF(OR(G1660="",G1660="?"),"",IFERROR(INDEX(Pubs!$D$2:$D$3001,MATCH(G1660,Pubs!$A$2:$A$3001,0))&amp;"",""))</f>
        <v/>
      </c>
      <c r="N1660" s="27" t="n">
        <f aca="false">N(N1659)+IF(AND(A1660&lt;&gt;"",OR(Recherche!$C$4="",A1660=Recherche!$C$4),OR(Recherche!$C$5="",B1660&amp;""=Recherche!$C$5&amp;""),OR(Recherche!$C$6="",IFERROR(YEAR(L1660),0)=Recherche!$C$6),OR(Recherche!$C$7="",ISNUMBER(SEARCH(Recherche!$C$7,H1660))),OR(Recherche!$C$8="",J1660=Recherche!$C$8),OR(Recherche!$C$9="",I1660=Recherche!$C$9),OR(Recherche!$C$10="",G1660&amp;""=Recherche!$C$10&amp;""),OR(Recherche!$C$11="",E1660=Recherche!$C$11),OR(Recherche!$C$12="",ISNUMBER(SEARCH(Recherche!$C$12,M1660&amp;" "&amp;F1660)))),1,0)</f>
        <v>8</v>
      </c>
    </row>
    <row r="1661" customFormat="false" ht="15" hidden="false" customHeight="false" outlineLevel="0" collapsed="false">
      <c r="A1661" s="19"/>
      <c r="B1661" s="19"/>
      <c r="C1661" s="19"/>
      <c r="D1661" s="19"/>
      <c r="E1661" s="22"/>
      <c r="F1661" s="19"/>
      <c r="G1661" s="26" t="str">
        <f aca="false">IF(D1661="","",IFERROR(VALUE(LEFT(D1661,FIND(" |",D1661&amp;" |")-1)),"?"))</f>
        <v/>
      </c>
      <c r="H1661" s="27" t="str">
        <f aca="false">IF(G1661="","",IF(G1661="?","⚠ pub inconnue",IFERROR(INDEX(Pubs!$B$2:$B$3001,MATCH(G1661,Pubs!$A$2:$A$3001,0))&amp;"","⚠ pub inconnue")))</f>
        <v/>
      </c>
      <c r="I1661" s="27" t="str">
        <f aca="false">IF(OR(G1661="",G1661="?"),"",IFERROR(INDEX(Pubs!$C$2:$C$3001,MATCH(G1661,Pubs!$A$2:$A$3001,0))&amp;"",""))</f>
        <v/>
      </c>
      <c r="J1661" s="27" t="str">
        <f aca="false">IF(OR(G1661="",G1661="?"),"",IFERROR(INDEX(Pubs!$G$2:$G$3001,MATCH(G1661,Pubs!$A$2:$A$3001,0))&amp;"",""))</f>
        <v/>
      </c>
      <c r="K1661" s="28" t="str">
        <f aca="false">IF(OR(G1661="",G1661="?"),"",IFERROR(INDEX(Pubs!$E$2:$E$3001,MATCH(G1661,Pubs!$A$2:$A$3001,0)),""))</f>
        <v/>
      </c>
      <c r="L1661" s="29" t="str">
        <f aca="false">IF(A1661="","",IFERROR(1/(1/INDEX(Numéros!$C$2:$C$3001,MATCH(A1661&amp;"|"&amp;B1661,Numéros!$F$2:$F$3001,0))),""))</f>
        <v/>
      </c>
      <c r="M1661" s="27" t="str">
        <f aca="false">IF(OR(G1661="",G1661="?"),"",IFERROR(INDEX(Pubs!$D$2:$D$3001,MATCH(G1661,Pubs!$A$2:$A$3001,0))&amp;"",""))</f>
        <v/>
      </c>
      <c r="N1661" s="27" t="n">
        <f aca="false">N(N1660)+IF(AND(A1661&lt;&gt;"",OR(Recherche!$C$4="",A1661=Recherche!$C$4),OR(Recherche!$C$5="",B1661&amp;""=Recherche!$C$5&amp;""),OR(Recherche!$C$6="",IFERROR(YEAR(L1661),0)=Recherche!$C$6),OR(Recherche!$C$7="",ISNUMBER(SEARCH(Recherche!$C$7,H1661))),OR(Recherche!$C$8="",J1661=Recherche!$C$8),OR(Recherche!$C$9="",I1661=Recherche!$C$9),OR(Recherche!$C$10="",G1661&amp;""=Recherche!$C$10&amp;""),OR(Recherche!$C$11="",E1661=Recherche!$C$11),OR(Recherche!$C$12="",ISNUMBER(SEARCH(Recherche!$C$12,M1661&amp;" "&amp;F1661)))),1,0)</f>
        <v>8</v>
      </c>
    </row>
    <row r="1662" customFormat="false" ht="15" hidden="false" customHeight="false" outlineLevel="0" collapsed="false">
      <c r="A1662" s="19"/>
      <c r="B1662" s="19"/>
      <c r="C1662" s="19"/>
      <c r="D1662" s="19"/>
      <c r="E1662" s="22"/>
      <c r="F1662" s="19"/>
      <c r="G1662" s="26" t="str">
        <f aca="false">IF(D1662="","",IFERROR(VALUE(LEFT(D1662,FIND(" |",D1662&amp;" |")-1)),"?"))</f>
        <v/>
      </c>
      <c r="H1662" s="27" t="str">
        <f aca="false">IF(G1662="","",IF(G1662="?","⚠ pub inconnue",IFERROR(INDEX(Pubs!$B$2:$B$3001,MATCH(G1662,Pubs!$A$2:$A$3001,0))&amp;"","⚠ pub inconnue")))</f>
        <v/>
      </c>
      <c r="I1662" s="27" t="str">
        <f aca="false">IF(OR(G1662="",G1662="?"),"",IFERROR(INDEX(Pubs!$C$2:$C$3001,MATCH(G1662,Pubs!$A$2:$A$3001,0))&amp;"",""))</f>
        <v/>
      </c>
      <c r="J1662" s="27" t="str">
        <f aca="false">IF(OR(G1662="",G1662="?"),"",IFERROR(INDEX(Pubs!$G$2:$G$3001,MATCH(G1662,Pubs!$A$2:$A$3001,0))&amp;"",""))</f>
        <v/>
      </c>
      <c r="K1662" s="28" t="str">
        <f aca="false">IF(OR(G1662="",G1662="?"),"",IFERROR(INDEX(Pubs!$E$2:$E$3001,MATCH(G1662,Pubs!$A$2:$A$3001,0)),""))</f>
        <v/>
      </c>
      <c r="L1662" s="29" t="str">
        <f aca="false">IF(A1662="","",IFERROR(1/(1/INDEX(Numéros!$C$2:$C$3001,MATCH(A1662&amp;"|"&amp;B1662,Numéros!$F$2:$F$3001,0))),""))</f>
        <v/>
      </c>
      <c r="M1662" s="27" t="str">
        <f aca="false">IF(OR(G1662="",G1662="?"),"",IFERROR(INDEX(Pubs!$D$2:$D$3001,MATCH(G1662,Pubs!$A$2:$A$3001,0))&amp;"",""))</f>
        <v/>
      </c>
      <c r="N1662" s="27" t="n">
        <f aca="false">N(N1661)+IF(AND(A1662&lt;&gt;"",OR(Recherche!$C$4="",A1662=Recherche!$C$4),OR(Recherche!$C$5="",B1662&amp;""=Recherche!$C$5&amp;""),OR(Recherche!$C$6="",IFERROR(YEAR(L1662),0)=Recherche!$C$6),OR(Recherche!$C$7="",ISNUMBER(SEARCH(Recherche!$C$7,H1662))),OR(Recherche!$C$8="",J1662=Recherche!$C$8),OR(Recherche!$C$9="",I1662=Recherche!$C$9),OR(Recherche!$C$10="",G1662&amp;""=Recherche!$C$10&amp;""),OR(Recherche!$C$11="",E1662=Recherche!$C$11),OR(Recherche!$C$12="",ISNUMBER(SEARCH(Recherche!$C$12,M1662&amp;" "&amp;F1662)))),1,0)</f>
        <v>8</v>
      </c>
    </row>
    <row r="1663" customFormat="false" ht="15" hidden="false" customHeight="false" outlineLevel="0" collapsed="false">
      <c r="A1663" s="19"/>
      <c r="B1663" s="19"/>
      <c r="C1663" s="19"/>
      <c r="D1663" s="19"/>
      <c r="E1663" s="22"/>
      <c r="F1663" s="19"/>
      <c r="G1663" s="26" t="str">
        <f aca="false">IF(D1663="","",IFERROR(VALUE(LEFT(D1663,FIND(" |",D1663&amp;" |")-1)),"?"))</f>
        <v/>
      </c>
      <c r="H1663" s="27" t="str">
        <f aca="false">IF(G1663="","",IF(G1663="?","⚠ pub inconnue",IFERROR(INDEX(Pubs!$B$2:$B$3001,MATCH(G1663,Pubs!$A$2:$A$3001,0))&amp;"","⚠ pub inconnue")))</f>
        <v/>
      </c>
      <c r="I1663" s="27" t="str">
        <f aca="false">IF(OR(G1663="",G1663="?"),"",IFERROR(INDEX(Pubs!$C$2:$C$3001,MATCH(G1663,Pubs!$A$2:$A$3001,0))&amp;"",""))</f>
        <v/>
      </c>
      <c r="J1663" s="27" t="str">
        <f aca="false">IF(OR(G1663="",G1663="?"),"",IFERROR(INDEX(Pubs!$G$2:$G$3001,MATCH(G1663,Pubs!$A$2:$A$3001,0))&amp;"",""))</f>
        <v/>
      </c>
      <c r="K1663" s="28" t="str">
        <f aca="false">IF(OR(G1663="",G1663="?"),"",IFERROR(INDEX(Pubs!$E$2:$E$3001,MATCH(G1663,Pubs!$A$2:$A$3001,0)),""))</f>
        <v/>
      </c>
      <c r="L1663" s="29" t="str">
        <f aca="false">IF(A1663="","",IFERROR(1/(1/INDEX(Numéros!$C$2:$C$3001,MATCH(A1663&amp;"|"&amp;B1663,Numéros!$F$2:$F$3001,0))),""))</f>
        <v/>
      </c>
      <c r="M1663" s="27" t="str">
        <f aca="false">IF(OR(G1663="",G1663="?"),"",IFERROR(INDEX(Pubs!$D$2:$D$3001,MATCH(G1663,Pubs!$A$2:$A$3001,0))&amp;"",""))</f>
        <v/>
      </c>
      <c r="N1663" s="27" t="n">
        <f aca="false">N(N1662)+IF(AND(A1663&lt;&gt;"",OR(Recherche!$C$4="",A1663=Recherche!$C$4),OR(Recherche!$C$5="",B1663&amp;""=Recherche!$C$5&amp;""),OR(Recherche!$C$6="",IFERROR(YEAR(L1663),0)=Recherche!$C$6),OR(Recherche!$C$7="",ISNUMBER(SEARCH(Recherche!$C$7,H1663))),OR(Recherche!$C$8="",J1663=Recherche!$C$8),OR(Recherche!$C$9="",I1663=Recherche!$C$9),OR(Recherche!$C$10="",G1663&amp;""=Recherche!$C$10&amp;""),OR(Recherche!$C$11="",E1663=Recherche!$C$11),OR(Recherche!$C$12="",ISNUMBER(SEARCH(Recherche!$C$12,M1663&amp;" "&amp;F1663)))),1,0)</f>
        <v>8</v>
      </c>
    </row>
    <row r="1664" customFormat="false" ht="15" hidden="false" customHeight="false" outlineLevel="0" collapsed="false">
      <c r="A1664" s="19"/>
      <c r="B1664" s="19"/>
      <c r="C1664" s="19"/>
      <c r="D1664" s="19"/>
      <c r="E1664" s="22"/>
      <c r="F1664" s="19"/>
      <c r="G1664" s="26" t="str">
        <f aca="false">IF(D1664="","",IFERROR(VALUE(LEFT(D1664,FIND(" |",D1664&amp;" |")-1)),"?"))</f>
        <v/>
      </c>
      <c r="H1664" s="27" t="str">
        <f aca="false">IF(G1664="","",IF(G1664="?","⚠ pub inconnue",IFERROR(INDEX(Pubs!$B$2:$B$3001,MATCH(G1664,Pubs!$A$2:$A$3001,0))&amp;"","⚠ pub inconnue")))</f>
        <v/>
      </c>
      <c r="I1664" s="27" t="str">
        <f aca="false">IF(OR(G1664="",G1664="?"),"",IFERROR(INDEX(Pubs!$C$2:$C$3001,MATCH(G1664,Pubs!$A$2:$A$3001,0))&amp;"",""))</f>
        <v/>
      </c>
      <c r="J1664" s="27" t="str">
        <f aca="false">IF(OR(G1664="",G1664="?"),"",IFERROR(INDEX(Pubs!$G$2:$G$3001,MATCH(G1664,Pubs!$A$2:$A$3001,0))&amp;"",""))</f>
        <v/>
      </c>
      <c r="K1664" s="28" t="str">
        <f aca="false">IF(OR(G1664="",G1664="?"),"",IFERROR(INDEX(Pubs!$E$2:$E$3001,MATCH(G1664,Pubs!$A$2:$A$3001,0)),""))</f>
        <v/>
      </c>
      <c r="L1664" s="29" t="str">
        <f aca="false">IF(A1664="","",IFERROR(1/(1/INDEX(Numéros!$C$2:$C$3001,MATCH(A1664&amp;"|"&amp;B1664,Numéros!$F$2:$F$3001,0))),""))</f>
        <v/>
      </c>
      <c r="M1664" s="27" t="str">
        <f aca="false">IF(OR(G1664="",G1664="?"),"",IFERROR(INDEX(Pubs!$D$2:$D$3001,MATCH(G1664,Pubs!$A$2:$A$3001,0))&amp;"",""))</f>
        <v/>
      </c>
      <c r="N1664" s="27" t="n">
        <f aca="false">N(N1663)+IF(AND(A1664&lt;&gt;"",OR(Recherche!$C$4="",A1664=Recherche!$C$4),OR(Recherche!$C$5="",B1664&amp;""=Recherche!$C$5&amp;""),OR(Recherche!$C$6="",IFERROR(YEAR(L1664),0)=Recherche!$C$6),OR(Recherche!$C$7="",ISNUMBER(SEARCH(Recherche!$C$7,H1664))),OR(Recherche!$C$8="",J1664=Recherche!$C$8),OR(Recherche!$C$9="",I1664=Recherche!$C$9),OR(Recherche!$C$10="",G1664&amp;""=Recherche!$C$10&amp;""),OR(Recherche!$C$11="",E1664=Recherche!$C$11),OR(Recherche!$C$12="",ISNUMBER(SEARCH(Recherche!$C$12,M1664&amp;" "&amp;F1664)))),1,0)</f>
        <v>8</v>
      </c>
    </row>
    <row r="1665" customFormat="false" ht="15" hidden="false" customHeight="false" outlineLevel="0" collapsed="false">
      <c r="A1665" s="19"/>
      <c r="B1665" s="19"/>
      <c r="C1665" s="19"/>
      <c r="D1665" s="19"/>
      <c r="E1665" s="22"/>
      <c r="F1665" s="19"/>
      <c r="G1665" s="26" t="str">
        <f aca="false">IF(D1665="","",IFERROR(VALUE(LEFT(D1665,FIND(" |",D1665&amp;" |")-1)),"?"))</f>
        <v/>
      </c>
      <c r="H1665" s="27" t="str">
        <f aca="false">IF(G1665="","",IF(G1665="?","⚠ pub inconnue",IFERROR(INDEX(Pubs!$B$2:$B$3001,MATCH(G1665,Pubs!$A$2:$A$3001,0))&amp;"","⚠ pub inconnue")))</f>
        <v/>
      </c>
      <c r="I1665" s="27" t="str">
        <f aca="false">IF(OR(G1665="",G1665="?"),"",IFERROR(INDEX(Pubs!$C$2:$C$3001,MATCH(G1665,Pubs!$A$2:$A$3001,0))&amp;"",""))</f>
        <v/>
      </c>
      <c r="J1665" s="27" t="str">
        <f aca="false">IF(OR(G1665="",G1665="?"),"",IFERROR(INDEX(Pubs!$G$2:$G$3001,MATCH(G1665,Pubs!$A$2:$A$3001,0))&amp;"",""))</f>
        <v/>
      </c>
      <c r="K1665" s="28" t="str">
        <f aca="false">IF(OR(G1665="",G1665="?"),"",IFERROR(INDEX(Pubs!$E$2:$E$3001,MATCH(G1665,Pubs!$A$2:$A$3001,0)),""))</f>
        <v/>
      </c>
      <c r="L1665" s="29" t="str">
        <f aca="false">IF(A1665="","",IFERROR(1/(1/INDEX(Numéros!$C$2:$C$3001,MATCH(A1665&amp;"|"&amp;B1665,Numéros!$F$2:$F$3001,0))),""))</f>
        <v/>
      </c>
      <c r="M1665" s="27" t="str">
        <f aca="false">IF(OR(G1665="",G1665="?"),"",IFERROR(INDEX(Pubs!$D$2:$D$3001,MATCH(G1665,Pubs!$A$2:$A$3001,0))&amp;"",""))</f>
        <v/>
      </c>
      <c r="N1665" s="27" t="n">
        <f aca="false">N(N1664)+IF(AND(A1665&lt;&gt;"",OR(Recherche!$C$4="",A1665=Recherche!$C$4),OR(Recherche!$C$5="",B1665&amp;""=Recherche!$C$5&amp;""),OR(Recherche!$C$6="",IFERROR(YEAR(L1665),0)=Recherche!$C$6),OR(Recherche!$C$7="",ISNUMBER(SEARCH(Recherche!$C$7,H1665))),OR(Recherche!$C$8="",J1665=Recherche!$C$8),OR(Recherche!$C$9="",I1665=Recherche!$C$9),OR(Recherche!$C$10="",G1665&amp;""=Recherche!$C$10&amp;""),OR(Recherche!$C$11="",E1665=Recherche!$C$11),OR(Recherche!$C$12="",ISNUMBER(SEARCH(Recherche!$C$12,M1665&amp;" "&amp;F1665)))),1,0)</f>
        <v>8</v>
      </c>
    </row>
    <row r="1666" customFormat="false" ht="15" hidden="false" customHeight="false" outlineLevel="0" collapsed="false">
      <c r="A1666" s="19"/>
      <c r="B1666" s="19"/>
      <c r="C1666" s="19"/>
      <c r="D1666" s="19"/>
      <c r="E1666" s="22"/>
      <c r="F1666" s="19"/>
      <c r="G1666" s="26" t="str">
        <f aca="false">IF(D1666="","",IFERROR(VALUE(LEFT(D1666,FIND(" |",D1666&amp;" |")-1)),"?"))</f>
        <v/>
      </c>
      <c r="H1666" s="27" t="str">
        <f aca="false">IF(G1666="","",IF(G1666="?","⚠ pub inconnue",IFERROR(INDEX(Pubs!$B$2:$B$3001,MATCH(G1666,Pubs!$A$2:$A$3001,0))&amp;"","⚠ pub inconnue")))</f>
        <v/>
      </c>
      <c r="I1666" s="27" t="str">
        <f aca="false">IF(OR(G1666="",G1666="?"),"",IFERROR(INDEX(Pubs!$C$2:$C$3001,MATCH(G1666,Pubs!$A$2:$A$3001,0))&amp;"",""))</f>
        <v/>
      </c>
      <c r="J1666" s="27" t="str">
        <f aca="false">IF(OR(G1666="",G1666="?"),"",IFERROR(INDEX(Pubs!$G$2:$G$3001,MATCH(G1666,Pubs!$A$2:$A$3001,0))&amp;"",""))</f>
        <v/>
      </c>
      <c r="K1666" s="28" t="str">
        <f aca="false">IF(OR(G1666="",G1666="?"),"",IFERROR(INDEX(Pubs!$E$2:$E$3001,MATCH(G1666,Pubs!$A$2:$A$3001,0)),""))</f>
        <v/>
      </c>
      <c r="L1666" s="29" t="str">
        <f aca="false">IF(A1666="","",IFERROR(1/(1/INDEX(Numéros!$C$2:$C$3001,MATCH(A1666&amp;"|"&amp;B1666,Numéros!$F$2:$F$3001,0))),""))</f>
        <v/>
      </c>
      <c r="M1666" s="27" t="str">
        <f aca="false">IF(OR(G1666="",G1666="?"),"",IFERROR(INDEX(Pubs!$D$2:$D$3001,MATCH(G1666,Pubs!$A$2:$A$3001,0))&amp;"",""))</f>
        <v/>
      </c>
      <c r="N1666" s="27" t="n">
        <f aca="false">N(N1665)+IF(AND(A1666&lt;&gt;"",OR(Recherche!$C$4="",A1666=Recherche!$C$4),OR(Recherche!$C$5="",B1666&amp;""=Recherche!$C$5&amp;""),OR(Recherche!$C$6="",IFERROR(YEAR(L1666),0)=Recherche!$C$6),OR(Recherche!$C$7="",ISNUMBER(SEARCH(Recherche!$C$7,H1666))),OR(Recherche!$C$8="",J1666=Recherche!$C$8),OR(Recherche!$C$9="",I1666=Recherche!$C$9),OR(Recherche!$C$10="",G1666&amp;""=Recherche!$C$10&amp;""),OR(Recherche!$C$11="",E1666=Recherche!$C$11),OR(Recherche!$C$12="",ISNUMBER(SEARCH(Recherche!$C$12,M1666&amp;" "&amp;F1666)))),1,0)</f>
        <v>8</v>
      </c>
    </row>
    <row r="1667" customFormat="false" ht="15" hidden="false" customHeight="false" outlineLevel="0" collapsed="false">
      <c r="A1667" s="19"/>
      <c r="B1667" s="19"/>
      <c r="C1667" s="19"/>
      <c r="D1667" s="19"/>
      <c r="E1667" s="22"/>
      <c r="F1667" s="19"/>
      <c r="G1667" s="26" t="str">
        <f aca="false">IF(D1667="","",IFERROR(VALUE(LEFT(D1667,FIND(" |",D1667&amp;" |")-1)),"?"))</f>
        <v/>
      </c>
      <c r="H1667" s="27" t="str">
        <f aca="false">IF(G1667="","",IF(G1667="?","⚠ pub inconnue",IFERROR(INDEX(Pubs!$B$2:$B$3001,MATCH(G1667,Pubs!$A$2:$A$3001,0))&amp;"","⚠ pub inconnue")))</f>
        <v/>
      </c>
      <c r="I1667" s="27" t="str">
        <f aca="false">IF(OR(G1667="",G1667="?"),"",IFERROR(INDEX(Pubs!$C$2:$C$3001,MATCH(G1667,Pubs!$A$2:$A$3001,0))&amp;"",""))</f>
        <v/>
      </c>
      <c r="J1667" s="27" t="str">
        <f aca="false">IF(OR(G1667="",G1667="?"),"",IFERROR(INDEX(Pubs!$G$2:$G$3001,MATCH(G1667,Pubs!$A$2:$A$3001,0))&amp;"",""))</f>
        <v/>
      </c>
      <c r="K1667" s="28" t="str">
        <f aca="false">IF(OR(G1667="",G1667="?"),"",IFERROR(INDEX(Pubs!$E$2:$E$3001,MATCH(G1667,Pubs!$A$2:$A$3001,0)),""))</f>
        <v/>
      </c>
      <c r="L1667" s="29" t="str">
        <f aca="false">IF(A1667="","",IFERROR(1/(1/INDEX(Numéros!$C$2:$C$3001,MATCH(A1667&amp;"|"&amp;B1667,Numéros!$F$2:$F$3001,0))),""))</f>
        <v/>
      </c>
      <c r="M1667" s="27" t="str">
        <f aca="false">IF(OR(G1667="",G1667="?"),"",IFERROR(INDEX(Pubs!$D$2:$D$3001,MATCH(G1667,Pubs!$A$2:$A$3001,0))&amp;"",""))</f>
        <v/>
      </c>
      <c r="N1667" s="27" t="n">
        <f aca="false">N(N1666)+IF(AND(A1667&lt;&gt;"",OR(Recherche!$C$4="",A1667=Recherche!$C$4),OR(Recherche!$C$5="",B1667&amp;""=Recherche!$C$5&amp;""),OR(Recherche!$C$6="",IFERROR(YEAR(L1667),0)=Recherche!$C$6),OR(Recherche!$C$7="",ISNUMBER(SEARCH(Recherche!$C$7,H1667))),OR(Recherche!$C$8="",J1667=Recherche!$C$8),OR(Recherche!$C$9="",I1667=Recherche!$C$9),OR(Recherche!$C$10="",G1667&amp;""=Recherche!$C$10&amp;""),OR(Recherche!$C$11="",E1667=Recherche!$C$11),OR(Recherche!$C$12="",ISNUMBER(SEARCH(Recherche!$C$12,M1667&amp;" "&amp;F1667)))),1,0)</f>
        <v>8</v>
      </c>
    </row>
    <row r="1668" customFormat="false" ht="15" hidden="false" customHeight="false" outlineLevel="0" collapsed="false">
      <c r="A1668" s="19"/>
      <c r="B1668" s="19"/>
      <c r="C1668" s="19"/>
      <c r="D1668" s="19"/>
      <c r="E1668" s="22"/>
      <c r="F1668" s="19"/>
      <c r="G1668" s="26" t="str">
        <f aca="false">IF(D1668="","",IFERROR(VALUE(LEFT(D1668,FIND(" |",D1668&amp;" |")-1)),"?"))</f>
        <v/>
      </c>
      <c r="H1668" s="27" t="str">
        <f aca="false">IF(G1668="","",IF(G1668="?","⚠ pub inconnue",IFERROR(INDEX(Pubs!$B$2:$B$3001,MATCH(G1668,Pubs!$A$2:$A$3001,0))&amp;"","⚠ pub inconnue")))</f>
        <v/>
      </c>
      <c r="I1668" s="27" t="str">
        <f aca="false">IF(OR(G1668="",G1668="?"),"",IFERROR(INDEX(Pubs!$C$2:$C$3001,MATCH(G1668,Pubs!$A$2:$A$3001,0))&amp;"",""))</f>
        <v/>
      </c>
      <c r="J1668" s="27" t="str">
        <f aca="false">IF(OR(G1668="",G1668="?"),"",IFERROR(INDEX(Pubs!$G$2:$G$3001,MATCH(G1668,Pubs!$A$2:$A$3001,0))&amp;"",""))</f>
        <v/>
      </c>
      <c r="K1668" s="28" t="str">
        <f aca="false">IF(OR(G1668="",G1668="?"),"",IFERROR(INDEX(Pubs!$E$2:$E$3001,MATCH(G1668,Pubs!$A$2:$A$3001,0)),""))</f>
        <v/>
      </c>
      <c r="L1668" s="29" t="str">
        <f aca="false">IF(A1668="","",IFERROR(1/(1/INDEX(Numéros!$C$2:$C$3001,MATCH(A1668&amp;"|"&amp;B1668,Numéros!$F$2:$F$3001,0))),""))</f>
        <v/>
      </c>
      <c r="M1668" s="27" t="str">
        <f aca="false">IF(OR(G1668="",G1668="?"),"",IFERROR(INDEX(Pubs!$D$2:$D$3001,MATCH(G1668,Pubs!$A$2:$A$3001,0))&amp;"",""))</f>
        <v/>
      </c>
      <c r="N1668" s="27" t="n">
        <f aca="false">N(N1667)+IF(AND(A1668&lt;&gt;"",OR(Recherche!$C$4="",A1668=Recherche!$C$4),OR(Recherche!$C$5="",B1668&amp;""=Recherche!$C$5&amp;""),OR(Recherche!$C$6="",IFERROR(YEAR(L1668),0)=Recherche!$C$6),OR(Recherche!$C$7="",ISNUMBER(SEARCH(Recherche!$C$7,H1668))),OR(Recherche!$C$8="",J1668=Recherche!$C$8),OR(Recherche!$C$9="",I1668=Recherche!$C$9),OR(Recherche!$C$10="",G1668&amp;""=Recherche!$C$10&amp;""),OR(Recherche!$C$11="",E1668=Recherche!$C$11),OR(Recherche!$C$12="",ISNUMBER(SEARCH(Recherche!$C$12,M1668&amp;" "&amp;F1668)))),1,0)</f>
        <v>8</v>
      </c>
    </row>
    <row r="1669" customFormat="false" ht="15" hidden="false" customHeight="false" outlineLevel="0" collapsed="false">
      <c r="A1669" s="19"/>
      <c r="B1669" s="19"/>
      <c r="C1669" s="19"/>
      <c r="D1669" s="19"/>
      <c r="E1669" s="22"/>
      <c r="F1669" s="19"/>
      <c r="G1669" s="26" t="str">
        <f aca="false">IF(D1669="","",IFERROR(VALUE(LEFT(D1669,FIND(" |",D1669&amp;" |")-1)),"?"))</f>
        <v/>
      </c>
      <c r="H1669" s="27" t="str">
        <f aca="false">IF(G1669="","",IF(G1669="?","⚠ pub inconnue",IFERROR(INDEX(Pubs!$B$2:$B$3001,MATCH(G1669,Pubs!$A$2:$A$3001,0))&amp;"","⚠ pub inconnue")))</f>
        <v/>
      </c>
      <c r="I1669" s="27" t="str">
        <f aca="false">IF(OR(G1669="",G1669="?"),"",IFERROR(INDEX(Pubs!$C$2:$C$3001,MATCH(G1669,Pubs!$A$2:$A$3001,0))&amp;"",""))</f>
        <v/>
      </c>
      <c r="J1669" s="27" t="str">
        <f aca="false">IF(OR(G1669="",G1669="?"),"",IFERROR(INDEX(Pubs!$G$2:$G$3001,MATCH(G1669,Pubs!$A$2:$A$3001,0))&amp;"",""))</f>
        <v/>
      </c>
      <c r="K1669" s="28" t="str">
        <f aca="false">IF(OR(G1669="",G1669="?"),"",IFERROR(INDEX(Pubs!$E$2:$E$3001,MATCH(G1669,Pubs!$A$2:$A$3001,0)),""))</f>
        <v/>
      </c>
      <c r="L1669" s="29" t="str">
        <f aca="false">IF(A1669="","",IFERROR(1/(1/INDEX(Numéros!$C$2:$C$3001,MATCH(A1669&amp;"|"&amp;B1669,Numéros!$F$2:$F$3001,0))),""))</f>
        <v/>
      </c>
      <c r="M1669" s="27" t="str">
        <f aca="false">IF(OR(G1669="",G1669="?"),"",IFERROR(INDEX(Pubs!$D$2:$D$3001,MATCH(G1669,Pubs!$A$2:$A$3001,0))&amp;"",""))</f>
        <v/>
      </c>
      <c r="N1669" s="27" t="n">
        <f aca="false">N(N1668)+IF(AND(A1669&lt;&gt;"",OR(Recherche!$C$4="",A1669=Recherche!$C$4),OR(Recherche!$C$5="",B1669&amp;""=Recherche!$C$5&amp;""),OR(Recherche!$C$6="",IFERROR(YEAR(L1669),0)=Recherche!$C$6),OR(Recherche!$C$7="",ISNUMBER(SEARCH(Recherche!$C$7,H1669))),OR(Recherche!$C$8="",J1669=Recherche!$C$8),OR(Recherche!$C$9="",I1669=Recherche!$C$9),OR(Recherche!$C$10="",G1669&amp;""=Recherche!$C$10&amp;""),OR(Recherche!$C$11="",E1669=Recherche!$C$11),OR(Recherche!$C$12="",ISNUMBER(SEARCH(Recherche!$C$12,M1669&amp;" "&amp;F1669)))),1,0)</f>
        <v>8</v>
      </c>
    </row>
    <row r="1670" customFormat="false" ht="15" hidden="false" customHeight="false" outlineLevel="0" collapsed="false">
      <c r="A1670" s="19"/>
      <c r="B1670" s="19"/>
      <c r="C1670" s="19"/>
      <c r="D1670" s="19"/>
      <c r="E1670" s="22"/>
      <c r="F1670" s="19"/>
      <c r="G1670" s="26" t="str">
        <f aca="false">IF(D1670="","",IFERROR(VALUE(LEFT(D1670,FIND(" |",D1670&amp;" |")-1)),"?"))</f>
        <v/>
      </c>
      <c r="H1670" s="27" t="str">
        <f aca="false">IF(G1670="","",IF(G1670="?","⚠ pub inconnue",IFERROR(INDEX(Pubs!$B$2:$B$3001,MATCH(G1670,Pubs!$A$2:$A$3001,0))&amp;"","⚠ pub inconnue")))</f>
        <v/>
      </c>
      <c r="I1670" s="27" t="str">
        <f aca="false">IF(OR(G1670="",G1670="?"),"",IFERROR(INDEX(Pubs!$C$2:$C$3001,MATCH(G1670,Pubs!$A$2:$A$3001,0))&amp;"",""))</f>
        <v/>
      </c>
      <c r="J1670" s="27" t="str">
        <f aca="false">IF(OR(G1670="",G1670="?"),"",IFERROR(INDEX(Pubs!$G$2:$G$3001,MATCH(G1670,Pubs!$A$2:$A$3001,0))&amp;"",""))</f>
        <v/>
      </c>
      <c r="K1670" s="28" t="str">
        <f aca="false">IF(OR(G1670="",G1670="?"),"",IFERROR(INDEX(Pubs!$E$2:$E$3001,MATCH(G1670,Pubs!$A$2:$A$3001,0)),""))</f>
        <v/>
      </c>
      <c r="L1670" s="29" t="str">
        <f aca="false">IF(A1670="","",IFERROR(1/(1/INDEX(Numéros!$C$2:$C$3001,MATCH(A1670&amp;"|"&amp;B1670,Numéros!$F$2:$F$3001,0))),""))</f>
        <v/>
      </c>
      <c r="M1670" s="27" t="str">
        <f aca="false">IF(OR(G1670="",G1670="?"),"",IFERROR(INDEX(Pubs!$D$2:$D$3001,MATCH(G1670,Pubs!$A$2:$A$3001,0))&amp;"",""))</f>
        <v/>
      </c>
      <c r="N1670" s="27" t="n">
        <f aca="false">N(N1669)+IF(AND(A1670&lt;&gt;"",OR(Recherche!$C$4="",A1670=Recherche!$C$4),OR(Recherche!$C$5="",B1670&amp;""=Recherche!$C$5&amp;""),OR(Recherche!$C$6="",IFERROR(YEAR(L1670),0)=Recherche!$C$6),OR(Recherche!$C$7="",ISNUMBER(SEARCH(Recherche!$C$7,H1670))),OR(Recherche!$C$8="",J1670=Recherche!$C$8),OR(Recherche!$C$9="",I1670=Recherche!$C$9),OR(Recherche!$C$10="",G1670&amp;""=Recherche!$C$10&amp;""),OR(Recherche!$C$11="",E1670=Recherche!$C$11),OR(Recherche!$C$12="",ISNUMBER(SEARCH(Recherche!$C$12,M1670&amp;" "&amp;F1670)))),1,0)</f>
        <v>8</v>
      </c>
    </row>
    <row r="1671" customFormat="false" ht="15" hidden="false" customHeight="false" outlineLevel="0" collapsed="false">
      <c r="A1671" s="19"/>
      <c r="B1671" s="19"/>
      <c r="C1671" s="19"/>
      <c r="D1671" s="19"/>
      <c r="E1671" s="22"/>
      <c r="F1671" s="19"/>
      <c r="G1671" s="26" t="str">
        <f aca="false">IF(D1671="","",IFERROR(VALUE(LEFT(D1671,FIND(" |",D1671&amp;" |")-1)),"?"))</f>
        <v/>
      </c>
      <c r="H1671" s="27" t="str">
        <f aca="false">IF(G1671="","",IF(G1671="?","⚠ pub inconnue",IFERROR(INDEX(Pubs!$B$2:$B$3001,MATCH(G1671,Pubs!$A$2:$A$3001,0))&amp;"","⚠ pub inconnue")))</f>
        <v/>
      </c>
      <c r="I1671" s="27" t="str">
        <f aca="false">IF(OR(G1671="",G1671="?"),"",IFERROR(INDEX(Pubs!$C$2:$C$3001,MATCH(G1671,Pubs!$A$2:$A$3001,0))&amp;"",""))</f>
        <v/>
      </c>
      <c r="J1671" s="27" t="str">
        <f aca="false">IF(OR(G1671="",G1671="?"),"",IFERROR(INDEX(Pubs!$G$2:$G$3001,MATCH(G1671,Pubs!$A$2:$A$3001,0))&amp;"",""))</f>
        <v/>
      </c>
      <c r="K1671" s="28" t="str">
        <f aca="false">IF(OR(G1671="",G1671="?"),"",IFERROR(INDEX(Pubs!$E$2:$E$3001,MATCH(G1671,Pubs!$A$2:$A$3001,0)),""))</f>
        <v/>
      </c>
      <c r="L1671" s="29" t="str">
        <f aca="false">IF(A1671="","",IFERROR(1/(1/INDEX(Numéros!$C$2:$C$3001,MATCH(A1671&amp;"|"&amp;B1671,Numéros!$F$2:$F$3001,0))),""))</f>
        <v/>
      </c>
      <c r="M1671" s="27" t="str">
        <f aca="false">IF(OR(G1671="",G1671="?"),"",IFERROR(INDEX(Pubs!$D$2:$D$3001,MATCH(G1671,Pubs!$A$2:$A$3001,0))&amp;"",""))</f>
        <v/>
      </c>
      <c r="N1671" s="27" t="n">
        <f aca="false">N(N1670)+IF(AND(A1671&lt;&gt;"",OR(Recherche!$C$4="",A1671=Recherche!$C$4),OR(Recherche!$C$5="",B1671&amp;""=Recherche!$C$5&amp;""),OR(Recherche!$C$6="",IFERROR(YEAR(L1671),0)=Recherche!$C$6),OR(Recherche!$C$7="",ISNUMBER(SEARCH(Recherche!$C$7,H1671))),OR(Recherche!$C$8="",J1671=Recherche!$C$8),OR(Recherche!$C$9="",I1671=Recherche!$C$9),OR(Recherche!$C$10="",G1671&amp;""=Recherche!$C$10&amp;""),OR(Recherche!$C$11="",E1671=Recherche!$C$11),OR(Recherche!$C$12="",ISNUMBER(SEARCH(Recherche!$C$12,M1671&amp;" "&amp;F1671)))),1,0)</f>
        <v>8</v>
      </c>
    </row>
    <row r="1672" customFormat="false" ht="15" hidden="false" customHeight="false" outlineLevel="0" collapsed="false">
      <c r="A1672" s="19"/>
      <c r="B1672" s="19"/>
      <c r="C1672" s="19"/>
      <c r="D1672" s="19"/>
      <c r="E1672" s="22"/>
      <c r="F1672" s="19"/>
      <c r="G1672" s="26" t="str">
        <f aca="false">IF(D1672="","",IFERROR(VALUE(LEFT(D1672,FIND(" |",D1672&amp;" |")-1)),"?"))</f>
        <v/>
      </c>
      <c r="H1672" s="27" t="str">
        <f aca="false">IF(G1672="","",IF(G1672="?","⚠ pub inconnue",IFERROR(INDEX(Pubs!$B$2:$B$3001,MATCH(G1672,Pubs!$A$2:$A$3001,0))&amp;"","⚠ pub inconnue")))</f>
        <v/>
      </c>
      <c r="I1672" s="27" t="str">
        <f aca="false">IF(OR(G1672="",G1672="?"),"",IFERROR(INDEX(Pubs!$C$2:$C$3001,MATCH(G1672,Pubs!$A$2:$A$3001,0))&amp;"",""))</f>
        <v/>
      </c>
      <c r="J1672" s="27" t="str">
        <f aca="false">IF(OR(G1672="",G1672="?"),"",IFERROR(INDEX(Pubs!$G$2:$G$3001,MATCH(G1672,Pubs!$A$2:$A$3001,0))&amp;"",""))</f>
        <v/>
      </c>
      <c r="K1672" s="28" t="str">
        <f aca="false">IF(OR(G1672="",G1672="?"),"",IFERROR(INDEX(Pubs!$E$2:$E$3001,MATCH(G1672,Pubs!$A$2:$A$3001,0)),""))</f>
        <v/>
      </c>
      <c r="L1672" s="29" t="str">
        <f aca="false">IF(A1672="","",IFERROR(1/(1/INDEX(Numéros!$C$2:$C$3001,MATCH(A1672&amp;"|"&amp;B1672,Numéros!$F$2:$F$3001,0))),""))</f>
        <v/>
      </c>
      <c r="M1672" s="27" t="str">
        <f aca="false">IF(OR(G1672="",G1672="?"),"",IFERROR(INDEX(Pubs!$D$2:$D$3001,MATCH(G1672,Pubs!$A$2:$A$3001,0))&amp;"",""))</f>
        <v/>
      </c>
      <c r="N1672" s="27" t="n">
        <f aca="false">N(N1671)+IF(AND(A1672&lt;&gt;"",OR(Recherche!$C$4="",A1672=Recherche!$C$4),OR(Recherche!$C$5="",B1672&amp;""=Recherche!$C$5&amp;""),OR(Recherche!$C$6="",IFERROR(YEAR(L1672),0)=Recherche!$C$6),OR(Recherche!$C$7="",ISNUMBER(SEARCH(Recherche!$C$7,H1672))),OR(Recherche!$C$8="",J1672=Recherche!$C$8),OR(Recherche!$C$9="",I1672=Recherche!$C$9),OR(Recherche!$C$10="",G1672&amp;""=Recherche!$C$10&amp;""),OR(Recherche!$C$11="",E1672=Recherche!$C$11),OR(Recherche!$C$12="",ISNUMBER(SEARCH(Recherche!$C$12,M1672&amp;" "&amp;F1672)))),1,0)</f>
        <v>8</v>
      </c>
    </row>
    <row r="1673" customFormat="false" ht="15" hidden="false" customHeight="false" outlineLevel="0" collapsed="false">
      <c r="A1673" s="19"/>
      <c r="B1673" s="19"/>
      <c r="C1673" s="19"/>
      <c r="D1673" s="19"/>
      <c r="E1673" s="22"/>
      <c r="F1673" s="19"/>
      <c r="G1673" s="26" t="str">
        <f aca="false">IF(D1673="","",IFERROR(VALUE(LEFT(D1673,FIND(" |",D1673&amp;" |")-1)),"?"))</f>
        <v/>
      </c>
      <c r="H1673" s="27" t="str">
        <f aca="false">IF(G1673="","",IF(G1673="?","⚠ pub inconnue",IFERROR(INDEX(Pubs!$B$2:$B$3001,MATCH(G1673,Pubs!$A$2:$A$3001,0))&amp;"","⚠ pub inconnue")))</f>
        <v/>
      </c>
      <c r="I1673" s="27" t="str">
        <f aca="false">IF(OR(G1673="",G1673="?"),"",IFERROR(INDEX(Pubs!$C$2:$C$3001,MATCH(G1673,Pubs!$A$2:$A$3001,0))&amp;"",""))</f>
        <v/>
      </c>
      <c r="J1673" s="27" t="str">
        <f aca="false">IF(OR(G1673="",G1673="?"),"",IFERROR(INDEX(Pubs!$G$2:$G$3001,MATCH(G1673,Pubs!$A$2:$A$3001,0))&amp;"",""))</f>
        <v/>
      </c>
      <c r="K1673" s="28" t="str">
        <f aca="false">IF(OR(G1673="",G1673="?"),"",IFERROR(INDEX(Pubs!$E$2:$E$3001,MATCH(G1673,Pubs!$A$2:$A$3001,0)),""))</f>
        <v/>
      </c>
      <c r="L1673" s="29" t="str">
        <f aca="false">IF(A1673="","",IFERROR(1/(1/INDEX(Numéros!$C$2:$C$3001,MATCH(A1673&amp;"|"&amp;B1673,Numéros!$F$2:$F$3001,0))),""))</f>
        <v/>
      </c>
      <c r="M1673" s="27" t="str">
        <f aca="false">IF(OR(G1673="",G1673="?"),"",IFERROR(INDEX(Pubs!$D$2:$D$3001,MATCH(G1673,Pubs!$A$2:$A$3001,0))&amp;"",""))</f>
        <v/>
      </c>
      <c r="N1673" s="27" t="n">
        <f aca="false">N(N1672)+IF(AND(A1673&lt;&gt;"",OR(Recherche!$C$4="",A1673=Recherche!$C$4),OR(Recherche!$C$5="",B1673&amp;""=Recherche!$C$5&amp;""),OR(Recherche!$C$6="",IFERROR(YEAR(L1673),0)=Recherche!$C$6),OR(Recherche!$C$7="",ISNUMBER(SEARCH(Recherche!$C$7,H1673))),OR(Recherche!$C$8="",J1673=Recherche!$C$8),OR(Recherche!$C$9="",I1673=Recherche!$C$9),OR(Recherche!$C$10="",G1673&amp;""=Recherche!$C$10&amp;""),OR(Recherche!$C$11="",E1673=Recherche!$C$11),OR(Recherche!$C$12="",ISNUMBER(SEARCH(Recherche!$C$12,M1673&amp;" "&amp;F1673)))),1,0)</f>
        <v>8</v>
      </c>
    </row>
    <row r="1674" customFormat="false" ht="15" hidden="false" customHeight="false" outlineLevel="0" collapsed="false">
      <c r="A1674" s="19"/>
      <c r="B1674" s="19"/>
      <c r="C1674" s="19"/>
      <c r="D1674" s="19"/>
      <c r="E1674" s="22"/>
      <c r="F1674" s="19"/>
      <c r="G1674" s="26" t="str">
        <f aca="false">IF(D1674="","",IFERROR(VALUE(LEFT(D1674,FIND(" |",D1674&amp;" |")-1)),"?"))</f>
        <v/>
      </c>
      <c r="H1674" s="27" t="str">
        <f aca="false">IF(G1674="","",IF(G1674="?","⚠ pub inconnue",IFERROR(INDEX(Pubs!$B$2:$B$3001,MATCH(G1674,Pubs!$A$2:$A$3001,0))&amp;"","⚠ pub inconnue")))</f>
        <v/>
      </c>
      <c r="I1674" s="27" t="str">
        <f aca="false">IF(OR(G1674="",G1674="?"),"",IFERROR(INDEX(Pubs!$C$2:$C$3001,MATCH(G1674,Pubs!$A$2:$A$3001,0))&amp;"",""))</f>
        <v/>
      </c>
      <c r="J1674" s="27" t="str">
        <f aca="false">IF(OR(G1674="",G1674="?"),"",IFERROR(INDEX(Pubs!$G$2:$G$3001,MATCH(G1674,Pubs!$A$2:$A$3001,0))&amp;"",""))</f>
        <v/>
      </c>
      <c r="K1674" s="28" t="str">
        <f aca="false">IF(OR(G1674="",G1674="?"),"",IFERROR(INDEX(Pubs!$E$2:$E$3001,MATCH(G1674,Pubs!$A$2:$A$3001,0)),""))</f>
        <v/>
      </c>
      <c r="L1674" s="29" t="str">
        <f aca="false">IF(A1674="","",IFERROR(1/(1/INDEX(Numéros!$C$2:$C$3001,MATCH(A1674&amp;"|"&amp;B1674,Numéros!$F$2:$F$3001,0))),""))</f>
        <v/>
      </c>
      <c r="M1674" s="27" t="str">
        <f aca="false">IF(OR(G1674="",G1674="?"),"",IFERROR(INDEX(Pubs!$D$2:$D$3001,MATCH(G1674,Pubs!$A$2:$A$3001,0))&amp;"",""))</f>
        <v/>
      </c>
      <c r="N1674" s="27" t="n">
        <f aca="false">N(N1673)+IF(AND(A1674&lt;&gt;"",OR(Recherche!$C$4="",A1674=Recherche!$C$4),OR(Recherche!$C$5="",B1674&amp;""=Recherche!$C$5&amp;""),OR(Recherche!$C$6="",IFERROR(YEAR(L1674),0)=Recherche!$C$6),OR(Recherche!$C$7="",ISNUMBER(SEARCH(Recherche!$C$7,H1674))),OR(Recherche!$C$8="",J1674=Recherche!$C$8),OR(Recherche!$C$9="",I1674=Recherche!$C$9),OR(Recherche!$C$10="",G1674&amp;""=Recherche!$C$10&amp;""),OR(Recherche!$C$11="",E1674=Recherche!$C$11),OR(Recherche!$C$12="",ISNUMBER(SEARCH(Recherche!$C$12,M1674&amp;" "&amp;F1674)))),1,0)</f>
        <v>8</v>
      </c>
    </row>
    <row r="1675" customFormat="false" ht="15" hidden="false" customHeight="false" outlineLevel="0" collapsed="false">
      <c r="A1675" s="19"/>
      <c r="B1675" s="19"/>
      <c r="C1675" s="19"/>
      <c r="D1675" s="19"/>
      <c r="E1675" s="22"/>
      <c r="F1675" s="19"/>
      <c r="G1675" s="26" t="str">
        <f aca="false">IF(D1675="","",IFERROR(VALUE(LEFT(D1675,FIND(" |",D1675&amp;" |")-1)),"?"))</f>
        <v/>
      </c>
      <c r="H1675" s="27" t="str">
        <f aca="false">IF(G1675="","",IF(G1675="?","⚠ pub inconnue",IFERROR(INDEX(Pubs!$B$2:$B$3001,MATCH(G1675,Pubs!$A$2:$A$3001,0))&amp;"","⚠ pub inconnue")))</f>
        <v/>
      </c>
      <c r="I1675" s="27" t="str">
        <f aca="false">IF(OR(G1675="",G1675="?"),"",IFERROR(INDEX(Pubs!$C$2:$C$3001,MATCH(G1675,Pubs!$A$2:$A$3001,0))&amp;"",""))</f>
        <v/>
      </c>
      <c r="J1675" s="27" t="str">
        <f aca="false">IF(OR(G1675="",G1675="?"),"",IFERROR(INDEX(Pubs!$G$2:$G$3001,MATCH(G1675,Pubs!$A$2:$A$3001,0))&amp;"",""))</f>
        <v/>
      </c>
      <c r="K1675" s="28" t="str">
        <f aca="false">IF(OR(G1675="",G1675="?"),"",IFERROR(INDEX(Pubs!$E$2:$E$3001,MATCH(G1675,Pubs!$A$2:$A$3001,0)),""))</f>
        <v/>
      </c>
      <c r="L1675" s="29" t="str">
        <f aca="false">IF(A1675="","",IFERROR(1/(1/INDEX(Numéros!$C$2:$C$3001,MATCH(A1675&amp;"|"&amp;B1675,Numéros!$F$2:$F$3001,0))),""))</f>
        <v/>
      </c>
      <c r="M1675" s="27" t="str">
        <f aca="false">IF(OR(G1675="",G1675="?"),"",IFERROR(INDEX(Pubs!$D$2:$D$3001,MATCH(G1675,Pubs!$A$2:$A$3001,0))&amp;"",""))</f>
        <v/>
      </c>
      <c r="N1675" s="27" t="n">
        <f aca="false">N(N1674)+IF(AND(A1675&lt;&gt;"",OR(Recherche!$C$4="",A1675=Recherche!$C$4),OR(Recherche!$C$5="",B1675&amp;""=Recherche!$C$5&amp;""),OR(Recherche!$C$6="",IFERROR(YEAR(L1675),0)=Recherche!$C$6),OR(Recherche!$C$7="",ISNUMBER(SEARCH(Recherche!$C$7,H1675))),OR(Recherche!$C$8="",J1675=Recherche!$C$8),OR(Recherche!$C$9="",I1675=Recherche!$C$9),OR(Recherche!$C$10="",G1675&amp;""=Recherche!$C$10&amp;""),OR(Recherche!$C$11="",E1675=Recherche!$C$11),OR(Recherche!$C$12="",ISNUMBER(SEARCH(Recherche!$C$12,M1675&amp;" "&amp;F1675)))),1,0)</f>
        <v>8</v>
      </c>
    </row>
    <row r="1676" customFormat="false" ht="15" hidden="false" customHeight="false" outlineLevel="0" collapsed="false">
      <c r="A1676" s="19"/>
      <c r="B1676" s="19"/>
      <c r="C1676" s="19"/>
      <c r="D1676" s="19"/>
      <c r="E1676" s="22"/>
      <c r="F1676" s="19"/>
      <c r="G1676" s="26" t="str">
        <f aca="false">IF(D1676="","",IFERROR(VALUE(LEFT(D1676,FIND(" |",D1676&amp;" |")-1)),"?"))</f>
        <v/>
      </c>
      <c r="H1676" s="27" t="str">
        <f aca="false">IF(G1676="","",IF(G1676="?","⚠ pub inconnue",IFERROR(INDEX(Pubs!$B$2:$B$3001,MATCH(G1676,Pubs!$A$2:$A$3001,0))&amp;"","⚠ pub inconnue")))</f>
        <v/>
      </c>
      <c r="I1676" s="27" t="str">
        <f aca="false">IF(OR(G1676="",G1676="?"),"",IFERROR(INDEX(Pubs!$C$2:$C$3001,MATCH(G1676,Pubs!$A$2:$A$3001,0))&amp;"",""))</f>
        <v/>
      </c>
      <c r="J1676" s="27" t="str">
        <f aca="false">IF(OR(G1676="",G1676="?"),"",IFERROR(INDEX(Pubs!$G$2:$G$3001,MATCH(G1676,Pubs!$A$2:$A$3001,0))&amp;"",""))</f>
        <v/>
      </c>
      <c r="K1676" s="28" t="str">
        <f aca="false">IF(OR(G1676="",G1676="?"),"",IFERROR(INDEX(Pubs!$E$2:$E$3001,MATCH(G1676,Pubs!$A$2:$A$3001,0)),""))</f>
        <v/>
      </c>
      <c r="L1676" s="29" t="str">
        <f aca="false">IF(A1676="","",IFERROR(1/(1/INDEX(Numéros!$C$2:$C$3001,MATCH(A1676&amp;"|"&amp;B1676,Numéros!$F$2:$F$3001,0))),""))</f>
        <v/>
      </c>
      <c r="M1676" s="27" t="str">
        <f aca="false">IF(OR(G1676="",G1676="?"),"",IFERROR(INDEX(Pubs!$D$2:$D$3001,MATCH(G1676,Pubs!$A$2:$A$3001,0))&amp;"",""))</f>
        <v/>
      </c>
      <c r="N1676" s="27" t="n">
        <f aca="false">N(N1675)+IF(AND(A1676&lt;&gt;"",OR(Recherche!$C$4="",A1676=Recherche!$C$4),OR(Recherche!$C$5="",B1676&amp;""=Recherche!$C$5&amp;""),OR(Recherche!$C$6="",IFERROR(YEAR(L1676),0)=Recherche!$C$6),OR(Recherche!$C$7="",ISNUMBER(SEARCH(Recherche!$C$7,H1676))),OR(Recherche!$C$8="",J1676=Recherche!$C$8),OR(Recherche!$C$9="",I1676=Recherche!$C$9),OR(Recherche!$C$10="",G1676&amp;""=Recherche!$C$10&amp;""),OR(Recherche!$C$11="",E1676=Recherche!$C$11),OR(Recherche!$C$12="",ISNUMBER(SEARCH(Recherche!$C$12,M1676&amp;" "&amp;F1676)))),1,0)</f>
        <v>8</v>
      </c>
    </row>
    <row r="1677" customFormat="false" ht="15" hidden="false" customHeight="false" outlineLevel="0" collapsed="false">
      <c r="A1677" s="19"/>
      <c r="B1677" s="19"/>
      <c r="C1677" s="19"/>
      <c r="D1677" s="19"/>
      <c r="E1677" s="22"/>
      <c r="F1677" s="19"/>
      <c r="G1677" s="26" t="str">
        <f aca="false">IF(D1677="","",IFERROR(VALUE(LEFT(D1677,FIND(" |",D1677&amp;" |")-1)),"?"))</f>
        <v/>
      </c>
      <c r="H1677" s="27" t="str">
        <f aca="false">IF(G1677="","",IF(G1677="?","⚠ pub inconnue",IFERROR(INDEX(Pubs!$B$2:$B$3001,MATCH(G1677,Pubs!$A$2:$A$3001,0))&amp;"","⚠ pub inconnue")))</f>
        <v/>
      </c>
      <c r="I1677" s="27" t="str">
        <f aca="false">IF(OR(G1677="",G1677="?"),"",IFERROR(INDEX(Pubs!$C$2:$C$3001,MATCH(G1677,Pubs!$A$2:$A$3001,0))&amp;"",""))</f>
        <v/>
      </c>
      <c r="J1677" s="27" t="str">
        <f aca="false">IF(OR(G1677="",G1677="?"),"",IFERROR(INDEX(Pubs!$G$2:$G$3001,MATCH(G1677,Pubs!$A$2:$A$3001,0))&amp;"",""))</f>
        <v/>
      </c>
      <c r="K1677" s="28" t="str">
        <f aca="false">IF(OR(G1677="",G1677="?"),"",IFERROR(INDEX(Pubs!$E$2:$E$3001,MATCH(G1677,Pubs!$A$2:$A$3001,0)),""))</f>
        <v/>
      </c>
      <c r="L1677" s="29" t="str">
        <f aca="false">IF(A1677="","",IFERROR(1/(1/INDEX(Numéros!$C$2:$C$3001,MATCH(A1677&amp;"|"&amp;B1677,Numéros!$F$2:$F$3001,0))),""))</f>
        <v/>
      </c>
      <c r="M1677" s="27" t="str">
        <f aca="false">IF(OR(G1677="",G1677="?"),"",IFERROR(INDEX(Pubs!$D$2:$D$3001,MATCH(G1677,Pubs!$A$2:$A$3001,0))&amp;"",""))</f>
        <v/>
      </c>
      <c r="N1677" s="27" t="n">
        <f aca="false">N(N1676)+IF(AND(A1677&lt;&gt;"",OR(Recherche!$C$4="",A1677=Recherche!$C$4),OR(Recherche!$C$5="",B1677&amp;""=Recherche!$C$5&amp;""),OR(Recherche!$C$6="",IFERROR(YEAR(L1677),0)=Recherche!$C$6),OR(Recherche!$C$7="",ISNUMBER(SEARCH(Recherche!$C$7,H1677))),OR(Recherche!$C$8="",J1677=Recherche!$C$8),OR(Recherche!$C$9="",I1677=Recherche!$C$9),OR(Recherche!$C$10="",G1677&amp;""=Recherche!$C$10&amp;""),OR(Recherche!$C$11="",E1677=Recherche!$C$11),OR(Recherche!$C$12="",ISNUMBER(SEARCH(Recherche!$C$12,M1677&amp;" "&amp;F1677)))),1,0)</f>
        <v>8</v>
      </c>
    </row>
    <row r="1678" customFormat="false" ht="15" hidden="false" customHeight="false" outlineLevel="0" collapsed="false">
      <c r="A1678" s="19"/>
      <c r="B1678" s="19"/>
      <c r="C1678" s="19"/>
      <c r="D1678" s="19"/>
      <c r="E1678" s="22"/>
      <c r="F1678" s="19"/>
      <c r="G1678" s="26" t="str">
        <f aca="false">IF(D1678="","",IFERROR(VALUE(LEFT(D1678,FIND(" |",D1678&amp;" |")-1)),"?"))</f>
        <v/>
      </c>
      <c r="H1678" s="27" t="str">
        <f aca="false">IF(G1678="","",IF(G1678="?","⚠ pub inconnue",IFERROR(INDEX(Pubs!$B$2:$B$3001,MATCH(G1678,Pubs!$A$2:$A$3001,0))&amp;"","⚠ pub inconnue")))</f>
        <v/>
      </c>
      <c r="I1678" s="27" t="str">
        <f aca="false">IF(OR(G1678="",G1678="?"),"",IFERROR(INDEX(Pubs!$C$2:$C$3001,MATCH(G1678,Pubs!$A$2:$A$3001,0))&amp;"",""))</f>
        <v/>
      </c>
      <c r="J1678" s="27" t="str">
        <f aca="false">IF(OR(G1678="",G1678="?"),"",IFERROR(INDEX(Pubs!$G$2:$G$3001,MATCH(G1678,Pubs!$A$2:$A$3001,0))&amp;"",""))</f>
        <v/>
      </c>
      <c r="K1678" s="28" t="str">
        <f aca="false">IF(OR(G1678="",G1678="?"),"",IFERROR(INDEX(Pubs!$E$2:$E$3001,MATCH(G1678,Pubs!$A$2:$A$3001,0)),""))</f>
        <v/>
      </c>
      <c r="L1678" s="29" t="str">
        <f aca="false">IF(A1678="","",IFERROR(1/(1/INDEX(Numéros!$C$2:$C$3001,MATCH(A1678&amp;"|"&amp;B1678,Numéros!$F$2:$F$3001,0))),""))</f>
        <v/>
      </c>
      <c r="M1678" s="27" t="str">
        <f aca="false">IF(OR(G1678="",G1678="?"),"",IFERROR(INDEX(Pubs!$D$2:$D$3001,MATCH(G1678,Pubs!$A$2:$A$3001,0))&amp;"",""))</f>
        <v/>
      </c>
      <c r="N1678" s="27" t="n">
        <f aca="false">N(N1677)+IF(AND(A1678&lt;&gt;"",OR(Recherche!$C$4="",A1678=Recherche!$C$4),OR(Recherche!$C$5="",B1678&amp;""=Recherche!$C$5&amp;""),OR(Recherche!$C$6="",IFERROR(YEAR(L1678),0)=Recherche!$C$6),OR(Recherche!$C$7="",ISNUMBER(SEARCH(Recherche!$C$7,H1678))),OR(Recherche!$C$8="",J1678=Recherche!$C$8),OR(Recherche!$C$9="",I1678=Recherche!$C$9),OR(Recherche!$C$10="",G1678&amp;""=Recherche!$C$10&amp;""),OR(Recherche!$C$11="",E1678=Recherche!$C$11),OR(Recherche!$C$12="",ISNUMBER(SEARCH(Recherche!$C$12,M1678&amp;" "&amp;F1678)))),1,0)</f>
        <v>8</v>
      </c>
    </row>
    <row r="1679" customFormat="false" ht="15" hidden="false" customHeight="false" outlineLevel="0" collapsed="false">
      <c r="A1679" s="19"/>
      <c r="B1679" s="19"/>
      <c r="C1679" s="19"/>
      <c r="D1679" s="19"/>
      <c r="E1679" s="22"/>
      <c r="F1679" s="19"/>
      <c r="G1679" s="26" t="str">
        <f aca="false">IF(D1679="","",IFERROR(VALUE(LEFT(D1679,FIND(" |",D1679&amp;" |")-1)),"?"))</f>
        <v/>
      </c>
      <c r="H1679" s="27" t="str">
        <f aca="false">IF(G1679="","",IF(G1679="?","⚠ pub inconnue",IFERROR(INDEX(Pubs!$B$2:$B$3001,MATCH(G1679,Pubs!$A$2:$A$3001,0))&amp;"","⚠ pub inconnue")))</f>
        <v/>
      </c>
      <c r="I1679" s="27" t="str">
        <f aca="false">IF(OR(G1679="",G1679="?"),"",IFERROR(INDEX(Pubs!$C$2:$C$3001,MATCH(G1679,Pubs!$A$2:$A$3001,0))&amp;"",""))</f>
        <v/>
      </c>
      <c r="J1679" s="27" t="str">
        <f aca="false">IF(OR(G1679="",G1679="?"),"",IFERROR(INDEX(Pubs!$G$2:$G$3001,MATCH(G1679,Pubs!$A$2:$A$3001,0))&amp;"",""))</f>
        <v/>
      </c>
      <c r="K1679" s="28" t="str">
        <f aca="false">IF(OR(G1679="",G1679="?"),"",IFERROR(INDEX(Pubs!$E$2:$E$3001,MATCH(G1679,Pubs!$A$2:$A$3001,0)),""))</f>
        <v/>
      </c>
      <c r="L1679" s="29" t="str">
        <f aca="false">IF(A1679="","",IFERROR(1/(1/INDEX(Numéros!$C$2:$C$3001,MATCH(A1679&amp;"|"&amp;B1679,Numéros!$F$2:$F$3001,0))),""))</f>
        <v/>
      </c>
      <c r="M1679" s="27" t="str">
        <f aca="false">IF(OR(G1679="",G1679="?"),"",IFERROR(INDEX(Pubs!$D$2:$D$3001,MATCH(G1679,Pubs!$A$2:$A$3001,0))&amp;"",""))</f>
        <v/>
      </c>
      <c r="N1679" s="27" t="n">
        <f aca="false">N(N1678)+IF(AND(A1679&lt;&gt;"",OR(Recherche!$C$4="",A1679=Recherche!$C$4),OR(Recherche!$C$5="",B1679&amp;""=Recherche!$C$5&amp;""),OR(Recherche!$C$6="",IFERROR(YEAR(L1679),0)=Recherche!$C$6),OR(Recherche!$C$7="",ISNUMBER(SEARCH(Recherche!$C$7,H1679))),OR(Recherche!$C$8="",J1679=Recherche!$C$8),OR(Recherche!$C$9="",I1679=Recherche!$C$9),OR(Recherche!$C$10="",G1679&amp;""=Recherche!$C$10&amp;""),OR(Recherche!$C$11="",E1679=Recherche!$C$11),OR(Recherche!$C$12="",ISNUMBER(SEARCH(Recherche!$C$12,M1679&amp;" "&amp;F1679)))),1,0)</f>
        <v>8</v>
      </c>
    </row>
    <row r="1680" customFormat="false" ht="15" hidden="false" customHeight="false" outlineLevel="0" collapsed="false">
      <c r="A1680" s="19"/>
      <c r="B1680" s="19"/>
      <c r="C1680" s="19"/>
      <c r="D1680" s="19"/>
      <c r="E1680" s="22"/>
      <c r="F1680" s="19"/>
      <c r="G1680" s="26" t="str">
        <f aca="false">IF(D1680="","",IFERROR(VALUE(LEFT(D1680,FIND(" |",D1680&amp;" |")-1)),"?"))</f>
        <v/>
      </c>
      <c r="H1680" s="27" t="str">
        <f aca="false">IF(G1680="","",IF(G1680="?","⚠ pub inconnue",IFERROR(INDEX(Pubs!$B$2:$B$3001,MATCH(G1680,Pubs!$A$2:$A$3001,0))&amp;"","⚠ pub inconnue")))</f>
        <v/>
      </c>
      <c r="I1680" s="27" t="str">
        <f aca="false">IF(OR(G1680="",G1680="?"),"",IFERROR(INDEX(Pubs!$C$2:$C$3001,MATCH(G1680,Pubs!$A$2:$A$3001,0))&amp;"",""))</f>
        <v/>
      </c>
      <c r="J1680" s="27" t="str">
        <f aca="false">IF(OR(G1680="",G1680="?"),"",IFERROR(INDEX(Pubs!$G$2:$G$3001,MATCH(G1680,Pubs!$A$2:$A$3001,0))&amp;"",""))</f>
        <v/>
      </c>
      <c r="K1680" s="28" t="str">
        <f aca="false">IF(OR(G1680="",G1680="?"),"",IFERROR(INDEX(Pubs!$E$2:$E$3001,MATCH(G1680,Pubs!$A$2:$A$3001,0)),""))</f>
        <v/>
      </c>
      <c r="L1680" s="29" t="str">
        <f aca="false">IF(A1680="","",IFERROR(1/(1/INDEX(Numéros!$C$2:$C$3001,MATCH(A1680&amp;"|"&amp;B1680,Numéros!$F$2:$F$3001,0))),""))</f>
        <v/>
      </c>
      <c r="M1680" s="27" t="str">
        <f aca="false">IF(OR(G1680="",G1680="?"),"",IFERROR(INDEX(Pubs!$D$2:$D$3001,MATCH(G1680,Pubs!$A$2:$A$3001,0))&amp;"",""))</f>
        <v/>
      </c>
      <c r="N1680" s="27" t="n">
        <f aca="false">N(N1679)+IF(AND(A1680&lt;&gt;"",OR(Recherche!$C$4="",A1680=Recherche!$C$4),OR(Recherche!$C$5="",B1680&amp;""=Recherche!$C$5&amp;""),OR(Recherche!$C$6="",IFERROR(YEAR(L1680),0)=Recherche!$C$6),OR(Recherche!$C$7="",ISNUMBER(SEARCH(Recherche!$C$7,H1680))),OR(Recherche!$C$8="",J1680=Recherche!$C$8),OR(Recherche!$C$9="",I1680=Recherche!$C$9),OR(Recherche!$C$10="",G1680&amp;""=Recherche!$C$10&amp;""),OR(Recherche!$C$11="",E1680=Recherche!$C$11),OR(Recherche!$C$12="",ISNUMBER(SEARCH(Recherche!$C$12,M1680&amp;" "&amp;F1680)))),1,0)</f>
        <v>8</v>
      </c>
    </row>
    <row r="1681" customFormat="false" ht="15" hidden="false" customHeight="false" outlineLevel="0" collapsed="false">
      <c r="A1681" s="19"/>
      <c r="B1681" s="19"/>
      <c r="C1681" s="19"/>
      <c r="D1681" s="19"/>
      <c r="E1681" s="22"/>
      <c r="F1681" s="19"/>
      <c r="G1681" s="26" t="str">
        <f aca="false">IF(D1681="","",IFERROR(VALUE(LEFT(D1681,FIND(" |",D1681&amp;" |")-1)),"?"))</f>
        <v/>
      </c>
      <c r="H1681" s="27" t="str">
        <f aca="false">IF(G1681="","",IF(G1681="?","⚠ pub inconnue",IFERROR(INDEX(Pubs!$B$2:$B$3001,MATCH(G1681,Pubs!$A$2:$A$3001,0))&amp;"","⚠ pub inconnue")))</f>
        <v/>
      </c>
      <c r="I1681" s="27" t="str">
        <f aca="false">IF(OR(G1681="",G1681="?"),"",IFERROR(INDEX(Pubs!$C$2:$C$3001,MATCH(G1681,Pubs!$A$2:$A$3001,0))&amp;"",""))</f>
        <v/>
      </c>
      <c r="J1681" s="27" t="str">
        <f aca="false">IF(OR(G1681="",G1681="?"),"",IFERROR(INDEX(Pubs!$G$2:$G$3001,MATCH(G1681,Pubs!$A$2:$A$3001,0))&amp;"",""))</f>
        <v/>
      </c>
      <c r="K1681" s="28" t="str">
        <f aca="false">IF(OR(G1681="",G1681="?"),"",IFERROR(INDEX(Pubs!$E$2:$E$3001,MATCH(G1681,Pubs!$A$2:$A$3001,0)),""))</f>
        <v/>
      </c>
      <c r="L1681" s="29" t="str">
        <f aca="false">IF(A1681="","",IFERROR(1/(1/INDEX(Numéros!$C$2:$C$3001,MATCH(A1681&amp;"|"&amp;B1681,Numéros!$F$2:$F$3001,0))),""))</f>
        <v/>
      </c>
      <c r="M1681" s="27" t="str">
        <f aca="false">IF(OR(G1681="",G1681="?"),"",IFERROR(INDEX(Pubs!$D$2:$D$3001,MATCH(G1681,Pubs!$A$2:$A$3001,0))&amp;"",""))</f>
        <v/>
      </c>
      <c r="N1681" s="27" t="n">
        <f aca="false">N(N1680)+IF(AND(A1681&lt;&gt;"",OR(Recherche!$C$4="",A1681=Recherche!$C$4),OR(Recherche!$C$5="",B1681&amp;""=Recherche!$C$5&amp;""),OR(Recherche!$C$6="",IFERROR(YEAR(L1681),0)=Recherche!$C$6),OR(Recherche!$C$7="",ISNUMBER(SEARCH(Recherche!$C$7,H1681))),OR(Recherche!$C$8="",J1681=Recherche!$C$8),OR(Recherche!$C$9="",I1681=Recherche!$C$9),OR(Recherche!$C$10="",G1681&amp;""=Recherche!$C$10&amp;""),OR(Recherche!$C$11="",E1681=Recherche!$C$11),OR(Recherche!$C$12="",ISNUMBER(SEARCH(Recherche!$C$12,M1681&amp;" "&amp;F1681)))),1,0)</f>
        <v>8</v>
      </c>
    </row>
    <row r="1682" customFormat="false" ht="15" hidden="false" customHeight="false" outlineLevel="0" collapsed="false">
      <c r="A1682" s="19"/>
      <c r="B1682" s="19"/>
      <c r="C1682" s="19"/>
      <c r="D1682" s="19"/>
      <c r="E1682" s="22"/>
      <c r="F1682" s="19"/>
      <c r="G1682" s="26" t="str">
        <f aca="false">IF(D1682="","",IFERROR(VALUE(LEFT(D1682,FIND(" |",D1682&amp;" |")-1)),"?"))</f>
        <v/>
      </c>
      <c r="H1682" s="27" t="str">
        <f aca="false">IF(G1682="","",IF(G1682="?","⚠ pub inconnue",IFERROR(INDEX(Pubs!$B$2:$B$3001,MATCH(G1682,Pubs!$A$2:$A$3001,0))&amp;"","⚠ pub inconnue")))</f>
        <v/>
      </c>
      <c r="I1682" s="27" t="str">
        <f aca="false">IF(OR(G1682="",G1682="?"),"",IFERROR(INDEX(Pubs!$C$2:$C$3001,MATCH(G1682,Pubs!$A$2:$A$3001,0))&amp;"",""))</f>
        <v/>
      </c>
      <c r="J1682" s="27" t="str">
        <f aca="false">IF(OR(G1682="",G1682="?"),"",IFERROR(INDEX(Pubs!$G$2:$G$3001,MATCH(G1682,Pubs!$A$2:$A$3001,0))&amp;"",""))</f>
        <v/>
      </c>
      <c r="K1682" s="28" t="str">
        <f aca="false">IF(OR(G1682="",G1682="?"),"",IFERROR(INDEX(Pubs!$E$2:$E$3001,MATCH(G1682,Pubs!$A$2:$A$3001,0)),""))</f>
        <v/>
      </c>
      <c r="L1682" s="29" t="str">
        <f aca="false">IF(A1682="","",IFERROR(1/(1/INDEX(Numéros!$C$2:$C$3001,MATCH(A1682&amp;"|"&amp;B1682,Numéros!$F$2:$F$3001,0))),""))</f>
        <v/>
      </c>
      <c r="M1682" s="27" t="str">
        <f aca="false">IF(OR(G1682="",G1682="?"),"",IFERROR(INDEX(Pubs!$D$2:$D$3001,MATCH(G1682,Pubs!$A$2:$A$3001,0))&amp;"",""))</f>
        <v/>
      </c>
      <c r="N1682" s="27" t="n">
        <f aca="false">N(N1681)+IF(AND(A1682&lt;&gt;"",OR(Recherche!$C$4="",A1682=Recherche!$C$4),OR(Recherche!$C$5="",B1682&amp;""=Recherche!$C$5&amp;""),OR(Recherche!$C$6="",IFERROR(YEAR(L1682),0)=Recherche!$C$6),OR(Recherche!$C$7="",ISNUMBER(SEARCH(Recherche!$C$7,H1682))),OR(Recherche!$C$8="",J1682=Recherche!$C$8),OR(Recherche!$C$9="",I1682=Recherche!$C$9),OR(Recherche!$C$10="",G1682&amp;""=Recherche!$C$10&amp;""),OR(Recherche!$C$11="",E1682=Recherche!$C$11),OR(Recherche!$C$12="",ISNUMBER(SEARCH(Recherche!$C$12,M1682&amp;" "&amp;F1682)))),1,0)</f>
        <v>8</v>
      </c>
    </row>
    <row r="1683" customFormat="false" ht="15" hidden="false" customHeight="false" outlineLevel="0" collapsed="false">
      <c r="A1683" s="19"/>
      <c r="B1683" s="19"/>
      <c r="C1683" s="19"/>
      <c r="D1683" s="19"/>
      <c r="E1683" s="22"/>
      <c r="F1683" s="19"/>
      <c r="G1683" s="26" t="str">
        <f aca="false">IF(D1683="","",IFERROR(VALUE(LEFT(D1683,FIND(" |",D1683&amp;" |")-1)),"?"))</f>
        <v/>
      </c>
      <c r="H1683" s="27" t="str">
        <f aca="false">IF(G1683="","",IF(G1683="?","⚠ pub inconnue",IFERROR(INDEX(Pubs!$B$2:$B$3001,MATCH(G1683,Pubs!$A$2:$A$3001,0))&amp;"","⚠ pub inconnue")))</f>
        <v/>
      </c>
      <c r="I1683" s="27" t="str">
        <f aca="false">IF(OR(G1683="",G1683="?"),"",IFERROR(INDEX(Pubs!$C$2:$C$3001,MATCH(G1683,Pubs!$A$2:$A$3001,0))&amp;"",""))</f>
        <v/>
      </c>
      <c r="J1683" s="27" t="str">
        <f aca="false">IF(OR(G1683="",G1683="?"),"",IFERROR(INDEX(Pubs!$G$2:$G$3001,MATCH(G1683,Pubs!$A$2:$A$3001,0))&amp;"",""))</f>
        <v/>
      </c>
      <c r="K1683" s="28" t="str">
        <f aca="false">IF(OR(G1683="",G1683="?"),"",IFERROR(INDEX(Pubs!$E$2:$E$3001,MATCH(G1683,Pubs!$A$2:$A$3001,0)),""))</f>
        <v/>
      </c>
      <c r="L1683" s="29" t="str">
        <f aca="false">IF(A1683="","",IFERROR(1/(1/INDEX(Numéros!$C$2:$C$3001,MATCH(A1683&amp;"|"&amp;B1683,Numéros!$F$2:$F$3001,0))),""))</f>
        <v/>
      </c>
      <c r="M1683" s="27" t="str">
        <f aca="false">IF(OR(G1683="",G1683="?"),"",IFERROR(INDEX(Pubs!$D$2:$D$3001,MATCH(G1683,Pubs!$A$2:$A$3001,0))&amp;"",""))</f>
        <v/>
      </c>
      <c r="N1683" s="27" t="n">
        <f aca="false">N(N1682)+IF(AND(A1683&lt;&gt;"",OR(Recherche!$C$4="",A1683=Recherche!$C$4),OR(Recherche!$C$5="",B1683&amp;""=Recherche!$C$5&amp;""),OR(Recherche!$C$6="",IFERROR(YEAR(L1683),0)=Recherche!$C$6),OR(Recherche!$C$7="",ISNUMBER(SEARCH(Recherche!$C$7,H1683))),OR(Recherche!$C$8="",J1683=Recherche!$C$8),OR(Recherche!$C$9="",I1683=Recherche!$C$9),OR(Recherche!$C$10="",G1683&amp;""=Recherche!$C$10&amp;""),OR(Recherche!$C$11="",E1683=Recherche!$C$11),OR(Recherche!$C$12="",ISNUMBER(SEARCH(Recherche!$C$12,M1683&amp;" "&amp;F1683)))),1,0)</f>
        <v>8</v>
      </c>
    </row>
    <row r="1684" customFormat="false" ht="15" hidden="false" customHeight="false" outlineLevel="0" collapsed="false">
      <c r="A1684" s="19"/>
      <c r="B1684" s="19"/>
      <c r="C1684" s="19"/>
      <c r="D1684" s="19"/>
      <c r="E1684" s="22"/>
      <c r="F1684" s="19"/>
      <c r="G1684" s="26" t="str">
        <f aca="false">IF(D1684="","",IFERROR(VALUE(LEFT(D1684,FIND(" |",D1684&amp;" |")-1)),"?"))</f>
        <v/>
      </c>
      <c r="H1684" s="27" t="str">
        <f aca="false">IF(G1684="","",IF(G1684="?","⚠ pub inconnue",IFERROR(INDEX(Pubs!$B$2:$B$3001,MATCH(G1684,Pubs!$A$2:$A$3001,0))&amp;"","⚠ pub inconnue")))</f>
        <v/>
      </c>
      <c r="I1684" s="27" t="str">
        <f aca="false">IF(OR(G1684="",G1684="?"),"",IFERROR(INDEX(Pubs!$C$2:$C$3001,MATCH(G1684,Pubs!$A$2:$A$3001,0))&amp;"",""))</f>
        <v/>
      </c>
      <c r="J1684" s="27" t="str">
        <f aca="false">IF(OR(G1684="",G1684="?"),"",IFERROR(INDEX(Pubs!$G$2:$G$3001,MATCH(G1684,Pubs!$A$2:$A$3001,0))&amp;"",""))</f>
        <v/>
      </c>
      <c r="K1684" s="28" t="str">
        <f aca="false">IF(OR(G1684="",G1684="?"),"",IFERROR(INDEX(Pubs!$E$2:$E$3001,MATCH(G1684,Pubs!$A$2:$A$3001,0)),""))</f>
        <v/>
      </c>
      <c r="L1684" s="29" t="str">
        <f aca="false">IF(A1684="","",IFERROR(1/(1/INDEX(Numéros!$C$2:$C$3001,MATCH(A1684&amp;"|"&amp;B1684,Numéros!$F$2:$F$3001,0))),""))</f>
        <v/>
      </c>
      <c r="M1684" s="27" t="str">
        <f aca="false">IF(OR(G1684="",G1684="?"),"",IFERROR(INDEX(Pubs!$D$2:$D$3001,MATCH(G1684,Pubs!$A$2:$A$3001,0))&amp;"",""))</f>
        <v/>
      </c>
      <c r="N1684" s="27" t="n">
        <f aca="false">N(N1683)+IF(AND(A1684&lt;&gt;"",OR(Recherche!$C$4="",A1684=Recherche!$C$4),OR(Recherche!$C$5="",B1684&amp;""=Recherche!$C$5&amp;""),OR(Recherche!$C$6="",IFERROR(YEAR(L1684),0)=Recherche!$C$6),OR(Recherche!$C$7="",ISNUMBER(SEARCH(Recherche!$C$7,H1684))),OR(Recherche!$C$8="",J1684=Recherche!$C$8),OR(Recherche!$C$9="",I1684=Recherche!$C$9),OR(Recherche!$C$10="",G1684&amp;""=Recherche!$C$10&amp;""),OR(Recherche!$C$11="",E1684=Recherche!$C$11),OR(Recherche!$C$12="",ISNUMBER(SEARCH(Recherche!$C$12,M1684&amp;" "&amp;F1684)))),1,0)</f>
        <v>8</v>
      </c>
    </row>
    <row r="1685" customFormat="false" ht="15" hidden="false" customHeight="false" outlineLevel="0" collapsed="false">
      <c r="A1685" s="19"/>
      <c r="B1685" s="19"/>
      <c r="C1685" s="19"/>
      <c r="D1685" s="19"/>
      <c r="E1685" s="22"/>
      <c r="F1685" s="19"/>
      <c r="G1685" s="26" t="str">
        <f aca="false">IF(D1685="","",IFERROR(VALUE(LEFT(D1685,FIND(" |",D1685&amp;" |")-1)),"?"))</f>
        <v/>
      </c>
      <c r="H1685" s="27" t="str">
        <f aca="false">IF(G1685="","",IF(G1685="?","⚠ pub inconnue",IFERROR(INDEX(Pubs!$B$2:$B$3001,MATCH(G1685,Pubs!$A$2:$A$3001,0))&amp;"","⚠ pub inconnue")))</f>
        <v/>
      </c>
      <c r="I1685" s="27" t="str">
        <f aca="false">IF(OR(G1685="",G1685="?"),"",IFERROR(INDEX(Pubs!$C$2:$C$3001,MATCH(G1685,Pubs!$A$2:$A$3001,0))&amp;"",""))</f>
        <v/>
      </c>
      <c r="J1685" s="27" t="str">
        <f aca="false">IF(OR(G1685="",G1685="?"),"",IFERROR(INDEX(Pubs!$G$2:$G$3001,MATCH(G1685,Pubs!$A$2:$A$3001,0))&amp;"",""))</f>
        <v/>
      </c>
      <c r="K1685" s="28" t="str">
        <f aca="false">IF(OR(G1685="",G1685="?"),"",IFERROR(INDEX(Pubs!$E$2:$E$3001,MATCH(G1685,Pubs!$A$2:$A$3001,0)),""))</f>
        <v/>
      </c>
      <c r="L1685" s="29" t="str">
        <f aca="false">IF(A1685="","",IFERROR(1/(1/INDEX(Numéros!$C$2:$C$3001,MATCH(A1685&amp;"|"&amp;B1685,Numéros!$F$2:$F$3001,0))),""))</f>
        <v/>
      </c>
      <c r="M1685" s="27" t="str">
        <f aca="false">IF(OR(G1685="",G1685="?"),"",IFERROR(INDEX(Pubs!$D$2:$D$3001,MATCH(G1685,Pubs!$A$2:$A$3001,0))&amp;"",""))</f>
        <v/>
      </c>
      <c r="N1685" s="27" t="n">
        <f aca="false">N(N1684)+IF(AND(A1685&lt;&gt;"",OR(Recherche!$C$4="",A1685=Recherche!$C$4),OR(Recherche!$C$5="",B1685&amp;""=Recherche!$C$5&amp;""),OR(Recherche!$C$6="",IFERROR(YEAR(L1685),0)=Recherche!$C$6),OR(Recherche!$C$7="",ISNUMBER(SEARCH(Recherche!$C$7,H1685))),OR(Recherche!$C$8="",J1685=Recherche!$C$8),OR(Recherche!$C$9="",I1685=Recherche!$C$9),OR(Recherche!$C$10="",G1685&amp;""=Recherche!$C$10&amp;""),OR(Recherche!$C$11="",E1685=Recherche!$C$11),OR(Recherche!$C$12="",ISNUMBER(SEARCH(Recherche!$C$12,M1685&amp;" "&amp;F1685)))),1,0)</f>
        <v>8</v>
      </c>
    </row>
    <row r="1686" customFormat="false" ht="15" hidden="false" customHeight="false" outlineLevel="0" collapsed="false">
      <c r="A1686" s="19"/>
      <c r="B1686" s="19"/>
      <c r="C1686" s="19"/>
      <c r="D1686" s="19"/>
      <c r="E1686" s="22"/>
      <c r="F1686" s="19"/>
      <c r="G1686" s="26" t="str">
        <f aca="false">IF(D1686="","",IFERROR(VALUE(LEFT(D1686,FIND(" |",D1686&amp;" |")-1)),"?"))</f>
        <v/>
      </c>
      <c r="H1686" s="27" t="str">
        <f aca="false">IF(G1686="","",IF(G1686="?","⚠ pub inconnue",IFERROR(INDEX(Pubs!$B$2:$B$3001,MATCH(G1686,Pubs!$A$2:$A$3001,0))&amp;"","⚠ pub inconnue")))</f>
        <v/>
      </c>
      <c r="I1686" s="27" t="str">
        <f aca="false">IF(OR(G1686="",G1686="?"),"",IFERROR(INDEX(Pubs!$C$2:$C$3001,MATCH(G1686,Pubs!$A$2:$A$3001,0))&amp;"",""))</f>
        <v/>
      </c>
      <c r="J1686" s="27" t="str">
        <f aca="false">IF(OR(G1686="",G1686="?"),"",IFERROR(INDEX(Pubs!$G$2:$G$3001,MATCH(G1686,Pubs!$A$2:$A$3001,0))&amp;"",""))</f>
        <v/>
      </c>
      <c r="K1686" s="28" t="str">
        <f aca="false">IF(OR(G1686="",G1686="?"),"",IFERROR(INDEX(Pubs!$E$2:$E$3001,MATCH(G1686,Pubs!$A$2:$A$3001,0)),""))</f>
        <v/>
      </c>
      <c r="L1686" s="29" t="str">
        <f aca="false">IF(A1686="","",IFERROR(1/(1/INDEX(Numéros!$C$2:$C$3001,MATCH(A1686&amp;"|"&amp;B1686,Numéros!$F$2:$F$3001,0))),""))</f>
        <v/>
      </c>
      <c r="M1686" s="27" t="str">
        <f aca="false">IF(OR(G1686="",G1686="?"),"",IFERROR(INDEX(Pubs!$D$2:$D$3001,MATCH(G1686,Pubs!$A$2:$A$3001,0))&amp;"",""))</f>
        <v/>
      </c>
      <c r="N1686" s="27" t="n">
        <f aca="false">N(N1685)+IF(AND(A1686&lt;&gt;"",OR(Recherche!$C$4="",A1686=Recherche!$C$4),OR(Recherche!$C$5="",B1686&amp;""=Recherche!$C$5&amp;""),OR(Recherche!$C$6="",IFERROR(YEAR(L1686),0)=Recherche!$C$6),OR(Recherche!$C$7="",ISNUMBER(SEARCH(Recherche!$C$7,H1686))),OR(Recherche!$C$8="",J1686=Recherche!$C$8),OR(Recherche!$C$9="",I1686=Recherche!$C$9),OR(Recherche!$C$10="",G1686&amp;""=Recherche!$C$10&amp;""),OR(Recherche!$C$11="",E1686=Recherche!$C$11),OR(Recherche!$C$12="",ISNUMBER(SEARCH(Recherche!$C$12,M1686&amp;" "&amp;F1686)))),1,0)</f>
        <v>8</v>
      </c>
    </row>
    <row r="1687" customFormat="false" ht="15" hidden="false" customHeight="false" outlineLevel="0" collapsed="false">
      <c r="A1687" s="19"/>
      <c r="B1687" s="19"/>
      <c r="C1687" s="19"/>
      <c r="D1687" s="19"/>
      <c r="E1687" s="22"/>
      <c r="F1687" s="19"/>
      <c r="G1687" s="26" t="str">
        <f aca="false">IF(D1687="","",IFERROR(VALUE(LEFT(D1687,FIND(" |",D1687&amp;" |")-1)),"?"))</f>
        <v/>
      </c>
      <c r="H1687" s="27" t="str">
        <f aca="false">IF(G1687="","",IF(G1687="?","⚠ pub inconnue",IFERROR(INDEX(Pubs!$B$2:$B$3001,MATCH(G1687,Pubs!$A$2:$A$3001,0))&amp;"","⚠ pub inconnue")))</f>
        <v/>
      </c>
      <c r="I1687" s="27" t="str">
        <f aca="false">IF(OR(G1687="",G1687="?"),"",IFERROR(INDEX(Pubs!$C$2:$C$3001,MATCH(G1687,Pubs!$A$2:$A$3001,0))&amp;"",""))</f>
        <v/>
      </c>
      <c r="J1687" s="27" t="str">
        <f aca="false">IF(OR(G1687="",G1687="?"),"",IFERROR(INDEX(Pubs!$G$2:$G$3001,MATCH(G1687,Pubs!$A$2:$A$3001,0))&amp;"",""))</f>
        <v/>
      </c>
      <c r="K1687" s="28" t="str">
        <f aca="false">IF(OR(G1687="",G1687="?"),"",IFERROR(INDEX(Pubs!$E$2:$E$3001,MATCH(G1687,Pubs!$A$2:$A$3001,0)),""))</f>
        <v/>
      </c>
      <c r="L1687" s="29" t="str">
        <f aca="false">IF(A1687="","",IFERROR(1/(1/INDEX(Numéros!$C$2:$C$3001,MATCH(A1687&amp;"|"&amp;B1687,Numéros!$F$2:$F$3001,0))),""))</f>
        <v/>
      </c>
      <c r="M1687" s="27" t="str">
        <f aca="false">IF(OR(G1687="",G1687="?"),"",IFERROR(INDEX(Pubs!$D$2:$D$3001,MATCH(G1687,Pubs!$A$2:$A$3001,0))&amp;"",""))</f>
        <v/>
      </c>
      <c r="N1687" s="27" t="n">
        <f aca="false">N(N1686)+IF(AND(A1687&lt;&gt;"",OR(Recherche!$C$4="",A1687=Recherche!$C$4),OR(Recherche!$C$5="",B1687&amp;""=Recherche!$C$5&amp;""),OR(Recherche!$C$6="",IFERROR(YEAR(L1687),0)=Recherche!$C$6),OR(Recherche!$C$7="",ISNUMBER(SEARCH(Recherche!$C$7,H1687))),OR(Recherche!$C$8="",J1687=Recherche!$C$8),OR(Recherche!$C$9="",I1687=Recherche!$C$9),OR(Recherche!$C$10="",G1687&amp;""=Recherche!$C$10&amp;""),OR(Recherche!$C$11="",E1687=Recherche!$C$11),OR(Recherche!$C$12="",ISNUMBER(SEARCH(Recherche!$C$12,M1687&amp;" "&amp;F1687)))),1,0)</f>
        <v>8</v>
      </c>
    </row>
    <row r="1688" customFormat="false" ht="15" hidden="false" customHeight="false" outlineLevel="0" collapsed="false">
      <c r="A1688" s="19"/>
      <c r="B1688" s="19"/>
      <c r="C1688" s="19"/>
      <c r="D1688" s="19"/>
      <c r="E1688" s="22"/>
      <c r="F1688" s="19"/>
      <c r="G1688" s="26" t="str">
        <f aca="false">IF(D1688="","",IFERROR(VALUE(LEFT(D1688,FIND(" |",D1688&amp;" |")-1)),"?"))</f>
        <v/>
      </c>
      <c r="H1688" s="27" t="str">
        <f aca="false">IF(G1688="","",IF(G1688="?","⚠ pub inconnue",IFERROR(INDEX(Pubs!$B$2:$B$3001,MATCH(G1688,Pubs!$A$2:$A$3001,0))&amp;"","⚠ pub inconnue")))</f>
        <v/>
      </c>
      <c r="I1688" s="27" t="str">
        <f aca="false">IF(OR(G1688="",G1688="?"),"",IFERROR(INDEX(Pubs!$C$2:$C$3001,MATCH(G1688,Pubs!$A$2:$A$3001,0))&amp;"",""))</f>
        <v/>
      </c>
      <c r="J1688" s="27" t="str">
        <f aca="false">IF(OR(G1688="",G1688="?"),"",IFERROR(INDEX(Pubs!$G$2:$G$3001,MATCH(G1688,Pubs!$A$2:$A$3001,0))&amp;"",""))</f>
        <v/>
      </c>
      <c r="K1688" s="28" t="str">
        <f aca="false">IF(OR(G1688="",G1688="?"),"",IFERROR(INDEX(Pubs!$E$2:$E$3001,MATCH(G1688,Pubs!$A$2:$A$3001,0)),""))</f>
        <v/>
      </c>
      <c r="L1688" s="29" t="str">
        <f aca="false">IF(A1688="","",IFERROR(1/(1/INDEX(Numéros!$C$2:$C$3001,MATCH(A1688&amp;"|"&amp;B1688,Numéros!$F$2:$F$3001,0))),""))</f>
        <v/>
      </c>
      <c r="M1688" s="27" t="str">
        <f aca="false">IF(OR(G1688="",G1688="?"),"",IFERROR(INDEX(Pubs!$D$2:$D$3001,MATCH(G1688,Pubs!$A$2:$A$3001,0))&amp;"",""))</f>
        <v/>
      </c>
      <c r="N1688" s="27" t="n">
        <f aca="false">N(N1687)+IF(AND(A1688&lt;&gt;"",OR(Recherche!$C$4="",A1688=Recherche!$C$4),OR(Recherche!$C$5="",B1688&amp;""=Recherche!$C$5&amp;""),OR(Recherche!$C$6="",IFERROR(YEAR(L1688),0)=Recherche!$C$6),OR(Recherche!$C$7="",ISNUMBER(SEARCH(Recherche!$C$7,H1688))),OR(Recherche!$C$8="",J1688=Recherche!$C$8),OR(Recherche!$C$9="",I1688=Recherche!$C$9),OR(Recherche!$C$10="",G1688&amp;""=Recherche!$C$10&amp;""),OR(Recherche!$C$11="",E1688=Recherche!$C$11),OR(Recherche!$C$12="",ISNUMBER(SEARCH(Recherche!$C$12,M1688&amp;" "&amp;F1688)))),1,0)</f>
        <v>8</v>
      </c>
    </row>
    <row r="1689" customFormat="false" ht="15" hidden="false" customHeight="false" outlineLevel="0" collapsed="false">
      <c r="A1689" s="19"/>
      <c r="B1689" s="19"/>
      <c r="C1689" s="19"/>
      <c r="D1689" s="19"/>
      <c r="E1689" s="22"/>
      <c r="F1689" s="19"/>
      <c r="G1689" s="26" t="str">
        <f aca="false">IF(D1689="","",IFERROR(VALUE(LEFT(D1689,FIND(" |",D1689&amp;" |")-1)),"?"))</f>
        <v/>
      </c>
      <c r="H1689" s="27" t="str">
        <f aca="false">IF(G1689="","",IF(G1689="?","⚠ pub inconnue",IFERROR(INDEX(Pubs!$B$2:$B$3001,MATCH(G1689,Pubs!$A$2:$A$3001,0))&amp;"","⚠ pub inconnue")))</f>
        <v/>
      </c>
      <c r="I1689" s="27" t="str">
        <f aca="false">IF(OR(G1689="",G1689="?"),"",IFERROR(INDEX(Pubs!$C$2:$C$3001,MATCH(G1689,Pubs!$A$2:$A$3001,0))&amp;"",""))</f>
        <v/>
      </c>
      <c r="J1689" s="27" t="str">
        <f aca="false">IF(OR(G1689="",G1689="?"),"",IFERROR(INDEX(Pubs!$G$2:$G$3001,MATCH(G1689,Pubs!$A$2:$A$3001,0))&amp;"",""))</f>
        <v/>
      </c>
      <c r="K1689" s="28" t="str">
        <f aca="false">IF(OR(G1689="",G1689="?"),"",IFERROR(INDEX(Pubs!$E$2:$E$3001,MATCH(G1689,Pubs!$A$2:$A$3001,0)),""))</f>
        <v/>
      </c>
      <c r="L1689" s="29" t="str">
        <f aca="false">IF(A1689="","",IFERROR(1/(1/INDEX(Numéros!$C$2:$C$3001,MATCH(A1689&amp;"|"&amp;B1689,Numéros!$F$2:$F$3001,0))),""))</f>
        <v/>
      </c>
      <c r="M1689" s="27" t="str">
        <f aca="false">IF(OR(G1689="",G1689="?"),"",IFERROR(INDEX(Pubs!$D$2:$D$3001,MATCH(G1689,Pubs!$A$2:$A$3001,0))&amp;"",""))</f>
        <v/>
      </c>
      <c r="N1689" s="27" t="n">
        <f aca="false">N(N1688)+IF(AND(A1689&lt;&gt;"",OR(Recherche!$C$4="",A1689=Recherche!$C$4),OR(Recherche!$C$5="",B1689&amp;""=Recherche!$C$5&amp;""),OR(Recherche!$C$6="",IFERROR(YEAR(L1689),0)=Recherche!$C$6),OR(Recherche!$C$7="",ISNUMBER(SEARCH(Recherche!$C$7,H1689))),OR(Recherche!$C$8="",J1689=Recherche!$C$8),OR(Recherche!$C$9="",I1689=Recherche!$C$9),OR(Recherche!$C$10="",G1689&amp;""=Recherche!$C$10&amp;""),OR(Recherche!$C$11="",E1689=Recherche!$C$11),OR(Recherche!$C$12="",ISNUMBER(SEARCH(Recherche!$C$12,M1689&amp;" "&amp;F1689)))),1,0)</f>
        <v>8</v>
      </c>
    </row>
    <row r="1690" customFormat="false" ht="15" hidden="false" customHeight="false" outlineLevel="0" collapsed="false">
      <c r="A1690" s="19"/>
      <c r="B1690" s="19"/>
      <c r="C1690" s="19"/>
      <c r="D1690" s="19"/>
      <c r="E1690" s="22"/>
      <c r="F1690" s="19"/>
      <c r="G1690" s="26" t="str">
        <f aca="false">IF(D1690="","",IFERROR(VALUE(LEFT(D1690,FIND(" |",D1690&amp;" |")-1)),"?"))</f>
        <v/>
      </c>
      <c r="H1690" s="27" t="str">
        <f aca="false">IF(G1690="","",IF(G1690="?","⚠ pub inconnue",IFERROR(INDEX(Pubs!$B$2:$B$3001,MATCH(G1690,Pubs!$A$2:$A$3001,0))&amp;"","⚠ pub inconnue")))</f>
        <v/>
      </c>
      <c r="I1690" s="27" t="str">
        <f aca="false">IF(OR(G1690="",G1690="?"),"",IFERROR(INDEX(Pubs!$C$2:$C$3001,MATCH(G1690,Pubs!$A$2:$A$3001,0))&amp;"",""))</f>
        <v/>
      </c>
      <c r="J1690" s="27" t="str">
        <f aca="false">IF(OR(G1690="",G1690="?"),"",IFERROR(INDEX(Pubs!$G$2:$G$3001,MATCH(G1690,Pubs!$A$2:$A$3001,0))&amp;"",""))</f>
        <v/>
      </c>
      <c r="K1690" s="28" t="str">
        <f aca="false">IF(OR(G1690="",G1690="?"),"",IFERROR(INDEX(Pubs!$E$2:$E$3001,MATCH(G1690,Pubs!$A$2:$A$3001,0)),""))</f>
        <v/>
      </c>
      <c r="L1690" s="29" t="str">
        <f aca="false">IF(A1690="","",IFERROR(1/(1/INDEX(Numéros!$C$2:$C$3001,MATCH(A1690&amp;"|"&amp;B1690,Numéros!$F$2:$F$3001,0))),""))</f>
        <v/>
      </c>
      <c r="M1690" s="27" t="str">
        <f aca="false">IF(OR(G1690="",G1690="?"),"",IFERROR(INDEX(Pubs!$D$2:$D$3001,MATCH(G1690,Pubs!$A$2:$A$3001,0))&amp;"",""))</f>
        <v/>
      </c>
      <c r="N1690" s="27" t="n">
        <f aca="false">N(N1689)+IF(AND(A1690&lt;&gt;"",OR(Recherche!$C$4="",A1690=Recherche!$C$4),OR(Recherche!$C$5="",B1690&amp;""=Recherche!$C$5&amp;""),OR(Recherche!$C$6="",IFERROR(YEAR(L1690),0)=Recherche!$C$6),OR(Recherche!$C$7="",ISNUMBER(SEARCH(Recherche!$C$7,H1690))),OR(Recherche!$C$8="",J1690=Recherche!$C$8),OR(Recherche!$C$9="",I1690=Recherche!$C$9),OR(Recherche!$C$10="",G1690&amp;""=Recherche!$C$10&amp;""),OR(Recherche!$C$11="",E1690=Recherche!$C$11),OR(Recherche!$C$12="",ISNUMBER(SEARCH(Recherche!$C$12,M1690&amp;" "&amp;F1690)))),1,0)</f>
        <v>8</v>
      </c>
    </row>
    <row r="1691" customFormat="false" ht="15" hidden="false" customHeight="false" outlineLevel="0" collapsed="false">
      <c r="A1691" s="19"/>
      <c r="B1691" s="19"/>
      <c r="C1691" s="19"/>
      <c r="D1691" s="19"/>
      <c r="E1691" s="22"/>
      <c r="F1691" s="19"/>
      <c r="G1691" s="26" t="str">
        <f aca="false">IF(D1691="","",IFERROR(VALUE(LEFT(D1691,FIND(" |",D1691&amp;" |")-1)),"?"))</f>
        <v/>
      </c>
      <c r="H1691" s="27" t="str">
        <f aca="false">IF(G1691="","",IF(G1691="?","⚠ pub inconnue",IFERROR(INDEX(Pubs!$B$2:$B$3001,MATCH(G1691,Pubs!$A$2:$A$3001,0))&amp;"","⚠ pub inconnue")))</f>
        <v/>
      </c>
      <c r="I1691" s="27" t="str">
        <f aca="false">IF(OR(G1691="",G1691="?"),"",IFERROR(INDEX(Pubs!$C$2:$C$3001,MATCH(G1691,Pubs!$A$2:$A$3001,0))&amp;"",""))</f>
        <v/>
      </c>
      <c r="J1691" s="27" t="str">
        <f aca="false">IF(OR(G1691="",G1691="?"),"",IFERROR(INDEX(Pubs!$G$2:$G$3001,MATCH(G1691,Pubs!$A$2:$A$3001,0))&amp;"",""))</f>
        <v/>
      </c>
      <c r="K1691" s="28" t="str">
        <f aca="false">IF(OR(G1691="",G1691="?"),"",IFERROR(INDEX(Pubs!$E$2:$E$3001,MATCH(G1691,Pubs!$A$2:$A$3001,0)),""))</f>
        <v/>
      </c>
      <c r="L1691" s="29" t="str">
        <f aca="false">IF(A1691="","",IFERROR(1/(1/INDEX(Numéros!$C$2:$C$3001,MATCH(A1691&amp;"|"&amp;B1691,Numéros!$F$2:$F$3001,0))),""))</f>
        <v/>
      </c>
      <c r="M1691" s="27" t="str">
        <f aca="false">IF(OR(G1691="",G1691="?"),"",IFERROR(INDEX(Pubs!$D$2:$D$3001,MATCH(G1691,Pubs!$A$2:$A$3001,0))&amp;"",""))</f>
        <v/>
      </c>
      <c r="N1691" s="27" t="n">
        <f aca="false">N(N1690)+IF(AND(A1691&lt;&gt;"",OR(Recherche!$C$4="",A1691=Recherche!$C$4),OR(Recherche!$C$5="",B1691&amp;""=Recherche!$C$5&amp;""),OR(Recherche!$C$6="",IFERROR(YEAR(L1691),0)=Recherche!$C$6),OR(Recherche!$C$7="",ISNUMBER(SEARCH(Recherche!$C$7,H1691))),OR(Recherche!$C$8="",J1691=Recherche!$C$8),OR(Recherche!$C$9="",I1691=Recherche!$C$9),OR(Recherche!$C$10="",G1691&amp;""=Recherche!$C$10&amp;""),OR(Recherche!$C$11="",E1691=Recherche!$C$11),OR(Recherche!$C$12="",ISNUMBER(SEARCH(Recherche!$C$12,M1691&amp;" "&amp;F1691)))),1,0)</f>
        <v>8</v>
      </c>
    </row>
    <row r="1692" customFormat="false" ht="15" hidden="false" customHeight="false" outlineLevel="0" collapsed="false">
      <c r="A1692" s="19"/>
      <c r="B1692" s="19"/>
      <c r="C1692" s="19"/>
      <c r="D1692" s="19"/>
      <c r="E1692" s="22"/>
      <c r="F1692" s="19"/>
      <c r="G1692" s="26" t="str">
        <f aca="false">IF(D1692="","",IFERROR(VALUE(LEFT(D1692,FIND(" |",D1692&amp;" |")-1)),"?"))</f>
        <v/>
      </c>
      <c r="H1692" s="27" t="str">
        <f aca="false">IF(G1692="","",IF(G1692="?","⚠ pub inconnue",IFERROR(INDEX(Pubs!$B$2:$B$3001,MATCH(G1692,Pubs!$A$2:$A$3001,0))&amp;"","⚠ pub inconnue")))</f>
        <v/>
      </c>
      <c r="I1692" s="27" t="str">
        <f aca="false">IF(OR(G1692="",G1692="?"),"",IFERROR(INDEX(Pubs!$C$2:$C$3001,MATCH(G1692,Pubs!$A$2:$A$3001,0))&amp;"",""))</f>
        <v/>
      </c>
      <c r="J1692" s="27" t="str">
        <f aca="false">IF(OR(G1692="",G1692="?"),"",IFERROR(INDEX(Pubs!$G$2:$G$3001,MATCH(G1692,Pubs!$A$2:$A$3001,0))&amp;"",""))</f>
        <v/>
      </c>
      <c r="K1692" s="28" t="str">
        <f aca="false">IF(OR(G1692="",G1692="?"),"",IFERROR(INDEX(Pubs!$E$2:$E$3001,MATCH(G1692,Pubs!$A$2:$A$3001,0)),""))</f>
        <v/>
      </c>
      <c r="L1692" s="29" t="str">
        <f aca="false">IF(A1692="","",IFERROR(1/(1/INDEX(Numéros!$C$2:$C$3001,MATCH(A1692&amp;"|"&amp;B1692,Numéros!$F$2:$F$3001,0))),""))</f>
        <v/>
      </c>
      <c r="M1692" s="27" t="str">
        <f aca="false">IF(OR(G1692="",G1692="?"),"",IFERROR(INDEX(Pubs!$D$2:$D$3001,MATCH(G1692,Pubs!$A$2:$A$3001,0))&amp;"",""))</f>
        <v/>
      </c>
      <c r="N1692" s="27" t="n">
        <f aca="false">N(N1691)+IF(AND(A1692&lt;&gt;"",OR(Recherche!$C$4="",A1692=Recherche!$C$4),OR(Recherche!$C$5="",B1692&amp;""=Recherche!$C$5&amp;""),OR(Recherche!$C$6="",IFERROR(YEAR(L1692),0)=Recherche!$C$6),OR(Recherche!$C$7="",ISNUMBER(SEARCH(Recherche!$C$7,H1692))),OR(Recherche!$C$8="",J1692=Recherche!$C$8),OR(Recherche!$C$9="",I1692=Recherche!$C$9),OR(Recherche!$C$10="",G1692&amp;""=Recherche!$C$10&amp;""),OR(Recherche!$C$11="",E1692=Recherche!$C$11),OR(Recherche!$C$12="",ISNUMBER(SEARCH(Recherche!$C$12,M1692&amp;" "&amp;F1692)))),1,0)</f>
        <v>8</v>
      </c>
    </row>
    <row r="1693" customFormat="false" ht="15" hidden="false" customHeight="false" outlineLevel="0" collapsed="false">
      <c r="A1693" s="19"/>
      <c r="B1693" s="19"/>
      <c r="C1693" s="19"/>
      <c r="D1693" s="19"/>
      <c r="E1693" s="22"/>
      <c r="F1693" s="19"/>
      <c r="G1693" s="26" t="str">
        <f aca="false">IF(D1693="","",IFERROR(VALUE(LEFT(D1693,FIND(" |",D1693&amp;" |")-1)),"?"))</f>
        <v/>
      </c>
      <c r="H1693" s="27" t="str">
        <f aca="false">IF(G1693="","",IF(G1693="?","⚠ pub inconnue",IFERROR(INDEX(Pubs!$B$2:$B$3001,MATCH(G1693,Pubs!$A$2:$A$3001,0))&amp;"","⚠ pub inconnue")))</f>
        <v/>
      </c>
      <c r="I1693" s="27" t="str">
        <f aca="false">IF(OR(G1693="",G1693="?"),"",IFERROR(INDEX(Pubs!$C$2:$C$3001,MATCH(G1693,Pubs!$A$2:$A$3001,0))&amp;"",""))</f>
        <v/>
      </c>
      <c r="J1693" s="27" t="str">
        <f aca="false">IF(OR(G1693="",G1693="?"),"",IFERROR(INDEX(Pubs!$G$2:$G$3001,MATCH(G1693,Pubs!$A$2:$A$3001,0))&amp;"",""))</f>
        <v/>
      </c>
      <c r="K1693" s="28" t="str">
        <f aca="false">IF(OR(G1693="",G1693="?"),"",IFERROR(INDEX(Pubs!$E$2:$E$3001,MATCH(G1693,Pubs!$A$2:$A$3001,0)),""))</f>
        <v/>
      </c>
      <c r="L1693" s="29" t="str">
        <f aca="false">IF(A1693="","",IFERROR(1/(1/INDEX(Numéros!$C$2:$C$3001,MATCH(A1693&amp;"|"&amp;B1693,Numéros!$F$2:$F$3001,0))),""))</f>
        <v/>
      </c>
      <c r="M1693" s="27" t="str">
        <f aca="false">IF(OR(G1693="",G1693="?"),"",IFERROR(INDEX(Pubs!$D$2:$D$3001,MATCH(G1693,Pubs!$A$2:$A$3001,0))&amp;"",""))</f>
        <v/>
      </c>
      <c r="N1693" s="27" t="n">
        <f aca="false">N(N1692)+IF(AND(A1693&lt;&gt;"",OR(Recherche!$C$4="",A1693=Recherche!$C$4),OR(Recherche!$C$5="",B1693&amp;""=Recherche!$C$5&amp;""),OR(Recherche!$C$6="",IFERROR(YEAR(L1693),0)=Recherche!$C$6),OR(Recherche!$C$7="",ISNUMBER(SEARCH(Recherche!$C$7,H1693))),OR(Recherche!$C$8="",J1693=Recherche!$C$8),OR(Recherche!$C$9="",I1693=Recherche!$C$9),OR(Recherche!$C$10="",G1693&amp;""=Recherche!$C$10&amp;""),OR(Recherche!$C$11="",E1693=Recherche!$C$11),OR(Recherche!$C$12="",ISNUMBER(SEARCH(Recherche!$C$12,M1693&amp;" "&amp;F1693)))),1,0)</f>
        <v>8</v>
      </c>
    </row>
    <row r="1694" customFormat="false" ht="15" hidden="false" customHeight="false" outlineLevel="0" collapsed="false">
      <c r="A1694" s="19"/>
      <c r="B1694" s="19"/>
      <c r="C1694" s="19"/>
      <c r="D1694" s="19"/>
      <c r="E1694" s="22"/>
      <c r="F1694" s="19"/>
      <c r="G1694" s="26" t="str">
        <f aca="false">IF(D1694="","",IFERROR(VALUE(LEFT(D1694,FIND(" |",D1694&amp;" |")-1)),"?"))</f>
        <v/>
      </c>
      <c r="H1694" s="27" t="str">
        <f aca="false">IF(G1694="","",IF(G1694="?","⚠ pub inconnue",IFERROR(INDEX(Pubs!$B$2:$B$3001,MATCH(G1694,Pubs!$A$2:$A$3001,0))&amp;"","⚠ pub inconnue")))</f>
        <v/>
      </c>
      <c r="I1694" s="27" t="str">
        <f aca="false">IF(OR(G1694="",G1694="?"),"",IFERROR(INDEX(Pubs!$C$2:$C$3001,MATCH(G1694,Pubs!$A$2:$A$3001,0))&amp;"",""))</f>
        <v/>
      </c>
      <c r="J1694" s="27" t="str">
        <f aca="false">IF(OR(G1694="",G1694="?"),"",IFERROR(INDEX(Pubs!$G$2:$G$3001,MATCH(G1694,Pubs!$A$2:$A$3001,0))&amp;"",""))</f>
        <v/>
      </c>
      <c r="K1694" s="28" t="str">
        <f aca="false">IF(OR(G1694="",G1694="?"),"",IFERROR(INDEX(Pubs!$E$2:$E$3001,MATCH(G1694,Pubs!$A$2:$A$3001,0)),""))</f>
        <v/>
      </c>
      <c r="L1694" s="29" t="str">
        <f aca="false">IF(A1694="","",IFERROR(1/(1/INDEX(Numéros!$C$2:$C$3001,MATCH(A1694&amp;"|"&amp;B1694,Numéros!$F$2:$F$3001,0))),""))</f>
        <v/>
      </c>
      <c r="M1694" s="27" t="str">
        <f aca="false">IF(OR(G1694="",G1694="?"),"",IFERROR(INDEX(Pubs!$D$2:$D$3001,MATCH(G1694,Pubs!$A$2:$A$3001,0))&amp;"",""))</f>
        <v/>
      </c>
      <c r="N1694" s="27" t="n">
        <f aca="false">N(N1693)+IF(AND(A1694&lt;&gt;"",OR(Recherche!$C$4="",A1694=Recherche!$C$4),OR(Recherche!$C$5="",B1694&amp;""=Recherche!$C$5&amp;""),OR(Recherche!$C$6="",IFERROR(YEAR(L1694),0)=Recherche!$C$6),OR(Recherche!$C$7="",ISNUMBER(SEARCH(Recherche!$C$7,H1694))),OR(Recherche!$C$8="",J1694=Recherche!$C$8),OR(Recherche!$C$9="",I1694=Recherche!$C$9),OR(Recherche!$C$10="",G1694&amp;""=Recherche!$C$10&amp;""),OR(Recherche!$C$11="",E1694=Recherche!$C$11),OR(Recherche!$C$12="",ISNUMBER(SEARCH(Recherche!$C$12,M1694&amp;" "&amp;F1694)))),1,0)</f>
        <v>8</v>
      </c>
    </row>
    <row r="1695" customFormat="false" ht="15" hidden="false" customHeight="false" outlineLevel="0" collapsed="false">
      <c r="A1695" s="19"/>
      <c r="B1695" s="19"/>
      <c r="C1695" s="19"/>
      <c r="D1695" s="19"/>
      <c r="E1695" s="22"/>
      <c r="F1695" s="19"/>
      <c r="G1695" s="26" t="str">
        <f aca="false">IF(D1695="","",IFERROR(VALUE(LEFT(D1695,FIND(" |",D1695&amp;" |")-1)),"?"))</f>
        <v/>
      </c>
      <c r="H1695" s="27" t="str">
        <f aca="false">IF(G1695="","",IF(G1695="?","⚠ pub inconnue",IFERROR(INDEX(Pubs!$B$2:$B$3001,MATCH(G1695,Pubs!$A$2:$A$3001,0))&amp;"","⚠ pub inconnue")))</f>
        <v/>
      </c>
      <c r="I1695" s="27" t="str">
        <f aca="false">IF(OR(G1695="",G1695="?"),"",IFERROR(INDEX(Pubs!$C$2:$C$3001,MATCH(G1695,Pubs!$A$2:$A$3001,0))&amp;"",""))</f>
        <v/>
      </c>
      <c r="J1695" s="27" t="str">
        <f aca="false">IF(OR(G1695="",G1695="?"),"",IFERROR(INDEX(Pubs!$G$2:$G$3001,MATCH(G1695,Pubs!$A$2:$A$3001,0))&amp;"",""))</f>
        <v/>
      </c>
      <c r="K1695" s="28" t="str">
        <f aca="false">IF(OR(G1695="",G1695="?"),"",IFERROR(INDEX(Pubs!$E$2:$E$3001,MATCH(G1695,Pubs!$A$2:$A$3001,0)),""))</f>
        <v/>
      </c>
      <c r="L1695" s="29" t="str">
        <f aca="false">IF(A1695="","",IFERROR(1/(1/INDEX(Numéros!$C$2:$C$3001,MATCH(A1695&amp;"|"&amp;B1695,Numéros!$F$2:$F$3001,0))),""))</f>
        <v/>
      </c>
      <c r="M1695" s="27" t="str">
        <f aca="false">IF(OR(G1695="",G1695="?"),"",IFERROR(INDEX(Pubs!$D$2:$D$3001,MATCH(G1695,Pubs!$A$2:$A$3001,0))&amp;"",""))</f>
        <v/>
      </c>
      <c r="N1695" s="27" t="n">
        <f aca="false">N(N1694)+IF(AND(A1695&lt;&gt;"",OR(Recherche!$C$4="",A1695=Recherche!$C$4),OR(Recherche!$C$5="",B1695&amp;""=Recherche!$C$5&amp;""),OR(Recherche!$C$6="",IFERROR(YEAR(L1695),0)=Recherche!$C$6),OR(Recherche!$C$7="",ISNUMBER(SEARCH(Recherche!$C$7,H1695))),OR(Recherche!$C$8="",J1695=Recherche!$C$8),OR(Recherche!$C$9="",I1695=Recherche!$C$9),OR(Recherche!$C$10="",G1695&amp;""=Recherche!$C$10&amp;""),OR(Recherche!$C$11="",E1695=Recherche!$C$11),OR(Recherche!$C$12="",ISNUMBER(SEARCH(Recherche!$C$12,M1695&amp;" "&amp;F1695)))),1,0)</f>
        <v>8</v>
      </c>
    </row>
    <row r="1696" customFormat="false" ht="15" hidden="false" customHeight="false" outlineLevel="0" collapsed="false">
      <c r="A1696" s="19"/>
      <c r="B1696" s="19"/>
      <c r="C1696" s="19"/>
      <c r="D1696" s="19"/>
      <c r="E1696" s="22"/>
      <c r="F1696" s="19"/>
      <c r="G1696" s="26" t="str">
        <f aca="false">IF(D1696="","",IFERROR(VALUE(LEFT(D1696,FIND(" |",D1696&amp;" |")-1)),"?"))</f>
        <v/>
      </c>
      <c r="H1696" s="27" t="str">
        <f aca="false">IF(G1696="","",IF(G1696="?","⚠ pub inconnue",IFERROR(INDEX(Pubs!$B$2:$B$3001,MATCH(G1696,Pubs!$A$2:$A$3001,0))&amp;"","⚠ pub inconnue")))</f>
        <v/>
      </c>
      <c r="I1696" s="27" t="str">
        <f aca="false">IF(OR(G1696="",G1696="?"),"",IFERROR(INDEX(Pubs!$C$2:$C$3001,MATCH(G1696,Pubs!$A$2:$A$3001,0))&amp;"",""))</f>
        <v/>
      </c>
      <c r="J1696" s="27" t="str">
        <f aca="false">IF(OR(G1696="",G1696="?"),"",IFERROR(INDEX(Pubs!$G$2:$G$3001,MATCH(G1696,Pubs!$A$2:$A$3001,0))&amp;"",""))</f>
        <v/>
      </c>
      <c r="K1696" s="28" t="str">
        <f aca="false">IF(OR(G1696="",G1696="?"),"",IFERROR(INDEX(Pubs!$E$2:$E$3001,MATCH(G1696,Pubs!$A$2:$A$3001,0)),""))</f>
        <v/>
      </c>
      <c r="L1696" s="29" t="str">
        <f aca="false">IF(A1696="","",IFERROR(1/(1/INDEX(Numéros!$C$2:$C$3001,MATCH(A1696&amp;"|"&amp;B1696,Numéros!$F$2:$F$3001,0))),""))</f>
        <v/>
      </c>
      <c r="M1696" s="27" t="str">
        <f aca="false">IF(OR(G1696="",G1696="?"),"",IFERROR(INDEX(Pubs!$D$2:$D$3001,MATCH(G1696,Pubs!$A$2:$A$3001,0))&amp;"",""))</f>
        <v/>
      </c>
      <c r="N1696" s="27" t="n">
        <f aca="false">N(N1695)+IF(AND(A1696&lt;&gt;"",OR(Recherche!$C$4="",A1696=Recherche!$C$4),OR(Recherche!$C$5="",B1696&amp;""=Recherche!$C$5&amp;""),OR(Recherche!$C$6="",IFERROR(YEAR(L1696),0)=Recherche!$C$6),OR(Recherche!$C$7="",ISNUMBER(SEARCH(Recherche!$C$7,H1696))),OR(Recherche!$C$8="",J1696=Recherche!$C$8),OR(Recherche!$C$9="",I1696=Recherche!$C$9),OR(Recherche!$C$10="",G1696&amp;""=Recherche!$C$10&amp;""),OR(Recherche!$C$11="",E1696=Recherche!$C$11),OR(Recherche!$C$12="",ISNUMBER(SEARCH(Recherche!$C$12,M1696&amp;" "&amp;F1696)))),1,0)</f>
        <v>8</v>
      </c>
    </row>
    <row r="1697" customFormat="false" ht="15" hidden="false" customHeight="false" outlineLevel="0" collapsed="false">
      <c r="A1697" s="19"/>
      <c r="B1697" s="19"/>
      <c r="C1697" s="19"/>
      <c r="D1697" s="19"/>
      <c r="E1697" s="22"/>
      <c r="F1697" s="19"/>
      <c r="G1697" s="26" t="str">
        <f aca="false">IF(D1697="","",IFERROR(VALUE(LEFT(D1697,FIND(" |",D1697&amp;" |")-1)),"?"))</f>
        <v/>
      </c>
      <c r="H1697" s="27" t="str">
        <f aca="false">IF(G1697="","",IF(G1697="?","⚠ pub inconnue",IFERROR(INDEX(Pubs!$B$2:$B$3001,MATCH(G1697,Pubs!$A$2:$A$3001,0))&amp;"","⚠ pub inconnue")))</f>
        <v/>
      </c>
      <c r="I1697" s="27" t="str">
        <f aca="false">IF(OR(G1697="",G1697="?"),"",IFERROR(INDEX(Pubs!$C$2:$C$3001,MATCH(G1697,Pubs!$A$2:$A$3001,0))&amp;"",""))</f>
        <v/>
      </c>
      <c r="J1697" s="27" t="str">
        <f aca="false">IF(OR(G1697="",G1697="?"),"",IFERROR(INDEX(Pubs!$G$2:$G$3001,MATCH(G1697,Pubs!$A$2:$A$3001,0))&amp;"",""))</f>
        <v/>
      </c>
      <c r="K1697" s="28" t="str">
        <f aca="false">IF(OR(G1697="",G1697="?"),"",IFERROR(INDEX(Pubs!$E$2:$E$3001,MATCH(G1697,Pubs!$A$2:$A$3001,0)),""))</f>
        <v/>
      </c>
      <c r="L1697" s="29" t="str">
        <f aca="false">IF(A1697="","",IFERROR(1/(1/INDEX(Numéros!$C$2:$C$3001,MATCH(A1697&amp;"|"&amp;B1697,Numéros!$F$2:$F$3001,0))),""))</f>
        <v/>
      </c>
      <c r="M1697" s="27" t="str">
        <f aca="false">IF(OR(G1697="",G1697="?"),"",IFERROR(INDEX(Pubs!$D$2:$D$3001,MATCH(G1697,Pubs!$A$2:$A$3001,0))&amp;"",""))</f>
        <v/>
      </c>
      <c r="N1697" s="27" t="n">
        <f aca="false">N(N1696)+IF(AND(A1697&lt;&gt;"",OR(Recherche!$C$4="",A1697=Recherche!$C$4),OR(Recherche!$C$5="",B1697&amp;""=Recherche!$C$5&amp;""),OR(Recherche!$C$6="",IFERROR(YEAR(L1697),0)=Recherche!$C$6),OR(Recherche!$C$7="",ISNUMBER(SEARCH(Recherche!$C$7,H1697))),OR(Recherche!$C$8="",J1697=Recherche!$C$8),OR(Recherche!$C$9="",I1697=Recherche!$C$9),OR(Recherche!$C$10="",G1697&amp;""=Recherche!$C$10&amp;""),OR(Recherche!$C$11="",E1697=Recherche!$C$11),OR(Recherche!$C$12="",ISNUMBER(SEARCH(Recherche!$C$12,M1697&amp;" "&amp;F1697)))),1,0)</f>
        <v>8</v>
      </c>
    </row>
    <row r="1698" customFormat="false" ht="15" hidden="false" customHeight="false" outlineLevel="0" collapsed="false">
      <c r="A1698" s="19"/>
      <c r="B1698" s="19"/>
      <c r="C1698" s="19"/>
      <c r="D1698" s="19"/>
      <c r="E1698" s="22"/>
      <c r="F1698" s="19"/>
      <c r="G1698" s="26" t="str">
        <f aca="false">IF(D1698="","",IFERROR(VALUE(LEFT(D1698,FIND(" |",D1698&amp;" |")-1)),"?"))</f>
        <v/>
      </c>
      <c r="H1698" s="27" t="str">
        <f aca="false">IF(G1698="","",IF(G1698="?","⚠ pub inconnue",IFERROR(INDEX(Pubs!$B$2:$B$3001,MATCH(G1698,Pubs!$A$2:$A$3001,0))&amp;"","⚠ pub inconnue")))</f>
        <v/>
      </c>
      <c r="I1698" s="27" t="str">
        <f aca="false">IF(OR(G1698="",G1698="?"),"",IFERROR(INDEX(Pubs!$C$2:$C$3001,MATCH(G1698,Pubs!$A$2:$A$3001,0))&amp;"",""))</f>
        <v/>
      </c>
      <c r="J1698" s="27" t="str">
        <f aca="false">IF(OR(G1698="",G1698="?"),"",IFERROR(INDEX(Pubs!$G$2:$G$3001,MATCH(G1698,Pubs!$A$2:$A$3001,0))&amp;"",""))</f>
        <v/>
      </c>
      <c r="K1698" s="28" t="str">
        <f aca="false">IF(OR(G1698="",G1698="?"),"",IFERROR(INDEX(Pubs!$E$2:$E$3001,MATCH(G1698,Pubs!$A$2:$A$3001,0)),""))</f>
        <v/>
      </c>
      <c r="L1698" s="29" t="str">
        <f aca="false">IF(A1698="","",IFERROR(1/(1/INDEX(Numéros!$C$2:$C$3001,MATCH(A1698&amp;"|"&amp;B1698,Numéros!$F$2:$F$3001,0))),""))</f>
        <v/>
      </c>
      <c r="M1698" s="27" t="str">
        <f aca="false">IF(OR(G1698="",G1698="?"),"",IFERROR(INDEX(Pubs!$D$2:$D$3001,MATCH(G1698,Pubs!$A$2:$A$3001,0))&amp;"",""))</f>
        <v/>
      </c>
      <c r="N1698" s="27" t="n">
        <f aca="false">N(N1697)+IF(AND(A1698&lt;&gt;"",OR(Recherche!$C$4="",A1698=Recherche!$C$4),OR(Recherche!$C$5="",B1698&amp;""=Recherche!$C$5&amp;""),OR(Recherche!$C$6="",IFERROR(YEAR(L1698),0)=Recherche!$C$6),OR(Recherche!$C$7="",ISNUMBER(SEARCH(Recherche!$C$7,H1698))),OR(Recherche!$C$8="",J1698=Recherche!$C$8),OR(Recherche!$C$9="",I1698=Recherche!$C$9),OR(Recherche!$C$10="",G1698&amp;""=Recherche!$C$10&amp;""),OR(Recherche!$C$11="",E1698=Recherche!$C$11),OR(Recherche!$C$12="",ISNUMBER(SEARCH(Recherche!$C$12,M1698&amp;" "&amp;F1698)))),1,0)</f>
        <v>8</v>
      </c>
    </row>
    <row r="1699" customFormat="false" ht="15" hidden="false" customHeight="false" outlineLevel="0" collapsed="false">
      <c r="A1699" s="19"/>
      <c r="B1699" s="19"/>
      <c r="C1699" s="19"/>
      <c r="D1699" s="19"/>
      <c r="E1699" s="22"/>
      <c r="F1699" s="19"/>
      <c r="G1699" s="26" t="str">
        <f aca="false">IF(D1699="","",IFERROR(VALUE(LEFT(D1699,FIND(" |",D1699&amp;" |")-1)),"?"))</f>
        <v/>
      </c>
      <c r="H1699" s="27" t="str">
        <f aca="false">IF(G1699="","",IF(G1699="?","⚠ pub inconnue",IFERROR(INDEX(Pubs!$B$2:$B$3001,MATCH(G1699,Pubs!$A$2:$A$3001,0))&amp;"","⚠ pub inconnue")))</f>
        <v/>
      </c>
      <c r="I1699" s="27" t="str">
        <f aca="false">IF(OR(G1699="",G1699="?"),"",IFERROR(INDEX(Pubs!$C$2:$C$3001,MATCH(G1699,Pubs!$A$2:$A$3001,0))&amp;"",""))</f>
        <v/>
      </c>
      <c r="J1699" s="27" t="str">
        <f aca="false">IF(OR(G1699="",G1699="?"),"",IFERROR(INDEX(Pubs!$G$2:$G$3001,MATCH(G1699,Pubs!$A$2:$A$3001,0))&amp;"",""))</f>
        <v/>
      </c>
      <c r="K1699" s="28" t="str">
        <f aca="false">IF(OR(G1699="",G1699="?"),"",IFERROR(INDEX(Pubs!$E$2:$E$3001,MATCH(G1699,Pubs!$A$2:$A$3001,0)),""))</f>
        <v/>
      </c>
      <c r="L1699" s="29" t="str">
        <f aca="false">IF(A1699="","",IFERROR(1/(1/INDEX(Numéros!$C$2:$C$3001,MATCH(A1699&amp;"|"&amp;B1699,Numéros!$F$2:$F$3001,0))),""))</f>
        <v/>
      </c>
      <c r="M1699" s="27" t="str">
        <f aca="false">IF(OR(G1699="",G1699="?"),"",IFERROR(INDEX(Pubs!$D$2:$D$3001,MATCH(G1699,Pubs!$A$2:$A$3001,0))&amp;"",""))</f>
        <v/>
      </c>
      <c r="N1699" s="27" t="n">
        <f aca="false">N(N1698)+IF(AND(A1699&lt;&gt;"",OR(Recherche!$C$4="",A1699=Recherche!$C$4),OR(Recherche!$C$5="",B1699&amp;""=Recherche!$C$5&amp;""),OR(Recherche!$C$6="",IFERROR(YEAR(L1699),0)=Recherche!$C$6),OR(Recherche!$C$7="",ISNUMBER(SEARCH(Recherche!$C$7,H1699))),OR(Recherche!$C$8="",J1699=Recherche!$C$8),OR(Recherche!$C$9="",I1699=Recherche!$C$9),OR(Recherche!$C$10="",G1699&amp;""=Recherche!$C$10&amp;""),OR(Recherche!$C$11="",E1699=Recherche!$C$11),OR(Recherche!$C$12="",ISNUMBER(SEARCH(Recherche!$C$12,M1699&amp;" "&amp;F1699)))),1,0)</f>
        <v>8</v>
      </c>
    </row>
    <row r="1700" customFormat="false" ht="15" hidden="false" customHeight="false" outlineLevel="0" collapsed="false">
      <c r="A1700" s="19"/>
      <c r="B1700" s="19"/>
      <c r="C1700" s="19"/>
      <c r="D1700" s="19"/>
      <c r="E1700" s="22"/>
      <c r="F1700" s="19"/>
      <c r="G1700" s="26" t="str">
        <f aca="false">IF(D1700="","",IFERROR(VALUE(LEFT(D1700,FIND(" |",D1700&amp;" |")-1)),"?"))</f>
        <v/>
      </c>
      <c r="H1700" s="27" t="str">
        <f aca="false">IF(G1700="","",IF(G1700="?","⚠ pub inconnue",IFERROR(INDEX(Pubs!$B$2:$B$3001,MATCH(G1700,Pubs!$A$2:$A$3001,0))&amp;"","⚠ pub inconnue")))</f>
        <v/>
      </c>
      <c r="I1700" s="27" t="str">
        <f aca="false">IF(OR(G1700="",G1700="?"),"",IFERROR(INDEX(Pubs!$C$2:$C$3001,MATCH(G1700,Pubs!$A$2:$A$3001,0))&amp;"",""))</f>
        <v/>
      </c>
      <c r="J1700" s="27" t="str">
        <f aca="false">IF(OR(G1700="",G1700="?"),"",IFERROR(INDEX(Pubs!$G$2:$G$3001,MATCH(G1700,Pubs!$A$2:$A$3001,0))&amp;"",""))</f>
        <v/>
      </c>
      <c r="K1700" s="28" t="str">
        <f aca="false">IF(OR(G1700="",G1700="?"),"",IFERROR(INDEX(Pubs!$E$2:$E$3001,MATCH(G1700,Pubs!$A$2:$A$3001,0)),""))</f>
        <v/>
      </c>
      <c r="L1700" s="29" t="str">
        <f aca="false">IF(A1700="","",IFERROR(1/(1/INDEX(Numéros!$C$2:$C$3001,MATCH(A1700&amp;"|"&amp;B1700,Numéros!$F$2:$F$3001,0))),""))</f>
        <v/>
      </c>
      <c r="M1700" s="27" t="str">
        <f aca="false">IF(OR(G1700="",G1700="?"),"",IFERROR(INDEX(Pubs!$D$2:$D$3001,MATCH(G1700,Pubs!$A$2:$A$3001,0))&amp;"",""))</f>
        <v/>
      </c>
      <c r="N1700" s="27" t="n">
        <f aca="false">N(N1699)+IF(AND(A1700&lt;&gt;"",OR(Recherche!$C$4="",A1700=Recherche!$C$4),OR(Recherche!$C$5="",B1700&amp;""=Recherche!$C$5&amp;""),OR(Recherche!$C$6="",IFERROR(YEAR(L1700),0)=Recherche!$C$6),OR(Recherche!$C$7="",ISNUMBER(SEARCH(Recherche!$C$7,H1700))),OR(Recherche!$C$8="",J1700=Recherche!$C$8),OR(Recherche!$C$9="",I1700=Recherche!$C$9),OR(Recherche!$C$10="",G1700&amp;""=Recherche!$C$10&amp;""),OR(Recherche!$C$11="",E1700=Recherche!$C$11),OR(Recherche!$C$12="",ISNUMBER(SEARCH(Recherche!$C$12,M1700&amp;" "&amp;F1700)))),1,0)</f>
        <v>8</v>
      </c>
    </row>
    <row r="1701" customFormat="false" ht="15" hidden="false" customHeight="false" outlineLevel="0" collapsed="false">
      <c r="A1701" s="19"/>
      <c r="B1701" s="19"/>
      <c r="C1701" s="19"/>
      <c r="D1701" s="19"/>
      <c r="E1701" s="22"/>
      <c r="F1701" s="19"/>
      <c r="G1701" s="26" t="str">
        <f aca="false">IF(D1701="","",IFERROR(VALUE(LEFT(D1701,FIND(" |",D1701&amp;" |")-1)),"?"))</f>
        <v/>
      </c>
      <c r="H1701" s="27" t="str">
        <f aca="false">IF(G1701="","",IF(G1701="?","⚠ pub inconnue",IFERROR(INDEX(Pubs!$B$2:$B$3001,MATCH(G1701,Pubs!$A$2:$A$3001,0))&amp;"","⚠ pub inconnue")))</f>
        <v/>
      </c>
      <c r="I1701" s="27" t="str">
        <f aca="false">IF(OR(G1701="",G1701="?"),"",IFERROR(INDEX(Pubs!$C$2:$C$3001,MATCH(G1701,Pubs!$A$2:$A$3001,0))&amp;"",""))</f>
        <v/>
      </c>
      <c r="J1701" s="27" t="str">
        <f aca="false">IF(OR(G1701="",G1701="?"),"",IFERROR(INDEX(Pubs!$G$2:$G$3001,MATCH(G1701,Pubs!$A$2:$A$3001,0))&amp;"",""))</f>
        <v/>
      </c>
      <c r="K1701" s="28" t="str">
        <f aca="false">IF(OR(G1701="",G1701="?"),"",IFERROR(INDEX(Pubs!$E$2:$E$3001,MATCH(G1701,Pubs!$A$2:$A$3001,0)),""))</f>
        <v/>
      </c>
      <c r="L1701" s="29" t="str">
        <f aca="false">IF(A1701="","",IFERROR(1/(1/INDEX(Numéros!$C$2:$C$3001,MATCH(A1701&amp;"|"&amp;B1701,Numéros!$F$2:$F$3001,0))),""))</f>
        <v/>
      </c>
      <c r="M1701" s="27" t="str">
        <f aca="false">IF(OR(G1701="",G1701="?"),"",IFERROR(INDEX(Pubs!$D$2:$D$3001,MATCH(G1701,Pubs!$A$2:$A$3001,0))&amp;"",""))</f>
        <v/>
      </c>
      <c r="N1701" s="27" t="n">
        <f aca="false">N(N1700)+IF(AND(A1701&lt;&gt;"",OR(Recherche!$C$4="",A1701=Recherche!$C$4),OR(Recherche!$C$5="",B1701&amp;""=Recherche!$C$5&amp;""),OR(Recherche!$C$6="",IFERROR(YEAR(L1701),0)=Recherche!$C$6),OR(Recherche!$C$7="",ISNUMBER(SEARCH(Recherche!$C$7,H1701))),OR(Recherche!$C$8="",J1701=Recherche!$C$8),OR(Recherche!$C$9="",I1701=Recherche!$C$9),OR(Recherche!$C$10="",G1701&amp;""=Recherche!$C$10&amp;""),OR(Recherche!$C$11="",E1701=Recherche!$C$11),OR(Recherche!$C$12="",ISNUMBER(SEARCH(Recherche!$C$12,M1701&amp;" "&amp;F1701)))),1,0)</f>
        <v>8</v>
      </c>
    </row>
    <row r="1702" customFormat="false" ht="15" hidden="false" customHeight="false" outlineLevel="0" collapsed="false">
      <c r="A1702" s="19"/>
      <c r="B1702" s="19"/>
      <c r="C1702" s="19"/>
      <c r="D1702" s="19"/>
      <c r="E1702" s="22"/>
      <c r="F1702" s="19"/>
      <c r="G1702" s="26" t="str">
        <f aca="false">IF(D1702="","",IFERROR(VALUE(LEFT(D1702,FIND(" |",D1702&amp;" |")-1)),"?"))</f>
        <v/>
      </c>
      <c r="H1702" s="27" t="str">
        <f aca="false">IF(G1702="","",IF(G1702="?","⚠ pub inconnue",IFERROR(INDEX(Pubs!$B$2:$B$3001,MATCH(G1702,Pubs!$A$2:$A$3001,0))&amp;"","⚠ pub inconnue")))</f>
        <v/>
      </c>
      <c r="I1702" s="27" t="str">
        <f aca="false">IF(OR(G1702="",G1702="?"),"",IFERROR(INDEX(Pubs!$C$2:$C$3001,MATCH(G1702,Pubs!$A$2:$A$3001,0))&amp;"",""))</f>
        <v/>
      </c>
      <c r="J1702" s="27" t="str">
        <f aca="false">IF(OR(G1702="",G1702="?"),"",IFERROR(INDEX(Pubs!$G$2:$G$3001,MATCH(G1702,Pubs!$A$2:$A$3001,0))&amp;"",""))</f>
        <v/>
      </c>
      <c r="K1702" s="28" t="str">
        <f aca="false">IF(OR(G1702="",G1702="?"),"",IFERROR(INDEX(Pubs!$E$2:$E$3001,MATCH(G1702,Pubs!$A$2:$A$3001,0)),""))</f>
        <v/>
      </c>
      <c r="L1702" s="29" t="str">
        <f aca="false">IF(A1702="","",IFERROR(1/(1/INDEX(Numéros!$C$2:$C$3001,MATCH(A1702&amp;"|"&amp;B1702,Numéros!$F$2:$F$3001,0))),""))</f>
        <v/>
      </c>
      <c r="M1702" s="27" t="str">
        <f aca="false">IF(OR(G1702="",G1702="?"),"",IFERROR(INDEX(Pubs!$D$2:$D$3001,MATCH(G1702,Pubs!$A$2:$A$3001,0))&amp;"",""))</f>
        <v/>
      </c>
      <c r="N1702" s="27" t="n">
        <f aca="false">N(N1701)+IF(AND(A1702&lt;&gt;"",OR(Recherche!$C$4="",A1702=Recherche!$C$4),OR(Recherche!$C$5="",B1702&amp;""=Recherche!$C$5&amp;""),OR(Recherche!$C$6="",IFERROR(YEAR(L1702),0)=Recherche!$C$6),OR(Recherche!$C$7="",ISNUMBER(SEARCH(Recherche!$C$7,H1702))),OR(Recherche!$C$8="",J1702=Recherche!$C$8),OR(Recherche!$C$9="",I1702=Recherche!$C$9),OR(Recherche!$C$10="",G1702&amp;""=Recherche!$C$10&amp;""),OR(Recherche!$C$11="",E1702=Recherche!$C$11),OR(Recherche!$C$12="",ISNUMBER(SEARCH(Recherche!$C$12,M1702&amp;" "&amp;F1702)))),1,0)</f>
        <v>8</v>
      </c>
    </row>
    <row r="1703" customFormat="false" ht="15" hidden="false" customHeight="false" outlineLevel="0" collapsed="false">
      <c r="A1703" s="19"/>
      <c r="B1703" s="19"/>
      <c r="C1703" s="19"/>
      <c r="D1703" s="19"/>
      <c r="E1703" s="22"/>
      <c r="F1703" s="19"/>
      <c r="G1703" s="26" t="str">
        <f aca="false">IF(D1703="","",IFERROR(VALUE(LEFT(D1703,FIND(" |",D1703&amp;" |")-1)),"?"))</f>
        <v/>
      </c>
      <c r="H1703" s="27" t="str">
        <f aca="false">IF(G1703="","",IF(G1703="?","⚠ pub inconnue",IFERROR(INDEX(Pubs!$B$2:$B$3001,MATCH(G1703,Pubs!$A$2:$A$3001,0))&amp;"","⚠ pub inconnue")))</f>
        <v/>
      </c>
      <c r="I1703" s="27" t="str">
        <f aca="false">IF(OR(G1703="",G1703="?"),"",IFERROR(INDEX(Pubs!$C$2:$C$3001,MATCH(G1703,Pubs!$A$2:$A$3001,0))&amp;"",""))</f>
        <v/>
      </c>
      <c r="J1703" s="27" t="str">
        <f aca="false">IF(OR(G1703="",G1703="?"),"",IFERROR(INDEX(Pubs!$G$2:$G$3001,MATCH(G1703,Pubs!$A$2:$A$3001,0))&amp;"",""))</f>
        <v/>
      </c>
      <c r="K1703" s="28" t="str">
        <f aca="false">IF(OR(G1703="",G1703="?"),"",IFERROR(INDEX(Pubs!$E$2:$E$3001,MATCH(G1703,Pubs!$A$2:$A$3001,0)),""))</f>
        <v/>
      </c>
      <c r="L1703" s="29" t="str">
        <f aca="false">IF(A1703="","",IFERROR(1/(1/INDEX(Numéros!$C$2:$C$3001,MATCH(A1703&amp;"|"&amp;B1703,Numéros!$F$2:$F$3001,0))),""))</f>
        <v/>
      </c>
      <c r="M1703" s="27" t="str">
        <f aca="false">IF(OR(G1703="",G1703="?"),"",IFERROR(INDEX(Pubs!$D$2:$D$3001,MATCH(G1703,Pubs!$A$2:$A$3001,0))&amp;"",""))</f>
        <v/>
      </c>
      <c r="N1703" s="27" t="n">
        <f aca="false">N(N1702)+IF(AND(A1703&lt;&gt;"",OR(Recherche!$C$4="",A1703=Recherche!$C$4),OR(Recherche!$C$5="",B1703&amp;""=Recherche!$C$5&amp;""),OR(Recherche!$C$6="",IFERROR(YEAR(L1703),0)=Recherche!$C$6),OR(Recherche!$C$7="",ISNUMBER(SEARCH(Recherche!$C$7,H1703))),OR(Recherche!$C$8="",J1703=Recherche!$C$8),OR(Recherche!$C$9="",I1703=Recherche!$C$9),OR(Recherche!$C$10="",G1703&amp;""=Recherche!$C$10&amp;""),OR(Recherche!$C$11="",E1703=Recherche!$C$11),OR(Recherche!$C$12="",ISNUMBER(SEARCH(Recherche!$C$12,M1703&amp;" "&amp;F1703)))),1,0)</f>
        <v>8</v>
      </c>
    </row>
    <row r="1704" customFormat="false" ht="15" hidden="false" customHeight="false" outlineLevel="0" collapsed="false">
      <c r="A1704" s="19"/>
      <c r="B1704" s="19"/>
      <c r="C1704" s="19"/>
      <c r="D1704" s="19"/>
      <c r="E1704" s="22"/>
      <c r="F1704" s="19"/>
      <c r="G1704" s="26" t="str">
        <f aca="false">IF(D1704="","",IFERROR(VALUE(LEFT(D1704,FIND(" |",D1704&amp;" |")-1)),"?"))</f>
        <v/>
      </c>
      <c r="H1704" s="27" t="str">
        <f aca="false">IF(G1704="","",IF(G1704="?","⚠ pub inconnue",IFERROR(INDEX(Pubs!$B$2:$B$3001,MATCH(G1704,Pubs!$A$2:$A$3001,0))&amp;"","⚠ pub inconnue")))</f>
        <v/>
      </c>
      <c r="I1704" s="27" t="str">
        <f aca="false">IF(OR(G1704="",G1704="?"),"",IFERROR(INDEX(Pubs!$C$2:$C$3001,MATCH(G1704,Pubs!$A$2:$A$3001,0))&amp;"",""))</f>
        <v/>
      </c>
      <c r="J1704" s="27" t="str">
        <f aca="false">IF(OR(G1704="",G1704="?"),"",IFERROR(INDEX(Pubs!$G$2:$G$3001,MATCH(G1704,Pubs!$A$2:$A$3001,0))&amp;"",""))</f>
        <v/>
      </c>
      <c r="K1704" s="28" t="str">
        <f aca="false">IF(OR(G1704="",G1704="?"),"",IFERROR(INDEX(Pubs!$E$2:$E$3001,MATCH(G1704,Pubs!$A$2:$A$3001,0)),""))</f>
        <v/>
      </c>
      <c r="L1704" s="29" t="str">
        <f aca="false">IF(A1704="","",IFERROR(1/(1/INDEX(Numéros!$C$2:$C$3001,MATCH(A1704&amp;"|"&amp;B1704,Numéros!$F$2:$F$3001,0))),""))</f>
        <v/>
      </c>
      <c r="M1704" s="27" t="str">
        <f aca="false">IF(OR(G1704="",G1704="?"),"",IFERROR(INDEX(Pubs!$D$2:$D$3001,MATCH(G1704,Pubs!$A$2:$A$3001,0))&amp;"",""))</f>
        <v/>
      </c>
      <c r="N1704" s="27" t="n">
        <f aca="false">N(N1703)+IF(AND(A1704&lt;&gt;"",OR(Recherche!$C$4="",A1704=Recherche!$C$4),OR(Recherche!$C$5="",B1704&amp;""=Recherche!$C$5&amp;""),OR(Recherche!$C$6="",IFERROR(YEAR(L1704),0)=Recherche!$C$6),OR(Recherche!$C$7="",ISNUMBER(SEARCH(Recherche!$C$7,H1704))),OR(Recherche!$C$8="",J1704=Recherche!$C$8),OR(Recherche!$C$9="",I1704=Recherche!$C$9),OR(Recherche!$C$10="",G1704&amp;""=Recherche!$C$10&amp;""),OR(Recherche!$C$11="",E1704=Recherche!$C$11),OR(Recherche!$C$12="",ISNUMBER(SEARCH(Recherche!$C$12,M1704&amp;" "&amp;F1704)))),1,0)</f>
        <v>8</v>
      </c>
    </row>
    <row r="1705" customFormat="false" ht="15" hidden="false" customHeight="false" outlineLevel="0" collapsed="false">
      <c r="A1705" s="19"/>
      <c r="B1705" s="19"/>
      <c r="C1705" s="19"/>
      <c r="D1705" s="19"/>
      <c r="E1705" s="22"/>
      <c r="F1705" s="19"/>
      <c r="G1705" s="26" t="str">
        <f aca="false">IF(D1705="","",IFERROR(VALUE(LEFT(D1705,FIND(" |",D1705&amp;" |")-1)),"?"))</f>
        <v/>
      </c>
      <c r="H1705" s="27" t="str">
        <f aca="false">IF(G1705="","",IF(G1705="?","⚠ pub inconnue",IFERROR(INDEX(Pubs!$B$2:$B$3001,MATCH(G1705,Pubs!$A$2:$A$3001,0))&amp;"","⚠ pub inconnue")))</f>
        <v/>
      </c>
      <c r="I1705" s="27" t="str">
        <f aca="false">IF(OR(G1705="",G1705="?"),"",IFERROR(INDEX(Pubs!$C$2:$C$3001,MATCH(G1705,Pubs!$A$2:$A$3001,0))&amp;"",""))</f>
        <v/>
      </c>
      <c r="J1705" s="27" t="str">
        <f aca="false">IF(OR(G1705="",G1705="?"),"",IFERROR(INDEX(Pubs!$G$2:$G$3001,MATCH(G1705,Pubs!$A$2:$A$3001,0))&amp;"",""))</f>
        <v/>
      </c>
      <c r="K1705" s="28" t="str">
        <f aca="false">IF(OR(G1705="",G1705="?"),"",IFERROR(INDEX(Pubs!$E$2:$E$3001,MATCH(G1705,Pubs!$A$2:$A$3001,0)),""))</f>
        <v/>
      </c>
      <c r="L1705" s="29" t="str">
        <f aca="false">IF(A1705="","",IFERROR(1/(1/INDEX(Numéros!$C$2:$C$3001,MATCH(A1705&amp;"|"&amp;B1705,Numéros!$F$2:$F$3001,0))),""))</f>
        <v/>
      </c>
      <c r="M1705" s="27" t="str">
        <f aca="false">IF(OR(G1705="",G1705="?"),"",IFERROR(INDEX(Pubs!$D$2:$D$3001,MATCH(G1705,Pubs!$A$2:$A$3001,0))&amp;"",""))</f>
        <v/>
      </c>
      <c r="N1705" s="27" t="n">
        <f aca="false">N(N1704)+IF(AND(A1705&lt;&gt;"",OR(Recherche!$C$4="",A1705=Recherche!$C$4),OR(Recherche!$C$5="",B1705&amp;""=Recherche!$C$5&amp;""),OR(Recherche!$C$6="",IFERROR(YEAR(L1705),0)=Recherche!$C$6),OR(Recherche!$C$7="",ISNUMBER(SEARCH(Recherche!$C$7,H1705))),OR(Recherche!$C$8="",J1705=Recherche!$C$8),OR(Recherche!$C$9="",I1705=Recherche!$C$9),OR(Recherche!$C$10="",G1705&amp;""=Recherche!$C$10&amp;""),OR(Recherche!$C$11="",E1705=Recherche!$C$11),OR(Recherche!$C$12="",ISNUMBER(SEARCH(Recherche!$C$12,M1705&amp;" "&amp;F1705)))),1,0)</f>
        <v>8</v>
      </c>
    </row>
    <row r="1706" customFormat="false" ht="15" hidden="false" customHeight="false" outlineLevel="0" collapsed="false">
      <c r="A1706" s="19"/>
      <c r="B1706" s="19"/>
      <c r="C1706" s="19"/>
      <c r="D1706" s="19"/>
      <c r="E1706" s="22"/>
      <c r="F1706" s="19"/>
      <c r="G1706" s="26" t="str">
        <f aca="false">IF(D1706="","",IFERROR(VALUE(LEFT(D1706,FIND(" |",D1706&amp;" |")-1)),"?"))</f>
        <v/>
      </c>
      <c r="H1706" s="27" t="str">
        <f aca="false">IF(G1706="","",IF(G1706="?","⚠ pub inconnue",IFERROR(INDEX(Pubs!$B$2:$B$3001,MATCH(G1706,Pubs!$A$2:$A$3001,0))&amp;"","⚠ pub inconnue")))</f>
        <v/>
      </c>
      <c r="I1706" s="27" t="str">
        <f aca="false">IF(OR(G1706="",G1706="?"),"",IFERROR(INDEX(Pubs!$C$2:$C$3001,MATCH(G1706,Pubs!$A$2:$A$3001,0))&amp;"",""))</f>
        <v/>
      </c>
      <c r="J1706" s="27" t="str">
        <f aca="false">IF(OR(G1706="",G1706="?"),"",IFERROR(INDEX(Pubs!$G$2:$G$3001,MATCH(G1706,Pubs!$A$2:$A$3001,0))&amp;"",""))</f>
        <v/>
      </c>
      <c r="K1706" s="28" t="str">
        <f aca="false">IF(OR(G1706="",G1706="?"),"",IFERROR(INDEX(Pubs!$E$2:$E$3001,MATCH(G1706,Pubs!$A$2:$A$3001,0)),""))</f>
        <v/>
      </c>
      <c r="L1706" s="29" t="str">
        <f aca="false">IF(A1706="","",IFERROR(1/(1/INDEX(Numéros!$C$2:$C$3001,MATCH(A1706&amp;"|"&amp;B1706,Numéros!$F$2:$F$3001,0))),""))</f>
        <v/>
      </c>
      <c r="M1706" s="27" t="str">
        <f aca="false">IF(OR(G1706="",G1706="?"),"",IFERROR(INDEX(Pubs!$D$2:$D$3001,MATCH(G1706,Pubs!$A$2:$A$3001,0))&amp;"",""))</f>
        <v/>
      </c>
      <c r="N1706" s="27" t="n">
        <f aca="false">N(N1705)+IF(AND(A1706&lt;&gt;"",OR(Recherche!$C$4="",A1706=Recherche!$C$4),OR(Recherche!$C$5="",B1706&amp;""=Recherche!$C$5&amp;""),OR(Recherche!$C$6="",IFERROR(YEAR(L1706),0)=Recherche!$C$6),OR(Recherche!$C$7="",ISNUMBER(SEARCH(Recherche!$C$7,H1706))),OR(Recherche!$C$8="",J1706=Recherche!$C$8),OR(Recherche!$C$9="",I1706=Recherche!$C$9),OR(Recherche!$C$10="",G1706&amp;""=Recherche!$C$10&amp;""),OR(Recherche!$C$11="",E1706=Recherche!$C$11),OR(Recherche!$C$12="",ISNUMBER(SEARCH(Recherche!$C$12,M1706&amp;" "&amp;F1706)))),1,0)</f>
        <v>8</v>
      </c>
    </row>
    <row r="1707" customFormat="false" ht="15" hidden="false" customHeight="false" outlineLevel="0" collapsed="false">
      <c r="A1707" s="19"/>
      <c r="B1707" s="19"/>
      <c r="C1707" s="19"/>
      <c r="D1707" s="19"/>
      <c r="E1707" s="22"/>
      <c r="F1707" s="19"/>
      <c r="G1707" s="26" t="str">
        <f aca="false">IF(D1707="","",IFERROR(VALUE(LEFT(D1707,FIND(" |",D1707&amp;" |")-1)),"?"))</f>
        <v/>
      </c>
      <c r="H1707" s="27" t="str">
        <f aca="false">IF(G1707="","",IF(G1707="?","⚠ pub inconnue",IFERROR(INDEX(Pubs!$B$2:$B$3001,MATCH(G1707,Pubs!$A$2:$A$3001,0))&amp;"","⚠ pub inconnue")))</f>
        <v/>
      </c>
      <c r="I1707" s="27" t="str">
        <f aca="false">IF(OR(G1707="",G1707="?"),"",IFERROR(INDEX(Pubs!$C$2:$C$3001,MATCH(G1707,Pubs!$A$2:$A$3001,0))&amp;"",""))</f>
        <v/>
      </c>
      <c r="J1707" s="27" t="str">
        <f aca="false">IF(OR(G1707="",G1707="?"),"",IFERROR(INDEX(Pubs!$G$2:$G$3001,MATCH(G1707,Pubs!$A$2:$A$3001,0))&amp;"",""))</f>
        <v/>
      </c>
      <c r="K1707" s="28" t="str">
        <f aca="false">IF(OR(G1707="",G1707="?"),"",IFERROR(INDEX(Pubs!$E$2:$E$3001,MATCH(G1707,Pubs!$A$2:$A$3001,0)),""))</f>
        <v/>
      </c>
      <c r="L1707" s="29" t="str">
        <f aca="false">IF(A1707="","",IFERROR(1/(1/INDEX(Numéros!$C$2:$C$3001,MATCH(A1707&amp;"|"&amp;B1707,Numéros!$F$2:$F$3001,0))),""))</f>
        <v/>
      </c>
      <c r="M1707" s="27" t="str">
        <f aca="false">IF(OR(G1707="",G1707="?"),"",IFERROR(INDEX(Pubs!$D$2:$D$3001,MATCH(G1707,Pubs!$A$2:$A$3001,0))&amp;"",""))</f>
        <v/>
      </c>
      <c r="N1707" s="27" t="n">
        <f aca="false">N(N1706)+IF(AND(A1707&lt;&gt;"",OR(Recherche!$C$4="",A1707=Recherche!$C$4),OR(Recherche!$C$5="",B1707&amp;""=Recherche!$C$5&amp;""),OR(Recherche!$C$6="",IFERROR(YEAR(L1707),0)=Recherche!$C$6),OR(Recherche!$C$7="",ISNUMBER(SEARCH(Recherche!$C$7,H1707))),OR(Recherche!$C$8="",J1707=Recherche!$C$8),OR(Recherche!$C$9="",I1707=Recherche!$C$9),OR(Recherche!$C$10="",G1707&amp;""=Recherche!$C$10&amp;""),OR(Recherche!$C$11="",E1707=Recherche!$C$11),OR(Recherche!$C$12="",ISNUMBER(SEARCH(Recherche!$C$12,M1707&amp;" "&amp;F1707)))),1,0)</f>
        <v>8</v>
      </c>
    </row>
    <row r="1708" customFormat="false" ht="15" hidden="false" customHeight="false" outlineLevel="0" collapsed="false">
      <c r="A1708" s="19"/>
      <c r="B1708" s="19"/>
      <c r="C1708" s="19"/>
      <c r="D1708" s="19"/>
      <c r="E1708" s="22"/>
      <c r="F1708" s="19"/>
      <c r="G1708" s="26" t="str">
        <f aca="false">IF(D1708="","",IFERROR(VALUE(LEFT(D1708,FIND(" |",D1708&amp;" |")-1)),"?"))</f>
        <v/>
      </c>
      <c r="H1708" s="27" t="str">
        <f aca="false">IF(G1708="","",IF(G1708="?","⚠ pub inconnue",IFERROR(INDEX(Pubs!$B$2:$B$3001,MATCH(G1708,Pubs!$A$2:$A$3001,0))&amp;"","⚠ pub inconnue")))</f>
        <v/>
      </c>
      <c r="I1708" s="27" t="str">
        <f aca="false">IF(OR(G1708="",G1708="?"),"",IFERROR(INDEX(Pubs!$C$2:$C$3001,MATCH(G1708,Pubs!$A$2:$A$3001,0))&amp;"",""))</f>
        <v/>
      </c>
      <c r="J1708" s="27" t="str">
        <f aca="false">IF(OR(G1708="",G1708="?"),"",IFERROR(INDEX(Pubs!$G$2:$G$3001,MATCH(G1708,Pubs!$A$2:$A$3001,0))&amp;"",""))</f>
        <v/>
      </c>
      <c r="K1708" s="28" t="str">
        <f aca="false">IF(OR(G1708="",G1708="?"),"",IFERROR(INDEX(Pubs!$E$2:$E$3001,MATCH(G1708,Pubs!$A$2:$A$3001,0)),""))</f>
        <v/>
      </c>
      <c r="L1708" s="29" t="str">
        <f aca="false">IF(A1708="","",IFERROR(1/(1/INDEX(Numéros!$C$2:$C$3001,MATCH(A1708&amp;"|"&amp;B1708,Numéros!$F$2:$F$3001,0))),""))</f>
        <v/>
      </c>
      <c r="M1708" s="27" t="str">
        <f aca="false">IF(OR(G1708="",G1708="?"),"",IFERROR(INDEX(Pubs!$D$2:$D$3001,MATCH(G1708,Pubs!$A$2:$A$3001,0))&amp;"",""))</f>
        <v/>
      </c>
      <c r="N1708" s="27" t="n">
        <f aca="false">N(N1707)+IF(AND(A1708&lt;&gt;"",OR(Recherche!$C$4="",A1708=Recherche!$C$4),OR(Recherche!$C$5="",B1708&amp;""=Recherche!$C$5&amp;""),OR(Recherche!$C$6="",IFERROR(YEAR(L1708),0)=Recherche!$C$6),OR(Recherche!$C$7="",ISNUMBER(SEARCH(Recherche!$C$7,H1708))),OR(Recherche!$C$8="",J1708=Recherche!$C$8),OR(Recherche!$C$9="",I1708=Recherche!$C$9),OR(Recherche!$C$10="",G1708&amp;""=Recherche!$C$10&amp;""),OR(Recherche!$C$11="",E1708=Recherche!$C$11),OR(Recherche!$C$12="",ISNUMBER(SEARCH(Recherche!$C$12,M1708&amp;" "&amp;F1708)))),1,0)</f>
        <v>8</v>
      </c>
    </row>
    <row r="1709" customFormat="false" ht="15" hidden="false" customHeight="false" outlineLevel="0" collapsed="false">
      <c r="A1709" s="19"/>
      <c r="B1709" s="19"/>
      <c r="C1709" s="19"/>
      <c r="D1709" s="19"/>
      <c r="E1709" s="22"/>
      <c r="F1709" s="19"/>
      <c r="G1709" s="26" t="str">
        <f aca="false">IF(D1709="","",IFERROR(VALUE(LEFT(D1709,FIND(" |",D1709&amp;" |")-1)),"?"))</f>
        <v/>
      </c>
      <c r="H1709" s="27" t="str">
        <f aca="false">IF(G1709="","",IF(G1709="?","⚠ pub inconnue",IFERROR(INDEX(Pubs!$B$2:$B$3001,MATCH(G1709,Pubs!$A$2:$A$3001,0))&amp;"","⚠ pub inconnue")))</f>
        <v/>
      </c>
      <c r="I1709" s="27" t="str">
        <f aca="false">IF(OR(G1709="",G1709="?"),"",IFERROR(INDEX(Pubs!$C$2:$C$3001,MATCH(G1709,Pubs!$A$2:$A$3001,0))&amp;"",""))</f>
        <v/>
      </c>
      <c r="J1709" s="27" t="str">
        <f aca="false">IF(OR(G1709="",G1709="?"),"",IFERROR(INDEX(Pubs!$G$2:$G$3001,MATCH(G1709,Pubs!$A$2:$A$3001,0))&amp;"",""))</f>
        <v/>
      </c>
      <c r="K1709" s="28" t="str">
        <f aca="false">IF(OR(G1709="",G1709="?"),"",IFERROR(INDEX(Pubs!$E$2:$E$3001,MATCH(G1709,Pubs!$A$2:$A$3001,0)),""))</f>
        <v/>
      </c>
      <c r="L1709" s="29" t="str">
        <f aca="false">IF(A1709="","",IFERROR(1/(1/INDEX(Numéros!$C$2:$C$3001,MATCH(A1709&amp;"|"&amp;B1709,Numéros!$F$2:$F$3001,0))),""))</f>
        <v/>
      </c>
      <c r="M1709" s="27" t="str">
        <f aca="false">IF(OR(G1709="",G1709="?"),"",IFERROR(INDEX(Pubs!$D$2:$D$3001,MATCH(G1709,Pubs!$A$2:$A$3001,0))&amp;"",""))</f>
        <v/>
      </c>
      <c r="N1709" s="27" t="n">
        <f aca="false">N(N1708)+IF(AND(A1709&lt;&gt;"",OR(Recherche!$C$4="",A1709=Recherche!$C$4),OR(Recherche!$C$5="",B1709&amp;""=Recherche!$C$5&amp;""),OR(Recherche!$C$6="",IFERROR(YEAR(L1709),0)=Recherche!$C$6),OR(Recherche!$C$7="",ISNUMBER(SEARCH(Recherche!$C$7,H1709))),OR(Recherche!$C$8="",J1709=Recherche!$C$8),OR(Recherche!$C$9="",I1709=Recherche!$C$9),OR(Recherche!$C$10="",G1709&amp;""=Recherche!$C$10&amp;""),OR(Recherche!$C$11="",E1709=Recherche!$C$11),OR(Recherche!$C$12="",ISNUMBER(SEARCH(Recherche!$C$12,M1709&amp;" "&amp;F1709)))),1,0)</f>
        <v>8</v>
      </c>
    </row>
    <row r="1710" customFormat="false" ht="15" hidden="false" customHeight="false" outlineLevel="0" collapsed="false">
      <c r="A1710" s="19"/>
      <c r="B1710" s="19"/>
      <c r="C1710" s="19"/>
      <c r="D1710" s="19"/>
      <c r="E1710" s="22"/>
      <c r="F1710" s="19"/>
      <c r="G1710" s="26" t="str">
        <f aca="false">IF(D1710="","",IFERROR(VALUE(LEFT(D1710,FIND(" |",D1710&amp;" |")-1)),"?"))</f>
        <v/>
      </c>
      <c r="H1710" s="27" t="str">
        <f aca="false">IF(G1710="","",IF(G1710="?","⚠ pub inconnue",IFERROR(INDEX(Pubs!$B$2:$B$3001,MATCH(G1710,Pubs!$A$2:$A$3001,0))&amp;"","⚠ pub inconnue")))</f>
        <v/>
      </c>
      <c r="I1710" s="27" t="str">
        <f aca="false">IF(OR(G1710="",G1710="?"),"",IFERROR(INDEX(Pubs!$C$2:$C$3001,MATCH(G1710,Pubs!$A$2:$A$3001,0))&amp;"",""))</f>
        <v/>
      </c>
      <c r="J1710" s="27" t="str">
        <f aca="false">IF(OR(G1710="",G1710="?"),"",IFERROR(INDEX(Pubs!$G$2:$G$3001,MATCH(G1710,Pubs!$A$2:$A$3001,0))&amp;"",""))</f>
        <v/>
      </c>
      <c r="K1710" s="28" t="str">
        <f aca="false">IF(OR(G1710="",G1710="?"),"",IFERROR(INDEX(Pubs!$E$2:$E$3001,MATCH(G1710,Pubs!$A$2:$A$3001,0)),""))</f>
        <v/>
      </c>
      <c r="L1710" s="29" t="str">
        <f aca="false">IF(A1710="","",IFERROR(1/(1/INDEX(Numéros!$C$2:$C$3001,MATCH(A1710&amp;"|"&amp;B1710,Numéros!$F$2:$F$3001,0))),""))</f>
        <v/>
      </c>
      <c r="M1710" s="27" t="str">
        <f aca="false">IF(OR(G1710="",G1710="?"),"",IFERROR(INDEX(Pubs!$D$2:$D$3001,MATCH(G1710,Pubs!$A$2:$A$3001,0))&amp;"",""))</f>
        <v/>
      </c>
      <c r="N1710" s="27" t="n">
        <f aca="false">N(N1709)+IF(AND(A1710&lt;&gt;"",OR(Recherche!$C$4="",A1710=Recherche!$C$4),OR(Recherche!$C$5="",B1710&amp;""=Recherche!$C$5&amp;""),OR(Recherche!$C$6="",IFERROR(YEAR(L1710),0)=Recherche!$C$6),OR(Recherche!$C$7="",ISNUMBER(SEARCH(Recherche!$C$7,H1710))),OR(Recherche!$C$8="",J1710=Recherche!$C$8),OR(Recherche!$C$9="",I1710=Recherche!$C$9),OR(Recherche!$C$10="",G1710&amp;""=Recherche!$C$10&amp;""),OR(Recherche!$C$11="",E1710=Recherche!$C$11),OR(Recherche!$C$12="",ISNUMBER(SEARCH(Recherche!$C$12,M1710&amp;" "&amp;F1710)))),1,0)</f>
        <v>8</v>
      </c>
    </row>
    <row r="1711" customFormat="false" ht="15" hidden="false" customHeight="false" outlineLevel="0" collapsed="false">
      <c r="A1711" s="19"/>
      <c r="B1711" s="19"/>
      <c r="C1711" s="19"/>
      <c r="D1711" s="19"/>
      <c r="E1711" s="22"/>
      <c r="F1711" s="19"/>
      <c r="G1711" s="26" t="str">
        <f aca="false">IF(D1711="","",IFERROR(VALUE(LEFT(D1711,FIND(" |",D1711&amp;" |")-1)),"?"))</f>
        <v/>
      </c>
      <c r="H1711" s="27" t="str">
        <f aca="false">IF(G1711="","",IF(G1711="?","⚠ pub inconnue",IFERROR(INDEX(Pubs!$B$2:$B$3001,MATCH(G1711,Pubs!$A$2:$A$3001,0))&amp;"","⚠ pub inconnue")))</f>
        <v/>
      </c>
      <c r="I1711" s="27" t="str">
        <f aca="false">IF(OR(G1711="",G1711="?"),"",IFERROR(INDEX(Pubs!$C$2:$C$3001,MATCH(G1711,Pubs!$A$2:$A$3001,0))&amp;"",""))</f>
        <v/>
      </c>
      <c r="J1711" s="27" t="str">
        <f aca="false">IF(OR(G1711="",G1711="?"),"",IFERROR(INDEX(Pubs!$G$2:$G$3001,MATCH(G1711,Pubs!$A$2:$A$3001,0))&amp;"",""))</f>
        <v/>
      </c>
      <c r="K1711" s="28" t="str">
        <f aca="false">IF(OR(G1711="",G1711="?"),"",IFERROR(INDEX(Pubs!$E$2:$E$3001,MATCH(G1711,Pubs!$A$2:$A$3001,0)),""))</f>
        <v/>
      </c>
      <c r="L1711" s="29" t="str">
        <f aca="false">IF(A1711="","",IFERROR(1/(1/INDEX(Numéros!$C$2:$C$3001,MATCH(A1711&amp;"|"&amp;B1711,Numéros!$F$2:$F$3001,0))),""))</f>
        <v/>
      </c>
      <c r="M1711" s="27" t="str">
        <f aca="false">IF(OR(G1711="",G1711="?"),"",IFERROR(INDEX(Pubs!$D$2:$D$3001,MATCH(G1711,Pubs!$A$2:$A$3001,0))&amp;"",""))</f>
        <v/>
      </c>
      <c r="N1711" s="27" t="n">
        <f aca="false">N(N1710)+IF(AND(A1711&lt;&gt;"",OR(Recherche!$C$4="",A1711=Recherche!$C$4),OR(Recherche!$C$5="",B1711&amp;""=Recherche!$C$5&amp;""),OR(Recherche!$C$6="",IFERROR(YEAR(L1711),0)=Recherche!$C$6),OR(Recherche!$C$7="",ISNUMBER(SEARCH(Recherche!$C$7,H1711))),OR(Recherche!$C$8="",J1711=Recherche!$C$8),OR(Recherche!$C$9="",I1711=Recherche!$C$9),OR(Recherche!$C$10="",G1711&amp;""=Recherche!$C$10&amp;""),OR(Recherche!$C$11="",E1711=Recherche!$C$11),OR(Recherche!$C$12="",ISNUMBER(SEARCH(Recherche!$C$12,M1711&amp;" "&amp;F1711)))),1,0)</f>
        <v>8</v>
      </c>
    </row>
    <row r="1712" customFormat="false" ht="15" hidden="false" customHeight="false" outlineLevel="0" collapsed="false">
      <c r="A1712" s="19"/>
      <c r="B1712" s="19"/>
      <c r="C1712" s="19"/>
      <c r="D1712" s="19"/>
      <c r="E1712" s="22"/>
      <c r="F1712" s="19"/>
      <c r="G1712" s="26" t="str">
        <f aca="false">IF(D1712="","",IFERROR(VALUE(LEFT(D1712,FIND(" |",D1712&amp;" |")-1)),"?"))</f>
        <v/>
      </c>
      <c r="H1712" s="27" t="str">
        <f aca="false">IF(G1712="","",IF(G1712="?","⚠ pub inconnue",IFERROR(INDEX(Pubs!$B$2:$B$3001,MATCH(G1712,Pubs!$A$2:$A$3001,0))&amp;"","⚠ pub inconnue")))</f>
        <v/>
      </c>
      <c r="I1712" s="27" t="str">
        <f aca="false">IF(OR(G1712="",G1712="?"),"",IFERROR(INDEX(Pubs!$C$2:$C$3001,MATCH(G1712,Pubs!$A$2:$A$3001,0))&amp;"",""))</f>
        <v/>
      </c>
      <c r="J1712" s="27" t="str">
        <f aca="false">IF(OR(G1712="",G1712="?"),"",IFERROR(INDEX(Pubs!$G$2:$G$3001,MATCH(G1712,Pubs!$A$2:$A$3001,0))&amp;"",""))</f>
        <v/>
      </c>
      <c r="K1712" s="28" t="str">
        <f aca="false">IF(OR(G1712="",G1712="?"),"",IFERROR(INDEX(Pubs!$E$2:$E$3001,MATCH(G1712,Pubs!$A$2:$A$3001,0)),""))</f>
        <v/>
      </c>
      <c r="L1712" s="29" t="str">
        <f aca="false">IF(A1712="","",IFERROR(1/(1/INDEX(Numéros!$C$2:$C$3001,MATCH(A1712&amp;"|"&amp;B1712,Numéros!$F$2:$F$3001,0))),""))</f>
        <v/>
      </c>
      <c r="M1712" s="27" t="str">
        <f aca="false">IF(OR(G1712="",G1712="?"),"",IFERROR(INDEX(Pubs!$D$2:$D$3001,MATCH(G1712,Pubs!$A$2:$A$3001,0))&amp;"",""))</f>
        <v/>
      </c>
      <c r="N1712" s="27" t="n">
        <f aca="false">N(N1711)+IF(AND(A1712&lt;&gt;"",OR(Recherche!$C$4="",A1712=Recherche!$C$4),OR(Recherche!$C$5="",B1712&amp;""=Recherche!$C$5&amp;""),OR(Recherche!$C$6="",IFERROR(YEAR(L1712),0)=Recherche!$C$6),OR(Recherche!$C$7="",ISNUMBER(SEARCH(Recherche!$C$7,H1712))),OR(Recherche!$C$8="",J1712=Recherche!$C$8),OR(Recherche!$C$9="",I1712=Recherche!$C$9),OR(Recherche!$C$10="",G1712&amp;""=Recherche!$C$10&amp;""),OR(Recherche!$C$11="",E1712=Recherche!$C$11),OR(Recherche!$C$12="",ISNUMBER(SEARCH(Recherche!$C$12,M1712&amp;" "&amp;F1712)))),1,0)</f>
        <v>8</v>
      </c>
    </row>
    <row r="1713" customFormat="false" ht="15" hidden="false" customHeight="false" outlineLevel="0" collapsed="false">
      <c r="A1713" s="19"/>
      <c r="B1713" s="19"/>
      <c r="C1713" s="19"/>
      <c r="D1713" s="19"/>
      <c r="E1713" s="22"/>
      <c r="F1713" s="19"/>
      <c r="G1713" s="26" t="str">
        <f aca="false">IF(D1713="","",IFERROR(VALUE(LEFT(D1713,FIND(" |",D1713&amp;" |")-1)),"?"))</f>
        <v/>
      </c>
      <c r="H1713" s="27" t="str">
        <f aca="false">IF(G1713="","",IF(G1713="?","⚠ pub inconnue",IFERROR(INDEX(Pubs!$B$2:$B$3001,MATCH(G1713,Pubs!$A$2:$A$3001,0))&amp;"","⚠ pub inconnue")))</f>
        <v/>
      </c>
      <c r="I1713" s="27" t="str">
        <f aca="false">IF(OR(G1713="",G1713="?"),"",IFERROR(INDEX(Pubs!$C$2:$C$3001,MATCH(G1713,Pubs!$A$2:$A$3001,0))&amp;"",""))</f>
        <v/>
      </c>
      <c r="J1713" s="27" t="str">
        <f aca="false">IF(OR(G1713="",G1713="?"),"",IFERROR(INDEX(Pubs!$G$2:$G$3001,MATCH(G1713,Pubs!$A$2:$A$3001,0))&amp;"",""))</f>
        <v/>
      </c>
      <c r="K1713" s="28" t="str">
        <f aca="false">IF(OR(G1713="",G1713="?"),"",IFERROR(INDEX(Pubs!$E$2:$E$3001,MATCH(G1713,Pubs!$A$2:$A$3001,0)),""))</f>
        <v/>
      </c>
      <c r="L1713" s="29" t="str">
        <f aca="false">IF(A1713="","",IFERROR(1/(1/INDEX(Numéros!$C$2:$C$3001,MATCH(A1713&amp;"|"&amp;B1713,Numéros!$F$2:$F$3001,0))),""))</f>
        <v/>
      </c>
      <c r="M1713" s="27" t="str">
        <f aca="false">IF(OR(G1713="",G1713="?"),"",IFERROR(INDEX(Pubs!$D$2:$D$3001,MATCH(G1713,Pubs!$A$2:$A$3001,0))&amp;"",""))</f>
        <v/>
      </c>
      <c r="N1713" s="27" t="n">
        <f aca="false">N(N1712)+IF(AND(A1713&lt;&gt;"",OR(Recherche!$C$4="",A1713=Recherche!$C$4),OR(Recherche!$C$5="",B1713&amp;""=Recherche!$C$5&amp;""),OR(Recherche!$C$6="",IFERROR(YEAR(L1713),0)=Recherche!$C$6),OR(Recherche!$C$7="",ISNUMBER(SEARCH(Recherche!$C$7,H1713))),OR(Recherche!$C$8="",J1713=Recherche!$C$8),OR(Recherche!$C$9="",I1713=Recherche!$C$9),OR(Recherche!$C$10="",G1713&amp;""=Recherche!$C$10&amp;""),OR(Recherche!$C$11="",E1713=Recherche!$C$11),OR(Recherche!$C$12="",ISNUMBER(SEARCH(Recherche!$C$12,M1713&amp;" "&amp;F1713)))),1,0)</f>
        <v>8</v>
      </c>
    </row>
    <row r="1714" customFormat="false" ht="15" hidden="false" customHeight="false" outlineLevel="0" collapsed="false">
      <c r="A1714" s="19"/>
      <c r="B1714" s="19"/>
      <c r="C1714" s="19"/>
      <c r="D1714" s="19"/>
      <c r="E1714" s="22"/>
      <c r="F1714" s="19"/>
      <c r="G1714" s="26" t="str">
        <f aca="false">IF(D1714="","",IFERROR(VALUE(LEFT(D1714,FIND(" |",D1714&amp;" |")-1)),"?"))</f>
        <v/>
      </c>
      <c r="H1714" s="27" t="str">
        <f aca="false">IF(G1714="","",IF(G1714="?","⚠ pub inconnue",IFERROR(INDEX(Pubs!$B$2:$B$3001,MATCH(G1714,Pubs!$A$2:$A$3001,0))&amp;"","⚠ pub inconnue")))</f>
        <v/>
      </c>
      <c r="I1714" s="27" t="str">
        <f aca="false">IF(OR(G1714="",G1714="?"),"",IFERROR(INDEX(Pubs!$C$2:$C$3001,MATCH(G1714,Pubs!$A$2:$A$3001,0))&amp;"",""))</f>
        <v/>
      </c>
      <c r="J1714" s="27" t="str">
        <f aca="false">IF(OR(G1714="",G1714="?"),"",IFERROR(INDEX(Pubs!$G$2:$G$3001,MATCH(G1714,Pubs!$A$2:$A$3001,0))&amp;"",""))</f>
        <v/>
      </c>
      <c r="K1714" s="28" t="str">
        <f aca="false">IF(OR(G1714="",G1714="?"),"",IFERROR(INDEX(Pubs!$E$2:$E$3001,MATCH(G1714,Pubs!$A$2:$A$3001,0)),""))</f>
        <v/>
      </c>
      <c r="L1714" s="29" t="str">
        <f aca="false">IF(A1714="","",IFERROR(1/(1/INDEX(Numéros!$C$2:$C$3001,MATCH(A1714&amp;"|"&amp;B1714,Numéros!$F$2:$F$3001,0))),""))</f>
        <v/>
      </c>
      <c r="M1714" s="27" t="str">
        <f aca="false">IF(OR(G1714="",G1714="?"),"",IFERROR(INDEX(Pubs!$D$2:$D$3001,MATCH(G1714,Pubs!$A$2:$A$3001,0))&amp;"",""))</f>
        <v/>
      </c>
      <c r="N1714" s="27" t="n">
        <f aca="false">N(N1713)+IF(AND(A1714&lt;&gt;"",OR(Recherche!$C$4="",A1714=Recherche!$C$4),OR(Recherche!$C$5="",B1714&amp;""=Recherche!$C$5&amp;""),OR(Recherche!$C$6="",IFERROR(YEAR(L1714),0)=Recherche!$C$6),OR(Recherche!$C$7="",ISNUMBER(SEARCH(Recherche!$C$7,H1714))),OR(Recherche!$C$8="",J1714=Recherche!$C$8),OR(Recherche!$C$9="",I1714=Recherche!$C$9),OR(Recherche!$C$10="",G1714&amp;""=Recherche!$C$10&amp;""),OR(Recherche!$C$11="",E1714=Recherche!$C$11),OR(Recherche!$C$12="",ISNUMBER(SEARCH(Recherche!$C$12,M1714&amp;" "&amp;F1714)))),1,0)</f>
        <v>8</v>
      </c>
    </row>
    <row r="1715" customFormat="false" ht="15" hidden="false" customHeight="false" outlineLevel="0" collapsed="false">
      <c r="A1715" s="19"/>
      <c r="B1715" s="19"/>
      <c r="C1715" s="19"/>
      <c r="D1715" s="19"/>
      <c r="E1715" s="22"/>
      <c r="F1715" s="19"/>
      <c r="G1715" s="26" t="str">
        <f aca="false">IF(D1715="","",IFERROR(VALUE(LEFT(D1715,FIND(" |",D1715&amp;" |")-1)),"?"))</f>
        <v/>
      </c>
      <c r="H1715" s="27" t="str">
        <f aca="false">IF(G1715="","",IF(G1715="?","⚠ pub inconnue",IFERROR(INDEX(Pubs!$B$2:$B$3001,MATCH(G1715,Pubs!$A$2:$A$3001,0))&amp;"","⚠ pub inconnue")))</f>
        <v/>
      </c>
      <c r="I1715" s="27" t="str">
        <f aca="false">IF(OR(G1715="",G1715="?"),"",IFERROR(INDEX(Pubs!$C$2:$C$3001,MATCH(G1715,Pubs!$A$2:$A$3001,0))&amp;"",""))</f>
        <v/>
      </c>
      <c r="J1715" s="27" t="str">
        <f aca="false">IF(OR(G1715="",G1715="?"),"",IFERROR(INDEX(Pubs!$G$2:$G$3001,MATCH(G1715,Pubs!$A$2:$A$3001,0))&amp;"",""))</f>
        <v/>
      </c>
      <c r="K1715" s="28" t="str">
        <f aca="false">IF(OR(G1715="",G1715="?"),"",IFERROR(INDEX(Pubs!$E$2:$E$3001,MATCH(G1715,Pubs!$A$2:$A$3001,0)),""))</f>
        <v/>
      </c>
      <c r="L1715" s="29" t="str">
        <f aca="false">IF(A1715="","",IFERROR(1/(1/INDEX(Numéros!$C$2:$C$3001,MATCH(A1715&amp;"|"&amp;B1715,Numéros!$F$2:$F$3001,0))),""))</f>
        <v/>
      </c>
      <c r="M1715" s="27" t="str">
        <f aca="false">IF(OR(G1715="",G1715="?"),"",IFERROR(INDEX(Pubs!$D$2:$D$3001,MATCH(G1715,Pubs!$A$2:$A$3001,0))&amp;"",""))</f>
        <v/>
      </c>
      <c r="N1715" s="27" t="n">
        <f aca="false">N(N1714)+IF(AND(A1715&lt;&gt;"",OR(Recherche!$C$4="",A1715=Recherche!$C$4),OR(Recherche!$C$5="",B1715&amp;""=Recherche!$C$5&amp;""),OR(Recherche!$C$6="",IFERROR(YEAR(L1715),0)=Recherche!$C$6),OR(Recherche!$C$7="",ISNUMBER(SEARCH(Recherche!$C$7,H1715))),OR(Recherche!$C$8="",J1715=Recherche!$C$8),OR(Recherche!$C$9="",I1715=Recherche!$C$9),OR(Recherche!$C$10="",G1715&amp;""=Recherche!$C$10&amp;""),OR(Recherche!$C$11="",E1715=Recherche!$C$11),OR(Recherche!$C$12="",ISNUMBER(SEARCH(Recherche!$C$12,M1715&amp;" "&amp;F1715)))),1,0)</f>
        <v>8</v>
      </c>
    </row>
    <row r="1716" customFormat="false" ht="15" hidden="false" customHeight="false" outlineLevel="0" collapsed="false">
      <c r="A1716" s="19"/>
      <c r="B1716" s="19"/>
      <c r="C1716" s="19"/>
      <c r="D1716" s="19"/>
      <c r="E1716" s="22"/>
      <c r="F1716" s="19"/>
      <c r="G1716" s="26" t="str">
        <f aca="false">IF(D1716="","",IFERROR(VALUE(LEFT(D1716,FIND(" |",D1716&amp;" |")-1)),"?"))</f>
        <v/>
      </c>
      <c r="H1716" s="27" t="str">
        <f aca="false">IF(G1716="","",IF(G1716="?","⚠ pub inconnue",IFERROR(INDEX(Pubs!$B$2:$B$3001,MATCH(G1716,Pubs!$A$2:$A$3001,0))&amp;"","⚠ pub inconnue")))</f>
        <v/>
      </c>
      <c r="I1716" s="27" t="str">
        <f aca="false">IF(OR(G1716="",G1716="?"),"",IFERROR(INDEX(Pubs!$C$2:$C$3001,MATCH(G1716,Pubs!$A$2:$A$3001,0))&amp;"",""))</f>
        <v/>
      </c>
      <c r="J1716" s="27" t="str">
        <f aca="false">IF(OR(G1716="",G1716="?"),"",IFERROR(INDEX(Pubs!$G$2:$G$3001,MATCH(G1716,Pubs!$A$2:$A$3001,0))&amp;"",""))</f>
        <v/>
      </c>
      <c r="K1716" s="28" t="str">
        <f aca="false">IF(OR(G1716="",G1716="?"),"",IFERROR(INDEX(Pubs!$E$2:$E$3001,MATCH(G1716,Pubs!$A$2:$A$3001,0)),""))</f>
        <v/>
      </c>
      <c r="L1716" s="29" t="str">
        <f aca="false">IF(A1716="","",IFERROR(1/(1/INDEX(Numéros!$C$2:$C$3001,MATCH(A1716&amp;"|"&amp;B1716,Numéros!$F$2:$F$3001,0))),""))</f>
        <v/>
      </c>
      <c r="M1716" s="27" t="str">
        <f aca="false">IF(OR(G1716="",G1716="?"),"",IFERROR(INDEX(Pubs!$D$2:$D$3001,MATCH(G1716,Pubs!$A$2:$A$3001,0))&amp;"",""))</f>
        <v/>
      </c>
      <c r="N1716" s="27" t="n">
        <f aca="false">N(N1715)+IF(AND(A1716&lt;&gt;"",OR(Recherche!$C$4="",A1716=Recherche!$C$4),OR(Recherche!$C$5="",B1716&amp;""=Recherche!$C$5&amp;""),OR(Recherche!$C$6="",IFERROR(YEAR(L1716),0)=Recherche!$C$6),OR(Recherche!$C$7="",ISNUMBER(SEARCH(Recherche!$C$7,H1716))),OR(Recherche!$C$8="",J1716=Recherche!$C$8),OR(Recherche!$C$9="",I1716=Recherche!$C$9),OR(Recherche!$C$10="",G1716&amp;""=Recherche!$C$10&amp;""),OR(Recherche!$C$11="",E1716=Recherche!$C$11),OR(Recherche!$C$12="",ISNUMBER(SEARCH(Recherche!$C$12,M1716&amp;" "&amp;F1716)))),1,0)</f>
        <v>8</v>
      </c>
    </row>
    <row r="1717" customFormat="false" ht="15" hidden="false" customHeight="false" outlineLevel="0" collapsed="false">
      <c r="A1717" s="19"/>
      <c r="B1717" s="19"/>
      <c r="C1717" s="19"/>
      <c r="D1717" s="19"/>
      <c r="E1717" s="22"/>
      <c r="F1717" s="19"/>
      <c r="G1717" s="26" t="str">
        <f aca="false">IF(D1717="","",IFERROR(VALUE(LEFT(D1717,FIND(" |",D1717&amp;" |")-1)),"?"))</f>
        <v/>
      </c>
      <c r="H1717" s="27" t="str">
        <f aca="false">IF(G1717="","",IF(G1717="?","⚠ pub inconnue",IFERROR(INDEX(Pubs!$B$2:$B$3001,MATCH(G1717,Pubs!$A$2:$A$3001,0))&amp;"","⚠ pub inconnue")))</f>
        <v/>
      </c>
      <c r="I1717" s="27" t="str">
        <f aca="false">IF(OR(G1717="",G1717="?"),"",IFERROR(INDEX(Pubs!$C$2:$C$3001,MATCH(G1717,Pubs!$A$2:$A$3001,0))&amp;"",""))</f>
        <v/>
      </c>
      <c r="J1717" s="27" t="str">
        <f aca="false">IF(OR(G1717="",G1717="?"),"",IFERROR(INDEX(Pubs!$G$2:$G$3001,MATCH(G1717,Pubs!$A$2:$A$3001,0))&amp;"",""))</f>
        <v/>
      </c>
      <c r="K1717" s="28" t="str">
        <f aca="false">IF(OR(G1717="",G1717="?"),"",IFERROR(INDEX(Pubs!$E$2:$E$3001,MATCH(G1717,Pubs!$A$2:$A$3001,0)),""))</f>
        <v/>
      </c>
      <c r="L1717" s="29" t="str">
        <f aca="false">IF(A1717="","",IFERROR(1/(1/INDEX(Numéros!$C$2:$C$3001,MATCH(A1717&amp;"|"&amp;B1717,Numéros!$F$2:$F$3001,0))),""))</f>
        <v/>
      </c>
      <c r="M1717" s="27" t="str">
        <f aca="false">IF(OR(G1717="",G1717="?"),"",IFERROR(INDEX(Pubs!$D$2:$D$3001,MATCH(G1717,Pubs!$A$2:$A$3001,0))&amp;"",""))</f>
        <v/>
      </c>
      <c r="N1717" s="27" t="n">
        <f aca="false">N(N1716)+IF(AND(A1717&lt;&gt;"",OR(Recherche!$C$4="",A1717=Recherche!$C$4),OR(Recherche!$C$5="",B1717&amp;""=Recherche!$C$5&amp;""),OR(Recherche!$C$6="",IFERROR(YEAR(L1717),0)=Recherche!$C$6),OR(Recherche!$C$7="",ISNUMBER(SEARCH(Recherche!$C$7,H1717))),OR(Recherche!$C$8="",J1717=Recherche!$C$8),OR(Recherche!$C$9="",I1717=Recherche!$C$9),OR(Recherche!$C$10="",G1717&amp;""=Recherche!$C$10&amp;""),OR(Recherche!$C$11="",E1717=Recherche!$C$11),OR(Recherche!$C$12="",ISNUMBER(SEARCH(Recherche!$C$12,M1717&amp;" "&amp;F1717)))),1,0)</f>
        <v>8</v>
      </c>
    </row>
    <row r="1718" customFormat="false" ht="15" hidden="false" customHeight="false" outlineLevel="0" collapsed="false">
      <c r="A1718" s="19"/>
      <c r="B1718" s="19"/>
      <c r="C1718" s="19"/>
      <c r="D1718" s="19"/>
      <c r="E1718" s="22"/>
      <c r="F1718" s="19"/>
      <c r="G1718" s="26" t="str">
        <f aca="false">IF(D1718="","",IFERROR(VALUE(LEFT(D1718,FIND(" |",D1718&amp;" |")-1)),"?"))</f>
        <v/>
      </c>
      <c r="H1718" s="27" t="str">
        <f aca="false">IF(G1718="","",IF(G1718="?","⚠ pub inconnue",IFERROR(INDEX(Pubs!$B$2:$B$3001,MATCH(G1718,Pubs!$A$2:$A$3001,0))&amp;"","⚠ pub inconnue")))</f>
        <v/>
      </c>
      <c r="I1718" s="27" t="str">
        <f aca="false">IF(OR(G1718="",G1718="?"),"",IFERROR(INDEX(Pubs!$C$2:$C$3001,MATCH(G1718,Pubs!$A$2:$A$3001,0))&amp;"",""))</f>
        <v/>
      </c>
      <c r="J1718" s="27" t="str">
        <f aca="false">IF(OR(G1718="",G1718="?"),"",IFERROR(INDEX(Pubs!$G$2:$G$3001,MATCH(G1718,Pubs!$A$2:$A$3001,0))&amp;"",""))</f>
        <v/>
      </c>
      <c r="K1718" s="28" t="str">
        <f aca="false">IF(OR(G1718="",G1718="?"),"",IFERROR(INDEX(Pubs!$E$2:$E$3001,MATCH(G1718,Pubs!$A$2:$A$3001,0)),""))</f>
        <v/>
      </c>
      <c r="L1718" s="29" t="str">
        <f aca="false">IF(A1718="","",IFERROR(1/(1/INDEX(Numéros!$C$2:$C$3001,MATCH(A1718&amp;"|"&amp;B1718,Numéros!$F$2:$F$3001,0))),""))</f>
        <v/>
      </c>
      <c r="M1718" s="27" t="str">
        <f aca="false">IF(OR(G1718="",G1718="?"),"",IFERROR(INDEX(Pubs!$D$2:$D$3001,MATCH(G1718,Pubs!$A$2:$A$3001,0))&amp;"",""))</f>
        <v/>
      </c>
      <c r="N1718" s="27" t="n">
        <f aca="false">N(N1717)+IF(AND(A1718&lt;&gt;"",OR(Recherche!$C$4="",A1718=Recherche!$C$4),OR(Recherche!$C$5="",B1718&amp;""=Recherche!$C$5&amp;""),OR(Recherche!$C$6="",IFERROR(YEAR(L1718),0)=Recherche!$C$6),OR(Recherche!$C$7="",ISNUMBER(SEARCH(Recherche!$C$7,H1718))),OR(Recherche!$C$8="",J1718=Recherche!$C$8),OR(Recherche!$C$9="",I1718=Recherche!$C$9),OR(Recherche!$C$10="",G1718&amp;""=Recherche!$C$10&amp;""),OR(Recherche!$C$11="",E1718=Recherche!$C$11),OR(Recherche!$C$12="",ISNUMBER(SEARCH(Recherche!$C$12,M1718&amp;" "&amp;F1718)))),1,0)</f>
        <v>8</v>
      </c>
    </row>
    <row r="1719" customFormat="false" ht="15" hidden="false" customHeight="false" outlineLevel="0" collapsed="false">
      <c r="A1719" s="19"/>
      <c r="B1719" s="19"/>
      <c r="C1719" s="19"/>
      <c r="D1719" s="19"/>
      <c r="E1719" s="22"/>
      <c r="F1719" s="19"/>
      <c r="G1719" s="26" t="str">
        <f aca="false">IF(D1719="","",IFERROR(VALUE(LEFT(D1719,FIND(" |",D1719&amp;" |")-1)),"?"))</f>
        <v/>
      </c>
      <c r="H1719" s="27" t="str">
        <f aca="false">IF(G1719="","",IF(G1719="?","⚠ pub inconnue",IFERROR(INDEX(Pubs!$B$2:$B$3001,MATCH(G1719,Pubs!$A$2:$A$3001,0))&amp;"","⚠ pub inconnue")))</f>
        <v/>
      </c>
      <c r="I1719" s="27" t="str">
        <f aca="false">IF(OR(G1719="",G1719="?"),"",IFERROR(INDEX(Pubs!$C$2:$C$3001,MATCH(G1719,Pubs!$A$2:$A$3001,0))&amp;"",""))</f>
        <v/>
      </c>
      <c r="J1719" s="27" t="str">
        <f aca="false">IF(OR(G1719="",G1719="?"),"",IFERROR(INDEX(Pubs!$G$2:$G$3001,MATCH(G1719,Pubs!$A$2:$A$3001,0))&amp;"",""))</f>
        <v/>
      </c>
      <c r="K1719" s="28" t="str">
        <f aca="false">IF(OR(G1719="",G1719="?"),"",IFERROR(INDEX(Pubs!$E$2:$E$3001,MATCH(G1719,Pubs!$A$2:$A$3001,0)),""))</f>
        <v/>
      </c>
      <c r="L1719" s="29" t="str">
        <f aca="false">IF(A1719="","",IFERROR(1/(1/INDEX(Numéros!$C$2:$C$3001,MATCH(A1719&amp;"|"&amp;B1719,Numéros!$F$2:$F$3001,0))),""))</f>
        <v/>
      </c>
      <c r="M1719" s="27" t="str">
        <f aca="false">IF(OR(G1719="",G1719="?"),"",IFERROR(INDEX(Pubs!$D$2:$D$3001,MATCH(G1719,Pubs!$A$2:$A$3001,0))&amp;"",""))</f>
        <v/>
      </c>
      <c r="N1719" s="27" t="n">
        <f aca="false">N(N1718)+IF(AND(A1719&lt;&gt;"",OR(Recherche!$C$4="",A1719=Recherche!$C$4),OR(Recherche!$C$5="",B1719&amp;""=Recherche!$C$5&amp;""),OR(Recherche!$C$6="",IFERROR(YEAR(L1719),0)=Recherche!$C$6),OR(Recherche!$C$7="",ISNUMBER(SEARCH(Recherche!$C$7,H1719))),OR(Recherche!$C$8="",J1719=Recherche!$C$8),OR(Recherche!$C$9="",I1719=Recherche!$C$9),OR(Recherche!$C$10="",G1719&amp;""=Recherche!$C$10&amp;""),OR(Recherche!$C$11="",E1719=Recherche!$C$11),OR(Recherche!$C$12="",ISNUMBER(SEARCH(Recherche!$C$12,M1719&amp;" "&amp;F1719)))),1,0)</f>
        <v>8</v>
      </c>
    </row>
    <row r="1720" customFormat="false" ht="15" hidden="false" customHeight="false" outlineLevel="0" collapsed="false">
      <c r="A1720" s="19"/>
      <c r="B1720" s="19"/>
      <c r="C1720" s="19"/>
      <c r="D1720" s="19"/>
      <c r="E1720" s="22"/>
      <c r="F1720" s="19"/>
      <c r="G1720" s="26" t="str">
        <f aca="false">IF(D1720="","",IFERROR(VALUE(LEFT(D1720,FIND(" |",D1720&amp;" |")-1)),"?"))</f>
        <v/>
      </c>
      <c r="H1720" s="27" t="str">
        <f aca="false">IF(G1720="","",IF(G1720="?","⚠ pub inconnue",IFERROR(INDEX(Pubs!$B$2:$B$3001,MATCH(G1720,Pubs!$A$2:$A$3001,0))&amp;"","⚠ pub inconnue")))</f>
        <v/>
      </c>
      <c r="I1720" s="27" t="str">
        <f aca="false">IF(OR(G1720="",G1720="?"),"",IFERROR(INDEX(Pubs!$C$2:$C$3001,MATCH(G1720,Pubs!$A$2:$A$3001,0))&amp;"",""))</f>
        <v/>
      </c>
      <c r="J1720" s="27" t="str">
        <f aca="false">IF(OR(G1720="",G1720="?"),"",IFERROR(INDEX(Pubs!$G$2:$G$3001,MATCH(G1720,Pubs!$A$2:$A$3001,0))&amp;"",""))</f>
        <v/>
      </c>
      <c r="K1720" s="28" t="str">
        <f aca="false">IF(OR(G1720="",G1720="?"),"",IFERROR(INDEX(Pubs!$E$2:$E$3001,MATCH(G1720,Pubs!$A$2:$A$3001,0)),""))</f>
        <v/>
      </c>
      <c r="L1720" s="29" t="str">
        <f aca="false">IF(A1720="","",IFERROR(1/(1/INDEX(Numéros!$C$2:$C$3001,MATCH(A1720&amp;"|"&amp;B1720,Numéros!$F$2:$F$3001,0))),""))</f>
        <v/>
      </c>
      <c r="M1720" s="27" t="str">
        <f aca="false">IF(OR(G1720="",G1720="?"),"",IFERROR(INDEX(Pubs!$D$2:$D$3001,MATCH(G1720,Pubs!$A$2:$A$3001,0))&amp;"",""))</f>
        <v/>
      </c>
      <c r="N1720" s="27" t="n">
        <f aca="false">N(N1719)+IF(AND(A1720&lt;&gt;"",OR(Recherche!$C$4="",A1720=Recherche!$C$4),OR(Recherche!$C$5="",B1720&amp;""=Recherche!$C$5&amp;""),OR(Recherche!$C$6="",IFERROR(YEAR(L1720),0)=Recherche!$C$6),OR(Recherche!$C$7="",ISNUMBER(SEARCH(Recherche!$C$7,H1720))),OR(Recherche!$C$8="",J1720=Recherche!$C$8),OR(Recherche!$C$9="",I1720=Recherche!$C$9),OR(Recherche!$C$10="",G1720&amp;""=Recherche!$C$10&amp;""),OR(Recherche!$C$11="",E1720=Recherche!$C$11),OR(Recherche!$C$12="",ISNUMBER(SEARCH(Recherche!$C$12,M1720&amp;" "&amp;F1720)))),1,0)</f>
        <v>8</v>
      </c>
    </row>
    <row r="1721" customFormat="false" ht="15" hidden="false" customHeight="false" outlineLevel="0" collapsed="false">
      <c r="A1721" s="19"/>
      <c r="B1721" s="19"/>
      <c r="C1721" s="19"/>
      <c r="D1721" s="19"/>
      <c r="E1721" s="22"/>
      <c r="F1721" s="19"/>
      <c r="G1721" s="26" t="str">
        <f aca="false">IF(D1721="","",IFERROR(VALUE(LEFT(D1721,FIND(" |",D1721&amp;" |")-1)),"?"))</f>
        <v/>
      </c>
      <c r="H1721" s="27" t="str">
        <f aca="false">IF(G1721="","",IF(G1721="?","⚠ pub inconnue",IFERROR(INDEX(Pubs!$B$2:$B$3001,MATCH(G1721,Pubs!$A$2:$A$3001,0))&amp;"","⚠ pub inconnue")))</f>
        <v/>
      </c>
      <c r="I1721" s="27" t="str">
        <f aca="false">IF(OR(G1721="",G1721="?"),"",IFERROR(INDEX(Pubs!$C$2:$C$3001,MATCH(G1721,Pubs!$A$2:$A$3001,0))&amp;"",""))</f>
        <v/>
      </c>
      <c r="J1721" s="27" t="str">
        <f aca="false">IF(OR(G1721="",G1721="?"),"",IFERROR(INDEX(Pubs!$G$2:$G$3001,MATCH(G1721,Pubs!$A$2:$A$3001,0))&amp;"",""))</f>
        <v/>
      </c>
      <c r="K1721" s="28" t="str">
        <f aca="false">IF(OR(G1721="",G1721="?"),"",IFERROR(INDEX(Pubs!$E$2:$E$3001,MATCH(G1721,Pubs!$A$2:$A$3001,0)),""))</f>
        <v/>
      </c>
      <c r="L1721" s="29" t="str">
        <f aca="false">IF(A1721="","",IFERROR(1/(1/INDEX(Numéros!$C$2:$C$3001,MATCH(A1721&amp;"|"&amp;B1721,Numéros!$F$2:$F$3001,0))),""))</f>
        <v/>
      </c>
      <c r="M1721" s="27" t="str">
        <f aca="false">IF(OR(G1721="",G1721="?"),"",IFERROR(INDEX(Pubs!$D$2:$D$3001,MATCH(G1721,Pubs!$A$2:$A$3001,0))&amp;"",""))</f>
        <v/>
      </c>
      <c r="N1721" s="27" t="n">
        <f aca="false">N(N1720)+IF(AND(A1721&lt;&gt;"",OR(Recherche!$C$4="",A1721=Recherche!$C$4),OR(Recherche!$C$5="",B1721&amp;""=Recherche!$C$5&amp;""),OR(Recherche!$C$6="",IFERROR(YEAR(L1721),0)=Recherche!$C$6),OR(Recherche!$C$7="",ISNUMBER(SEARCH(Recherche!$C$7,H1721))),OR(Recherche!$C$8="",J1721=Recherche!$C$8),OR(Recherche!$C$9="",I1721=Recherche!$C$9),OR(Recherche!$C$10="",G1721&amp;""=Recherche!$C$10&amp;""),OR(Recherche!$C$11="",E1721=Recherche!$C$11),OR(Recherche!$C$12="",ISNUMBER(SEARCH(Recherche!$C$12,M1721&amp;" "&amp;F1721)))),1,0)</f>
        <v>8</v>
      </c>
    </row>
    <row r="1722" customFormat="false" ht="15" hidden="false" customHeight="false" outlineLevel="0" collapsed="false">
      <c r="A1722" s="19"/>
      <c r="B1722" s="19"/>
      <c r="C1722" s="19"/>
      <c r="D1722" s="19"/>
      <c r="E1722" s="22"/>
      <c r="F1722" s="19"/>
      <c r="G1722" s="26" t="str">
        <f aca="false">IF(D1722="","",IFERROR(VALUE(LEFT(D1722,FIND(" |",D1722&amp;" |")-1)),"?"))</f>
        <v/>
      </c>
      <c r="H1722" s="27" t="str">
        <f aca="false">IF(G1722="","",IF(G1722="?","⚠ pub inconnue",IFERROR(INDEX(Pubs!$B$2:$B$3001,MATCH(G1722,Pubs!$A$2:$A$3001,0))&amp;"","⚠ pub inconnue")))</f>
        <v/>
      </c>
      <c r="I1722" s="27" t="str">
        <f aca="false">IF(OR(G1722="",G1722="?"),"",IFERROR(INDEX(Pubs!$C$2:$C$3001,MATCH(G1722,Pubs!$A$2:$A$3001,0))&amp;"",""))</f>
        <v/>
      </c>
      <c r="J1722" s="27" t="str">
        <f aca="false">IF(OR(G1722="",G1722="?"),"",IFERROR(INDEX(Pubs!$G$2:$G$3001,MATCH(G1722,Pubs!$A$2:$A$3001,0))&amp;"",""))</f>
        <v/>
      </c>
      <c r="K1722" s="28" t="str">
        <f aca="false">IF(OR(G1722="",G1722="?"),"",IFERROR(INDEX(Pubs!$E$2:$E$3001,MATCH(G1722,Pubs!$A$2:$A$3001,0)),""))</f>
        <v/>
      </c>
      <c r="L1722" s="29" t="str">
        <f aca="false">IF(A1722="","",IFERROR(1/(1/INDEX(Numéros!$C$2:$C$3001,MATCH(A1722&amp;"|"&amp;B1722,Numéros!$F$2:$F$3001,0))),""))</f>
        <v/>
      </c>
      <c r="M1722" s="27" t="str">
        <f aca="false">IF(OR(G1722="",G1722="?"),"",IFERROR(INDEX(Pubs!$D$2:$D$3001,MATCH(G1722,Pubs!$A$2:$A$3001,0))&amp;"",""))</f>
        <v/>
      </c>
      <c r="N1722" s="27" t="n">
        <f aca="false">N(N1721)+IF(AND(A1722&lt;&gt;"",OR(Recherche!$C$4="",A1722=Recherche!$C$4),OR(Recherche!$C$5="",B1722&amp;""=Recherche!$C$5&amp;""),OR(Recherche!$C$6="",IFERROR(YEAR(L1722),0)=Recherche!$C$6),OR(Recherche!$C$7="",ISNUMBER(SEARCH(Recherche!$C$7,H1722))),OR(Recherche!$C$8="",J1722=Recherche!$C$8),OR(Recherche!$C$9="",I1722=Recherche!$C$9),OR(Recherche!$C$10="",G1722&amp;""=Recherche!$C$10&amp;""),OR(Recherche!$C$11="",E1722=Recherche!$C$11),OR(Recherche!$C$12="",ISNUMBER(SEARCH(Recherche!$C$12,M1722&amp;" "&amp;F1722)))),1,0)</f>
        <v>8</v>
      </c>
    </row>
    <row r="1723" customFormat="false" ht="15" hidden="false" customHeight="false" outlineLevel="0" collapsed="false">
      <c r="A1723" s="19"/>
      <c r="B1723" s="19"/>
      <c r="C1723" s="19"/>
      <c r="D1723" s="19"/>
      <c r="E1723" s="22"/>
      <c r="F1723" s="19"/>
      <c r="G1723" s="26" t="str">
        <f aca="false">IF(D1723="","",IFERROR(VALUE(LEFT(D1723,FIND(" |",D1723&amp;" |")-1)),"?"))</f>
        <v/>
      </c>
      <c r="H1723" s="27" t="str">
        <f aca="false">IF(G1723="","",IF(G1723="?","⚠ pub inconnue",IFERROR(INDEX(Pubs!$B$2:$B$3001,MATCH(G1723,Pubs!$A$2:$A$3001,0))&amp;"","⚠ pub inconnue")))</f>
        <v/>
      </c>
      <c r="I1723" s="27" t="str">
        <f aca="false">IF(OR(G1723="",G1723="?"),"",IFERROR(INDEX(Pubs!$C$2:$C$3001,MATCH(G1723,Pubs!$A$2:$A$3001,0))&amp;"",""))</f>
        <v/>
      </c>
      <c r="J1723" s="27" t="str">
        <f aca="false">IF(OR(G1723="",G1723="?"),"",IFERROR(INDEX(Pubs!$G$2:$G$3001,MATCH(G1723,Pubs!$A$2:$A$3001,0))&amp;"",""))</f>
        <v/>
      </c>
      <c r="K1723" s="28" t="str">
        <f aca="false">IF(OR(G1723="",G1723="?"),"",IFERROR(INDEX(Pubs!$E$2:$E$3001,MATCH(G1723,Pubs!$A$2:$A$3001,0)),""))</f>
        <v/>
      </c>
      <c r="L1723" s="29" t="str">
        <f aca="false">IF(A1723="","",IFERROR(1/(1/INDEX(Numéros!$C$2:$C$3001,MATCH(A1723&amp;"|"&amp;B1723,Numéros!$F$2:$F$3001,0))),""))</f>
        <v/>
      </c>
      <c r="M1723" s="27" t="str">
        <f aca="false">IF(OR(G1723="",G1723="?"),"",IFERROR(INDEX(Pubs!$D$2:$D$3001,MATCH(G1723,Pubs!$A$2:$A$3001,0))&amp;"",""))</f>
        <v/>
      </c>
      <c r="N1723" s="27" t="n">
        <f aca="false">N(N1722)+IF(AND(A1723&lt;&gt;"",OR(Recherche!$C$4="",A1723=Recherche!$C$4),OR(Recherche!$C$5="",B1723&amp;""=Recherche!$C$5&amp;""),OR(Recherche!$C$6="",IFERROR(YEAR(L1723),0)=Recherche!$C$6),OR(Recherche!$C$7="",ISNUMBER(SEARCH(Recherche!$C$7,H1723))),OR(Recherche!$C$8="",J1723=Recherche!$C$8),OR(Recherche!$C$9="",I1723=Recherche!$C$9),OR(Recherche!$C$10="",G1723&amp;""=Recherche!$C$10&amp;""),OR(Recherche!$C$11="",E1723=Recherche!$C$11),OR(Recherche!$C$12="",ISNUMBER(SEARCH(Recherche!$C$12,M1723&amp;" "&amp;F1723)))),1,0)</f>
        <v>8</v>
      </c>
    </row>
    <row r="1724" customFormat="false" ht="15" hidden="false" customHeight="false" outlineLevel="0" collapsed="false">
      <c r="A1724" s="19"/>
      <c r="B1724" s="19"/>
      <c r="C1724" s="19"/>
      <c r="D1724" s="19"/>
      <c r="E1724" s="22"/>
      <c r="F1724" s="19"/>
      <c r="G1724" s="26" t="str">
        <f aca="false">IF(D1724="","",IFERROR(VALUE(LEFT(D1724,FIND(" |",D1724&amp;" |")-1)),"?"))</f>
        <v/>
      </c>
      <c r="H1724" s="27" t="str">
        <f aca="false">IF(G1724="","",IF(G1724="?","⚠ pub inconnue",IFERROR(INDEX(Pubs!$B$2:$B$3001,MATCH(G1724,Pubs!$A$2:$A$3001,0))&amp;"","⚠ pub inconnue")))</f>
        <v/>
      </c>
      <c r="I1724" s="27" t="str">
        <f aca="false">IF(OR(G1724="",G1724="?"),"",IFERROR(INDEX(Pubs!$C$2:$C$3001,MATCH(G1724,Pubs!$A$2:$A$3001,0))&amp;"",""))</f>
        <v/>
      </c>
      <c r="J1724" s="27" t="str">
        <f aca="false">IF(OR(G1724="",G1724="?"),"",IFERROR(INDEX(Pubs!$G$2:$G$3001,MATCH(G1724,Pubs!$A$2:$A$3001,0))&amp;"",""))</f>
        <v/>
      </c>
      <c r="K1724" s="28" t="str">
        <f aca="false">IF(OR(G1724="",G1724="?"),"",IFERROR(INDEX(Pubs!$E$2:$E$3001,MATCH(G1724,Pubs!$A$2:$A$3001,0)),""))</f>
        <v/>
      </c>
      <c r="L1724" s="29" t="str">
        <f aca="false">IF(A1724="","",IFERROR(1/(1/INDEX(Numéros!$C$2:$C$3001,MATCH(A1724&amp;"|"&amp;B1724,Numéros!$F$2:$F$3001,0))),""))</f>
        <v/>
      </c>
      <c r="M1724" s="27" t="str">
        <f aca="false">IF(OR(G1724="",G1724="?"),"",IFERROR(INDEX(Pubs!$D$2:$D$3001,MATCH(G1724,Pubs!$A$2:$A$3001,0))&amp;"",""))</f>
        <v/>
      </c>
      <c r="N1724" s="27" t="n">
        <f aca="false">N(N1723)+IF(AND(A1724&lt;&gt;"",OR(Recherche!$C$4="",A1724=Recherche!$C$4),OR(Recherche!$C$5="",B1724&amp;""=Recherche!$C$5&amp;""),OR(Recherche!$C$6="",IFERROR(YEAR(L1724),0)=Recherche!$C$6),OR(Recherche!$C$7="",ISNUMBER(SEARCH(Recherche!$C$7,H1724))),OR(Recherche!$C$8="",J1724=Recherche!$C$8),OR(Recherche!$C$9="",I1724=Recherche!$C$9),OR(Recherche!$C$10="",G1724&amp;""=Recherche!$C$10&amp;""),OR(Recherche!$C$11="",E1724=Recherche!$C$11),OR(Recherche!$C$12="",ISNUMBER(SEARCH(Recherche!$C$12,M1724&amp;" "&amp;F1724)))),1,0)</f>
        <v>8</v>
      </c>
    </row>
    <row r="1725" customFormat="false" ht="15" hidden="false" customHeight="false" outlineLevel="0" collapsed="false">
      <c r="A1725" s="19"/>
      <c r="B1725" s="19"/>
      <c r="C1725" s="19"/>
      <c r="D1725" s="19"/>
      <c r="E1725" s="22"/>
      <c r="F1725" s="19"/>
      <c r="G1725" s="26" t="str">
        <f aca="false">IF(D1725="","",IFERROR(VALUE(LEFT(D1725,FIND(" |",D1725&amp;" |")-1)),"?"))</f>
        <v/>
      </c>
      <c r="H1725" s="27" t="str">
        <f aca="false">IF(G1725="","",IF(G1725="?","⚠ pub inconnue",IFERROR(INDEX(Pubs!$B$2:$B$3001,MATCH(G1725,Pubs!$A$2:$A$3001,0))&amp;"","⚠ pub inconnue")))</f>
        <v/>
      </c>
      <c r="I1725" s="27" t="str">
        <f aca="false">IF(OR(G1725="",G1725="?"),"",IFERROR(INDEX(Pubs!$C$2:$C$3001,MATCH(G1725,Pubs!$A$2:$A$3001,0))&amp;"",""))</f>
        <v/>
      </c>
      <c r="J1725" s="27" t="str">
        <f aca="false">IF(OR(G1725="",G1725="?"),"",IFERROR(INDEX(Pubs!$G$2:$G$3001,MATCH(G1725,Pubs!$A$2:$A$3001,0))&amp;"",""))</f>
        <v/>
      </c>
      <c r="K1725" s="28" t="str">
        <f aca="false">IF(OR(G1725="",G1725="?"),"",IFERROR(INDEX(Pubs!$E$2:$E$3001,MATCH(G1725,Pubs!$A$2:$A$3001,0)),""))</f>
        <v/>
      </c>
      <c r="L1725" s="29" t="str">
        <f aca="false">IF(A1725="","",IFERROR(1/(1/INDEX(Numéros!$C$2:$C$3001,MATCH(A1725&amp;"|"&amp;B1725,Numéros!$F$2:$F$3001,0))),""))</f>
        <v/>
      </c>
      <c r="M1725" s="27" t="str">
        <f aca="false">IF(OR(G1725="",G1725="?"),"",IFERROR(INDEX(Pubs!$D$2:$D$3001,MATCH(G1725,Pubs!$A$2:$A$3001,0))&amp;"",""))</f>
        <v/>
      </c>
      <c r="N1725" s="27" t="n">
        <f aca="false">N(N1724)+IF(AND(A1725&lt;&gt;"",OR(Recherche!$C$4="",A1725=Recherche!$C$4),OR(Recherche!$C$5="",B1725&amp;""=Recherche!$C$5&amp;""),OR(Recherche!$C$6="",IFERROR(YEAR(L1725),0)=Recherche!$C$6),OR(Recherche!$C$7="",ISNUMBER(SEARCH(Recherche!$C$7,H1725))),OR(Recherche!$C$8="",J1725=Recherche!$C$8),OR(Recherche!$C$9="",I1725=Recherche!$C$9),OR(Recherche!$C$10="",G1725&amp;""=Recherche!$C$10&amp;""),OR(Recherche!$C$11="",E1725=Recherche!$C$11),OR(Recherche!$C$12="",ISNUMBER(SEARCH(Recherche!$C$12,M1725&amp;" "&amp;F1725)))),1,0)</f>
        <v>8</v>
      </c>
    </row>
    <row r="1726" customFormat="false" ht="15" hidden="false" customHeight="false" outlineLevel="0" collapsed="false">
      <c r="A1726" s="19"/>
      <c r="B1726" s="19"/>
      <c r="C1726" s="19"/>
      <c r="D1726" s="19"/>
      <c r="E1726" s="22"/>
      <c r="F1726" s="19"/>
      <c r="G1726" s="26" t="str">
        <f aca="false">IF(D1726="","",IFERROR(VALUE(LEFT(D1726,FIND(" |",D1726&amp;" |")-1)),"?"))</f>
        <v/>
      </c>
      <c r="H1726" s="27" t="str">
        <f aca="false">IF(G1726="","",IF(G1726="?","⚠ pub inconnue",IFERROR(INDEX(Pubs!$B$2:$B$3001,MATCH(G1726,Pubs!$A$2:$A$3001,0))&amp;"","⚠ pub inconnue")))</f>
        <v/>
      </c>
      <c r="I1726" s="27" t="str">
        <f aca="false">IF(OR(G1726="",G1726="?"),"",IFERROR(INDEX(Pubs!$C$2:$C$3001,MATCH(G1726,Pubs!$A$2:$A$3001,0))&amp;"",""))</f>
        <v/>
      </c>
      <c r="J1726" s="27" t="str">
        <f aca="false">IF(OR(G1726="",G1726="?"),"",IFERROR(INDEX(Pubs!$G$2:$G$3001,MATCH(G1726,Pubs!$A$2:$A$3001,0))&amp;"",""))</f>
        <v/>
      </c>
      <c r="K1726" s="28" t="str">
        <f aca="false">IF(OR(G1726="",G1726="?"),"",IFERROR(INDEX(Pubs!$E$2:$E$3001,MATCH(G1726,Pubs!$A$2:$A$3001,0)),""))</f>
        <v/>
      </c>
      <c r="L1726" s="29" t="str">
        <f aca="false">IF(A1726="","",IFERROR(1/(1/INDEX(Numéros!$C$2:$C$3001,MATCH(A1726&amp;"|"&amp;B1726,Numéros!$F$2:$F$3001,0))),""))</f>
        <v/>
      </c>
      <c r="M1726" s="27" t="str">
        <f aca="false">IF(OR(G1726="",G1726="?"),"",IFERROR(INDEX(Pubs!$D$2:$D$3001,MATCH(G1726,Pubs!$A$2:$A$3001,0))&amp;"",""))</f>
        <v/>
      </c>
      <c r="N1726" s="27" t="n">
        <f aca="false">N(N1725)+IF(AND(A1726&lt;&gt;"",OR(Recherche!$C$4="",A1726=Recherche!$C$4),OR(Recherche!$C$5="",B1726&amp;""=Recherche!$C$5&amp;""),OR(Recherche!$C$6="",IFERROR(YEAR(L1726),0)=Recherche!$C$6),OR(Recherche!$C$7="",ISNUMBER(SEARCH(Recherche!$C$7,H1726))),OR(Recherche!$C$8="",J1726=Recherche!$C$8),OR(Recherche!$C$9="",I1726=Recherche!$C$9),OR(Recherche!$C$10="",G1726&amp;""=Recherche!$C$10&amp;""),OR(Recherche!$C$11="",E1726=Recherche!$C$11),OR(Recherche!$C$12="",ISNUMBER(SEARCH(Recherche!$C$12,M1726&amp;" "&amp;F1726)))),1,0)</f>
        <v>8</v>
      </c>
    </row>
    <row r="1727" customFormat="false" ht="15" hidden="false" customHeight="false" outlineLevel="0" collapsed="false">
      <c r="A1727" s="19"/>
      <c r="B1727" s="19"/>
      <c r="C1727" s="19"/>
      <c r="D1727" s="19"/>
      <c r="E1727" s="22"/>
      <c r="F1727" s="19"/>
      <c r="G1727" s="26" t="str">
        <f aca="false">IF(D1727="","",IFERROR(VALUE(LEFT(D1727,FIND(" |",D1727&amp;" |")-1)),"?"))</f>
        <v/>
      </c>
      <c r="H1727" s="27" t="str">
        <f aca="false">IF(G1727="","",IF(G1727="?","⚠ pub inconnue",IFERROR(INDEX(Pubs!$B$2:$B$3001,MATCH(G1727,Pubs!$A$2:$A$3001,0))&amp;"","⚠ pub inconnue")))</f>
        <v/>
      </c>
      <c r="I1727" s="27" t="str">
        <f aca="false">IF(OR(G1727="",G1727="?"),"",IFERROR(INDEX(Pubs!$C$2:$C$3001,MATCH(G1727,Pubs!$A$2:$A$3001,0))&amp;"",""))</f>
        <v/>
      </c>
      <c r="J1727" s="27" t="str">
        <f aca="false">IF(OR(G1727="",G1727="?"),"",IFERROR(INDEX(Pubs!$G$2:$G$3001,MATCH(G1727,Pubs!$A$2:$A$3001,0))&amp;"",""))</f>
        <v/>
      </c>
      <c r="K1727" s="28" t="str">
        <f aca="false">IF(OR(G1727="",G1727="?"),"",IFERROR(INDEX(Pubs!$E$2:$E$3001,MATCH(G1727,Pubs!$A$2:$A$3001,0)),""))</f>
        <v/>
      </c>
      <c r="L1727" s="29" t="str">
        <f aca="false">IF(A1727="","",IFERROR(1/(1/INDEX(Numéros!$C$2:$C$3001,MATCH(A1727&amp;"|"&amp;B1727,Numéros!$F$2:$F$3001,0))),""))</f>
        <v/>
      </c>
      <c r="M1727" s="27" t="str">
        <f aca="false">IF(OR(G1727="",G1727="?"),"",IFERROR(INDEX(Pubs!$D$2:$D$3001,MATCH(G1727,Pubs!$A$2:$A$3001,0))&amp;"",""))</f>
        <v/>
      </c>
      <c r="N1727" s="27" t="n">
        <f aca="false">N(N1726)+IF(AND(A1727&lt;&gt;"",OR(Recherche!$C$4="",A1727=Recherche!$C$4),OR(Recherche!$C$5="",B1727&amp;""=Recherche!$C$5&amp;""),OR(Recherche!$C$6="",IFERROR(YEAR(L1727),0)=Recherche!$C$6),OR(Recherche!$C$7="",ISNUMBER(SEARCH(Recherche!$C$7,H1727))),OR(Recherche!$C$8="",J1727=Recherche!$C$8),OR(Recherche!$C$9="",I1727=Recherche!$C$9),OR(Recherche!$C$10="",G1727&amp;""=Recherche!$C$10&amp;""),OR(Recherche!$C$11="",E1727=Recherche!$C$11),OR(Recherche!$C$12="",ISNUMBER(SEARCH(Recherche!$C$12,M1727&amp;" "&amp;F1727)))),1,0)</f>
        <v>8</v>
      </c>
    </row>
    <row r="1728" customFormat="false" ht="15" hidden="false" customHeight="false" outlineLevel="0" collapsed="false">
      <c r="A1728" s="19"/>
      <c r="B1728" s="19"/>
      <c r="C1728" s="19"/>
      <c r="D1728" s="19"/>
      <c r="E1728" s="22"/>
      <c r="F1728" s="19"/>
      <c r="G1728" s="26" t="str">
        <f aca="false">IF(D1728="","",IFERROR(VALUE(LEFT(D1728,FIND(" |",D1728&amp;" |")-1)),"?"))</f>
        <v/>
      </c>
      <c r="H1728" s="27" t="str">
        <f aca="false">IF(G1728="","",IF(G1728="?","⚠ pub inconnue",IFERROR(INDEX(Pubs!$B$2:$B$3001,MATCH(G1728,Pubs!$A$2:$A$3001,0))&amp;"","⚠ pub inconnue")))</f>
        <v/>
      </c>
      <c r="I1728" s="27" t="str">
        <f aca="false">IF(OR(G1728="",G1728="?"),"",IFERROR(INDEX(Pubs!$C$2:$C$3001,MATCH(G1728,Pubs!$A$2:$A$3001,0))&amp;"",""))</f>
        <v/>
      </c>
      <c r="J1728" s="27" t="str">
        <f aca="false">IF(OR(G1728="",G1728="?"),"",IFERROR(INDEX(Pubs!$G$2:$G$3001,MATCH(G1728,Pubs!$A$2:$A$3001,0))&amp;"",""))</f>
        <v/>
      </c>
      <c r="K1728" s="28" t="str">
        <f aca="false">IF(OR(G1728="",G1728="?"),"",IFERROR(INDEX(Pubs!$E$2:$E$3001,MATCH(G1728,Pubs!$A$2:$A$3001,0)),""))</f>
        <v/>
      </c>
      <c r="L1728" s="29" t="str">
        <f aca="false">IF(A1728="","",IFERROR(1/(1/INDEX(Numéros!$C$2:$C$3001,MATCH(A1728&amp;"|"&amp;B1728,Numéros!$F$2:$F$3001,0))),""))</f>
        <v/>
      </c>
      <c r="M1728" s="27" t="str">
        <f aca="false">IF(OR(G1728="",G1728="?"),"",IFERROR(INDEX(Pubs!$D$2:$D$3001,MATCH(G1728,Pubs!$A$2:$A$3001,0))&amp;"",""))</f>
        <v/>
      </c>
      <c r="N1728" s="27" t="n">
        <f aca="false">N(N1727)+IF(AND(A1728&lt;&gt;"",OR(Recherche!$C$4="",A1728=Recherche!$C$4),OR(Recherche!$C$5="",B1728&amp;""=Recherche!$C$5&amp;""),OR(Recherche!$C$6="",IFERROR(YEAR(L1728),0)=Recherche!$C$6),OR(Recherche!$C$7="",ISNUMBER(SEARCH(Recherche!$C$7,H1728))),OR(Recherche!$C$8="",J1728=Recherche!$C$8),OR(Recherche!$C$9="",I1728=Recherche!$C$9),OR(Recherche!$C$10="",G1728&amp;""=Recherche!$C$10&amp;""),OR(Recherche!$C$11="",E1728=Recherche!$C$11),OR(Recherche!$C$12="",ISNUMBER(SEARCH(Recherche!$C$12,M1728&amp;" "&amp;F1728)))),1,0)</f>
        <v>8</v>
      </c>
    </row>
    <row r="1729" customFormat="false" ht="15" hidden="false" customHeight="false" outlineLevel="0" collapsed="false">
      <c r="A1729" s="19"/>
      <c r="B1729" s="19"/>
      <c r="C1729" s="19"/>
      <c r="D1729" s="19"/>
      <c r="E1729" s="22"/>
      <c r="F1729" s="19"/>
      <c r="G1729" s="26" t="str">
        <f aca="false">IF(D1729="","",IFERROR(VALUE(LEFT(D1729,FIND(" |",D1729&amp;" |")-1)),"?"))</f>
        <v/>
      </c>
      <c r="H1729" s="27" t="str">
        <f aca="false">IF(G1729="","",IF(G1729="?","⚠ pub inconnue",IFERROR(INDEX(Pubs!$B$2:$B$3001,MATCH(G1729,Pubs!$A$2:$A$3001,0))&amp;"","⚠ pub inconnue")))</f>
        <v/>
      </c>
      <c r="I1729" s="27" t="str">
        <f aca="false">IF(OR(G1729="",G1729="?"),"",IFERROR(INDEX(Pubs!$C$2:$C$3001,MATCH(G1729,Pubs!$A$2:$A$3001,0))&amp;"",""))</f>
        <v/>
      </c>
      <c r="J1729" s="27" t="str">
        <f aca="false">IF(OR(G1729="",G1729="?"),"",IFERROR(INDEX(Pubs!$G$2:$G$3001,MATCH(G1729,Pubs!$A$2:$A$3001,0))&amp;"",""))</f>
        <v/>
      </c>
      <c r="K1729" s="28" t="str">
        <f aca="false">IF(OR(G1729="",G1729="?"),"",IFERROR(INDEX(Pubs!$E$2:$E$3001,MATCH(G1729,Pubs!$A$2:$A$3001,0)),""))</f>
        <v/>
      </c>
      <c r="L1729" s="29" t="str">
        <f aca="false">IF(A1729="","",IFERROR(1/(1/INDEX(Numéros!$C$2:$C$3001,MATCH(A1729&amp;"|"&amp;B1729,Numéros!$F$2:$F$3001,0))),""))</f>
        <v/>
      </c>
      <c r="M1729" s="27" t="str">
        <f aca="false">IF(OR(G1729="",G1729="?"),"",IFERROR(INDEX(Pubs!$D$2:$D$3001,MATCH(G1729,Pubs!$A$2:$A$3001,0))&amp;"",""))</f>
        <v/>
      </c>
      <c r="N1729" s="27" t="n">
        <f aca="false">N(N1728)+IF(AND(A1729&lt;&gt;"",OR(Recherche!$C$4="",A1729=Recherche!$C$4),OR(Recherche!$C$5="",B1729&amp;""=Recherche!$C$5&amp;""),OR(Recherche!$C$6="",IFERROR(YEAR(L1729),0)=Recherche!$C$6),OR(Recherche!$C$7="",ISNUMBER(SEARCH(Recherche!$C$7,H1729))),OR(Recherche!$C$8="",J1729=Recherche!$C$8),OR(Recherche!$C$9="",I1729=Recherche!$C$9),OR(Recherche!$C$10="",G1729&amp;""=Recherche!$C$10&amp;""),OR(Recherche!$C$11="",E1729=Recherche!$C$11),OR(Recherche!$C$12="",ISNUMBER(SEARCH(Recherche!$C$12,M1729&amp;" "&amp;F1729)))),1,0)</f>
        <v>8</v>
      </c>
    </row>
    <row r="1730" customFormat="false" ht="15" hidden="false" customHeight="false" outlineLevel="0" collapsed="false">
      <c r="A1730" s="19"/>
      <c r="B1730" s="19"/>
      <c r="C1730" s="19"/>
      <c r="D1730" s="19"/>
      <c r="E1730" s="22"/>
      <c r="F1730" s="19"/>
      <c r="G1730" s="26" t="str">
        <f aca="false">IF(D1730="","",IFERROR(VALUE(LEFT(D1730,FIND(" |",D1730&amp;" |")-1)),"?"))</f>
        <v/>
      </c>
      <c r="H1730" s="27" t="str">
        <f aca="false">IF(G1730="","",IF(G1730="?","⚠ pub inconnue",IFERROR(INDEX(Pubs!$B$2:$B$3001,MATCH(G1730,Pubs!$A$2:$A$3001,0))&amp;"","⚠ pub inconnue")))</f>
        <v/>
      </c>
      <c r="I1730" s="27" t="str">
        <f aca="false">IF(OR(G1730="",G1730="?"),"",IFERROR(INDEX(Pubs!$C$2:$C$3001,MATCH(G1730,Pubs!$A$2:$A$3001,0))&amp;"",""))</f>
        <v/>
      </c>
      <c r="J1730" s="27" t="str">
        <f aca="false">IF(OR(G1730="",G1730="?"),"",IFERROR(INDEX(Pubs!$G$2:$G$3001,MATCH(G1730,Pubs!$A$2:$A$3001,0))&amp;"",""))</f>
        <v/>
      </c>
      <c r="K1730" s="28" t="str">
        <f aca="false">IF(OR(G1730="",G1730="?"),"",IFERROR(INDEX(Pubs!$E$2:$E$3001,MATCH(G1730,Pubs!$A$2:$A$3001,0)),""))</f>
        <v/>
      </c>
      <c r="L1730" s="29" t="str">
        <f aca="false">IF(A1730="","",IFERROR(1/(1/INDEX(Numéros!$C$2:$C$3001,MATCH(A1730&amp;"|"&amp;B1730,Numéros!$F$2:$F$3001,0))),""))</f>
        <v/>
      </c>
      <c r="M1730" s="27" t="str">
        <f aca="false">IF(OR(G1730="",G1730="?"),"",IFERROR(INDEX(Pubs!$D$2:$D$3001,MATCH(G1730,Pubs!$A$2:$A$3001,0))&amp;"",""))</f>
        <v/>
      </c>
      <c r="N1730" s="27" t="n">
        <f aca="false">N(N1729)+IF(AND(A1730&lt;&gt;"",OR(Recherche!$C$4="",A1730=Recherche!$C$4),OR(Recherche!$C$5="",B1730&amp;""=Recherche!$C$5&amp;""),OR(Recherche!$C$6="",IFERROR(YEAR(L1730),0)=Recherche!$C$6),OR(Recherche!$C$7="",ISNUMBER(SEARCH(Recherche!$C$7,H1730))),OR(Recherche!$C$8="",J1730=Recherche!$C$8),OR(Recherche!$C$9="",I1730=Recherche!$C$9),OR(Recherche!$C$10="",G1730&amp;""=Recherche!$C$10&amp;""),OR(Recherche!$C$11="",E1730=Recherche!$C$11),OR(Recherche!$C$12="",ISNUMBER(SEARCH(Recherche!$C$12,M1730&amp;" "&amp;F1730)))),1,0)</f>
        <v>8</v>
      </c>
    </row>
    <row r="1731" customFormat="false" ht="15" hidden="false" customHeight="false" outlineLevel="0" collapsed="false">
      <c r="A1731" s="19"/>
      <c r="B1731" s="19"/>
      <c r="C1731" s="19"/>
      <c r="D1731" s="19"/>
      <c r="E1731" s="22"/>
      <c r="F1731" s="19"/>
      <c r="G1731" s="26" t="str">
        <f aca="false">IF(D1731="","",IFERROR(VALUE(LEFT(D1731,FIND(" |",D1731&amp;" |")-1)),"?"))</f>
        <v/>
      </c>
      <c r="H1731" s="27" t="str">
        <f aca="false">IF(G1731="","",IF(G1731="?","⚠ pub inconnue",IFERROR(INDEX(Pubs!$B$2:$B$3001,MATCH(G1731,Pubs!$A$2:$A$3001,0))&amp;"","⚠ pub inconnue")))</f>
        <v/>
      </c>
      <c r="I1731" s="27" t="str">
        <f aca="false">IF(OR(G1731="",G1731="?"),"",IFERROR(INDEX(Pubs!$C$2:$C$3001,MATCH(G1731,Pubs!$A$2:$A$3001,0))&amp;"",""))</f>
        <v/>
      </c>
      <c r="J1731" s="27" t="str">
        <f aca="false">IF(OR(G1731="",G1731="?"),"",IFERROR(INDEX(Pubs!$G$2:$G$3001,MATCH(G1731,Pubs!$A$2:$A$3001,0))&amp;"",""))</f>
        <v/>
      </c>
      <c r="K1731" s="28" t="str">
        <f aca="false">IF(OR(G1731="",G1731="?"),"",IFERROR(INDEX(Pubs!$E$2:$E$3001,MATCH(G1731,Pubs!$A$2:$A$3001,0)),""))</f>
        <v/>
      </c>
      <c r="L1731" s="29" t="str">
        <f aca="false">IF(A1731="","",IFERROR(1/(1/INDEX(Numéros!$C$2:$C$3001,MATCH(A1731&amp;"|"&amp;B1731,Numéros!$F$2:$F$3001,0))),""))</f>
        <v/>
      </c>
      <c r="M1731" s="27" t="str">
        <f aca="false">IF(OR(G1731="",G1731="?"),"",IFERROR(INDEX(Pubs!$D$2:$D$3001,MATCH(G1731,Pubs!$A$2:$A$3001,0))&amp;"",""))</f>
        <v/>
      </c>
      <c r="N1731" s="27" t="n">
        <f aca="false">N(N1730)+IF(AND(A1731&lt;&gt;"",OR(Recherche!$C$4="",A1731=Recherche!$C$4),OR(Recherche!$C$5="",B1731&amp;""=Recherche!$C$5&amp;""),OR(Recherche!$C$6="",IFERROR(YEAR(L1731),0)=Recherche!$C$6),OR(Recherche!$C$7="",ISNUMBER(SEARCH(Recherche!$C$7,H1731))),OR(Recherche!$C$8="",J1731=Recherche!$C$8),OR(Recherche!$C$9="",I1731=Recherche!$C$9),OR(Recherche!$C$10="",G1731&amp;""=Recherche!$C$10&amp;""),OR(Recherche!$C$11="",E1731=Recherche!$C$11),OR(Recherche!$C$12="",ISNUMBER(SEARCH(Recherche!$C$12,M1731&amp;" "&amp;F1731)))),1,0)</f>
        <v>8</v>
      </c>
    </row>
    <row r="1732" customFormat="false" ht="15" hidden="false" customHeight="false" outlineLevel="0" collapsed="false">
      <c r="A1732" s="19"/>
      <c r="B1732" s="19"/>
      <c r="C1732" s="19"/>
      <c r="D1732" s="19"/>
      <c r="E1732" s="22"/>
      <c r="F1732" s="19"/>
      <c r="G1732" s="26" t="str">
        <f aca="false">IF(D1732="","",IFERROR(VALUE(LEFT(D1732,FIND(" |",D1732&amp;" |")-1)),"?"))</f>
        <v/>
      </c>
      <c r="H1732" s="27" t="str">
        <f aca="false">IF(G1732="","",IF(G1732="?","⚠ pub inconnue",IFERROR(INDEX(Pubs!$B$2:$B$3001,MATCH(G1732,Pubs!$A$2:$A$3001,0))&amp;"","⚠ pub inconnue")))</f>
        <v/>
      </c>
      <c r="I1732" s="27" t="str">
        <f aca="false">IF(OR(G1732="",G1732="?"),"",IFERROR(INDEX(Pubs!$C$2:$C$3001,MATCH(G1732,Pubs!$A$2:$A$3001,0))&amp;"",""))</f>
        <v/>
      </c>
      <c r="J1732" s="27" t="str">
        <f aca="false">IF(OR(G1732="",G1732="?"),"",IFERROR(INDEX(Pubs!$G$2:$G$3001,MATCH(G1732,Pubs!$A$2:$A$3001,0))&amp;"",""))</f>
        <v/>
      </c>
      <c r="K1732" s="28" t="str">
        <f aca="false">IF(OR(G1732="",G1732="?"),"",IFERROR(INDEX(Pubs!$E$2:$E$3001,MATCH(G1732,Pubs!$A$2:$A$3001,0)),""))</f>
        <v/>
      </c>
      <c r="L1732" s="29" t="str">
        <f aca="false">IF(A1732="","",IFERROR(1/(1/INDEX(Numéros!$C$2:$C$3001,MATCH(A1732&amp;"|"&amp;B1732,Numéros!$F$2:$F$3001,0))),""))</f>
        <v/>
      </c>
      <c r="M1732" s="27" t="str">
        <f aca="false">IF(OR(G1732="",G1732="?"),"",IFERROR(INDEX(Pubs!$D$2:$D$3001,MATCH(G1732,Pubs!$A$2:$A$3001,0))&amp;"",""))</f>
        <v/>
      </c>
      <c r="N1732" s="27" t="n">
        <f aca="false">N(N1731)+IF(AND(A1732&lt;&gt;"",OR(Recherche!$C$4="",A1732=Recherche!$C$4),OR(Recherche!$C$5="",B1732&amp;""=Recherche!$C$5&amp;""),OR(Recherche!$C$6="",IFERROR(YEAR(L1732),0)=Recherche!$C$6),OR(Recherche!$C$7="",ISNUMBER(SEARCH(Recherche!$C$7,H1732))),OR(Recherche!$C$8="",J1732=Recherche!$C$8),OR(Recherche!$C$9="",I1732=Recherche!$C$9),OR(Recherche!$C$10="",G1732&amp;""=Recherche!$C$10&amp;""),OR(Recherche!$C$11="",E1732=Recherche!$C$11),OR(Recherche!$C$12="",ISNUMBER(SEARCH(Recherche!$C$12,M1732&amp;" "&amp;F1732)))),1,0)</f>
        <v>8</v>
      </c>
    </row>
    <row r="1733" customFormat="false" ht="15" hidden="false" customHeight="false" outlineLevel="0" collapsed="false">
      <c r="A1733" s="19"/>
      <c r="B1733" s="19"/>
      <c r="C1733" s="19"/>
      <c r="D1733" s="19"/>
      <c r="E1733" s="22"/>
      <c r="F1733" s="19"/>
      <c r="G1733" s="26" t="str">
        <f aca="false">IF(D1733="","",IFERROR(VALUE(LEFT(D1733,FIND(" |",D1733&amp;" |")-1)),"?"))</f>
        <v/>
      </c>
      <c r="H1733" s="27" t="str">
        <f aca="false">IF(G1733="","",IF(G1733="?","⚠ pub inconnue",IFERROR(INDEX(Pubs!$B$2:$B$3001,MATCH(G1733,Pubs!$A$2:$A$3001,0))&amp;"","⚠ pub inconnue")))</f>
        <v/>
      </c>
      <c r="I1733" s="27" t="str">
        <f aca="false">IF(OR(G1733="",G1733="?"),"",IFERROR(INDEX(Pubs!$C$2:$C$3001,MATCH(G1733,Pubs!$A$2:$A$3001,0))&amp;"",""))</f>
        <v/>
      </c>
      <c r="J1733" s="27" t="str">
        <f aca="false">IF(OR(G1733="",G1733="?"),"",IFERROR(INDEX(Pubs!$G$2:$G$3001,MATCH(G1733,Pubs!$A$2:$A$3001,0))&amp;"",""))</f>
        <v/>
      </c>
      <c r="K1733" s="28" t="str">
        <f aca="false">IF(OR(G1733="",G1733="?"),"",IFERROR(INDEX(Pubs!$E$2:$E$3001,MATCH(G1733,Pubs!$A$2:$A$3001,0)),""))</f>
        <v/>
      </c>
      <c r="L1733" s="29" t="str">
        <f aca="false">IF(A1733="","",IFERROR(1/(1/INDEX(Numéros!$C$2:$C$3001,MATCH(A1733&amp;"|"&amp;B1733,Numéros!$F$2:$F$3001,0))),""))</f>
        <v/>
      </c>
      <c r="M1733" s="27" t="str">
        <f aca="false">IF(OR(G1733="",G1733="?"),"",IFERROR(INDEX(Pubs!$D$2:$D$3001,MATCH(G1733,Pubs!$A$2:$A$3001,0))&amp;"",""))</f>
        <v/>
      </c>
      <c r="N1733" s="27" t="n">
        <f aca="false">N(N1732)+IF(AND(A1733&lt;&gt;"",OR(Recherche!$C$4="",A1733=Recherche!$C$4),OR(Recherche!$C$5="",B1733&amp;""=Recherche!$C$5&amp;""),OR(Recherche!$C$6="",IFERROR(YEAR(L1733),0)=Recherche!$C$6),OR(Recherche!$C$7="",ISNUMBER(SEARCH(Recherche!$C$7,H1733))),OR(Recherche!$C$8="",J1733=Recherche!$C$8),OR(Recherche!$C$9="",I1733=Recherche!$C$9),OR(Recherche!$C$10="",G1733&amp;""=Recherche!$C$10&amp;""),OR(Recherche!$C$11="",E1733=Recherche!$C$11),OR(Recherche!$C$12="",ISNUMBER(SEARCH(Recherche!$C$12,M1733&amp;" "&amp;F1733)))),1,0)</f>
        <v>8</v>
      </c>
    </row>
    <row r="1734" customFormat="false" ht="15" hidden="false" customHeight="false" outlineLevel="0" collapsed="false">
      <c r="A1734" s="19"/>
      <c r="B1734" s="19"/>
      <c r="C1734" s="19"/>
      <c r="D1734" s="19"/>
      <c r="E1734" s="22"/>
      <c r="F1734" s="19"/>
      <c r="G1734" s="26" t="str">
        <f aca="false">IF(D1734="","",IFERROR(VALUE(LEFT(D1734,FIND(" |",D1734&amp;" |")-1)),"?"))</f>
        <v/>
      </c>
      <c r="H1734" s="27" t="str">
        <f aca="false">IF(G1734="","",IF(G1734="?","⚠ pub inconnue",IFERROR(INDEX(Pubs!$B$2:$B$3001,MATCH(G1734,Pubs!$A$2:$A$3001,0))&amp;"","⚠ pub inconnue")))</f>
        <v/>
      </c>
      <c r="I1734" s="27" t="str">
        <f aca="false">IF(OR(G1734="",G1734="?"),"",IFERROR(INDEX(Pubs!$C$2:$C$3001,MATCH(G1734,Pubs!$A$2:$A$3001,0))&amp;"",""))</f>
        <v/>
      </c>
      <c r="J1734" s="27" t="str">
        <f aca="false">IF(OR(G1734="",G1734="?"),"",IFERROR(INDEX(Pubs!$G$2:$G$3001,MATCH(G1734,Pubs!$A$2:$A$3001,0))&amp;"",""))</f>
        <v/>
      </c>
      <c r="K1734" s="28" t="str">
        <f aca="false">IF(OR(G1734="",G1734="?"),"",IFERROR(INDEX(Pubs!$E$2:$E$3001,MATCH(G1734,Pubs!$A$2:$A$3001,0)),""))</f>
        <v/>
      </c>
      <c r="L1734" s="29" t="str">
        <f aca="false">IF(A1734="","",IFERROR(1/(1/INDEX(Numéros!$C$2:$C$3001,MATCH(A1734&amp;"|"&amp;B1734,Numéros!$F$2:$F$3001,0))),""))</f>
        <v/>
      </c>
      <c r="M1734" s="27" t="str">
        <f aca="false">IF(OR(G1734="",G1734="?"),"",IFERROR(INDEX(Pubs!$D$2:$D$3001,MATCH(G1734,Pubs!$A$2:$A$3001,0))&amp;"",""))</f>
        <v/>
      </c>
      <c r="N1734" s="27" t="n">
        <f aca="false">N(N1733)+IF(AND(A1734&lt;&gt;"",OR(Recherche!$C$4="",A1734=Recherche!$C$4),OR(Recherche!$C$5="",B1734&amp;""=Recherche!$C$5&amp;""),OR(Recherche!$C$6="",IFERROR(YEAR(L1734),0)=Recherche!$C$6),OR(Recherche!$C$7="",ISNUMBER(SEARCH(Recherche!$C$7,H1734))),OR(Recherche!$C$8="",J1734=Recherche!$C$8),OR(Recherche!$C$9="",I1734=Recherche!$C$9),OR(Recherche!$C$10="",G1734&amp;""=Recherche!$C$10&amp;""),OR(Recherche!$C$11="",E1734=Recherche!$C$11),OR(Recherche!$C$12="",ISNUMBER(SEARCH(Recherche!$C$12,M1734&amp;" "&amp;F1734)))),1,0)</f>
        <v>8</v>
      </c>
    </row>
    <row r="1735" customFormat="false" ht="15" hidden="false" customHeight="false" outlineLevel="0" collapsed="false">
      <c r="A1735" s="19"/>
      <c r="B1735" s="19"/>
      <c r="C1735" s="19"/>
      <c r="D1735" s="19"/>
      <c r="E1735" s="22"/>
      <c r="F1735" s="19"/>
      <c r="G1735" s="26" t="str">
        <f aca="false">IF(D1735="","",IFERROR(VALUE(LEFT(D1735,FIND(" |",D1735&amp;" |")-1)),"?"))</f>
        <v/>
      </c>
      <c r="H1735" s="27" t="str">
        <f aca="false">IF(G1735="","",IF(G1735="?","⚠ pub inconnue",IFERROR(INDEX(Pubs!$B$2:$B$3001,MATCH(G1735,Pubs!$A$2:$A$3001,0))&amp;"","⚠ pub inconnue")))</f>
        <v/>
      </c>
      <c r="I1735" s="27" t="str">
        <f aca="false">IF(OR(G1735="",G1735="?"),"",IFERROR(INDEX(Pubs!$C$2:$C$3001,MATCH(G1735,Pubs!$A$2:$A$3001,0))&amp;"",""))</f>
        <v/>
      </c>
      <c r="J1735" s="27" t="str">
        <f aca="false">IF(OR(G1735="",G1735="?"),"",IFERROR(INDEX(Pubs!$G$2:$G$3001,MATCH(G1735,Pubs!$A$2:$A$3001,0))&amp;"",""))</f>
        <v/>
      </c>
      <c r="K1735" s="28" t="str">
        <f aca="false">IF(OR(G1735="",G1735="?"),"",IFERROR(INDEX(Pubs!$E$2:$E$3001,MATCH(G1735,Pubs!$A$2:$A$3001,0)),""))</f>
        <v/>
      </c>
      <c r="L1735" s="29" t="str">
        <f aca="false">IF(A1735="","",IFERROR(1/(1/INDEX(Numéros!$C$2:$C$3001,MATCH(A1735&amp;"|"&amp;B1735,Numéros!$F$2:$F$3001,0))),""))</f>
        <v/>
      </c>
      <c r="M1735" s="27" t="str">
        <f aca="false">IF(OR(G1735="",G1735="?"),"",IFERROR(INDEX(Pubs!$D$2:$D$3001,MATCH(G1735,Pubs!$A$2:$A$3001,0))&amp;"",""))</f>
        <v/>
      </c>
      <c r="N1735" s="27" t="n">
        <f aca="false">N(N1734)+IF(AND(A1735&lt;&gt;"",OR(Recherche!$C$4="",A1735=Recherche!$C$4),OR(Recherche!$C$5="",B1735&amp;""=Recherche!$C$5&amp;""),OR(Recherche!$C$6="",IFERROR(YEAR(L1735),0)=Recherche!$C$6),OR(Recherche!$C$7="",ISNUMBER(SEARCH(Recherche!$C$7,H1735))),OR(Recherche!$C$8="",J1735=Recherche!$C$8),OR(Recherche!$C$9="",I1735=Recherche!$C$9),OR(Recherche!$C$10="",G1735&amp;""=Recherche!$C$10&amp;""),OR(Recherche!$C$11="",E1735=Recherche!$C$11),OR(Recherche!$C$12="",ISNUMBER(SEARCH(Recherche!$C$12,M1735&amp;" "&amp;F1735)))),1,0)</f>
        <v>8</v>
      </c>
    </row>
    <row r="1736" customFormat="false" ht="15" hidden="false" customHeight="false" outlineLevel="0" collapsed="false">
      <c r="A1736" s="19"/>
      <c r="B1736" s="19"/>
      <c r="C1736" s="19"/>
      <c r="D1736" s="19"/>
      <c r="E1736" s="22"/>
      <c r="F1736" s="19"/>
      <c r="G1736" s="26" t="str">
        <f aca="false">IF(D1736="","",IFERROR(VALUE(LEFT(D1736,FIND(" |",D1736&amp;" |")-1)),"?"))</f>
        <v/>
      </c>
      <c r="H1736" s="27" t="str">
        <f aca="false">IF(G1736="","",IF(G1736="?","⚠ pub inconnue",IFERROR(INDEX(Pubs!$B$2:$B$3001,MATCH(G1736,Pubs!$A$2:$A$3001,0))&amp;"","⚠ pub inconnue")))</f>
        <v/>
      </c>
      <c r="I1736" s="27" t="str">
        <f aca="false">IF(OR(G1736="",G1736="?"),"",IFERROR(INDEX(Pubs!$C$2:$C$3001,MATCH(G1736,Pubs!$A$2:$A$3001,0))&amp;"",""))</f>
        <v/>
      </c>
      <c r="J1736" s="27" t="str">
        <f aca="false">IF(OR(G1736="",G1736="?"),"",IFERROR(INDEX(Pubs!$G$2:$G$3001,MATCH(G1736,Pubs!$A$2:$A$3001,0))&amp;"",""))</f>
        <v/>
      </c>
      <c r="K1736" s="28" t="str">
        <f aca="false">IF(OR(G1736="",G1736="?"),"",IFERROR(INDEX(Pubs!$E$2:$E$3001,MATCH(G1736,Pubs!$A$2:$A$3001,0)),""))</f>
        <v/>
      </c>
      <c r="L1736" s="29" t="str">
        <f aca="false">IF(A1736="","",IFERROR(1/(1/INDEX(Numéros!$C$2:$C$3001,MATCH(A1736&amp;"|"&amp;B1736,Numéros!$F$2:$F$3001,0))),""))</f>
        <v/>
      </c>
      <c r="M1736" s="27" t="str">
        <f aca="false">IF(OR(G1736="",G1736="?"),"",IFERROR(INDEX(Pubs!$D$2:$D$3001,MATCH(G1736,Pubs!$A$2:$A$3001,0))&amp;"",""))</f>
        <v/>
      </c>
      <c r="N1736" s="27" t="n">
        <f aca="false">N(N1735)+IF(AND(A1736&lt;&gt;"",OR(Recherche!$C$4="",A1736=Recherche!$C$4),OR(Recherche!$C$5="",B1736&amp;""=Recherche!$C$5&amp;""),OR(Recherche!$C$6="",IFERROR(YEAR(L1736),0)=Recherche!$C$6),OR(Recherche!$C$7="",ISNUMBER(SEARCH(Recherche!$C$7,H1736))),OR(Recherche!$C$8="",J1736=Recherche!$C$8),OR(Recherche!$C$9="",I1736=Recherche!$C$9),OR(Recherche!$C$10="",G1736&amp;""=Recherche!$C$10&amp;""),OR(Recherche!$C$11="",E1736=Recherche!$C$11),OR(Recherche!$C$12="",ISNUMBER(SEARCH(Recherche!$C$12,M1736&amp;" "&amp;F1736)))),1,0)</f>
        <v>8</v>
      </c>
    </row>
    <row r="1737" customFormat="false" ht="15" hidden="false" customHeight="false" outlineLevel="0" collapsed="false">
      <c r="A1737" s="19"/>
      <c r="B1737" s="19"/>
      <c r="C1737" s="19"/>
      <c r="D1737" s="19"/>
      <c r="E1737" s="22"/>
      <c r="F1737" s="19"/>
      <c r="G1737" s="26" t="str">
        <f aca="false">IF(D1737="","",IFERROR(VALUE(LEFT(D1737,FIND(" |",D1737&amp;" |")-1)),"?"))</f>
        <v/>
      </c>
      <c r="H1737" s="27" t="str">
        <f aca="false">IF(G1737="","",IF(G1737="?","⚠ pub inconnue",IFERROR(INDEX(Pubs!$B$2:$B$3001,MATCH(G1737,Pubs!$A$2:$A$3001,0))&amp;"","⚠ pub inconnue")))</f>
        <v/>
      </c>
      <c r="I1737" s="27" t="str">
        <f aca="false">IF(OR(G1737="",G1737="?"),"",IFERROR(INDEX(Pubs!$C$2:$C$3001,MATCH(G1737,Pubs!$A$2:$A$3001,0))&amp;"",""))</f>
        <v/>
      </c>
      <c r="J1737" s="27" t="str">
        <f aca="false">IF(OR(G1737="",G1737="?"),"",IFERROR(INDEX(Pubs!$G$2:$G$3001,MATCH(G1737,Pubs!$A$2:$A$3001,0))&amp;"",""))</f>
        <v/>
      </c>
      <c r="K1737" s="28" t="str">
        <f aca="false">IF(OR(G1737="",G1737="?"),"",IFERROR(INDEX(Pubs!$E$2:$E$3001,MATCH(G1737,Pubs!$A$2:$A$3001,0)),""))</f>
        <v/>
      </c>
      <c r="L1737" s="29" t="str">
        <f aca="false">IF(A1737="","",IFERROR(1/(1/INDEX(Numéros!$C$2:$C$3001,MATCH(A1737&amp;"|"&amp;B1737,Numéros!$F$2:$F$3001,0))),""))</f>
        <v/>
      </c>
      <c r="M1737" s="27" t="str">
        <f aca="false">IF(OR(G1737="",G1737="?"),"",IFERROR(INDEX(Pubs!$D$2:$D$3001,MATCH(G1737,Pubs!$A$2:$A$3001,0))&amp;"",""))</f>
        <v/>
      </c>
      <c r="N1737" s="27" t="n">
        <f aca="false">N(N1736)+IF(AND(A1737&lt;&gt;"",OR(Recherche!$C$4="",A1737=Recherche!$C$4),OR(Recherche!$C$5="",B1737&amp;""=Recherche!$C$5&amp;""),OR(Recherche!$C$6="",IFERROR(YEAR(L1737),0)=Recherche!$C$6),OR(Recherche!$C$7="",ISNUMBER(SEARCH(Recherche!$C$7,H1737))),OR(Recherche!$C$8="",J1737=Recherche!$C$8),OR(Recherche!$C$9="",I1737=Recherche!$C$9),OR(Recherche!$C$10="",G1737&amp;""=Recherche!$C$10&amp;""),OR(Recherche!$C$11="",E1737=Recherche!$C$11),OR(Recherche!$C$12="",ISNUMBER(SEARCH(Recherche!$C$12,M1737&amp;" "&amp;F1737)))),1,0)</f>
        <v>8</v>
      </c>
    </row>
    <row r="1738" customFormat="false" ht="15" hidden="false" customHeight="false" outlineLevel="0" collapsed="false">
      <c r="A1738" s="19"/>
      <c r="B1738" s="19"/>
      <c r="C1738" s="19"/>
      <c r="D1738" s="19"/>
      <c r="E1738" s="22"/>
      <c r="F1738" s="19"/>
      <c r="G1738" s="26" t="str">
        <f aca="false">IF(D1738="","",IFERROR(VALUE(LEFT(D1738,FIND(" |",D1738&amp;" |")-1)),"?"))</f>
        <v/>
      </c>
      <c r="H1738" s="27" t="str">
        <f aca="false">IF(G1738="","",IF(G1738="?","⚠ pub inconnue",IFERROR(INDEX(Pubs!$B$2:$B$3001,MATCH(G1738,Pubs!$A$2:$A$3001,0))&amp;"","⚠ pub inconnue")))</f>
        <v/>
      </c>
      <c r="I1738" s="27" t="str">
        <f aca="false">IF(OR(G1738="",G1738="?"),"",IFERROR(INDEX(Pubs!$C$2:$C$3001,MATCH(G1738,Pubs!$A$2:$A$3001,0))&amp;"",""))</f>
        <v/>
      </c>
      <c r="J1738" s="27" t="str">
        <f aca="false">IF(OR(G1738="",G1738="?"),"",IFERROR(INDEX(Pubs!$G$2:$G$3001,MATCH(G1738,Pubs!$A$2:$A$3001,0))&amp;"",""))</f>
        <v/>
      </c>
      <c r="K1738" s="28" t="str">
        <f aca="false">IF(OR(G1738="",G1738="?"),"",IFERROR(INDEX(Pubs!$E$2:$E$3001,MATCH(G1738,Pubs!$A$2:$A$3001,0)),""))</f>
        <v/>
      </c>
      <c r="L1738" s="29" t="str">
        <f aca="false">IF(A1738="","",IFERROR(1/(1/INDEX(Numéros!$C$2:$C$3001,MATCH(A1738&amp;"|"&amp;B1738,Numéros!$F$2:$F$3001,0))),""))</f>
        <v/>
      </c>
      <c r="M1738" s="27" t="str">
        <f aca="false">IF(OR(G1738="",G1738="?"),"",IFERROR(INDEX(Pubs!$D$2:$D$3001,MATCH(G1738,Pubs!$A$2:$A$3001,0))&amp;"",""))</f>
        <v/>
      </c>
      <c r="N1738" s="27" t="n">
        <f aca="false">N(N1737)+IF(AND(A1738&lt;&gt;"",OR(Recherche!$C$4="",A1738=Recherche!$C$4),OR(Recherche!$C$5="",B1738&amp;""=Recherche!$C$5&amp;""),OR(Recherche!$C$6="",IFERROR(YEAR(L1738),0)=Recherche!$C$6),OR(Recherche!$C$7="",ISNUMBER(SEARCH(Recherche!$C$7,H1738))),OR(Recherche!$C$8="",J1738=Recherche!$C$8),OR(Recherche!$C$9="",I1738=Recherche!$C$9),OR(Recherche!$C$10="",G1738&amp;""=Recherche!$C$10&amp;""),OR(Recherche!$C$11="",E1738=Recherche!$C$11),OR(Recherche!$C$12="",ISNUMBER(SEARCH(Recherche!$C$12,M1738&amp;" "&amp;F1738)))),1,0)</f>
        <v>8</v>
      </c>
    </row>
    <row r="1739" customFormat="false" ht="15" hidden="false" customHeight="false" outlineLevel="0" collapsed="false">
      <c r="A1739" s="19"/>
      <c r="B1739" s="19"/>
      <c r="C1739" s="19"/>
      <c r="D1739" s="19"/>
      <c r="E1739" s="22"/>
      <c r="F1739" s="19"/>
      <c r="G1739" s="26" t="str">
        <f aca="false">IF(D1739="","",IFERROR(VALUE(LEFT(D1739,FIND(" |",D1739&amp;" |")-1)),"?"))</f>
        <v/>
      </c>
      <c r="H1739" s="27" t="str">
        <f aca="false">IF(G1739="","",IF(G1739="?","⚠ pub inconnue",IFERROR(INDEX(Pubs!$B$2:$B$3001,MATCH(G1739,Pubs!$A$2:$A$3001,0))&amp;"","⚠ pub inconnue")))</f>
        <v/>
      </c>
      <c r="I1739" s="27" t="str">
        <f aca="false">IF(OR(G1739="",G1739="?"),"",IFERROR(INDEX(Pubs!$C$2:$C$3001,MATCH(G1739,Pubs!$A$2:$A$3001,0))&amp;"",""))</f>
        <v/>
      </c>
      <c r="J1739" s="27" t="str">
        <f aca="false">IF(OR(G1739="",G1739="?"),"",IFERROR(INDEX(Pubs!$G$2:$G$3001,MATCH(G1739,Pubs!$A$2:$A$3001,0))&amp;"",""))</f>
        <v/>
      </c>
      <c r="K1739" s="28" t="str">
        <f aca="false">IF(OR(G1739="",G1739="?"),"",IFERROR(INDEX(Pubs!$E$2:$E$3001,MATCH(G1739,Pubs!$A$2:$A$3001,0)),""))</f>
        <v/>
      </c>
      <c r="L1739" s="29" t="str">
        <f aca="false">IF(A1739="","",IFERROR(1/(1/INDEX(Numéros!$C$2:$C$3001,MATCH(A1739&amp;"|"&amp;B1739,Numéros!$F$2:$F$3001,0))),""))</f>
        <v/>
      </c>
      <c r="M1739" s="27" t="str">
        <f aca="false">IF(OR(G1739="",G1739="?"),"",IFERROR(INDEX(Pubs!$D$2:$D$3001,MATCH(G1739,Pubs!$A$2:$A$3001,0))&amp;"",""))</f>
        <v/>
      </c>
      <c r="N1739" s="27" t="n">
        <f aca="false">N(N1738)+IF(AND(A1739&lt;&gt;"",OR(Recherche!$C$4="",A1739=Recherche!$C$4),OR(Recherche!$C$5="",B1739&amp;""=Recherche!$C$5&amp;""),OR(Recherche!$C$6="",IFERROR(YEAR(L1739),0)=Recherche!$C$6),OR(Recherche!$C$7="",ISNUMBER(SEARCH(Recherche!$C$7,H1739))),OR(Recherche!$C$8="",J1739=Recherche!$C$8),OR(Recherche!$C$9="",I1739=Recherche!$C$9),OR(Recherche!$C$10="",G1739&amp;""=Recherche!$C$10&amp;""),OR(Recherche!$C$11="",E1739=Recherche!$C$11),OR(Recherche!$C$12="",ISNUMBER(SEARCH(Recherche!$C$12,M1739&amp;" "&amp;F1739)))),1,0)</f>
        <v>8</v>
      </c>
    </row>
    <row r="1740" customFormat="false" ht="15" hidden="false" customHeight="false" outlineLevel="0" collapsed="false">
      <c r="A1740" s="19"/>
      <c r="B1740" s="19"/>
      <c r="C1740" s="19"/>
      <c r="D1740" s="19"/>
      <c r="E1740" s="22"/>
      <c r="F1740" s="19"/>
      <c r="G1740" s="26" t="str">
        <f aca="false">IF(D1740="","",IFERROR(VALUE(LEFT(D1740,FIND(" |",D1740&amp;" |")-1)),"?"))</f>
        <v/>
      </c>
      <c r="H1740" s="27" t="str">
        <f aca="false">IF(G1740="","",IF(G1740="?","⚠ pub inconnue",IFERROR(INDEX(Pubs!$B$2:$B$3001,MATCH(G1740,Pubs!$A$2:$A$3001,0))&amp;"","⚠ pub inconnue")))</f>
        <v/>
      </c>
      <c r="I1740" s="27" t="str">
        <f aca="false">IF(OR(G1740="",G1740="?"),"",IFERROR(INDEX(Pubs!$C$2:$C$3001,MATCH(G1740,Pubs!$A$2:$A$3001,0))&amp;"",""))</f>
        <v/>
      </c>
      <c r="J1740" s="27" t="str">
        <f aca="false">IF(OR(G1740="",G1740="?"),"",IFERROR(INDEX(Pubs!$G$2:$G$3001,MATCH(G1740,Pubs!$A$2:$A$3001,0))&amp;"",""))</f>
        <v/>
      </c>
      <c r="K1740" s="28" t="str">
        <f aca="false">IF(OR(G1740="",G1740="?"),"",IFERROR(INDEX(Pubs!$E$2:$E$3001,MATCH(G1740,Pubs!$A$2:$A$3001,0)),""))</f>
        <v/>
      </c>
      <c r="L1740" s="29" t="str">
        <f aca="false">IF(A1740="","",IFERROR(1/(1/INDEX(Numéros!$C$2:$C$3001,MATCH(A1740&amp;"|"&amp;B1740,Numéros!$F$2:$F$3001,0))),""))</f>
        <v/>
      </c>
      <c r="M1740" s="27" t="str">
        <f aca="false">IF(OR(G1740="",G1740="?"),"",IFERROR(INDEX(Pubs!$D$2:$D$3001,MATCH(G1740,Pubs!$A$2:$A$3001,0))&amp;"",""))</f>
        <v/>
      </c>
      <c r="N1740" s="27" t="n">
        <f aca="false">N(N1739)+IF(AND(A1740&lt;&gt;"",OR(Recherche!$C$4="",A1740=Recherche!$C$4),OR(Recherche!$C$5="",B1740&amp;""=Recherche!$C$5&amp;""),OR(Recherche!$C$6="",IFERROR(YEAR(L1740),0)=Recherche!$C$6),OR(Recherche!$C$7="",ISNUMBER(SEARCH(Recherche!$C$7,H1740))),OR(Recherche!$C$8="",J1740=Recherche!$C$8),OR(Recherche!$C$9="",I1740=Recherche!$C$9),OR(Recherche!$C$10="",G1740&amp;""=Recherche!$C$10&amp;""),OR(Recherche!$C$11="",E1740=Recherche!$C$11),OR(Recherche!$C$12="",ISNUMBER(SEARCH(Recherche!$C$12,M1740&amp;" "&amp;F1740)))),1,0)</f>
        <v>8</v>
      </c>
    </row>
    <row r="1741" customFormat="false" ht="15" hidden="false" customHeight="false" outlineLevel="0" collapsed="false">
      <c r="A1741" s="19"/>
      <c r="B1741" s="19"/>
      <c r="C1741" s="19"/>
      <c r="D1741" s="19"/>
      <c r="E1741" s="22"/>
      <c r="F1741" s="19"/>
      <c r="G1741" s="26" t="str">
        <f aca="false">IF(D1741="","",IFERROR(VALUE(LEFT(D1741,FIND(" |",D1741&amp;" |")-1)),"?"))</f>
        <v/>
      </c>
      <c r="H1741" s="27" t="str">
        <f aca="false">IF(G1741="","",IF(G1741="?","⚠ pub inconnue",IFERROR(INDEX(Pubs!$B$2:$B$3001,MATCH(G1741,Pubs!$A$2:$A$3001,0))&amp;"","⚠ pub inconnue")))</f>
        <v/>
      </c>
      <c r="I1741" s="27" t="str">
        <f aca="false">IF(OR(G1741="",G1741="?"),"",IFERROR(INDEX(Pubs!$C$2:$C$3001,MATCH(G1741,Pubs!$A$2:$A$3001,0))&amp;"",""))</f>
        <v/>
      </c>
      <c r="J1741" s="27" t="str">
        <f aca="false">IF(OR(G1741="",G1741="?"),"",IFERROR(INDEX(Pubs!$G$2:$G$3001,MATCH(G1741,Pubs!$A$2:$A$3001,0))&amp;"",""))</f>
        <v/>
      </c>
      <c r="K1741" s="28" t="str">
        <f aca="false">IF(OR(G1741="",G1741="?"),"",IFERROR(INDEX(Pubs!$E$2:$E$3001,MATCH(G1741,Pubs!$A$2:$A$3001,0)),""))</f>
        <v/>
      </c>
      <c r="L1741" s="29" t="str">
        <f aca="false">IF(A1741="","",IFERROR(1/(1/INDEX(Numéros!$C$2:$C$3001,MATCH(A1741&amp;"|"&amp;B1741,Numéros!$F$2:$F$3001,0))),""))</f>
        <v/>
      </c>
      <c r="M1741" s="27" t="str">
        <f aca="false">IF(OR(G1741="",G1741="?"),"",IFERROR(INDEX(Pubs!$D$2:$D$3001,MATCH(G1741,Pubs!$A$2:$A$3001,0))&amp;"",""))</f>
        <v/>
      </c>
      <c r="N1741" s="27" t="n">
        <f aca="false">N(N1740)+IF(AND(A1741&lt;&gt;"",OR(Recherche!$C$4="",A1741=Recherche!$C$4),OR(Recherche!$C$5="",B1741&amp;""=Recherche!$C$5&amp;""),OR(Recherche!$C$6="",IFERROR(YEAR(L1741),0)=Recherche!$C$6),OR(Recherche!$C$7="",ISNUMBER(SEARCH(Recherche!$C$7,H1741))),OR(Recherche!$C$8="",J1741=Recherche!$C$8),OR(Recherche!$C$9="",I1741=Recherche!$C$9),OR(Recherche!$C$10="",G1741&amp;""=Recherche!$C$10&amp;""),OR(Recherche!$C$11="",E1741=Recherche!$C$11),OR(Recherche!$C$12="",ISNUMBER(SEARCH(Recherche!$C$12,M1741&amp;" "&amp;F1741)))),1,0)</f>
        <v>8</v>
      </c>
    </row>
    <row r="1742" customFormat="false" ht="15" hidden="false" customHeight="false" outlineLevel="0" collapsed="false">
      <c r="A1742" s="19"/>
      <c r="B1742" s="19"/>
      <c r="C1742" s="19"/>
      <c r="D1742" s="19"/>
      <c r="E1742" s="22"/>
      <c r="F1742" s="19"/>
      <c r="G1742" s="26" t="str">
        <f aca="false">IF(D1742="","",IFERROR(VALUE(LEFT(D1742,FIND(" |",D1742&amp;" |")-1)),"?"))</f>
        <v/>
      </c>
      <c r="H1742" s="27" t="str">
        <f aca="false">IF(G1742="","",IF(G1742="?","⚠ pub inconnue",IFERROR(INDEX(Pubs!$B$2:$B$3001,MATCH(G1742,Pubs!$A$2:$A$3001,0))&amp;"","⚠ pub inconnue")))</f>
        <v/>
      </c>
      <c r="I1742" s="27" t="str">
        <f aca="false">IF(OR(G1742="",G1742="?"),"",IFERROR(INDEX(Pubs!$C$2:$C$3001,MATCH(G1742,Pubs!$A$2:$A$3001,0))&amp;"",""))</f>
        <v/>
      </c>
      <c r="J1742" s="27" t="str">
        <f aca="false">IF(OR(G1742="",G1742="?"),"",IFERROR(INDEX(Pubs!$G$2:$G$3001,MATCH(G1742,Pubs!$A$2:$A$3001,0))&amp;"",""))</f>
        <v/>
      </c>
      <c r="K1742" s="28" t="str">
        <f aca="false">IF(OR(G1742="",G1742="?"),"",IFERROR(INDEX(Pubs!$E$2:$E$3001,MATCH(G1742,Pubs!$A$2:$A$3001,0)),""))</f>
        <v/>
      </c>
      <c r="L1742" s="29" t="str">
        <f aca="false">IF(A1742="","",IFERROR(1/(1/INDEX(Numéros!$C$2:$C$3001,MATCH(A1742&amp;"|"&amp;B1742,Numéros!$F$2:$F$3001,0))),""))</f>
        <v/>
      </c>
      <c r="M1742" s="27" t="str">
        <f aca="false">IF(OR(G1742="",G1742="?"),"",IFERROR(INDEX(Pubs!$D$2:$D$3001,MATCH(G1742,Pubs!$A$2:$A$3001,0))&amp;"",""))</f>
        <v/>
      </c>
      <c r="N1742" s="27" t="n">
        <f aca="false">N(N1741)+IF(AND(A1742&lt;&gt;"",OR(Recherche!$C$4="",A1742=Recherche!$C$4),OR(Recherche!$C$5="",B1742&amp;""=Recherche!$C$5&amp;""),OR(Recherche!$C$6="",IFERROR(YEAR(L1742),0)=Recherche!$C$6),OR(Recherche!$C$7="",ISNUMBER(SEARCH(Recherche!$C$7,H1742))),OR(Recherche!$C$8="",J1742=Recherche!$C$8),OR(Recherche!$C$9="",I1742=Recherche!$C$9),OR(Recherche!$C$10="",G1742&amp;""=Recherche!$C$10&amp;""),OR(Recherche!$C$11="",E1742=Recherche!$C$11),OR(Recherche!$C$12="",ISNUMBER(SEARCH(Recherche!$C$12,M1742&amp;" "&amp;F1742)))),1,0)</f>
        <v>8</v>
      </c>
    </row>
    <row r="1743" customFormat="false" ht="15" hidden="false" customHeight="false" outlineLevel="0" collapsed="false">
      <c r="A1743" s="19"/>
      <c r="B1743" s="19"/>
      <c r="C1743" s="19"/>
      <c r="D1743" s="19"/>
      <c r="E1743" s="22"/>
      <c r="F1743" s="19"/>
      <c r="G1743" s="26" t="str">
        <f aca="false">IF(D1743="","",IFERROR(VALUE(LEFT(D1743,FIND(" |",D1743&amp;" |")-1)),"?"))</f>
        <v/>
      </c>
      <c r="H1743" s="27" t="str">
        <f aca="false">IF(G1743="","",IF(G1743="?","⚠ pub inconnue",IFERROR(INDEX(Pubs!$B$2:$B$3001,MATCH(G1743,Pubs!$A$2:$A$3001,0))&amp;"","⚠ pub inconnue")))</f>
        <v/>
      </c>
      <c r="I1743" s="27" t="str">
        <f aca="false">IF(OR(G1743="",G1743="?"),"",IFERROR(INDEX(Pubs!$C$2:$C$3001,MATCH(G1743,Pubs!$A$2:$A$3001,0))&amp;"",""))</f>
        <v/>
      </c>
      <c r="J1743" s="27" t="str">
        <f aca="false">IF(OR(G1743="",G1743="?"),"",IFERROR(INDEX(Pubs!$G$2:$G$3001,MATCH(G1743,Pubs!$A$2:$A$3001,0))&amp;"",""))</f>
        <v/>
      </c>
      <c r="K1743" s="28" t="str">
        <f aca="false">IF(OR(G1743="",G1743="?"),"",IFERROR(INDEX(Pubs!$E$2:$E$3001,MATCH(G1743,Pubs!$A$2:$A$3001,0)),""))</f>
        <v/>
      </c>
      <c r="L1743" s="29" t="str">
        <f aca="false">IF(A1743="","",IFERROR(1/(1/INDEX(Numéros!$C$2:$C$3001,MATCH(A1743&amp;"|"&amp;B1743,Numéros!$F$2:$F$3001,0))),""))</f>
        <v/>
      </c>
      <c r="M1743" s="27" t="str">
        <f aca="false">IF(OR(G1743="",G1743="?"),"",IFERROR(INDEX(Pubs!$D$2:$D$3001,MATCH(G1743,Pubs!$A$2:$A$3001,0))&amp;"",""))</f>
        <v/>
      </c>
      <c r="N1743" s="27" t="n">
        <f aca="false">N(N1742)+IF(AND(A1743&lt;&gt;"",OR(Recherche!$C$4="",A1743=Recherche!$C$4),OR(Recherche!$C$5="",B1743&amp;""=Recherche!$C$5&amp;""),OR(Recherche!$C$6="",IFERROR(YEAR(L1743),0)=Recherche!$C$6),OR(Recherche!$C$7="",ISNUMBER(SEARCH(Recherche!$C$7,H1743))),OR(Recherche!$C$8="",J1743=Recherche!$C$8),OR(Recherche!$C$9="",I1743=Recherche!$C$9),OR(Recherche!$C$10="",G1743&amp;""=Recherche!$C$10&amp;""),OR(Recherche!$C$11="",E1743=Recherche!$C$11),OR(Recherche!$C$12="",ISNUMBER(SEARCH(Recherche!$C$12,M1743&amp;" "&amp;F1743)))),1,0)</f>
        <v>8</v>
      </c>
    </row>
    <row r="1744" customFormat="false" ht="15" hidden="false" customHeight="false" outlineLevel="0" collapsed="false">
      <c r="A1744" s="19"/>
      <c r="B1744" s="19"/>
      <c r="C1744" s="19"/>
      <c r="D1744" s="19"/>
      <c r="E1744" s="22"/>
      <c r="F1744" s="19"/>
      <c r="G1744" s="26" t="str">
        <f aca="false">IF(D1744="","",IFERROR(VALUE(LEFT(D1744,FIND(" |",D1744&amp;" |")-1)),"?"))</f>
        <v/>
      </c>
      <c r="H1744" s="27" t="str">
        <f aca="false">IF(G1744="","",IF(G1744="?","⚠ pub inconnue",IFERROR(INDEX(Pubs!$B$2:$B$3001,MATCH(G1744,Pubs!$A$2:$A$3001,0))&amp;"","⚠ pub inconnue")))</f>
        <v/>
      </c>
      <c r="I1744" s="27" t="str">
        <f aca="false">IF(OR(G1744="",G1744="?"),"",IFERROR(INDEX(Pubs!$C$2:$C$3001,MATCH(G1744,Pubs!$A$2:$A$3001,0))&amp;"",""))</f>
        <v/>
      </c>
      <c r="J1744" s="27" t="str">
        <f aca="false">IF(OR(G1744="",G1744="?"),"",IFERROR(INDEX(Pubs!$G$2:$G$3001,MATCH(G1744,Pubs!$A$2:$A$3001,0))&amp;"",""))</f>
        <v/>
      </c>
      <c r="K1744" s="28" t="str">
        <f aca="false">IF(OR(G1744="",G1744="?"),"",IFERROR(INDEX(Pubs!$E$2:$E$3001,MATCH(G1744,Pubs!$A$2:$A$3001,0)),""))</f>
        <v/>
      </c>
      <c r="L1744" s="29" t="str">
        <f aca="false">IF(A1744="","",IFERROR(1/(1/INDEX(Numéros!$C$2:$C$3001,MATCH(A1744&amp;"|"&amp;B1744,Numéros!$F$2:$F$3001,0))),""))</f>
        <v/>
      </c>
      <c r="M1744" s="27" t="str">
        <f aca="false">IF(OR(G1744="",G1744="?"),"",IFERROR(INDEX(Pubs!$D$2:$D$3001,MATCH(G1744,Pubs!$A$2:$A$3001,0))&amp;"",""))</f>
        <v/>
      </c>
      <c r="N1744" s="27" t="n">
        <f aca="false">N(N1743)+IF(AND(A1744&lt;&gt;"",OR(Recherche!$C$4="",A1744=Recherche!$C$4),OR(Recherche!$C$5="",B1744&amp;""=Recherche!$C$5&amp;""),OR(Recherche!$C$6="",IFERROR(YEAR(L1744),0)=Recherche!$C$6),OR(Recherche!$C$7="",ISNUMBER(SEARCH(Recherche!$C$7,H1744))),OR(Recherche!$C$8="",J1744=Recherche!$C$8),OR(Recherche!$C$9="",I1744=Recherche!$C$9),OR(Recherche!$C$10="",G1744&amp;""=Recherche!$C$10&amp;""),OR(Recherche!$C$11="",E1744=Recherche!$C$11),OR(Recherche!$C$12="",ISNUMBER(SEARCH(Recherche!$C$12,M1744&amp;" "&amp;F1744)))),1,0)</f>
        <v>8</v>
      </c>
    </row>
    <row r="1745" customFormat="false" ht="15" hidden="false" customHeight="false" outlineLevel="0" collapsed="false">
      <c r="A1745" s="19"/>
      <c r="B1745" s="19"/>
      <c r="C1745" s="19"/>
      <c r="D1745" s="19"/>
      <c r="E1745" s="22"/>
      <c r="F1745" s="19"/>
      <c r="G1745" s="26" t="str">
        <f aca="false">IF(D1745="","",IFERROR(VALUE(LEFT(D1745,FIND(" |",D1745&amp;" |")-1)),"?"))</f>
        <v/>
      </c>
      <c r="H1745" s="27" t="str">
        <f aca="false">IF(G1745="","",IF(G1745="?","⚠ pub inconnue",IFERROR(INDEX(Pubs!$B$2:$B$3001,MATCH(G1745,Pubs!$A$2:$A$3001,0))&amp;"","⚠ pub inconnue")))</f>
        <v/>
      </c>
      <c r="I1745" s="27" t="str">
        <f aca="false">IF(OR(G1745="",G1745="?"),"",IFERROR(INDEX(Pubs!$C$2:$C$3001,MATCH(G1745,Pubs!$A$2:$A$3001,0))&amp;"",""))</f>
        <v/>
      </c>
      <c r="J1745" s="27" t="str">
        <f aca="false">IF(OR(G1745="",G1745="?"),"",IFERROR(INDEX(Pubs!$G$2:$G$3001,MATCH(G1745,Pubs!$A$2:$A$3001,0))&amp;"",""))</f>
        <v/>
      </c>
      <c r="K1745" s="28" t="str">
        <f aca="false">IF(OR(G1745="",G1745="?"),"",IFERROR(INDEX(Pubs!$E$2:$E$3001,MATCH(G1745,Pubs!$A$2:$A$3001,0)),""))</f>
        <v/>
      </c>
      <c r="L1745" s="29" t="str">
        <f aca="false">IF(A1745="","",IFERROR(1/(1/INDEX(Numéros!$C$2:$C$3001,MATCH(A1745&amp;"|"&amp;B1745,Numéros!$F$2:$F$3001,0))),""))</f>
        <v/>
      </c>
      <c r="M1745" s="27" t="str">
        <f aca="false">IF(OR(G1745="",G1745="?"),"",IFERROR(INDEX(Pubs!$D$2:$D$3001,MATCH(G1745,Pubs!$A$2:$A$3001,0))&amp;"",""))</f>
        <v/>
      </c>
      <c r="N1745" s="27" t="n">
        <f aca="false">N(N1744)+IF(AND(A1745&lt;&gt;"",OR(Recherche!$C$4="",A1745=Recherche!$C$4),OR(Recherche!$C$5="",B1745&amp;""=Recherche!$C$5&amp;""),OR(Recherche!$C$6="",IFERROR(YEAR(L1745),0)=Recherche!$C$6),OR(Recherche!$C$7="",ISNUMBER(SEARCH(Recherche!$C$7,H1745))),OR(Recherche!$C$8="",J1745=Recherche!$C$8),OR(Recherche!$C$9="",I1745=Recherche!$C$9),OR(Recherche!$C$10="",G1745&amp;""=Recherche!$C$10&amp;""),OR(Recherche!$C$11="",E1745=Recherche!$C$11),OR(Recherche!$C$12="",ISNUMBER(SEARCH(Recherche!$C$12,M1745&amp;" "&amp;F1745)))),1,0)</f>
        <v>8</v>
      </c>
    </row>
    <row r="1746" customFormat="false" ht="15" hidden="false" customHeight="false" outlineLevel="0" collapsed="false">
      <c r="A1746" s="19"/>
      <c r="B1746" s="19"/>
      <c r="C1746" s="19"/>
      <c r="D1746" s="19"/>
      <c r="E1746" s="22"/>
      <c r="F1746" s="19"/>
      <c r="G1746" s="26" t="str">
        <f aca="false">IF(D1746="","",IFERROR(VALUE(LEFT(D1746,FIND(" |",D1746&amp;" |")-1)),"?"))</f>
        <v/>
      </c>
      <c r="H1746" s="27" t="str">
        <f aca="false">IF(G1746="","",IF(G1746="?","⚠ pub inconnue",IFERROR(INDEX(Pubs!$B$2:$B$3001,MATCH(G1746,Pubs!$A$2:$A$3001,0))&amp;"","⚠ pub inconnue")))</f>
        <v/>
      </c>
      <c r="I1746" s="27" t="str">
        <f aca="false">IF(OR(G1746="",G1746="?"),"",IFERROR(INDEX(Pubs!$C$2:$C$3001,MATCH(G1746,Pubs!$A$2:$A$3001,0))&amp;"",""))</f>
        <v/>
      </c>
      <c r="J1746" s="27" t="str">
        <f aca="false">IF(OR(G1746="",G1746="?"),"",IFERROR(INDEX(Pubs!$G$2:$G$3001,MATCH(G1746,Pubs!$A$2:$A$3001,0))&amp;"",""))</f>
        <v/>
      </c>
      <c r="K1746" s="28" t="str">
        <f aca="false">IF(OR(G1746="",G1746="?"),"",IFERROR(INDEX(Pubs!$E$2:$E$3001,MATCH(G1746,Pubs!$A$2:$A$3001,0)),""))</f>
        <v/>
      </c>
      <c r="L1746" s="29" t="str">
        <f aca="false">IF(A1746="","",IFERROR(1/(1/INDEX(Numéros!$C$2:$C$3001,MATCH(A1746&amp;"|"&amp;B1746,Numéros!$F$2:$F$3001,0))),""))</f>
        <v/>
      </c>
      <c r="M1746" s="27" t="str">
        <f aca="false">IF(OR(G1746="",G1746="?"),"",IFERROR(INDEX(Pubs!$D$2:$D$3001,MATCH(G1746,Pubs!$A$2:$A$3001,0))&amp;"",""))</f>
        <v/>
      </c>
      <c r="N1746" s="27" t="n">
        <f aca="false">N(N1745)+IF(AND(A1746&lt;&gt;"",OR(Recherche!$C$4="",A1746=Recherche!$C$4),OR(Recherche!$C$5="",B1746&amp;""=Recherche!$C$5&amp;""),OR(Recherche!$C$6="",IFERROR(YEAR(L1746),0)=Recherche!$C$6),OR(Recherche!$C$7="",ISNUMBER(SEARCH(Recherche!$C$7,H1746))),OR(Recherche!$C$8="",J1746=Recherche!$C$8),OR(Recherche!$C$9="",I1746=Recherche!$C$9),OR(Recherche!$C$10="",G1746&amp;""=Recherche!$C$10&amp;""),OR(Recherche!$C$11="",E1746=Recherche!$C$11),OR(Recherche!$C$12="",ISNUMBER(SEARCH(Recherche!$C$12,M1746&amp;" "&amp;F1746)))),1,0)</f>
        <v>8</v>
      </c>
    </row>
    <row r="1747" customFormat="false" ht="15" hidden="false" customHeight="false" outlineLevel="0" collapsed="false">
      <c r="A1747" s="19"/>
      <c r="B1747" s="19"/>
      <c r="C1747" s="19"/>
      <c r="D1747" s="19"/>
      <c r="E1747" s="22"/>
      <c r="F1747" s="19"/>
      <c r="G1747" s="26" t="str">
        <f aca="false">IF(D1747="","",IFERROR(VALUE(LEFT(D1747,FIND(" |",D1747&amp;" |")-1)),"?"))</f>
        <v/>
      </c>
      <c r="H1747" s="27" t="str">
        <f aca="false">IF(G1747="","",IF(G1747="?","⚠ pub inconnue",IFERROR(INDEX(Pubs!$B$2:$B$3001,MATCH(G1747,Pubs!$A$2:$A$3001,0))&amp;"","⚠ pub inconnue")))</f>
        <v/>
      </c>
      <c r="I1747" s="27" t="str">
        <f aca="false">IF(OR(G1747="",G1747="?"),"",IFERROR(INDEX(Pubs!$C$2:$C$3001,MATCH(G1747,Pubs!$A$2:$A$3001,0))&amp;"",""))</f>
        <v/>
      </c>
      <c r="J1747" s="27" t="str">
        <f aca="false">IF(OR(G1747="",G1747="?"),"",IFERROR(INDEX(Pubs!$G$2:$G$3001,MATCH(G1747,Pubs!$A$2:$A$3001,0))&amp;"",""))</f>
        <v/>
      </c>
      <c r="K1747" s="28" t="str">
        <f aca="false">IF(OR(G1747="",G1747="?"),"",IFERROR(INDEX(Pubs!$E$2:$E$3001,MATCH(G1747,Pubs!$A$2:$A$3001,0)),""))</f>
        <v/>
      </c>
      <c r="L1747" s="29" t="str">
        <f aca="false">IF(A1747="","",IFERROR(1/(1/INDEX(Numéros!$C$2:$C$3001,MATCH(A1747&amp;"|"&amp;B1747,Numéros!$F$2:$F$3001,0))),""))</f>
        <v/>
      </c>
      <c r="M1747" s="27" t="str">
        <f aca="false">IF(OR(G1747="",G1747="?"),"",IFERROR(INDEX(Pubs!$D$2:$D$3001,MATCH(G1747,Pubs!$A$2:$A$3001,0))&amp;"",""))</f>
        <v/>
      </c>
      <c r="N1747" s="27" t="n">
        <f aca="false">N(N1746)+IF(AND(A1747&lt;&gt;"",OR(Recherche!$C$4="",A1747=Recherche!$C$4),OR(Recherche!$C$5="",B1747&amp;""=Recherche!$C$5&amp;""),OR(Recherche!$C$6="",IFERROR(YEAR(L1747),0)=Recherche!$C$6),OR(Recherche!$C$7="",ISNUMBER(SEARCH(Recherche!$C$7,H1747))),OR(Recherche!$C$8="",J1747=Recherche!$C$8),OR(Recherche!$C$9="",I1747=Recherche!$C$9),OR(Recherche!$C$10="",G1747&amp;""=Recherche!$C$10&amp;""),OR(Recherche!$C$11="",E1747=Recherche!$C$11),OR(Recherche!$C$12="",ISNUMBER(SEARCH(Recherche!$C$12,M1747&amp;" "&amp;F1747)))),1,0)</f>
        <v>8</v>
      </c>
    </row>
    <row r="1748" customFormat="false" ht="15" hidden="false" customHeight="false" outlineLevel="0" collapsed="false">
      <c r="A1748" s="19"/>
      <c r="B1748" s="19"/>
      <c r="C1748" s="19"/>
      <c r="D1748" s="19"/>
      <c r="E1748" s="22"/>
      <c r="F1748" s="19"/>
      <c r="G1748" s="26" t="str">
        <f aca="false">IF(D1748="","",IFERROR(VALUE(LEFT(D1748,FIND(" |",D1748&amp;" |")-1)),"?"))</f>
        <v/>
      </c>
      <c r="H1748" s="27" t="str">
        <f aca="false">IF(G1748="","",IF(G1748="?","⚠ pub inconnue",IFERROR(INDEX(Pubs!$B$2:$B$3001,MATCH(G1748,Pubs!$A$2:$A$3001,0))&amp;"","⚠ pub inconnue")))</f>
        <v/>
      </c>
      <c r="I1748" s="27" t="str">
        <f aca="false">IF(OR(G1748="",G1748="?"),"",IFERROR(INDEX(Pubs!$C$2:$C$3001,MATCH(G1748,Pubs!$A$2:$A$3001,0))&amp;"",""))</f>
        <v/>
      </c>
      <c r="J1748" s="27" t="str">
        <f aca="false">IF(OR(G1748="",G1748="?"),"",IFERROR(INDEX(Pubs!$G$2:$G$3001,MATCH(G1748,Pubs!$A$2:$A$3001,0))&amp;"",""))</f>
        <v/>
      </c>
      <c r="K1748" s="28" t="str">
        <f aca="false">IF(OR(G1748="",G1748="?"),"",IFERROR(INDEX(Pubs!$E$2:$E$3001,MATCH(G1748,Pubs!$A$2:$A$3001,0)),""))</f>
        <v/>
      </c>
      <c r="L1748" s="29" t="str">
        <f aca="false">IF(A1748="","",IFERROR(1/(1/INDEX(Numéros!$C$2:$C$3001,MATCH(A1748&amp;"|"&amp;B1748,Numéros!$F$2:$F$3001,0))),""))</f>
        <v/>
      </c>
      <c r="M1748" s="27" t="str">
        <f aca="false">IF(OR(G1748="",G1748="?"),"",IFERROR(INDEX(Pubs!$D$2:$D$3001,MATCH(G1748,Pubs!$A$2:$A$3001,0))&amp;"",""))</f>
        <v/>
      </c>
      <c r="N1748" s="27" t="n">
        <f aca="false">N(N1747)+IF(AND(A1748&lt;&gt;"",OR(Recherche!$C$4="",A1748=Recherche!$C$4),OR(Recherche!$C$5="",B1748&amp;""=Recherche!$C$5&amp;""),OR(Recherche!$C$6="",IFERROR(YEAR(L1748),0)=Recherche!$C$6),OR(Recherche!$C$7="",ISNUMBER(SEARCH(Recherche!$C$7,H1748))),OR(Recherche!$C$8="",J1748=Recherche!$C$8),OR(Recherche!$C$9="",I1748=Recherche!$C$9),OR(Recherche!$C$10="",G1748&amp;""=Recherche!$C$10&amp;""),OR(Recherche!$C$11="",E1748=Recherche!$C$11),OR(Recherche!$C$12="",ISNUMBER(SEARCH(Recherche!$C$12,M1748&amp;" "&amp;F1748)))),1,0)</f>
        <v>8</v>
      </c>
    </row>
    <row r="1749" customFormat="false" ht="15" hidden="false" customHeight="false" outlineLevel="0" collapsed="false">
      <c r="A1749" s="19"/>
      <c r="B1749" s="19"/>
      <c r="C1749" s="19"/>
      <c r="D1749" s="19"/>
      <c r="E1749" s="22"/>
      <c r="F1749" s="19"/>
      <c r="G1749" s="26" t="str">
        <f aca="false">IF(D1749="","",IFERROR(VALUE(LEFT(D1749,FIND(" |",D1749&amp;" |")-1)),"?"))</f>
        <v/>
      </c>
      <c r="H1749" s="27" t="str">
        <f aca="false">IF(G1749="","",IF(G1749="?","⚠ pub inconnue",IFERROR(INDEX(Pubs!$B$2:$B$3001,MATCH(G1749,Pubs!$A$2:$A$3001,0))&amp;"","⚠ pub inconnue")))</f>
        <v/>
      </c>
      <c r="I1749" s="27" t="str">
        <f aca="false">IF(OR(G1749="",G1749="?"),"",IFERROR(INDEX(Pubs!$C$2:$C$3001,MATCH(G1749,Pubs!$A$2:$A$3001,0))&amp;"",""))</f>
        <v/>
      </c>
      <c r="J1749" s="27" t="str">
        <f aca="false">IF(OR(G1749="",G1749="?"),"",IFERROR(INDEX(Pubs!$G$2:$G$3001,MATCH(G1749,Pubs!$A$2:$A$3001,0))&amp;"",""))</f>
        <v/>
      </c>
      <c r="K1749" s="28" t="str">
        <f aca="false">IF(OR(G1749="",G1749="?"),"",IFERROR(INDEX(Pubs!$E$2:$E$3001,MATCH(G1749,Pubs!$A$2:$A$3001,0)),""))</f>
        <v/>
      </c>
      <c r="L1749" s="29" t="str">
        <f aca="false">IF(A1749="","",IFERROR(1/(1/INDEX(Numéros!$C$2:$C$3001,MATCH(A1749&amp;"|"&amp;B1749,Numéros!$F$2:$F$3001,0))),""))</f>
        <v/>
      </c>
      <c r="M1749" s="27" t="str">
        <f aca="false">IF(OR(G1749="",G1749="?"),"",IFERROR(INDEX(Pubs!$D$2:$D$3001,MATCH(G1749,Pubs!$A$2:$A$3001,0))&amp;"",""))</f>
        <v/>
      </c>
      <c r="N1749" s="27" t="n">
        <f aca="false">N(N1748)+IF(AND(A1749&lt;&gt;"",OR(Recherche!$C$4="",A1749=Recherche!$C$4),OR(Recherche!$C$5="",B1749&amp;""=Recherche!$C$5&amp;""),OR(Recherche!$C$6="",IFERROR(YEAR(L1749),0)=Recherche!$C$6),OR(Recherche!$C$7="",ISNUMBER(SEARCH(Recherche!$C$7,H1749))),OR(Recherche!$C$8="",J1749=Recherche!$C$8),OR(Recherche!$C$9="",I1749=Recherche!$C$9),OR(Recherche!$C$10="",G1749&amp;""=Recherche!$C$10&amp;""),OR(Recherche!$C$11="",E1749=Recherche!$C$11),OR(Recherche!$C$12="",ISNUMBER(SEARCH(Recherche!$C$12,M1749&amp;" "&amp;F1749)))),1,0)</f>
        <v>8</v>
      </c>
    </row>
    <row r="1750" customFormat="false" ht="15" hidden="false" customHeight="false" outlineLevel="0" collapsed="false">
      <c r="A1750" s="19"/>
      <c r="B1750" s="19"/>
      <c r="C1750" s="19"/>
      <c r="D1750" s="19"/>
      <c r="E1750" s="22"/>
      <c r="F1750" s="19"/>
      <c r="G1750" s="26" t="str">
        <f aca="false">IF(D1750="","",IFERROR(VALUE(LEFT(D1750,FIND(" |",D1750&amp;" |")-1)),"?"))</f>
        <v/>
      </c>
      <c r="H1750" s="27" t="str">
        <f aca="false">IF(G1750="","",IF(G1750="?","⚠ pub inconnue",IFERROR(INDEX(Pubs!$B$2:$B$3001,MATCH(G1750,Pubs!$A$2:$A$3001,0))&amp;"","⚠ pub inconnue")))</f>
        <v/>
      </c>
      <c r="I1750" s="27" t="str">
        <f aca="false">IF(OR(G1750="",G1750="?"),"",IFERROR(INDEX(Pubs!$C$2:$C$3001,MATCH(G1750,Pubs!$A$2:$A$3001,0))&amp;"",""))</f>
        <v/>
      </c>
      <c r="J1750" s="27" t="str">
        <f aca="false">IF(OR(G1750="",G1750="?"),"",IFERROR(INDEX(Pubs!$G$2:$G$3001,MATCH(G1750,Pubs!$A$2:$A$3001,0))&amp;"",""))</f>
        <v/>
      </c>
      <c r="K1750" s="28" t="str">
        <f aca="false">IF(OR(G1750="",G1750="?"),"",IFERROR(INDEX(Pubs!$E$2:$E$3001,MATCH(G1750,Pubs!$A$2:$A$3001,0)),""))</f>
        <v/>
      </c>
      <c r="L1750" s="29" t="str">
        <f aca="false">IF(A1750="","",IFERROR(1/(1/INDEX(Numéros!$C$2:$C$3001,MATCH(A1750&amp;"|"&amp;B1750,Numéros!$F$2:$F$3001,0))),""))</f>
        <v/>
      </c>
      <c r="M1750" s="27" t="str">
        <f aca="false">IF(OR(G1750="",G1750="?"),"",IFERROR(INDEX(Pubs!$D$2:$D$3001,MATCH(G1750,Pubs!$A$2:$A$3001,0))&amp;"",""))</f>
        <v/>
      </c>
      <c r="N1750" s="27" t="n">
        <f aca="false">N(N1749)+IF(AND(A1750&lt;&gt;"",OR(Recherche!$C$4="",A1750=Recherche!$C$4),OR(Recherche!$C$5="",B1750&amp;""=Recherche!$C$5&amp;""),OR(Recherche!$C$6="",IFERROR(YEAR(L1750),0)=Recherche!$C$6),OR(Recherche!$C$7="",ISNUMBER(SEARCH(Recherche!$C$7,H1750))),OR(Recherche!$C$8="",J1750=Recherche!$C$8),OR(Recherche!$C$9="",I1750=Recherche!$C$9),OR(Recherche!$C$10="",G1750&amp;""=Recherche!$C$10&amp;""),OR(Recherche!$C$11="",E1750=Recherche!$C$11),OR(Recherche!$C$12="",ISNUMBER(SEARCH(Recherche!$C$12,M1750&amp;" "&amp;F1750)))),1,0)</f>
        <v>8</v>
      </c>
    </row>
    <row r="1751" customFormat="false" ht="15" hidden="false" customHeight="false" outlineLevel="0" collapsed="false">
      <c r="A1751" s="19"/>
      <c r="B1751" s="19"/>
      <c r="C1751" s="19"/>
      <c r="D1751" s="19"/>
      <c r="E1751" s="22"/>
      <c r="F1751" s="19"/>
      <c r="G1751" s="26" t="str">
        <f aca="false">IF(D1751="","",IFERROR(VALUE(LEFT(D1751,FIND(" |",D1751&amp;" |")-1)),"?"))</f>
        <v/>
      </c>
      <c r="H1751" s="27" t="str">
        <f aca="false">IF(G1751="","",IF(G1751="?","⚠ pub inconnue",IFERROR(INDEX(Pubs!$B$2:$B$3001,MATCH(G1751,Pubs!$A$2:$A$3001,0))&amp;"","⚠ pub inconnue")))</f>
        <v/>
      </c>
      <c r="I1751" s="27" t="str">
        <f aca="false">IF(OR(G1751="",G1751="?"),"",IFERROR(INDEX(Pubs!$C$2:$C$3001,MATCH(G1751,Pubs!$A$2:$A$3001,0))&amp;"",""))</f>
        <v/>
      </c>
      <c r="J1751" s="27" t="str">
        <f aca="false">IF(OR(G1751="",G1751="?"),"",IFERROR(INDEX(Pubs!$G$2:$G$3001,MATCH(G1751,Pubs!$A$2:$A$3001,0))&amp;"",""))</f>
        <v/>
      </c>
      <c r="K1751" s="28" t="str">
        <f aca="false">IF(OR(G1751="",G1751="?"),"",IFERROR(INDEX(Pubs!$E$2:$E$3001,MATCH(G1751,Pubs!$A$2:$A$3001,0)),""))</f>
        <v/>
      </c>
      <c r="L1751" s="29" t="str">
        <f aca="false">IF(A1751="","",IFERROR(1/(1/INDEX(Numéros!$C$2:$C$3001,MATCH(A1751&amp;"|"&amp;B1751,Numéros!$F$2:$F$3001,0))),""))</f>
        <v/>
      </c>
      <c r="M1751" s="27" t="str">
        <f aca="false">IF(OR(G1751="",G1751="?"),"",IFERROR(INDEX(Pubs!$D$2:$D$3001,MATCH(G1751,Pubs!$A$2:$A$3001,0))&amp;"",""))</f>
        <v/>
      </c>
      <c r="N1751" s="27" t="n">
        <f aca="false">N(N1750)+IF(AND(A1751&lt;&gt;"",OR(Recherche!$C$4="",A1751=Recherche!$C$4),OR(Recherche!$C$5="",B1751&amp;""=Recherche!$C$5&amp;""),OR(Recherche!$C$6="",IFERROR(YEAR(L1751),0)=Recherche!$C$6),OR(Recherche!$C$7="",ISNUMBER(SEARCH(Recherche!$C$7,H1751))),OR(Recherche!$C$8="",J1751=Recherche!$C$8),OR(Recherche!$C$9="",I1751=Recherche!$C$9),OR(Recherche!$C$10="",G1751&amp;""=Recherche!$C$10&amp;""),OR(Recherche!$C$11="",E1751=Recherche!$C$11),OR(Recherche!$C$12="",ISNUMBER(SEARCH(Recherche!$C$12,M1751&amp;" "&amp;F1751)))),1,0)</f>
        <v>8</v>
      </c>
    </row>
    <row r="1752" customFormat="false" ht="15" hidden="false" customHeight="false" outlineLevel="0" collapsed="false">
      <c r="A1752" s="19"/>
      <c r="B1752" s="19"/>
      <c r="C1752" s="19"/>
      <c r="D1752" s="19"/>
      <c r="E1752" s="22"/>
      <c r="F1752" s="19"/>
      <c r="G1752" s="26" t="str">
        <f aca="false">IF(D1752="","",IFERROR(VALUE(LEFT(D1752,FIND(" |",D1752&amp;" |")-1)),"?"))</f>
        <v/>
      </c>
      <c r="H1752" s="27" t="str">
        <f aca="false">IF(G1752="","",IF(G1752="?","⚠ pub inconnue",IFERROR(INDEX(Pubs!$B$2:$B$3001,MATCH(G1752,Pubs!$A$2:$A$3001,0))&amp;"","⚠ pub inconnue")))</f>
        <v/>
      </c>
      <c r="I1752" s="27" t="str">
        <f aca="false">IF(OR(G1752="",G1752="?"),"",IFERROR(INDEX(Pubs!$C$2:$C$3001,MATCH(G1752,Pubs!$A$2:$A$3001,0))&amp;"",""))</f>
        <v/>
      </c>
      <c r="J1752" s="27" t="str">
        <f aca="false">IF(OR(G1752="",G1752="?"),"",IFERROR(INDEX(Pubs!$G$2:$G$3001,MATCH(G1752,Pubs!$A$2:$A$3001,0))&amp;"",""))</f>
        <v/>
      </c>
      <c r="K1752" s="28" t="str">
        <f aca="false">IF(OR(G1752="",G1752="?"),"",IFERROR(INDEX(Pubs!$E$2:$E$3001,MATCH(G1752,Pubs!$A$2:$A$3001,0)),""))</f>
        <v/>
      </c>
      <c r="L1752" s="29" t="str">
        <f aca="false">IF(A1752="","",IFERROR(1/(1/INDEX(Numéros!$C$2:$C$3001,MATCH(A1752&amp;"|"&amp;B1752,Numéros!$F$2:$F$3001,0))),""))</f>
        <v/>
      </c>
      <c r="M1752" s="27" t="str">
        <f aca="false">IF(OR(G1752="",G1752="?"),"",IFERROR(INDEX(Pubs!$D$2:$D$3001,MATCH(G1752,Pubs!$A$2:$A$3001,0))&amp;"",""))</f>
        <v/>
      </c>
      <c r="N1752" s="27" t="n">
        <f aca="false">N(N1751)+IF(AND(A1752&lt;&gt;"",OR(Recherche!$C$4="",A1752=Recherche!$C$4),OR(Recherche!$C$5="",B1752&amp;""=Recherche!$C$5&amp;""),OR(Recherche!$C$6="",IFERROR(YEAR(L1752),0)=Recherche!$C$6),OR(Recherche!$C$7="",ISNUMBER(SEARCH(Recherche!$C$7,H1752))),OR(Recherche!$C$8="",J1752=Recherche!$C$8),OR(Recherche!$C$9="",I1752=Recherche!$C$9),OR(Recherche!$C$10="",G1752&amp;""=Recherche!$C$10&amp;""),OR(Recherche!$C$11="",E1752=Recherche!$C$11),OR(Recherche!$C$12="",ISNUMBER(SEARCH(Recherche!$C$12,M1752&amp;" "&amp;F1752)))),1,0)</f>
        <v>8</v>
      </c>
    </row>
    <row r="1753" customFormat="false" ht="15" hidden="false" customHeight="false" outlineLevel="0" collapsed="false">
      <c r="A1753" s="19"/>
      <c r="B1753" s="19"/>
      <c r="C1753" s="19"/>
      <c r="D1753" s="19"/>
      <c r="E1753" s="22"/>
      <c r="F1753" s="19"/>
      <c r="G1753" s="26" t="str">
        <f aca="false">IF(D1753="","",IFERROR(VALUE(LEFT(D1753,FIND(" |",D1753&amp;" |")-1)),"?"))</f>
        <v/>
      </c>
      <c r="H1753" s="27" t="str">
        <f aca="false">IF(G1753="","",IF(G1753="?","⚠ pub inconnue",IFERROR(INDEX(Pubs!$B$2:$B$3001,MATCH(G1753,Pubs!$A$2:$A$3001,0))&amp;"","⚠ pub inconnue")))</f>
        <v/>
      </c>
      <c r="I1753" s="27" t="str">
        <f aca="false">IF(OR(G1753="",G1753="?"),"",IFERROR(INDEX(Pubs!$C$2:$C$3001,MATCH(G1753,Pubs!$A$2:$A$3001,0))&amp;"",""))</f>
        <v/>
      </c>
      <c r="J1753" s="27" t="str">
        <f aca="false">IF(OR(G1753="",G1753="?"),"",IFERROR(INDEX(Pubs!$G$2:$G$3001,MATCH(G1753,Pubs!$A$2:$A$3001,0))&amp;"",""))</f>
        <v/>
      </c>
      <c r="K1753" s="28" t="str">
        <f aca="false">IF(OR(G1753="",G1753="?"),"",IFERROR(INDEX(Pubs!$E$2:$E$3001,MATCH(G1753,Pubs!$A$2:$A$3001,0)),""))</f>
        <v/>
      </c>
      <c r="L1753" s="29" t="str">
        <f aca="false">IF(A1753="","",IFERROR(1/(1/INDEX(Numéros!$C$2:$C$3001,MATCH(A1753&amp;"|"&amp;B1753,Numéros!$F$2:$F$3001,0))),""))</f>
        <v/>
      </c>
      <c r="M1753" s="27" t="str">
        <f aca="false">IF(OR(G1753="",G1753="?"),"",IFERROR(INDEX(Pubs!$D$2:$D$3001,MATCH(G1753,Pubs!$A$2:$A$3001,0))&amp;"",""))</f>
        <v/>
      </c>
      <c r="N1753" s="27" t="n">
        <f aca="false">N(N1752)+IF(AND(A1753&lt;&gt;"",OR(Recherche!$C$4="",A1753=Recherche!$C$4),OR(Recherche!$C$5="",B1753&amp;""=Recherche!$C$5&amp;""),OR(Recherche!$C$6="",IFERROR(YEAR(L1753),0)=Recherche!$C$6),OR(Recherche!$C$7="",ISNUMBER(SEARCH(Recherche!$C$7,H1753))),OR(Recherche!$C$8="",J1753=Recherche!$C$8),OR(Recherche!$C$9="",I1753=Recherche!$C$9),OR(Recherche!$C$10="",G1753&amp;""=Recherche!$C$10&amp;""),OR(Recherche!$C$11="",E1753=Recherche!$C$11),OR(Recherche!$C$12="",ISNUMBER(SEARCH(Recherche!$C$12,M1753&amp;" "&amp;F1753)))),1,0)</f>
        <v>8</v>
      </c>
    </row>
    <row r="1754" customFormat="false" ht="15" hidden="false" customHeight="false" outlineLevel="0" collapsed="false">
      <c r="A1754" s="19"/>
      <c r="B1754" s="19"/>
      <c r="C1754" s="19"/>
      <c r="D1754" s="19"/>
      <c r="E1754" s="22"/>
      <c r="F1754" s="19"/>
      <c r="G1754" s="26" t="str">
        <f aca="false">IF(D1754="","",IFERROR(VALUE(LEFT(D1754,FIND(" |",D1754&amp;" |")-1)),"?"))</f>
        <v/>
      </c>
      <c r="H1754" s="27" t="str">
        <f aca="false">IF(G1754="","",IF(G1754="?","⚠ pub inconnue",IFERROR(INDEX(Pubs!$B$2:$B$3001,MATCH(G1754,Pubs!$A$2:$A$3001,0))&amp;"","⚠ pub inconnue")))</f>
        <v/>
      </c>
      <c r="I1754" s="27" t="str">
        <f aca="false">IF(OR(G1754="",G1754="?"),"",IFERROR(INDEX(Pubs!$C$2:$C$3001,MATCH(G1754,Pubs!$A$2:$A$3001,0))&amp;"",""))</f>
        <v/>
      </c>
      <c r="J1754" s="27" t="str">
        <f aca="false">IF(OR(G1754="",G1754="?"),"",IFERROR(INDEX(Pubs!$G$2:$G$3001,MATCH(G1754,Pubs!$A$2:$A$3001,0))&amp;"",""))</f>
        <v/>
      </c>
      <c r="K1754" s="28" t="str">
        <f aca="false">IF(OR(G1754="",G1754="?"),"",IFERROR(INDEX(Pubs!$E$2:$E$3001,MATCH(G1754,Pubs!$A$2:$A$3001,0)),""))</f>
        <v/>
      </c>
      <c r="L1754" s="29" t="str">
        <f aca="false">IF(A1754="","",IFERROR(1/(1/INDEX(Numéros!$C$2:$C$3001,MATCH(A1754&amp;"|"&amp;B1754,Numéros!$F$2:$F$3001,0))),""))</f>
        <v/>
      </c>
      <c r="M1754" s="27" t="str">
        <f aca="false">IF(OR(G1754="",G1754="?"),"",IFERROR(INDEX(Pubs!$D$2:$D$3001,MATCH(G1754,Pubs!$A$2:$A$3001,0))&amp;"",""))</f>
        <v/>
      </c>
      <c r="N1754" s="27" t="n">
        <f aca="false">N(N1753)+IF(AND(A1754&lt;&gt;"",OR(Recherche!$C$4="",A1754=Recherche!$C$4),OR(Recherche!$C$5="",B1754&amp;""=Recherche!$C$5&amp;""),OR(Recherche!$C$6="",IFERROR(YEAR(L1754),0)=Recherche!$C$6),OR(Recherche!$C$7="",ISNUMBER(SEARCH(Recherche!$C$7,H1754))),OR(Recherche!$C$8="",J1754=Recherche!$C$8),OR(Recherche!$C$9="",I1754=Recherche!$C$9),OR(Recherche!$C$10="",G1754&amp;""=Recherche!$C$10&amp;""),OR(Recherche!$C$11="",E1754=Recherche!$C$11),OR(Recherche!$C$12="",ISNUMBER(SEARCH(Recherche!$C$12,M1754&amp;" "&amp;F1754)))),1,0)</f>
        <v>8</v>
      </c>
    </row>
    <row r="1755" customFormat="false" ht="15" hidden="false" customHeight="false" outlineLevel="0" collapsed="false">
      <c r="A1755" s="19"/>
      <c r="B1755" s="19"/>
      <c r="C1755" s="19"/>
      <c r="D1755" s="19"/>
      <c r="E1755" s="22"/>
      <c r="F1755" s="19"/>
      <c r="G1755" s="26" t="str">
        <f aca="false">IF(D1755="","",IFERROR(VALUE(LEFT(D1755,FIND(" |",D1755&amp;" |")-1)),"?"))</f>
        <v/>
      </c>
      <c r="H1755" s="27" t="str">
        <f aca="false">IF(G1755="","",IF(G1755="?","⚠ pub inconnue",IFERROR(INDEX(Pubs!$B$2:$B$3001,MATCH(G1755,Pubs!$A$2:$A$3001,0))&amp;"","⚠ pub inconnue")))</f>
        <v/>
      </c>
      <c r="I1755" s="27" t="str">
        <f aca="false">IF(OR(G1755="",G1755="?"),"",IFERROR(INDEX(Pubs!$C$2:$C$3001,MATCH(G1755,Pubs!$A$2:$A$3001,0))&amp;"",""))</f>
        <v/>
      </c>
      <c r="J1755" s="27" t="str">
        <f aca="false">IF(OR(G1755="",G1755="?"),"",IFERROR(INDEX(Pubs!$G$2:$G$3001,MATCH(G1755,Pubs!$A$2:$A$3001,0))&amp;"",""))</f>
        <v/>
      </c>
      <c r="K1755" s="28" t="str">
        <f aca="false">IF(OR(G1755="",G1755="?"),"",IFERROR(INDEX(Pubs!$E$2:$E$3001,MATCH(G1755,Pubs!$A$2:$A$3001,0)),""))</f>
        <v/>
      </c>
      <c r="L1755" s="29" t="str">
        <f aca="false">IF(A1755="","",IFERROR(1/(1/INDEX(Numéros!$C$2:$C$3001,MATCH(A1755&amp;"|"&amp;B1755,Numéros!$F$2:$F$3001,0))),""))</f>
        <v/>
      </c>
      <c r="M1755" s="27" t="str">
        <f aca="false">IF(OR(G1755="",G1755="?"),"",IFERROR(INDEX(Pubs!$D$2:$D$3001,MATCH(G1755,Pubs!$A$2:$A$3001,0))&amp;"",""))</f>
        <v/>
      </c>
      <c r="N1755" s="27" t="n">
        <f aca="false">N(N1754)+IF(AND(A1755&lt;&gt;"",OR(Recherche!$C$4="",A1755=Recherche!$C$4),OR(Recherche!$C$5="",B1755&amp;""=Recherche!$C$5&amp;""),OR(Recherche!$C$6="",IFERROR(YEAR(L1755),0)=Recherche!$C$6),OR(Recherche!$C$7="",ISNUMBER(SEARCH(Recherche!$C$7,H1755))),OR(Recherche!$C$8="",J1755=Recherche!$C$8),OR(Recherche!$C$9="",I1755=Recherche!$C$9),OR(Recherche!$C$10="",G1755&amp;""=Recherche!$C$10&amp;""),OR(Recherche!$C$11="",E1755=Recherche!$C$11),OR(Recherche!$C$12="",ISNUMBER(SEARCH(Recherche!$C$12,M1755&amp;" "&amp;F1755)))),1,0)</f>
        <v>8</v>
      </c>
    </row>
    <row r="1756" customFormat="false" ht="15" hidden="false" customHeight="false" outlineLevel="0" collapsed="false">
      <c r="A1756" s="19"/>
      <c r="B1756" s="19"/>
      <c r="C1756" s="19"/>
      <c r="D1756" s="19"/>
      <c r="E1756" s="22"/>
      <c r="F1756" s="19"/>
      <c r="G1756" s="26" t="str">
        <f aca="false">IF(D1756="","",IFERROR(VALUE(LEFT(D1756,FIND(" |",D1756&amp;" |")-1)),"?"))</f>
        <v/>
      </c>
      <c r="H1756" s="27" t="str">
        <f aca="false">IF(G1756="","",IF(G1756="?","⚠ pub inconnue",IFERROR(INDEX(Pubs!$B$2:$B$3001,MATCH(G1756,Pubs!$A$2:$A$3001,0))&amp;"","⚠ pub inconnue")))</f>
        <v/>
      </c>
      <c r="I1756" s="27" t="str">
        <f aca="false">IF(OR(G1756="",G1756="?"),"",IFERROR(INDEX(Pubs!$C$2:$C$3001,MATCH(G1756,Pubs!$A$2:$A$3001,0))&amp;"",""))</f>
        <v/>
      </c>
      <c r="J1756" s="27" t="str">
        <f aca="false">IF(OR(G1756="",G1756="?"),"",IFERROR(INDEX(Pubs!$G$2:$G$3001,MATCH(G1756,Pubs!$A$2:$A$3001,0))&amp;"",""))</f>
        <v/>
      </c>
      <c r="K1756" s="28" t="str">
        <f aca="false">IF(OR(G1756="",G1756="?"),"",IFERROR(INDEX(Pubs!$E$2:$E$3001,MATCH(G1756,Pubs!$A$2:$A$3001,0)),""))</f>
        <v/>
      </c>
      <c r="L1756" s="29" t="str">
        <f aca="false">IF(A1756="","",IFERROR(1/(1/INDEX(Numéros!$C$2:$C$3001,MATCH(A1756&amp;"|"&amp;B1756,Numéros!$F$2:$F$3001,0))),""))</f>
        <v/>
      </c>
      <c r="M1756" s="27" t="str">
        <f aca="false">IF(OR(G1756="",G1756="?"),"",IFERROR(INDEX(Pubs!$D$2:$D$3001,MATCH(G1756,Pubs!$A$2:$A$3001,0))&amp;"",""))</f>
        <v/>
      </c>
      <c r="N1756" s="27" t="n">
        <f aca="false">N(N1755)+IF(AND(A1756&lt;&gt;"",OR(Recherche!$C$4="",A1756=Recherche!$C$4),OR(Recherche!$C$5="",B1756&amp;""=Recherche!$C$5&amp;""),OR(Recherche!$C$6="",IFERROR(YEAR(L1756),0)=Recherche!$C$6),OR(Recherche!$C$7="",ISNUMBER(SEARCH(Recherche!$C$7,H1756))),OR(Recherche!$C$8="",J1756=Recherche!$C$8),OR(Recherche!$C$9="",I1756=Recherche!$C$9),OR(Recherche!$C$10="",G1756&amp;""=Recherche!$C$10&amp;""),OR(Recherche!$C$11="",E1756=Recherche!$C$11),OR(Recherche!$C$12="",ISNUMBER(SEARCH(Recherche!$C$12,M1756&amp;" "&amp;F1756)))),1,0)</f>
        <v>8</v>
      </c>
    </row>
    <row r="1757" customFormat="false" ht="15" hidden="false" customHeight="false" outlineLevel="0" collapsed="false">
      <c r="A1757" s="19"/>
      <c r="B1757" s="19"/>
      <c r="C1757" s="19"/>
      <c r="D1757" s="19"/>
      <c r="E1757" s="22"/>
      <c r="F1757" s="19"/>
      <c r="G1757" s="26" t="str">
        <f aca="false">IF(D1757="","",IFERROR(VALUE(LEFT(D1757,FIND(" |",D1757&amp;" |")-1)),"?"))</f>
        <v/>
      </c>
      <c r="H1757" s="27" t="str">
        <f aca="false">IF(G1757="","",IF(G1757="?","⚠ pub inconnue",IFERROR(INDEX(Pubs!$B$2:$B$3001,MATCH(G1757,Pubs!$A$2:$A$3001,0))&amp;"","⚠ pub inconnue")))</f>
        <v/>
      </c>
      <c r="I1757" s="27" t="str">
        <f aca="false">IF(OR(G1757="",G1757="?"),"",IFERROR(INDEX(Pubs!$C$2:$C$3001,MATCH(G1757,Pubs!$A$2:$A$3001,0))&amp;"",""))</f>
        <v/>
      </c>
      <c r="J1757" s="27" t="str">
        <f aca="false">IF(OR(G1757="",G1757="?"),"",IFERROR(INDEX(Pubs!$G$2:$G$3001,MATCH(G1757,Pubs!$A$2:$A$3001,0))&amp;"",""))</f>
        <v/>
      </c>
      <c r="K1757" s="28" t="str">
        <f aca="false">IF(OR(G1757="",G1757="?"),"",IFERROR(INDEX(Pubs!$E$2:$E$3001,MATCH(G1757,Pubs!$A$2:$A$3001,0)),""))</f>
        <v/>
      </c>
      <c r="L1757" s="29" t="str">
        <f aca="false">IF(A1757="","",IFERROR(1/(1/INDEX(Numéros!$C$2:$C$3001,MATCH(A1757&amp;"|"&amp;B1757,Numéros!$F$2:$F$3001,0))),""))</f>
        <v/>
      </c>
      <c r="M1757" s="27" t="str">
        <f aca="false">IF(OR(G1757="",G1757="?"),"",IFERROR(INDEX(Pubs!$D$2:$D$3001,MATCH(G1757,Pubs!$A$2:$A$3001,0))&amp;"",""))</f>
        <v/>
      </c>
      <c r="N1757" s="27" t="n">
        <f aca="false">N(N1756)+IF(AND(A1757&lt;&gt;"",OR(Recherche!$C$4="",A1757=Recherche!$C$4),OR(Recherche!$C$5="",B1757&amp;""=Recherche!$C$5&amp;""),OR(Recherche!$C$6="",IFERROR(YEAR(L1757),0)=Recherche!$C$6),OR(Recherche!$C$7="",ISNUMBER(SEARCH(Recherche!$C$7,H1757))),OR(Recherche!$C$8="",J1757=Recherche!$C$8),OR(Recherche!$C$9="",I1757=Recherche!$C$9),OR(Recherche!$C$10="",G1757&amp;""=Recherche!$C$10&amp;""),OR(Recherche!$C$11="",E1757=Recherche!$C$11),OR(Recherche!$C$12="",ISNUMBER(SEARCH(Recherche!$C$12,M1757&amp;" "&amp;F1757)))),1,0)</f>
        <v>8</v>
      </c>
    </row>
    <row r="1758" customFormat="false" ht="15" hidden="false" customHeight="false" outlineLevel="0" collapsed="false">
      <c r="A1758" s="19"/>
      <c r="B1758" s="19"/>
      <c r="C1758" s="19"/>
      <c r="D1758" s="19"/>
      <c r="E1758" s="22"/>
      <c r="F1758" s="19"/>
      <c r="G1758" s="26" t="str">
        <f aca="false">IF(D1758="","",IFERROR(VALUE(LEFT(D1758,FIND(" |",D1758&amp;" |")-1)),"?"))</f>
        <v/>
      </c>
      <c r="H1758" s="27" t="str">
        <f aca="false">IF(G1758="","",IF(G1758="?","⚠ pub inconnue",IFERROR(INDEX(Pubs!$B$2:$B$3001,MATCH(G1758,Pubs!$A$2:$A$3001,0))&amp;"","⚠ pub inconnue")))</f>
        <v/>
      </c>
      <c r="I1758" s="27" t="str">
        <f aca="false">IF(OR(G1758="",G1758="?"),"",IFERROR(INDEX(Pubs!$C$2:$C$3001,MATCH(G1758,Pubs!$A$2:$A$3001,0))&amp;"",""))</f>
        <v/>
      </c>
      <c r="J1758" s="27" t="str">
        <f aca="false">IF(OR(G1758="",G1758="?"),"",IFERROR(INDEX(Pubs!$G$2:$G$3001,MATCH(G1758,Pubs!$A$2:$A$3001,0))&amp;"",""))</f>
        <v/>
      </c>
      <c r="K1758" s="28" t="str">
        <f aca="false">IF(OR(G1758="",G1758="?"),"",IFERROR(INDEX(Pubs!$E$2:$E$3001,MATCH(G1758,Pubs!$A$2:$A$3001,0)),""))</f>
        <v/>
      </c>
      <c r="L1758" s="29" t="str">
        <f aca="false">IF(A1758="","",IFERROR(1/(1/INDEX(Numéros!$C$2:$C$3001,MATCH(A1758&amp;"|"&amp;B1758,Numéros!$F$2:$F$3001,0))),""))</f>
        <v/>
      </c>
      <c r="M1758" s="27" t="str">
        <f aca="false">IF(OR(G1758="",G1758="?"),"",IFERROR(INDEX(Pubs!$D$2:$D$3001,MATCH(G1758,Pubs!$A$2:$A$3001,0))&amp;"",""))</f>
        <v/>
      </c>
      <c r="N1758" s="27" t="n">
        <f aca="false">N(N1757)+IF(AND(A1758&lt;&gt;"",OR(Recherche!$C$4="",A1758=Recherche!$C$4),OR(Recherche!$C$5="",B1758&amp;""=Recherche!$C$5&amp;""),OR(Recherche!$C$6="",IFERROR(YEAR(L1758),0)=Recherche!$C$6),OR(Recherche!$C$7="",ISNUMBER(SEARCH(Recherche!$C$7,H1758))),OR(Recherche!$C$8="",J1758=Recherche!$C$8),OR(Recherche!$C$9="",I1758=Recherche!$C$9),OR(Recherche!$C$10="",G1758&amp;""=Recherche!$C$10&amp;""),OR(Recherche!$C$11="",E1758=Recherche!$C$11),OR(Recherche!$C$12="",ISNUMBER(SEARCH(Recherche!$C$12,M1758&amp;" "&amp;F1758)))),1,0)</f>
        <v>8</v>
      </c>
    </row>
    <row r="1759" customFormat="false" ht="15" hidden="false" customHeight="false" outlineLevel="0" collapsed="false">
      <c r="A1759" s="19"/>
      <c r="B1759" s="19"/>
      <c r="C1759" s="19"/>
      <c r="D1759" s="19"/>
      <c r="E1759" s="22"/>
      <c r="F1759" s="19"/>
      <c r="G1759" s="26" t="str">
        <f aca="false">IF(D1759="","",IFERROR(VALUE(LEFT(D1759,FIND(" |",D1759&amp;" |")-1)),"?"))</f>
        <v/>
      </c>
      <c r="H1759" s="27" t="str">
        <f aca="false">IF(G1759="","",IF(G1759="?","⚠ pub inconnue",IFERROR(INDEX(Pubs!$B$2:$B$3001,MATCH(G1759,Pubs!$A$2:$A$3001,0))&amp;"","⚠ pub inconnue")))</f>
        <v/>
      </c>
      <c r="I1759" s="27" t="str">
        <f aca="false">IF(OR(G1759="",G1759="?"),"",IFERROR(INDEX(Pubs!$C$2:$C$3001,MATCH(G1759,Pubs!$A$2:$A$3001,0))&amp;"",""))</f>
        <v/>
      </c>
      <c r="J1759" s="27" t="str">
        <f aca="false">IF(OR(G1759="",G1759="?"),"",IFERROR(INDEX(Pubs!$G$2:$G$3001,MATCH(G1759,Pubs!$A$2:$A$3001,0))&amp;"",""))</f>
        <v/>
      </c>
      <c r="K1759" s="28" t="str">
        <f aca="false">IF(OR(G1759="",G1759="?"),"",IFERROR(INDEX(Pubs!$E$2:$E$3001,MATCH(G1759,Pubs!$A$2:$A$3001,0)),""))</f>
        <v/>
      </c>
      <c r="L1759" s="29" t="str">
        <f aca="false">IF(A1759="","",IFERROR(1/(1/INDEX(Numéros!$C$2:$C$3001,MATCH(A1759&amp;"|"&amp;B1759,Numéros!$F$2:$F$3001,0))),""))</f>
        <v/>
      </c>
      <c r="M1759" s="27" t="str">
        <f aca="false">IF(OR(G1759="",G1759="?"),"",IFERROR(INDEX(Pubs!$D$2:$D$3001,MATCH(G1759,Pubs!$A$2:$A$3001,0))&amp;"",""))</f>
        <v/>
      </c>
      <c r="N1759" s="27" t="n">
        <f aca="false">N(N1758)+IF(AND(A1759&lt;&gt;"",OR(Recherche!$C$4="",A1759=Recherche!$C$4),OR(Recherche!$C$5="",B1759&amp;""=Recherche!$C$5&amp;""),OR(Recherche!$C$6="",IFERROR(YEAR(L1759),0)=Recherche!$C$6),OR(Recherche!$C$7="",ISNUMBER(SEARCH(Recherche!$C$7,H1759))),OR(Recherche!$C$8="",J1759=Recherche!$C$8),OR(Recherche!$C$9="",I1759=Recherche!$C$9),OR(Recherche!$C$10="",G1759&amp;""=Recherche!$C$10&amp;""),OR(Recherche!$C$11="",E1759=Recherche!$C$11),OR(Recherche!$C$12="",ISNUMBER(SEARCH(Recherche!$C$12,M1759&amp;" "&amp;F1759)))),1,0)</f>
        <v>8</v>
      </c>
    </row>
    <row r="1760" customFormat="false" ht="15" hidden="false" customHeight="false" outlineLevel="0" collapsed="false">
      <c r="A1760" s="19"/>
      <c r="B1760" s="19"/>
      <c r="C1760" s="19"/>
      <c r="D1760" s="19"/>
      <c r="E1760" s="22"/>
      <c r="F1760" s="19"/>
      <c r="G1760" s="26" t="str">
        <f aca="false">IF(D1760="","",IFERROR(VALUE(LEFT(D1760,FIND(" |",D1760&amp;" |")-1)),"?"))</f>
        <v/>
      </c>
      <c r="H1760" s="27" t="str">
        <f aca="false">IF(G1760="","",IF(G1760="?","⚠ pub inconnue",IFERROR(INDEX(Pubs!$B$2:$B$3001,MATCH(G1760,Pubs!$A$2:$A$3001,0))&amp;"","⚠ pub inconnue")))</f>
        <v/>
      </c>
      <c r="I1760" s="27" t="str">
        <f aca="false">IF(OR(G1760="",G1760="?"),"",IFERROR(INDEX(Pubs!$C$2:$C$3001,MATCH(G1760,Pubs!$A$2:$A$3001,0))&amp;"",""))</f>
        <v/>
      </c>
      <c r="J1760" s="27" t="str">
        <f aca="false">IF(OR(G1760="",G1760="?"),"",IFERROR(INDEX(Pubs!$G$2:$G$3001,MATCH(G1760,Pubs!$A$2:$A$3001,0))&amp;"",""))</f>
        <v/>
      </c>
      <c r="K1760" s="28" t="str">
        <f aca="false">IF(OR(G1760="",G1760="?"),"",IFERROR(INDEX(Pubs!$E$2:$E$3001,MATCH(G1760,Pubs!$A$2:$A$3001,0)),""))</f>
        <v/>
      </c>
      <c r="L1760" s="29" t="str">
        <f aca="false">IF(A1760="","",IFERROR(1/(1/INDEX(Numéros!$C$2:$C$3001,MATCH(A1760&amp;"|"&amp;B1760,Numéros!$F$2:$F$3001,0))),""))</f>
        <v/>
      </c>
      <c r="M1760" s="27" t="str">
        <f aca="false">IF(OR(G1760="",G1760="?"),"",IFERROR(INDEX(Pubs!$D$2:$D$3001,MATCH(G1760,Pubs!$A$2:$A$3001,0))&amp;"",""))</f>
        <v/>
      </c>
      <c r="N1760" s="27" t="n">
        <f aca="false">N(N1759)+IF(AND(A1760&lt;&gt;"",OR(Recherche!$C$4="",A1760=Recherche!$C$4),OR(Recherche!$C$5="",B1760&amp;""=Recherche!$C$5&amp;""),OR(Recherche!$C$6="",IFERROR(YEAR(L1760),0)=Recherche!$C$6),OR(Recherche!$C$7="",ISNUMBER(SEARCH(Recherche!$C$7,H1760))),OR(Recherche!$C$8="",J1760=Recherche!$C$8),OR(Recherche!$C$9="",I1760=Recherche!$C$9),OR(Recherche!$C$10="",G1760&amp;""=Recherche!$C$10&amp;""),OR(Recherche!$C$11="",E1760=Recherche!$C$11),OR(Recherche!$C$12="",ISNUMBER(SEARCH(Recherche!$C$12,M1760&amp;" "&amp;F1760)))),1,0)</f>
        <v>8</v>
      </c>
    </row>
    <row r="1761" customFormat="false" ht="15" hidden="false" customHeight="false" outlineLevel="0" collapsed="false">
      <c r="A1761" s="19"/>
      <c r="B1761" s="19"/>
      <c r="C1761" s="19"/>
      <c r="D1761" s="19"/>
      <c r="E1761" s="22"/>
      <c r="F1761" s="19"/>
      <c r="G1761" s="26" t="str">
        <f aca="false">IF(D1761="","",IFERROR(VALUE(LEFT(D1761,FIND(" |",D1761&amp;" |")-1)),"?"))</f>
        <v/>
      </c>
      <c r="H1761" s="27" t="str">
        <f aca="false">IF(G1761="","",IF(G1761="?","⚠ pub inconnue",IFERROR(INDEX(Pubs!$B$2:$B$3001,MATCH(G1761,Pubs!$A$2:$A$3001,0))&amp;"","⚠ pub inconnue")))</f>
        <v/>
      </c>
      <c r="I1761" s="27" t="str">
        <f aca="false">IF(OR(G1761="",G1761="?"),"",IFERROR(INDEX(Pubs!$C$2:$C$3001,MATCH(G1761,Pubs!$A$2:$A$3001,0))&amp;"",""))</f>
        <v/>
      </c>
      <c r="J1761" s="27" t="str">
        <f aca="false">IF(OR(G1761="",G1761="?"),"",IFERROR(INDEX(Pubs!$G$2:$G$3001,MATCH(G1761,Pubs!$A$2:$A$3001,0))&amp;"",""))</f>
        <v/>
      </c>
      <c r="K1761" s="28" t="str">
        <f aca="false">IF(OR(G1761="",G1761="?"),"",IFERROR(INDEX(Pubs!$E$2:$E$3001,MATCH(G1761,Pubs!$A$2:$A$3001,0)),""))</f>
        <v/>
      </c>
      <c r="L1761" s="29" t="str">
        <f aca="false">IF(A1761="","",IFERROR(1/(1/INDEX(Numéros!$C$2:$C$3001,MATCH(A1761&amp;"|"&amp;B1761,Numéros!$F$2:$F$3001,0))),""))</f>
        <v/>
      </c>
      <c r="M1761" s="27" t="str">
        <f aca="false">IF(OR(G1761="",G1761="?"),"",IFERROR(INDEX(Pubs!$D$2:$D$3001,MATCH(G1761,Pubs!$A$2:$A$3001,0))&amp;"",""))</f>
        <v/>
      </c>
      <c r="N1761" s="27" t="n">
        <f aca="false">N(N1760)+IF(AND(A1761&lt;&gt;"",OR(Recherche!$C$4="",A1761=Recherche!$C$4),OR(Recherche!$C$5="",B1761&amp;""=Recherche!$C$5&amp;""),OR(Recherche!$C$6="",IFERROR(YEAR(L1761),0)=Recherche!$C$6),OR(Recherche!$C$7="",ISNUMBER(SEARCH(Recherche!$C$7,H1761))),OR(Recherche!$C$8="",J1761=Recherche!$C$8),OR(Recherche!$C$9="",I1761=Recherche!$C$9),OR(Recherche!$C$10="",G1761&amp;""=Recherche!$C$10&amp;""),OR(Recherche!$C$11="",E1761=Recherche!$C$11),OR(Recherche!$C$12="",ISNUMBER(SEARCH(Recherche!$C$12,M1761&amp;" "&amp;F1761)))),1,0)</f>
        <v>8</v>
      </c>
    </row>
    <row r="1762" customFormat="false" ht="15" hidden="false" customHeight="false" outlineLevel="0" collapsed="false">
      <c r="A1762" s="19"/>
      <c r="B1762" s="19"/>
      <c r="C1762" s="19"/>
      <c r="D1762" s="19"/>
      <c r="E1762" s="22"/>
      <c r="F1762" s="19"/>
      <c r="G1762" s="26" t="str">
        <f aca="false">IF(D1762="","",IFERROR(VALUE(LEFT(D1762,FIND(" |",D1762&amp;" |")-1)),"?"))</f>
        <v/>
      </c>
      <c r="H1762" s="27" t="str">
        <f aca="false">IF(G1762="","",IF(G1762="?","⚠ pub inconnue",IFERROR(INDEX(Pubs!$B$2:$B$3001,MATCH(G1762,Pubs!$A$2:$A$3001,0))&amp;"","⚠ pub inconnue")))</f>
        <v/>
      </c>
      <c r="I1762" s="27" t="str">
        <f aca="false">IF(OR(G1762="",G1762="?"),"",IFERROR(INDEX(Pubs!$C$2:$C$3001,MATCH(G1762,Pubs!$A$2:$A$3001,0))&amp;"",""))</f>
        <v/>
      </c>
      <c r="J1762" s="27" t="str">
        <f aca="false">IF(OR(G1762="",G1762="?"),"",IFERROR(INDEX(Pubs!$G$2:$G$3001,MATCH(G1762,Pubs!$A$2:$A$3001,0))&amp;"",""))</f>
        <v/>
      </c>
      <c r="K1762" s="28" t="str">
        <f aca="false">IF(OR(G1762="",G1762="?"),"",IFERROR(INDEX(Pubs!$E$2:$E$3001,MATCH(G1762,Pubs!$A$2:$A$3001,0)),""))</f>
        <v/>
      </c>
      <c r="L1762" s="29" t="str">
        <f aca="false">IF(A1762="","",IFERROR(1/(1/INDEX(Numéros!$C$2:$C$3001,MATCH(A1762&amp;"|"&amp;B1762,Numéros!$F$2:$F$3001,0))),""))</f>
        <v/>
      </c>
      <c r="M1762" s="27" t="str">
        <f aca="false">IF(OR(G1762="",G1762="?"),"",IFERROR(INDEX(Pubs!$D$2:$D$3001,MATCH(G1762,Pubs!$A$2:$A$3001,0))&amp;"",""))</f>
        <v/>
      </c>
      <c r="N1762" s="27" t="n">
        <f aca="false">N(N1761)+IF(AND(A1762&lt;&gt;"",OR(Recherche!$C$4="",A1762=Recherche!$C$4),OR(Recherche!$C$5="",B1762&amp;""=Recherche!$C$5&amp;""),OR(Recherche!$C$6="",IFERROR(YEAR(L1762),0)=Recherche!$C$6),OR(Recherche!$C$7="",ISNUMBER(SEARCH(Recherche!$C$7,H1762))),OR(Recherche!$C$8="",J1762=Recherche!$C$8),OR(Recherche!$C$9="",I1762=Recherche!$C$9),OR(Recherche!$C$10="",G1762&amp;""=Recherche!$C$10&amp;""),OR(Recherche!$C$11="",E1762=Recherche!$C$11),OR(Recherche!$C$12="",ISNUMBER(SEARCH(Recherche!$C$12,M1762&amp;" "&amp;F1762)))),1,0)</f>
        <v>8</v>
      </c>
    </row>
    <row r="1763" customFormat="false" ht="15" hidden="false" customHeight="false" outlineLevel="0" collapsed="false">
      <c r="A1763" s="19"/>
      <c r="B1763" s="19"/>
      <c r="C1763" s="19"/>
      <c r="D1763" s="19"/>
      <c r="E1763" s="22"/>
      <c r="F1763" s="19"/>
      <c r="G1763" s="26" t="str">
        <f aca="false">IF(D1763="","",IFERROR(VALUE(LEFT(D1763,FIND(" |",D1763&amp;" |")-1)),"?"))</f>
        <v/>
      </c>
      <c r="H1763" s="27" t="str">
        <f aca="false">IF(G1763="","",IF(G1763="?","⚠ pub inconnue",IFERROR(INDEX(Pubs!$B$2:$B$3001,MATCH(G1763,Pubs!$A$2:$A$3001,0))&amp;"","⚠ pub inconnue")))</f>
        <v/>
      </c>
      <c r="I1763" s="27" t="str">
        <f aca="false">IF(OR(G1763="",G1763="?"),"",IFERROR(INDEX(Pubs!$C$2:$C$3001,MATCH(G1763,Pubs!$A$2:$A$3001,0))&amp;"",""))</f>
        <v/>
      </c>
      <c r="J1763" s="27" t="str">
        <f aca="false">IF(OR(G1763="",G1763="?"),"",IFERROR(INDEX(Pubs!$G$2:$G$3001,MATCH(G1763,Pubs!$A$2:$A$3001,0))&amp;"",""))</f>
        <v/>
      </c>
      <c r="K1763" s="28" t="str">
        <f aca="false">IF(OR(G1763="",G1763="?"),"",IFERROR(INDEX(Pubs!$E$2:$E$3001,MATCH(G1763,Pubs!$A$2:$A$3001,0)),""))</f>
        <v/>
      </c>
      <c r="L1763" s="29" t="str">
        <f aca="false">IF(A1763="","",IFERROR(1/(1/INDEX(Numéros!$C$2:$C$3001,MATCH(A1763&amp;"|"&amp;B1763,Numéros!$F$2:$F$3001,0))),""))</f>
        <v/>
      </c>
      <c r="M1763" s="27" t="str">
        <f aca="false">IF(OR(G1763="",G1763="?"),"",IFERROR(INDEX(Pubs!$D$2:$D$3001,MATCH(G1763,Pubs!$A$2:$A$3001,0))&amp;"",""))</f>
        <v/>
      </c>
      <c r="N1763" s="27" t="n">
        <f aca="false">N(N1762)+IF(AND(A1763&lt;&gt;"",OR(Recherche!$C$4="",A1763=Recherche!$C$4),OR(Recherche!$C$5="",B1763&amp;""=Recherche!$C$5&amp;""),OR(Recherche!$C$6="",IFERROR(YEAR(L1763),0)=Recherche!$C$6),OR(Recherche!$C$7="",ISNUMBER(SEARCH(Recherche!$C$7,H1763))),OR(Recherche!$C$8="",J1763=Recherche!$C$8),OR(Recherche!$C$9="",I1763=Recherche!$C$9),OR(Recherche!$C$10="",G1763&amp;""=Recherche!$C$10&amp;""),OR(Recherche!$C$11="",E1763=Recherche!$C$11),OR(Recherche!$C$12="",ISNUMBER(SEARCH(Recherche!$C$12,M1763&amp;" "&amp;F1763)))),1,0)</f>
        <v>8</v>
      </c>
    </row>
    <row r="1764" customFormat="false" ht="15" hidden="false" customHeight="false" outlineLevel="0" collapsed="false">
      <c r="A1764" s="19"/>
      <c r="B1764" s="19"/>
      <c r="C1764" s="19"/>
      <c r="D1764" s="19"/>
      <c r="E1764" s="22"/>
      <c r="F1764" s="19"/>
      <c r="G1764" s="26" t="str">
        <f aca="false">IF(D1764="","",IFERROR(VALUE(LEFT(D1764,FIND(" |",D1764&amp;" |")-1)),"?"))</f>
        <v/>
      </c>
      <c r="H1764" s="27" t="str">
        <f aca="false">IF(G1764="","",IF(G1764="?","⚠ pub inconnue",IFERROR(INDEX(Pubs!$B$2:$B$3001,MATCH(G1764,Pubs!$A$2:$A$3001,0))&amp;"","⚠ pub inconnue")))</f>
        <v/>
      </c>
      <c r="I1764" s="27" t="str">
        <f aca="false">IF(OR(G1764="",G1764="?"),"",IFERROR(INDEX(Pubs!$C$2:$C$3001,MATCH(G1764,Pubs!$A$2:$A$3001,0))&amp;"",""))</f>
        <v/>
      </c>
      <c r="J1764" s="27" t="str">
        <f aca="false">IF(OR(G1764="",G1764="?"),"",IFERROR(INDEX(Pubs!$G$2:$G$3001,MATCH(G1764,Pubs!$A$2:$A$3001,0))&amp;"",""))</f>
        <v/>
      </c>
      <c r="K1764" s="28" t="str">
        <f aca="false">IF(OR(G1764="",G1764="?"),"",IFERROR(INDEX(Pubs!$E$2:$E$3001,MATCH(G1764,Pubs!$A$2:$A$3001,0)),""))</f>
        <v/>
      </c>
      <c r="L1764" s="29" t="str">
        <f aca="false">IF(A1764="","",IFERROR(1/(1/INDEX(Numéros!$C$2:$C$3001,MATCH(A1764&amp;"|"&amp;B1764,Numéros!$F$2:$F$3001,0))),""))</f>
        <v/>
      </c>
      <c r="M1764" s="27" t="str">
        <f aca="false">IF(OR(G1764="",G1764="?"),"",IFERROR(INDEX(Pubs!$D$2:$D$3001,MATCH(G1764,Pubs!$A$2:$A$3001,0))&amp;"",""))</f>
        <v/>
      </c>
      <c r="N1764" s="27" t="n">
        <f aca="false">N(N1763)+IF(AND(A1764&lt;&gt;"",OR(Recherche!$C$4="",A1764=Recherche!$C$4),OR(Recherche!$C$5="",B1764&amp;""=Recherche!$C$5&amp;""),OR(Recherche!$C$6="",IFERROR(YEAR(L1764),0)=Recherche!$C$6),OR(Recherche!$C$7="",ISNUMBER(SEARCH(Recherche!$C$7,H1764))),OR(Recherche!$C$8="",J1764=Recherche!$C$8),OR(Recherche!$C$9="",I1764=Recherche!$C$9),OR(Recherche!$C$10="",G1764&amp;""=Recherche!$C$10&amp;""),OR(Recherche!$C$11="",E1764=Recherche!$C$11),OR(Recherche!$C$12="",ISNUMBER(SEARCH(Recherche!$C$12,M1764&amp;" "&amp;F1764)))),1,0)</f>
        <v>8</v>
      </c>
    </row>
    <row r="1765" customFormat="false" ht="15" hidden="false" customHeight="false" outlineLevel="0" collapsed="false">
      <c r="A1765" s="19"/>
      <c r="B1765" s="19"/>
      <c r="C1765" s="19"/>
      <c r="D1765" s="19"/>
      <c r="E1765" s="22"/>
      <c r="F1765" s="19"/>
      <c r="G1765" s="26" t="str">
        <f aca="false">IF(D1765="","",IFERROR(VALUE(LEFT(D1765,FIND(" |",D1765&amp;" |")-1)),"?"))</f>
        <v/>
      </c>
      <c r="H1765" s="27" t="str">
        <f aca="false">IF(G1765="","",IF(G1765="?","⚠ pub inconnue",IFERROR(INDEX(Pubs!$B$2:$B$3001,MATCH(G1765,Pubs!$A$2:$A$3001,0))&amp;"","⚠ pub inconnue")))</f>
        <v/>
      </c>
      <c r="I1765" s="27" t="str">
        <f aca="false">IF(OR(G1765="",G1765="?"),"",IFERROR(INDEX(Pubs!$C$2:$C$3001,MATCH(G1765,Pubs!$A$2:$A$3001,0))&amp;"",""))</f>
        <v/>
      </c>
      <c r="J1765" s="27" t="str">
        <f aca="false">IF(OR(G1765="",G1765="?"),"",IFERROR(INDEX(Pubs!$G$2:$G$3001,MATCH(G1765,Pubs!$A$2:$A$3001,0))&amp;"",""))</f>
        <v/>
      </c>
      <c r="K1765" s="28" t="str">
        <f aca="false">IF(OR(G1765="",G1765="?"),"",IFERROR(INDEX(Pubs!$E$2:$E$3001,MATCH(G1765,Pubs!$A$2:$A$3001,0)),""))</f>
        <v/>
      </c>
      <c r="L1765" s="29" t="str">
        <f aca="false">IF(A1765="","",IFERROR(1/(1/INDEX(Numéros!$C$2:$C$3001,MATCH(A1765&amp;"|"&amp;B1765,Numéros!$F$2:$F$3001,0))),""))</f>
        <v/>
      </c>
      <c r="M1765" s="27" t="str">
        <f aca="false">IF(OR(G1765="",G1765="?"),"",IFERROR(INDEX(Pubs!$D$2:$D$3001,MATCH(G1765,Pubs!$A$2:$A$3001,0))&amp;"",""))</f>
        <v/>
      </c>
      <c r="N1765" s="27" t="n">
        <f aca="false">N(N1764)+IF(AND(A1765&lt;&gt;"",OR(Recherche!$C$4="",A1765=Recherche!$C$4),OR(Recherche!$C$5="",B1765&amp;""=Recherche!$C$5&amp;""),OR(Recherche!$C$6="",IFERROR(YEAR(L1765),0)=Recherche!$C$6),OR(Recherche!$C$7="",ISNUMBER(SEARCH(Recherche!$C$7,H1765))),OR(Recherche!$C$8="",J1765=Recherche!$C$8),OR(Recherche!$C$9="",I1765=Recherche!$C$9),OR(Recherche!$C$10="",G1765&amp;""=Recherche!$C$10&amp;""),OR(Recherche!$C$11="",E1765=Recherche!$C$11),OR(Recherche!$C$12="",ISNUMBER(SEARCH(Recherche!$C$12,M1765&amp;" "&amp;F1765)))),1,0)</f>
        <v>8</v>
      </c>
    </row>
    <row r="1766" customFormat="false" ht="15" hidden="false" customHeight="false" outlineLevel="0" collapsed="false">
      <c r="A1766" s="19"/>
      <c r="B1766" s="19"/>
      <c r="C1766" s="19"/>
      <c r="D1766" s="19"/>
      <c r="E1766" s="22"/>
      <c r="F1766" s="19"/>
      <c r="G1766" s="26" t="str">
        <f aca="false">IF(D1766="","",IFERROR(VALUE(LEFT(D1766,FIND(" |",D1766&amp;" |")-1)),"?"))</f>
        <v/>
      </c>
      <c r="H1766" s="27" t="str">
        <f aca="false">IF(G1766="","",IF(G1766="?","⚠ pub inconnue",IFERROR(INDEX(Pubs!$B$2:$B$3001,MATCH(G1766,Pubs!$A$2:$A$3001,0))&amp;"","⚠ pub inconnue")))</f>
        <v/>
      </c>
      <c r="I1766" s="27" t="str">
        <f aca="false">IF(OR(G1766="",G1766="?"),"",IFERROR(INDEX(Pubs!$C$2:$C$3001,MATCH(G1766,Pubs!$A$2:$A$3001,0))&amp;"",""))</f>
        <v/>
      </c>
      <c r="J1766" s="27" t="str">
        <f aca="false">IF(OR(G1766="",G1766="?"),"",IFERROR(INDEX(Pubs!$G$2:$G$3001,MATCH(G1766,Pubs!$A$2:$A$3001,0))&amp;"",""))</f>
        <v/>
      </c>
      <c r="K1766" s="28" t="str">
        <f aca="false">IF(OR(G1766="",G1766="?"),"",IFERROR(INDEX(Pubs!$E$2:$E$3001,MATCH(G1766,Pubs!$A$2:$A$3001,0)),""))</f>
        <v/>
      </c>
      <c r="L1766" s="29" t="str">
        <f aca="false">IF(A1766="","",IFERROR(1/(1/INDEX(Numéros!$C$2:$C$3001,MATCH(A1766&amp;"|"&amp;B1766,Numéros!$F$2:$F$3001,0))),""))</f>
        <v/>
      </c>
      <c r="M1766" s="27" t="str">
        <f aca="false">IF(OR(G1766="",G1766="?"),"",IFERROR(INDEX(Pubs!$D$2:$D$3001,MATCH(G1766,Pubs!$A$2:$A$3001,0))&amp;"",""))</f>
        <v/>
      </c>
      <c r="N1766" s="27" t="n">
        <f aca="false">N(N1765)+IF(AND(A1766&lt;&gt;"",OR(Recherche!$C$4="",A1766=Recherche!$C$4),OR(Recherche!$C$5="",B1766&amp;""=Recherche!$C$5&amp;""),OR(Recherche!$C$6="",IFERROR(YEAR(L1766),0)=Recherche!$C$6),OR(Recherche!$C$7="",ISNUMBER(SEARCH(Recherche!$C$7,H1766))),OR(Recherche!$C$8="",J1766=Recherche!$C$8),OR(Recherche!$C$9="",I1766=Recherche!$C$9),OR(Recherche!$C$10="",G1766&amp;""=Recherche!$C$10&amp;""),OR(Recherche!$C$11="",E1766=Recherche!$C$11),OR(Recherche!$C$12="",ISNUMBER(SEARCH(Recherche!$C$12,M1766&amp;" "&amp;F1766)))),1,0)</f>
        <v>8</v>
      </c>
    </row>
    <row r="1767" customFormat="false" ht="15" hidden="false" customHeight="false" outlineLevel="0" collapsed="false">
      <c r="A1767" s="19"/>
      <c r="B1767" s="19"/>
      <c r="C1767" s="19"/>
      <c r="D1767" s="19"/>
      <c r="E1767" s="22"/>
      <c r="F1767" s="19"/>
      <c r="G1767" s="26" t="str">
        <f aca="false">IF(D1767="","",IFERROR(VALUE(LEFT(D1767,FIND(" |",D1767&amp;" |")-1)),"?"))</f>
        <v/>
      </c>
      <c r="H1767" s="27" t="str">
        <f aca="false">IF(G1767="","",IF(G1767="?","⚠ pub inconnue",IFERROR(INDEX(Pubs!$B$2:$B$3001,MATCH(G1767,Pubs!$A$2:$A$3001,0))&amp;"","⚠ pub inconnue")))</f>
        <v/>
      </c>
      <c r="I1767" s="27" t="str">
        <f aca="false">IF(OR(G1767="",G1767="?"),"",IFERROR(INDEX(Pubs!$C$2:$C$3001,MATCH(G1767,Pubs!$A$2:$A$3001,0))&amp;"",""))</f>
        <v/>
      </c>
      <c r="J1767" s="27" t="str">
        <f aca="false">IF(OR(G1767="",G1767="?"),"",IFERROR(INDEX(Pubs!$G$2:$G$3001,MATCH(G1767,Pubs!$A$2:$A$3001,0))&amp;"",""))</f>
        <v/>
      </c>
      <c r="K1767" s="28" t="str">
        <f aca="false">IF(OR(G1767="",G1767="?"),"",IFERROR(INDEX(Pubs!$E$2:$E$3001,MATCH(G1767,Pubs!$A$2:$A$3001,0)),""))</f>
        <v/>
      </c>
      <c r="L1767" s="29" t="str">
        <f aca="false">IF(A1767="","",IFERROR(1/(1/INDEX(Numéros!$C$2:$C$3001,MATCH(A1767&amp;"|"&amp;B1767,Numéros!$F$2:$F$3001,0))),""))</f>
        <v/>
      </c>
      <c r="M1767" s="27" t="str">
        <f aca="false">IF(OR(G1767="",G1767="?"),"",IFERROR(INDEX(Pubs!$D$2:$D$3001,MATCH(G1767,Pubs!$A$2:$A$3001,0))&amp;"",""))</f>
        <v/>
      </c>
      <c r="N1767" s="27" t="n">
        <f aca="false">N(N1766)+IF(AND(A1767&lt;&gt;"",OR(Recherche!$C$4="",A1767=Recherche!$C$4),OR(Recherche!$C$5="",B1767&amp;""=Recherche!$C$5&amp;""),OR(Recherche!$C$6="",IFERROR(YEAR(L1767),0)=Recherche!$C$6),OR(Recherche!$C$7="",ISNUMBER(SEARCH(Recherche!$C$7,H1767))),OR(Recherche!$C$8="",J1767=Recherche!$C$8),OR(Recherche!$C$9="",I1767=Recherche!$C$9),OR(Recherche!$C$10="",G1767&amp;""=Recherche!$C$10&amp;""),OR(Recherche!$C$11="",E1767=Recherche!$C$11),OR(Recherche!$C$12="",ISNUMBER(SEARCH(Recherche!$C$12,M1767&amp;" "&amp;F1767)))),1,0)</f>
        <v>8</v>
      </c>
    </row>
    <row r="1768" customFormat="false" ht="15" hidden="false" customHeight="false" outlineLevel="0" collapsed="false">
      <c r="A1768" s="19"/>
      <c r="B1768" s="19"/>
      <c r="C1768" s="19"/>
      <c r="D1768" s="19"/>
      <c r="E1768" s="22"/>
      <c r="F1768" s="19"/>
      <c r="G1768" s="26" t="str">
        <f aca="false">IF(D1768="","",IFERROR(VALUE(LEFT(D1768,FIND(" |",D1768&amp;" |")-1)),"?"))</f>
        <v/>
      </c>
      <c r="H1768" s="27" t="str">
        <f aca="false">IF(G1768="","",IF(G1768="?","⚠ pub inconnue",IFERROR(INDEX(Pubs!$B$2:$B$3001,MATCH(G1768,Pubs!$A$2:$A$3001,0))&amp;"","⚠ pub inconnue")))</f>
        <v/>
      </c>
      <c r="I1768" s="27" t="str">
        <f aca="false">IF(OR(G1768="",G1768="?"),"",IFERROR(INDEX(Pubs!$C$2:$C$3001,MATCH(G1768,Pubs!$A$2:$A$3001,0))&amp;"",""))</f>
        <v/>
      </c>
      <c r="J1768" s="27" t="str">
        <f aca="false">IF(OR(G1768="",G1768="?"),"",IFERROR(INDEX(Pubs!$G$2:$G$3001,MATCH(G1768,Pubs!$A$2:$A$3001,0))&amp;"",""))</f>
        <v/>
      </c>
      <c r="K1768" s="28" t="str">
        <f aca="false">IF(OR(G1768="",G1768="?"),"",IFERROR(INDEX(Pubs!$E$2:$E$3001,MATCH(G1768,Pubs!$A$2:$A$3001,0)),""))</f>
        <v/>
      </c>
      <c r="L1768" s="29" t="str">
        <f aca="false">IF(A1768="","",IFERROR(1/(1/INDEX(Numéros!$C$2:$C$3001,MATCH(A1768&amp;"|"&amp;B1768,Numéros!$F$2:$F$3001,0))),""))</f>
        <v/>
      </c>
      <c r="M1768" s="27" t="str">
        <f aca="false">IF(OR(G1768="",G1768="?"),"",IFERROR(INDEX(Pubs!$D$2:$D$3001,MATCH(G1768,Pubs!$A$2:$A$3001,0))&amp;"",""))</f>
        <v/>
      </c>
      <c r="N1768" s="27" t="n">
        <f aca="false">N(N1767)+IF(AND(A1768&lt;&gt;"",OR(Recherche!$C$4="",A1768=Recherche!$C$4),OR(Recherche!$C$5="",B1768&amp;""=Recherche!$C$5&amp;""),OR(Recherche!$C$6="",IFERROR(YEAR(L1768),0)=Recherche!$C$6),OR(Recherche!$C$7="",ISNUMBER(SEARCH(Recherche!$C$7,H1768))),OR(Recherche!$C$8="",J1768=Recherche!$C$8),OR(Recherche!$C$9="",I1768=Recherche!$C$9),OR(Recherche!$C$10="",G1768&amp;""=Recherche!$C$10&amp;""),OR(Recherche!$C$11="",E1768=Recherche!$C$11),OR(Recherche!$C$12="",ISNUMBER(SEARCH(Recherche!$C$12,M1768&amp;" "&amp;F1768)))),1,0)</f>
        <v>8</v>
      </c>
    </row>
    <row r="1769" customFormat="false" ht="15" hidden="false" customHeight="false" outlineLevel="0" collapsed="false">
      <c r="A1769" s="19"/>
      <c r="B1769" s="19"/>
      <c r="C1769" s="19"/>
      <c r="D1769" s="19"/>
      <c r="E1769" s="22"/>
      <c r="F1769" s="19"/>
      <c r="G1769" s="26" t="str">
        <f aca="false">IF(D1769="","",IFERROR(VALUE(LEFT(D1769,FIND(" |",D1769&amp;" |")-1)),"?"))</f>
        <v/>
      </c>
      <c r="H1769" s="27" t="str">
        <f aca="false">IF(G1769="","",IF(G1769="?","⚠ pub inconnue",IFERROR(INDEX(Pubs!$B$2:$B$3001,MATCH(G1769,Pubs!$A$2:$A$3001,0))&amp;"","⚠ pub inconnue")))</f>
        <v/>
      </c>
      <c r="I1769" s="27" t="str">
        <f aca="false">IF(OR(G1769="",G1769="?"),"",IFERROR(INDEX(Pubs!$C$2:$C$3001,MATCH(G1769,Pubs!$A$2:$A$3001,0))&amp;"",""))</f>
        <v/>
      </c>
      <c r="J1769" s="27" t="str">
        <f aca="false">IF(OR(G1769="",G1769="?"),"",IFERROR(INDEX(Pubs!$G$2:$G$3001,MATCH(G1769,Pubs!$A$2:$A$3001,0))&amp;"",""))</f>
        <v/>
      </c>
      <c r="K1769" s="28" t="str">
        <f aca="false">IF(OR(G1769="",G1769="?"),"",IFERROR(INDEX(Pubs!$E$2:$E$3001,MATCH(G1769,Pubs!$A$2:$A$3001,0)),""))</f>
        <v/>
      </c>
      <c r="L1769" s="29" t="str">
        <f aca="false">IF(A1769="","",IFERROR(1/(1/INDEX(Numéros!$C$2:$C$3001,MATCH(A1769&amp;"|"&amp;B1769,Numéros!$F$2:$F$3001,0))),""))</f>
        <v/>
      </c>
      <c r="M1769" s="27" t="str">
        <f aca="false">IF(OR(G1769="",G1769="?"),"",IFERROR(INDEX(Pubs!$D$2:$D$3001,MATCH(G1769,Pubs!$A$2:$A$3001,0))&amp;"",""))</f>
        <v/>
      </c>
      <c r="N1769" s="27" t="n">
        <f aca="false">N(N1768)+IF(AND(A1769&lt;&gt;"",OR(Recherche!$C$4="",A1769=Recherche!$C$4),OR(Recherche!$C$5="",B1769&amp;""=Recherche!$C$5&amp;""),OR(Recherche!$C$6="",IFERROR(YEAR(L1769),0)=Recherche!$C$6),OR(Recherche!$C$7="",ISNUMBER(SEARCH(Recherche!$C$7,H1769))),OR(Recherche!$C$8="",J1769=Recherche!$C$8),OR(Recherche!$C$9="",I1769=Recherche!$C$9),OR(Recherche!$C$10="",G1769&amp;""=Recherche!$C$10&amp;""),OR(Recherche!$C$11="",E1769=Recherche!$C$11),OR(Recherche!$C$12="",ISNUMBER(SEARCH(Recherche!$C$12,M1769&amp;" "&amp;F1769)))),1,0)</f>
        <v>8</v>
      </c>
    </row>
    <row r="1770" customFormat="false" ht="15" hidden="false" customHeight="false" outlineLevel="0" collapsed="false">
      <c r="A1770" s="19"/>
      <c r="B1770" s="19"/>
      <c r="C1770" s="19"/>
      <c r="D1770" s="19"/>
      <c r="E1770" s="22"/>
      <c r="F1770" s="19"/>
      <c r="G1770" s="26" t="str">
        <f aca="false">IF(D1770="","",IFERROR(VALUE(LEFT(D1770,FIND(" |",D1770&amp;" |")-1)),"?"))</f>
        <v/>
      </c>
      <c r="H1770" s="27" t="str">
        <f aca="false">IF(G1770="","",IF(G1770="?","⚠ pub inconnue",IFERROR(INDEX(Pubs!$B$2:$B$3001,MATCH(G1770,Pubs!$A$2:$A$3001,0))&amp;"","⚠ pub inconnue")))</f>
        <v/>
      </c>
      <c r="I1770" s="27" t="str">
        <f aca="false">IF(OR(G1770="",G1770="?"),"",IFERROR(INDEX(Pubs!$C$2:$C$3001,MATCH(G1770,Pubs!$A$2:$A$3001,0))&amp;"",""))</f>
        <v/>
      </c>
      <c r="J1770" s="27" t="str">
        <f aca="false">IF(OR(G1770="",G1770="?"),"",IFERROR(INDEX(Pubs!$G$2:$G$3001,MATCH(G1770,Pubs!$A$2:$A$3001,0))&amp;"",""))</f>
        <v/>
      </c>
      <c r="K1770" s="28" t="str">
        <f aca="false">IF(OR(G1770="",G1770="?"),"",IFERROR(INDEX(Pubs!$E$2:$E$3001,MATCH(G1770,Pubs!$A$2:$A$3001,0)),""))</f>
        <v/>
      </c>
      <c r="L1770" s="29" t="str">
        <f aca="false">IF(A1770="","",IFERROR(1/(1/INDEX(Numéros!$C$2:$C$3001,MATCH(A1770&amp;"|"&amp;B1770,Numéros!$F$2:$F$3001,0))),""))</f>
        <v/>
      </c>
      <c r="M1770" s="27" t="str">
        <f aca="false">IF(OR(G1770="",G1770="?"),"",IFERROR(INDEX(Pubs!$D$2:$D$3001,MATCH(G1770,Pubs!$A$2:$A$3001,0))&amp;"",""))</f>
        <v/>
      </c>
      <c r="N1770" s="27" t="n">
        <f aca="false">N(N1769)+IF(AND(A1770&lt;&gt;"",OR(Recherche!$C$4="",A1770=Recherche!$C$4),OR(Recherche!$C$5="",B1770&amp;""=Recherche!$C$5&amp;""),OR(Recherche!$C$6="",IFERROR(YEAR(L1770),0)=Recherche!$C$6),OR(Recherche!$C$7="",ISNUMBER(SEARCH(Recherche!$C$7,H1770))),OR(Recherche!$C$8="",J1770=Recherche!$C$8),OR(Recherche!$C$9="",I1770=Recherche!$C$9),OR(Recherche!$C$10="",G1770&amp;""=Recherche!$C$10&amp;""),OR(Recherche!$C$11="",E1770=Recherche!$C$11),OR(Recherche!$C$12="",ISNUMBER(SEARCH(Recherche!$C$12,M1770&amp;" "&amp;F1770)))),1,0)</f>
        <v>8</v>
      </c>
    </row>
    <row r="1771" customFormat="false" ht="15" hidden="false" customHeight="false" outlineLevel="0" collapsed="false">
      <c r="A1771" s="19"/>
      <c r="B1771" s="19"/>
      <c r="C1771" s="19"/>
      <c r="D1771" s="19"/>
      <c r="E1771" s="22"/>
      <c r="F1771" s="19"/>
      <c r="G1771" s="26" t="str">
        <f aca="false">IF(D1771="","",IFERROR(VALUE(LEFT(D1771,FIND(" |",D1771&amp;" |")-1)),"?"))</f>
        <v/>
      </c>
      <c r="H1771" s="27" t="str">
        <f aca="false">IF(G1771="","",IF(G1771="?","⚠ pub inconnue",IFERROR(INDEX(Pubs!$B$2:$B$3001,MATCH(G1771,Pubs!$A$2:$A$3001,0))&amp;"","⚠ pub inconnue")))</f>
        <v/>
      </c>
      <c r="I1771" s="27" t="str">
        <f aca="false">IF(OR(G1771="",G1771="?"),"",IFERROR(INDEX(Pubs!$C$2:$C$3001,MATCH(G1771,Pubs!$A$2:$A$3001,0))&amp;"",""))</f>
        <v/>
      </c>
      <c r="J1771" s="27" t="str">
        <f aca="false">IF(OR(G1771="",G1771="?"),"",IFERROR(INDEX(Pubs!$G$2:$G$3001,MATCH(G1771,Pubs!$A$2:$A$3001,0))&amp;"",""))</f>
        <v/>
      </c>
      <c r="K1771" s="28" t="str">
        <f aca="false">IF(OR(G1771="",G1771="?"),"",IFERROR(INDEX(Pubs!$E$2:$E$3001,MATCH(G1771,Pubs!$A$2:$A$3001,0)),""))</f>
        <v/>
      </c>
      <c r="L1771" s="29" t="str">
        <f aca="false">IF(A1771="","",IFERROR(1/(1/INDEX(Numéros!$C$2:$C$3001,MATCH(A1771&amp;"|"&amp;B1771,Numéros!$F$2:$F$3001,0))),""))</f>
        <v/>
      </c>
      <c r="M1771" s="27" t="str">
        <f aca="false">IF(OR(G1771="",G1771="?"),"",IFERROR(INDEX(Pubs!$D$2:$D$3001,MATCH(G1771,Pubs!$A$2:$A$3001,0))&amp;"",""))</f>
        <v/>
      </c>
      <c r="N1771" s="27" t="n">
        <f aca="false">N(N1770)+IF(AND(A1771&lt;&gt;"",OR(Recherche!$C$4="",A1771=Recherche!$C$4),OR(Recherche!$C$5="",B1771&amp;""=Recherche!$C$5&amp;""),OR(Recherche!$C$6="",IFERROR(YEAR(L1771),0)=Recherche!$C$6),OR(Recherche!$C$7="",ISNUMBER(SEARCH(Recherche!$C$7,H1771))),OR(Recherche!$C$8="",J1771=Recherche!$C$8),OR(Recherche!$C$9="",I1771=Recherche!$C$9),OR(Recherche!$C$10="",G1771&amp;""=Recherche!$C$10&amp;""),OR(Recherche!$C$11="",E1771=Recherche!$C$11),OR(Recherche!$C$12="",ISNUMBER(SEARCH(Recherche!$C$12,M1771&amp;" "&amp;F1771)))),1,0)</f>
        <v>8</v>
      </c>
    </row>
    <row r="1772" customFormat="false" ht="15" hidden="false" customHeight="false" outlineLevel="0" collapsed="false">
      <c r="A1772" s="19"/>
      <c r="B1772" s="19"/>
      <c r="C1772" s="19"/>
      <c r="D1772" s="19"/>
      <c r="E1772" s="22"/>
      <c r="F1772" s="19"/>
      <c r="G1772" s="26" t="str">
        <f aca="false">IF(D1772="","",IFERROR(VALUE(LEFT(D1772,FIND(" |",D1772&amp;" |")-1)),"?"))</f>
        <v/>
      </c>
      <c r="H1772" s="27" t="str">
        <f aca="false">IF(G1772="","",IF(G1772="?","⚠ pub inconnue",IFERROR(INDEX(Pubs!$B$2:$B$3001,MATCH(G1772,Pubs!$A$2:$A$3001,0))&amp;"","⚠ pub inconnue")))</f>
        <v/>
      </c>
      <c r="I1772" s="27" t="str">
        <f aca="false">IF(OR(G1772="",G1772="?"),"",IFERROR(INDEX(Pubs!$C$2:$C$3001,MATCH(G1772,Pubs!$A$2:$A$3001,0))&amp;"",""))</f>
        <v/>
      </c>
      <c r="J1772" s="27" t="str">
        <f aca="false">IF(OR(G1772="",G1772="?"),"",IFERROR(INDEX(Pubs!$G$2:$G$3001,MATCH(G1772,Pubs!$A$2:$A$3001,0))&amp;"",""))</f>
        <v/>
      </c>
      <c r="K1772" s="28" t="str">
        <f aca="false">IF(OR(G1772="",G1772="?"),"",IFERROR(INDEX(Pubs!$E$2:$E$3001,MATCH(G1772,Pubs!$A$2:$A$3001,0)),""))</f>
        <v/>
      </c>
      <c r="L1772" s="29" t="str">
        <f aca="false">IF(A1772="","",IFERROR(1/(1/INDEX(Numéros!$C$2:$C$3001,MATCH(A1772&amp;"|"&amp;B1772,Numéros!$F$2:$F$3001,0))),""))</f>
        <v/>
      </c>
      <c r="M1772" s="27" t="str">
        <f aca="false">IF(OR(G1772="",G1772="?"),"",IFERROR(INDEX(Pubs!$D$2:$D$3001,MATCH(G1772,Pubs!$A$2:$A$3001,0))&amp;"",""))</f>
        <v/>
      </c>
      <c r="N1772" s="27" t="n">
        <f aca="false">N(N1771)+IF(AND(A1772&lt;&gt;"",OR(Recherche!$C$4="",A1772=Recherche!$C$4),OR(Recherche!$C$5="",B1772&amp;""=Recherche!$C$5&amp;""),OR(Recherche!$C$6="",IFERROR(YEAR(L1772),0)=Recherche!$C$6),OR(Recherche!$C$7="",ISNUMBER(SEARCH(Recherche!$C$7,H1772))),OR(Recherche!$C$8="",J1772=Recherche!$C$8),OR(Recherche!$C$9="",I1772=Recherche!$C$9),OR(Recherche!$C$10="",G1772&amp;""=Recherche!$C$10&amp;""),OR(Recherche!$C$11="",E1772=Recherche!$C$11),OR(Recherche!$C$12="",ISNUMBER(SEARCH(Recherche!$C$12,M1772&amp;" "&amp;F1772)))),1,0)</f>
        <v>8</v>
      </c>
    </row>
    <row r="1773" customFormat="false" ht="15" hidden="false" customHeight="false" outlineLevel="0" collapsed="false">
      <c r="A1773" s="19"/>
      <c r="B1773" s="19"/>
      <c r="C1773" s="19"/>
      <c r="D1773" s="19"/>
      <c r="E1773" s="22"/>
      <c r="F1773" s="19"/>
      <c r="G1773" s="26" t="str">
        <f aca="false">IF(D1773="","",IFERROR(VALUE(LEFT(D1773,FIND(" |",D1773&amp;" |")-1)),"?"))</f>
        <v/>
      </c>
      <c r="H1773" s="27" t="str">
        <f aca="false">IF(G1773="","",IF(G1773="?","⚠ pub inconnue",IFERROR(INDEX(Pubs!$B$2:$B$3001,MATCH(G1773,Pubs!$A$2:$A$3001,0))&amp;"","⚠ pub inconnue")))</f>
        <v/>
      </c>
      <c r="I1773" s="27" t="str">
        <f aca="false">IF(OR(G1773="",G1773="?"),"",IFERROR(INDEX(Pubs!$C$2:$C$3001,MATCH(G1773,Pubs!$A$2:$A$3001,0))&amp;"",""))</f>
        <v/>
      </c>
      <c r="J1773" s="27" t="str">
        <f aca="false">IF(OR(G1773="",G1773="?"),"",IFERROR(INDEX(Pubs!$G$2:$G$3001,MATCH(G1773,Pubs!$A$2:$A$3001,0))&amp;"",""))</f>
        <v/>
      </c>
      <c r="K1773" s="28" t="str">
        <f aca="false">IF(OR(G1773="",G1773="?"),"",IFERROR(INDEX(Pubs!$E$2:$E$3001,MATCH(G1773,Pubs!$A$2:$A$3001,0)),""))</f>
        <v/>
      </c>
      <c r="L1773" s="29" t="str">
        <f aca="false">IF(A1773="","",IFERROR(1/(1/INDEX(Numéros!$C$2:$C$3001,MATCH(A1773&amp;"|"&amp;B1773,Numéros!$F$2:$F$3001,0))),""))</f>
        <v/>
      </c>
      <c r="M1773" s="27" t="str">
        <f aca="false">IF(OR(G1773="",G1773="?"),"",IFERROR(INDEX(Pubs!$D$2:$D$3001,MATCH(G1773,Pubs!$A$2:$A$3001,0))&amp;"",""))</f>
        <v/>
      </c>
      <c r="N1773" s="27" t="n">
        <f aca="false">N(N1772)+IF(AND(A1773&lt;&gt;"",OR(Recherche!$C$4="",A1773=Recherche!$C$4),OR(Recherche!$C$5="",B1773&amp;""=Recherche!$C$5&amp;""),OR(Recherche!$C$6="",IFERROR(YEAR(L1773),0)=Recherche!$C$6),OR(Recherche!$C$7="",ISNUMBER(SEARCH(Recherche!$C$7,H1773))),OR(Recherche!$C$8="",J1773=Recherche!$C$8),OR(Recherche!$C$9="",I1773=Recherche!$C$9),OR(Recherche!$C$10="",G1773&amp;""=Recherche!$C$10&amp;""),OR(Recherche!$C$11="",E1773=Recherche!$C$11),OR(Recherche!$C$12="",ISNUMBER(SEARCH(Recherche!$C$12,M1773&amp;" "&amp;F1773)))),1,0)</f>
        <v>8</v>
      </c>
    </row>
    <row r="1774" customFormat="false" ht="15" hidden="false" customHeight="false" outlineLevel="0" collapsed="false">
      <c r="A1774" s="19"/>
      <c r="B1774" s="19"/>
      <c r="C1774" s="19"/>
      <c r="D1774" s="19"/>
      <c r="E1774" s="22"/>
      <c r="F1774" s="19"/>
      <c r="G1774" s="26" t="str">
        <f aca="false">IF(D1774="","",IFERROR(VALUE(LEFT(D1774,FIND(" |",D1774&amp;" |")-1)),"?"))</f>
        <v/>
      </c>
      <c r="H1774" s="27" t="str">
        <f aca="false">IF(G1774="","",IF(G1774="?","⚠ pub inconnue",IFERROR(INDEX(Pubs!$B$2:$B$3001,MATCH(G1774,Pubs!$A$2:$A$3001,0))&amp;"","⚠ pub inconnue")))</f>
        <v/>
      </c>
      <c r="I1774" s="27" t="str">
        <f aca="false">IF(OR(G1774="",G1774="?"),"",IFERROR(INDEX(Pubs!$C$2:$C$3001,MATCH(G1774,Pubs!$A$2:$A$3001,0))&amp;"",""))</f>
        <v/>
      </c>
      <c r="J1774" s="27" t="str">
        <f aca="false">IF(OR(G1774="",G1774="?"),"",IFERROR(INDEX(Pubs!$G$2:$G$3001,MATCH(G1774,Pubs!$A$2:$A$3001,0))&amp;"",""))</f>
        <v/>
      </c>
      <c r="K1774" s="28" t="str">
        <f aca="false">IF(OR(G1774="",G1774="?"),"",IFERROR(INDEX(Pubs!$E$2:$E$3001,MATCH(G1774,Pubs!$A$2:$A$3001,0)),""))</f>
        <v/>
      </c>
      <c r="L1774" s="29" t="str">
        <f aca="false">IF(A1774="","",IFERROR(1/(1/INDEX(Numéros!$C$2:$C$3001,MATCH(A1774&amp;"|"&amp;B1774,Numéros!$F$2:$F$3001,0))),""))</f>
        <v/>
      </c>
      <c r="M1774" s="27" t="str">
        <f aca="false">IF(OR(G1774="",G1774="?"),"",IFERROR(INDEX(Pubs!$D$2:$D$3001,MATCH(G1774,Pubs!$A$2:$A$3001,0))&amp;"",""))</f>
        <v/>
      </c>
      <c r="N1774" s="27" t="n">
        <f aca="false">N(N1773)+IF(AND(A1774&lt;&gt;"",OR(Recherche!$C$4="",A1774=Recherche!$C$4),OR(Recherche!$C$5="",B1774&amp;""=Recherche!$C$5&amp;""),OR(Recherche!$C$6="",IFERROR(YEAR(L1774),0)=Recherche!$C$6),OR(Recherche!$C$7="",ISNUMBER(SEARCH(Recherche!$C$7,H1774))),OR(Recherche!$C$8="",J1774=Recherche!$C$8),OR(Recherche!$C$9="",I1774=Recherche!$C$9),OR(Recherche!$C$10="",G1774&amp;""=Recherche!$C$10&amp;""),OR(Recherche!$C$11="",E1774=Recherche!$C$11),OR(Recherche!$C$12="",ISNUMBER(SEARCH(Recherche!$C$12,M1774&amp;" "&amp;F1774)))),1,0)</f>
        <v>8</v>
      </c>
    </row>
    <row r="1775" customFormat="false" ht="15" hidden="false" customHeight="false" outlineLevel="0" collapsed="false">
      <c r="A1775" s="19"/>
      <c r="B1775" s="19"/>
      <c r="C1775" s="19"/>
      <c r="D1775" s="19"/>
      <c r="E1775" s="22"/>
      <c r="F1775" s="19"/>
      <c r="G1775" s="26" t="str">
        <f aca="false">IF(D1775="","",IFERROR(VALUE(LEFT(D1775,FIND(" |",D1775&amp;" |")-1)),"?"))</f>
        <v/>
      </c>
      <c r="H1775" s="27" t="str">
        <f aca="false">IF(G1775="","",IF(G1775="?","⚠ pub inconnue",IFERROR(INDEX(Pubs!$B$2:$B$3001,MATCH(G1775,Pubs!$A$2:$A$3001,0))&amp;"","⚠ pub inconnue")))</f>
        <v/>
      </c>
      <c r="I1775" s="27" t="str">
        <f aca="false">IF(OR(G1775="",G1775="?"),"",IFERROR(INDEX(Pubs!$C$2:$C$3001,MATCH(G1775,Pubs!$A$2:$A$3001,0))&amp;"",""))</f>
        <v/>
      </c>
      <c r="J1775" s="27" t="str">
        <f aca="false">IF(OR(G1775="",G1775="?"),"",IFERROR(INDEX(Pubs!$G$2:$G$3001,MATCH(G1775,Pubs!$A$2:$A$3001,0))&amp;"",""))</f>
        <v/>
      </c>
      <c r="K1775" s="28" t="str">
        <f aca="false">IF(OR(G1775="",G1775="?"),"",IFERROR(INDEX(Pubs!$E$2:$E$3001,MATCH(G1775,Pubs!$A$2:$A$3001,0)),""))</f>
        <v/>
      </c>
      <c r="L1775" s="29" t="str">
        <f aca="false">IF(A1775="","",IFERROR(1/(1/INDEX(Numéros!$C$2:$C$3001,MATCH(A1775&amp;"|"&amp;B1775,Numéros!$F$2:$F$3001,0))),""))</f>
        <v/>
      </c>
      <c r="M1775" s="27" t="str">
        <f aca="false">IF(OR(G1775="",G1775="?"),"",IFERROR(INDEX(Pubs!$D$2:$D$3001,MATCH(G1775,Pubs!$A$2:$A$3001,0))&amp;"",""))</f>
        <v/>
      </c>
      <c r="N1775" s="27" t="n">
        <f aca="false">N(N1774)+IF(AND(A1775&lt;&gt;"",OR(Recherche!$C$4="",A1775=Recherche!$C$4),OR(Recherche!$C$5="",B1775&amp;""=Recherche!$C$5&amp;""),OR(Recherche!$C$6="",IFERROR(YEAR(L1775),0)=Recherche!$C$6),OR(Recherche!$C$7="",ISNUMBER(SEARCH(Recherche!$C$7,H1775))),OR(Recherche!$C$8="",J1775=Recherche!$C$8),OR(Recherche!$C$9="",I1775=Recherche!$C$9),OR(Recherche!$C$10="",G1775&amp;""=Recherche!$C$10&amp;""),OR(Recherche!$C$11="",E1775=Recherche!$C$11),OR(Recherche!$C$12="",ISNUMBER(SEARCH(Recherche!$C$12,M1775&amp;" "&amp;F1775)))),1,0)</f>
        <v>8</v>
      </c>
    </row>
    <row r="1776" customFormat="false" ht="15" hidden="false" customHeight="false" outlineLevel="0" collapsed="false">
      <c r="A1776" s="19"/>
      <c r="B1776" s="19"/>
      <c r="C1776" s="19"/>
      <c r="D1776" s="19"/>
      <c r="E1776" s="22"/>
      <c r="F1776" s="19"/>
      <c r="G1776" s="26" t="str">
        <f aca="false">IF(D1776="","",IFERROR(VALUE(LEFT(D1776,FIND(" |",D1776&amp;" |")-1)),"?"))</f>
        <v/>
      </c>
      <c r="H1776" s="27" t="str">
        <f aca="false">IF(G1776="","",IF(G1776="?","⚠ pub inconnue",IFERROR(INDEX(Pubs!$B$2:$B$3001,MATCH(G1776,Pubs!$A$2:$A$3001,0))&amp;"","⚠ pub inconnue")))</f>
        <v/>
      </c>
      <c r="I1776" s="27" t="str">
        <f aca="false">IF(OR(G1776="",G1776="?"),"",IFERROR(INDEX(Pubs!$C$2:$C$3001,MATCH(G1776,Pubs!$A$2:$A$3001,0))&amp;"",""))</f>
        <v/>
      </c>
      <c r="J1776" s="27" t="str">
        <f aca="false">IF(OR(G1776="",G1776="?"),"",IFERROR(INDEX(Pubs!$G$2:$G$3001,MATCH(G1776,Pubs!$A$2:$A$3001,0))&amp;"",""))</f>
        <v/>
      </c>
      <c r="K1776" s="28" t="str">
        <f aca="false">IF(OR(G1776="",G1776="?"),"",IFERROR(INDEX(Pubs!$E$2:$E$3001,MATCH(G1776,Pubs!$A$2:$A$3001,0)),""))</f>
        <v/>
      </c>
      <c r="L1776" s="29" t="str">
        <f aca="false">IF(A1776="","",IFERROR(1/(1/INDEX(Numéros!$C$2:$C$3001,MATCH(A1776&amp;"|"&amp;B1776,Numéros!$F$2:$F$3001,0))),""))</f>
        <v/>
      </c>
      <c r="M1776" s="27" t="str">
        <f aca="false">IF(OR(G1776="",G1776="?"),"",IFERROR(INDEX(Pubs!$D$2:$D$3001,MATCH(G1776,Pubs!$A$2:$A$3001,0))&amp;"",""))</f>
        <v/>
      </c>
      <c r="N1776" s="27" t="n">
        <f aca="false">N(N1775)+IF(AND(A1776&lt;&gt;"",OR(Recherche!$C$4="",A1776=Recherche!$C$4),OR(Recherche!$C$5="",B1776&amp;""=Recherche!$C$5&amp;""),OR(Recherche!$C$6="",IFERROR(YEAR(L1776),0)=Recherche!$C$6),OR(Recherche!$C$7="",ISNUMBER(SEARCH(Recherche!$C$7,H1776))),OR(Recherche!$C$8="",J1776=Recherche!$C$8),OR(Recherche!$C$9="",I1776=Recherche!$C$9),OR(Recherche!$C$10="",G1776&amp;""=Recherche!$C$10&amp;""),OR(Recherche!$C$11="",E1776=Recherche!$C$11),OR(Recherche!$C$12="",ISNUMBER(SEARCH(Recherche!$C$12,M1776&amp;" "&amp;F1776)))),1,0)</f>
        <v>8</v>
      </c>
    </row>
    <row r="1777" customFormat="false" ht="15" hidden="false" customHeight="false" outlineLevel="0" collapsed="false">
      <c r="A1777" s="19"/>
      <c r="B1777" s="19"/>
      <c r="C1777" s="19"/>
      <c r="D1777" s="19"/>
      <c r="E1777" s="22"/>
      <c r="F1777" s="19"/>
      <c r="G1777" s="26" t="str">
        <f aca="false">IF(D1777="","",IFERROR(VALUE(LEFT(D1777,FIND(" |",D1777&amp;" |")-1)),"?"))</f>
        <v/>
      </c>
      <c r="H1777" s="27" t="str">
        <f aca="false">IF(G1777="","",IF(G1777="?","⚠ pub inconnue",IFERROR(INDEX(Pubs!$B$2:$B$3001,MATCH(G1777,Pubs!$A$2:$A$3001,0))&amp;"","⚠ pub inconnue")))</f>
        <v/>
      </c>
      <c r="I1777" s="27" t="str">
        <f aca="false">IF(OR(G1777="",G1777="?"),"",IFERROR(INDEX(Pubs!$C$2:$C$3001,MATCH(G1777,Pubs!$A$2:$A$3001,0))&amp;"",""))</f>
        <v/>
      </c>
      <c r="J1777" s="27" t="str">
        <f aca="false">IF(OR(G1777="",G1777="?"),"",IFERROR(INDEX(Pubs!$G$2:$G$3001,MATCH(G1777,Pubs!$A$2:$A$3001,0))&amp;"",""))</f>
        <v/>
      </c>
      <c r="K1777" s="28" t="str">
        <f aca="false">IF(OR(G1777="",G1777="?"),"",IFERROR(INDEX(Pubs!$E$2:$E$3001,MATCH(G1777,Pubs!$A$2:$A$3001,0)),""))</f>
        <v/>
      </c>
      <c r="L1777" s="29" t="str">
        <f aca="false">IF(A1777="","",IFERROR(1/(1/INDEX(Numéros!$C$2:$C$3001,MATCH(A1777&amp;"|"&amp;B1777,Numéros!$F$2:$F$3001,0))),""))</f>
        <v/>
      </c>
      <c r="M1777" s="27" t="str">
        <f aca="false">IF(OR(G1777="",G1777="?"),"",IFERROR(INDEX(Pubs!$D$2:$D$3001,MATCH(G1777,Pubs!$A$2:$A$3001,0))&amp;"",""))</f>
        <v/>
      </c>
      <c r="N1777" s="27" t="n">
        <f aca="false">N(N1776)+IF(AND(A1777&lt;&gt;"",OR(Recherche!$C$4="",A1777=Recherche!$C$4),OR(Recherche!$C$5="",B1777&amp;""=Recherche!$C$5&amp;""),OR(Recherche!$C$6="",IFERROR(YEAR(L1777),0)=Recherche!$C$6),OR(Recherche!$C$7="",ISNUMBER(SEARCH(Recherche!$C$7,H1777))),OR(Recherche!$C$8="",J1777=Recherche!$C$8),OR(Recherche!$C$9="",I1777=Recherche!$C$9),OR(Recherche!$C$10="",G1777&amp;""=Recherche!$C$10&amp;""),OR(Recherche!$C$11="",E1777=Recherche!$C$11),OR(Recherche!$C$12="",ISNUMBER(SEARCH(Recherche!$C$12,M1777&amp;" "&amp;F1777)))),1,0)</f>
        <v>8</v>
      </c>
    </row>
    <row r="1778" customFormat="false" ht="15" hidden="false" customHeight="false" outlineLevel="0" collapsed="false">
      <c r="A1778" s="19"/>
      <c r="B1778" s="19"/>
      <c r="C1778" s="19"/>
      <c r="D1778" s="19"/>
      <c r="E1778" s="22"/>
      <c r="F1778" s="19"/>
      <c r="G1778" s="26" t="str">
        <f aca="false">IF(D1778="","",IFERROR(VALUE(LEFT(D1778,FIND(" |",D1778&amp;" |")-1)),"?"))</f>
        <v/>
      </c>
      <c r="H1778" s="27" t="str">
        <f aca="false">IF(G1778="","",IF(G1778="?","⚠ pub inconnue",IFERROR(INDEX(Pubs!$B$2:$B$3001,MATCH(G1778,Pubs!$A$2:$A$3001,0))&amp;"","⚠ pub inconnue")))</f>
        <v/>
      </c>
      <c r="I1778" s="27" t="str">
        <f aca="false">IF(OR(G1778="",G1778="?"),"",IFERROR(INDEX(Pubs!$C$2:$C$3001,MATCH(G1778,Pubs!$A$2:$A$3001,0))&amp;"",""))</f>
        <v/>
      </c>
      <c r="J1778" s="27" t="str">
        <f aca="false">IF(OR(G1778="",G1778="?"),"",IFERROR(INDEX(Pubs!$G$2:$G$3001,MATCH(G1778,Pubs!$A$2:$A$3001,0))&amp;"",""))</f>
        <v/>
      </c>
      <c r="K1778" s="28" t="str">
        <f aca="false">IF(OR(G1778="",G1778="?"),"",IFERROR(INDEX(Pubs!$E$2:$E$3001,MATCH(G1778,Pubs!$A$2:$A$3001,0)),""))</f>
        <v/>
      </c>
      <c r="L1778" s="29" t="str">
        <f aca="false">IF(A1778="","",IFERROR(1/(1/INDEX(Numéros!$C$2:$C$3001,MATCH(A1778&amp;"|"&amp;B1778,Numéros!$F$2:$F$3001,0))),""))</f>
        <v/>
      </c>
      <c r="M1778" s="27" t="str">
        <f aca="false">IF(OR(G1778="",G1778="?"),"",IFERROR(INDEX(Pubs!$D$2:$D$3001,MATCH(G1778,Pubs!$A$2:$A$3001,0))&amp;"",""))</f>
        <v/>
      </c>
      <c r="N1778" s="27" t="n">
        <f aca="false">N(N1777)+IF(AND(A1778&lt;&gt;"",OR(Recherche!$C$4="",A1778=Recherche!$C$4),OR(Recherche!$C$5="",B1778&amp;""=Recherche!$C$5&amp;""),OR(Recherche!$C$6="",IFERROR(YEAR(L1778),0)=Recherche!$C$6),OR(Recherche!$C$7="",ISNUMBER(SEARCH(Recherche!$C$7,H1778))),OR(Recherche!$C$8="",J1778=Recherche!$C$8),OR(Recherche!$C$9="",I1778=Recherche!$C$9),OR(Recherche!$C$10="",G1778&amp;""=Recherche!$C$10&amp;""),OR(Recherche!$C$11="",E1778=Recherche!$C$11),OR(Recherche!$C$12="",ISNUMBER(SEARCH(Recherche!$C$12,M1778&amp;" "&amp;F1778)))),1,0)</f>
        <v>8</v>
      </c>
    </row>
    <row r="1779" customFormat="false" ht="15" hidden="false" customHeight="false" outlineLevel="0" collapsed="false">
      <c r="A1779" s="19"/>
      <c r="B1779" s="19"/>
      <c r="C1779" s="19"/>
      <c r="D1779" s="19"/>
      <c r="E1779" s="22"/>
      <c r="F1779" s="19"/>
      <c r="G1779" s="26" t="str">
        <f aca="false">IF(D1779="","",IFERROR(VALUE(LEFT(D1779,FIND(" |",D1779&amp;" |")-1)),"?"))</f>
        <v/>
      </c>
      <c r="H1779" s="27" t="str">
        <f aca="false">IF(G1779="","",IF(G1779="?","⚠ pub inconnue",IFERROR(INDEX(Pubs!$B$2:$B$3001,MATCH(G1779,Pubs!$A$2:$A$3001,0))&amp;"","⚠ pub inconnue")))</f>
        <v/>
      </c>
      <c r="I1779" s="27" t="str">
        <f aca="false">IF(OR(G1779="",G1779="?"),"",IFERROR(INDEX(Pubs!$C$2:$C$3001,MATCH(G1779,Pubs!$A$2:$A$3001,0))&amp;"",""))</f>
        <v/>
      </c>
      <c r="J1779" s="27" t="str">
        <f aca="false">IF(OR(G1779="",G1779="?"),"",IFERROR(INDEX(Pubs!$G$2:$G$3001,MATCH(G1779,Pubs!$A$2:$A$3001,0))&amp;"",""))</f>
        <v/>
      </c>
      <c r="K1779" s="28" t="str">
        <f aca="false">IF(OR(G1779="",G1779="?"),"",IFERROR(INDEX(Pubs!$E$2:$E$3001,MATCH(G1779,Pubs!$A$2:$A$3001,0)),""))</f>
        <v/>
      </c>
      <c r="L1779" s="29" t="str">
        <f aca="false">IF(A1779="","",IFERROR(1/(1/INDEX(Numéros!$C$2:$C$3001,MATCH(A1779&amp;"|"&amp;B1779,Numéros!$F$2:$F$3001,0))),""))</f>
        <v/>
      </c>
      <c r="M1779" s="27" t="str">
        <f aca="false">IF(OR(G1779="",G1779="?"),"",IFERROR(INDEX(Pubs!$D$2:$D$3001,MATCH(G1779,Pubs!$A$2:$A$3001,0))&amp;"",""))</f>
        <v/>
      </c>
      <c r="N1779" s="27" t="n">
        <f aca="false">N(N1778)+IF(AND(A1779&lt;&gt;"",OR(Recherche!$C$4="",A1779=Recherche!$C$4),OR(Recherche!$C$5="",B1779&amp;""=Recherche!$C$5&amp;""),OR(Recherche!$C$6="",IFERROR(YEAR(L1779),0)=Recherche!$C$6),OR(Recherche!$C$7="",ISNUMBER(SEARCH(Recherche!$C$7,H1779))),OR(Recherche!$C$8="",J1779=Recherche!$C$8),OR(Recherche!$C$9="",I1779=Recherche!$C$9),OR(Recherche!$C$10="",G1779&amp;""=Recherche!$C$10&amp;""),OR(Recherche!$C$11="",E1779=Recherche!$C$11),OR(Recherche!$C$12="",ISNUMBER(SEARCH(Recherche!$C$12,M1779&amp;" "&amp;F1779)))),1,0)</f>
        <v>8</v>
      </c>
    </row>
    <row r="1780" customFormat="false" ht="15" hidden="false" customHeight="false" outlineLevel="0" collapsed="false">
      <c r="A1780" s="19"/>
      <c r="B1780" s="19"/>
      <c r="C1780" s="19"/>
      <c r="D1780" s="19"/>
      <c r="E1780" s="22"/>
      <c r="F1780" s="19"/>
      <c r="G1780" s="26" t="str">
        <f aca="false">IF(D1780="","",IFERROR(VALUE(LEFT(D1780,FIND(" |",D1780&amp;" |")-1)),"?"))</f>
        <v/>
      </c>
      <c r="H1780" s="27" t="str">
        <f aca="false">IF(G1780="","",IF(G1780="?","⚠ pub inconnue",IFERROR(INDEX(Pubs!$B$2:$B$3001,MATCH(G1780,Pubs!$A$2:$A$3001,0))&amp;"","⚠ pub inconnue")))</f>
        <v/>
      </c>
      <c r="I1780" s="27" t="str">
        <f aca="false">IF(OR(G1780="",G1780="?"),"",IFERROR(INDEX(Pubs!$C$2:$C$3001,MATCH(G1780,Pubs!$A$2:$A$3001,0))&amp;"",""))</f>
        <v/>
      </c>
      <c r="J1780" s="27" t="str">
        <f aca="false">IF(OR(G1780="",G1780="?"),"",IFERROR(INDEX(Pubs!$G$2:$G$3001,MATCH(G1780,Pubs!$A$2:$A$3001,0))&amp;"",""))</f>
        <v/>
      </c>
      <c r="K1780" s="28" t="str">
        <f aca="false">IF(OR(G1780="",G1780="?"),"",IFERROR(INDEX(Pubs!$E$2:$E$3001,MATCH(G1780,Pubs!$A$2:$A$3001,0)),""))</f>
        <v/>
      </c>
      <c r="L1780" s="29" t="str">
        <f aca="false">IF(A1780="","",IFERROR(1/(1/INDEX(Numéros!$C$2:$C$3001,MATCH(A1780&amp;"|"&amp;B1780,Numéros!$F$2:$F$3001,0))),""))</f>
        <v/>
      </c>
      <c r="M1780" s="27" t="str">
        <f aca="false">IF(OR(G1780="",G1780="?"),"",IFERROR(INDEX(Pubs!$D$2:$D$3001,MATCH(G1780,Pubs!$A$2:$A$3001,0))&amp;"",""))</f>
        <v/>
      </c>
      <c r="N1780" s="27" t="n">
        <f aca="false">N(N1779)+IF(AND(A1780&lt;&gt;"",OR(Recherche!$C$4="",A1780=Recherche!$C$4),OR(Recherche!$C$5="",B1780&amp;""=Recherche!$C$5&amp;""),OR(Recherche!$C$6="",IFERROR(YEAR(L1780),0)=Recherche!$C$6),OR(Recherche!$C$7="",ISNUMBER(SEARCH(Recherche!$C$7,H1780))),OR(Recherche!$C$8="",J1780=Recherche!$C$8),OR(Recherche!$C$9="",I1780=Recherche!$C$9),OR(Recherche!$C$10="",G1780&amp;""=Recherche!$C$10&amp;""),OR(Recherche!$C$11="",E1780=Recherche!$C$11),OR(Recherche!$C$12="",ISNUMBER(SEARCH(Recherche!$C$12,M1780&amp;" "&amp;F1780)))),1,0)</f>
        <v>8</v>
      </c>
    </row>
    <row r="1781" customFormat="false" ht="15" hidden="false" customHeight="false" outlineLevel="0" collapsed="false">
      <c r="A1781" s="19"/>
      <c r="B1781" s="19"/>
      <c r="C1781" s="19"/>
      <c r="D1781" s="19"/>
      <c r="E1781" s="22"/>
      <c r="F1781" s="19"/>
      <c r="G1781" s="26" t="str">
        <f aca="false">IF(D1781="","",IFERROR(VALUE(LEFT(D1781,FIND(" |",D1781&amp;" |")-1)),"?"))</f>
        <v/>
      </c>
      <c r="H1781" s="27" t="str">
        <f aca="false">IF(G1781="","",IF(G1781="?","⚠ pub inconnue",IFERROR(INDEX(Pubs!$B$2:$B$3001,MATCH(G1781,Pubs!$A$2:$A$3001,0))&amp;"","⚠ pub inconnue")))</f>
        <v/>
      </c>
      <c r="I1781" s="27" t="str">
        <f aca="false">IF(OR(G1781="",G1781="?"),"",IFERROR(INDEX(Pubs!$C$2:$C$3001,MATCH(G1781,Pubs!$A$2:$A$3001,0))&amp;"",""))</f>
        <v/>
      </c>
      <c r="J1781" s="27" t="str">
        <f aca="false">IF(OR(G1781="",G1781="?"),"",IFERROR(INDEX(Pubs!$G$2:$G$3001,MATCH(G1781,Pubs!$A$2:$A$3001,0))&amp;"",""))</f>
        <v/>
      </c>
      <c r="K1781" s="28" t="str">
        <f aca="false">IF(OR(G1781="",G1781="?"),"",IFERROR(INDEX(Pubs!$E$2:$E$3001,MATCH(G1781,Pubs!$A$2:$A$3001,0)),""))</f>
        <v/>
      </c>
      <c r="L1781" s="29" t="str">
        <f aca="false">IF(A1781="","",IFERROR(1/(1/INDEX(Numéros!$C$2:$C$3001,MATCH(A1781&amp;"|"&amp;B1781,Numéros!$F$2:$F$3001,0))),""))</f>
        <v/>
      </c>
      <c r="M1781" s="27" t="str">
        <f aca="false">IF(OR(G1781="",G1781="?"),"",IFERROR(INDEX(Pubs!$D$2:$D$3001,MATCH(G1781,Pubs!$A$2:$A$3001,0))&amp;"",""))</f>
        <v/>
      </c>
      <c r="N1781" s="27" t="n">
        <f aca="false">N(N1780)+IF(AND(A1781&lt;&gt;"",OR(Recherche!$C$4="",A1781=Recherche!$C$4),OR(Recherche!$C$5="",B1781&amp;""=Recherche!$C$5&amp;""),OR(Recherche!$C$6="",IFERROR(YEAR(L1781),0)=Recherche!$C$6),OR(Recherche!$C$7="",ISNUMBER(SEARCH(Recherche!$C$7,H1781))),OR(Recherche!$C$8="",J1781=Recherche!$C$8),OR(Recherche!$C$9="",I1781=Recherche!$C$9),OR(Recherche!$C$10="",G1781&amp;""=Recherche!$C$10&amp;""),OR(Recherche!$C$11="",E1781=Recherche!$C$11),OR(Recherche!$C$12="",ISNUMBER(SEARCH(Recherche!$C$12,M1781&amp;" "&amp;F1781)))),1,0)</f>
        <v>8</v>
      </c>
    </row>
    <row r="1782" customFormat="false" ht="15" hidden="false" customHeight="false" outlineLevel="0" collapsed="false">
      <c r="A1782" s="19"/>
      <c r="B1782" s="19"/>
      <c r="C1782" s="19"/>
      <c r="D1782" s="19"/>
      <c r="E1782" s="22"/>
      <c r="F1782" s="19"/>
      <c r="G1782" s="26" t="str">
        <f aca="false">IF(D1782="","",IFERROR(VALUE(LEFT(D1782,FIND(" |",D1782&amp;" |")-1)),"?"))</f>
        <v/>
      </c>
      <c r="H1782" s="27" t="str">
        <f aca="false">IF(G1782="","",IF(G1782="?","⚠ pub inconnue",IFERROR(INDEX(Pubs!$B$2:$B$3001,MATCH(G1782,Pubs!$A$2:$A$3001,0))&amp;"","⚠ pub inconnue")))</f>
        <v/>
      </c>
      <c r="I1782" s="27" t="str">
        <f aca="false">IF(OR(G1782="",G1782="?"),"",IFERROR(INDEX(Pubs!$C$2:$C$3001,MATCH(G1782,Pubs!$A$2:$A$3001,0))&amp;"",""))</f>
        <v/>
      </c>
      <c r="J1782" s="27" t="str">
        <f aca="false">IF(OR(G1782="",G1782="?"),"",IFERROR(INDEX(Pubs!$G$2:$G$3001,MATCH(G1782,Pubs!$A$2:$A$3001,0))&amp;"",""))</f>
        <v/>
      </c>
      <c r="K1782" s="28" t="str">
        <f aca="false">IF(OR(G1782="",G1782="?"),"",IFERROR(INDEX(Pubs!$E$2:$E$3001,MATCH(G1782,Pubs!$A$2:$A$3001,0)),""))</f>
        <v/>
      </c>
      <c r="L1782" s="29" t="str">
        <f aca="false">IF(A1782="","",IFERROR(1/(1/INDEX(Numéros!$C$2:$C$3001,MATCH(A1782&amp;"|"&amp;B1782,Numéros!$F$2:$F$3001,0))),""))</f>
        <v/>
      </c>
      <c r="M1782" s="27" t="str">
        <f aca="false">IF(OR(G1782="",G1782="?"),"",IFERROR(INDEX(Pubs!$D$2:$D$3001,MATCH(G1782,Pubs!$A$2:$A$3001,0))&amp;"",""))</f>
        <v/>
      </c>
      <c r="N1782" s="27" t="n">
        <f aca="false">N(N1781)+IF(AND(A1782&lt;&gt;"",OR(Recherche!$C$4="",A1782=Recherche!$C$4),OR(Recherche!$C$5="",B1782&amp;""=Recherche!$C$5&amp;""),OR(Recherche!$C$6="",IFERROR(YEAR(L1782),0)=Recherche!$C$6),OR(Recherche!$C$7="",ISNUMBER(SEARCH(Recherche!$C$7,H1782))),OR(Recherche!$C$8="",J1782=Recherche!$C$8),OR(Recherche!$C$9="",I1782=Recherche!$C$9),OR(Recherche!$C$10="",G1782&amp;""=Recherche!$C$10&amp;""),OR(Recherche!$C$11="",E1782=Recherche!$C$11),OR(Recherche!$C$12="",ISNUMBER(SEARCH(Recherche!$C$12,M1782&amp;" "&amp;F1782)))),1,0)</f>
        <v>8</v>
      </c>
    </row>
    <row r="1783" customFormat="false" ht="15" hidden="false" customHeight="false" outlineLevel="0" collapsed="false">
      <c r="A1783" s="19"/>
      <c r="B1783" s="19"/>
      <c r="C1783" s="19"/>
      <c r="D1783" s="19"/>
      <c r="E1783" s="22"/>
      <c r="F1783" s="19"/>
      <c r="G1783" s="26" t="str">
        <f aca="false">IF(D1783="","",IFERROR(VALUE(LEFT(D1783,FIND(" |",D1783&amp;" |")-1)),"?"))</f>
        <v/>
      </c>
      <c r="H1783" s="27" t="str">
        <f aca="false">IF(G1783="","",IF(G1783="?","⚠ pub inconnue",IFERROR(INDEX(Pubs!$B$2:$B$3001,MATCH(G1783,Pubs!$A$2:$A$3001,0))&amp;"","⚠ pub inconnue")))</f>
        <v/>
      </c>
      <c r="I1783" s="27" t="str">
        <f aca="false">IF(OR(G1783="",G1783="?"),"",IFERROR(INDEX(Pubs!$C$2:$C$3001,MATCH(G1783,Pubs!$A$2:$A$3001,0))&amp;"",""))</f>
        <v/>
      </c>
      <c r="J1783" s="27" t="str">
        <f aca="false">IF(OR(G1783="",G1783="?"),"",IFERROR(INDEX(Pubs!$G$2:$G$3001,MATCH(G1783,Pubs!$A$2:$A$3001,0))&amp;"",""))</f>
        <v/>
      </c>
      <c r="K1783" s="28" t="str">
        <f aca="false">IF(OR(G1783="",G1783="?"),"",IFERROR(INDEX(Pubs!$E$2:$E$3001,MATCH(G1783,Pubs!$A$2:$A$3001,0)),""))</f>
        <v/>
      </c>
      <c r="L1783" s="29" t="str">
        <f aca="false">IF(A1783="","",IFERROR(1/(1/INDEX(Numéros!$C$2:$C$3001,MATCH(A1783&amp;"|"&amp;B1783,Numéros!$F$2:$F$3001,0))),""))</f>
        <v/>
      </c>
      <c r="M1783" s="27" t="str">
        <f aca="false">IF(OR(G1783="",G1783="?"),"",IFERROR(INDEX(Pubs!$D$2:$D$3001,MATCH(G1783,Pubs!$A$2:$A$3001,0))&amp;"",""))</f>
        <v/>
      </c>
      <c r="N1783" s="27" t="n">
        <f aca="false">N(N1782)+IF(AND(A1783&lt;&gt;"",OR(Recherche!$C$4="",A1783=Recherche!$C$4),OR(Recherche!$C$5="",B1783&amp;""=Recherche!$C$5&amp;""),OR(Recherche!$C$6="",IFERROR(YEAR(L1783),0)=Recherche!$C$6),OR(Recherche!$C$7="",ISNUMBER(SEARCH(Recherche!$C$7,H1783))),OR(Recherche!$C$8="",J1783=Recherche!$C$8),OR(Recherche!$C$9="",I1783=Recherche!$C$9),OR(Recherche!$C$10="",G1783&amp;""=Recherche!$C$10&amp;""),OR(Recherche!$C$11="",E1783=Recherche!$C$11),OR(Recherche!$C$12="",ISNUMBER(SEARCH(Recherche!$C$12,M1783&amp;" "&amp;F1783)))),1,0)</f>
        <v>8</v>
      </c>
    </row>
    <row r="1784" customFormat="false" ht="15" hidden="false" customHeight="false" outlineLevel="0" collapsed="false">
      <c r="A1784" s="19"/>
      <c r="B1784" s="19"/>
      <c r="C1784" s="19"/>
      <c r="D1784" s="19"/>
      <c r="E1784" s="22"/>
      <c r="F1784" s="19"/>
      <c r="G1784" s="26" t="str">
        <f aca="false">IF(D1784="","",IFERROR(VALUE(LEFT(D1784,FIND(" |",D1784&amp;" |")-1)),"?"))</f>
        <v/>
      </c>
      <c r="H1784" s="27" t="str">
        <f aca="false">IF(G1784="","",IF(G1784="?","⚠ pub inconnue",IFERROR(INDEX(Pubs!$B$2:$B$3001,MATCH(G1784,Pubs!$A$2:$A$3001,0))&amp;"","⚠ pub inconnue")))</f>
        <v/>
      </c>
      <c r="I1784" s="27" t="str">
        <f aca="false">IF(OR(G1784="",G1784="?"),"",IFERROR(INDEX(Pubs!$C$2:$C$3001,MATCH(G1784,Pubs!$A$2:$A$3001,0))&amp;"",""))</f>
        <v/>
      </c>
      <c r="J1784" s="27" t="str">
        <f aca="false">IF(OR(G1784="",G1784="?"),"",IFERROR(INDEX(Pubs!$G$2:$G$3001,MATCH(G1784,Pubs!$A$2:$A$3001,0))&amp;"",""))</f>
        <v/>
      </c>
      <c r="K1784" s="28" t="str">
        <f aca="false">IF(OR(G1784="",G1784="?"),"",IFERROR(INDEX(Pubs!$E$2:$E$3001,MATCH(G1784,Pubs!$A$2:$A$3001,0)),""))</f>
        <v/>
      </c>
      <c r="L1784" s="29" t="str">
        <f aca="false">IF(A1784="","",IFERROR(1/(1/INDEX(Numéros!$C$2:$C$3001,MATCH(A1784&amp;"|"&amp;B1784,Numéros!$F$2:$F$3001,0))),""))</f>
        <v/>
      </c>
      <c r="M1784" s="27" t="str">
        <f aca="false">IF(OR(G1784="",G1784="?"),"",IFERROR(INDEX(Pubs!$D$2:$D$3001,MATCH(G1784,Pubs!$A$2:$A$3001,0))&amp;"",""))</f>
        <v/>
      </c>
      <c r="N1784" s="27" t="n">
        <f aca="false">N(N1783)+IF(AND(A1784&lt;&gt;"",OR(Recherche!$C$4="",A1784=Recherche!$C$4),OR(Recherche!$C$5="",B1784&amp;""=Recherche!$C$5&amp;""),OR(Recherche!$C$6="",IFERROR(YEAR(L1784),0)=Recherche!$C$6),OR(Recherche!$C$7="",ISNUMBER(SEARCH(Recherche!$C$7,H1784))),OR(Recherche!$C$8="",J1784=Recherche!$C$8),OR(Recherche!$C$9="",I1784=Recherche!$C$9),OR(Recherche!$C$10="",G1784&amp;""=Recherche!$C$10&amp;""),OR(Recherche!$C$11="",E1784=Recherche!$C$11),OR(Recherche!$C$12="",ISNUMBER(SEARCH(Recherche!$C$12,M1784&amp;" "&amp;F1784)))),1,0)</f>
        <v>8</v>
      </c>
    </row>
    <row r="1785" customFormat="false" ht="15" hidden="false" customHeight="false" outlineLevel="0" collapsed="false">
      <c r="A1785" s="19"/>
      <c r="B1785" s="19"/>
      <c r="C1785" s="19"/>
      <c r="D1785" s="19"/>
      <c r="E1785" s="22"/>
      <c r="F1785" s="19"/>
      <c r="G1785" s="26" t="str">
        <f aca="false">IF(D1785="","",IFERROR(VALUE(LEFT(D1785,FIND(" |",D1785&amp;" |")-1)),"?"))</f>
        <v/>
      </c>
      <c r="H1785" s="27" t="str">
        <f aca="false">IF(G1785="","",IF(G1785="?","⚠ pub inconnue",IFERROR(INDEX(Pubs!$B$2:$B$3001,MATCH(G1785,Pubs!$A$2:$A$3001,0))&amp;"","⚠ pub inconnue")))</f>
        <v/>
      </c>
      <c r="I1785" s="27" t="str">
        <f aca="false">IF(OR(G1785="",G1785="?"),"",IFERROR(INDEX(Pubs!$C$2:$C$3001,MATCH(G1785,Pubs!$A$2:$A$3001,0))&amp;"",""))</f>
        <v/>
      </c>
      <c r="J1785" s="27" t="str">
        <f aca="false">IF(OR(G1785="",G1785="?"),"",IFERROR(INDEX(Pubs!$G$2:$G$3001,MATCH(G1785,Pubs!$A$2:$A$3001,0))&amp;"",""))</f>
        <v/>
      </c>
      <c r="K1785" s="28" t="str">
        <f aca="false">IF(OR(G1785="",G1785="?"),"",IFERROR(INDEX(Pubs!$E$2:$E$3001,MATCH(G1785,Pubs!$A$2:$A$3001,0)),""))</f>
        <v/>
      </c>
      <c r="L1785" s="29" t="str">
        <f aca="false">IF(A1785="","",IFERROR(1/(1/INDEX(Numéros!$C$2:$C$3001,MATCH(A1785&amp;"|"&amp;B1785,Numéros!$F$2:$F$3001,0))),""))</f>
        <v/>
      </c>
      <c r="M1785" s="27" t="str">
        <f aca="false">IF(OR(G1785="",G1785="?"),"",IFERROR(INDEX(Pubs!$D$2:$D$3001,MATCH(G1785,Pubs!$A$2:$A$3001,0))&amp;"",""))</f>
        <v/>
      </c>
      <c r="N1785" s="27" t="n">
        <f aca="false">N(N1784)+IF(AND(A1785&lt;&gt;"",OR(Recherche!$C$4="",A1785=Recherche!$C$4),OR(Recherche!$C$5="",B1785&amp;""=Recherche!$C$5&amp;""),OR(Recherche!$C$6="",IFERROR(YEAR(L1785),0)=Recherche!$C$6),OR(Recherche!$C$7="",ISNUMBER(SEARCH(Recherche!$C$7,H1785))),OR(Recherche!$C$8="",J1785=Recherche!$C$8),OR(Recherche!$C$9="",I1785=Recherche!$C$9),OR(Recherche!$C$10="",G1785&amp;""=Recherche!$C$10&amp;""),OR(Recherche!$C$11="",E1785=Recherche!$C$11),OR(Recherche!$C$12="",ISNUMBER(SEARCH(Recherche!$C$12,M1785&amp;" "&amp;F1785)))),1,0)</f>
        <v>8</v>
      </c>
    </row>
    <row r="1786" customFormat="false" ht="15" hidden="false" customHeight="false" outlineLevel="0" collapsed="false">
      <c r="A1786" s="19"/>
      <c r="B1786" s="19"/>
      <c r="C1786" s="19"/>
      <c r="D1786" s="19"/>
      <c r="E1786" s="22"/>
      <c r="F1786" s="19"/>
      <c r="G1786" s="26" t="str">
        <f aca="false">IF(D1786="","",IFERROR(VALUE(LEFT(D1786,FIND(" |",D1786&amp;" |")-1)),"?"))</f>
        <v/>
      </c>
      <c r="H1786" s="27" t="str">
        <f aca="false">IF(G1786="","",IF(G1786="?","⚠ pub inconnue",IFERROR(INDEX(Pubs!$B$2:$B$3001,MATCH(G1786,Pubs!$A$2:$A$3001,0))&amp;"","⚠ pub inconnue")))</f>
        <v/>
      </c>
      <c r="I1786" s="27" t="str">
        <f aca="false">IF(OR(G1786="",G1786="?"),"",IFERROR(INDEX(Pubs!$C$2:$C$3001,MATCH(G1786,Pubs!$A$2:$A$3001,0))&amp;"",""))</f>
        <v/>
      </c>
      <c r="J1786" s="27" t="str">
        <f aca="false">IF(OR(G1786="",G1786="?"),"",IFERROR(INDEX(Pubs!$G$2:$G$3001,MATCH(G1786,Pubs!$A$2:$A$3001,0))&amp;"",""))</f>
        <v/>
      </c>
      <c r="K1786" s="28" t="str">
        <f aca="false">IF(OR(G1786="",G1786="?"),"",IFERROR(INDEX(Pubs!$E$2:$E$3001,MATCH(G1786,Pubs!$A$2:$A$3001,0)),""))</f>
        <v/>
      </c>
      <c r="L1786" s="29" t="str">
        <f aca="false">IF(A1786="","",IFERROR(1/(1/INDEX(Numéros!$C$2:$C$3001,MATCH(A1786&amp;"|"&amp;B1786,Numéros!$F$2:$F$3001,0))),""))</f>
        <v/>
      </c>
      <c r="M1786" s="27" t="str">
        <f aca="false">IF(OR(G1786="",G1786="?"),"",IFERROR(INDEX(Pubs!$D$2:$D$3001,MATCH(G1786,Pubs!$A$2:$A$3001,0))&amp;"",""))</f>
        <v/>
      </c>
      <c r="N1786" s="27" t="n">
        <f aca="false">N(N1785)+IF(AND(A1786&lt;&gt;"",OR(Recherche!$C$4="",A1786=Recherche!$C$4),OR(Recherche!$C$5="",B1786&amp;""=Recherche!$C$5&amp;""),OR(Recherche!$C$6="",IFERROR(YEAR(L1786),0)=Recherche!$C$6),OR(Recherche!$C$7="",ISNUMBER(SEARCH(Recherche!$C$7,H1786))),OR(Recherche!$C$8="",J1786=Recherche!$C$8),OR(Recherche!$C$9="",I1786=Recherche!$C$9),OR(Recherche!$C$10="",G1786&amp;""=Recherche!$C$10&amp;""),OR(Recherche!$C$11="",E1786=Recherche!$C$11),OR(Recherche!$C$12="",ISNUMBER(SEARCH(Recherche!$C$12,M1786&amp;" "&amp;F1786)))),1,0)</f>
        <v>8</v>
      </c>
    </row>
    <row r="1787" customFormat="false" ht="15" hidden="false" customHeight="false" outlineLevel="0" collapsed="false">
      <c r="A1787" s="19"/>
      <c r="B1787" s="19"/>
      <c r="C1787" s="19"/>
      <c r="D1787" s="19"/>
      <c r="E1787" s="22"/>
      <c r="F1787" s="19"/>
      <c r="G1787" s="26" t="str">
        <f aca="false">IF(D1787="","",IFERROR(VALUE(LEFT(D1787,FIND(" |",D1787&amp;" |")-1)),"?"))</f>
        <v/>
      </c>
      <c r="H1787" s="27" t="str">
        <f aca="false">IF(G1787="","",IF(G1787="?","⚠ pub inconnue",IFERROR(INDEX(Pubs!$B$2:$B$3001,MATCH(G1787,Pubs!$A$2:$A$3001,0))&amp;"","⚠ pub inconnue")))</f>
        <v/>
      </c>
      <c r="I1787" s="27" t="str">
        <f aca="false">IF(OR(G1787="",G1787="?"),"",IFERROR(INDEX(Pubs!$C$2:$C$3001,MATCH(G1787,Pubs!$A$2:$A$3001,0))&amp;"",""))</f>
        <v/>
      </c>
      <c r="J1787" s="27" t="str">
        <f aca="false">IF(OR(G1787="",G1787="?"),"",IFERROR(INDEX(Pubs!$G$2:$G$3001,MATCH(G1787,Pubs!$A$2:$A$3001,0))&amp;"",""))</f>
        <v/>
      </c>
      <c r="K1787" s="28" t="str">
        <f aca="false">IF(OR(G1787="",G1787="?"),"",IFERROR(INDEX(Pubs!$E$2:$E$3001,MATCH(G1787,Pubs!$A$2:$A$3001,0)),""))</f>
        <v/>
      </c>
      <c r="L1787" s="29" t="str">
        <f aca="false">IF(A1787="","",IFERROR(1/(1/INDEX(Numéros!$C$2:$C$3001,MATCH(A1787&amp;"|"&amp;B1787,Numéros!$F$2:$F$3001,0))),""))</f>
        <v/>
      </c>
      <c r="M1787" s="27" t="str">
        <f aca="false">IF(OR(G1787="",G1787="?"),"",IFERROR(INDEX(Pubs!$D$2:$D$3001,MATCH(G1787,Pubs!$A$2:$A$3001,0))&amp;"",""))</f>
        <v/>
      </c>
      <c r="N1787" s="27" t="n">
        <f aca="false">N(N1786)+IF(AND(A1787&lt;&gt;"",OR(Recherche!$C$4="",A1787=Recherche!$C$4),OR(Recherche!$C$5="",B1787&amp;""=Recherche!$C$5&amp;""),OR(Recherche!$C$6="",IFERROR(YEAR(L1787),0)=Recherche!$C$6),OR(Recherche!$C$7="",ISNUMBER(SEARCH(Recherche!$C$7,H1787))),OR(Recherche!$C$8="",J1787=Recherche!$C$8),OR(Recherche!$C$9="",I1787=Recherche!$C$9),OR(Recherche!$C$10="",G1787&amp;""=Recherche!$C$10&amp;""),OR(Recherche!$C$11="",E1787=Recherche!$C$11),OR(Recherche!$C$12="",ISNUMBER(SEARCH(Recherche!$C$12,M1787&amp;" "&amp;F1787)))),1,0)</f>
        <v>8</v>
      </c>
    </row>
    <row r="1788" customFormat="false" ht="15" hidden="false" customHeight="false" outlineLevel="0" collapsed="false">
      <c r="A1788" s="19"/>
      <c r="B1788" s="19"/>
      <c r="C1788" s="19"/>
      <c r="D1788" s="19"/>
      <c r="E1788" s="22"/>
      <c r="F1788" s="19"/>
      <c r="G1788" s="26" t="str">
        <f aca="false">IF(D1788="","",IFERROR(VALUE(LEFT(D1788,FIND(" |",D1788&amp;" |")-1)),"?"))</f>
        <v/>
      </c>
      <c r="H1788" s="27" t="str">
        <f aca="false">IF(G1788="","",IF(G1788="?","⚠ pub inconnue",IFERROR(INDEX(Pubs!$B$2:$B$3001,MATCH(G1788,Pubs!$A$2:$A$3001,0))&amp;"","⚠ pub inconnue")))</f>
        <v/>
      </c>
      <c r="I1788" s="27" t="str">
        <f aca="false">IF(OR(G1788="",G1788="?"),"",IFERROR(INDEX(Pubs!$C$2:$C$3001,MATCH(G1788,Pubs!$A$2:$A$3001,0))&amp;"",""))</f>
        <v/>
      </c>
      <c r="J1788" s="27" t="str">
        <f aca="false">IF(OR(G1788="",G1788="?"),"",IFERROR(INDEX(Pubs!$G$2:$G$3001,MATCH(G1788,Pubs!$A$2:$A$3001,0))&amp;"",""))</f>
        <v/>
      </c>
      <c r="K1788" s="28" t="str">
        <f aca="false">IF(OR(G1788="",G1788="?"),"",IFERROR(INDEX(Pubs!$E$2:$E$3001,MATCH(G1788,Pubs!$A$2:$A$3001,0)),""))</f>
        <v/>
      </c>
      <c r="L1788" s="29" t="str">
        <f aca="false">IF(A1788="","",IFERROR(1/(1/INDEX(Numéros!$C$2:$C$3001,MATCH(A1788&amp;"|"&amp;B1788,Numéros!$F$2:$F$3001,0))),""))</f>
        <v/>
      </c>
      <c r="M1788" s="27" t="str">
        <f aca="false">IF(OR(G1788="",G1788="?"),"",IFERROR(INDEX(Pubs!$D$2:$D$3001,MATCH(G1788,Pubs!$A$2:$A$3001,0))&amp;"",""))</f>
        <v/>
      </c>
      <c r="N1788" s="27" t="n">
        <f aca="false">N(N1787)+IF(AND(A1788&lt;&gt;"",OR(Recherche!$C$4="",A1788=Recherche!$C$4),OR(Recherche!$C$5="",B1788&amp;""=Recherche!$C$5&amp;""),OR(Recherche!$C$6="",IFERROR(YEAR(L1788),0)=Recherche!$C$6),OR(Recherche!$C$7="",ISNUMBER(SEARCH(Recherche!$C$7,H1788))),OR(Recherche!$C$8="",J1788=Recherche!$C$8),OR(Recherche!$C$9="",I1788=Recherche!$C$9),OR(Recherche!$C$10="",G1788&amp;""=Recherche!$C$10&amp;""),OR(Recherche!$C$11="",E1788=Recherche!$C$11),OR(Recherche!$C$12="",ISNUMBER(SEARCH(Recherche!$C$12,M1788&amp;" "&amp;F1788)))),1,0)</f>
        <v>8</v>
      </c>
    </row>
    <row r="1789" customFormat="false" ht="15" hidden="false" customHeight="false" outlineLevel="0" collapsed="false">
      <c r="A1789" s="19"/>
      <c r="B1789" s="19"/>
      <c r="C1789" s="19"/>
      <c r="D1789" s="19"/>
      <c r="E1789" s="22"/>
      <c r="F1789" s="19"/>
      <c r="G1789" s="26" t="str">
        <f aca="false">IF(D1789="","",IFERROR(VALUE(LEFT(D1789,FIND(" |",D1789&amp;" |")-1)),"?"))</f>
        <v/>
      </c>
      <c r="H1789" s="27" t="str">
        <f aca="false">IF(G1789="","",IF(G1789="?","⚠ pub inconnue",IFERROR(INDEX(Pubs!$B$2:$B$3001,MATCH(G1789,Pubs!$A$2:$A$3001,0))&amp;"","⚠ pub inconnue")))</f>
        <v/>
      </c>
      <c r="I1789" s="27" t="str">
        <f aca="false">IF(OR(G1789="",G1789="?"),"",IFERROR(INDEX(Pubs!$C$2:$C$3001,MATCH(G1789,Pubs!$A$2:$A$3001,0))&amp;"",""))</f>
        <v/>
      </c>
      <c r="J1789" s="27" t="str">
        <f aca="false">IF(OR(G1789="",G1789="?"),"",IFERROR(INDEX(Pubs!$G$2:$G$3001,MATCH(G1789,Pubs!$A$2:$A$3001,0))&amp;"",""))</f>
        <v/>
      </c>
      <c r="K1789" s="28" t="str">
        <f aca="false">IF(OR(G1789="",G1789="?"),"",IFERROR(INDEX(Pubs!$E$2:$E$3001,MATCH(G1789,Pubs!$A$2:$A$3001,0)),""))</f>
        <v/>
      </c>
      <c r="L1789" s="29" t="str">
        <f aca="false">IF(A1789="","",IFERROR(1/(1/INDEX(Numéros!$C$2:$C$3001,MATCH(A1789&amp;"|"&amp;B1789,Numéros!$F$2:$F$3001,0))),""))</f>
        <v/>
      </c>
      <c r="M1789" s="27" t="str">
        <f aca="false">IF(OR(G1789="",G1789="?"),"",IFERROR(INDEX(Pubs!$D$2:$D$3001,MATCH(G1789,Pubs!$A$2:$A$3001,0))&amp;"",""))</f>
        <v/>
      </c>
      <c r="N1789" s="27" t="n">
        <f aca="false">N(N1788)+IF(AND(A1789&lt;&gt;"",OR(Recherche!$C$4="",A1789=Recherche!$C$4),OR(Recherche!$C$5="",B1789&amp;""=Recherche!$C$5&amp;""),OR(Recherche!$C$6="",IFERROR(YEAR(L1789),0)=Recherche!$C$6),OR(Recherche!$C$7="",ISNUMBER(SEARCH(Recherche!$C$7,H1789))),OR(Recherche!$C$8="",J1789=Recherche!$C$8),OR(Recherche!$C$9="",I1789=Recherche!$C$9),OR(Recherche!$C$10="",G1789&amp;""=Recherche!$C$10&amp;""),OR(Recherche!$C$11="",E1789=Recherche!$C$11),OR(Recherche!$C$12="",ISNUMBER(SEARCH(Recherche!$C$12,M1789&amp;" "&amp;F1789)))),1,0)</f>
        <v>8</v>
      </c>
    </row>
    <row r="1790" customFormat="false" ht="15" hidden="false" customHeight="false" outlineLevel="0" collapsed="false">
      <c r="A1790" s="19"/>
      <c r="B1790" s="19"/>
      <c r="C1790" s="19"/>
      <c r="D1790" s="19"/>
      <c r="E1790" s="22"/>
      <c r="F1790" s="19"/>
      <c r="G1790" s="26" t="str">
        <f aca="false">IF(D1790="","",IFERROR(VALUE(LEFT(D1790,FIND(" |",D1790&amp;" |")-1)),"?"))</f>
        <v/>
      </c>
      <c r="H1790" s="27" t="str">
        <f aca="false">IF(G1790="","",IF(G1790="?","⚠ pub inconnue",IFERROR(INDEX(Pubs!$B$2:$B$3001,MATCH(G1790,Pubs!$A$2:$A$3001,0))&amp;"","⚠ pub inconnue")))</f>
        <v/>
      </c>
      <c r="I1790" s="27" t="str">
        <f aca="false">IF(OR(G1790="",G1790="?"),"",IFERROR(INDEX(Pubs!$C$2:$C$3001,MATCH(G1790,Pubs!$A$2:$A$3001,0))&amp;"",""))</f>
        <v/>
      </c>
      <c r="J1790" s="27" t="str">
        <f aca="false">IF(OR(G1790="",G1790="?"),"",IFERROR(INDEX(Pubs!$G$2:$G$3001,MATCH(G1790,Pubs!$A$2:$A$3001,0))&amp;"",""))</f>
        <v/>
      </c>
      <c r="K1790" s="28" t="str">
        <f aca="false">IF(OR(G1790="",G1790="?"),"",IFERROR(INDEX(Pubs!$E$2:$E$3001,MATCH(G1790,Pubs!$A$2:$A$3001,0)),""))</f>
        <v/>
      </c>
      <c r="L1790" s="29" t="str">
        <f aca="false">IF(A1790="","",IFERROR(1/(1/INDEX(Numéros!$C$2:$C$3001,MATCH(A1790&amp;"|"&amp;B1790,Numéros!$F$2:$F$3001,0))),""))</f>
        <v/>
      </c>
      <c r="M1790" s="27" t="str">
        <f aca="false">IF(OR(G1790="",G1790="?"),"",IFERROR(INDEX(Pubs!$D$2:$D$3001,MATCH(G1790,Pubs!$A$2:$A$3001,0))&amp;"",""))</f>
        <v/>
      </c>
      <c r="N1790" s="27" t="n">
        <f aca="false">N(N1789)+IF(AND(A1790&lt;&gt;"",OR(Recherche!$C$4="",A1790=Recherche!$C$4),OR(Recherche!$C$5="",B1790&amp;""=Recherche!$C$5&amp;""),OR(Recherche!$C$6="",IFERROR(YEAR(L1790),0)=Recherche!$C$6),OR(Recherche!$C$7="",ISNUMBER(SEARCH(Recherche!$C$7,H1790))),OR(Recherche!$C$8="",J1790=Recherche!$C$8),OR(Recherche!$C$9="",I1790=Recherche!$C$9),OR(Recherche!$C$10="",G1790&amp;""=Recherche!$C$10&amp;""),OR(Recherche!$C$11="",E1790=Recherche!$C$11),OR(Recherche!$C$12="",ISNUMBER(SEARCH(Recherche!$C$12,M1790&amp;" "&amp;F1790)))),1,0)</f>
        <v>8</v>
      </c>
    </row>
    <row r="1791" customFormat="false" ht="15" hidden="false" customHeight="false" outlineLevel="0" collapsed="false">
      <c r="A1791" s="19"/>
      <c r="B1791" s="19"/>
      <c r="C1791" s="19"/>
      <c r="D1791" s="19"/>
      <c r="E1791" s="22"/>
      <c r="F1791" s="19"/>
      <c r="G1791" s="26" t="str">
        <f aca="false">IF(D1791="","",IFERROR(VALUE(LEFT(D1791,FIND(" |",D1791&amp;" |")-1)),"?"))</f>
        <v/>
      </c>
      <c r="H1791" s="27" t="str">
        <f aca="false">IF(G1791="","",IF(G1791="?","⚠ pub inconnue",IFERROR(INDEX(Pubs!$B$2:$B$3001,MATCH(G1791,Pubs!$A$2:$A$3001,0))&amp;"","⚠ pub inconnue")))</f>
        <v/>
      </c>
      <c r="I1791" s="27" t="str">
        <f aca="false">IF(OR(G1791="",G1791="?"),"",IFERROR(INDEX(Pubs!$C$2:$C$3001,MATCH(G1791,Pubs!$A$2:$A$3001,0))&amp;"",""))</f>
        <v/>
      </c>
      <c r="J1791" s="27" t="str">
        <f aca="false">IF(OR(G1791="",G1791="?"),"",IFERROR(INDEX(Pubs!$G$2:$G$3001,MATCH(G1791,Pubs!$A$2:$A$3001,0))&amp;"",""))</f>
        <v/>
      </c>
      <c r="K1791" s="28" t="str">
        <f aca="false">IF(OR(G1791="",G1791="?"),"",IFERROR(INDEX(Pubs!$E$2:$E$3001,MATCH(G1791,Pubs!$A$2:$A$3001,0)),""))</f>
        <v/>
      </c>
      <c r="L1791" s="29" t="str">
        <f aca="false">IF(A1791="","",IFERROR(1/(1/INDEX(Numéros!$C$2:$C$3001,MATCH(A1791&amp;"|"&amp;B1791,Numéros!$F$2:$F$3001,0))),""))</f>
        <v/>
      </c>
      <c r="M1791" s="27" t="str">
        <f aca="false">IF(OR(G1791="",G1791="?"),"",IFERROR(INDEX(Pubs!$D$2:$D$3001,MATCH(G1791,Pubs!$A$2:$A$3001,0))&amp;"",""))</f>
        <v/>
      </c>
      <c r="N1791" s="27" t="n">
        <f aca="false">N(N1790)+IF(AND(A1791&lt;&gt;"",OR(Recherche!$C$4="",A1791=Recherche!$C$4),OR(Recherche!$C$5="",B1791&amp;""=Recherche!$C$5&amp;""),OR(Recherche!$C$6="",IFERROR(YEAR(L1791),0)=Recherche!$C$6),OR(Recherche!$C$7="",ISNUMBER(SEARCH(Recherche!$C$7,H1791))),OR(Recherche!$C$8="",J1791=Recherche!$C$8),OR(Recherche!$C$9="",I1791=Recherche!$C$9),OR(Recherche!$C$10="",G1791&amp;""=Recherche!$C$10&amp;""),OR(Recherche!$C$11="",E1791=Recherche!$C$11),OR(Recherche!$C$12="",ISNUMBER(SEARCH(Recherche!$C$12,M1791&amp;" "&amp;F1791)))),1,0)</f>
        <v>8</v>
      </c>
    </row>
    <row r="1792" customFormat="false" ht="15" hidden="false" customHeight="false" outlineLevel="0" collapsed="false">
      <c r="A1792" s="19"/>
      <c r="B1792" s="19"/>
      <c r="C1792" s="19"/>
      <c r="D1792" s="19"/>
      <c r="E1792" s="22"/>
      <c r="F1792" s="19"/>
      <c r="G1792" s="26" t="str">
        <f aca="false">IF(D1792="","",IFERROR(VALUE(LEFT(D1792,FIND(" |",D1792&amp;" |")-1)),"?"))</f>
        <v/>
      </c>
      <c r="H1792" s="27" t="str">
        <f aca="false">IF(G1792="","",IF(G1792="?","⚠ pub inconnue",IFERROR(INDEX(Pubs!$B$2:$B$3001,MATCH(G1792,Pubs!$A$2:$A$3001,0))&amp;"","⚠ pub inconnue")))</f>
        <v/>
      </c>
      <c r="I1792" s="27" t="str">
        <f aca="false">IF(OR(G1792="",G1792="?"),"",IFERROR(INDEX(Pubs!$C$2:$C$3001,MATCH(G1792,Pubs!$A$2:$A$3001,0))&amp;"",""))</f>
        <v/>
      </c>
      <c r="J1792" s="27" t="str">
        <f aca="false">IF(OR(G1792="",G1792="?"),"",IFERROR(INDEX(Pubs!$G$2:$G$3001,MATCH(G1792,Pubs!$A$2:$A$3001,0))&amp;"",""))</f>
        <v/>
      </c>
      <c r="K1792" s="28" t="str">
        <f aca="false">IF(OR(G1792="",G1792="?"),"",IFERROR(INDEX(Pubs!$E$2:$E$3001,MATCH(G1792,Pubs!$A$2:$A$3001,0)),""))</f>
        <v/>
      </c>
      <c r="L1792" s="29" t="str">
        <f aca="false">IF(A1792="","",IFERROR(1/(1/INDEX(Numéros!$C$2:$C$3001,MATCH(A1792&amp;"|"&amp;B1792,Numéros!$F$2:$F$3001,0))),""))</f>
        <v/>
      </c>
      <c r="M1792" s="27" t="str">
        <f aca="false">IF(OR(G1792="",G1792="?"),"",IFERROR(INDEX(Pubs!$D$2:$D$3001,MATCH(G1792,Pubs!$A$2:$A$3001,0))&amp;"",""))</f>
        <v/>
      </c>
      <c r="N1792" s="27" t="n">
        <f aca="false">N(N1791)+IF(AND(A1792&lt;&gt;"",OR(Recherche!$C$4="",A1792=Recherche!$C$4),OR(Recherche!$C$5="",B1792&amp;""=Recherche!$C$5&amp;""),OR(Recherche!$C$6="",IFERROR(YEAR(L1792),0)=Recherche!$C$6),OR(Recherche!$C$7="",ISNUMBER(SEARCH(Recherche!$C$7,H1792))),OR(Recherche!$C$8="",J1792=Recherche!$C$8),OR(Recherche!$C$9="",I1792=Recherche!$C$9),OR(Recherche!$C$10="",G1792&amp;""=Recherche!$C$10&amp;""),OR(Recherche!$C$11="",E1792=Recherche!$C$11),OR(Recherche!$C$12="",ISNUMBER(SEARCH(Recherche!$C$12,M1792&amp;" "&amp;F1792)))),1,0)</f>
        <v>8</v>
      </c>
    </row>
    <row r="1793" customFormat="false" ht="15" hidden="false" customHeight="false" outlineLevel="0" collapsed="false">
      <c r="A1793" s="19"/>
      <c r="B1793" s="19"/>
      <c r="C1793" s="19"/>
      <c r="D1793" s="19"/>
      <c r="E1793" s="22"/>
      <c r="F1793" s="19"/>
      <c r="G1793" s="26" t="str">
        <f aca="false">IF(D1793="","",IFERROR(VALUE(LEFT(D1793,FIND(" |",D1793&amp;" |")-1)),"?"))</f>
        <v/>
      </c>
      <c r="H1793" s="27" t="str">
        <f aca="false">IF(G1793="","",IF(G1793="?","⚠ pub inconnue",IFERROR(INDEX(Pubs!$B$2:$B$3001,MATCH(G1793,Pubs!$A$2:$A$3001,0))&amp;"","⚠ pub inconnue")))</f>
        <v/>
      </c>
      <c r="I1793" s="27" t="str">
        <f aca="false">IF(OR(G1793="",G1793="?"),"",IFERROR(INDEX(Pubs!$C$2:$C$3001,MATCH(G1793,Pubs!$A$2:$A$3001,0))&amp;"",""))</f>
        <v/>
      </c>
      <c r="J1793" s="27" t="str">
        <f aca="false">IF(OR(G1793="",G1793="?"),"",IFERROR(INDEX(Pubs!$G$2:$G$3001,MATCH(G1793,Pubs!$A$2:$A$3001,0))&amp;"",""))</f>
        <v/>
      </c>
      <c r="K1793" s="28" t="str">
        <f aca="false">IF(OR(G1793="",G1793="?"),"",IFERROR(INDEX(Pubs!$E$2:$E$3001,MATCH(G1793,Pubs!$A$2:$A$3001,0)),""))</f>
        <v/>
      </c>
      <c r="L1793" s="29" t="str">
        <f aca="false">IF(A1793="","",IFERROR(1/(1/INDEX(Numéros!$C$2:$C$3001,MATCH(A1793&amp;"|"&amp;B1793,Numéros!$F$2:$F$3001,0))),""))</f>
        <v/>
      </c>
      <c r="M1793" s="27" t="str">
        <f aca="false">IF(OR(G1793="",G1793="?"),"",IFERROR(INDEX(Pubs!$D$2:$D$3001,MATCH(G1793,Pubs!$A$2:$A$3001,0))&amp;"",""))</f>
        <v/>
      </c>
      <c r="N1793" s="27" t="n">
        <f aca="false">N(N1792)+IF(AND(A1793&lt;&gt;"",OR(Recherche!$C$4="",A1793=Recherche!$C$4),OR(Recherche!$C$5="",B1793&amp;""=Recherche!$C$5&amp;""),OR(Recherche!$C$6="",IFERROR(YEAR(L1793),0)=Recherche!$C$6),OR(Recherche!$C$7="",ISNUMBER(SEARCH(Recherche!$C$7,H1793))),OR(Recherche!$C$8="",J1793=Recherche!$C$8),OR(Recherche!$C$9="",I1793=Recherche!$C$9),OR(Recherche!$C$10="",G1793&amp;""=Recherche!$C$10&amp;""),OR(Recherche!$C$11="",E1793=Recherche!$C$11),OR(Recherche!$C$12="",ISNUMBER(SEARCH(Recherche!$C$12,M1793&amp;" "&amp;F1793)))),1,0)</f>
        <v>8</v>
      </c>
    </row>
    <row r="1794" customFormat="false" ht="15" hidden="false" customHeight="false" outlineLevel="0" collapsed="false">
      <c r="A1794" s="19"/>
      <c r="B1794" s="19"/>
      <c r="C1794" s="19"/>
      <c r="D1794" s="19"/>
      <c r="E1794" s="22"/>
      <c r="F1794" s="19"/>
      <c r="G1794" s="26" t="str">
        <f aca="false">IF(D1794="","",IFERROR(VALUE(LEFT(D1794,FIND(" |",D1794&amp;" |")-1)),"?"))</f>
        <v/>
      </c>
      <c r="H1794" s="27" t="str">
        <f aca="false">IF(G1794="","",IF(G1794="?","⚠ pub inconnue",IFERROR(INDEX(Pubs!$B$2:$B$3001,MATCH(G1794,Pubs!$A$2:$A$3001,0))&amp;"","⚠ pub inconnue")))</f>
        <v/>
      </c>
      <c r="I1794" s="27" t="str">
        <f aca="false">IF(OR(G1794="",G1794="?"),"",IFERROR(INDEX(Pubs!$C$2:$C$3001,MATCH(G1794,Pubs!$A$2:$A$3001,0))&amp;"",""))</f>
        <v/>
      </c>
      <c r="J1794" s="27" t="str">
        <f aca="false">IF(OR(G1794="",G1794="?"),"",IFERROR(INDEX(Pubs!$G$2:$G$3001,MATCH(G1794,Pubs!$A$2:$A$3001,0))&amp;"",""))</f>
        <v/>
      </c>
      <c r="K1794" s="28" t="str">
        <f aca="false">IF(OR(G1794="",G1794="?"),"",IFERROR(INDEX(Pubs!$E$2:$E$3001,MATCH(G1794,Pubs!$A$2:$A$3001,0)),""))</f>
        <v/>
      </c>
      <c r="L1794" s="29" t="str">
        <f aca="false">IF(A1794="","",IFERROR(1/(1/INDEX(Numéros!$C$2:$C$3001,MATCH(A1794&amp;"|"&amp;B1794,Numéros!$F$2:$F$3001,0))),""))</f>
        <v/>
      </c>
      <c r="M1794" s="27" t="str">
        <f aca="false">IF(OR(G1794="",G1794="?"),"",IFERROR(INDEX(Pubs!$D$2:$D$3001,MATCH(G1794,Pubs!$A$2:$A$3001,0))&amp;"",""))</f>
        <v/>
      </c>
      <c r="N1794" s="27" t="n">
        <f aca="false">N(N1793)+IF(AND(A1794&lt;&gt;"",OR(Recherche!$C$4="",A1794=Recherche!$C$4),OR(Recherche!$C$5="",B1794&amp;""=Recherche!$C$5&amp;""),OR(Recherche!$C$6="",IFERROR(YEAR(L1794),0)=Recherche!$C$6),OR(Recherche!$C$7="",ISNUMBER(SEARCH(Recherche!$C$7,H1794))),OR(Recherche!$C$8="",J1794=Recherche!$C$8),OR(Recherche!$C$9="",I1794=Recherche!$C$9),OR(Recherche!$C$10="",G1794&amp;""=Recherche!$C$10&amp;""),OR(Recherche!$C$11="",E1794=Recherche!$C$11),OR(Recherche!$C$12="",ISNUMBER(SEARCH(Recherche!$C$12,M1794&amp;" "&amp;F1794)))),1,0)</f>
        <v>8</v>
      </c>
    </row>
    <row r="1795" customFormat="false" ht="15" hidden="false" customHeight="false" outlineLevel="0" collapsed="false">
      <c r="A1795" s="19"/>
      <c r="B1795" s="19"/>
      <c r="C1795" s="19"/>
      <c r="D1795" s="19"/>
      <c r="E1795" s="22"/>
      <c r="F1795" s="19"/>
      <c r="G1795" s="26" t="str">
        <f aca="false">IF(D1795="","",IFERROR(VALUE(LEFT(D1795,FIND(" |",D1795&amp;" |")-1)),"?"))</f>
        <v/>
      </c>
      <c r="H1795" s="27" t="str">
        <f aca="false">IF(G1795="","",IF(G1795="?","⚠ pub inconnue",IFERROR(INDEX(Pubs!$B$2:$B$3001,MATCH(G1795,Pubs!$A$2:$A$3001,0))&amp;"","⚠ pub inconnue")))</f>
        <v/>
      </c>
      <c r="I1795" s="27" t="str">
        <f aca="false">IF(OR(G1795="",G1795="?"),"",IFERROR(INDEX(Pubs!$C$2:$C$3001,MATCH(G1795,Pubs!$A$2:$A$3001,0))&amp;"",""))</f>
        <v/>
      </c>
      <c r="J1795" s="27" t="str">
        <f aca="false">IF(OR(G1795="",G1795="?"),"",IFERROR(INDEX(Pubs!$G$2:$G$3001,MATCH(G1795,Pubs!$A$2:$A$3001,0))&amp;"",""))</f>
        <v/>
      </c>
      <c r="K1795" s="28" t="str">
        <f aca="false">IF(OR(G1795="",G1795="?"),"",IFERROR(INDEX(Pubs!$E$2:$E$3001,MATCH(G1795,Pubs!$A$2:$A$3001,0)),""))</f>
        <v/>
      </c>
      <c r="L1795" s="29" t="str">
        <f aca="false">IF(A1795="","",IFERROR(1/(1/INDEX(Numéros!$C$2:$C$3001,MATCH(A1795&amp;"|"&amp;B1795,Numéros!$F$2:$F$3001,0))),""))</f>
        <v/>
      </c>
      <c r="M1795" s="27" t="str">
        <f aca="false">IF(OR(G1795="",G1795="?"),"",IFERROR(INDEX(Pubs!$D$2:$D$3001,MATCH(G1795,Pubs!$A$2:$A$3001,0))&amp;"",""))</f>
        <v/>
      </c>
      <c r="N1795" s="27" t="n">
        <f aca="false">N(N1794)+IF(AND(A1795&lt;&gt;"",OR(Recherche!$C$4="",A1795=Recherche!$C$4),OR(Recherche!$C$5="",B1795&amp;""=Recherche!$C$5&amp;""),OR(Recherche!$C$6="",IFERROR(YEAR(L1795),0)=Recherche!$C$6),OR(Recherche!$C$7="",ISNUMBER(SEARCH(Recherche!$C$7,H1795))),OR(Recherche!$C$8="",J1795=Recherche!$C$8),OR(Recherche!$C$9="",I1795=Recherche!$C$9),OR(Recherche!$C$10="",G1795&amp;""=Recherche!$C$10&amp;""),OR(Recherche!$C$11="",E1795=Recherche!$C$11),OR(Recherche!$C$12="",ISNUMBER(SEARCH(Recherche!$C$12,M1795&amp;" "&amp;F1795)))),1,0)</f>
        <v>8</v>
      </c>
    </row>
    <row r="1796" customFormat="false" ht="15" hidden="false" customHeight="false" outlineLevel="0" collapsed="false">
      <c r="A1796" s="19"/>
      <c r="B1796" s="19"/>
      <c r="C1796" s="19"/>
      <c r="D1796" s="19"/>
      <c r="E1796" s="22"/>
      <c r="F1796" s="19"/>
      <c r="G1796" s="26" t="str">
        <f aca="false">IF(D1796="","",IFERROR(VALUE(LEFT(D1796,FIND(" |",D1796&amp;" |")-1)),"?"))</f>
        <v/>
      </c>
      <c r="H1796" s="27" t="str">
        <f aca="false">IF(G1796="","",IF(G1796="?","⚠ pub inconnue",IFERROR(INDEX(Pubs!$B$2:$B$3001,MATCH(G1796,Pubs!$A$2:$A$3001,0))&amp;"","⚠ pub inconnue")))</f>
        <v/>
      </c>
      <c r="I1796" s="27" t="str">
        <f aca="false">IF(OR(G1796="",G1796="?"),"",IFERROR(INDEX(Pubs!$C$2:$C$3001,MATCH(G1796,Pubs!$A$2:$A$3001,0))&amp;"",""))</f>
        <v/>
      </c>
      <c r="J1796" s="27" t="str">
        <f aca="false">IF(OR(G1796="",G1796="?"),"",IFERROR(INDEX(Pubs!$G$2:$G$3001,MATCH(G1796,Pubs!$A$2:$A$3001,0))&amp;"",""))</f>
        <v/>
      </c>
      <c r="K1796" s="28" t="str">
        <f aca="false">IF(OR(G1796="",G1796="?"),"",IFERROR(INDEX(Pubs!$E$2:$E$3001,MATCH(G1796,Pubs!$A$2:$A$3001,0)),""))</f>
        <v/>
      </c>
      <c r="L1796" s="29" t="str">
        <f aca="false">IF(A1796="","",IFERROR(1/(1/INDEX(Numéros!$C$2:$C$3001,MATCH(A1796&amp;"|"&amp;B1796,Numéros!$F$2:$F$3001,0))),""))</f>
        <v/>
      </c>
      <c r="M1796" s="27" t="str">
        <f aca="false">IF(OR(G1796="",G1796="?"),"",IFERROR(INDEX(Pubs!$D$2:$D$3001,MATCH(G1796,Pubs!$A$2:$A$3001,0))&amp;"",""))</f>
        <v/>
      </c>
      <c r="N1796" s="27" t="n">
        <f aca="false">N(N1795)+IF(AND(A1796&lt;&gt;"",OR(Recherche!$C$4="",A1796=Recherche!$C$4),OR(Recherche!$C$5="",B1796&amp;""=Recherche!$C$5&amp;""),OR(Recherche!$C$6="",IFERROR(YEAR(L1796),0)=Recherche!$C$6),OR(Recherche!$C$7="",ISNUMBER(SEARCH(Recherche!$C$7,H1796))),OR(Recherche!$C$8="",J1796=Recherche!$C$8),OR(Recherche!$C$9="",I1796=Recherche!$C$9),OR(Recherche!$C$10="",G1796&amp;""=Recherche!$C$10&amp;""),OR(Recherche!$C$11="",E1796=Recherche!$C$11),OR(Recherche!$C$12="",ISNUMBER(SEARCH(Recherche!$C$12,M1796&amp;" "&amp;F1796)))),1,0)</f>
        <v>8</v>
      </c>
    </row>
    <row r="1797" customFormat="false" ht="15" hidden="false" customHeight="false" outlineLevel="0" collapsed="false">
      <c r="A1797" s="19"/>
      <c r="B1797" s="19"/>
      <c r="C1797" s="19"/>
      <c r="D1797" s="19"/>
      <c r="E1797" s="22"/>
      <c r="F1797" s="19"/>
      <c r="G1797" s="26" t="str">
        <f aca="false">IF(D1797="","",IFERROR(VALUE(LEFT(D1797,FIND(" |",D1797&amp;" |")-1)),"?"))</f>
        <v/>
      </c>
      <c r="H1797" s="27" t="str">
        <f aca="false">IF(G1797="","",IF(G1797="?","⚠ pub inconnue",IFERROR(INDEX(Pubs!$B$2:$B$3001,MATCH(G1797,Pubs!$A$2:$A$3001,0))&amp;"","⚠ pub inconnue")))</f>
        <v/>
      </c>
      <c r="I1797" s="27" t="str">
        <f aca="false">IF(OR(G1797="",G1797="?"),"",IFERROR(INDEX(Pubs!$C$2:$C$3001,MATCH(G1797,Pubs!$A$2:$A$3001,0))&amp;"",""))</f>
        <v/>
      </c>
      <c r="J1797" s="27" t="str">
        <f aca="false">IF(OR(G1797="",G1797="?"),"",IFERROR(INDEX(Pubs!$G$2:$G$3001,MATCH(G1797,Pubs!$A$2:$A$3001,0))&amp;"",""))</f>
        <v/>
      </c>
      <c r="K1797" s="28" t="str">
        <f aca="false">IF(OR(G1797="",G1797="?"),"",IFERROR(INDEX(Pubs!$E$2:$E$3001,MATCH(G1797,Pubs!$A$2:$A$3001,0)),""))</f>
        <v/>
      </c>
      <c r="L1797" s="29" t="str">
        <f aca="false">IF(A1797="","",IFERROR(1/(1/INDEX(Numéros!$C$2:$C$3001,MATCH(A1797&amp;"|"&amp;B1797,Numéros!$F$2:$F$3001,0))),""))</f>
        <v/>
      </c>
      <c r="M1797" s="27" t="str">
        <f aca="false">IF(OR(G1797="",G1797="?"),"",IFERROR(INDEX(Pubs!$D$2:$D$3001,MATCH(G1797,Pubs!$A$2:$A$3001,0))&amp;"",""))</f>
        <v/>
      </c>
      <c r="N1797" s="27" t="n">
        <f aca="false">N(N1796)+IF(AND(A1797&lt;&gt;"",OR(Recherche!$C$4="",A1797=Recherche!$C$4),OR(Recherche!$C$5="",B1797&amp;""=Recherche!$C$5&amp;""),OR(Recherche!$C$6="",IFERROR(YEAR(L1797),0)=Recherche!$C$6),OR(Recherche!$C$7="",ISNUMBER(SEARCH(Recherche!$C$7,H1797))),OR(Recherche!$C$8="",J1797=Recherche!$C$8),OR(Recherche!$C$9="",I1797=Recherche!$C$9),OR(Recherche!$C$10="",G1797&amp;""=Recherche!$C$10&amp;""),OR(Recherche!$C$11="",E1797=Recherche!$C$11),OR(Recherche!$C$12="",ISNUMBER(SEARCH(Recherche!$C$12,M1797&amp;" "&amp;F1797)))),1,0)</f>
        <v>8</v>
      </c>
    </row>
    <row r="1798" customFormat="false" ht="15" hidden="false" customHeight="false" outlineLevel="0" collapsed="false">
      <c r="A1798" s="19"/>
      <c r="B1798" s="19"/>
      <c r="C1798" s="19"/>
      <c r="D1798" s="19"/>
      <c r="E1798" s="22"/>
      <c r="F1798" s="19"/>
      <c r="G1798" s="26" t="str">
        <f aca="false">IF(D1798="","",IFERROR(VALUE(LEFT(D1798,FIND(" |",D1798&amp;" |")-1)),"?"))</f>
        <v/>
      </c>
      <c r="H1798" s="27" t="str">
        <f aca="false">IF(G1798="","",IF(G1798="?","⚠ pub inconnue",IFERROR(INDEX(Pubs!$B$2:$B$3001,MATCH(G1798,Pubs!$A$2:$A$3001,0))&amp;"","⚠ pub inconnue")))</f>
        <v/>
      </c>
      <c r="I1798" s="27" t="str">
        <f aca="false">IF(OR(G1798="",G1798="?"),"",IFERROR(INDEX(Pubs!$C$2:$C$3001,MATCH(G1798,Pubs!$A$2:$A$3001,0))&amp;"",""))</f>
        <v/>
      </c>
      <c r="J1798" s="27" t="str">
        <f aca="false">IF(OR(G1798="",G1798="?"),"",IFERROR(INDEX(Pubs!$G$2:$G$3001,MATCH(G1798,Pubs!$A$2:$A$3001,0))&amp;"",""))</f>
        <v/>
      </c>
      <c r="K1798" s="28" t="str">
        <f aca="false">IF(OR(G1798="",G1798="?"),"",IFERROR(INDEX(Pubs!$E$2:$E$3001,MATCH(G1798,Pubs!$A$2:$A$3001,0)),""))</f>
        <v/>
      </c>
      <c r="L1798" s="29" t="str">
        <f aca="false">IF(A1798="","",IFERROR(1/(1/INDEX(Numéros!$C$2:$C$3001,MATCH(A1798&amp;"|"&amp;B1798,Numéros!$F$2:$F$3001,0))),""))</f>
        <v/>
      </c>
      <c r="M1798" s="27" t="str">
        <f aca="false">IF(OR(G1798="",G1798="?"),"",IFERROR(INDEX(Pubs!$D$2:$D$3001,MATCH(G1798,Pubs!$A$2:$A$3001,0))&amp;"",""))</f>
        <v/>
      </c>
      <c r="N1798" s="27" t="n">
        <f aca="false">N(N1797)+IF(AND(A1798&lt;&gt;"",OR(Recherche!$C$4="",A1798=Recherche!$C$4),OR(Recherche!$C$5="",B1798&amp;""=Recherche!$C$5&amp;""),OR(Recherche!$C$6="",IFERROR(YEAR(L1798),0)=Recherche!$C$6),OR(Recherche!$C$7="",ISNUMBER(SEARCH(Recherche!$C$7,H1798))),OR(Recherche!$C$8="",J1798=Recherche!$C$8),OR(Recherche!$C$9="",I1798=Recherche!$C$9),OR(Recherche!$C$10="",G1798&amp;""=Recherche!$C$10&amp;""),OR(Recherche!$C$11="",E1798=Recherche!$C$11),OR(Recherche!$C$12="",ISNUMBER(SEARCH(Recherche!$C$12,M1798&amp;" "&amp;F1798)))),1,0)</f>
        <v>8</v>
      </c>
    </row>
    <row r="1799" customFormat="false" ht="15" hidden="false" customHeight="false" outlineLevel="0" collapsed="false">
      <c r="A1799" s="19"/>
      <c r="B1799" s="19"/>
      <c r="C1799" s="19"/>
      <c r="D1799" s="19"/>
      <c r="E1799" s="22"/>
      <c r="F1799" s="19"/>
      <c r="G1799" s="26" t="str">
        <f aca="false">IF(D1799="","",IFERROR(VALUE(LEFT(D1799,FIND(" |",D1799&amp;" |")-1)),"?"))</f>
        <v/>
      </c>
      <c r="H1799" s="27" t="str">
        <f aca="false">IF(G1799="","",IF(G1799="?","⚠ pub inconnue",IFERROR(INDEX(Pubs!$B$2:$B$3001,MATCH(G1799,Pubs!$A$2:$A$3001,0))&amp;"","⚠ pub inconnue")))</f>
        <v/>
      </c>
      <c r="I1799" s="27" t="str">
        <f aca="false">IF(OR(G1799="",G1799="?"),"",IFERROR(INDEX(Pubs!$C$2:$C$3001,MATCH(G1799,Pubs!$A$2:$A$3001,0))&amp;"",""))</f>
        <v/>
      </c>
      <c r="J1799" s="27" t="str">
        <f aca="false">IF(OR(G1799="",G1799="?"),"",IFERROR(INDEX(Pubs!$G$2:$G$3001,MATCH(G1799,Pubs!$A$2:$A$3001,0))&amp;"",""))</f>
        <v/>
      </c>
      <c r="K1799" s="28" t="str">
        <f aca="false">IF(OR(G1799="",G1799="?"),"",IFERROR(INDEX(Pubs!$E$2:$E$3001,MATCH(G1799,Pubs!$A$2:$A$3001,0)),""))</f>
        <v/>
      </c>
      <c r="L1799" s="29" t="str">
        <f aca="false">IF(A1799="","",IFERROR(1/(1/INDEX(Numéros!$C$2:$C$3001,MATCH(A1799&amp;"|"&amp;B1799,Numéros!$F$2:$F$3001,0))),""))</f>
        <v/>
      </c>
      <c r="M1799" s="27" t="str">
        <f aca="false">IF(OR(G1799="",G1799="?"),"",IFERROR(INDEX(Pubs!$D$2:$D$3001,MATCH(G1799,Pubs!$A$2:$A$3001,0))&amp;"",""))</f>
        <v/>
      </c>
      <c r="N1799" s="27" t="n">
        <f aca="false">N(N1798)+IF(AND(A1799&lt;&gt;"",OR(Recherche!$C$4="",A1799=Recherche!$C$4),OR(Recherche!$C$5="",B1799&amp;""=Recherche!$C$5&amp;""),OR(Recherche!$C$6="",IFERROR(YEAR(L1799),0)=Recherche!$C$6),OR(Recherche!$C$7="",ISNUMBER(SEARCH(Recherche!$C$7,H1799))),OR(Recherche!$C$8="",J1799=Recherche!$C$8),OR(Recherche!$C$9="",I1799=Recherche!$C$9),OR(Recherche!$C$10="",G1799&amp;""=Recherche!$C$10&amp;""),OR(Recherche!$C$11="",E1799=Recherche!$C$11),OR(Recherche!$C$12="",ISNUMBER(SEARCH(Recherche!$C$12,M1799&amp;" "&amp;F1799)))),1,0)</f>
        <v>8</v>
      </c>
    </row>
    <row r="1800" customFormat="false" ht="15" hidden="false" customHeight="false" outlineLevel="0" collapsed="false">
      <c r="A1800" s="19"/>
      <c r="B1800" s="19"/>
      <c r="C1800" s="19"/>
      <c r="D1800" s="19"/>
      <c r="E1800" s="22"/>
      <c r="F1800" s="19"/>
      <c r="G1800" s="26" t="str">
        <f aca="false">IF(D1800="","",IFERROR(VALUE(LEFT(D1800,FIND(" |",D1800&amp;" |")-1)),"?"))</f>
        <v/>
      </c>
      <c r="H1800" s="27" t="str">
        <f aca="false">IF(G1800="","",IF(G1800="?","⚠ pub inconnue",IFERROR(INDEX(Pubs!$B$2:$B$3001,MATCH(G1800,Pubs!$A$2:$A$3001,0))&amp;"","⚠ pub inconnue")))</f>
        <v/>
      </c>
      <c r="I1800" s="27" t="str">
        <f aca="false">IF(OR(G1800="",G1800="?"),"",IFERROR(INDEX(Pubs!$C$2:$C$3001,MATCH(G1800,Pubs!$A$2:$A$3001,0))&amp;"",""))</f>
        <v/>
      </c>
      <c r="J1800" s="27" t="str">
        <f aca="false">IF(OR(G1800="",G1800="?"),"",IFERROR(INDEX(Pubs!$G$2:$G$3001,MATCH(G1800,Pubs!$A$2:$A$3001,0))&amp;"",""))</f>
        <v/>
      </c>
      <c r="K1800" s="28" t="str">
        <f aca="false">IF(OR(G1800="",G1800="?"),"",IFERROR(INDEX(Pubs!$E$2:$E$3001,MATCH(G1800,Pubs!$A$2:$A$3001,0)),""))</f>
        <v/>
      </c>
      <c r="L1800" s="29" t="str">
        <f aca="false">IF(A1800="","",IFERROR(1/(1/INDEX(Numéros!$C$2:$C$3001,MATCH(A1800&amp;"|"&amp;B1800,Numéros!$F$2:$F$3001,0))),""))</f>
        <v/>
      </c>
      <c r="M1800" s="27" t="str">
        <f aca="false">IF(OR(G1800="",G1800="?"),"",IFERROR(INDEX(Pubs!$D$2:$D$3001,MATCH(G1800,Pubs!$A$2:$A$3001,0))&amp;"",""))</f>
        <v/>
      </c>
      <c r="N1800" s="27" t="n">
        <f aca="false">N(N1799)+IF(AND(A1800&lt;&gt;"",OR(Recherche!$C$4="",A1800=Recherche!$C$4),OR(Recherche!$C$5="",B1800&amp;""=Recherche!$C$5&amp;""),OR(Recherche!$C$6="",IFERROR(YEAR(L1800),0)=Recherche!$C$6),OR(Recherche!$C$7="",ISNUMBER(SEARCH(Recherche!$C$7,H1800))),OR(Recherche!$C$8="",J1800=Recherche!$C$8),OR(Recherche!$C$9="",I1800=Recherche!$C$9),OR(Recherche!$C$10="",G1800&amp;""=Recherche!$C$10&amp;""),OR(Recherche!$C$11="",E1800=Recherche!$C$11),OR(Recherche!$C$12="",ISNUMBER(SEARCH(Recherche!$C$12,M1800&amp;" "&amp;F1800)))),1,0)</f>
        <v>8</v>
      </c>
    </row>
    <row r="1801" customFormat="false" ht="15" hidden="false" customHeight="false" outlineLevel="0" collapsed="false">
      <c r="A1801" s="19"/>
      <c r="B1801" s="19"/>
      <c r="C1801" s="19"/>
      <c r="D1801" s="19"/>
      <c r="E1801" s="22"/>
      <c r="F1801" s="19"/>
      <c r="G1801" s="26" t="str">
        <f aca="false">IF(D1801="","",IFERROR(VALUE(LEFT(D1801,FIND(" |",D1801&amp;" |")-1)),"?"))</f>
        <v/>
      </c>
      <c r="H1801" s="27" t="str">
        <f aca="false">IF(G1801="","",IF(G1801="?","⚠ pub inconnue",IFERROR(INDEX(Pubs!$B$2:$B$3001,MATCH(G1801,Pubs!$A$2:$A$3001,0))&amp;"","⚠ pub inconnue")))</f>
        <v/>
      </c>
      <c r="I1801" s="27" t="str">
        <f aca="false">IF(OR(G1801="",G1801="?"),"",IFERROR(INDEX(Pubs!$C$2:$C$3001,MATCH(G1801,Pubs!$A$2:$A$3001,0))&amp;"",""))</f>
        <v/>
      </c>
      <c r="J1801" s="27" t="str">
        <f aca="false">IF(OR(G1801="",G1801="?"),"",IFERROR(INDEX(Pubs!$G$2:$G$3001,MATCH(G1801,Pubs!$A$2:$A$3001,0))&amp;"",""))</f>
        <v/>
      </c>
      <c r="K1801" s="28" t="str">
        <f aca="false">IF(OR(G1801="",G1801="?"),"",IFERROR(INDEX(Pubs!$E$2:$E$3001,MATCH(G1801,Pubs!$A$2:$A$3001,0)),""))</f>
        <v/>
      </c>
      <c r="L1801" s="29" t="str">
        <f aca="false">IF(A1801="","",IFERROR(1/(1/INDEX(Numéros!$C$2:$C$3001,MATCH(A1801&amp;"|"&amp;B1801,Numéros!$F$2:$F$3001,0))),""))</f>
        <v/>
      </c>
      <c r="M1801" s="27" t="str">
        <f aca="false">IF(OR(G1801="",G1801="?"),"",IFERROR(INDEX(Pubs!$D$2:$D$3001,MATCH(G1801,Pubs!$A$2:$A$3001,0))&amp;"",""))</f>
        <v/>
      </c>
      <c r="N1801" s="27" t="n">
        <f aca="false">N(N1800)+IF(AND(A1801&lt;&gt;"",OR(Recherche!$C$4="",A1801=Recherche!$C$4),OR(Recherche!$C$5="",B1801&amp;""=Recherche!$C$5&amp;""),OR(Recherche!$C$6="",IFERROR(YEAR(L1801),0)=Recherche!$C$6),OR(Recherche!$C$7="",ISNUMBER(SEARCH(Recherche!$C$7,H1801))),OR(Recherche!$C$8="",J1801=Recherche!$C$8),OR(Recherche!$C$9="",I1801=Recherche!$C$9),OR(Recherche!$C$10="",G1801&amp;""=Recherche!$C$10&amp;""),OR(Recherche!$C$11="",E1801=Recherche!$C$11),OR(Recherche!$C$12="",ISNUMBER(SEARCH(Recherche!$C$12,M1801&amp;" "&amp;F1801)))),1,0)</f>
        <v>8</v>
      </c>
    </row>
    <row r="1802" customFormat="false" ht="15" hidden="false" customHeight="false" outlineLevel="0" collapsed="false">
      <c r="A1802" s="19"/>
      <c r="B1802" s="19"/>
      <c r="C1802" s="19"/>
      <c r="D1802" s="19"/>
      <c r="E1802" s="22"/>
      <c r="F1802" s="19"/>
      <c r="G1802" s="26" t="str">
        <f aca="false">IF(D1802="","",IFERROR(VALUE(LEFT(D1802,FIND(" |",D1802&amp;" |")-1)),"?"))</f>
        <v/>
      </c>
      <c r="H1802" s="27" t="str">
        <f aca="false">IF(G1802="","",IF(G1802="?","⚠ pub inconnue",IFERROR(INDEX(Pubs!$B$2:$B$3001,MATCH(G1802,Pubs!$A$2:$A$3001,0))&amp;"","⚠ pub inconnue")))</f>
        <v/>
      </c>
      <c r="I1802" s="27" t="str">
        <f aca="false">IF(OR(G1802="",G1802="?"),"",IFERROR(INDEX(Pubs!$C$2:$C$3001,MATCH(G1802,Pubs!$A$2:$A$3001,0))&amp;"",""))</f>
        <v/>
      </c>
      <c r="J1802" s="27" t="str">
        <f aca="false">IF(OR(G1802="",G1802="?"),"",IFERROR(INDEX(Pubs!$G$2:$G$3001,MATCH(G1802,Pubs!$A$2:$A$3001,0))&amp;"",""))</f>
        <v/>
      </c>
      <c r="K1802" s="28" t="str">
        <f aca="false">IF(OR(G1802="",G1802="?"),"",IFERROR(INDEX(Pubs!$E$2:$E$3001,MATCH(G1802,Pubs!$A$2:$A$3001,0)),""))</f>
        <v/>
      </c>
      <c r="L1802" s="29" t="str">
        <f aca="false">IF(A1802="","",IFERROR(1/(1/INDEX(Numéros!$C$2:$C$3001,MATCH(A1802&amp;"|"&amp;B1802,Numéros!$F$2:$F$3001,0))),""))</f>
        <v/>
      </c>
      <c r="M1802" s="27" t="str">
        <f aca="false">IF(OR(G1802="",G1802="?"),"",IFERROR(INDEX(Pubs!$D$2:$D$3001,MATCH(G1802,Pubs!$A$2:$A$3001,0))&amp;"",""))</f>
        <v/>
      </c>
      <c r="N1802" s="27" t="n">
        <f aca="false">N(N1801)+IF(AND(A1802&lt;&gt;"",OR(Recherche!$C$4="",A1802=Recherche!$C$4),OR(Recherche!$C$5="",B1802&amp;""=Recherche!$C$5&amp;""),OR(Recherche!$C$6="",IFERROR(YEAR(L1802),0)=Recherche!$C$6),OR(Recherche!$C$7="",ISNUMBER(SEARCH(Recherche!$C$7,H1802))),OR(Recherche!$C$8="",J1802=Recherche!$C$8),OR(Recherche!$C$9="",I1802=Recherche!$C$9),OR(Recherche!$C$10="",G1802&amp;""=Recherche!$C$10&amp;""),OR(Recherche!$C$11="",E1802=Recherche!$C$11),OR(Recherche!$C$12="",ISNUMBER(SEARCH(Recherche!$C$12,M1802&amp;" "&amp;F1802)))),1,0)</f>
        <v>8</v>
      </c>
    </row>
    <row r="1803" customFormat="false" ht="15" hidden="false" customHeight="false" outlineLevel="0" collapsed="false">
      <c r="A1803" s="19"/>
      <c r="B1803" s="19"/>
      <c r="C1803" s="19"/>
      <c r="D1803" s="19"/>
      <c r="E1803" s="22"/>
      <c r="F1803" s="19"/>
      <c r="G1803" s="26" t="str">
        <f aca="false">IF(D1803="","",IFERROR(VALUE(LEFT(D1803,FIND(" |",D1803&amp;" |")-1)),"?"))</f>
        <v/>
      </c>
      <c r="H1803" s="27" t="str">
        <f aca="false">IF(G1803="","",IF(G1803="?","⚠ pub inconnue",IFERROR(INDEX(Pubs!$B$2:$B$3001,MATCH(G1803,Pubs!$A$2:$A$3001,0))&amp;"","⚠ pub inconnue")))</f>
        <v/>
      </c>
      <c r="I1803" s="27" t="str">
        <f aca="false">IF(OR(G1803="",G1803="?"),"",IFERROR(INDEX(Pubs!$C$2:$C$3001,MATCH(G1803,Pubs!$A$2:$A$3001,0))&amp;"",""))</f>
        <v/>
      </c>
      <c r="J1803" s="27" t="str">
        <f aca="false">IF(OR(G1803="",G1803="?"),"",IFERROR(INDEX(Pubs!$G$2:$G$3001,MATCH(G1803,Pubs!$A$2:$A$3001,0))&amp;"",""))</f>
        <v/>
      </c>
      <c r="K1803" s="28" t="str">
        <f aca="false">IF(OR(G1803="",G1803="?"),"",IFERROR(INDEX(Pubs!$E$2:$E$3001,MATCH(G1803,Pubs!$A$2:$A$3001,0)),""))</f>
        <v/>
      </c>
      <c r="L1803" s="29" t="str">
        <f aca="false">IF(A1803="","",IFERROR(1/(1/INDEX(Numéros!$C$2:$C$3001,MATCH(A1803&amp;"|"&amp;B1803,Numéros!$F$2:$F$3001,0))),""))</f>
        <v/>
      </c>
      <c r="M1803" s="27" t="str">
        <f aca="false">IF(OR(G1803="",G1803="?"),"",IFERROR(INDEX(Pubs!$D$2:$D$3001,MATCH(G1803,Pubs!$A$2:$A$3001,0))&amp;"",""))</f>
        <v/>
      </c>
      <c r="N1803" s="27" t="n">
        <f aca="false">N(N1802)+IF(AND(A1803&lt;&gt;"",OR(Recherche!$C$4="",A1803=Recherche!$C$4),OR(Recherche!$C$5="",B1803&amp;""=Recherche!$C$5&amp;""),OR(Recherche!$C$6="",IFERROR(YEAR(L1803),0)=Recherche!$C$6),OR(Recherche!$C$7="",ISNUMBER(SEARCH(Recherche!$C$7,H1803))),OR(Recherche!$C$8="",J1803=Recherche!$C$8),OR(Recherche!$C$9="",I1803=Recherche!$C$9),OR(Recherche!$C$10="",G1803&amp;""=Recherche!$C$10&amp;""),OR(Recherche!$C$11="",E1803=Recherche!$C$11),OR(Recherche!$C$12="",ISNUMBER(SEARCH(Recherche!$C$12,M1803&amp;" "&amp;F1803)))),1,0)</f>
        <v>8</v>
      </c>
    </row>
    <row r="1804" customFormat="false" ht="15" hidden="false" customHeight="false" outlineLevel="0" collapsed="false">
      <c r="A1804" s="19"/>
      <c r="B1804" s="19"/>
      <c r="C1804" s="19"/>
      <c r="D1804" s="19"/>
      <c r="E1804" s="22"/>
      <c r="F1804" s="19"/>
      <c r="G1804" s="26" t="str">
        <f aca="false">IF(D1804="","",IFERROR(VALUE(LEFT(D1804,FIND(" |",D1804&amp;" |")-1)),"?"))</f>
        <v/>
      </c>
      <c r="H1804" s="27" t="str">
        <f aca="false">IF(G1804="","",IF(G1804="?","⚠ pub inconnue",IFERROR(INDEX(Pubs!$B$2:$B$3001,MATCH(G1804,Pubs!$A$2:$A$3001,0))&amp;"","⚠ pub inconnue")))</f>
        <v/>
      </c>
      <c r="I1804" s="27" t="str">
        <f aca="false">IF(OR(G1804="",G1804="?"),"",IFERROR(INDEX(Pubs!$C$2:$C$3001,MATCH(G1804,Pubs!$A$2:$A$3001,0))&amp;"",""))</f>
        <v/>
      </c>
      <c r="J1804" s="27" t="str">
        <f aca="false">IF(OR(G1804="",G1804="?"),"",IFERROR(INDEX(Pubs!$G$2:$G$3001,MATCH(G1804,Pubs!$A$2:$A$3001,0))&amp;"",""))</f>
        <v/>
      </c>
      <c r="K1804" s="28" t="str">
        <f aca="false">IF(OR(G1804="",G1804="?"),"",IFERROR(INDEX(Pubs!$E$2:$E$3001,MATCH(G1804,Pubs!$A$2:$A$3001,0)),""))</f>
        <v/>
      </c>
      <c r="L1804" s="29" t="str">
        <f aca="false">IF(A1804="","",IFERROR(1/(1/INDEX(Numéros!$C$2:$C$3001,MATCH(A1804&amp;"|"&amp;B1804,Numéros!$F$2:$F$3001,0))),""))</f>
        <v/>
      </c>
      <c r="M1804" s="27" t="str">
        <f aca="false">IF(OR(G1804="",G1804="?"),"",IFERROR(INDEX(Pubs!$D$2:$D$3001,MATCH(G1804,Pubs!$A$2:$A$3001,0))&amp;"",""))</f>
        <v/>
      </c>
      <c r="N1804" s="27" t="n">
        <f aca="false">N(N1803)+IF(AND(A1804&lt;&gt;"",OR(Recherche!$C$4="",A1804=Recherche!$C$4),OR(Recherche!$C$5="",B1804&amp;""=Recherche!$C$5&amp;""),OR(Recherche!$C$6="",IFERROR(YEAR(L1804),0)=Recherche!$C$6),OR(Recherche!$C$7="",ISNUMBER(SEARCH(Recherche!$C$7,H1804))),OR(Recherche!$C$8="",J1804=Recherche!$C$8),OR(Recherche!$C$9="",I1804=Recherche!$C$9),OR(Recherche!$C$10="",G1804&amp;""=Recherche!$C$10&amp;""),OR(Recherche!$C$11="",E1804=Recherche!$C$11),OR(Recherche!$C$12="",ISNUMBER(SEARCH(Recherche!$C$12,M1804&amp;" "&amp;F1804)))),1,0)</f>
        <v>8</v>
      </c>
    </row>
    <row r="1805" customFormat="false" ht="15" hidden="false" customHeight="false" outlineLevel="0" collapsed="false">
      <c r="A1805" s="19"/>
      <c r="B1805" s="19"/>
      <c r="C1805" s="19"/>
      <c r="D1805" s="19"/>
      <c r="E1805" s="22"/>
      <c r="F1805" s="19"/>
      <c r="G1805" s="26" t="str">
        <f aca="false">IF(D1805="","",IFERROR(VALUE(LEFT(D1805,FIND(" |",D1805&amp;" |")-1)),"?"))</f>
        <v/>
      </c>
      <c r="H1805" s="27" t="str">
        <f aca="false">IF(G1805="","",IF(G1805="?","⚠ pub inconnue",IFERROR(INDEX(Pubs!$B$2:$B$3001,MATCH(G1805,Pubs!$A$2:$A$3001,0))&amp;"","⚠ pub inconnue")))</f>
        <v/>
      </c>
      <c r="I1805" s="27" t="str">
        <f aca="false">IF(OR(G1805="",G1805="?"),"",IFERROR(INDEX(Pubs!$C$2:$C$3001,MATCH(G1805,Pubs!$A$2:$A$3001,0))&amp;"",""))</f>
        <v/>
      </c>
      <c r="J1805" s="27" t="str">
        <f aca="false">IF(OR(G1805="",G1805="?"),"",IFERROR(INDEX(Pubs!$G$2:$G$3001,MATCH(G1805,Pubs!$A$2:$A$3001,0))&amp;"",""))</f>
        <v/>
      </c>
      <c r="K1805" s="28" t="str">
        <f aca="false">IF(OR(G1805="",G1805="?"),"",IFERROR(INDEX(Pubs!$E$2:$E$3001,MATCH(G1805,Pubs!$A$2:$A$3001,0)),""))</f>
        <v/>
      </c>
      <c r="L1805" s="29" t="str">
        <f aca="false">IF(A1805="","",IFERROR(1/(1/INDEX(Numéros!$C$2:$C$3001,MATCH(A1805&amp;"|"&amp;B1805,Numéros!$F$2:$F$3001,0))),""))</f>
        <v/>
      </c>
      <c r="M1805" s="27" t="str">
        <f aca="false">IF(OR(G1805="",G1805="?"),"",IFERROR(INDEX(Pubs!$D$2:$D$3001,MATCH(G1805,Pubs!$A$2:$A$3001,0))&amp;"",""))</f>
        <v/>
      </c>
      <c r="N1805" s="27" t="n">
        <f aca="false">N(N1804)+IF(AND(A1805&lt;&gt;"",OR(Recherche!$C$4="",A1805=Recherche!$C$4),OR(Recherche!$C$5="",B1805&amp;""=Recherche!$C$5&amp;""),OR(Recherche!$C$6="",IFERROR(YEAR(L1805),0)=Recherche!$C$6),OR(Recherche!$C$7="",ISNUMBER(SEARCH(Recherche!$C$7,H1805))),OR(Recherche!$C$8="",J1805=Recherche!$C$8),OR(Recherche!$C$9="",I1805=Recherche!$C$9),OR(Recherche!$C$10="",G1805&amp;""=Recherche!$C$10&amp;""),OR(Recherche!$C$11="",E1805=Recherche!$C$11),OR(Recherche!$C$12="",ISNUMBER(SEARCH(Recherche!$C$12,M1805&amp;" "&amp;F1805)))),1,0)</f>
        <v>8</v>
      </c>
    </row>
    <row r="1806" customFormat="false" ht="15" hidden="false" customHeight="false" outlineLevel="0" collapsed="false">
      <c r="A1806" s="19"/>
      <c r="B1806" s="19"/>
      <c r="C1806" s="19"/>
      <c r="D1806" s="19"/>
      <c r="E1806" s="22"/>
      <c r="F1806" s="19"/>
      <c r="G1806" s="26" t="str">
        <f aca="false">IF(D1806="","",IFERROR(VALUE(LEFT(D1806,FIND(" |",D1806&amp;" |")-1)),"?"))</f>
        <v/>
      </c>
      <c r="H1806" s="27" t="str">
        <f aca="false">IF(G1806="","",IF(G1806="?","⚠ pub inconnue",IFERROR(INDEX(Pubs!$B$2:$B$3001,MATCH(G1806,Pubs!$A$2:$A$3001,0))&amp;"","⚠ pub inconnue")))</f>
        <v/>
      </c>
      <c r="I1806" s="27" t="str">
        <f aca="false">IF(OR(G1806="",G1806="?"),"",IFERROR(INDEX(Pubs!$C$2:$C$3001,MATCH(G1806,Pubs!$A$2:$A$3001,0))&amp;"",""))</f>
        <v/>
      </c>
      <c r="J1806" s="27" t="str">
        <f aca="false">IF(OR(G1806="",G1806="?"),"",IFERROR(INDEX(Pubs!$G$2:$G$3001,MATCH(G1806,Pubs!$A$2:$A$3001,0))&amp;"",""))</f>
        <v/>
      </c>
      <c r="K1806" s="28" t="str">
        <f aca="false">IF(OR(G1806="",G1806="?"),"",IFERROR(INDEX(Pubs!$E$2:$E$3001,MATCH(G1806,Pubs!$A$2:$A$3001,0)),""))</f>
        <v/>
      </c>
      <c r="L1806" s="29" t="str">
        <f aca="false">IF(A1806="","",IFERROR(1/(1/INDEX(Numéros!$C$2:$C$3001,MATCH(A1806&amp;"|"&amp;B1806,Numéros!$F$2:$F$3001,0))),""))</f>
        <v/>
      </c>
      <c r="M1806" s="27" t="str">
        <f aca="false">IF(OR(G1806="",G1806="?"),"",IFERROR(INDEX(Pubs!$D$2:$D$3001,MATCH(G1806,Pubs!$A$2:$A$3001,0))&amp;"",""))</f>
        <v/>
      </c>
      <c r="N1806" s="27" t="n">
        <f aca="false">N(N1805)+IF(AND(A1806&lt;&gt;"",OR(Recherche!$C$4="",A1806=Recherche!$C$4),OR(Recherche!$C$5="",B1806&amp;""=Recherche!$C$5&amp;""),OR(Recherche!$C$6="",IFERROR(YEAR(L1806),0)=Recherche!$C$6),OR(Recherche!$C$7="",ISNUMBER(SEARCH(Recherche!$C$7,H1806))),OR(Recherche!$C$8="",J1806=Recherche!$C$8),OR(Recherche!$C$9="",I1806=Recherche!$C$9),OR(Recherche!$C$10="",G1806&amp;""=Recherche!$C$10&amp;""),OR(Recherche!$C$11="",E1806=Recherche!$C$11),OR(Recherche!$C$12="",ISNUMBER(SEARCH(Recherche!$C$12,M1806&amp;" "&amp;F1806)))),1,0)</f>
        <v>8</v>
      </c>
    </row>
    <row r="1807" customFormat="false" ht="15" hidden="false" customHeight="false" outlineLevel="0" collapsed="false">
      <c r="A1807" s="19"/>
      <c r="B1807" s="19"/>
      <c r="C1807" s="19"/>
      <c r="D1807" s="19"/>
      <c r="E1807" s="22"/>
      <c r="F1807" s="19"/>
      <c r="G1807" s="26" t="str">
        <f aca="false">IF(D1807="","",IFERROR(VALUE(LEFT(D1807,FIND(" |",D1807&amp;" |")-1)),"?"))</f>
        <v/>
      </c>
      <c r="H1807" s="27" t="str">
        <f aca="false">IF(G1807="","",IF(G1807="?","⚠ pub inconnue",IFERROR(INDEX(Pubs!$B$2:$B$3001,MATCH(G1807,Pubs!$A$2:$A$3001,0))&amp;"","⚠ pub inconnue")))</f>
        <v/>
      </c>
      <c r="I1807" s="27" t="str">
        <f aca="false">IF(OR(G1807="",G1807="?"),"",IFERROR(INDEX(Pubs!$C$2:$C$3001,MATCH(G1807,Pubs!$A$2:$A$3001,0))&amp;"",""))</f>
        <v/>
      </c>
      <c r="J1807" s="27" t="str">
        <f aca="false">IF(OR(G1807="",G1807="?"),"",IFERROR(INDEX(Pubs!$G$2:$G$3001,MATCH(G1807,Pubs!$A$2:$A$3001,0))&amp;"",""))</f>
        <v/>
      </c>
      <c r="K1807" s="28" t="str">
        <f aca="false">IF(OR(G1807="",G1807="?"),"",IFERROR(INDEX(Pubs!$E$2:$E$3001,MATCH(G1807,Pubs!$A$2:$A$3001,0)),""))</f>
        <v/>
      </c>
      <c r="L1807" s="29" t="str">
        <f aca="false">IF(A1807="","",IFERROR(1/(1/INDEX(Numéros!$C$2:$C$3001,MATCH(A1807&amp;"|"&amp;B1807,Numéros!$F$2:$F$3001,0))),""))</f>
        <v/>
      </c>
      <c r="M1807" s="27" t="str">
        <f aca="false">IF(OR(G1807="",G1807="?"),"",IFERROR(INDEX(Pubs!$D$2:$D$3001,MATCH(G1807,Pubs!$A$2:$A$3001,0))&amp;"",""))</f>
        <v/>
      </c>
      <c r="N1807" s="27" t="n">
        <f aca="false">N(N1806)+IF(AND(A1807&lt;&gt;"",OR(Recherche!$C$4="",A1807=Recherche!$C$4),OR(Recherche!$C$5="",B1807&amp;""=Recherche!$C$5&amp;""),OR(Recherche!$C$6="",IFERROR(YEAR(L1807),0)=Recherche!$C$6),OR(Recherche!$C$7="",ISNUMBER(SEARCH(Recherche!$C$7,H1807))),OR(Recherche!$C$8="",J1807=Recherche!$C$8),OR(Recherche!$C$9="",I1807=Recherche!$C$9),OR(Recherche!$C$10="",G1807&amp;""=Recherche!$C$10&amp;""),OR(Recherche!$C$11="",E1807=Recherche!$C$11),OR(Recherche!$C$12="",ISNUMBER(SEARCH(Recherche!$C$12,M1807&amp;" "&amp;F1807)))),1,0)</f>
        <v>8</v>
      </c>
    </row>
    <row r="1808" customFormat="false" ht="15" hidden="false" customHeight="false" outlineLevel="0" collapsed="false">
      <c r="A1808" s="19"/>
      <c r="B1808" s="19"/>
      <c r="C1808" s="19"/>
      <c r="D1808" s="19"/>
      <c r="E1808" s="22"/>
      <c r="F1808" s="19"/>
      <c r="G1808" s="26" t="str">
        <f aca="false">IF(D1808="","",IFERROR(VALUE(LEFT(D1808,FIND(" |",D1808&amp;" |")-1)),"?"))</f>
        <v/>
      </c>
      <c r="H1808" s="27" t="str">
        <f aca="false">IF(G1808="","",IF(G1808="?","⚠ pub inconnue",IFERROR(INDEX(Pubs!$B$2:$B$3001,MATCH(G1808,Pubs!$A$2:$A$3001,0))&amp;"","⚠ pub inconnue")))</f>
        <v/>
      </c>
      <c r="I1808" s="27" t="str">
        <f aca="false">IF(OR(G1808="",G1808="?"),"",IFERROR(INDEX(Pubs!$C$2:$C$3001,MATCH(G1808,Pubs!$A$2:$A$3001,0))&amp;"",""))</f>
        <v/>
      </c>
      <c r="J1808" s="27" t="str">
        <f aca="false">IF(OR(G1808="",G1808="?"),"",IFERROR(INDEX(Pubs!$G$2:$G$3001,MATCH(G1808,Pubs!$A$2:$A$3001,0))&amp;"",""))</f>
        <v/>
      </c>
      <c r="K1808" s="28" t="str">
        <f aca="false">IF(OR(G1808="",G1808="?"),"",IFERROR(INDEX(Pubs!$E$2:$E$3001,MATCH(G1808,Pubs!$A$2:$A$3001,0)),""))</f>
        <v/>
      </c>
      <c r="L1808" s="29" t="str">
        <f aca="false">IF(A1808="","",IFERROR(1/(1/INDEX(Numéros!$C$2:$C$3001,MATCH(A1808&amp;"|"&amp;B1808,Numéros!$F$2:$F$3001,0))),""))</f>
        <v/>
      </c>
      <c r="M1808" s="27" t="str">
        <f aca="false">IF(OR(G1808="",G1808="?"),"",IFERROR(INDEX(Pubs!$D$2:$D$3001,MATCH(G1808,Pubs!$A$2:$A$3001,0))&amp;"",""))</f>
        <v/>
      </c>
      <c r="N1808" s="27" t="n">
        <f aca="false">N(N1807)+IF(AND(A1808&lt;&gt;"",OR(Recherche!$C$4="",A1808=Recherche!$C$4),OR(Recherche!$C$5="",B1808&amp;""=Recherche!$C$5&amp;""),OR(Recherche!$C$6="",IFERROR(YEAR(L1808),0)=Recherche!$C$6),OR(Recherche!$C$7="",ISNUMBER(SEARCH(Recherche!$C$7,H1808))),OR(Recherche!$C$8="",J1808=Recherche!$C$8),OR(Recherche!$C$9="",I1808=Recherche!$C$9),OR(Recherche!$C$10="",G1808&amp;""=Recherche!$C$10&amp;""),OR(Recherche!$C$11="",E1808=Recherche!$C$11),OR(Recherche!$C$12="",ISNUMBER(SEARCH(Recherche!$C$12,M1808&amp;" "&amp;F1808)))),1,0)</f>
        <v>8</v>
      </c>
    </row>
    <row r="1809" customFormat="false" ht="15" hidden="false" customHeight="false" outlineLevel="0" collapsed="false">
      <c r="A1809" s="19"/>
      <c r="B1809" s="19"/>
      <c r="C1809" s="19"/>
      <c r="D1809" s="19"/>
      <c r="E1809" s="22"/>
      <c r="F1809" s="19"/>
      <c r="G1809" s="26" t="str">
        <f aca="false">IF(D1809="","",IFERROR(VALUE(LEFT(D1809,FIND(" |",D1809&amp;" |")-1)),"?"))</f>
        <v/>
      </c>
      <c r="H1809" s="27" t="str">
        <f aca="false">IF(G1809="","",IF(G1809="?","⚠ pub inconnue",IFERROR(INDEX(Pubs!$B$2:$B$3001,MATCH(G1809,Pubs!$A$2:$A$3001,0))&amp;"","⚠ pub inconnue")))</f>
        <v/>
      </c>
      <c r="I1809" s="27" t="str">
        <f aca="false">IF(OR(G1809="",G1809="?"),"",IFERROR(INDEX(Pubs!$C$2:$C$3001,MATCH(G1809,Pubs!$A$2:$A$3001,0))&amp;"",""))</f>
        <v/>
      </c>
      <c r="J1809" s="27" t="str">
        <f aca="false">IF(OR(G1809="",G1809="?"),"",IFERROR(INDEX(Pubs!$G$2:$G$3001,MATCH(G1809,Pubs!$A$2:$A$3001,0))&amp;"",""))</f>
        <v/>
      </c>
      <c r="K1809" s="28" t="str">
        <f aca="false">IF(OR(G1809="",G1809="?"),"",IFERROR(INDEX(Pubs!$E$2:$E$3001,MATCH(G1809,Pubs!$A$2:$A$3001,0)),""))</f>
        <v/>
      </c>
      <c r="L1809" s="29" t="str">
        <f aca="false">IF(A1809="","",IFERROR(1/(1/INDEX(Numéros!$C$2:$C$3001,MATCH(A1809&amp;"|"&amp;B1809,Numéros!$F$2:$F$3001,0))),""))</f>
        <v/>
      </c>
      <c r="M1809" s="27" t="str">
        <f aca="false">IF(OR(G1809="",G1809="?"),"",IFERROR(INDEX(Pubs!$D$2:$D$3001,MATCH(G1809,Pubs!$A$2:$A$3001,0))&amp;"",""))</f>
        <v/>
      </c>
      <c r="N1809" s="27" t="n">
        <f aca="false">N(N1808)+IF(AND(A1809&lt;&gt;"",OR(Recherche!$C$4="",A1809=Recherche!$C$4),OR(Recherche!$C$5="",B1809&amp;""=Recherche!$C$5&amp;""),OR(Recherche!$C$6="",IFERROR(YEAR(L1809),0)=Recherche!$C$6),OR(Recherche!$C$7="",ISNUMBER(SEARCH(Recherche!$C$7,H1809))),OR(Recherche!$C$8="",J1809=Recherche!$C$8),OR(Recherche!$C$9="",I1809=Recherche!$C$9),OR(Recherche!$C$10="",G1809&amp;""=Recherche!$C$10&amp;""),OR(Recherche!$C$11="",E1809=Recherche!$C$11),OR(Recherche!$C$12="",ISNUMBER(SEARCH(Recherche!$C$12,M1809&amp;" "&amp;F1809)))),1,0)</f>
        <v>8</v>
      </c>
    </row>
    <row r="1810" customFormat="false" ht="15" hidden="false" customHeight="false" outlineLevel="0" collapsed="false">
      <c r="A1810" s="19"/>
      <c r="B1810" s="19"/>
      <c r="C1810" s="19"/>
      <c r="D1810" s="19"/>
      <c r="E1810" s="22"/>
      <c r="F1810" s="19"/>
      <c r="G1810" s="26" t="str">
        <f aca="false">IF(D1810="","",IFERROR(VALUE(LEFT(D1810,FIND(" |",D1810&amp;" |")-1)),"?"))</f>
        <v/>
      </c>
      <c r="H1810" s="27" t="str">
        <f aca="false">IF(G1810="","",IF(G1810="?","⚠ pub inconnue",IFERROR(INDEX(Pubs!$B$2:$B$3001,MATCH(G1810,Pubs!$A$2:$A$3001,0))&amp;"","⚠ pub inconnue")))</f>
        <v/>
      </c>
      <c r="I1810" s="27" t="str">
        <f aca="false">IF(OR(G1810="",G1810="?"),"",IFERROR(INDEX(Pubs!$C$2:$C$3001,MATCH(G1810,Pubs!$A$2:$A$3001,0))&amp;"",""))</f>
        <v/>
      </c>
      <c r="J1810" s="27" t="str">
        <f aca="false">IF(OR(G1810="",G1810="?"),"",IFERROR(INDEX(Pubs!$G$2:$G$3001,MATCH(G1810,Pubs!$A$2:$A$3001,0))&amp;"",""))</f>
        <v/>
      </c>
      <c r="K1810" s="28" t="str">
        <f aca="false">IF(OR(G1810="",G1810="?"),"",IFERROR(INDEX(Pubs!$E$2:$E$3001,MATCH(G1810,Pubs!$A$2:$A$3001,0)),""))</f>
        <v/>
      </c>
      <c r="L1810" s="29" t="str">
        <f aca="false">IF(A1810="","",IFERROR(1/(1/INDEX(Numéros!$C$2:$C$3001,MATCH(A1810&amp;"|"&amp;B1810,Numéros!$F$2:$F$3001,0))),""))</f>
        <v/>
      </c>
      <c r="M1810" s="27" t="str">
        <f aca="false">IF(OR(G1810="",G1810="?"),"",IFERROR(INDEX(Pubs!$D$2:$D$3001,MATCH(G1810,Pubs!$A$2:$A$3001,0))&amp;"",""))</f>
        <v/>
      </c>
      <c r="N1810" s="27" t="n">
        <f aca="false">N(N1809)+IF(AND(A1810&lt;&gt;"",OR(Recherche!$C$4="",A1810=Recherche!$C$4),OR(Recherche!$C$5="",B1810&amp;""=Recherche!$C$5&amp;""),OR(Recherche!$C$6="",IFERROR(YEAR(L1810),0)=Recherche!$C$6),OR(Recherche!$C$7="",ISNUMBER(SEARCH(Recherche!$C$7,H1810))),OR(Recherche!$C$8="",J1810=Recherche!$C$8),OR(Recherche!$C$9="",I1810=Recherche!$C$9),OR(Recherche!$C$10="",G1810&amp;""=Recherche!$C$10&amp;""),OR(Recherche!$C$11="",E1810=Recherche!$C$11),OR(Recherche!$C$12="",ISNUMBER(SEARCH(Recherche!$C$12,M1810&amp;" "&amp;F1810)))),1,0)</f>
        <v>8</v>
      </c>
    </row>
    <row r="1811" customFormat="false" ht="15" hidden="false" customHeight="false" outlineLevel="0" collapsed="false">
      <c r="A1811" s="19"/>
      <c r="B1811" s="19"/>
      <c r="C1811" s="19"/>
      <c r="D1811" s="19"/>
      <c r="E1811" s="22"/>
      <c r="F1811" s="19"/>
      <c r="G1811" s="26" t="str">
        <f aca="false">IF(D1811="","",IFERROR(VALUE(LEFT(D1811,FIND(" |",D1811&amp;" |")-1)),"?"))</f>
        <v/>
      </c>
      <c r="H1811" s="27" t="str">
        <f aca="false">IF(G1811="","",IF(G1811="?","⚠ pub inconnue",IFERROR(INDEX(Pubs!$B$2:$B$3001,MATCH(G1811,Pubs!$A$2:$A$3001,0))&amp;"","⚠ pub inconnue")))</f>
        <v/>
      </c>
      <c r="I1811" s="27" t="str">
        <f aca="false">IF(OR(G1811="",G1811="?"),"",IFERROR(INDEX(Pubs!$C$2:$C$3001,MATCH(G1811,Pubs!$A$2:$A$3001,0))&amp;"",""))</f>
        <v/>
      </c>
      <c r="J1811" s="27" t="str">
        <f aca="false">IF(OR(G1811="",G1811="?"),"",IFERROR(INDEX(Pubs!$G$2:$G$3001,MATCH(G1811,Pubs!$A$2:$A$3001,0))&amp;"",""))</f>
        <v/>
      </c>
      <c r="K1811" s="28" t="str">
        <f aca="false">IF(OR(G1811="",G1811="?"),"",IFERROR(INDEX(Pubs!$E$2:$E$3001,MATCH(G1811,Pubs!$A$2:$A$3001,0)),""))</f>
        <v/>
      </c>
      <c r="L1811" s="29" t="str">
        <f aca="false">IF(A1811="","",IFERROR(1/(1/INDEX(Numéros!$C$2:$C$3001,MATCH(A1811&amp;"|"&amp;B1811,Numéros!$F$2:$F$3001,0))),""))</f>
        <v/>
      </c>
      <c r="M1811" s="27" t="str">
        <f aca="false">IF(OR(G1811="",G1811="?"),"",IFERROR(INDEX(Pubs!$D$2:$D$3001,MATCH(G1811,Pubs!$A$2:$A$3001,0))&amp;"",""))</f>
        <v/>
      </c>
      <c r="N1811" s="27" t="n">
        <f aca="false">N(N1810)+IF(AND(A1811&lt;&gt;"",OR(Recherche!$C$4="",A1811=Recherche!$C$4),OR(Recherche!$C$5="",B1811&amp;""=Recherche!$C$5&amp;""),OR(Recherche!$C$6="",IFERROR(YEAR(L1811),0)=Recherche!$C$6),OR(Recherche!$C$7="",ISNUMBER(SEARCH(Recherche!$C$7,H1811))),OR(Recherche!$C$8="",J1811=Recherche!$C$8),OR(Recherche!$C$9="",I1811=Recherche!$C$9),OR(Recherche!$C$10="",G1811&amp;""=Recherche!$C$10&amp;""),OR(Recherche!$C$11="",E1811=Recherche!$C$11),OR(Recherche!$C$12="",ISNUMBER(SEARCH(Recherche!$C$12,M1811&amp;" "&amp;F1811)))),1,0)</f>
        <v>8</v>
      </c>
    </row>
    <row r="1812" customFormat="false" ht="15" hidden="false" customHeight="false" outlineLevel="0" collapsed="false">
      <c r="A1812" s="19"/>
      <c r="B1812" s="19"/>
      <c r="C1812" s="19"/>
      <c r="D1812" s="19"/>
      <c r="E1812" s="22"/>
      <c r="F1812" s="19"/>
      <c r="G1812" s="26" t="str">
        <f aca="false">IF(D1812="","",IFERROR(VALUE(LEFT(D1812,FIND(" |",D1812&amp;" |")-1)),"?"))</f>
        <v/>
      </c>
      <c r="H1812" s="27" t="str">
        <f aca="false">IF(G1812="","",IF(G1812="?","⚠ pub inconnue",IFERROR(INDEX(Pubs!$B$2:$B$3001,MATCH(G1812,Pubs!$A$2:$A$3001,0))&amp;"","⚠ pub inconnue")))</f>
        <v/>
      </c>
      <c r="I1812" s="27" t="str">
        <f aca="false">IF(OR(G1812="",G1812="?"),"",IFERROR(INDEX(Pubs!$C$2:$C$3001,MATCH(G1812,Pubs!$A$2:$A$3001,0))&amp;"",""))</f>
        <v/>
      </c>
      <c r="J1812" s="27" t="str">
        <f aca="false">IF(OR(G1812="",G1812="?"),"",IFERROR(INDEX(Pubs!$G$2:$G$3001,MATCH(G1812,Pubs!$A$2:$A$3001,0))&amp;"",""))</f>
        <v/>
      </c>
      <c r="K1812" s="28" t="str">
        <f aca="false">IF(OR(G1812="",G1812="?"),"",IFERROR(INDEX(Pubs!$E$2:$E$3001,MATCH(G1812,Pubs!$A$2:$A$3001,0)),""))</f>
        <v/>
      </c>
      <c r="L1812" s="29" t="str">
        <f aca="false">IF(A1812="","",IFERROR(1/(1/INDEX(Numéros!$C$2:$C$3001,MATCH(A1812&amp;"|"&amp;B1812,Numéros!$F$2:$F$3001,0))),""))</f>
        <v/>
      </c>
      <c r="M1812" s="27" t="str">
        <f aca="false">IF(OR(G1812="",G1812="?"),"",IFERROR(INDEX(Pubs!$D$2:$D$3001,MATCH(G1812,Pubs!$A$2:$A$3001,0))&amp;"",""))</f>
        <v/>
      </c>
      <c r="N1812" s="27" t="n">
        <f aca="false">N(N1811)+IF(AND(A1812&lt;&gt;"",OR(Recherche!$C$4="",A1812=Recherche!$C$4),OR(Recherche!$C$5="",B1812&amp;""=Recherche!$C$5&amp;""),OR(Recherche!$C$6="",IFERROR(YEAR(L1812),0)=Recherche!$C$6),OR(Recherche!$C$7="",ISNUMBER(SEARCH(Recherche!$C$7,H1812))),OR(Recherche!$C$8="",J1812=Recherche!$C$8),OR(Recherche!$C$9="",I1812=Recherche!$C$9),OR(Recherche!$C$10="",G1812&amp;""=Recherche!$C$10&amp;""),OR(Recherche!$C$11="",E1812=Recherche!$C$11),OR(Recherche!$C$12="",ISNUMBER(SEARCH(Recherche!$C$12,M1812&amp;" "&amp;F1812)))),1,0)</f>
        <v>8</v>
      </c>
    </row>
    <row r="1813" customFormat="false" ht="15" hidden="false" customHeight="false" outlineLevel="0" collapsed="false">
      <c r="A1813" s="19"/>
      <c r="B1813" s="19"/>
      <c r="C1813" s="19"/>
      <c r="D1813" s="19"/>
      <c r="E1813" s="22"/>
      <c r="F1813" s="19"/>
      <c r="G1813" s="26" t="str">
        <f aca="false">IF(D1813="","",IFERROR(VALUE(LEFT(D1813,FIND(" |",D1813&amp;" |")-1)),"?"))</f>
        <v/>
      </c>
      <c r="H1813" s="27" t="str">
        <f aca="false">IF(G1813="","",IF(G1813="?","⚠ pub inconnue",IFERROR(INDEX(Pubs!$B$2:$B$3001,MATCH(G1813,Pubs!$A$2:$A$3001,0))&amp;"","⚠ pub inconnue")))</f>
        <v/>
      </c>
      <c r="I1813" s="27" t="str">
        <f aca="false">IF(OR(G1813="",G1813="?"),"",IFERROR(INDEX(Pubs!$C$2:$C$3001,MATCH(G1813,Pubs!$A$2:$A$3001,0))&amp;"",""))</f>
        <v/>
      </c>
      <c r="J1813" s="27" t="str">
        <f aca="false">IF(OR(G1813="",G1813="?"),"",IFERROR(INDEX(Pubs!$G$2:$G$3001,MATCH(G1813,Pubs!$A$2:$A$3001,0))&amp;"",""))</f>
        <v/>
      </c>
      <c r="K1813" s="28" t="str">
        <f aca="false">IF(OR(G1813="",G1813="?"),"",IFERROR(INDEX(Pubs!$E$2:$E$3001,MATCH(G1813,Pubs!$A$2:$A$3001,0)),""))</f>
        <v/>
      </c>
      <c r="L1813" s="29" t="str">
        <f aca="false">IF(A1813="","",IFERROR(1/(1/INDEX(Numéros!$C$2:$C$3001,MATCH(A1813&amp;"|"&amp;B1813,Numéros!$F$2:$F$3001,0))),""))</f>
        <v/>
      </c>
      <c r="M1813" s="27" t="str">
        <f aca="false">IF(OR(G1813="",G1813="?"),"",IFERROR(INDEX(Pubs!$D$2:$D$3001,MATCH(G1813,Pubs!$A$2:$A$3001,0))&amp;"",""))</f>
        <v/>
      </c>
      <c r="N1813" s="27" t="n">
        <f aca="false">N(N1812)+IF(AND(A1813&lt;&gt;"",OR(Recherche!$C$4="",A1813=Recherche!$C$4),OR(Recherche!$C$5="",B1813&amp;""=Recherche!$C$5&amp;""),OR(Recherche!$C$6="",IFERROR(YEAR(L1813),0)=Recherche!$C$6),OR(Recherche!$C$7="",ISNUMBER(SEARCH(Recherche!$C$7,H1813))),OR(Recherche!$C$8="",J1813=Recherche!$C$8),OR(Recherche!$C$9="",I1813=Recherche!$C$9),OR(Recherche!$C$10="",G1813&amp;""=Recherche!$C$10&amp;""),OR(Recherche!$C$11="",E1813=Recherche!$C$11),OR(Recherche!$C$12="",ISNUMBER(SEARCH(Recherche!$C$12,M1813&amp;" "&amp;F1813)))),1,0)</f>
        <v>8</v>
      </c>
    </row>
    <row r="1814" customFormat="false" ht="15" hidden="false" customHeight="false" outlineLevel="0" collapsed="false">
      <c r="A1814" s="19"/>
      <c r="B1814" s="19"/>
      <c r="C1814" s="19"/>
      <c r="D1814" s="19"/>
      <c r="E1814" s="22"/>
      <c r="F1814" s="19"/>
      <c r="G1814" s="26" t="str">
        <f aca="false">IF(D1814="","",IFERROR(VALUE(LEFT(D1814,FIND(" |",D1814&amp;" |")-1)),"?"))</f>
        <v/>
      </c>
      <c r="H1814" s="27" t="str">
        <f aca="false">IF(G1814="","",IF(G1814="?","⚠ pub inconnue",IFERROR(INDEX(Pubs!$B$2:$B$3001,MATCH(G1814,Pubs!$A$2:$A$3001,0))&amp;"","⚠ pub inconnue")))</f>
        <v/>
      </c>
      <c r="I1814" s="27" t="str">
        <f aca="false">IF(OR(G1814="",G1814="?"),"",IFERROR(INDEX(Pubs!$C$2:$C$3001,MATCH(G1814,Pubs!$A$2:$A$3001,0))&amp;"",""))</f>
        <v/>
      </c>
      <c r="J1814" s="27" t="str">
        <f aca="false">IF(OR(G1814="",G1814="?"),"",IFERROR(INDEX(Pubs!$G$2:$G$3001,MATCH(G1814,Pubs!$A$2:$A$3001,0))&amp;"",""))</f>
        <v/>
      </c>
      <c r="K1814" s="28" t="str">
        <f aca="false">IF(OR(G1814="",G1814="?"),"",IFERROR(INDEX(Pubs!$E$2:$E$3001,MATCH(G1814,Pubs!$A$2:$A$3001,0)),""))</f>
        <v/>
      </c>
      <c r="L1814" s="29" t="str">
        <f aca="false">IF(A1814="","",IFERROR(1/(1/INDEX(Numéros!$C$2:$C$3001,MATCH(A1814&amp;"|"&amp;B1814,Numéros!$F$2:$F$3001,0))),""))</f>
        <v/>
      </c>
      <c r="M1814" s="27" t="str">
        <f aca="false">IF(OR(G1814="",G1814="?"),"",IFERROR(INDEX(Pubs!$D$2:$D$3001,MATCH(G1814,Pubs!$A$2:$A$3001,0))&amp;"",""))</f>
        <v/>
      </c>
      <c r="N1814" s="27" t="n">
        <f aca="false">N(N1813)+IF(AND(A1814&lt;&gt;"",OR(Recherche!$C$4="",A1814=Recherche!$C$4),OR(Recherche!$C$5="",B1814&amp;""=Recherche!$C$5&amp;""),OR(Recherche!$C$6="",IFERROR(YEAR(L1814),0)=Recherche!$C$6),OR(Recherche!$C$7="",ISNUMBER(SEARCH(Recherche!$C$7,H1814))),OR(Recherche!$C$8="",J1814=Recherche!$C$8),OR(Recherche!$C$9="",I1814=Recherche!$C$9),OR(Recherche!$C$10="",G1814&amp;""=Recherche!$C$10&amp;""),OR(Recherche!$C$11="",E1814=Recherche!$C$11),OR(Recherche!$C$12="",ISNUMBER(SEARCH(Recherche!$C$12,M1814&amp;" "&amp;F1814)))),1,0)</f>
        <v>8</v>
      </c>
    </row>
    <row r="1815" customFormat="false" ht="15" hidden="false" customHeight="false" outlineLevel="0" collapsed="false">
      <c r="A1815" s="19"/>
      <c r="B1815" s="19"/>
      <c r="C1815" s="19"/>
      <c r="D1815" s="19"/>
      <c r="E1815" s="22"/>
      <c r="F1815" s="19"/>
      <c r="G1815" s="26" t="str">
        <f aca="false">IF(D1815="","",IFERROR(VALUE(LEFT(D1815,FIND(" |",D1815&amp;" |")-1)),"?"))</f>
        <v/>
      </c>
      <c r="H1815" s="27" t="str">
        <f aca="false">IF(G1815="","",IF(G1815="?","⚠ pub inconnue",IFERROR(INDEX(Pubs!$B$2:$B$3001,MATCH(G1815,Pubs!$A$2:$A$3001,0))&amp;"","⚠ pub inconnue")))</f>
        <v/>
      </c>
      <c r="I1815" s="27" t="str">
        <f aca="false">IF(OR(G1815="",G1815="?"),"",IFERROR(INDEX(Pubs!$C$2:$C$3001,MATCH(G1815,Pubs!$A$2:$A$3001,0))&amp;"",""))</f>
        <v/>
      </c>
      <c r="J1815" s="27" t="str">
        <f aca="false">IF(OR(G1815="",G1815="?"),"",IFERROR(INDEX(Pubs!$G$2:$G$3001,MATCH(G1815,Pubs!$A$2:$A$3001,0))&amp;"",""))</f>
        <v/>
      </c>
      <c r="K1815" s="28" t="str">
        <f aca="false">IF(OR(G1815="",G1815="?"),"",IFERROR(INDEX(Pubs!$E$2:$E$3001,MATCH(G1815,Pubs!$A$2:$A$3001,0)),""))</f>
        <v/>
      </c>
      <c r="L1815" s="29" t="str">
        <f aca="false">IF(A1815="","",IFERROR(1/(1/INDEX(Numéros!$C$2:$C$3001,MATCH(A1815&amp;"|"&amp;B1815,Numéros!$F$2:$F$3001,0))),""))</f>
        <v/>
      </c>
      <c r="M1815" s="27" t="str">
        <f aca="false">IF(OR(G1815="",G1815="?"),"",IFERROR(INDEX(Pubs!$D$2:$D$3001,MATCH(G1815,Pubs!$A$2:$A$3001,0))&amp;"",""))</f>
        <v/>
      </c>
      <c r="N1815" s="27" t="n">
        <f aca="false">N(N1814)+IF(AND(A1815&lt;&gt;"",OR(Recherche!$C$4="",A1815=Recherche!$C$4),OR(Recherche!$C$5="",B1815&amp;""=Recherche!$C$5&amp;""),OR(Recherche!$C$6="",IFERROR(YEAR(L1815),0)=Recherche!$C$6),OR(Recherche!$C$7="",ISNUMBER(SEARCH(Recherche!$C$7,H1815))),OR(Recherche!$C$8="",J1815=Recherche!$C$8),OR(Recherche!$C$9="",I1815=Recherche!$C$9),OR(Recherche!$C$10="",G1815&amp;""=Recherche!$C$10&amp;""),OR(Recherche!$C$11="",E1815=Recherche!$C$11),OR(Recherche!$C$12="",ISNUMBER(SEARCH(Recherche!$C$12,M1815&amp;" "&amp;F1815)))),1,0)</f>
        <v>8</v>
      </c>
    </row>
    <row r="1816" customFormat="false" ht="15" hidden="false" customHeight="false" outlineLevel="0" collapsed="false">
      <c r="A1816" s="19"/>
      <c r="B1816" s="19"/>
      <c r="C1816" s="19"/>
      <c r="D1816" s="19"/>
      <c r="E1816" s="22"/>
      <c r="F1816" s="19"/>
      <c r="G1816" s="26" t="str">
        <f aca="false">IF(D1816="","",IFERROR(VALUE(LEFT(D1816,FIND(" |",D1816&amp;" |")-1)),"?"))</f>
        <v/>
      </c>
      <c r="H1816" s="27" t="str">
        <f aca="false">IF(G1816="","",IF(G1816="?","⚠ pub inconnue",IFERROR(INDEX(Pubs!$B$2:$B$3001,MATCH(G1816,Pubs!$A$2:$A$3001,0))&amp;"","⚠ pub inconnue")))</f>
        <v/>
      </c>
      <c r="I1816" s="27" t="str">
        <f aca="false">IF(OR(G1816="",G1816="?"),"",IFERROR(INDEX(Pubs!$C$2:$C$3001,MATCH(G1816,Pubs!$A$2:$A$3001,0))&amp;"",""))</f>
        <v/>
      </c>
      <c r="J1816" s="27" t="str">
        <f aca="false">IF(OR(G1816="",G1816="?"),"",IFERROR(INDEX(Pubs!$G$2:$G$3001,MATCH(G1816,Pubs!$A$2:$A$3001,0))&amp;"",""))</f>
        <v/>
      </c>
      <c r="K1816" s="28" t="str">
        <f aca="false">IF(OR(G1816="",G1816="?"),"",IFERROR(INDEX(Pubs!$E$2:$E$3001,MATCH(G1816,Pubs!$A$2:$A$3001,0)),""))</f>
        <v/>
      </c>
      <c r="L1816" s="29" t="str">
        <f aca="false">IF(A1816="","",IFERROR(1/(1/INDEX(Numéros!$C$2:$C$3001,MATCH(A1816&amp;"|"&amp;B1816,Numéros!$F$2:$F$3001,0))),""))</f>
        <v/>
      </c>
      <c r="M1816" s="27" t="str">
        <f aca="false">IF(OR(G1816="",G1816="?"),"",IFERROR(INDEX(Pubs!$D$2:$D$3001,MATCH(G1816,Pubs!$A$2:$A$3001,0))&amp;"",""))</f>
        <v/>
      </c>
      <c r="N1816" s="27" t="n">
        <f aca="false">N(N1815)+IF(AND(A1816&lt;&gt;"",OR(Recherche!$C$4="",A1816=Recherche!$C$4),OR(Recherche!$C$5="",B1816&amp;""=Recherche!$C$5&amp;""),OR(Recherche!$C$6="",IFERROR(YEAR(L1816),0)=Recherche!$C$6),OR(Recherche!$C$7="",ISNUMBER(SEARCH(Recherche!$C$7,H1816))),OR(Recherche!$C$8="",J1816=Recherche!$C$8),OR(Recherche!$C$9="",I1816=Recherche!$C$9),OR(Recherche!$C$10="",G1816&amp;""=Recherche!$C$10&amp;""),OR(Recherche!$C$11="",E1816=Recherche!$C$11),OR(Recherche!$C$12="",ISNUMBER(SEARCH(Recherche!$C$12,M1816&amp;" "&amp;F1816)))),1,0)</f>
        <v>8</v>
      </c>
    </row>
    <row r="1817" customFormat="false" ht="15" hidden="false" customHeight="false" outlineLevel="0" collapsed="false">
      <c r="A1817" s="19"/>
      <c r="B1817" s="19"/>
      <c r="C1817" s="19"/>
      <c r="D1817" s="19"/>
      <c r="E1817" s="22"/>
      <c r="F1817" s="19"/>
      <c r="G1817" s="26" t="str">
        <f aca="false">IF(D1817="","",IFERROR(VALUE(LEFT(D1817,FIND(" |",D1817&amp;" |")-1)),"?"))</f>
        <v/>
      </c>
      <c r="H1817" s="27" t="str">
        <f aca="false">IF(G1817="","",IF(G1817="?","⚠ pub inconnue",IFERROR(INDEX(Pubs!$B$2:$B$3001,MATCH(G1817,Pubs!$A$2:$A$3001,0))&amp;"","⚠ pub inconnue")))</f>
        <v/>
      </c>
      <c r="I1817" s="27" t="str">
        <f aca="false">IF(OR(G1817="",G1817="?"),"",IFERROR(INDEX(Pubs!$C$2:$C$3001,MATCH(G1817,Pubs!$A$2:$A$3001,0))&amp;"",""))</f>
        <v/>
      </c>
      <c r="J1817" s="27" t="str">
        <f aca="false">IF(OR(G1817="",G1817="?"),"",IFERROR(INDEX(Pubs!$G$2:$G$3001,MATCH(G1817,Pubs!$A$2:$A$3001,0))&amp;"",""))</f>
        <v/>
      </c>
      <c r="K1817" s="28" t="str">
        <f aca="false">IF(OR(G1817="",G1817="?"),"",IFERROR(INDEX(Pubs!$E$2:$E$3001,MATCH(G1817,Pubs!$A$2:$A$3001,0)),""))</f>
        <v/>
      </c>
      <c r="L1817" s="29" t="str">
        <f aca="false">IF(A1817="","",IFERROR(1/(1/INDEX(Numéros!$C$2:$C$3001,MATCH(A1817&amp;"|"&amp;B1817,Numéros!$F$2:$F$3001,0))),""))</f>
        <v/>
      </c>
      <c r="M1817" s="27" t="str">
        <f aca="false">IF(OR(G1817="",G1817="?"),"",IFERROR(INDEX(Pubs!$D$2:$D$3001,MATCH(G1817,Pubs!$A$2:$A$3001,0))&amp;"",""))</f>
        <v/>
      </c>
      <c r="N1817" s="27" t="n">
        <f aca="false">N(N1816)+IF(AND(A1817&lt;&gt;"",OR(Recherche!$C$4="",A1817=Recherche!$C$4),OR(Recherche!$C$5="",B1817&amp;""=Recherche!$C$5&amp;""),OR(Recherche!$C$6="",IFERROR(YEAR(L1817),0)=Recherche!$C$6),OR(Recherche!$C$7="",ISNUMBER(SEARCH(Recherche!$C$7,H1817))),OR(Recherche!$C$8="",J1817=Recherche!$C$8),OR(Recherche!$C$9="",I1817=Recherche!$C$9),OR(Recherche!$C$10="",G1817&amp;""=Recherche!$C$10&amp;""),OR(Recherche!$C$11="",E1817=Recherche!$C$11),OR(Recherche!$C$12="",ISNUMBER(SEARCH(Recherche!$C$12,M1817&amp;" "&amp;F1817)))),1,0)</f>
        <v>8</v>
      </c>
    </row>
    <row r="1818" customFormat="false" ht="15" hidden="false" customHeight="false" outlineLevel="0" collapsed="false">
      <c r="A1818" s="19"/>
      <c r="B1818" s="19"/>
      <c r="C1818" s="19"/>
      <c r="D1818" s="19"/>
      <c r="E1818" s="22"/>
      <c r="F1818" s="19"/>
      <c r="G1818" s="26" t="str">
        <f aca="false">IF(D1818="","",IFERROR(VALUE(LEFT(D1818,FIND(" |",D1818&amp;" |")-1)),"?"))</f>
        <v/>
      </c>
      <c r="H1818" s="27" t="str">
        <f aca="false">IF(G1818="","",IF(G1818="?","⚠ pub inconnue",IFERROR(INDEX(Pubs!$B$2:$B$3001,MATCH(G1818,Pubs!$A$2:$A$3001,0))&amp;"","⚠ pub inconnue")))</f>
        <v/>
      </c>
      <c r="I1818" s="27" t="str">
        <f aca="false">IF(OR(G1818="",G1818="?"),"",IFERROR(INDEX(Pubs!$C$2:$C$3001,MATCH(G1818,Pubs!$A$2:$A$3001,0))&amp;"",""))</f>
        <v/>
      </c>
      <c r="J1818" s="27" t="str">
        <f aca="false">IF(OR(G1818="",G1818="?"),"",IFERROR(INDEX(Pubs!$G$2:$G$3001,MATCH(G1818,Pubs!$A$2:$A$3001,0))&amp;"",""))</f>
        <v/>
      </c>
      <c r="K1818" s="28" t="str">
        <f aca="false">IF(OR(G1818="",G1818="?"),"",IFERROR(INDEX(Pubs!$E$2:$E$3001,MATCH(G1818,Pubs!$A$2:$A$3001,0)),""))</f>
        <v/>
      </c>
      <c r="L1818" s="29" t="str">
        <f aca="false">IF(A1818="","",IFERROR(1/(1/INDEX(Numéros!$C$2:$C$3001,MATCH(A1818&amp;"|"&amp;B1818,Numéros!$F$2:$F$3001,0))),""))</f>
        <v/>
      </c>
      <c r="M1818" s="27" t="str">
        <f aca="false">IF(OR(G1818="",G1818="?"),"",IFERROR(INDEX(Pubs!$D$2:$D$3001,MATCH(G1818,Pubs!$A$2:$A$3001,0))&amp;"",""))</f>
        <v/>
      </c>
      <c r="N1818" s="27" t="n">
        <f aca="false">N(N1817)+IF(AND(A1818&lt;&gt;"",OR(Recherche!$C$4="",A1818=Recherche!$C$4),OR(Recherche!$C$5="",B1818&amp;""=Recherche!$C$5&amp;""),OR(Recherche!$C$6="",IFERROR(YEAR(L1818),0)=Recherche!$C$6),OR(Recherche!$C$7="",ISNUMBER(SEARCH(Recherche!$C$7,H1818))),OR(Recherche!$C$8="",J1818=Recherche!$C$8),OR(Recherche!$C$9="",I1818=Recherche!$C$9),OR(Recherche!$C$10="",G1818&amp;""=Recherche!$C$10&amp;""),OR(Recherche!$C$11="",E1818=Recherche!$C$11),OR(Recherche!$C$12="",ISNUMBER(SEARCH(Recherche!$C$12,M1818&amp;" "&amp;F1818)))),1,0)</f>
        <v>8</v>
      </c>
    </row>
    <row r="1819" customFormat="false" ht="15" hidden="false" customHeight="false" outlineLevel="0" collapsed="false">
      <c r="A1819" s="19"/>
      <c r="B1819" s="19"/>
      <c r="C1819" s="19"/>
      <c r="D1819" s="19"/>
      <c r="E1819" s="22"/>
      <c r="F1819" s="19"/>
      <c r="G1819" s="26" t="str">
        <f aca="false">IF(D1819="","",IFERROR(VALUE(LEFT(D1819,FIND(" |",D1819&amp;" |")-1)),"?"))</f>
        <v/>
      </c>
      <c r="H1819" s="27" t="str">
        <f aca="false">IF(G1819="","",IF(G1819="?","⚠ pub inconnue",IFERROR(INDEX(Pubs!$B$2:$B$3001,MATCH(G1819,Pubs!$A$2:$A$3001,0))&amp;"","⚠ pub inconnue")))</f>
        <v/>
      </c>
      <c r="I1819" s="27" t="str">
        <f aca="false">IF(OR(G1819="",G1819="?"),"",IFERROR(INDEX(Pubs!$C$2:$C$3001,MATCH(G1819,Pubs!$A$2:$A$3001,0))&amp;"",""))</f>
        <v/>
      </c>
      <c r="J1819" s="27" t="str">
        <f aca="false">IF(OR(G1819="",G1819="?"),"",IFERROR(INDEX(Pubs!$G$2:$G$3001,MATCH(G1819,Pubs!$A$2:$A$3001,0))&amp;"",""))</f>
        <v/>
      </c>
      <c r="K1819" s="28" t="str">
        <f aca="false">IF(OR(G1819="",G1819="?"),"",IFERROR(INDEX(Pubs!$E$2:$E$3001,MATCH(G1819,Pubs!$A$2:$A$3001,0)),""))</f>
        <v/>
      </c>
      <c r="L1819" s="29" t="str">
        <f aca="false">IF(A1819="","",IFERROR(1/(1/INDEX(Numéros!$C$2:$C$3001,MATCH(A1819&amp;"|"&amp;B1819,Numéros!$F$2:$F$3001,0))),""))</f>
        <v/>
      </c>
      <c r="M1819" s="27" t="str">
        <f aca="false">IF(OR(G1819="",G1819="?"),"",IFERROR(INDEX(Pubs!$D$2:$D$3001,MATCH(G1819,Pubs!$A$2:$A$3001,0))&amp;"",""))</f>
        <v/>
      </c>
      <c r="N1819" s="27" t="n">
        <f aca="false">N(N1818)+IF(AND(A1819&lt;&gt;"",OR(Recherche!$C$4="",A1819=Recherche!$C$4),OR(Recherche!$C$5="",B1819&amp;""=Recherche!$C$5&amp;""),OR(Recherche!$C$6="",IFERROR(YEAR(L1819),0)=Recherche!$C$6),OR(Recherche!$C$7="",ISNUMBER(SEARCH(Recherche!$C$7,H1819))),OR(Recherche!$C$8="",J1819=Recherche!$C$8),OR(Recherche!$C$9="",I1819=Recherche!$C$9),OR(Recherche!$C$10="",G1819&amp;""=Recherche!$C$10&amp;""),OR(Recherche!$C$11="",E1819=Recherche!$C$11),OR(Recherche!$C$12="",ISNUMBER(SEARCH(Recherche!$C$12,M1819&amp;" "&amp;F1819)))),1,0)</f>
        <v>8</v>
      </c>
    </row>
    <row r="1820" customFormat="false" ht="15" hidden="false" customHeight="false" outlineLevel="0" collapsed="false">
      <c r="A1820" s="19"/>
      <c r="B1820" s="19"/>
      <c r="C1820" s="19"/>
      <c r="D1820" s="19"/>
      <c r="E1820" s="22"/>
      <c r="F1820" s="19"/>
      <c r="G1820" s="26" t="str">
        <f aca="false">IF(D1820="","",IFERROR(VALUE(LEFT(D1820,FIND(" |",D1820&amp;" |")-1)),"?"))</f>
        <v/>
      </c>
      <c r="H1820" s="27" t="str">
        <f aca="false">IF(G1820="","",IF(G1820="?","⚠ pub inconnue",IFERROR(INDEX(Pubs!$B$2:$B$3001,MATCH(G1820,Pubs!$A$2:$A$3001,0))&amp;"","⚠ pub inconnue")))</f>
        <v/>
      </c>
      <c r="I1820" s="27" t="str">
        <f aca="false">IF(OR(G1820="",G1820="?"),"",IFERROR(INDEX(Pubs!$C$2:$C$3001,MATCH(G1820,Pubs!$A$2:$A$3001,0))&amp;"",""))</f>
        <v/>
      </c>
      <c r="J1820" s="27" t="str">
        <f aca="false">IF(OR(G1820="",G1820="?"),"",IFERROR(INDEX(Pubs!$G$2:$G$3001,MATCH(G1820,Pubs!$A$2:$A$3001,0))&amp;"",""))</f>
        <v/>
      </c>
      <c r="K1820" s="28" t="str">
        <f aca="false">IF(OR(G1820="",G1820="?"),"",IFERROR(INDEX(Pubs!$E$2:$E$3001,MATCH(G1820,Pubs!$A$2:$A$3001,0)),""))</f>
        <v/>
      </c>
      <c r="L1820" s="29" t="str">
        <f aca="false">IF(A1820="","",IFERROR(1/(1/INDEX(Numéros!$C$2:$C$3001,MATCH(A1820&amp;"|"&amp;B1820,Numéros!$F$2:$F$3001,0))),""))</f>
        <v/>
      </c>
      <c r="M1820" s="27" t="str">
        <f aca="false">IF(OR(G1820="",G1820="?"),"",IFERROR(INDEX(Pubs!$D$2:$D$3001,MATCH(G1820,Pubs!$A$2:$A$3001,0))&amp;"",""))</f>
        <v/>
      </c>
      <c r="N1820" s="27" t="n">
        <f aca="false">N(N1819)+IF(AND(A1820&lt;&gt;"",OR(Recherche!$C$4="",A1820=Recherche!$C$4),OR(Recherche!$C$5="",B1820&amp;""=Recherche!$C$5&amp;""),OR(Recherche!$C$6="",IFERROR(YEAR(L1820),0)=Recherche!$C$6),OR(Recherche!$C$7="",ISNUMBER(SEARCH(Recherche!$C$7,H1820))),OR(Recherche!$C$8="",J1820=Recherche!$C$8),OR(Recherche!$C$9="",I1820=Recherche!$C$9),OR(Recherche!$C$10="",G1820&amp;""=Recherche!$C$10&amp;""),OR(Recherche!$C$11="",E1820=Recherche!$C$11),OR(Recherche!$C$12="",ISNUMBER(SEARCH(Recherche!$C$12,M1820&amp;" "&amp;F1820)))),1,0)</f>
        <v>8</v>
      </c>
    </row>
    <row r="1821" customFormat="false" ht="15" hidden="false" customHeight="false" outlineLevel="0" collapsed="false">
      <c r="A1821" s="19"/>
      <c r="B1821" s="19"/>
      <c r="C1821" s="19"/>
      <c r="D1821" s="19"/>
      <c r="E1821" s="22"/>
      <c r="F1821" s="19"/>
      <c r="G1821" s="26" t="str">
        <f aca="false">IF(D1821="","",IFERROR(VALUE(LEFT(D1821,FIND(" |",D1821&amp;" |")-1)),"?"))</f>
        <v/>
      </c>
      <c r="H1821" s="27" t="str">
        <f aca="false">IF(G1821="","",IF(G1821="?","⚠ pub inconnue",IFERROR(INDEX(Pubs!$B$2:$B$3001,MATCH(G1821,Pubs!$A$2:$A$3001,0))&amp;"","⚠ pub inconnue")))</f>
        <v/>
      </c>
      <c r="I1821" s="27" t="str">
        <f aca="false">IF(OR(G1821="",G1821="?"),"",IFERROR(INDEX(Pubs!$C$2:$C$3001,MATCH(G1821,Pubs!$A$2:$A$3001,0))&amp;"",""))</f>
        <v/>
      </c>
      <c r="J1821" s="27" t="str">
        <f aca="false">IF(OR(G1821="",G1821="?"),"",IFERROR(INDEX(Pubs!$G$2:$G$3001,MATCH(G1821,Pubs!$A$2:$A$3001,0))&amp;"",""))</f>
        <v/>
      </c>
      <c r="K1821" s="28" t="str">
        <f aca="false">IF(OR(G1821="",G1821="?"),"",IFERROR(INDEX(Pubs!$E$2:$E$3001,MATCH(G1821,Pubs!$A$2:$A$3001,0)),""))</f>
        <v/>
      </c>
      <c r="L1821" s="29" t="str">
        <f aca="false">IF(A1821="","",IFERROR(1/(1/INDEX(Numéros!$C$2:$C$3001,MATCH(A1821&amp;"|"&amp;B1821,Numéros!$F$2:$F$3001,0))),""))</f>
        <v/>
      </c>
      <c r="M1821" s="27" t="str">
        <f aca="false">IF(OR(G1821="",G1821="?"),"",IFERROR(INDEX(Pubs!$D$2:$D$3001,MATCH(G1821,Pubs!$A$2:$A$3001,0))&amp;"",""))</f>
        <v/>
      </c>
      <c r="N1821" s="27" t="n">
        <f aca="false">N(N1820)+IF(AND(A1821&lt;&gt;"",OR(Recherche!$C$4="",A1821=Recherche!$C$4),OR(Recherche!$C$5="",B1821&amp;""=Recherche!$C$5&amp;""),OR(Recherche!$C$6="",IFERROR(YEAR(L1821),0)=Recherche!$C$6),OR(Recherche!$C$7="",ISNUMBER(SEARCH(Recherche!$C$7,H1821))),OR(Recherche!$C$8="",J1821=Recherche!$C$8),OR(Recherche!$C$9="",I1821=Recherche!$C$9),OR(Recherche!$C$10="",G1821&amp;""=Recherche!$C$10&amp;""),OR(Recherche!$C$11="",E1821=Recherche!$C$11),OR(Recherche!$C$12="",ISNUMBER(SEARCH(Recherche!$C$12,M1821&amp;" "&amp;F1821)))),1,0)</f>
        <v>8</v>
      </c>
    </row>
    <row r="1822" customFormat="false" ht="15" hidden="false" customHeight="false" outlineLevel="0" collapsed="false">
      <c r="A1822" s="19"/>
      <c r="B1822" s="19"/>
      <c r="C1822" s="19"/>
      <c r="D1822" s="19"/>
      <c r="E1822" s="22"/>
      <c r="F1822" s="19"/>
      <c r="G1822" s="26" t="str">
        <f aca="false">IF(D1822="","",IFERROR(VALUE(LEFT(D1822,FIND(" |",D1822&amp;" |")-1)),"?"))</f>
        <v/>
      </c>
      <c r="H1822" s="27" t="str">
        <f aca="false">IF(G1822="","",IF(G1822="?","⚠ pub inconnue",IFERROR(INDEX(Pubs!$B$2:$B$3001,MATCH(G1822,Pubs!$A$2:$A$3001,0))&amp;"","⚠ pub inconnue")))</f>
        <v/>
      </c>
      <c r="I1822" s="27" t="str">
        <f aca="false">IF(OR(G1822="",G1822="?"),"",IFERROR(INDEX(Pubs!$C$2:$C$3001,MATCH(G1822,Pubs!$A$2:$A$3001,0))&amp;"",""))</f>
        <v/>
      </c>
      <c r="J1822" s="27" t="str">
        <f aca="false">IF(OR(G1822="",G1822="?"),"",IFERROR(INDEX(Pubs!$G$2:$G$3001,MATCH(G1822,Pubs!$A$2:$A$3001,0))&amp;"",""))</f>
        <v/>
      </c>
      <c r="K1822" s="28" t="str">
        <f aca="false">IF(OR(G1822="",G1822="?"),"",IFERROR(INDEX(Pubs!$E$2:$E$3001,MATCH(G1822,Pubs!$A$2:$A$3001,0)),""))</f>
        <v/>
      </c>
      <c r="L1822" s="29" t="str">
        <f aca="false">IF(A1822="","",IFERROR(1/(1/INDEX(Numéros!$C$2:$C$3001,MATCH(A1822&amp;"|"&amp;B1822,Numéros!$F$2:$F$3001,0))),""))</f>
        <v/>
      </c>
      <c r="M1822" s="27" t="str">
        <f aca="false">IF(OR(G1822="",G1822="?"),"",IFERROR(INDEX(Pubs!$D$2:$D$3001,MATCH(G1822,Pubs!$A$2:$A$3001,0))&amp;"",""))</f>
        <v/>
      </c>
      <c r="N1822" s="27" t="n">
        <f aca="false">N(N1821)+IF(AND(A1822&lt;&gt;"",OR(Recherche!$C$4="",A1822=Recherche!$C$4),OR(Recherche!$C$5="",B1822&amp;""=Recherche!$C$5&amp;""),OR(Recherche!$C$6="",IFERROR(YEAR(L1822),0)=Recherche!$C$6),OR(Recherche!$C$7="",ISNUMBER(SEARCH(Recherche!$C$7,H1822))),OR(Recherche!$C$8="",J1822=Recherche!$C$8),OR(Recherche!$C$9="",I1822=Recherche!$C$9),OR(Recherche!$C$10="",G1822&amp;""=Recherche!$C$10&amp;""),OR(Recherche!$C$11="",E1822=Recherche!$C$11),OR(Recherche!$C$12="",ISNUMBER(SEARCH(Recherche!$C$12,M1822&amp;" "&amp;F1822)))),1,0)</f>
        <v>8</v>
      </c>
    </row>
    <row r="1823" customFormat="false" ht="15" hidden="false" customHeight="false" outlineLevel="0" collapsed="false">
      <c r="A1823" s="19"/>
      <c r="B1823" s="19"/>
      <c r="C1823" s="19"/>
      <c r="D1823" s="19"/>
      <c r="E1823" s="22"/>
      <c r="F1823" s="19"/>
      <c r="G1823" s="26" t="str">
        <f aca="false">IF(D1823="","",IFERROR(VALUE(LEFT(D1823,FIND(" |",D1823&amp;" |")-1)),"?"))</f>
        <v/>
      </c>
      <c r="H1823" s="27" t="str">
        <f aca="false">IF(G1823="","",IF(G1823="?","⚠ pub inconnue",IFERROR(INDEX(Pubs!$B$2:$B$3001,MATCH(G1823,Pubs!$A$2:$A$3001,0))&amp;"","⚠ pub inconnue")))</f>
        <v/>
      </c>
      <c r="I1823" s="27" t="str">
        <f aca="false">IF(OR(G1823="",G1823="?"),"",IFERROR(INDEX(Pubs!$C$2:$C$3001,MATCH(G1823,Pubs!$A$2:$A$3001,0))&amp;"",""))</f>
        <v/>
      </c>
      <c r="J1823" s="27" t="str">
        <f aca="false">IF(OR(G1823="",G1823="?"),"",IFERROR(INDEX(Pubs!$G$2:$G$3001,MATCH(G1823,Pubs!$A$2:$A$3001,0))&amp;"",""))</f>
        <v/>
      </c>
      <c r="K1823" s="28" t="str">
        <f aca="false">IF(OR(G1823="",G1823="?"),"",IFERROR(INDEX(Pubs!$E$2:$E$3001,MATCH(G1823,Pubs!$A$2:$A$3001,0)),""))</f>
        <v/>
      </c>
      <c r="L1823" s="29" t="str">
        <f aca="false">IF(A1823="","",IFERROR(1/(1/INDEX(Numéros!$C$2:$C$3001,MATCH(A1823&amp;"|"&amp;B1823,Numéros!$F$2:$F$3001,0))),""))</f>
        <v/>
      </c>
      <c r="M1823" s="27" t="str">
        <f aca="false">IF(OR(G1823="",G1823="?"),"",IFERROR(INDEX(Pubs!$D$2:$D$3001,MATCH(G1823,Pubs!$A$2:$A$3001,0))&amp;"",""))</f>
        <v/>
      </c>
      <c r="N1823" s="27" t="n">
        <f aca="false">N(N1822)+IF(AND(A1823&lt;&gt;"",OR(Recherche!$C$4="",A1823=Recherche!$C$4),OR(Recherche!$C$5="",B1823&amp;""=Recherche!$C$5&amp;""),OR(Recherche!$C$6="",IFERROR(YEAR(L1823),0)=Recherche!$C$6),OR(Recherche!$C$7="",ISNUMBER(SEARCH(Recherche!$C$7,H1823))),OR(Recherche!$C$8="",J1823=Recherche!$C$8),OR(Recherche!$C$9="",I1823=Recherche!$C$9),OR(Recherche!$C$10="",G1823&amp;""=Recherche!$C$10&amp;""),OR(Recherche!$C$11="",E1823=Recherche!$C$11),OR(Recherche!$C$12="",ISNUMBER(SEARCH(Recherche!$C$12,M1823&amp;" "&amp;F1823)))),1,0)</f>
        <v>8</v>
      </c>
    </row>
    <row r="1824" customFormat="false" ht="15" hidden="false" customHeight="false" outlineLevel="0" collapsed="false">
      <c r="A1824" s="19"/>
      <c r="B1824" s="19"/>
      <c r="C1824" s="19"/>
      <c r="D1824" s="19"/>
      <c r="E1824" s="22"/>
      <c r="F1824" s="19"/>
      <c r="G1824" s="26" t="str">
        <f aca="false">IF(D1824="","",IFERROR(VALUE(LEFT(D1824,FIND(" |",D1824&amp;" |")-1)),"?"))</f>
        <v/>
      </c>
      <c r="H1824" s="27" t="str">
        <f aca="false">IF(G1824="","",IF(G1824="?","⚠ pub inconnue",IFERROR(INDEX(Pubs!$B$2:$B$3001,MATCH(G1824,Pubs!$A$2:$A$3001,0))&amp;"","⚠ pub inconnue")))</f>
        <v/>
      </c>
      <c r="I1824" s="27" t="str">
        <f aca="false">IF(OR(G1824="",G1824="?"),"",IFERROR(INDEX(Pubs!$C$2:$C$3001,MATCH(G1824,Pubs!$A$2:$A$3001,0))&amp;"",""))</f>
        <v/>
      </c>
      <c r="J1824" s="27" t="str">
        <f aca="false">IF(OR(G1824="",G1824="?"),"",IFERROR(INDEX(Pubs!$G$2:$G$3001,MATCH(G1824,Pubs!$A$2:$A$3001,0))&amp;"",""))</f>
        <v/>
      </c>
      <c r="K1824" s="28" t="str">
        <f aca="false">IF(OR(G1824="",G1824="?"),"",IFERROR(INDEX(Pubs!$E$2:$E$3001,MATCH(G1824,Pubs!$A$2:$A$3001,0)),""))</f>
        <v/>
      </c>
      <c r="L1824" s="29" t="str">
        <f aca="false">IF(A1824="","",IFERROR(1/(1/INDEX(Numéros!$C$2:$C$3001,MATCH(A1824&amp;"|"&amp;B1824,Numéros!$F$2:$F$3001,0))),""))</f>
        <v/>
      </c>
      <c r="M1824" s="27" t="str">
        <f aca="false">IF(OR(G1824="",G1824="?"),"",IFERROR(INDEX(Pubs!$D$2:$D$3001,MATCH(G1824,Pubs!$A$2:$A$3001,0))&amp;"",""))</f>
        <v/>
      </c>
      <c r="N1824" s="27" t="n">
        <f aca="false">N(N1823)+IF(AND(A1824&lt;&gt;"",OR(Recherche!$C$4="",A1824=Recherche!$C$4),OR(Recherche!$C$5="",B1824&amp;""=Recherche!$C$5&amp;""),OR(Recherche!$C$6="",IFERROR(YEAR(L1824),0)=Recherche!$C$6),OR(Recherche!$C$7="",ISNUMBER(SEARCH(Recherche!$C$7,H1824))),OR(Recherche!$C$8="",J1824=Recherche!$C$8),OR(Recherche!$C$9="",I1824=Recherche!$C$9),OR(Recherche!$C$10="",G1824&amp;""=Recherche!$C$10&amp;""),OR(Recherche!$C$11="",E1824=Recherche!$C$11),OR(Recherche!$C$12="",ISNUMBER(SEARCH(Recherche!$C$12,M1824&amp;" "&amp;F1824)))),1,0)</f>
        <v>8</v>
      </c>
    </row>
    <row r="1825" customFormat="false" ht="15" hidden="false" customHeight="false" outlineLevel="0" collapsed="false">
      <c r="A1825" s="19"/>
      <c r="B1825" s="19"/>
      <c r="C1825" s="19"/>
      <c r="D1825" s="19"/>
      <c r="E1825" s="22"/>
      <c r="F1825" s="19"/>
      <c r="G1825" s="26" t="str">
        <f aca="false">IF(D1825="","",IFERROR(VALUE(LEFT(D1825,FIND(" |",D1825&amp;" |")-1)),"?"))</f>
        <v/>
      </c>
      <c r="H1825" s="27" t="str">
        <f aca="false">IF(G1825="","",IF(G1825="?","⚠ pub inconnue",IFERROR(INDEX(Pubs!$B$2:$B$3001,MATCH(G1825,Pubs!$A$2:$A$3001,0))&amp;"","⚠ pub inconnue")))</f>
        <v/>
      </c>
      <c r="I1825" s="27" t="str">
        <f aca="false">IF(OR(G1825="",G1825="?"),"",IFERROR(INDEX(Pubs!$C$2:$C$3001,MATCH(G1825,Pubs!$A$2:$A$3001,0))&amp;"",""))</f>
        <v/>
      </c>
      <c r="J1825" s="27" t="str">
        <f aca="false">IF(OR(G1825="",G1825="?"),"",IFERROR(INDEX(Pubs!$G$2:$G$3001,MATCH(G1825,Pubs!$A$2:$A$3001,0))&amp;"",""))</f>
        <v/>
      </c>
      <c r="K1825" s="28" t="str">
        <f aca="false">IF(OR(G1825="",G1825="?"),"",IFERROR(INDEX(Pubs!$E$2:$E$3001,MATCH(G1825,Pubs!$A$2:$A$3001,0)),""))</f>
        <v/>
      </c>
      <c r="L1825" s="29" t="str">
        <f aca="false">IF(A1825="","",IFERROR(1/(1/INDEX(Numéros!$C$2:$C$3001,MATCH(A1825&amp;"|"&amp;B1825,Numéros!$F$2:$F$3001,0))),""))</f>
        <v/>
      </c>
      <c r="M1825" s="27" t="str">
        <f aca="false">IF(OR(G1825="",G1825="?"),"",IFERROR(INDEX(Pubs!$D$2:$D$3001,MATCH(G1825,Pubs!$A$2:$A$3001,0))&amp;"",""))</f>
        <v/>
      </c>
      <c r="N1825" s="27" t="n">
        <f aca="false">N(N1824)+IF(AND(A1825&lt;&gt;"",OR(Recherche!$C$4="",A1825=Recherche!$C$4),OR(Recherche!$C$5="",B1825&amp;""=Recherche!$C$5&amp;""),OR(Recherche!$C$6="",IFERROR(YEAR(L1825),0)=Recherche!$C$6),OR(Recherche!$C$7="",ISNUMBER(SEARCH(Recherche!$C$7,H1825))),OR(Recherche!$C$8="",J1825=Recherche!$C$8),OR(Recherche!$C$9="",I1825=Recherche!$C$9),OR(Recherche!$C$10="",G1825&amp;""=Recherche!$C$10&amp;""),OR(Recherche!$C$11="",E1825=Recherche!$C$11),OR(Recherche!$C$12="",ISNUMBER(SEARCH(Recherche!$C$12,M1825&amp;" "&amp;F1825)))),1,0)</f>
        <v>8</v>
      </c>
    </row>
    <row r="1826" customFormat="false" ht="15" hidden="false" customHeight="false" outlineLevel="0" collapsed="false">
      <c r="A1826" s="19"/>
      <c r="B1826" s="19"/>
      <c r="C1826" s="19"/>
      <c r="D1826" s="19"/>
      <c r="E1826" s="22"/>
      <c r="F1826" s="19"/>
      <c r="G1826" s="26" t="str">
        <f aca="false">IF(D1826="","",IFERROR(VALUE(LEFT(D1826,FIND(" |",D1826&amp;" |")-1)),"?"))</f>
        <v/>
      </c>
      <c r="H1826" s="27" t="str">
        <f aca="false">IF(G1826="","",IF(G1826="?","⚠ pub inconnue",IFERROR(INDEX(Pubs!$B$2:$B$3001,MATCH(G1826,Pubs!$A$2:$A$3001,0))&amp;"","⚠ pub inconnue")))</f>
        <v/>
      </c>
      <c r="I1826" s="27" t="str">
        <f aca="false">IF(OR(G1826="",G1826="?"),"",IFERROR(INDEX(Pubs!$C$2:$C$3001,MATCH(G1826,Pubs!$A$2:$A$3001,0))&amp;"",""))</f>
        <v/>
      </c>
      <c r="J1826" s="27" t="str">
        <f aca="false">IF(OR(G1826="",G1826="?"),"",IFERROR(INDEX(Pubs!$G$2:$G$3001,MATCH(G1826,Pubs!$A$2:$A$3001,0))&amp;"",""))</f>
        <v/>
      </c>
      <c r="K1826" s="28" t="str">
        <f aca="false">IF(OR(G1826="",G1826="?"),"",IFERROR(INDEX(Pubs!$E$2:$E$3001,MATCH(G1826,Pubs!$A$2:$A$3001,0)),""))</f>
        <v/>
      </c>
      <c r="L1826" s="29" t="str">
        <f aca="false">IF(A1826="","",IFERROR(1/(1/INDEX(Numéros!$C$2:$C$3001,MATCH(A1826&amp;"|"&amp;B1826,Numéros!$F$2:$F$3001,0))),""))</f>
        <v/>
      </c>
      <c r="M1826" s="27" t="str">
        <f aca="false">IF(OR(G1826="",G1826="?"),"",IFERROR(INDEX(Pubs!$D$2:$D$3001,MATCH(G1826,Pubs!$A$2:$A$3001,0))&amp;"",""))</f>
        <v/>
      </c>
      <c r="N1826" s="27" t="n">
        <f aca="false">N(N1825)+IF(AND(A1826&lt;&gt;"",OR(Recherche!$C$4="",A1826=Recherche!$C$4),OR(Recherche!$C$5="",B1826&amp;""=Recherche!$C$5&amp;""),OR(Recherche!$C$6="",IFERROR(YEAR(L1826),0)=Recherche!$C$6),OR(Recherche!$C$7="",ISNUMBER(SEARCH(Recherche!$C$7,H1826))),OR(Recherche!$C$8="",J1826=Recherche!$C$8),OR(Recherche!$C$9="",I1826=Recherche!$C$9),OR(Recherche!$C$10="",G1826&amp;""=Recherche!$C$10&amp;""),OR(Recherche!$C$11="",E1826=Recherche!$C$11),OR(Recherche!$C$12="",ISNUMBER(SEARCH(Recherche!$C$12,M1826&amp;" "&amp;F1826)))),1,0)</f>
        <v>8</v>
      </c>
    </row>
    <row r="1827" customFormat="false" ht="15" hidden="false" customHeight="false" outlineLevel="0" collapsed="false">
      <c r="A1827" s="19"/>
      <c r="B1827" s="19"/>
      <c r="C1827" s="19"/>
      <c r="D1827" s="19"/>
      <c r="E1827" s="22"/>
      <c r="F1827" s="19"/>
      <c r="G1827" s="26" t="str">
        <f aca="false">IF(D1827="","",IFERROR(VALUE(LEFT(D1827,FIND(" |",D1827&amp;" |")-1)),"?"))</f>
        <v/>
      </c>
      <c r="H1827" s="27" t="str">
        <f aca="false">IF(G1827="","",IF(G1827="?","⚠ pub inconnue",IFERROR(INDEX(Pubs!$B$2:$B$3001,MATCH(G1827,Pubs!$A$2:$A$3001,0))&amp;"","⚠ pub inconnue")))</f>
        <v/>
      </c>
      <c r="I1827" s="27" t="str">
        <f aca="false">IF(OR(G1827="",G1827="?"),"",IFERROR(INDEX(Pubs!$C$2:$C$3001,MATCH(G1827,Pubs!$A$2:$A$3001,0))&amp;"",""))</f>
        <v/>
      </c>
      <c r="J1827" s="27" t="str">
        <f aca="false">IF(OR(G1827="",G1827="?"),"",IFERROR(INDEX(Pubs!$G$2:$G$3001,MATCH(G1827,Pubs!$A$2:$A$3001,0))&amp;"",""))</f>
        <v/>
      </c>
      <c r="K1827" s="28" t="str">
        <f aca="false">IF(OR(G1827="",G1827="?"),"",IFERROR(INDEX(Pubs!$E$2:$E$3001,MATCH(G1827,Pubs!$A$2:$A$3001,0)),""))</f>
        <v/>
      </c>
      <c r="L1827" s="29" t="str">
        <f aca="false">IF(A1827="","",IFERROR(1/(1/INDEX(Numéros!$C$2:$C$3001,MATCH(A1827&amp;"|"&amp;B1827,Numéros!$F$2:$F$3001,0))),""))</f>
        <v/>
      </c>
      <c r="M1827" s="27" t="str">
        <f aca="false">IF(OR(G1827="",G1827="?"),"",IFERROR(INDEX(Pubs!$D$2:$D$3001,MATCH(G1827,Pubs!$A$2:$A$3001,0))&amp;"",""))</f>
        <v/>
      </c>
      <c r="N1827" s="27" t="n">
        <f aca="false">N(N1826)+IF(AND(A1827&lt;&gt;"",OR(Recherche!$C$4="",A1827=Recherche!$C$4),OR(Recherche!$C$5="",B1827&amp;""=Recherche!$C$5&amp;""),OR(Recherche!$C$6="",IFERROR(YEAR(L1827),0)=Recherche!$C$6),OR(Recherche!$C$7="",ISNUMBER(SEARCH(Recherche!$C$7,H1827))),OR(Recherche!$C$8="",J1827=Recherche!$C$8),OR(Recherche!$C$9="",I1827=Recherche!$C$9),OR(Recherche!$C$10="",G1827&amp;""=Recherche!$C$10&amp;""),OR(Recherche!$C$11="",E1827=Recherche!$C$11),OR(Recherche!$C$12="",ISNUMBER(SEARCH(Recherche!$C$12,M1827&amp;" "&amp;F1827)))),1,0)</f>
        <v>8</v>
      </c>
    </row>
    <row r="1828" customFormat="false" ht="15" hidden="false" customHeight="false" outlineLevel="0" collapsed="false">
      <c r="A1828" s="19"/>
      <c r="B1828" s="19"/>
      <c r="C1828" s="19"/>
      <c r="D1828" s="19"/>
      <c r="E1828" s="22"/>
      <c r="F1828" s="19"/>
      <c r="G1828" s="26" t="str">
        <f aca="false">IF(D1828="","",IFERROR(VALUE(LEFT(D1828,FIND(" |",D1828&amp;" |")-1)),"?"))</f>
        <v/>
      </c>
      <c r="H1828" s="27" t="str">
        <f aca="false">IF(G1828="","",IF(G1828="?","⚠ pub inconnue",IFERROR(INDEX(Pubs!$B$2:$B$3001,MATCH(G1828,Pubs!$A$2:$A$3001,0))&amp;"","⚠ pub inconnue")))</f>
        <v/>
      </c>
      <c r="I1828" s="27" t="str">
        <f aca="false">IF(OR(G1828="",G1828="?"),"",IFERROR(INDEX(Pubs!$C$2:$C$3001,MATCH(G1828,Pubs!$A$2:$A$3001,0))&amp;"",""))</f>
        <v/>
      </c>
      <c r="J1828" s="27" t="str">
        <f aca="false">IF(OR(G1828="",G1828="?"),"",IFERROR(INDEX(Pubs!$G$2:$G$3001,MATCH(G1828,Pubs!$A$2:$A$3001,0))&amp;"",""))</f>
        <v/>
      </c>
      <c r="K1828" s="28" t="str">
        <f aca="false">IF(OR(G1828="",G1828="?"),"",IFERROR(INDEX(Pubs!$E$2:$E$3001,MATCH(G1828,Pubs!$A$2:$A$3001,0)),""))</f>
        <v/>
      </c>
      <c r="L1828" s="29" t="str">
        <f aca="false">IF(A1828="","",IFERROR(1/(1/INDEX(Numéros!$C$2:$C$3001,MATCH(A1828&amp;"|"&amp;B1828,Numéros!$F$2:$F$3001,0))),""))</f>
        <v/>
      </c>
      <c r="M1828" s="27" t="str">
        <f aca="false">IF(OR(G1828="",G1828="?"),"",IFERROR(INDEX(Pubs!$D$2:$D$3001,MATCH(G1828,Pubs!$A$2:$A$3001,0))&amp;"",""))</f>
        <v/>
      </c>
      <c r="N1828" s="27" t="n">
        <f aca="false">N(N1827)+IF(AND(A1828&lt;&gt;"",OR(Recherche!$C$4="",A1828=Recherche!$C$4),OR(Recherche!$C$5="",B1828&amp;""=Recherche!$C$5&amp;""),OR(Recherche!$C$6="",IFERROR(YEAR(L1828),0)=Recherche!$C$6),OR(Recherche!$C$7="",ISNUMBER(SEARCH(Recherche!$C$7,H1828))),OR(Recherche!$C$8="",J1828=Recherche!$C$8),OR(Recherche!$C$9="",I1828=Recherche!$C$9),OR(Recherche!$C$10="",G1828&amp;""=Recherche!$C$10&amp;""),OR(Recherche!$C$11="",E1828=Recherche!$C$11),OR(Recherche!$C$12="",ISNUMBER(SEARCH(Recherche!$C$12,M1828&amp;" "&amp;F1828)))),1,0)</f>
        <v>8</v>
      </c>
    </row>
    <row r="1829" customFormat="false" ht="15" hidden="false" customHeight="false" outlineLevel="0" collapsed="false">
      <c r="A1829" s="19"/>
      <c r="B1829" s="19"/>
      <c r="C1829" s="19"/>
      <c r="D1829" s="19"/>
      <c r="E1829" s="22"/>
      <c r="F1829" s="19"/>
      <c r="G1829" s="26" t="str">
        <f aca="false">IF(D1829="","",IFERROR(VALUE(LEFT(D1829,FIND(" |",D1829&amp;" |")-1)),"?"))</f>
        <v/>
      </c>
      <c r="H1829" s="27" t="str">
        <f aca="false">IF(G1829="","",IF(G1829="?","⚠ pub inconnue",IFERROR(INDEX(Pubs!$B$2:$B$3001,MATCH(G1829,Pubs!$A$2:$A$3001,0))&amp;"","⚠ pub inconnue")))</f>
        <v/>
      </c>
      <c r="I1829" s="27" t="str">
        <f aca="false">IF(OR(G1829="",G1829="?"),"",IFERROR(INDEX(Pubs!$C$2:$C$3001,MATCH(G1829,Pubs!$A$2:$A$3001,0))&amp;"",""))</f>
        <v/>
      </c>
      <c r="J1829" s="27" t="str">
        <f aca="false">IF(OR(G1829="",G1829="?"),"",IFERROR(INDEX(Pubs!$G$2:$G$3001,MATCH(G1829,Pubs!$A$2:$A$3001,0))&amp;"",""))</f>
        <v/>
      </c>
      <c r="K1829" s="28" t="str">
        <f aca="false">IF(OR(G1829="",G1829="?"),"",IFERROR(INDEX(Pubs!$E$2:$E$3001,MATCH(G1829,Pubs!$A$2:$A$3001,0)),""))</f>
        <v/>
      </c>
      <c r="L1829" s="29" t="str">
        <f aca="false">IF(A1829="","",IFERROR(1/(1/INDEX(Numéros!$C$2:$C$3001,MATCH(A1829&amp;"|"&amp;B1829,Numéros!$F$2:$F$3001,0))),""))</f>
        <v/>
      </c>
      <c r="M1829" s="27" t="str">
        <f aca="false">IF(OR(G1829="",G1829="?"),"",IFERROR(INDEX(Pubs!$D$2:$D$3001,MATCH(G1829,Pubs!$A$2:$A$3001,0))&amp;"",""))</f>
        <v/>
      </c>
      <c r="N1829" s="27" t="n">
        <f aca="false">N(N1828)+IF(AND(A1829&lt;&gt;"",OR(Recherche!$C$4="",A1829=Recherche!$C$4),OR(Recherche!$C$5="",B1829&amp;""=Recherche!$C$5&amp;""),OR(Recherche!$C$6="",IFERROR(YEAR(L1829),0)=Recherche!$C$6),OR(Recherche!$C$7="",ISNUMBER(SEARCH(Recherche!$C$7,H1829))),OR(Recherche!$C$8="",J1829=Recherche!$C$8),OR(Recherche!$C$9="",I1829=Recherche!$C$9),OR(Recherche!$C$10="",G1829&amp;""=Recherche!$C$10&amp;""),OR(Recherche!$C$11="",E1829=Recherche!$C$11),OR(Recherche!$C$12="",ISNUMBER(SEARCH(Recherche!$C$12,M1829&amp;" "&amp;F1829)))),1,0)</f>
        <v>8</v>
      </c>
    </row>
    <row r="1830" customFormat="false" ht="15" hidden="false" customHeight="false" outlineLevel="0" collapsed="false">
      <c r="A1830" s="19"/>
      <c r="B1830" s="19"/>
      <c r="C1830" s="19"/>
      <c r="D1830" s="19"/>
      <c r="E1830" s="22"/>
      <c r="F1830" s="19"/>
      <c r="G1830" s="26" t="str">
        <f aca="false">IF(D1830="","",IFERROR(VALUE(LEFT(D1830,FIND(" |",D1830&amp;" |")-1)),"?"))</f>
        <v/>
      </c>
      <c r="H1830" s="27" t="str">
        <f aca="false">IF(G1830="","",IF(G1830="?","⚠ pub inconnue",IFERROR(INDEX(Pubs!$B$2:$B$3001,MATCH(G1830,Pubs!$A$2:$A$3001,0))&amp;"","⚠ pub inconnue")))</f>
        <v/>
      </c>
      <c r="I1830" s="27" t="str">
        <f aca="false">IF(OR(G1830="",G1830="?"),"",IFERROR(INDEX(Pubs!$C$2:$C$3001,MATCH(G1830,Pubs!$A$2:$A$3001,0))&amp;"",""))</f>
        <v/>
      </c>
      <c r="J1830" s="27" t="str">
        <f aca="false">IF(OR(G1830="",G1830="?"),"",IFERROR(INDEX(Pubs!$G$2:$G$3001,MATCH(G1830,Pubs!$A$2:$A$3001,0))&amp;"",""))</f>
        <v/>
      </c>
      <c r="K1830" s="28" t="str">
        <f aca="false">IF(OR(G1830="",G1830="?"),"",IFERROR(INDEX(Pubs!$E$2:$E$3001,MATCH(G1830,Pubs!$A$2:$A$3001,0)),""))</f>
        <v/>
      </c>
      <c r="L1830" s="29" t="str">
        <f aca="false">IF(A1830="","",IFERROR(1/(1/INDEX(Numéros!$C$2:$C$3001,MATCH(A1830&amp;"|"&amp;B1830,Numéros!$F$2:$F$3001,0))),""))</f>
        <v/>
      </c>
      <c r="M1830" s="27" t="str">
        <f aca="false">IF(OR(G1830="",G1830="?"),"",IFERROR(INDEX(Pubs!$D$2:$D$3001,MATCH(G1830,Pubs!$A$2:$A$3001,0))&amp;"",""))</f>
        <v/>
      </c>
      <c r="N1830" s="27" t="n">
        <f aca="false">N(N1829)+IF(AND(A1830&lt;&gt;"",OR(Recherche!$C$4="",A1830=Recherche!$C$4),OR(Recherche!$C$5="",B1830&amp;""=Recherche!$C$5&amp;""),OR(Recherche!$C$6="",IFERROR(YEAR(L1830),0)=Recherche!$C$6),OR(Recherche!$C$7="",ISNUMBER(SEARCH(Recherche!$C$7,H1830))),OR(Recherche!$C$8="",J1830=Recherche!$C$8),OR(Recherche!$C$9="",I1830=Recherche!$C$9),OR(Recherche!$C$10="",G1830&amp;""=Recherche!$C$10&amp;""),OR(Recherche!$C$11="",E1830=Recherche!$C$11),OR(Recherche!$C$12="",ISNUMBER(SEARCH(Recherche!$C$12,M1830&amp;" "&amp;F1830)))),1,0)</f>
        <v>8</v>
      </c>
    </row>
    <row r="1831" customFormat="false" ht="15" hidden="false" customHeight="false" outlineLevel="0" collapsed="false">
      <c r="A1831" s="19"/>
      <c r="B1831" s="19"/>
      <c r="C1831" s="19"/>
      <c r="D1831" s="19"/>
      <c r="E1831" s="22"/>
      <c r="F1831" s="19"/>
      <c r="G1831" s="26" t="str">
        <f aca="false">IF(D1831="","",IFERROR(VALUE(LEFT(D1831,FIND(" |",D1831&amp;" |")-1)),"?"))</f>
        <v/>
      </c>
      <c r="H1831" s="27" t="str">
        <f aca="false">IF(G1831="","",IF(G1831="?","⚠ pub inconnue",IFERROR(INDEX(Pubs!$B$2:$B$3001,MATCH(G1831,Pubs!$A$2:$A$3001,0))&amp;"","⚠ pub inconnue")))</f>
        <v/>
      </c>
      <c r="I1831" s="27" t="str">
        <f aca="false">IF(OR(G1831="",G1831="?"),"",IFERROR(INDEX(Pubs!$C$2:$C$3001,MATCH(G1831,Pubs!$A$2:$A$3001,0))&amp;"",""))</f>
        <v/>
      </c>
      <c r="J1831" s="27" t="str">
        <f aca="false">IF(OR(G1831="",G1831="?"),"",IFERROR(INDEX(Pubs!$G$2:$G$3001,MATCH(G1831,Pubs!$A$2:$A$3001,0))&amp;"",""))</f>
        <v/>
      </c>
      <c r="K1831" s="28" t="str">
        <f aca="false">IF(OR(G1831="",G1831="?"),"",IFERROR(INDEX(Pubs!$E$2:$E$3001,MATCH(G1831,Pubs!$A$2:$A$3001,0)),""))</f>
        <v/>
      </c>
      <c r="L1831" s="29" t="str">
        <f aca="false">IF(A1831="","",IFERROR(1/(1/INDEX(Numéros!$C$2:$C$3001,MATCH(A1831&amp;"|"&amp;B1831,Numéros!$F$2:$F$3001,0))),""))</f>
        <v/>
      </c>
      <c r="M1831" s="27" t="str">
        <f aca="false">IF(OR(G1831="",G1831="?"),"",IFERROR(INDEX(Pubs!$D$2:$D$3001,MATCH(G1831,Pubs!$A$2:$A$3001,0))&amp;"",""))</f>
        <v/>
      </c>
      <c r="N1831" s="27" t="n">
        <f aca="false">N(N1830)+IF(AND(A1831&lt;&gt;"",OR(Recherche!$C$4="",A1831=Recherche!$C$4),OR(Recherche!$C$5="",B1831&amp;""=Recherche!$C$5&amp;""),OR(Recherche!$C$6="",IFERROR(YEAR(L1831),0)=Recherche!$C$6),OR(Recherche!$C$7="",ISNUMBER(SEARCH(Recherche!$C$7,H1831))),OR(Recherche!$C$8="",J1831=Recherche!$C$8),OR(Recherche!$C$9="",I1831=Recherche!$C$9),OR(Recherche!$C$10="",G1831&amp;""=Recherche!$C$10&amp;""),OR(Recherche!$C$11="",E1831=Recherche!$C$11),OR(Recherche!$C$12="",ISNUMBER(SEARCH(Recherche!$C$12,M1831&amp;" "&amp;F1831)))),1,0)</f>
        <v>8</v>
      </c>
    </row>
    <row r="1832" customFormat="false" ht="15" hidden="false" customHeight="false" outlineLevel="0" collapsed="false">
      <c r="A1832" s="19"/>
      <c r="B1832" s="19"/>
      <c r="C1832" s="19"/>
      <c r="D1832" s="19"/>
      <c r="E1832" s="22"/>
      <c r="F1832" s="19"/>
      <c r="G1832" s="26" t="str">
        <f aca="false">IF(D1832="","",IFERROR(VALUE(LEFT(D1832,FIND(" |",D1832&amp;" |")-1)),"?"))</f>
        <v/>
      </c>
      <c r="H1832" s="27" t="str">
        <f aca="false">IF(G1832="","",IF(G1832="?","⚠ pub inconnue",IFERROR(INDEX(Pubs!$B$2:$B$3001,MATCH(G1832,Pubs!$A$2:$A$3001,0))&amp;"","⚠ pub inconnue")))</f>
        <v/>
      </c>
      <c r="I1832" s="27" t="str">
        <f aca="false">IF(OR(G1832="",G1832="?"),"",IFERROR(INDEX(Pubs!$C$2:$C$3001,MATCH(G1832,Pubs!$A$2:$A$3001,0))&amp;"",""))</f>
        <v/>
      </c>
      <c r="J1832" s="27" t="str">
        <f aca="false">IF(OR(G1832="",G1832="?"),"",IFERROR(INDEX(Pubs!$G$2:$G$3001,MATCH(G1832,Pubs!$A$2:$A$3001,0))&amp;"",""))</f>
        <v/>
      </c>
      <c r="K1832" s="28" t="str">
        <f aca="false">IF(OR(G1832="",G1832="?"),"",IFERROR(INDEX(Pubs!$E$2:$E$3001,MATCH(G1832,Pubs!$A$2:$A$3001,0)),""))</f>
        <v/>
      </c>
      <c r="L1832" s="29" t="str">
        <f aca="false">IF(A1832="","",IFERROR(1/(1/INDEX(Numéros!$C$2:$C$3001,MATCH(A1832&amp;"|"&amp;B1832,Numéros!$F$2:$F$3001,0))),""))</f>
        <v/>
      </c>
      <c r="M1832" s="27" t="str">
        <f aca="false">IF(OR(G1832="",G1832="?"),"",IFERROR(INDEX(Pubs!$D$2:$D$3001,MATCH(G1832,Pubs!$A$2:$A$3001,0))&amp;"",""))</f>
        <v/>
      </c>
      <c r="N1832" s="27" t="n">
        <f aca="false">N(N1831)+IF(AND(A1832&lt;&gt;"",OR(Recherche!$C$4="",A1832=Recherche!$C$4),OR(Recherche!$C$5="",B1832&amp;""=Recherche!$C$5&amp;""),OR(Recherche!$C$6="",IFERROR(YEAR(L1832),0)=Recherche!$C$6),OR(Recherche!$C$7="",ISNUMBER(SEARCH(Recherche!$C$7,H1832))),OR(Recherche!$C$8="",J1832=Recherche!$C$8),OR(Recherche!$C$9="",I1832=Recherche!$C$9),OR(Recherche!$C$10="",G1832&amp;""=Recherche!$C$10&amp;""),OR(Recherche!$C$11="",E1832=Recherche!$C$11),OR(Recherche!$C$12="",ISNUMBER(SEARCH(Recherche!$C$12,M1832&amp;" "&amp;F1832)))),1,0)</f>
        <v>8</v>
      </c>
    </row>
    <row r="1833" customFormat="false" ht="15" hidden="false" customHeight="false" outlineLevel="0" collapsed="false">
      <c r="A1833" s="19"/>
      <c r="B1833" s="19"/>
      <c r="C1833" s="19"/>
      <c r="D1833" s="19"/>
      <c r="E1833" s="22"/>
      <c r="F1833" s="19"/>
      <c r="G1833" s="26" t="str">
        <f aca="false">IF(D1833="","",IFERROR(VALUE(LEFT(D1833,FIND(" |",D1833&amp;" |")-1)),"?"))</f>
        <v/>
      </c>
      <c r="H1833" s="27" t="str">
        <f aca="false">IF(G1833="","",IF(G1833="?","⚠ pub inconnue",IFERROR(INDEX(Pubs!$B$2:$B$3001,MATCH(G1833,Pubs!$A$2:$A$3001,0))&amp;"","⚠ pub inconnue")))</f>
        <v/>
      </c>
      <c r="I1833" s="27" t="str">
        <f aca="false">IF(OR(G1833="",G1833="?"),"",IFERROR(INDEX(Pubs!$C$2:$C$3001,MATCH(G1833,Pubs!$A$2:$A$3001,0))&amp;"",""))</f>
        <v/>
      </c>
      <c r="J1833" s="27" t="str">
        <f aca="false">IF(OR(G1833="",G1833="?"),"",IFERROR(INDEX(Pubs!$G$2:$G$3001,MATCH(G1833,Pubs!$A$2:$A$3001,0))&amp;"",""))</f>
        <v/>
      </c>
      <c r="K1833" s="28" t="str">
        <f aca="false">IF(OR(G1833="",G1833="?"),"",IFERROR(INDEX(Pubs!$E$2:$E$3001,MATCH(G1833,Pubs!$A$2:$A$3001,0)),""))</f>
        <v/>
      </c>
      <c r="L1833" s="29" t="str">
        <f aca="false">IF(A1833="","",IFERROR(1/(1/INDEX(Numéros!$C$2:$C$3001,MATCH(A1833&amp;"|"&amp;B1833,Numéros!$F$2:$F$3001,0))),""))</f>
        <v/>
      </c>
      <c r="M1833" s="27" t="str">
        <f aca="false">IF(OR(G1833="",G1833="?"),"",IFERROR(INDEX(Pubs!$D$2:$D$3001,MATCH(G1833,Pubs!$A$2:$A$3001,0))&amp;"",""))</f>
        <v/>
      </c>
      <c r="N1833" s="27" t="n">
        <f aca="false">N(N1832)+IF(AND(A1833&lt;&gt;"",OR(Recherche!$C$4="",A1833=Recherche!$C$4),OR(Recherche!$C$5="",B1833&amp;""=Recherche!$C$5&amp;""),OR(Recherche!$C$6="",IFERROR(YEAR(L1833),0)=Recherche!$C$6),OR(Recherche!$C$7="",ISNUMBER(SEARCH(Recherche!$C$7,H1833))),OR(Recherche!$C$8="",J1833=Recherche!$C$8),OR(Recherche!$C$9="",I1833=Recherche!$C$9),OR(Recherche!$C$10="",G1833&amp;""=Recherche!$C$10&amp;""),OR(Recherche!$C$11="",E1833=Recherche!$C$11),OR(Recherche!$C$12="",ISNUMBER(SEARCH(Recherche!$C$12,M1833&amp;" "&amp;F1833)))),1,0)</f>
        <v>8</v>
      </c>
    </row>
    <row r="1834" customFormat="false" ht="15" hidden="false" customHeight="false" outlineLevel="0" collapsed="false">
      <c r="A1834" s="19"/>
      <c r="B1834" s="19"/>
      <c r="C1834" s="19"/>
      <c r="D1834" s="19"/>
      <c r="E1834" s="22"/>
      <c r="F1834" s="19"/>
      <c r="G1834" s="26" t="str">
        <f aca="false">IF(D1834="","",IFERROR(VALUE(LEFT(D1834,FIND(" |",D1834&amp;" |")-1)),"?"))</f>
        <v/>
      </c>
      <c r="H1834" s="27" t="str">
        <f aca="false">IF(G1834="","",IF(G1834="?","⚠ pub inconnue",IFERROR(INDEX(Pubs!$B$2:$B$3001,MATCH(G1834,Pubs!$A$2:$A$3001,0))&amp;"","⚠ pub inconnue")))</f>
        <v/>
      </c>
      <c r="I1834" s="27" t="str">
        <f aca="false">IF(OR(G1834="",G1834="?"),"",IFERROR(INDEX(Pubs!$C$2:$C$3001,MATCH(G1834,Pubs!$A$2:$A$3001,0))&amp;"",""))</f>
        <v/>
      </c>
      <c r="J1834" s="27" t="str">
        <f aca="false">IF(OR(G1834="",G1834="?"),"",IFERROR(INDEX(Pubs!$G$2:$G$3001,MATCH(G1834,Pubs!$A$2:$A$3001,0))&amp;"",""))</f>
        <v/>
      </c>
      <c r="K1834" s="28" t="str">
        <f aca="false">IF(OR(G1834="",G1834="?"),"",IFERROR(INDEX(Pubs!$E$2:$E$3001,MATCH(G1834,Pubs!$A$2:$A$3001,0)),""))</f>
        <v/>
      </c>
      <c r="L1834" s="29" t="str">
        <f aca="false">IF(A1834="","",IFERROR(1/(1/INDEX(Numéros!$C$2:$C$3001,MATCH(A1834&amp;"|"&amp;B1834,Numéros!$F$2:$F$3001,0))),""))</f>
        <v/>
      </c>
      <c r="M1834" s="27" t="str">
        <f aca="false">IF(OR(G1834="",G1834="?"),"",IFERROR(INDEX(Pubs!$D$2:$D$3001,MATCH(G1834,Pubs!$A$2:$A$3001,0))&amp;"",""))</f>
        <v/>
      </c>
      <c r="N1834" s="27" t="n">
        <f aca="false">N(N1833)+IF(AND(A1834&lt;&gt;"",OR(Recherche!$C$4="",A1834=Recherche!$C$4),OR(Recherche!$C$5="",B1834&amp;""=Recherche!$C$5&amp;""),OR(Recherche!$C$6="",IFERROR(YEAR(L1834),0)=Recherche!$C$6),OR(Recherche!$C$7="",ISNUMBER(SEARCH(Recherche!$C$7,H1834))),OR(Recherche!$C$8="",J1834=Recherche!$C$8),OR(Recherche!$C$9="",I1834=Recherche!$C$9),OR(Recherche!$C$10="",G1834&amp;""=Recherche!$C$10&amp;""),OR(Recherche!$C$11="",E1834=Recherche!$C$11),OR(Recherche!$C$12="",ISNUMBER(SEARCH(Recherche!$C$12,M1834&amp;" "&amp;F1834)))),1,0)</f>
        <v>8</v>
      </c>
    </row>
    <row r="1835" customFormat="false" ht="15" hidden="false" customHeight="false" outlineLevel="0" collapsed="false">
      <c r="A1835" s="19"/>
      <c r="B1835" s="19"/>
      <c r="C1835" s="19"/>
      <c r="D1835" s="19"/>
      <c r="E1835" s="22"/>
      <c r="F1835" s="19"/>
      <c r="G1835" s="26" t="str">
        <f aca="false">IF(D1835="","",IFERROR(VALUE(LEFT(D1835,FIND(" |",D1835&amp;" |")-1)),"?"))</f>
        <v/>
      </c>
      <c r="H1835" s="27" t="str">
        <f aca="false">IF(G1835="","",IF(G1835="?","⚠ pub inconnue",IFERROR(INDEX(Pubs!$B$2:$B$3001,MATCH(G1835,Pubs!$A$2:$A$3001,0))&amp;"","⚠ pub inconnue")))</f>
        <v/>
      </c>
      <c r="I1835" s="27" t="str">
        <f aca="false">IF(OR(G1835="",G1835="?"),"",IFERROR(INDEX(Pubs!$C$2:$C$3001,MATCH(G1835,Pubs!$A$2:$A$3001,0))&amp;"",""))</f>
        <v/>
      </c>
      <c r="J1835" s="27" t="str">
        <f aca="false">IF(OR(G1835="",G1835="?"),"",IFERROR(INDEX(Pubs!$G$2:$G$3001,MATCH(G1835,Pubs!$A$2:$A$3001,0))&amp;"",""))</f>
        <v/>
      </c>
      <c r="K1835" s="28" t="str">
        <f aca="false">IF(OR(G1835="",G1835="?"),"",IFERROR(INDEX(Pubs!$E$2:$E$3001,MATCH(G1835,Pubs!$A$2:$A$3001,0)),""))</f>
        <v/>
      </c>
      <c r="L1835" s="29" t="str">
        <f aca="false">IF(A1835="","",IFERROR(1/(1/INDEX(Numéros!$C$2:$C$3001,MATCH(A1835&amp;"|"&amp;B1835,Numéros!$F$2:$F$3001,0))),""))</f>
        <v/>
      </c>
      <c r="M1835" s="27" t="str">
        <f aca="false">IF(OR(G1835="",G1835="?"),"",IFERROR(INDEX(Pubs!$D$2:$D$3001,MATCH(G1835,Pubs!$A$2:$A$3001,0))&amp;"",""))</f>
        <v/>
      </c>
      <c r="N1835" s="27" t="n">
        <f aca="false">N(N1834)+IF(AND(A1835&lt;&gt;"",OR(Recherche!$C$4="",A1835=Recherche!$C$4),OR(Recherche!$C$5="",B1835&amp;""=Recherche!$C$5&amp;""),OR(Recherche!$C$6="",IFERROR(YEAR(L1835),0)=Recherche!$C$6),OR(Recherche!$C$7="",ISNUMBER(SEARCH(Recherche!$C$7,H1835))),OR(Recherche!$C$8="",J1835=Recherche!$C$8),OR(Recherche!$C$9="",I1835=Recherche!$C$9),OR(Recherche!$C$10="",G1835&amp;""=Recherche!$C$10&amp;""),OR(Recherche!$C$11="",E1835=Recherche!$C$11),OR(Recherche!$C$12="",ISNUMBER(SEARCH(Recherche!$C$12,M1835&amp;" "&amp;F1835)))),1,0)</f>
        <v>8</v>
      </c>
    </row>
    <row r="1836" customFormat="false" ht="15" hidden="false" customHeight="false" outlineLevel="0" collapsed="false">
      <c r="A1836" s="19"/>
      <c r="B1836" s="19"/>
      <c r="C1836" s="19"/>
      <c r="D1836" s="19"/>
      <c r="E1836" s="22"/>
      <c r="F1836" s="19"/>
      <c r="G1836" s="26" t="str">
        <f aca="false">IF(D1836="","",IFERROR(VALUE(LEFT(D1836,FIND(" |",D1836&amp;" |")-1)),"?"))</f>
        <v/>
      </c>
      <c r="H1836" s="27" t="str">
        <f aca="false">IF(G1836="","",IF(G1836="?","⚠ pub inconnue",IFERROR(INDEX(Pubs!$B$2:$B$3001,MATCH(G1836,Pubs!$A$2:$A$3001,0))&amp;"","⚠ pub inconnue")))</f>
        <v/>
      </c>
      <c r="I1836" s="27" t="str">
        <f aca="false">IF(OR(G1836="",G1836="?"),"",IFERROR(INDEX(Pubs!$C$2:$C$3001,MATCH(G1836,Pubs!$A$2:$A$3001,0))&amp;"",""))</f>
        <v/>
      </c>
      <c r="J1836" s="27" t="str">
        <f aca="false">IF(OR(G1836="",G1836="?"),"",IFERROR(INDEX(Pubs!$G$2:$G$3001,MATCH(G1836,Pubs!$A$2:$A$3001,0))&amp;"",""))</f>
        <v/>
      </c>
      <c r="K1836" s="28" t="str">
        <f aca="false">IF(OR(G1836="",G1836="?"),"",IFERROR(INDEX(Pubs!$E$2:$E$3001,MATCH(G1836,Pubs!$A$2:$A$3001,0)),""))</f>
        <v/>
      </c>
      <c r="L1836" s="29" t="str">
        <f aca="false">IF(A1836="","",IFERROR(1/(1/INDEX(Numéros!$C$2:$C$3001,MATCH(A1836&amp;"|"&amp;B1836,Numéros!$F$2:$F$3001,0))),""))</f>
        <v/>
      </c>
      <c r="M1836" s="27" t="str">
        <f aca="false">IF(OR(G1836="",G1836="?"),"",IFERROR(INDEX(Pubs!$D$2:$D$3001,MATCH(G1836,Pubs!$A$2:$A$3001,0))&amp;"",""))</f>
        <v/>
      </c>
      <c r="N1836" s="27" t="n">
        <f aca="false">N(N1835)+IF(AND(A1836&lt;&gt;"",OR(Recherche!$C$4="",A1836=Recherche!$C$4),OR(Recherche!$C$5="",B1836&amp;""=Recherche!$C$5&amp;""),OR(Recherche!$C$6="",IFERROR(YEAR(L1836),0)=Recherche!$C$6),OR(Recherche!$C$7="",ISNUMBER(SEARCH(Recherche!$C$7,H1836))),OR(Recherche!$C$8="",J1836=Recherche!$C$8),OR(Recherche!$C$9="",I1836=Recherche!$C$9),OR(Recherche!$C$10="",G1836&amp;""=Recherche!$C$10&amp;""),OR(Recherche!$C$11="",E1836=Recherche!$C$11),OR(Recherche!$C$12="",ISNUMBER(SEARCH(Recherche!$C$12,M1836&amp;" "&amp;F1836)))),1,0)</f>
        <v>8</v>
      </c>
    </row>
    <row r="1837" customFormat="false" ht="15" hidden="false" customHeight="false" outlineLevel="0" collapsed="false">
      <c r="A1837" s="19"/>
      <c r="B1837" s="19"/>
      <c r="C1837" s="19"/>
      <c r="D1837" s="19"/>
      <c r="E1837" s="22"/>
      <c r="F1837" s="19"/>
      <c r="G1837" s="26" t="str">
        <f aca="false">IF(D1837="","",IFERROR(VALUE(LEFT(D1837,FIND(" |",D1837&amp;" |")-1)),"?"))</f>
        <v/>
      </c>
      <c r="H1837" s="27" t="str">
        <f aca="false">IF(G1837="","",IF(G1837="?","⚠ pub inconnue",IFERROR(INDEX(Pubs!$B$2:$B$3001,MATCH(G1837,Pubs!$A$2:$A$3001,0))&amp;"","⚠ pub inconnue")))</f>
        <v/>
      </c>
      <c r="I1837" s="27" t="str">
        <f aca="false">IF(OR(G1837="",G1837="?"),"",IFERROR(INDEX(Pubs!$C$2:$C$3001,MATCH(G1837,Pubs!$A$2:$A$3001,0))&amp;"",""))</f>
        <v/>
      </c>
      <c r="J1837" s="27" t="str">
        <f aca="false">IF(OR(G1837="",G1837="?"),"",IFERROR(INDEX(Pubs!$G$2:$G$3001,MATCH(G1837,Pubs!$A$2:$A$3001,0))&amp;"",""))</f>
        <v/>
      </c>
      <c r="K1837" s="28" t="str">
        <f aca="false">IF(OR(G1837="",G1837="?"),"",IFERROR(INDEX(Pubs!$E$2:$E$3001,MATCH(G1837,Pubs!$A$2:$A$3001,0)),""))</f>
        <v/>
      </c>
      <c r="L1837" s="29" t="str">
        <f aca="false">IF(A1837="","",IFERROR(1/(1/INDEX(Numéros!$C$2:$C$3001,MATCH(A1837&amp;"|"&amp;B1837,Numéros!$F$2:$F$3001,0))),""))</f>
        <v/>
      </c>
      <c r="M1837" s="27" t="str">
        <f aca="false">IF(OR(G1837="",G1837="?"),"",IFERROR(INDEX(Pubs!$D$2:$D$3001,MATCH(G1837,Pubs!$A$2:$A$3001,0))&amp;"",""))</f>
        <v/>
      </c>
      <c r="N1837" s="27" t="n">
        <f aca="false">N(N1836)+IF(AND(A1837&lt;&gt;"",OR(Recherche!$C$4="",A1837=Recherche!$C$4),OR(Recherche!$C$5="",B1837&amp;""=Recherche!$C$5&amp;""),OR(Recherche!$C$6="",IFERROR(YEAR(L1837),0)=Recherche!$C$6),OR(Recherche!$C$7="",ISNUMBER(SEARCH(Recherche!$C$7,H1837))),OR(Recherche!$C$8="",J1837=Recherche!$C$8),OR(Recherche!$C$9="",I1837=Recherche!$C$9),OR(Recherche!$C$10="",G1837&amp;""=Recherche!$C$10&amp;""),OR(Recherche!$C$11="",E1837=Recherche!$C$11),OR(Recherche!$C$12="",ISNUMBER(SEARCH(Recherche!$C$12,M1837&amp;" "&amp;F1837)))),1,0)</f>
        <v>8</v>
      </c>
    </row>
    <row r="1838" customFormat="false" ht="15" hidden="false" customHeight="false" outlineLevel="0" collapsed="false">
      <c r="A1838" s="19"/>
      <c r="B1838" s="19"/>
      <c r="C1838" s="19"/>
      <c r="D1838" s="19"/>
      <c r="E1838" s="22"/>
      <c r="F1838" s="19"/>
      <c r="G1838" s="26" t="str">
        <f aca="false">IF(D1838="","",IFERROR(VALUE(LEFT(D1838,FIND(" |",D1838&amp;" |")-1)),"?"))</f>
        <v/>
      </c>
      <c r="H1838" s="27" t="str">
        <f aca="false">IF(G1838="","",IF(G1838="?","⚠ pub inconnue",IFERROR(INDEX(Pubs!$B$2:$B$3001,MATCH(G1838,Pubs!$A$2:$A$3001,0))&amp;"","⚠ pub inconnue")))</f>
        <v/>
      </c>
      <c r="I1838" s="27" t="str">
        <f aca="false">IF(OR(G1838="",G1838="?"),"",IFERROR(INDEX(Pubs!$C$2:$C$3001,MATCH(G1838,Pubs!$A$2:$A$3001,0))&amp;"",""))</f>
        <v/>
      </c>
      <c r="J1838" s="27" t="str">
        <f aca="false">IF(OR(G1838="",G1838="?"),"",IFERROR(INDEX(Pubs!$G$2:$G$3001,MATCH(G1838,Pubs!$A$2:$A$3001,0))&amp;"",""))</f>
        <v/>
      </c>
      <c r="K1838" s="28" t="str">
        <f aca="false">IF(OR(G1838="",G1838="?"),"",IFERROR(INDEX(Pubs!$E$2:$E$3001,MATCH(G1838,Pubs!$A$2:$A$3001,0)),""))</f>
        <v/>
      </c>
      <c r="L1838" s="29" t="str">
        <f aca="false">IF(A1838="","",IFERROR(1/(1/INDEX(Numéros!$C$2:$C$3001,MATCH(A1838&amp;"|"&amp;B1838,Numéros!$F$2:$F$3001,0))),""))</f>
        <v/>
      </c>
      <c r="M1838" s="27" t="str">
        <f aca="false">IF(OR(G1838="",G1838="?"),"",IFERROR(INDEX(Pubs!$D$2:$D$3001,MATCH(G1838,Pubs!$A$2:$A$3001,0))&amp;"",""))</f>
        <v/>
      </c>
      <c r="N1838" s="27" t="n">
        <f aca="false">N(N1837)+IF(AND(A1838&lt;&gt;"",OR(Recherche!$C$4="",A1838=Recherche!$C$4),OR(Recherche!$C$5="",B1838&amp;""=Recherche!$C$5&amp;""),OR(Recherche!$C$6="",IFERROR(YEAR(L1838),0)=Recherche!$C$6),OR(Recherche!$C$7="",ISNUMBER(SEARCH(Recherche!$C$7,H1838))),OR(Recherche!$C$8="",J1838=Recherche!$C$8),OR(Recherche!$C$9="",I1838=Recherche!$C$9),OR(Recherche!$C$10="",G1838&amp;""=Recherche!$C$10&amp;""),OR(Recherche!$C$11="",E1838=Recherche!$C$11),OR(Recherche!$C$12="",ISNUMBER(SEARCH(Recherche!$C$12,M1838&amp;" "&amp;F1838)))),1,0)</f>
        <v>8</v>
      </c>
    </row>
    <row r="1839" customFormat="false" ht="15" hidden="false" customHeight="false" outlineLevel="0" collapsed="false">
      <c r="A1839" s="19"/>
      <c r="B1839" s="19"/>
      <c r="C1839" s="19"/>
      <c r="D1839" s="19"/>
      <c r="E1839" s="22"/>
      <c r="F1839" s="19"/>
      <c r="G1839" s="26" t="str">
        <f aca="false">IF(D1839="","",IFERROR(VALUE(LEFT(D1839,FIND(" |",D1839&amp;" |")-1)),"?"))</f>
        <v/>
      </c>
      <c r="H1839" s="27" t="str">
        <f aca="false">IF(G1839="","",IF(G1839="?","⚠ pub inconnue",IFERROR(INDEX(Pubs!$B$2:$B$3001,MATCH(G1839,Pubs!$A$2:$A$3001,0))&amp;"","⚠ pub inconnue")))</f>
        <v/>
      </c>
      <c r="I1839" s="27" t="str">
        <f aca="false">IF(OR(G1839="",G1839="?"),"",IFERROR(INDEX(Pubs!$C$2:$C$3001,MATCH(G1839,Pubs!$A$2:$A$3001,0))&amp;"",""))</f>
        <v/>
      </c>
      <c r="J1839" s="27" t="str">
        <f aca="false">IF(OR(G1839="",G1839="?"),"",IFERROR(INDEX(Pubs!$G$2:$G$3001,MATCH(G1839,Pubs!$A$2:$A$3001,0))&amp;"",""))</f>
        <v/>
      </c>
      <c r="K1839" s="28" t="str">
        <f aca="false">IF(OR(G1839="",G1839="?"),"",IFERROR(INDEX(Pubs!$E$2:$E$3001,MATCH(G1839,Pubs!$A$2:$A$3001,0)),""))</f>
        <v/>
      </c>
      <c r="L1839" s="29" t="str">
        <f aca="false">IF(A1839="","",IFERROR(1/(1/INDEX(Numéros!$C$2:$C$3001,MATCH(A1839&amp;"|"&amp;B1839,Numéros!$F$2:$F$3001,0))),""))</f>
        <v/>
      </c>
      <c r="M1839" s="27" t="str">
        <f aca="false">IF(OR(G1839="",G1839="?"),"",IFERROR(INDEX(Pubs!$D$2:$D$3001,MATCH(G1839,Pubs!$A$2:$A$3001,0))&amp;"",""))</f>
        <v/>
      </c>
      <c r="N1839" s="27" t="n">
        <f aca="false">N(N1838)+IF(AND(A1839&lt;&gt;"",OR(Recherche!$C$4="",A1839=Recherche!$C$4),OR(Recherche!$C$5="",B1839&amp;""=Recherche!$C$5&amp;""),OR(Recherche!$C$6="",IFERROR(YEAR(L1839),0)=Recherche!$C$6),OR(Recherche!$C$7="",ISNUMBER(SEARCH(Recherche!$C$7,H1839))),OR(Recherche!$C$8="",J1839=Recherche!$C$8),OR(Recherche!$C$9="",I1839=Recherche!$C$9),OR(Recherche!$C$10="",G1839&amp;""=Recherche!$C$10&amp;""),OR(Recherche!$C$11="",E1839=Recherche!$C$11),OR(Recherche!$C$12="",ISNUMBER(SEARCH(Recherche!$C$12,M1839&amp;" "&amp;F1839)))),1,0)</f>
        <v>8</v>
      </c>
    </row>
    <row r="1840" customFormat="false" ht="15" hidden="false" customHeight="false" outlineLevel="0" collapsed="false">
      <c r="A1840" s="19"/>
      <c r="B1840" s="19"/>
      <c r="C1840" s="19"/>
      <c r="D1840" s="19"/>
      <c r="E1840" s="22"/>
      <c r="F1840" s="19"/>
      <c r="G1840" s="26" t="str">
        <f aca="false">IF(D1840="","",IFERROR(VALUE(LEFT(D1840,FIND(" |",D1840&amp;" |")-1)),"?"))</f>
        <v/>
      </c>
      <c r="H1840" s="27" t="str">
        <f aca="false">IF(G1840="","",IF(G1840="?","⚠ pub inconnue",IFERROR(INDEX(Pubs!$B$2:$B$3001,MATCH(G1840,Pubs!$A$2:$A$3001,0))&amp;"","⚠ pub inconnue")))</f>
        <v/>
      </c>
      <c r="I1840" s="27" t="str">
        <f aca="false">IF(OR(G1840="",G1840="?"),"",IFERROR(INDEX(Pubs!$C$2:$C$3001,MATCH(G1840,Pubs!$A$2:$A$3001,0))&amp;"",""))</f>
        <v/>
      </c>
      <c r="J1840" s="27" t="str">
        <f aca="false">IF(OR(G1840="",G1840="?"),"",IFERROR(INDEX(Pubs!$G$2:$G$3001,MATCH(G1840,Pubs!$A$2:$A$3001,0))&amp;"",""))</f>
        <v/>
      </c>
      <c r="K1840" s="28" t="str">
        <f aca="false">IF(OR(G1840="",G1840="?"),"",IFERROR(INDEX(Pubs!$E$2:$E$3001,MATCH(G1840,Pubs!$A$2:$A$3001,0)),""))</f>
        <v/>
      </c>
      <c r="L1840" s="29" t="str">
        <f aca="false">IF(A1840="","",IFERROR(1/(1/INDEX(Numéros!$C$2:$C$3001,MATCH(A1840&amp;"|"&amp;B1840,Numéros!$F$2:$F$3001,0))),""))</f>
        <v/>
      </c>
      <c r="M1840" s="27" t="str">
        <f aca="false">IF(OR(G1840="",G1840="?"),"",IFERROR(INDEX(Pubs!$D$2:$D$3001,MATCH(G1840,Pubs!$A$2:$A$3001,0))&amp;"",""))</f>
        <v/>
      </c>
      <c r="N1840" s="27" t="n">
        <f aca="false">N(N1839)+IF(AND(A1840&lt;&gt;"",OR(Recherche!$C$4="",A1840=Recherche!$C$4),OR(Recherche!$C$5="",B1840&amp;""=Recherche!$C$5&amp;""),OR(Recherche!$C$6="",IFERROR(YEAR(L1840),0)=Recherche!$C$6),OR(Recherche!$C$7="",ISNUMBER(SEARCH(Recherche!$C$7,H1840))),OR(Recherche!$C$8="",J1840=Recherche!$C$8),OR(Recherche!$C$9="",I1840=Recherche!$C$9),OR(Recherche!$C$10="",G1840&amp;""=Recherche!$C$10&amp;""),OR(Recherche!$C$11="",E1840=Recherche!$C$11),OR(Recherche!$C$12="",ISNUMBER(SEARCH(Recherche!$C$12,M1840&amp;" "&amp;F1840)))),1,0)</f>
        <v>8</v>
      </c>
    </row>
    <row r="1841" customFormat="false" ht="15" hidden="false" customHeight="false" outlineLevel="0" collapsed="false">
      <c r="A1841" s="19"/>
      <c r="B1841" s="19"/>
      <c r="C1841" s="19"/>
      <c r="D1841" s="19"/>
      <c r="E1841" s="22"/>
      <c r="F1841" s="19"/>
      <c r="G1841" s="26" t="str">
        <f aca="false">IF(D1841="","",IFERROR(VALUE(LEFT(D1841,FIND(" |",D1841&amp;" |")-1)),"?"))</f>
        <v/>
      </c>
      <c r="H1841" s="27" t="str">
        <f aca="false">IF(G1841="","",IF(G1841="?","⚠ pub inconnue",IFERROR(INDEX(Pubs!$B$2:$B$3001,MATCH(G1841,Pubs!$A$2:$A$3001,0))&amp;"","⚠ pub inconnue")))</f>
        <v/>
      </c>
      <c r="I1841" s="27" t="str">
        <f aca="false">IF(OR(G1841="",G1841="?"),"",IFERROR(INDEX(Pubs!$C$2:$C$3001,MATCH(G1841,Pubs!$A$2:$A$3001,0))&amp;"",""))</f>
        <v/>
      </c>
      <c r="J1841" s="27" t="str">
        <f aca="false">IF(OR(G1841="",G1841="?"),"",IFERROR(INDEX(Pubs!$G$2:$G$3001,MATCH(G1841,Pubs!$A$2:$A$3001,0))&amp;"",""))</f>
        <v/>
      </c>
      <c r="K1841" s="28" t="str">
        <f aca="false">IF(OR(G1841="",G1841="?"),"",IFERROR(INDEX(Pubs!$E$2:$E$3001,MATCH(G1841,Pubs!$A$2:$A$3001,0)),""))</f>
        <v/>
      </c>
      <c r="L1841" s="29" t="str">
        <f aca="false">IF(A1841="","",IFERROR(1/(1/INDEX(Numéros!$C$2:$C$3001,MATCH(A1841&amp;"|"&amp;B1841,Numéros!$F$2:$F$3001,0))),""))</f>
        <v/>
      </c>
      <c r="M1841" s="27" t="str">
        <f aca="false">IF(OR(G1841="",G1841="?"),"",IFERROR(INDEX(Pubs!$D$2:$D$3001,MATCH(G1841,Pubs!$A$2:$A$3001,0))&amp;"",""))</f>
        <v/>
      </c>
      <c r="N1841" s="27" t="n">
        <f aca="false">N(N1840)+IF(AND(A1841&lt;&gt;"",OR(Recherche!$C$4="",A1841=Recherche!$C$4),OR(Recherche!$C$5="",B1841&amp;""=Recherche!$C$5&amp;""),OR(Recherche!$C$6="",IFERROR(YEAR(L1841),0)=Recherche!$C$6),OR(Recherche!$C$7="",ISNUMBER(SEARCH(Recherche!$C$7,H1841))),OR(Recherche!$C$8="",J1841=Recherche!$C$8),OR(Recherche!$C$9="",I1841=Recherche!$C$9),OR(Recherche!$C$10="",G1841&amp;""=Recherche!$C$10&amp;""),OR(Recherche!$C$11="",E1841=Recherche!$C$11),OR(Recherche!$C$12="",ISNUMBER(SEARCH(Recherche!$C$12,M1841&amp;" "&amp;F1841)))),1,0)</f>
        <v>8</v>
      </c>
    </row>
    <row r="1842" customFormat="false" ht="15" hidden="false" customHeight="false" outlineLevel="0" collapsed="false">
      <c r="A1842" s="19"/>
      <c r="B1842" s="19"/>
      <c r="C1842" s="19"/>
      <c r="D1842" s="19"/>
      <c r="E1842" s="22"/>
      <c r="F1842" s="19"/>
      <c r="G1842" s="26" t="str">
        <f aca="false">IF(D1842="","",IFERROR(VALUE(LEFT(D1842,FIND(" |",D1842&amp;" |")-1)),"?"))</f>
        <v/>
      </c>
      <c r="H1842" s="27" t="str">
        <f aca="false">IF(G1842="","",IF(G1842="?","⚠ pub inconnue",IFERROR(INDEX(Pubs!$B$2:$B$3001,MATCH(G1842,Pubs!$A$2:$A$3001,0))&amp;"","⚠ pub inconnue")))</f>
        <v/>
      </c>
      <c r="I1842" s="27" t="str">
        <f aca="false">IF(OR(G1842="",G1842="?"),"",IFERROR(INDEX(Pubs!$C$2:$C$3001,MATCH(G1842,Pubs!$A$2:$A$3001,0))&amp;"",""))</f>
        <v/>
      </c>
      <c r="J1842" s="27" t="str">
        <f aca="false">IF(OR(G1842="",G1842="?"),"",IFERROR(INDEX(Pubs!$G$2:$G$3001,MATCH(G1842,Pubs!$A$2:$A$3001,0))&amp;"",""))</f>
        <v/>
      </c>
      <c r="K1842" s="28" t="str">
        <f aca="false">IF(OR(G1842="",G1842="?"),"",IFERROR(INDEX(Pubs!$E$2:$E$3001,MATCH(G1842,Pubs!$A$2:$A$3001,0)),""))</f>
        <v/>
      </c>
      <c r="L1842" s="29" t="str">
        <f aca="false">IF(A1842="","",IFERROR(1/(1/INDEX(Numéros!$C$2:$C$3001,MATCH(A1842&amp;"|"&amp;B1842,Numéros!$F$2:$F$3001,0))),""))</f>
        <v/>
      </c>
      <c r="M1842" s="27" t="str">
        <f aca="false">IF(OR(G1842="",G1842="?"),"",IFERROR(INDEX(Pubs!$D$2:$D$3001,MATCH(G1842,Pubs!$A$2:$A$3001,0))&amp;"",""))</f>
        <v/>
      </c>
      <c r="N1842" s="27" t="n">
        <f aca="false">N(N1841)+IF(AND(A1842&lt;&gt;"",OR(Recherche!$C$4="",A1842=Recherche!$C$4),OR(Recherche!$C$5="",B1842&amp;""=Recherche!$C$5&amp;""),OR(Recherche!$C$6="",IFERROR(YEAR(L1842),0)=Recherche!$C$6),OR(Recherche!$C$7="",ISNUMBER(SEARCH(Recherche!$C$7,H1842))),OR(Recherche!$C$8="",J1842=Recherche!$C$8),OR(Recherche!$C$9="",I1842=Recherche!$C$9),OR(Recherche!$C$10="",G1842&amp;""=Recherche!$C$10&amp;""),OR(Recherche!$C$11="",E1842=Recherche!$C$11),OR(Recherche!$C$12="",ISNUMBER(SEARCH(Recherche!$C$12,M1842&amp;" "&amp;F1842)))),1,0)</f>
        <v>8</v>
      </c>
    </row>
    <row r="1843" customFormat="false" ht="15" hidden="false" customHeight="false" outlineLevel="0" collapsed="false">
      <c r="A1843" s="19"/>
      <c r="B1843" s="19"/>
      <c r="C1843" s="19"/>
      <c r="D1843" s="19"/>
      <c r="E1843" s="22"/>
      <c r="F1843" s="19"/>
      <c r="G1843" s="26" t="str">
        <f aca="false">IF(D1843="","",IFERROR(VALUE(LEFT(D1843,FIND(" |",D1843&amp;" |")-1)),"?"))</f>
        <v/>
      </c>
      <c r="H1843" s="27" t="str">
        <f aca="false">IF(G1843="","",IF(G1843="?","⚠ pub inconnue",IFERROR(INDEX(Pubs!$B$2:$B$3001,MATCH(G1843,Pubs!$A$2:$A$3001,0))&amp;"","⚠ pub inconnue")))</f>
        <v/>
      </c>
      <c r="I1843" s="27" t="str">
        <f aca="false">IF(OR(G1843="",G1843="?"),"",IFERROR(INDEX(Pubs!$C$2:$C$3001,MATCH(G1843,Pubs!$A$2:$A$3001,0))&amp;"",""))</f>
        <v/>
      </c>
      <c r="J1843" s="27" t="str">
        <f aca="false">IF(OR(G1843="",G1843="?"),"",IFERROR(INDEX(Pubs!$G$2:$G$3001,MATCH(G1843,Pubs!$A$2:$A$3001,0))&amp;"",""))</f>
        <v/>
      </c>
      <c r="K1843" s="28" t="str">
        <f aca="false">IF(OR(G1843="",G1843="?"),"",IFERROR(INDEX(Pubs!$E$2:$E$3001,MATCH(G1843,Pubs!$A$2:$A$3001,0)),""))</f>
        <v/>
      </c>
      <c r="L1843" s="29" t="str">
        <f aca="false">IF(A1843="","",IFERROR(1/(1/INDEX(Numéros!$C$2:$C$3001,MATCH(A1843&amp;"|"&amp;B1843,Numéros!$F$2:$F$3001,0))),""))</f>
        <v/>
      </c>
      <c r="M1843" s="27" t="str">
        <f aca="false">IF(OR(G1843="",G1843="?"),"",IFERROR(INDEX(Pubs!$D$2:$D$3001,MATCH(G1843,Pubs!$A$2:$A$3001,0))&amp;"",""))</f>
        <v/>
      </c>
      <c r="N1843" s="27" t="n">
        <f aca="false">N(N1842)+IF(AND(A1843&lt;&gt;"",OR(Recherche!$C$4="",A1843=Recherche!$C$4),OR(Recherche!$C$5="",B1843&amp;""=Recherche!$C$5&amp;""),OR(Recherche!$C$6="",IFERROR(YEAR(L1843),0)=Recherche!$C$6),OR(Recherche!$C$7="",ISNUMBER(SEARCH(Recherche!$C$7,H1843))),OR(Recherche!$C$8="",J1843=Recherche!$C$8),OR(Recherche!$C$9="",I1843=Recherche!$C$9),OR(Recherche!$C$10="",G1843&amp;""=Recherche!$C$10&amp;""),OR(Recherche!$C$11="",E1843=Recherche!$C$11),OR(Recherche!$C$12="",ISNUMBER(SEARCH(Recherche!$C$12,M1843&amp;" "&amp;F1843)))),1,0)</f>
        <v>8</v>
      </c>
    </row>
    <row r="1844" customFormat="false" ht="15" hidden="false" customHeight="false" outlineLevel="0" collapsed="false">
      <c r="A1844" s="19"/>
      <c r="B1844" s="19"/>
      <c r="C1844" s="19"/>
      <c r="D1844" s="19"/>
      <c r="E1844" s="22"/>
      <c r="F1844" s="19"/>
      <c r="G1844" s="26" t="str">
        <f aca="false">IF(D1844="","",IFERROR(VALUE(LEFT(D1844,FIND(" |",D1844&amp;" |")-1)),"?"))</f>
        <v/>
      </c>
      <c r="H1844" s="27" t="str">
        <f aca="false">IF(G1844="","",IF(G1844="?","⚠ pub inconnue",IFERROR(INDEX(Pubs!$B$2:$B$3001,MATCH(G1844,Pubs!$A$2:$A$3001,0))&amp;"","⚠ pub inconnue")))</f>
        <v/>
      </c>
      <c r="I1844" s="27" t="str">
        <f aca="false">IF(OR(G1844="",G1844="?"),"",IFERROR(INDEX(Pubs!$C$2:$C$3001,MATCH(G1844,Pubs!$A$2:$A$3001,0))&amp;"",""))</f>
        <v/>
      </c>
      <c r="J1844" s="27" t="str">
        <f aca="false">IF(OR(G1844="",G1844="?"),"",IFERROR(INDEX(Pubs!$G$2:$G$3001,MATCH(G1844,Pubs!$A$2:$A$3001,0))&amp;"",""))</f>
        <v/>
      </c>
      <c r="K1844" s="28" t="str">
        <f aca="false">IF(OR(G1844="",G1844="?"),"",IFERROR(INDEX(Pubs!$E$2:$E$3001,MATCH(G1844,Pubs!$A$2:$A$3001,0)),""))</f>
        <v/>
      </c>
      <c r="L1844" s="29" t="str">
        <f aca="false">IF(A1844="","",IFERROR(1/(1/INDEX(Numéros!$C$2:$C$3001,MATCH(A1844&amp;"|"&amp;B1844,Numéros!$F$2:$F$3001,0))),""))</f>
        <v/>
      </c>
      <c r="M1844" s="27" t="str">
        <f aca="false">IF(OR(G1844="",G1844="?"),"",IFERROR(INDEX(Pubs!$D$2:$D$3001,MATCH(G1844,Pubs!$A$2:$A$3001,0))&amp;"",""))</f>
        <v/>
      </c>
      <c r="N1844" s="27" t="n">
        <f aca="false">N(N1843)+IF(AND(A1844&lt;&gt;"",OR(Recherche!$C$4="",A1844=Recherche!$C$4),OR(Recherche!$C$5="",B1844&amp;""=Recherche!$C$5&amp;""),OR(Recherche!$C$6="",IFERROR(YEAR(L1844),0)=Recherche!$C$6),OR(Recherche!$C$7="",ISNUMBER(SEARCH(Recherche!$C$7,H1844))),OR(Recherche!$C$8="",J1844=Recherche!$C$8),OR(Recherche!$C$9="",I1844=Recherche!$C$9),OR(Recherche!$C$10="",G1844&amp;""=Recherche!$C$10&amp;""),OR(Recherche!$C$11="",E1844=Recherche!$C$11),OR(Recherche!$C$12="",ISNUMBER(SEARCH(Recherche!$C$12,M1844&amp;" "&amp;F1844)))),1,0)</f>
        <v>8</v>
      </c>
    </row>
    <row r="1845" customFormat="false" ht="15" hidden="false" customHeight="false" outlineLevel="0" collapsed="false">
      <c r="A1845" s="19"/>
      <c r="B1845" s="19"/>
      <c r="C1845" s="19"/>
      <c r="D1845" s="19"/>
      <c r="E1845" s="22"/>
      <c r="F1845" s="19"/>
      <c r="G1845" s="26" t="str">
        <f aca="false">IF(D1845="","",IFERROR(VALUE(LEFT(D1845,FIND(" |",D1845&amp;" |")-1)),"?"))</f>
        <v/>
      </c>
      <c r="H1845" s="27" t="str">
        <f aca="false">IF(G1845="","",IF(G1845="?","⚠ pub inconnue",IFERROR(INDEX(Pubs!$B$2:$B$3001,MATCH(G1845,Pubs!$A$2:$A$3001,0))&amp;"","⚠ pub inconnue")))</f>
        <v/>
      </c>
      <c r="I1845" s="27" t="str">
        <f aca="false">IF(OR(G1845="",G1845="?"),"",IFERROR(INDEX(Pubs!$C$2:$C$3001,MATCH(G1845,Pubs!$A$2:$A$3001,0))&amp;"",""))</f>
        <v/>
      </c>
      <c r="J1845" s="27" t="str">
        <f aca="false">IF(OR(G1845="",G1845="?"),"",IFERROR(INDEX(Pubs!$G$2:$G$3001,MATCH(G1845,Pubs!$A$2:$A$3001,0))&amp;"",""))</f>
        <v/>
      </c>
      <c r="K1845" s="28" t="str">
        <f aca="false">IF(OR(G1845="",G1845="?"),"",IFERROR(INDEX(Pubs!$E$2:$E$3001,MATCH(G1845,Pubs!$A$2:$A$3001,0)),""))</f>
        <v/>
      </c>
      <c r="L1845" s="29" t="str">
        <f aca="false">IF(A1845="","",IFERROR(1/(1/INDEX(Numéros!$C$2:$C$3001,MATCH(A1845&amp;"|"&amp;B1845,Numéros!$F$2:$F$3001,0))),""))</f>
        <v/>
      </c>
      <c r="M1845" s="27" t="str">
        <f aca="false">IF(OR(G1845="",G1845="?"),"",IFERROR(INDEX(Pubs!$D$2:$D$3001,MATCH(G1845,Pubs!$A$2:$A$3001,0))&amp;"",""))</f>
        <v/>
      </c>
      <c r="N1845" s="27" t="n">
        <f aca="false">N(N1844)+IF(AND(A1845&lt;&gt;"",OR(Recherche!$C$4="",A1845=Recherche!$C$4),OR(Recherche!$C$5="",B1845&amp;""=Recherche!$C$5&amp;""),OR(Recherche!$C$6="",IFERROR(YEAR(L1845),0)=Recherche!$C$6),OR(Recherche!$C$7="",ISNUMBER(SEARCH(Recherche!$C$7,H1845))),OR(Recherche!$C$8="",J1845=Recherche!$C$8),OR(Recherche!$C$9="",I1845=Recherche!$C$9),OR(Recherche!$C$10="",G1845&amp;""=Recherche!$C$10&amp;""),OR(Recherche!$C$11="",E1845=Recherche!$C$11),OR(Recherche!$C$12="",ISNUMBER(SEARCH(Recherche!$C$12,M1845&amp;" "&amp;F1845)))),1,0)</f>
        <v>8</v>
      </c>
    </row>
    <row r="1846" customFormat="false" ht="15" hidden="false" customHeight="false" outlineLevel="0" collapsed="false">
      <c r="A1846" s="19"/>
      <c r="B1846" s="19"/>
      <c r="C1846" s="19"/>
      <c r="D1846" s="19"/>
      <c r="E1846" s="22"/>
      <c r="F1846" s="19"/>
      <c r="G1846" s="26" t="str">
        <f aca="false">IF(D1846="","",IFERROR(VALUE(LEFT(D1846,FIND(" |",D1846&amp;" |")-1)),"?"))</f>
        <v/>
      </c>
      <c r="H1846" s="27" t="str">
        <f aca="false">IF(G1846="","",IF(G1846="?","⚠ pub inconnue",IFERROR(INDEX(Pubs!$B$2:$B$3001,MATCH(G1846,Pubs!$A$2:$A$3001,0))&amp;"","⚠ pub inconnue")))</f>
        <v/>
      </c>
      <c r="I1846" s="27" t="str">
        <f aca="false">IF(OR(G1846="",G1846="?"),"",IFERROR(INDEX(Pubs!$C$2:$C$3001,MATCH(G1846,Pubs!$A$2:$A$3001,0))&amp;"",""))</f>
        <v/>
      </c>
      <c r="J1846" s="27" t="str">
        <f aca="false">IF(OR(G1846="",G1846="?"),"",IFERROR(INDEX(Pubs!$G$2:$G$3001,MATCH(G1846,Pubs!$A$2:$A$3001,0))&amp;"",""))</f>
        <v/>
      </c>
      <c r="K1846" s="28" t="str">
        <f aca="false">IF(OR(G1846="",G1846="?"),"",IFERROR(INDEX(Pubs!$E$2:$E$3001,MATCH(G1846,Pubs!$A$2:$A$3001,0)),""))</f>
        <v/>
      </c>
      <c r="L1846" s="29" t="str">
        <f aca="false">IF(A1846="","",IFERROR(1/(1/INDEX(Numéros!$C$2:$C$3001,MATCH(A1846&amp;"|"&amp;B1846,Numéros!$F$2:$F$3001,0))),""))</f>
        <v/>
      </c>
      <c r="M1846" s="27" t="str">
        <f aca="false">IF(OR(G1846="",G1846="?"),"",IFERROR(INDEX(Pubs!$D$2:$D$3001,MATCH(G1846,Pubs!$A$2:$A$3001,0))&amp;"",""))</f>
        <v/>
      </c>
      <c r="N1846" s="27" t="n">
        <f aca="false">N(N1845)+IF(AND(A1846&lt;&gt;"",OR(Recherche!$C$4="",A1846=Recherche!$C$4),OR(Recherche!$C$5="",B1846&amp;""=Recherche!$C$5&amp;""),OR(Recherche!$C$6="",IFERROR(YEAR(L1846),0)=Recherche!$C$6),OR(Recherche!$C$7="",ISNUMBER(SEARCH(Recherche!$C$7,H1846))),OR(Recherche!$C$8="",J1846=Recherche!$C$8),OR(Recherche!$C$9="",I1846=Recherche!$C$9),OR(Recherche!$C$10="",G1846&amp;""=Recherche!$C$10&amp;""),OR(Recherche!$C$11="",E1846=Recherche!$C$11),OR(Recherche!$C$12="",ISNUMBER(SEARCH(Recherche!$C$12,M1846&amp;" "&amp;F1846)))),1,0)</f>
        <v>8</v>
      </c>
    </row>
    <row r="1847" customFormat="false" ht="15" hidden="false" customHeight="false" outlineLevel="0" collapsed="false">
      <c r="A1847" s="19"/>
      <c r="B1847" s="19"/>
      <c r="C1847" s="19"/>
      <c r="D1847" s="19"/>
      <c r="E1847" s="22"/>
      <c r="F1847" s="19"/>
      <c r="G1847" s="26" t="str">
        <f aca="false">IF(D1847="","",IFERROR(VALUE(LEFT(D1847,FIND(" |",D1847&amp;" |")-1)),"?"))</f>
        <v/>
      </c>
      <c r="H1847" s="27" t="str">
        <f aca="false">IF(G1847="","",IF(G1847="?","⚠ pub inconnue",IFERROR(INDEX(Pubs!$B$2:$B$3001,MATCH(G1847,Pubs!$A$2:$A$3001,0))&amp;"","⚠ pub inconnue")))</f>
        <v/>
      </c>
      <c r="I1847" s="27" t="str">
        <f aca="false">IF(OR(G1847="",G1847="?"),"",IFERROR(INDEX(Pubs!$C$2:$C$3001,MATCH(G1847,Pubs!$A$2:$A$3001,0))&amp;"",""))</f>
        <v/>
      </c>
      <c r="J1847" s="27" t="str">
        <f aca="false">IF(OR(G1847="",G1847="?"),"",IFERROR(INDEX(Pubs!$G$2:$G$3001,MATCH(G1847,Pubs!$A$2:$A$3001,0))&amp;"",""))</f>
        <v/>
      </c>
      <c r="K1847" s="28" t="str">
        <f aca="false">IF(OR(G1847="",G1847="?"),"",IFERROR(INDEX(Pubs!$E$2:$E$3001,MATCH(G1847,Pubs!$A$2:$A$3001,0)),""))</f>
        <v/>
      </c>
      <c r="L1847" s="29" t="str">
        <f aca="false">IF(A1847="","",IFERROR(1/(1/INDEX(Numéros!$C$2:$C$3001,MATCH(A1847&amp;"|"&amp;B1847,Numéros!$F$2:$F$3001,0))),""))</f>
        <v/>
      </c>
      <c r="M1847" s="27" t="str">
        <f aca="false">IF(OR(G1847="",G1847="?"),"",IFERROR(INDEX(Pubs!$D$2:$D$3001,MATCH(G1847,Pubs!$A$2:$A$3001,0))&amp;"",""))</f>
        <v/>
      </c>
      <c r="N1847" s="27" t="n">
        <f aca="false">N(N1846)+IF(AND(A1847&lt;&gt;"",OR(Recherche!$C$4="",A1847=Recherche!$C$4),OR(Recherche!$C$5="",B1847&amp;""=Recherche!$C$5&amp;""),OR(Recherche!$C$6="",IFERROR(YEAR(L1847),0)=Recherche!$C$6),OR(Recherche!$C$7="",ISNUMBER(SEARCH(Recherche!$C$7,H1847))),OR(Recherche!$C$8="",J1847=Recherche!$C$8),OR(Recherche!$C$9="",I1847=Recherche!$C$9),OR(Recherche!$C$10="",G1847&amp;""=Recherche!$C$10&amp;""),OR(Recherche!$C$11="",E1847=Recherche!$C$11),OR(Recherche!$C$12="",ISNUMBER(SEARCH(Recherche!$C$12,M1847&amp;" "&amp;F1847)))),1,0)</f>
        <v>8</v>
      </c>
    </row>
    <row r="1848" customFormat="false" ht="15" hidden="false" customHeight="false" outlineLevel="0" collapsed="false">
      <c r="A1848" s="19"/>
      <c r="B1848" s="19"/>
      <c r="C1848" s="19"/>
      <c r="D1848" s="19"/>
      <c r="E1848" s="22"/>
      <c r="F1848" s="19"/>
      <c r="G1848" s="26" t="str">
        <f aca="false">IF(D1848="","",IFERROR(VALUE(LEFT(D1848,FIND(" |",D1848&amp;" |")-1)),"?"))</f>
        <v/>
      </c>
      <c r="H1848" s="27" t="str">
        <f aca="false">IF(G1848="","",IF(G1848="?","⚠ pub inconnue",IFERROR(INDEX(Pubs!$B$2:$B$3001,MATCH(G1848,Pubs!$A$2:$A$3001,0))&amp;"","⚠ pub inconnue")))</f>
        <v/>
      </c>
      <c r="I1848" s="27" t="str">
        <f aca="false">IF(OR(G1848="",G1848="?"),"",IFERROR(INDEX(Pubs!$C$2:$C$3001,MATCH(G1848,Pubs!$A$2:$A$3001,0))&amp;"",""))</f>
        <v/>
      </c>
      <c r="J1848" s="27" t="str">
        <f aca="false">IF(OR(G1848="",G1848="?"),"",IFERROR(INDEX(Pubs!$G$2:$G$3001,MATCH(G1848,Pubs!$A$2:$A$3001,0))&amp;"",""))</f>
        <v/>
      </c>
      <c r="K1848" s="28" t="str">
        <f aca="false">IF(OR(G1848="",G1848="?"),"",IFERROR(INDEX(Pubs!$E$2:$E$3001,MATCH(G1848,Pubs!$A$2:$A$3001,0)),""))</f>
        <v/>
      </c>
      <c r="L1848" s="29" t="str">
        <f aca="false">IF(A1848="","",IFERROR(1/(1/INDEX(Numéros!$C$2:$C$3001,MATCH(A1848&amp;"|"&amp;B1848,Numéros!$F$2:$F$3001,0))),""))</f>
        <v/>
      </c>
      <c r="M1848" s="27" t="str">
        <f aca="false">IF(OR(G1848="",G1848="?"),"",IFERROR(INDEX(Pubs!$D$2:$D$3001,MATCH(G1848,Pubs!$A$2:$A$3001,0))&amp;"",""))</f>
        <v/>
      </c>
      <c r="N1848" s="27" t="n">
        <f aca="false">N(N1847)+IF(AND(A1848&lt;&gt;"",OR(Recherche!$C$4="",A1848=Recherche!$C$4),OR(Recherche!$C$5="",B1848&amp;""=Recherche!$C$5&amp;""),OR(Recherche!$C$6="",IFERROR(YEAR(L1848),0)=Recherche!$C$6),OR(Recherche!$C$7="",ISNUMBER(SEARCH(Recherche!$C$7,H1848))),OR(Recherche!$C$8="",J1848=Recherche!$C$8),OR(Recherche!$C$9="",I1848=Recherche!$C$9),OR(Recherche!$C$10="",G1848&amp;""=Recherche!$C$10&amp;""),OR(Recherche!$C$11="",E1848=Recherche!$C$11),OR(Recherche!$C$12="",ISNUMBER(SEARCH(Recherche!$C$12,M1848&amp;" "&amp;F1848)))),1,0)</f>
        <v>8</v>
      </c>
    </row>
    <row r="1849" customFormat="false" ht="15" hidden="false" customHeight="false" outlineLevel="0" collapsed="false">
      <c r="A1849" s="19"/>
      <c r="B1849" s="19"/>
      <c r="C1849" s="19"/>
      <c r="D1849" s="19"/>
      <c r="E1849" s="22"/>
      <c r="F1849" s="19"/>
      <c r="G1849" s="26" t="str">
        <f aca="false">IF(D1849="","",IFERROR(VALUE(LEFT(D1849,FIND(" |",D1849&amp;" |")-1)),"?"))</f>
        <v/>
      </c>
      <c r="H1849" s="27" t="str">
        <f aca="false">IF(G1849="","",IF(G1849="?","⚠ pub inconnue",IFERROR(INDEX(Pubs!$B$2:$B$3001,MATCH(G1849,Pubs!$A$2:$A$3001,0))&amp;"","⚠ pub inconnue")))</f>
        <v/>
      </c>
      <c r="I1849" s="27" t="str">
        <f aca="false">IF(OR(G1849="",G1849="?"),"",IFERROR(INDEX(Pubs!$C$2:$C$3001,MATCH(G1849,Pubs!$A$2:$A$3001,0))&amp;"",""))</f>
        <v/>
      </c>
      <c r="J1849" s="27" t="str">
        <f aca="false">IF(OR(G1849="",G1849="?"),"",IFERROR(INDEX(Pubs!$G$2:$G$3001,MATCH(G1849,Pubs!$A$2:$A$3001,0))&amp;"",""))</f>
        <v/>
      </c>
      <c r="K1849" s="28" t="str">
        <f aca="false">IF(OR(G1849="",G1849="?"),"",IFERROR(INDEX(Pubs!$E$2:$E$3001,MATCH(G1849,Pubs!$A$2:$A$3001,0)),""))</f>
        <v/>
      </c>
      <c r="L1849" s="29" t="str">
        <f aca="false">IF(A1849="","",IFERROR(1/(1/INDEX(Numéros!$C$2:$C$3001,MATCH(A1849&amp;"|"&amp;B1849,Numéros!$F$2:$F$3001,0))),""))</f>
        <v/>
      </c>
      <c r="M1849" s="27" t="str">
        <f aca="false">IF(OR(G1849="",G1849="?"),"",IFERROR(INDEX(Pubs!$D$2:$D$3001,MATCH(G1849,Pubs!$A$2:$A$3001,0))&amp;"",""))</f>
        <v/>
      </c>
      <c r="N1849" s="27" t="n">
        <f aca="false">N(N1848)+IF(AND(A1849&lt;&gt;"",OR(Recherche!$C$4="",A1849=Recherche!$C$4),OR(Recherche!$C$5="",B1849&amp;""=Recherche!$C$5&amp;""),OR(Recherche!$C$6="",IFERROR(YEAR(L1849),0)=Recherche!$C$6),OR(Recherche!$C$7="",ISNUMBER(SEARCH(Recherche!$C$7,H1849))),OR(Recherche!$C$8="",J1849=Recherche!$C$8),OR(Recherche!$C$9="",I1849=Recherche!$C$9),OR(Recherche!$C$10="",G1849&amp;""=Recherche!$C$10&amp;""),OR(Recherche!$C$11="",E1849=Recherche!$C$11),OR(Recherche!$C$12="",ISNUMBER(SEARCH(Recherche!$C$12,M1849&amp;" "&amp;F1849)))),1,0)</f>
        <v>8</v>
      </c>
    </row>
    <row r="1850" customFormat="false" ht="15" hidden="false" customHeight="false" outlineLevel="0" collapsed="false">
      <c r="A1850" s="19"/>
      <c r="B1850" s="19"/>
      <c r="C1850" s="19"/>
      <c r="D1850" s="19"/>
      <c r="E1850" s="22"/>
      <c r="F1850" s="19"/>
      <c r="G1850" s="26" t="str">
        <f aca="false">IF(D1850="","",IFERROR(VALUE(LEFT(D1850,FIND(" |",D1850&amp;" |")-1)),"?"))</f>
        <v/>
      </c>
      <c r="H1850" s="27" t="str">
        <f aca="false">IF(G1850="","",IF(G1850="?","⚠ pub inconnue",IFERROR(INDEX(Pubs!$B$2:$B$3001,MATCH(G1850,Pubs!$A$2:$A$3001,0))&amp;"","⚠ pub inconnue")))</f>
        <v/>
      </c>
      <c r="I1850" s="27" t="str">
        <f aca="false">IF(OR(G1850="",G1850="?"),"",IFERROR(INDEX(Pubs!$C$2:$C$3001,MATCH(G1850,Pubs!$A$2:$A$3001,0))&amp;"",""))</f>
        <v/>
      </c>
      <c r="J1850" s="27" t="str">
        <f aca="false">IF(OR(G1850="",G1850="?"),"",IFERROR(INDEX(Pubs!$G$2:$G$3001,MATCH(G1850,Pubs!$A$2:$A$3001,0))&amp;"",""))</f>
        <v/>
      </c>
      <c r="K1850" s="28" t="str">
        <f aca="false">IF(OR(G1850="",G1850="?"),"",IFERROR(INDEX(Pubs!$E$2:$E$3001,MATCH(G1850,Pubs!$A$2:$A$3001,0)),""))</f>
        <v/>
      </c>
      <c r="L1850" s="29" t="str">
        <f aca="false">IF(A1850="","",IFERROR(1/(1/INDEX(Numéros!$C$2:$C$3001,MATCH(A1850&amp;"|"&amp;B1850,Numéros!$F$2:$F$3001,0))),""))</f>
        <v/>
      </c>
      <c r="M1850" s="27" t="str">
        <f aca="false">IF(OR(G1850="",G1850="?"),"",IFERROR(INDEX(Pubs!$D$2:$D$3001,MATCH(G1850,Pubs!$A$2:$A$3001,0))&amp;"",""))</f>
        <v/>
      </c>
      <c r="N1850" s="27" t="n">
        <f aca="false">N(N1849)+IF(AND(A1850&lt;&gt;"",OR(Recherche!$C$4="",A1850=Recherche!$C$4),OR(Recherche!$C$5="",B1850&amp;""=Recherche!$C$5&amp;""),OR(Recherche!$C$6="",IFERROR(YEAR(L1850),0)=Recherche!$C$6),OR(Recherche!$C$7="",ISNUMBER(SEARCH(Recherche!$C$7,H1850))),OR(Recherche!$C$8="",J1850=Recherche!$C$8),OR(Recherche!$C$9="",I1850=Recherche!$C$9),OR(Recherche!$C$10="",G1850&amp;""=Recherche!$C$10&amp;""),OR(Recherche!$C$11="",E1850=Recherche!$C$11),OR(Recherche!$C$12="",ISNUMBER(SEARCH(Recherche!$C$12,M1850&amp;" "&amp;F1850)))),1,0)</f>
        <v>8</v>
      </c>
    </row>
    <row r="1851" customFormat="false" ht="15" hidden="false" customHeight="false" outlineLevel="0" collapsed="false">
      <c r="A1851" s="19"/>
      <c r="B1851" s="19"/>
      <c r="C1851" s="19"/>
      <c r="D1851" s="19"/>
      <c r="E1851" s="22"/>
      <c r="F1851" s="19"/>
      <c r="G1851" s="26" t="str">
        <f aca="false">IF(D1851="","",IFERROR(VALUE(LEFT(D1851,FIND(" |",D1851&amp;" |")-1)),"?"))</f>
        <v/>
      </c>
      <c r="H1851" s="27" t="str">
        <f aca="false">IF(G1851="","",IF(G1851="?","⚠ pub inconnue",IFERROR(INDEX(Pubs!$B$2:$B$3001,MATCH(G1851,Pubs!$A$2:$A$3001,0))&amp;"","⚠ pub inconnue")))</f>
        <v/>
      </c>
      <c r="I1851" s="27" t="str">
        <f aca="false">IF(OR(G1851="",G1851="?"),"",IFERROR(INDEX(Pubs!$C$2:$C$3001,MATCH(G1851,Pubs!$A$2:$A$3001,0))&amp;"",""))</f>
        <v/>
      </c>
      <c r="J1851" s="27" t="str">
        <f aca="false">IF(OR(G1851="",G1851="?"),"",IFERROR(INDEX(Pubs!$G$2:$G$3001,MATCH(G1851,Pubs!$A$2:$A$3001,0))&amp;"",""))</f>
        <v/>
      </c>
      <c r="K1851" s="28" t="str">
        <f aca="false">IF(OR(G1851="",G1851="?"),"",IFERROR(INDEX(Pubs!$E$2:$E$3001,MATCH(G1851,Pubs!$A$2:$A$3001,0)),""))</f>
        <v/>
      </c>
      <c r="L1851" s="29" t="str">
        <f aca="false">IF(A1851="","",IFERROR(1/(1/INDEX(Numéros!$C$2:$C$3001,MATCH(A1851&amp;"|"&amp;B1851,Numéros!$F$2:$F$3001,0))),""))</f>
        <v/>
      </c>
      <c r="M1851" s="27" t="str">
        <f aca="false">IF(OR(G1851="",G1851="?"),"",IFERROR(INDEX(Pubs!$D$2:$D$3001,MATCH(G1851,Pubs!$A$2:$A$3001,0))&amp;"",""))</f>
        <v/>
      </c>
      <c r="N1851" s="27" t="n">
        <f aca="false">N(N1850)+IF(AND(A1851&lt;&gt;"",OR(Recherche!$C$4="",A1851=Recherche!$C$4),OR(Recherche!$C$5="",B1851&amp;""=Recherche!$C$5&amp;""),OR(Recherche!$C$6="",IFERROR(YEAR(L1851),0)=Recherche!$C$6),OR(Recherche!$C$7="",ISNUMBER(SEARCH(Recherche!$C$7,H1851))),OR(Recherche!$C$8="",J1851=Recherche!$C$8),OR(Recherche!$C$9="",I1851=Recherche!$C$9),OR(Recherche!$C$10="",G1851&amp;""=Recherche!$C$10&amp;""),OR(Recherche!$C$11="",E1851=Recherche!$C$11),OR(Recherche!$C$12="",ISNUMBER(SEARCH(Recherche!$C$12,M1851&amp;" "&amp;F1851)))),1,0)</f>
        <v>8</v>
      </c>
    </row>
    <row r="1852" customFormat="false" ht="15" hidden="false" customHeight="false" outlineLevel="0" collapsed="false">
      <c r="A1852" s="19"/>
      <c r="B1852" s="19"/>
      <c r="C1852" s="19"/>
      <c r="D1852" s="19"/>
      <c r="E1852" s="22"/>
      <c r="F1852" s="19"/>
      <c r="G1852" s="26" t="str">
        <f aca="false">IF(D1852="","",IFERROR(VALUE(LEFT(D1852,FIND(" |",D1852&amp;" |")-1)),"?"))</f>
        <v/>
      </c>
      <c r="H1852" s="27" t="str">
        <f aca="false">IF(G1852="","",IF(G1852="?","⚠ pub inconnue",IFERROR(INDEX(Pubs!$B$2:$B$3001,MATCH(G1852,Pubs!$A$2:$A$3001,0))&amp;"","⚠ pub inconnue")))</f>
        <v/>
      </c>
      <c r="I1852" s="27" t="str">
        <f aca="false">IF(OR(G1852="",G1852="?"),"",IFERROR(INDEX(Pubs!$C$2:$C$3001,MATCH(G1852,Pubs!$A$2:$A$3001,0))&amp;"",""))</f>
        <v/>
      </c>
      <c r="J1852" s="27" t="str">
        <f aca="false">IF(OR(G1852="",G1852="?"),"",IFERROR(INDEX(Pubs!$G$2:$G$3001,MATCH(G1852,Pubs!$A$2:$A$3001,0))&amp;"",""))</f>
        <v/>
      </c>
      <c r="K1852" s="28" t="str">
        <f aca="false">IF(OR(G1852="",G1852="?"),"",IFERROR(INDEX(Pubs!$E$2:$E$3001,MATCH(G1852,Pubs!$A$2:$A$3001,0)),""))</f>
        <v/>
      </c>
      <c r="L1852" s="29" t="str">
        <f aca="false">IF(A1852="","",IFERROR(1/(1/INDEX(Numéros!$C$2:$C$3001,MATCH(A1852&amp;"|"&amp;B1852,Numéros!$F$2:$F$3001,0))),""))</f>
        <v/>
      </c>
      <c r="M1852" s="27" t="str">
        <f aca="false">IF(OR(G1852="",G1852="?"),"",IFERROR(INDEX(Pubs!$D$2:$D$3001,MATCH(G1852,Pubs!$A$2:$A$3001,0))&amp;"",""))</f>
        <v/>
      </c>
      <c r="N1852" s="27" t="n">
        <f aca="false">N(N1851)+IF(AND(A1852&lt;&gt;"",OR(Recherche!$C$4="",A1852=Recherche!$C$4),OR(Recherche!$C$5="",B1852&amp;""=Recherche!$C$5&amp;""),OR(Recherche!$C$6="",IFERROR(YEAR(L1852),0)=Recherche!$C$6),OR(Recherche!$C$7="",ISNUMBER(SEARCH(Recherche!$C$7,H1852))),OR(Recherche!$C$8="",J1852=Recherche!$C$8),OR(Recherche!$C$9="",I1852=Recherche!$C$9),OR(Recherche!$C$10="",G1852&amp;""=Recherche!$C$10&amp;""),OR(Recherche!$C$11="",E1852=Recherche!$C$11),OR(Recherche!$C$12="",ISNUMBER(SEARCH(Recherche!$C$12,M1852&amp;" "&amp;F1852)))),1,0)</f>
        <v>8</v>
      </c>
    </row>
    <row r="1853" customFormat="false" ht="15" hidden="false" customHeight="false" outlineLevel="0" collapsed="false">
      <c r="A1853" s="19"/>
      <c r="B1853" s="19"/>
      <c r="C1853" s="19"/>
      <c r="D1853" s="19"/>
      <c r="E1853" s="22"/>
      <c r="F1853" s="19"/>
      <c r="G1853" s="26" t="str">
        <f aca="false">IF(D1853="","",IFERROR(VALUE(LEFT(D1853,FIND(" |",D1853&amp;" |")-1)),"?"))</f>
        <v/>
      </c>
      <c r="H1853" s="27" t="str">
        <f aca="false">IF(G1853="","",IF(G1853="?","⚠ pub inconnue",IFERROR(INDEX(Pubs!$B$2:$B$3001,MATCH(G1853,Pubs!$A$2:$A$3001,0))&amp;"","⚠ pub inconnue")))</f>
        <v/>
      </c>
      <c r="I1853" s="27" t="str">
        <f aca="false">IF(OR(G1853="",G1853="?"),"",IFERROR(INDEX(Pubs!$C$2:$C$3001,MATCH(G1853,Pubs!$A$2:$A$3001,0))&amp;"",""))</f>
        <v/>
      </c>
      <c r="J1853" s="27" t="str">
        <f aca="false">IF(OR(G1853="",G1853="?"),"",IFERROR(INDEX(Pubs!$G$2:$G$3001,MATCH(G1853,Pubs!$A$2:$A$3001,0))&amp;"",""))</f>
        <v/>
      </c>
      <c r="K1853" s="28" t="str">
        <f aca="false">IF(OR(G1853="",G1853="?"),"",IFERROR(INDEX(Pubs!$E$2:$E$3001,MATCH(G1853,Pubs!$A$2:$A$3001,0)),""))</f>
        <v/>
      </c>
      <c r="L1853" s="29" t="str">
        <f aca="false">IF(A1853="","",IFERROR(1/(1/INDEX(Numéros!$C$2:$C$3001,MATCH(A1853&amp;"|"&amp;B1853,Numéros!$F$2:$F$3001,0))),""))</f>
        <v/>
      </c>
      <c r="M1853" s="27" t="str">
        <f aca="false">IF(OR(G1853="",G1853="?"),"",IFERROR(INDEX(Pubs!$D$2:$D$3001,MATCH(G1853,Pubs!$A$2:$A$3001,0))&amp;"",""))</f>
        <v/>
      </c>
      <c r="N1853" s="27" t="n">
        <f aca="false">N(N1852)+IF(AND(A1853&lt;&gt;"",OR(Recherche!$C$4="",A1853=Recherche!$C$4),OR(Recherche!$C$5="",B1853&amp;""=Recherche!$C$5&amp;""),OR(Recherche!$C$6="",IFERROR(YEAR(L1853),0)=Recherche!$C$6),OR(Recherche!$C$7="",ISNUMBER(SEARCH(Recherche!$C$7,H1853))),OR(Recherche!$C$8="",J1853=Recherche!$C$8),OR(Recherche!$C$9="",I1853=Recherche!$C$9),OR(Recherche!$C$10="",G1853&amp;""=Recherche!$C$10&amp;""),OR(Recherche!$C$11="",E1853=Recherche!$C$11),OR(Recherche!$C$12="",ISNUMBER(SEARCH(Recherche!$C$12,M1853&amp;" "&amp;F1853)))),1,0)</f>
        <v>8</v>
      </c>
    </row>
    <row r="1854" customFormat="false" ht="15" hidden="false" customHeight="false" outlineLevel="0" collapsed="false">
      <c r="A1854" s="19"/>
      <c r="B1854" s="19"/>
      <c r="C1854" s="19"/>
      <c r="D1854" s="19"/>
      <c r="E1854" s="22"/>
      <c r="F1854" s="19"/>
      <c r="G1854" s="26" t="str">
        <f aca="false">IF(D1854="","",IFERROR(VALUE(LEFT(D1854,FIND(" |",D1854&amp;" |")-1)),"?"))</f>
        <v/>
      </c>
      <c r="H1854" s="27" t="str">
        <f aca="false">IF(G1854="","",IF(G1854="?","⚠ pub inconnue",IFERROR(INDEX(Pubs!$B$2:$B$3001,MATCH(G1854,Pubs!$A$2:$A$3001,0))&amp;"","⚠ pub inconnue")))</f>
        <v/>
      </c>
      <c r="I1854" s="27" t="str">
        <f aca="false">IF(OR(G1854="",G1854="?"),"",IFERROR(INDEX(Pubs!$C$2:$C$3001,MATCH(G1854,Pubs!$A$2:$A$3001,0))&amp;"",""))</f>
        <v/>
      </c>
      <c r="J1854" s="27" t="str">
        <f aca="false">IF(OR(G1854="",G1854="?"),"",IFERROR(INDEX(Pubs!$G$2:$G$3001,MATCH(G1854,Pubs!$A$2:$A$3001,0))&amp;"",""))</f>
        <v/>
      </c>
      <c r="K1854" s="28" t="str">
        <f aca="false">IF(OR(G1854="",G1854="?"),"",IFERROR(INDEX(Pubs!$E$2:$E$3001,MATCH(G1854,Pubs!$A$2:$A$3001,0)),""))</f>
        <v/>
      </c>
      <c r="L1854" s="29" t="str">
        <f aca="false">IF(A1854="","",IFERROR(1/(1/INDEX(Numéros!$C$2:$C$3001,MATCH(A1854&amp;"|"&amp;B1854,Numéros!$F$2:$F$3001,0))),""))</f>
        <v/>
      </c>
      <c r="M1854" s="27" t="str">
        <f aca="false">IF(OR(G1854="",G1854="?"),"",IFERROR(INDEX(Pubs!$D$2:$D$3001,MATCH(G1854,Pubs!$A$2:$A$3001,0))&amp;"",""))</f>
        <v/>
      </c>
      <c r="N1854" s="27" t="n">
        <f aca="false">N(N1853)+IF(AND(A1854&lt;&gt;"",OR(Recherche!$C$4="",A1854=Recherche!$C$4),OR(Recherche!$C$5="",B1854&amp;""=Recherche!$C$5&amp;""),OR(Recherche!$C$6="",IFERROR(YEAR(L1854),0)=Recherche!$C$6),OR(Recherche!$C$7="",ISNUMBER(SEARCH(Recherche!$C$7,H1854))),OR(Recherche!$C$8="",J1854=Recherche!$C$8),OR(Recherche!$C$9="",I1854=Recherche!$C$9),OR(Recherche!$C$10="",G1854&amp;""=Recherche!$C$10&amp;""),OR(Recherche!$C$11="",E1854=Recherche!$C$11),OR(Recherche!$C$12="",ISNUMBER(SEARCH(Recherche!$C$12,M1854&amp;" "&amp;F1854)))),1,0)</f>
        <v>8</v>
      </c>
    </row>
    <row r="1855" customFormat="false" ht="15" hidden="false" customHeight="false" outlineLevel="0" collapsed="false">
      <c r="A1855" s="19"/>
      <c r="B1855" s="19"/>
      <c r="C1855" s="19"/>
      <c r="D1855" s="19"/>
      <c r="E1855" s="22"/>
      <c r="F1855" s="19"/>
      <c r="G1855" s="26" t="str">
        <f aca="false">IF(D1855="","",IFERROR(VALUE(LEFT(D1855,FIND(" |",D1855&amp;" |")-1)),"?"))</f>
        <v/>
      </c>
      <c r="H1855" s="27" t="str">
        <f aca="false">IF(G1855="","",IF(G1855="?","⚠ pub inconnue",IFERROR(INDEX(Pubs!$B$2:$B$3001,MATCH(G1855,Pubs!$A$2:$A$3001,0))&amp;"","⚠ pub inconnue")))</f>
        <v/>
      </c>
      <c r="I1855" s="27" t="str">
        <f aca="false">IF(OR(G1855="",G1855="?"),"",IFERROR(INDEX(Pubs!$C$2:$C$3001,MATCH(G1855,Pubs!$A$2:$A$3001,0))&amp;"",""))</f>
        <v/>
      </c>
      <c r="J1855" s="27" t="str">
        <f aca="false">IF(OR(G1855="",G1855="?"),"",IFERROR(INDEX(Pubs!$G$2:$G$3001,MATCH(G1855,Pubs!$A$2:$A$3001,0))&amp;"",""))</f>
        <v/>
      </c>
      <c r="K1855" s="28" t="str">
        <f aca="false">IF(OR(G1855="",G1855="?"),"",IFERROR(INDEX(Pubs!$E$2:$E$3001,MATCH(G1855,Pubs!$A$2:$A$3001,0)),""))</f>
        <v/>
      </c>
      <c r="L1855" s="29" t="str">
        <f aca="false">IF(A1855="","",IFERROR(1/(1/INDEX(Numéros!$C$2:$C$3001,MATCH(A1855&amp;"|"&amp;B1855,Numéros!$F$2:$F$3001,0))),""))</f>
        <v/>
      </c>
      <c r="M1855" s="27" t="str">
        <f aca="false">IF(OR(G1855="",G1855="?"),"",IFERROR(INDEX(Pubs!$D$2:$D$3001,MATCH(G1855,Pubs!$A$2:$A$3001,0))&amp;"",""))</f>
        <v/>
      </c>
      <c r="N1855" s="27" t="n">
        <f aca="false">N(N1854)+IF(AND(A1855&lt;&gt;"",OR(Recherche!$C$4="",A1855=Recherche!$C$4),OR(Recherche!$C$5="",B1855&amp;""=Recherche!$C$5&amp;""),OR(Recherche!$C$6="",IFERROR(YEAR(L1855),0)=Recherche!$C$6),OR(Recherche!$C$7="",ISNUMBER(SEARCH(Recherche!$C$7,H1855))),OR(Recherche!$C$8="",J1855=Recherche!$C$8),OR(Recherche!$C$9="",I1855=Recherche!$C$9),OR(Recherche!$C$10="",G1855&amp;""=Recherche!$C$10&amp;""),OR(Recherche!$C$11="",E1855=Recherche!$C$11),OR(Recherche!$C$12="",ISNUMBER(SEARCH(Recherche!$C$12,M1855&amp;" "&amp;F1855)))),1,0)</f>
        <v>8</v>
      </c>
    </row>
    <row r="1856" customFormat="false" ht="15" hidden="false" customHeight="false" outlineLevel="0" collapsed="false">
      <c r="A1856" s="19"/>
      <c r="B1856" s="19"/>
      <c r="C1856" s="19"/>
      <c r="D1856" s="19"/>
      <c r="E1856" s="22"/>
      <c r="F1856" s="19"/>
      <c r="G1856" s="26" t="str">
        <f aca="false">IF(D1856="","",IFERROR(VALUE(LEFT(D1856,FIND(" |",D1856&amp;" |")-1)),"?"))</f>
        <v/>
      </c>
      <c r="H1856" s="27" t="str">
        <f aca="false">IF(G1856="","",IF(G1856="?","⚠ pub inconnue",IFERROR(INDEX(Pubs!$B$2:$B$3001,MATCH(G1856,Pubs!$A$2:$A$3001,0))&amp;"","⚠ pub inconnue")))</f>
        <v/>
      </c>
      <c r="I1856" s="27" t="str">
        <f aca="false">IF(OR(G1856="",G1856="?"),"",IFERROR(INDEX(Pubs!$C$2:$C$3001,MATCH(G1856,Pubs!$A$2:$A$3001,0))&amp;"",""))</f>
        <v/>
      </c>
      <c r="J1856" s="27" t="str">
        <f aca="false">IF(OR(G1856="",G1856="?"),"",IFERROR(INDEX(Pubs!$G$2:$G$3001,MATCH(G1856,Pubs!$A$2:$A$3001,0))&amp;"",""))</f>
        <v/>
      </c>
      <c r="K1856" s="28" t="str">
        <f aca="false">IF(OR(G1856="",G1856="?"),"",IFERROR(INDEX(Pubs!$E$2:$E$3001,MATCH(G1856,Pubs!$A$2:$A$3001,0)),""))</f>
        <v/>
      </c>
      <c r="L1856" s="29" t="str">
        <f aca="false">IF(A1856="","",IFERROR(1/(1/INDEX(Numéros!$C$2:$C$3001,MATCH(A1856&amp;"|"&amp;B1856,Numéros!$F$2:$F$3001,0))),""))</f>
        <v/>
      </c>
      <c r="M1856" s="27" t="str">
        <f aca="false">IF(OR(G1856="",G1856="?"),"",IFERROR(INDEX(Pubs!$D$2:$D$3001,MATCH(G1856,Pubs!$A$2:$A$3001,0))&amp;"",""))</f>
        <v/>
      </c>
      <c r="N1856" s="27" t="n">
        <f aca="false">N(N1855)+IF(AND(A1856&lt;&gt;"",OR(Recherche!$C$4="",A1856=Recherche!$C$4),OR(Recherche!$C$5="",B1856&amp;""=Recherche!$C$5&amp;""),OR(Recherche!$C$6="",IFERROR(YEAR(L1856),0)=Recherche!$C$6),OR(Recherche!$C$7="",ISNUMBER(SEARCH(Recherche!$C$7,H1856))),OR(Recherche!$C$8="",J1856=Recherche!$C$8),OR(Recherche!$C$9="",I1856=Recherche!$C$9),OR(Recherche!$C$10="",G1856&amp;""=Recherche!$C$10&amp;""),OR(Recherche!$C$11="",E1856=Recherche!$C$11),OR(Recherche!$C$12="",ISNUMBER(SEARCH(Recherche!$C$12,M1856&amp;" "&amp;F1856)))),1,0)</f>
        <v>8</v>
      </c>
    </row>
    <row r="1857" customFormat="false" ht="15" hidden="false" customHeight="false" outlineLevel="0" collapsed="false">
      <c r="A1857" s="19"/>
      <c r="B1857" s="19"/>
      <c r="C1857" s="19"/>
      <c r="D1857" s="19"/>
      <c r="E1857" s="22"/>
      <c r="F1857" s="19"/>
      <c r="G1857" s="26" t="str">
        <f aca="false">IF(D1857="","",IFERROR(VALUE(LEFT(D1857,FIND(" |",D1857&amp;" |")-1)),"?"))</f>
        <v/>
      </c>
      <c r="H1857" s="27" t="str">
        <f aca="false">IF(G1857="","",IF(G1857="?","⚠ pub inconnue",IFERROR(INDEX(Pubs!$B$2:$B$3001,MATCH(G1857,Pubs!$A$2:$A$3001,0))&amp;"","⚠ pub inconnue")))</f>
        <v/>
      </c>
      <c r="I1857" s="27" t="str">
        <f aca="false">IF(OR(G1857="",G1857="?"),"",IFERROR(INDEX(Pubs!$C$2:$C$3001,MATCH(G1857,Pubs!$A$2:$A$3001,0))&amp;"",""))</f>
        <v/>
      </c>
      <c r="J1857" s="27" t="str">
        <f aca="false">IF(OR(G1857="",G1857="?"),"",IFERROR(INDEX(Pubs!$G$2:$G$3001,MATCH(G1857,Pubs!$A$2:$A$3001,0))&amp;"",""))</f>
        <v/>
      </c>
      <c r="K1857" s="28" t="str">
        <f aca="false">IF(OR(G1857="",G1857="?"),"",IFERROR(INDEX(Pubs!$E$2:$E$3001,MATCH(G1857,Pubs!$A$2:$A$3001,0)),""))</f>
        <v/>
      </c>
      <c r="L1857" s="29" t="str">
        <f aca="false">IF(A1857="","",IFERROR(1/(1/INDEX(Numéros!$C$2:$C$3001,MATCH(A1857&amp;"|"&amp;B1857,Numéros!$F$2:$F$3001,0))),""))</f>
        <v/>
      </c>
      <c r="M1857" s="27" t="str">
        <f aca="false">IF(OR(G1857="",G1857="?"),"",IFERROR(INDEX(Pubs!$D$2:$D$3001,MATCH(G1857,Pubs!$A$2:$A$3001,0))&amp;"",""))</f>
        <v/>
      </c>
      <c r="N1857" s="27" t="n">
        <f aca="false">N(N1856)+IF(AND(A1857&lt;&gt;"",OR(Recherche!$C$4="",A1857=Recherche!$C$4),OR(Recherche!$C$5="",B1857&amp;""=Recherche!$C$5&amp;""),OR(Recherche!$C$6="",IFERROR(YEAR(L1857),0)=Recherche!$C$6),OR(Recherche!$C$7="",ISNUMBER(SEARCH(Recherche!$C$7,H1857))),OR(Recherche!$C$8="",J1857=Recherche!$C$8),OR(Recherche!$C$9="",I1857=Recherche!$C$9),OR(Recherche!$C$10="",G1857&amp;""=Recherche!$C$10&amp;""),OR(Recherche!$C$11="",E1857=Recherche!$C$11),OR(Recherche!$C$12="",ISNUMBER(SEARCH(Recherche!$C$12,M1857&amp;" "&amp;F1857)))),1,0)</f>
        <v>8</v>
      </c>
    </row>
    <row r="1858" customFormat="false" ht="15" hidden="false" customHeight="false" outlineLevel="0" collapsed="false">
      <c r="A1858" s="19"/>
      <c r="B1858" s="19"/>
      <c r="C1858" s="19"/>
      <c r="D1858" s="19"/>
      <c r="E1858" s="22"/>
      <c r="F1858" s="19"/>
      <c r="G1858" s="26" t="str">
        <f aca="false">IF(D1858="","",IFERROR(VALUE(LEFT(D1858,FIND(" |",D1858&amp;" |")-1)),"?"))</f>
        <v/>
      </c>
      <c r="H1858" s="27" t="str">
        <f aca="false">IF(G1858="","",IF(G1858="?","⚠ pub inconnue",IFERROR(INDEX(Pubs!$B$2:$B$3001,MATCH(G1858,Pubs!$A$2:$A$3001,0))&amp;"","⚠ pub inconnue")))</f>
        <v/>
      </c>
      <c r="I1858" s="27" t="str">
        <f aca="false">IF(OR(G1858="",G1858="?"),"",IFERROR(INDEX(Pubs!$C$2:$C$3001,MATCH(G1858,Pubs!$A$2:$A$3001,0))&amp;"",""))</f>
        <v/>
      </c>
      <c r="J1858" s="27" t="str">
        <f aca="false">IF(OR(G1858="",G1858="?"),"",IFERROR(INDEX(Pubs!$G$2:$G$3001,MATCH(G1858,Pubs!$A$2:$A$3001,0))&amp;"",""))</f>
        <v/>
      </c>
      <c r="K1858" s="28" t="str">
        <f aca="false">IF(OR(G1858="",G1858="?"),"",IFERROR(INDEX(Pubs!$E$2:$E$3001,MATCH(G1858,Pubs!$A$2:$A$3001,0)),""))</f>
        <v/>
      </c>
      <c r="L1858" s="29" t="str">
        <f aca="false">IF(A1858="","",IFERROR(1/(1/INDEX(Numéros!$C$2:$C$3001,MATCH(A1858&amp;"|"&amp;B1858,Numéros!$F$2:$F$3001,0))),""))</f>
        <v/>
      </c>
      <c r="M1858" s="27" t="str">
        <f aca="false">IF(OR(G1858="",G1858="?"),"",IFERROR(INDEX(Pubs!$D$2:$D$3001,MATCH(G1858,Pubs!$A$2:$A$3001,0))&amp;"",""))</f>
        <v/>
      </c>
      <c r="N1858" s="27" t="n">
        <f aca="false">N(N1857)+IF(AND(A1858&lt;&gt;"",OR(Recherche!$C$4="",A1858=Recherche!$C$4),OR(Recherche!$C$5="",B1858&amp;""=Recherche!$C$5&amp;""),OR(Recherche!$C$6="",IFERROR(YEAR(L1858),0)=Recherche!$C$6),OR(Recherche!$C$7="",ISNUMBER(SEARCH(Recherche!$C$7,H1858))),OR(Recherche!$C$8="",J1858=Recherche!$C$8),OR(Recherche!$C$9="",I1858=Recherche!$C$9),OR(Recherche!$C$10="",G1858&amp;""=Recherche!$C$10&amp;""),OR(Recherche!$C$11="",E1858=Recherche!$C$11),OR(Recherche!$C$12="",ISNUMBER(SEARCH(Recherche!$C$12,M1858&amp;" "&amp;F1858)))),1,0)</f>
        <v>8</v>
      </c>
    </row>
    <row r="1859" customFormat="false" ht="15" hidden="false" customHeight="false" outlineLevel="0" collapsed="false">
      <c r="A1859" s="19"/>
      <c r="B1859" s="19"/>
      <c r="C1859" s="19"/>
      <c r="D1859" s="19"/>
      <c r="E1859" s="22"/>
      <c r="F1859" s="19"/>
      <c r="G1859" s="26" t="str">
        <f aca="false">IF(D1859="","",IFERROR(VALUE(LEFT(D1859,FIND(" |",D1859&amp;" |")-1)),"?"))</f>
        <v/>
      </c>
      <c r="H1859" s="27" t="str">
        <f aca="false">IF(G1859="","",IF(G1859="?","⚠ pub inconnue",IFERROR(INDEX(Pubs!$B$2:$B$3001,MATCH(G1859,Pubs!$A$2:$A$3001,0))&amp;"","⚠ pub inconnue")))</f>
        <v/>
      </c>
      <c r="I1859" s="27" t="str">
        <f aca="false">IF(OR(G1859="",G1859="?"),"",IFERROR(INDEX(Pubs!$C$2:$C$3001,MATCH(G1859,Pubs!$A$2:$A$3001,0))&amp;"",""))</f>
        <v/>
      </c>
      <c r="J1859" s="27" t="str">
        <f aca="false">IF(OR(G1859="",G1859="?"),"",IFERROR(INDEX(Pubs!$G$2:$G$3001,MATCH(G1859,Pubs!$A$2:$A$3001,0))&amp;"",""))</f>
        <v/>
      </c>
      <c r="K1859" s="28" t="str">
        <f aca="false">IF(OR(G1859="",G1859="?"),"",IFERROR(INDEX(Pubs!$E$2:$E$3001,MATCH(G1859,Pubs!$A$2:$A$3001,0)),""))</f>
        <v/>
      </c>
      <c r="L1859" s="29" t="str">
        <f aca="false">IF(A1859="","",IFERROR(1/(1/INDEX(Numéros!$C$2:$C$3001,MATCH(A1859&amp;"|"&amp;B1859,Numéros!$F$2:$F$3001,0))),""))</f>
        <v/>
      </c>
      <c r="M1859" s="27" t="str">
        <f aca="false">IF(OR(G1859="",G1859="?"),"",IFERROR(INDEX(Pubs!$D$2:$D$3001,MATCH(G1859,Pubs!$A$2:$A$3001,0))&amp;"",""))</f>
        <v/>
      </c>
      <c r="N1859" s="27" t="n">
        <f aca="false">N(N1858)+IF(AND(A1859&lt;&gt;"",OR(Recherche!$C$4="",A1859=Recherche!$C$4),OR(Recherche!$C$5="",B1859&amp;""=Recherche!$C$5&amp;""),OR(Recherche!$C$6="",IFERROR(YEAR(L1859),0)=Recherche!$C$6),OR(Recherche!$C$7="",ISNUMBER(SEARCH(Recherche!$C$7,H1859))),OR(Recherche!$C$8="",J1859=Recherche!$C$8),OR(Recherche!$C$9="",I1859=Recherche!$C$9),OR(Recherche!$C$10="",G1859&amp;""=Recherche!$C$10&amp;""),OR(Recherche!$C$11="",E1859=Recherche!$C$11),OR(Recherche!$C$12="",ISNUMBER(SEARCH(Recherche!$C$12,M1859&amp;" "&amp;F1859)))),1,0)</f>
        <v>8</v>
      </c>
    </row>
    <row r="1860" customFormat="false" ht="15" hidden="false" customHeight="false" outlineLevel="0" collapsed="false">
      <c r="A1860" s="19"/>
      <c r="B1860" s="19"/>
      <c r="C1860" s="19"/>
      <c r="D1860" s="19"/>
      <c r="E1860" s="22"/>
      <c r="F1860" s="19"/>
      <c r="G1860" s="26" t="str">
        <f aca="false">IF(D1860="","",IFERROR(VALUE(LEFT(D1860,FIND(" |",D1860&amp;" |")-1)),"?"))</f>
        <v/>
      </c>
      <c r="H1860" s="27" t="str">
        <f aca="false">IF(G1860="","",IF(G1860="?","⚠ pub inconnue",IFERROR(INDEX(Pubs!$B$2:$B$3001,MATCH(G1860,Pubs!$A$2:$A$3001,0))&amp;"","⚠ pub inconnue")))</f>
        <v/>
      </c>
      <c r="I1860" s="27" t="str">
        <f aca="false">IF(OR(G1860="",G1860="?"),"",IFERROR(INDEX(Pubs!$C$2:$C$3001,MATCH(G1860,Pubs!$A$2:$A$3001,0))&amp;"",""))</f>
        <v/>
      </c>
      <c r="J1860" s="27" t="str">
        <f aca="false">IF(OR(G1860="",G1860="?"),"",IFERROR(INDEX(Pubs!$G$2:$G$3001,MATCH(G1860,Pubs!$A$2:$A$3001,0))&amp;"",""))</f>
        <v/>
      </c>
      <c r="K1860" s="28" t="str">
        <f aca="false">IF(OR(G1860="",G1860="?"),"",IFERROR(INDEX(Pubs!$E$2:$E$3001,MATCH(G1860,Pubs!$A$2:$A$3001,0)),""))</f>
        <v/>
      </c>
      <c r="L1860" s="29" t="str">
        <f aca="false">IF(A1860="","",IFERROR(1/(1/INDEX(Numéros!$C$2:$C$3001,MATCH(A1860&amp;"|"&amp;B1860,Numéros!$F$2:$F$3001,0))),""))</f>
        <v/>
      </c>
      <c r="M1860" s="27" t="str">
        <f aca="false">IF(OR(G1860="",G1860="?"),"",IFERROR(INDEX(Pubs!$D$2:$D$3001,MATCH(G1860,Pubs!$A$2:$A$3001,0))&amp;"",""))</f>
        <v/>
      </c>
      <c r="N1860" s="27" t="n">
        <f aca="false">N(N1859)+IF(AND(A1860&lt;&gt;"",OR(Recherche!$C$4="",A1860=Recherche!$C$4),OR(Recherche!$C$5="",B1860&amp;""=Recherche!$C$5&amp;""),OR(Recherche!$C$6="",IFERROR(YEAR(L1860),0)=Recherche!$C$6),OR(Recherche!$C$7="",ISNUMBER(SEARCH(Recherche!$C$7,H1860))),OR(Recherche!$C$8="",J1860=Recherche!$C$8),OR(Recherche!$C$9="",I1860=Recherche!$C$9),OR(Recherche!$C$10="",G1860&amp;""=Recherche!$C$10&amp;""),OR(Recherche!$C$11="",E1860=Recherche!$C$11),OR(Recherche!$C$12="",ISNUMBER(SEARCH(Recherche!$C$12,M1860&amp;" "&amp;F1860)))),1,0)</f>
        <v>8</v>
      </c>
    </row>
    <row r="1861" customFormat="false" ht="15" hidden="false" customHeight="false" outlineLevel="0" collapsed="false">
      <c r="A1861" s="19"/>
      <c r="B1861" s="19"/>
      <c r="C1861" s="19"/>
      <c r="D1861" s="19"/>
      <c r="E1861" s="22"/>
      <c r="F1861" s="19"/>
      <c r="G1861" s="26" t="str">
        <f aca="false">IF(D1861="","",IFERROR(VALUE(LEFT(D1861,FIND(" |",D1861&amp;" |")-1)),"?"))</f>
        <v/>
      </c>
      <c r="H1861" s="27" t="str">
        <f aca="false">IF(G1861="","",IF(G1861="?","⚠ pub inconnue",IFERROR(INDEX(Pubs!$B$2:$B$3001,MATCH(G1861,Pubs!$A$2:$A$3001,0))&amp;"","⚠ pub inconnue")))</f>
        <v/>
      </c>
      <c r="I1861" s="27" t="str">
        <f aca="false">IF(OR(G1861="",G1861="?"),"",IFERROR(INDEX(Pubs!$C$2:$C$3001,MATCH(G1861,Pubs!$A$2:$A$3001,0))&amp;"",""))</f>
        <v/>
      </c>
      <c r="J1861" s="27" t="str">
        <f aca="false">IF(OR(G1861="",G1861="?"),"",IFERROR(INDEX(Pubs!$G$2:$G$3001,MATCH(G1861,Pubs!$A$2:$A$3001,0))&amp;"",""))</f>
        <v/>
      </c>
      <c r="K1861" s="28" t="str">
        <f aca="false">IF(OR(G1861="",G1861="?"),"",IFERROR(INDEX(Pubs!$E$2:$E$3001,MATCH(G1861,Pubs!$A$2:$A$3001,0)),""))</f>
        <v/>
      </c>
      <c r="L1861" s="29" t="str">
        <f aca="false">IF(A1861="","",IFERROR(1/(1/INDEX(Numéros!$C$2:$C$3001,MATCH(A1861&amp;"|"&amp;B1861,Numéros!$F$2:$F$3001,0))),""))</f>
        <v/>
      </c>
      <c r="M1861" s="27" t="str">
        <f aca="false">IF(OR(G1861="",G1861="?"),"",IFERROR(INDEX(Pubs!$D$2:$D$3001,MATCH(G1861,Pubs!$A$2:$A$3001,0))&amp;"",""))</f>
        <v/>
      </c>
      <c r="N1861" s="27" t="n">
        <f aca="false">N(N1860)+IF(AND(A1861&lt;&gt;"",OR(Recherche!$C$4="",A1861=Recherche!$C$4),OR(Recherche!$C$5="",B1861&amp;""=Recherche!$C$5&amp;""),OR(Recherche!$C$6="",IFERROR(YEAR(L1861),0)=Recherche!$C$6),OR(Recherche!$C$7="",ISNUMBER(SEARCH(Recherche!$C$7,H1861))),OR(Recherche!$C$8="",J1861=Recherche!$C$8),OR(Recherche!$C$9="",I1861=Recherche!$C$9),OR(Recherche!$C$10="",G1861&amp;""=Recherche!$C$10&amp;""),OR(Recherche!$C$11="",E1861=Recherche!$C$11),OR(Recherche!$C$12="",ISNUMBER(SEARCH(Recherche!$C$12,M1861&amp;" "&amp;F1861)))),1,0)</f>
        <v>8</v>
      </c>
    </row>
    <row r="1862" customFormat="false" ht="15" hidden="false" customHeight="false" outlineLevel="0" collapsed="false">
      <c r="A1862" s="19"/>
      <c r="B1862" s="19"/>
      <c r="C1862" s="19"/>
      <c r="D1862" s="19"/>
      <c r="E1862" s="22"/>
      <c r="F1862" s="19"/>
      <c r="G1862" s="26" t="str">
        <f aca="false">IF(D1862="","",IFERROR(VALUE(LEFT(D1862,FIND(" |",D1862&amp;" |")-1)),"?"))</f>
        <v/>
      </c>
      <c r="H1862" s="27" t="str">
        <f aca="false">IF(G1862="","",IF(G1862="?","⚠ pub inconnue",IFERROR(INDEX(Pubs!$B$2:$B$3001,MATCH(G1862,Pubs!$A$2:$A$3001,0))&amp;"","⚠ pub inconnue")))</f>
        <v/>
      </c>
      <c r="I1862" s="27" t="str">
        <f aca="false">IF(OR(G1862="",G1862="?"),"",IFERROR(INDEX(Pubs!$C$2:$C$3001,MATCH(G1862,Pubs!$A$2:$A$3001,0))&amp;"",""))</f>
        <v/>
      </c>
      <c r="J1862" s="27" t="str">
        <f aca="false">IF(OR(G1862="",G1862="?"),"",IFERROR(INDEX(Pubs!$G$2:$G$3001,MATCH(G1862,Pubs!$A$2:$A$3001,0))&amp;"",""))</f>
        <v/>
      </c>
      <c r="K1862" s="28" t="str">
        <f aca="false">IF(OR(G1862="",G1862="?"),"",IFERROR(INDEX(Pubs!$E$2:$E$3001,MATCH(G1862,Pubs!$A$2:$A$3001,0)),""))</f>
        <v/>
      </c>
      <c r="L1862" s="29" t="str">
        <f aca="false">IF(A1862="","",IFERROR(1/(1/INDEX(Numéros!$C$2:$C$3001,MATCH(A1862&amp;"|"&amp;B1862,Numéros!$F$2:$F$3001,0))),""))</f>
        <v/>
      </c>
      <c r="M1862" s="27" t="str">
        <f aca="false">IF(OR(G1862="",G1862="?"),"",IFERROR(INDEX(Pubs!$D$2:$D$3001,MATCH(G1862,Pubs!$A$2:$A$3001,0))&amp;"",""))</f>
        <v/>
      </c>
      <c r="N1862" s="27" t="n">
        <f aca="false">N(N1861)+IF(AND(A1862&lt;&gt;"",OR(Recherche!$C$4="",A1862=Recherche!$C$4),OR(Recherche!$C$5="",B1862&amp;""=Recherche!$C$5&amp;""),OR(Recherche!$C$6="",IFERROR(YEAR(L1862),0)=Recherche!$C$6),OR(Recherche!$C$7="",ISNUMBER(SEARCH(Recherche!$C$7,H1862))),OR(Recherche!$C$8="",J1862=Recherche!$C$8),OR(Recherche!$C$9="",I1862=Recherche!$C$9),OR(Recherche!$C$10="",G1862&amp;""=Recherche!$C$10&amp;""),OR(Recherche!$C$11="",E1862=Recherche!$C$11),OR(Recherche!$C$12="",ISNUMBER(SEARCH(Recherche!$C$12,M1862&amp;" "&amp;F1862)))),1,0)</f>
        <v>8</v>
      </c>
    </row>
    <row r="1863" customFormat="false" ht="15" hidden="false" customHeight="false" outlineLevel="0" collapsed="false">
      <c r="A1863" s="19"/>
      <c r="B1863" s="19"/>
      <c r="C1863" s="19"/>
      <c r="D1863" s="19"/>
      <c r="E1863" s="22"/>
      <c r="F1863" s="19"/>
      <c r="G1863" s="26" t="str">
        <f aca="false">IF(D1863="","",IFERROR(VALUE(LEFT(D1863,FIND(" |",D1863&amp;" |")-1)),"?"))</f>
        <v/>
      </c>
      <c r="H1863" s="27" t="str">
        <f aca="false">IF(G1863="","",IF(G1863="?","⚠ pub inconnue",IFERROR(INDEX(Pubs!$B$2:$B$3001,MATCH(G1863,Pubs!$A$2:$A$3001,0))&amp;"","⚠ pub inconnue")))</f>
        <v/>
      </c>
      <c r="I1863" s="27" t="str">
        <f aca="false">IF(OR(G1863="",G1863="?"),"",IFERROR(INDEX(Pubs!$C$2:$C$3001,MATCH(G1863,Pubs!$A$2:$A$3001,0))&amp;"",""))</f>
        <v/>
      </c>
      <c r="J1863" s="27" t="str">
        <f aca="false">IF(OR(G1863="",G1863="?"),"",IFERROR(INDEX(Pubs!$G$2:$G$3001,MATCH(G1863,Pubs!$A$2:$A$3001,0))&amp;"",""))</f>
        <v/>
      </c>
      <c r="K1863" s="28" t="str">
        <f aca="false">IF(OR(G1863="",G1863="?"),"",IFERROR(INDEX(Pubs!$E$2:$E$3001,MATCH(G1863,Pubs!$A$2:$A$3001,0)),""))</f>
        <v/>
      </c>
      <c r="L1863" s="29" t="str">
        <f aca="false">IF(A1863="","",IFERROR(1/(1/INDEX(Numéros!$C$2:$C$3001,MATCH(A1863&amp;"|"&amp;B1863,Numéros!$F$2:$F$3001,0))),""))</f>
        <v/>
      </c>
      <c r="M1863" s="27" t="str">
        <f aca="false">IF(OR(G1863="",G1863="?"),"",IFERROR(INDEX(Pubs!$D$2:$D$3001,MATCH(G1863,Pubs!$A$2:$A$3001,0))&amp;"",""))</f>
        <v/>
      </c>
      <c r="N1863" s="27" t="n">
        <f aca="false">N(N1862)+IF(AND(A1863&lt;&gt;"",OR(Recherche!$C$4="",A1863=Recherche!$C$4),OR(Recherche!$C$5="",B1863&amp;""=Recherche!$C$5&amp;""),OR(Recherche!$C$6="",IFERROR(YEAR(L1863),0)=Recherche!$C$6),OR(Recherche!$C$7="",ISNUMBER(SEARCH(Recherche!$C$7,H1863))),OR(Recherche!$C$8="",J1863=Recherche!$C$8),OR(Recherche!$C$9="",I1863=Recherche!$C$9),OR(Recherche!$C$10="",G1863&amp;""=Recherche!$C$10&amp;""),OR(Recherche!$C$11="",E1863=Recherche!$C$11),OR(Recherche!$C$12="",ISNUMBER(SEARCH(Recherche!$C$12,M1863&amp;" "&amp;F1863)))),1,0)</f>
        <v>8</v>
      </c>
    </row>
    <row r="1864" customFormat="false" ht="15" hidden="false" customHeight="false" outlineLevel="0" collapsed="false">
      <c r="A1864" s="19"/>
      <c r="B1864" s="19"/>
      <c r="C1864" s="19"/>
      <c r="D1864" s="19"/>
      <c r="E1864" s="22"/>
      <c r="F1864" s="19"/>
      <c r="G1864" s="26" t="str">
        <f aca="false">IF(D1864="","",IFERROR(VALUE(LEFT(D1864,FIND(" |",D1864&amp;" |")-1)),"?"))</f>
        <v/>
      </c>
      <c r="H1864" s="27" t="str">
        <f aca="false">IF(G1864="","",IF(G1864="?","⚠ pub inconnue",IFERROR(INDEX(Pubs!$B$2:$B$3001,MATCH(G1864,Pubs!$A$2:$A$3001,0))&amp;"","⚠ pub inconnue")))</f>
        <v/>
      </c>
      <c r="I1864" s="27" t="str">
        <f aca="false">IF(OR(G1864="",G1864="?"),"",IFERROR(INDEX(Pubs!$C$2:$C$3001,MATCH(G1864,Pubs!$A$2:$A$3001,0))&amp;"",""))</f>
        <v/>
      </c>
      <c r="J1864" s="27" t="str">
        <f aca="false">IF(OR(G1864="",G1864="?"),"",IFERROR(INDEX(Pubs!$G$2:$G$3001,MATCH(G1864,Pubs!$A$2:$A$3001,0))&amp;"",""))</f>
        <v/>
      </c>
      <c r="K1864" s="28" t="str">
        <f aca="false">IF(OR(G1864="",G1864="?"),"",IFERROR(INDEX(Pubs!$E$2:$E$3001,MATCH(G1864,Pubs!$A$2:$A$3001,0)),""))</f>
        <v/>
      </c>
      <c r="L1864" s="29" t="str">
        <f aca="false">IF(A1864="","",IFERROR(1/(1/INDEX(Numéros!$C$2:$C$3001,MATCH(A1864&amp;"|"&amp;B1864,Numéros!$F$2:$F$3001,0))),""))</f>
        <v/>
      </c>
      <c r="M1864" s="27" t="str">
        <f aca="false">IF(OR(G1864="",G1864="?"),"",IFERROR(INDEX(Pubs!$D$2:$D$3001,MATCH(G1864,Pubs!$A$2:$A$3001,0))&amp;"",""))</f>
        <v/>
      </c>
      <c r="N1864" s="27" t="n">
        <f aca="false">N(N1863)+IF(AND(A1864&lt;&gt;"",OR(Recherche!$C$4="",A1864=Recherche!$C$4),OR(Recherche!$C$5="",B1864&amp;""=Recherche!$C$5&amp;""),OR(Recherche!$C$6="",IFERROR(YEAR(L1864),0)=Recherche!$C$6),OR(Recherche!$C$7="",ISNUMBER(SEARCH(Recherche!$C$7,H1864))),OR(Recherche!$C$8="",J1864=Recherche!$C$8),OR(Recherche!$C$9="",I1864=Recherche!$C$9),OR(Recherche!$C$10="",G1864&amp;""=Recherche!$C$10&amp;""),OR(Recherche!$C$11="",E1864=Recherche!$C$11),OR(Recherche!$C$12="",ISNUMBER(SEARCH(Recherche!$C$12,M1864&amp;" "&amp;F1864)))),1,0)</f>
        <v>8</v>
      </c>
    </row>
    <row r="1865" customFormat="false" ht="15" hidden="false" customHeight="false" outlineLevel="0" collapsed="false">
      <c r="A1865" s="19"/>
      <c r="B1865" s="19"/>
      <c r="C1865" s="19"/>
      <c r="D1865" s="19"/>
      <c r="E1865" s="22"/>
      <c r="F1865" s="19"/>
      <c r="G1865" s="26" t="str">
        <f aca="false">IF(D1865="","",IFERROR(VALUE(LEFT(D1865,FIND(" |",D1865&amp;" |")-1)),"?"))</f>
        <v/>
      </c>
      <c r="H1865" s="27" t="str">
        <f aca="false">IF(G1865="","",IF(G1865="?","⚠ pub inconnue",IFERROR(INDEX(Pubs!$B$2:$B$3001,MATCH(G1865,Pubs!$A$2:$A$3001,0))&amp;"","⚠ pub inconnue")))</f>
        <v/>
      </c>
      <c r="I1865" s="27" t="str">
        <f aca="false">IF(OR(G1865="",G1865="?"),"",IFERROR(INDEX(Pubs!$C$2:$C$3001,MATCH(G1865,Pubs!$A$2:$A$3001,0))&amp;"",""))</f>
        <v/>
      </c>
      <c r="J1865" s="27" t="str">
        <f aca="false">IF(OR(G1865="",G1865="?"),"",IFERROR(INDEX(Pubs!$G$2:$G$3001,MATCH(G1865,Pubs!$A$2:$A$3001,0))&amp;"",""))</f>
        <v/>
      </c>
      <c r="K1865" s="28" t="str">
        <f aca="false">IF(OR(G1865="",G1865="?"),"",IFERROR(INDEX(Pubs!$E$2:$E$3001,MATCH(G1865,Pubs!$A$2:$A$3001,0)),""))</f>
        <v/>
      </c>
      <c r="L1865" s="29" t="str">
        <f aca="false">IF(A1865="","",IFERROR(1/(1/INDEX(Numéros!$C$2:$C$3001,MATCH(A1865&amp;"|"&amp;B1865,Numéros!$F$2:$F$3001,0))),""))</f>
        <v/>
      </c>
      <c r="M1865" s="27" t="str">
        <f aca="false">IF(OR(G1865="",G1865="?"),"",IFERROR(INDEX(Pubs!$D$2:$D$3001,MATCH(G1865,Pubs!$A$2:$A$3001,0))&amp;"",""))</f>
        <v/>
      </c>
      <c r="N1865" s="27" t="n">
        <f aca="false">N(N1864)+IF(AND(A1865&lt;&gt;"",OR(Recherche!$C$4="",A1865=Recherche!$C$4),OR(Recherche!$C$5="",B1865&amp;""=Recherche!$C$5&amp;""),OR(Recherche!$C$6="",IFERROR(YEAR(L1865),0)=Recherche!$C$6),OR(Recherche!$C$7="",ISNUMBER(SEARCH(Recherche!$C$7,H1865))),OR(Recherche!$C$8="",J1865=Recherche!$C$8),OR(Recherche!$C$9="",I1865=Recherche!$C$9),OR(Recherche!$C$10="",G1865&amp;""=Recherche!$C$10&amp;""),OR(Recherche!$C$11="",E1865=Recherche!$C$11),OR(Recherche!$C$12="",ISNUMBER(SEARCH(Recherche!$C$12,M1865&amp;" "&amp;F1865)))),1,0)</f>
        <v>8</v>
      </c>
    </row>
    <row r="1866" customFormat="false" ht="15" hidden="false" customHeight="false" outlineLevel="0" collapsed="false">
      <c r="A1866" s="19"/>
      <c r="B1866" s="19"/>
      <c r="C1866" s="19"/>
      <c r="D1866" s="19"/>
      <c r="E1866" s="22"/>
      <c r="F1866" s="19"/>
      <c r="G1866" s="26" t="str">
        <f aca="false">IF(D1866="","",IFERROR(VALUE(LEFT(D1866,FIND(" |",D1866&amp;" |")-1)),"?"))</f>
        <v/>
      </c>
      <c r="H1866" s="27" t="str">
        <f aca="false">IF(G1866="","",IF(G1866="?","⚠ pub inconnue",IFERROR(INDEX(Pubs!$B$2:$B$3001,MATCH(G1866,Pubs!$A$2:$A$3001,0))&amp;"","⚠ pub inconnue")))</f>
        <v/>
      </c>
      <c r="I1866" s="27" t="str">
        <f aca="false">IF(OR(G1866="",G1866="?"),"",IFERROR(INDEX(Pubs!$C$2:$C$3001,MATCH(G1866,Pubs!$A$2:$A$3001,0))&amp;"",""))</f>
        <v/>
      </c>
      <c r="J1866" s="27" t="str">
        <f aca="false">IF(OR(G1866="",G1866="?"),"",IFERROR(INDEX(Pubs!$G$2:$G$3001,MATCH(G1866,Pubs!$A$2:$A$3001,0))&amp;"",""))</f>
        <v/>
      </c>
      <c r="K1866" s="28" t="str">
        <f aca="false">IF(OR(G1866="",G1866="?"),"",IFERROR(INDEX(Pubs!$E$2:$E$3001,MATCH(G1866,Pubs!$A$2:$A$3001,0)),""))</f>
        <v/>
      </c>
      <c r="L1866" s="29" t="str">
        <f aca="false">IF(A1866="","",IFERROR(1/(1/INDEX(Numéros!$C$2:$C$3001,MATCH(A1866&amp;"|"&amp;B1866,Numéros!$F$2:$F$3001,0))),""))</f>
        <v/>
      </c>
      <c r="M1866" s="27" t="str">
        <f aca="false">IF(OR(G1866="",G1866="?"),"",IFERROR(INDEX(Pubs!$D$2:$D$3001,MATCH(G1866,Pubs!$A$2:$A$3001,0))&amp;"",""))</f>
        <v/>
      </c>
      <c r="N1866" s="27" t="n">
        <f aca="false">N(N1865)+IF(AND(A1866&lt;&gt;"",OR(Recherche!$C$4="",A1866=Recherche!$C$4),OR(Recherche!$C$5="",B1866&amp;""=Recherche!$C$5&amp;""),OR(Recherche!$C$6="",IFERROR(YEAR(L1866),0)=Recherche!$C$6),OR(Recherche!$C$7="",ISNUMBER(SEARCH(Recherche!$C$7,H1866))),OR(Recherche!$C$8="",J1866=Recherche!$C$8),OR(Recherche!$C$9="",I1866=Recherche!$C$9),OR(Recherche!$C$10="",G1866&amp;""=Recherche!$C$10&amp;""),OR(Recherche!$C$11="",E1866=Recherche!$C$11),OR(Recherche!$C$12="",ISNUMBER(SEARCH(Recherche!$C$12,M1866&amp;" "&amp;F1866)))),1,0)</f>
        <v>8</v>
      </c>
    </row>
    <row r="1867" customFormat="false" ht="15" hidden="false" customHeight="false" outlineLevel="0" collapsed="false">
      <c r="A1867" s="19"/>
      <c r="B1867" s="19"/>
      <c r="C1867" s="19"/>
      <c r="D1867" s="19"/>
      <c r="E1867" s="22"/>
      <c r="F1867" s="19"/>
      <c r="G1867" s="26" t="str">
        <f aca="false">IF(D1867="","",IFERROR(VALUE(LEFT(D1867,FIND(" |",D1867&amp;" |")-1)),"?"))</f>
        <v/>
      </c>
      <c r="H1867" s="27" t="str">
        <f aca="false">IF(G1867="","",IF(G1867="?","⚠ pub inconnue",IFERROR(INDEX(Pubs!$B$2:$B$3001,MATCH(G1867,Pubs!$A$2:$A$3001,0))&amp;"","⚠ pub inconnue")))</f>
        <v/>
      </c>
      <c r="I1867" s="27" t="str">
        <f aca="false">IF(OR(G1867="",G1867="?"),"",IFERROR(INDEX(Pubs!$C$2:$C$3001,MATCH(G1867,Pubs!$A$2:$A$3001,0))&amp;"",""))</f>
        <v/>
      </c>
      <c r="J1867" s="27" t="str">
        <f aca="false">IF(OR(G1867="",G1867="?"),"",IFERROR(INDEX(Pubs!$G$2:$G$3001,MATCH(G1867,Pubs!$A$2:$A$3001,0))&amp;"",""))</f>
        <v/>
      </c>
      <c r="K1867" s="28" t="str">
        <f aca="false">IF(OR(G1867="",G1867="?"),"",IFERROR(INDEX(Pubs!$E$2:$E$3001,MATCH(G1867,Pubs!$A$2:$A$3001,0)),""))</f>
        <v/>
      </c>
      <c r="L1867" s="29" t="str">
        <f aca="false">IF(A1867="","",IFERROR(1/(1/INDEX(Numéros!$C$2:$C$3001,MATCH(A1867&amp;"|"&amp;B1867,Numéros!$F$2:$F$3001,0))),""))</f>
        <v/>
      </c>
      <c r="M1867" s="27" t="str">
        <f aca="false">IF(OR(G1867="",G1867="?"),"",IFERROR(INDEX(Pubs!$D$2:$D$3001,MATCH(G1867,Pubs!$A$2:$A$3001,0))&amp;"",""))</f>
        <v/>
      </c>
      <c r="N1867" s="27" t="n">
        <f aca="false">N(N1866)+IF(AND(A1867&lt;&gt;"",OR(Recherche!$C$4="",A1867=Recherche!$C$4),OR(Recherche!$C$5="",B1867&amp;""=Recherche!$C$5&amp;""),OR(Recherche!$C$6="",IFERROR(YEAR(L1867),0)=Recherche!$C$6),OR(Recherche!$C$7="",ISNUMBER(SEARCH(Recherche!$C$7,H1867))),OR(Recherche!$C$8="",J1867=Recherche!$C$8),OR(Recherche!$C$9="",I1867=Recherche!$C$9),OR(Recherche!$C$10="",G1867&amp;""=Recherche!$C$10&amp;""),OR(Recherche!$C$11="",E1867=Recherche!$C$11),OR(Recherche!$C$12="",ISNUMBER(SEARCH(Recherche!$C$12,M1867&amp;" "&amp;F1867)))),1,0)</f>
        <v>8</v>
      </c>
    </row>
    <row r="1868" customFormat="false" ht="15" hidden="false" customHeight="false" outlineLevel="0" collapsed="false">
      <c r="A1868" s="19"/>
      <c r="B1868" s="19"/>
      <c r="C1868" s="19"/>
      <c r="D1868" s="19"/>
      <c r="E1868" s="22"/>
      <c r="F1868" s="19"/>
      <c r="G1868" s="26" t="str">
        <f aca="false">IF(D1868="","",IFERROR(VALUE(LEFT(D1868,FIND(" |",D1868&amp;" |")-1)),"?"))</f>
        <v/>
      </c>
      <c r="H1868" s="27" t="str">
        <f aca="false">IF(G1868="","",IF(G1868="?","⚠ pub inconnue",IFERROR(INDEX(Pubs!$B$2:$B$3001,MATCH(G1868,Pubs!$A$2:$A$3001,0))&amp;"","⚠ pub inconnue")))</f>
        <v/>
      </c>
      <c r="I1868" s="27" t="str">
        <f aca="false">IF(OR(G1868="",G1868="?"),"",IFERROR(INDEX(Pubs!$C$2:$C$3001,MATCH(G1868,Pubs!$A$2:$A$3001,0))&amp;"",""))</f>
        <v/>
      </c>
      <c r="J1868" s="27" t="str">
        <f aca="false">IF(OR(G1868="",G1868="?"),"",IFERROR(INDEX(Pubs!$G$2:$G$3001,MATCH(G1868,Pubs!$A$2:$A$3001,0))&amp;"",""))</f>
        <v/>
      </c>
      <c r="K1868" s="28" t="str">
        <f aca="false">IF(OR(G1868="",G1868="?"),"",IFERROR(INDEX(Pubs!$E$2:$E$3001,MATCH(G1868,Pubs!$A$2:$A$3001,0)),""))</f>
        <v/>
      </c>
      <c r="L1868" s="29" t="str">
        <f aca="false">IF(A1868="","",IFERROR(1/(1/INDEX(Numéros!$C$2:$C$3001,MATCH(A1868&amp;"|"&amp;B1868,Numéros!$F$2:$F$3001,0))),""))</f>
        <v/>
      </c>
      <c r="M1868" s="27" t="str">
        <f aca="false">IF(OR(G1868="",G1868="?"),"",IFERROR(INDEX(Pubs!$D$2:$D$3001,MATCH(G1868,Pubs!$A$2:$A$3001,0))&amp;"",""))</f>
        <v/>
      </c>
      <c r="N1868" s="27" t="n">
        <f aca="false">N(N1867)+IF(AND(A1868&lt;&gt;"",OR(Recherche!$C$4="",A1868=Recherche!$C$4),OR(Recherche!$C$5="",B1868&amp;""=Recherche!$C$5&amp;""),OR(Recherche!$C$6="",IFERROR(YEAR(L1868),0)=Recherche!$C$6),OR(Recherche!$C$7="",ISNUMBER(SEARCH(Recherche!$C$7,H1868))),OR(Recherche!$C$8="",J1868=Recherche!$C$8),OR(Recherche!$C$9="",I1868=Recherche!$C$9),OR(Recherche!$C$10="",G1868&amp;""=Recherche!$C$10&amp;""),OR(Recherche!$C$11="",E1868=Recherche!$C$11),OR(Recherche!$C$12="",ISNUMBER(SEARCH(Recherche!$C$12,M1868&amp;" "&amp;F1868)))),1,0)</f>
        <v>8</v>
      </c>
    </row>
    <row r="1869" customFormat="false" ht="15" hidden="false" customHeight="false" outlineLevel="0" collapsed="false">
      <c r="A1869" s="19"/>
      <c r="B1869" s="19"/>
      <c r="C1869" s="19"/>
      <c r="D1869" s="19"/>
      <c r="E1869" s="22"/>
      <c r="F1869" s="19"/>
      <c r="G1869" s="26" t="str">
        <f aca="false">IF(D1869="","",IFERROR(VALUE(LEFT(D1869,FIND(" |",D1869&amp;" |")-1)),"?"))</f>
        <v/>
      </c>
      <c r="H1869" s="27" t="str">
        <f aca="false">IF(G1869="","",IF(G1869="?","⚠ pub inconnue",IFERROR(INDEX(Pubs!$B$2:$B$3001,MATCH(G1869,Pubs!$A$2:$A$3001,0))&amp;"","⚠ pub inconnue")))</f>
        <v/>
      </c>
      <c r="I1869" s="27" t="str">
        <f aca="false">IF(OR(G1869="",G1869="?"),"",IFERROR(INDEX(Pubs!$C$2:$C$3001,MATCH(G1869,Pubs!$A$2:$A$3001,0))&amp;"",""))</f>
        <v/>
      </c>
      <c r="J1869" s="27" t="str">
        <f aca="false">IF(OR(G1869="",G1869="?"),"",IFERROR(INDEX(Pubs!$G$2:$G$3001,MATCH(G1869,Pubs!$A$2:$A$3001,0))&amp;"",""))</f>
        <v/>
      </c>
      <c r="K1869" s="28" t="str">
        <f aca="false">IF(OR(G1869="",G1869="?"),"",IFERROR(INDEX(Pubs!$E$2:$E$3001,MATCH(G1869,Pubs!$A$2:$A$3001,0)),""))</f>
        <v/>
      </c>
      <c r="L1869" s="29" t="str">
        <f aca="false">IF(A1869="","",IFERROR(1/(1/INDEX(Numéros!$C$2:$C$3001,MATCH(A1869&amp;"|"&amp;B1869,Numéros!$F$2:$F$3001,0))),""))</f>
        <v/>
      </c>
      <c r="M1869" s="27" t="str">
        <f aca="false">IF(OR(G1869="",G1869="?"),"",IFERROR(INDEX(Pubs!$D$2:$D$3001,MATCH(G1869,Pubs!$A$2:$A$3001,0))&amp;"",""))</f>
        <v/>
      </c>
      <c r="N1869" s="27" t="n">
        <f aca="false">N(N1868)+IF(AND(A1869&lt;&gt;"",OR(Recherche!$C$4="",A1869=Recherche!$C$4),OR(Recherche!$C$5="",B1869&amp;""=Recherche!$C$5&amp;""),OR(Recherche!$C$6="",IFERROR(YEAR(L1869),0)=Recherche!$C$6),OR(Recherche!$C$7="",ISNUMBER(SEARCH(Recherche!$C$7,H1869))),OR(Recherche!$C$8="",J1869=Recherche!$C$8),OR(Recherche!$C$9="",I1869=Recherche!$C$9),OR(Recherche!$C$10="",G1869&amp;""=Recherche!$C$10&amp;""),OR(Recherche!$C$11="",E1869=Recherche!$C$11),OR(Recherche!$C$12="",ISNUMBER(SEARCH(Recherche!$C$12,M1869&amp;" "&amp;F1869)))),1,0)</f>
        <v>8</v>
      </c>
    </row>
    <row r="1870" customFormat="false" ht="15" hidden="false" customHeight="false" outlineLevel="0" collapsed="false">
      <c r="A1870" s="19"/>
      <c r="B1870" s="19"/>
      <c r="C1870" s="19"/>
      <c r="D1870" s="19"/>
      <c r="E1870" s="22"/>
      <c r="F1870" s="19"/>
      <c r="G1870" s="26" t="str">
        <f aca="false">IF(D1870="","",IFERROR(VALUE(LEFT(D1870,FIND(" |",D1870&amp;" |")-1)),"?"))</f>
        <v/>
      </c>
      <c r="H1870" s="27" t="str">
        <f aca="false">IF(G1870="","",IF(G1870="?","⚠ pub inconnue",IFERROR(INDEX(Pubs!$B$2:$B$3001,MATCH(G1870,Pubs!$A$2:$A$3001,0))&amp;"","⚠ pub inconnue")))</f>
        <v/>
      </c>
      <c r="I1870" s="27" t="str">
        <f aca="false">IF(OR(G1870="",G1870="?"),"",IFERROR(INDEX(Pubs!$C$2:$C$3001,MATCH(G1870,Pubs!$A$2:$A$3001,0))&amp;"",""))</f>
        <v/>
      </c>
      <c r="J1870" s="27" t="str">
        <f aca="false">IF(OR(G1870="",G1870="?"),"",IFERROR(INDEX(Pubs!$G$2:$G$3001,MATCH(G1870,Pubs!$A$2:$A$3001,0))&amp;"",""))</f>
        <v/>
      </c>
      <c r="K1870" s="28" t="str">
        <f aca="false">IF(OR(G1870="",G1870="?"),"",IFERROR(INDEX(Pubs!$E$2:$E$3001,MATCH(G1870,Pubs!$A$2:$A$3001,0)),""))</f>
        <v/>
      </c>
      <c r="L1870" s="29" t="str">
        <f aca="false">IF(A1870="","",IFERROR(1/(1/INDEX(Numéros!$C$2:$C$3001,MATCH(A1870&amp;"|"&amp;B1870,Numéros!$F$2:$F$3001,0))),""))</f>
        <v/>
      </c>
      <c r="M1870" s="27" t="str">
        <f aca="false">IF(OR(G1870="",G1870="?"),"",IFERROR(INDEX(Pubs!$D$2:$D$3001,MATCH(G1870,Pubs!$A$2:$A$3001,0))&amp;"",""))</f>
        <v/>
      </c>
      <c r="N1870" s="27" t="n">
        <f aca="false">N(N1869)+IF(AND(A1870&lt;&gt;"",OR(Recherche!$C$4="",A1870=Recherche!$C$4),OR(Recherche!$C$5="",B1870&amp;""=Recherche!$C$5&amp;""),OR(Recherche!$C$6="",IFERROR(YEAR(L1870),0)=Recherche!$C$6),OR(Recherche!$C$7="",ISNUMBER(SEARCH(Recherche!$C$7,H1870))),OR(Recherche!$C$8="",J1870=Recherche!$C$8),OR(Recherche!$C$9="",I1870=Recherche!$C$9),OR(Recherche!$C$10="",G1870&amp;""=Recherche!$C$10&amp;""),OR(Recherche!$C$11="",E1870=Recherche!$C$11),OR(Recherche!$C$12="",ISNUMBER(SEARCH(Recherche!$C$12,M1870&amp;" "&amp;F1870)))),1,0)</f>
        <v>8</v>
      </c>
    </row>
    <row r="1871" customFormat="false" ht="15" hidden="false" customHeight="false" outlineLevel="0" collapsed="false">
      <c r="A1871" s="19"/>
      <c r="B1871" s="19"/>
      <c r="C1871" s="19"/>
      <c r="D1871" s="19"/>
      <c r="E1871" s="22"/>
      <c r="F1871" s="19"/>
      <c r="G1871" s="26" t="str">
        <f aca="false">IF(D1871="","",IFERROR(VALUE(LEFT(D1871,FIND(" |",D1871&amp;" |")-1)),"?"))</f>
        <v/>
      </c>
      <c r="H1871" s="27" t="str">
        <f aca="false">IF(G1871="","",IF(G1871="?","⚠ pub inconnue",IFERROR(INDEX(Pubs!$B$2:$B$3001,MATCH(G1871,Pubs!$A$2:$A$3001,0))&amp;"","⚠ pub inconnue")))</f>
        <v/>
      </c>
      <c r="I1871" s="27" t="str">
        <f aca="false">IF(OR(G1871="",G1871="?"),"",IFERROR(INDEX(Pubs!$C$2:$C$3001,MATCH(G1871,Pubs!$A$2:$A$3001,0))&amp;"",""))</f>
        <v/>
      </c>
      <c r="J1871" s="27" t="str">
        <f aca="false">IF(OR(G1871="",G1871="?"),"",IFERROR(INDEX(Pubs!$G$2:$G$3001,MATCH(G1871,Pubs!$A$2:$A$3001,0))&amp;"",""))</f>
        <v/>
      </c>
      <c r="K1871" s="28" t="str">
        <f aca="false">IF(OR(G1871="",G1871="?"),"",IFERROR(INDEX(Pubs!$E$2:$E$3001,MATCH(G1871,Pubs!$A$2:$A$3001,0)),""))</f>
        <v/>
      </c>
      <c r="L1871" s="29" t="str">
        <f aca="false">IF(A1871="","",IFERROR(1/(1/INDEX(Numéros!$C$2:$C$3001,MATCH(A1871&amp;"|"&amp;B1871,Numéros!$F$2:$F$3001,0))),""))</f>
        <v/>
      </c>
      <c r="M1871" s="27" t="str">
        <f aca="false">IF(OR(G1871="",G1871="?"),"",IFERROR(INDEX(Pubs!$D$2:$D$3001,MATCH(G1871,Pubs!$A$2:$A$3001,0))&amp;"",""))</f>
        <v/>
      </c>
      <c r="N1871" s="27" t="n">
        <f aca="false">N(N1870)+IF(AND(A1871&lt;&gt;"",OR(Recherche!$C$4="",A1871=Recherche!$C$4),OR(Recherche!$C$5="",B1871&amp;""=Recherche!$C$5&amp;""),OR(Recherche!$C$6="",IFERROR(YEAR(L1871),0)=Recherche!$C$6),OR(Recherche!$C$7="",ISNUMBER(SEARCH(Recherche!$C$7,H1871))),OR(Recherche!$C$8="",J1871=Recherche!$C$8),OR(Recherche!$C$9="",I1871=Recherche!$C$9),OR(Recherche!$C$10="",G1871&amp;""=Recherche!$C$10&amp;""),OR(Recherche!$C$11="",E1871=Recherche!$C$11),OR(Recherche!$C$12="",ISNUMBER(SEARCH(Recherche!$C$12,M1871&amp;" "&amp;F1871)))),1,0)</f>
        <v>8</v>
      </c>
    </row>
    <row r="1872" customFormat="false" ht="15" hidden="false" customHeight="false" outlineLevel="0" collapsed="false">
      <c r="A1872" s="19"/>
      <c r="B1872" s="19"/>
      <c r="C1872" s="19"/>
      <c r="D1872" s="19"/>
      <c r="E1872" s="22"/>
      <c r="F1872" s="19"/>
      <c r="G1872" s="26" t="str">
        <f aca="false">IF(D1872="","",IFERROR(VALUE(LEFT(D1872,FIND(" |",D1872&amp;" |")-1)),"?"))</f>
        <v/>
      </c>
      <c r="H1872" s="27" t="str">
        <f aca="false">IF(G1872="","",IF(G1872="?","⚠ pub inconnue",IFERROR(INDEX(Pubs!$B$2:$B$3001,MATCH(G1872,Pubs!$A$2:$A$3001,0))&amp;"","⚠ pub inconnue")))</f>
        <v/>
      </c>
      <c r="I1872" s="27" t="str">
        <f aca="false">IF(OR(G1872="",G1872="?"),"",IFERROR(INDEX(Pubs!$C$2:$C$3001,MATCH(G1872,Pubs!$A$2:$A$3001,0))&amp;"",""))</f>
        <v/>
      </c>
      <c r="J1872" s="27" t="str">
        <f aca="false">IF(OR(G1872="",G1872="?"),"",IFERROR(INDEX(Pubs!$G$2:$G$3001,MATCH(G1872,Pubs!$A$2:$A$3001,0))&amp;"",""))</f>
        <v/>
      </c>
      <c r="K1872" s="28" t="str">
        <f aca="false">IF(OR(G1872="",G1872="?"),"",IFERROR(INDEX(Pubs!$E$2:$E$3001,MATCH(G1872,Pubs!$A$2:$A$3001,0)),""))</f>
        <v/>
      </c>
      <c r="L1872" s="29" t="str">
        <f aca="false">IF(A1872="","",IFERROR(1/(1/INDEX(Numéros!$C$2:$C$3001,MATCH(A1872&amp;"|"&amp;B1872,Numéros!$F$2:$F$3001,0))),""))</f>
        <v/>
      </c>
      <c r="M1872" s="27" t="str">
        <f aca="false">IF(OR(G1872="",G1872="?"),"",IFERROR(INDEX(Pubs!$D$2:$D$3001,MATCH(G1872,Pubs!$A$2:$A$3001,0))&amp;"",""))</f>
        <v/>
      </c>
      <c r="N1872" s="27" t="n">
        <f aca="false">N(N1871)+IF(AND(A1872&lt;&gt;"",OR(Recherche!$C$4="",A1872=Recherche!$C$4),OR(Recherche!$C$5="",B1872&amp;""=Recherche!$C$5&amp;""),OR(Recherche!$C$6="",IFERROR(YEAR(L1872),0)=Recherche!$C$6),OR(Recherche!$C$7="",ISNUMBER(SEARCH(Recherche!$C$7,H1872))),OR(Recherche!$C$8="",J1872=Recherche!$C$8),OR(Recherche!$C$9="",I1872=Recherche!$C$9),OR(Recherche!$C$10="",G1872&amp;""=Recherche!$C$10&amp;""),OR(Recherche!$C$11="",E1872=Recherche!$C$11),OR(Recherche!$C$12="",ISNUMBER(SEARCH(Recherche!$C$12,M1872&amp;" "&amp;F1872)))),1,0)</f>
        <v>8</v>
      </c>
    </row>
    <row r="1873" customFormat="false" ht="15" hidden="false" customHeight="false" outlineLevel="0" collapsed="false">
      <c r="A1873" s="19"/>
      <c r="B1873" s="19"/>
      <c r="C1873" s="19"/>
      <c r="D1873" s="19"/>
      <c r="E1873" s="22"/>
      <c r="F1873" s="19"/>
      <c r="G1873" s="26" t="str">
        <f aca="false">IF(D1873="","",IFERROR(VALUE(LEFT(D1873,FIND(" |",D1873&amp;" |")-1)),"?"))</f>
        <v/>
      </c>
      <c r="H1873" s="27" t="str">
        <f aca="false">IF(G1873="","",IF(G1873="?","⚠ pub inconnue",IFERROR(INDEX(Pubs!$B$2:$B$3001,MATCH(G1873,Pubs!$A$2:$A$3001,0))&amp;"","⚠ pub inconnue")))</f>
        <v/>
      </c>
      <c r="I1873" s="27" t="str">
        <f aca="false">IF(OR(G1873="",G1873="?"),"",IFERROR(INDEX(Pubs!$C$2:$C$3001,MATCH(G1873,Pubs!$A$2:$A$3001,0))&amp;"",""))</f>
        <v/>
      </c>
      <c r="J1873" s="27" t="str">
        <f aca="false">IF(OR(G1873="",G1873="?"),"",IFERROR(INDEX(Pubs!$G$2:$G$3001,MATCH(G1873,Pubs!$A$2:$A$3001,0))&amp;"",""))</f>
        <v/>
      </c>
      <c r="K1873" s="28" t="str">
        <f aca="false">IF(OR(G1873="",G1873="?"),"",IFERROR(INDEX(Pubs!$E$2:$E$3001,MATCH(G1873,Pubs!$A$2:$A$3001,0)),""))</f>
        <v/>
      </c>
      <c r="L1873" s="29" t="str">
        <f aca="false">IF(A1873="","",IFERROR(1/(1/INDEX(Numéros!$C$2:$C$3001,MATCH(A1873&amp;"|"&amp;B1873,Numéros!$F$2:$F$3001,0))),""))</f>
        <v/>
      </c>
      <c r="M1873" s="27" t="str">
        <f aca="false">IF(OR(G1873="",G1873="?"),"",IFERROR(INDEX(Pubs!$D$2:$D$3001,MATCH(G1873,Pubs!$A$2:$A$3001,0))&amp;"",""))</f>
        <v/>
      </c>
      <c r="N1873" s="27" t="n">
        <f aca="false">N(N1872)+IF(AND(A1873&lt;&gt;"",OR(Recherche!$C$4="",A1873=Recherche!$C$4),OR(Recherche!$C$5="",B1873&amp;""=Recherche!$C$5&amp;""),OR(Recherche!$C$6="",IFERROR(YEAR(L1873),0)=Recherche!$C$6),OR(Recherche!$C$7="",ISNUMBER(SEARCH(Recherche!$C$7,H1873))),OR(Recherche!$C$8="",J1873=Recherche!$C$8),OR(Recherche!$C$9="",I1873=Recherche!$C$9),OR(Recherche!$C$10="",G1873&amp;""=Recherche!$C$10&amp;""),OR(Recherche!$C$11="",E1873=Recherche!$C$11),OR(Recherche!$C$12="",ISNUMBER(SEARCH(Recherche!$C$12,M1873&amp;" "&amp;F1873)))),1,0)</f>
        <v>8</v>
      </c>
    </row>
    <row r="1874" customFormat="false" ht="15" hidden="false" customHeight="false" outlineLevel="0" collapsed="false">
      <c r="A1874" s="19"/>
      <c r="B1874" s="19"/>
      <c r="C1874" s="19"/>
      <c r="D1874" s="19"/>
      <c r="E1874" s="22"/>
      <c r="F1874" s="19"/>
      <c r="G1874" s="26" t="str">
        <f aca="false">IF(D1874="","",IFERROR(VALUE(LEFT(D1874,FIND(" |",D1874&amp;" |")-1)),"?"))</f>
        <v/>
      </c>
      <c r="H1874" s="27" t="str">
        <f aca="false">IF(G1874="","",IF(G1874="?","⚠ pub inconnue",IFERROR(INDEX(Pubs!$B$2:$B$3001,MATCH(G1874,Pubs!$A$2:$A$3001,0))&amp;"","⚠ pub inconnue")))</f>
        <v/>
      </c>
      <c r="I1874" s="27" t="str">
        <f aca="false">IF(OR(G1874="",G1874="?"),"",IFERROR(INDEX(Pubs!$C$2:$C$3001,MATCH(G1874,Pubs!$A$2:$A$3001,0))&amp;"",""))</f>
        <v/>
      </c>
      <c r="J1874" s="27" t="str">
        <f aca="false">IF(OR(G1874="",G1874="?"),"",IFERROR(INDEX(Pubs!$G$2:$G$3001,MATCH(G1874,Pubs!$A$2:$A$3001,0))&amp;"",""))</f>
        <v/>
      </c>
      <c r="K1874" s="28" t="str">
        <f aca="false">IF(OR(G1874="",G1874="?"),"",IFERROR(INDEX(Pubs!$E$2:$E$3001,MATCH(G1874,Pubs!$A$2:$A$3001,0)),""))</f>
        <v/>
      </c>
      <c r="L1874" s="29" t="str">
        <f aca="false">IF(A1874="","",IFERROR(1/(1/INDEX(Numéros!$C$2:$C$3001,MATCH(A1874&amp;"|"&amp;B1874,Numéros!$F$2:$F$3001,0))),""))</f>
        <v/>
      </c>
      <c r="M1874" s="27" t="str">
        <f aca="false">IF(OR(G1874="",G1874="?"),"",IFERROR(INDEX(Pubs!$D$2:$D$3001,MATCH(G1874,Pubs!$A$2:$A$3001,0))&amp;"",""))</f>
        <v/>
      </c>
      <c r="N1874" s="27" t="n">
        <f aca="false">N(N1873)+IF(AND(A1874&lt;&gt;"",OR(Recherche!$C$4="",A1874=Recherche!$C$4),OR(Recherche!$C$5="",B1874&amp;""=Recherche!$C$5&amp;""),OR(Recherche!$C$6="",IFERROR(YEAR(L1874),0)=Recherche!$C$6),OR(Recherche!$C$7="",ISNUMBER(SEARCH(Recherche!$C$7,H1874))),OR(Recherche!$C$8="",J1874=Recherche!$C$8),OR(Recherche!$C$9="",I1874=Recherche!$C$9),OR(Recherche!$C$10="",G1874&amp;""=Recherche!$C$10&amp;""),OR(Recherche!$C$11="",E1874=Recherche!$C$11),OR(Recherche!$C$12="",ISNUMBER(SEARCH(Recherche!$C$12,M1874&amp;" "&amp;F1874)))),1,0)</f>
        <v>8</v>
      </c>
    </row>
    <row r="1875" customFormat="false" ht="15" hidden="false" customHeight="false" outlineLevel="0" collapsed="false">
      <c r="A1875" s="19"/>
      <c r="B1875" s="19"/>
      <c r="C1875" s="19"/>
      <c r="D1875" s="19"/>
      <c r="E1875" s="22"/>
      <c r="F1875" s="19"/>
      <c r="G1875" s="26" t="str">
        <f aca="false">IF(D1875="","",IFERROR(VALUE(LEFT(D1875,FIND(" |",D1875&amp;" |")-1)),"?"))</f>
        <v/>
      </c>
      <c r="H1875" s="27" t="str">
        <f aca="false">IF(G1875="","",IF(G1875="?","⚠ pub inconnue",IFERROR(INDEX(Pubs!$B$2:$B$3001,MATCH(G1875,Pubs!$A$2:$A$3001,0))&amp;"","⚠ pub inconnue")))</f>
        <v/>
      </c>
      <c r="I1875" s="27" t="str">
        <f aca="false">IF(OR(G1875="",G1875="?"),"",IFERROR(INDEX(Pubs!$C$2:$C$3001,MATCH(G1875,Pubs!$A$2:$A$3001,0))&amp;"",""))</f>
        <v/>
      </c>
      <c r="J1875" s="27" t="str">
        <f aca="false">IF(OR(G1875="",G1875="?"),"",IFERROR(INDEX(Pubs!$G$2:$G$3001,MATCH(G1875,Pubs!$A$2:$A$3001,0))&amp;"",""))</f>
        <v/>
      </c>
      <c r="K1875" s="28" t="str">
        <f aca="false">IF(OR(G1875="",G1875="?"),"",IFERROR(INDEX(Pubs!$E$2:$E$3001,MATCH(G1875,Pubs!$A$2:$A$3001,0)),""))</f>
        <v/>
      </c>
      <c r="L1875" s="29" t="str">
        <f aca="false">IF(A1875="","",IFERROR(1/(1/INDEX(Numéros!$C$2:$C$3001,MATCH(A1875&amp;"|"&amp;B1875,Numéros!$F$2:$F$3001,0))),""))</f>
        <v/>
      </c>
      <c r="M1875" s="27" t="str">
        <f aca="false">IF(OR(G1875="",G1875="?"),"",IFERROR(INDEX(Pubs!$D$2:$D$3001,MATCH(G1875,Pubs!$A$2:$A$3001,0))&amp;"",""))</f>
        <v/>
      </c>
      <c r="N1875" s="27" t="n">
        <f aca="false">N(N1874)+IF(AND(A1875&lt;&gt;"",OR(Recherche!$C$4="",A1875=Recherche!$C$4),OR(Recherche!$C$5="",B1875&amp;""=Recherche!$C$5&amp;""),OR(Recherche!$C$6="",IFERROR(YEAR(L1875),0)=Recherche!$C$6),OR(Recherche!$C$7="",ISNUMBER(SEARCH(Recherche!$C$7,H1875))),OR(Recherche!$C$8="",J1875=Recherche!$C$8),OR(Recherche!$C$9="",I1875=Recherche!$C$9),OR(Recherche!$C$10="",G1875&amp;""=Recherche!$C$10&amp;""),OR(Recherche!$C$11="",E1875=Recherche!$C$11),OR(Recherche!$C$12="",ISNUMBER(SEARCH(Recherche!$C$12,M1875&amp;" "&amp;F1875)))),1,0)</f>
        <v>8</v>
      </c>
    </row>
    <row r="1876" customFormat="false" ht="15" hidden="false" customHeight="false" outlineLevel="0" collapsed="false">
      <c r="A1876" s="19"/>
      <c r="B1876" s="19"/>
      <c r="C1876" s="19"/>
      <c r="D1876" s="19"/>
      <c r="E1876" s="22"/>
      <c r="F1876" s="19"/>
      <c r="G1876" s="26" t="str">
        <f aca="false">IF(D1876="","",IFERROR(VALUE(LEFT(D1876,FIND(" |",D1876&amp;" |")-1)),"?"))</f>
        <v/>
      </c>
      <c r="H1876" s="27" t="str">
        <f aca="false">IF(G1876="","",IF(G1876="?","⚠ pub inconnue",IFERROR(INDEX(Pubs!$B$2:$B$3001,MATCH(G1876,Pubs!$A$2:$A$3001,0))&amp;"","⚠ pub inconnue")))</f>
        <v/>
      </c>
      <c r="I1876" s="27" t="str">
        <f aca="false">IF(OR(G1876="",G1876="?"),"",IFERROR(INDEX(Pubs!$C$2:$C$3001,MATCH(G1876,Pubs!$A$2:$A$3001,0))&amp;"",""))</f>
        <v/>
      </c>
      <c r="J1876" s="27" t="str">
        <f aca="false">IF(OR(G1876="",G1876="?"),"",IFERROR(INDEX(Pubs!$G$2:$G$3001,MATCH(G1876,Pubs!$A$2:$A$3001,0))&amp;"",""))</f>
        <v/>
      </c>
      <c r="K1876" s="28" t="str">
        <f aca="false">IF(OR(G1876="",G1876="?"),"",IFERROR(INDEX(Pubs!$E$2:$E$3001,MATCH(G1876,Pubs!$A$2:$A$3001,0)),""))</f>
        <v/>
      </c>
      <c r="L1876" s="29" t="str">
        <f aca="false">IF(A1876="","",IFERROR(1/(1/INDEX(Numéros!$C$2:$C$3001,MATCH(A1876&amp;"|"&amp;B1876,Numéros!$F$2:$F$3001,0))),""))</f>
        <v/>
      </c>
      <c r="M1876" s="27" t="str">
        <f aca="false">IF(OR(G1876="",G1876="?"),"",IFERROR(INDEX(Pubs!$D$2:$D$3001,MATCH(G1876,Pubs!$A$2:$A$3001,0))&amp;"",""))</f>
        <v/>
      </c>
      <c r="N1876" s="27" t="n">
        <f aca="false">N(N1875)+IF(AND(A1876&lt;&gt;"",OR(Recherche!$C$4="",A1876=Recherche!$C$4),OR(Recherche!$C$5="",B1876&amp;""=Recherche!$C$5&amp;""),OR(Recherche!$C$6="",IFERROR(YEAR(L1876),0)=Recherche!$C$6),OR(Recherche!$C$7="",ISNUMBER(SEARCH(Recherche!$C$7,H1876))),OR(Recherche!$C$8="",J1876=Recherche!$C$8),OR(Recherche!$C$9="",I1876=Recherche!$C$9),OR(Recherche!$C$10="",G1876&amp;""=Recherche!$C$10&amp;""),OR(Recherche!$C$11="",E1876=Recherche!$C$11),OR(Recherche!$C$12="",ISNUMBER(SEARCH(Recherche!$C$12,M1876&amp;" "&amp;F1876)))),1,0)</f>
        <v>8</v>
      </c>
    </row>
    <row r="1877" customFormat="false" ht="15" hidden="false" customHeight="false" outlineLevel="0" collapsed="false">
      <c r="A1877" s="19"/>
      <c r="B1877" s="19"/>
      <c r="C1877" s="19"/>
      <c r="D1877" s="19"/>
      <c r="E1877" s="22"/>
      <c r="F1877" s="19"/>
      <c r="G1877" s="26" t="str">
        <f aca="false">IF(D1877="","",IFERROR(VALUE(LEFT(D1877,FIND(" |",D1877&amp;" |")-1)),"?"))</f>
        <v/>
      </c>
      <c r="H1877" s="27" t="str">
        <f aca="false">IF(G1877="","",IF(G1877="?","⚠ pub inconnue",IFERROR(INDEX(Pubs!$B$2:$B$3001,MATCH(G1877,Pubs!$A$2:$A$3001,0))&amp;"","⚠ pub inconnue")))</f>
        <v/>
      </c>
      <c r="I1877" s="27" t="str">
        <f aca="false">IF(OR(G1877="",G1877="?"),"",IFERROR(INDEX(Pubs!$C$2:$C$3001,MATCH(G1877,Pubs!$A$2:$A$3001,0))&amp;"",""))</f>
        <v/>
      </c>
      <c r="J1877" s="27" t="str">
        <f aca="false">IF(OR(G1877="",G1877="?"),"",IFERROR(INDEX(Pubs!$G$2:$G$3001,MATCH(G1877,Pubs!$A$2:$A$3001,0))&amp;"",""))</f>
        <v/>
      </c>
      <c r="K1877" s="28" t="str">
        <f aca="false">IF(OR(G1877="",G1877="?"),"",IFERROR(INDEX(Pubs!$E$2:$E$3001,MATCH(G1877,Pubs!$A$2:$A$3001,0)),""))</f>
        <v/>
      </c>
      <c r="L1877" s="29" t="str">
        <f aca="false">IF(A1877="","",IFERROR(1/(1/INDEX(Numéros!$C$2:$C$3001,MATCH(A1877&amp;"|"&amp;B1877,Numéros!$F$2:$F$3001,0))),""))</f>
        <v/>
      </c>
      <c r="M1877" s="27" t="str">
        <f aca="false">IF(OR(G1877="",G1877="?"),"",IFERROR(INDEX(Pubs!$D$2:$D$3001,MATCH(G1877,Pubs!$A$2:$A$3001,0))&amp;"",""))</f>
        <v/>
      </c>
      <c r="N1877" s="27" t="n">
        <f aca="false">N(N1876)+IF(AND(A1877&lt;&gt;"",OR(Recherche!$C$4="",A1877=Recherche!$C$4),OR(Recherche!$C$5="",B1877&amp;""=Recherche!$C$5&amp;""),OR(Recherche!$C$6="",IFERROR(YEAR(L1877),0)=Recherche!$C$6),OR(Recherche!$C$7="",ISNUMBER(SEARCH(Recherche!$C$7,H1877))),OR(Recherche!$C$8="",J1877=Recherche!$C$8),OR(Recherche!$C$9="",I1877=Recherche!$C$9),OR(Recherche!$C$10="",G1877&amp;""=Recherche!$C$10&amp;""),OR(Recherche!$C$11="",E1877=Recherche!$C$11),OR(Recherche!$C$12="",ISNUMBER(SEARCH(Recherche!$C$12,M1877&amp;" "&amp;F1877)))),1,0)</f>
        <v>8</v>
      </c>
    </row>
    <row r="1878" customFormat="false" ht="15" hidden="false" customHeight="false" outlineLevel="0" collapsed="false">
      <c r="A1878" s="19"/>
      <c r="B1878" s="19"/>
      <c r="C1878" s="19"/>
      <c r="D1878" s="19"/>
      <c r="E1878" s="22"/>
      <c r="F1878" s="19"/>
      <c r="G1878" s="26" t="str">
        <f aca="false">IF(D1878="","",IFERROR(VALUE(LEFT(D1878,FIND(" |",D1878&amp;" |")-1)),"?"))</f>
        <v/>
      </c>
      <c r="H1878" s="27" t="str">
        <f aca="false">IF(G1878="","",IF(G1878="?","⚠ pub inconnue",IFERROR(INDEX(Pubs!$B$2:$B$3001,MATCH(G1878,Pubs!$A$2:$A$3001,0))&amp;"","⚠ pub inconnue")))</f>
        <v/>
      </c>
      <c r="I1878" s="27" t="str">
        <f aca="false">IF(OR(G1878="",G1878="?"),"",IFERROR(INDEX(Pubs!$C$2:$C$3001,MATCH(G1878,Pubs!$A$2:$A$3001,0))&amp;"",""))</f>
        <v/>
      </c>
      <c r="J1878" s="27" t="str">
        <f aca="false">IF(OR(G1878="",G1878="?"),"",IFERROR(INDEX(Pubs!$G$2:$G$3001,MATCH(G1878,Pubs!$A$2:$A$3001,0))&amp;"",""))</f>
        <v/>
      </c>
      <c r="K1878" s="28" t="str">
        <f aca="false">IF(OR(G1878="",G1878="?"),"",IFERROR(INDEX(Pubs!$E$2:$E$3001,MATCH(G1878,Pubs!$A$2:$A$3001,0)),""))</f>
        <v/>
      </c>
      <c r="L1878" s="29" t="str">
        <f aca="false">IF(A1878="","",IFERROR(1/(1/INDEX(Numéros!$C$2:$C$3001,MATCH(A1878&amp;"|"&amp;B1878,Numéros!$F$2:$F$3001,0))),""))</f>
        <v/>
      </c>
      <c r="M1878" s="27" t="str">
        <f aca="false">IF(OR(G1878="",G1878="?"),"",IFERROR(INDEX(Pubs!$D$2:$D$3001,MATCH(G1878,Pubs!$A$2:$A$3001,0))&amp;"",""))</f>
        <v/>
      </c>
      <c r="N1878" s="27" t="n">
        <f aca="false">N(N1877)+IF(AND(A1878&lt;&gt;"",OR(Recherche!$C$4="",A1878=Recherche!$C$4),OR(Recherche!$C$5="",B1878&amp;""=Recherche!$C$5&amp;""),OR(Recherche!$C$6="",IFERROR(YEAR(L1878),0)=Recherche!$C$6),OR(Recherche!$C$7="",ISNUMBER(SEARCH(Recherche!$C$7,H1878))),OR(Recherche!$C$8="",J1878=Recherche!$C$8),OR(Recherche!$C$9="",I1878=Recherche!$C$9),OR(Recherche!$C$10="",G1878&amp;""=Recherche!$C$10&amp;""),OR(Recherche!$C$11="",E1878=Recherche!$C$11),OR(Recherche!$C$12="",ISNUMBER(SEARCH(Recherche!$C$12,M1878&amp;" "&amp;F1878)))),1,0)</f>
        <v>8</v>
      </c>
    </row>
    <row r="1879" customFormat="false" ht="15" hidden="false" customHeight="false" outlineLevel="0" collapsed="false">
      <c r="A1879" s="19"/>
      <c r="B1879" s="19"/>
      <c r="C1879" s="19"/>
      <c r="D1879" s="19"/>
      <c r="E1879" s="22"/>
      <c r="F1879" s="19"/>
      <c r="G1879" s="26" t="str">
        <f aca="false">IF(D1879="","",IFERROR(VALUE(LEFT(D1879,FIND(" |",D1879&amp;" |")-1)),"?"))</f>
        <v/>
      </c>
      <c r="H1879" s="27" t="str">
        <f aca="false">IF(G1879="","",IF(G1879="?","⚠ pub inconnue",IFERROR(INDEX(Pubs!$B$2:$B$3001,MATCH(G1879,Pubs!$A$2:$A$3001,0))&amp;"","⚠ pub inconnue")))</f>
        <v/>
      </c>
      <c r="I1879" s="27" t="str">
        <f aca="false">IF(OR(G1879="",G1879="?"),"",IFERROR(INDEX(Pubs!$C$2:$C$3001,MATCH(G1879,Pubs!$A$2:$A$3001,0))&amp;"",""))</f>
        <v/>
      </c>
      <c r="J1879" s="27" t="str">
        <f aca="false">IF(OR(G1879="",G1879="?"),"",IFERROR(INDEX(Pubs!$G$2:$G$3001,MATCH(G1879,Pubs!$A$2:$A$3001,0))&amp;"",""))</f>
        <v/>
      </c>
      <c r="K1879" s="28" t="str">
        <f aca="false">IF(OR(G1879="",G1879="?"),"",IFERROR(INDEX(Pubs!$E$2:$E$3001,MATCH(G1879,Pubs!$A$2:$A$3001,0)),""))</f>
        <v/>
      </c>
      <c r="L1879" s="29" t="str">
        <f aca="false">IF(A1879="","",IFERROR(1/(1/INDEX(Numéros!$C$2:$C$3001,MATCH(A1879&amp;"|"&amp;B1879,Numéros!$F$2:$F$3001,0))),""))</f>
        <v/>
      </c>
      <c r="M1879" s="27" t="str">
        <f aca="false">IF(OR(G1879="",G1879="?"),"",IFERROR(INDEX(Pubs!$D$2:$D$3001,MATCH(G1879,Pubs!$A$2:$A$3001,0))&amp;"",""))</f>
        <v/>
      </c>
      <c r="N1879" s="27" t="n">
        <f aca="false">N(N1878)+IF(AND(A1879&lt;&gt;"",OR(Recherche!$C$4="",A1879=Recherche!$C$4),OR(Recherche!$C$5="",B1879&amp;""=Recherche!$C$5&amp;""),OR(Recherche!$C$6="",IFERROR(YEAR(L1879),0)=Recherche!$C$6),OR(Recherche!$C$7="",ISNUMBER(SEARCH(Recherche!$C$7,H1879))),OR(Recherche!$C$8="",J1879=Recherche!$C$8),OR(Recherche!$C$9="",I1879=Recherche!$C$9),OR(Recherche!$C$10="",G1879&amp;""=Recherche!$C$10&amp;""),OR(Recherche!$C$11="",E1879=Recherche!$C$11),OR(Recherche!$C$12="",ISNUMBER(SEARCH(Recherche!$C$12,M1879&amp;" "&amp;F1879)))),1,0)</f>
        <v>8</v>
      </c>
    </row>
    <row r="1880" customFormat="false" ht="15" hidden="false" customHeight="false" outlineLevel="0" collapsed="false">
      <c r="A1880" s="19"/>
      <c r="B1880" s="19"/>
      <c r="C1880" s="19"/>
      <c r="D1880" s="19"/>
      <c r="E1880" s="22"/>
      <c r="F1880" s="19"/>
      <c r="G1880" s="26" t="str">
        <f aca="false">IF(D1880="","",IFERROR(VALUE(LEFT(D1880,FIND(" |",D1880&amp;" |")-1)),"?"))</f>
        <v/>
      </c>
      <c r="H1880" s="27" t="str">
        <f aca="false">IF(G1880="","",IF(G1880="?","⚠ pub inconnue",IFERROR(INDEX(Pubs!$B$2:$B$3001,MATCH(G1880,Pubs!$A$2:$A$3001,0))&amp;"","⚠ pub inconnue")))</f>
        <v/>
      </c>
      <c r="I1880" s="27" t="str">
        <f aca="false">IF(OR(G1880="",G1880="?"),"",IFERROR(INDEX(Pubs!$C$2:$C$3001,MATCH(G1880,Pubs!$A$2:$A$3001,0))&amp;"",""))</f>
        <v/>
      </c>
      <c r="J1880" s="27" t="str">
        <f aca="false">IF(OR(G1880="",G1880="?"),"",IFERROR(INDEX(Pubs!$G$2:$G$3001,MATCH(G1880,Pubs!$A$2:$A$3001,0))&amp;"",""))</f>
        <v/>
      </c>
      <c r="K1880" s="28" t="str">
        <f aca="false">IF(OR(G1880="",G1880="?"),"",IFERROR(INDEX(Pubs!$E$2:$E$3001,MATCH(G1880,Pubs!$A$2:$A$3001,0)),""))</f>
        <v/>
      </c>
      <c r="L1880" s="29" t="str">
        <f aca="false">IF(A1880="","",IFERROR(1/(1/INDEX(Numéros!$C$2:$C$3001,MATCH(A1880&amp;"|"&amp;B1880,Numéros!$F$2:$F$3001,0))),""))</f>
        <v/>
      </c>
      <c r="M1880" s="27" t="str">
        <f aca="false">IF(OR(G1880="",G1880="?"),"",IFERROR(INDEX(Pubs!$D$2:$D$3001,MATCH(G1880,Pubs!$A$2:$A$3001,0))&amp;"",""))</f>
        <v/>
      </c>
      <c r="N1880" s="27" t="n">
        <f aca="false">N(N1879)+IF(AND(A1880&lt;&gt;"",OR(Recherche!$C$4="",A1880=Recherche!$C$4),OR(Recherche!$C$5="",B1880&amp;""=Recherche!$C$5&amp;""),OR(Recherche!$C$6="",IFERROR(YEAR(L1880),0)=Recherche!$C$6),OR(Recherche!$C$7="",ISNUMBER(SEARCH(Recherche!$C$7,H1880))),OR(Recherche!$C$8="",J1880=Recherche!$C$8),OR(Recherche!$C$9="",I1880=Recherche!$C$9),OR(Recherche!$C$10="",G1880&amp;""=Recherche!$C$10&amp;""),OR(Recherche!$C$11="",E1880=Recherche!$C$11),OR(Recherche!$C$12="",ISNUMBER(SEARCH(Recherche!$C$12,M1880&amp;" "&amp;F1880)))),1,0)</f>
        <v>8</v>
      </c>
    </row>
    <row r="1881" customFormat="false" ht="15" hidden="false" customHeight="false" outlineLevel="0" collapsed="false">
      <c r="A1881" s="19"/>
      <c r="B1881" s="19"/>
      <c r="C1881" s="19"/>
      <c r="D1881" s="19"/>
      <c r="E1881" s="22"/>
      <c r="F1881" s="19"/>
      <c r="G1881" s="26" t="str">
        <f aca="false">IF(D1881="","",IFERROR(VALUE(LEFT(D1881,FIND(" |",D1881&amp;" |")-1)),"?"))</f>
        <v/>
      </c>
      <c r="H1881" s="27" t="str">
        <f aca="false">IF(G1881="","",IF(G1881="?","⚠ pub inconnue",IFERROR(INDEX(Pubs!$B$2:$B$3001,MATCH(G1881,Pubs!$A$2:$A$3001,0))&amp;"","⚠ pub inconnue")))</f>
        <v/>
      </c>
      <c r="I1881" s="27" t="str">
        <f aca="false">IF(OR(G1881="",G1881="?"),"",IFERROR(INDEX(Pubs!$C$2:$C$3001,MATCH(G1881,Pubs!$A$2:$A$3001,0))&amp;"",""))</f>
        <v/>
      </c>
      <c r="J1881" s="27" t="str">
        <f aca="false">IF(OR(G1881="",G1881="?"),"",IFERROR(INDEX(Pubs!$G$2:$G$3001,MATCH(G1881,Pubs!$A$2:$A$3001,0))&amp;"",""))</f>
        <v/>
      </c>
      <c r="K1881" s="28" t="str">
        <f aca="false">IF(OR(G1881="",G1881="?"),"",IFERROR(INDEX(Pubs!$E$2:$E$3001,MATCH(G1881,Pubs!$A$2:$A$3001,0)),""))</f>
        <v/>
      </c>
      <c r="L1881" s="29" t="str">
        <f aca="false">IF(A1881="","",IFERROR(1/(1/INDEX(Numéros!$C$2:$C$3001,MATCH(A1881&amp;"|"&amp;B1881,Numéros!$F$2:$F$3001,0))),""))</f>
        <v/>
      </c>
      <c r="M1881" s="27" t="str">
        <f aca="false">IF(OR(G1881="",G1881="?"),"",IFERROR(INDEX(Pubs!$D$2:$D$3001,MATCH(G1881,Pubs!$A$2:$A$3001,0))&amp;"",""))</f>
        <v/>
      </c>
      <c r="N1881" s="27" t="n">
        <f aca="false">N(N1880)+IF(AND(A1881&lt;&gt;"",OR(Recherche!$C$4="",A1881=Recherche!$C$4),OR(Recherche!$C$5="",B1881&amp;""=Recherche!$C$5&amp;""),OR(Recherche!$C$6="",IFERROR(YEAR(L1881),0)=Recherche!$C$6),OR(Recherche!$C$7="",ISNUMBER(SEARCH(Recherche!$C$7,H1881))),OR(Recherche!$C$8="",J1881=Recherche!$C$8),OR(Recherche!$C$9="",I1881=Recherche!$C$9),OR(Recherche!$C$10="",G1881&amp;""=Recherche!$C$10&amp;""),OR(Recherche!$C$11="",E1881=Recherche!$C$11),OR(Recherche!$C$12="",ISNUMBER(SEARCH(Recherche!$C$12,M1881&amp;" "&amp;F1881)))),1,0)</f>
        <v>8</v>
      </c>
    </row>
    <row r="1882" customFormat="false" ht="15" hidden="false" customHeight="false" outlineLevel="0" collapsed="false">
      <c r="A1882" s="19"/>
      <c r="B1882" s="19"/>
      <c r="C1882" s="19"/>
      <c r="D1882" s="19"/>
      <c r="E1882" s="22"/>
      <c r="F1882" s="19"/>
      <c r="G1882" s="26" t="str">
        <f aca="false">IF(D1882="","",IFERROR(VALUE(LEFT(D1882,FIND(" |",D1882&amp;" |")-1)),"?"))</f>
        <v/>
      </c>
      <c r="H1882" s="27" t="str">
        <f aca="false">IF(G1882="","",IF(G1882="?","⚠ pub inconnue",IFERROR(INDEX(Pubs!$B$2:$B$3001,MATCH(G1882,Pubs!$A$2:$A$3001,0))&amp;"","⚠ pub inconnue")))</f>
        <v/>
      </c>
      <c r="I1882" s="27" t="str">
        <f aca="false">IF(OR(G1882="",G1882="?"),"",IFERROR(INDEX(Pubs!$C$2:$C$3001,MATCH(G1882,Pubs!$A$2:$A$3001,0))&amp;"",""))</f>
        <v/>
      </c>
      <c r="J1882" s="27" t="str">
        <f aca="false">IF(OR(G1882="",G1882="?"),"",IFERROR(INDEX(Pubs!$G$2:$G$3001,MATCH(G1882,Pubs!$A$2:$A$3001,0))&amp;"",""))</f>
        <v/>
      </c>
      <c r="K1882" s="28" t="str">
        <f aca="false">IF(OR(G1882="",G1882="?"),"",IFERROR(INDEX(Pubs!$E$2:$E$3001,MATCH(G1882,Pubs!$A$2:$A$3001,0)),""))</f>
        <v/>
      </c>
      <c r="L1882" s="29" t="str">
        <f aca="false">IF(A1882="","",IFERROR(1/(1/INDEX(Numéros!$C$2:$C$3001,MATCH(A1882&amp;"|"&amp;B1882,Numéros!$F$2:$F$3001,0))),""))</f>
        <v/>
      </c>
      <c r="M1882" s="27" t="str">
        <f aca="false">IF(OR(G1882="",G1882="?"),"",IFERROR(INDEX(Pubs!$D$2:$D$3001,MATCH(G1882,Pubs!$A$2:$A$3001,0))&amp;"",""))</f>
        <v/>
      </c>
      <c r="N1882" s="27" t="n">
        <f aca="false">N(N1881)+IF(AND(A1882&lt;&gt;"",OR(Recherche!$C$4="",A1882=Recherche!$C$4),OR(Recherche!$C$5="",B1882&amp;""=Recherche!$C$5&amp;""),OR(Recherche!$C$6="",IFERROR(YEAR(L1882),0)=Recherche!$C$6),OR(Recherche!$C$7="",ISNUMBER(SEARCH(Recherche!$C$7,H1882))),OR(Recherche!$C$8="",J1882=Recherche!$C$8),OR(Recherche!$C$9="",I1882=Recherche!$C$9),OR(Recherche!$C$10="",G1882&amp;""=Recherche!$C$10&amp;""),OR(Recherche!$C$11="",E1882=Recherche!$C$11),OR(Recherche!$C$12="",ISNUMBER(SEARCH(Recherche!$C$12,M1882&amp;" "&amp;F1882)))),1,0)</f>
        <v>8</v>
      </c>
    </row>
    <row r="1883" customFormat="false" ht="15" hidden="false" customHeight="false" outlineLevel="0" collapsed="false">
      <c r="A1883" s="19"/>
      <c r="B1883" s="19"/>
      <c r="C1883" s="19"/>
      <c r="D1883" s="19"/>
      <c r="E1883" s="22"/>
      <c r="F1883" s="19"/>
      <c r="G1883" s="26" t="str">
        <f aca="false">IF(D1883="","",IFERROR(VALUE(LEFT(D1883,FIND(" |",D1883&amp;" |")-1)),"?"))</f>
        <v/>
      </c>
      <c r="H1883" s="27" t="str">
        <f aca="false">IF(G1883="","",IF(G1883="?","⚠ pub inconnue",IFERROR(INDEX(Pubs!$B$2:$B$3001,MATCH(G1883,Pubs!$A$2:$A$3001,0))&amp;"","⚠ pub inconnue")))</f>
        <v/>
      </c>
      <c r="I1883" s="27" t="str">
        <f aca="false">IF(OR(G1883="",G1883="?"),"",IFERROR(INDEX(Pubs!$C$2:$C$3001,MATCH(G1883,Pubs!$A$2:$A$3001,0))&amp;"",""))</f>
        <v/>
      </c>
      <c r="J1883" s="27" t="str">
        <f aca="false">IF(OR(G1883="",G1883="?"),"",IFERROR(INDEX(Pubs!$G$2:$G$3001,MATCH(G1883,Pubs!$A$2:$A$3001,0))&amp;"",""))</f>
        <v/>
      </c>
      <c r="K1883" s="28" t="str">
        <f aca="false">IF(OR(G1883="",G1883="?"),"",IFERROR(INDEX(Pubs!$E$2:$E$3001,MATCH(G1883,Pubs!$A$2:$A$3001,0)),""))</f>
        <v/>
      </c>
      <c r="L1883" s="29" t="str">
        <f aca="false">IF(A1883="","",IFERROR(1/(1/INDEX(Numéros!$C$2:$C$3001,MATCH(A1883&amp;"|"&amp;B1883,Numéros!$F$2:$F$3001,0))),""))</f>
        <v/>
      </c>
      <c r="M1883" s="27" t="str">
        <f aca="false">IF(OR(G1883="",G1883="?"),"",IFERROR(INDEX(Pubs!$D$2:$D$3001,MATCH(G1883,Pubs!$A$2:$A$3001,0))&amp;"",""))</f>
        <v/>
      </c>
      <c r="N1883" s="27" t="n">
        <f aca="false">N(N1882)+IF(AND(A1883&lt;&gt;"",OR(Recherche!$C$4="",A1883=Recherche!$C$4),OR(Recherche!$C$5="",B1883&amp;""=Recherche!$C$5&amp;""),OR(Recherche!$C$6="",IFERROR(YEAR(L1883),0)=Recherche!$C$6),OR(Recherche!$C$7="",ISNUMBER(SEARCH(Recherche!$C$7,H1883))),OR(Recherche!$C$8="",J1883=Recherche!$C$8),OR(Recherche!$C$9="",I1883=Recherche!$C$9),OR(Recherche!$C$10="",G1883&amp;""=Recherche!$C$10&amp;""),OR(Recherche!$C$11="",E1883=Recherche!$C$11),OR(Recherche!$C$12="",ISNUMBER(SEARCH(Recherche!$C$12,M1883&amp;" "&amp;F1883)))),1,0)</f>
        <v>8</v>
      </c>
    </row>
    <row r="1884" customFormat="false" ht="15" hidden="false" customHeight="false" outlineLevel="0" collapsed="false">
      <c r="A1884" s="19"/>
      <c r="B1884" s="19"/>
      <c r="C1884" s="19"/>
      <c r="D1884" s="19"/>
      <c r="E1884" s="22"/>
      <c r="F1884" s="19"/>
      <c r="G1884" s="26" t="str">
        <f aca="false">IF(D1884="","",IFERROR(VALUE(LEFT(D1884,FIND(" |",D1884&amp;" |")-1)),"?"))</f>
        <v/>
      </c>
      <c r="H1884" s="27" t="str">
        <f aca="false">IF(G1884="","",IF(G1884="?","⚠ pub inconnue",IFERROR(INDEX(Pubs!$B$2:$B$3001,MATCH(G1884,Pubs!$A$2:$A$3001,0))&amp;"","⚠ pub inconnue")))</f>
        <v/>
      </c>
      <c r="I1884" s="27" t="str">
        <f aca="false">IF(OR(G1884="",G1884="?"),"",IFERROR(INDEX(Pubs!$C$2:$C$3001,MATCH(G1884,Pubs!$A$2:$A$3001,0))&amp;"",""))</f>
        <v/>
      </c>
      <c r="J1884" s="27" t="str">
        <f aca="false">IF(OR(G1884="",G1884="?"),"",IFERROR(INDEX(Pubs!$G$2:$G$3001,MATCH(G1884,Pubs!$A$2:$A$3001,0))&amp;"",""))</f>
        <v/>
      </c>
      <c r="K1884" s="28" t="str">
        <f aca="false">IF(OR(G1884="",G1884="?"),"",IFERROR(INDEX(Pubs!$E$2:$E$3001,MATCH(G1884,Pubs!$A$2:$A$3001,0)),""))</f>
        <v/>
      </c>
      <c r="L1884" s="29" t="str">
        <f aca="false">IF(A1884="","",IFERROR(1/(1/INDEX(Numéros!$C$2:$C$3001,MATCH(A1884&amp;"|"&amp;B1884,Numéros!$F$2:$F$3001,0))),""))</f>
        <v/>
      </c>
      <c r="M1884" s="27" t="str">
        <f aca="false">IF(OR(G1884="",G1884="?"),"",IFERROR(INDEX(Pubs!$D$2:$D$3001,MATCH(G1884,Pubs!$A$2:$A$3001,0))&amp;"",""))</f>
        <v/>
      </c>
      <c r="N1884" s="27" t="n">
        <f aca="false">N(N1883)+IF(AND(A1884&lt;&gt;"",OR(Recherche!$C$4="",A1884=Recherche!$C$4),OR(Recherche!$C$5="",B1884&amp;""=Recherche!$C$5&amp;""),OR(Recherche!$C$6="",IFERROR(YEAR(L1884),0)=Recherche!$C$6),OR(Recherche!$C$7="",ISNUMBER(SEARCH(Recherche!$C$7,H1884))),OR(Recherche!$C$8="",J1884=Recherche!$C$8),OR(Recherche!$C$9="",I1884=Recherche!$C$9),OR(Recherche!$C$10="",G1884&amp;""=Recherche!$C$10&amp;""),OR(Recherche!$C$11="",E1884=Recherche!$C$11),OR(Recherche!$C$12="",ISNUMBER(SEARCH(Recherche!$C$12,M1884&amp;" "&amp;F1884)))),1,0)</f>
        <v>8</v>
      </c>
    </row>
    <row r="1885" customFormat="false" ht="15" hidden="false" customHeight="false" outlineLevel="0" collapsed="false">
      <c r="A1885" s="19"/>
      <c r="B1885" s="19"/>
      <c r="C1885" s="19"/>
      <c r="D1885" s="19"/>
      <c r="E1885" s="22"/>
      <c r="F1885" s="19"/>
      <c r="G1885" s="26" t="str">
        <f aca="false">IF(D1885="","",IFERROR(VALUE(LEFT(D1885,FIND(" |",D1885&amp;" |")-1)),"?"))</f>
        <v/>
      </c>
      <c r="H1885" s="27" t="str">
        <f aca="false">IF(G1885="","",IF(G1885="?","⚠ pub inconnue",IFERROR(INDEX(Pubs!$B$2:$B$3001,MATCH(G1885,Pubs!$A$2:$A$3001,0))&amp;"","⚠ pub inconnue")))</f>
        <v/>
      </c>
      <c r="I1885" s="27" t="str">
        <f aca="false">IF(OR(G1885="",G1885="?"),"",IFERROR(INDEX(Pubs!$C$2:$C$3001,MATCH(G1885,Pubs!$A$2:$A$3001,0))&amp;"",""))</f>
        <v/>
      </c>
      <c r="J1885" s="27" t="str">
        <f aca="false">IF(OR(G1885="",G1885="?"),"",IFERROR(INDEX(Pubs!$G$2:$G$3001,MATCH(G1885,Pubs!$A$2:$A$3001,0))&amp;"",""))</f>
        <v/>
      </c>
      <c r="K1885" s="28" t="str">
        <f aca="false">IF(OR(G1885="",G1885="?"),"",IFERROR(INDEX(Pubs!$E$2:$E$3001,MATCH(G1885,Pubs!$A$2:$A$3001,0)),""))</f>
        <v/>
      </c>
      <c r="L1885" s="29" t="str">
        <f aca="false">IF(A1885="","",IFERROR(1/(1/INDEX(Numéros!$C$2:$C$3001,MATCH(A1885&amp;"|"&amp;B1885,Numéros!$F$2:$F$3001,0))),""))</f>
        <v/>
      </c>
      <c r="M1885" s="27" t="str">
        <f aca="false">IF(OR(G1885="",G1885="?"),"",IFERROR(INDEX(Pubs!$D$2:$D$3001,MATCH(G1885,Pubs!$A$2:$A$3001,0))&amp;"",""))</f>
        <v/>
      </c>
      <c r="N1885" s="27" t="n">
        <f aca="false">N(N1884)+IF(AND(A1885&lt;&gt;"",OR(Recherche!$C$4="",A1885=Recherche!$C$4),OR(Recherche!$C$5="",B1885&amp;""=Recherche!$C$5&amp;""),OR(Recherche!$C$6="",IFERROR(YEAR(L1885),0)=Recherche!$C$6),OR(Recherche!$C$7="",ISNUMBER(SEARCH(Recherche!$C$7,H1885))),OR(Recherche!$C$8="",J1885=Recherche!$C$8),OR(Recherche!$C$9="",I1885=Recherche!$C$9),OR(Recherche!$C$10="",G1885&amp;""=Recherche!$C$10&amp;""),OR(Recherche!$C$11="",E1885=Recherche!$C$11),OR(Recherche!$C$12="",ISNUMBER(SEARCH(Recherche!$C$12,M1885&amp;" "&amp;F1885)))),1,0)</f>
        <v>8</v>
      </c>
    </row>
    <row r="1886" customFormat="false" ht="15" hidden="false" customHeight="false" outlineLevel="0" collapsed="false">
      <c r="A1886" s="19"/>
      <c r="B1886" s="19"/>
      <c r="C1886" s="19"/>
      <c r="D1886" s="19"/>
      <c r="E1886" s="22"/>
      <c r="F1886" s="19"/>
      <c r="G1886" s="26" t="str">
        <f aca="false">IF(D1886="","",IFERROR(VALUE(LEFT(D1886,FIND(" |",D1886&amp;" |")-1)),"?"))</f>
        <v/>
      </c>
      <c r="H1886" s="27" t="str">
        <f aca="false">IF(G1886="","",IF(G1886="?","⚠ pub inconnue",IFERROR(INDEX(Pubs!$B$2:$B$3001,MATCH(G1886,Pubs!$A$2:$A$3001,0))&amp;"","⚠ pub inconnue")))</f>
        <v/>
      </c>
      <c r="I1886" s="27" t="str">
        <f aca="false">IF(OR(G1886="",G1886="?"),"",IFERROR(INDEX(Pubs!$C$2:$C$3001,MATCH(G1886,Pubs!$A$2:$A$3001,0))&amp;"",""))</f>
        <v/>
      </c>
      <c r="J1886" s="27" t="str">
        <f aca="false">IF(OR(G1886="",G1886="?"),"",IFERROR(INDEX(Pubs!$G$2:$G$3001,MATCH(G1886,Pubs!$A$2:$A$3001,0))&amp;"",""))</f>
        <v/>
      </c>
      <c r="K1886" s="28" t="str">
        <f aca="false">IF(OR(G1886="",G1886="?"),"",IFERROR(INDEX(Pubs!$E$2:$E$3001,MATCH(G1886,Pubs!$A$2:$A$3001,0)),""))</f>
        <v/>
      </c>
      <c r="L1886" s="29" t="str">
        <f aca="false">IF(A1886="","",IFERROR(1/(1/INDEX(Numéros!$C$2:$C$3001,MATCH(A1886&amp;"|"&amp;B1886,Numéros!$F$2:$F$3001,0))),""))</f>
        <v/>
      </c>
      <c r="M1886" s="27" t="str">
        <f aca="false">IF(OR(G1886="",G1886="?"),"",IFERROR(INDEX(Pubs!$D$2:$D$3001,MATCH(G1886,Pubs!$A$2:$A$3001,0))&amp;"",""))</f>
        <v/>
      </c>
      <c r="N1886" s="27" t="n">
        <f aca="false">N(N1885)+IF(AND(A1886&lt;&gt;"",OR(Recherche!$C$4="",A1886=Recherche!$C$4),OR(Recherche!$C$5="",B1886&amp;""=Recherche!$C$5&amp;""),OR(Recherche!$C$6="",IFERROR(YEAR(L1886),0)=Recherche!$C$6),OR(Recherche!$C$7="",ISNUMBER(SEARCH(Recherche!$C$7,H1886))),OR(Recherche!$C$8="",J1886=Recherche!$C$8),OR(Recherche!$C$9="",I1886=Recherche!$C$9),OR(Recherche!$C$10="",G1886&amp;""=Recherche!$C$10&amp;""),OR(Recherche!$C$11="",E1886=Recherche!$C$11),OR(Recherche!$C$12="",ISNUMBER(SEARCH(Recherche!$C$12,M1886&amp;" "&amp;F1886)))),1,0)</f>
        <v>8</v>
      </c>
    </row>
    <row r="1887" customFormat="false" ht="15" hidden="false" customHeight="false" outlineLevel="0" collapsed="false">
      <c r="A1887" s="19"/>
      <c r="B1887" s="19"/>
      <c r="C1887" s="19"/>
      <c r="D1887" s="19"/>
      <c r="E1887" s="22"/>
      <c r="F1887" s="19"/>
      <c r="G1887" s="26" t="str">
        <f aca="false">IF(D1887="","",IFERROR(VALUE(LEFT(D1887,FIND(" |",D1887&amp;" |")-1)),"?"))</f>
        <v/>
      </c>
      <c r="H1887" s="27" t="str">
        <f aca="false">IF(G1887="","",IF(G1887="?","⚠ pub inconnue",IFERROR(INDEX(Pubs!$B$2:$B$3001,MATCH(G1887,Pubs!$A$2:$A$3001,0))&amp;"","⚠ pub inconnue")))</f>
        <v/>
      </c>
      <c r="I1887" s="27" t="str">
        <f aca="false">IF(OR(G1887="",G1887="?"),"",IFERROR(INDEX(Pubs!$C$2:$C$3001,MATCH(G1887,Pubs!$A$2:$A$3001,0))&amp;"",""))</f>
        <v/>
      </c>
      <c r="J1887" s="27" t="str">
        <f aca="false">IF(OR(G1887="",G1887="?"),"",IFERROR(INDEX(Pubs!$G$2:$G$3001,MATCH(G1887,Pubs!$A$2:$A$3001,0))&amp;"",""))</f>
        <v/>
      </c>
      <c r="K1887" s="28" t="str">
        <f aca="false">IF(OR(G1887="",G1887="?"),"",IFERROR(INDEX(Pubs!$E$2:$E$3001,MATCH(G1887,Pubs!$A$2:$A$3001,0)),""))</f>
        <v/>
      </c>
      <c r="L1887" s="29" t="str">
        <f aca="false">IF(A1887="","",IFERROR(1/(1/INDEX(Numéros!$C$2:$C$3001,MATCH(A1887&amp;"|"&amp;B1887,Numéros!$F$2:$F$3001,0))),""))</f>
        <v/>
      </c>
      <c r="M1887" s="27" t="str">
        <f aca="false">IF(OR(G1887="",G1887="?"),"",IFERROR(INDEX(Pubs!$D$2:$D$3001,MATCH(G1887,Pubs!$A$2:$A$3001,0))&amp;"",""))</f>
        <v/>
      </c>
      <c r="N1887" s="27" t="n">
        <f aca="false">N(N1886)+IF(AND(A1887&lt;&gt;"",OR(Recherche!$C$4="",A1887=Recherche!$C$4),OR(Recherche!$C$5="",B1887&amp;""=Recherche!$C$5&amp;""),OR(Recherche!$C$6="",IFERROR(YEAR(L1887),0)=Recherche!$C$6),OR(Recherche!$C$7="",ISNUMBER(SEARCH(Recherche!$C$7,H1887))),OR(Recherche!$C$8="",J1887=Recherche!$C$8),OR(Recherche!$C$9="",I1887=Recherche!$C$9),OR(Recherche!$C$10="",G1887&amp;""=Recherche!$C$10&amp;""),OR(Recherche!$C$11="",E1887=Recherche!$C$11),OR(Recherche!$C$12="",ISNUMBER(SEARCH(Recherche!$C$12,M1887&amp;" "&amp;F1887)))),1,0)</f>
        <v>8</v>
      </c>
    </row>
    <row r="1888" customFormat="false" ht="15" hidden="false" customHeight="false" outlineLevel="0" collapsed="false">
      <c r="A1888" s="19"/>
      <c r="B1888" s="19"/>
      <c r="C1888" s="19"/>
      <c r="D1888" s="19"/>
      <c r="E1888" s="22"/>
      <c r="F1888" s="19"/>
      <c r="G1888" s="26" t="str">
        <f aca="false">IF(D1888="","",IFERROR(VALUE(LEFT(D1888,FIND(" |",D1888&amp;" |")-1)),"?"))</f>
        <v/>
      </c>
      <c r="H1888" s="27" t="str">
        <f aca="false">IF(G1888="","",IF(G1888="?","⚠ pub inconnue",IFERROR(INDEX(Pubs!$B$2:$B$3001,MATCH(G1888,Pubs!$A$2:$A$3001,0))&amp;"","⚠ pub inconnue")))</f>
        <v/>
      </c>
      <c r="I1888" s="27" t="str">
        <f aca="false">IF(OR(G1888="",G1888="?"),"",IFERROR(INDEX(Pubs!$C$2:$C$3001,MATCH(G1888,Pubs!$A$2:$A$3001,0))&amp;"",""))</f>
        <v/>
      </c>
      <c r="J1888" s="27" t="str">
        <f aca="false">IF(OR(G1888="",G1888="?"),"",IFERROR(INDEX(Pubs!$G$2:$G$3001,MATCH(G1888,Pubs!$A$2:$A$3001,0))&amp;"",""))</f>
        <v/>
      </c>
      <c r="K1888" s="28" t="str">
        <f aca="false">IF(OR(G1888="",G1888="?"),"",IFERROR(INDEX(Pubs!$E$2:$E$3001,MATCH(G1888,Pubs!$A$2:$A$3001,0)),""))</f>
        <v/>
      </c>
      <c r="L1888" s="29" t="str">
        <f aca="false">IF(A1888="","",IFERROR(1/(1/INDEX(Numéros!$C$2:$C$3001,MATCH(A1888&amp;"|"&amp;B1888,Numéros!$F$2:$F$3001,0))),""))</f>
        <v/>
      </c>
      <c r="M1888" s="27" t="str">
        <f aca="false">IF(OR(G1888="",G1888="?"),"",IFERROR(INDEX(Pubs!$D$2:$D$3001,MATCH(G1888,Pubs!$A$2:$A$3001,0))&amp;"",""))</f>
        <v/>
      </c>
      <c r="N1888" s="27" t="n">
        <f aca="false">N(N1887)+IF(AND(A1888&lt;&gt;"",OR(Recherche!$C$4="",A1888=Recherche!$C$4),OR(Recherche!$C$5="",B1888&amp;""=Recherche!$C$5&amp;""),OR(Recherche!$C$6="",IFERROR(YEAR(L1888),0)=Recherche!$C$6),OR(Recherche!$C$7="",ISNUMBER(SEARCH(Recherche!$C$7,H1888))),OR(Recherche!$C$8="",J1888=Recherche!$C$8),OR(Recherche!$C$9="",I1888=Recherche!$C$9),OR(Recherche!$C$10="",G1888&amp;""=Recherche!$C$10&amp;""),OR(Recherche!$C$11="",E1888=Recherche!$C$11),OR(Recherche!$C$12="",ISNUMBER(SEARCH(Recherche!$C$12,M1888&amp;" "&amp;F1888)))),1,0)</f>
        <v>8</v>
      </c>
    </row>
    <row r="1889" customFormat="false" ht="15" hidden="false" customHeight="false" outlineLevel="0" collapsed="false">
      <c r="A1889" s="19"/>
      <c r="B1889" s="19"/>
      <c r="C1889" s="19"/>
      <c r="D1889" s="19"/>
      <c r="E1889" s="22"/>
      <c r="F1889" s="19"/>
      <c r="G1889" s="26" t="str">
        <f aca="false">IF(D1889="","",IFERROR(VALUE(LEFT(D1889,FIND(" |",D1889&amp;" |")-1)),"?"))</f>
        <v/>
      </c>
      <c r="H1889" s="27" t="str">
        <f aca="false">IF(G1889="","",IF(G1889="?","⚠ pub inconnue",IFERROR(INDEX(Pubs!$B$2:$B$3001,MATCH(G1889,Pubs!$A$2:$A$3001,0))&amp;"","⚠ pub inconnue")))</f>
        <v/>
      </c>
      <c r="I1889" s="27" t="str">
        <f aca="false">IF(OR(G1889="",G1889="?"),"",IFERROR(INDEX(Pubs!$C$2:$C$3001,MATCH(G1889,Pubs!$A$2:$A$3001,0))&amp;"",""))</f>
        <v/>
      </c>
      <c r="J1889" s="27" t="str">
        <f aca="false">IF(OR(G1889="",G1889="?"),"",IFERROR(INDEX(Pubs!$G$2:$G$3001,MATCH(G1889,Pubs!$A$2:$A$3001,0))&amp;"",""))</f>
        <v/>
      </c>
      <c r="K1889" s="28" t="str">
        <f aca="false">IF(OR(G1889="",G1889="?"),"",IFERROR(INDEX(Pubs!$E$2:$E$3001,MATCH(G1889,Pubs!$A$2:$A$3001,0)),""))</f>
        <v/>
      </c>
      <c r="L1889" s="29" t="str">
        <f aca="false">IF(A1889="","",IFERROR(1/(1/INDEX(Numéros!$C$2:$C$3001,MATCH(A1889&amp;"|"&amp;B1889,Numéros!$F$2:$F$3001,0))),""))</f>
        <v/>
      </c>
      <c r="M1889" s="27" t="str">
        <f aca="false">IF(OR(G1889="",G1889="?"),"",IFERROR(INDEX(Pubs!$D$2:$D$3001,MATCH(G1889,Pubs!$A$2:$A$3001,0))&amp;"",""))</f>
        <v/>
      </c>
      <c r="N1889" s="27" t="n">
        <f aca="false">N(N1888)+IF(AND(A1889&lt;&gt;"",OR(Recherche!$C$4="",A1889=Recherche!$C$4),OR(Recherche!$C$5="",B1889&amp;""=Recherche!$C$5&amp;""),OR(Recherche!$C$6="",IFERROR(YEAR(L1889),0)=Recherche!$C$6),OR(Recherche!$C$7="",ISNUMBER(SEARCH(Recherche!$C$7,H1889))),OR(Recherche!$C$8="",J1889=Recherche!$C$8),OR(Recherche!$C$9="",I1889=Recherche!$C$9),OR(Recherche!$C$10="",G1889&amp;""=Recherche!$C$10&amp;""),OR(Recherche!$C$11="",E1889=Recherche!$C$11),OR(Recherche!$C$12="",ISNUMBER(SEARCH(Recherche!$C$12,M1889&amp;" "&amp;F1889)))),1,0)</f>
        <v>8</v>
      </c>
    </row>
    <row r="1890" customFormat="false" ht="15" hidden="false" customHeight="false" outlineLevel="0" collapsed="false">
      <c r="A1890" s="19"/>
      <c r="B1890" s="19"/>
      <c r="C1890" s="19"/>
      <c r="D1890" s="19"/>
      <c r="E1890" s="22"/>
      <c r="F1890" s="19"/>
      <c r="G1890" s="26" t="str">
        <f aca="false">IF(D1890="","",IFERROR(VALUE(LEFT(D1890,FIND(" |",D1890&amp;" |")-1)),"?"))</f>
        <v/>
      </c>
      <c r="H1890" s="27" t="str">
        <f aca="false">IF(G1890="","",IF(G1890="?","⚠ pub inconnue",IFERROR(INDEX(Pubs!$B$2:$B$3001,MATCH(G1890,Pubs!$A$2:$A$3001,0))&amp;"","⚠ pub inconnue")))</f>
        <v/>
      </c>
      <c r="I1890" s="27" t="str">
        <f aca="false">IF(OR(G1890="",G1890="?"),"",IFERROR(INDEX(Pubs!$C$2:$C$3001,MATCH(G1890,Pubs!$A$2:$A$3001,0))&amp;"",""))</f>
        <v/>
      </c>
      <c r="J1890" s="27" t="str">
        <f aca="false">IF(OR(G1890="",G1890="?"),"",IFERROR(INDEX(Pubs!$G$2:$G$3001,MATCH(G1890,Pubs!$A$2:$A$3001,0))&amp;"",""))</f>
        <v/>
      </c>
      <c r="K1890" s="28" t="str">
        <f aca="false">IF(OR(G1890="",G1890="?"),"",IFERROR(INDEX(Pubs!$E$2:$E$3001,MATCH(G1890,Pubs!$A$2:$A$3001,0)),""))</f>
        <v/>
      </c>
      <c r="L1890" s="29" t="str">
        <f aca="false">IF(A1890="","",IFERROR(1/(1/INDEX(Numéros!$C$2:$C$3001,MATCH(A1890&amp;"|"&amp;B1890,Numéros!$F$2:$F$3001,0))),""))</f>
        <v/>
      </c>
      <c r="M1890" s="27" t="str">
        <f aca="false">IF(OR(G1890="",G1890="?"),"",IFERROR(INDEX(Pubs!$D$2:$D$3001,MATCH(G1890,Pubs!$A$2:$A$3001,0))&amp;"",""))</f>
        <v/>
      </c>
      <c r="N1890" s="27" t="n">
        <f aca="false">N(N1889)+IF(AND(A1890&lt;&gt;"",OR(Recherche!$C$4="",A1890=Recherche!$C$4),OR(Recherche!$C$5="",B1890&amp;""=Recherche!$C$5&amp;""),OR(Recherche!$C$6="",IFERROR(YEAR(L1890),0)=Recherche!$C$6),OR(Recherche!$C$7="",ISNUMBER(SEARCH(Recherche!$C$7,H1890))),OR(Recherche!$C$8="",J1890=Recherche!$C$8),OR(Recherche!$C$9="",I1890=Recherche!$C$9),OR(Recherche!$C$10="",G1890&amp;""=Recherche!$C$10&amp;""),OR(Recherche!$C$11="",E1890=Recherche!$C$11),OR(Recherche!$C$12="",ISNUMBER(SEARCH(Recherche!$C$12,M1890&amp;" "&amp;F1890)))),1,0)</f>
        <v>8</v>
      </c>
    </row>
    <row r="1891" customFormat="false" ht="15" hidden="false" customHeight="false" outlineLevel="0" collapsed="false">
      <c r="A1891" s="19"/>
      <c r="B1891" s="19"/>
      <c r="C1891" s="19"/>
      <c r="D1891" s="19"/>
      <c r="E1891" s="22"/>
      <c r="F1891" s="19"/>
      <c r="G1891" s="26" t="str">
        <f aca="false">IF(D1891="","",IFERROR(VALUE(LEFT(D1891,FIND(" |",D1891&amp;" |")-1)),"?"))</f>
        <v/>
      </c>
      <c r="H1891" s="27" t="str">
        <f aca="false">IF(G1891="","",IF(G1891="?","⚠ pub inconnue",IFERROR(INDEX(Pubs!$B$2:$B$3001,MATCH(G1891,Pubs!$A$2:$A$3001,0))&amp;"","⚠ pub inconnue")))</f>
        <v/>
      </c>
      <c r="I1891" s="27" t="str">
        <f aca="false">IF(OR(G1891="",G1891="?"),"",IFERROR(INDEX(Pubs!$C$2:$C$3001,MATCH(G1891,Pubs!$A$2:$A$3001,0))&amp;"",""))</f>
        <v/>
      </c>
      <c r="J1891" s="27" t="str">
        <f aca="false">IF(OR(G1891="",G1891="?"),"",IFERROR(INDEX(Pubs!$G$2:$G$3001,MATCH(G1891,Pubs!$A$2:$A$3001,0))&amp;"",""))</f>
        <v/>
      </c>
      <c r="K1891" s="28" t="str">
        <f aca="false">IF(OR(G1891="",G1891="?"),"",IFERROR(INDEX(Pubs!$E$2:$E$3001,MATCH(G1891,Pubs!$A$2:$A$3001,0)),""))</f>
        <v/>
      </c>
      <c r="L1891" s="29" t="str">
        <f aca="false">IF(A1891="","",IFERROR(1/(1/INDEX(Numéros!$C$2:$C$3001,MATCH(A1891&amp;"|"&amp;B1891,Numéros!$F$2:$F$3001,0))),""))</f>
        <v/>
      </c>
      <c r="M1891" s="27" t="str">
        <f aca="false">IF(OR(G1891="",G1891="?"),"",IFERROR(INDEX(Pubs!$D$2:$D$3001,MATCH(G1891,Pubs!$A$2:$A$3001,0))&amp;"",""))</f>
        <v/>
      </c>
      <c r="N1891" s="27" t="n">
        <f aca="false">N(N1890)+IF(AND(A1891&lt;&gt;"",OR(Recherche!$C$4="",A1891=Recherche!$C$4),OR(Recherche!$C$5="",B1891&amp;""=Recherche!$C$5&amp;""),OR(Recherche!$C$6="",IFERROR(YEAR(L1891),0)=Recherche!$C$6),OR(Recherche!$C$7="",ISNUMBER(SEARCH(Recherche!$C$7,H1891))),OR(Recherche!$C$8="",J1891=Recherche!$C$8),OR(Recherche!$C$9="",I1891=Recherche!$C$9),OR(Recherche!$C$10="",G1891&amp;""=Recherche!$C$10&amp;""),OR(Recherche!$C$11="",E1891=Recherche!$C$11),OR(Recherche!$C$12="",ISNUMBER(SEARCH(Recherche!$C$12,M1891&amp;" "&amp;F1891)))),1,0)</f>
        <v>8</v>
      </c>
    </row>
    <row r="1892" customFormat="false" ht="15" hidden="false" customHeight="false" outlineLevel="0" collapsed="false">
      <c r="A1892" s="19"/>
      <c r="B1892" s="19"/>
      <c r="C1892" s="19"/>
      <c r="D1892" s="19"/>
      <c r="E1892" s="22"/>
      <c r="F1892" s="19"/>
      <c r="G1892" s="26" t="str">
        <f aca="false">IF(D1892="","",IFERROR(VALUE(LEFT(D1892,FIND(" |",D1892&amp;" |")-1)),"?"))</f>
        <v/>
      </c>
      <c r="H1892" s="27" t="str">
        <f aca="false">IF(G1892="","",IF(G1892="?","⚠ pub inconnue",IFERROR(INDEX(Pubs!$B$2:$B$3001,MATCH(G1892,Pubs!$A$2:$A$3001,0))&amp;"","⚠ pub inconnue")))</f>
        <v/>
      </c>
      <c r="I1892" s="27" t="str">
        <f aca="false">IF(OR(G1892="",G1892="?"),"",IFERROR(INDEX(Pubs!$C$2:$C$3001,MATCH(G1892,Pubs!$A$2:$A$3001,0))&amp;"",""))</f>
        <v/>
      </c>
      <c r="J1892" s="27" t="str">
        <f aca="false">IF(OR(G1892="",G1892="?"),"",IFERROR(INDEX(Pubs!$G$2:$G$3001,MATCH(G1892,Pubs!$A$2:$A$3001,0))&amp;"",""))</f>
        <v/>
      </c>
      <c r="K1892" s="28" t="str">
        <f aca="false">IF(OR(G1892="",G1892="?"),"",IFERROR(INDEX(Pubs!$E$2:$E$3001,MATCH(G1892,Pubs!$A$2:$A$3001,0)),""))</f>
        <v/>
      </c>
      <c r="L1892" s="29" t="str">
        <f aca="false">IF(A1892="","",IFERROR(1/(1/INDEX(Numéros!$C$2:$C$3001,MATCH(A1892&amp;"|"&amp;B1892,Numéros!$F$2:$F$3001,0))),""))</f>
        <v/>
      </c>
      <c r="M1892" s="27" t="str">
        <f aca="false">IF(OR(G1892="",G1892="?"),"",IFERROR(INDEX(Pubs!$D$2:$D$3001,MATCH(G1892,Pubs!$A$2:$A$3001,0))&amp;"",""))</f>
        <v/>
      </c>
      <c r="N1892" s="27" t="n">
        <f aca="false">N(N1891)+IF(AND(A1892&lt;&gt;"",OR(Recherche!$C$4="",A1892=Recherche!$C$4),OR(Recherche!$C$5="",B1892&amp;""=Recherche!$C$5&amp;""),OR(Recherche!$C$6="",IFERROR(YEAR(L1892),0)=Recherche!$C$6),OR(Recherche!$C$7="",ISNUMBER(SEARCH(Recherche!$C$7,H1892))),OR(Recherche!$C$8="",J1892=Recherche!$C$8),OR(Recherche!$C$9="",I1892=Recherche!$C$9),OR(Recherche!$C$10="",G1892&amp;""=Recherche!$C$10&amp;""),OR(Recherche!$C$11="",E1892=Recherche!$C$11),OR(Recherche!$C$12="",ISNUMBER(SEARCH(Recherche!$C$12,M1892&amp;" "&amp;F1892)))),1,0)</f>
        <v>8</v>
      </c>
    </row>
    <row r="1893" customFormat="false" ht="15" hidden="false" customHeight="false" outlineLevel="0" collapsed="false">
      <c r="A1893" s="19"/>
      <c r="B1893" s="19"/>
      <c r="C1893" s="19"/>
      <c r="D1893" s="19"/>
      <c r="E1893" s="22"/>
      <c r="F1893" s="19"/>
      <c r="G1893" s="26" t="str">
        <f aca="false">IF(D1893="","",IFERROR(VALUE(LEFT(D1893,FIND(" |",D1893&amp;" |")-1)),"?"))</f>
        <v/>
      </c>
      <c r="H1893" s="27" t="str">
        <f aca="false">IF(G1893="","",IF(G1893="?","⚠ pub inconnue",IFERROR(INDEX(Pubs!$B$2:$B$3001,MATCH(G1893,Pubs!$A$2:$A$3001,0))&amp;"","⚠ pub inconnue")))</f>
        <v/>
      </c>
      <c r="I1893" s="27" t="str">
        <f aca="false">IF(OR(G1893="",G1893="?"),"",IFERROR(INDEX(Pubs!$C$2:$C$3001,MATCH(G1893,Pubs!$A$2:$A$3001,0))&amp;"",""))</f>
        <v/>
      </c>
      <c r="J1893" s="27" t="str">
        <f aca="false">IF(OR(G1893="",G1893="?"),"",IFERROR(INDEX(Pubs!$G$2:$G$3001,MATCH(G1893,Pubs!$A$2:$A$3001,0))&amp;"",""))</f>
        <v/>
      </c>
      <c r="K1893" s="28" t="str">
        <f aca="false">IF(OR(G1893="",G1893="?"),"",IFERROR(INDEX(Pubs!$E$2:$E$3001,MATCH(G1893,Pubs!$A$2:$A$3001,0)),""))</f>
        <v/>
      </c>
      <c r="L1893" s="29" t="str">
        <f aca="false">IF(A1893="","",IFERROR(1/(1/INDEX(Numéros!$C$2:$C$3001,MATCH(A1893&amp;"|"&amp;B1893,Numéros!$F$2:$F$3001,0))),""))</f>
        <v/>
      </c>
      <c r="M1893" s="27" t="str">
        <f aca="false">IF(OR(G1893="",G1893="?"),"",IFERROR(INDEX(Pubs!$D$2:$D$3001,MATCH(G1893,Pubs!$A$2:$A$3001,0))&amp;"",""))</f>
        <v/>
      </c>
      <c r="N1893" s="27" t="n">
        <f aca="false">N(N1892)+IF(AND(A1893&lt;&gt;"",OR(Recherche!$C$4="",A1893=Recherche!$C$4),OR(Recherche!$C$5="",B1893&amp;""=Recherche!$C$5&amp;""),OR(Recherche!$C$6="",IFERROR(YEAR(L1893),0)=Recherche!$C$6),OR(Recherche!$C$7="",ISNUMBER(SEARCH(Recherche!$C$7,H1893))),OR(Recherche!$C$8="",J1893=Recherche!$C$8),OR(Recherche!$C$9="",I1893=Recherche!$C$9),OR(Recherche!$C$10="",G1893&amp;""=Recherche!$C$10&amp;""),OR(Recherche!$C$11="",E1893=Recherche!$C$11),OR(Recherche!$C$12="",ISNUMBER(SEARCH(Recherche!$C$12,M1893&amp;" "&amp;F1893)))),1,0)</f>
        <v>8</v>
      </c>
    </row>
    <row r="1894" customFormat="false" ht="15" hidden="false" customHeight="false" outlineLevel="0" collapsed="false">
      <c r="A1894" s="19"/>
      <c r="B1894" s="19"/>
      <c r="C1894" s="19"/>
      <c r="D1894" s="19"/>
      <c r="E1894" s="22"/>
      <c r="F1894" s="19"/>
      <c r="G1894" s="26" t="str">
        <f aca="false">IF(D1894="","",IFERROR(VALUE(LEFT(D1894,FIND(" |",D1894&amp;" |")-1)),"?"))</f>
        <v/>
      </c>
      <c r="H1894" s="27" t="str">
        <f aca="false">IF(G1894="","",IF(G1894="?","⚠ pub inconnue",IFERROR(INDEX(Pubs!$B$2:$B$3001,MATCH(G1894,Pubs!$A$2:$A$3001,0))&amp;"","⚠ pub inconnue")))</f>
        <v/>
      </c>
      <c r="I1894" s="27" t="str">
        <f aca="false">IF(OR(G1894="",G1894="?"),"",IFERROR(INDEX(Pubs!$C$2:$C$3001,MATCH(G1894,Pubs!$A$2:$A$3001,0))&amp;"",""))</f>
        <v/>
      </c>
      <c r="J1894" s="27" t="str">
        <f aca="false">IF(OR(G1894="",G1894="?"),"",IFERROR(INDEX(Pubs!$G$2:$G$3001,MATCH(G1894,Pubs!$A$2:$A$3001,0))&amp;"",""))</f>
        <v/>
      </c>
      <c r="K1894" s="28" t="str">
        <f aca="false">IF(OR(G1894="",G1894="?"),"",IFERROR(INDEX(Pubs!$E$2:$E$3001,MATCH(G1894,Pubs!$A$2:$A$3001,0)),""))</f>
        <v/>
      </c>
      <c r="L1894" s="29" t="str">
        <f aca="false">IF(A1894="","",IFERROR(1/(1/INDEX(Numéros!$C$2:$C$3001,MATCH(A1894&amp;"|"&amp;B1894,Numéros!$F$2:$F$3001,0))),""))</f>
        <v/>
      </c>
      <c r="M1894" s="27" t="str">
        <f aca="false">IF(OR(G1894="",G1894="?"),"",IFERROR(INDEX(Pubs!$D$2:$D$3001,MATCH(G1894,Pubs!$A$2:$A$3001,0))&amp;"",""))</f>
        <v/>
      </c>
      <c r="N1894" s="27" t="n">
        <f aca="false">N(N1893)+IF(AND(A1894&lt;&gt;"",OR(Recherche!$C$4="",A1894=Recherche!$C$4),OR(Recherche!$C$5="",B1894&amp;""=Recherche!$C$5&amp;""),OR(Recherche!$C$6="",IFERROR(YEAR(L1894),0)=Recherche!$C$6),OR(Recherche!$C$7="",ISNUMBER(SEARCH(Recherche!$C$7,H1894))),OR(Recherche!$C$8="",J1894=Recherche!$C$8),OR(Recherche!$C$9="",I1894=Recherche!$C$9),OR(Recherche!$C$10="",G1894&amp;""=Recherche!$C$10&amp;""),OR(Recherche!$C$11="",E1894=Recherche!$C$11),OR(Recherche!$C$12="",ISNUMBER(SEARCH(Recherche!$C$12,M1894&amp;" "&amp;F1894)))),1,0)</f>
        <v>8</v>
      </c>
    </row>
    <row r="1895" customFormat="false" ht="15" hidden="false" customHeight="false" outlineLevel="0" collapsed="false">
      <c r="A1895" s="19"/>
      <c r="B1895" s="19"/>
      <c r="C1895" s="19"/>
      <c r="D1895" s="19"/>
      <c r="E1895" s="22"/>
      <c r="F1895" s="19"/>
      <c r="G1895" s="26" t="str">
        <f aca="false">IF(D1895="","",IFERROR(VALUE(LEFT(D1895,FIND(" |",D1895&amp;" |")-1)),"?"))</f>
        <v/>
      </c>
      <c r="H1895" s="27" t="str">
        <f aca="false">IF(G1895="","",IF(G1895="?","⚠ pub inconnue",IFERROR(INDEX(Pubs!$B$2:$B$3001,MATCH(G1895,Pubs!$A$2:$A$3001,0))&amp;"","⚠ pub inconnue")))</f>
        <v/>
      </c>
      <c r="I1895" s="27" t="str">
        <f aca="false">IF(OR(G1895="",G1895="?"),"",IFERROR(INDEX(Pubs!$C$2:$C$3001,MATCH(G1895,Pubs!$A$2:$A$3001,0))&amp;"",""))</f>
        <v/>
      </c>
      <c r="J1895" s="27" t="str">
        <f aca="false">IF(OR(G1895="",G1895="?"),"",IFERROR(INDEX(Pubs!$G$2:$G$3001,MATCH(G1895,Pubs!$A$2:$A$3001,0))&amp;"",""))</f>
        <v/>
      </c>
      <c r="K1895" s="28" t="str">
        <f aca="false">IF(OR(G1895="",G1895="?"),"",IFERROR(INDEX(Pubs!$E$2:$E$3001,MATCH(G1895,Pubs!$A$2:$A$3001,0)),""))</f>
        <v/>
      </c>
      <c r="L1895" s="29" t="str">
        <f aca="false">IF(A1895="","",IFERROR(1/(1/INDEX(Numéros!$C$2:$C$3001,MATCH(A1895&amp;"|"&amp;B1895,Numéros!$F$2:$F$3001,0))),""))</f>
        <v/>
      </c>
      <c r="M1895" s="27" t="str">
        <f aca="false">IF(OR(G1895="",G1895="?"),"",IFERROR(INDEX(Pubs!$D$2:$D$3001,MATCH(G1895,Pubs!$A$2:$A$3001,0))&amp;"",""))</f>
        <v/>
      </c>
      <c r="N1895" s="27" t="n">
        <f aca="false">N(N1894)+IF(AND(A1895&lt;&gt;"",OR(Recherche!$C$4="",A1895=Recherche!$C$4),OR(Recherche!$C$5="",B1895&amp;""=Recherche!$C$5&amp;""),OR(Recherche!$C$6="",IFERROR(YEAR(L1895),0)=Recherche!$C$6),OR(Recherche!$C$7="",ISNUMBER(SEARCH(Recherche!$C$7,H1895))),OR(Recherche!$C$8="",J1895=Recherche!$C$8),OR(Recherche!$C$9="",I1895=Recherche!$C$9),OR(Recherche!$C$10="",G1895&amp;""=Recherche!$C$10&amp;""),OR(Recherche!$C$11="",E1895=Recherche!$C$11),OR(Recherche!$C$12="",ISNUMBER(SEARCH(Recherche!$C$12,M1895&amp;" "&amp;F1895)))),1,0)</f>
        <v>8</v>
      </c>
    </row>
    <row r="1896" customFormat="false" ht="15" hidden="false" customHeight="false" outlineLevel="0" collapsed="false">
      <c r="A1896" s="19"/>
      <c r="B1896" s="19"/>
      <c r="C1896" s="19"/>
      <c r="D1896" s="19"/>
      <c r="E1896" s="22"/>
      <c r="F1896" s="19"/>
      <c r="G1896" s="26" t="str">
        <f aca="false">IF(D1896="","",IFERROR(VALUE(LEFT(D1896,FIND(" |",D1896&amp;" |")-1)),"?"))</f>
        <v/>
      </c>
      <c r="H1896" s="27" t="str">
        <f aca="false">IF(G1896="","",IF(G1896="?","⚠ pub inconnue",IFERROR(INDEX(Pubs!$B$2:$B$3001,MATCH(G1896,Pubs!$A$2:$A$3001,0))&amp;"","⚠ pub inconnue")))</f>
        <v/>
      </c>
      <c r="I1896" s="27" t="str">
        <f aca="false">IF(OR(G1896="",G1896="?"),"",IFERROR(INDEX(Pubs!$C$2:$C$3001,MATCH(G1896,Pubs!$A$2:$A$3001,0))&amp;"",""))</f>
        <v/>
      </c>
      <c r="J1896" s="27" t="str">
        <f aca="false">IF(OR(G1896="",G1896="?"),"",IFERROR(INDEX(Pubs!$G$2:$G$3001,MATCH(G1896,Pubs!$A$2:$A$3001,0))&amp;"",""))</f>
        <v/>
      </c>
      <c r="K1896" s="28" t="str">
        <f aca="false">IF(OR(G1896="",G1896="?"),"",IFERROR(INDEX(Pubs!$E$2:$E$3001,MATCH(G1896,Pubs!$A$2:$A$3001,0)),""))</f>
        <v/>
      </c>
      <c r="L1896" s="29" t="str">
        <f aca="false">IF(A1896="","",IFERROR(1/(1/INDEX(Numéros!$C$2:$C$3001,MATCH(A1896&amp;"|"&amp;B1896,Numéros!$F$2:$F$3001,0))),""))</f>
        <v/>
      </c>
      <c r="M1896" s="27" t="str">
        <f aca="false">IF(OR(G1896="",G1896="?"),"",IFERROR(INDEX(Pubs!$D$2:$D$3001,MATCH(G1896,Pubs!$A$2:$A$3001,0))&amp;"",""))</f>
        <v/>
      </c>
      <c r="N1896" s="27" t="n">
        <f aca="false">N(N1895)+IF(AND(A1896&lt;&gt;"",OR(Recherche!$C$4="",A1896=Recherche!$C$4),OR(Recherche!$C$5="",B1896&amp;""=Recherche!$C$5&amp;""),OR(Recherche!$C$6="",IFERROR(YEAR(L1896),0)=Recherche!$C$6),OR(Recherche!$C$7="",ISNUMBER(SEARCH(Recherche!$C$7,H1896))),OR(Recherche!$C$8="",J1896=Recherche!$C$8),OR(Recherche!$C$9="",I1896=Recherche!$C$9),OR(Recherche!$C$10="",G1896&amp;""=Recherche!$C$10&amp;""),OR(Recherche!$C$11="",E1896=Recherche!$C$11),OR(Recherche!$C$12="",ISNUMBER(SEARCH(Recherche!$C$12,M1896&amp;" "&amp;F1896)))),1,0)</f>
        <v>8</v>
      </c>
    </row>
    <row r="1897" customFormat="false" ht="15" hidden="false" customHeight="false" outlineLevel="0" collapsed="false">
      <c r="A1897" s="19"/>
      <c r="B1897" s="19"/>
      <c r="C1897" s="19"/>
      <c r="D1897" s="19"/>
      <c r="E1897" s="22"/>
      <c r="F1897" s="19"/>
      <c r="G1897" s="26" t="str">
        <f aca="false">IF(D1897="","",IFERROR(VALUE(LEFT(D1897,FIND(" |",D1897&amp;" |")-1)),"?"))</f>
        <v/>
      </c>
      <c r="H1897" s="27" t="str">
        <f aca="false">IF(G1897="","",IF(G1897="?","⚠ pub inconnue",IFERROR(INDEX(Pubs!$B$2:$B$3001,MATCH(G1897,Pubs!$A$2:$A$3001,0))&amp;"","⚠ pub inconnue")))</f>
        <v/>
      </c>
      <c r="I1897" s="27" t="str">
        <f aca="false">IF(OR(G1897="",G1897="?"),"",IFERROR(INDEX(Pubs!$C$2:$C$3001,MATCH(G1897,Pubs!$A$2:$A$3001,0))&amp;"",""))</f>
        <v/>
      </c>
      <c r="J1897" s="27" t="str">
        <f aca="false">IF(OR(G1897="",G1897="?"),"",IFERROR(INDEX(Pubs!$G$2:$G$3001,MATCH(G1897,Pubs!$A$2:$A$3001,0))&amp;"",""))</f>
        <v/>
      </c>
      <c r="K1897" s="28" t="str">
        <f aca="false">IF(OR(G1897="",G1897="?"),"",IFERROR(INDEX(Pubs!$E$2:$E$3001,MATCH(G1897,Pubs!$A$2:$A$3001,0)),""))</f>
        <v/>
      </c>
      <c r="L1897" s="29" t="str">
        <f aca="false">IF(A1897="","",IFERROR(1/(1/INDEX(Numéros!$C$2:$C$3001,MATCH(A1897&amp;"|"&amp;B1897,Numéros!$F$2:$F$3001,0))),""))</f>
        <v/>
      </c>
      <c r="M1897" s="27" t="str">
        <f aca="false">IF(OR(G1897="",G1897="?"),"",IFERROR(INDEX(Pubs!$D$2:$D$3001,MATCH(G1897,Pubs!$A$2:$A$3001,0))&amp;"",""))</f>
        <v/>
      </c>
      <c r="N1897" s="27" t="n">
        <f aca="false">N(N1896)+IF(AND(A1897&lt;&gt;"",OR(Recherche!$C$4="",A1897=Recherche!$C$4),OR(Recherche!$C$5="",B1897&amp;""=Recherche!$C$5&amp;""),OR(Recherche!$C$6="",IFERROR(YEAR(L1897),0)=Recherche!$C$6),OR(Recherche!$C$7="",ISNUMBER(SEARCH(Recherche!$C$7,H1897))),OR(Recherche!$C$8="",J1897=Recherche!$C$8),OR(Recherche!$C$9="",I1897=Recherche!$C$9),OR(Recherche!$C$10="",G1897&amp;""=Recherche!$C$10&amp;""),OR(Recherche!$C$11="",E1897=Recherche!$C$11),OR(Recherche!$C$12="",ISNUMBER(SEARCH(Recherche!$C$12,M1897&amp;" "&amp;F1897)))),1,0)</f>
        <v>8</v>
      </c>
    </row>
    <row r="1898" customFormat="false" ht="15" hidden="false" customHeight="false" outlineLevel="0" collapsed="false">
      <c r="A1898" s="19"/>
      <c r="B1898" s="19"/>
      <c r="C1898" s="19"/>
      <c r="D1898" s="19"/>
      <c r="E1898" s="22"/>
      <c r="F1898" s="19"/>
      <c r="G1898" s="26" t="str">
        <f aca="false">IF(D1898="","",IFERROR(VALUE(LEFT(D1898,FIND(" |",D1898&amp;" |")-1)),"?"))</f>
        <v/>
      </c>
      <c r="H1898" s="27" t="str">
        <f aca="false">IF(G1898="","",IF(G1898="?","⚠ pub inconnue",IFERROR(INDEX(Pubs!$B$2:$B$3001,MATCH(G1898,Pubs!$A$2:$A$3001,0))&amp;"","⚠ pub inconnue")))</f>
        <v/>
      </c>
      <c r="I1898" s="27" t="str">
        <f aca="false">IF(OR(G1898="",G1898="?"),"",IFERROR(INDEX(Pubs!$C$2:$C$3001,MATCH(G1898,Pubs!$A$2:$A$3001,0))&amp;"",""))</f>
        <v/>
      </c>
      <c r="J1898" s="27" t="str">
        <f aca="false">IF(OR(G1898="",G1898="?"),"",IFERROR(INDEX(Pubs!$G$2:$G$3001,MATCH(G1898,Pubs!$A$2:$A$3001,0))&amp;"",""))</f>
        <v/>
      </c>
      <c r="K1898" s="28" t="str">
        <f aca="false">IF(OR(G1898="",G1898="?"),"",IFERROR(INDEX(Pubs!$E$2:$E$3001,MATCH(G1898,Pubs!$A$2:$A$3001,0)),""))</f>
        <v/>
      </c>
      <c r="L1898" s="29" t="str">
        <f aca="false">IF(A1898="","",IFERROR(1/(1/INDEX(Numéros!$C$2:$C$3001,MATCH(A1898&amp;"|"&amp;B1898,Numéros!$F$2:$F$3001,0))),""))</f>
        <v/>
      </c>
      <c r="M1898" s="27" t="str">
        <f aca="false">IF(OR(G1898="",G1898="?"),"",IFERROR(INDEX(Pubs!$D$2:$D$3001,MATCH(G1898,Pubs!$A$2:$A$3001,0))&amp;"",""))</f>
        <v/>
      </c>
      <c r="N1898" s="27" t="n">
        <f aca="false">N(N1897)+IF(AND(A1898&lt;&gt;"",OR(Recherche!$C$4="",A1898=Recherche!$C$4),OR(Recherche!$C$5="",B1898&amp;""=Recherche!$C$5&amp;""),OR(Recherche!$C$6="",IFERROR(YEAR(L1898),0)=Recherche!$C$6),OR(Recherche!$C$7="",ISNUMBER(SEARCH(Recherche!$C$7,H1898))),OR(Recherche!$C$8="",J1898=Recherche!$C$8),OR(Recherche!$C$9="",I1898=Recherche!$C$9),OR(Recherche!$C$10="",G1898&amp;""=Recherche!$C$10&amp;""),OR(Recherche!$C$11="",E1898=Recherche!$C$11),OR(Recherche!$C$12="",ISNUMBER(SEARCH(Recherche!$C$12,M1898&amp;" "&amp;F1898)))),1,0)</f>
        <v>8</v>
      </c>
    </row>
    <row r="1899" customFormat="false" ht="15" hidden="false" customHeight="false" outlineLevel="0" collapsed="false">
      <c r="A1899" s="19"/>
      <c r="B1899" s="19"/>
      <c r="C1899" s="19"/>
      <c r="D1899" s="19"/>
      <c r="E1899" s="22"/>
      <c r="F1899" s="19"/>
      <c r="G1899" s="26" t="str">
        <f aca="false">IF(D1899="","",IFERROR(VALUE(LEFT(D1899,FIND(" |",D1899&amp;" |")-1)),"?"))</f>
        <v/>
      </c>
      <c r="H1899" s="27" t="str">
        <f aca="false">IF(G1899="","",IF(G1899="?","⚠ pub inconnue",IFERROR(INDEX(Pubs!$B$2:$B$3001,MATCH(G1899,Pubs!$A$2:$A$3001,0))&amp;"","⚠ pub inconnue")))</f>
        <v/>
      </c>
      <c r="I1899" s="27" t="str">
        <f aca="false">IF(OR(G1899="",G1899="?"),"",IFERROR(INDEX(Pubs!$C$2:$C$3001,MATCH(G1899,Pubs!$A$2:$A$3001,0))&amp;"",""))</f>
        <v/>
      </c>
      <c r="J1899" s="27" t="str">
        <f aca="false">IF(OR(G1899="",G1899="?"),"",IFERROR(INDEX(Pubs!$G$2:$G$3001,MATCH(G1899,Pubs!$A$2:$A$3001,0))&amp;"",""))</f>
        <v/>
      </c>
      <c r="K1899" s="28" t="str">
        <f aca="false">IF(OR(G1899="",G1899="?"),"",IFERROR(INDEX(Pubs!$E$2:$E$3001,MATCH(G1899,Pubs!$A$2:$A$3001,0)),""))</f>
        <v/>
      </c>
      <c r="L1899" s="29" t="str">
        <f aca="false">IF(A1899="","",IFERROR(1/(1/INDEX(Numéros!$C$2:$C$3001,MATCH(A1899&amp;"|"&amp;B1899,Numéros!$F$2:$F$3001,0))),""))</f>
        <v/>
      </c>
      <c r="M1899" s="27" t="str">
        <f aca="false">IF(OR(G1899="",G1899="?"),"",IFERROR(INDEX(Pubs!$D$2:$D$3001,MATCH(G1899,Pubs!$A$2:$A$3001,0))&amp;"",""))</f>
        <v/>
      </c>
      <c r="N1899" s="27" t="n">
        <f aca="false">N(N1898)+IF(AND(A1899&lt;&gt;"",OR(Recherche!$C$4="",A1899=Recherche!$C$4),OR(Recherche!$C$5="",B1899&amp;""=Recherche!$C$5&amp;""),OR(Recherche!$C$6="",IFERROR(YEAR(L1899),0)=Recherche!$C$6),OR(Recherche!$C$7="",ISNUMBER(SEARCH(Recherche!$C$7,H1899))),OR(Recherche!$C$8="",J1899=Recherche!$C$8),OR(Recherche!$C$9="",I1899=Recherche!$C$9),OR(Recherche!$C$10="",G1899&amp;""=Recherche!$C$10&amp;""),OR(Recherche!$C$11="",E1899=Recherche!$C$11),OR(Recherche!$C$12="",ISNUMBER(SEARCH(Recherche!$C$12,M1899&amp;" "&amp;F1899)))),1,0)</f>
        <v>8</v>
      </c>
    </row>
    <row r="1900" customFormat="false" ht="15" hidden="false" customHeight="false" outlineLevel="0" collapsed="false">
      <c r="A1900" s="19"/>
      <c r="B1900" s="19"/>
      <c r="C1900" s="19"/>
      <c r="D1900" s="19"/>
      <c r="E1900" s="22"/>
      <c r="F1900" s="19"/>
      <c r="G1900" s="26" t="str">
        <f aca="false">IF(D1900="","",IFERROR(VALUE(LEFT(D1900,FIND(" |",D1900&amp;" |")-1)),"?"))</f>
        <v/>
      </c>
      <c r="H1900" s="27" t="str">
        <f aca="false">IF(G1900="","",IF(G1900="?","⚠ pub inconnue",IFERROR(INDEX(Pubs!$B$2:$B$3001,MATCH(G1900,Pubs!$A$2:$A$3001,0))&amp;"","⚠ pub inconnue")))</f>
        <v/>
      </c>
      <c r="I1900" s="27" t="str">
        <f aca="false">IF(OR(G1900="",G1900="?"),"",IFERROR(INDEX(Pubs!$C$2:$C$3001,MATCH(G1900,Pubs!$A$2:$A$3001,0))&amp;"",""))</f>
        <v/>
      </c>
      <c r="J1900" s="27" t="str">
        <f aca="false">IF(OR(G1900="",G1900="?"),"",IFERROR(INDEX(Pubs!$G$2:$G$3001,MATCH(G1900,Pubs!$A$2:$A$3001,0))&amp;"",""))</f>
        <v/>
      </c>
      <c r="K1900" s="28" t="str">
        <f aca="false">IF(OR(G1900="",G1900="?"),"",IFERROR(INDEX(Pubs!$E$2:$E$3001,MATCH(G1900,Pubs!$A$2:$A$3001,0)),""))</f>
        <v/>
      </c>
      <c r="L1900" s="29" t="str">
        <f aca="false">IF(A1900="","",IFERROR(1/(1/INDEX(Numéros!$C$2:$C$3001,MATCH(A1900&amp;"|"&amp;B1900,Numéros!$F$2:$F$3001,0))),""))</f>
        <v/>
      </c>
      <c r="M1900" s="27" t="str">
        <f aca="false">IF(OR(G1900="",G1900="?"),"",IFERROR(INDEX(Pubs!$D$2:$D$3001,MATCH(G1900,Pubs!$A$2:$A$3001,0))&amp;"",""))</f>
        <v/>
      </c>
      <c r="N1900" s="27" t="n">
        <f aca="false">N(N1899)+IF(AND(A1900&lt;&gt;"",OR(Recherche!$C$4="",A1900=Recherche!$C$4),OR(Recherche!$C$5="",B1900&amp;""=Recherche!$C$5&amp;""),OR(Recherche!$C$6="",IFERROR(YEAR(L1900),0)=Recherche!$C$6),OR(Recherche!$C$7="",ISNUMBER(SEARCH(Recherche!$C$7,H1900))),OR(Recherche!$C$8="",J1900=Recherche!$C$8),OR(Recherche!$C$9="",I1900=Recherche!$C$9),OR(Recherche!$C$10="",G1900&amp;""=Recherche!$C$10&amp;""),OR(Recherche!$C$11="",E1900=Recherche!$C$11),OR(Recherche!$C$12="",ISNUMBER(SEARCH(Recherche!$C$12,M1900&amp;" "&amp;F1900)))),1,0)</f>
        <v>8</v>
      </c>
    </row>
    <row r="1901" customFormat="false" ht="15" hidden="false" customHeight="false" outlineLevel="0" collapsed="false">
      <c r="A1901" s="19"/>
      <c r="B1901" s="19"/>
      <c r="C1901" s="19"/>
      <c r="D1901" s="19"/>
      <c r="E1901" s="22"/>
      <c r="F1901" s="19"/>
      <c r="G1901" s="26" t="str">
        <f aca="false">IF(D1901="","",IFERROR(VALUE(LEFT(D1901,FIND(" |",D1901&amp;" |")-1)),"?"))</f>
        <v/>
      </c>
      <c r="H1901" s="27" t="str">
        <f aca="false">IF(G1901="","",IF(G1901="?","⚠ pub inconnue",IFERROR(INDEX(Pubs!$B$2:$B$3001,MATCH(G1901,Pubs!$A$2:$A$3001,0))&amp;"","⚠ pub inconnue")))</f>
        <v/>
      </c>
      <c r="I1901" s="27" t="str">
        <f aca="false">IF(OR(G1901="",G1901="?"),"",IFERROR(INDEX(Pubs!$C$2:$C$3001,MATCH(G1901,Pubs!$A$2:$A$3001,0))&amp;"",""))</f>
        <v/>
      </c>
      <c r="J1901" s="27" t="str">
        <f aca="false">IF(OR(G1901="",G1901="?"),"",IFERROR(INDEX(Pubs!$G$2:$G$3001,MATCH(G1901,Pubs!$A$2:$A$3001,0))&amp;"",""))</f>
        <v/>
      </c>
      <c r="K1901" s="28" t="str">
        <f aca="false">IF(OR(G1901="",G1901="?"),"",IFERROR(INDEX(Pubs!$E$2:$E$3001,MATCH(G1901,Pubs!$A$2:$A$3001,0)),""))</f>
        <v/>
      </c>
      <c r="L1901" s="29" t="str">
        <f aca="false">IF(A1901="","",IFERROR(1/(1/INDEX(Numéros!$C$2:$C$3001,MATCH(A1901&amp;"|"&amp;B1901,Numéros!$F$2:$F$3001,0))),""))</f>
        <v/>
      </c>
      <c r="M1901" s="27" t="str">
        <f aca="false">IF(OR(G1901="",G1901="?"),"",IFERROR(INDEX(Pubs!$D$2:$D$3001,MATCH(G1901,Pubs!$A$2:$A$3001,0))&amp;"",""))</f>
        <v/>
      </c>
      <c r="N1901" s="27" t="n">
        <f aca="false">N(N1900)+IF(AND(A1901&lt;&gt;"",OR(Recherche!$C$4="",A1901=Recherche!$C$4),OR(Recherche!$C$5="",B1901&amp;""=Recherche!$C$5&amp;""),OR(Recherche!$C$6="",IFERROR(YEAR(L1901),0)=Recherche!$C$6),OR(Recherche!$C$7="",ISNUMBER(SEARCH(Recherche!$C$7,H1901))),OR(Recherche!$C$8="",J1901=Recherche!$C$8),OR(Recherche!$C$9="",I1901=Recherche!$C$9),OR(Recherche!$C$10="",G1901&amp;""=Recherche!$C$10&amp;""),OR(Recherche!$C$11="",E1901=Recherche!$C$11),OR(Recherche!$C$12="",ISNUMBER(SEARCH(Recherche!$C$12,M1901&amp;" "&amp;F1901)))),1,0)</f>
        <v>8</v>
      </c>
    </row>
    <row r="1902" customFormat="false" ht="15" hidden="false" customHeight="false" outlineLevel="0" collapsed="false">
      <c r="A1902" s="19"/>
      <c r="B1902" s="19"/>
      <c r="C1902" s="19"/>
      <c r="D1902" s="19"/>
      <c r="E1902" s="22"/>
      <c r="F1902" s="19"/>
      <c r="G1902" s="26" t="str">
        <f aca="false">IF(D1902="","",IFERROR(VALUE(LEFT(D1902,FIND(" |",D1902&amp;" |")-1)),"?"))</f>
        <v/>
      </c>
      <c r="H1902" s="27" t="str">
        <f aca="false">IF(G1902="","",IF(G1902="?","⚠ pub inconnue",IFERROR(INDEX(Pubs!$B$2:$B$3001,MATCH(G1902,Pubs!$A$2:$A$3001,0))&amp;"","⚠ pub inconnue")))</f>
        <v/>
      </c>
      <c r="I1902" s="27" t="str">
        <f aca="false">IF(OR(G1902="",G1902="?"),"",IFERROR(INDEX(Pubs!$C$2:$C$3001,MATCH(G1902,Pubs!$A$2:$A$3001,0))&amp;"",""))</f>
        <v/>
      </c>
      <c r="J1902" s="27" t="str">
        <f aca="false">IF(OR(G1902="",G1902="?"),"",IFERROR(INDEX(Pubs!$G$2:$G$3001,MATCH(G1902,Pubs!$A$2:$A$3001,0))&amp;"",""))</f>
        <v/>
      </c>
      <c r="K1902" s="28" t="str">
        <f aca="false">IF(OR(G1902="",G1902="?"),"",IFERROR(INDEX(Pubs!$E$2:$E$3001,MATCH(G1902,Pubs!$A$2:$A$3001,0)),""))</f>
        <v/>
      </c>
      <c r="L1902" s="29" t="str">
        <f aca="false">IF(A1902="","",IFERROR(1/(1/INDEX(Numéros!$C$2:$C$3001,MATCH(A1902&amp;"|"&amp;B1902,Numéros!$F$2:$F$3001,0))),""))</f>
        <v/>
      </c>
      <c r="M1902" s="27" t="str">
        <f aca="false">IF(OR(G1902="",G1902="?"),"",IFERROR(INDEX(Pubs!$D$2:$D$3001,MATCH(G1902,Pubs!$A$2:$A$3001,0))&amp;"",""))</f>
        <v/>
      </c>
      <c r="N1902" s="27" t="n">
        <f aca="false">N(N1901)+IF(AND(A1902&lt;&gt;"",OR(Recherche!$C$4="",A1902=Recherche!$C$4),OR(Recherche!$C$5="",B1902&amp;""=Recherche!$C$5&amp;""),OR(Recherche!$C$6="",IFERROR(YEAR(L1902),0)=Recherche!$C$6),OR(Recherche!$C$7="",ISNUMBER(SEARCH(Recherche!$C$7,H1902))),OR(Recherche!$C$8="",J1902=Recherche!$C$8),OR(Recherche!$C$9="",I1902=Recherche!$C$9),OR(Recherche!$C$10="",G1902&amp;""=Recherche!$C$10&amp;""),OR(Recherche!$C$11="",E1902=Recherche!$C$11),OR(Recherche!$C$12="",ISNUMBER(SEARCH(Recherche!$C$12,M1902&amp;" "&amp;F1902)))),1,0)</f>
        <v>8</v>
      </c>
    </row>
    <row r="1903" customFormat="false" ht="15" hidden="false" customHeight="false" outlineLevel="0" collapsed="false">
      <c r="A1903" s="19"/>
      <c r="B1903" s="19"/>
      <c r="C1903" s="19"/>
      <c r="D1903" s="19"/>
      <c r="E1903" s="22"/>
      <c r="F1903" s="19"/>
      <c r="G1903" s="26" t="str">
        <f aca="false">IF(D1903="","",IFERROR(VALUE(LEFT(D1903,FIND(" |",D1903&amp;" |")-1)),"?"))</f>
        <v/>
      </c>
      <c r="H1903" s="27" t="str">
        <f aca="false">IF(G1903="","",IF(G1903="?","⚠ pub inconnue",IFERROR(INDEX(Pubs!$B$2:$B$3001,MATCH(G1903,Pubs!$A$2:$A$3001,0))&amp;"","⚠ pub inconnue")))</f>
        <v/>
      </c>
      <c r="I1903" s="27" t="str">
        <f aca="false">IF(OR(G1903="",G1903="?"),"",IFERROR(INDEX(Pubs!$C$2:$C$3001,MATCH(G1903,Pubs!$A$2:$A$3001,0))&amp;"",""))</f>
        <v/>
      </c>
      <c r="J1903" s="27" t="str">
        <f aca="false">IF(OR(G1903="",G1903="?"),"",IFERROR(INDEX(Pubs!$G$2:$G$3001,MATCH(G1903,Pubs!$A$2:$A$3001,0))&amp;"",""))</f>
        <v/>
      </c>
      <c r="K1903" s="28" t="str">
        <f aca="false">IF(OR(G1903="",G1903="?"),"",IFERROR(INDEX(Pubs!$E$2:$E$3001,MATCH(G1903,Pubs!$A$2:$A$3001,0)),""))</f>
        <v/>
      </c>
      <c r="L1903" s="29" t="str">
        <f aca="false">IF(A1903="","",IFERROR(1/(1/INDEX(Numéros!$C$2:$C$3001,MATCH(A1903&amp;"|"&amp;B1903,Numéros!$F$2:$F$3001,0))),""))</f>
        <v/>
      </c>
      <c r="M1903" s="27" t="str">
        <f aca="false">IF(OR(G1903="",G1903="?"),"",IFERROR(INDEX(Pubs!$D$2:$D$3001,MATCH(G1903,Pubs!$A$2:$A$3001,0))&amp;"",""))</f>
        <v/>
      </c>
      <c r="N1903" s="27" t="n">
        <f aca="false">N(N1902)+IF(AND(A1903&lt;&gt;"",OR(Recherche!$C$4="",A1903=Recherche!$C$4),OR(Recherche!$C$5="",B1903&amp;""=Recherche!$C$5&amp;""),OR(Recherche!$C$6="",IFERROR(YEAR(L1903),0)=Recherche!$C$6),OR(Recherche!$C$7="",ISNUMBER(SEARCH(Recherche!$C$7,H1903))),OR(Recherche!$C$8="",J1903=Recherche!$C$8),OR(Recherche!$C$9="",I1903=Recherche!$C$9),OR(Recherche!$C$10="",G1903&amp;""=Recherche!$C$10&amp;""),OR(Recherche!$C$11="",E1903=Recherche!$C$11),OR(Recherche!$C$12="",ISNUMBER(SEARCH(Recherche!$C$12,M1903&amp;" "&amp;F1903)))),1,0)</f>
        <v>8</v>
      </c>
    </row>
    <row r="1904" customFormat="false" ht="15" hidden="false" customHeight="false" outlineLevel="0" collapsed="false">
      <c r="A1904" s="19"/>
      <c r="B1904" s="19"/>
      <c r="C1904" s="19"/>
      <c r="D1904" s="19"/>
      <c r="E1904" s="22"/>
      <c r="F1904" s="19"/>
      <c r="G1904" s="26" t="str">
        <f aca="false">IF(D1904="","",IFERROR(VALUE(LEFT(D1904,FIND(" |",D1904&amp;" |")-1)),"?"))</f>
        <v/>
      </c>
      <c r="H1904" s="27" t="str">
        <f aca="false">IF(G1904="","",IF(G1904="?","⚠ pub inconnue",IFERROR(INDEX(Pubs!$B$2:$B$3001,MATCH(G1904,Pubs!$A$2:$A$3001,0))&amp;"","⚠ pub inconnue")))</f>
        <v/>
      </c>
      <c r="I1904" s="27" t="str">
        <f aca="false">IF(OR(G1904="",G1904="?"),"",IFERROR(INDEX(Pubs!$C$2:$C$3001,MATCH(G1904,Pubs!$A$2:$A$3001,0))&amp;"",""))</f>
        <v/>
      </c>
      <c r="J1904" s="27" t="str">
        <f aca="false">IF(OR(G1904="",G1904="?"),"",IFERROR(INDEX(Pubs!$G$2:$G$3001,MATCH(G1904,Pubs!$A$2:$A$3001,0))&amp;"",""))</f>
        <v/>
      </c>
      <c r="K1904" s="28" t="str">
        <f aca="false">IF(OR(G1904="",G1904="?"),"",IFERROR(INDEX(Pubs!$E$2:$E$3001,MATCH(G1904,Pubs!$A$2:$A$3001,0)),""))</f>
        <v/>
      </c>
      <c r="L1904" s="29" t="str">
        <f aca="false">IF(A1904="","",IFERROR(1/(1/INDEX(Numéros!$C$2:$C$3001,MATCH(A1904&amp;"|"&amp;B1904,Numéros!$F$2:$F$3001,0))),""))</f>
        <v/>
      </c>
      <c r="M1904" s="27" t="str">
        <f aca="false">IF(OR(G1904="",G1904="?"),"",IFERROR(INDEX(Pubs!$D$2:$D$3001,MATCH(G1904,Pubs!$A$2:$A$3001,0))&amp;"",""))</f>
        <v/>
      </c>
      <c r="N1904" s="27" t="n">
        <f aca="false">N(N1903)+IF(AND(A1904&lt;&gt;"",OR(Recherche!$C$4="",A1904=Recherche!$C$4),OR(Recherche!$C$5="",B1904&amp;""=Recherche!$C$5&amp;""),OR(Recherche!$C$6="",IFERROR(YEAR(L1904),0)=Recherche!$C$6),OR(Recherche!$C$7="",ISNUMBER(SEARCH(Recherche!$C$7,H1904))),OR(Recherche!$C$8="",J1904=Recherche!$C$8),OR(Recherche!$C$9="",I1904=Recherche!$C$9),OR(Recherche!$C$10="",G1904&amp;""=Recherche!$C$10&amp;""),OR(Recherche!$C$11="",E1904=Recherche!$C$11),OR(Recherche!$C$12="",ISNUMBER(SEARCH(Recherche!$C$12,M1904&amp;" "&amp;F1904)))),1,0)</f>
        <v>8</v>
      </c>
    </row>
    <row r="1905" customFormat="false" ht="15" hidden="false" customHeight="false" outlineLevel="0" collapsed="false">
      <c r="A1905" s="19"/>
      <c r="B1905" s="19"/>
      <c r="C1905" s="19"/>
      <c r="D1905" s="19"/>
      <c r="E1905" s="22"/>
      <c r="F1905" s="19"/>
      <c r="G1905" s="26" t="str">
        <f aca="false">IF(D1905="","",IFERROR(VALUE(LEFT(D1905,FIND(" |",D1905&amp;" |")-1)),"?"))</f>
        <v/>
      </c>
      <c r="H1905" s="27" t="str">
        <f aca="false">IF(G1905="","",IF(G1905="?","⚠ pub inconnue",IFERROR(INDEX(Pubs!$B$2:$B$3001,MATCH(G1905,Pubs!$A$2:$A$3001,0))&amp;"","⚠ pub inconnue")))</f>
        <v/>
      </c>
      <c r="I1905" s="27" t="str">
        <f aca="false">IF(OR(G1905="",G1905="?"),"",IFERROR(INDEX(Pubs!$C$2:$C$3001,MATCH(G1905,Pubs!$A$2:$A$3001,0))&amp;"",""))</f>
        <v/>
      </c>
      <c r="J1905" s="27" t="str">
        <f aca="false">IF(OR(G1905="",G1905="?"),"",IFERROR(INDEX(Pubs!$G$2:$G$3001,MATCH(G1905,Pubs!$A$2:$A$3001,0))&amp;"",""))</f>
        <v/>
      </c>
      <c r="K1905" s="28" t="str">
        <f aca="false">IF(OR(G1905="",G1905="?"),"",IFERROR(INDEX(Pubs!$E$2:$E$3001,MATCH(G1905,Pubs!$A$2:$A$3001,0)),""))</f>
        <v/>
      </c>
      <c r="L1905" s="29" t="str">
        <f aca="false">IF(A1905="","",IFERROR(1/(1/INDEX(Numéros!$C$2:$C$3001,MATCH(A1905&amp;"|"&amp;B1905,Numéros!$F$2:$F$3001,0))),""))</f>
        <v/>
      </c>
      <c r="M1905" s="27" t="str">
        <f aca="false">IF(OR(G1905="",G1905="?"),"",IFERROR(INDEX(Pubs!$D$2:$D$3001,MATCH(G1905,Pubs!$A$2:$A$3001,0))&amp;"",""))</f>
        <v/>
      </c>
      <c r="N1905" s="27" t="n">
        <f aca="false">N(N1904)+IF(AND(A1905&lt;&gt;"",OR(Recherche!$C$4="",A1905=Recherche!$C$4),OR(Recherche!$C$5="",B1905&amp;""=Recherche!$C$5&amp;""),OR(Recherche!$C$6="",IFERROR(YEAR(L1905),0)=Recherche!$C$6),OR(Recherche!$C$7="",ISNUMBER(SEARCH(Recherche!$C$7,H1905))),OR(Recherche!$C$8="",J1905=Recherche!$C$8),OR(Recherche!$C$9="",I1905=Recherche!$C$9),OR(Recherche!$C$10="",G1905&amp;""=Recherche!$C$10&amp;""),OR(Recherche!$C$11="",E1905=Recherche!$C$11),OR(Recherche!$C$12="",ISNUMBER(SEARCH(Recherche!$C$12,M1905&amp;" "&amp;F1905)))),1,0)</f>
        <v>8</v>
      </c>
    </row>
    <row r="1906" customFormat="false" ht="15" hidden="false" customHeight="false" outlineLevel="0" collapsed="false">
      <c r="A1906" s="19"/>
      <c r="B1906" s="19"/>
      <c r="C1906" s="19"/>
      <c r="D1906" s="19"/>
      <c r="E1906" s="22"/>
      <c r="F1906" s="19"/>
      <c r="G1906" s="26" t="str">
        <f aca="false">IF(D1906="","",IFERROR(VALUE(LEFT(D1906,FIND(" |",D1906&amp;" |")-1)),"?"))</f>
        <v/>
      </c>
      <c r="H1906" s="27" t="str">
        <f aca="false">IF(G1906="","",IF(G1906="?","⚠ pub inconnue",IFERROR(INDEX(Pubs!$B$2:$B$3001,MATCH(G1906,Pubs!$A$2:$A$3001,0))&amp;"","⚠ pub inconnue")))</f>
        <v/>
      </c>
      <c r="I1906" s="27" t="str">
        <f aca="false">IF(OR(G1906="",G1906="?"),"",IFERROR(INDEX(Pubs!$C$2:$C$3001,MATCH(G1906,Pubs!$A$2:$A$3001,0))&amp;"",""))</f>
        <v/>
      </c>
      <c r="J1906" s="27" t="str">
        <f aca="false">IF(OR(G1906="",G1906="?"),"",IFERROR(INDEX(Pubs!$G$2:$G$3001,MATCH(G1906,Pubs!$A$2:$A$3001,0))&amp;"",""))</f>
        <v/>
      </c>
      <c r="K1906" s="28" t="str">
        <f aca="false">IF(OR(G1906="",G1906="?"),"",IFERROR(INDEX(Pubs!$E$2:$E$3001,MATCH(G1906,Pubs!$A$2:$A$3001,0)),""))</f>
        <v/>
      </c>
      <c r="L1906" s="29" t="str">
        <f aca="false">IF(A1906="","",IFERROR(1/(1/INDEX(Numéros!$C$2:$C$3001,MATCH(A1906&amp;"|"&amp;B1906,Numéros!$F$2:$F$3001,0))),""))</f>
        <v/>
      </c>
      <c r="M1906" s="27" t="str">
        <f aca="false">IF(OR(G1906="",G1906="?"),"",IFERROR(INDEX(Pubs!$D$2:$D$3001,MATCH(G1906,Pubs!$A$2:$A$3001,0))&amp;"",""))</f>
        <v/>
      </c>
      <c r="N1906" s="27" t="n">
        <f aca="false">N(N1905)+IF(AND(A1906&lt;&gt;"",OR(Recherche!$C$4="",A1906=Recherche!$C$4),OR(Recherche!$C$5="",B1906&amp;""=Recherche!$C$5&amp;""),OR(Recherche!$C$6="",IFERROR(YEAR(L1906),0)=Recherche!$C$6),OR(Recherche!$C$7="",ISNUMBER(SEARCH(Recherche!$C$7,H1906))),OR(Recherche!$C$8="",J1906=Recherche!$C$8),OR(Recherche!$C$9="",I1906=Recherche!$C$9),OR(Recherche!$C$10="",G1906&amp;""=Recherche!$C$10&amp;""),OR(Recherche!$C$11="",E1906=Recherche!$C$11),OR(Recherche!$C$12="",ISNUMBER(SEARCH(Recherche!$C$12,M1906&amp;" "&amp;F1906)))),1,0)</f>
        <v>8</v>
      </c>
    </row>
    <row r="1907" customFormat="false" ht="15" hidden="false" customHeight="false" outlineLevel="0" collapsed="false">
      <c r="A1907" s="19"/>
      <c r="B1907" s="19"/>
      <c r="C1907" s="19"/>
      <c r="D1907" s="19"/>
      <c r="E1907" s="22"/>
      <c r="F1907" s="19"/>
      <c r="G1907" s="26" t="str">
        <f aca="false">IF(D1907="","",IFERROR(VALUE(LEFT(D1907,FIND(" |",D1907&amp;" |")-1)),"?"))</f>
        <v/>
      </c>
      <c r="H1907" s="27" t="str">
        <f aca="false">IF(G1907="","",IF(G1907="?","⚠ pub inconnue",IFERROR(INDEX(Pubs!$B$2:$B$3001,MATCH(G1907,Pubs!$A$2:$A$3001,0))&amp;"","⚠ pub inconnue")))</f>
        <v/>
      </c>
      <c r="I1907" s="27" t="str">
        <f aca="false">IF(OR(G1907="",G1907="?"),"",IFERROR(INDEX(Pubs!$C$2:$C$3001,MATCH(G1907,Pubs!$A$2:$A$3001,0))&amp;"",""))</f>
        <v/>
      </c>
      <c r="J1907" s="27" t="str">
        <f aca="false">IF(OR(G1907="",G1907="?"),"",IFERROR(INDEX(Pubs!$G$2:$G$3001,MATCH(G1907,Pubs!$A$2:$A$3001,0))&amp;"",""))</f>
        <v/>
      </c>
      <c r="K1907" s="28" t="str">
        <f aca="false">IF(OR(G1907="",G1907="?"),"",IFERROR(INDEX(Pubs!$E$2:$E$3001,MATCH(G1907,Pubs!$A$2:$A$3001,0)),""))</f>
        <v/>
      </c>
      <c r="L1907" s="29" t="str">
        <f aca="false">IF(A1907="","",IFERROR(1/(1/INDEX(Numéros!$C$2:$C$3001,MATCH(A1907&amp;"|"&amp;B1907,Numéros!$F$2:$F$3001,0))),""))</f>
        <v/>
      </c>
      <c r="M1907" s="27" t="str">
        <f aca="false">IF(OR(G1907="",G1907="?"),"",IFERROR(INDEX(Pubs!$D$2:$D$3001,MATCH(G1907,Pubs!$A$2:$A$3001,0))&amp;"",""))</f>
        <v/>
      </c>
      <c r="N1907" s="27" t="n">
        <f aca="false">N(N1906)+IF(AND(A1907&lt;&gt;"",OR(Recherche!$C$4="",A1907=Recherche!$C$4),OR(Recherche!$C$5="",B1907&amp;""=Recherche!$C$5&amp;""),OR(Recherche!$C$6="",IFERROR(YEAR(L1907),0)=Recherche!$C$6),OR(Recherche!$C$7="",ISNUMBER(SEARCH(Recherche!$C$7,H1907))),OR(Recherche!$C$8="",J1907=Recherche!$C$8),OR(Recherche!$C$9="",I1907=Recherche!$C$9),OR(Recherche!$C$10="",G1907&amp;""=Recherche!$C$10&amp;""),OR(Recherche!$C$11="",E1907=Recherche!$C$11),OR(Recherche!$C$12="",ISNUMBER(SEARCH(Recherche!$C$12,M1907&amp;" "&amp;F1907)))),1,0)</f>
        <v>8</v>
      </c>
    </row>
    <row r="1908" customFormat="false" ht="15" hidden="false" customHeight="false" outlineLevel="0" collapsed="false">
      <c r="A1908" s="19"/>
      <c r="B1908" s="19"/>
      <c r="C1908" s="19"/>
      <c r="D1908" s="19"/>
      <c r="E1908" s="22"/>
      <c r="F1908" s="19"/>
      <c r="G1908" s="26" t="str">
        <f aca="false">IF(D1908="","",IFERROR(VALUE(LEFT(D1908,FIND(" |",D1908&amp;" |")-1)),"?"))</f>
        <v/>
      </c>
      <c r="H1908" s="27" t="str">
        <f aca="false">IF(G1908="","",IF(G1908="?","⚠ pub inconnue",IFERROR(INDEX(Pubs!$B$2:$B$3001,MATCH(G1908,Pubs!$A$2:$A$3001,0))&amp;"","⚠ pub inconnue")))</f>
        <v/>
      </c>
      <c r="I1908" s="27" t="str">
        <f aca="false">IF(OR(G1908="",G1908="?"),"",IFERROR(INDEX(Pubs!$C$2:$C$3001,MATCH(G1908,Pubs!$A$2:$A$3001,0))&amp;"",""))</f>
        <v/>
      </c>
      <c r="J1908" s="27" t="str">
        <f aca="false">IF(OR(G1908="",G1908="?"),"",IFERROR(INDEX(Pubs!$G$2:$G$3001,MATCH(G1908,Pubs!$A$2:$A$3001,0))&amp;"",""))</f>
        <v/>
      </c>
      <c r="K1908" s="28" t="str">
        <f aca="false">IF(OR(G1908="",G1908="?"),"",IFERROR(INDEX(Pubs!$E$2:$E$3001,MATCH(G1908,Pubs!$A$2:$A$3001,0)),""))</f>
        <v/>
      </c>
      <c r="L1908" s="29" t="str">
        <f aca="false">IF(A1908="","",IFERROR(1/(1/INDEX(Numéros!$C$2:$C$3001,MATCH(A1908&amp;"|"&amp;B1908,Numéros!$F$2:$F$3001,0))),""))</f>
        <v/>
      </c>
      <c r="M1908" s="27" t="str">
        <f aca="false">IF(OR(G1908="",G1908="?"),"",IFERROR(INDEX(Pubs!$D$2:$D$3001,MATCH(G1908,Pubs!$A$2:$A$3001,0))&amp;"",""))</f>
        <v/>
      </c>
      <c r="N1908" s="27" t="n">
        <f aca="false">N(N1907)+IF(AND(A1908&lt;&gt;"",OR(Recherche!$C$4="",A1908=Recherche!$C$4),OR(Recherche!$C$5="",B1908&amp;""=Recherche!$C$5&amp;""),OR(Recherche!$C$6="",IFERROR(YEAR(L1908),0)=Recherche!$C$6),OR(Recherche!$C$7="",ISNUMBER(SEARCH(Recherche!$C$7,H1908))),OR(Recherche!$C$8="",J1908=Recherche!$C$8),OR(Recherche!$C$9="",I1908=Recherche!$C$9),OR(Recherche!$C$10="",G1908&amp;""=Recherche!$C$10&amp;""),OR(Recherche!$C$11="",E1908=Recherche!$C$11),OR(Recherche!$C$12="",ISNUMBER(SEARCH(Recherche!$C$12,M1908&amp;" "&amp;F1908)))),1,0)</f>
        <v>8</v>
      </c>
    </row>
    <row r="1909" customFormat="false" ht="15" hidden="false" customHeight="false" outlineLevel="0" collapsed="false">
      <c r="A1909" s="19"/>
      <c r="B1909" s="19"/>
      <c r="C1909" s="19"/>
      <c r="D1909" s="19"/>
      <c r="E1909" s="22"/>
      <c r="F1909" s="19"/>
      <c r="G1909" s="26" t="str">
        <f aca="false">IF(D1909="","",IFERROR(VALUE(LEFT(D1909,FIND(" |",D1909&amp;" |")-1)),"?"))</f>
        <v/>
      </c>
      <c r="H1909" s="27" t="str">
        <f aca="false">IF(G1909="","",IF(G1909="?","⚠ pub inconnue",IFERROR(INDEX(Pubs!$B$2:$B$3001,MATCH(G1909,Pubs!$A$2:$A$3001,0))&amp;"","⚠ pub inconnue")))</f>
        <v/>
      </c>
      <c r="I1909" s="27" t="str">
        <f aca="false">IF(OR(G1909="",G1909="?"),"",IFERROR(INDEX(Pubs!$C$2:$C$3001,MATCH(G1909,Pubs!$A$2:$A$3001,0))&amp;"",""))</f>
        <v/>
      </c>
      <c r="J1909" s="27" t="str">
        <f aca="false">IF(OR(G1909="",G1909="?"),"",IFERROR(INDEX(Pubs!$G$2:$G$3001,MATCH(G1909,Pubs!$A$2:$A$3001,0))&amp;"",""))</f>
        <v/>
      </c>
      <c r="K1909" s="28" t="str">
        <f aca="false">IF(OR(G1909="",G1909="?"),"",IFERROR(INDEX(Pubs!$E$2:$E$3001,MATCH(G1909,Pubs!$A$2:$A$3001,0)),""))</f>
        <v/>
      </c>
      <c r="L1909" s="29" t="str">
        <f aca="false">IF(A1909="","",IFERROR(1/(1/INDEX(Numéros!$C$2:$C$3001,MATCH(A1909&amp;"|"&amp;B1909,Numéros!$F$2:$F$3001,0))),""))</f>
        <v/>
      </c>
      <c r="M1909" s="27" t="str">
        <f aca="false">IF(OR(G1909="",G1909="?"),"",IFERROR(INDEX(Pubs!$D$2:$D$3001,MATCH(G1909,Pubs!$A$2:$A$3001,0))&amp;"",""))</f>
        <v/>
      </c>
      <c r="N1909" s="27" t="n">
        <f aca="false">N(N1908)+IF(AND(A1909&lt;&gt;"",OR(Recherche!$C$4="",A1909=Recherche!$C$4),OR(Recherche!$C$5="",B1909&amp;""=Recherche!$C$5&amp;""),OR(Recherche!$C$6="",IFERROR(YEAR(L1909),0)=Recherche!$C$6),OR(Recherche!$C$7="",ISNUMBER(SEARCH(Recherche!$C$7,H1909))),OR(Recherche!$C$8="",J1909=Recherche!$C$8),OR(Recherche!$C$9="",I1909=Recherche!$C$9),OR(Recherche!$C$10="",G1909&amp;""=Recherche!$C$10&amp;""),OR(Recherche!$C$11="",E1909=Recherche!$C$11),OR(Recherche!$C$12="",ISNUMBER(SEARCH(Recherche!$C$12,M1909&amp;" "&amp;F1909)))),1,0)</f>
        <v>8</v>
      </c>
    </row>
    <row r="1910" customFormat="false" ht="15" hidden="false" customHeight="false" outlineLevel="0" collapsed="false">
      <c r="A1910" s="19"/>
      <c r="B1910" s="19"/>
      <c r="C1910" s="19"/>
      <c r="D1910" s="19"/>
      <c r="E1910" s="22"/>
      <c r="F1910" s="19"/>
      <c r="G1910" s="26" t="str">
        <f aca="false">IF(D1910="","",IFERROR(VALUE(LEFT(D1910,FIND(" |",D1910&amp;" |")-1)),"?"))</f>
        <v/>
      </c>
      <c r="H1910" s="27" t="str">
        <f aca="false">IF(G1910="","",IF(G1910="?","⚠ pub inconnue",IFERROR(INDEX(Pubs!$B$2:$B$3001,MATCH(G1910,Pubs!$A$2:$A$3001,0))&amp;"","⚠ pub inconnue")))</f>
        <v/>
      </c>
      <c r="I1910" s="27" t="str">
        <f aca="false">IF(OR(G1910="",G1910="?"),"",IFERROR(INDEX(Pubs!$C$2:$C$3001,MATCH(G1910,Pubs!$A$2:$A$3001,0))&amp;"",""))</f>
        <v/>
      </c>
      <c r="J1910" s="27" t="str">
        <f aca="false">IF(OR(G1910="",G1910="?"),"",IFERROR(INDEX(Pubs!$G$2:$G$3001,MATCH(G1910,Pubs!$A$2:$A$3001,0))&amp;"",""))</f>
        <v/>
      </c>
      <c r="K1910" s="28" t="str">
        <f aca="false">IF(OR(G1910="",G1910="?"),"",IFERROR(INDEX(Pubs!$E$2:$E$3001,MATCH(G1910,Pubs!$A$2:$A$3001,0)),""))</f>
        <v/>
      </c>
      <c r="L1910" s="29" t="str">
        <f aca="false">IF(A1910="","",IFERROR(1/(1/INDEX(Numéros!$C$2:$C$3001,MATCH(A1910&amp;"|"&amp;B1910,Numéros!$F$2:$F$3001,0))),""))</f>
        <v/>
      </c>
      <c r="M1910" s="27" t="str">
        <f aca="false">IF(OR(G1910="",G1910="?"),"",IFERROR(INDEX(Pubs!$D$2:$D$3001,MATCH(G1910,Pubs!$A$2:$A$3001,0))&amp;"",""))</f>
        <v/>
      </c>
      <c r="N1910" s="27" t="n">
        <f aca="false">N(N1909)+IF(AND(A1910&lt;&gt;"",OR(Recherche!$C$4="",A1910=Recherche!$C$4),OR(Recherche!$C$5="",B1910&amp;""=Recherche!$C$5&amp;""),OR(Recherche!$C$6="",IFERROR(YEAR(L1910),0)=Recherche!$C$6),OR(Recherche!$C$7="",ISNUMBER(SEARCH(Recherche!$C$7,H1910))),OR(Recherche!$C$8="",J1910=Recherche!$C$8),OR(Recherche!$C$9="",I1910=Recherche!$C$9),OR(Recherche!$C$10="",G1910&amp;""=Recherche!$C$10&amp;""),OR(Recherche!$C$11="",E1910=Recherche!$C$11),OR(Recherche!$C$12="",ISNUMBER(SEARCH(Recherche!$C$12,M1910&amp;" "&amp;F1910)))),1,0)</f>
        <v>8</v>
      </c>
    </row>
    <row r="1911" customFormat="false" ht="15" hidden="false" customHeight="false" outlineLevel="0" collapsed="false">
      <c r="A1911" s="19"/>
      <c r="B1911" s="19"/>
      <c r="C1911" s="19"/>
      <c r="D1911" s="19"/>
      <c r="E1911" s="22"/>
      <c r="F1911" s="19"/>
      <c r="G1911" s="26" t="str">
        <f aca="false">IF(D1911="","",IFERROR(VALUE(LEFT(D1911,FIND(" |",D1911&amp;" |")-1)),"?"))</f>
        <v/>
      </c>
      <c r="H1911" s="27" t="str">
        <f aca="false">IF(G1911="","",IF(G1911="?","⚠ pub inconnue",IFERROR(INDEX(Pubs!$B$2:$B$3001,MATCH(G1911,Pubs!$A$2:$A$3001,0))&amp;"","⚠ pub inconnue")))</f>
        <v/>
      </c>
      <c r="I1911" s="27" t="str">
        <f aca="false">IF(OR(G1911="",G1911="?"),"",IFERROR(INDEX(Pubs!$C$2:$C$3001,MATCH(G1911,Pubs!$A$2:$A$3001,0))&amp;"",""))</f>
        <v/>
      </c>
      <c r="J1911" s="27" t="str">
        <f aca="false">IF(OR(G1911="",G1911="?"),"",IFERROR(INDEX(Pubs!$G$2:$G$3001,MATCH(G1911,Pubs!$A$2:$A$3001,0))&amp;"",""))</f>
        <v/>
      </c>
      <c r="K1911" s="28" t="str">
        <f aca="false">IF(OR(G1911="",G1911="?"),"",IFERROR(INDEX(Pubs!$E$2:$E$3001,MATCH(G1911,Pubs!$A$2:$A$3001,0)),""))</f>
        <v/>
      </c>
      <c r="L1911" s="29" t="str">
        <f aca="false">IF(A1911="","",IFERROR(1/(1/INDEX(Numéros!$C$2:$C$3001,MATCH(A1911&amp;"|"&amp;B1911,Numéros!$F$2:$F$3001,0))),""))</f>
        <v/>
      </c>
      <c r="M1911" s="27" t="str">
        <f aca="false">IF(OR(G1911="",G1911="?"),"",IFERROR(INDEX(Pubs!$D$2:$D$3001,MATCH(G1911,Pubs!$A$2:$A$3001,0))&amp;"",""))</f>
        <v/>
      </c>
      <c r="N1911" s="27" t="n">
        <f aca="false">N(N1910)+IF(AND(A1911&lt;&gt;"",OR(Recherche!$C$4="",A1911=Recherche!$C$4),OR(Recherche!$C$5="",B1911&amp;""=Recherche!$C$5&amp;""),OR(Recherche!$C$6="",IFERROR(YEAR(L1911),0)=Recherche!$C$6),OR(Recherche!$C$7="",ISNUMBER(SEARCH(Recherche!$C$7,H1911))),OR(Recherche!$C$8="",J1911=Recherche!$C$8),OR(Recherche!$C$9="",I1911=Recherche!$C$9),OR(Recherche!$C$10="",G1911&amp;""=Recherche!$C$10&amp;""),OR(Recherche!$C$11="",E1911=Recherche!$C$11),OR(Recherche!$C$12="",ISNUMBER(SEARCH(Recherche!$C$12,M1911&amp;" "&amp;F1911)))),1,0)</f>
        <v>8</v>
      </c>
    </row>
    <row r="1912" customFormat="false" ht="15" hidden="false" customHeight="false" outlineLevel="0" collapsed="false">
      <c r="A1912" s="19"/>
      <c r="B1912" s="19"/>
      <c r="C1912" s="19"/>
      <c r="D1912" s="19"/>
      <c r="E1912" s="22"/>
      <c r="F1912" s="19"/>
      <c r="G1912" s="26" t="str">
        <f aca="false">IF(D1912="","",IFERROR(VALUE(LEFT(D1912,FIND(" |",D1912&amp;" |")-1)),"?"))</f>
        <v/>
      </c>
      <c r="H1912" s="27" t="str">
        <f aca="false">IF(G1912="","",IF(G1912="?","⚠ pub inconnue",IFERROR(INDEX(Pubs!$B$2:$B$3001,MATCH(G1912,Pubs!$A$2:$A$3001,0))&amp;"","⚠ pub inconnue")))</f>
        <v/>
      </c>
      <c r="I1912" s="27" t="str">
        <f aca="false">IF(OR(G1912="",G1912="?"),"",IFERROR(INDEX(Pubs!$C$2:$C$3001,MATCH(G1912,Pubs!$A$2:$A$3001,0))&amp;"",""))</f>
        <v/>
      </c>
      <c r="J1912" s="27" t="str">
        <f aca="false">IF(OR(G1912="",G1912="?"),"",IFERROR(INDEX(Pubs!$G$2:$G$3001,MATCH(G1912,Pubs!$A$2:$A$3001,0))&amp;"",""))</f>
        <v/>
      </c>
      <c r="K1912" s="28" t="str">
        <f aca="false">IF(OR(G1912="",G1912="?"),"",IFERROR(INDEX(Pubs!$E$2:$E$3001,MATCH(G1912,Pubs!$A$2:$A$3001,0)),""))</f>
        <v/>
      </c>
      <c r="L1912" s="29" t="str">
        <f aca="false">IF(A1912="","",IFERROR(1/(1/INDEX(Numéros!$C$2:$C$3001,MATCH(A1912&amp;"|"&amp;B1912,Numéros!$F$2:$F$3001,0))),""))</f>
        <v/>
      </c>
      <c r="M1912" s="27" t="str">
        <f aca="false">IF(OR(G1912="",G1912="?"),"",IFERROR(INDEX(Pubs!$D$2:$D$3001,MATCH(G1912,Pubs!$A$2:$A$3001,0))&amp;"",""))</f>
        <v/>
      </c>
      <c r="N1912" s="27" t="n">
        <f aca="false">N(N1911)+IF(AND(A1912&lt;&gt;"",OR(Recherche!$C$4="",A1912=Recherche!$C$4),OR(Recherche!$C$5="",B1912&amp;""=Recherche!$C$5&amp;""),OR(Recherche!$C$6="",IFERROR(YEAR(L1912),0)=Recherche!$C$6),OR(Recherche!$C$7="",ISNUMBER(SEARCH(Recherche!$C$7,H1912))),OR(Recherche!$C$8="",J1912=Recherche!$C$8),OR(Recherche!$C$9="",I1912=Recherche!$C$9),OR(Recherche!$C$10="",G1912&amp;""=Recherche!$C$10&amp;""),OR(Recherche!$C$11="",E1912=Recherche!$C$11),OR(Recherche!$C$12="",ISNUMBER(SEARCH(Recherche!$C$12,M1912&amp;" "&amp;F1912)))),1,0)</f>
        <v>8</v>
      </c>
    </row>
    <row r="1913" customFormat="false" ht="15" hidden="false" customHeight="false" outlineLevel="0" collapsed="false">
      <c r="A1913" s="19"/>
      <c r="B1913" s="19"/>
      <c r="C1913" s="19"/>
      <c r="D1913" s="19"/>
      <c r="E1913" s="22"/>
      <c r="F1913" s="19"/>
      <c r="G1913" s="26" t="str">
        <f aca="false">IF(D1913="","",IFERROR(VALUE(LEFT(D1913,FIND(" |",D1913&amp;" |")-1)),"?"))</f>
        <v/>
      </c>
      <c r="H1913" s="27" t="str">
        <f aca="false">IF(G1913="","",IF(G1913="?","⚠ pub inconnue",IFERROR(INDEX(Pubs!$B$2:$B$3001,MATCH(G1913,Pubs!$A$2:$A$3001,0))&amp;"","⚠ pub inconnue")))</f>
        <v/>
      </c>
      <c r="I1913" s="27" t="str">
        <f aca="false">IF(OR(G1913="",G1913="?"),"",IFERROR(INDEX(Pubs!$C$2:$C$3001,MATCH(G1913,Pubs!$A$2:$A$3001,0))&amp;"",""))</f>
        <v/>
      </c>
      <c r="J1913" s="27" t="str">
        <f aca="false">IF(OR(G1913="",G1913="?"),"",IFERROR(INDEX(Pubs!$G$2:$G$3001,MATCH(G1913,Pubs!$A$2:$A$3001,0))&amp;"",""))</f>
        <v/>
      </c>
      <c r="K1913" s="28" t="str">
        <f aca="false">IF(OR(G1913="",G1913="?"),"",IFERROR(INDEX(Pubs!$E$2:$E$3001,MATCH(G1913,Pubs!$A$2:$A$3001,0)),""))</f>
        <v/>
      </c>
      <c r="L1913" s="29" t="str">
        <f aca="false">IF(A1913="","",IFERROR(1/(1/INDEX(Numéros!$C$2:$C$3001,MATCH(A1913&amp;"|"&amp;B1913,Numéros!$F$2:$F$3001,0))),""))</f>
        <v/>
      </c>
      <c r="M1913" s="27" t="str">
        <f aca="false">IF(OR(G1913="",G1913="?"),"",IFERROR(INDEX(Pubs!$D$2:$D$3001,MATCH(G1913,Pubs!$A$2:$A$3001,0))&amp;"",""))</f>
        <v/>
      </c>
      <c r="N1913" s="27" t="n">
        <f aca="false">N(N1912)+IF(AND(A1913&lt;&gt;"",OR(Recherche!$C$4="",A1913=Recherche!$C$4),OR(Recherche!$C$5="",B1913&amp;""=Recherche!$C$5&amp;""),OR(Recherche!$C$6="",IFERROR(YEAR(L1913),0)=Recherche!$C$6),OR(Recherche!$C$7="",ISNUMBER(SEARCH(Recherche!$C$7,H1913))),OR(Recherche!$C$8="",J1913=Recherche!$C$8),OR(Recherche!$C$9="",I1913=Recherche!$C$9),OR(Recherche!$C$10="",G1913&amp;""=Recherche!$C$10&amp;""),OR(Recherche!$C$11="",E1913=Recherche!$C$11),OR(Recherche!$C$12="",ISNUMBER(SEARCH(Recherche!$C$12,M1913&amp;" "&amp;F1913)))),1,0)</f>
        <v>8</v>
      </c>
    </row>
    <row r="1914" customFormat="false" ht="15" hidden="false" customHeight="false" outlineLevel="0" collapsed="false">
      <c r="A1914" s="19"/>
      <c r="B1914" s="19"/>
      <c r="C1914" s="19"/>
      <c r="D1914" s="19"/>
      <c r="E1914" s="22"/>
      <c r="F1914" s="19"/>
      <c r="G1914" s="26" t="str">
        <f aca="false">IF(D1914="","",IFERROR(VALUE(LEFT(D1914,FIND(" |",D1914&amp;" |")-1)),"?"))</f>
        <v/>
      </c>
      <c r="H1914" s="27" t="str">
        <f aca="false">IF(G1914="","",IF(G1914="?","⚠ pub inconnue",IFERROR(INDEX(Pubs!$B$2:$B$3001,MATCH(G1914,Pubs!$A$2:$A$3001,0))&amp;"","⚠ pub inconnue")))</f>
        <v/>
      </c>
      <c r="I1914" s="27" t="str">
        <f aca="false">IF(OR(G1914="",G1914="?"),"",IFERROR(INDEX(Pubs!$C$2:$C$3001,MATCH(G1914,Pubs!$A$2:$A$3001,0))&amp;"",""))</f>
        <v/>
      </c>
      <c r="J1914" s="27" t="str">
        <f aca="false">IF(OR(G1914="",G1914="?"),"",IFERROR(INDEX(Pubs!$G$2:$G$3001,MATCH(G1914,Pubs!$A$2:$A$3001,0))&amp;"",""))</f>
        <v/>
      </c>
      <c r="K1914" s="28" t="str">
        <f aca="false">IF(OR(G1914="",G1914="?"),"",IFERROR(INDEX(Pubs!$E$2:$E$3001,MATCH(G1914,Pubs!$A$2:$A$3001,0)),""))</f>
        <v/>
      </c>
      <c r="L1914" s="29" t="str">
        <f aca="false">IF(A1914="","",IFERROR(1/(1/INDEX(Numéros!$C$2:$C$3001,MATCH(A1914&amp;"|"&amp;B1914,Numéros!$F$2:$F$3001,0))),""))</f>
        <v/>
      </c>
      <c r="M1914" s="27" t="str">
        <f aca="false">IF(OR(G1914="",G1914="?"),"",IFERROR(INDEX(Pubs!$D$2:$D$3001,MATCH(G1914,Pubs!$A$2:$A$3001,0))&amp;"",""))</f>
        <v/>
      </c>
      <c r="N1914" s="27" t="n">
        <f aca="false">N(N1913)+IF(AND(A1914&lt;&gt;"",OR(Recherche!$C$4="",A1914=Recherche!$C$4),OR(Recherche!$C$5="",B1914&amp;""=Recherche!$C$5&amp;""),OR(Recherche!$C$6="",IFERROR(YEAR(L1914),0)=Recherche!$C$6),OR(Recherche!$C$7="",ISNUMBER(SEARCH(Recherche!$C$7,H1914))),OR(Recherche!$C$8="",J1914=Recherche!$C$8),OR(Recherche!$C$9="",I1914=Recherche!$C$9),OR(Recherche!$C$10="",G1914&amp;""=Recherche!$C$10&amp;""),OR(Recherche!$C$11="",E1914=Recherche!$C$11),OR(Recherche!$C$12="",ISNUMBER(SEARCH(Recherche!$C$12,M1914&amp;" "&amp;F1914)))),1,0)</f>
        <v>8</v>
      </c>
    </row>
    <row r="1915" customFormat="false" ht="15" hidden="false" customHeight="false" outlineLevel="0" collapsed="false">
      <c r="A1915" s="19"/>
      <c r="B1915" s="19"/>
      <c r="C1915" s="19"/>
      <c r="D1915" s="19"/>
      <c r="E1915" s="22"/>
      <c r="F1915" s="19"/>
      <c r="G1915" s="26" t="str">
        <f aca="false">IF(D1915="","",IFERROR(VALUE(LEFT(D1915,FIND(" |",D1915&amp;" |")-1)),"?"))</f>
        <v/>
      </c>
      <c r="H1915" s="27" t="str">
        <f aca="false">IF(G1915="","",IF(G1915="?","⚠ pub inconnue",IFERROR(INDEX(Pubs!$B$2:$B$3001,MATCH(G1915,Pubs!$A$2:$A$3001,0))&amp;"","⚠ pub inconnue")))</f>
        <v/>
      </c>
      <c r="I1915" s="27" t="str">
        <f aca="false">IF(OR(G1915="",G1915="?"),"",IFERROR(INDEX(Pubs!$C$2:$C$3001,MATCH(G1915,Pubs!$A$2:$A$3001,0))&amp;"",""))</f>
        <v/>
      </c>
      <c r="J1915" s="27" t="str">
        <f aca="false">IF(OR(G1915="",G1915="?"),"",IFERROR(INDEX(Pubs!$G$2:$G$3001,MATCH(G1915,Pubs!$A$2:$A$3001,0))&amp;"",""))</f>
        <v/>
      </c>
      <c r="K1915" s="28" t="str">
        <f aca="false">IF(OR(G1915="",G1915="?"),"",IFERROR(INDEX(Pubs!$E$2:$E$3001,MATCH(G1915,Pubs!$A$2:$A$3001,0)),""))</f>
        <v/>
      </c>
      <c r="L1915" s="29" t="str">
        <f aca="false">IF(A1915="","",IFERROR(1/(1/INDEX(Numéros!$C$2:$C$3001,MATCH(A1915&amp;"|"&amp;B1915,Numéros!$F$2:$F$3001,0))),""))</f>
        <v/>
      </c>
      <c r="M1915" s="27" t="str">
        <f aca="false">IF(OR(G1915="",G1915="?"),"",IFERROR(INDEX(Pubs!$D$2:$D$3001,MATCH(G1915,Pubs!$A$2:$A$3001,0))&amp;"",""))</f>
        <v/>
      </c>
      <c r="N1915" s="27" t="n">
        <f aca="false">N(N1914)+IF(AND(A1915&lt;&gt;"",OR(Recherche!$C$4="",A1915=Recherche!$C$4),OR(Recherche!$C$5="",B1915&amp;""=Recherche!$C$5&amp;""),OR(Recherche!$C$6="",IFERROR(YEAR(L1915),0)=Recherche!$C$6),OR(Recherche!$C$7="",ISNUMBER(SEARCH(Recherche!$C$7,H1915))),OR(Recherche!$C$8="",J1915=Recherche!$C$8),OR(Recherche!$C$9="",I1915=Recherche!$C$9),OR(Recherche!$C$10="",G1915&amp;""=Recherche!$C$10&amp;""),OR(Recherche!$C$11="",E1915=Recherche!$C$11),OR(Recherche!$C$12="",ISNUMBER(SEARCH(Recherche!$C$12,M1915&amp;" "&amp;F1915)))),1,0)</f>
        <v>8</v>
      </c>
    </row>
    <row r="1916" customFormat="false" ht="15" hidden="false" customHeight="false" outlineLevel="0" collapsed="false">
      <c r="A1916" s="19"/>
      <c r="B1916" s="19"/>
      <c r="C1916" s="19"/>
      <c r="D1916" s="19"/>
      <c r="E1916" s="22"/>
      <c r="F1916" s="19"/>
      <c r="G1916" s="26" t="str">
        <f aca="false">IF(D1916="","",IFERROR(VALUE(LEFT(D1916,FIND(" |",D1916&amp;" |")-1)),"?"))</f>
        <v/>
      </c>
      <c r="H1916" s="27" t="str">
        <f aca="false">IF(G1916="","",IF(G1916="?","⚠ pub inconnue",IFERROR(INDEX(Pubs!$B$2:$B$3001,MATCH(G1916,Pubs!$A$2:$A$3001,0))&amp;"","⚠ pub inconnue")))</f>
        <v/>
      </c>
      <c r="I1916" s="27" t="str">
        <f aca="false">IF(OR(G1916="",G1916="?"),"",IFERROR(INDEX(Pubs!$C$2:$C$3001,MATCH(G1916,Pubs!$A$2:$A$3001,0))&amp;"",""))</f>
        <v/>
      </c>
      <c r="J1916" s="27" t="str">
        <f aca="false">IF(OR(G1916="",G1916="?"),"",IFERROR(INDEX(Pubs!$G$2:$G$3001,MATCH(G1916,Pubs!$A$2:$A$3001,0))&amp;"",""))</f>
        <v/>
      </c>
      <c r="K1916" s="28" t="str">
        <f aca="false">IF(OR(G1916="",G1916="?"),"",IFERROR(INDEX(Pubs!$E$2:$E$3001,MATCH(G1916,Pubs!$A$2:$A$3001,0)),""))</f>
        <v/>
      </c>
      <c r="L1916" s="29" t="str">
        <f aca="false">IF(A1916="","",IFERROR(1/(1/INDEX(Numéros!$C$2:$C$3001,MATCH(A1916&amp;"|"&amp;B1916,Numéros!$F$2:$F$3001,0))),""))</f>
        <v/>
      </c>
      <c r="M1916" s="27" t="str">
        <f aca="false">IF(OR(G1916="",G1916="?"),"",IFERROR(INDEX(Pubs!$D$2:$D$3001,MATCH(G1916,Pubs!$A$2:$A$3001,0))&amp;"",""))</f>
        <v/>
      </c>
      <c r="N1916" s="27" t="n">
        <f aca="false">N(N1915)+IF(AND(A1916&lt;&gt;"",OR(Recherche!$C$4="",A1916=Recherche!$C$4),OR(Recherche!$C$5="",B1916&amp;""=Recherche!$C$5&amp;""),OR(Recherche!$C$6="",IFERROR(YEAR(L1916),0)=Recherche!$C$6),OR(Recherche!$C$7="",ISNUMBER(SEARCH(Recherche!$C$7,H1916))),OR(Recherche!$C$8="",J1916=Recherche!$C$8),OR(Recherche!$C$9="",I1916=Recherche!$C$9),OR(Recherche!$C$10="",G1916&amp;""=Recherche!$C$10&amp;""),OR(Recherche!$C$11="",E1916=Recherche!$C$11),OR(Recherche!$C$12="",ISNUMBER(SEARCH(Recherche!$C$12,M1916&amp;" "&amp;F1916)))),1,0)</f>
        <v>8</v>
      </c>
    </row>
    <row r="1917" customFormat="false" ht="15" hidden="false" customHeight="false" outlineLevel="0" collapsed="false">
      <c r="A1917" s="19"/>
      <c r="B1917" s="19"/>
      <c r="C1917" s="19"/>
      <c r="D1917" s="19"/>
      <c r="E1917" s="22"/>
      <c r="F1917" s="19"/>
      <c r="G1917" s="26" t="str">
        <f aca="false">IF(D1917="","",IFERROR(VALUE(LEFT(D1917,FIND(" |",D1917&amp;" |")-1)),"?"))</f>
        <v/>
      </c>
      <c r="H1917" s="27" t="str">
        <f aca="false">IF(G1917="","",IF(G1917="?","⚠ pub inconnue",IFERROR(INDEX(Pubs!$B$2:$B$3001,MATCH(G1917,Pubs!$A$2:$A$3001,0))&amp;"","⚠ pub inconnue")))</f>
        <v/>
      </c>
      <c r="I1917" s="27" t="str">
        <f aca="false">IF(OR(G1917="",G1917="?"),"",IFERROR(INDEX(Pubs!$C$2:$C$3001,MATCH(G1917,Pubs!$A$2:$A$3001,0))&amp;"",""))</f>
        <v/>
      </c>
      <c r="J1917" s="27" t="str">
        <f aca="false">IF(OR(G1917="",G1917="?"),"",IFERROR(INDEX(Pubs!$G$2:$G$3001,MATCH(G1917,Pubs!$A$2:$A$3001,0))&amp;"",""))</f>
        <v/>
      </c>
      <c r="K1917" s="28" t="str">
        <f aca="false">IF(OR(G1917="",G1917="?"),"",IFERROR(INDEX(Pubs!$E$2:$E$3001,MATCH(G1917,Pubs!$A$2:$A$3001,0)),""))</f>
        <v/>
      </c>
      <c r="L1917" s="29" t="str">
        <f aca="false">IF(A1917="","",IFERROR(1/(1/INDEX(Numéros!$C$2:$C$3001,MATCH(A1917&amp;"|"&amp;B1917,Numéros!$F$2:$F$3001,0))),""))</f>
        <v/>
      </c>
      <c r="M1917" s="27" t="str">
        <f aca="false">IF(OR(G1917="",G1917="?"),"",IFERROR(INDEX(Pubs!$D$2:$D$3001,MATCH(G1917,Pubs!$A$2:$A$3001,0))&amp;"",""))</f>
        <v/>
      </c>
      <c r="N1917" s="27" t="n">
        <f aca="false">N(N1916)+IF(AND(A1917&lt;&gt;"",OR(Recherche!$C$4="",A1917=Recherche!$C$4),OR(Recherche!$C$5="",B1917&amp;""=Recherche!$C$5&amp;""),OR(Recherche!$C$6="",IFERROR(YEAR(L1917),0)=Recherche!$C$6),OR(Recherche!$C$7="",ISNUMBER(SEARCH(Recherche!$C$7,H1917))),OR(Recherche!$C$8="",J1917=Recherche!$C$8),OR(Recherche!$C$9="",I1917=Recherche!$C$9),OR(Recherche!$C$10="",G1917&amp;""=Recherche!$C$10&amp;""),OR(Recherche!$C$11="",E1917=Recherche!$C$11),OR(Recherche!$C$12="",ISNUMBER(SEARCH(Recherche!$C$12,M1917&amp;" "&amp;F1917)))),1,0)</f>
        <v>8</v>
      </c>
    </row>
    <row r="1918" customFormat="false" ht="15" hidden="false" customHeight="false" outlineLevel="0" collapsed="false">
      <c r="A1918" s="19"/>
      <c r="B1918" s="19"/>
      <c r="C1918" s="19"/>
      <c r="D1918" s="19"/>
      <c r="E1918" s="22"/>
      <c r="F1918" s="19"/>
      <c r="G1918" s="26" t="str">
        <f aca="false">IF(D1918="","",IFERROR(VALUE(LEFT(D1918,FIND(" |",D1918&amp;" |")-1)),"?"))</f>
        <v/>
      </c>
      <c r="H1918" s="27" t="str">
        <f aca="false">IF(G1918="","",IF(G1918="?","⚠ pub inconnue",IFERROR(INDEX(Pubs!$B$2:$B$3001,MATCH(G1918,Pubs!$A$2:$A$3001,0))&amp;"","⚠ pub inconnue")))</f>
        <v/>
      </c>
      <c r="I1918" s="27" t="str">
        <f aca="false">IF(OR(G1918="",G1918="?"),"",IFERROR(INDEX(Pubs!$C$2:$C$3001,MATCH(G1918,Pubs!$A$2:$A$3001,0))&amp;"",""))</f>
        <v/>
      </c>
      <c r="J1918" s="27" t="str">
        <f aca="false">IF(OR(G1918="",G1918="?"),"",IFERROR(INDEX(Pubs!$G$2:$G$3001,MATCH(G1918,Pubs!$A$2:$A$3001,0))&amp;"",""))</f>
        <v/>
      </c>
      <c r="K1918" s="28" t="str">
        <f aca="false">IF(OR(G1918="",G1918="?"),"",IFERROR(INDEX(Pubs!$E$2:$E$3001,MATCH(G1918,Pubs!$A$2:$A$3001,0)),""))</f>
        <v/>
      </c>
      <c r="L1918" s="29" t="str">
        <f aca="false">IF(A1918="","",IFERROR(1/(1/INDEX(Numéros!$C$2:$C$3001,MATCH(A1918&amp;"|"&amp;B1918,Numéros!$F$2:$F$3001,0))),""))</f>
        <v/>
      </c>
      <c r="M1918" s="27" t="str">
        <f aca="false">IF(OR(G1918="",G1918="?"),"",IFERROR(INDEX(Pubs!$D$2:$D$3001,MATCH(G1918,Pubs!$A$2:$A$3001,0))&amp;"",""))</f>
        <v/>
      </c>
      <c r="N1918" s="27" t="n">
        <f aca="false">N(N1917)+IF(AND(A1918&lt;&gt;"",OR(Recherche!$C$4="",A1918=Recherche!$C$4),OR(Recherche!$C$5="",B1918&amp;""=Recherche!$C$5&amp;""),OR(Recherche!$C$6="",IFERROR(YEAR(L1918),0)=Recherche!$C$6),OR(Recherche!$C$7="",ISNUMBER(SEARCH(Recherche!$C$7,H1918))),OR(Recherche!$C$8="",J1918=Recherche!$C$8),OR(Recherche!$C$9="",I1918=Recherche!$C$9),OR(Recherche!$C$10="",G1918&amp;""=Recherche!$C$10&amp;""),OR(Recherche!$C$11="",E1918=Recherche!$C$11),OR(Recherche!$C$12="",ISNUMBER(SEARCH(Recherche!$C$12,M1918&amp;" "&amp;F1918)))),1,0)</f>
        <v>8</v>
      </c>
    </row>
    <row r="1919" customFormat="false" ht="15" hidden="false" customHeight="false" outlineLevel="0" collapsed="false">
      <c r="A1919" s="19"/>
      <c r="B1919" s="19"/>
      <c r="C1919" s="19"/>
      <c r="D1919" s="19"/>
      <c r="E1919" s="22"/>
      <c r="F1919" s="19"/>
      <c r="G1919" s="26" t="str">
        <f aca="false">IF(D1919="","",IFERROR(VALUE(LEFT(D1919,FIND(" |",D1919&amp;" |")-1)),"?"))</f>
        <v/>
      </c>
      <c r="H1919" s="27" t="str">
        <f aca="false">IF(G1919="","",IF(G1919="?","⚠ pub inconnue",IFERROR(INDEX(Pubs!$B$2:$B$3001,MATCH(G1919,Pubs!$A$2:$A$3001,0))&amp;"","⚠ pub inconnue")))</f>
        <v/>
      </c>
      <c r="I1919" s="27" t="str">
        <f aca="false">IF(OR(G1919="",G1919="?"),"",IFERROR(INDEX(Pubs!$C$2:$C$3001,MATCH(G1919,Pubs!$A$2:$A$3001,0))&amp;"",""))</f>
        <v/>
      </c>
      <c r="J1919" s="27" t="str">
        <f aca="false">IF(OR(G1919="",G1919="?"),"",IFERROR(INDEX(Pubs!$G$2:$G$3001,MATCH(G1919,Pubs!$A$2:$A$3001,0))&amp;"",""))</f>
        <v/>
      </c>
      <c r="K1919" s="28" t="str">
        <f aca="false">IF(OR(G1919="",G1919="?"),"",IFERROR(INDEX(Pubs!$E$2:$E$3001,MATCH(G1919,Pubs!$A$2:$A$3001,0)),""))</f>
        <v/>
      </c>
      <c r="L1919" s="29" t="str">
        <f aca="false">IF(A1919="","",IFERROR(1/(1/INDEX(Numéros!$C$2:$C$3001,MATCH(A1919&amp;"|"&amp;B1919,Numéros!$F$2:$F$3001,0))),""))</f>
        <v/>
      </c>
      <c r="M1919" s="27" t="str">
        <f aca="false">IF(OR(G1919="",G1919="?"),"",IFERROR(INDEX(Pubs!$D$2:$D$3001,MATCH(G1919,Pubs!$A$2:$A$3001,0))&amp;"",""))</f>
        <v/>
      </c>
      <c r="N1919" s="27" t="n">
        <f aca="false">N(N1918)+IF(AND(A1919&lt;&gt;"",OR(Recherche!$C$4="",A1919=Recherche!$C$4),OR(Recherche!$C$5="",B1919&amp;""=Recherche!$C$5&amp;""),OR(Recherche!$C$6="",IFERROR(YEAR(L1919),0)=Recherche!$C$6),OR(Recherche!$C$7="",ISNUMBER(SEARCH(Recherche!$C$7,H1919))),OR(Recherche!$C$8="",J1919=Recherche!$C$8),OR(Recherche!$C$9="",I1919=Recherche!$C$9),OR(Recherche!$C$10="",G1919&amp;""=Recherche!$C$10&amp;""),OR(Recherche!$C$11="",E1919=Recherche!$C$11),OR(Recherche!$C$12="",ISNUMBER(SEARCH(Recherche!$C$12,M1919&amp;" "&amp;F1919)))),1,0)</f>
        <v>8</v>
      </c>
    </row>
    <row r="1920" customFormat="false" ht="15" hidden="false" customHeight="false" outlineLevel="0" collapsed="false">
      <c r="A1920" s="19"/>
      <c r="B1920" s="19"/>
      <c r="C1920" s="19"/>
      <c r="D1920" s="19"/>
      <c r="E1920" s="22"/>
      <c r="F1920" s="19"/>
      <c r="G1920" s="26" t="str">
        <f aca="false">IF(D1920="","",IFERROR(VALUE(LEFT(D1920,FIND(" |",D1920&amp;" |")-1)),"?"))</f>
        <v/>
      </c>
      <c r="H1920" s="27" t="str">
        <f aca="false">IF(G1920="","",IF(G1920="?","⚠ pub inconnue",IFERROR(INDEX(Pubs!$B$2:$B$3001,MATCH(G1920,Pubs!$A$2:$A$3001,0))&amp;"","⚠ pub inconnue")))</f>
        <v/>
      </c>
      <c r="I1920" s="27" t="str">
        <f aca="false">IF(OR(G1920="",G1920="?"),"",IFERROR(INDEX(Pubs!$C$2:$C$3001,MATCH(G1920,Pubs!$A$2:$A$3001,0))&amp;"",""))</f>
        <v/>
      </c>
      <c r="J1920" s="27" t="str">
        <f aca="false">IF(OR(G1920="",G1920="?"),"",IFERROR(INDEX(Pubs!$G$2:$G$3001,MATCH(G1920,Pubs!$A$2:$A$3001,0))&amp;"",""))</f>
        <v/>
      </c>
      <c r="K1920" s="28" t="str">
        <f aca="false">IF(OR(G1920="",G1920="?"),"",IFERROR(INDEX(Pubs!$E$2:$E$3001,MATCH(G1920,Pubs!$A$2:$A$3001,0)),""))</f>
        <v/>
      </c>
      <c r="L1920" s="29" t="str">
        <f aca="false">IF(A1920="","",IFERROR(1/(1/INDEX(Numéros!$C$2:$C$3001,MATCH(A1920&amp;"|"&amp;B1920,Numéros!$F$2:$F$3001,0))),""))</f>
        <v/>
      </c>
      <c r="M1920" s="27" t="str">
        <f aca="false">IF(OR(G1920="",G1920="?"),"",IFERROR(INDEX(Pubs!$D$2:$D$3001,MATCH(G1920,Pubs!$A$2:$A$3001,0))&amp;"",""))</f>
        <v/>
      </c>
      <c r="N1920" s="27" t="n">
        <f aca="false">N(N1919)+IF(AND(A1920&lt;&gt;"",OR(Recherche!$C$4="",A1920=Recherche!$C$4),OR(Recherche!$C$5="",B1920&amp;""=Recherche!$C$5&amp;""),OR(Recherche!$C$6="",IFERROR(YEAR(L1920),0)=Recherche!$C$6),OR(Recherche!$C$7="",ISNUMBER(SEARCH(Recherche!$C$7,H1920))),OR(Recherche!$C$8="",J1920=Recherche!$C$8),OR(Recherche!$C$9="",I1920=Recherche!$C$9),OR(Recherche!$C$10="",G1920&amp;""=Recherche!$C$10&amp;""),OR(Recherche!$C$11="",E1920=Recherche!$C$11),OR(Recherche!$C$12="",ISNUMBER(SEARCH(Recherche!$C$12,M1920&amp;" "&amp;F1920)))),1,0)</f>
        <v>8</v>
      </c>
    </row>
    <row r="1921" customFormat="false" ht="15" hidden="false" customHeight="false" outlineLevel="0" collapsed="false">
      <c r="A1921" s="19"/>
      <c r="B1921" s="19"/>
      <c r="C1921" s="19"/>
      <c r="D1921" s="19"/>
      <c r="E1921" s="22"/>
      <c r="F1921" s="19"/>
      <c r="G1921" s="26" t="str">
        <f aca="false">IF(D1921="","",IFERROR(VALUE(LEFT(D1921,FIND(" |",D1921&amp;" |")-1)),"?"))</f>
        <v/>
      </c>
      <c r="H1921" s="27" t="str">
        <f aca="false">IF(G1921="","",IF(G1921="?","⚠ pub inconnue",IFERROR(INDEX(Pubs!$B$2:$B$3001,MATCH(G1921,Pubs!$A$2:$A$3001,0))&amp;"","⚠ pub inconnue")))</f>
        <v/>
      </c>
      <c r="I1921" s="27" t="str">
        <f aca="false">IF(OR(G1921="",G1921="?"),"",IFERROR(INDEX(Pubs!$C$2:$C$3001,MATCH(G1921,Pubs!$A$2:$A$3001,0))&amp;"",""))</f>
        <v/>
      </c>
      <c r="J1921" s="27" t="str">
        <f aca="false">IF(OR(G1921="",G1921="?"),"",IFERROR(INDEX(Pubs!$G$2:$G$3001,MATCH(G1921,Pubs!$A$2:$A$3001,0))&amp;"",""))</f>
        <v/>
      </c>
      <c r="K1921" s="28" t="str">
        <f aca="false">IF(OR(G1921="",G1921="?"),"",IFERROR(INDEX(Pubs!$E$2:$E$3001,MATCH(G1921,Pubs!$A$2:$A$3001,0)),""))</f>
        <v/>
      </c>
      <c r="L1921" s="29" t="str">
        <f aca="false">IF(A1921="","",IFERROR(1/(1/INDEX(Numéros!$C$2:$C$3001,MATCH(A1921&amp;"|"&amp;B1921,Numéros!$F$2:$F$3001,0))),""))</f>
        <v/>
      </c>
      <c r="M1921" s="27" t="str">
        <f aca="false">IF(OR(G1921="",G1921="?"),"",IFERROR(INDEX(Pubs!$D$2:$D$3001,MATCH(G1921,Pubs!$A$2:$A$3001,0))&amp;"",""))</f>
        <v/>
      </c>
      <c r="N1921" s="27" t="n">
        <f aca="false">N(N1920)+IF(AND(A1921&lt;&gt;"",OR(Recherche!$C$4="",A1921=Recherche!$C$4),OR(Recherche!$C$5="",B1921&amp;""=Recherche!$C$5&amp;""),OR(Recherche!$C$6="",IFERROR(YEAR(L1921),0)=Recherche!$C$6),OR(Recherche!$C$7="",ISNUMBER(SEARCH(Recherche!$C$7,H1921))),OR(Recherche!$C$8="",J1921=Recherche!$C$8),OR(Recherche!$C$9="",I1921=Recherche!$C$9),OR(Recherche!$C$10="",G1921&amp;""=Recherche!$C$10&amp;""),OR(Recherche!$C$11="",E1921=Recherche!$C$11),OR(Recherche!$C$12="",ISNUMBER(SEARCH(Recherche!$C$12,M1921&amp;" "&amp;F1921)))),1,0)</f>
        <v>8</v>
      </c>
    </row>
    <row r="1922" customFormat="false" ht="15" hidden="false" customHeight="false" outlineLevel="0" collapsed="false">
      <c r="A1922" s="19"/>
      <c r="B1922" s="19"/>
      <c r="C1922" s="19"/>
      <c r="D1922" s="19"/>
      <c r="E1922" s="22"/>
      <c r="F1922" s="19"/>
      <c r="G1922" s="26" t="str">
        <f aca="false">IF(D1922="","",IFERROR(VALUE(LEFT(D1922,FIND(" |",D1922&amp;" |")-1)),"?"))</f>
        <v/>
      </c>
      <c r="H1922" s="27" t="str">
        <f aca="false">IF(G1922="","",IF(G1922="?","⚠ pub inconnue",IFERROR(INDEX(Pubs!$B$2:$B$3001,MATCH(G1922,Pubs!$A$2:$A$3001,0))&amp;"","⚠ pub inconnue")))</f>
        <v/>
      </c>
      <c r="I1922" s="27" t="str">
        <f aca="false">IF(OR(G1922="",G1922="?"),"",IFERROR(INDEX(Pubs!$C$2:$C$3001,MATCH(G1922,Pubs!$A$2:$A$3001,0))&amp;"",""))</f>
        <v/>
      </c>
      <c r="J1922" s="27" t="str">
        <f aca="false">IF(OR(G1922="",G1922="?"),"",IFERROR(INDEX(Pubs!$G$2:$G$3001,MATCH(G1922,Pubs!$A$2:$A$3001,0))&amp;"",""))</f>
        <v/>
      </c>
      <c r="K1922" s="28" t="str">
        <f aca="false">IF(OR(G1922="",G1922="?"),"",IFERROR(INDEX(Pubs!$E$2:$E$3001,MATCH(G1922,Pubs!$A$2:$A$3001,0)),""))</f>
        <v/>
      </c>
      <c r="L1922" s="29" t="str">
        <f aca="false">IF(A1922="","",IFERROR(1/(1/INDEX(Numéros!$C$2:$C$3001,MATCH(A1922&amp;"|"&amp;B1922,Numéros!$F$2:$F$3001,0))),""))</f>
        <v/>
      </c>
      <c r="M1922" s="27" t="str">
        <f aca="false">IF(OR(G1922="",G1922="?"),"",IFERROR(INDEX(Pubs!$D$2:$D$3001,MATCH(G1922,Pubs!$A$2:$A$3001,0))&amp;"",""))</f>
        <v/>
      </c>
      <c r="N1922" s="27" t="n">
        <f aca="false">N(N1921)+IF(AND(A1922&lt;&gt;"",OR(Recherche!$C$4="",A1922=Recherche!$C$4),OR(Recherche!$C$5="",B1922&amp;""=Recherche!$C$5&amp;""),OR(Recherche!$C$6="",IFERROR(YEAR(L1922),0)=Recherche!$C$6),OR(Recherche!$C$7="",ISNUMBER(SEARCH(Recherche!$C$7,H1922))),OR(Recherche!$C$8="",J1922=Recherche!$C$8),OR(Recherche!$C$9="",I1922=Recherche!$C$9),OR(Recherche!$C$10="",G1922&amp;""=Recherche!$C$10&amp;""),OR(Recherche!$C$11="",E1922=Recherche!$C$11),OR(Recherche!$C$12="",ISNUMBER(SEARCH(Recherche!$C$12,M1922&amp;" "&amp;F1922)))),1,0)</f>
        <v>8</v>
      </c>
    </row>
    <row r="1923" customFormat="false" ht="15" hidden="false" customHeight="false" outlineLevel="0" collapsed="false">
      <c r="A1923" s="19"/>
      <c r="B1923" s="19"/>
      <c r="C1923" s="19"/>
      <c r="D1923" s="19"/>
      <c r="E1923" s="22"/>
      <c r="F1923" s="19"/>
      <c r="G1923" s="26" t="str">
        <f aca="false">IF(D1923="","",IFERROR(VALUE(LEFT(D1923,FIND(" |",D1923&amp;" |")-1)),"?"))</f>
        <v/>
      </c>
      <c r="H1923" s="27" t="str">
        <f aca="false">IF(G1923="","",IF(G1923="?","⚠ pub inconnue",IFERROR(INDEX(Pubs!$B$2:$B$3001,MATCH(G1923,Pubs!$A$2:$A$3001,0))&amp;"","⚠ pub inconnue")))</f>
        <v/>
      </c>
      <c r="I1923" s="27" t="str">
        <f aca="false">IF(OR(G1923="",G1923="?"),"",IFERROR(INDEX(Pubs!$C$2:$C$3001,MATCH(G1923,Pubs!$A$2:$A$3001,0))&amp;"",""))</f>
        <v/>
      </c>
      <c r="J1923" s="27" t="str">
        <f aca="false">IF(OR(G1923="",G1923="?"),"",IFERROR(INDEX(Pubs!$G$2:$G$3001,MATCH(G1923,Pubs!$A$2:$A$3001,0))&amp;"",""))</f>
        <v/>
      </c>
      <c r="K1923" s="28" t="str">
        <f aca="false">IF(OR(G1923="",G1923="?"),"",IFERROR(INDEX(Pubs!$E$2:$E$3001,MATCH(G1923,Pubs!$A$2:$A$3001,0)),""))</f>
        <v/>
      </c>
      <c r="L1923" s="29" t="str">
        <f aca="false">IF(A1923="","",IFERROR(1/(1/INDEX(Numéros!$C$2:$C$3001,MATCH(A1923&amp;"|"&amp;B1923,Numéros!$F$2:$F$3001,0))),""))</f>
        <v/>
      </c>
      <c r="M1923" s="27" t="str">
        <f aca="false">IF(OR(G1923="",G1923="?"),"",IFERROR(INDEX(Pubs!$D$2:$D$3001,MATCH(G1923,Pubs!$A$2:$A$3001,0))&amp;"",""))</f>
        <v/>
      </c>
      <c r="N1923" s="27" t="n">
        <f aca="false">N(N1922)+IF(AND(A1923&lt;&gt;"",OR(Recherche!$C$4="",A1923=Recherche!$C$4),OR(Recherche!$C$5="",B1923&amp;""=Recherche!$C$5&amp;""),OR(Recherche!$C$6="",IFERROR(YEAR(L1923),0)=Recherche!$C$6),OR(Recherche!$C$7="",ISNUMBER(SEARCH(Recherche!$C$7,H1923))),OR(Recherche!$C$8="",J1923=Recherche!$C$8),OR(Recherche!$C$9="",I1923=Recherche!$C$9),OR(Recherche!$C$10="",G1923&amp;""=Recherche!$C$10&amp;""),OR(Recherche!$C$11="",E1923=Recherche!$C$11),OR(Recherche!$C$12="",ISNUMBER(SEARCH(Recherche!$C$12,M1923&amp;" "&amp;F1923)))),1,0)</f>
        <v>8</v>
      </c>
    </row>
    <row r="1924" customFormat="false" ht="15" hidden="false" customHeight="false" outlineLevel="0" collapsed="false">
      <c r="A1924" s="19"/>
      <c r="B1924" s="19"/>
      <c r="C1924" s="19"/>
      <c r="D1924" s="19"/>
      <c r="E1924" s="22"/>
      <c r="F1924" s="19"/>
      <c r="G1924" s="26" t="str">
        <f aca="false">IF(D1924="","",IFERROR(VALUE(LEFT(D1924,FIND(" |",D1924&amp;" |")-1)),"?"))</f>
        <v/>
      </c>
      <c r="H1924" s="27" t="str">
        <f aca="false">IF(G1924="","",IF(G1924="?","⚠ pub inconnue",IFERROR(INDEX(Pubs!$B$2:$B$3001,MATCH(G1924,Pubs!$A$2:$A$3001,0))&amp;"","⚠ pub inconnue")))</f>
        <v/>
      </c>
      <c r="I1924" s="27" t="str">
        <f aca="false">IF(OR(G1924="",G1924="?"),"",IFERROR(INDEX(Pubs!$C$2:$C$3001,MATCH(G1924,Pubs!$A$2:$A$3001,0))&amp;"",""))</f>
        <v/>
      </c>
      <c r="J1924" s="27" t="str">
        <f aca="false">IF(OR(G1924="",G1924="?"),"",IFERROR(INDEX(Pubs!$G$2:$G$3001,MATCH(G1924,Pubs!$A$2:$A$3001,0))&amp;"",""))</f>
        <v/>
      </c>
      <c r="K1924" s="28" t="str">
        <f aca="false">IF(OR(G1924="",G1924="?"),"",IFERROR(INDEX(Pubs!$E$2:$E$3001,MATCH(G1924,Pubs!$A$2:$A$3001,0)),""))</f>
        <v/>
      </c>
      <c r="L1924" s="29" t="str">
        <f aca="false">IF(A1924="","",IFERROR(1/(1/INDEX(Numéros!$C$2:$C$3001,MATCH(A1924&amp;"|"&amp;B1924,Numéros!$F$2:$F$3001,0))),""))</f>
        <v/>
      </c>
      <c r="M1924" s="27" t="str">
        <f aca="false">IF(OR(G1924="",G1924="?"),"",IFERROR(INDEX(Pubs!$D$2:$D$3001,MATCH(G1924,Pubs!$A$2:$A$3001,0))&amp;"",""))</f>
        <v/>
      </c>
      <c r="N1924" s="27" t="n">
        <f aca="false">N(N1923)+IF(AND(A1924&lt;&gt;"",OR(Recherche!$C$4="",A1924=Recherche!$C$4),OR(Recherche!$C$5="",B1924&amp;""=Recherche!$C$5&amp;""),OR(Recherche!$C$6="",IFERROR(YEAR(L1924),0)=Recherche!$C$6),OR(Recherche!$C$7="",ISNUMBER(SEARCH(Recherche!$C$7,H1924))),OR(Recherche!$C$8="",J1924=Recherche!$C$8),OR(Recherche!$C$9="",I1924=Recherche!$C$9),OR(Recherche!$C$10="",G1924&amp;""=Recherche!$C$10&amp;""),OR(Recherche!$C$11="",E1924=Recherche!$C$11),OR(Recherche!$C$12="",ISNUMBER(SEARCH(Recherche!$C$12,M1924&amp;" "&amp;F1924)))),1,0)</f>
        <v>8</v>
      </c>
    </row>
    <row r="1925" customFormat="false" ht="15" hidden="false" customHeight="false" outlineLevel="0" collapsed="false">
      <c r="A1925" s="19"/>
      <c r="B1925" s="19"/>
      <c r="C1925" s="19"/>
      <c r="D1925" s="19"/>
      <c r="E1925" s="22"/>
      <c r="F1925" s="19"/>
      <c r="G1925" s="26" t="str">
        <f aca="false">IF(D1925="","",IFERROR(VALUE(LEFT(D1925,FIND(" |",D1925&amp;" |")-1)),"?"))</f>
        <v/>
      </c>
      <c r="H1925" s="27" t="str">
        <f aca="false">IF(G1925="","",IF(G1925="?","⚠ pub inconnue",IFERROR(INDEX(Pubs!$B$2:$B$3001,MATCH(G1925,Pubs!$A$2:$A$3001,0))&amp;"","⚠ pub inconnue")))</f>
        <v/>
      </c>
      <c r="I1925" s="27" t="str">
        <f aca="false">IF(OR(G1925="",G1925="?"),"",IFERROR(INDEX(Pubs!$C$2:$C$3001,MATCH(G1925,Pubs!$A$2:$A$3001,0))&amp;"",""))</f>
        <v/>
      </c>
      <c r="J1925" s="27" t="str">
        <f aca="false">IF(OR(G1925="",G1925="?"),"",IFERROR(INDEX(Pubs!$G$2:$G$3001,MATCH(G1925,Pubs!$A$2:$A$3001,0))&amp;"",""))</f>
        <v/>
      </c>
      <c r="K1925" s="28" t="str">
        <f aca="false">IF(OR(G1925="",G1925="?"),"",IFERROR(INDEX(Pubs!$E$2:$E$3001,MATCH(G1925,Pubs!$A$2:$A$3001,0)),""))</f>
        <v/>
      </c>
      <c r="L1925" s="29" t="str">
        <f aca="false">IF(A1925="","",IFERROR(1/(1/INDEX(Numéros!$C$2:$C$3001,MATCH(A1925&amp;"|"&amp;B1925,Numéros!$F$2:$F$3001,0))),""))</f>
        <v/>
      </c>
      <c r="M1925" s="27" t="str">
        <f aca="false">IF(OR(G1925="",G1925="?"),"",IFERROR(INDEX(Pubs!$D$2:$D$3001,MATCH(G1925,Pubs!$A$2:$A$3001,0))&amp;"",""))</f>
        <v/>
      </c>
      <c r="N1925" s="27" t="n">
        <f aca="false">N(N1924)+IF(AND(A1925&lt;&gt;"",OR(Recherche!$C$4="",A1925=Recherche!$C$4),OR(Recherche!$C$5="",B1925&amp;""=Recherche!$C$5&amp;""),OR(Recherche!$C$6="",IFERROR(YEAR(L1925),0)=Recherche!$C$6),OR(Recherche!$C$7="",ISNUMBER(SEARCH(Recherche!$C$7,H1925))),OR(Recherche!$C$8="",J1925=Recherche!$C$8),OR(Recherche!$C$9="",I1925=Recherche!$C$9),OR(Recherche!$C$10="",G1925&amp;""=Recherche!$C$10&amp;""),OR(Recherche!$C$11="",E1925=Recherche!$C$11),OR(Recherche!$C$12="",ISNUMBER(SEARCH(Recherche!$C$12,M1925&amp;" "&amp;F1925)))),1,0)</f>
        <v>8</v>
      </c>
    </row>
    <row r="1926" customFormat="false" ht="15" hidden="false" customHeight="false" outlineLevel="0" collapsed="false">
      <c r="A1926" s="19"/>
      <c r="B1926" s="19"/>
      <c r="C1926" s="19"/>
      <c r="D1926" s="19"/>
      <c r="E1926" s="22"/>
      <c r="F1926" s="19"/>
      <c r="G1926" s="26" t="str">
        <f aca="false">IF(D1926="","",IFERROR(VALUE(LEFT(D1926,FIND(" |",D1926&amp;" |")-1)),"?"))</f>
        <v/>
      </c>
      <c r="H1926" s="27" t="str">
        <f aca="false">IF(G1926="","",IF(G1926="?","⚠ pub inconnue",IFERROR(INDEX(Pubs!$B$2:$B$3001,MATCH(G1926,Pubs!$A$2:$A$3001,0))&amp;"","⚠ pub inconnue")))</f>
        <v/>
      </c>
      <c r="I1926" s="27" t="str">
        <f aca="false">IF(OR(G1926="",G1926="?"),"",IFERROR(INDEX(Pubs!$C$2:$C$3001,MATCH(G1926,Pubs!$A$2:$A$3001,0))&amp;"",""))</f>
        <v/>
      </c>
      <c r="J1926" s="27" t="str">
        <f aca="false">IF(OR(G1926="",G1926="?"),"",IFERROR(INDEX(Pubs!$G$2:$G$3001,MATCH(G1926,Pubs!$A$2:$A$3001,0))&amp;"",""))</f>
        <v/>
      </c>
      <c r="K1926" s="28" t="str">
        <f aca="false">IF(OR(G1926="",G1926="?"),"",IFERROR(INDEX(Pubs!$E$2:$E$3001,MATCH(G1926,Pubs!$A$2:$A$3001,0)),""))</f>
        <v/>
      </c>
      <c r="L1926" s="29" t="str">
        <f aca="false">IF(A1926="","",IFERROR(1/(1/INDEX(Numéros!$C$2:$C$3001,MATCH(A1926&amp;"|"&amp;B1926,Numéros!$F$2:$F$3001,0))),""))</f>
        <v/>
      </c>
      <c r="M1926" s="27" t="str">
        <f aca="false">IF(OR(G1926="",G1926="?"),"",IFERROR(INDEX(Pubs!$D$2:$D$3001,MATCH(G1926,Pubs!$A$2:$A$3001,0))&amp;"",""))</f>
        <v/>
      </c>
      <c r="N1926" s="27" t="n">
        <f aca="false">N(N1925)+IF(AND(A1926&lt;&gt;"",OR(Recherche!$C$4="",A1926=Recherche!$C$4),OR(Recherche!$C$5="",B1926&amp;""=Recherche!$C$5&amp;""),OR(Recherche!$C$6="",IFERROR(YEAR(L1926),0)=Recherche!$C$6),OR(Recherche!$C$7="",ISNUMBER(SEARCH(Recherche!$C$7,H1926))),OR(Recherche!$C$8="",J1926=Recherche!$C$8),OR(Recherche!$C$9="",I1926=Recherche!$C$9),OR(Recherche!$C$10="",G1926&amp;""=Recherche!$C$10&amp;""),OR(Recherche!$C$11="",E1926=Recherche!$C$11),OR(Recherche!$C$12="",ISNUMBER(SEARCH(Recherche!$C$12,M1926&amp;" "&amp;F1926)))),1,0)</f>
        <v>8</v>
      </c>
    </row>
    <row r="1927" customFormat="false" ht="15" hidden="false" customHeight="false" outlineLevel="0" collapsed="false">
      <c r="A1927" s="19"/>
      <c r="B1927" s="19"/>
      <c r="C1927" s="19"/>
      <c r="D1927" s="19"/>
      <c r="E1927" s="22"/>
      <c r="F1927" s="19"/>
      <c r="G1927" s="26" t="str">
        <f aca="false">IF(D1927="","",IFERROR(VALUE(LEFT(D1927,FIND(" |",D1927&amp;" |")-1)),"?"))</f>
        <v/>
      </c>
      <c r="H1927" s="27" t="str">
        <f aca="false">IF(G1927="","",IF(G1927="?","⚠ pub inconnue",IFERROR(INDEX(Pubs!$B$2:$B$3001,MATCH(G1927,Pubs!$A$2:$A$3001,0))&amp;"","⚠ pub inconnue")))</f>
        <v/>
      </c>
      <c r="I1927" s="27" t="str">
        <f aca="false">IF(OR(G1927="",G1927="?"),"",IFERROR(INDEX(Pubs!$C$2:$C$3001,MATCH(G1927,Pubs!$A$2:$A$3001,0))&amp;"",""))</f>
        <v/>
      </c>
      <c r="J1927" s="27" t="str">
        <f aca="false">IF(OR(G1927="",G1927="?"),"",IFERROR(INDEX(Pubs!$G$2:$G$3001,MATCH(G1927,Pubs!$A$2:$A$3001,0))&amp;"",""))</f>
        <v/>
      </c>
      <c r="K1927" s="28" t="str">
        <f aca="false">IF(OR(G1927="",G1927="?"),"",IFERROR(INDEX(Pubs!$E$2:$E$3001,MATCH(G1927,Pubs!$A$2:$A$3001,0)),""))</f>
        <v/>
      </c>
      <c r="L1927" s="29" t="str">
        <f aca="false">IF(A1927="","",IFERROR(1/(1/INDEX(Numéros!$C$2:$C$3001,MATCH(A1927&amp;"|"&amp;B1927,Numéros!$F$2:$F$3001,0))),""))</f>
        <v/>
      </c>
      <c r="M1927" s="27" t="str">
        <f aca="false">IF(OR(G1927="",G1927="?"),"",IFERROR(INDEX(Pubs!$D$2:$D$3001,MATCH(G1927,Pubs!$A$2:$A$3001,0))&amp;"",""))</f>
        <v/>
      </c>
      <c r="N1927" s="27" t="n">
        <f aca="false">N(N1926)+IF(AND(A1927&lt;&gt;"",OR(Recherche!$C$4="",A1927=Recherche!$C$4),OR(Recherche!$C$5="",B1927&amp;""=Recherche!$C$5&amp;""),OR(Recherche!$C$6="",IFERROR(YEAR(L1927),0)=Recherche!$C$6),OR(Recherche!$C$7="",ISNUMBER(SEARCH(Recherche!$C$7,H1927))),OR(Recherche!$C$8="",J1927=Recherche!$C$8),OR(Recherche!$C$9="",I1927=Recherche!$C$9),OR(Recherche!$C$10="",G1927&amp;""=Recherche!$C$10&amp;""),OR(Recherche!$C$11="",E1927=Recherche!$C$11),OR(Recherche!$C$12="",ISNUMBER(SEARCH(Recherche!$C$12,M1927&amp;" "&amp;F1927)))),1,0)</f>
        <v>8</v>
      </c>
    </row>
    <row r="1928" customFormat="false" ht="15" hidden="false" customHeight="false" outlineLevel="0" collapsed="false">
      <c r="A1928" s="19"/>
      <c r="B1928" s="19"/>
      <c r="C1928" s="19"/>
      <c r="D1928" s="19"/>
      <c r="E1928" s="22"/>
      <c r="F1928" s="19"/>
      <c r="G1928" s="26" t="str">
        <f aca="false">IF(D1928="","",IFERROR(VALUE(LEFT(D1928,FIND(" |",D1928&amp;" |")-1)),"?"))</f>
        <v/>
      </c>
      <c r="H1928" s="27" t="str">
        <f aca="false">IF(G1928="","",IF(G1928="?","⚠ pub inconnue",IFERROR(INDEX(Pubs!$B$2:$B$3001,MATCH(G1928,Pubs!$A$2:$A$3001,0))&amp;"","⚠ pub inconnue")))</f>
        <v/>
      </c>
      <c r="I1928" s="27" t="str">
        <f aca="false">IF(OR(G1928="",G1928="?"),"",IFERROR(INDEX(Pubs!$C$2:$C$3001,MATCH(G1928,Pubs!$A$2:$A$3001,0))&amp;"",""))</f>
        <v/>
      </c>
      <c r="J1928" s="27" t="str">
        <f aca="false">IF(OR(G1928="",G1928="?"),"",IFERROR(INDEX(Pubs!$G$2:$G$3001,MATCH(G1928,Pubs!$A$2:$A$3001,0))&amp;"",""))</f>
        <v/>
      </c>
      <c r="K1928" s="28" t="str">
        <f aca="false">IF(OR(G1928="",G1928="?"),"",IFERROR(INDEX(Pubs!$E$2:$E$3001,MATCH(G1928,Pubs!$A$2:$A$3001,0)),""))</f>
        <v/>
      </c>
      <c r="L1928" s="29" t="str">
        <f aca="false">IF(A1928="","",IFERROR(1/(1/INDEX(Numéros!$C$2:$C$3001,MATCH(A1928&amp;"|"&amp;B1928,Numéros!$F$2:$F$3001,0))),""))</f>
        <v/>
      </c>
      <c r="M1928" s="27" t="str">
        <f aca="false">IF(OR(G1928="",G1928="?"),"",IFERROR(INDEX(Pubs!$D$2:$D$3001,MATCH(G1928,Pubs!$A$2:$A$3001,0))&amp;"",""))</f>
        <v/>
      </c>
      <c r="N1928" s="27" t="n">
        <f aca="false">N(N1927)+IF(AND(A1928&lt;&gt;"",OR(Recherche!$C$4="",A1928=Recherche!$C$4),OR(Recherche!$C$5="",B1928&amp;""=Recherche!$C$5&amp;""),OR(Recherche!$C$6="",IFERROR(YEAR(L1928),0)=Recherche!$C$6),OR(Recherche!$C$7="",ISNUMBER(SEARCH(Recherche!$C$7,H1928))),OR(Recherche!$C$8="",J1928=Recherche!$C$8),OR(Recherche!$C$9="",I1928=Recherche!$C$9),OR(Recherche!$C$10="",G1928&amp;""=Recherche!$C$10&amp;""),OR(Recherche!$C$11="",E1928=Recherche!$C$11),OR(Recherche!$C$12="",ISNUMBER(SEARCH(Recherche!$C$12,M1928&amp;" "&amp;F1928)))),1,0)</f>
        <v>8</v>
      </c>
    </row>
    <row r="1929" customFormat="false" ht="15" hidden="false" customHeight="false" outlineLevel="0" collapsed="false">
      <c r="A1929" s="19"/>
      <c r="B1929" s="19"/>
      <c r="C1929" s="19"/>
      <c r="D1929" s="19"/>
      <c r="E1929" s="22"/>
      <c r="F1929" s="19"/>
      <c r="G1929" s="26" t="str">
        <f aca="false">IF(D1929="","",IFERROR(VALUE(LEFT(D1929,FIND(" |",D1929&amp;" |")-1)),"?"))</f>
        <v/>
      </c>
      <c r="H1929" s="27" t="str">
        <f aca="false">IF(G1929="","",IF(G1929="?","⚠ pub inconnue",IFERROR(INDEX(Pubs!$B$2:$B$3001,MATCH(G1929,Pubs!$A$2:$A$3001,0))&amp;"","⚠ pub inconnue")))</f>
        <v/>
      </c>
      <c r="I1929" s="27" t="str">
        <f aca="false">IF(OR(G1929="",G1929="?"),"",IFERROR(INDEX(Pubs!$C$2:$C$3001,MATCH(G1929,Pubs!$A$2:$A$3001,0))&amp;"",""))</f>
        <v/>
      </c>
      <c r="J1929" s="27" t="str">
        <f aca="false">IF(OR(G1929="",G1929="?"),"",IFERROR(INDEX(Pubs!$G$2:$G$3001,MATCH(G1929,Pubs!$A$2:$A$3001,0))&amp;"",""))</f>
        <v/>
      </c>
      <c r="K1929" s="28" t="str">
        <f aca="false">IF(OR(G1929="",G1929="?"),"",IFERROR(INDEX(Pubs!$E$2:$E$3001,MATCH(G1929,Pubs!$A$2:$A$3001,0)),""))</f>
        <v/>
      </c>
      <c r="L1929" s="29" t="str">
        <f aca="false">IF(A1929="","",IFERROR(1/(1/INDEX(Numéros!$C$2:$C$3001,MATCH(A1929&amp;"|"&amp;B1929,Numéros!$F$2:$F$3001,0))),""))</f>
        <v/>
      </c>
      <c r="M1929" s="27" t="str">
        <f aca="false">IF(OR(G1929="",G1929="?"),"",IFERROR(INDEX(Pubs!$D$2:$D$3001,MATCH(G1929,Pubs!$A$2:$A$3001,0))&amp;"",""))</f>
        <v/>
      </c>
      <c r="N1929" s="27" t="n">
        <f aca="false">N(N1928)+IF(AND(A1929&lt;&gt;"",OR(Recherche!$C$4="",A1929=Recherche!$C$4),OR(Recherche!$C$5="",B1929&amp;""=Recherche!$C$5&amp;""),OR(Recherche!$C$6="",IFERROR(YEAR(L1929),0)=Recherche!$C$6),OR(Recherche!$C$7="",ISNUMBER(SEARCH(Recherche!$C$7,H1929))),OR(Recherche!$C$8="",J1929=Recherche!$C$8),OR(Recherche!$C$9="",I1929=Recherche!$C$9),OR(Recherche!$C$10="",G1929&amp;""=Recherche!$C$10&amp;""),OR(Recherche!$C$11="",E1929=Recherche!$C$11),OR(Recherche!$C$12="",ISNUMBER(SEARCH(Recherche!$C$12,M1929&amp;" "&amp;F1929)))),1,0)</f>
        <v>8</v>
      </c>
    </row>
    <row r="1930" customFormat="false" ht="15" hidden="false" customHeight="false" outlineLevel="0" collapsed="false">
      <c r="A1930" s="19"/>
      <c r="B1930" s="19"/>
      <c r="C1930" s="19"/>
      <c r="D1930" s="19"/>
      <c r="E1930" s="22"/>
      <c r="F1930" s="19"/>
      <c r="G1930" s="26" t="str">
        <f aca="false">IF(D1930="","",IFERROR(VALUE(LEFT(D1930,FIND(" |",D1930&amp;" |")-1)),"?"))</f>
        <v/>
      </c>
      <c r="H1930" s="27" t="str">
        <f aca="false">IF(G1930="","",IF(G1930="?","⚠ pub inconnue",IFERROR(INDEX(Pubs!$B$2:$B$3001,MATCH(G1930,Pubs!$A$2:$A$3001,0))&amp;"","⚠ pub inconnue")))</f>
        <v/>
      </c>
      <c r="I1930" s="27" t="str">
        <f aca="false">IF(OR(G1930="",G1930="?"),"",IFERROR(INDEX(Pubs!$C$2:$C$3001,MATCH(G1930,Pubs!$A$2:$A$3001,0))&amp;"",""))</f>
        <v/>
      </c>
      <c r="J1930" s="27" t="str">
        <f aca="false">IF(OR(G1930="",G1930="?"),"",IFERROR(INDEX(Pubs!$G$2:$G$3001,MATCH(G1930,Pubs!$A$2:$A$3001,0))&amp;"",""))</f>
        <v/>
      </c>
      <c r="K1930" s="28" t="str">
        <f aca="false">IF(OR(G1930="",G1930="?"),"",IFERROR(INDEX(Pubs!$E$2:$E$3001,MATCH(G1930,Pubs!$A$2:$A$3001,0)),""))</f>
        <v/>
      </c>
      <c r="L1930" s="29" t="str">
        <f aca="false">IF(A1930="","",IFERROR(1/(1/INDEX(Numéros!$C$2:$C$3001,MATCH(A1930&amp;"|"&amp;B1930,Numéros!$F$2:$F$3001,0))),""))</f>
        <v/>
      </c>
      <c r="M1930" s="27" t="str">
        <f aca="false">IF(OR(G1930="",G1930="?"),"",IFERROR(INDEX(Pubs!$D$2:$D$3001,MATCH(G1930,Pubs!$A$2:$A$3001,0))&amp;"",""))</f>
        <v/>
      </c>
      <c r="N1930" s="27" t="n">
        <f aca="false">N(N1929)+IF(AND(A1930&lt;&gt;"",OR(Recherche!$C$4="",A1930=Recherche!$C$4),OR(Recherche!$C$5="",B1930&amp;""=Recherche!$C$5&amp;""),OR(Recherche!$C$6="",IFERROR(YEAR(L1930),0)=Recherche!$C$6),OR(Recherche!$C$7="",ISNUMBER(SEARCH(Recherche!$C$7,H1930))),OR(Recherche!$C$8="",J1930=Recherche!$C$8),OR(Recherche!$C$9="",I1930=Recherche!$C$9),OR(Recherche!$C$10="",G1930&amp;""=Recherche!$C$10&amp;""),OR(Recherche!$C$11="",E1930=Recherche!$C$11),OR(Recherche!$C$12="",ISNUMBER(SEARCH(Recherche!$C$12,M1930&amp;" "&amp;F1930)))),1,0)</f>
        <v>8</v>
      </c>
    </row>
    <row r="1931" customFormat="false" ht="15" hidden="false" customHeight="false" outlineLevel="0" collapsed="false">
      <c r="A1931" s="19"/>
      <c r="B1931" s="19"/>
      <c r="C1931" s="19"/>
      <c r="D1931" s="19"/>
      <c r="E1931" s="22"/>
      <c r="F1931" s="19"/>
      <c r="G1931" s="26" t="str">
        <f aca="false">IF(D1931="","",IFERROR(VALUE(LEFT(D1931,FIND(" |",D1931&amp;" |")-1)),"?"))</f>
        <v/>
      </c>
      <c r="H1931" s="27" t="str">
        <f aca="false">IF(G1931="","",IF(G1931="?","⚠ pub inconnue",IFERROR(INDEX(Pubs!$B$2:$B$3001,MATCH(G1931,Pubs!$A$2:$A$3001,0))&amp;"","⚠ pub inconnue")))</f>
        <v/>
      </c>
      <c r="I1931" s="27" t="str">
        <f aca="false">IF(OR(G1931="",G1931="?"),"",IFERROR(INDEX(Pubs!$C$2:$C$3001,MATCH(G1931,Pubs!$A$2:$A$3001,0))&amp;"",""))</f>
        <v/>
      </c>
      <c r="J1931" s="27" t="str">
        <f aca="false">IF(OR(G1931="",G1931="?"),"",IFERROR(INDEX(Pubs!$G$2:$G$3001,MATCH(G1931,Pubs!$A$2:$A$3001,0))&amp;"",""))</f>
        <v/>
      </c>
      <c r="K1931" s="28" t="str">
        <f aca="false">IF(OR(G1931="",G1931="?"),"",IFERROR(INDEX(Pubs!$E$2:$E$3001,MATCH(G1931,Pubs!$A$2:$A$3001,0)),""))</f>
        <v/>
      </c>
      <c r="L1931" s="29" t="str">
        <f aca="false">IF(A1931="","",IFERROR(1/(1/INDEX(Numéros!$C$2:$C$3001,MATCH(A1931&amp;"|"&amp;B1931,Numéros!$F$2:$F$3001,0))),""))</f>
        <v/>
      </c>
      <c r="M1931" s="27" t="str">
        <f aca="false">IF(OR(G1931="",G1931="?"),"",IFERROR(INDEX(Pubs!$D$2:$D$3001,MATCH(G1931,Pubs!$A$2:$A$3001,0))&amp;"",""))</f>
        <v/>
      </c>
      <c r="N1931" s="27" t="n">
        <f aca="false">N(N1930)+IF(AND(A1931&lt;&gt;"",OR(Recherche!$C$4="",A1931=Recherche!$C$4),OR(Recherche!$C$5="",B1931&amp;""=Recherche!$C$5&amp;""),OR(Recherche!$C$6="",IFERROR(YEAR(L1931),0)=Recherche!$C$6),OR(Recherche!$C$7="",ISNUMBER(SEARCH(Recherche!$C$7,H1931))),OR(Recherche!$C$8="",J1931=Recherche!$C$8),OR(Recherche!$C$9="",I1931=Recherche!$C$9),OR(Recherche!$C$10="",G1931&amp;""=Recherche!$C$10&amp;""),OR(Recherche!$C$11="",E1931=Recherche!$C$11),OR(Recherche!$C$12="",ISNUMBER(SEARCH(Recherche!$C$12,M1931&amp;" "&amp;F1931)))),1,0)</f>
        <v>8</v>
      </c>
    </row>
    <row r="1932" customFormat="false" ht="15" hidden="false" customHeight="false" outlineLevel="0" collapsed="false">
      <c r="A1932" s="19"/>
      <c r="B1932" s="19"/>
      <c r="C1932" s="19"/>
      <c r="D1932" s="19"/>
      <c r="E1932" s="22"/>
      <c r="F1932" s="19"/>
      <c r="G1932" s="26" t="str">
        <f aca="false">IF(D1932="","",IFERROR(VALUE(LEFT(D1932,FIND(" |",D1932&amp;" |")-1)),"?"))</f>
        <v/>
      </c>
      <c r="H1932" s="27" t="str">
        <f aca="false">IF(G1932="","",IF(G1932="?","⚠ pub inconnue",IFERROR(INDEX(Pubs!$B$2:$B$3001,MATCH(G1932,Pubs!$A$2:$A$3001,0))&amp;"","⚠ pub inconnue")))</f>
        <v/>
      </c>
      <c r="I1932" s="27" t="str">
        <f aca="false">IF(OR(G1932="",G1932="?"),"",IFERROR(INDEX(Pubs!$C$2:$C$3001,MATCH(G1932,Pubs!$A$2:$A$3001,0))&amp;"",""))</f>
        <v/>
      </c>
      <c r="J1932" s="27" t="str">
        <f aca="false">IF(OR(G1932="",G1932="?"),"",IFERROR(INDEX(Pubs!$G$2:$G$3001,MATCH(G1932,Pubs!$A$2:$A$3001,0))&amp;"",""))</f>
        <v/>
      </c>
      <c r="K1932" s="28" t="str">
        <f aca="false">IF(OR(G1932="",G1932="?"),"",IFERROR(INDEX(Pubs!$E$2:$E$3001,MATCH(G1932,Pubs!$A$2:$A$3001,0)),""))</f>
        <v/>
      </c>
      <c r="L1932" s="29" t="str">
        <f aca="false">IF(A1932="","",IFERROR(1/(1/INDEX(Numéros!$C$2:$C$3001,MATCH(A1932&amp;"|"&amp;B1932,Numéros!$F$2:$F$3001,0))),""))</f>
        <v/>
      </c>
      <c r="M1932" s="27" t="str">
        <f aca="false">IF(OR(G1932="",G1932="?"),"",IFERROR(INDEX(Pubs!$D$2:$D$3001,MATCH(G1932,Pubs!$A$2:$A$3001,0))&amp;"",""))</f>
        <v/>
      </c>
      <c r="N1932" s="27" t="n">
        <f aca="false">N(N1931)+IF(AND(A1932&lt;&gt;"",OR(Recherche!$C$4="",A1932=Recherche!$C$4),OR(Recherche!$C$5="",B1932&amp;""=Recherche!$C$5&amp;""),OR(Recherche!$C$6="",IFERROR(YEAR(L1932),0)=Recherche!$C$6),OR(Recherche!$C$7="",ISNUMBER(SEARCH(Recherche!$C$7,H1932))),OR(Recherche!$C$8="",J1932=Recherche!$C$8),OR(Recherche!$C$9="",I1932=Recherche!$C$9),OR(Recherche!$C$10="",G1932&amp;""=Recherche!$C$10&amp;""),OR(Recherche!$C$11="",E1932=Recherche!$C$11),OR(Recherche!$C$12="",ISNUMBER(SEARCH(Recherche!$C$12,M1932&amp;" "&amp;F1932)))),1,0)</f>
        <v>8</v>
      </c>
    </row>
    <row r="1933" customFormat="false" ht="15" hidden="false" customHeight="false" outlineLevel="0" collapsed="false">
      <c r="A1933" s="19"/>
      <c r="B1933" s="19"/>
      <c r="C1933" s="19"/>
      <c r="D1933" s="19"/>
      <c r="E1933" s="22"/>
      <c r="F1933" s="19"/>
      <c r="G1933" s="26" t="str">
        <f aca="false">IF(D1933="","",IFERROR(VALUE(LEFT(D1933,FIND(" |",D1933&amp;" |")-1)),"?"))</f>
        <v/>
      </c>
      <c r="H1933" s="27" t="str">
        <f aca="false">IF(G1933="","",IF(G1933="?","⚠ pub inconnue",IFERROR(INDEX(Pubs!$B$2:$B$3001,MATCH(G1933,Pubs!$A$2:$A$3001,0))&amp;"","⚠ pub inconnue")))</f>
        <v/>
      </c>
      <c r="I1933" s="27" t="str">
        <f aca="false">IF(OR(G1933="",G1933="?"),"",IFERROR(INDEX(Pubs!$C$2:$C$3001,MATCH(G1933,Pubs!$A$2:$A$3001,0))&amp;"",""))</f>
        <v/>
      </c>
      <c r="J1933" s="27" t="str">
        <f aca="false">IF(OR(G1933="",G1933="?"),"",IFERROR(INDEX(Pubs!$G$2:$G$3001,MATCH(G1933,Pubs!$A$2:$A$3001,0))&amp;"",""))</f>
        <v/>
      </c>
      <c r="K1933" s="28" t="str">
        <f aca="false">IF(OR(G1933="",G1933="?"),"",IFERROR(INDEX(Pubs!$E$2:$E$3001,MATCH(G1933,Pubs!$A$2:$A$3001,0)),""))</f>
        <v/>
      </c>
      <c r="L1933" s="29" t="str">
        <f aca="false">IF(A1933="","",IFERROR(1/(1/INDEX(Numéros!$C$2:$C$3001,MATCH(A1933&amp;"|"&amp;B1933,Numéros!$F$2:$F$3001,0))),""))</f>
        <v/>
      </c>
      <c r="M1933" s="27" t="str">
        <f aca="false">IF(OR(G1933="",G1933="?"),"",IFERROR(INDEX(Pubs!$D$2:$D$3001,MATCH(G1933,Pubs!$A$2:$A$3001,0))&amp;"",""))</f>
        <v/>
      </c>
      <c r="N1933" s="27" t="n">
        <f aca="false">N(N1932)+IF(AND(A1933&lt;&gt;"",OR(Recherche!$C$4="",A1933=Recherche!$C$4),OR(Recherche!$C$5="",B1933&amp;""=Recherche!$C$5&amp;""),OR(Recherche!$C$6="",IFERROR(YEAR(L1933),0)=Recherche!$C$6),OR(Recherche!$C$7="",ISNUMBER(SEARCH(Recherche!$C$7,H1933))),OR(Recherche!$C$8="",J1933=Recherche!$C$8),OR(Recherche!$C$9="",I1933=Recherche!$C$9),OR(Recherche!$C$10="",G1933&amp;""=Recherche!$C$10&amp;""),OR(Recherche!$C$11="",E1933=Recherche!$C$11),OR(Recherche!$C$12="",ISNUMBER(SEARCH(Recherche!$C$12,M1933&amp;" "&amp;F1933)))),1,0)</f>
        <v>8</v>
      </c>
    </row>
    <row r="1934" customFormat="false" ht="15" hidden="false" customHeight="false" outlineLevel="0" collapsed="false">
      <c r="A1934" s="19"/>
      <c r="B1934" s="19"/>
      <c r="C1934" s="19"/>
      <c r="D1934" s="19"/>
      <c r="E1934" s="22"/>
      <c r="F1934" s="19"/>
      <c r="G1934" s="26" t="str">
        <f aca="false">IF(D1934="","",IFERROR(VALUE(LEFT(D1934,FIND(" |",D1934&amp;" |")-1)),"?"))</f>
        <v/>
      </c>
      <c r="H1934" s="27" t="str">
        <f aca="false">IF(G1934="","",IF(G1934="?","⚠ pub inconnue",IFERROR(INDEX(Pubs!$B$2:$B$3001,MATCH(G1934,Pubs!$A$2:$A$3001,0))&amp;"","⚠ pub inconnue")))</f>
        <v/>
      </c>
      <c r="I1934" s="27" t="str">
        <f aca="false">IF(OR(G1934="",G1934="?"),"",IFERROR(INDEX(Pubs!$C$2:$C$3001,MATCH(G1934,Pubs!$A$2:$A$3001,0))&amp;"",""))</f>
        <v/>
      </c>
      <c r="J1934" s="27" t="str">
        <f aca="false">IF(OR(G1934="",G1934="?"),"",IFERROR(INDEX(Pubs!$G$2:$G$3001,MATCH(G1934,Pubs!$A$2:$A$3001,0))&amp;"",""))</f>
        <v/>
      </c>
      <c r="K1934" s="28" t="str">
        <f aca="false">IF(OR(G1934="",G1934="?"),"",IFERROR(INDEX(Pubs!$E$2:$E$3001,MATCH(G1934,Pubs!$A$2:$A$3001,0)),""))</f>
        <v/>
      </c>
      <c r="L1934" s="29" t="str">
        <f aca="false">IF(A1934="","",IFERROR(1/(1/INDEX(Numéros!$C$2:$C$3001,MATCH(A1934&amp;"|"&amp;B1934,Numéros!$F$2:$F$3001,0))),""))</f>
        <v/>
      </c>
      <c r="M1934" s="27" t="str">
        <f aca="false">IF(OR(G1934="",G1934="?"),"",IFERROR(INDEX(Pubs!$D$2:$D$3001,MATCH(G1934,Pubs!$A$2:$A$3001,0))&amp;"",""))</f>
        <v/>
      </c>
      <c r="N1934" s="27" t="n">
        <f aca="false">N(N1933)+IF(AND(A1934&lt;&gt;"",OR(Recherche!$C$4="",A1934=Recherche!$C$4),OR(Recherche!$C$5="",B1934&amp;""=Recherche!$C$5&amp;""),OR(Recherche!$C$6="",IFERROR(YEAR(L1934),0)=Recherche!$C$6),OR(Recherche!$C$7="",ISNUMBER(SEARCH(Recherche!$C$7,H1934))),OR(Recherche!$C$8="",J1934=Recherche!$C$8),OR(Recherche!$C$9="",I1934=Recherche!$C$9),OR(Recherche!$C$10="",G1934&amp;""=Recherche!$C$10&amp;""),OR(Recherche!$C$11="",E1934=Recherche!$C$11),OR(Recherche!$C$12="",ISNUMBER(SEARCH(Recherche!$C$12,M1934&amp;" "&amp;F1934)))),1,0)</f>
        <v>8</v>
      </c>
    </row>
    <row r="1935" customFormat="false" ht="15" hidden="false" customHeight="false" outlineLevel="0" collapsed="false">
      <c r="A1935" s="19"/>
      <c r="B1935" s="19"/>
      <c r="C1935" s="19"/>
      <c r="D1935" s="19"/>
      <c r="E1935" s="22"/>
      <c r="F1935" s="19"/>
      <c r="G1935" s="26" t="str">
        <f aca="false">IF(D1935="","",IFERROR(VALUE(LEFT(D1935,FIND(" |",D1935&amp;" |")-1)),"?"))</f>
        <v/>
      </c>
      <c r="H1935" s="27" t="str">
        <f aca="false">IF(G1935="","",IF(G1935="?","⚠ pub inconnue",IFERROR(INDEX(Pubs!$B$2:$B$3001,MATCH(G1935,Pubs!$A$2:$A$3001,0))&amp;"","⚠ pub inconnue")))</f>
        <v/>
      </c>
      <c r="I1935" s="27" t="str">
        <f aca="false">IF(OR(G1935="",G1935="?"),"",IFERROR(INDEX(Pubs!$C$2:$C$3001,MATCH(G1935,Pubs!$A$2:$A$3001,0))&amp;"",""))</f>
        <v/>
      </c>
      <c r="J1935" s="27" t="str">
        <f aca="false">IF(OR(G1935="",G1935="?"),"",IFERROR(INDEX(Pubs!$G$2:$G$3001,MATCH(G1935,Pubs!$A$2:$A$3001,0))&amp;"",""))</f>
        <v/>
      </c>
      <c r="K1935" s="28" t="str">
        <f aca="false">IF(OR(G1935="",G1935="?"),"",IFERROR(INDEX(Pubs!$E$2:$E$3001,MATCH(G1935,Pubs!$A$2:$A$3001,0)),""))</f>
        <v/>
      </c>
      <c r="L1935" s="29" t="str">
        <f aca="false">IF(A1935="","",IFERROR(1/(1/INDEX(Numéros!$C$2:$C$3001,MATCH(A1935&amp;"|"&amp;B1935,Numéros!$F$2:$F$3001,0))),""))</f>
        <v/>
      </c>
      <c r="M1935" s="27" t="str">
        <f aca="false">IF(OR(G1935="",G1935="?"),"",IFERROR(INDEX(Pubs!$D$2:$D$3001,MATCH(G1935,Pubs!$A$2:$A$3001,0))&amp;"",""))</f>
        <v/>
      </c>
      <c r="N1935" s="27" t="n">
        <f aca="false">N(N1934)+IF(AND(A1935&lt;&gt;"",OR(Recherche!$C$4="",A1935=Recherche!$C$4),OR(Recherche!$C$5="",B1935&amp;""=Recherche!$C$5&amp;""),OR(Recherche!$C$6="",IFERROR(YEAR(L1935),0)=Recherche!$C$6),OR(Recherche!$C$7="",ISNUMBER(SEARCH(Recherche!$C$7,H1935))),OR(Recherche!$C$8="",J1935=Recherche!$C$8),OR(Recherche!$C$9="",I1935=Recherche!$C$9),OR(Recherche!$C$10="",G1935&amp;""=Recherche!$C$10&amp;""),OR(Recherche!$C$11="",E1935=Recherche!$C$11),OR(Recherche!$C$12="",ISNUMBER(SEARCH(Recherche!$C$12,M1935&amp;" "&amp;F1935)))),1,0)</f>
        <v>8</v>
      </c>
    </row>
    <row r="1936" customFormat="false" ht="15" hidden="false" customHeight="false" outlineLevel="0" collapsed="false">
      <c r="A1936" s="19"/>
      <c r="B1936" s="19"/>
      <c r="C1936" s="19"/>
      <c r="D1936" s="19"/>
      <c r="E1936" s="22"/>
      <c r="F1936" s="19"/>
      <c r="G1936" s="26" t="str">
        <f aca="false">IF(D1936="","",IFERROR(VALUE(LEFT(D1936,FIND(" |",D1936&amp;" |")-1)),"?"))</f>
        <v/>
      </c>
      <c r="H1936" s="27" t="str">
        <f aca="false">IF(G1936="","",IF(G1936="?","⚠ pub inconnue",IFERROR(INDEX(Pubs!$B$2:$B$3001,MATCH(G1936,Pubs!$A$2:$A$3001,0))&amp;"","⚠ pub inconnue")))</f>
        <v/>
      </c>
      <c r="I1936" s="27" t="str">
        <f aca="false">IF(OR(G1936="",G1936="?"),"",IFERROR(INDEX(Pubs!$C$2:$C$3001,MATCH(G1936,Pubs!$A$2:$A$3001,0))&amp;"",""))</f>
        <v/>
      </c>
      <c r="J1936" s="27" t="str">
        <f aca="false">IF(OR(G1936="",G1936="?"),"",IFERROR(INDEX(Pubs!$G$2:$G$3001,MATCH(G1936,Pubs!$A$2:$A$3001,0))&amp;"",""))</f>
        <v/>
      </c>
      <c r="K1936" s="28" t="str">
        <f aca="false">IF(OR(G1936="",G1936="?"),"",IFERROR(INDEX(Pubs!$E$2:$E$3001,MATCH(G1936,Pubs!$A$2:$A$3001,0)),""))</f>
        <v/>
      </c>
      <c r="L1936" s="29" t="str">
        <f aca="false">IF(A1936="","",IFERROR(1/(1/INDEX(Numéros!$C$2:$C$3001,MATCH(A1936&amp;"|"&amp;B1936,Numéros!$F$2:$F$3001,0))),""))</f>
        <v/>
      </c>
      <c r="M1936" s="27" t="str">
        <f aca="false">IF(OR(G1936="",G1936="?"),"",IFERROR(INDEX(Pubs!$D$2:$D$3001,MATCH(G1936,Pubs!$A$2:$A$3001,0))&amp;"",""))</f>
        <v/>
      </c>
      <c r="N1936" s="27" t="n">
        <f aca="false">N(N1935)+IF(AND(A1936&lt;&gt;"",OR(Recherche!$C$4="",A1936=Recherche!$C$4),OR(Recherche!$C$5="",B1936&amp;""=Recherche!$C$5&amp;""),OR(Recherche!$C$6="",IFERROR(YEAR(L1936),0)=Recherche!$C$6),OR(Recherche!$C$7="",ISNUMBER(SEARCH(Recherche!$C$7,H1936))),OR(Recherche!$C$8="",J1936=Recherche!$C$8),OR(Recherche!$C$9="",I1936=Recherche!$C$9),OR(Recherche!$C$10="",G1936&amp;""=Recherche!$C$10&amp;""),OR(Recherche!$C$11="",E1936=Recherche!$C$11),OR(Recherche!$C$12="",ISNUMBER(SEARCH(Recherche!$C$12,M1936&amp;" "&amp;F1936)))),1,0)</f>
        <v>8</v>
      </c>
    </row>
    <row r="1937" customFormat="false" ht="15" hidden="false" customHeight="false" outlineLevel="0" collapsed="false">
      <c r="A1937" s="19"/>
      <c r="B1937" s="19"/>
      <c r="C1937" s="19"/>
      <c r="D1937" s="19"/>
      <c r="E1937" s="22"/>
      <c r="F1937" s="19"/>
      <c r="G1937" s="26" t="str">
        <f aca="false">IF(D1937="","",IFERROR(VALUE(LEFT(D1937,FIND(" |",D1937&amp;" |")-1)),"?"))</f>
        <v/>
      </c>
      <c r="H1937" s="27" t="str">
        <f aca="false">IF(G1937="","",IF(G1937="?","⚠ pub inconnue",IFERROR(INDEX(Pubs!$B$2:$B$3001,MATCH(G1937,Pubs!$A$2:$A$3001,0))&amp;"","⚠ pub inconnue")))</f>
        <v/>
      </c>
      <c r="I1937" s="27" t="str">
        <f aca="false">IF(OR(G1937="",G1937="?"),"",IFERROR(INDEX(Pubs!$C$2:$C$3001,MATCH(G1937,Pubs!$A$2:$A$3001,0))&amp;"",""))</f>
        <v/>
      </c>
      <c r="J1937" s="27" t="str">
        <f aca="false">IF(OR(G1937="",G1937="?"),"",IFERROR(INDEX(Pubs!$G$2:$G$3001,MATCH(G1937,Pubs!$A$2:$A$3001,0))&amp;"",""))</f>
        <v/>
      </c>
      <c r="K1937" s="28" t="str">
        <f aca="false">IF(OR(G1937="",G1937="?"),"",IFERROR(INDEX(Pubs!$E$2:$E$3001,MATCH(G1937,Pubs!$A$2:$A$3001,0)),""))</f>
        <v/>
      </c>
      <c r="L1937" s="29" t="str">
        <f aca="false">IF(A1937="","",IFERROR(1/(1/INDEX(Numéros!$C$2:$C$3001,MATCH(A1937&amp;"|"&amp;B1937,Numéros!$F$2:$F$3001,0))),""))</f>
        <v/>
      </c>
      <c r="M1937" s="27" t="str">
        <f aca="false">IF(OR(G1937="",G1937="?"),"",IFERROR(INDEX(Pubs!$D$2:$D$3001,MATCH(G1937,Pubs!$A$2:$A$3001,0))&amp;"",""))</f>
        <v/>
      </c>
      <c r="N1937" s="27" t="n">
        <f aca="false">N(N1936)+IF(AND(A1937&lt;&gt;"",OR(Recherche!$C$4="",A1937=Recherche!$C$4),OR(Recherche!$C$5="",B1937&amp;""=Recherche!$C$5&amp;""),OR(Recherche!$C$6="",IFERROR(YEAR(L1937),0)=Recherche!$C$6),OR(Recherche!$C$7="",ISNUMBER(SEARCH(Recherche!$C$7,H1937))),OR(Recherche!$C$8="",J1937=Recherche!$C$8),OR(Recherche!$C$9="",I1937=Recherche!$C$9),OR(Recherche!$C$10="",G1937&amp;""=Recherche!$C$10&amp;""),OR(Recherche!$C$11="",E1937=Recherche!$C$11),OR(Recherche!$C$12="",ISNUMBER(SEARCH(Recherche!$C$12,M1937&amp;" "&amp;F1937)))),1,0)</f>
        <v>8</v>
      </c>
    </row>
    <row r="1938" customFormat="false" ht="15" hidden="false" customHeight="false" outlineLevel="0" collapsed="false">
      <c r="A1938" s="19"/>
      <c r="B1938" s="19"/>
      <c r="C1938" s="19"/>
      <c r="D1938" s="19"/>
      <c r="E1938" s="22"/>
      <c r="F1938" s="19"/>
      <c r="G1938" s="26" t="str">
        <f aca="false">IF(D1938="","",IFERROR(VALUE(LEFT(D1938,FIND(" |",D1938&amp;" |")-1)),"?"))</f>
        <v/>
      </c>
      <c r="H1938" s="27" t="str">
        <f aca="false">IF(G1938="","",IF(G1938="?","⚠ pub inconnue",IFERROR(INDEX(Pubs!$B$2:$B$3001,MATCH(G1938,Pubs!$A$2:$A$3001,0))&amp;"","⚠ pub inconnue")))</f>
        <v/>
      </c>
      <c r="I1938" s="27" t="str">
        <f aca="false">IF(OR(G1938="",G1938="?"),"",IFERROR(INDEX(Pubs!$C$2:$C$3001,MATCH(G1938,Pubs!$A$2:$A$3001,0))&amp;"",""))</f>
        <v/>
      </c>
      <c r="J1938" s="27" t="str">
        <f aca="false">IF(OR(G1938="",G1938="?"),"",IFERROR(INDEX(Pubs!$G$2:$G$3001,MATCH(G1938,Pubs!$A$2:$A$3001,0))&amp;"",""))</f>
        <v/>
      </c>
      <c r="K1938" s="28" t="str">
        <f aca="false">IF(OR(G1938="",G1938="?"),"",IFERROR(INDEX(Pubs!$E$2:$E$3001,MATCH(G1938,Pubs!$A$2:$A$3001,0)),""))</f>
        <v/>
      </c>
      <c r="L1938" s="29" t="str">
        <f aca="false">IF(A1938="","",IFERROR(1/(1/INDEX(Numéros!$C$2:$C$3001,MATCH(A1938&amp;"|"&amp;B1938,Numéros!$F$2:$F$3001,0))),""))</f>
        <v/>
      </c>
      <c r="M1938" s="27" t="str">
        <f aca="false">IF(OR(G1938="",G1938="?"),"",IFERROR(INDEX(Pubs!$D$2:$D$3001,MATCH(G1938,Pubs!$A$2:$A$3001,0))&amp;"",""))</f>
        <v/>
      </c>
      <c r="N1938" s="27" t="n">
        <f aca="false">N(N1937)+IF(AND(A1938&lt;&gt;"",OR(Recherche!$C$4="",A1938=Recherche!$C$4),OR(Recherche!$C$5="",B1938&amp;""=Recherche!$C$5&amp;""),OR(Recherche!$C$6="",IFERROR(YEAR(L1938),0)=Recherche!$C$6),OR(Recherche!$C$7="",ISNUMBER(SEARCH(Recherche!$C$7,H1938))),OR(Recherche!$C$8="",J1938=Recherche!$C$8),OR(Recherche!$C$9="",I1938=Recherche!$C$9),OR(Recherche!$C$10="",G1938&amp;""=Recherche!$C$10&amp;""),OR(Recherche!$C$11="",E1938=Recherche!$C$11),OR(Recherche!$C$12="",ISNUMBER(SEARCH(Recherche!$C$12,M1938&amp;" "&amp;F1938)))),1,0)</f>
        <v>8</v>
      </c>
    </row>
    <row r="1939" customFormat="false" ht="15" hidden="false" customHeight="false" outlineLevel="0" collapsed="false">
      <c r="A1939" s="19"/>
      <c r="B1939" s="19"/>
      <c r="C1939" s="19"/>
      <c r="D1939" s="19"/>
      <c r="E1939" s="22"/>
      <c r="F1939" s="19"/>
      <c r="G1939" s="26" t="str">
        <f aca="false">IF(D1939="","",IFERROR(VALUE(LEFT(D1939,FIND(" |",D1939&amp;" |")-1)),"?"))</f>
        <v/>
      </c>
      <c r="H1939" s="27" t="str">
        <f aca="false">IF(G1939="","",IF(G1939="?","⚠ pub inconnue",IFERROR(INDEX(Pubs!$B$2:$B$3001,MATCH(G1939,Pubs!$A$2:$A$3001,0))&amp;"","⚠ pub inconnue")))</f>
        <v/>
      </c>
      <c r="I1939" s="27" t="str">
        <f aca="false">IF(OR(G1939="",G1939="?"),"",IFERROR(INDEX(Pubs!$C$2:$C$3001,MATCH(G1939,Pubs!$A$2:$A$3001,0))&amp;"",""))</f>
        <v/>
      </c>
      <c r="J1939" s="27" t="str">
        <f aca="false">IF(OR(G1939="",G1939="?"),"",IFERROR(INDEX(Pubs!$G$2:$G$3001,MATCH(G1939,Pubs!$A$2:$A$3001,0))&amp;"",""))</f>
        <v/>
      </c>
      <c r="K1939" s="28" t="str">
        <f aca="false">IF(OR(G1939="",G1939="?"),"",IFERROR(INDEX(Pubs!$E$2:$E$3001,MATCH(G1939,Pubs!$A$2:$A$3001,0)),""))</f>
        <v/>
      </c>
      <c r="L1939" s="29" t="str">
        <f aca="false">IF(A1939="","",IFERROR(1/(1/INDEX(Numéros!$C$2:$C$3001,MATCH(A1939&amp;"|"&amp;B1939,Numéros!$F$2:$F$3001,0))),""))</f>
        <v/>
      </c>
      <c r="M1939" s="27" t="str">
        <f aca="false">IF(OR(G1939="",G1939="?"),"",IFERROR(INDEX(Pubs!$D$2:$D$3001,MATCH(G1939,Pubs!$A$2:$A$3001,0))&amp;"",""))</f>
        <v/>
      </c>
      <c r="N1939" s="27" t="n">
        <f aca="false">N(N1938)+IF(AND(A1939&lt;&gt;"",OR(Recherche!$C$4="",A1939=Recherche!$C$4),OR(Recherche!$C$5="",B1939&amp;""=Recherche!$C$5&amp;""),OR(Recherche!$C$6="",IFERROR(YEAR(L1939),0)=Recherche!$C$6),OR(Recherche!$C$7="",ISNUMBER(SEARCH(Recherche!$C$7,H1939))),OR(Recherche!$C$8="",J1939=Recherche!$C$8),OR(Recherche!$C$9="",I1939=Recherche!$C$9),OR(Recherche!$C$10="",G1939&amp;""=Recherche!$C$10&amp;""),OR(Recherche!$C$11="",E1939=Recherche!$C$11),OR(Recherche!$C$12="",ISNUMBER(SEARCH(Recherche!$C$12,M1939&amp;" "&amp;F1939)))),1,0)</f>
        <v>8</v>
      </c>
    </row>
    <row r="1940" customFormat="false" ht="15" hidden="false" customHeight="false" outlineLevel="0" collapsed="false">
      <c r="A1940" s="19"/>
      <c r="B1940" s="19"/>
      <c r="C1940" s="19"/>
      <c r="D1940" s="19"/>
      <c r="E1940" s="22"/>
      <c r="F1940" s="19"/>
      <c r="G1940" s="26" t="str">
        <f aca="false">IF(D1940="","",IFERROR(VALUE(LEFT(D1940,FIND(" |",D1940&amp;" |")-1)),"?"))</f>
        <v/>
      </c>
      <c r="H1940" s="27" t="str">
        <f aca="false">IF(G1940="","",IF(G1940="?","⚠ pub inconnue",IFERROR(INDEX(Pubs!$B$2:$B$3001,MATCH(G1940,Pubs!$A$2:$A$3001,0))&amp;"","⚠ pub inconnue")))</f>
        <v/>
      </c>
      <c r="I1940" s="27" t="str">
        <f aca="false">IF(OR(G1940="",G1940="?"),"",IFERROR(INDEX(Pubs!$C$2:$C$3001,MATCH(G1940,Pubs!$A$2:$A$3001,0))&amp;"",""))</f>
        <v/>
      </c>
      <c r="J1940" s="27" t="str">
        <f aca="false">IF(OR(G1940="",G1940="?"),"",IFERROR(INDEX(Pubs!$G$2:$G$3001,MATCH(G1940,Pubs!$A$2:$A$3001,0))&amp;"",""))</f>
        <v/>
      </c>
      <c r="K1940" s="28" t="str">
        <f aca="false">IF(OR(G1940="",G1940="?"),"",IFERROR(INDEX(Pubs!$E$2:$E$3001,MATCH(G1940,Pubs!$A$2:$A$3001,0)),""))</f>
        <v/>
      </c>
      <c r="L1940" s="29" t="str">
        <f aca="false">IF(A1940="","",IFERROR(1/(1/INDEX(Numéros!$C$2:$C$3001,MATCH(A1940&amp;"|"&amp;B1940,Numéros!$F$2:$F$3001,0))),""))</f>
        <v/>
      </c>
      <c r="M1940" s="27" t="str">
        <f aca="false">IF(OR(G1940="",G1940="?"),"",IFERROR(INDEX(Pubs!$D$2:$D$3001,MATCH(G1940,Pubs!$A$2:$A$3001,0))&amp;"",""))</f>
        <v/>
      </c>
      <c r="N1940" s="27" t="n">
        <f aca="false">N(N1939)+IF(AND(A1940&lt;&gt;"",OR(Recherche!$C$4="",A1940=Recherche!$C$4),OR(Recherche!$C$5="",B1940&amp;""=Recherche!$C$5&amp;""),OR(Recherche!$C$6="",IFERROR(YEAR(L1940),0)=Recherche!$C$6),OR(Recherche!$C$7="",ISNUMBER(SEARCH(Recherche!$C$7,H1940))),OR(Recherche!$C$8="",J1940=Recherche!$C$8),OR(Recherche!$C$9="",I1940=Recherche!$C$9),OR(Recherche!$C$10="",G1940&amp;""=Recherche!$C$10&amp;""),OR(Recherche!$C$11="",E1940=Recherche!$C$11),OR(Recherche!$C$12="",ISNUMBER(SEARCH(Recherche!$C$12,M1940&amp;" "&amp;F1940)))),1,0)</f>
        <v>8</v>
      </c>
    </row>
    <row r="1941" customFormat="false" ht="15" hidden="false" customHeight="false" outlineLevel="0" collapsed="false">
      <c r="A1941" s="19"/>
      <c r="B1941" s="19"/>
      <c r="C1941" s="19"/>
      <c r="D1941" s="19"/>
      <c r="E1941" s="22"/>
      <c r="F1941" s="19"/>
      <c r="G1941" s="26" t="str">
        <f aca="false">IF(D1941="","",IFERROR(VALUE(LEFT(D1941,FIND(" |",D1941&amp;" |")-1)),"?"))</f>
        <v/>
      </c>
      <c r="H1941" s="27" t="str">
        <f aca="false">IF(G1941="","",IF(G1941="?","⚠ pub inconnue",IFERROR(INDEX(Pubs!$B$2:$B$3001,MATCH(G1941,Pubs!$A$2:$A$3001,0))&amp;"","⚠ pub inconnue")))</f>
        <v/>
      </c>
      <c r="I1941" s="27" t="str">
        <f aca="false">IF(OR(G1941="",G1941="?"),"",IFERROR(INDEX(Pubs!$C$2:$C$3001,MATCH(G1941,Pubs!$A$2:$A$3001,0))&amp;"",""))</f>
        <v/>
      </c>
      <c r="J1941" s="27" t="str">
        <f aca="false">IF(OR(G1941="",G1941="?"),"",IFERROR(INDEX(Pubs!$G$2:$G$3001,MATCH(G1941,Pubs!$A$2:$A$3001,0))&amp;"",""))</f>
        <v/>
      </c>
      <c r="K1941" s="28" t="str">
        <f aca="false">IF(OR(G1941="",G1941="?"),"",IFERROR(INDEX(Pubs!$E$2:$E$3001,MATCH(G1941,Pubs!$A$2:$A$3001,0)),""))</f>
        <v/>
      </c>
      <c r="L1941" s="29" t="str">
        <f aca="false">IF(A1941="","",IFERROR(1/(1/INDEX(Numéros!$C$2:$C$3001,MATCH(A1941&amp;"|"&amp;B1941,Numéros!$F$2:$F$3001,0))),""))</f>
        <v/>
      </c>
      <c r="M1941" s="27" t="str">
        <f aca="false">IF(OR(G1941="",G1941="?"),"",IFERROR(INDEX(Pubs!$D$2:$D$3001,MATCH(G1941,Pubs!$A$2:$A$3001,0))&amp;"",""))</f>
        <v/>
      </c>
      <c r="N1941" s="27" t="n">
        <f aca="false">N(N1940)+IF(AND(A1941&lt;&gt;"",OR(Recherche!$C$4="",A1941=Recherche!$C$4),OR(Recherche!$C$5="",B1941&amp;""=Recherche!$C$5&amp;""),OR(Recherche!$C$6="",IFERROR(YEAR(L1941),0)=Recherche!$C$6),OR(Recherche!$C$7="",ISNUMBER(SEARCH(Recherche!$C$7,H1941))),OR(Recherche!$C$8="",J1941=Recherche!$C$8),OR(Recherche!$C$9="",I1941=Recherche!$C$9),OR(Recherche!$C$10="",G1941&amp;""=Recherche!$C$10&amp;""),OR(Recherche!$C$11="",E1941=Recherche!$C$11),OR(Recherche!$C$12="",ISNUMBER(SEARCH(Recherche!$C$12,M1941&amp;" "&amp;F1941)))),1,0)</f>
        <v>8</v>
      </c>
    </row>
    <row r="1942" customFormat="false" ht="15" hidden="false" customHeight="false" outlineLevel="0" collapsed="false">
      <c r="A1942" s="19"/>
      <c r="B1942" s="19"/>
      <c r="C1942" s="19"/>
      <c r="D1942" s="19"/>
      <c r="E1942" s="22"/>
      <c r="F1942" s="19"/>
      <c r="G1942" s="26" t="str">
        <f aca="false">IF(D1942="","",IFERROR(VALUE(LEFT(D1942,FIND(" |",D1942&amp;" |")-1)),"?"))</f>
        <v/>
      </c>
      <c r="H1942" s="27" t="str">
        <f aca="false">IF(G1942="","",IF(G1942="?","⚠ pub inconnue",IFERROR(INDEX(Pubs!$B$2:$B$3001,MATCH(G1942,Pubs!$A$2:$A$3001,0))&amp;"","⚠ pub inconnue")))</f>
        <v/>
      </c>
      <c r="I1942" s="27" t="str">
        <f aca="false">IF(OR(G1942="",G1942="?"),"",IFERROR(INDEX(Pubs!$C$2:$C$3001,MATCH(G1942,Pubs!$A$2:$A$3001,0))&amp;"",""))</f>
        <v/>
      </c>
      <c r="J1942" s="27" t="str">
        <f aca="false">IF(OR(G1942="",G1942="?"),"",IFERROR(INDEX(Pubs!$G$2:$G$3001,MATCH(G1942,Pubs!$A$2:$A$3001,0))&amp;"",""))</f>
        <v/>
      </c>
      <c r="K1942" s="28" t="str">
        <f aca="false">IF(OR(G1942="",G1942="?"),"",IFERROR(INDEX(Pubs!$E$2:$E$3001,MATCH(G1942,Pubs!$A$2:$A$3001,0)),""))</f>
        <v/>
      </c>
      <c r="L1942" s="29" t="str">
        <f aca="false">IF(A1942="","",IFERROR(1/(1/INDEX(Numéros!$C$2:$C$3001,MATCH(A1942&amp;"|"&amp;B1942,Numéros!$F$2:$F$3001,0))),""))</f>
        <v/>
      </c>
      <c r="M1942" s="27" t="str">
        <f aca="false">IF(OR(G1942="",G1942="?"),"",IFERROR(INDEX(Pubs!$D$2:$D$3001,MATCH(G1942,Pubs!$A$2:$A$3001,0))&amp;"",""))</f>
        <v/>
      </c>
      <c r="N1942" s="27" t="n">
        <f aca="false">N(N1941)+IF(AND(A1942&lt;&gt;"",OR(Recherche!$C$4="",A1942=Recherche!$C$4),OR(Recherche!$C$5="",B1942&amp;""=Recherche!$C$5&amp;""),OR(Recherche!$C$6="",IFERROR(YEAR(L1942),0)=Recherche!$C$6),OR(Recherche!$C$7="",ISNUMBER(SEARCH(Recherche!$C$7,H1942))),OR(Recherche!$C$8="",J1942=Recherche!$C$8),OR(Recherche!$C$9="",I1942=Recherche!$C$9),OR(Recherche!$C$10="",G1942&amp;""=Recherche!$C$10&amp;""),OR(Recherche!$C$11="",E1942=Recherche!$C$11),OR(Recherche!$C$12="",ISNUMBER(SEARCH(Recherche!$C$12,M1942&amp;" "&amp;F1942)))),1,0)</f>
        <v>8</v>
      </c>
    </row>
    <row r="1943" customFormat="false" ht="15" hidden="false" customHeight="false" outlineLevel="0" collapsed="false">
      <c r="A1943" s="19"/>
      <c r="B1943" s="19"/>
      <c r="C1943" s="19"/>
      <c r="D1943" s="19"/>
      <c r="E1943" s="22"/>
      <c r="F1943" s="19"/>
      <c r="G1943" s="26" t="str">
        <f aca="false">IF(D1943="","",IFERROR(VALUE(LEFT(D1943,FIND(" |",D1943&amp;" |")-1)),"?"))</f>
        <v/>
      </c>
      <c r="H1943" s="27" t="str">
        <f aca="false">IF(G1943="","",IF(G1943="?","⚠ pub inconnue",IFERROR(INDEX(Pubs!$B$2:$B$3001,MATCH(G1943,Pubs!$A$2:$A$3001,0))&amp;"","⚠ pub inconnue")))</f>
        <v/>
      </c>
      <c r="I1943" s="27" t="str">
        <f aca="false">IF(OR(G1943="",G1943="?"),"",IFERROR(INDEX(Pubs!$C$2:$C$3001,MATCH(G1943,Pubs!$A$2:$A$3001,0))&amp;"",""))</f>
        <v/>
      </c>
      <c r="J1943" s="27" t="str">
        <f aca="false">IF(OR(G1943="",G1943="?"),"",IFERROR(INDEX(Pubs!$G$2:$G$3001,MATCH(G1943,Pubs!$A$2:$A$3001,0))&amp;"",""))</f>
        <v/>
      </c>
      <c r="K1943" s="28" t="str">
        <f aca="false">IF(OR(G1943="",G1943="?"),"",IFERROR(INDEX(Pubs!$E$2:$E$3001,MATCH(G1943,Pubs!$A$2:$A$3001,0)),""))</f>
        <v/>
      </c>
      <c r="L1943" s="29" t="str">
        <f aca="false">IF(A1943="","",IFERROR(1/(1/INDEX(Numéros!$C$2:$C$3001,MATCH(A1943&amp;"|"&amp;B1943,Numéros!$F$2:$F$3001,0))),""))</f>
        <v/>
      </c>
      <c r="M1943" s="27" t="str">
        <f aca="false">IF(OR(G1943="",G1943="?"),"",IFERROR(INDEX(Pubs!$D$2:$D$3001,MATCH(G1943,Pubs!$A$2:$A$3001,0))&amp;"",""))</f>
        <v/>
      </c>
      <c r="N1943" s="27" t="n">
        <f aca="false">N(N1942)+IF(AND(A1943&lt;&gt;"",OR(Recherche!$C$4="",A1943=Recherche!$C$4),OR(Recherche!$C$5="",B1943&amp;""=Recherche!$C$5&amp;""),OR(Recherche!$C$6="",IFERROR(YEAR(L1943),0)=Recherche!$C$6),OR(Recherche!$C$7="",ISNUMBER(SEARCH(Recherche!$C$7,H1943))),OR(Recherche!$C$8="",J1943=Recherche!$C$8),OR(Recherche!$C$9="",I1943=Recherche!$C$9),OR(Recherche!$C$10="",G1943&amp;""=Recherche!$C$10&amp;""),OR(Recherche!$C$11="",E1943=Recherche!$C$11),OR(Recherche!$C$12="",ISNUMBER(SEARCH(Recherche!$C$12,M1943&amp;" "&amp;F1943)))),1,0)</f>
        <v>8</v>
      </c>
    </row>
    <row r="1944" customFormat="false" ht="15" hidden="false" customHeight="false" outlineLevel="0" collapsed="false">
      <c r="A1944" s="19"/>
      <c r="B1944" s="19"/>
      <c r="C1944" s="19"/>
      <c r="D1944" s="19"/>
      <c r="E1944" s="22"/>
      <c r="F1944" s="19"/>
      <c r="G1944" s="26" t="str">
        <f aca="false">IF(D1944="","",IFERROR(VALUE(LEFT(D1944,FIND(" |",D1944&amp;" |")-1)),"?"))</f>
        <v/>
      </c>
      <c r="H1944" s="27" t="str">
        <f aca="false">IF(G1944="","",IF(G1944="?","⚠ pub inconnue",IFERROR(INDEX(Pubs!$B$2:$B$3001,MATCH(G1944,Pubs!$A$2:$A$3001,0))&amp;"","⚠ pub inconnue")))</f>
        <v/>
      </c>
      <c r="I1944" s="27" t="str">
        <f aca="false">IF(OR(G1944="",G1944="?"),"",IFERROR(INDEX(Pubs!$C$2:$C$3001,MATCH(G1944,Pubs!$A$2:$A$3001,0))&amp;"",""))</f>
        <v/>
      </c>
      <c r="J1944" s="27" t="str">
        <f aca="false">IF(OR(G1944="",G1944="?"),"",IFERROR(INDEX(Pubs!$G$2:$G$3001,MATCH(G1944,Pubs!$A$2:$A$3001,0))&amp;"",""))</f>
        <v/>
      </c>
      <c r="K1944" s="28" t="str">
        <f aca="false">IF(OR(G1944="",G1944="?"),"",IFERROR(INDEX(Pubs!$E$2:$E$3001,MATCH(G1944,Pubs!$A$2:$A$3001,0)),""))</f>
        <v/>
      </c>
      <c r="L1944" s="29" t="str">
        <f aca="false">IF(A1944="","",IFERROR(1/(1/INDEX(Numéros!$C$2:$C$3001,MATCH(A1944&amp;"|"&amp;B1944,Numéros!$F$2:$F$3001,0))),""))</f>
        <v/>
      </c>
      <c r="M1944" s="27" t="str">
        <f aca="false">IF(OR(G1944="",G1944="?"),"",IFERROR(INDEX(Pubs!$D$2:$D$3001,MATCH(G1944,Pubs!$A$2:$A$3001,0))&amp;"",""))</f>
        <v/>
      </c>
      <c r="N1944" s="27" t="n">
        <f aca="false">N(N1943)+IF(AND(A1944&lt;&gt;"",OR(Recherche!$C$4="",A1944=Recherche!$C$4),OR(Recherche!$C$5="",B1944&amp;""=Recherche!$C$5&amp;""),OR(Recherche!$C$6="",IFERROR(YEAR(L1944),0)=Recherche!$C$6),OR(Recherche!$C$7="",ISNUMBER(SEARCH(Recherche!$C$7,H1944))),OR(Recherche!$C$8="",J1944=Recherche!$C$8),OR(Recherche!$C$9="",I1944=Recherche!$C$9),OR(Recherche!$C$10="",G1944&amp;""=Recherche!$C$10&amp;""),OR(Recherche!$C$11="",E1944=Recherche!$C$11),OR(Recherche!$C$12="",ISNUMBER(SEARCH(Recherche!$C$12,M1944&amp;" "&amp;F1944)))),1,0)</f>
        <v>8</v>
      </c>
    </row>
    <row r="1945" customFormat="false" ht="15" hidden="false" customHeight="false" outlineLevel="0" collapsed="false">
      <c r="A1945" s="19"/>
      <c r="B1945" s="19"/>
      <c r="C1945" s="19"/>
      <c r="D1945" s="19"/>
      <c r="E1945" s="22"/>
      <c r="F1945" s="19"/>
      <c r="G1945" s="26" t="str">
        <f aca="false">IF(D1945="","",IFERROR(VALUE(LEFT(D1945,FIND(" |",D1945&amp;" |")-1)),"?"))</f>
        <v/>
      </c>
      <c r="H1945" s="27" t="str">
        <f aca="false">IF(G1945="","",IF(G1945="?","⚠ pub inconnue",IFERROR(INDEX(Pubs!$B$2:$B$3001,MATCH(G1945,Pubs!$A$2:$A$3001,0))&amp;"","⚠ pub inconnue")))</f>
        <v/>
      </c>
      <c r="I1945" s="27" t="str">
        <f aca="false">IF(OR(G1945="",G1945="?"),"",IFERROR(INDEX(Pubs!$C$2:$C$3001,MATCH(G1945,Pubs!$A$2:$A$3001,0))&amp;"",""))</f>
        <v/>
      </c>
      <c r="J1945" s="27" t="str">
        <f aca="false">IF(OR(G1945="",G1945="?"),"",IFERROR(INDEX(Pubs!$G$2:$G$3001,MATCH(G1945,Pubs!$A$2:$A$3001,0))&amp;"",""))</f>
        <v/>
      </c>
      <c r="K1945" s="28" t="str">
        <f aca="false">IF(OR(G1945="",G1945="?"),"",IFERROR(INDEX(Pubs!$E$2:$E$3001,MATCH(G1945,Pubs!$A$2:$A$3001,0)),""))</f>
        <v/>
      </c>
      <c r="L1945" s="29" t="str">
        <f aca="false">IF(A1945="","",IFERROR(1/(1/INDEX(Numéros!$C$2:$C$3001,MATCH(A1945&amp;"|"&amp;B1945,Numéros!$F$2:$F$3001,0))),""))</f>
        <v/>
      </c>
      <c r="M1945" s="27" t="str">
        <f aca="false">IF(OR(G1945="",G1945="?"),"",IFERROR(INDEX(Pubs!$D$2:$D$3001,MATCH(G1945,Pubs!$A$2:$A$3001,0))&amp;"",""))</f>
        <v/>
      </c>
      <c r="N1945" s="27" t="n">
        <f aca="false">N(N1944)+IF(AND(A1945&lt;&gt;"",OR(Recherche!$C$4="",A1945=Recherche!$C$4),OR(Recherche!$C$5="",B1945&amp;""=Recherche!$C$5&amp;""),OR(Recherche!$C$6="",IFERROR(YEAR(L1945),0)=Recherche!$C$6),OR(Recherche!$C$7="",ISNUMBER(SEARCH(Recherche!$C$7,H1945))),OR(Recherche!$C$8="",J1945=Recherche!$C$8),OR(Recherche!$C$9="",I1945=Recherche!$C$9),OR(Recherche!$C$10="",G1945&amp;""=Recherche!$C$10&amp;""),OR(Recherche!$C$11="",E1945=Recherche!$C$11),OR(Recherche!$C$12="",ISNUMBER(SEARCH(Recherche!$C$12,M1945&amp;" "&amp;F1945)))),1,0)</f>
        <v>8</v>
      </c>
    </row>
    <row r="1946" customFormat="false" ht="15" hidden="false" customHeight="false" outlineLevel="0" collapsed="false">
      <c r="A1946" s="19"/>
      <c r="B1946" s="19"/>
      <c r="C1946" s="19"/>
      <c r="D1946" s="19"/>
      <c r="E1946" s="22"/>
      <c r="F1946" s="19"/>
      <c r="G1946" s="26" t="str">
        <f aca="false">IF(D1946="","",IFERROR(VALUE(LEFT(D1946,FIND(" |",D1946&amp;" |")-1)),"?"))</f>
        <v/>
      </c>
      <c r="H1946" s="27" t="str">
        <f aca="false">IF(G1946="","",IF(G1946="?","⚠ pub inconnue",IFERROR(INDEX(Pubs!$B$2:$B$3001,MATCH(G1946,Pubs!$A$2:$A$3001,0))&amp;"","⚠ pub inconnue")))</f>
        <v/>
      </c>
      <c r="I1946" s="27" t="str">
        <f aca="false">IF(OR(G1946="",G1946="?"),"",IFERROR(INDEX(Pubs!$C$2:$C$3001,MATCH(G1946,Pubs!$A$2:$A$3001,0))&amp;"",""))</f>
        <v/>
      </c>
      <c r="J1946" s="27" t="str">
        <f aca="false">IF(OR(G1946="",G1946="?"),"",IFERROR(INDEX(Pubs!$G$2:$G$3001,MATCH(G1946,Pubs!$A$2:$A$3001,0))&amp;"",""))</f>
        <v/>
      </c>
      <c r="K1946" s="28" t="str">
        <f aca="false">IF(OR(G1946="",G1946="?"),"",IFERROR(INDEX(Pubs!$E$2:$E$3001,MATCH(G1946,Pubs!$A$2:$A$3001,0)),""))</f>
        <v/>
      </c>
      <c r="L1946" s="29" t="str">
        <f aca="false">IF(A1946="","",IFERROR(1/(1/INDEX(Numéros!$C$2:$C$3001,MATCH(A1946&amp;"|"&amp;B1946,Numéros!$F$2:$F$3001,0))),""))</f>
        <v/>
      </c>
      <c r="M1946" s="27" t="str">
        <f aca="false">IF(OR(G1946="",G1946="?"),"",IFERROR(INDEX(Pubs!$D$2:$D$3001,MATCH(G1946,Pubs!$A$2:$A$3001,0))&amp;"",""))</f>
        <v/>
      </c>
      <c r="N1946" s="27" t="n">
        <f aca="false">N(N1945)+IF(AND(A1946&lt;&gt;"",OR(Recherche!$C$4="",A1946=Recherche!$C$4),OR(Recherche!$C$5="",B1946&amp;""=Recherche!$C$5&amp;""),OR(Recherche!$C$6="",IFERROR(YEAR(L1946),0)=Recherche!$C$6),OR(Recherche!$C$7="",ISNUMBER(SEARCH(Recherche!$C$7,H1946))),OR(Recherche!$C$8="",J1946=Recherche!$C$8),OR(Recherche!$C$9="",I1946=Recherche!$C$9),OR(Recherche!$C$10="",G1946&amp;""=Recherche!$C$10&amp;""),OR(Recherche!$C$11="",E1946=Recherche!$C$11),OR(Recherche!$C$12="",ISNUMBER(SEARCH(Recherche!$C$12,M1946&amp;" "&amp;F1946)))),1,0)</f>
        <v>8</v>
      </c>
    </row>
    <row r="1947" customFormat="false" ht="15" hidden="false" customHeight="false" outlineLevel="0" collapsed="false">
      <c r="A1947" s="19"/>
      <c r="B1947" s="19"/>
      <c r="C1947" s="19"/>
      <c r="D1947" s="19"/>
      <c r="E1947" s="22"/>
      <c r="F1947" s="19"/>
      <c r="G1947" s="26" t="str">
        <f aca="false">IF(D1947="","",IFERROR(VALUE(LEFT(D1947,FIND(" |",D1947&amp;" |")-1)),"?"))</f>
        <v/>
      </c>
      <c r="H1947" s="27" t="str">
        <f aca="false">IF(G1947="","",IF(G1947="?","⚠ pub inconnue",IFERROR(INDEX(Pubs!$B$2:$B$3001,MATCH(G1947,Pubs!$A$2:$A$3001,0))&amp;"","⚠ pub inconnue")))</f>
        <v/>
      </c>
      <c r="I1947" s="27" t="str">
        <f aca="false">IF(OR(G1947="",G1947="?"),"",IFERROR(INDEX(Pubs!$C$2:$C$3001,MATCH(G1947,Pubs!$A$2:$A$3001,0))&amp;"",""))</f>
        <v/>
      </c>
      <c r="J1947" s="27" t="str">
        <f aca="false">IF(OR(G1947="",G1947="?"),"",IFERROR(INDEX(Pubs!$G$2:$G$3001,MATCH(G1947,Pubs!$A$2:$A$3001,0))&amp;"",""))</f>
        <v/>
      </c>
      <c r="K1947" s="28" t="str">
        <f aca="false">IF(OR(G1947="",G1947="?"),"",IFERROR(INDEX(Pubs!$E$2:$E$3001,MATCH(G1947,Pubs!$A$2:$A$3001,0)),""))</f>
        <v/>
      </c>
      <c r="L1947" s="29" t="str">
        <f aca="false">IF(A1947="","",IFERROR(1/(1/INDEX(Numéros!$C$2:$C$3001,MATCH(A1947&amp;"|"&amp;B1947,Numéros!$F$2:$F$3001,0))),""))</f>
        <v/>
      </c>
      <c r="M1947" s="27" t="str">
        <f aca="false">IF(OR(G1947="",G1947="?"),"",IFERROR(INDEX(Pubs!$D$2:$D$3001,MATCH(G1947,Pubs!$A$2:$A$3001,0))&amp;"",""))</f>
        <v/>
      </c>
      <c r="N1947" s="27" t="n">
        <f aca="false">N(N1946)+IF(AND(A1947&lt;&gt;"",OR(Recherche!$C$4="",A1947=Recherche!$C$4),OR(Recherche!$C$5="",B1947&amp;""=Recherche!$C$5&amp;""),OR(Recherche!$C$6="",IFERROR(YEAR(L1947),0)=Recherche!$C$6),OR(Recherche!$C$7="",ISNUMBER(SEARCH(Recherche!$C$7,H1947))),OR(Recherche!$C$8="",J1947=Recherche!$C$8),OR(Recherche!$C$9="",I1947=Recherche!$C$9),OR(Recherche!$C$10="",G1947&amp;""=Recherche!$C$10&amp;""),OR(Recherche!$C$11="",E1947=Recherche!$C$11),OR(Recherche!$C$12="",ISNUMBER(SEARCH(Recherche!$C$12,M1947&amp;" "&amp;F1947)))),1,0)</f>
        <v>8</v>
      </c>
    </row>
    <row r="1948" customFormat="false" ht="15" hidden="false" customHeight="false" outlineLevel="0" collapsed="false">
      <c r="A1948" s="19"/>
      <c r="B1948" s="19"/>
      <c r="C1948" s="19"/>
      <c r="D1948" s="19"/>
      <c r="E1948" s="22"/>
      <c r="F1948" s="19"/>
      <c r="G1948" s="26" t="str">
        <f aca="false">IF(D1948="","",IFERROR(VALUE(LEFT(D1948,FIND(" |",D1948&amp;" |")-1)),"?"))</f>
        <v/>
      </c>
      <c r="H1948" s="27" t="str">
        <f aca="false">IF(G1948="","",IF(G1948="?","⚠ pub inconnue",IFERROR(INDEX(Pubs!$B$2:$B$3001,MATCH(G1948,Pubs!$A$2:$A$3001,0))&amp;"","⚠ pub inconnue")))</f>
        <v/>
      </c>
      <c r="I1948" s="27" t="str">
        <f aca="false">IF(OR(G1948="",G1948="?"),"",IFERROR(INDEX(Pubs!$C$2:$C$3001,MATCH(G1948,Pubs!$A$2:$A$3001,0))&amp;"",""))</f>
        <v/>
      </c>
      <c r="J1948" s="27" t="str">
        <f aca="false">IF(OR(G1948="",G1948="?"),"",IFERROR(INDEX(Pubs!$G$2:$G$3001,MATCH(G1948,Pubs!$A$2:$A$3001,0))&amp;"",""))</f>
        <v/>
      </c>
      <c r="K1948" s="28" t="str">
        <f aca="false">IF(OR(G1948="",G1948="?"),"",IFERROR(INDEX(Pubs!$E$2:$E$3001,MATCH(G1948,Pubs!$A$2:$A$3001,0)),""))</f>
        <v/>
      </c>
      <c r="L1948" s="29" t="str">
        <f aca="false">IF(A1948="","",IFERROR(1/(1/INDEX(Numéros!$C$2:$C$3001,MATCH(A1948&amp;"|"&amp;B1948,Numéros!$F$2:$F$3001,0))),""))</f>
        <v/>
      </c>
      <c r="M1948" s="27" t="str">
        <f aca="false">IF(OR(G1948="",G1948="?"),"",IFERROR(INDEX(Pubs!$D$2:$D$3001,MATCH(G1948,Pubs!$A$2:$A$3001,0))&amp;"",""))</f>
        <v/>
      </c>
      <c r="N1948" s="27" t="n">
        <f aca="false">N(N1947)+IF(AND(A1948&lt;&gt;"",OR(Recherche!$C$4="",A1948=Recherche!$C$4),OR(Recherche!$C$5="",B1948&amp;""=Recherche!$C$5&amp;""),OR(Recherche!$C$6="",IFERROR(YEAR(L1948),0)=Recherche!$C$6),OR(Recherche!$C$7="",ISNUMBER(SEARCH(Recherche!$C$7,H1948))),OR(Recherche!$C$8="",J1948=Recherche!$C$8),OR(Recherche!$C$9="",I1948=Recherche!$C$9),OR(Recherche!$C$10="",G1948&amp;""=Recherche!$C$10&amp;""),OR(Recherche!$C$11="",E1948=Recherche!$C$11),OR(Recherche!$C$12="",ISNUMBER(SEARCH(Recherche!$C$12,M1948&amp;" "&amp;F1948)))),1,0)</f>
        <v>8</v>
      </c>
    </row>
    <row r="1949" customFormat="false" ht="15" hidden="false" customHeight="false" outlineLevel="0" collapsed="false">
      <c r="A1949" s="19"/>
      <c r="B1949" s="19"/>
      <c r="C1949" s="19"/>
      <c r="D1949" s="19"/>
      <c r="E1949" s="22"/>
      <c r="F1949" s="19"/>
      <c r="G1949" s="26" t="str">
        <f aca="false">IF(D1949="","",IFERROR(VALUE(LEFT(D1949,FIND(" |",D1949&amp;" |")-1)),"?"))</f>
        <v/>
      </c>
      <c r="H1949" s="27" t="str">
        <f aca="false">IF(G1949="","",IF(G1949="?","⚠ pub inconnue",IFERROR(INDEX(Pubs!$B$2:$B$3001,MATCH(G1949,Pubs!$A$2:$A$3001,0))&amp;"","⚠ pub inconnue")))</f>
        <v/>
      </c>
      <c r="I1949" s="27" t="str">
        <f aca="false">IF(OR(G1949="",G1949="?"),"",IFERROR(INDEX(Pubs!$C$2:$C$3001,MATCH(G1949,Pubs!$A$2:$A$3001,0))&amp;"",""))</f>
        <v/>
      </c>
      <c r="J1949" s="27" t="str">
        <f aca="false">IF(OR(G1949="",G1949="?"),"",IFERROR(INDEX(Pubs!$G$2:$G$3001,MATCH(G1949,Pubs!$A$2:$A$3001,0))&amp;"",""))</f>
        <v/>
      </c>
      <c r="K1949" s="28" t="str">
        <f aca="false">IF(OR(G1949="",G1949="?"),"",IFERROR(INDEX(Pubs!$E$2:$E$3001,MATCH(G1949,Pubs!$A$2:$A$3001,0)),""))</f>
        <v/>
      </c>
      <c r="L1949" s="29" t="str">
        <f aca="false">IF(A1949="","",IFERROR(1/(1/INDEX(Numéros!$C$2:$C$3001,MATCH(A1949&amp;"|"&amp;B1949,Numéros!$F$2:$F$3001,0))),""))</f>
        <v/>
      </c>
      <c r="M1949" s="27" t="str">
        <f aca="false">IF(OR(G1949="",G1949="?"),"",IFERROR(INDEX(Pubs!$D$2:$D$3001,MATCH(G1949,Pubs!$A$2:$A$3001,0))&amp;"",""))</f>
        <v/>
      </c>
      <c r="N1949" s="27" t="n">
        <f aca="false">N(N1948)+IF(AND(A1949&lt;&gt;"",OR(Recherche!$C$4="",A1949=Recherche!$C$4),OR(Recherche!$C$5="",B1949&amp;""=Recherche!$C$5&amp;""),OR(Recherche!$C$6="",IFERROR(YEAR(L1949),0)=Recherche!$C$6),OR(Recherche!$C$7="",ISNUMBER(SEARCH(Recherche!$C$7,H1949))),OR(Recherche!$C$8="",J1949=Recherche!$C$8),OR(Recherche!$C$9="",I1949=Recherche!$C$9),OR(Recherche!$C$10="",G1949&amp;""=Recherche!$C$10&amp;""),OR(Recherche!$C$11="",E1949=Recherche!$C$11),OR(Recherche!$C$12="",ISNUMBER(SEARCH(Recherche!$C$12,M1949&amp;" "&amp;F1949)))),1,0)</f>
        <v>8</v>
      </c>
    </row>
    <row r="1950" customFormat="false" ht="15" hidden="false" customHeight="false" outlineLevel="0" collapsed="false">
      <c r="A1950" s="19"/>
      <c r="B1950" s="19"/>
      <c r="C1950" s="19"/>
      <c r="D1950" s="19"/>
      <c r="E1950" s="22"/>
      <c r="F1950" s="19"/>
      <c r="G1950" s="26" t="str">
        <f aca="false">IF(D1950="","",IFERROR(VALUE(LEFT(D1950,FIND(" |",D1950&amp;" |")-1)),"?"))</f>
        <v/>
      </c>
      <c r="H1950" s="27" t="str">
        <f aca="false">IF(G1950="","",IF(G1950="?","⚠ pub inconnue",IFERROR(INDEX(Pubs!$B$2:$B$3001,MATCH(G1950,Pubs!$A$2:$A$3001,0))&amp;"","⚠ pub inconnue")))</f>
        <v/>
      </c>
      <c r="I1950" s="27" t="str">
        <f aca="false">IF(OR(G1950="",G1950="?"),"",IFERROR(INDEX(Pubs!$C$2:$C$3001,MATCH(G1950,Pubs!$A$2:$A$3001,0))&amp;"",""))</f>
        <v/>
      </c>
      <c r="J1950" s="27" t="str">
        <f aca="false">IF(OR(G1950="",G1950="?"),"",IFERROR(INDEX(Pubs!$G$2:$G$3001,MATCH(G1950,Pubs!$A$2:$A$3001,0))&amp;"",""))</f>
        <v/>
      </c>
      <c r="K1950" s="28" t="str">
        <f aca="false">IF(OR(G1950="",G1950="?"),"",IFERROR(INDEX(Pubs!$E$2:$E$3001,MATCH(G1950,Pubs!$A$2:$A$3001,0)),""))</f>
        <v/>
      </c>
      <c r="L1950" s="29" t="str">
        <f aca="false">IF(A1950="","",IFERROR(1/(1/INDEX(Numéros!$C$2:$C$3001,MATCH(A1950&amp;"|"&amp;B1950,Numéros!$F$2:$F$3001,0))),""))</f>
        <v/>
      </c>
      <c r="M1950" s="27" t="str">
        <f aca="false">IF(OR(G1950="",G1950="?"),"",IFERROR(INDEX(Pubs!$D$2:$D$3001,MATCH(G1950,Pubs!$A$2:$A$3001,0))&amp;"",""))</f>
        <v/>
      </c>
      <c r="N1950" s="27" t="n">
        <f aca="false">N(N1949)+IF(AND(A1950&lt;&gt;"",OR(Recherche!$C$4="",A1950=Recherche!$C$4),OR(Recherche!$C$5="",B1950&amp;""=Recherche!$C$5&amp;""),OR(Recherche!$C$6="",IFERROR(YEAR(L1950),0)=Recherche!$C$6),OR(Recherche!$C$7="",ISNUMBER(SEARCH(Recherche!$C$7,H1950))),OR(Recherche!$C$8="",J1950=Recherche!$C$8),OR(Recherche!$C$9="",I1950=Recherche!$C$9),OR(Recherche!$C$10="",G1950&amp;""=Recherche!$C$10&amp;""),OR(Recherche!$C$11="",E1950=Recherche!$C$11),OR(Recherche!$C$12="",ISNUMBER(SEARCH(Recherche!$C$12,M1950&amp;" "&amp;F1950)))),1,0)</f>
        <v>8</v>
      </c>
    </row>
    <row r="1951" customFormat="false" ht="15" hidden="false" customHeight="false" outlineLevel="0" collapsed="false">
      <c r="A1951" s="19"/>
      <c r="B1951" s="19"/>
      <c r="C1951" s="19"/>
      <c r="D1951" s="19"/>
      <c r="E1951" s="22"/>
      <c r="F1951" s="19"/>
      <c r="G1951" s="26" t="str">
        <f aca="false">IF(D1951="","",IFERROR(VALUE(LEFT(D1951,FIND(" |",D1951&amp;" |")-1)),"?"))</f>
        <v/>
      </c>
      <c r="H1951" s="27" t="str">
        <f aca="false">IF(G1951="","",IF(G1951="?","⚠ pub inconnue",IFERROR(INDEX(Pubs!$B$2:$B$3001,MATCH(G1951,Pubs!$A$2:$A$3001,0))&amp;"","⚠ pub inconnue")))</f>
        <v/>
      </c>
      <c r="I1951" s="27" t="str">
        <f aca="false">IF(OR(G1951="",G1951="?"),"",IFERROR(INDEX(Pubs!$C$2:$C$3001,MATCH(G1951,Pubs!$A$2:$A$3001,0))&amp;"",""))</f>
        <v/>
      </c>
      <c r="J1951" s="27" t="str">
        <f aca="false">IF(OR(G1951="",G1951="?"),"",IFERROR(INDEX(Pubs!$G$2:$G$3001,MATCH(G1951,Pubs!$A$2:$A$3001,0))&amp;"",""))</f>
        <v/>
      </c>
      <c r="K1951" s="28" t="str">
        <f aca="false">IF(OR(G1951="",G1951="?"),"",IFERROR(INDEX(Pubs!$E$2:$E$3001,MATCH(G1951,Pubs!$A$2:$A$3001,0)),""))</f>
        <v/>
      </c>
      <c r="L1951" s="29" t="str">
        <f aca="false">IF(A1951="","",IFERROR(1/(1/INDEX(Numéros!$C$2:$C$3001,MATCH(A1951&amp;"|"&amp;B1951,Numéros!$F$2:$F$3001,0))),""))</f>
        <v/>
      </c>
      <c r="M1951" s="27" t="str">
        <f aca="false">IF(OR(G1951="",G1951="?"),"",IFERROR(INDEX(Pubs!$D$2:$D$3001,MATCH(G1951,Pubs!$A$2:$A$3001,0))&amp;"",""))</f>
        <v/>
      </c>
      <c r="N1951" s="27" t="n">
        <f aca="false">N(N1950)+IF(AND(A1951&lt;&gt;"",OR(Recherche!$C$4="",A1951=Recherche!$C$4),OR(Recherche!$C$5="",B1951&amp;""=Recherche!$C$5&amp;""),OR(Recherche!$C$6="",IFERROR(YEAR(L1951),0)=Recherche!$C$6),OR(Recherche!$C$7="",ISNUMBER(SEARCH(Recherche!$C$7,H1951))),OR(Recherche!$C$8="",J1951=Recherche!$C$8),OR(Recherche!$C$9="",I1951=Recherche!$C$9),OR(Recherche!$C$10="",G1951&amp;""=Recherche!$C$10&amp;""),OR(Recherche!$C$11="",E1951=Recherche!$C$11),OR(Recherche!$C$12="",ISNUMBER(SEARCH(Recherche!$C$12,M1951&amp;" "&amp;F1951)))),1,0)</f>
        <v>8</v>
      </c>
    </row>
    <row r="1952" customFormat="false" ht="15" hidden="false" customHeight="false" outlineLevel="0" collapsed="false">
      <c r="A1952" s="19"/>
      <c r="B1952" s="19"/>
      <c r="C1952" s="19"/>
      <c r="D1952" s="19"/>
      <c r="E1952" s="22"/>
      <c r="F1952" s="19"/>
      <c r="G1952" s="26" t="str">
        <f aca="false">IF(D1952="","",IFERROR(VALUE(LEFT(D1952,FIND(" |",D1952&amp;" |")-1)),"?"))</f>
        <v/>
      </c>
      <c r="H1952" s="27" t="str">
        <f aca="false">IF(G1952="","",IF(G1952="?","⚠ pub inconnue",IFERROR(INDEX(Pubs!$B$2:$B$3001,MATCH(G1952,Pubs!$A$2:$A$3001,0))&amp;"","⚠ pub inconnue")))</f>
        <v/>
      </c>
      <c r="I1952" s="27" t="str">
        <f aca="false">IF(OR(G1952="",G1952="?"),"",IFERROR(INDEX(Pubs!$C$2:$C$3001,MATCH(G1952,Pubs!$A$2:$A$3001,0))&amp;"",""))</f>
        <v/>
      </c>
      <c r="J1952" s="27" t="str">
        <f aca="false">IF(OR(G1952="",G1952="?"),"",IFERROR(INDEX(Pubs!$G$2:$G$3001,MATCH(G1952,Pubs!$A$2:$A$3001,0))&amp;"",""))</f>
        <v/>
      </c>
      <c r="K1952" s="28" t="str">
        <f aca="false">IF(OR(G1952="",G1952="?"),"",IFERROR(INDEX(Pubs!$E$2:$E$3001,MATCH(G1952,Pubs!$A$2:$A$3001,0)),""))</f>
        <v/>
      </c>
      <c r="L1952" s="29" t="str">
        <f aca="false">IF(A1952="","",IFERROR(1/(1/INDEX(Numéros!$C$2:$C$3001,MATCH(A1952&amp;"|"&amp;B1952,Numéros!$F$2:$F$3001,0))),""))</f>
        <v/>
      </c>
      <c r="M1952" s="27" t="str">
        <f aca="false">IF(OR(G1952="",G1952="?"),"",IFERROR(INDEX(Pubs!$D$2:$D$3001,MATCH(G1952,Pubs!$A$2:$A$3001,0))&amp;"",""))</f>
        <v/>
      </c>
      <c r="N1952" s="27" t="n">
        <f aca="false">N(N1951)+IF(AND(A1952&lt;&gt;"",OR(Recherche!$C$4="",A1952=Recherche!$C$4),OR(Recherche!$C$5="",B1952&amp;""=Recherche!$C$5&amp;""),OR(Recherche!$C$6="",IFERROR(YEAR(L1952),0)=Recherche!$C$6),OR(Recherche!$C$7="",ISNUMBER(SEARCH(Recherche!$C$7,H1952))),OR(Recherche!$C$8="",J1952=Recherche!$C$8),OR(Recherche!$C$9="",I1952=Recherche!$C$9),OR(Recherche!$C$10="",G1952&amp;""=Recherche!$C$10&amp;""),OR(Recherche!$C$11="",E1952=Recherche!$C$11),OR(Recherche!$C$12="",ISNUMBER(SEARCH(Recherche!$C$12,M1952&amp;" "&amp;F1952)))),1,0)</f>
        <v>8</v>
      </c>
    </row>
    <row r="1953" customFormat="false" ht="15" hidden="false" customHeight="false" outlineLevel="0" collapsed="false">
      <c r="A1953" s="19"/>
      <c r="B1953" s="19"/>
      <c r="C1953" s="19"/>
      <c r="D1953" s="19"/>
      <c r="E1953" s="22"/>
      <c r="F1953" s="19"/>
      <c r="G1953" s="26" t="str">
        <f aca="false">IF(D1953="","",IFERROR(VALUE(LEFT(D1953,FIND(" |",D1953&amp;" |")-1)),"?"))</f>
        <v/>
      </c>
      <c r="H1953" s="27" t="str">
        <f aca="false">IF(G1953="","",IF(G1953="?","⚠ pub inconnue",IFERROR(INDEX(Pubs!$B$2:$B$3001,MATCH(G1953,Pubs!$A$2:$A$3001,0))&amp;"","⚠ pub inconnue")))</f>
        <v/>
      </c>
      <c r="I1953" s="27" t="str">
        <f aca="false">IF(OR(G1953="",G1953="?"),"",IFERROR(INDEX(Pubs!$C$2:$C$3001,MATCH(G1953,Pubs!$A$2:$A$3001,0))&amp;"",""))</f>
        <v/>
      </c>
      <c r="J1953" s="27" t="str">
        <f aca="false">IF(OR(G1953="",G1953="?"),"",IFERROR(INDEX(Pubs!$G$2:$G$3001,MATCH(G1953,Pubs!$A$2:$A$3001,0))&amp;"",""))</f>
        <v/>
      </c>
      <c r="K1953" s="28" t="str">
        <f aca="false">IF(OR(G1953="",G1953="?"),"",IFERROR(INDEX(Pubs!$E$2:$E$3001,MATCH(G1953,Pubs!$A$2:$A$3001,0)),""))</f>
        <v/>
      </c>
      <c r="L1953" s="29" t="str">
        <f aca="false">IF(A1953="","",IFERROR(1/(1/INDEX(Numéros!$C$2:$C$3001,MATCH(A1953&amp;"|"&amp;B1953,Numéros!$F$2:$F$3001,0))),""))</f>
        <v/>
      </c>
      <c r="M1953" s="27" t="str">
        <f aca="false">IF(OR(G1953="",G1953="?"),"",IFERROR(INDEX(Pubs!$D$2:$D$3001,MATCH(G1953,Pubs!$A$2:$A$3001,0))&amp;"",""))</f>
        <v/>
      </c>
      <c r="N1953" s="27" t="n">
        <f aca="false">N(N1952)+IF(AND(A1953&lt;&gt;"",OR(Recherche!$C$4="",A1953=Recherche!$C$4),OR(Recherche!$C$5="",B1953&amp;""=Recherche!$C$5&amp;""),OR(Recherche!$C$6="",IFERROR(YEAR(L1953),0)=Recherche!$C$6),OR(Recherche!$C$7="",ISNUMBER(SEARCH(Recherche!$C$7,H1953))),OR(Recherche!$C$8="",J1953=Recherche!$C$8),OR(Recherche!$C$9="",I1953=Recherche!$C$9),OR(Recherche!$C$10="",G1953&amp;""=Recherche!$C$10&amp;""),OR(Recherche!$C$11="",E1953=Recherche!$C$11),OR(Recherche!$C$12="",ISNUMBER(SEARCH(Recherche!$C$12,M1953&amp;" "&amp;F1953)))),1,0)</f>
        <v>8</v>
      </c>
    </row>
    <row r="1954" customFormat="false" ht="15" hidden="false" customHeight="false" outlineLevel="0" collapsed="false">
      <c r="A1954" s="19"/>
      <c r="B1954" s="19"/>
      <c r="C1954" s="19"/>
      <c r="D1954" s="19"/>
      <c r="E1954" s="22"/>
      <c r="F1954" s="19"/>
      <c r="G1954" s="26" t="str">
        <f aca="false">IF(D1954="","",IFERROR(VALUE(LEFT(D1954,FIND(" |",D1954&amp;" |")-1)),"?"))</f>
        <v/>
      </c>
      <c r="H1954" s="27" t="str">
        <f aca="false">IF(G1954="","",IF(G1954="?","⚠ pub inconnue",IFERROR(INDEX(Pubs!$B$2:$B$3001,MATCH(G1954,Pubs!$A$2:$A$3001,0))&amp;"","⚠ pub inconnue")))</f>
        <v/>
      </c>
      <c r="I1954" s="27" t="str">
        <f aca="false">IF(OR(G1954="",G1954="?"),"",IFERROR(INDEX(Pubs!$C$2:$C$3001,MATCH(G1954,Pubs!$A$2:$A$3001,0))&amp;"",""))</f>
        <v/>
      </c>
      <c r="J1954" s="27" t="str">
        <f aca="false">IF(OR(G1954="",G1954="?"),"",IFERROR(INDEX(Pubs!$G$2:$G$3001,MATCH(G1954,Pubs!$A$2:$A$3001,0))&amp;"",""))</f>
        <v/>
      </c>
      <c r="K1954" s="28" t="str">
        <f aca="false">IF(OR(G1954="",G1954="?"),"",IFERROR(INDEX(Pubs!$E$2:$E$3001,MATCH(G1954,Pubs!$A$2:$A$3001,0)),""))</f>
        <v/>
      </c>
      <c r="L1954" s="29" t="str">
        <f aca="false">IF(A1954="","",IFERROR(1/(1/INDEX(Numéros!$C$2:$C$3001,MATCH(A1954&amp;"|"&amp;B1954,Numéros!$F$2:$F$3001,0))),""))</f>
        <v/>
      </c>
      <c r="M1954" s="27" t="str">
        <f aca="false">IF(OR(G1954="",G1954="?"),"",IFERROR(INDEX(Pubs!$D$2:$D$3001,MATCH(G1954,Pubs!$A$2:$A$3001,0))&amp;"",""))</f>
        <v/>
      </c>
      <c r="N1954" s="27" t="n">
        <f aca="false">N(N1953)+IF(AND(A1954&lt;&gt;"",OR(Recherche!$C$4="",A1954=Recherche!$C$4),OR(Recherche!$C$5="",B1954&amp;""=Recherche!$C$5&amp;""),OR(Recherche!$C$6="",IFERROR(YEAR(L1954),0)=Recherche!$C$6),OR(Recherche!$C$7="",ISNUMBER(SEARCH(Recherche!$C$7,H1954))),OR(Recherche!$C$8="",J1954=Recherche!$C$8),OR(Recherche!$C$9="",I1954=Recherche!$C$9),OR(Recherche!$C$10="",G1954&amp;""=Recherche!$C$10&amp;""),OR(Recherche!$C$11="",E1954=Recherche!$C$11),OR(Recherche!$C$12="",ISNUMBER(SEARCH(Recherche!$C$12,M1954&amp;" "&amp;F1954)))),1,0)</f>
        <v>8</v>
      </c>
    </row>
    <row r="1955" customFormat="false" ht="15" hidden="false" customHeight="false" outlineLevel="0" collapsed="false">
      <c r="A1955" s="19"/>
      <c r="B1955" s="19"/>
      <c r="C1955" s="19"/>
      <c r="D1955" s="19"/>
      <c r="E1955" s="22"/>
      <c r="F1955" s="19"/>
      <c r="G1955" s="26" t="str">
        <f aca="false">IF(D1955="","",IFERROR(VALUE(LEFT(D1955,FIND(" |",D1955&amp;" |")-1)),"?"))</f>
        <v/>
      </c>
      <c r="H1955" s="27" t="str">
        <f aca="false">IF(G1955="","",IF(G1955="?","⚠ pub inconnue",IFERROR(INDEX(Pubs!$B$2:$B$3001,MATCH(G1955,Pubs!$A$2:$A$3001,0))&amp;"","⚠ pub inconnue")))</f>
        <v/>
      </c>
      <c r="I1955" s="27" t="str">
        <f aca="false">IF(OR(G1955="",G1955="?"),"",IFERROR(INDEX(Pubs!$C$2:$C$3001,MATCH(G1955,Pubs!$A$2:$A$3001,0))&amp;"",""))</f>
        <v/>
      </c>
      <c r="J1955" s="27" t="str">
        <f aca="false">IF(OR(G1955="",G1955="?"),"",IFERROR(INDEX(Pubs!$G$2:$G$3001,MATCH(G1955,Pubs!$A$2:$A$3001,0))&amp;"",""))</f>
        <v/>
      </c>
      <c r="K1955" s="28" t="str">
        <f aca="false">IF(OR(G1955="",G1955="?"),"",IFERROR(INDEX(Pubs!$E$2:$E$3001,MATCH(G1955,Pubs!$A$2:$A$3001,0)),""))</f>
        <v/>
      </c>
      <c r="L1955" s="29" t="str">
        <f aca="false">IF(A1955="","",IFERROR(1/(1/INDEX(Numéros!$C$2:$C$3001,MATCH(A1955&amp;"|"&amp;B1955,Numéros!$F$2:$F$3001,0))),""))</f>
        <v/>
      </c>
      <c r="M1955" s="27" t="str">
        <f aca="false">IF(OR(G1955="",G1955="?"),"",IFERROR(INDEX(Pubs!$D$2:$D$3001,MATCH(G1955,Pubs!$A$2:$A$3001,0))&amp;"",""))</f>
        <v/>
      </c>
      <c r="N1955" s="27" t="n">
        <f aca="false">N(N1954)+IF(AND(A1955&lt;&gt;"",OR(Recherche!$C$4="",A1955=Recherche!$C$4),OR(Recherche!$C$5="",B1955&amp;""=Recherche!$C$5&amp;""),OR(Recherche!$C$6="",IFERROR(YEAR(L1955),0)=Recherche!$C$6),OR(Recherche!$C$7="",ISNUMBER(SEARCH(Recherche!$C$7,H1955))),OR(Recherche!$C$8="",J1955=Recherche!$C$8),OR(Recherche!$C$9="",I1955=Recherche!$C$9),OR(Recherche!$C$10="",G1955&amp;""=Recherche!$C$10&amp;""),OR(Recherche!$C$11="",E1955=Recherche!$C$11),OR(Recherche!$C$12="",ISNUMBER(SEARCH(Recherche!$C$12,M1955&amp;" "&amp;F1955)))),1,0)</f>
        <v>8</v>
      </c>
    </row>
    <row r="1956" customFormat="false" ht="15" hidden="false" customHeight="false" outlineLevel="0" collapsed="false">
      <c r="A1956" s="19"/>
      <c r="B1956" s="19"/>
      <c r="C1956" s="19"/>
      <c r="D1956" s="19"/>
      <c r="E1956" s="22"/>
      <c r="F1956" s="19"/>
      <c r="G1956" s="26" t="str">
        <f aca="false">IF(D1956="","",IFERROR(VALUE(LEFT(D1956,FIND(" |",D1956&amp;" |")-1)),"?"))</f>
        <v/>
      </c>
      <c r="H1956" s="27" t="str">
        <f aca="false">IF(G1956="","",IF(G1956="?","⚠ pub inconnue",IFERROR(INDEX(Pubs!$B$2:$B$3001,MATCH(G1956,Pubs!$A$2:$A$3001,0))&amp;"","⚠ pub inconnue")))</f>
        <v/>
      </c>
      <c r="I1956" s="27" t="str">
        <f aca="false">IF(OR(G1956="",G1956="?"),"",IFERROR(INDEX(Pubs!$C$2:$C$3001,MATCH(G1956,Pubs!$A$2:$A$3001,0))&amp;"",""))</f>
        <v/>
      </c>
      <c r="J1956" s="27" t="str">
        <f aca="false">IF(OR(G1956="",G1956="?"),"",IFERROR(INDEX(Pubs!$G$2:$G$3001,MATCH(G1956,Pubs!$A$2:$A$3001,0))&amp;"",""))</f>
        <v/>
      </c>
      <c r="K1956" s="28" t="str">
        <f aca="false">IF(OR(G1956="",G1956="?"),"",IFERROR(INDEX(Pubs!$E$2:$E$3001,MATCH(G1956,Pubs!$A$2:$A$3001,0)),""))</f>
        <v/>
      </c>
      <c r="L1956" s="29" t="str">
        <f aca="false">IF(A1956="","",IFERROR(1/(1/INDEX(Numéros!$C$2:$C$3001,MATCH(A1956&amp;"|"&amp;B1956,Numéros!$F$2:$F$3001,0))),""))</f>
        <v/>
      </c>
      <c r="M1956" s="27" t="str">
        <f aca="false">IF(OR(G1956="",G1956="?"),"",IFERROR(INDEX(Pubs!$D$2:$D$3001,MATCH(G1956,Pubs!$A$2:$A$3001,0))&amp;"",""))</f>
        <v/>
      </c>
      <c r="N1956" s="27" t="n">
        <f aca="false">N(N1955)+IF(AND(A1956&lt;&gt;"",OR(Recherche!$C$4="",A1956=Recherche!$C$4),OR(Recherche!$C$5="",B1956&amp;""=Recherche!$C$5&amp;""),OR(Recherche!$C$6="",IFERROR(YEAR(L1956),0)=Recherche!$C$6),OR(Recherche!$C$7="",ISNUMBER(SEARCH(Recherche!$C$7,H1956))),OR(Recherche!$C$8="",J1956=Recherche!$C$8),OR(Recherche!$C$9="",I1956=Recherche!$C$9),OR(Recherche!$C$10="",G1956&amp;""=Recherche!$C$10&amp;""),OR(Recherche!$C$11="",E1956=Recherche!$C$11),OR(Recherche!$C$12="",ISNUMBER(SEARCH(Recherche!$C$12,M1956&amp;" "&amp;F1956)))),1,0)</f>
        <v>8</v>
      </c>
    </row>
    <row r="1957" customFormat="false" ht="15" hidden="false" customHeight="false" outlineLevel="0" collapsed="false">
      <c r="A1957" s="19"/>
      <c r="B1957" s="19"/>
      <c r="C1957" s="19"/>
      <c r="D1957" s="19"/>
      <c r="E1957" s="22"/>
      <c r="F1957" s="19"/>
      <c r="G1957" s="26" t="str">
        <f aca="false">IF(D1957="","",IFERROR(VALUE(LEFT(D1957,FIND(" |",D1957&amp;" |")-1)),"?"))</f>
        <v/>
      </c>
      <c r="H1957" s="27" t="str">
        <f aca="false">IF(G1957="","",IF(G1957="?","⚠ pub inconnue",IFERROR(INDEX(Pubs!$B$2:$B$3001,MATCH(G1957,Pubs!$A$2:$A$3001,0))&amp;"","⚠ pub inconnue")))</f>
        <v/>
      </c>
      <c r="I1957" s="27" t="str">
        <f aca="false">IF(OR(G1957="",G1957="?"),"",IFERROR(INDEX(Pubs!$C$2:$C$3001,MATCH(G1957,Pubs!$A$2:$A$3001,0))&amp;"",""))</f>
        <v/>
      </c>
      <c r="J1957" s="27" t="str">
        <f aca="false">IF(OR(G1957="",G1957="?"),"",IFERROR(INDEX(Pubs!$G$2:$G$3001,MATCH(G1957,Pubs!$A$2:$A$3001,0))&amp;"",""))</f>
        <v/>
      </c>
      <c r="K1957" s="28" t="str">
        <f aca="false">IF(OR(G1957="",G1957="?"),"",IFERROR(INDEX(Pubs!$E$2:$E$3001,MATCH(G1957,Pubs!$A$2:$A$3001,0)),""))</f>
        <v/>
      </c>
      <c r="L1957" s="29" t="str">
        <f aca="false">IF(A1957="","",IFERROR(1/(1/INDEX(Numéros!$C$2:$C$3001,MATCH(A1957&amp;"|"&amp;B1957,Numéros!$F$2:$F$3001,0))),""))</f>
        <v/>
      </c>
      <c r="M1957" s="27" t="str">
        <f aca="false">IF(OR(G1957="",G1957="?"),"",IFERROR(INDEX(Pubs!$D$2:$D$3001,MATCH(G1957,Pubs!$A$2:$A$3001,0))&amp;"",""))</f>
        <v/>
      </c>
      <c r="N1957" s="27" t="n">
        <f aca="false">N(N1956)+IF(AND(A1957&lt;&gt;"",OR(Recherche!$C$4="",A1957=Recherche!$C$4),OR(Recherche!$C$5="",B1957&amp;""=Recherche!$C$5&amp;""),OR(Recherche!$C$6="",IFERROR(YEAR(L1957),0)=Recherche!$C$6),OR(Recherche!$C$7="",ISNUMBER(SEARCH(Recherche!$C$7,H1957))),OR(Recherche!$C$8="",J1957=Recherche!$C$8),OR(Recherche!$C$9="",I1957=Recherche!$C$9),OR(Recherche!$C$10="",G1957&amp;""=Recherche!$C$10&amp;""),OR(Recherche!$C$11="",E1957=Recherche!$C$11),OR(Recherche!$C$12="",ISNUMBER(SEARCH(Recherche!$C$12,M1957&amp;" "&amp;F1957)))),1,0)</f>
        <v>8</v>
      </c>
    </row>
    <row r="1958" customFormat="false" ht="15" hidden="false" customHeight="false" outlineLevel="0" collapsed="false">
      <c r="A1958" s="19"/>
      <c r="B1958" s="19"/>
      <c r="C1958" s="19"/>
      <c r="D1958" s="19"/>
      <c r="E1958" s="22"/>
      <c r="F1958" s="19"/>
      <c r="G1958" s="26" t="str">
        <f aca="false">IF(D1958="","",IFERROR(VALUE(LEFT(D1958,FIND(" |",D1958&amp;" |")-1)),"?"))</f>
        <v/>
      </c>
      <c r="H1958" s="27" t="str">
        <f aca="false">IF(G1958="","",IF(G1958="?","⚠ pub inconnue",IFERROR(INDEX(Pubs!$B$2:$B$3001,MATCH(G1958,Pubs!$A$2:$A$3001,0))&amp;"","⚠ pub inconnue")))</f>
        <v/>
      </c>
      <c r="I1958" s="27" t="str">
        <f aca="false">IF(OR(G1958="",G1958="?"),"",IFERROR(INDEX(Pubs!$C$2:$C$3001,MATCH(G1958,Pubs!$A$2:$A$3001,0))&amp;"",""))</f>
        <v/>
      </c>
      <c r="J1958" s="27" t="str">
        <f aca="false">IF(OR(G1958="",G1958="?"),"",IFERROR(INDEX(Pubs!$G$2:$G$3001,MATCH(G1958,Pubs!$A$2:$A$3001,0))&amp;"",""))</f>
        <v/>
      </c>
      <c r="K1958" s="28" t="str">
        <f aca="false">IF(OR(G1958="",G1958="?"),"",IFERROR(INDEX(Pubs!$E$2:$E$3001,MATCH(G1958,Pubs!$A$2:$A$3001,0)),""))</f>
        <v/>
      </c>
      <c r="L1958" s="29" t="str">
        <f aca="false">IF(A1958="","",IFERROR(1/(1/INDEX(Numéros!$C$2:$C$3001,MATCH(A1958&amp;"|"&amp;B1958,Numéros!$F$2:$F$3001,0))),""))</f>
        <v/>
      </c>
      <c r="M1958" s="27" t="str">
        <f aca="false">IF(OR(G1958="",G1958="?"),"",IFERROR(INDEX(Pubs!$D$2:$D$3001,MATCH(G1958,Pubs!$A$2:$A$3001,0))&amp;"",""))</f>
        <v/>
      </c>
      <c r="N1958" s="27" t="n">
        <f aca="false">N(N1957)+IF(AND(A1958&lt;&gt;"",OR(Recherche!$C$4="",A1958=Recherche!$C$4),OR(Recherche!$C$5="",B1958&amp;""=Recherche!$C$5&amp;""),OR(Recherche!$C$6="",IFERROR(YEAR(L1958),0)=Recherche!$C$6),OR(Recherche!$C$7="",ISNUMBER(SEARCH(Recherche!$C$7,H1958))),OR(Recherche!$C$8="",J1958=Recherche!$C$8),OR(Recherche!$C$9="",I1958=Recherche!$C$9),OR(Recherche!$C$10="",G1958&amp;""=Recherche!$C$10&amp;""),OR(Recherche!$C$11="",E1958=Recherche!$C$11),OR(Recherche!$C$12="",ISNUMBER(SEARCH(Recherche!$C$12,M1958&amp;" "&amp;F1958)))),1,0)</f>
        <v>8</v>
      </c>
    </row>
    <row r="1959" customFormat="false" ht="15" hidden="false" customHeight="false" outlineLevel="0" collapsed="false">
      <c r="A1959" s="19"/>
      <c r="B1959" s="19"/>
      <c r="C1959" s="19"/>
      <c r="D1959" s="19"/>
      <c r="E1959" s="22"/>
      <c r="F1959" s="19"/>
      <c r="G1959" s="26" t="str">
        <f aca="false">IF(D1959="","",IFERROR(VALUE(LEFT(D1959,FIND(" |",D1959&amp;" |")-1)),"?"))</f>
        <v/>
      </c>
      <c r="H1959" s="27" t="str">
        <f aca="false">IF(G1959="","",IF(G1959="?","⚠ pub inconnue",IFERROR(INDEX(Pubs!$B$2:$B$3001,MATCH(G1959,Pubs!$A$2:$A$3001,0))&amp;"","⚠ pub inconnue")))</f>
        <v/>
      </c>
      <c r="I1959" s="27" t="str">
        <f aca="false">IF(OR(G1959="",G1959="?"),"",IFERROR(INDEX(Pubs!$C$2:$C$3001,MATCH(G1959,Pubs!$A$2:$A$3001,0))&amp;"",""))</f>
        <v/>
      </c>
      <c r="J1959" s="27" t="str">
        <f aca="false">IF(OR(G1959="",G1959="?"),"",IFERROR(INDEX(Pubs!$G$2:$G$3001,MATCH(G1959,Pubs!$A$2:$A$3001,0))&amp;"",""))</f>
        <v/>
      </c>
      <c r="K1959" s="28" t="str">
        <f aca="false">IF(OR(G1959="",G1959="?"),"",IFERROR(INDEX(Pubs!$E$2:$E$3001,MATCH(G1959,Pubs!$A$2:$A$3001,0)),""))</f>
        <v/>
      </c>
      <c r="L1959" s="29" t="str">
        <f aca="false">IF(A1959="","",IFERROR(1/(1/INDEX(Numéros!$C$2:$C$3001,MATCH(A1959&amp;"|"&amp;B1959,Numéros!$F$2:$F$3001,0))),""))</f>
        <v/>
      </c>
      <c r="M1959" s="27" t="str">
        <f aca="false">IF(OR(G1959="",G1959="?"),"",IFERROR(INDEX(Pubs!$D$2:$D$3001,MATCH(G1959,Pubs!$A$2:$A$3001,0))&amp;"",""))</f>
        <v/>
      </c>
      <c r="N1959" s="27" t="n">
        <f aca="false">N(N1958)+IF(AND(A1959&lt;&gt;"",OR(Recherche!$C$4="",A1959=Recherche!$C$4),OR(Recherche!$C$5="",B1959&amp;""=Recherche!$C$5&amp;""),OR(Recherche!$C$6="",IFERROR(YEAR(L1959),0)=Recherche!$C$6),OR(Recherche!$C$7="",ISNUMBER(SEARCH(Recherche!$C$7,H1959))),OR(Recherche!$C$8="",J1959=Recherche!$C$8),OR(Recherche!$C$9="",I1959=Recherche!$C$9),OR(Recherche!$C$10="",G1959&amp;""=Recherche!$C$10&amp;""),OR(Recherche!$C$11="",E1959=Recherche!$C$11),OR(Recherche!$C$12="",ISNUMBER(SEARCH(Recherche!$C$12,M1959&amp;" "&amp;F1959)))),1,0)</f>
        <v>8</v>
      </c>
    </row>
    <row r="1960" customFormat="false" ht="15" hidden="false" customHeight="false" outlineLevel="0" collapsed="false">
      <c r="A1960" s="19"/>
      <c r="B1960" s="19"/>
      <c r="C1960" s="19"/>
      <c r="D1960" s="19"/>
      <c r="E1960" s="22"/>
      <c r="F1960" s="19"/>
      <c r="G1960" s="26" t="str">
        <f aca="false">IF(D1960="","",IFERROR(VALUE(LEFT(D1960,FIND(" |",D1960&amp;" |")-1)),"?"))</f>
        <v/>
      </c>
      <c r="H1960" s="27" t="str">
        <f aca="false">IF(G1960="","",IF(G1960="?","⚠ pub inconnue",IFERROR(INDEX(Pubs!$B$2:$B$3001,MATCH(G1960,Pubs!$A$2:$A$3001,0))&amp;"","⚠ pub inconnue")))</f>
        <v/>
      </c>
      <c r="I1960" s="27" t="str">
        <f aca="false">IF(OR(G1960="",G1960="?"),"",IFERROR(INDEX(Pubs!$C$2:$C$3001,MATCH(G1960,Pubs!$A$2:$A$3001,0))&amp;"",""))</f>
        <v/>
      </c>
      <c r="J1960" s="27" t="str">
        <f aca="false">IF(OR(G1960="",G1960="?"),"",IFERROR(INDEX(Pubs!$G$2:$G$3001,MATCH(G1960,Pubs!$A$2:$A$3001,0))&amp;"",""))</f>
        <v/>
      </c>
      <c r="K1960" s="28" t="str">
        <f aca="false">IF(OR(G1960="",G1960="?"),"",IFERROR(INDEX(Pubs!$E$2:$E$3001,MATCH(G1960,Pubs!$A$2:$A$3001,0)),""))</f>
        <v/>
      </c>
      <c r="L1960" s="29" t="str">
        <f aca="false">IF(A1960="","",IFERROR(1/(1/INDEX(Numéros!$C$2:$C$3001,MATCH(A1960&amp;"|"&amp;B1960,Numéros!$F$2:$F$3001,0))),""))</f>
        <v/>
      </c>
      <c r="M1960" s="27" t="str">
        <f aca="false">IF(OR(G1960="",G1960="?"),"",IFERROR(INDEX(Pubs!$D$2:$D$3001,MATCH(G1960,Pubs!$A$2:$A$3001,0))&amp;"",""))</f>
        <v/>
      </c>
      <c r="N1960" s="27" t="n">
        <f aca="false">N(N1959)+IF(AND(A1960&lt;&gt;"",OR(Recherche!$C$4="",A1960=Recherche!$C$4),OR(Recherche!$C$5="",B1960&amp;""=Recherche!$C$5&amp;""),OR(Recherche!$C$6="",IFERROR(YEAR(L1960),0)=Recherche!$C$6),OR(Recherche!$C$7="",ISNUMBER(SEARCH(Recherche!$C$7,H1960))),OR(Recherche!$C$8="",J1960=Recherche!$C$8),OR(Recherche!$C$9="",I1960=Recherche!$C$9),OR(Recherche!$C$10="",G1960&amp;""=Recherche!$C$10&amp;""),OR(Recherche!$C$11="",E1960=Recherche!$C$11),OR(Recherche!$C$12="",ISNUMBER(SEARCH(Recherche!$C$12,M1960&amp;" "&amp;F1960)))),1,0)</f>
        <v>8</v>
      </c>
    </row>
    <row r="1961" customFormat="false" ht="15" hidden="false" customHeight="false" outlineLevel="0" collapsed="false">
      <c r="A1961" s="19"/>
      <c r="B1961" s="19"/>
      <c r="C1961" s="19"/>
      <c r="D1961" s="19"/>
      <c r="E1961" s="22"/>
      <c r="F1961" s="19"/>
      <c r="G1961" s="26" t="str">
        <f aca="false">IF(D1961="","",IFERROR(VALUE(LEFT(D1961,FIND(" |",D1961&amp;" |")-1)),"?"))</f>
        <v/>
      </c>
      <c r="H1961" s="27" t="str">
        <f aca="false">IF(G1961="","",IF(G1961="?","⚠ pub inconnue",IFERROR(INDEX(Pubs!$B$2:$B$3001,MATCH(G1961,Pubs!$A$2:$A$3001,0))&amp;"","⚠ pub inconnue")))</f>
        <v/>
      </c>
      <c r="I1961" s="27" t="str">
        <f aca="false">IF(OR(G1961="",G1961="?"),"",IFERROR(INDEX(Pubs!$C$2:$C$3001,MATCH(G1961,Pubs!$A$2:$A$3001,0))&amp;"",""))</f>
        <v/>
      </c>
      <c r="J1961" s="27" t="str">
        <f aca="false">IF(OR(G1961="",G1961="?"),"",IFERROR(INDEX(Pubs!$G$2:$G$3001,MATCH(G1961,Pubs!$A$2:$A$3001,0))&amp;"",""))</f>
        <v/>
      </c>
      <c r="K1961" s="28" t="str">
        <f aca="false">IF(OR(G1961="",G1961="?"),"",IFERROR(INDEX(Pubs!$E$2:$E$3001,MATCH(G1961,Pubs!$A$2:$A$3001,0)),""))</f>
        <v/>
      </c>
      <c r="L1961" s="29" t="str">
        <f aca="false">IF(A1961="","",IFERROR(1/(1/INDEX(Numéros!$C$2:$C$3001,MATCH(A1961&amp;"|"&amp;B1961,Numéros!$F$2:$F$3001,0))),""))</f>
        <v/>
      </c>
      <c r="M1961" s="27" t="str">
        <f aca="false">IF(OR(G1961="",G1961="?"),"",IFERROR(INDEX(Pubs!$D$2:$D$3001,MATCH(G1961,Pubs!$A$2:$A$3001,0))&amp;"",""))</f>
        <v/>
      </c>
      <c r="N1961" s="27" t="n">
        <f aca="false">N(N1960)+IF(AND(A1961&lt;&gt;"",OR(Recherche!$C$4="",A1961=Recherche!$C$4),OR(Recherche!$C$5="",B1961&amp;""=Recherche!$C$5&amp;""),OR(Recherche!$C$6="",IFERROR(YEAR(L1961),0)=Recherche!$C$6),OR(Recherche!$C$7="",ISNUMBER(SEARCH(Recherche!$C$7,H1961))),OR(Recherche!$C$8="",J1961=Recherche!$C$8),OR(Recherche!$C$9="",I1961=Recherche!$C$9),OR(Recherche!$C$10="",G1961&amp;""=Recherche!$C$10&amp;""),OR(Recherche!$C$11="",E1961=Recherche!$C$11),OR(Recherche!$C$12="",ISNUMBER(SEARCH(Recherche!$C$12,M1961&amp;" "&amp;F1961)))),1,0)</f>
        <v>8</v>
      </c>
    </row>
    <row r="1962" customFormat="false" ht="15" hidden="false" customHeight="false" outlineLevel="0" collapsed="false">
      <c r="A1962" s="19"/>
      <c r="B1962" s="19"/>
      <c r="C1962" s="19"/>
      <c r="D1962" s="19"/>
      <c r="E1962" s="22"/>
      <c r="F1962" s="19"/>
      <c r="G1962" s="26" t="str">
        <f aca="false">IF(D1962="","",IFERROR(VALUE(LEFT(D1962,FIND(" |",D1962&amp;" |")-1)),"?"))</f>
        <v/>
      </c>
      <c r="H1962" s="27" t="str">
        <f aca="false">IF(G1962="","",IF(G1962="?","⚠ pub inconnue",IFERROR(INDEX(Pubs!$B$2:$B$3001,MATCH(G1962,Pubs!$A$2:$A$3001,0))&amp;"","⚠ pub inconnue")))</f>
        <v/>
      </c>
      <c r="I1962" s="27" t="str">
        <f aca="false">IF(OR(G1962="",G1962="?"),"",IFERROR(INDEX(Pubs!$C$2:$C$3001,MATCH(G1962,Pubs!$A$2:$A$3001,0))&amp;"",""))</f>
        <v/>
      </c>
      <c r="J1962" s="27" t="str">
        <f aca="false">IF(OR(G1962="",G1962="?"),"",IFERROR(INDEX(Pubs!$G$2:$G$3001,MATCH(G1962,Pubs!$A$2:$A$3001,0))&amp;"",""))</f>
        <v/>
      </c>
      <c r="K1962" s="28" t="str">
        <f aca="false">IF(OR(G1962="",G1962="?"),"",IFERROR(INDEX(Pubs!$E$2:$E$3001,MATCH(G1962,Pubs!$A$2:$A$3001,0)),""))</f>
        <v/>
      </c>
      <c r="L1962" s="29" t="str">
        <f aca="false">IF(A1962="","",IFERROR(1/(1/INDEX(Numéros!$C$2:$C$3001,MATCH(A1962&amp;"|"&amp;B1962,Numéros!$F$2:$F$3001,0))),""))</f>
        <v/>
      </c>
      <c r="M1962" s="27" t="str">
        <f aca="false">IF(OR(G1962="",G1962="?"),"",IFERROR(INDEX(Pubs!$D$2:$D$3001,MATCH(G1962,Pubs!$A$2:$A$3001,0))&amp;"",""))</f>
        <v/>
      </c>
      <c r="N1962" s="27" t="n">
        <f aca="false">N(N1961)+IF(AND(A1962&lt;&gt;"",OR(Recherche!$C$4="",A1962=Recherche!$C$4),OR(Recherche!$C$5="",B1962&amp;""=Recherche!$C$5&amp;""),OR(Recherche!$C$6="",IFERROR(YEAR(L1962),0)=Recherche!$C$6),OR(Recherche!$C$7="",ISNUMBER(SEARCH(Recherche!$C$7,H1962))),OR(Recherche!$C$8="",J1962=Recherche!$C$8),OR(Recherche!$C$9="",I1962=Recherche!$C$9),OR(Recherche!$C$10="",G1962&amp;""=Recherche!$C$10&amp;""),OR(Recherche!$C$11="",E1962=Recherche!$C$11),OR(Recherche!$C$12="",ISNUMBER(SEARCH(Recherche!$C$12,M1962&amp;" "&amp;F1962)))),1,0)</f>
        <v>8</v>
      </c>
    </row>
    <row r="1963" customFormat="false" ht="15" hidden="false" customHeight="false" outlineLevel="0" collapsed="false">
      <c r="A1963" s="19"/>
      <c r="B1963" s="19"/>
      <c r="C1963" s="19"/>
      <c r="D1963" s="19"/>
      <c r="E1963" s="22"/>
      <c r="F1963" s="19"/>
      <c r="G1963" s="26" t="str">
        <f aca="false">IF(D1963="","",IFERROR(VALUE(LEFT(D1963,FIND(" |",D1963&amp;" |")-1)),"?"))</f>
        <v/>
      </c>
      <c r="H1963" s="27" t="str">
        <f aca="false">IF(G1963="","",IF(G1963="?","⚠ pub inconnue",IFERROR(INDEX(Pubs!$B$2:$B$3001,MATCH(G1963,Pubs!$A$2:$A$3001,0))&amp;"","⚠ pub inconnue")))</f>
        <v/>
      </c>
      <c r="I1963" s="27" t="str">
        <f aca="false">IF(OR(G1963="",G1963="?"),"",IFERROR(INDEX(Pubs!$C$2:$C$3001,MATCH(G1963,Pubs!$A$2:$A$3001,0))&amp;"",""))</f>
        <v/>
      </c>
      <c r="J1963" s="27" t="str">
        <f aca="false">IF(OR(G1963="",G1963="?"),"",IFERROR(INDEX(Pubs!$G$2:$G$3001,MATCH(G1963,Pubs!$A$2:$A$3001,0))&amp;"",""))</f>
        <v/>
      </c>
      <c r="K1963" s="28" t="str">
        <f aca="false">IF(OR(G1963="",G1963="?"),"",IFERROR(INDEX(Pubs!$E$2:$E$3001,MATCH(G1963,Pubs!$A$2:$A$3001,0)),""))</f>
        <v/>
      </c>
      <c r="L1963" s="29" t="str">
        <f aca="false">IF(A1963="","",IFERROR(1/(1/INDEX(Numéros!$C$2:$C$3001,MATCH(A1963&amp;"|"&amp;B1963,Numéros!$F$2:$F$3001,0))),""))</f>
        <v/>
      </c>
      <c r="M1963" s="27" t="str">
        <f aca="false">IF(OR(G1963="",G1963="?"),"",IFERROR(INDEX(Pubs!$D$2:$D$3001,MATCH(G1963,Pubs!$A$2:$A$3001,0))&amp;"",""))</f>
        <v/>
      </c>
      <c r="N1963" s="27" t="n">
        <f aca="false">N(N1962)+IF(AND(A1963&lt;&gt;"",OR(Recherche!$C$4="",A1963=Recherche!$C$4),OR(Recherche!$C$5="",B1963&amp;""=Recherche!$C$5&amp;""),OR(Recherche!$C$6="",IFERROR(YEAR(L1963),0)=Recherche!$C$6),OR(Recherche!$C$7="",ISNUMBER(SEARCH(Recherche!$C$7,H1963))),OR(Recherche!$C$8="",J1963=Recherche!$C$8),OR(Recherche!$C$9="",I1963=Recherche!$C$9),OR(Recherche!$C$10="",G1963&amp;""=Recherche!$C$10&amp;""),OR(Recherche!$C$11="",E1963=Recherche!$C$11),OR(Recherche!$C$12="",ISNUMBER(SEARCH(Recherche!$C$12,M1963&amp;" "&amp;F1963)))),1,0)</f>
        <v>8</v>
      </c>
    </row>
    <row r="1964" customFormat="false" ht="15" hidden="false" customHeight="false" outlineLevel="0" collapsed="false">
      <c r="A1964" s="19"/>
      <c r="B1964" s="19"/>
      <c r="C1964" s="19"/>
      <c r="D1964" s="19"/>
      <c r="E1964" s="22"/>
      <c r="F1964" s="19"/>
      <c r="G1964" s="26" t="str">
        <f aca="false">IF(D1964="","",IFERROR(VALUE(LEFT(D1964,FIND(" |",D1964&amp;" |")-1)),"?"))</f>
        <v/>
      </c>
      <c r="H1964" s="27" t="str">
        <f aca="false">IF(G1964="","",IF(G1964="?","⚠ pub inconnue",IFERROR(INDEX(Pubs!$B$2:$B$3001,MATCH(G1964,Pubs!$A$2:$A$3001,0))&amp;"","⚠ pub inconnue")))</f>
        <v/>
      </c>
      <c r="I1964" s="27" t="str">
        <f aca="false">IF(OR(G1964="",G1964="?"),"",IFERROR(INDEX(Pubs!$C$2:$C$3001,MATCH(G1964,Pubs!$A$2:$A$3001,0))&amp;"",""))</f>
        <v/>
      </c>
      <c r="J1964" s="27" t="str">
        <f aca="false">IF(OR(G1964="",G1964="?"),"",IFERROR(INDEX(Pubs!$G$2:$G$3001,MATCH(G1964,Pubs!$A$2:$A$3001,0))&amp;"",""))</f>
        <v/>
      </c>
      <c r="K1964" s="28" t="str">
        <f aca="false">IF(OR(G1964="",G1964="?"),"",IFERROR(INDEX(Pubs!$E$2:$E$3001,MATCH(G1964,Pubs!$A$2:$A$3001,0)),""))</f>
        <v/>
      </c>
      <c r="L1964" s="29" t="str">
        <f aca="false">IF(A1964="","",IFERROR(1/(1/INDEX(Numéros!$C$2:$C$3001,MATCH(A1964&amp;"|"&amp;B1964,Numéros!$F$2:$F$3001,0))),""))</f>
        <v/>
      </c>
      <c r="M1964" s="27" t="str">
        <f aca="false">IF(OR(G1964="",G1964="?"),"",IFERROR(INDEX(Pubs!$D$2:$D$3001,MATCH(G1964,Pubs!$A$2:$A$3001,0))&amp;"",""))</f>
        <v/>
      </c>
      <c r="N1964" s="27" t="n">
        <f aca="false">N(N1963)+IF(AND(A1964&lt;&gt;"",OR(Recherche!$C$4="",A1964=Recherche!$C$4),OR(Recherche!$C$5="",B1964&amp;""=Recherche!$C$5&amp;""),OR(Recherche!$C$6="",IFERROR(YEAR(L1964),0)=Recherche!$C$6),OR(Recherche!$C$7="",ISNUMBER(SEARCH(Recherche!$C$7,H1964))),OR(Recherche!$C$8="",J1964=Recherche!$C$8),OR(Recherche!$C$9="",I1964=Recherche!$C$9),OR(Recherche!$C$10="",G1964&amp;""=Recherche!$C$10&amp;""),OR(Recherche!$C$11="",E1964=Recherche!$C$11),OR(Recherche!$C$12="",ISNUMBER(SEARCH(Recherche!$C$12,M1964&amp;" "&amp;F1964)))),1,0)</f>
        <v>8</v>
      </c>
    </row>
    <row r="1965" customFormat="false" ht="15" hidden="false" customHeight="false" outlineLevel="0" collapsed="false">
      <c r="A1965" s="19"/>
      <c r="B1965" s="19"/>
      <c r="C1965" s="19"/>
      <c r="D1965" s="19"/>
      <c r="E1965" s="22"/>
      <c r="F1965" s="19"/>
      <c r="G1965" s="26" t="str">
        <f aca="false">IF(D1965="","",IFERROR(VALUE(LEFT(D1965,FIND(" |",D1965&amp;" |")-1)),"?"))</f>
        <v/>
      </c>
      <c r="H1965" s="27" t="str">
        <f aca="false">IF(G1965="","",IF(G1965="?","⚠ pub inconnue",IFERROR(INDEX(Pubs!$B$2:$B$3001,MATCH(G1965,Pubs!$A$2:$A$3001,0))&amp;"","⚠ pub inconnue")))</f>
        <v/>
      </c>
      <c r="I1965" s="27" t="str">
        <f aca="false">IF(OR(G1965="",G1965="?"),"",IFERROR(INDEX(Pubs!$C$2:$C$3001,MATCH(G1965,Pubs!$A$2:$A$3001,0))&amp;"",""))</f>
        <v/>
      </c>
      <c r="J1965" s="27" t="str">
        <f aca="false">IF(OR(G1965="",G1965="?"),"",IFERROR(INDEX(Pubs!$G$2:$G$3001,MATCH(G1965,Pubs!$A$2:$A$3001,0))&amp;"",""))</f>
        <v/>
      </c>
      <c r="K1965" s="28" t="str">
        <f aca="false">IF(OR(G1965="",G1965="?"),"",IFERROR(INDEX(Pubs!$E$2:$E$3001,MATCH(G1965,Pubs!$A$2:$A$3001,0)),""))</f>
        <v/>
      </c>
      <c r="L1965" s="29" t="str">
        <f aca="false">IF(A1965="","",IFERROR(1/(1/INDEX(Numéros!$C$2:$C$3001,MATCH(A1965&amp;"|"&amp;B1965,Numéros!$F$2:$F$3001,0))),""))</f>
        <v/>
      </c>
      <c r="M1965" s="27" t="str">
        <f aca="false">IF(OR(G1965="",G1965="?"),"",IFERROR(INDEX(Pubs!$D$2:$D$3001,MATCH(G1965,Pubs!$A$2:$A$3001,0))&amp;"",""))</f>
        <v/>
      </c>
      <c r="N1965" s="27" t="n">
        <f aca="false">N(N1964)+IF(AND(A1965&lt;&gt;"",OR(Recherche!$C$4="",A1965=Recherche!$C$4),OR(Recherche!$C$5="",B1965&amp;""=Recherche!$C$5&amp;""),OR(Recherche!$C$6="",IFERROR(YEAR(L1965),0)=Recherche!$C$6),OR(Recherche!$C$7="",ISNUMBER(SEARCH(Recherche!$C$7,H1965))),OR(Recherche!$C$8="",J1965=Recherche!$C$8),OR(Recherche!$C$9="",I1965=Recherche!$C$9),OR(Recherche!$C$10="",G1965&amp;""=Recherche!$C$10&amp;""),OR(Recherche!$C$11="",E1965=Recherche!$C$11),OR(Recherche!$C$12="",ISNUMBER(SEARCH(Recherche!$C$12,M1965&amp;" "&amp;F1965)))),1,0)</f>
        <v>8</v>
      </c>
    </row>
    <row r="1966" customFormat="false" ht="15" hidden="false" customHeight="false" outlineLevel="0" collapsed="false">
      <c r="A1966" s="19"/>
      <c r="B1966" s="19"/>
      <c r="C1966" s="19"/>
      <c r="D1966" s="19"/>
      <c r="E1966" s="22"/>
      <c r="F1966" s="19"/>
      <c r="G1966" s="26" t="str">
        <f aca="false">IF(D1966="","",IFERROR(VALUE(LEFT(D1966,FIND(" |",D1966&amp;" |")-1)),"?"))</f>
        <v/>
      </c>
      <c r="H1966" s="27" t="str">
        <f aca="false">IF(G1966="","",IF(G1966="?","⚠ pub inconnue",IFERROR(INDEX(Pubs!$B$2:$B$3001,MATCH(G1966,Pubs!$A$2:$A$3001,0))&amp;"","⚠ pub inconnue")))</f>
        <v/>
      </c>
      <c r="I1966" s="27" t="str">
        <f aca="false">IF(OR(G1966="",G1966="?"),"",IFERROR(INDEX(Pubs!$C$2:$C$3001,MATCH(G1966,Pubs!$A$2:$A$3001,0))&amp;"",""))</f>
        <v/>
      </c>
      <c r="J1966" s="27" t="str">
        <f aca="false">IF(OR(G1966="",G1966="?"),"",IFERROR(INDEX(Pubs!$G$2:$G$3001,MATCH(G1966,Pubs!$A$2:$A$3001,0))&amp;"",""))</f>
        <v/>
      </c>
      <c r="K1966" s="28" t="str">
        <f aca="false">IF(OR(G1966="",G1966="?"),"",IFERROR(INDEX(Pubs!$E$2:$E$3001,MATCH(G1966,Pubs!$A$2:$A$3001,0)),""))</f>
        <v/>
      </c>
      <c r="L1966" s="29" t="str">
        <f aca="false">IF(A1966="","",IFERROR(1/(1/INDEX(Numéros!$C$2:$C$3001,MATCH(A1966&amp;"|"&amp;B1966,Numéros!$F$2:$F$3001,0))),""))</f>
        <v/>
      </c>
      <c r="M1966" s="27" t="str">
        <f aca="false">IF(OR(G1966="",G1966="?"),"",IFERROR(INDEX(Pubs!$D$2:$D$3001,MATCH(G1966,Pubs!$A$2:$A$3001,0))&amp;"",""))</f>
        <v/>
      </c>
      <c r="N1966" s="27" t="n">
        <f aca="false">N(N1965)+IF(AND(A1966&lt;&gt;"",OR(Recherche!$C$4="",A1966=Recherche!$C$4),OR(Recherche!$C$5="",B1966&amp;""=Recherche!$C$5&amp;""),OR(Recherche!$C$6="",IFERROR(YEAR(L1966),0)=Recherche!$C$6),OR(Recherche!$C$7="",ISNUMBER(SEARCH(Recherche!$C$7,H1966))),OR(Recherche!$C$8="",J1966=Recherche!$C$8),OR(Recherche!$C$9="",I1966=Recherche!$C$9),OR(Recherche!$C$10="",G1966&amp;""=Recherche!$C$10&amp;""),OR(Recherche!$C$11="",E1966=Recherche!$C$11),OR(Recherche!$C$12="",ISNUMBER(SEARCH(Recherche!$C$12,M1966&amp;" "&amp;F1966)))),1,0)</f>
        <v>8</v>
      </c>
    </row>
    <row r="1967" customFormat="false" ht="15" hidden="false" customHeight="false" outlineLevel="0" collapsed="false">
      <c r="A1967" s="19"/>
      <c r="B1967" s="19"/>
      <c r="C1967" s="19"/>
      <c r="D1967" s="19"/>
      <c r="E1967" s="22"/>
      <c r="F1967" s="19"/>
      <c r="G1967" s="26" t="str">
        <f aca="false">IF(D1967="","",IFERROR(VALUE(LEFT(D1967,FIND(" |",D1967&amp;" |")-1)),"?"))</f>
        <v/>
      </c>
      <c r="H1967" s="27" t="str">
        <f aca="false">IF(G1967="","",IF(G1967="?","⚠ pub inconnue",IFERROR(INDEX(Pubs!$B$2:$B$3001,MATCH(G1967,Pubs!$A$2:$A$3001,0))&amp;"","⚠ pub inconnue")))</f>
        <v/>
      </c>
      <c r="I1967" s="27" t="str">
        <f aca="false">IF(OR(G1967="",G1967="?"),"",IFERROR(INDEX(Pubs!$C$2:$C$3001,MATCH(G1967,Pubs!$A$2:$A$3001,0))&amp;"",""))</f>
        <v/>
      </c>
      <c r="J1967" s="27" t="str">
        <f aca="false">IF(OR(G1967="",G1967="?"),"",IFERROR(INDEX(Pubs!$G$2:$G$3001,MATCH(G1967,Pubs!$A$2:$A$3001,0))&amp;"",""))</f>
        <v/>
      </c>
      <c r="K1967" s="28" t="str">
        <f aca="false">IF(OR(G1967="",G1967="?"),"",IFERROR(INDEX(Pubs!$E$2:$E$3001,MATCH(G1967,Pubs!$A$2:$A$3001,0)),""))</f>
        <v/>
      </c>
      <c r="L1967" s="29" t="str">
        <f aca="false">IF(A1967="","",IFERROR(1/(1/INDEX(Numéros!$C$2:$C$3001,MATCH(A1967&amp;"|"&amp;B1967,Numéros!$F$2:$F$3001,0))),""))</f>
        <v/>
      </c>
      <c r="M1967" s="27" t="str">
        <f aca="false">IF(OR(G1967="",G1967="?"),"",IFERROR(INDEX(Pubs!$D$2:$D$3001,MATCH(G1967,Pubs!$A$2:$A$3001,0))&amp;"",""))</f>
        <v/>
      </c>
      <c r="N1967" s="27" t="n">
        <f aca="false">N(N1966)+IF(AND(A1967&lt;&gt;"",OR(Recherche!$C$4="",A1967=Recherche!$C$4),OR(Recherche!$C$5="",B1967&amp;""=Recherche!$C$5&amp;""),OR(Recherche!$C$6="",IFERROR(YEAR(L1967),0)=Recherche!$C$6),OR(Recherche!$C$7="",ISNUMBER(SEARCH(Recherche!$C$7,H1967))),OR(Recherche!$C$8="",J1967=Recherche!$C$8),OR(Recherche!$C$9="",I1967=Recherche!$C$9),OR(Recherche!$C$10="",G1967&amp;""=Recherche!$C$10&amp;""),OR(Recherche!$C$11="",E1967=Recherche!$C$11),OR(Recherche!$C$12="",ISNUMBER(SEARCH(Recherche!$C$12,M1967&amp;" "&amp;F1967)))),1,0)</f>
        <v>8</v>
      </c>
    </row>
    <row r="1968" customFormat="false" ht="15" hidden="false" customHeight="false" outlineLevel="0" collapsed="false">
      <c r="A1968" s="19"/>
      <c r="B1968" s="19"/>
      <c r="C1968" s="19"/>
      <c r="D1968" s="19"/>
      <c r="E1968" s="22"/>
      <c r="F1968" s="19"/>
      <c r="G1968" s="26" t="str">
        <f aca="false">IF(D1968="","",IFERROR(VALUE(LEFT(D1968,FIND(" |",D1968&amp;" |")-1)),"?"))</f>
        <v/>
      </c>
      <c r="H1968" s="27" t="str">
        <f aca="false">IF(G1968="","",IF(G1968="?","⚠ pub inconnue",IFERROR(INDEX(Pubs!$B$2:$B$3001,MATCH(G1968,Pubs!$A$2:$A$3001,0))&amp;"","⚠ pub inconnue")))</f>
        <v/>
      </c>
      <c r="I1968" s="27" t="str">
        <f aca="false">IF(OR(G1968="",G1968="?"),"",IFERROR(INDEX(Pubs!$C$2:$C$3001,MATCH(G1968,Pubs!$A$2:$A$3001,0))&amp;"",""))</f>
        <v/>
      </c>
      <c r="J1968" s="27" t="str">
        <f aca="false">IF(OR(G1968="",G1968="?"),"",IFERROR(INDEX(Pubs!$G$2:$G$3001,MATCH(G1968,Pubs!$A$2:$A$3001,0))&amp;"",""))</f>
        <v/>
      </c>
      <c r="K1968" s="28" t="str">
        <f aca="false">IF(OR(G1968="",G1968="?"),"",IFERROR(INDEX(Pubs!$E$2:$E$3001,MATCH(G1968,Pubs!$A$2:$A$3001,0)),""))</f>
        <v/>
      </c>
      <c r="L1968" s="29" t="str">
        <f aca="false">IF(A1968="","",IFERROR(1/(1/INDEX(Numéros!$C$2:$C$3001,MATCH(A1968&amp;"|"&amp;B1968,Numéros!$F$2:$F$3001,0))),""))</f>
        <v/>
      </c>
      <c r="M1968" s="27" t="str">
        <f aca="false">IF(OR(G1968="",G1968="?"),"",IFERROR(INDEX(Pubs!$D$2:$D$3001,MATCH(G1968,Pubs!$A$2:$A$3001,0))&amp;"",""))</f>
        <v/>
      </c>
      <c r="N1968" s="27" t="n">
        <f aca="false">N(N1967)+IF(AND(A1968&lt;&gt;"",OR(Recherche!$C$4="",A1968=Recherche!$C$4),OR(Recherche!$C$5="",B1968&amp;""=Recherche!$C$5&amp;""),OR(Recherche!$C$6="",IFERROR(YEAR(L1968),0)=Recherche!$C$6),OR(Recherche!$C$7="",ISNUMBER(SEARCH(Recherche!$C$7,H1968))),OR(Recherche!$C$8="",J1968=Recherche!$C$8),OR(Recherche!$C$9="",I1968=Recherche!$C$9),OR(Recherche!$C$10="",G1968&amp;""=Recherche!$C$10&amp;""),OR(Recherche!$C$11="",E1968=Recherche!$C$11),OR(Recherche!$C$12="",ISNUMBER(SEARCH(Recherche!$C$12,M1968&amp;" "&amp;F1968)))),1,0)</f>
        <v>8</v>
      </c>
    </row>
    <row r="1969" customFormat="false" ht="15" hidden="false" customHeight="false" outlineLevel="0" collapsed="false">
      <c r="A1969" s="19"/>
      <c r="B1969" s="19"/>
      <c r="C1969" s="19"/>
      <c r="D1969" s="19"/>
      <c r="E1969" s="22"/>
      <c r="F1969" s="19"/>
      <c r="G1969" s="26" t="str">
        <f aca="false">IF(D1969="","",IFERROR(VALUE(LEFT(D1969,FIND(" |",D1969&amp;" |")-1)),"?"))</f>
        <v/>
      </c>
      <c r="H1969" s="27" t="str">
        <f aca="false">IF(G1969="","",IF(G1969="?","⚠ pub inconnue",IFERROR(INDEX(Pubs!$B$2:$B$3001,MATCH(G1969,Pubs!$A$2:$A$3001,0))&amp;"","⚠ pub inconnue")))</f>
        <v/>
      </c>
      <c r="I1969" s="27" t="str">
        <f aca="false">IF(OR(G1969="",G1969="?"),"",IFERROR(INDEX(Pubs!$C$2:$C$3001,MATCH(G1969,Pubs!$A$2:$A$3001,0))&amp;"",""))</f>
        <v/>
      </c>
      <c r="J1969" s="27" t="str">
        <f aca="false">IF(OR(G1969="",G1969="?"),"",IFERROR(INDEX(Pubs!$G$2:$G$3001,MATCH(G1969,Pubs!$A$2:$A$3001,0))&amp;"",""))</f>
        <v/>
      </c>
      <c r="K1969" s="28" t="str">
        <f aca="false">IF(OR(G1969="",G1969="?"),"",IFERROR(INDEX(Pubs!$E$2:$E$3001,MATCH(G1969,Pubs!$A$2:$A$3001,0)),""))</f>
        <v/>
      </c>
      <c r="L1969" s="29" t="str">
        <f aca="false">IF(A1969="","",IFERROR(1/(1/INDEX(Numéros!$C$2:$C$3001,MATCH(A1969&amp;"|"&amp;B1969,Numéros!$F$2:$F$3001,0))),""))</f>
        <v/>
      </c>
      <c r="M1969" s="27" t="str">
        <f aca="false">IF(OR(G1969="",G1969="?"),"",IFERROR(INDEX(Pubs!$D$2:$D$3001,MATCH(G1969,Pubs!$A$2:$A$3001,0))&amp;"",""))</f>
        <v/>
      </c>
      <c r="N1969" s="27" t="n">
        <f aca="false">N(N1968)+IF(AND(A1969&lt;&gt;"",OR(Recherche!$C$4="",A1969=Recherche!$C$4),OR(Recherche!$C$5="",B1969&amp;""=Recherche!$C$5&amp;""),OR(Recherche!$C$6="",IFERROR(YEAR(L1969),0)=Recherche!$C$6),OR(Recherche!$C$7="",ISNUMBER(SEARCH(Recherche!$C$7,H1969))),OR(Recherche!$C$8="",J1969=Recherche!$C$8),OR(Recherche!$C$9="",I1969=Recherche!$C$9),OR(Recherche!$C$10="",G1969&amp;""=Recherche!$C$10&amp;""),OR(Recherche!$C$11="",E1969=Recherche!$C$11),OR(Recherche!$C$12="",ISNUMBER(SEARCH(Recherche!$C$12,M1969&amp;" "&amp;F1969)))),1,0)</f>
        <v>8</v>
      </c>
    </row>
    <row r="1970" customFormat="false" ht="15" hidden="false" customHeight="false" outlineLevel="0" collapsed="false">
      <c r="A1970" s="19"/>
      <c r="B1970" s="19"/>
      <c r="C1970" s="19"/>
      <c r="D1970" s="19"/>
      <c r="E1970" s="22"/>
      <c r="F1970" s="19"/>
      <c r="G1970" s="26" t="str">
        <f aca="false">IF(D1970="","",IFERROR(VALUE(LEFT(D1970,FIND(" |",D1970&amp;" |")-1)),"?"))</f>
        <v/>
      </c>
      <c r="H1970" s="27" t="str">
        <f aca="false">IF(G1970="","",IF(G1970="?","⚠ pub inconnue",IFERROR(INDEX(Pubs!$B$2:$B$3001,MATCH(G1970,Pubs!$A$2:$A$3001,0))&amp;"","⚠ pub inconnue")))</f>
        <v/>
      </c>
      <c r="I1970" s="27" t="str">
        <f aca="false">IF(OR(G1970="",G1970="?"),"",IFERROR(INDEX(Pubs!$C$2:$C$3001,MATCH(G1970,Pubs!$A$2:$A$3001,0))&amp;"",""))</f>
        <v/>
      </c>
      <c r="J1970" s="27" t="str">
        <f aca="false">IF(OR(G1970="",G1970="?"),"",IFERROR(INDEX(Pubs!$G$2:$G$3001,MATCH(G1970,Pubs!$A$2:$A$3001,0))&amp;"",""))</f>
        <v/>
      </c>
      <c r="K1970" s="28" t="str">
        <f aca="false">IF(OR(G1970="",G1970="?"),"",IFERROR(INDEX(Pubs!$E$2:$E$3001,MATCH(G1970,Pubs!$A$2:$A$3001,0)),""))</f>
        <v/>
      </c>
      <c r="L1970" s="29" t="str">
        <f aca="false">IF(A1970="","",IFERROR(1/(1/INDEX(Numéros!$C$2:$C$3001,MATCH(A1970&amp;"|"&amp;B1970,Numéros!$F$2:$F$3001,0))),""))</f>
        <v/>
      </c>
      <c r="M1970" s="27" t="str">
        <f aca="false">IF(OR(G1970="",G1970="?"),"",IFERROR(INDEX(Pubs!$D$2:$D$3001,MATCH(G1970,Pubs!$A$2:$A$3001,0))&amp;"",""))</f>
        <v/>
      </c>
      <c r="N1970" s="27" t="n">
        <f aca="false">N(N1969)+IF(AND(A1970&lt;&gt;"",OR(Recherche!$C$4="",A1970=Recherche!$C$4),OR(Recherche!$C$5="",B1970&amp;""=Recherche!$C$5&amp;""),OR(Recherche!$C$6="",IFERROR(YEAR(L1970),0)=Recherche!$C$6),OR(Recherche!$C$7="",ISNUMBER(SEARCH(Recherche!$C$7,H1970))),OR(Recherche!$C$8="",J1970=Recherche!$C$8),OR(Recherche!$C$9="",I1970=Recherche!$C$9),OR(Recherche!$C$10="",G1970&amp;""=Recherche!$C$10&amp;""),OR(Recherche!$C$11="",E1970=Recherche!$C$11),OR(Recherche!$C$12="",ISNUMBER(SEARCH(Recherche!$C$12,M1970&amp;" "&amp;F1970)))),1,0)</f>
        <v>8</v>
      </c>
    </row>
    <row r="1971" customFormat="false" ht="15" hidden="false" customHeight="false" outlineLevel="0" collapsed="false">
      <c r="A1971" s="19"/>
      <c r="B1971" s="19"/>
      <c r="C1971" s="19"/>
      <c r="D1971" s="19"/>
      <c r="E1971" s="22"/>
      <c r="F1971" s="19"/>
      <c r="G1971" s="26" t="str">
        <f aca="false">IF(D1971="","",IFERROR(VALUE(LEFT(D1971,FIND(" |",D1971&amp;" |")-1)),"?"))</f>
        <v/>
      </c>
      <c r="H1971" s="27" t="str">
        <f aca="false">IF(G1971="","",IF(G1971="?","⚠ pub inconnue",IFERROR(INDEX(Pubs!$B$2:$B$3001,MATCH(G1971,Pubs!$A$2:$A$3001,0))&amp;"","⚠ pub inconnue")))</f>
        <v/>
      </c>
      <c r="I1971" s="27" t="str">
        <f aca="false">IF(OR(G1971="",G1971="?"),"",IFERROR(INDEX(Pubs!$C$2:$C$3001,MATCH(G1971,Pubs!$A$2:$A$3001,0))&amp;"",""))</f>
        <v/>
      </c>
      <c r="J1971" s="27" t="str">
        <f aca="false">IF(OR(G1971="",G1971="?"),"",IFERROR(INDEX(Pubs!$G$2:$G$3001,MATCH(G1971,Pubs!$A$2:$A$3001,0))&amp;"",""))</f>
        <v/>
      </c>
      <c r="K1971" s="28" t="str">
        <f aca="false">IF(OR(G1971="",G1971="?"),"",IFERROR(INDEX(Pubs!$E$2:$E$3001,MATCH(G1971,Pubs!$A$2:$A$3001,0)),""))</f>
        <v/>
      </c>
      <c r="L1971" s="29" t="str">
        <f aca="false">IF(A1971="","",IFERROR(1/(1/INDEX(Numéros!$C$2:$C$3001,MATCH(A1971&amp;"|"&amp;B1971,Numéros!$F$2:$F$3001,0))),""))</f>
        <v/>
      </c>
      <c r="M1971" s="27" t="str">
        <f aca="false">IF(OR(G1971="",G1971="?"),"",IFERROR(INDEX(Pubs!$D$2:$D$3001,MATCH(G1971,Pubs!$A$2:$A$3001,0))&amp;"",""))</f>
        <v/>
      </c>
      <c r="N1971" s="27" t="n">
        <f aca="false">N(N1970)+IF(AND(A1971&lt;&gt;"",OR(Recherche!$C$4="",A1971=Recherche!$C$4),OR(Recherche!$C$5="",B1971&amp;""=Recherche!$C$5&amp;""),OR(Recherche!$C$6="",IFERROR(YEAR(L1971),0)=Recherche!$C$6),OR(Recherche!$C$7="",ISNUMBER(SEARCH(Recherche!$C$7,H1971))),OR(Recherche!$C$8="",J1971=Recherche!$C$8),OR(Recherche!$C$9="",I1971=Recherche!$C$9),OR(Recherche!$C$10="",G1971&amp;""=Recherche!$C$10&amp;""),OR(Recherche!$C$11="",E1971=Recherche!$C$11),OR(Recherche!$C$12="",ISNUMBER(SEARCH(Recherche!$C$12,M1971&amp;" "&amp;F1971)))),1,0)</f>
        <v>8</v>
      </c>
    </row>
    <row r="1972" customFormat="false" ht="15" hidden="false" customHeight="false" outlineLevel="0" collapsed="false">
      <c r="A1972" s="19"/>
      <c r="B1972" s="19"/>
      <c r="C1972" s="19"/>
      <c r="D1972" s="19"/>
      <c r="E1972" s="22"/>
      <c r="F1972" s="19"/>
      <c r="G1972" s="26" t="str">
        <f aca="false">IF(D1972="","",IFERROR(VALUE(LEFT(D1972,FIND(" |",D1972&amp;" |")-1)),"?"))</f>
        <v/>
      </c>
      <c r="H1972" s="27" t="str">
        <f aca="false">IF(G1972="","",IF(G1972="?","⚠ pub inconnue",IFERROR(INDEX(Pubs!$B$2:$B$3001,MATCH(G1972,Pubs!$A$2:$A$3001,0))&amp;"","⚠ pub inconnue")))</f>
        <v/>
      </c>
      <c r="I1972" s="27" t="str">
        <f aca="false">IF(OR(G1972="",G1972="?"),"",IFERROR(INDEX(Pubs!$C$2:$C$3001,MATCH(G1972,Pubs!$A$2:$A$3001,0))&amp;"",""))</f>
        <v/>
      </c>
      <c r="J1972" s="27" t="str">
        <f aca="false">IF(OR(G1972="",G1972="?"),"",IFERROR(INDEX(Pubs!$G$2:$G$3001,MATCH(G1972,Pubs!$A$2:$A$3001,0))&amp;"",""))</f>
        <v/>
      </c>
      <c r="K1972" s="28" t="str">
        <f aca="false">IF(OR(G1972="",G1972="?"),"",IFERROR(INDEX(Pubs!$E$2:$E$3001,MATCH(G1972,Pubs!$A$2:$A$3001,0)),""))</f>
        <v/>
      </c>
      <c r="L1972" s="29" t="str">
        <f aca="false">IF(A1972="","",IFERROR(1/(1/INDEX(Numéros!$C$2:$C$3001,MATCH(A1972&amp;"|"&amp;B1972,Numéros!$F$2:$F$3001,0))),""))</f>
        <v/>
      </c>
      <c r="M1972" s="27" t="str">
        <f aca="false">IF(OR(G1972="",G1972="?"),"",IFERROR(INDEX(Pubs!$D$2:$D$3001,MATCH(G1972,Pubs!$A$2:$A$3001,0))&amp;"",""))</f>
        <v/>
      </c>
      <c r="N1972" s="27" t="n">
        <f aca="false">N(N1971)+IF(AND(A1972&lt;&gt;"",OR(Recherche!$C$4="",A1972=Recherche!$C$4),OR(Recherche!$C$5="",B1972&amp;""=Recherche!$C$5&amp;""),OR(Recherche!$C$6="",IFERROR(YEAR(L1972),0)=Recherche!$C$6),OR(Recherche!$C$7="",ISNUMBER(SEARCH(Recherche!$C$7,H1972))),OR(Recherche!$C$8="",J1972=Recherche!$C$8),OR(Recherche!$C$9="",I1972=Recherche!$C$9),OR(Recherche!$C$10="",G1972&amp;""=Recherche!$C$10&amp;""),OR(Recherche!$C$11="",E1972=Recherche!$C$11),OR(Recherche!$C$12="",ISNUMBER(SEARCH(Recherche!$C$12,M1972&amp;" "&amp;F1972)))),1,0)</f>
        <v>8</v>
      </c>
    </row>
    <row r="1973" customFormat="false" ht="15" hidden="false" customHeight="false" outlineLevel="0" collapsed="false">
      <c r="A1973" s="19"/>
      <c r="B1973" s="19"/>
      <c r="C1973" s="19"/>
      <c r="D1973" s="19"/>
      <c r="E1973" s="22"/>
      <c r="F1973" s="19"/>
      <c r="G1973" s="26" t="str">
        <f aca="false">IF(D1973="","",IFERROR(VALUE(LEFT(D1973,FIND(" |",D1973&amp;" |")-1)),"?"))</f>
        <v/>
      </c>
      <c r="H1973" s="27" t="str">
        <f aca="false">IF(G1973="","",IF(G1973="?","⚠ pub inconnue",IFERROR(INDEX(Pubs!$B$2:$B$3001,MATCH(G1973,Pubs!$A$2:$A$3001,0))&amp;"","⚠ pub inconnue")))</f>
        <v/>
      </c>
      <c r="I1973" s="27" t="str">
        <f aca="false">IF(OR(G1973="",G1973="?"),"",IFERROR(INDEX(Pubs!$C$2:$C$3001,MATCH(G1973,Pubs!$A$2:$A$3001,0))&amp;"",""))</f>
        <v/>
      </c>
      <c r="J1973" s="27" t="str">
        <f aca="false">IF(OR(G1973="",G1973="?"),"",IFERROR(INDEX(Pubs!$G$2:$G$3001,MATCH(G1973,Pubs!$A$2:$A$3001,0))&amp;"",""))</f>
        <v/>
      </c>
      <c r="K1973" s="28" t="str">
        <f aca="false">IF(OR(G1973="",G1973="?"),"",IFERROR(INDEX(Pubs!$E$2:$E$3001,MATCH(G1973,Pubs!$A$2:$A$3001,0)),""))</f>
        <v/>
      </c>
      <c r="L1973" s="29" t="str">
        <f aca="false">IF(A1973="","",IFERROR(1/(1/INDEX(Numéros!$C$2:$C$3001,MATCH(A1973&amp;"|"&amp;B1973,Numéros!$F$2:$F$3001,0))),""))</f>
        <v/>
      </c>
      <c r="M1973" s="27" t="str">
        <f aca="false">IF(OR(G1973="",G1973="?"),"",IFERROR(INDEX(Pubs!$D$2:$D$3001,MATCH(G1973,Pubs!$A$2:$A$3001,0))&amp;"",""))</f>
        <v/>
      </c>
      <c r="N1973" s="27" t="n">
        <f aca="false">N(N1972)+IF(AND(A1973&lt;&gt;"",OR(Recherche!$C$4="",A1973=Recherche!$C$4),OR(Recherche!$C$5="",B1973&amp;""=Recherche!$C$5&amp;""),OR(Recherche!$C$6="",IFERROR(YEAR(L1973),0)=Recherche!$C$6),OR(Recherche!$C$7="",ISNUMBER(SEARCH(Recherche!$C$7,H1973))),OR(Recherche!$C$8="",J1973=Recherche!$C$8),OR(Recherche!$C$9="",I1973=Recherche!$C$9),OR(Recherche!$C$10="",G1973&amp;""=Recherche!$C$10&amp;""),OR(Recherche!$C$11="",E1973=Recherche!$C$11),OR(Recherche!$C$12="",ISNUMBER(SEARCH(Recherche!$C$12,M1973&amp;" "&amp;F1973)))),1,0)</f>
        <v>8</v>
      </c>
    </row>
    <row r="1974" customFormat="false" ht="15" hidden="false" customHeight="false" outlineLevel="0" collapsed="false">
      <c r="A1974" s="19"/>
      <c r="B1974" s="19"/>
      <c r="C1974" s="19"/>
      <c r="D1974" s="19"/>
      <c r="E1974" s="22"/>
      <c r="F1974" s="19"/>
      <c r="G1974" s="26" t="str">
        <f aca="false">IF(D1974="","",IFERROR(VALUE(LEFT(D1974,FIND(" |",D1974&amp;" |")-1)),"?"))</f>
        <v/>
      </c>
      <c r="H1974" s="27" t="str">
        <f aca="false">IF(G1974="","",IF(G1974="?","⚠ pub inconnue",IFERROR(INDEX(Pubs!$B$2:$B$3001,MATCH(G1974,Pubs!$A$2:$A$3001,0))&amp;"","⚠ pub inconnue")))</f>
        <v/>
      </c>
      <c r="I1974" s="27" t="str">
        <f aca="false">IF(OR(G1974="",G1974="?"),"",IFERROR(INDEX(Pubs!$C$2:$C$3001,MATCH(G1974,Pubs!$A$2:$A$3001,0))&amp;"",""))</f>
        <v/>
      </c>
      <c r="J1974" s="27" t="str">
        <f aca="false">IF(OR(G1974="",G1974="?"),"",IFERROR(INDEX(Pubs!$G$2:$G$3001,MATCH(G1974,Pubs!$A$2:$A$3001,0))&amp;"",""))</f>
        <v/>
      </c>
      <c r="K1974" s="28" t="str">
        <f aca="false">IF(OR(G1974="",G1974="?"),"",IFERROR(INDEX(Pubs!$E$2:$E$3001,MATCH(G1974,Pubs!$A$2:$A$3001,0)),""))</f>
        <v/>
      </c>
      <c r="L1974" s="29" t="str">
        <f aca="false">IF(A1974="","",IFERROR(1/(1/INDEX(Numéros!$C$2:$C$3001,MATCH(A1974&amp;"|"&amp;B1974,Numéros!$F$2:$F$3001,0))),""))</f>
        <v/>
      </c>
      <c r="M1974" s="27" t="str">
        <f aca="false">IF(OR(G1974="",G1974="?"),"",IFERROR(INDEX(Pubs!$D$2:$D$3001,MATCH(G1974,Pubs!$A$2:$A$3001,0))&amp;"",""))</f>
        <v/>
      </c>
      <c r="N1974" s="27" t="n">
        <f aca="false">N(N1973)+IF(AND(A1974&lt;&gt;"",OR(Recherche!$C$4="",A1974=Recherche!$C$4),OR(Recherche!$C$5="",B1974&amp;""=Recherche!$C$5&amp;""),OR(Recherche!$C$6="",IFERROR(YEAR(L1974),0)=Recherche!$C$6),OR(Recherche!$C$7="",ISNUMBER(SEARCH(Recherche!$C$7,H1974))),OR(Recherche!$C$8="",J1974=Recherche!$C$8),OR(Recherche!$C$9="",I1974=Recherche!$C$9),OR(Recherche!$C$10="",G1974&amp;""=Recherche!$C$10&amp;""),OR(Recherche!$C$11="",E1974=Recherche!$C$11),OR(Recherche!$C$12="",ISNUMBER(SEARCH(Recherche!$C$12,M1974&amp;" "&amp;F1974)))),1,0)</f>
        <v>8</v>
      </c>
    </row>
    <row r="1975" customFormat="false" ht="15" hidden="false" customHeight="false" outlineLevel="0" collapsed="false">
      <c r="A1975" s="19"/>
      <c r="B1975" s="19"/>
      <c r="C1975" s="19"/>
      <c r="D1975" s="19"/>
      <c r="E1975" s="22"/>
      <c r="F1975" s="19"/>
      <c r="G1975" s="26" t="str">
        <f aca="false">IF(D1975="","",IFERROR(VALUE(LEFT(D1975,FIND(" |",D1975&amp;" |")-1)),"?"))</f>
        <v/>
      </c>
      <c r="H1975" s="27" t="str">
        <f aca="false">IF(G1975="","",IF(G1975="?","⚠ pub inconnue",IFERROR(INDEX(Pubs!$B$2:$B$3001,MATCH(G1975,Pubs!$A$2:$A$3001,0))&amp;"","⚠ pub inconnue")))</f>
        <v/>
      </c>
      <c r="I1975" s="27" t="str">
        <f aca="false">IF(OR(G1975="",G1975="?"),"",IFERROR(INDEX(Pubs!$C$2:$C$3001,MATCH(G1975,Pubs!$A$2:$A$3001,0))&amp;"",""))</f>
        <v/>
      </c>
      <c r="J1975" s="27" t="str">
        <f aca="false">IF(OR(G1975="",G1975="?"),"",IFERROR(INDEX(Pubs!$G$2:$G$3001,MATCH(G1975,Pubs!$A$2:$A$3001,0))&amp;"",""))</f>
        <v/>
      </c>
      <c r="K1975" s="28" t="str">
        <f aca="false">IF(OR(G1975="",G1975="?"),"",IFERROR(INDEX(Pubs!$E$2:$E$3001,MATCH(G1975,Pubs!$A$2:$A$3001,0)),""))</f>
        <v/>
      </c>
      <c r="L1975" s="29" t="str">
        <f aca="false">IF(A1975="","",IFERROR(1/(1/INDEX(Numéros!$C$2:$C$3001,MATCH(A1975&amp;"|"&amp;B1975,Numéros!$F$2:$F$3001,0))),""))</f>
        <v/>
      </c>
      <c r="M1975" s="27" t="str">
        <f aca="false">IF(OR(G1975="",G1975="?"),"",IFERROR(INDEX(Pubs!$D$2:$D$3001,MATCH(G1975,Pubs!$A$2:$A$3001,0))&amp;"",""))</f>
        <v/>
      </c>
      <c r="N1975" s="27" t="n">
        <f aca="false">N(N1974)+IF(AND(A1975&lt;&gt;"",OR(Recherche!$C$4="",A1975=Recherche!$C$4),OR(Recherche!$C$5="",B1975&amp;""=Recherche!$C$5&amp;""),OR(Recherche!$C$6="",IFERROR(YEAR(L1975),0)=Recherche!$C$6),OR(Recherche!$C$7="",ISNUMBER(SEARCH(Recherche!$C$7,H1975))),OR(Recherche!$C$8="",J1975=Recherche!$C$8),OR(Recherche!$C$9="",I1975=Recherche!$C$9),OR(Recherche!$C$10="",G1975&amp;""=Recherche!$C$10&amp;""),OR(Recherche!$C$11="",E1975=Recherche!$C$11),OR(Recherche!$C$12="",ISNUMBER(SEARCH(Recherche!$C$12,M1975&amp;" "&amp;F1975)))),1,0)</f>
        <v>8</v>
      </c>
    </row>
    <row r="1976" customFormat="false" ht="15" hidden="false" customHeight="false" outlineLevel="0" collapsed="false">
      <c r="A1976" s="19"/>
      <c r="B1976" s="19"/>
      <c r="C1976" s="19"/>
      <c r="D1976" s="19"/>
      <c r="E1976" s="22"/>
      <c r="F1976" s="19"/>
      <c r="G1976" s="26" t="str">
        <f aca="false">IF(D1976="","",IFERROR(VALUE(LEFT(D1976,FIND(" |",D1976&amp;" |")-1)),"?"))</f>
        <v/>
      </c>
      <c r="H1976" s="27" t="str">
        <f aca="false">IF(G1976="","",IF(G1976="?","⚠ pub inconnue",IFERROR(INDEX(Pubs!$B$2:$B$3001,MATCH(G1976,Pubs!$A$2:$A$3001,0))&amp;"","⚠ pub inconnue")))</f>
        <v/>
      </c>
      <c r="I1976" s="27" t="str">
        <f aca="false">IF(OR(G1976="",G1976="?"),"",IFERROR(INDEX(Pubs!$C$2:$C$3001,MATCH(G1976,Pubs!$A$2:$A$3001,0))&amp;"",""))</f>
        <v/>
      </c>
      <c r="J1976" s="27" t="str">
        <f aca="false">IF(OR(G1976="",G1976="?"),"",IFERROR(INDEX(Pubs!$G$2:$G$3001,MATCH(G1976,Pubs!$A$2:$A$3001,0))&amp;"",""))</f>
        <v/>
      </c>
      <c r="K1976" s="28" t="str">
        <f aca="false">IF(OR(G1976="",G1976="?"),"",IFERROR(INDEX(Pubs!$E$2:$E$3001,MATCH(G1976,Pubs!$A$2:$A$3001,0)),""))</f>
        <v/>
      </c>
      <c r="L1976" s="29" t="str">
        <f aca="false">IF(A1976="","",IFERROR(1/(1/INDEX(Numéros!$C$2:$C$3001,MATCH(A1976&amp;"|"&amp;B1976,Numéros!$F$2:$F$3001,0))),""))</f>
        <v/>
      </c>
      <c r="M1976" s="27" t="str">
        <f aca="false">IF(OR(G1976="",G1976="?"),"",IFERROR(INDEX(Pubs!$D$2:$D$3001,MATCH(G1976,Pubs!$A$2:$A$3001,0))&amp;"",""))</f>
        <v/>
      </c>
      <c r="N1976" s="27" t="n">
        <f aca="false">N(N1975)+IF(AND(A1976&lt;&gt;"",OR(Recherche!$C$4="",A1976=Recherche!$C$4),OR(Recherche!$C$5="",B1976&amp;""=Recherche!$C$5&amp;""),OR(Recherche!$C$6="",IFERROR(YEAR(L1976),0)=Recherche!$C$6),OR(Recherche!$C$7="",ISNUMBER(SEARCH(Recherche!$C$7,H1976))),OR(Recherche!$C$8="",J1976=Recherche!$C$8),OR(Recherche!$C$9="",I1976=Recherche!$C$9),OR(Recherche!$C$10="",G1976&amp;""=Recherche!$C$10&amp;""),OR(Recherche!$C$11="",E1976=Recherche!$C$11),OR(Recherche!$C$12="",ISNUMBER(SEARCH(Recherche!$C$12,M1976&amp;" "&amp;F1976)))),1,0)</f>
        <v>8</v>
      </c>
    </row>
    <row r="1977" customFormat="false" ht="15" hidden="false" customHeight="false" outlineLevel="0" collapsed="false">
      <c r="A1977" s="19"/>
      <c r="B1977" s="19"/>
      <c r="C1977" s="19"/>
      <c r="D1977" s="19"/>
      <c r="E1977" s="22"/>
      <c r="F1977" s="19"/>
      <c r="G1977" s="26" t="str">
        <f aca="false">IF(D1977="","",IFERROR(VALUE(LEFT(D1977,FIND(" |",D1977&amp;" |")-1)),"?"))</f>
        <v/>
      </c>
      <c r="H1977" s="27" t="str">
        <f aca="false">IF(G1977="","",IF(G1977="?","⚠ pub inconnue",IFERROR(INDEX(Pubs!$B$2:$B$3001,MATCH(G1977,Pubs!$A$2:$A$3001,0))&amp;"","⚠ pub inconnue")))</f>
        <v/>
      </c>
      <c r="I1977" s="27" t="str">
        <f aca="false">IF(OR(G1977="",G1977="?"),"",IFERROR(INDEX(Pubs!$C$2:$C$3001,MATCH(G1977,Pubs!$A$2:$A$3001,0))&amp;"",""))</f>
        <v/>
      </c>
      <c r="J1977" s="27" t="str">
        <f aca="false">IF(OR(G1977="",G1977="?"),"",IFERROR(INDEX(Pubs!$G$2:$G$3001,MATCH(G1977,Pubs!$A$2:$A$3001,0))&amp;"",""))</f>
        <v/>
      </c>
      <c r="K1977" s="28" t="str">
        <f aca="false">IF(OR(G1977="",G1977="?"),"",IFERROR(INDEX(Pubs!$E$2:$E$3001,MATCH(G1977,Pubs!$A$2:$A$3001,0)),""))</f>
        <v/>
      </c>
      <c r="L1977" s="29" t="str">
        <f aca="false">IF(A1977="","",IFERROR(1/(1/INDEX(Numéros!$C$2:$C$3001,MATCH(A1977&amp;"|"&amp;B1977,Numéros!$F$2:$F$3001,0))),""))</f>
        <v/>
      </c>
      <c r="M1977" s="27" t="str">
        <f aca="false">IF(OR(G1977="",G1977="?"),"",IFERROR(INDEX(Pubs!$D$2:$D$3001,MATCH(G1977,Pubs!$A$2:$A$3001,0))&amp;"",""))</f>
        <v/>
      </c>
      <c r="N1977" s="27" t="n">
        <f aca="false">N(N1976)+IF(AND(A1977&lt;&gt;"",OR(Recherche!$C$4="",A1977=Recherche!$C$4),OR(Recherche!$C$5="",B1977&amp;""=Recherche!$C$5&amp;""),OR(Recherche!$C$6="",IFERROR(YEAR(L1977),0)=Recherche!$C$6),OR(Recherche!$C$7="",ISNUMBER(SEARCH(Recherche!$C$7,H1977))),OR(Recherche!$C$8="",J1977=Recherche!$C$8),OR(Recherche!$C$9="",I1977=Recherche!$C$9),OR(Recherche!$C$10="",G1977&amp;""=Recherche!$C$10&amp;""),OR(Recherche!$C$11="",E1977=Recherche!$C$11),OR(Recherche!$C$12="",ISNUMBER(SEARCH(Recherche!$C$12,M1977&amp;" "&amp;F1977)))),1,0)</f>
        <v>8</v>
      </c>
    </row>
    <row r="1978" customFormat="false" ht="15" hidden="false" customHeight="false" outlineLevel="0" collapsed="false">
      <c r="A1978" s="19"/>
      <c r="B1978" s="19"/>
      <c r="C1978" s="19"/>
      <c r="D1978" s="19"/>
      <c r="E1978" s="22"/>
      <c r="F1978" s="19"/>
      <c r="G1978" s="26" t="str">
        <f aca="false">IF(D1978="","",IFERROR(VALUE(LEFT(D1978,FIND(" |",D1978&amp;" |")-1)),"?"))</f>
        <v/>
      </c>
      <c r="H1978" s="27" t="str">
        <f aca="false">IF(G1978="","",IF(G1978="?","⚠ pub inconnue",IFERROR(INDEX(Pubs!$B$2:$B$3001,MATCH(G1978,Pubs!$A$2:$A$3001,0))&amp;"","⚠ pub inconnue")))</f>
        <v/>
      </c>
      <c r="I1978" s="27" t="str">
        <f aca="false">IF(OR(G1978="",G1978="?"),"",IFERROR(INDEX(Pubs!$C$2:$C$3001,MATCH(G1978,Pubs!$A$2:$A$3001,0))&amp;"",""))</f>
        <v/>
      </c>
      <c r="J1978" s="27" t="str">
        <f aca="false">IF(OR(G1978="",G1978="?"),"",IFERROR(INDEX(Pubs!$G$2:$G$3001,MATCH(G1978,Pubs!$A$2:$A$3001,0))&amp;"",""))</f>
        <v/>
      </c>
      <c r="K1978" s="28" t="str">
        <f aca="false">IF(OR(G1978="",G1978="?"),"",IFERROR(INDEX(Pubs!$E$2:$E$3001,MATCH(G1978,Pubs!$A$2:$A$3001,0)),""))</f>
        <v/>
      </c>
      <c r="L1978" s="29" t="str">
        <f aca="false">IF(A1978="","",IFERROR(1/(1/INDEX(Numéros!$C$2:$C$3001,MATCH(A1978&amp;"|"&amp;B1978,Numéros!$F$2:$F$3001,0))),""))</f>
        <v/>
      </c>
      <c r="M1978" s="27" t="str">
        <f aca="false">IF(OR(G1978="",G1978="?"),"",IFERROR(INDEX(Pubs!$D$2:$D$3001,MATCH(G1978,Pubs!$A$2:$A$3001,0))&amp;"",""))</f>
        <v/>
      </c>
      <c r="N1978" s="27" t="n">
        <f aca="false">N(N1977)+IF(AND(A1978&lt;&gt;"",OR(Recherche!$C$4="",A1978=Recherche!$C$4),OR(Recherche!$C$5="",B1978&amp;""=Recherche!$C$5&amp;""),OR(Recherche!$C$6="",IFERROR(YEAR(L1978),0)=Recherche!$C$6),OR(Recherche!$C$7="",ISNUMBER(SEARCH(Recherche!$C$7,H1978))),OR(Recherche!$C$8="",J1978=Recherche!$C$8),OR(Recherche!$C$9="",I1978=Recherche!$C$9),OR(Recherche!$C$10="",G1978&amp;""=Recherche!$C$10&amp;""),OR(Recherche!$C$11="",E1978=Recherche!$C$11),OR(Recherche!$C$12="",ISNUMBER(SEARCH(Recherche!$C$12,M1978&amp;" "&amp;F1978)))),1,0)</f>
        <v>8</v>
      </c>
    </row>
    <row r="1979" customFormat="false" ht="15" hidden="false" customHeight="false" outlineLevel="0" collapsed="false">
      <c r="A1979" s="19"/>
      <c r="B1979" s="19"/>
      <c r="C1979" s="19"/>
      <c r="D1979" s="19"/>
      <c r="E1979" s="22"/>
      <c r="F1979" s="19"/>
      <c r="G1979" s="26" t="str">
        <f aca="false">IF(D1979="","",IFERROR(VALUE(LEFT(D1979,FIND(" |",D1979&amp;" |")-1)),"?"))</f>
        <v/>
      </c>
      <c r="H1979" s="27" t="str">
        <f aca="false">IF(G1979="","",IF(G1979="?","⚠ pub inconnue",IFERROR(INDEX(Pubs!$B$2:$B$3001,MATCH(G1979,Pubs!$A$2:$A$3001,0))&amp;"","⚠ pub inconnue")))</f>
        <v/>
      </c>
      <c r="I1979" s="27" t="str">
        <f aca="false">IF(OR(G1979="",G1979="?"),"",IFERROR(INDEX(Pubs!$C$2:$C$3001,MATCH(G1979,Pubs!$A$2:$A$3001,0))&amp;"",""))</f>
        <v/>
      </c>
      <c r="J1979" s="27" t="str">
        <f aca="false">IF(OR(G1979="",G1979="?"),"",IFERROR(INDEX(Pubs!$G$2:$G$3001,MATCH(G1979,Pubs!$A$2:$A$3001,0))&amp;"",""))</f>
        <v/>
      </c>
      <c r="K1979" s="28" t="str">
        <f aca="false">IF(OR(G1979="",G1979="?"),"",IFERROR(INDEX(Pubs!$E$2:$E$3001,MATCH(G1979,Pubs!$A$2:$A$3001,0)),""))</f>
        <v/>
      </c>
      <c r="L1979" s="29" t="str">
        <f aca="false">IF(A1979="","",IFERROR(1/(1/INDEX(Numéros!$C$2:$C$3001,MATCH(A1979&amp;"|"&amp;B1979,Numéros!$F$2:$F$3001,0))),""))</f>
        <v/>
      </c>
      <c r="M1979" s="27" t="str">
        <f aca="false">IF(OR(G1979="",G1979="?"),"",IFERROR(INDEX(Pubs!$D$2:$D$3001,MATCH(G1979,Pubs!$A$2:$A$3001,0))&amp;"",""))</f>
        <v/>
      </c>
      <c r="N1979" s="27" t="n">
        <f aca="false">N(N1978)+IF(AND(A1979&lt;&gt;"",OR(Recherche!$C$4="",A1979=Recherche!$C$4),OR(Recherche!$C$5="",B1979&amp;""=Recherche!$C$5&amp;""),OR(Recherche!$C$6="",IFERROR(YEAR(L1979),0)=Recherche!$C$6),OR(Recherche!$C$7="",ISNUMBER(SEARCH(Recherche!$C$7,H1979))),OR(Recherche!$C$8="",J1979=Recherche!$C$8),OR(Recherche!$C$9="",I1979=Recherche!$C$9),OR(Recherche!$C$10="",G1979&amp;""=Recherche!$C$10&amp;""),OR(Recherche!$C$11="",E1979=Recherche!$C$11),OR(Recherche!$C$12="",ISNUMBER(SEARCH(Recherche!$C$12,M1979&amp;" "&amp;F1979)))),1,0)</f>
        <v>8</v>
      </c>
    </row>
    <row r="1980" customFormat="false" ht="15" hidden="false" customHeight="false" outlineLevel="0" collapsed="false">
      <c r="A1980" s="19"/>
      <c r="B1980" s="19"/>
      <c r="C1980" s="19"/>
      <c r="D1980" s="19"/>
      <c r="E1980" s="22"/>
      <c r="F1980" s="19"/>
      <c r="G1980" s="26" t="str">
        <f aca="false">IF(D1980="","",IFERROR(VALUE(LEFT(D1980,FIND(" |",D1980&amp;" |")-1)),"?"))</f>
        <v/>
      </c>
      <c r="H1980" s="27" t="str">
        <f aca="false">IF(G1980="","",IF(G1980="?","⚠ pub inconnue",IFERROR(INDEX(Pubs!$B$2:$B$3001,MATCH(G1980,Pubs!$A$2:$A$3001,0))&amp;"","⚠ pub inconnue")))</f>
        <v/>
      </c>
      <c r="I1980" s="27" t="str">
        <f aca="false">IF(OR(G1980="",G1980="?"),"",IFERROR(INDEX(Pubs!$C$2:$C$3001,MATCH(G1980,Pubs!$A$2:$A$3001,0))&amp;"",""))</f>
        <v/>
      </c>
      <c r="J1980" s="27" t="str">
        <f aca="false">IF(OR(G1980="",G1980="?"),"",IFERROR(INDEX(Pubs!$G$2:$G$3001,MATCH(G1980,Pubs!$A$2:$A$3001,0))&amp;"",""))</f>
        <v/>
      </c>
      <c r="K1980" s="28" t="str">
        <f aca="false">IF(OR(G1980="",G1980="?"),"",IFERROR(INDEX(Pubs!$E$2:$E$3001,MATCH(G1980,Pubs!$A$2:$A$3001,0)),""))</f>
        <v/>
      </c>
      <c r="L1980" s="29" t="str">
        <f aca="false">IF(A1980="","",IFERROR(1/(1/INDEX(Numéros!$C$2:$C$3001,MATCH(A1980&amp;"|"&amp;B1980,Numéros!$F$2:$F$3001,0))),""))</f>
        <v/>
      </c>
      <c r="M1980" s="27" t="str">
        <f aca="false">IF(OR(G1980="",G1980="?"),"",IFERROR(INDEX(Pubs!$D$2:$D$3001,MATCH(G1980,Pubs!$A$2:$A$3001,0))&amp;"",""))</f>
        <v/>
      </c>
      <c r="N1980" s="27" t="n">
        <f aca="false">N(N1979)+IF(AND(A1980&lt;&gt;"",OR(Recherche!$C$4="",A1980=Recherche!$C$4),OR(Recherche!$C$5="",B1980&amp;""=Recherche!$C$5&amp;""),OR(Recherche!$C$6="",IFERROR(YEAR(L1980),0)=Recherche!$C$6),OR(Recherche!$C$7="",ISNUMBER(SEARCH(Recherche!$C$7,H1980))),OR(Recherche!$C$8="",J1980=Recherche!$C$8),OR(Recherche!$C$9="",I1980=Recherche!$C$9),OR(Recherche!$C$10="",G1980&amp;""=Recherche!$C$10&amp;""),OR(Recherche!$C$11="",E1980=Recherche!$C$11),OR(Recherche!$C$12="",ISNUMBER(SEARCH(Recherche!$C$12,M1980&amp;" "&amp;F1980)))),1,0)</f>
        <v>8</v>
      </c>
    </row>
    <row r="1981" customFormat="false" ht="15" hidden="false" customHeight="false" outlineLevel="0" collapsed="false">
      <c r="A1981" s="19"/>
      <c r="B1981" s="19"/>
      <c r="C1981" s="19"/>
      <c r="D1981" s="19"/>
      <c r="E1981" s="22"/>
      <c r="F1981" s="19"/>
      <c r="G1981" s="26" t="str">
        <f aca="false">IF(D1981="","",IFERROR(VALUE(LEFT(D1981,FIND(" |",D1981&amp;" |")-1)),"?"))</f>
        <v/>
      </c>
      <c r="H1981" s="27" t="str">
        <f aca="false">IF(G1981="","",IF(G1981="?","⚠ pub inconnue",IFERROR(INDEX(Pubs!$B$2:$B$3001,MATCH(G1981,Pubs!$A$2:$A$3001,0))&amp;"","⚠ pub inconnue")))</f>
        <v/>
      </c>
      <c r="I1981" s="27" t="str">
        <f aca="false">IF(OR(G1981="",G1981="?"),"",IFERROR(INDEX(Pubs!$C$2:$C$3001,MATCH(G1981,Pubs!$A$2:$A$3001,0))&amp;"",""))</f>
        <v/>
      </c>
      <c r="J1981" s="27" t="str">
        <f aca="false">IF(OR(G1981="",G1981="?"),"",IFERROR(INDEX(Pubs!$G$2:$G$3001,MATCH(G1981,Pubs!$A$2:$A$3001,0))&amp;"",""))</f>
        <v/>
      </c>
      <c r="K1981" s="28" t="str">
        <f aca="false">IF(OR(G1981="",G1981="?"),"",IFERROR(INDEX(Pubs!$E$2:$E$3001,MATCH(G1981,Pubs!$A$2:$A$3001,0)),""))</f>
        <v/>
      </c>
      <c r="L1981" s="29" t="str">
        <f aca="false">IF(A1981="","",IFERROR(1/(1/INDEX(Numéros!$C$2:$C$3001,MATCH(A1981&amp;"|"&amp;B1981,Numéros!$F$2:$F$3001,0))),""))</f>
        <v/>
      </c>
      <c r="M1981" s="27" t="str">
        <f aca="false">IF(OR(G1981="",G1981="?"),"",IFERROR(INDEX(Pubs!$D$2:$D$3001,MATCH(G1981,Pubs!$A$2:$A$3001,0))&amp;"",""))</f>
        <v/>
      </c>
      <c r="N1981" s="27" t="n">
        <f aca="false">N(N1980)+IF(AND(A1981&lt;&gt;"",OR(Recherche!$C$4="",A1981=Recherche!$C$4),OR(Recherche!$C$5="",B1981&amp;""=Recherche!$C$5&amp;""),OR(Recherche!$C$6="",IFERROR(YEAR(L1981),0)=Recherche!$C$6),OR(Recherche!$C$7="",ISNUMBER(SEARCH(Recherche!$C$7,H1981))),OR(Recherche!$C$8="",J1981=Recherche!$C$8),OR(Recherche!$C$9="",I1981=Recherche!$C$9),OR(Recherche!$C$10="",G1981&amp;""=Recherche!$C$10&amp;""),OR(Recherche!$C$11="",E1981=Recherche!$C$11),OR(Recherche!$C$12="",ISNUMBER(SEARCH(Recherche!$C$12,M1981&amp;" "&amp;F1981)))),1,0)</f>
        <v>8</v>
      </c>
    </row>
    <row r="1982" customFormat="false" ht="15" hidden="false" customHeight="false" outlineLevel="0" collapsed="false">
      <c r="A1982" s="19"/>
      <c r="B1982" s="19"/>
      <c r="C1982" s="19"/>
      <c r="D1982" s="19"/>
      <c r="E1982" s="22"/>
      <c r="F1982" s="19"/>
      <c r="G1982" s="26" t="str">
        <f aca="false">IF(D1982="","",IFERROR(VALUE(LEFT(D1982,FIND(" |",D1982&amp;" |")-1)),"?"))</f>
        <v/>
      </c>
      <c r="H1982" s="27" t="str">
        <f aca="false">IF(G1982="","",IF(G1982="?","⚠ pub inconnue",IFERROR(INDEX(Pubs!$B$2:$B$3001,MATCH(G1982,Pubs!$A$2:$A$3001,0))&amp;"","⚠ pub inconnue")))</f>
        <v/>
      </c>
      <c r="I1982" s="27" t="str">
        <f aca="false">IF(OR(G1982="",G1982="?"),"",IFERROR(INDEX(Pubs!$C$2:$C$3001,MATCH(G1982,Pubs!$A$2:$A$3001,0))&amp;"",""))</f>
        <v/>
      </c>
      <c r="J1982" s="27" t="str">
        <f aca="false">IF(OR(G1982="",G1982="?"),"",IFERROR(INDEX(Pubs!$G$2:$G$3001,MATCH(G1982,Pubs!$A$2:$A$3001,0))&amp;"",""))</f>
        <v/>
      </c>
      <c r="K1982" s="28" t="str">
        <f aca="false">IF(OR(G1982="",G1982="?"),"",IFERROR(INDEX(Pubs!$E$2:$E$3001,MATCH(G1982,Pubs!$A$2:$A$3001,0)),""))</f>
        <v/>
      </c>
      <c r="L1982" s="29" t="str">
        <f aca="false">IF(A1982="","",IFERROR(1/(1/INDEX(Numéros!$C$2:$C$3001,MATCH(A1982&amp;"|"&amp;B1982,Numéros!$F$2:$F$3001,0))),""))</f>
        <v/>
      </c>
      <c r="M1982" s="27" t="str">
        <f aca="false">IF(OR(G1982="",G1982="?"),"",IFERROR(INDEX(Pubs!$D$2:$D$3001,MATCH(G1982,Pubs!$A$2:$A$3001,0))&amp;"",""))</f>
        <v/>
      </c>
      <c r="N1982" s="27" t="n">
        <f aca="false">N(N1981)+IF(AND(A1982&lt;&gt;"",OR(Recherche!$C$4="",A1982=Recherche!$C$4),OR(Recherche!$C$5="",B1982&amp;""=Recherche!$C$5&amp;""),OR(Recherche!$C$6="",IFERROR(YEAR(L1982),0)=Recherche!$C$6),OR(Recherche!$C$7="",ISNUMBER(SEARCH(Recherche!$C$7,H1982))),OR(Recherche!$C$8="",J1982=Recherche!$C$8),OR(Recherche!$C$9="",I1982=Recherche!$C$9),OR(Recherche!$C$10="",G1982&amp;""=Recherche!$C$10&amp;""),OR(Recherche!$C$11="",E1982=Recherche!$C$11),OR(Recherche!$C$12="",ISNUMBER(SEARCH(Recherche!$C$12,M1982&amp;" "&amp;F1982)))),1,0)</f>
        <v>8</v>
      </c>
    </row>
    <row r="1983" customFormat="false" ht="15" hidden="false" customHeight="false" outlineLevel="0" collapsed="false">
      <c r="A1983" s="19"/>
      <c r="B1983" s="19"/>
      <c r="C1983" s="19"/>
      <c r="D1983" s="19"/>
      <c r="E1983" s="22"/>
      <c r="F1983" s="19"/>
      <c r="G1983" s="26" t="str">
        <f aca="false">IF(D1983="","",IFERROR(VALUE(LEFT(D1983,FIND(" |",D1983&amp;" |")-1)),"?"))</f>
        <v/>
      </c>
      <c r="H1983" s="27" t="str">
        <f aca="false">IF(G1983="","",IF(G1983="?","⚠ pub inconnue",IFERROR(INDEX(Pubs!$B$2:$B$3001,MATCH(G1983,Pubs!$A$2:$A$3001,0))&amp;"","⚠ pub inconnue")))</f>
        <v/>
      </c>
      <c r="I1983" s="27" t="str">
        <f aca="false">IF(OR(G1983="",G1983="?"),"",IFERROR(INDEX(Pubs!$C$2:$C$3001,MATCH(G1983,Pubs!$A$2:$A$3001,0))&amp;"",""))</f>
        <v/>
      </c>
      <c r="J1983" s="27" t="str">
        <f aca="false">IF(OR(G1983="",G1983="?"),"",IFERROR(INDEX(Pubs!$G$2:$G$3001,MATCH(G1983,Pubs!$A$2:$A$3001,0))&amp;"",""))</f>
        <v/>
      </c>
      <c r="K1983" s="28" t="str">
        <f aca="false">IF(OR(G1983="",G1983="?"),"",IFERROR(INDEX(Pubs!$E$2:$E$3001,MATCH(G1983,Pubs!$A$2:$A$3001,0)),""))</f>
        <v/>
      </c>
      <c r="L1983" s="29" t="str">
        <f aca="false">IF(A1983="","",IFERROR(1/(1/INDEX(Numéros!$C$2:$C$3001,MATCH(A1983&amp;"|"&amp;B1983,Numéros!$F$2:$F$3001,0))),""))</f>
        <v/>
      </c>
      <c r="M1983" s="27" t="str">
        <f aca="false">IF(OR(G1983="",G1983="?"),"",IFERROR(INDEX(Pubs!$D$2:$D$3001,MATCH(G1983,Pubs!$A$2:$A$3001,0))&amp;"",""))</f>
        <v/>
      </c>
      <c r="N1983" s="27" t="n">
        <f aca="false">N(N1982)+IF(AND(A1983&lt;&gt;"",OR(Recherche!$C$4="",A1983=Recherche!$C$4),OR(Recherche!$C$5="",B1983&amp;""=Recherche!$C$5&amp;""),OR(Recherche!$C$6="",IFERROR(YEAR(L1983),0)=Recherche!$C$6),OR(Recherche!$C$7="",ISNUMBER(SEARCH(Recherche!$C$7,H1983))),OR(Recherche!$C$8="",J1983=Recherche!$C$8),OR(Recherche!$C$9="",I1983=Recherche!$C$9),OR(Recherche!$C$10="",G1983&amp;""=Recherche!$C$10&amp;""),OR(Recherche!$C$11="",E1983=Recherche!$C$11),OR(Recherche!$C$12="",ISNUMBER(SEARCH(Recherche!$C$12,M1983&amp;" "&amp;F1983)))),1,0)</f>
        <v>8</v>
      </c>
    </row>
    <row r="1984" customFormat="false" ht="15" hidden="false" customHeight="false" outlineLevel="0" collapsed="false">
      <c r="A1984" s="19"/>
      <c r="B1984" s="19"/>
      <c r="C1984" s="19"/>
      <c r="D1984" s="19"/>
      <c r="E1984" s="22"/>
      <c r="F1984" s="19"/>
      <c r="G1984" s="26" t="str">
        <f aca="false">IF(D1984="","",IFERROR(VALUE(LEFT(D1984,FIND(" |",D1984&amp;" |")-1)),"?"))</f>
        <v/>
      </c>
      <c r="H1984" s="27" t="str">
        <f aca="false">IF(G1984="","",IF(G1984="?","⚠ pub inconnue",IFERROR(INDEX(Pubs!$B$2:$B$3001,MATCH(G1984,Pubs!$A$2:$A$3001,0))&amp;"","⚠ pub inconnue")))</f>
        <v/>
      </c>
      <c r="I1984" s="27" t="str">
        <f aca="false">IF(OR(G1984="",G1984="?"),"",IFERROR(INDEX(Pubs!$C$2:$C$3001,MATCH(G1984,Pubs!$A$2:$A$3001,0))&amp;"",""))</f>
        <v/>
      </c>
      <c r="J1984" s="27" t="str">
        <f aca="false">IF(OR(G1984="",G1984="?"),"",IFERROR(INDEX(Pubs!$G$2:$G$3001,MATCH(G1984,Pubs!$A$2:$A$3001,0))&amp;"",""))</f>
        <v/>
      </c>
      <c r="K1984" s="28" t="str">
        <f aca="false">IF(OR(G1984="",G1984="?"),"",IFERROR(INDEX(Pubs!$E$2:$E$3001,MATCH(G1984,Pubs!$A$2:$A$3001,0)),""))</f>
        <v/>
      </c>
      <c r="L1984" s="29" t="str">
        <f aca="false">IF(A1984="","",IFERROR(1/(1/INDEX(Numéros!$C$2:$C$3001,MATCH(A1984&amp;"|"&amp;B1984,Numéros!$F$2:$F$3001,0))),""))</f>
        <v/>
      </c>
      <c r="M1984" s="27" t="str">
        <f aca="false">IF(OR(G1984="",G1984="?"),"",IFERROR(INDEX(Pubs!$D$2:$D$3001,MATCH(G1984,Pubs!$A$2:$A$3001,0))&amp;"",""))</f>
        <v/>
      </c>
      <c r="N1984" s="27" t="n">
        <f aca="false">N(N1983)+IF(AND(A1984&lt;&gt;"",OR(Recherche!$C$4="",A1984=Recherche!$C$4),OR(Recherche!$C$5="",B1984&amp;""=Recherche!$C$5&amp;""),OR(Recherche!$C$6="",IFERROR(YEAR(L1984),0)=Recherche!$C$6),OR(Recherche!$C$7="",ISNUMBER(SEARCH(Recherche!$C$7,H1984))),OR(Recherche!$C$8="",J1984=Recherche!$C$8),OR(Recherche!$C$9="",I1984=Recherche!$C$9),OR(Recherche!$C$10="",G1984&amp;""=Recherche!$C$10&amp;""),OR(Recherche!$C$11="",E1984=Recherche!$C$11),OR(Recherche!$C$12="",ISNUMBER(SEARCH(Recherche!$C$12,M1984&amp;" "&amp;F1984)))),1,0)</f>
        <v>8</v>
      </c>
    </row>
    <row r="1985" customFormat="false" ht="15" hidden="false" customHeight="false" outlineLevel="0" collapsed="false">
      <c r="A1985" s="19"/>
      <c r="B1985" s="19"/>
      <c r="C1985" s="19"/>
      <c r="D1985" s="19"/>
      <c r="E1985" s="22"/>
      <c r="F1985" s="19"/>
      <c r="G1985" s="26" t="str">
        <f aca="false">IF(D1985="","",IFERROR(VALUE(LEFT(D1985,FIND(" |",D1985&amp;" |")-1)),"?"))</f>
        <v/>
      </c>
      <c r="H1985" s="27" t="str">
        <f aca="false">IF(G1985="","",IF(G1985="?","⚠ pub inconnue",IFERROR(INDEX(Pubs!$B$2:$B$3001,MATCH(G1985,Pubs!$A$2:$A$3001,0))&amp;"","⚠ pub inconnue")))</f>
        <v/>
      </c>
      <c r="I1985" s="27" t="str">
        <f aca="false">IF(OR(G1985="",G1985="?"),"",IFERROR(INDEX(Pubs!$C$2:$C$3001,MATCH(G1985,Pubs!$A$2:$A$3001,0))&amp;"",""))</f>
        <v/>
      </c>
      <c r="J1985" s="27" t="str">
        <f aca="false">IF(OR(G1985="",G1985="?"),"",IFERROR(INDEX(Pubs!$G$2:$G$3001,MATCH(G1985,Pubs!$A$2:$A$3001,0))&amp;"",""))</f>
        <v/>
      </c>
      <c r="K1985" s="28" t="str">
        <f aca="false">IF(OR(G1985="",G1985="?"),"",IFERROR(INDEX(Pubs!$E$2:$E$3001,MATCH(G1985,Pubs!$A$2:$A$3001,0)),""))</f>
        <v/>
      </c>
      <c r="L1985" s="29" t="str">
        <f aca="false">IF(A1985="","",IFERROR(1/(1/INDEX(Numéros!$C$2:$C$3001,MATCH(A1985&amp;"|"&amp;B1985,Numéros!$F$2:$F$3001,0))),""))</f>
        <v/>
      </c>
      <c r="M1985" s="27" t="str">
        <f aca="false">IF(OR(G1985="",G1985="?"),"",IFERROR(INDEX(Pubs!$D$2:$D$3001,MATCH(G1985,Pubs!$A$2:$A$3001,0))&amp;"",""))</f>
        <v/>
      </c>
      <c r="N1985" s="27" t="n">
        <f aca="false">N(N1984)+IF(AND(A1985&lt;&gt;"",OR(Recherche!$C$4="",A1985=Recherche!$C$4),OR(Recherche!$C$5="",B1985&amp;""=Recherche!$C$5&amp;""),OR(Recherche!$C$6="",IFERROR(YEAR(L1985),0)=Recherche!$C$6),OR(Recherche!$C$7="",ISNUMBER(SEARCH(Recherche!$C$7,H1985))),OR(Recherche!$C$8="",J1985=Recherche!$C$8),OR(Recherche!$C$9="",I1985=Recherche!$C$9),OR(Recherche!$C$10="",G1985&amp;""=Recherche!$C$10&amp;""),OR(Recherche!$C$11="",E1985=Recherche!$C$11),OR(Recherche!$C$12="",ISNUMBER(SEARCH(Recherche!$C$12,M1985&amp;" "&amp;F1985)))),1,0)</f>
        <v>8</v>
      </c>
    </row>
    <row r="1986" customFormat="false" ht="15" hidden="false" customHeight="false" outlineLevel="0" collapsed="false">
      <c r="A1986" s="19"/>
      <c r="B1986" s="19"/>
      <c r="C1986" s="19"/>
      <c r="D1986" s="19"/>
      <c r="E1986" s="22"/>
      <c r="F1986" s="19"/>
      <c r="G1986" s="26" t="str">
        <f aca="false">IF(D1986="","",IFERROR(VALUE(LEFT(D1986,FIND(" |",D1986&amp;" |")-1)),"?"))</f>
        <v/>
      </c>
      <c r="H1986" s="27" t="str">
        <f aca="false">IF(G1986="","",IF(G1986="?","⚠ pub inconnue",IFERROR(INDEX(Pubs!$B$2:$B$3001,MATCH(G1986,Pubs!$A$2:$A$3001,0))&amp;"","⚠ pub inconnue")))</f>
        <v/>
      </c>
      <c r="I1986" s="27" t="str">
        <f aca="false">IF(OR(G1986="",G1986="?"),"",IFERROR(INDEX(Pubs!$C$2:$C$3001,MATCH(G1986,Pubs!$A$2:$A$3001,0))&amp;"",""))</f>
        <v/>
      </c>
      <c r="J1986" s="27" t="str">
        <f aca="false">IF(OR(G1986="",G1986="?"),"",IFERROR(INDEX(Pubs!$G$2:$G$3001,MATCH(G1986,Pubs!$A$2:$A$3001,0))&amp;"",""))</f>
        <v/>
      </c>
      <c r="K1986" s="28" t="str">
        <f aca="false">IF(OR(G1986="",G1986="?"),"",IFERROR(INDEX(Pubs!$E$2:$E$3001,MATCH(G1986,Pubs!$A$2:$A$3001,0)),""))</f>
        <v/>
      </c>
      <c r="L1986" s="29" t="str">
        <f aca="false">IF(A1986="","",IFERROR(1/(1/INDEX(Numéros!$C$2:$C$3001,MATCH(A1986&amp;"|"&amp;B1986,Numéros!$F$2:$F$3001,0))),""))</f>
        <v/>
      </c>
      <c r="M1986" s="27" t="str">
        <f aca="false">IF(OR(G1986="",G1986="?"),"",IFERROR(INDEX(Pubs!$D$2:$D$3001,MATCH(G1986,Pubs!$A$2:$A$3001,0))&amp;"",""))</f>
        <v/>
      </c>
      <c r="N1986" s="27" t="n">
        <f aca="false">N(N1985)+IF(AND(A1986&lt;&gt;"",OR(Recherche!$C$4="",A1986=Recherche!$C$4),OR(Recherche!$C$5="",B1986&amp;""=Recherche!$C$5&amp;""),OR(Recherche!$C$6="",IFERROR(YEAR(L1986),0)=Recherche!$C$6),OR(Recherche!$C$7="",ISNUMBER(SEARCH(Recherche!$C$7,H1986))),OR(Recherche!$C$8="",J1986=Recherche!$C$8),OR(Recherche!$C$9="",I1986=Recherche!$C$9),OR(Recherche!$C$10="",G1986&amp;""=Recherche!$C$10&amp;""),OR(Recherche!$C$11="",E1986=Recherche!$C$11),OR(Recherche!$C$12="",ISNUMBER(SEARCH(Recherche!$C$12,M1986&amp;" "&amp;F1986)))),1,0)</f>
        <v>8</v>
      </c>
    </row>
    <row r="1987" customFormat="false" ht="15" hidden="false" customHeight="false" outlineLevel="0" collapsed="false">
      <c r="A1987" s="19"/>
      <c r="B1987" s="19"/>
      <c r="C1987" s="19"/>
      <c r="D1987" s="19"/>
      <c r="E1987" s="22"/>
      <c r="F1987" s="19"/>
      <c r="G1987" s="26" t="str">
        <f aca="false">IF(D1987="","",IFERROR(VALUE(LEFT(D1987,FIND(" |",D1987&amp;" |")-1)),"?"))</f>
        <v/>
      </c>
      <c r="H1987" s="27" t="str">
        <f aca="false">IF(G1987="","",IF(G1987="?","⚠ pub inconnue",IFERROR(INDEX(Pubs!$B$2:$B$3001,MATCH(G1987,Pubs!$A$2:$A$3001,0))&amp;"","⚠ pub inconnue")))</f>
        <v/>
      </c>
      <c r="I1987" s="27" t="str">
        <f aca="false">IF(OR(G1987="",G1987="?"),"",IFERROR(INDEX(Pubs!$C$2:$C$3001,MATCH(G1987,Pubs!$A$2:$A$3001,0))&amp;"",""))</f>
        <v/>
      </c>
      <c r="J1987" s="27" t="str">
        <f aca="false">IF(OR(G1987="",G1987="?"),"",IFERROR(INDEX(Pubs!$G$2:$G$3001,MATCH(G1987,Pubs!$A$2:$A$3001,0))&amp;"",""))</f>
        <v/>
      </c>
      <c r="K1987" s="28" t="str">
        <f aca="false">IF(OR(G1987="",G1987="?"),"",IFERROR(INDEX(Pubs!$E$2:$E$3001,MATCH(G1987,Pubs!$A$2:$A$3001,0)),""))</f>
        <v/>
      </c>
      <c r="L1987" s="29" t="str">
        <f aca="false">IF(A1987="","",IFERROR(1/(1/INDEX(Numéros!$C$2:$C$3001,MATCH(A1987&amp;"|"&amp;B1987,Numéros!$F$2:$F$3001,0))),""))</f>
        <v/>
      </c>
      <c r="M1987" s="27" t="str">
        <f aca="false">IF(OR(G1987="",G1987="?"),"",IFERROR(INDEX(Pubs!$D$2:$D$3001,MATCH(G1987,Pubs!$A$2:$A$3001,0))&amp;"",""))</f>
        <v/>
      </c>
      <c r="N1987" s="27" t="n">
        <f aca="false">N(N1986)+IF(AND(A1987&lt;&gt;"",OR(Recherche!$C$4="",A1987=Recherche!$C$4),OR(Recherche!$C$5="",B1987&amp;""=Recherche!$C$5&amp;""),OR(Recherche!$C$6="",IFERROR(YEAR(L1987),0)=Recherche!$C$6),OR(Recherche!$C$7="",ISNUMBER(SEARCH(Recherche!$C$7,H1987))),OR(Recherche!$C$8="",J1987=Recherche!$C$8),OR(Recherche!$C$9="",I1987=Recherche!$C$9),OR(Recherche!$C$10="",G1987&amp;""=Recherche!$C$10&amp;""),OR(Recherche!$C$11="",E1987=Recherche!$C$11),OR(Recherche!$C$12="",ISNUMBER(SEARCH(Recherche!$C$12,M1987&amp;" "&amp;F1987)))),1,0)</f>
        <v>8</v>
      </c>
    </row>
    <row r="1988" customFormat="false" ht="15" hidden="false" customHeight="false" outlineLevel="0" collapsed="false">
      <c r="A1988" s="19"/>
      <c r="B1988" s="19"/>
      <c r="C1988" s="19"/>
      <c r="D1988" s="19"/>
      <c r="E1988" s="22"/>
      <c r="F1988" s="19"/>
      <c r="G1988" s="26" t="str">
        <f aca="false">IF(D1988="","",IFERROR(VALUE(LEFT(D1988,FIND(" |",D1988&amp;" |")-1)),"?"))</f>
        <v/>
      </c>
      <c r="H1988" s="27" t="str">
        <f aca="false">IF(G1988="","",IF(G1988="?","⚠ pub inconnue",IFERROR(INDEX(Pubs!$B$2:$B$3001,MATCH(G1988,Pubs!$A$2:$A$3001,0))&amp;"","⚠ pub inconnue")))</f>
        <v/>
      </c>
      <c r="I1988" s="27" t="str">
        <f aca="false">IF(OR(G1988="",G1988="?"),"",IFERROR(INDEX(Pubs!$C$2:$C$3001,MATCH(G1988,Pubs!$A$2:$A$3001,0))&amp;"",""))</f>
        <v/>
      </c>
      <c r="J1988" s="27" t="str">
        <f aca="false">IF(OR(G1988="",G1988="?"),"",IFERROR(INDEX(Pubs!$G$2:$G$3001,MATCH(G1988,Pubs!$A$2:$A$3001,0))&amp;"",""))</f>
        <v/>
      </c>
      <c r="K1988" s="28" t="str">
        <f aca="false">IF(OR(G1988="",G1988="?"),"",IFERROR(INDEX(Pubs!$E$2:$E$3001,MATCH(G1988,Pubs!$A$2:$A$3001,0)),""))</f>
        <v/>
      </c>
      <c r="L1988" s="29" t="str">
        <f aca="false">IF(A1988="","",IFERROR(1/(1/INDEX(Numéros!$C$2:$C$3001,MATCH(A1988&amp;"|"&amp;B1988,Numéros!$F$2:$F$3001,0))),""))</f>
        <v/>
      </c>
      <c r="M1988" s="27" t="str">
        <f aca="false">IF(OR(G1988="",G1988="?"),"",IFERROR(INDEX(Pubs!$D$2:$D$3001,MATCH(G1988,Pubs!$A$2:$A$3001,0))&amp;"",""))</f>
        <v/>
      </c>
      <c r="N1988" s="27" t="n">
        <f aca="false">N(N1987)+IF(AND(A1988&lt;&gt;"",OR(Recherche!$C$4="",A1988=Recherche!$C$4),OR(Recherche!$C$5="",B1988&amp;""=Recherche!$C$5&amp;""),OR(Recherche!$C$6="",IFERROR(YEAR(L1988),0)=Recherche!$C$6),OR(Recherche!$C$7="",ISNUMBER(SEARCH(Recherche!$C$7,H1988))),OR(Recherche!$C$8="",J1988=Recherche!$C$8),OR(Recherche!$C$9="",I1988=Recherche!$C$9),OR(Recherche!$C$10="",G1988&amp;""=Recherche!$C$10&amp;""),OR(Recherche!$C$11="",E1988=Recherche!$C$11),OR(Recherche!$C$12="",ISNUMBER(SEARCH(Recherche!$C$12,M1988&amp;" "&amp;F1988)))),1,0)</f>
        <v>8</v>
      </c>
    </row>
    <row r="1989" customFormat="false" ht="15" hidden="false" customHeight="false" outlineLevel="0" collapsed="false">
      <c r="A1989" s="19"/>
      <c r="B1989" s="19"/>
      <c r="C1989" s="19"/>
      <c r="D1989" s="19"/>
      <c r="E1989" s="22"/>
      <c r="F1989" s="19"/>
      <c r="G1989" s="26" t="str">
        <f aca="false">IF(D1989="","",IFERROR(VALUE(LEFT(D1989,FIND(" |",D1989&amp;" |")-1)),"?"))</f>
        <v/>
      </c>
      <c r="H1989" s="27" t="str">
        <f aca="false">IF(G1989="","",IF(G1989="?","⚠ pub inconnue",IFERROR(INDEX(Pubs!$B$2:$B$3001,MATCH(G1989,Pubs!$A$2:$A$3001,0))&amp;"","⚠ pub inconnue")))</f>
        <v/>
      </c>
      <c r="I1989" s="27" t="str">
        <f aca="false">IF(OR(G1989="",G1989="?"),"",IFERROR(INDEX(Pubs!$C$2:$C$3001,MATCH(G1989,Pubs!$A$2:$A$3001,0))&amp;"",""))</f>
        <v/>
      </c>
      <c r="J1989" s="27" t="str">
        <f aca="false">IF(OR(G1989="",G1989="?"),"",IFERROR(INDEX(Pubs!$G$2:$G$3001,MATCH(G1989,Pubs!$A$2:$A$3001,0))&amp;"",""))</f>
        <v/>
      </c>
      <c r="K1989" s="28" t="str">
        <f aca="false">IF(OR(G1989="",G1989="?"),"",IFERROR(INDEX(Pubs!$E$2:$E$3001,MATCH(G1989,Pubs!$A$2:$A$3001,0)),""))</f>
        <v/>
      </c>
      <c r="L1989" s="29" t="str">
        <f aca="false">IF(A1989="","",IFERROR(1/(1/INDEX(Numéros!$C$2:$C$3001,MATCH(A1989&amp;"|"&amp;B1989,Numéros!$F$2:$F$3001,0))),""))</f>
        <v/>
      </c>
      <c r="M1989" s="27" t="str">
        <f aca="false">IF(OR(G1989="",G1989="?"),"",IFERROR(INDEX(Pubs!$D$2:$D$3001,MATCH(G1989,Pubs!$A$2:$A$3001,0))&amp;"",""))</f>
        <v/>
      </c>
      <c r="N1989" s="27" t="n">
        <f aca="false">N(N1988)+IF(AND(A1989&lt;&gt;"",OR(Recherche!$C$4="",A1989=Recherche!$C$4),OR(Recherche!$C$5="",B1989&amp;""=Recherche!$C$5&amp;""),OR(Recherche!$C$6="",IFERROR(YEAR(L1989),0)=Recherche!$C$6),OR(Recherche!$C$7="",ISNUMBER(SEARCH(Recherche!$C$7,H1989))),OR(Recherche!$C$8="",J1989=Recherche!$C$8),OR(Recherche!$C$9="",I1989=Recherche!$C$9),OR(Recherche!$C$10="",G1989&amp;""=Recherche!$C$10&amp;""),OR(Recherche!$C$11="",E1989=Recherche!$C$11),OR(Recherche!$C$12="",ISNUMBER(SEARCH(Recherche!$C$12,M1989&amp;" "&amp;F1989)))),1,0)</f>
        <v>8</v>
      </c>
    </row>
    <row r="1990" customFormat="false" ht="15" hidden="false" customHeight="false" outlineLevel="0" collapsed="false">
      <c r="A1990" s="19"/>
      <c r="B1990" s="19"/>
      <c r="C1990" s="19"/>
      <c r="D1990" s="19"/>
      <c r="E1990" s="22"/>
      <c r="F1990" s="19"/>
      <c r="G1990" s="26" t="str">
        <f aca="false">IF(D1990="","",IFERROR(VALUE(LEFT(D1990,FIND(" |",D1990&amp;" |")-1)),"?"))</f>
        <v/>
      </c>
      <c r="H1990" s="27" t="str">
        <f aca="false">IF(G1990="","",IF(G1990="?","⚠ pub inconnue",IFERROR(INDEX(Pubs!$B$2:$B$3001,MATCH(G1990,Pubs!$A$2:$A$3001,0))&amp;"","⚠ pub inconnue")))</f>
        <v/>
      </c>
      <c r="I1990" s="27" t="str">
        <f aca="false">IF(OR(G1990="",G1990="?"),"",IFERROR(INDEX(Pubs!$C$2:$C$3001,MATCH(G1990,Pubs!$A$2:$A$3001,0))&amp;"",""))</f>
        <v/>
      </c>
      <c r="J1990" s="27" t="str">
        <f aca="false">IF(OR(G1990="",G1990="?"),"",IFERROR(INDEX(Pubs!$G$2:$G$3001,MATCH(G1990,Pubs!$A$2:$A$3001,0))&amp;"",""))</f>
        <v/>
      </c>
      <c r="K1990" s="28" t="str">
        <f aca="false">IF(OR(G1990="",G1990="?"),"",IFERROR(INDEX(Pubs!$E$2:$E$3001,MATCH(G1990,Pubs!$A$2:$A$3001,0)),""))</f>
        <v/>
      </c>
      <c r="L1990" s="29" t="str">
        <f aca="false">IF(A1990="","",IFERROR(1/(1/INDEX(Numéros!$C$2:$C$3001,MATCH(A1990&amp;"|"&amp;B1990,Numéros!$F$2:$F$3001,0))),""))</f>
        <v/>
      </c>
      <c r="M1990" s="27" t="str">
        <f aca="false">IF(OR(G1990="",G1990="?"),"",IFERROR(INDEX(Pubs!$D$2:$D$3001,MATCH(G1990,Pubs!$A$2:$A$3001,0))&amp;"",""))</f>
        <v/>
      </c>
      <c r="N1990" s="27" t="n">
        <f aca="false">N(N1989)+IF(AND(A1990&lt;&gt;"",OR(Recherche!$C$4="",A1990=Recherche!$C$4),OR(Recherche!$C$5="",B1990&amp;""=Recherche!$C$5&amp;""),OR(Recherche!$C$6="",IFERROR(YEAR(L1990),0)=Recherche!$C$6),OR(Recherche!$C$7="",ISNUMBER(SEARCH(Recherche!$C$7,H1990))),OR(Recherche!$C$8="",J1990=Recherche!$C$8),OR(Recherche!$C$9="",I1990=Recherche!$C$9),OR(Recherche!$C$10="",G1990&amp;""=Recherche!$C$10&amp;""),OR(Recherche!$C$11="",E1990=Recherche!$C$11),OR(Recherche!$C$12="",ISNUMBER(SEARCH(Recherche!$C$12,M1990&amp;" "&amp;F1990)))),1,0)</f>
        <v>8</v>
      </c>
    </row>
    <row r="1991" customFormat="false" ht="15" hidden="false" customHeight="false" outlineLevel="0" collapsed="false">
      <c r="A1991" s="19"/>
      <c r="B1991" s="19"/>
      <c r="C1991" s="19"/>
      <c r="D1991" s="19"/>
      <c r="E1991" s="22"/>
      <c r="F1991" s="19"/>
      <c r="G1991" s="26" t="str">
        <f aca="false">IF(D1991="","",IFERROR(VALUE(LEFT(D1991,FIND(" |",D1991&amp;" |")-1)),"?"))</f>
        <v/>
      </c>
      <c r="H1991" s="27" t="str">
        <f aca="false">IF(G1991="","",IF(G1991="?","⚠ pub inconnue",IFERROR(INDEX(Pubs!$B$2:$B$3001,MATCH(G1991,Pubs!$A$2:$A$3001,0))&amp;"","⚠ pub inconnue")))</f>
        <v/>
      </c>
      <c r="I1991" s="27" t="str">
        <f aca="false">IF(OR(G1991="",G1991="?"),"",IFERROR(INDEX(Pubs!$C$2:$C$3001,MATCH(G1991,Pubs!$A$2:$A$3001,0))&amp;"",""))</f>
        <v/>
      </c>
      <c r="J1991" s="27" t="str">
        <f aca="false">IF(OR(G1991="",G1991="?"),"",IFERROR(INDEX(Pubs!$G$2:$G$3001,MATCH(G1991,Pubs!$A$2:$A$3001,0))&amp;"",""))</f>
        <v/>
      </c>
      <c r="K1991" s="28" t="str">
        <f aca="false">IF(OR(G1991="",G1991="?"),"",IFERROR(INDEX(Pubs!$E$2:$E$3001,MATCH(G1991,Pubs!$A$2:$A$3001,0)),""))</f>
        <v/>
      </c>
      <c r="L1991" s="29" t="str">
        <f aca="false">IF(A1991="","",IFERROR(1/(1/INDEX(Numéros!$C$2:$C$3001,MATCH(A1991&amp;"|"&amp;B1991,Numéros!$F$2:$F$3001,0))),""))</f>
        <v/>
      </c>
      <c r="M1991" s="27" t="str">
        <f aca="false">IF(OR(G1991="",G1991="?"),"",IFERROR(INDEX(Pubs!$D$2:$D$3001,MATCH(G1991,Pubs!$A$2:$A$3001,0))&amp;"",""))</f>
        <v/>
      </c>
      <c r="N1991" s="27" t="n">
        <f aca="false">N(N1990)+IF(AND(A1991&lt;&gt;"",OR(Recherche!$C$4="",A1991=Recherche!$C$4),OR(Recherche!$C$5="",B1991&amp;""=Recherche!$C$5&amp;""),OR(Recherche!$C$6="",IFERROR(YEAR(L1991),0)=Recherche!$C$6),OR(Recherche!$C$7="",ISNUMBER(SEARCH(Recherche!$C$7,H1991))),OR(Recherche!$C$8="",J1991=Recherche!$C$8),OR(Recherche!$C$9="",I1991=Recherche!$C$9),OR(Recherche!$C$10="",G1991&amp;""=Recherche!$C$10&amp;""),OR(Recherche!$C$11="",E1991=Recherche!$C$11),OR(Recherche!$C$12="",ISNUMBER(SEARCH(Recherche!$C$12,M1991&amp;" "&amp;F1991)))),1,0)</f>
        <v>8</v>
      </c>
    </row>
    <row r="1992" customFormat="false" ht="15" hidden="false" customHeight="false" outlineLevel="0" collapsed="false">
      <c r="A1992" s="19"/>
      <c r="B1992" s="19"/>
      <c r="C1992" s="19"/>
      <c r="D1992" s="19"/>
      <c r="E1992" s="22"/>
      <c r="F1992" s="19"/>
      <c r="G1992" s="26" t="str">
        <f aca="false">IF(D1992="","",IFERROR(VALUE(LEFT(D1992,FIND(" |",D1992&amp;" |")-1)),"?"))</f>
        <v/>
      </c>
      <c r="H1992" s="27" t="str">
        <f aca="false">IF(G1992="","",IF(G1992="?","⚠ pub inconnue",IFERROR(INDEX(Pubs!$B$2:$B$3001,MATCH(G1992,Pubs!$A$2:$A$3001,0))&amp;"","⚠ pub inconnue")))</f>
        <v/>
      </c>
      <c r="I1992" s="27" t="str">
        <f aca="false">IF(OR(G1992="",G1992="?"),"",IFERROR(INDEX(Pubs!$C$2:$C$3001,MATCH(G1992,Pubs!$A$2:$A$3001,0))&amp;"",""))</f>
        <v/>
      </c>
      <c r="J1992" s="27" t="str">
        <f aca="false">IF(OR(G1992="",G1992="?"),"",IFERROR(INDEX(Pubs!$G$2:$G$3001,MATCH(G1992,Pubs!$A$2:$A$3001,0))&amp;"",""))</f>
        <v/>
      </c>
      <c r="K1992" s="28" t="str">
        <f aca="false">IF(OR(G1992="",G1992="?"),"",IFERROR(INDEX(Pubs!$E$2:$E$3001,MATCH(G1992,Pubs!$A$2:$A$3001,0)),""))</f>
        <v/>
      </c>
      <c r="L1992" s="29" t="str">
        <f aca="false">IF(A1992="","",IFERROR(1/(1/INDEX(Numéros!$C$2:$C$3001,MATCH(A1992&amp;"|"&amp;B1992,Numéros!$F$2:$F$3001,0))),""))</f>
        <v/>
      </c>
      <c r="M1992" s="27" t="str">
        <f aca="false">IF(OR(G1992="",G1992="?"),"",IFERROR(INDEX(Pubs!$D$2:$D$3001,MATCH(G1992,Pubs!$A$2:$A$3001,0))&amp;"",""))</f>
        <v/>
      </c>
      <c r="N1992" s="27" t="n">
        <f aca="false">N(N1991)+IF(AND(A1992&lt;&gt;"",OR(Recherche!$C$4="",A1992=Recherche!$C$4),OR(Recherche!$C$5="",B1992&amp;""=Recherche!$C$5&amp;""),OR(Recherche!$C$6="",IFERROR(YEAR(L1992),0)=Recherche!$C$6),OR(Recherche!$C$7="",ISNUMBER(SEARCH(Recherche!$C$7,H1992))),OR(Recherche!$C$8="",J1992=Recherche!$C$8),OR(Recherche!$C$9="",I1992=Recherche!$C$9),OR(Recherche!$C$10="",G1992&amp;""=Recherche!$C$10&amp;""),OR(Recherche!$C$11="",E1992=Recherche!$C$11),OR(Recherche!$C$12="",ISNUMBER(SEARCH(Recherche!$C$12,M1992&amp;" "&amp;F1992)))),1,0)</f>
        <v>8</v>
      </c>
    </row>
    <row r="1993" customFormat="false" ht="15" hidden="false" customHeight="false" outlineLevel="0" collapsed="false">
      <c r="A1993" s="19"/>
      <c r="B1993" s="19"/>
      <c r="C1993" s="19"/>
      <c r="D1993" s="19"/>
      <c r="E1993" s="22"/>
      <c r="F1993" s="19"/>
      <c r="G1993" s="26" t="str">
        <f aca="false">IF(D1993="","",IFERROR(VALUE(LEFT(D1993,FIND(" |",D1993&amp;" |")-1)),"?"))</f>
        <v/>
      </c>
      <c r="H1993" s="27" t="str">
        <f aca="false">IF(G1993="","",IF(G1993="?","⚠ pub inconnue",IFERROR(INDEX(Pubs!$B$2:$B$3001,MATCH(G1993,Pubs!$A$2:$A$3001,0))&amp;"","⚠ pub inconnue")))</f>
        <v/>
      </c>
      <c r="I1993" s="27" t="str">
        <f aca="false">IF(OR(G1993="",G1993="?"),"",IFERROR(INDEX(Pubs!$C$2:$C$3001,MATCH(G1993,Pubs!$A$2:$A$3001,0))&amp;"",""))</f>
        <v/>
      </c>
      <c r="J1993" s="27" t="str">
        <f aca="false">IF(OR(G1993="",G1993="?"),"",IFERROR(INDEX(Pubs!$G$2:$G$3001,MATCH(G1993,Pubs!$A$2:$A$3001,0))&amp;"",""))</f>
        <v/>
      </c>
      <c r="K1993" s="28" t="str">
        <f aca="false">IF(OR(G1993="",G1993="?"),"",IFERROR(INDEX(Pubs!$E$2:$E$3001,MATCH(G1993,Pubs!$A$2:$A$3001,0)),""))</f>
        <v/>
      </c>
      <c r="L1993" s="29" t="str">
        <f aca="false">IF(A1993="","",IFERROR(1/(1/INDEX(Numéros!$C$2:$C$3001,MATCH(A1993&amp;"|"&amp;B1993,Numéros!$F$2:$F$3001,0))),""))</f>
        <v/>
      </c>
      <c r="M1993" s="27" t="str">
        <f aca="false">IF(OR(G1993="",G1993="?"),"",IFERROR(INDEX(Pubs!$D$2:$D$3001,MATCH(G1993,Pubs!$A$2:$A$3001,0))&amp;"",""))</f>
        <v/>
      </c>
      <c r="N1993" s="27" t="n">
        <f aca="false">N(N1992)+IF(AND(A1993&lt;&gt;"",OR(Recherche!$C$4="",A1993=Recherche!$C$4),OR(Recherche!$C$5="",B1993&amp;""=Recherche!$C$5&amp;""),OR(Recherche!$C$6="",IFERROR(YEAR(L1993),0)=Recherche!$C$6),OR(Recherche!$C$7="",ISNUMBER(SEARCH(Recherche!$C$7,H1993))),OR(Recherche!$C$8="",J1993=Recherche!$C$8),OR(Recherche!$C$9="",I1993=Recherche!$C$9),OR(Recherche!$C$10="",G1993&amp;""=Recherche!$C$10&amp;""),OR(Recherche!$C$11="",E1993=Recherche!$C$11),OR(Recherche!$C$12="",ISNUMBER(SEARCH(Recherche!$C$12,M1993&amp;" "&amp;F1993)))),1,0)</f>
        <v>8</v>
      </c>
    </row>
    <row r="1994" customFormat="false" ht="15" hidden="false" customHeight="false" outlineLevel="0" collapsed="false">
      <c r="A1994" s="19"/>
      <c r="B1994" s="19"/>
      <c r="C1994" s="19"/>
      <c r="D1994" s="19"/>
      <c r="E1994" s="22"/>
      <c r="F1994" s="19"/>
      <c r="G1994" s="26" t="str">
        <f aca="false">IF(D1994="","",IFERROR(VALUE(LEFT(D1994,FIND(" |",D1994&amp;" |")-1)),"?"))</f>
        <v/>
      </c>
      <c r="H1994" s="27" t="str">
        <f aca="false">IF(G1994="","",IF(G1994="?","⚠ pub inconnue",IFERROR(INDEX(Pubs!$B$2:$B$3001,MATCH(G1994,Pubs!$A$2:$A$3001,0))&amp;"","⚠ pub inconnue")))</f>
        <v/>
      </c>
      <c r="I1994" s="27" t="str">
        <f aca="false">IF(OR(G1994="",G1994="?"),"",IFERROR(INDEX(Pubs!$C$2:$C$3001,MATCH(G1994,Pubs!$A$2:$A$3001,0))&amp;"",""))</f>
        <v/>
      </c>
      <c r="J1994" s="27" t="str">
        <f aca="false">IF(OR(G1994="",G1994="?"),"",IFERROR(INDEX(Pubs!$G$2:$G$3001,MATCH(G1994,Pubs!$A$2:$A$3001,0))&amp;"",""))</f>
        <v/>
      </c>
      <c r="K1994" s="28" t="str">
        <f aca="false">IF(OR(G1994="",G1994="?"),"",IFERROR(INDEX(Pubs!$E$2:$E$3001,MATCH(G1994,Pubs!$A$2:$A$3001,0)),""))</f>
        <v/>
      </c>
      <c r="L1994" s="29" t="str">
        <f aca="false">IF(A1994="","",IFERROR(1/(1/INDEX(Numéros!$C$2:$C$3001,MATCH(A1994&amp;"|"&amp;B1994,Numéros!$F$2:$F$3001,0))),""))</f>
        <v/>
      </c>
      <c r="M1994" s="27" t="str">
        <f aca="false">IF(OR(G1994="",G1994="?"),"",IFERROR(INDEX(Pubs!$D$2:$D$3001,MATCH(G1994,Pubs!$A$2:$A$3001,0))&amp;"",""))</f>
        <v/>
      </c>
      <c r="N1994" s="27" t="n">
        <f aca="false">N(N1993)+IF(AND(A1994&lt;&gt;"",OR(Recherche!$C$4="",A1994=Recherche!$C$4),OR(Recherche!$C$5="",B1994&amp;""=Recherche!$C$5&amp;""),OR(Recherche!$C$6="",IFERROR(YEAR(L1994),0)=Recherche!$C$6),OR(Recherche!$C$7="",ISNUMBER(SEARCH(Recherche!$C$7,H1994))),OR(Recherche!$C$8="",J1994=Recherche!$C$8),OR(Recherche!$C$9="",I1994=Recherche!$C$9),OR(Recherche!$C$10="",G1994&amp;""=Recherche!$C$10&amp;""),OR(Recherche!$C$11="",E1994=Recherche!$C$11),OR(Recherche!$C$12="",ISNUMBER(SEARCH(Recherche!$C$12,M1994&amp;" "&amp;F1994)))),1,0)</f>
        <v>8</v>
      </c>
    </row>
    <row r="1995" customFormat="false" ht="15" hidden="false" customHeight="false" outlineLevel="0" collapsed="false">
      <c r="A1995" s="19"/>
      <c r="B1995" s="19"/>
      <c r="C1995" s="19"/>
      <c r="D1995" s="19"/>
      <c r="E1995" s="22"/>
      <c r="F1995" s="19"/>
      <c r="G1995" s="26" t="str">
        <f aca="false">IF(D1995="","",IFERROR(VALUE(LEFT(D1995,FIND(" |",D1995&amp;" |")-1)),"?"))</f>
        <v/>
      </c>
      <c r="H1995" s="27" t="str">
        <f aca="false">IF(G1995="","",IF(G1995="?","⚠ pub inconnue",IFERROR(INDEX(Pubs!$B$2:$B$3001,MATCH(G1995,Pubs!$A$2:$A$3001,0))&amp;"","⚠ pub inconnue")))</f>
        <v/>
      </c>
      <c r="I1995" s="27" t="str">
        <f aca="false">IF(OR(G1995="",G1995="?"),"",IFERROR(INDEX(Pubs!$C$2:$C$3001,MATCH(G1995,Pubs!$A$2:$A$3001,0))&amp;"",""))</f>
        <v/>
      </c>
      <c r="J1995" s="27" t="str">
        <f aca="false">IF(OR(G1995="",G1995="?"),"",IFERROR(INDEX(Pubs!$G$2:$G$3001,MATCH(G1995,Pubs!$A$2:$A$3001,0))&amp;"",""))</f>
        <v/>
      </c>
      <c r="K1995" s="28" t="str">
        <f aca="false">IF(OR(G1995="",G1995="?"),"",IFERROR(INDEX(Pubs!$E$2:$E$3001,MATCH(G1995,Pubs!$A$2:$A$3001,0)),""))</f>
        <v/>
      </c>
      <c r="L1995" s="29" t="str">
        <f aca="false">IF(A1995="","",IFERROR(1/(1/INDEX(Numéros!$C$2:$C$3001,MATCH(A1995&amp;"|"&amp;B1995,Numéros!$F$2:$F$3001,0))),""))</f>
        <v/>
      </c>
      <c r="M1995" s="27" t="str">
        <f aca="false">IF(OR(G1995="",G1995="?"),"",IFERROR(INDEX(Pubs!$D$2:$D$3001,MATCH(G1995,Pubs!$A$2:$A$3001,0))&amp;"",""))</f>
        <v/>
      </c>
      <c r="N1995" s="27" t="n">
        <f aca="false">N(N1994)+IF(AND(A1995&lt;&gt;"",OR(Recherche!$C$4="",A1995=Recherche!$C$4),OR(Recherche!$C$5="",B1995&amp;""=Recherche!$C$5&amp;""),OR(Recherche!$C$6="",IFERROR(YEAR(L1995),0)=Recherche!$C$6),OR(Recherche!$C$7="",ISNUMBER(SEARCH(Recherche!$C$7,H1995))),OR(Recherche!$C$8="",J1995=Recherche!$C$8),OR(Recherche!$C$9="",I1995=Recherche!$C$9),OR(Recherche!$C$10="",G1995&amp;""=Recherche!$C$10&amp;""),OR(Recherche!$C$11="",E1995=Recherche!$C$11),OR(Recherche!$C$12="",ISNUMBER(SEARCH(Recherche!$C$12,M1995&amp;" "&amp;F1995)))),1,0)</f>
        <v>8</v>
      </c>
    </row>
    <row r="1996" customFormat="false" ht="15" hidden="false" customHeight="false" outlineLevel="0" collapsed="false">
      <c r="A1996" s="19"/>
      <c r="B1996" s="19"/>
      <c r="C1996" s="19"/>
      <c r="D1996" s="19"/>
      <c r="E1996" s="22"/>
      <c r="F1996" s="19"/>
      <c r="G1996" s="26" t="str">
        <f aca="false">IF(D1996="","",IFERROR(VALUE(LEFT(D1996,FIND(" |",D1996&amp;" |")-1)),"?"))</f>
        <v/>
      </c>
      <c r="H1996" s="27" t="str">
        <f aca="false">IF(G1996="","",IF(G1996="?","⚠ pub inconnue",IFERROR(INDEX(Pubs!$B$2:$B$3001,MATCH(G1996,Pubs!$A$2:$A$3001,0))&amp;"","⚠ pub inconnue")))</f>
        <v/>
      </c>
      <c r="I1996" s="27" t="str">
        <f aca="false">IF(OR(G1996="",G1996="?"),"",IFERROR(INDEX(Pubs!$C$2:$C$3001,MATCH(G1996,Pubs!$A$2:$A$3001,0))&amp;"",""))</f>
        <v/>
      </c>
      <c r="J1996" s="27" t="str">
        <f aca="false">IF(OR(G1996="",G1996="?"),"",IFERROR(INDEX(Pubs!$G$2:$G$3001,MATCH(G1996,Pubs!$A$2:$A$3001,0))&amp;"",""))</f>
        <v/>
      </c>
      <c r="K1996" s="28" t="str">
        <f aca="false">IF(OR(G1996="",G1996="?"),"",IFERROR(INDEX(Pubs!$E$2:$E$3001,MATCH(G1996,Pubs!$A$2:$A$3001,0)),""))</f>
        <v/>
      </c>
      <c r="L1996" s="29" t="str">
        <f aca="false">IF(A1996="","",IFERROR(1/(1/INDEX(Numéros!$C$2:$C$3001,MATCH(A1996&amp;"|"&amp;B1996,Numéros!$F$2:$F$3001,0))),""))</f>
        <v/>
      </c>
      <c r="M1996" s="27" t="str">
        <f aca="false">IF(OR(G1996="",G1996="?"),"",IFERROR(INDEX(Pubs!$D$2:$D$3001,MATCH(G1996,Pubs!$A$2:$A$3001,0))&amp;"",""))</f>
        <v/>
      </c>
      <c r="N1996" s="27" t="n">
        <f aca="false">N(N1995)+IF(AND(A1996&lt;&gt;"",OR(Recherche!$C$4="",A1996=Recherche!$C$4),OR(Recherche!$C$5="",B1996&amp;""=Recherche!$C$5&amp;""),OR(Recherche!$C$6="",IFERROR(YEAR(L1996),0)=Recherche!$C$6),OR(Recherche!$C$7="",ISNUMBER(SEARCH(Recherche!$C$7,H1996))),OR(Recherche!$C$8="",J1996=Recherche!$C$8),OR(Recherche!$C$9="",I1996=Recherche!$C$9),OR(Recherche!$C$10="",G1996&amp;""=Recherche!$C$10&amp;""),OR(Recherche!$C$11="",E1996=Recherche!$C$11),OR(Recherche!$C$12="",ISNUMBER(SEARCH(Recherche!$C$12,M1996&amp;" "&amp;F1996)))),1,0)</f>
        <v>8</v>
      </c>
    </row>
    <row r="1997" customFormat="false" ht="15" hidden="false" customHeight="false" outlineLevel="0" collapsed="false">
      <c r="A1997" s="19"/>
      <c r="B1997" s="19"/>
      <c r="C1997" s="19"/>
      <c r="D1997" s="19"/>
      <c r="E1997" s="22"/>
      <c r="F1997" s="19"/>
      <c r="G1997" s="26" t="str">
        <f aca="false">IF(D1997="","",IFERROR(VALUE(LEFT(D1997,FIND(" |",D1997&amp;" |")-1)),"?"))</f>
        <v/>
      </c>
      <c r="H1997" s="27" t="str">
        <f aca="false">IF(G1997="","",IF(G1997="?","⚠ pub inconnue",IFERROR(INDEX(Pubs!$B$2:$B$3001,MATCH(G1997,Pubs!$A$2:$A$3001,0))&amp;"","⚠ pub inconnue")))</f>
        <v/>
      </c>
      <c r="I1997" s="27" t="str">
        <f aca="false">IF(OR(G1997="",G1997="?"),"",IFERROR(INDEX(Pubs!$C$2:$C$3001,MATCH(G1997,Pubs!$A$2:$A$3001,0))&amp;"",""))</f>
        <v/>
      </c>
      <c r="J1997" s="27" t="str">
        <f aca="false">IF(OR(G1997="",G1997="?"),"",IFERROR(INDEX(Pubs!$G$2:$G$3001,MATCH(G1997,Pubs!$A$2:$A$3001,0))&amp;"",""))</f>
        <v/>
      </c>
      <c r="K1997" s="28" t="str">
        <f aca="false">IF(OR(G1997="",G1997="?"),"",IFERROR(INDEX(Pubs!$E$2:$E$3001,MATCH(G1997,Pubs!$A$2:$A$3001,0)),""))</f>
        <v/>
      </c>
      <c r="L1997" s="29" t="str">
        <f aca="false">IF(A1997="","",IFERROR(1/(1/INDEX(Numéros!$C$2:$C$3001,MATCH(A1997&amp;"|"&amp;B1997,Numéros!$F$2:$F$3001,0))),""))</f>
        <v/>
      </c>
      <c r="M1997" s="27" t="str">
        <f aca="false">IF(OR(G1997="",G1997="?"),"",IFERROR(INDEX(Pubs!$D$2:$D$3001,MATCH(G1997,Pubs!$A$2:$A$3001,0))&amp;"",""))</f>
        <v/>
      </c>
      <c r="N1997" s="27" t="n">
        <f aca="false">N(N1996)+IF(AND(A1997&lt;&gt;"",OR(Recherche!$C$4="",A1997=Recherche!$C$4),OR(Recherche!$C$5="",B1997&amp;""=Recherche!$C$5&amp;""),OR(Recherche!$C$6="",IFERROR(YEAR(L1997),0)=Recherche!$C$6),OR(Recherche!$C$7="",ISNUMBER(SEARCH(Recherche!$C$7,H1997))),OR(Recherche!$C$8="",J1997=Recherche!$C$8),OR(Recherche!$C$9="",I1997=Recherche!$C$9),OR(Recherche!$C$10="",G1997&amp;""=Recherche!$C$10&amp;""),OR(Recherche!$C$11="",E1997=Recherche!$C$11),OR(Recherche!$C$12="",ISNUMBER(SEARCH(Recherche!$C$12,M1997&amp;" "&amp;F1997)))),1,0)</f>
        <v>8</v>
      </c>
    </row>
    <row r="1998" customFormat="false" ht="15" hidden="false" customHeight="false" outlineLevel="0" collapsed="false">
      <c r="A1998" s="19"/>
      <c r="B1998" s="19"/>
      <c r="C1998" s="19"/>
      <c r="D1998" s="19"/>
      <c r="E1998" s="22"/>
      <c r="F1998" s="19"/>
      <c r="G1998" s="26" t="str">
        <f aca="false">IF(D1998="","",IFERROR(VALUE(LEFT(D1998,FIND(" |",D1998&amp;" |")-1)),"?"))</f>
        <v/>
      </c>
      <c r="H1998" s="27" t="str">
        <f aca="false">IF(G1998="","",IF(G1998="?","⚠ pub inconnue",IFERROR(INDEX(Pubs!$B$2:$B$3001,MATCH(G1998,Pubs!$A$2:$A$3001,0))&amp;"","⚠ pub inconnue")))</f>
        <v/>
      </c>
      <c r="I1998" s="27" t="str">
        <f aca="false">IF(OR(G1998="",G1998="?"),"",IFERROR(INDEX(Pubs!$C$2:$C$3001,MATCH(G1998,Pubs!$A$2:$A$3001,0))&amp;"",""))</f>
        <v/>
      </c>
      <c r="J1998" s="27" t="str">
        <f aca="false">IF(OR(G1998="",G1998="?"),"",IFERROR(INDEX(Pubs!$G$2:$G$3001,MATCH(G1998,Pubs!$A$2:$A$3001,0))&amp;"",""))</f>
        <v/>
      </c>
      <c r="K1998" s="28" t="str">
        <f aca="false">IF(OR(G1998="",G1998="?"),"",IFERROR(INDEX(Pubs!$E$2:$E$3001,MATCH(G1998,Pubs!$A$2:$A$3001,0)),""))</f>
        <v/>
      </c>
      <c r="L1998" s="29" t="str">
        <f aca="false">IF(A1998="","",IFERROR(1/(1/INDEX(Numéros!$C$2:$C$3001,MATCH(A1998&amp;"|"&amp;B1998,Numéros!$F$2:$F$3001,0))),""))</f>
        <v/>
      </c>
      <c r="M1998" s="27" t="str">
        <f aca="false">IF(OR(G1998="",G1998="?"),"",IFERROR(INDEX(Pubs!$D$2:$D$3001,MATCH(G1998,Pubs!$A$2:$A$3001,0))&amp;"",""))</f>
        <v/>
      </c>
      <c r="N1998" s="27" t="n">
        <f aca="false">N(N1997)+IF(AND(A1998&lt;&gt;"",OR(Recherche!$C$4="",A1998=Recherche!$C$4),OR(Recherche!$C$5="",B1998&amp;""=Recherche!$C$5&amp;""),OR(Recherche!$C$6="",IFERROR(YEAR(L1998),0)=Recherche!$C$6),OR(Recherche!$C$7="",ISNUMBER(SEARCH(Recherche!$C$7,H1998))),OR(Recherche!$C$8="",J1998=Recherche!$C$8),OR(Recherche!$C$9="",I1998=Recherche!$C$9),OR(Recherche!$C$10="",G1998&amp;""=Recherche!$C$10&amp;""),OR(Recherche!$C$11="",E1998=Recherche!$C$11),OR(Recherche!$C$12="",ISNUMBER(SEARCH(Recherche!$C$12,M1998&amp;" "&amp;F1998)))),1,0)</f>
        <v>8</v>
      </c>
    </row>
    <row r="1999" customFormat="false" ht="15" hidden="false" customHeight="false" outlineLevel="0" collapsed="false">
      <c r="A1999" s="19"/>
      <c r="B1999" s="19"/>
      <c r="C1999" s="19"/>
      <c r="D1999" s="19"/>
      <c r="E1999" s="22"/>
      <c r="F1999" s="19"/>
      <c r="G1999" s="26" t="str">
        <f aca="false">IF(D1999="","",IFERROR(VALUE(LEFT(D1999,FIND(" |",D1999&amp;" |")-1)),"?"))</f>
        <v/>
      </c>
      <c r="H1999" s="27" t="str">
        <f aca="false">IF(G1999="","",IF(G1999="?","⚠ pub inconnue",IFERROR(INDEX(Pubs!$B$2:$B$3001,MATCH(G1999,Pubs!$A$2:$A$3001,0))&amp;"","⚠ pub inconnue")))</f>
        <v/>
      </c>
      <c r="I1999" s="27" t="str">
        <f aca="false">IF(OR(G1999="",G1999="?"),"",IFERROR(INDEX(Pubs!$C$2:$C$3001,MATCH(G1999,Pubs!$A$2:$A$3001,0))&amp;"",""))</f>
        <v/>
      </c>
      <c r="J1999" s="27" t="str">
        <f aca="false">IF(OR(G1999="",G1999="?"),"",IFERROR(INDEX(Pubs!$G$2:$G$3001,MATCH(G1999,Pubs!$A$2:$A$3001,0))&amp;"",""))</f>
        <v/>
      </c>
      <c r="K1999" s="28" t="str">
        <f aca="false">IF(OR(G1999="",G1999="?"),"",IFERROR(INDEX(Pubs!$E$2:$E$3001,MATCH(G1999,Pubs!$A$2:$A$3001,0)),""))</f>
        <v/>
      </c>
      <c r="L1999" s="29" t="str">
        <f aca="false">IF(A1999="","",IFERROR(1/(1/INDEX(Numéros!$C$2:$C$3001,MATCH(A1999&amp;"|"&amp;B1999,Numéros!$F$2:$F$3001,0))),""))</f>
        <v/>
      </c>
      <c r="M1999" s="27" t="str">
        <f aca="false">IF(OR(G1999="",G1999="?"),"",IFERROR(INDEX(Pubs!$D$2:$D$3001,MATCH(G1999,Pubs!$A$2:$A$3001,0))&amp;"",""))</f>
        <v/>
      </c>
      <c r="N1999" s="27" t="n">
        <f aca="false">N(N1998)+IF(AND(A1999&lt;&gt;"",OR(Recherche!$C$4="",A1999=Recherche!$C$4),OR(Recherche!$C$5="",B1999&amp;""=Recherche!$C$5&amp;""),OR(Recherche!$C$6="",IFERROR(YEAR(L1999),0)=Recherche!$C$6),OR(Recherche!$C$7="",ISNUMBER(SEARCH(Recherche!$C$7,H1999))),OR(Recherche!$C$8="",J1999=Recherche!$C$8),OR(Recherche!$C$9="",I1999=Recherche!$C$9),OR(Recherche!$C$10="",G1999&amp;""=Recherche!$C$10&amp;""),OR(Recherche!$C$11="",E1999=Recherche!$C$11),OR(Recherche!$C$12="",ISNUMBER(SEARCH(Recherche!$C$12,M1999&amp;" "&amp;F1999)))),1,0)</f>
        <v>8</v>
      </c>
    </row>
    <row r="2000" customFormat="false" ht="15" hidden="false" customHeight="false" outlineLevel="0" collapsed="false">
      <c r="A2000" s="19"/>
      <c r="B2000" s="19"/>
      <c r="C2000" s="19"/>
      <c r="D2000" s="19"/>
      <c r="E2000" s="22"/>
      <c r="F2000" s="19"/>
      <c r="G2000" s="26" t="str">
        <f aca="false">IF(D2000="","",IFERROR(VALUE(LEFT(D2000,FIND(" |",D2000&amp;" |")-1)),"?"))</f>
        <v/>
      </c>
      <c r="H2000" s="27" t="str">
        <f aca="false">IF(G2000="","",IF(G2000="?","⚠ pub inconnue",IFERROR(INDEX(Pubs!$B$2:$B$3001,MATCH(G2000,Pubs!$A$2:$A$3001,0))&amp;"","⚠ pub inconnue")))</f>
        <v/>
      </c>
      <c r="I2000" s="27" t="str">
        <f aca="false">IF(OR(G2000="",G2000="?"),"",IFERROR(INDEX(Pubs!$C$2:$C$3001,MATCH(G2000,Pubs!$A$2:$A$3001,0))&amp;"",""))</f>
        <v/>
      </c>
      <c r="J2000" s="27" t="str">
        <f aca="false">IF(OR(G2000="",G2000="?"),"",IFERROR(INDEX(Pubs!$G$2:$G$3001,MATCH(G2000,Pubs!$A$2:$A$3001,0))&amp;"",""))</f>
        <v/>
      </c>
      <c r="K2000" s="28" t="str">
        <f aca="false">IF(OR(G2000="",G2000="?"),"",IFERROR(INDEX(Pubs!$E$2:$E$3001,MATCH(G2000,Pubs!$A$2:$A$3001,0)),""))</f>
        <v/>
      </c>
      <c r="L2000" s="29" t="str">
        <f aca="false">IF(A2000="","",IFERROR(1/(1/INDEX(Numéros!$C$2:$C$3001,MATCH(A2000&amp;"|"&amp;B2000,Numéros!$F$2:$F$3001,0))),""))</f>
        <v/>
      </c>
      <c r="M2000" s="27" t="str">
        <f aca="false">IF(OR(G2000="",G2000="?"),"",IFERROR(INDEX(Pubs!$D$2:$D$3001,MATCH(G2000,Pubs!$A$2:$A$3001,0))&amp;"",""))</f>
        <v/>
      </c>
      <c r="N2000" s="27" t="n">
        <f aca="false">N(N1999)+IF(AND(A2000&lt;&gt;"",OR(Recherche!$C$4="",A2000=Recherche!$C$4),OR(Recherche!$C$5="",B2000&amp;""=Recherche!$C$5&amp;""),OR(Recherche!$C$6="",IFERROR(YEAR(L2000),0)=Recherche!$C$6),OR(Recherche!$C$7="",ISNUMBER(SEARCH(Recherche!$C$7,H2000))),OR(Recherche!$C$8="",J2000=Recherche!$C$8),OR(Recherche!$C$9="",I2000=Recherche!$C$9),OR(Recherche!$C$10="",G2000&amp;""=Recherche!$C$10&amp;""),OR(Recherche!$C$11="",E2000=Recherche!$C$11),OR(Recherche!$C$12="",ISNUMBER(SEARCH(Recherche!$C$12,M2000&amp;" "&amp;F2000)))),1,0)</f>
        <v>8</v>
      </c>
    </row>
    <row r="2001" customFormat="false" ht="15" hidden="false" customHeight="false" outlineLevel="0" collapsed="false">
      <c r="A2001" s="19"/>
      <c r="B2001" s="19"/>
      <c r="C2001" s="19"/>
      <c r="D2001" s="19"/>
      <c r="E2001" s="22"/>
      <c r="F2001" s="19"/>
      <c r="G2001" s="26" t="str">
        <f aca="false">IF(D2001="","",IFERROR(VALUE(LEFT(D2001,FIND(" |",D2001&amp;" |")-1)),"?"))</f>
        <v/>
      </c>
      <c r="H2001" s="27" t="str">
        <f aca="false">IF(G2001="","",IF(G2001="?","⚠ pub inconnue",IFERROR(INDEX(Pubs!$B$2:$B$3001,MATCH(G2001,Pubs!$A$2:$A$3001,0))&amp;"","⚠ pub inconnue")))</f>
        <v/>
      </c>
      <c r="I2001" s="27" t="str">
        <f aca="false">IF(OR(G2001="",G2001="?"),"",IFERROR(INDEX(Pubs!$C$2:$C$3001,MATCH(G2001,Pubs!$A$2:$A$3001,0))&amp;"",""))</f>
        <v/>
      </c>
      <c r="J2001" s="27" t="str">
        <f aca="false">IF(OR(G2001="",G2001="?"),"",IFERROR(INDEX(Pubs!$G$2:$G$3001,MATCH(G2001,Pubs!$A$2:$A$3001,0))&amp;"",""))</f>
        <v/>
      </c>
      <c r="K2001" s="28" t="str">
        <f aca="false">IF(OR(G2001="",G2001="?"),"",IFERROR(INDEX(Pubs!$E$2:$E$3001,MATCH(G2001,Pubs!$A$2:$A$3001,0)),""))</f>
        <v/>
      </c>
      <c r="L2001" s="29" t="str">
        <f aca="false">IF(A2001="","",IFERROR(1/(1/INDEX(Numéros!$C$2:$C$3001,MATCH(A2001&amp;"|"&amp;B2001,Numéros!$F$2:$F$3001,0))),""))</f>
        <v/>
      </c>
      <c r="M2001" s="27" t="str">
        <f aca="false">IF(OR(G2001="",G2001="?"),"",IFERROR(INDEX(Pubs!$D$2:$D$3001,MATCH(G2001,Pubs!$A$2:$A$3001,0))&amp;"",""))</f>
        <v/>
      </c>
      <c r="N2001" s="27" t="n">
        <f aca="false">N(N2000)+IF(AND(A2001&lt;&gt;"",OR(Recherche!$C$4="",A2001=Recherche!$C$4),OR(Recherche!$C$5="",B2001&amp;""=Recherche!$C$5&amp;""),OR(Recherche!$C$6="",IFERROR(YEAR(L2001),0)=Recherche!$C$6),OR(Recherche!$C$7="",ISNUMBER(SEARCH(Recherche!$C$7,H2001))),OR(Recherche!$C$8="",J2001=Recherche!$C$8),OR(Recherche!$C$9="",I2001=Recherche!$C$9),OR(Recherche!$C$10="",G2001&amp;""=Recherche!$C$10&amp;""),OR(Recherche!$C$11="",E2001=Recherche!$C$11),OR(Recherche!$C$12="",ISNUMBER(SEARCH(Recherche!$C$12,M2001&amp;" "&amp;F2001)))),1,0)</f>
        <v>8</v>
      </c>
    </row>
    <row r="2002" customFormat="false" ht="15" hidden="false" customHeight="false" outlineLevel="0" collapsed="false">
      <c r="A2002" s="19"/>
      <c r="B2002" s="19"/>
      <c r="C2002" s="19"/>
      <c r="D2002" s="19"/>
      <c r="E2002" s="22"/>
      <c r="F2002" s="19"/>
      <c r="G2002" s="26" t="str">
        <f aca="false">IF(D2002="","",IFERROR(VALUE(LEFT(D2002,FIND(" |",D2002&amp;" |")-1)),"?"))</f>
        <v/>
      </c>
      <c r="H2002" s="27" t="str">
        <f aca="false">IF(G2002="","",IF(G2002="?","⚠ pub inconnue",IFERROR(INDEX(Pubs!$B$2:$B$3001,MATCH(G2002,Pubs!$A$2:$A$3001,0))&amp;"","⚠ pub inconnue")))</f>
        <v/>
      </c>
      <c r="I2002" s="27" t="str">
        <f aca="false">IF(OR(G2002="",G2002="?"),"",IFERROR(INDEX(Pubs!$C$2:$C$3001,MATCH(G2002,Pubs!$A$2:$A$3001,0))&amp;"",""))</f>
        <v/>
      </c>
      <c r="J2002" s="27" t="str">
        <f aca="false">IF(OR(G2002="",G2002="?"),"",IFERROR(INDEX(Pubs!$G$2:$G$3001,MATCH(G2002,Pubs!$A$2:$A$3001,0))&amp;"",""))</f>
        <v/>
      </c>
      <c r="K2002" s="28" t="str">
        <f aca="false">IF(OR(G2002="",G2002="?"),"",IFERROR(INDEX(Pubs!$E$2:$E$3001,MATCH(G2002,Pubs!$A$2:$A$3001,0)),""))</f>
        <v/>
      </c>
      <c r="L2002" s="29" t="str">
        <f aca="false">IF(A2002="","",IFERROR(1/(1/INDEX(Numéros!$C$2:$C$3001,MATCH(A2002&amp;"|"&amp;B2002,Numéros!$F$2:$F$3001,0))),""))</f>
        <v/>
      </c>
      <c r="M2002" s="27" t="str">
        <f aca="false">IF(OR(G2002="",G2002="?"),"",IFERROR(INDEX(Pubs!$D$2:$D$3001,MATCH(G2002,Pubs!$A$2:$A$3001,0))&amp;"",""))</f>
        <v/>
      </c>
      <c r="N2002" s="27" t="n">
        <f aca="false">N(N2001)+IF(AND(A2002&lt;&gt;"",OR(Recherche!$C$4="",A2002=Recherche!$C$4),OR(Recherche!$C$5="",B2002&amp;""=Recherche!$C$5&amp;""),OR(Recherche!$C$6="",IFERROR(YEAR(L2002),0)=Recherche!$C$6),OR(Recherche!$C$7="",ISNUMBER(SEARCH(Recherche!$C$7,H2002))),OR(Recherche!$C$8="",J2002=Recherche!$C$8),OR(Recherche!$C$9="",I2002=Recherche!$C$9),OR(Recherche!$C$10="",G2002&amp;""=Recherche!$C$10&amp;""),OR(Recherche!$C$11="",E2002=Recherche!$C$11),OR(Recherche!$C$12="",ISNUMBER(SEARCH(Recherche!$C$12,M2002&amp;" "&amp;F2002)))),1,0)</f>
        <v>8</v>
      </c>
    </row>
    <row r="2003" customFormat="false" ht="15" hidden="false" customHeight="false" outlineLevel="0" collapsed="false">
      <c r="A2003" s="19"/>
      <c r="B2003" s="19"/>
      <c r="C2003" s="19"/>
      <c r="D2003" s="19"/>
      <c r="E2003" s="22"/>
      <c r="F2003" s="19"/>
      <c r="G2003" s="26" t="str">
        <f aca="false">IF(D2003="","",IFERROR(VALUE(LEFT(D2003,FIND(" |",D2003&amp;" |")-1)),"?"))</f>
        <v/>
      </c>
      <c r="H2003" s="27" t="str">
        <f aca="false">IF(G2003="","",IF(G2003="?","⚠ pub inconnue",IFERROR(INDEX(Pubs!$B$2:$B$3001,MATCH(G2003,Pubs!$A$2:$A$3001,0))&amp;"","⚠ pub inconnue")))</f>
        <v/>
      </c>
      <c r="I2003" s="27" t="str">
        <f aca="false">IF(OR(G2003="",G2003="?"),"",IFERROR(INDEX(Pubs!$C$2:$C$3001,MATCH(G2003,Pubs!$A$2:$A$3001,0))&amp;"",""))</f>
        <v/>
      </c>
      <c r="J2003" s="27" t="str">
        <f aca="false">IF(OR(G2003="",G2003="?"),"",IFERROR(INDEX(Pubs!$G$2:$G$3001,MATCH(G2003,Pubs!$A$2:$A$3001,0))&amp;"",""))</f>
        <v/>
      </c>
      <c r="K2003" s="28" t="str">
        <f aca="false">IF(OR(G2003="",G2003="?"),"",IFERROR(INDEX(Pubs!$E$2:$E$3001,MATCH(G2003,Pubs!$A$2:$A$3001,0)),""))</f>
        <v/>
      </c>
      <c r="L2003" s="29" t="str">
        <f aca="false">IF(A2003="","",IFERROR(1/(1/INDEX(Numéros!$C$2:$C$3001,MATCH(A2003&amp;"|"&amp;B2003,Numéros!$F$2:$F$3001,0))),""))</f>
        <v/>
      </c>
      <c r="M2003" s="27" t="str">
        <f aca="false">IF(OR(G2003="",G2003="?"),"",IFERROR(INDEX(Pubs!$D$2:$D$3001,MATCH(G2003,Pubs!$A$2:$A$3001,0))&amp;"",""))</f>
        <v/>
      </c>
      <c r="N2003" s="27" t="n">
        <f aca="false">N(N2002)+IF(AND(A2003&lt;&gt;"",OR(Recherche!$C$4="",A2003=Recherche!$C$4),OR(Recherche!$C$5="",B2003&amp;""=Recherche!$C$5&amp;""),OR(Recherche!$C$6="",IFERROR(YEAR(L2003),0)=Recherche!$C$6),OR(Recherche!$C$7="",ISNUMBER(SEARCH(Recherche!$C$7,H2003))),OR(Recherche!$C$8="",J2003=Recherche!$C$8),OR(Recherche!$C$9="",I2003=Recherche!$C$9),OR(Recherche!$C$10="",G2003&amp;""=Recherche!$C$10&amp;""),OR(Recherche!$C$11="",E2003=Recherche!$C$11),OR(Recherche!$C$12="",ISNUMBER(SEARCH(Recherche!$C$12,M2003&amp;" "&amp;F2003)))),1,0)</f>
        <v>8</v>
      </c>
    </row>
    <row r="2004" customFormat="false" ht="15" hidden="false" customHeight="false" outlineLevel="0" collapsed="false">
      <c r="A2004" s="19"/>
      <c r="B2004" s="19"/>
      <c r="C2004" s="19"/>
      <c r="D2004" s="19"/>
      <c r="E2004" s="22"/>
      <c r="F2004" s="19"/>
      <c r="G2004" s="26" t="str">
        <f aca="false">IF(D2004="","",IFERROR(VALUE(LEFT(D2004,FIND(" |",D2004&amp;" |")-1)),"?"))</f>
        <v/>
      </c>
      <c r="H2004" s="27" t="str">
        <f aca="false">IF(G2004="","",IF(G2004="?","⚠ pub inconnue",IFERROR(INDEX(Pubs!$B$2:$B$3001,MATCH(G2004,Pubs!$A$2:$A$3001,0))&amp;"","⚠ pub inconnue")))</f>
        <v/>
      </c>
      <c r="I2004" s="27" t="str">
        <f aca="false">IF(OR(G2004="",G2004="?"),"",IFERROR(INDEX(Pubs!$C$2:$C$3001,MATCH(G2004,Pubs!$A$2:$A$3001,0))&amp;"",""))</f>
        <v/>
      </c>
      <c r="J2004" s="27" t="str">
        <f aca="false">IF(OR(G2004="",G2004="?"),"",IFERROR(INDEX(Pubs!$G$2:$G$3001,MATCH(G2004,Pubs!$A$2:$A$3001,0))&amp;"",""))</f>
        <v/>
      </c>
      <c r="K2004" s="28" t="str">
        <f aca="false">IF(OR(G2004="",G2004="?"),"",IFERROR(INDEX(Pubs!$E$2:$E$3001,MATCH(G2004,Pubs!$A$2:$A$3001,0)),""))</f>
        <v/>
      </c>
      <c r="L2004" s="29" t="str">
        <f aca="false">IF(A2004="","",IFERROR(1/(1/INDEX(Numéros!$C$2:$C$3001,MATCH(A2004&amp;"|"&amp;B2004,Numéros!$F$2:$F$3001,0))),""))</f>
        <v/>
      </c>
      <c r="M2004" s="27" t="str">
        <f aca="false">IF(OR(G2004="",G2004="?"),"",IFERROR(INDEX(Pubs!$D$2:$D$3001,MATCH(G2004,Pubs!$A$2:$A$3001,0))&amp;"",""))</f>
        <v/>
      </c>
      <c r="N2004" s="27" t="n">
        <f aca="false">N(N2003)+IF(AND(A2004&lt;&gt;"",OR(Recherche!$C$4="",A2004=Recherche!$C$4),OR(Recherche!$C$5="",B2004&amp;""=Recherche!$C$5&amp;""),OR(Recherche!$C$6="",IFERROR(YEAR(L2004),0)=Recherche!$C$6),OR(Recherche!$C$7="",ISNUMBER(SEARCH(Recherche!$C$7,H2004))),OR(Recherche!$C$8="",J2004=Recherche!$C$8),OR(Recherche!$C$9="",I2004=Recherche!$C$9),OR(Recherche!$C$10="",G2004&amp;""=Recherche!$C$10&amp;""),OR(Recherche!$C$11="",E2004=Recherche!$C$11),OR(Recherche!$C$12="",ISNUMBER(SEARCH(Recherche!$C$12,M2004&amp;" "&amp;F2004)))),1,0)</f>
        <v>8</v>
      </c>
    </row>
    <row r="2005" customFormat="false" ht="15" hidden="false" customHeight="false" outlineLevel="0" collapsed="false">
      <c r="A2005" s="19"/>
      <c r="B2005" s="19"/>
      <c r="C2005" s="19"/>
      <c r="D2005" s="19"/>
      <c r="E2005" s="22"/>
      <c r="F2005" s="19"/>
      <c r="G2005" s="26" t="str">
        <f aca="false">IF(D2005="","",IFERROR(VALUE(LEFT(D2005,FIND(" |",D2005&amp;" |")-1)),"?"))</f>
        <v/>
      </c>
      <c r="H2005" s="27" t="str">
        <f aca="false">IF(G2005="","",IF(G2005="?","⚠ pub inconnue",IFERROR(INDEX(Pubs!$B$2:$B$3001,MATCH(G2005,Pubs!$A$2:$A$3001,0))&amp;"","⚠ pub inconnue")))</f>
        <v/>
      </c>
      <c r="I2005" s="27" t="str">
        <f aca="false">IF(OR(G2005="",G2005="?"),"",IFERROR(INDEX(Pubs!$C$2:$C$3001,MATCH(G2005,Pubs!$A$2:$A$3001,0))&amp;"",""))</f>
        <v/>
      </c>
      <c r="J2005" s="27" t="str">
        <f aca="false">IF(OR(G2005="",G2005="?"),"",IFERROR(INDEX(Pubs!$G$2:$G$3001,MATCH(G2005,Pubs!$A$2:$A$3001,0))&amp;"",""))</f>
        <v/>
      </c>
      <c r="K2005" s="28" t="str">
        <f aca="false">IF(OR(G2005="",G2005="?"),"",IFERROR(INDEX(Pubs!$E$2:$E$3001,MATCH(G2005,Pubs!$A$2:$A$3001,0)),""))</f>
        <v/>
      </c>
      <c r="L2005" s="29" t="str">
        <f aca="false">IF(A2005="","",IFERROR(1/(1/INDEX(Numéros!$C$2:$C$3001,MATCH(A2005&amp;"|"&amp;B2005,Numéros!$F$2:$F$3001,0))),""))</f>
        <v/>
      </c>
      <c r="M2005" s="27" t="str">
        <f aca="false">IF(OR(G2005="",G2005="?"),"",IFERROR(INDEX(Pubs!$D$2:$D$3001,MATCH(G2005,Pubs!$A$2:$A$3001,0))&amp;"",""))</f>
        <v/>
      </c>
      <c r="N2005" s="27" t="n">
        <f aca="false">N(N2004)+IF(AND(A2005&lt;&gt;"",OR(Recherche!$C$4="",A2005=Recherche!$C$4),OR(Recherche!$C$5="",B2005&amp;""=Recherche!$C$5&amp;""),OR(Recherche!$C$6="",IFERROR(YEAR(L2005),0)=Recherche!$C$6),OR(Recherche!$C$7="",ISNUMBER(SEARCH(Recherche!$C$7,H2005))),OR(Recherche!$C$8="",J2005=Recherche!$C$8),OR(Recherche!$C$9="",I2005=Recherche!$C$9),OR(Recherche!$C$10="",G2005&amp;""=Recherche!$C$10&amp;""),OR(Recherche!$C$11="",E2005=Recherche!$C$11),OR(Recherche!$C$12="",ISNUMBER(SEARCH(Recherche!$C$12,M2005&amp;" "&amp;F2005)))),1,0)</f>
        <v>8</v>
      </c>
    </row>
    <row r="2006" customFormat="false" ht="15" hidden="false" customHeight="false" outlineLevel="0" collapsed="false">
      <c r="A2006" s="19"/>
      <c r="B2006" s="19"/>
      <c r="C2006" s="19"/>
      <c r="D2006" s="19"/>
      <c r="E2006" s="22"/>
      <c r="F2006" s="19"/>
      <c r="G2006" s="26" t="str">
        <f aca="false">IF(D2006="","",IFERROR(VALUE(LEFT(D2006,FIND(" |",D2006&amp;" |")-1)),"?"))</f>
        <v/>
      </c>
      <c r="H2006" s="27" t="str">
        <f aca="false">IF(G2006="","",IF(G2006="?","⚠ pub inconnue",IFERROR(INDEX(Pubs!$B$2:$B$3001,MATCH(G2006,Pubs!$A$2:$A$3001,0))&amp;"","⚠ pub inconnue")))</f>
        <v/>
      </c>
      <c r="I2006" s="27" t="str">
        <f aca="false">IF(OR(G2006="",G2006="?"),"",IFERROR(INDEX(Pubs!$C$2:$C$3001,MATCH(G2006,Pubs!$A$2:$A$3001,0))&amp;"",""))</f>
        <v/>
      </c>
      <c r="J2006" s="27" t="str">
        <f aca="false">IF(OR(G2006="",G2006="?"),"",IFERROR(INDEX(Pubs!$G$2:$G$3001,MATCH(G2006,Pubs!$A$2:$A$3001,0))&amp;"",""))</f>
        <v/>
      </c>
      <c r="K2006" s="28" t="str">
        <f aca="false">IF(OR(G2006="",G2006="?"),"",IFERROR(INDEX(Pubs!$E$2:$E$3001,MATCH(G2006,Pubs!$A$2:$A$3001,0)),""))</f>
        <v/>
      </c>
      <c r="L2006" s="29" t="str">
        <f aca="false">IF(A2006="","",IFERROR(1/(1/INDEX(Numéros!$C$2:$C$3001,MATCH(A2006&amp;"|"&amp;B2006,Numéros!$F$2:$F$3001,0))),""))</f>
        <v/>
      </c>
      <c r="M2006" s="27" t="str">
        <f aca="false">IF(OR(G2006="",G2006="?"),"",IFERROR(INDEX(Pubs!$D$2:$D$3001,MATCH(G2006,Pubs!$A$2:$A$3001,0))&amp;"",""))</f>
        <v/>
      </c>
      <c r="N2006" s="27" t="n">
        <f aca="false">N(N2005)+IF(AND(A2006&lt;&gt;"",OR(Recherche!$C$4="",A2006=Recherche!$C$4),OR(Recherche!$C$5="",B2006&amp;""=Recherche!$C$5&amp;""),OR(Recherche!$C$6="",IFERROR(YEAR(L2006),0)=Recherche!$C$6),OR(Recherche!$C$7="",ISNUMBER(SEARCH(Recherche!$C$7,H2006))),OR(Recherche!$C$8="",J2006=Recherche!$C$8),OR(Recherche!$C$9="",I2006=Recherche!$C$9),OR(Recherche!$C$10="",G2006&amp;""=Recherche!$C$10&amp;""),OR(Recherche!$C$11="",E2006=Recherche!$C$11),OR(Recherche!$C$12="",ISNUMBER(SEARCH(Recherche!$C$12,M2006&amp;" "&amp;F2006)))),1,0)</f>
        <v>8</v>
      </c>
    </row>
    <row r="2007" customFormat="false" ht="15" hidden="false" customHeight="false" outlineLevel="0" collapsed="false">
      <c r="A2007" s="19"/>
      <c r="B2007" s="19"/>
      <c r="C2007" s="19"/>
      <c r="D2007" s="19"/>
      <c r="E2007" s="22"/>
      <c r="F2007" s="19"/>
      <c r="G2007" s="26" t="str">
        <f aca="false">IF(D2007="","",IFERROR(VALUE(LEFT(D2007,FIND(" |",D2007&amp;" |")-1)),"?"))</f>
        <v/>
      </c>
      <c r="H2007" s="27" t="str">
        <f aca="false">IF(G2007="","",IF(G2007="?","⚠ pub inconnue",IFERROR(INDEX(Pubs!$B$2:$B$3001,MATCH(G2007,Pubs!$A$2:$A$3001,0))&amp;"","⚠ pub inconnue")))</f>
        <v/>
      </c>
      <c r="I2007" s="27" t="str">
        <f aca="false">IF(OR(G2007="",G2007="?"),"",IFERROR(INDEX(Pubs!$C$2:$C$3001,MATCH(G2007,Pubs!$A$2:$A$3001,0))&amp;"",""))</f>
        <v/>
      </c>
      <c r="J2007" s="27" t="str">
        <f aca="false">IF(OR(G2007="",G2007="?"),"",IFERROR(INDEX(Pubs!$G$2:$G$3001,MATCH(G2007,Pubs!$A$2:$A$3001,0))&amp;"",""))</f>
        <v/>
      </c>
      <c r="K2007" s="28" t="str">
        <f aca="false">IF(OR(G2007="",G2007="?"),"",IFERROR(INDEX(Pubs!$E$2:$E$3001,MATCH(G2007,Pubs!$A$2:$A$3001,0)),""))</f>
        <v/>
      </c>
      <c r="L2007" s="29" t="str">
        <f aca="false">IF(A2007="","",IFERROR(1/(1/INDEX(Numéros!$C$2:$C$3001,MATCH(A2007&amp;"|"&amp;B2007,Numéros!$F$2:$F$3001,0))),""))</f>
        <v/>
      </c>
      <c r="M2007" s="27" t="str">
        <f aca="false">IF(OR(G2007="",G2007="?"),"",IFERROR(INDEX(Pubs!$D$2:$D$3001,MATCH(G2007,Pubs!$A$2:$A$3001,0))&amp;"",""))</f>
        <v/>
      </c>
      <c r="N2007" s="27" t="n">
        <f aca="false">N(N2006)+IF(AND(A2007&lt;&gt;"",OR(Recherche!$C$4="",A2007=Recherche!$C$4),OR(Recherche!$C$5="",B2007&amp;""=Recherche!$C$5&amp;""),OR(Recherche!$C$6="",IFERROR(YEAR(L2007),0)=Recherche!$C$6),OR(Recherche!$C$7="",ISNUMBER(SEARCH(Recherche!$C$7,H2007))),OR(Recherche!$C$8="",J2007=Recherche!$C$8),OR(Recherche!$C$9="",I2007=Recherche!$C$9),OR(Recherche!$C$10="",G2007&amp;""=Recherche!$C$10&amp;""),OR(Recherche!$C$11="",E2007=Recherche!$C$11),OR(Recherche!$C$12="",ISNUMBER(SEARCH(Recherche!$C$12,M2007&amp;" "&amp;F2007)))),1,0)</f>
        <v>8</v>
      </c>
    </row>
    <row r="2008" customFormat="false" ht="15" hidden="false" customHeight="false" outlineLevel="0" collapsed="false">
      <c r="A2008" s="19"/>
      <c r="B2008" s="19"/>
      <c r="C2008" s="19"/>
      <c r="D2008" s="19"/>
      <c r="E2008" s="22"/>
      <c r="F2008" s="19"/>
      <c r="G2008" s="26" t="str">
        <f aca="false">IF(D2008="","",IFERROR(VALUE(LEFT(D2008,FIND(" |",D2008&amp;" |")-1)),"?"))</f>
        <v/>
      </c>
      <c r="H2008" s="27" t="str">
        <f aca="false">IF(G2008="","",IF(G2008="?","⚠ pub inconnue",IFERROR(INDEX(Pubs!$B$2:$B$3001,MATCH(G2008,Pubs!$A$2:$A$3001,0))&amp;"","⚠ pub inconnue")))</f>
        <v/>
      </c>
      <c r="I2008" s="27" t="str">
        <f aca="false">IF(OR(G2008="",G2008="?"),"",IFERROR(INDEX(Pubs!$C$2:$C$3001,MATCH(G2008,Pubs!$A$2:$A$3001,0))&amp;"",""))</f>
        <v/>
      </c>
      <c r="J2008" s="27" t="str">
        <f aca="false">IF(OR(G2008="",G2008="?"),"",IFERROR(INDEX(Pubs!$G$2:$G$3001,MATCH(G2008,Pubs!$A$2:$A$3001,0))&amp;"",""))</f>
        <v/>
      </c>
      <c r="K2008" s="28" t="str">
        <f aca="false">IF(OR(G2008="",G2008="?"),"",IFERROR(INDEX(Pubs!$E$2:$E$3001,MATCH(G2008,Pubs!$A$2:$A$3001,0)),""))</f>
        <v/>
      </c>
      <c r="L2008" s="29" t="str">
        <f aca="false">IF(A2008="","",IFERROR(1/(1/INDEX(Numéros!$C$2:$C$3001,MATCH(A2008&amp;"|"&amp;B2008,Numéros!$F$2:$F$3001,0))),""))</f>
        <v/>
      </c>
      <c r="M2008" s="27" t="str">
        <f aca="false">IF(OR(G2008="",G2008="?"),"",IFERROR(INDEX(Pubs!$D$2:$D$3001,MATCH(G2008,Pubs!$A$2:$A$3001,0))&amp;"",""))</f>
        <v/>
      </c>
      <c r="N2008" s="27" t="n">
        <f aca="false">N(N2007)+IF(AND(A2008&lt;&gt;"",OR(Recherche!$C$4="",A2008=Recherche!$C$4),OR(Recherche!$C$5="",B2008&amp;""=Recherche!$C$5&amp;""),OR(Recherche!$C$6="",IFERROR(YEAR(L2008),0)=Recherche!$C$6),OR(Recherche!$C$7="",ISNUMBER(SEARCH(Recherche!$C$7,H2008))),OR(Recherche!$C$8="",J2008=Recherche!$C$8),OR(Recherche!$C$9="",I2008=Recherche!$C$9),OR(Recherche!$C$10="",G2008&amp;""=Recherche!$C$10&amp;""),OR(Recherche!$C$11="",E2008=Recherche!$C$11),OR(Recherche!$C$12="",ISNUMBER(SEARCH(Recherche!$C$12,M2008&amp;" "&amp;F2008)))),1,0)</f>
        <v>8</v>
      </c>
    </row>
    <row r="2009" customFormat="false" ht="15" hidden="false" customHeight="false" outlineLevel="0" collapsed="false">
      <c r="A2009" s="19"/>
      <c r="B2009" s="19"/>
      <c r="C2009" s="19"/>
      <c r="D2009" s="19"/>
      <c r="E2009" s="22"/>
      <c r="F2009" s="19"/>
      <c r="G2009" s="26" t="str">
        <f aca="false">IF(D2009="","",IFERROR(VALUE(LEFT(D2009,FIND(" |",D2009&amp;" |")-1)),"?"))</f>
        <v/>
      </c>
      <c r="H2009" s="27" t="str">
        <f aca="false">IF(G2009="","",IF(G2009="?","⚠ pub inconnue",IFERROR(INDEX(Pubs!$B$2:$B$3001,MATCH(G2009,Pubs!$A$2:$A$3001,0))&amp;"","⚠ pub inconnue")))</f>
        <v/>
      </c>
      <c r="I2009" s="27" t="str">
        <f aca="false">IF(OR(G2009="",G2009="?"),"",IFERROR(INDEX(Pubs!$C$2:$C$3001,MATCH(G2009,Pubs!$A$2:$A$3001,0))&amp;"",""))</f>
        <v/>
      </c>
      <c r="J2009" s="27" t="str">
        <f aca="false">IF(OR(G2009="",G2009="?"),"",IFERROR(INDEX(Pubs!$G$2:$G$3001,MATCH(G2009,Pubs!$A$2:$A$3001,0))&amp;"",""))</f>
        <v/>
      </c>
      <c r="K2009" s="28" t="str">
        <f aca="false">IF(OR(G2009="",G2009="?"),"",IFERROR(INDEX(Pubs!$E$2:$E$3001,MATCH(G2009,Pubs!$A$2:$A$3001,0)),""))</f>
        <v/>
      </c>
      <c r="L2009" s="29" t="str">
        <f aca="false">IF(A2009="","",IFERROR(1/(1/INDEX(Numéros!$C$2:$C$3001,MATCH(A2009&amp;"|"&amp;B2009,Numéros!$F$2:$F$3001,0))),""))</f>
        <v/>
      </c>
      <c r="M2009" s="27" t="str">
        <f aca="false">IF(OR(G2009="",G2009="?"),"",IFERROR(INDEX(Pubs!$D$2:$D$3001,MATCH(G2009,Pubs!$A$2:$A$3001,0))&amp;"",""))</f>
        <v/>
      </c>
      <c r="N2009" s="27" t="n">
        <f aca="false">N(N2008)+IF(AND(A2009&lt;&gt;"",OR(Recherche!$C$4="",A2009=Recherche!$C$4),OR(Recherche!$C$5="",B2009&amp;""=Recherche!$C$5&amp;""),OR(Recherche!$C$6="",IFERROR(YEAR(L2009),0)=Recherche!$C$6),OR(Recherche!$C$7="",ISNUMBER(SEARCH(Recherche!$C$7,H2009))),OR(Recherche!$C$8="",J2009=Recherche!$C$8),OR(Recherche!$C$9="",I2009=Recherche!$C$9),OR(Recherche!$C$10="",G2009&amp;""=Recherche!$C$10&amp;""),OR(Recherche!$C$11="",E2009=Recherche!$C$11),OR(Recherche!$C$12="",ISNUMBER(SEARCH(Recherche!$C$12,M2009&amp;" "&amp;F2009)))),1,0)</f>
        <v>8</v>
      </c>
    </row>
    <row r="2010" customFormat="false" ht="15" hidden="false" customHeight="false" outlineLevel="0" collapsed="false">
      <c r="A2010" s="19"/>
      <c r="B2010" s="19"/>
      <c r="C2010" s="19"/>
      <c r="D2010" s="19"/>
      <c r="E2010" s="22"/>
      <c r="F2010" s="19"/>
      <c r="G2010" s="26" t="str">
        <f aca="false">IF(D2010="","",IFERROR(VALUE(LEFT(D2010,FIND(" |",D2010&amp;" |")-1)),"?"))</f>
        <v/>
      </c>
      <c r="H2010" s="27" t="str">
        <f aca="false">IF(G2010="","",IF(G2010="?","⚠ pub inconnue",IFERROR(INDEX(Pubs!$B$2:$B$3001,MATCH(G2010,Pubs!$A$2:$A$3001,0))&amp;"","⚠ pub inconnue")))</f>
        <v/>
      </c>
      <c r="I2010" s="27" t="str">
        <f aca="false">IF(OR(G2010="",G2010="?"),"",IFERROR(INDEX(Pubs!$C$2:$C$3001,MATCH(G2010,Pubs!$A$2:$A$3001,0))&amp;"",""))</f>
        <v/>
      </c>
      <c r="J2010" s="27" t="str">
        <f aca="false">IF(OR(G2010="",G2010="?"),"",IFERROR(INDEX(Pubs!$G$2:$G$3001,MATCH(G2010,Pubs!$A$2:$A$3001,0))&amp;"",""))</f>
        <v/>
      </c>
      <c r="K2010" s="28" t="str">
        <f aca="false">IF(OR(G2010="",G2010="?"),"",IFERROR(INDEX(Pubs!$E$2:$E$3001,MATCH(G2010,Pubs!$A$2:$A$3001,0)),""))</f>
        <v/>
      </c>
      <c r="L2010" s="29" t="str">
        <f aca="false">IF(A2010="","",IFERROR(1/(1/INDEX(Numéros!$C$2:$C$3001,MATCH(A2010&amp;"|"&amp;B2010,Numéros!$F$2:$F$3001,0))),""))</f>
        <v/>
      </c>
      <c r="M2010" s="27" t="str">
        <f aca="false">IF(OR(G2010="",G2010="?"),"",IFERROR(INDEX(Pubs!$D$2:$D$3001,MATCH(G2010,Pubs!$A$2:$A$3001,0))&amp;"",""))</f>
        <v/>
      </c>
      <c r="N2010" s="27" t="n">
        <f aca="false">N(N2009)+IF(AND(A2010&lt;&gt;"",OR(Recherche!$C$4="",A2010=Recherche!$C$4),OR(Recherche!$C$5="",B2010&amp;""=Recherche!$C$5&amp;""),OR(Recherche!$C$6="",IFERROR(YEAR(L2010),0)=Recherche!$C$6),OR(Recherche!$C$7="",ISNUMBER(SEARCH(Recherche!$C$7,H2010))),OR(Recherche!$C$8="",J2010=Recherche!$C$8),OR(Recherche!$C$9="",I2010=Recherche!$C$9),OR(Recherche!$C$10="",G2010&amp;""=Recherche!$C$10&amp;""),OR(Recherche!$C$11="",E2010=Recherche!$C$11),OR(Recherche!$C$12="",ISNUMBER(SEARCH(Recherche!$C$12,M2010&amp;" "&amp;F2010)))),1,0)</f>
        <v>8</v>
      </c>
    </row>
    <row r="2011" customFormat="false" ht="15" hidden="false" customHeight="false" outlineLevel="0" collapsed="false">
      <c r="A2011" s="19"/>
      <c r="B2011" s="19"/>
      <c r="C2011" s="19"/>
      <c r="D2011" s="19"/>
      <c r="E2011" s="22"/>
      <c r="F2011" s="19"/>
      <c r="G2011" s="26" t="str">
        <f aca="false">IF(D2011="","",IFERROR(VALUE(LEFT(D2011,FIND(" |",D2011&amp;" |")-1)),"?"))</f>
        <v/>
      </c>
      <c r="H2011" s="27" t="str">
        <f aca="false">IF(G2011="","",IF(G2011="?","⚠ pub inconnue",IFERROR(INDEX(Pubs!$B$2:$B$3001,MATCH(G2011,Pubs!$A$2:$A$3001,0))&amp;"","⚠ pub inconnue")))</f>
        <v/>
      </c>
      <c r="I2011" s="27" t="str">
        <f aca="false">IF(OR(G2011="",G2011="?"),"",IFERROR(INDEX(Pubs!$C$2:$C$3001,MATCH(G2011,Pubs!$A$2:$A$3001,0))&amp;"",""))</f>
        <v/>
      </c>
      <c r="J2011" s="27" t="str">
        <f aca="false">IF(OR(G2011="",G2011="?"),"",IFERROR(INDEX(Pubs!$G$2:$G$3001,MATCH(G2011,Pubs!$A$2:$A$3001,0))&amp;"",""))</f>
        <v/>
      </c>
      <c r="K2011" s="28" t="str">
        <f aca="false">IF(OR(G2011="",G2011="?"),"",IFERROR(INDEX(Pubs!$E$2:$E$3001,MATCH(G2011,Pubs!$A$2:$A$3001,0)),""))</f>
        <v/>
      </c>
      <c r="L2011" s="29" t="str">
        <f aca="false">IF(A2011="","",IFERROR(1/(1/INDEX(Numéros!$C$2:$C$3001,MATCH(A2011&amp;"|"&amp;B2011,Numéros!$F$2:$F$3001,0))),""))</f>
        <v/>
      </c>
      <c r="M2011" s="27" t="str">
        <f aca="false">IF(OR(G2011="",G2011="?"),"",IFERROR(INDEX(Pubs!$D$2:$D$3001,MATCH(G2011,Pubs!$A$2:$A$3001,0))&amp;"",""))</f>
        <v/>
      </c>
      <c r="N2011" s="27" t="n">
        <f aca="false">N(N2010)+IF(AND(A2011&lt;&gt;"",OR(Recherche!$C$4="",A2011=Recherche!$C$4),OR(Recherche!$C$5="",B2011&amp;""=Recherche!$C$5&amp;""),OR(Recherche!$C$6="",IFERROR(YEAR(L2011),0)=Recherche!$C$6),OR(Recherche!$C$7="",ISNUMBER(SEARCH(Recherche!$C$7,H2011))),OR(Recherche!$C$8="",J2011=Recherche!$C$8),OR(Recherche!$C$9="",I2011=Recherche!$C$9),OR(Recherche!$C$10="",G2011&amp;""=Recherche!$C$10&amp;""),OR(Recherche!$C$11="",E2011=Recherche!$C$11),OR(Recherche!$C$12="",ISNUMBER(SEARCH(Recherche!$C$12,M2011&amp;" "&amp;F2011)))),1,0)</f>
        <v>8</v>
      </c>
    </row>
    <row r="2012" customFormat="false" ht="15" hidden="false" customHeight="false" outlineLevel="0" collapsed="false">
      <c r="A2012" s="19"/>
      <c r="B2012" s="19"/>
      <c r="C2012" s="19"/>
      <c r="D2012" s="19"/>
      <c r="E2012" s="22"/>
      <c r="F2012" s="19"/>
      <c r="G2012" s="26" t="str">
        <f aca="false">IF(D2012="","",IFERROR(VALUE(LEFT(D2012,FIND(" |",D2012&amp;" |")-1)),"?"))</f>
        <v/>
      </c>
      <c r="H2012" s="27" t="str">
        <f aca="false">IF(G2012="","",IF(G2012="?","⚠ pub inconnue",IFERROR(INDEX(Pubs!$B$2:$B$3001,MATCH(G2012,Pubs!$A$2:$A$3001,0))&amp;"","⚠ pub inconnue")))</f>
        <v/>
      </c>
      <c r="I2012" s="27" t="str">
        <f aca="false">IF(OR(G2012="",G2012="?"),"",IFERROR(INDEX(Pubs!$C$2:$C$3001,MATCH(G2012,Pubs!$A$2:$A$3001,0))&amp;"",""))</f>
        <v/>
      </c>
      <c r="J2012" s="27" t="str">
        <f aca="false">IF(OR(G2012="",G2012="?"),"",IFERROR(INDEX(Pubs!$G$2:$G$3001,MATCH(G2012,Pubs!$A$2:$A$3001,0))&amp;"",""))</f>
        <v/>
      </c>
      <c r="K2012" s="28" t="str">
        <f aca="false">IF(OR(G2012="",G2012="?"),"",IFERROR(INDEX(Pubs!$E$2:$E$3001,MATCH(G2012,Pubs!$A$2:$A$3001,0)),""))</f>
        <v/>
      </c>
      <c r="L2012" s="29" t="str">
        <f aca="false">IF(A2012="","",IFERROR(1/(1/INDEX(Numéros!$C$2:$C$3001,MATCH(A2012&amp;"|"&amp;B2012,Numéros!$F$2:$F$3001,0))),""))</f>
        <v/>
      </c>
      <c r="M2012" s="27" t="str">
        <f aca="false">IF(OR(G2012="",G2012="?"),"",IFERROR(INDEX(Pubs!$D$2:$D$3001,MATCH(G2012,Pubs!$A$2:$A$3001,0))&amp;"",""))</f>
        <v/>
      </c>
      <c r="N2012" s="27" t="n">
        <f aca="false">N(N2011)+IF(AND(A2012&lt;&gt;"",OR(Recherche!$C$4="",A2012=Recherche!$C$4),OR(Recherche!$C$5="",B2012&amp;""=Recherche!$C$5&amp;""),OR(Recherche!$C$6="",IFERROR(YEAR(L2012),0)=Recherche!$C$6),OR(Recherche!$C$7="",ISNUMBER(SEARCH(Recherche!$C$7,H2012))),OR(Recherche!$C$8="",J2012=Recherche!$C$8),OR(Recherche!$C$9="",I2012=Recherche!$C$9),OR(Recherche!$C$10="",G2012&amp;""=Recherche!$C$10&amp;""),OR(Recherche!$C$11="",E2012=Recherche!$C$11),OR(Recherche!$C$12="",ISNUMBER(SEARCH(Recherche!$C$12,M2012&amp;" "&amp;F2012)))),1,0)</f>
        <v>8</v>
      </c>
    </row>
    <row r="2013" customFormat="false" ht="15" hidden="false" customHeight="false" outlineLevel="0" collapsed="false">
      <c r="A2013" s="19"/>
      <c r="B2013" s="19"/>
      <c r="C2013" s="19"/>
      <c r="D2013" s="19"/>
      <c r="E2013" s="22"/>
      <c r="F2013" s="19"/>
      <c r="G2013" s="26" t="str">
        <f aca="false">IF(D2013="","",IFERROR(VALUE(LEFT(D2013,FIND(" |",D2013&amp;" |")-1)),"?"))</f>
        <v/>
      </c>
      <c r="H2013" s="27" t="str">
        <f aca="false">IF(G2013="","",IF(G2013="?","⚠ pub inconnue",IFERROR(INDEX(Pubs!$B$2:$B$3001,MATCH(G2013,Pubs!$A$2:$A$3001,0))&amp;"","⚠ pub inconnue")))</f>
        <v/>
      </c>
      <c r="I2013" s="27" t="str">
        <f aca="false">IF(OR(G2013="",G2013="?"),"",IFERROR(INDEX(Pubs!$C$2:$C$3001,MATCH(G2013,Pubs!$A$2:$A$3001,0))&amp;"",""))</f>
        <v/>
      </c>
      <c r="J2013" s="27" t="str">
        <f aca="false">IF(OR(G2013="",G2013="?"),"",IFERROR(INDEX(Pubs!$G$2:$G$3001,MATCH(G2013,Pubs!$A$2:$A$3001,0))&amp;"",""))</f>
        <v/>
      </c>
      <c r="K2013" s="28" t="str">
        <f aca="false">IF(OR(G2013="",G2013="?"),"",IFERROR(INDEX(Pubs!$E$2:$E$3001,MATCH(G2013,Pubs!$A$2:$A$3001,0)),""))</f>
        <v/>
      </c>
      <c r="L2013" s="29" t="str">
        <f aca="false">IF(A2013="","",IFERROR(1/(1/INDEX(Numéros!$C$2:$C$3001,MATCH(A2013&amp;"|"&amp;B2013,Numéros!$F$2:$F$3001,0))),""))</f>
        <v/>
      </c>
      <c r="M2013" s="27" t="str">
        <f aca="false">IF(OR(G2013="",G2013="?"),"",IFERROR(INDEX(Pubs!$D$2:$D$3001,MATCH(G2013,Pubs!$A$2:$A$3001,0))&amp;"",""))</f>
        <v/>
      </c>
      <c r="N2013" s="27" t="n">
        <f aca="false">N(N2012)+IF(AND(A2013&lt;&gt;"",OR(Recherche!$C$4="",A2013=Recherche!$C$4),OR(Recherche!$C$5="",B2013&amp;""=Recherche!$C$5&amp;""),OR(Recherche!$C$6="",IFERROR(YEAR(L2013),0)=Recherche!$C$6),OR(Recherche!$C$7="",ISNUMBER(SEARCH(Recherche!$C$7,H2013))),OR(Recherche!$C$8="",J2013=Recherche!$C$8),OR(Recherche!$C$9="",I2013=Recherche!$C$9),OR(Recherche!$C$10="",G2013&amp;""=Recherche!$C$10&amp;""),OR(Recherche!$C$11="",E2013=Recherche!$C$11),OR(Recherche!$C$12="",ISNUMBER(SEARCH(Recherche!$C$12,M2013&amp;" "&amp;F2013)))),1,0)</f>
        <v>8</v>
      </c>
    </row>
    <row r="2014" customFormat="false" ht="15" hidden="false" customHeight="false" outlineLevel="0" collapsed="false">
      <c r="A2014" s="19"/>
      <c r="B2014" s="19"/>
      <c r="C2014" s="19"/>
      <c r="D2014" s="19"/>
      <c r="E2014" s="22"/>
      <c r="F2014" s="19"/>
      <c r="G2014" s="26" t="str">
        <f aca="false">IF(D2014="","",IFERROR(VALUE(LEFT(D2014,FIND(" |",D2014&amp;" |")-1)),"?"))</f>
        <v/>
      </c>
      <c r="H2014" s="27" t="str">
        <f aca="false">IF(G2014="","",IF(G2014="?","⚠ pub inconnue",IFERROR(INDEX(Pubs!$B$2:$B$3001,MATCH(G2014,Pubs!$A$2:$A$3001,0))&amp;"","⚠ pub inconnue")))</f>
        <v/>
      </c>
      <c r="I2014" s="27" t="str">
        <f aca="false">IF(OR(G2014="",G2014="?"),"",IFERROR(INDEX(Pubs!$C$2:$C$3001,MATCH(G2014,Pubs!$A$2:$A$3001,0))&amp;"",""))</f>
        <v/>
      </c>
      <c r="J2014" s="27" t="str">
        <f aca="false">IF(OR(G2014="",G2014="?"),"",IFERROR(INDEX(Pubs!$G$2:$G$3001,MATCH(G2014,Pubs!$A$2:$A$3001,0))&amp;"",""))</f>
        <v/>
      </c>
      <c r="K2014" s="28" t="str">
        <f aca="false">IF(OR(G2014="",G2014="?"),"",IFERROR(INDEX(Pubs!$E$2:$E$3001,MATCH(G2014,Pubs!$A$2:$A$3001,0)),""))</f>
        <v/>
      </c>
      <c r="L2014" s="29" t="str">
        <f aca="false">IF(A2014="","",IFERROR(1/(1/INDEX(Numéros!$C$2:$C$3001,MATCH(A2014&amp;"|"&amp;B2014,Numéros!$F$2:$F$3001,0))),""))</f>
        <v/>
      </c>
      <c r="M2014" s="27" t="str">
        <f aca="false">IF(OR(G2014="",G2014="?"),"",IFERROR(INDEX(Pubs!$D$2:$D$3001,MATCH(G2014,Pubs!$A$2:$A$3001,0))&amp;"",""))</f>
        <v/>
      </c>
      <c r="N2014" s="27" t="n">
        <f aca="false">N(N2013)+IF(AND(A2014&lt;&gt;"",OR(Recherche!$C$4="",A2014=Recherche!$C$4),OR(Recherche!$C$5="",B2014&amp;""=Recherche!$C$5&amp;""),OR(Recherche!$C$6="",IFERROR(YEAR(L2014),0)=Recherche!$C$6),OR(Recherche!$C$7="",ISNUMBER(SEARCH(Recherche!$C$7,H2014))),OR(Recherche!$C$8="",J2014=Recherche!$C$8),OR(Recherche!$C$9="",I2014=Recherche!$C$9),OR(Recherche!$C$10="",G2014&amp;""=Recherche!$C$10&amp;""),OR(Recherche!$C$11="",E2014=Recherche!$C$11),OR(Recherche!$C$12="",ISNUMBER(SEARCH(Recherche!$C$12,M2014&amp;" "&amp;F2014)))),1,0)</f>
        <v>8</v>
      </c>
    </row>
    <row r="2015" customFormat="false" ht="15" hidden="false" customHeight="false" outlineLevel="0" collapsed="false">
      <c r="A2015" s="19"/>
      <c r="B2015" s="19"/>
      <c r="C2015" s="19"/>
      <c r="D2015" s="19"/>
      <c r="E2015" s="22"/>
      <c r="F2015" s="19"/>
      <c r="G2015" s="26" t="str">
        <f aca="false">IF(D2015="","",IFERROR(VALUE(LEFT(D2015,FIND(" |",D2015&amp;" |")-1)),"?"))</f>
        <v/>
      </c>
      <c r="H2015" s="27" t="str">
        <f aca="false">IF(G2015="","",IF(G2015="?","⚠ pub inconnue",IFERROR(INDEX(Pubs!$B$2:$B$3001,MATCH(G2015,Pubs!$A$2:$A$3001,0))&amp;"","⚠ pub inconnue")))</f>
        <v/>
      </c>
      <c r="I2015" s="27" t="str">
        <f aca="false">IF(OR(G2015="",G2015="?"),"",IFERROR(INDEX(Pubs!$C$2:$C$3001,MATCH(G2015,Pubs!$A$2:$A$3001,0))&amp;"",""))</f>
        <v/>
      </c>
      <c r="J2015" s="27" t="str">
        <f aca="false">IF(OR(G2015="",G2015="?"),"",IFERROR(INDEX(Pubs!$G$2:$G$3001,MATCH(G2015,Pubs!$A$2:$A$3001,0))&amp;"",""))</f>
        <v/>
      </c>
      <c r="K2015" s="28" t="str">
        <f aca="false">IF(OR(G2015="",G2015="?"),"",IFERROR(INDEX(Pubs!$E$2:$E$3001,MATCH(G2015,Pubs!$A$2:$A$3001,0)),""))</f>
        <v/>
      </c>
      <c r="L2015" s="29" t="str">
        <f aca="false">IF(A2015="","",IFERROR(1/(1/INDEX(Numéros!$C$2:$C$3001,MATCH(A2015&amp;"|"&amp;B2015,Numéros!$F$2:$F$3001,0))),""))</f>
        <v/>
      </c>
      <c r="M2015" s="27" t="str">
        <f aca="false">IF(OR(G2015="",G2015="?"),"",IFERROR(INDEX(Pubs!$D$2:$D$3001,MATCH(G2015,Pubs!$A$2:$A$3001,0))&amp;"",""))</f>
        <v/>
      </c>
      <c r="N2015" s="27" t="n">
        <f aca="false">N(N2014)+IF(AND(A2015&lt;&gt;"",OR(Recherche!$C$4="",A2015=Recherche!$C$4),OR(Recherche!$C$5="",B2015&amp;""=Recherche!$C$5&amp;""),OR(Recherche!$C$6="",IFERROR(YEAR(L2015),0)=Recherche!$C$6),OR(Recherche!$C$7="",ISNUMBER(SEARCH(Recherche!$C$7,H2015))),OR(Recherche!$C$8="",J2015=Recherche!$C$8),OR(Recherche!$C$9="",I2015=Recherche!$C$9),OR(Recherche!$C$10="",G2015&amp;""=Recherche!$C$10&amp;""),OR(Recherche!$C$11="",E2015=Recherche!$C$11),OR(Recherche!$C$12="",ISNUMBER(SEARCH(Recherche!$C$12,M2015&amp;" "&amp;F2015)))),1,0)</f>
        <v>8</v>
      </c>
    </row>
    <row r="2016" customFormat="false" ht="15" hidden="false" customHeight="false" outlineLevel="0" collapsed="false">
      <c r="A2016" s="19"/>
      <c r="B2016" s="19"/>
      <c r="C2016" s="19"/>
      <c r="D2016" s="19"/>
      <c r="E2016" s="22"/>
      <c r="F2016" s="19"/>
      <c r="G2016" s="26" t="str">
        <f aca="false">IF(D2016="","",IFERROR(VALUE(LEFT(D2016,FIND(" |",D2016&amp;" |")-1)),"?"))</f>
        <v/>
      </c>
      <c r="H2016" s="27" t="str">
        <f aca="false">IF(G2016="","",IF(G2016="?","⚠ pub inconnue",IFERROR(INDEX(Pubs!$B$2:$B$3001,MATCH(G2016,Pubs!$A$2:$A$3001,0))&amp;"","⚠ pub inconnue")))</f>
        <v/>
      </c>
      <c r="I2016" s="27" t="str">
        <f aca="false">IF(OR(G2016="",G2016="?"),"",IFERROR(INDEX(Pubs!$C$2:$C$3001,MATCH(G2016,Pubs!$A$2:$A$3001,0))&amp;"",""))</f>
        <v/>
      </c>
      <c r="J2016" s="27" t="str">
        <f aca="false">IF(OR(G2016="",G2016="?"),"",IFERROR(INDEX(Pubs!$G$2:$G$3001,MATCH(G2016,Pubs!$A$2:$A$3001,0))&amp;"",""))</f>
        <v/>
      </c>
      <c r="K2016" s="28" t="str">
        <f aca="false">IF(OR(G2016="",G2016="?"),"",IFERROR(INDEX(Pubs!$E$2:$E$3001,MATCH(G2016,Pubs!$A$2:$A$3001,0)),""))</f>
        <v/>
      </c>
      <c r="L2016" s="29" t="str">
        <f aca="false">IF(A2016="","",IFERROR(1/(1/INDEX(Numéros!$C$2:$C$3001,MATCH(A2016&amp;"|"&amp;B2016,Numéros!$F$2:$F$3001,0))),""))</f>
        <v/>
      </c>
      <c r="M2016" s="27" t="str">
        <f aca="false">IF(OR(G2016="",G2016="?"),"",IFERROR(INDEX(Pubs!$D$2:$D$3001,MATCH(G2016,Pubs!$A$2:$A$3001,0))&amp;"",""))</f>
        <v/>
      </c>
      <c r="N2016" s="27" t="n">
        <f aca="false">N(N2015)+IF(AND(A2016&lt;&gt;"",OR(Recherche!$C$4="",A2016=Recherche!$C$4),OR(Recherche!$C$5="",B2016&amp;""=Recherche!$C$5&amp;""),OR(Recherche!$C$6="",IFERROR(YEAR(L2016),0)=Recherche!$C$6),OR(Recherche!$C$7="",ISNUMBER(SEARCH(Recherche!$C$7,H2016))),OR(Recherche!$C$8="",J2016=Recherche!$C$8),OR(Recherche!$C$9="",I2016=Recherche!$C$9),OR(Recherche!$C$10="",G2016&amp;""=Recherche!$C$10&amp;""),OR(Recherche!$C$11="",E2016=Recherche!$C$11),OR(Recherche!$C$12="",ISNUMBER(SEARCH(Recherche!$C$12,M2016&amp;" "&amp;F2016)))),1,0)</f>
        <v>8</v>
      </c>
    </row>
    <row r="2017" customFormat="false" ht="15" hidden="false" customHeight="false" outlineLevel="0" collapsed="false">
      <c r="A2017" s="19"/>
      <c r="B2017" s="19"/>
      <c r="C2017" s="19"/>
      <c r="D2017" s="19"/>
      <c r="E2017" s="22"/>
      <c r="F2017" s="19"/>
      <c r="G2017" s="26" t="str">
        <f aca="false">IF(D2017="","",IFERROR(VALUE(LEFT(D2017,FIND(" |",D2017&amp;" |")-1)),"?"))</f>
        <v/>
      </c>
      <c r="H2017" s="27" t="str">
        <f aca="false">IF(G2017="","",IF(G2017="?","⚠ pub inconnue",IFERROR(INDEX(Pubs!$B$2:$B$3001,MATCH(G2017,Pubs!$A$2:$A$3001,0))&amp;"","⚠ pub inconnue")))</f>
        <v/>
      </c>
      <c r="I2017" s="27" t="str">
        <f aca="false">IF(OR(G2017="",G2017="?"),"",IFERROR(INDEX(Pubs!$C$2:$C$3001,MATCH(G2017,Pubs!$A$2:$A$3001,0))&amp;"",""))</f>
        <v/>
      </c>
      <c r="J2017" s="27" t="str">
        <f aca="false">IF(OR(G2017="",G2017="?"),"",IFERROR(INDEX(Pubs!$G$2:$G$3001,MATCH(G2017,Pubs!$A$2:$A$3001,0))&amp;"",""))</f>
        <v/>
      </c>
      <c r="K2017" s="28" t="str">
        <f aca="false">IF(OR(G2017="",G2017="?"),"",IFERROR(INDEX(Pubs!$E$2:$E$3001,MATCH(G2017,Pubs!$A$2:$A$3001,0)),""))</f>
        <v/>
      </c>
      <c r="L2017" s="29" t="str">
        <f aca="false">IF(A2017="","",IFERROR(1/(1/INDEX(Numéros!$C$2:$C$3001,MATCH(A2017&amp;"|"&amp;B2017,Numéros!$F$2:$F$3001,0))),""))</f>
        <v/>
      </c>
      <c r="M2017" s="27" t="str">
        <f aca="false">IF(OR(G2017="",G2017="?"),"",IFERROR(INDEX(Pubs!$D$2:$D$3001,MATCH(G2017,Pubs!$A$2:$A$3001,0))&amp;"",""))</f>
        <v/>
      </c>
      <c r="N2017" s="27" t="n">
        <f aca="false">N(N2016)+IF(AND(A2017&lt;&gt;"",OR(Recherche!$C$4="",A2017=Recherche!$C$4),OR(Recherche!$C$5="",B2017&amp;""=Recherche!$C$5&amp;""),OR(Recherche!$C$6="",IFERROR(YEAR(L2017),0)=Recherche!$C$6),OR(Recherche!$C$7="",ISNUMBER(SEARCH(Recherche!$C$7,H2017))),OR(Recherche!$C$8="",J2017=Recherche!$C$8),OR(Recherche!$C$9="",I2017=Recherche!$C$9),OR(Recherche!$C$10="",G2017&amp;""=Recherche!$C$10&amp;""),OR(Recherche!$C$11="",E2017=Recherche!$C$11),OR(Recherche!$C$12="",ISNUMBER(SEARCH(Recherche!$C$12,M2017&amp;" "&amp;F2017)))),1,0)</f>
        <v>8</v>
      </c>
    </row>
    <row r="2018" customFormat="false" ht="15" hidden="false" customHeight="false" outlineLevel="0" collapsed="false">
      <c r="A2018" s="19"/>
      <c r="B2018" s="19"/>
      <c r="C2018" s="19"/>
      <c r="D2018" s="19"/>
      <c r="E2018" s="22"/>
      <c r="F2018" s="19"/>
      <c r="G2018" s="26" t="str">
        <f aca="false">IF(D2018="","",IFERROR(VALUE(LEFT(D2018,FIND(" |",D2018&amp;" |")-1)),"?"))</f>
        <v/>
      </c>
      <c r="H2018" s="27" t="str">
        <f aca="false">IF(G2018="","",IF(G2018="?","⚠ pub inconnue",IFERROR(INDEX(Pubs!$B$2:$B$3001,MATCH(G2018,Pubs!$A$2:$A$3001,0))&amp;"","⚠ pub inconnue")))</f>
        <v/>
      </c>
      <c r="I2018" s="27" t="str">
        <f aca="false">IF(OR(G2018="",G2018="?"),"",IFERROR(INDEX(Pubs!$C$2:$C$3001,MATCH(G2018,Pubs!$A$2:$A$3001,0))&amp;"",""))</f>
        <v/>
      </c>
      <c r="J2018" s="27" t="str">
        <f aca="false">IF(OR(G2018="",G2018="?"),"",IFERROR(INDEX(Pubs!$G$2:$G$3001,MATCH(G2018,Pubs!$A$2:$A$3001,0))&amp;"",""))</f>
        <v/>
      </c>
      <c r="K2018" s="28" t="str">
        <f aca="false">IF(OR(G2018="",G2018="?"),"",IFERROR(INDEX(Pubs!$E$2:$E$3001,MATCH(G2018,Pubs!$A$2:$A$3001,0)),""))</f>
        <v/>
      </c>
      <c r="L2018" s="29" t="str">
        <f aca="false">IF(A2018="","",IFERROR(1/(1/INDEX(Numéros!$C$2:$C$3001,MATCH(A2018&amp;"|"&amp;B2018,Numéros!$F$2:$F$3001,0))),""))</f>
        <v/>
      </c>
      <c r="M2018" s="27" t="str">
        <f aca="false">IF(OR(G2018="",G2018="?"),"",IFERROR(INDEX(Pubs!$D$2:$D$3001,MATCH(G2018,Pubs!$A$2:$A$3001,0))&amp;"",""))</f>
        <v/>
      </c>
      <c r="N2018" s="27" t="n">
        <f aca="false">N(N2017)+IF(AND(A2018&lt;&gt;"",OR(Recherche!$C$4="",A2018=Recherche!$C$4),OR(Recherche!$C$5="",B2018&amp;""=Recherche!$C$5&amp;""),OR(Recherche!$C$6="",IFERROR(YEAR(L2018),0)=Recherche!$C$6),OR(Recherche!$C$7="",ISNUMBER(SEARCH(Recherche!$C$7,H2018))),OR(Recherche!$C$8="",J2018=Recherche!$C$8),OR(Recherche!$C$9="",I2018=Recherche!$C$9),OR(Recherche!$C$10="",G2018&amp;""=Recherche!$C$10&amp;""),OR(Recherche!$C$11="",E2018=Recherche!$C$11),OR(Recherche!$C$12="",ISNUMBER(SEARCH(Recherche!$C$12,M2018&amp;" "&amp;F2018)))),1,0)</f>
        <v>8</v>
      </c>
    </row>
    <row r="2019" customFormat="false" ht="15" hidden="false" customHeight="false" outlineLevel="0" collapsed="false">
      <c r="A2019" s="19"/>
      <c r="B2019" s="19"/>
      <c r="C2019" s="19"/>
      <c r="D2019" s="19"/>
      <c r="E2019" s="22"/>
      <c r="F2019" s="19"/>
      <c r="G2019" s="26" t="str">
        <f aca="false">IF(D2019="","",IFERROR(VALUE(LEFT(D2019,FIND(" |",D2019&amp;" |")-1)),"?"))</f>
        <v/>
      </c>
      <c r="H2019" s="27" t="str">
        <f aca="false">IF(G2019="","",IF(G2019="?","⚠ pub inconnue",IFERROR(INDEX(Pubs!$B$2:$B$3001,MATCH(G2019,Pubs!$A$2:$A$3001,0))&amp;"","⚠ pub inconnue")))</f>
        <v/>
      </c>
      <c r="I2019" s="27" t="str">
        <f aca="false">IF(OR(G2019="",G2019="?"),"",IFERROR(INDEX(Pubs!$C$2:$C$3001,MATCH(G2019,Pubs!$A$2:$A$3001,0))&amp;"",""))</f>
        <v/>
      </c>
      <c r="J2019" s="27" t="str">
        <f aca="false">IF(OR(G2019="",G2019="?"),"",IFERROR(INDEX(Pubs!$G$2:$G$3001,MATCH(G2019,Pubs!$A$2:$A$3001,0))&amp;"",""))</f>
        <v/>
      </c>
      <c r="K2019" s="28" t="str">
        <f aca="false">IF(OR(G2019="",G2019="?"),"",IFERROR(INDEX(Pubs!$E$2:$E$3001,MATCH(G2019,Pubs!$A$2:$A$3001,0)),""))</f>
        <v/>
      </c>
      <c r="L2019" s="29" t="str">
        <f aca="false">IF(A2019="","",IFERROR(1/(1/INDEX(Numéros!$C$2:$C$3001,MATCH(A2019&amp;"|"&amp;B2019,Numéros!$F$2:$F$3001,0))),""))</f>
        <v/>
      </c>
      <c r="M2019" s="27" t="str">
        <f aca="false">IF(OR(G2019="",G2019="?"),"",IFERROR(INDEX(Pubs!$D$2:$D$3001,MATCH(G2019,Pubs!$A$2:$A$3001,0))&amp;"",""))</f>
        <v/>
      </c>
      <c r="N2019" s="27" t="n">
        <f aca="false">N(N2018)+IF(AND(A2019&lt;&gt;"",OR(Recherche!$C$4="",A2019=Recherche!$C$4),OR(Recherche!$C$5="",B2019&amp;""=Recherche!$C$5&amp;""),OR(Recherche!$C$6="",IFERROR(YEAR(L2019),0)=Recherche!$C$6),OR(Recherche!$C$7="",ISNUMBER(SEARCH(Recherche!$C$7,H2019))),OR(Recherche!$C$8="",J2019=Recherche!$C$8),OR(Recherche!$C$9="",I2019=Recherche!$C$9),OR(Recherche!$C$10="",G2019&amp;""=Recherche!$C$10&amp;""),OR(Recherche!$C$11="",E2019=Recherche!$C$11),OR(Recherche!$C$12="",ISNUMBER(SEARCH(Recherche!$C$12,M2019&amp;" "&amp;F2019)))),1,0)</f>
        <v>8</v>
      </c>
    </row>
    <row r="2020" customFormat="false" ht="15" hidden="false" customHeight="false" outlineLevel="0" collapsed="false">
      <c r="A2020" s="19"/>
      <c r="B2020" s="19"/>
      <c r="C2020" s="19"/>
      <c r="D2020" s="19"/>
      <c r="E2020" s="22"/>
      <c r="F2020" s="19"/>
      <c r="G2020" s="26" t="str">
        <f aca="false">IF(D2020="","",IFERROR(VALUE(LEFT(D2020,FIND(" |",D2020&amp;" |")-1)),"?"))</f>
        <v/>
      </c>
      <c r="H2020" s="27" t="str">
        <f aca="false">IF(G2020="","",IF(G2020="?","⚠ pub inconnue",IFERROR(INDEX(Pubs!$B$2:$B$3001,MATCH(G2020,Pubs!$A$2:$A$3001,0))&amp;"","⚠ pub inconnue")))</f>
        <v/>
      </c>
      <c r="I2020" s="27" t="str">
        <f aca="false">IF(OR(G2020="",G2020="?"),"",IFERROR(INDEX(Pubs!$C$2:$C$3001,MATCH(G2020,Pubs!$A$2:$A$3001,0))&amp;"",""))</f>
        <v/>
      </c>
      <c r="J2020" s="27" t="str">
        <f aca="false">IF(OR(G2020="",G2020="?"),"",IFERROR(INDEX(Pubs!$G$2:$G$3001,MATCH(G2020,Pubs!$A$2:$A$3001,0))&amp;"",""))</f>
        <v/>
      </c>
      <c r="K2020" s="28" t="str">
        <f aca="false">IF(OR(G2020="",G2020="?"),"",IFERROR(INDEX(Pubs!$E$2:$E$3001,MATCH(G2020,Pubs!$A$2:$A$3001,0)),""))</f>
        <v/>
      </c>
      <c r="L2020" s="29" t="str">
        <f aca="false">IF(A2020="","",IFERROR(1/(1/INDEX(Numéros!$C$2:$C$3001,MATCH(A2020&amp;"|"&amp;B2020,Numéros!$F$2:$F$3001,0))),""))</f>
        <v/>
      </c>
      <c r="M2020" s="27" t="str">
        <f aca="false">IF(OR(G2020="",G2020="?"),"",IFERROR(INDEX(Pubs!$D$2:$D$3001,MATCH(G2020,Pubs!$A$2:$A$3001,0))&amp;"",""))</f>
        <v/>
      </c>
      <c r="N2020" s="27" t="n">
        <f aca="false">N(N2019)+IF(AND(A2020&lt;&gt;"",OR(Recherche!$C$4="",A2020=Recherche!$C$4),OR(Recherche!$C$5="",B2020&amp;""=Recherche!$C$5&amp;""),OR(Recherche!$C$6="",IFERROR(YEAR(L2020),0)=Recherche!$C$6),OR(Recherche!$C$7="",ISNUMBER(SEARCH(Recherche!$C$7,H2020))),OR(Recherche!$C$8="",J2020=Recherche!$C$8),OR(Recherche!$C$9="",I2020=Recherche!$C$9),OR(Recherche!$C$10="",G2020&amp;""=Recherche!$C$10&amp;""),OR(Recherche!$C$11="",E2020=Recherche!$C$11),OR(Recherche!$C$12="",ISNUMBER(SEARCH(Recherche!$C$12,M2020&amp;" "&amp;F2020)))),1,0)</f>
        <v>8</v>
      </c>
    </row>
    <row r="2021" customFormat="false" ht="15" hidden="false" customHeight="false" outlineLevel="0" collapsed="false">
      <c r="A2021" s="19"/>
      <c r="B2021" s="19"/>
      <c r="C2021" s="19"/>
      <c r="D2021" s="19"/>
      <c r="E2021" s="22"/>
      <c r="F2021" s="19"/>
      <c r="G2021" s="26" t="str">
        <f aca="false">IF(D2021="","",IFERROR(VALUE(LEFT(D2021,FIND(" |",D2021&amp;" |")-1)),"?"))</f>
        <v/>
      </c>
      <c r="H2021" s="27" t="str">
        <f aca="false">IF(G2021="","",IF(G2021="?","⚠ pub inconnue",IFERROR(INDEX(Pubs!$B$2:$B$3001,MATCH(G2021,Pubs!$A$2:$A$3001,0))&amp;"","⚠ pub inconnue")))</f>
        <v/>
      </c>
      <c r="I2021" s="27" t="str">
        <f aca="false">IF(OR(G2021="",G2021="?"),"",IFERROR(INDEX(Pubs!$C$2:$C$3001,MATCH(G2021,Pubs!$A$2:$A$3001,0))&amp;"",""))</f>
        <v/>
      </c>
      <c r="J2021" s="27" t="str">
        <f aca="false">IF(OR(G2021="",G2021="?"),"",IFERROR(INDEX(Pubs!$G$2:$G$3001,MATCH(G2021,Pubs!$A$2:$A$3001,0))&amp;"",""))</f>
        <v/>
      </c>
      <c r="K2021" s="28" t="str">
        <f aca="false">IF(OR(G2021="",G2021="?"),"",IFERROR(INDEX(Pubs!$E$2:$E$3001,MATCH(G2021,Pubs!$A$2:$A$3001,0)),""))</f>
        <v/>
      </c>
      <c r="L2021" s="29" t="str">
        <f aca="false">IF(A2021="","",IFERROR(1/(1/INDEX(Numéros!$C$2:$C$3001,MATCH(A2021&amp;"|"&amp;B2021,Numéros!$F$2:$F$3001,0))),""))</f>
        <v/>
      </c>
      <c r="M2021" s="27" t="str">
        <f aca="false">IF(OR(G2021="",G2021="?"),"",IFERROR(INDEX(Pubs!$D$2:$D$3001,MATCH(G2021,Pubs!$A$2:$A$3001,0))&amp;"",""))</f>
        <v/>
      </c>
      <c r="N2021" s="27" t="n">
        <f aca="false">N(N2020)+IF(AND(A2021&lt;&gt;"",OR(Recherche!$C$4="",A2021=Recherche!$C$4),OR(Recherche!$C$5="",B2021&amp;""=Recherche!$C$5&amp;""),OR(Recherche!$C$6="",IFERROR(YEAR(L2021),0)=Recherche!$C$6),OR(Recherche!$C$7="",ISNUMBER(SEARCH(Recherche!$C$7,H2021))),OR(Recherche!$C$8="",J2021=Recherche!$C$8),OR(Recherche!$C$9="",I2021=Recherche!$C$9),OR(Recherche!$C$10="",G2021&amp;""=Recherche!$C$10&amp;""),OR(Recherche!$C$11="",E2021=Recherche!$C$11),OR(Recherche!$C$12="",ISNUMBER(SEARCH(Recherche!$C$12,M2021&amp;" "&amp;F2021)))),1,0)</f>
        <v>8</v>
      </c>
    </row>
    <row r="2022" customFormat="false" ht="15" hidden="false" customHeight="false" outlineLevel="0" collapsed="false">
      <c r="A2022" s="19"/>
      <c r="B2022" s="19"/>
      <c r="C2022" s="19"/>
      <c r="D2022" s="19"/>
      <c r="E2022" s="22"/>
      <c r="F2022" s="19"/>
      <c r="G2022" s="26" t="str">
        <f aca="false">IF(D2022="","",IFERROR(VALUE(LEFT(D2022,FIND(" |",D2022&amp;" |")-1)),"?"))</f>
        <v/>
      </c>
      <c r="H2022" s="27" t="str">
        <f aca="false">IF(G2022="","",IF(G2022="?","⚠ pub inconnue",IFERROR(INDEX(Pubs!$B$2:$B$3001,MATCH(G2022,Pubs!$A$2:$A$3001,0))&amp;"","⚠ pub inconnue")))</f>
        <v/>
      </c>
      <c r="I2022" s="27" t="str">
        <f aca="false">IF(OR(G2022="",G2022="?"),"",IFERROR(INDEX(Pubs!$C$2:$C$3001,MATCH(G2022,Pubs!$A$2:$A$3001,0))&amp;"",""))</f>
        <v/>
      </c>
      <c r="J2022" s="27" t="str">
        <f aca="false">IF(OR(G2022="",G2022="?"),"",IFERROR(INDEX(Pubs!$G$2:$G$3001,MATCH(G2022,Pubs!$A$2:$A$3001,0))&amp;"",""))</f>
        <v/>
      </c>
      <c r="K2022" s="28" t="str">
        <f aca="false">IF(OR(G2022="",G2022="?"),"",IFERROR(INDEX(Pubs!$E$2:$E$3001,MATCH(G2022,Pubs!$A$2:$A$3001,0)),""))</f>
        <v/>
      </c>
      <c r="L2022" s="29" t="str">
        <f aca="false">IF(A2022="","",IFERROR(1/(1/INDEX(Numéros!$C$2:$C$3001,MATCH(A2022&amp;"|"&amp;B2022,Numéros!$F$2:$F$3001,0))),""))</f>
        <v/>
      </c>
      <c r="M2022" s="27" t="str">
        <f aca="false">IF(OR(G2022="",G2022="?"),"",IFERROR(INDEX(Pubs!$D$2:$D$3001,MATCH(G2022,Pubs!$A$2:$A$3001,0))&amp;"",""))</f>
        <v/>
      </c>
      <c r="N2022" s="27" t="n">
        <f aca="false">N(N2021)+IF(AND(A2022&lt;&gt;"",OR(Recherche!$C$4="",A2022=Recherche!$C$4),OR(Recherche!$C$5="",B2022&amp;""=Recherche!$C$5&amp;""),OR(Recherche!$C$6="",IFERROR(YEAR(L2022),0)=Recherche!$C$6),OR(Recherche!$C$7="",ISNUMBER(SEARCH(Recherche!$C$7,H2022))),OR(Recherche!$C$8="",J2022=Recherche!$C$8),OR(Recherche!$C$9="",I2022=Recherche!$C$9),OR(Recherche!$C$10="",G2022&amp;""=Recherche!$C$10&amp;""),OR(Recherche!$C$11="",E2022=Recherche!$C$11),OR(Recherche!$C$12="",ISNUMBER(SEARCH(Recherche!$C$12,M2022&amp;" "&amp;F2022)))),1,0)</f>
        <v>8</v>
      </c>
    </row>
    <row r="2023" customFormat="false" ht="15" hidden="false" customHeight="false" outlineLevel="0" collapsed="false">
      <c r="A2023" s="19"/>
      <c r="B2023" s="19"/>
      <c r="C2023" s="19"/>
      <c r="D2023" s="19"/>
      <c r="E2023" s="22"/>
      <c r="F2023" s="19"/>
      <c r="G2023" s="26" t="str">
        <f aca="false">IF(D2023="","",IFERROR(VALUE(LEFT(D2023,FIND(" |",D2023&amp;" |")-1)),"?"))</f>
        <v/>
      </c>
      <c r="H2023" s="27" t="str">
        <f aca="false">IF(G2023="","",IF(G2023="?","⚠ pub inconnue",IFERROR(INDEX(Pubs!$B$2:$B$3001,MATCH(G2023,Pubs!$A$2:$A$3001,0))&amp;"","⚠ pub inconnue")))</f>
        <v/>
      </c>
      <c r="I2023" s="27" t="str">
        <f aca="false">IF(OR(G2023="",G2023="?"),"",IFERROR(INDEX(Pubs!$C$2:$C$3001,MATCH(G2023,Pubs!$A$2:$A$3001,0))&amp;"",""))</f>
        <v/>
      </c>
      <c r="J2023" s="27" t="str">
        <f aca="false">IF(OR(G2023="",G2023="?"),"",IFERROR(INDEX(Pubs!$G$2:$G$3001,MATCH(G2023,Pubs!$A$2:$A$3001,0))&amp;"",""))</f>
        <v/>
      </c>
      <c r="K2023" s="28" t="str">
        <f aca="false">IF(OR(G2023="",G2023="?"),"",IFERROR(INDEX(Pubs!$E$2:$E$3001,MATCH(G2023,Pubs!$A$2:$A$3001,0)),""))</f>
        <v/>
      </c>
      <c r="L2023" s="29" t="str">
        <f aca="false">IF(A2023="","",IFERROR(1/(1/INDEX(Numéros!$C$2:$C$3001,MATCH(A2023&amp;"|"&amp;B2023,Numéros!$F$2:$F$3001,0))),""))</f>
        <v/>
      </c>
      <c r="M2023" s="27" t="str">
        <f aca="false">IF(OR(G2023="",G2023="?"),"",IFERROR(INDEX(Pubs!$D$2:$D$3001,MATCH(G2023,Pubs!$A$2:$A$3001,0))&amp;"",""))</f>
        <v/>
      </c>
      <c r="N2023" s="27" t="n">
        <f aca="false">N(N2022)+IF(AND(A2023&lt;&gt;"",OR(Recherche!$C$4="",A2023=Recherche!$C$4),OR(Recherche!$C$5="",B2023&amp;""=Recherche!$C$5&amp;""),OR(Recherche!$C$6="",IFERROR(YEAR(L2023),0)=Recherche!$C$6),OR(Recherche!$C$7="",ISNUMBER(SEARCH(Recherche!$C$7,H2023))),OR(Recherche!$C$8="",J2023=Recherche!$C$8),OR(Recherche!$C$9="",I2023=Recherche!$C$9),OR(Recherche!$C$10="",G2023&amp;""=Recherche!$C$10&amp;""),OR(Recherche!$C$11="",E2023=Recherche!$C$11),OR(Recherche!$C$12="",ISNUMBER(SEARCH(Recherche!$C$12,M2023&amp;" "&amp;F2023)))),1,0)</f>
        <v>8</v>
      </c>
    </row>
    <row r="2024" customFormat="false" ht="15" hidden="false" customHeight="false" outlineLevel="0" collapsed="false">
      <c r="A2024" s="19"/>
      <c r="B2024" s="19"/>
      <c r="C2024" s="19"/>
      <c r="D2024" s="19"/>
      <c r="E2024" s="22"/>
      <c r="F2024" s="19"/>
      <c r="G2024" s="26" t="str">
        <f aca="false">IF(D2024="","",IFERROR(VALUE(LEFT(D2024,FIND(" |",D2024&amp;" |")-1)),"?"))</f>
        <v/>
      </c>
      <c r="H2024" s="27" t="str">
        <f aca="false">IF(G2024="","",IF(G2024="?","⚠ pub inconnue",IFERROR(INDEX(Pubs!$B$2:$B$3001,MATCH(G2024,Pubs!$A$2:$A$3001,0))&amp;"","⚠ pub inconnue")))</f>
        <v/>
      </c>
      <c r="I2024" s="27" t="str">
        <f aca="false">IF(OR(G2024="",G2024="?"),"",IFERROR(INDEX(Pubs!$C$2:$C$3001,MATCH(G2024,Pubs!$A$2:$A$3001,0))&amp;"",""))</f>
        <v/>
      </c>
      <c r="J2024" s="27" t="str">
        <f aca="false">IF(OR(G2024="",G2024="?"),"",IFERROR(INDEX(Pubs!$G$2:$G$3001,MATCH(G2024,Pubs!$A$2:$A$3001,0))&amp;"",""))</f>
        <v/>
      </c>
      <c r="K2024" s="28" t="str">
        <f aca="false">IF(OR(G2024="",G2024="?"),"",IFERROR(INDEX(Pubs!$E$2:$E$3001,MATCH(G2024,Pubs!$A$2:$A$3001,0)),""))</f>
        <v/>
      </c>
      <c r="L2024" s="29" t="str">
        <f aca="false">IF(A2024="","",IFERROR(1/(1/INDEX(Numéros!$C$2:$C$3001,MATCH(A2024&amp;"|"&amp;B2024,Numéros!$F$2:$F$3001,0))),""))</f>
        <v/>
      </c>
      <c r="M2024" s="27" t="str">
        <f aca="false">IF(OR(G2024="",G2024="?"),"",IFERROR(INDEX(Pubs!$D$2:$D$3001,MATCH(G2024,Pubs!$A$2:$A$3001,0))&amp;"",""))</f>
        <v/>
      </c>
      <c r="N2024" s="27" t="n">
        <f aca="false">N(N2023)+IF(AND(A2024&lt;&gt;"",OR(Recherche!$C$4="",A2024=Recherche!$C$4),OR(Recherche!$C$5="",B2024&amp;""=Recherche!$C$5&amp;""),OR(Recherche!$C$6="",IFERROR(YEAR(L2024),0)=Recherche!$C$6),OR(Recherche!$C$7="",ISNUMBER(SEARCH(Recherche!$C$7,H2024))),OR(Recherche!$C$8="",J2024=Recherche!$C$8),OR(Recherche!$C$9="",I2024=Recherche!$C$9),OR(Recherche!$C$10="",G2024&amp;""=Recherche!$C$10&amp;""),OR(Recherche!$C$11="",E2024=Recherche!$C$11),OR(Recherche!$C$12="",ISNUMBER(SEARCH(Recherche!$C$12,M2024&amp;" "&amp;F2024)))),1,0)</f>
        <v>8</v>
      </c>
    </row>
    <row r="2025" customFormat="false" ht="15" hidden="false" customHeight="false" outlineLevel="0" collapsed="false">
      <c r="A2025" s="19"/>
      <c r="B2025" s="19"/>
      <c r="C2025" s="19"/>
      <c r="D2025" s="19"/>
      <c r="E2025" s="22"/>
      <c r="F2025" s="19"/>
      <c r="G2025" s="26" t="str">
        <f aca="false">IF(D2025="","",IFERROR(VALUE(LEFT(D2025,FIND(" |",D2025&amp;" |")-1)),"?"))</f>
        <v/>
      </c>
      <c r="H2025" s="27" t="str">
        <f aca="false">IF(G2025="","",IF(G2025="?","⚠ pub inconnue",IFERROR(INDEX(Pubs!$B$2:$B$3001,MATCH(G2025,Pubs!$A$2:$A$3001,0))&amp;"","⚠ pub inconnue")))</f>
        <v/>
      </c>
      <c r="I2025" s="27" t="str">
        <f aca="false">IF(OR(G2025="",G2025="?"),"",IFERROR(INDEX(Pubs!$C$2:$C$3001,MATCH(G2025,Pubs!$A$2:$A$3001,0))&amp;"",""))</f>
        <v/>
      </c>
      <c r="J2025" s="27" t="str">
        <f aca="false">IF(OR(G2025="",G2025="?"),"",IFERROR(INDEX(Pubs!$G$2:$G$3001,MATCH(G2025,Pubs!$A$2:$A$3001,0))&amp;"",""))</f>
        <v/>
      </c>
      <c r="K2025" s="28" t="str">
        <f aca="false">IF(OR(G2025="",G2025="?"),"",IFERROR(INDEX(Pubs!$E$2:$E$3001,MATCH(G2025,Pubs!$A$2:$A$3001,0)),""))</f>
        <v/>
      </c>
      <c r="L2025" s="29" t="str">
        <f aca="false">IF(A2025="","",IFERROR(1/(1/INDEX(Numéros!$C$2:$C$3001,MATCH(A2025&amp;"|"&amp;B2025,Numéros!$F$2:$F$3001,0))),""))</f>
        <v/>
      </c>
      <c r="M2025" s="27" t="str">
        <f aca="false">IF(OR(G2025="",G2025="?"),"",IFERROR(INDEX(Pubs!$D$2:$D$3001,MATCH(G2025,Pubs!$A$2:$A$3001,0))&amp;"",""))</f>
        <v/>
      </c>
      <c r="N2025" s="27" t="n">
        <f aca="false">N(N2024)+IF(AND(A2025&lt;&gt;"",OR(Recherche!$C$4="",A2025=Recherche!$C$4),OR(Recherche!$C$5="",B2025&amp;""=Recherche!$C$5&amp;""),OR(Recherche!$C$6="",IFERROR(YEAR(L2025),0)=Recherche!$C$6),OR(Recherche!$C$7="",ISNUMBER(SEARCH(Recherche!$C$7,H2025))),OR(Recherche!$C$8="",J2025=Recherche!$C$8),OR(Recherche!$C$9="",I2025=Recherche!$C$9),OR(Recherche!$C$10="",G2025&amp;""=Recherche!$C$10&amp;""),OR(Recherche!$C$11="",E2025=Recherche!$C$11),OR(Recherche!$C$12="",ISNUMBER(SEARCH(Recherche!$C$12,M2025&amp;" "&amp;F2025)))),1,0)</f>
        <v>8</v>
      </c>
    </row>
    <row r="2026" customFormat="false" ht="15" hidden="false" customHeight="false" outlineLevel="0" collapsed="false">
      <c r="A2026" s="19"/>
      <c r="B2026" s="19"/>
      <c r="C2026" s="19"/>
      <c r="D2026" s="19"/>
      <c r="E2026" s="22"/>
      <c r="F2026" s="19"/>
      <c r="G2026" s="26" t="str">
        <f aca="false">IF(D2026="","",IFERROR(VALUE(LEFT(D2026,FIND(" |",D2026&amp;" |")-1)),"?"))</f>
        <v/>
      </c>
      <c r="H2026" s="27" t="str">
        <f aca="false">IF(G2026="","",IF(G2026="?","⚠ pub inconnue",IFERROR(INDEX(Pubs!$B$2:$B$3001,MATCH(G2026,Pubs!$A$2:$A$3001,0))&amp;"","⚠ pub inconnue")))</f>
        <v/>
      </c>
      <c r="I2026" s="27" t="str">
        <f aca="false">IF(OR(G2026="",G2026="?"),"",IFERROR(INDEX(Pubs!$C$2:$C$3001,MATCH(G2026,Pubs!$A$2:$A$3001,0))&amp;"",""))</f>
        <v/>
      </c>
      <c r="J2026" s="27" t="str">
        <f aca="false">IF(OR(G2026="",G2026="?"),"",IFERROR(INDEX(Pubs!$G$2:$G$3001,MATCH(G2026,Pubs!$A$2:$A$3001,0))&amp;"",""))</f>
        <v/>
      </c>
      <c r="K2026" s="28" t="str">
        <f aca="false">IF(OR(G2026="",G2026="?"),"",IFERROR(INDEX(Pubs!$E$2:$E$3001,MATCH(G2026,Pubs!$A$2:$A$3001,0)),""))</f>
        <v/>
      </c>
      <c r="L2026" s="29" t="str">
        <f aca="false">IF(A2026="","",IFERROR(1/(1/INDEX(Numéros!$C$2:$C$3001,MATCH(A2026&amp;"|"&amp;B2026,Numéros!$F$2:$F$3001,0))),""))</f>
        <v/>
      </c>
      <c r="M2026" s="27" t="str">
        <f aca="false">IF(OR(G2026="",G2026="?"),"",IFERROR(INDEX(Pubs!$D$2:$D$3001,MATCH(G2026,Pubs!$A$2:$A$3001,0))&amp;"",""))</f>
        <v/>
      </c>
      <c r="N2026" s="27" t="n">
        <f aca="false">N(N2025)+IF(AND(A2026&lt;&gt;"",OR(Recherche!$C$4="",A2026=Recherche!$C$4),OR(Recherche!$C$5="",B2026&amp;""=Recherche!$C$5&amp;""),OR(Recherche!$C$6="",IFERROR(YEAR(L2026),0)=Recherche!$C$6),OR(Recherche!$C$7="",ISNUMBER(SEARCH(Recherche!$C$7,H2026))),OR(Recherche!$C$8="",J2026=Recherche!$C$8),OR(Recherche!$C$9="",I2026=Recherche!$C$9),OR(Recherche!$C$10="",G2026&amp;""=Recherche!$C$10&amp;""),OR(Recherche!$C$11="",E2026=Recherche!$C$11),OR(Recherche!$C$12="",ISNUMBER(SEARCH(Recherche!$C$12,M2026&amp;" "&amp;F2026)))),1,0)</f>
        <v>8</v>
      </c>
    </row>
    <row r="2027" customFormat="false" ht="15" hidden="false" customHeight="false" outlineLevel="0" collapsed="false">
      <c r="A2027" s="19"/>
      <c r="B2027" s="19"/>
      <c r="C2027" s="19"/>
      <c r="D2027" s="19"/>
      <c r="E2027" s="22"/>
      <c r="F2027" s="19"/>
      <c r="G2027" s="26" t="str">
        <f aca="false">IF(D2027="","",IFERROR(VALUE(LEFT(D2027,FIND(" |",D2027&amp;" |")-1)),"?"))</f>
        <v/>
      </c>
      <c r="H2027" s="27" t="str">
        <f aca="false">IF(G2027="","",IF(G2027="?","⚠ pub inconnue",IFERROR(INDEX(Pubs!$B$2:$B$3001,MATCH(G2027,Pubs!$A$2:$A$3001,0))&amp;"","⚠ pub inconnue")))</f>
        <v/>
      </c>
      <c r="I2027" s="27" t="str">
        <f aca="false">IF(OR(G2027="",G2027="?"),"",IFERROR(INDEX(Pubs!$C$2:$C$3001,MATCH(G2027,Pubs!$A$2:$A$3001,0))&amp;"",""))</f>
        <v/>
      </c>
      <c r="J2027" s="27" t="str">
        <f aca="false">IF(OR(G2027="",G2027="?"),"",IFERROR(INDEX(Pubs!$G$2:$G$3001,MATCH(G2027,Pubs!$A$2:$A$3001,0))&amp;"",""))</f>
        <v/>
      </c>
      <c r="K2027" s="28" t="str">
        <f aca="false">IF(OR(G2027="",G2027="?"),"",IFERROR(INDEX(Pubs!$E$2:$E$3001,MATCH(G2027,Pubs!$A$2:$A$3001,0)),""))</f>
        <v/>
      </c>
      <c r="L2027" s="29" t="str">
        <f aca="false">IF(A2027="","",IFERROR(1/(1/INDEX(Numéros!$C$2:$C$3001,MATCH(A2027&amp;"|"&amp;B2027,Numéros!$F$2:$F$3001,0))),""))</f>
        <v/>
      </c>
      <c r="M2027" s="27" t="str">
        <f aca="false">IF(OR(G2027="",G2027="?"),"",IFERROR(INDEX(Pubs!$D$2:$D$3001,MATCH(G2027,Pubs!$A$2:$A$3001,0))&amp;"",""))</f>
        <v/>
      </c>
      <c r="N2027" s="27" t="n">
        <f aca="false">N(N2026)+IF(AND(A2027&lt;&gt;"",OR(Recherche!$C$4="",A2027=Recherche!$C$4),OR(Recherche!$C$5="",B2027&amp;""=Recherche!$C$5&amp;""),OR(Recherche!$C$6="",IFERROR(YEAR(L2027),0)=Recherche!$C$6),OR(Recherche!$C$7="",ISNUMBER(SEARCH(Recherche!$C$7,H2027))),OR(Recherche!$C$8="",J2027=Recherche!$C$8),OR(Recherche!$C$9="",I2027=Recherche!$C$9),OR(Recherche!$C$10="",G2027&amp;""=Recherche!$C$10&amp;""),OR(Recherche!$C$11="",E2027=Recherche!$C$11),OR(Recherche!$C$12="",ISNUMBER(SEARCH(Recherche!$C$12,M2027&amp;" "&amp;F2027)))),1,0)</f>
        <v>8</v>
      </c>
    </row>
    <row r="2028" customFormat="false" ht="15" hidden="false" customHeight="false" outlineLevel="0" collapsed="false">
      <c r="A2028" s="19"/>
      <c r="B2028" s="19"/>
      <c r="C2028" s="19"/>
      <c r="D2028" s="19"/>
      <c r="E2028" s="22"/>
      <c r="F2028" s="19"/>
      <c r="G2028" s="26" t="str">
        <f aca="false">IF(D2028="","",IFERROR(VALUE(LEFT(D2028,FIND(" |",D2028&amp;" |")-1)),"?"))</f>
        <v/>
      </c>
      <c r="H2028" s="27" t="str">
        <f aca="false">IF(G2028="","",IF(G2028="?","⚠ pub inconnue",IFERROR(INDEX(Pubs!$B$2:$B$3001,MATCH(G2028,Pubs!$A$2:$A$3001,0))&amp;"","⚠ pub inconnue")))</f>
        <v/>
      </c>
      <c r="I2028" s="27" t="str">
        <f aca="false">IF(OR(G2028="",G2028="?"),"",IFERROR(INDEX(Pubs!$C$2:$C$3001,MATCH(G2028,Pubs!$A$2:$A$3001,0))&amp;"",""))</f>
        <v/>
      </c>
      <c r="J2028" s="27" t="str">
        <f aca="false">IF(OR(G2028="",G2028="?"),"",IFERROR(INDEX(Pubs!$G$2:$G$3001,MATCH(G2028,Pubs!$A$2:$A$3001,0))&amp;"",""))</f>
        <v/>
      </c>
      <c r="K2028" s="28" t="str">
        <f aca="false">IF(OR(G2028="",G2028="?"),"",IFERROR(INDEX(Pubs!$E$2:$E$3001,MATCH(G2028,Pubs!$A$2:$A$3001,0)),""))</f>
        <v/>
      </c>
      <c r="L2028" s="29" t="str">
        <f aca="false">IF(A2028="","",IFERROR(1/(1/INDEX(Numéros!$C$2:$C$3001,MATCH(A2028&amp;"|"&amp;B2028,Numéros!$F$2:$F$3001,0))),""))</f>
        <v/>
      </c>
      <c r="M2028" s="27" t="str">
        <f aca="false">IF(OR(G2028="",G2028="?"),"",IFERROR(INDEX(Pubs!$D$2:$D$3001,MATCH(G2028,Pubs!$A$2:$A$3001,0))&amp;"",""))</f>
        <v/>
      </c>
      <c r="N2028" s="27" t="n">
        <f aca="false">N(N2027)+IF(AND(A2028&lt;&gt;"",OR(Recherche!$C$4="",A2028=Recherche!$C$4),OR(Recherche!$C$5="",B2028&amp;""=Recherche!$C$5&amp;""),OR(Recherche!$C$6="",IFERROR(YEAR(L2028),0)=Recherche!$C$6),OR(Recherche!$C$7="",ISNUMBER(SEARCH(Recherche!$C$7,H2028))),OR(Recherche!$C$8="",J2028=Recherche!$C$8),OR(Recherche!$C$9="",I2028=Recherche!$C$9),OR(Recherche!$C$10="",G2028&amp;""=Recherche!$C$10&amp;""),OR(Recherche!$C$11="",E2028=Recherche!$C$11),OR(Recherche!$C$12="",ISNUMBER(SEARCH(Recherche!$C$12,M2028&amp;" "&amp;F2028)))),1,0)</f>
        <v>8</v>
      </c>
    </row>
    <row r="2029" customFormat="false" ht="15" hidden="false" customHeight="false" outlineLevel="0" collapsed="false">
      <c r="A2029" s="19"/>
      <c r="B2029" s="19"/>
      <c r="C2029" s="19"/>
      <c r="D2029" s="19"/>
      <c r="E2029" s="22"/>
      <c r="F2029" s="19"/>
      <c r="G2029" s="26" t="str">
        <f aca="false">IF(D2029="","",IFERROR(VALUE(LEFT(D2029,FIND(" |",D2029&amp;" |")-1)),"?"))</f>
        <v/>
      </c>
      <c r="H2029" s="27" t="str">
        <f aca="false">IF(G2029="","",IF(G2029="?","⚠ pub inconnue",IFERROR(INDEX(Pubs!$B$2:$B$3001,MATCH(G2029,Pubs!$A$2:$A$3001,0))&amp;"","⚠ pub inconnue")))</f>
        <v/>
      </c>
      <c r="I2029" s="27" t="str">
        <f aca="false">IF(OR(G2029="",G2029="?"),"",IFERROR(INDEX(Pubs!$C$2:$C$3001,MATCH(G2029,Pubs!$A$2:$A$3001,0))&amp;"",""))</f>
        <v/>
      </c>
      <c r="J2029" s="27" t="str">
        <f aca="false">IF(OR(G2029="",G2029="?"),"",IFERROR(INDEX(Pubs!$G$2:$G$3001,MATCH(G2029,Pubs!$A$2:$A$3001,0))&amp;"",""))</f>
        <v/>
      </c>
      <c r="K2029" s="28" t="str">
        <f aca="false">IF(OR(G2029="",G2029="?"),"",IFERROR(INDEX(Pubs!$E$2:$E$3001,MATCH(G2029,Pubs!$A$2:$A$3001,0)),""))</f>
        <v/>
      </c>
      <c r="L2029" s="29" t="str">
        <f aca="false">IF(A2029="","",IFERROR(1/(1/INDEX(Numéros!$C$2:$C$3001,MATCH(A2029&amp;"|"&amp;B2029,Numéros!$F$2:$F$3001,0))),""))</f>
        <v/>
      </c>
      <c r="M2029" s="27" t="str">
        <f aca="false">IF(OR(G2029="",G2029="?"),"",IFERROR(INDEX(Pubs!$D$2:$D$3001,MATCH(G2029,Pubs!$A$2:$A$3001,0))&amp;"",""))</f>
        <v/>
      </c>
      <c r="N2029" s="27" t="n">
        <f aca="false">N(N2028)+IF(AND(A2029&lt;&gt;"",OR(Recherche!$C$4="",A2029=Recherche!$C$4),OR(Recherche!$C$5="",B2029&amp;""=Recherche!$C$5&amp;""),OR(Recherche!$C$6="",IFERROR(YEAR(L2029),0)=Recherche!$C$6),OR(Recherche!$C$7="",ISNUMBER(SEARCH(Recherche!$C$7,H2029))),OR(Recherche!$C$8="",J2029=Recherche!$C$8),OR(Recherche!$C$9="",I2029=Recherche!$C$9),OR(Recherche!$C$10="",G2029&amp;""=Recherche!$C$10&amp;""),OR(Recherche!$C$11="",E2029=Recherche!$C$11),OR(Recherche!$C$12="",ISNUMBER(SEARCH(Recherche!$C$12,M2029&amp;" "&amp;F2029)))),1,0)</f>
        <v>8</v>
      </c>
    </row>
    <row r="2030" customFormat="false" ht="15" hidden="false" customHeight="false" outlineLevel="0" collapsed="false">
      <c r="A2030" s="19"/>
      <c r="B2030" s="19"/>
      <c r="C2030" s="19"/>
      <c r="D2030" s="19"/>
      <c r="E2030" s="22"/>
      <c r="F2030" s="19"/>
      <c r="G2030" s="26" t="str">
        <f aca="false">IF(D2030="","",IFERROR(VALUE(LEFT(D2030,FIND(" |",D2030&amp;" |")-1)),"?"))</f>
        <v/>
      </c>
      <c r="H2030" s="27" t="str">
        <f aca="false">IF(G2030="","",IF(G2030="?","⚠ pub inconnue",IFERROR(INDEX(Pubs!$B$2:$B$3001,MATCH(G2030,Pubs!$A$2:$A$3001,0))&amp;"","⚠ pub inconnue")))</f>
        <v/>
      </c>
      <c r="I2030" s="27" t="str">
        <f aca="false">IF(OR(G2030="",G2030="?"),"",IFERROR(INDEX(Pubs!$C$2:$C$3001,MATCH(G2030,Pubs!$A$2:$A$3001,0))&amp;"",""))</f>
        <v/>
      </c>
      <c r="J2030" s="27" t="str">
        <f aca="false">IF(OR(G2030="",G2030="?"),"",IFERROR(INDEX(Pubs!$G$2:$G$3001,MATCH(G2030,Pubs!$A$2:$A$3001,0))&amp;"",""))</f>
        <v/>
      </c>
      <c r="K2030" s="28" t="str">
        <f aca="false">IF(OR(G2030="",G2030="?"),"",IFERROR(INDEX(Pubs!$E$2:$E$3001,MATCH(G2030,Pubs!$A$2:$A$3001,0)),""))</f>
        <v/>
      </c>
      <c r="L2030" s="29" t="str">
        <f aca="false">IF(A2030="","",IFERROR(1/(1/INDEX(Numéros!$C$2:$C$3001,MATCH(A2030&amp;"|"&amp;B2030,Numéros!$F$2:$F$3001,0))),""))</f>
        <v/>
      </c>
      <c r="M2030" s="27" t="str">
        <f aca="false">IF(OR(G2030="",G2030="?"),"",IFERROR(INDEX(Pubs!$D$2:$D$3001,MATCH(G2030,Pubs!$A$2:$A$3001,0))&amp;"",""))</f>
        <v/>
      </c>
      <c r="N2030" s="27" t="n">
        <f aca="false">N(N2029)+IF(AND(A2030&lt;&gt;"",OR(Recherche!$C$4="",A2030=Recherche!$C$4),OR(Recherche!$C$5="",B2030&amp;""=Recherche!$C$5&amp;""),OR(Recherche!$C$6="",IFERROR(YEAR(L2030),0)=Recherche!$C$6),OR(Recherche!$C$7="",ISNUMBER(SEARCH(Recherche!$C$7,H2030))),OR(Recherche!$C$8="",J2030=Recherche!$C$8),OR(Recherche!$C$9="",I2030=Recherche!$C$9),OR(Recherche!$C$10="",G2030&amp;""=Recherche!$C$10&amp;""),OR(Recherche!$C$11="",E2030=Recherche!$C$11),OR(Recherche!$C$12="",ISNUMBER(SEARCH(Recherche!$C$12,M2030&amp;" "&amp;F2030)))),1,0)</f>
        <v>8</v>
      </c>
    </row>
    <row r="2031" customFormat="false" ht="15" hidden="false" customHeight="false" outlineLevel="0" collapsed="false">
      <c r="A2031" s="19"/>
      <c r="B2031" s="19"/>
      <c r="C2031" s="19"/>
      <c r="D2031" s="19"/>
      <c r="E2031" s="22"/>
      <c r="F2031" s="19"/>
      <c r="G2031" s="26" t="str">
        <f aca="false">IF(D2031="","",IFERROR(VALUE(LEFT(D2031,FIND(" |",D2031&amp;" |")-1)),"?"))</f>
        <v/>
      </c>
      <c r="H2031" s="27" t="str">
        <f aca="false">IF(G2031="","",IF(G2031="?","⚠ pub inconnue",IFERROR(INDEX(Pubs!$B$2:$B$3001,MATCH(G2031,Pubs!$A$2:$A$3001,0))&amp;"","⚠ pub inconnue")))</f>
        <v/>
      </c>
      <c r="I2031" s="27" t="str">
        <f aca="false">IF(OR(G2031="",G2031="?"),"",IFERROR(INDEX(Pubs!$C$2:$C$3001,MATCH(G2031,Pubs!$A$2:$A$3001,0))&amp;"",""))</f>
        <v/>
      </c>
      <c r="J2031" s="27" t="str">
        <f aca="false">IF(OR(G2031="",G2031="?"),"",IFERROR(INDEX(Pubs!$G$2:$G$3001,MATCH(G2031,Pubs!$A$2:$A$3001,0))&amp;"",""))</f>
        <v/>
      </c>
      <c r="K2031" s="28" t="str">
        <f aca="false">IF(OR(G2031="",G2031="?"),"",IFERROR(INDEX(Pubs!$E$2:$E$3001,MATCH(G2031,Pubs!$A$2:$A$3001,0)),""))</f>
        <v/>
      </c>
      <c r="L2031" s="29" t="str">
        <f aca="false">IF(A2031="","",IFERROR(1/(1/INDEX(Numéros!$C$2:$C$3001,MATCH(A2031&amp;"|"&amp;B2031,Numéros!$F$2:$F$3001,0))),""))</f>
        <v/>
      </c>
      <c r="M2031" s="27" t="str">
        <f aca="false">IF(OR(G2031="",G2031="?"),"",IFERROR(INDEX(Pubs!$D$2:$D$3001,MATCH(G2031,Pubs!$A$2:$A$3001,0))&amp;"",""))</f>
        <v/>
      </c>
      <c r="N2031" s="27" t="n">
        <f aca="false">N(N2030)+IF(AND(A2031&lt;&gt;"",OR(Recherche!$C$4="",A2031=Recherche!$C$4),OR(Recherche!$C$5="",B2031&amp;""=Recherche!$C$5&amp;""),OR(Recherche!$C$6="",IFERROR(YEAR(L2031),0)=Recherche!$C$6),OR(Recherche!$C$7="",ISNUMBER(SEARCH(Recherche!$C$7,H2031))),OR(Recherche!$C$8="",J2031=Recherche!$C$8),OR(Recherche!$C$9="",I2031=Recherche!$C$9),OR(Recherche!$C$10="",G2031&amp;""=Recherche!$C$10&amp;""),OR(Recherche!$C$11="",E2031=Recherche!$C$11),OR(Recherche!$C$12="",ISNUMBER(SEARCH(Recherche!$C$12,M2031&amp;" "&amp;F2031)))),1,0)</f>
        <v>8</v>
      </c>
    </row>
    <row r="2032" customFormat="false" ht="15" hidden="false" customHeight="false" outlineLevel="0" collapsed="false">
      <c r="A2032" s="19"/>
      <c r="B2032" s="19"/>
      <c r="C2032" s="19"/>
      <c r="D2032" s="19"/>
      <c r="E2032" s="22"/>
      <c r="F2032" s="19"/>
      <c r="G2032" s="26" t="str">
        <f aca="false">IF(D2032="","",IFERROR(VALUE(LEFT(D2032,FIND(" |",D2032&amp;" |")-1)),"?"))</f>
        <v/>
      </c>
      <c r="H2032" s="27" t="str">
        <f aca="false">IF(G2032="","",IF(G2032="?","⚠ pub inconnue",IFERROR(INDEX(Pubs!$B$2:$B$3001,MATCH(G2032,Pubs!$A$2:$A$3001,0))&amp;"","⚠ pub inconnue")))</f>
        <v/>
      </c>
      <c r="I2032" s="27" t="str">
        <f aca="false">IF(OR(G2032="",G2032="?"),"",IFERROR(INDEX(Pubs!$C$2:$C$3001,MATCH(G2032,Pubs!$A$2:$A$3001,0))&amp;"",""))</f>
        <v/>
      </c>
      <c r="J2032" s="27" t="str">
        <f aca="false">IF(OR(G2032="",G2032="?"),"",IFERROR(INDEX(Pubs!$G$2:$G$3001,MATCH(G2032,Pubs!$A$2:$A$3001,0))&amp;"",""))</f>
        <v/>
      </c>
      <c r="K2032" s="28" t="str">
        <f aca="false">IF(OR(G2032="",G2032="?"),"",IFERROR(INDEX(Pubs!$E$2:$E$3001,MATCH(G2032,Pubs!$A$2:$A$3001,0)),""))</f>
        <v/>
      </c>
      <c r="L2032" s="29" t="str">
        <f aca="false">IF(A2032="","",IFERROR(1/(1/INDEX(Numéros!$C$2:$C$3001,MATCH(A2032&amp;"|"&amp;B2032,Numéros!$F$2:$F$3001,0))),""))</f>
        <v/>
      </c>
      <c r="M2032" s="27" t="str">
        <f aca="false">IF(OR(G2032="",G2032="?"),"",IFERROR(INDEX(Pubs!$D$2:$D$3001,MATCH(G2032,Pubs!$A$2:$A$3001,0))&amp;"",""))</f>
        <v/>
      </c>
      <c r="N2032" s="27" t="n">
        <f aca="false">N(N2031)+IF(AND(A2032&lt;&gt;"",OR(Recherche!$C$4="",A2032=Recherche!$C$4),OR(Recherche!$C$5="",B2032&amp;""=Recherche!$C$5&amp;""),OR(Recherche!$C$6="",IFERROR(YEAR(L2032),0)=Recherche!$C$6),OR(Recherche!$C$7="",ISNUMBER(SEARCH(Recherche!$C$7,H2032))),OR(Recherche!$C$8="",J2032=Recherche!$C$8),OR(Recherche!$C$9="",I2032=Recherche!$C$9),OR(Recherche!$C$10="",G2032&amp;""=Recherche!$C$10&amp;""),OR(Recherche!$C$11="",E2032=Recherche!$C$11),OR(Recherche!$C$12="",ISNUMBER(SEARCH(Recherche!$C$12,M2032&amp;" "&amp;F2032)))),1,0)</f>
        <v>8</v>
      </c>
    </row>
    <row r="2033" customFormat="false" ht="15" hidden="false" customHeight="false" outlineLevel="0" collapsed="false">
      <c r="A2033" s="19"/>
      <c r="B2033" s="19"/>
      <c r="C2033" s="19"/>
      <c r="D2033" s="19"/>
      <c r="E2033" s="22"/>
      <c r="F2033" s="19"/>
      <c r="G2033" s="26" t="str">
        <f aca="false">IF(D2033="","",IFERROR(VALUE(LEFT(D2033,FIND(" |",D2033&amp;" |")-1)),"?"))</f>
        <v/>
      </c>
      <c r="H2033" s="27" t="str">
        <f aca="false">IF(G2033="","",IF(G2033="?","⚠ pub inconnue",IFERROR(INDEX(Pubs!$B$2:$B$3001,MATCH(G2033,Pubs!$A$2:$A$3001,0))&amp;"","⚠ pub inconnue")))</f>
        <v/>
      </c>
      <c r="I2033" s="27" t="str">
        <f aca="false">IF(OR(G2033="",G2033="?"),"",IFERROR(INDEX(Pubs!$C$2:$C$3001,MATCH(G2033,Pubs!$A$2:$A$3001,0))&amp;"",""))</f>
        <v/>
      </c>
      <c r="J2033" s="27" t="str">
        <f aca="false">IF(OR(G2033="",G2033="?"),"",IFERROR(INDEX(Pubs!$G$2:$G$3001,MATCH(G2033,Pubs!$A$2:$A$3001,0))&amp;"",""))</f>
        <v/>
      </c>
      <c r="K2033" s="28" t="str">
        <f aca="false">IF(OR(G2033="",G2033="?"),"",IFERROR(INDEX(Pubs!$E$2:$E$3001,MATCH(G2033,Pubs!$A$2:$A$3001,0)),""))</f>
        <v/>
      </c>
      <c r="L2033" s="29" t="str">
        <f aca="false">IF(A2033="","",IFERROR(1/(1/INDEX(Numéros!$C$2:$C$3001,MATCH(A2033&amp;"|"&amp;B2033,Numéros!$F$2:$F$3001,0))),""))</f>
        <v/>
      </c>
      <c r="M2033" s="27" t="str">
        <f aca="false">IF(OR(G2033="",G2033="?"),"",IFERROR(INDEX(Pubs!$D$2:$D$3001,MATCH(G2033,Pubs!$A$2:$A$3001,0))&amp;"",""))</f>
        <v/>
      </c>
      <c r="N2033" s="27" t="n">
        <f aca="false">N(N2032)+IF(AND(A2033&lt;&gt;"",OR(Recherche!$C$4="",A2033=Recherche!$C$4),OR(Recherche!$C$5="",B2033&amp;""=Recherche!$C$5&amp;""),OR(Recherche!$C$6="",IFERROR(YEAR(L2033),0)=Recherche!$C$6),OR(Recherche!$C$7="",ISNUMBER(SEARCH(Recherche!$C$7,H2033))),OR(Recherche!$C$8="",J2033=Recherche!$C$8),OR(Recherche!$C$9="",I2033=Recherche!$C$9),OR(Recherche!$C$10="",G2033&amp;""=Recherche!$C$10&amp;""),OR(Recherche!$C$11="",E2033=Recherche!$C$11),OR(Recherche!$C$12="",ISNUMBER(SEARCH(Recherche!$C$12,M2033&amp;" "&amp;F2033)))),1,0)</f>
        <v>8</v>
      </c>
    </row>
    <row r="2034" customFormat="false" ht="15" hidden="false" customHeight="false" outlineLevel="0" collapsed="false">
      <c r="A2034" s="19"/>
      <c r="B2034" s="19"/>
      <c r="C2034" s="19"/>
      <c r="D2034" s="19"/>
      <c r="E2034" s="22"/>
      <c r="F2034" s="19"/>
      <c r="G2034" s="26" t="str">
        <f aca="false">IF(D2034="","",IFERROR(VALUE(LEFT(D2034,FIND(" |",D2034&amp;" |")-1)),"?"))</f>
        <v/>
      </c>
      <c r="H2034" s="27" t="str">
        <f aca="false">IF(G2034="","",IF(G2034="?","⚠ pub inconnue",IFERROR(INDEX(Pubs!$B$2:$B$3001,MATCH(G2034,Pubs!$A$2:$A$3001,0))&amp;"","⚠ pub inconnue")))</f>
        <v/>
      </c>
      <c r="I2034" s="27" t="str">
        <f aca="false">IF(OR(G2034="",G2034="?"),"",IFERROR(INDEX(Pubs!$C$2:$C$3001,MATCH(G2034,Pubs!$A$2:$A$3001,0))&amp;"",""))</f>
        <v/>
      </c>
      <c r="J2034" s="27" t="str">
        <f aca="false">IF(OR(G2034="",G2034="?"),"",IFERROR(INDEX(Pubs!$G$2:$G$3001,MATCH(G2034,Pubs!$A$2:$A$3001,0))&amp;"",""))</f>
        <v/>
      </c>
      <c r="K2034" s="28" t="str">
        <f aca="false">IF(OR(G2034="",G2034="?"),"",IFERROR(INDEX(Pubs!$E$2:$E$3001,MATCH(G2034,Pubs!$A$2:$A$3001,0)),""))</f>
        <v/>
      </c>
      <c r="L2034" s="29" t="str">
        <f aca="false">IF(A2034="","",IFERROR(1/(1/INDEX(Numéros!$C$2:$C$3001,MATCH(A2034&amp;"|"&amp;B2034,Numéros!$F$2:$F$3001,0))),""))</f>
        <v/>
      </c>
      <c r="M2034" s="27" t="str">
        <f aca="false">IF(OR(G2034="",G2034="?"),"",IFERROR(INDEX(Pubs!$D$2:$D$3001,MATCH(G2034,Pubs!$A$2:$A$3001,0))&amp;"",""))</f>
        <v/>
      </c>
      <c r="N2034" s="27" t="n">
        <f aca="false">N(N2033)+IF(AND(A2034&lt;&gt;"",OR(Recherche!$C$4="",A2034=Recherche!$C$4),OR(Recherche!$C$5="",B2034&amp;""=Recherche!$C$5&amp;""),OR(Recherche!$C$6="",IFERROR(YEAR(L2034),0)=Recherche!$C$6),OR(Recherche!$C$7="",ISNUMBER(SEARCH(Recherche!$C$7,H2034))),OR(Recherche!$C$8="",J2034=Recherche!$C$8),OR(Recherche!$C$9="",I2034=Recherche!$C$9),OR(Recherche!$C$10="",G2034&amp;""=Recherche!$C$10&amp;""),OR(Recherche!$C$11="",E2034=Recherche!$C$11),OR(Recherche!$C$12="",ISNUMBER(SEARCH(Recherche!$C$12,M2034&amp;" "&amp;F2034)))),1,0)</f>
        <v>8</v>
      </c>
    </row>
    <row r="2035" customFormat="false" ht="15" hidden="false" customHeight="false" outlineLevel="0" collapsed="false">
      <c r="A2035" s="19"/>
      <c r="B2035" s="19"/>
      <c r="C2035" s="19"/>
      <c r="D2035" s="19"/>
      <c r="E2035" s="22"/>
      <c r="F2035" s="19"/>
      <c r="G2035" s="26" t="str">
        <f aca="false">IF(D2035="","",IFERROR(VALUE(LEFT(D2035,FIND(" |",D2035&amp;" |")-1)),"?"))</f>
        <v/>
      </c>
      <c r="H2035" s="27" t="str">
        <f aca="false">IF(G2035="","",IF(G2035="?","⚠ pub inconnue",IFERROR(INDEX(Pubs!$B$2:$B$3001,MATCH(G2035,Pubs!$A$2:$A$3001,0))&amp;"","⚠ pub inconnue")))</f>
        <v/>
      </c>
      <c r="I2035" s="27" t="str">
        <f aca="false">IF(OR(G2035="",G2035="?"),"",IFERROR(INDEX(Pubs!$C$2:$C$3001,MATCH(G2035,Pubs!$A$2:$A$3001,0))&amp;"",""))</f>
        <v/>
      </c>
      <c r="J2035" s="27" t="str">
        <f aca="false">IF(OR(G2035="",G2035="?"),"",IFERROR(INDEX(Pubs!$G$2:$G$3001,MATCH(G2035,Pubs!$A$2:$A$3001,0))&amp;"",""))</f>
        <v/>
      </c>
      <c r="K2035" s="28" t="str">
        <f aca="false">IF(OR(G2035="",G2035="?"),"",IFERROR(INDEX(Pubs!$E$2:$E$3001,MATCH(G2035,Pubs!$A$2:$A$3001,0)),""))</f>
        <v/>
      </c>
      <c r="L2035" s="29" t="str">
        <f aca="false">IF(A2035="","",IFERROR(1/(1/INDEX(Numéros!$C$2:$C$3001,MATCH(A2035&amp;"|"&amp;B2035,Numéros!$F$2:$F$3001,0))),""))</f>
        <v/>
      </c>
      <c r="M2035" s="27" t="str">
        <f aca="false">IF(OR(G2035="",G2035="?"),"",IFERROR(INDEX(Pubs!$D$2:$D$3001,MATCH(G2035,Pubs!$A$2:$A$3001,0))&amp;"",""))</f>
        <v/>
      </c>
      <c r="N2035" s="27" t="n">
        <f aca="false">N(N2034)+IF(AND(A2035&lt;&gt;"",OR(Recherche!$C$4="",A2035=Recherche!$C$4),OR(Recherche!$C$5="",B2035&amp;""=Recherche!$C$5&amp;""),OR(Recherche!$C$6="",IFERROR(YEAR(L2035),0)=Recherche!$C$6),OR(Recherche!$C$7="",ISNUMBER(SEARCH(Recherche!$C$7,H2035))),OR(Recherche!$C$8="",J2035=Recherche!$C$8),OR(Recherche!$C$9="",I2035=Recherche!$C$9),OR(Recherche!$C$10="",G2035&amp;""=Recherche!$C$10&amp;""),OR(Recherche!$C$11="",E2035=Recherche!$C$11),OR(Recherche!$C$12="",ISNUMBER(SEARCH(Recherche!$C$12,M2035&amp;" "&amp;F2035)))),1,0)</f>
        <v>8</v>
      </c>
    </row>
    <row r="2036" customFormat="false" ht="15" hidden="false" customHeight="false" outlineLevel="0" collapsed="false">
      <c r="A2036" s="19"/>
      <c r="B2036" s="19"/>
      <c r="C2036" s="19"/>
      <c r="D2036" s="19"/>
      <c r="E2036" s="22"/>
      <c r="F2036" s="19"/>
      <c r="G2036" s="26" t="str">
        <f aca="false">IF(D2036="","",IFERROR(VALUE(LEFT(D2036,FIND(" |",D2036&amp;" |")-1)),"?"))</f>
        <v/>
      </c>
      <c r="H2036" s="27" t="str">
        <f aca="false">IF(G2036="","",IF(G2036="?","⚠ pub inconnue",IFERROR(INDEX(Pubs!$B$2:$B$3001,MATCH(G2036,Pubs!$A$2:$A$3001,0))&amp;"","⚠ pub inconnue")))</f>
        <v/>
      </c>
      <c r="I2036" s="27" t="str">
        <f aca="false">IF(OR(G2036="",G2036="?"),"",IFERROR(INDEX(Pubs!$C$2:$C$3001,MATCH(G2036,Pubs!$A$2:$A$3001,0))&amp;"",""))</f>
        <v/>
      </c>
      <c r="J2036" s="27" t="str">
        <f aca="false">IF(OR(G2036="",G2036="?"),"",IFERROR(INDEX(Pubs!$G$2:$G$3001,MATCH(G2036,Pubs!$A$2:$A$3001,0))&amp;"",""))</f>
        <v/>
      </c>
      <c r="K2036" s="28" t="str">
        <f aca="false">IF(OR(G2036="",G2036="?"),"",IFERROR(INDEX(Pubs!$E$2:$E$3001,MATCH(G2036,Pubs!$A$2:$A$3001,0)),""))</f>
        <v/>
      </c>
      <c r="L2036" s="29" t="str">
        <f aca="false">IF(A2036="","",IFERROR(1/(1/INDEX(Numéros!$C$2:$C$3001,MATCH(A2036&amp;"|"&amp;B2036,Numéros!$F$2:$F$3001,0))),""))</f>
        <v/>
      </c>
      <c r="M2036" s="27" t="str">
        <f aca="false">IF(OR(G2036="",G2036="?"),"",IFERROR(INDEX(Pubs!$D$2:$D$3001,MATCH(G2036,Pubs!$A$2:$A$3001,0))&amp;"",""))</f>
        <v/>
      </c>
      <c r="N2036" s="27" t="n">
        <f aca="false">N(N2035)+IF(AND(A2036&lt;&gt;"",OR(Recherche!$C$4="",A2036=Recherche!$C$4),OR(Recherche!$C$5="",B2036&amp;""=Recherche!$C$5&amp;""),OR(Recherche!$C$6="",IFERROR(YEAR(L2036),0)=Recherche!$C$6),OR(Recherche!$C$7="",ISNUMBER(SEARCH(Recherche!$C$7,H2036))),OR(Recherche!$C$8="",J2036=Recherche!$C$8),OR(Recherche!$C$9="",I2036=Recherche!$C$9),OR(Recherche!$C$10="",G2036&amp;""=Recherche!$C$10&amp;""),OR(Recherche!$C$11="",E2036=Recherche!$C$11),OR(Recherche!$C$12="",ISNUMBER(SEARCH(Recherche!$C$12,M2036&amp;" "&amp;F2036)))),1,0)</f>
        <v>8</v>
      </c>
    </row>
    <row r="2037" customFormat="false" ht="15" hidden="false" customHeight="false" outlineLevel="0" collapsed="false">
      <c r="A2037" s="19"/>
      <c r="B2037" s="19"/>
      <c r="C2037" s="19"/>
      <c r="D2037" s="19"/>
      <c r="E2037" s="22"/>
      <c r="F2037" s="19"/>
      <c r="G2037" s="26" t="str">
        <f aca="false">IF(D2037="","",IFERROR(VALUE(LEFT(D2037,FIND(" |",D2037&amp;" |")-1)),"?"))</f>
        <v/>
      </c>
      <c r="H2037" s="27" t="str">
        <f aca="false">IF(G2037="","",IF(G2037="?","⚠ pub inconnue",IFERROR(INDEX(Pubs!$B$2:$B$3001,MATCH(G2037,Pubs!$A$2:$A$3001,0))&amp;"","⚠ pub inconnue")))</f>
        <v/>
      </c>
      <c r="I2037" s="27" t="str">
        <f aca="false">IF(OR(G2037="",G2037="?"),"",IFERROR(INDEX(Pubs!$C$2:$C$3001,MATCH(G2037,Pubs!$A$2:$A$3001,0))&amp;"",""))</f>
        <v/>
      </c>
      <c r="J2037" s="27" t="str">
        <f aca="false">IF(OR(G2037="",G2037="?"),"",IFERROR(INDEX(Pubs!$G$2:$G$3001,MATCH(G2037,Pubs!$A$2:$A$3001,0))&amp;"",""))</f>
        <v/>
      </c>
      <c r="K2037" s="28" t="str">
        <f aca="false">IF(OR(G2037="",G2037="?"),"",IFERROR(INDEX(Pubs!$E$2:$E$3001,MATCH(G2037,Pubs!$A$2:$A$3001,0)),""))</f>
        <v/>
      </c>
      <c r="L2037" s="29" t="str">
        <f aca="false">IF(A2037="","",IFERROR(1/(1/INDEX(Numéros!$C$2:$C$3001,MATCH(A2037&amp;"|"&amp;B2037,Numéros!$F$2:$F$3001,0))),""))</f>
        <v/>
      </c>
      <c r="M2037" s="27" t="str">
        <f aca="false">IF(OR(G2037="",G2037="?"),"",IFERROR(INDEX(Pubs!$D$2:$D$3001,MATCH(G2037,Pubs!$A$2:$A$3001,0))&amp;"",""))</f>
        <v/>
      </c>
      <c r="N2037" s="27" t="n">
        <f aca="false">N(N2036)+IF(AND(A2037&lt;&gt;"",OR(Recherche!$C$4="",A2037=Recherche!$C$4),OR(Recherche!$C$5="",B2037&amp;""=Recherche!$C$5&amp;""),OR(Recherche!$C$6="",IFERROR(YEAR(L2037),0)=Recherche!$C$6),OR(Recherche!$C$7="",ISNUMBER(SEARCH(Recherche!$C$7,H2037))),OR(Recherche!$C$8="",J2037=Recherche!$C$8),OR(Recherche!$C$9="",I2037=Recherche!$C$9),OR(Recherche!$C$10="",G2037&amp;""=Recherche!$C$10&amp;""),OR(Recherche!$C$11="",E2037=Recherche!$C$11),OR(Recherche!$C$12="",ISNUMBER(SEARCH(Recherche!$C$12,M2037&amp;" "&amp;F2037)))),1,0)</f>
        <v>8</v>
      </c>
    </row>
    <row r="2038" customFormat="false" ht="15" hidden="false" customHeight="false" outlineLevel="0" collapsed="false">
      <c r="A2038" s="19"/>
      <c r="B2038" s="19"/>
      <c r="C2038" s="19"/>
      <c r="D2038" s="19"/>
      <c r="E2038" s="22"/>
      <c r="F2038" s="19"/>
      <c r="G2038" s="26" t="str">
        <f aca="false">IF(D2038="","",IFERROR(VALUE(LEFT(D2038,FIND(" |",D2038&amp;" |")-1)),"?"))</f>
        <v/>
      </c>
      <c r="H2038" s="27" t="str">
        <f aca="false">IF(G2038="","",IF(G2038="?","⚠ pub inconnue",IFERROR(INDEX(Pubs!$B$2:$B$3001,MATCH(G2038,Pubs!$A$2:$A$3001,0))&amp;"","⚠ pub inconnue")))</f>
        <v/>
      </c>
      <c r="I2038" s="27" t="str">
        <f aca="false">IF(OR(G2038="",G2038="?"),"",IFERROR(INDEX(Pubs!$C$2:$C$3001,MATCH(G2038,Pubs!$A$2:$A$3001,0))&amp;"",""))</f>
        <v/>
      </c>
      <c r="J2038" s="27" t="str">
        <f aca="false">IF(OR(G2038="",G2038="?"),"",IFERROR(INDEX(Pubs!$G$2:$G$3001,MATCH(G2038,Pubs!$A$2:$A$3001,0))&amp;"",""))</f>
        <v/>
      </c>
      <c r="K2038" s="28" t="str">
        <f aca="false">IF(OR(G2038="",G2038="?"),"",IFERROR(INDEX(Pubs!$E$2:$E$3001,MATCH(G2038,Pubs!$A$2:$A$3001,0)),""))</f>
        <v/>
      </c>
      <c r="L2038" s="29" t="str">
        <f aca="false">IF(A2038="","",IFERROR(1/(1/INDEX(Numéros!$C$2:$C$3001,MATCH(A2038&amp;"|"&amp;B2038,Numéros!$F$2:$F$3001,0))),""))</f>
        <v/>
      </c>
      <c r="M2038" s="27" t="str">
        <f aca="false">IF(OR(G2038="",G2038="?"),"",IFERROR(INDEX(Pubs!$D$2:$D$3001,MATCH(G2038,Pubs!$A$2:$A$3001,0))&amp;"",""))</f>
        <v/>
      </c>
      <c r="N2038" s="27" t="n">
        <f aca="false">N(N2037)+IF(AND(A2038&lt;&gt;"",OR(Recherche!$C$4="",A2038=Recherche!$C$4),OR(Recherche!$C$5="",B2038&amp;""=Recherche!$C$5&amp;""),OR(Recherche!$C$6="",IFERROR(YEAR(L2038),0)=Recherche!$C$6),OR(Recherche!$C$7="",ISNUMBER(SEARCH(Recherche!$C$7,H2038))),OR(Recherche!$C$8="",J2038=Recherche!$C$8),OR(Recherche!$C$9="",I2038=Recherche!$C$9),OR(Recherche!$C$10="",G2038&amp;""=Recherche!$C$10&amp;""),OR(Recherche!$C$11="",E2038=Recherche!$C$11),OR(Recherche!$C$12="",ISNUMBER(SEARCH(Recherche!$C$12,M2038&amp;" "&amp;F2038)))),1,0)</f>
        <v>8</v>
      </c>
    </row>
    <row r="2039" customFormat="false" ht="15" hidden="false" customHeight="false" outlineLevel="0" collapsed="false">
      <c r="A2039" s="19"/>
      <c r="B2039" s="19"/>
      <c r="C2039" s="19"/>
      <c r="D2039" s="19"/>
      <c r="E2039" s="22"/>
      <c r="F2039" s="19"/>
      <c r="G2039" s="26" t="str">
        <f aca="false">IF(D2039="","",IFERROR(VALUE(LEFT(D2039,FIND(" |",D2039&amp;" |")-1)),"?"))</f>
        <v/>
      </c>
      <c r="H2039" s="27" t="str">
        <f aca="false">IF(G2039="","",IF(G2039="?","⚠ pub inconnue",IFERROR(INDEX(Pubs!$B$2:$B$3001,MATCH(G2039,Pubs!$A$2:$A$3001,0))&amp;"","⚠ pub inconnue")))</f>
        <v/>
      </c>
      <c r="I2039" s="27" t="str">
        <f aca="false">IF(OR(G2039="",G2039="?"),"",IFERROR(INDEX(Pubs!$C$2:$C$3001,MATCH(G2039,Pubs!$A$2:$A$3001,0))&amp;"",""))</f>
        <v/>
      </c>
      <c r="J2039" s="27" t="str">
        <f aca="false">IF(OR(G2039="",G2039="?"),"",IFERROR(INDEX(Pubs!$G$2:$G$3001,MATCH(G2039,Pubs!$A$2:$A$3001,0))&amp;"",""))</f>
        <v/>
      </c>
      <c r="K2039" s="28" t="str">
        <f aca="false">IF(OR(G2039="",G2039="?"),"",IFERROR(INDEX(Pubs!$E$2:$E$3001,MATCH(G2039,Pubs!$A$2:$A$3001,0)),""))</f>
        <v/>
      </c>
      <c r="L2039" s="29" t="str">
        <f aca="false">IF(A2039="","",IFERROR(1/(1/INDEX(Numéros!$C$2:$C$3001,MATCH(A2039&amp;"|"&amp;B2039,Numéros!$F$2:$F$3001,0))),""))</f>
        <v/>
      </c>
      <c r="M2039" s="27" t="str">
        <f aca="false">IF(OR(G2039="",G2039="?"),"",IFERROR(INDEX(Pubs!$D$2:$D$3001,MATCH(G2039,Pubs!$A$2:$A$3001,0))&amp;"",""))</f>
        <v/>
      </c>
      <c r="N2039" s="27" t="n">
        <f aca="false">N(N2038)+IF(AND(A2039&lt;&gt;"",OR(Recherche!$C$4="",A2039=Recherche!$C$4),OR(Recherche!$C$5="",B2039&amp;""=Recherche!$C$5&amp;""),OR(Recherche!$C$6="",IFERROR(YEAR(L2039),0)=Recherche!$C$6),OR(Recherche!$C$7="",ISNUMBER(SEARCH(Recherche!$C$7,H2039))),OR(Recherche!$C$8="",J2039=Recherche!$C$8),OR(Recherche!$C$9="",I2039=Recherche!$C$9),OR(Recherche!$C$10="",G2039&amp;""=Recherche!$C$10&amp;""),OR(Recherche!$C$11="",E2039=Recherche!$C$11),OR(Recherche!$C$12="",ISNUMBER(SEARCH(Recherche!$C$12,M2039&amp;" "&amp;F2039)))),1,0)</f>
        <v>8</v>
      </c>
    </row>
    <row r="2040" customFormat="false" ht="15" hidden="false" customHeight="false" outlineLevel="0" collapsed="false">
      <c r="A2040" s="19"/>
      <c r="B2040" s="19"/>
      <c r="C2040" s="19"/>
      <c r="D2040" s="19"/>
      <c r="E2040" s="22"/>
      <c r="F2040" s="19"/>
      <c r="G2040" s="26" t="str">
        <f aca="false">IF(D2040="","",IFERROR(VALUE(LEFT(D2040,FIND(" |",D2040&amp;" |")-1)),"?"))</f>
        <v/>
      </c>
      <c r="H2040" s="27" t="str">
        <f aca="false">IF(G2040="","",IF(G2040="?","⚠ pub inconnue",IFERROR(INDEX(Pubs!$B$2:$B$3001,MATCH(G2040,Pubs!$A$2:$A$3001,0))&amp;"","⚠ pub inconnue")))</f>
        <v/>
      </c>
      <c r="I2040" s="27" t="str">
        <f aca="false">IF(OR(G2040="",G2040="?"),"",IFERROR(INDEX(Pubs!$C$2:$C$3001,MATCH(G2040,Pubs!$A$2:$A$3001,0))&amp;"",""))</f>
        <v/>
      </c>
      <c r="J2040" s="27" t="str">
        <f aca="false">IF(OR(G2040="",G2040="?"),"",IFERROR(INDEX(Pubs!$G$2:$G$3001,MATCH(G2040,Pubs!$A$2:$A$3001,0))&amp;"",""))</f>
        <v/>
      </c>
      <c r="K2040" s="28" t="str">
        <f aca="false">IF(OR(G2040="",G2040="?"),"",IFERROR(INDEX(Pubs!$E$2:$E$3001,MATCH(G2040,Pubs!$A$2:$A$3001,0)),""))</f>
        <v/>
      </c>
      <c r="L2040" s="29" t="str">
        <f aca="false">IF(A2040="","",IFERROR(1/(1/INDEX(Numéros!$C$2:$C$3001,MATCH(A2040&amp;"|"&amp;B2040,Numéros!$F$2:$F$3001,0))),""))</f>
        <v/>
      </c>
      <c r="M2040" s="27" t="str">
        <f aca="false">IF(OR(G2040="",G2040="?"),"",IFERROR(INDEX(Pubs!$D$2:$D$3001,MATCH(G2040,Pubs!$A$2:$A$3001,0))&amp;"",""))</f>
        <v/>
      </c>
      <c r="N2040" s="27" t="n">
        <f aca="false">N(N2039)+IF(AND(A2040&lt;&gt;"",OR(Recherche!$C$4="",A2040=Recherche!$C$4),OR(Recherche!$C$5="",B2040&amp;""=Recherche!$C$5&amp;""),OR(Recherche!$C$6="",IFERROR(YEAR(L2040),0)=Recherche!$C$6),OR(Recherche!$C$7="",ISNUMBER(SEARCH(Recherche!$C$7,H2040))),OR(Recherche!$C$8="",J2040=Recherche!$C$8),OR(Recherche!$C$9="",I2040=Recherche!$C$9),OR(Recherche!$C$10="",G2040&amp;""=Recherche!$C$10&amp;""),OR(Recherche!$C$11="",E2040=Recherche!$C$11),OR(Recherche!$C$12="",ISNUMBER(SEARCH(Recherche!$C$12,M2040&amp;" "&amp;F2040)))),1,0)</f>
        <v>8</v>
      </c>
    </row>
    <row r="2041" customFormat="false" ht="15" hidden="false" customHeight="false" outlineLevel="0" collapsed="false">
      <c r="A2041" s="19"/>
      <c r="B2041" s="19"/>
      <c r="C2041" s="19"/>
      <c r="D2041" s="19"/>
      <c r="E2041" s="22"/>
      <c r="F2041" s="19"/>
      <c r="G2041" s="26" t="str">
        <f aca="false">IF(D2041="","",IFERROR(VALUE(LEFT(D2041,FIND(" |",D2041&amp;" |")-1)),"?"))</f>
        <v/>
      </c>
      <c r="H2041" s="27" t="str">
        <f aca="false">IF(G2041="","",IF(G2041="?","⚠ pub inconnue",IFERROR(INDEX(Pubs!$B$2:$B$3001,MATCH(G2041,Pubs!$A$2:$A$3001,0))&amp;"","⚠ pub inconnue")))</f>
        <v/>
      </c>
      <c r="I2041" s="27" t="str">
        <f aca="false">IF(OR(G2041="",G2041="?"),"",IFERROR(INDEX(Pubs!$C$2:$C$3001,MATCH(G2041,Pubs!$A$2:$A$3001,0))&amp;"",""))</f>
        <v/>
      </c>
      <c r="J2041" s="27" t="str">
        <f aca="false">IF(OR(G2041="",G2041="?"),"",IFERROR(INDEX(Pubs!$G$2:$G$3001,MATCH(G2041,Pubs!$A$2:$A$3001,0))&amp;"",""))</f>
        <v/>
      </c>
      <c r="K2041" s="28" t="str">
        <f aca="false">IF(OR(G2041="",G2041="?"),"",IFERROR(INDEX(Pubs!$E$2:$E$3001,MATCH(G2041,Pubs!$A$2:$A$3001,0)),""))</f>
        <v/>
      </c>
      <c r="L2041" s="29" t="str">
        <f aca="false">IF(A2041="","",IFERROR(1/(1/INDEX(Numéros!$C$2:$C$3001,MATCH(A2041&amp;"|"&amp;B2041,Numéros!$F$2:$F$3001,0))),""))</f>
        <v/>
      </c>
      <c r="M2041" s="27" t="str">
        <f aca="false">IF(OR(G2041="",G2041="?"),"",IFERROR(INDEX(Pubs!$D$2:$D$3001,MATCH(G2041,Pubs!$A$2:$A$3001,0))&amp;"",""))</f>
        <v/>
      </c>
      <c r="N2041" s="27" t="n">
        <f aca="false">N(N2040)+IF(AND(A2041&lt;&gt;"",OR(Recherche!$C$4="",A2041=Recherche!$C$4),OR(Recherche!$C$5="",B2041&amp;""=Recherche!$C$5&amp;""),OR(Recherche!$C$6="",IFERROR(YEAR(L2041),0)=Recherche!$C$6),OR(Recherche!$C$7="",ISNUMBER(SEARCH(Recherche!$C$7,H2041))),OR(Recherche!$C$8="",J2041=Recherche!$C$8),OR(Recherche!$C$9="",I2041=Recherche!$C$9),OR(Recherche!$C$10="",G2041&amp;""=Recherche!$C$10&amp;""),OR(Recherche!$C$11="",E2041=Recherche!$C$11),OR(Recherche!$C$12="",ISNUMBER(SEARCH(Recherche!$C$12,M2041&amp;" "&amp;F2041)))),1,0)</f>
        <v>8</v>
      </c>
    </row>
    <row r="2042" customFormat="false" ht="15" hidden="false" customHeight="false" outlineLevel="0" collapsed="false">
      <c r="A2042" s="19"/>
      <c r="B2042" s="19"/>
      <c r="C2042" s="19"/>
      <c r="D2042" s="19"/>
      <c r="E2042" s="22"/>
      <c r="F2042" s="19"/>
      <c r="G2042" s="26" t="str">
        <f aca="false">IF(D2042="","",IFERROR(VALUE(LEFT(D2042,FIND(" |",D2042&amp;" |")-1)),"?"))</f>
        <v/>
      </c>
      <c r="H2042" s="27" t="str">
        <f aca="false">IF(G2042="","",IF(G2042="?","⚠ pub inconnue",IFERROR(INDEX(Pubs!$B$2:$B$3001,MATCH(G2042,Pubs!$A$2:$A$3001,0))&amp;"","⚠ pub inconnue")))</f>
        <v/>
      </c>
      <c r="I2042" s="27" t="str">
        <f aca="false">IF(OR(G2042="",G2042="?"),"",IFERROR(INDEX(Pubs!$C$2:$C$3001,MATCH(G2042,Pubs!$A$2:$A$3001,0))&amp;"",""))</f>
        <v/>
      </c>
      <c r="J2042" s="27" t="str">
        <f aca="false">IF(OR(G2042="",G2042="?"),"",IFERROR(INDEX(Pubs!$G$2:$G$3001,MATCH(G2042,Pubs!$A$2:$A$3001,0))&amp;"",""))</f>
        <v/>
      </c>
      <c r="K2042" s="28" t="str">
        <f aca="false">IF(OR(G2042="",G2042="?"),"",IFERROR(INDEX(Pubs!$E$2:$E$3001,MATCH(G2042,Pubs!$A$2:$A$3001,0)),""))</f>
        <v/>
      </c>
      <c r="L2042" s="29" t="str">
        <f aca="false">IF(A2042="","",IFERROR(1/(1/INDEX(Numéros!$C$2:$C$3001,MATCH(A2042&amp;"|"&amp;B2042,Numéros!$F$2:$F$3001,0))),""))</f>
        <v/>
      </c>
      <c r="M2042" s="27" t="str">
        <f aca="false">IF(OR(G2042="",G2042="?"),"",IFERROR(INDEX(Pubs!$D$2:$D$3001,MATCH(G2042,Pubs!$A$2:$A$3001,0))&amp;"",""))</f>
        <v/>
      </c>
      <c r="N2042" s="27" t="n">
        <f aca="false">N(N2041)+IF(AND(A2042&lt;&gt;"",OR(Recherche!$C$4="",A2042=Recherche!$C$4),OR(Recherche!$C$5="",B2042&amp;""=Recherche!$C$5&amp;""),OR(Recherche!$C$6="",IFERROR(YEAR(L2042),0)=Recherche!$C$6),OR(Recherche!$C$7="",ISNUMBER(SEARCH(Recherche!$C$7,H2042))),OR(Recherche!$C$8="",J2042=Recherche!$C$8),OR(Recherche!$C$9="",I2042=Recherche!$C$9),OR(Recherche!$C$10="",G2042&amp;""=Recherche!$C$10&amp;""),OR(Recherche!$C$11="",E2042=Recherche!$C$11),OR(Recherche!$C$12="",ISNUMBER(SEARCH(Recherche!$C$12,M2042&amp;" "&amp;F2042)))),1,0)</f>
        <v>8</v>
      </c>
    </row>
    <row r="2043" customFormat="false" ht="15" hidden="false" customHeight="false" outlineLevel="0" collapsed="false">
      <c r="A2043" s="19"/>
      <c r="B2043" s="19"/>
      <c r="C2043" s="19"/>
      <c r="D2043" s="19"/>
      <c r="E2043" s="22"/>
      <c r="F2043" s="19"/>
      <c r="G2043" s="26" t="str">
        <f aca="false">IF(D2043="","",IFERROR(VALUE(LEFT(D2043,FIND(" |",D2043&amp;" |")-1)),"?"))</f>
        <v/>
      </c>
      <c r="H2043" s="27" t="str">
        <f aca="false">IF(G2043="","",IF(G2043="?","⚠ pub inconnue",IFERROR(INDEX(Pubs!$B$2:$B$3001,MATCH(G2043,Pubs!$A$2:$A$3001,0))&amp;"","⚠ pub inconnue")))</f>
        <v/>
      </c>
      <c r="I2043" s="27" t="str">
        <f aca="false">IF(OR(G2043="",G2043="?"),"",IFERROR(INDEX(Pubs!$C$2:$C$3001,MATCH(G2043,Pubs!$A$2:$A$3001,0))&amp;"",""))</f>
        <v/>
      </c>
      <c r="J2043" s="27" t="str">
        <f aca="false">IF(OR(G2043="",G2043="?"),"",IFERROR(INDEX(Pubs!$G$2:$G$3001,MATCH(G2043,Pubs!$A$2:$A$3001,0))&amp;"",""))</f>
        <v/>
      </c>
      <c r="K2043" s="28" t="str">
        <f aca="false">IF(OR(G2043="",G2043="?"),"",IFERROR(INDEX(Pubs!$E$2:$E$3001,MATCH(G2043,Pubs!$A$2:$A$3001,0)),""))</f>
        <v/>
      </c>
      <c r="L2043" s="29" t="str">
        <f aca="false">IF(A2043="","",IFERROR(1/(1/INDEX(Numéros!$C$2:$C$3001,MATCH(A2043&amp;"|"&amp;B2043,Numéros!$F$2:$F$3001,0))),""))</f>
        <v/>
      </c>
      <c r="M2043" s="27" t="str">
        <f aca="false">IF(OR(G2043="",G2043="?"),"",IFERROR(INDEX(Pubs!$D$2:$D$3001,MATCH(G2043,Pubs!$A$2:$A$3001,0))&amp;"",""))</f>
        <v/>
      </c>
      <c r="N2043" s="27" t="n">
        <f aca="false">N(N2042)+IF(AND(A2043&lt;&gt;"",OR(Recherche!$C$4="",A2043=Recherche!$C$4),OR(Recherche!$C$5="",B2043&amp;""=Recherche!$C$5&amp;""),OR(Recherche!$C$6="",IFERROR(YEAR(L2043),0)=Recherche!$C$6),OR(Recherche!$C$7="",ISNUMBER(SEARCH(Recherche!$C$7,H2043))),OR(Recherche!$C$8="",J2043=Recherche!$C$8),OR(Recherche!$C$9="",I2043=Recherche!$C$9),OR(Recherche!$C$10="",G2043&amp;""=Recherche!$C$10&amp;""),OR(Recherche!$C$11="",E2043=Recherche!$C$11),OR(Recherche!$C$12="",ISNUMBER(SEARCH(Recherche!$C$12,M2043&amp;" "&amp;F2043)))),1,0)</f>
        <v>8</v>
      </c>
    </row>
    <row r="2044" customFormat="false" ht="15" hidden="false" customHeight="false" outlineLevel="0" collapsed="false">
      <c r="A2044" s="19"/>
      <c r="B2044" s="19"/>
      <c r="C2044" s="19"/>
      <c r="D2044" s="19"/>
      <c r="E2044" s="22"/>
      <c r="F2044" s="19"/>
      <c r="G2044" s="26" t="str">
        <f aca="false">IF(D2044="","",IFERROR(VALUE(LEFT(D2044,FIND(" |",D2044&amp;" |")-1)),"?"))</f>
        <v/>
      </c>
      <c r="H2044" s="27" t="str">
        <f aca="false">IF(G2044="","",IF(G2044="?","⚠ pub inconnue",IFERROR(INDEX(Pubs!$B$2:$B$3001,MATCH(G2044,Pubs!$A$2:$A$3001,0))&amp;"","⚠ pub inconnue")))</f>
        <v/>
      </c>
      <c r="I2044" s="27" t="str">
        <f aca="false">IF(OR(G2044="",G2044="?"),"",IFERROR(INDEX(Pubs!$C$2:$C$3001,MATCH(G2044,Pubs!$A$2:$A$3001,0))&amp;"",""))</f>
        <v/>
      </c>
      <c r="J2044" s="27" t="str">
        <f aca="false">IF(OR(G2044="",G2044="?"),"",IFERROR(INDEX(Pubs!$G$2:$G$3001,MATCH(G2044,Pubs!$A$2:$A$3001,0))&amp;"",""))</f>
        <v/>
      </c>
      <c r="K2044" s="28" t="str">
        <f aca="false">IF(OR(G2044="",G2044="?"),"",IFERROR(INDEX(Pubs!$E$2:$E$3001,MATCH(G2044,Pubs!$A$2:$A$3001,0)),""))</f>
        <v/>
      </c>
      <c r="L2044" s="29" t="str">
        <f aca="false">IF(A2044="","",IFERROR(1/(1/INDEX(Numéros!$C$2:$C$3001,MATCH(A2044&amp;"|"&amp;B2044,Numéros!$F$2:$F$3001,0))),""))</f>
        <v/>
      </c>
      <c r="M2044" s="27" t="str">
        <f aca="false">IF(OR(G2044="",G2044="?"),"",IFERROR(INDEX(Pubs!$D$2:$D$3001,MATCH(G2044,Pubs!$A$2:$A$3001,0))&amp;"",""))</f>
        <v/>
      </c>
      <c r="N2044" s="27" t="n">
        <f aca="false">N(N2043)+IF(AND(A2044&lt;&gt;"",OR(Recherche!$C$4="",A2044=Recherche!$C$4),OR(Recherche!$C$5="",B2044&amp;""=Recherche!$C$5&amp;""),OR(Recherche!$C$6="",IFERROR(YEAR(L2044),0)=Recherche!$C$6),OR(Recherche!$C$7="",ISNUMBER(SEARCH(Recherche!$C$7,H2044))),OR(Recherche!$C$8="",J2044=Recherche!$C$8),OR(Recherche!$C$9="",I2044=Recherche!$C$9),OR(Recherche!$C$10="",G2044&amp;""=Recherche!$C$10&amp;""),OR(Recherche!$C$11="",E2044=Recherche!$C$11),OR(Recherche!$C$12="",ISNUMBER(SEARCH(Recherche!$C$12,M2044&amp;" "&amp;F2044)))),1,0)</f>
        <v>8</v>
      </c>
    </row>
    <row r="2045" customFormat="false" ht="15" hidden="false" customHeight="false" outlineLevel="0" collapsed="false">
      <c r="A2045" s="19"/>
      <c r="B2045" s="19"/>
      <c r="C2045" s="19"/>
      <c r="D2045" s="19"/>
      <c r="E2045" s="22"/>
      <c r="F2045" s="19"/>
      <c r="G2045" s="26" t="str">
        <f aca="false">IF(D2045="","",IFERROR(VALUE(LEFT(D2045,FIND(" |",D2045&amp;" |")-1)),"?"))</f>
        <v/>
      </c>
      <c r="H2045" s="27" t="str">
        <f aca="false">IF(G2045="","",IF(G2045="?","⚠ pub inconnue",IFERROR(INDEX(Pubs!$B$2:$B$3001,MATCH(G2045,Pubs!$A$2:$A$3001,0))&amp;"","⚠ pub inconnue")))</f>
        <v/>
      </c>
      <c r="I2045" s="27" t="str">
        <f aca="false">IF(OR(G2045="",G2045="?"),"",IFERROR(INDEX(Pubs!$C$2:$C$3001,MATCH(G2045,Pubs!$A$2:$A$3001,0))&amp;"",""))</f>
        <v/>
      </c>
      <c r="J2045" s="27" t="str">
        <f aca="false">IF(OR(G2045="",G2045="?"),"",IFERROR(INDEX(Pubs!$G$2:$G$3001,MATCH(G2045,Pubs!$A$2:$A$3001,0))&amp;"",""))</f>
        <v/>
      </c>
      <c r="K2045" s="28" t="str">
        <f aca="false">IF(OR(G2045="",G2045="?"),"",IFERROR(INDEX(Pubs!$E$2:$E$3001,MATCH(G2045,Pubs!$A$2:$A$3001,0)),""))</f>
        <v/>
      </c>
      <c r="L2045" s="29" t="str">
        <f aca="false">IF(A2045="","",IFERROR(1/(1/INDEX(Numéros!$C$2:$C$3001,MATCH(A2045&amp;"|"&amp;B2045,Numéros!$F$2:$F$3001,0))),""))</f>
        <v/>
      </c>
      <c r="M2045" s="27" t="str">
        <f aca="false">IF(OR(G2045="",G2045="?"),"",IFERROR(INDEX(Pubs!$D$2:$D$3001,MATCH(G2045,Pubs!$A$2:$A$3001,0))&amp;"",""))</f>
        <v/>
      </c>
      <c r="N2045" s="27" t="n">
        <f aca="false">N(N2044)+IF(AND(A2045&lt;&gt;"",OR(Recherche!$C$4="",A2045=Recherche!$C$4),OR(Recherche!$C$5="",B2045&amp;""=Recherche!$C$5&amp;""),OR(Recherche!$C$6="",IFERROR(YEAR(L2045),0)=Recherche!$C$6),OR(Recherche!$C$7="",ISNUMBER(SEARCH(Recherche!$C$7,H2045))),OR(Recherche!$C$8="",J2045=Recherche!$C$8),OR(Recherche!$C$9="",I2045=Recherche!$C$9),OR(Recherche!$C$10="",G2045&amp;""=Recherche!$C$10&amp;""),OR(Recherche!$C$11="",E2045=Recherche!$C$11),OR(Recherche!$C$12="",ISNUMBER(SEARCH(Recherche!$C$12,M2045&amp;" "&amp;F2045)))),1,0)</f>
        <v>8</v>
      </c>
    </row>
    <row r="2046" customFormat="false" ht="15" hidden="false" customHeight="false" outlineLevel="0" collapsed="false">
      <c r="A2046" s="19"/>
      <c r="B2046" s="19"/>
      <c r="C2046" s="19"/>
      <c r="D2046" s="19"/>
      <c r="E2046" s="22"/>
      <c r="F2046" s="19"/>
      <c r="G2046" s="26" t="str">
        <f aca="false">IF(D2046="","",IFERROR(VALUE(LEFT(D2046,FIND(" |",D2046&amp;" |")-1)),"?"))</f>
        <v/>
      </c>
      <c r="H2046" s="27" t="str">
        <f aca="false">IF(G2046="","",IF(G2046="?","⚠ pub inconnue",IFERROR(INDEX(Pubs!$B$2:$B$3001,MATCH(G2046,Pubs!$A$2:$A$3001,0))&amp;"","⚠ pub inconnue")))</f>
        <v/>
      </c>
      <c r="I2046" s="27" t="str">
        <f aca="false">IF(OR(G2046="",G2046="?"),"",IFERROR(INDEX(Pubs!$C$2:$C$3001,MATCH(G2046,Pubs!$A$2:$A$3001,0))&amp;"",""))</f>
        <v/>
      </c>
      <c r="J2046" s="27" t="str">
        <f aca="false">IF(OR(G2046="",G2046="?"),"",IFERROR(INDEX(Pubs!$G$2:$G$3001,MATCH(G2046,Pubs!$A$2:$A$3001,0))&amp;"",""))</f>
        <v/>
      </c>
      <c r="K2046" s="28" t="str">
        <f aca="false">IF(OR(G2046="",G2046="?"),"",IFERROR(INDEX(Pubs!$E$2:$E$3001,MATCH(G2046,Pubs!$A$2:$A$3001,0)),""))</f>
        <v/>
      </c>
      <c r="L2046" s="29" t="str">
        <f aca="false">IF(A2046="","",IFERROR(1/(1/INDEX(Numéros!$C$2:$C$3001,MATCH(A2046&amp;"|"&amp;B2046,Numéros!$F$2:$F$3001,0))),""))</f>
        <v/>
      </c>
      <c r="M2046" s="27" t="str">
        <f aca="false">IF(OR(G2046="",G2046="?"),"",IFERROR(INDEX(Pubs!$D$2:$D$3001,MATCH(G2046,Pubs!$A$2:$A$3001,0))&amp;"",""))</f>
        <v/>
      </c>
      <c r="N2046" s="27" t="n">
        <f aca="false">N(N2045)+IF(AND(A2046&lt;&gt;"",OR(Recherche!$C$4="",A2046=Recherche!$C$4),OR(Recherche!$C$5="",B2046&amp;""=Recherche!$C$5&amp;""),OR(Recherche!$C$6="",IFERROR(YEAR(L2046),0)=Recherche!$C$6),OR(Recherche!$C$7="",ISNUMBER(SEARCH(Recherche!$C$7,H2046))),OR(Recherche!$C$8="",J2046=Recherche!$C$8),OR(Recherche!$C$9="",I2046=Recherche!$C$9),OR(Recherche!$C$10="",G2046&amp;""=Recherche!$C$10&amp;""),OR(Recherche!$C$11="",E2046=Recherche!$C$11),OR(Recherche!$C$12="",ISNUMBER(SEARCH(Recherche!$C$12,M2046&amp;" "&amp;F2046)))),1,0)</f>
        <v>8</v>
      </c>
    </row>
    <row r="2047" customFormat="false" ht="15" hidden="false" customHeight="false" outlineLevel="0" collapsed="false">
      <c r="A2047" s="19"/>
      <c r="B2047" s="19"/>
      <c r="C2047" s="19"/>
      <c r="D2047" s="19"/>
      <c r="E2047" s="22"/>
      <c r="F2047" s="19"/>
      <c r="G2047" s="26" t="str">
        <f aca="false">IF(D2047="","",IFERROR(VALUE(LEFT(D2047,FIND(" |",D2047&amp;" |")-1)),"?"))</f>
        <v/>
      </c>
      <c r="H2047" s="27" t="str">
        <f aca="false">IF(G2047="","",IF(G2047="?","⚠ pub inconnue",IFERROR(INDEX(Pubs!$B$2:$B$3001,MATCH(G2047,Pubs!$A$2:$A$3001,0))&amp;"","⚠ pub inconnue")))</f>
        <v/>
      </c>
      <c r="I2047" s="27" t="str">
        <f aca="false">IF(OR(G2047="",G2047="?"),"",IFERROR(INDEX(Pubs!$C$2:$C$3001,MATCH(G2047,Pubs!$A$2:$A$3001,0))&amp;"",""))</f>
        <v/>
      </c>
      <c r="J2047" s="27" t="str">
        <f aca="false">IF(OR(G2047="",G2047="?"),"",IFERROR(INDEX(Pubs!$G$2:$G$3001,MATCH(G2047,Pubs!$A$2:$A$3001,0))&amp;"",""))</f>
        <v/>
      </c>
      <c r="K2047" s="28" t="str">
        <f aca="false">IF(OR(G2047="",G2047="?"),"",IFERROR(INDEX(Pubs!$E$2:$E$3001,MATCH(G2047,Pubs!$A$2:$A$3001,0)),""))</f>
        <v/>
      </c>
      <c r="L2047" s="29" t="str">
        <f aca="false">IF(A2047="","",IFERROR(1/(1/INDEX(Numéros!$C$2:$C$3001,MATCH(A2047&amp;"|"&amp;B2047,Numéros!$F$2:$F$3001,0))),""))</f>
        <v/>
      </c>
      <c r="M2047" s="27" t="str">
        <f aca="false">IF(OR(G2047="",G2047="?"),"",IFERROR(INDEX(Pubs!$D$2:$D$3001,MATCH(G2047,Pubs!$A$2:$A$3001,0))&amp;"",""))</f>
        <v/>
      </c>
      <c r="N2047" s="27" t="n">
        <f aca="false">N(N2046)+IF(AND(A2047&lt;&gt;"",OR(Recherche!$C$4="",A2047=Recherche!$C$4),OR(Recherche!$C$5="",B2047&amp;""=Recherche!$C$5&amp;""),OR(Recherche!$C$6="",IFERROR(YEAR(L2047),0)=Recherche!$C$6),OR(Recherche!$C$7="",ISNUMBER(SEARCH(Recherche!$C$7,H2047))),OR(Recherche!$C$8="",J2047=Recherche!$C$8),OR(Recherche!$C$9="",I2047=Recherche!$C$9),OR(Recherche!$C$10="",G2047&amp;""=Recherche!$C$10&amp;""),OR(Recherche!$C$11="",E2047=Recherche!$C$11),OR(Recherche!$C$12="",ISNUMBER(SEARCH(Recherche!$C$12,M2047&amp;" "&amp;F2047)))),1,0)</f>
        <v>8</v>
      </c>
    </row>
    <row r="2048" customFormat="false" ht="15" hidden="false" customHeight="false" outlineLevel="0" collapsed="false">
      <c r="A2048" s="19"/>
      <c r="B2048" s="19"/>
      <c r="C2048" s="19"/>
      <c r="D2048" s="19"/>
      <c r="E2048" s="22"/>
      <c r="F2048" s="19"/>
      <c r="G2048" s="26" t="str">
        <f aca="false">IF(D2048="","",IFERROR(VALUE(LEFT(D2048,FIND(" |",D2048&amp;" |")-1)),"?"))</f>
        <v/>
      </c>
      <c r="H2048" s="27" t="str">
        <f aca="false">IF(G2048="","",IF(G2048="?","⚠ pub inconnue",IFERROR(INDEX(Pubs!$B$2:$B$3001,MATCH(G2048,Pubs!$A$2:$A$3001,0))&amp;"","⚠ pub inconnue")))</f>
        <v/>
      </c>
      <c r="I2048" s="27" t="str">
        <f aca="false">IF(OR(G2048="",G2048="?"),"",IFERROR(INDEX(Pubs!$C$2:$C$3001,MATCH(G2048,Pubs!$A$2:$A$3001,0))&amp;"",""))</f>
        <v/>
      </c>
      <c r="J2048" s="27" t="str">
        <f aca="false">IF(OR(G2048="",G2048="?"),"",IFERROR(INDEX(Pubs!$G$2:$G$3001,MATCH(G2048,Pubs!$A$2:$A$3001,0))&amp;"",""))</f>
        <v/>
      </c>
      <c r="K2048" s="28" t="str">
        <f aca="false">IF(OR(G2048="",G2048="?"),"",IFERROR(INDEX(Pubs!$E$2:$E$3001,MATCH(G2048,Pubs!$A$2:$A$3001,0)),""))</f>
        <v/>
      </c>
      <c r="L2048" s="29" t="str">
        <f aca="false">IF(A2048="","",IFERROR(1/(1/INDEX(Numéros!$C$2:$C$3001,MATCH(A2048&amp;"|"&amp;B2048,Numéros!$F$2:$F$3001,0))),""))</f>
        <v/>
      </c>
      <c r="M2048" s="27" t="str">
        <f aca="false">IF(OR(G2048="",G2048="?"),"",IFERROR(INDEX(Pubs!$D$2:$D$3001,MATCH(G2048,Pubs!$A$2:$A$3001,0))&amp;"",""))</f>
        <v/>
      </c>
      <c r="N2048" s="27" t="n">
        <f aca="false">N(N2047)+IF(AND(A2048&lt;&gt;"",OR(Recherche!$C$4="",A2048=Recherche!$C$4),OR(Recherche!$C$5="",B2048&amp;""=Recherche!$C$5&amp;""),OR(Recherche!$C$6="",IFERROR(YEAR(L2048),0)=Recherche!$C$6),OR(Recherche!$C$7="",ISNUMBER(SEARCH(Recherche!$C$7,H2048))),OR(Recherche!$C$8="",J2048=Recherche!$C$8),OR(Recherche!$C$9="",I2048=Recherche!$C$9),OR(Recherche!$C$10="",G2048&amp;""=Recherche!$C$10&amp;""),OR(Recherche!$C$11="",E2048=Recherche!$C$11),OR(Recherche!$C$12="",ISNUMBER(SEARCH(Recherche!$C$12,M2048&amp;" "&amp;F2048)))),1,0)</f>
        <v>8</v>
      </c>
    </row>
    <row r="2049" customFormat="false" ht="15" hidden="false" customHeight="false" outlineLevel="0" collapsed="false">
      <c r="A2049" s="19"/>
      <c r="B2049" s="19"/>
      <c r="C2049" s="19"/>
      <c r="D2049" s="19"/>
      <c r="E2049" s="22"/>
      <c r="F2049" s="19"/>
      <c r="G2049" s="26" t="str">
        <f aca="false">IF(D2049="","",IFERROR(VALUE(LEFT(D2049,FIND(" |",D2049&amp;" |")-1)),"?"))</f>
        <v/>
      </c>
      <c r="H2049" s="27" t="str">
        <f aca="false">IF(G2049="","",IF(G2049="?","⚠ pub inconnue",IFERROR(INDEX(Pubs!$B$2:$B$3001,MATCH(G2049,Pubs!$A$2:$A$3001,0))&amp;"","⚠ pub inconnue")))</f>
        <v/>
      </c>
      <c r="I2049" s="27" t="str">
        <f aca="false">IF(OR(G2049="",G2049="?"),"",IFERROR(INDEX(Pubs!$C$2:$C$3001,MATCH(G2049,Pubs!$A$2:$A$3001,0))&amp;"",""))</f>
        <v/>
      </c>
      <c r="J2049" s="27" t="str">
        <f aca="false">IF(OR(G2049="",G2049="?"),"",IFERROR(INDEX(Pubs!$G$2:$G$3001,MATCH(G2049,Pubs!$A$2:$A$3001,0))&amp;"",""))</f>
        <v/>
      </c>
      <c r="K2049" s="28" t="str">
        <f aca="false">IF(OR(G2049="",G2049="?"),"",IFERROR(INDEX(Pubs!$E$2:$E$3001,MATCH(G2049,Pubs!$A$2:$A$3001,0)),""))</f>
        <v/>
      </c>
      <c r="L2049" s="29" t="str">
        <f aca="false">IF(A2049="","",IFERROR(1/(1/INDEX(Numéros!$C$2:$C$3001,MATCH(A2049&amp;"|"&amp;B2049,Numéros!$F$2:$F$3001,0))),""))</f>
        <v/>
      </c>
      <c r="M2049" s="27" t="str">
        <f aca="false">IF(OR(G2049="",G2049="?"),"",IFERROR(INDEX(Pubs!$D$2:$D$3001,MATCH(G2049,Pubs!$A$2:$A$3001,0))&amp;"",""))</f>
        <v/>
      </c>
      <c r="N2049" s="27" t="n">
        <f aca="false">N(N2048)+IF(AND(A2049&lt;&gt;"",OR(Recherche!$C$4="",A2049=Recherche!$C$4),OR(Recherche!$C$5="",B2049&amp;""=Recherche!$C$5&amp;""),OR(Recherche!$C$6="",IFERROR(YEAR(L2049),0)=Recherche!$C$6),OR(Recherche!$C$7="",ISNUMBER(SEARCH(Recherche!$C$7,H2049))),OR(Recherche!$C$8="",J2049=Recherche!$C$8),OR(Recherche!$C$9="",I2049=Recherche!$C$9),OR(Recherche!$C$10="",G2049&amp;""=Recherche!$C$10&amp;""),OR(Recherche!$C$11="",E2049=Recherche!$C$11),OR(Recherche!$C$12="",ISNUMBER(SEARCH(Recherche!$C$12,M2049&amp;" "&amp;F2049)))),1,0)</f>
        <v>8</v>
      </c>
    </row>
    <row r="2050" customFormat="false" ht="15" hidden="false" customHeight="false" outlineLevel="0" collapsed="false">
      <c r="A2050" s="19"/>
      <c r="B2050" s="19"/>
      <c r="C2050" s="19"/>
      <c r="D2050" s="19"/>
      <c r="E2050" s="22"/>
      <c r="F2050" s="19"/>
      <c r="G2050" s="26" t="str">
        <f aca="false">IF(D2050="","",IFERROR(VALUE(LEFT(D2050,FIND(" |",D2050&amp;" |")-1)),"?"))</f>
        <v/>
      </c>
      <c r="H2050" s="27" t="str">
        <f aca="false">IF(G2050="","",IF(G2050="?","⚠ pub inconnue",IFERROR(INDEX(Pubs!$B$2:$B$3001,MATCH(G2050,Pubs!$A$2:$A$3001,0))&amp;"","⚠ pub inconnue")))</f>
        <v/>
      </c>
      <c r="I2050" s="27" t="str">
        <f aca="false">IF(OR(G2050="",G2050="?"),"",IFERROR(INDEX(Pubs!$C$2:$C$3001,MATCH(G2050,Pubs!$A$2:$A$3001,0))&amp;"",""))</f>
        <v/>
      </c>
      <c r="J2050" s="27" t="str">
        <f aca="false">IF(OR(G2050="",G2050="?"),"",IFERROR(INDEX(Pubs!$G$2:$G$3001,MATCH(G2050,Pubs!$A$2:$A$3001,0))&amp;"",""))</f>
        <v/>
      </c>
      <c r="K2050" s="28" t="str">
        <f aca="false">IF(OR(G2050="",G2050="?"),"",IFERROR(INDEX(Pubs!$E$2:$E$3001,MATCH(G2050,Pubs!$A$2:$A$3001,0)),""))</f>
        <v/>
      </c>
      <c r="L2050" s="29" t="str">
        <f aca="false">IF(A2050="","",IFERROR(1/(1/INDEX(Numéros!$C$2:$C$3001,MATCH(A2050&amp;"|"&amp;B2050,Numéros!$F$2:$F$3001,0))),""))</f>
        <v/>
      </c>
      <c r="M2050" s="27" t="str">
        <f aca="false">IF(OR(G2050="",G2050="?"),"",IFERROR(INDEX(Pubs!$D$2:$D$3001,MATCH(G2050,Pubs!$A$2:$A$3001,0))&amp;"",""))</f>
        <v/>
      </c>
      <c r="N2050" s="27" t="n">
        <f aca="false">N(N2049)+IF(AND(A2050&lt;&gt;"",OR(Recherche!$C$4="",A2050=Recherche!$C$4),OR(Recherche!$C$5="",B2050&amp;""=Recherche!$C$5&amp;""),OR(Recherche!$C$6="",IFERROR(YEAR(L2050),0)=Recherche!$C$6),OR(Recherche!$C$7="",ISNUMBER(SEARCH(Recherche!$C$7,H2050))),OR(Recherche!$C$8="",J2050=Recherche!$C$8),OR(Recherche!$C$9="",I2050=Recherche!$C$9),OR(Recherche!$C$10="",G2050&amp;""=Recherche!$C$10&amp;""),OR(Recherche!$C$11="",E2050=Recherche!$C$11),OR(Recherche!$C$12="",ISNUMBER(SEARCH(Recherche!$C$12,M2050&amp;" "&amp;F2050)))),1,0)</f>
        <v>8</v>
      </c>
    </row>
    <row r="2051" customFormat="false" ht="15" hidden="false" customHeight="false" outlineLevel="0" collapsed="false">
      <c r="A2051" s="19"/>
      <c r="B2051" s="19"/>
      <c r="C2051" s="19"/>
      <c r="D2051" s="19"/>
      <c r="E2051" s="22"/>
      <c r="F2051" s="19"/>
      <c r="G2051" s="26" t="str">
        <f aca="false">IF(D2051="","",IFERROR(VALUE(LEFT(D2051,FIND(" |",D2051&amp;" |")-1)),"?"))</f>
        <v/>
      </c>
      <c r="H2051" s="27" t="str">
        <f aca="false">IF(G2051="","",IF(G2051="?","⚠ pub inconnue",IFERROR(INDEX(Pubs!$B$2:$B$3001,MATCH(G2051,Pubs!$A$2:$A$3001,0))&amp;"","⚠ pub inconnue")))</f>
        <v/>
      </c>
      <c r="I2051" s="27" t="str">
        <f aca="false">IF(OR(G2051="",G2051="?"),"",IFERROR(INDEX(Pubs!$C$2:$C$3001,MATCH(G2051,Pubs!$A$2:$A$3001,0))&amp;"",""))</f>
        <v/>
      </c>
      <c r="J2051" s="27" t="str">
        <f aca="false">IF(OR(G2051="",G2051="?"),"",IFERROR(INDEX(Pubs!$G$2:$G$3001,MATCH(G2051,Pubs!$A$2:$A$3001,0))&amp;"",""))</f>
        <v/>
      </c>
      <c r="K2051" s="28" t="str">
        <f aca="false">IF(OR(G2051="",G2051="?"),"",IFERROR(INDEX(Pubs!$E$2:$E$3001,MATCH(G2051,Pubs!$A$2:$A$3001,0)),""))</f>
        <v/>
      </c>
      <c r="L2051" s="29" t="str">
        <f aca="false">IF(A2051="","",IFERROR(1/(1/INDEX(Numéros!$C$2:$C$3001,MATCH(A2051&amp;"|"&amp;B2051,Numéros!$F$2:$F$3001,0))),""))</f>
        <v/>
      </c>
      <c r="M2051" s="27" t="str">
        <f aca="false">IF(OR(G2051="",G2051="?"),"",IFERROR(INDEX(Pubs!$D$2:$D$3001,MATCH(G2051,Pubs!$A$2:$A$3001,0))&amp;"",""))</f>
        <v/>
      </c>
      <c r="N2051" s="27" t="n">
        <f aca="false">N(N2050)+IF(AND(A2051&lt;&gt;"",OR(Recherche!$C$4="",A2051=Recherche!$C$4),OR(Recherche!$C$5="",B2051&amp;""=Recherche!$C$5&amp;""),OR(Recherche!$C$6="",IFERROR(YEAR(L2051),0)=Recherche!$C$6),OR(Recherche!$C$7="",ISNUMBER(SEARCH(Recherche!$C$7,H2051))),OR(Recherche!$C$8="",J2051=Recherche!$C$8),OR(Recherche!$C$9="",I2051=Recherche!$C$9),OR(Recherche!$C$10="",G2051&amp;""=Recherche!$C$10&amp;""),OR(Recherche!$C$11="",E2051=Recherche!$C$11),OR(Recherche!$C$12="",ISNUMBER(SEARCH(Recherche!$C$12,M2051&amp;" "&amp;F2051)))),1,0)</f>
        <v>8</v>
      </c>
    </row>
    <row r="2052" customFormat="false" ht="15" hidden="false" customHeight="false" outlineLevel="0" collapsed="false">
      <c r="A2052" s="19"/>
      <c r="B2052" s="19"/>
      <c r="C2052" s="19"/>
      <c r="D2052" s="19"/>
      <c r="E2052" s="22"/>
      <c r="F2052" s="19"/>
      <c r="G2052" s="26" t="str">
        <f aca="false">IF(D2052="","",IFERROR(VALUE(LEFT(D2052,FIND(" |",D2052&amp;" |")-1)),"?"))</f>
        <v/>
      </c>
      <c r="H2052" s="27" t="str">
        <f aca="false">IF(G2052="","",IF(G2052="?","⚠ pub inconnue",IFERROR(INDEX(Pubs!$B$2:$B$3001,MATCH(G2052,Pubs!$A$2:$A$3001,0))&amp;"","⚠ pub inconnue")))</f>
        <v/>
      </c>
      <c r="I2052" s="27" t="str">
        <f aca="false">IF(OR(G2052="",G2052="?"),"",IFERROR(INDEX(Pubs!$C$2:$C$3001,MATCH(G2052,Pubs!$A$2:$A$3001,0))&amp;"",""))</f>
        <v/>
      </c>
      <c r="J2052" s="27" t="str">
        <f aca="false">IF(OR(G2052="",G2052="?"),"",IFERROR(INDEX(Pubs!$G$2:$G$3001,MATCH(G2052,Pubs!$A$2:$A$3001,0))&amp;"",""))</f>
        <v/>
      </c>
      <c r="K2052" s="28" t="str">
        <f aca="false">IF(OR(G2052="",G2052="?"),"",IFERROR(INDEX(Pubs!$E$2:$E$3001,MATCH(G2052,Pubs!$A$2:$A$3001,0)),""))</f>
        <v/>
      </c>
      <c r="L2052" s="29" t="str">
        <f aca="false">IF(A2052="","",IFERROR(1/(1/INDEX(Numéros!$C$2:$C$3001,MATCH(A2052&amp;"|"&amp;B2052,Numéros!$F$2:$F$3001,0))),""))</f>
        <v/>
      </c>
      <c r="M2052" s="27" t="str">
        <f aca="false">IF(OR(G2052="",G2052="?"),"",IFERROR(INDEX(Pubs!$D$2:$D$3001,MATCH(G2052,Pubs!$A$2:$A$3001,0))&amp;"",""))</f>
        <v/>
      </c>
      <c r="N2052" s="27" t="n">
        <f aca="false">N(N2051)+IF(AND(A2052&lt;&gt;"",OR(Recherche!$C$4="",A2052=Recherche!$C$4),OR(Recherche!$C$5="",B2052&amp;""=Recherche!$C$5&amp;""),OR(Recherche!$C$6="",IFERROR(YEAR(L2052),0)=Recherche!$C$6),OR(Recherche!$C$7="",ISNUMBER(SEARCH(Recherche!$C$7,H2052))),OR(Recherche!$C$8="",J2052=Recherche!$C$8),OR(Recherche!$C$9="",I2052=Recherche!$C$9),OR(Recherche!$C$10="",G2052&amp;""=Recherche!$C$10&amp;""),OR(Recherche!$C$11="",E2052=Recherche!$C$11),OR(Recherche!$C$12="",ISNUMBER(SEARCH(Recherche!$C$12,M2052&amp;" "&amp;F2052)))),1,0)</f>
        <v>8</v>
      </c>
    </row>
    <row r="2053" customFormat="false" ht="15" hidden="false" customHeight="false" outlineLevel="0" collapsed="false">
      <c r="A2053" s="19"/>
      <c r="B2053" s="19"/>
      <c r="C2053" s="19"/>
      <c r="D2053" s="19"/>
      <c r="E2053" s="22"/>
      <c r="F2053" s="19"/>
      <c r="G2053" s="26" t="str">
        <f aca="false">IF(D2053="","",IFERROR(VALUE(LEFT(D2053,FIND(" |",D2053&amp;" |")-1)),"?"))</f>
        <v/>
      </c>
      <c r="H2053" s="27" t="str">
        <f aca="false">IF(G2053="","",IF(G2053="?","⚠ pub inconnue",IFERROR(INDEX(Pubs!$B$2:$B$3001,MATCH(G2053,Pubs!$A$2:$A$3001,0))&amp;"","⚠ pub inconnue")))</f>
        <v/>
      </c>
      <c r="I2053" s="27" t="str">
        <f aca="false">IF(OR(G2053="",G2053="?"),"",IFERROR(INDEX(Pubs!$C$2:$C$3001,MATCH(G2053,Pubs!$A$2:$A$3001,0))&amp;"",""))</f>
        <v/>
      </c>
      <c r="J2053" s="27" t="str">
        <f aca="false">IF(OR(G2053="",G2053="?"),"",IFERROR(INDEX(Pubs!$G$2:$G$3001,MATCH(G2053,Pubs!$A$2:$A$3001,0))&amp;"",""))</f>
        <v/>
      </c>
      <c r="K2053" s="28" t="str">
        <f aca="false">IF(OR(G2053="",G2053="?"),"",IFERROR(INDEX(Pubs!$E$2:$E$3001,MATCH(G2053,Pubs!$A$2:$A$3001,0)),""))</f>
        <v/>
      </c>
      <c r="L2053" s="29" t="str">
        <f aca="false">IF(A2053="","",IFERROR(1/(1/INDEX(Numéros!$C$2:$C$3001,MATCH(A2053&amp;"|"&amp;B2053,Numéros!$F$2:$F$3001,0))),""))</f>
        <v/>
      </c>
      <c r="M2053" s="27" t="str">
        <f aca="false">IF(OR(G2053="",G2053="?"),"",IFERROR(INDEX(Pubs!$D$2:$D$3001,MATCH(G2053,Pubs!$A$2:$A$3001,0))&amp;"",""))</f>
        <v/>
      </c>
      <c r="N2053" s="27" t="n">
        <f aca="false">N(N2052)+IF(AND(A2053&lt;&gt;"",OR(Recherche!$C$4="",A2053=Recherche!$C$4),OR(Recherche!$C$5="",B2053&amp;""=Recherche!$C$5&amp;""),OR(Recherche!$C$6="",IFERROR(YEAR(L2053),0)=Recherche!$C$6),OR(Recherche!$C$7="",ISNUMBER(SEARCH(Recherche!$C$7,H2053))),OR(Recherche!$C$8="",J2053=Recherche!$C$8),OR(Recherche!$C$9="",I2053=Recherche!$C$9),OR(Recherche!$C$10="",G2053&amp;""=Recherche!$C$10&amp;""),OR(Recherche!$C$11="",E2053=Recherche!$C$11),OR(Recherche!$C$12="",ISNUMBER(SEARCH(Recherche!$C$12,M2053&amp;" "&amp;F2053)))),1,0)</f>
        <v>8</v>
      </c>
    </row>
    <row r="2054" customFormat="false" ht="15" hidden="false" customHeight="false" outlineLevel="0" collapsed="false">
      <c r="A2054" s="19"/>
      <c r="B2054" s="19"/>
      <c r="C2054" s="19"/>
      <c r="D2054" s="19"/>
      <c r="E2054" s="22"/>
      <c r="F2054" s="19"/>
      <c r="G2054" s="26" t="str">
        <f aca="false">IF(D2054="","",IFERROR(VALUE(LEFT(D2054,FIND(" |",D2054&amp;" |")-1)),"?"))</f>
        <v/>
      </c>
      <c r="H2054" s="27" t="str">
        <f aca="false">IF(G2054="","",IF(G2054="?","⚠ pub inconnue",IFERROR(INDEX(Pubs!$B$2:$B$3001,MATCH(G2054,Pubs!$A$2:$A$3001,0))&amp;"","⚠ pub inconnue")))</f>
        <v/>
      </c>
      <c r="I2054" s="27" t="str">
        <f aca="false">IF(OR(G2054="",G2054="?"),"",IFERROR(INDEX(Pubs!$C$2:$C$3001,MATCH(G2054,Pubs!$A$2:$A$3001,0))&amp;"",""))</f>
        <v/>
      </c>
      <c r="J2054" s="27" t="str">
        <f aca="false">IF(OR(G2054="",G2054="?"),"",IFERROR(INDEX(Pubs!$G$2:$G$3001,MATCH(G2054,Pubs!$A$2:$A$3001,0))&amp;"",""))</f>
        <v/>
      </c>
      <c r="K2054" s="28" t="str">
        <f aca="false">IF(OR(G2054="",G2054="?"),"",IFERROR(INDEX(Pubs!$E$2:$E$3001,MATCH(G2054,Pubs!$A$2:$A$3001,0)),""))</f>
        <v/>
      </c>
      <c r="L2054" s="29" t="str">
        <f aca="false">IF(A2054="","",IFERROR(1/(1/INDEX(Numéros!$C$2:$C$3001,MATCH(A2054&amp;"|"&amp;B2054,Numéros!$F$2:$F$3001,0))),""))</f>
        <v/>
      </c>
      <c r="M2054" s="27" t="str">
        <f aca="false">IF(OR(G2054="",G2054="?"),"",IFERROR(INDEX(Pubs!$D$2:$D$3001,MATCH(G2054,Pubs!$A$2:$A$3001,0))&amp;"",""))</f>
        <v/>
      </c>
      <c r="N2054" s="27" t="n">
        <f aca="false">N(N2053)+IF(AND(A2054&lt;&gt;"",OR(Recherche!$C$4="",A2054=Recherche!$C$4),OR(Recherche!$C$5="",B2054&amp;""=Recherche!$C$5&amp;""),OR(Recherche!$C$6="",IFERROR(YEAR(L2054),0)=Recherche!$C$6),OR(Recherche!$C$7="",ISNUMBER(SEARCH(Recherche!$C$7,H2054))),OR(Recherche!$C$8="",J2054=Recherche!$C$8),OR(Recherche!$C$9="",I2054=Recherche!$C$9),OR(Recherche!$C$10="",G2054&amp;""=Recherche!$C$10&amp;""),OR(Recherche!$C$11="",E2054=Recherche!$C$11),OR(Recherche!$C$12="",ISNUMBER(SEARCH(Recherche!$C$12,M2054&amp;" "&amp;F2054)))),1,0)</f>
        <v>8</v>
      </c>
    </row>
    <row r="2055" customFormat="false" ht="15" hidden="false" customHeight="false" outlineLevel="0" collapsed="false">
      <c r="A2055" s="19"/>
      <c r="B2055" s="19"/>
      <c r="C2055" s="19"/>
      <c r="D2055" s="19"/>
      <c r="E2055" s="22"/>
      <c r="F2055" s="19"/>
      <c r="G2055" s="26" t="str">
        <f aca="false">IF(D2055="","",IFERROR(VALUE(LEFT(D2055,FIND(" |",D2055&amp;" |")-1)),"?"))</f>
        <v/>
      </c>
      <c r="H2055" s="27" t="str">
        <f aca="false">IF(G2055="","",IF(G2055="?","⚠ pub inconnue",IFERROR(INDEX(Pubs!$B$2:$B$3001,MATCH(G2055,Pubs!$A$2:$A$3001,0))&amp;"","⚠ pub inconnue")))</f>
        <v/>
      </c>
      <c r="I2055" s="27" t="str">
        <f aca="false">IF(OR(G2055="",G2055="?"),"",IFERROR(INDEX(Pubs!$C$2:$C$3001,MATCH(G2055,Pubs!$A$2:$A$3001,0))&amp;"",""))</f>
        <v/>
      </c>
      <c r="J2055" s="27" t="str">
        <f aca="false">IF(OR(G2055="",G2055="?"),"",IFERROR(INDEX(Pubs!$G$2:$G$3001,MATCH(G2055,Pubs!$A$2:$A$3001,0))&amp;"",""))</f>
        <v/>
      </c>
      <c r="K2055" s="28" t="str">
        <f aca="false">IF(OR(G2055="",G2055="?"),"",IFERROR(INDEX(Pubs!$E$2:$E$3001,MATCH(G2055,Pubs!$A$2:$A$3001,0)),""))</f>
        <v/>
      </c>
      <c r="L2055" s="29" t="str">
        <f aca="false">IF(A2055="","",IFERROR(1/(1/INDEX(Numéros!$C$2:$C$3001,MATCH(A2055&amp;"|"&amp;B2055,Numéros!$F$2:$F$3001,0))),""))</f>
        <v/>
      </c>
      <c r="M2055" s="27" t="str">
        <f aca="false">IF(OR(G2055="",G2055="?"),"",IFERROR(INDEX(Pubs!$D$2:$D$3001,MATCH(G2055,Pubs!$A$2:$A$3001,0))&amp;"",""))</f>
        <v/>
      </c>
      <c r="N2055" s="27" t="n">
        <f aca="false">N(N2054)+IF(AND(A2055&lt;&gt;"",OR(Recherche!$C$4="",A2055=Recherche!$C$4),OR(Recherche!$C$5="",B2055&amp;""=Recherche!$C$5&amp;""),OR(Recherche!$C$6="",IFERROR(YEAR(L2055),0)=Recherche!$C$6),OR(Recherche!$C$7="",ISNUMBER(SEARCH(Recherche!$C$7,H2055))),OR(Recherche!$C$8="",J2055=Recherche!$C$8),OR(Recherche!$C$9="",I2055=Recherche!$C$9),OR(Recherche!$C$10="",G2055&amp;""=Recherche!$C$10&amp;""),OR(Recherche!$C$11="",E2055=Recherche!$C$11),OR(Recherche!$C$12="",ISNUMBER(SEARCH(Recherche!$C$12,M2055&amp;" "&amp;F2055)))),1,0)</f>
        <v>8</v>
      </c>
    </row>
    <row r="2056" customFormat="false" ht="15" hidden="false" customHeight="false" outlineLevel="0" collapsed="false">
      <c r="A2056" s="19"/>
      <c r="B2056" s="19"/>
      <c r="C2056" s="19"/>
      <c r="D2056" s="19"/>
      <c r="E2056" s="22"/>
      <c r="F2056" s="19"/>
      <c r="G2056" s="26" t="str">
        <f aca="false">IF(D2056="","",IFERROR(VALUE(LEFT(D2056,FIND(" |",D2056&amp;" |")-1)),"?"))</f>
        <v/>
      </c>
      <c r="H2056" s="27" t="str">
        <f aca="false">IF(G2056="","",IF(G2056="?","⚠ pub inconnue",IFERROR(INDEX(Pubs!$B$2:$B$3001,MATCH(G2056,Pubs!$A$2:$A$3001,0))&amp;"","⚠ pub inconnue")))</f>
        <v/>
      </c>
      <c r="I2056" s="27" t="str">
        <f aca="false">IF(OR(G2056="",G2056="?"),"",IFERROR(INDEX(Pubs!$C$2:$C$3001,MATCH(G2056,Pubs!$A$2:$A$3001,0))&amp;"",""))</f>
        <v/>
      </c>
      <c r="J2056" s="27" t="str">
        <f aca="false">IF(OR(G2056="",G2056="?"),"",IFERROR(INDEX(Pubs!$G$2:$G$3001,MATCH(G2056,Pubs!$A$2:$A$3001,0))&amp;"",""))</f>
        <v/>
      </c>
      <c r="K2056" s="28" t="str">
        <f aca="false">IF(OR(G2056="",G2056="?"),"",IFERROR(INDEX(Pubs!$E$2:$E$3001,MATCH(G2056,Pubs!$A$2:$A$3001,0)),""))</f>
        <v/>
      </c>
      <c r="L2056" s="29" t="str">
        <f aca="false">IF(A2056="","",IFERROR(1/(1/INDEX(Numéros!$C$2:$C$3001,MATCH(A2056&amp;"|"&amp;B2056,Numéros!$F$2:$F$3001,0))),""))</f>
        <v/>
      </c>
      <c r="M2056" s="27" t="str">
        <f aca="false">IF(OR(G2056="",G2056="?"),"",IFERROR(INDEX(Pubs!$D$2:$D$3001,MATCH(G2056,Pubs!$A$2:$A$3001,0))&amp;"",""))</f>
        <v/>
      </c>
      <c r="N2056" s="27" t="n">
        <f aca="false">N(N2055)+IF(AND(A2056&lt;&gt;"",OR(Recherche!$C$4="",A2056=Recherche!$C$4),OR(Recherche!$C$5="",B2056&amp;""=Recherche!$C$5&amp;""),OR(Recherche!$C$6="",IFERROR(YEAR(L2056),0)=Recherche!$C$6),OR(Recherche!$C$7="",ISNUMBER(SEARCH(Recherche!$C$7,H2056))),OR(Recherche!$C$8="",J2056=Recherche!$C$8),OR(Recherche!$C$9="",I2056=Recherche!$C$9),OR(Recherche!$C$10="",G2056&amp;""=Recherche!$C$10&amp;""),OR(Recherche!$C$11="",E2056=Recherche!$C$11),OR(Recherche!$C$12="",ISNUMBER(SEARCH(Recherche!$C$12,M2056&amp;" "&amp;F2056)))),1,0)</f>
        <v>8</v>
      </c>
    </row>
    <row r="2057" customFormat="false" ht="15" hidden="false" customHeight="false" outlineLevel="0" collapsed="false">
      <c r="A2057" s="19"/>
      <c r="B2057" s="19"/>
      <c r="C2057" s="19"/>
      <c r="D2057" s="19"/>
      <c r="E2057" s="22"/>
      <c r="F2057" s="19"/>
      <c r="G2057" s="26" t="str">
        <f aca="false">IF(D2057="","",IFERROR(VALUE(LEFT(D2057,FIND(" |",D2057&amp;" |")-1)),"?"))</f>
        <v/>
      </c>
      <c r="H2057" s="27" t="str">
        <f aca="false">IF(G2057="","",IF(G2057="?","⚠ pub inconnue",IFERROR(INDEX(Pubs!$B$2:$B$3001,MATCH(G2057,Pubs!$A$2:$A$3001,0))&amp;"","⚠ pub inconnue")))</f>
        <v/>
      </c>
      <c r="I2057" s="27" t="str">
        <f aca="false">IF(OR(G2057="",G2057="?"),"",IFERROR(INDEX(Pubs!$C$2:$C$3001,MATCH(G2057,Pubs!$A$2:$A$3001,0))&amp;"",""))</f>
        <v/>
      </c>
      <c r="J2057" s="27" t="str">
        <f aca="false">IF(OR(G2057="",G2057="?"),"",IFERROR(INDEX(Pubs!$G$2:$G$3001,MATCH(G2057,Pubs!$A$2:$A$3001,0))&amp;"",""))</f>
        <v/>
      </c>
      <c r="K2057" s="28" t="str">
        <f aca="false">IF(OR(G2057="",G2057="?"),"",IFERROR(INDEX(Pubs!$E$2:$E$3001,MATCH(G2057,Pubs!$A$2:$A$3001,0)),""))</f>
        <v/>
      </c>
      <c r="L2057" s="29" t="str">
        <f aca="false">IF(A2057="","",IFERROR(1/(1/INDEX(Numéros!$C$2:$C$3001,MATCH(A2057&amp;"|"&amp;B2057,Numéros!$F$2:$F$3001,0))),""))</f>
        <v/>
      </c>
      <c r="M2057" s="27" t="str">
        <f aca="false">IF(OR(G2057="",G2057="?"),"",IFERROR(INDEX(Pubs!$D$2:$D$3001,MATCH(G2057,Pubs!$A$2:$A$3001,0))&amp;"",""))</f>
        <v/>
      </c>
      <c r="N2057" s="27" t="n">
        <f aca="false">N(N2056)+IF(AND(A2057&lt;&gt;"",OR(Recherche!$C$4="",A2057=Recherche!$C$4),OR(Recherche!$C$5="",B2057&amp;""=Recherche!$C$5&amp;""),OR(Recherche!$C$6="",IFERROR(YEAR(L2057),0)=Recherche!$C$6),OR(Recherche!$C$7="",ISNUMBER(SEARCH(Recherche!$C$7,H2057))),OR(Recherche!$C$8="",J2057=Recherche!$C$8),OR(Recherche!$C$9="",I2057=Recherche!$C$9),OR(Recherche!$C$10="",G2057&amp;""=Recherche!$C$10&amp;""),OR(Recherche!$C$11="",E2057=Recherche!$C$11),OR(Recherche!$C$12="",ISNUMBER(SEARCH(Recherche!$C$12,M2057&amp;" "&amp;F2057)))),1,0)</f>
        <v>8</v>
      </c>
    </row>
    <row r="2058" customFormat="false" ht="15" hidden="false" customHeight="false" outlineLevel="0" collapsed="false">
      <c r="A2058" s="19"/>
      <c r="B2058" s="19"/>
      <c r="C2058" s="19"/>
      <c r="D2058" s="19"/>
      <c r="E2058" s="22"/>
      <c r="F2058" s="19"/>
      <c r="G2058" s="26" t="str">
        <f aca="false">IF(D2058="","",IFERROR(VALUE(LEFT(D2058,FIND(" |",D2058&amp;" |")-1)),"?"))</f>
        <v/>
      </c>
      <c r="H2058" s="27" t="str">
        <f aca="false">IF(G2058="","",IF(G2058="?","⚠ pub inconnue",IFERROR(INDEX(Pubs!$B$2:$B$3001,MATCH(G2058,Pubs!$A$2:$A$3001,0))&amp;"","⚠ pub inconnue")))</f>
        <v/>
      </c>
      <c r="I2058" s="27" t="str">
        <f aca="false">IF(OR(G2058="",G2058="?"),"",IFERROR(INDEX(Pubs!$C$2:$C$3001,MATCH(G2058,Pubs!$A$2:$A$3001,0))&amp;"",""))</f>
        <v/>
      </c>
      <c r="J2058" s="27" t="str">
        <f aca="false">IF(OR(G2058="",G2058="?"),"",IFERROR(INDEX(Pubs!$G$2:$G$3001,MATCH(G2058,Pubs!$A$2:$A$3001,0))&amp;"",""))</f>
        <v/>
      </c>
      <c r="K2058" s="28" t="str">
        <f aca="false">IF(OR(G2058="",G2058="?"),"",IFERROR(INDEX(Pubs!$E$2:$E$3001,MATCH(G2058,Pubs!$A$2:$A$3001,0)),""))</f>
        <v/>
      </c>
      <c r="L2058" s="29" t="str">
        <f aca="false">IF(A2058="","",IFERROR(1/(1/INDEX(Numéros!$C$2:$C$3001,MATCH(A2058&amp;"|"&amp;B2058,Numéros!$F$2:$F$3001,0))),""))</f>
        <v/>
      </c>
      <c r="M2058" s="27" t="str">
        <f aca="false">IF(OR(G2058="",G2058="?"),"",IFERROR(INDEX(Pubs!$D$2:$D$3001,MATCH(G2058,Pubs!$A$2:$A$3001,0))&amp;"",""))</f>
        <v/>
      </c>
      <c r="N2058" s="27" t="n">
        <f aca="false">N(N2057)+IF(AND(A2058&lt;&gt;"",OR(Recherche!$C$4="",A2058=Recherche!$C$4),OR(Recherche!$C$5="",B2058&amp;""=Recherche!$C$5&amp;""),OR(Recherche!$C$6="",IFERROR(YEAR(L2058),0)=Recherche!$C$6),OR(Recherche!$C$7="",ISNUMBER(SEARCH(Recherche!$C$7,H2058))),OR(Recherche!$C$8="",J2058=Recherche!$C$8),OR(Recherche!$C$9="",I2058=Recherche!$C$9),OR(Recherche!$C$10="",G2058&amp;""=Recherche!$C$10&amp;""),OR(Recherche!$C$11="",E2058=Recherche!$C$11),OR(Recherche!$C$12="",ISNUMBER(SEARCH(Recherche!$C$12,M2058&amp;" "&amp;F2058)))),1,0)</f>
        <v>8</v>
      </c>
    </row>
    <row r="2059" customFormat="false" ht="15" hidden="false" customHeight="false" outlineLevel="0" collapsed="false">
      <c r="A2059" s="19"/>
      <c r="B2059" s="19"/>
      <c r="C2059" s="19"/>
      <c r="D2059" s="19"/>
      <c r="E2059" s="22"/>
      <c r="F2059" s="19"/>
      <c r="G2059" s="26" t="str">
        <f aca="false">IF(D2059="","",IFERROR(VALUE(LEFT(D2059,FIND(" |",D2059&amp;" |")-1)),"?"))</f>
        <v/>
      </c>
      <c r="H2059" s="27" t="str">
        <f aca="false">IF(G2059="","",IF(G2059="?","⚠ pub inconnue",IFERROR(INDEX(Pubs!$B$2:$B$3001,MATCH(G2059,Pubs!$A$2:$A$3001,0))&amp;"","⚠ pub inconnue")))</f>
        <v/>
      </c>
      <c r="I2059" s="27" t="str">
        <f aca="false">IF(OR(G2059="",G2059="?"),"",IFERROR(INDEX(Pubs!$C$2:$C$3001,MATCH(G2059,Pubs!$A$2:$A$3001,0))&amp;"",""))</f>
        <v/>
      </c>
      <c r="J2059" s="27" t="str">
        <f aca="false">IF(OR(G2059="",G2059="?"),"",IFERROR(INDEX(Pubs!$G$2:$G$3001,MATCH(G2059,Pubs!$A$2:$A$3001,0))&amp;"",""))</f>
        <v/>
      </c>
      <c r="K2059" s="28" t="str">
        <f aca="false">IF(OR(G2059="",G2059="?"),"",IFERROR(INDEX(Pubs!$E$2:$E$3001,MATCH(G2059,Pubs!$A$2:$A$3001,0)),""))</f>
        <v/>
      </c>
      <c r="L2059" s="29" t="str">
        <f aca="false">IF(A2059="","",IFERROR(1/(1/INDEX(Numéros!$C$2:$C$3001,MATCH(A2059&amp;"|"&amp;B2059,Numéros!$F$2:$F$3001,0))),""))</f>
        <v/>
      </c>
      <c r="M2059" s="27" t="str">
        <f aca="false">IF(OR(G2059="",G2059="?"),"",IFERROR(INDEX(Pubs!$D$2:$D$3001,MATCH(G2059,Pubs!$A$2:$A$3001,0))&amp;"",""))</f>
        <v/>
      </c>
      <c r="N2059" s="27" t="n">
        <f aca="false">N(N2058)+IF(AND(A2059&lt;&gt;"",OR(Recherche!$C$4="",A2059=Recherche!$C$4),OR(Recherche!$C$5="",B2059&amp;""=Recherche!$C$5&amp;""),OR(Recherche!$C$6="",IFERROR(YEAR(L2059),0)=Recherche!$C$6),OR(Recherche!$C$7="",ISNUMBER(SEARCH(Recherche!$C$7,H2059))),OR(Recherche!$C$8="",J2059=Recherche!$C$8),OR(Recherche!$C$9="",I2059=Recherche!$C$9),OR(Recherche!$C$10="",G2059&amp;""=Recherche!$C$10&amp;""),OR(Recherche!$C$11="",E2059=Recherche!$C$11),OR(Recherche!$C$12="",ISNUMBER(SEARCH(Recherche!$C$12,M2059&amp;" "&amp;F2059)))),1,0)</f>
        <v>8</v>
      </c>
    </row>
    <row r="2060" customFormat="false" ht="15" hidden="false" customHeight="false" outlineLevel="0" collapsed="false">
      <c r="A2060" s="19"/>
      <c r="B2060" s="19"/>
      <c r="C2060" s="19"/>
      <c r="D2060" s="19"/>
      <c r="E2060" s="22"/>
      <c r="F2060" s="19"/>
      <c r="G2060" s="26" t="str">
        <f aca="false">IF(D2060="","",IFERROR(VALUE(LEFT(D2060,FIND(" |",D2060&amp;" |")-1)),"?"))</f>
        <v/>
      </c>
      <c r="H2060" s="27" t="str">
        <f aca="false">IF(G2060="","",IF(G2060="?","⚠ pub inconnue",IFERROR(INDEX(Pubs!$B$2:$B$3001,MATCH(G2060,Pubs!$A$2:$A$3001,0))&amp;"","⚠ pub inconnue")))</f>
        <v/>
      </c>
      <c r="I2060" s="27" t="str">
        <f aca="false">IF(OR(G2060="",G2060="?"),"",IFERROR(INDEX(Pubs!$C$2:$C$3001,MATCH(G2060,Pubs!$A$2:$A$3001,0))&amp;"",""))</f>
        <v/>
      </c>
      <c r="J2060" s="27" t="str">
        <f aca="false">IF(OR(G2060="",G2060="?"),"",IFERROR(INDEX(Pubs!$G$2:$G$3001,MATCH(G2060,Pubs!$A$2:$A$3001,0))&amp;"",""))</f>
        <v/>
      </c>
      <c r="K2060" s="28" t="str">
        <f aca="false">IF(OR(G2060="",G2060="?"),"",IFERROR(INDEX(Pubs!$E$2:$E$3001,MATCH(G2060,Pubs!$A$2:$A$3001,0)),""))</f>
        <v/>
      </c>
      <c r="L2060" s="29" t="str">
        <f aca="false">IF(A2060="","",IFERROR(1/(1/INDEX(Numéros!$C$2:$C$3001,MATCH(A2060&amp;"|"&amp;B2060,Numéros!$F$2:$F$3001,0))),""))</f>
        <v/>
      </c>
      <c r="M2060" s="27" t="str">
        <f aca="false">IF(OR(G2060="",G2060="?"),"",IFERROR(INDEX(Pubs!$D$2:$D$3001,MATCH(G2060,Pubs!$A$2:$A$3001,0))&amp;"",""))</f>
        <v/>
      </c>
      <c r="N2060" s="27" t="n">
        <f aca="false">N(N2059)+IF(AND(A2060&lt;&gt;"",OR(Recherche!$C$4="",A2060=Recherche!$C$4),OR(Recherche!$C$5="",B2060&amp;""=Recherche!$C$5&amp;""),OR(Recherche!$C$6="",IFERROR(YEAR(L2060),0)=Recherche!$C$6),OR(Recherche!$C$7="",ISNUMBER(SEARCH(Recherche!$C$7,H2060))),OR(Recherche!$C$8="",J2060=Recherche!$C$8),OR(Recherche!$C$9="",I2060=Recherche!$C$9),OR(Recherche!$C$10="",G2060&amp;""=Recherche!$C$10&amp;""),OR(Recherche!$C$11="",E2060=Recherche!$C$11),OR(Recherche!$C$12="",ISNUMBER(SEARCH(Recherche!$C$12,M2060&amp;" "&amp;F2060)))),1,0)</f>
        <v>8</v>
      </c>
    </row>
    <row r="2061" customFormat="false" ht="15" hidden="false" customHeight="false" outlineLevel="0" collapsed="false">
      <c r="A2061" s="19"/>
      <c r="B2061" s="19"/>
      <c r="C2061" s="19"/>
      <c r="D2061" s="19"/>
      <c r="E2061" s="22"/>
      <c r="F2061" s="19"/>
      <c r="G2061" s="26" t="str">
        <f aca="false">IF(D2061="","",IFERROR(VALUE(LEFT(D2061,FIND(" |",D2061&amp;" |")-1)),"?"))</f>
        <v/>
      </c>
      <c r="H2061" s="27" t="str">
        <f aca="false">IF(G2061="","",IF(G2061="?","⚠ pub inconnue",IFERROR(INDEX(Pubs!$B$2:$B$3001,MATCH(G2061,Pubs!$A$2:$A$3001,0))&amp;"","⚠ pub inconnue")))</f>
        <v/>
      </c>
      <c r="I2061" s="27" t="str">
        <f aca="false">IF(OR(G2061="",G2061="?"),"",IFERROR(INDEX(Pubs!$C$2:$C$3001,MATCH(G2061,Pubs!$A$2:$A$3001,0))&amp;"",""))</f>
        <v/>
      </c>
      <c r="J2061" s="27" t="str">
        <f aca="false">IF(OR(G2061="",G2061="?"),"",IFERROR(INDEX(Pubs!$G$2:$G$3001,MATCH(G2061,Pubs!$A$2:$A$3001,0))&amp;"",""))</f>
        <v/>
      </c>
      <c r="K2061" s="28" t="str">
        <f aca="false">IF(OR(G2061="",G2061="?"),"",IFERROR(INDEX(Pubs!$E$2:$E$3001,MATCH(G2061,Pubs!$A$2:$A$3001,0)),""))</f>
        <v/>
      </c>
      <c r="L2061" s="29" t="str">
        <f aca="false">IF(A2061="","",IFERROR(1/(1/INDEX(Numéros!$C$2:$C$3001,MATCH(A2061&amp;"|"&amp;B2061,Numéros!$F$2:$F$3001,0))),""))</f>
        <v/>
      </c>
      <c r="M2061" s="27" t="str">
        <f aca="false">IF(OR(G2061="",G2061="?"),"",IFERROR(INDEX(Pubs!$D$2:$D$3001,MATCH(G2061,Pubs!$A$2:$A$3001,0))&amp;"",""))</f>
        <v/>
      </c>
      <c r="N2061" s="27" t="n">
        <f aca="false">N(N2060)+IF(AND(A2061&lt;&gt;"",OR(Recherche!$C$4="",A2061=Recherche!$C$4),OR(Recherche!$C$5="",B2061&amp;""=Recherche!$C$5&amp;""),OR(Recherche!$C$6="",IFERROR(YEAR(L2061),0)=Recherche!$C$6),OR(Recherche!$C$7="",ISNUMBER(SEARCH(Recherche!$C$7,H2061))),OR(Recherche!$C$8="",J2061=Recherche!$C$8),OR(Recherche!$C$9="",I2061=Recherche!$C$9),OR(Recherche!$C$10="",G2061&amp;""=Recherche!$C$10&amp;""),OR(Recherche!$C$11="",E2061=Recherche!$C$11),OR(Recherche!$C$12="",ISNUMBER(SEARCH(Recherche!$C$12,M2061&amp;" "&amp;F2061)))),1,0)</f>
        <v>8</v>
      </c>
    </row>
    <row r="2062" customFormat="false" ht="15" hidden="false" customHeight="false" outlineLevel="0" collapsed="false">
      <c r="A2062" s="19"/>
      <c r="B2062" s="19"/>
      <c r="C2062" s="19"/>
      <c r="D2062" s="19"/>
      <c r="E2062" s="22"/>
      <c r="F2062" s="19"/>
      <c r="G2062" s="26" t="str">
        <f aca="false">IF(D2062="","",IFERROR(VALUE(LEFT(D2062,FIND(" |",D2062&amp;" |")-1)),"?"))</f>
        <v/>
      </c>
      <c r="H2062" s="27" t="str">
        <f aca="false">IF(G2062="","",IF(G2062="?","⚠ pub inconnue",IFERROR(INDEX(Pubs!$B$2:$B$3001,MATCH(G2062,Pubs!$A$2:$A$3001,0))&amp;"","⚠ pub inconnue")))</f>
        <v/>
      </c>
      <c r="I2062" s="27" t="str">
        <f aca="false">IF(OR(G2062="",G2062="?"),"",IFERROR(INDEX(Pubs!$C$2:$C$3001,MATCH(G2062,Pubs!$A$2:$A$3001,0))&amp;"",""))</f>
        <v/>
      </c>
      <c r="J2062" s="27" t="str">
        <f aca="false">IF(OR(G2062="",G2062="?"),"",IFERROR(INDEX(Pubs!$G$2:$G$3001,MATCH(G2062,Pubs!$A$2:$A$3001,0))&amp;"",""))</f>
        <v/>
      </c>
      <c r="K2062" s="28" t="str">
        <f aca="false">IF(OR(G2062="",G2062="?"),"",IFERROR(INDEX(Pubs!$E$2:$E$3001,MATCH(G2062,Pubs!$A$2:$A$3001,0)),""))</f>
        <v/>
      </c>
      <c r="L2062" s="29" t="str">
        <f aca="false">IF(A2062="","",IFERROR(1/(1/INDEX(Numéros!$C$2:$C$3001,MATCH(A2062&amp;"|"&amp;B2062,Numéros!$F$2:$F$3001,0))),""))</f>
        <v/>
      </c>
      <c r="M2062" s="27" t="str">
        <f aca="false">IF(OR(G2062="",G2062="?"),"",IFERROR(INDEX(Pubs!$D$2:$D$3001,MATCH(G2062,Pubs!$A$2:$A$3001,0))&amp;"",""))</f>
        <v/>
      </c>
      <c r="N2062" s="27" t="n">
        <f aca="false">N(N2061)+IF(AND(A2062&lt;&gt;"",OR(Recherche!$C$4="",A2062=Recherche!$C$4),OR(Recherche!$C$5="",B2062&amp;""=Recherche!$C$5&amp;""),OR(Recherche!$C$6="",IFERROR(YEAR(L2062),0)=Recherche!$C$6),OR(Recherche!$C$7="",ISNUMBER(SEARCH(Recherche!$C$7,H2062))),OR(Recherche!$C$8="",J2062=Recherche!$C$8),OR(Recherche!$C$9="",I2062=Recherche!$C$9),OR(Recherche!$C$10="",G2062&amp;""=Recherche!$C$10&amp;""),OR(Recherche!$C$11="",E2062=Recherche!$C$11),OR(Recherche!$C$12="",ISNUMBER(SEARCH(Recherche!$C$12,M2062&amp;" "&amp;F2062)))),1,0)</f>
        <v>8</v>
      </c>
    </row>
    <row r="2063" customFormat="false" ht="15" hidden="false" customHeight="false" outlineLevel="0" collapsed="false">
      <c r="A2063" s="19"/>
      <c r="B2063" s="19"/>
      <c r="C2063" s="19"/>
      <c r="D2063" s="19"/>
      <c r="E2063" s="22"/>
      <c r="F2063" s="19"/>
      <c r="G2063" s="26" t="str">
        <f aca="false">IF(D2063="","",IFERROR(VALUE(LEFT(D2063,FIND(" |",D2063&amp;" |")-1)),"?"))</f>
        <v/>
      </c>
      <c r="H2063" s="27" t="str">
        <f aca="false">IF(G2063="","",IF(G2063="?","⚠ pub inconnue",IFERROR(INDEX(Pubs!$B$2:$B$3001,MATCH(G2063,Pubs!$A$2:$A$3001,0))&amp;"","⚠ pub inconnue")))</f>
        <v/>
      </c>
      <c r="I2063" s="27" t="str">
        <f aca="false">IF(OR(G2063="",G2063="?"),"",IFERROR(INDEX(Pubs!$C$2:$C$3001,MATCH(G2063,Pubs!$A$2:$A$3001,0))&amp;"",""))</f>
        <v/>
      </c>
      <c r="J2063" s="27" t="str">
        <f aca="false">IF(OR(G2063="",G2063="?"),"",IFERROR(INDEX(Pubs!$G$2:$G$3001,MATCH(G2063,Pubs!$A$2:$A$3001,0))&amp;"",""))</f>
        <v/>
      </c>
      <c r="K2063" s="28" t="str">
        <f aca="false">IF(OR(G2063="",G2063="?"),"",IFERROR(INDEX(Pubs!$E$2:$E$3001,MATCH(G2063,Pubs!$A$2:$A$3001,0)),""))</f>
        <v/>
      </c>
      <c r="L2063" s="29" t="str">
        <f aca="false">IF(A2063="","",IFERROR(1/(1/INDEX(Numéros!$C$2:$C$3001,MATCH(A2063&amp;"|"&amp;B2063,Numéros!$F$2:$F$3001,0))),""))</f>
        <v/>
      </c>
      <c r="M2063" s="27" t="str">
        <f aca="false">IF(OR(G2063="",G2063="?"),"",IFERROR(INDEX(Pubs!$D$2:$D$3001,MATCH(G2063,Pubs!$A$2:$A$3001,0))&amp;"",""))</f>
        <v/>
      </c>
      <c r="N2063" s="27" t="n">
        <f aca="false">N(N2062)+IF(AND(A2063&lt;&gt;"",OR(Recherche!$C$4="",A2063=Recherche!$C$4),OR(Recherche!$C$5="",B2063&amp;""=Recherche!$C$5&amp;""),OR(Recherche!$C$6="",IFERROR(YEAR(L2063),0)=Recherche!$C$6),OR(Recherche!$C$7="",ISNUMBER(SEARCH(Recherche!$C$7,H2063))),OR(Recherche!$C$8="",J2063=Recherche!$C$8),OR(Recherche!$C$9="",I2063=Recherche!$C$9),OR(Recherche!$C$10="",G2063&amp;""=Recherche!$C$10&amp;""),OR(Recherche!$C$11="",E2063=Recherche!$C$11),OR(Recherche!$C$12="",ISNUMBER(SEARCH(Recherche!$C$12,M2063&amp;" "&amp;F2063)))),1,0)</f>
        <v>8</v>
      </c>
    </row>
    <row r="2064" customFormat="false" ht="15" hidden="false" customHeight="false" outlineLevel="0" collapsed="false">
      <c r="A2064" s="19"/>
      <c r="B2064" s="19"/>
      <c r="C2064" s="19"/>
      <c r="D2064" s="19"/>
      <c r="E2064" s="22"/>
      <c r="F2064" s="19"/>
      <c r="G2064" s="26" t="str">
        <f aca="false">IF(D2064="","",IFERROR(VALUE(LEFT(D2064,FIND(" |",D2064&amp;" |")-1)),"?"))</f>
        <v/>
      </c>
      <c r="H2064" s="27" t="str">
        <f aca="false">IF(G2064="","",IF(G2064="?","⚠ pub inconnue",IFERROR(INDEX(Pubs!$B$2:$B$3001,MATCH(G2064,Pubs!$A$2:$A$3001,0))&amp;"","⚠ pub inconnue")))</f>
        <v/>
      </c>
      <c r="I2064" s="27" t="str">
        <f aca="false">IF(OR(G2064="",G2064="?"),"",IFERROR(INDEX(Pubs!$C$2:$C$3001,MATCH(G2064,Pubs!$A$2:$A$3001,0))&amp;"",""))</f>
        <v/>
      </c>
      <c r="J2064" s="27" t="str">
        <f aca="false">IF(OR(G2064="",G2064="?"),"",IFERROR(INDEX(Pubs!$G$2:$G$3001,MATCH(G2064,Pubs!$A$2:$A$3001,0))&amp;"",""))</f>
        <v/>
      </c>
      <c r="K2064" s="28" t="str">
        <f aca="false">IF(OR(G2064="",G2064="?"),"",IFERROR(INDEX(Pubs!$E$2:$E$3001,MATCH(G2064,Pubs!$A$2:$A$3001,0)),""))</f>
        <v/>
      </c>
      <c r="L2064" s="29" t="str">
        <f aca="false">IF(A2064="","",IFERROR(1/(1/INDEX(Numéros!$C$2:$C$3001,MATCH(A2064&amp;"|"&amp;B2064,Numéros!$F$2:$F$3001,0))),""))</f>
        <v/>
      </c>
      <c r="M2064" s="27" t="str">
        <f aca="false">IF(OR(G2064="",G2064="?"),"",IFERROR(INDEX(Pubs!$D$2:$D$3001,MATCH(G2064,Pubs!$A$2:$A$3001,0))&amp;"",""))</f>
        <v/>
      </c>
      <c r="N2064" s="27" t="n">
        <f aca="false">N(N2063)+IF(AND(A2064&lt;&gt;"",OR(Recherche!$C$4="",A2064=Recherche!$C$4),OR(Recherche!$C$5="",B2064&amp;""=Recherche!$C$5&amp;""),OR(Recherche!$C$6="",IFERROR(YEAR(L2064),0)=Recherche!$C$6),OR(Recherche!$C$7="",ISNUMBER(SEARCH(Recherche!$C$7,H2064))),OR(Recherche!$C$8="",J2064=Recherche!$C$8),OR(Recherche!$C$9="",I2064=Recherche!$C$9),OR(Recherche!$C$10="",G2064&amp;""=Recherche!$C$10&amp;""),OR(Recherche!$C$11="",E2064=Recherche!$C$11),OR(Recherche!$C$12="",ISNUMBER(SEARCH(Recherche!$C$12,M2064&amp;" "&amp;F2064)))),1,0)</f>
        <v>8</v>
      </c>
    </row>
    <row r="2065" customFormat="false" ht="15" hidden="false" customHeight="false" outlineLevel="0" collapsed="false">
      <c r="A2065" s="19"/>
      <c r="B2065" s="19"/>
      <c r="C2065" s="19"/>
      <c r="D2065" s="19"/>
      <c r="E2065" s="22"/>
      <c r="F2065" s="19"/>
      <c r="G2065" s="26" t="str">
        <f aca="false">IF(D2065="","",IFERROR(VALUE(LEFT(D2065,FIND(" |",D2065&amp;" |")-1)),"?"))</f>
        <v/>
      </c>
      <c r="H2065" s="27" t="str">
        <f aca="false">IF(G2065="","",IF(G2065="?","⚠ pub inconnue",IFERROR(INDEX(Pubs!$B$2:$B$3001,MATCH(G2065,Pubs!$A$2:$A$3001,0))&amp;"","⚠ pub inconnue")))</f>
        <v/>
      </c>
      <c r="I2065" s="27" t="str">
        <f aca="false">IF(OR(G2065="",G2065="?"),"",IFERROR(INDEX(Pubs!$C$2:$C$3001,MATCH(G2065,Pubs!$A$2:$A$3001,0))&amp;"",""))</f>
        <v/>
      </c>
      <c r="J2065" s="27" t="str">
        <f aca="false">IF(OR(G2065="",G2065="?"),"",IFERROR(INDEX(Pubs!$G$2:$G$3001,MATCH(G2065,Pubs!$A$2:$A$3001,0))&amp;"",""))</f>
        <v/>
      </c>
      <c r="K2065" s="28" t="str">
        <f aca="false">IF(OR(G2065="",G2065="?"),"",IFERROR(INDEX(Pubs!$E$2:$E$3001,MATCH(G2065,Pubs!$A$2:$A$3001,0)),""))</f>
        <v/>
      </c>
      <c r="L2065" s="29" t="str">
        <f aca="false">IF(A2065="","",IFERROR(1/(1/INDEX(Numéros!$C$2:$C$3001,MATCH(A2065&amp;"|"&amp;B2065,Numéros!$F$2:$F$3001,0))),""))</f>
        <v/>
      </c>
      <c r="M2065" s="27" t="str">
        <f aca="false">IF(OR(G2065="",G2065="?"),"",IFERROR(INDEX(Pubs!$D$2:$D$3001,MATCH(G2065,Pubs!$A$2:$A$3001,0))&amp;"",""))</f>
        <v/>
      </c>
      <c r="N2065" s="27" t="n">
        <f aca="false">N(N2064)+IF(AND(A2065&lt;&gt;"",OR(Recherche!$C$4="",A2065=Recherche!$C$4),OR(Recherche!$C$5="",B2065&amp;""=Recherche!$C$5&amp;""),OR(Recherche!$C$6="",IFERROR(YEAR(L2065),0)=Recherche!$C$6),OR(Recherche!$C$7="",ISNUMBER(SEARCH(Recherche!$C$7,H2065))),OR(Recherche!$C$8="",J2065=Recherche!$C$8),OR(Recherche!$C$9="",I2065=Recherche!$C$9),OR(Recherche!$C$10="",G2065&amp;""=Recherche!$C$10&amp;""),OR(Recherche!$C$11="",E2065=Recherche!$C$11),OR(Recherche!$C$12="",ISNUMBER(SEARCH(Recherche!$C$12,M2065&amp;" "&amp;F2065)))),1,0)</f>
        <v>8</v>
      </c>
    </row>
    <row r="2066" customFormat="false" ht="15" hidden="false" customHeight="false" outlineLevel="0" collapsed="false">
      <c r="A2066" s="19"/>
      <c r="B2066" s="19"/>
      <c r="C2066" s="19"/>
      <c r="D2066" s="19"/>
      <c r="E2066" s="22"/>
      <c r="F2066" s="19"/>
      <c r="G2066" s="26" t="str">
        <f aca="false">IF(D2066="","",IFERROR(VALUE(LEFT(D2066,FIND(" |",D2066&amp;" |")-1)),"?"))</f>
        <v/>
      </c>
      <c r="H2066" s="27" t="str">
        <f aca="false">IF(G2066="","",IF(G2066="?","⚠ pub inconnue",IFERROR(INDEX(Pubs!$B$2:$B$3001,MATCH(G2066,Pubs!$A$2:$A$3001,0))&amp;"","⚠ pub inconnue")))</f>
        <v/>
      </c>
      <c r="I2066" s="27" t="str">
        <f aca="false">IF(OR(G2066="",G2066="?"),"",IFERROR(INDEX(Pubs!$C$2:$C$3001,MATCH(G2066,Pubs!$A$2:$A$3001,0))&amp;"",""))</f>
        <v/>
      </c>
      <c r="J2066" s="27" t="str">
        <f aca="false">IF(OR(G2066="",G2066="?"),"",IFERROR(INDEX(Pubs!$G$2:$G$3001,MATCH(G2066,Pubs!$A$2:$A$3001,0))&amp;"",""))</f>
        <v/>
      </c>
      <c r="K2066" s="28" t="str">
        <f aca="false">IF(OR(G2066="",G2066="?"),"",IFERROR(INDEX(Pubs!$E$2:$E$3001,MATCH(G2066,Pubs!$A$2:$A$3001,0)),""))</f>
        <v/>
      </c>
      <c r="L2066" s="29" t="str">
        <f aca="false">IF(A2066="","",IFERROR(1/(1/INDEX(Numéros!$C$2:$C$3001,MATCH(A2066&amp;"|"&amp;B2066,Numéros!$F$2:$F$3001,0))),""))</f>
        <v/>
      </c>
      <c r="M2066" s="27" t="str">
        <f aca="false">IF(OR(G2066="",G2066="?"),"",IFERROR(INDEX(Pubs!$D$2:$D$3001,MATCH(G2066,Pubs!$A$2:$A$3001,0))&amp;"",""))</f>
        <v/>
      </c>
      <c r="N2066" s="27" t="n">
        <f aca="false">N(N2065)+IF(AND(A2066&lt;&gt;"",OR(Recherche!$C$4="",A2066=Recherche!$C$4),OR(Recherche!$C$5="",B2066&amp;""=Recherche!$C$5&amp;""),OR(Recherche!$C$6="",IFERROR(YEAR(L2066),0)=Recherche!$C$6),OR(Recherche!$C$7="",ISNUMBER(SEARCH(Recherche!$C$7,H2066))),OR(Recherche!$C$8="",J2066=Recherche!$C$8),OR(Recherche!$C$9="",I2066=Recherche!$C$9),OR(Recherche!$C$10="",G2066&amp;""=Recherche!$C$10&amp;""),OR(Recherche!$C$11="",E2066=Recherche!$C$11),OR(Recherche!$C$12="",ISNUMBER(SEARCH(Recherche!$C$12,M2066&amp;" "&amp;F2066)))),1,0)</f>
        <v>8</v>
      </c>
    </row>
    <row r="2067" customFormat="false" ht="15" hidden="false" customHeight="false" outlineLevel="0" collapsed="false">
      <c r="A2067" s="19"/>
      <c r="B2067" s="19"/>
      <c r="C2067" s="19"/>
      <c r="D2067" s="19"/>
      <c r="E2067" s="22"/>
      <c r="F2067" s="19"/>
      <c r="G2067" s="26" t="str">
        <f aca="false">IF(D2067="","",IFERROR(VALUE(LEFT(D2067,FIND(" |",D2067&amp;" |")-1)),"?"))</f>
        <v/>
      </c>
      <c r="H2067" s="27" t="str">
        <f aca="false">IF(G2067="","",IF(G2067="?","⚠ pub inconnue",IFERROR(INDEX(Pubs!$B$2:$B$3001,MATCH(G2067,Pubs!$A$2:$A$3001,0))&amp;"","⚠ pub inconnue")))</f>
        <v/>
      </c>
      <c r="I2067" s="27" t="str">
        <f aca="false">IF(OR(G2067="",G2067="?"),"",IFERROR(INDEX(Pubs!$C$2:$C$3001,MATCH(G2067,Pubs!$A$2:$A$3001,0))&amp;"",""))</f>
        <v/>
      </c>
      <c r="J2067" s="27" t="str">
        <f aca="false">IF(OR(G2067="",G2067="?"),"",IFERROR(INDEX(Pubs!$G$2:$G$3001,MATCH(G2067,Pubs!$A$2:$A$3001,0))&amp;"",""))</f>
        <v/>
      </c>
      <c r="K2067" s="28" t="str">
        <f aca="false">IF(OR(G2067="",G2067="?"),"",IFERROR(INDEX(Pubs!$E$2:$E$3001,MATCH(G2067,Pubs!$A$2:$A$3001,0)),""))</f>
        <v/>
      </c>
      <c r="L2067" s="29" t="str">
        <f aca="false">IF(A2067="","",IFERROR(1/(1/INDEX(Numéros!$C$2:$C$3001,MATCH(A2067&amp;"|"&amp;B2067,Numéros!$F$2:$F$3001,0))),""))</f>
        <v/>
      </c>
      <c r="M2067" s="27" t="str">
        <f aca="false">IF(OR(G2067="",G2067="?"),"",IFERROR(INDEX(Pubs!$D$2:$D$3001,MATCH(G2067,Pubs!$A$2:$A$3001,0))&amp;"",""))</f>
        <v/>
      </c>
      <c r="N2067" s="27" t="n">
        <f aca="false">N(N2066)+IF(AND(A2067&lt;&gt;"",OR(Recherche!$C$4="",A2067=Recherche!$C$4),OR(Recherche!$C$5="",B2067&amp;""=Recherche!$C$5&amp;""),OR(Recherche!$C$6="",IFERROR(YEAR(L2067),0)=Recherche!$C$6),OR(Recherche!$C$7="",ISNUMBER(SEARCH(Recherche!$C$7,H2067))),OR(Recherche!$C$8="",J2067=Recherche!$C$8),OR(Recherche!$C$9="",I2067=Recherche!$C$9),OR(Recherche!$C$10="",G2067&amp;""=Recherche!$C$10&amp;""),OR(Recherche!$C$11="",E2067=Recherche!$C$11),OR(Recherche!$C$12="",ISNUMBER(SEARCH(Recherche!$C$12,M2067&amp;" "&amp;F2067)))),1,0)</f>
        <v>8</v>
      </c>
    </row>
    <row r="2068" customFormat="false" ht="15" hidden="false" customHeight="false" outlineLevel="0" collapsed="false">
      <c r="A2068" s="19"/>
      <c r="B2068" s="19"/>
      <c r="C2068" s="19"/>
      <c r="D2068" s="19"/>
      <c r="E2068" s="22"/>
      <c r="F2068" s="19"/>
      <c r="G2068" s="26" t="str">
        <f aca="false">IF(D2068="","",IFERROR(VALUE(LEFT(D2068,FIND(" |",D2068&amp;" |")-1)),"?"))</f>
        <v/>
      </c>
      <c r="H2068" s="27" t="str">
        <f aca="false">IF(G2068="","",IF(G2068="?","⚠ pub inconnue",IFERROR(INDEX(Pubs!$B$2:$B$3001,MATCH(G2068,Pubs!$A$2:$A$3001,0))&amp;"","⚠ pub inconnue")))</f>
        <v/>
      </c>
      <c r="I2068" s="27" t="str">
        <f aca="false">IF(OR(G2068="",G2068="?"),"",IFERROR(INDEX(Pubs!$C$2:$C$3001,MATCH(G2068,Pubs!$A$2:$A$3001,0))&amp;"",""))</f>
        <v/>
      </c>
      <c r="J2068" s="27" t="str">
        <f aca="false">IF(OR(G2068="",G2068="?"),"",IFERROR(INDEX(Pubs!$G$2:$G$3001,MATCH(G2068,Pubs!$A$2:$A$3001,0))&amp;"",""))</f>
        <v/>
      </c>
      <c r="K2068" s="28" t="str">
        <f aca="false">IF(OR(G2068="",G2068="?"),"",IFERROR(INDEX(Pubs!$E$2:$E$3001,MATCH(G2068,Pubs!$A$2:$A$3001,0)),""))</f>
        <v/>
      </c>
      <c r="L2068" s="29" t="str">
        <f aca="false">IF(A2068="","",IFERROR(1/(1/INDEX(Numéros!$C$2:$C$3001,MATCH(A2068&amp;"|"&amp;B2068,Numéros!$F$2:$F$3001,0))),""))</f>
        <v/>
      </c>
      <c r="M2068" s="27" t="str">
        <f aca="false">IF(OR(G2068="",G2068="?"),"",IFERROR(INDEX(Pubs!$D$2:$D$3001,MATCH(G2068,Pubs!$A$2:$A$3001,0))&amp;"",""))</f>
        <v/>
      </c>
      <c r="N2068" s="27" t="n">
        <f aca="false">N(N2067)+IF(AND(A2068&lt;&gt;"",OR(Recherche!$C$4="",A2068=Recherche!$C$4),OR(Recherche!$C$5="",B2068&amp;""=Recherche!$C$5&amp;""),OR(Recherche!$C$6="",IFERROR(YEAR(L2068),0)=Recherche!$C$6),OR(Recherche!$C$7="",ISNUMBER(SEARCH(Recherche!$C$7,H2068))),OR(Recherche!$C$8="",J2068=Recherche!$C$8),OR(Recherche!$C$9="",I2068=Recherche!$C$9),OR(Recherche!$C$10="",G2068&amp;""=Recherche!$C$10&amp;""),OR(Recherche!$C$11="",E2068=Recherche!$C$11),OR(Recherche!$C$12="",ISNUMBER(SEARCH(Recherche!$C$12,M2068&amp;" "&amp;F2068)))),1,0)</f>
        <v>8</v>
      </c>
    </row>
    <row r="2069" customFormat="false" ht="15" hidden="false" customHeight="false" outlineLevel="0" collapsed="false">
      <c r="A2069" s="19"/>
      <c r="B2069" s="19"/>
      <c r="C2069" s="19"/>
      <c r="D2069" s="19"/>
      <c r="E2069" s="22"/>
      <c r="F2069" s="19"/>
      <c r="G2069" s="26" t="str">
        <f aca="false">IF(D2069="","",IFERROR(VALUE(LEFT(D2069,FIND(" |",D2069&amp;" |")-1)),"?"))</f>
        <v/>
      </c>
      <c r="H2069" s="27" t="str">
        <f aca="false">IF(G2069="","",IF(G2069="?","⚠ pub inconnue",IFERROR(INDEX(Pubs!$B$2:$B$3001,MATCH(G2069,Pubs!$A$2:$A$3001,0))&amp;"","⚠ pub inconnue")))</f>
        <v/>
      </c>
      <c r="I2069" s="27" t="str">
        <f aca="false">IF(OR(G2069="",G2069="?"),"",IFERROR(INDEX(Pubs!$C$2:$C$3001,MATCH(G2069,Pubs!$A$2:$A$3001,0))&amp;"",""))</f>
        <v/>
      </c>
      <c r="J2069" s="27" t="str">
        <f aca="false">IF(OR(G2069="",G2069="?"),"",IFERROR(INDEX(Pubs!$G$2:$G$3001,MATCH(G2069,Pubs!$A$2:$A$3001,0))&amp;"",""))</f>
        <v/>
      </c>
      <c r="K2069" s="28" t="str">
        <f aca="false">IF(OR(G2069="",G2069="?"),"",IFERROR(INDEX(Pubs!$E$2:$E$3001,MATCH(G2069,Pubs!$A$2:$A$3001,0)),""))</f>
        <v/>
      </c>
      <c r="L2069" s="29" t="str">
        <f aca="false">IF(A2069="","",IFERROR(1/(1/INDEX(Numéros!$C$2:$C$3001,MATCH(A2069&amp;"|"&amp;B2069,Numéros!$F$2:$F$3001,0))),""))</f>
        <v/>
      </c>
      <c r="M2069" s="27" t="str">
        <f aca="false">IF(OR(G2069="",G2069="?"),"",IFERROR(INDEX(Pubs!$D$2:$D$3001,MATCH(G2069,Pubs!$A$2:$A$3001,0))&amp;"",""))</f>
        <v/>
      </c>
      <c r="N2069" s="27" t="n">
        <f aca="false">N(N2068)+IF(AND(A2069&lt;&gt;"",OR(Recherche!$C$4="",A2069=Recherche!$C$4),OR(Recherche!$C$5="",B2069&amp;""=Recherche!$C$5&amp;""),OR(Recherche!$C$6="",IFERROR(YEAR(L2069),0)=Recherche!$C$6),OR(Recherche!$C$7="",ISNUMBER(SEARCH(Recherche!$C$7,H2069))),OR(Recherche!$C$8="",J2069=Recherche!$C$8),OR(Recherche!$C$9="",I2069=Recherche!$C$9),OR(Recherche!$C$10="",G2069&amp;""=Recherche!$C$10&amp;""),OR(Recherche!$C$11="",E2069=Recherche!$C$11),OR(Recherche!$C$12="",ISNUMBER(SEARCH(Recherche!$C$12,M2069&amp;" "&amp;F2069)))),1,0)</f>
        <v>8</v>
      </c>
    </row>
    <row r="2070" customFormat="false" ht="15" hidden="false" customHeight="false" outlineLevel="0" collapsed="false">
      <c r="A2070" s="19"/>
      <c r="B2070" s="19"/>
      <c r="C2070" s="19"/>
      <c r="D2070" s="19"/>
      <c r="E2070" s="22"/>
      <c r="F2070" s="19"/>
      <c r="G2070" s="26" t="str">
        <f aca="false">IF(D2070="","",IFERROR(VALUE(LEFT(D2070,FIND(" |",D2070&amp;" |")-1)),"?"))</f>
        <v/>
      </c>
      <c r="H2070" s="27" t="str">
        <f aca="false">IF(G2070="","",IF(G2070="?","⚠ pub inconnue",IFERROR(INDEX(Pubs!$B$2:$B$3001,MATCH(G2070,Pubs!$A$2:$A$3001,0))&amp;"","⚠ pub inconnue")))</f>
        <v/>
      </c>
      <c r="I2070" s="27" t="str">
        <f aca="false">IF(OR(G2070="",G2070="?"),"",IFERROR(INDEX(Pubs!$C$2:$C$3001,MATCH(G2070,Pubs!$A$2:$A$3001,0))&amp;"",""))</f>
        <v/>
      </c>
      <c r="J2070" s="27" t="str">
        <f aca="false">IF(OR(G2070="",G2070="?"),"",IFERROR(INDEX(Pubs!$G$2:$G$3001,MATCH(G2070,Pubs!$A$2:$A$3001,0))&amp;"",""))</f>
        <v/>
      </c>
      <c r="K2070" s="28" t="str">
        <f aca="false">IF(OR(G2070="",G2070="?"),"",IFERROR(INDEX(Pubs!$E$2:$E$3001,MATCH(G2070,Pubs!$A$2:$A$3001,0)),""))</f>
        <v/>
      </c>
      <c r="L2070" s="29" t="str">
        <f aca="false">IF(A2070="","",IFERROR(1/(1/INDEX(Numéros!$C$2:$C$3001,MATCH(A2070&amp;"|"&amp;B2070,Numéros!$F$2:$F$3001,0))),""))</f>
        <v/>
      </c>
      <c r="M2070" s="27" t="str">
        <f aca="false">IF(OR(G2070="",G2070="?"),"",IFERROR(INDEX(Pubs!$D$2:$D$3001,MATCH(G2070,Pubs!$A$2:$A$3001,0))&amp;"",""))</f>
        <v/>
      </c>
      <c r="N2070" s="27" t="n">
        <f aca="false">N(N2069)+IF(AND(A2070&lt;&gt;"",OR(Recherche!$C$4="",A2070=Recherche!$C$4),OR(Recherche!$C$5="",B2070&amp;""=Recherche!$C$5&amp;""),OR(Recherche!$C$6="",IFERROR(YEAR(L2070),0)=Recherche!$C$6),OR(Recherche!$C$7="",ISNUMBER(SEARCH(Recherche!$C$7,H2070))),OR(Recherche!$C$8="",J2070=Recherche!$C$8),OR(Recherche!$C$9="",I2070=Recherche!$C$9),OR(Recherche!$C$10="",G2070&amp;""=Recherche!$C$10&amp;""),OR(Recherche!$C$11="",E2070=Recherche!$C$11),OR(Recherche!$C$12="",ISNUMBER(SEARCH(Recherche!$C$12,M2070&amp;" "&amp;F2070)))),1,0)</f>
        <v>8</v>
      </c>
    </row>
    <row r="2071" customFormat="false" ht="15" hidden="false" customHeight="false" outlineLevel="0" collapsed="false">
      <c r="A2071" s="19"/>
      <c r="B2071" s="19"/>
      <c r="C2071" s="19"/>
      <c r="D2071" s="19"/>
      <c r="E2071" s="22"/>
      <c r="F2071" s="19"/>
      <c r="G2071" s="26" t="str">
        <f aca="false">IF(D2071="","",IFERROR(VALUE(LEFT(D2071,FIND(" |",D2071&amp;" |")-1)),"?"))</f>
        <v/>
      </c>
      <c r="H2071" s="27" t="str">
        <f aca="false">IF(G2071="","",IF(G2071="?","⚠ pub inconnue",IFERROR(INDEX(Pubs!$B$2:$B$3001,MATCH(G2071,Pubs!$A$2:$A$3001,0))&amp;"","⚠ pub inconnue")))</f>
        <v/>
      </c>
      <c r="I2071" s="27" t="str">
        <f aca="false">IF(OR(G2071="",G2071="?"),"",IFERROR(INDEX(Pubs!$C$2:$C$3001,MATCH(G2071,Pubs!$A$2:$A$3001,0))&amp;"",""))</f>
        <v/>
      </c>
      <c r="J2071" s="27" t="str">
        <f aca="false">IF(OR(G2071="",G2071="?"),"",IFERROR(INDEX(Pubs!$G$2:$G$3001,MATCH(G2071,Pubs!$A$2:$A$3001,0))&amp;"",""))</f>
        <v/>
      </c>
      <c r="K2071" s="28" t="str">
        <f aca="false">IF(OR(G2071="",G2071="?"),"",IFERROR(INDEX(Pubs!$E$2:$E$3001,MATCH(G2071,Pubs!$A$2:$A$3001,0)),""))</f>
        <v/>
      </c>
      <c r="L2071" s="29" t="str">
        <f aca="false">IF(A2071="","",IFERROR(1/(1/INDEX(Numéros!$C$2:$C$3001,MATCH(A2071&amp;"|"&amp;B2071,Numéros!$F$2:$F$3001,0))),""))</f>
        <v/>
      </c>
      <c r="M2071" s="27" t="str">
        <f aca="false">IF(OR(G2071="",G2071="?"),"",IFERROR(INDEX(Pubs!$D$2:$D$3001,MATCH(G2071,Pubs!$A$2:$A$3001,0))&amp;"",""))</f>
        <v/>
      </c>
      <c r="N2071" s="27" t="n">
        <f aca="false">N(N2070)+IF(AND(A2071&lt;&gt;"",OR(Recherche!$C$4="",A2071=Recherche!$C$4),OR(Recherche!$C$5="",B2071&amp;""=Recherche!$C$5&amp;""),OR(Recherche!$C$6="",IFERROR(YEAR(L2071),0)=Recherche!$C$6),OR(Recherche!$C$7="",ISNUMBER(SEARCH(Recherche!$C$7,H2071))),OR(Recherche!$C$8="",J2071=Recherche!$C$8),OR(Recherche!$C$9="",I2071=Recherche!$C$9),OR(Recherche!$C$10="",G2071&amp;""=Recherche!$C$10&amp;""),OR(Recherche!$C$11="",E2071=Recherche!$C$11),OR(Recherche!$C$12="",ISNUMBER(SEARCH(Recherche!$C$12,M2071&amp;" "&amp;F2071)))),1,0)</f>
        <v>8</v>
      </c>
    </row>
    <row r="2072" customFormat="false" ht="15" hidden="false" customHeight="false" outlineLevel="0" collapsed="false">
      <c r="A2072" s="19"/>
      <c r="B2072" s="19"/>
      <c r="C2072" s="19"/>
      <c r="D2072" s="19"/>
      <c r="E2072" s="22"/>
      <c r="F2072" s="19"/>
      <c r="G2072" s="26" t="str">
        <f aca="false">IF(D2072="","",IFERROR(VALUE(LEFT(D2072,FIND(" |",D2072&amp;" |")-1)),"?"))</f>
        <v/>
      </c>
      <c r="H2072" s="27" t="str">
        <f aca="false">IF(G2072="","",IF(G2072="?","⚠ pub inconnue",IFERROR(INDEX(Pubs!$B$2:$B$3001,MATCH(G2072,Pubs!$A$2:$A$3001,0))&amp;"","⚠ pub inconnue")))</f>
        <v/>
      </c>
      <c r="I2072" s="27" t="str">
        <f aca="false">IF(OR(G2072="",G2072="?"),"",IFERROR(INDEX(Pubs!$C$2:$C$3001,MATCH(G2072,Pubs!$A$2:$A$3001,0))&amp;"",""))</f>
        <v/>
      </c>
      <c r="J2072" s="27" t="str">
        <f aca="false">IF(OR(G2072="",G2072="?"),"",IFERROR(INDEX(Pubs!$G$2:$G$3001,MATCH(G2072,Pubs!$A$2:$A$3001,0))&amp;"",""))</f>
        <v/>
      </c>
      <c r="K2072" s="28" t="str">
        <f aca="false">IF(OR(G2072="",G2072="?"),"",IFERROR(INDEX(Pubs!$E$2:$E$3001,MATCH(G2072,Pubs!$A$2:$A$3001,0)),""))</f>
        <v/>
      </c>
      <c r="L2072" s="29" t="str">
        <f aca="false">IF(A2072="","",IFERROR(1/(1/INDEX(Numéros!$C$2:$C$3001,MATCH(A2072&amp;"|"&amp;B2072,Numéros!$F$2:$F$3001,0))),""))</f>
        <v/>
      </c>
      <c r="M2072" s="27" t="str">
        <f aca="false">IF(OR(G2072="",G2072="?"),"",IFERROR(INDEX(Pubs!$D$2:$D$3001,MATCH(G2072,Pubs!$A$2:$A$3001,0))&amp;"",""))</f>
        <v/>
      </c>
      <c r="N2072" s="27" t="n">
        <f aca="false">N(N2071)+IF(AND(A2072&lt;&gt;"",OR(Recherche!$C$4="",A2072=Recherche!$C$4),OR(Recherche!$C$5="",B2072&amp;""=Recherche!$C$5&amp;""),OR(Recherche!$C$6="",IFERROR(YEAR(L2072),0)=Recherche!$C$6),OR(Recherche!$C$7="",ISNUMBER(SEARCH(Recherche!$C$7,H2072))),OR(Recherche!$C$8="",J2072=Recherche!$C$8),OR(Recherche!$C$9="",I2072=Recherche!$C$9),OR(Recherche!$C$10="",G2072&amp;""=Recherche!$C$10&amp;""),OR(Recherche!$C$11="",E2072=Recherche!$C$11),OR(Recherche!$C$12="",ISNUMBER(SEARCH(Recherche!$C$12,M2072&amp;" "&amp;F2072)))),1,0)</f>
        <v>8</v>
      </c>
    </row>
    <row r="2073" customFormat="false" ht="15" hidden="false" customHeight="false" outlineLevel="0" collapsed="false">
      <c r="A2073" s="19"/>
      <c r="B2073" s="19"/>
      <c r="C2073" s="19"/>
      <c r="D2073" s="19"/>
      <c r="E2073" s="22"/>
      <c r="F2073" s="19"/>
      <c r="G2073" s="26" t="str">
        <f aca="false">IF(D2073="","",IFERROR(VALUE(LEFT(D2073,FIND(" |",D2073&amp;" |")-1)),"?"))</f>
        <v/>
      </c>
      <c r="H2073" s="27" t="str">
        <f aca="false">IF(G2073="","",IF(G2073="?","⚠ pub inconnue",IFERROR(INDEX(Pubs!$B$2:$B$3001,MATCH(G2073,Pubs!$A$2:$A$3001,0))&amp;"","⚠ pub inconnue")))</f>
        <v/>
      </c>
      <c r="I2073" s="27" t="str">
        <f aca="false">IF(OR(G2073="",G2073="?"),"",IFERROR(INDEX(Pubs!$C$2:$C$3001,MATCH(G2073,Pubs!$A$2:$A$3001,0))&amp;"",""))</f>
        <v/>
      </c>
      <c r="J2073" s="27" t="str">
        <f aca="false">IF(OR(G2073="",G2073="?"),"",IFERROR(INDEX(Pubs!$G$2:$G$3001,MATCH(G2073,Pubs!$A$2:$A$3001,0))&amp;"",""))</f>
        <v/>
      </c>
      <c r="K2073" s="28" t="str">
        <f aca="false">IF(OR(G2073="",G2073="?"),"",IFERROR(INDEX(Pubs!$E$2:$E$3001,MATCH(G2073,Pubs!$A$2:$A$3001,0)),""))</f>
        <v/>
      </c>
      <c r="L2073" s="29" t="str">
        <f aca="false">IF(A2073="","",IFERROR(1/(1/INDEX(Numéros!$C$2:$C$3001,MATCH(A2073&amp;"|"&amp;B2073,Numéros!$F$2:$F$3001,0))),""))</f>
        <v/>
      </c>
      <c r="M2073" s="27" t="str">
        <f aca="false">IF(OR(G2073="",G2073="?"),"",IFERROR(INDEX(Pubs!$D$2:$D$3001,MATCH(G2073,Pubs!$A$2:$A$3001,0))&amp;"",""))</f>
        <v/>
      </c>
      <c r="N2073" s="27" t="n">
        <f aca="false">N(N2072)+IF(AND(A2073&lt;&gt;"",OR(Recherche!$C$4="",A2073=Recherche!$C$4),OR(Recherche!$C$5="",B2073&amp;""=Recherche!$C$5&amp;""),OR(Recherche!$C$6="",IFERROR(YEAR(L2073),0)=Recherche!$C$6),OR(Recherche!$C$7="",ISNUMBER(SEARCH(Recherche!$C$7,H2073))),OR(Recherche!$C$8="",J2073=Recherche!$C$8),OR(Recherche!$C$9="",I2073=Recherche!$C$9),OR(Recherche!$C$10="",G2073&amp;""=Recherche!$C$10&amp;""),OR(Recherche!$C$11="",E2073=Recherche!$C$11),OR(Recherche!$C$12="",ISNUMBER(SEARCH(Recherche!$C$12,M2073&amp;" "&amp;F2073)))),1,0)</f>
        <v>8</v>
      </c>
    </row>
    <row r="2074" customFormat="false" ht="15" hidden="false" customHeight="false" outlineLevel="0" collapsed="false">
      <c r="A2074" s="19"/>
      <c r="B2074" s="19"/>
      <c r="C2074" s="19"/>
      <c r="D2074" s="19"/>
      <c r="E2074" s="22"/>
      <c r="F2074" s="19"/>
      <c r="G2074" s="26" t="str">
        <f aca="false">IF(D2074="","",IFERROR(VALUE(LEFT(D2074,FIND(" |",D2074&amp;" |")-1)),"?"))</f>
        <v/>
      </c>
      <c r="H2074" s="27" t="str">
        <f aca="false">IF(G2074="","",IF(G2074="?","⚠ pub inconnue",IFERROR(INDEX(Pubs!$B$2:$B$3001,MATCH(G2074,Pubs!$A$2:$A$3001,0))&amp;"","⚠ pub inconnue")))</f>
        <v/>
      </c>
      <c r="I2074" s="27" t="str">
        <f aca="false">IF(OR(G2074="",G2074="?"),"",IFERROR(INDEX(Pubs!$C$2:$C$3001,MATCH(G2074,Pubs!$A$2:$A$3001,0))&amp;"",""))</f>
        <v/>
      </c>
      <c r="J2074" s="27" t="str">
        <f aca="false">IF(OR(G2074="",G2074="?"),"",IFERROR(INDEX(Pubs!$G$2:$G$3001,MATCH(G2074,Pubs!$A$2:$A$3001,0))&amp;"",""))</f>
        <v/>
      </c>
      <c r="K2074" s="28" t="str">
        <f aca="false">IF(OR(G2074="",G2074="?"),"",IFERROR(INDEX(Pubs!$E$2:$E$3001,MATCH(G2074,Pubs!$A$2:$A$3001,0)),""))</f>
        <v/>
      </c>
      <c r="L2074" s="29" t="str">
        <f aca="false">IF(A2074="","",IFERROR(1/(1/INDEX(Numéros!$C$2:$C$3001,MATCH(A2074&amp;"|"&amp;B2074,Numéros!$F$2:$F$3001,0))),""))</f>
        <v/>
      </c>
      <c r="M2074" s="27" t="str">
        <f aca="false">IF(OR(G2074="",G2074="?"),"",IFERROR(INDEX(Pubs!$D$2:$D$3001,MATCH(G2074,Pubs!$A$2:$A$3001,0))&amp;"",""))</f>
        <v/>
      </c>
      <c r="N2074" s="27" t="n">
        <f aca="false">N(N2073)+IF(AND(A2074&lt;&gt;"",OR(Recherche!$C$4="",A2074=Recherche!$C$4),OR(Recherche!$C$5="",B2074&amp;""=Recherche!$C$5&amp;""),OR(Recherche!$C$6="",IFERROR(YEAR(L2074),0)=Recherche!$C$6),OR(Recherche!$C$7="",ISNUMBER(SEARCH(Recherche!$C$7,H2074))),OR(Recherche!$C$8="",J2074=Recherche!$C$8),OR(Recherche!$C$9="",I2074=Recherche!$C$9),OR(Recherche!$C$10="",G2074&amp;""=Recherche!$C$10&amp;""),OR(Recherche!$C$11="",E2074=Recherche!$C$11),OR(Recherche!$C$12="",ISNUMBER(SEARCH(Recherche!$C$12,M2074&amp;" "&amp;F2074)))),1,0)</f>
        <v>8</v>
      </c>
    </row>
    <row r="2075" customFormat="false" ht="15" hidden="false" customHeight="false" outlineLevel="0" collapsed="false">
      <c r="A2075" s="19"/>
      <c r="B2075" s="19"/>
      <c r="C2075" s="19"/>
      <c r="D2075" s="19"/>
      <c r="E2075" s="22"/>
      <c r="F2075" s="19"/>
      <c r="G2075" s="26" t="str">
        <f aca="false">IF(D2075="","",IFERROR(VALUE(LEFT(D2075,FIND(" |",D2075&amp;" |")-1)),"?"))</f>
        <v/>
      </c>
      <c r="H2075" s="27" t="str">
        <f aca="false">IF(G2075="","",IF(G2075="?","⚠ pub inconnue",IFERROR(INDEX(Pubs!$B$2:$B$3001,MATCH(G2075,Pubs!$A$2:$A$3001,0))&amp;"","⚠ pub inconnue")))</f>
        <v/>
      </c>
      <c r="I2075" s="27" t="str">
        <f aca="false">IF(OR(G2075="",G2075="?"),"",IFERROR(INDEX(Pubs!$C$2:$C$3001,MATCH(G2075,Pubs!$A$2:$A$3001,0))&amp;"",""))</f>
        <v/>
      </c>
      <c r="J2075" s="27" t="str">
        <f aca="false">IF(OR(G2075="",G2075="?"),"",IFERROR(INDEX(Pubs!$G$2:$G$3001,MATCH(G2075,Pubs!$A$2:$A$3001,0))&amp;"",""))</f>
        <v/>
      </c>
      <c r="K2075" s="28" t="str">
        <f aca="false">IF(OR(G2075="",G2075="?"),"",IFERROR(INDEX(Pubs!$E$2:$E$3001,MATCH(G2075,Pubs!$A$2:$A$3001,0)),""))</f>
        <v/>
      </c>
      <c r="L2075" s="29" t="str">
        <f aca="false">IF(A2075="","",IFERROR(1/(1/INDEX(Numéros!$C$2:$C$3001,MATCH(A2075&amp;"|"&amp;B2075,Numéros!$F$2:$F$3001,0))),""))</f>
        <v/>
      </c>
      <c r="M2075" s="27" t="str">
        <f aca="false">IF(OR(G2075="",G2075="?"),"",IFERROR(INDEX(Pubs!$D$2:$D$3001,MATCH(G2075,Pubs!$A$2:$A$3001,0))&amp;"",""))</f>
        <v/>
      </c>
      <c r="N2075" s="27" t="n">
        <f aca="false">N(N2074)+IF(AND(A2075&lt;&gt;"",OR(Recherche!$C$4="",A2075=Recherche!$C$4),OR(Recherche!$C$5="",B2075&amp;""=Recherche!$C$5&amp;""),OR(Recherche!$C$6="",IFERROR(YEAR(L2075),0)=Recherche!$C$6),OR(Recherche!$C$7="",ISNUMBER(SEARCH(Recherche!$C$7,H2075))),OR(Recherche!$C$8="",J2075=Recherche!$C$8),OR(Recherche!$C$9="",I2075=Recherche!$C$9),OR(Recherche!$C$10="",G2075&amp;""=Recherche!$C$10&amp;""),OR(Recherche!$C$11="",E2075=Recherche!$C$11),OR(Recherche!$C$12="",ISNUMBER(SEARCH(Recherche!$C$12,M2075&amp;" "&amp;F2075)))),1,0)</f>
        <v>8</v>
      </c>
    </row>
    <row r="2076" customFormat="false" ht="15" hidden="false" customHeight="false" outlineLevel="0" collapsed="false">
      <c r="A2076" s="19"/>
      <c r="B2076" s="19"/>
      <c r="C2076" s="19"/>
      <c r="D2076" s="19"/>
      <c r="E2076" s="22"/>
      <c r="F2076" s="19"/>
      <c r="G2076" s="26" t="str">
        <f aca="false">IF(D2076="","",IFERROR(VALUE(LEFT(D2076,FIND(" |",D2076&amp;" |")-1)),"?"))</f>
        <v/>
      </c>
      <c r="H2076" s="27" t="str">
        <f aca="false">IF(G2076="","",IF(G2076="?","⚠ pub inconnue",IFERROR(INDEX(Pubs!$B$2:$B$3001,MATCH(G2076,Pubs!$A$2:$A$3001,0))&amp;"","⚠ pub inconnue")))</f>
        <v/>
      </c>
      <c r="I2076" s="27" t="str">
        <f aca="false">IF(OR(G2076="",G2076="?"),"",IFERROR(INDEX(Pubs!$C$2:$C$3001,MATCH(G2076,Pubs!$A$2:$A$3001,0))&amp;"",""))</f>
        <v/>
      </c>
      <c r="J2076" s="27" t="str">
        <f aca="false">IF(OR(G2076="",G2076="?"),"",IFERROR(INDEX(Pubs!$G$2:$G$3001,MATCH(G2076,Pubs!$A$2:$A$3001,0))&amp;"",""))</f>
        <v/>
      </c>
      <c r="K2076" s="28" t="str">
        <f aca="false">IF(OR(G2076="",G2076="?"),"",IFERROR(INDEX(Pubs!$E$2:$E$3001,MATCH(G2076,Pubs!$A$2:$A$3001,0)),""))</f>
        <v/>
      </c>
      <c r="L2076" s="29" t="str">
        <f aca="false">IF(A2076="","",IFERROR(1/(1/INDEX(Numéros!$C$2:$C$3001,MATCH(A2076&amp;"|"&amp;B2076,Numéros!$F$2:$F$3001,0))),""))</f>
        <v/>
      </c>
      <c r="M2076" s="27" t="str">
        <f aca="false">IF(OR(G2076="",G2076="?"),"",IFERROR(INDEX(Pubs!$D$2:$D$3001,MATCH(G2076,Pubs!$A$2:$A$3001,0))&amp;"",""))</f>
        <v/>
      </c>
      <c r="N2076" s="27" t="n">
        <f aca="false">N(N2075)+IF(AND(A2076&lt;&gt;"",OR(Recherche!$C$4="",A2076=Recherche!$C$4),OR(Recherche!$C$5="",B2076&amp;""=Recherche!$C$5&amp;""),OR(Recherche!$C$6="",IFERROR(YEAR(L2076),0)=Recherche!$C$6),OR(Recherche!$C$7="",ISNUMBER(SEARCH(Recherche!$C$7,H2076))),OR(Recherche!$C$8="",J2076=Recherche!$C$8),OR(Recherche!$C$9="",I2076=Recherche!$C$9),OR(Recherche!$C$10="",G2076&amp;""=Recherche!$C$10&amp;""),OR(Recherche!$C$11="",E2076=Recherche!$C$11),OR(Recherche!$C$12="",ISNUMBER(SEARCH(Recherche!$C$12,M2076&amp;" "&amp;F2076)))),1,0)</f>
        <v>8</v>
      </c>
    </row>
    <row r="2077" customFormat="false" ht="15" hidden="false" customHeight="false" outlineLevel="0" collapsed="false">
      <c r="A2077" s="19"/>
      <c r="B2077" s="19"/>
      <c r="C2077" s="19"/>
      <c r="D2077" s="19"/>
      <c r="E2077" s="22"/>
      <c r="F2077" s="19"/>
      <c r="G2077" s="26" t="str">
        <f aca="false">IF(D2077="","",IFERROR(VALUE(LEFT(D2077,FIND(" |",D2077&amp;" |")-1)),"?"))</f>
        <v/>
      </c>
      <c r="H2077" s="27" t="str">
        <f aca="false">IF(G2077="","",IF(G2077="?","⚠ pub inconnue",IFERROR(INDEX(Pubs!$B$2:$B$3001,MATCH(G2077,Pubs!$A$2:$A$3001,0))&amp;"","⚠ pub inconnue")))</f>
        <v/>
      </c>
      <c r="I2077" s="27" t="str">
        <f aca="false">IF(OR(G2077="",G2077="?"),"",IFERROR(INDEX(Pubs!$C$2:$C$3001,MATCH(G2077,Pubs!$A$2:$A$3001,0))&amp;"",""))</f>
        <v/>
      </c>
      <c r="J2077" s="27" t="str">
        <f aca="false">IF(OR(G2077="",G2077="?"),"",IFERROR(INDEX(Pubs!$G$2:$G$3001,MATCH(G2077,Pubs!$A$2:$A$3001,0))&amp;"",""))</f>
        <v/>
      </c>
      <c r="K2077" s="28" t="str">
        <f aca="false">IF(OR(G2077="",G2077="?"),"",IFERROR(INDEX(Pubs!$E$2:$E$3001,MATCH(G2077,Pubs!$A$2:$A$3001,0)),""))</f>
        <v/>
      </c>
      <c r="L2077" s="29" t="str">
        <f aca="false">IF(A2077="","",IFERROR(1/(1/INDEX(Numéros!$C$2:$C$3001,MATCH(A2077&amp;"|"&amp;B2077,Numéros!$F$2:$F$3001,0))),""))</f>
        <v/>
      </c>
      <c r="M2077" s="27" t="str">
        <f aca="false">IF(OR(G2077="",G2077="?"),"",IFERROR(INDEX(Pubs!$D$2:$D$3001,MATCH(G2077,Pubs!$A$2:$A$3001,0))&amp;"",""))</f>
        <v/>
      </c>
      <c r="N2077" s="27" t="n">
        <f aca="false">N(N2076)+IF(AND(A2077&lt;&gt;"",OR(Recherche!$C$4="",A2077=Recherche!$C$4),OR(Recherche!$C$5="",B2077&amp;""=Recherche!$C$5&amp;""),OR(Recherche!$C$6="",IFERROR(YEAR(L2077),0)=Recherche!$C$6),OR(Recherche!$C$7="",ISNUMBER(SEARCH(Recherche!$C$7,H2077))),OR(Recherche!$C$8="",J2077=Recherche!$C$8),OR(Recherche!$C$9="",I2077=Recherche!$C$9),OR(Recherche!$C$10="",G2077&amp;""=Recherche!$C$10&amp;""),OR(Recherche!$C$11="",E2077=Recherche!$C$11),OR(Recherche!$C$12="",ISNUMBER(SEARCH(Recherche!$C$12,M2077&amp;" "&amp;F2077)))),1,0)</f>
        <v>8</v>
      </c>
    </row>
    <row r="2078" customFormat="false" ht="15" hidden="false" customHeight="false" outlineLevel="0" collapsed="false">
      <c r="A2078" s="19"/>
      <c r="B2078" s="19"/>
      <c r="C2078" s="19"/>
      <c r="D2078" s="19"/>
      <c r="E2078" s="22"/>
      <c r="F2078" s="19"/>
      <c r="G2078" s="26" t="str">
        <f aca="false">IF(D2078="","",IFERROR(VALUE(LEFT(D2078,FIND(" |",D2078&amp;" |")-1)),"?"))</f>
        <v/>
      </c>
      <c r="H2078" s="27" t="str">
        <f aca="false">IF(G2078="","",IF(G2078="?","⚠ pub inconnue",IFERROR(INDEX(Pubs!$B$2:$B$3001,MATCH(G2078,Pubs!$A$2:$A$3001,0))&amp;"","⚠ pub inconnue")))</f>
        <v/>
      </c>
      <c r="I2078" s="27" t="str">
        <f aca="false">IF(OR(G2078="",G2078="?"),"",IFERROR(INDEX(Pubs!$C$2:$C$3001,MATCH(G2078,Pubs!$A$2:$A$3001,0))&amp;"",""))</f>
        <v/>
      </c>
      <c r="J2078" s="27" t="str">
        <f aca="false">IF(OR(G2078="",G2078="?"),"",IFERROR(INDEX(Pubs!$G$2:$G$3001,MATCH(G2078,Pubs!$A$2:$A$3001,0))&amp;"",""))</f>
        <v/>
      </c>
      <c r="K2078" s="28" t="str">
        <f aca="false">IF(OR(G2078="",G2078="?"),"",IFERROR(INDEX(Pubs!$E$2:$E$3001,MATCH(G2078,Pubs!$A$2:$A$3001,0)),""))</f>
        <v/>
      </c>
      <c r="L2078" s="29" t="str">
        <f aca="false">IF(A2078="","",IFERROR(1/(1/INDEX(Numéros!$C$2:$C$3001,MATCH(A2078&amp;"|"&amp;B2078,Numéros!$F$2:$F$3001,0))),""))</f>
        <v/>
      </c>
      <c r="M2078" s="27" t="str">
        <f aca="false">IF(OR(G2078="",G2078="?"),"",IFERROR(INDEX(Pubs!$D$2:$D$3001,MATCH(G2078,Pubs!$A$2:$A$3001,0))&amp;"",""))</f>
        <v/>
      </c>
      <c r="N2078" s="27" t="n">
        <f aca="false">N(N2077)+IF(AND(A2078&lt;&gt;"",OR(Recherche!$C$4="",A2078=Recherche!$C$4),OR(Recherche!$C$5="",B2078&amp;""=Recherche!$C$5&amp;""),OR(Recherche!$C$6="",IFERROR(YEAR(L2078),0)=Recherche!$C$6),OR(Recherche!$C$7="",ISNUMBER(SEARCH(Recherche!$C$7,H2078))),OR(Recherche!$C$8="",J2078=Recherche!$C$8),OR(Recherche!$C$9="",I2078=Recherche!$C$9),OR(Recherche!$C$10="",G2078&amp;""=Recherche!$C$10&amp;""),OR(Recherche!$C$11="",E2078=Recherche!$C$11),OR(Recherche!$C$12="",ISNUMBER(SEARCH(Recherche!$C$12,M2078&amp;" "&amp;F2078)))),1,0)</f>
        <v>8</v>
      </c>
    </row>
    <row r="2079" customFormat="false" ht="15" hidden="false" customHeight="false" outlineLevel="0" collapsed="false">
      <c r="A2079" s="19"/>
      <c r="B2079" s="19"/>
      <c r="C2079" s="19"/>
      <c r="D2079" s="19"/>
      <c r="E2079" s="22"/>
      <c r="F2079" s="19"/>
      <c r="G2079" s="26" t="str">
        <f aca="false">IF(D2079="","",IFERROR(VALUE(LEFT(D2079,FIND(" |",D2079&amp;" |")-1)),"?"))</f>
        <v/>
      </c>
      <c r="H2079" s="27" t="str">
        <f aca="false">IF(G2079="","",IF(G2079="?","⚠ pub inconnue",IFERROR(INDEX(Pubs!$B$2:$B$3001,MATCH(G2079,Pubs!$A$2:$A$3001,0))&amp;"","⚠ pub inconnue")))</f>
        <v/>
      </c>
      <c r="I2079" s="27" t="str">
        <f aca="false">IF(OR(G2079="",G2079="?"),"",IFERROR(INDEX(Pubs!$C$2:$C$3001,MATCH(G2079,Pubs!$A$2:$A$3001,0))&amp;"",""))</f>
        <v/>
      </c>
      <c r="J2079" s="27" t="str">
        <f aca="false">IF(OR(G2079="",G2079="?"),"",IFERROR(INDEX(Pubs!$G$2:$G$3001,MATCH(G2079,Pubs!$A$2:$A$3001,0))&amp;"",""))</f>
        <v/>
      </c>
      <c r="K2079" s="28" t="str">
        <f aca="false">IF(OR(G2079="",G2079="?"),"",IFERROR(INDEX(Pubs!$E$2:$E$3001,MATCH(G2079,Pubs!$A$2:$A$3001,0)),""))</f>
        <v/>
      </c>
      <c r="L2079" s="29" t="str">
        <f aca="false">IF(A2079="","",IFERROR(1/(1/INDEX(Numéros!$C$2:$C$3001,MATCH(A2079&amp;"|"&amp;B2079,Numéros!$F$2:$F$3001,0))),""))</f>
        <v/>
      </c>
      <c r="M2079" s="27" t="str">
        <f aca="false">IF(OR(G2079="",G2079="?"),"",IFERROR(INDEX(Pubs!$D$2:$D$3001,MATCH(G2079,Pubs!$A$2:$A$3001,0))&amp;"",""))</f>
        <v/>
      </c>
      <c r="N2079" s="27" t="n">
        <f aca="false">N(N2078)+IF(AND(A2079&lt;&gt;"",OR(Recherche!$C$4="",A2079=Recherche!$C$4),OR(Recherche!$C$5="",B2079&amp;""=Recherche!$C$5&amp;""),OR(Recherche!$C$6="",IFERROR(YEAR(L2079),0)=Recherche!$C$6),OR(Recherche!$C$7="",ISNUMBER(SEARCH(Recherche!$C$7,H2079))),OR(Recherche!$C$8="",J2079=Recherche!$C$8),OR(Recherche!$C$9="",I2079=Recherche!$C$9),OR(Recherche!$C$10="",G2079&amp;""=Recherche!$C$10&amp;""),OR(Recherche!$C$11="",E2079=Recherche!$C$11),OR(Recherche!$C$12="",ISNUMBER(SEARCH(Recherche!$C$12,M2079&amp;" "&amp;F2079)))),1,0)</f>
        <v>8</v>
      </c>
    </row>
    <row r="2080" customFormat="false" ht="15" hidden="false" customHeight="false" outlineLevel="0" collapsed="false">
      <c r="A2080" s="19"/>
      <c r="B2080" s="19"/>
      <c r="C2080" s="19"/>
      <c r="D2080" s="19"/>
      <c r="E2080" s="22"/>
      <c r="F2080" s="19"/>
      <c r="G2080" s="26" t="str">
        <f aca="false">IF(D2080="","",IFERROR(VALUE(LEFT(D2080,FIND(" |",D2080&amp;" |")-1)),"?"))</f>
        <v/>
      </c>
      <c r="H2080" s="27" t="str">
        <f aca="false">IF(G2080="","",IF(G2080="?","⚠ pub inconnue",IFERROR(INDEX(Pubs!$B$2:$B$3001,MATCH(G2080,Pubs!$A$2:$A$3001,0))&amp;"","⚠ pub inconnue")))</f>
        <v/>
      </c>
      <c r="I2080" s="27" t="str">
        <f aca="false">IF(OR(G2080="",G2080="?"),"",IFERROR(INDEX(Pubs!$C$2:$C$3001,MATCH(G2080,Pubs!$A$2:$A$3001,0))&amp;"",""))</f>
        <v/>
      </c>
      <c r="J2080" s="27" t="str">
        <f aca="false">IF(OR(G2080="",G2080="?"),"",IFERROR(INDEX(Pubs!$G$2:$G$3001,MATCH(G2080,Pubs!$A$2:$A$3001,0))&amp;"",""))</f>
        <v/>
      </c>
      <c r="K2080" s="28" t="str">
        <f aca="false">IF(OR(G2080="",G2080="?"),"",IFERROR(INDEX(Pubs!$E$2:$E$3001,MATCH(G2080,Pubs!$A$2:$A$3001,0)),""))</f>
        <v/>
      </c>
      <c r="L2080" s="29" t="str">
        <f aca="false">IF(A2080="","",IFERROR(1/(1/INDEX(Numéros!$C$2:$C$3001,MATCH(A2080&amp;"|"&amp;B2080,Numéros!$F$2:$F$3001,0))),""))</f>
        <v/>
      </c>
      <c r="M2080" s="27" t="str">
        <f aca="false">IF(OR(G2080="",G2080="?"),"",IFERROR(INDEX(Pubs!$D$2:$D$3001,MATCH(G2080,Pubs!$A$2:$A$3001,0))&amp;"",""))</f>
        <v/>
      </c>
      <c r="N2080" s="27" t="n">
        <f aca="false">N(N2079)+IF(AND(A2080&lt;&gt;"",OR(Recherche!$C$4="",A2080=Recherche!$C$4),OR(Recherche!$C$5="",B2080&amp;""=Recherche!$C$5&amp;""),OR(Recherche!$C$6="",IFERROR(YEAR(L2080),0)=Recherche!$C$6),OR(Recherche!$C$7="",ISNUMBER(SEARCH(Recherche!$C$7,H2080))),OR(Recherche!$C$8="",J2080=Recherche!$C$8),OR(Recherche!$C$9="",I2080=Recherche!$C$9),OR(Recherche!$C$10="",G2080&amp;""=Recherche!$C$10&amp;""),OR(Recherche!$C$11="",E2080=Recherche!$C$11),OR(Recherche!$C$12="",ISNUMBER(SEARCH(Recherche!$C$12,M2080&amp;" "&amp;F2080)))),1,0)</f>
        <v>8</v>
      </c>
    </row>
    <row r="2081" customFormat="false" ht="15" hidden="false" customHeight="false" outlineLevel="0" collapsed="false">
      <c r="A2081" s="19"/>
      <c r="B2081" s="19"/>
      <c r="C2081" s="19"/>
      <c r="D2081" s="19"/>
      <c r="E2081" s="22"/>
      <c r="F2081" s="19"/>
      <c r="G2081" s="26" t="str">
        <f aca="false">IF(D2081="","",IFERROR(VALUE(LEFT(D2081,FIND(" |",D2081&amp;" |")-1)),"?"))</f>
        <v/>
      </c>
      <c r="H2081" s="27" t="str">
        <f aca="false">IF(G2081="","",IF(G2081="?","⚠ pub inconnue",IFERROR(INDEX(Pubs!$B$2:$B$3001,MATCH(G2081,Pubs!$A$2:$A$3001,0))&amp;"","⚠ pub inconnue")))</f>
        <v/>
      </c>
      <c r="I2081" s="27" t="str">
        <f aca="false">IF(OR(G2081="",G2081="?"),"",IFERROR(INDEX(Pubs!$C$2:$C$3001,MATCH(G2081,Pubs!$A$2:$A$3001,0))&amp;"",""))</f>
        <v/>
      </c>
      <c r="J2081" s="27" t="str">
        <f aca="false">IF(OR(G2081="",G2081="?"),"",IFERROR(INDEX(Pubs!$G$2:$G$3001,MATCH(G2081,Pubs!$A$2:$A$3001,0))&amp;"",""))</f>
        <v/>
      </c>
      <c r="K2081" s="28" t="str">
        <f aca="false">IF(OR(G2081="",G2081="?"),"",IFERROR(INDEX(Pubs!$E$2:$E$3001,MATCH(G2081,Pubs!$A$2:$A$3001,0)),""))</f>
        <v/>
      </c>
      <c r="L2081" s="29" t="str">
        <f aca="false">IF(A2081="","",IFERROR(1/(1/INDEX(Numéros!$C$2:$C$3001,MATCH(A2081&amp;"|"&amp;B2081,Numéros!$F$2:$F$3001,0))),""))</f>
        <v/>
      </c>
      <c r="M2081" s="27" t="str">
        <f aca="false">IF(OR(G2081="",G2081="?"),"",IFERROR(INDEX(Pubs!$D$2:$D$3001,MATCH(G2081,Pubs!$A$2:$A$3001,0))&amp;"",""))</f>
        <v/>
      </c>
      <c r="N2081" s="27" t="n">
        <f aca="false">N(N2080)+IF(AND(A2081&lt;&gt;"",OR(Recherche!$C$4="",A2081=Recherche!$C$4),OR(Recherche!$C$5="",B2081&amp;""=Recherche!$C$5&amp;""),OR(Recherche!$C$6="",IFERROR(YEAR(L2081),0)=Recherche!$C$6),OR(Recherche!$C$7="",ISNUMBER(SEARCH(Recherche!$C$7,H2081))),OR(Recherche!$C$8="",J2081=Recherche!$C$8),OR(Recherche!$C$9="",I2081=Recherche!$C$9),OR(Recherche!$C$10="",G2081&amp;""=Recherche!$C$10&amp;""),OR(Recherche!$C$11="",E2081=Recherche!$C$11),OR(Recherche!$C$12="",ISNUMBER(SEARCH(Recherche!$C$12,M2081&amp;" "&amp;F2081)))),1,0)</f>
        <v>8</v>
      </c>
    </row>
    <row r="2082" customFormat="false" ht="15" hidden="false" customHeight="false" outlineLevel="0" collapsed="false">
      <c r="A2082" s="19"/>
      <c r="B2082" s="19"/>
      <c r="C2082" s="19"/>
      <c r="D2082" s="19"/>
      <c r="E2082" s="22"/>
      <c r="F2082" s="19"/>
      <c r="G2082" s="26" t="str">
        <f aca="false">IF(D2082="","",IFERROR(VALUE(LEFT(D2082,FIND(" |",D2082&amp;" |")-1)),"?"))</f>
        <v/>
      </c>
      <c r="H2082" s="27" t="str">
        <f aca="false">IF(G2082="","",IF(G2082="?","⚠ pub inconnue",IFERROR(INDEX(Pubs!$B$2:$B$3001,MATCH(G2082,Pubs!$A$2:$A$3001,0))&amp;"","⚠ pub inconnue")))</f>
        <v/>
      </c>
      <c r="I2082" s="27" t="str">
        <f aca="false">IF(OR(G2082="",G2082="?"),"",IFERROR(INDEX(Pubs!$C$2:$C$3001,MATCH(G2082,Pubs!$A$2:$A$3001,0))&amp;"",""))</f>
        <v/>
      </c>
      <c r="J2082" s="27" t="str">
        <f aca="false">IF(OR(G2082="",G2082="?"),"",IFERROR(INDEX(Pubs!$G$2:$G$3001,MATCH(G2082,Pubs!$A$2:$A$3001,0))&amp;"",""))</f>
        <v/>
      </c>
      <c r="K2082" s="28" t="str">
        <f aca="false">IF(OR(G2082="",G2082="?"),"",IFERROR(INDEX(Pubs!$E$2:$E$3001,MATCH(G2082,Pubs!$A$2:$A$3001,0)),""))</f>
        <v/>
      </c>
      <c r="L2082" s="29" t="str">
        <f aca="false">IF(A2082="","",IFERROR(1/(1/INDEX(Numéros!$C$2:$C$3001,MATCH(A2082&amp;"|"&amp;B2082,Numéros!$F$2:$F$3001,0))),""))</f>
        <v/>
      </c>
      <c r="M2082" s="27" t="str">
        <f aca="false">IF(OR(G2082="",G2082="?"),"",IFERROR(INDEX(Pubs!$D$2:$D$3001,MATCH(G2082,Pubs!$A$2:$A$3001,0))&amp;"",""))</f>
        <v/>
      </c>
      <c r="N2082" s="27" t="n">
        <f aca="false">N(N2081)+IF(AND(A2082&lt;&gt;"",OR(Recherche!$C$4="",A2082=Recherche!$C$4),OR(Recherche!$C$5="",B2082&amp;""=Recherche!$C$5&amp;""),OR(Recherche!$C$6="",IFERROR(YEAR(L2082),0)=Recherche!$C$6),OR(Recherche!$C$7="",ISNUMBER(SEARCH(Recherche!$C$7,H2082))),OR(Recherche!$C$8="",J2082=Recherche!$C$8),OR(Recherche!$C$9="",I2082=Recherche!$C$9),OR(Recherche!$C$10="",G2082&amp;""=Recherche!$C$10&amp;""),OR(Recherche!$C$11="",E2082=Recherche!$C$11),OR(Recherche!$C$12="",ISNUMBER(SEARCH(Recherche!$C$12,M2082&amp;" "&amp;F2082)))),1,0)</f>
        <v>8</v>
      </c>
    </row>
    <row r="2083" customFormat="false" ht="15" hidden="false" customHeight="false" outlineLevel="0" collapsed="false">
      <c r="A2083" s="19"/>
      <c r="B2083" s="19"/>
      <c r="C2083" s="19"/>
      <c r="D2083" s="19"/>
      <c r="E2083" s="22"/>
      <c r="F2083" s="19"/>
      <c r="G2083" s="26" t="str">
        <f aca="false">IF(D2083="","",IFERROR(VALUE(LEFT(D2083,FIND(" |",D2083&amp;" |")-1)),"?"))</f>
        <v/>
      </c>
      <c r="H2083" s="27" t="str">
        <f aca="false">IF(G2083="","",IF(G2083="?","⚠ pub inconnue",IFERROR(INDEX(Pubs!$B$2:$B$3001,MATCH(G2083,Pubs!$A$2:$A$3001,0))&amp;"","⚠ pub inconnue")))</f>
        <v/>
      </c>
      <c r="I2083" s="27" t="str">
        <f aca="false">IF(OR(G2083="",G2083="?"),"",IFERROR(INDEX(Pubs!$C$2:$C$3001,MATCH(G2083,Pubs!$A$2:$A$3001,0))&amp;"",""))</f>
        <v/>
      </c>
      <c r="J2083" s="27" t="str">
        <f aca="false">IF(OR(G2083="",G2083="?"),"",IFERROR(INDEX(Pubs!$G$2:$G$3001,MATCH(G2083,Pubs!$A$2:$A$3001,0))&amp;"",""))</f>
        <v/>
      </c>
      <c r="K2083" s="28" t="str">
        <f aca="false">IF(OR(G2083="",G2083="?"),"",IFERROR(INDEX(Pubs!$E$2:$E$3001,MATCH(G2083,Pubs!$A$2:$A$3001,0)),""))</f>
        <v/>
      </c>
      <c r="L2083" s="29" t="str">
        <f aca="false">IF(A2083="","",IFERROR(1/(1/INDEX(Numéros!$C$2:$C$3001,MATCH(A2083&amp;"|"&amp;B2083,Numéros!$F$2:$F$3001,0))),""))</f>
        <v/>
      </c>
      <c r="M2083" s="27" t="str">
        <f aca="false">IF(OR(G2083="",G2083="?"),"",IFERROR(INDEX(Pubs!$D$2:$D$3001,MATCH(G2083,Pubs!$A$2:$A$3001,0))&amp;"",""))</f>
        <v/>
      </c>
      <c r="N2083" s="27" t="n">
        <f aca="false">N(N2082)+IF(AND(A2083&lt;&gt;"",OR(Recherche!$C$4="",A2083=Recherche!$C$4),OR(Recherche!$C$5="",B2083&amp;""=Recherche!$C$5&amp;""),OR(Recherche!$C$6="",IFERROR(YEAR(L2083),0)=Recherche!$C$6),OR(Recherche!$C$7="",ISNUMBER(SEARCH(Recherche!$C$7,H2083))),OR(Recherche!$C$8="",J2083=Recherche!$C$8),OR(Recherche!$C$9="",I2083=Recherche!$C$9),OR(Recherche!$C$10="",G2083&amp;""=Recherche!$C$10&amp;""),OR(Recherche!$C$11="",E2083=Recherche!$C$11),OR(Recherche!$C$12="",ISNUMBER(SEARCH(Recherche!$C$12,M2083&amp;" "&amp;F2083)))),1,0)</f>
        <v>8</v>
      </c>
    </row>
    <row r="2084" customFormat="false" ht="15" hidden="false" customHeight="false" outlineLevel="0" collapsed="false">
      <c r="A2084" s="19"/>
      <c r="B2084" s="19"/>
      <c r="C2084" s="19"/>
      <c r="D2084" s="19"/>
      <c r="E2084" s="22"/>
      <c r="F2084" s="19"/>
      <c r="G2084" s="26" t="str">
        <f aca="false">IF(D2084="","",IFERROR(VALUE(LEFT(D2084,FIND(" |",D2084&amp;" |")-1)),"?"))</f>
        <v/>
      </c>
      <c r="H2084" s="27" t="str">
        <f aca="false">IF(G2084="","",IF(G2084="?","⚠ pub inconnue",IFERROR(INDEX(Pubs!$B$2:$B$3001,MATCH(G2084,Pubs!$A$2:$A$3001,0))&amp;"","⚠ pub inconnue")))</f>
        <v/>
      </c>
      <c r="I2084" s="27" t="str">
        <f aca="false">IF(OR(G2084="",G2084="?"),"",IFERROR(INDEX(Pubs!$C$2:$C$3001,MATCH(G2084,Pubs!$A$2:$A$3001,0))&amp;"",""))</f>
        <v/>
      </c>
      <c r="J2084" s="27" t="str">
        <f aca="false">IF(OR(G2084="",G2084="?"),"",IFERROR(INDEX(Pubs!$G$2:$G$3001,MATCH(G2084,Pubs!$A$2:$A$3001,0))&amp;"",""))</f>
        <v/>
      </c>
      <c r="K2084" s="28" t="str">
        <f aca="false">IF(OR(G2084="",G2084="?"),"",IFERROR(INDEX(Pubs!$E$2:$E$3001,MATCH(G2084,Pubs!$A$2:$A$3001,0)),""))</f>
        <v/>
      </c>
      <c r="L2084" s="29" t="str">
        <f aca="false">IF(A2084="","",IFERROR(1/(1/INDEX(Numéros!$C$2:$C$3001,MATCH(A2084&amp;"|"&amp;B2084,Numéros!$F$2:$F$3001,0))),""))</f>
        <v/>
      </c>
      <c r="M2084" s="27" t="str">
        <f aca="false">IF(OR(G2084="",G2084="?"),"",IFERROR(INDEX(Pubs!$D$2:$D$3001,MATCH(G2084,Pubs!$A$2:$A$3001,0))&amp;"",""))</f>
        <v/>
      </c>
      <c r="N2084" s="27" t="n">
        <f aca="false">N(N2083)+IF(AND(A2084&lt;&gt;"",OR(Recherche!$C$4="",A2084=Recherche!$C$4),OR(Recherche!$C$5="",B2084&amp;""=Recherche!$C$5&amp;""),OR(Recherche!$C$6="",IFERROR(YEAR(L2084),0)=Recherche!$C$6),OR(Recherche!$C$7="",ISNUMBER(SEARCH(Recherche!$C$7,H2084))),OR(Recherche!$C$8="",J2084=Recherche!$C$8),OR(Recherche!$C$9="",I2084=Recherche!$C$9),OR(Recherche!$C$10="",G2084&amp;""=Recherche!$C$10&amp;""),OR(Recherche!$C$11="",E2084=Recherche!$C$11),OR(Recherche!$C$12="",ISNUMBER(SEARCH(Recherche!$C$12,M2084&amp;" "&amp;F2084)))),1,0)</f>
        <v>8</v>
      </c>
    </row>
    <row r="2085" customFormat="false" ht="15" hidden="false" customHeight="false" outlineLevel="0" collapsed="false">
      <c r="A2085" s="19"/>
      <c r="B2085" s="19"/>
      <c r="C2085" s="19"/>
      <c r="D2085" s="19"/>
      <c r="E2085" s="22"/>
      <c r="F2085" s="19"/>
      <c r="G2085" s="26" t="str">
        <f aca="false">IF(D2085="","",IFERROR(VALUE(LEFT(D2085,FIND(" |",D2085&amp;" |")-1)),"?"))</f>
        <v/>
      </c>
      <c r="H2085" s="27" t="str">
        <f aca="false">IF(G2085="","",IF(G2085="?","⚠ pub inconnue",IFERROR(INDEX(Pubs!$B$2:$B$3001,MATCH(G2085,Pubs!$A$2:$A$3001,0))&amp;"","⚠ pub inconnue")))</f>
        <v/>
      </c>
      <c r="I2085" s="27" t="str">
        <f aca="false">IF(OR(G2085="",G2085="?"),"",IFERROR(INDEX(Pubs!$C$2:$C$3001,MATCH(G2085,Pubs!$A$2:$A$3001,0))&amp;"",""))</f>
        <v/>
      </c>
      <c r="J2085" s="27" t="str">
        <f aca="false">IF(OR(G2085="",G2085="?"),"",IFERROR(INDEX(Pubs!$G$2:$G$3001,MATCH(G2085,Pubs!$A$2:$A$3001,0))&amp;"",""))</f>
        <v/>
      </c>
      <c r="K2085" s="28" t="str">
        <f aca="false">IF(OR(G2085="",G2085="?"),"",IFERROR(INDEX(Pubs!$E$2:$E$3001,MATCH(G2085,Pubs!$A$2:$A$3001,0)),""))</f>
        <v/>
      </c>
      <c r="L2085" s="29" t="str">
        <f aca="false">IF(A2085="","",IFERROR(1/(1/INDEX(Numéros!$C$2:$C$3001,MATCH(A2085&amp;"|"&amp;B2085,Numéros!$F$2:$F$3001,0))),""))</f>
        <v/>
      </c>
      <c r="M2085" s="27" t="str">
        <f aca="false">IF(OR(G2085="",G2085="?"),"",IFERROR(INDEX(Pubs!$D$2:$D$3001,MATCH(G2085,Pubs!$A$2:$A$3001,0))&amp;"",""))</f>
        <v/>
      </c>
      <c r="N2085" s="27" t="n">
        <f aca="false">N(N2084)+IF(AND(A2085&lt;&gt;"",OR(Recherche!$C$4="",A2085=Recherche!$C$4),OR(Recherche!$C$5="",B2085&amp;""=Recherche!$C$5&amp;""),OR(Recherche!$C$6="",IFERROR(YEAR(L2085),0)=Recherche!$C$6),OR(Recherche!$C$7="",ISNUMBER(SEARCH(Recherche!$C$7,H2085))),OR(Recherche!$C$8="",J2085=Recherche!$C$8),OR(Recherche!$C$9="",I2085=Recherche!$C$9),OR(Recherche!$C$10="",G2085&amp;""=Recherche!$C$10&amp;""),OR(Recherche!$C$11="",E2085=Recherche!$C$11),OR(Recherche!$C$12="",ISNUMBER(SEARCH(Recherche!$C$12,M2085&amp;" "&amp;F2085)))),1,0)</f>
        <v>8</v>
      </c>
    </row>
    <row r="2086" customFormat="false" ht="15" hidden="false" customHeight="false" outlineLevel="0" collapsed="false">
      <c r="A2086" s="19"/>
      <c r="B2086" s="19"/>
      <c r="C2086" s="19"/>
      <c r="D2086" s="19"/>
      <c r="E2086" s="22"/>
      <c r="F2086" s="19"/>
      <c r="G2086" s="26" t="str">
        <f aca="false">IF(D2086="","",IFERROR(VALUE(LEFT(D2086,FIND(" |",D2086&amp;" |")-1)),"?"))</f>
        <v/>
      </c>
      <c r="H2086" s="27" t="str">
        <f aca="false">IF(G2086="","",IF(G2086="?","⚠ pub inconnue",IFERROR(INDEX(Pubs!$B$2:$B$3001,MATCH(G2086,Pubs!$A$2:$A$3001,0))&amp;"","⚠ pub inconnue")))</f>
        <v/>
      </c>
      <c r="I2086" s="27" t="str">
        <f aca="false">IF(OR(G2086="",G2086="?"),"",IFERROR(INDEX(Pubs!$C$2:$C$3001,MATCH(G2086,Pubs!$A$2:$A$3001,0))&amp;"",""))</f>
        <v/>
      </c>
      <c r="J2086" s="27" t="str">
        <f aca="false">IF(OR(G2086="",G2086="?"),"",IFERROR(INDEX(Pubs!$G$2:$G$3001,MATCH(G2086,Pubs!$A$2:$A$3001,0))&amp;"",""))</f>
        <v/>
      </c>
      <c r="K2086" s="28" t="str">
        <f aca="false">IF(OR(G2086="",G2086="?"),"",IFERROR(INDEX(Pubs!$E$2:$E$3001,MATCH(G2086,Pubs!$A$2:$A$3001,0)),""))</f>
        <v/>
      </c>
      <c r="L2086" s="29" t="str">
        <f aca="false">IF(A2086="","",IFERROR(1/(1/INDEX(Numéros!$C$2:$C$3001,MATCH(A2086&amp;"|"&amp;B2086,Numéros!$F$2:$F$3001,0))),""))</f>
        <v/>
      </c>
      <c r="M2086" s="27" t="str">
        <f aca="false">IF(OR(G2086="",G2086="?"),"",IFERROR(INDEX(Pubs!$D$2:$D$3001,MATCH(G2086,Pubs!$A$2:$A$3001,0))&amp;"",""))</f>
        <v/>
      </c>
      <c r="N2086" s="27" t="n">
        <f aca="false">N(N2085)+IF(AND(A2086&lt;&gt;"",OR(Recherche!$C$4="",A2086=Recherche!$C$4),OR(Recherche!$C$5="",B2086&amp;""=Recherche!$C$5&amp;""),OR(Recherche!$C$6="",IFERROR(YEAR(L2086),0)=Recherche!$C$6),OR(Recherche!$C$7="",ISNUMBER(SEARCH(Recherche!$C$7,H2086))),OR(Recherche!$C$8="",J2086=Recherche!$C$8),OR(Recherche!$C$9="",I2086=Recherche!$C$9),OR(Recherche!$C$10="",G2086&amp;""=Recherche!$C$10&amp;""),OR(Recherche!$C$11="",E2086=Recherche!$C$11),OR(Recherche!$C$12="",ISNUMBER(SEARCH(Recherche!$C$12,M2086&amp;" "&amp;F2086)))),1,0)</f>
        <v>8</v>
      </c>
    </row>
    <row r="2087" customFormat="false" ht="15" hidden="false" customHeight="false" outlineLevel="0" collapsed="false">
      <c r="A2087" s="19"/>
      <c r="B2087" s="19"/>
      <c r="C2087" s="19"/>
      <c r="D2087" s="19"/>
      <c r="E2087" s="22"/>
      <c r="F2087" s="19"/>
      <c r="G2087" s="26" t="str">
        <f aca="false">IF(D2087="","",IFERROR(VALUE(LEFT(D2087,FIND(" |",D2087&amp;" |")-1)),"?"))</f>
        <v/>
      </c>
      <c r="H2087" s="27" t="str">
        <f aca="false">IF(G2087="","",IF(G2087="?","⚠ pub inconnue",IFERROR(INDEX(Pubs!$B$2:$B$3001,MATCH(G2087,Pubs!$A$2:$A$3001,0))&amp;"","⚠ pub inconnue")))</f>
        <v/>
      </c>
      <c r="I2087" s="27" t="str">
        <f aca="false">IF(OR(G2087="",G2087="?"),"",IFERROR(INDEX(Pubs!$C$2:$C$3001,MATCH(G2087,Pubs!$A$2:$A$3001,0))&amp;"",""))</f>
        <v/>
      </c>
      <c r="J2087" s="27" t="str">
        <f aca="false">IF(OR(G2087="",G2087="?"),"",IFERROR(INDEX(Pubs!$G$2:$G$3001,MATCH(G2087,Pubs!$A$2:$A$3001,0))&amp;"",""))</f>
        <v/>
      </c>
      <c r="K2087" s="28" t="str">
        <f aca="false">IF(OR(G2087="",G2087="?"),"",IFERROR(INDEX(Pubs!$E$2:$E$3001,MATCH(G2087,Pubs!$A$2:$A$3001,0)),""))</f>
        <v/>
      </c>
      <c r="L2087" s="29" t="str">
        <f aca="false">IF(A2087="","",IFERROR(1/(1/INDEX(Numéros!$C$2:$C$3001,MATCH(A2087&amp;"|"&amp;B2087,Numéros!$F$2:$F$3001,0))),""))</f>
        <v/>
      </c>
      <c r="M2087" s="27" t="str">
        <f aca="false">IF(OR(G2087="",G2087="?"),"",IFERROR(INDEX(Pubs!$D$2:$D$3001,MATCH(G2087,Pubs!$A$2:$A$3001,0))&amp;"",""))</f>
        <v/>
      </c>
      <c r="N2087" s="27" t="n">
        <f aca="false">N(N2086)+IF(AND(A2087&lt;&gt;"",OR(Recherche!$C$4="",A2087=Recherche!$C$4),OR(Recherche!$C$5="",B2087&amp;""=Recherche!$C$5&amp;""),OR(Recherche!$C$6="",IFERROR(YEAR(L2087),0)=Recherche!$C$6),OR(Recherche!$C$7="",ISNUMBER(SEARCH(Recherche!$C$7,H2087))),OR(Recherche!$C$8="",J2087=Recherche!$C$8),OR(Recherche!$C$9="",I2087=Recherche!$C$9),OR(Recherche!$C$10="",G2087&amp;""=Recherche!$C$10&amp;""),OR(Recherche!$C$11="",E2087=Recherche!$C$11),OR(Recherche!$C$12="",ISNUMBER(SEARCH(Recherche!$C$12,M2087&amp;" "&amp;F2087)))),1,0)</f>
        <v>8</v>
      </c>
    </row>
    <row r="2088" customFormat="false" ht="15" hidden="false" customHeight="false" outlineLevel="0" collapsed="false">
      <c r="A2088" s="19"/>
      <c r="B2088" s="19"/>
      <c r="C2088" s="19"/>
      <c r="D2088" s="19"/>
      <c r="E2088" s="22"/>
      <c r="F2088" s="19"/>
      <c r="G2088" s="26" t="str">
        <f aca="false">IF(D2088="","",IFERROR(VALUE(LEFT(D2088,FIND(" |",D2088&amp;" |")-1)),"?"))</f>
        <v/>
      </c>
      <c r="H2088" s="27" t="str">
        <f aca="false">IF(G2088="","",IF(G2088="?","⚠ pub inconnue",IFERROR(INDEX(Pubs!$B$2:$B$3001,MATCH(G2088,Pubs!$A$2:$A$3001,0))&amp;"","⚠ pub inconnue")))</f>
        <v/>
      </c>
      <c r="I2088" s="27" t="str">
        <f aca="false">IF(OR(G2088="",G2088="?"),"",IFERROR(INDEX(Pubs!$C$2:$C$3001,MATCH(G2088,Pubs!$A$2:$A$3001,0))&amp;"",""))</f>
        <v/>
      </c>
      <c r="J2088" s="27" t="str">
        <f aca="false">IF(OR(G2088="",G2088="?"),"",IFERROR(INDEX(Pubs!$G$2:$G$3001,MATCH(G2088,Pubs!$A$2:$A$3001,0))&amp;"",""))</f>
        <v/>
      </c>
      <c r="K2088" s="28" t="str">
        <f aca="false">IF(OR(G2088="",G2088="?"),"",IFERROR(INDEX(Pubs!$E$2:$E$3001,MATCH(G2088,Pubs!$A$2:$A$3001,0)),""))</f>
        <v/>
      </c>
      <c r="L2088" s="29" t="str">
        <f aca="false">IF(A2088="","",IFERROR(1/(1/INDEX(Numéros!$C$2:$C$3001,MATCH(A2088&amp;"|"&amp;B2088,Numéros!$F$2:$F$3001,0))),""))</f>
        <v/>
      </c>
      <c r="M2088" s="27" t="str">
        <f aca="false">IF(OR(G2088="",G2088="?"),"",IFERROR(INDEX(Pubs!$D$2:$D$3001,MATCH(G2088,Pubs!$A$2:$A$3001,0))&amp;"",""))</f>
        <v/>
      </c>
      <c r="N2088" s="27" t="n">
        <f aca="false">N(N2087)+IF(AND(A2088&lt;&gt;"",OR(Recherche!$C$4="",A2088=Recherche!$C$4),OR(Recherche!$C$5="",B2088&amp;""=Recherche!$C$5&amp;""),OR(Recherche!$C$6="",IFERROR(YEAR(L2088),0)=Recherche!$C$6),OR(Recherche!$C$7="",ISNUMBER(SEARCH(Recherche!$C$7,H2088))),OR(Recherche!$C$8="",J2088=Recherche!$C$8),OR(Recherche!$C$9="",I2088=Recherche!$C$9),OR(Recherche!$C$10="",G2088&amp;""=Recherche!$C$10&amp;""),OR(Recherche!$C$11="",E2088=Recherche!$C$11),OR(Recherche!$C$12="",ISNUMBER(SEARCH(Recherche!$C$12,M2088&amp;" "&amp;F2088)))),1,0)</f>
        <v>8</v>
      </c>
    </row>
    <row r="2089" customFormat="false" ht="15" hidden="false" customHeight="false" outlineLevel="0" collapsed="false">
      <c r="A2089" s="19"/>
      <c r="B2089" s="19"/>
      <c r="C2089" s="19"/>
      <c r="D2089" s="19"/>
      <c r="E2089" s="22"/>
      <c r="F2089" s="19"/>
      <c r="G2089" s="26" t="str">
        <f aca="false">IF(D2089="","",IFERROR(VALUE(LEFT(D2089,FIND(" |",D2089&amp;" |")-1)),"?"))</f>
        <v/>
      </c>
      <c r="H2089" s="27" t="str">
        <f aca="false">IF(G2089="","",IF(G2089="?","⚠ pub inconnue",IFERROR(INDEX(Pubs!$B$2:$B$3001,MATCH(G2089,Pubs!$A$2:$A$3001,0))&amp;"","⚠ pub inconnue")))</f>
        <v/>
      </c>
      <c r="I2089" s="27" t="str">
        <f aca="false">IF(OR(G2089="",G2089="?"),"",IFERROR(INDEX(Pubs!$C$2:$C$3001,MATCH(G2089,Pubs!$A$2:$A$3001,0))&amp;"",""))</f>
        <v/>
      </c>
      <c r="J2089" s="27" t="str">
        <f aca="false">IF(OR(G2089="",G2089="?"),"",IFERROR(INDEX(Pubs!$G$2:$G$3001,MATCH(G2089,Pubs!$A$2:$A$3001,0))&amp;"",""))</f>
        <v/>
      </c>
      <c r="K2089" s="28" t="str">
        <f aca="false">IF(OR(G2089="",G2089="?"),"",IFERROR(INDEX(Pubs!$E$2:$E$3001,MATCH(G2089,Pubs!$A$2:$A$3001,0)),""))</f>
        <v/>
      </c>
      <c r="L2089" s="29" t="str">
        <f aca="false">IF(A2089="","",IFERROR(1/(1/INDEX(Numéros!$C$2:$C$3001,MATCH(A2089&amp;"|"&amp;B2089,Numéros!$F$2:$F$3001,0))),""))</f>
        <v/>
      </c>
      <c r="M2089" s="27" t="str">
        <f aca="false">IF(OR(G2089="",G2089="?"),"",IFERROR(INDEX(Pubs!$D$2:$D$3001,MATCH(G2089,Pubs!$A$2:$A$3001,0))&amp;"",""))</f>
        <v/>
      </c>
      <c r="N2089" s="27" t="n">
        <f aca="false">N(N2088)+IF(AND(A2089&lt;&gt;"",OR(Recherche!$C$4="",A2089=Recherche!$C$4),OR(Recherche!$C$5="",B2089&amp;""=Recherche!$C$5&amp;""),OR(Recherche!$C$6="",IFERROR(YEAR(L2089),0)=Recherche!$C$6),OR(Recherche!$C$7="",ISNUMBER(SEARCH(Recherche!$C$7,H2089))),OR(Recherche!$C$8="",J2089=Recherche!$C$8),OR(Recherche!$C$9="",I2089=Recherche!$C$9),OR(Recherche!$C$10="",G2089&amp;""=Recherche!$C$10&amp;""),OR(Recherche!$C$11="",E2089=Recherche!$C$11),OR(Recherche!$C$12="",ISNUMBER(SEARCH(Recherche!$C$12,M2089&amp;" "&amp;F2089)))),1,0)</f>
        <v>8</v>
      </c>
    </row>
    <row r="2090" customFormat="false" ht="15" hidden="false" customHeight="false" outlineLevel="0" collapsed="false">
      <c r="A2090" s="19"/>
      <c r="B2090" s="19"/>
      <c r="C2090" s="19"/>
      <c r="D2090" s="19"/>
      <c r="E2090" s="22"/>
      <c r="F2090" s="19"/>
      <c r="G2090" s="26" t="str">
        <f aca="false">IF(D2090="","",IFERROR(VALUE(LEFT(D2090,FIND(" |",D2090&amp;" |")-1)),"?"))</f>
        <v/>
      </c>
      <c r="H2090" s="27" t="str">
        <f aca="false">IF(G2090="","",IF(G2090="?","⚠ pub inconnue",IFERROR(INDEX(Pubs!$B$2:$B$3001,MATCH(G2090,Pubs!$A$2:$A$3001,0))&amp;"","⚠ pub inconnue")))</f>
        <v/>
      </c>
      <c r="I2090" s="27" t="str">
        <f aca="false">IF(OR(G2090="",G2090="?"),"",IFERROR(INDEX(Pubs!$C$2:$C$3001,MATCH(G2090,Pubs!$A$2:$A$3001,0))&amp;"",""))</f>
        <v/>
      </c>
      <c r="J2090" s="27" t="str">
        <f aca="false">IF(OR(G2090="",G2090="?"),"",IFERROR(INDEX(Pubs!$G$2:$G$3001,MATCH(G2090,Pubs!$A$2:$A$3001,0))&amp;"",""))</f>
        <v/>
      </c>
      <c r="K2090" s="28" t="str">
        <f aca="false">IF(OR(G2090="",G2090="?"),"",IFERROR(INDEX(Pubs!$E$2:$E$3001,MATCH(G2090,Pubs!$A$2:$A$3001,0)),""))</f>
        <v/>
      </c>
      <c r="L2090" s="29" t="str">
        <f aca="false">IF(A2090="","",IFERROR(1/(1/INDEX(Numéros!$C$2:$C$3001,MATCH(A2090&amp;"|"&amp;B2090,Numéros!$F$2:$F$3001,0))),""))</f>
        <v/>
      </c>
      <c r="M2090" s="27" t="str">
        <f aca="false">IF(OR(G2090="",G2090="?"),"",IFERROR(INDEX(Pubs!$D$2:$D$3001,MATCH(G2090,Pubs!$A$2:$A$3001,0))&amp;"",""))</f>
        <v/>
      </c>
      <c r="N2090" s="27" t="n">
        <f aca="false">N(N2089)+IF(AND(A2090&lt;&gt;"",OR(Recherche!$C$4="",A2090=Recherche!$C$4),OR(Recherche!$C$5="",B2090&amp;""=Recherche!$C$5&amp;""),OR(Recherche!$C$6="",IFERROR(YEAR(L2090),0)=Recherche!$C$6),OR(Recherche!$C$7="",ISNUMBER(SEARCH(Recherche!$C$7,H2090))),OR(Recherche!$C$8="",J2090=Recherche!$C$8),OR(Recherche!$C$9="",I2090=Recherche!$C$9),OR(Recherche!$C$10="",G2090&amp;""=Recherche!$C$10&amp;""),OR(Recherche!$C$11="",E2090=Recherche!$C$11),OR(Recherche!$C$12="",ISNUMBER(SEARCH(Recherche!$C$12,M2090&amp;" "&amp;F2090)))),1,0)</f>
        <v>8</v>
      </c>
    </row>
    <row r="2091" customFormat="false" ht="15" hidden="false" customHeight="false" outlineLevel="0" collapsed="false">
      <c r="A2091" s="19"/>
      <c r="B2091" s="19"/>
      <c r="C2091" s="19"/>
      <c r="D2091" s="19"/>
      <c r="E2091" s="22"/>
      <c r="F2091" s="19"/>
      <c r="G2091" s="26" t="str">
        <f aca="false">IF(D2091="","",IFERROR(VALUE(LEFT(D2091,FIND(" |",D2091&amp;" |")-1)),"?"))</f>
        <v/>
      </c>
      <c r="H2091" s="27" t="str">
        <f aca="false">IF(G2091="","",IF(G2091="?","⚠ pub inconnue",IFERROR(INDEX(Pubs!$B$2:$B$3001,MATCH(G2091,Pubs!$A$2:$A$3001,0))&amp;"","⚠ pub inconnue")))</f>
        <v/>
      </c>
      <c r="I2091" s="27" t="str">
        <f aca="false">IF(OR(G2091="",G2091="?"),"",IFERROR(INDEX(Pubs!$C$2:$C$3001,MATCH(G2091,Pubs!$A$2:$A$3001,0))&amp;"",""))</f>
        <v/>
      </c>
      <c r="J2091" s="27" t="str">
        <f aca="false">IF(OR(G2091="",G2091="?"),"",IFERROR(INDEX(Pubs!$G$2:$G$3001,MATCH(G2091,Pubs!$A$2:$A$3001,0))&amp;"",""))</f>
        <v/>
      </c>
      <c r="K2091" s="28" t="str">
        <f aca="false">IF(OR(G2091="",G2091="?"),"",IFERROR(INDEX(Pubs!$E$2:$E$3001,MATCH(G2091,Pubs!$A$2:$A$3001,0)),""))</f>
        <v/>
      </c>
      <c r="L2091" s="29" t="str">
        <f aca="false">IF(A2091="","",IFERROR(1/(1/INDEX(Numéros!$C$2:$C$3001,MATCH(A2091&amp;"|"&amp;B2091,Numéros!$F$2:$F$3001,0))),""))</f>
        <v/>
      </c>
      <c r="M2091" s="27" t="str">
        <f aca="false">IF(OR(G2091="",G2091="?"),"",IFERROR(INDEX(Pubs!$D$2:$D$3001,MATCH(G2091,Pubs!$A$2:$A$3001,0))&amp;"",""))</f>
        <v/>
      </c>
      <c r="N2091" s="27" t="n">
        <f aca="false">N(N2090)+IF(AND(A2091&lt;&gt;"",OR(Recherche!$C$4="",A2091=Recherche!$C$4),OR(Recherche!$C$5="",B2091&amp;""=Recherche!$C$5&amp;""),OR(Recherche!$C$6="",IFERROR(YEAR(L2091),0)=Recherche!$C$6),OR(Recherche!$C$7="",ISNUMBER(SEARCH(Recherche!$C$7,H2091))),OR(Recherche!$C$8="",J2091=Recherche!$C$8),OR(Recherche!$C$9="",I2091=Recherche!$C$9),OR(Recherche!$C$10="",G2091&amp;""=Recherche!$C$10&amp;""),OR(Recherche!$C$11="",E2091=Recherche!$C$11),OR(Recherche!$C$12="",ISNUMBER(SEARCH(Recherche!$C$12,M2091&amp;" "&amp;F2091)))),1,0)</f>
        <v>8</v>
      </c>
    </row>
    <row r="2092" customFormat="false" ht="15" hidden="false" customHeight="false" outlineLevel="0" collapsed="false">
      <c r="A2092" s="19"/>
      <c r="B2092" s="19"/>
      <c r="C2092" s="19"/>
      <c r="D2092" s="19"/>
      <c r="E2092" s="22"/>
      <c r="F2092" s="19"/>
      <c r="G2092" s="26" t="str">
        <f aca="false">IF(D2092="","",IFERROR(VALUE(LEFT(D2092,FIND(" |",D2092&amp;" |")-1)),"?"))</f>
        <v/>
      </c>
      <c r="H2092" s="27" t="str">
        <f aca="false">IF(G2092="","",IF(G2092="?","⚠ pub inconnue",IFERROR(INDEX(Pubs!$B$2:$B$3001,MATCH(G2092,Pubs!$A$2:$A$3001,0))&amp;"","⚠ pub inconnue")))</f>
        <v/>
      </c>
      <c r="I2092" s="27" t="str">
        <f aca="false">IF(OR(G2092="",G2092="?"),"",IFERROR(INDEX(Pubs!$C$2:$C$3001,MATCH(G2092,Pubs!$A$2:$A$3001,0))&amp;"",""))</f>
        <v/>
      </c>
      <c r="J2092" s="27" t="str">
        <f aca="false">IF(OR(G2092="",G2092="?"),"",IFERROR(INDEX(Pubs!$G$2:$G$3001,MATCH(G2092,Pubs!$A$2:$A$3001,0))&amp;"",""))</f>
        <v/>
      </c>
      <c r="K2092" s="28" t="str">
        <f aca="false">IF(OR(G2092="",G2092="?"),"",IFERROR(INDEX(Pubs!$E$2:$E$3001,MATCH(G2092,Pubs!$A$2:$A$3001,0)),""))</f>
        <v/>
      </c>
      <c r="L2092" s="29" t="str">
        <f aca="false">IF(A2092="","",IFERROR(1/(1/INDEX(Numéros!$C$2:$C$3001,MATCH(A2092&amp;"|"&amp;B2092,Numéros!$F$2:$F$3001,0))),""))</f>
        <v/>
      </c>
      <c r="M2092" s="27" t="str">
        <f aca="false">IF(OR(G2092="",G2092="?"),"",IFERROR(INDEX(Pubs!$D$2:$D$3001,MATCH(G2092,Pubs!$A$2:$A$3001,0))&amp;"",""))</f>
        <v/>
      </c>
      <c r="N2092" s="27" t="n">
        <f aca="false">N(N2091)+IF(AND(A2092&lt;&gt;"",OR(Recherche!$C$4="",A2092=Recherche!$C$4),OR(Recherche!$C$5="",B2092&amp;""=Recherche!$C$5&amp;""),OR(Recherche!$C$6="",IFERROR(YEAR(L2092),0)=Recherche!$C$6),OR(Recherche!$C$7="",ISNUMBER(SEARCH(Recherche!$C$7,H2092))),OR(Recherche!$C$8="",J2092=Recherche!$C$8),OR(Recherche!$C$9="",I2092=Recherche!$C$9),OR(Recherche!$C$10="",G2092&amp;""=Recherche!$C$10&amp;""),OR(Recherche!$C$11="",E2092=Recherche!$C$11),OR(Recherche!$C$12="",ISNUMBER(SEARCH(Recherche!$C$12,M2092&amp;" "&amp;F2092)))),1,0)</f>
        <v>8</v>
      </c>
    </row>
    <row r="2093" customFormat="false" ht="15" hidden="false" customHeight="false" outlineLevel="0" collapsed="false">
      <c r="A2093" s="19"/>
      <c r="B2093" s="19"/>
      <c r="C2093" s="19"/>
      <c r="D2093" s="19"/>
      <c r="E2093" s="22"/>
      <c r="F2093" s="19"/>
      <c r="G2093" s="26" t="str">
        <f aca="false">IF(D2093="","",IFERROR(VALUE(LEFT(D2093,FIND(" |",D2093&amp;" |")-1)),"?"))</f>
        <v/>
      </c>
      <c r="H2093" s="27" t="str">
        <f aca="false">IF(G2093="","",IF(G2093="?","⚠ pub inconnue",IFERROR(INDEX(Pubs!$B$2:$B$3001,MATCH(G2093,Pubs!$A$2:$A$3001,0))&amp;"","⚠ pub inconnue")))</f>
        <v/>
      </c>
      <c r="I2093" s="27" t="str">
        <f aca="false">IF(OR(G2093="",G2093="?"),"",IFERROR(INDEX(Pubs!$C$2:$C$3001,MATCH(G2093,Pubs!$A$2:$A$3001,0))&amp;"",""))</f>
        <v/>
      </c>
      <c r="J2093" s="27" t="str">
        <f aca="false">IF(OR(G2093="",G2093="?"),"",IFERROR(INDEX(Pubs!$G$2:$G$3001,MATCH(G2093,Pubs!$A$2:$A$3001,0))&amp;"",""))</f>
        <v/>
      </c>
      <c r="K2093" s="28" t="str">
        <f aca="false">IF(OR(G2093="",G2093="?"),"",IFERROR(INDEX(Pubs!$E$2:$E$3001,MATCH(G2093,Pubs!$A$2:$A$3001,0)),""))</f>
        <v/>
      </c>
      <c r="L2093" s="29" t="str">
        <f aca="false">IF(A2093="","",IFERROR(1/(1/INDEX(Numéros!$C$2:$C$3001,MATCH(A2093&amp;"|"&amp;B2093,Numéros!$F$2:$F$3001,0))),""))</f>
        <v/>
      </c>
      <c r="M2093" s="27" t="str">
        <f aca="false">IF(OR(G2093="",G2093="?"),"",IFERROR(INDEX(Pubs!$D$2:$D$3001,MATCH(G2093,Pubs!$A$2:$A$3001,0))&amp;"",""))</f>
        <v/>
      </c>
      <c r="N2093" s="27" t="n">
        <f aca="false">N(N2092)+IF(AND(A2093&lt;&gt;"",OR(Recherche!$C$4="",A2093=Recherche!$C$4),OR(Recherche!$C$5="",B2093&amp;""=Recherche!$C$5&amp;""),OR(Recherche!$C$6="",IFERROR(YEAR(L2093),0)=Recherche!$C$6),OR(Recherche!$C$7="",ISNUMBER(SEARCH(Recherche!$C$7,H2093))),OR(Recherche!$C$8="",J2093=Recherche!$C$8),OR(Recherche!$C$9="",I2093=Recherche!$C$9),OR(Recherche!$C$10="",G2093&amp;""=Recherche!$C$10&amp;""),OR(Recherche!$C$11="",E2093=Recherche!$C$11),OR(Recherche!$C$12="",ISNUMBER(SEARCH(Recherche!$C$12,M2093&amp;" "&amp;F2093)))),1,0)</f>
        <v>8</v>
      </c>
    </row>
    <row r="2094" customFormat="false" ht="15" hidden="false" customHeight="false" outlineLevel="0" collapsed="false">
      <c r="A2094" s="19"/>
      <c r="B2094" s="19"/>
      <c r="C2094" s="19"/>
      <c r="D2094" s="19"/>
      <c r="E2094" s="22"/>
      <c r="F2094" s="19"/>
      <c r="G2094" s="26" t="str">
        <f aca="false">IF(D2094="","",IFERROR(VALUE(LEFT(D2094,FIND(" |",D2094&amp;" |")-1)),"?"))</f>
        <v/>
      </c>
      <c r="H2094" s="27" t="str">
        <f aca="false">IF(G2094="","",IF(G2094="?","⚠ pub inconnue",IFERROR(INDEX(Pubs!$B$2:$B$3001,MATCH(G2094,Pubs!$A$2:$A$3001,0))&amp;"","⚠ pub inconnue")))</f>
        <v/>
      </c>
      <c r="I2094" s="27" t="str">
        <f aca="false">IF(OR(G2094="",G2094="?"),"",IFERROR(INDEX(Pubs!$C$2:$C$3001,MATCH(G2094,Pubs!$A$2:$A$3001,0))&amp;"",""))</f>
        <v/>
      </c>
      <c r="J2094" s="27" t="str">
        <f aca="false">IF(OR(G2094="",G2094="?"),"",IFERROR(INDEX(Pubs!$G$2:$G$3001,MATCH(G2094,Pubs!$A$2:$A$3001,0))&amp;"",""))</f>
        <v/>
      </c>
      <c r="K2094" s="28" t="str">
        <f aca="false">IF(OR(G2094="",G2094="?"),"",IFERROR(INDEX(Pubs!$E$2:$E$3001,MATCH(G2094,Pubs!$A$2:$A$3001,0)),""))</f>
        <v/>
      </c>
      <c r="L2094" s="29" t="str">
        <f aca="false">IF(A2094="","",IFERROR(1/(1/INDEX(Numéros!$C$2:$C$3001,MATCH(A2094&amp;"|"&amp;B2094,Numéros!$F$2:$F$3001,0))),""))</f>
        <v/>
      </c>
      <c r="M2094" s="27" t="str">
        <f aca="false">IF(OR(G2094="",G2094="?"),"",IFERROR(INDEX(Pubs!$D$2:$D$3001,MATCH(G2094,Pubs!$A$2:$A$3001,0))&amp;"",""))</f>
        <v/>
      </c>
      <c r="N2094" s="27" t="n">
        <f aca="false">N(N2093)+IF(AND(A2094&lt;&gt;"",OR(Recherche!$C$4="",A2094=Recherche!$C$4),OR(Recherche!$C$5="",B2094&amp;""=Recherche!$C$5&amp;""),OR(Recherche!$C$6="",IFERROR(YEAR(L2094),0)=Recherche!$C$6),OR(Recherche!$C$7="",ISNUMBER(SEARCH(Recherche!$C$7,H2094))),OR(Recherche!$C$8="",J2094=Recherche!$C$8),OR(Recherche!$C$9="",I2094=Recherche!$C$9),OR(Recherche!$C$10="",G2094&amp;""=Recherche!$C$10&amp;""),OR(Recherche!$C$11="",E2094=Recherche!$C$11),OR(Recherche!$C$12="",ISNUMBER(SEARCH(Recherche!$C$12,M2094&amp;" "&amp;F2094)))),1,0)</f>
        <v>8</v>
      </c>
    </row>
    <row r="2095" customFormat="false" ht="15" hidden="false" customHeight="false" outlineLevel="0" collapsed="false">
      <c r="A2095" s="19"/>
      <c r="B2095" s="19"/>
      <c r="C2095" s="19"/>
      <c r="D2095" s="19"/>
      <c r="E2095" s="22"/>
      <c r="F2095" s="19"/>
      <c r="G2095" s="26" t="str">
        <f aca="false">IF(D2095="","",IFERROR(VALUE(LEFT(D2095,FIND(" |",D2095&amp;" |")-1)),"?"))</f>
        <v/>
      </c>
      <c r="H2095" s="27" t="str">
        <f aca="false">IF(G2095="","",IF(G2095="?","⚠ pub inconnue",IFERROR(INDEX(Pubs!$B$2:$B$3001,MATCH(G2095,Pubs!$A$2:$A$3001,0))&amp;"","⚠ pub inconnue")))</f>
        <v/>
      </c>
      <c r="I2095" s="27" t="str">
        <f aca="false">IF(OR(G2095="",G2095="?"),"",IFERROR(INDEX(Pubs!$C$2:$C$3001,MATCH(G2095,Pubs!$A$2:$A$3001,0))&amp;"",""))</f>
        <v/>
      </c>
      <c r="J2095" s="27" t="str">
        <f aca="false">IF(OR(G2095="",G2095="?"),"",IFERROR(INDEX(Pubs!$G$2:$G$3001,MATCH(G2095,Pubs!$A$2:$A$3001,0))&amp;"",""))</f>
        <v/>
      </c>
      <c r="K2095" s="28" t="str">
        <f aca="false">IF(OR(G2095="",G2095="?"),"",IFERROR(INDEX(Pubs!$E$2:$E$3001,MATCH(G2095,Pubs!$A$2:$A$3001,0)),""))</f>
        <v/>
      </c>
      <c r="L2095" s="29" t="str">
        <f aca="false">IF(A2095="","",IFERROR(1/(1/INDEX(Numéros!$C$2:$C$3001,MATCH(A2095&amp;"|"&amp;B2095,Numéros!$F$2:$F$3001,0))),""))</f>
        <v/>
      </c>
      <c r="M2095" s="27" t="str">
        <f aca="false">IF(OR(G2095="",G2095="?"),"",IFERROR(INDEX(Pubs!$D$2:$D$3001,MATCH(G2095,Pubs!$A$2:$A$3001,0))&amp;"",""))</f>
        <v/>
      </c>
      <c r="N2095" s="27" t="n">
        <f aca="false">N(N2094)+IF(AND(A2095&lt;&gt;"",OR(Recherche!$C$4="",A2095=Recherche!$C$4),OR(Recherche!$C$5="",B2095&amp;""=Recherche!$C$5&amp;""),OR(Recherche!$C$6="",IFERROR(YEAR(L2095),0)=Recherche!$C$6),OR(Recherche!$C$7="",ISNUMBER(SEARCH(Recherche!$C$7,H2095))),OR(Recherche!$C$8="",J2095=Recherche!$C$8),OR(Recherche!$C$9="",I2095=Recherche!$C$9),OR(Recherche!$C$10="",G2095&amp;""=Recherche!$C$10&amp;""),OR(Recherche!$C$11="",E2095=Recherche!$C$11),OR(Recherche!$C$12="",ISNUMBER(SEARCH(Recherche!$C$12,M2095&amp;" "&amp;F2095)))),1,0)</f>
        <v>8</v>
      </c>
    </row>
    <row r="2096" customFormat="false" ht="15" hidden="false" customHeight="false" outlineLevel="0" collapsed="false">
      <c r="A2096" s="19"/>
      <c r="B2096" s="19"/>
      <c r="C2096" s="19"/>
      <c r="D2096" s="19"/>
      <c r="E2096" s="22"/>
      <c r="F2096" s="19"/>
      <c r="G2096" s="26" t="str">
        <f aca="false">IF(D2096="","",IFERROR(VALUE(LEFT(D2096,FIND(" |",D2096&amp;" |")-1)),"?"))</f>
        <v/>
      </c>
      <c r="H2096" s="27" t="str">
        <f aca="false">IF(G2096="","",IF(G2096="?","⚠ pub inconnue",IFERROR(INDEX(Pubs!$B$2:$B$3001,MATCH(G2096,Pubs!$A$2:$A$3001,0))&amp;"","⚠ pub inconnue")))</f>
        <v/>
      </c>
      <c r="I2096" s="27" t="str">
        <f aca="false">IF(OR(G2096="",G2096="?"),"",IFERROR(INDEX(Pubs!$C$2:$C$3001,MATCH(G2096,Pubs!$A$2:$A$3001,0))&amp;"",""))</f>
        <v/>
      </c>
      <c r="J2096" s="27" t="str">
        <f aca="false">IF(OR(G2096="",G2096="?"),"",IFERROR(INDEX(Pubs!$G$2:$G$3001,MATCH(G2096,Pubs!$A$2:$A$3001,0))&amp;"",""))</f>
        <v/>
      </c>
      <c r="K2096" s="28" t="str">
        <f aca="false">IF(OR(G2096="",G2096="?"),"",IFERROR(INDEX(Pubs!$E$2:$E$3001,MATCH(G2096,Pubs!$A$2:$A$3001,0)),""))</f>
        <v/>
      </c>
      <c r="L2096" s="29" t="str">
        <f aca="false">IF(A2096="","",IFERROR(1/(1/INDEX(Numéros!$C$2:$C$3001,MATCH(A2096&amp;"|"&amp;B2096,Numéros!$F$2:$F$3001,0))),""))</f>
        <v/>
      </c>
      <c r="M2096" s="27" t="str">
        <f aca="false">IF(OR(G2096="",G2096="?"),"",IFERROR(INDEX(Pubs!$D$2:$D$3001,MATCH(G2096,Pubs!$A$2:$A$3001,0))&amp;"",""))</f>
        <v/>
      </c>
      <c r="N2096" s="27" t="n">
        <f aca="false">N(N2095)+IF(AND(A2096&lt;&gt;"",OR(Recherche!$C$4="",A2096=Recherche!$C$4),OR(Recherche!$C$5="",B2096&amp;""=Recherche!$C$5&amp;""),OR(Recherche!$C$6="",IFERROR(YEAR(L2096),0)=Recherche!$C$6),OR(Recherche!$C$7="",ISNUMBER(SEARCH(Recherche!$C$7,H2096))),OR(Recherche!$C$8="",J2096=Recherche!$C$8),OR(Recherche!$C$9="",I2096=Recherche!$C$9),OR(Recherche!$C$10="",G2096&amp;""=Recherche!$C$10&amp;""),OR(Recherche!$C$11="",E2096=Recherche!$C$11),OR(Recherche!$C$12="",ISNUMBER(SEARCH(Recherche!$C$12,M2096&amp;" "&amp;F2096)))),1,0)</f>
        <v>8</v>
      </c>
    </row>
    <row r="2097" customFormat="false" ht="15" hidden="false" customHeight="false" outlineLevel="0" collapsed="false">
      <c r="A2097" s="19"/>
      <c r="B2097" s="19"/>
      <c r="C2097" s="19"/>
      <c r="D2097" s="19"/>
      <c r="E2097" s="22"/>
      <c r="F2097" s="19"/>
      <c r="G2097" s="26" t="str">
        <f aca="false">IF(D2097="","",IFERROR(VALUE(LEFT(D2097,FIND(" |",D2097&amp;" |")-1)),"?"))</f>
        <v/>
      </c>
      <c r="H2097" s="27" t="str">
        <f aca="false">IF(G2097="","",IF(G2097="?","⚠ pub inconnue",IFERROR(INDEX(Pubs!$B$2:$B$3001,MATCH(G2097,Pubs!$A$2:$A$3001,0))&amp;"","⚠ pub inconnue")))</f>
        <v/>
      </c>
      <c r="I2097" s="27" t="str">
        <f aca="false">IF(OR(G2097="",G2097="?"),"",IFERROR(INDEX(Pubs!$C$2:$C$3001,MATCH(G2097,Pubs!$A$2:$A$3001,0))&amp;"",""))</f>
        <v/>
      </c>
      <c r="J2097" s="27" t="str">
        <f aca="false">IF(OR(G2097="",G2097="?"),"",IFERROR(INDEX(Pubs!$G$2:$G$3001,MATCH(G2097,Pubs!$A$2:$A$3001,0))&amp;"",""))</f>
        <v/>
      </c>
      <c r="K2097" s="28" t="str">
        <f aca="false">IF(OR(G2097="",G2097="?"),"",IFERROR(INDEX(Pubs!$E$2:$E$3001,MATCH(G2097,Pubs!$A$2:$A$3001,0)),""))</f>
        <v/>
      </c>
      <c r="L2097" s="29" t="str">
        <f aca="false">IF(A2097="","",IFERROR(1/(1/INDEX(Numéros!$C$2:$C$3001,MATCH(A2097&amp;"|"&amp;B2097,Numéros!$F$2:$F$3001,0))),""))</f>
        <v/>
      </c>
      <c r="M2097" s="27" t="str">
        <f aca="false">IF(OR(G2097="",G2097="?"),"",IFERROR(INDEX(Pubs!$D$2:$D$3001,MATCH(G2097,Pubs!$A$2:$A$3001,0))&amp;"",""))</f>
        <v/>
      </c>
      <c r="N2097" s="27" t="n">
        <f aca="false">N(N2096)+IF(AND(A2097&lt;&gt;"",OR(Recherche!$C$4="",A2097=Recherche!$C$4),OR(Recherche!$C$5="",B2097&amp;""=Recherche!$C$5&amp;""),OR(Recherche!$C$6="",IFERROR(YEAR(L2097),0)=Recherche!$C$6),OR(Recherche!$C$7="",ISNUMBER(SEARCH(Recherche!$C$7,H2097))),OR(Recherche!$C$8="",J2097=Recherche!$C$8),OR(Recherche!$C$9="",I2097=Recherche!$C$9),OR(Recherche!$C$10="",G2097&amp;""=Recherche!$C$10&amp;""),OR(Recherche!$C$11="",E2097=Recherche!$C$11),OR(Recherche!$C$12="",ISNUMBER(SEARCH(Recherche!$C$12,M2097&amp;" "&amp;F2097)))),1,0)</f>
        <v>8</v>
      </c>
    </row>
    <row r="2098" customFormat="false" ht="15" hidden="false" customHeight="false" outlineLevel="0" collapsed="false">
      <c r="A2098" s="19"/>
      <c r="B2098" s="19"/>
      <c r="C2098" s="19"/>
      <c r="D2098" s="19"/>
      <c r="E2098" s="22"/>
      <c r="F2098" s="19"/>
      <c r="G2098" s="26" t="str">
        <f aca="false">IF(D2098="","",IFERROR(VALUE(LEFT(D2098,FIND(" |",D2098&amp;" |")-1)),"?"))</f>
        <v/>
      </c>
      <c r="H2098" s="27" t="str">
        <f aca="false">IF(G2098="","",IF(G2098="?","⚠ pub inconnue",IFERROR(INDEX(Pubs!$B$2:$B$3001,MATCH(G2098,Pubs!$A$2:$A$3001,0))&amp;"","⚠ pub inconnue")))</f>
        <v/>
      </c>
      <c r="I2098" s="27" t="str">
        <f aca="false">IF(OR(G2098="",G2098="?"),"",IFERROR(INDEX(Pubs!$C$2:$C$3001,MATCH(G2098,Pubs!$A$2:$A$3001,0))&amp;"",""))</f>
        <v/>
      </c>
      <c r="J2098" s="27" t="str">
        <f aca="false">IF(OR(G2098="",G2098="?"),"",IFERROR(INDEX(Pubs!$G$2:$G$3001,MATCH(G2098,Pubs!$A$2:$A$3001,0))&amp;"",""))</f>
        <v/>
      </c>
      <c r="K2098" s="28" t="str">
        <f aca="false">IF(OR(G2098="",G2098="?"),"",IFERROR(INDEX(Pubs!$E$2:$E$3001,MATCH(G2098,Pubs!$A$2:$A$3001,0)),""))</f>
        <v/>
      </c>
      <c r="L2098" s="29" t="str">
        <f aca="false">IF(A2098="","",IFERROR(1/(1/INDEX(Numéros!$C$2:$C$3001,MATCH(A2098&amp;"|"&amp;B2098,Numéros!$F$2:$F$3001,0))),""))</f>
        <v/>
      </c>
      <c r="M2098" s="27" t="str">
        <f aca="false">IF(OR(G2098="",G2098="?"),"",IFERROR(INDEX(Pubs!$D$2:$D$3001,MATCH(G2098,Pubs!$A$2:$A$3001,0))&amp;"",""))</f>
        <v/>
      </c>
      <c r="N2098" s="27" t="n">
        <f aca="false">N(N2097)+IF(AND(A2098&lt;&gt;"",OR(Recherche!$C$4="",A2098=Recherche!$C$4),OR(Recherche!$C$5="",B2098&amp;""=Recherche!$C$5&amp;""),OR(Recherche!$C$6="",IFERROR(YEAR(L2098),0)=Recherche!$C$6),OR(Recherche!$C$7="",ISNUMBER(SEARCH(Recherche!$C$7,H2098))),OR(Recherche!$C$8="",J2098=Recherche!$C$8),OR(Recherche!$C$9="",I2098=Recherche!$C$9),OR(Recherche!$C$10="",G2098&amp;""=Recherche!$C$10&amp;""),OR(Recherche!$C$11="",E2098=Recherche!$C$11),OR(Recherche!$C$12="",ISNUMBER(SEARCH(Recherche!$C$12,M2098&amp;" "&amp;F2098)))),1,0)</f>
        <v>8</v>
      </c>
    </row>
    <row r="2099" customFormat="false" ht="15" hidden="false" customHeight="false" outlineLevel="0" collapsed="false">
      <c r="A2099" s="19"/>
      <c r="B2099" s="19"/>
      <c r="C2099" s="19"/>
      <c r="D2099" s="19"/>
      <c r="E2099" s="22"/>
      <c r="F2099" s="19"/>
      <c r="G2099" s="26" t="str">
        <f aca="false">IF(D2099="","",IFERROR(VALUE(LEFT(D2099,FIND(" |",D2099&amp;" |")-1)),"?"))</f>
        <v/>
      </c>
      <c r="H2099" s="27" t="str">
        <f aca="false">IF(G2099="","",IF(G2099="?","⚠ pub inconnue",IFERROR(INDEX(Pubs!$B$2:$B$3001,MATCH(G2099,Pubs!$A$2:$A$3001,0))&amp;"","⚠ pub inconnue")))</f>
        <v/>
      </c>
      <c r="I2099" s="27" t="str">
        <f aca="false">IF(OR(G2099="",G2099="?"),"",IFERROR(INDEX(Pubs!$C$2:$C$3001,MATCH(G2099,Pubs!$A$2:$A$3001,0))&amp;"",""))</f>
        <v/>
      </c>
      <c r="J2099" s="27" t="str">
        <f aca="false">IF(OR(G2099="",G2099="?"),"",IFERROR(INDEX(Pubs!$G$2:$G$3001,MATCH(G2099,Pubs!$A$2:$A$3001,0))&amp;"",""))</f>
        <v/>
      </c>
      <c r="K2099" s="28" t="str">
        <f aca="false">IF(OR(G2099="",G2099="?"),"",IFERROR(INDEX(Pubs!$E$2:$E$3001,MATCH(G2099,Pubs!$A$2:$A$3001,0)),""))</f>
        <v/>
      </c>
      <c r="L2099" s="29" t="str">
        <f aca="false">IF(A2099="","",IFERROR(1/(1/INDEX(Numéros!$C$2:$C$3001,MATCH(A2099&amp;"|"&amp;B2099,Numéros!$F$2:$F$3001,0))),""))</f>
        <v/>
      </c>
      <c r="M2099" s="27" t="str">
        <f aca="false">IF(OR(G2099="",G2099="?"),"",IFERROR(INDEX(Pubs!$D$2:$D$3001,MATCH(G2099,Pubs!$A$2:$A$3001,0))&amp;"",""))</f>
        <v/>
      </c>
      <c r="N2099" s="27" t="n">
        <f aca="false">N(N2098)+IF(AND(A2099&lt;&gt;"",OR(Recherche!$C$4="",A2099=Recherche!$C$4),OR(Recherche!$C$5="",B2099&amp;""=Recherche!$C$5&amp;""),OR(Recherche!$C$6="",IFERROR(YEAR(L2099),0)=Recherche!$C$6),OR(Recherche!$C$7="",ISNUMBER(SEARCH(Recherche!$C$7,H2099))),OR(Recherche!$C$8="",J2099=Recherche!$C$8),OR(Recherche!$C$9="",I2099=Recherche!$C$9),OR(Recherche!$C$10="",G2099&amp;""=Recherche!$C$10&amp;""),OR(Recherche!$C$11="",E2099=Recherche!$C$11),OR(Recherche!$C$12="",ISNUMBER(SEARCH(Recherche!$C$12,M2099&amp;" "&amp;F2099)))),1,0)</f>
        <v>8</v>
      </c>
    </row>
    <row r="2100" customFormat="false" ht="15" hidden="false" customHeight="false" outlineLevel="0" collapsed="false">
      <c r="A2100" s="19"/>
      <c r="B2100" s="19"/>
      <c r="C2100" s="19"/>
      <c r="D2100" s="19"/>
      <c r="E2100" s="22"/>
      <c r="F2100" s="19"/>
      <c r="G2100" s="26" t="str">
        <f aca="false">IF(D2100="","",IFERROR(VALUE(LEFT(D2100,FIND(" |",D2100&amp;" |")-1)),"?"))</f>
        <v/>
      </c>
      <c r="H2100" s="27" t="str">
        <f aca="false">IF(G2100="","",IF(G2100="?","⚠ pub inconnue",IFERROR(INDEX(Pubs!$B$2:$B$3001,MATCH(G2100,Pubs!$A$2:$A$3001,0))&amp;"","⚠ pub inconnue")))</f>
        <v/>
      </c>
      <c r="I2100" s="27" t="str">
        <f aca="false">IF(OR(G2100="",G2100="?"),"",IFERROR(INDEX(Pubs!$C$2:$C$3001,MATCH(G2100,Pubs!$A$2:$A$3001,0))&amp;"",""))</f>
        <v/>
      </c>
      <c r="J2100" s="27" t="str">
        <f aca="false">IF(OR(G2100="",G2100="?"),"",IFERROR(INDEX(Pubs!$G$2:$G$3001,MATCH(G2100,Pubs!$A$2:$A$3001,0))&amp;"",""))</f>
        <v/>
      </c>
      <c r="K2100" s="28" t="str">
        <f aca="false">IF(OR(G2100="",G2100="?"),"",IFERROR(INDEX(Pubs!$E$2:$E$3001,MATCH(G2100,Pubs!$A$2:$A$3001,0)),""))</f>
        <v/>
      </c>
      <c r="L2100" s="29" t="str">
        <f aca="false">IF(A2100="","",IFERROR(1/(1/INDEX(Numéros!$C$2:$C$3001,MATCH(A2100&amp;"|"&amp;B2100,Numéros!$F$2:$F$3001,0))),""))</f>
        <v/>
      </c>
      <c r="M2100" s="27" t="str">
        <f aca="false">IF(OR(G2100="",G2100="?"),"",IFERROR(INDEX(Pubs!$D$2:$D$3001,MATCH(G2100,Pubs!$A$2:$A$3001,0))&amp;"",""))</f>
        <v/>
      </c>
      <c r="N2100" s="27" t="n">
        <f aca="false">N(N2099)+IF(AND(A2100&lt;&gt;"",OR(Recherche!$C$4="",A2100=Recherche!$C$4),OR(Recherche!$C$5="",B2100&amp;""=Recherche!$C$5&amp;""),OR(Recherche!$C$6="",IFERROR(YEAR(L2100),0)=Recherche!$C$6),OR(Recherche!$C$7="",ISNUMBER(SEARCH(Recherche!$C$7,H2100))),OR(Recherche!$C$8="",J2100=Recherche!$C$8),OR(Recherche!$C$9="",I2100=Recherche!$C$9),OR(Recherche!$C$10="",G2100&amp;""=Recherche!$C$10&amp;""),OR(Recherche!$C$11="",E2100=Recherche!$C$11),OR(Recherche!$C$12="",ISNUMBER(SEARCH(Recherche!$C$12,M2100&amp;" "&amp;F2100)))),1,0)</f>
        <v>8</v>
      </c>
    </row>
    <row r="2101" customFormat="false" ht="15" hidden="false" customHeight="false" outlineLevel="0" collapsed="false">
      <c r="A2101" s="19"/>
      <c r="B2101" s="19"/>
      <c r="C2101" s="19"/>
      <c r="D2101" s="19"/>
      <c r="E2101" s="22"/>
      <c r="F2101" s="19"/>
      <c r="G2101" s="26" t="str">
        <f aca="false">IF(D2101="","",IFERROR(VALUE(LEFT(D2101,FIND(" |",D2101&amp;" |")-1)),"?"))</f>
        <v/>
      </c>
      <c r="H2101" s="27" t="str">
        <f aca="false">IF(G2101="","",IF(G2101="?","⚠ pub inconnue",IFERROR(INDEX(Pubs!$B$2:$B$3001,MATCH(G2101,Pubs!$A$2:$A$3001,0))&amp;"","⚠ pub inconnue")))</f>
        <v/>
      </c>
      <c r="I2101" s="27" t="str">
        <f aca="false">IF(OR(G2101="",G2101="?"),"",IFERROR(INDEX(Pubs!$C$2:$C$3001,MATCH(G2101,Pubs!$A$2:$A$3001,0))&amp;"",""))</f>
        <v/>
      </c>
      <c r="J2101" s="27" t="str">
        <f aca="false">IF(OR(G2101="",G2101="?"),"",IFERROR(INDEX(Pubs!$G$2:$G$3001,MATCH(G2101,Pubs!$A$2:$A$3001,0))&amp;"",""))</f>
        <v/>
      </c>
      <c r="K2101" s="28" t="str">
        <f aca="false">IF(OR(G2101="",G2101="?"),"",IFERROR(INDEX(Pubs!$E$2:$E$3001,MATCH(G2101,Pubs!$A$2:$A$3001,0)),""))</f>
        <v/>
      </c>
      <c r="L2101" s="29" t="str">
        <f aca="false">IF(A2101="","",IFERROR(1/(1/INDEX(Numéros!$C$2:$C$3001,MATCH(A2101&amp;"|"&amp;B2101,Numéros!$F$2:$F$3001,0))),""))</f>
        <v/>
      </c>
      <c r="M2101" s="27" t="str">
        <f aca="false">IF(OR(G2101="",G2101="?"),"",IFERROR(INDEX(Pubs!$D$2:$D$3001,MATCH(G2101,Pubs!$A$2:$A$3001,0))&amp;"",""))</f>
        <v/>
      </c>
      <c r="N2101" s="27" t="n">
        <f aca="false">N(N2100)+IF(AND(A2101&lt;&gt;"",OR(Recherche!$C$4="",A2101=Recherche!$C$4),OR(Recherche!$C$5="",B2101&amp;""=Recherche!$C$5&amp;""),OR(Recherche!$C$6="",IFERROR(YEAR(L2101),0)=Recherche!$C$6),OR(Recherche!$C$7="",ISNUMBER(SEARCH(Recherche!$C$7,H2101))),OR(Recherche!$C$8="",J2101=Recherche!$C$8),OR(Recherche!$C$9="",I2101=Recherche!$C$9),OR(Recherche!$C$10="",G2101&amp;""=Recherche!$C$10&amp;""),OR(Recherche!$C$11="",E2101=Recherche!$C$11),OR(Recherche!$C$12="",ISNUMBER(SEARCH(Recherche!$C$12,M2101&amp;" "&amp;F2101)))),1,0)</f>
        <v>8</v>
      </c>
    </row>
    <row r="2102" customFormat="false" ht="15" hidden="false" customHeight="false" outlineLevel="0" collapsed="false">
      <c r="A2102" s="19"/>
      <c r="B2102" s="19"/>
      <c r="C2102" s="19"/>
      <c r="D2102" s="19"/>
      <c r="E2102" s="22"/>
      <c r="F2102" s="19"/>
      <c r="G2102" s="26" t="str">
        <f aca="false">IF(D2102="","",IFERROR(VALUE(LEFT(D2102,FIND(" |",D2102&amp;" |")-1)),"?"))</f>
        <v/>
      </c>
      <c r="H2102" s="27" t="str">
        <f aca="false">IF(G2102="","",IF(G2102="?","⚠ pub inconnue",IFERROR(INDEX(Pubs!$B$2:$B$3001,MATCH(G2102,Pubs!$A$2:$A$3001,0))&amp;"","⚠ pub inconnue")))</f>
        <v/>
      </c>
      <c r="I2102" s="27" t="str">
        <f aca="false">IF(OR(G2102="",G2102="?"),"",IFERROR(INDEX(Pubs!$C$2:$C$3001,MATCH(G2102,Pubs!$A$2:$A$3001,0))&amp;"",""))</f>
        <v/>
      </c>
      <c r="J2102" s="27" t="str">
        <f aca="false">IF(OR(G2102="",G2102="?"),"",IFERROR(INDEX(Pubs!$G$2:$G$3001,MATCH(G2102,Pubs!$A$2:$A$3001,0))&amp;"",""))</f>
        <v/>
      </c>
      <c r="K2102" s="28" t="str">
        <f aca="false">IF(OR(G2102="",G2102="?"),"",IFERROR(INDEX(Pubs!$E$2:$E$3001,MATCH(G2102,Pubs!$A$2:$A$3001,0)),""))</f>
        <v/>
      </c>
      <c r="L2102" s="29" t="str">
        <f aca="false">IF(A2102="","",IFERROR(1/(1/INDEX(Numéros!$C$2:$C$3001,MATCH(A2102&amp;"|"&amp;B2102,Numéros!$F$2:$F$3001,0))),""))</f>
        <v/>
      </c>
      <c r="M2102" s="27" t="str">
        <f aca="false">IF(OR(G2102="",G2102="?"),"",IFERROR(INDEX(Pubs!$D$2:$D$3001,MATCH(G2102,Pubs!$A$2:$A$3001,0))&amp;"",""))</f>
        <v/>
      </c>
      <c r="N2102" s="27" t="n">
        <f aca="false">N(N2101)+IF(AND(A2102&lt;&gt;"",OR(Recherche!$C$4="",A2102=Recherche!$C$4),OR(Recherche!$C$5="",B2102&amp;""=Recherche!$C$5&amp;""),OR(Recherche!$C$6="",IFERROR(YEAR(L2102),0)=Recherche!$C$6),OR(Recherche!$C$7="",ISNUMBER(SEARCH(Recherche!$C$7,H2102))),OR(Recherche!$C$8="",J2102=Recherche!$C$8),OR(Recherche!$C$9="",I2102=Recherche!$C$9),OR(Recherche!$C$10="",G2102&amp;""=Recherche!$C$10&amp;""),OR(Recherche!$C$11="",E2102=Recherche!$C$11),OR(Recherche!$C$12="",ISNUMBER(SEARCH(Recherche!$C$12,M2102&amp;" "&amp;F2102)))),1,0)</f>
        <v>8</v>
      </c>
    </row>
    <row r="2103" customFormat="false" ht="15" hidden="false" customHeight="false" outlineLevel="0" collapsed="false">
      <c r="A2103" s="19"/>
      <c r="B2103" s="19"/>
      <c r="C2103" s="19"/>
      <c r="D2103" s="19"/>
      <c r="E2103" s="22"/>
      <c r="F2103" s="19"/>
      <c r="G2103" s="26" t="str">
        <f aca="false">IF(D2103="","",IFERROR(VALUE(LEFT(D2103,FIND(" |",D2103&amp;" |")-1)),"?"))</f>
        <v/>
      </c>
      <c r="H2103" s="27" t="str">
        <f aca="false">IF(G2103="","",IF(G2103="?","⚠ pub inconnue",IFERROR(INDEX(Pubs!$B$2:$B$3001,MATCH(G2103,Pubs!$A$2:$A$3001,0))&amp;"","⚠ pub inconnue")))</f>
        <v/>
      </c>
      <c r="I2103" s="27" t="str">
        <f aca="false">IF(OR(G2103="",G2103="?"),"",IFERROR(INDEX(Pubs!$C$2:$C$3001,MATCH(G2103,Pubs!$A$2:$A$3001,0))&amp;"",""))</f>
        <v/>
      </c>
      <c r="J2103" s="27" t="str">
        <f aca="false">IF(OR(G2103="",G2103="?"),"",IFERROR(INDEX(Pubs!$G$2:$G$3001,MATCH(G2103,Pubs!$A$2:$A$3001,0))&amp;"",""))</f>
        <v/>
      </c>
      <c r="K2103" s="28" t="str">
        <f aca="false">IF(OR(G2103="",G2103="?"),"",IFERROR(INDEX(Pubs!$E$2:$E$3001,MATCH(G2103,Pubs!$A$2:$A$3001,0)),""))</f>
        <v/>
      </c>
      <c r="L2103" s="29" t="str">
        <f aca="false">IF(A2103="","",IFERROR(1/(1/INDEX(Numéros!$C$2:$C$3001,MATCH(A2103&amp;"|"&amp;B2103,Numéros!$F$2:$F$3001,0))),""))</f>
        <v/>
      </c>
      <c r="M2103" s="27" t="str">
        <f aca="false">IF(OR(G2103="",G2103="?"),"",IFERROR(INDEX(Pubs!$D$2:$D$3001,MATCH(G2103,Pubs!$A$2:$A$3001,0))&amp;"",""))</f>
        <v/>
      </c>
      <c r="N2103" s="27" t="n">
        <f aca="false">N(N2102)+IF(AND(A2103&lt;&gt;"",OR(Recherche!$C$4="",A2103=Recherche!$C$4),OR(Recherche!$C$5="",B2103&amp;""=Recherche!$C$5&amp;""),OR(Recherche!$C$6="",IFERROR(YEAR(L2103),0)=Recherche!$C$6),OR(Recherche!$C$7="",ISNUMBER(SEARCH(Recherche!$C$7,H2103))),OR(Recherche!$C$8="",J2103=Recherche!$C$8),OR(Recherche!$C$9="",I2103=Recherche!$C$9),OR(Recherche!$C$10="",G2103&amp;""=Recherche!$C$10&amp;""),OR(Recherche!$C$11="",E2103=Recherche!$C$11),OR(Recherche!$C$12="",ISNUMBER(SEARCH(Recherche!$C$12,M2103&amp;" "&amp;F2103)))),1,0)</f>
        <v>8</v>
      </c>
    </row>
    <row r="2104" customFormat="false" ht="15" hidden="false" customHeight="false" outlineLevel="0" collapsed="false">
      <c r="A2104" s="19"/>
      <c r="B2104" s="19"/>
      <c r="C2104" s="19"/>
      <c r="D2104" s="19"/>
      <c r="E2104" s="22"/>
      <c r="F2104" s="19"/>
      <c r="G2104" s="26" t="str">
        <f aca="false">IF(D2104="","",IFERROR(VALUE(LEFT(D2104,FIND(" |",D2104&amp;" |")-1)),"?"))</f>
        <v/>
      </c>
      <c r="H2104" s="27" t="str">
        <f aca="false">IF(G2104="","",IF(G2104="?","⚠ pub inconnue",IFERROR(INDEX(Pubs!$B$2:$B$3001,MATCH(G2104,Pubs!$A$2:$A$3001,0))&amp;"","⚠ pub inconnue")))</f>
        <v/>
      </c>
      <c r="I2104" s="27" t="str">
        <f aca="false">IF(OR(G2104="",G2104="?"),"",IFERROR(INDEX(Pubs!$C$2:$C$3001,MATCH(G2104,Pubs!$A$2:$A$3001,0))&amp;"",""))</f>
        <v/>
      </c>
      <c r="J2104" s="27" t="str">
        <f aca="false">IF(OR(G2104="",G2104="?"),"",IFERROR(INDEX(Pubs!$G$2:$G$3001,MATCH(G2104,Pubs!$A$2:$A$3001,0))&amp;"",""))</f>
        <v/>
      </c>
      <c r="K2104" s="28" t="str">
        <f aca="false">IF(OR(G2104="",G2104="?"),"",IFERROR(INDEX(Pubs!$E$2:$E$3001,MATCH(G2104,Pubs!$A$2:$A$3001,0)),""))</f>
        <v/>
      </c>
      <c r="L2104" s="29" t="str">
        <f aca="false">IF(A2104="","",IFERROR(1/(1/INDEX(Numéros!$C$2:$C$3001,MATCH(A2104&amp;"|"&amp;B2104,Numéros!$F$2:$F$3001,0))),""))</f>
        <v/>
      </c>
      <c r="M2104" s="27" t="str">
        <f aca="false">IF(OR(G2104="",G2104="?"),"",IFERROR(INDEX(Pubs!$D$2:$D$3001,MATCH(G2104,Pubs!$A$2:$A$3001,0))&amp;"",""))</f>
        <v/>
      </c>
      <c r="N2104" s="27" t="n">
        <f aca="false">N(N2103)+IF(AND(A2104&lt;&gt;"",OR(Recherche!$C$4="",A2104=Recherche!$C$4),OR(Recherche!$C$5="",B2104&amp;""=Recherche!$C$5&amp;""),OR(Recherche!$C$6="",IFERROR(YEAR(L2104),0)=Recherche!$C$6),OR(Recherche!$C$7="",ISNUMBER(SEARCH(Recherche!$C$7,H2104))),OR(Recherche!$C$8="",J2104=Recherche!$C$8),OR(Recherche!$C$9="",I2104=Recherche!$C$9),OR(Recherche!$C$10="",G2104&amp;""=Recherche!$C$10&amp;""),OR(Recherche!$C$11="",E2104=Recherche!$C$11),OR(Recherche!$C$12="",ISNUMBER(SEARCH(Recherche!$C$12,M2104&amp;" "&amp;F2104)))),1,0)</f>
        <v>8</v>
      </c>
    </row>
    <row r="2105" customFormat="false" ht="15" hidden="false" customHeight="false" outlineLevel="0" collapsed="false">
      <c r="A2105" s="19"/>
      <c r="B2105" s="19"/>
      <c r="C2105" s="19"/>
      <c r="D2105" s="19"/>
      <c r="E2105" s="22"/>
      <c r="F2105" s="19"/>
      <c r="G2105" s="26" t="str">
        <f aca="false">IF(D2105="","",IFERROR(VALUE(LEFT(D2105,FIND(" |",D2105&amp;" |")-1)),"?"))</f>
        <v/>
      </c>
      <c r="H2105" s="27" t="str">
        <f aca="false">IF(G2105="","",IF(G2105="?","⚠ pub inconnue",IFERROR(INDEX(Pubs!$B$2:$B$3001,MATCH(G2105,Pubs!$A$2:$A$3001,0))&amp;"","⚠ pub inconnue")))</f>
        <v/>
      </c>
      <c r="I2105" s="27" t="str">
        <f aca="false">IF(OR(G2105="",G2105="?"),"",IFERROR(INDEX(Pubs!$C$2:$C$3001,MATCH(G2105,Pubs!$A$2:$A$3001,0))&amp;"",""))</f>
        <v/>
      </c>
      <c r="J2105" s="27" t="str">
        <f aca="false">IF(OR(G2105="",G2105="?"),"",IFERROR(INDEX(Pubs!$G$2:$G$3001,MATCH(G2105,Pubs!$A$2:$A$3001,0))&amp;"",""))</f>
        <v/>
      </c>
      <c r="K2105" s="28" t="str">
        <f aca="false">IF(OR(G2105="",G2105="?"),"",IFERROR(INDEX(Pubs!$E$2:$E$3001,MATCH(G2105,Pubs!$A$2:$A$3001,0)),""))</f>
        <v/>
      </c>
      <c r="L2105" s="29" t="str">
        <f aca="false">IF(A2105="","",IFERROR(1/(1/INDEX(Numéros!$C$2:$C$3001,MATCH(A2105&amp;"|"&amp;B2105,Numéros!$F$2:$F$3001,0))),""))</f>
        <v/>
      </c>
      <c r="M2105" s="27" t="str">
        <f aca="false">IF(OR(G2105="",G2105="?"),"",IFERROR(INDEX(Pubs!$D$2:$D$3001,MATCH(G2105,Pubs!$A$2:$A$3001,0))&amp;"",""))</f>
        <v/>
      </c>
      <c r="N2105" s="27" t="n">
        <f aca="false">N(N2104)+IF(AND(A2105&lt;&gt;"",OR(Recherche!$C$4="",A2105=Recherche!$C$4),OR(Recherche!$C$5="",B2105&amp;""=Recherche!$C$5&amp;""),OR(Recherche!$C$6="",IFERROR(YEAR(L2105),0)=Recherche!$C$6),OR(Recherche!$C$7="",ISNUMBER(SEARCH(Recherche!$C$7,H2105))),OR(Recherche!$C$8="",J2105=Recherche!$C$8),OR(Recherche!$C$9="",I2105=Recherche!$C$9),OR(Recherche!$C$10="",G2105&amp;""=Recherche!$C$10&amp;""),OR(Recherche!$C$11="",E2105=Recherche!$C$11),OR(Recherche!$C$12="",ISNUMBER(SEARCH(Recherche!$C$12,M2105&amp;" "&amp;F2105)))),1,0)</f>
        <v>8</v>
      </c>
    </row>
    <row r="2106" customFormat="false" ht="15" hidden="false" customHeight="false" outlineLevel="0" collapsed="false">
      <c r="A2106" s="19"/>
      <c r="B2106" s="19"/>
      <c r="C2106" s="19"/>
      <c r="D2106" s="19"/>
      <c r="E2106" s="22"/>
      <c r="F2106" s="19"/>
      <c r="G2106" s="26" t="str">
        <f aca="false">IF(D2106="","",IFERROR(VALUE(LEFT(D2106,FIND(" |",D2106&amp;" |")-1)),"?"))</f>
        <v/>
      </c>
      <c r="H2106" s="27" t="str">
        <f aca="false">IF(G2106="","",IF(G2106="?","⚠ pub inconnue",IFERROR(INDEX(Pubs!$B$2:$B$3001,MATCH(G2106,Pubs!$A$2:$A$3001,0))&amp;"","⚠ pub inconnue")))</f>
        <v/>
      </c>
      <c r="I2106" s="27" t="str">
        <f aca="false">IF(OR(G2106="",G2106="?"),"",IFERROR(INDEX(Pubs!$C$2:$C$3001,MATCH(G2106,Pubs!$A$2:$A$3001,0))&amp;"",""))</f>
        <v/>
      </c>
      <c r="J2106" s="27" t="str">
        <f aca="false">IF(OR(G2106="",G2106="?"),"",IFERROR(INDEX(Pubs!$G$2:$G$3001,MATCH(G2106,Pubs!$A$2:$A$3001,0))&amp;"",""))</f>
        <v/>
      </c>
      <c r="K2106" s="28" t="str">
        <f aca="false">IF(OR(G2106="",G2106="?"),"",IFERROR(INDEX(Pubs!$E$2:$E$3001,MATCH(G2106,Pubs!$A$2:$A$3001,0)),""))</f>
        <v/>
      </c>
      <c r="L2106" s="29" t="str">
        <f aca="false">IF(A2106="","",IFERROR(1/(1/INDEX(Numéros!$C$2:$C$3001,MATCH(A2106&amp;"|"&amp;B2106,Numéros!$F$2:$F$3001,0))),""))</f>
        <v/>
      </c>
      <c r="M2106" s="27" t="str">
        <f aca="false">IF(OR(G2106="",G2106="?"),"",IFERROR(INDEX(Pubs!$D$2:$D$3001,MATCH(G2106,Pubs!$A$2:$A$3001,0))&amp;"",""))</f>
        <v/>
      </c>
      <c r="N2106" s="27" t="n">
        <f aca="false">N(N2105)+IF(AND(A2106&lt;&gt;"",OR(Recherche!$C$4="",A2106=Recherche!$C$4),OR(Recherche!$C$5="",B2106&amp;""=Recherche!$C$5&amp;""),OR(Recherche!$C$6="",IFERROR(YEAR(L2106),0)=Recherche!$C$6),OR(Recherche!$C$7="",ISNUMBER(SEARCH(Recherche!$C$7,H2106))),OR(Recherche!$C$8="",J2106=Recherche!$C$8),OR(Recherche!$C$9="",I2106=Recherche!$C$9),OR(Recherche!$C$10="",G2106&amp;""=Recherche!$C$10&amp;""),OR(Recherche!$C$11="",E2106=Recherche!$C$11),OR(Recherche!$C$12="",ISNUMBER(SEARCH(Recherche!$C$12,M2106&amp;" "&amp;F2106)))),1,0)</f>
        <v>8</v>
      </c>
    </row>
    <row r="2107" customFormat="false" ht="15" hidden="false" customHeight="false" outlineLevel="0" collapsed="false">
      <c r="A2107" s="19"/>
      <c r="B2107" s="19"/>
      <c r="C2107" s="19"/>
      <c r="D2107" s="19"/>
      <c r="E2107" s="22"/>
      <c r="F2107" s="19"/>
      <c r="G2107" s="26" t="str">
        <f aca="false">IF(D2107="","",IFERROR(VALUE(LEFT(D2107,FIND(" |",D2107&amp;" |")-1)),"?"))</f>
        <v/>
      </c>
      <c r="H2107" s="27" t="str">
        <f aca="false">IF(G2107="","",IF(G2107="?","⚠ pub inconnue",IFERROR(INDEX(Pubs!$B$2:$B$3001,MATCH(G2107,Pubs!$A$2:$A$3001,0))&amp;"","⚠ pub inconnue")))</f>
        <v/>
      </c>
      <c r="I2107" s="27" t="str">
        <f aca="false">IF(OR(G2107="",G2107="?"),"",IFERROR(INDEX(Pubs!$C$2:$C$3001,MATCH(G2107,Pubs!$A$2:$A$3001,0))&amp;"",""))</f>
        <v/>
      </c>
      <c r="J2107" s="27" t="str">
        <f aca="false">IF(OR(G2107="",G2107="?"),"",IFERROR(INDEX(Pubs!$G$2:$G$3001,MATCH(G2107,Pubs!$A$2:$A$3001,0))&amp;"",""))</f>
        <v/>
      </c>
      <c r="K2107" s="28" t="str">
        <f aca="false">IF(OR(G2107="",G2107="?"),"",IFERROR(INDEX(Pubs!$E$2:$E$3001,MATCH(G2107,Pubs!$A$2:$A$3001,0)),""))</f>
        <v/>
      </c>
      <c r="L2107" s="29" t="str">
        <f aca="false">IF(A2107="","",IFERROR(1/(1/INDEX(Numéros!$C$2:$C$3001,MATCH(A2107&amp;"|"&amp;B2107,Numéros!$F$2:$F$3001,0))),""))</f>
        <v/>
      </c>
      <c r="M2107" s="27" t="str">
        <f aca="false">IF(OR(G2107="",G2107="?"),"",IFERROR(INDEX(Pubs!$D$2:$D$3001,MATCH(G2107,Pubs!$A$2:$A$3001,0))&amp;"",""))</f>
        <v/>
      </c>
      <c r="N2107" s="27" t="n">
        <f aca="false">N(N2106)+IF(AND(A2107&lt;&gt;"",OR(Recherche!$C$4="",A2107=Recherche!$C$4),OR(Recherche!$C$5="",B2107&amp;""=Recherche!$C$5&amp;""),OR(Recherche!$C$6="",IFERROR(YEAR(L2107),0)=Recherche!$C$6),OR(Recherche!$C$7="",ISNUMBER(SEARCH(Recherche!$C$7,H2107))),OR(Recherche!$C$8="",J2107=Recherche!$C$8),OR(Recherche!$C$9="",I2107=Recherche!$C$9),OR(Recherche!$C$10="",G2107&amp;""=Recherche!$C$10&amp;""),OR(Recherche!$C$11="",E2107=Recherche!$C$11),OR(Recherche!$C$12="",ISNUMBER(SEARCH(Recherche!$C$12,M2107&amp;" "&amp;F2107)))),1,0)</f>
        <v>8</v>
      </c>
    </row>
    <row r="2108" customFormat="false" ht="15" hidden="false" customHeight="false" outlineLevel="0" collapsed="false">
      <c r="A2108" s="19"/>
      <c r="B2108" s="19"/>
      <c r="C2108" s="19"/>
      <c r="D2108" s="19"/>
      <c r="E2108" s="22"/>
      <c r="F2108" s="19"/>
      <c r="G2108" s="26" t="str">
        <f aca="false">IF(D2108="","",IFERROR(VALUE(LEFT(D2108,FIND(" |",D2108&amp;" |")-1)),"?"))</f>
        <v/>
      </c>
      <c r="H2108" s="27" t="str">
        <f aca="false">IF(G2108="","",IF(G2108="?","⚠ pub inconnue",IFERROR(INDEX(Pubs!$B$2:$B$3001,MATCH(G2108,Pubs!$A$2:$A$3001,0))&amp;"","⚠ pub inconnue")))</f>
        <v/>
      </c>
      <c r="I2108" s="27" t="str">
        <f aca="false">IF(OR(G2108="",G2108="?"),"",IFERROR(INDEX(Pubs!$C$2:$C$3001,MATCH(G2108,Pubs!$A$2:$A$3001,0))&amp;"",""))</f>
        <v/>
      </c>
      <c r="J2108" s="27" t="str">
        <f aca="false">IF(OR(G2108="",G2108="?"),"",IFERROR(INDEX(Pubs!$G$2:$G$3001,MATCH(G2108,Pubs!$A$2:$A$3001,0))&amp;"",""))</f>
        <v/>
      </c>
      <c r="K2108" s="28" t="str">
        <f aca="false">IF(OR(G2108="",G2108="?"),"",IFERROR(INDEX(Pubs!$E$2:$E$3001,MATCH(G2108,Pubs!$A$2:$A$3001,0)),""))</f>
        <v/>
      </c>
      <c r="L2108" s="29" t="str">
        <f aca="false">IF(A2108="","",IFERROR(1/(1/INDEX(Numéros!$C$2:$C$3001,MATCH(A2108&amp;"|"&amp;B2108,Numéros!$F$2:$F$3001,0))),""))</f>
        <v/>
      </c>
      <c r="M2108" s="27" t="str">
        <f aca="false">IF(OR(G2108="",G2108="?"),"",IFERROR(INDEX(Pubs!$D$2:$D$3001,MATCH(G2108,Pubs!$A$2:$A$3001,0))&amp;"",""))</f>
        <v/>
      </c>
      <c r="N2108" s="27" t="n">
        <f aca="false">N(N2107)+IF(AND(A2108&lt;&gt;"",OR(Recherche!$C$4="",A2108=Recherche!$C$4),OR(Recherche!$C$5="",B2108&amp;""=Recherche!$C$5&amp;""),OR(Recherche!$C$6="",IFERROR(YEAR(L2108),0)=Recherche!$C$6),OR(Recherche!$C$7="",ISNUMBER(SEARCH(Recherche!$C$7,H2108))),OR(Recherche!$C$8="",J2108=Recherche!$C$8),OR(Recherche!$C$9="",I2108=Recherche!$C$9),OR(Recherche!$C$10="",G2108&amp;""=Recherche!$C$10&amp;""),OR(Recherche!$C$11="",E2108=Recherche!$C$11),OR(Recherche!$C$12="",ISNUMBER(SEARCH(Recherche!$C$12,M2108&amp;" "&amp;F2108)))),1,0)</f>
        <v>8</v>
      </c>
    </row>
    <row r="2109" customFormat="false" ht="15" hidden="false" customHeight="false" outlineLevel="0" collapsed="false">
      <c r="A2109" s="19"/>
      <c r="B2109" s="19"/>
      <c r="C2109" s="19"/>
      <c r="D2109" s="19"/>
      <c r="E2109" s="22"/>
      <c r="F2109" s="19"/>
      <c r="G2109" s="26" t="str">
        <f aca="false">IF(D2109="","",IFERROR(VALUE(LEFT(D2109,FIND(" |",D2109&amp;" |")-1)),"?"))</f>
        <v/>
      </c>
      <c r="H2109" s="27" t="str">
        <f aca="false">IF(G2109="","",IF(G2109="?","⚠ pub inconnue",IFERROR(INDEX(Pubs!$B$2:$B$3001,MATCH(G2109,Pubs!$A$2:$A$3001,0))&amp;"","⚠ pub inconnue")))</f>
        <v/>
      </c>
      <c r="I2109" s="27" t="str">
        <f aca="false">IF(OR(G2109="",G2109="?"),"",IFERROR(INDEX(Pubs!$C$2:$C$3001,MATCH(G2109,Pubs!$A$2:$A$3001,0))&amp;"",""))</f>
        <v/>
      </c>
      <c r="J2109" s="27" t="str">
        <f aca="false">IF(OR(G2109="",G2109="?"),"",IFERROR(INDEX(Pubs!$G$2:$G$3001,MATCH(G2109,Pubs!$A$2:$A$3001,0))&amp;"",""))</f>
        <v/>
      </c>
      <c r="K2109" s="28" t="str">
        <f aca="false">IF(OR(G2109="",G2109="?"),"",IFERROR(INDEX(Pubs!$E$2:$E$3001,MATCH(G2109,Pubs!$A$2:$A$3001,0)),""))</f>
        <v/>
      </c>
      <c r="L2109" s="29" t="str">
        <f aca="false">IF(A2109="","",IFERROR(1/(1/INDEX(Numéros!$C$2:$C$3001,MATCH(A2109&amp;"|"&amp;B2109,Numéros!$F$2:$F$3001,0))),""))</f>
        <v/>
      </c>
      <c r="M2109" s="27" t="str">
        <f aca="false">IF(OR(G2109="",G2109="?"),"",IFERROR(INDEX(Pubs!$D$2:$D$3001,MATCH(G2109,Pubs!$A$2:$A$3001,0))&amp;"",""))</f>
        <v/>
      </c>
      <c r="N2109" s="27" t="n">
        <f aca="false">N(N2108)+IF(AND(A2109&lt;&gt;"",OR(Recherche!$C$4="",A2109=Recherche!$C$4),OR(Recherche!$C$5="",B2109&amp;""=Recherche!$C$5&amp;""),OR(Recherche!$C$6="",IFERROR(YEAR(L2109),0)=Recherche!$C$6),OR(Recherche!$C$7="",ISNUMBER(SEARCH(Recherche!$C$7,H2109))),OR(Recherche!$C$8="",J2109=Recherche!$C$8),OR(Recherche!$C$9="",I2109=Recherche!$C$9),OR(Recherche!$C$10="",G2109&amp;""=Recherche!$C$10&amp;""),OR(Recherche!$C$11="",E2109=Recherche!$C$11),OR(Recherche!$C$12="",ISNUMBER(SEARCH(Recherche!$C$12,M2109&amp;" "&amp;F2109)))),1,0)</f>
        <v>8</v>
      </c>
    </row>
    <row r="2110" customFormat="false" ht="15" hidden="false" customHeight="false" outlineLevel="0" collapsed="false">
      <c r="A2110" s="19"/>
      <c r="B2110" s="19"/>
      <c r="C2110" s="19"/>
      <c r="D2110" s="19"/>
      <c r="E2110" s="22"/>
      <c r="F2110" s="19"/>
      <c r="G2110" s="26" t="str">
        <f aca="false">IF(D2110="","",IFERROR(VALUE(LEFT(D2110,FIND(" |",D2110&amp;" |")-1)),"?"))</f>
        <v/>
      </c>
      <c r="H2110" s="27" t="str">
        <f aca="false">IF(G2110="","",IF(G2110="?","⚠ pub inconnue",IFERROR(INDEX(Pubs!$B$2:$B$3001,MATCH(G2110,Pubs!$A$2:$A$3001,0))&amp;"","⚠ pub inconnue")))</f>
        <v/>
      </c>
      <c r="I2110" s="27" t="str">
        <f aca="false">IF(OR(G2110="",G2110="?"),"",IFERROR(INDEX(Pubs!$C$2:$C$3001,MATCH(G2110,Pubs!$A$2:$A$3001,0))&amp;"",""))</f>
        <v/>
      </c>
      <c r="J2110" s="27" t="str">
        <f aca="false">IF(OR(G2110="",G2110="?"),"",IFERROR(INDEX(Pubs!$G$2:$G$3001,MATCH(G2110,Pubs!$A$2:$A$3001,0))&amp;"",""))</f>
        <v/>
      </c>
      <c r="K2110" s="28" t="str">
        <f aca="false">IF(OR(G2110="",G2110="?"),"",IFERROR(INDEX(Pubs!$E$2:$E$3001,MATCH(G2110,Pubs!$A$2:$A$3001,0)),""))</f>
        <v/>
      </c>
      <c r="L2110" s="29" t="str">
        <f aca="false">IF(A2110="","",IFERROR(1/(1/INDEX(Numéros!$C$2:$C$3001,MATCH(A2110&amp;"|"&amp;B2110,Numéros!$F$2:$F$3001,0))),""))</f>
        <v/>
      </c>
      <c r="M2110" s="27" t="str">
        <f aca="false">IF(OR(G2110="",G2110="?"),"",IFERROR(INDEX(Pubs!$D$2:$D$3001,MATCH(G2110,Pubs!$A$2:$A$3001,0))&amp;"",""))</f>
        <v/>
      </c>
      <c r="N2110" s="27" t="n">
        <f aca="false">N(N2109)+IF(AND(A2110&lt;&gt;"",OR(Recherche!$C$4="",A2110=Recherche!$C$4),OR(Recherche!$C$5="",B2110&amp;""=Recherche!$C$5&amp;""),OR(Recherche!$C$6="",IFERROR(YEAR(L2110),0)=Recherche!$C$6),OR(Recherche!$C$7="",ISNUMBER(SEARCH(Recherche!$C$7,H2110))),OR(Recherche!$C$8="",J2110=Recherche!$C$8),OR(Recherche!$C$9="",I2110=Recherche!$C$9),OR(Recherche!$C$10="",G2110&amp;""=Recherche!$C$10&amp;""),OR(Recherche!$C$11="",E2110=Recherche!$C$11),OR(Recherche!$C$12="",ISNUMBER(SEARCH(Recherche!$C$12,M2110&amp;" "&amp;F2110)))),1,0)</f>
        <v>8</v>
      </c>
    </row>
    <row r="2111" customFormat="false" ht="15" hidden="false" customHeight="false" outlineLevel="0" collapsed="false">
      <c r="A2111" s="19"/>
      <c r="B2111" s="19"/>
      <c r="C2111" s="19"/>
      <c r="D2111" s="19"/>
      <c r="E2111" s="22"/>
      <c r="F2111" s="19"/>
      <c r="G2111" s="26" t="str">
        <f aca="false">IF(D2111="","",IFERROR(VALUE(LEFT(D2111,FIND(" |",D2111&amp;" |")-1)),"?"))</f>
        <v/>
      </c>
      <c r="H2111" s="27" t="str">
        <f aca="false">IF(G2111="","",IF(G2111="?","⚠ pub inconnue",IFERROR(INDEX(Pubs!$B$2:$B$3001,MATCH(G2111,Pubs!$A$2:$A$3001,0))&amp;"","⚠ pub inconnue")))</f>
        <v/>
      </c>
      <c r="I2111" s="27" t="str">
        <f aca="false">IF(OR(G2111="",G2111="?"),"",IFERROR(INDEX(Pubs!$C$2:$C$3001,MATCH(G2111,Pubs!$A$2:$A$3001,0))&amp;"",""))</f>
        <v/>
      </c>
      <c r="J2111" s="27" t="str">
        <f aca="false">IF(OR(G2111="",G2111="?"),"",IFERROR(INDEX(Pubs!$G$2:$G$3001,MATCH(G2111,Pubs!$A$2:$A$3001,0))&amp;"",""))</f>
        <v/>
      </c>
      <c r="K2111" s="28" t="str">
        <f aca="false">IF(OR(G2111="",G2111="?"),"",IFERROR(INDEX(Pubs!$E$2:$E$3001,MATCH(G2111,Pubs!$A$2:$A$3001,0)),""))</f>
        <v/>
      </c>
      <c r="L2111" s="29" t="str">
        <f aca="false">IF(A2111="","",IFERROR(1/(1/INDEX(Numéros!$C$2:$C$3001,MATCH(A2111&amp;"|"&amp;B2111,Numéros!$F$2:$F$3001,0))),""))</f>
        <v/>
      </c>
      <c r="M2111" s="27" t="str">
        <f aca="false">IF(OR(G2111="",G2111="?"),"",IFERROR(INDEX(Pubs!$D$2:$D$3001,MATCH(G2111,Pubs!$A$2:$A$3001,0))&amp;"",""))</f>
        <v/>
      </c>
      <c r="N2111" s="27" t="n">
        <f aca="false">N(N2110)+IF(AND(A2111&lt;&gt;"",OR(Recherche!$C$4="",A2111=Recherche!$C$4),OR(Recherche!$C$5="",B2111&amp;""=Recherche!$C$5&amp;""),OR(Recherche!$C$6="",IFERROR(YEAR(L2111),0)=Recherche!$C$6),OR(Recherche!$C$7="",ISNUMBER(SEARCH(Recherche!$C$7,H2111))),OR(Recherche!$C$8="",J2111=Recherche!$C$8),OR(Recherche!$C$9="",I2111=Recherche!$C$9),OR(Recherche!$C$10="",G2111&amp;""=Recherche!$C$10&amp;""),OR(Recherche!$C$11="",E2111=Recherche!$C$11),OR(Recherche!$C$12="",ISNUMBER(SEARCH(Recherche!$C$12,M2111&amp;" "&amp;F2111)))),1,0)</f>
        <v>8</v>
      </c>
    </row>
    <row r="2112" customFormat="false" ht="15" hidden="false" customHeight="false" outlineLevel="0" collapsed="false">
      <c r="A2112" s="19"/>
      <c r="B2112" s="19"/>
      <c r="C2112" s="19"/>
      <c r="D2112" s="19"/>
      <c r="E2112" s="22"/>
      <c r="F2112" s="19"/>
      <c r="G2112" s="26" t="str">
        <f aca="false">IF(D2112="","",IFERROR(VALUE(LEFT(D2112,FIND(" |",D2112&amp;" |")-1)),"?"))</f>
        <v/>
      </c>
      <c r="H2112" s="27" t="str">
        <f aca="false">IF(G2112="","",IF(G2112="?","⚠ pub inconnue",IFERROR(INDEX(Pubs!$B$2:$B$3001,MATCH(G2112,Pubs!$A$2:$A$3001,0))&amp;"","⚠ pub inconnue")))</f>
        <v/>
      </c>
      <c r="I2112" s="27" t="str">
        <f aca="false">IF(OR(G2112="",G2112="?"),"",IFERROR(INDEX(Pubs!$C$2:$C$3001,MATCH(G2112,Pubs!$A$2:$A$3001,0))&amp;"",""))</f>
        <v/>
      </c>
      <c r="J2112" s="27" t="str">
        <f aca="false">IF(OR(G2112="",G2112="?"),"",IFERROR(INDEX(Pubs!$G$2:$G$3001,MATCH(G2112,Pubs!$A$2:$A$3001,0))&amp;"",""))</f>
        <v/>
      </c>
      <c r="K2112" s="28" t="str">
        <f aca="false">IF(OR(G2112="",G2112="?"),"",IFERROR(INDEX(Pubs!$E$2:$E$3001,MATCH(G2112,Pubs!$A$2:$A$3001,0)),""))</f>
        <v/>
      </c>
      <c r="L2112" s="29" t="str">
        <f aca="false">IF(A2112="","",IFERROR(1/(1/INDEX(Numéros!$C$2:$C$3001,MATCH(A2112&amp;"|"&amp;B2112,Numéros!$F$2:$F$3001,0))),""))</f>
        <v/>
      </c>
      <c r="M2112" s="27" t="str">
        <f aca="false">IF(OR(G2112="",G2112="?"),"",IFERROR(INDEX(Pubs!$D$2:$D$3001,MATCH(G2112,Pubs!$A$2:$A$3001,0))&amp;"",""))</f>
        <v/>
      </c>
      <c r="N2112" s="27" t="n">
        <f aca="false">N(N2111)+IF(AND(A2112&lt;&gt;"",OR(Recherche!$C$4="",A2112=Recherche!$C$4),OR(Recherche!$C$5="",B2112&amp;""=Recherche!$C$5&amp;""),OR(Recherche!$C$6="",IFERROR(YEAR(L2112),0)=Recherche!$C$6),OR(Recherche!$C$7="",ISNUMBER(SEARCH(Recherche!$C$7,H2112))),OR(Recherche!$C$8="",J2112=Recherche!$C$8),OR(Recherche!$C$9="",I2112=Recherche!$C$9),OR(Recherche!$C$10="",G2112&amp;""=Recherche!$C$10&amp;""),OR(Recherche!$C$11="",E2112=Recherche!$C$11),OR(Recherche!$C$12="",ISNUMBER(SEARCH(Recherche!$C$12,M2112&amp;" "&amp;F2112)))),1,0)</f>
        <v>8</v>
      </c>
    </row>
    <row r="2113" customFormat="false" ht="15" hidden="false" customHeight="false" outlineLevel="0" collapsed="false">
      <c r="A2113" s="19"/>
      <c r="B2113" s="19"/>
      <c r="C2113" s="19"/>
      <c r="D2113" s="19"/>
      <c r="E2113" s="22"/>
      <c r="F2113" s="19"/>
      <c r="G2113" s="26" t="str">
        <f aca="false">IF(D2113="","",IFERROR(VALUE(LEFT(D2113,FIND(" |",D2113&amp;" |")-1)),"?"))</f>
        <v/>
      </c>
      <c r="H2113" s="27" t="str">
        <f aca="false">IF(G2113="","",IF(G2113="?","⚠ pub inconnue",IFERROR(INDEX(Pubs!$B$2:$B$3001,MATCH(G2113,Pubs!$A$2:$A$3001,0))&amp;"","⚠ pub inconnue")))</f>
        <v/>
      </c>
      <c r="I2113" s="27" t="str">
        <f aca="false">IF(OR(G2113="",G2113="?"),"",IFERROR(INDEX(Pubs!$C$2:$C$3001,MATCH(G2113,Pubs!$A$2:$A$3001,0))&amp;"",""))</f>
        <v/>
      </c>
      <c r="J2113" s="27" t="str">
        <f aca="false">IF(OR(G2113="",G2113="?"),"",IFERROR(INDEX(Pubs!$G$2:$G$3001,MATCH(G2113,Pubs!$A$2:$A$3001,0))&amp;"",""))</f>
        <v/>
      </c>
      <c r="K2113" s="28" t="str">
        <f aca="false">IF(OR(G2113="",G2113="?"),"",IFERROR(INDEX(Pubs!$E$2:$E$3001,MATCH(G2113,Pubs!$A$2:$A$3001,0)),""))</f>
        <v/>
      </c>
      <c r="L2113" s="29" t="str">
        <f aca="false">IF(A2113="","",IFERROR(1/(1/INDEX(Numéros!$C$2:$C$3001,MATCH(A2113&amp;"|"&amp;B2113,Numéros!$F$2:$F$3001,0))),""))</f>
        <v/>
      </c>
      <c r="M2113" s="27" t="str">
        <f aca="false">IF(OR(G2113="",G2113="?"),"",IFERROR(INDEX(Pubs!$D$2:$D$3001,MATCH(G2113,Pubs!$A$2:$A$3001,0))&amp;"",""))</f>
        <v/>
      </c>
      <c r="N2113" s="27" t="n">
        <f aca="false">N(N2112)+IF(AND(A2113&lt;&gt;"",OR(Recherche!$C$4="",A2113=Recherche!$C$4),OR(Recherche!$C$5="",B2113&amp;""=Recherche!$C$5&amp;""),OR(Recherche!$C$6="",IFERROR(YEAR(L2113),0)=Recherche!$C$6),OR(Recherche!$C$7="",ISNUMBER(SEARCH(Recherche!$C$7,H2113))),OR(Recherche!$C$8="",J2113=Recherche!$C$8),OR(Recherche!$C$9="",I2113=Recherche!$C$9),OR(Recherche!$C$10="",G2113&amp;""=Recherche!$C$10&amp;""),OR(Recherche!$C$11="",E2113=Recherche!$C$11),OR(Recherche!$C$12="",ISNUMBER(SEARCH(Recherche!$C$12,M2113&amp;" "&amp;F2113)))),1,0)</f>
        <v>8</v>
      </c>
    </row>
    <row r="2114" customFormat="false" ht="15" hidden="false" customHeight="false" outlineLevel="0" collapsed="false">
      <c r="A2114" s="19"/>
      <c r="B2114" s="19"/>
      <c r="C2114" s="19"/>
      <c r="D2114" s="19"/>
      <c r="E2114" s="22"/>
      <c r="F2114" s="19"/>
      <c r="G2114" s="26" t="str">
        <f aca="false">IF(D2114="","",IFERROR(VALUE(LEFT(D2114,FIND(" |",D2114&amp;" |")-1)),"?"))</f>
        <v/>
      </c>
      <c r="H2114" s="27" t="str">
        <f aca="false">IF(G2114="","",IF(G2114="?","⚠ pub inconnue",IFERROR(INDEX(Pubs!$B$2:$B$3001,MATCH(G2114,Pubs!$A$2:$A$3001,0))&amp;"","⚠ pub inconnue")))</f>
        <v/>
      </c>
      <c r="I2114" s="27" t="str">
        <f aca="false">IF(OR(G2114="",G2114="?"),"",IFERROR(INDEX(Pubs!$C$2:$C$3001,MATCH(G2114,Pubs!$A$2:$A$3001,0))&amp;"",""))</f>
        <v/>
      </c>
      <c r="J2114" s="27" t="str">
        <f aca="false">IF(OR(G2114="",G2114="?"),"",IFERROR(INDEX(Pubs!$G$2:$G$3001,MATCH(G2114,Pubs!$A$2:$A$3001,0))&amp;"",""))</f>
        <v/>
      </c>
      <c r="K2114" s="28" t="str">
        <f aca="false">IF(OR(G2114="",G2114="?"),"",IFERROR(INDEX(Pubs!$E$2:$E$3001,MATCH(G2114,Pubs!$A$2:$A$3001,0)),""))</f>
        <v/>
      </c>
      <c r="L2114" s="29" t="str">
        <f aca="false">IF(A2114="","",IFERROR(1/(1/INDEX(Numéros!$C$2:$C$3001,MATCH(A2114&amp;"|"&amp;B2114,Numéros!$F$2:$F$3001,0))),""))</f>
        <v/>
      </c>
      <c r="M2114" s="27" t="str">
        <f aca="false">IF(OR(G2114="",G2114="?"),"",IFERROR(INDEX(Pubs!$D$2:$D$3001,MATCH(G2114,Pubs!$A$2:$A$3001,0))&amp;"",""))</f>
        <v/>
      </c>
      <c r="N2114" s="27" t="n">
        <f aca="false">N(N2113)+IF(AND(A2114&lt;&gt;"",OR(Recherche!$C$4="",A2114=Recherche!$C$4),OR(Recherche!$C$5="",B2114&amp;""=Recherche!$C$5&amp;""),OR(Recherche!$C$6="",IFERROR(YEAR(L2114),0)=Recherche!$C$6),OR(Recherche!$C$7="",ISNUMBER(SEARCH(Recherche!$C$7,H2114))),OR(Recherche!$C$8="",J2114=Recherche!$C$8),OR(Recherche!$C$9="",I2114=Recherche!$C$9),OR(Recherche!$C$10="",G2114&amp;""=Recherche!$C$10&amp;""),OR(Recherche!$C$11="",E2114=Recherche!$C$11),OR(Recherche!$C$12="",ISNUMBER(SEARCH(Recherche!$C$12,M2114&amp;" "&amp;F2114)))),1,0)</f>
        <v>8</v>
      </c>
    </row>
    <row r="2115" customFormat="false" ht="15" hidden="false" customHeight="false" outlineLevel="0" collapsed="false">
      <c r="A2115" s="19"/>
      <c r="B2115" s="19"/>
      <c r="C2115" s="19"/>
      <c r="D2115" s="19"/>
      <c r="E2115" s="22"/>
      <c r="F2115" s="19"/>
      <c r="G2115" s="26" t="str">
        <f aca="false">IF(D2115="","",IFERROR(VALUE(LEFT(D2115,FIND(" |",D2115&amp;" |")-1)),"?"))</f>
        <v/>
      </c>
      <c r="H2115" s="27" t="str">
        <f aca="false">IF(G2115="","",IF(G2115="?","⚠ pub inconnue",IFERROR(INDEX(Pubs!$B$2:$B$3001,MATCH(G2115,Pubs!$A$2:$A$3001,0))&amp;"","⚠ pub inconnue")))</f>
        <v/>
      </c>
      <c r="I2115" s="27" t="str">
        <f aca="false">IF(OR(G2115="",G2115="?"),"",IFERROR(INDEX(Pubs!$C$2:$C$3001,MATCH(G2115,Pubs!$A$2:$A$3001,0))&amp;"",""))</f>
        <v/>
      </c>
      <c r="J2115" s="27" t="str">
        <f aca="false">IF(OR(G2115="",G2115="?"),"",IFERROR(INDEX(Pubs!$G$2:$G$3001,MATCH(G2115,Pubs!$A$2:$A$3001,0))&amp;"",""))</f>
        <v/>
      </c>
      <c r="K2115" s="28" t="str">
        <f aca="false">IF(OR(G2115="",G2115="?"),"",IFERROR(INDEX(Pubs!$E$2:$E$3001,MATCH(G2115,Pubs!$A$2:$A$3001,0)),""))</f>
        <v/>
      </c>
      <c r="L2115" s="29" t="str">
        <f aca="false">IF(A2115="","",IFERROR(1/(1/INDEX(Numéros!$C$2:$C$3001,MATCH(A2115&amp;"|"&amp;B2115,Numéros!$F$2:$F$3001,0))),""))</f>
        <v/>
      </c>
      <c r="M2115" s="27" t="str">
        <f aca="false">IF(OR(G2115="",G2115="?"),"",IFERROR(INDEX(Pubs!$D$2:$D$3001,MATCH(G2115,Pubs!$A$2:$A$3001,0))&amp;"",""))</f>
        <v/>
      </c>
      <c r="N2115" s="27" t="n">
        <f aca="false">N(N2114)+IF(AND(A2115&lt;&gt;"",OR(Recherche!$C$4="",A2115=Recherche!$C$4),OR(Recherche!$C$5="",B2115&amp;""=Recherche!$C$5&amp;""),OR(Recherche!$C$6="",IFERROR(YEAR(L2115),0)=Recherche!$C$6),OR(Recherche!$C$7="",ISNUMBER(SEARCH(Recherche!$C$7,H2115))),OR(Recherche!$C$8="",J2115=Recherche!$C$8),OR(Recherche!$C$9="",I2115=Recherche!$C$9),OR(Recherche!$C$10="",G2115&amp;""=Recherche!$C$10&amp;""),OR(Recherche!$C$11="",E2115=Recherche!$C$11),OR(Recherche!$C$12="",ISNUMBER(SEARCH(Recherche!$C$12,M2115&amp;" "&amp;F2115)))),1,0)</f>
        <v>8</v>
      </c>
    </row>
    <row r="2116" customFormat="false" ht="15" hidden="false" customHeight="false" outlineLevel="0" collapsed="false">
      <c r="A2116" s="19"/>
      <c r="B2116" s="19"/>
      <c r="C2116" s="19"/>
      <c r="D2116" s="19"/>
      <c r="E2116" s="22"/>
      <c r="F2116" s="19"/>
      <c r="G2116" s="26" t="str">
        <f aca="false">IF(D2116="","",IFERROR(VALUE(LEFT(D2116,FIND(" |",D2116&amp;" |")-1)),"?"))</f>
        <v/>
      </c>
      <c r="H2116" s="27" t="str">
        <f aca="false">IF(G2116="","",IF(G2116="?","⚠ pub inconnue",IFERROR(INDEX(Pubs!$B$2:$B$3001,MATCH(G2116,Pubs!$A$2:$A$3001,0))&amp;"","⚠ pub inconnue")))</f>
        <v/>
      </c>
      <c r="I2116" s="27" t="str">
        <f aca="false">IF(OR(G2116="",G2116="?"),"",IFERROR(INDEX(Pubs!$C$2:$C$3001,MATCH(G2116,Pubs!$A$2:$A$3001,0))&amp;"",""))</f>
        <v/>
      </c>
      <c r="J2116" s="27" t="str">
        <f aca="false">IF(OR(G2116="",G2116="?"),"",IFERROR(INDEX(Pubs!$G$2:$G$3001,MATCH(G2116,Pubs!$A$2:$A$3001,0))&amp;"",""))</f>
        <v/>
      </c>
      <c r="K2116" s="28" t="str">
        <f aca="false">IF(OR(G2116="",G2116="?"),"",IFERROR(INDEX(Pubs!$E$2:$E$3001,MATCH(G2116,Pubs!$A$2:$A$3001,0)),""))</f>
        <v/>
      </c>
      <c r="L2116" s="29" t="str">
        <f aca="false">IF(A2116="","",IFERROR(1/(1/INDEX(Numéros!$C$2:$C$3001,MATCH(A2116&amp;"|"&amp;B2116,Numéros!$F$2:$F$3001,0))),""))</f>
        <v/>
      </c>
      <c r="M2116" s="27" t="str">
        <f aca="false">IF(OR(G2116="",G2116="?"),"",IFERROR(INDEX(Pubs!$D$2:$D$3001,MATCH(G2116,Pubs!$A$2:$A$3001,0))&amp;"",""))</f>
        <v/>
      </c>
      <c r="N2116" s="27" t="n">
        <f aca="false">N(N2115)+IF(AND(A2116&lt;&gt;"",OR(Recherche!$C$4="",A2116=Recherche!$C$4),OR(Recherche!$C$5="",B2116&amp;""=Recherche!$C$5&amp;""),OR(Recherche!$C$6="",IFERROR(YEAR(L2116),0)=Recherche!$C$6),OR(Recherche!$C$7="",ISNUMBER(SEARCH(Recherche!$C$7,H2116))),OR(Recherche!$C$8="",J2116=Recherche!$C$8),OR(Recherche!$C$9="",I2116=Recherche!$C$9),OR(Recherche!$C$10="",G2116&amp;""=Recherche!$C$10&amp;""),OR(Recherche!$C$11="",E2116=Recherche!$C$11),OR(Recherche!$C$12="",ISNUMBER(SEARCH(Recherche!$C$12,M2116&amp;" "&amp;F2116)))),1,0)</f>
        <v>8</v>
      </c>
    </row>
    <row r="2117" customFormat="false" ht="15" hidden="false" customHeight="false" outlineLevel="0" collapsed="false">
      <c r="A2117" s="19"/>
      <c r="B2117" s="19"/>
      <c r="C2117" s="19"/>
      <c r="D2117" s="19"/>
      <c r="E2117" s="22"/>
      <c r="F2117" s="19"/>
      <c r="G2117" s="26" t="str">
        <f aca="false">IF(D2117="","",IFERROR(VALUE(LEFT(D2117,FIND(" |",D2117&amp;" |")-1)),"?"))</f>
        <v/>
      </c>
      <c r="H2117" s="27" t="str">
        <f aca="false">IF(G2117="","",IF(G2117="?","⚠ pub inconnue",IFERROR(INDEX(Pubs!$B$2:$B$3001,MATCH(G2117,Pubs!$A$2:$A$3001,0))&amp;"","⚠ pub inconnue")))</f>
        <v/>
      </c>
      <c r="I2117" s="27" t="str">
        <f aca="false">IF(OR(G2117="",G2117="?"),"",IFERROR(INDEX(Pubs!$C$2:$C$3001,MATCH(G2117,Pubs!$A$2:$A$3001,0))&amp;"",""))</f>
        <v/>
      </c>
      <c r="J2117" s="27" t="str">
        <f aca="false">IF(OR(G2117="",G2117="?"),"",IFERROR(INDEX(Pubs!$G$2:$G$3001,MATCH(G2117,Pubs!$A$2:$A$3001,0))&amp;"",""))</f>
        <v/>
      </c>
      <c r="K2117" s="28" t="str">
        <f aca="false">IF(OR(G2117="",G2117="?"),"",IFERROR(INDEX(Pubs!$E$2:$E$3001,MATCH(G2117,Pubs!$A$2:$A$3001,0)),""))</f>
        <v/>
      </c>
      <c r="L2117" s="29" t="str">
        <f aca="false">IF(A2117="","",IFERROR(1/(1/INDEX(Numéros!$C$2:$C$3001,MATCH(A2117&amp;"|"&amp;B2117,Numéros!$F$2:$F$3001,0))),""))</f>
        <v/>
      </c>
      <c r="M2117" s="27" t="str">
        <f aca="false">IF(OR(G2117="",G2117="?"),"",IFERROR(INDEX(Pubs!$D$2:$D$3001,MATCH(G2117,Pubs!$A$2:$A$3001,0))&amp;"",""))</f>
        <v/>
      </c>
      <c r="N2117" s="27" t="n">
        <f aca="false">N(N2116)+IF(AND(A2117&lt;&gt;"",OR(Recherche!$C$4="",A2117=Recherche!$C$4),OR(Recherche!$C$5="",B2117&amp;""=Recherche!$C$5&amp;""),OR(Recherche!$C$6="",IFERROR(YEAR(L2117),0)=Recherche!$C$6),OR(Recherche!$C$7="",ISNUMBER(SEARCH(Recherche!$C$7,H2117))),OR(Recherche!$C$8="",J2117=Recherche!$C$8),OR(Recherche!$C$9="",I2117=Recherche!$C$9),OR(Recherche!$C$10="",G2117&amp;""=Recherche!$C$10&amp;""),OR(Recherche!$C$11="",E2117=Recherche!$C$11),OR(Recherche!$C$12="",ISNUMBER(SEARCH(Recherche!$C$12,M2117&amp;" "&amp;F2117)))),1,0)</f>
        <v>8</v>
      </c>
    </row>
    <row r="2118" customFormat="false" ht="15" hidden="false" customHeight="false" outlineLevel="0" collapsed="false">
      <c r="A2118" s="19"/>
      <c r="B2118" s="19"/>
      <c r="C2118" s="19"/>
      <c r="D2118" s="19"/>
      <c r="E2118" s="22"/>
      <c r="F2118" s="19"/>
      <c r="G2118" s="26" t="str">
        <f aca="false">IF(D2118="","",IFERROR(VALUE(LEFT(D2118,FIND(" |",D2118&amp;" |")-1)),"?"))</f>
        <v/>
      </c>
      <c r="H2118" s="27" t="str">
        <f aca="false">IF(G2118="","",IF(G2118="?","⚠ pub inconnue",IFERROR(INDEX(Pubs!$B$2:$B$3001,MATCH(G2118,Pubs!$A$2:$A$3001,0))&amp;"","⚠ pub inconnue")))</f>
        <v/>
      </c>
      <c r="I2118" s="27" t="str">
        <f aca="false">IF(OR(G2118="",G2118="?"),"",IFERROR(INDEX(Pubs!$C$2:$C$3001,MATCH(G2118,Pubs!$A$2:$A$3001,0))&amp;"",""))</f>
        <v/>
      </c>
      <c r="J2118" s="27" t="str">
        <f aca="false">IF(OR(G2118="",G2118="?"),"",IFERROR(INDEX(Pubs!$G$2:$G$3001,MATCH(G2118,Pubs!$A$2:$A$3001,0))&amp;"",""))</f>
        <v/>
      </c>
      <c r="K2118" s="28" t="str">
        <f aca="false">IF(OR(G2118="",G2118="?"),"",IFERROR(INDEX(Pubs!$E$2:$E$3001,MATCH(G2118,Pubs!$A$2:$A$3001,0)),""))</f>
        <v/>
      </c>
      <c r="L2118" s="29" t="str">
        <f aca="false">IF(A2118="","",IFERROR(1/(1/INDEX(Numéros!$C$2:$C$3001,MATCH(A2118&amp;"|"&amp;B2118,Numéros!$F$2:$F$3001,0))),""))</f>
        <v/>
      </c>
      <c r="M2118" s="27" t="str">
        <f aca="false">IF(OR(G2118="",G2118="?"),"",IFERROR(INDEX(Pubs!$D$2:$D$3001,MATCH(G2118,Pubs!$A$2:$A$3001,0))&amp;"",""))</f>
        <v/>
      </c>
      <c r="N2118" s="27" t="n">
        <f aca="false">N(N2117)+IF(AND(A2118&lt;&gt;"",OR(Recherche!$C$4="",A2118=Recherche!$C$4),OR(Recherche!$C$5="",B2118&amp;""=Recherche!$C$5&amp;""),OR(Recherche!$C$6="",IFERROR(YEAR(L2118),0)=Recherche!$C$6),OR(Recherche!$C$7="",ISNUMBER(SEARCH(Recherche!$C$7,H2118))),OR(Recherche!$C$8="",J2118=Recherche!$C$8),OR(Recherche!$C$9="",I2118=Recherche!$C$9),OR(Recherche!$C$10="",G2118&amp;""=Recherche!$C$10&amp;""),OR(Recherche!$C$11="",E2118=Recherche!$C$11),OR(Recherche!$C$12="",ISNUMBER(SEARCH(Recherche!$C$12,M2118&amp;" "&amp;F2118)))),1,0)</f>
        <v>8</v>
      </c>
    </row>
    <row r="2119" customFormat="false" ht="15" hidden="false" customHeight="false" outlineLevel="0" collapsed="false">
      <c r="A2119" s="19"/>
      <c r="B2119" s="19"/>
      <c r="C2119" s="19"/>
      <c r="D2119" s="19"/>
      <c r="E2119" s="22"/>
      <c r="F2119" s="19"/>
      <c r="G2119" s="26" t="str">
        <f aca="false">IF(D2119="","",IFERROR(VALUE(LEFT(D2119,FIND(" |",D2119&amp;" |")-1)),"?"))</f>
        <v/>
      </c>
      <c r="H2119" s="27" t="str">
        <f aca="false">IF(G2119="","",IF(G2119="?","⚠ pub inconnue",IFERROR(INDEX(Pubs!$B$2:$B$3001,MATCH(G2119,Pubs!$A$2:$A$3001,0))&amp;"","⚠ pub inconnue")))</f>
        <v/>
      </c>
      <c r="I2119" s="27" t="str">
        <f aca="false">IF(OR(G2119="",G2119="?"),"",IFERROR(INDEX(Pubs!$C$2:$C$3001,MATCH(G2119,Pubs!$A$2:$A$3001,0))&amp;"",""))</f>
        <v/>
      </c>
      <c r="J2119" s="27" t="str">
        <f aca="false">IF(OR(G2119="",G2119="?"),"",IFERROR(INDEX(Pubs!$G$2:$G$3001,MATCH(G2119,Pubs!$A$2:$A$3001,0))&amp;"",""))</f>
        <v/>
      </c>
      <c r="K2119" s="28" t="str">
        <f aca="false">IF(OR(G2119="",G2119="?"),"",IFERROR(INDEX(Pubs!$E$2:$E$3001,MATCH(G2119,Pubs!$A$2:$A$3001,0)),""))</f>
        <v/>
      </c>
      <c r="L2119" s="29" t="str">
        <f aca="false">IF(A2119="","",IFERROR(1/(1/INDEX(Numéros!$C$2:$C$3001,MATCH(A2119&amp;"|"&amp;B2119,Numéros!$F$2:$F$3001,0))),""))</f>
        <v/>
      </c>
      <c r="M2119" s="27" t="str">
        <f aca="false">IF(OR(G2119="",G2119="?"),"",IFERROR(INDEX(Pubs!$D$2:$D$3001,MATCH(G2119,Pubs!$A$2:$A$3001,0))&amp;"",""))</f>
        <v/>
      </c>
      <c r="N2119" s="27" t="n">
        <f aca="false">N(N2118)+IF(AND(A2119&lt;&gt;"",OR(Recherche!$C$4="",A2119=Recherche!$C$4),OR(Recherche!$C$5="",B2119&amp;""=Recherche!$C$5&amp;""),OR(Recherche!$C$6="",IFERROR(YEAR(L2119),0)=Recherche!$C$6),OR(Recherche!$C$7="",ISNUMBER(SEARCH(Recherche!$C$7,H2119))),OR(Recherche!$C$8="",J2119=Recherche!$C$8),OR(Recherche!$C$9="",I2119=Recherche!$C$9),OR(Recherche!$C$10="",G2119&amp;""=Recherche!$C$10&amp;""),OR(Recherche!$C$11="",E2119=Recherche!$C$11),OR(Recherche!$C$12="",ISNUMBER(SEARCH(Recherche!$C$12,M2119&amp;" "&amp;F2119)))),1,0)</f>
        <v>8</v>
      </c>
    </row>
    <row r="2120" customFormat="false" ht="15" hidden="false" customHeight="false" outlineLevel="0" collapsed="false">
      <c r="A2120" s="19"/>
      <c r="B2120" s="19"/>
      <c r="C2120" s="19"/>
      <c r="D2120" s="19"/>
      <c r="E2120" s="22"/>
      <c r="F2120" s="19"/>
      <c r="G2120" s="26" t="str">
        <f aca="false">IF(D2120="","",IFERROR(VALUE(LEFT(D2120,FIND(" |",D2120&amp;" |")-1)),"?"))</f>
        <v/>
      </c>
      <c r="H2120" s="27" t="str">
        <f aca="false">IF(G2120="","",IF(G2120="?","⚠ pub inconnue",IFERROR(INDEX(Pubs!$B$2:$B$3001,MATCH(G2120,Pubs!$A$2:$A$3001,0))&amp;"","⚠ pub inconnue")))</f>
        <v/>
      </c>
      <c r="I2120" s="27" t="str">
        <f aca="false">IF(OR(G2120="",G2120="?"),"",IFERROR(INDEX(Pubs!$C$2:$C$3001,MATCH(G2120,Pubs!$A$2:$A$3001,0))&amp;"",""))</f>
        <v/>
      </c>
      <c r="J2120" s="27" t="str">
        <f aca="false">IF(OR(G2120="",G2120="?"),"",IFERROR(INDEX(Pubs!$G$2:$G$3001,MATCH(G2120,Pubs!$A$2:$A$3001,0))&amp;"",""))</f>
        <v/>
      </c>
      <c r="K2120" s="28" t="str">
        <f aca="false">IF(OR(G2120="",G2120="?"),"",IFERROR(INDEX(Pubs!$E$2:$E$3001,MATCH(G2120,Pubs!$A$2:$A$3001,0)),""))</f>
        <v/>
      </c>
      <c r="L2120" s="29" t="str">
        <f aca="false">IF(A2120="","",IFERROR(1/(1/INDEX(Numéros!$C$2:$C$3001,MATCH(A2120&amp;"|"&amp;B2120,Numéros!$F$2:$F$3001,0))),""))</f>
        <v/>
      </c>
      <c r="M2120" s="27" t="str">
        <f aca="false">IF(OR(G2120="",G2120="?"),"",IFERROR(INDEX(Pubs!$D$2:$D$3001,MATCH(G2120,Pubs!$A$2:$A$3001,0))&amp;"",""))</f>
        <v/>
      </c>
      <c r="N2120" s="27" t="n">
        <f aca="false">N(N2119)+IF(AND(A2120&lt;&gt;"",OR(Recherche!$C$4="",A2120=Recherche!$C$4),OR(Recherche!$C$5="",B2120&amp;""=Recherche!$C$5&amp;""),OR(Recherche!$C$6="",IFERROR(YEAR(L2120),0)=Recherche!$C$6),OR(Recherche!$C$7="",ISNUMBER(SEARCH(Recherche!$C$7,H2120))),OR(Recherche!$C$8="",J2120=Recherche!$C$8),OR(Recherche!$C$9="",I2120=Recherche!$C$9),OR(Recherche!$C$10="",G2120&amp;""=Recherche!$C$10&amp;""),OR(Recherche!$C$11="",E2120=Recherche!$C$11),OR(Recherche!$C$12="",ISNUMBER(SEARCH(Recherche!$C$12,M2120&amp;" "&amp;F2120)))),1,0)</f>
        <v>8</v>
      </c>
    </row>
    <row r="2121" customFormat="false" ht="15" hidden="false" customHeight="false" outlineLevel="0" collapsed="false">
      <c r="A2121" s="19"/>
      <c r="B2121" s="19"/>
      <c r="C2121" s="19"/>
      <c r="D2121" s="19"/>
      <c r="E2121" s="22"/>
      <c r="F2121" s="19"/>
      <c r="G2121" s="26" t="str">
        <f aca="false">IF(D2121="","",IFERROR(VALUE(LEFT(D2121,FIND(" |",D2121&amp;" |")-1)),"?"))</f>
        <v/>
      </c>
      <c r="H2121" s="27" t="str">
        <f aca="false">IF(G2121="","",IF(G2121="?","⚠ pub inconnue",IFERROR(INDEX(Pubs!$B$2:$B$3001,MATCH(G2121,Pubs!$A$2:$A$3001,0))&amp;"","⚠ pub inconnue")))</f>
        <v/>
      </c>
      <c r="I2121" s="27" t="str">
        <f aca="false">IF(OR(G2121="",G2121="?"),"",IFERROR(INDEX(Pubs!$C$2:$C$3001,MATCH(G2121,Pubs!$A$2:$A$3001,0))&amp;"",""))</f>
        <v/>
      </c>
      <c r="J2121" s="27" t="str">
        <f aca="false">IF(OR(G2121="",G2121="?"),"",IFERROR(INDEX(Pubs!$G$2:$G$3001,MATCH(G2121,Pubs!$A$2:$A$3001,0))&amp;"",""))</f>
        <v/>
      </c>
      <c r="K2121" s="28" t="str">
        <f aca="false">IF(OR(G2121="",G2121="?"),"",IFERROR(INDEX(Pubs!$E$2:$E$3001,MATCH(G2121,Pubs!$A$2:$A$3001,0)),""))</f>
        <v/>
      </c>
      <c r="L2121" s="29" t="str">
        <f aca="false">IF(A2121="","",IFERROR(1/(1/INDEX(Numéros!$C$2:$C$3001,MATCH(A2121&amp;"|"&amp;B2121,Numéros!$F$2:$F$3001,0))),""))</f>
        <v/>
      </c>
      <c r="M2121" s="27" t="str">
        <f aca="false">IF(OR(G2121="",G2121="?"),"",IFERROR(INDEX(Pubs!$D$2:$D$3001,MATCH(G2121,Pubs!$A$2:$A$3001,0))&amp;"",""))</f>
        <v/>
      </c>
      <c r="N2121" s="27" t="n">
        <f aca="false">N(N2120)+IF(AND(A2121&lt;&gt;"",OR(Recherche!$C$4="",A2121=Recherche!$C$4),OR(Recherche!$C$5="",B2121&amp;""=Recherche!$C$5&amp;""),OR(Recherche!$C$6="",IFERROR(YEAR(L2121),0)=Recherche!$C$6),OR(Recherche!$C$7="",ISNUMBER(SEARCH(Recherche!$C$7,H2121))),OR(Recherche!$C$8="",J2121=Recherche!$C$8),OR(Recherche!$C$9="",I2121=Recherche!$C$9),OR(Recherche!$C$10="",G2121&amp;""=Recherche!$C$10&amp;""),OR(Recherche!$C$11="",E2121=Recherche!$C$11),OR(Recherche!$C$12="",ISNUMBER(SEARCH(Recherche!$C$12,M2121&amp;" "&amp;F2121)))),1,0)</f>
        <v>8</v>
      </c>
    </row>
    <row r="2122" customFormat="false" ht="15" hidden="false" customHeight="false" outlineLevel="0" collapsed="false">
      <c r="A2122" s="19"/>
      <c r="B2122" s="19"/>
      <c r="C2122" s="19"/>
      <c r="D2122" s="19"/>
      <c r="E2122" s="22"/>
      <c r="F2122" s="19"/>
      <c r="G2122" s="26" t="str">
        <f aca="false">IF(D2122="","",IFERROR(VALUE(LEFT(D2122,FIND(" |",D2122&amp;" |")-1)),"?"))</f>
        <v/>
      </c>
      <c r="H2122" s="27" t="str">
        <f aca="false">IF(G2122="","",IF(G2122="?","⚠ pub inconnue",IFERROR(INDEX(Pubs!$B$2:$B$3001,MATCH(G2122,Pubs!$A$2:$A$3001,0))&amp;"","⚠ pub inconnue")))</f>
        <v/>
      </c>
      <c r="I2122" s="27" t="str">
        <f aca="false">IF(OR(G2122="",G2122="?"),"",IFERROR(INDEX(Pubs!$C$2:$C$3001,MATCH(G2122,Pubs!$A$2:$A$3001,0))&amp;"",""))</f>
        <v/>
      </c>
      <c r="J2122" s="27" t="str">
        <f aca="false">IF(OR(G2122="",G2122="?"),"",IFERROR(INDEX(Pubs!$G$2:$G$3001,MATCH(G2122,Pubs!$A$2:$A$3001,0))&amp;"",""))</f>
        <v/>
      </c>
      <c r="K2122" s="28" t="str">
        <f aca="false">IF(OR(G2122="",G2122="?"),"",IFERROR(INDEX(Pubs!$E$2:$E$3001,MATCH(G2122,Pubs!$A$2:$A$3001,0)),""))</f>
        <v/>
      </c>
      <c r="L2122" s="29" t="str">
        <f aca="false">IF(A2122="","",IFERROR(1/(1/INDEX(Numéros!$C$2:$C$3001,MATCH(A2122&amp;"|"&amp;B2122,Numéros!$F$2:$F$3001,0))),""))</f>
        <v/>
      </c>
      <c r="M2122" s="27" t="str">
        <f aca="false">IF(OR(G2122="",G2122="?"),"",IFERROR(INDEX(Pubs!$D$2:$D$3001,MATCH(G2122,Pubs!$A$2:$A$3001,0))&amp;"",""))</f>
        <v/>
      </c>
      <c r="N2122" s="27" t="n">
        <f aca="false">N(N2121)+IF(AND(A2122&lt;&gt;"",OR(Recherche!$C$4="",A2122=Recherche!$C$4),OR(Recherche!$C$5="",B2122&amp;""=Recherche!$C$5&amp;""),OR(Recherche!$C$6="",IFERROR(YEAR(L2122),0)=Recherche!$C$6),OR(Recherche!$C$7="",ISNUMBER(SEARCH(Recherche!$C$7,H2122))),OR(Recherche!$C$8="",J2122=Recherche!$C$8),OR(Recherche!$C$9="",I2122=Recherche!$C$9),OR(Recherche!$C$10="",G2122&amp;""=Recherche!$C$10&amp;""),OR(Recherche!$C$11="",E2122=Recherche!$C$11),OR(Recherche!$C$12="",ISNUMBER(SEARCH(Recherche!$C$12,M2122&amp;" "&amp;F2122)))),1,0)</f>
        <v>8</v>
      </c>
    </row>
    <row r="2123" customFormat="false" ht="15" hidden="false" customHeight="false" outlineLevel="0" collapsed="false">
      <c r="A2123" s="19"/>
      <c r="B2123" s="19"/>
      <c r="C2123" s="19"/>
      <c r="D2123" s="19"/>
      <c r="E2123" s="22"/>
      <c r="F2123" s="19"/>
      <c r="G2123" s="26" t="str">
        <f aca="false">IF(D2123="","",IFERROR(VALUE(LEFT(D2123,FIND(" |",D2123&amp;" |")-1)),"?"))</f>
        <v/>
      </c>
      <c r="H2123" s="27" t="str">
        <f aca="false">IF(G2123="","",IF(G2123="?","⚠ pub inconnue",IFERROR(INDEX(Pubs!$B$2:$B$3001,MATCH(G2123,Pubs!$A$2:$A$3001,0))&amp;"","⚠ pub inconnue")))</f>
        <v/>
      </c>
      <c r="I2123" s="27" t="str">
        <f aca="false">IF(OR(G2123="",G2123="?"),"",IFERROR(INDEX(Pubs!$C$2:$C$3001,MATCH(G2123,Pubs!$A$2:$A$3001,0))&amp;"",""))</f>
        <v/>
      </c>
      <c r="J2123" s="27" t="str">
        <f aca="false">IF(OR(G2123="",G2123="?"),"",IFERROR(INDEX(Pubs!$G$2:$G$3001,MATCH(G2123,Pubs!$A$2:$A$3001,0))&amp;"",""))</f>
        <v/>
      </c>
      <c r="K2123" s="28" t="str">
        <f aca="false">IF(OR(G2123="",G2123="?"),"",IFERROR(INDEX(Pubs!$E$2:$E$3001,MATCH(G2123,Pubs!$A$2:$A$3001,0)),""))</f>
        <v/>
      </c>
      <c r="L2123" s="29" t="str">
        <f aca="false">IF(A2123="","",IFERROR(1/(1/INDEX(Numéros!$C$2:$C$3001,MATCH(A2123&amp;"|"&amp;B2123,Numéros!$F$2:$F$3001,0))),""))</f>
        <v/>
      </c>
      <c r="M2123" s="27" t="str">
        <f aca="false">IF(OR(G2123="",G2123="?"),"",IFERROR(INDEX(Pubs!$D$2:$D$3001,MATCH(G2123,Pubs!$A$2:$A$3001,0))&amp;"",""))</f>
        <v/>
      </c>
      <c r="N2123" s="27" t="n">
        <f aca="false">N(N2122)+IF(AND(A2123&lt;&gt;"",OR(Recherche!$C$4="",A2123=Recherche!$C$4),OR(Recherche!$C$5="",B2123&amp;""=Recherche!$C$5&amp;""),OR(Recherche!$C$6="",IFERROR(YEAR(L2123),0)=Recherche!$C$6),OR(Recherche!$C$7="",ISNUMBER(SEARCH(Recherche!$C$7,H2123))),OR(Recherche!$C$8="",J2123=Recherche!$C$8),OR(Recherche!$C$9="",I2123=Recherche!$C$9),OR(Recherche!$C$10="",G2123&amp;""=Recherche!$C$10&amp;""),OR(Recherche!$C$11="",E2123=Recherche!$C$11),OR(Recherche!$C$12="",ISNUMBER(SEARCH(Recherche!$C$12,M2123&amp;" "&amp;F2123)))),1,0)</f>
        <v>8</v>
      </c>
    </row>
    <row r="2124" customFormat="false" ht="15" hidden="false" customHeight="false" outlineLevel="0" collapsed="false">
      <c r="A2124" s="19"/>
      <c r="B2124" s="19"/>
      <c r="C2124" s="19"/>
      <c r="D2124" s="19"/>
      <c r="E2124" s="22"/>
      <c r="F2124" s="19"/>
      <c r="G2124" s="26" t="str">
        <f aca="false">IF(D2124="","",IFERROR(VALUE(LEFT(D2124,FIND(" |",D2124&amp;" |")-1)),"?"))</f>
        <v/>
      </c>
      <c r="H2124" s="27" t="str">
        <f aca="false">IF(G2124="","",IF(G2124="?","⚠ pub inconnue",IFERROR(INDEX(Pubs!$B$2:$B$3001,MATCH(G2124,Pubs!$A$2:$A$3001,0))&amp;"","⚠ pub inconnue")))</f>
        <v/>
      </c>
      <c r="I2124" s="27" t="str">
        <f aca="false">IF(OR(G2124="",G2124="?"),"",IFERROR(INDEX(Pubs!$C$2:$C$3001,MATCH(G2124,Pubs!$A$2:$A$3001,0))&amp;"",""))</f>
        <v/>
      </c>
      <c r="J2124" s="27" t="str">
        <f aca="false">IF(OR(G2124="",G2124="?"),"",IFERROR(INDEX(Pubs!$G$2:$G$3001,MATCH(G2124,Pubs!$A$2:$A$3001,0))&amp;"",""))</f>
        <v/>
      </c>
      <c r="K2124" s="28" t="str">
        <f aca="false">IF(OR(G2124="",G2124="?"),"",IFERROR(INDEX(Pubs!$E$2:$E$3001,MATCH(G2124,Pubs!$A$2:$A$3001,0)),""))</f>
        <v/>
      </c>
      <c r="L2124" s="29" t="str">
        <f aca="false">IF(A2124="","",IFERROR(1/(1/INDEX(Numéros!$C$2:$C$3001,MATCH(A2124&amp;"|"&amp;B2124,Numéros!$F$2:$F$3001,0))),""))</f>
        <v/>
      </c>
      <c r="M2124" s="27" t="str">
        <f aca="false">IF(OR(G2124="",G2124="?"),"",IFERROR(INDEX(Pubs!$D$2:$D$3001,MATCH(G2124,Pubs!$A$2:$A$3001,0))&amp;"",""))</f>
        <v/>
      </c>
      <c r="N2124" s="27" t="n">
        <f aca="false">N(N2123)+IF(AND(A2124&lt;&gt;"",OR(Recherche!$C$4="",A2124=Recherche!$C$4),OR(Recherche!$C$5="",B2124&amp;""=Recherche!$C$5&amp;""),OR(Recherche!$C$6="",IFERROR(YEAR(L2124),0)=Recherche!$C$6),OR(Recherche!$C$7="",ISNUMBER(SEARCH(Recherche!$C$7,H2124))),OR(Recherche!$C$8="",J2124=Recherche!$C$8),OR(Recherche!$C$9="",I2124=Recherche!$C$9),OR(Recherche!$C$10="",G2124&amp;""=Recherche!$C$10&amp;""),OR(Recherche!$C$11="",E2124=Recherche!$C$11),OR(Recherche!$C$12="",ISNUMBER(SEARCH(Recherche!$C$12,M2124&amp;" "&amp;F2124)))),1,0)</f>
        <v>8</v>
      </c>
    </row>
    <row r="2125" customFormat="false" ht="15" hidden="false" customHeight="false" outlineLevel="0" collapsed="false">
      <c r="A2125" s="19"/>
      <c r="B2125" s="19"/>
      <c r="C2125" s="19"/>
      <c r="D2125" s="19"/>
      <c r="E2125" s="22"/>
      <c r="F2125" s="19"/>
      <c r="G2125" s="26" t="str">
        <f aca="false">IF(D2125="","",IFERROR(VALUE(LEFT(D2125,FIND(" |",D2125&amp;" |")-1)),"?"))</f>
        <v/>
      </c>
      <c r="H2125" s="27" t="str">
        <f aca="false">IF(G2125="","",IF(G2125="?","⚠ pub inconnue",IFERROR(INDEX(Pubs!$B$2:$B$3001,MATCH(G2125,Pubs!$A$2:$A$3001,0))&amp;"","⚠ pub inconnue")))</f>
        <v/>
      </c>
      <c r="I2125" s="27" t="str">
        <f aca="false">IF(OR(G2125="",G2125="?"),"",IFERROR(INDEX(Pubs!$C$2:$C$3001,MATCH(G2125,Pubs!$A$2:$A$3001,0))&amp;"",""))</f>
        <v/>
      </c>
      <c r="J2125" s="27" t="str">
        <f aca="false">IF(OR(G2125="",G2125="?"),"",IFERROR(INDEX(Pubs!$G$2:$G$3001,MATCH(G2125,Pubs!$A$2:$A$3001,0))&amp;"",""))</f>
        <v/>
      </c>
      <c r="K2125" s="28" t="str">
        <f aca="false">IF(OR(G2125="",G2125="?"),"",IFERROR(INDEX(Pubs!$E$2:$E$3001,MATCH(G2125,Pubs!$A$2:$A$3001,0)),""))</f>
        <v/>
      </c>
      <c r="L2125" s="29" t="str">
        <f aca="false">IF(A2125="","",IFERROR(1/(1/INDEX(Numéros!$C$2:$C$3001,MATCH(A2125&amp;"|"&amp;B2125,Numéros!$F$2:$F$3001,0))),""))</f>
        <v/>
      </c>
      <c r="M2125" s="27" t="str">
        <f aca="false">IF(OR(G2125="",G2125="?"),"",IFERROR(INDEX(Pubs!$D$2:$D$3001,MATCH(G2125,Pubs!$A$2:$A$3001,0))&amp;"",""))</f>
        <v/>
      </c>
      <c r="N2125" s="27" t="n">
        <f aca="false">N(N2124)+IF(AND(A2125&lt;&gt;"",OR(Recherche!$C$4="",A2125=Recherche!$C$4),OR(Recherche!$C$5="",B2125&amp;""=Recherche!$C$5&amp;""),OR(Recherche!$C$6="",IFERROR(YEAR(L2125),0)=Recherche!$C$6),OR(Recherche!$C$7="",ISNUMBER(SEARCH(Recherche!$C$7,H2125))),OR(Recherche!$C$8="",J2125=Recherche!$C$8),OR(Recherche!$C$9="",I2125=Recherche!$C$9),OR(Recherche!$C$10="",G2125&amp;""=Recherche!$C$10&amp;""),OR(Recherche!$C$11="",E2125=Recherche!$C$11),OR(Recherche!$C$12="",ISNUMBER(SEARCH(Recherche!$C$12,M2125&amp;" "&amp;F2125)))),1,0)</f>
        <v>8</v>
      </c>
    </row>
    <row r="2126" customFormat="false" ht="15" hidden="false" customHeight="false" outlineLevel="0" collapsed="false">
      <c r="A2126" s="19"/>
      <c r="B2126" s="19"/>
      <c r="C2126" s="19"/>
      <c r="D2126" s="19"/>
      <c r="E2126" s="22"/>
      <c r="F2126" s="19"/>
      <c r="G2126" s="26" t="str">
        <f aca="false">IF(D2126="","",IFERROR(VALUE(LEFT(D2126,FIND(" |",D2126&amp;" |")-1)),"?"))</f>
        <v/>
      </c>
      <c r="H2126" s="27" t="str">
        <f aca="false">IF(G2126="","",IF(G2126="?","⚠ pub inconnue",IFERROR(INDEX(Pubs!$B$2:$B$3001,MATCH(G2126,Pubs!$A$2:$A$3001,0))&amp;"","⚠ pub inconnue")))</f>
        <v/>
      </c>
      <c r="I2126" s="27" t="str">
        <f aca="false">IF(OR(G2126="",G2126="?"),"",IFERROR(INDEX(Pubs!$C$2:$C$3001,MATCH(G2126,Pubs!$A$2:$A$3001,0))&amp;"",""))</f>
        <v/>
      </c>
      <c r="J2126" s="27" t="str">
        <f aca="false">IF(OR(G2126="",G2126="?"),"",IFERROR(INDEX(Pubs!$G$2:$G$3001,MATCH(G2126,Pubs!$A$2:$A$3001,0))&amp;"",""))</f>
        <v/>
      </c>
      <c r="K2126" s="28" t="str">
        <f aca="false">IF(OR(G2126="",G2126="?"),"",IFERROR(INDEX(Pubs!$E$2:$E$3001,MATCH(G2126,Pubs!$A$2:$A$3001,0)),""))</f>
        <v/>
      </c>
      <c r="L2126" s="29" t="str">
        <f aca="false">IF(A2126="","",IFERROR(1/(1/INDEX(Numéros!$C$2:$C$3001,MATCH(A2126&amp;"|"&amp;B2126,Numéros!$F$2:$F$3001,0))),""))</f>
        <v/>
      </c>
      <c r="M2126" s="27" t="str">
        <f aca="false">IF(OR(G2126="",G2126="?"),"",IFERROR(INDEX(Pubs!$D$2:$D$3001,MATCH(G2126,Pubs!$A$2:$A$3001,0))&amp;"",""))</f>
        <v/>
      </c>
      <c r="N2126" s="27" t="n">
        <f aca="false">N(N2125)+IF(AND(A2126&lt;&gt;"",OR(Recherche!$C$4="",A2126=Recherche!$C$4),OR(Recherche!$C$5="",B2126&amp;""=Recherche!$C$5&amp;""),OR(Recherche!$C$6="",IFERROR(YEAR(L2126),0)=Recherche!$C$6),OR(Recherche!$C$7="",ISNUMBER(SEARCH(Recherche!$C$7,H2126))),OR(Recherche!$C$8="",J2126=Recherche!$C$8),OR(Recherche!$C$9="",I2126=Recherche!$C$9),OR(Recherche!$C$10="",G2126&amp;""=Recherche!$C$10&amp;""),OR(Recherche!$C$11="",E2126=Recherche!$C$11),OR(Recherche!$C$12="",ISNUMBER(SEARCH(Recherche!$C$12,M2126&amp;" "&amp;F2126)))),1,0)</f>
        <v>8</v>
      </c>
    </row>
    <row r="2127" customFormat="false" ht="15" hidden="false" customHeight="false" outlineLevel="0" collapsed="false">
      <c r="A2127" s="19"/>
      <c r="B2127" s="19"/>
      <c r="C2127" s="19"/>
      <c r="D2127" s="19"/>
      <c r="E2127" s="22"/>
      <c r="F2127" s="19"/>
      <c r="G2127" s="26" t="str">
        <f aca="false">IF(D2127="","",IFERROR(VALUE(LEFT(D2127,FIND(" |",D2127&amp;" |")-1)),"?"))</f>
        <v/>
      </c>
      <c r="H2127" s="27" t="str">
        <f aca="false">IF(G2127="","",IF(G2127="?","⚠ pub inconnue",IFERROR(INDEX(Pubs!$B$2:$B$3001,MATCH(G2127,Pubs!$A$2:$A$3001,0))&amp;"","⚠ pub inconnue")))</f>
        <v/>
      </c>
      <c r="I2127" s="27" t="str">
        <f aca="false">IF(OR(G2127="",G2127="?"),"",IFERROR(INDEX(Pubs!$C$2:$C$3001,MATCH(G2127,Pubs!$A$2:$A$3001,0))&amp;"",""))</f>
        <v/>
      </c>
      <c r="J2127" s="27" t="str">
        <f aca="false">IF(OR(G2127="",G2127="?"),"",IFERROR(INDEX(Pubs!$G$2:$G$3001,MATCH(G2127,Pubs!$A$2:$A$3001,0))&amp;"",""))</f>
        <v/>
      </c>
      <c r="K2127" s="28" t="str">
        <f aca="false">IF(OR(G2127="",G2127="?"),"",IFERROR(INDEX(Pubs!$E$2:$E$3001,MATCH(G2127,Pubs!$A$2:$A$3001,0)),""))</f>
        <v/>
      </c>
      <c r="L2127" s="29" t="str">
        <f aca="false">IF(A2127="","",IFERROR(1/(1/INDEX(Numéros!$C$2:$C$3001,MATCH(A2127&amp;"|"&amp;B2127,Numéros!$F$2:$F$3001,0))),""))</f>
        <v/>
      </c>
      <c r="M2127" s="27" t="str">
        <f aca="false">IF(OR(G2127="",G2127="?"),"",IFERROR(INDEX(Pubs!$D$2:$D$3001,MATCH(G2127,Pubs!$A$2:$A$3001,0))&amp;"",""))</f>
        <v/>
      </c>
      <c r="N2127" s="27" t="n">
        <f aca="false">N(N2126)+IF(AND(A2127&lt;&gt;"",OR(Recherche!$C$4="",A2127=Recherche!$C$4),OR(Recherche!$C$5="",B2127&amp;""=Recherche!$C$5&amp;""),OR(Recherche!$C$6="",IFERROR(YEAR(L2127),0)=Recherche!$C$6),OR(Recherche!$C$7="",ISNUMBER(SEARCH(Recherche!$C$7,H2127))),OR(Recherche!$C$8="",J2127=Recherche!$C$8),OR(Recherche!$C$9="",I2127=Recherche!$C$9),OR(Recherche!$C$10="",G2127&amp;""=Recherche!$C$10&amp;""),OR(Recherche!$C$11="",E2127=Recherche!$C$11),OR(Recherche!$C$12="",ISNUMBER(SEARCH(Recherche!$C$12,M2127&amp;" "&amp;F2127)))),1,0)</f>
        <v>8</v>
      </c>
    </row>
    <row r="2128" customFormat="false" ht="15" hidden="false" customHeight="false" outlineLevel="0" collapsed="false">
      <c r="A2128" s="19"/>
      <c r="B2128" s="19"/>
      <c r="C2128" s="19"/>
      <c r="D2128" s="19"/>
      <c r="E2128" s="22"/>
      <c r="F2128" s="19"/>
      <c r="G2128" s="26" t="str">
        <f aca="false">IF(D2128="","",IFERROR(VALUE(LEFT(D2128,FIND(" |",D2128&amp;" |")-1)),"?"))</f>
        <v/>
      </c>
      <c r="H2128" s="27" t="str">
        <f aca="false">IF(G2128="","",IF(G2128="?","⚠ pub inconnue",IFERROR(INDEX(Pubs!$B$2:$B$3001,MATCH(G2128,Pubs!$A$2:$A$3001,0))&amp;"","⚠ pub inconnue")))</f>
        <v/>
      </c>
      <c r="I2128" s="27" t="str">
        <f aca="false">IF(OR(G2128="",G2128="?"),"",IFERROR(INDEX(Pubs!$C$2:$C$3001,MATCH(G2128,Pubs!$A$2:$A$3001,0))&amp;"",""))</f>
        <v/>
      </c>
      <c r="J2128" s="27" t="str">
        <f aca="false">IF(OR(G2128="",G2128="?"),"",IFERROR(INDEX(Pubs!$G$2:$G$3001,MATCH(G2128,Pubs!$A$2:$A$3001,0))&amp;"",""))</f>
        <v/>
      </c>
      <c r="K2128" s="28" t="str">
        <f aca="false">IF(OR(G2128="",G2128="?"),"",IFERROR(INDEX(Pubs!$E$2:$E$3001,MATCH(G2128,Pubs!$A$2:$A$3001,0)),""))</f>
        <v/>
      </c>
      <c r="L2128" s="29" t="str">
        <f aca="false">IF(A2128="","",IFERROR(1/(1/INDEX(Numéros!$C$2:$C$3001,MATCH(A2128&amp;"|"&amp;B2128,Numéros!$F$2:$F$3001,0))),""))</f>
        <v/>
      </c>
      <c r="M2128" s="27" t="str">
        <f aca="false">IF(OR(G2128="",G2128="?"),"",IFERROR(INDEX(Pubs!$D$2:$D$3001,MATCH(G2128,Pubs!$A$2:$A$3001,0))&amp;"",""))</f>
        <v/>
      </c>
      <c r="N2128" s="27" t="n">
        <f aca="false">N(N2127)+IF(AND(A2128&lt;&gt;"",OR(Recherche!$C$4="",A2128=Recherche!$C$4),OR(Recherche!$C$5="",B2128&amp;""=Recherche!$C$5&amp;""),OR(Recherche!$C$6="",IFERROR(YEAR(L2128),0)=Recherche!$C$6),OR(Recherche!$C$7="",ISNUMBER(SEARCH(Recherche!$C$7,H2128))),OR(Recherche!$C$8="",J2128=Recherche!$C$8),OR(Recherche!$C$9="",I2128=Recherche!$C$9),OR(Recherche!$C$10="",G2128&amp;""=Recherche!$C$10&amp;""),OR(Recherche!$C$11="",E2128=Recherche!$C$11),OR(Recherche!$C$12="",ISNUMBER(SEARCH(Recherche!$C$12,M2128&amp;" "&amp;F2128)))),1,0)</f>
        <v>8</v>
      </c>
    </row>
    <row r="2129" customFormat="false" ht="15" hidden="false" customHeight="false" outlineLevel="0" collapsed="false">
      <c r="A2129" s="19"/>
      <c r="B2129" s="19"/>
      <c r="C2129" s="19"/>
      <c r="D2129" s="19"/>
      <c r="E2129" s="22"/>
      <c r="F2129" s="19"/>
      <c r="G2129" s="26" t="str">
        <f aca="false">IF(D2129="","",IFERROR(VALUE(LEFT(D2129,FIND(" |",D2129&amp;" |")-1)),"?"))</f>
        <v/>
      </c>
      <c r="H2129" s="27" t="str">
        <f aca="false">IF(G2129="","",IF(G2129="?","⚠ pub inconnue",IFERROR(INDEX(Pubs!$B$2:$B$3001,MATCH(G2129,Pubs!$A$2:$A$3001,0))&amp;"","⚠ pub inconnue")))</f>
        <v/>
      </c>
      <c r="I2129" s="27" t="str">
        <f aca="false">IF(OR(G2129="",G2129="?"),"",IFERROR(INDEX(Pubs!$C$2:$C$3001,MATCH(G2129,Pubs!$A$2:$A$3001,0))&amp;"",""))</f>
        <v/>
      </c>
      <c r="J2129" s="27" t="str">
        <f aca="false">IF(OR(G2129="",G2129="?"),"",IFERROR(INDEX(Pubs!$G$2:$G$3001,MATCH(G2129,Pubs!$A$2:$A$3001,0))&amp;"",""))</f>
        <v/>
      </c>
      <c r="K2129" s="28" t="str">
        <f aca="false">IF(OR(G2129="",G2129="?"),"",IFERROR(INDEX(Pubs!$E$2:$E$3001,MATCH(G2129,Pubs!$A$2:$A$3001,0)),""))</f>
        <v/>
      </c>
      <c r="L2129" s="29" t="str">
        <f aca="false">IF(A2129="","",IFERROR(1/(1/INDEX(Numéros!$C$2:$C$3001,MATCH(A2129&amp;"|"&amp;B2129,Numéros!$F$2:$F$3001,0))),""))</f>
        <v/>
      </c>
      <c r="M2129" s="27" t="str">
        <f aca="false">IF(OR(G2129="",G2129="?"),"",IFERROR(INDEX(Pubs!$D$2:$D$3001,MATCH(G2129,Pubs!$A$2:$A$3001,0))&amp;"",""))</f>
        <v/>
      </c>
      <c r="N2129" s="27" t="n">
        <f aca="false">N(N2128)+IF(AND(A2129&lt;&gt;"",OR(Recherche!$C$4="",A2129=Recherche!$C$4),OR(Recherche!$C$5="",B2129&amp;""=Recherche!$C$5&amp;""),OR(Recherche!$C$6="",IFERROR(YEAR(L2129),0)=Recherche!$C$6),OR(Recherche!$C$7="",ISNUMBER(SEARCH(Recherche!$C$7,H2129))),OR(Recherche!$C$8="",J2129=Recherche!$C$8),OR(Recherche!$C$9="",I2129=Recherche!$C$9),OR(Recherche!$C$10="",G2129&amp;""=Recherche!$C$10&amp;""),OR(Recherche!$C$11="",E2129=Recherche!$C$11),OR(Recherche!$C$12="",ISNUMBER(SEARCH(Recherche!$C$12,M2129&amp;" "&amp;F2129)))),1,0)</f>
        <v>8</v>
      </c>
    </row>
    <row r="2130" customFormat="false" ht="15" hidden="false" customHeight="false" outlineLevel="0" collapsed="false">
      <c r="A2130" s="19"/>
      <c r="B2130" s="19"/>
      <c r="C2130" s="19"/>
      <c r="D2130" s="19"/>
      <c r="E2130" s="22"/>
      <c r="F2130" s="19"/>
      <c r="G2130" s="26" t="str">
        <f aca="false">IF(D2130="","",IFERROR(VALUE(LEFT(D2130,FIND(" |",D2130&amp;" |")-1)),"?"))</f>
        <v/>
      </c>
      <c r="H2130" s="27" t="str">
        <f aca="false">IF(G2130="","",IF(G2130="?","⚠ pub inconnue",IFERROR(INDEX(Pubs!$B$2:$B$3001,MATCH(G2130,Pubs!$A$2:$A$3001,0))&amp;"","⚠ pub inconnue")))</f>
        <v/>
      </c>
      <c r="I2130" s="27" t="str">
        <f aca="false">IF(OR(G2130="",G2130="?"),"",IFERROR(INDEX(Pubs!$C$2:$C$3001,MATCH(G2130,Pubs!$A$2:$A$3001,0))&amp;"",""))</f>
        <v/>
      </c>
      <c r="J2130" s="27" t="str">
        <f aca="false">IF(OR(G2130="",G2130="?"),"",IFERROR(INDEX(Pubs!$G$2:$G$3001,MATCH(G2130,Pubs!$A$2:$A$3001,0))&amp;"",""))</f>
        <v/>
      </c>
      <c r="K2130" s="28" t="str">
        <f aca="false">IF(OR(G2130="",G2130="?"),"",IFERROR(INDEX(Pubs!$E$2:$E$3001,MATCH(G2130,Pubs!$A$2:$A$3001,0)),""))</f>
        <v/>
      </c>
      <c r="L2130" s="29" t="str">
        <f aca="false">IF(A2130="","",IFERROR(1/(1/INDEX(Numéros!$C$2:$C$3001,MATCH(A2130&amp;"|"&amp;B2130,Numéros!$F$2:$F$3001,0))),""))</f>
        <v/>
      </c>
      <c r="M2130" s="27" t="str">
        <f aca="false">IF(OR(G2130="",G2130="?"),"",IFERROR(INDEX(Pubs!$D$2:$D$3001,MATCH(G2130,Pubs!$A$2:$A$3001,0))&amp;"",""))</f>
        <v/>
      </c>
      <c r="N2130" s="27" t="n">
        <f aca="false">N(N2129)+IF(AND(A2130&lt;&gt;"",OR(Recherche!$C$4="",A2130=Recherche!$C$4),OR(Recherche!$C$5="",B2130&amp;""=Recherche!$C$5&amp;""),OR(Recherche!$C$6="",IFERROR(YEAR(L2130),0)=Recherche!$C$6),OR(Recherche!$C$7="",ISNUMBER(SEARCH(Recherche!$C$7,H2130))),OR(Recherche!$C$8="",J2130=Recherche!$C$8),OR(Recherche!$C$9="",I2130=Recherche!$C$9),OR(Recherche!$C$10="",G2130&amp;""=Recherche!$C$10&amp;""),OR(Recherche!$C$11="",E2130=Recherche!$C$11),OR(Recherche!$C$12="",ISNUMBER(SEARCH(Recherche!$C$12,M2130&amp;" "&amp;F2130)))),1,0)</f>
        <v>8</v>
      </c>
    </row>
    <row r="2131" customFormat="false" ht="15" hidden="false" customHeight="false" outlineLevel="0" collapsed="false">
      <c r="A2131" s="19"/>
      <c r="B2131" s="19"/>
      <c r="C2131" s="19"/>
      <c r="D2131" s="19"/>
      <c r="E2131" s="22"/>
      <c r="F2131" s="19"/>
      <c r="G2131" s="26" t="str">
        <f aca="false">IF(D2131="","",IFERROR(VALUE(LEFT(D2131,FIND(" |",D2131&amp;" |")-1)),"?"))</f>
        <v/>
      </c>
      <c r="H2131" s="27" t="str">
        <f aca="false">IF(G2131="","",IF(G2131="?","⚠ pub inconnue",IFERROR(INDEX(Pubs!$B$2:$B$3001,MATCH(G2131,Pubs!$A$2:$A$3001,0))&amp;"","⚠ pub inconnue")))</f>
        <v/>
      </c>
      <c r="I2131" s="27" t="str">
        <f aca="false">IF(OR(G2131="",G2131="?"),"",IFERROR(INDEX(Pubs!$C$2:$C$3001,MATCH(G2131,Pubs!$A$2:$A$3001,0))&amp;"",""))</f>
        <v/>
      </c>
      <c r="J2131" s="27" t="str">
        <f aca="false">IF(OR(G2131="",G2131="?"),"",IFERROR(INDEX(Pubs!$G$2:$G$3001,MATCH(G2131,Pubs!$A$2:$A$3001,0))&amp;"",""))</f>
        <v/>
      </c>
      <c r="K2131" s="28" t="str">
        <f aca="false">IF(OR(G2131="",G2131="?"),"",IFERROR(INDEX(Pubs!$E$2:$E$3001,MATCH(G2131,Pubs!$A$2:$A$3001,0)),""))</f>
        <v/>
      </c>
      <c r="L2131" s="29" t="str">
        <f aca="false">IF(A2131="","",IFERROR(1/(1/INDEX(Numéros!$C$2:$C$3001,MATCH(A2131&amp;"|"&amp;B2131,Numéros!$F$2:$F$3001,0))),""))</f>
        <v/>
      </c>
      <c r="M2131" s="27" t="str">
        <f aca="false">IF(OR(G2131="",G2131="?"),"",IFERROR(INDEX(Pubs!$D$2:$D$3001,MATCH(G2131,Pubs!$A$2:$A$3001,0))&amp;"",""))</f>
        <v/>
      </c>
      <c r="N2131" s="27" t="n">
        <f aca="false">N(N2130)+IF(AND(A2131&lt;&gt;"",OR(Recherche!$C$4="",A2131=Recherche!$C$4),OR(Recherche!$C$5="",B2131&amp;""=Recherche!$C$5&amp;""),OR(Recherche!$C$6="",IFERROR(YEAR(L2131),0)=Recherche!$C$6),OR(Recherche!$C$7="",ISNUMBER(SEARCH(Recherche!$C$7,H2131))),OR(Recherche!$C$8="",J2131=Recherche!$C$8),OR(Recherche!$C$9="",I2131=Recherche!$C$9),OR(Recherche!$C$10="",G2131&amp;""=Recherche!$C$10&amp;""),OR(Recherche!$C$11="",E2131=Recherche!$C$11),OR(Recherche!$C$12="",ISNUMBER(SEARCH(Recherche!$C$12,M2131&amp;" "&amp;F2131)))),1,0)</f>
        <v>8</v>
      </c>
    </row>
    <row r="2132" customFormat="false" ht="15" hidden="false" customHeight="false" outlineLevel="0" collapsed="false">
      <c r="A2132" s="19"/>
      <c r="B2132" s="19"/>
      <c r="C2132" s="19"/>
      <c r="D2132" s="19"/>
      <c r="E2132" s="22"/>
      <c r="F2132" s="19"/>
      <c r="G2132" s="26" t="str">
        <f aca="false">IF(D2132="","",IFERROR(VALUE(LEFT(D2132,FIND(" |",D2132&amp;" |")-1)),"?"))</f>
        <v/>
      </c>
      <c r="H2132" s="27" t="str">
        <f aca="false">IF(G2132="","",IF(G2132="?","⚠ pub inconnue",IFERROR(INDEX(Pubs!$B$2:$B$3001,MATCH(G2132,Pubs!$A$2:$A$3001,0))&amp;"","⚠ pub inconnue")))</f>
        <v/>
      </c>
      <c r="I2132" s="27" t="str">
        <f aca="false">IF(OR(G2132="",G2132="?"),"",IFERROR(INDEX(Pubs!$C$2:$C$3001,MATCH(G2132,Pubs!$A$2:$A$3001,0))&amp;"",""))</f>
        <v/>
      </c>
      <c r="J2132" s="27" t="str">
        <f aca="false">IF(OR(G2132="",G2132="?"),"",IFERROR(INDEX(Pubs!$G$2:$G$3001,MATCH(G2132,Pubs!$A$2:$A$3001,0))&amp;"",""))</f>
        <v/>
      </c>
      <c r="K2132" s="28" t="str">
        <f aca="false">IF(OR(G2132="",G2132="?"),"",IFERROR(INDEX(Pubs!$E$2:$E$3001,MATCH(G2132,Pubs!$A$2:$A$3001,0)),""))</f>
        <v/>
      </c>
      <c r="L2132" s="29" t="str">
        <f aca="false">IF(A2132="","",IFERROR(1/(1/INDEX(Numéros!$C$2:$C$3001,MATCH(A2132&amp;"|"&amp;B2132,Numéros!$F$2:$F$3001,0))),""))</f>
        <v/>
      </c>
      <c r="M2132" s="27" t="str">
        <f aca="false">IF(OR(G2132="",G2132="?"),"",IFERROR(INDEX(Pubs!$D$2:$D$3001,MATCH(G2132,Pubs!$A$2:$A$3001,0))&amp;"",""))</f>
        <v/>
      </c>
      <c r="N2132" s="27" t="n">
        <f aca="false">N(N2131)+IF(AND(A2132&lt;&gt;"",OR(Recherche!$C$4="",A2132=Recherche!$C$4),OR(Recherche!$C$5="",B2132&amp;""=Recherche!$C$5&amp;""),OR(Recherche!$C$6="",IFERROR(YEAR(L2132),0)=Recherche!$C$6),OR(Recherche!$C$7="",ISNUMBER(SEARCH(Recherche!$C$7,H2132))),OR(Recherche!$C$8="",J2132=Recherche!$C$8),OR(Recherche!$C$9="",I2132=Recherche!$C$9),OR(Recherche!$C$10="",G2132&amp;""=Recherche!$C$10&amp;""),OR(Recherche!$C$11="",E2132=Recherche!$C$11),OR(Recherche!$C$12="",ISNUMBER(SEARCH(Recherche!$C$12,M2132&amp;" "&amp;F2132)))),1,0)</f>
        <v>8</v>
      </c>
    </row>
    <row r="2133" customFormat="false" ht="15" hidden="false" customHeight="false" outlineLevel="0" collapsed="false">
      <c r="A2133" s="19"/>
      <c r="B2133" s="19"/>
      <c r="C2133" s="19"/>
      <c r="D2133" s="19"/>
      <c r="E2133" s="22"/>
      <c r="F2133" s="19"/>
      <c r="G2133" s="26" t="str">
        <f aca="false">IF(D2133="","",IFERROR(VALUE(LEFT(D2133,FIND(" |",D2133&amp;" |")-1)),"?"))</f>
        <v/>
      </c>
      <c r="H2133" s="27" t="str">
        <f aca="false">IF(G2133="","",IF(G2133="?","⚠ pub inconnue",IFERROR(INDEX(Pubs!$B$2:$B$3001,MATCH(G2133,Pubs!$A$2:$A$3001,0))&amp;"","⚠ pub inconnue")))</f>
        <v/>
      </c>
      <c r="I2133" s="27" t="str">
        <f aca="false">IF(OR(G2133="",G2133="?"),"",IFERROR(INDEX(Pubs!$C$2:$C$3001,MATCH(G2133,Pubs!$A$2:$A$3001,0))&amp;"",""))</f>
        <v/>
      </c>
      <c r="J2133" s="27" t="str">
        <f aca="false">IF(OR(G2133="",G2133="?"),"",IFERROR(INDEX(Pubs!$G$2:$G$3001,MATCH(G2133,Pubs!$A$2:$A$3001,0))&amp;"",""))</f>
        <v/>
      </c>
      <c r="K2133" s="28" t="str">
        <f aca="false">IF(OR(G2133="",G2133="?"),"",IFERROR(INDEX(Pubs!$E$2:$E$3001,MATCH(G2133,Pubs!$A$2:$A$3001,0)),""))</f>
        <v/>
      </c>
      <c r="L2133" s="29" t="str">
        <f aca="false">IF(A2133="","",IFERROR(1/(1/INDEX(Numéros!$C$2:$C$3001,MATCH(A2133&amp;"|"&amp;B2133,Numéros!$F$2:$F$3001,0))),""))</f>
        <v/>
      </c>
      <c r="M2133" s="27" t="str">
        <f aca="false">IF(OR(G2133="",G2133="?"),"",IFERROR(INDEX(Pubs!$D$2:$D$3001,MATCH(G2133,Pubs!$A$2:$A$3001,0))&amp;"",""))</f>
        <v/>
      </c>
      <c r="N2133" s="27" t="n">
        <f aca="false">N(N2132)+IF(AND(A2133&lt;&gt;"",OR(Recherche!$C$4="",A2133=Recherche!$C$4),OR(Recherche!$C$5="",B2133&amp;""=Recherche!$C$5&amp;""),OR(Recherche!$C$6="",IFERROR(YEAR(L2133),0)=Recherche!$C$6),OR(Recherche!$C$7="",ISNUMBER(SEARCH(Recherche!$C$7,H2133))),OR(Recherche!$C$8="",J2133=Recherche!$C$8),OR(Recherche!$C$9="",I2133=Recherche!$C$9),OR(Recherche!$C$10="",G2133&amp;""=Recherche!$C$10&amp;""),OR(Recherche!$C$11="",E2133=Recherche!$C$11),OR(Recherche!$C$12="",ISNUMBER(SEARCH(Recherche!$C$12,M2133&amp;" "&amp;F2133)))),1,0)</f>
        <v>8</v>
      </c>
    </row>
    <row r="2134" customFormat="false" ht="15" hidden="false" customHeight="false" outlineLevel="0" collapsed="false">
      <c r="A2134" s="19"/>
      <c r="B2134" s="19"/>
      <c r="C2134" s="19"/>
      <c r="D2134" s="19"/>
      <c r="E2134" s="22"/>
      <c r="F2134" s="19"/>
      <c r="G2134" s="26" t="str">
        <f aca="false">IF(D2134="","",IFERROR(VALUE(LEFT(D2134,FIND(" |",D2134&amp;" |")-1)),"?"))</f>
        <v/>
      </c>
      <c r="H2134" s="27" t="str">
        <f aca="false">IF(G2134="","",IF(G2134="?","⚠ pub inconnue",IFERROR(INDEX(Pubs!$B$2:$B$3001,MATCH(G2134,Pubs!$A$2:$A$3001,0))&amp;"","⚠ pub inconnue")))</f>
        <v/>
      </c>
      <c r="I2134" s="27" t="str">
        <f aca="false">IF(OR(G2134="",G2134="?"),"",IFERROR(INDEX(Pubs!$C$2:$C$3001,MATCH(G2134,Pubs!$A$2:$A$3001,0))&amp;"",""))</f>
        <v/>
      </c>
      <c r="J2134" s="27" t="str">
        <f aca="false">IF(OR(G2134="",G2134="?"),"",IFERROR(INDEX(Pubs!$G$2:$G$3001,MATCH(G2134,Pubs!$A$2:$A$3001,0))&amp;"",""))</f>
        <v/>
      </c>
      <c r="K2134" s="28" t="str">
        <f aca="false">IF(OR(G2134="",G2134="?"),"",IFERROR(INDEX(Pubs!$E$2:$E$3001,MATCH(G2134,Pubs!$A$2:$A$3001,0)),""))</f>
        <v/>
      </c>
      <c r="L2134" s="29" t="str">
        <f aca="false">IF(A2134="","",IFERROR(1/(1/INDEX(Numéros!$C$2:$C$3001,MATCH(A2134&amp;"|"&amp;B2134,Numéros!$F$2:$F$3001,0))),""))</f>
        <v/>
      </c>
      <c r="M2134" s="27" t="str">
        <f aca="false">IF(OR(G2134="",G2134="?"),"",IFERROR(INDEX(Pubs!$D$2:$D$3001,MATCH(G2134,Pubs!$A$2:$A$3001,0))&amp;"",""))</f>
        <v/>
      </c>
      <c r="N2134" s="27" t="n">
        <f aca="false">N(N2133)+IF(AND(A2134&lt;&gt;"",OR(Recherche!$C$4="",A2134=Recherche!$C$4),OR(Recherche!$C$5="",B2134&amp;""=Recherche!$C$5&amp;""),OR(Recherche!$C$6="",IFERROR(YEAR(L2134),0)=Recherche!$C$6),OR(Recherche!$C$7="",ISNUMBER(SEARCH(Recherche!$C$7,H2134))),OR(Recherche!$C$8="",J2134=Recherche!$C$8),OR(Recherche!$C$9="",I2134=Recherche!$C$9),OR(Recherche!$C$10="",G2134&amp;""=Recherche!$C$10&amp;""),OR(Recherche!$C$11="",E2134=Recherche!$C$11),OR(Recherche!$C$12="",ISNUMBER(SEARCH(Recherche!$C$12,M2134&amp;" "&amp;F2134)))),1,0)</f>
        <v>8</v>
      </c>
    </row>
    <row r="2135" customFormat="false" ht="15" hidden="false" customHeight="false" outlineLevel="0" collapsed="false">
      <c r="A2135" s="19"/>
      <c r="B2135" s="19"/>
      <c r="C2135" s="19"/>
      <c r="D2135" s="19"/>
      <c r="E2135" s="22"/>
      <c r="F2135" s="19"/>
      <c r="G2135" s="26" t="str">
        <f aca="false">IF(D2135="","",IFERROR(VALUE(LEFT(D2135,FIND(" |",D2135&amp;" |")-1)),"?"))</f>
        <v/>
      </c>
      <c r="H2135" s="27" t="str">
        <f aca="false">IF(G2135="","",IF(G2135="?","⚠ pub inconnue",IFERROR(INDEX(Pubs!$B$2:$B$3001,MATCH(G2135,Pubs!$A$2:$A$3001,0))&amp;"","⚠ pub inconnue")))</f>
        <v/>
      </c>
      <c r="I2135" s="27" t="str">
        <f aca="false">IF(OR(G2135="",G2135="?"),"",IFERROR(INDEX(Pubs!$C$2:$C$3001,MATCH(G2135,Pubs!$A$2:$A$3001,0))&amp;"",""))</f>
        <v/>
      </c>
      <c r="J2135" s="27" t="str">
        <f aca="false">IF(OR(G2135="",G2135="?"),"",IFERROR(INDEX(Pubs!$G$2:$G$3001,MATCH(G2135,Pubs!$A$2:$A$3001,0))&amp;"",""))</f>
        <v/>
      </c>
      <c r="K2135" s="28" t="str">
        <f aca="false">IF(OR(G2135="",G2135="?"),"",IFERROR(INDEX(Pubs!$E$2:$E$3001,MATCH(G2135,Pubs!$A$2:$A$3001,0)),""))</f>
        <v/>
      </c>
      <c r="L2135" s="29" t="str">
        <f aca="false">IF(A2135="","",IFERROR(1/(1/INDEX(Numéros!$C$2:$C$3001,MATCH(A2135&amp;"|"&amp;B2135,Numéros!$F$2:$F$3001,0))),""))</f>
        <v/>
      </c>
      <c r="M2135" s="27" t="str">
        <f aca="false">IF(OR(G2135="",G2135="?"),"",IFERROR(INDEX(Pubs!$D$2:$D$3001,MATCH(G2135,Pubs!$A$2:$A$3001,0))&amp;"",""))</f>
        <v/>
      </c>
      <c r="N2135" s="27" t="n">
        <f aca="false">N(N2134)+IF(AND(A2135&lt;&gt;"",OR(Recherche!$C$4="",A2135=Recherche!$C$4),OR(Recherche!$C$5="",B2135&amp;""=Recherche!$C$5&amp;""),OR(Recherche!$C$6="",IFERROR(YEAR(L2135),0)=Recherche!$C$6),OR(Recherche!$C$7="",ISNUMBER(SEARCH(Recherche!$C$7,H2135))),OR(Recherche!$C$8="",J2135=Recherche!$C$8),OR(Recherche!$C$9="",I2135=Recherche!$C$9),OR(Recherche!$C$10="",G2135&amp;""=Recherche!$C$10&amp;""),OR(Recherche!$C$11="",E2135=Recherche!$C$11),OR(Recherche!$C$12="",ISNUMBER(SEARCH(Recherche!$C$12,M2135&amp;" "&amp;F2135)))),1,0)</f>
        <v>8</v>
      </c>
    </row>
    <row r="2136" customFormat="false" ht="15" hidden="false" customHeight="false" outlineLevel="0" collapsed="false">
      <c r="A2136" s="19"/>
      <c r="B2136" s="19"/>
      <c r="C2136" s="19"/>
      <c r="D2136" s="19"/>
      <c r="E2136" s="22"/>
      <c r="F2136" s="19"/>
      <c r="G2136" s="26" t="str">
        <f aca="false">IF(D2136="","",IFERROR(VALUE(LEFT(D2136,FIND(" |",D2136&amp;" |")-1)),"?"))</f>
        <v/>
      </c>
      <c r="H2136" s="27" t="str">
        <f aca="false">IF(G2136="","",IF(G2136="?","⚠ pub inconnue",IFERROR(INDEX(Pubs!$B$2:$B$3001,MATCH(G2136,Pubs!$A$2:$A$3001,0))&amp;"","⚠ pub inconnue")))</f>
        <v/>
      </c>
      <c r="I2136" s="27" t="str">
        <f aca="false">IF(OR(G2136="",G2136="?"),"",IFERROR(INDEX(Pubs!$C$2:$C$3001,MATCH(G2136,Pubs!$A$2:$A$3001,0))&amp;"",""))</f>
        <v/>
      </c>
      <c r="J2136" s="27" t="str">
        <f aca="false">IF(OR(G2136="",G2136="?"),"",IFERROR(INDEX(Pubs!$G$2:$G$3001,MATCH(G2136,Pubs!$A$2:$A$3001,0))&amp;"",""))</f>
        <v/>
      </c>
      <c r="K2136" s="28" t="str">
        <f aca="false">IF(OR(G2136="",G2136="?"),"",IFERROR(INDEX(Pubs!$E$2:$E$3001,MATCH(G2136,Pubs!$A$2:$A$3001,0)),""))</f>
        <v/>
      </c>
      <c r="L2136" s="29" t="str">
        <f aca="false">IF(A2136="","",IFERROR(1/(1/INDEX(Numéros!$C$2:$C$3001,MATCH(A2136&amp;"|"&amp;B2136,Numéros!$F$2:$F$3001,0))),""))</f>
        <v/>
      </c>
      <c r="M2136" s="27" t="str">
        <f aca="false">IF(OR(G2136="",G2136="?"),"",IFERROR(INDEX(Pubs!$D$2:$D$3001,MATCH(G2136,Pubs!$A$2:$A$3001,0))&amp;"",""))</f>
        <v/>
      </c>
      <c r="N2136" s="27" t="n">
        <f aca="false">N(N2135)+IF(AND(A2136&lt;&gt;"",OR(Recherche!$C$4="",A2136=Recherche!$C$4),OR(Recherche!$C$5="",B2136&amp;""=Recherche!$C$5&amp;""),OR(Recherche!$C$6="",IFERROR(YEAR(L2136),0)=Recherche!$C$6),OR(Recherche!$C$7="",ISNUMBER(SEARCH(Recherche!$C$7,H2136))),OR(Recherche!$C$8="",J2136=Recherche!$C$8),OR(Recherche!$C$9="",I2136=Recherche!$C$9),OR(Recherche!$C$10="",G2136&amp;""=Recherche!$C$10&amp;""),OR(Recherche!$C$11="",E2136=Recherche!$C$11),OR(Recherche!$C$12="",ISNUMBER(SEARCH(Recherche!$C$12,M2136&amp;" "&amp;F2136)))),1,0)</f>
        <v>8</v>
      </c>
    </row>
    <row r="2137" customFormat="false" ht="15" hidden="false" customHeight="false" outlineLevel="0" collapsed="false">
      <c r="A2137" s="19"/>
      <c r="B2137" s="19"/>
      <c r="C2137" s="19"/>
      <c r="D2137" s="19"/>
      <c r="E2137" s="22"/>
      <c r="F2137" s="19"/>
      <c r="G2137" s="26" t="str">
        <f aca="false">IF(D2137="","",IFERROR(VALUE(LEFT(D2137,FIND(" |",D2137&amp;" |")-1)),"?"))</f>
        <v/>
      </c>
      <c r="H2137" s="27" t="str">
        <f aca="false">IF(G2137="","",IF(G2137="?","⚠ pub inconnue",IFERROR(INDEX(Pubs!$B$2:$B$3001,MATCH(G2137,Pubs!$A$2:$A$3001,0))&amp;"","⚠ pub inconnue")))</f>
        <v/>
      </c>
      <c r="I2137" s="27" t="str">
        <f aca="false">IF(OR(G2137="",G2137="?"),"",IFERROR(INDEX(Pubs!$C$2:$C$3001,MATCH(G2137,Pubs!$A$2:$A$3001,0))&amp;"",""))</f>
        <v/>
      </c>
      <c r="J2137" s="27" t="str">
        <f aca="false">IF(OR(G2137="",G2137="?"),"",IFERROR(INDEX(Pubs!$G$2:$G$3001,MATCH(G2137,Pubs!$A$2:$A$3001,0))&amp;"",""))</f>
        <v/>
      </c>
      <c r="K2137" s="28" t="str">
        <f aca="false">IF(OR(G2137="",G2137="?"),"",IFERROR(INDEX(Pubs!$E$2:$E$3001,MATCH(G2137,Pubs!$A$2:$A$3001,0)),""))</f>
        <v/>
      </c>
      <c r="L2137" s="29" t="str">
        <f aca="false">IF(A2137="","",IFERROR(1/(1/INDEX(Numéros!$C$2:$C$3001,MATCH(A2137&amp;"|"&amp;B2137,Numéros!$F$2:$F$3001,0))),""))</f>
        <v/>
      </c>
      <c r="M2137" s="27" t="str">
        <f aca="false">IF(OR(G2137="",G2137="?"),"",IFERROR(INDEX(Pubs!$D$2:$D$3001,MATCH(G2137,Pubs!$A$2:$A$3001,0))&amp;"",""))</f>
        <v/>
      </c>
      <c r="N2137" s="27" t="n">
        <f aca="false">N(N2136)+IF(AND(A2137&lt;&gt;"",OR(Recherche!$C$4="",A2137=Recherche!$C$4),OR(Recherche!$C$5="",B2137&amp;""=Recherche!$C$5&amp;""),OR(Recherche!$C$6="",IFERROR(YEAR(L2137),0)=Recherche!$C$6),OR(Recherche!$C$7="",ISNUMBER(SEARCH(Recherche!$C$7,H2137))),OR(Recherche!$C$8="",J2137=Recherche!$C$8),OR(Recherche!$C$9="",I2137=Recherche!$C$9),OR(Recherche!$C$10="",G2137&amp;""=Recherche!$C$10&amp;""),OR(Recherche!$C$11="",E2137=Recherche!$C$11),OR(Recherche!$C$12="",ISNUMBER(SEARCH(Recherche!$C$12,M2137&amp;" "&amp;F2137)))),1,0)</f>
        <v>8</v>
      </c>
    </row>
    <row r="2138" customFormat="false" ht="15" hidden="false" customHeight="false" outlineLevel="0" collapsed="false">
      <c r="A2138" s="19"/>
      <c r="B2138" s="19"/>
      <c r="C2138" s="19"/>
      <c r="D2138" s="19"/>
      <c r="E2138" s="22"/>
      <c r="F2138" s="19"/>
      <c r="G2138" s="26" t="str">
        <f aca="false">IF(D2138="","",IFERROR(VALUE(LEFT(D2138,FIND(" |",D2138&amp;" |")-1)),"?"))</f>
        <v/>
      </c>
      <c r="H2138" s="27" t="str">
        <f aca="false">IF(G2138="","",IF(G2138="?","⚠ pub inconnue",IFERROR(INDEX(Pubs!$B$2:$B$3001,MATCH(G2138,Pubs!$A$2:$A$3001,0))&amp;"","⚠ pub inconnue")))</f>
        <v/>
      </c>
      <c r="I2138" s="27" t="str">
        <f aca="false">IF(OR(G2138="",G2138="?"),"",IFERROR(INDEX(Pubs!$C$2:$C$3001,MATCH(G2138,Pubs!$A$2:$A$3001,0))&amp;"",""))</f>
        <v/>
      </c>
      <c r="J2138" s="27" t="str">
        <f aca="false">IF(OR(G2138="",G2138="?"),"",IFERROR(INDEX(Pubs!$G$2:$G$3001,MATCH(G2138,Pubs!$A$2:$A$3001,0))&amp;"",""))</f>
        <v/>
      </c>
      <c r="K2138" s="28" t="str">
        <f aca="false">IF(OR(G2138="",G2138="?"),"",IFERROR(INDEX(Pubs!$E$2:$E$3001,MATCH(G2138,Pubs!$A$2:$A$3001,0)),""))</f>
        <v/>
      </c>
      <c r="L2138" s="29" t="str">
        <f aca="false">IF(A2138="","",IFERROR(1/(1/INDEX(Numéros!$C$2:$C$3001,MATCH(A2138&amp;"|"&amp;B2138,Numéros!$F$2:$F$3001,0))),""))</f>
        <v/>
      </c>
      <c r="M2138" s="27" t="str">
        <f aca="false">IF(OR(G2138="",G2138="?"),"",IFERROR(INDEX(Pubs!$D$2:$D$3001,MATCH(G2138,Pubs!$A$2:$A$3001,0))&amp;"",""))</f>
        <v/>
      </c>
      <c r="N2138" s="27" t="n">
        <f aca="false">N(N2137)+IF(AND(A2138&lt;&gt;"",OR(Recherche!$C$4="",A2138=Recherche!$C$4),OR(Recherche!$C$5="",B2138&amp;""=Recherche!$C$5&amp;""),OR(Recherche!$C$6="",IFERROR(YEAR(L2138),0)=Recherche!$C$6),OR(Recherche!$C$7="",ISNUMBER(SEARCH(Recherche!$C$7,H2138))),OR(Recherche!$C$8="",J2138=Recherche!$C$8),OR(Recherche!$C$9="",I2138=Recherche!$C$9),OR(Recherche!$C$10="",G2138&amp;""=Recherche!$C$10&amp;""),OR(Recherche!$C$11="",E2138=Recherche!$C$11),OR(Recherche!$C$12="",ISNUMBER(SEARCH(Recherche!$C$12,M2138&amp;" "&amp;F2138)))),1,0)</f>
        <v>8</v>
      </c>
    </row>
    <row r="2139" customFormat="false" ht="15" hidden="false" customHeight="false" outlineLevel="0" collapsed="false">
      <c r="A2139" s="19"/>
      <c r="B2139" s="19"/>
      <c r="C2139" s="19"/>
      <c r="D2139" s="19"/>
      <c r="E2139" s="22"/>
      <c r="F2139" s="19"/>
      <c r="G2139" s="26" t="str">
        <f aca="false">IF(D2139="","",IFERROR(VALUE(LEFT(D2139,FIND(" |",D2139&amp;" |")-1)),"?"))</f>
        <v/>
      </c>
      <c r="H2139" s="27" t="str">
        <f aca="false">IF(G2139="","",IF(G2139="?","⚠ pub inconnue",IFERROR(INDEX(Pubs!$B$2:$B$3001,MATCH(G2139,Pubs!$A$2:$A$3001,0))&amp;"","⚠ pub inconnue")))</f>
        <v/>
      </c>
      <c r="I2139" s="27" t="str">
        <f aca="false">IF(OR(G2139="",G2139="?"),"",IFERROR(INDEX(Pubs!$C$2:$C$3001,MATCH(G2139,Pubs!$A$2:$A$3001,0))&amp;"",""))</f>
        <v/>
      </c>
      <c r="J2139" s="27" t="str">
        <f aca="false">IF(OR(G2139="",G2139="?"),"",IFERROR(INDEX(Pubs!$G$2:$G$3001,MATCH(G2139,Pubs!$A$2:$A$3001,0))&amp;"",""))</f>
        <v/>
      </c>
      <c r="K2139" s="28" t="str">
        <f aca="false">IF(OR(G2139="",G2139="?"),"",IFERROR(INDEX(Pubs!$E$2:$E$3001,MATCH(G2139,Pubs!$A$2:$A$3001,0)),""))</f>
        <v/>
      </c>
      <c r="L2139" s="29" t="str">
        <f aca="false">IF(A2139="","",IFERROR(1/(1/INDEX(Numéros!$C$2:$C$3001,MATCH(A2139&amp;"|"&amp;B2139,Numéros!$F$2:$F$3001,0))),""))</f>
        <v/>
      </c>
      <c r="M2139" s="27" t="str">
        <f aca="false">IF(OR(G2139="",G2139="?"),"",IFERROR(INDEX(Pubs!$D$2:$D$3001,MATCH(G2139,Pubs!$A$2:$A$3001,0))&amp;"",""))</f>
        <v/>
      </c>
      <c r="N2139" s="27" t="n">
        <f aca="false">N(N2138)+IF(AND(A2139&lt;&gt;"",OR(Recherche!$C$4="",A2139=Recherche!$C$4),OR(Recherche!$C$5="",B2139&amp;""=Recherche!$C$5&amp;""),OR(Recherche!$C$6="",IFERROR(YEAR(L2139),0)=Recherche!$C$6),OR(Recherche!$C$7="",ISNUMBER(SEARCH(Recherche!$C$7,H2139))),OR(Recherche!$C$8="",J2139=Recherche!$C$8),OR(Recherche!$C$9="",I2139=Recherche!$C$9),OR(Recherche!$C$10="",G2139&amp;""=Recherche!$C$10&amp;""),OR(Recherche!$C$11="",E2139=Recherche!$C$11),OR(Recherche!$C$12="",ISNUMBER(SEARCH(Recherche!$C$12,M2139&amp;" "&amp;F2139)))),1,0)</f>
        <v>8</v>
      </c>
    </row>
    <row r="2140" customFormat="false" ht="15" hidden="false" customHeight="false" outlineLevel="0" collapsed="false">
      <c r="A2140" s="19"/>
      <c r="B2140" s="19"/>
      <c r="C2140" s="19"/>
      <c r="D2140" s="19"/>
      <c r="E2140" s="22"/>
      <c r="F2140" s="19"/>
      <c r="G2140" s="26" t="str">
        <f aca="false">IF(D2140="","",IFERROR(VALUE(LEFT(D2140,FIND(" |",D2140&amp;" |")-1)),"?"))</f>
        <v/>
      </c>
      <c r="H2140" s="27" t="str">
        <f aca="false">IF(G2140="","",IF(G2140="?","⚠ pub inconnue",IFERROR(INDEX(Pubs!$B$2:$B$3001,MATCH(G2140,Pubs!$A$2:$A$3001,0))&amp;"","⚠ pub inconnue")))</f>
        <v/>
      </c>
      <c r="I2140" s="27" t="str">
        <f aca="false">IF(OR(G2140="",G2140="?"),"",IFERROR(INDEX(Pubs!$C$2:$C$3001,MATCH(G2140,Pubs!$A$2:$A$3001,0))&amp;"",""))</f>
        <v/>
      </c>
      <c r="J2140" s="27" t="str">
        <f aca="false">IF(OR(G2140="",G2140="?"),"",IFERROR(INDEX(Pubs!$G$2:$G$3001,MATCH(G2140,Pubs!$A$2:$A$3001,0))&amp;"",""))</f>
        <v/>
      </c>
      <c r="K2140" s="28" t="str">
        <f aca="false">IF(OR(G2140="",G2140="?"),"",IFERROR(INDEX(Pubs!$E$2:$E$3001,MATCH(G2140,Pubs!$A$2:$A$3001,0)),""))</f>
        <v/>
      </c>
      <c r="L2140" s="29" t="str">
        <f aca="false">IF(A2140="","",IFERROR(1/(1/INDEX(Numéros!$C$2:$C$3001,MATCH(A2140&amp;"|"&amp;B2140,Numéros!$F$2:$F$3001,0))),""))</f>
        <v/>
      </c>
      <c r="M2140" s="27" t="str">
        <f aca="false">IF(OR(G2140="",G2140="?"),"",IFERROR(INDEX(Pubs!$D$2:$D$3001,MATCH(G2140,Pubs!$A$2:$A$3001,0))&amp;"",""))</f>
        <v/>
      </c>
      <c r="N2140" s="27" t="n">
        <f aca="false">N(N2139)+IF(AND(A2140&lt;&gt;"",OR(Recherche!$C$4="",A2140=Recherche!$C$4),OR(Recherche!$C$5="",B2140&amp;""=Recherche!$C$5&amp;""),OR(Recherche!$C$6="",IFERROR(YEAR(L2140),0)=Recherche!$C$6),OR(Recherche!$C$7="",ISNUMBER(SEARCH(Recherche!$C$7,H2140))),OR(Recherche!$C$8="",J2140=Recherche!$C$8),OR(Recherche!$C$9="",I2140=Recherche!$C$9),OR(Recherche!$C$10="",G2140&amp;""=Recherche!$C$10&amp;""),OR(Recherche!$C$11="",E2140=Recherche!$C$11),OR(Recherche!$C$12="",ISNUMBER(SEARCH(Recherche!$C$12,M2140&amp;" "&amp;F2140)))),1,0)</f>
        <v>8</v>
      </c>
    </row>
    <row r="2141" customFormat="false" ht="15" hidden="false" customHeight="false" outlineLevel="0" collapsed="false">
      <c r="A2141" s="19"/>
      <c r="B2141" s="19"/>
      <c r="C2141" s="19"/>
      <c r="D2141" s="19"/>
      <c r="E2141" s="22"/>
      <c r="F2141" s="19"/>
      <c r="G2141" s="26" t="str">
        <f aca="false">IF(D2141="","",IFERROR(VALUE(LEFT(D2141,FIND(" |",D2141&amp;" |")-1)),"?"))</f>
        <v/>
      </c>
      <c r="H2141" s="27" t="str">
        <f aca="false">IF(G2141="","",IF(G2141="?","⚠ pub inconnue",IFERROR(INDEX(Pubs!$B$2:$B$3001,MATCH(G2141,Pubs!$A$2:$A$3001,0))&amp;"","⚠ pub inconnue")))</f>
        <v/>
      </c>
      <c r="I2141" s="27" t="str">
        <f aca="false">IF(OR(G2141="",G2141="?"),"",IFERROR(INDEX(Pubs!$C$2:$C$3001,MATCH(G2141,Pubs!$A$2:$A$3001,0))&amp;"",""))</f>
        <v/>
      </c>
      <c r="J2141" s="27" t="str">
        <f aca="false">IF(OR(G2141="",G2141="?"),"",IFERROR(INDEX(Pubs!$G$2:$G$3001,MATCH(G2141,Pubs!$A$2:$A$3001,0))&amp;"",""))</f>
        <v/>
      </c>
      <c r="K2141" s="28" t="str">
        <f aca="false">IF(OR(G2141="",G2141="?"),"",IFERROR(INDEX(Pubs!$E$2:$E$3001,MATCH(G2141,Pubs!$A$2:$A$3001,0)),""))</f>
        <v/>
      </c>
      <c r="L2141" s="29" t="str">
        <f aca="false">IF(A2141="","",IFERROR(1/(1/INDEX(Numéros!$C$2:$C$3001,MATCH(A2141&amp;"|"&amp;B2141,Numéros!$F$2:$F$3001,0))),""))</f>
        <v/>
      </c>
      <c r="M2141" s="27" t="str">
        <f aca="false">IF(OR(G2141="",G2141="?"),"",IFERROR(INDEX(Pubs!$D$2:$D$3001,MATCH(G2141,Pubs!$A$2:$A$3001,0))&amp;"",""))</f>
        <v/>
      </c>
      <c r="N2141" s="27" t="n">
        <f aca="false">N(N2140)+IF(AND(A2141&lt;&gt;"",OR(Recherche!$C$4="",A2141=Recherche!$C$4),OR(Recherche!$C$5="",B2141&amp;""=Recherche!$C$5&amp;""),OR(Recherche!$C$6="",IFERROR(YEAR(L2141),0)=Recherche!$C$6),OR(Recherche!$C$7="",ISNUMBER(SEARCH(Recherche!$C$7,H2141))),OR(Recherche!$C$8="",J2141=Recherche!$C$8),OR(Recherche!$C$9="",I2141=Recherche!$C$9),OR(Recherche!$C$10="",G2141&amp;""=Recherche!$C$10&amp;""),OR(Recherche!$C$11="",E2141=Recherche!$C$11),OR(Recherche!$C$12="",ISNUMBER(SEARCH(Recherche!$C$12,M2141&amp;" "&amp;F2141)))),1,0)</f>
        <v>8</v>
      </c>
    </row>
    <row r="2142" customFormat="false" ht="15" hidden="false" customHeight="false" outlineLevel="0" collapsed="false">
      <c r="A2142" s="19"/>
      <c r="B2142" s="19"/>
      <c r="C2142" s="19"/>
      <c r="D2142" s="19"/>
      <c r="E2142" s="22"/>
      <c r="F2142" s="19"/>
      <c r="G2142" s="26" t="str">
        <f aca="false">IF(D2142="","",IFERROR(VALUE(LEFT(D2142,FIND(" |",D2142&amp;" |")-1)),"?"))</f>
        <v/>
      </c>
      <c r="H2142" s="27" t="str">
        <f aca="false">IF(G2142="","",IF(G2142="?","⚠ pub inconnue",IFERROR(INDEX(Pubs!$B$2:$B$3001,MATCH(G2142,Pubs!$A$2:$A$3001,0))&amp;"","⚠ pub inconnue")))</f>
        <v/>
      </c>
      <c r="I2142" s="27" t="str">
        <f aca="false">IF(OR(G2142="",G2142="?"),"",IFERROR(INDEX(Pubs!$C$2:$C$3001,MATCH(G2142,Pubs!$A$2:$A$3001,0))&amp;"",""))</f>
        <v/>
      </c>
      <c r="J2142" s="27" t="str">
        <f aca="false">IF(OR(G2142="",G2142="?"),"",IFERROR(INDEX(Pubs!$G$2:$G$3001,MATCH(G2142,Pubs!$A$2:$A$3001,0))&amp;"",""))</f>
        <v/>
      </c>
      <c r="K2142" s="28" t="str">
        <f aca="false">IF(OR(G2142="",G2142="?"),"",IFERROR(INDEX(Pubs!$E$2:$E$3001,MATCH(G2142,Pubs!$A$2:$A$3001,0)),""))</f>
        <v/>
      </c>
      <c r="L2142" s="29" t="str">
        <f aca="false">IF(A2142="","",IFERROR(1/(1/INDEX(Numéros!$C$2:$C$3001,MATCH(A2142&amp;"|"&amp;B2142,Numéros!$F$2:$F$3001,0))),""))</f>
        <v/>
      </c>
      <c r="M2142" s="27" t="str">
        <f aca="false">IF(OR(G2142="",G2142="?"),"",IFERROR(INDEX(Pubs!$D$2:$D$3001,MATCH(G2142,Pubs!$A$2:$A$3001,0))&amp;"",""))</f>
        <v/>
      </c>
      <c r="N2142" s="27" t="n">
        <f aca="false">N(N2141)+IF(AND(A2142&lt;&gt;"",OR(Recherche!$C$4="",A2142=Recherche!$C$4),OR(Recherche!$C$5="",B2142&amp;""=Recherche!$C$5&amp;""),OR(Recherche!$C$6="",IFERROR(YEAR(L2142),0)=Recherche!$C$6),OR(Recherche!$C$7="",ISNUMBER(SEARCH(Recherche!$C$7,H2142))),OR(Recherche!$C$8="",J2142=Recherche!$C$8),OR(Recherche!$C$9="",I2142=Recherche!$C$9),OR(Recherche!$C$10="",G2142&amp;""=Recherche!$C$10&amp;""),OR(Recherche!$C$11="",E2142=Recherche!$C$11),OR(Recherche!$C$12="",ISNUMBER(SEARCH(Recherche!$C$12,M2142&amp;" "&amp;F2142)))),1,0)</f>
        <v>8</v>
      </c>
    </row>
    <row r="2143" customFormat="false" ht="15" hidden="false" customHeight="false" outlineLevel="0" collapsed="false">
      <c r="A2143" s="19"/>
      <c r="B2143" s="19"/>
      <c r="C2143" s="19"/>
      <c r="D2143" s="19"/>
      <c r="E2143" s="22"/>
      <c r="F2143" s="19"/>
      <c r="G2143" s="26" t="str">
        <f aca="false">IF(D2143="","",IFERROR(VALUE(LEFT(D2143,FIND(" |",D2143&amp;" |")-1)),"?"))</f>
        <v/>
      </c>
      <c r="H2143" s="27" t="str">
        <f aca="false">IF(G2143="","",IF(G2143="?","⚠ pub inconnue",IFERROR(INDEX(Pubs!$B$2:$B$3001,MATCH(G2143,Pubs!$A$2:$A$3001,0))&amp;"","⚠ pub inconnue")))</f>
        <v/>
      </c>
      <c r="I2143" s="27" t="str">
        <f aca="false">IF(OR(G2143="",G2143="?"),"",IFERROR(INDEX(Pubs!$C$2:$C$3001,MATCH(G2143,Pubs!$A$2:$A$3001,0))&amp;"",""))</f>
        <v/>
      </c>
      <c r="J2143" s="27" t="str">
        <f aca="false">IF(OR(G2143="",G2143="?"),"",IFERROR(INDEX(Pubs!$G$2:$G$3001,MATCH(G2143,Pubs!$A$2:$A$3001,0))&amp;"",""))</f>
        <v/>
      </c>
      <c r="K2143" s="28" t="str">
        <f aca="false">IF(OR(G2143="",G2143="?"),"",IFERROR(INDEX(Pubs!$E$2:$E$3001,MATCH(G2143,Pubs!$A$2:$A$3001,0)),""))</f>
        <v/>
      </c>
      <c r="L2143" s="29" t="str">
        <f aca="false">IF(A2143="","",IFERROR(1/(1/INDEX(Numéros!$C$2:$C$3001,MATCH(A2143&amp;"|"&amp;B2143,Numéros!$F$2:$F$3001,0))),""))</f>
        <v/>
      </c>
      <c r="M2143" s="27" t="str">
        <f aca="false">IF(OR(G2143="",G2143="?"),"",IFERROR(INDEX(Pubs!$D$2:$D$3001,MATCH(G2143,Pubs!$A$2:$A$3001,0))&amp;"",""))</f>
        <v/>
      </c>
      <c r="N2143" s="27" t="n">
        <f aca="false">N(N2142)+IF(AND(A2143&lt;&gt;"",OR(Recherche!$C$4="",A2143=Recherche!$C$4),OR(Recherche!$C$5="",B2143&amp;""=Recherche!$C$5&amp;""),OR(Recherche!$C$6="",IFERROR(YEAR(L2143),0)=Recherche!$C$6),OR(Recherche!$C$7="",ISNUMBER(SEARCH(Recherche!$C$7,H2143))),OR(Recherche!$C$8="",J2143=Recherche!$C$8),OR(Recherche!$C$9="",I2143=Recherche!$C$9),OR(Recherche!$C$10="",G2143&amp;""=Recherche!$C$10&amp;""),OR(Recherche!$C$11="",E2143=Recherche!$C$11),OR(Recherche!$C$12="",ISNUMBER(SEARCH(Recherche!$C$12,M2143&amp;" "&amp;F2143)))),1,0)</f>
        <v>8</v>
      </c>
    </row>
    <row r="2144" customFormat="false" ht="15" hidden="false" customHeight="false" outlineLevel="0" collapsed="false">
      <c r="A2144" s="19"/>
      <c r="B2144" s="19"/>
      <c r="C2144" s="19"/>
      <c r="D2144" s="19"/>
      <c r="E2144" s="22"/>
      <c r="F2144" s="19"/>
      <c r="G2144" s="26" t="str">
        <f aca="false">IF(D2144="","",IFERROR(VALUE(LEFT(D2144,FIND(" |",D2144&amp;" |")-1)),"?"))</f>
        <v/>
      </c>
      <c r="H2144" s="27" t="str">
        <f aca="false">IF(G2144="","",IF(G2144="?","⚠ pub inconnue",IFERROR(INDEX(Pubs!$B$2:$B$3001,MATCH(G2144,Pubs!$A$2:$A$3001,0))&amp;"","⚠ pub inconnue")))</f>
        <v/>
      </c>
      <c r="I2144" s="27" t="str">
        <f aca="false">IF(OR(G2144="",G2144="?"),"",IFERROR(INDEX(Pubs!$C$2:$C$3001,MATCH(G2144,Pubs!$A$2:$A$3001,0))&amp;"",""))</f>
        <v/>
      </c>
      <c r="J2144" s="27" t="str">
        <f aca="false">IF(OR(G2144="",G2144="?"),"",IFERROR(INDEX(Pubs!$G$2:$G$3001,MATCH(G2144,Pubs!$A$2:$A$3001,0))&amp;"",""))</f>
        <v/>
      </c>
      <c r="K2144" s="28" t="str">
        <f aca="false">IF(OR(G2144="",G2144="?"),"",IFERROR(INDEX(Pubs!$E$2:$E$3001,MATCH(G2144,Pubs!$A$2:$A$3001,0)),""))</f>
        <v/>
      </c>
      <c r="L2144" s="29" t="str">
        <f aca="false">IF(A2144="","",IFERROR(1/(1/INDEX(Numéros!$C$2:$C$3001,MATCH(A2144&amp;"|"&amp;B2144,Numéros!$F$2:$F$3001,0))),""))</f>
        <v/>
      </c>
      <c r="M2144" s="27" t="str">
        <f aca="false">IF(OR(G2144="",G2144="?"),"",IFERROR(INDEX(Pubs!$D$2:$D$3001,MATCH(G2144,Pubs!$A$2:$A$3001,0))&amp;"",""))</f>
        <v/>
      </c>
      <c r="N2144" s="27" t="n">
        <f aca="false">N(N2143)+IF(AND(A2144&lt;&gt;"",OR(Recherche!$C$4="",A2144=Recherche!$C$4),OR(Recherche!$C$5="",B2144&amp;""=Recherche!$C$5&amp;""),OR(Recherche!$C$6="",IFERROR(YEAR(L2144),0)=Recherche!$C$6),OR(Recherche!$C$7="",ISNUMBER(SEARCH(Recherche!$C$7,H2144))),OR(Recherche!$C$8="",J2144=Recherche!$C$8),OR(Recherche!$C$9="",I2144=Recherche!$C$9),OR(Recherche!$C$10="",G2144&amp;""=Recherche!$C$10&amp;""),OR(Recherche!$C$11="",E2144=Recherche!$C$11),OR(Recherche!$C$12="",ISNUMBER(SEARCH(Recherche!$C$12,M2144&amp;" "&amp;F2144)))),1,0)</f>
        <v>8</v>
      </c>
    </row>
    <row r="2145" customFormat="false" ht="15" hidden="false" customHeight="false" outlineLevel="0" collapsed="false">
      <c r="A2145" s="19"/>
      <c r="B2145" s="19"/>
      <c r="C2145" s="19"/>
      <c r="D2145" s="19"/>
      <c r="E2145" s="22"/>
      <c r="F2145" s="19"/>
      <c r="G2145" s="26" t="str">
        <f aca="false">IF(D2145="","",IFERROR(VALUE(LEFT(D2145,FIND(" |",D2145&amp;" |")-1)),"?"))</f>
        <v/>
      </c>
      <c r="H2145" s="27" t="str">
        <f aca="false">IF(G2145="","",IF(G2145="?","⚠ pub inconnue",IFERROR(INDEX(Pubs!$B$2:$B$3001,MATCH(G2145,Pubs!$A$2:$A$3001,0))&amp;"","⚠ pub inconnue")))</f>
        <v/>
      </c>
      <c r="I2145" s="27" t="str">
        <f aca="false">IF(OR(G2145="",G2145="?"),"",IFERROR(INDEX(Pubs!$C$2:$C$3001,MATCH(G2145,Pubs!$A$2:$A$3001,0))&amp;"",""))</f>
        <v/>
      </c>
      <c r="J2145" s="27" t="str">
        <f aca="false">IF(OR(G2145="",G2145="?"),"",IFERROR(INDEX(Pubs!$G$2:$G$3001,MATCH(G2145,Pubs!$A$2:$A$3001,0))&amp;"",""))</f>
        <v/>
      </c>
      <c r="K2145" s="28" t="str">
        <f aca="false">IF(OR(G2145="",G2145="?"),"",IFERROR(INDEX(Pubs!$E$2:$E$3001,MATCH(G2145,Pubs!$A$2:$A$3001,0)),""))</f>
        <v/>
      </c>
      <c r="L2145" s="29" t="str">
        <f aca="false">IF(A2145="","",IFERROR(1/(1/INDEX(Numéros!$C$2:$C$3001,MATCH(A2145&amp;"|"&amp;B2145,Numéros!$F$2:$F$3001,0))),""))</f>
        <v/>
      </c>
      <c r="M2145" s="27" t="str">
        <f aca="false">IF(OR(G2145="",G2145="?"),"",IFERROR(INDEX(Pubs!$D$2:$D$3001,MATCH(G2145,Pubs!$A$2:$A$3001,0))&amp;"",""))</f>
        <v/>
      </c>
      <c r="N2145" s="27" t="n">
        <f aca="false">N(N2144)+IF(AND(A2145&lt;&gt;"",OR(Recherche!$C$4="",A2145=Recherche!$C$4),OR(Recherche!$C$5="",B2145&amp;""=Recherche!$C$5&amp;""),OR(Recherche!$C$6="",IFERROR(YEAR(L2145),0)=Recherche!$C$6),OR(Recherche!$C$7="",ISNUMBER(SEARCH(Recherche!$C$7,H2145))),OR(Recherche!$C$8="",J2145=Recherche!$C$8),OR(Recherche!$C$9="",I2145=Recherche!$C$9),OR(Recherche!$C$10="",G2145&amp;""=Recherche!$C$10&amp;""),OR(Recherche!$C$11="",E2145=Recherche!$C$11),OR(Recherche!$C$12="",ISNUMBER(SEARCH(Recherche!$C$12,M2145&amp;" "&amp;F2145)))),1,0)</f>
        <v>8</v>
      </c>
    </row>
    <row r="2146" customFormat="false" ht="15" hidden="false" customHeight="false" outlineLevel="0" collapsed="false">
      <c r="A2146" s="19"/>
      <c r="B2146" s="19"/>
      <c r="C2146" s="19"/>
      <c r="D2146" s="19"/>
      <c r="E2146" s="22"/>
      <c r="F2146" s="19"/>
      <c r="G2146" s="26" t="str">
        <f aca="false">IF(D2146="","",IFERROR(VALUE(LEFT(D2146,FIND(" |",D2146&amp;" |")-1)),"?"))</f>
        <v/>
      </c>
      <c r="H2146" s="27" t="str">
        <f aca="false">IF(G2146="","",IF(G2146="?","⚠ pub inconnue",IFERROR(INDEX(Pubs!$B$2:$B$3001,MATCH(G2146,Pubs!$A$2:$A$3001,0))&amp;"","⚠ pub inconnue")))</f>
        <v/>
      </c>
      <c r="I2146" s="27" t="str">
        <f aca="false">IF(OR(G2146="",G2146="?"),"",IFERROR(INDEX(Pubs!$C$2:$C$3001,MATCH(G2146,Pubs!$A$2:$A$3001,0))&amp;"",""))</f>
        <v/>
      </c>
      <c r="J2146" s="27" t="str">
        <f aca="false">IF(OR(G2146="",G2146="?"),"",IFERROR(INDEX(Pubs!$G$2:$G$3001,MATCH(G2146,Pubs!$A$2:$A$3001,0))&amp;"",""))</f>
        <v/>
      </c>
      <c r="K2146" s="28" t="str">
        <f aca="false">IF(OR(G2146="",G2146="?"),"",IFERROR(INDEX(Pubs!$E$2:$E$3001,MATCH(G2146,Pubs!$A$2:$A$3001,0)),""))</f>
        <v/>
      </c>
      <c r="L2146" s="29" t="str">
        <f aca="false">IF(A2146="","",IFERROR(1/(1/INDEX(Numéros!$C$2:$C$3001,MATCH(A2146&amp;"|"&amp;B2146,Numéros!$F$2:$F$3001,0))),""))</f>
        <v/>
      </c>
      <c r="M2146" s="27" t="str">
        <f aca="false">IF(OR(G2146="",G2146="?"),"",IFERROR(INDEX(Pubs!$D$2:$D$3001,MATCH(G2146,Pubs!$A$2:$A$3001,0))&amp;"",""))</f>
        <v/>
      </c>
      <c r="N2146" s="27" t="n">
        <f aca="false">N(N2145)+IF(AND(A2146&lt;&gt;"",OR(Recherche!$C$4="",A2146=Recherche!$C$4),OR(Recherche!$C$5="",B2146&amp;""=Recherche!$C$5&amp;""),OR(Recherche!$C$6="",IFERROR(YEAR(L2146),0)=Recherche!$C$6),OR(Recherche!$C$7="",ISNUMBER(SEARCH(Recherche!$C$7,H2146))),OR(Recherche!$C$8="",J2146=Recherche!$C$8),OR(Recherche!$C$9="",I2146=Recherche!$C$9),OR(Recherche!$C$10="",G2146&amp;""=Recherche!$C$10&amp;""),OR(Recherche!$C$11="",E2146=Recherche!$C$11),OR(Recherche!$C$12="",ISNUMBER(SEARCH(Recherche!$C$12,M2146&amp;" "&amp;F2146)))),1,0)</f>
        <v>8</v>
      </c>
    </row>
    <row r="2147" customFormat="false" ht="15" hidden="false" customHeight="false" outlineLevel="0" collapsed="false">
      <c r="A2147" s="19"/>
      <c r="B2147" s="19"/>
      <c r="C2147" s="19"/>
      <c r="D2147" s="19"/>
      <c r="E2147" s="22"/>
      <c r="F2147" s="19"/>
      <c r="G2147" s="26" t="str">
        <f aca="false">IF(D2147="","",IFERROR(VALUE(LEFT(D2147,FIND(" |",D2147&amp;" |")-1)),"?"))</f>
        <v/>
      </c>
      <c r="H2147" s="27" t="str">
        <f aca="false">IF(G2147="","",IF(G2147="?","⚠ pub inconnue",IFERROR(INDEX(Pubs!$B$2:$B$3001,MATCH(G2147,Pubs!$A$2:$A$3001,0))&amp;"","⚠ pub inconnue")))</f>
        <v/>
      </c>
      <c r="I2147" s="27" t="str">
        <f aca="false">IF(OR(G2147="",G2147="?"),"",IFERROR(INDEX(Pubs!$C$2:$C$3001,MATCH(G2147,Pubs!$A$2:$A$3001,0))&amp;"",""))</f>
        <v/>
      </c>
      <c r="J2147" s="27" t="str">
        <f aca="false">IF(OR(G2147="",G2147="?"),"",IFERROR(INDEX(Pubs!$G$2:$G$3001,MATCH(G2147,Pubs!$A$2:$A$3001,0))&amp;"",""))</f>
        <v/>
      </c>
      <c r="K2147" s="28" t="str">
        <f aca="false">IF(OR(G2147="",G2147="?"),"",IFERROR(INDEX(Pubs!$E$2:$E$3001,MATCH(G2147,Pubs!$A$2:$A$3001,0)),""))</f>
        <v/>
      </c>
      <c r="L2147" s="29" t="str">
        <f aca="false">IF(A2147="","",IFERROR(1/(1/INDEX(Numéros!$C$2:$C$3001,MATCH(A2147&amp;"|"&amp;B2147,Numéros!$F$2:$F$3001,0))),""))</f>
        <v/>
      </c>
      <c r="M2147" s="27" t="str">
        <f aca="false">IF(OR(G2147="",G2147="?"),"",IFERROR(INDEX(Pubs!$D$2:$D$3001,MATCH(G2147,Pubs!$A$2:$A$3001,0))&amp;"",""))</f>
        <v/>
      </c>
      <c r="N2147" s="27" t="n">
        <f aca="false">N(N2146)+IF(AND(A2147&lt;&gt;"",OR(Recherche!$C$4="",A2147=Recherche!$C$4),OR(Recherche!$C$5="",B2147&amp;""=Recherche!$C$5&amp;""),OR(Recherche!$C$6="",IFERROR(YEAR(L2147),0)=Recherche!$C$6),OR(Recherche!$C$7="",ISNUMBER(SEARCH(Recherche!$C$7,H2147))),OR(Recherche!$C$8="",J2147=Recherche!$C$8),OR(Recherche!$C$9="",I2147=Recherche!$C$9),OR(Recherche!$C$10="",G2147&amp;""=Recherche!$C$10&amp;""),OR(Recherche!$C$11="",E2147=Recherche!$C$11),OR(Recherche!$C$12="",ISNUMBER(SEARCH(Recherche!$C$12,M2147&amp;" "&amp;F2147)))),1,0)</f>
        <v>8</v>
      </c>
    </row>
    <row r="2148" customFormat="false" ht="15" hidden="false" customHeight="false" outlineLevel="0" collapsed="false">
      <c r="A2148" s="19"/>
      <c r="B2148" s="19"/>
      <c r="C2148" s="19"/>
      <c r="D2148" s="19"/>
      <c r="E2148" s="22"/>
      <c r="F2148" s="19"/>
      <c r="G2148" s="26" t="str">
        <f aca="false">IF(D2148="","",IFERROR(VALUE(LEFT(D2148,FIND(" |",D2148&amp;" |")-1)),"?"))</f>
        <v/>
      </c>
      <c r="H2148" s="27" t="str">
        <f aca="false">IF(G2148="","",IF(G2148="?","⚠ pub inconnue",IFERROR(INDEX(Pubs!$B$2:$B$3001,MATCH(G2148,Pubs!$A$2:$A$3001,0))&amp;"","⚠ pub inconnue")))</f>
        <v/>
      </c>
      <c r="I2148" s="27" t="str">
        <f aca="false">IF(OR(G2148="",G2148="?"),"",IFERROR(INDEX(Pubs!$C$2:$C$3001,MATCH(G2148,Pubs!$A$2:$A$3001,0))&amp;"",""))</f>
        <v/>
      </c>
      <c r="J2148" s="27" t="str">
        <f aca="false">IF(OR(G2148="",G2148="?"),"",IFERROR(INDEX(Pubs!$G$2:$G$3001,MATCH(G2148,Pubs!$A$2:$A$3001,0))&amp;"",""))</f>
        <v/>
      </c>
      <c r="K2148" s="28" t="str">
        <f aca="false">IF(OR(G2148="",G2148="?"),"",IFERROR(INDEX(Pubs!$E$2:$E$3001,MATCH(G2148,Pubs!$A$2:$A$3001,0)),""))</f>
        <v/>
      </c>
      <c r="L2148" s="29" t="str">
        <f aca="false">IF(A2148="","",IFERROR(1/(1/INDEX(Numéros!$C$2:$C$3001,MATCH(A2148&amp;"|"&amp;B2148,Numéros!$F$2:$F$3001,0))),""))</f>
        <v/>
      </c>
      <c r="M2148" s="27" t="str">
        <f aca="false">IF(OR(G2148="",G2148="?"),"",IFERROR(INDEX(Pubs!$D$2:$D$3001,MATCH(G2148,Pubs!$A$2:$A$3001,0))&amp;"",""))</f>
        <v/>
      </c>
      <c r="N2148" s="27" t="n">
        <f aca="false">N(N2147)+IF(AND(A2148&lt;&gt;"",OR(Recherche!$C$4="",A2148=Recherche!$C$4),OR(Recherche!$C$5="",B2148&amp;""=Recherche!$C$5&amp;""),OR(Recherche!$C$6="",IFERROR(YEAR(L2148),0)=Recherche!$C$6),OR(Recherche!$C$7="",ISNUMBER(SEARCH(Recherche!$C$7,H2148))),OR(Recherche!$C$8="",J2148=Recherche!$C$8),OR(Recherche!$C$9="",I2148=Recherche!$C$9),OR(Recherche!$C$10="",G2148&amp;""=Recherche!$C$10&amp;""),OR(Recherche!$C$11="",E2148=Recherche!$C$11),OR(Recherche!$C$12="",ISNUMBER(SEARCH(Recherche!$C$12,M2148&amp;" "&amp;F2148)))),1,0)</f>
        <v>8</v>
      </c>
    </row>
    <row r="2149" customFormat="false" ht="15" hidden="false" customHeight="false" outlineLevel="0" collapsed="false">
      <c r="A2149" s="19"/>
      <c r="B2149" s="19"/>
      <c r="C2149" s="19"/>
      <c r="D2149" s="19"/>
      <c r="E2149" s="22"/>
      <c r="F2149" s="19"/>
      <c r="G2149" s="26" t="str">
        <f aca="false">IF(D2149="","",IFERROR(VALUE(LEFT(D2149,FIND(" |",D2149&amp;" |")-1)),"?"))</f>
        <v/>
      </c>
      <c r="H2149" s="27" t="str">
        <f aca="false">IF(G2149="","",IF(G2149="?","⚠ pub inconnue",IFERROR(INDEX(Pubs!$B$2:$B$3001,MATCH(G2149,Pubs!$A$2:$A$3001,0))&amp;"","⚠ pub inconnue")))</f>
        <v/>
      </c>
      <c r="I2149" s="27" t="str">
        <f aca="false">IF(OR(G2149="",G2149="?"),"",IFERROR(INDEX(Pubs!$C$2:$C$3001,MATCH(G2149,Pubs!$A$2:$A$3001,0))&amp;"",""))</f>
        <v/>
      </c>
      <c r="J2149" s="27" t="str">
        <f aca="false">IF(OR(G2149="",G2149="?"),"",IFERROR(INDEX(Pubs!$G$2:$G$3001,MATCH(G2149,Pubs!$A$2:$A$3001,0))&amp;"",""))</f>
        <v/>
      </c>
      <c r="K2149" s="28" t="str">
        <f aca="false">IF(OR(G2149="",G2149="?"),"",IFERROR(INDEX(Pubs!$E$2:$E$3001,MATCH(G2149,Pubs!$A$2:$A$3001,0)),""))</f>
        <v/>
      </c>
      <c r="L2149" s="29" t="str">
        <f aca="false">IF(A2149="","",IFERROR(1/(1/INDEX(Numéros!$C$2:$C$3001,MATCH(A2149&amp;"|"&amp;B2149,Numéros!$F$2:$F$3001,0))),""))</f>
        <v/>
      </c>
      <c r="M2149" s="27" t="str">
        <f aca="false">IF(OR(G2149="",G2149="?"),"",IFERROR(INDEX(Pubs!$D$2:$D$3001,MATCH(G2149,Pubs!$A$2:$A$3001,0))&amp;"",""))</f>
        <v/>
      </c>
      <c r="N2149" s="27" t="n">
        <f aca="false">N(N2148)+IF(AND(A2149&lt;&gt;"",OR(Recherche!$C$4="",A2149=Recherche!$C$4),OR(Recherche!$C$5="",B2149&amp;""=Recherche!$C$5&amp;""),OR(Recherche!$C$6="",IFERROR(YEAR(L2149),0)=Recherche!$C$6),OR(Recherche!$C$7="",ISNUMBER(SEARCH(Recherche!$C$7,H2149))),OR(Recherche!$C$8="",J2149=Recherche!$C$8),OR(Recherche!$C$9="",I2149=Recherche!$C$9),OR(Recherche!$C$10="",G2149&amp;""=Recherche!$C$10&amp;""),OR(Recherche!$C$11="",E2149=Recherche!$C$11),OR(Recherche!$C$12="",ISNUMBER(SEARCH(Recherche!$C$12,M2149&amp;" "&amp;F2149)))),1,0)</f>
        <v>8</v>
      </c>
    </row>
    <row r="2150" customFormat="false" ht="15" hidden="false" customHeight="false" outlineLevel="0" collapsed="false">
      <c r="A2150" s="19"/>
      <c r="B2150" s="19"/>
      <c r="C2150" s="19"/>
      <c r="D2150" s="19"/>
      <c r="E2150" s="22"/>
      <c r="F2150" s="19"/>
      <c r="G2150" s="26" t="str">
        <f aca="false">IF(D2150="","",IFERROR(VALUE(LEFT(D2150,FIND(" |",D2150&amp;" |")-1)),"?"))</f>
        <v/>
      </c>
      <c r="H2150" s="27" t="str">
        <f aca="false">IF(G2150="","",IF(G2150="?","⚠ pub inconnue",IFERROR(INDEX(Pubs!$B$2:$B$3001,MATCH(G2150,Pubs!$A$2:$A$3001,0))&amp;"","⚠ pub inconnue")))</f>
        <v/>
      </c>
      <c r="I2150" s="27" t="str">
        <f aca="false">IF(OR(G2150="",G2150="?"),"",IFERROR(INDEX(Pubs!$C$2:$C$3001,MATCH(G2150,Pubs!$A$2:$A$3001,0))&amp;"",""))</f>
        <v/>
      </c>
      <c r="J2150" s="27" t="str">
        <f aca="false">IF(OR(G2150="",G2150="?"),"",IFERROR(INDEX(Pubs!$G$2:$G$3001,MATCH(G2150,Pubs!$A$2:$A$3001,0))&amp;"",""))</f>
        <v/>
      </c>
      <c r="K2150" s="28" t="str">
        <f aca="false">IF(OR(G2150="",G2150="?"),"",IFERROR(INDEX(Pubs!$E$2:$E$3001,MATCH(G2150,Pubs!$A$2:$A$3001,0)),""))</f>
        <v/>
      </c>
      <c r="L2150" s="29" t="str">
        <f aca="false">IF(A2150="","",IFERROR(1/(1/INDEX(Numéros!$C$2:$C$3001,MATCH(A2150&amp;"|"&amp;B2150,Numéros!$F$2:$F$3001,0))),""))</f>
        <v/>
      </c>
      <c r="M2150" s="27" t="str">
        <f aca="false">IF(OR(G2150="",G2150="?"),"",IFERROR(INDEX(Pubs!$D$2:$D$3001,MATCH(G2150,Pubs!$A$2:$A$3001,0))&amp;"",""))</f>
        <v/>
      </c>
      <c r="N2150" s="27" t="n">
        <f aca="false">N(N2149)+IF(AND(A2150&lt;&gt;"",OR(Recherche!$C$4="",A2150=Recherche!$C$4),OR(Recherche!$C$5="",B2150&amp;""=Recherche!$C$5&amp;""),OR(Recherche!$C$6="",IFERROR(YEAR(L2150),0)=Recherche!$C$6),OR(Recherche!$C$7="",ISNUMBER(SEARCH(Recherche!$C$7,H2150))),OR(Recherche!$C$8="",J2150=Recherche!$C$8),OR(Recherche!$C$9="",I2150=Recherche!$C$9),OR(Recherche!$C$10="",G2150&amp;""=Recherche!$C$10&amp;""),OR(Recherche!$C$11="",E2150=Recherche!$C$11),OR(Recherche!$C$12="",ISNUMBER(SEARCH(Recherche!$C$12,M2150&amp;" "&amp;F2150)))),1,0)</f>
        <v>8</v>
      </c>
    </row>
    <row r="2151" customFormat="false" ht="15" hidden="false" customHeight="false" outlineLevel="0" collapsed="false">
      <c r="A2151" s="19"/>
      <c r="B2151" s="19"/>
      <c r="C2151" s="19"/>
      <c r="D2151" s="19"/>
      <c r="E2151" s="22"/>
      <c r="F2151" s="19"/>
      <c r="G2151" s="26" t="str">
        <f aca="false">IF(D2151="","",IFERROR(VALUE(LEFT(D2151,FIND(" |",D2151&amp;" |")-1)),"?"))</f>
        <v/>
      </c>
      <c r="H2151" s="27" t="str">
        <f aca="false">IF(G2151="","",IF(G2151="?","⚠ pub inconnue",IFERROR(INDEX(Pubs!$B$2:$B$3001,MATCH(G2151,Pubs!$A$2:$A$3001,0))&amp;"","⚠ pub inconnue")))</f>
        <v/>
      </c>
      <c r="I2151" s="27" t="str">
        <f aca="false">IF(OR(G2151="",G2151="?"),"",IFERROR(INDEX(Pubs!$C$2:$C$3001,MATCH(G2151,Pubs!$A$2:$A$3001,0))&amp;"",""))</f>
        <v/>
      </c>
      <c r="J2151" s="27" t="str">
        <f aca="false">IF(OR(G2151="",G2151="?"),"",IFERROR(INDEX(Pubs!$G$2:$G$3001,MATCH(G2151,Pubs!$A$2:$A$3001,0))&amp;"",""))</f>
        <v/>
      </c>
      <c r="K2151" s="28" t="str">
        <f aca="false">IF(OR(G2151="",G2151="?"),"",IFERROR(INDEX(Pubs!$E$2:$E$3001,MATCH(G2151,Pubs!$A$2:$A$3001,0)),""))</f>
        <v/>
      </c>
      <c r="L2151" s="29" t="str">
        <f aca="false">IF(A2151="","",IFERROR(1/(1/INDEX(Numéros!$C$2:$C$3001,MATCH(A2151&amp;"|"&amp;B2151,Numéros!$F$2:$F$3001,0))),""))</f>
        <v/>
      </c>
      <c r="M2151" s="27" t="str">
        <f aca="false">IF(OR(G2151="",G2151="?"),"",IFERROR(INDEX(Pubs!$D$2:$D$3001,MATCH(G2151,Pubs!$A$2:$A$3001,0))&amp;"",""))</f>
        <v/>
      </c>
      <c r="N2151" s="27" t="n">
        <f aca="false">N(N2150)+IF(AND(A2151&lt;&gt;"",OR(Recherche!$C$4="",A2151=Recherche!$C$4),OR(Recherche!$C$5="",B2151&amp;""=Recherche!$C$5&amp;""),OR(Recherche!$C$6="",IFERROR(YEAR(L2151),0)=Recherche!$C$6),OR(Recherche!$C$7="",ISNUMBER(SEARCH(Recherche!$C$7,H2151))),OR(Recherche!$C$8="",J2151=Recherche!$C$8),OR(Recherche!$C$9="",I2151=Recherche!$C$9),OR(Recherche!$C$10="",G2151&amp;""=Recherche!$C$10&amp;""),OR(Recherche!$C$11="",E2151=Recherche!$C$11),OR(Recherche!$C$12="",ISNUMBER(SEARCH(Recherche!$C$12,M2151&amp;" "&amp;F2151)))),1,0)</f>
        <v>8</v>
      </c>
    </row>
    <row r="2152" customFormat="false" ht="15" hidden="false" customHeight="false" outlineLevel="0" collapsed="false">
      <c r="A2152" s="19"/>
      <c r="B2152" s="19"/>
      <c r="C2152" s="19"/>
      <c r="D2152" s="19"/>
      <c r="E2152" s="22"/>
      <c r="F2152" s="19"/>
      <c r="G2152" s="26" t="str">
        <f aca="false">IF(D2152="","",IFERROR(VALUE(LEFT(D2152,FIND(" |",D2152&amp;" |")-1)),"?"))</f>
        <v/>
      </c>
      <c r="H2152" s="27" t="str">
        <f aca="false">IF(G2152="","",IF(G2152="?","⚠ pub inconnue",IFERROR(INDEX(Pubs!$B$2:$B$3001,MATCH(G2152,Pubs!$A$2:$A$3001,0))&amp;"","⚠ pub inconnue")))</f>
        <v/>
      </c>
      <c r="I2152" s="27" t="str">
        <f aca="false">IF(OR(G2152="",G2152="?"),"",IFERROR(INDEX(Pubs!$C$2:$C$3001,MATCH(G2152,Pubs!$A$2:$A$3001,0))&amp;"",""))</f>
        <v/>
      </c>
      <c r="J2152" s="27" t="str">
        <f aca="false">IF(OR(G2152="",G2152="?"),"",IFERROR(INDEX(Pubs!$G$2:$G$3001,MATCH(G2152,Pubs!$A$2:$A$3001,0))&amp;"",""))</f>
        <v/>
      </c>
      <c r="K2152" s="28" t="str">
        <f aca="false">IF(OR(G2152="",G2152="?"),"",IFERROR(INDEX(Pubs!$E$2:$E$3001,MATCH(G2152,Pubs!$A$2:$A$3001,0)),""))</f>
        <v/>
      </c>
      <c r="L2152" s="29" t="str">
        <f aca="false">IF(A2152="","",IFERROR(1/(1/INDEX(Numéros!$C$2:$C$3001,MATCH(A2152&amp;"|"&amp;B2152,Numéros!$F$2:$F$3001,0))),""))</f>
        <v/>
      </c>
      <c r="M2152" s="27" t="str">
        <f aca="false">IF(OR(G2152="",G2152="?"),"",IFERROR(INDEX(Pubs!$D$2:$D$3001,MATCH(G2152,Pubs!$A$2:$A$3001,0))&amp;"",""))</f>
        <v/>
      </c>
      <c r="N2152" s="27" t="n">
        <f aca="false">N(N2151)+IF(AND(A2152&lt;&gt;"",OR(Recherche!$C$4="",A2152=Recherche!$C$4),OR(Recherche!$C$5="",B2152&amp;""=Recherche!$C$5&amp;""),OR(Recherche!$C$6="",IFERROR(YEAR(L2152),0)=Recherche!$C$6),OR(Recherche!$C$7="",ISNUMBER(SEARCH(Recherche!$C$7,H2152))),OR(Recherche!$C$8="",J2152=Recherche!$C$8),OR(Recherche!$C$9="",I2152=Recherche!$C$9),OR(Recherche!$C$10="",G2152&amp;""=Recherche!$C$10&amp;""),OR(Recherche!$C$11="",E2152=Recherche!$C$11),OR(Recherche!$C$12="",ISNUMBER(SEARCH(Recherche!$C$12,M2152&amp;" "&amp;F2152)))),1,0)</f>
        <v>8</v>
      </c>
    </row>
    <row r="2153" customFormat="false" ht="15" hidden="false" customHeight="false" outlineLevel="0" collapsed="false">
      <c r="A2153" s="19"/>
      <c r="B2153" s="19"/>
      <c r="C2153" s="19"/>
      <c r="D2153" s="19"/>
      <c r="E2153" s="22"/>
      <c r="F2153" s="19"/>
      <c r="G2153" s="26" t="str">
        <f aca="false">IF(D2153="","",IFERROR(VALUE(LEFT(D2153,FIND(" |",D2153&amp;" |")-1)),"?"))</f>
        <v/>
      </c>
      <c r="H2153" s="27" t="str">
        <f aca="false">IF(G2153="","",IF(G2153="?","⚠ pub inconnue",IFERROR(INDEX(Pubs!$B$2:$B$3001,MATCH(G2153,Pubs!$A$2:$A$3001,0))&amp;"","⚠ pub inconnue")))</f>
        <v/>
      </c>
      <c r="I2153" s="27" t="str">
        <f aca="false">IF(OR(G2153="",G2153="?"),"",IFERROR(INDEX(Pubs!$C$2:$C$3001,MATCH(G2153,Pubs!$A$2:$A$3001,0))&amp;"",""))</f>
        <v/>
      </c>
      <c r="J2153" s="27" t="str">
        <f aca="false">IF(OR(G2153="",G2153="?"),"",IFERROR(INDEX(Pubs!$G$2:$G$3001,MATCH(G2153,Pubs!$A$2:$A$3001,0))&amp;"",""))</f>
        <v/>
      </c>
      <c r="K2153" s="28" t="str">
        <f aca="false">IF(OR(G2153="",G2153="?"),"",IFERROR(INDEX(Pubs!$E$2:$E$3001,MATCH(G2153,Pubs!$A$2:$A$3001,0)),""))</f>
        <v/>
      </c>
      <c r="L2153" s="29" t="str">
        <f aca="false">IF(A2153="","",IFERROR(1/(1/INDEX(Numéros!$C$2:$C$3001,MATCH(A2153&amp;"|"&amp;B2153,Numéros!$F$2:$F$3001,0))),""))</f>
        <v/>
      </c>
      <c r="M2153" s="27" t="str">
        <f aca="false">IF(OR(G2153="",G2153="?"),"",IFERROR(INDEX(Pubs!$D$2:$D$3001,MATCH(G2153,Pubs!$A$2:$A$3001,0))&amp;"",""))</f>
        <v/>
      </c>
      <c r="N2153" s="27" t="n">
        <f aca="false">N(N2152)+IF(AND(A2153&lt;&gt;"",OR(Recherche!$C$4="",A2153=Recherche!$C$4),OR(Recherche!$C$5="",B2153&amp;""=Recherche!$C$5&amp;""),OR(Recherche!$C$6="",IFERROR(YEAR(L2153),0)=Recherche!$C$6),OR(Recherche!$C$7="",ISNUMBER(SEARCH(Recherche!$C$7,H2153))),OR(Recherche!$C$8="",J2153=Recherche!$C$8),OR(Recherche!$C$9="",I2153=Recherche!$C$9),OR(Recherche!$C$10="",G2153&amp;""=Recherche!$C$10&amp;""),OR(Recherche!$C$11="",E2153=Recherche!$C$11),OR(Recherche!$C$12="",ISNUMBER(SEARCH(Recherche!$C$12,M2153&amp;" "&amp;F2153)))),1,0)</f>
        <v>8</v>
      </c>
    </row>
    <row r="2154" customFormat="false" ht="15" hidden="false" customHeight="false" outlineLevel="0" collapsed="false">
      <c r="A2154" s="19"/>
      <c r="B2154" s="19"/>
      <c r="C2154" s="19"/>
      <c r="D2154" s="19"/>
      <c r="E2154" s="22"/>
      <c r="F2154" s="19"/>
      <c r="G2154" s="26" t="str">
        <f aca="false">IF(D2154="","",IFERROR(VALUE(LEFT(D2154,FIND(" |",D2154&amp;" |")-1)),"?"))</f>
        <v/>
      </c>
      <c r="H2154" s="27" t="str">
        <f aca="false">IF(G2154="","",IF(G2154="?","⚠ pub inconnue",IFERROR(INDEX(Pubs!$B$2:$B$3001,MATCH(G2154,Pubs!$A$2:$A$3001,0))&amp;"","⚠ pub inconnue")))</f>
        <v/>
      </c>
      <c r="I2154" s="27" t="str">
        <f aca="false">IF(OR(G2154="",G2154="?"),"",IFERROR(INDEX(Pubs!$C$2:$C$3001,MATCH(G2154,Pubs!$A$2:$A$3001,0))&amp;"",""))</f>
        <v/>
      </c>
      <c r="J2154" s="27" t="str">
        <f aca="false">IF(OR(G2154="",G2154="?"),"",IFERROR(INDEX(Pubs!$G$2:$G$3001,MATCH(G2154,Pubs!$A$2:$A$3001,0))&amp;"",""))</f>
        <v/>
      </c>
      <c r="K2154" s="28" t="str">
        <f aca="false">IF(OR(G2154="",G2154="?"),"",IFERROR(INDEX(Pubs!$E$2:$E$3001,MATCH(G2154,Pubs!$A$2:$A$3001,0)),""))</f>
        <v/>
      </c>
      <c r="L2154" s="29" t="str">
        <f aca="false">IF(A2154="","",IFERROR(1/(1/INDEX(Numéros!$C$2:$C$3001,MATCH(A2154&amp;"|"&amp;B2154,Numéros!$F$2:$F$3001,0))),""))</f>
        <v/>
      </c>
      <c r="M2154" s="27" t="str">
        <f aca="false">IF(OR(G2154="",G2154="?"),"",IFERROR(INDEX(Pubs!$D$2:$D$3001,MATCH(G2154,Pubs!$A$2:$A$3001,0))&amp;"",""))</f>
        <v/>
      </c>
      <c r="N2154" s="27" t="n">
        <f aca="false">N(N2153)+IF(AND(A2154&lt;&gt;"",OR(Recherche!$C$4="",A2154=Recherche!$C$4),OR(Recherche!$C$5="",B2154&amp;""=Recherche!$C$5&amp;""),OR(Recherche!$C$6="",IFERROR(YEAR(L2154),0)=Recherche!$C$6),OR(Recherche!$C$7="",ISNUMBER(SEARCH(Recherche!$C$7,H2154))),OR(Recherche!$C$8="",J2154=Recherche!$C$8),OR(Recherche!$C$9="",I2154=Recherche!$C$9),OR(Recherche!$C$10="",G2154&amp;""=Recherche!$C$10&amp;""),OR(Recherche!$C$11="",E2154=Recherche!$C$11),OR(Recherche!$C$12="",ISNUMBER(SEARCH(Recherche!$C$12,M2154&amp;" "&amp;F2154)))),1,0)</f>
        <v>8</v>
      </c>
    </row>
    <row r="2155" customFormat="false" ht="15" hidden="false" customHeight="false" outlineLevel="0" collapsed="false">
      <c r="A2155" s="19"/>
      <c r="B2155" s="19"/>
      <c r="C2155" s="19"/>
      <c r="D2155" s="19"/>
      <c r="E2155" s="22"/>
      <c r="F2155" s="19"/>
      <c r="G2155" s="26" t="str">
        <f aca="false">IF(D2155="","",IFERROR(VALUE(LEFT(D2155,FIND(" |",D2155&amp;" |")-1)),"?"))</f>
        <v/>
      </c>
      <c r="H2155" s="27" t="str">
        <f aca="false">IF(G2155="","",IF(G2155="?","⚠ pub inconnue",IFERROR(INDEX(Pubs!$B$2:$B$3001,MATCH(G2155,Pubs!$A$2:$A$3001,0))&amp;"","⚠ pub inconnue")))</f>
        <v/>
      </c>
      <c r="I2155" s="27" t="str">
        <f aca="false">IF(OR(G2155="",G2155="?"),"",IFERROR(INDEX(Pubs!$C$2:$C$3001,MATCH(G2155,Pubs!$A$2:$A$3001,0))&amp;"",""))</f>
        <v/>
      </c>
      <c r="J2155" s="27" t="str">
        <f aca="false">IF(OR(G2155="",G2155="?"),"",IFERROR(INDEX(Pubs!$G$2:$G$3001,MATCH(G2155,Pubs!$A$2:$A$3001,0))&amp;"",""))</f>
        <v/>
      </c>
      <c r="K2155" s="28" t="str">
        <f aca="false">IF(OR(G2155="",G2155="?"),"",IFERROR(INDEX(Pubs!$E$2:$E$3001,MATCH(G2155,Pubs!$A$2:$A$3001,0)),""))</f>
        <v/>
      </c>
      <c r="L2155" s="29" t="str">
        <f aca="false">IF(A2155="","",IFERROR(1/(1/INDEX(Numéros!$C$2:$C$3001,MATCH(A2155&amp;"|"&amp;B2155,Numéros!$F$2:$F$3001,0))),""))</f>
        <v/>
      </c>
      <c r="M2155" s="27" t="str">
        <f aca="false">IF(OR(G2155="",G2155="?"),"",IFERROR(INDEX(Pubs!$D$2:$D$3001,MATCH(G2155,Pubs!$A$2:$A$3001,0))&amp;"",""))</f>
        <v/>
      </c>
      <c r="N2155" s="27" t="n">
        <f aca="false">N(N2154)+IF(AND(A2155&lt;&gt;"",OR(Recherche!$C$4="",A2155=Recherche!$C$4),OR(Recherche!$C$5="",B2155&amp;""=Recherche!$C$5&amp;""),OR(Recherche!$C$6="",IFERROR(YEAR(L2155),0)=Recherche!$C$6),OR(Recherche!$C$7="",ISNUMBER(SEARCH(Recherche!$C$7,H2155))),OR(Recherche!$C$8="",J2155=Recherche!$C$8),OR(Recherche!$C$9="",I2155=Recherche!$C$9),OR(Recherche!$C$10="",G2155&amp;""=Recherche!$C$10&amp;""),OR(Recherche!$C$11="",E2155=Recherche!$C$11),OR(Recherche!$C$12="",ISNUMBER(SEARCH(Recherche!$C$12,M2155&amp;" "&amp;F2155)))),1,0)</f>
        <v>8</v>
      </c>
    </row>
    <row r="2156" customFormat="false" ht="15" hidden="false" customHeight="false" outlineLevel="0" collapsed="false">
      <c r="A2156" s="19"/>
      <c r="B2156" s="19"/>
      <c r="C2156" s="19"/>
      <c r="D2156" s="19"/>
      <c r="E2156" s="22"/>
      <c r="F2156" s="19"/>
      <c r="G2156" s="26" t="str">
        <f aca="false">IF(D2156="","",IFERROR(VALUE(LEFT(D2156,FIND(" |",D2156&amp;" |")-1)),"?"))</f>
        <v/>
      </c>
      <c r="H2156" s="27" t="str">
        <f aca="false">IF(G2156="","",IF(G2156="?","⚠ pub inconnue",IFERROR(INDEX(Pubs!$B$2:$B$3001,MATCH(G2156,Pubs!$A$2:$A$3001,0))&amp;"","⚠ pub inconnue")))</f>
        <v/>
      </c>
      <c r="I2156" s="27" t="str">
        <f aca="false">IF(OR(G2156="",G2156="?"),"",IFERROR(INDEX(Pubs!$C$2:$C$3001,MATCH(G2156,Pubs!$A$2:$A$3001,0))&amp;"",""))</f>
        <v/>
      </c>
      <c r="J2156" s="27" t="str">
        <f aca="false">IF(OR(G2156="",G2156="?"),"",IFERROR(INDEX(Pubs!$G$2:$G$3001,MATCH(G2156,Pubs!$A$2:$A$3001,0))&amp;"",""))</f>
        <v/>
      </c>
      <c r="K2156" s="28" t="str">
        <f aca="false">IF(OR(G2156="",G2156="?"),"",IFERROR(INDEX(Pubs!$E$2:$E$3001,MATCH(G2156,Pubs!$A$2:$A$3001,0)),""))</f>
        <v/>
      </c>
      <c r="L2156" s="29" t="str">
        <f aca="false">IF(A2156="","",IFERROR(1/(1/INDEX(Numéros!$C$2:$C$3001,MATCH(A2156&amp;"|"&amp;B2156,Numéros!$F$2:$F$3001,0))),""))</f>
        <v/>
      </c>
      <c r="M2156" s="27" t="str">
        <f aca="false">IF(OR(G2156="",G2156="?"),"",IFERROR(INDEX(Pubs!$D$2:$D$3001,MATCH(G2156,Pubs!$A$2:$A$3001,0))&amp;"",""))</f>
        <v/>
      </c>
      <c r="N2156" s="27" t="n">
        <f aca="false">N(N2155)+IF(AND(A2156&lt;&gt;"",OR(Recherche!$C$4="",A2156=Recherche!$C$4),OR(Recherche!$C$5="",B2156&amp;""=Recherche!$C$5&amp;""),OR(Recherche!$C$6="",IFERROR(YEAR(L2156),0)=Recherche!$C$6),OR(Recherche!$C$7="",ISNUMBER(SEARCH(Recherche!$C$7,H2156))),OR(Recherche!$C$8="",J2156=Recherche!$C$8),OR(Recherche!$C$9="",I2156=Recherche!$C$9),OR(Recherche!$C$10="",G2156&amp;""=Recherche!$C$10&amp;""),OR(Recherche!$C$11="",E2156=Recherche!$C$11),OR(Recherche!$C$12="",ISNUMBER(SEARCH(Recherche!$C$12,M2156&amp;" "&amp;F2156)))),1,0)</f>
        <v>8</v>
      </c>
    </row>
    <row r="2157" customFormat="false" ht="15" hidden="false" customHeight="false" outlineLevel="0" collapsed="false">
      <c r="A2157" s="19"/>
      <c r="B2157" s="19"/>
      <c r="C2157" s="19"/>
      <c r="D2157" s="19"/>
      <c r="E2157" s="22"/>
      <c r="F2157" s="19"/>
      <c r="G2157" s="26" t="str">
        <f aca="false">IF(D2157="","",IFERROR(VALUE(LEFT(D2157,FIND(" |",D2157&amp;" |")-1)),"?"))</f>
        <v/>
      </c>
      <c r="H2157" s="27" t="str">
        <f aca="false">IF(G2157="","",IF(G2157="?","⚠ pub inconnue",IFERROR(INDEX(Pubs!$B$2:$B$3001,MATCH(G2157,Pubs!$A$2:$A$3001,0))&amp;"","⚠ pub inconnue")))</f>
        <v/>
      </c>
      <c r="I2157" s="27" t="str">
        <f aca="false">IF(OR(G2157="",G2157="?"),"",IFERROR(INDEX(Pubs!$C$2:$C$3001,MATCH(G2157,Pubs!$A$2:$A$3001,0))&amp;"",""))</f>
        <v/>
      </c>
      <c r="J2157" s="27" t="str">
        <f aca="false">IF(OR(G2157="",G2157="?"),"",IFERROR(INDEX(Pubs!$G$2:$G$3001,MATCH(G2157,Pubs!$A$2:$A$3001,0))&amp;"",""))</f>
        <v/>
      </c>
      <c r="K2157" s="28" t="str">
        <f aca="false">IF(OR(G2157="",G2157="?"),"",IFERROR(INDEX(Pubs!$E$2:$E$3001,MATCH(G2157,Pubs!$A$2:$A$3001,0)),""))</f>
        <v/>
      </c>
      <c r="L2157" s="29" t="str">
        <f aca="false">IF(A2157="","",IFERROR(1/(1/INDEX(Numéros!$C$2:$C$3001,MATCH(A2157&amp;"|"&amp;B2157,Numéros!$F$2:$F$3001,0))),""))</f>
        <v/>
      </c>
      <c r="M2157" s="27" t="str">
        <f aca="false">IF(OR(G2157="",G2157="?"),"",IFERROR(INDEX(Pubs!$D$2:$D$3001,MATCH(G2157,Pubs!$A$2:$A$3001,0))&amp;"",""))</f>
        <v/>
      </c>
      <c r="N2157" s="27" t="n">
        <f aca="false">N(N2156)+IF(AND(A2157&lt;&gt;"",OR(Recherche!$C$4="",A2157=Recherche!$C$4),OR(Recherche!$C$5="",B2157&amp;""=Recherche!$C$5&amp;""),OR(Recherche!$C$6="",IFERROR(YEAR(L2157),0)=Recherche!$C$6),OR(Recherche!$C$7="",ISNUMBER(SEARCH(Recherche!$C$7,H2157))),OR(Recherche!$C$8="",J2157=Recherche!$C$8),OR(Recherche!$C$9="",I2157=Recherche!$C$9),OR(Recherche!$C$10="",G2157&amp;""=Recherche!$C$10&amp;""),OR(Recherche!$C$11="",E2157=Recherche!$C$11),OR(Recherche!$C$12="",ISNUMBER(SEARCH(Recherche!$C$12,M2157&amp;" "&amp;F2157)))),1,0)</f>
        <v>8</v>
      </c>
    </row>
    <row r="2158" customFormat="false" ht="15" hidden="false" customHeight="false" outlineLevel="0" collapsed="false">
      <c r="A2158" s="19"/>
      <c r="B2158" s="19"/>
      <c r="C2158" s="19"/>
      <c r="D2158" s="19"/>
      <c r="E2158" s="22"/>
      <c r="F2158" s="19"/>
      <c r="G2158" s="26" t="str">
        <f aca="false">IF(D2158="","",IFERROR(VALUE(LEFT(D2158,FIND(" |",D2158&amp;" |")-1)),"?"))</f>
        <v/>
      </c>
      <c r="H2158" s="27" t="str">
        <f aca="false">IF(G2158="","",IF(G2158="?","⚠ pub inconnue",IFERROR(INDEX(Pubs!$B$2:$B$3001,MATCH(G2158,Pubs!$A$2:$A$3001,0))&amp;"","⚠ pub inconnue")))</f>
        <v/>
      </c>
      <c r="I2158" s="27" t="str">
        <f aca="false">IF(OR(G2158="",G2158="?"),"",IFERROR(INDEX(Pubs!$C$2:$C$3001,MATCH(G2158,Pubs!$A$2:$A$3001,0))&amp;"",""))</f>
        <v/>
      </c>
      <c r="J2158" s="27" t="str">
        <f aca="false">IF(OR(G2158="",G2158="?"),"",IFERROR(INDEX(Pubs!$G$2:$G$3001,MATCH(G2158,Pubs!$A$2:$A$3001,0))&amp;"",""))</f>
        <v/>
      </c>
      <c r="K2158" s="28" t="str">
        <f aca="false">IF(OR(G2158="",G2158="?"),"",IFERROR(INDEX(Pubs!$E$2:$E$3001,MATCH(G2158,Pubs!$A$2:$A$3001,0)),""))</f>
        <v/>
      </c>
      <c r="L2158" s="29" t="str">
        <f aca="false">IF(A2158="","",IFERROR(1/(1/INDEX(Numéros!$C$2:$C$3001,MATCH(A2158&amp;"|"&amp;B2158,Numéros!$F$2:$F$3001,0))),""))</f>
        <v/>
      </c>
      <c r="M2158" s="27" t="str">
        <f aca="false">IF(OR(G2158="",G2158="?"),"",IFERROR(INDEX(Pubs!$D$2:$D$3001,MATCH(G2158,Pubs!$A$2:$A$3001,0))&amp;"",""))</f>
        <v/>
      </c>
      <c r="N2158" s="27" t="n">
        <f aca="false">N(N2157)+IF(AND(A2158&lt;&gt;"",OR(Recherche!$C$4="",A2158=Recherche!$C$4),OR(Recherche!$C$5="",B2158&amp;""=Recherche!$C$5&amp;""),OR(Recherche!$C$6="",IFERROR(YEAR(L2158),0)=Recherche!$C$6),OR(Recherche!$C$7="",ISNUMBER(SEARCH(Recherche!$C$7,H2158))),OR(Recherche!$C$8="",J2158=Recherche!$C$8),OR(Recherche!$C$9="",I2158=Recherche!$C$9),OR(Recherche!$C$10="",G2158&amp;""=Recherche!$C$10&amp;""),OR(Recherche!$C$11="",E2158=Recherche!$C$11),OR(Recherche!$C$12="",ISNUMBER(SEARCH(Recherche!$C$12,M2158&amp;" "&amp;F2158)))),1,0)</f>
        <v>8</v>
      </c>
    </row>
    <row r="2159" customFormat="false" ht="15" hidden="false" customHeight="false" outlineLevel="0" collapsed="false">
      <c r="A2159" s="19"/>
      <c r="B2159" s="19"/>
      <c r="C2159" s="19"/>
      <c r="D2159" s="19"/>
      <c r="E2159" s="22"/>
      <c r="F2159" s="19"/>
      <c r="G2159" s="26" t="str">
        <f aca="false">IF(D2159="","",IFERROR(VALUE(LEFT(D2159,FIND(" |",D2159&amp;" |")-1)),"?"))</f>
        <v/>
      </c>
      <c r="H2159" s="27" t="str">
        <f aca="false">IF(G2159="","",IF(G2159="?","⚠ pub inconnue",IFERROR(INDEX(Pubs!$B$2:$B$3001,MATCH(G2159,Pubs!$A$2:$A$3001,0))&amp;"","⚠ pub inconnue")))</f>
        <v/>
      </c>
      <c r="I2159" s="27" t="str">
        <f aca="false">IF(OR(G2159="",G2159="?"),"",IFERROR(INDEX(Pubs!$C$2:$C$3001,MATCH(G2159,Pubs!$A$2:$A$3001,0))&amp;"",""))</f>
        <v/>
      </c>
      <c r="J2159" s="27" t="str">
        <f aca="false">IF(OR(G2159="",G2159="?"),"",IFERROR(INDEX(Pubs!$G$2:$G$3001,MATCH(G2159,Pubs!$A$2:$A$3001,0))&amp;"",""))</f>
        <v/>
      </c>
      <c r="K2159" s="28" t="str">
        <f aca="false">IF(OR(G2159="",G2159="?"),"",IFERROR(INDEX(Pubs!$E$2:$E$3001,MATCH(G2159,Pubs!$A$2:$A$3001,0)),""))</f>
        <v/>
      </c>
      <c r="L2159" s="29" t="str">
        <f aca="false">IF(A2159="","",IFERROR(1/(1/INDEX(Numéros!$C$2:$C$3001,MATCH(A2159&amp;"|"&amp;B2159,Numéros!$F$2:$F$3001,0))),""))</f>
        <v/>
      </c>
      <c r="M2159" s="27" t="str">
        <f aca="false">IF(OR(G2159="",G2159="?"),"",IFERROR(INDEX(Pubs!$D$2:$D$3001,MATCH(G2159,Pubs!$A$2:$A$3001,0))&amp;"",""))</f>
        <v/>
      </c>
      <c r="N2159" s="27" t="n">
        <f aca="false">N(N2158)+IF(AND(A2159&lt;&gt;"",OR(Recherche!$C$4="",A2159=Recherche!$C$4),OR(Recherche!$C$5="",B2159&amp;""=Recherche!$C$5&amp;""),OR(Recherche!$C$6="",IFERROR(YEAR(L2159),0)=Recherche!$C$6),OR(Recherche!$C$7="",ISNUMBER(SEARCH(Recherche!$C$7,H2159))),OR(Recherche!$C$8="",J2159=Recherche!$C$8),OR(Recherche!$C$9="",I2159=Recherche!$C$9),OR(Recherche!$C$10="",G2159&amp;""=Recherche!$C$10&amp;""),OR(Recherche!$C$11="",E2159=Recherche!$C$11),OR(Recherche!$C$12="",ISNUMBER(SEARCH(Recherche!$C$12,M2159&amp;" "&amp;F2159)))),1,0)</f>
        <v>8</v>
      </c>
    </row>
    <row r="2160" customFormat="false" ht="15" hidden="false" customHeight="false" outlineLevel="0" collapsed="false">
      <c r="A2160" s="19"/>
      <c r="B2160" s="19"/>
      <c r="C2160" s="19"/>
      <c r="D2160" s="19"/>
      <c r="E2160" s="22"/>
      <c r="F2160" s="19"/>
      <c r="G2160" s="26" t="str">
        <f aca="false">IF(D2160="","",IFERROR(VALUE(LEFT(D2160,FIND(" |",D2160&amp;" |")-1)),"?"))</f>
        <v/>
      </c>
      <c r="H2160" s="27" t="str">
        <f aca="false">IF(G2160="","",IF(G2160="?","⚠ pub inconnue",IFERROR(INDEX(Pubs!$B$2:$B$3001,MATCH(G2160,Pubs!$A$2:$A$3001,0))&amp;"","⚠ pub inconnue")))</f>
        <v/>
      </c>
      <c r="I2160" s="27" t="str">
        <f aca="false">IF(OR(G2160="",G2160="?"),"",IFERROR(INDEX(Pubs!$C$2:$C$3001,MATCH(G2160,Pubs!$A$2:$A$3001,0))&amp;"",""))</f>
        <v/>
      </c>
      <c r="J2160" s="27" t="str">
        <f aca="false">IF(OR(G2160="",G2160="?"),"",IFERROR(INDEX(Pubs!$G$2:$G$3001,MATCH(G2160,Pubs!$A$2:$A$3001,0))&amp;"",""))</f>
        <v/>
      </c>
      <c r="K2160" s="28" t="str">
        <f aca="false">IF(OR(G2160="",G2160="?"),"",IFERROR(INDEX(Pubs!$E$2:$E$3001,MATCH(G2160,Pubs!$A$2:$A$3001,0)),""))</f>
        <v/>
      </c>
      <c r="L2160" s="29" t="str">
        <f aca="false">IF(A2160="","",IFERROR(1/(1/INDEX(Numéros!$C$2:$C$3001,MATCH(A2160&amp;"|"&amp;B2160,Numéros!$F$2:$F$3001,0))),""))</f>
        <v/>
      </c>
      <c r="M2160" s="27" t="str">
        <f aca="false">IF(OR(G2160="",G2160="?"),"",IFERROR(INDEX(Pubs!$D$2:$D$3001,MATCH(G2160,Pubs!$A$2:$A$3001,0))&amp;"",""))</f>
        <v/>
      </c>
      <c r="N2160" s="27" t="n">
        <f aca="false">N(N2159)+IF(AND(A2160&lt;&gt;"",OR(Recherche!$C$4="",A2160=Recherche!$C$4),OR(Recherche!$C$5="",B2160&amp;""=Recherche!$C$5&amp;""),OR(Recherche!$C$6="",IFERROR(YEAR(L2160),0)=Recherche!$C$6),OR(Recherche!$C$7="",ISNUMBER(SEARCH(Recherche!$C$7,H2160))),OR(Recherche!$C$8="",J2160=Recherche!$C$8),OR(Recherche!$C$9="",I2160=Recherche!$C$9),OR(Recherche!$C$10="",G2160&amp;""=Recherche!$C$10&amp;""),OR(Recherche!$C$11="",E2160=Recherche!$C$11),OR(Recherche!$C$12="",ISNUMBER(SEARCH(Recherche!$C$12,M2160&amp;" "&amp;F2160)))),1,0)</f>
        <v>8</v>
      </c>
    </row>
    <row r="2161" customFormat="false" ht="15" hidden="false" customHeight="false" outlineLevel="0" collapsed="false">
      <c r="A2161" s="19"/>
      <c r="B2161" s="19"/>
      <c r="C2161" s="19"/>
      <c r="D2161" s="19"/>
      <c r="E2161" s="22"/>
      <c r="F2161" s="19"/>
      <c r="G2161" s="26" t="str">
        <f aca="false">IF(D2161="","",IFERROR(VALUE(LEFT(D2161,FIND(" |",D2161&amp;" |")-1)),"?"))</f>
        <v/>
      </c>
      <c r="H2161" s="27" t="str">
        <f aca="false">IF(G2161="","",IF(G2161="?","⚠ pub inconnue",IFERROR(INDEX(Pubs!$B$2:$B$3001,MATCH(G2161,Pubs!$A$2:$A$3001,0))&amp;"","⚠ pub inconnue")))</f>
        <v/>
      </c>
      <c r="I2161" s="27" t="str">
        <f aca="false">IF(OR(G2161="",G2161="?"),"",IFERROR(INDEX(Pubs!$C$2:$C$3001,MATCH(G2161,Pubs!$A$2:$A$3001,0))&amp;"",""))</f>
        <v/>
      </c>
      <c r="J2161" s="27" t="str">
        <f aca="false">IF(OR(G2161="",G2161="?"),"",IFERROR(INDEX(Pubs!$G$2:$G$3001,MATCH(G2161,Pubs!$A$2:$A$3001,0))&amp;"",""))</f>
        <v/>
      </c>
      <c r="K2161" s="28" t="str">
        <f aca="false">IF(OR(G2161="",G2161="?"),"",IFERROR(INDEX(Pubs!$E$2:$E$3001,MATCH(G2161,Pubs!$A$2:$A$3001,0)),""))</f>
        <v/>
      </c>
      <c r="L2161" s="29" t="str">
        <f aca="false">IF(A2161="","",IFERROR(1/(1/INDEX(Numéros!$C$2:$C$3001,MATCH(A2161&amp;"|"&amp;B2161,Numéros!$F$2:$F$3001,0))),""))</f>
        <v/>
      </c>
      <c r="M2161" s="27" t="str">
        <f aca="false">IF(OR(G2161="",G2161="?"),"",IFERROR(INDEX(Pubs!$D$2:$D$3001,MATCH(G2161,Pubs!$A$2:$A$3001,0))&amp;"",""))</f>
        <v/>
      </c>
      <c r="N2161" s="27" t="n">
        <f aca="false">N(N2160)+IF(AND(A2161&lt;&gt;"",OR(Recherche!$C$4="",A2161=Recherche!$C$4),OR(Recherche!$C$5="",B2161&amp;""=Recherche!$C$5&amp;""),OR(Recherche!$C$6="",IFERROR(YEAR(L2161),0)=Recherche!$C$6),OR(Recherche!$C$7="",ISNUMBER(SEARCH(Recherche!$C$7,H2161))),OR(Recherche!$C$8="",J2161=Recherche!$C$8),OR(Recherche!$C$9="",I2161=Recherche!$C$9),OR(Recherche!$C$10="",G2161&amp;""=Recherche!$C$10&amp;""),OR(Recherche!$C$11="",E2161=Recherche!$C$11),OR(Recherche!$C$12="",ISNUMBER(SEARCH(Recherche!$C$12,M2161&amp;" "&amp;F2161)))),1,0)</f>
        <v>8</v>
      </c>
    </row>
    <row r="2162" customFormat="false" ht="15" hidden="false" customHeight="false" outlineLevel="0" collapsed="false">
      <c r="A2162" s="19"/>
      <c r="B2162" s="19"/>
      <c r="C2162" s="19"/>
      <c r="D2162" s="19"/>
      <c r="E2162" s="22"/>
      <c r="F2162" s="19"/>
      <c r="G2162" s="26" t="str">
        <f aca="false">IF(D2162="","",IFERROR(VALUE(LEFT(D2162,FIND(" |",D2162&amp;" |")-1)),"?"))</f>
        <v/>
      </c>
      <c r="H2162" s="27" t="str">
        <f aca="false">IF(G2162="","",IF(G2162="?","⚠ pub inconnue",IFERROR(INDEX(Pubs!$B$2:$B$3001,MATCH(G2162,Pubs!$A$2:$A$3001,0))&amp;"","⚠ pub inconnue")))</f>
        <v/>
      </c>
      <c r="I2162" s="27" t="str">
        <f aca="false">IF(OR(G2162="",G2162="?"),"",IFERROR(INDEX(Pubs!$C$2:$C$3001,MATCH(G2162,Pubs!$A$2:$A$3001,0))&amp;"",""))</f>
        <v/>
      </c>
      <c r="J2162" s="27" t="str">
        <f aca="false">IF(OR(G2162="",G2162="?"),"",IFERROR(INDEX(Pubs!$G$2:$G$3001,MATCH(G2162,Pubs!$A$2:$A$3001,0))&amp;"",""))</f>
        <v/>
      </c>
      <c r="K2162" s="28" t="str">
        <f aca="false">IF(OR(G2162="",G2162="?"),"",IFERROR(INDEX(Pubs!$E$2:$E$3001,MATCH(G2162,Pubs!$A$2:$A$3001,0)),""))</f>
        <v/>
      </c>
      <c r="L2162" s="29" t="str">
        <f aca="false">IF(A2162="","",IFERROR(1/(1/INDEX(Numéros!$C$2:$C$3001,MATCH(A2162&amp;"|"&amp;B2162,Numéros!$F$2:$F$3001,0))),""))</f>
        <v/>
      </c>
      <c r="M2162" s="27" t="str">
        <f aca="false">IF(OR(G2162="",G2162="?"),"",IFERROR(INDEX(Pubs!$D$2:$D$3001,MATCH(G2162,Pubs!$A$2:$A$3001,0))&amp;"",""))</f>
        <v/>
      </c>
      <c r="N2162" s="27" t="n">
        <f aca="false">N(N2161)+IF(AND(A2162&lt;&gt;"",OR(Recherche!$C$4="",A2162=Recherche!$C$4),OR(Recherche!$C$5="",B2162&amp;""=Recherche!$C$5&amp;""),OR(Recherche!$C$6="",IFERROR(YEAR(L2162),0)=Recherche!$C$6),OR(Recherche!$C$7="",ISNUMBER(SEARCH(Recherche!$C$7,H2162))),OR(Recherche!$C$8="",J2162=Recherche!$C$8),OR(Recherche!$C$9="",I2162=Recherche!$C$9),OR(Recherche!$C$10="",G2162&amp;""=Recherche!$C$10&amp;""),OR(Recherche!$C$11="",E2162=Recherche!$C$11),OR(Recherche!$C$12="",ISNUMBER(SEARCH(Recherche!$C$12,M2162&amp;" "&amp;F2162)))),1,0)</f>
        <v>8</v>
      </c>
    </row>
    <row r="2163" customFormat="false" ht="15" hidden="false" customHeight="false" outlineLevel="0" collapsed="false">
      <c r="A2163" s="19"/>
      <c r="B2163" s="19"/>
      <c r="C2163" s="19"/>
      <c r="D2163" s="19"/>
      <c r="E2163" s="22"/>
      <c r="F2163" s="19"/>
      <c r="G2163" s="26" t="str">
        <f aca="false">IF(D2163="","",IFERROR(VALUE(LEFT(D2163,FIND(" |",D2163&amp;" |")-1)),"?"))</f>
        <v/>
      </c>
      <c r="H2163" s="27" t="str">
        <f aca="false">IF(G2163="","",IF(G2163="?","⚠ pub inconnue",IFERROR(INDEX(Pubs!$B$2:$B$3001,MATCH(G2163,Pubs!$A$2:$A$3001,0))&amp;"","⚠ pub inconnue")))</f>
        <v/>
      </c>
      <c r="I2163" s="27" t="str">
        <f aca="false">IF(OR(G2163="",G2163="?"),"",IFERROR(INDEX(Pubs!$C$2:$C$3001,MATCH(G2163,Pubs!$A$2:$A$3001,0))&amp;"",""))</f>
        <v/>
      </c>
      <c r="J2163" s="27" t="str">
        <f aca="false">IF(OR(G2163="",G2163="?"),"",IFERROR(INDEX(Pubs!$G$2:$G$3001,MATCH(G2163,Pubs!$A$2:$A$3001,0))&amp;"",""))</f>
        <v/>
      </c>
      <c r="K2163" s="28" t="str">
        <f aca="false">IF(OR(G2163="",G2163="?"),"",IFERROR(INDEX(Pubs!$E$2:$E$3001,MATCH(G2163,Pubs!$A$2:$A$3001,0)),""))</f>
        <v/>
      </c>
      <c r="L2163" s="29" t="str">
        <f aca="false">IF(A2163="","",IFERROR(1/(1/INDEX(Numéros!$C$2:$C$3001,MATCH(A2163&amp;"|"&amp;B2163,Numéros!$F$2:$F$3001,0))),""))</f>
        <v/>
      </c>
      <c r="M2163" s="27" t="str">
        <f aca="false">IF(OR(G2163="",G2163="?"),"",IFERROR(INDEX(Pubs!$D$2:$D$3001,MATCH(G2163,Pubs!$A$2:$A$3001,0))&amp;"",""))</f>
        <v/>
      </c>
      <c r="N2163" s="27" t="n">
        <f aca="false">N(N2162)+IF(AND(A2163&lt;&gt;"",OR(Recherche!$C$4="",A2163=Recherche!$C$4),OR(Recherche!$C$5="",B2163&amp;""=Recherche!$C$5&amp;""),OR(Recherche!$C$6="",IFERROR(YEAR(L2163),0)=Recherche!$C$6),OR(Recherche!$C$7="",ISNUMBER(SEARCH(Recherche!$C$7,H2163))),OR(Recherche!$C$8="",J2163=Recherche!$C$8),OR(Recherche!$C$9="",I2163=Recherche!$C$9),OR(Recherche!$C$10="",G2163&amp;""=Recherche!$C$10&amp;""),OR(Recherche!$C$11="",E2163=Recherche!$C$11),OR(Recherche!$C$12="",ISNUMBER(SEARCH(Recherche!$C$12,M2163&amp;" "&amp;F2163)))),1,0)</f>
        <v>8</v>
      </c>
    </row>
    <row r="2164" customFormat="false" ht="15" hidden="false" customHeight="false" outlineLevel="0" collapsed="false">
      <c r="A2164" s="19"/>
      <c r="B2164" s="19"/>
      <c r="C2164" s="19"/>
      <c r="D2164" s="19"/>
      <c r="E2164" s="22"/>
      <c r="F2164" s="19"/>
      <c r="G2164" s="26" t="str">
        <f aca="false">IF(D2164="","",IFERROR(VALUE(LEFT(D2164,FIND(" |",D2164&amp;" |")-1)),"?"))</f>
        <v/>
      </c>
      <c r="H2164" s="27" t="str">
        <f aca="false">IF(G2164="","",IF(G2164="?","⚠ pub inconnue",IFERROR(INDEX(Pubs!$B$2:$B$3001,MATCH(G2164,Pubs!$A$2:$A$3001,0))&amp;"","⚠ pub inconnue")))</f>
        <v/>
      </c>
      <c r="I2164" s="27" t="str">
        <f aca="false">IF(OR(G2164="",G2164="?"),"",IFERROR(INDEX(Pubs!$C$2:$C$3001,MATCH(G2164,Pubs!$A$2:$A$3001,0))&amp;"",""))</f>
        <v/>
      </c>
      <c r="J2164" s="27" t="str">
        <f aca="false">IF(OR(G2164="",G2164="?"),"",IFERROR(INDEX(Pubs!$G$2:$G$3001,MATCH(G2164,Pubs!$A$2:$A$3001,0))&amp;"",""))</f>
        <v/>
      </c>
      <c r="K2164" s="28" t="str">
        <f aca="false">IF(OR(G2164="",G2164="?"),"",IFERROR(INDEX(Pubs!$E$2:$E$3001,MATCH(G2164,Pubs!$A$2:$A$3001,0)),""))</f>
        <v/>
      </c>
      <c r="L2164" s="29" t="str">
        <f aca="false">IF(A2164="","",IFERROR(1/(1/INDEX(Numéros!$C$2:$C$3001,MATCH(A2164&amp;"|"&amp;B2164,Numéros!$F$2:$F$3001,0))),""))</f>
        <v/>
      </c>
      <c r="M2164" s="27" t="str">
        <f aca="false">IF(OR(G2164="",G2164="?"),"",IFERROR(INDEX(Pubs!$D$2:$D$3001,MATCH(G2164,Pubs!$A$2:$A$3001,0))&amp;"",""))</f>
        <v/>
      </c>
      <c r="N2164" s="27" t="n">
        <f aca="false">N(N2163)+IF(AND(A2164&lt;&gt;"",OR(Recherche!$C$4="",A2164=Recherche!$C$4),OR(Recherche!$C$5="",B2164&amp;""=Recherche!$C$5&amp;""),OR(Recherche!$C$6="",IFERROR(YEAR(L2164),0)=Recherche!$C$6),OR(Recherche!$C$7="",ISNUMBER(SEARCH(Recherche!$C$7,H2164))),OR(Recherche!$C$8="",J2164=Recherche!$C$8),OR(Recherche!$C$9="",I2164=Recherche!$C$9),OR(Recherche!$C$10="",G2164&amp;""=Recherche!$C$10&amp;""),OR(Recherche!$C$11="",E2164=Recherche!$C$11),OR(Recherche!$C$12="",ISNUMBER(SEARCH(Recherche!$C$12,M2164&amp;" "&amp;F2164)))),1,0)</f>
        <v>8</v>
      </c>
    </row>
    <row r="2165" customFormat="false" ht="15" hidden="false" customHeight="false" outlineLevel="0" collapsed="false">
      <c r="A2165" s="19"/>
      <c r="B2165" s="19"/>
      <c r="C2165" s="19"/>
      <c r="D2165" s="19"/>
      <c r="E2165" s="22"/>
      <c r="F2165" s="19"/>
      <c r="G2165" s="26" t="str">
        <f aca="false">IF(D2165="","",IFERROR(VALUE(LEFT(D2165,FIND(" |",D2165&amp;" |")-1)),"?"))</f>
        <v/>
      </c>
      <c r="H2165" s="27" t="str">
        <f aca="false">IF(G2165="","",IF(G2165="?","⚠ pub inconnue",IFERROR(INDEX(Pubs!$B$2:$B$3001,MATCH(G2165,Pubs!$A$2:$A$3001,0))&amp;"","⚠ pub inconnue")))</f>
        <v/>
      </c>
      <c r="I2165" s="27" t="str">
        <f aca="false">IF(OR(G2165="",G2165="?"),"",IFERROR(INDEX(Pubs!$C$2:$C$3001,MATCH(G2165,Pubs!$A$2:$A$3001,0))&amp;"",""))</f>
        <v/>
      </c>
      <c r="J2165" s="27" t="str">
        <f aca="false">IF(OR(G2165="",G2165="?"),"",IFERROR(INDEX(Pubs!$G$2:$G$3001,MATCH(G2165,Pubs!$A$2:$A$3001,0))&amp;"",""))</f>
        <v/>
      </c>
      <c r="K2165" s="28" t="str">
        <f aca="false">IF(OR(G2165="",G2165="?"),"",IFERROR(INDEX(Pubs!$E$2:$E$3001,MATCH(G2165,Pubs!$A$2:$A$3001,0)),""))</f>
        <v/>
      </c>
      <c r="L2165" s="29" t="str">
        <f aca="false">IF(A2165="","",IFERROR(1/(1/INDEX(Numéros!$C$2:$C$3001,MATCH(A2165&amp;"|"&amp;B2165,Numéros!$F$2:$F$3001,0))),""))</f>
        <v/>
      </c>
      <c r="M2165" s="27" t="str">
        <f aca="false">IF(OR(G2165="",G2165="?"),"",IFERROR(INDEX(Pubs!$D$2:$D$3001,MATCH(G2165,Pubs!$A$2:$A$3001,0))&amp;"",""))</f>
        <v/>
      </c>
      <c r="N2165" s="27" t="n">
        <f aca="false">N(N2164)+IF(AND(A2165&lt;&gt;"",OR(Recherche!$C$4="",A2165=Recherche!$C$4),OR(Recherche!$C$5="",B2165&amp;""=Recherche!$C$5&amp;""),OR(Recherche!$C$6="",IFERROR(YEAR(L2165),0)=Recherche!$C$6),OR(Recherche!$C$7="",ISNUMBER(SEARCH(Recherche!$C$7,H2165))),OR(Recherche!$C$8="",J2165=Recherche!$C$8),OR(Recherche!$C$9="",I2165=Recherche!$C$9),OR(Recherche!$C$10="",G2165&amp;""=Recherche!$C$10&amp;""),OR(Recherche!$C$11="",E2165=Recherche!$C$11),OR(Recherche!$C$12="",ISNUMBER(SEARCH(Recherche!$C$12,M2165&amp;" "&amp;F2165)))),1,0)</f>
        <v>8</v>
      </c>
    </row>
    <row r="2166" customFormat="false" ht="15" hidden="false" customHeight="false" outlineLevel="0" collapsed="false">
      <c r="A2166" s="19"/>
      <c r="B2166" s="19"/>
      <c r="C2166" s="19"/>
      <c r="D2166" s="19"/>
      <c r="E2166" s="22"/>
      <c r="F2166" s="19"/>
      <c r="G2166" s="26" t="str">
        <f aca="false">IF(D2166="","",IFERROR(VALUE(LEFT(D2166,FIND(" |",D2166&amp;" |")-1)),"?"))</f>
        <v/>
      </c>
      <c r="H2166" s="27" t="str">
        <f aca="false">IF(G2166="","",IF(G2166="?","⚠ pub inconnue",IFERROR(INDEX(Pubs!$B$2:$B$3001,MATCH(G2166,Pubs!$A$2:$A$3001,0))&amp;"","⚠ pub inconnue")))</f>
        <v/>
      </c>
      <c r="I2166" s="27" t="str">
        <f aca="false">IF(OR(G2166="",G2166="?"),"",IFERROR(INDEX(Pubs!$C$2:$C$3001,MATCH(G2166,Pubs!$A$2:$A$3001,0))&amp;"",""))</f>
        <v/>
      </c>
      <c r="J2166" s="27" t="str">
        <f aca="false">IF(OR(G2166="",G2166="?"),"",IFERROR(INDEX(Pubs!$G$2:$G$3001,MATCH(G2166,Pubs!$A$2:$A$3001,0))&amp;"",""))</f>
        <v/>
      </c>
      <c r="K2166" s="28" t="str">
        <f aca="false">IF(OR(G2166="",G2166="?"),"",IFERROR(INDEX(Pubs!$E$2:$E$3001,MATCH(G2166,Pubs!$A$2:$A$3001,0)),""))</f>
        <v/>
      </c>
      <c r="L2166" s="29" t="str">
        <f aca="false">IF(A2166="","",IFERROR(1/(1/INDEX(Numéros!$C$2:$C$3001,MATCH(A2166&amp;"|"&amp;B2166,Numéros!$F$2:$F$3001,0))),""))</f>
        <v/>
      </c>
      <c r="M2166" s="27" t="str">
        <f aca="false">IF(OR(G2166="",G2166="?"),"",IFERROR(INDEX(Pubs!$D$2:$D$3001,MATCH(G2166,Pubs!$A$2:$A$3001,0))&amp;"",""))</f>
        <v/>
      </c>
      <c r="N2166" s="27" t="n">
        <f aca="false">N(N2165)+IF(AND(A2166&lt;&gt;"",OR(Recherche!$C$4="",A2166=Recherche!$C$4),OR(Recherche!$C$5="",B2166&amp;""=Recherche!$C$5&amp;""),OR(Recherche!$C$6="",IFERROR(YEAR(L2166),0)=Recherche!$C$6),OR(Recherche!$C$7="",ISNUMBER(SEARCH(Recherche!$C$7,H2166))),OR(Recherche!$C$8="",J2166=Recherche!$C$8),OR(Recherche!$C$9="",I2166=Recherche!$C$9),OR(Recherche!$C$10="",G2166&amp;""=Recherche!$C$10&amp;""),OR(Recherche!$C$11="",E2166=Recherche!$C$11),OR(Recherche!$C$12="",ISNUMBER(SEARCH(Recherche!$C$12,M2166&amp;" "&amp;F2166)))),1,0)</f>
        <v>8</v>
      </c>
    </row>
    <row r="2167" customFormat="false" ht="15" hidden="false" customHeight="false" outlineLevel="0" collapsed="false">
      <c r="A2167" s="19"/>
      <c r="B2167" s="19"/>
      <c r="C2167" s="19"/>
      <c r="D2167" s="19"/>
      <c r="E2167" s="22"/>
      <c r="F2167" s="19"/>
      <c r="G2167" s="26" t="str">
        <f aca="false">IF(D2167="","",IFERROR(VALUE(LEFT(D2167,FIND(" |",D2167&amp;" |")-1)),"?"))</f>
        <v/>
      </c>
      <c r="H2167" s="27" t="str">
        <f aca="false">IF(G2167="","",IF(G2167="?","⚠ pub inconnue",IFERROR(INDEX(Pubs!$B$2:$B$3001,MATCH(G2167,Pubs!$A$2:$A$3001,0))&amp;"","⚠ pub inconnue")))</f>
        <v/>
      </c>
      <c r="I2167" s="27" t="str">
        <f aca="false">IF(OR(G2167="",G2167="?"),"",IFERROR(INDEX(Pubs!$C$2:$C$3001,MATCH(G2167,Pubs!$A$2:$A$3001,0))&amp;"",""))</f>
        <v/>
      </c>
      <c r="J2167" s="27" t="str">
        <f aca="false">IF(OR(G2167="",G2167="?"),"",IFERROR(INDEX(Pubs!$G$2:$G$3001,MATCH(G2167,Pubs!$A$2:$A$3001,0))&amp;"",""))</f>
        <v/>
      </c>
      <c r="K2167" s="28" t="str">
        <f aca="false">IF(OR(G2167="",G2167="?"),"",IFERROR(INDEX(Pubs!$E$2:$E$3001,MATCH(G2167,Pubs!$A$2:$A$3001,0)),""))</f>
        <v/>
      </c>
      <c r="L2167" s="29" t="str">
        <f aca="false">IF(A2167="","",IFERROR(1/(1/INDEX(Numéros!$C$2:$C$3001,MATCH(A2167&amp;"|"&amp;B2167,Numéros!$F$2:$F$3001,0))),""))</f>
        <v/>
      </c>
      <c r="M2167" s="27" t="str">
        <f aca="false">IF(OR(G2167="",G2167="?"),"",IFERROR(INDEX(Pubs!$D$2:$D$3001,MATCH(G2167,Pubs!$A$2:$A$3001,0))&amp;"",""))</f>
        <v/>
      </c>
      <c r="N2167" s="27" t="n">
        <f aca="false">N(N2166)+IF(AND(A2167&lt;&gt;"",OR(Recherche!$C$4="",A2167=Recherche!$C$4),OR(Recherche!$C$5="",B2167&amp;""=Recherche!$C$5&amp;""),OR(Recherche!$C$6="",IFERROR(YEAR(L2167),0)=Recherche!$C$6),OR(Recherche!$C$7="",ISNUMBER(SEARCH(Recherche!$C$7,H2167))),OR(Recherche!$C$8="",J2167=Recherche!$C$8),OR(Recherche!$C$9="",I2167=Recherche!$C$9),OR(Recherche!$C$10="",G2167&amp;""=Recherche!$C$10&amp;""),OR(Recherche!$C$11="",E2167=Recherche!$C$11),OR(Recherche!$C$12="",ISNUMBER(SEARCH(Recherche!$C$12,M2167&amp;" "&amp;F2167)))),1,0)</f>
        <v>8</v>
      </c>
    </row>
    <row r="2168" customFormat="false" ht="15" hidden="false" customHeight="false" outlineLevel="0" collapsed="false">
      <c r="A2168" s="19"/>
      <c r="B2168" s="19"/>
      <c r="C2168" s="19"/>
      <c r="D2168" s="19"/>
      <c r="E2168" s="22"/>
      <c r="F2168" s="19"/>
      <c r="G2168" s="26" t="str">
        <f aca="false">IF(D2168="","",IFERROR(VALUE(LEFT(D2168,FIND(" |",D2168&amp;" |")-1)),"?"))</f>
        <v/>
      </c>
      <c r="H2168" s="27" t="str">
        <f aca="false">IF(G2168="","",IF(G2168="?","⚠ pub inconnue",IFERROR(INDEX(Pubs!$B$2:$B$3001,MATCH(G2168,Pubs!$A$2:$A$3001,0))&amp;"","⚠ pub inconnue")))</f>
        <v/>
      </c>
      <c r="I2168" s="27" t="str">
        <f aca="false">IF(OR(G2168="",G2168="?"),"",IFERROR(INDEX(Pubs!$C$2:$C$3001,MATCH(G2168,Pubs!$A$2:$A$3001,0))&amp;"",""))</f>
        <v/>
      </c>
      <c r="J2168" s="27" t="str">
        <f aca="false">IF(OR(G2168="",G2168="?"),"",IFERROR(INDEX(Pubs!$G$2:$G$3001,MATCH(G2168,Pubs!$A$2:$A$3001,0))&amp;"",""))</f>
        <v/>
      </c>
      <c r="K2168" s="28" t="str">
        <f aca="false">IF(OR(G2168="",G2168="?"),"",IFERROR(INDEX(Pubs!$E$2:$E$3001,MATCH(G2168,Pubs!$A$2:$A$3001,0)),""))</f>
        <v/>
      </c>
      <c r="L2168" s="29" t="str">
        <f aca="false">IF(A2168="","",IFERROR(1/(1/INDEX(Numéros!$C$2:$C$3001,MATCH(A2168&amp;"|"&amp;B2168,Numéros!$F$2:$F$3001,0))),""))</f>
        <v/>
      </c>
      <c r="M2168" s="27" t="str">
        <f aca="false">IF(OR(G2168="",G2168="?"),"",IFERROR(INDEX(Pubs!$D$2:$D$3001,MATCH(G2168,Pubs!$A$2:$A$3001,0))&amp;"",""))</f>
        <v/>
      </c>
      <c r="N2168" s="27" t="n">
        <f aca="false">N(N2167)+IF(AND(A2168&lt;&gt;"",OR(Recherche!$C$4="",A2168=Recherche!$C$4),OR(Recherche!$C$5="",B2168&amp;""=Recherche!$C$5&amp;""),OR(Recherche!$C$6="",IFERROR(YEAR(L2168),0)=Recherche!$C$6),OR(Recherche!$C$7="",ISNUMBER(SEARCH(Recherche!$C$7,H2168))),OR(Recherche!$C$8="",J2168=Recherche!$C$8),OR(Recherche!$C$9="",I2168=Recherche!$C$9),OR(Recherche!$C$10="",G2168&amp;""=Recherche!$C$10&amp;""),OR(Recherche!$C$11="",E2168=Recherche!$C$11),OR(Recherche!$C$12="",ISNUMBER(SEARCH(Recherche!$C$12,M2168&amp;" "&amp;F2168)))),1,0)</f>
        <v>8</v>
      </c>
    </row>
    <row r="2169" customFormat="false" ht="15" hidden="false" customHeight="false" outlineLevel="0" collapsed="false">
      <c r="A2169" s="19"/>
      <c r="B2169" s="19"/>
      <c r="C2169" s="19"/>
      <c r="D2169" s="19"/>
      <c r="E2169" s="22"/>
      <c r="F2169" s="19"/>
      <c r="G2169" s="26" t="str">
        <f aca="false">IF(D2169="","",IFERROR(VALUE(LEFT(D2169,FIND(" |",D2169&amp;" |")-1)),"?"))</f>
        <v/>
      </c>
      <c r="H2169" s="27" t="str">
        <f aca="false">IF(G2169="","",IF(G2169="?","⚠ pub inconnue",IFERROR(INDEX(Pubs!$B$2:$B$3001,MATCH(G2169,Pubs!$A$2:$A$3001,0))&amp;"","⚠ pub inconnue")))</f>
        <v/>
      </c>
      <c r="I2169" s="27" t="str">
        <f aca="false">IF(OR(G2169="",G2169="?"),"",IFERROR(INDEX(Pubs!$C$2:$C$3001,MATCH(G2169,Pubs!$A$2:$A$3001,0))&amp;"",""))</f>
        <v/>
      </c>
      <c r="J2169" s="27" t="str">
        <f aca="false">IF(OR(G2169="",G2169="?"),"",IFERROR(INDEX(Pubs!$G$2:$G$3001,MATCH(G2169,Pubs!$A$2:$A$3001,0))&amp;"",""))</f>
        <v/>
      </c>
      <c r="K2169" s="28" t="str">
        <f aca="false">IF(OR(G2169="",G2169="?"),"",IFERROR(INDEX(Pubs!$E$2:$E$3001,MATCH(G2169,Pubs!$A$2:$A$3001,0)),""))</f>
        <v/>
      </c>
      <c r="L2169" s="29" t="str">
        <f aca="false">IF(A2169="","",IFERROR(1/(1/INDEX(Numéros!$C$2:$C$3001,MATCH(A2169&amp;"|"&amp;B2169,Numéros!$F$2:$F$3001,0))),""))</f>
        <v/>
      </c>
      <c r="M2169" s="27" t="str">
        <f aca="false">IF(OR(G2169="",G2169="?"),"",IFERROR(INDEX(Pubs!$D$2:$D$3001,MATCH(G2169,Pubs!$A$2:$A$3001,0))&amp;"",""))</f>
        <v/>
      </c>
      <c r="N2169" s="27" t="n">
        <f aca="false">N(N2168)+IF(AND(A2169&lt;&gt;"",OR(Recherche!$C$4="",A2169=Recherche!$C$4),OR(Recherche!$C$5="",B2169&amp;""=Recherche!$C$5&amp;""),OR(Recherche!$C$6="",IFERROR(YEAR(L2169),0)=Recherche!$C$6),OR(Recherche!$C$7="",ISNUMBER(SEARCH(Recherche!$C$7,H2169))),OR(Recherche!$C$8="",J2169=Recherche!$C$8),OR(Recherche!$C$9="",I2169=Recherche!$C$9),OR(Recherche!$C$10="",G2169&amp;""=Recherche!$C$10&amp;""),OR(Recherche!$C$11="",E2169=Recherche!$C$11),OR(Recherche!$C$12="",ISNUMBER(SEARCH(Recherche!$C$12,M2169&amp;" "&amp;F2169)))),1,0)</f>
        <v>8</v>
      </c>
    </row>
    <row r="2170" customFormat="false" ht="15" hidden="false" customHeight="false" outlineLevel="0" collapsed="false">
      <c r="A2170" s="19"/>
      <c r="B2170" s="19"/>
      <c r="C2170" s="19"/>
      <c r="D2170" s="19"/>
      <c r="E2170" s="22"/>
      <c r="F2170" s="19"/>
      <c r="G2170" s="26" t="str">
        <f aca="false">IF(D2170="","",IFERROR(VALUE(LEFT(D2170,FIND(" |",D2170&amp;" |")-1)),"?"))</f>
        <v/>
      </c>
      <c r="H2170" s="27" t="str">
        <f aca="false">IF(G2170="","",IF(G2170="?","⚠ pub inconnue",IFERROR(INDEX(Pubs!$B$2:$B$3001,MATCH(G2170,Pubs!$A$2:$A$3001,0))&amp;"","⚠ pub inconnue")))</f>
        <v/>
      </c>
      <c r="I2170" s="27" t="str">
        <f aca="false">IF(OR(G2170="",G2170="?"),"",IFERROR(INDEX(Pubs!$C$2:$C$3001,MATCH(G2170,Pubs!$A$2:$A$3001,0))&amp;"",""))</f>
        <v/>
      </c>
      <c r="J2170" s="27" t="str">
        <f aca="false">IF(OR(G2170="",G2170="?"),"",IFERROR(INDEX(Pubs!$G$2:$G$3001,MATCH(G2170,Pubs!$A$2:$A$3001,0))&amp;"",""))</f>
        <v/>
      </c>
      <c r="K2170" s="28" t="str">
        <f aca="false">IF(OR(G2170="",G2170="?"),"",IFERROR(INDEX(Pubs!$E$2:$E$3001,MATCH(G2170,Pubs!$A$2:$A$3001,0)),""))</f>
        <v/>
      </c>
      <c r="L2170" s="29" t="str">
        <f aca="false">IF(A2170="","",IFERROR(1/(1/INDEX(Numéros!$C$2:$C$3001,MATCH(A2170&amp;"|"&amp;B2170,Numéros!$F$2:$F$3001,0))),""))</f>
        <v/>
      </c>
      <c r="M2170" s="27" t="str">
        <f aca="false">IF(OR(G2170="",G2170="?"),"",IFERROR(INDEX(Pubs!$D$2:$D$3001,MATCH(G2170,Pubs!$A$2:$A$3001,0))&amp;"",""))</f>
        <v/>
      </c>
      <c r="N2170" s="27" t="n">
        <f aca="false">N(N2169)+IF(AND(A2170&lt;&gt;"",OR(Recherche!$C$4="",A2170=Recherche!$C$4),OR(Recherche!$C$5="",B2170&amp;""=Recherche!$C$5&amp;""),OR(Recherche!$C$6="",IFERROR(YEAR(L2170),0)=Recherche!$C$6),OR(Recherche!$C$7="",ISNUMBER(SEARCH(Recherche!$C$7,H2170))),OR(Recherche!$C$8="",J2170=Recherche!$C$8),OR(Recherche!$C$9="",I2170=Recherche!$C$9),OR(Recherche!$C$10="",G2170&amp;""=Recherche!$C$10&amp;""),OR(Recherche!$C$11="",E2170=Recherche!$C$11),OR(Recherche!$C$12="",ISNUMBER(SEARCH(Recherche!$C$12,M2170&amp;" "&amp;F2170)))),1,0)</f>
        <v>8</v>
      </c>
    </row>
    <row r="2171" customFormat="false" ht="15" hidden="false" customHeight="false" outlineLevel="0" collapsed="false">
      <c r="A2171" s="19"/>
      <c r="B2171" s="19"/>
      <c r="C2171" s="19"/>
      <c r="D2171" s="19"/>
      <c r="E2171" s="22"/>
      <c r="F2171" s="19"/>
      <c r="G2171" s="26" t="str">
        <f aca="false">IF(D2171="","",IFERROR(VALUE(LEFT(D2171,FIND(" |",D2171&amp;" |")-1)),"?"))</f>
        <v/>
      </c>
      <c r="H2171" s="27" t="str">
        <f aca="false">IF(G2171="","",IF(G2171="?","⚠ pub inconnue",IFERROR(INDEX(Pubs!$B$2:$B$3001,MATCH(G2171,Pubs!$A$2:$A$3001,0))&amp;"","⚠ pub inconnue")))</f>
        <v/>
      </c>
      <c r="I2171" s="27" t="str">
        <f aca="false">IF(OR(G2171="",G2171="?"),"",IFERROR(INDEX(Pubs!$C$2:$C$3001,MATCH(G2171,Pubs!$A$2:$A$3001,0))&amp;"",""))</f>
        <v/>
      </c>
      <c r="J2171" s="27" t="str">
        <f aca="false">IF(OR(G2171="",G2171="?"),"",IFERROR(INDEX(Pubs!$G$2:$G$3001,MATCH(G2171,Pubs!$A$2:$A$3001,0))&amp;"",""))</f>
        <v/>
      </c>
      <c r="K2171" s="28" t="str">
        <f aca="false">IF(OR(G2171="",G2171="?"),"",IFERROR(INDEX(Pubs!$E$2:$E$3001,MATCH(G2171,Pubs!$A$2:$A$3001,0)),""))</f>
        <v/>
      </c>
      <c r="L2171" s="29" t="str">
        <f aca="false">IF(A2171="","",IFERROR(1/(1/INDEX(Numéros!$C$2:$C$3001,MATCH(A2171&amp;"|"&amp;B2171,Numéros!$F$2:$F$3001,0))),""))</f>
        <v/>
      </c>
      <c r="M2171" s="27" t="str">
        <f aca="false">IF(OR(G2171="",G2171="?"),"",IFERROR(INDEX(Pubs!$D$2:$D$3001,MATCH(G2171,Pubs!$A$2:$A$3001,0))&amp;"",""))</f>
        <v/>
      </c>
      <c r="N2171" s="27" t="n">
        <f aca="false">N(N2170)+IF(AND(A2171&lt;&gt;"",OR(Recherche!$C$4="",A2171=Recherche!$C$4),OR(Recherche!$C$5="",B2171&amp;""=Recherche!$C$5&amp;""),OR(Recherche!$C$6="",IFERROR(YEAR(L2171),0)=Recherche!$C$6),OR(Recherche!$C$7="",ISNUMBER(SEARCH(Recherche!$C$7,H2171))),OR(Recherche!$C$8="",J2171=Recherche!$C$8),OR(Recherche!$C$9="",I2171=Recherche!$C$9),OR(Recherche!$C$10="",G2171&amp;""=Recherche!$C$10&amp;""),OR(Recherche!$C$11="",E2171=Recherche!$C$11),OR(Recherche!$C$12="",ISNUMBER(SEARCH(Recherche!$C$12,M2171&amp;" "&amp;F2171)))),1,0)</f>
        <v>8</v>
      </c>
    </row>
    <row r="2172" customFormat="false" ht="15" hidden="false" customHeight="false" outlineLevel="0" collapsed="false">
      <c r="A2172" s="19"/>
      <c r="B2172" s="19"/>
      <c r="C2172" s="19"/>
      <c r="D2172" s="19"/>
      <c r="E2172" s="22"/>
      <c r="F2172" s="19"/>
      <c r="G2172" s="26" t="str">
        <f aca="false">IF(D2172="","",IFERROR(VALUE(LEFT(D2172,FIND(" |",D2172&amp;" |")-1)),"?"))</f>
        <v/>
      </c>
      <c r="H2172" s="27" t="str">
        <f aca="false">IF(G2172="","",IF(G2172="?","⚠ pub inconnue",IFERROR(INDEX(Pubs!$B$2:$B$3001,MATCH(G2172,Pubs!$A$2:$A$3001,0))&amp;"","⚠ pub inconnue")))</f>
        <v/>
      </c>
      <c r="I2172" s="27" t="str">
        <f aca="false">IF(OR(G2172="",G2172="?"),"",IFERROR(INDEX(Pubs!$C$2:$C$3001,MATCH(G2172,Pubs!$A$2:$A$3001,0))&amp;"",""))</f>
        <v/>
      </c>
      <c r="J2172" s="27" t="str">
        <f aca="false">IF(OR(G2172="",G2172="?"),"",IFERROR(INDEX(Pubs!$G$2:$G$3001,MATCH(G2172,Pubs!$A$2:$A$3001,0))&amp;"",""))</f>
        <v/>
      </c>
      <c r="K2172" s="28" t="str">
        <f aca="false">IF(OR(G2172="",G2172="?"),"",IFERROR(INDEX(Pubs!$E$2:$E$3001,MATCH(G2172,Pubs!$A$2:$A$3001,0)),""))</f>
        <v/>
      </c>
      <c r="L2172" s="29" t="str">
        <f aca="false">IF(A2172="","",IFERROR(1/(1/INDEX(Numéros!$C$2:$C$3001,MATCH(A2172&amp;"|"&amp;B2172,Numéros!$F$2:$F$3001,0))),""))</f>
        <v/>
      </c>
      <c r="M2172" s="27" t="str">
        <f aca="false">IF(OR(G2172="",G2172="?"),"",IFERROR(INDEX(Pubs!$D$2:$D$3001,MATCH(G2172,Pubs!$A$2:$A$3001,0))&amp;"",""))</f>
        <v/>
      </c>
      <c r="N2172" s="27" t="n">
        <f aca="false">N(N2171)+IF(AND(A2172&lt;&gt;"",OR(Recherche!$C$4="",A2172=Recherche!$C$4),OR(Recherche!$C$5="",B2172&amp;""=Recherche!$C$5&amp;""),OR(Recherche!$C$6="",IFERROR(YEAR(L2172),0)=Recherche!$C$6),OR(Recherche!$C$7="",ISNUMBER(SEARCH(Recherche!$C$7,H2172))),OR(Recherche!$C$8="",J2172=Recherche!$C$8),OR(Recherche!$C$9="",I2172=Recherche!$C$9),OR(Recherche!$C$10="",G2172&amp;""=Recherche!$C$10&amp;""),OR(Recherche!$C$11="",E2172=Recherche!$C$11),OR(Recherche!$C$12="",ISNUMBER(SEARCH(Recherche!$C$12,M2172&amp;" "&amp;F2172)))),1,0)</f>
        <v>8</v>
      </c>
    </row>
    <row r="2173" customFormat="false" ht="15" hidden="false" customHeight="false" outlineLevel="0" collapsed="false">
      <c r="A2173" s="19"/>
      <c r="B2173" s="19"/>
      <c r="C2173" s="19"/>
      <c r="D2173" s="19"/>
      <c r="E2173" s="22"/>
      <c r="F2173" s="19"/>
      <c r="G2173" s="26" t="str">
        <f aca="false">IF(D2173="","",IFERROR(VALUE(LEFT(D2173,FIND(" |",D2173&amp;" |")-1)),"?"))</f>
        <v/>
      </c>
      <c r="H2173" s="27" t="str">
        <f aca="false">IF(G2173="","",IF(G2173="?","⚠ pub inconnue",IFERROR(INDEX(Pubs!$B$2:$B$3001,MATCH(G2173,Pubs!$A$2:$A$3001,0))&amp;"","⚠ pub inconnue")))</f>
        <v/>
      </c>
      <c r="I2173" s="27" t="str">
        <f aca="false">IF(OR(G2173="",G2173="?"),"",IFERROR(INDEX(Pubs!$C$2:$C$3001,MATCH(G2173,Pubs!$A$2:$A$3001,0))&amp;"",""))</f>
        <v/>
      </c>
      <c r="J2173" s="27" t="str">
        <f aca="false">IF(OR(G2173="",G2173="?"),"",IFERROR(INDEX(Pubs!$G$2:$G$3001,MATCH(G2173,Pubs!$A$2:$A$3001,0))&amp;"",""))</f>
        <v/>
      </c>
      <c r="K2173" s="28" t="str">
        <f aca="false">IF(OR(G2173="",G2173="?"),"",IFERROR(INDEX(Pubs!$E$2:$E$3001,MATCH(G2173,Pubs!$A$2:$A$3001,0)),""))</f>
        <v/>
      </c>
      <c r="L2173" s="29" t="str">
        <f aca="false">IF(A2173="","",IFERROR(1/(1/INDEX(Numéros!$C$2:$C$3001,MATCH(A2173&amp;"|"&amp;B2173,Numéros!$F$2:$F$3001,0))),""))</f>
        <v/>
      </c>
      <c r="M2173" s="27" t="str">
        <f aca="false">IF(OR(G2173="",G2173="?"),"",IFERROR(INDEX(Pubs!$D$2:$D$3001,MATCH(G2173,Pubs!$A$2:$A$3001,0))&amp;"",""))</f>
        <v/>
      </c>
      <c r="N2173" s="27" t="n">
        <f aca="false">N(N2172)+IF(AND(A2173&lt;&gt;"",OR(Recherche!$C$4="",A2173=Recherche!$C$4),OR(Recherche!$C$5="",B2173&amp;""=Recherche!$C$5&amp;""),OR(Recherche!$C$6="",IFERROR(YEAR(L2173),0)=Recherche!$C$6),OR(Recherche!$C$7="",ISNUMBER(SEARCH(Recherche!$C$7,H2173))),OR(Recherche!$C$8="",J2173=Recherche!$C$8),OR(Recherche!$C$9="",I2173=Recherche!$C$9),OR(Recherche!$C$10="",G2173&amp;""=Recherche!$C$10&amp;""),OR(Recherche!$C$11="",E2173=Recherche!$C$11),OR(Recherche!$C$12="",ISNUMBER(SEARCH(Recherche!$C$12,M2173&amp;" "&amp;F2173)))),1,0)</f>
        <v>8</v>
      </c>
    </row>
    <row r="2174" customFormat="false" ht="15" hidden="false" customHeight="false" outlineLevel="0" collapsed="false">
      <c r="A2174" s="19"/>
      <c r="B2174" s="19"/>
      <c r="C2174" s="19"/>
      <c r="D2174" s="19"/>
      <c r="E2174" s="22"/>
      <c r="F2174" s="19"/>
      <c r="G2174" s="26" t="str">
        <f aca="false">IF(D2174="","",IFERROR(VALUE(LEFT(D2174,FIND(" |",D2174&amp;" |")-1)),"?"))</f>
        <v/>
      </c>
      <c r="H2174" s="27" t="str">
        <f aca="false">IF(G2174="","",IF(G2174="?","⚠ pub inconnue",IFERROR(INDEX(Pubs!$B$2:$B$3001,MATCH(G2174,Pubs!$A$2:$A$3001,0))&amp;"","⚠ pub inconnue")))</f>
        <v/>
      </c>
      <c r="I2174" s="27" t="str">
        <f aca="false">IF(OR(G2174="",G2174="?"),"",IFERROR(INDEX(Pubs!$C$2:$C$3001,MATCH(G2174,Pubs!$A$2:$A$3001,0))&amp;"",""))</f>
        <v/>
      </c>
      <c r="J2174" s="27" t="str">
        <f aca="false">IF(OR(G2174="",G2174="?"),"",IFERROR(INDEX(Pubs!$G$2:$G$3001,MATCH(G2174,Pubs!$A$2:$A$3001,0))&amp;"",""))</f>
        <v/>
      </c>
      <c r="K2174" s="28" t="str">
        <f aca="false">IF(OR(G2174="",G2174="?"),"",IFERROR(INDEX(Pubs!$E$2:$E$3001,MATCH(G2174,Pubs!$A$2:$A$3001,0)),""))</f>
        <v/>
      </c>
      <c r="L2174" s="29" t="str">
        <f aca="false">IF(A2174="","",IFERROR(1/(1/INDEX(Numéros!$C$2:$C$3001,MATCH(A2174&amp;"|"&amp;B2174,Numéros!$F$2:$F$3001,0))),""))</f>
        <v/>
      </c>
      <c r="M2174" s="27" t="str">
        <f aca="false">IF(OR(G2174="",G2174="?"),"",IFERROR(INDEX(Pubs!$D$2:$D$3001,MATCH(G2174,Pubs!$A$2:$A$3001,0))&amp;"",""))</f>
        <v/>
      </c>
      <c r="N2174" s="27" t="n">
        <f aca="false">N(N2173)+IF(AND(A2174&lt;&gt;"",OR(Recherche!$C$4="",A2174=Recherche!$C$4),OR(Recherche!$C$5="",B2174&amp;""=Recherche!$C$5&amp;""),OR(Recherche!$C$6="",IFERROR(YEAR(L2174),0)=Recherche!$C$6),OR(Recherche!$C$7="",ISNUMBER(SEARCH(Recherche!$C$7,H2174))),OR(Recherche!$C$8="",J2174=Recherche!$C$8),OR(Recherche!$C$9="",I2174=Recherche!$C$9),OR(Recherche!$C$10="",G2174&amp;""=Recherche!$C$10&amp;""),OR(Recherche!$C$11="",E2174=Recherche!$C$11),OR(Recherche!$C$12="",ISNUMBER(SEARCH(Recherche!$C$12,M2174&amp;" "&amp;F2174)))),1,0)</f>
        <v>8</v>
      </c>
    </row>
    <row r="2175" customFormat="false" ht="15" hidden="false" customHeight="false" outlineLevel="0" collapsed="false">
      <c r="A2175" s="19"/>
      <c r="B2175" s="19"/>
      <c r="C2175" s="19"/>
      <c r="D2175" s="19"/>
      <c r="E2175" s="22"/>
      <c r="F2175" s="19"/>
      <c r="G2175" s="26" t="str">
        <f aca="false">IF(D2175="","",IFERROR(VALUE(LEFT(D2175,FIND(" |",D2175&amp;" |")-1)),"?"))</f>
        <v/>
      </c>
      <c r="H2175" s="27" t="str">
        <f aca="false">IF(G2175="","",IF(G2175="?","⚠ pub inconnue",IFERROR(INDEX(Pubs!$B$2:$B$3001,MATCH(G2175,Pubs!$A$2:$A$3001,0))&amp;"","⚠ pub inconnue")))</f>
        <v/>
      </c>
      <c r="I2175" s="27" t="str">
        <f aca="false">IF(OR(G2175="",G2175="?"),"",IFERROR(INDEX(Pubs!$C$2:$C$3001,MATCH(G2175,Pubs!$A$2:$A$3001,0))&amp;"",""))</f>
        <v/>
      </c>
      <c r="J2175" s="27" t="str">
        <f aca="false">IF(OR(G2175="",G2175="?"),"",IFERROR(INDEX(Pubs!$G$2:$G$3001,MATCH(G2175,Pubs!$A$2:$A$3001,0))&amp;"",""))</f>
        <v/>
      </c>
      <c r="K2175" s="28" t="str">
        <f aca="false">IF(OR(G2175="",G2175="?"),"",IFERROR(INDEX(Pubs!$E$2:$E$3001,MATCH(G2175,Pubs!$A$2:$A$3001,0)),""))</f>
        <v/>
      </c>
      <c r="L2175" s="29" t="str">
        <f aca="false">IF(A2175="","",IFERROR(1/(1/INDEX(Numéros!$C$2:$C$3001,MATCH(A2175&amp;"|"&amp;B2175,Numéros!$F$2:$F$3001,0))),""))</f>
        <v/>
      </c>
      <c r="M2175" s="27" t="str">
        <f aca="false">IF(OR(G2175="",G2175="?"),"",IFERROR(INDEX(Pubs!$D$2:$D$3001,MATCH(G2175,Pubs!$A$2:$A$3001,0))&amp;"",""))</f>
        <v/>
      </c>
      <c r="N2175" s="27" t="n">
        <f aca="false">N(N2174)+IF(AND(A2175&lt;&gt;"",OR(Recherche!$C$4="",A2175=Recherche!$C$4),OR(Recherche!$C$5="",B2175&amp;""=Recherche!$C$5&amp;""),OR(Recherche!$C$6="",IFERROR(YEAR(L2175),0)=Recherche!$C$6),OR(Recherche!$C$7="",ISNUMBER(SEARCH(Recherche!$C$7,H2175))),OR(Recherche!$C$8="",J2175=Recherche!$C$8),OR(Recherche!$C$9="",I2175=Recherche!$C$9),OR(Recherche!$C$10="",G2175&amp;""=Recherche!$C$10&amp;""),OR(Recherche!$C$11="",E2175=Recherche!$C$11),OR(Recherche!$C$12="",ISNUMBER(SEARCH(Recherche!$C$12,M2175&amp;" "&amp;F2175)))),1,0)</f>
        <v>8</v>
      </c>
    </row>
    <row r="2176" customFormat="false" ht="15" hidden="false" customHeight="false" outlineLevel="0" collapsed="false">
      <c r="A2176" s="19"/>
      <c r="B2176" s="19"/>
      <c r="C2176" s="19"/>
      <c r="D2176" s="19"/>
      <c r="E2176" s="22"/>
      <c r="F2176" s="19"/>
      <c r="G2176" s="26" t="str">
        <f aca="false">IF(D2176="","",IFERROR(VALUE(LEFT(D2176,FIND(" |",D2176&amp;" |")-1)),"?"))</f>
        <v/>
      </c>
      <c r="H2176" s="27" t="str">
        <f aca="false">IF(G2176="","",IF(G2176="?","⚠ pub inconnue",IFERROR(INDEX(Pubs!$B$2:$B$3001,MATCH(G2176,Pubs!$A$2:$A$3001,0))&amp;"","⚠ pub inconnue")))</f>
        <v/>
      </c>
      <c r="I2176" s="27" t="str">
        <f aca="false">IF(OR(G2176="",G2176="?"),"",IFERROR(INDEX(Pubs!$C$2:$C$3001,MATCH(G2176,Pubs!$A$2:$A$3001,0))&amp;"",""))</f>
        <v/>
      </c>
      <c r="J2176" s="27" t="str">
        <f aca="false">IF(OR(G2176="",G2176="?"),"",IFERROR(INDEX(Pubs!$G$2:$G$3001,MATCH(G2176,Pubs!$A$2:$A$3001,0))&amp;"",""))</f>
        <v/>
      </c>
      <c r="K2176" s="28" t="str">
        <f aca="false">IF(OR(G2176="",G2176="?"),"",IFERROR(INDEX(Pubs!$E$2:$E$3001,MATCH(G2176,Pubs!$A$2:$A$3001,0)),""))</f>
        <v/>
      </c>
      <c r="L2176" s="29" t="str">
        <f aca="false">IF(A2176="","",IFERROR(1/(1/INDEX(Numéros!$C$2:$C$3001,MATCH(A2176&amp;"|"&amp;B2176,Numéros!$F$2:$F$3001,0))),""))</f>
        <v/>
      </c>
      <c r="M2176" s="27" t="str">
        <f aca="false">IF(OR(G2176="",G2176="?"),"",IFERROR(INDEX(Pubs!$D$2:$D$3001,MATCH(G2176,Pubs!$A$2:$A$3001,0))&amp;"",""))</f>
        <v/>
      </c>
      <c r="N2176" s="27" t="n">
        <f aca="false">N(N2175)+IF(AND(A2176&lt;&gt;"",OR(Recherche!$C$4="",A2176=Recherche!$C$4),OR(Recherche!$C$5="",B2176&amp;""=Recherche!$C$5&amp;""),OR(Recherche!$C$6="",IFERROR(YEAR(L2176),0)=Recherche!$C$6),OR(Recherche!$C$7="",ISNUMBER(SEARCH(Recherche!$C$7,H2176))),OR(Recherche!$C$8="",J2176=Recherche!$C$8),OR(Recherche!$C$9="",I2176=Recherche!$C$9),OR(Recherche!$C$10="",G2176&amp;""=Recherche!$C$10&amp;""),OR(Recherche!$C$11="",E2176=Recherche!$C$11),OR(Recherche!$C$12="",ISNUMBER(SEARCH(Recherche!$C$12,M2176&amp;" "&amp;F2176)))),1,0)</f>
        <v>8</v>
      </c>
    </row>
    <row r="2177" customFormat="false" ht="15" hidden="false" customHeight="false" outlineLevel="0" collapsed="false">
      <c r="A2177" s="19"/>
      <c r="B2177" s="19"/>
      <c r="C2177" s="19"/>
      <c r="D2177" s="19"/>
      <c r="E2177" s="22"/>
      <c r="F2177" s="19"/>
      <c r="G2177" s="26" t="str">
        <f aca="false">IF(D2177="","",IFERROR(VALUE(LEFT(D2177,FIND(" |",D2177&amp;" |")-1)),"?"))</f>
        <v/>
      </c>
      <c r="H2177" s="27" t="str">
        <f aca="false">IF(G2177="","",IF(G2177="?","⚠ pub inconnue",IFERROR(INDEX(Pubs!$B$2:$B$3001,MATCH(G2177,Pubs!$A$2:$A$3001,0))&amp;"","⚠ pub inconnue")))</f>
        <v/>
      </c>
      <c r="I2177" s="27" t="str">
        <f aca="false">IF(OR(G2177="",G2177="?"),"",IFERROR(INDEX(Pubs!$C$2:$C$3001,MATCH(G2177,Pubs!$A$2:$A$3001,0))&amp;"",""))</f>
        <v/>
      </c>
      <c r="J2177" s="27" t="str">
        <f aca="false">IF(OR(G2177="",G2177="?"),"",IFERROR(INDEX(Pubs!$G$2:$G$3001,MATCH(G2177,Pubs!$A$2:$A$3001,0))&amp;"",""))</f>
        <v/>
      </c>
      <c r="K2177" s="28" t="str">
        <f aca="false">IF(OR(G2177="",G2177="?"),"",IFERROR(INDEX(Pubs!$E$2:$E$3001,MATCH(G2177,Pubs!$A$2:$A$3001,0)),""))</f>
        <v/>
      </c>
      <c r="L2177" s="29" t="str">
        <f aca="false">IF(A2177="","",IFERROR(1/(1/INDEX(Numéros!$C$2:$C$3001,MATCH(A2177&amp;"|"&amp;B2177,Numéros!$F$2:$F$3001,0))),""))</f>
        <v/>
      </c>
      <c r="M2177" s="27" t="str">
        <f aca="false">IF(OR(G2177="",G2177="?"),"",IFERROR(INDEX(Pubs!$D$2:$D$3001,MATCH(G2177,Pubs!$A$2:$A$3001,0))&amp;"",""))</f>
        <v/>
      </c>
      <c r="N2177" s="27" t="n">
        <f aca="false">N(N2176)+IF(AND(A2177&lt;&gt;"",OR(Recherche!$C$4="",A2177=Recherche!$C$4),OR(Recherche!$C$5="",B2177&amp;""=Recherche!$C$5&amp;""),OR(Recherche!$C$6="",IFERROR(YEAR(L2177),0)=Recherche!$C$6),OR(Recherche!$C$7="",ISNUMBER(SEARCH(Recherche!$C$7,H2177))),OR(Recherche!$C$8="",J2177=Recherche!$C$8),OR(Recherche!$C$9="",I2177=Recherche!$C$9),OR(Recherche!$C$10="",G2177&amp;""=Recherche!$C$10&amp;""),OR(Recherche!$C$11="",E2177=Recherche!$C$11),OR(Recherche!$C$12="",ISNUMBER(SEARCH(Recherche!$C$12,M2177&amp;" "&amp;F2177)))),1,0)</f>
        <v>8</v>
      </c>
    </row>
    <row r="2178" customFormat="false" ht="15" hidden="false" customHeight="false" outlineLevel="0" collapsed="false">
      <c r="A2178" s="19"/>
      <c r="B2178" s="19"/>
      <c r="C2178" s="19"/>
      <c r="D2178" s="19"/>
      <c r="E2178" s="22"/>
      <c r="F2178" s="19"/>
      <c r="G2178" s="26" t="str">
        <f aca="false">IF(D2178="","",IFERROR(VALUE(LEFT(D2178,FIND(" |",D2178&amp;" |")-1)),"?"))</f>
        <v/>
      </c>
      <c r="H2178" s="27" t="str">
        <f aca="false">IF(G2178="","",IF(G2178="?","⚠ pub inconnue",IFERROR(INDEX(Pubs!$B$2:$B$3001,MATCH(G2178,Pubs!$A$2:$A$3001,0))&amp;"","⚠ pub inconnue")))</f>
        <v/>
      </c>
      <c r="I2178" s="27" t="str">
        <f aca="false">IF(OR(G2178="",G2178="?"),"",IFERROR(INDEX(Pubs!$C$2:$C$3001,MATCH(G2178,Pubs!$A$2:$A$3001,0))&amp;"",""))</f>
        <v/>
      </c>
      <c r="J2178" s="27" t="str">
        <f aca="false">IF(OR(G2178="",G2178="?"),"",IFERROR(INDEX(Pubs!$G$2:$G$3001,MATCH(G2178,Pubs!$A$2:$A$3001,0))&amp;"",""))</f>
        <v/>
      </c>
      <c r="K2178" s="28" t="str">
        <f aca="false">IF(OR(G2178="",G2178="?"),"",IFERROR(INDEX(Pubs!$E$2:$E$3001,MATCH(G2178,Pubs!$A$2:$A$3001,0)),""))</f>
        <v/>
      </c>
      <c r="L2178" s="29" t="str">
        <f aca="false">IF(A2178="","",IFERROR(1/(1/INDEX(Numéros!$C$2:$C$3001,MATCH(A2178&amp;"|"&amp;B2178,Numéros!$F$2:$F$3001,0))),""))</f>
        <v/>
      </c>
      <c r="M2178" s="27" t="str">
        <f aca="false">IF(OR(G2178="",G2178="?"),"",IFERROR(INDEX(Pubs!$D$2:$D$3001,MATCH(G2178,Pubs!$A$2:$A$3001,0))&amp;"",""))</f>
        <v/>
      </c>
      <c r="N2178" s="27" t="n">
        <f aca="false">N(N2177)+IF(AND(A2178&lt;&gt;"",OR(Recherche!$C$4="",A2178=Recherche!$C$4),OR(Recherche!$C$5="",B2178&amp;""=Recherche!$C$5&amp;""),OR(Recherche!$C$6="",IFERROR(YEAR(L2178),0)=Recherche!$C$6),OR(Recherche!$C$7="",ISNUMBER(SEARCH(Recherche!$C$7,H2178))),OR(Recherche!$C$8="",J2178=Recherche!$C$8),OR(Recherche!$C$9="",I2178=Recherche!$C$9),OR(Recherche!$C$10="",G2178&amp;""=Recherche!$C$10&amp;""),OR(Recherche!$C$11="",E2178=Recherche!$C$11),OR(Recherche!$C$12="",ISNUMBER(SEARCH(Recherche!$C$12,M2178&amp;" "&amp;F2178)))),1,0)</f>
        <v>8</v>
      </c>
    </row>
    <row r="2179" customFormat="false" ht="15" hidden="false" customHeight="false" outlineLevel="0" collapsed="false">
      <c r="A2179" s="19"/>
      <c r="B2179" s="19"/>
      <c r="C2179" s="19"/>
      <c r="D2179" s="19"/>
      <c r="E2179" s="22"/>
      <c r="F2179" s="19"/>
      <c r="G2179" s="26" t="str">
        <f aca="false">IF(D2179="","",IFERROR(VALUE(LEFT(D2179,FIND(" |",D2179&amp;" |")-1)),"?"))</f>
        <v/>
      </c>
      <c r="H2179" s="27" t="str">
        <f aca="false">IF(G2179="","",IF(G2179="?","⚠ pub inconnue",IFERROR(INDEX(Pubs!$B$2:$B$3001,MATCH(G2179,Pubs!$A$2:$A$3001,0))&amp;"","⚠ pub inconnue")))</f>
        <v/>
      </c>
      <c r="I2179" s="27" t="str">
        <f aca="false">IF(OR(G2179="",G2179="?"),"",IFERROR(INDEX(Pubs!$C$2:$C$3001,MATCH(G2179,Pubs!$A$2:$A$3001,0))&amp;"",""))</f>
        <v/>
      </c>
      <c r="J2179" s="27" t="str">
        <f aca="false">IF(OR(G2179="",G2179="?"),"",IFERROR(INDEX(Pubs!$G$2:$G$3001,MATCH(G2179,Pubs!$A$2:$A$3001,0))&amp;"",""))</f>
        <v/>
      </c>
      <c r="K2179" s="28" t="str">
        <f aca="false">IF(OR(G2179="",G2179="?"),"",IFERROR(INDEX(Pubs!$E$2:$E$3001,MATCH(G2179,Pubs!$A$2:$A$3001,0)),""))</f>
        <v/>
      </c>
      <c r="L2179" s="29" t="str">
        <f aca="false">IF(A2179="","",IFERROR(1/(1/INDEX(Numéros!$C$2:$C$3001,MATCH(A2179&amp;"|"&amp;B2179,Numéros!$F$2:$F$3001,0))),""))</f>
        <v/>
      </c>
      <c r="M2179" s="27" t="str">
        <f aca="false">IF(OR(G2179="",G2179="?"),"",IFERROR(INDEX(Pubs!$D$2:$D$3001,MATCH(G2179,Pubs!$A$2:$A$3001,0))&amp;"",""))</f>
        <v/>
      </c>
      <c r="N2179" s="27" t="n">
        <f aca="false">N(N2178)+IF(AND(A2179&lt;&gt;"",OR(Recherche!$C$4="",A2179=Recherche!$C$4),OR(Recherche!$C$5="",B2179&amp;""=Recherche!$C$5&amp;""),OR(Recherche!$C$6="",IFERROR(YEAR(L2179),0)=Recherche!$C$6),OR(Recherche!$C$7="",ISNUMBER(SEARCH(Recherche!$C$7,H2179))),OR(Recherche!$C$8="",J2179=Recherche!$C$8),OR(Recherche!$C$9="",I2179=Recherche!$C$9),OR(Recherche!$C$10="",G2179&amp;""=Recherche!$C$10&amp;""),OR(Recherche!$C$11="",E2179=Recherche!$C$11),OR(Recherche!$C$12="",ISNUMBER(SEARCH(Recherche!$C$12,M2179&amp;" "&amp;F2179)))),1,0)</f>
        <v>8</v>
      </c>
    </row>
    <row r="2180" customFormat="false" ht="15" hidden="false" customHeight="false" outlineLevel="0" collapsed="false">
      <c r="A2180" s="19"/>
      <c r="B2180" s="19"/>
      <c r="C2180" s="19"/>
      <c r="D2180" s="19"/>
      <c r="E2180" s="22"/>
      <c r="F2180" s="19"/>
      <c r="G2180" s="26" t="str">
        <f aca="false">IF(D2180="","",IFERROR(VALUE(LEFT(D2180,FIND(" |",D2180&amp;" |")-1)),"?"))</f>
        <v/>
      </c>
      <c r="H2180" s="27" t="str">
        <f aca="false">IF(G2180="","",IF(G2180="?","⚠ pub inconnue",IFERROR(INDEX(Pubs!$B$2:$B$3001,MATCH(G2180,Pubs!$A$2:$A$3001,0))&amp;"","⚠ pub inconnue")))</f>
        <v/>
      </c>
      <c r="I2180" s="27" t="str">
        <f aca="false">IF(OR(G2180="",G2180="?"),"",IFERROR(INDEX(Pubs!$C$2:$C$3001,MATCH(G2180,Pubs!$A$2:$A$3001,0))&amp;"",""))</f>
        <v/>
      </c>
      <c r="J2180" s="27" t="str">
        <f aca="false">IF(OR(G2180="",G2180="?"),"",IFERROR(INDEX(Pubs!$G$2:$G$3001,MATCH(G2180,Pubs!$A$2:$A$3001,0))&amp;"",""))</f>
        <v/>
      </c>
      <c r="K2180" s="28" t="str">
        <f aca="false">IF(OR(G2180="",G2180="?"),"",IFERROR(INDEX(Pubs!$E$2:$E$3001,MATCH(G2180,Pubs!$A$2:$A$3001,0)),""))</f>
        <v/>
      </c>
      <c r="L2180" s="29" t="str">
        <f aca="false">IF(A2180="","",IFERROR(1/(1/INDEX(Numéros!$C$2:$C$3001,MATCH(A2180&amp;"|"&amp;B2180,Numéros!$F$2:$F$3001,0))),""))</f>
        <v/>
      </c>
      <c r="M2180" s="27" t="str">
        <f aca="false">IF(OR(G2180="",G2180="?"),"",IFERROR(INDEX(Pubs!$D$2:$D$3001,MATCH(G2180,Pubs!$A$2:$A$3001,0))&amp;"",""))</f>
        <v/>
      </c>
      <c r="N2180" s="27" t="n">
        <f aca="false">N(N2179)+IF(AND(A2180&lt;&gt;"",OR(Recherche!$C$4="",A2180=Recherche!$C$4),OR(Recherche!$C$5="",B2180&amp;""=Recherche!$C$5&amp;""),OR(Recherche!$C$6="",IFERROR(YEAR(L2180),0)=Recherche!$C$6),OR(Recherche!$C$7="",ISNUMBER(SEARCH(Recherche!$C$7,H2180))),OR(Recherche!$C$8="",J2180=Recherche!$C$8),OR(Recherche!$C$9="",I2180=Recherche!$C$9),OR(Recherche!$C$10="",G2180&amp;""=Recherche!$C$10&amp;""),OR(Recherche!$C$11="",E2180=Recherche!$C$11),OR(Recherche!$C$12="",ISNUMBER(SEARCH(Recherche!$C$12,M2180&amp;" "&amp;F2180)))),1,0)</f>
        <v>8</v>
      </c>
    </row>
    <row r="2181" customFormat="false" ht="15" hidden="false" customHeight="false" outlineLevel="0" collapsed="false">
      <c r="A2181" s="19"/>
      <c r="B2181" s="19"/>
      <c r="C2181" s="19"/>
      <c r="D2181" s="19"/>
      <c r="E2181" s="22"/>
      <c r="F2181" s="19"/>
      <c r="G2181" s="26" t="str">
        <f aca="false">IF(D2181="","",IFERROR(VALUE(LEFT(D2181,FIND(" |",D2181&amp;" |")-1)),"?"))</f>
        <v/>
      </c>
      <c r="H2181" s="27" t="str">
        <f aca="false">IF(G2181="","",IF(G2181="?","⚠ pub inconnue",IFERROR(INDEX(Pubs!$B$2:$B$3001,MATCH(G2181,Pubs!$A$2:$A$3001,0))&amp;"","⚠ pub inconnue")))</f>
        <v/>
      </c>
      <c r="I2181" s="27" t="str">
        <f aca="false">IF(OR(G2181="",G2181="?"),"",IFERROR(INDEX(Pubs!$C$2:$C$3001,MATCH(G2181,Pubs!$A$2:$A$3001,0))&amp;"",""))</f>
        <v/>
      </c>
      <c r="J2181" s="27" t="str">
        <f aca="false">IF(OR(G2181="",G2181="?"),"",IFERROR(INDEX(Pubs!$G$2:$G$3001,MATCH(G2181,Pubs!$A$2:$A$3001,0))&amp;"",""))</f>
        <v/>
      </c>
      <c r="K2181" s="28" t="str">
        <f aca="false">IF(OR(G2181="",G2181="?"),"",IFERROR(INDEX(Pubs!$E$2:$E$3001,MATCH(G2181,Pubs!$A$2:$A$3001,0)),""))</f>
        <v/>
      </c>
      <c r="L2181" s="29" t="str">
        <f aca="false">IF(A2181="","",IFERROR(1/(1/INDEX(Numéros!$C$2:$C$3001,MATCH(A2181&amp;"|"&amp;B2181,Numéros!$F$2:$F$3001,0))),""))</f>
        <v/>
      </c>
      <c r="M2181" s="27" t="str">
        <f aca="false">IF(OR(G2181="",G2181="?"),"",IFERROR(INDEX(Pubs!$D$2:$D$3001,MATCH(G2181,Pubs!$A$2:$A$3001,0))&amp;"",""))</f>
        <v/>
      </c>
      <c r="N2181" s="27" t="n">
        <f aca="false">N(N2180)+IF(AND(A2181&lt;&gt;"",OR(Recherche!$C$4="",A2181=Recherche!$C$4),OR(Recherche!$C$5="",B2181&amp;""=Recherche!$C$5&amp;""),OR(Recherche!$C$6="",IFERROR(YEAR(L2181),0)=Recherche!$C$6),OR(Recherche!$C$7="",ISNUMBER(SEARCH(Recherche!$C$7,H2181))),OR(Recherche!$C$8="",J2181=Recherche!$C$8),OR(Recherche!$C$9="",I2181=Recherche!$C$9),OR(Recherche!$C$10="",G2181&amp;""=Recherche!$C$10&amp;""),OR(Recherche!$C$11="",E2181=Recherche!$C$11),OR(Recherche!$C$12="",ISNUMBER(SEARCH(Recherche!$C$12,M2181&amp;" "&amp;F2181)))),1,0)</f>
        <v>8</v>
      </c>
    </row>
    <row r="2182" customFormat="false" ht="15" hidden="false" customHeight="false" outlineLevel="0" collapsed="false">
      <c r="A2182" s="19"/>
      <c r="B2182" s="19"/>
      <c r="C2182" s="19"/>
      <c r="D2182" s="19"/>
      <c r="E2182" s="22"/>
      <c r="F2182" s="19"/>
      <c r="G2182" s="26" t="str">
        <f aca="false">IF(D2182="","",IFERROR(VALUE(LEFT(D2182,FIND(" |",D2182&amp;" |")-1)),"?"))</f>
        <v/>
      </c>
      <c r="H2182" s="27" t="str">
        <f aca="false">IF(G2182="","",IF(G2182="?","⚠ pub inconnue",IFERROR(INDEX(Pubs!$B$2:$B$3001,MATCH(G2182,Pubs!$A$2:$A$3001,0))&amp;"","⚠ pub inconnue")))</f>
        <v/>
      </c>
      <c r="I2182" s="27" t="str">
        <f aca="false">IF(OR(G2182="",G2182="?"),"",IFERROR(INDEX(Pubs!$C$2:$C$3001,MATCH(G2182,Pubs!$A$2:$A$3001,0))&amp;"",""))</f>
        <v/>
      </c>
      <c r="J2182" s="27" t="str">
        <f aca="false">IF(OR(G2182="",G2182="?"),"",IFERROR(INDEX(Pubs!$G$2:$G$3001,MATCH(G2182,Pubs!$A$2:$A$3001,0))&amp;"",""))</f>
        <v/>
      </c>
      <c r="K2182" s="28" t="str">
        <f aca="false">IF(OR(G2182="",G2182="?"),"",IFERROR(INDEX(Pubs!$E$2:$E$3001,MATCH(G2182,Pubs!$A$2:$A$3001,0)),""))</f>
        <v/>
      </c>
      <c r="L2182" s="29" t="str">
        <f aca="false">IF(A2182="","",IFERROR(1/(1/INDEX(Numéros!$C$2:$C$3001,MATCH(A2182&amp;"|"&amp;B2182,Numéros!$F$2:$F$3001,0))),""))</f>
        <v/>
      </c>
      <c r="M2182" s="27" t="str">
        <f aca="false">IF(OR(G2182="",G2182="?"),"",IFERROR(INDEX(Pubs!$D$2:$D$3001,MATCH(G2182,Pubs!$A$2:$A$3001,0))&amp;"",""))</f>
        <v/>
      </c>
      <c r="N2182" s="27" t="n">
        <f aca="false">N(N2181)+IF(AND(A2182&lt;&gt;"",OR(Recherche!$C$4="",A2182=Recherche!$C$4),OR(Recherche!$C$5="",B2182&amp;""=Recherche!$C$5&amp;""),OR(Recherche!$C$6="",IFERROR(YEAR(L2182),0)=Recherche!$C$6),OR(Recherche!$C$7="",ISNUMBER(SEARCH(Recherche!$C$7,H2182))),OR(Recherche!$C$8="",J2182=Recherche!$C$8),OR(Recherche!$C$9="",I2182=Recherche!$C$9),OR(Recherche!$C$10="",G2182&amp;""=Recherche!$C$10&amp;""),OR(Recherche!$C$11="",E2182=Recherche!$C$11),OR(Recherche!$C$12="",ISNUMBER(SEARCH(Recherche!$C$12,M2182&amp;" "&amp;F2182)))),1,0)</f>
        <v>8</v>
      </c>
    </row>
    <row r="2183" customFormat="false" ht="15" hidden="false" customHeight="false" outlineLevel="0" collapsed="false">
      <c r="A2183" s="19"/>
      <c r="B2183" s="19"/>
      <c r="C2183" s="19"/>
      <c r="D2183" s="19"/>
      <c r="E2183" s="22"/>
      <c r="F2183" s="19"/>
      <c r="G2183" s="26" t="str">
        <f aca="false">IF(D2183="","",IFERROR(VALUE(LEFT(D2183,FIND(" |",D2183&amp;" |")-1)),"?"))</f>
        <v/>
      </c>
      <c r="H2183" s="27" t="str">
        <f aca="false">IF(G2183="","",IF(G2183="?","⚠ pub inconnue",IFERROR(INDEX(Pubs!$B$2:$B$3001,MATCH(G2183,Pubs!$A$2:$A$3001,0))&amp;"","⚠ pub inconnue")))</f>
        <v/>
      </c>
      <c r="I2183" s="27" t="str">
        <f aca="false">IF(OR(G2183="",G2183="?"),"",IFERROR(INDEX(Pubs!$C$2:$C$3001,MATCH(G2183,Pubs!$A$2:$A$3001,0))&amp;"",""))</f>
        <v/>
      </c>
      <c r="J2183" s="27" t="str">
        <f aca="false">IF(OR(G2183="",G2183="?"),"",IFERROR(INDEX(Pubs!$G$2:$G$3001,MATCH(G2183,Pubs!$A$2:$A$3001,0))&amp;"",""))</f>
        <v/>
      </c>
      <c r="K2183" s="28" t="str">
        <f aca="false">IF(OR(G2183="",G2183="?"),"",IFERROR(INDEX(Pubs!$E$2:$E$3001,MATCH(G2183,Pubs!$A$2:$A$3001,0)),""))</f>
        <v/>
      </c>
      <c r="L2183" s="29" t="str">
        <f aca="false">IF(A2183="","",IFERROR(1/(1/INDEX(Numéros!$C$2:$C$3001,MATCH(A2183&amp;"|"&amp;B2183,Numéros!$F$2:$F$3001,0))),""))</f>
        <v/>
      </c>
      <c r="M2183" s="27" t="str">
        <f aca="false">IF(OR(G2183="",G2183="?"),"",IFERROR(INDEX(Pubs!$D$2:$D$3001,MATCH(G2183,Pubs!$A$2:$A$3001,0))&amp;"",""))</f>
        <v/>
      </c>
      <c r="N2183" s="27" t="n">
        <f aca="false">N(N2182)+IF(AND(A2183&lt;&gt;"",OR(Recherche!$C$4="",A2183=Recherche!$C$4),OR(Recherche!$C$5="",B2183&amp;""=Recherche!$C$5&amp;""),OR(Recherche!$C$6="",IFERROR(YEAR(L2183),0)=Recherche!$C$6),OR(Recherche!$C$7="",ISNUMBER(SEARCH(Recherche!$C$7,H2183))),OR(Recherche!$C$8="",J2183=Recherche!$C$8),OR(Recherche!$C$9="",I2183=Recherche!$C$9),OR(Recherche!$C$10="",G2183&amp;""=Recherche!$C$10&amp;""),OR(Recherche!$C$11="",E2183=Recherche!$C$11),OR(Recherche!$C$12="",ISNUMBER(SEARCH(Recherche!$C$12,M2183&amp;" "&amp;F2183)))),1,0)</f>
        <v>8</v>
      </c>
    </row>
    <row r="2184" customFormat="false" ht="15" hidden="false" customHeight="false" outlineLevel="0" collapsed="false">
      <c r="A2184" s="19"/>
      <c r="B2184" s="19"/>
      <c r="C2184" s="19"/>
      <c r="D2184" s="19"/>
      <c r="E2184" s="22"/>
      <c r="F2184" s="19"/>
      <c r="G2184" s="26" t="str">
        <f aca="false">IF(D2184="","",IFERROR(VALUE(LEFT(D2184,FIND(" |",D2184&amp;" |")-1)),"?"))</f>
        <v/>
      </c>
      <c r="H2184" s="27" t="str">
        <f aca="false">IF(G2184="","",IF(G2184="?","⚠ pub inconnue",IFERROR(INDEX(Pubs!$B$2:$B$3001,MATCH(G2184,Pubs!$A$2:$A$3001,0))&amp;"","⚠ pub inconnue")))</f>
        <v/>
      </c>
      <c r="I2184" s="27" t="str">
        <f aca="false">IF(OR(G2184="",G2184="?"),"",IFERROR(INDEX(Pubs!$C$2:$C$3001,MATCH(G2184,Pubs!$A$2:$A$3001,0))&amp;"",""))</f>
        <v/>
      </c>
      <c r="J2184" s="27" t="str">
        <f aca="false">IF(OR(G2184="",G2184="?"),"",IFERROR(INDEX(Pubs!$G$2:$G$3001,MATCH(G2184,Pubs!$A$2:$A$3001,0))&amp;"",""))</f>
        <v/>
      </c>
      <c r="K2184" s="28" t="str">
        <f aca="false">IF(OR(G2184="",G2184="?"),"",IFERROR(INDEX(Pubs!$E$2:$E$3001,MATCH(G2184,Pubs!$A$2:$A$3001,0)),""))</f>
        <v/>
      </c>
      <c r="L2184" s="29" t="str">
        <f aca="false">IF(A2184="","",IFERROR(1/(1/INDEX(Numéros!$C$2:$C$3001,MATCH(A2184&amp;"|"&amp;B2184,Numéros!$F$2:$F$3001,0))),""))</f>
        <v/>
      </c>
      <c r="M2184" s="27" t="str">
        <f aca="false">IF(OR(G2184="",G2184="?"),"",IFERROR(INDEX(Pubs!$D$2:$D$3001,MATCH(G2184,Pubs!$A$2:$A$3001,0))&amp;"",""))</f>
        <v/>
      </c>
      <c r="N2184" s="27" t="n">
        <f aca="false">N(N2183)+IF(AND(A2184&lt;&gt;"",OR(Recherche!$C$4="",A2184=Recherche!$C$4),OR(Recherche!$C$5="",B2184&amp;""=Recherche!$C$5&amp;""),OR(Recherche!$C$6="",IFERROR(YEAR(L2184),0)=Recherche!$C$6),OR(Recherche!$C$7="",ISNUMBER(SEARCH(Recherche!$C$7,H2184))),OR(Recherche!$C$8="",J2184=Recherche!$C$8),OR(Recherche!$C$9="",I2184=Recherche!$C$9),OR(Recherche!$C$10="",G2184&amp;""=Recherche!$C$10&amp;""),OR(Recherche!$C$11="",E2184=Recherche!$C$11),OR(Recherche!$C$12="",ISNUMBER(SEARCH(Recherche!$C$12,M2184&amp;" "&amp;F2184)))),1,0)</f>
        <v>8</v>
      </c>
    </row>
    <row r="2185" customFormat="false" ht="15" hidden="false" customHeight="false" outlineLevel="0" collapsed="false">
      <c r="A2185" s="19"/>
      <c r="B2185" s="19"/>
      <c r="C2185" s="19"/>
      <c r="D2185" s="19"/>
      <c r="E2185" s="22"/>
      <c r="F2185" s="19"/>
      <c r="G2185" s="26" t="str">
        <f aca="false">IF(D2185="","",IFERROR(VALUE(LEFT(D2185,FIND(" |",D2185&amp;" |")-1)),"?"))</f>
        <v/>
      </c>
      <c r="H2185" s="27" t="str">
        <f aca="false">IF(G2185="","",IF(G2185="?","⚠ pub inconnue",IFERROR(INDEX(Pubs!$B$2:$B$3001,MATCH(G2185,Pubs!$A$2:$A$3001,0))&amp;"","⚠ pub inconnue")))</f>
        <v/>
      </c>
      <c r="I2185" s="27" t="str">
        <f aca="false">IF(OR(G2185="",G2185="?"),"",IFERROR(INDEX(Pubs!$C$2:$C$3001,MATCH(G2185,Pubs!$A$2:$A$3001,0))&amp;"",""))</f>
        <v/>
      </c>
      <c r="J2185" s="27" t="str">
        <f aca="false">IF(OR(G2185="",G2185="?"),"",IFERROR(INDEX(Pubs!$G$2:$G$3001,MATCH(G2185,Pubs!$A$2:$A$3001,0))&amp;"",""))</f>
        <v/>
      </c>
      <c r="K2185" s="28" t="str">
        <f aca="false">IF(OR(G2185="",G2185="?"),"",IFERROR(INDEX(Pubs!$E$2:$E$3001,MATCH(G2185,Pubs!$A$2:$A$3001,0)),""))</f>
        <v/>
      </c>
      <c r="L2185" s="29" t="str">
        <f aca="false">IF(A2185="","",IFERROR(1/(1/INDEX(Numéros!$C$2:$C$3001,MATCH(A2185&amp;"|"&amp;B2185,Numéros!$F$2:$F$3001,0))),""))</f>
        <v/>
      </c>
      <c r="M2185" s="27" t="str">
        <f aca="false">IF(OR(G2185="",G2185="?"),"",IFERROR(INDEX(Pubs!$D$2:$D$3001,MATCH(G2185,Pubs!$A$2:$A$3001,0))&amp;"",""))</f>
        <v/>
      </c>
      <c r="N2185" s="27" t="n">
        <f aca="false">N(N2184)+IF(AND(A2185&lt;&gt;"",OR(Recherche!$C$4="",A2185=Recherche!$C$4),OR(Recherche!$C$5="",B2185&amp;""=Recherche!$C$5&amp;""),OR(Recherche!$C$6="",IFERROR(YEAR(L2185),0)=Recherche!$C$6),OR(Recherche!$C$7="",ISNUMBER(SEARCH(Recherche!$C$7,H2185))),OR(Recherche!$C$8="",J2185=Recherche!$C$8),OR(Recherche!$C$9="",I2185=Recherche!$C$9),OR(Recherche!$C$10="",G2185&amp;""=Recherche!$C$10&amp;""),OR(Recherche!$C$11="",E2185=Recherche!$C$11),OR(Recherche!$C$12="",ISNUMBER(SEARCH(Recherche!$C$12,M2185&amp;" "&amp;F2185)))),1,0)</f>
        <v>8</v>
      </c>
    </row>
    <row r="2186" customFormat="false" ht="15" hidden="false" customHeight="false" outlineLevel="0" collapsed="false">
      <c r="A2186" s="19"/>
      <c r="B2186" s="19"/>
      <c r="C2186" s="19"/>
      <c r="D2186" s="19"/>
      <c r="E2186" s="22"/>
      <c r="F2186" s="19"/>
      <c r="G2186" s="26" t="str">
        <f aca="false">IF(D2186="","",IFERROR(VALUE(LEFT(D2186,FIND(" |",D2186&amp;" |")-1)),"?"))</f>
        <v/>
      </c>
      <c r="H2186" s="27" t="str">
        <f aca="false">IF(G2186="","",IF(G2186="?","⚠ pub inconnue",IFERROR(INDEX(Pubs!$B$2:$B$3001,MATCH(G2186,Pubs!$A$2:$A$3001,0))&amp;"","⚠ pub inconnue")))</f>
        <v/>
      </c>
      <c r="I2186" s="27" t="str">
        <f aca="false">IF(OR(G2186="",G2186="?"),"",IFERROR(INDEX(Pubs!$C$2:$C$3001,MATCH(G2186,Pubs!$A$2:$A$3001,0))&amp;"",""))</f>
        <v/>
      </c>
      <c r="J2186" s="27" t="str">
        <f aca="false">IF(OR(G2186="",G2186="?"),"",IFERROR(INDEX(Pubs!$G$2:$G$3001,MATCH(G2186,Pubs!$A$2:$A$3001,0))&amp;"",""))</f>
        <v/>
      </c>
      <c r="K2186" s="28" t="str">
        <f aca="false">IF(OR(G2186="",G2186="?"),"",IFERROR(INDEX(Pubs!$E$2:$E$3001,MATCH(G2186,Pubs!$A$2:$A$3001,0)),""))</f>
        <v/>
      </c>
      <c r="L2186" s="29" t="str">
        <f aca="false">IF(A2186="","",IFERROR(1/(1/INDEX(Numéros!$C$2:$C$3001,MATCH(A2186&amp;"|"&amp;B2186,Numéros!$F$2:$F$3001,0))),""))</f>
        <v/>
      </c>
      <c r="M2186" s="27" t="str">
        <f aca="false">IF(OR(G2186="",G2186="?"),"",IFERROR(INDEX(Pubs!$D$2:$D$3001,MATCH(G2186,Pubs!$A$2:$A$3001,0))&amp;"",""))</f>
        <v/>
      </c>
      <c r="N2186" s="27" t="n">
        <f aca="false">N(N2185)+IF(AND(A2186&lt;&gt;"",OR(Recherche!$C$4="",A2186=Recherche!$C$4),OR(Recherche!$C$5="",B2186&amp;""=Recherche!$C$5&amp;""),OR(Recherche!$C$6="",IFERROR(YEAR(L2186),0)=Recherche!$C$6),OR(Recherche!$C$7="",ISNUMBER(SEARCH(Recherche!$C$7,H2186))),OR(Recherche!$C$8="",J2186=Recherche!$C$8),OR(Recherche!$C$9="",I2186=Recherche!$C$9),OR(Recherche!$C$10="",G2186&amp;""=Recherche!$C$10&amp;""),OR(Recherche!$C$11="",E2186=Recherche!$C$11),OR(Recherche!$C$12="",ISNUMBER(SEARCH(Recherche!$C$12,M2186&amp;" "&amp;F2186)))),1,0)</f>
        <v>8</v>
      </c>
    </row>
    <row r="2187" customFormat="false" ht="15" hidden="false" customHeight="false" outlineLevel="0" collapsed="false">
      <c r="A2187" s="19"/>
      <c r="B2187" s="19"/>
      <c r="C2187" s="19"/>
      <c r="D2187" s="19"/>
      <c r="E2187" s="22"/>
      <c r="F2187" s="19"/>
      <c r="G2187" s="26" t="str">
        <f aca="false">IF(D2187="","",IFERROR(VALUE(LEFT(D2187,FIND(" |",D2187&amp;" |")-1)),"?"))</f>
        <v/>
      </c>
      <c r="H2187" s="27" t="str">
        <f aca="false">IF(G2187="","",IF(G2187="?","⚠ pub inconnue",IFERROR(INDEX(Pubs!$B$2:$B$3001,MATCH(G2187,Pubs!$A$2:$A$3001,0))&amp;"","⚠ pub inconnue")))</f>
        <v/>
      </c>
      <c r="I2187" s="27" t="str">
        <f aca="false">IF(OR(G2187="",G2187="?"),"",IFERROR(INDEX(Pubs!$C$2:$C$3001,MATCH(G2187,Pubs!$A$2:$A$3001,0))&amp;"",""))</f>
        <v/>
      </c>
      <c r="J2187" s="27" t="str">
        <f aca="false">IF(OR(G2187="",G2187="?"),"",IFERROR(INDEX(Pubs!$G$2:$G$3001,MATCH(G2187,Pubs!$A$2:$A$3001,0))&amp;"",""))</f>
        <v/>
      </c>
      <c r="K2187" s="28" t="str">
        <f aca="false">IF(OR(G2187="",G2187="?"),"",IFERROR(INDEX(Pubs!$E$2:$E$3001,MATCH(G2187,Pubs!$A$2:$A$3001,0)),""))</f>
        <v/>
      </c>
      <c r="L2187" s="29" t="str">
        <f aca="false">IF(A2187="","",IFERROR(1/(1/INDEX(Numéros!$C$2:$C$3001,MATCH(A2187&amp;"|"&amp;B2187,Numéros!$F$2:$F$3001,0))),""))</f>
        <v/>
      </c>
      <c r="M2187" s="27" t="str">
        <f aca="false">IF(OR(G2187="",G2187="?"),"",IFERROR(INDEX(Pubs!$D$2:$D$3001,MATCH(G2187,Pubs!$A$2:$A$3001,0))&amp;"",""))</f>
        <v/>
      </c>
      <c r="N2187" s="27" t="n">
        <f aca="false">N(N2186)+IF(AND(A2187&lt;&gt;"",OR(Recherche!$C$4="",A2187=Recherche!$C$4),OR(Recherche!$C$5="",B2187&amp;""=Recherche!$C$5&amp;""),OR(Recherche!$C$6="",IFERROR(YEAR(L2187),0)=Recherche!$C$6),OR(Recherche!$C$7="",ISNUMBER(SEARCH(Recherche!$C$7,H2187))),OR(Recherche!$C$8="",J2187=Recherche!$C$8),OR(Recherche!$C$9="",I2187=Recherche!$C$9),OR(Recherche!$C$10="",G2187&amp;""=Recherche!$C$10&amp;""),OR(Recherche!$C$11="",E2187=Recherche!$C$11),OR(Recherche!$C$12="",ISNUMBER(SEARCH(Recherche!$C$12,M2187&amp;" "&amp;F2187)))),1,0)</f>
        <v>8</v>
      </c>
    </row>
    <row r="2188" customFormat="false" ht="15" hidden="false" customHeight="false" outlineLevel="0" collapsed="false">
      <c r="A2188" s="19"/>
      <c r="B2188" s="19"/>
      <c r="C2188" s="19"/>
      <c r="D2188" s="19"/>
      <c r="E2188" s="22"/>
      <c r="F2188" s="19"/>
      <c r="G2188" s="26" t="str">
        <f aca="false">IF(D2188="","",IFERROR(VALUE(LEFT(D2188,FIND(" |",D2188&amp;" |")-1)),"?"))</f>
        <v/>
      </c>
      <c r="H2188" s="27" t="str">
        <f aca="false">IF(G2188="","",IF(G2188="?","⚠ pub inconnue",IFERROR(INDEX(Pubs!$B$2:$B$3001,MATCH(G2188,Pubs!$A$2:$A$3001,0))&amp;"","⚠ pub inconnue")))</f>
        <v/>
      </c>
      <c r="I2188" s="27" t="str">
        <f aca="false">IF(OR(G2188="",G2188="?"),"",IFERROR(INDEX(Pubs!$C$2:$C$3001,MATCH(G2188,Pubs!$A$2:$A$3001,0))&amp;"",""))</f>
        <v/>
      </c>
      <c r="J2188" s="27" t="str">
        <f aca="false">IF(OR(G2188="",G2188="?"),"",IFERROR(INDEX(Pubs!$G$2:$G$3001,MATCH(G2188,Pubs!$A$2:$A$3001,0))&amp;"",""))</f>
        <v/>
      </c>
      <c r="K2188" s="28" t="str">
        <f aca="false">IF(OR(G2188="",G2188="?"),"",IFERROR(INDEX(Pubs!$E$2:$E$3001,MATCH(G2188,Pubs!$A$2:$A$3001,0)),""))</f>
        <v/>
      </c>
      <c r="L2188" s="29" t="str">
        <f aca="false">IF(A2188="","",IFERROR(1/(1/INDEX(Numéros!$C$2:$C$3001,MATCH(A2188&amp;"|"&amp;B2188,Numéros!$F$2:$F$3001,0))),""))</f>
        <v/>
      </c>
      <c r="M2188" s="27" t="str">
        <f aca="false">IF(OR(G2188="",G2188="?"),"",IFERROR(INDEX(Pubs!$D$2:$D$3001,MATCH(G2188,Pubs!$A$2:$A$3001,0))&amp;"",""))</f>
        <v/>
      </c>
      <c r="N2188" s="27" t="n">
        <f aca="false">N(N2187)+IF(AND(A2188&lt;&gt;"",OR(Recherche!$C$4="",A2188=Recherche!$C$4),OR(Recherche!$C$5="",B2188&amp;""=Recherche!$C$5&amp;""),OR(Recherche!$C$6="",IFERROR(YEAR(L2188),0)=Recherche!$C$6),OR(Recherche!$C$7="",ISNUMBER(SEARCH(Recherche!$C$7,H2188))),OR(Recherche!$C$8="",J2188=Recherche!$C$8),OR(Recherche!$C$9="",I2188=Recherche!$C$9),OR(Recherche!$C$10="",G2188&amp;""=Recherche!$C$10&amp;""),OR(Recherche!$C$11="",E2188=Recherche!$C$11),OR(Recherche!$C$12="",ISNUMBER(SEARCH(Recherche!$C$12,M2188&amp;" "&amp;F2188)))),1,0)</f>
        <v>8</v>
      </c>
    </row>
    <row r="2189" customFormat="false" ht="15" hidden="false" customHeight="false" outlineLevel="0" collapsed="false">
      <c r="A2189" s="19"/>
      <c r="B2189" s="19"/>
      <c r="C2189" s="19"/>
      <c r="D2189" s="19"/>
      <c r="E2189" s="22"/>
      <c r="F2189" s="19"/>
      <c r="G2189" s="26" t="str">
        <f aca="false">IF(D2189="","",IFERROR(VALUE(LEFT(D2189,FIND(" |",D2189&amp;" |")-1)),"?"))</f>
        <v/>
      </c>
      <c r="H2189" s="27" t="str">
        <f aca="false">IF(G2189="","",IF(G2189="?","⚠ pub inconnue",IFERROR(INDEX(Pubs!$B$2:$B$3001,MATCH(G2189,Pubs!$A$2:$A$3001,0))&amp;"","⚠ pub inconnue")))</f>
        <v/>
      </c>
      <c r="I2189" s="27" t="str">
        <f aca="false">IF(OR(G2189="",G2189="?"),"",IFERROR(INDEX(Pubs!$C$2:$C$3001,MATCH(G2189,Pubs!$A$2:$A$3001,0))&amp;"",""))</f>
        <v/>
      </c>
      <c r="J2189" s="27" t="str">
        <f aca="false">IF(OR(G2189="",G2189="?"),"",IFERROR(INDEX(Pubs!$G$2:$G$3001,MATCH(G2189,Pubs!$A$2:$A$3001,0))&amp;"",""))</f>
        <v/>
      </c>
      <c r="K2189" s="28" t="str">
        <f aca="false">IF(OR(G2189="",G2189="?"),"",IFERROR(INDEX(Pubs!$E$2:$E$3001,MATCH(G2189,Pubs!$A$2:$A$3001,0)),""))</f>
        <v/>
      </c>
      <c r="L2189" s="29" t="str">
        <f aca="false">IF(A2189="","",IFERROR(1/(1/INDEX(Numéros!$C$2:$C$3001,MATCH(A2189&amp;"|"&amp;B2189,Numéros!$F$2:$F$3001,0))),""))</f>
        <v/>
      </c>
      <c r="M2189" s="27" t="str">
        <f aca="false">IF(OR(G2189="",G2189="?"),"",IFERROR(INDEX(Pubs!$D$2:$D$3001,MATCH(G2189,Pubs!$A$2:$A$3001,0))&amp;"",""))</f>
        <v/>
      </c>
      <c r="N2189" s="27" t="n">
        <f aca="false">N(N2188)+IF(AND(A2189&lt;&gt;"",OR(Recherche!$C$4="",A2189=Recherche!$C$4),OR(Recherche!$C$5="",B2189&amp;""=Recherche!$C$5&amp;""),OR(Recherche!$C$6="",IFERROR(YEAR(L2189),0)=Recherche!$C$6),OR(Recherche!$C$7="",ISNUMBER(SEARCH(Recherche!$C$7,H2189))),OR(Recherche!$C$8="",J2189=Recherche!$C$8),OR(Recherche!$C$9="",I2189=Recherche!$C$9),OR(Recherche!$C$10="",G2189&amp;""=Recherche!$C$10&amp;""),OR(Recherche!$C$11="",E2189=Recherche!$C$11),OR(Recherche!$C$12="",ISNUMBER(SEARCH(Recherche!$C$12,M2189&amp;" "&amp;F2189)))),1,0)</f>
        <v>8</v>
      </c>
    </row>
    <row r="2190" customFormat="false" ht="15" hidden="false" customHeight="false" outlineLevel="0" collapsed="false">
      <c r="A2190" s="19"/>
      <c r="B2190" s="19"/>
      <c r="C2190" s="19"/>
      <c r="D2190" s="19"/>
      <c r="E2190" s="22"/>
      <c r="F2190" s="19"/>
      <c r="G2190" s="26" t="str">
        <f aca="false">IF(D2190="","",IFERROR(VALUE(LEFT(D2190,FIND(" |",D2190&amp;" |")-1)),"?"))</f>
        <v/>
      </c>
      <c r="H2190" s="27" t="str">
        <f aca="false">IF(G2190="","",IF(G2190="?","⚠ pub inconnue",IFERROR(INDEX(Pubs!$B$2:$B$3001,MATCH(G2190,Pubs!$A$2:$A$3001,0))&amp;"","⚠ pub inconnue")))</f>
        <v/>
      </c>
      <c r="I2190" s="27" t="str">
        <f aca="false">IF(OR(G2190="",G2190="?"),"",IFERROR(INDEX(Pubs!$C$2:$C$3001,MATCH(G2190,Pubs!$A$2:$A$3001,0))&amp;"",""))</f>
        <v/>
      </c>
      <c r="J2190" s="27" t="str">
        <f aca="false">IF(OR(G2190="",G2190="?"),"",IFERROR(INDEX(Pubs!$G$2:$G$3001,MATCH(G2190,Pubs!$A$2:$A$3001,0))&amp;"",""))</f>
        <v/>
      </c>
      <c r="K2190" s="28" t="str">
        <f aca="false">IF(OR(G2190="",G2190="?"),"",IFERROR(INDEX(Pubs!$E$2:$E$3001,MATCH(G2190,Pubs!$A$2:$A$3001,0)),""))</f>
        <v/>
      </c>
      <c r="L2190" s="29" t="str">
        <f aca="false">IF(A2190="","",IFERROR(1/(1/INDEX(Numéros!$C$2:$C$3001,MATCH(A2190&amp;"|"&amp;B2190,Numéros!$F$2:$F$3001,0))),""))</f>
        <v/>
      </c>
      <c r="M2190" s="27" t="str">
        <f aca="false">IF(OR(G2190="",G2190="?"),"",IFERROR(INDEX(Pubs!$D$2:$D$3001,MATCH(G2190,Pubs!$A$2:$A$3001,0))&amp;"",""))</f>
        <v/>
      </c>
      <c r="N2190" s="27" t="n">
        <f aca="false">N(N2189)+IF(AND(A2190&lt;&gt;"",OR(Recherche!$C$4="",A2190=Recherche!$C$4),OR(Recherche!$C$5="",B2190&amp;""=Recherche!$C$5&amp;""),OR(Recherche!$C$6="",IFERROR(YEAR(L2190),0)=Recherche!$C$6),OR(Recherche!$C$7="",ISNUMBER(SEARCH(Recherche!$C$7,H2190))),OR(Recherche!$C$8="",J2190=Recherche!$C$8),OR(Recherche!$C$9="",I2190=Recherche!$C$9),OR(Recherche!$C$10="",G2190&amp;""=Recherche!$C$10&amp;""),OR(Recherche!$C$11="",E2190=Recherche!$C$11),OR(Recherche!$C$12="",ISNUMBER(SEARCH(Recherche!$C$12,M2190&amp;" "&amp;F2190)))),1,0)</f>
        <v>8</v>
      </c>
    </row>
    <row r="2191" customFormat="false" ht="15" hidden="false" customHeight="false" outlineLevel="0" collapsed="false">
      <c r="A2191" s="19"/>
      <c r="B2191" s="19"/>
      <c r="C2191" s="19"/>
      <c r="D2191" s="19"/>
      <c r="E2191" s="22"/>
      <c r="F2191" s="19"/>
      <c r="G2191" s="26" t="str">
        <f aca="false">IF(D2191="","",IFERROR(VALUE(LEFT(D2191,FIND(" |",D2191&amp;" |")-1)),"?"))</f>
        <v/>
      </c>
      <c r="H2191" s="27" t="str">
        <f aca="false">IF(G2191="","",IF(G2191="?","⚠ pub inconnue",IFERROR(INDEX(Pubs!$B$2:$B$3001,MATCH(G2191,Pubs!$A$2:$A$3001,0))&amp;"","⚠ pub inconnue")))</f>
        <v/>
      </c>
      <c r="I2191" s="27" t="str">
        <f aca="false">IF(OR(G2191="",G2191="?"),"",IFERROR(INDEX(Pubs!$C$2:$C$3001,MATCH(G2191,Pubs!$A$2:$A$3001,0))&amp;"",""))</f>
        <v/>
      </c>
      <c r="J2191" s="27" t="str">
        <f aca="false">IF(OR(G2191="",G2191="?"),"",IFERROR(INDEX(Pubs!$G$2:$G$3001,MATCH(G2191,Pubs!$A$2:$A$3001,0))&amp;"",""))</f>
        <v/>
      </c>
      <c r="K2191" s="28" t="str">
        <f aca="false">IF(OR(G2191="",G2191="?"),"",IFERROR(INDEX(Pubs!$E$2:$E$3001,MATCH(G2191,Pubs!$A$2:$A$3001,0)),""))</f>
        <v/>
      </c>
      <c r="L2191" s="29" t="str">
        <f aca="false">IF(A2191="","",IFERROR(1/(1/INDEX(Numéros!$C$2:$C$3001,MATCH(A2191&amp;"|"&amp;B2191,Numéros!$F$2:$F$3001,0))),""))</f>
        <v/>
      </c>
      <c r="M2191" s="27" t="str">
        <f aca="false">IF(OR(G2191="",G2191="?"),"",IFERROR(INDEX(Pubs!$D$2:$D$3001,MATCH(G2191,Pubs!$A$2:$A$3001,0))&amp;"",""))</f>
        <v/>
      </c>
      <c r="N2191" s="27" t="n">
        <f aca="false">N(N2190)+IF(AND(A2191&lt;&gt;"",OR(Recherche!$C$4="",A2191=Recherche!$C$4),OR(Recherche!$C$5="",B2191&amp;""=Recherche!$C$5&amp;""),OR(Recherche!$C$6="",IFERROR(YEAR(L2191),0)=Recherche!$C$6),OR(Recherche!$C$7="",ISNUMBER(SEARCH(Recherche!$C$7,H2191))),OR(Recherche!$C$8="",J2191=Recherche!$C$8),OR(Recherche!$C$9="",I2191=Recherche!$C$9),OR(Recherche!$C$10="",G2191&amp;""=Recherche!$C$10&amp;""),OR(Recherche!$C$11="",E2191=Recherche!$C$11),OR(Recherche!$C$12="",ISNUMBER(SEARCH(Recherche!$C$12,M2191&amp;" "&amp;F2191)))),1,0)</f>
        <v>8</v>
      </c>
    </row>
    <row r="2192" customFormat="false" ht="15" hidden="false" customHeight="false" outlineLevel="0" collapsed="false">
      <c r="A2192" s="19"/>
      <c r="B2192" s="19"/>
      <c r="C2192" s="19"/>
      <c r="D2192" s="19"/>
      <c r="E2192" s="22"/>
      <c r="F2192" s="19"/>
      <c r="G2192" s="26" t="str">
        <f aca="false">IF(D2192="","",IFERROR(VALUE(LEFT(D2192,FIND(" |",D2192&amp;" |")-1)),"?"))</f>
        <v/>
      </c>
      <c r="H2192" s="27" t="str">
        <f aca="false">IF(G2192="","",IF(G2192="?","⚠ pub inconnue",IFERROR(INDEX(Pubs!$B$2:$B$3001,MATCH(G2192,Pubs!$A$2:$A$3001,0))&amp;"","⚠ pub inconnue")))</f>
        <v/>
      </c>
      <c r="I2192" s="27" t="str">
        <f aca="false">IF(OR(G2192="",G2192="?"),"",IFERROR(INDEX(Pubs!$C$2:$C$3001,MATCH(G2192,Pubs!$A$2:$A$3001,0))&amp;"",""))</f>
        <v/>
      </c>
      <c r="J2192" s="27" t="str">
        <f aca="false">IF(OR(G2192="",G2192="?"),"",IFERROR(INDEX(Pubs!$G$2:$G$3001,MATCH(G2192,Pubs!$A$2:$A$3001,0))&amp;"",""))</f>
        <v/>
      </c>
      <c r="K2192" s="28" t="str">
        <f aca="false">IF(OR(G2192="",G2192="?"),"",IFERROR(INDEX(Pubs!$E$2:$E$3001,MATCH(G2192,Pubs!$A$2:$A$3001,0)),""))</f>
        <v/>
      </c>
      <c r="L2192" s="29" t="str">
        <f aca="false">IF(A2192="","",IFERROR(1/(1/INDEX(Numéros!$C$2:$C$3001,MATCH(A2192&amp;"|"&amp;B2192,Numéros!$F$2:$F$3001,0))),""))</f>
        <v/>
      </c>
      <c r="M2192" s="27" t="str">
        <f aca="false">IF(OR(G2192="",G2192="?"),"",IFERROR(INDEX(Pubs!$D$2:$D$3001,MATCH(G2192,Pubs!$A$2:$A$3001,0))&amp;"",""))</f>
        <v/>
      </c>
      <c r="N2192" s="27" t="n">
        <f aca="false">N(N2191)+IF(AND(A2192&lt;&gt;"",OR(Recherche!$C$4="",A2192=Recherche!$C$4),OR(Recherche!$C$5="",B2192&amp;""=Recherche!$C$5&amp;""),OR(Recherche!$C$6="",IFERROR(YEAR(L2192),0)=Recherche!$C$6),OR(Recherche!$C$7="",ISNUMBER(SEARCH(Recherche!$C$7,H2192))),OR(Recherche!$C$8="",J2192=Recherche!$C$8),OR(Recherche!$C$9="",I2192=Recherche!$C$9),OR(Recherche!$C$10="",G2192&amp;""=Recherche!$C$10&amp;""),OR(Recherche!$C$11="",E2192=Recherche!$C$11),OR(Recherche!$C$12="",ISNUMBER(SEARCH(Recherche!$C$12,M2192&amp;" "&amp;F2192)))),1,0)</f>
        <v>8</v>
      </c>
    </row>
    <row r="2193" customFormat="false" ht="15" hidden="false" customHeight="false" outlineLevel="0" collapsed="false">
      <c r="A2193" s="19"/>
      <c r="B2193" s="19"/>
      <c r="C2193" s="19"/>
      <c r="D2193" s="19"/>
      <c r="E2193" s="22"/>
      <c r="F2193" s="19"/>
      <c r="G2193" s="26" t="str">
        <f aca="false">IF(D2193="","",IFERROR(VALUE(LEFT(D2193,FIND(" |",D2193&amp;" |")-1)),"?"))</f>
        <v/>
      </c>
      <c r="H2193" s="27" t="str">
        <f aca="false">IF(G2193="","",IF(G2193="?","⚠ pub inconnue",IFERROR(INDEX(Pubs!$B$2:$B$3001,MATCH(G2193,Pubs!$A$2:$A$3001,0))&amp;"","⚠ pub inconnue")))</f>
        <v/>
      </c>
      <c r="I2193" s="27" t="str">
        <f aca="false">IF(OR(G2193="",G2193="?"),"",IFERROR(INDEX(Pubs!$C$2:$C$3001,MATCH(G2193,Pubs!$A$2:$A$3001,0))&amp;"",""))</f>
        <v/>
      </c>
      <c r="J2193" s="27" t="str">
        <f aca="false">IF(OR(G2193="",G2193="?"),"",IFERROR(INDEX(Pubs!$G$2:$G$3001,MATCH(G2193,Pubs!$A$2:$A$3001,0))&amp;"",""))</f>
        <v/>
      </c>
      <c r="K2193" s="28" t="str">
        <f aca="false">IF(OR(G2193="",G2193="?"),"",IFERROR(INDEX(Pubs!$E$2:$E$3001,MATCH(G2193,Pubs!$A$2:$A$3001,0)),""))</f>
        <v/>
      </c>
      <c r="L2193" s="29" t="str">
        <f aca="false">IF(A2193="","",IFERROR(1/(1/INDEX(Numéros!$C$2:$C$3001,MATCH(A2193&amp;"|"&amp;B2193,Numéros!$F$2:$F$3001,0))),""))</f>
        <v/>
      </c>
      <c r="M2193" s="27" t="str">
        <f aca="false">IF(OR(G2193="",G2193="?"),"",IFERROR(INDEX(Pubs!$D$2:$D$3001,MATCH(G2193,Pubs!$A$2:$A$3001,0))&amp;"",""))</f>
        <v/>
      </c>
      <c r="N2193" s="27" t="n">
        <f aca="false">N(N2192)+IF(AND(A2193&lt;&gt;"",OR(Recherche!$C$4="",A2193=Recherche!$C$4),OR(Recherche!$C$5="",B2193&amp;""=Recherche!$C$5&amp;""),OR(Recherche!$C$6="",IFERROR(YEAR(L2193),0)=Recherche!$C$6),OR(Recherche!$C$7="",ISNUMBER(SEARCH(Recherche!$C$7,H2193))),OR(Recherche!$C$8="",J2193=Recherche!$C$8),OR(Recherche!$C$9="",I2193=Recherche!$C$9),OR(Recherche!$C$10="",G2193&amp;""=Recherche!$C$10&amp;""),OR(Recherche!$C$11="",E2193=Recherche!$C$11),OR(Recherche!$C$12="",ISNUMBER(SEARCH(Recherche!$C$12,M2193&amp;" "&amp;F2193)))),1,0)</f>
        <v>8</v>
      </c>
    </row>
    <row r="2194" customFormat="false" ht="15" hidden="false" customHeight="false" outlineLevel="0" collapsed="false">
      <c r="A2194" s="19"/>
      <c r="B2194" s="19"/>
      <c r="C2194" s="19"/>
      <c r="D2194" s="19"/>
      <c r="E2194" s="22"/>
      <c r="F2194" s="19"/>
      <c r="G2194" s="26" t="str">
        <f aca="false">IF(D2194="","",IFERROR(VALUE(LEFT(D2194,FIND(" |",D2194&amp;" |")-1)),"?"))</f>
        <v/>
      </c>
      <c r="H2194" s="27" t="str">
        <f aca="false">IF(G2194="","",IF(G2194="?","⚠ pub inconnue",IFERROR(INDEX(Pubs!$B$2:$B$3001,MATCH(G2194,Pubs!$A$2:$A$3001,0))&amp;"","⚠ pub inconnue")))</f>
        <v/>
      </c>
      <c r="I2194" s="27" t="str">
        <f aca="false">IF(OR(G2194="",G2194="?"),"",IFERROR(INDEX(Pubs!$C$2:$C$3001,MATCH(G2194,Pubs!$A$2:$A$3001,0))&amp;"",""))</f>
        <v/>
      </c>
      <c r="J2194" s="27" t="str">
        <f aca="false">IF(OR(G2194="",G2194="?"),"",IFERROR(INDEX(Pubs!$G$2:$G$3001,MATCH(G2194,Pubs!$A$2:$A$3001,0))&amp;"",""))</f>
        <v/>
      </c>
      <c r="K2194" s="28" t="str">
        <f aca="false">IF(OR(G2194="",G2194="?"),"",IFERROR(INDEX(Pubs!$E$2:$E$3001,MATCH(G2194,Pubs!$A$2:$A$3001,0)),""))</f>
        <v/>
      </c>
      <c r="L2194" s="29" t="str">
        <f aca="false">IF(A2194="","",IFERROR(1/(1/INDEX(Numéros!$C$2:$C$3001,MATCH(A2194&amp;"|"&amp;B2194,Numéros!$F$2:$F$3001,0))),""))</f>
        <v/>
      </c>
      <c r="M2194" s="27" t="str">
        <f aca="false">IF(OR(G2194="",G2194="?"),"",IFERROR(INDEX(Pubs!$D$2:$D$3001,MATCH(G2194,Pubs!$A$2:$A$3001,0))&amp;"",""))</f>
        <v/>
      </c>
      <c r="N2194" s="27" t="n">
        <f aca="false">N(N2193)+IF(AND(A2194&lt;&gt;"",OR(Recherche!$C$4="",A2194=Recherche!$C$4),OR(Recherche!$C$5="",B2194&amp;""=Recherche!$C$5&amp;""),OR(Recherche!$C$6="",IFERROR(YEAR(L2194),0)=Recherche!$C$6),OR(Recherche!$C$7="",ISNUMBER(SEARCH(Recherche!$C$7,H2194))),OR(Recherche!$C$8="",J2194=Recherche!$C$8),OR(Recherche!$C$9="",I2194=Recherche!$C$9),OR(Recherche!$C$10="",G2194&amp;""=Recherche!$C$10&amp;""),OR(Recherche!$C$11="",E2194=Recherche!$C$11),OR(Recherche!$C$12="",ISNUMBER(SEARCH(Recherche!$C$12,M2194&amp;" "&amp;F2194)))),1,0)</f>
        <v>8</v>
      </c>
    </row>
    <row r="2195" customFormat="false" ht="15" hidden="false" customHeight="false" outlineLevel="0" collapsed="false">
      <c r="A2195" s="19"/>
      <c r="B2195" s="19"/>
      <c r="C2195" s="19"/>
      <c r="D2195" s="19"/>
      <c r="E2195" s="22"/>
      <c r="F2195" s="19"/>
      <c r="G2195" s="26" t="str">
        <f aca="false">IF(D2195="","",IFERROR(VALUE(LEFT(D2195,FIND(" |",D2195&amp;" |")-1)),"?"))</f>
        <v/>
      </c>
      <c r="H2195" s="27" t="str">
        <f aca="false">IF(G2195="","",IF(G2195="?","⚠ pub inconnue",IFERROR(INDEX(Pubs!$B$2:$B$3001,MATCH(G2195,Pubs!$A$2:$A$3001,0))&amp;"","⚠ pub inconnue")))</f>
        <v/>
      </c>
      <c r="I2195" s="27" t="str">
        <f aca="false">IF(OR(G2195="",G2195="?"),"",IFERROR(INDEX(Pubs!$C$2:$C$3001,MATCH(G2195,Pubs!$A$2:$A$3001,0))&amp;"",""))</f>
        <v/>
      </c>
      <c r="J2195" s="27" t="str">
        <f aca="false">IF(OR(G2195="",G2195="?"),"",IFERROR(INDEX(Pubs!$G$2:$G$3001,MATCH(G2195,Pubs!$A$2:$A$3001,0))&amp;"",""))</f>
        <v/>
      </c>
      <c r="K2195" s="28" t="str">
        <f aca="false">IF(OR(G2195="",G2195="?"),"",IFERROR(INDEX(Pubs!$E$2:$E$3001,MATCH(G2195,Pubs!$A$2:$A$3001,0)),""))</f>
        <v/>
      </c>
      <c r="L2195" s="29" t="str">
        <f aca="false">IF(A2195="","",IFERROR(1/(1/INDEX(Numéros!$C$2:$C$3001,MATCH(A2195&amp;"|"&amp;B2195,Numéros!$F$2:$F$3001,0))),""))</f>
        <v/>
      </c>
      <c r="M2195" s="27" t="str">
        <f aca="false">IF(OR(G2195="",G2195="?"),"",IFERROR(INDEX(Pubs!$D$2:$D$3001,MATCH(G2195,Pubs!$A$2:$A$3001,0))&amp;"",""))</f>
        <v/>
      </c>
      <c r="N2195" s="27" t="n">
        <f aca="false">N(N2194)+IF(AND(A2195&lt;&gt;"",OR(Recherche!$C$4="",A2195=Recherche!$C$4),OR(Recherche!$C$5="",B2195&amp;""=Recherche!$C$5&amp;""),OR(Recherche!$C$6="",IFERROR(YEAR(L2195),0)=Recherche!$C$6),OR(Recherche!$C$7="",ISNUMBER(SEARCH(Recherche!$C$7,H2195))),OR(Recherche!$C$8="",J2195=Recherche!$C$8),OR(Recherche!$C$9="",I2195=Recherche!$C$9),OR(Recherche!$C$10="",G2195&amp;""=Recherche!$C$10&amp;""),OR(Recherche!$C$11="",E2195=Recherche!$C$11),OR(Recherche!$C$12="",ISNUMBER(SEARCH(Recherche!$C$12,M2195&amp;" "&amp;F2195)))),1,0)</f>
        <v>8</v>
      </c>
    </row>
    <row r="2196" customFormat="false" ht="15" hidden="false" customHeight="false" outlineLevel="0" collapsed="false">
      <c r="A2196" s="19"/>
      <c r="B2196" s="19"/>
      <c r="C2196" s="19"/>
      <c r="D2196" s="19"/>
      <c r="E2196" s="22"/>
      <c r="F2196" s="19"/>
      <c r="G2196" s="26" t="str">
        <f aca="false">IF(D2196="","",IFERROR(VALUE(LEFT(D2196,FIND(" |",D2196&amp;" |")-1)),"?"))</f>
        <v/>
      </c>
      <c r="H2196" s="27" t="str">
        <f aca="false">IF(G2196="","",IF(G2196="?","⚠ pub inconnue",IFERROR(INDEX(Pubs!$B$2:$B$3001,MATCH(G2196,Pubs!$A$2:$A$3001,0))&amp;"","⚠ pub inconnue")))</f>
        <v/>
      </c>
      <c r="I2196" s="27" t="str">
        <f aca="false">IF(OR(G2196="",G2196="?"),"",IFERROR(INDEX(Pubs!$C$2:$C$3001,MATCH(G2196,Pubs!$A$2:$A$3001,0))&amp;"",""))</f>
        <v/>
      </c>
      <c r="J2196" s="27" t="str">
        <f aca="false">IF(OR(G2196="",G2196="?"),"",IFERROR(INDEX(Pubs!$G$2:$G$3001,MATCH(G2196,Pubs!$A$2:$A$3001,0))&amp;"",""))</f>
        <v/>
      </c>
      <c r="K2196" s="28" t="str">
        <f aca="false">IF(OR(G2196="",G2196="?"),"",IFERROR(INDEX(Pubs!$E$2:$E$3001,MATCH(G2196,Pubs!$A$2:$A$3001,0)),""))</f>
        <v/>
      </c>
      <c r="L2196" s="29" t="str">
        <f aca="false">IF(A2196="","",IFERROR(1/(1/INDEX(Numéros!$C$2:$C$3001,MATCH(A2196&amp;"|"&amp;B2196,Numéros!$F$2:$F$3001,0))),""))</f>
        <v/>
      </c>
      <c r="M2196" s="27" t="str">
        <f aca="false">IF(OR(G2196="",G2196="?"),"",IFERROR(INDEX(Pubs!$D$2:$D$3001,MATCH(G2196,Pubs!$A$2:$A$3001,0))&amp;"",""))</f>
        <v/>
      </c>
      <c r="N2196" s="27" t="n">
        <f aca="false">N(N2195)+IF(AND(A2196&lt;&gt;"",OR(Recherche!$C$4="",A2196=Recherche!$C$4),OR(Recherche!$C$5="",B2196&amp;""=Recherche!$C$5&amp;""),OR(Recherche!$C$6="",IFERROR(YEAR(L2196),0)=Recherche!$C$6),OR(Recherche!$C$7="",ISNUMBER(SEARCH(Recherche!$C$7,H2196))),OR(Recherche!$C$8="",J2196=Recherche!$C$8),OR(Recherche!$C$9="",I2196=Recherche!$C$9),OR(Recherche!$C$10="",G2196&amp;""=Recherche!$C$10&amp;""),OR(Recherche!$C$11="",E2196=Recherche!$C$11),OR(Recherche!$C$12="",ISNUMBER(SEARCH(Recherche!$C$12,M2196&amp;" "&amp;F2196)))),1,0)</f>
        <v>8</v>
      </c>
    </row>
    <row r="2197" customFormat="false" ht="15" hidden="false" customHeight="false" outlineLevel="0" collapsed="false">
      <c r="A2197" s="19"/>
      <c r="B2197" s="19"/>
      <c r="C2197" s="19"/>
      <c r="D2197" s="19"/>
      <c r="E2197" s="22"/>
      <c r="F2197" s="19"/>
      <c r="G2197" s="26" t="str">
        <f aca="false">IF(D2197="","",IFERROR(VALUE(LEFT(D2197,FIND(" |",D2197&amp;" |")-1)),"?"))</f>
        <v/>
      </c>
      <c r="H2197" s="27" t="str">
        <f aca="false">IF(G2197="","",IF(G2197="?","⚠ pub inconnue",IFERROR(INDEX(Pubs!$B$2:$B$3001,MATCH(G2197,Pubs!$A$2:$A$3001,0))&amp;"","⚠ pub inconnue")))</f>
        <v/>
      </c>
      <c r="I2197" s="27" t="str">
        <f aca="false">IF(OR(G2197="",G2197="?"),"",IFERROR(INDEX(Pubs!$C$2:$C$3001,MATCH(G2197,Pubs!$A$2:$A$3001,0))&amp;"",""))</f>
        <v/>
      </c>
      <c r="J2197" s="27" t="str">
        <f aca="false">IF(OR(G2197="",G2197="?"),"",IFERROR(INDEX(Pubs!$G$2:$G$3001,MATCH(G2197,Pubs!$A$2:$A$3001,0))&amp;"",""))</f>
        <v/>
      </c>
      <c r="K2197" s="28" t="str">
        <f aca="false">IF(OR(G2197="",G2197="?"),"",IFERROR(INDEX(Pubs!$E$2:$E$3001,MATCH(G2197,Pubs!$A$2:$A$3001,0)),""))</f>
        <v/>
      </c>
      <c r="L2197" s="29" t="str">
        <f aca="false">IF(A2197="","",IFERROR(1/(1/INDEX(Numéros!$C$2:$C$3001,MATCH(A2197&amp;"|"&amp;B2197,Numéros!$F$2:$F$3001,0))),""))</f>
        <v/>
      </c>
      <c r="M2197" s="27" t="str">
        <f aca="false">IF(OR(G2197="",G2197="?"),"",IFERROR(INDEX(Pubs!$D$2:$D$3001,MATCH(G2197,Pubs!$A$2:$A$3001,0))&amp;"",""))</f>
        <v/>
      </c>
      <c r="N2197" s="27" t="n">
        <f aca="false">N(N2196)+IF(AND(A2197&lt;&gt;"",OR(Recherche!$C$4="",A2197=Recherche!$C$4),OR(Recherche!$C$5="",B2197&amp;""=Recherche!$C$5&amp;""),OR(Recherche!$C$6="",IFERROR(YEAR(L2197),0)=Recherche!$C$6),OR(Recherche!$C$7="",ISNUMBER(SEARCH(Recherche!$C$7,H2197))),OR(Recherche!$C$8="",J2197=Recherche!$C$8),OR(Recherche!$C$9="",I2197=Recherche!$C$9),OR(Recherche!$C$10="",G2197&amp;""=Recherche!$C$10&amp;""),OR(Recherche!$C$11="",E2197=Recherche!$C$11),OR(Recherche!$C$12="",ISNUMBER(SEARCH(Recherche!$C$12,M2197&amp;" "&amp;F2197)))),1,0)</f>
        <v>8</v>
      </c>
    </row>
    <row r="2198" customFormat="false" ht="15" hidden="false" customHeight="false" outlineLevel="0" collapsed="false">
      <c r="A2198" s="19"/>
      <c r="B2198" s="19"/>
      <c r="C2198" s="19"/>
      <c r="D2198" s="19"/>
      <c r="E2198" s="22"/>
      <c r="F2198" s="19"/>
      <c r="G2198" s="26" t="str">
        <f aca="false">IF(D2198="","",IFERROR(VALUE(LEFT(D2198,FIND(" |",D2198&amp;" |")-1)),"?"))</f>
        <v/>
      </c>
      <c r="H2198" s="27" t="str">
        <f aca="false">IF(G2198="","",IF(G2198="?","⚠ pub inconnue",IFERROR(INDEX(Pubs!$B$2:$B$3001,MATCH(G2198,Pubs!$A$2:$A$3001,0))&amp;"","⚠ pub inconnue")))</f>
        <v/>
      </c>
      <c r="I2198" s="27" t="str">
        <f aca="false">IF(OR(G2198="",G2198="?"),"",IFERROR(INDEX(Pubs!$C$2:$C$3001,MATCH(G2198,Pubs!$A$2:$A$3001,0))&amp;"",""))</f>
        <v/>
      </c>
      <c r="J2198" s="27" t="str">
        <f aca="false">IF(OR(G2198="",G2198="?"),"",IFERROR(INDEX(Pubs!$G$2:$G$3001,MATCH(G2198,Pubs!$A$2:$A$3001,0))&amp;"",""))</f>
        <v/>
      </c>
      <c r="K2198" s="28" t="str">
        <f aca="false">IF(OR(G2198="",G2198="?"),"",IFERROR(INDEX(Pubs!$E$2:$E$3001,MATCH(G2198,Pubs!$A$2:$A$3001,0)),""))</f>
        <v/>
      </c>
      <c r="L2198" s="29" t="str">
        <f aca="false">IF(A2198="","",IFERROR(1/(1/INDEX(Numéros!$C$2:$C$3001,MATCH(A2198&amp;"|"&amp;B2198,Numéros!$F$2:$F$3001,0))),""))</f>
        <v/>
      </c>
      <c r="M2198" s="27" t="str">
        <f aca="false">IF(OR(G2198="",G2198="?"),"",IFERROR(INDEX(Pubs!$D$2:$D$3001,MATCH(G2198,Pubs!$A$2:$A$3001,0))&amp;"",""))</f>
        <v/>
      </c>
      <c r="N2198" s="27" t="n">
        <f aca="false">N(N2197)+IF(AND(A2198&lt;&gt;"",OR(Recherche!$C$4="",A2198=Recherche!$C$4),OR(Recherche!$C$5="",B2198&amp;""=Recherche!$C$5&amp;""),OR(Recherche!$C$6="",IFERROR(YEAR(L2198),0)=Recherche!$C$6),OR(Recherche!$C$7="",ISNUMBER(SEARCH(Recherche!$C$7,H2198))),OR(Recherche!$C$8="",J2198=Recherche!$C$8),OR(Recherche!$C$9="",I2198=Recherche!$C$9),OR(Recherche!$C$10="",G2198&amp;""=Recherche!$C$10&amp;""),OR(Recherche!$C$11="",E2198=Recherche!$C$11),OR(Recherche!$C$12="",ISNUMBER(SEARCH(Recherche!$C$12,M2198&amp;" "&amp;F2198)))),1,0)</f>
        <v>8</v>
      </c>
    </row>
    <row r="2199" customFormat="false" ht="15" hidden="false" customHeight="false" outlineLevel="0" collapsed="false">
      <c r="A2199" s="19"/>
      <c r="B2199" s="19"/>
      <c r="C2199" s="19"/>
      <c r="D2199" s="19"/>
      <c r="E2199" s="22"/>
      <c r="F2199" s="19"/>
      <c r="G2199" s="26" t="str">
        <f aca="false">IF(D2199="","",IFERROR(VALUE(LEFT(D2199,FIND(" |",D2199&amp;" |")-1)),"?"))</f>
        <v/>
      </c>
      <c r="H2199" s="27" t="str">
        <f aca="false">IF(G2199="","",IF(G2199="?","⚠ pub inconnue",IFERROR(INDEX(Pubs!$B$2:$B$3001,MATCH(G2199,Pubs!$A$2:$A$3001,0))&amp;"","⚠ pub inconnue")))</f>
        <v/>
      </c>
      <c r="I2199" s="27" t="str">
        <f aca="false">IF(OR(G2199="",G2199="?"),"",IFERROR(INDEX(Pubs!$C$2:$C$3001,MATCH(G2199,Pubs!$A$2:$A$3001,0))&amp;"",""))</f>
        <v/>
      </c>
      <c r="J2199" s="27" t="str">
        <f aca="false">IF(OR(G2199="",G2199="?"),"",IFERROR(INDEX(Pubs!$G$2:$G$3001,MATCH(G2199,Pubs!$A$2:$A$3001,0))&amp;"",""))</f>
        <v/>
      </c>
      <c r="K2199" s="28" t="str">
        <f aca="false">IF(OR(G2199="",G2199="?"),"",IFERROR(INDEX(Pubs!$E$2:$E$3001,MATCH(G2199,Pubs!$A$2:$A$3001,0)),""))</f>
        <v/>
      </c>
      <c r="L2199" s="29" t="str">
        <f aca="false">IF(A2199="","",IFERROR(1/(1/INDEX(Numéros!$C$2:$C$3001,MATCH(A2199&amp;"|"&amp;B2199,Numéros!$F$2:$F$3001,0))),""))</f>
        <v/>
      </c>
      <c r="M2199" s="27" t="str">
        <f aca="false">IF(OR(G2199="",G2199="?"),"",IFERROR(INDEX(Pubs!$D$2:$D$3001,MATCH(G2199,Pubs!$A$2:$A$3001,0))&amp;"",""))</f>
        <v/>
      </c>
      <c r="N2199" s="27" t="n">
        <f aca="false">N(N2198)+IF(AND(A2199&lt;&gt;"",OR(Recherche!$C$4="",A2199=Recherche!$C$4),OR(Recherche!$C$5="",B2199&amp;""=Recherche!$C$5&amp;""),OR(Recherche!$C$6="",IFERROR(YEAR(L2199),0)=Recherche!$C$6),OR(Recherche!$C$7="",ISNUMBER(SEARCH(Recherche!$C$7,H2199))),OR(Recherche!$C$8="",J2199=Recherche!$C$8),OR(Recherche!$C$9="",I2199=Recherche!$C$9),OR(Recherche!$C$10="",G2199&amp;""=Recherche!$C$10&amp;""),OR(Recherche!$C$11="",E2199=Recherche!$C$11),OR(Recherche!$C$12="",ISNUMBER(SEARCH(Recherche!$C$12,M2199&amp;" "&amp;F2199)))),1,0)</f>
        <v>8</v>
      </c>
    </row>
    <row r="2200" customFormat="false" ht="15" hidden="false" customHeight="false" outlineLevel="0" collapsed="false">
      <c r="A2200" s="19"/>
      <c r="B2200" s="19"/>
      <c r="C2200" s="19"/>
      <c r="D2200" s="19"/>
      <c r="E2200" s="22"/>
      <c r="F2200" s="19"/>
      <c r="G2200" s="26" t="str">
        <f aca="false">IF(D2200="","",IFERROR(VALUE(LEFT(D2200,FIND(" |",D2200&amp;" |")-1)),"?"))</f>
        <v/>
      </c>
      <c r="H2200" s="27" t="str">
        <f aca="false">IF(G2200="","",IF(G2200="?","⚠ pub inconnue",IFERROR(INDEX(Pubs!$B$2:$B$3001,MATCH(G2200,Pubs!$A$2:$A$3001,0))&amp;"","⚠ pub inconnue")))</f>
        <v/>
      </c>
      <c r="I2200" s="27" t="str">
        <f aca="false">IF(OR(G2200="",G2200="?"),"",IFERROR(INDEX(Pubs!$C$2:$C$3001,MATCH(G2200,Pubs!$A$2:$A$3001,0))&amp;"",""))</f>
        <v/>
      </c>
      <c r="J2200" s="27" t="str">
        <f aca="false">IF(OR(G2200="",G2200="?"),"",IFERROR(INDEX(Pubs!$G$2:$G$3001,MATCH(G2200,Pubs!$A$2:$A$3001,0))&amp;"",""))</f>
        <v/>
      </c>
      <c r="K2200" s="28" t="str">
        <f aca="false">IF(OR(G2200="",G2200="?"),"",IFERROR(INDEX(Pubs!$E$2:$E$3001,MATCH(G2200,Pubs!$A$2:$A$3001,0)),""))</f>
        <v/>
      </c>
      <c r="L2200" s="29" t="str">
        <f aca="false">IF(A2200="","",IFERROR(1/(1/INDEX(Numéros!$C$2:$C$3001,MATCH(A2200&amp;"|"&amp;B2200,Numéros!$F$2:$F$3001,0))),""))</f>
        <v/>
      </c>
      <c r="M2200" s="27" t="str">
        <f aca="false">IF(OR(G2200="",G2200="?"),"",IFERROR(INDEX(Pubs!$D$2:$D$3001,MATCH(G2200,Pubs!$A$2:$A$3001,0))&amp;"",""))</f>
        <v/>
      </c>
      <c r="N2200" s="27" t="n">
        <f aca="false">N(N2199)+IF(AND(A2200&lt;&gt;"",OR(Recherche!$C$4="",A2200=Recherche!$C$4),OR(Recherche!$C$5="",B2200&amp;""=Recherche!$C$5&amp;""),OR(Recherche!$C$6="",IFERROR(YEAR(L2200),0)=Recherche!$C$6),OR(Recherche!$C$7="",ISNUMBER(SEARCH(Recherche!$C$7,H2200))),OR(Recherche!$C$8="",J2200=Recherche!$C$8),OR(Recherche!$C$9="",I2200=Recherche!$C$9),OR(Recherche!$C$10="",G2200&amp;""=Recherche!$C$10&amp;""),OR(Recherche!$C$11="",E2200=Recherche!$C$11),OR(Recherche!$C$12="",ISNUMBER(SEARCH(Recherche!$C$12,M2200&amp;" "&amp;F2200)))),1,0)</f>
        <v>8</v>
      </c>
    </row>
    <row r="2201" customFormat="false" ht="15" hidden="false" customHeight="false" outlineLevel="0" collapsed="false">
      <c r="A2201" s="19"/>
      <c r="B2201" s="19"/>
      <c r="C2201" s="19"/>
      <c r="D2201" s="19"/>
      <c r="E2201" s="22"/>
      <c r="F2201" s="19"/>
      <c r="G2201" s="26" t="str">
        <f aca="false">IF(D2201="","",IFERROR(VALUE(LEFT(D2201,FIND(" |",D2201&amp;" |")-1)),"?"))</f>
        <v/>
      </c>
      <c r="H2201" s="27" t="str">
        <f aca="false">IF(G2201="","",IF(G2201="?","⚠ pub inconnue",IFERROR(INDEX(Pubs!$B$2:$B$3001,MATCH(G2201,Pubs!$A$2:$A$3001,0))&amp;"","⚠ pub inconnue")))</f>
        <v/>
      </c>
      <c r="I2201" s="27" t="str">
        <f aca="false">IF(OR(G2201="",G2201="?"),"",IFERROR(INDEX(Pubs!$C$2:$C$3001,MATCH(G2201,Pubs!$A$2:$A$3001,0))&amp;"",""))</f>
        <v/>
      </c>
      <c r="J2201" s="27" t="str">
        <f aca="false">IF(OR(G2201="",G2201="?"),"",IFERROR(INDEX(Pubs!$G$2:$G$3001,MATCH(G2201,Pubs!$A$2:$A$3001,0))&amp;"",""))</f>
        <v/>
      </c>
      <c r="K2201" s="28" t="str">
        <f aca="false">IF(OR(G2201="",G2201="?"),"",IFERROR(INDEX(Pubs!$E$2:$E$3001,MATCH(G2201,Pubs!$A$2:$A$3001,0)),""))</f>
        <v/>
      </c>
      <c r="L2201" s="29" t="str">
        <f aca="false">IF(A2201="","",IFERROR(1/(1/INDEX(Numéros!$C$2:$C$3001,MATCH(A2201&amp;"|"&amp;B2201,Numéros!$F$2:$F$3001,0))),""))</f>
        <v/>
      </c>
      <c r="M2201" s="27" t="str">
        <f aca="false">IF(OR(G2201="",G2201="?"),"",IFERROR(INDEX(Pubs!$D$2:$D$3001,MATCH(G2201,Pubs!$A$2:$A$3001,0))&amp;"",""))</f>
        <v/>
      </c>
      <c r="N2201" s="27" t="n">
        <f aca="false">N(N2200)+IF(AND(A2201&lt;&gt;"",OR(Recherche!$C$4="",A2201=Recherche!$C$4),OR(Recherche!$C$5="",B2201&amp;""=Recherche!$C$5&amp;""),OR(Recherche!$C$6="",IFERROR(YEAR(L2201),0)=Recherche!$C$6),OR(Recherche!$C$7="",ISNUMBER(SEARCH(Recherche!$C$7,H2201))),OR(Recherche!$C$8="",J2201=Recherche!$C$8),OR(Recherche!$C$9="",I2201=Recherche!$C$9),OR(Recherche!$C$10="",G2201&amp;""=Recherche!$C$10&amp;""),OR(Recherche!$C$11="",E2201=Recherche!$C$11),OR(Recherche!$C$12="",ISNUMBER(SEARCH(Recherche!$C$12,M2201&amp;" "&amp;F2201)))),1,0)</f>
        <v>8</v>
      </c>
    </row>
    <row r="2202" customFormat="false" ht="15" hidden="false" customHeight="false" outlineLevel="0" collapsed="false">
      <c r="A2202" s="19"/>
      <c r="B2202" s="19"/>
      <c r="C2202" s="19"/>
      <c r="D2202" s="19"/>
      <c r="E2202" s="22"/>
      <c r="F2202" s="19"/>
      <c r="G2202" s="26" t="str">
        <f aca="false">IF(D2202="","",IFERROR(VALUE(LEFT(D2202,FIND(" |",D2202&amp;" |")-1)),"?"))</f>
        <v/>
      </c>
      <c r="H2202" s="27" t="str">
        <f aca="false">IF(G2202="","",IF(G2202="?","⚠ pub inconnue",IFERROR(INDEX(Pubs!$B$2:$B$3001,MATCH(G2202,Pubs!$A$2:$A$3001,0))&amp;"","⚠ pub inconnue")))</f>
        <v/>
      </c>
      <c r="I2202" s="27" t="str">
        <f aca="false">IF(OR(G2202="",G2202="?"),"",IFERROR(INDEX(Pubs!$C$2:$C$3001,MATCH(G2202,Pubs!$A$2:$A$3001,0))&amp;"",""))</f>
        <v/>
      </c>
      <c r="J2202" s="27" t="str">
        <f aca="false">IF(OR(G2202="",G2202="?"),"",IFERROR(INDEX(Pubs!$G$2:$G$3001,MATCH(G2202,Pubs!$A$2:$A$3001,0))&amp;"",""))</f>
        <v/>
      </c>
      <c r="K2202" s="28" t="str">
        <f aca="false">IF(OR(G2202="",G2202="?"),"",IFERROR(INDEX(Pubs!$E$2:$E$3001,MATCH(G2202,Pubs!$A$2:$A$3001,0)),""))</f>
        <v/>
      </c>
      <c r="L2202" s="29" t="str">
        <f aca="false">IF(A2202="","",IFERROR(1/(1/INDEX(Numéros!$C$2:$C$3001,MATCH(A2202&amp;"|"&amp;B2202,Numéros!$F$2:$F$3001,0))),""))</f>
        <v/>
      </c>
      <c r="M2202" s="27" t="str">
        <f aca="false">IF(OR(G2202="",G2202="?"),"",IFERROR(INDEX(Pubs!$D$2:$D$3001,MATCH(G2202,Pubs!$A$2:$A$3001,0))&amp;"",""))</f>
        <v/>
      </c>
      <c r="N2202" s="27" t="n">
        <f aca="false">N(N2201)+IF(AND(A2202&lt;&gt;"",OR(Recherche!$C$4="",A2202=Recherche!$C$4),OR(Recherche!$C$5="",B2202&amp;""=Recherche!$C$5&amp;""),OR(Recherche!$C$6="",IFERROR(YEAR(L2202),0)=Recherche!$C$6),OR(Recherche!$C$7="",ISNUMBER(SEARCH(Recherche!$C$7,H2202))),OR(Recherche!$C$8="",J2202=Recherche!$C$8),OR(Recherche!$C$9="",I2202=Recherche!$C$9),OR(Recherche!$C$10="",G2202&amp;""=Recherche!$C$10&amp;""),OR(Recherche!$C$11="",E2202=Recherche!$C$11),OR(Recherche!$C$12="",ISNUMBER(SEARCH(Recherche!$C$12,M2202&amp;" "&amp;F2202)))),1,0)</f>
        <v>8</v>
      </c>
    </row>
    <row r="2203" customFormat="false" ht="15" hidden="false" customHeight="false" outlineLevel="0" collapsed="false">
      <c r="A2203" s="19"/>
      <c r="B2203" s="19"/>
      <c r="C2203" s="19"/>
      <c r="D2203" s="19"/>
      <c r="E2203" s="22"/>
      <c r="F2203" s="19"/>
      <c r="G2203" s="26" t="str">
        <f aca="false">IF(D2203="","",IFERROR(VALUE(LEFT(D2203,FIND(" |",D2203&amp;" |")-1)),"?"))</f>
        <v/>
      </c>
      <c r="H2203" s="27" t="str">
        <f aca="false">IF(G2203="","",IF(G2203="?","⚠ pub inconnue",IFERROR(INDEX(Pubs!$B$2:$B$3001,MATCH(G2203,Pubs!$A$2:$A$3001,0))&amp;"","⚠ pub inconnue")))</f>
        <v/>
      </c>
      <c r="I2203" s="27" t="str">
        <f aca="false">IF(OR(G2203="",G2203="?"),"",IFERROR(INDEX(Pubs!$C$2:$C$3001,MATCH(G2203,Pubs!$A$2:$A$3001,0))&amp;"",""))</f>
        <v/>
      </c>
      <c r="J2203" s="27" t="str">
        <f aca="false">IF(OR(G2203="",G2203="?"),"",IFERROR(INDEX(Pubs!$G$2:$G$3001,MATCH(G2203,Pubs!$A$2:$A$3001,0))&amp;"",""))</f>
        <v/>
      </c>
      <c r="K2203" s="28" t="str">
        <f aca="false">IF(OR(G2203="",G2203="?"),"",IFERROR(INDEX(Pubs!$E$2:$E$3001,MATCH(G2203,Pubs!$A$2:$A$3001,0)),""))</f>
        <v/>
      </c>
      <c r="L2203" s="29" t="str">
        <f aca="false">IF(A2203="","",IFERROR(1/(1/INDEX(Numéros!$C$2:$C$3001,MATCH(A2203&amp;"|"&amp;B2203,Numéros!$F$2:$F$3001,0))),""))</f>
        <v/>
      </c>
      <c r="M2203" s="27" t="str">
        <f aca="false">IF(OR(G2203="",G2203="?"),"",IFERROR(INDEX(Pubs!$D$2:$D$3001,MATCH(G2203,Pubs!$A$2:$A$3001,0))&amp;"",""))</f>
        <v/>
      </c>
      <c r="N2203" s="27" t="n">
        <f aca="false">N(N2202)+IF(AND(A2203&lt;&gt;"",OR(Recherche!$C$4="",A2203=Recherche!$C$4),OR(Recherche!$C$5="",B2203&amp;""=Recherche!$C$5&amp;""),OR(Recherche!$C$6="",IFERROR(YEAR(L2203),0)=Recherche!$C$6),OR(Recherche!$C$7="",ISNUMBER(SEARCH(Recherche!$C$7,H2203))),OR(Recherche!$C$8="",J2203=Recherche!$C$8),OR(Recherche!$C$9="",I2203=Recherche!$C$9),OR(Recherche!$C$10="",G2203&amp;""=Recherche!$C$10&amp;""),OR(Recherche!$C$11="",E2203=Recherche!$C$11),OR(Recherche!$C$12="",ISNUMBER(SEARCH(Recherche!$C$12,M2203&amp;" "&amp;F2203)))),1,0)</f>
        <v>8</v>
      </c>
    </row>
    <row r="2204" customFormat="false" ht="15" hidden="false" customHeight="false" outlineLevel="0" collapsed="false">
      <c r="A2204" s="19"/>
      <c r="B2204" s="19"/>
      <c r="C2204" s="19"/>
      <c r="D2204" s="19"/>
      <c r="E2204" s="22"/>
      <c r="F2204" s="19"/>
      <c r="G2204" s="26" t="str">
        <f aca="false">IF(D2204="","",IFERROR(VALUE(LEFT(D2204,FIND(" |",D2204&amp;" |")-1)),"?"))</f>
        <v/>
      </c>
      <c r="H2204" s="27" t="str">
        <f aca="false">IF(G2204="","",IF(G2204="?","⚠ pub inconnue",IFERROR(INDEX(Pubs!$B$2:$B$3001,MATCH(G2204,Pubs!$A$2:$A$3001,0))&amp;"","⚠ pub inconnue")))</f>
        <v/>
      </c>
      <c r="I2204" s="27" t="str">
        <f aca="false">IF(OR(G2204="",G2204="?"),"",IFERROR(INDEX(Pubs!$C$2:$C$3001,MATCH(G2204,Pubs!$A$2:$A$3001,0))&amp;"",""))</f>
        <v/>
      </c>
      <c r="J2204" s="27" t="str">
        <f aca="false">IF(OR(G2204="",G2204="?"),"",IFERROR(INDEX(Pubs!$G$2:$G$3001,MATCH(G2204,Pubs!$A$2:$A$3001,0))&amp;"",""))</f>
        <v/>
      </c>
      <c r="K2204" s="28" t="str">
        <f aca="false">IF(OR(G2204="",G2204="?"),"",IFERROR(INDEX(Pubs!$E$2:$E$3001,MATCH(G2204,Pubs!$A$2:$A$3001,0)),""))</f>
        <v/>
      </c>
      <c r="L2204" s="29" t="str">
        <f aca="false">IF(A2204="","",IFERROR(1/(1/INDEX(Numéros!$C$2:$C$3001,MATCH(A2204&amp;"|"&amp;B2204,Numéros!$F$2:$F$3001,0))),""))</f>
        <v/>
      </c>
      <c r="M2204" s="27" t="str">
        <f aca="false">IF(OR(G2204="",G2204="?"),"",IFERROR(INDEX(Pubs!$D$2:$D$3001,MATCH(G2204,Pubs!$A$2:$A$3001,0))&amp;"",""))</f>
        <v/>
      </c>
      <c r="N2204" s="27" t="n">
        <f aca="false">N(N2203)+IF(AND(A2204&lt;&gt;"",OR(Recherche!$C$4="",A2204=Recherche!$C$4),OR(Recherche!$C$5="",B2204&amp;""=Recherche!$C$5&amp;""),OR(Recherche!$C$6="",IFERROR(YEAR(L2204),0)=Recherche!$C$6),OR(Recherche!$C$7="",ISNUMBER(SEARCH(Recherche!$C$7,H2204))),OR(Recherche!$C$8="",J2204=Recherche!$C$8),OR(Recherche!$C$9="",I2204=Recherche!$C$9),OR(Recherche!$C$10="",G2204&amp;""=Recherche!$C$10&amp;""),OR(Recherche!$C$11="",E2204=Recherche!$C$11),OR(Recherche!$C$12="",ISNUMBER(SEARCH(Recherche!$C$12,M2204&amp;" "&amp;F2204)))),1,0)</f>
        <v>8</v>
      </c>
    </row>
    <row r="2205" customFormat="false" ht="15" hidden="false" customHeight="false" outlineLevel="0" collapsed="false">
      <c r="A2205" s="19"/>
      <c r="B2205" s="19"/>
      <c r="C2205" s="19"/>
      <c r="D2205" s="19"/>
      <c r="E2205" s="22"/>
      <c r="F2205" s="19"/>
      <c r="G2205" s="26" t="str">
        <f aca="false">IF(D2205="","",IFERROR(VALUE(LEFT(D2205,FIND(" |",D2205&amp;" |")-1)),"?"))</f>
        <v/>
      </c>
      <c r="H2205" s="27" t="str">
        <f aca="false">IF(G2205="","",IF(G2205="?","⚠ pub inconnue",IFERROR(INDEX(Pubs!$B$2:$B$3001,MATCH(G2205,Pubs!$A$2:$A$3001,0))&amp;"","⚠ pub inconnue")))</f>
        <v/>
      </c>
      <c r="I2205" s="27" t="str">
        <f aca="false">IF(OR(G2205="",G2205="?"),"",IFERROR(INDEX(Pubs!$C$2:$C$3001,MATCH(G2205,Pubs!$A$2:$A$3001,0))&amp;"",""))</f>
        <v/>
      </c>
      <c r="J2205" s="27" t="str">
        <f aca="false">IF(OR(G2205="",G2205="?"),"",IFERROR(INDEX(Pubs!$G$2:$G$3001,MATCH(G2205,Pubs!$A$2:$A$3001,0))&amp;"",""))</f>
        <v/>
      </c>
      <c r="K2205" s="28" t="str">
        <f aca="false">IF(OR(G2205="",G2205="?"),"",IFERROR(INDEX(Pubs!$E$2:$E$3001,MATCH(G2205,Pubs!$A$2:$A$3001,0)),""))</f>
        <v/>
      </c>
      <c r="L2205" s="29" t="str">
        <f aca="false">IF(A2205="","",IFERROR(1/(1/INDEX(Numéros!$C$2:$C$3001,MATCH(A2205&amp;"|"&amp;B2205,Numéros!$F$2:$F$3001,0))),""))</f>
        <v/>
      </c>
      <c r="M2205" s="27" t="str">
        <f aca="false">IF(OR(G2205="",G2205="?"),"",IFERROR(INDEX(Pubs!$D$2:$D$3001,MATCH(G2205,Pubs!$A$2:$A$3001,0))&amp;"",""))</f>
        <v/>
      </c>
      <c r="N2205" s="27" t="n">
        <f aca="false">N(N2204)+IF(AND(A2205&lt;&gt;"",OR(Recherche!$C$4="",A2205=Recherche!$C$4),OR(Recherche!$C$5="",B2205&amp;""=Recherche!$C$5&amp;""),OR(Recherche!$C$6="",IFERROR(YEAR(L2205),0)=Recherche!$C$6),OR(Recherche!$C$7="",ISNUMBER(SEARCH(Recherche!$C$7,H2205))),OR(Recherche!$C$8="",J2205=Recherche!$C$8),OR(Recherche!$C$9="",I2205=Recherche!$C$9),OR(Recherche!$C$10="",G2205&amp;""=Recherche!$C$10&amp;""),OR(Recherche!$C$11="",E2205=Recherche!$C$11),OR(Recherche!$C$12="",ISNUMBER(SEARCH(Recherche!$C$12,M2205&amp;" "&amp;F2205)))),1,0)</f>
        <v>8</v>
      </c>
    </row>
    <row r="2206" customFormat="false" ht="15" hidden="false" customHeight="false" outlineLevel="0" collapsed="false">
      <c r="A2206" s="19"/>
      <c r="B2206" s="19"/>
      <c r="C2206" s="19"/>
      <c r="D2206" s="19"/>
      <c r="E2206" s="22"/>
      <c r="F2206" s="19"/>
      <c r="G2206" s="26" t="str">
        <f aca="false">IF(D2206="","",IFERROR(VALUE(LEFT(D2206,FIND(" |",D2206&amp;" |")-1)),"?"))</f>
        <v/>
      </c>
      <c r="H2206" s="27" t="str">
        <f aca="false">IF(G2206="","",IF(G2206="?","⚠ pub inconnue",IFERROR(INDEX(Pubs!$B$2:$B$3001,MATCH(G2206,Pubs!$A$2:$A$3001,0))&amp;"","⚠ pub inconnue")))</f>
        <v/>
      </c>
      <c r="I2206" s="27" t="str">
        <f aca="false">IF(OR(G2206="",G2206="?"),"",IFERROR(INDEX(Pubs!$C$2:$C$3001,MATCH(G2206,Pubs!$A$2:$A$3001,0))&amp;"",""))</f>
        <v/>
      </c>
      <c r="J2206" s="27" t="str">
        <f aca="false">IF(OR(G2206="",G2206="?"),"",IFERROR(INDEX(Pubs!$G$2:$G$3001,MATCH(G2206,Pubs!$A$2:$A$3001,0))&amp;"",""))</f>
        <v/>
      </c>
      <c r="K2206" s="28" t="str">
        <f aca="false">IF(OR(G2206="",G2206="?"),"",IFERROR(INDEX(Pubs!$E$2:$E$3001,MATCH(G2206,Pubs!$A$2:$A$3001,0)),""))</f>
        <v/>
      </c>
      <c r="L2206" s="29" t="str">
        <f aca="false">IF(A2206="","",IFERROR(1/(1/INDEX(Numéros!$C$2:$C$3001,MATCH(A2206&amp;"|"&amp;B2206,Numéros!$F$2:$F$3001,0))),""))</f>
        <v/>
      </c>
      <c r="M2206" s="27" t="str">
        <f aca="false">IF(OR(G2206="",G2206="?"),"",IFERROR(INDEX(Pubs!$D$2:$D$3001,MATCH(G2206,Pubs!$A$2:$A$3001,0))&amp;"",""))</f>
        <v/>
      </c>
      <c r="N2206" s="27" t="n">
        <f aca="false">N(N2205)+IF(AND(A2206&lt;&gt;"",OR(Recherche!$C$4="",A2206=Recherche!$C$4),OR(Recherche!$C$5="",B2206&amp;""=Recherche!$C$5&amp;""),OR(Recherche!$C$6="",IFERROR(YEAR(L2206),0)=Recherche!$C$6),OR(Recherche!$C$7="",ISNUMBER(SEARCH(Recherche!$C$7,H2206))),OR(Recherche!$C$8="",J2206=Recherche!$C$8),OR(Recherche!$C$9="",I2206=Recherche!$C$9),OR(Recherche!$C$10="",G2206&amp;""=Recherche!$C$10&amp;""),OR(Recherche!$C$11="",E2206=Recherche!$C$11),OR(Recherche!$C$12="",ISNUMBER(SEARCH(Recherche!$C$12,M2206&amp;" "&amp;F2206)))),1,0)</f>
        <v>8</v>
      </c>
    </row>
    <row r="2207" customFormat="false" ht="15" hidden="false" customHeight="false" outlineLevel="0" collapsed="false">
      <c r="A2207" s="19"/>
      <c r="B2207" s="19"/>
      <c r="C2207" s="19"/>
      <c r="D2207" s="19"/>
      <c r="E2207" s="22"/>
      <c r="F2207" s="19"/>
      <c r="G2207" s="26" t="str">
        <f aca="false">IF(D2207="","",IFERROR(VALUE(LEFT(D2207,FIND(" |",D2207&amp;" |")-1)),"?"))</f>
        <v/>
      </c>
      <c r="H2207" s="27" t="str">
        <f aca="false">IF(G2207="","",IF(G2207="?","⚠ pub inconnue",IFERROR(INDEX(Pubs!$B$2:$B$3001,MATCH(G2207,Pubs!$A$2:$A$3001,0))&amp;"","⚠ pub inconnue")))</f>
        <v/>
      </c>
      <c r="I2207" s="27" t="str">
        <f aca="false">IF(OR(G2207="",G2207="?"),"",IFERROR(INDEX(Pubs!$C$2:$C$3001,MATCH(G2207,Pubs!$A$2:$A$3001,0))&amp;"",""))</f>
        <v/>
      </c>
      <c r="J2207" s="27" t="str">
        <f aca="false">IF(OR(G2207="",G2207="?"),"",IFERROR(INDEX(Pubs!$G$2:$G$3001,MATCH(G2207,Pubs!$A$2:$A$3001,0))&amp;"",""))</f>
        <v/>
      </c>
      <c r="K2207" s="28" t="str">
        <f aca="false">IF(OR(G2207="",G2207="?"),"",IFERROR(INDEX(Pubs!$E$2:$E$3001,MATCH(G2207,Pubs!$A$2:$A$3001,0)),""))</f>
        <v/>
      </c>
      <c r="L2207" s="29" t="str">
        <f aca="false">IF(A2207="","",IFERROR(1/(1/INDEX(Numéros!$C$2:$C$3001,MATCH(A2207&amp;"|"&amp;B2207,Numéros!$F$2:$F$3001,0))),""))</f>
        <v/>
      </c>
      <c r="M2207" s="27" t="str">
        <f aca="false">IF(OR(G2207="",G2207="?"),"",IFERROR(INDEX(Pubs!$D$2:$D$3001,MATCH(G2207,Pubs!$A$2:$A$3001,0))&amp;"",""))</f>
        <v/>
      </c>
      <c r="N2207" s="27" t="n">
        <f aca="false">N(N2206)+IF(AND(A2207&lt;&gt;"",OR(Recherche!$C$4="",A2207=Recherche!$C$4),OR(Recherche!$C$5="",B2207&amp;""=Recherche!$C$5&amp;""),OR(Recherche!$C$6="",IFERROR(YEAR(L2207),0)=Recherche!$C$6),OR(Recherche!$C$7="",ISNUMBER(SEARCH(Recherche!$C$7,H2207))),OR(Recherche!$C$8="",J2207=Recherche!$C$8),OR(Recherche!$C$9="",I2207=Recherche!$C$9),OR(Recherche!$C$10="",G2207&amp;""=Recherche!$C$10&amp;""),OR(Recherche!$C$11="",E2207=Recherche!$C$11),OR(Recherche!$C$12="",ISNUMBER(SEARCH(Recherche!$C$12,M2207&amp;" "&amp;F2207)))),1,0)</f>
        <v>8</v>
      </c>
    </row>
    <row r="2208" customFormat="false" ht="15" hidden="false" customHeight="false" outlineLevel="0" collapsed="false">
      <c r="A2208" s="19"/>
      <c r="B2208" s="19"/>
      <c r="C2208" s="19"/>
      <c r="D2208" s="19"/>
      <c r="E2208" s="22"/>
      <c r="F2208" s="19"/>
      <c r="G2208" s="26" t="str">
        <f aca="false">IF(D2208="","",IFERROR(VALUE(LEFT(D2208,FIND(" |",D2208&amp;" |")-1)),"?"))</f>
        <v/>
      </c>
      <c r="H2208" s="27" t="str">
        <f aca="false">IF(G2208="","",IF(G2208="?","⚠ pub inconnue",IFERROR(INDEX(Pubs!$B$2:$B$3001,MATCH(G2208,Pubs!$A$2:$A$3001,0))&amp;"","⚠ pub inconnue")))</f>
        <v/>
      </c>
      <c r="I2208" s="27" t="str">
        <f aca="false">IF(OR(G2208="",G2208="?"),"",IFERROR(INDEX(Pubs!$C$2:$C$3001,MATCH(G2208,Pubs!$A$2:$A$3001,0))&amp;"",""))</f>
        <v/>
      </c>
      <c r="J2208" s="27" t="str">
        <f aca="false">IF(OR(G2208="",G2208="?"),"",IFERROR(INDEX(Pubs!$G$2:$G$3001,MATCH(G2208,Pubs!$A$2:$A$3001,0))&amp;"",""))</f>
        <v/>
      </c>
      <c r="K2208" s="28" t="str">
        <f aca="false">IF(OR(G2208="",G2208="?"),"",IFERROR(INDEX(Pubs!$E$2:$E$3001,MATCH(G2208,Pubs!$A$2:$A$3001,0)),""))</f>
        <v/>
      </c>
      <c r="L2208" s="29" t="str">
        <f aca="false">IF(A2208="","",IFERROR(1/(1/INDEX(Numéros!$C$2:$C$3001,MATCH(A2208&amp;"|"&amp;B2208,Numéros!$F$2:$F$3001,0))),""))</f>
        <v/>
      </c>
      <c r="M2208" s="27" t="str">
        <f aca="false">IF(OR(G2208="",G2208="?"),"",IFERROR(INDEX(Pubs!$D$2:$D$3001,MATCH(G2208,Pubs!$A$2:$A$3001,0))&amp;"",""))</f>
        <v/>
      </c>
      <c r="N2208" s="27" t="n">
        <f aca="false">N(N2207)+IF(AND(A2208&lt;&gt;"",OR(Recherche!$C$4="",A2208=Recherche!$C$4),OR(Recherche!$C$5="",B2208&amp;""=Recherche!$C$5&amp;""),OR(Recherche!$C$6="",IFERROR(YEAR(L2208),0)=Recherche!$C$6),OR(Recherche!$C$7="",ISNUMBER(SEARCH(Recherche!$C$7,H2208))),OR(Recherche!$C$8="",J2208=Recherche!$C$8),OR(Recherche!$C$9="",I2208=Recherche!$C$9),OR(Recherche!$C$10="",G2208&amp;""=Recherche!$C$10&amp;""),OR(Recherche!$C$11="",E2208=Recherche!$C$11),OR(Recherche!$C$12="",ISNUMBER(SEARCH(Recherche!$C$12,M2208&amp;" "&amp;F2208)))),1,0)</f>
        <v>8</v>
      </c>
    </row>
    <row r="2209" customFormat="false" ht="15" hidden="false" customHeight="false" outlineLevel="0" collapsed="false">
      <c r="A2209" s="19"/>
      <c r="B2209" s="19"/>
      <c r="C2209" s="19"/>
      <c r="D2209" s="19"/>
      <c r="E2209" s="22"/>
      <c r="F2209" s="19"/>
      <c r="G2209" s="26" t="str">
        <f aca="false">IF(D2209="","",IFERROR(VALUE(LEFT(D2209,FIND(" |",D2209&amp;" |")-1)),"?"))</f>
        <v/>
      </c>
      <c r="H2209" s="27" t="str">
        <f aca="false">IF(G2209="","",IF(G2209="?","⚠ pub inconnue",IFERROR(INDEX(Pubs!$B$2:$B$3001,MATCH(G2209,Pubs!$A$2:$A$3001,0))&amp;"","⚠ pub inconnue")))</f>
        <v/>
      </c>
      <c r="I2209" s="27" t="str">
        <f aca="false">IF(OR(G2209="",G2209="?"),"",IFERROR(INDEX(Pubs!$C$2:$C$3001,MATCH(G2209,Pubs!$A$2:$A$3001,0))&amp;"",""))</f>
        <v/>
      </c>
      <c r="J2209" s="27" t="str">
        <f aca="false">IF(OR(G2209="",G2209="?"),"",IFERROR(INDEX(Pubs!$G$2:$G$3001,MATCH(G2209,Pubs!$A$2:$A$3001,0))&amp;"",""))</f>
        <v/>
      </c>
      <c r="K2209" s="28" t="str">
        <f aca="false">IF(OR(G2209="",G2209="?"),"",IFERROR(INDEX(Pubs!$E$2:$E$3001,MATCH(G2209,Pubs!$A$2:$A$3001,0)),""))</f>
        <v/>
      </c>
      <c r="L2209" s="29" t="str">
        <f aca="false">IF(A2209="","",IFERROR(1/(1/INDEX(Numéros!$C$2:$C$3001,MATCH(A2209&amp;"|"&amp;B2209,Numéros!$F$2:$F$3001,0))),""))</f>
        <v/>
      </c>
      <c r="M2209" s="27" t="str">
        <f aca="false">IF(OR(G2209="",G2209="?"),"",IFERROR(INDEX(Pubs!$D$2:$D$3001,MATCH(G2209,Pubs!$A$2:$A$3001,0))&amp;"",""))</f>
        <v/>
      </c>
      <c r="N2209" s="27" t="n">
        <f aca="false">N(N2208)+IF(AND(A2209&lt;&gt;"",OR(Recherche!$C$4="",A2209=Recherche!$C$4),OR(Recherche!$C$5="",B2209&amp;""=Recherche!$C$5&amp;""),OR(Recherche!$C$6="",IFERROR(YEAR(L2209),0)=Recherche!$C$6),OR(Recherche!$C$7="",ISNUMBER(SEARCH(Recherche!$C$7,H2209))),OR(Recherche!$C$8="",J2209=Recherche!$C$8),OR(Recherche!$C$9="",I2209=Recherche!$C$9),OR(Recherche!$C$10="",G2209&amp;""=Recherche!$C$10&amp;""),OR(Recherche!$C$11="",E2209=Recherche!$C$11),OR(Recherche!$C$12="",ISNUMBER(SEARCH(Recherche!$C$12,M2209&amp;" "&amp;F2209)))),1,0)</f>
        <v>8</v>
      </c>
    </row>
    <row r="2210" customFormat="false" ht="15" hidden="false" customHeight="false" outlineLevel="0" collapsed="false">
      <c r="A2210" s="19"/>
      <c r="B2210" s="19"/>
      <c r="C2210" s="19"/>
      <c r="D2210" s="19"/>
      <c r="E2210" s="22"/>
      <c r="F2210" s="19"/>
      <c r="G2210" s="26" t="str">
        <f aca="false">IF(D2210="","",IFERROR(VALUE(LEFT(D2210,FIND(" |",D2210&amp;" |")-1)),"?"))</f>
        <v/>
      </c>
      <c r="H2210" s="27" t="str">
        <f aca="false">IF(G2210="","",IF(G2210="?","⚠ pub inconnue",IFERROR(INDEX(Pubs!$B$2:$B$3001,MATCH(G2210,Pubs!$A$2:$A$3001,0))&amp;"","⚠ pub inconnue")))</f>
        <v/>
      </c>
      <c r="I2210" s="27" t="str">
        <f aca="false">IF(OR(G2210="",G2210="?"),"",IFERROR(INDEX(Pubs!$C$2:$C$3001,MATCH(G2210,Pubs!$A$2:$A$3001,0))&amp;"",""))</f>
        <v/>
      </c>
      <c r="J2210" s="27" t="str">
        <f aca="false">IF(OR(G2210="",G2210="?"),"",IFERROR(INDEX(Pubs!$G$2:$G$3001,MATCH(G2210,Pubs!$A$2:$A$3001,0))&amp;"",""))</f>
        <v/>
      </c>
      <c r="K2210" s="28" t="str">
        <f aca="false">IF(OR(G2210="",G2210="?"),"",IFERROR(INDEX(Pubs!$E$2:$E$3001,MATCH(G2210,Pubs!$A$2:$A$3001,0)),""))</f>
        <v/>
      </c>
      <c r="L2210" s="29" t="str">
        <f aca="false">IF(A2210="","",IFERROR(1/(1/INDEX(Numéros!$C$2:$C$3001,MATCH(A2210&amp;"|"&amp;B2210,Numéros!$F$2:$F$3001,0))),""))</f>
        <v/>
      </c>
      <c r="M2210" s="27" t="str">
        <f aca="false">IF(OR(G2210="",G2210="?"),"",IFERROR(INDEX(Pubs!$D$2:$D$3001,MATCH(G2210,Pubs!$A$2:$A$3001,0))&amp;"",""))</f>
        <v/>
      </c>
      <c r="N2210" s="27" t="n">
        <f aca="false">N(N2209)+IF(AND(A2210&lt;&gt;"",OR(Recherche!$C$4="",A2210=Recherche!$C$4),OR(Recherche!$C$5="",B2210&amp;""=Recherche!$C$5&amp;""),OR(Recherche!$C$6="",IFERROR(YEAR(L2210),0)=Recherche!$C$6),OR(Recherche!$C$7="",ISNUMBER(SEARCH(Recherche!$C$7,H2210))),OR(Recherche!$C$8="",J2210=Recherche!$C$8),OR(Recherche!$C$9="",I2210=Recherche!$C$9),OR(Recherche!$C$10="",G2210&amp;""=Recherche!$C$10&amp;""),OR(Recherche!$C$11="",E2210=Recherche!$C$11),OR(Recherche!$C$12="",ISNUMBER(SEARCH(Recherche!$C$12,M2210&amp;" "&amp;F2210)))),1,0)</f>
        <v>8</v>
      </c>
    </row>
    <row r="2211" customFormat="false" ht="15" hidden="false" customHeight="false" outlineLevel="0" collapsed="false">
      <c r="A2211" s="19"/>
      <c r="B2211" s="19"/>
      <c r="C2211" s="19"/>
      <c r="D2211" s="19"/>
      <c r="E2211" s="22"/>
      <c r="F2211" s="19"/>
      <c r="G2211" s="26" t="str">
        <f aca="false">IF(D2211="","",IFERROR(VALUE(LEFT(D2211,FIND(" |",D2211&amp;" |")-1)),"?"))</f>
        <v/>
      </c>
      <c r="H2211" s="27" t="str">
        <f aca="false">IF(G2211="","",IF(G2211="?","⚠ pub inconnue",IFERROR(INDEX(Pubs!$B$2:$B$3001,MATCH(G2211,Pubs!$A$2:$A$3001,0))&amp;"","⚠ pub inconnue")))</f>
        <v/>
      </c>
      <c r="I2211" s="27" t="str">
        <f aca="false">IF(OR(G2211="",G2211="?"),"",IFERROR(INDEX(Pubs!$C$2:$C$3001,MATCH(G2211,Pubs!$A$2:$A$3001,0))&amp;"",""))</f>
        <v/>
      </c>
      <c r="J2211" s="27" t="str">
        <f aca="false">IF(OR(G2211="",G2211="?"),"",IFERROR(INDEX(Pubs!$G$2:$G$3001,MATCH(G2211,Pubs!$A$2:$A$3001,0))&amp;"",""))</f>
        <v/>
      </c>
      <c r="K2211" s="28" t="str">
        <f aca="false">IF(OR(G2211="",G2211="?"),"",IFERROR(INDEX(Pubs!$E$2:$E$3001,MATCH(G2211,Pubs!$A$2:$A$3001,0)),""))</f>
        <v/>
      </c>
      <c r="L2211" s="29" t="str">
        <f aca="false">IF(A2211="","",IFERROR(1/(1/INDEX(Numéros!$C$2:$C$3001,MATCH(A2211&amp;"|"&amp;B2211,Numéros!$F$2:$F$3001,0))),""))</f>
        <v/>
      </c>
      <c r="M2211" s="27" t="str">
        <f aca="false">IF(OR(G2211="",G2211="?"),"",IFERROR(INDEX(Pubs!$D$2:$D$3001,MATCH(G2211,Pubs!$A$2:$A$3001,0))&amp;"",""))</f>
        <v/>
      </c>
      <c r="N2211" s="27" t="n">
        <f aca="false">N(N2210)+IF(AND(A2211&lt;&gt;"",OR(Recherche!$C$4="",A2211=Recherche!$C$4),OR(Recherche!$C$5="",B2211&amp;""=Recherche!$C$5&amp;""),OR(Recherche!$C$6="",IFERROR(YEAR(L2211),0)=Recherche!$C$6),OR(Recherche!$C$7="",ISNUMBER(SEARCH(Recherche!$C$7,H2211))),OR(Recherche!$C$8="",J2211=Recherche!$C$8),OR(Recherche!$C$9="",I2211=Recherche!$C$9),OR(Recherche!$C$10="",G2211&amp;""=Recherche!$C$10&amp;""),OR(Recherche!$C$11="",E2211=Recherche!$C$11),OR(Recherche!$C$12="",ISNUMBER(SEARCH(Recherche!$C$12,M2211&amp;" "&amp;F2211)))),1,0)</f>
        <v>8</v>
      </c>
    </row>
    <row r="2212" customFormat="false" ht="15" hidden="false" customHeight="false" outlineLevel="0" collapsed="false">
      <c r="A2212" s="19"/>
      <c r="B2212" s="19"/>
      <c r="C2212" s="19"/>
      <c r="D2212" s="19"/>
      <c r="E2212" s="22"/>
      <c r="F2212" s="19"/>
      <c r="G2212" s="26" t="str">
        <f aca="false">IF(D2212="","",IFERROR(VALUE(LEFT(D2212,FIND(" |",D2212&amp;" |")-1)),"?"))</f>
        <v/>
      </c>
      <c r="H2212" s="27" t="str">
        <f aca="false">IF(G2212="","",IF(G2212="?","⚠ pub inconnue",IFERROR(INDEX(Pubs!$B$2:$B$3001,MATCH(G2212,Pubs!$A$2:$A$3001,0))&amp;"","⚠ pub inconnue")))</f>
        <v/>
      </c>
      <c r="I2212" s="27" t="str">
        <f aca="false">IF(OR(G2212="",G2212="?"),"",IFERROR(INDEX(Pubs!$C$2:$C$3001,MATCH(G2212,Pubs!$A$2:$A$3001,0))&amp;"",""))</f>
        <v/>
      </c>
      <c r="J2212" s="27" t="str">
        <f aca="false">IF(OR(G2212="",G2212="?"),"",IFERROR(INDEX(Pubs!$G$2:$G$3001,MATCH(G2212,Pubs!$A$2:$A$3001,0))&amp;"",""))</f>
        <v/>
      </c>
      <c r="K2212" s="28" t="str">
        <f aca="false">IF(OR(G2212="",G2212="?"),"",IFERROR(INDEX(Pubs!$E$2:$E$3001,MATCH(G2212,Pubs!$A$2:$A$3001,0)),""))</f>
        <v/>
      </c>
      <c r="L2212" s="29" t="str">
        <f aca="false">IF(A2212="","",IFERROR(1/(1/INDEX(Numéros!$C$2:$C$3001,MATCH(A2212&amp;"|"&amp;B2212,Numéros!$F$2:$F$3001,0))),""))</f>
        <v/>
      </c>
      <c r="M2212" s="27" t="str">
        <f aca="false">IF(OR(G2212="",G2212="?"),"",IFERROR(INDEX(Pubs!$D$2:$D$3001,MATCH(G2212,Pubs!$A$2:$A$3001,0))&amp;"",""))</f>
        <v/>
      </c>
      <c r="N2212" s="27" t="n">
        <f aca="false">N(N2211)+IF(AND(A2212&lt;&gt;"",OR(Recherche!$C$4="",A2212=Recherche!$C$4),OR(Recherche!$C$5="",B2212&amp;""=Recherche!$C$5&amp;""),OR(Recherche!$C$6="",IFERROR(YEAR(L2212),0)=Recherche!$C$6),OR(Recherche!$C$7="",ISNUMBER(SEARCH(Recherche!$C$7,H2212))),OR(Recherche!$C$8="",J2212=Recherche!$C$8),OR(Recherche!$C$9="",I2212=Recherche!$C$9),OR(Recherche!$C$10="",G2212&amp;""=Recherche!$C$10&amp;""),OR(Recherche!$C$11="",E2212=Recherche!$C$11),OR(Recherche!$C$12="",ISNUMBER(SEARCH(Recherche!$C$12,M2212&amp;" "&amp;F2212)))),1,0)</f>
        <v>8</v>
      </c>
    </row>
    <row r="2213" customFormat="false" ht="15" hidden="false" customHeight="false" outlineLevel="0" collapsed="false">
      <c r="A2213" s="19"/>
      <c r="B2213" s="19"/>
      <c r="C2213" s="19"/>
      <c r="D2213" s="19"/>
      <c r="E2213" s="22"/>
      <c r="F2213" s="19"/>
      <c r="G2213" s="26" t="str">
        <f aca="false">IF(D2213="","",IFERROR(VALUE(LEFT(D2213,FIND(" |",D2213&amp;" |")-1)),"?"))</f>
        <v/>
      </c>
      <c r="H2213" s="27" t="str">
        <f aca="false">IF(G2213="","",IF(G2213="?","⚠ pub inconnue",IFERROR(INDEX(Pubs!$B$2:$B$3001,MATCH(G2213,Pubs!$A$2:$A$3001,0))&amp;"","⚠ pub inconnue")))</f>
        <v/>
      </c>
      <c r="I2213" s="27" t="str">
        <f aca="false">IF(OR(G2213="",G2213="?"),"",IFERROR(INDEX(Pubs!$C$2:$C$3001,MATCH(G2213,Pubs!$A$2:$A$3001,0))&amp;"",""))</f>
        <v/>
      </c>
      <c r="J2213" s="27" t="str">
        <f aca="false">IF(OR(G2213="",G2213="?"),"",IFERROR(INDEX(Pubs!$G$2:$G$3001,MATCH(G2213,Pubs!$A$2:$A$3001,0))&amp;"",""))</f>
        <v/>
      </c>
      <c r="K2213" s="28" t="str">
        <f aca="false">IF(OR(G2213="",G2213="?"),"",IFERROR(INDEX(Pubs!$E$2:$E$3001,MATCH(G2213,Pubs!$A$2:$A$3001,0)),""))</f>
        <v/>
      </c>
      <c r="L2213" s="29" t="str">
        <f aca="false">IF(A2213="","",IFERROR(1/(1/INDEX(Numéros!$C$2:$C$3001,MATCH(A2213&amp;"|"&amp;B2213,Numéros!$F$2:$F$3001,0))),""))</f>
        <v/>
      </c>
      <c r="M2213" s="27" t="str">
        <f aca="false">IF(OR(G2213="",G2213="?"),"",IFERROR(INDEX(Pubs!$D$2:$D$3001,MATCH(G2213,Pubs!$A$2:$A$3001,0))&amp;"",""))</f>
        <v/>
      </c>
      <c r="N2213" s="27" t="n">
        <f aca="false">N(N2212)+IF(AND(A2213&lt;&gt;"",OR(Recherche!$C$4="",A2213=Recherche!$C$4),OR(Recherche!$C$5="",B2213&amp;""=Recherche!$C$5&amp;""),OR(Recherche!$C$6="",IFERROR(YEAR(L2213),0)=Recherche!$C$6),OR(Recherche!$C$7="",ISNUMBER(SEARCH(Recherche!$C$7,H2213))),OR(Recherche!$C$8="",J2213=Recherche!$C$8),OR(Recherche!$C$9="",I2213=Recherche!$C$9),OR(Recherche!$C$10="",G2213&amp;""=Recherche!$C$10&amp;""),OR(Recherche!$C$11="",E2213=Recherche!$C$11),OR(Recherche!$C$12="",ISNUMBER(SEARCH(Recherche!$C$12,M2213&amp;" "&amp;F2213)))),1,0)</f>
        <v>8</v>
      </c>
    </row>
    <row r="2214" customFormat="false" ht="15" hidden="false" customHeight="false" outlineLevel="0" collapsed="false">
      <c r="A2214" s="19"/>
      <c r="B2214" s="19"/>
      <c r="C2214" s="19"/>
      <c r="D2214" s="19"/>
      <c r="E2214" s="22"/>
      <c r="F2214" s="19"/>
      <c r="G2214" s="26" t="str">
        <f aca="false">IF(D2214="","",IFERROR(VALUE(LEFT(D2214,FIND(" |",D2214&amp;" |")-1)),"?"))</f>
        <v/>
      </c>
      <c r="H2214" s="27" t="str">
        <f aca="false">IF(G2214="","",IF(G2214="?","⚠ pub inconnue",IFERROR(INDEX(Pubs!$B$2:$B$3001,MATCH(G2214,Pubs!$A$2:$A$3001,0))&amp;"","⚠ pub inconnue")))</f>
        <v/>
      </c>
      <c r="I2214" s="27" t="str">
        <f aca="false">IF(OR(G2214="",G2214="?"),"",IFERROR(INDEX(Pubs!$C$2:$C$3001,MATCH(G2214,Pubs!$A$2:$A$3001,0))&amp;"",""))</f>
        <v/>
      </c>
      <c r="J2214" s="27" t="str">
        <f aca="false">IF(OR(G2214="",G2214="?"),"",IFERROR(INDEX(Pubs!$G$2:$G$3001,MATCH(G2214,Pubs!$A$2:$A$3001,0))&amp;"",""))</f>
        <v/>
      </c>
      <c r="K2214" s="28" t="str">
        <f aca="false">IF(OR(G2214="",G2214="?"),"",IFERROR(INDEX(Pubs!$E$2:$E$3001,MATCH(G2214,Pubs!$A$2:$A$3001,0)),""))</f>
        <v/>
      </c>
      <c r="L2214" s="29" t="str">
        <f aca="false">IF(A2214="","",IFERROR(1/(1/INDEX(Numéros!$C$2:$C$3001,MATCH(A2214&amp;"|"&amp;B2214,Numéros!$F$2:$F$3001,0))),""))</f>
        <v/>
      </c>
      <c r="M2214" s="27" t="str">
        <f aca="false">IF(OR(G2214="",G2214="?"),"",IFERROR(INDEX(Pubs!$D$2:$D$3001,MATCH(G2214,Pubs!$A$2:$A$3001,0))&amp;"",""))</f>
        <v/>
      </c>
      <c r="N2214" s="27" t="n">
        <f aca="false">N(N2213)+IF(AND(A2214&lt;&gt;"",OR(Recherche!$C$4="",A2214=Recherche!$C$4),OR(Recherche!$C$5="",B2214&amp;""=Recherche!$C$5&amp;""),OR(Recherche!$C$6="",IFERROR(YEAR(L2214),0)=Recherche!$C$6),OR(Recherche!$C$7="",ISNUMBER(SEARCH(Recherche!$C$7,H2214))),OR(Recherche!$C$8="",J2214=Recherche!$C$8),OR(Recherche!$C$9="",I2214=Recherche!$C$9),OR(Recherche!$C$10="",G2214&amp;""=Recherche!$C$10&amp;""),OR(Recherche!$C$11="",E2214=Recherche!$C$11),OR(Recherche!$C$12="",ISNUMBER(SEARCH(Recherche!$C$12,M2214&amp;" "&amp;F2214)))),1,0)</f>
        <v>8</v>
      </c>
    </row>
    <row r="2215" customFormat="false" ht="15" hidden="false" customHeight="false" outlineLevel="0" collapsed="false">
      <c r="A2215" s="19"/>
      <c r="B2215" s="19"/>
      <c r="C2215" s="19"/>
      <c r="D2215" s="19"/>
      <c r="E2215" s="22"/>
      <c r="F2215" s="19"/>
      <c r="G2215" s="26" t="str">
        <f aca="false">IF(D2215="","",IFERROR(VALUE(LEFT(D2215,FIND(" |",D2215&amp;" |")-1)),"?"))</f>
        <v/>
      </c>
      <c r="H2215" s="27" t="str">
        <f aca="false">IF(G2215="","",IF(G2215="?","⚠ pub inconnue",IFERROR(INDEX(Pubs!$B$2:$B$3001,MATCH(G2215,Pubs!$A$2:$A$3001,0))&amp;"","⚠ pub inconnue")))</f>
        <v/>
      </c>
      <c r="I2215" s="27" t="str">
        <f aca="false">IF(OR(G2215="",G2215="?"),"",IFERROR(INDEX(Pubs!$C$2:$C$3001,MATCH(G2215,Pubs!$A$2:$A$3001,0))&amp;"",""))</f>
        <v/>
      </c>
      <c r="J2215" s="27" t="str">
        <f aca="false">IF(OR(G2215="",G2215="?"),"",IFERROR(INDEX(Pubs!$G$2:$G$3001,MATCH(G2215,Pubs!$A$2:$A$3001,0))&amp;"",""))</f>
        <v/>
      </c>
      <c r="K2215" s="28" t="str">
        <f aca="false">IF(OR(G2215="",G2215="?"),"",IFERROR(INDEX(Pubs!$E$2:$E$3001,MATCH(G2215,Pubs!$A$2:$A$3001,0)),""))</f>
        <v/>
      </c>
      <c r="L2215" s="29" t="str">
        <f aca="false">IF(A2215="","",IFERROR(1/(1/INDEX(Numéros!$C$2:$C$3001,MATCH(A2215&amp;"|"&amp;B2215,Numéros!$F$2:$F$3001,0))),""))</f>
        <v/>
      </c>
      <c r="M2215" s="27" t="str">
        <f aca="false">IF(OR(G2215="",G2215="?"),"",IFERROR(INDEX(Pubs!$D$2:$D$3001,MATCH(G2215,Pubs!$A$2:$A$3001,0))&amp;"",""))</f>
        <v/>
      </c>
      <c r="N2215" s="27" t="n">
        <f aca="false">N(N2214)+IF(AND(A2215&lt;&gt;"",OR(Recherche!$C$4="",A2215=Recherche!$C$4),OR(Recherche!$C$5="",B2215&amp;""=Recherche!$C$5&amp;""),OR(Recherche!$C$6="",IFERROR(YEAR(L2215),0)=Recherche!$C$6),OR(Recherche!$C$7="",ISNUMBER(SEARCH(Recherche!$C$7,H2215))),OR(Recherche!$C$8="",J2215=Recherche!$C$8),OR(Recherche!$C$9="",I2215=Recherche!$C$9),OR(Recherche!$C$10="",G2215&amp;""=Recherche!$C$10&amp;""),OR(Recherche!$C$11="",E2215=Recherche!$C$11),OR(Recherche!$C$12="",ISNUMBER(SEARCH(Recherche!$C$12,M2215&amp;" "&amp;F2215)))),1,0)</f>
        <v>8</v>
      </c>
    </row>
    <row r="2216" customFormat="false" ht="15" hidden="false" customHeight="false" outlineLevel="0" collapsed="false">
      <c r="A2216" s="19"/>
      <c r="B2216" s="19"/>
      <c r="C2216" s="19"/>
      <c r="D2216" s="19"/>
      <c r="E2216" s="22"/>
      <c r="F2216" s="19"/>
      <c r="G2216" s="26" t="str">
        <f aca="false">IF(D2216="","",IFERROR(VALUE(LEFT(D2216,FIND(" |",D2216&amp;" |")-1)),"?"))</f>
        <v/>
      </c>
      <c r="H2216" s="27" t="str">
        <f aca="false">IF(G2216="","",IF(G2216="?","⚠ pub inconnue",IFERROR(INDEX(Pubs!$B$2:$B$3001,MATCH(G2216,Pubs!$A$2:$A$3001,0))&amp;"","⚠ pub inconnue")))</f>
        <v/>
      </c>
      <c r="I2216" s="27" t="str">
        <f aca="false">IF(OR(G2216="",G2216="?"),"",IFERROR(INDEX(Pubs!$C$2:$C$3001,MATCH(G2216,Pubs!$A$2:$A$3001,0))&amp;"",""))</f>
        <v/>
      </c>
      <c r="J2216" s="27" t="str">
        <f aca="false">IF(OR(G2216="",G2216="?"),"",IFERROR(INDEX(Pubs!$G$2:$G$3001,MATCH(G2216,Pubs!$A$2:$A$3001,0))&amp;"",""))</f>
        <v/>
      </c>
      <c r="K2216" s="28" t="str">
        <f aca="false">IF(OR(G2216="",G2216="?"),"",IFERROR(INDEX(Pubs!$E$2:$E$3001,MATCH(G2216,Pubs!$A$2:$A$3001,0)),""))</f>
        <v/>
      </c>
      <c r="L2216" s="29" t="str">
        <f aca="false">IF(A2216="","",IFERROR(1/(1/INDEX(Numéros!$C$2:$C$3001,MATCH(A2216&amp;"|"&amp;B2216,Numéros!$F$2:$F$3001,0))),""))</f>
        <v/>
      </c>
      <c r="M2216" s="27" t="str">
        <f aca="false">IF(OR(G2216="",G2216="?"),"",IFERROR(INDEX(Pubs!$D$2:$D$3001,MATCH(G2216,Pubs!$A$2:$A$3001,0))&amp;"",""))</f>
        <v/>
      </c>
      <c r="N2216" s="27" t="n">
        <f aca="false">N(N2215)+IF(AND(A2216&lt;&gt;"",OR(Recherche!$C$4="",A2216=Recherche!$C$4),OR(Recherche!$C$5="",B2216&amp;""=Recherche!$C$5&amp;""),OR(Recherche!$C$6="",IFERROR(YEAR(L2216),0)=Recherche!$C$6),OR(Recherche!$C$7="",ISNUMBER(SEARCH(Recherche!$C$7,H2216))),OR(Recherche!$C$8="",J2216=Recherche!$C$8),OR(Recherche!$C$9="",I2216=Recherche!$C$9),OR(Recherche!$C$10="",G2216&amp;""=Recherche!$C$10&amp;""),OR(Recherche!$C$11="",E2216=Recherche!$C$11),OR(Recherche!$C$12="",ISNUMBER(SEARCH(Recherche!$C$12,M2216&amp;" "&amp;F2216)))),1,0)</f>
        <v>8</v>
      </c>
    </row>
    <row r="2217" customFormat="false" ht="15" hidden="false" customHeight="false" outlineLevel="0" collapsed="false">
      <c r="A2217" s="19"/>
      <c r="B2217" s="19"/>
      <c r="C2217" s="19"/>
      <c r="D2217" s="19"/>
      <c r="E2217" s="22"/>
      <c r="F2217" s="19"/>
      <c r="G2217" s="26" t="str">
        <f aca="false">IF(D2217="","",IFERROR(VALUE(LEFT(D2217,FIND(" |",D2217&amp;" |")-1)),"?"))</f>
        <v/>
      </c>
      <c r="H2217" s="27" t="str">
        <f aca="false">IF(G2217="","",IF(G2217="?","⚠ pub inconnue",IFERROR(INDEX(Pubs!$B$2:$B$3001,MATCH(G2217,Pubs!$A$2:$A$3001,0))&amp;"","⚠ pub inconnue")))</f>
        <v/>
      </c>
      <c r="I2217" s="27" t="str">
        <f aca="false">IF(OR(G2217="",G2217="?"),"",IFERROR(INDEX(Pubs!$C$2:$C$3001,MATCH(G2217,Pubs!$A$2:$A$3001,0))&amp;"",""))</f>
        <v/>
      </c>
      <c r="J2217" s="27" t="str">
        <f aca="false">IF(OR(G2217="",G2217="?"),"",IFERROR(INDEX(Pubs!$G$2:$G$3001,MATCH(G2217,Pubs!$A$2:$A$3001,0))&amp;"",""))</f>
        <v/>
      </c>
      <c r="K2217" s="28" t="str">
        <f aca="false">IF(OR(G2217="",G2217="?"),"",IFERROR(INDEX(Pubs!$E$2:$E$3001,MATCH(G2217,Pubs!$A$2:$A$3001,0)),""))</f>
        <v/>
      </c>
      <c r="L2217" s="29" t="str">
        <f aca="false">IF(A2217="","",IFERROR(1/(1/INDEX(Numéros!$C$2:$C$3001,MATCH(A2217&amp;"|"&amp;B2217,Numéros!$F$2:$F$3001,0))),""))</f>
        <v/>
      </c>
      <c r="M2217" s="27" t="str">
        <f aca="false">IF(OR(G2217="",G2217="?"),"",IFERROR(INDEX(Pubs!$D$2:$D$3001,MATCH(G2217,Pubs!$A$2:$A$3001,0))&amp;"",""))</f>
        <v/>
      </c>
      <c r="N2217" s="27" t="n">
        <f aca="false">N(N2216)+IF(AND(A2217&lt;&gt;"",OR(Recherche!$C$4="",A2217=Recherche!$C$4),OR(Recherche!$C$5="",B2217&amp;""=Recherche!$C$5&amp;""),OR(Recherche!$C$6="",IFERROR(YEAR(L2217),0)=Recherche!$C$6),OR(Recherche!$C$7="",ISNUMBER(SEARCH(Recherche!$C$7,H2217))),OR(Recherche!$C$8="",J2217=Recherche!$C$8),OR(Recherche!$C$9="",I2217=Recherche!$C$9),OR(Recherche!$C$10="",G2217&amp;""=Recherche!$C$10&amp;""),OR(Recherche!$C$11="",E2217=Recherche!$C$11),OR(Recherche!$C$12="",ISNUMBER(SEARCH(Recherche!$C$12,M2217&amp;" "&amp;F2217)))),1,0)</f>
        <v>8</v>
      </c>
    </row>
    <row r="2218" customFormat="false" ht="15" hidden="false" customHeight="false" outlineLevel="0" collapsed="false">
      <c r="A2218" s="19"/>
      <c r="B2218" s="19"/>
      <c r="C2218" s="19"/>
      <c r="D2218" s="19"/>
      <c r="E2218" s="22"/>
      <c r="F2218" s="19"/>
      <c r="G2218" s="26" t="str">
        <f aca="false">IF(D2218="","",IFERROR(VALUE(LEFT(D2218,FIND(" |",D2218&amp;" |")-1)),"?"))</f>
        <v/>
      </c>
      <c r="H2218" s="27" t="str">
        <f aca="false">IF(G2218="","",IF(G2218="?","⚠ pub inconnue",IFERROR(INDEX(Pubs!$B$2:$B$3001,MATCH(G2218,Pubs!$A$2:$A$3001,0))&amp;"","⚠ pub inconnue")))</f>
        <v/>
      </c>
      <c r="I2218" s="27" t="str">
        <f aca="false">IF(OR(G2218="",G2218="?"),"",IFERROR(INDEX(Pubs!$C$2:$C$3001,MATCH(G2218,Pubs!$A$2:$A$3001,0))&amp;"",""))</f>
        <v/>
      </c>
      <c r="J2218" s="27" t="str">
        <f aca="false">IF(OR(G2218="",G2218="?"),"",IFERROR(INDEX(Pubs!$G$2:$G$3001,MATCH(G2218,Pubs!$A$2:$A$3001,0))&amp;"",""))</f>
        <v/>
      </c>
      <c r="K2218" s="28" t="str">
        <f aca="false">IF(OR(G2218="",G2218="?"),"",IFERROR(INDEX(Pubs!$E$2:$E$3001,MATCH(G2218,Pubs!$A$2:$A$3001,0)),""))</f>
        <v/>
      </c>
      <c r="L2218" s="29" t="str">
        <f aca="false">IF(A2218="","",IFERROR(1/(1/INDEX(Numéros!$C$2:$C$3001,MATCH(A2218&amp;"|"&amp;B2218,Numéros!$F$2:$F$3001,0))),""))</f>
        <v/>
      </c>
      <c r="M2218" s="27" t="str">
        <f aca="false">IF(OR(G2218="",G2218="?"),"",IFERROR(INDEX(Pubs!$D$2:$D$3001,MATCH(G2218,Pubs!$A$2:$A$3001,0))&amp;"",""))</f>
        <v/>
      </c>
      <c r="N2218" s="27" t="n">
        <f aca="false">N(N2217)+IF(AND(A2218&lt;&gt;"",OR(Recherche!$C$4="",A2218=Recherche!$C$4),OR(Recherche!$C$5="",B2218&amp;""=Recherche!$C$5&amp;""),OR(Recherche!$C$6="",IFERROR(YEAR(L2218),0)=Recherche!$C$6),OR(Recherche!$C$7="",ISNUMBER(SEARCH(Recherche!$C$7,H2218))),OR(Recherche!$C$8="",J2218=Recherche!$C$8),OR(Recherche!$C$9="",I2218=Recherche!$C$9),OR(Recherche!$C$10="",G2218&amp;""=Recherche!$C$10&amp;""),OR(Recherche!$C$11="",E2218=Recherche!$C$11),OR(Recherche!$C$12="",ISNUMBER(SEARCH(Recherche!$C$12,M2218&amp;" "&amp;F2218)))),1,0)</f>
        <v>8</v>
      </c>
    </row>
    <row r="2219" customFormat="false" ht="15" hidden="false" customHeight="false" outlineLevel="0" collapsed="false">
      <c r="A2219" s="19"/>
      <c r="B2219" s="19"/>
      <c r="C2219" s="19"/>
      <c r="D2219" s="19"/>
      <c r="E2219" s="22"/>
      <c r="F2219" s="19"/>
      <c r="G2219" s="26" t="str">
        <f aca="false">IF(D2219="","",IFERROR(VALUE(LEFT(D2219,FIND(" |",D2219&amp;" |")-1)),"?"))</f>
        <v/>
      </c>
      <c r="H2219" s="27" t="str">
        <f aca="false">IF(G2219="","",IF(G2219="?","⚠ pub inconnue",IFERROR(INDEX(Pubs!$B$2:$B$3001,MATCH(G2219,Pubs!$A$2:$A$3001,0))&amp;"","⚠ pub inconnue")))</f>
        <v/>
      </c>
      <c r="I2219" s="27" t="str">
        <f aca="false">IF(OR(G2219="",G2219="?"),"",IFERROR(INDEX(Pubs!$C$2:$C$3001,MATCH(G2219,Pubs!$A$2:$A$3001,0))&amp;"",""))</f>
        <v/>
      </c>
      <c r="J2219" s="27" t="str">
        <f aca="false">IF(OR(G2219="",G2219="?"),"",IFERROR(INDEX(Pubs!$G$2:$G$3001,MATCH(G2219,Pubs!$A$2:$A$3001,0))&amp;"",""))</f>
        <v/>
      </c>
      <c r="K2219" s="28" t="str">
        <f aca="false">IF(OR(G2219="",G2219="?"),"",IFERROR(INDEX(Pubs!$E$2:$E$3001,MATCH(G2219,Pubs!$A$2:$A$3001,0)),""))</f>
        <v/>
      </c>
      <c r="L2219" s="29" t="str">
        <f aca="false">IF(A2219="","",IFERROR(1/(1/INDEX(Numéros!$C$2:$C$3001,MATCH(A2219&amp;"|"&amp;B2219,Numéros!$F$2:$F$3001,0))),""))</f>
        <v/>
      </c>
      <c r="M2219" s="27" t="str">
        <f aca="false">IF(OR(G2219="",G2219="?"),"",IFERROR(INDEX(Pubs!$D$2:$D$3001,MATCH(G2219,Pubs!$A$2:$A$3001,0))&amp;"",""))</f>
        <v/>
      </c>
      <c r="N2219" s="27" t="n">
        <f aca="false">N(N2218)+IF(AND(A2219&lt;&gt;"",OR(Recherche!$C$4="",A2219=Recherche!$C$4),OR(Recherche!$C$5="",B2219&amp;""=Recherche!$C$5&amp;""),OR(Recherche!$C$6="",IFERROR(YEAR(L2219),0)=Recherche!$C$6),OR(Recherche!$C$7="",ISNUMBER(SEARCH(Recherche!$C$7,H2219))),OR(Recherche!$C$8="",J2219=Recherche!$C$8),OR(Recherche!$C$9="",I2219=Recherche!$C$9),OR(Recherche!$C$10="",G2219&amp;""=Recherche!$C$10&amp;""),OR(Recherche!$C$11="",E2219=Recherche!$C$11),OR(Recherche!$C$12="",ISNUMBER(SEARCH(Recherche!$C$12,M2219&amp;" "&amp;F2219)))),1,0)</f>
        <v>8</v>
      </c>
    </row>
    <row r="2220" customFormat="false" ht="15" hidden="false" customHeight="false" outlineLevel="0" collapsed="false">
      <c r="A2220" s="19"/>
      <c r="B2220" s="19"/>
      <c r="C2220" s="19"/>
      <c r="D2220" s="19"/>
      <c r="E2220" s="22"/>
      <c r="F2220" s="19"/>
      <c r="G2220" s="26" t="str">
        <f aca="false">IF(D2220="","",IFERROR(VALUE(LEFT(D2220,FIND(" |",D2220&amp;" |")-1)),"?"))</f>
        <v/>
      </c>
      <c r="H2220" s="27" t="str">
        <f aca="false">IF(G2220="","",IF(G2220="?","⚠ pub inconnue",IFERROR(INDEX(Pubs!$B$2:$B$3001,MATCH(G2220,Pubs!$A$2:$A$3001,0))&amp;"","⚠ pub inconnue")))</f>
        <v/>
      </c>
      <c r="I2220" s="27" t="str">
        <f aca="false">IF(OR(G2220="",G2220="?"),"",IFERROR(INDEX(Pubs!$C$2:$C$3001,MATCH(G2220,Pubs!$A$2:$A$3001,0))&amp;"",""))</f>
        <v/>
      </c>
      <c r="J2220" s="27" t="str">
        <f aca="false">IF(OR(G2220="",G2220="?"),"",IFERROR(INDEX(Pubs!$G$2:$G$3001,MATCH(G2220,Pubs!$A$2:$A$3001,0))&amp;"",""))</f>
        <v/>
      </c>
      <c r="K2220" s="28" t="str">
        <f aca="false">IF(OR(G2220="",G2220="?"),"",IFERROR(INDEX(Pubs!$E$2:$E$3001,MATCH(G2220,Pubs!$A$2:$A$3001,0)),""))</f>
        <v/>
      </c>
      <c r="L2220" s="29" t="str">
        <f aca="false">IF(A2220="","",IFERROR(1/(1/INDEX(Numéros!$C$2:$C$3001,MATCH(A2220&amp;"|"&amp;B2220,Numéros!$F$2:$F$3001,0))),""))</f>
        <v/>
      </c>
      <c r="M2220" s="27" t="str">
        <f aca="false">IF(OR(G2220="",G2220="?"),"",IFERROR(INDEX(Pubs!$D$2:$D$3001,MATCH(G2220,Pubs!$A$2:$A$3001,0))&amp;"",""))</f>
        <v/>
      </c>
      <c r="N2220" s="27" t="n">
        <f aca="false">N(N2219)+IF(AND(A2220&lt;&gt;"",OR(Recherche!$C$4="",A2220=Recherche!$C$4),OR(Recherche!$C$5="",B2220&amp;""=Recherche!$C$5&amp;""),OR(Recherche!$C$6="",IFERROR(YEAR(L2220),0)=Recherche!$C$6),OR(Recherche!$C$7="",ISNUMBER(SEARCH(Recherche!$C$7,H2220))),OR(Recherche!$C$8="",J2220=Recherche!$C$8),OR(Recherche!$C$9="",I2220=Recherche!$C$9),OR(Recherche!$C$10="",G2220&amp;""=Recherche!$C$10&amp;""),OR(Recherche!$C$11="",E2220=Recherche!$C$11),OR(Recherche!$C$12="",ISNUMBER(SEARCH(Recherche!$C$12,M2220&amp;" "&amp;F2220)))),1,0)</f>
        <v>8</v>
      </c>
    </row>
    <row r="2221" customFormat="false" ht="15" hidden="false" customHeight="false" outlineLevel="0" collapsed="false">
      <c r="A2221" s="19"/>
      <c r="B2221" s="19"/>
      <c r="C2221" s="19"/>
      <c r="D2221" s="19"/>
      <c r="E2221" s="22"/>
      <c r="F2221" s="19"/>
      <c r="G2221" s="26" t="str">
        <f aca="false">IF(D2221="","",IFERROR(VALUE(LEFT(D2221,FIND(" |",D2221&amp;" |")-1)),"?"))</f>
        <v/>
      </c>
      <c r="H2221" s="27" t="str">
        <f aca="false">IF(G2221="","",IF(G2221="?","⚠ pub inconnue",IFERROR(INDEX(Pubs!$B$2:$B$3001,MATCH(G2221,Pubs!$A$2:$A$3001,0))&amp;"","⚠ pub inconnue")))</f>
        <v/>
      </c>
      <c r="I2221" s="27" t="str">
        <f aca="false">IF(OR(G2221="",G2221="?"),"",IFERROR(INDEX(Pubs!$C$2:$C$3001,MATCH(G2221,Pubs!$A$2:$A$3001,0))&amp;"",""))</f>
        <v/>
      </c>
      <c r="J2221" s="27" t="str">
        <f aca="false">IF(OR(G2221="",G2221="?"),"",IFERROR(INDEX(Pubs!$G$2:$G$3001,MATCH(G2221,Pubs!$A$2:$A$3001,0))&amp;"",""))</f>
        <v/>
      </c>
      <c r="K2221" s="28" t="str">
        <f aca="false">IF(OR(G2221="",G2221="?"),"",IFERROR(INDEX(Pubs!$E$2:$E$3001,MATCH(G2221,Pubs!$A$2:$A$3001,0)),""))</f>
        <v/>
      </c>
      <c r="L2221" s="29" t="str">
        <f aca="false">IF(A2221="","",IFERROR(1/(1/INDEX(Numéros!$C$2:$C$3001,MATCH(A2221&amp;"|"&amp;B2221,Numéros!$F$2:$F$3001,0))),""))</f>
        <v/>
      </c>
      <c r="M2221" s="27" t="str">
        <f aca="false">IF(OR(G2221="",G2221="?"),"",IFERROR(INDEX(Pubs!$D$2:$D$3001,MATCH(G2221,Pubs!$A$2:$A$3001,0))&amp;"",""))</f>
        <v/>
      </c>
      <c r="N2221" s="27" t="n">
        <f aca="false">N(N2220)+IF(AND(A2221&lt;&gt;"",OR(Recherche!$C$4="",A2221=Recherche!$C$4),OR(Recherche!$C$5="",B2221&amp;""=Recherche!$C$5&amp;""),OR(Recherche!$C$6="",IFERROR(YEAR(L2221),0)=Recherche!$C$6),OR(Recherche!$C$7="",ISNUMBER(SEARCH(Recherche!$C$7,H2221))),OR(Recherche!$C$8="",J2221=Recherche!$C$8),OR(Recherche!$C$9="",I2221=Recherche!$C$9),OR(Recherche!$C$10="",G2221&amp;""=Recherche!$C$10&amp;""),OR(Recherche!$C$11="",E2221=Recherche!$C$11),OR(Recherche!$C$12="",ISNUMBER(SEARCH(Recherche!$C$12,M2221&amp;" "&amp;F2221)))),1,0)</f>
        <v>8</v>
      </c>
    </row>
    <row r="2222" customFormat="false" ht="15" hidden="false" customHeight="false" outlineLevel="0" collapsed="false">
      <c r="A2222" s="19"/>
      <c r="B2222" s="19"/>
      <c r="C2222" s="19"/>
      <c r="D2222" s="19"/>
      <c r="E2222" s="22"/>
      <c r="F2222" s="19"/>
      <c r="G2222" s="26" t="str">
        <f aca="false">IF(D2222="","",IFERROR(VALUE(LEFT(D2222,FIND(" |",D2222&amp;" |")-1)),"?"))</f>
        <v/>
      </c>
      <c r="H2222" s="27" t="str">
        <f aca="false">IF(G2222="","",IF(G2222="?","⚠ pub inconnue",IFERROR(INDEX(Pubs!$B$2:$B$3001,MATCH(G2222,Pubs!$A$2:$A$3001,0))&amp;"","⚠ pub inconnue")))</f>
        <v/>
      </c>
      <c r="I2222" s="27" t="str">
        <f aca="false">IF(OR(G2222="",G2222="?"),"",IFERROR(INDEX(Pubs!$C$2:$C$3001,MATCH(G2222,Pubs!$A$2:$A$3001,0))&amp;"",""))</f>
        <v/>
      </c>
      <c r="J2222" s="27" t="str">
        <f aca="false">IF(OR(G2222="",G2222="?"),"",IFERROR(INDEX(Pubs!$G$2:$G$3001,MATCH(G2222,Pubs!$A$2:$A$3001,0))&amp;"",""))</f>
        <v/>
      </c>
      <c r="K2222" s="28" t="str">
        <f aca="false">IF(OR(G2222="",G2222="?"),"",IFERROR(INDEX(Pubs!$E$2:$E$3001,MATCH(G2222,Pubs!$A$2:$A$3001,0)),""))</f>
        <v/>
      </c>
      <c r="L2222" s="29" t="str">
        <f aca="false">IF(A2222="","",IFERROR(1/(1/INDEX(Numéros!$C$2:$C$3001,MATCH(A2222&amp;"|"&amp;B2222,Numéros!$F$2:$F$3001,0))),""))</f>
        <v/>
      </c>
      <c r="M2222" s="27" t="str">
        <f aca="false">IF(OR(G2222="",G2222="?"),"",IFERROR(INDEX(Pubs!$D$2:$D$3001,MATCH(G2222,Pubs!$A$2:$A$3001,0))&amp;"",""))</f>
        <v/>
      </c>
      <c r="N2222" s="27" t="n">
        <f aca="false">N(N2221)+IF(AND(A2222&lt;&gt;"",OR(Recherche!$C$4="",A2222=Recherche!$C$4),OR(Recherche!$C$5="",B2222&amp;""=Recherche!$C$5&amp;""),OR(Recherche!$C$6="",IFERROR(YEAR(L2222),0)=Recherche!$C$6),OR(Recherche!$C$7="",ISNUMBER(SEARCH(Recherche!$C$7,H2222))),OR(Recherche!$C$8="",J2222=Recherche!$C$8),OR(Recherche!$C$9="",I2222=Recherche!$C$9),OR(Recherche!$C$10="",G2222&amp;""=Recherche!$C$10&amp;""),OR(Recherche!$C$11="",E2222=Recherche!$C$11),OR(Recherche!$C$12="",ISNUMBER(SEARCH(Recherche!$C$12,M2222&amp;" "&amp;F2222)))),1,0)</f>
        <v>8</v>
      </c>
    </row>
    <row r="2223" customFormat="false" ht="15" hidden="false" customHeight="false" outlineLevel="0" collapsed="false">
      <c r="A2223" s="19"/>
      <c r="B2223" s="19"/>
      <c r="C2223" s="19"/>
      <c r="D2223" s="19"/>
      <c r="E2223" s="22"/>
      <c r="F2223" s="19"/>
      <c r="G2223" s="26" t="str">
        <f aca="false">IF(D2223="","",IFERROR(VALUE(LEFT(D2223,FIND(" |",D2223&amp;" |")-1)),"?"))</f>
        <v/>
      </c>
      <c r="H2223" s="27" t="str">
        <f aca="false">IF(G2223="","",IF(G2223="?","⚠ pub inconnue",IFERROR(INDEX(Pubs!$B$2:$B$3001,MATCH(G2223,Pubs!$A$2:$A$3001,0))&amp;"","⚠ pub inconnue")))</f>
        <v/>
      </c>
      <c r="I2223" s="27" t="str">
        <f aca="false">IF(OR(G2223="",G2223="?"),"",IFERROR(INDEX(Pubs!$C$2:$C$3001,MATCH(G2223,Pubs!$A$2:$A$3001,0))&amp;"",""))</f>
        <v/>
      </c>
      <c r="J2223" s="27" t="str">
        <f aca="false">IF(OR(G2223="",G2223="?"),"",IFERROR(INDEX(Pubs!$G$2:$G$3001,MATCH(G2223,Pubs!$A$2:$A$3001,0))&amp;"",""))</f>
        <v/>
      </c>
      <c r="K2223" s="28" t="str">
        <f aca="false">IF(OR(G2223="",G2223="?"),"",IFERROR(INDEX(Pubs!$E$2:$E$3001,MATCH(G2223,Pubs!$A$2:$A$3001,0)),""))</f>
        <v/>
      </c>
      <c r="L2223" s="29" t="str">
        <f aca="false">IF(A2223="","",IFERROR(1/(1/INDEX(Numéros!$C$2:$C$3001,MATCH(A2223&amp;"|"&amp;B2223,Numéros!$F$2:$F$3001,0))),""))</f>
        <v/>
      </c>
      <c r="M2223" s="27" t="str">
        <f aca="false">IF(OR(G2223="",G2223="?"),"",IFERROR(INDEX(Pubs!$D$2:$D$3001,MATCH(G2223,Pubs!$A$2:$A$3001,0))&amp;"",""))</f>
        <v/>
      </c>
      <c r="N2223" s="27" t="n">
        <f aca="false">N(N2222)+IF(AND(A2223&lt;&gt;"",OR(Recherche!$C$4="",A2223=Recherche!$C$4),OR(Recherche!$C$5="",B2223&amp;""=Recherche!$C$5&amp;""),OR(Recherche!$C$6="",IFERROR(YEAR(L2223),0)=Recherche!$C$6),OR(Recherche!$C$7="",ISNUMBER(SEARCH(Recherche!$C$7,H2223))),OR(Recherche!$C$8="",J2223=Recherche!$C$8),OR(Recherche!$C$9="",I2223=Recherche!$C$9),OR(Recherche!$C$10="",G2223&amp;""=Recherche!$C$10&amp;""),OR(Recherche!$C$11="",E2223=Recherche!$C$11),OR(Recherche!$C$12="",ISNUMBER(SEARCH(Recherche!$C$12,M2223&amp;" "&amp;F2223)))),1,0)</f>
        <v>8</v>
      </c>
    </row>
    <row r="2224" customFormat="false" ht="15" hidden="false" customHeight="false" outlineLevel="0" collapsed="false">
      <c r="A2224" s="19"/>
      <c r="B2224" s="19"/>
      <c r="C2224" s="19"/>
      <c r="D2224" s="19"/>
      <c r="E2224" s="22"/>
      <c r="F2224" s="19"/>
      <c r="G2224" s="26" t="str">
        <f aca="false">IF(D2224="","",IFERROR(VALUE(LEFT(D2224,FIND(" |",D2224&amp;" |")-1)),"?"))</f>
        <v/>
      </c>
      <c r="H2224" s="27" t="str">
        <f aca="false">IF(G2224="","",IF(G2224="?","⚠ pub inconnue",IFERROR(INDEX(Pubs!$B$2:$B$3001,MATCH(G2224,Pubs!$A$2:$A$3001,0))&amp;"","⚠ pub inconnue")))</f>
        <v/>
      </c>
      <c r="I2224" s="27" t="str">
        <f aca="false">IF(OR(G2224="",G2224="?"),"",IFERROR(INDEX(Pubs!$C$2:$C$3001,MATCH(G2224,Pubs!$A$2:$A$3001,0))&amp;"",""))</f>
        <v/>
      </c>
      <c r="J2224" s="27" t="str">
        <f aca="false">IF(OR(G2224="",G2224="?"),"",IFERROR(INDEX(Pubs!$G$2:$G$3001,MATCH(G2224,Pubs!$A$2:$A$3001,0))&amp;"",""))</f>
        <v/>
      </c>
      <c r="K2224" s="28" t="str">
        <f aca="false">IF(OR(G2224="",G2224="?"),"",IFERROR(INDEX(Pubs!$E$2:$E$3001,MATCH(G2224,Pubs!$A$2:$A$3001,0)),""))</f>
        <v/>
      </c>
      <c r="L2224" s="29" t="str">
        <f aca="false">IF(A2224="","",IFERROR(1/(1/INDEX(Numéros!$C$2:$C$3001,MATCH(A2224&amp;"|"&amp;B2224,Numéros!$F$2:$F$3001,0))),""))</f>
        <v/>
      </c>
      <c r="M2224" s="27" t="str">
        <f aca="false">IF(OR(G2224="",G2224="?"),"",IFERROR(INDEX(Pubs!$D$2:$D$3001,MATCH(G2224,Pubs!$A$2:$A$3001,0))&amp;"",""))</f>
        <v/>
      </c>
      <c r="N2224" s="27" t="n">
        <f aca="false">N(N2223)+IF(AND(A2224&lt;&gt;"",OR(Recherche!$C$4="",A2224=Recherche!$C$4),OR(Recherche!$C$5="",B2224&amp;""=Recherche!$C$5&amp;""),OR(Recherche!$C$6="",IFERROR(YEAR(L2224),0)=Recherche!$C$6),OR(Recherche!$C$7="",ISNUMBER(SEARCH(Recherche!$C$7,H2224))),OR(Recherche!$C$8="",J2224=Recherche!$C$8),OR(Recherche!$C$9="",I2224=Recherche!$C$9),OR(Recherche!$C$10="",G2224&amp;""=Recherche!$C$10&amp;""),OR(Recherche!$C$11="",E2224=Recherche!$C$11),OR(Recherche!$C$12="",ISNUMBER(SEARCH(Recherche!$C$12,M2224&amp;" "&amp;F2224)))),1,0)</f>
        <v>8</v>
      </c>
    </row>
    <row r="2225" customFormat="false" ht="15" hidden="false" customHeight="false" outlineLevel="0" collapsed="false">
      <c r="A2225" s="19"/>
      <c r="B2225" s="19"/>
      <c r="C2225" s="19"/>
      <c r="D2225" s="19"/>
      <c r="E2225" s="22"/>
      <c r="F2225" s="19"/>
      <c r="G2225" s="26" t="str">
        <f aca="false">IF(D2225="","",IFERROR(VALUE(LEFT(D2225,FIND(" |",D2225&amp;" |")-1)),"?"))</f>
        <v/>
      </c>
      <c r="H2225" s="27" t="str">
        <f aca="false">IF(G2225="","",IF(G2225="?","⚠ pub inconnue",IFERROR(INDEX(Pubs!$B$2:$B$3001,MATCH(G2225,Pubs!$A$2:$A$3001,0))&amp;"","⚠ pub inconnue")))</f>
        <v/>
      </c>
      <c r="I2225" s="27" t="str">
        <f aca="false">IF(OR(G2225="",G2225="?"),"",IFERROR(INDEX(Pubs!$C$2:$C$3001,MATCH(G2225,Pubs!$A$2:$A$3001,0))&amp;"",""))</f>
        <v/>
      </c>
      <c r="J2225" s="27" t="str">
        <f aca="false">IF(OR(G2225="",G2225="?"),"",IFERROR(INDEX(Pubs!$G$2:$G$3001,MATCH(G2225,Pubs!$A$2:$A$3001,0))&amp;"",""))</f>
        <v/>
      </c>
      <c r="K2225" s="28" t="str">
        <f aca="false">IF(OR(G2225="",G2225="?"),"",IFERROR(INDEX(Pubs!$E$2:$E$3001,MATCH(G2225,Pubs!$A$2:$A$3001,0)),""))</f>
        <v/>
      </c>
      <c r="L2225" s="29" t="str">
        <f aca="false">IF(A2225="","",IFERROR(1/(1/INDEX(Numéros!$C$2:$C$3001,MATCH(A2225&amp;"|"&amp;B2225,Numéros!$F$2:$F$3001,0))),""))</f>
        <v/>
      </c>
      <c r="M2225" s="27" t="str">
        <f aca="false">IF(OR(G2225="",G2225="?"),"",IFERROR(INDEX(Pubs!$D$2:$D$3001,MATCH(G2225,Pubs!$A$2:$A$3001,0))&amp;"",""))</f>
        <v/>
      </c>
      <c r="N2225" s="27" t="n">
        <f aca="false">N(N2224)+IF(AND(A2225&lt;&gt;"",OR(Recherche!$C$4="",A2225=Recherche!$C$4),OR(Recherche!$C$5="",B2225&amp;""=Recherche!$C$5&amp;""),OR(Recherche!$C$6="",IFERROR(YEAR(L2225),0)=Recherche!$C$6),OR(Recherche!$C$7="",ISNUMBER(SEARCH(Recherche!$C$7,H2225))),OR(Recherche!$C$8="",J2225=Recherche!$C$8),OR(Recherche!$C$9="",I2225=Recherche!$C$9),OR(Recherche!$C$10="",G2225&amp;""=Recherche!$C$10&amp;""),OR(Recherche!$C$11="",E2225=Recherche!$C$11),OR(Recherche!$C$12="",ISNUMBER(SEARCH(Recherche!$C$12,M2225&amp;" "&amp;F2225)))),1,0)</f>
        <v>8</v>
      </c>
    </row>
    <row r="2226" customFormat="false" ht="15" hidden="false" customHeight="false" outlineLevel="0" collapsed="false">
      <c r="A2226" s="19"/>
      <c r="B2226" s="19"/>
      <c r="C2226" s="19"/>
      <c r="D2226" s="19"/>
      <c r="E2226" s="22"/>
      <c r="F2226" s="19"/>
      <c r="G2226" s="26" t="str">
        <f aca="false">IF(D2226="","",IFERROR(VALUE(LEFT(D2226,FIND(" |",D2226&amp;" |")-1)),"?"))</f>
        <v/>
      </c>
      <c r="H2226" s="27" t="str">
        <f aca="false">IF(G2226="","",IF(G2226="?","⚠ pub inconnue",IFERROR(INDEX(Pubs!$B$2:$B$3001,MATCH(G2226,Pubs!$A$2:$A$3001,0))&amp;"","⚠ pub inconnue")))</f>
        <v/>
      </c>
      <c r="I2226" s="27" t="str">
        <f aca="false">IF(OR(G2226="",G2226="?"),"",IFERROR(INDEX(Pubs!$C$2:$C$3001,MATCH(G2226,Pubs!$A$2:$A$3001,0))&amp;"",""))</f>
        <v/>
      </c>
      <c r="J2226" s="27" t="str">
        <f aca="false">IF(OR(G2226="",G2226="?"),"",IFERROR(INDEX(Pubs!$G$2:$G$3001,MATCH(G2226,Pubs!$A$2:$A$3001,0))&amp;"",""))</f>
        <v/>
      </c>
      <c r="K2226" s="28" t="str">
        <f aca="false">IF(OR(G2226="",G2226="?"),"",IFERROR(INDEX(Pubs!$E$2:$E$3001,MATCH(G2226,Pubs!$A$2:$A$3001,0)),""))</f>
        <v/>
      </c>
      <c r="L2226" s="29" t="str">
        <f aca="false">IF(A2226="","",IFERROR(1/(1/INDEX(Numéros!$C$2:$C$3001,MATCH(A2226&amp;"|"&amp;B2226,Numéros!$F$2:$F$3001,0))),""))</f>
        <v/>
      </c>
      <c r="M2226" s="27" t="str">
        <f aca="false">IF(OR(G2226="",G2226="?"),"",IFERROR(INDEX(Pubs!$D$2:$D$3001,MATCH(G2226,Pubs!$A$2:$A$3001,0))&amp;"",""))</f>
        <v/>
      </c>
      <c r="N2226" s="27" t="n">
        <f aca="false">N(N2225)+IF(AND(A2226&lt;&gt;"",OR(Recherche!$C$4="",A2226=Recherche!$C$4),OR(Recherche!$C$5="",B2226&amp;""=Recherche!$C$5&amp;""),OR(Recherche!$C$6="",IFERROR(YEAR(L2226),0)=Recherche!$C$6),OR(Recherche!$C$7="",ISNUMBER(SEARCH(Recherche!$C$7,H2226))),OR(Recherche!$C$8="",J2226=Recherche!$C$8),OR(Recherche!$C$9="",I2226=Recherche!$C$9),OR(Recherche!$C$10="",G2226&amp;""=Recherche!$C$10&amp;""),OR(Recherche!$C$11="",E2226=Recherche!$C$11),OR(Recherche!$C$12="",ISNUMBER(SEARCH(Recherche!$C$12,M2226&amp;" "&amp;F2226)))),1,0)</f>
        <v>8</v>
      </c>
    </row>
    <row r="2227" customFormat="false" ht="15" hidden="false" customHeight="false" outlineLevel="0" collapsed="false">
      <c r="A2227" s="19"/>
      <c r="B2227" s="19"/>
      <c r="C2227" s="19"/>
      <c r="D2227" s="19"/>
      <c r="E2227" s="22"/>
      <c r="F2227" s="19"/>
      <c r="G2227" s="26" t="str">
        <f aca="false">IF(D2227="","",IFERROR(VALUE(LEFT(D2227,FIND(" |",D2227&amp;" |")-1)),"?"))</f>
        <v/>
      </c>
      <c r="H2227" s="27" t="str">
        <f aca="false">IF(G2227="","",IF(G2227="?","⚠ pub inconnue",IFERROR(INDEX(Pubs!$B$2:$B$3001,MATCH(G2227,Pubs!$A$2:$A$3001,0))&amp;"","⚠ pub inconnue")))</f>
        <v/>
      </c>
      <c r="I2227" s="27" t="str">
        <f aca="false">IF(OR(G2227="",G2227="?"),"",IFERROR(INDEX(Pubs!$C$2:$C$3001,MATCH(G2227,Pubs!$A$2:$A$3001,0))&amp;"",""))</f>
        <v/>
      </c>
      <c r="J2227" s="27" t="str">
        <f aca="false">IF(OR(G2227="",G2227="?"),"",IFERROR(INDEX(Pubs!$G$2:$G$3001,MATCH(G2227,Pubs!$A$2:$A$3001,0))&amp;"",""))</f>
        <v/>
      </c>
      <c r="K2227" s="28" t="str">
        <f aca="false">IF(OR(G2227="",G2227="?"),"",IFERROR(INDEX(Pubs!$E$2:$E$3001,MATCH(G2227,Pubs!$A$2:$A$3001,0)),""))</f>
        <v/>
      </c>
      <c r="L2227" s="29" t="str">
        <f aca="false">IF(A2227="","",IFERROR(1/(1/INDEX(Numéros!$C$2:$C$3001,MATCH(A2227&amp;"|"&amp;B2227,Numéros!$F$2:$F$3001,0))),""))</f>
        <v/>
      </c>
      <c r="M2227" s="27" t="str">
        <f aca="false">IF(OR(G2227="",G2227="?"),"",IFERROR(INDEX(Pubs!$D$2:$D$3001,MATCH(G2227,Pubs!$A$2:$A$3001,0))&amp;"",""))</f>
        <v/>
      </c>
      <c r="N2227" s="27" t="n">
        <f aca="false">N(N2226)+IF(AND(A2227&lt;&gt;"",OR(Recherche!$C$4="",A2227=Recherche!$C$4),OR(Recherche!$C$5="",B2227&amp;""=Recherche!$C$5&amp;""),OR(Recherche!$C$6="",IFERROR(YEAR(L2227),0)=Recherche!$C$6),OR(Recherche!$C$7="",ISNUMBER(SEARCH(Recherche!$C$7,H2227))),OR(Recherche!$C$8="",J2227=Recherche!$C$8),OR(Recherche!$C$9="",I2227=Recherche!$C$9),OR(Recherche!$C$10="",G2227&amp;""=Recherche!$C$10&amp;""),OR(Recherche!$C$11="",E2227=Recherche!$C$11),OR(Recherche!$C$12="",ISNUMBER(SEARCH(Recherche!$C$12,M2227&amp;" "&amp;F2227)))),1,0)</f>
        <v>8</v>
      </c>
    </row>
    <row r="2228" customFormat="false" ht="15" hidden="false" customHeight="false" outlineLevel="0" collapsed="false">
      <c r="A2228" s="19"/>
      <c r="B2228" s="19"/>
      <c r="C2228" s="19"/>
      <c r="D2228" s="19"/>
      <c r="E2228" s="22"/>
      <c r="F2228" s="19"/>
      <c r="G2228" s="26" t="str">
        <f aca="false">IF(D2228="","",IFERROR(VALUE(LEFT(D2228,FIND(" |",D2228&amp;" |")-1)),"?"))</f>
        <v/>
      </c>
      <c r="H2228" s="27" t="str">
        <f aca="false">IF(G2228="","",IF(G2228="?","⚠ pub inconnue",IFERROR(INDEX(Pubs!$B$2:$B$3001,MATCH(G2228,Pubs!$A$2:$A$3001,0))&amp;"","⚠ pub inconnue")))</f>
        <v/>
      </c>
      <c r="I2228" s="27" t="str">
        <f aca="false">IF(OR(G2228="",G2228="?"),"",IFERROR(INDEX(Pubs!$C$2:$C$3001,MATCH(G2228,Pubs!$A$2:$A$3001,0))&amp;"",""))</f>
        <v/>
      </c>
      <c r="J2228" s="27" t="str">
        <f aca="false">IF(OR(G2228="",G2228="?"),"",IFERROR(INDEX(Pubs!$G$2:$G$3001,MATCH(G2228,Pubs!$A$2:$A$3001,0))&amp;"",""))</f>
        <v/>
      </c>
      <c r="K2228" s="28" t="str">
        <f aca="false">IF(OR(G2228="",G2228="?"),"",IFERROR(INDEX(Pubs!$E$2:$E$3001,MATCH(G2228,Pubs!$A$2:$A$3001,0)),""))</f>
        <v/>
      </c>
      <c r="L2228" s="29" t="str">
        <f aca="false">IF(A2228="","",IFERROR(1/(1/INDEX(Numéros!$C$2:$C$3001,MATCH(A2228&amp;"|"&amp;B2228,Numéros!$F$2:$F$3001,0))),""))</f>
        <v/>
      </c>
      <c r="M2228" s="27" t="str">
        <f aca="false">IF(OR(G2228="",G2228="?"),"",IFERROR(INDEX(Pubs!$D$2:$D$3001,MATCH(G2228,Pubs!$A$2:$A$3001,0))&amp;"",""))</f>
        <v/>
      </c>
      <c r="N2228" s="27" t="n">
        <f aca="false">N(N2227)+IF(AND(A2228&lt;&gt;"",OR(Recherche!$C$4="",A2228=Recherche!$C$4),OR(Recherche!$C$5="",B2228&amp;""=Recherche!$C$5&amp;""),OR(Recherche!$C$6="",IFERROR(YEAR(L2228),0)=Recherche!$C$6),OR(Recherche!$C$7="",ISNUMBER(SEARCH(Recherche!$C$7,H2228))),OR(Recherche!$C$8="",J2228=Recherche!$C$8),OR(Recherche!$C$9="",I2228=Recherche!$C$9),OR(Recherche!$C$10="",G2228&amp;""=Recherche!$C$10&amp;""),OR(Recherche!$C$11="",E2228=Recherche!$C$11),OR(Recherche!$C$12="",ISNUMBER(SEARCH(Recherche!$C$12,M2228&amp;" "&amp;F2228)))),1,0)</f>
        <v>8</v>
      </c>
    </row>
    <row r="2229" customFormat="false" ht="15" hidden="false" customHeight="false" outlineLevel="0" collapsed="false">
      <c r="A2229" s="19"/>
      <c r="B2229" s="19"/>
      <c r="C2229" s="19"/>
      <c r="D2229" s="19"/>
      <c r="E2229" s="22"/>
      <c r="F2229" s="19"/>
      <c r="G2229" s="26" t="str">
        <f aca="false">IF(D2229="","",IFERROR(VALUE(LEFT(D2229,FIND(" |",D2229&amp;" |")-1)),"?"))</f>
        <v/>
      </c>
      <c r="H2229" s="27" t="str">
        <f aca="false">IF(G2229="","",IF(G2229="?","⚠ pub inconnue",IFERROR(INDEX(Pubs!$B$2:$B$3001,MATCH(G2229,Pubs!$A$2:$A$3001,0))&amp;"","⚠ pub inconnue")))</f>
        <v/>
      </c>
      <c r="I2229" s="27" t="str">
        <f aca="false">IF(OR(G2229="",G2229="?"),"",IFERROR(INDEX(Pubs!$C$2:$C$3001,MATCH(G2229,Pubs!$A$2:$A$3001,0))&amp;"",""))</f>
        <v/>
      </c>
      <c r="J2229" s="27" t="str">
        <f aca="false">IF(OR(G2229="",G2229="?"),"",IFERROR(INDEX(Pubs!$G$2:$G$3001,MATCH(G2229,Pubs!$A$2:$A$3001,0))&amp;"",""))</f>
        <v/>
      </c>
      <c r="K2229" s="28" t="str">
        <f aca="false">IF(OR(G2229="",G2229="?"),"",IFERROR(INDEX(Pubs!$E$2:$E$3001,MATCH(G2229,Pubs!$A$2:$A$3001,0)),""))</f>
        <v/>
      </c>
      <c r="L2229" s="29" t="str">
        <f aca="false">IF(A2229="","",IFERROR(1/(1/INDEX(Numéros!$C$2:$C$3001,MATCH(A2229&amp;"|"&amp;B2229,Numéros!$F$2:$F$3001,0))),""))</f>
        <v/>
      </c>
      <c r="M2229" s="27" t="str">
        <f aca="false">IF(OR(G2229="",G2229="?"),"",IFERROR(INDEX(Pubs!$D$2:$D$3001,MATCH(G2229,Pubs!$A$2:$A$3001,0))&amp;"",""))</f>
        <v/>
      </c>
      <c r="N2229" s="27" t="n">
        <f aca="false">N(N2228)+IF(AND(A2229&lt;&gt;"",OR(Recherche!$C$4="",A2229=Recherche!$C$4),OR(Recherche!$C$5="",B2229&amp;""=Recherche!$C$5&amp;""),OR(Recherche!$C$6="",IFERROR(YEAR(L2229),0)=Recherche!$C$6),OR(Recherche!$C$7="",ISNUMBER(SEARCH(Recherche!$C$7,H2229))),OR(Recherche!$C$8="",J2229=Recherche!$C$8),OR(Recherche!$C$9="",I2229=Recherche!$C$9),OR(Recherche!$C$10="",G2229&amp;""=Recherche!$C$10&amp;""),OR(Recherche!$C$11="",E2229=Recherche!$C$11),OR(Recherche!$C$12="",ISNUMBER(SEARCH(Recherche!$C$12,M2229&amp;" "&amp;F2229)))),1,0)</f>
        <v>8</v>
      </c>
    </row>
    <row r="2230" customFormat="false" ht="15" hidden="false" customHeight="false" outlineLevel="0" collapsed="false">
      <c r="A2230" s="19"/>
      <c r="B2230" s="19"/>
      <c r="C2230" s="19"/>
      <c r="D2230" s="19"/>
      <c r="E2230" s="22"/>
      <c r="F2230" s="19"/>
      <c r="G2230" s="26" t="str">
        <f aca="false">IF(D2230="","",IFERROR(VALUE(LEFT(D2230,FIND(" |",D2230&amp;" |")-1)),"?"))</f>
        <v/>
      </c>
      <c r="H2230" s="27" t="str">
        <f aca="false">IF(G2230="","",IF(G2230="?","⚠ pub inconnue",IFERROR(INDEX(Pubs!$B$2:$B$3001,MATCH(G2230,Pubs!$A$2:$A$3001,0))&amp;"","⚠ pub inconnue")))</f>
        <v/>
      </c>
      <c r="I2230" s="27" t="str">
        <f aca="false">IF(OR(G2230="",G2230="?"),"",IFERROR(INDEX(Pubs!$C$2:$C$3001,MATCH(G2230,Pubs!$A$2:$A$3001,0))&amp;"",""))</f>
        <v/>
      </c>
      <c r="J2230" s="27" t="str">
        <f aca="false">IF(OR(G2230="",G2230="?"),"",IFERROR(INDEX(Pubs!$G$2:$G$3001,MATCH(G2230,Pubs!$A$2:$A$3001,0))&amp;"",""))</f>
        <v/>
      </c>
      <c r="K2230" s="28" t="str">
        <f aca="false">IF(OR(G2230="",G2230="?"),"",IFERROR(INDEX(Pubs!$E$2:$E$3001,MATCH(G2230,Pubs!$A$2:$A$3001,0)),""))</f>
        <v/>
      </c>
      <c r="L2230" s="29" t="str">
        <f aca="false">IF(A2230="","",IFERROR(1/(1/INDEX(Numéros!$C$2:$C$3001,MATCH(A2230&amp;"|"&amp;B2230,Numéros!$F$2:$F$3001,0))),""))</f>
        <v/>
      </c>
      <c r="M2230" s="27" t="str">
        <f aca="false">IF(OR(G2230="",G2230="?"),"",IFERROR(INDEX(Pubs!$D$2:$D$3001,MATCH(G2230,Pubs!$A$2:$A$3001,0))&amp;"",""))</f>
        <v/>
      </c>
      <c r="N2230" s="27" t="n">
        <f aca="false">N(N2229)+IF(AND(A2230&lt;&gt;"",OR(Recherche!$C$4="",A2230=Recherche!$C$4),OR(Recherche!$C$5="",B2230&amp;""=Recherche!$C$5&amp;""),OR(Recherche!$C$6="",IFERROR(YEAR(L2230),0)=Recherche!$C$6),OR(Recherche!$C$7="",ISNUMBER(SEARCH(Recherche!$C$7,H2230))),OR(Recherche!$C$8="",J2230=Recherche!$C$8),OR(Recherche!$C$9="",I2230=Recherche!$C$9),OR(Recherche!$C$10="",G2230&amp;""=Recherche!$C$10&amp;""),OR(Recherche!$C$11="",E2230=Recherche!$C$11),OR(Recherche!$C$12="",ISNUMBER(SEARCH(Recherche!$C$12,M2230&amp;" "&amp;F2230)))),1,0)</f>
        <v>8</v>
      </c>
    </row>
    <row r="2231" customFormat="false" ht="15" hidden="false" customHeight="false" outlineLevel="0" collapsed="false">
      <c r="A2231" s="19"/>
      <c r="B2231" s="19"/>
      <c r="C2231" s="19"/>
      <c r="D2231" s="19"/>
      <c r="E2231" s="22"/>
      <c r="F2231" s="19"/>
      <c r="G2231" s="26" t="str">
        <f aca="false">IF(D2231="","",IFERROR(VALUE(LEFT(D2231,FIND(" |",D2231&amp;" |")-1)),"?"))</f>
        <v/>
      </c>
      <c r="H2231" s="27" t="str">
        <f aca="false">IF(G2231="","",IF(G2231="?","⚠ pub inconnue",IFERROR(INDEX(Pubs!$B$2:$B$3001,MATCH(G2231,Pubs!$A$2:$A$3001,0))&amp;"","⚠ pub inconnue")))</f>
        <v/>
      </c>
      <c r="I2231" s="27" t="str">
        <f aca="false">IF(OR(G2231="",G2231="?"),"",IFERROR(INDEX(Pubs!$C$2:$C$3001,MATCH(G2231,Pubs!$A$2:$A$3001,0))&amp;"",""))</f>
        <v/>
      </c>
      <c r="J2231" s="27" t="str">
        <f aca="false">IF(OR(G2231="",G2231="?"),"",IFERROR(INDEX(Pubs!$G$2:$G$3001,MATCH(G2231,Pubs!$A$2:$A$3001,0))&amp;"",""))</f>
        <v/>
      </c>
      <c r="K2231" s="28" t="str">
        <f aca="false">IF(OR(G2231="",G2231="?"),"",IFERROR(INDEX(Pubs!$E$2:$E$3001,MATCH(G2231,Pubs!$A$2:$A$3001,0)),""))</f>
        <v/>
      </c>
      <c r="L2231" s="29" t="str">
        <f aca="false">IF(A2231="","",IFERROR(1/(1/INDEX(Numéros!$C$2:$C$3001,MATCH(A2231&amp;"|"&amp;B2231,Numéros!$F$2:$F$3001,0))),""))</f>
        <v/>
      </c>
      <c r="M2231" s="27" t="str">
        <f aca="false">IF(OR(G2231="",G2231="?"),"",IFERROR(INDEX(Pubs!$D$2:$D$3001,MATCH(G2231,Pubs!$A$2:$A$3001,0))&amp;"",""))</f>
        <v/>
      </c>
      <c r="N2231" s="27" t="n">
        <f aca="false">N(N2230)+IF(AND(A2231&lt;&gt;"",OR(Recherche!$C$4="",A2231=Recherche!$C$4),OR(Recherche!$C$5="",B2231&amp;""=Recherche!$C$5&amp;""),OR(Recherche!$C$6="",IFERROR(YEAR(L2231),0)=Recherche!$C$6),OR(Recherche!$C$7="",ISNUMBER(SEARCH(Recherche!$C$7,H2231))),OR(Recherche!$C$8="",J2231=Recherche!$C$8),OR(Recherche!$C$9="",I2231=Recherche!$C$9),OR(Recherche!$C$10="",G2231&amp;""=Recherche!$C$10&amp;""),OR(Recherche!$C$11="",E2231=Recherche!$C$11),OR(Recherche!$C$12="",ISNUMBER(SEARCH(Recherche!$C$12,M2231&amp;" "&amp;F2231)))),1,0)</f>
        <v>8</v>
      </c>
    </row>
    <row r="2232" customFormat="false" ht="15" hidden="false" customHeight="false" outlineLevel="0" collapsed="false">
      <c r="A2232" s="19"/>
      <c r="B2232" s="19"/>
      <c r="C2232" s="19"/>
      <c r="D2232" s="19"/>
      <c r="E2232" s="22"/>
      <c r="F2232" s="19"/>
      <c r="G2232" s="26" t="str">
        <f aca="false">IF(D2232="","",IFERROR(VALUE(LEFT(D2232,FIND(" |",D2232&amp;" |")-1)),"?"))</f>
        <v/>
      </c>
      <c r="H2232" s="27" t="str">
        <f aca="false">IF(G2232="","",IF(G2232="?","⚠ pub inconnue",IFERROR(INDEX(Pubs!$B$2:$B$3001,MATCH(G2232,Pubs!$A$2:$A$3001,0))&amp;"","⚠ pub inconnue")))</f>
        <v/>
      </c>
      <c r="I2232" s="27" t="str">
        <f aca="false">IF(OR(G2232="",G2232="?"),"",IFERROR(INDEX(Pubs!$C$2:$C$3001,MATCH(G2232,Pubs!$A$2:$A$3001,0))&amp;"",""))</f>
        <v/>
      </c>
      <c r="J2232" s="27" t="str">
        <f aca="false">IF(OR(G2232="",G2232="?"),"",IFERROR(INDEX(Pubs!$G$2:$G$3001,MATCH(G2232,Pubs!$A$2:$A$3001,0))&amp;"",""))</f>
        <v/>
      </c>
      <c r="K2232" s="28" t="str">
        <f aca="false">IF(OR(G2232="",G2232="?"),"",IFERROR(INDEX(Pubs!$E$2:$E$3001,MATCH(G2232,Pubs!$A$2:$A$3001,0)),""))</f>
        <v/>
      </c>
      <c r="L2232" s="29" t="str">
        <f aca="false">IF(A2232="","",IFERROR(1/(1/INDEX(Numéros!$C$2:$C$3001,MATCH(A2232&amp;"|"&amp;B2232,Numéros!$F$2:$F$3001,0))),""))</f>
        <v/>
      </c>
      <c r="M2232" s="27" t="str">
        <f aca="false">IF(OR(G2232="",G2232="?"),"",IFERROR(INDEX(Pubs!$D$2:$D$3001,MATCH(G2232,Pubs!$A$2:$A$3001,0))&amp;"",""))</f>
        <v/>
      </c>
      <c r="N2232" s="27" t="n">
        <f aca="false">N(N2231)+IF(AND(A2232&lt;&gt;"",OR(Recherche!$C$4="",A2232=Recherche!$C$4),OR(Recherche!$C$5="",B2232&amp;""=Recherche!$C$5&amp;""),OR(Recherche!$C$6="",IFERROR(YEAR(L2232),0)=Recherche!$C$6),OR(Recherche!$C$7="",ISNUMBER(SEARCH(Recherche!$C$7,H2232))),OR(Recherche!$C$8="",J2232=Recherche!$C$8),OR(Recherche!$C$9="",I2232=Recherche!$C$9),OR(Recherche!$C$10="",G2232&amp;""=Recherche!$C$10&amp;""),OR(Recherche!$C$11="",E2232=Recherche!$C$11),OR(Recherche!$C$12="",ISNUMBER(SEARCH(Recherche!$C$12,M2232&amp;" "&amp;F2232)))),1,0)</f>
        <v>8</v>
      </c>
    </row>
    <row r="2233" customFormat="false" ht="15" hidden="false" customHeight="false" outlineLevel="0" collapsed="false">
      <c r="A2233" s="19"/>
      <c r="B2233" s="19"/>
      <c r="C2233" s="19"/>
      <c r="D2233" s="19"/>
      <c r="E2233" s="22"/>
      <c r="F2233" s="19"/>
      <c r="G2233" s="26" t="str">
        <f aca="false">IF(D2233="","",IFERROR(VALUE(LEFT(D2233,FIND(" |",D2233&amp;" |")-1)),"?"))</f>
        <v/>
      </c>
      <c r="H2233" s="27" t="str">
        <f aca="false">IF(G2233="","",IF(G2233="?","⚠ pub inconnue",IFERROR(INDEX(Pubs!$B$2:$B$3001,MATCH(G2233,Pubs!$A$2:$A$3001,0))&amp;"","⚠ pub inconnue")))</f>
        <v/>
      </c>
      <c r="I2233" s="27" t="str">
        <f aca="false">IF(OR(G2233="",G2233="?"),"",IFERROR(INDEX(Pubs!$C$2:$C$3001,MATCH(G2233,Pubs!$A$2:$A$3001,0))&amp;"",""))</f>
        <v/>
      </c>
      <c r="J2233" s="27" t="str">
        <f aca="false">IF(OR(G2233="",G2233="?"),"",IFERROR(INDEX(Pubs!$G$2:$G$3001,MATCH(G2233,Pubs!$A$2:$A$3001,0))&amp;"",""))</f>
        <v/>
      </c>
      <c r="K2233" s="28" t="str">
        <f aca="false">IF(OR(G2233="",G2233="?"),"",IFERROR(INDEX(Pubs!$E$2:$E$3001,MATCH(G2233,Pubs!$A$2:$A$3001,0)),""))</f>
        <v/>
      </c>
      <c r="L2233" s="29" t="str">
        <f aca="false">IF(A2233="","",IFERROR(1/(1/INDEX(Numéros!$C$2:$C$3001,MATCH(A2233&amp;"|"&amp;B2233,Numéros!$F$2:$F$3001,0))),""))</f>
        <v/>
      </c>
      <c r="M2233" s="27" t="str">
        <f aca="false">IF(OR(G2233="",G2233="?"),"",IFERROR(INDEX(Pubs!$D$2:$D$3001,MATCH(G2233,Pubs!$A$2:$A$3001,0))&amp;"",""))</f>
        <v/>
      </c>
      <c r="N2233" s="27" t="n">
        <f aca="false">N(N2232)+IF(AND(A2233&lt;&gt;"",OR(Recherche!$C$4="",A2233=Recherche!$C$4),OR(Recherche!$C$5="",B2233&amp;""=Recherche!$C$5&amp;""),OR(Recherche!$C$6="",IFERROR(YEAR(L2233),0)=Recherche!$C$6),OR(Recherche!$C$7="",ISNUMBER(SEARCH(Recherche!$C$7,H2233))),OR(Recherche!$C$8="",J2233=Recherche!$C$8),OR(Recherche!$C$9="",I2233=Recherche!$C$9),OR(Recherche!$C$10="",G2233&amp;""=Recherche!$C$10&amp;""),OR(Recherche!$C$11="",E2233=Recherche!$C$11),OR(Recherche!$C$12="",ISNUMBER(SEARCH(Recherche!$C$12,M2233&amp;" "&amp;F2233)))),1,0)</f>
        <v>8</v>
      </c>
    </row>
    <row r="2234" customFormat="false" ht="15" hidden="false" customHeight="false" outlineLevel="0" collapsed="false">
      <c r="A2234" s="19"/>
      <c r="B2234" s="19"/>
      <c r="C2234" s="19"/>
      <c r="D2234" s="19"/>
      <c r="E2234" s="22"/>
      <c r="F2234" s="19"/>
      <c r="G2234" s="26" t="str">
        <f aca="false">IF(D2234="","",IFERROR(VALUE(LEFT(D2234,FIND(" |",D2234&amp;" |")-1)),"?"))</f>
        <v/>
      </c>
      <c r="H2234" s="27" t="str">
        <f aca="false">IF(G2234="","",IF(G2234="?","⚠ pub inconnue",IFERROR(INDEX(Pubs!$B$2:$B$3001,MATCH(G2234,Pubs!$A$2:$A$3001,0))&amp;"","⚠ pub inconnue")))</f>
        <v/>
      </c>
      <c r="I2234" s="27" t="str">
        <f aca="false">IF(OR(G2234="",G2234="?"),"",IFERROR(INDEX(Pubs!$C$2:$C$3001,MATCH(G2234,Pubs!$A$2:$A$3001,0))&amp;"",""))</f>
        <v/>
      </c>
      <c r="J2234" s="27" t="str">
        <f aca="false">IF(OR(G2234="",G2234="?"),"",IFERROR(INDEX(Pubs!$G$2:$G$3001,MATCH(G2234,Pubs!$A$2:$A$3001,0))&amp;"",""))</f>
        <v/>
      </c>
      <c r="K2234" s="28" t="str">
        <f aca="false">IF(OR(G2234="",G2234="?"),"",IFERROR(INDEX(Pubs!$E$2:$E$3001,MATCH(G2234,Pubs!$A$2:$A$3001,0)),""))</f>
        <v/>
      </c>
      <c r="L2234" s="29" t="str">
        <f aca="false">IF(A2234="","",IFERROR(1/(1/INDEX(Numéros!$C$2:$C$3001,MATCH(A2234&amp;"|"&amp;B2234,Numéros!$F$2:$F$3001,0))),""))</f>
        <v/>
      </c>
      <c r="M2234" s="27" t="str">
        <f aca="false">IF(OR(G2234="",G2234="?"),"",IFERROR(INDEX(Pubs!$D$2:$D$3001,MATCH(G2234,Pubs!$A$2:$A$3001,0))&amp;"",""))</f>
        <v/>
      </c>
      <c r="N2234" s="27" t="n">
        <f aca="false">N(N2233)+IF(AND(A2234&lt;&gt;"",OR(Recherche!$C$4="",A2234=Recherche!$C$4),OR(Recherche!$C$5="",B2234&amp;""=Recherche!$C$5&amp;""),OR(Recherche!$C$6="",IFERROR(YEAR(L2234),0)=Recherche!$C$6),OR(Recherche!$C$7="",ISNUMBER(SEARCH(Recherche!$C$7,H2234))),OR(Recherche!$C$8="",J2234=Recherche!$C$8),OR(Recherche!$C$9="",I2234=Recherche!$C$9),OR(Recherche!$C$10="",G2234&amp;""=Recherche!$C$10&amp;""),OR(Recherche!$C$11="",E2234=Recherche!$C$11),OR(Recherche!$C$12="",ISNUMBER(SEARCH(Recherche!$C$12,M2234&amp;" "&amp;F2234)))),1,0)</f>
        <v>8</v>
      </c>
    </row>
    <row r="2235" customFormat="false" ht="15" hidden="false" customHeight="false" outlineLevel="0" collapsed="false">
      <c r="A2235" s="19"/>
      <c r="B2235" s="19"/>
      <c r="C2235" s="19"/>
      <c r="D2235" s="19"/>
      <c r="E2235" s="22"/>
      <c r="F2235" s="19"/>
      <c r="G2235" s="26" t="str">
        <f aca="false">IF(D2235="","",IFERROR(VALUE(LEFT(D2235,FIND(" |",D2235&amp;" |")-1)),"?"))</f>
        <v/>
      </c>
      <c r="H2235" s="27" t="str">
        <f aca="false">IF(G2235="","",IF(G2235="?","⚠ pub inconnue",IFERROR(INDEX(Pubs!$B$2:$B$3001,MATCH(G2235,Pubs!$A$2:$A$3001,0))&amp;"","⚠ pub inconnue")))</f>
        <v/>
      </c>
      <c r="I2235" s="27" t="str">
        <f aca="false">IF(OR(G2235="",G2235="?"),"",IFERROR(INDEX(Pubs!$C$2:$C$3001,MATCH(G2235,Pubs!$A$2:$A$3001,0))&amp;"",""))</f>
        <v/>
      </c>
      <c r="J2235" s="27" t="str">
        <f aca="false">IF(OR(G2235="",G2235="?"),"",IFERROR(INDEX(Pubs!$G$2:$G$3001,MATCH(G2235,Pubs!$A$2:$A$3001,0))&amp;"",""))</f>
        <v/>
      </c>
      <c r="K2235" s="28" t="str">
        <f aca="false">IF(OR(G2235="",G2235="?"),"",IFERROR(INDEX(Pubs!$E$2:$E$3001,MATCH(G2235,Pubs!$A$2:$A$3001,0)),""))</f>
        <v/>
      </c>
      <c r="L2235" s="29" t="str">
        <f aca="false">IF(A2235="","",IFERROR(1/(1/INDEX(Numéros!$C$2:$C$3001,MATCH(A2235&amp;"|"&amp;B2235,Numéros!$F$2:$F$3001,0))),""))</f>
        <v/>
      </c>
      <c r="M2235" s="27" t="str">
        <f aca="false">IF(OR(G2235="",G2235="?"),"",IFERROR(INDEX(Pubs!$D$2:$D$3001,MATCH(G2235,Pubs!$A$2:$A$3001,0))&amp;"",""))</f>
        <v/>
      </c>
      <c r="N2235" s="27" t="n">
        <f aca="false">N(N2234)+IF(AND(A2235&lt;&gt;"",OR(Recherche!$C$4="",A2235=Recherche!$C$4),OR(Recherche!$C$5="",B2235&amp;""=Recherche!$C$5&amp;""),OR(Recherche!$C$6="",IFERROR(YEAR(L2235),0)=Recherche!$C$6),OR(Recherche!$C$7="",ISNUMBER(SEARCH(Recherche!$C$7,H2235))),OR(Recherche!$C$8="",J2235=Recherche!$C$8),OR(Recherche!$C$9="",I2235=Recherche!$C$9),OR(Recherche!$C$10="",G2235&amp;""=Recherche!$C$10&amp;""),OR(Recherche!$C$11="",E2235=Recherche!$C$11),OR(Recherche!$C$12="",ISNUMBER(SEARCH(Recherche!$C$12,M2235&amp;" "&amp;F2235)))),1,0)</f>
        <v>8</v>
      </c>
    </row>
    <row r="2236" customFormat="false" ht="15" hidden="false" customHeight="false" outlineLevel="0" collapsed="false">
      <c r="A2236" s="19"/>
      <c r="B2236" s="19"/>
      <c r="C2236" s="19"/>
      <c r="D2236" s="19"/>
      <c r="E2236" s="22"/>
      <c r="F2236" s="19"/>
      <c r="G2236" s="26" t="str">
        <f aca="false">IF(D2236="","",IFERROR(VALUE(LEFT(D2236,FIND(" |",D2236&amp;" |")-1)),"?"))</f>
        <v/>
      </c>
      <c r="H2236" s="27" t="str">
        <f aca="false">IF(G2236="","",IF(G2236="?","⚠ pub inconnue",IFERROR(INDEX(Pubs!$B$2:$B$3001,MATCH(G2236,Pubs!$A$2:$A$3001,0))&amp;"","⚠ pub inconnue")))</f>
        <v/>
      </c>
      <c r="I2236" s="27" t="str">
        <f aca="false">IF(OR(G2236="",G2236="?"),"",IFERROR(INDEX(Pubs!$C$2:$C$3001,MATCH(G2236,Pubs!$A$2:$A$3001,0))&amp;"",""))</f>
        <v/>
      </c>
      <c r="J2236" s="27" t="str">
        <f aca="false">IF(OR(G2236="",G2236="?"),"",IFERROR(INDEX(Pubs!$G$2:$G$3001,MATCH(G2236,Pubs!$A$2:$A$3001,0))&amp;"",""))</f>
        <v/>
      </c>
      <c r="K2236" s="28" t="str">
        <f aca="false">IF(OR(G2236="",G2236="?"),"",IFERROR(INDEX(Pubs!$E$2:$E$3001,MATCH(G2236,Pubs!$A$2:$A$3001,0)),""))</f>
        <v/>
      </c>
      <c r="L2236" s="29" t="str">
        <f aca="false">IF(A2236="","",IFERROR(1/(1/INDEX(Numéros!$C$2:$C$3001,MATCH(A2236&amp;"|"&amp;B2236,Numéros!$F$2:$F$3001,0))),""))</f>
        <v/>
      </c>
      <c r="M2236" s="27" t="str">
        <f aca="false">IF(OR(G2236="",G2236="?"),"",IFERROR(INDEX(Pubs!$D$2:$D$3001,MATCH(G2236,Pubs!$A$2:$A$3001,0))&amp;"",""))</f>
        <v/>
      </c>
      <c r="N2236" s="27" t="n">
        <f aca="false">N(N2235)+IF(AND(A2236&lt;&gt;"",OR(Recherche!$C$4="",A2236=Recherche!$C$4),OR(Recherche!$C$5="",B2236&amp;""=Recherche!$C$5&amp;""),OR(Recherche!$C$6="",IFERROR(YEAR(L2236),0)=Recherche!$C$6),OR(Recherche!$C$7="",ISNUMBER(SEARCH(Recherche!$C$7,H2236))),OR(Recherche!$C$8="",J2236=Recherche!$C$8),OR(Recherche!$C$9="",I2236=Recherche!$C$9),OR(Recherche!$C$10="",G2236&amp;""=Recherche!$C$10&amp;""),OR(Recherche!$C$11="",E2236=Recherche!$C$11),OR(Recherche!$C$12="",ISNUMBER(SEARCH(Recherche!$C$12,M2236&amp;" "&amp;F2236)))),1,0)</f>
        <v>8</v>
      </c>
    </row>
    <row r="2237" customFormat="false" ht="15" hidden="false" customHeight="false" outlineLevel="0" collapsed="false">
      <c r="A2237" s="19"/>
      <c r="B2237" s="19"/>
      <c r="C2237" s="19"/>
      <c r="D2237" s="19"/>
      <c r="E2237" s="22"/>
      <c r="F2237" s="19"/>
      <c r="G2237" s="26" t="str">
        <f aca="false">IF(D2237="","",IFERROR(VALUE(LEFT(D2237,FIND(" |",D2237&amp;" |")-1)),"?"))</f>
        <v/>
      </c>
      <c r="H2237" s="27" t="str">
        <f aca="false">IF(G2237="","",IF(G2237="?","⚠ pub inconnue",IFERROR(INDEX(Pubs!$B$2:$B$3001,MATCH(G2237,Pubs!$A$2:$A$3001,0))&amp;"","⚠ pub inconnue")))</f>
        <v/>
      </c>
      <c r="I2237" s="27" t="str">
        <f aca="false">IF(OR(G2237="",G2237="?"),"",IFERROR(INDEX(Pubs!$C$2:$C$3001,MATCH(G2237,Pubs!$A$2:$A$3001,0))&amp;"",""))</f>
        <v/>
      </c>
      <c r="J2237" s="27" t="str">
        <f aca="false">IF(OR(G2237="",G2237="?"),"",IFERROR(INDEX(Pubs!$G$2:$G$3001,MATCH(G2237,Pubs!$A$2:$A$3001,0))&amp;"",""))</f>
        <v/>
      </c>
      <c r="K2237" s="28" t="str">
        <f aca="false">IF(OR(G2237="",G2237="?"),"",IFERROR(INDEX(Pubs!$E$2:$E$3001,MATCH(G2237,Pubs!$A$2:$A$3001,0)),""))</f>
        <v/>
      </c>
      <c r="L2237" s="29" t="str">
        <f aca="false">IF(A2237="","",IFERROR(1/(1/INDEX(Numéros!$C$2:$C$3001,MATCH(A2237&amp;"|"&amp;B2237,Numéros!$F$2:$F$3001,0))),""))</f>
        <v/>
      </c>
      <c r="M2237" s="27" t="str">
        <f aca="false">IF(OR(G2237="",G2237="?"),"",IFERROR(INDEX(Pubs!$D$2:$D$3001,MATCH(G2237,Pubs!$A$2:$A$3001,0))&amp;"",""))</f>
        <v/>
      </c>
      <c r="N2237" s="27" t="n">
        <f aca="false">N(N2236)+IF(AND(A2237&lt;&gt;"",OR(Recherche!$C$4="",A2237=Recherche!$C$4),OR(Recherche!$C$5="",B2237&amp;""=Recherche!$C$5&amp;""),OR(Recherche!$C$6="",IFERROR(YEAR(L2237),0)=Recherche!$C$6),OR(Recherche!$C$7="",ISNUMBER(SEARCH(Recherche!$C$7,H2237))),OR(Recherche!$C$8="",J2237=Recherche!$C$8),OR(Recherche!$C$9="",I2237=Recherche!$C$9),OR(Recherche!$C$10="",G2237&amp;""=Recherche!$C$10&amp;""),OR(Recherche!$C$11="",E2237=Recherche!$C$11),OR(Recherche!$C$12="",ISNUMBER(SEARCH(Recherche!$C$12,M2237&amp;" "&amp;F2237)))),1,0)</f>
        <v>8</v>
      </c>
    </row>
    <row r="2238" customFormat="false" ht="15" hidden="false" customHeight="false" outlineLevel="0" collapsed="false">
      <c r="A2238" s="19"/>
      <c r="B2238" s="19"/>
      <c r="C2238" s="19"/>
      <c r="D2238" s="19"/>
      <c r="E2238" s="22"/>
      <c r="F2238" s="19"/>
      <c r="G2238" s="26" t="str">
        <f aca="false">IF(D2238="","",IFERROR(VALUE(LEFT(D2238,FIND(" |",D2238&amp;" |")-1)),"?"))</f>
        <v/>
      </c>
      <c r="H2238" s="27" t="str">
        <f aca="false">IF(G2238="","",IF(G2238="?","⚠ pub inconnue",IFERROR(INDEX(Pubs!$B$2:$B$3001,MATCH(G2238,Pubs!$A$2:$A$3001,0))&amp;"","⚠ pub inconnue")))</f>
        <v/>
      </c>
      <c r="I2238" s="27" t="str">
        <f aca="false">IF(OR(G2238="",G2238="?"),"",IFERROR(INDEX(Pubs!$C$2:$C$3001,MATCH(G2238,Pubs!$A$2:$A$3001,0))&amp;"",""))</f>
        <v/>
      </c>
      <c r="J2238" s="27" t="str">
        <f aca="false">IF(OR(G2238="",G2238="?"),"",IFERROR(INDEX(Pubs!$G$2:$G$3001,MATCH(G2238,Pubs!$A$2:$A$3001,0))&amp;"",""))</f>
        <v/>
      </c>
      <c r="K2238" s="28" t="str">
        <f aca="false">IF(OR(G2238="",G2238="?"),"",IFERROR(INDEX(Pubs!$E$2:$E$3001,MATCH(G2238,Pubs!$A$2:$A$3001,0)),""))</f>
        <v/>
      </c>
      <c r="L2238" s="29" t="str">
        <f aca="false">IF(A2238="","",IFERROR(1/(1/INDEX(Numéros!$C$2:$C$3001,MATCH(A2238&amp;"|"&amp;B2238,Numéros!$F$2:$F$3001,0))),""))</f>
        <v/>
      </c>
      <c r="M2238" s="27" t="str">
        <f aca="false">IF(OR(G2238="",G2238="?"),"",IFERROR(INDEX(Pubs!$D$2:$D$3001,MATCH(G2238,Pubs!$A$2:$A$3001,0))&amp;"",""))</f>
        <v/>
      </c>
      <c r="N2238" s="27" t="n">
        <f aca="false">N(N2237)+IF(AND(A2238&lt;&gt;"",OR(Recherche!$C$4="",A2238=Recherche!$C$4),OR(Recherche!$C$5="",B2238&amp;""=Recherche!$C$5&amp;""),OR(Recherche!$C$6="",IFERROR(YEAR(L2238),0)=Recherche!$C$6),OR(Recherche!$C$7="",ISNUMBER(SEARCH(Recherche!$C$7,H2238))),OR(Recherche!$C$8="",J2238=Recherche!$C$8),OR(Recherche!$C$9="",I2238=Recherche!$C$9),OR(Recherche!$C$10="",G2238&amp;""=Recherche!$C$10&amp;""),OR(Recherche!$C$11="",E2238=Recherche!$C$11),OR(Recherche!$C$12="",ISNUMBER(SEARCH(Recherche!$C$12,M2238&amp;" "&amp;F2238)))),1,0)</f>
        <v>8</v>
      </c>
    </row>
    <row r="2239" customFormat="false" ht="15" hidden="false" customHeight="false" outlineLevel="0" collapsed="false">
      <c r="A2239" s="19"/>
      <c r="B2239" s="19"/>
      <c r="C2239" s="19"/>
      <c r="D2239" s="19"/>
      <c r="E2239" s="22"/>
      <c r="F2239" s="19"/>
      <c r="G2239" s="26" t="str">
        <f aca="false">IF(D2239="","",IFERROR(VALUE(LEFT(D2239,FIND(" |",D2239&amp;" |")-1)),"?"))</f>
        <v/>
      </c>
      <c r="H2239" s="27" t="str">
        <f aca="false">IF(G2239="","",IF(G2239="?","⚠ pub inconnue",IFERROR(INDEX(Pubs!$B$2:$B$3001,MATCH(G2239,Pubs!$A$2:$A$3001,0))&amp;"","⚠ pub inconnue")))</f>
        <v/>
      </c>
      <c r="I2239" s="27" t="str">
        <f aca="false">IF(OR(G2239="",G2239="?"),"",IFERROR(INDEX(Pubs!$C$2:$C$3001,MATCH(G2239,Pubs!$A$2:$A$3001,0))&amp;"",""))</f>
        <v/>
      </c>
      <c r="J2239" s="27" t="str">
        <f aca="false">IF(OR(G2239="",G2239="?"),"",IFERROR(INDEX(Pubs!$G$2:$G$3001,MATCH(G2239,Pubs!$A$2:$A$3001,0))&amp;"",""))</f>
        <v/>
      </c>
      <c r="K2239" s="28" t="str">
        <f aca="false">IF(OR(G2239="",G2239="?"),"",IFERROR(INDEX(Pubs!$E$2:$E$3001,MATCH(G2239,Pubs!$A$2:$A$3001,0)),""))</f>
        <v/>
      </c>
      <c r="L2239" s="29" t="str">
        <f aca="false">IF(A2239="","",IFERROR(1/(1/INDEX(Numéros!$C$2:$C$3001,MATCH(A2239&amp;"|"&amp;B2239,Numéros!$F$2:$F$3001,0))),""))</f>
        <v/>
      </c>
      <c r="M2239" s="27" t="str">
        <f aca="false">IF(OR(G2239="",G2239="?"),"",IFERROR(INDEX(Pubs!$D$2:$D$3001,MATCH(G2239,Pubs!$A$2:$A$3001,0))&amp;"",""))</f>
        <v/>
      </c>
      <c r="N2239" s="27" t="n">
        <f aca="false">N(N2238)+IF(AND(A2239&lt;&gt;"",OR(Recherche!$C$4="",A2239=Recherche!$C$4),OR(Recherche!$C$5="",B2239&amp;""=Recherche!$C$5&amp;""),OR(Recherche!$C$6="",IFERROR(YEAR(L2239),0)=Recherche!$C$6),OR(Recherche!$C$7="",ISNUMBER(SEARCH(Recherche!$C$7,H2239))),OR(Recherche!$C$8="",J2239=Recherche!$C$8),OR(Recherche!$C$9="",I2239=Recherche!$C$9),OR(Recherche!$C$10="",G2239&amp;""=Recherche!$C$10&amp;""),OR(Recherche!$C$11="",E2239=Recherche!$C$11),OR(Recherche!$C$12="",ISNUMBER(SEARCH(Recherche!$C$12,M2239&amp;" "&amp;F2239)))),1,0)</f>
        <v>8</v>
      </c>
    </row>
    <row r="2240" customFormat="false" ht="15" hidden="false" customHeight="false" outlineLevel="0" collapsed="false">
      <c r="A2240" s="19"/>
      <c r="B2240" s="19"/>
      <c r="C2240" s="19"/>
      <c r="D2240" s="19"/>
      <c r="E2240" s="22"/>
      <c r="F2240" s="19"/>
      <c r="G2240" s="26" t="str">
        <f aca="false">IF(D2240="","",IFERROR(VALUE(LEFT(D2240,FIND(" |",D2240&amp;" |")-1)),"?"))</f>
        <v/>
      </c>
      <c r="H2240" s="27" t="str">
        <f aca="false">IF(G2240="","",IF(G2240="?","⚠ pub inconnue",IFERROR(INDEX(Pubs!$B$2:$B$3001,MATCH(G2240,Pubs!$A$2:$A$3001,0))&amp;"","⚠ pub inconnue")))</f>
        <v/>
      </c>
      <c r="I2240" s="27" t="str">
        <f aca="false">IF(OR(G2240="",G2240="?"),"",IFERROR(INDEX(Pubs!$C$2:$C$3001,MATCH(G2240,Pubs!$A$2:$A$3001,0))&amp;"",""))</f>
        <v/>
      </c>
      <c r="J2240" s="27" t="str">
        <f aca="false">IF(OR(G2240="",G2240="?"),"",IFERROR(INDEX(Pubs!$G$2:$G$3001,MATCH(G2240,Pubs!$A$2:$A$3001,0))&amp;"",""))</f>
        <v/>
      </c>
      <c r="K2240" s="28" t="str">
        <f aca="false">IF(OR(G2240="",G2240="?"),"",IFERROR(INDEX(Pubs!$E$2:$E$3001,MATCH(G2240,Pubs!$A$2:$A$3001,0)),""))</f>
        <v/>
      </c>
      <c r="L2240" s="29" t="str">
        <f aca="false">IF(A2240="","",IFERROR(1/(1/INDEX(Numéros!$C$2:$C$3001,MATCH(A2240&amp;"|"&amp;B2240,Numéros!$F$2:$F$3001,0))),""))</f>
        <v/>
      </c>
      <c r="M2240" s="27" t="str">
        <f aca="false">IF(OR(G2240="",G2240="?"),"",IFERROR(INDEX(Pubs!$D$2:$D$3001,MATCH(G2240,Pubs!$A$2:$A$3001,0))&amp;"",""))</f>
        <v/>
      </c>
      <c r="N2240" s="27" t="n">
        <f aca="false">N(N2239)+IF(AND(A2240&lt;&gt;"",OR(Recherche!$C$4="",A2240=Recherche!$C$4),OR(Recherche!$C$5="",B2240&amp;""=Recherche!$C$5&amp;""),OR(Recherche!$C$6="",IFERROR(YEAR(L2240),0)=Recherche!$C$6),OR(Recherche!$C$7="",ISNUMBER(SEARCH(Recherche!$C$7,H2240))),OR(Recherche!$C$8="",J2240=Recherche!$C$8),OR(Recherche!$C$9="",I2240=Recherche!$C$9),OR(Recherche!$C$10="",G2240&amp;""=Recherche!$C$10&amp;""),OR(Recherche!$C$11="",E2240=Recherche!$C$11),OR(Recherche!$C$12="",ISNUMBER(SEARCH(Recherche!$C$12,M2240&amp;" "&amp;F2240)))),1,0)</f>
        <v>8</v>
      </c>
    </row>
    <row r="2241" customFormat="false" ht="15" hidden="false" customHeight="false" outlineLevel="0" collapsed="false">
      <c r="A2241" s="19"/>
      <c r="B2241" s="19"/>
      <c r="C2241" s="19"/>
      <c r="D2241" s="19"/>
      <c r="E2241" s="22"/>
      <c r="F2241" s="19"/>
      <c r="G2241" s="26" t="str">
        <f aca="false">IF(D2241="","",IFERROR(VALUE(LEFT(D2241,FIND(" |",D2241&amp;" |")-1)),"?"))</f>
        <v/>
      </c>
      <c r="H2241" s="27" t="str">
        <f aca="false">IF(G2241="","",IF(G2241="?","⚠ pub inconnue",IFERROR(INDEX(Pubs!$B$2:$B$3001,MATCH(G2241,Pubs!$A$2:$A$3001,0))&amp;"","⚠ pub inconnue")))</f>
        <v/>
      </c>
      <c r="I2241" s="27" t="str">
        <f aca="false">IF(OR(G2241="",G2241="?"),"",IFERROR(INDEX(Pubs!$C$2:$C$3001,MATCH(G2241,Pubs!$A$2:$A$3001,0))&amp;"",""))</f>
        <v/>
      </c>
      <c r="J2241" s="27" t="str">
        <f aca="false">IF(OR(G2241="",G2241="?"),"",IFERROR(INDEX(Pubs!$G$2:$G$3001,MATCH(G2241,Pubs!$A$2:$A$3001,0))&amp;"",""))</f>
        <v/>
      </c>
      <c r="K2241" s="28" t="str">
        <f aca="false">IF(OR(G2241="",G2241="?"),"",IFERROR(INDEX(Pubs!$E$2:$E$3001,MATCH(G2241,Pubs!$A$2:$A$3001,0)),""))</f>
        <v/>
      </c>
      <c r="L2241" s="29" t="str">
        <f aca="false">IF(A2241="","",IFERROR(1/(1/INDEX(Numéros!$C$2:$C$3001,MATCH(A2241&amp;"|"&amp;B2241,Numéros!$F$2:$F$3001,0))),""))</f>
        <v/>
      </c>
      <c r="M2241" s="27" t="str">
        <f aca="false">IF(OR(G2241="",G2241="?"),"",IFERROR(INDEX(Pubs!$D$2:$D$3001,MATCH(G2241,Pubs!$A$2:$A$3001,0))&amp;"",""))</f>
        <v/>
      </c>
      <c r="N2241" s="27" t="n">
        <f aca="false">N(N2240)+IF(AND(A2241&lt;&gt;"",OR(Recherche!$C$4="",A2241=Recherche!$C$4),OR(Recherche!$C$5="",B2241&amp;""=Recherche!$C$5&amp;""),OR(Recherche!$C$6="",IFERROR(YEAR(L2241),0)=Recherche!$C$6),OR(Recherche!$C$7="",ISNUMBER(SEARCH(Recherche!$C$7,H2241))),OR(Recherche!$C$8="",J2241=Recherche!$C$8),OR(Recherche!$C$9="",I2241=Recherche!$C$9),OR(Recherche!$C$10="",G2241&amp;""=Recherche!$C$10&amp;""),OR(Recherche!$C$11="",E2241=Recherche!$C$11),OR(Recherche!$C$12="",ISNUMBER(SEARCH(Recherche!$C$12,M2241&amp;" "&amp;F2241)))),1,0)</f>
        <v>8</v>
      </c>
    </row>
    <row r="2242" customFormat="false" ht="15" hidden="false" customHeight="false" outlineLevel="0" collapsed="false">
      <c r="A2242" s="19"/>
      <c r="B2242" s="19"/>
      <c r="C2242" s="19"/>
      <c r="D2242" s="19"/>
      <c r="E2242" s="22"/>
      <c r="F2242" s="19"/>
      <c r="G2242" s="26" t="str">
        <f aca="false">IF(D2242="","",IFERROR(VALUE(LEFT(D2242,FIND(" |",D2242&amp;" |")-1)),"?"))</f>
        <v/>
      </c>
      <c r="H2242" s="27" t="str">
        <f aca="false">IF(G2242="","",IF(G2242="?","⚠ pub inconnue",IFERROR(INDEX(Pubs!$B$2:$B$3001,MATCH(G2242,Pubs!$A$2:$A$3001,0))&amp;"","⚠ pub inconnue")))</f>
        <v/>
      </c>
      <c r="I2242" s="27" t="str">
        <f aca="false">IF(OR(G2242="",G2242="?"),"",IFERROR(INDEX(Pubs!$C$2:$C$3001,MATCH(G2242,Pubs!$A$2:$A$3001,0))&amp;"",""))</f>
        <v/>
      </c>
      <c r="J2242" s="27" t="str">
        <f aca="false">IF(OR(G2242="",G2242="?"),"",IFERROR(INDEX(Pubs!$G$2:$G$3001,MATCH(G2242,Pubs!$A$2:$A$3001,0))&amp;"",""))</f>
        <v/>
      </c>
      <c r="K2242" s="28" t="str">
        <f aca="false">IF(OR(G2242="",G2242="?"),"",IFERROR(INDEX(Pubs!$E$2:$E$3001,MATCH(G2242,Pubs!$A$2:$A$3001,0)),""))</f>
        <v/>
      </c>
      <c r="L2242" s="29" t="str">
        <f aca="false">IF(A2242="","",IFERROR(1/(1/INDEX(Numéros!$C$2:$C$3001,MATCH(A2242&amp;"|"&amp;B2242,Numéros!$F$2:$F$3001,0))),""))</f>
        <v/>
      </c>
      <c r="M2242" s="27" t="str">
        <f aca="false">IF(OR(G2242="",G2242="?"),"",IFERROR(INDEX(Pubs!$D$2:$D$3001,MATCH(G2242,Pubs!$A$2:$A$3001,0))&amp;"",""))</f>
        <v/>
      </c>
      <c r="N2242" s="27" t="n">
        <f aca="false">N(N2241)+IF(AND(A2242&lt;&gt;"",OR(Recherche!$C$4="",A2242=Recherche!$C$4),OR(Recherche!$C$5="",B2242&amp;""=Recherche!$C$5&amp;""),OR(Recherche!$C$6="",IFERROR(YEAR(L2242),0)=Recherche!$C$6),OR(Recherche!$C$7="",ISNUMBER(SEARCH(Recherche!$C$7,H2242))),OR(Recherche!$C$8="",J2242=Recherche!$C$8),OR(Recherche!$C$9="",I2242=Recherche!$C$9),OR(Recherche!$C$10="",G2242&amp;""=Recherche!$C$10&amp;""),OR(Recherche!$C$11="",E2242=Recherche!$C$11),OR(Recherche!$C$12="",ISNUMBER(SEARCH(Recherche!$C$12,M2242&amp;" "&amp;F2242)))),1,0)</f>
        <v>8</v>
      </c>
    </row>
    <row r="2243" customFormat="false" ht="15" hidden="false" customHeight="false" outlineLevel="0" collapsed="false">
      <c r="A2243" s="19"/>
      <c r="B2243" s="19"/>
      <c r="C2243" s="19"/>
      <c r="D2243" s="19"/>
      <c r="E2243" s="22"/>
      <c r="F2243" s="19"/>
      <c r="G2243" s="26" t="str">
        <f aca="false">IF(D2243="","",IFERROR(VALUE(LEFT(D2243,FIND(" |",D2243&amp;" |")-1)),"?"))</f>
        <v/>
      </c>
      <c r="H2243" s="27" t="str">
        <f aca="false">IF(G2243="","",IF(G2243="?","⚠ pub inconnue",IFERROR(INDEX(Pubs!$B$2:$B$3001,MATCH(G2243,Pubs!$A$2:$A$3001,0))&amp;"","⚠ pub inconnue")))</f>
        <v/>
      </c>
      <c r="I2243" s="27" t="str">
        <f aca="false">IF(OR(G2243="",G2243="?"),"",IFERROR(INDEX(Pubs!$C$2:$C$3001,MATCH(G2243,Pubs!$A$2:$A$3001,0))&amp;"",""))</f>
        <v/>
      </c>
      <c r="J2243" s="27" t="str">
        <f aca="false">IF(OR(G2243="",G2243="?"),"",IFERROR(INDEX(Pubs!$G$2:$G$3001,MATCH(G2243,Pubs!$A$2:$A$3001,0))&amp;"",""))</f>
        <v/>
      </c>
      <c r="K2243" s="28" t="str">
        <f aca="false">IF(OR(G2243="",G2243="?"),"",IFERROR(INDEX(Pubs!$E$2:$E$3001,MATCH(G2243,Pubs!$A$2:$A$3001,0)),""))</f>
        <v/>
      </c>
      <c r="L2243" s="29" t="str">
        <f aca="false">IF(A2243="","",IFERROR(1/(1/INDEX(Numéros!$C$2:$C$3001,MATCH(A2243&amp;"|"&amp;B2243,Numéros!$F$2:$F$3001,0))),""))</f>
        <v/>
      </c>
      <c r="M2243" s="27" t="str">
        <f aca="false">IF(OR(G2243="",G2243="?"),"",IFERROR(INDEX(Pubs!$D$2:$D$3001,MATCH(G2243,Pubs!$A$2:$A$3001,0))&amp;"",""))</f>
        <v/>
      </c>
      <c r="N2243" s="27" t="n">
        <f aca="false">N(N2242)+IF(AND(A2243&lt;&gt;"",OR(Recherche!$C$4="",A2243=Recherche!$C$4),OR(Recherche!$C$5="",B2243&amp;""=Recherche!$C$5&amp;""),OR(Recherche!$C$6="",IFERROR(YEAR(L2243),0)=Recherche!$C$6),OR(Recherche!$C$7="",ISNUMBER(SEARCH(Recherche!$C$7,H2243))),OR(Recherche!$C$8="",J2243=Recherche!$C$8),OR(Recherche!$C$9="",I2243=Recherche!$C$9),OR(Recherche!$C$10="",G2243&amp;""=Recherche!$C$10&amp;""),OR(Recherche!$C$11="",E2243=Recherche!$C$11),OR(Recherche!$C$12="",ISNUMBER(SEARCH(Recherche!$C$12,M2243&amp;" "&amp;F2243)))),1,0)</f>
        <v>8</v>
      </c>
    </row>
    <row r="2244" customFormat="false" ht="15" hidden="false" customHeight="false" outlineLevel="0" collapsed="false">
      <c r="A2244" s="19"/>
      <c r="B2244" s="19"/>
      <c r="C2244" s="19"/>
      <c r="D2244" s="19"/>
      <c r="E2244" s="22"/>
      <c r="F2244" s="19"/>
      <c r="G2244" s="26" t="str">
        <f aca="false">IF(D2244="","",IFERROR(VALUE(LEFT(D2244,FIND(" |",D2244&amp;" |")-1)),"?"))</f>
        <v/>
      </c>
      <c r="H2244" s="27" t="str">
        <f aca="false">IF(G2244="","",IF(G2244="?","⚠ pub inconnue",IFERROR(INDEX(Pubs!$B$2:$B$3001,MATCH(G2244,Pubs!$A$2:$A$3001,0))&amp;"","⚠ pub inconnue")))</f>
        <v/>
      </c>
      <c r="I2244" s="27" t="str">
        <f aca="false">IF(OR(G2244="",G2244="?"),"",IFERROR(INDEX(Pubs!$C$2:$C$3001,MATCH(G2244,Pubs!$A$2:$A$3001,0))&amp;"",""))</f>
        <v/>
      </c>
      <c r="J2244" s="27" t="str">
        <f aca="false">IF(OR(G2244="",G2244="?"),"",IFERROR(INDEX(Pubs!$G$2:$G$3001,MATCH(G2244,Pubs!$A$2:$A$3001,0))&amp;"",""))</f>
        <v/>
      </c>
      <c r="K2244" s="28" t="str">
        <f aca="false">IF(OR(G2244="",G2244="?"),"",IFERROR(INDEX(Pubs!$E$2:$E$3001,MATCH(G2244,Pubs!$A$2:$A$3001,0)),""))</f>
        <v/>
      </c>
      <c r="L2244" s="29" t="str">
        <f aca="false">IF(A2244="","",IFERROR(1/(1/INDEX(Numéros!$C$2:$C$3001,MATCH(A2244&amp;"|"&amp;B2244,Numéros!$F$2:$F$3001,0))),""))</f>
        <v/>
      </c>
      <c r="M2244" s="27" t="str">
        <f aca="false">IF(OR(G2244="",G2244="?"),"",IFERROR(INDEX(Pubs!$D$2:$D$3001,MATCH(G2244,Pubs!$A$2:$A$3001,0))&amp;"",""))</f>
        <v/>
      </c>
      <c r="N2244" s="27" t="n">
        <f aca="false">N(N2243)+IF(AND(A2244&lt;&gt;"",OR(Recherche!$C$4="",A2244=Recherche!$C$4),OR(Recherche!$C$5="",B2244&amp;""=Recherche!$C$5&amp;""),OR(Recherche!$C$6="",IFERROR(YEAR(L2244),0)=Recherche!$C$6),OR(Recherche!$C$7="",ISNUMBER(SEARCH(Recherche!$C$7,H2244))),OR(Recherche!$C$8="",J2244=Recherche!$C$8),OR(Recherche!$C$9="",I2244=Recherche!$C$9),OR(Recherche!$C$10="",G2244&amp;""=Recherche!$C$10&amp;""),OR(Recherche!$C$11="",E2244=Recherche!$C$11),OR(Recherche!$C$12="",ISNUMBER(SEARCH(Recherche!$C$12,M2244&amp;" "&amp;F2244)))),1,0)</f>
        <v>8</v>
      </c>
    </row>
    <row r="2245" customFormat="false" ht="15" hidden="false" customHeight="false" outlineLevel="0" collapsed="false">
      <c r="A2245" s="19"/>
      <c r="B2245" s="19"/>
      <c r="C2245" s="19"/>
      <c r="D2245" s="19"/>
      <c r="E2245" s="22"/>
      <c r="F2245" s="19"/>
      <c r="G2245" s="26" t="str">
        <f aca="false">IF(D2245="","",IFERROR(VALUE(LEFT(D2245,FIND(" |",D2245&amp;" |")-1)),"?"))</f>
        <v/>
      </c>
      <c r="H2245" s="27" t="str">
        <f aca="false">IF(G2245="","",IF(G2245="?","⚠ pub inconnue",IFERROR(INDEX(Pubs!$B$2:$B$3001,MATCH(G2245,Pubs!$A$2:$A$3001,0))&amp;"","⚠ pub inconnue")))</f>
        <v/>
      </c>
      <c r="I2245" s="27" t="str">
        <f aca="false">IF(OR(G2245="",G2245="?"),"",IFERROR(INDEX(Pubs!$C$2:$C$3001,MATCH(G2245,Pubs!$A$2:$A$3001,0))&amp;"",""))</f>
        <v/>
      </c>
      <c r="J2245" s="27" t="str">
        <f aca="false">IF(OR(G2245="",G2245="?"),"",IFERROR(INDEX(Pubs!$G$2:$G$3001,MATCH(G2245,Pubs!$A$2:$A$3001,0))&amp;"",""))</f>
        <v/>
      </c>
      <c r="K2245" s="28" t="str">
        <f aca="false">IF(OR(G2245="",G2245="?"),"",IFERROR(INDEX(Pubs!$E$2:$E$3001,MATCH(G2245,Pubs!$A$2:$A$3001,0)),""))</f>
        <v/>
      </c>
      <c r="L2245" s="29" t="str">
        <f aca="false">IF(A2245="","",IFERROR(1/(1/INDEX(Numéros!$C$2:$C$3001,MATCH(A2245&amp;"|"&amp;B2245,Numéros!$F$2:$F$3001,0))),""))</f>
        <v/>
      </c>
      <c r="M2245" s="27" t="str">
        <f aca="false">IF(OR(G2245="",G2245="?"),"",IFERROR(INDEX(Pubs!$D$2:$D$3001,MATCH(G2245,Pubs!$A$2:$A$3001,0))&amp;"",""))</f>
        <v/>
      </c>
      <c r="N2245" s="27" t="n">
        <f aca="false">N(N2244)+IF(AND(A2245&lt;&gt;"",OR(Recherche!$C$4="",A2245=Recherche!$C$4),OR(Recherche!$C$5="",B2245&amp;""=Recherche!$C$5&amp;""),OR(Recherche!$C$6="",IFERROR(YEAR(L2245),0)=Recherche!$C$6),OR(Recherche!$C$7="",ISNUMBER(SEARCH(Recherche!$C$7,H2245))),OR(Recherche!$C$8="",J2245=Recherche!$C$8),OR(Recherche!$C$9="",I2245=Recherche!$C$9),OR(Recherche!$C$10="",G2245&amp;""=Recherche!$C$10&amp;""),OR(Recherche!$C$11="",E2245=Recherche!$C$11),OR(Recherche!$C$12="",ISNUMBER(SEARCH(Recherche!$C$12,M2245&amp;" "&amp;F2245)))),1,0)</f>
        <v>8</v>
      </c>
    </row>
    <row r="2246" customFormat="false" ht="15" hidden="false" customHeight="false" outlineLevel="0" collapsed="false">
      <c r="A2246" s="19"/>
      <c r="B2246" s="19"/>
      <c r="C2246" s="19"/>
      <c r="D2246" s="19"/>
      <c r="E2246" s="22"/>
      <c r="F2246" s="19"/>
      <c r="G2246" s="26" t="str">
        <f aca="false">IF(D2246="","",IFERROR(VALUE(LEFT(D2246,FIND(" |",D2246&amp;" |")-1)),"?"))</f>
        <v/>
      </c>
      <c r="H2246" s="27" t="str">
        <f aca="false">IF(G2246="","",IF(G2246="?","⚠ pub inconnue",IFERROR(INDEX(Pubs!$B$2:$B$3001,MATCH(G2246,Pubs!$A$2:$A$3001,0))&amp;"","⚠ pub inconnue")))</f>
        <v/>
      </c>
      <c r="I2246" s="27" t="str">
        <f aca="false">IF(OR(G2246="",G2246="?"),"",IFERROR(INDEX(Pubs!$C$2:$C$3001,MATCH(G2246,Pubs!$A$2:$A$3001,0))&amp;"",""))</f>
        <v/>
      </c>
      <c r="J2246" s="27" t="str">
        <f aca="false">IF(OR(G2246="",G2246="?"),"",IFERROR(INDEX(Pubs!$G$2:$G$3001,MATCH(G2246,Pubs!$A$2:$A$3001,0))&amp;"",""))</f>
        <v/>
      </c>
      <c r="K2246" s="28" t="str">
        <f aca="false">IF(OR(G2246="",G2246="?"),"",IFERROR(INDEX(Pubs!$E$2:$E$3001,MATCH(G2246,Pubs!$A$2:$A$3001,0)),""))</f>
        <v/>
      </c>
      <c r="L2246" s="29" t="str">
        <f aca="false">IF(A2246="","",IFERROR(1/(1/INDEX(Numéros!$C$2:$C$3001,MATCH(A2246&amp;"|"&amp;B2246,Numéros!$F$2:$F$3001,0))),""))</f>
        <v/>
      </c>
      <c r="M2246" s="27" t="str">
        <f aca="false">IF(OR(G2246="",G2246="?"),"",IFERROR(INDEX(Pubs!$D$2:$D$3001,MATCH(G2246,Pubs!$A$2:$A$3001,0))&amp;"",""))</f>
        <v/>
      </c>
      <c r="N2246" s="27" t="n">
        <f aca="false">N(N2245)+IF(AND(A2246&lt;&gt;"",OR(Recherche!$C$4="",A2246=Recherche!$C$4),OR(Recherche!$C$5="",B2246&amp;""=Recherche!$C$5&amp;""),OR(Recherche!$C$6="",IFERROR(YEAR(L2246),0)=Recherche!$C$6),OR(Recherche!$C$7="",ISNUMBER(SEARCH(Recherche!$C$7,H2246))),OR(Recherche!$C$8="",J2246=Recherche!$C$8),OR(Recherche!$C$9="",I2246=Recherche!$C$9),OR(Recherche!$C$10="",G2246&amp;""=Recherche!$C$10&amp;""),OR(Recherche!$C$11="",E2246=Recherche!$C$11),OR(Recherche!$C$12="",ISNUMBER(SEARCH(Recherche!$C$12,M2246&amp;" "&amp;F2246)))),1,0)</f>
        <v>8</v>
      </c>
    </row>
    <row r="2247" customFormat="false" ht="15" hidden="false" customHeight="false" outlineLevel="0" collapsed="false">
      <c r="A2247" s="19"/>
      <c r="B2247" s="19"/>
      <c r="C2247" s="19"/>
      <c r="D2247" s="19"/>
      <c r="E2247" s="22"/>
      <c r="F2247" s="19"/>
      <c r="G2247" s="26" t="str">
        <f aca="false">IF(D2247="","",IFERROR(VALUE(LEFT(D2247,FIND(" |",D2247&amp;" |")-1)),"?"))</f>
        <v/>
      </c>
      <c r="H2247" s="27" t="str">
        <f aca="false">IF(G2247="","",IF(G2247="?","⚠ pub inconnue",IFERROR(INDEX(Pubs!$B$2:$B$3001,MATCH(G2247,Pubs!$A$2:$A$3001,0))&amp;"","⚠ pub inconnue")))</f>
        <v/>
      </c>
      <c r="I2247" s="27" t="str">
        <f aca="false">IF(OR(G2247="",G2247="?"),"",IFERROR(INDEX(Pubs!$C$2:$C$3001,MATCH(G2247,Pubs!$A$2:$A$3001,0))&amp;"",""))</f>
        <v/>
      </c>
      <c r="J2247" s="27" t="str">
        <f aca="false">IF(OR(G2247="",G2247="?"),"",IFERROR(INDEX(Pubs!$G$2:$G$3001,MATCH(G2247,Pubs!$A$2:$A$3001,0))&amp;"",""))</f>
        <v/>
      </c>
      <c r="K2247" s="28" t="str">
        <f aca="false">IF(OR(G2247="",G2247="?"),"",IFERROR(INDEX(Pubs!$E$2:$E$3001,MATCH(G2247,Pubs!$A$2:$A$3001,0)),""))</f>
        <v/>
      </c>
      <c r="L2247" s="29" t="str">
        <f aca="false">IF(A2247="","",IFERROR(1/(1/INDEX(Numéros!$C$2:$C$3001,MATCH(A2247&amp;"|"&amp;B2247,Numéros!$F$2:$F$3001,0))),""))</f>
        <v/>
      </c>
      <c r="M2247" s="27" t="str">
        <f aca="false">IF(OR(G2247="",G2247="?"),"",IFERROR(INDEX(Pubs!$D$2:$D$3001,MATCH(G2247,Pubs!$A$2:$A$3001,0))&amp;"",""))</f>
        <v/>
      </c>
      <c r="N2247" s="27" t="n">
        <f aca="false">N(N2246)+IF(AND(A2247&lt;&gt;"",OR(Recherche!$C$4="",A2247=Recherche!$C$4),OR(Recherche!$C$5="",B2247&amp;""=Recherche!$C$5&amp;""),OR(Recherche!$C$6="",IFERROR(YEAR(L2247),0)=Recherche!$C$6),OR(Recherche!$C$7="",ISNUMBER(SEARCH(Recherche!$C$7,H2247))),OR(Recherche!$C$8="",J2247=Recherche!$C$8),OR(Recherche!$C$9="",I2247=Recherche!$C$9),OR(Recherche!$C$10="",G2247&amp;""=Recherche!$C$10&amp;""),OR(Recherche!$C$11="",E2247=Recherche!$C$11),OR(Recherche!$C$12="",ISNUMBER(SEARCH(Recherche!$C$12,M2247&amp;" "&amp;F2247)))),1,0)</f>
        <v>8</v>
      </c>
    </row>
    <row r="2248" customFormat="false" ht="15" hidden="false" customHeight="false" outlineLevel="0" collapsed="false">
      <c r="A2248" s="19"/>
      <c r="B2248" s="19"/>
      <c r="C2248" s="19"/>
      <c r="D2248" s="19"/>
      <c r="E2248" s="22"/>
      <c r="F2248" s="19"/>
      <c r="G2248" s="26" t="str">
        <f aca="false">IF(D2248="","",IFERROR(VALUE(LEFT(D2248,FIND(" |",D2248&amp;" |")-1)),"?"))</f>
        <v/>
      </c>
      <c r="H2248" s="27" t="str">
        <f aca="false">IF(G2248="","",IF(G2248="?","⚠ pub inconnue",IFERROR(INDEX(Pubs!$B$2:$B$3001,MATCH(G2248,Pubs!$A$2:$A$3001,0))&amp;"","⚠ pub inconnue")))</f>
        <v/>
      </c>
      <c r="I2248" s="27" t="str">
        <f aca="false">IF(OR(G2248="",G2248="?"),"",IFERROR(INDEX(Pubs!$C$2:$C$3001,MATCH(G2248,Pubs!$A$2:$A$3001,0))&amp;"",""))</f>
        <v/>
      </c>
      <c r="J2248" s="27" t="str">
        <f aca="false">IF(OR(G2248="",G2248="?"),"",IFERROR(INDEX(Pubs!$G$2:$G$3001,MATCH(G2248,Pubs!$A$2:$A$3001,0))&amp;"",""))</f>
        <v/>
      </c>
      <c r="K2248" s="28" t="str">
        <f aca="false">IF(OR(G2248="",G2248="?"),"",IFERROR(INDEX(Pubs!$E$2:$E$3001,MATCH(G2248,Pubs!$A$2:$A$3001,0)),""))</f>
        <v/>
      </c>
      <c r="L2248" s="29" t="str">
        <f aca="false">IF(A2248="","",IFERROR(1/(1/INDEX(Numéros!$C$2:$C$3001,MATCH(A2248&amp;"|"&amp;B2248,Numéros!$F$2:$F$3001,0))),""))</f>
        <v/>
      </c>
      <c r="M2248" s="27" t="str">
        <f aca="false">IF(OR(G2248="",G2248="?"),"",IFERROR(INDEX(Pubs!$D$2:$D$3001,MATCH(G2248,Pubs!$A$2:$A$3001,0))&amp;"",""))</f>
        <v/>
      </c>
      <c r="N2248" s="27" t="n">
        <f aca="false">N(N2247)+IF(AND(A2248&lt;&gt;"",OR(Recherche!$C$4="",A2248=Recherche!$C$4),OR(Recherche!$C$5="",B2248&amp;""=Recherche!$C$5&amp;""),OR(Recherche!$C$6="",IFERROR(YEAR(L2248),0)=Recherche!$C$6),OR(Recherche!$C$7="",ISNUMBER(SEARCH(Recherche!$C$7,H2248))),OR(Recherche!$C$8="",J2248=Recherche!$C$8),OR(Recherche!$C$9="",I2248=Recherche!$C$9),OR(Recherche!$C$10="",G2248&amp;""=Recherche!$C$10&amp;""),OR(Recherche!$C$11="",E2248=Recherche!$C$11),OR(Recherche!$C$12="",ISNUMBER(SEARCH(Recherche!$C$12,M2248&amp;" "&amp;F2248)))),1,0)</f>
        <v>8</v>
      </c>
    </row>
    <row r="2249" customFormat="false" ht="15" hidden="false" customHeight="false" outlineLevel="0" collapsed="false">
      <c r="A2249" s="19"/>
      <c r="B2249" s="19"/>
      <c r="C2249" s="19"/>
      <c r="D2249" s="19"/>
      <c r="E2249" s="22"/>
      <c r="F2249" s="19"/>
      <c r="G2249" s="26" t="str">
        <f aca="false">IF(D2249="","",IFERROR(VALUE(LEFT(D2249,FIND(" |",D2249&amp;" |")-1)),"?"))</f>
        <v/>
      </c>
      <c r="H2249" s="27" t="str">
        <f aca="false">IF(G2249="","",IF(G2249="?","⚠ pub inconnue",IFERROR(INDEX(Pubs!$B$2:$B$3001,MATCH(G2249,Pubs!$A$2:$A$3001,0))&amp;"","⚠ pub inconnue")))</f>
        <v/>
      </c>
      <c r="I2249" s="27" t="str">
        <f aca="false">IF(OR(G2249="",G2249="?"),"",IFERROR(INDEX(Pubs!$C$2:$C$3001,MATCH(G2249,Pubs!$A$2:$A$3001,0))&amp;"",""))</f>
        <v/>
      </c>
      <c r="J2249" s="27" t="str">
        <f aca="false">IF(OR(G2249="",G2249="?"),"",IFERROR(INDEX(Pubs!$G$2:$G$3001,MATCH(G2249,Pubs!$A$2:$A$3001,0))&amp;"",""))</f>
        <v/>
      </c>
      <c r="K2249" s="28" t="str">
        <f aca="false">IF(OR(G2249="",G2249="?"),"",IFERROR(INDEX(Pubs!$E$2:$E$3001,MATCH(G2249,Pubs!$A$2:$A$3001,0)),""))</f>
        <v/>
      </c>
      <c r="L2249" s="29" t="str">
        <f aca="false">IF(A2249="","",IFERROR(1/(1/INDEX(Numéros!$C$2:$C$3001,MATCH(A2249&amp;"|"&amp;B2249,Numéros!$F$2:$F$3001,0))),""))</f>
        <v/>
      </c>
      <c r="M2249" s="27" t="str">
        <f aca="false">IF(OR(G2249="",G2249="?"),"",IFERROR(INDEX(Pubs!$D$2:$D$3001,MATCH(G2249,Pubs!$A$2:$A$3001,0))&amp;"",""))</f>
        <v/>
      </c>
      <c r="N2249" s="27" t="n">
        <f aca="false">N(N2248)+IF(AND(A2249&lt;&gt;"",OR(Recherche!$C$4="",A2249=Recherche!$C$4),OR(Recherche!$C$5="",B2249&amp;""=Recherche!$C$5&amp;""),OR(Recherche!$C$6="",IFERROR(YEAR(L2249),0)=Recherche!$C$6),OR(Recherche!$C$7="",ISNUMBER(SEARCH(Recherche!$C$7,H2249))),OR(Recherche!$C$8="",J2249=Recherche!$C$8),OR(Recherche!$C$9="",I2249=Recherche!$C$9),OR(Recherche!$C$10="",G2249&amp;""=Recherche!$C$10&amp;""),OR(Recherche!$C$11="",E2249=Recherche!$C$11),OR(Recherche!$C$12="",ISNUMBER(SEARCH(Recherche!$C$12,M2249&amp;" "&amp;F2249)))),1,0)</f>
        <v>8</v>
      </c>
    </row>
    <row r="2250" customFormat="false" ht="15" hidden="false" customHeight="false" outlineLevel="0" collapsed="false">
      <c r="A2250" s="19"/>
      <c r="B2250" s="19"/>
      <c r="C2250" s="19"/>
      <c r="D2250" s="19"/>
      <c r="E2250" s="22"/>
      <c r="F2250" s="19"/>
      <c r="G2250" s="26" t="str">
        <f aca="false">IF(D2250="","",IFERROR(VALUE(LEFT(D2250,FIND(" |",D2250&amp;" |")-1)),"?"))</f>
        <v/>
      </c>
      <c r="H2250" s="27" t="str">
        <f aca="false">IF(G2250="","",IF(G2250="?","⚠ pub inconnue",IFERROR(INDEX(Pubs!$B$2:$B$3001,MATCH(G2250,Pubs!$A$2:$A$3001,0))&amp;"","⚠ pub inconnue")))</f>
        <v/>
      </c>
      <c r="I2250" s="27" t="str">
        <f aca="false">IF(OR(G2250="",G2250="?"),"",IFERROR(INDEX(Pubs!$C$2:$C$3001,MATCH(G2250,Pubs!$A$2:$A$3001,0))&amp;"",""))</f>
        <v/>
      </c>
      <c r="J2250" s="27" t="str">
        <f aca="false">IF(OR(G2250="",G2250="?"),"",IFERROR(INDEX(Pubs!$G$2:$G$3001,MATCH(G2250,Pubs!$A$2:$A$3001,0))&amp;"",""))</f>
        <v/>
      </c>
      <c r="K2250" s="28" t="str">
        <f aca="false">IF(OR(G2250="",G2250="?"),"",IFERROR(INDEX(Pubs!$E$2:$E$3001,MATCH(G2250,Pubs!$A$2:$A$3001,0)),""))</f>
        <v/>
      </c>
      <c r="L2250" s="29" t="str">
        <f aca="false">IF(A2250="","",IFERROR(1/(1/INDEX(Numéros!$C$2:$C$3001,MATCH(A2250&amp;"|"&amp;B2250,Numéros!$F$2:$F$3001,0))),""))</f>
        <v/>
      </c>
      <c r="M2250" s="27" t="str">
        <f aca="false">IF(OR(G2250="",G2250="?"),"",IFERROR(INDEX(Pubs!$D$2:$D$3001,MATCH(G2250,Pubs!$A$2:$A$3001,0))&amp;"",""))</f>
        <v/>
      </c>
      <c r="N2250" s="27" t="n">
        <f aca="false">N(N2249)+IF(AND(A2250&lt;&gt;"",OR(Recherche!$C$4="",A2250=Recherche!$C$4),OR(Recherche!$C$5="",B2250&amp;""=Recherche!$C$5&amp;""),OR(Recherche!$C$6="",IFERROR(YEAR(L2250),0)=Recherche!$C$6),OR(Recherche!$C$7="",ISNUMBER(SEARCH(Recherche!$C$7,H2250))),OR(Recherche!$C$8="",J2250=Recherche!$C$8),OR(Recherche!$C$9="",I2250=Recherche!$C$9),OR(Recherche!$C$10="",G2250&amp;""=Recherche!$C$10&amp;""),OR(Recherche!$C$11="",E2250=Recherche!$C$11),OR(Recherche!$C$12="",ISNUMBER(SEARCH(Recherche!$C$12,M2250&amp;" "&amp;F2250)))),1,0)</f>
        <v>8</v>
      </c>
    </row>
    <row r="2251" customFormat="false" ht="15" hidden="false" customHeight="false" outlineLevel="0" collapsed="false">
      <c r="A2251" s="19"/>
      <c r="B2251" s="19"/>
      <c r="C2251" s="19"/>
      <c r="D2251" s="19"/>
      <c r="E2251" s="22"/>
      <c r="F2251" s="19"/>
      <c r="G2251" s="26" t="str">
        <f aca="false">IF(D2251="","",IFERROR(VALUE(LEFT(D2251,FIND(" |",D2251&amp;" |")-1)),"?"))</f>
        <v/>
      </c>
      <c r="H2251" s="27" t="str">
        <f aca="false">IF(G2251="","",IF(G2251="?","⚠ pub inconnue",IFERROR(INDEX(Pubs!$B$2:$B$3001,MATCH(G2251,Pubs!$A$2:$A$3001,0))&amp;"","⚠ pub inconnue")))</f>
        <v/>
      </c>
      <c r="I2251" s="27" t="str">
        <f aca="false">IF(OR(G2251="",G2251="?"),"",IFERROR(INDEX(Pubs!$C$2:$C$3001,MATCH(G2251,Pubs!$A$2:$A$3001,0))&amp;"",""))</f>
        <v/>
      </c>
      <c r="J2251" s="27" t="str">
        <f aca="false">IF(OR(G2251="",G2251="?"),"",IFERROR(INDEX(Pubs!$G$2:$G$3001,MATCH(G2251,Pubs!$A$2:$A$3001,0))&amp;"",""))</f>
        <v/>
      </c>
      <c r="K2251" s="28" t="str">
        <f aca="false">IF(OR(G2251="",G2251="?"),"",IFERROR(INDEX(Pubs!$E$2:$E$3001,MATCH(G2251,Pubs!$A$2:$A$3001,0)),""))</f>
        <v/>
      </c>
      <c r="L2251" s="29" t="str">
        <f aca="false">IF(A2251="","",IFERROR(1/(1/INDEX(Numéros!$C$2:$C$3001,MATCH(A2251&amp;"|"&amp;B2251,Numéros!$F$2:$F$3001,0))),""))</f>
        <v/>
      </c>
      <c r="M2251" s="27" t="str">
        <f aca="false">IF(OR(G2251="",G2251="?"),"",IFERROR(INDEX(Pubs!$D$2:$D$3001,MATCH(G2251,Pubs!$A$2:$A$3001,0))&amp;"",""))</f>
        <v/>
      </c>
      <c r="N2251" s="27" t="n">
        <f aca="false">N(N2250)+IF(AND(A2251&lt;&gt;"",OR(Recherche!$C$4="",A2251=Recherche!$C$4),OR(Recherche!$C$5="",B2251&amp;""=Recherche!$C$5&amp;""),OR(Recherche!$C$6="",IFERROR(YEAR(L2251),0)=Recherche!$C$6),OR(Recherche!$C$7="",ISNUMBER(SEARCH(Recherche!$C$7,H2251))),OR(Recherche!$C$8="",J2251=Recherche!$C$8),OR(Recherche!$C$9="",I2251=Recherche!$C$9),OR(Recherche!$C$10="",G2251&amp;""=Recherche!$C$10&amp;""),OR(Recherche!$C$11="",E2251=Recherche!$C$11),OR(Recherche!$C$12="",ISNUMBER(SEARCH(Recherche!$C$12,M2251&amp;" "&amp;F2251)))),1,0)</f>
        <v>8</v>
      </c>
    </row>
    <row r="2252" customFormat="false" ht="15" hidden="false" customHeight="false" outlineLevel="0" collapsed="false">
      <c r="A2252" s="19"/>
      <c r="B2252" s="19"/>
      <c r="C2252" s="19"/>
      <c r="D2252" s="19"/>
      <c r="E2252" s="22"/>
      <c r="F2252" s="19"/>
      <c r="G2252" s="26" t="str">
        <f aca="false">IF(D2252="","",IFERROR(VALUE(LEFT(D2252,FIND(" |",D2252&amp;" |")-1)),"?"))</f>
        <v/>
      </c>
      <c r="H2252" s="27" t="str">
        <f aca="false">IF(G2252="","",IF(G2252="?","⚠ pub inconnue",IFERROR(INDEX(Pubs!$B$2:$B$3001,MATCH(G2252,Pubs!$A$2:$A$3001,0))&amp;"","⚠ pub inconnue")))</f>
        <v/>
      </c>
      <c r="I2252" s="27" t="str">
        <f aca="false">IF(OR(G2252="",G2252="?"),"",IFERROR(INDEX(Pubs!$C$2:$C$3001,MATCH(G2252,Pubs!$A$2:$A$3001,0))&amp;"",""))</f>
        <v/>
      </c>
      <c r="J2252" s="27" t="str">
        <f aca="false">IF(OR(G2252="",G2252="?"),"",IFERROR(INDEX(Pubs!$G$2:$G$3001,MATCH(G2252,Pubs!$A$2:$A$3001,0))&amp;"",""))</f>
        <v/>
      </c>
      <c r="K2252" s="28" t="str">
        <f aca="false">IF(OR(G2252="",G2252="?"),"",IFERROR(INDEX(Pubs!$E$2:$E$3001,MATCH(G2252,Pubs!$A$2:$A$3001,0)),""))</f>
        <v/>
      </c>
      <c r="L2252" s="29" t="str">
        <f aca="false">IF(A2252="","",IFERROR(1/(1/INDEX(Numéros!$C$2:$C$3001,MATCH(A2252&amp;"|"&amp;B2252,Numéros!$F$2:$F$3001,0))),""))</f>
        <v/>
      </c>
      <c r="M2252" s="27" t="str">
        <f aca="false">IF(OR(G2252="",G2252="?"),"",IFERROR(INDEX(Pubs!$D$2:$D$3001,MATCH(G2252,Pubs!$A$2:$A$3001,0))&amp;"",""))</f>
        <v/>
      </c>
      <c r="N2252" s="27" t="n">
        <f aca="false">N(N2251)+IF(AND(A2252&lt;&gt;"",OR(Recherche!$C$4="",A2252=Recherche!$C$4),OR(Recherche!$C$5="",B2252&amp;""=Recherche!$C$5&amp;""),OR(Recherche!$C$6="",IFERROR(YEAR(L2252),0)=Recherche!$C$6),OR(Recherche!$C$7="",ISNUMBER(SEARCH(Recherche!$C$7,H2252))),OR(Recherche!$C$8="",J2252=Recherche!$C$8),OR(Recherche!$C$9="",I2252=Recherche!$C$9),OR(Recherche!$C$10="",G2252&amp;""=Recherche!$C$10&amp;""),OR(Recherche!$C$11="",E2252=Recherche!$C$11),OR(Recherche!$C$12="",ISNUMBER(SEARCH(Recherche!$C$12,M2252&amp;" "&amp;F2252)))),1,0)</f>
        <v>8</v>
      </c>
    </row>
    <row r="2253" customFormat="false" ht="15" hidden="false" customHeight="false" outlineLevel="0" collapsed="false">
      <c r="A2253" s="19"/>
      <c r="B2253" s="19"/>
      <c r="C2253" s="19"/>
      <c r="D2253" s="19"/>
      <c r="E2253" s="22"/>
      <c r="F2253" s="19"/>
      <c r="G2253" s="26" t="str">
        <f aca="false">IF(D2253="","",IFERROR(VALUE(LEFT(D2253,FIND(" |",D2253&amp;" |")-1)),"?"))</f>
        <v/>
      </c>
      <c r="H2253" s="27" t="str">
        <f aca="false">IF(G2253="","",IF(G2253="?","⚠ pub inconnue",IFERROR(INDEX(Pubs!$B$2:$B$3001,MATCH(G2253,Pubs!$A$2:$A$3001,0))&amp;"","⚠ pub inconnue")))</f>
        <v/>
      </c>
      <c r="I2253" s="27" t="str">
        <f aca="false">IF(OR(G2253="",G2253="?"),"",IFERROR(INDEX(Pubs!$C$2:$C$3001,MATCH(G2253,Pubs!$A$2:$A$3001,0))&amp;"",""))</f>
        <v/>
      </c>
      <c r="J2253" s="27" t="str">
        <f aca="false">IF(OR(G2253="",G2253="?"),"",IFERROR(INDEX(Pubs!$G$2:$G$3001,MATCH(G2253,Pubs!$A$2:$A$3001,0))&amp;"",""))</f>
        <v/>
      </c>
      <c r="K2253" s="28" t="str">
        <f aca="false">IF(OR(G2253="",G2253="?"),"",IFERROR(INDEX(Pubs!$E$2:$E$3001,MATCH(G2253,Pubs!$A$2:$A$3001,0)),""))</f>
        <v/>
      </c>
      <c r="L2253" s="29" t="str">
        <f aca="false">IF(A2253="","",IFERROR(1/(1/INDEX(Numéros!$C$2:$C$3001,MATCH(A2253&amp;"|"&amp;B2253,Numéros!$F$2:$F$3001,0))),""))</f>
        <v/>
      </c>
      <c r="M2253" s="27" t="str">
        <f aca="false">IF(OR(G2253="",G2253="?"),"",IFERROR(INDEX(Pubs!$D$2:$D$3001,MATCH(G2253,Pubs!$A$2:$A$3001,0))&amp;"",""))</f>
        <v/>
      </c>
      <c r="N2253" s="27" t="n">
        <f aca="false">N(N2252)+IF(AND(A2253&lt;&gt;"",OR(Recherche!$C$4="",A2253=Recherche!$C$4),OR(Recherche!$C$5="",B2253&amp;""=Recherche!$C$5&amp;""),OR(Recherche!$C$6="",IFERROR(YEAR(L2253),0)=Recherche!$C$6),OR(Recherche!$C$7="",ISNUMBER(SEARCH(Recherche!$C$7,H2253))),OR(Recherche!$C$8="",J2253=Recherche!$C$8),OR(Recherche!$C$9="",I2253=Recherche!$C$9),OR(Recherche!$C$10="",G2253&amp;""=Recherche!$C$10&amp;""),OR(Recherche!$C$11="",E2253=Recherche!$C$11),OR(Recherche!$C$12="",ISNUMBER(SEARCH(Recherche!$C$12,M2253&amp;" "&amp;F2253)))),1,0)</f>
        <v>8</v>
      </c>
    </row>
    <row r="2254" customFormat="false" ht="15" hidden="false" customHeight="false" outlineLevel="0" collapsed="false">
      <c r="A2254" s="19"/>
      <c r="B2254" s="19"/>
      <c r="C2254" s="19"/>
      <c r="D2254" s="19"/>
      <c r="E2254" s="22"/>
      <c r="F2254" s="19"/>
      <c r="G2254" s="26" t="str">
        <f aca="false">IF(D2254="","",IFERROR(VALUE(LEFT(D2254,FIND(" |",D2254&amp;" |")-1)),"?"))</f>
        <v/>
      </c>
      <c r="H2254" s="27" t="str">
        <f aca="false">IF(G2254="","",IF(G2254="?","⚠ pub inconnue",IFERROR(INDEX(Pubs!$B$2:$B$3001,MATCH(G2254,Pubs!$A$2:$A$3001,0))&amp;"","⚠ pub inconnue")))</f>
        <v/>
      </c>
      <c r="I2254" s="27" t="str">
        <f aca="false">IF(OR(G2254="",G2254="?"),"",IFERROR(INDEX(Pubs!$C$2:$C$3001,MATCH(G2254,Pubs!$A$2:$A$3001,0))&amp;"",""))</f>
        <v/>
      </c>
      <c r="J2254" s="27" t="str">
        <f aca="false">IF(OR(G2254="",G2254="?"),"",IFERROR(INDEX(Pubs!$G$2:$G$3001,MATCH(G2254,Pubs!$A$2:$A$3001,0))&amp;"",""))</f>
        <v/>
      </c>
      <c r="K2254" s="28" t="str">
        <f aca="false">IF(OR(G2254="",G2254="?"),"",IFERROR(INDEX(Pubs!$E$2:$E$3001,MATCH(G2254,Pubs!$A$2:$A$3001,0)),""))</f>
        <v/>
      </c>
      <c r="L2254" s="29" t="str">
        <f aca="false">IF(A2254="","",IFERROR(1/(1/INDEX(Numéros!$C$2:$C$3001,MATCH(A2254&amp;"|"&amp;B2254,Numéros!$F$2:$F$3001,0))),""))</f>
        <v/>
      </c>
      <c r="M2254" s="27" t="str">
        <f aca="false">IF(OR(G2254="",G2254="?"),"",IFERROR(INDEX(Pubs!$D$2:$D$3001,MATCH(G2254,Pubs!$A$2:$A$3001,0))&amp;"",""))</f>
        <v/>
      </c>
      <c r="N2254" s="27" t="n">
        <f aca="false">N(N2253)+IF(AND(A2254&lt;&gt;"",OR(Recherche!$C$4="",A2254=Recherche!$C$4),OR(Recherche!$C$5="",B2254&amp;""=Recherche!$C$5&amp;""),OR(Recherche!$C$6="",IFERROR(YEAR(L2254),0)=Recherche!$C$6),OR(Recherche!$C$7="",ISNUMBER(SEARCH(Recherche!$C$7,H2254))),OR(Recherche!$C$8="",J2254=Recherche!$C$8),OR(Recherche!$C$9="",I2254=Recherche!$C$9),OR(Recherche!$C$10="",G2254&amp;""=Recherche!$C$10&amp;""),OR(Recherche!$C$11="",E2254=Recherche!$C$11),OR(Recherche!$C$12="",ISNUMBER(SEARCH(Recherche!$C$12,M2254&amp;" "&amp;F2254)))),1,0)</f>
        <v>8</v>
      </c>
    </row>
    <row r="2255" customFormat="false" ht="15" hidden="false" customHeight="false" outlineLevel="0" collapsed="false">
      <c r="A2255" s="19"/>
      <c r="B2255" s="19"/>
      <c r="C2255" s="19"/>
      <c r="D2255" s="19"/>
      <c r="E2255" s="22"/>
      <c r="F2255" s="19"/>
      <c r="G2255" s="26" t="str">
        <f aca="false">IF(D2255="","",IFERROR(VALUE(LEFT(D2255,FIND(" |",D2255&amp;" |")-1)),"?"))</f>
        <v/>
      </c>
      <c r="H2255" s="27" t="str">
        <f aca="false">IF(G2255="","",IF(G2255="?","⚠ pub inconnue",IFERROR(INDEX(Pubs!$B$2:$B$3001,MATCH(G2255,Pubs!$A$2:$A$3001,0))&amp;"","⚠ pub inconnue")))</f>
        <v/>
      </c>
      <c r="I2255" s="27" t="str">
        <f aca="false">IF(OR(G2255="",G2255="?"),"",IFERROR(INDEX(Pubs!$C$2:$C$3001,MATCH(G2255,Pubs!$A$2:$A$3001,0))&amp;"",""))</f>
        <v/>
      </c>
      <c r="J2255" s="27" t="str">
        <f aca="false">IF(OR(G2255="",G2255="?"),"",IFERROR(INDEX(Pubs!$G$2:$G$3001,MATCH(G2255,Pubs!$A$2:$A$3001,0))&amp;"",""))</f>
        <v/>
      </c>
      <c r="K2255" s="28" t="str">
        <f aca="false">IF(OR(G2255="",G2255="?"),"",IFERROR(INDEX(Pubs!$E$2:$E$3001,MATCH(G2255,Pubs!$A$2:$A$3001,0)),""))</f>
        <v/>
      </c>
      <c r="L2255" s="29" t="str">
        <f aca="false">IF(A2255="","",IFERROR(1/(1/INDEX(Numéros!$C$2:$C$3001,MATCH(A2255&amp;"|"&amp;B2255,Numéros!$F$2:$F$3001,0))),""))</f>
        <v/>
      </c>
      <c r="M2255" s="27" t="str">
        <f aca="false">IF(OR(G2255="",G2255="?"),"",IFERROR(INDEX(Pubs!$D$2:$D$3001,MATCH(G2255,Pubs!$A$2:$A$3001,0))&amp;"",""))</f>
        <v/>
      </c>
      <c r="N2255" s="27" t="n">
        <f aca="false">N(N2254)+IF(AND(A2255&lt;&gt;"",OR(Recherche!$C$4="",A2255=Recherche!$C$4),OR(Recherche!$C$5="",B2255&amp;""=Recherche!$C$5&amp;""),OR(Recherche!$C$6="",IFERROR(YEAR(L2255),0)=Recherche!$C$6),OR(Recherche!$C$7="",ISNUMBER(SEARCH(Recherche!$C$7,H2255))),OR(Recherche!$C$8="",J2255=Recherche!$C$8),OR(Recherche!$C$9="",I2255=Recherche!$C$9),OR(Recherche!$C$10="",G2255&amp;""=Recherche!$C$10&amp;""),OR(Recherche!$C$11="",E2255=Recherche!$C$11),OR(Recherche!$C$12="",ISNUMBER(SEARCH(Recherche!$C$12,M2255&amp;" "&amp;F2255)))),1,0)</f>
        <v>8</v>
      </c>
    </row>
    <row r="2256" customFormat="false" ht="15" hidden="false" customHeight="false" outlineLevel="0" collapsed="false">
      <c r="A2256" s="19"/>
      <c r="B2256" s="19"/>
      <c r="C2256" s="19"/>
      <c r="D2256" s="19"/>
      <c r="E2256" s="22"/>
      <c r="F2256" s="19"/>
      <c r="G2256" s="26" t="str">
        <f aca="false">IF(D2256="","",IFERROR(VALUE(LEFT(D2256,FIND(" |",D2256&amp;" |")-1)),"?"))</f>
        <v/>
      </c>
      <c r="H2256" s="27" t="str">
        <f aca="false">IF(G2256="","",IF(G2256="?","⚠ pub inconnue",IFERROR(INDEX(Pubs!$B$2:$B$3001,MATCH(G2256,Pubs!$A$2:$A$3001,0))&amp;"","⚠ pub inconnue")))</f>
        <v/>
      </c>
      <c r="I2256" s="27" t="str">
        <f aca="false">IF(OR(G2256="",G2256="?"),"",IFERROR(INDEX(Pubs!$C$2:$C$3001,MATCH(G2256,Pubs!$A$2:$A$3001,0))&amp;"",""))</f>
        <v/>
      </c>
      <c r="J2256" s="27" t="str">
        <f aca="false">IF(OR(G2256="",G2256="?"),"",IFERROR(INDEX(Pubs!$G$2:$G$3001,MATCH(G2256,Pubs!$A$2:$A$3001,0))&amp;"",""))</f>
        <v/>
      </c>
      <c r="K2256" s="28" t="str">
        <f aca="false">IF(OR(G2256="",G2256="?"),"",IFERROR(INDEX(Pubs!$E$2:$E$3001,MATCH(G2256,Pubs!$A$2:$A$3001,0)),""))</f>
        <v/>
      </c>
      <c r="L2256" s="29" t="str">
        <f aca="false">IF(A2256="","",IFERROR(1/(1/INDEX(Numéros!$C$2:$C$3001,MATCH(A2256&amp;"|"&amp;B2256,Numéros!$F$2:$F$3001,0))),""))</f>
        <v/>
      </c>
      <c r="M2256" s="27" t="str">
        <f aca="false">IF(OR(G2256="",G2256="?"),"",IFERROR(INDEX(Pubs!$D$2:$D$3001,MATCH(G2256,Pubs!$A$2:$A$3001,0))&amp;"",""))</f>
        <v/>
      </c>
      <c r="N2256" s="27" t="n">
        <f aca="false">N(N2255)+IF(AND(A2256&lt;&gt;"",OR(Recherche!$C$4="",A2256=Recherche!$C$4),OR(Recherche!$C$5="",B2256&amp;""=Recherche!$C$5&amp;""),OR(Recherche!$C$6="",IFERROR(YEAR(L2256),0)=Recherche!$C$6),OR(Recherche!$C$7="",ISNUMBER(SEARCH(Recherche!$C$7,H2256))),OR(Recherche!$C$8="",J2256=Recherche!$C$8),OR(Recherche!$C$9="",I2256=Recherche!$C$9),OR(Recherche!$C$10="",G2256&amp;""=Recherche!$C$10&amp;""),OR(Recherche!$C$11="",E2256=Recherche!$C$11),OR(Recherche!$C$12="",ISNUMBER(SEARCH(Recherche!$C$12,M2256&amp;" "&amp;F2256)))),1,0)</f>
        <v>8</v>
      </c>
    </row>
    <row r="2257" customFormat="false" ht="15" hidden="false" customHeight="false" outlineLevel="0" collapsed="false">
      <c r="A2257" s="19"/>
      <c r="B2257" s="19"/>
      <c r="C2257" s="19"/>
      <c r="D2257" s="19"/>
      <c r="E2257" s="22"/>
      <c r="F2257" s="19"/>
      <c r="G2257" s="26" t="str">
        <f aca="false">IF(D2257="","",IFERROR(VALUE(LEFT(D2257,FIND(" |",D2257&amp;" |")-1)),"?"))</f>
        <v/>
      </c>
      <c r="H2257" s="27" t="str">
        <f aca="false">IF(G2257="","",IF(G2257="?","⚠ pub inconnue",IFERROR(INDEX(Pubs!$B$2:$B$3001,MATCH(G2257,Pubs!$A$2:$A$3001,0))&amp;"","⚠ pub inconnue")))</f>
        <v/>
      </c>
      <c r="I2257" s="27" t="str">
        <f aca="false">IF(OR(G2257="",G2257="?"),"",IFERROR(INDEX(Pubs!$C$2:$C$3001,MATCH(G2257,Pubs!$A$2:$A$3001,0))&amp;"",""))</f>
        <v/>
      </c>
      <c r="J2257" s="27" t="str">
        <f aca="false">IF(OR(G2257="",G2257="?"),"",IFERROR(INDEX(Pubs!$G$2:$G$3001,MATCH(G2257,Pubs!$A$2:$A$3001,0))&amp;"",""))</f>
        <v/>
      </c>
      <c r="K2257" s="28" t="str">
        <f aca="false">IF(OR(G2257="",G2257="?"),"",IFERROR(INDEX(Pubs!$E$2:$E$3001,MATCH(G2257,Pubs!$A$2:$A$3001,0)),""))</f>
        <v/>
      </c>
      <c r="L2257" s="29" t="str">
        <f aca="false">IF(A2257="","",IFERROR(1/(1/INDEX(Numéros!$C$2:$C$3001,MATCH(A2257&amp;"|"&amp;B2257,Numéros!$F$2:$F$3001,0))),""))</f>
        <v/>
      </c>
      <c r="M2257" s="27" t="str">
        <f aca="false">IF(OR(G2257="",G2257="?"),"",IFERROR(INDEX(Pubs!$D$2:$D$3001,MATCH(G2257,Pubs!$A$2:$A$3001,0))&amp;"",""))</f>
        <v/>
      </c>
      <c r="N2257" s="27" t="n">
        <f aca="false">N(N2256)+IF(AND(A2257&lt;&gt;"",OR(Recherche!$C$4="",A2257=Recherche!$C$4),OR(Recherche!$C$5="",B2257&amp;""=Recherche!$C$5&amp;""),OR(Recherche!$C$6="",IFERROR(YEAR(L2257),0)=Recherche!$C$6),OR(Recherche!$C$7="",ISNUMBER(SEARCH(Recherche!$C$7,H2257))),OR(Recherche!$C$8="",J2257=Recherche!$C$8),OR(Recherche!$C$9="",I2257=Recherche!$C$9),OR(Recherche!$C$10="",G2257&amp;""=Recherche!$C$10&amp;""),OR(Recherche!$C$11="",E2257=Recherche!$C$11),OR(Recherche!$C$12="",ISNUMBER(SEARCH(Recherche!$C$12,M2257&amp;" "&amp;F2257)))),1,0)</f>
        <v>8</v>
      </c>
    </row>
    <row r="2258" customFormat="false" ht="15" hidden="false" customHeight="false" outlineLevel="0" collapsed="false">
      <c r="A2258" s="19"/>
      <c r="B2258" s="19"/>
      <c r="C2258" s="19"/>
      <c r="D2258" s="19"/>
      <c r="E2258" s="22"/>
      <c r="F2258" s="19"/>
      <c r="G2258" s="26" t="str">
        <f aca="false">IF(D2258="","",IFERROR(VALUE(LEFT(D2258,FIND(" |",D2258&amp;" |")-1)),"?"))</f>
        <v/>
      </c>
      <c r="H2258" s="27" t="str">
        <f aca="false">IF(G2258="","",IF(G2258="?","⚠ pub inconnue",IFERROR(INDEX(Pubs!$B$2:$B$3001,MATCH(G2258,Pubs!$A$2:$A$3001,0))&amp;"","⚠ pub inconnue")))</f>
        <v/>
      </c>
      <c r="I2258" s="27" t="str">
        <f aca="false">IF(OR(G2258="",G2258="?"),"",IFERROR(INDEX(Pubs!$C$2:$C$3001,MATCH(G2258,Pubs!$A$2:$A$3001,0))&amp;"",""))</f>
        <v/>
      </c>
      <c r="J2258" s="27" t="str">
        <f aca="false">IF(OR(G2258="",G2258="?"),"",IFERROR(INDEX(Pubs!$G$2:$G$3001,MATCH(G2258,Pubs!$A$2:$A$3001,0))&amp;"",""))</f>
        <v/>
      </c>
      <c r="K2258" s="28" t="str">
        <f aca="false">IF(OR(G2258="",G2258="?"),"",IFERROR(INDEX(Pubs!$E$2:$E$3001,MATCH(G2258,Pubs!$A$2:$A$3001,0)),""))</f>
        <v/>
      </c>
      <c r="L2258" s="29" t="str">
        <f aca="false">IF(A2258="","",IFERROR(1/(1/INDEX(Numéros!$C$2:$C$3001,MATCH(A2258&amp;"|"&amp;B2258,Numéros!$F$2:$F$3001,0))),""))</f>
        <v/>
      </c>
      <c r="M2258" s="27" t="str">
        <f aca="false">IF(OR(G2258="",G2258="?"),"",IFERROR(INDEX(Pubs!$D$2:$D$3001,MATCH(G2258,Pubs!$A$2:$A$3001,0))&amp;"",""))</f>
        <v/>
      </c>
      <c r="N2258" s="27" t="n">
        <f aca="false">N(N2257)+IF(AND(A2258&lt;&gt;"",OR(Recherche!$C$4="",A2258=Recherche!$C$4),OR(Recherche!$C$5="",B2258&amp;""=Recherche!$C$5&amp;""),OR(Recherche!$C$6="",IFERROR(YEAR(L2258),0)=Recherche!$C$6),OR(Recherche!$C$7="",ISNUMBER(SEARCH(Recherche!$C$7,H2258))),OR(Recherche!$C$8="",J2258=Recherche!$C$8),OR(Recherche!$C$9="",I2258=Recherche!$C$9),OR(Recherche!$C$10="",G2258&amp;""=Recherche!$C$10&amp;""),OR(Recherche!$C$11="",E2258=Recherche!$C$11),OR(Recherche!$C$12="",ISNUMBER(SEARCH(Recherche!$C$12,M2258&amp;" "&amp;F2258)))),1,0)</f>
        <v>8</v>
      </c>
    </row>
    <row r="2259" customFormat="false" ht="15" hidden="false" customHeight="false" outlineLevel="0" collapsed="false">
      <c r="A2259" s="19"/>
      <c r="B2259" s="19"/>
      <c r="C2259" s="19"/>
      <c r="D2259" s="19"/>
      <c r="E2259" s="22"/>
      <c r="F2259" s="19"/>
      <c r="G2259" s="26" t="str">
        <f aca="false">IF(D2259="","",IFERROR(VALUE(LEFT(D2259,FIND(" |",D2259&amp;" |")-1)),"?"))</f>
        <v/>
      </c>
      <c r="H2259" s="27" t="str">
        <f aca="false">IF(G2259="","",IF(G2259="?","⚠ pub inconnue",IFERROR(INDEX(Pubs!$B$2:$B$3001,MATCH(G2259,Pubs!$A$2:$A$3001,0))&amp;"","⚠ pub inconnue")))</f>
        <v/>
      </c>
      <c r="I2259" s="27" t="str">
        <f aca="false">IF(OR(G2259="",G2259="?"),"",IFERROR(INDEX(Pubs!$C$2:$C$3001,MATCH(G2259,Pubs!$A$2:$A$3001,0))&amp;"",""))</f>
        <v/>
      </c>
      <c r="J2259" s="27" t="str">
        <f aca="false">IF(OR(G2259="",G2259="?"),"",IFERROR(INDEX(Pubs!$G$2:$G$3001,MATCH(G2259,Pubs!$A$2:$A$3001,0))&amp;"",""))</f>
        <v/>
      </c>
      <c r="K2259" s="28" t="str">
        <f aca="false">IF(OR(G2259="",G2259="?"),"",IFERROR(INDEX(Pubs!$E$2:$E$3001,MATCH(G2259,Pubs!$A$2:$A$3001,0)),""))</f>
        <v/>
      </c>
      <c r="L2259" s="29" t="str">
        <f aca="false">IF(A2259="","",IFERROR(1/(1/INDEX(Numéros!$C$2:$C$3001,MATCH(A2259&amp;"|"&amp;B2259,Numéros!$F$2:$F$3001,0))),""))</f>
        <v/>
      </c>
      <c r="M2259" s="27" t="str">
        <f aca="false">IF(OR(G2259="",G2259="?"),"",IFERROR(INDEX(Pubs!$D$2:$D$3001,MATCH(G2259,Pubs!$A$2:$A$3001,0))&amp;"",""))</f>
        <v/>
      </c>
      <c r="N2259" s="27" t="n">
        <f aca="false">N(N2258)+IF(AND(A2259&lt;&gt;"",OR(Recherche!$C$4="",A2259=Recherche!$C$4),OR(Recherche!$C$5="",B2259&amp;""=Recherche!$C$5&amp;""),OR(Recherche!$C$6="",IFERROR(YEAR(L2259),0)=Recherche!$C$6),OR(Recherche!$C$7="",ISNUMBER(SEARCH(Recherche!$C$7,H2259))),OR(Recherche!$C$8="",J2259=Recherche!$C$8),OR(Recherche!$C$9="",I2259=Recherche!$C$9),OR(Recherche!$C$10="",G2259&amp;""=Recherche!$C$10&amp;""),OR(Recherche!$C$11="",E2259=Recherche!$C$11),OR(Recherche!$C$12="",ISNUMBER(SEARCH(Recherche!$C$12,M2259&amp;" "&amp;F2259)))),1,0)</f>
        <v>8</v>
      </c>
    </row>
    <row r="2260" customFormat="false" ht="15" hidden="false" customHeight="false" outlineLevel="0" collapsed="false">
      <c r="A2260" s="19"/>
      <c r="B2260" s="19"/>
      <c r="C2260" s="19"/>
      <c r="D2260" s="19"/>
      <c r="E2260" s="22"/>
      <c r="F2260" s="19"/>
      <c r="G2260" s="26" t="str">
        <f aca="false">IF(D2260="","",IFERROR(VALUE(LEFT(D2260,FIND(" |",D2260&amp;" |")-1)),"?"))</f>
        <v/>
      </c>
      <c r="H2260" s="27" t="str">
        <f aca="false">IF(G2260="","",IF(G2260="?","⚠ pub inconnue",IFERROR(INDEX(Pubs!$B$2:$B$3001,MATCH(G2260,Pubs!$A$2:$A$3001,0))&amp;"","⚠ pub inconnue")))</f>
        <v/>
      </c>
      <c r="I2260" s="27" t="str">
        <f aca="false">IF(OR(G2260="",G2260="?"),"",IFERROR(INDEX(Pubs!$C$2:$C$3001,MATCH(G2260,Pubs!$A$2:$A$3001,0))&amp;"",""))</f>
        <v/>
      </c>
      <c r="J2260" s="27" t="str">
        <f aca="false">IF(OR(G2260="",G2260="?"),"",IFERROR(INDEX(Pubs!$G$2:$G$3001,MATCH(G2260,Pubs!$A$2:$A$3001,0))&amp;"",""))</f>
        <v/>
      </c>
      <c r="K2260" s="28" t="str">
        <f aca="false">IF(OR(G2260="",G2260="?"),"",IFERROR(INDEX(Pubs!$E$2:$E$3001,MATCH(G2260,Pubs!$A$2:$A$3001,0)),""))</f>
        <v/>
      </c>
      <c r="L2260" s="29" t="str">
        <f aca="false">IF(A2260="","",IFERROR(1/(1/INDEX(Numéros!$C$2:$C$3001,MATCH(A2260&amp;"|"&amp;B2260,Numéros!$F$2:$F$3001,0))),""))</f>
        <v/>
      </c>
      <c r="M2260" s="27" t="str">
        <f aca="false">IF(OR(G2260="",G2260="?"),"",IFERROR(INDEX(Pubs!$D$2:$D$3001,MATCH(G2260,Pubs!$A$2:$A$3001,0))&amp;"",""))</f>
        <v/>
      </c>
      <c r="N2260" s="27" t="n">
        <f aca="false">N(N2259)+IF(AND(A2260&lt;&gt;"",OR(Recherche!$C$4="",A2260=Recherche!$C$4),OR(Recherche!$C$5="",B2260&amp;""=Recherche!$C$5&amp;""),OR(Recherche!$C$6="",IFERROR(YEAR(L2260),0)=Recherche!$C$6),OR(Recherche!$C$7="",ISNUMBER(SEARCH(Recherche!$C$7,H2260))),OR(Recherche!$C$8="",J2260=Recherche!$C$8),OR(Recherche!$C$9="",I2260=Recherche!$C$9),OR(Recherche!$C$10="",G2260&amp;""=Recherche!$C$10&amp;""),OR(Recherche!$C$11="",E2260=Recherche!$C$11),OR(Recherche!$C$12="",ISNUMBER(SEARCH(Recherche!$C$12,M2260&amp;" "&amp;F2260)))),1,0)</f>
        <v>8</v>
      </c>
    </row>
    <row r="2261" customFormat="false" ht="15" hidden="false" customHeight="false" outlineLevel="0" collapsed="false">
      <c r="A2261" s="19"/>
      <c r="B2261" s="19"/>
      <c r="C2261" s="19"/>
      <c r="D2261" s="19"/>
      <c r="E2261" s="22"/>
      <c r="F2261" s="19"/>
      <c r="G2261" s="26" t="str">
        <f aca="false">IF(D2261="","",IFERROR(VALUE(LEFT(D2261,FIND(" |",D2261&amp;" |")-1)),"?"))</f>
        <v/>
      </c>
      <c r="H2261" s="27" t="str">
        <f aca="false">IF(G2261="","",IF(G2261="?","⚠ pub inconnue",IFERROR(INDEX(Pubs!$B$2:$B$3001,MATCH(G2261,Pubs!$A$2:$A$3001,0))&amp;"","⚠ pub inconnue")))</f>
        <v/>
      </c>
      <c r="I2261" s="27" t="str">
        <f aca="false">IF(OR(G2261="",G2261="?"),"",IFERROR(INDEX(Pubs!$C$2:$C$3001,MATCH(G2261,Pubs!$A$2:$A$3001,0))&amp;"",""))</f>
        <v/>
      </c>
      <c r="J2261" s="27" t="str">
        <f aca="false">IF(OR(G2261="",G2261="?"),"",IFERROR(INDEX(Pubs!$G$2:$G$3001,MATCH(G2261,Pubs!$A$2:$A$3001,0))&amp;"",""))</f>
        <v/>
      </c>
      <c r="K2261" s="28" t="str">
        <f aca="false">IF(OR(G2261="",G2261="?"),"",IFERROR(INDEX(Pubs!$E$2:$E$3001,MATCH(G2261,Pubs!$A$2:$A$3001,0)),""))</f>
        <v/>
      </c>
      <c r="L2261" s="29" t="str">
        <f aca="false">IF(A2261="","",IFERROR(1/(1/INDEX(Numéros!$C$2:$C$3001,MATCH(A2261&amp;"|"&amp;B2261,Numéros!$F$2:$F$3001,0))),""))</f>
        <v/>
      </c>
      <c r="M2261" s="27" t="str">
        <f aca="false">IF(OR(G2261="",G2261="?"),"",IFERROR(INDEX(Pubs!$D$2:$D$3001,MATCH(G2261,Pubs!$A$2:$A$3001,0))&amp;"",""))</f>
        <v/>
      </c>
      <c r="N2261" s="27" t="n">
        <f aca="false">N(N2260)+IF(AND(A2261&lt;&gt;"",OR(Recherche!$C$4="",A2261=Recherche!$C$4),OR(Recherche!$C$5="",B2261&amp;""=Recherche!$C$5&amp;""),OR(Recherche!$C$6="",IFERROR(YEAR(L2261),0)=Recherche!$C$6),OR(Recherche!$C$7="",ISNUMBER(SEARCH(Recherche!$C$7,H2261))),OR(Recherche!$C$8="",J2261=Recherche!$C$8),OR(Recherche!$C$9="",I2261=Recherche!$C$9),OR(Recherche!$C$10="",G2261&amp;""=Recherche!$C$10&amp;""),OR(Recherche!$C$11="",E2261=Recherche!$C$11),OR(Recherche!$C$12="",ISNUMBER(SEARCH(Recherche!$C$12,M2261&amp;" "&amp;F2261)))),1,0)</f>
        <v>8</v>
      </c>
    </row>
    <row r="2262" customFormat="false" ht="15" hidden="false" customHeight="false" outlineLevel="0" collapsed="false">
      <c r="A2262" s="19"/>
      <c r="B2262" s="19"/>
      <c r="C2262" s="19"/>
      <c r="D2262" s="19"/>
      <c r="E2262" s="22"/>
      <c r="F2262" s="19"/>
      <c r="G2262" s="26" t="str">
        <f aca="false">IF(D2262="","",IFERROR(VALUE(LEFT(D2262,FIND(" |",D2262&amp;" |")-1)),"?"))</f>
        <v/>
      </c>
      <c r="H2262" s="27" t="str">
        <f aca="false">IF(G2262="","",IF(G2262="?","⚠ pub inconnue",IFERROR(INDEX(Pubs!$B$2:$B$3001,MATCH(G2262,Pubs!$A$2:$A$3001,0))&amp;"","⚠ pub inconnue")))</f>
        <v/>
      </c>
      <c r="I2262" s="27" t="str">
        <f aca="false">IF(OR(G2262="",G2262="?"),"",IFERROR(INDEX(Pubs!$C$2:$C$3001,MATCH(G2262,Pubs!$A$2:$A$3001,0))&amp;"",""))</f>
        <v/>
      </c>
      <c r="J2262" s="27" t="str">
        <f aca="false">IF(OR(G2262="",G2262="?"),"",IFERROR(INDEX(Pubs!$G$2:$G$3001,MATCH(G2262,Pubs!$A$2:$A$3001,0))&amp;"",""))</f>
        <v/>
      </c>
      <c r="K2262" s="28" t="str">
        <f aca="false">IF(OR(G2262="",G2262="?"),"",IFERROR(INDEX(Pubs!$E$2:$E$3001,MATCH(G2262,Pubs!$A$2:$A$3001,0)),""))</f>
        <v/>
      </c>
      <c r="L2262" s="29" t="str">
        <f aca="false">IF(A2262="","",IFERROR(1/(1/INDEX(Numéros!$C$2:$C$3001,MATCH(A2262&amp;"|"&amp;B2262,Numéros!$F$2:$F$3001,0))),""))</f>
        <v/>
      </c>
      <c r="M2262" s="27" t="str">
        <f aca="false">IF(OR(G2262="",G2262="?"),"",IFERROR(INDEX(Pubs!$D$2:$D$3001,MATCH(G2262,Pubs!$A$2:$A$3001,0))&amp;"",""))</f>
        <v/>
      </c>
      <c r="N2262" s="27" t="n">
        <f aca="false">N(N2261)+IF(AND(A2262&lt;&gt;"",OR(Recherche!$C$4="",A2262=Recherche!$C$4),OR(Recherche!$C$5="",B2262&amp;""=Recherche!$C$5&amp;""),OR(Recherche!$C$6="",IFERROR(YEAR(L2262),0)=Recherche!$C$6),OR(Recherche!$C$7="",ISNUMBER(SEARCH(Recherche!$C$7,H2262))),OR(Recherche!$C$8="",J2262=Recherche!$C$8),OR(Recherche!$C$9="",I2262=Recherche!$C$9),OR(Recherche!$C$10="",G2262&amp;""=Recherche!$C$10&amp;""),OR(Recherche!$C$11="",E2262=Recherche!$C$11),OR(Recherche!$C$12="",ISNUMBER(SEARCH(Recherche!$C$12,M2262&amp;" "&amp;F2262)))),1,0)</f>
        <v>8</v>
      </c>
    </row>
    <row r="2263" customFormat="false" ht="15" hidden="false" customHeight="false" outlineLevel="0" collapsed="false">
      <c r="A2263" s="19"/>
      <c r="B2263" s="19"/>
      <c r="C2263" s="19"/>
      <c r="D2263" s="19"/>
      <c r="E2263" s="22"/>
      <c r="F2263" s="19"/>
      <c r="G2263" s="26" t="str">
        <f aca="false">IF(D2263="","",IFERROR(VALUE(LEFT(D2263,FIND(" |",D2263&amp;" |")-1)),"?"))</f>
        <v/>
      </c>
      <c r="H2263" s="27" t="str">
        <f aca="false">IF(G2263="","",IF(G2263="?","⚠ pub inconnue",IFERROR(INDEX(Pubs!$B$2:$B$3001,MATCH(G2263,Pubs!$A$2:$A$3001,0))&amp;"","⚠ pub inconnue")))</f>
        <v/>
      </c>
      <c r="I2263" s="27" t="str">
        <f aca="false">IF(OR(G2263="",G2263="?"),"",IFERROR(INDEX(Pubs!$C$2:$C$3001,MATCH(G2263,Pubs!$A$2:$A$3001,0))&amp;"",""))</f>
        <v/>
      </c>
      <c r="J2263" s="27" t="str">
        <f aca="false">IF(OR(G2263="",G2263="?"),"",IFERROR(INDEX(Pubs!$G$2:$G$3001,MATCH(G2263,Pubs!$A$2:$A$3001,0))&amp;"",""))</f>
        <v/>
      </c>
      <c r="K2263" s="28" t="str">
        <f aca="false">IF(OR(G2263="",G2263="?"),"",IFERROR(INDEX(Pubs!$E$2:$E$3001,MATCH(G2263,Pubs!$A$2:$A$3001,0)),""))</f>
        <v/>
      </c>
      <c r="L2263" s="29" t="str">
        <f aca="false">IF(A2263="","",IFERROR(1/(1/INDEX(Numéros!$C$2:$C$3001,MATCH(A2263&amp;"|"&amp;B2263,Numéros!$F$2:$F$3001,0))),""))</f>
        <v/>
      </c>
      <c r="M2263" s="27" t="str">
        <f aca="false">IF(OR(G2263="",G2263="?"),"",IFERROR(INDEX(Pubs!$D$2:$D$3001,MATCH(G2263,Pubs!$A$2:$A$3001,0))&amp;"",""))</f>
        <v/>
      </c>
      <c r="N2263" s="27" t="n">
        <f aca="false">N(N2262)+IF(AND(A2263&lt;&gt;"",OR(Recherche!$C$4="",A2263=Recherche!$C$4),OR(Recherche!$C$5="",B2263&amp;""=Recherche!$C$5&amp;""),OR(Recherche!$C$6="",IFERROR(YEAR(L2263),0)=Recherche!$C$6),OR(Recherche!$C$7="",ISNUMBER(SEARCH(Recherche!$C$7,H2263))),OR(Recherche!$C$8="",J2263=Recherche!$C$8),OR(Recherche!$C$9="",I2263=Recherche!$C$9),OR(Recherche!$C$10="",G2263&amp;""=Recherche!$C$10&amp;""),OR(Recherche!$C$11="",E2263=Recherche!$C$11),OR(Recherche!$C$12="",ISNUMBER(SEARCH(Recherche!$C$12,M2263&amp;" "&amp;F2263)))),1,0)</f>
        <v>8</v>
      </c>
    </row>
    <row r="2264" customFormat="false" ht="15" hidden="false" customHeight="false" outlineLevel="0" collapsed="false">
      <c r="A2264" s="19"/>
      <c r="B2264" s="19"/>
      <c r="C2264" s="19"/>
      <c r="D2264" s="19"/>
      <c r="E2264" s="22"/>
      <c r="F2264" s="19"/>
      <c r="G2264" s="26" t="str">
        <f aca="false">IF(D2264="","",IFERROR(VALUE(LEFT(D2264,FIND(" |",D2264&amp;" |")-1)),"?"))</f>
        <v/>
      </c>
      <c r="H2264" s="27" t="str">
        <f aca="false">IF(G2264="","",IF(G2264="?","⚠ pub inconnue",IFERROR(INDEX(Pubs!$B$2:$B$3001,MATCH(G2264,Pubs!$A$2:$A$3001,0))&amp;"","⚠ pub inconnue")))</f>
        <v/>
      </c>
      <c r="I2264" s="27" t="str">
        <f aca="false">IF(OR(G2264="",G2264="?"),"",IFERROR(INDEX(Pubs!$C$2:$C$3001,MATCH(G2264,Pubs!$A$2:$A$3001,0))&amp;"",""))</f>
        <v/>
      </c>
      <c r="J2264" s="27" t="str">
        <f aca="false">IF(OR(G2264="",G2264="?"),"",IFERROR(INDEX(Pubs!$G$2:$G$3001,MATCH(G2264,Pubs!$A$2:$A$3001,0))&amp;"",""))</f>
        <v/>
      </c>
      <c r="K2264" s="28" t="str">
        <f aca="false">IF(OR(G2264="",G2264="?"),"",IFERROR(INDEX(Pubs!$E$2:$E$3001,MATCH(G2264,Pubs!$A$2:$A$3001,0)),""))</f>
        <v/>
      </c>
      <c r="L2264" s="29" t="str">
        <f aca="false">IF(A2264="","",IFERROR(1/(1/INDEX(Numéros!$C$2:$C$3001,MATCH(A2264&amp;"|"&amp;B2264,Numéros!$F$2:$F$3001,0))),""))</f>
        <v/>
      </c>
      <c r="M2264" s="27" t="str">
        <f aca="false">IF(OR(G2264="",G2264="?"),"",IFERROR(INDEX(Pubs!$D$2:$D$3001,MATCH(G2264,Pubs!$A$2:$A$3001,0))&amp;"",""))</f>
        <v/>
      </c>
      <c r="N2264" s="27" t="n">
        <f aca="false">N(N2263)+IF(AND(A2264&lt;&gt;"",OR(Recherche!$C$4="",A2264=Recherche!$C$4),OR(Recherche!$C$5="",B2264&amp;""=Recherche!$C$5&amp;""),OR(Recherche!$C$6="",IFERROR(YEAR(L2264),0)=Recherche!$C$6),OR(Recherche!$C$7="",ISNUMBER(SEARCH(Recherche!$C$7,H2264))),OR(Recherche!$C$8="",J2264=Recherche!$C$8),OR(Recherche!$C$9="",I2264=Recherche!$C$9),OR(Recherche!$C$10="",G2264&amp;""=Recherche!$C$10&amp;""),OR(Recherche!$C$11="",E2264=Recherche!$C$11),OR(Recherche!$C$12="",ISNUMBER(SEARCH(Recherche!$C$12,M2264&amp;" "&amp;F2264)))),1,0)</f>
        <v>8</v>
      </c>
    </row>
    <row r="2265" customFormat="false" ht="15" hidden="false" customHeight="false" outlineLevel="0" collapsed="false">
      <c r="A2265" s="19"/>
      <c r="B2265" s="19"/>
      <c r="C2265" s="19"/>
      <c r="D2265" s="19"/>
      <c r="E2265" s="22"/>
      <c r="F2265" s="19"/>
      <c r="G2265" s="26" t="str">
        <f aca="false">IF(D2265="","",IFERROR(VALUE(LEFT(D2265,FIND(" |",D2265&amp;" |")-1)),"?"))</f>
        <v/>
      </c>
      <c r="H2265" s="27" t="str">
        <f aca="false">IF(G2265="","",IF(G2265="?","⚠ pub inconnue",IFERROR(INDEX(Pubs!$B$2:$B$3001,MATCH(G2265,Pubs!$A$2:$A$3001,0))&amp;"","⚠ pub inconnue")))</f>
        <v/>
      </c>
      <c r="I2265" s="27" t="str">
        <f aca="false">IF(OR(G2265="",G2265="?"),"",IFERROR(INDEX(Pubs!$C$2:$C$3001,MATCH(G2265,Pubs!$A$2:$A$3001,0))&amp;"",""))</f>
        <v/>
      </c>
      <c r="J2265" s="27" t="str">
        <f aca="false">IF(OR(G2265="",G2265="?"),"",IFERROR(INDEX(Pubs!$G$2:$G$3001,MATCH(G2265,Pubs!$A$2:$A$3001,0))&amp;"",""))</f>
        <v/>
      </c>
      <c r="K2265" s="28" t="str">
        <f aca="false">IF(OR(G2265="",G2265="?"),"",IFERROR(INDEX(Pubs!$E$2:$E$3001,MATCH(G2265,Pubs!$A$2:$A$3001,0)),""))</f>
        <v/>
      </c>
      <c r="L2265" s="29" t="str">
        <f aca="false">IF(A2265="","",IFERROR(1/(1/INDEX(Numéros!$C$2:$C$3001,MATCH(A2265&amp;"|"&amp;B2265,Numéros!$F$2:$F$3001,0))),""))</f>
        <v/>
      </c>
      <c r="M2265" s="27" t="str">
        <f aca="false">IF(OR(G2265="",G2265="?"),"",IFERROR(INDEX(Pubs!$D$2:$D$3001,MATCH(G2265,Pubs!$A$2:$A$3001,0))&amp;"",""))</f>
        <v/>
      </c>
      <c r="N2265" s="27" t="n">
        <f aca="false">N(N2264)+IF(AND(A2265&lt;&gt;"",OR(Recherche!$C$4="",A2265=Recherche!$C$4),OR(Recherche!$C$5="",B2265&amp;""=Recherche!$C$5&amp;""),OR(Recherche!$C$6="",IFERROR(YEAR(L2265),0)=Recherche!$C$6),OR(Recherche!$C$7="",ISNUMBER(SEARCH(Recherche!$C$7,H2265))),OR(Recherche!$C$8="",J2265=Recherche!$C$8),OR(Recherche!$C$9="",I2265=Recherche!$C$9),OR(Recherche!$C$10="",G2265&amp;""=Recherche!$C$10&amp;""),OR(Recherche!$C$11="",E2265=Recherche!$C$11),OR(Recherche!$C$12="",ISNUMBER(SEARCH(Recherche!$C$12,M2265&amp;" "&amp;F2265)))),1,0)</f>
        <v>8</v>
      </c>
    </row>
    <row r="2266" customFormat="false" ht="15" hidden="false" customHeight="false" outlineLevel="0" collapsed="false">
      <c r="A2266" s="19"/>
      <c r="B2266" s="19"/>
      <c r="C2266" s="19"/>
      <c r="D2266" s="19"/>
      <c r="E2266" s="22"/>
      <c r="F2266" s="19"/>
      <c r="G2266" s="26" t="str">
        <f aca="false">IF(D2266="","",IFERROR(VALUE(LEFT(D2266,FIND(" |",D2266&amp;" |")-1)),"?"))</f>
        <v/>
      </c>
      <c r="H2266" s="27" t="str">
        <f aca="false">IF(G2266="","",IF(G2266="?","⚠ pub inconnue",IFERROR(INDEX(Pubs!$B$2:$B$3001,MATCH(G2266,Pubs!$A$2:$A$3001,0))&amp;"","⚠ pub inconnue")))</f>
        <v/>
      </c>
      <c r="I2266" s="27" t="str">
        <f aca="false">IF(OR(G2266="",G2266="?"),"",IFERROR(INDEX(Pubs!$C$2:$C$3001,MATCH(G2266,Pubs!$A$2:$A$3001,0))&amp;"",""))</f>
        <v/>
      </c>
      <c r="J2266" s="27" t="str">
        <f aca="false">IF(OR(G2266="",G2266="?"),"",IFERROR(INDEX(Pubs!$G$2:$G$3001,MATCH(G2266,Pubs!$A$2:$A$3001,0))&amp;"",""))</f>
        <v/>
      </c>
      <c r="K2266" s="28" t="str">
        <f aca="false">IF(OR(G2266="",G2266="?"),"",IFERROR(INDEX(Pubs!$E$2:$E$3001,MATCH(G2266,Pubs!$A$2:$A$3001,0)),""))</f>
        <v/>
      </c>
      <c r="L2266" s="29" t="str">
        <f aca="false">IF(A2266="","",IFERROR(1/(1/INDEX(Numéros!$C$2:$C$3001,MATCH(A2266&amp;"|"&amp;B2266,Numéros!$F$2:$F$3001,0))),""))</f>
        <v/>
      </c>
      <c r="M2266" s="27" t="str">
        <f aca="false">IF(OR(G2266="",G2266="?"),"",IFERROR(INDEX(Pubs!$D$2:$D$3001,MATCH(G2266,Pubs!$A$2:$A$3001,0))&amp;"",""))</f>
        <v/>
      </c>
      <c r="N2266" s="27" t="n">
        <f aca="false">N(N2265)+IF(AND(A2266&lt;&gt;"",OR(Recherche!$C$4="",A2266=Recherche!$C$4),OR(Recherche!$C$5="",B2266&amp;""=Recherche!$C$5&amp;""),OR(Recherche!$C$6="",IFERROR(YEAR(L2266),0)=Recherche!$C$6),OR(Recherche!$C$7="",ISNUMBER(SEARCH(Recherche!$C$7,H2266))),OR(Recherche!$C$8="",J2266=Recherche!$C$8),OR(Recherche!$C$9="",I2266=Recherche!$C$9),OR(Recherche!$C$10="",G2266&amp;""=Recherche!$C$10&amp;""),OR(Recherche!$C$11="",E2266=Recherche!$C$11),OR(Recherche!$C$12="",ISNUMBER(SEARCH(Recherche!$C$12,M2266&amp;" "&amp;F2266)))),1,0)</f>
        <v>8</v>
      </c>
    </row>
    <row r="2267" customFormat="false" ht="15" hidden="false" customHeight="false" outlineLevel="0" collapsed="false">
      <c r="A2267" s="19"/>
      <c r="B2267" s="19"/>
      <c r="C2267" s="19"/>
      <c r="D2267" s="19"/>
      <c r="E2267" s="22"/>
      <c r="F2267" s="19"/>
      <c r="G2267" s="26" t="str">
        <f aca="false">IF(D2267="","",IFERROR(VALUE(LEFT(D2267,FIND(" |",D2267&amp;" |")-1)),"?"))</f>
        <v/>
      </c>
      <c r="H2267" s="27" t="str">
        <f aca="false">IF(G2267="","",IF(G2267="?","⚠ pub inconnue",IFERROR(INDEX(Pubs!$B$2:$B$3001,MATCH(G2267,Pubs!$A$2:$A$3001,0))&amp;"","⚠ pub inconnue")))</f>
        <v/>
      </c>
      <c r="I2267" s="27" t="str">
        <f aca="false">IF(OR(G2267="",G2267="?"),"",IFERROR(INDEX(Pubs!$C$2:$C$3001,MATCH(G2267,Pubs!$A$2:$A$3001,0))&amp;"",""))</f>
        <v/>
      </c>
      <c r="J2267" s="27" t="str">
        <f aca="false">IF(OR(G2267="",G2267="?"),"",IFERROR(INDEX(Pubs!$G$2:$G$3001,MATCH(G2267,Pubs!$A$2:$A$3001,0))&amp;"",""))</f>
        <v/>
      </c>
      <c r="K2267" s="28" t="str">
        <f aca="false">IF(OR(G2267="",G2267="?"),"",IFERROR(INDEX(Pubs!$E$2:$E$3001,MATCH(G2267,Pubs!$A$2:$A$3001,0)),""))</f>
        <v/>
      </c>
      <c r="L2267" s="29" t="str">
        <f aca="false">IF(A2267="","",IFERROR(1/(1/INDEX(Numéros!$C$2:$C$3001,MATCH(A2267&amp;"|"&amp;B2267,Numéros!$F$2:$F$3001,0))),""))</f>
        <v/>
      </c>
      <c r="M2267" s="27" t="str">
        <f aca="false">IF(OR(G2267="",G2267="?"),"",IFERROR(INDEX(Pubs!$D$2:$D$3001,MATCH(G2267,Pubs!$A$2:$A$3001,0))&amp;"",""))</f>
        <v/>
      </c>
      <c r="N2267" s="27" t="n">
        <f aca="false">N(N2266)+IF(AND(A2267&lt;&gt;"",OR(Recherche!$C$4="",A2267=Recherche!$C$4),OR(Recherche!$C$5="",B2267&amp;""=Recherche!$C$5&amp;""),OR(Recherche!$C$6="",IFERROR(YEAR(L2267),0)=Recherche!$C$6),OR(Recherche!$C$7="",ISNUMBER(SEARCH(Recherche!$C$7,H2267))),OR(Recherche!$C$8="",J2267=Recherche!$C$8),OR(Recherche!$C$9="",I2267=Recherche!$C$9),OR(Recherche!$C$10="",G2267&amp;""=Recherche!$C$10&amp;""),OR(Recherche!$C$11="",E2267=Recherche!$C$11),OR(Recherche!$C$12="",ISNUMBER(SEARCH(Recherche!$C$12,M2267&amp;" "&amp;F2267)))),1,0)</f>
        <v>8</v>
      </c>
    </row>
    <row r="2268" customFormat="false" ht="15" hidden="false" customHeight="false" outlineLevel="0" collapsed="false">
      <c r="A2268" s="19"/>
      <c r="B2268" s="19"/>
      <c r="C2268" s="19"/>
      <c r="D2268" s="19"/>
      <c r="E2268" s="22"/>
      <c r="F2268" s="19"/>
      <c r="G2268" s="26" t="str">
        <f aca="false">IF(D2268="","",IFERROR(VALUE(LEFT(D2268,FIND(" |",D2268&amp;" |")-1)),"?"))</f>
        <v/>
      </c>
      <c r="H2268" s="27" t="str">
        <f aca="false">IF(G2268="","",IF(G2268="?","⚠ pub inconnue",IFERROR(INDEX(Pubs!$B$2:$B$3001,MATCH(G2268,Pubs!$A$2:$A$3001,0))&amp;"","⚠ pub inconnue")))</f>
        <v/>
      </c>
      <c r="I2268" s="27" t="str">
        <f aca="false">IF(OR(G2268="",G2268="?"),"",IFERROR(INDEX(Pubs!$C$2:$C$3001,MATCH(G2268,Pubs!$A$2:$A$3001,0))&amp;"",""))</f>
        <v/>
      </c>
      <c r="J2268" s="27" t="str">
        <f aca="false">IF(OR(G2268="",G2268="?"),"",IFERROR(INDEX(Pubs!$G$2:$G$3001,MATCH(G2268,Pubs!$A$2:$A$3001,0))&amp;"",""))</f>
        <v/>
      </c>
      <c r="K2268" s="28" t="str">
        <f aca="false">IF(OR(G2268="",G2268="?"),"",IFERROR(INDEX(Pubs!$E$2:$E$3001,MATCH(G2268,Pubs!$A$2:$A$3001,0)),""))</f>
        <v/>
      </c>
      <c r="L2268" s="29" t="str">
        <f aca="false">IF(A2268="","",IFERROR(1/(1/INDEX(Numéros!$C$2:$C$3001,MATCH(A2268&amp;"|"&amp;B2268,Numéros!$F$2:$F$3001,0))),""))</f>
        <v/>
      </c>
      <c r="M2268" s="27" t="str">
        <f aca="false">IF(OR(G2268="",G2268="?"),"",IFERROR(INDEX(Pubs!$D$2:$D$3001,MATCH(G2268,Pubs!$A$2:$A$3001,0))&amp;"",""))</f>
        <v/>
      </c>
      <c r="N2268" s="27" t="n">
        <f aca="false">N(N2267)+IF(AND(A2268&lt;&gt;"",OR(Recherche!$C$4="",A2268=Recherche!$C$4),OR(Recherche!$C$5="",B2268&amp;""=Recherche!$C$5&amp;""),OR(Recherche!$C$6="",IFERROR(YEAR(L2268),0)=Recherche!$C$6),OR(Recherche!$C$7="",ISNUMBER(SEARCH(Recherche!$C$7,H2268))),OR(Recherche!$C$8="",J2268=Recherche!$C$8),OR(Recherche!$C$9="",I2268=Recherche!$C$9),OR(Recherche!$C$10="",G2268&amp;""=Recherche!$C$10&amp;""),OR(Recherche!$C$11="",E2268=Recherche!$C$11),OR(Recherche!$C$12="",ISNUMBER(SEARCH(Recherche!$C$12,M2268&amp;" "&amp;F2268)))),1,0)</f>
        <v>8</v>
      </c>
    </row>
    <row r="2269" customFormat="false" ht="15" hidden="false" customHeight="false" outlineLevel="0" collapsed="false">
      <c r="A2269" s="19"/>
      <c r="B2269" s="19"/>
      <c r="C2269" s="19"/>
      <c r="D2269" s="19"/>
      <c r="E2269" s="22"/>
      <c r="F2269" s="19"/>
      <c r="G2269" s="26" t="str">
        <f aca="false">IF(D2269="","",IFERROR(VALUE(LEFT(D2269,FIND(" |",D2269&amp;" |")-1)),"?"))</f>
        <v/>
      </c>
      <c r="H2269" s="27" t="str">
        <f aca="false">IF(G2269="","",IF(G2269="?","⚠ pub inconnue",IFERROR(INDEX(Pubs!$B$2:$B$3001,MATCH(G2269,Pubs!$A$2:$A$3001,0))&amp;"","⚠ pub inconnue")))</f>
        <v/>
      </c>
      <c r="I2269" s="27" t="str">
        <f aca="false">IF(OR(G2269="",G2269="?"),"",IFERROR(INDEX(Pubs!$C$2:$C$3001,MATCH(G2269,Pubs!$A$2:$A$3001,0))&amp;"",""))</f>
        <v/>
      </c>
      <c r="J2269" s="27" t="str">
        <f aca="false">IF(OR(G2269="",G2269="?"),"",IFERROR(INDEX(Pubs!$G$2:$G$3001,MATCH(G2269,Pubs!$A$2:$A$3001,0))&amp;"",""))</f>
        <v/>
      </c>
      <c r="K2269" s="28" t="str">
        <f aca="false">IF(OR(G2269="",G2269="?"),"",IFERROR(INDEX(Pubs!$E$2:$E$3001,MATCH(G2269,Pubs!$A$2:$A$3001,0)),""))</f>
        <v/>
      </c>
      <c r="L2269" s="29" t="str">
        <f aca="false">IF(A2269="","",IFERROR(1/(1/INDEX(Numéros!$C$2:$C$3001,MATCH(A2269&amp;"|"&amp;B2269,Numéros!$F$2:$F$3001,0))),""))</f>
        <v/>
      </c>
      <c r="M2269" s="27" t="str">
        <f aca="false">IF(OR(G2269="",G2269="?"),"",IFERROR(INDEX(Pubs!$D$2:$D$3001,MATCH(G2269,Pubs!$A$2:$A$3001,0))&amp;"",""))</f>
        <v/>
      </c>
      <c r="N2269" s="27" t="n">
        <f aca="false">N(N2268)+IF(AND(A2269&lt;&gt;"",OR(Recherche!$C$4="",A2269=Recherche!$C$4),OR(Recherche!$C$5="",B2269&amp;""=Recherche!$C$5&amp;""),OR(Recherche!$C$6="",IFERROR(YEAR(L2269),0)=Recherche!$C$6),OR(Recherche!$C$7="",ISNUMBER(SEARCH(Recherche!$C$7,H2269))),OR(Recherche!$C$8="",J2269=Recherche!$C$8),OR(Recherche!$C$9="",I2269=Recherche!$C$9),OR(Recherche!$C$10="",G2269&amp;""=Recherche!$C$10&amp;""),OR(Recherche!$C$11="",E2269=Recherche!$C$11),OR(Recherche!$C$12="",ISNUMBER(SEARCH(Recherche!$C$12,M2269&amp;" "&amp;F2269)))),1,0)</f>
        <v>8</v>
      </c>
    </row>
    <row r="2270" customFormat="false" ht="15" hidden="false" customHeight="false" outlineLevel="0" collapsed="false">
      <c r="A2270" s="19"/>
      <c r="B2270" s="19"/>
      <c r="C2270" s="19"/>
      <c r="D2270" s="19"/>
      <c r="E2270" s="22"/>
      <c r="F2270" s="19"/>
      <c r="G2270" s="26" t="str">
        <f aca="false">IF(D2270="","",IFERROR(VALUE(LEFT(D2270,FIND(" |",D2270&amp;" |")-1)),"?"))</f>
        <v/>
      </c>
      <c r="H2270" s="27" t="str">
        <f aca="false">IF(G2270="","",IF(G2270="?","⚠ pub inconnue",IFERROR(INDEX(Pubs!$B$2:$B$3001,MATCH(G2270,Pubs!$A$2:$A$3001,0))&amp;"","⚠ pub inconnue")))</f>
        <v/>
      </c>
      <c r="I2270" s="27" t="str">
        <f aca="false">IF(OR(G2270="",G2270="?"),"",IFERROR(INDEX(Pubs!$C$2:$C$3001,MATCH(G2270,Pubs!$A$2:$A$3001,0))&amp;"",""))</f>
        <v/>
      </c>
      <c r="J2270" s="27" t="str">
        <f aca="false">IF(OR(G2270="",G2270="?"),"",IFERROR(INDEX(Pubs!$G$2:$G$3001,MATCH(G2270,Pubs!$A$2:$A$3001,0))&amp;"",""))</f>
        <v/>
      </c>
      <c r="K2270" s="28" t="str">
        <f aca="false">IF(OR(G2270="",G2270="?"),"",IFERROR(INDEX(Pubs!$E$2:$E$3001,MATCH(G2270,Pubs!$A$2:$A$3001,0)),""))</f>
        <v/>
      </c>
      <c r="L2270" s="29" t="str">
        <f aca="false">IF(A2270="","",IFERROR(1/(1/INDEX(Numéros!$C$2:$C$3001,MATCH(A2270&amp;"|"&amp;B2270,Numéros!$F$2:$F$3001,0))),""))</f>
        <v/>
      </c>
      <c r="M2270" s="27" t="str">
        <f aca="false">IF(OR(G2270="",G2270="?"),"",IFERROR(INDEX(Pubs!$D$2:$D$3001,MATCH(G2270,Pubs!$A$2:$A$3001,0))&amp;"",""))</f>
        <v/>
      </c>
      <c r="N2270" s="27" t="n">
        <f aca="false">N(N2269)+IF(AND(A2270&lt;&gt;"",OR(Recherche!$C$4="",A2270=Recherche!$C$4),OR(Recherche!$C$5="",B2270&amp;""=Recherche!$C$5&amp;""),OR(Recherche!$C$6="",IFERROR(YEAR(L2270),0)=Recherche!$C$6),OR(Recherche!$C$7="",ISNUMBER(SEARCH(Recherche!$C$7,H2270))),OR(Recherche!$C$8="",J2270=Recherche!$C$8),OR(Recherche!$C$9="",I2270=Recherche!$C$9),OR(Recherche!$C$10="",G2270&amp;""=Recherche!$C$10&amp;""),OR(Recherche!$C$11="",E2270=Recherche!$C$11),OR(Recherche!$C$12="",ISNUMBER(SEARCH(Recherche!$C$12,M2270&amp;" "&amp;F2270)))),1,0)</f>
        <v>8</v>
      </c>
    </row>
    <row r="2271" customFormat="false" ht="15" hidden="false" customHeight="false" outlineLevel="0" collapsed="false">
      <c r="A2271" s="19"/>
      <c r="B2271" s="19"/>
      <c r="C2271" s="19"/>
      <c r="D2271" s="19"/>
      <c r="E2271" s="22"/>
      <c r="F2271" s="19"/>
      <c r="G2271" s="26" t="str">
        <f aca="false">IF(D2271="","",IFERROR(VALUE(LEFT(D2271,FIND(" |",D2271&amp;" |")-1)),"?"))</f>
        <v/>
      </c>
      <c r="H2271" s="27" t="str">
        <f aca="false">IF(G2271="","",IF(G2271="?","⚠ pub inconnue",IFERROR(INDEX(Pubs!$B$2:$B$3001,MATCH(G2271,Pubs!$A$2:$A$3001,0))&amp;"","⚠ pub inconnue")))</f>
        <v/>
      </c>
      <c r="I2271" s="27" t="str">
        <f aca="false">IF(OR(G2271="",G2271="?"),"",IFERROR(INDEX(Pubs!$C$2:$C$3001,MATCH(G2271,Pubs!$A$2:$A$3001,0))&amp;"",""))</f>
        <v/>
      </c>
      <c r="J2271" s="27" t="str">
        <f aca="false">IF(OR(G2271="",G2271="?"),"",IFERROR(INDEX(Pubs!$G$2:$G$3001,MATCH(G2271,Pubs!$A$2:$A$3001,0))&amp;"",""))</f>
        <v/>
      </c>
      <c r="K2271" s="28" t="str">
        <f aca="false">IF(OR(G2271="",G2271="?"),"",IFERROR(INDEX(Pubs!$E$2:$E$3001,MATCH(G2271,Pubs!$A$2:$A$3001,0)),""))</f>
        <v/>
      </c>
      <c r="L2271" s="29" t="str">
        <f aca="false">IF(A2271="","",IFERROR(1/(1/INDEX(Numéros!$C$2:$C$3001,MATCH(A2271&amp;"|"&amp;B2271,Numéros!$F$2:$F$3001,0))),""))</f>
        <v/>
      </c>
      <c r="M2271" s="27" t="str">
        <f aca="false">IF(OR(G2271="",G2271="?"),"",IFERROR(INDEX(Pubs!$D$2:$D$3001,MATCH(G2271,Pubs!$A$2:$A$3001,0))&amp;"",""))</f>
        <v/>
      </c>
      <c r="N2271" s="27" t="n">
        <f aca="false">N(N2270)+IF(AND(A2271&lt;&gt;"",OR(Recherche!$C$4="",A2271=Recherche!$C$4),OR(Recherche!$C$5="",B2271&amp;""=Recherche!$C$5&amp;""),OR(Recherche!$C$6="",IFERROR(YEAR(L2271),0)=Recherche!$C$6),OR(Recherche!$C$7="",ISNUMBER(SEARCH(Recherche!$C$7,H2271))),OR(Recherche!$C$8="",J2271=Recherche!$C$8),OR(Recherche!$C$9="",I2271=Recherche!$C$9),OR(Recherche!$C$10="",G2271&amp;""=Recherche!$C$10&amp;""),OR(Recherche!$C$11="",E2271=Recherche!$C$11),OR(Recherche!$C$12="",ISNUMBER(SEARCH(Recherche!$C$12,M2271&amp;" "&amp;F2271)))),1,0)</f>
        <v>8</v>
      </c>
    </row>
    <row r="2272" customFormat="false" ht="15" hidden="false" customHeight="false" outlineLevel="0" collapsed="false">
      <c r="A2272" s="19"/>
      <c r="B2272" s="19"/>
      <c r="C2272" s="19"/>
      <c r="D2272" s="19"/>
      <c r="E2272" s="22"/>
      <c r="F2272" s="19"/>
      <c r="G2272" s="26" t="str">
        <f aca="false">IF(D2272="","",IFERROR(VALUE(LEFT(D2272,FIND(" |",D2272&amp;" |")-1)),"?"))</f>
        <v/>
      </c>
      <c r="H2272" s="27" t="str">
        <f aca="false">IF(G2272="","",IF(G2272="?","⚠ pub inconnue",IFERROR(INDEX(Pubs!$B$2:$B$3001,MATCH(G2272,Pubs!$A$2:$A$3001,0))&amp;"","⚠ pub inconnue")))</f>
        <v/>
      </c>
      <c r="I2272" s="27" t="str">
        <f aca="false">IF(OR(G2272="",G2272="?"),"",IFERROR(INDEX(Pubs!$C$2:$C$3001,MATCH(G2272,Pubs!$A$2:$A$3001,0))&amp;"",""))</f>
        <v/>
      </c>
      <c r="J2272" s="27" t="str">
        <f aca="false">IF(OR(G2272="",G2272="?"),"",IFERROR(INDEX(Pubs!$G$2:$G$3001,MATCH(G2272,Pubs!$A$2:$A$3001,0))&amp;"",""))</f>
        <v/>
      </c>
      <c r="K2272" s="28" t="str">
        <f aca="false">IF(OR(G2272="",G2272="?"),"",IFERROR(INDEX(Pubs!$E$2:$E$3001,MATCH(G2272,Pubs!$A$2:$A$3001,0)),""))</f>
        <v/>
      </c>
      <c r="L2272" s="29" t="str">
        <f aca="false">IF(A2272="","",IFERROR(1/(1/INDEX(Numéros!$C$2:$C$3001,MATCH(A2272&amp;"|"&amp;B2272,Numéros!$F$2:$F$3001,0))),""))</f>
        <v/>
      </c>
      <c r="M2272" s="27" t="str">
        <f aca="false">IF(OR(G2272="",G2272="?"),"",IFERROR(INDEX(Pubs!$D$2:$D$3001,MATCH(G2272,Pubs!$A$2:$A$3001,0))&amp;"",""))</f>
        <v/>
      </c>
      <c r="N2272" s="27" t="n">
        <f aca="false">N(N2271)+IF(AND(A2272&lt;&gt;"",OR(Recherche!$C$4="",A2272=Recherche!$C$4),OR(Recherche!$C$5="",B2272&amp;""=Recherche!$C$5&amp;""),OR(Recherche!$C$6="",IFERROR(YEAR(L2272),0)=Recherche!$C$6),OR(Recherche!$C$7="",ISNUMBER(SEARCH(Recherche!$C$7,H2272))),OR(Recherche!$C$8="",J2272=Recherche!$C$8),OR(Recherche!$C$9="",I2272=Recherche!$C$9),OR(Recherche!$C$10="",G2272&amp;""=Recherche!$C$10&amp;""),OR(Recherche!$C$11="",E2272=Recherche!$C$11),OR(Recherche!$C$12="",ISNUMBER(SEARCH(Recherche!$C$12,M2272&amp;" "&amp;F2272)))),1,0)</f>
        <v>8</v>
      </c>
    </row>
    <row r="2273" customFormat="false" ht="15" hidden="false" customHeight="false" outlineLevel="0" collapsed="false">
      <c r="A2273" s="19"/>
      <c r="B2273" s="19"/>
      <c r="C2273" s="19"/>
      <c r="D2273" s="19"/>
      <c r="E2273" s="22"/>
      <c r="F2273" s="19"/>
      <c r="G2273" s="26" t="str">
        <f aca="false">IF(D2273="","",IFERROR(VALUE(LEFT(D2273,FIND(" |",D2273&amp;" |")-1)),"?"))</f>
        <v/>
      </c>
      <c r="H2273" s="27" t="str">
        <f aca="false">IF(G2273="","",IF(G2273="?","⚠ pub inconnue",IFERROR(INDEX(Pubs!$B$2:$B$3001,MATCH(G2273,Pubs!$A$2:$A$3001,0))&amp;"","⚠ pub inconnue")))</f>
        <v/>
      </c>
      <c r="I2273" s="27" t="str">
        <f aca="false">IF(OR(G2273="",G2273="?"),"",IFERROR(INDEX(Pubs!$C$2:$C$3001,MATCH(G2273,Pubs!$A$2:$A$3001,0))&amp;"",""))</f>
        <v/>
      </c>
      <c r="J2273" s="27" t="str">
        <f aca="false">IF(OR(G2273="",G2273="?"),"",IFERROR(INDEX(Pubs!$G$2:$G$3001,MATCH(G2273,Pubs!$A$2:$A$3001,0))&amp;"",""))</f>
        <v/>
      </c>
      <c r="K2273" s="28" t="str">
        <f aca="false">IF(OR(G2273="",G2273="?"),"",IFERROR(INDEX(Pubs!$E$2:$E$3001,MATCH(G2273,Pubs!$A$2:$A$3001,0)),""))</f>
        <v/>
      </c>
      <c r="L2273" s="29" t="str">
        <f aca="false">IF(A2273="","",IFERROR(1/(1/INDEX(Numéros!$C$2:$C$3001,MATCH(A2273&amp;"|"&amp;B2273,Numéros!$F$2:$F$3001,0))),""))</f>
        <v/>
      </c>
      <c r="M2273" s="27" t="str">
        <f aca="false">IF(OR(G2273="",G2273="?"),"",IFERROR(INDEX(Pubs!$D$2:$D$3001,MATCH(G2273,Pubs!$A$2:$A$3001,0))&amp;"",""))</f>
        <v/>
      </c>
      <c r="N2273" s="27" t="n">
        <f aca="false">N(N2272)+IF(AND(A2273&lt;&gt;"",OR(Recherche!$C$4="",A2273=Recherche!$C$4),OR(Recherche!$C$5="",B2273&amp;""=Recherche!$C$5&amp;""),OR(Recherche!$C$6="",IFERROR(YEAR(L2273),0)=Recherche!$C$6),OR(Recherche!$C$7="",ISNUMBER(SEARCH(Recherche!$C$7,H2273))),OR(Recherche!$C$8="",J2273=Recherche!$C$8),OR(Recherche!$C$9="",I2273=Recherche!$C$9),OR(Recherche!$C$10="",G2273&amp;""=Recherche!$C$10&amp;""),OR(Recherche!$C$11="",E2273=Recherche!$C$11),OR(Recherche!$C$12="",ISNUMBER(SEARCH(Recherche!$C$12,M2273&amp;" "&amp;F2273)))),1,0)</f>
        <v>8</v>
      </c>
    </row>
    <row r="2274" customFormat="false" ht="15" hidden="false" customHeight="false" outlineLevel="0" collapsed="false">
      <c r="A2274" s="19"/>
      <c r="B2274" s="19"/>
      <c r="C2274" s="19"/>
      <c r="D2274" s="19"/>
      <c r="E2274" s="22"/>
      <c r="F2274" s="19"/>
      <c r="G2274" s="26" t="str">
        <f aca="false">IF(D2274="","",IFERROR(VALUE(LEFT(D2274,FIND(" |",D2274&amp;" |")-1)),"?"))</f>
        <v/>
      </c>
      <c r="H2274" s="27" t="str">
        <f aca="false">IF(G2274="","",IF(G2274="?","⚠ pub inconnue",IFERROR(INDEX(Pubs!$B$2:$B$3001,MATCH(G2274,Pubs!$A$2:$A$3001,0))&amp;"","⚠ pub inconnue")))</f>
        <v/>
      </c>
      <c r="I2274" s="27" t="str">
        <f aca="false">IF(OR(G2274="",G2274="?"),"",IFERROR(INDEX(Pubs!$C$2:$C$3001,MATCH(G2274,Pubs!$A$2:$A$3001,0))&amp;"",""))</f>
        <v/>
      </c>
      <c r="J2274" s="27" t="str">
        <f aca="false">IF(OR(G2274="",G2274="?"),"",IFERROR(INDEX(Pubs!$G$2:$G$3001,MATCH(G2274,Pubs!$A$2:$A$3001,0))&amp;"",""))</f>
        <v/>
      </c>
      <c r="K2274" s="28" t="str">
        <f aca="false">IF(OR(G2274="",G2274="?"),"",IFERROR(INDEX(Pubs!$E$2:$E$3001,MATCH(G2274,Pubs!$A$2:$A$3001,0)),""))</f>
        <v/>
      </c>
      <c r="L2274" s="29" t="str">
        <f aca="false">IF(A2274="","",IFERROR(1/(1/INDEX(Numéros!$C$2:$C$3001,MATCH(A2274&amp;"|"&amp;B2274,Numéros!$F$2:$F$3001,0))),""))</f>
        <v/>
      </c>
      <c r="M2274" s="27" t="str">
        <f aca="false">IF(OR(G2274="",G2274="?"),"",IFERROR(INDEX(Pubs!$D$2:$D$3001,MATCH(G2274,Pubs!$A$2:$A$3001,0))&amp;"",""))</f>
        <v/>
      </c>
      <c r="N2274" s="27" t="n">
        <f aca="false">N(N2273)+IF(AND(A2274&lt;&gt;"",OR(Recherche!$C$4="",A2274=Recherche!$C$4),OR(Recherche!$C$5="",B2274&amp;""=Recherche!$C$5&amp;""),OR(Recherche!$C$6="",IFERROR(YEAR(L2274),0)=Recherche!$C$6),OR(Recherche!$C$7="",ISNUMBER(SEARCH(Recherche!$C$7,H2274))),OR(Recherche!$C$8="",J2274=Recherche!$C$8),OR(Recherche!$C$9="",I2274=Recherche!$C$9),OR(Recherche!$C$10="",G2274&amp;""=Recherche!$C$10&amp;""),OR(Recherche!$C$11="",E2274=Recherche!$C$11),OR(Recherche!$C$12="",ISNUMBER(SEARCH(Recherche!$C$12,M2274&amp;" "&amp;F2274)))),1,0)</f>
        <v>8</v>
      </c>
    </row>
    <row r="2275" customFormat="false" ht="15" hidden="false" customHeight="false" outlineLevel="0" collapsed="false">
      <c r="A2275" s="19"/>
      <c r="B2275" s="19"/>
      <c r="C2275" s="19"/>
      <c r="D2275" s="19"/>
      <c r="E2275" s="22"/>
      <c r="F2275" s="19"/>
      <c r="G2275" s="26" t="str">
        <f aca="false">IF(D2275="","",IFERROR(VALUE(LEFT(D2275,FIND(" |",D2275&amp;" |")-1)),"?"))</f>
        <v/>
      </c>
      <c r="H2275" s="27" t="str">
        <f aca="false">IF(G2275="","",IF(G2275="?","⚠ pub inconnue",IFERROR(INDEX(Pubs!$B$2:$B$3001,MATCH(G2275,Pubs!$A$2:$A$3001,0))&amp;"","⚠ pub inconnue")))</f>
        <v/>
      </c>
      <c r="I2275" s="27" t="str">
        <f aca="false">IF(OR(G2275="",G2275="?"),"",IFERROR(INDEX(Pubs!$C$2:$C$3001,MATCH(G2275,Pubs!$A$2:$A$3001,0))&amp;"",""))</f>
        <v/>
      </c>
      <c r="J2275" s="27" t="str">
        <f aca="false">IF(OR(G2275="",G2275="?"),"",IFERROR(INDEX(Pubs!$G$2:$G$3001,MATCH(G2275,Pubs!$A$2:$A$3001,0))&amp;"",""))</f>
        <v/>
      </c>
      <c r="K2275" s="28" t="str">
        <f aca="false">IF(OR(G2275="",G2275="?"),"",IFERROR(INDEX(Pubs!$E$2:$E$3001,MATCH(G2275,Pubs!$A$2:$A$3001,0)),""))</f>
        <v/>
      </c>
      <c r="L2275" s="29" t="str">
        <f aca="false">IF(A2275="","",IFERROR(1/(1/INDEX(Numéros!$C$2:$C$3001,MATCH(A2275&amp;"|"&amp;B2275,Numéros!$F$2:$F$3001,0))),""))</f>
        <v/>
      </c>
      <c r="M2275" s="27" t="str">
        <f aca="false">IF(OR(G2275="",G2275="?"),"",IFERROR(INDEX(Pubs!$D$2:$D$3001,MATCH(G2275,Pubs!$A$2:$A$3001,0))&amp;"",""))</f>
        <v/>
      </c>
      <c r="N2275" s="27" t="n">
        <f aca="false">N(N2274)+IF(AND(A2275&lt;&gt;"",OR(Recherche!$C$4="",A2275=Recherche!$C$4),OR(Recherche!$C$5="",B2275&amp;""=Recherche!$C$5&amp;""),OR(Recherche!$C$6="",IFERROR(YEAR(L2275),0)=Recherche!$C$6),OR(Recherche!$C$7="",ISNUMBER(SEARCH(Recherche!$C$7,H2275))),OR(Recherche!$C$8="",J2275=Recherche!$C$8),OR(Recherche!$C$9="",I2275=Recherche!$C$9),OR(Recherche!$C$10="",G2275&amp;""=Recherche!$C$10&amp;""),OR(Recherche!$C$11="",E2275=Recherche!$C$11),OR(Recherche!$C$12="",ISNUMBER(SEARCH(Recherche!$C$12,M2275&amp;" "&amp;F2275)))),1,0)</f>
        <v>8</v>
      </c>
    </row>
    <row r="2276" customFormat="false" ht="15" hidden="false" customHeight="false" outlineLevel="0" collapsed="false">
      <c r="A2276" s="19"/>
      <c r="B2276" s="19"/>
      <c r="C2276" s="19"/>
      <c r="D2276" s="19"/>
      <c r="E2276" s="22"/>
      <c r="F2276" s="19"/>
      <c r="G2276" s="26" t="str">
        <f aca="false">IF(D2276="","",IFERROR(VALUE(LEFT(D2276,FIND(" |",D2276&amp;" |")-1)),"?"))</f>
        <v/>
      </c>
      <c r="H2276" s="27" t="str">
        <f aca="false">IF(G2276="","",IF(G2276="?","⚠ pub inconnue",IFERROR(INDEX(Pubs!$B$2:$B$3001,MATCH(G2276,Pubs!$A$2:$A$3001,0))&amp;"","⚠ pub inconnue")))</f>
        <v/>
      </c>
      <c r="I2276" s="27" t="str">
        <f aca="false">IF(OR(G2276="",G2276="?"),"",IFERROR(INDEX(Pubs!$C$2:$C$3001,MATCH(G2276,Pubs!$A$2:$A$3001,0))&amp;"",""))</f>
        <v/>
      </c>
      <c r="J2276" s="27" t="str">
        <f aca="false">IF(OR(G2276="",G2276="?"),"",IFERROR(INDEX(Pubs!$G$2:$G$3001,MATCH(G2276,Pubs!$A$2:$A$3001,0))&amp;"",""))</f>
        <v/>
      </c>
      <c r="K2276" s="28" t="str">
        <f aca="false">IF(OR(G2276="",G2276="?"),"",IFERROR(INDEX(Pubs!$E$2:$E$3001,MATCH(G2276,Pubs!$A$2:$A$3001,0)),""))</f>
        <v/>
      </c>
      <c r="L2276" s="29" t="str">
        <f aca="false">IF(A2276="","",IFERROR(1/(1/INDEX(Numéros!$C$2:$C$3001,MATCH(A2276&amp;"|"&amp;B2276,Numéros!$F$2:$F$3001,0))),""))</f>
        <v/>
      </c>
      <c r="M2276" s="27" t="str">
        <f aca="false">IF(OR(G2276="",G2276="?"),"",IFERROR(INDEX(Pubs!$D$2:$D$3001,MATCH(G2276,Pubs!$A$2:$A$3001,0))&amp;"",""))</f>
        <v/>
      </c>
      <c r="N2276" s="27" t="n">
        <f aca="false">N(N2275)+IF(AND(A2276&lt;&gt;"",OR(Recherche!$C$4="",A2276=Recherche!$C$4),OR(Recherche!$C$5="",B2276&amp;""=Recherche!$C$5&amp;""),OR(Recherche!$C$6="",IFERROR(YEAR(L2276),0)=Recherche!$C$6),OR(Recherche!$C$7="",ISNUMBER(SEARCH(Recherche!$C$7,H2276))),OR(Recherche!$C$8="",J2276=Recherche!$C$8),OR(Recherche!$C$9="",I2276=Recherche!$C$9),OR(Recherche!$C$10="",G2276&amp;""=Recherche!$C$10&amp;""),OR(Recherche!$C$11="",E2276=Recherche!$C$11),OR(Recherche!$C$12="",ISNUMBER(SEARCH(Recherche!$C$12,M2276&amp;" "&amp;F2276)))),1,0)</f>
        <v>8</v>
      </c>
    </row>
    <row r="2277" customFormat="false" ht="15" hidden="false" customHeight="false" outlineLevel="0" collapsed="false">
      <c r="A2277" s="19"/>
      <c r="B2277" s="19"/>
      <c r="C2277" s="19"/>
      <c r="D2277" s="19"/>
      <c r="E2277" s="22"/>
      <c r="F2277" s="19"/>
      <c r="G2277" s="26" t="str">
        <f aca="false">IF(D2277="","",IFERROR(VALUE(LEFT(D2277,FIND(" |",D2277&amp;" |")-1)),"?"))</f>
        <v/>
      </c>
      <c r="H2277" s="27" t="str">
        <f aca="false">IF(G2277="","",IF(G2277="?","⚠ pub inconnue",IFERROR(INDEX(Pubs!$B$2:$B$3001,MATCH(G2277,Pubs!$A$2:$A$3001,0))&amp;"","⚠ pub inconnue")))</f>
        <v/>
      </c>
      <c r="I2277" s="27" t="str">
        <f aca="false">IF(OR(G2277="",G2277="?"),"",IFERROR(INDEX(Pubs!$C$2:$C$3001,MATCH(G2277,Pubs!$A$2:$A$3001,0))&amp;"",""))</f>
        <v/>
      </c>
      <c r="J2277" s="27" t="str">
        <f aca="false">IF(OR(G2277="",G2277="?"),"",IFERROR(INDEX(Pubs!$G$2:$G$3001,MATCH(G2277,Pubs!$A$2:$A$3001,0))&amp;"",""))</f>
        <v/>
      </c>
      <c r="K2277" s="28" t="str">
        <f aca="false">IF(OR(G2277="",G2277="?"),"",IFERROR(INDEX(Pubs!$E$2:$E$3001,MATCH(G2277,Pubs!$A$2:$A$3001,0)),""))</f>
        <v/>
      </c>
      <c r="L2277" s="29" t="str">
        <f aca="false">IF(A2277="","",IFERROR(1/(1/INDEX(Numéros!$C$2:$C$3001,MATCH(A2277&amp;"|"&amp;B2277,Numéros!$F$2:$F$3001,0))),""))</f>
        <v/>
      </c>
      <c r="M2277" s="27" t="str">
        <f aca="false">IF(OR(G2277="",G2277="?"),"",IFERROR(INDEX(Pubs!$D$2:$D$3001,MATCH(G2277,Pubs!$A$2:$A$3001,0))&amp;"",""))</f>
        <v/>
      </c>
      <c r="N2277" s="27" t="n">
        <f aca="false">N(N2276)+IF(AND(A2277&lt;&gt;"",OR(Recherche!$C$4="",A2277=Recherche!$C$4),OR(Recherche!$C$5="",B2277&amp;""=Recherche!$C$5&amp;""),OR(Recherche!$C$6="",IFERROR(YEAR(L2277),0)=Recherche!$C$6),OR(Recherche!$C$7="",ISNUMBER(SEARCH(Recherche!$C$7,H2277))),OR(Recherche!$C$8="",J2277=Recherche!$C$8),OR(Recherche!$C$9="",I2277=Recherche!$C$9),OR(Recherche!$C$10="",G2277&amp;""=Recherche!$C$10&amp;""),OR(Recherche!$C$11="",E2277=Recherche!$C$11),OR(Recherche!$C$12="",ISNUMBER(SEARCH(Recherche!$C$12,M2277&amp;" "&amp;F2277)))),1,0)</f>
        <v>8</v>
      </c>
    </row>
    <row r="2278" customFormat="false" ht="15" hidden="false" customHeight="false" outlineLevel="0" collapsed="false">
      <c r="A2278" s="19"/>
      <c r="B2278" s="19"/>
      <c r="C2278" s="19"/>
      <c r="D2278" s="19"/>
      <c r="E2278" s="22"/>
      <c r="F2278" s="19"/>
      <c r="G2278" s="26" t="str">
        <f aca="false">IF(D2278="","",IFERROR(VALUE(LEFT(D2278,FIND(" |",D2278&amp;" |")-1)),"?"))</f>
        <v/>
      </c>
      <c r="H2278" s="27" t="str">
        <f aca="false">IF(G2278="","",IF(G2278="?","⚠ pub inconnue",IFERROR(INDEX(Pubs!$B$2:$B$3001,MATCH(G2278,Pubs!$A$2:$A$3001,0))&amp;"","⚠ pub inconnue")))</f>
        <v/>
      </c>
      <c r="I2278" s="27" t="str">
        <f aca="false">IF(OR(G2278="",G2278="?"),"",IFERROR(INDEX(Pubs!$C$2:$C$3001,MATCH(G2278,Pubs!$A$2:$A$3001,0))&amp;"",""))</f>
        <v/>
      </c>
      <c r="J2278" s="27" t="str">
        <f aca="false">IF(OR(G2278="",G2278="?"),"",IFERROR(INDEX(Pubs!$G$2:$G$3001,MATCH(G2278,Pubs!$A$2:$A$3001,0))&amp;"",""))</f>
        <v/>
      </c>
      <c r="K2278" s="28" t="str">
        <f aca="false">IF(OR(G2278="",G2278="?"),"",IFERROR(INDEX(Pubs!$E$2:$E$3001,MATCH(G2278,Pubs!$A$2:$A$3001,0)),""))</f>
        <v/>
      </c>
      <c r="L2278" s="29" t="str">
        <f aca="false">IF(A2278="","",IFERROR(1/(1/INDEX(Numéros!$C$2:$C$3001,MATCH(A2278&amp;"|"&amp;B2278,Numéros!$F$2:$F$3001,0))),""))</f>
        <v/>
      </c>
      <c r="M2278" s="27" t="str">
        <f aca="false">IF(OR(G2278="",G2278="?"),"",IFERROR(INDEX(Pubs!$D$2:$D$3001,MATCH(G2278,Pubs!$A$2:$A$3001,0))&amp;"",""))</f>
        <v/>
      </c>
      <c r="N2278" s="27" t="n">
        <f aca="false">N(N2277)+IF(AND(A2278&lt;&gt;"",OR(Recherche!$C$4="",A2278=Recherche!$C$4),OR(Recherche!$C$5="",B2278&amp;""=Recherche!$C$5&amp;""),OR(Recherche!$C$6="",IFERROR(YEAR(L2278),0)=Recherche!$C$6),OR(Recherche!$C$7="",ISNUMBER(SEARCH(Recherche!$C$7,H2278))),OR(Recherche!$C$8="",J2278=Recherche!$C$8),OR(Recherche!$C$9="",I2278=Recherche!$C$9),OR(Recherche!$C$10="",G2278&amp;""=Recherche!$C$10&amp;""),OR(Recherche!$C$11="",E2278=Recherche!$C$11),OR(Recherche!$C$12="",ISNUMBER(SEARCH(Recherche!$C$12,M2278&amp;" "&amp;F2278)))),1,0)</f>
        <v>8</v>
      </c>
    </row>
    <row r="2279" customFormat="false" ht="15" hidden="false" customHeight="false" outlineLevel="0" collapsed="false">
      <c r="A2279" s="19"/>
      <c r="B2279" s="19"/>
      <c r="C2279" s="19"/>
      <c r="D2279" s="19"/>
      <c r="E2279" s="22"/>
      <c r="F2279" s="19"/>
      <c r="G2279" s="26" t="str">
        <f aca="false">IF(D2279="","",IFERROR(VALUE(LEFT(D2279,FIND(" |",D2279&amp;" |")-1)),"?"))</f>
        <v/>
      </c>
      <c r="H2279" s="27" t="str">
        <f aca="false">IF(G2279="","",IF(G2279="?","⚠ pub inconnue",IFERROR(INDEX(Pubs!$B$2:$B$3001,MATCH(G2279,Pubs!$A$2:$A$3001,0))&amp;"","⚠ pub inconnue")))</f>
        <v/>
      </c>
      <c r="I2279" s="27" t="str">
        <f aca="false">IF(OR(G2279="",G2279="?"),"",IFERROR(INDEX(Pubs!$C$2:$C$3001,MATCH(G2279,Pubs!$A$2:$A$3001,0))&amp;"",""))</f>
        <v/>
      </c>
      <c r="J2279" s="27" t="str">
        <f aca="false">IF(OR(G2279="",G2279="?"),"",IFERROR(INDEX(Pubs!$G$2:$G$3001,MATCH(G2279,Pubs!$A$2:$A$3001,0))&amp;"",""))</f>
        <v/>
      </c>
      <c r="K2279" s="28" t="str">
        <f aca="false">IF(OR(G2279="",G2279="?"),"",IFERROR(INDEX(Pubs!$E$2:$E$3001,MATCH(G2279,Pubs!$A$2:$A$3001,0)),""))</f>
        <v/>
      </c>
      <c r="L2279" s="29" t="str">
        <f aca="false">IF(A2279="","",IFERROR(1/(1/INDEX(Numéros!$C$2:$C$3001,MATCH(A2279&amp;"|"&amp;B2279,Numéros!$F$2:$F$3001,0))),""))</f>
        <v/>
      </c>
      <c r="M2279" s="27" t="str">
        <f aca="false">IF(OR(G2279="",G2279="?"),"",IFERROR(INDEX(Pubs!$D$2:$D$3001,MATCH(G2279,Pubs!$A$2:$A$3001,0))&amp;"",""))</f>
        <v/>
      </c>
      <c r="N2279" s="27" t="n">
        <f aca="false">N(N2278)+IF(AND(A2279&lt;&gt;"",OR(Recherche!$C$4="",A2279=Recherche!$C$4),OR(Recherche!$C$5="",B2279&amp;""=Recherche!$C$5&amp;""),OR(Recherche!$C$6="",IFERROR(YEAR(L2279),0)=Recherche!$C$6),OR(Recherche!$C$7="",ISNUMBER(SEARCH(Recherche!$C$7,H2279))),OR(Recherche!$C$8="",J2279=Recherche!$C$8),OR(Recherche!$C$9="",I2279=Recherche!$C$9),OR(Recherche!$C$10="",G2279&amp;""=Recherche!$C$10&amp;""),OR(Recherche!$C$11="",E2279=Recherche!$C$11),OR(Recherche!$C$12="",ISNUMBER(SEARCH(Recherche!$C$12,M2279&amp;" "&amp;F2279)))),1,0)</f>
        <v>8</v>
      </c>
    </row>
    <row r="2280" customFormat="false" ht="15" hidden="false" customHeight="false" outlineLevel="0" collapsed="false">
      <c r="A2280" s="19"/>
      <c r="B2280" s="19"/>
      <c r="C2280" s="19"/>
      <c r="D2280" s="19"/>
      <c r="E2280" s="22"/>
      <c r="F2280" s="19"/>
      <c r="G2280" s="26" t="str">
        <f aca="false">IF(D2280="","",IFERROR(VALUE(LEFT(D2280,FIND(" |",D2280&amp;" |")-1)),"?"))</f>
        <v/>
      </c>
      <c r="H2280" s="27" t="str">
        <f aca="false">IF(G2280="","",IF(G2280="?","⚠ pub inconnue",IFERROR(INDEX(Pubs!$B$2:$B$3001,MATCH(G2280,Pubs!$A$2:$A$3001,0))&amp;"","⚠ pub inconnue")))</f>
        <v/>
      </c>
      <c r="I2280" s="27" t="str">
        <f aca="false">IF(OR(G2280="",G2280="?"),"",IFERROR(INDEX(Pubs!$C$2:$C$3001,MATCH(G2280,Pubs!$A$2:$A$3001,0))&amp;"",""))</f>
        <v/>
      </c>
      <c r="J2280" s="27" t="str">
        <f aca="false">IF(OR(G2280="",G2280="?"),"",IFERROR(INDEX(Pubs!$G$2:$G$3001,MATCH(G2280,Pubs!$A$2:$A$3001,0))&amp;"",""))</f>
        <v/>
      </c>
      <c r="K2280" s="28" t="str">
        <f aca="false">IF(OR(G2280="",G2280="?"),"",IFERROR(INDEX(Pubs!$E$2:$E$3001,MATCH(G2280,Pubs!$A$2:$A$3001,0)),""))</f>
        <v/>
      </c>
      <c r="L2280" s="29" t="str">
        <f aca="false">IF(A2280="","",IFERROR(1/(1/INDEX(Numéros!$C$2:$C$3001,MATCH(A2280&amp;"|"&amp;B2280,Numéros!$F$2:$F$3001,0))),""))</f>
        <v/>
      </c>
      <c r="M2280" s="27" t="str">
        <f aca="false">IF(OR(G2280="",G2280="?"),"",IFERROR(INDEX(Pubs!$D$2:$D$3001,MATCH(G2280,Pubs!$A$2:$A$3001,0))&amp;"",""))</f>
        <v/>
      </c>
      <c r="N2280" s="27" t="n">
        <f aca="false">N(N2279)+IF(AND(A2280&lt;&gt;"",OR(Recherche!$C$4="",A2280=Recherche!$C$4),OR(Recherche!$C$5="",B2280&amp;""=Recherche!$C$5&amp;""),OR(Recherche!$C$6="",IFERROR(YEAR(L2280),0)=Recherche!$C$6),OR(Recherche!$C$7="",ISNUMBER(SEARCH(Recherche!$C$7,H2280))),OR(Recherche!$C$8="",J2280=Recherche!$C$8),OR(Recherche!$C$9="",I2280=Recherche!$C$9),OR(Recherche!$C$10="",G2280&amp;""=Recherche!$C$10&amp;""),OR(Recherche!$C$11="",E2280=Recherche!$C$11),OR(Recherche!$C$12="",ISNUMBER(SEARCH(Recherche!$C$12,M2280&amp;" "&amp;F2280)))),1,0)</f>
        <v>8</v>
      </c>
    </row>
    <row r="2281" customFormat="false" ht="15" hidden="false" customHeight="false" outlineLevel="0" collapsed="false">
      <c r="A2281" s="19"/>
      <c r="B2281" s="19"/>
      <c r="C2281" s="19"/>
      <c r="D2281" s="19"/>
      <c r="E2281" s="22"/>
      <c r="F2281" s="19"/>
      <c r="G2281" s="26" t="str">
        <f aca="false">IF(D2281="","",IFERROR(VALUE(LEFT(D2281,FIND(" |",D2281&amp;" |")-1)),"?"))</f>
        <v/>
      </c>
      <c r="H2281" s="27" t="str">
        <f aca="false">IF(G2281="","",IF(G2281="?","⚠ pub inconnue",IFERROR(INDEX(Pubs!$B$2:$B$3001,MATCH(G2281,Pubs!$A$2:$A$3001,0))&amp;"","⚠ pub inconnue")))</f>
        <v/>
      </c>
      <c r="I2281" s="27" t="str">
        <f aca="false">IF(OR(G2281="",G2281="?"),"",IFERROR(INDEX(Pubs!$C$2:$C$3001,MATCH(G2281,Pubs!$A$2:$A$3001,0))&amp;"",""))</f>
        <v/>
      </c>
      <c r="J2281" s="27" t="str">
        <f aca="false">IF(OR(G2281="",G2281="?"),"",IFERROR(INDEX(Pubs!$G$2:$G$3001,MATCH(G2281,Pubs!$A$2:$A$3001,0))&amp;"",""))</f>
        <v/>
      </c>
      <c r="K2281" s="28" t="str">
        <f aca="false">IF(OR(G2281="",G2281="?"),"",IFERROR(INDEX(Pubs!$E$2:$E$3001,MATCH(G2281,Pubs!$A$2:$A$3001,0)),""))</f>
        <v/>
      </c>
      <c r="L2281" s="29" t="str">
        <f aca="false">IF(A2281="","",IFERROR(1/(1/INDEX(Numéros!$C$2:$C$3001,MATCH(A2281&amp;"|"&amp;B2281,Numéros!$F$2:$F$3001,0))),""))</f>
        <v/>
      </c>
      <c r="M2281" s="27" t="str">
        <f aca="false">IF(OR(G2281="",G2281="?"),"",IFERROR(INDEX(Pubs!$D$2:$D$3001,MATCH(G2281,Pubs!$A$2:$A$3001,0))&amp;"",""))</f>
        <v/>
      </c>
      <c r="N2281" s="27" t="n">
        <f aca="false">N(N2280)+IF(AND(A2281&lt;&gt;"",OR(Recherche!$C$4="",A2281=Recherche!$C$4),OR(Recherche!$C$5="",B2281&amp;""=Recherche!$C$5&amp;""),OR(Recherche!$C$6="",IFERROR(YEAR(L2281),0)=Recherche!$C$6),OR(Recherche!$C$7="",ISNUMBER(SEARCH(Recherche!$C$7,H2281))),OR(Recherche!$C$8="",J2281=Recherche!$C$8),OR(Recherche!$C$9="",I2281=Recherche!$C$9),OR(Recherche!$C$10="",G2281&amp;""=Recherche!$C$10&amp;""),OR(Recherche!$C$11="",E2281=Recherche!$C$11),OR(Recherche!$C$12="",ISNUMBER(SEARCH(Recherche!$C$12,M2281&amp;" "&amp;F2281)))),1,0)</f>
        <v>8</v>
      </c>
    </row>
    <row r="2282" customFormat="false" ht="15" hidden="false" customHeight="false" outlineLevel="0" collapsed="false">
      <c r="A2282" s="19"/>
      <c r="B2282" s="19"/>
      <c r="C2282" s="19"/>
      <c r="D2282" s="19"/>
      <c r="E2282" s="22"/>
      <c r="F2282" s="19"/>
      <c r="G2282" s="26" t="str">
        <f aca="false">IF(D2282="","",IFERROR(VALUE(LEFT(D2282,FIND(" |",D2282&amp;" |")-1)),"?"))</f>
        <v/>
      </c>
      <c r="H2282" s="27" t="str">
        <f aca="false">IF(G2282="","",IF(G2282="?","⚠ pub inconnue",IFERROR(INDEX(Pubs!$B$2:$B$3001,MATCH(G2282,Pubs!$A$2:$A$3001,0))&amp;"","⚠ pub inconnue")))</f>
        <v/>
      </c>
      <c r="I2282" s="27" t="str">
        <f aca="false">IF(OR(G2282="",G2282="?"),"",IFERROR(INDEX(Pubs!$C$2:$C$3001,MATCH(G2282,Pubs!$A$2:$A$3001,0))&amp;"",""))</f>
        <v/>
      </c>
      <c r="J2282" s="27" t="str">
        <f aca="false">IF(OR(G2282="",G2282="?"),"",IFERROR(INDEX(Pubs!$G$2:$G$3001,MATCH(G2282,Pubs!$A$2:$A$3001,0))&amp;"",""))</f>
        <v/>
      </c>
      <c r="K2282" s="28" t="str">
        <f aca="false">IF(OR(G2282="",G2282="?"),"",IFERROR(INDEX(Pubs!$E$2:$E$3001,MATCH(G2282,Pubs!$A$2:$A$3001,0)),""))</f>
        <v/>
      </c>
      <c r="L2282" s="29" t="str">
        <f aca="false">IF(A2282="","",IFERROR(1/(1/INDEX(Numéros!$C$2:$C$3001,MATCH(A2282&amp;"|"&amp;B2282,Numéros!$F$2:$F$3001,0))),""))</f>
        <v/>
      </c>
      <c r="M2282" s="27" t="str">
        <f aca="false">IF(OR(G2282="",G2282="?"),"",IFERROR(INDEX(Pubs!$D$2:$D$3001,MATCH(G2282,Pubs!$A$2:$A$3001,0))&amp;"",""))</f>
        <v/>
      </c>
      <c r="N2282" s="27" t="n">
        <f aca="false">N(N2281)+IF(AND(A2282&lt;&gt;"",OR(Recherche!$C$4="",A2282=Recherche!$C$4),OR(Recherche!$C$5="",B2282&amp;""=Recherche!$C$5&amp;""),OR(Recherche!$C$6="",IFERROR(YEAR(L2282),0)=Recherche!$C$6),OR(Recherche!$C$7="",ISNUMBER(SEARCH(Recherche!$C$7,H2282))),OR(Recherche!$C$8="",J2282=Recherche!$C$8),OR(Recherche!$C$9="",I2282=Recherche!$C$9),OR(Recherche!$C$10="",G2282&amp;""=Recherche!$C$10&amp;""),OR(Recherche!$C$11="",E2282=Recherche!$C$11),OR(Recherche!$C$12="",ISNUMBER(SEARCH(Recherche!$C$12,M2282&amp;" "&amp;F2282)))),1,0)</f>
        <v>8</v>
      </c>
    </row>
    <row r="2283" customFormat="false" ht="15" hidden="false" customHeight="false" outlineLevel="0" collapsed="false">
      <c r="A2283" s="19"/>
      <c r="B2283" s="19"/>
      <c r="C2283" s="19"/>
      <c r="D2283" s="19"/>
      <c r="E2283" s="22"/>
      <c r="F2283" s="19"/>
      <c r="G2283" s="26" t="str">
        <f aca="false">IF(D2283="","",IFERROR(VALUE(LEFT(D2283,FIND(" |",D2283&amp;" |")-1)),"?"))</f>
        <v/>
      </c>
      <c r="H2283" s="27" t="str">
        <f aca="false">IF(G2283="","",IF(G2283="?","⚠ pub inconnue",IFERROR(INDEX(Pubs!$B$2:$B$3001,MATCH(G2283,Pubs!$A$2:$A$3001,0))&amp;"","⚠ pub inconnue")))</f>
        <v/>
      </c>
      <c r="I2283" s="27" t="str">
        <f aca="false">IF(OR(G2283="",G2283="?"),"",IFERROR(INDEX(Pubs!$C$2:$C$3001,MATCH(G2283,Pubs!$A$2:$A$3001,0))&amp;"",""))</f>
        <v/>
      </c>
      <c r="J2283" s="27" t="str">
        <f aca="false">IF(OR(G2283="",G2283="?"),"",IFERROR(INDEX(Pubs!$G$2:$G$3001,MATCH(G2283,Pubs!$A$2:$A$3001,0))&amp;"",""))</f>
        <v/>
      </c>
      <c r="K2283" s="28" t="str">
        <f aca="false">IF(OR(G2283="",G2283="?"),"",IFERROR(INDEX(Pubs!$E$2:$E$3001,MATCH(G2283,Pubs!$A$2:$A$3001,0)),""))</f>
        <v/>
      </c>
      <c r="L2283" s="29" t="str">
        <f aca="false">IF(A2283="","",IFERROR(1/(1/INDEX(Numéros!$C$2:$C$3001,MATCH(A2283&amp;"|"&amp;B2283,Numéros!$F$2:$F$3001,0))),""))</f>
        <v/>
      </c>
      <c r="M2283" s="27" t="str">
        <f aca="false">IF(OR(G2283="",G2283="?"),"",IFERROR(INDEX(Pubs!$D$2:$D$3001,MATCH(G2283,Pubs!$A$2:$A$3001,0))&amp;"",""))</f>
        <v/>
      </c>
      <c r="N2283" s="27" t="n">
        <f aca="false">N(N2282)+IF(AND(A2283&lt;&gt;"",OR(Recherche!$C$4="",A2283=Recherche!$C$4),OR(Recherche!$C$5="",B2283&amp;""=Recherche!$C$5&amp;""),OR(Recherche!$C$6="",IFERROR(YEAR(L2283),0)=Recherche!$C$6),OR(Recherche!$C$7="",ISNUMBER(SEARCH(Recherche!$C$7,H2283))),OR(Recherche!$C$8="",J2283=Recherche!$C$8),OR(Recherche!$C$9="",I2283=Recherche!$C$9),OR(Recherche!$C$10="",G2283&amp;""=Recherche!$C$10&amp;""),OR(Recherche!$C$11="",E2283=Recherche!$C$11),OR(Recherche!$C$12="",ISNUMBER(SEARCH(Recherche!$C$12,M2283&amp;" "&amp;F2283)))),1,0)</f>
        <v>8</v>
      </c>
    </row>
    <row r="2284" customFormat="false" ht="15" hidden="false" customHeight="false" outlineLevel="0" collapsed="false">
      <c r="A2284" s="19"/>
      <c r="B2284" s="19"/>
      <c r="C2284" s="19"/>
      <c r="D2284" s="19"/>
      <c r="E2284" s="22"/>
      <c r="F2284" s="19"/>
      <c r="G2284" s="26" t="str">
        <f aca="false">IF(D2284="","",IFERROR(VALUE(LEFT(D2284,FIND(" |",D2284&amp;" |")-1)),"?"))</f>
        <v/>
      </c>
      <c r="H2284" s="27" t="str">
        <f aca="false">IF(G2284="","",IF(G2284="?","⚠ pub inconnue",IFERROR(INDEX(Pubs!$B$2:$B$3001,MATCH(G2284,Pubs!$A$2:$A$3001,0))&amp;"","⚠ pub inconnue")))</f>
        <v/>
      </c>
      <c r="I2284" s="27" t="str">
        <f aca="false">IF(OR(G2284="",G2284="?"),"",IFERROR(INDEX(Pubs!$C$2:$C$3001,MATCH(G2284,Pubs!$A$2:$A$3001,0))&amp;"",""))</f>
        <v/>
      </c>
      <c r="J2284" s="27" t="str">
        <f aca="false">IF(OR(G2284="",G2284="?"),"",IFERROR(INDEX(Pubs!$G$2:$G$3001,MATCH(G2284,Pubs!$A$2:$A$3001,0))&amp;"",""))</f>
        <v/>
      </c>
      <c r="K2284" s="28" t="str">
        <f aca="false">IF(OR(G2284="",G2284="?"),"",IFERROR(INDEX(Pubs!$E$2:$E$3001,MATCH(G2284,Pubs!$A$2:$A$3001,0)),""))</f>
        <v/>
      </c>
      <c r="L2284" s="29" t="str">
        <f aca="false">IF(A2284="","",IFERROR(1/(1/INDEX(Numéros!$C$2:$C$3001,MATCH(A2284&amp;"|"&amp;B2284,Numéros!$F$2:$F$3001,0))),""))</f>
        <v/>
      </c>
      <c r="M2284" s="27" t="str">
        <f aca="false">IF(OR(G2284="",G2284="?"),"",IFERROR(INDEX(Pubs!$D$2:$D$3001,MATCH(G2284,Pubs!$A$2:$A$3001,0))&amp;"",""))</f>
        <v/>
      </c>
      <c r="N2284" s="27" t="n">
        <f aca="false">N(N2283)+IF(AND(A2284&lt;&gt;"",OR(Recherche!$C$4="",A2284=Recherche!$C$4),OR(Recherche!$C$5="",B2284&amp;""=Recherche!$C$5&amp;""),OR(Recherche!$C$6="",IFERROR(YEAR(L2284),0)=Recherche!$C$6),OR(Recherche!$C$7="",ISNUMBER(SEARCH(Recherche!$C$7,H2284))),OR(Recherche!$C$8="",J2284=Recherche!$C$8),OR(Recherche!$C$9="",I2284=Recherche!$C$9),OR(Recherche!$C$10="",G2284&amp;""=Recherche!$C$10&amp;""),OR(Recherche!$C$11="",E2284=Recherche!$C$11),OR(Recherche!$C$12="",ISNUMBER(SEARCH(Recherche!$C$12,M2284&amp;" "&amp;F2284)))),1,0)</f>
        <v>8</v>
      </c>
    </row>
    <row r="2285" customFormat="false" ht="15" hidden="false" customHeight="false" outlineLevel="0" collapsed="false">
      <c r="A2285" s="19"/>
      <c r="B2285" s="19"/>
      <c r="C2285" s="19"/>
      <c r="D2285" s="19"/>
      <c r="E2285" s="22"/>
      <c r="F2285" s="19"/>
      <c r="G2285" s="26" t="str">
        <f aca="false">IF(D2285="","",IFERROR(VALUE(LEFT(D2285,FIND(" |",D2285&amp;" |")-1)),"?"))</f>
        <v/>
      </c>
      <c r="H2285" s="27" t="str">
        <f aca="false">IF(G2285="","",IF(G2285="?","⚠ pub inconnue",IFERROR(INDEX(Pubs!$B$2:$B$3001,MATCH(G2285,Pubs!$A$2:$A$3001,0))&amp;"","⚠ pub inconnue")))</f>
        <v/>
      </c>
      <c r="I2285" s="27" t="str">
        <f aca="false">IF(OR(G2285="",G2285="?"),"",IFERROR(INDEX(Pubs!$C$2:$C$3001,MATCH(G2285,Pubs!$A$2:$A$3001,0))&amp;"",""))</f>
        <v/>
      </c>
      <c r="J2285" s="27" t="str">
        <f aca="false">IF(OR(G2285="",G2285="?"),"",IFERROR(INDEX(Pubs!$G$2:$G$3001,MATCH(G2285,Pubs!$A$2:$A$3001,0))&amp;"",""))</f>
        <v/>
      </c>
      <c r="K2285" s="28" t="str">
        <f aca="false">IF(OR(G2285="",G2285="?"),"",IFERROR(INDEX(Pubs!$E$2:$E$3001,MATCH(G2285,Pubs!$A$2:$A$3001,0)),""))</f>
        <v/>
      </c>
      <c r="L2285" s="29" t="str">
        <f aca="false">IF(A2285="","",IFERROR(1/(1/INDEX(Numéros!$C$2:$C$3001,MATCH(A2285&amp;"|"&amp;B2285,Numéros!$F$2:$F$3001,0))),""))</f>
        <v/>
      </c>
      <c r="M2285" s="27" t="str">
        <f aca="false">IF(OR(G2285="",G2285="?"),"",IFERROR(INDEX(Pubs!$D$2:$D$3001,MATCH(G2285,Pubs!$A$2:$A$3001,0))&amp;"",""))</f>
        <v/>
      </c>
      <c r="N2285" s="27" t="n">
        <f aca="false">N(N2284)+IF(AND(A2285&lt;&gt;"",OR(Recherche!$C$4="",A2285=Recherche!$C$4),OR(Recherche!$C$5="",B2285&amp;""=Recherche!$C$5&amp;""),OR(Recherche!$C$6="",IFERROR(YEAR(L2285),0)=Recherche!$C$6),OR(Recherche!$C$7="",ISNUMBER(SEARCH(Recherche!$C$7,H2285))),OR(Recherche!$C$8="",J2285=Recherche!$C$8),OR(Recherche!$C$9="",I2285=Recherche!$C$9),OR(Recherche!$C$10="",G2285&amp;""=Recherche!$C$10&amp;""),OR(Recherche!$C$11="",E2285=Recherche!$C$11),OR(Recherche!$C$12="",ISNUMBER(SEARCH(Recherche!$C$12,M2285&amp;" "&amp;F2285)))),1,0)</f>
        <v>8</v>
      </c>
    </row>
    <row r="2286" customFormat="false" ht="15" hidden="false" customHeight="false" outlineLevel="0" collapsed="false">
      <c r="A2286" s="19"/>
      <c r="B2286" s="19"/>
      <c r="C2286" s="19"/>
      <c r="D2286" s="19"/>
      <c r="E2286" s="22"/>
      <c r="F2286" s="19"/>
      <c r="G2286" s="26" t="str">
        <f aca="false">IF(D2286="","",IFERROR(VALUE(LEFT(D2286,FIND(" |",D2286&amp;" |")-1)),"?"))</f>
        <v/>
      </c>
      <c r="H2286" s="27" t="str">
        <f aca="false">IF(G2286="","",IF(G2286="?","⚠ pub inconnue",IFERROR(INDEX(Pubs!$B$2:$B$3001,MATCH(G2286,Pubs!$A$2:$A$3001,0))&amp;"","⚠ pub inconnue")))</f>
        <v/>
      </c>
      <c r="I2286" s="27" t="str">
        <f aca="false">IF(OR(G2286="",G2286="?"),"",IFERROR(INDEX(Pubs!$C$2:$C$3001,MATCH(G2286,Pubs!$A$2:$A$3001,0))&amp;"",""))</f>
        <v/>
      </c>
      <c r="J2286" s="27" t="str">
        <f aca="false">IF(OR(G2286="",G2286="?"),"",IFERROR(INDEX(Pubs!$G$2:$G$3001,MATCH(G2286,Pubs!$A$2:$A$3001,0))&amp;"",""))</f>
        <v/>
      </c>
      <c r="K2286" s="28" t="str">
        <f aca="false">IF(OR(G2286="",G2286="?"),"",IFERROR(INDEX(Pubs!$E$2:$E$3001,MATCH(G2286,Pubs!$A$2:$A$3001,0)),""))</f>
        <v/>
      </c>
      <c r="L2286" s="29" t="str">
        <f aca="false">IF(A2286="","",IFERROR(1/(1/INDEX(Numéros!$C$2:$C$3001,MATCH(A2286&amp;"|"&amp;B2286,Numéros!$F$2:$F$3001,0))),""))</f>
        <v/>
      </c>
      <c r="M2286" s="27" t="str">
        <f aca="false">IF(OR(G2286="",G2286="?"),"",IFERROR(INDEX(Pubs!$D$2:$D$3001,MATCH(G2286,Pubs!$A$2:$A$3001,0))&amp;"",""))</f>
        <v/>
      </c>
      <c r="N2286" s="27" t="n">
        <f aca="false">N(N2285)+IF(AND(A2286&lt;&gt;"",OR(Recherche!$C$4="",A2286=Recherche!$C$4),OR(Recherche!$C$5="",B2286&amp;""=Recherche!$C$5&amp;""),OR(Recherche!$C$6="",IFERROR(YEAR(L2286),0)=Recherche!$C$6),OR(Recherche!$C$7="",ISNUMBER(SEARCH(Recherche!$C$7,H2286))),OR(Recherche!$C$8="",J2286=Recherche!$C$8),OR(Recherche!$C$9="",I2286=Recherche!$C$9),OR(Recherche!$C$10="",G2286&amp;""=Recherche!$C$10&amp;""),OR(Recherche!$C$11="",E2286=Recherche!$C$11),OR(Recherche!$C$12="",ISNUMBER(SEARCH(Recherche!$C$12,M2286&amp;" "&amp;F2286)))),1,0)</f>
        <v>8</v>
      </c>
    </row>
    <row r="2287" customFormat="false" ht="15" hidden="false" customHeight="false" outlineLevel="0" collapsed="false">
      <c r="A2287" s="19"/>
      <c r="B2287" s="19"/>
      <c r="C2287" s="19"/>
      <c r="D2287" s="19"/>
      <c r="E2287" s="22"/>
      <c r="F2287" s="19"/>
      <c r="G2287" s="26" t="str">
        <f aca="false">IF(D2287="","",IFERROR(VALUE(LEFT(D2287,FIND(" |",D2287&amp;" |")-1)),"?"))</f>
        <v/>
      </c>
      <c r="H2287" s="27" t="str">
        <f aca="false">IF(G2287="","",IF(G2287="?","⚠ pub inconnue",IFERROR(INDEX(Pubs!$B$2:$B$3001,MATCH(G2287,Pubs!$A$2:$A$3001,0))&amp;"","⚠ pub inconnue")))</f>
        <v/>
      </c>
      <c r="I2287" s="27" t="str">
        <f aca="false">IF(OR(G2287="",G2287="?"),"",IFERROR(INDEX(Pubs!$C$2:$C$3001,MATCH(G2287,Pubs!$A$2:$A$3001,0))&amp;"",""))</f>
        <v/>
      </c>
      <c r="J2287" s="27" t="str">
        <f aca="false">IF(OR(G2287="",G2287="?"),"",IFERROR(INDEX(Pubs!$G$2:$G$3001,MATCH(G2287,Pubs!$A$2:$A$3001,0))&amp;"",""))</f>
        <v/>
      </c>
      <c r="K2287" s="28" t="str">
        <f aca="false">IF(OR(G2287="",G2287="?"),"",IFERROR(INDEX(Pubs!$E$2:$E$3001,MATCH(G2287,Pubs!$A$2:$A$3001,0)),""))</f>
        <v/>
      </c>
      <c r="L2287" s="29" t="str">
        <f aca="false">IF(A2287="","",IFERROR(1/(1/INDEX(Numéros!$C$2:$C$3001,MATCH(A2287&amp;"|"&amp;B2287,Numéros!$F$2:$F$3001,0))),""))</f>
        <v/>
      </c>
      <c r="M2287" s="27" t="str">
        <f aca="false">IF(OR(G2287="",G2287="?"),"",IFERROR(INDEX(Pubs!$D$2:$D$3001,MATCH(G2287,Pubs!$A$2:$A$3001,0))&amp;"",""))</f>
        <v/>
      </c>
      <c r="N2287" s="27" t="n">
        <f aca="false">N(N2286)+IF(AND(A2287&lt;&gt;"",OR(Recherche!$C$4="",A2287=Recherche!$C$4),OR(Recherche!$C$5="",B2287&amp;""=Recherche!$C$5&amp;""),OR(Recherche!$C$6="",IFERROR(YEAR(L2287),0)=Recherche!$C$6),OR(Recherche!$C$7="",ISNUMBER(SEARCH(Recherche!$C$7,H2287))),OR(Recherche!$C$8="",J2287=Recherche!$C$8),OR(Recherche!$C$9="",I2287=Recherche!$C$9),OR(Recherche!$C$10="",G2287&amp;""=Recherche!$C$10&amp;""),OR(Recherche!$C$11="",E2287=Recherche!$C$11),OR(Recherche!$C$12="",ISNUMBER(SEARCH(Recherche!$C$12,M2287&amp;" "&amp;F2287)))),1,0)</f>
        <v>8</v>
      </c>
    </row>
    <row r="2288" customFormat="false" ht="15" hidden="false" customHeight="false" outlineLevel="0" collapsed="false">
      <c r="A2288" s="19"/>
      <c r="B2288" s="19"/>
      <c r="C2288" s="19"/>
      <c r="D2288" s="19"/>
      <c r="E2288" s="22"/>
      <c r="F2288" s="19"/>
      <c r="G2288" s="26" t="str">
        <f aca="false">IF(D2288="","",IFERROR(VALUE(LEFT(D2288,FIND(" |",D2288&amp;" |")-1)),"?"))</f>
        <v/>
      </c>
      <c r="H2288" s="27" t="str">
        <f aca="false">IF(G2288="","",IF(G2288="?","⚠ pub inconnue",IFERROR(INDEX(Pubs!$B$2:$B$3001,MATCH(G2288,Pubs!$A$2:$A$3001,0))&amp;"","⚠ pub inconnue")))</f>
        <v/>
      </c>
      <c r="I2288" s="27" t="str">
        <f aca="false">IF(OR(G2288="",G2288="?"),"",IFERROR(INDEX(Pubs!$C$2:$C$3001,MATCH(G2288,Pubs!$A$2:$A$3001,0))&amp;"",""))</f>
        <v/>
      </c>
      <c r="J2288" s="27" t="str">
        <f aca="false">IF(OR(G2288="",G2288="?"),"",IFERROR(INDEX(Pubs!$G$2:$G$3001,MATCH(G2288,Pubs!$A$2:$A$3001,0))&amp;"",""))</f>
        <v/>
      </c>
      <c r="K2288" s="28" t="str">
        <f aca="false">IF(OR(G2288="",G2288="?"),"",IFERROR(INDEX(Pubs!$E$2:$E$3001,MATCH(G2288,Pubs!$A$2:$A$3001,0)),""))</f>
        <v/>
      </c>
      <c r="L2288" s="29" t="str">
        <f aca="false">IF(A2288="","",IFERROR(1/(1/INDEX(Numéros!$C$2:$C$3001,MATCH(A2288&amp;"|"&amp;B2288,Numéros!$F$2:$F$3001,0))),""))</f>
        <v/>
      </c>
      <c r="M2288" s="27" t="str">
        <f aca="false">IF(OR(G2288="",G2288="?"),"",IFERROR(INDEX(Pubs!$D$2:$D$3001,MATCH(G2288,Pubs!$A$2:$A$3001,0))&amp;"",""))</f>
        <v/>
      </c>
      <c r="N2288" s="27" t="n">
        <f aca="false">N(N2287)+IF(AND(A2288&lt;&gt;"",OR(Recherche!$C$4="",A2288=Recherche!$C$4),OR(Recherche!$C$5="",B2288&amp;""=Recherche!$C$5&amp;""),OR(Recherche!$C$6="",IFERROR(YEAR(L2288),0)=Recherche!$C$6),OR(Recherche!$C$7="",ISNUMBER(SEARCH(Recherche!$C$7,H2288))),OR(Recherche!$C$8="",J2288=Recherche!$C$8),OR(Recherche!$C$9="",I2288=Recherche!$C$9),OR(Recherche!$C$10="",G2288&amp;""=Recherche!$C$10&amp;""),OR(Recherche!$C$11="",E2288=Recherche!$C$11),OR(Recherche!$C$12="",ISNUMBER(SEARCH(Recherche!$C$12,M2288&amp;" "&amp;F2288)))),1,0)</f>
        <v>8</v>
      </c>
    </row>
    <row r="2289" customFormat="false" ht="15" hidden="false" customHeight="false" outlineLevel="0" collapsed="false">
      <c r="A2289" s="19"/>
      <c r="B2289" s="19"/>
      <c r="C2289" s="19"/>
      <c r="D2289" s="19"/>
      <c r="E2289" s="22"/>
      <c r="F2289" s="19"/>
      <c r="G2289" s="26" t="str">
        <f aca="false">IF(D2289="","",IFERROR(VALUE(LEFT(D2289,FIND(" |",D2289&amp;" |")-1)),"?"))</f>
        <v/>
      </c>
      <c r="H2289" s="27" t="str">
        <f aca="false">IF(G2289="","",IF(G2289="?","⚠ pub inconnue",IFERROR(INDEX(Pubs!$B$2:$B$3001,MATCH(G2289,Pubs!$A$2:$A$3001,0))&amp;"","⚠ pub inconnue")))</f>
        <v/>
      </c>
      <c r="I2289" s="27" t="str">
        <f aca="false">IF(OR(G2289="",G2289="?"),"",IFERROR(INDEX(Pubs!$C$2:$C$3001,MATCH(G2289,Pubs!$A$2:$A$3001,0))&amp;"",""))</f>
        <v/>
      </c>
      <c r="J2289" s="27" t="str">
        <f aca="false">IF(OR(G2289="",G2289="?"),"",IFERROR(INDEX(Pubs!$G$2:$G$3001,MATCH(G2289,Pubs!$A$2:$A$3001,0))&amp;"",""))</f>
        <v/>
      </c>
      <c r="K2289" s="28" t="str">
        <f aca="false">IF(OR(G2289="",G2289="?"),"",IFERROR(INDEX(Pubs!$E$2:$E$3001,MATCH(G2289,Pubs!$A$2:$A$3001,0)),""))</f>
        <v/>
      </c>
      <c r="L2289" s="29" t="str">
        <f aca="false">IF(A2289="","",IFERROR(1/(1/INDEX(Numéros!$C$2:$C$3001,MATCH(A2289&amp;"|"&amp;B2289,Numéros!$F$2:$F$3001,0))),""))</f>
        <v/>
      </c>
      <c r="M2289" s="27" t="str">
        <f aca="false">IF(OR(G2289="",G2289="?"),"",IFERROR(INDEX(Pubs!$D$2:$D$3001,MATCH(G2289,Pubs!$A$2:$A$3001,0))&amp;"",""))</f>
        <v/>
      </c>
      <c r="N2289" s="27" t="n">
        <f aca="false">N(N2288)+IF(AND(A2289&lt;&gt;"",OR(Recherche!$C$4="",A2289=Recherche!$C$4),OR(Recherche!$C$5="",B2289&amp;""=Recherche!$C$5&amp;""),OR(Recherche!$C$6="",IFERROR(YEAR(L2289),0)=Recherche!$C$6),OR(Recherche!$C$7="",ISNUMBER(SEARCH(Recherche!$C$7,H2289))),OR(Recherche!$C$8="",J2289=Recherche!$C$8),OR(Recherche!$C$9="",I2289=Recherche!$C$9),OR(Recherche!$C$10="",G2289&amp;""=Recherche!$C$10&amp;""),OR(Recherche!$C$11="",E2289=Recherche!$C$11),OR(Recherche!$C$12="",ISNUMBER(SEARCH(Recherche!$C$12,M2289&amp;" "&amp;F2289)))),1,0)</f>
        <v>8</v>
      </c>
    </row>
    <row r="2290" customFormat="false" ht="15" hidden="false" customHeight="false" outlineLevel="0" collapsed="false">
      <c r="A2290" s="19"/>
      <c r="B2290" s="19"/>
      <c r="C2290" s="19"/>
      <c r="D2290" s="19"/>
      <c r="E2290" s="22"/>
      <c r="F2290" s="19"/>
      <c r="G2290" s="26" t="str">
        <f aca="false">IF(D2290="","",IFERROR(VALUE(LEFT(D2290,FIND(" |",D2290&amp;" |")-1)),"?"))</f>
        <v/>
      </c>
      <c r="H2290" s="27" t="str">
        <f aca="false">IF(G2290="","",IF(G2290="?","⚠ pub inconnue",IFERROR(INDEX(Pubs!$B$2:$B$3001,MATCH(G2290,Pubs!$A$2:$A$3001,0))&amp;"","⚠ pub inconnue")))</f>
        <v/>
      </c>
      <c r="I2290" s="27" t="str">
        <f aca="false">IF(OR(G2290="",G2290="?"),"",IFERROR(INDEX(Pubs!$C$2:$C$3001,MATCH(G2290,Pubs!$A$2:$A$3001,0))&amp;"",""))</f>
        <v/>
      </c>
      <c r="J2290" s="27" t="str">
        <f aca="false">IF(OR(G2290="",G2290="?"),"",IFERROR(INDEX(Pubs!$G$2:$G$3001,MATCH(G2290,Pubs!$A$2:$A$3001,0))&amp;"",""))</f>
        <v/>
      </c>
      <c r="K2290" s="28" t="str">
        <f aca="false">IF(OR(G2290="",G2290="?"),"",IFERROR(INDEX(Pubs!$E$2:$E$3001,MATCH(G2290,Pubs!$A$2:$A$3001,0)),""))</f>
        <v/>
      </c>
      <c r="L2290" s="29" t="str">
        <f aca="false">IF(A2290="","",IFERROR(1/(1/INDEX(Numéros!$C$2:$C$3001,MATCH(A2290&amp;"|"&amp;B2290,Numéros!$F$2:$F$3001,0))),""))</f>
        <v/>
      </c>
      <c r="M2290" s="27" t="str">
        <f aca="false">IF(OR(G2290="",G2290="?"),"",IFERROR(INDEX(Pubs!$D$2:$D$3001,MATCH(G2290,Pubs!$A$2:$A$3001,0))&amp;"",""))</f>
        <v/>
      </c>
      <c r="N2290" s="27" t="n">
        <f aca="false">N(N2289)+IF(AND(A2290&lt;&gt;"",OR(Recherche!$C$4="",A2290=Recherche!$C$4),OR(Recherche!$C$5="",B2290&amp;""=Recherche!$C$5&amp;""),OR(Recherche!$C$6="",IFERROR(YEAR(L2290),0)=Recherche!$C$6),OR(Recherche!$C$7="",ISNUMBER(SEARCH(Recherche!$C$7,H2290))),OR(Recherche!$C$8="",J2290=Recherche!$C$8),OR(Recherche!$C$9="",I2290=Recherche!$C$9),OR(Recherche!$C$10="",G2290&amp;""=Recherche!$C$10&amp;""),OR(Recherche!$C$11="",E2290=Recherche!$C$11),OR(Recherche!$C$12="",ISNUMBER(SEARCH(Recherche!$C$12,M2290&amp;" "&amp;F2290)))),1,0)</f>
        <v>8</v>
      </c>
    </row>
    <row r="2291" customFormat="false" ht="15" hidden="false" customHeight="false" outlineLevel="0" collapsed="false">
      <c r="A2291" s="19"/>
      <c r="B2291" s="19"/>
      <c r="C2291" s="19"/>
      <c r="D2291" s="19"/>
      <c r="E2291" s="22"/>
      <c r="F2291" s="19"/>
      <c r="G2291" s="26" t="str">
        <f aca="false">IF(D2291="","",IFERROR(VALUE(LEFT(D2291,FIND(" |",D2291&amp;" |")-1)),"?"))</f>
        <v/>
      </c>
      <c r="H2291" s="27" t="str">
        <f aca="false">IF(G2291="","",IF(G2291="?","⚠ pub inconnue",IFERROR(INDEX(Pubs!$B$2:$B$3001,MATCH(G2291,Pubs!$A$2:$A$3001,0))&amp;"","⚠ pub inconnue")))</f>
        <v/>
      </c>
      <c r="I2291" s="27" t="str">
        <f aca="false">IF(OR(G2291="",G2291="?"),"",IFERROR(INDEX(Pubs!$C$2:$C$3001,MATCH(G2291,Pubs!$A$2:$A$3001,0))&amp;"",""))</f>
        <v/>
      </c>
      <c r="J2291" s="27" t="str">
        <f aca="false">IF(OR(G2291="",G2291="?"),"",IFERROR(INDEX(Pubs!$G$2:$G$3001,MATCH(G2291,Pubs!$A$2:$A$3001,0))&amp;"",""))</f>
        <v/>
      </c>
      <c r="K2291" s="28" t="str">
        <f aca="false">IF(OR(G2291="",G2291="?"),"",IFERROR(INDEX(Pubs!$E$2:$E$3001,MATCH(G2291,Pubs!$A$2:$A$3001,0)),""))</f>
        <v/>
      </c>
      <c r="L2291" s="29" t="str">
        <f aca="false">IF(A2291="","",IFERROR(1/(1/INDEX(Numéros!$C$2:$C$3001,MATCH(A2291&amp;"|"&amp;B2291,Numéros!$F$2:$F$3001,0))),""))</f>
        <v/>
      </c>
      <c r="M2291" s="27" t="str">
        <f aca="false">IF(OR(G2291="",G2291="?"),"",IFERROR(INDEX(Pubs!$D$2:$D$3001,MATCH(G2291,Pubs!$A$2:$A$3001,0))&amp;"",""))</f>
        <v/>
      </c>
      <c r="N2291" s="27" t="n">
        <f aca="false">N(N2290)+IF(AND(A2291&lt;&gt;"",OR(Recherche!$C$4="",A2291=Recherche!$C$4),OR(Recherche!$C$5="",B2291&amp;""=Recherche!$C$5&amp;""),OR(Recherche!$C$6="",IFERROR(YEAR(L2291),0)=Recherche!$C$6),OR(Recherche!$C$7="",ISNUMBER(SEARCH(Recherche!$C$7,H2291))),OR(Recherche!$C$8="",J2291=Recherche!$C$8),OR(Recherche!$C$9="",I2291=Recherche!$C$9),OR(Recherche!$C$10="",G2291&amp;""=Recherche!$C$10&amp;""),OR(Recherche!$C$11="",E2291=Recherche!$C$11),OR(Recherche!$C$12="",ISNUMBER(SEARCH(Recherche!$C$12,M2291&amp;" "&amp;F2291)))),1,0)</f>
        <v>8</v>
      </c>
    </row>
    <row r="2292" customFormat="false" ht="15" hidden="false" customHeight="false" outlineLevel="0" collapsed="false">
      <c r="A2292" s="19"/>
      <c r="B2292" s="19"/>
      <c r="C2292" s="19"/>
      <c r="D2292" s="19"/>
      <c r="E2292" s="22"/>
      <c r="F2292" s="19"/>
      <c r="G2292" s="26" t="str">
        <f aca="false">IF(D2292="","",IFERROR(VALUE(LEFT(D2292,FIND(" |",D2292&amp;" |")-1)),"?"))</f>
        <v/>
      </c>
      <c r="H2292" s="27" t="str">
        <f aca="false">IF(G2292="","",IF(G2292="?","⚠ pub inconnue",IFERROR(INDEX(Pubs!$B$2:$B$3001,MATCH(G2292,Pubs!$A$2:$A$3001,0))&amp;"","⚠ pub inconnue")))</f>
        <v/>
      </c>
      <c r="I2292" s="27" t="str">
        <f aca="false">IF(OR(G2292="",G2292="?"),"",IFERROR(INDEX(Pubs!$C$2:$C$3001,MATCH(G2292,Pubs!$A$2:$A$3001,0))&amp;"",""))</f>
        <v/>
      </c>
      <c r="J2292" s="27" t="str">
        <f aca="false">IF(OR(G2292="",G2292="?"),"",IFERROR(INDEX(Pubs!$G$2:$G$3001,MATCH(G2292,Pubs!$A$2:$A$3001,0))&amp;"",""))</f>
        <v/>
      </c>
      <c r="K2292" s="28" t="str">
        <f aca="false">IF(OR(G2292="",G2292="?"),"",IFERROR(INDEX(Pubs!$E$2:$E$3001,MATCH(G2292,Pubs!$A$2:$A$3001,0)),""))</f>
        <v/>
      </c>
      <c r="L2292" s="29" t="str">
        <f aca="false">IF(A2292="","",IFERROR(1/(1/INDEX(Numéros!$C$2:$C$3001,MATCH(A2292&amp;"|"&amp;B2292,Numéros!$F$2:$F$3001,0))),""))</f>
        <v/>
      </c>
      <c r="M2292" s="27" t="str">
        <f aca="false">IF(OR(G2292="",G2292="?"),"",IFERROR(INDEX(Pubs!$D$2:$D$3001,MATCH(G2292,Pubs!$A$2:$A$3001,0))&amp;"",""))</f>
        <v/>
      </c>
      <c r="N2292" s="27" t="n">
        <f aca="false">N(N2291)+IF(AND(A2292&lt;&gt;"",OR(Recherche!$C$4="",A2292=Recherche!$C$4),OR(Recherche!$C$5="",B2292&amp;""=Recherche!$C$5&amp;""),OR(Recherche!$C$6="",IFERROR(YEAR(L2292),0)=Recherche!$C$6),OR(Recherche!$C$7="",ISNUMBER(SEARCH(Recherche!$C$7,H2292))),OR(Recherche!$C$8="",J2292=Recherche!$C$8),OR(Recherche!$C$9="",I2292=Recherche!$C$9),OR(Recherche!$C$10="",G2292&amp;""=Recherche!$C$10&amp;""),OR(Recherche!$C$11="",E2292=Recherche!$C$11),OR(Recherche!$C$12="",ISNUMBER(SEARCH(Recherche!$C$12,M2292&amp;" "&amp;F2292)))),1,0)</f>
        <v>8</v>
      </c>
    </row>
    <row r="2293" customFormat="false" ht="15" hidden="false" customHeight="false" outlineLevel="0" collapsed="false">
      <c r="A2293" s="19"/>
      <c r="B2293" s="19"/>
      <c r="C2293" s="19"/>
      <c r="D2293" s="19"/>
      <c r="E2293" s="22"/>
      <c r="F2293" s="19"/>
      <c r="G2293" s="26" t="str">
        <f aca="false">IF(D2293="","",IFERROR(VALUE(LEFT(D2293,FIND(" |",D2293&amp;" |")-1)),"?"))</f>
        <v/>
      </c>
      <c r="H2293" s="27" t="str">
        <f aca="false">IF(G2293="","",IF(G2293="?","⚠ pub inconnue",IFERROR(INDEX(Pubs!$B$2:$B$3001,MATCH(G2293,Pubs!$A$2:$A$3001,0))&amp;"","⚠ pub inconnue")))</f>
        <v/>
      </c>
      <c r="I2293" s="27" t="str">
        <f aca="false">IF(OR(G2293="",G2293="?"),"",IFERROR(INDEX(Pubs!$C$2:$C$3001,MATCH(G2293,Pubs!$A$2:$A$3001,0))&amp;"",""))</f>
        <v/>
      </c>
      <c r="J2293" s="27" t="str">
        <f aca="false">IF(OR(G2293="",G2293="?"),"",IFERROR(INDEX(Pubs!$G$2:$G$3001,MATCH(G2293,Pubs!$A$2:$A$3001,0))&amp;"",""))</f>
        <v/>
      </c>
      <c r="K2293" s="28" t="str">
        <f aca="false">IF(OR(G2293="",G2293="?"),"",IFERROR(INDEX(Pubs!$E$2:$E$3001,MATCH(G2293,Pubs!$A$2:$A$3001,0)),""))</f>
        <v/>
      </c>
      <c r="L2293" s="29" t="str">
        <f aca="false">IF(A2293="","",IFERROR(1/(1/INDEX(Numéros!$C$2:$C$3001,MATCH(A2293&amp;"|"&amp;B2293,Numéros!$F$2:$F$3001,0))),""))</f>
        <v/>
      </c>
      <c r="M2293" s="27" t="str">
        <f aca="false">IF(OR(G2293="",G2293="?"),"",IFERROR(INDEX(Pubs!$D$2:$D$3001,MATCH(G2293,Pubs!$A$2:$A$3001,0))&amp;"",""))</f>
        <v/>
      </c>
      <c r="N2293" s="27" t="n">
        <f aca="false">N(N2292)+IF(AND(A2293&lt;&gt;"",OR(Recherche!$C$4="",A2293=Recherche!$C$4),OR(Recherche!$C$5="",B2293&amp;""=Recherche!$C$5&amp;""),OR(Recherche!$C$6="",IFERROR(YEAR(L2293),0)=Recherche!$C$6),OR(Recherche!$C$7="",ISNUMBER(SEARCH(Recherche!$C$7,H2293))),OR(Recherche!$C$8="",J2293=Recherche!$C$8),OR(Recherche!$C$9="",I2293=Recherche!$C$9),OR(Recherche!$C$10="",G2293&amp;""=Recherche!$C$10&amp;""),OR(Recherche!$C$11="",E2293=Recherche!$C$11),OR(Recherche!$C$12="",ISNUMBER(SEARCH(Recherche!$C$12,M2293&amp;" "&amp;F2293)))),1,0)</f>
        <v>8</v>
      </c>
    </row>
    <row r="2294" customFormat="false" ht="15" hidden="false" customHeight="false" outlineLevel="0" collapsed="false">
      <c r="A2294" s="19"/>
      <c r="B2294" s="19"/>
      <c r="C2294" s="19"/>
      <c r="D2294" s="19"/>
      <c r="E2294" s="22"/>
      <c r="F2294" s="19"/>
      <c r="G2294" s="26" t="str">
        <f aca="false">IF(D2294="","",IFERROR(VALUE(LEFT(D2294,FIND(" |",D2294&amp;" |")-1)),"?"))</f>
        <v/>
      </c>
      <c r="H2294" s="27" t="str">
        <f aca="false">IF(G2294="","",IF(G2294="?","⚠ pub inconnue",IFERROR(INDEX(Pubs!$B$2:$B$3001,MATCH(G2294,Pubs!$A$2:$A$3001,0))&amp;"","⚠ pub inconnue")))</f>
        <v/>
      </c>
      <c r="I2294" s="27" t="str">
        <f aca="false">IF(OR(G2294="",G2294="?"),"",IFERROR(INDEX(Pubs!$C$2:$C$3001,MATCH(G2294,Pubs!$A$2:$A$3001,0))&amp;"",""))</f>
        <v/>
      </c>
      <c r="J2294" s="27" t="str">
        <f aca="false">IF(OR(G2294="",G2294="?"),"",IFERROR(INDEX(Pubs!$G$2:$G$3001,MATCH(G2294,Pubs!$A$2:$A$3001,0))&amp;"",""))</f>
        <v/>
      </c>
      <c r="K2294" s="28" t="str">
        <f aca="false">IF(OR(G2294="",G2294="?"),"",IFERROR(INDEX(Pubs!$E$2:$E$3001,MATCH(G2294,Pubs!$A$2:$A$3001,0)),""))</f>
        <v/>
      </c>
      <c r="L2294" s="29" t="str">
        <f aca="false">IF(A2294="","",IFERROR(1/(1/INDEX(Numéros!$C$2:$C$3001,MATCH(A2294&amp;"|"&amp;B2294,Numéros!$F$2:$F$3001,0))),""))</f>
        <v/>
      </c>
      <c r="M2294" s="27" t="str">
        <f aca="false">IF(OR(G2294="",G2294="?"),"",IFERROR(INDEX(Pubs!$D$2:$D$3001,MATCH(G2294,Pubs!$A$2:$A$3001,0))&amp;"",""))</f>
        <v/>
      </c>
      <c r="N2294" s="27" t="n">
        <f aca="false">N(N2293)+IF(AND(A2294&lt;&gt;"",OR(Recherche!$C$4="",A2294=Recherche!$C$4),OR(Recherche!$C$5="",B2294&amp;""=Recherche!$C$5&amp;""),OR(Recherche!$C$6="",IFERROR(YEAR(L2294),0)=Recherche!$C$6),OR(Recherche!$C$7="",ISNUMBER(SEARCH(Recherche!$C$7,H2294))),OR(Recherche!$C$8="",J2294=Recherche!$C$8),OR(Recherche!$C$9="",I2294=Recherche!$C$9),OR(Recherche!$C$10="",G2294&amp;""=Recherche!$C$10&amp;""),OR(Recherche!$C$11="",E2294=Recherche!$C$11),OR(Recherche!$C$12="",ISNUMBER(SEARCH(Recherche!$C$12,M2294&amp;" "&amp;F2294)))),1,0)</f>
        <v>8</v>
      </c>
    </row>
    <row r="2295" customFormat="false" ht="15" hidden="false" customHeight="false" outlineLevel="0" collapsed="false">
      <c r="A2295" s="19"/>
      <c r="B2295" s="19"/>
      <c r="C2295" s="19"/>
      <c r="D2295" s="19"/>
      <c r="E2295" s="22"/>
      <c r="F2295" s="19"/>
      <c r="G2295" s="26" t="str">
        <f aca="false">IF(D2295="","",IFERROR(VALUE(LEFT(D2295,FIND(" |",D2295&amp;" |")-1)),"?"))</f>
        <v/>
      </c>
      <c r="H2295" s="27" t="str">
        <f aca="false">IF(G2295="","",IF(G2295="?","⚠ pub inconnue",IFERROR(INDEX(Pubs!$B$2:$B$3001,MATCH(G2295,Pubs!$A$2:$A$3001,0))&amp;"","⚠ pub inconnue")))</f>
        <v/>
      </c>
      <c r="I2295" s="27" t="str">
        <f aca="false">IF(OR(G2295="",G2295="?"),"",IFERROR(INDEX(Pubs!$C$2:$C$3001,MATCH(G2295,Pubs!$A$2:$A$3001,0))&amp;"",""))</f>
        <v/>
      </c>
      <c r="J2295" s="27" t="str">
        <f aca="false">IF(OR(G2295="",G2295="?"),"",IFERROR(INDEX(Pubs!$G$2:$G$3001,MATCH(G2295,Pubs!$A$2:$A$3001,0))&amp;"",""))</f>
        <v/>
      </c>
      <c r="K2295" s="28" t="str">
        <f aca="false">IF(OR(G2295="",G2295="?"),"",IFERROR(INDEX(Pubs!$E$2:$E$3001,MATCH(G2295,Pubs!$A$2:$A$3001,0)),""))</f>
        <v/>
      </c>
      <c r="L2295" s="29" t="str">
        <f aca="false">IF(A2295="","",IFERROR(1/(1/INDEX(Numéros!$C$2:$C$3001,MATCH(A2295&amp;"|"&amp;B2295,Numéros!$F$2:$F$3001,0))),""))</f>
        <v/>
      </c>
      <c r="M2295" s="27" t="str">
        <f aca="false">IF(OR(G2295="",G2295="?"),"",IFERROR(INDEX(Pubs!$D$2:$D$3001,MATCH(G2295,Pubs!$A$2:$A$3001,0))&amp;"",""))</f>
        <v/>
      </c>
      <c r="N2295" s="27" t="n">
        <f aca="false">N(N2294)+IF(AND(A2295&lt;&gt;"",OR(Recherche!$C$4="",A2295=Recherche!$C$4),OR(Recherche!$C$5="",B2295&amp;""=Recherche!$C$5&amp;""),OR(Recherche!$C$6="",IFERROR(YEAR(L2295),0)=Recherche!$C$6),OR(Recherche!$C$7="",ISNUMBER(SEARCH(Recherche!$C$7,H2295))),OR(Recherche!$C$8="",J2295=Recherche!$C$8),OR(Recherche!$C$9="",I2295=Recherche!$C$9),OR(Recherche!$C$10="",G2295&amp;""=Recherche!$C$10&amp;""),OR(Recherche!$C$11="",E2295=Recherche!$C$11),OR(Recherche!$C$12="",ISNUMBER(SEARCH(Recherche!$C$12,M2295&amp;" "&amp;F2295)))),1,0)</f>
        <v>8</v>
      </c>
    </row>
    <row r="2296" customFormat="false" ht="15" hidden="false" customHeight="false" outlineLevel="0" collapsed="false">
      <c r="A2296" s="19"/>
      <c r="B2296" s="19"/>
      <c r="C2296" s="19"/>
      <c r="D2296" s="19"/>
      <c r="E2296" s="22"/>
      <c r="F2296" s="19"/>
      <c r="G2296" s="26" t="str">
        <f aca="false">IF(D2296="","",IFERROR(VALUE(LEFT(D2296,FIND(" |",D2296&amp;" |")-1)),"?"))</f>
        <v/>
      </c>
      <c r="H2296" s="27" t="str">
        <f aca="false">IF(G2296="","",IF(G2296="?","⚠ pub inconnue",IFERROR(INDEX(Pubs!$B$2:$B$3001,MATCH(G2296,Pubs!$A$2:$A$3001,0))&amp;"","⚠ pub inconnue")))</f>
        <v/>
      </c>
      <c r="I2296" s="27" t="str">
        <f aca="false">IF(OR(G2296="",G2296="?"),"",IFERROR(INDEX(Pubs!$C$2:$C$3001,MATCH(G2296,Pubs!$A$2:$A$3001,0))&amp;"",""))</f>
        <v/>
      </c>
      <c r="J2296" s="27" t="str">
        <f aca="false">IF(OR(G2296="",G2296="?"),"",IFERROR(INDEX(Pubs!$G$2:$G$3001,MATCH(G2296,Pubs!$A$2:$A$3001,0))&amp;"",""))</f>
        <v/>
      </c>
      <c r="K2296" s="28" t="str">
        <f aca="false">IF(OR(G2296="",G2296="?"),"",IFERROR(INDEX(Pubs!$E$2:$E$3001,MATCH(G2296,Pubs!$A$2:$A$3001,0)),""))</f>
        <v/>
      </c>
      <c r="L2296" s="29" t="str">
        <f aca="false">IF(A2296="","",IFERROR(1/(1/INDEX(Numéros!$C$2:$C$3001,MATCH(A2296&amp;"|"&amp;B2296,Numéros!$F$2:$F$3001,0))),""))</f>
        <v/>
      </c>
      <c r="M2296" s="27" t="str">
        <f aca="false">IF(OR(G2296="",G2296="?"),"",IFERROR(INDEX(Pubs!$D$2:$D$3001,MATCH(G2296,Pubs!$A$2:$A$3001,0))&amp;"",""))</f>
        <v/>
      </c>
      <c r="N2296" s="27" t="n">
        <f aca="false">N(N2295)+IF(AND(A2296&lt;&gt;"",OR(Recherche!$C$4="",A2296=Recherche!$C$4),OR(Recherche!$C$5="",B2296&amp;""=Recherche!$C$5&amp;""),OR(Recherche!$C$6="",IFERROR(YEAR(L2296),0)=Recherche!$C$6),OR(Recherche!$C$7="",ISNUMBER(SEARCH(Recherche!$C$7,H2296))),OR(Recherche!$C$8="",J2296=Recherche!$C$8),OR(Recherche!$C$9="",I2296=Recherche!$C$9),OR(Recherche!$C$10="",G2296&amp;""=Recherche!$C$10&amp;""),OR(Recherche!$C$11="",E2296=Recherche!$C$11),OR(Recherche!$C$12="",ISNUMBER(SEARCH(Recherche!$C$12,M2296&amp;" "&amp;F2296)))),1,0)</f>
        <v>8</v>
      </c>
    </row>
    <row r="2297" customFormat="false" ht="15" hidden="false" customHeight="false" outlineLevel="0" collapsed="false">
      <c r="A2297" s="19"/>
      <c r="B2297" s="19"/>
      <c r="C2297" s="19"/>
      <c r="D2297" s="19"/>
      <c r="E2297" s="22"/>
      <c r="F2297" s="19"/>
      <c r="G2297" s="26" t="str">
        <f aca="false">IF(D2297="","",IFERROR(VALUE(LEFT(D2297,FIND(" |",D2297&amp;" |")-1)),"?"))</f>
        <v/>
      </c>
      <c r="H2297" s="27" t="str">
        <f aca="false">IF(G2297="","",IF(G2297="?","⚠ pub inconnue",IFERROR(INDEX(Pubs!$B$2:$B$3001,MATCH(G2297,Pubs!$A$2:$A$3001,0))&amp;"","⚠ pub inconnue")))</f>
        <v/>
      </c>
      <c r="I2297" s="27" t="str">
        <f aca="false">IF(OR(G2297="",G2297="?"),"",IFERROR(INDEX(Pubs!$C$2:$C$3001,MATCH(G2297,Pubs!$A$2:$A$3001,0))&amp;"",""))</f>
        <v/>
      </c>
      <c r="J2297" s="27" t="str">
        <f aca="false">IF(OR(G2297="",G2297="?"),"",IFERROR(INDEX(Pubs!$G$2:$G$3001,MATCH(G2297,Pubs!$A$2:$A$3001,0))&amp;"",""))</f>
        <v/>
      </c>
      <c r="K2297" s="28" t="str">
        <f aca="false">IF(OR(G2297="",G2297="?"),"",IFERROR(INDEX(Pubs!$E$2:$E$3001,MATCH(G2297,Pubs!$A$2:$A$3001,0)),""))</f>
        <v/>
      </c>
      <c r="L2297" s="29" t="str">
        <f aca="false">IF(A2297="","",IFERROR(1/(1/INDEX(Numéros!$C$2:$C$3001,MATCH(A2297&amp;"|"&amp;B2297,Numéros!$F$2:$F$3001,0))),""))</f>
        <v/>
      </c>
      <c r="M2297" s="27" t="str">
        <f aca="false">IF(OR(G2297="",G2297="?"),"",IFERROR(INDEX(Pubs!$D$2:$D$3001,MATCH(G2297,Pubs!$A$2:$A$3001,0))&amp;"",""))</f>
        <v/>
      </c>
      <c r="N2297" s="27" t="n">
        <f aca="false">N(N2296)+IF(AND(A2297&lt;&gt;"",OR(Recherche!$C$4="",A2297=Recherche!$C$4),OR(Recherche!$C$5="",B2297&amp;""=Recherche!$C$5&amp;""),OR(Recherche!$C$6="",IFERROR(YEAR(L2297),0)=Recherche!$C$6),OR(Recherche!$C$7="",ISNUMBER(SEARCH(Recherche!$C$7,H2297))),OR(Recherche!$C$8="",J2297=Recherche!$C$8),OR(Recherche!$C$9="",I2297=Recherche!$C$9),OR(Recherche!$C$10="",G2297&amp;""=Recherche!$C$10&amp;""),OR(Recherche!$C$11="",E2297=Recherche!$C$11),OR(Recherche!$C$12="",ISNUMBER(SEARCH(Recherche!$C$12,M2297&amp;" "&amp;F2297)))),1,0)</f>
        <v>8</v>
      </c>
    </row>
    <row r="2298" customFormat="false" ht="15" hidden="false" customHeight="false" outlineLevel="0" collapsed="false">
      <c r="A2298" s="19"/>
      <c r="B2298" s="19"/>
      <c r="C2298" s="19"/>
      <c r="D2298" s="19"/>
      <c r="E2298" s="22"/>
      <c r="F2298" s="19"/>
      <c r="G2298" s="26" t="str">
        <f aca="false">IF(D2298="","",IFERROR(VALUE(LEFT(D2298,FIND(" |",D2298&amp;" |")-1)),"?"))</f>
        <v/>
      </c>
      <c r="H2298" s="27" t="str">
        <f aca="false">IF(G2298="","",IF(G2298="?","⚠ pub inconnue",IFERROR(INDEX(Pubs!$B$2:$B$3001,MATCH(G2298,Pubs!$A$2:$A$3001,0))&amp;"","⚠ pub inconnue")))</f>
        <v/>
      </c>
      <c r="I2298" s="27" t="str">
        <f aca="false">IF(OR(G2298="",G2298="?"),"",IFERROR(INDEX(Pubs!$C$2:$C$3001,MATCH(G2298,Pubs!$A$2:$A$3001,0))&amp;"",""))</f>
        <v/>
      </c>
      <c r="J2298" s="27" t="str">
        <f aca="false">IF(OR(G2298="",G2298="?"),"",IFERROR(INDEX(Pubs!$G$2:$G$3001,MATCH(G2298,Pubs!$A$2:$A$3001,0))&amp;"",""))</f>
        <v/>
      </c>
      <c r="K2298" s="28" t="str">
        <f aca="false">IF(OR(G2298="",G2298="?"),"",IFERROR(INDEX(Pubs!$E$2:$E$3001,MATCH(G2298,Pubs!$A$2:$A$3001,0)),""))</f>
        <v/>
      </c>
      <c r="L2298" s="29" t="str">
        <f aca="false">IF(A2298="","",IFERROR(1/(1/INDEX(Numéros!$C$2:$C$3001,MATCH(A2298&amp;"|"&amp;B2298,Numéros!$F$2:$F$3001,0))),""))</f>
        <v/>
      </c>
      <c r="M2298" s="27" t="str">
        <f aca="false">IF(OR(G2298="",G2298="?"),"",IFERROR(INDEX(Pubs!$D$2:$D$3001,MATCH(G2298,Pubs!$A$2:$A$3001,0))&amp;"",""))</f>
        <v/>
      </c>
      <c r="N2298" s="27" t="n">
        <f aca="false">N(N2297)+IF(AND(A2298&lt;&gt;"",OR(Recherche!$C$4="",A2298=Recherche!$C$4),OR(Recherche!$C$5="",B2298&amp;""=Recherche!$C$5&amp;""),OR(Recherche!$C$6="",IFERROR(YEAR(L2298),0)=Recherche!$C$6),OR(Recherche!$C$7="",ISNUMBER(SEARCH(Recherche!$C$7,H2298))),OR(Recherche!$C$8="",J2298=Recherche!$C$8),OR(Recherche!$C$9="",I2298=Recherche!$C$9),OR(Recherche!$C$10="",G2298&amp;""=Recherche!$C$10&amp;""),OR(Recherche!$C$11="",E2298=Recherche!$C$11),OR(Recherche!$C$12="",ISNUMBER(SEARCH(Recherche!$C$12,M2298&amp;" "&amp;F2298)))),1,0)</f>
        <v>8</v>
      </c>
    </row>
    <row r="2299" customFormat="false" ht="15" hidden="false" customHeight="false" outlineLevel="0" collapsed="false">
      <c r="A2299" s="19"/>
      <c r="B2299" s="19"/>
      <c r="C2299" s="19"/>
      <c r="D2299" s="19"/>
      <c r="E2299" s="22"/>
      <c r="F2299" s="19"/>
      <c r="G2299" s="26" t="str">
        <f aca="false">IF(D2299="","",IFERROR(VALUE(LEFT(D2299,FIND(" |",D2299&amp;" |")-1)),"?"))</f>
        <v/>
      </c>
      <c r="H2299" s="27" t="str">
        <f aca="false">IF(G2299="","",IF(G2299="?","⚠ pub inconnue",IFERROR(INDEX(Pubs!$B$2:$B$3001,MATCH(G2299,Pubs!$A$2:$A$3001,0))&amp;"","⚠ pub inconnue")))</f>
        <v/>
      </c>
      <c r="I2299" s="27" t="str">
        <f aca="false">IF(OR(G2299="",G2299="?"),"",IFERROR(INDEX(Pubs!$C$2:$C$3001,MATCH(G2299,Pubs!$A$2:$A$3001,0))&amp;"",""))</f>
        <v/>
      </c>
      <c r="J2299" s="27" t="str">
        <f aca="false">IF(OR(G2299="",G2299="?"),"",IFERROR(INDEX(Pubs!$G$2:$G$3001,MATCH(G2299,Pubs!$A$2:$A$3001,0))&amp;"",""))</f>
        <v/>
      </c>
      <c r="K2299" s="28" t="str">
        <f aca="false">IF(OR(G2299="",G2299="?"),"",IFERROR(INDEX(Pubs!$E$2:$E$3001,MATCH(G2299,Pubs!$A$2:$A$3001,0)),""))</f>
        <v/>
      </c>
      <c r="L2299" s="29" t="str">
        <f aca="false">IF(A2299="","",IFERROR(1/(1/INDEX(Numéros!$C$2:$C$3001,MATCH(A2299&amp;"|"&amp;B2299,Numéros!$F$2:$F$3001,0))),""))</f>
        <v/>
      </c>
      <c r="M2299" s="27" t="str">
        <f aca="false">IF(OR(G2299="",G2299="?"),"",IFERROR(INDEX(Pubs!$D$2:$D$3001,MATCH(G2299,Pubs!$A$2:$A$3001,0))&amp;"",""))</f>
        <v/>
      </c>
      <c r="N2299" s="27" t="n">
        <f aca="false">N(N2298)+IF(AND(A2299&lt;&gt;"",OR(Recherche!$C$4="",A2299=Recherche!$C$4),OR(Recherche!$C$5="",B2299&amp;""=Recherche!$C$5&amp;""),OR(Recherche!$C$6="",IFERROR(YEAR(L2299),0)=Recherche!$C$6),OR(Recherche!$C$7="",ISNUMBER(SEARCH(Recherche!$C$7,H2299))),OR(Recherche!$C$8="",J2299=Recherche!$C$8),OR(Recherche!$C$9="",I2299=Recherche!$C$9),OR(Recherche!$C$10="",G2299&amp;""=Recherche!$C$10&amp;""),OR(Recherche!$C$11="",E2299=Recherche!$C$11),OR(Recherche!$C$12="",ISNUMBER(SEARCH(Recherche!$C$12,M2299&amp;" "&amp;F2299)))),1,0)</f>
        <v>8</v>
      </c>
    </row>
    <row r="2300" customFormat="false" ht="15" hidden="false" customHeight="false" outlineLevel="0" collapsed="false">
      <c r="A2300" s="19"/>
      <c r="B2300" s="19"/>
      <c r="C2300" s="19"/>
      <c r="D2300" s="19"/>
      <c r="E2300" s="22"/>
      <c r="F2300" s="19"/>
      <c r="G2300" s="26" t="str">
        <f aca="false">IF(D2300="","",IFERROR(VALUE(LEFT(D2300,FIND(" |",D2300&amp;" |")-1)),"?"))</f>
        <v/>
      </c>
      <c r="H2300" s="27" t="str">
        <f aca="false">IF(G2300="","",IF(G2300="?","⚠ pub inconnue",IFERROR(INDEX(Pubs!$B$2:$B$3001,MATCH(G2300,Pubs!$A$2:$A$3001,0))&amp;"","⚠ pub inconnue")))</f>
        <v/>
      </c>
      <c r="I2300" s="27" t="str">
        <f aca="false">IF(OR(G2300="",G2300="?"),"",IFERROR(INDEX(Pubs!$C$2:$C$3001,MATCH(G2300,Pubs!$A$2:$A$3001,0))&amp;"",""))</f>
        <v/>
      </c>
      <c r="J2300" s="27" t="str">
        <f aca="false">IF(OR(G2300="",G2300="?"),"",IFERROR(INDEX(Pubs!$G$2:$G$3001,MATCH(G2300,Pubs!$A$2:$A$3001,0))&amp;"",""))</f>
        <v/>
      </c>
      <c r="K2300" s="28" t="str">
        <f aca="false">IF(OR(G2300="",G2300="?"),"",IFERROR(INDEX(Pubs!$E$2:$E$3001,MATCH(G2300,Pubs!$A$2:$A$3001,0)),""))</f>
        <v/>
      </c>
      <c r="L2300" s="29" t="str">
        <f aca="false">IF(A2300="","",IFERROR(1/(1/INDEX(Numéros!$C$2:$C$3001,MATCH(A2300&amp;"|"&amp;B2300,Numéros!$F$2:$F$3001,0))),""))</f>
        <v/>
      </c>
      <c r="M2300" s="27" t="str">
        <f aca="false">IF(OR(G2300="",G2300="?"),"",IFERROR(INDEX(Pubs!$D$2:$D$3001,MATCH(G2300,Pubs!$A$2:$A$3001,0))&amp;"",""))</f>
        <v/>
      </c>
      <c r="N2300" s="27" t="n">
        <f aca="false">N(N2299)+IF(AND(A2300&lt;&gt;"",OR(Recherche!$C$4="",A2300=Recherche!$C$4),OR(Recherche!$C$5="",B2300&amp;""=Recherche!$C$5&amp;""),OR(Recherche!$C$6="",IFERROR(YEAR(L2300),0)=Recherche!$C$6),OR(Recherche!$C$7="",ISNUMBER(SEARCH(Recherche!$C$7,H2300))),OR(Recherche!$C$8="",J2300=Recherche!$C$8),OR(Recherche!$C$9="",I2300=Recherche!$C$9),OR(Recherche!$C$10="",G2300&amp;""=Recherche!$C$10&amp;""),OR(Recherche!$C$11="",E2300=Recherche!$C$11),OR(Recherche!$C$12="",ISNUMBER(SEARCH(Recherche!$C$12,M2300&amp;" "&amp;F2300)))),1,0)</f>
        <v>8</v>
      </c>
    </row>
    <row r="2301" customFormat="false" ht="15" hidden="false" customHeight="false" outlineLevel="0" collapsed="false">
      <c r="A2301" s="19"/>
      <c r="B2301" s="19"/>
      <c r="C2301" s="19"/>
      <c r="D2301" s="19"/>
      <c r="E2301" s="22"/>
      <c r="F2301" s="19"/>
      <c r="G2301" s="26" t="str">
        <f aca="false">IF(D2301="","",IFERROR(VALUE(LEFT(D2301,FIND(" |",D2301&amp;" |")-1)),"?"))</f>
        <v/>
      </c>
      <c r="H2301" s="27" t="str">
        <f aca="false">IF(G2301="","",IF(G2301="?","⚠ pub inconnue",IFERROR(INDEX(Pubs!$B$2:$B$3001,MATCH(G2301,Pubs!$A$2:$A$3001,0))&amp;"","⚠ pub inconnue")))</f>
        <v/>
      </c>
      <c r="I2301" s="27" t="str">
        <f aca="false">IF(OR(G2301="",G2301="?"),"",IFERROR(INDEX(Pubs!$C$2:$C$3001,MATCH(G2301,Pubs!$A$2:$A$3001,0))&amp;"",""))</f>
        <v/>
      </c>
      <c r="J2301" s="27" t="str">
        <f aca="false">IF(OR(G2301="",G2301="?"),"",IFERROR(INDEX(Pubs!$G$2:$G$3001,MATCH(G2301,Pubs!$A$2:$A$3001,0))&amp;"",""))</f>
        <v/>
      </c>
      <c r="K2301" s="28" t="str">
        <f aca="false">IF(OR(G2301="",G2301="?"),"",IFERROR(INDEX(Pubs!$E$2:$E$3001,MATCH(G2301,Pubs!$A$2:$A$3001,0)),""))</f>
        <v/>
      </c>
      <c r="L2301" s="29" t="str">
        <f aca="false">IF(A2301="","",IFERROR(1/(1/INDEX(Numéros!$C$2:$C$3001,MATCH(A2301&amp;"|"&amp;B2301,Numéros!$F$2:$F$3001,0))),""))</f>
        <v/>
      </c>
      <c r="M2301" s="27" t="str">
        <f aca="false">IF(OR(G2301="",G2301="?"),"",IFERROR(INDEX(Pubs!$D$2:$D$3001,MATCH(G2301,Pubs!$A$2:$A$3001,0))&amp;"",""))</f>
        <v/>
      </c>
      <c r="N2301" s="27" t="n">
        <f aca="false">N(N2300)+IF(AND(A2301&lt;&gt;"",OR(Recherche!$C$4="",A2301=Recherche!$C$4),OR(Recherche!$C$5="",B2301&amp;""=Recherche!$C$5&amp;""),OR(Recherche!$C$6="",IFERROR(YEAR(L2301),0)=Recherche!$C$6),OR(Recherche!$C$7="",ISNUMBER(SEARCH(Recherche!$C$7,H2301))),OR(Recherche!$C$8="",J2301=Recherche!$C$8),OR(Recherche!$C$9="",I2301=Recherche!$C$9),OR(Recherche!$C$10="",G2301&amp;""=Recherche!$C$10&amp;""),OR(Recherche!$C$11="",E2301=Recherche!$C$11),OR(Recherche!$C$12="",ISNUMBER(SEARCH(Recherche!$C$12,M2301&amp;" "&amp;F2301)))),1,0)</f>
        <v>8</v>
      </c>
    </row>
    <row r="2302" customFormat="false" ht="15" hidden="false" customHeight="false" outlineLevel="0" collapsed="false">
      <c r="A2302" s="19"/>
      <c r="B2302" s="19"/>
      <c r="C2302" s="19"/>
      <c r="D2302" s="19"/>
      <c r="E2302" s="22"/>
      <c r="F2302" s="19"/>
      <c r="G2302" s="26" t="str">
        <f aca="false">IF(D2302="","",IFERROR(VALUE(LEFT(D2302,FIND(" |",D2302&amp;" |")-1)),"?"))</f>
        <v/>
      </c>
      <c r="H2302" s="27" t="str">
        <f aca="false">IF(G2302="","",IF(G2302="?","⚠ pub inconnue",IFERROR(INDEX(Pubs!$B$2:$B$3001,MATCH(G2302,Pubs!$A$2:$A$3001,0))&amp;"","⚠ pub inconnue")))</f>
        <v/>
      </c>
      <c r="I2302" s="27" t="str">
        <f aca="false">IF(OR(G2302="",G2302="?"),"",IFERROR(INDEX(Pubs!$C$2:$C$3001,MATCH(G2302,Pubs!$A$2:$A$3001,0))&amp;"",""))</f>
        <v/>
      </c>
      <c r="J2302" s="27" t="str">
        <f aca="false">IF(OR(G2302="",G2302="?"),"",IFERROR(INDEX(Pubs!$G$2:$G$3001,MATCH(G2302,Pubs!$A$2:$A$3001,0))&amp;"",""))</f>
        <v/>
      </c>
      <c r="K2302" s="28" t="str">
        <f aca="false">IF(OR(G2302="",G2302="?"),"",IFERROR(INDEX(Pubs!$E$2:$E$3001,MATCH(G2302,Pubs!$A$2:$A$3001,0)),""))</f>
        <v/>
      </c>
      <c r="L2302" s="29" t="str">
        <f aca="false">IF(A2302="","",IFERROR(1/(1/INDEX(Numéros!$C$2:$C$3001,MATCH(A2302&amp;"|"&amp;B2302,Numéros!$F$2:$F$3001,0))),""))</f>
        <v/>
      </c>
      <c r="M2302" s="27" t="str">
        <f aca="false">IF(OR(G2302="",G2302="?"),"",IFERROR(INDEX(Pubs!$D$2:$D$3001,MATCH(G2302,Pubs!$A$2:$A$3001,0))&amp;"",""))</f>
        <v/>
      </c>
      <c r="N2302" s="27" t="n">
        <f aca="false">N(N2301)+IF(AND(A2302&lt;&gt;"",OR(Recherche!$C$4="",A2302=Recherche!$C$4),OR(Recherche!$C$5="",B2302&amp;""=Recherche!$C$5&amp;""),OR(Recherche!$C$6="",IFERROR(YEAR(L2302),0)=Recherche!$C$6),OR(Recherche!$C$7="",ISNUMBER(SEARCH(Recherche!$C$7,H2302))),OR(Recherche!$C$8="",J2302=Recherche!$C$8),OR(Recherche!$C$9="",I2302=Recherche!$C$9),OR(Recherche!$C$10="",G2302&amp;""=Recherche!$C$10&amp;""),OR(Recherche!$C$11="",E2302=Recherche!$C$11),OR(Recherche!$C$12="",ISNUMBER(SEARCH(Recherche!$C$12,M2302&amp;" "&amp;F2302)))),1,0)</f>
        <v>8</v>
      </c>
    </row>
    <row r="2303" customFormat="false" ht="15" hidden="false" customHeight="false" outlineLevel="0" collapsed="false">
      <c r="A2303" s="19"/>
      <c r="B2303" s="19"/>
      <c r="C2303" s="19"/>
      <c r="D2303" s="19"/>
      <c r="E2303" s="22"/>
      <c r="F2303" s="19"/>
      <c r="G2303" s="26" t="str">
        <f aca="false">IF(D2303="","",IFERROR(VALUE(LEFT(D2303,FIND(" |",D2303&amp;" |")-1)),"?"))</f>
        <v/>
      </c>
      <c r="H2303" s="27" t="str">
        <f aca="false">IF(G2303="","",IF(G2303="?","⚠ pub inconnue",IFERROR(INDEX(Pubs!$B$2:$B$3001,MATCH(G2303,Pubs!$A$2:$A$3001,0))&amp;"","⚠ pub inconnue")))</f>
        <v/>
      </c>
      <c r="I2303" s="27" t="str">
        <f aca="false">IF(OR(G2303="",G2303="?"),"",IFERROR(INDEX(Pubs!$C$2:$C$3001,MATCH(G2303,Pubs!$A$2:$A$3001,0))&amp;"",""))</f>
        <v/>
      </c>
      <c r="J2303" s="27" t="str">
        <f aca="false">IF(OR(G2303="",G2303="?"),"",IFERROR(INDEX(Pubs!$G$2:$G$3001,MATCH(G2303,Pubs!$A$2:$A$3001,0))&amp;"",""))</f>
        <v/>
      </c>
      <c r="K2303" s="28" t="str">
        <f aca="false">IF(OR(G2303="",G2303="?"),"",IFERROR(INDEX(Pubs!$E$2:$E$3001,MATCH(G2303,Pubs!$A$2:$A$3001,0)),""))</f>
        <v/>
      </c>
      <c r="L2303" s="29" t="str">
        <f aca="false">IF(A2303="","",IFERROR(1/(1/INDEX(Numéros!$C$2:$C$3001,MATCH(A2303&amp;"|"&amp;B2303,Numéros!$F$2:$F$3001,0))),""))</f>
        <v/>
      </c>
      <c r="M2303" s="27" t="str">
        <f aca="false">IF(OR(G2303="",G2303="?"),"",IFERROR(INDEX(Pubs!$D$2:$D$3001,MATCH(G2303,Pubs!$A$2:$A$3001,0))&amp;"",""))</f>
        <v/>
      </c>
      <c r="N2303" s="27" t="n">
        <f aca="false">N(N2302)+IF(AND(A2303&lt;&gt;"",OR(Recherche!$C$4="",A2303=Recherche!$C$4),OR(Recherche!$C$5="",B2303&amp;""=Recherche!$C$5&amp;""),OR(Recherche!$C$6="",IFERROR(YEAR(L2303),0)=Recherche!$C$6),OR(Recherche!$C$7="",ISNUMBER(SEARCH(Recherche!$C$7,H2303))),OR(Recherche!$C$8="",J2303=Recherche!$C$8),OR(Recherche!$C$9="",I2303=Recherche!$C$9),OR(Recherche!$C$10="",G2303&amp;""=Recherche!$C$10&amp;""),OR(Recherche!$C$11="",E2303=Recherche!$C$11),OR(Recherche!$C$12="",ISNUMBER(SEARCH(Recherche!$C$12,M2303&amp;" "&amp;F2303)))),1,0)</f>
        <v>8</v>
      </c>
    </row>
    <row r="2304" customFormat="false" ht="15" hidden="false" customHeight="false" outlineLevel="0" collapsed="false">
      <c r="A2304" s="19"/>
      <c r="B2304" s="19"/>
      <c r="C2304" s="19"/>
      <c r="D2304" s="19"/>
      <c r="E2304" s="22"/>
      <c r="F2304" s="19"/>
      <c r="G2304" s="26" t="str">
        <f aca="false">IF(D2304="","",IFERROR(VALUE(LEFT(D2304,FIND(" |",D2304&amp;" |")-1)),"?"))</f>
        <v/>
      </c>
      <c r="H2304" s="27" t="str">
        <f aca="false">IF(G2304="","",IF(G2304="?","⚠ pub inconnue",IFERROR(INDEX(Pubs!$B$2:$B$3001,MATCH(G2304,Pubs!$A$2:$A$3001,0))&amp;"","⚠ pub inconnue")))</f>
        <v/>
      </c>
      <c r="I2304" s="27" t="str">
        <f aca="false">IF(OR(G2304="",G2304="?"),"",IFERROR(INDEX(Pubs!$C$2:$C$3001,MATCH(G2304,Pubs!$A$2:$A$3001,0))&amp;"",""))</f>
        <v/>
      </c>
      <c r="J2304" s="27" t="str">
        <f aca="false">IF(OR(G2304="",G2304="?"),"",IFERROR(INDEX(Pubs!$G$2:$G$3001,MATCH(G2304,Pubs!$A$2:$A$3001,0))&amp;"",""))</f>
        <v/>
      </c>
      <c r="K2304" s="28" t="str">
        <f aca="false">IF(OR(G2304="",G2304="?"),"",IFERROR(INDEX(Pubs!$E$2:$E$3001,MATCH(G2304,Pubs!$A$2:$A$3001,0)),""))</f>
        <v/>
      </c>
      <c r="L2304" s="29" t="str">
        <f aca="false">IF(A2304="","",IFERROR(1/(1/INDEX(Numéros!$C$2:$C$3001,MATCH(A2304&amp;"|"&amp;B2304,Numéros!$F$2:$F$3001,0))),""))</f>
        <v/>
      </c>
      <c r="M2304" s="27" t="str">
        <f aca="false">IF(OR(G2304="",G2304="?"),"",IFERROR(INDEX(Pubs!$D$2:$D$3001,MATCH(G2304,Pubs!$A$2:$A$3001,0))&amp;"",""))</f>
        <v/>
      </c>
      <c r="N2304" s="27" t="n">
        <f aca="false">N(N2303)+IF(AND(A2304&lt;&gt;"",OR(Recherche!$C$4="",A2304=Recherche!$C$4),OR(Recherche!$C$5="",B2304&amp;""=Recherche!$C$5&amp;""),OR(Recherche!$C$6="",IFERROR(YEAR(L2304),0)=Recherche!$C$6),OR(Recherche!$C$7="",ISNUMBER(SEARCH(Recherche!$C$7,H2304))),OR(Recherche!$C$8="",J2304=Recherche!$C$8),OR(Recherche!$C$9="",I2304=Recherche!$C$9),OR(Recherche!$C$10="",G2304&amp;""=Recherche!$C$10&amp;""),OR(Recherche!$C$11="",E2304=Recherche!$C$11),OR(Recherche!$C$12="",ISNUMBER(SEARCH(Recherche!$C$12,M2304&amp;" "&amp;F2304)))),1,0)</f>
        <v>8</v>
      </c>
    </row>
    <row r="2305" customFormat="false" ht="15" hidden="false" customHeight="false" outlineLevel="0" collapsed="false">
      <c r="A2305" s="19"/>
      <c r="B2305" s="19"/>
      <c r="C2305" s="19"/>
      <c r="D2305" s="19"/>
      <c r="E2305" s="22"/>
      <c r="F2305" s="19"/>
      <c r="G2305" s="26" t="str">
        <f aca="false">IF(D2305="","",IFERROR(VALUE(LEFT(D2305,FIND(" |",D2305&amp;" |")-1)),"?"))</f>
        <v/>
      </c>
      <c r="H2305" s="27" t="str">
        <f aca="false">IF(G2305="","",IF(G2305="?","⚠ pub inconnue",IFERROR(INDEX(Pubs!$B$2:$B$3001,MATCH(G2305,Pubs!$A$2:$A$3001,0))&amp;"","⚠ pub inconnue")))</f>
        <v/>
      </c>
      <c r="I2305" s="27" t="str">
        <f aca="false">IF(OR(G2305="",G2305="?"),"",IFERROR(INDEX(Pubs!$C$2:$C$3001,MATCH(G2305,Pubs!$A$2:$A$3001,0))&amp;"",""))</f>
        <v/>
      </c>
      <c r="J2305" s="27" t="str">
        <f aca="false">IF(OR(G2305="",G2305="?"),"",IFERROR(INDEX(Pubs!$G$2:$G$3001,MATCH(G2305,Pubs!$A$2:$A$3001,0))&amp;"",""))</f>
        <v/>
      </c>
      <c r="K2305" s="28" t="str">
        <f aca="false">IF(OR(G2305="",G2305="?"),"",IFERROR(INDEX(Pubs!$E$2:$E$3001,MATCH(G2305,Pubs!$A$2:$A$3001,0)),""))</f>
        <v/>
      </c>
      <c r="L2305" s="29" t="str">
        <f aca="false">IF(A2305="","",IFERROR(1/(1/INDEX(Numéros!$C$2:$C$3001,MATCH(A2305&amp;"|"&amp;B2305,Numéros!$F$2:$F$3001,0))),""))</f>
        <v/>
      </c>
      <c r="M2305" s="27" t="str">
        <f aca="false">IF(OR(G2305="",G2305="?"),"",IFERROR(INDEX(Pubs!$D$2:$D$3001,MATCH(G2305,Pubs!$A$2:$A$3001,0))&amp;"",""))</f>
        <v/>
      </c>
      <c r="N2305" s="27" t="n">
        <f aca="false">N(N2304)+IF(AND(A2305&lt;&gt;"",OR(Recherche!$C$4="",A2305=Recherche!$C$4),OR(Recherche!$C$5="",B2305&amp;""=Recherche!$C$5&amp;""),OR(Recherche!$C$6="",IFERROR(YEAR(L2305),0)=Recherche!$C$6),OR(Recherche!$C$7="",ISNUMBER(SEARCH(Recherche!$C$7,H2305))),OR(Recherche!$C$8="",J2305=Recherche!$C$8),OR(Recherche!$C$9="",I2305=Recherche!$C$9),OR(Recherche!$C$10="",G2305&amp;""=Recherche!$C$10&amp;""),OR(Recherche!$C$11="",E2305=Recherche!$C$11),OR(Recherche!$C$12="",ISNUMBER(SEARCH(Recherche!$C$12,M2305&amp;" "&amp;F2305)))),1,0)</f>
        <v>8</v>
      </c>
    </row>
    <row r="2306" customFormat="false" ht="15" hidden="false" customHeight="false" outlineLevel="0" collapsed="false">
      <c r="A2306" s="19"/>
      <c r="B2306" s="19"/>
      <c r="C2306" s="19"/>
      <c r="D2306" s="19"/>
      <c r="E2306" s="22"/>
      <c r="F2306" s="19"/>
      <c r="G2306" s="26" t="str">
        <f aca="false">IF(D2306="","",IFERROR(VALUE(LEFT(D2306,FIND(" |",D2306&amp;" |")-1)),"?"))</f>
        <v/>
      </c>
      <c r="H2306" s="27" t="str">
        <f aca="false">IF(G2306="","",IF(G2306="?","⚠ pub inconnue",IFERROR(INDEX(Pubs!$B$2:$B$3001,MATCH(G2306,Pubs!$A$2:$A$3001,0))&amp;"","⚠ pub inconnue")))</f>
        <v/>
      </c>
      <c r="I2306" s="27" t="str">
        <f aca="false">IF(OR(G2306="",G2306="?"),"",IFERROR(INDEX(Pubs!$C$2:$C$3001,MATCH(G2306,Pubs!$A$2:$A$3001,0))&amp;"",""))</f>
        <v/>
      </c>
      <c r="J2306" s="27" t="str">
        <f aca="false">IF(OR(G2306="",G2306="?"),"",IFERROR(INDEX(Pubs!$G$2:$G$3001,MATCH(G2306,Pubs!$A$2:$A$3001,0))&amp;"",""))</f>
        <v/>
      </c>
      <c r="K2306" s="28" t="str">
        <f aca="false">IF(OR(G2306="",G2306="?"),"",IFERROR(INDEX(Pubs!$E$2:$E$3001,MATCH(G2306,Pubs!$A$2:$A$3001,0)),""))</f>
        <v/>
      </c>
      <c r="L2306" s="29" t="str">
        <f aca="false">IF(A2306="","",IFERROR(1/(1/INDEX(Numéros!$C$2:$C$3001,MATCH(A2306&amp;"|"&amp;B2306,Numéros!$F$2:$F$3001,0))),""))</f>
        <v/>
      </c>
      <c r="M2306" s="27" t="str">
        <f aca="false">IF(OR(G2306="",G2306="?"),"",IFERROR(INDEX(Pubs!$D$2:$D$3001,MATCH(G2306,Pubs!$A$2:$A$3001,0))&amp;"",""))</f>
        <v/>
      </c>
      <c r="N2306" s="27" t="n">
        <f aca="false">N(N2305)+IF(AND(A2306&lt;&gt;"",OR(Recherche!$C$4="",A2306=Recherche!$C$4),OR(Recherche!$C$5="",B2306&amp;""=Recherche!$C$5&amp;""),OR(Recherche!$C$6="",IFERROR(YEAR(L2306),0)=Recherche!$C$6),OR(Recherche!$C$7="",ISNUMBER(SEARCH(Recherche!$C$7,H2306))),OR(Recherche!$C$8="",J2306=Recherche!$C$8),OR(Recherche!$C$9="",I2306=Recherche!$C$9),OR(Recherche!$C$10="",G2306&amp;""=Recherche!$C$10&amp;""),OR(Recherche!$C$11="",E2306=Recherche!$C$11),OR(Recherche!$C$12="",ISNUMBER(SEARCH(Recherche!$C$12,M2306&amp;" "&amp;F2306)))),1,0)</f>
        <v>8</v>
      </c>
    </row>
    <row r="2307" customFormat="false" ht="15" hidden="false" customHeight="false" outlineLevel="0" collapsed="false">
      <c r="A2307" s="19"/>
      <c r="B2307" s="19"/>
      <c r="C2307" s="19"/>
      <c r="D2307" s="19"/>
      <c r="E2307" s="22"/>
      <c r="F2307" s="19"/>
      <c r="G2307" s="26" t="str">
        <f aca="false">IF(D2307="","",IFERROR(VALUE(LEFT(D2307,FIND(" |",D2307&amp;" |")-1)),"?"))</f>
        <v/>
      </c>
      <c r="H2307" s="27" t="str">
        <f aca="false">IF(G2307="","",IF(G2307="?","⚠ pub inconnue",IFERROR(INDEX(Pubs!$B$2:$B$3001,MATCH(G2307,Pubs!$A$2:$A$3001,0))&amp;"","⚠ pub inconnue")))</f>
        <v/>
      </c>
      <c r="I2307" s="27" t="str">
        <f aca="false">IF(OR(G2307="",G2307="?"),"",IFERROR(INDEX(Pubs!$C$2:$C$3001,MATCH(G2307,Pubs!$A$2:$A$3001,0))&amp;"",""))</f>
        <v/>
      </c>
      <c r="J2307" s="27" t="str">
        <f aca="false">IF(OR(G2307="",G2307="?"),"",IFERROR(INDEX(Pubs!$G$2:$G$3001,MATCH(G2307,Pubs!$A$2:$A$3001,0))&amp;"",""))</f>
        <v/>
      </c>
      <c r="K2307" s="28" t="str">
        <f aca="false">IF(OR(G2307="",G2307="?"),"",IFERROR(INDEX(Pubs!$E$2:$E$3001,MATCH(G2307,Pubs!$A$2:$A$3001,0)),""))</f>
        <v/>
      </c>
      <c r="L2307" s="29" t="str">
        <f aca="false">IF(A2307="","",IFERROR(1/(1/INDEX(Numéros!$C$2:$C$3001,MATCH(A2307&amp;"|"&amp;B2307,Numéros!$F$2:$F$3001,0))),""))</f>
        <v/>
      </c>
      <c r="M2307" s="27" t="str">
        <f aca="false">IF(OR(G2307="",G2307="?"),"",IFERROR(INDEX(Pubs!$D$2:$D$3001,MATCH(G2307,Pubs!$A$2:$A$3001,0))&amp;"",""))</f>
        <v/>
      </c>
      <c r="N2307" s="27" t="n">
        <f aca="false">N(N2306)+IF(AND(A2307&lt;&gt;"",OR(Recherche!$C$4="",A2307=Recherche!$C$4),OR(Recherche!$C$5="",B2307&amp;""=Recherche!$C$5&amp;""),OR(Recherche!$C$6="",IFERROR(YEAR(L2307),0)=Recherche!$C$6),OR(Recherche!$C$7="",ISNUMBER(SEARCH(Recherche!$C$7,H2307))),OR(Recherche!$C$8="",J2307=Recherche!$C$8),OR(Recherche!$C$9="",I2307=Recherche!$C$9),OR(Recherche!$C$10="",G2307&amp;""=Recherche!$C$10&amp;""),OR(Recherche!$C$11="",E2307=Recherche!$C$11),OR(Recherche!$C$12="",ISNUMBER(SEARCH(Recherche!$C$12,M2307&amp;" "&amp;F2307)))),1,0)</f>
        <v>8</v>
      </c>
    </row>
    <row r="2308" customFormat="false" ht="15" hidden="false" customHeight="false" outlineLevel="0" collapsed="false">
      <c r="A2308" s="19"/>
      <c r="B2308" s="19"/>
      <c r="C2308" s="19"/>
      <c r="D2308" s="19"/>
      <c r="E2308" s="22"/>
      <c r="F2308" s="19"/>
      <c r="G2308" s="26" t="str">
        <f aca="false">IF(D2308="","",IFERROR(VALUE(LEFT(D2308,FIND(" |",D2308&amp;" |")-1)),"?"))</f>
        <v/>
      </c>
      <c r="H2308" s="27" t="str">
        <f aca="false">IF(G2308="","",IF(G2308="?","⚠ pub inconnue",IFERROR(INDEX(Pubs!$B$2:$B$3001,MATCH(G2308,Pubs!$A$2:$A$3001,0))&amp;"","⚠ pub inconnue")))</f>
        <v/>
      </c>
      <c r="I2308" s="27" t="str">
        <f aca="false">IF(OR(G2308="",G2308="?"),"",IFERROR(INDEX(Pubs!$C$2:$C$3001,MATCH(G2308,Pubs!$A$2:$A$3001,0))&amp;"",""))</f>
        <v/>
      </c>
      <c r="J2308" s="27" t="str">
        <f aca="false">IF(OR(G2308="",G2308="?"),"",IFERROR(INDEX(Pubs!$G$2:$G$3001,MATCH(G2308,Pubs!$A$2:$A$3001,0))&amp;"",""))</f>
        <v/>
      </c>
      <c r="K2308" s="28" t="str">
        <f aca="false">IF(OR(G2308="",G2308="?"),"",IFERROR(INDEX(Pubs!$E$2:$E$3001,MATCH(G2308,Pubs!$A$2:$A$3001,0)),""))</f>
        <v/>
      </c>
      <c r="L2308" s="29" t="str">
        <f aca="false">IF(A2308="","",IFERROR(1/(1/INDEX(Numéros!$C$2:$C$3001,MATCH(A2308&amp;"|"&amp;B2308,Numéros!$F$2:$F$3001,0))),""))</f>
        <v/>
      </c>
      <c r="M2308" s="27" t="str">
        <f aca="false">IF(OR(G2308="",G2308="?"),"",IFERROR(INDEX(Pubs!$D$2:$D$3001,MATCH(G2308,Pubs!$A$2:$A$3001,0))&amp;"",""))</f>
        <v/>
      </c>
      <c r="N2308" s="27" t="n">
        <f aca="false">N(N2307)+IF(AND(A2308&lt;&gt;"",OR(Recherche!$C$4="",A2308=Recherche!$C$4),OR(Recherche!$C$5="",B2308&amp;""=Recherche!$C$5&amp;""),OR(Recherche!$C$6="",IFERROR(YEAR(L2308),0)=Recherche!$C$6),OR(Recherche!$C$7="",ISNUMBER(SEARCH(Recherche!$C$7,H2308))),OR(Recherche!$C$8="",J2308=Recherche!$C$8),OR(Recherche!$C$9="",I2308=Recherche!$C$9),OR(Recherche!$C$10="",G2308&amp;""=Recherche!$C$10&amp;""),OR(Recherche!$C$11="",E2308=Recherche!$C$11),OR(Recherche!$C$12="",ISNUMBER(SEARCH(Recherche!$C$12,M2308&amp;" "&amp;F2308)))),1,0)</f>
        <v>8</v>
      </c>
    </row>
    <row r="2309" customFormat="false" ht="15" hidden="false" customHeight="false" outlineLevel="0" collapsed="false">
      <c r="A2309" s="19"/>
      <c r="B2309" s="19"/>
      <c r="C2309" s="19"/>
      <c r="D2309" s="19"/>
      <c r="E2309" s="22"/>
      <c r="F2309" s="19"/>
      <c r="G2309" s="26" t="str">
        <f aca="false">IF(D2309="","",IFERROR(VALUE(LEFT(D2309,FIND(" |",D2309&amp;" |")-1)),"?"))</f>
        <v/>
      </c>
      <c r="H2309" s="27" t="str">
        <f aca="false">IF(G2309="","",IF(G2309="?","⚠ pub inconnue",IFERROR(INDEX(Pubs!$B$2:$B$3001,MATCH(G2309,Pubs!$A$2:$A$3001,0))&amp;"","⚠ pub inconnue")))</f>
        <v/>
      </c>
      <c r="I2309" s="27" t="str">
        <f aca="false">IF(OR(G2309="",G2309="?"),"",IFERROR(INDEX(Pubs!$C$2:$C$3001,MATCH(G2309,Pubs!$A$2:$A$3001,0))&amp;"",""))</f>
        <v/>
      </c>
      <c r="J2309" s="27" t="str">
        <f aca="false">IF(OR(G2309="",G2309="?"),"",IFERROR(INDEX(Pubs!$G$2:$G$3001,MATCH(G2309,Pubs!$A$2:$A$3001,0))&amp;"",""))</f>
        <v/>
      </c>
      <c r="K2309" s="28" t="str">
        <f aca="false">IF(OR(G2309="",G2309="?"),"",IFERROR(INDEX(Pubs!$E$2:$E$3001,MATCH(G2309,Pubs!$A$2:$A$3001,0)),""))</f>
        <v/>
      </c>
      <c r="L2309" s="29" t="str">
        <f aca="false">IF(A2309="","",IFERROR(1/(1/INDEX(Numéros!$C$2:$C$3001,MATCH(A2309&amp;"|"&amp;B2309,Numéros!$F$2:$F$3001,0))),""))</f>
        <v/>
      </c>
      <c r="M2309" s="27" t="str">
        <f aca="false">IF(OR(G2309="",G2309="?"),"",IFERROR(INDEX(Pubs!$D$2:$D$3001,MATCH(G2309,Pubs!$A$2:$A$3001,0))&amp;"",""))</f>
        <v/>
      </c>
      <c r="N2309" s="27" t="n">
        <f aca="false">N(N2308)+IF(AND(A2309&lt;&gt;"",OR(Recherche!$C$4="",A2309=Recherche!$C$4),OR(Recherche!$C$5="",B2309&amp;""=Recherche!$C$5&amp;""),OR(Recherche!$C$6="",IFERROR(YEAR(L2309),0)=Recherche!$C$6),OR(Recherche!$C$7="",ISNUMBER(SEARCH(Recherche!$C$7,H2309))),OR(Recherche!$C$8="",J2309=Recherche!$C$8),OR(Recherche!$C$9="",I2309=Recherche!$C$9),OR(Recherche!$C$10="",G2309&amp;""=Recherche!$C$10&amp;""),OR(Recherche!$C$11="",E2309=Recherche!$C$11),OR(Recherche!$C$12="",ISNUMBER(SEARCH(Recherche!$C$12,M2309&amp;" "&amp;F2309)))),1,0)</f>
        <v>8</v>
      </c>
    </row>
    <row r="2310" customFormat="false" ht="15" hidden="false" customHeight="false" outlineLevel="0" collapsed="false">
      <c r="A2310" s="19"/>
      <c r="B2310" s="19"/>
      <c r="C2310" s="19"/>
      <c r="D2310" s="19"/>
      <c r="E2310" s="22"/>
      <c r="F2310" s="19"/>
      <c r="G2310" s="26" t="str">
        <f aca="false">IF(D2310="","",IFERROR(VALUE(LEFT(D2310,FIND(" |",D2310&amp;" |")-1)),"?"))</f>
        <v/>
      </c>
      <c r="H2310" s="27" t="str">
        <f aca="false">IF(G2310="","",IF(G2310="?","⚠ pub inconnue",IFERROR(INDEX(Pubs!$B$2:$B$3001,MATCH(G2310,Pubs!$A$2:$A$3001,0))&amp;"","⚠ pub inconnue")))</f>
        <v/>
      </c>
      <c r="I2310" s="27" t="str">
        <f aca="false">IF(OR(G2310="",G2310="?"),"",IFERROR(INDEX(Pubs!$C$2:$C$3001,MATCH(G2310,Pubs!$A$2:$A$3001,0))&amp;"",""))</f>
        <v/>
      </c>
      <c r="J2310" s="27" t="str">
        <f aca="false">IF(OR(G2310="",G2310="?"),"",IFERROR(INDEX(Pubs!$G$2:$G$3001,MATCH(G2310,Pubs!$A$2:$A$3001,0))&amp;"",""))</f>
        <v/>
      </c>
      <c r="K2310" s="28" t="str">
        <f aca="false">IF(OR(G2310="",G2310="?"),"",IFERROR(INDEX(Pubs!$E$2:$E$3001,MATCH(G2310,Pubs!$A$2:$A$3001,0)),""))</f>
        <v/>
      </c>
      <c r="L2310" s="29" t="str">
        <f aca="false">IF(A2310="","",IFERROR(1/(1/INDEX(Numéros!$C$2:$C$3001,MATCH(A2310&amp;"|"&amp;B2310,Numéros!$F$2:$F$3001,0))),""))</f>
        <v/>
      </c>
      <c r="M2310" s="27" t="str">
        <f aca="false">IF(OR(G2310="",G2310="?"),"",IFERROR(INDEX(Pubs!$D$2:$D$3001,MATCH(G2310,Pubs!$A$2:$A$3001,0))&amp;"",""))</f>
        <v/>
      </c>
      <c r="N2310" s="27" t="n">
        <f aca="false">N(N2309)+IF(AND(A2310&lt;&gt;"",OR(Recherche!$C$4="",A2310=Recherche!$C$4),OR(Recherche!$C$5="",B2310&amp;""=Recherche!$C$5&amp;""),OR(Recherche!$C$6="",IFERROR(YEAR(L2310),0)=Recherche!$C$6),OR(Recherche!$C$7="",ISNUMBER(SEARCH(Recherche!$C$7,H2310))),OR(Recherche!$C$8="",J2310=Recherche!$C$8),OR(Recherche!$C$9="",I2310=Recherche!$C$9),OR(Recherche!$C$10="",G2310&amp;""=Recherche!$C$10&amp;""),OR(Recherche!$C$11="",E2310=Recherche!$C$11),OR(Recherche!$C$12="",ISNUMBER(SEARCH(Recherche!$C$12,M2310&amp;" "&amp;F2310)))),1,0)</f>
        <v>8</v>
      </c>
    </row>
    <row r="2311" customFormat="false" ht="15" hidden="false" customHeight="false" outlineLevel="0" collapsed="false">
      <c r="A2311" s="19"/>
      <c r="B2311" s="19"/>
      <c r="C2311" s="19"/>
      <c r="D2311" s="19"/>
      <c r="E2311" s="22"/>
      <c r="F2311" s="19"/>
      <c r="G2311" s="26" t="str">
        <f aca="false">IF(D2311="","",IFERROR(VALUE(LEFT(D2311,FIND(" |",D2311&amp;" |")-1)),"?"))</f>
        <v/>
      </c>
      <c r="H2311" s="27" t="str">
        <f aca="false">IF(G2311="","",IF(G2311="?","⚠ pub inconnue",IFERROR(INDEX(Pubs!$B$2:$B$3001,MATCH(G2311,Pubs!$A$2:$A$3001,0))&amp;"","⚠ pub inconnue")))</f>
        <v/>
      </c>
      <c r="I2311" s="27" t="str">
        <f aca="false">IF(OR(G2311="",G2311="?"),"",IFERROR(INDEX(Pubs!$C$2:$C$3001,MATCH(G2311,Pubs!$A$2:$A$3001,0))&amp;"",""))</f>
        <v/>
      </c>
      <c r="J2311" s="27" t="str">
        <f aca="false">IF(OR(G2311="",G2311="?"),"",IFERROR(INDEX(Pubs!$G$2:$G$3001,MATCH(G2311,Pubs!$A$2:$A$3001,0))&amp;"",""))</f>
        <v/>
      </c>
      <c r="K2311" s="28" t="str">
        <f aca="false">IF(OR(G2311="",G2311="?"),"",IFERROR(INDEX(Pubs!$E$2:$E$3001,MATCH(G2311,Pubs!$A$2:$A$3001,0)),""))</f>
        <v/>
      </c>
      <c r="L2311" s="29" t="str">
        <f aca="false">IF(A2311="","",IFERROR(1/(1/INDEX(Numéros!$C$2:$C$3001,MATCH(A2311&amp;"|"&amp;B2311,Numéros!$F$2:$F$3001,0))),""))</f>
        <v/>
      </c>
      <c r="M2311" s="27" t="str">
        <f aca="false">IF(OR(G2311="",G2311="?"),"",IFERROR(INDEX(Pubs!$D$2:$D$3001,MATCH(G2311,Pubs!$A$2:$A$3001,0))&amp;"",""))</f>
        <v/>
      </c>
      <c r="N2311" s="27" t="n">
        <f aca="false">N(N2310)+IF(AND(A2311&lt;&gt;"",OR(Recherche!$C$4="",A2311=Recherche!$C$4),OR(Recherche!$C$5="",B2311&amp;""=Recherche!$C$5&amp;""),OR(Recherche!$C$6="",IFERROR(YEAR(L2311),0)=Recherche!$C$6),OR(Recherche!$C$7="",ISNUMBER(SEARCH(Recherche!$C$7,H2311))),OR(Recherche!$C$8="",J2311=Recherche!$C$8),OR(Recherche!$C$9="",I2311=Recherche!$C$9),OR(Recherche!$C$10="",G2311&amp;""=Recherche!$C$10&amp;""),OR(Recherche!$C$11="",E2311=Recherche!$C$11),OR(Recherche!$C$12="",ISNUMBER(SEARCH(Recherche!$C$12,M2311&amp;" "&amp;F2311)))),1,0)</f>
        <v>8</v>
      </c>
    </row>
    <row r="2312" customFormat="false" ht="15" hidden="false" customHeight="false" outlineLevel="0" collapsed="false">
      <c r="A2312" s="19"/>
      <c r="B2312" s="19"/>
      <c r="C2312" s="19"/>
      <c r="D2312" s="19"/>
      <c r="E2312" s="22"/>
      <c r="F2312" s="19"/>
      <c r="G2312" s="26" t="str">
        <f aca="false">IF(D2312="","",IFERROR(VALUE(LEFT(D2312,FIND(" |",D2312&amp;" |")-1)),"?"))</f>
        <v/>
      </c>
      <c r="H2312" s="27" t="str">
        <f aca="false">IF(G2312="","",IF(G2312="?","⚠ pub inconnue",IFERROR(INDEX(Pubs!$B$2:$B$3001,MATCH(G2312,Pubs!$A$2:$A$3001,0))&amp;"","⚠ pub inconnue")))</f>
        <v/>
      </c>
      <c r="I2312" s="27" t="str">
        <f aca="false">IF(OR(G2312="",G2312="?"),"",IFERROR(INDEX(Pubs!$C$2:$C$3001,MATCH(G2312,Pubs!$A$2:$A$3001,0))&amp;"",""))</f>
        <v/>
      </c>
      <c r="J2312" s="27" t="str">
        <f aca="false">IF(OR(G2312="",G2312="?"),"",IFERROR(INDEX(Pubs!$G$2:$G$3001,MATCH(G2312,Pubs!$A$2:$A$3001,0))&amp;"",""))</f>
        <v/>
      </c>
      <c r="K2312" s="28" t="str">
        <f aca="false">IF(OR(G2312="",G2312="?"),"",IFERROR(INDEX(Pubs!$E$2:$E$3001,MATCH(G2312,Pubs!$A$2:$A$3001,0)),""))</f>
        <v/>
      </c>
      <c r="L2312" s="29" t="str">
        <f aca="false">IF(A2312="","",IFERROR(1/(1/INDEX(Numéros!$C$2:$C$3001,MATCH(A2312&amp;"|"&amp;B2312,Numéros!$F$2:$F$3001,0))),""))</f>
        <v/>
      </c>
      <c r="M2312" s="27" t="str">
        <f aca="false">IF(OR(G2312="",G2312="?"),"",IFERROR(INDEX(Pubs!$D$2:$D$3001,MATCH(G2312,Pubs!$A$2:$A$3001,0))&amp;"",""))</f>
        <v/>
      </c>
      <c r="N2312" s="27" t="n">
        <f aca="false">N(N2311)+IF(AND(A2312&lt;&gt;"",OR(Recherche!$C$4="",A2312=Recherche!$C$4),OR(Recherche!$C$5="",B2312&amp;""=Recherche!$C$5&amp;""),OR(Recherche!$C$6="",IFERROR(YEAR(L2312),0)=Recherche!$C$6),OR(Recherche!$C$7="",ISNUMBER(SEARCH(Recherche!$C$7,H2312))),OR(Recherche!$C$8="",J2312=Recherche!$C$8),OR(Recherche!$C$9="",I2312=Recherche!$C$9),OR(Recherche!$C$10="",G2312&amp;""=Recherche!$C$10&amp;""),OR(Recherche!$C$11="",E2312=Recherche!$C$11),OR(Recherche!$C$12="",ISNUMBER(SEARCH(Recherche!$C$12,M2312&amp;" "&amp;F2312)))),1,0)</f>
        <v>8</v>
      </c>
    </row>
    <row r="2313" customFormat="false" ht="15" hidden="false" customHeight="false" outlineLevel="0" collapsed="false">
      <c r="A2313" s="19"/>
      <c r="B2313" s="19"/>
      <c r="C2313" s="19"/>
      <c r="D2313" s="19"/>
      <c r="E2313" s="22"/>
      <c r="F2313" s="19"/>
      <c r="G2313" s="26" t="str">
        <f aca="false">IF(D2313="","",IFERROR(VALUE(LEFT(D2313,FIND(" |",D2313&amp;" |")-1)),"?"))</f>
        <v/>
      </c>
      <c r="H2313" s="27" t="str">
        <f aca="false">IF(G2313="","",IF(G2313="?","⚠ pub inconnue",IFERROR(INDEX(Pubs!$B$2:$B$3001,MATCH(G2313,Pubs!$A$2:$A$3001,0))&amp;"","⚠ pub inconnue")))</f>
        <v/>
      </c>
      <c r="I2313" s="27" t="str">
        <f aca="false">IF(OR(G2313="",G2313="?"),"",IFERROR(INDEX(Pubs!$C$2:$C$3001,MATCH(G2313,Pubs!$A$2:$A$3001,0))&amp;"",""))</f>
        <v/>
      </c>
      <c r="J2313" s="27" t="str">
        <f aca="false">IF(OR(G2313="",G2313="?"),"",IFERROR(INDEX(Pubs!$G$2:$G$3001,MATCH(G2313,Pubs!$A$2:$A$3001,0))&amp;"",""))</f>
        <v/>
      </c>
      <c r="K2313" s="28" t="str">
        <f aca="false">IF(OR(G2313="",G2313="?"),"",IFERROR(INDEX(Pubs!$E$2:$E$3001,MATCH(G2313,Pubs!$A$2:$A$3001,0)),""))</f>
        <v/>
      </c>
      <c r="L2313" s="29" t="str">
        <f aca="false">IF(A2313="","",IFERROR(1/(1/INDEX(Numéros!$C$2:$C$3001,MATCH(A2313&amp;"|"&amp;B2313,Numéros!$F$2:$F$3001,0))),""))</f>
        <v/>
      </c>
      <c r="M2313" s="27" t="str">
        <f aca="false">IF(OR(G2313="",G2313="?"),"",IFERROR(INDEX(Pubs!$D$2:$D$3001,MATCH(G2313,Pubs!$A$2:$A$3001,0))&amp;"",""))</f>
        <v/>
      </c>
      <c r="N2313" s="27" t="n">
        <f aca="false">N(N2312)+IF(AND(A2313&lt;&gt;"",OR(Recherche!$C$4="",A2313=Recherche!$C$4),OR(Recherche!$C$5="",B2313&amp;""=Recherche!$C$5&amp;""),OR(Recherche!$C$6="",IFERROR(YEAR(L2313),0)=Recherche!$C$6),OR(Recherche!$C$7="",ISNUMBER(SEARCH(Recherche!$C$7,H2313))),OR(Recherche!$C$8="",J2313=Recherche!$C$8),OR(Recherche!$C$9="",I2313=Recherche!$C$9),OR(Recherche!$C$10="",G2313&amp;""=Recherche!$C$10&amp;""),OR(Recherche!$C$11="",E2313=Recherche!$C$11),OR(Recherche!$C$12="",ISNUMBER(SEARCH(Recherche!$C$12,M2313&amp;" "&amp;F2313)))),1,0)</f>
        <v>8</v>
      </c>
    </row>
    <row r="2314" customFormat="false" ht="15" hidden="false" customHeight="false" outlineLevel="0" collapsed="false">
      <c r="A2314" s="19"/>
      <c r="B2314" s="19"/>
      <c r="C2314" s="19"/>
      <c r="D2314" s="19"/>
      <c r="E2314" s="22"/>
      <c r="F2314" s="19"/>
      <c r="G2314" s="26" t="str">
        <f aca="false">IF(D2314="","",IFERROR(VALUE(LEFT(D2314,FIND(" |",D2314&amp;" |")-1)),"?"))</f>
        <v/>
      </c>
      <c r="H2314" s="27" t="str">
        <f aca="false">IF(G2314="","",IF(G2314="?","⚠ pub inconnue",IFERROR(INDEX(Pubs!$B$2:$B$3001,MATCH(G2314,Pubs!$A$2:$A$3001,0))&amp;"","⚠ pub inconnue")))</f>
        <v/>
      </c>
      <c r="I2314" s="27" t="str">
        <f aca="false">IF(OR(G2314="",G2314="?"),"",IFERROR(INDEX(Pubs!$C$2:$C$3001,MATCH(G2314,Pubs!$A$2:$A$3001,0))&amp;"",""))</f>
        <v/>
      </c>
      <c r="J2314" s="27" t="str">
        <f aca="false">IF(OR(G2314="",G2314="?"),"",IFERROR(INDEX(Pubs!$G$2:$G$3001,MATCH(G2314,Pubs!$A$2:$A$3001,0))&amp;"",""))</f>
        <v/>
      </c>
      <c r="K2314" s="28" t="str">
        <f aca="false">IF(OR(G2314="",G2314="?"),"",IFERROR(INDEX(Pubs!$E$2:$E$3001,MATCH(G2314,Pubs!$A$2:$A$3001,0)),""))</f>
        <v/>
      </c>
      <c r="L2314" s="29" t="str">
        <f aca="false">IF(A2314="","",IFERROR(1/(1/INDEX(Numéros!$C$2:$C$3001,MATCH(A2314&amp;"|"&amp;B2314,Numéros!$F$2:$F$3001,0))),""))</f>
        <v/>
      </c>
      <c r="M2314" s="27" t="str">
        <f aca="false">IF(OR(G2314="",G2314="?"),"",IFERROR(INDEX(Pubs!$D$2:$D$3001,MATCH(G2314,Pubs!$A$2:$A$3001,0))&amp;"",""))</f>
        <v/>
      </c>
      <c r="N2314" s="27" t="n">
        <f aca="false">N(N2313)+IF(AND(A2314&lt;&gt;"",OR(Recherche!$C$4="",A2314=Recherche!$C$4),OR(Recherche!$C$5="",B2314&amp;""=Recherche!$C$5&amp;""),OR(Recherche!$C$6="",IFERROR(YEAR(L2314),0)=Recherche!$C$6),OR(Recherche!$C$7="",ISNUMBER(SEARCH(Recherche!$C$7,H2314))),OR(Recherche!$C$8="",J2314=Recherche!$C$8),OR(Recherche!$C$9="",I2314=Recherche!$C$9),OR(Recherche!$C$10="",G2314&amp;""=Recherche!$C$10&amp;""),OR(Recherche!$C$11="",E2314=Recherche!$C$11),OR(Recherche!$C$12="",ISNUMBER(SEARCH(Recherche!$C$12,M2314&amp;" "&amp;F2314)))),1,0)</f>
        <v>8</v>
      </c>
    </row>
    <row r="2315" customFormat="false" ht="15" hidden="false" customHeight="false" outlineLevel="0" collapsed="false">
      <c r="A2315" s="19"/>
      <c r="B2315" s="19"/>
      <c r="C2315" s="19"/>
      <c r="D2315" s="19"/>
      <c r="E2315" s="22"/>
      <c r="F2315" s="19"/>
      <c r="G2315" s="26" t="str">
        <f aca="false">IF(D2315="","",IFERROR(VALUE(LEFT(D2315,FIND(" |",D2315&amp;" |")-1)),"?"))</f>
        <v/>
      </c>
      <c r="H2315" s="27" t="str">
        <f aca="false">IF(G2315="","",IF(G2315="?","⚠ pub inconnue",IFERROR(INDEX(Pubs!$B$2:$B$3001,MATCH(G2315,Pubs!$A$2:$A$3001,0))&amp;"","⚠ pub inconnue")))</f>
        <v/>
      </c>
      <c r="I2315" s="27" t="str">
        <f aca="false">IF(OR(G2315="",G2315="?"),"",IFERROR(INDEX(Pubs!$C$2:$C$3001,MATCH(G2315,Pubs!$A$2:$A$3001,0))&amp;"",""))</f>
        <v/>
      </c>
      <c r="J2315" s="27" t="str">
        <f aca="false">IF(OR(G2315="",G2315="?"),"",IFERROR(INDEX(Pubs!$G$2:$G$3001,MATCH(G2315,Pubs!$A$2:$A$3001,0))&amp;"",""))</f>
        <v/>
      </c>
      <c r="K2315" s="28" t="str">
        <f aca="false">IF(OR(G2315="",G2315="?"),"",IFERROR(INDEX(Pubs!$E$2:$E$3001,MATCH(G2315,Pubs!$A$2:$A$3001,0)),""))</f>
        <v/>
      </c>
      <c r="L2315" s="29" t="str">
        <f aca="false">IF(A2315="","",IFERROR(1/(1/INDEX(Numéros!$C$2:$C$3001,MATCH(A2315&amp;"|"&amp;B2315,Numéros!$F$2:$F$3001,0))),""))</f>
        <v/>
      </c>
      <c r="M2315" s="27" t="str">
        <f aca="false">IF(OR(G2315="",G2315="?"),"",IFERROR(INDEX(Pubs!$D$2:$D$3001,MATCH(G2315,Pubs!$A$2:$A$3001,0))&amp;"",""))</f>
        <v/>
      </c>
      <c r="N2315" s="27" t="n">
        <f aca="false">N(N2314)+IF(AND(A2315&lt;&gt;"",OR(Recherche!$C$4="",A2315=Recherche!$C$4),OR(Recherche!$C$5="",B2315&amp;""=Recherche!$C$5&amp;""),OR(Recherche!$C$6="",IFERROR(YEAR(L2315),0)=Recherche!$C$6),OR(Recherche!$C$7="",ISNUMBER(SEARCH(Recherche!$C$7,H2315))),OR(Recherche!$C$8="",J2315=Recherche!$C$8),OR(Recherche!$C$9="",I2315=Recherche!$C$9),OR(Recherche!$C$10="",G2315&amp;""=Recherche!$C$10&amp;""),OR(Recherche!$C$11="",E2315=Recherche!$C$11),OR(Recherche!$C$12="",ISNUMBER(SEARCH(Recherche!$C$12,M2315&amp;" "&amp;F2315)))),1,0)</f>
        <v>8</v>
      </c>
    </row>
    <row r="2316" customFormat="false" ht="15" hidden="false" customHeight="false" outlineLevel="0" collapsed="false">
      <c r="A2316" s="19"/>
      <c r="B2316" s="19"/>
      <c r="C2316" s="19"/>
      <c r="D2316" s="19"/>
      <c r="E2316" s="22"/>
      <c r="F2316" s="19"/>
      <c r="G2316" s="26" t="str">
        <f aca="false">IF(D2316="","",IFERROR(VALUE(LEFT(D2316,FIND(" |",D2316&amp;" |")-1)),"?"))</f>
        <v/>
      </c>
      <c r="H2316" s="27" t="str">
        <f aca="false">IF(G2316="","",IF(G2316="?","⚠ pub inconnue",IFERROR(INDEX(Pubs!$B$2:$B$3001,MATCH(G2316,Pubs!$A$2:$A$3001,0))&amp;"","⚠ pub inconnue")))</f>
        <v/>
      </c>
      <c r="I2316" s="27" t="str">
        <f aca="false">IF(OR(G2316="",G2316="?"),"",IFERROR(INDEX(Pubs!$C$2:$C$3001,MATCH(G2316,Pubs!$A$2:$A$3001,0))&amp;"",""))</f>
        <v/>
      </c>
      <c r="J2316" s="27" t="str">
        <f aca="false">IF(OR(G2316="",G2316="?"),"",IFERROR(INDEX(Pubs!$G$2:$G$3001,MATCH(G2316,Pubs!$A$2:$A$3001,0))&amp;"",""))</f>
        <v/>
      </c>
      <c r="K2316" s="28" t="str">
        <f aca="false">IF(OR(G2316="",G2316="?"),"",IFERROR(INDEX(Pubs!$E$2:$E$3001,MATCH(G2316,Pubs!$A$2:$A$3001,0)),""))</f>
        <v/>
      </c>
      <c r="L2316" s="29" t="str">
        <f aca="false">IF(A2316="","",IFERROR(1/(1/INDEX(Numéros!$C$2:$C$3001,MATCH(A2316&amp;"|"&amp;B2316,Numéros!$F$2:$F$3001,0))),""))</f>
        <v/>
      </c>
      <c r="M2316" s="27" t="str">
        <f aca="false">IF(OR(G2316="",G2316="?"),"",IFERROR(INDEX(Pubs!$D$2:$D$3001,MATCH(G2316,Pubs!$A$2:$A$3001,0))&amp;"",""))</f>
        <v/>
      </c>
      <c r="N2316" s="27" t="n">
        <f aca="false">N(N2315)+IF(AND(A2316&lt;&gt;"",OR(Recherche!$C$4="",A2316=Recherche!$C$4),OR(Recherche!$C$5="",B2316&amp;""=Recherche!$C$5&amp;""),OR(Recherche!$C$6="",IFERROR(YEAR(L2316),0)=Recherche!$C$6),OR(Recherche!$C$7="",ISNUMBER(SEARCH(Recherche!$C$7,H2316))),OR(Recherche!$C$8="",J2316=Recherche!$C$8),OR(Recherche!$C$9="",I2316=Recherche!$C$9),OR(Recherche!$C$10="",G2316&amp;""=Recherche!$C$10&amp;""),OR(Recherche!$C$11="",E2316=Recherche!$C$11),OR(Recherche!$C$12="",ISNUMBER(SEARCH(Recherche!$C$12,M2316&amp;" "&amp;F2316)))),1,0)</f>
        <v>8</v>
      </c>
    </row>
    <row r="2317" customFormat="false" ht="15" hidden="false" customHeight="false" outlineLevel="0" collapsed="false">
      <c r="A2317" s="19"/>
      <c r="B2317" s="19"/>
      <c r="C2317" s="19"/>
      <c r="D2317" s="19"/>
      <c r="E2317" s="22"/>
      <c r="F2317" s="19"/>
      <c r="G2317" s="26" t="str">
        <f aca="false">IF(D2317="","",IFERROR(VALUE(LEFT(D2317,FIND(" |",D2317&amp;" |")-1)),"?"))</f>
        <v/>
      </c>
      <c r="H2317" s="27" t="str">
        <f aca="false">IF(G2317="","",IF(G2317="?","⚠ pub inconnue",IFERROR(INDEX(Pubs!$B$2:$B$3001,MATCH(G2317,Pubs!$A$2:$A$3001,0))&amp;"","⚠ pub inconnue")))</f>
        <v/>
      </c>
      <c r="I2317" s="27" t="str">
        <f aca="false">IF(OR(G2317="",G2317="?"),"",IFERROR(INDEX(Pubs!$C$2:$C$3001,MATCH(G2317,Pubs!$A$2:$A$3001,0))&amp;"",""))</f>
        <v/>
      </c>
      <c r="J2317" s="27" t="str">
        <f aca="false">IF(OR(G2317="",G2317="?"),"",IFERROR(INDEX(Pubs!$G$2:$G$3001,MATCH(G2317,Pubs!$A$2:$A$3001,0))&amp;"",""))</f>
        <v/>
      </c>
      <c r="K2317" s="28" t="str">
        <f aca="false">IF(OR(G2317="",G2317="?"),"",IFERROR(INDEX(Pubs!$E$2:$E$3001,MATCH(G2317,Pubs!$A$2:$A$3001,0)),""))</f>
        <v/>
      </c>
      <c r="L2317" s="29" t="str">
        <f aca="false">IF(A2317="","",IFERROR(1/(1/INDEX(Numéros!$C$2:$C$3001,MATCH(A2317&amp;"|"&amp;B2317,Numéros!$F$2:$F$3001,0))),""))</f>
        <v/>
      </c>
      <c r="M2317" s="27" t="str">
        <f aca="false">IF(OR(G2317="",G2317="?"),"",IFERROR(INDEX(Pubs!$D$2:$D$3001,MATCH(G2317,Pubs!$A$2:$A$3001,0))&amp;"",""))</f>
        <v/>
      </c>
      <c r="N2317" s="27" t="n">
        <f aca="false">N(N2316)+IF(AND(A2317&lt;&gt;"",OR(Recherche!$C$4="",A2317=Recherche!$C$4),OR(Recherche!$C$5="",B2317&amp;""=Recherche!$C$5&amp;""),OR(Recherche!$C$6="",IFERROR(YEAR(L2317),0)=Recherche!$C$6),OR(Recherche!$C$7="",ISNUMBER(SEARCH(Recherche!$C$7,H2317))),OR(Recherche!$C$8="",J2317=Recherche!$C$8),OR(Recherche!$C$9="",I2317=Recherche!$C$9),OR(Recherche!$C$10="",G2317&amp;""=Recherche!$C$10&amp;""),OR(Recherche!$C$11="",E2317=Recherche!$C$11),OR(Recherche!$C$12="",ISNUMBER(SEARCH(Recherche!$C$12,M2317&amp;" "&amp;F2317)))),1,0)</f>
        <v>8</v>
      </c>
    </row>
    <row r="2318" customFormat="false" ht="15" hidden="false" customHeight="false" outlineLevel="0" collapsed="false">
      <c r="A2318" s="19"/>
      <c r="B2318" s="19"/>
      <c r="C2318" s="19"/>
      <c r="D2318" s="19"/>
      <c r="E2318" s="22"/>
      <c r="F2318" s="19"/>
      <c r="G2318" s="26" t="str">
        <f aca="false">IF(D2318="","",IFERROR(VALUE(LEFT(D2318,FIND(" |",D2318&amp;" |")-1)),"?"))</f>
        <v/>
      </c>
      <c r="H2318" s="27" t="str">
        <f aca="false">IF(G2318="","",IF(G2318="?","⚠ pub inconnue",IFERROR(INDEX(Pubs!$B$2:$B$3001,MATCH(G2318,Pubs!$A$2:$A$3001,0))&amp;"","⚠ pub inconnue")))</f>
        <v/>
      </c>
      <c r="I2318" s="27" t="str">
        <f aca="false">IF(OR(G2318="",G2318="?"),"",IFERROR(INDEX(Pubs!$C$2:$C$3001,MATCH(G2318,Pubs!$A$2:$A$3001,0))&amp;"",""))</f>
        <v/>
      </c>
      <c r="J2318" s="27" t="str">
        <f aca="false">IF(OR(G2318="",G2318="?"),"",IFERROR(INDEX(Pubs!$G$2:$G$3001,MATCH(G2318,Pubs!$A$2:$A$3001,0))&amp;"",""))</f>
        <v/>
      </c>
      <c r="K2318" s="28" t="str">
        <f aca="false">IF(OR(G2318="",G2318="?"),"",IFERROR(INDEX(Pubs!$E$2:$E$3001,MATCH(G2318,Pubs!$A$2:$A$3001,0)),""))</f>
        <v/>
      </c>
      <c r="L2318" s="29" t="str">
        <f aca="false">IF(A2318="","",IFERROR(1/(1/INDEX(Numéros!$C$2:$C$3001,MATCH(A2318&amp;"|"&amp;B2318,Numéros!$F$2:$F$3001,0))),""))</f>
        <v/>
      </c>
      <c r="M2318" s="27" t="str">
        <f aca="false">IF(OR(G2318="",G2318="?"),"",IFERROR(INDEX(Pubs!$D$2:$D$3001,MATCH(G2318,Pubs!$A$2:$A$3001,0))&amp;"",""))</f>
        <v/>
      </c>
      <c r="N2318" s="27" t="n">
        <f aca="false">N(N2317)+IF(AND(A2318&lt;&gt;"",OR(Recherche!$C$4="",A2318=Recherche!$C$4),OR(Recherche!$C$5="",B2318&amp;""=Recherche!$C$5&amp;""),OR(Recherche!$C$6="",IFERROR(YEAR(L2318),0)=Recherche!$C$6),OR(Recherche!$C$7="",ISNUMBER(SEARCH(Recherche!$C$7,H2318))),OR(Recherche!$C$8="",J2318=Recherche!$C$8),OR(Recherche!$C$9="",I2318=Recherche!$C$9),OR(Recherche!$C$10="",G2318&amp;""=Recherche!$C$10&amp;""),OR(Recherche!$C$11="",E2318=Recherche!$C$11),OR(Recherche!$C$12="",ISNUMBER(SEARCH(Recherche!$C$12,M2318&amp;" "&amp;F2318)))),1,0)</f>
        <v>8</v>
      </c>
    </row>
    <row r="2319" customFormat="false" ht="15" hidden="false" customHeight="false" outlineLevel="0" collapsed="false">
      <c r="A2319" s="19"/>
      <c r="B2319" s="19"/>
      <c r="C2319" s="19"/>
      <c r="D2319" s="19"/>
      <c r="E2319" s="22"/>
      <c r="F2319" s="19"/>
      <c r="G2319" s="26" t="str">
        <f aca="false">IF(D2319="","",IFERROR(VALUE(LEFT(D2319,FIND(" |",D2319&amp;" |")-1)),"?"))</f>
        <v/>
      </c>
      <c r="H2319" s="27" t="str">
        <f aca="false">IF(G2319="","",IF(G2319="?","⚠ pub inconnue",IFERROR(INDEX(Pubs!$B$2:$B$3001,MATCH(G2319,Pubs!$A$2:$A$3001,0))&amp;"","⚠ pub inconnue")))</f>
        <v/>
      </c>
      <c r="I2319" s="27" t="str">
        <f aca="false">IF(OR(G2319="",G2319="?"),"",IFERROR(INDEX(Pubs!$C$2:$C$3001,MATCH(G2319,Pubs!$A$2:$A$3001,0))&amp;"",""))</f>
        <v/>
      </c>
      <c r="J2319" s="27" t="str">
        <f aca="false">IF(OR(G2319="",G2319="?"),"",IFERROR(INDEX(Pubs!$G$2:$G$3001,MATCH(G2319,Pubs!$A$2:$A$3001,0))&amp;"",""))</f>
        <v/>
      </c>
      <c r="K2319" s="28" t="str">
        <f aca="false">IF(OR(G2319="",G2319="?"),"",IFERROR(INDEX(Pubs!$E$2:$E$3001,MATCH(G2319,Pubs!$A$2:$A$3001,0)),""))</f>
        <v/>
      </c>
      <c r="L2319" s="29" t="str">
        <f aca="false">IF(A2319="","",IFERROR(1/(1/INDEX(Numéros!$C$2:$C$3001,MATCH(A2319&amp;"|"&amp;B2319,Numéros!$F$2:$F$3001,0))),""))</f>
        <v/>
      </c>
      <c r="M2319" s="27" t="str">
        <f aca="false">IF(OR(G2319="",G2319="?"),"",IFERROR(INDEX(Pubs!$D$2:$D$3001,MATCH(G2319,Pubs!$A$2:$A$3001,0))&amp;"",""))</f>
        <v/>
      </c>
      <c r="N2319" s="27" t="n">
        <f aca="false">N(N2318)+IF(AND(A2319&lt;&gt;"",OR(Recherche!$C$4="",A2319=Recherche!$C$4),OR(Recherche!$C$5="",B2319&amp;""=Recherche!$C$5&amp;""),OR(Recherche!$C$6="",IFERROR(YEAR(L2319),0)=Recherche!$C$6),OR(Recherche!$C$7="",ISNUMBER(SEARCH(Recherche!$C$7,H2319))),OR(Recherche!$C$8="",J2319=Recherche!$C$8),OR(Recherche!$C$9="",I2319=Recherche!$C$9),OR(Recherche!$C$10="",G2319&amp;""=Recherche!$C$10&amp;""),OR(Recherche!$C$11="",E2319=Recherche!$C$11),OR(Recherche!$C$12="",ISNUMBER(SEARCH(Recherche!$C$12,M2319&amp;" "&amp;F2319)))),1,0)</f>
        <v>8</v>
      </c>
    </row>
    <row r="2320" customFormat="false" ht="15" hidden="false" customHeight="false" outlineLevel="0" collapsed="false">
      <c r="A2320" s="19"/>
      <c r="B2320" s="19"/>
      <c r="C2320" s="19"/>
      <c r="D2320" s="19"/>
      <c r="E2320" s="22"/>
      <c r="F2320" s="19"/>
      <c r="G2320" s="26" t="str">
        <f aca="false">IF(D2320="","",IFERROR(VALUE(LEFT(D2320,FIND(" |",D2320&amp;" |")-1)),"?"))</f>
        <v/>
      </c>
      <c r="H2320" s="27" t="str">
        <f aca="false">IF(G2320="","",IF(G2320="?","⚠ pub inconnue",IFERROR(INDEX(Pubs!$B$2:$B$3001,MATCH(G2320,Pubs!$A$2:$A$3001,0))&amp;"","⚠ pub inconnue")))</f>
        <v/>
      </c>
      <c r="I2320" s="27" t="str">
        <f aca="false">IF(OR(G2320="",G2320="?"),"",IFERROR(INDEX(Pubs!$C$2:$C$3001,MATCH(G2320,Pubs!$A$2:$A$3001,0))&amp;"",""))</f>
        <v/>
      </c>
      <c r="J2320" s="27" t="str">
        <f aca="false">IF(OR(G2320="",G2320="?"),"",IFERROR(INDEX(Pubs!$G$2:$G$3001,MATCH(G2320,Pubs!$A$2:$A$3001,0))&amp;"",""))</f>
        <v/>
      </c>
      <c r="K2320" s="28" t="str">
        <f aca="false">IF(OR(G2320="",G2320="?"),"",IFERROR(INDEX(Pubs!$E$2:$E$3001,MATCH(G2320,Pubs!$A$2:$A$3001,0)),""))</f>
        <v/>
      </c>
      <c r="L2320" s="29" t="str">
        <f aca="false">IF(A2320="","",IFERROR(1/(1/INDEX(Numéros!$C$2:$C$3001,MATCH(A2320&amp;"|"&amp;B2320,Numéros!$F$2:$F$3001,0))),""))</f>
        <v/>
      </c>
      <c r="M2320" s="27" t="str">
        <f aca="false">IF(OR(G2320="",G2320="?"),"",IFERROR(INDEX(Pubs!$D$2:$D$3001,MATCH(G2320,Pubs!$A$2:$A$3001,0))&amp;"",""))</f>
        <v/>
      </c>
      <c r="N2320" s="27" t="n">
        <f aca="false">N(N2319)+IF(AND(A2320&lt;&gt;"",OR(Recherche!$C$4="",A2320=Recherche!$C$4),OR(Recherche!$C$5="",B2320&amp;""=Recherche!$C$5&amp;""),OR(Recherche!$C$6="",IFERROR(YEAR(L2320),0)=Recherche!$C$6),OR(Recherche!$C$7="",ISNUMBER(SEARCH(Recherche!$C$7,H2320))),OR(Recherche!$C$8="",J2320=Recherche!$C$8),OR(Recherche!$C$9="",I2320=Recherche!$C$9),OR(Recherche!$C$10="",G2320&amp;""=Recherche!$C$10&amp;""),OR(Recherche!$C$11="",E2320=Recherche!$C$11),OR(Recherche!$C$12="",ISNUMBER(SEARCH(Recherche!$C$12,M2320&amp;" "&amp;F2320)))),1,0)</f>
        <v>8</v>
      </c>
    </row>
    <row r="2321" customFormat="false" ht="15" hidden="false" customHeight="false" outlineLevel="0" collapsed="false">
      <c r="A2321" s="19"/>
      <c r="B2321" s="19"/>
      <c r="C2321" s="19"/>
      <c r="D2321" s="19"/>
      <c r="E2321" s="22"/>
      <c r="F2321" s="19"/>
      <c r="G2321" s="26" t="str">
        <f aca="false">IF(D2321="","",IFERROR(VALUE(LEFT(D2321,FIND(" |",D2321&amp;" |")-1)),"?"))</f>
        <v/>
      </c>
      <c r="H2321" s="27" t="str">
        <f aca="false">IF(G2321="","",IF(G2321="?","⚠ pub inconnue",IFERROR(INDEX(Pubs!$B$2:$B$3001,MATCH(G2321,Pubs!$A$2:$A$3001,0))&amp;"","⚠ pub inconnue")))</f>
        <v/>
      </c>
      <c r="I2321" s="27" t="str">
        <f aca="false">IF(OR(G2321="",G2321="?"),"",IFERROR(INDEX(Pubs!$C$2:$C$3001,MATCH(G2321,Pubs!$A$2:$A$3001,0))&amp;"",""))</f>
        <v/>
      </c>
      <c r="J2321" s="27" t="str">
        <f aca="false">IF(OR(G2321="",G2321="?"),"",IFERROR(INDEX(Pubs!$G$2:$G$3001,MATCH(G2321,Pubs!$A$2:$A$3001,0))&amp;"",""))</f>
        <v/>
      </c>
      <c r="K2321" s="28" t="str">
        <f aca="false">IF(OR(G2321="",G2321="?"),"",IFERROR(INDEX(Pubs!$E$2:$E$3001,MATCH(G2321,Pubs!$A$2:$A$3001,0)),""))</f>
        <v/>
      </c>
      <c r="L2321" s="29" t="str">
        <f aca="false">IF(A2321="","",IFERROR(1/(1/INDEX(Numéros!$C$2:$C$3001,MATCH(A2321&amp;"|"&amp;B2321,Numéros!$F$2:$F$3001,0))),""))</f>
        <v/>
      </c>
      <c r="M2321" s="27" t="str">
        <f aca="false">IF(OR(G2321="",G2321="?"),"",IFERROR(INDEX(Pubs!$D$2:$D$3001,MATCH(G2321,Pubs!$A$2:$A$3001,0))&amp;"",""))</f>
        <v/>
      </c>
      <c r="N2321" s="27" t="n">
        <f aca="false">N(N2320)+IF(AND(A2321&lt;&gt;"",OR(Recherche!$C$4="",A2321=Recherche!$C$4),OR(Recherche!$C$5="",B2321&amp;""=Recherche!$C$5&amp;""),OR(Recherche!$C$6="",IFERROR(YEAR(L2321),0)=Recherche!$C$6),OR(Recherche!$C$7="",ISNUMBER(SEARCH(Recherche!$C$7,H2321))),OR(Recherche!$C$8="",J2321=Recherche!$C$8),OR(Recherche!$C$9="",I2321=Recherche!$C$9),OR(Recherche!$C$10="",G2321&amp;""=Recherche!$C$10&amp;""),OR(Recherche!$C$11="",E2321=Recherche!$C$11),OR(Recherche!$C$12="",ISNUMBER(SEARCH(Recherche!$C$12,M2321&amp;" "&amp;F2321)))),1,0)</f>
        <v>8</v>
      </c>
    </row>
    <row r="2322" customFormat="false" ht="15" hidden="false" customHeight="false" outlineLevel="0" collapsed="false">
      <c r="A2322" s="19"/>
      <c r="B2322" s="19"/>
      <c r="C2322" s="19"/>
      <c r="D2322" s="19"/>
      <c r="E2322" s="22"/>
      <c r="F2322" s="19"/>
      <c r="G2322" s="26" t="str">
        <f aca="false">IF(D2322="","",IFERROR(VALUE(LEFT(D2322,FIND(" |",D2322&amp;" |")-1)),"?"))</f>
        <v/>
      </c>
      <c r="H2322" s="27" t="str">
        <f aca="false">IF(G2322="","",IF(G2322="?","⚠ pub inconnue",IFERROR(INDEX(Pubs!$B$2:$B$3001,MATCH(G2322,Pubs!$A$2:$A$3001,0))&amp;"","⚠ pub inconnue")))</f>
        <v/>
      </c>
      <c r="I2322" s="27" t="str">
        <f aca="false">IF(OR(G2322="",G2322="?"),"",IFERROR(INDEX(Pubs!$C$2:$C$3001,MATCH(G2322,Pubs!$A$2:$A$3001,0))&amp;"",""))</f>
        <v/>
      </c>
      <c r="J2322" s="27" t="str">
        <f aca="false">IF(OR(G2322="",G2322="?"),"",IFERROR(INDEX(Pubs!$G$2:$G$3001,MATCH(G2322,Pubs!$A$2:$A$3001,0))&amp;"",""))</f>
        <v/>
      </c>
      <c r="K2322" s="28" t="str">
        <f aca="false">IF(OR(G2322="",G2322="?"),"",IFERROR(INDEX(Pubs!$E$2:$E$3001,MATCH(G2322,Pubs!$A$2:$A$3001,0)),""))</f>
        <v/>
      </c>
      <c r="L2322" s="29" t="str">
        <f aca="false">IF(A2322="","",IFERROR(1/(1/INDEX(Numéros!$C$2:$C$3001,MATCH(A2322&amp;"|"&amp;B2322,Numéros!$F$2:$F$3001,0))),""))</f>
        <v/>
      </c>
      <c r="M2322" s="27" t="str">
        <f aca="false">IF(OR(G2322="",G2322="?"),"",IFERROR(INDEX(Pubs!$D$2:$D$3001,MATCH(G2322,Pubs!$A$2:$A$3001,0))&amp;"",""))</f>
        <v/>
      </c>
      <c r="N2322" s="27" t="n">
        <f aca="false">N(N2321)+IF(AND(A2322&lt;&gt;"",OR(Recherche!$C$4="",A2322=Recherche!$C$4),OR(Recherche!$C$5="",B2322&amp;""=Recherche!$C$5&amp;""),OR(Recherche!$C$6="",IFERROR(YEAR(L2322),0)=Recherche!$C$6),OR(Recherche!$C$7="",ISNUMBER(SEARCH(Recherche!$C$7,H2322))),OR(Recherche!$C$8="",J2322=Recherche!$C$8),OR(Recherche!$C$9="",I2322=Recherche!$C$9),OR(Recherche!$C$10="",G2322&amp;""=Recherche!$C$10&amp;""),OR(Recherche!$C$11="",E2322=Recherche!$C$11),OR(Recherche!$C$12="",ISNUMBER(SEARCH(Recherche!$C$12,M2322&amp;" "&amp;F2322)))),1,0)</f>
        <v>8</v>
      </c>
    </row>
    <row r="2323" customFormat="false" ht="15" hidden="false" customHeight="false" outlineLevel="0" collapsed="false">
      <c r="A2323" s="19"/>
      <c r="B2323" s="19"/>
      <c r="C2323" s="19"/>
      <c r="D2323" s="19"/>
      <c r="E2323" s="22"/>
      <c r="F2323" s="19"/>
      <c r="G2323" s="26" t="str">
        <f aca="false">IF(D2323="","",IFERROR(VALUE(LEFT(D2323,FIND(" |",D2323&amp;" |")-1)),"?"))</f>
        <v/>
      </c>
      <c r="H2323" s="27" t="str">
        <f aca="false">IF(G2323="","",IF(G2323="?","⚠ pub inconnue",IFERROR(INDEX(Pubs!$B$2:$B$3001,MATCH(G2323,Pubs!$A$2:$A$3001,0))&amp;"","⚠ pub inconnue")))</f>
        <v/>
      </c>
      <c r="I2323" s="27" t="str">
        <f aca="false">IF(OR(G2323="",G2323="?"),"",IFERROR(INDEX(Pubs!$C$2:$C$3001,MATCH(G2323,Pubs!$A$2:$A$3001,0))&amp;"",""))</f>
        <v/>
      </c>
      <c r="J2323" s="27" t="str">
        <f aca="false">IF(OR(G2323="",G2323="?"),"",IFERROR(INDEX(Pubs!$G$2:$G$3001,MATCH(G2323,Pubs!$A$2:$A$3001,0))&amp;"",""))</f>
        <v/>
      </c>
      <c r="K2323" s="28" t="str">
        <f aca="false">IF(OR(G2323="",G2323="?"),"",IFERROR(INDEX(Pubs!$E$2:$E$3001,MATCH(G2323,Pubs!$A$2:$A$3001,0)),""))</f>
        <v/>
      </c>
      <c r="L2323" s="29" t="str">
        <f aca="false">IF(A2323="","",IFERROR(1/(1/INDEX(Numéros!$C$2:$C$3001,MATCH(A2323&amp;"|"&amp;B2323,Numéros!$F$2:$F$3001,0))),""))</f>
        <v/>
      </c>
      <c r="M2323" s="27" t="str">
        <f aca="false">IF(OR(G2323="",G2323="?"),"",IFERROR(INDEX(Pubs!$D$2:$D$3001,MATCH(G2323,Pubs!$A$2:$A$3001,0))&amp;"",""))</f>
        <v/>
      </c>
      <c r="N2323" s="27" t="n">
        <f aca="false">N(N2322)+IF(AND(A2323&lt;&gt;"",OR(Recherche!$C$4="",A2323=Recherche!$C$4),OR(Recherche!$C$5="",B2323&amp;""=Recherche!$C$5&amp;""),OR(Recherche!$C$6="",IFERROR(YEAR(L2323),0)=Recherche!$C$6),OR(Recherche!$C$7="",ISNUMBER(SEARCH(Recherche!$C$7,H2323))),OR(Recherche!$C$8="",J2323=Recherche!$C$8),OR(Recherche!$C$9="",I2323=Recherche!$C$9),OR(Recherche!$C$10="",G2323&amp;""=Recherche!$C$10&amp;""),OR(Recherche!$C$11="",E2323=Recherche!$C$11),OR(Recherche!$C$12="",ISNUMBER(SEARCH(Recherche!$C$12,M2323&amp;" "&amp;F2323)))),1,0)</f>
        <v>8</v>
      </c>
    </row>
    <row r="2324" customFormat="false" ht="15" hidden="false" customHeight="false" outlineLevel="0" collapsed="false">
      <c r="A2324" s="19"/>
      <c r="B2324" s="19"/>
      <c r="C2324" s="19"/>
      <c r="D2324" s="19"/>
      <c r="E2324" s="22"/>
      <c r="F2324" s="19"/>
      <c r="G2324" s="26" t="str">
        <f aca="false">IF(D2324="","",IFERROR(VALUE(LEFT(D2324,FIND(" |",D2324&amp;" |")-1)),"?"))</f>
        <v/>
      </c>
      <c r="H2324" s="27" t="str">
        <f aca="false">IF(G2324="","",IF(G2324="?","⚠ pub inconnue",IFERROR(INDEX(Pubs!$B$2:$B$3001,MATCH(G2324,Pubs!$A$2:$A$3001,0))&amp;"","⚠ pub inconnue")))</f>
        <v/>
      </c>
      <c r="I2324" s="27" t="str">
        <f aca="false">IF(OR(G2324="",G2324="?"),"",IFERROR(INDEX(Pubs!$C$2:$C$3001,MATCH(G2324,Pubs!$A$2:$A$3001,0))&amp;"",""))</f>
        <v/>
      </c>
      <c r="J2324" s="27" t="str">
        <f aca="false">IF(OR(G2324="",G2324="?"),"",IFERROR(INDEX(Pubs!$G$2:$G$3001,MATCH(G2324,Pubs!$A$2:$A$3001,0))&amp;"",""))</f>
        <v/>
      </c>
      <c r="K2324" s="28" t="str">
        <f aca="false">IF(OR(G2324="",G2324="?"),"",IFERROR(INDEX(Pubs!$E$2:$E$3001,MATCH(G2324,Pubs!$A$2:$A$3001,0)),""))</f>
        <v/>
      </c>
      <c r="L2324" s="29" t="str">
        <f aca="false">IF(A2324="","",IFERROR(1/(1/INDEX(Numéros!$C$2:$C$3001,MATCH(A2324&amp;"|"&amp;B2324,Numéros!$F$2:$F$3001,0))),""))</f>
        <v/>
      </c>
      <c r="M2324" s="27" t="str">
        <f aca="false">IF(OR(G2324="",G2324="?"),"",IFERROR(INDEX(Pubs!$D$2:$D$3001,MATCH(G2324,Pubs!$A$2:$A$3001,0))&amp;"",""))</f>
        <v/>
      </c>
      <c r="N2324" s="27" t="n">
        <f aca="false">N(N2323)+IF(AND(A2324&lt;&gt;"",OR(Recherche!$C$4="",A2324=Recherche!$C$4),OR(Recherche!$C$5="",B2324&amp;""=Recherche!$C$5&amp;""),OR(Recherche!$C$6="",IFERROR(YEAR(L2324),0)=Recherche!$C$6),OR(Recherche!$C$7="",ISNUMBER(SEARCH(Recherche!$C$7,H2324))),OR(Recherche!$C$8="",J2324=Recherche!$C$8),OR(Recherche!$C$9="",I2324=Recherche!$C$9),OR(Recherche!$C$10="",G2324&amp;""=Recherche!$C$10&amp;""),OR(Recherche!$C$11="",E2324=Recherche!$C$11),OR(Recherche!$C$12="",ISNUMBER(SEARCH(Recherche!$C$12,M2324&amp;" "&amp;F2324)))),1,0)</f>
        <v>8</v>
      </c>
    </row>
    <row r="2325" customFormat="false" ht="15" hidden="false" customHeight="false" outlineLevel="0" collapsed="false">
      <c r="A2325" s="19"/>
      <c r="B2325" s="19"/>
      <c r="C2325" s="19"/>
      <c r="D2325" s="19"/>
      <c r="E2325" s="22"/>
      <c r="F2325" s="19"/>
      <c r="G2325" s="26" t="str">
        <f aca="false">IF(D2325="","",IFERROR(VALUE(LEFT(D2325,FIND(" |",D2325&amp;" |")-1)),"?"))</f>
        <v/>
      </c>
      <c r="H2325" s="27" t="str">
        <f aca="false">IF(G2325="","",IF(G2325="?","⚠ pub inconnue",IFERROR(INDEX(Pubs!$B$2:$B$3001,MATCH(G2325,Pubs!$A$2:$A$3001,0))&amp;"","⚠ pub inconnue")))</f>
        <v/>
      </c>
      <c r="I2325" s="27" t="str">
        <f aca="false">IF(OR(G2325="",G2325="?"),"",IFERROR(INDEX(Pubs!$C$2:$C$3001,MATCH(G2325,Pubs!$A$2:$A$3001,0))&amp;"",""))</f>
        <v/>
      </c>
      <c r="J2325" s="27" t="str">
        <f aca="false">IF(OR(G2325="",G2325="?"),"",IFERROR(INDEX(Pubs!$G$2:$G$3001,MATCH(G2325,Pubs!$A$2:$A$3001,0))&amp;"",""))</f>
        <v/>
      </c>
      <c r="K2325" s="28" t="str">
        <f aca="false">IF(OR(G2325="",G2325="?"),"",IFERROR(INDEX(Pubs!$E$2:$E$3001,MATCH(G2325,Pubs!$A$2:$A$3001,0)),""))</f>
        <v/>
      </c>
      <c r="L2325" s="29" t="str">
        <f aca="false">IF(A2325="","",IFERROR(1/(1/INDEX(Numéros!$C$2:$C$3001,MATCH(A2325&amp;"|"&amp;B2325,Numéros!$F$2:$F$3001,0))),""))</f>
        <v/>
      </c>
      <c r="M2325" s="27" t="str">
        <f aca="false">IF(OR(G2325="",G2325="?"),"",IFERROR(INDEX(Pubs!$D$2:$D$3001,MATCH(G2325,Pubs!$A$2:$A$3001,0))&amp;"",""))</f>
        <v/>
      </c>
      <c r="N2325" s="27" t="n">
        <f aca="false">N(N2324)+IF(AND(A2325&lt;&gt;"",OR(Recherche!$C$4="",A2325=Recherche!$C$4),OR(Recherche!$C$5="",B2325&amp;""=Recherche!$C$5&amp;""),OR(Recherche!$C$6="",IFERROR(YEAR(L2325),0)=Recherche!$C$6),OR(Recherche!$C$7="",ISNUMBER(SEARCH(Recherche!$C$7,H2325))),OR(Recherche!$C$8="",J2325=Recherche!$C$8),OR(Recherche!$C$9="",I2325=Recherche!$C$9),OR(Recherche!$C$10="",G2325&amp;""=Recherche!$C$10&amp;""),OR(Recherche!$C$11="",E2325=Recherche!$C$11),OR(Recherche!$C$12="",ISNUMBER(SEARCH(Recherche!$C$12,M2325&amp;" "&amp;F2325)))),1,0)</f>
        <v>8</v>
      </c>
    </row>
    <row r="2326" customFormat="false" ht="15" hidden="false" customHeight="false" outlineLevel="0" collapsed="false">
      <c r="A2326" s="19"/>
      <c r="B2326" s="19"/>
      <c r="C2326" s="19"/>
      <c r="D2326" s="19"/>
      <c r="E2326" s="22"/>
      <c r="F2326" s="19"/>
      <c r="G2326" s="26" t="str">
        <f aca="false">IF(D2326="","",IFERROR(VALUE(LEFT(D2326,FIND(" |",D2326&amp;" |")-1)),"?"))</f>
        <v/>
      </c>
      <c r="H2326" s="27" t="str">
        <f aca="false">IF(G2326="","",IF(G2326="?","⚠ pub inconnue",IFERROR(INDEX(Pubs!$B$2:$B$3001,MATCH(G2326,Pubs!$A$2:$A$3001,0))&amp;"","⚠ pub inconnue")))</f>
        <v/>
      </c>
      <c r="I2326" s="27" t="str">
        <f aca="false">IF(OR(G2326="",G2326="?"),"",IFERROR(INDEX(Pubs!$C$2:$C$3001,MATCH(G2326,Pubs!$A$2:$A$3001,0))&amp;"",""))</f>
        <v/>
      </c>
      <c r="J2326" s="27" t="str">
        <f aca="false">IF(OR(G2326="",G2326="?"),"",IFERROR(INDEX(Pubs!$G$2:$G$3001,MATCH(G2326,Pubs!$A$2:$A$3001,0))&amp;"",""))</f>
        <v/>
      </c>
      <c r="K2326" s="28" t="str">
        <f aca="false">IF(OR(G2326="",G2326="?"),"",IFERROR(INDEX(Pubs!$E$2:$E$3001,MATCH(G2326,Pubs!$A$2:$A$3001,0)),""))</f>
        <v/>
      </c>
      <c r="L2326" s="29" t="str">
        <f aca="false">IF(A2326="","",IFERROR(1/(1/INDEX(Numéros!$C$2:$C$3001,MATCH(A2326&amp;"|"&amp;B2326,Numéros!$F$2:$F$3001,0))),""))</f>
        <v/>
      </c>
      <c r="M2326" s="27" t="str">
        <f aca="false">IF(OR(G2326="",G2326="?"),"",IFERROR(INDEX(Pubs!$D$2:$D$3001,MATCH(G2326,Pubs!$A$2:$A$3001,0))&amp;"",""))</f>
        <v/>
      </c>
      <c r="N2326" s="27" t="n">
        <f aca="false">N(N2325)+IF(AND(A2326&lt;&gt;"",OR(Recherche!$C$4="",A2326=Recherche!$C$4),OR(Recherche!$C$5="",B2326&amp;""=Recherche!$C$5&amp;""),OR(Recherche!$C$6="",IFERROR(YEAR(L2326),0)=Recherche!$C$6),OR(Recherche!$C$7="",ISNUMBER(SEARCH(Recherche!$C$7,H2326))),OR(Recherche!$C$8="",J2326=Recherche!$C$8),OR(Recherche!$C$9="",I2326=Recherche!$C$9),OR(Recherche!$C$10="",G2326&amp;""=Recherche!$C$10&amp;""),OR(Recherche!$C$11="",E2326=Recherche!$C$11),OR(Recherche!$C$12="",ISNUMBER(SEARCH(Recherche!$C$12,M2326&amp;" "&amp;F2326)))),1,0)</f>
        <v>8</v>
      </c>
    </row>
    <row r="2327" customFormat="false" ht="15" hidden="false" customHeight="false" outlineLevel="0" collapsed="false">
      <c r="A2327" s="19"/>
      <c r="B2327" s="19"/>
      <c r="C2327" s="19"/>
      <c r="D2327" s="19"/>
      <c r="E2327" s="22"/>
      <c r="F2327" s="19"/>
      <c r="G2327" s="26" t="str">
        <f aca="false">IF(D2327="","",IFERROR(VALUE(LEFT(D2327,FIND(" |",D2327&amp;" |")-1)),"?"))</f>
        <v/>
      </c>
      <c r="H2327" s="27" t="str">
        <f aca="false">IF(G2327="","",IF(G2327="?","⚠ pub inconnue",IFERROR(INDEX(Pubs!$B$2:$B$3001,MATCH(G2327,Pubs!$A$2:$A$3001,0))&amp;"","⚠ pub inconnue")))</f>
        <v/>
      </c>
      <c r="I2327" s="27" t="str">
        <f aca="false">IF(OR(G2327="",G2327="?"),"",IFERROR(INDEX(Pubs!$C$2:$C$3001,MATCH(G2327,Pubs!$A$2:$A$3001,0))&amp;"",""))</f>
        <v/>
      </c>
      <c r="J2327" s="27" t="str">
        <f aca="false">IF(OR(G2327="",G2327="?"),"",IFERROR(INDEX(Pubs!$G$2:$G$3001,MATCH(G2327,Pubs!$A$2:$A$3001,0))&amp;"",""))</f>
        <v/>
      </c>
      <c r="K2327" s="28" t="str">
        <f aca="false">IF(OR(G2327="",G2327="?"),"",IFERROR(INDEX(Pubs!$E$2:$E$3001,MATCH(G2327,Pubs!$A$2:$A$3001,0)),""))</f>
        <v/>
      </c>
      <c r="L2327" s="29" t="str">
        <f aca="false">IF(A2327="","",IFERROR(1/(1/INDEX(Numéros!$C$2:$C$3001,MATCH(A2327&amp;"|"&amp;B2327,Numéros!$F$2:$F$3001,0))),""))</f>
        <v/>
      </c>
      <c r="M2327" s="27" t="str">
        <f aca="false">IF(OR(G2327="",G2327="?"),"",IFERROR(INDEX(Pubs!$D$2:$D$3001,MATCH(G2327,Pubs!$A$2:$A$3001,0))&amp;"",""))</f>
        <v/>
      </c>
      <c r="N2327" s="27" t="n">
        <f aca="false">N(N2326)+IF(AND(A2327&lt;&gt;"",OR(Recherche!$C$4="",A2327=Recherche!$C$4),OR(Recherche!$C$5="",B2327&amp;""=Recherche!$C$5&amp;""),OR(Recherche!$C$6="",IFERROR(YEAR(L2327),0)=Recherche!$C$6),OR(Recherche!$C$7="",ISNUMBER(SEARCH(Recherche!$C$7,H2327))),OR(Recherche!$C$8="",J2327=Recherche!$C$8),OR(Recherche!$C$9="",I2327=Recherche!$C$9),OR(Recherche!$C$10="",G2327&amp;""=Recherche!$C$10&amp;""),OR(Recherche!$C$11="",E2327=Recherche!$C$11),OR(Recherche!$C$12="",ISNUMBER(SEARCH(Recherche!$C$12,M2327&amp;" "&amp;F2327)))),1,0)</f>
        <v>8</v>
      </c>
    </row>
    <row r="2328" customFormat="false" ht="15" hidden="false" customHeight="false" outlineLevel="0" collapsed="false">
      <c r="A2328" s="19"/>
      <c r="B2328" s="19"/>
      <c r="C2328" s="19"/>
      <c r="D2328" s="19"/>
      <c r="E2328" s="22"/>
      <c r="F2328" s="19"/>
      <c r="G2328" s="26" t="str">
        <f aca="false">IF(D2328="","",IFERROR(VALUE(LEFT(D2328,FIND(" |",D2328&amp;" |")-1)),"?"))</f>
        <v/>
      </c>
      <c r="H2328" s="27" t="str">
        <f aca="false">IF(G2328="","",IF(G2328="?","⚠ pub inconnue",IFERROR(INDEX(Pubs!$B$2:$B$3001,MATCH(G2328,Pubs!$A$2:$A$3001,0))&amp;"","⚠ pub inconnue")))</f>
        <v/>
      </c>
      <c r="I2328" s="27" t="str">
        <f aca="false">IF(OR(G2328="",G2328="?"),"",IFERROR(INDEX(Pubs!$C$2:$C$3001,MATCH(G2328,Pubs!$A$2:$A$3001,0))&amp;"",""))</f>
        <v/>
      </c>
      <c r="J2328" s="27" t="str">
        <f aca="false">IF(OR(G2328="",G2328="?"),"",IFERROR(INDEX(Pubs!$G$2:$G$3001,MATCH(G2328,Pubs!$A$2:$A$3001,0))&amp;"",""))</f>
        <v/>
      </c>
      <c r="K2328" s="28" t="str">
        <f aca="false">IF(OR(G2328="",G2328="?"),"",IFERROR(INDEX(Pubs!$E$2:$E$3001,MATCH(G2328,Pubs!$A$2:$A$3001,0)),""))</f>
        <v/>
      </c>
      <c r="L2328" s="29" t="str">
        <f aca="false">IF(A2328="","",IFERROR(1/(1/INDEX(Numéros!$C$2:$C$3001,MATCH(A2328&amp;"|"&amp;B2328,Numéros!$F$2:$F$3001,0))),""))</f>
        <v/>
      </c>
      <c r="M2328" s="27" t="str">
        <f aca="false">IF(OR(G2328="",G2328="?"),"",IFERROR(INDEX(Pubs!$D$2:$D$3001,MATCH(G2328,Pubs!$A$2:$A$3001,0))&amp;"",""))</f>
        <v/>
      </c>
      <c r="N2328" s="27" t="n">
        <f aca="false">N(N2327)+IF(AND(A2328&lt;&gt;"",OR(Recherche!$C$4="",A2328=Recherche!$C$4),OR(Recherche!$C$5="",B2328&amp;""=Recherche!$C$5&amp;""),OR(Recherche!$C$6="",IFERROR(YEAR(L2328),0)=Recherche!$C$6),OR(Recherche!$C$7="",ISNUMBER(SEARCH(Recherche!$C$7,H2328))),OR(Recherche!$C$8="",J2328=Recherche!$C$8),OR(Recherche!$C$9="",I2328=Recherche!$C$9),OR(Recherche!$C$10="",G2328&amp;""=Recherche!$C$10&amp;""),OR(Recherche!$C$11="",E2328=Recherche!$C$11),OR(Recherche!$C$12="",ISNUMBER(SEARCH(Recherche!$C$12,M2328&amp;" "&amp;F2328)))),1,0)</f>
        <v>8</v>
      </c>
    </row>
    <row r="2329" customFormat="false" ht="15" hidden="false" customHeight="false" outlineLevel="0" collapsed="false">
      <c r="A2329" s="19"/>
      <c r="B2329" s="19"/>
      <c r="C2329" s="19"/>
      <c r="D2329" s="19"/>
      <c r="E2329" s="22"/>
      <c r="F2329" s="19"/>
      <c r="G2329" s="26" t="str">
        <f aca="false">IF(D2329="","",IFERROR(VALUE(LEFT(D2329,FIND(" |",D2329&amp;" |")-1)),"?"))</f>
        <v/>
      </c>
      <c r="H2329" s="27" t="str">
        <f aca="false">IF(G2329="","",IF(G2329="?","⚠ pub inconnue",IFERROR(INDEX(Pubs!$B$2:$B$3001,MATCH(G2329,Pubs!$A$2:$A$3001,0))&amp;"","⚠ pub inconnue")))</f>
        <v/>
      </c>
      <c r="I2329" s="27" t="str">
        <f aca="false">IF(OR(G2329="",G2329="?"),"",IFERROR(INDEX(Pubs!$C$2:$C$3001,MATCH(G2329,Pubs!$A$2:$A$3001,0))&amp;"",""))</f>
        <v/>
      </c>
      <c r="J2329" s="27" t="str">
        <f aca="false">IF(OR(G2329="",G2329="?"),"",IFERROR(INDEX(Pubs!$G$2:$G$3001,MATCH(G2329,Pubs!$A$2:$A$3001,0))&amp;"",""))</f>
        <v/>
      </c>
      <c r="K2329" s="28" t="str">
        <f aca="false">IF(OR(G2329="",G2329="?"),"",IFERROR(INDEX(Pubs!$E$2:$E$3001,MATCH(G2329,Pubs!$A$2:$A$3001,0)),""))</f>
        <v/>
      </c>
      <c r="L2329" s="29" t="str">
        <f aca="false">IF(A2329="","",IFERROR(1/(1/INDEX(Numéros!$C$2:$C$3001,MATCH(A2329&amp;"|"&amp;B2329,Numéros!$F$2:$F$3001,0))),""))</f>
        <v/>
      </c>
      <c r="M2329" s="27" t="str">
        <f aca="false">IF(OR(G2329="",G2329="?"),"",IFERROR(INDEX(Pubs!$D$2:$D$3001,MATCH(G2329,Pubs!$A$2:$A$3001,0))&amp;"",""))</f>
        <v/>
      </c>
      <c r="N2329" s="27" t="n">
        <f aca="false">N(N2328)+IF(AND(A2329&lt;&gt;"",OR(Recherche!$C$4="",A2329=Recherche!$C$4),OR(Recherche!$C$5="",B2329&amp;""=Recherche!$C$5&amp;""),OR(Recherche!$C$6="",IFERROR(YEAR(L2329),0)=Recherche!$C$6),OR(Recherche!$C$7="",ISNUMBER(SEARCH(Recherche!$C$7,H2329))),OR(Recherche!$C$8="",J2329=Recherche!$C$8),OR(Recherche!$C$9="",I2329=Recherche!$C$9),OR(Recherche!$C$10="",G2329&amp;""=Recherche!$C$10&amp;""),OR(Recherche!$C$11="",E2329=Recherche!$C$11),OR(Recherche!$C$12="",ISNUMBER(SEARCH(Recherche!$C$12,M2329&amp;" "&amp;F2329)))),1,0)</f>
        <v>8</v>
      </c>
    </row>
    <row r="2330" customFormat="false" ht="15" hidden="false" customHeight="false" outlineLevel="0" collapsed="false">
      <c r="A2330" s="19"/>
      <c r="B2330" s="19"/>
      <c r="C2330" s="19"/>
      <c r="D2330" s="19"/>
      <c r="E2330" s="22"/>
      <c r="F2330" s="19"/>
      <c r="G2330" s="26" t="str">
        <f aca="false">IF(D2330="","",IFERROR(VALUE(LEFT(D2330,FIND(" |",D2330&amp;" |")-1)),"?"))</f>
        <v/>
      </c>
      <c r="H2330" s="27" t="str">
        <f aca="false">IF(G2330="","",IF(G2330="?","⚠ pub inconnue",IFERROR(INDEX(Pubs!$B$2:$B$3001,MATCH(G2330,Pubs!$A$2:$A$3001,0))&amp;"","⚠ pub inconnue")))</f>
        <v/>
      </c>
      <c r="I2330" s="27" t="str">
        <f aca="false">IF(OR(G2330="",G2330="?"),"",IFERROR(INDEX(Pubs!$C$2:$C$3001,MATCH(G2330,Pubs!$A$2:$A$3001,0))&amp;"",""))</f>
        <v/>
      </c>
      <c r="J2330" s="27" t="str">
        <f aca="false">IF(OR(G2330="",G2330="?"),"",IFERROR(INDEX(Pubs!$G$2:$G$3001,MATCH(G2330,Pubs!$A$2:$A$3001,0))&amp;"",""))</f>
        <v/>
      </c>
      <c r="K2330" s="28" t="str">
        <f aca="false">IF(OR(G2330="",G2330="?"),"",IFERROR(INDEX(Pubs!$E$2:$E$3001,MATCH(G2330,Pubs!$A$2:$A$3001,0)),""))</f>
        <v/>
      </c>
      <c r="L2330" s="29" t="str">
        <f aca="false">IF(A2330="","",IFERROR(1/(1/INDEX(Numéros!$C$2:$C$3001,MATCH(A2330&amp;"|"&amp;B2330,Numéros!$F$2:$F$3001,0))),""))</f>
        <v/>
      </c>
      <c r="M2330" s="27" t="str">
        <f aca="false">IF(OR(G2330="",G2330="?"),"",IFERROR(INDEX(Pubs!$D$2:$D$3001,MATCH(G2330,Pubs!$A$2:$A$3001,0))&amp;"",""))</f>
        <v/>
      </c>
      <c r="N2330" s="27" t="n">
        <f aca="false">N(N2329)+IF(AND(A2330&lt;&gt;"",OR(Recherche!$C$4="",A2330=Recherche!$C$4),OR(Recherche!$C$5="",B2330&amp;""=Recherche!$C$5&amp;""),OR(Recherche!$C$6="",IFERROR(YEAR(L2330),0)=Recherche!$C$6),OR(Recherche!$C$7="",ISNUMBER(SEARCH(Recherche!$C$7,H2330))),OR(Recherche!$C$8="",J2330=Recherche!$C$8),OR(Recherche!$C$9="",I2330=Recherche!$C$9),OR(Recherche!$C$10="",G2330&amp;""=Recherche!$C$10&amp;""),OR(Recherche!$C$11="",E2330=Recherche!$C$11),OR(Recherche!$C$12="",ISNUMBER(SEARCH(Recherche!$C$12,M2330&amp;" "&amp;F2330)))),1,0)</f>
        <v>8</v>
      </c>
    </row>
    <row r="2331" customFormat="false" ht="15" hidden="false" customHeight="false" outlineLevel="0" collapsed="false">
      <c r="A2331" s="19"/>
      <c r="B2331" s="19"/>
      <c r="C2331" s="19"/>
      <c r="D2331" s="19"/>
      <c r="E2331" s="22"/>
      <c r="F2331" s="19"/>
      <c r="G2331" s="26" t="str">
        <f aca="false">IF(D2331="","",IFERROR(VALUE(LEFT(D2331,FIND(" |",D2331&amp;" |")-1)),"?"))</f>
        <v/>
      </c>
      <c r="H2331" s="27" t="str">
        <f aca="false">IF(G2331="","",IF(G2331="?","⚠ pub inconnue",IFERROR(INDEX(Pubs!$B$2:$B$3001,MATCH(G2331,Pubs!$A$2:$A$3001,0))&amp;"","⚠ pub inconnue")))</f>
        <v/>
      </c>
      <c r="I2331" s="27" t="str">
        <f aca="false">IF(OR(G2331="",G2331="?"),"",IFERROR(INDEX(Pubs!$C$2:$C$3001,MATCH(G2331,Pubs!$A$2:$A$3001,0))&amp;"",""))</f>
        <v/>
      </c>
      <c r="J2331" s="27" t="str">
        <f aca="false">IF(OR(G2331="",G2331="?"),"",IFERROR(INDEX(Pubs!$G$2:$G$3001,MATCH(G2331,Pubs!$A$2:$A$3001,0))&amp;"",""))</f>
        <v/>
      </c>
      <c r="K2331" s="28" t="str">
        <f aca="false">IF(OR(G2331="",G2331="?"),"",IFERROR(INDEX(Pubs!$E$2:$E$3001,MATCH(G2331,Pubs!$A$2:$A$3001,0)),""))</f>
        <v/>
      </c>
      <c r="L2331" s="29" t="str">
        <f aca="false">IF(A2331="","",IFERROR(1/(1/INDEX(Numéros!$C$2:$C$3001,MATCH(A2331&amp;"|"&amp;B2331,Numéros!$F$2:$F$3001,0))),""))</f>
        <v/>
      </c>
      <c r="M2331" s="27" t="str">
        <f aca="false">IF(OR(G2331="",G2331="?"),"",IFERROR(INDEX(Pubs!$D$2:$D$3001,MATCH(G2331,Pubs!$A$2:$A$3001,0))&amp;"",""))</f>
        <v/>
      </c>
      <c r="N2331" s="27" t="n">
        <f aca="false">N(N2330)+IF(AND(A2331&lt;&gt;"",OR(Recherche!$C$4="",A2331=Recherche!$C$4),OR(Recherche!$C$5="",B2331&amp;""=Recherche!$C$5&amp;""),OR(Recherche!$C$6="",IFERROR(YEAR(L2331),0)=Recherche!$C$6),OR(Recherche!$C$7="",ISNUMBER(SEARCH(Recherche!$C$7,H2331))),OR(Recherche!$C$8="",J2331=Recherche!$C$8),OR(Recherche!$C$9="",I2331=Recherche!$C$9),OR(Recherche!$C$10="",G2331&amp;""=Recherche!$C$10&amp;""),OR(Recherche!$C$11="",E2331=Recherche!$C$11),OR(Recherche!$C$12="",ISNUMBER(SEARCH(Recherche!$C$12,M2331&amp;" "&amp;F2331)))),1,0)</f>
        <v>8</v>
      </c>
    </row>
    <row r="2332" customFormat="false" ht="15" hidden="false" customHeight="false" outlineLevel="0" collapsed="false">
      <c r="A2332" s="19"/>
      <c r="B2332" s="19"/>
      <c r="C2332" s="19"/>
      <c r="D2332" s="19"/>
      <c r="E2332" s="22"/>
      <c r="F2332" s="19"/>
      <c r="G2332" s="26" t="str">
        <f aca="false">IF(D2332="","",IFERROR(VALUE(LEFT(D2332,FIND(" |",D2332&amp;" |")-1)),"?"))</f>
        <v/>
      </c>
      <c r="H2332" s="27" t="str">
        <f aca="false">IF(G2332="","",IF(G2332="?","⚠ pub inconnue",IFERROR(INDEX(Pubs!$B$2:$B$3001,MATCH(G2332,Pubs!$A$2:$A$3001,0))&amp;"","⚠ pub inconnue")))</f>
        <v/>
      </c>
      <c r="I2332" s="27" t="str">
        <f aca="false">IF(OR(G2332="",G2332="?"),"",IFERROR(INDEX(Pubs!$C$2:$C$3001,MATCH(G2332,Pubs!$A$2:$A$3001,0))&amp;"",""))</f>
        <v/>
      </c>
      <c r="J2332" s="27" t="str">
        <f aca="false">IF(OR(G2332="",G2332="?"),"",IFERROR(INDEX(Pubs!$G$2:$G$3001,MATCH(G2332,Pubs!$A$2:$A$3001,0))&amp;"",""))</f>
        <v/>
      </c>
      <c r="K2332" s="28" t="str">
        <f aca="false">IF(OR(G2332="",G2332="?"),"",IFERROR(INDEX(Pubs!$E$2:$E$3001,MATCH(G2332,Pubs!$A$2:$A$3001,0)),""))</f>
        <v/>
      </c>
      <c r="L2332" s="29" t="str">
        <f aca="false">IF(A2332="","",IFERROR(1/(1/INDEX(Numéros!$C$2:$C$3001,MATCH(A2332&amp;"|"&amp;B2332,Numéros!$F$2:$F$3001,0))),""))</f>
        <v/>
      </c>
      <c r="M2332" s="27" t="str">
        <f aca="false">IF(OR(G2332="",G2332="?"),"",IFERROR(INDEX(Pubs!$D$2:$D$3001,MATCH(G2332,Pubs!$A$2:$A$3001,0))&amp;"",""))</f>
        <v/>
      </c>
      <c r="N2332" s="27" t="n">
        <f aca="false">N(N2331)+IF(AND(A2332&lt;&gt;"",OR(Recherche!$C$4="",A2332=Recherche!$C$4),OR(Recherche!$C$5="",B2332&amp;""=Recherche!$C$5&amp;""),OR(Recherche!$C$6="",IFERROR(YEAR(L2332),0)=Recherche!$C$6),OR(Recherche!$C$7="",ISNUMBER(SEARCH(Recherche!$C$7,H2332))),OR(Recherche!$C$8="",J2332=Recherche!$C$8),OR(Recherche!$C$9="",I2332=Recherche!$C$9),OR(Recherche!$C$10="",G2332&amp;""=Recherche!$C$10&amp;""),OR(Recherche!$C$11="",E2332=Recherche!$C$11),OR(Recherche!$C$12="",ISNUMBER(SEARCH(Recherche!$C$12,M2332&amp;" "&amp;F2332)))),1,0)</f>
        <v>8</v>
      </c>
    </row>
    <row r="2333" customFormat="false" ht="15" hidden="false" customHeight="false" outlineLevel="0" collapsed="false">
      <c r="A2333" s="19"/>
      <c r="B2333" s="19"/>
      <c r="C2333" s="19"/>
      <c r="D2333" s="19"/>
      <c r="E2333" s="22"/>
      <c r="F2333" s="19"/>
      <c r="G2333" s="26" t="str">
        <f aca="false">IF(D2333="","",IFERROR(VALUE(LEFT(D2333,FIND(" |",D2333&amp;" |")-1)),"?"))</f>
        <v/>
      </c>
      <c r="H2333" s="27" t="str">
        <f aca="false">IF(G2333="","",IF(G2333="?","⚠ pub inconnue",IFERROR(INDEX(Pubs!$B$2:$B$3001,MATCH(G2333,Pubs!$A$2:$A$3001,0))&amp;"","⚠ pub inconnue")))</f>
        <v/>
      </c>
      <c r="I2333" s="27" t="str">
        <f aca="false">IF(OR(G2333="",G2333="?"),"",IFERROR(INDEX(Pubs!$C$2:$C$3001,MATCH(G2333,Pubs!$A$2:$A$3001,0))&amp;"",""))</f>
        <v/>
      </c>
      <c r="J2333" s="27" t="str">
        <f aca="false">IF(OR(G2333="",G2333="?"),"",IFERROR(INDEX(Pubs!$G$2:$G$3001,MATCH(G2333,Pubs!$A$2:$A$3001,0))&amp;"",""))</f>
        <v/>
      </c>
      <c r="K2333" s="28" t="str">
        <f aca="false">IF(OR(G2333="",G2333="?"),"",IFERROR(INDEX(Pubs!$E$2:$E$3001,MATCH(G2333,Pubs!$A$2:$A$3001,0)),""))</f>
        <v/>
      </c>
      <c r="L2333" s="29" t="str">
        <f aca="false">IF(A2333="","",IFERROR(1/(1/INDEX(Numéros!$C$2:$C$3001,MATCH(A2333&amp;"|"&amp;B2333,Numéros!$F$2:$F$3001,0))),""))</f>
        <v/>
      </c>
      <c r="M2333" s="27" t="str">
        <f aca="false">IF(OR(G2333="",G2333="?"),"",IFERROR(INDEX(Pubs!$D$2:$D$3001,MATCH(G2333,Pubs!$A$2:$A$3001,0))&amp;"",""))</f>
        <v/>
      </c>
      <c r="N2333" s="27" t="n">
        <f aca="false">N(N2332)+IF(AND(A2333&lt;&gt;"",OR(Recherche!$C$4="",A2333=Recherche!$C$4),OR(Recherche!$C$5="",B2333&amp;""=Recherche!$C$5&amp;""),OR(Recherche!$C$6="",IFERROR(YEAR(L2333),0)=Recherche!$C$6),OR(Recherche!$C$7="",ISNUMBER(SEARCH(Recherche!$C$7,H2333))),OR(Recherche!$C$8="",J2333=Recherche!$C$8),OR(Recherche!$C$9="",I2333=Recherche!$C$9),OR(Recherche!$C$10="",G2333&amp;""=Recherche!$C$10&amp;""),OR(Recherche!$C$11="",E2333=Recherche!$C$11),OR(Recherche!$C$12="",ISNUMBER(SEARCH(Recherche!$C$12,M2333&amp;" "&amp;F2333)))),1,0)</f>
        <v>8</v>
      </c>
    </row>
    <row r="2334" customFormat="false" ht="15" hidden="false" customHeight="false" outlineLevel="0" collapsed="false">
      <c r="A2334" s="19"/>
      <c r="B2334" s="19"/>
      <c r="C2334" s="19"/>
      <c r="D2334" s="19"/>
      <c r="E2334" s="22"/>
      <c r="F2334" s="19"/>
      <c r="G2334" s="26" t="str">
        <f aca="false">IF(D2334="","",IFERROR(VALUE(LEFT(D2334,FIND(" |",D2334&amp;" |")-1)),"?"))</f>
        <v/>
      </c>
      <c r="H2334" s="27" t="str">
        <f aca="false">IF(G2334="","",IF(G2334="?","⚠ pub inconnue",IFERROR(INDEX(Pubs!$B$2:$B$3001,MATCH(G2334,Pubs!$A$2:$A$3001,0))&amp;"","⚠ pub inconnue")))</f>
        <v/>
      </c>
      <c r="I2334" s="27" t="str">
        <f aca="false">IF(OR(G2334="",G2334="?"),"",IFERROR(INDEX(Pubs!$C$2:$C$3001,MATCH(G2334,Pubs!$A$2:$A$3001,0))&amp;"",""))</f>
        <v/>
      </c>
      <c r="J2334" s="27" t="str">
        <f aca="false">IF(OR(G2334="",G2334="?"),"",IFERROR(INDEX(Pubs!$G$2:$G$3001,MATCH(G2334,Pubs!$A$2:$A$3001,0))&amp;"",""))</f>
        <v/>
      </c>
      <c r="K2334" s="28" t="str">
        <f aca="false">IF(OR(G2334="",G2334="?"),"",IFERROR(INDEX(Pubs!$E$2:$E$3001,MATCH(G2334,Pubs!$A$2:$A$3001,0)),""))</f>
        <v/>
      </c>
      <c r="L2334" s="29" t="str">
        <f aca="false">IF(A2334="","",IFERROR(1/(1/INDEX(Numéros!$C$2:$C$3001,MATCH(A2334&amp;"|"&amp;B2334,Numéros!$F$2:$F$3001,0))),""))</f>
        <v/>
      </c>
      <c r="M2334" s="27" t="str">
        <f aca="false">IF(OR(G2334="",G2334="?"),"",IFERROR(INDEX(Pubs!$D$2:$D$3001,MATCH(G2334,Pubs!$A$2:$A$3001,0))&amp;"",""))</f>
        <v/>
      </c>
      <c r="N2334" s="27" t="n">
        <f aca="false">N(N2333)+IF(AND(A2334&lt;&gt;"",OR(Recherche!$C$4="",A2334=Recherche!$C$4),OR(Recherche!$C$5="",B2334&amp;""=Recherche!$C$5&amp;""),OR(Recherche!$C$6="",IFERROR(YEAR(L2334),0)=Recherche!$C$6),OR(Recherche!$C$7="",ISNUMBER(SEARCH(Recherche!$C$7,H2334))),OR(Recherche!$C$8="",J2334=Recherche!$C$8),OR(Recherche!$C$9="",I2334=Recherche!$C$9),OR(Recherche!$C$10="",G2334&amp;""=Recherche!$C$10&amp;""),OR(Recherche!$C$11="",E2334=Recherche!$C$11),OR(Recherche!$C$12="",ISNUMBER(SEARCH(Recherche!$C$12,M2334&amp;" "&amp;F2334)))),1,0)</f>
        <v>8</v>
      </c>
    </row>
    <row r="2335" customFormat="false" ht="15" hidden="false" customHeight="false" outlineLevel="0" collapsed="false">
      <c r="A2335" s="19"/>
      <c r="B2335" s="19"/>
      <c r="C2335" s="19"/>
      <c r="D2335" s="19"/>
      <c r="E2335" s="22"/>
      <c r="F2335" s="19"/>
      <c r="G2335" s="26" t="str">
        <f aca="false">IF(D2335="","",IFERROR(VALUE(LEFT(D2335,FIND(" |",D2335&amp;" |")-1)),"?"))</f>
        <v/>
      </c>
      <c r="H2335" s="27" t="str">
        <f aca="false">IF(G2335="","",IF(G2335="?","⚠ pub inconnue",IFERROR(INDEX(Pubs!$B$2:$B$3001,MATCH(G2335,Pubs!$A$2:$A$3001,0))&amp;"","⚠ pub inconnue")))</f>
        <v/>
      </c>
      <c r="I2335" s="27" t="str">
        <f aca="false">IF(OR(G2335="",G2335="?"),"",IFERROR(INDEX(Pubs!$C$2:$C$3001,MATCH(G2335,Pubs!$A$2:$A$3001,0))&amp;"",""))</f>
        <v/>
      </c>
      <c r="J2335" s="27" t="str">
        <f aca="false">IF(OR(G2335="",G2335="?"),"",IFERROR(INDEX(Pubs!$G$2:$G$3001,MATCH(G2335,Pubs!$A$2:$A$3001,0))&amp;"",""))</f>
        <v/>
      </c>
      <c r="K2335" s="28" t="str">
        <f aca="false">IF(OR(G2335="",G2335="?"),"",IFERROR(INDEX(Pubs!$E$2:$E$3001,MATCH(G2335,Pubs!$A$2:$A$3001,0)),""))</f>
        <v/>
      </c>
      <c r="L2335" s="29" t="str">
        <f aca="false">IF(A2335="","",IFERROR(1/(1/INDEX(Numéros!$C$2:$C$3001,MATCH(A2335&amp;"|"&amp;B2335,Numéros!$F$2:$F$3001,0))),""))</f>
        <v/>
      </c>
      <c r="M2335" s="27" t="str">
        <f aca="false">IF(OR(G2335="",G2335="?"),"",IFERROR(INDEX(Pubs!$D$2:$D$3001,MATCH(G2335,Pubs!$A$2:$A$3001,0))&amp;"",""))</f>
        <v/>
      </c>
      <c r="N2335" s="27" t="n">
        <f aca="false">N(N2334)+IF(AND(A2335&lt;&gt;"",OR(Recherche!$C$4="",A2335=Recherche!$C$4),OR(Recherche!$C$5="",B2335&amp;""=Recherche!$C$5&amp;""),OR(Recherche!$C$6="",IFERROR(YEAR(L2335),0)=Recherche!$C$6),OR(Recherche!$C$7="",ISNUMBER(SEARCH(Recherche!$C$7,H2335))),OR(Recherche!$C$8="",J2335=Recherche!$C$8),OR(Recherche!$C$9="",I2335=Recherche!$C$9),OR(Recherche!$C$10="",G2335&amp;""=Recherche!$C$10&amp;""),OR(Recherche!$C$11="",E2335=Recherche!$C$11),OR(Recherche!$C$12="",ISNUMBER(SEARCH(Recherche!$C$12,M2335&amp;" "&amp;F2335)))),1,0)</f>
        <v>8</v>
      </c>
    </row>
    <row r="2336" customFormat="false" ht="15" hidden="false" customHeight="false" outlineLevel="0" collapsed="false">
      <c r="A2336" s="19"/>
      <c r="B2336" s="19"/>
      <c r="C2336" s="19"/>
      <c r="D2336" s="19"/>
      <c r="E2336" s="22"/>
      <c r="F2336" s="19"/>
      <c r="G2336" s="26" t="str">
        <f aca="false">IF(D2336="","",IFERROR(VALUE(LEFT(D2336,FIND(" |",D2336&amp;" |")-1)),"?"))</f>
        <v/>
      </c>
      <c r="H2336" s="27" t="str">
        <f aca="false">IF(G2336="","",IF(G2336="?","⚠ pub inconnue",IFERROR(INDEX(Pubs!$B$2:$B$3001,MATCH(G2336,Pubs!$A$2:$A$3001,0))&amp;"","⚠ pub inconnue")))</f>
        <v/>
      </c>
      <c r="I2336" s="27" t="str">
        <f aca="false">IF(OR(G2336="",G2336="?"),"",IFERROR(INDEX(Pubs!$C$2:$C$3001,MATCH(G2336,Pubs!$A$2:$A$3001,0))&amp;"",""))</f>
        <v/>
      </c>
      <c r="J2336" s="27" t="str">
        <f aca="false">IF(OR(G2336="",G2336="?"),"",IFERROR(INDEX(Pubs!$G$2:$G$3001,MATCH(G2336,Pubs!$A$2:$A$3001,0))&amp;"",""))</f>
        <v/>
      </c>
      <c r="K2336" s="28" t="str">
        <f aca="false">IF(OR(G2336="",G2336="?"),"",IFERROR(INDEX(Pubs!$E$2:$E$3001,MATCH(G2336,Pubs!$A$2:$A$3001,0)),""))</f>
        <v/>
      </c>
      <c r="L2336" s="29" t="str">
        <f aca="false">IF(A2336="","",IFERROR(1/(1/INDEX(Numéros!$C$2:$C$3001,MATCH(A2336&amp;"|"&amp;B2336,Numéros!$F$2:$F$3001,0))),""))</f>
        <v/>
      </c>
      <c r="M2336" s="27" t="str">
        <f aca="false">IF(OR(G2336="",G2336="?"),"",IFERROR(INDEX(Pubs!$D$2:$D$3001,MATCH(G2336,Pubs!$A$2:$A$3001,0))&amp;"",""))</f>
        <v/>
      </c>
      <c r="N2336" s="27" t="n">
        <f aca="false">N(N2335)+IF(AND(A2336&lt;&gt;"",OR(Recherche!$C$4="",A2336=Recherche!$C$4),OR(Recherche!$C$5="",B2336&amp;""=Recherche!$C$5&amp;""),OR(Recherche!$C$6="",IFERROR(YEAR(L2336),0)=Recherche!$C$6),OR(Recherche!$C$7="",ISNUMBER(SEARCH(Recherche!$C$7,H2336))),OR(Recherche!$C$8="",J2336=Recherche!$C$8),OR(Recherche!$C$9="",I2336=Recherche!$C$9),OR(Recherche!$C$10="",G2336&amp;""=Recherche!$C$10&amp;""),OR(Recherche!$C$11="",E2336=Recherche!$C$11),OR(Recherche!$C$12="",ISNUMBER(SEARCH(Recherche!$C$12,M2336&amp;" "&amp;F2336)))),1,0)</f>
        <v>8</v>
      </c>
    </row>
    <row r="2337" customFormat="false" ht="15" hidden="false" customHeight="false" outlineLevel="0" collapsed="false">
      <c r="A2337" s="19"/>
      <c r="B2337" s="19"/>
      <c r="C2337" s="19"/>
      <c r="D2337" s="19"/>
      <c r="E2337" s="22"/>
      <c r="F2337" s="19"/>
      <c r="G2337" s="26" t="str">
        <f aca="false">IF(D2337="","",IFERROR(VALUE(LEFT(D2337,FIND(" |",D2337&amp;" |")-1)),"?"))</f>
        <v/>
      </c>
      <c r="H2337" s="27" t="str">
        <f aca="false">IF(G2337="","",IF(G2337="?","⚠ pub inconnue",IFERROR(INDEX(Pubs!$B$2:$B$3001,MATCH(G2337,Pubs!$A$2:$A$3001,0))&amp;"","⚠ pub inconnue")))</f>
        <v/>
      </c>
      <c r="I2337" s="27" t="str">
        <f aca="false">IF(OR(G2337="",G2337="?"),"",IFERROR(INDEX(Pubs!$C$2:$C$3001,MATCH(G2337,Pubs!$A$2:$A$3001,0))&amp;"",""))</f>
        <v/>
      </c>
      <c r="J2337" s="27" t="str">
        <f aca="false">IF(OR(G2337="",G2337="?"),"",IFERROR(INDEX(Pubs!$G$2:$G$3001,MATCH(G2337,Pubs!$A$2:$A$3001,0))&amp;"",""))</f>
        <v/>
      </c>
      <c r="K2337" s="28" t="str">
        <f aca="false">IF(OR(G2337="",G2337="?"),"",IFERROR(INDEX(Pubs!$E$2:$E$3001,MATCH(G2337,Pubs!$A$2:$A$3001,0)),""))</f>
        <v/>
      </c>
      <c r="L2337" s="29" t="str">
        <f aca="false">IF(A2337="","",IFERROR(1/(1/INDEX(Numéros!$C$2:$C$3001,MATCH(A2337&amp;"|"&amp;B2337,Numéros!$F$2:$F$3001,0))),""))</f>
        <v/>
      </c>
      <c r="M2337" s="27" t="str">
        <f aca="false">IF(OR(G2337="",G2337="?"),"",IFERROR(INDEX(Pubs!$D$2:$D$3001,MATCH(G2337,Pubs!$A$2:$A$3001,0))&amp;"",""))</f>
        <v/>
      </c>
      <c r="N2337" s="27" t="n">
        <f aca="false">N(N2336)+IF(AND(A2337&lt;&gt;"",OR(Recherche!$C$4="",A2337=Recherche!$C$4),OR(Recherche!$C$5="",B2337&amp;""=Recherche!$C$5&amp;""),OR(Recherche!$C$6="",IFERROR(YEAR(L2337),0)=Recherche!$C$6),OR(Recherche!$C$7="",ISNUMBER(SEARCH(Recherche!$C$7,H2337))),OR(Recherche!$C$8="",J2337=Recherche!$C$8),OR(Recherche!$C$9="",I2337=Recherche!$C$9),OR(Recherche!$C$10="",G2337&amp;""=Recherche!$C$10&amp;""),OR(Recherche!$C$11="",E2337=Recherche!$C$11),OR(Recherche!$C$12="",ISNUMBER(SEARCH(Recherche!$C$12,M2337&amp;" "&amp;F2337)))),1,0)</f>
        <v>8</v>
      </c>
    </row>
    <row r="2338" customFormat="false" ht="15" hidden="false" customHeight="false" outlineLevel="0" collapsed="false">
      <c r="A2338" s="19"/>
      <c r="B2338" s="19"/>
      <c r="C2338" s="19"/>
      <c r="D2338" s="19"/>
      <c r="E2338" s="22"/>
      <c r="F2338" s="19"/>
      <c r="G2338" s="26" t="str">
        <f aca="false">IF(D2338="","",IFERROR(VALUE(LEFT(D2338,FIND(" |",D2338&amp;" |")-1)),"?"))</f>
        <v/>
      </c>
      <c r="H2338" s="27" t="str">
        <f aca="false">IF(G2338="","",IF(G2338="?","⚠ pub inconnue",IFERROR(INDEX(Pubs!$B$2:$B$3001,MATCH(G2338,Pubs!$A$2:$A$3001,0))&amp;"","⚠ pub inconnue")))</f>
        <v/>
      </c>
      <c r="I2338" s="27" t="str">
        <f aca="false">IF(OR(G2338="",G2338="?"),"",IFERROR(INDEX(Pubs!$C$2:$C$3001,MATCH(G2338,Pubs!$A$2:$A$3001,0))&amp;"",""))</f>
        <v/>
      </c>
      <c r="J2338" s="27" t="str">
        <f aca="false">IF(OR(G2338="",G2338="?"),"",IFERROR(INDEX(Pubs!$G$2:$G$3001,MATCH(G2338,Pubs!$A$2:$A$3001,0))&amp;"",""))</f>
        <v/>
      </c>
      <c r="K2338" s="28" t="str">
        <f aca="false">IF(OR(G2338="",G2338="?"),"",IFERROR(INDEX(Pubs!$E$2:$E$3001,MATCH(G2338,Pubs!$A$2:$A$3001,0)),""))</f>
        <v/>
      </c>
      <c r="L2338" s="29" t="str">
        <f aca="false">IF(A2338="","",IFERROR(1/(1/INDEX(Numéros!$C$2:$C$3001,MATCH(A2338&amp;"|"&amp;B2338,Numéros!$F$2:$F$3001,0))),""))</f>
        <v/>
      </c>
      <c r="M2338" s="27" t="str">
        <f aca="false">IF(OR(G2338="",G2338="?"),"",IFERROR(INDEX(Pubs!$D$2:$D$3001,MATCH(G2338,Pubs!$A$2:$A$3001,0))&amp;"",""))</f>
        <v/>
      </c>
      <c r="N2338" s="27" t="n">
        <f aca="false">N(N2337)+IF(AND(A2338&lt;&gt;"",OR(Recherche!$C$4="",A2338=Recherche!$C$4),OR(Recherche!$C$5="",B2338&amp;""=Recherche!$C$5&amp;""),OR(Recherche!$C$6="",IFERROR(YEAR(L2338),0)=Recherche!$C$6),OR(Recherche!$C$7="",ISNUMBER(SEARCH(Recherche!$C$7,H2338))),OR(Recherche!$C$8="",J2338=Recherche!$C$8),OR(Recherche!$C$9="",I2338=Recherche!$C$9),OR(Recherche!$C$10="",G2338&amp;""=Recherche!$C$10&amp;""),OR(Recherche!$C$11="",E2338=Recherche!$C$11),OR(Recherche!$C$12="",ISNUMBER(SEARCH(Recherche!$C$12,M2338&amp;" "&amp;F2338)))),1,0)</f>
        <v>8</v>
      </c>
    </row>
    <row r="2339" customFormat="false" ht="15" hidden="false" customHeight="false" outlineLevel="0" collapsed="false">
      <c r="A2339" s="19"/>
      <c r="B2339" s="19"/>
      <c r="C2339" s="19"/>
      <c r="D2339" s="19"/>
      <c r="E2339" s="22"/>
      <c r="F2339" s="19"/>
      <c r="G2339" s="26" t="str">
        <f aca="false">IF(D2339="","",IFERROR(VALUE(LEFT(D2339,FIND(" |",D2339&amp;" |")-1)),"?"))</f>
        <v/>
      </c>
      <c r="H2339" s="27" t="str">
        <f aca="false">IF(G2339="","",IF(G2339="?","⚠ pub inconnue",IFERROR(INDEX(Pubs!$B$2:$B$3001,MATCH(G2339,Pubs!$A$2:$A$3001,0))&amp;"","⚠ pub inconnue")))</f>
        <v/>
      </c>
      <c r="I2339" s="27" t="str">
        <f aca="false">IF(OR(G2339="",G2339="?"),"",IFERROR(INDEX(Pubs!$C$2:$C$3001,MATCH(G2339,Pubs!$A$2:$A$3001,0))&amp;"",""))</f>
        <v/>
      </c>
      <c r="J2339" s="27" t="str">
        <f aca="false">IF(OR(G2339="",G2339="?"),"",IFERROR(INDEX(Pubs!$G$2:$G$3001,MATCH(G2339,Pubs!$A$2:$A$3001,0))&amp;"",""))</f>
        <v/>
      </c>
      <c r="K2339" s="28" t="str">
        <f aca="false">IF(OR(G2339="",G2339="?"),"",IFERROR(INDEX(Pubs!$E$2:$E$3001,MATCH(G2339,Pubs!$A$2:$A$3001,0)),""))</f>
        <v/>
      </c>
      <c r="L2339" s="29" t="str">
        <f aca="false">IF(A2339="","",IFERROR(1/(1/INDEX(Numéros!$C$2:$C$3001,MATCH(A2339&amp;"|"&amp;B2339,Numéros!$F$2:$F$3001,0))),""))</f>
        <v/>
      </c>
      <c r="M2339" s="27" t="str">
        <f aca="false">IF(OR(G2339="",G2339="?"),"",IFERROR(INDEX(Pubs!$D$2:$D$3001,MATCH(G2339,Pubs!$A$2:$A$3001,0))&amp;"",""))</f>
        <v/>
      </c>
      <c r="N2339" s="27" t="n">
        <f aca="false">N(N2338)+IF(AND(A2339&lt;&gt;"",OR(Recherche!$C$4="",A2339=Recherche!$C$4),OR(Recherche!$C$5="",B2339&amp;""=Recherche!$C$5&amp;""),OR(Recherche!$C$6="",IFERROR(YEAR(L2339),0)=Recherche!$C$6),OR(Recherche!$C$7="",ISNUMBER(SEARCH(Recherche!$C$7,H2339))),OR(Recherche!$C$8="",J2339=Recherche!$C$8),OR(Recherche!$C$9="",I2339=Recherche!$C$9),OR(Recherche!$C$10="",G2339&amp;""=Recherche!$C$10&amp;""),OR(Recherche!$C$11="",E2339=Recherche!$C$11),OR(Recherche!$C$12="",ISNUMBER(SEARCH(Recherche!$C$12,M2339&amp;" "&amp;F2339)))),1,0)</f>
        <v>8</v>
      </c>
    </row>
    <row r="2340" customFormat="false" ht="15" hidden="false" customHeight="false" outlineLevel="0" collapsed="false">
      <c r="A2340" s="19"/>
      <c r="B2340" s="19"/>
      <c r="C2340" s="19"/>
      <c r="D2340" s="19"/>
      <c r="E2340" s="22"/>
      <c r="F2340" s="19"/>
      <c r="G2340" s="26" t="str">
        <f aca="false">IF(D2340="","",IFERROR(VALUE(LEFT(D2340,FIND(" |",D2340&amp;" |")-1)),"?"))</f>
        <v/>
      </c>
      <c r="H2340" s="27" t="str">
        <f aca="false">IF(G2340="","",IF(G2340="?","⚠ pub inconnue",IFERROR(INDEX(Pubs!$B$2:$B$3001,MATCH(G2340,Pubs!$A$2:$A$3001,0))&amp;"","⚠ pub inconnue")))</f>
        <v/>
      </c>
      <c r="I2340" s="27" t="str">
        <f aca="false">IF(OR(G2340="",G2340="?"),"",IFERROR(INDEX(Pubs!$C$2:$C$3001,MATCH(G2340,Pubs!$A$2:$A$3001,0))&amp;"",""))</f>
        <v/>
      </c>
      <c r="J2340" s="27" t="str">
        <f aca="false">IF(OR(G2340="",G2340="?"),"",IFERROR(INDEX(Pubs!$G$2:$G$3001,MATCH(G2340,Pubs!$A$2:$A$3001,0))&amp;"",""))</f>
        <v/>
      </c>
      <c r="K2340" s="28" t="str">
        <f aca="false">IF(OR(G2340="",G2340="?"),"",IFERROR(INDEX(Pubs!$E$2:$E$3001,MATCH(G2340,Pubs!$A$2:$A$3001,0)),""))</f>
        <v/>
      </c>
      <c r="L2340" s="29" t="str">
        <f aca="false">IF(A2340="","",IFERROR(1/(1/INDEX(Numéros!$C$2:$C$3001,MATCH(A2340&amp;"|"&amp;B2340,Numéros!$F$2:$F$3001,0))),""))</f>
        <v/>
      </c>
      <c r="M2340" s="27" t="str">
        <f aca="false">IF(OR(G2340="",G2340="?"),"",IFERROR(INDEX(Pubs!$D$2:$D$3001,MATCH(G2340,Pubs!$A$2:$A$3001,0))&amp;"",""))</f>
        <v/>
      </c>
      <c r="N2340" s="27" t="n">
        <f aca="false">N(N2339)+IF(AND(A2340&lt;&gt;"",OR(Recherche!$C$4="",A2340=Recherche!$C$4),OR(Recherche!$C$5="",B2340&amp;""=Recherche!$C$5&amp;""),OR(Recherche!$C$6="",IFERROR(YEAR(L2340),0)=Recherche!$C$6),OR(Recherche!$C$7="",ISNUMBER(SEARCH(Recherche!$C$7,H2340))),OR(Recherche!$C$8="",J2340=Recherche!$C$8),OR(Recherche!$C$9="",I2340=Recherche!$C$9),OR(Recherche!$C$10="",G2340&amp;""=Recherche!$C$10&amp;""),OR(Recherche!$C$11="",E2340=Recherche!$C$11),OR(Recherche!$C$12="",ISNUMBER(SEARCH(Recherche!$C$12,M2340&amp;" "&amp;F2340)))),1,0)</f>
        <v>8</v>
      </c>
    </row>
    <row r="2341" customFormat="false" ht="15" hidden="false" customHeight="false" outlineLevel="0" collapsed="false">
      <c r="A2341" s="19"/>
      <c r="B2341" s="19"/>
      <c r="C2341" s="19"/>
      <c r="D2341" s="19"/>
      <c r="E2341" s="22"/>
      <c r="F2341" s="19"/>
      <c r="G2341" s="26" t="str">
        <f aca="false">IF(D2341="","",IFERROR(VALUE(LEFT(D2341,FIND(" |",D2341&amp;" |")-1)),"?"))</f>
        <v/>
      </c>
      <c r="H2341" s="27" t="str">
        <f aca="false">IF(G2341="","",IF(G2341="?","⚠ pub inconnue",IFERROR(INDEX(Pubs!$B$2:$B$3001,MATCH(G2341,Pubs!$A$2:$A$3001,0))&amp;"","⚠ pub inconnue")))</f>
        <v/>
      </c>
      <c r="I2341" s="27" t="str">
        <f aca="false">IF(OR(G2341="",G2341="?"),"",IFERROR(INDEX(Pubs!$C$2:$C$3001,MATCH(G2341,Pubs!$A$2:$A$3001,0))&amp;"",""))</f>
        <v/>
      </c>
      <c r="J2341" s="27" t="str">
        <f aca="false">IF(OR(G2341="",G2341="?"),"",IFERROR(INDEX(Pubs!$G$2:$G$3001,MATCH(G2341,Pubs!$A$2:$A$3001,0))&amp;"",""))</f>
        <v/>
      </c>
      <c r="K2341" s="28" t="str">
        <f aca="false">IF(OR(G2341="",G2341="?"),"",IFERROR(INDEX(Pubs!$E$2:$E$3001,MATCH(G2341,Pubs!$A$2:$A$3001,0)),""))</f>
        <v/>
      </c>
      <c r="L2341" s="29" t="str">
        <f aca="false">IF(A2341="","",IFERROR(1/(1/INDEX(Numéros!$C$2:$C$3001,MATCH(A2341&amp;"|"&amp;B2341,Numéros!$F$2:$F$3001,0))),""))</f>
        <v/>
      </c>
      <c r="M2341" s="27" t="str">
        <f aca="false">IF(OR(G2341="",G2341="?"),"",IFERROR(INDEX(Pubs!$D$2:$D$3001,MATCH(G2341,Pubs!$A$2:$A$3001,0))&amp;"",""))</f>
        <v/>
      </c>
      <c r="N2341" s="27" t="n">
        <f aca="false">N(N2340)+IF(AND(A2341&lt;&gt;"",OR(Recherche!$C$4="",A2341=Recherche!$C$4),OR(Recherche!$C$5="",B2341&amp;""=Recherche!$C$5&amp;""),OR(Recherche!$C$6="",IFERROR(YEAR(L2341),0)=Recherche!$C$6),OR(Recherche!$C$7="",ISNUMBER(SEARCH(Recherche!$C$7,H2341))),OR(Recherche!$C$8="",J2341=Recherche!$C$8),OR(Recherche!$C$9="",I2341=Recherche!$C$9),OR(Recherche!$C$10="",G2341&amp;""=Recherche!$C$10&amp;""),OR(Recherche!$C$11="",E2341=Recherche!$C$11),OR(Recherche!$C$12="",ISNUMBER(SEARCH(Recherche!$C$12,M2341&amp;" "&amp;F2341)))),1,0)</f>
        <v>8</v>
      </c>
    </row>
    <row r="2342" customFormat="false" ht="15" hidden="false" customHeight="false" outlineLevel="0" collapsed="false">
      <c r="A2342" s="19"/>
      <c r="B2342" s="19"/>
      <c r="C2342" s="19"/>
      <c r="D2342" s="19"/>
      <c r="E2342" s="22"/>
      <c r="F2342" s="19"/>
      <c r="G2342" s="26" t="str">
        <f aca="false">IF(D2342="","",IFERROR(VALUE(LEFT(D2342,FIND(" |",D2342&amp;" |")-1)),"?"))</f>
        <v/>
      </c>
      <c r="H2342" s="27" t="str">
        <f aca="false">IF(G2342="","",IF(G2342="?","⚠ pub inconnue",IFERROR(INDEX(Pubs!$B$2:$B$3001,MATCH(G2342,Pubs!$A$2:$A$3001,0))&amp;"","⚠ pub inconnue")))</f>
        <v/>
      </c>
      <c r="I2342" s="27" t="str">
        <f aca="false">IF(OR(G2342="",G2342="?"),"",IFERROR(INDEX(Pubs!$C$2:$C$3001,MATCH(G2342,Pubs!$A$2:$A$3001,0))&amp;"",""))</f>
        <v/>
      </c>
      <c r="J2342" s="27" t="str">
        <f aca="false">IF(OR(G2342="",G2342="?"),"",IFERROR(INDEX(Pubs!$G$2:$G$3001,MATCH(G2342,Pubs!$A$2:$A$3001,0))&amp;"",""))</f>
        <v/>
      </c>
      <c r="K2342" s="28" t="str">
        <f aca="false">IF(OR(G2342="",G2342="?"),"",IFERROR(INDEX(Pubs!$E$2:$E$3001,MATCH(G2342,Pubs!$A$2:$A$3001,0)),""))</f>
        <v/>
      </c>
      <c r="L2342" s="29" t="str">
        <f aca="false">IF(A2342="","",IFERROR(1/(1/INDEX(Numéros!$C$2:$C$3001,MATCH(A2342&amp;"|"&amp;B2342,Numéros!$F$2:$F$3001,0))),""))</f>
        <v/>
      </c>
      <c r="M2342" s="27" t="str">
        <f aca="false">IF(OR(G2342="",G2342="?"),"",IFERROR(INDEX(Pubs!$D$2:$D$3001,MATCH(G2342,Pubs!$A$2:$A$3001,0))&amp;"",""))</f>
        <v/>
      </c>
      <c r="N2342" s="27" t="n">
        <f aca="false">N(N2341)+IF(AND(A2342&lt;&gt;"",OR(Recherche!$C$4="",A2342=Recherche!$C$4),OR(Recherche!$C$5="",B2342&amp;""=Recherche!$C$5&amp;""),OR(Recherche!$C$6="",IFERROR(YEAR(L2342),0)=Recherche!$C$6),OR(Recherche!$C$7="",ISNUMBER(SEARCH(Recherche!$C$7,H2342))),OR(Recherche!$C$8="",J2342=Recherche!$C$8),OR(Recherche!$C$9="",I2342=Recherche!$C$9),OR(Recherche!$C$10="",G2342&amp;""=Recherche!$C$10&amp;""),OR(Recherche!$C$11="",E2342=Recherche!$C$11),OR(Recherche!$C$12="",ISNUMBER(SEARCH(Recherche!$C$12,M2342&amp;" "&amp;F2342)))),1,0)</f>
        <v>8</v>
      </c>
    </row>
    <row r="2343" customFormat="false" ht="15" hidden="false" customHeight="false" outlineLevel="0" collapsed="false">
      <c r="A2343" s="19"/>
      <c r="B2343" s="19"/>
      <c r="C2343" s="19"/>
      <c r="D2343" s="19"/>
      <c r="E2343" s="22"/>
      <c r="F2343" s="19"/>
      <c r="G2343" s="26" t="str">
        <f aca="false">IF(D2343="","",IFERROR(VALUE(LEFT(D2343,FIND(" |",D2343&amp;" |")-1)),"?"))</f>
        <v/>
      </c>
      <c r="H2343" s="27" t="str">
        <f aca="false">IF(G2343="","",IF(G2343="?","⚠ pub inconnue",IFERROR(INDEX(Pubs!$B$2:$B$3001,MATCH(G2343,Pubs!$A$2:$A$3001,0))&amp;"","⚠ pub inconnue")))</f>
        <v/>
      </c>
      <c r="I2343" s="27" t="str">
        <f aca="false">IF(OR(G2343="",G2343="?"),"",IFERROR(INDEX(Pubs!$C$2:$C$3001,MATCH(G2343,Pubs!$A$2:$A$3001,0))&amp;"",""))</f>
        <v/>
      </c>
      <c r="J2343" s="27" t="str">
        <f aca="false">IF(OR(G2343="",G2343="?"),"",IFERROR(INDEX(Pubs!$G$2:$G$3001,MATCH(G2343,Pubs!$A$2:$A$3001,0))&amp;"",""))</f>
        <v/>
      </c>
      <c r="K2343" s="28" t="str">
        <f aca="false">IF(OR(G2343="",G2343="?"),"",IFERROR(INDEX(Pubs!$E$2:$E$3001,MATCH(G2343,Pubs!$A$2:$A$3001,0)),""))</f>
        <v/>
      </c>
      <c r="L2343" s="29" t="str">
        <f aca="false">IF(A2343="","",IFERROR(1/(1/INDEX(Numéros!$C$2:$C$3001,MATCH(A2343&amp;"|"&amp;B2343,Numéros!$F$2:$F$3001,0))),""))</f>
        <v/>
      </c>
      <c r="M2343" s="27" t="str">
        <f aca="false">IF(OR(G2343="",G2343="?"),"",IFERROR(INDEX(Pubs!$D$2:$D$3001,MATCH(G2343,Pubs!$A$2:$A$3001,0))&amp;"",""))</f>
        <v/>
      </c>
      <c r="N2343" s="27" t="n">
        <f aca="false">N(N2342)+IF(AND(A2343&lt;&gt;"",OR(Recherche!$C$4="",A2343=Recherche!$C$4),OR(Recherche!$C$5="",B2343&amp;""=Recherche!$C$5&amp;""),OR(Recherche!$C$6="",IFERROR(YEAR(L2343),0)=Recherche!$C$6),OR(Recherche!$C$7="",ISNUMBER(SEARCH(Recherche!$C$7,H2343))),OR(Recherche!$C$8="",J2343=Recherche!$C$8),OR(Recherche!$C$9="",I2343=Recherche!$C$9),OR(Recherche!$C$10="",G2343&amp;""=Recherche!$C$10&amp;""),OR(Recherche!$C$11="",E2343=Recherche!$C$11),OR(Recherche!$C$12="",ISNUMBER(SEARCH(Recherche!$C$12,M2343&amp;" "&amp;F2343)))),1,0)</f>
        <v>8</v>
      </c>
    </row>
    <row r="2344" customFormat="false" ht="15" hidden="false" customHeight="false" outlineLevel="0" collapsed="false">
      <c r="A2344" s="19"/>
      <c r="B2344" s="19"/>
      <c r="C2344" s="19"/>
      <c r="D2344" s="19"/>
      <c r="E2344" s="22"/>
      <c r="F2344" s="19"/>
      <c r="G2344" s="26" t="str">
        <f aca="false">IF(D2344="","",IFERROR(VALUE(LEFT(D2344,FIND(" |",D2344&amp;" |")-1)),"?"))</f>
        <v/>
      </c>
      <c r="H2344" s="27" t="str">
        <f aca="false">IF(G2344="","",IF(G2344="?","⚠ pub inconnue",IFERROR(INDEX(Pubs!$B$2:$B$3001,MATCH(G2344,Pubs!$A$2:$A$3001,0))&amp;"","⚠ pub inconnue")))</f>
        <v/>
      </c>
      <c r="I2344" s="27" t="str">
        <f aca="false">IF(OR(G2344="",G2344="?"),"",IFERROR(INDEX(Pubs!$C$2:$C$3001,MATCH(G2344,Pubs!$A$2:$A$3001,0))&amp;"",""))</f>
        <v/>
      </c>
      <c r="J2344" s="27" t="str">
        <f aca="false">IF(OR(G2344="",G2344="?"),"",IFERROR(INDEX(Pubs!$G$2:$G$3001,MATCH(G2344,Pubs!$A$2:$A$3001,0))&amp;"",""))</f>
        <v/>
      </c>
      <c r="K2344" s="28" t="str">
        <f aca="false">IF(OR(G2344="",G2344="?"),"",IFERROR(INDEX(Pubs!$E$2:$E$3001,MATCH(G2344,Pubs!$A$2:$A$3001,0)),""))</f>
        <v/>
      </c>
      <c r="L2344" s="29" t="str">
        <f aca="false">IF(A2344="","",IFERROR(1/(1/INDEX(Numéros!$C$2:$C$3001,MATCH(A2344&amp;"|"&amp;B2344,Numéros!$F$2:$F$3001,0))),""))</f>
        <v/>
      </c>
      <c r="M2344" s="27" t="str">
        <f aca="false">IF(OR(G2344="",G2344="?"),"",IFERROR(INDEX(Pubs!$D$2:$D$3001,MATCH(G2344,Pubs!$A$2:$A$3001,0))&amp;"",""))</f>
        <v/>
      </c>
      <c r="N2344" s="27" t="n">
        <f aca="false">N(N2343)+IF(AND(A2344&lt;&gt;"",OR(Recherche!$C$4="",A2344=Recherche!$C$4),OR(Recherche!$C$5="",B2344&amp;""=Recherche!$C$5&amp;""),OR(Recherche!$C$6="",IFERROR(YEAR(L2344),0)=Recherche!$C$6),OR(Recherche!$C$7="",ISNUMBER(SEARCH(Recherche!$C$7,H2344))),OR(Recherche!$C$8="",J2344=Recherche!$C$8),OR(Recherche!$C$9="",I2344=Recherche!$C$9),OR(Recherche!$C$10="",G2344&amp;""=Recherche!$C$10&amp;""),OR(Recherche!$C$11="",E2344=Recherche!$C$11),OR(Recherche!$C$12="",ISNUMBER(SEARCH(Recherche!$C$12,M2344&amp;" "&amp;F2344)))),1,0)</f>
        <v>8</v>
      </c>
    </row>
    <row r="2345" customFormat="false" ht="15" hidden="false" customHeight="false" outlineLevel="0" collapsed="false">
      <c r="A2345" s="19"/>
      <c r="B2345" s="19"/>
      <c r="C2345" s="19"/>
      <c r="D2345" s="19"/>
      <c r="E2345" s="22"/>
      <c r="F2345" s="19"/>
      <c r="G2345" s="26" t="str">
        <f aca="false">IF(D2345="","",IFERROR(VALUE(LEFT(D2345,FIND(" |",D2345&amp;" |")-1)),"?"))</f>
        <v/>
      </c>
      <c r="H2345" s="27" t="str">
        <f aca="false">IF(G2345="","",IF(G2345="?","⚠ pub inconnue",IFERROR(INDEX(Pubs!$B$2:$B$3001,MATCH(G2345,Pubs!$A$2:$A$3001,0))&amp;"","⚠ pub inconnue")))</f>
        <v/>
      </c>
      <c r="I2345" s="27" t="str">
        <f aca="false">IF(OR(G2345="",G2345="?"),"",IFERROR(INDEX(Pubs!$C$2:$C$3001,MATCH(G2345,Pubs!$A$2:$A$3001,0))&amp;"",""))</f>
        <v/>
      </c>
      <c r="J2345" s="27" t="str">
        <f aca="false">IF(OR(G2345="",G2345="?"),"",IFERROR(INDEX(Pubs!$G$2:$G$3001,MATCH(G2345,Pubs!$A$2:$A$3001,0))&amp;"",""))</f>
        <v/>
      </c>
      <c r="K2345" s="28" t="str">
        <f aca="false">IF(OR(G2345="",G2345="?"),"",IFERROR(INDEX(Pubs!$E$2:$E$3001,MATCH(G2345,Pubs!$A$2:$A$3001,0)),""))</f>
        <v/>
      </c>
      <c r="L2345" s="29" t="str">
        <f aca="false">IF(A2345="","",IFERROR(1/(1/INDEX(Numéros!$C$2:$C$3001,MATCH(A2345&amp;"|"&amp;B2345,Numéros!$F$2:$F$3001,0))),""))</f>
        <v/>
      </c>
      <c r="M2345" s="27" t="str">
        <f aca="false">IF(OR(G2345="",G2345="?"),"",IFERROR(INDEX(Pubs!$D$2:$D$3001,MATCH(G2345,Pubs!$A$2:$A$3001,0))&amp;"",""))</f>
        <v/>
      </c>
      <c r="N2345" s="27" t="n">
        <f aca="false">N(N2344)+IF(AND(A2345&lt;&gt;"",OR(Recherche!$C$4="",A2345=Recherche!$C$4),OR(Recherche!$C$5="",B2345&amp;""=Recherche!$C$5&amp;""),OR(Recherche!$C$6="",IFERROR(YEAR(L2345),0)=Recherche!$C$6),OR(Recherche!$C$7="",ISNUMBER(SEARCH(Recherche!$C$7,H2345))),OR(Recherche!$C$8="",J2345=Recherche!$C$8),OR(Recherche!$C$9="",I2345=Recherche!$C$9),OR(Recherche!$C$10="",G2345&amp;""=Recherche!$C$10&amp;""),OR(Recherche!$C$11="",E2345=Recherche!$C$11),OR(Recherche!$C$12="",ISNUMBER(SEARCH(Recherche!$C$12,M2345&amp;" "&amp;F2345)))),1,0)</f>
        <v>8</v>
      </c>
    </row>
    <row r="2346" customFormat="false" ht="15" hidden="false" customHeight="false" outlineLevel="0" collapsed="false">
      <c r="A2346" s="19"/>
      <c r="B2346" s="19"/>
      <c r="C2346" s="19"/>
      <c r="D2346" s="19"/>
      <c r="E2346" s="22"/>
      <c r="F2346" s="19"/>
      <c r="G2346" s="26" t="str">
        <f aca="false">IF(D2346="","",IFERROR(VALUE(LEFT(D2346,FIND(" |",D2346&amp;" |")-1)),"?"))</f>
        <v/>
      </c>
      <c r="H2346" s="27" t="str">
        <f aca="false">IF(G2346="","",IF(G2346="?","⚠ pub inconnue",IFERROR(INDEX(Pubs!$B$2:$B$3001,MATCH(G2346,Pubs!$A$2:$A$3001,0))&amp;"","⚠ pub inconnue")))</f>
        <v/>
      </c>
      <c r="I2346" s="27" t="str">
        <f aca="false">IF(OR(G2346="",G2346="?"),"",IFERROR(INDEX(Pubs!$C$2:$C$3001,MATCH(G2346,Pubs!$A$2:$A$3001,0))&amp;"",""))</f>
        <v/>
      </c>
      <c r="J2346" s="27" t="str">
        <f aca="false">IF(OR(G2346="",G2346="?"),"",IFERROR(INDEX(Pubs!$G$2:$G$3001,MATCH(G2346,Pubs!$A$2:$A$3001,0))&amp;"",""))</f>
        <v/>
      </c>
      <c r="K2346" s="28" t="str">
        <f aca="false">IF(OR(G2346="",G2346="?"),"",IFERROR(INDEX(Pubs!$E$2:$E$3001,MATCH(G2346,Pubs!$A$2:$A$3001,0)),""))</f>
        <v/>
      </c>
      <c r="L2346" s="29" t="str">
        <f aca="false">IF(A2346="","",IFERROR(1/(1/INDEX(Numéros!$C$2:$C$3001,MATCH(A2346&amp;"|"&amp;B2346,Numéros!$F$2:$F$3001,0))),""))</f>
        <v/>
      </c>
      <c r="M2346" s="27" t="str">
        <f aca="false">IF(OR(G2346="",G2346="?"),"",IFERROR(INDEX(Pubs!$D$2:$D$3001,MATCH(G2346,Pubs!$A$2:$A$3001,0))&amp;"",""))</f>
        <v/>
      </c>
      <c r="N2346" s="27" t="n">
        <f aca="false">N(N2345)+IF(AND(A2346&lt;&gt;"",OR(Recherche!$C$4="",A2346=Recherche!$C$4),OR(Recherche!$C$5="",B2346&amp;""=Recherche!$C$5&amp;""),OR(Recherche!$C$6="",IFERROR(YEAR(L2346),0)=Recherche!$C$6),OR(Recherche!$C$7="",ISNUMBER(SEARCH(Recherche!$C$7,H2346))),OR(Recherche!$C$8="",J2346=Recherche!$C$8),OR(Recherche!$C$9="",I2346=Recherche!$C$9),OR(Recherche!$C$10="",G2346&amp;""=Recherche!$C$10&amp;""),OR(Recherche!$C$11="",E2346=Recherche!$C$11),OR(Recherche!$C$12="",ISNUMBER(SEARCH(Recherche!$C$12,M2346&amp;" "&amp;F2346)))),1,0)</f>
        <v>8</v>
      </c>
    </row>
    <row r="2347" customFormat="false" ht="15" hidden="false" customHeight="false" outlineLevel="0" collapsed="false">
      <c r="A2347" s="19"/>
      <c r="B2347" s="19"/>
      <c r="C2347" s="19"/>
      <c r="D2347" s="19"/>
      <c r="E2347" s="22"/>
      <c r="F2347" s="19"/>
      <c r="G2347" s="26" t="str">
        <f aca="false">IF(D2347="","",IFERROR(VALUE(LEFT(D2347,FIND(" |",D2347&amp;" |")-1)),"?"))</f>
        <v/>
      </c>
      <c r="H2347" s="27" t="str">
        <f aca="false">IF(G2347="","",IF(G2347="?","⚠ pub inconnue",IFERROR(INDEX(Pubs!$B$2:$B$3001,MATCH(G2347,Pubs!$A$2:$A$3001,0))&amp;"","⚠ pub inconnue")))</f>
        <v/>
      </c>
      <c r="I2347" s="27" t="str">
        <f aca="false">IF(OR(G2347="",G2347="?"),"",IFERROR(INDEX(Pubs!$C$2:$C$3001,MATCH(G2347,Pubs!$A$2:$A$3001,0))&amp;"",""))</f>
        <v/>
      </c>
      <c r="J2347" s="27" t="str">
        <f aca="false">IF(OR(G2347="",G2347="?"),"",IFERROR(INDEX(Pubs!$G$2:$G$3001,MATCH(G2347,Pubs!$A$2:$A$3001,0))&amp;"",""))</f>
        <v/>
      </c>
      <c r="K2347" s="28" t="str">
        <f aca="false">IF(OR(G2347="",G2347="?"),"",IFERROR(INDEX(Pubs!$E$2:$E$3001,MATCH(G2347,Pubs!$A$2:$A$3001,0)),""))</f>
        <v/>
      </c>
      <c r="L2347" s="29" t="str">
        <f aca="false">IF(A2347="","",IFERROR(1/(1/INDEX(Numéros!$C$2:$C$3001,MATCH(A2347&amp;"|"&amp;B2347,Numéros!$F$2:$F$3001,0))),""))</f>
        <v/>
      </c>
      <c r="M2347" s="27" t="str">
        <f aca="false">IF(OR(G2347="",G2347="?"),"",IFERROR(INDEX(Pubs!$D$2:$D$3001,MATCH(G2347,Pubs!$A$2:$A$3001,0))&amp;"",""))</f>
        <v/>
      </c>
      <c r="N2347" s="27" t="n">
        <f aca="false">N(N2346)+IF(AND(A2347&lt;&gt;"",OR(Recherche!$C$4="",A2347=Recherche!$C$4),OR(Recherche!$C$5="",B2347&amp;""=Recherche!$C$5&amp;""),OR(Recherche!$C$6="",IFERROR(YEAR(L2347),0)=Recherche!$C$6),OR(Recherche!$C$7="",ISNUMBER(SEARCH(Recherche!$C$7,H2347))),OR(Recherche!$C$8="",J2347=Recherche!$C$8),OR(Recherche!$C$9="",I2347=Recherche!$C$9),OR(Recherche!$C$10="",G2347&amp;""=Recherche!$C$10&amp;""),OR(Recherche!$C$11="",E2347=Recherche!$C$11),OR(Recherche!$C$12="",ISNUMBER(SEARCH(Recherche!$C$12,M2347&amp;" "&amp;F2347)))),1,0)</f>
        <v>8</v>
      </c>
    </row>
    <row r="2348" customFormat="false" ht="15" hidden="false" customHeight="false" outlineLevel="0" collapsed="false">
      <c r="A2348" s="19"/>
      <c r="B2348" s="19"/>
      <c r="C2348" s="19"/>
      <c r="D2348" s="19"/>
      <c r="E2348" s="22"/>
      <c r="F2348" s="19"/>
      <c r="G2348" s="26" t="str">
        <f aca="false">IF(D2348="","",IFERROR(VALUE(LEFT(D2348,FIND(" |",D2348&amp;" |")-1)),"?"))</f>
        <v/>
      </c>
      <c r="H2348" s="27" t="str">
        <f aca="false">IF(G2348="","",IF(G2348="?","⚠ pub inconnue",IFERROR(INDEX(Pubs!$B$2:$B$3001,MATCH(G2348,Pubs!$A$2:$A$3001,0))&amp;"","⚠ pub inconnue")))</f>
        <v/>
      </c>
      <c r="I2348" s="27" t="str">
        <f aca="false">IF(OR(G2348="",G2348="?"),"",IFERROR(INDEX(Pubs!$C$2:$C$3001,MATCH(G2348,Pubs!$A$2:$A$3001,0))&amp;"",""))</f>
        <v/>
      </c>
      <c r="J2348" s="27" t="str">
        <f aca="false">IF(OR(G2348="",G2348="?"),"",IFERROR(INDEX(Pubs!$G$2:$G$3001,MATCH(G2348,Pubs!$A$2:$A$3001,0))&amp;"",""))</f>
        <v/>
      </c>
      <c r="K2348" s="28" t="str">
        <f aca="false">IF(OR(G2348="",G2348="?"),"",IFERROR(INDEX(Pubs!$E$2:$E$3001,MATCH(G2348,Pubs!$A$2:$A$3001,0)),""))</f>
        <v/>
      </c>
      <c r="L2348" s="29" t="str">
        <f aca="false">IF(A2348="","",IFERROR(1/(1/INDEX(Numéros!$C$2:$C$3001,MATCH(A2348&amp;"|"&amp;B2348,Numéros!$F$2:$F$3001,0))),""))</f>
        <v/>
      </c>
      <c r="M2348" s="27" t="str">
        <f aca="false">IF(OR(G2348="",G2348="?"),"",IFERROR(INDEX(Pubs!$D$2:$D$3001,MATCH(G2348,Pubs!$A$2:$A$3001,0))&amp;"",""))</f>
        <v/>
      </c>
      <c r="N2348" s="27" t="n">
        <f aca="false">N(N2347)+IF(AND(A2348&lt;&gt;"",OR(Recherche!$C$4="",A2348=Recherche!$C$4),OR(Recherche!$C$5="",B2348&amp;""=Recherche!$C$5&amp;""),OR(Recherche!$C$6="",IFERROR(YEAR(L2348),0)=Recherche!$C$6),OR(Recherche!$C$7="",ISNUMBER(SEARCH(Recherche!$C$7,H2348))),OR(Recherche!$C$8="",J2348=Recherche!$C$8),OR(Recherche!$C$9="",I2348=Recherche!$C$9),OR(Recherche!$C$10="",G2348&amp;""=Recherche!$C$10&amp;""),OR(Recherche!$C$11="",E2348=Recherche!$C$11),OR(Recherche!$C$12="",ISNUMBER(SEARCH(Recherche!$C$12,M2348&amp;" "&amp;F2348)))),1,0)</f>
        <v>8</v>
      </c>
    </row>
    <row r="2349" customFormat="false" ht="15" hidden="false" customHeight="false" outlineLevel="0" collapsed="false">
      <c r="A2349" s="19"/>
      <c r="B2349" s="19"/>
      <c r="C2349" s="19"/>
      <c r="D2349" s="19"/>
      <c r="E2349" s="22"/>
      <c r="F2349" s="19"/>
      <c r="G2349" s="26" t="str">
        <f aca="false">IF(D2349="","",IFERROR(VALUE(LEFT(D2349,FIND(" |",D2349&amp;" |")-1)),"?"))</f>
        <v/>
      </c>
      <c r="H2349" s="27" t="str">
        <f aca="false">IF(G2349="","",IF(G2349="?","⚠ pub inconnue",IFERROR(INDEX(Pubs!$B$2:$B$3001,MATCH(G2349,Pubs!$A$2:$A$3001,0))&amp;"","⚠ pub inconnue")))</f>
        <v/>
      </c>
      <c r="I2349" s="27" t="str">
        <f aca="false">IF(OR(G2349="",G2349="?"),"",IFERROR(INDEX(Pubs!$C$2:$C$3001,MATCH(G2349,Pubs!$A$2:$A$3001,0))&amp;"",""))</f>
        <v/>
      </c>
      <c r="J2349" s="27" t="str">
        <f aca="false">IF(OR(G2349="",G2349="?"),"",IFERROR(INDEX(Pubs!$G$2:$G$3001,MATCH(G2349,Pubs!$A$2:$A$3001,0))&amp;"",""))</f>
        <v/>
      </c>
      <c r="K2349" s="28" t="str">
        <f aca="false">IF(OR(G2349="",G2349="?"),"",IFERROR(INDEX(Pubs!$E$2:$E$3001,MATCH(G2349,Pubs!$A$2:$A$3001,0)),""))</f>
        <v/>
      </c>
      <c r="L2349" s="29" t="str">
        <f aca="false">IF(A2349="","",IFERROR(1/(1/INDEX(Numéros!$C$2:$C$3001,MATCH(A2349&amp;"|"&amp;B2349,Numéros!$F$2:$F$3001,0))),""))</f>
        <v/>
      </c>
      <c r="M2349" s="27" t="str">
        <f aca="false">IF(OR(G2349="",G2349="?"),"",IFERROR(INDEX(Pubs!$D$2:$D$3001,MATCH(G2349,Pubs!$A$2:$A$3001,0))&amp;"",""))</f>
        <v/>
      </c>
      <c r="N2349" s="27" t="n">
        <f aca="false">N(N2348)+IF(AND(A2349&lt;&gt;"",OR(Recherche!$C$4="",A2349=Recherche!$C$4),OR(Recherche!$C$5="",B2349&amp;""=Recherche!$C$5&amp;""),OR(Recherche!$C$6="",IFERROR(YEAR(L2349),0)=Recherche!$C$6),OR(Recherche!$C$7="",ISNUMBER(SEARCH(Recherche!$C$7,H2349))),OR(Recherche!$C$8="",J2349=Recherche!$C$8),OR(Recherche!$C$9="",I2349=Recherche!$C$9),OR(Recherche!$C$10="",G2349&amp;""=Recherche!$C$10&amp;""),OR(Recherche!$C$11="",E2349=Recherche!$C$11),OR(Recherche!$C$12="",ISNUMBER(SEARCH(Recherche!$C$12,M2349&amp;" "&amp;F2349)))),1,0)</f>
        <v>8</v>
      </c>
    </row>
    <row r="2350" customFormat="false" ht="15" hidden="false" customHeight="false" outlineLevel="0" collapsed="false">
      <c r="A2350" s="19"/>
      <c r="B2350" s="19"/>
      <c r="C2350" s="19"/>
      <c r="D2350" s="19"/>
      <c r="E2350" s="22"/>
      <c r="F2350" s="19"/>
      <c r="G2350" s="26" t="str">
        <f aca="false">IF(D2350="","",IFERROR(VALUE(LEFT(D2350,FIND(" |",D2350&amp;" |")-1)),"?"))</f>
        <v/>
      </c>
      <c r="H2350" s="27" t="str">
        <f aca="false">IF(G2350="","",IF(G2350="?","⚠ pub inconnue",IFERROR(INDEX(Pubs!$B$2:$B$3001,MATCH(G2350,Pubs!$A$2:$A$3001,0))&amp;"","⚠ pub inconnue")))</f>
        <v/>
      </c>
      <c r="I2350" s="27" t="str">
        <f aca="false">IF(OR(G2350="",G2350="?"),"",IFERROR(INDEX(Pubs!$C$2:$C$3001,MATCH(G2350,Pubs!$A$2:$A$3001,0))&amp;"",""))</f>
        <v/>
      </c>
      <c r="J2350" s="27" t="str">
        <f aca="false">IF(OR(G2350="",G2350="?"),"",IFERROR(INDEX(Pubs!$G$2:$G$3001,MATCH(G2350,Pubs!$A$2:$A$3001,0))&amp;"",""))</f>
        <v/>
      </c>
      <c r="K2350" s="28" t="str">
        <f aca="false">IF(OR(G2350="",G2350="?"),"",IFERROR(INDEX(Pubs!$E$2:$E$3001,MATCH(G2350,Pubs!$A$2:$A$3001,0)),""))</f>
        <v/>
      </c>
      <c r="L2350" s="29" t="str">
        <f aca="false">IF(A2350="","",IFERROR(1/(1/INDEX(Numéros!$C$2:$C$3001,MATCH(A2350&amp;"|"&amp;B2350,Numéros!$F$2:$F$3001,0))),""))</f>
        <v/>
      </c>
      <c r="M2350" s="27" t="str">
        <f aca="false">IF(OR(G2350="",G2350="?"),"",IFERROR(INDEX(Pubs!$D$2:$D$3001,MATCH(G2350,Pubs!$A$2:$A$3001,0))&amp;"",""))</f>
        <v/>
      </c>
      <c r="N2350" s="27" t="n">
        <f aca="false">N(N2349)+IF(AND(A2350&lt;&gt;"",OR(Recherche!$C$4="",A2350=Recherche!$C$4),OR(Recherche!$C$5="",B2350&amp;""=Recherche!$C$5&amp;""),OR(Recherche!$C$6="",IFERROR(YEAR(L2350),0)=Recherche!$C$6),OR(Recherche!$C$7="",ISNUMBER(SEARCH(Recherche!$C$7,H2350))),OR(Recherche!$C$8="",J2350=Recherche!$C$8),OR(Recherche!$C$9="",I2350=Recherche!$C$9),OR(Recherche!$C$10="",G2350&amp;""=Recherche!$C$10&amp;""),OR(Recherche!$C$11="",E2350=Recherche!$C$11),OR(Recherche!$C$12="",ISNUMBER(SEARCH(Recherche!$C$12,M2350&amp;" "&amp;F2350)))),1,0)</f>
        <v>8</v>
      </c>
    </row>
    <row r="2351" customFormat="false" ht="15" hidden="false" customHeight="false" outlineLevel="0" collapsed="false">
      <c r="A2351" s="19"/>
      <c r="B2351" s="19"/>
      <c r="C2351" s="19"/>
      <c r="D2351" s="19"/>
      <c r="E2351" s="22"/>
      <c r="F2351" s="19"/>
      <c r="G2351" s="26" t="str">
        <f aca="false">IF(D2351="","",IFERROR(VALUE(LEFT(D2351,FIND(" |",D2351&amp;" |")-1)),"?"))</f>
        <v/>
      </c>
      <c r="H2351" s="27" t="str">
        <f aca="false">IF(G2351="","",IF(G2351="?","⚠ pub inconnue",IFERROR(INDEX(Pubs!$B$2:$B$3001,MATCH(G2351,Pubs!$A$2:$A$3001,0))&amp;"","⚠ pub inconnue")))</f>
        <v/>
      </c>
      <c r="I2351" s="27" t="str">
        <f aca="false">IF(OR(G2351="",G2351="?"),"",IFERROR(INDEX(Pubs!$C$2:$C$3001,MATCH(G2351,Pubs!$A$2:$A$3001,0))&amp;"",""))</f>
        <v/>
      </c>
      <c r="J2351" s="27" t="str">
        <f aca="false">IF(OR(G2351="",G2351="?"),"",IFERROR(INDEX(Pubs!$G$2:$G$3001,MATCH(G2351,Pubs!$A$2:$A$3001,0))&amp;"",""))</f>
        <v/>
      </c>
      <c r="K2351" s="28" t="str">
        <f aca="false">IF(OR(G2351="",G2351="?"),"",IFERROR(INDEX(Pubs!$E$2:$E$3001,MATCH(G2351,Pubs!$A$2:$A$3001,0)),""))</f>
        <v/>
      </c>
      <c r="L2351" s="29" t="str">
        <f aca="false">IF(A2351="","",IFERROR(1/(1/INDEX(Numéros!$C$2:$C$3001,MATCH(A2351&amp;"|"&amp;B2351,Numéros!$F$2:$F$3001,0))),""))</f>
        <v/>
      </c>
      <c r="M2351" s="27" t="str">
        <f aca="false">IF(OR(G2351="",G2351="?"),"",IFERROR(INDEX(Pubs!$D$2:$D$3001,MATCH(G2351,Pubs!$A$2:$A$3001,0))&amp;"",""))</f>
        <v/>
      </c>
      <c r="N2351" s="27" t="n">
        <f aca="false">N(N2350)+IF(AND(A2351&lt;&gt;"",OR(Recherche!$C$4="",A2351=Recherche!$C$4),OR(Recherche!$C$5="",B2351&amp;""=Recherche!$C$5&amp;""),OR(Recherche!$C$6="",IFERROR(YEAR(L2351),0)=Recherche!$C$6),OR(Recherche!$C$7="",ISNUMBER(SEARCH(Recherche!$C$7,H2351))),OR(Recherche!$C$8="",J2351=Recherche!$C$8),OR(Recherche!$C$9="",I2351=Recherche!$C$9),OR(Recherche!$C$10="",G2351&amp;""=Recherche!$C$10&amp;""),OR(Recherche!$C$11="",E2351=Recherche!$C$11),OR(Recherche!$C$12="",ISNUMBER(SEARCH(Recherche!$C$12,M2351&amp;" "&amp;F2351)))),1,0)</f>
        <v>8</v>
      </c>
    </row>
    <row r="2352" customFormat="false" ht="15" hidden="false" customHeight="false" outlineLevel="0" collapsed="false">
      <c r="A2352" s="19"/>
      <c r="B2352" s="19"/>
      <c r="C2352" s="19"/>
      <c r="D2352" s="19"/>
      <c r="E2352" s="22"/>
      <c r="F2352" s="19"/>
      <c r="G2352" s="26" t="str">
        <f aca="false">IF(D2352="","",IFERROR(VALUE(LEFT(D2352,FIND(" |",D2352&amp;" |")-1)),"?"))</f>
        <v/>
      </c>
      <c r="H2352" s="27" t="str">
        <f aca="false">IF(G2352="","",IF(G2352="?","⚠ pub inconnue",IFERROR(INDEX(Pubs!$B$2:$B$3001,MATCH(G2352,Pubs!$A$2:$A$3001,0))&amp;"","⚠ pub inconnue")))</f>
        <v/>
      </c>
      <c r="I2352" s="27" t="str">
        <f aca="false">IF(OR(G2352="",G2352="?"),"",IFERROR(INDEX(Pubs!$C$2:$C$3001,MATCH(G2352,Pubs!$A$2:$A$3001,0))&amp;"",""))</f>
        <v/>
      </c>
      <c r="J2352" s="27" t="str">
        <f aca="false">IF(OR(G2352="",G2352="?"),"",IFERROR(INDEX(Pubs!$G$2:$G$3001,MATCH(G2352,Pubs!$A$2:$A$3001,0))&amp;"",""))</f>
        <v/>
      </c>
      <c r="K2352" s="28" t="str">
        <f aca="false">IF(OR(G2352="",G2352="?"),"",IFERROR(INDEX(Pubs!$E$2:$E$3001,MATCH(G2352,Pubs!$A$2:$A$3001,0)),""))</f>
        <v/>
      </c>
      <c r="L2352" s="29" t="str">
        <f aca="false">IF(A2352="","",IFERROR(1/(1/INDEX(Numéros!$C$2:$C$3001,MATCH(A2352&amp;"|"&amp;B2352,Numéros!$F$2:$F$3001,0))),""))</f>
        <v/>
      </c>
      <c r="M2352" s="27" t="str">
        <f aca="false">IF(OR(G2352="",G2352="?"),"",IFERROR(INDEX(Pubs!$D$2:$D$3001,MATCH(G2352,Pubs!$A$2:$A$3001,0))&amp;"",""))</f>
        <v/>
      </c>
      <c r="N2352" s="27" t="n">
        <f aca="false">N(N2351)+IF(AND(A2352&lt;&gt;"",OR(Recherche!$C$4="",A2352=Recherche!$C$4),OR(Recherche!$C$5="",B2352&amp;""=Recherche!$C$5&amp;""),OR(Recherche!$C$6="",IFERROR(YEAR(L2352),0)=Recherche!$C$6),OR(Recherche!$C$7="",ISNUMBER(SEARCH(Recherche!$C$7,H2352))),OR(Recherche!$C$8="",J2352=Recherche!$C$8),OR(Recherche!$C$9="",I2352=Recherche!$C$9),OR(Recherche!$C$10="",G2352&amp;""=Recherche!$C$10&amp;""),OR(Recherche!$C$11="",E2352=Recherche!$C$11),OR(Recherche!$C$12="",ISNUMBER(SEARCH(Recherche!$C$12,M2352&amp;" "&amp;F2352)))),1,0)</f>
        <v>8</v>
      </c>
    </row>
    <row r="2353" customFormat="false" ht="15" hidden="false" customHeight="false" outlineLevel="0" collapsed="false">
      <c r="A2353" s="19"/>
      <c r="B2353" s="19"/>
      <c r="C2353" s="19"/>
      <c r="D2353" s="19"/>
      <c r="E2353" s="22"/>
      <c r="F2353" s="19"/>
      <c r="G2353" s="26" t="str">
        <f aca="false">IF(D2353="","",IFERROR(VALUE(LEFT(D2353,FIND(" |",D2353&amp;" |")-1)),"?"))</f>
        <v/>
      </c>
      <c r="H2353" s="27" t="str">
        <f aca="false">IF(G2353="","",IF(G2353="?","⚠ pub inconnue",IFERROR(INDEX(Pubs!$B$2:$B$3001,MATCH(G2353,Pubs!$A$2:$A$3001,0))&amp;"","⚠ pub inconnue")))</f>
        <v/>
      </c>
      <c r="I2353" s="27" t="str">
        <f aca="false">IF(OR(G2353="",G2353="?"),"",IFERROR(INDEX(Pubs!$C$2:$C$3001,MATCH(G2353,Pubs!$A$2:$A$3001,0))&amp;"",""))</f>
        <v/>
      </c>
      <c r="J2353" s="27" t="str">
        <f aca="false">IF(OR(G2353="",G2353="?"),"",IFERROR(INDEX(Pubs!$G$2:$G$3001,MATCH(G2353,Pubs!$A$2:$A$3001,0))&amp;"",""))</f>
        <v/>
      </c>
      <c r="K2353" s="28" t="str">
        <f aca="false">IF(OR(G2353="",G2353="?"),"",IFERROR(INDEX(Pubs!$E$2:$E$3001,MATCH(G2353,Pubs!$A$2:$A$3001,0)),""))</f>
        <v/>
      </c>
      <c r="L2353" s="29" t="str">
        <f aca="false">IF(A2353="","",IFERROR(1/(1/INDEX(Numéros!$C$2:$C$3001,MATCH(A2353&amp;"|"&amp;B2353,Numéros!$F$2:$F$3001,0))),""))</f>
        <v/>
      </c>
      <c r="M2353" s="27" t="str">
        <f aca="false">IF(OR(G2353="",G2353="?"),"",IFERROR(INDEX(Pubs!$D$2:$D$3001,MATCH(G2353,Pubs!$A$2:$A$3001,0))&amp;"",""))</f>
        <v/>
      </c>
      <c r="N2353" s="27" t="n">
        <f aca="false">N(N2352)+IF(AND(A2353&lt;&gt;"",OR(Recherche!$C$4="",A2353=Recherche!$C$4),OR(Recherche!$C$5="",B2353&amp;""=Recherche!$C$5&amp;""),OR(Recherche!$C$6="",IFERROR(YEAR(L2353),0)=Recherche!$C$6),OR(Recherche!$C$7="",ISNUMBER(SEARCH(Recherche!$C$7,H2353))),OR(Recherche!$C$8="",J2353=Recherche!$C$8),OR(Recherche!$C$9="",I2353=Recherche!$C$9),OR(Recherche!$C$10="",G2353&amp;""=Recherche!$C$10&amp;""),OR(Recherche!$C$11="",E2353=Recherche!$C$11),OR(Recherche!$C$12="",ISNUMBER(SEARCH(Recherche!$C$12,M2353&amp;" "&amp;F2353)))),1,0)</f>
        <v>8</v>
      </c>
    </row>
    <row r="2354" customFormat="false" ht="15" hidden="false" customHeight="false" outlineLevel="0" collapsed="false">
      <c r="A2354" s="19"/>
      <c r="B2354" s="19"/>
      <c r="C2354" s="19"/>
      <c r="D2354" s="19"/>
      <c r="E2354" s="22"/>
      <c r="F2354" s="19"/>
      <c r="G2354" s="26" t="str">
        <f aca="false">IF(D2354="","",IFERROR(VALUE(LEFT(D2354,FIND(" |",D2354&amp;" |")-1)),"?"))</f>
        <v/>
      </c>
      <c r="H2354" s="27" t="str">
        <f aca="false">IF(G2354="","",IF(G2354="?","⚠ pub inconnue",IFERROR(INDEX(Pubs!$B$2:$B$3001,MATCH(G2354,Pubs!$A$2:$A$3001,0))&amp;"","⚠ pub inconnue")))</f>
        <v/>
      </c>
      <c r="I2354" s="27" t="str">
        <f aca="false">IF(OR(G2354="",G2354="?"),"",IFERROR(INDEX(Pubs!$C$2:$C$3001,MATCH(G2354,Pubs!$A$2:$A$3001,0))&amp;"",""))</f>
        <v/>
      </c>
      <c r="J2354" s="27" t="str">
        <f aca="false">IF(OR(G2354="",G2354="?"),"",IFERROR(INDEX(Pubs!$G$2:$G$3001,MATCH(G2354,Pubs!$A$2:$A$3001,0))&amp;"",""))</f>
        <v/>
      </c>
      <c r="K2354" s="28" t="str">
        <f aca="false">IF(OR(G2354="",G2354="?"),"",IFERROR(INDEX(Pubs!$E$2:$E$3001,MATCH(G2354,Pubs!$A$2:$A$3001,0)),""))</f>
        <v/>
      </c>
      <c r="L2354" s="29" t="str">
        <f aca="false">IF(A2354="","",IFERROR(1/(1/INDEX(Numéros!$C$2:$C$3001,MATCH(A2354&amp;"|"&amp;B2354,Numéros!$F$2:$F$3001,0))),""))</f>
        <v/>
      </c>
      <c r="M2354" s="27" t="str">
        <f aca="false">IF(OR(G2354="",G2354="?"),"",IFERROR(INDEX(Pubs!$D$2:$D$3001,MATCH(G2354,Pubs!$A$2:$A$3001,0))&amp;"",""))</f>
        <v/>
      </c>
      <c r="N2354" s="27" t="n">
        <f aca="false">N(N2353)+IF(AND(A2354&lt;&gt;"",OR(Recherche!$C$4="",A2354=Recherche!$C$4),OR(Recherche!$C$5="",B2354&amp;""=Recherche!$C$5&amp;""),OR(Recherche!$C$6="",IFERROR(YEAR(L2354),0)=Recherche!$C$6),OR(Recherche!$C$7="",ISNUMBER(SEARCH(Recherche!$C$7,H2354))),OR(Recherche!$C$8="",J2354=Recherche!$C$8),OR(Recherche!$C$9="",I2354=Recherche!$C$9),OR(Recherche!$C$10="",G2354&amp;""=Recherche!$C$10&amp;""),OR(Recherche!$C$11="",E2354=Recherche!$C$11),OR(Recherche!$C$12="",ISNUMBER(SEARCH(Recherche!$C$12,M2354&amp;" "&amp;F2354)))),1,0)</f>
        <v>8</v>
      </c>
    </row>
    <row r="2355" customFormat="false" ht="15" hidden="false" customHeight="false" outlineLevel="0" collapsed="false">
      <c r="A2355" s="19"/>
      <c r="B2355" s="19"/>
      <c r="C2355" s="19"/>
      <c r="D2355" s="19"/>
      <c r="E2355" s="22"/>
      <c r="F2355" s="19"/>
      <c r="G2355" s="26" t="str">
        <f aca="false">IF(D2355="","",IFERROR(VALUE(LEFT(D2355,FIND(" |",D2355&amp;" |")-1)),"?"))</f>
        <v/>
      </c>
      <c r="H2355" s="27" t="str">
        <f aca="false">IF(G2355="","",IF(G2355="?","⚠ pub inconnue",IFERROR(INDEX(Pubs!$B$2:$B$3001,MATCH(G2355,Pubs!$A$2:$A$3001,0))&amp;"","⚠ pub inconnue")))</f>
        <v/>
      </c>
      <c r="I2355" s="27" t="str">
        <f aca="false">IF(OR(G2355="",G2355="?"),"",IFERROR(INDEX(Pubs!$C$2:$C$3001,MATCH(G2355,Pubs!$A$2:$A$3001,0))&amp;"",""))</f>
        <v/>
      </c>
      <c r="J2355" s="27" t="str">
        <f aca="false">IF(OR(G2355="",G2355="?"),"",IFERROR(INDEX(Pubs!$G$2:$G$3001,MATCH(G2355,Pubs!$A$2:$A$3001,0))&amp;"",""))</f>
        <v/>
      </c>
      <c r="K2355" s="28" t="str">
        <f aca="false">IF(OR(G2355="",G2355="?"),"",IFERROR(INDEX(Pubs!$E$2:$E$3001,MATCH(G2355,Pubs!$A$2:$A$3001,0)),""))</f>
        <v/>
      </c>
      <c r="L2355" s="29" t="str">
        <f aca="false">IF(A2355="","",IFERROR(1/(1/INDEX(Numéros!$C$2:$C$3001,MATCH(A2355&amp;"|"&amp;B2355,Numéros!$F$2:$F$3001,0))),""))</f>
        <v/>
      </c>
      <c r="M2355" s="27" t="str">
        <f aca="false">IF(OR(G2355="",G2355="?"),"",IFERROR(INDEX(Pubs!$D$2:$D$3001,MATCH(G2355,Pubs!$A$2:$A$3001,0))&amp;"",""))</f>
        <v/>
      </c>
      <c r="N2355" s="27" t="n">
        <f aca="false">N(N2354)+IF(AND(A2355&lt;&gt;"",OR(Recherche!$C$4="",A2355=Recherche!$C$4),OR(Recherche!$C$5="",B2355&amp;""=Recherche!$C$5&amp;""),OR(Recherche!$C$6="",IFERROR(YEAR(L2355),0)=Recherche!$C$6),OR(Recherche!$C$7="",ISNUMBER(SEARCH(Recherche!$C$7,H2355))),OR(Recherche!$C$8="",J2355=Recherche!$C$8),OR(Recherche!$C$9="",I2355=Recherche!$C$9),OR(Recherche!$C$10="",G2355&amp;""=Recherche!$C$10&amp;""),OR(Recherche!$C$11="",E2355=Recherche!$C$11),OR(Recherche!$C$12="",ISNUMBER(SEARCH(Recherche!$C$12,M2355&amp;" "&amp;F2355)))),1,0)</f>
        <v>8</v>
      </c>
    </row>
    <row r="2356" customFormat="false" ht="15" hidden="false" customHeight="false" outlineLevel="0" collapsed="false">
      <c r="A2356" s="19"/>
      <c r="B2356" s="19"/>
      <c r="C2356" s="19"/>
      <c r="D2356" s="19"/>
      <c r="E2356" s="22"/>
      <c r="F2356" s="19"/>
      <c r="G2356" s="26" t="str">
        <f aca="false">IF(D2356="","",IFERROR(VALUE(LEFT(D2356,FIND(" |",D2356&amp;" |")-1)),"?"))</f>
        <v/>
      </c>
      <c r="H2356" s="27" t="str">
        <f aca="false">IF(G2356="","",IF(G2356="?","⚠ pub inconnue",IFERROR(INDEX(Pubs!$B$2:$B$3001,MATCH(G2356,Pubs!$A$2:$A$3001,0))&amp;"","⚠ pub inconnue")))</f>
        <v/>
      </c>
      <c r="I2356" s="27" t="str">
        <f aca="false">IF(OR(G2356="",G2356="?"),"",IFERROR(INDEX(Pubs!$C$2:$C$3001,MATCH(G2356,Pubs!$A$2:$A$3001,0))&amp;"",""))</f>
        <v/>
      </c>
      <c r="J2356" s="27" t="str">
        <f aca="false">IF(OR(G2356="",G2356="?"),"",IFERROR(INDEX(Pubs!$G$2:$G$3001,MATCH(G2356,Pubs!$A$2:$A$3001,0))&amp;"",""))</f>
        <v/>
      </c>
      <c r="K2356" s="28" t="str">
        <f aca="false">IF(OR(G2356="",G2356="?"),"",IFERROR(INDEX(Pubs!$E$2:$E$3001,MATCH(G2356,Pubs!$A$2:$A$3001,0)),""))</f>
        <v/>
      </c>
      <c r="L2356" s="29" t="str">
        <f aca="false">IF(A2356="","",IFERROR(1/(1/INDEX(Numéros!$C$2:$C$3001,MATCH(A2356&amp;"|"&amp;B2356,Numéros!$F$2:$F$3001,0))),""))</f>
        <v/>
      </c>
      <c r="M2356" s="27" t="str">
        <f aca="false">IF(OR(G2356="",G2356="?"),"",IFERROR(INDEX(Pubs!$D$2:$D$3001,MATCH(G2356,Pubs!$A$2:$A$3001,0))&amp;"",""))</f>
        <v/>
      </c>
      <c r="N2356" s="27" t="n">
        <f aca="false">N(N2355)+IF(AND(A2356&lt;&gt;"",OR(Recherche!$C$4="",A2356=Recherche!$C$4),OR(Recherche!$C$5="",B2356&amp;""=Recherche!$C$5&amp;""),OR(Recherche!$C$6="",IFERROR(YEAR(L2356),0)=Recherche!$C$6),OR(Recherche!$C$7="",ISNUMBER(SEARCH(Recherche!$C$7,H2356))),OR(Recherche!$C$8="",J2356=Recherche!$C$8),OR(Recherche!$C$9="",I2356=Recherche!$C$9),OR(Recherche!$C$10="",G2356&amp;""=Recherche!$C$10&amp;""),OR(Recherche!$C$11="",E2356=Recherche!$C$11),OR(Recherche!$C$12="",ISNUMBER(SEARCH(Recherche!$C$12,M2356&amp;" "&amp;F2356)))),1,0)</f>
        <v>8</v>
      </c>
    </row>
    <row r="2357" customFormat="false" ht="15" hidden="false" customHeight="false" outlineLevel="0" collapsed="false">
      <c r="A2357" s="19"/>
      <c r="B2357" s="19"/>
      <c r="C2357" s="19"/>
      <c r="D2357" s="19"/>
      <c r="E2357" s="22"/>
      <c r="F2357" s="19"/>
      <c r="G2357" s="26" t="str">
        <f aca="false">IF(D2357="","",IFERROR(VALUE(LEFT(D2357,FIND(" |",D2357&amp;" |")-1)),"?"))</f>
        <v/>
      </c>
      <c r="H2357" s="27" t="str">
        <f aca="false">IF(G2357="","",IF(G2357="?","⚠ pub inconnue",IFERROR(INDEX(Pubs!$B$2:$B$3001,MATCH(G2357,Pubs!$A$2:$A$3001,0))&amp;"","⚠ pub inconnue")))</f>
        <v/>
      </c>
      <c r="I2357" s="27" t="str">
        <f aca="false">IF(OR(G2357="",G2357="?"),"",IFERROR(INDEX(Pubs!$C$2:$C$3001,MATCH(G2357,Pubs!$A$2:$A$3001,0))&amp;"",""))</f>
        <v/>
      </c>
      <c r="J2357" s="27" t="str">
        <f aca="false">IF(OR(G2357="",G2357="?"),"",IFERROR(INDEX(Pubs!$G$2:$G$3001,MATCH(G2357,Pubs!$A$2:$A$3001,0))&amp;"",""))</f>
        <v/>
      </c>
      <c r="K2357" s="28" t="str">
        <f aca="false">IF(OR(G2357="",G2357="?"),"",IFERROR(INDEX(Pubs!$E$2:$E$3001,MATCH(G2357,Pubs!$A$2:$A$3001,0)),""))</f>
        <v/>
      </c>
      <c r="L2357" s="29" t="str">
        <f aca="false">IF(A2357="","",IFERROR(1/(1/INDEX(Numéros!$C$2:$C$3001,MATCH(A2357&amp;"|"&amp;B2357,Numéros!$F$2:$F$3001,0))),""))</f>
        <v/>
      </c>
      <c r="M2357" s="27" t="str">
        <f aca="false">IF(OR(G2357="",G2357="?"),"",IFERROR(INDEX(Pubs!$D$2:$D$3001,MATCH(G2357,Pubs!$A$2:$A$3001,0))&amp;"",""))</f>
        <v/>
      </c>
      <c r="N2357" s="27" t="n">
        <f aca="false">N(N2356)+IF(AND(A2357&lt;&gt;"",OR(Recherche!$C$4="",A2357=Recherche!$C$4),OR(Recherche!$C$5="",B2357&amp;""=Recherche!$C$5&amp;""),OR(Recherche!$C$6="",IFERROR(YEAR(L2357),0)=Recherche!$C$6),OR(Recherche!$C$7="",ISNUMBER(SEARCH(Recherche!$C$7,H2357))),OR(Recherche!$C$8="",J2357=Recherche!$C$8),OR(Recherche!$C$9="",I2357=Recherche!$C$9),OR(Recherche!$C$10="",G2357&amp;""=Recherche!$C$10&amp;""),OR(Recherche!$C$11="",E2357=Recherche!$C$11),OR(Recherche!$C$12="",ISNUMBER(SEARCH(Recherche!$C$12,M2357&amp;" "&amp;F2357)))),1,0)</f>
        <v>8</v>
      </c>
    </row>
    <row r="2358" customFormat="false" ht="15" hidden="false" customHeight="false" outlineLevel="0" collapsed="false">
      <c r="A2358" s="19"/>
      <c r="B2358" s="19"/>
      <c r="C2358" s="19"/>
      <c r="D2358" s="19"/>
      <c r="E2358" s="22"/>
      <c r="F2358" s="19"/>
      <c r="G2358" s="26" t="str">
        <f aca="false">IF(D2358="","",IFERROR(VALUE(LEFT(D2358,FIND(" |",D2358&amp;" |")-1)),"?"))</f>
        <v/>
      </c>
      <c r="H2358" s="27" t="str">
        <f aca="false">IF(G2358="","",IF(G2358="?","⚠ pub inconnue",IFERROR(INDEX(Pubs!$B$2:$B$3001,MATCH(G2358,Pubs!$A$2:$A$3001,0))&amp;"","⚠ pub inconnue")))</f>
        <v/>
      </c>
      <c r="I2358" s="27" t="str">
        <f aca="false">IF(OR(G2358="",G2358="?"),"",IFERROR(INDEX(Pubs!$C$2:$C$3001,MATCH(G2358,Pubs!$A$2:$A$3001,0))&amp;"",""))</f>
        <v/>
      </c>
      <c r="J2358" s="27" t="str">
        <f aca="false">IF(OR(G2358="",G2358="?"),"",IFERROR(INDEX(Pubs!$G$2:$G$3001,MATCH(G2358,Pubs!$A$2:$A$3001,0))&amp;"",""))</f>
        <v/>
      </c>
      <c r="K2358" s="28" t="str">
        <f aca="false">IF(OR(G2358="",G2358="?"),"",IFERROR(INDEX(Pubs!$E$2:$E$3001,MATCH(G2358,Pubs!$A$2:$A$3001,0)),""))</f>
        <v/>
      </c>
      <c r="L2358" s="29" t="str">
        <f aca="false">IF(A2358="","",IFERROR(1/(1/INDEX(Numéros!$C$2:$C$3001,MATCH(A2358&amp;"|"&amp;B2358,Numéros!$F$2:$F$3001,0))),""))</f>
        <v/>
      </c>
      <c r="M2358" s="27" t="str">
        <f aca="false">IF(OR(G2358="",G2358="?"),"",IFERROR(INDEX(Pubs!$D$2:$D$3001,MATCH(G2358,Pubs!$A$2:$A$3001,0))&amp;"",""))</f>
        <v/>
      </c>
      <c r="N2358" s="27" t="n">
        <f aca="false">N(N2357)+IF(AND(A2358&lt;&gt;"",OR(Recherche!$C$4="",A2358=Recherche!$C$4),OR(Recherche!$C$5="",B2358&amp;""=Recherche!$C$5&amp;""),OR(Recherche!$C$6="",IFERROR(YEAR(L2358),0)=Recherche!$C$6),OR(Recherche!$C$7="",ISNUMBER(SEARCH(Recherche!$C$7,H2358))),OR(Recherche!$C$8="",J2358=Recherche!$C$8),OR(Recherche!$C$9="",I2358=Recherche!$C$9),OR(Recherche!$C$10="",G2358&amp;""=Recherche!$C$10&amp;""),OR(Recherche!$C$11="",E2358=Recherche!$C$11),OR(Recherche!$C$12="",ISNUMBER(SEARCH(Recherche!$C$12,M2358&amp;" "&amp;F2358)))),1,0)</f>
        <v>8</v>
      </c>
    </row>
    <row r="2359" customFormat="false" ht="15" hidden="false" customHeight="false" outlineLevel="0" collapsed="false">
      <c r="A2359" s="19"/>
      <c r="B2359" s="19"/>
      <c r="C2359" s="19"/>
      <c r="D2359" s="19"/>
      <c r="E2359" s="22"/>
      <c r="F2359" s="19"/>
      <c r="G2359" s="26" t="str">
        <f aca="false">IF(D2359="","",IFERROR(VALUE(LEFT(D2359,FIND(" |",D2359&amp;" |")-1)),"?"))</f>
        <v/>
      </c>
      <c r="H2359" s="27" t="str">
        <f aca="false">IF(G2359="","",IF(G2359="?","⚠ pub inconnue",IFERROR(INDEX(Pubs!$B$2:$B$3001,MATCH(G2359,Pubs!$A$2:$A$3001,0))&amp;"","⚠ pub inconnue")))</f>
        <v/>
      </c>
      <c r="I2359" s="27" t="str">
        <f aca="false">IF(OR(G2359="",G2359="?"),"",IFERROR(INDEX(Pubs!$C$2:$C$3001,MATCH(G2359,Pubs!$A$2:$A$3001,0))&amp;"",""))</f>
        <v/>
      </c>
      <c r="J2359" s="27" t="str">
        <f aca="false">IF(OR(G2359="",G2359="?"),"",IFERROR(INDEX(Pubs!$G$2:$G$3001,MATCH(G2359,Pubs!$A$2:$A$3001,0))&amp;"",""))</f>
        <v/>
      </c>
      <c r="K2359" s="28" t="str">
        <f aca="false">IF(OR(G2359="",G2359="?"),"",IFERROR(INDEX(Pubs!$E$2:$E$3001,MATCH(G2359,Pubs!$A$2:$A$3001,0)),""))</f>
        <v/>
      </c>
      <c r="L2359" s="29" t="str">
        <f aca="false">IF(A2359="","",IFERROR(1/(1/INDEX(Numéros!$C$2:$C$3001,MATCH(A2359&amp;"|"&amp;B2359,Numéros!$F$2:$F$3001,0))),""))</f>
        <v/>
      </c>
      <c r="M2359" s="27" t="str">
        <f aca="false">IF(OR(G2359="",G2359="?"),"",IFERROR(INDEX(Pubs!$D$2:$D$3001,MATCH(G2359,Pubs!$A$2:$A$3001,0))&amp;"",""))</f>
        <v/>
      </c>
      <c r="N2359" s="27" t="n">
        <f aca="false">N(N2358)+IF(AND(A2359&lt;&gt;"",OR(Recherche!$C$4="",A2359=Recherche!$C$4),OR(Recherche!$C$5="",B2359&amp;""=Recherche!$C$5&amp;""),OR(Recherche!$C$6="",IFERROR(YEAR(L2359),0)=Recherche!$C$6),OR(Recherche!$C$7="",ISNUMBER(SEARCH(Recherche!$C$7,H2359))),OR(Recherche!$C$8="",J2359=Recherche!$C$8),OR(Recherche!$C$9="",I2359=Recherche!$C$9),OR(Recherche!$C$10="",G2359&amp;""=Recherche!$C$10&amp;""),OR(Recherche!$C$11="",E2359=Recherche!$C$11),OR(Recherche!$C$12="",ISNUMBER(SEARCH(Recherche!$C$12,M2359&amp;" "&amp;F2359)))),1,0)</f>
        <v>8</v>
      </c>
    </row>
    <row r="2360" customFormat="false" ht="15" hidden="false" customHeight="false" outlineLevel="0" collapsed="false">
      <c r="A2360" s="19"/>
      <c r="B2360" s="19"/>
      <c r="C2360" s="19"/>
      <c r="D2360" s="19"/>
      <c r="E2360" s="22"/>
      <c r="F2360" s="19"/>
      <c r="G2360" s="26" t="str">
        <f aca="false">IF(D2360="","",IFERROR(VALUE(LEFT(D2360,FIND(" |",D2360&amp;" |")-1)),"?"))</f>
        <v/>
      </c>
      <c r="H2360" s="27" t="str">
        <f aca="false">IF(G2360="","",IF(G2360="?","⚠ pub inconnue",IFERROR(INDEX(Pubs!$B$2:$B$3001,MATCH(G2360,Pubs!$A$2:$A$3001,0))&amp;"","⚠ pub inconnue")))</f>
        <v/>
      </c>
      <c r="I2360" s="27" t="str">
        <f aca="false">IF(OR(G2360="",G2360="?"),"",IFERROR(INDEX(Pubs!$C$2:$C$3001,MATCH(G2360,Pubs!$A$2:$A$3001,0))&amp;"",""))</f>
        <v/>
      </c>
      <c r="J2360" s="27" t="str">
        <f aca="false">IF(OR(G2360="",G2360="?"),"",IFERROR(INDEX(Pubs!$G$2:$G$3001,MATCH(G2360,Pubs!$A$2:$A$3001,0))&amp;"",""))</f>
        <v/>
      </c>
      <c r="K2360" s="28" t="str">
        <f aca="false">IF(OR(G2360="",G2360="?"),"",IFERROR(INDEX(Pubs!$E$2:$E$3001,MATCH(G2360,Pubs!$A$2:$A$3001,0)),""))</f>
        <v/>
      </c>
      <c r="L2360" s="29" t="str">
        <f aca="false">IF(A2360="","",IFERROR(1/(1/INDEX(Numéros!$C$2:$C$3001,MATCH(A2360&amp;"|"&amp;B2360,Numéros!$F$2:$F$3001,0))),""))</f>
        <v/>
      </c>
      <c r="M2360" s="27" t="str">
        <f aca="false">IF(OR(G2360="",G2360="?"),"",IFERROR(INDEX(Pubs!$D$2:$D$3001,MATCH(G2360,Pubs!$A$2:$A$3001,0))&amp;"",""))</f>
        <v/>
      </c>
      <c r="N2360" s="27" t="n">
        <f aca="false">N(N2359)+IF(AND(A2360&lt;&gt;"",OR(Recherche!$C$4="",A2360=Recherche!$C$4),OR(Recherche!$C$5="",B2360&amp;""=Recherche!$C$5&amp;""),OR(Recherche!$C$6="",IFERROR(YEAR(L2360),0)=Recherche!$C$6),OR(Recherche!$C$7="",ISNUMBER(SEARCH(Recherche!$C$7,H2360))),OR(Recherche!$C$8="",J2360=Recherche!$C$8),OR(Recherche!$C$9="",I2360=Recherche!$C$9),OR(Recherche!$C$10="",G2360&amp;""=Recherche!$C$10&amp;""),OR(Recherche!$C$11="",E2360=Recherche!$C$11),OR(Recherche!$C$12="",ISNUMBER(SEARCH(Recherche!$C$12,M2360&amp;" "&amp;F2360)))),1,0)</f>
        <v>8</v>
      </c>
    </row>
    <row r="2361" customFormat="false" ht="15" hidden="false" customHeight="false" outlineLevel="0" collapsed="false">
      <c r="A2361" s="19"/>
      <c r="B2361" s="19"/>
      <c r="C2361" s="19"/>
      <c r="D2361" s="19"/>
      <c r="E2361" s="22"/>
      <c r="F2361" s="19"/>
      <c r="G2361" s="26" t="str">
        <f aca="false">IF(D2361="","",IFERROR(VALUE(LEFT(D2361,FIND(" |",D2361&amp;" |")-1)),"?"))</f>
        <v/>
      </c>
      <c r="H2361" s="27" t="str">
        <f aca="false">IF(G2361="","",IF(G2361="?","⚠ pub inconnue",IFERROR(INDEX(Pubs!$B$2:$B$3001,MATCH(G2361,Pubs!$A$2:$A$3001,0))&amp;"","⚠ pub inconnue")))</f>
        <v/>
      </c>
      <c r="I2361" s="27" t="str">
        <f aca="false">IF(OR(G2361="",G2361="?"),"",IFERROR(INDEX(Pubs!$C$2:$C$3001,MATCH(G2361,Pubs!$A$2:$A$3001,0))&amp;"",""))</f>
        <v/>
      </c>
      <c r="J2361" s="27" t="str">
        <f aca="false">IF(OR(G2361="",G2361="?"),"",IFERROR(INDEX(Pubs!$G$2:$G$3001,MATCH(G2361,Pubs!$A$2:$A$3001,0))&amp;"",""))</f>
        <v/>
      </c>
      <c r="K2361" s="28" t="str">
        <f aca="false">IF(OR(G2361="",G2361="?"),"",IFERROR(INDEX(Pubs!$E$2:$E$3001,MATCH(G2361,Pubs!$A$2:$A$3001,0)),""))</f>
        <v/>
      </c>
      <c r="L2361" s="29" t="str">
        <f aca="false">IF(A2361="","",IFERROR(1/(1/INDEX(Numéros!$C$2:$C$3001,MATCH(A2361&amp;"|"&amp;B2361,Numéros!$F$2:$F$3001,0))),""))</f>
        <v/>
      </c>
      <c r="M2361" s="27" t="str">
        <f aca="false">IF(OR(G2361="",G2361="?"),"",IFERROR(INDEX(Pubs!$D$2:$D$3001,MATCH(G2361,Pubs!$A$2:$A$3001,0))&amp;"",""))</f>
        <v/>
      </c>
      <c r="N2361" s="27" t="n">
        <f aca="false">N(N2360)+IF(AND(A2361&lt;&gt;"",OR(Recherche!$C$4="",A2361=Recherche!$C$4),OR(Recherche!$C$5="",B2361&amp;""=Recherche!$C$5&amp;""),OR(Recherche!$C$6="",IFERROR(YEAR(L2361),0)=Recherche!$C$6),OR(Recherche!$C$7="",ISNUMBER(SEARCH(Recherche!$C$7,H2361))),OR(Recherche!$C$8="",J2361=Recherche!$C$8),OR(Recherche!$C$9="",I2361=Recherche!$C$9),OR(Recherche!$C$10="",G2361&amp;""=Recherche!$C$10&amp;""),OR(Recherche!$C$11="",E2361=Recherche!$C$11),OR(Recherche!$C$12="",ISNUMBER(SEARCH(Recherche!$C$12,M2361&amp;" "&amp;F2361)))),1,0)</f>
        <v>8</v>
      </c>
    </row>
    <row r="2362" customFormat="false" ht="15" hidden="false" customHeight="false" outlineLevel="0" collapsed="false">
      <c r="A2362" s="19"/>
      <c r="B2362" s="19"/>
      <c r="C2362" s="19"/>
      <c r="D2362" s="19"/>
      <c r="E2362" s="22"/>
      <c r="F2362" s="19"/>
      <c r="G2362" s="26" t="str">
        <f aca="false">IF(D2362="","",IFERROR(VALUE(LEFT(D2362,FIND(" |",D2362&amp;" |")-1)),"?"))</f>
        <v/>
      </c>
      <c r="H2362" s="27" t="str">
        <f aca="false">IF(G2362="","",IF(G2362="?","⚠ pub inconnue",IFERROR(INDEX(Pubs!$B$2:$B$3001,MATCH(G2362,Pubs!$A$2:$A$3001,0))&amp;"","⚠ pub inconnue")))</f>
        <v/>
      </c>
      <c r="I2362" s="27" t="str">
        <f aca="false">IF(OR(G2362="",G2362="?"),"",IFERROR(INDEX(Pubs!$C$2:$C$3001,MATCH(G2362,Pubs!$A$2:$A$3001,0))&amp;"",""))</f>
        <v/>
      </c>
      <c r="J2362" s="27" t="str">
        <f aca="false">IF(OR(G2362="",G2362="?"),"",IFERROR(INDEX(Pubs!$G$2:$G$3001,MATCH(G2362,Pubs!$A$2:$A$3001,0))&amp;"",""))</f>
        <v/>
      </c>
      <c r="K2362" s="28" t="str">
        <f aca="false">IF(OR(G2362="",G2362="?"),"",IFERROR(INDEX(Pubs!$E$2:$E$3001,MATCH(G2362,Pubs!$A$2:$A$3001,0)),""))</f>
        <v/>
      </c>
      <c r="L2362" s="29" t="str">
        <f aca="false">IF(A2362="","",IFERROR(1/(1/INDEX(Numéros!$C$2:$C$3001,MATCH(A2362&amp;"|"&amp;B2362,Numéros!$F$2:$F$3001,0))),""))</f>
        <v/>
      </c>
      <c r="M2362" s="27" t="str">
        <f aca="false">IF(OR(G2362="",G2362="?"),"",IFERROR(INDEX(Pubs!$D$2:$D$3001,MATCH(G2362,Pubs!$A$2:$A$3001,0))&amp;"",""))</f>
        <v/>
      </c>
      <c r="N2362" s="27" t="n">
        <f aca="false">N(N2361)+IF(AND(A2362&lt;&gt;"",OR(Recherche!$C$4="",A2362=Recherche!$C$4),OR(Recherche!$C$5="",B2362&amp;""=Recherche!$C$5&amp;""),OR(Recherche!$C$6="",IFERROR(YEAR(L2362),0)=Recherche!$C$6),OR(Recherche!$C$7="",ISNUMBER(SEARCH(Recherche!$C$7,H2362))),OR(Recherche!$C$8="",J2362=Recherche!$C$8),OR(Recherche!$C$9="",I2362=Recherche!$C$9),OR(Recherche!$C$10="",G2362&amp;""=Recherche!$C$10&amp;""),OR(Recherche!$C$11="",E2362=Recherche!$C$11),OR(Recherche!$C$12="",ISNUMBER(SEARCH(Recherche!$C$12,M2362&amp;" "&amp;F2362)))),1,0)</f>
        <v>8</v>
      </c>
    </row>
    <row r="2363" customFormat="false" ht="15" hidden="false" customHeight="false" outlineLevel="0" collapsed="false">
      <c r="A2363" s="19"/>
      <c r="B2363" s="19"/>
      <c r="C2363" s="19"/>
      <c r="D2363" s="19"/>
      <c r="E2363" s="22"/>
      <c r="F2363" s="19"/>
      <c r="G2363" s="26" t="str">
        <f aca="false">IF(D2363="","",IFERROR(VALUE(LEFT(D2363,FIND(" |",D2363&amp;" |")-1)),"?"))</f>
        <v/>
      </c>
      <c r="H2363" s="27" t="str">
        <f aca="false">IF(G2363="","",IF(G2363="?","⚠ pub inconnue",IFERROR(INDEX(Pubs!$B$2:$B$3001,MATCH(G2363,Pubs!$A$2:$A$3001,0))&amp;"","⚠ pub inconnue")))</f>
        <v/>
      </c>
      <c r="I2363" s="27" t="str">
        <f aca="false">IF(OR(G2363="",G2363="?"),"",IFERROR(INDEX(Pubs!$C$2:$C$3001,MATCH(G2363,Pubs!$A$2:$A$3001,0))&amp;"",""))</f>
        <v/>
      </c>
      <c r="J2363" s="27" t="str">
        <f aca="false">IF(OR(G2363="",G2363="?"),"",IFERROR(INDEX(Pubs!$G$2:$G$3001,MATCH(G2363,Pubs!$A$2:$A$3001,0))&amp;"",""))</f>
        <v/>
      </c>
      <c r="K2363" s="28" t="str">
        <f aca="false">IF(OR(G2363="",G2363="?"),"",IFERROR(INDEX(Pubs!$E$2:$E$3001,MATCH(G2363,Pubs!$A$2:$A$3001,0)),""))</f>
        <v/>
      </c>
      <c r="L2363" s="29" t="str">
        <f aca="false">IF(A2363="","",IFERROR(1/(1/INDEX(Numéros!$C$2:$C$3001,MATCH(A2363&amp;"|"&amp;B2363,Numéros!$F$2:$F$3001,0))),""))</f>
        <v/>
      </c>
      <c r="M2363" s="27" t="str">
        <f aca="false">IF(OR(G2363="",G2363="?"),"",IFERROR(INDEX(Pubs!$D$2:$D$3001,MATCH(G2363,Pubs!$A$2:$A$3001,0))&amp;"",""))</f>
        <v/>
      </c>
      <c r="N2363" s="27" t="n">
        <f aca="false">N(N2362)+IF(AND(A2363&lt;&gt;"",OR(Recherche!$C$4="",A2363=Recherche!$C$4),OR(Recherche!$C$5="",B2363&amp;""=Recherche!$C$5&amp;""),OR(Recherche!$C$6="",IFERROR(YEAR(L2363),0)=Recherche!$C$6),OR(Recherche!$C$7="",ISNUMBER(SEARCH(Recherche!$C$7,H2363))),OR(Recherche!$C$8="",J2363=Recherche!$C$8),OR(Recherche!$C$9="",I2363=Recherche!$C$9),OR(Recherche!$C$10="",G2363&amp;""=Recherche!$C$10&amp;""),OR(Recherche!$C$11="",E2363=Recherche!$C$11),OR(Recherche!$C$12="",ISNUMBER(SEARCH(Recherche!$C$12,M2363&amp;" "&amp;F2363)))),1,0)</f>
        <v>8</v>
      </c>
    </row>
    <row r="2364" customFormat="false" ht="15" hidden="false" customHeight="false" outlineLevel="0" collapsed="false">
      <c r="A2364" s="19"/>
      <c r="B2364" s="19"/>
      <c r="C2364" s="19"/>
      <c r="D2364" s="19"/>
      <c r="E2364" s="22"/>
      <c r="F2364" s="19"/>
      <c r="G2364" s="26" t="str">
        <f aca="false">IF(D2364="","",IFERROR(VALUE(LEFT(D2364,FIND(" |",D2364&amp;" |")-1)),"?"))</f>
        <v/>
      </c>
      <c r="H2364" s="27" t="str">
        <f aca="false">IF(G2364="","",IF(G2364="?","⚠ pub inconnue",IFERROR(INDEX(Pubs!$B$2:$B$3001,MATCH(G2364,Pubs!$A$2:$A$3001,0))&amp;"","⚠ pub inconnue")))</f>
        <v/>
      </c>
      <c r="I2364" s="27" t="str">
        <f aca="false">IF(OR(G2364="",G2364="?"),"",IFERROR(INDEX(Pubs!$C$2:$C$3001,MATCH(G2364,Pubs!$A$2:$A$3001,0))&amp;"",""))</f>
        <v/>
      </c>
      <c r="J2364" s="27" t="str">
        <f aca="false">IF(OR(G2364="",G2364="?"),"",IFERROR(INDEX(Pubs!$G$2:$G$3001,MATCH(G2364,Pubs!$A$2:$A$3001,0))&amp;"",""))</f>
        <v/>
      </c>
      <c r="K2364" s="28" t="str">
        <f aca="false">IF(OR(G2364="",G2364="?"),"",IFERROR(INDEX(Pubs!$E$2:$E$3001,MATCH(G2364,Pubs!$A$2:$A$3001,0)),""))</f>
        <v/>
      </c>
      <c r="L2364" s="29" t="str">
        <f aca="false">IF(A2364="","",IFERROR(1/(1/INDEX(Numéros!$C$2:$C$3001,MATCH(A2364&amp;"|"&amp;B2364,Numéros!$F$2:$F$3001,0))),""))</f>
        <v/>
      </c>
      <c r="M2364" s="27" t="str">
        <f aca="false">IF(OR(G2364="",G2364="?"),"",IFERROR(INDEX(Pubs!$D$2:$D$3001,MATCH(G2364,Pubs!$A$2:$A$3001,0))&amp;"",""))</f>
        <v/>
      </c>
      <c r="N2364" s="27" t="n">
        <f aca="false">N(N2363)+IF(AND(A2364&lt;&gt;"",OR(Recherche!$C$4="",A2364=Recherche!$C$4),OR(Recherche!$C$5="",B2364&amp;""=Recherche!$C$5&amp;""),OR(Recherche!$C$6="",IFERROR(YEAR(L2364),0)=Recherche!$C$6),OR(Recherche!$C$7="",ISNUMBER(SEARCH(Recherche!$C$7,H2364))),OR(Recherche!$C$8="",J2364=Recherche!$C$8),OR(Recherche!$C$9="",I2364=Recherche!$C$9),OR(Recherche!$C$10="",G2364&amp;""=Recherche!$C$10&amp;""),OR(Recherche!$C$11="",E2364=Recherche!$C$11),OR(Recherche!$C$12="",ISNUMBER(SEARCH(Recherche!$C$12,M2364&amp;" "&amp;F2364)))),1,0)</f>
        <v>8</v>
      </c>
    </row>
    <row r="2365" customFormat="false" ht="15" hidden="false" customHeight="false" outlineLevel="0" collapsed="false">
      <c r="A2365" s="19"/>
      <c r="B2365" s="19"/>
      <c r="C2365" s="19"/>
      <c r="D2365" s="19"/>
      <c r="E2365" s="22"/>
      <c r="F2365" s="19"/>
      <c r="G2365" s="26" t="str">
        <f aca="false">IF(D2365="","",IFERROR(VALUE(LEFT(D2365,FIND(" |",D2365&amp;" |")-1)),"?"))</f>
        <v/>
      </c>
      <c r="H2365" s="27" t="str">
        <f aca="false">IF(G2365="","",IF(G2365="?","⚠ pub inconnue",IFERROR(INDEX(Pubs!$B$2:$B$3001,MATCH(G2365,Pubs!$A$2:$A$3001,0))&amp;"","⚠ pub inconnue")))</f>
        <v/>
      </c>
      <c r="I2365" s="27" t="str">
        <f aca="false">IF(OR(G2365="",G2365="?"),"",IFERROR(INDEX(Pubs!$C$2:$C$3001,MATCH(G2365,Pubs!$A$2:$A$3001,0))&amp;"",""))</f>
        <v/>
      </c>
      <c r="J2365" s="27" t="str">
        <f aca="false">IF(OR(G2365="",G2365="?"),"",IFERROR(INDEX(Pubs!$G$2:$G$3001,MATCH(G2365,Pubs!$A$2:$A$3001,0))&amp;"",""))</f>
        <v/>
      </c>
      <c r="K2365" s="28" t="str">
        <f aca="false">IF(OR(G2365="",G2365="?"),"",IFERROR(INDEX(Pubs!$E$2:$E$3001,MATCH(G2365,Pubs!$A$2:$A$3001,0)),""))</f>
        <v/>
      </c>
      <c r="L2365" s="29" t="str">
        <f aca="false">IF(A2365="","",IFERROR(1/(1/INDEX(Numéros!$C$2:$C$3001,MATCH(A2365&amp;"|"&amp;B2365,Numéros!$F$2:$F$3001,0))),""))</f>
        <v/>
      </c>
      <c r="M2365" s="27" t="str">
        <f aca="false">IF(OR(G2365="",G2365="?"),"",IFERROR(INDEX(Pubs!$D$2:$D$3001,MATCH(G2365,Pubs!$A$2:$A$3001,0))&amp;"",""))</f>
        <v/>
      </c>
      <c r="N2365" s="27" t="n">
        <f aca="false">N(N2364)+IF(AND(A2365&lt;&gt;"",OR(Recherche!$C$4="",A2365=Recherche!$C$4),OR(Recherche!$C$5="",B2365&amp;""=Recherche!$C$5&amp;""),OR(Recherche!$C$6="",IFERROR(YEAR(L2365),0)=Recherche!$C$6),OR(Recherche!$C$7="",ISNUMBER(SEARCH(Recherche!$C$7,H2365))),OR(Recherche!$C$8="",J2365=Recherche!$C$8),OR(Recherche!$C$9="",I2365=Recherche!$C$9),OR(Recherche!$C$10="",G2365&amp;""=Recherche!$C$10&amp;""),OR(Recherche!$C$11="",E2365=Recherche!$C$11),OR(Recherche!$C$12="",ISNUMBER(SEARCH(Recherche!$C$12,M2365&amp;" "&amp;F2365)))),1,0)</f>
        <v>8</v>
      </c>
    </row>
    <row r="2366" customFormat="false" ht="15" hidden="false" customHeight="false" outlineLevel="0" collapsed="false">
      <c r="A2366" s="19"/>
      <c r="B2366" s="19"/>
      <c r="C2366" s="19"/>
      <c r="D2366" s="19"/>
      <c r="E2366" s="22"/>
      <c r="F2366" s="19"/>
      <c r="G2366" s="26" t="str">
        <f aca="false">IF(D2366="","",IFERROR(VALUE(LEFT(D2366,FIND(" |",D2366&amp;" |")-1)),"?"))</f>
        <v/>
      </c>
      <c r="H2366" s="27" t="str">
        <f aca="false">IF(G2366="","",IF(G2366="?","⚠ pub inconnue",IFERROR(INDEX(Pubs!$B$2:$B$3001,MATCH(G2366,Pubs!$A$2:$A$3001,0))&amp;"","⚠ pub inconnue")))</f>
        <v/>
      </c>
      <c r="I2366" s="27" t="str">
        <f aca="false">IF(OR(G2366="",G2366="?"),"",IFERROR(INDEX(Pubs!$C$2:$C$3001,MATCH(G2366,Pubs!$A$2:$A$3001,0))&amp;"",""))</f>
        <v/>
      </c>
      <c r="J2366" s="27" t="str">
        <f aca="false">IF(OR(G2366="",G2366="?"),"",IFERROR(INDEX(Pubs!$G$2:$G$3001,MATCH(G2366,Pubs!$A$2:$A$3001,0))&amp;"",""))</f>
        <v/>
      </c>
      <c r="K2366" s="28" t="str">
        <f aca="false">IF(OR(G2366="",G2366="?"),"",IFERROR(INDEX(Pubs!$E$2:$E$3001,MATCH(G2366,Pubs!$A$2:$A$3001,0)),""))</f>
        <v/>
      </c>
      <c r="L2366" s="29" t="str">
        <f aca="false">IF(A2366="","",IFERROR(1/(1/INDEX(Numéros!$C$2:$C$3001,MATCH(A2366&amp;"|"&amp;B2366,Numéros!$F$2:$F$3001,0))),""))</f>
        <v/>
      </c>
      <c r="M2366" s="27" t="str">
        <f aca="false">IF(OR(G2366="",G2366="?"),"",IFERROR(INDEX(Pubs!$D$2:$D$3001,MATCH(G2366,Pubs!$A$2:$A$3001,0))&amp;"",""))</f>
        <v/>
      </c>
      <c r="N2366" s="27" t="n">
        <f aca="false">N(N2365)+IF(AND(A2366&lt;&gt;"",OR(Recherche!$C$4="",A2366=Recherche!$C$4),OR(Recherche!$C$5="",B2366&amp;""=Recherche!$C$5&amp;""),OR(Recherche!$C$6="",IFERROR(YEAR(L2366),0)=Recherche!$C$6),OR(Recherche!$C$7="",ISNUMBER(SEARCH(Recherche!$C$7,H2366))),OR(Recherche!$C$8="",J2366=Recherche!$C$8),OR(Recherche!$C$9="",I2366=Recherche!$C$9),OR(Recherche!$C$10="",G2366&amp;""=Recherche!$C$10&amp;""),OR(Recherche!$C$11="",E2366=Recherche!$C$11),OR(Recherche!$C$12="",ISNUMBER(SEARCH(Recherche!$C$12,M2366&amp;" "&amp;F2366)))),1,0)</f>
        <v>8</v>
      </c>
    </row>
    <row r="2367" customFormat="false" ht="15" hidden="false" customHeight="false" outlineLevel="0" collapsed="false">
      <c r="A2367" s="19"/>
      <c r="B2367" s="19"/>
      <c r="C2367" s="19"/>
      <c r="D2367" s="19"/>
      <c r="E2367" s="22"/>
      <c r="F2367" s="19"/>
      <c r="G2367" s="26" t="str">
        <f aca="false">IF(D2367="","",IFERROR(VALUE(LEFT(D2367,FIND(" |",D2367&amp;" |")-1)),"?"))</f>
        <v/>
      </c>
      <c r="H2367" s="27" t="str">
        <f aca="false">IF(G2367="","",IF(G2367="?","⚠ pub inconnue",IFERROR(INDEX(Pubs!$B$2:$B$3001,MATCH(G2367,Pubs!$A$2:$A$3001,0))&amp;"","⚠ pub inconnue")))</f>
        <v/>
      </c>
      <c r="I2367" s="27" t="str">
        <f aca="false">IF(OR(G2367="",G2367="?"),"",IFERROR(INDEX(Pubs!$C$2:$C$3001,MATCH(G2367,Pubs!$A$2:$A$3001,0))&amp;"",""))</f>
        <v/>
      </c>
      <c r="J2367" s="27" t="str">
        <f aca="false">IF(OR(G2367="",G2367="?"),"",IFERROR(INDEX(Pubs!$G$2:$G$3001,MATCH(G2367,Pubs!$A$2:$A$3001,0))&amp;"",""))</f>
        <v/>
      </c>
      <c r="K2367" s="28" t="str">
        <f aca="false">IF(OR(G2367="",G2367="?"),"",IFERROR(INDEX(Pubs!$E$2:$E$3001,MATCH(G2367,Pubs!$A$2:$A$3001,0)),""))</f>
        <v/>
      </c>
      <c r="L2367" s="29" t="str">
        <f aca="false">IF(A2367="","",IFERROR(1/(1/INDEX(Numéros!$C$2:$C$3001,MATCH(A2367&amp;"|"&amp;B2367,Numéros!$F$2:$F$3001,0))),""))</f>
        <v/>
      </c>
      <c r="M2367" s="27" t="str">
        <f aca="false">IF(OR(G2367="",G2367="?"),"",IFERROR(INDEX(Pubs!$D$2:$D$3001,MATCH(G2367,Pubs!$A$2:$A$3001,0))&amp;"",""))</f>
        <v/>
      </c>
      <c r="N2367" s="27" t="n">
        <f aca="false">N(N2366)+IF(AND(A2367&lt;&gt;"",OR(Recherche!$C$4="",A2367=Recherche!$C$4),OR(Recherche!$C$5="",B2367&amp;""=Recherche!$C$5&amp;""),OR(Recherche!$C$6="",IFERROR(YEAR(L2367),0)=Recherche!$C$6),OR(Recherche!$C$7="",ISNUMBER(SEARCH(Recherche!$C$7,H2367))),OR(Recherche!$C$8="",J2367=Recherche!$C$8),OR(Recherche!$C$9="",I2367=Recherche!$C$9),OR(Recherche!$C$10="",G2367&amp;""=Recherche!$C$10&amp;""),OR(Recherche!$C$11="",E2367=Recherche!$C$11),OR(Recherche!$C$12="",ISNUMBER(SEARCH(Recherche!$C$12,M2367&amp;" "&amp;F2367)))),1,0)</f>
        <v>8</v>
      </c>
    </row>
    <row r="2368" customFormat="false" ht="15" hidden="false" customHeight="false" outlineLevel="0" collapsed="false">
      <c r="A2368" s="19"/>
      <c r="B2368" s="19"/>
      <c r="C2368" s="19"/>
      <c r="D2368" s="19"/>
      <c r="E2368" s="22"/>
      <c r="F2368" s="19"/>
      <c r="G2368" s="26" t="str">
        <f aca="false">IF(D2368="","",IFERROR(VALUE(LEFT(D2368,FIND(" |",D2368&amp;" |")-1)),"?"))</f>
        <v/>
      </c>
      <c r="H2368" s="27" t="str">
        <f aca="false">IF(G2368="","",IF(G2368="?","⚠ pub inconnue",IFERROR(INDEX(Pubs!$B$2:$B$3001,MATCH(G2368,Pubs!$A$2:$A$3001,0))&amp;"","⚠ pub inconnue")))</f>
        <v/>
      </c>
      <c r="I2368" s="27" t="str">
        <f aca="false">IF(OR(G2368="",G2368="?"),"",IFERROR(INDEX(Pubs!$C$2:$C$3001,MATCH(G2368,Pubs!$A$2:$A$3001,0))&amp;"",""))</f>
        <v/>
      </c>
      <c r="J2368" s="27" t="str">
        <f aca="false">IF(OR(G2368="",G2368="?"),"",IFERROR(INDEX(Pubs!$G$2:$G$3001,MATCH(G2368,Pubs!$A$2:$A$3001,0))&amp;"",""))</f>
        <v/>
      </c>
      <c r="K2368" s="28" t="str">
        <f aca="false">IF(OR(G2368="",G2368="?"),"",IFERROR(INDEX(Pubs!$E$2:$E$3001,MATCH(G2368,Pubs!$A$2:$A$3001,0)),""))</f>
        <v/>
      </c>
      <c r="L2368" s="29" t="str">
        <f aca="false">IF(A2368="","",IFERROR(1/(1/INDEX(Numéros!$C$2:$C$3001,MATCH(A2368&amp;"|"&amp;B2368,Numéros!$F$2:$F$3001,0))),""))</f>
        <v/>
      </c>
      <c r="M2368" s="27" t="str">
        <f aca="false">IF(OR(G2368="",G2368="?"),"",IFERROR(INDEX(Pubs!$D$2:$D$3001,MATCH(G2368,Pubs!$A$2:$A$3001,0))&amp;"",""))</f>
        <v/>
      </c>
      <c r="N2368" s="27" t="n">
        <f aca="false">N(N2367)+IF(AND(A2368&lt;&gt;"",OR(Recherche!$C$4="",A2368=Recherche!$C$4),OR(Recherche!$C$5="",B2368&amp;""=Recherche!$C$5&amp;""),OR(Recherche!$C$6="",IFERROR(YEAR(L2368),0)=Recherche!$C$6),OR(Recherche!$C$7="",ISNUMBER(SEARCH(Recherche!$C$7,H2368))),OR(Recherche!$C$8="",J2368=Recherche!$C$8),OR(Recherche!$C$9="",I2368=Recherche!$C$9),OR(Recherche!$C$10="",G2368&amp;""=Recherche!$C$10&amp;""),OR(Recherche!$C$11="",E2368=Recherche!$C$11),OR(Recherche!$C$12="",ISNUMBER(SEARCH(Recherche!$C$12,M2368&amp;" "&amp;F2368)))),1,0)</f>
        <v>8</v>
      </c>
    </row>
    <row r="2369" customFormat="false" ht="15" hidden="false" customHeight="false" outlineLevel="0" collapsed="false">
      <c r="A2369" s="19"/>
      <c r="B2369" s="19"/>
      <c r="C2369" s="19"/>
      <c r="D2369" s="19"/>
      <c r="E2369" s="22"/>
      <c r="F2369" s="19"/>
      <c r="G2369" s="26" t="str">
        <f aca="false">IF(D2369="","",IFERROR(VALUE(LEFT(D2369,FIND(" |",D2369&amp;" |")-1)),"?"))</f>
        <v/>
      </c>
      <c r="H2369" s="27" t="str">
        <f aca="false">IF(G2369="","",IF(G2369="?","⚠ pub inconnue",IFERROR(INDEX(Pubs!$B$2:$B$3001,MATCH(G2369,Pubs!$A$2:$A$3001,0))&amp;"","⚠ pub inconnue")))</f>
        <v/>
      </c>
      <c r="I2369" s="27" t="str">
        <f aca="false">IF(OR(G2369="",G2369="?"),"",IFERROR(INDEX(Pubs!$C$2:$C$3001,MATCH(G2369,Pubs!$A$2:$A$3001,0))&amp;"",""))</f>
        <v/>
      </c>
      <c r="J2369" s="27" t="str">
        <f aca="false">IF(OR(G2369="",G2369="?"),"",IFERROR(INDEX(Pubs!$G$2:$G$3001,MATCH(G2369,Pubs!$A$2:$A$3001,0))&amp;"",""))</f>
        <v/>
      </c>
      <c r="K2369" s="28" t="str">
        <f aca="false">IF(OR(G2369="",G2369="?"),"",IFERROR(INDEX(Pubs!$E$2:$E$3001,MATCH(G2369,Pubs!$A$2:$A$3001,0)),""))</f>
        <v/>
      </c>
      <c r="L2369" s="29" t="str">
        <f aca="false">IF(A2369="","",IFERROR(1/(1/INDEX(Numéros!$C$2:$C$3001,MATCH(A2369&amp;"|"&amp;B2369,Numéros!$F$2:$F$3001,0))),""))</f>
        <v/>
      </c>
      <c r="M2369" s="27" t="str">
        <f aca="false">IF(OR(G2369="",G2369="?"),"",IFERROR(INDEX(Pubs!$D$2:$D$3001,MATCH(G2369,Pubs!$A$2:$A$3001,0))&amp;"",""))</f>
        <v/>
      </c>
      <c r="N2369" s="27" t="n">
        <f aca="false">N(N2368)+IF(AND(A2369&lt;&gt;"",OR(Recherche!$C$4="",A2369=Recherche!$C$4),OR(Recherche!$C$5="",B2369&amp;""=Recherche!$C$5&amp;""),OR(Recherche!$C$6="",IFERROR(YEAR(L2369),0)=Recherche!$C$6),OR(Recherche!$C$7="",ISNUMBER(SEARCH(Recherche!$C$7,H2369))),OR(Recherche!$C$8="",J2369=Recherche!$C$8),OR(Recherche!$C$9="",I2369=Recherche!$C$9),OR(Recherche!$C$10="",G2369&amp;""=Recherche!$C$10&amp;""),OR(Recherche!$C$11="",E2369=Recherche!$C$11),OR(Recherche!$C$12="",ISNUMBER(SEARCH(Recherche!$C$12,M2369&amp;" "&amp;F2369)))),1,0)</f>
        <v>8</v>
      </c>
    </row>
    <row r="2370" customFormat="false" ht="15" hidden="false" customHeight="false" outlineLevel="0" collapsed="false">
      <c r="A2370" s="19"/>
      <c r="B2370" s="19"/>
      <c r="C2370" s="19"/>
      <c r="D2370" s="19"/>
      <c r="E2370" s="22"/>
      <c r="F2370" s="19"/>
      <c r="G2370" s="26" t="str">
        <f aca="false">IF(D2370="","",IFERROR(VALUE(LEFT(D2370,FIND(" |",D2370&amp;" |")-1)),"?"))</f>
        <v/>
      </c>
      <c r="H2370" s="27" t="str">
        <f aca="false">IF(G2370="","",IF(G2370="?","⚠ pub inconnue",IFERROR(INDEX(Pubs!$B$2:$B$3001,MATCH(G2370,Pubs!$A$2:$A$3001,0))&amp;"","⚠ pub inconnue")))</f>
        <v/>
      </c>
      <c r="I2370" s="27" t="str">
        <f aca="false">IF(OR(G2370="",G2370="?"),"",IFERROR(INDEX(Pubs!$C$2:$C$3001,MATCH(G2370,Pubs!$A$2:$A$3001,0))&amp;"",""))</f>
        <v/>
      </c>
      <c r="J2370" s="27" t="str">
        <f aca="false">IF(OR(G2370="",G2370="?"),"",IFERROR(INDEX(Pubs!$G$2:$G$3001,MATCH(G2370,Pubs!$A$2:$A$3001,0))&amp;"",""))</f>
        <v/>
      </c>
      <c r="K2370" s="28" t="str">
        <f aca="false">IF(OR(G2370="",G2370="?"),"",IFERROR(INDEX(Pubs!$E$2:$E$3001,MATCH(G2370,Pubs!$A$2:$A$3001,0)),""))</f>
        <v/>
      </c>
      <c r="L2370" s="29" t="str">
        <f aca="false">IF(A2370="","",IFERROR(1/(1/INDEX(Numéros!$C$2:$C$3001,MATCH(A2370&amp;"|"&amp;B2370,Numéros!$F$2:$F$3001,0))),""))</f>
        <v/>
      </c>
      <c r="M2370" s="27" t="str">
        <f aca="false">IF(OR(G2370="",G2370="?"),"",IFERROR(INDEX(Pubs!$D$2:$D$3001,MATCH(G2370,Pubs!$A$2:$A$3001,0))&amp;"",""))</f>
        <v/>
      </c>
      <c r="N2370" s="27" t="n">
        <f aca="false">N(N2369)+IF(AND(A2370&lt;&gt;"",OR(Recherche!$C$4="",A2370=Recherche!$C$4),OR(Recherche!$C$5="",B2370&amp;""=Recherche!$C$5&amp;""),OR(Recherche!$C$6="",IFERROR(YEAR(L2370),0)=Recherche!$C$6),OR(Recherche!$C$7="",ISNUMBER(SEARCH(Recherche!$C$7,H2370))),OR(Recherche!$C$8="",J2370=Recherche!$C$8),OR(Recherche!$C$9="",I2370=Recherche!$C$9),OR(Recherche!$C$10="",G2370&amp;""=Recherche!$C$10&amp;""),OR(Recherche!$C$11="",E2370=Recherche!$C$11),OR(Recherche!$C$12="",ISNUMBER(SEARCH(Recherche!$C$12,M2370&amp;" "&amp;F2370)))),1,0)</f>
        <v>8</v>
      </c>
    </row>
    <row r="2371" customFormat="false" ht="15" hidden="false" customHeight="false" outlineLevel="0" collapsed="false">
      <c r="A2371" s="19"/>
      <c r="B2371" s="19"/>
      <c r="C2371" s="19"/>
      <c r="D2371" s="19"/>
      <c r="E2371" s="22"/>
      <c r="F2371" s="19"/>
      <c r="G2371" s="26" t="str">
        <f aca="false">IF(D2371="","",IFERROR(VALUE(LEFT(D2371,FIND(" |",D2371&amp;" |")-1)),"?"))</f>
        <v/>
      </c>
      <c r="H2371" s="27" t="str">
        <f aca="false">IF(G2371="","",IF(G2371="?","⚠ pub inconnue",IFERROR(INDEX(Pubs!$B$2:$B$3001,MATCH(G2371,Pubs!$A$2:$A$3001,0))&amp;"","⚠ pub inconnue")))</f>
        <v/>
      </c>
      <c r="I2371" s="27" t="str">
        <f aca="false">IF(OR(G2371="",G2371="?"),"",IFERROR(INDEX(Pubs!$C$2:$C$3001,MATCH(G2371,Pubs!$A$2:$A$3001,0))&amp;"",""))</f>
        <v/>
      </c>
      <c r="J2371" s="27" t="str">
        <f aca="false">IF(OR(G2371="",G2371="?"),"",IFERROR(INDEX(Pubs!$G$2:$G$3001,MATCH(G2371,Pubs!$A$2:$A$3001,0))&amp;"",""))</f>
        <v/>
      </c>
      <c r="K2371" s="28" t="str">
        <f aca="false">IF(OR(G2371="",G2371="?"),"",IFERROR(INDEX(Pubs!$E$2:$E$3001,MATCH(G2371,Pubs!$A$2:$A$3001,0)),""))</f>
        <v/>
      </c>
      <c r="L2371" s="29" t="str">
        <f aca="false">IF(A2371="","",IFERROR(1/(1/INDEX(Numéros!$C$2:$C$3001,MATCH(A2371&amp;"|"&amp;B2371,Numéros!$F$2:$F$3001,0))),""))</f>
        <v/>
      </c>
      <c r="M2371" s="27" t="str">
        <f aca="false">IF(OR(G2371="",G2371="?"),"",IFERROR(INDEX(Pubs!$D$2:$D$3001,MATCH(G2371,Pubs!$A$2:$A$3001,0))&amp;"",""))</f>
        <v/>
      </c>
      <c r="N2371" s="27" t="n">
        <f aca="false">N(N2370)+IF(AND(A2371&lt;&gt;"",OR(Recherche!$C$4="",A2371=Recherche!$C$4),OR(Recherche!$C$5="",B2371&amp;""=Recherche!$C$5&amp;""),OR(Recherche!$C$6="",IFERROR(YEAR(L2371),0)=Recherche!$C$6),OR(Recherche!$C$7="",ISNUMBER(SEARCH(Recherche!$C$7,H2371))),OR(Recherche!$C$8="",J2371=Recherche!$C$8),OR(Recherche!$C$9="",I2371=Recherche!$C$9),OR(Recherche!$C$10="",G2371&amp;""=Recherche!$C$10&amp;""),OR(Recherche!$C$11="",E2371=Recherche!$C$11),OR(Recherche!$C$12="",ISNUMBER(SEARCH(Recherche!$C$12,M2371&amp;" "&amp;F2371)))),1,0)</f>
        <v>8</v>
      </c>
    </row>
    <row r="2372" customFormat="false" ht="15" hidden="false" customHeight="false" outlineLevel="0" collapsed="false">
      <c r="A2372" s="19"/>
      <c r="B2372" s="19"/>
      <c r="C2372" s="19"/>
      <c r="D2372" s="19"/>
      <c r="E2372" s="22"/>
      <c r="F2372" s="19"/>
      <c r="G2372" s="26" t="str">
        <f aca="false">IF(D2372="","",IFERROR(VALUE(LEFT(D2372,FIND(" |",D2372&amp;" |")-1)),"?"))</f>
        <v/>
      </c>
      <c r="H2372" s="27" t="str">
        <f aca="false">IF(G2372="","",IF(G2372="?","⚠ pub inconnue",IFERROR(INDEX(Pubs!$B$2:$B$3001,MATCH(G2372,Pubs!$A$2:$A$3001,0))&amp;"","⚠ pub inconnue")))</f>
        <v/>
      </c>
      <c r="I2372" s="27" t="str">
        <f aca="false">IF(OR(G2372="",G2372="?"),"",IFERROR(INDEX(Pubs!$C$2:$C$3001,MATCH(G2372,Pubs!$A$2:$A$3001,0))&amp;"",""))</f>
        <v/>
      </c>
      <c r="J2372" s="27" t="str">
        <f aca="false">IF(OR(G2372="",G2372="?"),"",IFERROR(INDEX(Pubs!$G$2:$G$3001,MATCH(G2372,Pubs!$A$2:$A$3001,0))&amp;"",""))</f>
        <v/>
      </c>
      <c r="K2372" s="28" t="str">
        <f aca="false">IF(OR(G2372="",G2372="?"),"",IFERROR(INDEX(Pubs!$E$2:$E$3001,MATCH(G2372,Pubs!$A$2:$A$3001,0)),""))</f>
        <v/>
      </c>
      <c r="L2372" s="29" t="str">
        <f aca="false">IF(A2372="","",IFERROR(1/(1/INDEX(Numéros!$C$2:$C$3001,MATCH(A2372&amp;"|"&amp;B2372,Numéros!$F$2:$F$3001,0))),""))</f>
        <v/>
      </c>
      <c r="M2372" s="27" t="str">
        <f aca="false">IF(OR(G2372="",G2372="?"),"",IFERROR(INDEX(Pubs!$D$2:$D$3001,MATCH(G2372,Pubs!$A$2:$A$3001,0))&amp;"",""))</f>
        <v/>
      </c>
      <c r="N2372" s="27" t="n">
        <f aca="false">N(N2371)+IF(AND(A2372&lt;&gt;"",OR(Recherche!$C$4="",A2372=Recherche!$C$4),OR(Recherche!$C$5="",B2372&amp;""=Recherche!$C$5&amp;""),OR(Recherche!$C$6="",IFERROR(YEAR(L2372),0)=Recherche!$C$6),OR(Recherche!$C$7="",ISNUMBER(SEARCH(Recherche!$C$7,H2372))),OR(Recherche!$C$8="",J2372=Recherche!$C$8),OR(Recherche!$C$9="",I2372=Recherche!$C$9),OR(Recherche!$C$10="",G2372&amp;""=Recherche!$C$10&amp;""),OR(Recherche!$C$11="",E2372=Recherche!$C$11),OR(Recherche!$C$12="",ISNUMBER(SEARCH(Recherche!$C$12,M2372&amp;" "&amp;F2372)))),1,0)</f>
        <v>8</v>
      </c>
    </row>
    <row r="2373" customFormat="false" ht="15" hidden="false" customHeight="false" outlineLevel="0" collapsed="false">
      <c r="A2373" s="19"/>
      <c r="B2373" s="19"/>
      <c r="C2373" s="19"/>
      <c r="D2373" s="19"/>
      <c r="E2373" s="22"/>
      <c r="F2373" s="19"/>
      <c r="G2373" s="26" t="str">
        <f aca="false">IF(D2373="","",IFERROR(VALUE(LEFT(D2373,FIND(" |",D2373&amp;" |")-1)),"?"))</f>
        <v/>
      </c>
      <c r="H2373" s="27" t="str">
        <f aca="false">IF(G2373="","",IF(G2373="?","⚠ pub inconnue",IFERROR(INDEX(Pubs!$B$2:$B$3001,MATCH(G2373,Pubs!$A$2:$A$3001,0))&amp;"","⚠ pub inconnue")))</f>
        <v/>
      </c>
      <c r="I2373" s="27" t="str">
        <f aca="false">IF(OR(G2373="",G2373="?"),"",IFERROR(INDEX(Pubs!$C$2:$C$3001,MATCH(G2373,Pubs!$A$2:$A$3001,0))&amp;"",""))</f>
        <v/>
      </c>
      <c r="J2373" s="27" t="str">
        <f aca="false">IF(OR(G2373="",G2373="?"),"",IFERROR(INDEX(Pubs!$G$2:$G$3001,MATCH(G2373,Pubs!$A$2:$A$3001,0))&amp;"",""))</f>
        <v/>
      </c>
      <c r="K2373" s="28" t="str">
        <f aca="false">IF(OR(G2373="",G2373="?"),"",IFERROR(INDEX(Pubs!$E$2:$E$3001,MATCH(G2373,Pubs!$A$2:$A$3001,0)),""))</f>
        <v/>
      </c>
      <c r="L2373" s="29" t="str">
        <f aca="false">IF(A2373="","",IFERROR(1/(1/INDEX(Numéros!$C$2:$C$3001,MATCH(A2373&amp;"|"&amp;B2373,Numéros!$F$2:$F$3001,0))),""))</f>
        <v/>
      </c>
      <c r="M2373" s="27" t="str">
        <f aca="false">IF(OR(G2373="",G2373="?"),"",IFERROR(INDEX(Pubs!$D$2:$D$3001,MATCH(G2373,Pubs!$A$2:$A$3001,0))&amp;"",""))</f>
        <v/>
      </c>
      <c r="N2373" s="27" t="n">
        <f aca="false">N(N2372)+IF(AND(A2373&lt;&gt;"",OR(Recherche!$C$4="",A2373=Recherche!$C$4),OR(Recherche!$C$5="",B2373&amp;""=Recherche!$C$5&amp;""),OR(Recherche!$C$6="",IFERROR(YEAR(L2373),0)=Recherche!$C$6),OR(Recherche!$C$7="",ISNUMBER(SEARCH(Recherche!$C$7,H2373))),OR(Recherche!$C$8="",J2373=Recherche!$C$8),OR(Recherche!$C$9="",I2373=Recherche!$C$9),OR(Recherche!$C$10="",G2373&amp;""=Recherche!$C$10&amp;""),OR(Recherche!$C$11="",E2373=Recherche!$C$11),OR(Recherche!$C$12="",ISNUMBER(SEARCH(Recherche!$C$12,M2373&amp;" "&amp;F2373)))),1,0)</f>
        <v>8</v>
      </c>
    </row>
    <row r="2374" customFormat="false" ht="15" hidden="false" customHeight="false" outlineLevel="0" collapsed="false">
      <c r="A2374" s="19"/>
      <c r="B2374" s="19"/>
      <c r="C2374" s="19"/>
      <c r="D2374" s="19"/>
      <c r="E2374" s="22"/>
      <c r="F2374" s="19"/>
      <c r="G2374" s="26" t="str">
        <f aca="false">IF(D2374="","",IFERROR(VALUE(LEFT(D2374,FIND(" |",D2374&amp;" |")-1)),"?"))</f>
        <v/>
      </c>
      <c r="H2374" s="27" t="str">
        <f aca="false">IF(G2374="","",IF(G2374="?","⚠ pub inconnue",IFERROR(INDEX(Pubs!$B$2:$B$3001,MATCH(G2374,Pubs!$A$2:$A$3001,0))&amp;"","⚠ pub inconnue")))</f>
        <v/>
      </c>
      <c r="I2374" s="27" t="str">
        <f aca="false">IF(OR(G2374="",G2374="?"),"",IFERROR(INDEX(Pubs!$C$2:$C$3001,MATCH(G2374,Pubs!$A$2:$A$3001,0))&amp;"",""))</f>
        <v/>
      </c>
      <c r="J2374" s="27" t="str">
        <f aca="false">IF(OR(G2374="",G2374="?"),"",IFERROR(INDEX(Pubs!$G$2:$G$3001,MATCH(G2374,Pubs!$A$2:$A$3001,0))&amp;"",""))</f>
        <v/>
      </c>
      <c r="K2374" s="28" t="str">
        <f aca="false">IF(OR(G2374="",G2374="?"),"",IFERROR(INDEX(Pubs!$E$2:$E$3001,MATCH(G2374,Pubs!$A$2:$A$3001,0)),""))</f>
        <v/>
      </c>
      <c r="L2374" s="29" t="str">
        <f aca="false">IF(A2374="","",IFERROR(1/(1/INDEX(Numéros!$C$2:$C$3001,MATCH(A2374&amp;"|"&amp;B2374,Numéros!$F$2:$F$3001,0))),""))</f>
        <v/>
      </c>
      <c r="M2374" s="27" t="str">
        <f aca="false">IF(OR(G2374="",G2374="?"),"",IFERROR(INDEX(Pubs!$D$2:$D$3001,MATCH(G2374,Pubs!$A$2:$A$3001,0))&amp;"",""))</f>
        <v/>
      </c>
      <c r="N2374" s="27" t="n">
        <f aca="false">N(N2373)+IF(AND(A2374&lt;&gt;"",OR(Recherche!$C$4="",A2374=Recherche!$C$4),OR(Recherche!$C$5="",B2374&amp;""=Recherche!$C$5&amp;""),OR(Recherche!$C$6="",IFERROR(YEAR(L2374),0)=Recherche!$C$6),OR(Recherche!$C$7="",ISNUMBER(SEARCH(Recherche!$C$7,H2374))),OR(Recherche!$C$8="",J2374=Recherche!$C$8),OR(Recherche!$C$9="",I2374=Recherche!$C$9),OR(Recherche!$C$10="",G2374&amp;""=Recherche!$C$10&amp;""),OR(Recherche!$C$11="",E2374=Recherche!$C$11),OR(Recherche!$C$12="",ISNUMBER(SEARCH(Recherche!$C$12,M2374&amp;" "&amp;F2374)))),1,0)</f>
        <v>8</v>
      </c>
    </row>
    <row r="2375" customFormat="false" ht="15" hidden="false" customHeight="false" outlineLevel="0" collapsed="false">
      <c r="A2375" s="19"/>
      <c r="B2375" s="19"/>
      <c r="C2375" s="19"/>
      <c r="D2375" s="19"/>
      <c r="E2375" s="22"/>
      <c r="F2375" s="19"/>
      <c r="G2375" s="26" t="str">
        <f aca="false">IF(D2375="","",IFERROR(VALUE(LEFT(D2375,FIND(" |",D2375&amp;" |")-1)),"?"))</f>
        <v/>
      </c>
      <c r="H2375" s="27" t="str">
        <f aca="false">IF(G2375="","",IF(G2375="?","⚠ pub inconnue",IFERROR(INDEX(Pubs!$B$2:$B$3001,MATCH(G2375,Pubs!$A$2:$A$3001,0))&amp;"","⚠ pub inconnue")))</f>
        <v/>
      </c>
      <c r="I2375" s="27" t="str">
        <f aca="false">IF(OR(G2375="",G2375="?"),"",IFERROR(INDEX(Pubs!$C$2:$C$3001,MATCH(G2375,Pubs!$A$2:$A$3001,0))&amp;"",""))</f>
        <v/>
      </c>
      <c r="J2375" s="27" t="str">
        <f aca="false">IF(OR(G2375="",G2375="?"),"",IFERROR(INDEX(Pubs!$G$2:$G$3001,MATCH(G2375,Pubs!$A$2:$A$3001,0))&amp;"",""))</f>
        <v/>
      </c>
      <c r="K2375" s="28" t="str">
        <f aca="false">IF(OR(G2375="",G2375="?"),"",IFERROR(INDEX(Pubs!$E$2:$E$3001,MATCH(G2375,Pubs!$A$2:$A$3001,0)),""))</f>
        <v/>
      </c>
      <c r="L2375" s="29" t="str">
        <f aca="false">IF(A2375="","",IFERROR(1/(1/INDEX(Numéros!$C$2:$C$3001,MATCH(A2375&amp;"|"&amp;B2375,Numéros!$F$2:$F$3001,0))),""))</f>
        <v/>
      </c>
      <c r="M2375" s="27" t="str">
        <f aca="false">IF(OR(G2375="",G2375="?"),"",IFERROR(INDEX(Pubs!$D$2:$D$3001,MATCH(G2375,Pubs!$A$2:$A$3001,0))&amp;"",""))</f>
        <v/>
      </c>
      <c r="N2375" s="27" t="n">
        <f aca="false">N(N2374)+IF(AND(A2375&lt;&gt;"",OR(Recherche!$C$4="",A2375=Recherche!$C$4),OR(Recherche!$C$5="",B2375&amp;""=Recherche!$C$5&amp;""),OR(Recherche!$C$6="",IFERROR(YEAR(L2375),0)=Recherche!$C$6),OR(Recherche!$C$7="",ISNUMBER(SEARCH(Recherche!$C$7,H2375))),OR(Recherche!$C$8="",J2375=Recherche!$C$8),OR(Recherche!$C$9="",I2375=Recherche!$C$9),OR(Recherche!$C$10="",G2375&amp;""=Recherche!$C$10&amp;""),OR(Recherche!$C$11="",E2375=Recherche!$C$11),OR(Recherche!$C$12="",ISNUMBER(SEARCH(Recherche!$C$12,M2375&amp;" "&amp;F2375)))),1,0)</f>
        <v>8</v>
      </c>
    </row>
    <row r="2376" customFormat="false" ht="15" hidden="false" customHeight="false" outlineLevel="0" collapsed="false">
      <c r="A2376" s="19"/>
      <c r="B2376" s="19"/>
      <c r="C2376" s="19"/>
      <c r="D2376" s="19"/>
      <c r="E2376" s="22"/>
      <c r="F2376" s="19"/>
      <c r="G2376" s="26" t="str">
        <f aca="false">IF(D2376="","",IFERROR(VALUE(LEFT(D2376,FIND(" |",D2376&amp;" |")-1)),"?"))</f>
        <v/>
      </c>
      <c r="H2376" s="27" t="str">
        <f aca="false">IF(G2376="","",IF(G2376="?","⚠ pub inconnue",IFERROR(INDEX(Pubs!$B$2:$B$3001,MATCH(G2376,Pubs!$A$2:$A$3001,0))&amp;"","⚠ pub inconnue")))</f>
        <v/>
      </c>
      <c r="I2376" s="27" t="str">
        <f aca="false">IF(OR(G2376="",G2376="?"),"",IFERROR(INDEX(Pubs!$C$2:$C$3001,MATCH(G2376,Pubs!$A$2:$A$3001,0))&amp;"",""))</f>
        <v/>
      </c>
      <c r="J2376" s="27" t="str">
        <f aca="false">IF(OR(G2376="",G2376="?"),"",IFERROR(INDEX(Pubs!$G$2:$G$3001,MATCH(G2376,Pubs!$A$2:$A$3001,0))&amp;"",""))</f>
        <v/>
      </c>
      <c r="K2376" s="28" t="str">
        <f aca="false">IF(OR(G2376="",G2376="?"),"",IFERROR(INDEX(Pubs!$E$2:$E$3001,MATCH(G2376,Pubs!$A$2:$A$3001,0)),""))</f>
        <v/>
      </c>
      <c r="L2376" s="29" t="str">
        <f aca="false">IF(A2376="","",IFERROR(1/(1/INDEX(Numéros!$C$2:$C$3001,MATCH(A2376&amp;"|"&amp;B2376,Numéros!$F$2:$F$3001,0))),""))</f>
        <v/>
      </c>
      <c r="M2376" s="27" t="str">
        <f aca="false">IF(OR(G2376="",G2376="?"),"",IFERROR(INDEX(Pubs!$D$2:$D$3001,MATCH(G2376,Pubs!$A$2:$A$3001,0))&amp;"",""))</f>
        <v/>
      </c>
      <c r="N2376" s="27" t="n">
        <f aca="false">N(N2375)+IF(AND(A2376&lt;&gt;"",OR(Recherche!$C$4="",A2376=Recherche!$C$4),OR(Recherche!$C$5="",B2376&amp;""=Recherche!$C$5&amp;""),OR(Recherche!$C$6="",IFERROR(YEAR(L2376),0)=Recherche!$C$6),OR(Recherche!$C$7="",ISNUMBER(SEARCH(Recherche!$C$7,H2376))),OR(Recherche!$C$8="",J2376=Recherche!$C$8),OR(Recherche!$C$9="",I2376=Recherche!$C$9),OR(Recherche!$C$10="",G2376&amp;""=Recherche!$C$10&amp;""),OR(Recherche!$C$11="",E2376=Recherche!$C$11),OR(Recherche!$C$12="",ISNUMBER(SEARCH(Recherche!$C$12,M2376&amp;" "&amp;F2376)))),1,0)</f>
        <v>8</v>
      </c>
    </row>
    <row r="2377" customFormat="false" ht="15" hidden="false" customHeight="false" outlineLevel="0" collapsed="false">
      <c r="A2377" s="19"/>
      <c r="B2377" s="19"/>
      <c r="C2377" s="19"/>
      <c r="D2377" s="19"/>
      <c r="E2377" s="22"/>
      <c r="F2377" s="19"/>
      <c r="G2377" s="26" t="str">
        <f aca="false">IF(D2377="","",IFERROR(VALUE(LEFT(D2377,FIND(" |",D2377&amp;" |")-1)),"?"))</f>
        <v/>
      </c>
      <c r="H2377" s="27" t="str">
        <f aca="false">IF(G2377="","",IF(G2377="?","⚠ pub inconnue",IFERROR(INDEX(Pubs!$B$2:$B$3001,MATCH(G2377,Pubs!$A$2:$A$3001,0))&amp;"","⚠ pub inconnue")))</f>
        <v/>
      </c>
      <c r="I2377" s="27" t="str">
        <f aca="false">IF(OR(G2377="",G2377="?"),"",IFERROR(INDEX(Pubs!$C$2:$C$3001,MATCH(G2377,Pubs!$A$2:$A$3001,0))&amp;"",""))</f>
        <v/>
      </c>
      <c r="J2377" s="27" t="str">
        <f aca="false">IF(OR(G2377="",G2377="?"),"",IFERROR(INDEX(Pubs!$G$2:$G$3001,MATCH(G2377,Pubs!$A$2:$A$3001,0))&amp;"",""))</f>
        <v/>
      </c>
      <c r="K2377" s="28" t="str">
        <f aca="false">IF(OR(G2377="",G2377="?"),"",IFERROR(INDEX(Pubs!$E$2:$E$3001,MATCH(G2377,Pubs!$A$2:$A$3001,0)),""))</f>
        <v/>
      </c>
      <c r="L2377" s="29" t="str">
        <f aca="false">IF(A2377="","",IFERROR(1/(1/INDEX(Numéros!$C$2:$C$3001,MATCH(A2377&amp;"|"&amp;B2377,Numéros!$F$2:$F$3001,0))),""))</f>
        <v/>
      </c>
      <c r="M2377" s="27" t="str">
        <f aca="false">IF(OR(G2377="",G2377="?"),"",IFERROR(INDEX(Pubs!$D$2:$D$3001,MATCH(G2377,Pubs!$A$2:$A$3001,0))&amp;"",""))</f>
        <v/>
      </c>
      <c r="N2377" s="27" t="n">
        <f aca="false">N(N2376)+IF(AND(A2377&lt;&gt;"",OR(Recherche!$C$4="",A2377=Recherche!$C$4),OR(Recherche!$C$5="",B2377&amp;""=Recherche!$C$5&amp;""),OR(Recherche!$C$6="",IFERROR(YEAR(L2377),0)=Recherche!$C$6),OR(Recherche!$C$7="",ISNUMBER(SEARCH(Recherche!$C$7,H2377))),OR(Recherche!$C$8="",J2377=Recherche!$C$8),OR(Recherche!$C$9="",I2377=Recherche!$C$9),OR(Recherche!$C$10="",G2377&amp;""=Recherche!$C$10&amp;""),OR(Recherche!$C$11="",E2377=Recherche!$C$11),OR(Recherche!$C$12="",ISNUMBER(SEARCH(Recherche!$C$12,M2377&amp;" "&amp;F2377)))),1,0)</f>
        <v>8</v>
      </c>
    </row>
    <row r="2378" customFormat="false" ht="15" hidden="false" customHeight="false" outlineLevel="0" collapsed="false">
      <c r="A2378" s="19"/>
      <c r="B2378" s="19"/>
      <c r="C2378" s="19"/>
      <c r="D2378" s="19"/>
      <c r="E2378" s="22"/>
      <c r="F2378" s="19"/>
      <c r="G2378" s="26" t="str">
        <f aca="false">IF(D2378="","",IFERROR(VALUE(LEFT(D2378,FIND(" |",D2378&amp;" |")-1)),"?"))</f>
        <v/>
      </c>
      <c r="H2378" s="27" t="str">
        <f aca="false">IF(G2378="","",IF(G2378="?","⚠ pub inconnue",IFERROR(INDEX(Pubs!$B$2:$B$3001,MATCH(G2378,Pubs!$A$2:$A$3001,0))&amp;"","⚠ pub inconnue")))</f>
        <v/>
      </c>
      <c r="I2378" s="27" t="str">
        <f aca="false">IF(OR(G2378="",G2378="?"),"",IFERROR(INDEX(Pubs!$C$2:$C$3001,MATCH(G2378,Pubs!$A$2:$A$3001,0))&amp;"",""))</f>
        <v/>
      </c>
      <c r="J2378" s="27" t="str">
        <f aca="false">IF(OR(G2378="",G2378="?"),"",IFERROR(INDEX(Pubs!$G$2:$G$3001,MATCH(G2378,Pubs!$A$2:$A$3001,0))&amp;"",""))</f>
        <v/>
      </c>
      <c r="K2378" s="28" t="str">
        <f aca="false">IF(OR(G2378="",G2378="?"),"",IFERROR(INDEX(Pubs!$E$2:$E$3001,MATCH(G2378,Pubs!$A$2:$A$3001,0)),""))</f>
        <v/>
      </c>
      <c r="L2378" s="29" t="str">
        <f aca="false">IF(A2378="","",IFERROR(1/(1/INDEX(Numéros!$C$2:$C$3001,MATCH(A2378&amp;"|"&amp;B2378,Numéros!$F$2:$F$3001,0))),""))</f>
        <v/>
      </c>
      <c r="M2378" s="27" t="str">
        <f aca="false">IF(OR(G2378="",G2378="?"),"",IFERROR(INDEX(Pubs!$D$2:$D$3001,MATCH(G2378,Pubs!$A$2:$A$3001,0))&amp;"",""))</f>
        <v/>
      </c>
      <c r="N2378" s="27" t="n">
        <f aca="false">N(N2377)+IF(AND(A2378&lt;&gt;"",OR(Recherche!$C$4="",A2378=Recherche!$C$4),OR(Recherche!$C$5="",B2378&amp;""=Recherche!$C$5&amp;""),OR(Recherche!$C$6="",IFERROR(YEAR(L2378),0)=Recherche!$C$6),OR(Recherche!$C$7="",ISNUMBER(SEARCH(Recherche!$C$7,H2378))),OR(Recherche!$C$8="",J2378=Recherche!$C$8),OR(Recherche!$C$9="",I2378=Recherche!$C$9),OR(Recherche!$C$10="",G2378&amp;""=Recherche!$C$10&amp;""),OR(Recherche!$C$11="",E2378=Recherche!$C$11),OR(Recherche!$C$12="",ISNUMBER(SEARCH(Recherche!$C$12,M2378&amp;" "&amp;F2378)))),1,0)</f>
        <v>8</v>
      </c>
    </row>
    <row r="2379" customFormat="false" ht="15" hidden="false" customHeight="false" outlineLevel="0" collapsed="false">
      <c r="A2379" s="19"/>
      <c r="B2379" s="19"/>
      <c r="C2379" s="19"/>
      <c r="D2379" s="19"/>
      <c r="E2379" s="22"/>
      <c r="F2379" s="19"/>
      <c r="G2379" s="26" t="str">
        <f aca="false">IF(D2379="","",IFERROR(VALUE(LEFT(D2379,FIND(" |",D2379&amp;" |")-1)),"?"))</f>
        <v/>
      </c>
      <c r="H2379" s="27" t="str">
        <f aca="false">IF(G2379="","",IF(G2379="?","⚠ pub inconnue",IFERROR(INDEX(Pubs!$B$2:$B$3001,MATCH(G2379,Pubs!$A$2:$A$3001,0))&amp;"","⚠ pub inconnue")))</f>
        <v/>
      </c>
      <c r="I2379" s="27" t="str">
        <f aca="false">IF(OR(G2379="",G2379="?"),"",IFERROR(INDEX(Pubs!$C$2:$C$3001,MATCH(G2379,Pubs!$A$2:$A$3001,0))&amp;"",""))</f>
        <v/>
      </c>
      <c r="J2379" s="27" t="str">
        <f aca="false">IF(OR(G2379="",G2379="?"),"",IFERROR(INDEX(Pubs!$G$2:$G$3001,MATCH(G2379,Pubs!$A$2:$A$3001,0))&amp;"",""))</f>
        <v/>
      </c>
      <c r="K2379" s="28" t="str">
        <f aca="false">IF(OR(G2379="",G2379="?"),"",IFERROR(INDEX(Pubs!$E$2:$E$3001,MATCH(G2379,Pubs!$A$2:$A$3001,0)),""))</f>
        <v/>
      </c>
      <c r="L2379" s="29" t="str">
        <f aca="false">IF(A2379="","",IFERROR(1/(1/INDEX(Numéros!$C$2:$C$3001,MATCH(A2379&amp;"|"&amp;B2379,Numéros!$F$2:$F$3001,0))),""))</f>
        <v/>
      </c>
      <c r="M2379" s="27" t="str">
        <f aca="false">IF(OR(G2379="",G2379="?"),"",IFERROR(INDEX(Pubs!$D$2:$D$3001,MATCH(G2379,Pubs!$A$2:$A$3001,0))&amp;"",""))</f>
        <v/>
      </c>
      <c r="N2379" s="27" t="n">
        <f aca="false">N(N2378)+IF(AND(A2379&lt;&gt;"",OR(Recherche!$C$4="",A2379=Recherche!$C$4),OR(Recherche!$C$5="",B2379&amp;""=Recherche!$C$5&amp;""),OR(Recherche!$C$6="",IFERROR(YEAR(L2379),0)=Recherche!$C$6),OR(Recherche!$C$7="",ISNUMBER(SEARCH(Recherche!$C$7,H2379))),OR(Recherche!$C$8="",J2379=Recherche!$C$8),OR(Recherche!$C$9="",I2379=Recherche!$C$9),OR(Recherche!$C$10="",G2379&amp;""=Recherche!$C$10&amp;""),OR(Recherche!$C$11="",E2379=Recherche!$C$11),OR(Recherche!$C$12="",ISNUMBER(SEARCH(Recherche!$C$12,M2379&amp;" "&amp;F2379)))),1,0)</f>
        <v>8</v>
      </c>
    </row>
    <row r="2380" customFormat="false" ht="15" hidden="false" customHeight="false" outlineLevel="0" collapsed="false">
      <c r="A2380" s="19"/>
      <c r="B2380" s="19"/>
      <c r="C2380" s="19"/>
      <c r="D2380" s="19"/>
      <c r="E2380" s="22"/>
      <c r="F2380" s="19"/>
      <c r="G2380" s="26" t="str">
        <f aca="false">IF(D2380="","",IFERROR(VALUE(LEFT(D2380,FIND(" |",D2380&amp;" |")-1)),"?"))</f>
        <v/>
      </c>
      <c r="H2380" s="27" t="str">
        <f aca="false">IF(G2380="","",IF(G2380="?","⚠ pub inconnue",IFERROR(INDEX(Pubs!$B$2:$B$3001,MATCH(G2380,Pubs!$A$2:$A$3001,0))&amp;"","⚠ pub inconnue")))</f>
        <v/>
      </c>
      <c r="I2380" s="27" t="str">
        <f aca="false">IF(OR(G2380="",G2380="?"),"",IFERROR(INDEX(Pubs!$C$2:$C$3001,MATCH(G2380,Pubs!$A$2:$A$3001,0))&amp;"",""))</f>
        <v/>
      </c>
      <c r="J2380" s="27" t="str">
        <f aca="false">IF(OR(G2380="",G2380="?"),"",IFERROR(INDEX(Pubs!$G$2:$G$3001,MATCH(G2380,Pubs!$A$2:$A$3001,0))&amp;"",""))</f>
        <v/>
      </c>
      <c r="K2380" s="28" t="str">
        <f aca="false">IF(OR(G2380="",G2380="?"),"",IFERROR(INDEX(Pubs!$E$2:$E$3001,MATCH(G2380,Pubs!$A$2:$A$3001,0)),""))</f>
        <v/>
      </c>
      <c r="L2380" s="29" t="str">
        <f aca="false">IF(A2380="","",IFERROR(1/(1/INDEX(Numéros!$C$2:$C$3001,MATCH(A2380&amp;"|"&amp;B2380,Numéros!$F$2:$F$3001,0))),""))</f>
        <v/>
      </c>
      <c r="M2380" s="27" t="str">
        <f aca="false">IF(OR(G2380="",G2380="?"),"",IFERROR(INDEX(Pubs!$D$2:$D$3001,MATCH(G2380,Pubs!$A$2:$A$3001,0))&amp;"",""))</f>
        <v/>
      </c>
      <c r="N2380" s="27" t="n">
        <f aca="false">N(N2379)+IF(AND(A2380&lt;&gt;"",OR(Recherche!$C$4="",A2380=Recherche!$C$4),OR(Recherche!$C$5="",B2380&amp;""=Recherche!$C$5&amp;""),OR(Recherche!$C$6="",IFERROR(YEAR(L2380),0)=Recherche!$C$6),OR(Recherche!$C$7="",ISNUMBER(SEARCH(Recherche!$C$7,H2380))),OR(Recherche!$C$8="",J2380=Recherche!$C$8),OR(Recherche!$C$9="",I2380=Recherche!$C$9),OR(Recherche!$C$10="",G2380&amp;""=Recherche!$C$10&amp;""),OR(Recherche!$C$11="",E2380=Recherche!$C$11),OR(Recherche!$C$12="",ISNUMBER(SEARCH(Recherche!$C$12,M2380&amp;" "&amp;F2380)))),1,0)</f>
        <v>8</v>
      </c>
    </row>
    <row r="2381" customFormat="false" ht="15" hidden="false" customHeight="false" outlineLevel="0" collapsed="false">
      <c r="A2381" s="19"/>
      <c r="B2381" s="19"/>
      <c r="C2381" s="19"/>
      <c r="D2381" s="19"/>
      <c r="E2381" s="22"/>
      <c r="F2381" s="19"/>
      <c r="G2381" s="26" t="str">
        <f aca="false">IF(D2381="","",IFERROR(VALUE(LEFT(D2381,FIND(" |",D2381&amp;" |")-1)),"?"))</f>
        <v/>
      </c>
      <c r="H2381" s="27" t="str">
        <f aca="false">IF(G2381="","",IF(G2381="?","⚠ pub inconnue",IFERROR(INDEX(Pubs!$B$2:$B$3001,MATCH(G2381,Pubs!$A$2:$A$3001,0))&amp;"","⚠ pub inconnue")))</f>
        <v/>
      </c>
      <c r="I2381" s="27" t="str">
        <f aca="false">IF(OR(G2381="",G2381="?"),"",IFERROR(INDEX(Pubs!$C$2:$C$3001,MATCH(G2381,Pubs!$A$2:$A$3001,0))&amp;"",""))</f>
        <v/>
      </c>
      <c r="J2381" s="27" t="str">
        <f aca="false">IF(OR(G2381="",G2381="?"),"",IFERROR(INDEX(Pubs!$G$2:$G$3001,MATCH(G2381,Pubs!$A$2:$A$3001,0))&amp;"",""))</f>
        <v/>
      </c>
      <c r="K2381" s="28" t="str">
        <f aca="false">IF(OR(G2381="",G2381="?"),"",IFERROR(INDEX(Pubs!$E$2:$E$3001,MATCH(G2381,Pubs!$A$2:$A$3001,0)),""))</f>
        <v/>
      </c>
      <c r="L2381" s="29" t="str">
        <f aca="false">IF(A2381="","",IFERROR(1/(1/INDEX(Numéros!$C$2:$C$3001,MATCH(A2381&amp;"|"&amp;B2381,Numéros!$F$2:$F$3001,0))),""))</f>
        <v/>
      </c>
      <c r="M2381" s="27" t="str">
        <f aca="false">IF(OR(G2381="",G2381="?"),"",IFERROR(INDEX(Pubs!$D$2:$D$3001,MATCH(G2381,Pubs!$A$2:$A$3001,0))&amp;"",""))</f>
        <v/>
      </c>
      <c r="N2381" s="27" t="n">
        <f aca="false">N(N2380)+IF(AND(A2381&lt;&gt;"",OR(Recherche!$C$4="",A2381=Recherche!$C$4),OR(Recherche!$C$5="",B2381&amp;""=Recherche!$C$5&amp;""),OR(Recherche!$C$6="",IFERROR(YEAR(L2381),0)=Recherche!$C$6),OR(Recherche!$C$7="",ISNUMBER(SEARCH(Recherche!$C$7,H2381))),OR(Recherche!$C$8="",J2381=Recherche!$C$8),OR(Recherche!$C$9="",I2381=Recherche!$C$9),OR(Recherche!$C$10="",G2381&amp;""=Recherche!$C$10&amp;""),OR(Recherche!$C$11="",E2381=Recherche!$C$11),OR(Recherche!$C$12="",ISNUMBER(SEARCH(Recherche!$C$12,M2381&amp;" "&amp;F2381)))),1,0)</f>
        <v>8</v>
      </c>
    </row>
    <row r="2382" customFormat="false" ht="15" hidden="false" customHeight="false" outlineLevel="0" collapsed="false">
      <c r="A2382" s="19"/>
      <c r="B2382" s="19"/>
      <c r="C2382" s="19"/>
      <c r="D2382" s="19"/>
      <c r="E2382" s="22"/>
      <c r="F2382" s="19"/>
      <c r="G2382" s="26" t="str">
        <f aca="false">IF(D2382="","",IFERROR(VALUE(LEFT(D2382,FIND(" |",D2382&amp;" |")-1)),"?"))</f>
        <v/>
      </c>
      <c r="H2382" s="27" t="str">
        <f aca="false">IF(G2382="","",IF(G2382="?","⚠ pub inconnue",IFERROR(INDEX(Pubs!$B$2:$B$3001,MATCH(G2382,Pubs!$A$2:$A$3001,0))&amp;"","⚠ pub inconnue")))</f>
        <v/>
      </c>
      <c r="I2382" s="27" t="str">
        <f aca="false">IF(OR(G2382="",G2382="?"),"",IFERROR(INDEX(Pubs!$C$2:$C$3001,MATCH(G2382,Pubs!$A$2:$A$3001,0))&amp;"",""))</f>
        <v/>
      </c>
      <c r="J2382" s="27" t="str">
        <f aca="false">IF(OR(G2382="",G2382="?"),"",IFERROR(INDEX(Pubs!$G$2:$G$3001,MATCH(G2382,Pubs!$A$2:$A$3001,0))&amp;"",""))</f>
        <v/>
      </c>
      <c r="K2382" s="28" t="str">
        <f aca="false">IF(OR(G2382="",G2382="?"),"",IFERROR(INDEX(Pubs!$E$2:$E$3001,MATCH(G2382,Pubs!$A$2:$A$3001,0)),""))</f>
        <v/>
      </c>
      <c r="L2382" s="29" t="str">
        <f aca="false">IF(A2382="","",IFERROR(1/(1/INDEX(Numéros!$C$2:$C$3001,MATCH(A2382&amp;"|"&amp;B2382,Numéros!$F$2:$F$3001,0))),""))</f>
        <v/>
      </c>
      <c r="M2382" s="27" t="str">
        <f aca="false">IF(OR(G2382="",G2382="?"),"",IFERROR(INDEX(Pubs!$D$2:$D$3001,MATCH(G2382,Pubs!$A$2:$A$3001,0))&amp;"",""))</f>
        <v/>
      </c>
      <c r="N2382" s="27" t="n">
        <f aca="false">N(N2381)+IF(AND(A2382&lt;&gt;"",OR(Recherche!$C$4="",A2382=Recherche!$C$4),OR(Recherche!$C$5="",B2382&amp;""=Recherche!$C$5&amp;""),OR(Recherche!$C$6="",IFERROR(YEAR(L2382),0)=Recherche!$C$6),OR(Recherche!$C$7="",ISNUMBER(SEARCH(Recherche!$C$7,H2382))),OR(Recherche!$C$8="",J2382=Recherche!$C$8),OR(Recherche!$C$9="",I2382=Recherche!$C$9),OR(Recherche!$C$10="",G2382&amp;""=Recherche!$C$10&amp;""),OR(Recherche!$C$11="",E2382=Recherche!$C$11),OR(Recherche!$C$12="",ISNUMBER(SEARCH(Recherche!$C$12,M2382&amp;" "&amp;F2382)))),1,0)</f>
        <v>8</v>
      </c>
    </row>
    <row r="2383" customFormat="false" ht="15" hidden="false" customHeight="false" outlineLevel="0" collapsed="false">
      <c r="A2383" s="19"/>
      <c r="B2383" s="19"/>
      <c r="C2383" s="19"/>
      <c r="D2383" s="19"/>
      <c r="E2383" s="22"/>
      <c r="F2383" s="19"/>
      <c r="G2383" s="26" t="str">
        <f aca="false">IF(D2383="","",IFERROR(VALUE(LEFT(D2383,FIND(" |",D2383&amp;" |")-1)),"?"))</f>
        <v/>
      </c>
      <c r="H2383" s="27" t="str">
        <f aca="false">IF(G2383="","",IF(G2383="?","⚠ pub inconnue",IFERROR(INDEX(Pubs!$B$2:$B$3001,MATCH(G2383,Pubs!$A$2:$A$3001,0))&amp;"","⚠ pub inconnue")))</f>
        <v/>
      </c>
      <c r="I2383" s="27" t="str">
        <f aca="false">IF(OR(G2383="",G2383="?"),"",IFERROR(INDEX(Pubs!$C$2:$C$3001,MATCH(G2383,Pubs!$A$2:$A$3001,0))&amp;"",""))</f>
        <v/>
      </c>
      <c r="J2383" s="27" t="str">
        <f aca="false">IF(OR(G2383="",G2383="?"),"",IFERROR(INDEX(Pubs!$G$2:$G$3001,MATCH(G2383,Pubs!$A$2:$A$3001,0))&amp;"",""))</f>
        <v/>
      </c>
      <c r="K2383" s="28" t="str">
        <f aca="false">IF(OR(G2383="",G2383="?"),"",IFERROR(INDEX(Pubs!$E$2:$E$3001,MATCH(G2383,Pubs!$A$2:$A$3001,0)),""))</f>
        <v/>
      </c>
      <c r="L2383" s="29" t="str">
        <f aca="false">IF(A2383="","",IFERROR(1/(1/INDEX(Numéros!$C$2:$C$3001,MATCH(A2383&amp;"|"&amp;B2383,Numéros!$F$2:$F$3001,0))),""))</f>
        <v/>
      </c>
      <c r="M2383" s="27" t="str">
        <f aca="false">IF(OR(G2383="",G2383="?"),"",IFERROR(INDEX(Pubs!$D$2:$D$3001,MATCH(G2383,Pubs!$A$2:$A$3001,0))&amp;"",""))</f>
        <v/>
      </c>
      <c r="N2383" s="27" t="n">
        <f aca="false">N(N2382)+IF(AND(A2383&lt;&gt;"",OR(Recherche!$C$4="",A2383=Recherche!$C$4),OR(Recherche!$C$5="",B2383&amp;""=Recherche!$C$5&amp;""),OR(Recherche!$C$6="",IFERROR(YEAR(L2383),0)=Recherche!$C$6),OR(Recherche!$C$7="",ISNUMBER(SEARCH(Recherche!$C$7,H2383))),OR(Recherche!$C$8="",J2383=Recherche!$C$8),OR(Recherche!$C$9="",I2383=Recherche!$C$9),OR(Recherche!$C$10="",G2383&amp;""=Recherche!$C$10&amp;""),OR(Recherche!$C$11="",E2383=Recherche!$C$11),OR(Recherche!$C$12="",ISNUMBER(SEARCH(Recherche!$C$12,M2383&amp;" "&amp;F2383)))),1,0)</f>
        <v>8</v>
      </c>
    </row>
    <row r="2384" customFormat="false" ht="15" hidden="false" customHeight="false" outlineLevel="0" collapsed="false">
      <c r="A2384" s="19"/>
      <c r="B2384" s="19"/>
      <c r="C2384" s="19"/>
      <c r="D2384" s="19"/>
      <c r="E2384" s="22"/>
      <c r="F2384" s="19"/>
      <c r="G2384" s="26" t="str">
        <f aca="false">IF(D2384="","",IFERROR(VALUE(LEFT(D2384,FIND(" |",D2384&amp;" |")-1)),"?"))</f>
        <v/>
      </c>
      <c r="H2384" s="27" t="str">
        <f aca="false">IF(G2384="","",IF(G2384="?","⚠ pub inconnue",IFERROR(INDEX(Pubs!$B$2:$B$3001,MATCH(G2384,Pubs!$A$2:$A$3001,0))&amp;"","⚠ pub inconnue")))</f>
        <v/>
      </c>
      <c r="I2384" s="27" t="str">
        <f aca="false">IF(OR(G2384="",G2384="?"),"",IFERROR(INDEX(Pubs!$C$2:$C$3001,MATCH(G2384,Pubs!$A$2:$A$3001,0))&amp;"",""))</f>
        <v/>
      </c>
      <c r="J2384" s="27" t="str">
        <f aca="false">IF(OR(G2384="",G2384="?"),"",IFERROR(INDEX(Pubs!$G$2:$G$3001,MATCH(G2384,Pubs!$A$2:$A$3001,0))&amp;"",""))</f>
        <v/>
      </c>
      <c r="K2384" s="28" t="str">
        <f aca="false">IF(OR(G2384="",G2384="?"),"",IFERROR(INDEX(Pubs!$E$2:$E$3001,MATCH(G2384,Pubs!$A$2:$A$3001,0)),""))</f>
        <v/>
      </c>
      <c r="L2384" s="29" t="str">
        <f aca="false">IF(A2384="","",IFERROR(1/(1/INDEX(Numéros!$C$2:$C$3001,MATCH(A2384&amp;"|"&amp;B2384,Numéros!$F$2:$F$3001,0))),""))</f>
        <v/>
      </c>
      <c r="M2384" s="27" t="str">
        <f aca="false">IF(OR(G2384="",G2384="?"),"",IFERROR(INDEX(Pubs!$D$2:$D$3001,MATCH(G2384,Pubs!$A$2:$A$3001,0))&amp;"",""))</f>
        <v/>
      </c>
      <c r="N2384" s="27" t="n">
        <f aca="false">N(N2383)+IF(AND(A2384&lt;&gt;"",OR(Recherche!$C$4="",A2384=Recherche!$C$4),OR(Recherche!$C$5="",B2384&amp;""=Recherche!$C$5&amp;""),OR(Recherche!$C$6="",IFERROR(YEAR(L2384),0)=Recherche!$C$6),OR(Recherche!$C$7="",ISNUMBER(SEARCH(Recherche!$C$7,H2384))),OR(Recherche!$C$8="",J2384=Recherche!$C$8),OR(Recherche!$C$9="",I2384=Recherche!$C$9),OR(Recherche!$C$10="",G2384&amp;""=Recherche!$C$10&amp;""),OR(Recherche!$C$11="",E2384=Recherche!$C$11),OR(Recherche!$C$12="",ISNUMBER(SEARCH(Recherche!$C$12,M2384&amp;" "&amp;F2384)))),1,0)</f>
        <v>8</v>
      </c>
    </row>
    <row r="2385" customFormat="false" ht="15" hidden="false" customHeight="false" outlineLevel="0" collapsed="false">
      <c r="A2385" s="19"/>
      <c r="B2385" s="19"/>
      <c r="C2385" s="19"/>
      <c r="D2385" s="19"/>
      <c r="E2385" s="22"/>
      <c r="F2385" s="19"/>
      <c r="G2385" s="26" t="str">
        <f aca="false">IF(D2385="","",IFERROR(VALUE(LEFT(D2385,FIND(" |",D2385&amp;" |")-1)),"?"))</f>
        <v/>
      </c>
      <c r="H2385" s="27" t="str">
        <f aca="false">IF(G2385="","",IF(G2385="?","⚠ pub inconnue",IFERROR(INDEX(Pubs!$B$2:$B$3001,MATCH(G2385,Pubs!$A$2:$A$3001,0))&amp;"","⚠ pub inconnue")))</f>
        <v/>
      </c>
      <c r="I2385" s="27" t="str">
        <f aca="false">IF(OR(G2385="",G2385="?"),"",IFERROR(INDEX(Pubs!$C$2:$C$3001,MATCH(G2385,Pubs!$A$2:$A$3001,0))&amp;"",""))</f>
        <v/>
      </c>
      <c r="J2385" s="27" t="str">
        <f aca="false">IF(OR(G2385="",G2385="?"),"",IFERROR(INDEX(Pubs!$G$2:$G$3001,MATCH(G2385,Pubs!$A$2:$A$3001,0))&amp;"",""))</f>
        <v/>
      </c>
      <c r="K2385" s="28" t="str">
        <f aca="false">IF(OR(G2385="",G2385="?"),"",IFERROR(INDEX(Pubs!$E$2:$E$3001,MATCH(G2385,Pubs!$A$2:$A$3001,0)),""))</f>
        <v/>
      </c>
      <c r="L2385" s="29" t="str">
        <f aca="false">IF(A2385="","",IFERROR(1/(1/INDEX(Numéros!$C$2:$C$3001,MATCH(A2385&amp;"|"&amp;B2385,Numéros!$F$2:$F$3001,0))),""))</f>
        <v/>
      </c>
      <c r="M2385" s="27" t="str">
        <f aca="false">IF(OR(G2385="",G2385="?"),"",IFERROR(INDEX(Pubs!$D$2:$D$3001,MATCH(G2385,Pubs!$A$2:$A$3001,0))&amp;"",""))</f>
        <v/>
      </c>
      <c r="N2385" s="27" t="n">
        <f aca="false">N(N2384)+IF(AND(A2385&lt;&gt;"",OR(Recherche!$C$4="",A2385=Recherche!$C$4),OR(Recherche!$C$5="",B2385&amp;""=Recherche!$C$5&amp;""),OR(Recherche!$C$6="",IFERROR(YEAR(L2385),0)=Recherche!$C$6),OR(Recherche!$C$7="",ISNUMBER(SEARCH(Recherche!$C$7,H2385))),OR(Recherche!$C$8="",J2385=Recherche!$C$8),OR(Recherche!$C$9="",I2385=Recherche!$C$9),OR(Recherche!$C$10="",G2385&amp;""=Recherche!$C$10&amp;""),OR(Recherche!$C$11="",E2385=Recherche!$C$11),OR(Recherche!$C$12="",ISNUMBER(SEARCH(Recherche!$C$12,M2385&amp;" "&amp;F2385)))),1,0)</f>
        <v>8</v>
      </c>
    </row>
    <row r="2386" customFormat="false" ht="15" hidden="false" customHeight="false" outlineLevel="0" collapsed="false">
      <c r="A2386" s="19"/>
      <c r="B2386" s="19"/>
      <c r="C2386" s="19"/>
      <c r="D2386" s="19"/>
      <c r="E2386" s="22"/>
      <c r="F2386" s="19"/>
      <c r="G2386" s="26" t="str">
        <f aca="false">IF(D2386="","",IFERROR(VALUE(LEFT(D2386,FIND(" |",D2386&amp;" |")-1)),"?"))</f>
        <v/>
      </c>
      <c r="H2386" s="27" t="str">
        <f aca="false">IF(G2386="","",IF(G2386="?","⚠ pub inconnue",IFERROR(INDEX(Pubs!$B$2:$B$3001,MATCH(G2386,Pubs!$A$2:$A$3001,0))&amp;"","⚠ pub inconnue")))</f>
        <v/>
      </c>
      <c r="I2386" s="27" t="str">
        <f aca="false">IF(OR(G2386="",G2386="?"),"",IFERROR(INDEX(Pubs!$C$2:$C$3001,MATCH(G2386,Pubs!$A$2:$A$3001,0))&amp;"",""))</f>
        <v/>
      </c>
      <c r="J2386" s="27" t="str">
        <f aca="false">IF(OR(G2386="",G2386="?"),"",IFERROR(INDEX(Pubs!$G$2:$G$3001,MATCH(G2386,Pubs!$A$2:$A$3001,0))&amp;"",""))</f>
        <v/>
      </c>
      <c r="K2386" s="28" t="str">
        <f aca="false">IF(OR(G2386="",G2386="?"),"",IFERROR(INDEX(Pubs!$E$2:$E$3001,MATCH(G2386,Pubs!$A$2:$A$3001,0)),""))</f>
        <v/>
      </c>
      <c r="L2386" s="29" t="str">
        <f aca="false">IF(A2386="","",IFERROR(1/(1/INDEX(Numéros!$C$2:$C$3001,MATCH(A2386&amp;"|"&amp;B2386,Numéros!$F$2:$F$3001,0))),""))</f>
        <v/>
      </c>
      <c r="M2386" s="27" t="str">
        <f aca="false">IF(OR(G2386="",G2386="?"),"",IFERROR(INDEX(Pubs!$D$2:$D$3001,MATCH(G2386,Pubs!$A$2:$A$3001,0))&amp;"",""))</f>
        <v/>
      </c>
      <c r="N2386" s="27" t="n">
        <f aca="false">N(N2385)+IF(AND(A2386&lt;&gt;"",OR(Recherche!$C$4="",A2386=Recherche!$C$4),OR(Recherche!$C$5="",B2386&amp;""=Recherche!$C$5&amp;""),OR(Recherche!$C$6="",IFERROR(YEAR(L2386),0)=Recherche!$C$6),OR(Recherche!$C$7="",ISNUMBER(SEARCH(Recherche!$C$7,H2386))),OR(Recherche!$C$8="",J2386=Recherche!$C$8),OR(Recherche!$C$9="",I2386=Recherche!$C$9),OR(Recherche!$C$10="",G2386&amp;""=Recherche!$C$10&amp;""),OR(Recherche!$C$11="",E2386=Recherche!$C$11),OR(Recherche!$C$12="",ISNUMBER(SEARCH(Recherche!$C$12,M2386&amp;" "&amp;F2386)))),1,0)</f>
        <v>8</v>
      </c>
    </row>
    <row r="2387" customFormat="false" ht="15" hidden="false" customHeight="false" outlineLevel="0" collapsed="false">
      <c r="A2387" s="19"/>
      <c r="B2387" s="19"/>
      <c r="C2387" s="19"/>
      <c r="D2387" s="19"/>
      <c r="E2387" s="22"/>
      <c r="F2387" s="19"/>
      <c r="G2387" s="26" t="str">
        <f aca="false">IF(D2387="","",IFERROR(VALUE(LEFT(D2387,FIND(" |",D2387&amp;" |")-1)),"?"))</f>
        <v/>
      </c>
      <c r="H2387" s="27" t="str">
        <f aca="false">IF(G2387="","",IF(G2387="?","⚠ pub inconnue",IFERROR(INDEX(Pubs!$B$2:$B$3001,MATCH(G2387,Pubs!$A$2:$A$3001,0))&amp;"","⚠ pub inconnue")))</f>
        <v/>
      </c>
      <c r="I2387" s="27" t="str">
        <f aca="false">IF(OR(G2387="",G2387="?"),"",IFERROR(INDEX(Pubs!$C$2:$C$3001,MATCH(G2387,Pubs!$A$2:$A$3001,0))&amp;"",""))</f>
        <v/>
      </c>
      <c r="J2387" s="27" t="str">
        <f aca="false">IF(OR(G2387="",G2387="?"),"",IFERROR(INDEX(Pubs!$G$2:$G$3001,MATCH(G2387,Pubs!$A$2:$A$3001,0))&amp;"",""))</f>
        <v/>
      </c>
      <c r="K2387" s="28" t="str">
        <f aca="false">IF(OR(G2387="",G2387="?"),"",IFERROR(INDEX(Pubs!$E$2:$E$3001,MATCH(G2387,Pubs!$A$2:$A$3001,0)),""))</f>
        <v/>
      </c>
      <c r="L2387" s="29" t="str">
        <f aca="false">IF(A2387="","",IFERROR(1/(1/INDEX(Numéros!$C$2:$C$3001,MATCH(A2387&amp;"|"&amp;B2387,Numéros!$F$2:$F$3001,0))),""))</f>
        <v/>
      </c>
      <c r="M2387" s="27" t="str">
        <f aca="false">IF(OR(G2387="",G2387="?"),"",IFERROR(INDEX(Pubs!$D$2:$D$3001,MATCH(G2387,Pubs!$A$2:$A$3001,0))&amp;"",""))</f>
        <v/>
      </c>
      <c r="N2387" s="27" t="n">
        <f aca="false">N(N2386)+IF(AND(A2387&lt;&gt;"",OR(Recherche!$C$4="",A2387=Recherche!$C$4),OR(Recherche!$C$5="",B2387&amp;""=Recherche!$C$5&amp;""),OR(Recherche!$C$6="",IFERROR(YEAR(L2387),0)=Recherche!$C$6),OR(Recherche!$C$7="",ISNUMBER(SEARCH(Recherche!$C$7,H2387))),OR(Recherche!$C$8="",J2387=Recherche!$C$8),OR(Recherche!$C$9="",I2387=Recherche!$C$9),OR(Recherche!$C$10="",G2387&amp;""=Recherche!$C$10&amp;""),OR(Recherche!$C$11="",E2387=Recherche!$C$11),OR(Recherche!$C$12="",ISNUMBER(SEARCH(Recherche!$C$12,M2387&amp;" "&amp;F2387)))),1,0)</f>
        <v>8</v>
      </c>
    </row>
    <row r="2388" customFormat="false" ht="15" hidden="false" customHeight="false" outlineLevel="0" collapsed="false">
      <c r="A2388" s="19"/>
      <c r="B2388" s="19"/>
      <c r="C2388" s="19"/>
      <c r="D2388" s="19"/>
      <c r="E2388" s="22"/>
      <c r="F2388" s="19"/>
      <c r="G2388" s="26" t="str">
        <f aca="false">IF(D2388="","",IFERROR(VALUE(LEFT(D2388,FIND(" |",D2388&amp;" |")-1)),"?"))</f>
        <v/>
      </c>
      <c r="H2388" s="27" t="str">
        <f aca="false">IF(G2388="","",IF(G2388="?","⚠ pub inconnue",IFERROR(INDEX(Pubs!$B$2:$B$3001,MATCH(G2388,Pubs!$A$2:$A$3001,0))&amp;"","⚠ pub inconnue")))</f>
        <v/>
      </c>
      <c r="I2388" s="27" t="str">
        <f aca="false">IF(OR(G2388="",G2388="?"),"",IFERROR(INDEX(Pubs!$C$2:$C$3001,MATCH(G2388,Pubs!$A$2:$A$3001,0))&amp;"",""))</f>
        <v/>
      </c>
      <c r="J2388" s="27" t="str">
        <f aca="false">IF(OR(G2388="",G2388="?"),"",IFERROR(INDEX(Pubs!$G$2:$G$3001,MATCH(G2388,Pubs!$A$2:$A$3001,0))&amp;"",""))</f>
        <v/>
      </c>
      <c r="K2388" s="28" t="str">
        <f aca="false">IF(OR(G2388="",G2388="?"),"",IFERROR(INDEX(Pubs!$E$2:$E$3001,MATCH(G2388,Pubs!$A$2:$A$3001,0)),""))</f>
        <v/>
      </c>
      <c r="L2388" s="29" t="str">
        <f aca="false">IF(A2388="","",IFERROR(1/(1/INDEX(Numéros!$C$2:$C$3001,MATCH(A2388&amp;"|"&amp;B2388,Numéros!$F$2:$F$3001,0))),""))</f>
        <v/>
      </c>
      <c r="M2388" s="27" t="str">
        <f aca="false">IF(OR(G2388="",G2388="?"),"",IFERROR(INDEX(Pubs!$D$2:$D$3001,MATCH(G2388,Pubs!$A$2:$A$3001,0))&amp;"",""))</f>
        <v/>
      </c>
      <c r="N2388" s="27" t="n">
        <f aca="false">N(N2387)+IF(AND(A2388&lt;&gt;"",OR(Recherche!$C$4="",A2388=Recherche!$C$4),OR(Recherche!$C$5="",B2388&amp;""=Recherche!$C$5&amp;""),OR(Recherche!$C$6="",IFERROR(YEAR(L2388),0)=Recherche!$C$6),OR(Recherche!$C$7="",ISNUMBER(SEARCH(Recherche!$C$7,H2388))),OR(Recherche!$C$8="",J2388=Recherche!$C$8),OR(Recherche!$C$9="",I2388=Recherche!$C$9),OR(Recherche!$C$10="",G2388&amp;""=Recherche!$C$10&amp;""),OR(Recherche!$C$11="",E2388=Recherche!$C$11),OR(Recherche!$C$12="",ISNUMBER(SEARCH(Recherche!$C$12,M2388&amp;" "&amp;F2388)))),1,0)</f>
        <v>8</v>
      </c>
    </row>
    <row r="2389" customFormat="false" ht="15" hidden="false" customHeight="false" outlineLevel="0" collapsed="false">
      <c r="A2389" s="19"/>
      <c r="B2389" s="19"/>
      <c r="C2389" s="19"/>
      <c r="D2389" s="19"/>
      <c r="E2389" s="22"/>
      <c r="F2389" s="19"/>
      <c r="G2389" s="26" t="str">
        <f aca="false">IF(D2389="","",IFERROR(VALUE(LEFT(D2389,FIND(" |",D2389&amp;" |")-1)),"?"))</f>
        <v/>
      </c>
      <c r="H2389" s="27" t="str">
        <f aca="false">IF(G2389="","",IF(G2389="?","⚠ pub inconnue",IFERROR(INDEX(Pubs!$B$2:$B$3001,MATCH(G2389,Pubs!$A$2:$A$3001,0))&amp;"","⚠ pub inconnue")))</f>
        <v/>
      </c>
      <c r="I2389" s="27" t="str">
        <f aca="false">IF(OR(G2389="",G2389="?"),"",IFERROR(INDEX(Pubs!$C$2:$C$3001,MATCH(G2389,Pubs!$A$2:$A$3001,0))&amp;"",""))</f>
        <v/>
      </c>
      <c r="J2389" s="27" t="str">
        <f aca="false">IF(OR(G2389="",G2389="?"),"",IFERROR(INDEX(Pubs!$G$2:$G$3001,MATCH(G2389,Pubs!$A$2:$A$3001,0))&amp;"",""))</f>
        <v/>
      </c>
      <c r="K2389" s="28" t="str">
        <f aca="false">IF(OR(G2389="",G2389="?"),"",IFERROR(INDEX(Pubs!$E$2:$E$3001,MATCH(G2389,Pubs!$A$2:$A$3001,0)),""))</f>
        <v/>
      </c>
      <c r="L2389" s="29" t="str">
        <f aca="false">IF(A2389="","",IFERROR(1/(1/INDEX(Numéros!$C$2:$C$3001,MATCH(A2389&amp;"|"&amp;B2389,Numéros!$F$2:$F$3001,0))),""))</f>
        <v/>
      </c>
      <c r="M2389" s="27" t="str">
        <f aca="false">IF(OR(G2389="",G2389="?"),"",IFERROR(INDEX(Pubs!$D$2:$D$3001,MATCH(G2389,Pubs!$A$2:$A$3001,0))&amp;"",""))</f>
        <v/>
      </c>
      <c r="N2389" s="27" t="n">
        <f aca="false">N(N2388)+IF(AND(A2389&lt;&gt;"",OR(Recherche!$C$4="",A2389=Recherche!$C$4),OR(Recherche!$C$5="",B2389&amp;""=Recherche!$C$5&amp;""),OR(Recherche!$C$6="",IFERROR(YEAR(L2389),0)=Recherche!$C$6),OR(Recherche!$C$7="",ISNUMBER(SEARCH(Recherche!$C$7,H2389))),OR(Recherche!$C$8="",J2389=Recherche!$C$8),OR(Recherche!$C$9="",I2389=Recherche!$C$9),OR(Recherche!$C$10="",G2389&amp;""=Recherche!$C$10&amp;""),OR(Recherche!$C$11="",E2389=Recherche!$C$11),OR(Recherche!$C$12="",ISNUMBER(SEARCH(Recherche!$C$12,M2389&amp;" "&amp;F2389)))),1,0)</f>
        <v>8</v>
      </c>
    </row>
    <row r="2390" customFormat="false" ht="15" hidden="false" customHeight="false" outlineLevel="0" collapsed="false">
      <c r="A2390" s="19"/>
      <c r="B2390" s="19"/>
      <c r="C2390" s="19"/>
      <c r="D2390" s="19"/>
      <c r="E2390" s="22"/>
      <c r="F2390" s="19"/>
      <c r="G2390" s="26" t="str">
        <f aca="false">IF(D2390="","",IFERROR(VALUE(LEFT(D2390,FIND(" |",D2390&amp;" |")-1)),"?"))</f>
        <v/>
      </c>
      <c r="H2390" s="27" t="str">
        <f aca="false">IF(G2390="","",IF(G2390="?","⚠ pub inconnue",IFERROR(INDEX(Pubs!$B$2:$B$3001,MATCH(G2390,Pubs!$A$2:$A$3001,0))&amp;"","⚠ pub inconnue")))</f>
        <v/>
      </c>
      <c r="I2390" s="27" t="str">
        <f aca="false">IF(OR(G2390="",G2390="?"),"",IFERROR(INDEX(Pubs!$C$2:$C$3001,MATCH(G2390,Pubs!$A$2:$A$3001,0))&amp;"",""))</f>
        <v/>
      </c>
      <c r="J2390" s="27" t="str">
        <f aca="false">IF(OR(G2390="",G2390="?"),"",IFERROR(INDEX(Pubs!$G$2:$G$3001,MATCH(G2390,Pubs!$A$2:$A$3001,0))&amp;"",""))</f>
        <v/>
      </c>
      <c r="K2390" s="28" t="str">
        <f aca="false">IF(OR(G2390="",G2390="?"),"",IFERROR(INDEX(Pubs!$E$2:$E$3001,MATCH(G2390,Pubs!$A$2:$A$3001,0)),""))</f>
        <v/>
      </c>
      <c r="L2390" s="29" t="str">
        <f aca="false">IF(A2390="","",IFERROR(1/(1/INDEX(Numéros!$C$2:$C$3001,MATCH(A2390&amp;"|"&amp;B2390,Numéros!$F$2:$F$3001,0))),""))</f>
        <v/>
      </c>
      <c r="M2390" s="27" t="str">
        <f aca="false">IF(OR(G2390="",G2390="?"),"",IFERROR(INDEX(Pubs!$D$2:$D$3001,MATCH(G2390,Pubs!$A$2:$A$3001,0))&amp;"",""))</f>
        <v/>
      </c>
      <c r="N2390" s="27" t="n">
        <f aca="false">N(N2389)+IF(AND(A2390&lt;&gt;"",OR(Recherche!$C$4="",A2390=Recherche!$C$4),OR(Recherche!$C$5="",B2390&amp;""=Recherche!$C$5&amp;""),OR(Recherche!$C$6="",IFERROR(YEAR(L2390),0)=Recherche!$C$6),OR(Recherche!$C$7="",ISNUMBER(SEARCH(Recherche!$C$7,H2390))),OR(Recherche!$C$8="",J2390=Recherche!$C$8),OR(Recherche!$C$9="",I2390=Recherche!$C$9),OR(Recherche!$C$10="",G2390&amp;""=Recherche!$C$10&amp;""),OR(Recherche!$C$11="",E2390=Recherche!$C$11),OR(Recherche!$C$12="",ISNUMBER(SEARCH(Recherche!$C$12,M2390&amp;" "&amp;F2390)))),1,0)</f>
        <v>8</v>
      </c>
    </row>
    <row r="2391" customFormat="false" ht="15" hidden="false" customHeight="false" outlineLevel="0" collapsed="false">
      <c r="A2391" s="19"/>
      <c r="B2391" s="19"/>
      <c r="C2391" s="19"/>
      <c r="D2391" s="19"/>
      <c r="E2391" s="22"/>
      <c r="F2391" s="19"/>
      <c r="G2391" s="26" t="str">
        <f aca="false">IF(D2391="","",IFERROR(VALUE(LEFT(D2391,FIND(" |",D2391&amp;" |")-1)),"?"))</f>
        <v/>
      </c>
      <c r="H2391" s="27" t="str">
        <f aca="false">IF(G2391="","",IF(G2391="?","⚠ pub inconnue",IFERROR(INDEX(Pubs!$B$2:$B$3001,MATCH(G2391,Pubs!$A$2:$A$3001,0))&amp;"","⚠ pub inconnue")))</f>
        <v/>
      </c>
      <c r="I2391" s="27" t="str">
        <f aca="false">IF(OR(G2391="",G2391="?"),"",IFERROR(INDEX(Pubs!$C$2:$C$3001,MATCH(G2391,Pubs!$A$2:$A$3001,0))&amp;"",""))</f>
        <v/>
      </c>
      <c r="J2391" s="27" t="str">
        <f aca="false">IF(OR(G2391="",G2391="?"),"",IFERROR(INDEX(Pubs!$G$2:$G$3001,MATCH(G2391,Pubs!$A$2:$A$3001,0))&amp;"",""))</f>
        <v/>
      </c>
      <c r="K2391" s="28" t="str">
        <f aca="false">IF(OR(G2391="",G2391="?"),"",IFERROR(INDEX(Pubs!$E$2:$E$3001,MATCH(G2391,Pubs!$A$2:$A$3001,0)),""))</f>
        <v/>
      </c>
      <c r="L2391" s="29" t="str">
        <f aca="false">IF(A2391="","",IFERROR(1/(1/INDEX(Numéros!$C$2:$C$3001,MATCH(A2391&amp;"|"&amp;B2391,Numéros!$F$2:$F$3001,0))),""))</f>
        <v/>
      </c>
      <c r="M2391" s="27" t="str">
        <f aca="false">IF(OR(G2391="",G2391="?"),"",IFERROR(INDEX(Pubs!$D$2:$D$3001,MATCH(G2391,Pubs!$A$2:$A$3001,0))&amp;"",""))</f>
        <v/>
      </c>
      <c r="N2391" s="27" t="n">
        <f aca="false">N(N2390)+IF(AND(A2391&lt;&gt;"",OR(Recherche!$C$4="",A2391=Recherche!$C$4),OR(Recherche!$C$5="",B2391&amp;""=Recherche!$C$5&amp;""),OR(Recherche!$C$6="",IFERROR(YEAR(L2391),0)=Recherche!$C$6),OR(Recherche!$C$7="",ISNUMBER(SEARCH(Recherche!$C$7,H2391))),OR(Recherche!$C$8="",J2391=Recherche!$C$8),OR(Recherche!$C$9="",I2391=Recherche!$C$9),OR(Recherche!$C$10="",G2391&amp;""=Recherche!$C$10&amp;""),OR(Recherche!$C$11="",E2391=Recherche!$C$11),OR(Recherche!$C$12="",ISNUMBER(SEARCH(Recherche!$C$12,M2391&amp;" "&amp;F2391)))),1,0)</f>
        <v>8</v>
      </c>
    </row>
    <row r="2392" customFormat="false" ht="15" hidden="false" customHeight="false" outlineLevel="0" collapsed="false">
      <c r="A2392" s="19"/>
      <c r="B2392" s="19"/>
      <c r="C2392" s="19"/>
      <c r="D2392" s="19"/>
      <c r="E2392" s="22"/>
      <c r="F2392" s="19"/>
      <c r="G2392" s="26" t="str">
        <f aca="false">IF(D2392="","",IFERROR(VALUE(LEFT(D2392,FIND(" |",D2392&amp;" |")-1)),"?"))</f>
        <v/>
      </c>
      <c r="H2392" s="27" t="str">
        <f aca="false">IF(G2392="","",IF(G2392="?","⚠ pub inconnue",IFERROR(INDEX(Pubs!$B$2:$B$3001,MATCH(G2392,Pubs!$A$2:$A$3001,0))&amp;"","⚠ pub inconnue")))</f>
        <v/>
      </c>
      <c r="I2392" s="27" t="str">
        <f aca="false">IF(OR(G2392="",G2392="?"),"",IFERROR(INDEX(Pubs!$C$2:$C$3001,MATCH(G2392,Pubs!$A$2:$A$3001,0))&amp;"",""))</f>
        <v/>
      </c>
      <c r="J2392" s="27" t="str">
        <f aca="false">IF(OR(G2392="",G2392="?"),"",IFERROR(INDEX(Pubs!$G$2:$G$3001,MATCH(G2392,Pubs!$A$2:$A$3001,0))&amp;"",""))</f>
        <v/>
      </c>
      <c r="K2392" s="28" t="str">
        <f aca="false">IF(OR(G2392="",G2392="?"),"",IFERROR(INDEX(Pubs!$E$2:$E$3001,MATCH(G2392,Pubs!$A$2:$A$3001,0)),""))</f>
        <v/>
      </c>
      <c r="L2392" s="29" t="str">
        <f aca="false">IF(A2392="","",IFERROR(1/(1/INDEX(Numéros!$C$2:$C$3001,MATCH(A2392&amp;"|"&amp;B2392,Numéros!$F$2:$F$3001,0))),""))</f>
        <v/>
      </c>
      <c r="M2392" s="27" t="str">
        <f aca="false">IF(OR(G2392="",G2392="?"),"",IFERROR(INDEX(Pubs!$D$2:$D$3001,MATCH(G2392,Pubs!$A$2:$A$3001,0))&amp;"",""))</f>
        <v/>
      </c>
      <c r="N2392" s="27" t="n">
        <f aca="false">N(N2391)+IF(AND(A2392&lt;&gt;"",OR(Recherche!$C$4="",A2392=Recherche!$C$4),OR(Recherche!$C$5="",B2392&amp;""=Recherche!$C$5&amp;""),OR(Recherche!$C$6="",IFERROR(YEAR(L2392),0)=Recherche!$C$6),OR(Recherche!$C$7="",ISNUMBER(SEARCH(Recherche!$C$7,H2392))),OR(Recherche!$C$8="",J2392=Recherche!$C$8),OR(Recherche!$C$9="",I2392=Recherche!$C$9),OR(Recherche!$C$10="",G2392&amp;""=Recherche!$C$10&amp;""),OR(Recherche!$C$11="",E2392=Recherche!$C$11),OR(Recherche!$C$12="",ISNUMBER(SEARCH(Recherche!$C$12,M2392&amp;" "&amp;F2392)))),1,0)</f>
        <v>8</v>
      </c>
    </row>
    <row r="2393" customFormat="false" ht="15" hidden="false" customHeight="false" outlineLevel="0" collapsed="false">
      <c r="A2393" s="19"/>
      <c r="B2393" s="19"/>
      <c r="C2393" s="19"/>
      <c r="D2393" s="19"/>
      <c r="E2393" s="22"/>
      <c r="F2393" s="19"/>
      <c r="G2393" s="26" t="str">
        <f aca="false">IF(D2393="","",IFERROR(VALUE(LEFT(D2393,FIND(" |",D2393&amp;" |")-1)),"?"))</f>
        <v/>
      </c>
      <c r="H2393" s="27" t="str">
        <f aca="false">IF(G2393="","",IF(G2393="?","⚠ pub inconnue",IFERROR(INDEX(Pubs!$B$2:$B$3001,MATCH(G2393,Pubs!$A$2:$A$3001,0))&amp;"","⚠ pub inconnue")))</f>
        <v/>
      </c>
      <c r="I2393" s="27" t="str">
        <f aca="false">IF(OR(G2393="",G2393="?"),"",IFERROR(INDEX(Pubs!$C$2:$C$3001,MATCH(G2393,Pubs!$A$2:$A$3001,0))&amp;"",""))</f>
        <v/>
      </c>
      <c r="J2393" s="27" t="str">
        <f aca="false">IF(OR(G2393="",G2393="?"),"",IFERROR(INDEX(Pubs!$G$2:$G$3001,MATCH(G2393,Pubs!$A$2:$A$3001,0))&amp;"",""))</f>
        <v/>
      </c>
      <c r="K2393" s="28" t="str">
        <f aca="false">IF(OR(G2393="",G2393="?"),"",IFERROR(INDEX(Pubs!$E$2:$E$3001,MATCH(G2393,Pubs!$A$2:$A$3001,0)),""))</f>
        <v/>
      </c>
      <c r="L2393" s="29" t="str">
        <f aca="false">IF(A2393="","",IFERROR(1/(1/INDEX(Numéros!$C$2:$C$3001,MATCH(A2393&amp;"|"&amp;B2393,Numéros!$F$2:$F$3001,0))),""))</f>
        <v/>
      </c>
      <c r="M2393" s="27" t="str">
        <f aca="false">IF(OR(G2393="",G2393="?"),"",IFERROR(INDEX(Pubs!$D$2:$D$3001,MATCH(G2393,Pubs!$A$2:$A$3001,0))&amp;"",""))</f>
        <v/>
      </c>
      <c r="N2393" s="27" t="n">
        <f aca="false">N(N2392)+IF(AND(A2393&lt;&gt;"",OR(Recherche!$C$4="",A2393=Recherche!$C$4),OR(Recherche!$C$5="",B2393&amp;""=Recherche!$C$5&amp;""),OR(Recherche!$C$6="",IFERROR(YEAR(L2393),0)=Recherche!$C$6),OR(Recherche!$C$7="",ISNUMBER(SEARCH(Recherche!$C$7,H2393))),OR(Recherche!$C$8="",J2393=Recherche!$C$8),OR(Recherche!$C$9="",I2393=Recherche!$C$9),OR(Recherche!$C$10="",G2393&amp;""=Recherche!$C$10&amp;""),OR(Recherche!$C$11="",E2393=Recherche!$C$11),OR(Recherche!$C$12="",ISNUMBER(SEARCH(Recherche!$C$12,M2393&amp;" "&amp;F2393)))),1,0)</f>
        <v>8</v>
      </c>
    </row>
    <row r="2394" customFormat="false" ht="15" hidden="false" customHeight="false" outlineLevel="0" collapsed="false">
      <c r="A2394" s="19"/>
      <c r="B2394" s="19"/>
      <c r="C2394" s="19"/>
      <c r="D2394" s="19"/>
      <c r="E2394" s="22"/>
      <c r="F2394" s="19"/>
      <c r="G2394" s="26" t="str">
        <f aca="false">IF(D2394="","",IFERROR(VALUE(LEFT(D2394,FIND(" |",D2394&amp;" |")-1)),"?"))</f>
        <v/>
      </c>
      <c r="H2394" s="27" t="str">
        <f aca="false">IF(G2394="","",IF(G2394="?","⚠ pub inconnue",IFERROR(INDEX(Pubs!$B$2:$B$3001,MATCH(G2394,Pubs!$A$2:$A$3001,0))&amp;"","⚠ pub inconnue")))</f>
        <v/>
      </c>
      <c r="I2394" s="27" t="str">
        <f aca="false">IF(OR(G2394="",G2394="?"),"",IFERROR(INDEX(Pubs!$C$2:$C$3001,MATCH(G2394,Pubs!$A$2:$A$3001,0))&amp;"",""))</f>
        <v/>
      </c>
      <c r="J2394" s="27" t="str">
        <f aca="false">IF(OR(G2394="",G2394="?"),"",IFERROR(INDEX(Pubs!$G$2:$G$3001,MATCH(G2394,Pubs!$A$2:$A$3001,0))&amp;"",""))</f>
        <v/>
      </c>
      <c r="K2394" s="28" t="str">
        <f aca="false">IF(OR(G2394="",G2394="?"),"",IFERROR(INDEX(Pubs!$E$2:$E$3001,MATCH(G2394,Pubs!$A$2:$A$3001,0)),""))</f>
        <v/>
      </c>
      <c r="L2394" s="29" t="str">
        <f aca="false">IF(A2394="","",IFERROR(1/(1/INDEX(Numéros!$C$2:$C$3001,MATCH(A2394&amp;"|"&amp;B2394,Numéros!$F$2:$F$3001,0))),""))</f>
        <v/>
      </c>
      <c r="M2394" s="27" t="str">
        <f aca="false">IF(OR(G2394="",G2394="?"),"",IFERROR(INDEX(Pubs!$D$2:$D$3001,MATCH(G2394,Pubs!$A$2:$A$3001,0))&amp;"",""))</f>
        <v/>
      </c>
      <c r="N2394" s="27" t="n">
        <f aca="false">N(N2393)+IF(AND(A2394&lt;&gt;"",OR(Recherche!$C$4="",A2394=Recherche!$C$4),OR(Recherche!$C$5="",B2394&amp;""=Recherche!$C$5&amp;""),OR(Recherche!$C$6="",IFERROR(YEAR(L2394),0)=Recherche!$C$6),OR(Recherche!$C$7="",ISNUMBER(SEARCH(Recherche!$C$7,H2394))),OR(Recherche!$C$8="",J2394=Recherche!$C$8),OR(Recherche!$C$9="",I2394=Recherche!$C$9),OR(Recherche!$C$10="",G2394&amp;""=Recherche!$C$10&amp;""),OR(Recherche!$C$11="",E2394=Recherche!$C$11),OR(Recherche!$C$12="",ISNUMBER(SEARCH(Recherche!$C$12,M2394&amp;" "&amp;F2394)))),1,0)</f>
        <v>8</v>
      </c>
    </row>
    <row r="2395" customFormat="false" ht="15" hidden="false" customHeight="false" outlineLevel="0" collapsed="false">
      <c r="A2395" s="19"/>
      <c r="B2395" s="19"/>
      <c r="C2395" s="19"/>
      <c r="D2395" s="19"/>
      <c r="E2395" s="22"/>
      <c r="F2395" s="19"/>
      <c r="G2395" s="26" t="str">
        <f aca="false">IF(D2395="","",IFERROR(VALUE(LEFT(D2395,FIND(" |",D2395&amp;" |")-1)),"?"))</f>
        <v/>
      </c>
      <c r="H2395" s="27" t="str">
        <f aca="false">IF(G2395="","",IF(G2395="?","⚠ pub inconnue",IFERROR(INDEX(Pubs!$B$2:$B$3001,MATCH(G2395,Pubs!$A$2:$A$3001,0))&amp;"","⚠ pub inconnue")))</f>
        <v/>
      </c>
      <c r="I2395" s="27" t="str">
        <f aca="false">IF(OR(G2395="",G2395="?"),"",IFERROR(INDEX(Pubs!$C$2:$C$3001,MATCH(G2395,Pubs!$A$2:$A$3001,0))&amp;"",""))</f>
        <v/>
      </c>
      <c r="J2395" s="27" t="str">
        <f aca="false">IF(OR(G2395="",G2395="?"),"",IFERROR(INDEX(Pubs!$G$2:$G$3001,MATCH(G2395,Pubs!$A$2:$A$3001,0))&amp;"",""))</f>
        <v/>
      </c>
      <c r="K2395" s="28" t="str">
        <f aca="false">IF(OR(G2395="",G2395="?"),"",IFERROR(INDEX(Pubs!$E$2:$E$3001,MATCH(G2395,Pubs!$A$2:$A$3001,0)),""))</f>
        <v/>
      </c>
      <c r="L2395" s="29" t="str">
        <f aca="false">IF(A2395="","",IFERROR(1/(1/INDEX(Numéros!$C$2:$C$3001,MATCH(A2395&amp;"|"&amp;B2395,Numéros!$F$2:$F$3001,0))),""))</f>
        <v/>
      </c>
      <c r="M2395" s="27" t="str">
        <f aca="false">IF(OR(G2395="",G2395="?"),"",IFERROR(INDEX(Pubs!$D$2:$D$3001,MATCH(G2395,Pubs!$A$2:$A$3001,0))&amp;"",""))</f>
        <v/>
      </c>
      <c r="N2395" s="27" t="n">
        <f aca="false">N(N2394)+IF(AND(A2395&lt;&gt;"",OR(Recherche!$C$4="",A2395=Recherche!$C$4),OR(Recherche!$C$5="",B2395&amp;""=Recherche!$C$5&amp;""),OR(Recherche!$C$6="",IFERROR(YEAR(L2395),0)=Recherche!$C$6),OR(Recherche!$C$7="",ISNUMBER(SEARCH(Recherche!$C$7,H2395))),OR(Recherche!$C$8="",J2395=Recherche!$C$8),OR(Recherche!$C$9="",I2395=Recherche!$C$9),OR(Recherche!$C$10="",G2395&amp;""=Recherche!$C$10&amp;""),OR(Recherche!$C$11="",E2395=Recherche!$C$11),OR(Recherche!$C$12="",ISNUMBER(SEARCH(Recherche!$C$12,M2395&amp;" "&amp;F2395)))),1,0)</f>
        <v>8</v>
      </c>
    </row>
    <row r="2396" customFormat="false" ht="15" hidden="false" customHeight="false" outlineLevel="0" collapsed="false">
      <c r="A2396" s="19"/>
      <c r="B2396" s="19"/>
      <c r="C2396" s="19"/>
      <c r="D2396" s="19"/>
      <c r="E2396" s="22"/>
      <c r="F2396" s="19"/>
      <c r="G2396" s="26" t="str">
        <f aca="false">IF(D2396="","",IFERROR(VALUE(LEFT(D2396,FIND(" |",D2396&amp;" |")-1)),"?"))</f>
        <v/>
      </c>
      <c r="H2396" s="27" t="str">
        <f aca="false">IF(G2396="","",IF(G2396="?","⚠ pub inconnue",IFERROR(INDEX(Pubs!$B$2:$B$3001,MATCH(G2396,Pubs!$A$2:$A$3001,0))&amp;"","⚠ pub inconnue")))</f>
        <v/>
      </c>
      <c r="I2396" s="27" t="str">
        <f aca="false">IF(OR(G2396="",G2396="?"),"",IFERROR(INDEX(Pubs!$C$2:$C$3001,MATCH(G2396,Pubs!$A$2:$A$3001,0))&amp;"",""))</f>
        <v/>
      </c>
      <c r="J2396" s="27" t="str">
        <f aca="false">IF(OR(G2396="",G2396="?"),"",IFERROR(INDEX(Pubs!$G$2:$G$3001,MATCH(G2396,Pubs!$A$2:$A$3001,0))&amp;"",""))</f>
        <v/>
      </c>
      <c r="K2396" s="28" t="str">
        <f aca="false">IF(OR(G2396="",G2396="?"),"",IFERROR(INDEX(Pubs!$E$2:$E$3001,MATCH(G2396,Pubs!$A$2:$A$3001,0)),""))</f>
        <v/>
      </c>
      <c r="L2396" s="29" t="str">
        <f aca="false">IF(A2396="","",IFERROR(1/(1/INDEX(Numéros!$C$2:$C$3001,MATCH(A2396&amp;"|"&amp;B2396,Numéros!$F$2:$F$3001,0))),""))</f>
        <v/>
      </c>
      <c r="M2396" s="27" t="str">
        <f aca="false">IF(OR(G2396="",G2396="?"),"",IFERROR(INDEX(Pubs!$D$2:$D$3001,MATCH(G2396,Pubs!$A$2:$A$3001,0))&amp;"",""))</f>
        <v/>
      </c>
      <c r="N2396" s="27" t="n">
        <f aca="false">N(N2395)+IF(AND(A2396&lt;&gt;"",OR(Recherche!$C$4="",A2396=Recherche!$C$4),OR(Recherche!$C$5="",B2396&amp;""=Recherche!$C$5&amp;""),OR(Recherche!$C$6="",IFERROR(YEAR(L2396),0)=Recherche!$C$6),OR(Recherche!$C$7="",ISNUMBER(SEARCH(Recherche!$C$7,H2396))),OR(Recherche!$C$8="",J2396=Recherche!$C$8),OR(Recherche!$C$9="",I2396=Recherche!$C$9),OR(Recherche!$C$10="",G2396&amp;""=Recherche!$C$10&amp;""),OR(Recherche!$C$11="",E2396=Recherche!$C$11),OR(Recherche!$C$12="",ISNUMBER(SEARCH(Recherche!$C$12,M2396&amp;" "&amp;F2396)))),1,0)</f>
        <v>8</v>
      </c>
    </row>
    <row r="2397" customFormat="false" ht="15" hidden="false" customHeight="false" outlineLevel="0" collapsed="false">
      <c r="A2397" s="19"/>
      <c r="B2397" s="19"/>
      <c r="C2397" s="19"/>
      <c r="D2397" s="19"/>
      <c r="E2397" s="22"/>
      <c r="F2397" s="19"/>
      <c r="G2397" s="26" t="str">
        <f aca="false">IF(D2397="","",IFERROR(VALUE(LEFT(D2397,FIND(" |",D2397&amp;" |")-1)),"?"))</f>
        <v/>
      </c>
      <c r="H2397" s="27" t="str">
        <f aca="false">IF(G2397="","",IF(G2397="?","⚠ pub inconnue",IFERROR(INDEX(Pubs!$B$2:$B$3001,MATCH(G2397,Pubs!$A$2:$A$3001,0))&amp;"","⚠ pub inconnue")))</f>
        <v/>
      </c>
      <c r="I2397" s="27" t="str">
        <f aca="false">IF(OR(G2397="",G2397="?"),"",IFERROR(INDEX(Pubs!$C$2:$C$3001,MATCH(G2397,Pubs!$A$2:$A$3001,0))&amp;"",""))</f>
        <v/>
      </c>
      <c r="J2397" s="27" t="str">
        <f aca="false">IF(OR(G2397="",G2397="?"),"",IFERROR(INDEX(Pubs!$G$2:$G$3001,MATCH(G2397,Pubs!$A$2:$A$3001,0))&amp;"",""))</f>
        <v/>
      </c>
      <c r="K2397" s="28" t="str">
        <f aca="false">IF(OR(G2397="",G2397="?"),"",IFERROR(INDEX(Pubs!$E$2:$E$3001,MATCH(G2397,Pubs!$A$2:$A$3001,0)),""))</f>
        <v/>
      </c>
      <c r="L2397" s="29" t="str">
        <f aca="false">IF(A2397="","",IFERROR(1/(1/INDEX(Numéros!$C$2:$C$3001,MATCH(A2397&amp;"|"&amp;B2397,Numéros!$F$2:$F$3001,0))),""))</f>
        <v/>
      </c>
      <c r="M2397" s="27" t="str">
        <f aca="false">IF(OR(G2397="",G2397="?"),"",IFERROR(INDEX(Pubs!$D$2:$D$3001,MATCH(G2397,Pubs!$A$2:$A$3001,0))&amp;"",""))</f>
        <v/>
      </c>
      <c r="N2397" s="27" t="n">
        <f aca="false">N(N2396)+IF(AND(A2397&lt;&gt;"",OR(Recherche!$C$4="",A2397=Recherche!$C$4),OR(Recherche!$C$5="",B2397&amp;""=Recherche!$C$5&amp;""),OR(Recherche!$C$6="",IFERROR(YEAR(L2397),0)=Recherche!$C$6),OR(Recherche!$C$7="",ISNUMBER(SEARCH(Recherche!$C$7,H2397))),OR(Recherche!$C$8="",J2397=Recherche!$C$8),OR(Recherche!$C$9="",I2397=Recherche!$C$9),OR(Recherche!$C$10="",G2397&amp;""=Recherche!$C$10&amp;""),OR(Recherche!$C$11="",E2397=Recherche!$C$11),OR(Recherche!$C$12="",ISNUMBER(SEARCH(Recherche!$C$12,M2397&amp;" "&amp;F2397)))),1,0)</f>
        <v>8</v>
      </c>
    </row>
    <row r="2398" customFormat="false" ht="15" hidden="false" customHeight="false" outlineLevel="0" collapsed="false">
      <c r="A2398" s="19"/>
      <c r="B2398" s="19"/>
      <c r="C2398" s="19"/>
      <c r="D2398" s="19"/>
      <c r="E2398" s="22"/>
      <c r="F2398" s="19"/>
      <c r="G2398" s="26" t="str">
        <f aca="false">IF(D2398="","",IFERROR(VALUE(LEFT(D2398,FIND(" |",D2398&amp;" |")-1)),"?"))</f>
        <v/>
      </c>
      <c r="H2398" s="27" t="str">
        <f aca="false">IF(G2398="","",IF(G2398="?","⚠ pub inconnue",IFERROR(INDEX(Pubs!$B$2:$B$3001,MATCH(G2398,Pubs!$A$2:$A$3001,0))&amp;"","⚠ pub inconnue")))</f>
        <v/>
      </c>
      <c r="I2398" s="27" t="str">
        <f aca="false">IF(OR(G2398="",G2398="?"),"",IFERROR(INDEX(Pubs!$C$2:$C$3001,MATCH(G2398,Pubs!$A$2:$A$3001,0))&amp;"",""))</f>
        <v/>
      </c>
      <c r="J2398" s="27" t="str">
        <f aca="false">IF(OR(G2398="",G2398="?"),"",IFERROR(INDEX(Pubs!$G$2:$G$3001,MATCH(G2398,Pubs!$A$2:$A$3001,0))&amp;"",""))</f>
        <v/>
      </c>
      <c r="K2398" s="28" t="str">
        <f aca="false">IF(OR(G2398="",G2398="?"),"",IFERROR(INDEX(Pubs!$E$2:$E$3001,MATCH(G2398,Pubs!$A$2:$A$3001,0)),""))</f>
        <v/>
      </c>
      <c r="L2398" s="29" t="str">
        <f aca="false">IF(A2398="","",IFERROR(1/(1/INDEX(Numéros!$C$2:$C$3001,MATCH(A2398&amp;"|"&amp;B2398,Numéros!$F$2:$F$3001,0))),""))</f>
        <v/>
      </c>
      <c r="M2398" s="27" t="str">
        <f aca="false">IF(OR(G2398="",G2398="?"),"",IFERROR(INDEX(Pubs!$D$2:$D$3001,MATCH(G2398,Pubs!$A$2:$A$3001,0))&amp;"",""))</f>
        <v/>
      </c>
      <c r="N2398" s="27" t="n">
        <f aca="false">N(N2397)+IF(AND(A2398&lt;&gt;"",OR(Recherche!$C$4="",A2398=Recherche!$C$4),OR(Recherche!$C$5="",B2398&amp;""=Recherche!$C$5&amp;""),OR(Recherche!$C$6="",IFERROR(YEAR(L2398),0)=Recherche!$C$6),OR(Recherche!$C$7="",ISNUMBER(SEARCH(Recherche!$C$7,H2398))),OR(Recherche!$C$8="",J2398=Recherche!$C$8),OR(Recherche!$C$9="",I2398=Recherche!$C$9),OR(Recherche!$C$10="",G2398&amp;""=Recherche!$C$10&amp;""),OR(Recherche!$C$11="",E2398=Recherche!$C$11),OR(Recherche!$C$12="",ISNUMBER(SEARCH(Recherche!$C$12,M2398&amp;" "&amp;F2398)))),1,0)</f>
        <v>8</v>
      </c>
    </row>
    <row r="2399" customFormat="false" ht="15" hidden="false" customHeight="false" outlineLevel="0" collapsed="false">
      <c r="A2399" s="19"/>
      <c r="B2399" s="19"/>
      <c r="C2399" s="19"/>
      <c r="D2399" s="19"/>
      <c r="E2399" s="22"/>
      <c r="F2399" s="19"/>
      <c r="G2399" s="26" t="str">
        <f aca="false">IF(D2399="","",IFERROR(VALUE(LEFT(D2399,FIND(" |",D2399&amp;" |")-1)),"?"))</f>
        <v/>
      </c>
      <c r="H2399" s="27" t="str">
        <f aca="false">IF(G2399="","",IF(G2399="?","⚠ pub inconnue",IFERROR(INDEX(Pubs!$B$2:$B$3001,MATCH(G2399,Pubs!$A$2:$A$3001,0))&amp;"","⚠ pub inconnue")))</f>
        <v/>
      </c>
      <c r="I2399" s="27" t="str">
        <f aca="false">IF(OR(G2399="",G2399="?"),"",IFERROR(INDEX(Pubs!$C$2:$C$3001,MATCH(G2399,Pubs!$A$2:$A$3001,0))&amp;"",""))</f>
        <v/>
      </c>
      <c r="J2399" s="27" t="str">
        <f aca="false">IF(OR(G2399="",G2399="?"),"",IFERROR(INDEX(Pubs!$G$2:$G$3001,MATCH(G2399,Pubs!$A$2:$A$3001,0))&amp;"",""))</f>
        <v/>
      </c>
      <c r="K2399" s="28" t="str">
        <f aca="false">IF(OR(G2399="",G2399="?"),"",IFERROR(INDEX(Pubs!$E$2:$E$3001,MATCH(G2399,Pubs!$A$2:$A$3001,0)),""))</f>
        <v/>
      </c>
      <c r="L2399" s="29" t="str">
        <f aca="false">IF(A2399="","",IFERROR(1/(1/INDEX(Numéros!$C$2:$C$3001,MATCH(A2399&amp;"|"&amp;B2399,Numéros!$F$2:$F$3001,0))),""))</f>
        <v/>
      </c>
      <c r="M2399" s="27" t="str">
        <f aca="false">IF(OR(G2399="",G2399="?"),"",IFERROR(INDEX(Pubs!$D$2:$D$3001,MATCH(G2399,Pubs!$A$2:$A$3001,0))&amp;"",""))</f>
        <v/>
      </c>
      <c r="N2399" s="27" t="n">
        <f aca="false">N(N2398)+IF(AND(A2399&lt;&gt;"",OR(Recherche!$C$4="",A2399=Recherche!$C$4),OR(Recherche!$C$5="",B2399&amp;""=Recherche!$C$5&amp;""),OR(Recherche!$C$6="",IFERROR(YEAR(L2399),0)=Recherche!$C$6),OR(Recherche!$C$7="",ISNUMBER(SEARCH(Recherche!$C$7,H2399))),OR(Recherche!$C$8="",J2399=Recherche!$C$8),OR(Recherche!$C$9="",I2399=Recherche!$C$9),OR(Recherche!$C$10="",G2399&amp;""=Recherche!$C$10&amp;""),OR(Recherche!$C$11="",E2399=Recherche!$C$11),OR(Recherche!$C$12="",ISNUMBER(SEARCH(Recherche!$C$12,M2399&amp;" "&amp;F2399)))),1,0)</f>
        <v>8</v>
      </c>
    </row>
    <row r="2400" customFormat="false" ht="15" hidden="false" customHeight="false" outlineLevel="0" collapsed="false">
      <c r="A2400" s="19"/>
      <c r="B2400" s="19"/>
      <c r="C2400" s="19"/>
      <c r="D2400" s="19"/>
      <c r="E2400" s="22"/>
      <c r="F2400" s="19"/>
      <c r="G2400" s="26" t="str">
        <f aca="false">IF(D2400="","",IFERROR(VALUE(LEFT(D2400,FIND(" |",D2400&amp;" |")-1)),"?"))</f>
        <v/>
      </c>
      <c r="H2400" s="27" t="str">
        <f aca="false">IF(G2400="","",IF(G2400="?","⚠ pub inconnue",IFERROR(INDEX(Pubs!$B$2:$B$3001,MATCH(G2400,Pubs!$A$2:$A$3001,0))&amp;"","⚠ pub inconnue")))</f>
        <v/>
      </c>
      <c r="I2400" s="27" t="str">
        <f aca="false">IF(OR(G2400="",G2400="?"),"",IFERROR(INDEX(Pubs!$C$2:$C$3001,MATCH(G2400,Pubs!$A$2:$A$3001,0))&amp;"",""))</f>
        <v/>
      </c>
      <c r="J2400" s="27" t="str">
        <f aca="false">IF(OR(G2400="",G2400="?"),"",IFERROR(INDEX(Pubs!$G$2:$G$3001,MATCH(G2400,Pubs!$A$2:$A$3001,0))&amp;"",""))</f>
        <v/>
      </c>
      <c r="K2400" s="28" t="str">
        <f aca="false">IF(OR(G2400="",G2400="?"),"",IFERROR(INDEX(Pubs!$E$2:$E$3001,MATCH(G2400,Pubs!$A$2:$A$3001,0)),""))</f>
        <v/>
      </c>
      <c r="L2400" s="29" t="str">
        <f aca="false">IF(A2400="","",IFERROR(1/(1/INDEX(Numéros!$C$2:$C$3001,MATCH(A2400&amp;"|"&amp;B2400,Numéros!$F$2:$F$3001,0))),""))</f>
        <v/>
      </c>
      <c r="M2400" s="27" t="str">
        <f aca="false">IF(OR(G2400="",G2400="?"),"",IFERROR(INDEX(Pubs!$D$2:$D$3001,MATCH(G2400,Pubs!$A$2:$A$3001,0))&amp;"",""))</f>
        <v/>
      </c>
      <c r="N2400" s="27" t="n">
        <f aca="false">N(N2399)+IF(AND(A2400&lt;&gt;"",OR(Recherche!$C$4="",A2400=Recherche!$C$4),OR(Recherche!$C$5="",B2400&amp;""=Recherche!$C$5&amp;""),OR(Recherche!$C$6="",IFERROR(YEAR(L2400),0)=Recherche!$C$6),OR(Recherche!$C$7="",ISNUMBER(SEARCH(Recherche!$C$7,H2400))),OR(Recherche!$C$8="",J2400=Recherche!$C$8),OR(Recherche!$C$9="",I2400=Recherche!$C$9),OR(Recherche!$C$10="",G2400&amp;""=Recherche!$C$10&amp;""),OR(Recherche!$C$11="",E2400=Recherche!$C$11),OR(Recherche!$C$12="",ISNUMBER(SEARCH(Recherche!$C$12,M2400&amp;" "&amp;F2400)))),1,0)</f>
        <v>8</v>
      </c>
    </row>
    <row r="2401" customFormat="false" ht="15" hidden="false" customHeight="false" outlineLevel="0" collapsed="false">
      <c r="A2401" s="19"/>
      <c r="B2401" s="19"/>
      <c r="C2401" s="19"/>
      <c r="D2401" s="19"/>
      <c r="E2401" s="22"/>
      <c r="F2401" s="19"/>
      <c r="G2401" s="26" t="str">
        <f aca="false">IF(D2401="","",IFERROR(VALUE(LEFT(D2401,FIND(" |",D2401&amp;" |")-1)),"?"))</f>
        <v/>
      </c>
      <c r="H2401" s="27" t="str">
        <f aca="false">IF(G2401="","",IF(G2401="?","⚠ pub inconnue",IFERROR(INDEX(Pubs!$B$2:$B$3001,MATCH(G2401,Pubs!$A$2:$A$3001,0))&amp;"","⚠ pub inconnue")))</f>
        <v/>
      </c>
      <c r="I2401" s="27" t="str">
        <f aca="false">IF(OR(G2401="",G2401="?"),"",IFERROR(INDEX(Pubs!$C$2:$C$3001,MATCH(G2401,Pubs!$A$2:$A$3001,0))&amp;"",""))</f>
        <v/>
      </c>
      <c r="J2401" s="27" t="str">
        <f aca="false">IF(OR(G2401="",G2401="?"),"",IFERROR(INDEX(Pubs!$G$2:$G$3001,MATCH(G2401,Pubs!$A$2:$A$3001,0))&amp;"",""))</f>
        <v/>
      </c>
      <c r="K2401" s="28" t="str">
        <f aca="false">IF(OR(G2401="",G2401="?"),"",IFERROR(INDEX(Pubs!$E$2:$E$3001,MATCH(G2401,Pubs!$A$2:$A$3001,0)),""))</f>
        <v/>
      </c>
      <c r="L2401" s="29" t="str">
        <f aca="false">IF(A2401="","",IFERROR(1/(1/INDEX(Numéros!$C$2:$C$3001,MATCH(A2401&amp;"|"&amp;B2401,Numéros!$F$2:$F$3001,0))),""))</f>
        <v/>
      </c>
      <c r="M2401" s="27" t="str">
        <f aca="false">IF(OR(G2401="",G2401="?"),"",IFERROR(INDEX(Pubs!$D$2:$D$3001,MATCH(G2401,Pubs!$A$2:$A$3001,0))&amp;"",""))</f>
        <v/>
      </c>
      <c r="N2401" s="27" t="n">
        <f aca="false">N(N2400)+IF(AND(A2401&lt;&gt;"",OR(Recherche!$C$4="",A2401=Recherche!$C$4),OR(Recherche!$C$5="",B2401&amp;""=Recherche!$C$5&amp;""),OR(Recherche!$C$6="",IFERROR(YEAR(L2401),0)=Recherche!$C$6),OR(Recherche!$C$7="",ISNUMBER(SEARCH(Recherche!$C$7,H2401))),OR(Recherche!$C$8="",J2401=Recherche!$C$8),OR(Recherche!$C$9="",I2401=Recherche!$C$9),OR(Recherche!$C$10="",G2401&amp;""=Recherche!$C$10&amp;""),OR(Recherche!$C$11="",E2401=Recherche!$C$11),OR(Recherche!$C$12="",ISNUMBER(SEARCH(Recherche!$C$12,M2401&amp;" "&amp;F2401)))),1,0)</f>
        <v>8</v>
      </c>
    </row>
    <row r="2402" customFormat="false" ht="15" hidden="false" customHeight="false" outlineLevel="0" collapsed="false">
      <c r="A2402" s="19"/>
      <c r="B2402" s="19"/>
      <c r="C2402" s="19"/>
      <c r="D2402" s="19"/>
      <c r="E2402" s="22"/>
      <c r="F2402" s="19"/>
      <c r="G2402" s="26" t="str">
        <f aca="false">IF(D2402="","",IFERROR(VALUE(LEFT(D2402,FIND(" |",D2402&amp;" |")-1)),"?"))</f>
        <v/>
      </c>
      <c r="H2402" s="27" t="str">
        <f aca="false">IF(G2402="","",IF(G2402="?","⚠ pub inconnue",IFERROR(INDEX(Pubs!$B$2:$B$3001,MATCH(G2402,Pubs!$A$2:$A$3001,0))&amp;"","⚠ pub inconnue")))</f>
        <v/>
      </c>
      <c r="I2402" s="27" t="str">
        <f aca="false">IF(OR(G2402="",G2402="?"),"",IFERROR(INDEX(Pubs!$C$2:$C$3001,MATCH(G2402,Pubs!$A$2:$A$3001,0))&amp;"",""))</f>
        <v/>
      </c>
      <c r="J2402" s="27" t="str">
        <f aca="false">IF(OR(G2402="",G2402="?"),"",IFERROR(INDEX(Pubs!$G$2:$G$3001,MATCH(G2402,Pubs!$A$2:$A$3001,0))&amp;"",""))</f>
        <v/>
      </c>
      <c r="K2402" s="28" t="str">
        <f aca="false">IF(OR(G2402="",G2402="?"),"",IFERROR(INDEX(Pubs!$E$2:$E$3001,MATCH(G2402,Pubs!$A$2:$A$3001,0)),""))</f>
        <v/>
      </c>
      <c r="L2402" s="29" t="str">
        <f aca="false">IF(A2402="","",IFERROR(1/(1/INDEX(Numéros!$C$2:$C$3001,MATCH(A2402&amp;"|"&amp;B2402,Numéros!$F$2:$F$3001,0))),""))</f>
        <v/>
      </c>
      <c r="M2402" s="27" t="str">
        <f aca="false">IF(OR(G2402="",G2402="?"),"",IFERROR(INDEX(Pubs!$D$2:$D$3001,MATCH(G2402,Pubs!$A$2:$A$3001,0))&amp;"",""))</f>
        <v/>
      </c>
      <c r="N2402" s="27" t="n">
        <f aca="false">N(N2401)+IF(AND(A2402&lt;&gt;"",OR(Recherche!$C$4="",A2402=Recherche!$C$4),OR(Recherche!$C$5="",B2402&amp;""=Recherche!$C$5&amp;""),OR(Recherche!$C$6="",IFERROR(YEAR(L2402),0)=Recherche!$C$6),OR(Recherche!$C$7="",ISNUMBER(SEARCH(Recherche!$C$7,H2402))),OR(Recherche!$C$8="",J2402=Recherche!$C$8),OR(Recherche!$C$9="",I2402=Recherche!$C$9),OR(Recherche!$C$10="",G2402&amp;""=Recherche!$C$10&amp;""),OR(Recherche!$C$11="",E2402=Recherche!$C$11),OR(Recherche!$C$12="",ISNUMBER(SEARCH(Recherche!$C$12,M2402&amp;" "&amp;F2402)))),1,0)</f>
        <v>8</v>
      </c>
    </row>
    <row r="2403" customFormat="false" ht="15" hidden="false" customHeight="false" outlineLevel="0" collapsed="false">
      <c r="A2403" s="19"/>
      <c r="B2403" s="19"/>
      <c r="C2403" s="19"/>
      <c r="D2403" s="19"/>
      <c r="E2403" s="22"/>
      <c r="F2403" s="19"/>
      <c r="G2403" s="26" t="str">
        <f aca="false">IF(D2403="","",IFERROR(VALUE(LEFT(D2403,FIND(" |",D2403&amp;" |")-1)),"?"))</f>
        <v/>
      </c>
      <c r="H2403" s="27" t="str">
        <f aca="false">IF(G2403="","",IF(G2403="?","⚠ pub inconnue",IFERROR(INDEX(Pubs!$B$2:$B$3001,MATCH(G2403,Pubs!$A$2:$A$3001,0))&amp;"","⚠ pub inconnue")))</f>
        <v/>
      </c>
      <c r="I2403" s="27" t="str">
        <f aca="false">IF(OR(G2403="",G2403="?"),"",IFERROR(INDEX(Pubs!$C$2:$C$3001,MATCH(G2403,Pubs!$A$2:$A$3001,0))&amp;"",""))</f>
        <v/>
      </c>
      <c r="J2403" s="27" t="str">
        <f aca="false">IF(OR(G2403="",G2403="?"),"",IFERROR(INDEX(Pubs!$G$2:$G$3001,MATCH(G2403,Pubs!$A$2:$A$3001,0))&amp;"",""))</f>
        <v/>
      </c>
      <c r="K2403" s="28" t="str">
        <f aca="false">IF(OR(G2403="",G2403="?"),"",IFERROR(INDEX(Pubs!$E$2:$E$3001,MATCH(G2403,Pubs!$A$2:$A$3001,0)),""))</f>
        <v/>
      </c>
      <c r="L2403" s="29" t="str">
        <f aca="false">IF(A2403="","",IFERROR(1/(1/INDEX(Numéros!$C$2:$C$3001,MATCH(A2403&amp;"|"&amp;B2403,Numéros!$F$2:$F$3001,0))),""))</f>
        <v/>
      </c>
      <c r="M2403" s="27" t="str">
        <f aca="false">IF(OR(G2403="",G2403="?"),"",IFERROR(INDEX(Pubs!$D$2:$D$3001,MATCH(G2403,Pubs!$A$2:$A$3001,0))&amp;"",""))</f>
        <v/>
      </c>
      <c r="N2403" s="27" t="n">
        <f aca="false">N(N2402)+IF(AND(A2403&lt;&gt;"",OR(Recherche!$C$4="",A2403=Recherche!$C$4),OR(Recherche!$C$5="",B2403&amp;""=Recherche!$C$5&amp;""),OR(Recherche!$C$6="",IFERROR(YEAR(L2403),0)=Recherche!$C$6),OR(Recherche!$C$7="",ISNUMBER(SEARCH(Recherche!$C$7,H2403))),OR(Recherche!$C$8="",J2403=Recherche!$C$8),OR(Recherche!$C$9="",I2403=Recherche!$C$9),OR(Recherche!$C$10="",G2403&amp;""=Recherche!$C$10&amp;""),OR(Recherche!$C$11="",E2403=Recherche!$C$11),OR(Recherche!$C$12="",ISNUMBER(SEARCH(Recherche!$C$12,M2403&amp;" "&amp;F2403)))),1,0)</f>
        <v>8</v>
      </c>
    </row>
    <row r="2404" customFormat="false" ht="15" hidden="false" customHeight="false" outlineLevel="0" collapsed="false">
      <c r="A2404" s="19"/>
      <c r="B2404" s="19"/>
      <c r="C2404" s="19"/>
      <c r="D2404" s="19"/>
      <c r="E2404" s="22"/>
      <c r="F2404" s="19"/>
      <c r="G2404" s="26" t="str">
        <f aca="false">IF(D2404="","",IFERROR(VALUE(LEFT(D2404,FIND(" |",D2404&amp;" |")-1)),"?"))</f>
        <v/>
      </c>
      <c r="H2404" s="27" t="str">
        <f aca="false">IF(G2404="","",IF(G2404="?","⚠ pub inconnue",IFERROR(INDEX(Pubs!$B$2:$B$3001,MATCH(G2404,Pubs!$A$2:$A$3001,0))&amp;"","⚠ pub inconnue")))</f>
        <v/>
      </c>
      <c r="I2404" s="27" t="str">
        <f aca="false">IF(OR(G2404="",G2404="?"),"",IFERROR(INDEX(Pubs!$C$2:$C$3001,MATCH(G2404,Pubs!$A$2:$A$3001,0))&amp;"",""))</f>
        <v/>
      </c>
      <c r="J2404" s="27" t="str">
        <f aca="false">IF(OR(G2404="",G2404="?"),"",IFERROR(INDEX(Pubs!$G$2:$G$3001,MATCH(G2404,Pubs!$A$2:$A$3001,0))&amp;"",""))</f>
        <v/>
      </c>
      <c r="K2404" s="28" t="str">
        <f aca="false">IF(OR(G2404="",G2404="?"),"",IFERROR(INDEX(Pubs!$E$2:$E$3001,MATCH(G2404,Pubs!$A$2:$A$3001,0)),""))</f>
        <v/>
      </c>
      <c r="L2404" s="29" t="str">
        <f aca="false">IF(A2404="","",IFERROR(1/(1/INDEX(Numéros!$C$2:$C$3001,MATCH(A2404&amp;"|"&amp;B2404,Numéros!$F$2:$F$3001,0))),""))</f>
        <v/>
      </c>
      <c r="M2404" s="27" t="str">
        <f aca="false">IF(OR(G2404="",G2404="?"),"",IFERROR(INDEX(Pubs!$D$2:$D$3001,MATCH(G2404,Pubs!$A$2:$A$3001,0))&amp;"",""))</f>
        <v/>
      </c>
      <c r="N2404" s="27" t="n">
        <f aca="false">N(N2403)+IF(AND(A2404&lt;&gt;"",OR(Recherche!$C$4="",A2404=Recherche!$C$4),OR(Recherche!$C$5="",B2404&amp;""=Recherche!$C$5&amp;""),OR(Recherche!$C$6="",IFERROR(YEAR(L2404),0)=Recherche!$C$6),OR(Recherche!$C$7="",ISNUMBER(SEARCH(Recherche!$C$7,H2404))),OR(Recherche!$C$8="",J2404=Recherche!$C$8),OR(Recherche!$C$9="",I2404=Recherche!$C$9),OR(Recherche!$C$10="",G2404&amp;""=Recherche!$C$10&amp;""),OR(Recherche!$C$11="",E2404=Recherche!$C$11),OR(Recherche!$C$12="",ISNUMBER(SEARCH(Recherche!$C$12,M2404&amp;" "&amp;F2404)))),1,0)</f>
        <v>8</v>
      </c>
    </row>
    <row r="2405" customFormat="false" ht="15" hidden="false" customHeight="false" outlineLevel="0" collapsed="false">
      <c r="A2405" s="19"/>
      <c r="B2405" s="19"/>
      <c r="C2405" s="19"/>
      <c r="D2405" s="19"/>
      <c r="E2405" s="22"/>
      <c r="F2405" s="19"/>
      <c r="G2405" s="26" t="str">
        <f aca="false">IF(D2405="","",IFERROR(VALUE(LEFT(D2405,FIND(" |",D2405&amp;" |")-1)),"?"))</f>
        <v/>
      </c>
      <c r="H2405" s="27" t="str">
        <f aca="false">IF(G2405="","",IF(G2405="?","⚠ pub inconnue",IFERROR(INDEX(Pubs!$B$2:$B$3001,MATCH(G2405,Pubs!$A$2:$A$3001,0))&amp;"","⚠ pub inconnue")))</f>
        <v/>
      </c>
      <c r="I2405" s="27" t="str">
        <f aca="false">IF(OR(G2405="",G2405="?"),"",IFERROR(INDEX(Pubs!$C$2:$C$3001,MATCH(G2405,Pubs!$A$2:$A$3001,0))&amp;"",""))</f>
        <v/>
      </c>
      <c r="J2405" s="27" t="str">
        <f aca="false">IF(OR(G2405="",G2405="?"),"",IFERROR(INDEX(Pubs!$G$2:$G$3001,MATCH(G2405,Pubs!$A$2:$A$3001,0))&amp;"",""))</f>
        <v/>
      </c>
      <c r="K2405" s="28" t="str">
        <f aca="false">IF(OR(G2405="",G2405="?"),"",IFERROR(INDEX(Pubs!$E$2:$E$3001,MATCH(G2405,Pubs!$A$2:$A$3001,0)),""))</f>
        <v/>
      </c>
      <c r="L2405" s="29" t="str">
        <f aca="false">IF(A2405="","",IFERROR(1/(1/INDEX(Numéros!$C$2:$C$3001,MATCH(A2405&amp;"|"&amp;B2405,Numéros!$F$2:$F$3001,0))),""))</f>
        <v/>
      </c>
      <c r="M2405" s="27" t="str">
        <f aca="false">IF(OR(G2405="",G2405="?"),"",IFERROR(INDEX(Pubs!$D$2:$D$3001,MATCH(G2405,Pubs!$A$2:$A$3001,0))&amp;"",""))</f>
        <v/>
      </c>
      <c r="N2405" s="27" t="n">
        <f aca="false">N(N2404)+IF(AND(A2405&lt;&gt;"",OR(Recherche!$C$4="",A2405=Recherche!$C$4),OR(Recherche!$C$5="",B2405&amp;""=Recherche!$C$5&amp;""),OR(Recherche!$C$6="",IFERROR(YEAR(L2405),0)=Recherche!$C$6),OR(Recherche!$C$7="",ISNUMBER(SEARCH(Recherche!$C$7,H2405))),OR(Recherche!$C$8="",J2405=Recherche!$C$8),OR(Recherche!$C$9="",I2405=Recherche!$C$9),OR(Recherche!$C$10="",G2405&amp;""=Recherche!$C$10&amp;""),OR(Recherche!$C$11="",E2405=Recherche!$C$11),OR(Recherche!$C$12="",ISNUMBER(SEARCH(Recherche!$C$12,M2405&amp;" "&amp;F2405)))),1,0)</f>
        <v>8</v>
      </c>
    </row>
    <row r="2406" customFormat="false" ht="15" hidden="false" customHeight="false" outlineLevel="0" collapsed="false">
      <c r="A2406" s="19"/>
      <c r="B2406" s="19"/>
      <c r="C2406" s="19"/>
      <c r="D2406" s="19"/>
      <c r="E2406" s="22"/>
      <c r="F2406" s="19"/>
      <c r="G2406" s="26" t="str">
        <f aca="false">IF(D2406="","",IFERROR(VALUE(LEFT(D2406,FIND(" |",D2406&amp;" |")-1)),"?"))</f>
        <v/>
      </c>
      <c r="H2406" s="27" t="str">
        <f aca="false">IF(G2406="","",IF(G2406="?","⚠ pub inconnue",IFERROR(INDEX(Pubs!$B$2:$B$3001,MATCH(G2406,Pubs!$A$2:$A$3001,0))&amp;"","⚠ pub inconnue")))</f>
        <v/>
      </c>
      <c r="I2406" s="27" t="str">
        <f aca="false">IF(OR(G2406="",G2406="?"),"",IFERROR(INDEX(Pubs!$C$2:$C$3001,MATCH(G2406,Pubs!$A$2:$A$3001,0))&amp;"",""))</f>
        <v/>
      </c>
      <c r="J2406" s="27" t="str">
        <f aca="false">IF(OR(G2406="",G2406="?"),"",IFERROR(INDEX(Pubs!$G$2:$G$3001,MATCH(G2406,Pubs!$A$2:$A$3001,0))&amp;"",""))</f>
        <v/>
      </c>
      <c r="K2406" s="28" t="str">
        <f aca="false">IF(OR(G2406="",G2406="?"),"",IFERROR(INDEX(Pubs!$E$2:$E$3001,MATCH(G2406,Pubs!$A$2:$A$3001,0)),""))</f>
        <v/>
      </c>
      <c r="L2406" s="29" t="str">
        <f aca="false">IF(A2406="","",IFERROR(1/(1/INDEX(Numéros!$C$2:$C$3001,MATCH(A2406&amp;"|"&amp;B2406,Numéros!$F$2:$F$3001,0))),""))</f>
        <v/>
      </c>
      <c r="M2406" s="27" t="str">
        <f aca="false">IF(OR(G2406="",G2406="?"),"",IFERROR(INDEX(Pubs!$D$2:$D$3001,MATCH(G2406,Pubs!$A$2:$A$3001,0))&amp;"",""))</f>
        <v/>
      </c>
      <c r="N2406" s="27" t="n">
        <f aca="false">N(N2405)+IF(AND(A2406&lt;&gt;"",OR(Recherche!$C$4="",A2406=Recherche!$C$4),OR(Recherche!$C$5="",B2406&amp;""=Recherche!$C$5&amp;""),OR(Recherche!$C$6="",IFERROR(YEAR(L2406),0)=Recherche!$C$6),OR(Recherche!$C$7="",ISNUMBER(SEARCH(Recherche!$C$7,H2406))),OR(Recherche!$C$8="",J2406=Recherche!$C$8),OR(Recherche!$C$9="",I2406=Recherche!$C$9),OR(Recherche!$C$10="",G2406&amp;""=Recherche!$C$10&amp;""),OR(Recherche!$C$11="",E2406=Recherche!$C$11),OR(Recherche!$C$12="",ISNUMBER(SEARCH(Recherche!$C$12,M2406&amp;" "&amp;F2406)))),1,0)</f>
        <v>8</v>
      </c>
    </row>
    <row r="2407" customFormat="false" ht="15" hidden="false" customHeight="false" outlineLevel="0" collapsed="false">
      <c r="A2407" s="19"/>
      <c r="B2407" s="19"/>
      <c r="C2407" s="19"/>
      <c r="D2407" s="19"/>
      <c r="E2407" s="22"/>
      <c r="F2407" s="19"/>
      <c r="G2407" s="26" t="str">
        <f aca="false">IF(D2407="","",IFERROR(VALUE(LEFT(D2407,FIND(" |",D2407&amp;" |")-1)),"?"))</f>
        <v/>
      </c>
      <c r="H2407" s="27" t="str">
        <f aca="false">IF(G2407="","",IF(G2407="?","⚠ pub inconnue",IFERROR(INDEX(Pubs!$B$2:$B$3001,MATCH(G2407,Pubs!$A$2:$A$3001,0))&amp;"","⚠ pub inconnue")))</f>
        <v/>
      </c>
      <c r="I2407" s="27" t="str">
        <f aca="false">IF(OR(G2407="",G2407="?"),"",IFERROR(INDEX(Pubs!$C$2:$C$3001,MATCH(G2407,Pubs!$A$2:$A$3001,0))&amp;"",""))</f>
        <v/>
      </c>
      <c r="J2407" s="27" t="str">
        <f aca="false">IF(OR(G2407="",G2407="?"),"",IFERROR(INDEX(Pubs!$G$2:$G$3001,MATCH(G2407,Pubs!$A$2:$A$3001,0))&amp;"",""))</f>
        <v/>
      </c>
      <c r="K2407" s="28" t="str">
        <f aca="false">IF(OR(G2407="",G2407="?"),"",IFERROR(INDEX(Pubs!$E$2:$E$3001,MATCH(G2407,Pubs!$A$2:$A$3001,0)),""))</f>
        <v/>
      </c>
      <c r="L2407" s="29" t="str">
        <f aca="false">IF(A2407="","",IFERROR(1/(1/INDEX(Numéros!$C$2:$C$3001,MATCH(A2407&amp;"|"&amp;B2407,Numéros!$F$2:$F$3001,0))),""))</f>
        <v/>
      </c>
      <c r="M2407" s="27" t="str">
        <f aca="false">IF(OR(G2407="",G2407="?"),"",IFERROR(INDEX(Pubs!$D$2:$D$3001,MATCH(G2407,Pubs!$A$2:$A$3001,0))&amp;"",""))</f>
        <v/>
      </c>
      <c r="N2407" s="27" t="n">
        <f aca="false">N(N2406)+IF(AND(A2407&lt;&gt;"",OR(Recherche!$C$4="",A2407=Recherche!$C$4),OR(Recherche!$C$5="",B2407&amp;""=Recherche!$C$5&amp;""),OR(Recherche!$C$6="",IFERROR(YEAR(L2407),0)=Recherche!$C$6),OR(Recherche!$C$7="",ISNUMBER(SEARCH(Recherche!$C$7,H2407))),OR(Recherche!$C$8="",J2407=Recherche!$C$8),OR(Recherche!$C$9="",I2407=Recherche!$C$9),OR(Recherche!$C$10="",G2407&amp;""=Recherche!$C$10&amp;""),OR(Recherche!$C$11="",E2407=Recherche!$C$11),OR(Recherche!$C$12="",ISNUMBER(SEARCH(Recherche!$C$12,M2407&amp;" "&amp;F2407)))),1,0)</f>
        <v>8</v>
      </c>
    </row>
    <row r="2408" customFormat="false" ht="15" hidden="false" customHeight="false" outlineLevel="0" collapsed="false">
      <c r="A2408" s="19"/>
      <c r="B2408" s="19"/>
      <c r="C2408" s="19"/>
      <c r="D2408" s="19"/>
      <c r="E2408" s="22"/>
      <c r="F2408" s="19"/>
      <c r="G2408" s="26" t="str">
        <f aca="false">IF(D2408="","",IFERROR(VALUE(LEFT(D2408,FIND(" |",D2408&amp;" |")-1)),"?"))</f>
        <v/>
      </c>
      <c r="H2408" s="27" t="str">
        <f aca="false">IF(G2408="","",IF(G2408="?","⚠ pub inconnue",IFERROR(INDEX(Pubs!$B$2:$B$3001,MATCH(G2408,Pubs!$A$2:$A$3001,0))&amp;"","⚠ pub inconnue")))</f>
        <v/>
      </c>
      <c r="I2408" s="27" t="str">
        <f aca="false">IF(OR(G2408="",G2408="?"),"",IFERROR(INDEX(Pubs!$C$2:$C$3001,MATCH(G2408,Pubs!$A$2:$A$3001,0))&amp;"",""))</f>
        <v/>
      </c>
      <c r="J2408" s="27" t="str">
        <f aca="false">IF(OR(G2408="",G2408="?"),"",IFERROR(INDEX(Pubs!$G$2:$G$3001,MATCH(G2408,Pubs!$A$2:$A$3001,0))&amp;"",""))</f>
        <v/>
      </c>
      <c r="K2408" s="28" t="str">
        <f aca="false">IF(OR(G2408="",G2408="?"),"",IFERROR(INDEX(Pubs!$E$2:$E$3001,MATCH(G2408,Pubs!$A$2:$A$3001,0)),""))</f>
        <v/>
      </c>
      <c r="L2408" s="29" t="str">
        <f aca="false">IF(A2408="","",IFERROR(1/(1/INDEX(Numéros!$C$2:$C$3001,MATCH(A2408&amp;"|"&amp;B2408,Numéros!$F$2:$F$3001,0))),""))</f>
        <v/>
      </c>
      <c r="M2408" s="27" t="str">
        <f aca="false">IF(OR(G2408="",G2408="?"),"",IFERROR(INDEX(Pubs!$D$2:$D$3001,MATCH(G2408,Pubs!$A$2:$A$3001,0))&amp;"",""))</f>
        <v/>
      </c>
      <c r="N2408" s="27" t="n">
        <f aca="false">N(N2407)+IF(AND(A2408&lt;&gt;"",OR(Recherche!$C$4="",A2408=Recherche!$C$4),OR(Recherche!$C$5="",B2408&amp;""=Recherche!$C$5&amp;""),OR(Recherche!$C$6="",IFERROR(YEAR(L2408),0)=Recherche!$C$6),OR(Recherche!$C$7="",ISNUMBER(SEARCH(Recherche!$C$7,H2408))),OR(Recherche!$C$8="",J2408=Recherche!$C$8),OR(Recherche!$C$9="",I2408=Recherche!$C$9),OR(Recherche!$C$10="",G2408&amp;""=Recherche!$C$10&amp;""),OR(Recherche!$C$11="",E2408=Recherche!$C$11),OR(Recherche!$C$12="",ISNUMBER(SEARCH(Recherche!$C$12,M2408&amp;" "&amp;F2408)))),1,0)</f>
        <v>8</v>
      </c>
    </row>
    <row r="2409" customFormat="false" ht="15" hidden="false" customHeight="false" outlineLevel="0" collapsed="false">
      <c r="A2409" s="19"/>
      <c r="B2409" s="19"/>
      <c r="C2409" s="19"/>
      <c r="D2409" s="19"/>
      <c r="E2409" s="22"/>
      <c r="F2409" s="19"/>
      <c r="G2409" s="26" t="str">
        <f aca="false">IF(D2409="","",IFERROR(VALUE(LEFT(D2409,FIND(" |",D2409&amp;" |")-1)),"?"))</f>
        <v/>
      </c>
      <c r="H2409" s="27" t="str">
        <f aca="false">IF(G2409="","",IF(G2409="?","⚠ pub inconnue",IFERROR(INDEX(Pubs!$B$2:$B$3001,MATCH(G2409,Pubs!$A$2:$A$3001,0))&amp;"","⚠ pub inconnue")))</f>
        <v/>
      </c>
      <c r="I2409" s="27" t="str">
        <f aca="false">IF(OR(G2409="",G2409="?"),"",IFERROR(INDEX(Pubs!$C$2:$C$3001,MATCH(G2409,Pubs!$A$2:$A$3001,0))&amp;"",""))</f>
        <v/>
      </c>
      <c r="J2409" s="27" t="str">
        <f aca="false">IF(OR(G2409="",G2409="?"),"",IFERROR(INDEX(Pubs!$G$2:$G$3001,MATCH(G2409,Pubs!$A$2:$A$3001,0))&amp;"",""))</f>
        <v/>
      </c>
      <c r="K2409" s="28" t="str">
        <f aca="false">IF(OR(G2409="",G2409="?"),"",IFERROR(INDEX(Pubs!$E$2:$E$3001,MATCH(G2409,Pubs!$A$2:$A$3001,0)),""))</f>
        <v/>
      </c>
      <c r="L2409" s="29" t="str">
        <f aca="false">IF(A2409="","",IFERROR(1/(1/INDEX(Numéros!$C$2:$C$3001,MATCH(A2409&amp;"|"&amp;B2409,Numéros!$F$2:$F$3001,0))),""))</f>
        <v/>
      </c>
      <c r="M2409" s="27" t="str">
        <f aca="false">IF(OR(G2409="",G2409="?"),"",IFERROR(INDEX(Pubs!$D$2:$D$3001,MATCH(G2409,Pubs!$A$2:$A$3001,0))&amp;"",""))</f>
        <v/>
      </c>
      <c r="N2409" s="27" t="n">
        <f aca="false">N(N2408)+IF(AND(A2409&lt;&gt;"",OR(Recherche!$C$4="",A2409=Recherche!$C$4),OR(Recherche!$C$5="",B2409&amp;""=Recherche!$C$5&amp;""),OR(Recherche!$C$6="",IFERROR(YEAR(L2409),0)=Recherche!$C$6),OR(Recherche!$C$7="",ISNUMBER(SEARCH(Recherche!$C$7,H2409))),OR(Recherche!$C$8="",J2409=Recherche!$C$8),OR(Recherche!$C$9="",I2409=Recherche!$C$9),OR(Recherche!$C$10="",G2409&amp;""=Recherche!$C$10&amp;""),OR(Recherche!$C$11="",E2409=Recherche!$C$11),OR(Recherche!$C$12="",ISNUMBER(SEARCH(Recherche!$C$12,M2409&amp;" "&amp;F2409)))),1,0)</f>
        <v>8</v>
      </c>
    </row>
    <row r="2410" customFormat="false" ht="15" hidden="false" customHeight="false" outlineLevel="0" collapsed="false">
      <c r="A2410" s="19"/>
      <c r="B2410" s="19"/>
      <c r="C2410" s="19"/>
      <c r="D2410" s="19"/>
      <c r="E2410" s="22"/>
      <c r="F2410" s="19"/>
      <c r="G2410" s="26" t="str">
        <f aca="false">IF(D2410="","",IFERROR(VALUE(LEFT(D2410,FIND(" |",D2410&amp;" |")-1)),"?"))</f>
        <v/>
      </c>
      <c r="H2410" s="27" t="str">
        <f aca="false">IF(G2410="","",IF(G2410="?","⚠ pub inconnue",IFERROR(INDEX(Pubs!$B$2:$B$3001,MATCH(G2410,Pubs!$A$2:$A$3001,0))&amp;"","⚠ pub inconnue")))</f>
        <v/>
      </c>
      <c r="I2410" s="27" t="str">
        <f aca="false">IF(OR(G2410="",G2410="?"),"",IFERROR(INDEX(Pubs!$C$2:$C$3001,MATCH(G2410,Pubs!$A$2:$A$3001,0))&amp;"",""))</f>
        <v/>
      </c>
      <c r="J2410" s="27" t="str">
        <f aca="false">IF(OR(G2410="",G2410="?"),"",IFERROR(INDEX(Pubs!$G$2:$G$3001,MATCH(G2410,Pubs!$A$2:$A$3001,0))&amp;"",""))</f>
        <v/>
      </c>
      <c r="K2410" s="28" t="str">
        <f aca="false">IF(OR(G2410="",G2410="?"),"",IFERROR(INDEX(Pubs!$E$2:$E$3001,MATCH(G2410,Pubs!$A$2:$A$3001,0)),""))</f>
        <v/>
      </c>
      <c r="L2410" s="29" t="str">
        <f aca="false">IF(A2410="","",IFERROR(1/(1/INDEX(Numéros!$C$2:$C$3001,MATCH(A2410&amp;"|"&amp;B2410,Numéros!$F$2:$F$3001,0))),""))</f>
        <v/>
      </c>
      <c r="M2410" s="27" t="str">
        <f aca="false">IF(OR(G2410="",G2410="?"),"",IFERROR(INDEX(Pubs!$D$2:$D$3001,MATCH(G2410,Pubs!$A$2:$A$3001,0))&amp;"",""))</f>
        <v/>
      </c>
      <c r="N2410" s="27" t="n">
        <f aca="false">N(N2409)+IF(AND(A2410&lt;&gt;"",OR(Recherche!$C$4="",A2410=Recherche!$C$4),OR(Recherche!$C$5="",B2410&amp;""=Recherche!$C$5&amp;""),OR(Recherche!$C$6="",IFERROR(YEAR(L2410),0)=Recherche!$C$6),OR(Recherche!$C$7="",ISNUMBER(SEARCH(Recherche!$C$7,H2410))),OR(Recherche!$C$8="",J2410=Recherche!$C$8),OR(Recherche!$C$9="",I2410=Recherche!$C$9),OR(Recherche!$C$10="",G2410&amp;""=Recherche!$C$10&amp;""),OR(Recherche!$C$11="",E2410=Recherche!$C$11),OR(Recherche!$C$12="",ISNUMBER(SEARCH(Recherche!$C$12,M2410&amp;" "&amp;F2410)))),1,0)</f>
        <v>8</v>
      </c>
    </row>
    <row r="2411" customFormat="false" ht="15" hidden="false" customHeight="false" outlineLevel="0" collapsed="false">
      <c r="A2411" s="19"/>
      <c r="B2411" s="19"/>
      <c r="C2411" s="19"/>
      <c r="D2411" s="19"/>
      <c r="E2411" s="22"/>
      <c r="F2411" s="19"/>
      <c r="G2411" s="26" t="str">
        <f aca="false">IF(D2411="","",IFERROR(VALUE(LEFT(D2411,FIND(" |",D2411&amp;" |")-1)),"?"))</f>
        <v/>
      </c>
      <c r="H2411" s="27" t="str">
        <f aca="false">IF(G2411="","",IF(G2411="?","⚠ pub inconnue",IFERROR(INDEX(Pubs!$B$2:$B$3001,MATCH(G2411,Pubs!$A$2:$A$3001,0))&amp;"","⚠ pub inconnue")))</f>
        <v/>
      </c>
      <c r="I2411" s="27" t="str">
        <f aca="false">IF(OR(G2411="",G2411="?"),"",IFERROR(INDEX(Pubs!$C$2:$C$3001,MATCH(G2411,Pubs!$A$2:$A$3001,0))&amp;"",""))</f>
        <v/>
      </c>
      <c r="J2411" s="27" t="str">
        <f aca="false">IF(OR(G2411="",G2411="?"),"",IFERROR(INDEX(Pubs!$G$2:$G$3001,MATCH(G2411,Pubs!$A$2:$A$3001,0))&amp;"",""))</f>
        <v/>
      </c>
      <c r="K2411" s="28" t="str">
        <f aca="false">IF(OR(G2411="",G2411="?"),"",IFERROR(INDEX(Pubs!$E$2:$E$3001,MATCH(G2411,Pubs!$A$2:$A$3001,0)),""))</f>
        <v/>
      </c>
      <c r="L2411" s="29" t="str">
        <f aca="false">IF(A2411="","",IFERROR(1/(1/INDEX(Numéros!$C$2:$C$3001,MATCH(A2411&amp;"|"&amp;B2411,Numéros!$F$2:$F$3001,0))),""))</f>
        <v/>
      </c>
      <c r="M2411" s="27" t="str">
        <f aca="false">IF(OR(G2411="",G2411="?"),"",IFERROR(INDEX(Pubs!$D$2:$D$3001,MATCH(G2411,Pubs!$A$2:$A$3001,0))&amp;"",""))</f>
        <v/>
      </c>
      <c r="N2411" s="27" t="n">
        <f aca="false">N(N2410)+IF(AND(A2411&lt;&gt;"",OR(Recherche!$C$4="",A2411=Recherche!$C$4),OR(Recherche!$C$5="",B2411&amp;""=Recherche!$C$5&amp;""),OR(Recherche!$C$6="",IFERROR(YEAR(L2411),0)=Recherche!$C$6),OR(Recherche!$C$7="",ISNUMBER(SEARCH(Recherche!$C$7,H2411))),OR(Recherche!$C$8="",J2411=Recherche!$C$8),OR(Recherche!$C$9="",I2411=Recherche!$C$9),OR(Recherche!$C$10="",G2411&amp;""=Recherche!$C$10&amp;""),OR(Recherche!$C$11="",E2411=Recherche!$C$11),OR(Recherche!$C$12="",ISNUMBER(SEARCH(Recherche!$C$12,M2411&amp;" "&amp;F2411)))),1,0)</f>
        <v>8</v>
      </c>
    </row>
    <row r="2412" customFormat="false" ht="15" hidden="false" customHeight="false" outlineLevel="0" collapsed="false">
      <c r="A2412" s="19"/>
      <c r="B2412" s="19"/>
      <c r="C2412" s="19"/>
      <c r="D2412" s="19"/>
      <c r="E2412" s="22"/>
      <c r="F2412" s="19"/>
      <c r="G2412" s="26" t="str">
        <f aca="false">IF(D2412="","",IFERROR(VALUE(LEFT(D2412,FIND(" |",D2412&amp;" |")-1)),"?"))</f>
        <v/>
      </c>
      <c r="H2412" s="27" t="str">
        <f aca="false">IF(G2412="","",IF(G2412="?","⚠ pub inconnue",IFERROR(INDEX(Pubs!$B$2:$B$3001,MATCH(G2412,Pubs!$A$2:$A$3001,0))&amp;"","⚠ pub inconnue")))</f>
        <v/>
      </c>
      <c r="I2412" s="27" t="str">
        <f aca="false">IF(OR(G2412="",G2412="?"),"",IFERROR(INDEX(Pubs!$C$2:$C$3001,MATCH(G2412,Pubs!$A$2:$A$3001,0))&amp;"",""))</f>
        <v/>
      </c>
      <c r="J2412" s="27" t="str">
        <f aca="false">IF(OR(G2412="",G2412="?"),"",IFERROR(INDEX(Pubs!$G$2:$G$3001,MATCH(G2412,Pubs!$A$2:$A$3001,0))&amp;"",""))</f>
        <v/>
      </c>
      <c r="K2412" s="28" t="str">
        <f aca="false">IF(OR(G2412="",G2412="?"),"",IFERROR(INDEX(Pubs!$E$2:$E$3001,MATCH(G2412,Pubs!$A$2:$A$3001,0)),""))</f>
        <v/>
      </c>
      <c r="L2412" s="29" t="str">
        <f aca="false">IF(A2412="","",IFERROR(1/(1/INDEX(Numéros!$C$2:$C$3001,MATCH(A2412&amp;"|"&amp;B2412,Numéros!$F$2:$F$3001,0))),""))</f>
        <v/>
      </c>
      <c r="M2412" s="27" t="str">
        <f aca="false">IF(OR(G2412="",G2412="?"),"",IFERROR(INDEX(Pubs!$D$2:$D$3001,MATCH(G2412,Pubs!$A$2:$A$3001,0))&amp;"",""))</f>
        <v/>
      </c>
      <c r="N2412" s="27" t="n">
        <f aca="false">N(N2411)+IF(AND(A2412&lt;&gt;"",OR(Recherche!$C$4="",A2412=Recherche!$C$4),OR(Recherche!$C$5="",B2412&amp;""=Recherche!$C$5&amp;""),OR(Recherche!$C$6="",IFERROR(YEAR(L2412),0)=Recherche!$C$6),OR(Recherche!$C$7="",ISNUMBER(SEARCH(Recherche!$C$7,H2412))),OR(Recherche!$C$8="",J2412=Recherche!$C$8),OR(Recherche!$C$9="",I2412=Recherche!$C$9),OR(Recherche!$C$10="",G2412&amp;""=Recherche!$C$10&amp;""),OR(Recherche!$C$11="",E2412=Recherche!$C$11),OR(Recherche!$C$12="",ISNUMBER(SEARCH(Recherche!$C$12,M2412&amp;" "&amp;F2412)))),1,0)</f>
        <v>8</v>
      </c>
    </row>
    <row r="2413" customFormat="false" ht="15" hidden="false" customHeight="false" outlineLevel="0" collapsed="false">
      <c r="A2413" s="19"/>
      <c r="B2413" s="19"/>
      <c r="C2413" s="19"/>
      <c r="D2413" s="19"/>
      <c r="E2413" s="22"/>
      <c r="F2413" s="19"/>
      <c r="G2413" s="26" t="str">
        <f aca="false">IF(D2413="","",IFERROR(VALUE(LEFT(D2413,FIND(" |",D2413&amp;" |")-1)),"?"))</f>
        <v/>
      </c>
      <c r="H2413" s="27" t="str">
        <f aca="false">IF(G2413="","",IF(G2413="?","⚠ pub inconnue",IFERROR(INDEX(Pubs!$B$2:$B$3001,MATCH(G2413,Pubs!$A$2:$A$3001,0))&amp;"","⚠ pub inconnue")))</f>
        <v/>
      </c>
      <c r="I2413" s="27" t="str">
        <f aca="false">IF(OR(G2413="",G2413="?"),"",IFERROR(INDEX(Pubs!$C$2:$C$3001,MATCH(G2413,Pubs!$A$2:$A$3001,0))&amp;"",""))</f>
        <v/>
      </c>
      <c r="J2413" s="27" t="str">
        <f aca="false">IF(OR(G2413="",G2413="?"),"",IFERROR(INDEX(Pubs!$G$2:$G$3001,MATCH(G2413,Pubs!$A$2:$A$3001,0))&amp;"",""))</f>
        <v/>
      </c>
      <c r="K2413" s="28" t="str">
        <f aca="false">IF(OR(G2413="",G2413="?"),"",IFERROR(INDEX(Pubs!$E$2:$E$3001,MATCH(G2413,Pubs!$A$2:$A$3001,0)),""))</f>
        <v/>
      </c>
      <c r="L2413" s="29" t="str">
        <f aca="false">IF(A2413="","",IFERROR(1/(1/INDEX(Numéros!$C$2:$C$3001,MATCH(A2413&amp;"|"&amp;B2413,Numéros!$F$2:$F$3001,0))),""))</f>
        <v/>
      </c>
      <c r="M2413" s="27" t="str">
        <f aca="false">IF(OR(G2413="",G2413="?"),"",IFERROR(INDEX(Pubs!$D$2:$D$3001,MATCH(G2413,Pubs!$A$2:$A$3001,0))&amp;"",""))</f>
        <v/>
      </c>
      <c r="N2413" s="27" t="n">
        <f aca="false">N(N2412)+IF(AND(A2413&lt;&gt;"",OR(Recherche!$C$4="",A2413=Recherche!$C$4),OR(Recherche!$C$5="",B2413&amp;""=Recherche!$C$5&amp;""),OR(Recherche!$C$6="",IFERROR(YEAR(L2413),0)=Recherche!$C$6),OR(Recherche!$C$7="",ISNUMBER(SEARCH(Recherche!$C$7,H2413))),OR(Recherche!$C$8="",J2413=Recherche!$C$8),OR(Recherche!$C$9="",I2413=Recherche!$C$9),OR(Recherche!$C$10="",G2413&amp;""=Recherche!$C$10&amp;""),OR(Recherche!$C$11="",E2413=Recherche!$C$11),OR(Recherche!$C$12="",ISNUMBER(SEARCH(Recherche!$C$12,M2413&amp;" "&amp;F2413)))),1,0)</f>
        <v>8</v>
      </c>
    </row>
    <row r="2414" customFormat="false" ht="15" hidden="false" customHeight="false" outlineLevel="0" collapsed="false">
      <c r="A2414" s="19"/>
      <c r="B2414" s="19"/>
      <c r="C2414" s="19"/>
      <c r="D2414" s="19"/>
      <c r="E2414" s="22"/>
      <c r="F2414" s="19"/>
      <c r="G2414" s="26" t="str">
        <f aca="false">IF(D2414="","",IFERROR(VALUE(LEFT(D2414,FIND(" |",D2414&amp;" |")-1)),"?"))</f>
        <v/>
      </c>
      <c r="H2414" s="27" t="str">
        <f aca="false">IF(G2414="","",IF(G2414="?","⚠ pub inconnue",IFERROR(INDEX(Pubs!$B$2:$B$3001,MATCH(G2414,Pubs!$A$2:$A$3001,0))&amp;"","⚠ pub inconnue")))</f>
        <v/>
      </c>
      <c r="I2414" s="27" t="str">
        <f aca="false">IF(OR(G2414="",G2414="?"),"",IFERROR(INDEX(Pubs!$C$2:$C$3001,MATCH(G2414,Pubs!$A$2:$A$3001,0))&amp;"",""))</f>
        <v/>
      </c>
      <c r="J2414" s="27" t="str">
        <f aca="false">IF(OR(G2414="",G2414="?"),"",IFERROR(INDEX(Pubs!$G$2:$G$3001,MATCH(G2414,Pubs!$A$2:$A$3001,0))&amp;"",""))</f>
        <v/>
      </c>
      <c r="K2414" s="28" t="str">
        <f aca="false">IF(OR(G2414="",G2414="?"),"",IFERROR(INDEX(Pubs!$E$2:$E$3001,MATCH(G2414,Pubs!$A$2:$A$3001,0)),""))</f>
        <v/>
      </c>
      <c r="L2414" s="29" t="str">
        <f aca="false">IF(A2414="","",IFERROR(1/(1/INDEX(Numéros!$C$2:$C$3001,MATCH(A2414&amp;"|"&amp;B2414,Numéros!$F$2:$F$3001,0))),""))</f>
        <v/>
      </c>
      <c r="M2414" s="27" t="str">
        <f aca="false">IF(OR(G2414="",G2414="?"),"",IFERROR(INDEX(Pubs!$D$2:$D$3001,MATCH(G2414,Pubs!$A$2:$A$3001,0))&amp;"",""))</f>
        <v/>
      </c>
      <c r="N2414" s="27" t="n">
        <f aca="false">N(N2413)+IF(AND(A2414&lt;&gt;"",OR(Recherche!$C$4="",A2414=Recherche!$C$4),OR(Recherche!$C$5="",B2414&amp;""=Recherche!$C$5&amp;""),OR(Recherche!$C$6="",IFERROR(YEAR(L2414),0)=Recherche!$C$6),OR(Recherche!$C$7="",ISNUMBER(SEARCH(Recherche!$C$7,H2414))),OR(Recherche!$C$8="",J2414=Recherche!$C$8),OR(Recherche!$C$9="",I2414=Recherche!$C$9),OR(Recherche!$C$10="",G2414&amp;""=Recherche!$C$10&amp;""),OR(Recherche!$C$11="",E2414=Recherche!$C$11),OR(Recherche!$C$12="",ISNUMBER(SEARCH(Recherche!$C$12,M2414&amp;" "&amp;F2414)))),1,0)</f>
        <v>8</v>
      </c>
    </row>
    <row r="2415" customFormat="false" ht="15" hidden="false" customHeight="false" outlineLevel="0" collapsed="false">
      <c r="A2415" s="19"/>
      <c r="B2415" s="19"/>
      <c r="C2415" s="19"/>
      <c r="D2415" s="19"/>
      <c r="E2415" s="22"/>
      <c r="F2415" s="19"/>
      <c r="G2415" s="26" t="str">
        <f aca="false">IF(D2415="","",IFERROR(VALUE(LEFT(D2415,FIND(" |",D2415&amp;" |")-1)),"?"))</f>
        <v/>
      </c>
      <c r="H2415" s="27" t="str">
        <f aca="false">IF(G2415="","",IF(G2415="?","⚠ pub inconnue",IFERROR(INDEX(Pubs!$B$2:$B$3001,MATCH(G2415,Pubs!$A$2:$A$3001,0))&amp;"","⚠ pub inconnue")))</f>
        <v/>
      </c>
      <c r="I2415" s="27" t="str">
        <f aca="false">IF(OR(G2415="",G2415="?"),"",IFERROR(INDEX(Pubs!$C$2:$C$3001,MATCH(G2415,Pubs!$A$2:$A$3001,0))&amp;"",""))</f>
        <v/>
      </c>
      <c r="J2415" s="27" t="str">
        <f aca="false">IF(OR(G2415="",G2415="?"),"",IFERROR(INDEX(Pubs!$G$2:$G$3001,MATCH(G2415,Pubs!$A$2:$A$3001,0))&amp;"",""))</f>
        <v/>
      </c>
      <c r="K2415" s="28" t="str">
        <f aca="false">IF(OR(G2415="",G2415="?"),"",IFERROR(INDEX(Pubs!$E$2:$E$3001,MATCH(G2415,Pubs!$A$2:$A$3001,0)),""))</f>
        <v/>
      </c>
      <c r="L2415" s="29" t="str">
        <f aca="false">IF(A2415="","",IFERROR(1/(1/INDEX(Numéros!$C$2:$C$3001,MATCH(A2415&amp;"|"&amp;B2415,Numéros!$F$2:$F$3001,0))),""))</f>
        <v/>
      </c>
      <c r="M2415" s="27" t="str">
        <f aca="false">IF(OR(G2415="",G2415="?"),"",IFERROR(INDEX(Pubs!$D$2:$D$3001,MATCH(G2415,Pubs!$A$2:$A$3001,0))&amp;"",""))</f>
        <v/>
      </c>
      <c r="N2415" s="27" t="n">
        <f aca="false">N(N2414)+IF(AND(A2415&lt;&gt;"",OR(Recherche!$C$4="",A2415=Recherche!$C$4),OR(Recherche!$C$5="",B2415&amp;""=Recherche!$C$5&amp;""),OR(Recherche!$C$6="",IFERROR(YEAR(L2415),0)=Recherche!$C$6),OR(Recherche!$C$7="",ISNUMBER(SEARCH(Recherche!$C$7,H2415))),OR(Recherche!$C$8="",J2415=Recherche!$C$8),OR(Recherche!$C$9="",I2415=Recherche!$C$9),OR(Recherche!$C$10="",G2415&amp;""=Recherche!$C$10&amp;""),OR(Recherche!$C$11="",E2415=Recherche!$C$11),OR(Recherche!$C$12="",ISNUMBER(SEARCH(Recherche!$C$12,M2415&amp;" "&amp;F2415)))),1,0)</f>
        <v>8</v>
      </c>
    </row>
    <row r="2416" customFormat="false" ht="15" hidden="false" customHeight="false" outlineLevel="0" collapsed="false">
      <c r="A2416" s="19"/>
      <c r="B2416" s="19"/>
      <c r="C2416" s="19"/>
      <c r="D2416" s="19"/>
      <c r="E2416" s="22"/>
      <c r="F2416" s="19"/>
      <c r="G2416" s="26" t="str">
        <f aca="false">IF(D2416="","",IFERROR(VALUE(LEFT(D2416,FIND(" |",D2416&amp;" |")-1)),"?"))</f>
        <v/>
      </c>
      <c r="H2416" s="27" t="str">
        <f aca="false">IF(G2416="","",IF(G2416="?","⚠ pub inconnue",IFERROR(INDEX(Pubs!$B$2:$B$3001,MATCH(G2416,Pubs!$A$2:$A$3001,0))&amp;"","⚠ pub inconnue")))</f>
        <v/>
      </c>
      <c r="I2416" s="27" t="str">
        <f aca="false">IF(OR(G2416="",G2416="?"),"",IFERROR(INDEX(Pubs!$C$2:$C$3001,MATCH(G2416,Pubs!$A$2:$A$3001,0))&amp;"",""))</f>
        <v/>
      </c>
      <c r="J2416" s="27" t="str">
        <f aca="false">IF(OR(G2416="",G2416="?"),"",IFERROR(INDEX(Pubs!$G$2:$G$3001,MATCH(G2416,Pubs!$A$2:$A$3001,0))&amp;"",""))</f>
        <v/>
      </c>
      <c r="K2416" s="28" t="str">
        <f aca="false">IF(OR(G2416="",G2416="?"),"",IFERROR(INDEX(Pubs!$E$2:$E$3001,MATCH(G2416,Pubs!$A$2:$A$3001,0)),""))</f>
        <v/>
      </c>
      <c r="L2416" s="29" t="str">
        <f aca="false">IF(A2416="","",IFERROR(1/(1/INDEX(Numéros!$C$2:$C$3001,MATCH(A2416&amp;"|"&amp;B2416,Numéros!$F$2:$F$3001,0))),""))</f>
        <v/>
      </c>
      <c r="M2416" s="27" t="str">
        <f aca="false">IF(OR(G2416="",G2416="?"),"",IFERROR(INDEX(Pubs!$D$2:$D$3001,MATCH(G2416,Pubs!$A$2:$A$3001,0))&amp;"",""))</f>
        <v/>
      </c>
      <c r="N2416" s="27" t="n">
        <f aca="false">N(N2415)+IF(AND(A2416&lt;&gt;"",OR(Recherche!$C$4="",A2416=Recherche!$C$4),OR(Recherche!$C$5="",B2416&amp;""=Recherche!$C$5&amp;""),OR(Recherche!$C$6="",IFERROR(YEAR(L2416),0)=Recherche!$C$6),OR(Recherche!$C$7="",ISNUMBER(SEARCH(Recherche!$C$7,H2416))),OR(Recherche!$C$8="",J2416=Recherche!$C$8),OR(Recherche!$C$9="",I2416=Recherche!$C$9),OR(Recherche!$C$10="",G2416&amp;""=Recherche!$C$10&amp;""),OR(Recherche!$C$11="",E2416=Recherche!$C$11),OR(Recherche!$C$12="",ISNUMBER(SEARCH(Recherche!$C$12,M2416&amp;" "&amp;F2416)))),1,0)</f>
        <v>8</v>
      </c>
    </row>
    <row r="2417" customFormat="false" ht="15" hidden="false" customHeight="false" outlineLevel="0" collapsed="false">
      <c r="A2417" s="19"/>
      <c r="B2417" s="19"/>
      <c r="C2417" s="19"/>
      <c r="D2417" s="19"/>
      <c r="E2417" s="22"/>
      <c r="F2417" s="19"/>
      <c r="G2417" s="26" t="str">
        <f aca="false">IF(D2417="","",IFERROR(VALUE(LEFT(D2417,FIND(" |",D2417&amp;" |")-1)),"?"))</f>
        <v/>
      </c>
      <c r="H2417" s="27" t="str">
        <f aca="false">IF(G2417="","",IF(G2417="?","⚠ pub inconnue",IFERROR(INDEX(Pubs!$B$2:$B$3001,MATCH(G2417,Pubs!$A$2:$A$3001,0))&amp;"","⚠ pub inconnue")))</f>
        <v/>
      </c>
      <c r="I2417" s="27" t="str">
        <f aca="false">IF(OR(G2417="",G2417="?"),"",IFERROR(INDEX(Pubs!$C$2:$C$3001,MATCH(G2417,Pubs!$A$2:$A$3001,0))&amp;"",""))</f>
        <v/>
      </c>
      <c r="J2417" s="27" t="str">
        <f aca="false">IF(OR(G2417="",G2417="?"),"",IFERROR(INDEX(Pubs!$G$2:$G$3001,MATCH(G2417,Pubs!$A$2:$A$3001,0))&amp;"",""))</f>
        <v/>
      </c>
      <c r="K2417" s="28" t="str">
        <f aca="false">IF(OR(G2417="",G2417="?"),"",IFERROR(INDEX(Pubs!$E$2:$E$3001,MATCH(G2417,Pubs!$A$2:$A$3001,0)),""))</f>
        <v/>
      </c>
      <c r="L2417" s="29" t="str">
        <f aca="false">IF(A2417="","",IFERROR(1/(1/INDEX(Numéros!$C$2:$C$3001,MATCH(A2417&amp;"|"&amp;B2417,Numéros!$F$2:$F$3001,0))),""))</f>
        <v/>
      </c>
      <c r="M2417" s="27" t="str">
        <f aca="false">IF(OR(G2417="",G2417="?"),"",IFERROR(INDEX(Pubs!$D$2:$D$3001,MATCH(G2417,Pubs!$A$2:$A$3001,0))&amp;"",""))</f>
        <v/>
      </c>
      <c r="N2417" s="27" t="n">
        <f aca="false">N(N2416)+IF(AND(A2417&lt;&gt;"",OR(Recherche!$C$4="",A2417=Recherche!$C$4),OR(Recherche!$C$5="",B2417&amp;""=Recherche!$C$5&amp;""),OR(Recherche!$C$6="",IFERROR(YEAR(L2417),0)=Recherche!$C$6),OR(Recherche!$C$7="",ISNUMBER(SEARCH(Recherche!$C$7,H2417))),OR(Recherche!$C$8="",J2417=Recherche!$C$8),OR(Recherche!$C$9="",I2417=Recherche!$C$9),OR(Recherche!$C$10="",G2417&amp;""=Recherche!$C$10&amp;""),OR(Recherche!$C$11="",E2417=Recherche!$C$11),OR(Recherche!$C$12="",ISNUMBER(SEARCH(Recherche!$C$12,M2417&amp;" "&amp;F2417)))),1,0)</f>
        <v>8</v>
      </c>
    </row>
    <row r="2418" customFormat="false" ht="15" hidden="false" customHeight="false" outlineLevel="0" collapsed="false">
      <c r="A2418" s="19"/>
      <c r="B2418" s="19"/>
      <c r="C2418" s="19"/>
      <c r="D2418" s="19"/>
      <c r="E2418" s="22"/>
      <c r="F2418" s="19"/>
      <c r="G2418" s="26" t="str">
        <f aca="false">IF(D2418="","",IFERROR(VALUE(LEFT(D2418,FIND(" |",D2418&amp;" |")-1)),"?"))</f>
        <v/>
      </c>
      <c r="H2418" s="27" t="str">
        <f aca="false">IF(G2418="","",IF(G2418="?","⚠ pub inconnue",IFERROR(INDEX(Pubs!$B$2:$B$3001,MATCH(G2418,Pubs!$A$2:$A$3001,0))&amp;"","⚠ pub inconnue")))</f>
        <v/>
      </c>
      <c r="I2418" s="27" t="str">
        <f aca="false">IF(OR(G2418="",G2418="?"),"",IFERROR(INDEX(Pubs!$C$2:$C$3001,MATCH(G2418,Pubs!$A$2:$A$3001,0))&amp;"",""))</f>
        <v/>
      </c>
      <c r="J2418" s="27" t="str">
        <f aca="false">IF(OR(G2418="",G2418="?"),"",IFERROR(INDEX(Pubs!$G$2:$G$3001,MATCH(G2418,Pubs!$A$2:$A$3001,0))&amp;"",""))</f>
        <v/>
      </c>
      <c r="K2418" s="28" t="str">
        <f aca="false">IF(OR(G2418="",G2418="?"),"",IFERROR(INDEX(Pubs!$E$2:$E$3001,MATCH(G2418,Pubs!$A$2:$A$3001,0)),""))</f>
        <v/>
      </c>
      <c r="L2418" s="29" t="str">
        <f aca="false">IF(A2418="","",IFERROR(1/(1/INDEX(Numéros!$C$2:$C$3001,MATCH(A2418&amp;"|"&amp;B2418,Numéros!$F$2:$F$3001,0))),""))</f>
        <v/>
      </c>
      <c r="M2418" s="27" t="str">
        <f aca="false">IF(OR(G2418="",G2418="?"),"",IFERROR(INDEX(Pubs!$D$2:$D$3001,MATCH(G2418,Pubs!$A$2:$A$3001,0))&amp;"",""))</f>
        <v/>
      </c>
      <c r="N2418" s="27" t="n">
        <f aca="false">N(N2417)+IF(AND(A2418&lt;&gt;"",OR(Recherche!$C$4="",A2418=Recherche!$C$4),OR(Recherche!$C$5="",B2418&amp;""=Recherche!$C$5&amp;""),OR(Recherche!$C$6="",IFERROR(YEAR(L2418),0)=Recherche!$C$6),OR(Recherche!$C$7="",ISNUMBER(SEARCH(Recherche!$C$7,H2418))),OR(Recherche!$C$8="",J2418=Recherche!$C$8),OR(Recherche!$C$9="",I2418=Recherche!$C$9),OR(Recherche!$C$10="",G2418&amp;""=Recherche!$C$10&amp;""),OR(Recherche!$C$11="",E2418=Recherche!$C$11),OR(Recherche!$C$12="",ISNUMBER(SEARCH(Recherche!$C$12,M2418&amp;" "&amp;F2418)))),1,0)</f>
        <v>8</v>
      </c>
    </row>
    <row r="2419" customFormat="false" ht="15" hidden="false" customHeight="false" outlineLevel="0" collapsed="false">
      <c r="A2419" s="19"/>
      <c r="B2419" s="19"/>
      <c r="C2419" s="19"/>
      <c r="D2419" s="19"/>
      <c r="E2419" s="22"/>
      <c r="F2419" s="19"/>
      <c r="G2419" s="26" t="str">
        <f aca="false">IF(D2419="","",IFERROR(VALUE(LEFT(D2419,FIND(" |",D2419&amp;" |")-1)),"?"))</f>
        <v/>
      </c>
      <c r="H2419" s="27" t="str">
        <f aca="false">IF(G2419="","",IF(G2419="?","⚠ pub inconnue",IFERROR(INDEX(Pubs!$B$2:$B$3001,MATCH(G2419,Pubs!$A$2:$A$3001,0))&amp;"","⚠ pub inconnue")))</f>
        <v/>
      </c>
      <c r="I2419" s="27" t="str">
        <f aca="false">IF(OR(G2419="",G2419="?"),"",IFERROR(INDEX(Pubs!$C$2:$C$3001,MATCH(G2419,Pubs!$A$2:$A$3001,0))&amp;"",""))</f>
        <v/>
      </c>
      <c r="J2419" s="27" t="str">
        <f aca="false">IF(OR(G2419="",G2419="?"),"",IFERROR(INDEX(Pubs!$G$2:$G$3001,MATCH(G2419,Pubs!$A$2:$A$3001,0))&amp;"",""))</f>
        <v/>
      </c>
      <c r="K2419" s="28" t="str">
        <f aca="false">IF(OR(G2419="",G2419="?"),"",IFERROR(INDEX(Pubs!$E$2:$E$3001,MATCH(G2419,Pubs!$A$2:$A$3001,0)),""))</f>
        <v/>
      </c>
      <c r="L2419" s="29" t="str">
        <f aca="false">IF(A2419="","",IFERROR(1/(1/INDEX(Numéros!$C$2:$C$3001,MATCH(A2419&amp;"|"&amp;B2419,Numéros!$F$2:$F$3001,0))),""))</f>
        <v/>
      </c>
      <c r="M2419" s="27" t="str">
        <f aca="false">IF(OR(G2419="",G2419="?"),"",IFERROR(INDEX(Pubs!$D$2:$D$3001,MATCH(G2419,Pubs!$A$2:$A$3001,0))&amp;"",""))</f>
        <v/>
      </c>
      <c r="N2419" s="27" t="n">
        <f aca="false">N(N2418)+IF(AND(A2419&lt;&gt;"",OR(Recherche!$C$4="",A2419=Recherche!$C$4),OR(Recherche!$C$5="",B2419&amp;""=Recherche!$C$5&amp;""),OR(Recherche!$C$6="",IFERROR(YEAR(L2419),0)=Recherche!$C$6),OR(Recherche!$C$7="",ISNUMBER(SEARCH(Recherche!$C$7,H2419))),OR(Recherche!$C$8="",J2419=Recherche!$C$8),OR(Recherche!$C$9="",I2419=Recherche!$C$9),OR(Recherche!$C$10="",G2419&amp;""=Recherche!$C$10&amp;""),OR(Recherche!$C$11="",E2419=Recherche!$C$11),OR(Recherche!$C$12="",ISNUMBER(SEARCH(Recherche!$C$12,M2419&amp;" "&amp;F2419)))),1,0)</f>
        <v>8</v>
      </c>
    </row>
    <row r="2420" customFormat="false" ht="15" hidden="false" customHeight="false" outlineLevel="0" collapsed="false">
      <c r="A2420" s="19"/>
      <c r="B2420" s="19"/>
      <c r="C2420" s="19"/>
      <c r="D2420" s="19"/>
      <c r="E2420" s="22"/>
      <c r="F2420" s="19"/>
      <c r="G2420" s="26" t="str">
        <f aca="false">IF(D2420="","",IFERROR(VALUE(LEFT(D2420,FIND(" |",D2420&amp;" |")-1)),"?"))</f>
        <v/>
      </c>
      <c r="H2420" s="27" t="str">
        <f aca="false">IF(G2420="","",IF(G2420="?","⚠ pub inconnue",IFERROR(INDEX(Pubs!$B$2:$B$3001,MATCH(G2420,Pubs!$A$2:$A$3001,0))&amp;"","⚠ pub inconnue")))</f>
        <v/>
      </c>
      <c r="I2420" s="27" t="str">
        <f aca="false">IF(OR(G2420="",G2420="?"),"",IFERROR(INDEX(Pubs!$C$2:$C$3001,MATCH(G2420,Pubs!$A$2:$A$3001,0))&amp;"",""))</f>
        <v/>
      </c>
      <c r="J2420" s="27" t="str">
        <f aca="false">IF(OR(G2420="",G2420="?"),"",IFERROR(INDEX(Pubs!$G$2:$G$3001,MATCH(G2420,Pubs!$A$2:$A$3001,0))&amp;"",""))</f>
        <v/>
      </c>
      <c r="K2420" s="28" t="str">
        <f aca="false">IF(OR(G2420="",G2420="?"),"",IFERROR(INDEX(Pubs!$E$2:$E$3001,MATCH(G2420,Pubs!$A$2:$A$3001,0)),""))</f>
        <v/>
      </c>
      <c r="L2420" s="29" t="str">
        <f aca="false">IF(A2420="","",IFERROR(1/(1/INDEX(Numéros!$C$2:$C$3001,MATCH(A2420&amp;"|"&amp;B2420,Numéros!$F$2:$F$3001,0))),""))</f>
        <v/>
      </c>
      <c r="M2420" s="27" t="str">
        <f aca="false">IF(OR(G2420="",G2420="?"),"",IFERROR(INDEX(Pubs!$D$2:$D$3001,MATCH(G2420,Pubs!$A$2:$A$3001,0))&amp;"",""))</f>
        <v/>
      </c>
      <c r="N2420" s="27" t="n">
        <f aca="false">N(N2419)+IF(AND(A2420&lt;&gt;"",OR(Recherche!$C$4="",A2420=Recherche!$C$4),OR(Recherche!$C$5="",B2420&amp;""=Recherche!$C$5&amp;""),OR(Recherche!$C$6="",IFERROR(YEAR(L2420),0)=Recherche!$C$6),OR(Recherche!$C$7="",ISNUMBER(SEARCH(Recherche!$C$7,H2420))),OR(Recherche!$C$8="",J2420=Recherche!$C$8),OR(Recherche!$C$9="",I2420=Recherche!$C$9),OR(Recherche!$C$10="",G2420&amp;""=Recherche!$C$10&amp;""),OR(Recherche!$C$11="",E2420=Recherche!$C$11),OR(Recherche!$C$12="",ISNUMBER(SEARCH(Recherche!$C$12,M2420&amp;" "&amp;F2420)))),1,0)</f>
        <v>8</v>
      </c>
    </row>
    <row r="2421" customFormat="false" ht="15" hidden="false" customHeight="false" outlineLevel="0" collapsed="false">
      <c r="A2421" s="19"/>
      <c r="B2421" s="19"/>
      <c r="C2421" s="19"/>
      <c r="D2421" s="19"/>
      <c r="E2421" s="22"/>
      <c r="F2421" s="19"/>
      <c r="G2421" s="26" t="str">
        <f aca="false">IF(D2421="","",IFERROR(VALUE(LEFT(D2421,FIND(" |",D2421&amp;" |")-1)),"?"))</f>
        <v/>
      </c>
      <c r="H2421" s="27" t="str">
        <f aca="false">IF(G2421="","",IF(G2421="?","⚠ pub inconnue",IFERROR(INDEX(Pubs!$B$2:$B$3001,MATCH(G2421,Pubs!$A$2:$A$3001,0))&amp;"","⚠ pub inconnue")))</f>
        <v/>
      </c>
      <c r="I2421" s="27" t="str">
        <f aca="false">IF(OR(G2421="",G2421="?"),"",IFERROR(INDEX(Pubs!$C$2:$C$3001,MATCH(G2421,Pubs!$A$2:$A$3001,0))&amp;"",""))</f>
        <v/>
      </c>
      <c r="J2421" s="27" t="str">
        <f aca="false">IF(OR(G2421="",G2421="?"),"",IFERROR(INDEX(Pubs!$G$2:$G$3001,MATCH(G2421,Pubs!$A$2:$A$3001,0))&amp;"",""))</f>
        <v/>
      </c>
      <c r="K2421" s="28" t="str">
        <f aca="false">IF(OR(G2421="",G2421="?"),"",IFERROR(INDEX(Pubs!$E$2:$E$3001,MATCH(G2421,Pubs!$A$2:$A$3001,0)),""))</f>
        <v/>
      </c>
      <c r="L2421" s="29" t="str">
        <f aca="false">IF(A2421="","",IFERROR(1/(1/INDEX(Numéros!$C$2:$C$3001,MATCH(A2421&amp;"|"&amp;B2421,Numéros!$F$2:$F$3001,0))),""))</f>
        <v/>
      </c>
      <c r="M2421" s="27" t="str">
        <f aca="false">IF(OR(G2421="",G2421="?"),"",IFERROR(INDEX(Pubs!$D$2:$D$3001,MATCH(G2421,Pubs!$A$2:$A$3001,0))&amp;"",""))</f>
        <v/>
      </c>
      <c r="N2421" s="27" t="n">
        <f aca="false">N(N2420)+IF(AND(A2421&lt;&gt;"",OR(Recherche!$C$4="",A2421=Recherche!$C$4),OR(Recherche!$C$5="",B2421&amp;""=Recherche!$C$5&amp;""),OR(Recherche!$C$6="",IFERROR(YEAR(L2421),0)=Recherche!$C$6),OR(Recherche!$C$7="",ISNUMBER(SEARCH(Recherche!$C$7,H2421))),OR(Recherche!$C$8="",J2421=Recherche!$C$8),OR(Recherche!$C$9="",I2421=Recherche!$C$9),OR(Recherche!$C$10="",G2421&amp;""=Recherche!$C$10&amp;""),OR(Recherche!$C$11="",E2421=Recherche!$C$11),OR(Recherche!$C$12="",ISNUMBER(SEARCH(Recherche!$C$12,M2421&amp;" "&amp;F2421)))),1,0)</f>
        <v>8</v>
      </c>
    </row>
    <row r="2422" customFormat="false" ht="15" hidden="false" customHeight="false" outlineLevel="0" collapsed="false">
      <c r="A2422" s="19"/>
      <c r="B2422" s="19"/>
      <c r="C2422" s="19"/>
      <c r="D2422" s="19"/>
      <c r="E2422" s="22"/>
      <c r="F2422" s="19"/>
      <c r="G2422" s="26" t="str">
        <f aca="false">IF(D2422="","",IFERROR(VALUE(LEFT(D2422,FIND(" |",D2422&amp;" |")-1)),"?"))</f>
        <v/>
      </c>
      <c r="H2422" s="27" t="str">
        <f aca="false">IF(G2422="","",IF(G2422="?","⚠ pub inconnue",IFERROR(INDEX(Pubs!$B$2:$B$3001,MATCH(G2422,Pubs!$A$2:$A$3001,0))&amp;"","⚠ pub inconnue")))</f>
        <v/>
      </c>
      <c r="I2422" s="27" t="str">
        <f aca="false">IF(OR(G2422="",G2422="?"),"",IFERROR(INDEX(Pubs!$C$2:$C$3001,MATCH(G2422,Pubs!$A$2:$A$3001,0))&amp;"",""))</f>
        <v/>
      </c>
      <c r="J2422" s="27" t="str">
        <f aca="false">IF(OR(G2422="",G2422="?"),"",IFERROR(INDEX(Pubs!$G$2:$G$3001,MATCH(G2422,Pubs!$A$2:$A$3001,0))&amp;"",""))</f>
        <v/>
      </c>
      <c r="K2422" s="28" t="str">
        <f aca="false">IF(OR(G2422="",G2422="?"),"",IFERROR(INDEX(Pubs!$E$2:$E$3001,MATCH(G2422,Pubs!$A$2:$A$3001,0)),""))</f>
        <v/>
      </c>
      <c r="L2422" s="29" t="str">
        <f aca="false">IF(A2422="","",IFERROR(1/(1/INDEX(Numéros!$C$2:$C$3001,MATCH(A2422&amp;"|"&amp;B2422,Numéros!$F$2:$F$3001,0))),""))</f>
        <v/>
      </c>
      <c r="M2422" s="27" t="str">
        <f aca="false">IF(OR(G2422="",G2422="?"),"",IFERROR(INDEX(Pubs!$D$2:$D$3001,MATCH(G2422,Pubs!$A$2:$A$3001,0))&amp;"",""))</f>
        <v/>
      </c>
      <c r="N2422" s="27" t="n">
        <f aca="false">N(N2421)+IF(AND(A2422&lt;&gt;"",OR(Recherche!$C$4="",A2422=Recherche!$C$4),OR(Recherche!$C$5="",B2422&amp;""=Recherche!$C$5&amp;""),OR(Recherche!$C$6="",IFERROR(YEAR(L2422),0)=Recherche!$C$6),OR(Recherche!$C$7="",ISNUMBER(SEARCH(Recherche!$C$7,H2422))),OR(Recherche!$C$8="",J2422=Recherche!$C$8),OR(Recherche!$C$9="",I2422=Recherche!$C$9),OR(Recherche!$C$10="",G2422&amp;""=Recherche!$C$10&amp;""),OR(Recherche!$C$11="",E2422=Recherche!$C$11),OR(Recherche!$C$12="",ISNUMBER(SEARCH(Recherche!$C$12,M2422&amp;" "&amp;F2422)))),1,0)</f>
        <v>8</v>
      </c>
    </row>
    <row r="2423" customFormat="false" ht="15" hidden="false" customHeight="false" outlineLevel="0" collapsed="false">
      <c r="A2423" s="19"/>
      <c r="B2423" s="19"/>
      <c r="C2423" s="19"/>
      <c r="D2423" s="19"/>
      <c r="E2423" s="22"/>
      <c r="F2423" s="19"/>
      <c r="G2423" s="26" t="str">
        <f aca="false">IF(D2423="","",IFERROR(VALUE(LEFT(D2423,FIND(" |",D2423&amp;" |")-1)),"?"))</f>
        <v/>
      </c>
      <c r="H2423" s="27" t="str">
        <f aca="false">IF(G2423="","",IF(G2423="?","⚠ pub inconnue",IFERROR(INDEX(Pubs!$B$2:$B$3001,MATCH(G2423,Pubs!$A$2:$A$3001,0))&amp;"","⚠ pub inconnue")))</f>
        <v/>
      </c>
      <c r="I2423" s="27" t="str">
        <f aca="false">IF(OR(G2423="",G2423="?"),"",IFERROR(INDEX(Pubs!$C$2:$C$3001,MATCH(G2423,Pubs!$A$2:$A$3001,0))&amp;"",""))</f>
        <v/>
      </c>
      <c r="J2423" s="27" t="str">
        <f aca="false">IF(OR(G2423="",G2423="?"),"",IFERROR(INDEX(Pubs!$G$2:$G$3001,MATCH(G2423,Pubs!$A$2:$A$3001,0))&amp;"",""))</f>
        <v/>
      </c>
      <c r="K2423" s="28" t="str">
        <f aca="false">IF(OR(G2423="",G2423="?"),"",IFERROR(INDEX(Pubs!$E$2:$E$3001,MATCH(G2423,Pubs!$A$2:$A$3001,0)),""))</f>
        <v/>
      </c>
      <c r="L2423" s="29" t="str">
        <f aca="false">IF(A2423="","",IFERROR(1/(1/INDEX(Numéros!$C$2:$C$3001,MATCH(A2423&amp;"|"&amp;B2423,Numéros!$F$2:$F$3001,0))),""))</f>
        <v/>
      </c>
      <c r="M2423" s="27" t="str">
        <f aca="false">IF(OR(G2423="",G2423="?"),"",IFERROR(INDEX(Pubs!$D$2:$D$3001,MATCH(G2423,Pubs!$A$2:$A$3001,0))&amp;"",""))</f>
        <v/>
      </c>
      <c r="N2423" s="27" t="n">
        <f aca="false">N(N2422)+IF(AND(A2423&lt;&gt;"",OR(Recherche!$C$4="",A2423=Recherche!$C$4),OR(Recherche!$C$5="",B2423&amp;""=Recherche!$C$5&amp;""),OR(Recherche!$C$6="",IFERROR(YEAR(L2423),0)=Recherche!$C$6),OR(Recherche!$C$7="",ISNUMBER(SEARCH(Recherche!$C$7,H2423))),OR(Recherche!$C$8="",J2423=Recherche!$C$8),OR(Recherche!$C$9="",I2423=Recherche!$C$9),OR(Recherche!$C$10="",G2423&amp;""=Recherche!$C$10&amp;""),OR(Recherche!$C$11="",E2423=Recherche!$C$11),OR(Recherche!$C$12="",ISNUMBER(SEARCH(Recherche!$C$12,M2423&amp;" "&amp;F2423)))),1,0)</f>
        <v>8</v>
      </c>
    </row>
    <row r="2424" customFormat="false" ht="15" hidden="false" customHeight="false" outlineLevel="0" collapsed="false">
      <c r="A2424" s="19"/>
      <c r="B2424" s="19"/>
      <c r="C2424" s="19"/>
      <c r="D2424" s="19"/>
      <c r="E2424" s="22"/>
      <c r="F2424" s="19"/>
      <c r="G2424" s="26" t="str">
        <f aca="false">IF(D2424="","",IFERROR(VALUE(LEFT(D2424,FIND(" |",D2424&amp;" |")-1)),"?"))</f>
        <v/>
      </c>
      <c r="H2424" s="27" t="str">
        <f aca="false">IF(G2424="","",IF(G2424="?","⚠ pub inconnue",IFERROR(INDEX(Pubs!$B$2:$B$3001,MATCH(G2424,Pubs!$A$2:$A$3001,0))&amp;"","⚠ pub inconnue")))</f>
        <v/>
      </c>
      <c r="I2424" s="27" t="str">
        <f aca="false">IF(OR(G2424="",G2424="?"),"",IFERROR(INDEX(Pubs!$C$2:$C$3001,MATCH(G2424,Pubs!$A$2:$A$3001,0))&amp;"",""))</f>
        <v/>
      </c>
      <c r="J2424" s="27" t="str">
        <f aca="false">IF(OR(G2424="",G2424="?"),"",IFERROR(INDEX(Pubs!$G$2:$G$3001,MATCH(G2424,Pubs!$A$2:$A$3001,0))&amp;"",""))</f>
        <v/>
      </c>
      <c r="K2424" s="28" t="str">
        <f aca="false">IF(OR(G2424="",G2424="?"),"",IFERROR(INDEX(Pubs!$E$2:$E$3001,MATCH(G2424,Pubs!$A$2:$A$3001,0)),""))</f>
        <v/>
      </c>
      <c r="L2424" s="29" t="str">
        <f aca="false">IF(A2424="","",IFERROR(1/(1/INDEX(Numéros!$C$2:$C$3001,MATCH(A2424&amp;"|"&amp;B2424,Numéros!$F$2:$F$3001,0))),""))</f>
        <v/>
      </c>
      <c r="M2424" s="27" t="str">
        <f aca="false">IF(OR(G2424="",G2424="?"),"",IFERROR(INDEX(Pubs!$D$2:$D$3001,MATCH(G2424,Pubs!$A$2:$A$3001,0))&amp;"",""))</f>
        <v/>
      </c>
      <c r="N2424" s="27" t="n">
        <f aca="false">N(N2423)+IF(AND(A2424&lt;&gt;"",OR(Recherche!$C$4="",A2424=Recherche!$C$4),OR(Recherche!$C$5="",B2424&amp;""=Recherche!$C$5&amp;""),OR(Recherche!$C$6="",IFERROR(YEAR(L2424),0)=Recherche!$C$6),OR(Recherche!$C$7="",ISNUMBER(SEARCH(Recherche!$C$7,H2424))),OR(Recherche!$C$8="",J2424=Recherche!$C$8),OR(Recherche!$C$9="",I2424=Recherche!$C$9),OR(Recherche!$C$10="",G2424&amp;""=Recherche!$C$10&amp;""),OR(Recherche!$C$11="",E2424=Recherche!$C$11),OR(Recherche!$C$12="",ISNUMBER(SEARCH(Recherche!$C$12,M2424&amp;" "&amp;F2424)))),1,0)</f>
        <v>8</v>
      </c>
    </row>
    <row r="2425" customFormat="false" ht="15" hidden="false" customHeight="false" outlineLevel="0" collapsed="false">
      <c r="A2425" s="19"/>
      <c r="B2425" s="19"/>
      <c r="C2425" s="19"/>
      <c r="D2425" s="19"/>
      <c r="E2425" s="22"/>
      <c r="F2425" s="19"/>
      <c r="G2425" s="26" t="str">
        <f aca="false">IF(D2425="","",IFERROR(VALUE(LEFT(D2425,FIND(" |",D2425&amp;" |")-1)),"?"))</f>
        <v/>
      </c>
      <c r="H2425" s="27" t="str">
        <f aca="false">IF(G2425="","",IF(G2425="?","⚠ pub inconnue",IFERROR(INDEX(Pubs!$B$2:$B$3001,MATCH(G2425,Pubs!$A$2:$A$3001,0))&amp;"","⚠ pub inconnue")))</f>
        <v/>
      </c>
      <c r="I2425" s="27" t="str">
        <f aca="false">IF(OR(G2425="",G2425="?"),"",IFERROR(INDEX(Pubs!$C$2:$C$3001,MATCH(G2425,Pubs!$A$2:$A$3001,0))&amp;"",""))</f>
        <v/>
      </c>
      <c r="J2425" s="27" t="str">
        <f aca="false">IF(OR(G2425="",G2425="?"),"",IFERROR(INDEX(Pubs!$G$2:$G$3001,MATCH(G2425,Pubs!$A$2:$A$3001,0))&amp;"",""))</f>
        <v/>
      </c>
      <c r="K2425" s="28" t="str">
        <f aca="false">IF(OR(G2425="",G2425="?"),"",IFERROR(INDEX(Pubs!$E$2:$E$3001,MATCH(G2425,Pubs!$A$2:$A$3001,0)),""))</f>
        <v/>
      </c>
      <c r="L2425" s="29" t="str">
        <f aca="false">IF(A2425="","",IFERROR(1/(1/INDEX(Numéros!$C$2:$C$3001,MATCH(A2425&amp;"|"&amp;B2425,Numéros!$F$2:$F$3001,0))),""))</f>
        <v/>
      </c>
      <c r="M2425" s="27" t="str">
        <f aca="false">IF(OR(G2425="",G2425="?"),"",IFERROR(INDEX(Pubs!$D$2:$D$3001,MATCH(G2425,Pubs!$A$2:$A$3001,0))&amp;"",""))</f>
        <v/>
      </c>
      <c r="N2425" s="27" t="n">
        <f aca="false">N(N2424)+IF(AND(A2425&lt;&gt;"",OR(Recherche!$C$4="",A2425=Recherche!$C$4),OR(Recherche!$C$5="",B2425&amp;""=Recherche!$C$5&amp;""),OR(Recherche!$C$6="",IFERROR(YEAR(L2425),0)=Recherche!$C$6),OR(Recherche!$C$7="",ISNUMBER(SEARCH(Recherche!$C$7,H2425))),OR(Recherche!$C$8="",J2425=Recherche!$C$8),OR(Recherche!$C$9="",I2425=Recherche!$C$9),OR(Recherche!$C$10="",G2425&amp;""=Recherche!$C$10&amp;""),OR(Recherche!$C$11="",E2425=Recherche!$C$11),OR(Recherche!$C$12="",ISNUMBER(SEARCH(Recherche!$C$12,M2425&amp;" "&amp;F2425)))),1,0)</f>
        <v>8</v>
      </c>
    </row>
    <row r="2426" customFormat="false" ht="15" hidden="false" customHeight="false" outlineLevel="0" collapsed="false">
      <c r="A2426" s="19"/>
      <c r="B2426" s="19"/>
      <c r="C2426" s="19"/>
      <c r="D2426" s="19"/>
      <c r="E2426" s="22"/>
      <c r="F2426" s="19"/>
      <c r="G2426" s="26" t="str">
        <f aca="false">IF(D2426="","",IFERROR(VALUE(LEFT(D2426,FIND(" |",D2426&amp;" |")-1)),"?"))</f>
        <v/>
      </c>
      <c r="H2426" s="27" t="str">
        <f aca="false">IF(G2426="","",IF(G2426="?","⚠ pub inconnue",IFERROR(INDEX(Pubs!$B$2:$B$3001,MATCH(G2426,Pubs!$A$2:$A$3001,0))&amp;"","⚠ pub inconnue")))</f>
        <v/>
      </c>
      <c r="I2426" s="27" t="str">
        <f aca="false">IF(OR(G2426="",G2426="?"),"",IFERROR(INDEX(Pubs!$C$2:$C$3001,MATCH(G2426,Pubs!$A$2:$A$3001,0))&amp;"",""))</f>
        <v/>
      </c>
      <c r="J2426" s="27" t="str">
        <f aca="false">IF(OR(G2426="",G2426="?"),"",IFERROR(INDEX(Pubs!$G$2:$G$3001,MATCH(G2426,Pubs!$A$2:$A$3001,0))&amp;"",""))</f>
        <v/>
      </c>
      <c r="K2426" s="28" t="str">
        <f aca="false">IF(OR(G2426="",G2426="?"),"",IFERROR(INDEX(Pubs!$E$2:$E$3001,MATCH(G2426,Pubs!$A$2:$A$3001,0)),""))</f>
        <v/>
      </c>
      <c r="L2426" s="29" t="str">
        <f aca="false">IF(A2426="","",IFERROR(1/(1/INDEX(Numéros!$C$2:$C$3001,MATCH(A2426&amp;"|"&amp;B2426,Numéros!$F$2:$F$3001,0))),""))</f>
        <v/>
      </c>
      <c r="M2426" s="27" t="str">
        <f aca="false">IF(OR(G2426="",G2426="?"),"",IFERROR(INDEX(Pubs!$D$2:$D$3001,MATCH(G2426,Pubs!$A$2:$A$3001,0))&amp;"",""))</f>
        <v/>
      </c>
      <c r="N2426" s="27" t="n">
        <f aca="false">N(N2425)+IF(AND(A2426&lt;&gt;"",OR(Recherche!$C$4="",A2426=Recherche!$C$4),OR(Recherche!$C$5="",B2426&amp;""=Recherche!$C$5&amp;""),OR(Recherche!$C$6="",IFERROR(YEAR(L2426),0)=Recherche!$C$6),OR(Recherche!$C$7="",ISNUMBER(SEARCH(Recherche!$C$7,H2426))),OR(Recherche!$C$8="",J2426=Recherche!$C$8),OR(Recherche!$C$9="",I2426=Recherche!$C$9),OR(Recherche!$C$10="",G2426&amp;""=Recherche!$C$10&amp;""),OR(Recherche!$C$11="",E2426=Recherche!$C$11),OR(Recherche!$C$12="",ISNUMBER(SEARCH(Recherche!$C$12,M2426&amp;" "&amp;F2426)))),1,0)</f>
        <v>8</v>
      </c>
    </row>
    <row r="2427" customFormat="false" ht="15" hidden="false" customHeight="false" outlineLevel="0" collapsed="false">
      <c r="A2427" s="19"/>
      <c r="B2427" s="19"/>
      <c r="C2427" s="19"/>
      <c r="D2427" s="19"/>
      <c r="E2427" s="22"/>
      <c r="F2427" s="19"/>
      <c r="G2427" s="26" t="str">
        <f aca="false">IF(D2427="","",IFERROR(VALUE(LEFT(D2427,FIND(" |",D2427&amp;" |")-1)),"?"))</f>
        <v/>
      </c>
      <c r="H2427" s="27" t="str">
        <f aca="false">IF(G2427="","",IF(G2427="?","⚠ pub inconnue",IFERROR(INDEX(Pubs!$B$2:$B$3001,MATCH(G2427,Pubs!$A$2:$A$3001,0))&amp;"","⚠ pub inconnue")))</f>
        <v/>
      </c>
      <c r="I2427" s="27" t="str">
        <f aca="false">IF(OR(G2427="",G2427="?"),"",IFERROR(INDEX(Pubs!$C$2:$C$3001,MATCH(G2427,Pubs!$A$2:$A$3001,0))&amp;"",""))</f>
        <v/>
      </c>
      <c r="J2427" s="27" t="str">
        <f aca="false">IF(OR(G2427="",G2427="?"),"",IFERROR(INDEX(Pubs!$G$2:$G$3001,MATCH(G2427,Pubs!$A$2:$A$3001,0))&amp;"",""))</f>
        <v/>
      </c>
      <c r="K2427" s="28" t="str">
        <f aca="false">IF(OR(G2427="",G2427="?"),"",IFERROR(INDEX(Pubs!$E$2:$E$3001,MATCH(G2427,Pubs!$A$2:$A$3001,0)),""))</f>
        <v/>
      </c>
      <c r="L2427" s="29" t="str">
        <f aca="false">IF(A2427="","",IFERROR(1/(1/INDEX(Numéros!$C$2:$C$3001,MATCH(A2427&amp;"|"&amp;B2427,Numéros!$F$2:$F$3001,0))),""))</f>
        <v/>
      </c>
      <c r="M2427" s="27" t="str">
        <f aca="false">IF(OR(G2427="",G2427="?"),"",IFERROR(INDEX(Pubs!$D$2:$D$3001,MATCH(G2427,Pubs!$A$2:$A$3001,0))&amp;"",""))</f>
        <v/>
      </c>
      <c r="N2427" s="27" t="n">
        <f aca="false">N(N2426)+IF(AND(A2427&lt;&gt;"",OR(Recherche!$C$4="",A2427=Recherche!$C$4),OR(Recherche!$C$5="",B2427&amp;""=Recherche!$C$5&amp;""),OR(Recherche!$C$6="",IFERROR(YEAR(L2427),0)=Recherche!$C$6),OR(Recherche!$C$7="",ISNUMBER(SEARCH(Recherche!$C$7,H2427))),OR(Recherche!$C$8="",J2427=Recherche!$C$8),OR(Recherche!$C$9="",I2427=Recherche!$C$9),OR(Recherche!$C$10="",G2427&amp;""=Recherche!$C$10&amp;""),OR(Recherche!$C$11="",E2427=Recherche!$C$11),OR(Recherche!$C$12="",ISNUMBER(SEARCH(Recherche!$C$12,M2427&amp;" "&amp;F2427)))),1,0)</f>
        <v>8</v>
      </c>
    </row>
    <row r="2428" customFormat="false" ht="15" hidden="false" customHeight="false" outlineLevel="0" collapsed="false">
      <c r="A2428" s="19"/>
      <c r="B2428" s="19"/>
      <c r="C2428" s="19"/>
      <c r="D2428" s="19"/>
      <c r="E2428" s="22"/>
      <c r="F2428" s="19"/>
      <c r="G2428" s="26" t="str">
        <f aca="false">IF(D2428="","",IFERROR(VALUE(LEFT(D2428,FIND(" |",D2428&amp;" |")-1)),"?"))</f>
        <v/>
      </c>
      <c r="H2428" s="27" t="str">
        <f aca="false">IF(G2428="","",IF(G2428="?","⚠ pub inconnue",IFERROR(INDEX(Pubs!$B$2:$B$3001,MATCH(G2428,Pubs!$A$2:$A$3001,0))&amp;"","⚠ pub inconnue")))</f>
        <v/>
      </c>
      <c r="I2428" s="27" t="str">
        <f aca="false">IF(OR(G2428="",G2428="?"),"",IFERROR(INDEX(Pubs!$C$2:$C$3001,MATCH(G2428,Pubs!$A$2:$A$3001,0))&amp;"",""))</f>
        <v/>
      </c>
      <c r="J2428" s="27" t="str">
        <f aca="false">IF(OR(G2428="",G2428="?"),"",IFERROR(INDEX(Pubs!$G$2:$G$3001,MATCH(G2428,Pubs!$A$2:$A$3001,0))&amp;"",""))</f>
        <v/>
      </c>
      <c r="K2428" s="28" t="str">
        <f aca="false">IF(OR(G2428="",G2428="?"),"",IFERROR(INDEX(Pubs!$E$2:$E$3001,MATCH(G2428,Pubs!$A$2:$A$3001,0)),""))</f>
        <v/>
      </c>
      <c r="L2428" s="29" t="str">
        <f aca="false">IF(A2428="","",IFERROR(1/(1/INDEX(Numéros!$C$2:$C$3001,MATCH(A2428&amp;"|"&amp;B2428,Numéros!$F$2:$F$3001,0))),""))</f>
        <v/>
      </c>
      <c r="M2428" s="27" t="str">
        <f aca="false">IF(OR(G2428="",G2428="?"),"",IFERROR(INDEX(Pubs!$D$2:$D$3001,MATCH(G2428,Pubs!$A$2:$A$3001,0))&amp;"",""))</f>
        <v/>
      </c>
      <c r="N2428" s="27" t="n">
        <f aca="false">N(N2427)+IF(AND(A2428&lt;&gt;"",OR(Recherche!$C$4="",A2428=Recherche!$C$4),OR(Recherche!$C$5="",B2428&amp;""=Recherche!$C$5&amp;""),OR(Recherche!$C$6="",IFERROR(YEAR(L2428),0)=Recherche!$C$6),OR(Recherche!$C$7="",ISNUMBER(SEARCH(Recherche!$C$7,H2428))),OR(Recherche!$C$8="",J2428=Recherche!$C$8),OR(Recherche!$C$9="",I2428=Recherche!$C$9),OR(Recherche!$C$10="",G2428&amp;""=Recherche!$C$10&amp;""),OR(Recherche!$C$11="",E2428=Recherche!$C$11),OR(Recherche!$C$12="",ISNUMBER(SEARCH(Recherche!$C$12,M2428&amp;" "&amp;F2428)))),1,0)</f>
        <v>8</v>
      </c>
    </row>
    <row r="2429" customFormat="false" ht="15" hidden="false" customHeight="false" outlineLevel="0" collapsed="false">
      <c r="A2429" s="19"/>
      <c r="B2429" s="19"/>
      <c r="C2429" s="19"/>
      <c r="D2429" s="19"/>
      <c r="E2429" s="22"/>
      <c r="F2429" s="19"/>
      <c r="G2429" s="26" t="str">
        <f aca="false">IF(D2429="","",IFERROR(VALUE(LEFT(D2429,FIND(" |",D2429&amp;" |")-1)),"?"))</f>
        <v/>
      </c>
      <c r="H2429" s="27" t="str">
        <f aca="false">IF(G2429="","",IF(G2429="?","⚠ pub inconnue",IFERROR(INDEX(Pubs!$B$2:$B$3001,MATCH(G2429,Pubs!$A$2:$A$3001,0))&amp;"","⚠ pub inconnue")))</f>
        <v/>
      </c>
      <c r="I2429" s="27" t="str">
        <f aca="false">IF(OR(G2429="",G2429="?"),"",IFERROR(INDEX(Pubs!$C$2:$C$3001,MATCH(G2429,Pubs!$A$2:$A$3001,0))&amp;"",""))</f>
        <v/>
      </c>
      <c r="J2429" s="27" t="str">
        <f aca="false">IF(OR(G2429="",G2429="?"),"",IFERROR(INDEX(Pubs!$G$2:$G$3001,MATCH(G2429,Pubs!$A$2:$A$3001,0))&amp;"",""))</f>
        <v/>
      </c>
      <c r="K2429" s="28" t="str">
        <f aca="false">IF(OR(G2429="",G2429="?"),"",IFERROR(INDEX(Pubs!$E$2:$E$3001,MATCH(G2429,Pubs!$A$2:$A$3001,0)),""))</f>
        <v/>
      </c>
      <c r="L2429" s="29" t="str">
        <f aca="false">IF(A2429="","",IFERROR(1/(1/INDEX(Numéros!$C$2:$C$3001,MATCH(A2429&amp;"|"&amp;B2429,Numéros!$F$2:$F$3001,0))),""))</f>
        <v/>
      </c>
      <c r="M2429" s="27" t="str">
        <f aca="false">IF(OR(G2429="",G2429="?"),"",IFERROR(INDEX(Pubs!$D$2:$D$3001,MATCH(G2429,Pubs!$A$2:$A$3001,0))&amp;"",""))</f>
        <v/>
      </c>
      <c r="N2429" s="27" t="n">
        <f aca="false">N(N2428)+IF(AND(A2429&lt;&gt;"",OR(Recherche!$C$4="",A2429=Recherche!$C$4),OR(Recherche!$C$5="",B2429&amp;""=Recherche!$C$5&amp;""),OR(Recherche!$C$6="",IFERROR(YEAR(L2429),0)=Recherche!$C$6),OR(Recherche!$C$7="",ISNUMBER(SEARCH(Recherche!$C$7,H2429))),OR(Recherche!$C$8="",J2429=Recherche!$C$8),OR(Recherche!$C$9="",I2429=Recherche!$C$9),OR(Recherche!$C$10="",G2429&amp;""=Recherche!$C$10&amp;""),OR(Recherche!$C$11="",E2429=Recherche!$C$11),OR(Recherche!$C$12="",ISNUMBER(SEARCH(Recherche!$C$12,M2429&amp;" "&amp;F2429)))),1,0)</f>
        <v>8</v>
      </c>
    </row>
    <row r="2430" customFormat="false" ht="15" hidden="false" customHeight="false" outlineLevel="0" collapsed="false">
      <c r="A2430" s="19"/>
      <c r="B2430" s="19"/>
      <c r="C2430" s="19"/>
      <c r="D2430" s="19"/>
      <c r="E2430" s="22"/>
      <c r="F2430" s="19"/>
      <c r="G2430" s="26" t="str">
        <f aca="false">IF(D2430="","",IFERROR(VALUE(LEFT(D2430,FIND(" |",D2430&amp;" |")-1)),"?"))</f>
        <v/>
      </c>
      <c r="H2430" s="27" t="str">
        <f aca="false">IF(G2430="","",IF(G2430="?","⚠ pub inconnue",IFERROR(INDEX(Pubs!$B$2:$B$3001,MATCH(G2430,Pubs!$A$2:$A$3001,0))&amp;"","⚠ pub inconnue")))</f>
        <v/>
      </c>
      <c r="I2430" s="27" t="str">
        <f aca="false">IF(OR(G2430="",G2430="?"),"",IFERROR(INDEX(Pubs!$C$2:$C$3001,MATCH(G2430,Pubs!$A$2:$A$3001,0))&amp;"",""))</f>
        <v/>
      </c>
      <c r="J2430" s="27" t="str">
        <f aca="false">IF(OR(G2430="",G2430="?"),"",IFERROR(INDEX(Pubs!$G$2:$G$3001,MATCH(G2430,Pubs!$A$2:$A$3001,0))&amp;"",""))</f>
        <v/>
      </c>
      <c r="K2430" s="28" t="str">
        <f aca="false">IF(OR(G2430="",G2430="?"),"",IFERROR(INDEX(Pubs!$E$2:$E$3001,MATCH(G2430,Pubs!$A$2:$A$3001,0)),""))</f>
        <v/>
      </c>
      <c r="L2430" s="29" t="str">
        <f aca="false">IF(A2430="","",IFERROR(1/(1/INDEX(Numéros!$C$2:$C$3001,MATCH(A2430&amp;"|"&amp;B2430,Numéros!$F$2:$F$3001,0))),""))</f>
        <v/>
      </c>
      <c r="M2430" s="27" t="str">
        <f aca="false">IF(OR(G2430="",G2430="?"),"",IFERROR(INDEX(Pubs!$D$2:$D$3001,MATCH(G2430,Pubs!$A$2:$A$3001,0))&amp;"",""))</f>
        <v/>
      </c>
      <c r="N2430" s="27" t="n">
        <f aca="false">N(N2429)+IF(AND(A2430&lt;&gt;"",OR(Recherche!$C$4="",A2430=Recherche!$C$4),OR(Recherche!$C$5="",B2430&amp;""=Recherche!$C$5&amp;""),OR(Recherche!$C$6="",IFERROR(YEAR(L2430),0)=Recherche!$C$6),OR(Recherche!$C$7="",ISNUMBER(SEARCH(Recherche!$C$7,H2430))),OR(Recherche!$C$8="",J2430=Recherche!$C$8),OR(Recherche!$C$9="",I2430=Recherche!$C$9),OR(Recherche!$C$10="",G2430&amp;""=Recherche!$C$10&amp;""),OR(Recherche!$C$11="",E2430=Recherche!$C$11),OR(Recherche!$C$12="",ISNUMBER(SEARCH(Recherche!$C$12,M2430&amp;" "&amp;F2430)))),1,0)</f>
        <v>8</v>
      </c>
    </row>
    <row r="2431" customFormat="false" ht="15" hidden="false" customHeight="false" outlineLevel="0" collapsed="false">
      <c r="A2431" s="19"/>
      <c r="B2431" s="19"/>
      <c r="C2431" s="19"/>
      <c r="D2431" s="19"/>
      <c r="E2431" s="22"/>
      <c r="F2431" s="19"/>
      <c r="G2431" s="26" t="str">
        <f aca="false">IF(D2431="","",IFERROR(VALUE(LEFT(D2431,FIND(" |",D2431&amp;" |")-1)),"?"))</f>
        <v/>
      </c>
      <c r="H2431" s="27" t="str">
        <f aca="false">IF(G2431="","",IF(G2431="?","⚠ pub inconnue",IFERROR(INDEX(Pubs!$B$2:$B$3001,MATCH(G2431,Pubs!$A$2:$A$3001,0))&amp;"","⚠ pub inconnue")))</f>
        <v/>
      </c>
      <c r="I2431" s="27" t="str">
        <f aca="false">IF(OR(G2431="",G2431="?"),"",IFERROR(INDEX(Pubs!$C$2:$C$3001,MATCH(G2431,Pubs!$A$2:$A$3001,0))&amp;"",""))</f>
        <v/>
      </c>
      <c r="J2431" s="27" t="str">
        <f aca="false">IF(OR(G2431="",G2431="?"),"",IFERROR(INDEX(Pubs!$G$2:$G$3001,MATCH(G2431,Pubs!$A$2:$A$3001,0))&amp;"",""))</f>
        <v/>
      </c>
      <c r="K2431" s="28" t="str">
        <f aca="false">IF(OR(G2431="",G2431="?"),"",IFERROR(INDEX(Pubs!$E$2:$E$3001,MATCH(G2431,Pubs!$A$2:$A$3001,0)),""))</f>
        <v/>
      </c>
      <c r="L2431" s="29" t="str">
        <f aca="false">IF(A2431="","",IFERROR(1/(1/INDEX(Numéros!$C$2:$C$3001,MATCH(A2431&amp;"|"&amp;B2431,Numéros!$F$2:$F$3001,0))),""))</f>
        <v/>
      </c>
      <c r="M2431" s="27" t="str">
        <f aca="false">IF(OR(G2431="",G2431="?"),"",IFERROR(INDEX(Pubs!$D$2:$D$3001,MATCH(G2431,Pubs!$A$2:$A$3001,0))&amp;"",""))</f>
        <v/>
      </c>
      <c r="N2431" s="27" t="n">
        <f aca="false">N(N2430)+IF(AND(A2431&lt;&gt;"",OR(Recherche!$C$4="",A2431=Recherche!$C$4),OR(Recherche!$C$5="",B2431&amp;""=Recherche!$C$5&amp;""),OR(Recherche!$C$6="",IFERROR(YEAR(L2431),0)=Recherche!$C$6),OR(Recherche!$C$7="",ISNUMBER(SEARCH(Recherche!$C$7,H2431))),OR(Recherche!$C$8="",J2431=Recherche!$C$8),OR(Recherche!$C$9="",I2431=Recherche!$C$9),OR(Recherche!$C$10="",G2431&amp;""=Recherche!$C$10&amp;""),OR(Recherche!$C$11="",E2431=Recherche!$C$11),OR(Recherche!$C$12="",ISNUMBER(SEARCH(Recherche!$C$12,M2431&amp;" "&amp;F2431)))),1,0)</f>
        <v>8</v>
      </c>
    </row>
    <row r="2432" customFormat="false" ht="15" hidden="false" customHeight="false" outlineLevel="0" collapsed="false">
      <c r="A2432" s="19"/>
      <c r="B2432" s="19"/>
      <c r="C2432" s="19"/>
      <c r="D2432" s="19"/>
      <c r="E2432" s="22"/>
      <c r="F2432" s="19"/>
      <c r="G2432" s="26" t="str">
        <f aca="false">IF(D2432="","",IFERROR(VALUE(LEFT(D2432,FIND(" |",D2432&amp;" |")-1)),"?"))</f>
        <v/>
      </c>
      <c r="H2432" s="27" t="str">
        <f aca="false">IF(G2432="","",IF(G2432="?","⚠ pub inconnue",IFERROR(INDEX(Pubs!$B$2:$B$3001,MATCH(G2432,Pubs!$A$2:$A$3001,0))&amp;"","⚠ pub inconnue")))</f>
        <v/>
      </c>
      <c r="I2432" s="27" t="str">
        <f aca="false">IF(OR(G2432="",G2432="?"),"",IFERROR(INDEX(Pubs!$C$2:$C$3001,MATCH(G2432,Pubs!$A$2:$A$3001,0))&amp;"",""))</f>
        <v/>
      </c>
      <c r="J2432" s="27" t="str">
        <f aca="false">IF(OR(G2432="",G2432="?"),"",IFERROR(INDEX(Pubs!$G$2:$G$3001,MATCH(G2432,Pubs!$A$2:$A$3001,0))&amp;"",""))</f>
        <v/>
      </c>
      <c r="K2432" s="28" t="str">
        <f aca="false">IF(OR(G2432="",G2432="?"),"",IFERROR(INDEX(Pubs!$E$2:$E$3001,MATCH(G2432,Pubs!$A$2:$A$3001,0)),""))</f>
        <v/>
      </c>
      <c r="L2432" s="29" t="str">
        <f aca="false">IF(A2432="","",IFERROR(1/(1/INDEX(Numéros!$C$2:$C$3001,MATCH(A2432&amp;"|"&amp;B2432,Numéros!$F$2:$F$3001,0))),""))</f>
        <v/>
      </c>
      <c r="M2432" s="27" t="str">
        <f aca="false">IF(OR(G2432="",G2432="?"),"",IFERROR(INDEX(Pubs!$D$2:$D$3001,MATCH(G2432,Pubs!$A$2:$A$3001,0))&amp;"",""))</f>
        <v/>
      </c>
      <c r="N2432" s="27" t="n">
        <f aca="false">N(N2431)+IF(AND(A2432&lt;&gt;"",OR(Recherche!$C$4="",A2432=Recherche!$C$4),OR(Recherche!$C$5="",B2432&amp;""=Recherche!$C$5&amp;""),OR(Recherche!$C$6="",IFERROR(YEAR(L2432),0)=Recherche!$C$6),OR(Recherche!$C$7="",ISNUMBER(SEARCH(Recherche!$C$7,H2432))),OR(Recherche!$C$8="",J2432=Recherche!$C$8),OR(Recherche!$C$9="",I2432=Recherche!$C$9),OR(Recherche!$C$10="",G2432&amp;""=Recherche!$C$10&amp;""),OR(Recherche!$C$11="",E2432=Recherche!$C$11),OR(Recherche!$C$12="",ISNUMBER(SEARCH(Recherche!$C$12,M2432&amp;" "&amp;F2432)))),1,0)</f>
        <v>8</v>
      </c>
    </row>
    <row r="2433" customFormat="false" ht="15" hidden="false" customHeight="false" outlineLevel="0" collapsed="false">
      <c r="A2433" s="19"/>
      <c r="B2433" s="19"/>
      <c r="C2433" s="19"/>
      <c r="D2433" s="19"/>
      <c r="E2433" s="22"/>
      <c r="F2433" s="19"/>
      <c r="G2433" s="26" t="str">
        <f aca="false">IF(D2433="","",IFERROR(VALUE(LEFT(D2433,FIND(" |",D2433&amp;" |")-1)),"?"))</f>
        <v/>
      </c>
      <c r="H2433" s="27" t="str">
        <f aca="false">IF(G2433="","",IF(G2433="?","⚠ pub inconnue",IFERROR(INDEX(Pubs!$B$2:$B$3001,MATCH(G2433,Pubs!$A$2:$A$3001,0))&amp;"","⚠ pub inconnue")))</f>
        <v/>
      </c>
      <c r="I2433" s="27" t="str">
        <f aca="false">IF(OR(G2433="",G2433="?"),"",IFERROR(INDEX(Pubs!$C$2:$C$3001,MATCH(G2433,Pubs!$A$2:$A$3001,0))&amp;"",""))</f>
        <v/>
      </c>
      <c r="J2433" s="27" t="str">
        <f aca="false">IF(OR(G2433="",G2433="?"),"",IFERROR(INDEX(Pubs!$G$2:$G$3001,MATCH(G2433,Pubs!$A$2:$A$3001,0))&amp;"",""))</f>
        <v/>
      </c>
      <c r="K2433" s="28" t="str">
        <f aca="false">IF(OR(G2433="",G2433="?"),"",IFERROR(INDEX(Pubs!$E$2:$E$3001,MATCH(G2433,Pubs!$A$2:$A$3001,0)),""))</f>
        <v/>
      </c>
      <c r="L2433" s="29" t="str">
        <f aca="false">IF(A2433="","",IFERROR(1/(1/INDEX(Numéros!$C$2:$C$3001,MATCH(A2433&amp;"|"&amp;B2433,Numéros!$F$2:$F$3001,0))),""))</f>
        <v/>
      </c>
      <c r="M2433" s="27" t="str">
        <f aca="false">IF(OR(G2433="",G2433="?"),"",IFERROR(INDEX(Pubs!$D$2:$D$3001,MATCH(G2433,Pubs!$A$2:$A$3001,0))&amp;"",""))</f>
        <v/>
      </c>
      <c r="N2433" s="27" t="n">
        <f aca="false">N(N2432)+IF(AND(A2433&lt;&gt;"",OR(Recherche!$C$4="",A2433=Recherche!$C$4),OR(Recherche!$C$5="",B2433&amp;""=Recherche!$C$5&amp;""),OR(Recherche!$C$6="",IFERROR(YEAR(L2433),0)=Recherche!$C$6),OR(Recherche!$C$7="",ISNUMBER(SEARCH(Recherche!$C$7,H2433))),OR(Recherche!$C$8="",J2433=Recherche!$C$8),OR(Recherche!$C$9="",I2433=Recherche!$C$9),OR(Recherche!$C$10="",G2433&amp;""=Recherche!$C$10&amp;""),OR(Recherche!$C$11="",E2433=Recherche!$C$11),OR(Recherche!$C$12="",ISNUMBER(SEARCH(Recherche!$C$12,M2433&amp;" "&amp;F2433)))),1,0)</f>
        <v>8</v>
      </c>
    </row>
    <row r="2434" customFormat="false" ht="15" hidden="false" customHeight="false" outlineLevel="0" collapsed="false">
      <c r="A2434" s="19"/>
      <c r="B2434" s="19"/>
      <c r="C2434" s="19"/>
      <c r="D2434" s="19"/>
      <c r="E2434" s="22"/>
      <c r="F2434" s="19"/>
      <c r="G2434" s="26" t="str">
        <f aca="false">IF(D2434="","",IFERROR(VALUE(LEFT(D2434,FIND(" |",D2434&amp;" |")-1)),"?"))</f>
        <v/>
      </c>
      <c r="H2434" s="27" t="str">
        <f aca="false">IF(G2434="","",IF(G2434="?","⚠ pub inconnue",IFERROR(INDEX(Pubs!$B$2:$B$3001,MATCH(G2434,Pubs!$A$2:$A$3001,0))&amp;"","⚠ pub inconnue")))</f>
        <v/>
      </c>
      <c r="I2434" s="27" t="str">
        <f aca="false">IF(OR(G2434="",G2434="?"),"",IFERROR(INDEX(Pubs!$C$2:$C$3001,MATCH(G2434,Pubs!$A$2:$A$3001,0))&amp;"",""))</f>
        <v/>
      </c>
      <c r="J2434" s="27" t="str">
        <f aca="false">IF(OR(G2434="",G2434="?"),"",IFERROR(INDEX(Pubs!$G$2:$G$3001,MATCH(G2434,Pubs!$A$2:$A$3001,0))&amp;"",""))</f>
        <v/>
      </c>
      <c r="K2434" s="28" t="str">
        <f aca="false">IF(OR(G2434="",G2434="?"),"",IFERROR(INDEX(Pubs!$E$2:$E$3001,MATCH(G2434,Pubs!$A$2:$A$3001,0)),""))</f>
        <v/>
      </c>
      <c r="L2434" s="29" t="str">
        <f aca="false">IF(A2434="","",IFERROR(1/(1/INDEX(Numéros!$C$2:$C$3001,MATCH(A2434&amp;"|"&amp;B2434,Numéros!$F$2:$F$3001,0))),""))</f>
        <v/>
      </c>
      <c r="M2434" s="27" t="str">
        <f aca="false">IF(OR(G2434="",G2434="?"),"",IFERROR(INDEX(Pubs!$D$2:$D$3001,MATCH(G2434,Pubs!$A$2:$A$3001,0))&amp;"",""))</f>
        <v/>
      </c>
      <c r="N2434" s="27" t="n">
        <f aca="false">N(N2433)+IF(AND(A2434&lt;&gt;"",OR(Recherche!$C$4="",A2434=Recherche!$C$4),OR(Recherche!$C$5="",B2434&amp;""=Recherche!$C$5&amp;""),OR(Recherche!$C$6="",IFERROR(YEAR(L2434),0)=Recherche!$C$6),OR(Recherche!$C$7="",ISNUMBER(SEARCH(Recherche!$C$7,H2434))),OR(Recherche!$C$8="",J2434=Recherche!$C$8),OR(Recherche!$C$9="",I2434=Recherche!$C$9),OR(Recherche!$C$10="",G2434&amp;""=Recherche!$C$10&amp;""),OR(Recherche!$C$11="",E2434=Recherche!$C$11),OR(Recherche!$C$12="",ISNUMBER(SEARCH(Recherche!$C$12,M2434&amp;" "&amp;F2434)))),1,0)</f>
        <v>8</v>
      </c>
    </row>
    <row r="2435" customFormat="false" ht="15" hidden="false" customHeight="false" outlineLevel="0" collapsed="false">
      <c r="A2435" s="19"/>
      <c r="B2435" s="19"/>
      <c r="C2435" s="19"/>
      <c r="D2435" s="19"/>
      <c r="E2435" s="22"/>
      <c r="F2435" s="19"/>
      <c r="G2435" s="26" t="str">
        <f aca="false">IF(D2435="","",IFERROR(VALUE(LEFT(D2435,FIND(" |",D2435&amp;" |")-1)),"?"))</f>
        <v/>
      </c>
      <c r="H2435" s="27" t="str">
        <f aca="false">IF(G2435="","",IF(G2435="?","⚠ pub inconnue",IFERROR(INDEX(Pubs!$B$2:$B$3001,MATCH(G2435,Pubs!$A$2:$A$3001,0))&amp;"","⚠ pub inconnue")))</f>
        <v/>
      </c>
      <c r="I2435" s="27" t="str">
        <f aca="false">IF(OR(G2435="",G2435="?"),"",IFERROR(INDEX(Pubs!$C$2:$C$3001,MATCH(G2435,Pubs!$A$2:$A$3001,0))&amp;"",""))</f>
        <v/>
      </c>
      <c r="J2435" s="27" t="str">
        <f aca="false">IF(OR(G2435="",G2435="?"),"",IFERROR(INDEX(Pubs!$G$2:$G$3001,MATCH(G2435,Pubs!$A$2:$A$3001,0))&amp;"",""))</f>
        <v/>
      </c>
      <c r="K2435" s="28" t="str">
        <f aca="false">IF(OR(G2435="",G2435="?"),"",IFERROR(INDEX(Pubs!$E$2:$E$3001,MATCH(G2435,Pubs!$A$2:$A$3001,0)),""))</f>
        <v/>
      </c>
      <c r="L2435" s="29" t="str">
        <f aca="false">IF(A2435="","",IFERROR(1/(1/INDEX(Numéros!$C$2:$C$3001,MATCH(A2435&amp;"|"&amp;B2435,Numéros!$F$2:$F$3001,0))),""))</f>
        <v/>
      </c>
      <c r="M2435" s="27" t="str">
        <f aca="false">IF(OR(G2435="",G2435="?"),"",IFERROR(INDEX(Pubs!$D$2:$D$3001,MATCH(G2435,Pubs!$A$2:$A$3001,0))&amp;"",""))</f>
        <v/>
      </c>
      <c r="N2435" s="27" t="n">
        <f aca="false">N(N2434)+IF(AND(A2435&lt;&gt;"",OR(Recherche!$C$4="",A2435=Recherche!$C$4),OR(Recherche!$C$5="",B2435&amp;""=Recherche!$C$5&amp;""),OR(Recherche!$C$6="",IFERROR(YEAR(L2435),0)=Recherche!$C$6),OR(Recherche!$C$7="",ISNUMBER(SEARCH(Recherche!$C$7,H2435))),OR(Recherche!$C$8="",J2435=Recherche!$C$8),OR(Recherche!$C$9="",I2435=Recherche!$C$9),OR(Recherche!$C$10="",G2435&amp;""=Recherche!$C$10&amp;""),OR(Recherche!$C$11="",E2435=Recherche!$C$11),OR(Recherche!$C$12="",ISNUMBER(SEARCH(Recherche!$C$12,M2435&amp;" "&amp;F2435)))),1,0)</f>
        <v>8</v>
      </c>
    </row>
    <row r="2436" customFormat="false" ht="15" hidden="false" customHeight="false" outlineLevel="0" collapsed="false">
      <c r="A2436" s="19"/>
      <c r="B2436" s="19"/>
      <c r="C2436" s="19"/>
      <c r="D2436" s="19"/>
      <c r="E2436" s="22"/>
      <c r="F2436" s="19"/>
      <c r="G2436" s="26" t="str">
        <f aca="false">IF(D2436="","",IFERROR(VALUE(LEFT(D2436,FIND(" |",D2436&amp;" |")-1)),"?"))</f>
        <v/>
      </c>
      <c r="H2436" s="27" t="str">
        <f aca="false">IF(G2436="","",IF(G2436="?","⚠ pub inconnue",IFERROR(INDEX(Pubs!$B$2:$B$3001,MATCH(G2436,Pubs!$A$2:$A$3001,0))&amp;"","⚠ pub inconnue")))</f>
        <v/>
      </c>
      <c r="I2436" s="27" t="str">
        <f aca="false">IF(OR(G2436="",G2436="?"),"",IFERROR(INDEX(Pubs!$C$2:$C$3001,MATCH(G2436,Pubs!$A$2:$A$3001,0))&amp;"",""))</f>
        <v/>
      </c>
      <c r="J2436" s="27" t="str">
        <f aca="false">IF(OR(G2436="",G2436="?"),"",IFERROR(INDEX(Pubs!$G$2:$G$3001,MATCH(G2436,Pubs!$A$2:$A$3001,0))&amp;"",""))</f>
        <v/>
      </c>
      <c r="K2436" s="28" t="str">
        <f aca="false">IF(OR(G2436="",G2436="?"),"",IFERROR(INDEX(Pubs!$E$2:$E$3001,MATCH(G2436,Pubs!$A$2:$A$3001,0)),""))</f>
        <v/>
      </c>
      <c r="L2436" s="29" t="str">
        <f aca="false">IF(A2436="","",IFERROR(1/(1/INDEX(Numéros!$C$2:$C$3001,MATCH(A2436&amp;"|"&amp;B2436,Numéros!$F$2:$F$3001,0))),""))</f>
        <v/>
      </c>
      <c r="M2436" s="27" t="str">
        <f aca="false">IF(OR(G2436="",G2436="?"),"",IFERROR(INDEX(Pubs!$D$2:$D$3001,MATCH(G2436,Pubs!$A$2:$A$3001,0))&amp;"",""))</f>
        <v/>
      </c>
      <c r="N2436" s="27" t="n">
        <f aca="false">N(N2435)+IF(AND(A2436&lt;&gt;"",OR(Recherche!$C$4="",A2436=Recherche!$C$4),OR(Recherche!$C$5="",B2436&amp;""=Recherche!$C$5&amp;""),OR(Recherche!$C$6="",IFERROR(YEAR(L2436),0)=Recherche!$C$6),OR(Recherche!$C$7="",ISNUMBER(SEARCH(Recherche!$C$7,H2436))),OR(Recherche!$C$8="",J2436=Recherche!$C$8),OR(Recherche!$C$9="",I2436=Recherche!$C$9),OR(Recherche!$C$10="",G2436&amp;""=Recherche!$C$10&amp;""),OR(Recherche!$C$11="",E2436=Recherche!$C$11),OR(Recherche!$C$12="",ISNUMBER(SEARCH(Recherche!$C$12,M2436&amp;" "&amp;F2436)))),1,0)</f>
        <v>8</v>
      </c>
    </row>
    <row r="2437" customFormat="false" ht="15" hidden="false" customHeight="false" outlineLevel="0" collapsed="false">
      <c r="A2437" s="19"/>
      <c r="B2437" s="19"/>
      <c r="C2437" s="19"/>
      <c r="D2437" s="19"/>
      <c r="E2437" s="22"/>
      <c r="F2437" s="19"/>
      <c r="G2437" s="26" t="str">
        <f aca="false">IF(D2437="","",IFERROR(VALUE(LEFT(D2437,FIND(" |",D2437&amp;" |")-1)),"?"))</f>
        <v/>
      </c>
      <c r="H2437" s="27" t="str">
        <f aca="false">IF(G2437="","",IF(G2437="?","⚠ pub inconnue",IFERROR(INDEX(Pubs!$B$2:$B$3001,MATCH(G2437,Pubs!$A$2:$A$3001,0))&amp;"","⚠ pub inconnue")))</f>
        <v/>
      </c>
      <c r="I2437" s="27" t="str">
        <f aca="false">IF(OR(G2437="",G2437="?"),"",IFERROR(INDEX(Pubs!$C$2:$C$3001,MATCH(G2437,Pubs!$A$2:$A$3001,0))&amp;"",""))</f>
        <v/>
      </c>
      <c r="J2437" s="27" t="str">
        <f aca="false">IF(OR(G2437="",G2437="?"),"",IFERROR(INDEX(Pubs!$G$2:$G$3001,MATCH(G2437,Pubs!$A$2:$A$3001,0))&amp;"",""))</f>
        <v/>
      </c>
      <c r="K2437" s="28" t="str">
        <f aca="false">IF(OR(G2437="",G2437="?"),"",IFERROR(INDEX(Pubs!$E$2:$E$3001,MATCH(G2437,Pubs!$A$2:$A$3001,0)),""))</f>
        <v/>
      </c>
      <c r="L2437" s="29" t="str">
        <f aca="false">IF(A2437="","",IFERROR(1/(1/INDEX(Numéros!$C$2:$C$3001,MATCH(A2437&amp;"|"&amp;B2437,Numéros!$F$2:$F$3001,0))),""))</f>
        <v/>
      </c>
      <c r="M2437" s="27" t="str">
        <f aca="false">IF(OR(G2437="",G2437="?"),"",IFERROR(INDEX(Pubs!$D$2:$D$3001,MATCH(G2437,Pubs!$A$2:$A$3001,0))&amp;"",""))</f>
        <v/>
      </c>
      <c r="N2437" s="27" t="n">
        <f aca="false">N(N2436)+IF(AND(A2437&lt;&gt;"",OR(Recherche!$C$4="",A2437=Recherche!$C$4),OR(Recherche!$C$5="",B2437&amp;""=Recherche!$C$5&amp;""),OR(Recherche!$C$6="",IFERROR(YEAR(L2437),0)=Recherche!$C$6),OR(Recherche!$C$7="",ISNUMBER(SEARCH(Recherche!$C$7,H2437))),OR(Recherche!$C$8="",J2437=Recherche!$C$8),OR(Recherche!$C$9="",I2437=Recherche!$C$9),OR(Recherche!$C$10="",G2437&amp;""=Recherche!$C$10&amp;""),OR(Recherche!$C$11="",E2437=Recherche!$C$11),OR(Recherche!$C$12="",ISNUMBER(SEARCH(Recherche!$C$12,M2437&amp;" "&amp;F2437)))),1,0)</f>
        <v>8</v>
      </c>
    </row>
    <row r="2438" customFormat="false" ht="15" hidden="false" customHeight="false" outlineLevel="0" collapsed="false">
      <c r="A2438" s="19"/>
      <c r="B2438" s="19"/>
      <c r="C2438" s="19"/>
      <c r="D2438" s="19"/>
      <c r="E2438" s="22"/>
      <c r="F2438" s="19"/>
      <c r="G2438" s="26" t="str">
        <f aca="false">IF(D2438="","",IFERROR(VALUE(LEFT(D2438,FIND(" |",D2438&amp;" |")-1)),"?"))</f>
        <v/>
      </c>
      <c r="H2438" s="27" t="str">
        <f aca="false">IF(G2438="","",IF(G2438="?","⚠ pub inconnue",IFERROR(INDEX(Pubs!$B$2:$B$3001,MATCH(G2438,Pubs!$A$2:$A$3001,0))&amp;"","⚠ pub inconnue")))</f>
        <v/>
      </c>
      <c r="I2438" s="27" t="str">
        <f aca="false">IF(OR(G2438="",G2438="?"),"",IFERROR(INDEX(Pubs!$C$2:$C$3001,MATCH(G2438,Pubs!$A$2:$A$3001,0))&amp;"",""))</f>
        <v/>
      </c>
      <c r="J2438" s="27" t="str">
        <f aca="false">IF(OR(G2438="",G2438="?"),"",IFERROR(INDEX(Pubs!$G$2:$G$3001,MATCH(G2438,Pubs!$A$2:$A$3001,0))&amp;"",""))</f>
        <v/>
      </c>
      <c r="K2438" s="28" t="str">
        <f aca="false">IF(OR(G2438="",G2438="?"),"",IFERROR(INDEX(Pubs!$E$2:$E$3001,MATCH(G2438,Pubs!$A$2:$A$3001,0)),""))</f>
        <v/>
      </c>
      <c r="L2438" s="29" t="str">
        <f aca="false">IF(A2438="","",IFERROR(1/(1/INDEX(Numéros!$C$2:$C$3001,MATCH(A2438&amp;"|"&amp;B2438,Numéros!$F$2:$F$3001,0))),""))</f>
        <v/>
      </c>
      <c r="M2438" s="27" t="str">
        <f aca="false">IF(OR(G2438="",G2438="?"),"",IFERROR(INDEX(Pubs!$D$2:$D$3001,MATCH(G2438,Pubs!$A$2:$A$3001,0))&amp;"",""))</f>
        <v/>
      </c>
      <c r="N2438" s="27" t="n">
        <f aca="false">N(N2437)+IF(AND(A2438&lt;&gt;"",OR(Recherche!$C$4="",A2438=Recherche!$C$4),OR(Recherche!$C$5="",B2438&amp;""=Recherche!$C$5&amp;""),OR(Recherche!$C$6="",IFERROR(YEAR(L2438),0)=Recherche!$C$6),OR(Recherche!$C$7="",ISNUMBER(SEARCH(Recherche!$C$7,H2438))),OR(Recherche!$C$8="",J2438=Recherche!$C$8),OR(Recherche!$C$9="",I2438=Recherche!$C$9),OR(Recherche!$C$10="",G2438&amp;""=Recherche!$C$10&amp;""),OR(Recherche!$C$11="",E2438=Recherche!$C$11),OR(Recherche!$C$12="",ISNUMBER(SEARCH(Recherche!$C$12,M2438&amp;" "&amp;F2438)))),1,0)</f>
        <v>8</v>
      </c>
    </row>
    <row r="2439" customFormat="false" ht="15" hidden="false" customHeight="false" outlineLevel="0" collapsed="false">
      <c r="A2439" s="19"/>
      <c r="B2439" s="19"/>
      <c r="C2439" s="19"/>
      <c r="D2439" s="19"/>
      <c r="E2439" s="22"/>
      <c r="F2439" s="19"/>
      <c r="G2439" s="26" t="str">
        <f aca="false">IF(D2439="","",IFERROR(VALUE(LEFT(D2439,FIND(" |",D2439&amp;" |")-1)),"?"))</f>
        <v/>
      </c>
      <c r="H2439" s="27" t="str">
        <f aca="false">IF(G2439="","",IF(G2439="?","⚠ pub inconnue",IFERROR(INDEX(Pubs!$B$2:$B$3001,MATCH(G2439,Pubs!$A$2:$A$3001,0))&amp;"","⚠ pub inconnue")))</f>
        <v/>
      </c>
      <c r="I2439" s="27" t="str">
        <f aca="false">IF(OR(G2439="",G2439="?"),"",IFERROR(INDEX(Pubs!$C$2:$C$3001,MATCH(G2439,Pubs!$A$2:$A$3001,0))&amp;"",""))</f>
        <v/>
      </c>
      <c r="J2439" s="27" t="str">
        <f aca="false">IF(OR(G2439="",G2439="?"),"",IFERROR(INDEX(Pubs!$G$2:$G$3001,MATCH(G2439,Pubs!$A$2:$A$3001,0))&amp;"",""))</f>
        <v/>
      </c>
      <c r="K2439" s="28" t="str">
        <f aca="false">IF(OR(G2439="",G2439="?"),"",IFERROR(INDEX(Pubs!$E$2:$E$3001,MATCH(G2439,Pubs!$A$2:$A$3001,0)),""))</f>
        <v/>
      </c>
      <c r="L2439" s="29" t="str">
        <f aca="false">IF(A2439="","",IFERROR(1/(1/INDEX(Numéros!$C$2:$C$3001,MATCH(A2439&amp;"|"&amp;B2439,Numéros!$F$2:$F$3001,0))),""))</f>
        <v/>
      </c>
      <c r="M2439" s="27" t="str">
        <f aca="false">IF(OR(G2439="",G2439="?"),"",IFERROR(INDEX(Pubs!$D$2:$D$3001,MATCH(G2439,Pubs!$A$2:$A$3001,0))&amp;"",""))</f>
        <v/>
      </c>
      <c r="N2439" s="27" t="n">
        <f aca="false">N(N2438)+IF(AND(A2439&lt;&gt;"",OR(Recherche!$C$4="",A2439=Recherche!$C$4),OR(Recherche!$C$5="",B2439&amp;""=Recherche!$C$5&amp;""),OR(Recherche!$C$6="",IFERROR(YEAR(L2439),0)=Recherche!$C$6),OR(Recherche!$C$7="",ISNUMBER(SEARCH(Recherche!$C$7,H2439))),OR(Recherche!$C$8="",J2439=Recherche!$C$8),OR(Recherche!$C$9="",I2439=Recherche!$C$9),OR(Recherche!$C$10="",G2439&amp;""=Recherche!$C$10&amp;""),OR(Recherche!$C$11="",E2439=Recherche!$C$11),OR(Recherche!$C$12="",ISNUMBER(SEARCH(Recherche!$C$12,M2439&amp;" "&amp;F2439)))),1,0)</f>
        <v>8</v>
      </c>
    </row>
    <row r="2440" customFormat="false" ht="15" hidden="false" customHeight="false" outlineLevel="0" collapsed="false">
      <c r="A2440" s="19"/>
      <c r="B2440" s="19"/>
      <c r="C2440" s="19"/>
      <c r="D2440" s="19"/>
      <c r="E2440" s="22"/>
      <c r="F2440" s="19"/>
      <c r="G2440" s="26" t="str">
        <f aca="false">IF(D2440="","",IFERROR(VALUE(LEFT(D2440,FIND(" |",D2440&amp;" |")-1)),"?"))</f>
        <v/>
      </c>
      <c r="H2440" s="27" t="str">
        <f aca="false">IF(G2440="","",IF(G2440="?","⚠ pub inconnue",IFERROR(INDEX(Pubs!$B$2:$B$3001,MATCH(G2440,Pubs!$A$2:$A$3001,0))&amp;"","⚠ pub inconnue")))</f>
        <v/>
      </c>
      <c r="I2440" s="27" t="str">
        <f aca="false">IF(OR(G2440="",G2440="?"),"",IFERROR(INDEX(Pubs!$C$2:$C$3001,MATCH(G2440,Pubs!$A$2:$A$3001,0))&amp;"",""))</f>
        <v/>
      </c>
      <c r="J2440" s="27" t="str">
        <f aca="false">IF(OR(G2440="",G2440="?"),"",IFERROR(INDEX(Pubs!$G$2:$G$3001,MATCH(G2440,Pubs!$A$2:$A$3001,0))&amp;"",""))</f>
        <v/>
      </c>
      <c r="K2440" s="28" t="str">
        <f aca="false">IF(OR(G2440="",G2440="?"),"",IFERROR(INDEX(Pubs!$E$2:$E$3001,MATCH(G2440,Pubs!$A$2:$A$3001,0)),""))</f>
        <v/>
      </c>
      <c r="L2440" s="29" t="str">
        <f aca="false">IF(A2440="","",IFERROR(1/(1/INDEX(Numéros!$C$2:$C$3001,MATCH(A2440&amp;"|"&amp;B2440,Numéros!$F$2:$F$3001,0))),""))</f>
        <v/>
      </c>
      <c r="M2440" s="27" t="str">
        <f aca="false">IF(OR(G2440="",G2440="?"),"",IFERROR(INDEX(Pubs!$D$2:$D$3001,MATCH(G2440,Pubs!$A$2:$A$3001,0))&amp;"",""))</f>
        <v/>
      </c>
      <c r="N2440" s="27" t="n">
        <f aca="false">N(N2439)+IF(AND(A2440&lt;&gt;"",OR(Recherche!$C$4="",A2440=Recherche!$C$4),OR(Recherche!$C$5="",B2440&amp;""=Recherche!$C$5&amp;""),OR(Recherche!$C$6="",IFERROR(YEAR(L2440),0)=Recherche!$C$6),OR(Recherche!$C$7="",ISNUMBER(SEARCH(Recherche!$C$7,H2440))),OR(Recherche!$C$8="",J2440=Recherche!$C$8),OR(Recherche!$C$9="",I2440=Recherche!$C$9),OR(Recherche!$C$10="",G2440&amp;""=Recherche!$C$10&amp;""),OR(Recherche!$C$11="",E2440=Recherche!$C$11),OR(Recherche!$C$12="",ISNUMBER(SEARCH(Recherche!$C$12,M2440&amp;" "&amp;F2440)))),1,0)</f>
        <v>8</v>
      </c>
    </row>
    <row r="2441" customFormat="false" ht="15" hidden="false" customHeight="false" outlineLevel="0" collapsed="false">
      <c r="A2441" s="19"/>
      <c r="B2441" s="19"/>
      <c r="C2441" s="19"/>
      <c r="D2441" s="19"/>
      <c r="E2441" s="22"/>
      <c r="F2441" s="19"/>
      <c r="G2441" s="26" t="str">
        <f aca="false">IF(D2441="","",IFERROR(VALUE(LEFT(D2441,FIND(" |",D2441&amp;" |")-1)),"?"))</f>
        <v/>
      </c>
      <c r="H2441" s="27" t="str">
        <f aca="false">IF(G2441="","",IF(G2441="?","⚠ pub inconnue",IFERROR(INDEX(Pubs!$B$2:$B$3001,MATCH(G2441,Pubs!$A$2:$A$3001,0))&amp;"","⚠ pub inconnue")))</f>
        <v/>
      </c>
      <c r="I2441" s="27" t="str">
        <f aca="false">IF(OR(G2441="",G2441="?"),"",IFERROR(INDEX(Pubs!$C$2:$C$3001,MATCH(G2441,Pubs!$A$2:$A$3001,0))&amp;"",""))</f>
        <v/>
      </c>
      <c r="J2441" s="27" t="str">
        <f aca="false">IF(OR(G2441="",G2441="?"),"",IFERROR(INDEX(Pubs!$G$2:$G$3001,MATCH(G2441,Pubs!$A$2:$A$3001,0))&amp;"",""))</f>
        <v/>
      </c>
      <c r="K2441" s="28" t="str">
        <f aca="false">IF(OR(G2441="",G2441="?"),"",IFERROR(INDEX(Pubs!$E$2:$E$3001,MATCH(G2441,Pubs!$A$2:$A$3001,0)),""))</f>
        <v/>
      </c>
      <c r="L2441" s="29" t="str">
        <f aca="false">IF(A2441="","",IFERROR(1/(1/INDEX(Numéros!$C$2:$C$3001,MATCH(A2441&amp;"|"&amp;B2441,Numéros!$F$2:$F$3001,0))),""))</f>
        <v/>
      </c>
      <c r="M2441" s="27" t="str">
        <f aca="false">IF(OR(G2441="",G2441="?"),"",IFERROR(INDEX(Pubs!$D$2:$D$3001,MATCH(G2441,Pubs!$A$2:$A$3001,0))&amp;"",""))</f>
        <v/>
      </c>
      <c r="N2441" s="27" t="n">
        <f aca="false">N(N2440)+IF(AND(A2441&lt;&gt;"",OR(Recherche!$C$4="",A2441=Recherche!$C$4),OR(Recherche!$C$5="",B2441&amp;""=Recherche!$C$5&amp;""),OR(Recherche!$C$6="",IFERROR(YEAR(L2441),0)=Recherche!$C$6),OR(Recherche!$C$7="",ISNUMBER(SEARCH(Recherche!$C$7,H2441))),OR(Recherche!$C$8="",J2441=Recherche!$C$8),OR(Recherche!$C$9="",I2441=Recherche!$C$9),OR(Recherche!$C$10="",G2441&amp;""=Recherche!$C$10&amp;""),OR(Recherche!$C$11="",E2441=Recherche!$C$11),OR(Recherche!$C$12="",ISNUMBER(SEARCH(Recherche!$C$12,M2441&amp;" "&amp;F2441)))),1,0)</f>
        <v>8</v>
      </c>
    </row>
    <row r="2442" customFormat="false" ht="15" hidden="false" customHeight="false" outlineLevel="0" collapsed="false">
      <c r="A2442" s="19"/>
      <c r="B2442" s="19"/>
      <c r="C2442" s="19"/>
      <c r="D2442" s="19"/>
      <c r="E2442" s="22"/>
      <c r="F2442" s="19"/>
      <c r="G2442" s="26" t="str">
        <f aca="false">IF(D2442="","",IFERROR(VALUE(LEFT(D2442,FIND(" |",D2442&amp;" |")-1)),"?"))</f>
        <v/>
      </c>
      <c r="H2442" s="27" t="str">
        <f aca="false">IF(G2442="","",IF(G2442="?","⚠ pub inconnue",IFERROR(INDEX(Pubs!$B$2:$B$3001,MATCH(G2442,Pubs!$A$2:$A$3001,0))&amp;"","⚠ pub inconnue")))</f>
        <v/>
      </c>
      <c r="I2442" s="27" t="str">
        <f aca="false">IF(OR(G2442="",G2442="?"),"",IFERROR(INDEX(Pubs!$C$2:$C$3001,MATCH(G2442,Pubs!$A$2:$A$3001,0))&amp;"",""))</f>
        <v/>
      </c>
      <c r="J2442" s="27" t="str">
        <f aca="false">IF(OR(G2442="",G2442="?"),"",IFERROR(INDEX(Pubs!$G$2:$G$3001,MATCH(G2442,Pubs!$A$2:$A$3001,0))&amp;"",""))</f>
        <v/>
      </c>
      <c r="K2442" s="28" t="str">
        <f aca="false">IF(OR(G2442="",G2442="?"),"",IFERROR(INDEX(Pubs!$E$2:$E$3001,MATCH(G2442,Pubs!$A$2:$A$3001,0)),""))</f>
        <v/>
      </c>
      <c r="L2442" s="29" t="str">
        <f aca="false">IF(A2442="","",IFERROR(1/(1/INDEX(Numéros!$C$2:$C$3001,MATCH(A2442&amp;"|"&amp;B2442,Numéros!$F$2:$F$3001,0))),""))</f>
        <v/>
      </c>
      <c r="M2442" s="27" t="str">
        <f aca="false">IF(OR(G2442="",G2442="?"),"",IFERROR(INDEX(Pubs!$D$2:$D$3001,MATCH(G2442,Pubs!$A$2:$A$3001,0))&amp;"",""))</f>
        <v/>
      </c>
      <c r="N2442" s="27" t="n">
        <f aca="false">N(N2441)+IF(AND(A2442&lt;&gt;"",OR(Recherche!$C$4="",A2442=Recherche!$C$4),OR(Recherche!$C$5="",B2442&amp;""=Recherche!$C$5&amp;""),OR(Recherche!$C$6="",IFERROR(YEAR(L2442),0)=Recherche!$C$6),OR(Recherche!$C$7="",ISNUMBER(SEARCH(Recherche!$C$7,H2442))),OR(Recherche!$C$8="",J2442=Recherche!$C$8),OR(Recherche!$C$9="",I2442=Recherche!$C$9),OR(Recherche!$C$10="",G2442&amp;""=Recherche!$C$10&amp;""),OR(Recherche!$C$11="",E2442=Recherche!$C$11),OR(Recherche!$C$12="",ISNUMBER(SEARCH(Recherche!$C$12,M2442&amp;" "&amp;F2442)))),1,0)</f>
        <v>8</v>
      </c>
    </row>
    <row r="2443" customFormat="false" ht="15" hidden="false" customHeight="false" outlineLevel="0" collapsed="false">
      <c r="A2443" s="19"/>
      <c r="B2443" s="19"/>
      <c r="C2443" s="19"/>
      <c r="D2443" s="19"/>
      <c r="E2443" s="22"/>
      <c r="F2443" s="19"/>
      <c r="G2443" s="26" t="str">
        <f aca="false">IF(D2443="","",IFERROR(VALUE(LEFT(D2443,FIND(" |",D2443&amp;" |")-1)),"?"))</f>
        <v/>
      </c>
      <c r="H2443" s="27" t="str">
        <f aca="false">IF(G2443="","",IF(G2443="?","⚠ pub inconnue",IFERROR(INDEX(Pubs!$B$2:$B$3001,MATCH(G2443,Pubs!$A$2:$A$3001,0))&amp;"","⚠ pub inconnue")))</f>
        <v/>
      </c>
      <c r="I2443" s="27" t="str">
        <f aca="false">IF(OR(G2443="",G2443="?"),"",IFERROR(INDEX(Pubs!$C$2:$C$3001,MATCH(G2443,Pubs!$A$2:$A$3001,0))&amp;"",""))</f>
        <v/>
      </c>
      <c r="J2443" s="27" t="str">
        <f aca="false">IF(OR(G2443="",G2443="?"),"",IFERROR(INDEX(Pubs!$G$2:$G$3001,MATCH(G2443,Pubs!$A$2:$A$3001,0))&amp;"",""))</f>
        <v/>
      </c>
      <c r="K2443" s="28" t="str">
        <f aca="false">IF(OR(G2443="",G2443="?"),"",IFERROR(INDEX(Pubs!$E$2:$E$3001,MATCH(G2443,Pubs!$A$2:$A$3001,0)),""))</f>
        <v/>
      </c>
      <c r="L2443" s="29" t="str">
        <f aca="false">IF(A2443="","",IFERROR(1/(1/INDEX(Numéros!$C$2:$C$3001,MATCH(A2443&amp;"|"&amp;B2443,Numéros!$F$2:$F$3001,0))),""))</f>
        <v/>
      </c>
      <c r="M2443" s="27" t="str">
        <f aca="false">IF(OR(G2443="",G2443="?"),"",IFERROR(INDEX(Pubs!$D$2:$D$3001,MATCH(G2443,Pubs!$A$2:$A$3001,0))&amp;"",""))</f>
        <v/>
      </c>
      <c r="N2443" s="27" t="n">
        <f aca="false">N(N2442)+IF(AND(A2443&lt;&gt;"",OR(Recherche!$C$4="",A2443=Recherche!$C$4),OR(Recherche!$C$5="",B2443&amp;""=Recherche!$C$5&amp;""),OR(Recherche!$C$6="",IFERROR(YEAR(L2443),0)=Recherche!$C$6),OR(Recherche!$C$7="",ISNUMBER(SEARCH(Recherche!$C$7,H2443))),OR(Recherche!$C$8="",J2443=Recherche!$C$8),OR(Recherche!$C$9="",I2443=Recherche!$C$9),OR(Recherche!$C$10="",G2443&amp;""=Recherche!$C$10&amp;""),OR(Recherche!$C$11="",E2443=Recherche!$C$11),OR(Recherche!$C$12="",ISNUMBER(SEARCH(Recherche!$C$12,M2443&amp;" "&amp;F2443)))),1,0)</f>
        <v>8</v>
      </c>
    </row>
    <row r="2444" customFormat="false" ht="15" hidden="false" customHeight="false" outlineLevel="0" collapsed="false">
      <c r="A2444" s="19"/>
      <c r="B2444" s="19"/>
      <c r="C2444" s="19"/>
      <c r="D2444" s="19"/>
      <c r="E2444" s="22"/>
      <c r="F2444" s="19"/>
      <c r="G2444" s="26" t="str">
        <f aca="false">IF(D2444="","",IFERROR(VALUE(LEFT(D2444,FIND(" |",D2444&amp;" |")-1)),"?"))</f>
        <v/>
      </c>
      <c r="H2444" s="27" t="str">
        <f aca="false">IF(G2444="","",IF(G2444="?","⚠ pub inconnue",IFERROR(INDEX(Pubs!$B$2:$B$3001,MATCH(G2444,Pubs!$A$2:$A$3001,0))&amp;"","⚠ pub inconnue")))</f>
        <v/>
      </c>
      <c r="I2444" s="27" t="str">
        <f aca="false">IF(OR(G2444="",G2444="?"),"",IFERROR(INDEX(Pubs!$C$2:$C$3001,MATCH(G2444,Pubs!$A$2:$A$3001,0))&amp;"",""))</f>
        <v/>
      </c>
      <c r="J2444" s="27" t="str">
        <f aca="false">IF(OR(G2444="",G2444="?"),"",IFERROR(INDEX(Pubs!$G$2:$G$3001,MATCH(G2444,Pubs!$A$2:$A$3001,0))&amp;"",""))</f>
        <v/>
      </c>
      <c r="K2444" s="28" t="str">
        <f aca="false">IF(OR(G2444="",G2444="?"),"",IFERROR(INDEX(Pubs!$E$2:$E$3001,MATCH(G2444,Pubs!$A$2:$A$3001,0)),""))</f>
        <v/>
      </c>
      <c r="L2444" s="29" t="str">
        <f aca="false">IF(A2444="","",IFERROR(1/(1/INDEX(Numéros!$C$2:$C$3001,MATCH(A2444&amp;"|"&amp;B2444,Numéros!$F$2:$F$3001,0))),""))</f>
        <v/>
      </c>
      <c r="M2444" s="27" t="str">
        <f aca="false">IF(OR(G2444="",G2444="?"),"",IFERROR(INDEX(Pubs!$D$2:$D$3001,MATCH(G2444,Pubs!$A$2:$A$3001,0))&amp;"",""))</f>
        <v/>
      </c>
      <c r="N2444" s="27" t="n">
        <f aca="false">N(N2443)+IF(AND(A2444&lt;&gt;"",OR(Recherche!$C$4="",A2444=Recherche!$C$4),OR(Recherche!$C$5="",B2444&amp;""=Recherche!$C$5&amp;""),OR(Recherche!$C$6="",IFERROR(YEAR(L2444),0)=Recherche!$C$6),OR(Recherche!$C$7="",ISNUMBER(SEARCH(Recherche!$C$7,H2444))),OR(Recherche!$C$8="",J2444=Recherche!$C$8),OR(Recherche!$C$9="",I2444=Recherche!$C$9),OR(Recherche!$C$10="",G2444&amp;""=Recherche!$C$10&amp;""),OR(Recherche!$C$11="",E2444=Recherche!$C$11),OR(Recherche!$C$12="",ISNUMBER(SEARCH(Recherche!$C$12,M2444&amp;" "&amp;F2444)))),1,0)</f>
        <v>8</v>
      </c>
    </row>
    <row r="2445" customFormat="false" ht="15" hidden="false" customHeight="false" outlineLevel="0" collapsed="false">
      <c r="A2445" s="19"/>
      <c r="B2445" s="19"/>
      <c r="C2445" s="19"/>
      <c r="D2445" s="19"/>
      <c r="E2445" s="22"/>
      <c r="F2445" s="19"/>
      <c r="G2445" s="26" t="str">
        <f aca="false">IF(D2445="","",IFERROR(VALUE(LEFT(D2445,FIND(" |",D2445&amp;" |")-1)),"?"))</f>
        <v/>
      </c>
      <c r="H2445" s="27" t="str">
        <f aca="false">IF(G2445="","",IF(G2445="?","⚠ pub inconnue",IFERROR(INDEX(Pubs!$B$2:$B$3001,MATCH(G2445,Pubs!$A$2:$A$3001,0))&amp;"","⚠ pub inconnue")))</f>
        <v/>
      </c>
      <c r="I2445" s="27" t="str">
        <f aca="false">IF(OR(G2445="",G2445="?"),"",IFERROR(INDEX(Pubs!$C$2:$C$3001,MATCH(G2445,Pubs!$A$2:$A$3001,0))&amp;"",""))</f>
        <v/>
      </c>
      <c r="J2445" s="27" t="str">
        <f aca="false">IF(OR(G2445="",G2445="?"),"",IFERROR(INDEX(Pubs!$G$2:$G$3001,MATCH(G2445,Pubs!$A$2:$A$3001,0))&amp;"",""))</f>
        <v/>
      </c>
      <c r="K2445" s="28" t="str">
        <f aca="false">IF(OR(G2445="",G2445="?"),"",IFERROR(INDEX(Pubs!$E$2:$E$3001,MATCH(G2445,Pubs!$A$2:$A$3001,0)),""))</f>
        <v/>
      </c>
      <c r="L2445" s="29" t="str">
        <f aca="false">IF(A2445="","",IFERROR(1/(1/INDEX(Numéros!$C$2:$C$3001,MATCH(A2445&amp;"|"&amp;B2445,Numéros!$F$2:$F$3001,0))),""))</f>
        <v/>
      </c>
      <c r="M2445" s="27" t="str">
        <f aca="false">IF(OR(G2445="",G2445="?"),"",IFERROR(INDEX(Pubs!$D$2:$D$3001,MATCH(G2445,Pubs!$A$2:$A$3001,0))&amp;"",""))</f>
        <v/>
      </c>
      <c r="N2445" s="27" t="n">
        <f aca="false">N(N2444)+IF(AND(A2445&lt;&gt;"",OR(Recherche!$C$4="",A2445=Recherche!$C$4),OR(Recherche!$C$5="",B2445&amp;""=Recherche!$C$5&amp;""),OR(Recherche!$C$6="",IFERROR(YEAR(L2445),0)=Recherche!$C$6),OR(Recherche!$C$7="",ISNUMBER(SEARCH(Recherche!$C$7,H2445))),OR(Recherche!$C$8="",J2445=Recherche!$C$8),OR(Recherche!$C$9="",I2445=Recherche!$C$9),OR(Recherche!$C$10="",G2445&amp;""=Recherche!$C$10&amp;""),OR(Recherche!$C$11="",E2445=Recherche!$C$11),OR(Recherche!$C$12="",ISNUMBER(SEARCH(Recherche!$C$12,M2445&amp;" "&amp;F2445)))),1,0)</f>
        <v>8</v>
      </c>
    </row>
    <row r="2446" customFormat="false" ht="15" hidden="false" customHeight="false" outlineLevel="0" collapsed="false">
      <c r="A2446" s="19"/>
      <c r="B2446" s="19"/>
      <c r="C2446" s="19"/>
      <c r="D2446" s="19"/>
      <c r="E2446" s="22"/>
      <c r="F2446" s="19"/>
      <c r="G2446" s="26" t="str">
        <f aca="false">IF(D2446="","",IFERROR(VALUE(LEFT(D2446,FIND(" |",D2446&amp;" |")-1)),"?"))</f>
        <v/>
      </c>
      <c r="H2446" s="27" t="str">
        <f aca="false">IF(G2446="","",IF(G2446="?","⚠ pub inconnue",IFERROR(INDEX(Pubs!$B$2:$B$3001,MATCH(G2446,Pubs!$A$2:$A$3001,0))&amp;"","⚠ pub inconnue")))</f>
        <v/>
      </c>
      <c r="I2446" s="27" t="str">
        <f aca="false">IF(OR(G2446="",G2446="?"),"",IFERROR(INDEX(Pubs!$C$2:$C$3001,MATCH(G2446,Pubs!$A$2:$A$3001,0))&amp;"",""))</f>
        <v/>
      </c>
      <c r="J2446" s="27" t="str">
        <f aca="false">IF(OR(G2446="",G2446="?"),"",IFERROR(INDEX(Pubs!$G$2:$G$3001,MATCH(G2446,Pubs!$A$2:$A$3001,0))&amp;"",""))</f>
        <v/>
      </c>
      <c r="K2446" s="28" t="str">
        <f aca="false">IF(OR(G2446="",G2446="?"),"",IFERROR(INDEX(Pubs!$E$2:$E$3001,MATCH(G2446,Pubs!$A$2:$A$3001,0)),""))</f>
        <v/>
      </c>
      <c r="L2446" s="29" t="str">
        <f aca="false">IF(A2446="","",IFERROR(1/(1/INDEX(Numéros!$C$2:$C$3001,MATCH(A2446&amp;"|"&amp;B2446,Numéros!$F$2:$F$3001,0))),""))</f>
        <v/>
      </c>
      <c r="M2446" s="27" t="str">
        <f aca="false">IF(OR(G2446="",G2446="?"),"",IFERROR(INDEX(Pubs!$D$2:$D$3001,MATCH(G2446,Pubs!$A$2:$A$3001,0))&amp;"",""))</f>
        <v/>
      </c>
      <c r="N2446" s="27" t="n">
        <f aca="false">N(N2445)+IF(AND(A2446&lt;&gt;"",OR(Recherche!$C$4="",A2446=Recherche!$C$4),OR(Recherche!$C$5="",B2446&amp;""=Recherche!$C$5&amp;""),OR(Recherche!$C$6="",IFERROR(YEAR(L2446),0)=Recherche!$C$6),OR(Recherche!$C$7="",ISNUMBER(SEARCH(Recherche!$C$7,H2446))),OR(Recherche!$C$8="",J2446=Recherche!$C$8),OR(Recherche!$C$9="",I2446=Recherche!$C$9),OR(Recherche!$C$10="",G2446&amp;""=Recherche!$C$10&amp;""),OR(Recherche!$C$11="",E2446=Recherche!$C$11),OR(Recherche!$C$12="",ISNUMBER(SEARCH(Recherche!$C$12,M2446&amp;" "&amp;F2446)))),1,0)</f>
        <v>8</v>
      </c>
    </row>
    <row r="2447" customFormat="false" ht="15" hidden="false" customHeight="false" outlineLevel="0" collapsed="false">
      <c r="A2447" s="19"/>
      <c r="B2447" s="19"/>
      <c r="C2447" s="19"/>
      <c r="D2447" s="19"/>
      <c r="E2447" s="22"/>
      <c r="F2447" s="19"/>
      <c r="G2447" s="26" t="str">
        <f aca="false">IF(D2447="","",IFERROR(VALUE(LEFT(D2447,FIND(" |",D2447&amp;" |")-1)),"?"))</f>
        <v/>
      </c>
      <c r="H2447" s="27" t="str">
        <f aca="false">IF(G2447="","",IF(G2447="?","⚠ pub inconnue",IFERROR(INDEX(Pubs!$B$2:$B$3001,MATCH(G2447,Pubs!$A$2:$A$3001,0))&amp;"","⚠ pub inconnue")))</f>
        <v/>
      </c>
      <c r="I2447" s="27" t="str">
        <f aca="false">IF(OR(G2447="",G2447="?"),"",IFERROR(INDEX(Pubs!$C$2:$C$3001,MATCH(G2447,Pubs!$A$2:$A$3001,0))&amp;"",""))</f>
        <v/>
      </c>
      <c r="J2447" s="27" t="str">
        <f aca="false">IF(OR(G2447="",G2447="?"),"",IFERROR(INDEX(Pubs!$G$2:$G$3001,MATCH(G2447,Pubs!$A$2:$A$3001,0))&amp;"",""))</f>
        <v/>
      </c>
      <c r="K2447" s="28" t="str">
        <f aca="false">IF(OR(G2447="",G2447="?"),"",IFERROR(INDEX(Pubs!$E$2:$E$3001,MATCH(G2447,Pubs!$A$2:$A$3001,0)),""))</f>
        <v/>
      </c>
      <c r="L2447" s="29" t="str">
        <f aca="false">IF(A2447="","",IFERROR(1/(1/INDEX(Numéros!$C$2:$C$3001,MATCH(A2447&amp;"|"&amp;B2447,Numéros!$F$2:$F$3001,0))),""))</f>
        <v/>
      </c>
      <c r="M2447" s="27" t="str">
        <f aca="false">IF(OR(G2447="",G2447="?"),"",IFERROR(INDEX(Pubs!$D$2:$D$3001,MATCH(G2447,Pubs!$A$2:$A$3001,0))&amp;"",""))</f>
        <v/>
      </c>
      <c r="N2447" s="27" t="n">
        <f aca="false">N(N2446)+IF(AND(A2447&lt;&gt;"",OR(Recherche!$C$4="",A2447=Recherche!$C$4),OR(Recherche!$C$5="",B2447&amp;""=Recherche!$C$5&amp;""),OR(Recherche!$C$6="",IFERROR(YEAR(L2447),0)=Recherche!$C$6),OR(Recherche!$C$7="",ISNUMBER(SEARCH(Recherche!$C$7,H2447))),OR(Recherche!$C$8="",J2447=Recherche!$C$8),OR(Recherche!$C$9="",I2447=Recherche!$C$9),OR(Recherche!$C$10="",G2447&amp;""=Recherche!$C$10&amp;""),OR(Recherche!$C$11="",E2447=Recherche!$C$11),OR(Recherche!$C$12="",ISNUMBER(SEARCH(Recherche!$C$12,M2447&amp;" "&amp;F2447)))),1,0)</f>
        <v>8</v>
      </c>
    </row>
    <row r="2448" customFormat="false" ht="15" hidden="false" customHeight="false" outlineLevel="0" collapsed="false">
      <c r="A2448" s="19"/>
      <c r="B2448" s="19"/>
      <c r="C2448" s="19"/>
      <c r="D2448" s="19"/>
      <c r="E2448" s="22"/>
      <c r="F2448" s="19"/>
      <c r="G2448" s="26" t="str">
        <f aca="false">IF(D2448="","",IFERROR(VALUE(LEFT(D2448,FIND(" |",D2448&amp;" |")-1)),"?"))</f>
        <v/>
      </c>
      <c r="H2448" s="27" t="str">
        <f aca="false">IF(G2448="","",IF(G2448="?","⚠ pub inconnue",IFERROR(INDEX(Pubs!$B$2:$B$3001,MATCH(G2448,Pubs!$A$2:$A$3001,0))&amp;"","⚠ pub inconnue")))</f>
        <v/>
      </c>
      <c r="I2448" s="27" t="str">
        <f aca="false">IF(OR(G2448="",G2448="?"),"",IFERROR(INDEX(Pubs!$C$2:$C$3001,MATCH(G2448,Pubs!$A$2:$A$3001,0))&amp;"",""))</f>
        <v/>
      </c>
      <c r="J2448" s="27" t="str">
        <f aca="false">IF(OR(G2448="",G2448="?"),"",IFERROR(INDEX(Pubs!$G$2:$G$3001,MATCH(G2448,Pubs!$A$2:$A$3001,0))&amp;"",""))</f>
        <v/>
      </c>
      <c r="K2448" s="28" t="str">
        <f aca="false">IF(OR(G2448="",G2448="?"),"",IFERROR(INDEX(Pubs!$E$2:$E$3001,MATCH(G2448,Pubs!$A$2:$A$3001,0)),""))</f>
        <v/>
      </c>
      <c r="L2448" s="29" t="str">
        <f aca="false">IF(A2448="","",IFERROR(1/(1/INDEX(Numéros!$C$2:$C$3001,MATCH(A2448&amp;"|"&amp;B2448,Numéros!$F$2:$F$3001,0))),""))</f>
        <v/>
      </c>
      <c r="M2448" s="27" t="str">
        <f aca="false">IF(OR(G2448="",G2448="?"),"",IFERROR(INDEX(Pubs!$D$2:$D$3001,MATCH(G2448,Pubs!$A$2:$A$3001,0))&amp;"",""))</f>
        <v/>
      </c>
      <c r="N2448" s="27" t="n">
        <f aca="false">N(N2447)+IF(AND(A2448&lt;&gt;"",OR(Recherche!$C$4="",A2448=Recherche!$C$4),OR(Recherche!$C$5="",B2448&amp;""=Recherche!$C$5&amp;""),OR(Recherche!$C$6="",IFERROR(YEAR(L2448),0)=Recherche!$C$6),OR(Recherche!$C$7="",ISNUMBER(SEARCH(Recherche!$C$7,H2448))),OR(Recherche!$C$8="",J2448=Recherche!$C$8),OR(Recherche!$C$9="",I2448=Recherche!$C$9),OR(Recherche!$C$10="",G2448&amp;""=Recherche!$C$10&amp;""),OR(Recherche!$C$11="",E2448=Recherche!$C$11),OR(Recherche!$C$12="",ISNUMBER(SEARCH(Recherche!$C$12,M2448&amp;" "&amp;F2448)))),1,0)</f>
        <v>8</v>
      </c>
    </row>
    <row r="2449" customFormat="false" ht="15" hidden="false" customHeight="false" outlineLevel="0" collapsed="false">
      <c r="A2449" s="19"/>
      <c r="B2449" s="19"/>
      <c r="C2449" s="19"/>
      <c r="D2449" s="19"/>
      <c r="E2449" s="22"/>
      <c r="F2449" s="19"/>
      <c r="G2449" s="26" t="str">
        <f aca="false">IF(D2449="","",IFERROR(VALUE(LEFT(D2449,FIND(" |",D2449&amp;" |")-1)),"?"))</f>
        <v/>
      </c>
      <c r="H2449" s="27" t="str">
        <f aca="false">IF(G2449="","",IF(G2449="?","⚠ pub inconnue",IFERROR(INDEX(Pubs!$B$2:$B$3001,MATCH(G2449,Pubs!$A$2:$A$3001,0))&amp;"","⚠ pub inconnue")))</f>
        <v/>
      </c>
      <c r="I2449" s="27" t="str">
        <f aca="false">IF(OR(G2449="",G2449="?"),"",IFERROR(INDEX(Pubs!$C$2:$C$3001,MATCH(G2449,Pubs!$A$2:$A$3001,0))&amp;"",""))</f>
        <v/>
      </c>
      <c r="J2449" s="27" t="str">
        <f aca="false">IF(OR(G2449="",G2449="?"),"",IFERROR(INDEX(Pubs!$G$2:$G$3001,MATCH(G2449,Pubs!$A$2:$A$3001,0))&amp;"",""))</f>
        <v/>
      </c>
      <c r="K2449" s="28" t="str">
        <f aca="false">IF(OR(G2449="",G2449="?"),"",IFERROR(INDEX(Pubs!$E$2:$E$3001,MATCH(G2449,Pubs!$A$2:$A$3001,0)),""))</f>
        <v/>
      </c>
      <c r="L2449" s="29" t="str">
        <f aca="false">IF(A2449="","",IFERROR(1/(1/INDEX(Numéros!$C$2:$C$3001,MATCH(A2449&amp;"|"&amp;B2449,Numéros!$F$2:$F$3001,0))),""))</f>
        <v/>
      </c>
      <c r="M2449" s="27" t="str">
        <f aca="false">IF(OR(G2449="",G2449="?"),"",IFERROR(INDEX(Pubs!$D$2:$D$3001,MATCH(G2449,Pubs!$A$2:$A$3001,0))&amp;"",""))</f>
        <v/>
      </c>
      <c r="N2449" s="27" t="n">
        <f aca="false">N(N2448)+IF(AND(A2449&lt;&gt;"",OR(Recherche!$C$4="",A2449=Recherche!$C$4),OR(Recherche!$C$5="",B2449&amp;""=Recherche!$C$5&amp;""),OR(Recherche!$C$6="",IFERROR(YEAR(L2449),0)=Recherche!$C$6),OR(Recherche!$C$7="",ISNUMBER(SEARCH(Recherche!$C$7,H2449))),OR(Recherche!$C$8="",J2449=Recherche!$C$8),OR(Recherche!$C$9="",I2449=Recherche!$C$9),OR(Recherche!$C$10="",G2449&amp;""=Recherche!$C$10&amp;""),OR(Recherche!$C$11="",E2449=Recherche!$C$11),OR(Recherche!$C$12="",ISNUMBER(SEARCH(Recherche!$C$12,M2449&amp;" "&amp;F2449)))),1,0)</f>
        <v>8</v>
      </c>
    </row>
    <row r="2450" customFormat="false" ht="15" hidden="false" customHeight="false" outlineLevel="0" collapsed="false">
      <c r="A2450" s="19"/>
      <c r="B2450" s="19"/>
      <c r="C2450" s="19"/>
      <c r="D2450" s="19"/>
      <c r="E2450" s="22"/>
      <c r="F2450" s="19"/>
      <c r="G2450" s="26" t="str">
        <f aca="false">IF(D2450="","",IFERROR(VALUE(LEFT(D2450,FIND(" |",D2450&amp;" |")-1)),"?"))</f>
        <v/>
      </c>
      <c r="H2450" s="27" t="str">
        <f aca="false">IF(G2450="","",IF(G2450="?","⚠ pub inconnue",IFERROR(INDEX(Pubs!$B$2:$B$3001,MATCH(G2450,Pubs!$A$2:$A$3001,0))&amp;"","⚠ pub inconnue")))</f>
        <v/>
      </c>
      <c r="I2450" s="27" t="str">
        <f aca="false">IF(OR(G2450="",G2450="?"),"",IFERROR(INDEX(Pubs!$C$2:$C$3001,MATCH(G2450,Pubs!$A$2:$A$3001,0))&amp;"",""))</f>
        <v/>
      </c>
      <c r="J2450" s="27" t="str">
        <f aca="false">IF(OR(G2450="",G2450="?"),"",IFERROR(INDEX(Pubs!$G$2:$G$3001,MATCH(G2450,Pubs!$A$2:$A$3001,0))&amp;"",""))</f>
        <v/>
      </c>
      <c r="K2450" s="28" t="str">
        <f aca="false">IF(OR(G2450="",G2450="?"),"",IFERROR(INDEX(Pubs!$E$2:$E$3001,MATCH(G2450,Pubs!$A$2:$A$3001,0)),""))</f>
        <v/>
      </c>
      <c r="L2450" s="29" t="str">
        <f aca="false">IF(A2450="","",IFERROR(1/(1/INDEX(Numéros!$C$2:$C$3001,MATCH(A2450&amp;"|"&amp;B2450,Numéros!$F$2:$F$3001,0))),""))</f>
        <v/>
      </c>
      <c r="M2450" s="27" t="str">
        <f aca="false">IF(OR(G2450="",G2450="?"),"",IFERROR(INDEX(Pubs!$D$2:$D$3001,MATCH(G2450,Pubs!$A$2:$A$3001,0))&amp;"",""))</f>
        <v/>
      </c>
      <c r="N2450" s="27" t="n">
        <f aca="false">N(N2449)+IF(AND(A2450&lt;&gt;"",OR(Recherche!$C$4="",A2450=Recherche!$C$4),OR(Recherche!$C$5="",B2450&amp;""=Recherche!$C$5&amp;""),OR(Recherche!$C$6="",IFERROR(YEAR(L2450),0)=Recherche!$C$6),OR(Recherche!$C$7="",ISNUMBER(SEARCH(Recherche!$C$7,H2450))),OR(Recherche!$C$8="",J2450=Recherche!$C$8),OR(Recherche!$C$9="",I2450=Recherche!$C$9),OR(Recherche!$C$10="",G2450&amp;""=Recherche!$C$10&amp;""),OR(Recherche!$C$11="",E2450=Recherche!$C$11),OR(Recherche!$C$12="",ISNUMBER(SEARCH(Recherche!$C$12,M2450&amp;" "&amp;F2450)))),1,0)</f>
        <v>8</v>
      </c>
    </row>
    <row r="2451" customFormat="false" ht="15" hidden="false" customHeight="false" outlineLevel="0" collapsed="false">
      <c r="A2451" s="19"/>
      <c r="B2451" s="19"/>
      <c r="C2451" s="19"/>
      <c r="D2451" s="19"/>
      <c r="E2451" s="22"/>
      <c r="F2451" s="19"/>
      <c r="G2451" s="26" t="str">
        <f aca="false">IF(D2451="","",IFERROR(VALUE(LEFT(D2451,FIND(" |",D2451&amp;" |")-1)),"?"))</f>
        <v/>
      </c>
      <c r="H2451" s="27" t="str">
        <f aca="false">IF(G2451="","",IF(G2451="?","⚠ pub inconnue",IFERROR(INDEX(Pubs!$B$2:$B$3001,MATCH(G2451,Pubs!$A$2:$A$3001,0))&amp;"","⚠ pub inconnue")))</f>
        <v/>
      </c>
      <c r="I2451" s="27" t="str">
        <f aca="false">IF(OR(G2451="",G2451="?"),"",IFERROR(INDEX(Pubs!$C$2:$C$3001,MATCH(G2451,Pubs!$A$2:$A$3001,0))&amp;"",""))</f>
        <v/>
      </c>
      <c r="J2451" s="27" t="str">
        <f aca="false">IF(OR(G2451="",G2451="?"),"",IFERROR(INDEX(Pubs!$G$2:$G$3001,MATCH(G2451,Pubs!$A$2:$A$3001,0))&amp;"",""))</f>
        <v/>
      </c>
      <c r="K2451" s="28" t="str">
        <f aca="false">IF(OR(G2451="",G2451="?"),"",IFERROR(INDEX(Pubs!$E$2:$E$3001,MATCH(G2451,Pubs!$A$2:$A$3001,0)),""))</f>
        <v/>
      </c>
      <c r="L2451" s="29" t="str">
        <f aca="false">IF(A2451="","",IFERROR(1/(1/INDEX(Numéros!$C$2:$C$3001,MATCH(A2451&amp;"|"&amp;B2451,Numéros!$F$2:$F$3001,0))),""))</f>
        <v/>
      </c>
      <c r="M2451" s="27" t="str">
        <f aca="false">IF(OR(G2451="",G2451="?"),"",IFERROR(INDEX(Pubs!$D$2:$D$3001,MATCH(G2451,Pubs!$A$2:$A$3001,0))&amp;"",""))</f>
        <v/>
      </c>
      <c r="N2451" s="27" t="n">
        <f aca="false">N(N2450)+IF(AND(A2451&lt;&gt;"",OR(Recherche!$C$4="",A2451=Recherche!$C$4),OR(Recherche!$C$5="",B2451&amp;""=Recherche!$C$5&amp;""),OR(Recherche!$C$6="",IFERROR(YEAR(L2451),0)=Recherche!$C$6),OR(Recherche!$C$7="",ISNUMBER(SEARCH(Recherche!$C$7,H2451))),OR(Recherche!$C$8="",J2451=Recherche!$C$8),OR(Recherche!$C$9="",I2451=Recherche!$C$9),OR(Recherche!$C$10="",G2451&amp;""=Recherche!$C$10&amp;""),OR(Recherche!$C$11="",E2451=Recherche!$C$11),OR(Recherche!$C$12="",ISNUMBER(SEARCH(Recherche!$C$12,M2451&amp;" "&amp;F2451)))),1,0)</f>
        <v>8</v>
      </c>
    </row>
    <row r="2452" customFormat="false" ht="15" hidden="false" customHeight="false" outlineLevel="0" collapsed="false">
      <c r="A2452" s="19"/>
      <c r="B2452" s="19"/>
      <c r="C2452" s="19"/>
      <c r="D2452" s="19"/>
      <c r="E2452" s="22"/>
      <c r="F2452" s="19"/>
      <c r="G2452" s="26" t="str">
        <f aca="false">IF(D2452="","",IFERROR(VALUE(LEFT(D2452,FIND(" |",D2452&amp;" |")-1)),"?"))</f>
        <v/>
      </c>
      <c r="H2452" s="27" t="str">
        <f aca="false">IF(G2452="","",IF(G2452="?","⚠ pub inconnue",IFERROR(INDEX(Pubs!$B$2:$B$3001,MATCH(G2452,Pubs!$A$2:$A$3001,0))&amp;"","⚠ pub inconnue")))</f>
        <v/>
      </c>
      <c r="I2452" s="27" t="str">
        <f aca="false">IF(OR(G2452="",G2452="?"),"",IFERROR(INDEX(Pubs!$C$2:$C$3001,MATCH(G2452,Pubs!$A$2:$A$3001,0))&amp;"",""))</f>
        <v/>
      </c>
      <c r="J2452" s="27" t="str">
        <f aca="false">IF(OR(G2452="",G2452="?"),"",IFERROR(INDEX(Pubs!$G$2:$G$3001,MATCH(G2452,Pubs!$A$2:$A$3001,0))&amp;"",""))</f>
        <v/>
      </c>
      <c r="K2452" s="28" t="str">
        <f aca="false">IF(OR(G2452="",G2452="?"),"",IFERROR(INDEX(Pubs!$E$2:$E$3001,MATCH(G2452,Pubs!$A$2:$A$3001,0)),""))</f>
        <v/>
      </c>
      <c r="L2452" s="29" t="str">
        <f aca="false">IF(A2452="","",IFERROR(1/(1/INDEX(Numéros!$C$2:$C$3001,MATCH(A2452&amp;"|"&amp;B2452,Numéros!$F$2:$F$3001,0))),""))</f>
        <v/>
      </c>
      <c r="M2452" s="27" t="str">
        <f aca="false">IF(OR(G2452="",G2452="?"),"",IFERROR(INDEX(Pubs!$D$2:$D$3001,MATCH(G2452,Pubs!$A$2:$A$3001,0))&amp;"",""))</f>
        <v/>
      </c>
      <c r="N2452" s="27" t="n">
        <f aca="false">N(N2451)+IF(AND(A2452&lt;&gt;"",OR(Recherche!$C$4="",A2452=Recherche!$C$4),OR(Recherche!$C$5="",B2452&amp;""=Recherche!$C$5&amp;""),OR(Recherche!$C$6="",IFERROR(YEAR(L2452),0)=Recherche!$C$6),OR(Recherche!$C$7="",ISNUMBER(SEARCH(Recherche!$C$7,H2452))),OR(Recherche!$C$8="",J2452=Recherche!$C$8),OR(Recherche!$C$9="",I2452=Recherche!$C$9),OR(Recherche!$C$10="",G2452&amp;""=Recherche!$C$10&amp;""),OR(Recherche!$C$11="",E2452=Recherche!$C$11),OR(Recherche!$C$12="",ISNUMBER(SEARCH(Recherche!$C$12,M2452&amp;" "&amp;F2452)))),1,0)</f>
        <v>8</v>
      </c>
    </row>
    <row r="2453" customFormat="false" ht="15" hidden="false" customHeight="false" outlineLevel="0" collapsed="false">
      <c r="A2453" s="19"/>
      <c r="B2453" s="19"/>
      <c r="C2453" s="19"/>
      <c r="D2453" s="19"/>
      <c r="E2453" s="22"/>
      <c r="F2453" s="19"/>
      <c r="G2453" s="26" t="str">
        <f aca="false">IF(D2453="","",IFERROR(VALUE(LEFT(D2453,FIND(" |",D2453&amp;" |")-1)),"?"))</f>
        <v/>
      </c>
      <c r="H2453" s="27" t="str">
        <f aca="false">IF(G2453="","",IF(G2453="?","⚠ pub inconnue",IFERROR(INDEX(Pubs!$B$2:$B$3001,MATCH(G2453,Pubs!$A$2:$A$3001,0))&amp;"","⚠ pub inconnue")))</f>
        <v/>
      </c>
      <c r="I2453" s="27" t="str">
        <f aca="false">IF(OR(G2453="",G2453="?"),"",IFERROR(INDEX(Pubs!$C$2:$C$3001,MATCH(G2453,Pubs!$A$2:$A$3001,0))&amp;"",""))</f>
        <v/>
      </c>
      <c r="J2453" s="27" t="str">
        <f aca="false">IF(OR(G2453="",G2453="?"),"",IFERROR(INDEX(Pubs!$G$2:$G$3001,MATCH(G2453,Pubs!$A$2:$A$3001,0))&amp;"",""))</f>
        <v/>
      </c>
      <c r="K2453" s="28" t="str">
        <f aca="false">IF(OR(G2453="",G2453="?"),"",IFERROR(INDEX(Pubs!$E$2:$E$3001,MATCH(G2453,Pubs!$A$2:$A$3001,0)),""))</f>
        <v/>
      </c>
      <c r="L2453" s="29" t="str">
        <f aca="false">IF(A2453="","",IFERROR(1/(1/INDEX(Numéros!$C$2:$C$3001,MATCH(A2453&amp;"|"&amp;B2453,Numéros!$F$2:$F$3001,0))),""))</f>
        <v/>
      </c>
      <c r="M2453" s="27" t="str">
        <f aca="false">IF(OR(G2453="",G2453="?"),"",IFERROR(INDEX(Pubs!$D$2:$D$3001,MATCH(G2453,Pubs!$A$2:$A$3001,0))&amp;"",""))</f>
        <v/>
      </c>
      <c r="N2453" s="27" t="n">
        <f aca="false">N(N2452)+IF(AND(A2453&lt;&gt;"",OR(Recherche!$C$4="",A2453=Recherche!$C$4),OR(Recherche!$C$5="",B2453&amp;""=Recherche!$C$5&amp;""),OR(Recherche!$C$6="",IFERROR(YEAR(L2453),0)=Recherche!$C$6),OR(Recherche!$C$7="",ISNUMBER(SEARCH(Recherche!$C$7,H2453))),OR(Recherche!$C$8="",J2453=Recherche!$C$8),OR(Recherche!$C$9="",I2453=Recherche!$C$9),OR(Recherche!$C$10="",G2453&amp;""=Recherche!$C$10&amp;""),OR(Recherche!$C$11="",E2453=Recherche!$C$11),OR(Recherche!$C$12="",ISNUMBER(SEARCH(Recherche!$C$12,M2453&amp;" "&amp;F2453)))),1,0)</f>
        <v>8</v>
      </c>
    </row>
    <row r="2454" customFormat="false" ht="15" hidden="false" customHeight="false" outlineLevel="0" collapsed="false">
      <c r="A2454" s="19"/>
      <c r="B2454" s="19"/>
      <c r="C2454" s="19"/>
      <c r="D2454" s="19"/>
      <c r="E2454" s="22"/>
      <c r="F2454" s="19"/>
      <c r="G2454" s="26" t="str">
        <f aca="false">IF(D2454="","",IFERROR(VALUE(LEFT(D2454,FIND(" |",D2454&amp;" |")-1)),"?"))</f>
        <v/>
      </c>
      <c r="H2454" s="27" t="str">
        <f aca="false">IF(G2454="","",IF(G2454="?","⚠ pub inconnue",IFERROR(INDEX(Pubs!$B$2:$B$3001,MATCH(G2454,Pubs!$A$2:$A$3001,0))&amp;"","⚠ pub inconnue")))</f>
        <v/>
      </c>
      <c r="I2454" s="27" t="str">
        <f aca="false">IF(OR(G2454="",G2454="?"),"",IFERROR(INDEX(Pubs!$C$2:$C$3001,MATCH(G2454,Pubs!$A$2:$A$3001,0))&amp;"",""))</f>
        <v/>
      </c>
      <c r="J2454" s="27" t="str">
        <f aca="false">IF(OR(G2454="",G2454="?"),"",IFERROR(INDEX(Pubs!$G$2:$G$3001,MATCH(G2454,Pubs!$A$2:$A$3001,0))&amp;"",""))</f>
        <v/>
      </c>
      <c r="K2454" s="28" t="str">
        <f aca="false">IF(OR(G2454="",G2454="?"),"",IFERROR(INDEX(Pubs!$E$2:$E$3001,MATCH(G2454,Pubs!$A$2:$A$3001,0)),""))</f>
        <v/>
      </c>
      <c r="L2454" s="29" t="str">
        <f aca="false">IF(A2454="","",IFERROR(1/(1/INDEX(Numéros!$C$2:$C$3001,MATCH(A2454&amp;"|"&amp;B2454,Numéros!$F$2:$F$3001,0))),""))</f>
        <v/>
      </c>
      <c r="M2454" s="27" t="str">
        <f aca="false">IF(OR(G2454="",G2454="?"),"",IFERROR(INDEX(Pubs!$D$2:$D$3001,MATCH(G2454,Pubs!$A$2:$A$3001,0))&amp;"",""))</f>
        <v/>
      </c>
      <c r="N2454" s="27" t="n">
        <f aca="false">N(N2453)+IF(AND(A2454&lt;&gt;"",OR(Recherche!$C$4="",A2454=Recherche!$C$4),OR(Recherche!$C$5="",B2454&amp;""=Recherche!$C$5&amp;""),OR(Recherche!$C$6="",IFERROR(YEAR(L2454),0)=Recherche!$C$6),OR(Recherche!$C$7="",ISNUMBER(SEARCH(Recherche!$C$7,H2454))),OR(Recherche!$C$8="",J2454=Recherche!$C$8),OR(Recherche!$C$9="",I2454=Recherche!$C$9),OR(Recherche!$C$10="",G2454&amp;""=Recherche!$C$10&amp;""),OR(Recherche!$C$11="",E2454=Recherche!$C$11),OR(Recherche!$C$12="",ISNUMBER(SEARCH(Recherche!$C$12,M2454&amp;" "&amp;F2454)))),1,0)</f>
        <v>8</v>
      </c>
    </row>
    <row r="2455" customFormat="false" ht="15" hidden="false" customHeight="false" outlineLevel="0" collapsed="false">
      <c r="A2455" s="19"/>
      <c r="B2455" s="19"/>
      <c r="C2455" s="19"/>
      <c r="D2455" s="19"/>
      <c r="E2455" s="22"/>
      <c r="F2455" s="19"/>
      <c r="G2455" s="26" t="str">
        <f aca="false">IF(D2455="","",IFERROR(VALUE(LEFT(D2455,FIND(" |",D2455&amp;" |")-1)),"?"))</f>
        <v/>
      </c>
      <c r="H2455" s="27" t="str">
        <f aca="false">IF(G2455="","",IF(G2455="?","⚠ pub inconnue",IFERROR(INDEX(Pubs!$B$2:$B$3001,MATCH(G2455,Pubs!$A$2:$A$3001,0))&amp;"","⚠ pub inconnue")))</f>
        <v/>
      </c>
      <c r="I2455" s="27" t="str">
        <f aca="false">IF(OR(G2455="",G2455="?"),"",IFERROR(INDEX(Pubs!$C$2:$C$3001,MATCH(G2455,Pubs!$A$2:$A$3001,0))&amp;"",""))</f>
        <v/>
      </c>
      <c r="J2455" s="27" t="str">
        <f aca="false">IF(OR(G2455="",G2455="?"),"",IFERROR(INDEX(Pubs!$G$2:$G$3001,MATCH(G2455,Pubs!$A$2:$A$3001,0))&amp;"",""))</f>
        <v/>
      </c>
      <c r="K2455" s="28" t="str">
        <f aca="false">IF(OR(G2455="",G2455="?"),"",IFERROR(INDEX(Pubs!$E$2:$E$3001,MATCH(G2455,Pubs!$A$2:$A$3001,0)),""))</f>
        <v/>
      </c>
      <c r="L2455" s="29" t="str">
        <f aca="false">IF(A2455="","",IFERROR(1/(1/INDEX(Numéros!$C$2:$C$3001,MATCH(A2455&amp;"|"&amp;B2455,Numéros!$F$2:$F$3001,0))),""))</f>
        <v/>
      </c>
      <c r="M2455" s="27" t="str">
        <f aca="false">IF(OR(G2455="",G2455="?"),"",IFERROR(INDEX(Pubs!$D$2:$D$3001,MATCH(G2455,Pubs!$A$2:$A$3001,0))&amp;"",""))</f>
        <v/>
      </c>
      <c r="N2455" s="27" t="n">
        <f aca="false">N(N2454)+IF(AND(A2455&lt;&gt;"",OR(Recherche!$C$4="",A2455=Recherche!$C$4),OR(Recherche!$C$5="",B2455&amp;""=Recherche!$C$5&amp;""),OR(Recherche!$C$6="",IFERROR(YEAR(L2455),0)=Recherche!$C$6),OR(Recherche!$C$7="",ISNUMBER(SEARCH(Recherche!$C$7,H2455))),OR(Recherche!$C$8="",J2455=Recherche!$C$8),OR(Recherche!$C$9="",I2455=Recherche!$C$9),OR(Recherche!$C$10="",G2455&amp;""=Recherche!$C$10&amp;""),OR(Recherche!$C$11="",E2455=Recherche!$C$11),OR(Recherche!$C$12="",ISNUMBER(SEARCH(Recherche!$C$12,M2455&amp;" "&amp;F2455)))),1,0)</f>
        <v>8</v>
      </c>
    </row>
    <row r="2456" customFormat="false" ht="15" hidden="false" customHeight="false" outlineLevel="0" collapsed="false">
      <c r="A2456" s="19"/>
      <c r="B2456" s="19"/>
      <c r="C2456" s="19"/>
      <c r="D2456" s="19"/>
      <c r="E2456" s="22"/>
      <c r="F2456" s="19"/>
      <c r="G2456" s="26" t="str">
        <f aca="false">IF(D2456="","",IFERROR(VALUE(LEFT(D2456,FIND(" |",D2456&amp;" |")-1)),"?"))</f>
        <v/>
      </c>
      <c r="H2456" s="27" t="str">
        <f aca="false">IF(G2456="","",IF(G2456="?","⚠ pub inconnue",IFERROR(INDEX(Pubs!$B$2:$B$3001,MATCH(G2456,Pubs!$A$2:$A$3001,0))&amp;"","⚠ pub inconnue")))</f>
        <v/>
      </c>
      <c r="I2456" s="27" t="str">
        <f aca="false">IF(OR(G2456="",G2456="?"),"",IFERROR(INDEX(Pubs!$C$2:$C$3001,MATCH(G2456,Pubs!$A$2:$A$3001,0))&amp;"",""))</f>
        <v/>
      </c>
      <c r="J2456" s="27" t="str">
        <f aca="false">IF(OR(G2456="",G2456="?"),"",IFERROR(INDEX(Pubs!$G$2:$G$3001,MATCH(G2456,Pubs!$A$2:$A$3001,0))&amp;"",""))</f>
        <v/>
      </c>
      <c r="K2456" s="28" t="str">
        <f aca="false">IF(OR(G2456="",G2456="?"),"",IFERROR(INDEX(Pubs!$E$2:$E$3001,MATCH(G2456,Pubs!$A$2:$A$3001,0)),""))</f>
        <v/>
      </c>
      <c r="L2456" s="29" t="str">
        <f aca="false">IF(A2456="","",IFERROR(1/(1/INDEX(Numéros!$C$2:$C$3001,MATCH(A2456&amp;"|"&amp;B2456,Numéros!$F$2:$F$3001,0))),""))</f>
        <v/>
      </c>
      <c r="M2456" s="27" t="str">
        <f aca="false">IF(OR(G2456="",G2456="?"),"",IFERROR(INDEX(Pubs!$D$2:$D$3001,MATCH(G2456,Pubs!$A$2:$A$3001,0))&amp;"",""))</f>
        <v/>
      </c>
      <c r="N2456" s="27" t="n">
        <f aca="false">N(N2455)+IF(AND(A2456&lt;&gt;"",OR(Recherche!$C$4="",A2456=Recherche!$C$4),OR(Recherche!$C$5="",B2456&amp;""=Recherche!$C$5&amp;""),OR(Recherche!$C$6="",IFERROR(YEAR(L2456),0)=Recherche!$C$6),OR(Recherche!$C$7="",ISNUMBER(SEARCH(Recherche!$C$7,H2456))),OR(Recherche!$C$8="",J2456=Recherche!$C$8),OR(Recherche!$C$9="",I2456=Recherche!$C$9),OR(Recherche!$C$10="",G2456&amp;""=Recherche!$C$10&amp;""),OR(Recherche!$C$11="",E2456=Recherche!$C$11),OR(Recherche!$C$12="",ISNUMBER(SEARCH(Recherche!$C$12,M2456&amp;" "&amp;F2456)))),1,0)</f>
        <v>8</v>
      </c>
    </row>
    <row r="2457" customFormat="false" ht="15" hidden="false" customHeight="false" outlineLevel="0" collapsed="false">
      <c r="A2457" s="19"/>
      <c r="B2457" s="19"/>
      <c r="C2457" s="19"/>
      <c r="D2457" s="19"/>
      <c r="E2457" s="22"/>
      <c r="F2457" s="19"/>
      <c r="G2457" s="26" t="str">
        <f aca="false">IF(D2457="","",IFERROR(VALUE(LEFT(D2457,FIND(" |",D2457&amp;" |")-1)),"?"))</f>
        <v/>
      </c>
      <c r="H2457" s="27" t="str">
        <f aca="false">IF(G2457="","",IF(G2457="?","⚠ pub inconnue",IFERROR(INDEX(Pubs!$B$2:$B$3001,MATCH(G2457,Pubs!$A$2:$A$3001,0))&amp;"","⚠ pub inconnue")))</f>
        <v/>
      </c>
      <c r="I2457" s="27" t="str">
        <f aca="false">IF(OR(G2457="",G2457="?"),"",IFERROR(INDEX(Pubs!$C$2:$C$3001,MATCH(G2457,Pubs!$A$2:$A$3001,0))&amp;"",""))</f>
        <v/>
      </c>
      <c r="J2457" s="27" t="str">
        <f aca="false">IF(OR(G2457="",G2457="?"),"",IFERROR(INDEX(Pubs!$G$2:$G$3001,MATCH(G2457,Pubs!$A$2:$A$3001,0))&amp;"",""))</f>
        <v/>
      </c>
      <c r="K2457" s="28" t="str">
        <f aca="false">IF(OR(G2457="",G2457="?"),"",IFERROR(INDEX(Pubs!$E$2:$E$3001,MATCH(G2457,Pubs!$A$2:$A$3001,0)),""))</f>
        <v/>
      </c>
      <c r="L2457" s="29" t="str">
        <f aca="false">IF(A2457="","",IFERROR(1/(1/INDEX(Numéros!$C$2:$C$3001,MATCH(A2457&amp;"|"&amp;B2457,Numéros!$F$2:$F$3001,0))),""))</f>
        <v/>
      </c>
      <c r="M2457" s="27" t="str">
        <f aca="false">IF(OR(G2457="",G2457="?"),"",IFERROR(INDEX(Pubs!$D$2:$D$3001,MATCH(G2457,Pubs!$A$2:$A$3001,0))&amp;"",""))</f>
        <v/>
      </c>
      <c r="N2457" s="27" t="n">
        <f aca="false">N(N2456)+IF(AND(A2457&lt;&gt;"",OR(Recherche!$C$4="",A2457=Recherche!$C$4),OR(Recherche!$C$5="",B2457&amp;""=Recherche!$C$5&amp;""),OR(Recherche!$C$6="",IFERROR(YEAR(L2457),0)=Recherche!$C$6),OR(Recherche!$C$7="",ISNUMBER(SEARCH(Recherche!$C$7,H2457))),OR(Recherche!$C$8="",J2457=Recherche!$C$8),OR(Recherche!$C$9="",I2457=Recherche!$C$9),OR(Recherche!$C$10="",G2457&amp;""=Recherche!$C$10&amp;""),OR(Recherche!$C$11="",E2457=Recherche!$C$11),OR(Recherche!$C$12="",ISNUMBER(SEARCH(Recherche!$C$12,M2457&amp;" "&amp;F2457)))),1,0)</f>
        <v>8</v>
      </c>
    </row>
    <row r="2458" customFormat="false" ht="15" hidden="false" customHeight="false" outlineLevel="0" collapsed="false">
      <c r="A2458" s="19"/>
      <c r="B2458" s="19"/>
      <c r="C2458" s="19"/>
      <c r="D2458" s="19"/>
      <c r="E2458" s="22"/>
      <c r="F2458" s="19"/>
      <c r="G2458" s="26" t="str">
        <f aca="false">IF(D2458="","",IFERROR(VALUE(LEFT(D2458,FIND(" |",D2458&amp;" |")-1)),"?"))</f>
        <v/>
      </c>
      <c r="H2458" s="27" t="str">
        <f aca="false">IF(G2458="","",IF(G2458="?","⚠ pub inconnue",IFERROR(INDEX(Pubs!$B$2:$B$3001,MATCH(G2458,Pubs!$A$2:$A$3001,0))&amp;"","⚠ pub inconnue")))</f>
        <v/>
      </c>
      <c r="I2458" s="27" t="str">
        <f aca="false">IF(OR(G2458="",G2458="?"),"",IFERROR(INDEX(Pubs!$C$2:$C$3001,MATCH(G2458,Pubs!$A$2:$A$3001,0))&amp;"",""))</f>
        <v/>
      </c>
      <c r="J2458" s="27" t="str">
        <f aca="false">IF(OR(G2458="",G2458="?"),"",IFERROR(INDEX(Pubs!$G$2:$G$3001,MATCH(G2458,Pubs!$A$2:$A$3001,0))&amp;"",""))</f>
        <v/>
      </c>
      <c r="K2458" s="28" t="str">
        <f aca="false">IF(OR(G2458="",G2458="?"),"",IFERROR(INDEX(Pubs!$E$2:$E$3001,MATCH(G2458,Pubs!$A$2:$A$3001,0)),""))</f>
        <v/>
      </c>
      <c r="L2458" s="29" t="str">
        <f aca="false">IF(A2458="","",IFERROR(1/(1/INDEX(Numéros!$C$2:$C$3001,MATCH(A2458&amp;"|"&amp;B2458,Numéros!$F$2:$F$3001,0))),""))</f>
        <v/>
      </c>
      <c r="M2458" s="27" t="str">
        <f aca="false">IF(OR(G2458="",G2458="?"),"",IFERROR(INDEX(Pubs!$D$2:$D$3001,MATCH(G2458,Pubs!$A$2:$A$3001,0))&amp;"",""))</f>
        <v/>
      </c>
      <c r="N2458" s="27" t="n">
        <f aca="false">N(N2457)+IF(AND(A2458&lt;&gt;"",OR(Recherche!$C$4="",A2458=Recherche!$C$4),OR(Recherche!$C$5="",B2458&amp;""=Recherche!$C$5&amp;""),OR(Recherche!$C$6="",IFERROR(YEAR(L2458),0)=Recherche!$C$6),OR(Recherche!$C$7="",ISNUMBER(SEARCH(Recherche!$C$7,H2458))),OR(Recherche!$C$8="",J2458=Recherche!$C$8),OR(Recherche!$C$9="",I2458=Recherche!$C$9),OR(Recherche!$C$10="",G2458&amp;""=Recherche!$C$10&amp;""),OR(Recherche!$C$11="",E2458=Recherche!$C$11),OR(Recherche!$C$12="",ISNUMBER(SEARCH(Recherche!$C$12,M2458&amp;" "&amp;F2458)))),1,0)</f>
        <v>8</v>
      </c>
    </row>
    <row r="2459" customFormat="false" ht="15" hidden="false" customHeight="false" outlineLevel="0" collapsed="false">
      <c r="A2459" s="19"/>
      <c r="B2459" s="19"/>
      <c r="C2459" s="19"/>
      <c r="D2459" s="19"/>
      <c r="E2459" s="22"/>
      <c r="F2459" s="19"/>
      <c r="G2459" s="26" t="str">
        <f aca="false">IF(D2459="","",IFERROR(VALUE(LEFT(D2459,FIND(" |",D2459&amp;" |")-1)),"?"))</f>
        <v/>
      </c>
      <c r="H2459" s="27" t="str">
        <f aca="false">IF(G2459="","",IF(G2459="?","⚠ pub inconnue",IFERROR(INDEX(Pubs!$B$2:$B$3001,MATCH(G2459,Pubs!$A$2:$A$3001,0))&amp;"","⚠ pub inconnue")))</f>
        <v/>
      </c>
      <c r="I2459" s="27" t="str">
        <f aca="false">IF(OR(G2459="",G2459="?"),"",IFERROR(INDEX(Pubs!$C$2:$C$3001,MATCH(G2459,Pubs!$A$2:$A$3001,0))&amp;"",""))</f>
        <v/>
      </c>
      <c r="J2459" s="27" t="str">
        <f aca="false">IF(OR(G2459="",G2459="?"),"",IFERROR(INDEX(Pubs!$G$2:$G$3001,MATCH(G2459,Pubs!$A$2:$A$3001,0))&amp;"",""))</f>
        <v/>
      </c>
      <c r="K2459" s="28" t="str">
        <f aca="false">IF(OR(G2459="",G2459="?"),"",IFERROR(INDEX(Pubs!$E$2:$E$3001,MATCH(G2459,Pubs!$A$2:$A$3001,0)),""))</f>
        <v/>
      </c>
      <c r="L2459" s="29" t="str">
        <f aca="false">IF(A2459="","",IFERROR(1/(1/INDEX(Numéros!$C$2:$C$3001,MATCH(A2459&amp;"|"&amp;B2459,Numéros!$F$2:$F$3001,0))),""))</f>
        <v/>
      </c>
      <c r="M2459" s="27" t="str">
        <f aca="false">IF(OR(G2459="",G2459="?"),"",IFERROR(INDEX(Pubs!$D$2:$D$3001,MATCH(G2459,Pubs!$A$2:$A$3001,0))&amp;"",""))</f>
        <v/>
      </c>
      <c r="N2459" s="27" t="n">
        <f aca="false">N(N2458)+IF(AND(A2459&lt;&gt;"",OR(Recherche!$C$4="",A2459=Recherche!$C$4),OR(Recherche!$C$5="",B2459&amp;""=Recherche!$C$5&amp;""),OR(Recherche!$C$6="",IFERROR(YEAR(L2459),0)=Recherche!$C$6),OR(Recherche!$C$7="",ISNUMBER(SEARCH(Recherche!$C$7,H2459))),OR(Recherche!$C$8="",J2459=Recherche!$C$8),OR(Recherche!$C$9="",I2459=Recherche!$C$9),OR(Recherche!$C$10="",G2459&amp;""=Recherche!$C$10&amp;""),OR(Recherche!$C$11="",E2459=Recherche!$C$11),OR(Recherche!$C$12="",ISNUMBER(SEARCH(Recherche!$C$12,M2459&amp;" "&amp;F2459)))),1,0)</f>
        <v>8</v>
      </c>
    </row>
    <row r="2460" customFormat="false" ht="15" hidden="false" customHeight="false" outlineLevel="0" collapsed="false">
      <c r="A2460" s="19"/>
      <c r="B2460" s="19"/>
      <c r="C2460" s="19"/>
      <c r="D2460" s="19"/>
      <c r="E2460" s="22"/>
      <c r="F2460" s="19"/>
      <c r="G2460" s="26" t="str">
        <f aca="false">IF(D2460="","",IFERROR(VALUE(LEFT(D2460,FIND(" |",D2460&amp;" |")-1)),"?"))</f>
        <v/>
      </c>
      <c r="H2460" s="27" t="str">
        <f aca="false">IF(G2460="","",IF(G2460="?","⚠ pub inconnue",IFERROR(INDEX(Pubs!$B$2:$B$3001,MATCH(G2460,Pubs!$A$2:$A$3001,0))&amp;"","⚠ pub inconnue")))</f>
        <v/>
      </c>
      <c r="I2460" s="27" t="str">
        <f aca="false">IF(OR(G2460="",G2460="?"),"",IFERROR(INDEX(Pubs!$C$2:$C$3001,MATCH(G2460,Pubs!$A$2:$A$3001,0))&amp;"",""))</f>
        <v/>
      </c>
      <c r="J2460" s="27" t="str">
        <f aca="false">IF(OR(G2460="",G2460="?"),"",IFERROR(INDEX(Pubs!$G$2:$G$3001,MATCH(G2460,Pubs!$A$2:$A$3001,0))&amp;"",""))</f>
        <v/>
      </c>
      <c r="K2460" s="28" t="str">
        <f aca="false">IF(OR(G2460="",G2460="?"),"",IFERROR(INDEX(Pubs!$E$2:$E$3001,MATCH(G2460,Pubs!$A$2:$A$3001,0)),""))</f>
        <v/>
      </c>
      <c r="L2460" s="29" t="str">
        <f aca="false">IF(A2460="","",IFERROR(1/(1/INDEX(Numéros!$C$2:$C$3001,MATCH(A2460&amp;"|"&amp;B2460,Numéros!$F$2:$F$3001,0))),""))</f>
        <v/>
      </c>
      <c r="M2460" s="27" t="str">
        <f aca="false">IF(OR(G2460="",G2460="?"),"",IFERROR(INDEX(Pubs!$D$2:$D$3001,MATCH(G2460,Pubs!$A$2:$A$3001,0))&amp;"",""))</f>
        <v/>
      </c>
      <c r="N2460" s="27" t="n">
        <f aca="false">N(N2459)+IF(AND(A2460&lt;&gt;"",OR(Recherche!$C$4="",A2460=Recherche!$C$4),OR(Recherche!$C$5="",B2460&amp;""=Recherche!$C$5&amp;""),OR(Recherche!$C$6="",IFERROR(YEAR(L2460),0)=Recherche!$C$6),OR(Recherche!$C$7="",ISNUMBER(SEARCH(Recherche!$C$7,H2460))),OR(Recherche!$C$8="",J2460=Recherche!$C$8),OR(Recherche!$C$9="",I2460=Recherche!$C$9),OR(Recherche!$C$10="",G2460&amp;""=Recherche!$C$10&amp;""),OR(Recherche!$C$11="",E2460=Recherche!$C$11),OR(Recherche!$C$12="",ISNUMBER(SEARCH(Recherche!$C$12,M2460&amp;" "&amp;F2460)))),1,0)</f>
        <v>8</v>
      </c>
    </row>
    <row r="2461" customFormat="false" ht="15" hidden="false" customHeight="false" outlineLevel="0" collapsed="false">
      <c r="A2461" s="19"/>
      <c r="B2461" s="19"/>
      <c r="C2461" s="19"/>
      <c r="D2461" s="19"/>
      <c r="E2461" s="22"/>
      <c r="F2461" s="19"/>
      <c r="G2461" s="26" t="str">
        <f aca="false">IF(D2461="","",IFERROR(VALUE(LEFT(D2461,FIND(" |",D2461&amp;" |")-1)),"?"))</f>
        <v/>
      </c>
      <c r="H2461" s="27" t="str">
        <f aca="false">IF(G2461="","",IF(G2461="?","⚠ pub inconnue",IFERROR(INDEX(Pubs!$B$2:$B$3001,MATCH(G2461,Pubs!$A$2:$A$3001,0))&amp;"","⚠ pub inconnue")))</f>
        <v/>
      </c>
      <c r="I2461" s="27" t="str">
        <f aca="false">IF(OR(G2461="",G2461="?"),"",IFERROR(INDEX(Pubs!$C$2:$C$3001,MATCH(G2461,Pubs!$A$2:$A$3001,0))&amp;"",""))</f>
        <v/>
      </c>
      <c r="J2461" s="27" t="str">
        <f aca="false">IF(OR(G2461="",G2461="?"),"",IFERROR(INDEX(Pubs!$G$2:$G$3001,MATCH(G2461,Pubs!$A$2:$A$3001,0))&amp;"",""))</f>
        <v/>
      </c>
      <c r="K2461" s="28" t="str">
        <f aca="false">IF(OR(G2461="",G2461="?"),"",IFERROR(INDEX(Pubs!$E$2:$E$3001,MATCH(G2461,Pubs!$A$2:$A$3001,0)),""))</f>
        <v/>
      </c>
      <c r="L2461" s="29" t="str">
        <f aca="false">IF(A2461="","",IFERROR(1/(1/INDEX(Numéros!$C$2:$C$3001,MATCH(A2461&amp;"|"&amp;B2461,Numéros!$F$2:$F$3001,0))),""))</f>
        <v/>
      </c>
      <c r="M2461" s="27" t="str">
        <f aca="false">IF(OR(G2461="",G2461="?"),"",IFERROR(INDEX(Pubs!$D$2:$D$3001,MATCH(G2461,Pubs!$A$2:$A$3001,0))&amp;"",""))</f>
        <v/>
      </c>
      <c r="N2461" s="27" t="n">
        <f aca="false">N(N2460)+IF(AND(A2461&lt;&gt;"",OR(Recherche!$C$4="",A2461=Recherche!$C$4),OR(Recherche!$C$5="",B2461&amp;""=Recherche!$C$5&amp;""),OR(Recherche!$C$6="",IFERROR(YEAR(L2461),0)=Recherche!$C$6),OR(Recherche!$C$7="",ISNUMBER(SEARCH(Recherche!$C$7,H2461))),OR(Recherche!$C$8="",J2461=Recherche!$C$8),OR(Recherche!$C$9="",I2461=Recherche!$C$9),OR(Recherche!$C$10="",G2461&amp;""=Recherche!$C$10&amp;""),OR(Recherche!$C$11="",E2461=Recherche!$C$11),OR(Recherche!$C$12="",ISNUMBER(SEARCH(Recherche!$C$12,M2461&amp;" "&amp;F2461)))),1,0)</f>
        <v>8</v>
      </c>
    </row>
    <row r="2462" customFormat="false" ht="15" hidden="false" customHeight="false" outlineLevel="0" collapsed="false">
      <c r="A2462" s="19"/>
      <c r="B2462" s="19"/>
      <c r="C2462" s="19"/>
      <c r="D2462" s="19"/>
      <c r="E2462" s="22"/>
      <c r="F2462" s="19"/>
      <c r="G2462" s="26" t="str">
        <f aca="false">IF(D2462="","",IFERROR(VALUE(LEFT(D2462,FIND(" |",D2462&amp;" |")-1)),"?"))</f>
        <v/>
      </c>
      <c r="H2462" s="27" t="str">
        <f aca="false">IF(G2462="","",IF(G2462="?","⚠ pub inconnue",IFERROR(INDEX(Pubs!$B$2:$B$3001,MATCH(G2462,Pubs!$A$2:$A$3001,0))&amp;"","⚠ pub inconnue")))</f>
        <v/>
      </c>
      <c r="I2462" s="27" t="str">
        <f aca="false">IF(OR(G2462="",G2462="?"),"",IFERROR(INDEX(Pubs!$C$2:$C$3001,MATCH(G2462,Pubs!$A$2:$A$3001,0))&amp;"",""))</f>
        <v/>
      </c>
      <c r="J2462" s="27" t="str">
        <f aca="false">IF(OR(G2462="",G2462="?"),"",IFERROR(INDEX(Pubs!$G$2:$G$3001,MATCH(G2462,Pubs!$A$2:$A$3001,0))&amp;"",""))</f>
        <v/>
      </c>
      <c r="K2462" s="28" t="str">
        <f aca="false">IF(OR(G2462="",G2462="?"),"",IFERROR(INDEX(Pubs!$E$2:$E$3001,MATCH(G2462,Pubs!$A$2:$A$3001,0)),""))</f>
        <v/>
      </c>
      <c r="L2462" s="29" t="str">
        <f aca="false">IF(A2462="","",IFERROR(1/(1/INDEX(Numéros!$C$2:$C$3001,MATCH(A2462&amp;"|"&amp;B2462,Numéros!$F$2:$F$3001,0))),""))</f>
        <v/>
      </c>
      <c r="M2462" s="27" t="str">
        <f aca="false">IF(OR(G2462="",G2462="?"),"",IFERROR(INDEX(Pubs!$D$2:$D$3001,MATCH(G2462,Pubs!$A$2:$A$3001,0))&amp;"",""))</f>
        <v/>
      </c>
      <c r="N2462" s="27" t="n">
        <f aca="false">N(N2461)+IF(AND(A2462&lt;&gt;"",OR(Recherche!$C$4="",A2462=Recherche!$C$4),OR(Recherche!$C$5="",B2462&amp;""=Recherche!$C$5&amp;""),OR(Recherche!$C$6="",IFERROR(YEAR(L2462),0)=Recherche!$C$6),OR(Recherche!$C$7="",ISNUMBER(SEARCH(Recherche!$C$7,H2462))),OR(Recherche!$C$8="",J2462=Recherche!$C$8),OR(Recherche!$C$9="",I2462=Recherche!$C$9),OR(Recherche!$C$10="",G2462&amp;""=Recherche!$C$10&amp;""),OR(Recherche!$C$11="",E2462=Recherche!$C$11),OR(Recherche!$C$12="",ISNUMBER(SEARCH(Recherche!$C$12,M2462&amp;" "&amp;F2462)))),1,0)</f>
        <v>8</v>
      </c>
    </row>
    <row r="2463" customFormat="false" ht="15" hidden="false" customHeight="false" outlineLevel="0" collapsed="false">
      <c r="A2463" s="19"/>
      <c r="B2463" s="19"/>
      <c r="C2463" s="19"/>
      <c r="D2463" s="19"/>
      <c r="E2463" s="22"/>
      <c r="F2463" s="19"/>
      <c r="G2463" s="26" t="str">
        <f aca="false">IF(D2463="","",IFERROR(VALUE(LEFT(D2463,FIND(" |",D2463&amp;" |")-1)),"?"))</f>
        <v/>
      </c>
      <c r="H2463" s="27" t="str">
        <f aca="false">IF(G2463="","",IF(G2463="?","⚠ pub inconnue",IFERROR(INDEX(Pubs!$B$2:$B$3001,MATCH(G2463,Pubs!$A$2:$A$3001,0))&amp;"","⚠ pub inconnue")))</f>
        <v/>
      </c>
      <c r="I2463" s="27" t="str">
        <f aca="false">IF(OR(G2463="",G2463="?"),"",IFERROR(INDEX(Pubs!$C$2:$C$3001,MATCH(G2463,Pubs!$A$2:$A$3001,0))&amp;"",""))</f>
        <v/>
      </c>
      <c r="J2463" s="27" t="str">
        <f aca="false">IF(OR(G2463="",G2463="?"),"",IFERROR(INDEX(Pubs!$G$2:$G$3001,MATCH(G2463,Pubs!$A$2:$A$3001,0))&amp;"",""))</f>
        <v/>
      </c>
      <c r="K2463" s="28" t="str">
        <f aca="false">IF(OR(G2463="",G2463="?"),"",IFERROR(INDEX(Pubs!$E$2:$E$3001,MATCH(G2463,Pubs!$A$2:$A$3001,0)),""))</f>
        <v/>
      </c>
      <c r="L2463" s="29" t="str">
        <f aca="false">IF(A2463="","",IFERROR(1/(1/INDEX(Numéros!$C$2:$C$3001,MATCH(A2463&amp;"|"&amp;B2463,Numéros!$F$2:$F$3001,0))),""))</f>
        <v/>
      </c>
      <c r="M2463" s="27" t="str">
        <f aca="false">IF(OR(G2463="",G2463="?"),"",IFERROR(INDEX(Pubs!$D$2:$D$3001,MATCH(G2463,Pubs!$A$2:$A$3001,0))&amp;"",""))</f>
        <v/>
      </c>
      <c r="N2463" s="27" t="n">
        <f aca="false">N(N2462)+IF(AND(A2463&lt;&gt;"",OR(Recherche!$C$4="",A2463=Recherche!$C$4),OR(Recherche!$C$5="",B2463&amp;""=Recherche!$C$5&amp;""),OR(Recherche!$C$6="",IFERROR(YEAR(L2463),0)=Recherche!$C$6),OR(Recherche!$C$7="",ISNUMBER(SEARCH(Recherche!$C$7,H2463))),OR(Recherche!$C$8="",J2463=Recherche!$C$8),OR(Recherche!$C$9="",I2463=Recherche!$C$9),OR(Recherche!$C$10="",G2463&amp;""=Recherche!$C$10&amp;""),OR(Recherche!$C$11="",E2463=Recherche!$C$11),OR(Recherche!$C$12="",ISNUMBER(SEARCH(Recherche!$C$12,M2463&amp;" "&amp;F2463)))),1,0)</f>
        <v>8</v>
      </c>
    </row>
    <row r="2464" customFormat="false" ht="15" hidden="false" customHeight="false" outlineLevel="0" collapsed="false">
      <c r="A2464" s="19"/>
      <c r="B2464" s="19"/>
      <c r="C2464" s="19"/>
      <c r="D2464" s="19"/>
      <c r="E2464" s="22"/>
      <c r="F2464" s="19"/>
      <c r="G2464" s="26" t="str">
        <f aca="false">IF(D2464="","",IFERROR(VALUE(LEFT(D2464,FIND(" |",D2464&amp;" |")-1)),"?"))</f>
        <v/>
      </c>
      <c r="H2464" s="27" t="str">
        <f aca="false">IF(G2464="","",IF(G2464="?","⚠ pub inconnue",IFERROR(INDEX(Pubs!$B$2:$B$3001,MATCH(G2464,Pubs!$A$2:$A$3001,0))&amp;"","⚠ pub inconnue")))</f>
        <v/>
      </c>
      <c r="I2464" s="27" t="str">
        <f aca="false">IF(OR(G2464="",G2464="?"),"",IFERROR(INDEX(Pubs!$C$2:$C$3001,MATCH(G2464,Pubs!$A$2:$A$3001,0))&amp;"",""))</f>
        <v/>
      </c>
      <c r="J2464" s="27" t="str">
        <f aca="false">IF(OR(G2464="",G2464="?"),"",IFERROR(INDEX(Pubs!$G$2:$G$3001,MATCH(G2464,Pubs!$A$2:$A$3001,0))&amp;"",""))</f>
        <v/>
      </c>
      <c r="K2464" s="28" t="str">
        <f aca="false">IF(OR(G2464="",G2464="?"),"",IFERROR(INDEX(Pubs!$E$2:$E$3001,MATCH(G2464,Pubs!$A$2:$A$3001,0)),""))</f>
        <v/>
      </c>
      <c r="L2464" s="29" t="str">
        <f aca="false">IF(A2464="","",IFERROR(1/(1/INDEX(Numéros!$C$2:$C$3001,MATCH(A2464&amp;"|"&amp;B2464,Numéros!$F$2:$F$3001,0))),""))</f>
        <v/>
      </c>
      <c r="M2464" s="27" t="str">
        <f aca="false">IF(OR(G2464="",G2464="?"),"",IFERROR(INDEX(Pubs!$D$2:$D$3001,MATCH(G2464,Pubs!$A$2:$A$3001,0))&amp;"",""))</f>
        <v/>
      </c>
      <c r="N2464" s="27" t="n">
        <f aca="false">N(N2463)+IF(AND(A2464&lt;&gt;"",OR(Recherche!$C$4="",A2464=Recherche!$C$4),OR(Recherche!$C$5="",B2464&amp;""=Recherche!$C$5&amp;""),OR(Recherche!$C$6="",IFERROR(YEAR(L2464),0)=Recherche!$C$6),OR(Recherche!$C$7="",ISNUMBER(SEARCH(Recherche!$C$7,H2464))),OR(Recherche!$C$8="",J2464=Recherche!$C$8),OR(Recherche!$C$9="",I2464=Recherche!$C$9),OR(Recherche!$C$10="",G2464&amp;""=Recherche!$C$10&amp;""),OR(Recherche!$C$11="",E2464=Recherche!$C$11),OR(Recherche!$C$12="",ISNUMBER(SEARCH(Recherche!$C$12,M2464&amp;" "&amp;F2464)))),1,0)</f>
        <v>8</v>
      </c>
    </row>
    <row r="2465" customFormat="false" ht="15" hidden="false" customHeight="false" outlineLevel="0" collapsed="false">
      <c r="A2465" s="19"/>
      <c r="B2465" s="19"/>
      <c r="C2465" s="19"/>
      <c r="D2465" s="19"/>
      <c r="E2465" s="22"/>
      <c r="F2465" s="19"/>
      <c r="G2465" s="26" t="str">
        <f aca="false">IF(D2465="","",IFERROR(VALUE(LEFT(D2465,FIND(" |",D2465&amp;" |")-1)),"?"))</f>
        <v/>
      </c>
      <c r="H2465" s="27" t="str">
        <f aca="false">IF(G2465="","",IF(G2465="?","⚠ pub inconnue",IFERROR(INDEX(Pubs!$B$2:$B$3001,MATCH(G2465,Pubs!$A$2:$A$3001,0))&amp;"","⚠ pub inconnue")))</f>
        <v/>
      </c>
      <c r="I2465" s="27" t="str">
        <f aca="false">IF(OR(G2465="",G2465="?"),"",IFERROR(INDEX(Pubs!$C$2:$C$3001,MATCH(G2465,Pubs!$A$2:$A$3001,0))&amp;"",""))</f>
        <v/>
      </c>
      <c r="J2465" s="27" t="str">
        <f aca="false">IF(OR(G2465="",G2465="?"),"",IFERROR(INDEX(Pubs!$G$2:$G$3001,MATCH(G2465,Pubs!$A$2:$A$3001,0))&amp;"",""))</f>
        <v/>
      </c>
      <c r="K2465" s="28" t="str">
        <f aca="false">IF(OR(G2465="",G2465="?"),"",IFERROR(INDEX(Pubs!$E$2:$E$3001,MATCH(G2465,Pubs!$A$2:$A$3001,0)),""))</f>
        <v/>
      </c>
      <c r="L2465" s="29" t="str">
        <f aca="false">IF(A2465="","",IFERROR(1/(1/INDEX(Numéros!$C$2:$C$3001,MATCH(A2465&amp;"|"&amp;B2465,Numéros!$F$2:$F$3001,0))),""))</f>
        <v/>
      </c>
      <c r="M2465" s="27" t="str">
        <f aca="false">IF(OR(G2465="",G2465="?"),"",IFERROR(INDEX(Pubs!$D$2:$D$3001,MATCH(G2465,Pubs!$A$2:$A$3001,0))&amp;"",""))</f>
        <v/>
      </c>
      <c r="N2465" s="27" t="n">
        <f aca="false">N(N2464)+IF(AND(A2465&lt;&gt;"",OR(Recherche!$C$4="",A2465=Recherche!$C$4),OR(Recherche!$C$5="",B2465&amp;""=Recherche!$C$5&amp;""),OR(Recherche!$C$6="",IFERROR(YEAR(L2465),0)=Recherche!$C$6),OR(Recherche!$C$7="",ISNUMBER(SEARCH(Recherche!$C$7,H2465))),OR(Recherche!$C$8="",J2465=Recherche!$C$8),OR(Recherche!$C$9="",I2465=Recherche!$C$9),OR(Recherche!$C$10="",G2465&amp;""=Recherche!$C$10&amp;""),OR(Recherche!$C$11="",E2465=Recherche!$C$11),OR(Recherche!$C$12="",ISNUMBER(SEARCH(Recherche!$C$12,M2465&amp;" "&amp;F2465)))),1,0)</f>
        <v>8</v>
      </c>
    </row>
    <row r="2466" customFormat="false" ht="15" hidden="false" customHeight="false" outlineLevel="0" collapsed="false">
      <c r="A2466" s="19"/>
      <c r="B2466" s="19"/>
      <c r="C2466" s="19"/>
      <c r="D2466" s="19"/>
      <c r="E2466" s="22"/>
      <c r="F2466" s="19"/>
      <c r="G2466" s="26" t="str">
        <f aca="false">IF(D2466="","",IFERROR(VALUE(LEFT(D2466,FIND(" |",D2466&amp;" |")-1)),"?"))</f>
        <v/>
      </c>
      <c r="H2466" s="27" t="str">
        <f aca="false">IF(G2466="","",IF(G2466="?","⚠ pub inconnue",IFERROR(INDEX(Pubs!$B$2:$B$3001,MATCH(G2466,Pubs!$A$2:$A$3001,0))&amp;"","⚠ pub inconnue")))</f>
        <v/>
      </c>
      <c r="I2466" s="27" t="str">
        <f aca="false">IF(OR(G2466="",G2466="?"),"",IFERROR(INDEX(Pubs!$C$2:$C$3001,MATCH(G2466,Pubs!$A$2:$A$3001,0))&amp;"",""))</f>
        <v/>
      </c>
      <c r="J2466" s="27" t="str">
        <f aca="false">IF(OR(G2466="",G2466="?"),"",IFERROR(INDEX(Pubs!$G$2:$G$3001,MATCH(G2466,Pubs!$A$2:$A$3001,0))&amp;"",""))</f>
        <v/>
      </c>
      <c r="K2466" s="28" t="str">
        <f aca="false">IF(OR(G2466="",G2466="?"),"",IFERROR(INDEX(Pubs!$E$2:$E$3001,MATCH(G2466,Pubs!$A$2:$A$3001,0)),""))</f>
        <v/>
      </c>
      <c r="L2466" s="29" t="str">
        <f aca="false">IF(A2466="","",IFERROR(1/(1/INDEX(Numéros!$C$2:$C$3001,MATCH(A2466&amp;"|"&amp;B2466,Numéros!$F$2:$F$3001,0))),""))</f>
        <v/>
      </c>
      <c r="M2466" s="27" t="str">
        <f aca="false">IF(OR(G2466="",G2466="?"),"",IFERROR(INDEX(Pubs!$D$2:$D$3001,MATCH(G2466,Pubs!$A$2:$A$3001,0))&amp;"",""))</f>
        <v/>
      </c>
      <c r="N2466" s="27" t="n">
        <f aca="false">N(N2465)+IF(AND(A2466&lt;&gt;"",OR(Recherche!$C$4="",A2466=Recherche!$C$4),OR(Recherche!$C$5="",B2466&amp;""=Recherche!$C$5&amp;""),OR(Recherche!$C$6="",IFERROR(YEAR(L2466),0)=Recherche!$C$6),OR(Recherche!$C$7="",ISNUMBER(SEARCH(Recherche!$C$7,H2466))),OR(Recherche!$C$8="",J2466=Recherche!$C$8),OR(Recherche!$C$9="",I2466=Recherche!$C$9),OR(Recherche!$C$10="",G2466&amp;""=Recherche!$C$10&amp;""),OR(Recherche!$C$11="",E2466=Recherche!$C$11),OR(Recherche!$C$12="",ISNUMBER(SEARCH(Recherche!$C$12,M2466&amp;" "&amp;F2466)))),1,0)</f>
        <v>8</v>
      </c>
    </row>
    <row r="2467" customFormat="false" ht="15" hidden="false" customHeight="false" outlineLevel="0" collapsed="false">
      <c r="A2467" s="19"/>
      <c r="B2467" s="19"/>
      <c r="C2467" s="19"/>
      <c r="D2467" s="19"/>
      <c r="E2467" s="22"/>
      <c r="F2467" s="19"/>
      <c r="G2467" s="26" t="str">
        <f aca="false">IF(D2467="","",IFERROR(VALUE(LEFT(D2467,FIND(" |",D2467&amp;" |")-1)),"?"))</f>
        <v/>
      </c>
      <c r="H2467" s="27" t="str">
        <f aca="false">IF(G2467="","",IF(G2467="?","⚠ pub inconnue",IFERROR(INDEX(Pubs!$B$2:$B$3001,MATCH(G2467,Pubs!$A$2:$A$3001,0))&amp;"","⚠ pub inconnue")))</f>
        <v/>
      </c>
      <c r="I2467" s="27" t="str">
        <f aca="false">IF(OR(G2467="",G2467="?"),"",IFERROR(INDEX(Pubs!$C$2:$C$3001,MATCH(G2467,Pubs!$A$2:$A$3001,0))&amp;"",""))</f>
        <v/>
      </c>
      <c r="J2467" s="27" t="str">
        <f aca="false">IF(OR(G2467="",G2467="?"),"",IFERROR(INDEX(Pubs!$G$2:$G$3001,MATCH(G2467,Pubs!$A$2:$A$3001,0))&amp;"",""))</f>
        <v/>
      </c>
      <c r="K2467" s="28" t="str">
        <f aca="false">IF(OR(G2467="",G2467="?"),"",IFERROR(INDEX(Pubs!$E$2:$E$3001,MATCH(G2467,Pubs!$A$2:$A$3001,0)),""))</f>
        <v/>
      </c>
      <c r="L2467" s="29" t="str">
        <f aca="false">IF(A2467="","",IFERROR(1/(1/INDEX(Numéros!$C$2:$C$3001,MATCH(A2467&amp;"|"&amp;B2467,Numéros!$F$2:$F$3001,0))),""))</f>
        <v/>
      </c>
      <c r="M2467" s="27" t="str">
        <f aca="false">IF(OR(G2467="",G2467="?"),"",IFERROR(INDEX(Pubs!$D$2:$D$3001,MATCH(G2467,Pubs!$A$2:$A$3001,0))&amp;"",""))</f>
        <v/>
      </c>
      <c r="N2467" s="27" t="n">
        <f aca="false">N(N2466)+IF(AND(A2467&lt;&gt;"",OR(Recherche!$C$4="",A2467=Recherche!$C$4),OR(Recherche!$C$5="",B2467&amp;""=Recherche!$C$5&amp;""),OR(Recherche!$C$6="",IFERROR(YEAR(L2467),0)=Recherche!$C$6),OR(Recherche!$C$7="",ISNUMBER(SEARCH(Recherche!$C$7,H2467))),OR(Recherche!$C$8="",J2467=Recherche!$C$8),OR(Recherche!$C$9="",I2467=Recherche!$C$9),OR(Recherche!$C$10="",G2467&amp;""=Recherche!$C$10&amp;""),OR(Recherche!$C$11="",E2467=Recherche!$C$11),OR(Recherche!$C$12="",ISNUMBER(SEARCH(Recherche!$C$12,M2467&amp;" "&amp;F2467)))),1,0)</f>
        <v>8</v>
      </c>
    </row>
    <row r="2468" customFormat="false" ht="15" hidden="false" customHeight="false" outlineLevel="0" collapsed="false">
      <c r="A2468" s="19"/>
      <c r="B2468" s="19"/>
      <c r="C2468" s="19"/>
      <c r="D2468" s="19"/>
      <c r="E2468" s="22"/>
      <c r="F2468" s="19"/>
      <c r="G2468" s="26" t="str">
        <f aca="false">IF(D2468="","",IFERROR(VALUE(LEFT(D2468,FIND(" |",D2468&amp;" |")-1)),"?"))</f>
        <v/>
      </c>
      <c r="H2468" s="27" t="str">
        <f aca="false">IF(G2468="","",IF(G2468="?","⚠ pub inconnue",IFERROR(INDEX(Pubs!$B$2:$B$3001,MATCH(G2468,Pubs!$A$2:$A$3001,0))&amp;"","⚠ pub inconnue")))</f>
        <v/>
      </c>
      <c r="I2468" s="27" t="str">
        <f aca="false">IF(OR(G2468="",G2468="?"),"",IFERROR(INDEX(Pubs!$C$2:$C$3001,MATCH(G2468,Pubs!$A$2:$A$3001,0))&amp;"",""))</f>
        <v/>
      </c>
      <c r="J2468" s="27" t="str">
        <f aca="false">IF(OR(G2468="",G2468="?"),"",IFERROR(INDEX(Pubs!$G$2:$G$3001,MATCH(G2468,Pubs!$A$2:$A$3001,0))&amp;"",""))</f>
        <v/>
      </c>
      <c r="K2468" s="28" t="str">
        <f aca="false">IF(OR(G2468="",G2468="?"),"",IFERROR(INDEX(Pubs!$E$2:$E$3001,MATCH(G2468,Pubs!$A$2:$A$3001,0)),""))</f>
        <v/>
      </c>
      <c r="L2468" s="29" t="str">
        <f aca="false">IF(A2468="","",IFERROR(1/(1/INDEX(Numéros!$C$2:$C$3001,MATCH(A2468&amp;"|"&amp;B2468,Numéros!$F$2:$F$3001,0))),""))</f>
        <v/>
      </c>
      <c r="M2468" s="27" t="str">
        <f aca="false">IF(OR(G2468="",G2468="?"),"",IFERROR(INDEX(Pubs!$D$2:$D$3001,MATCH(G2468,Pubs!$A$2:$A$3001,0))&amp;"",""))</f>
        <v/>
      </c>
      <c r="N2468" s="27" t="n">
        <f aca="false">N(N2467)+IF(AND(A2468&lt;&gt;"",OR(Recherche!$C$4="",A2468=Recherche!$C$4),OR(Recherche!$C$5="",B2468&amp;""=Recherche!$C$5&amp;""),OR(Recherche!$C$6="",IFERROR(YEAR(L2468),0)=Recherche!$C$6),OR(Recherche!$C$7="",ISNUMBER(SEARCH(Recherche!$C$7,H2468))),OR(Recherche!$C$8="",J2468=Recherche!$C$8),OR(Recherche!$C$9="",I2468=Recherche!$C$9),OR(Recherche!$C$10="",G2468&amp;""=Recherche!$C$10&amp;""),OR(Recherche!$C$11="",E2468=Recherche!$C$11),OR(Recherche!$C$12="",ISNUMBER(SEARCH(Recherche!$C$12,M2468&amp;" "&amp;F2468)))),1,0)</f>
        <v>8</v>
      </c>
    </row>
    <row r="2469" customFormat="false" ht="15" hidden="false" customHeight="false" outlineLevel="0" collapsed="false">
      <c r="A2469" s="19"/>
      <c r="B2469" s="19"/>
      <c r="C2469" s="19"/>
      <c r="D2469" s="19"/>
      <c r="E2469" s="22"/>
      <c r="F2469" s="19"/>
      <c r="G2469" s="26" t="str">
        <f aca="false">IF(D2469="","",IFERROR(VALUE(LEFT(D2469,FIND(" |",D2469&amp;" |")-1)),"?"))</f>
        <v/>
      </c>
      <c r="H2469" s="27" t="str">
        <f aca="false">IF(G2469="","",IF(G2469="?","⚠ pub inconnue",IFERROR(INDEX(Pubs!$B$2:$B$3001,MATCH(G2469,Pubs!$A$2:$A$3001,0))&amp;"","⚠ pub inconnue")))</f>
        <v/>
      </c>
      <c r="I2469" s="27" t="str">
        <f aca="false">IF(OR(G2469="",G2469="?"),"",IFERROR(INDEX(Pubs!$C$2:$C$3001,MATCH(G2469,Pubs!$A$2:$A$3001,0))&amp;"",""))</f>
        <v/>
      </c>
      <c r="J2469" s="27" t="str">
        <f aca="false">IF(OR(G2469="",G2469="?"),"",IFERROR(INDEX(Pubs!$G$2:$G$3001,MATCH(G2469,Pubs!$A$2:$A$3001,0))&amp;"",""))</f>
        <v/>
      </c>
      <c r="K2469" s="28" t="str">
        <f aca="false">IF(OR(G2469="",G2469="?"),"",IFERROR(INDEX(Pubs!$E$2:$E$3001,MATCH(G2469,Pubs!$A$2:$A$3001,0)),""))</f>
        <v/>
      </c>
      <c r="L2469" s="29" t="str">
        <f aca="false">IF(A2469="","",IFERROR(1/(1/INDEX(Numéros!$C$2:$C$3001,MATCH(A2469&amp;"|"&amp;B2469,Numéros!$F$2:$F$3001,0))),""))</f>
        <v/>
      </c>
      <c r="M2469" s="27" t="str">
        <f aca="false">IF(OR(G2469="",G2469="?"),"",IFERROR(INDEX(Pubs!$D$2:$D$3001,MATCH(G2469,Pubs!$A$2:$A$3001,0))&amp;"",""))</f>
        <v/>
      </c>
      <c r="N2469" s="27" t="n">
        <f aca="false">N(N2468)+IF(AND(A2469&lt;&gt;"",OR(Recherche!$C$4="",A2469=Recherche!$C$4),OR(Recherche!$C$5="",B2469&amp;""=Recherche!$C$5&amp;""),OR(Recherche!$C$6="",IFERROR(YEAR(L2469),0)=Recherche!$C$6),OR(Recherche!$C$7="",ISNUMBER(SEARCH(Recherche!$C$7,H2469))),OR(Recherche!$C$8="",J2469=Recherche!$C$8),OR(Recherche!$C$9="",I2469=Recherche!$C$9),OR(Recherche!$C$10="",G2469&amp;""=Recherche!$C$10&amp;""),OR(Recherche!$C$11="",E2469=Recherche!$C$11),OR(Recherche!$C$12="",ISNUMBER(SEARCH(Recherche!$C$12,M2469&amp;" "&amp;F2469)))),1,0)</f>
        <v>8</v>
      </c>
    </row>
    <row r="2470" customFormat="false" ht="15" hidden="false" customHeight="false" outlineLevel="0" collapsed="false">
      <c r="A2470" s="19"/>
      <c r="B2470" s="19"/>
      <c r="C2470" s="19"/>
      <c r="D2470" s="19"/>
      <c r="E2470" s="22"/>
      <c r="F2470" s="19"/>
      <c r="G2470" s="26" t="str">
        <f aca="false">IF(D2470="","",IFERROR(VALUE(LEFT(D2470,FIND(" |",D2470&amp;" |")-1)),"?"))</f>
        <v/>
      </c>
      <c r="H2470" s="27" t="str">
        <f aca="false">IF(G2470="","",IF(G2470="?","⚠ pub inconnue",IFERROR(INDEX(Pubs!$B$2:$B$3001,MATCH(G2470,Pubs!$A$2:$A$3001,0))&amp;"","⚠ pub inconnue")))</f>
        <v/>
      </c>
      <c r="I2470" s="27" t="str">
        <f aca="false">IF(OR(G2470="",G2470="?"),"",IFERROR(INDEX(Pubs!$C$2:$C$3001,MATCH(G2470,Pubs!$A$2:$A$3001,0))&amp;"",""))</f>
        <v/>
      </c>
      <c r="J2470" s="27" t="str">
        <f aca="false">IF(OR(G2470="",G2470="?"),"",IFERROR(INDEX(Pubs!$G$2:$G$3001,MATCH(G2470,Pubs!$A$2:$A$3001,0))&amp;"",""))</f>
        <v/>
      </c>
      <c r="K2470" s="28" t="str">
        <f aca="false">IF(OR(G2470="",G2470="?"),"",IFERROR(INDEX(Pubs!$E$2:$E$3001,MATCH(G2470,Pubs!$A$2:$A$3001,0)),""))</f>
        <v/>
      </c>
      <c r="L2470" s="29" t="str">
        <f aca="false">IF(A2470="","",IFERROR(1/(1/INDEX(Numéros!$C$2:$C$3001,MATCH(A2470&amp;"|"&amp;B2470,Numéros!$F$2:$F$3001,0))),""))</f>
        <v/>
      </c>
      <c r="M2470" s="27" t="str">
        <f aca="false">IF(OR(G2470="",G2470="?"),"",IFERROR(INDEX(Pubs!$D$2:$D$3001,MATCH(G2470,Pubs!$A$2:$A$3001,0))&amp;"",""))</f>
        <v/>
      </c>
      <c r="N2470" s="27" t="n">
        <f aca="false">N(N2469)+IF(AND(A2470&lt;&gt;"",OR(Recherche!$C$4="",A2470=Recherche!$C$4),OR(Recherche!$C$5="",B2470&amp;""=Recherche!$C$5&amp;""),OR(Recherche!$C$6="",IFERROR(YEAR(L2470),0)=Recherche!$C$6),OR(Recherche!$C$7="",ISNUMBER(SEARCH(Recherche!$C$7,H2470))),OR(Recherche!$C$8="",J2470=Recherche!$C$8),OR(Recherche!$C$9="",I2470=Recherche!$C$9),OR(Recherche!$C$10="",G2470&amp;""=Recherche!$C$10&amp;""),OR(Recherche!$C$11="",E2470=Recherche!$C$11),OR(Recherche!$C$12="",ISNUMBER(SEARCH(Recherche!$C$12,M2470&amp;" "&amp;F2470)))),1,0)</f>
        <v>8</v>
      </c>
    </row>
    <row r="2471" customFormat="false" ht="15" hidden="false" customHeight="false" outlineLevel="0" collapsed="false">
      <c r="A2471" s="19"/>
      <c r="B2471" s="19"/>
      <c r="C2471" s="19"/>
      <c r="D2471" s="19"/>
      <c r="E2471" s="22"/>
      <c r="F2471" s="19"/>
      <c r="G2471" s="26" t="str">
        <f aca="false">IF(D2471="","",IFERROR(VALUE(LEFT(D2471,FIND(" |",D2471&amp;" |")-1)),"?"))</f>
        <v/>
      </c>
      <c r="H2471" s="27" t="str">
        <f aca="false">IF(G2471="","",IF(G2471="?","⚠ pub inconnue",IFERROR(INDEX(Pubs!$B$2:$B$3001,MATCH(G2471,Pubs!$A$2:$A$3001,0))&amp;"","⚠ pub inconnue")))</f>
        <v/>
      </c>
      <c r="I2471" s="27" t="str">
        <f aca="false">IF(OR(G2471="",G2471="?"),"",IFERROR(INDEX(Pubs!$C$2:$C$3001,MATCH(G2471,Pubs!$A$2:$A$3001,0))&amp;"",""))</f>
        <v/>
      </c>
      <c r="J2471" s="27" t="str">
        <f aca="false">IF(OR(G2471="",G2471="?"),"",IFERROR(INDEX(Pubs!$G$2:$G$3001,MATCH(G2471,Pubs!$A$2:$A$3001,0))&amp;"",""))</f>
        <v/>
      </c>
      <c r="K2471" s="28" t="str">
        <f aca="false">IF(OR(G2471="",G2471="?"),"",IFERROR(INDEX(Pubs!$E$2:$E$3001,MATCH(G2471,Pubs!$A$2:$A$3001,0)),""))</f>
        <v/>
      </c>
      <c r="L2471" s="29" t="str">
        <f aca="false">IF(A2471="","",IFERROR(1/(1/INDEX(Numéros!$C$2:$C$3001,MATCH(A2471&amp;"|"&amp;B2471,Numéros!$F$2:$F$3001,0))),""))</f>
        <v/>
      </c>
      <c r="M2471" s="27" t="str">
        <f aca="false">IF(OR(G2471="",G2471="?"),"",IFERROR(INDEX(Pubs!$D$2:$D$3001,MATCH(G2471,Pubs!$A$2:$A$3001,0))&amp;"",""))</f>
        <v/>
      </c>
      <c r="N2471" s="27" t="n">
        <f aca="false">N(N2470)+IF(AND(A2471&lt;&gt;"",OR(Recherche!$C$4="",A2471=Recherche!$C$4),OR(Recherche!$C$5="",B2471&amp;""=Recherche!$C$5&amp;""),OR(Recherche!$C$6="",IFERROR(YEAR(L2471),0)=Recherche!$C$6),OR(Recherche!$C$7="",ISNUMBER(SEARCH(Recherche!$C$7,H2471))),OR(Recherche!$C$8="",J2471=Recherche!$C$8),OR(Recherche!$C$9="",I2471=Recherche!$C$9),OR(Recherche!$C$10="",G2471&amp;""=Recherche!$C$10&amp;""),OR(Recherche!$C$11="",E2471=Recherche!$C$11),OR(Recherche!$C$12="",ISNUMBER(SEARCH(Recherche!$C$12,M2471&amp;" "&amp;F2471)))),1,0)</f>
        <v>8</v>
      </c>
    </row>
    <row r="2472" customFormat="false" ht="15" hidden="false" customHeight="false" outlineLevel="0" collapsed="false">
      <c r="A2472" s="19"/>
      <c r="B2472" s="19"/>
      <c r="C2472" s="19"/>
      <c r="D2472" s="19"/>
      <c r="E2472" s="22"/>
      <c r="F2472" s="19"/>
      <c r="G2472" s="26" t="str">
        <f aca="false">IF(D2472="","",IFERROR(VALUE(LEFT(D2472,FIND(" |",D2472&amp;" |")-1)),"?"))</f>
        <v/>
      </c>
      <c r="H2472" s="27" t="str">
        <f aca="false">IF(G2472="","",IF(G2472="?","⚠ pub inconnue",IFERROR(INDEX(Pubs!$B$2:$B$3001,MATCH(G2472,Pubs!$A$2:$A$3001,0))&amp;"","⚠ pub inconnue")))</f>
        <v/>
      </c>
      <c r="I2472" s="27" t="str">
        <f aca="false">IF(OR(G2472="",G2472="?"),"",IFERROR(INDEX(Pubs!$C$2:$C$3001,MATCH(G2472,Pubs!$A$2:$A$3001,0))&amp;"",""))</f>
        <v/>
      </c>
      <c r="J2472" s="27" t="str">
        <f aca="false">IF(OR(G2472="",G2472="?"),"",IFERROR(INDEX(Pubs!$G$2:$G$3001,MATCH(G2472,Pubs!$A$2:$A$3001,0))&amp;"",""))</f>
        <v/>
      </c>
      <c r="K2472" s="28" t="str">
        <f aca="false">IF(OR(G2472="",G2472="?"),"",IFERROR(INDEX(Pubs!$E$2:$E$3001,MATCH(G2472,Pubs!$A$2:$A$3001,0)),""))</f>
        <v/>
      </c>
      <c r="L2472" s="29" t="str">
        <f aca="false">IF(A2472="","",IFERROR(1/(1/INDEX(Numéros!$C$2:$C$3001,MATCH(A2472&amp;"|"&amp;B2472,Numéros!$F$2:$F$3001,0))),""))</f>
        <v/>
      </c>
      <c r="M2472" s="27" t="str">
        <f aca="false">IF(OR(G2472="",G2472="?"),"",IFERROR(INDEX(Pubs!$D$2:$D$3001,MATCH(G2472,Pubs!$A$2:$A$3001,0))&amp;"",""))</f>
        <v/>
      </c>
      <c r="N2472" s="27" t="n">
        <f aca="false">N(N2471)+IF(AND(A2472&lt;&gt;"",OR(Recherche!$C$4="",A2472=Recherche!$C$4),OR(Recherche!$C$5="",B2472&amp;""=Recherche!$C$5&amp;""),OR(Recherche!$C$6="",IFERROR(YEAR(L2472),0)=Recherche!$C$6),OR(Recherche!$C$7="",ISNUMBER(SEARCH(Recherche!$C$7,H2472))),OR(Recherche!$C$8="",J2472=Recherche!$C$8),OR(Recherche!$C$9="",I2472=Recherche!$C$9),OR(Recherche!$C$10="",G2472&amp;""=Recherche!$C$10&amp;""),OR(Recherche!$C$11="",E2472=Recherche!$C$11),OR(Recherche!$C$12="",ISNUMBER(SEARCH(Recherche!$C$12,M2472&amp;" "&amp;F2472)))),1,0)</f>
        <v>8</v>
      </c>
    </row>
    <row r="2473" customFormat="false" ht="15" hidden="false" customHeight="false" outlineLevel="0" collapsed="false">
      <c r="A2473" s="19"/>
      <c r="B2473" s="19"/>
      <c r="C2473" s="19"/>
      <c r="D2473" s="19"/>
      <c r="E2473" s="22"/>
      <c r="F2473" s="19"/>
      <c r="G2473" s="26" t="str">
        <f aca="false">IF(D2473="","",IFERROR(VALUE(LEFT(D2473,FIND(" |",D2473&amp;" |")-1)),"?"))</f>
        <v/>
      </c>
      <c r="H2473" s="27" t="str">
        <f aca="false">IF(G2473="","",IF(G2473="?","⚠ pub inconnue",IFERROR(INDEX(Pubs!$B$2:$B$3001,MATCH(G2473,Pubs!$A$2:$A$3001,0))&amp;"","⚠ pub inconnue")))</f>
        <v/>
      </c>
      <c r="I2473" s="27" t="str">
        <f aca="false">IF(OR(G2473="",G2473="?"),"",IFERROR(INDEX(Pubs!$C$2:$C$3001,MATCH(G2473,Pubs!$A$2:$A$3001,0))&amp;"",""))</f>
        <v/>
      </c>
      <c r="J2473" s="27" t="str">
        <f aca="false">IF(OR(G2473="",G2473="?"),"",IFERROR(INDEX(Pubs!$G$2:$G$3001,MATCH(G2473,Pubs!$A$2:$A$3001,0))&amp;"",""))</f>
        <v/>
      </c>
      <c r="K2473" s="28" t="str">
        <f aca="false">IF(OR(G2473="",G2473="?"),"",IFERROR(INDEX(Pubs!$E$2:$E$3001,MATCH(G2473,Pubs!$A$2:$A$3001,0)),""))</f>
        <v/>
      </c>
      <c r="L2473" s="29" t="str">
        <f aca="false">IF(A2473="","",IFERROR(1/(1/INDEX(Numéros!$C$2:$C$3001,MATCH(A2473&amp;"|"&amp;B2473,Numéros!$F$2:$F$3001,0))),""))</f>
        <v/>
      </c>
      <c r="M2473" s="27" t="str">
        <f aca="false">IF(OR(G2473="",G2473="?"),"",IFERROR(INDEX(Pubs!$D$2:$D$3001,MATCH(G2473,Pubs!$A$2:$A$3001,0))&amp;"",""))</f>
        <v/>
      </c>
      <c r="N2473" s="27" t="n">
        <f aca="false">N(N2472)+IF(AND(A2473&lt;&gt;"",OR(Recherche!$C$4="",A2473=Recherche!$C$4),OR(Recherche!$C$5="",B2473&amp;""=Recherche!$C$5&amp;""),OR(Recherche!$C$6="",IFERROR(YEAR(L2473),0)=Recherche!$C$6),OR(Recherche!$C$7="",ISNUMBER(SEARCH(Recherche!$C$7,H2473))),OR(Recherche!$C$8="",J2473=Recherche!$C$8),OR(Recherche!$C$9="",I2473=Recherche!$C$9),OR(Recherche!$C$10="",G2473&amp;""=Recherche!$C$10&amp;""),OR(Recherche!$C$11="",E2473=Recherche!$C$11),OR(Recherche!$C$12="",ISNUMBER(SEARCH(Recherche!$C$12,M2473&amp;" "&amp;F2473)))),1,0)</f>
        <v>8</v>
      </c>
    </row>
    <row r="2474" customFormat="false" ht="15" hidden="false" customHeight="false" outlineLevel="0" collapsed="false">
      <c r="A2474" s="19"/>
      <c r="B2474" s="19"/>
      <c r="C2474" s="19"/>
      <c r="D2474" s="19"/>
      <c r="E2474" s="22"/>
      <c r="F2474" s="19"/>
      <c r="G2474" s="26" t="str">
        <f aca="false">IF(D2474="","",IFERROR(VALUE(LEFT(D2474,FIND(" |",D2474&amp;" |")-1)),"?"))</f>
        <v/>
      </c>
      <c r="H2474" s="27" t="str">
        <f aca="false">IF(G2474="","",IF(G2474="?","⚠ pub inconnue",IFERROR(INDEX(Pubs!$B$2:$B$3001,MATCH(G2474,Pubs!$A$2:$A$3001,0))&amp;"","⚠ pub inconnue")))</f>
        <v/>
      </c>
      <c r="I2474" s="27" t="str">
        <f aca="false">IF(OR(G2474="",G2474="?"),"",IFERROR(INDEX(Pubs!$C$2:$C$3001,MATCH(G2474,Pubs!$A$2:$A$3001,0))&amp;"",""))</f>
        <v/>
      </c>
      <c r="J2474" s="27" t="str">
        <f aca="false">IF(OR(G2474="",G2474="?"),"",IFERROR(INDEX(Pubs!$G$2:$G$3001,MATCH(G2474,Pubs!$A$2:$A$3001,0))&amp;"",""))</f>
        <v/>
      </c>
      <c r="K2474" s="28" t="str">
        <f aca="false">IF(OR(G2474="",G2474="?"),"",IFERROR(INDEX(Pubs!$E$2:$E$3001,MATCH(G2474,Pubs!$A$2:$A$3001,0)),""))</f>
        <v/>
      </c>
      <c r="L2474" s="29" t="str">
        <f aca="false">IF(A2474="","",IFERROR(1/(1/INDEX(Numéros!$C$2:$C$3001,MATCH(A2474&amp;"|"&amp;B2474,Numéros!$F$2:$F$3001,0))),""))</f>
        <v/>
      </c>
      <c r="M2474" s="27" t="str">
        <f aca="false">IF(OR(G2474="",G2474="?"),"",IFERROR(INDEX(Pubs!$D$2:$D$3001,MATCH(G2474,Pubs!$A$2:$A$3001,0))&amp;"",""))</f>
        <v/>
      </c>
      <c r="N2474" s="27" t="n">
        <f aca="false">N(N2473)+IF(AND(A2474&lt;&gt;"",OR(Recherche!$C$4="",A2474=Recherche!$C$4),OR(Recherche!$C$5="",B2474&amp;""=Recherche!$C$5&amp;""),OR(Recherche!$C$6="",IFERROR(YEAR(L2474),0)=Recherche!$C$6),OR(Recherche!$C$7="",ISNUMBER(SEARCH(Recherche!$C$7,H2474))),OR(Recherche!$C$8="",J2474=Recherche!$C$8),OR(Recherche!$C$9="",I2474=Recherche!$C$9),OR(Recherche!$C$10="",G2474&amp;""=Recherche!$C$10&amp;""),OR(Recherche!$C$11="",E2474=Recherche!$C$11),OR(Recherche!$C$12="",ISNUMBER(SEARCH(Recherche!$C$12,M2474&amp;" "&amp;F2474)))),1,0)</f>
        <v>8</v>
      </c>
    </row>
    <row r="2475" customFormat="false" ht="15" hidden="false" customHeight="false" outlineLevel="0" collapsed="false">
      <c r="A2475" s="19"/>
      <c r="B2475" s="19"/>
      <c r="C2475" s="19"/>
      <c r="D2475" s="19"/>
      <c r="E2475" s="22"/>
      <c r="F2475" s="19"/>
      <c r="G2475" s="26" t="str">
        <f aca="false">IF(D2475="","",IFERROR(VALUE(LEFT(D2475,FIND(" |",D2475&amp;" |")-1)),"?"))</f>
        <v/>
      </c>
      <c r="H2475" s="27" t="str">
        <f aca="false">IF(G2475="","",IF(G2475="?","⚠ pub inconnue",IFERROR(INDEX(Pubs!$B$2:$B$3001,MATCH(G2475,Pubs!$A$2:$A$3001,0))&amp;"","⚠ pub inconnue")))</f>
        <v/>
      </c>
      <c r="I2475" s="27" t="str">
        <f aca="false">IF(OR(G2475="",G2475="?"),"",IFERROR(INDEX(Pubs!$C$2:$C$3001,MATCH(G2475,Pubs!$A$2:$A$3001,0))&amp;"",""))</f>
        <v/>
      </c>
      <c r="J2475" s="27" t="str">
        <f aca="false">IF(OR(G2475="",G2475="?"),"",IFERROR(INDEX(Pubs!$G$2:$G$3001,MATCH(G2475,Pubs!$A$2:$A$3001,0))&amp;"",""))</f>
        <v/>
      </c>
      <c r="K2475" s="28" t="str">
        <f aca="false">IF(OR(G2475="",G2475="?"),"",IFERROR(INDEX(Pubs!$E$2:$E$3001,MATCH(G2475,Pubs!$A$2:$A$3001,0)),""))</f>
        <v/>
      </c>
      <c r="L2475" s="29" t="str">
        <f aca="false">IF(A2475="","",IFERROR(1/(1/INDEX(Numéros!$C$2:$C$3001,MATCH(A2475&amp;"|"&amp;B2475,Numéros!$F$2:$F$3001,0))),""))</f>
        <v/>
      </c>
      <c r="M2475" s="27" t="str">
        <f aca="false">IF(OR(G2475="",G2475="?"),"",IFERROR(INDEX(Pubs!$D$2:$D$3001,MATCH(G2475,Pubs!$A$2:$A$3001,0))&amp;"",""))</f>
        <v/>
      </c>
      <c r="N2475" s="27" t="n">
        <f aca="false">N(N2474)+IF(AND(A2475&lt;&gt;"",OR(Recherche!$C$4="",A2475=Recherche!$C$4),OR(Recherche!$C$5="",B2475&amp;""=Recherche!$C$5&amp;""),OR(Recherche!$C$6="",IFERROR(YEAR(L2475),0)=Recherche!$C$6),OR(Recherche!$C$7="",ISNUMBER(SEARCH(Recherche!$C$7,H2475))),OR(Recherche!$C$8="",J2475=Recherche!$C$8),OR(Recherche!$C$9="",I2475=Recherche!$C$9),OR(Recherche!$C$10="",G2475&amp;""=Recherche!$C$10&amp;""),OR(Recherche!$C$11="",E2475=Recherche!$C$11),OR(Recherche!$C$12="",ISNUMBER(SEARCH(Recherche!$C$12,M2475&amp;" "&amp;F2475)))),1,0)</f>
        <v>8</v>
      </c>
    </row>
    <row r="2476" customFormat="false" ht="15" hidden="false" customHeight="false" outlineLevel="0" collapsed="false">
      <c r="A2476" s="19"/>
      <c r="B2476" s="19"/>
      <c r="C2476" s="19"/>
      <c r="D2476" s="19"/>
      <c r="E2476" s="22"/>
      <c r="F2476" s="19"/>
      <c r="G2476" s="26" t="str">
        <f aca="false">IF(D2476="","",IFERROR(VALUE(LEFT(D2476,FIND(" |",D2476&amp;" |")-1)),"?"))</f>
        <v/>
      </c>
      <c r="H2476" s="27" t="str">
        <f aca="false">IF(G2476="","",IF(G2476="?","⚠ pub inconnue",IFERROR(INDEX(Pubs!$B$2:$B$3001,MATCH(G2476,Pubs!$A$2:$A$3001,0))&amp;"","⚠ pub inconnue")))</f>
        <v/>
      </c>
      <c r="I2476" s="27" t="str">
        <f aca="false">IF(OR(G2476="",G2476="?"),"",IFERROR(INDEX(Pubs!$C$2:$C$3001,MATCH(G2476,Pubs!$A$2:$A$3001,0))&amp;"",""))</f>
        <v/>
      </c>
      <c r="J2476" s="27" t="str">
        <f aca="false">IF(OR(G2476="",G2476="?"),"",IFERROR(INDEX(Pubs!$G$2:$G$3001,MATCH(G2476,Pubs!$A$2:$A$3001,0))&amp;"",""))</f>
        <v/>
      </c>
      <c r="K2476" s="28" t="str">
        <f aca="false">IF(OR(G2476="",G2476="?"),"",IFERROR(INDEX(Pubs!$E$2:$E$3001,MATCH(G2476,Pubs!$A$2:$A$3001,0)),""))</f>
        <v/>
      </c>
      <c r="L2476" s="29" t="str">
        <f aca="false">IF(A2476="","",IFERROR(1/(1/INDEX(Numéros!$C$2:$C$3001,MATCH(A2476&amp;"|"&amp;B2476,Numéros!$F$2:$F$3001,0))),""))</f>
        <v/>
      </c>
      <c r="M2476" s="27" t="str">
        <f aca="false">IF(OR(G2476="",G2476="?"),"",IFERROR(INDEX(Pubs!$D$2:$D$3001,MATCH(G2476,Pubs!$A$2:$A$3001,0))&amp;"",""))</f>
        <v/>
      </c>
      <c r="N2476" s="27" t="n">
        <f aca="false">N(N2475)+IF(AND(A2476&lt;&gt;"",OR(Recherche!$C$4="",A2476=Recherche!$C$4),OR(Recherche!$C$5="",B2476&amp;""=Recherche!$C$5&amp;""),OR(Recherche!$C$6="",IFERROR(YEAR(L2476),0)=Recherche!$C$6),OR(Recherche!$C$7="",ISNUMBER(SEARCH(Recherche!$C$7,H2476))),OR(Recherche!$C$8="",J2476=Recherche!$C$8),OR(Recherche!$C$9="",I2476=Recherche!$C$9),OR(Recherche!$C$10="",G2476&amp;""=Recherche!$C$10&amp;""),OR(Recherche!$C$11="",E2476=Recherche!$C$11),OR(Recherche!$C$12="",ISNUMBER(SEARCH(Recherche!$C$12,M2476&amp;" "&amp;F2476)))),1,0)</f>
        <v>8</v>
      </c>
    </row>
    <row r="2477" customFormat="false" ht="15" hidden="false" customHeight="false" outlineLevel="0" collapsed="false">
      <c r="A2477" s="19"/>
      <c r="B2477" s="19"/>
      <c r="C2477" s="19"/>
      <c r="D2477" s="19"/>
      <c r="E2477" s="22"/>
      <c r="F2477" s="19"/>
      <c r="G2477" s="26" t="str">
        <f aca="false">IF(D2477="","",IFERROR(VALUE(LEFT(D2477,FIND(" |",D2477&amp;" |")-1)),"?"))</f>
        <v/>
      </c>
      <c r="H2477" s="27" t="str">
        <f aca="false">IF(G2477="","",IF(G2477="?","⚠ pub inconnue",IFERROR(INDEX(Pubs!$B$2:$B$3001,MATCH(G2477,Pubs!$A$2:$A$3001,0))&amp;"","⚠ pub inconnue")))</f>
        <v/>
      </c>
      <c r="I2477" s="27" t="str">
        <f aca="false">IF(OR(G2477="",G2477="?"),"",IFERROR(INDEX(Pubs!$C$2:$C$3001,MATCH(G2477,Pubs!$A$2:$A$3001,0))&amp;"",""))</f>
        <v/>
      </c>
      <c r="J2477" s="27" t="str">
        <f aca="false">IF(OR(G2477="",G2477="?"),"",IFERROR(INDEX(Pubs!$G$2:$G$3001,MATCH(G2477,Pubs!$A$2:$A$3001,0))&amp;"",""))</f>
        <v/>
      </c>
      <c r="K2477" s="28" t="str">
        <f aca="false">IF(OR(G2477="",G2477="?"),"",IFERROR(INDEX(Pubs!$E$2:$E$3001,MATCH(G2477,Pubs!$A$2:$A$3001,0)),""))</f>
        <v/>
      </c>
      <c r="L2477" s="29" t="str">
        <f aca="false">IF(A2477="","",IFERROR(1/(1/INDEX(Numéros!$C$2:$C$3001,MATCH(A2477&amp;"|"&amp;B2477,Numéros!$F$2:$F$3001,0))),""))</f>
        <v/>
      </c>
      <c r="M2477" s="27" t="str">
        <f aca="false">IF(OR(G2477="",G2477="?"),"",IFERROR(INDEX(Pubs!$D$2:$D$3001,MATCH(G2477,Pubs!$A$2:$A$3001,0))&amp;"",""))</f>
        <v/>
      </c>
      <c r="N2477" s="27" t="n">
        <f aca="false">N(N2476)+IF(AND(A2477&lt;&gt;"",OR(Recherche!$C$4="",A2477=Recherche!$C$4),OR(Recherche!$C$5="",B2477&amp;""=Recherche!$C$5&amp;""),OR(Recherche!$C$6="",IFERROR(YEAR(L2477),0)=Recherche!$C$6),OR(Recherche!$C$7="",ISNUMBER(SEARCH(Recherche!$C$7,H2477))),OR(Recherche!$C$8="",J2477=Recherche!$C$8),OR(Recherche!$C$9="",I2477=Recherche!$C$9),OR(Recherche!$C$10="",G2477&amp;""=Recherche!$C$10&amp;""),OR(Recherche!$C$11="",E2477=Recherche!$C$11),OR(Recherche!$C$12="",ISNUMBER(SEARCH(Recherche!$C$12,M2477&amp;" "&amp;F2477)))),1,0)</f>
        <v>8</v>
      </c>
    </row>
    <row r="2478" customFormat="false" ht="15" hidden="false" customHeight="false" outlineLevel="0" collapsed="false">
      <c r="A2478" s="19"/>
      <c r="B2478" s="19"/>
      <c r="C2478" s="19"/>
      <c r="D2478" s="19"/>
      <c r="E2478" s="22"/>
      <c r="F2478" s="19"/>
      <c r="G2478" s="26" t="str">
        <f aca="false">IF(D2478="","",IFERROR(VALUE(LEFT(D2478,FIND(" |",D2478&amp;" |")-1)),"?"))</f>
        <v/>
      </c>
      <c r="H2478" s="27" t="str">
        <f aca="false">IF(G2478="","",IF(G2478="?","⚠ pub inconnue",IFERROR(INDEX(Pubs!$B$2:$B$3001,MATCH(G2478,Pubs!$A$2:$A$3001,0))&amp;"","⚠ pub inconnue")))</f>
        <v/>
      </c>
      <c r="I2478" s="27" t="str">
        <f aca="false">IF(OR(G2478="",G2478="?"),"",IFERROR(INDEX(Pubs!$C$2:$C$3001,MATCH(G2478,Pubs!$A$2:$A$3001,0))&amp;"",""))</f>
        <v/>
      </c>
      <c r="J2478" s="27" t="str">
        <f aca="false">IF(OR(G2478="",G2478="?"),"",IFERROR(INDEX(Pubs!$G$2:$G$3001,MATCH(G2478,Pubs!$A$2:$A$3001,0))&amp;"",""))</f>
        <v/>
      </c>
      <c r="K2478" s="28" t="str">
        <f aca="false">IF(OR(G2478="",G2478="?"),"",IFERROR(INDEX(Pubs!$E$2:$E$3001,MATCH(G2478,Pubs!$A$2:$A$3001,0)),""))</f>
        <v/>
      </c>
      <c r="L2478" s="29" t="str">
        <f aca="false">IF(A2478="","",IFERROR(1/(1/INDEX(Numéros!$C$2:$C$3001,MATCH(A2478&amp;"|"&amp;B2478,Numéros!$F$2:$F$3001,0))),""))</f>
        <v/>
      </c>
      <c r="M2478" s="27" t="str">
        <f aca="false">IF(OR(G2478="",G2478="?"),"",IFERROR(INDEX(Pubs!$D$2:$D$3001,MATCH(G2478,Pubs!$A$2:$A$3001,0))&amp;"",""))</f>
        <v/>
      </c>
      <c r="N2478" s="27" t="n">
        <f aca="false">N(N2477)+IF(AND(A2478&lt;&gt;"",OR(Recherche!$C$4="",A2478=Recherche!$C$4),OR(Recherche!$C$5="",B2478&amp;""=Recherche!$C$5&amp;""),OR(Recherche!$C$6="",IFERROR(YEAR(L2478),0)=Recherche!$C$6),OR(Recherche!$C$7="",ISNUMBER(SEARCH(Recherche!$C$7,H2478))),OR(Recherche!$C$8="",J2478=Recherche!$C$8),OR(Recherche!$C$9="",I2478=Recherche!$C$9),OR(Recherche!$C$10="",G2478&amp;""=Recherche!$C$10&amp;""),OR(Recherche!$C$11="",E2478=Recherche!$C$11),OR(Recherche!$C$12="",ISNUMBER(SEARCH(Recherche!$C$12,M2478&amp;" "&amp;F2478)))),1,0)</f>
        <v>8</v>
      </c>
    </row>
    <row r="2479" customFormat="false" ht="15" hidden="false" customHeight="false" outlineLevel="0" collapsed="false">
      <c r="A2479" s="19"/>
      <c r="B2479" s="19"/>
      <c r="C2479" s="19"/>
      <c r="D2479" s="19"/>
      <c r="E2479" s="22"/>
      <c r="F2479" s="19"/>
      <c r="G2479" s="26" t="str">
        <f aca="false">IF(D2479="","",IFERROR(VALUE(LEFT(D2479,FIND(" |",D2479&amp;" |")-1)),"?"))</f>
        <v/>
      </c>
      <c r="H2479" s="27" t="str">
        <f aca="false">IF(G2479="","",IF(G2479="?","⚠ pub inconnue",IFERROR(INDEX(Pubs!$B$2:$B$3001,MATCH(G2479,Pubs!$A$2:$A$3001,0))&amp;"","⚠ pub inconnue")))</f>
        <v/>
      </c>
      <c r="I2479" s="27" t="str">
        <f aca="false">IF(OR(G2479="",G2479="?"),"",IFERROR(INDEX(Pubs!$C$2:$C$3001,MATCH(G2479,Pubs!$A$2:$A$3001,0))&amp;"",""))</f>
        <v/>
      </c>
      <c r="J2479" s="27" t="str">
        <f aca="false">IF(OR(G2479="",G2479="?"),"",IFERROR(INDEX(Pubs!$G$2:$G$3001,MATCH(G2479,Pubs!$A$2:$A$3001,0))&amp;"",""))</f>
        <v/>
      </c>
      <c r="K2479" s="28" t="str">
        <f aca="false">IF(OR(G2479="",G2479="?"),"",IFERROR(INDEX(Pubs!$E$2:$E$3001,MATCH(G2479,Pubs!$A$2:$A$3001,0)),""))</f>
        <v/>
      </c>
      <c r="L2479" s="29" t="str">
        <f aca="false">IF(A2479="","",IFERROR(1/(1/INDEX(Numéros!$C$2:$C$3001,MATCH(A2479&amp;"|"&amp;B2479,Numéros!$F$2:$F$3001,0))),""))</f>
        <v/>
      </c>
      <c r="M2479" s="27" t="str">
        <f aca="false">IF(OR(G2479="",G2479="?"),"",IFERROR(INDEX(Pubs!$D$2:$D$3001,MATCH(G2479,Pubs!$A$2:$A$3001,0))&amp;"",""))</f>
        <v/>
      </c>
      <c r="N2479" s="27" t="n">
        <f aca="false">N(N2478)+IF(AND(A2479&lt;&gt;"",OR(Recherche!$C$4="",A2479=Recherche!$C$4),OR(Recherche!$C$5="",B2479&amp;""=Recherche!$C$5&amp;""),OR(Recherche!$C$6="",IFERROR(YEAR(L2479),0)=Recherche!$C$6),OR(Recherche!$C$7="",ISNUMBER(SEARCH(Recherche!$C$7,H2479))),OR(Recherche!$C$8="",J2479=Recherche!$C$8),OR(Recherche!$C$9="",I2479=Recherche!$C$9),OR(Recherche!$C$10="",G2479&amp;""=Recherche!$C$10&amp;""),OR(Recherche!$C$11="",E2479=Recherche!$C$11),OR(Recherche!$C$12="",ISNUMBER(SEARCH(Recherche!$C$12,M2479&amp;" "&amp;F2479)))),1,0)</f>
        <v>8</v>
      </c>
    </row>
    <row r="2480" customFormat="false" ht="15" hidden="false" customHeight="false" outlineLevel="0" collapsed="false">
      <c r="A2480" s="19"/>
      <c r="B2480" s="19"/>
      <c r="C2480" s="19"/>
      <c r="D2480" s="19"/>
      <c r="E2480" s="22"/>
      <c r="F2480" s="19"/>
      <c r="G2480" s="26" t="str">
        <f aca="false">IF(D2480="","",IFERROR(VALUE(LEFT(D2480,FIND(" |",D2480&amp;" |")-1)),"?"))</f>
        <v/>
      </c>
      <c r="H2480" s="27" t="str">
        <f aca="false">IF(G2480="","",IF(G2480="?","⚠ pub inconnue",IFERROR(INDEX(Pubs!$B$2:$B$3001,MATCH(G2480,Pubs!$A$2:$A$3001,0))&amp;"","⚠ pub inconnue")))</f>
        <v/>
      </c>
      <c r="I2480" s="27" t="str">
        <f aca="false">IF(OR(G2480="",G2480="?"),"",IFERROR(INDEX(Pubs!$C$2:$C$3001,MATCH(G2480,Pubs!$A$2:$A$3001,0))&amp;"",""))</f>
        <v/>
      </c>
      <c r="J2480" s="27" t="str">
        <f aca="false">IF(OR(G2480="",G2480="?"),"",IFERROR(INDEX(Pubs!$G$2:$G$3001,MATCH(G2480,Pubs!$A$2:$A$3001,0))&amp;"",""))</f>
        <v/>
      </c>
      <c r="K2480" s="28" t="str">
        <f aca="false">IF(OR(G2480="",G2480="?"),"",IFERROR(INDEX(Pubs!$E$2:$E$3001,MATCH(G2480,Pubs!$A$2:$A$3001,0)),""))</f>
        <v/>
      </c>
      <c r="L2480" s="29" t="str">
        <f aca="false">IF(A2480="","",IFERROR(1/(1/INDEX(Numéros!$C$2:$C$3001,MATCH(A2480&amp;"|"&amp;B2480,Numéros!$F$2:$F$3001,0))),""))</f>
        <v/>
      </c>
      <c r="M2480" s="27" t="str">
        <f aca="false">IF(OR(G2480="",G2480="?"),"",IFERROR(INDEX(Pubs!$D$2:$D$3001,MATCH(G2480,Pubs!$A$2:$A$3001,0))&amp;"",""))</f>
        <v/>
      </c>
      <c r="N2480" s="27" t="n">
        <f aca="false">N(N2479)+IF(AND(A2480&lt;&gt;"",OR(Recherche!$C$4="",A2480=Recherche!$C$4),OR(Recherche!$C$5="",B2480&amp;""=Recherche!$C$5&amp;""),OR(Recherche!$C$6="",IFERROR(YEAR(L2480),0)=Recherche!$C$6),OR(Recherche!$C$7="",ISNUMBER(SEARCH(Recherche!$C$7,H2480))),OR(Recherche!$C$8="",J2480=Recherche!$C$8),OR(Recherche!$C$9="",I2480=Recherche!$C$9),OR(Recherche!$C$10="",G2480&amp;""=Recherche!$C$10&amp;""),OR(Recherche!$C$11="",E2480=Recherche!$C$11),OR(Recherche!$C$12="",ISNUMBER(SEARCH(Recherche!$C$12,M2480&amp;" "&amp;F2480)))),1,0)</f>
        <v>8</v>
      </c>
    </row>
    <row r="2481" customFormat="false" ht="15" hidden="false" customHeight="false" outlineLevel="0" collapsed="false">
      <c r="A2481" s="19"/>
      <c r="B2481" s="19"/>
      <c r="C2481" s="19"/>
      <c r="D2481" s="19"/>
      <c r="E2481" s="22"/>
      <c r="F2481" s="19"/>
      <c r="G2481" s="26" t="str">
        <f aca="false">IF(D2481="","",IFERROR(VALUE(LEFT(D2481,FIND(" |",D2481&amp;" |")-1)),"?"))</f>
        <v/>
      </c>
      <c r="H2481" s="27" t="str">
        <f aca="false">IF(G2481="","",IF(G2481="?","⚠ pub inconnue",IFERROR(INDEX(Pubs!$B$2:$B$3001,MATCH(G2481,Pubs!$A$2:$A$3001,0))&amp;"","⚠ pub inconnue")))</f>
        <v/>
      </c>
      <c r="I2481" s="27" t="str">
        <f aca="false">IF(OR(G2481="",G2481="?"),"",IFERROR(INDEX(Pubs!$C$2:$C$3001,MATCH(G2481,Pubs!$A$2:$A$3001,0))&amp;"",""))</f>
        <v/>
      </c>
      <c r="J2481" s="27" t="str">
        <f aca="false">IF(OR(G2481="",G2481="?"),"",IFERROR(INDEX(Pubs!$G$2:$G$3001,MATCH(G2481,Pubs!$A$2:$A$3001,0))&amp;"",""))</f>
        <v/>
      </c>
      <c r="K2481" s="28" t="str">
        <f aca="false">IF(OR(G2481="",G2481="?"),"",IFERROR(INDEX(Pubs!$E$2:$E$3001,MATCH(G2481,Pubs!$A$2:$A$3001,0)),""))</f>
        <v/>
      </c>
      <c r="L2481" s="29" t="str">
        <f aca="false">IF(A2481="","",IFERROR(1/(1/INDEX(Numéros!$C$2:$C$3001,MATCH(A2481&amp;"|"&amp;B2481,Numéros!$F$2:$F$3001,0))),""))</f>
        <v/>
      </c>
      <c r="M2481" s="27" t="str">
        <f aca="false">IF(OR(G2481="",G2481="?"),"",IFERROR(INDEX(Pubs!$D$2:$D$3001,MATCH(G2481,Pubs!$A$2:$A$3001,0))&amp;"",""))</f>
        <v/>
      </c>
      <c r="N2481" s="27" t="n">
        <f aca="false">N(N2480)+IF(AND(A2481&lt;&gt;"",OR(Recherche!$C$4="",A2481=Recherche!$C$4),OR(Recherche!$C$5="",B2481&amp;""=Recherche!$C$5&amp;""),OR(Recherche!$C$6="",IFERROR(YEAR(L2481),0)=Recherche!$C$6),OR(Recherche!$C$7="",ISNUMBER(SEARCH(Recherche!$C$7,H2481))),OR(Recherche!$C$8="",J2481=Recherche!$C$8),OR(Recherche!$C$9="",I2481=Recherche!$C$9),OR(Recherche!$C$10="",G2481&amp;""=Recherche!$C$10&amp;""),OR(Recherche!$C$11="",E2481=Recherche!$C$11),OR(Recherche!$C$12="",ISNUMBER(SEARCH(Recherche!$C$12,M2481&amp;" "&amp;F2481)))),1,0)</f>
        <v>8</v>
      </c>
    </row>
    <row r="2482" customFormat="false" ht="15" hidden="false" customHeight="false" outlineLevel="0" collapsed="false">
      <c r="A2482" s="19"/>
      <c r="B2482" s="19"/>
      <c r="C2482" s="19"/>
      <c r="D2482" s="19"/>
      <c r="E2482" s="22"/>
      <c r="F2482" s="19"/>
      <c r="G2482" s="26" t="str">
        <f aca="false">IF(D2482="","",IFERROR(VALUE(LEFT(D2482,FIND(" |",D2482&amp;" |")-1)),"?"))</f>
        <v/>
      </c>
      <c r="H2482" s="27" t="str">
        <f aca="false">IF(G2482="","",IF(G2482="?","⚠ pub inconnue",IFERROR(INDEX(Pubs!$B$2:$B$3001,MATCH(G2482,Pubs!$A$2:$A$3001,0))&amp;"","⚠ pub inconnue")))</f>
        <v/>
      </c>
      <c r="I2482" s="27" t="str">
        <f aca="false">IF(OR(G2482="",G2482="?"),"",IFERROR(INDEX(Pubs!$C$2:$C$3001,MATCH(G2482,Pubs!$A$2:$A$3001,0))&amp;"",""))</f>
        <v/>
      </c>
      <c r="J2482" s="27" t="str">
        <f aca="false">IF(OR(G2482="",G2482="?"),"",IFERROR(INDEX(Pubs!$G$2:$G$3001,MATCH(G2482,Pubs!$A$2:$A$3001,0))&amp;"",""))</f>
        <v/>
      </c>
      <c r="K2482" s="28" t="str">
        <f aca="false">IF(OR(G2482="",G2482="?"),"",IFERROR(INDEX(Pubs!$E$2:$E$3001,MATCH(G2482,Pubs!$A$2:$A$3001,0)),""))</f>
        <v/>
      </c>
      <c r="L2482" s="29" t="str">
        <f aca="false">IF(A2482="","",IFERROR(1/(1/INDEX(Numéros!$C$2:$C$3001,MATCH(A2482&amp;"|"&amp;B2482,Numéros!$F$2:$F$3001,0))),""))</f>
        <v/>
      </c>
      <c r="M2482" s="27" t="str">
        <f aca="false">IF(OR(G2482="",G2482="?"),"",IFERROR(INDEX(Pubs!$D$2:$D$3001,MATCH(G2482,Pubs!$A$2:$A$3001,0))&amp;"",""))</f>
        <v/>
      </c>
      <c r="N2482" s="27" t="n">
        <f aca="false">N(N2481)+IF(AND(A2482&lt;&gt;"",OR(Recherche!$C$4="",A2482=Recherche!$C$4),OR(Recherche!$C$5="",B2482&amp;""=Recherche!$C$5&amp;""),OR(Recherche!$C$6="",IFERROR(YEAR(L2482),0)=Recherche!$C$6),OR(Recherche!$C$7="",ISNUMBER(SEARCH(Recherche!$C$7,H2482))),OR(Recherche!$C$8="",J2482=Recherche!$C$8),OR(Recherche!$C$9="",I2482=Recherche!$C$9),OR(Recherche!$C$10="",G2482&amp;""=Recherche!$C$10&amp;""),OR(Recherche!$C$11="",E2482=Recherche!$C$11),OR(Recherche!$C$12="",ISNUMBER(SEARCH(Recherche!$C$12,M2482&amp;" "&amp;F2482)))),1,0)</f>
        <v>8</v>
      </c>
    </row>
    <row r="2483" customFormat="false" ht="15" hidden="false" customHeight="false" outlineLevel="0" collapsed="false">
      <c r="A2483" s="19"/>
      <c r="B2483" s="19"/>
      <c r="C2483" s="19"/>
      <c r="D2483" s="19"/>
      <c r="E2483" s="22"/>
      <c r="F2483" s="19"/>
      <c r="G2483" s="26" t="str">
        <f aca="false">IF(D2483="","",IFERROR(VALUE(LEFT(D2483,FIND(" |",D2483&amp;" |")-1)),"?"))</f>
        <v/>
      </c>
      <c r="H2483" s="27" t="str">
        <f aca="false">IF(G2483="","",IF(G2483="?","⚠ pub inconnue",IFERROR(INDEX(Pubs!$B$2:$B$3001,MATCH(G2483,Pubs!$A$2:$A$3001,0))&amp;"","⚠ pub inconnue")))</f>
        <v/>
      </c>
      <c r="I2483" s="27" t="str">
        <f aca="false">IF(OR(G2483="",G2483="?"),"",IFERROR(INDEX(Pubs!$C$2:$C$3001,MATCH(G2483,Pubs!$A$2:$A$3001,0))&amp;"",""))</f>
        <v/>
      </c>
      <c r="J2483" s="27" t="str">
        <f aca="false">IF(OR(G2483="",G2483="?"),"",IFERROR(INDEX(Pubs!$G$2:$G$3001,MATCH(G2483,Pubs!$A$2:$A$3001,0))&amp;"",""))</f>
        <v/>
      </c>
      <c r="K2483" s="28" t="str">
        <f aca="false">IF(OR(G2483="",G2483="?"),"",IFERROR(INDEX(Pubs!$E$2:$E$3001,MATCH(G2483,Pubs!$A$2:$A$3001,0)),""))</f>
        <v/>
      </c>
      <c r="L2483" s="29" t="str">
        <f aca="false">IF(A2483="","",IFERROR(1/(1/INDEX(Numéros!$C$2:$C$3001,MATCH(A2483&amp;"|"&amp;B2483,Numéros!$F$2:$F$3001,0))),""))</f>
        <v/>
      </c>
      <c r="M2483" s="27" t="str">
        <f aca="false">IF(OR(G2483="",G2483="?"),"",IFERROR(INDEX(Pubs!$D$2:$D$3001,MATCH(G2483,Pubs!$A$2:$A$3001,0))&amp;"",""))</f>
        <v/>
      </c>
      <c r="N2483" s="27" t="n">
        <f aca="false">N(N2482)+IF(AND(A2483&lt;&gt;"",OR(Recherche!$C$4="",A2483=Recherche!$C$4),OR(Recherche!$C$5="",B2483&amp;""=Recherche!$C$5&amp;""),OR(Recherche!$C$6="",IFERROR(YEAR(L2483),0)=Recherche!$C$6),OR(Recherche!$C$7="",ISNUMBER(SEARCH(Recherche!$C$7,H2483))),OR(Recherche!$C$8="",J2483=Recherche!$C$8),OR(Recherche!$C$9="",I2483=Recherche!$C$9),OR(Recherche!$C$10="",G2483&amp;""=Recherche!$C$10&amp;""),OR(Recherche!$C$11="",E2483=Recherche!$C$11),OR(Recherche!$C$12="",ISNUMBER(SEARCH(Recherche!$C$12,M2483&amp;" "&amp;F2483)))),1,0)</f>
        <v>8</v>
      </c>
    </row>
    <row r="2484" customFormat="false" ht="15" hidden="false" customHeight="false" outlineLevel="0" collapsed="false">
      <c r="A2484" s="19"/>
      <c r="B2484" s="19"/>
      <c r="C2484" s="19"/>
      <c r="D2484" s="19"/>
      <c r="E2484" s="22"/>
      <c r="F2484" s="19"/>
      <c r="G2484" s="26" t="str">
        <f aca="false">IF(D2484="","",IFERROR(VALUE(LEFT(D2484,FIND(" |",D2484&amp;" |")-1)),"?"))</f>
        <v/>
      </c>
      <c r="H2484" s="27" t="str">
        <f aca="false">IF(G2484="","",IF(G2484="?","⚠ pub inconnue",IFERROR(INDEX(Pubs!$B$2:$B$3001,MATCH(G2484,Pubs!$A$2:$A$3001,0))&amp;"","⚠ pub inconnue")))</f>
        <v/>
      </c>
      <c r="I2484" s="27" t="str">
        <f aca="false">IF(OR(G2484="",G2484="?"),"",IFERROR(INDEX(Pubs!$C$2:$C$3001,MATCH(G2484,Pubs!$A$2:$A$3001,0))&amp;"",""))</f>
        <v/>
      </c>
      <c r="J2484" s="27" t="str">
        <f aca="false">IF(OR(G2484="",G2484="?"),"",IFERROR(INDEX(Pubs!$G$2:$G$3001,MATCH(G2484,Pubs!$A$2:$A$3001,0))&amp;"",""))</f>
        <v/>
      </c>
      <c r="K2484" s="28" t="str">
        <f aca="false">IF(OR(G2484="",G2484="?"),"",IFERROR(INDEX(Pubs!$E$2:$E$3001,MATCH(G2484,Pubs!$A$2:$A$3001,0)),""))</f>
        <v/>
      </c>
      <c r="L2484" s="29" t="str">
        <f aca="false">IF(A2484="","",IFERROR(1/(1/INDEX(Numéros!$C$2:$C$3001,MATCH(A2484&amp;"|"&amp;B2484,Numéros!$F$2:$F$3001,0))),""))</f>
        <v/>
      </c>
      <c r="M2484" s="27" t="str">
        <f aca="false">IF(OR(G2484="",G2484="?"),"",IFERROR(INDEX(Pubs!$D$2:$D$3001,MATCH(G2484,Pubs!$A$2:$A$3001,0))&amp;"",""))</f>
        <v/>
      </c>
      <c r="N2484" s="27" t="n">
        <f aca="false">N(N2483)+IF(AND(A2484&lt;&gt;"",OR(Recherche!$C$4="",A2484=Recherche!$C$4),OR(Recherche!$C$5="",B2484&amp;""=Recherche!$C$5&amp;""),OR(Recherche!$C$6="",IFERROR(YEAR(L2484),0)=Recherche!$C$6),OR(Recherche!$C$7="",ISNUMBER(SEARCH(Recherche!$C$7,H2484))),OR(Recherche!$C$8="",J2484=Recherche!$C$8),OR(Recherche!$C$9="",I2484=Recherche!$C$9),OR(Recherche!$C$10="",G2484&amp;""=Recherche!$C$10&amp;""),OR(Recherche!$C$11="",E2484=Recherche!$C$11),OR(Recherche!$C$12="",ISNUMBER(SEARCH(Recherche!$C$12,M2484&amp;" "&amp;F2484)))),1,0)</f>
        <v>8</v>
      </c>
    </row>
    <row r="2485" customFormat="false" ht="15" hidden="false" customHeight="false" outlineLevel="0" collapsed="false">
      <c r="A2485" s="19"/>
      <c r="B2485" s="19"/>
      <c r="C2485" s="19"/>
      <c r="D2485" s="19"/>
      <c r="E2485" s="22"/>
      <c r="F2485" s="19"/>
      <c r="G2485" s="26" t="str">
        <f aca="false">IF(D2485="","",IFERROR(VALUE(LEFT(D2485,FIND(" |",D2485&amp;" |")-1)),"?"))</f>
        <v/>
      </c>
      <c r="H2485" s="27" t="str">
        <f aca="false">IF(G2485="","",IF(G2485="?","⚠ pub inconnue",IFERROR(INDEX(Pubs!$B$2:$B$3001,MATCH(G2485,Pubs!$A$2:$A$3001,0))&amp;"","⚠ pub inconnue")))</f>
        <v/>
      </c>
      <c r="I2485" s="27" t="str">
        <f aca="false">IF(OR(G2485="",G2485="?"),"",IFERROR(INDEX(Pubs!$C$2:$C$3001,MATCH(G2485,Pubs!$A$2:$A$3001,0))&amp;"",""))</f>
        <v/>
      </c>
      <c r="J2485" s="27" t="str">
        <f aca="false">IF(OR(G2485="",G2485="?"),"",IFERROR(INDEX(Pubs!$G$2:$G$3001,MATCH(G2485,Pubs!$A$2:$A$3001,0))&amp;"",""))</f>
        <v/>
      </c>
      <c r="K2485" s="28" t="str">
        <f aca="false">IF(OR(G2485="",G2485="?"),"",IFERROR(INDEX(Pubs!$E$2:$E$3001,MATCH(G2485,Pubs!$A$2:$A$3001,0)),""))</f>
        <v/>
      </c>
      <c r="L2485" s="29" t="str">
        <f aca="false">IF(A2485="","",IFERROR(1/(1/INDEX(Numéros!$C$2:$C$3001,MATCH(A2485&amp;"|"&amp;B2485,Numéros!$F$2:$F$3001,0))),""))</f>
        <v/>
      </c>
      <c r="M2485" s="27" t="str">
        <f aca="false">IF(OR(G2485="",G2485="?"),"",IFERROR(INDEX(Pubs!$D$2:$D$3001,MATCH(G2485,Pubs!$A$2:$A$3001,0))&amp;"",""))</f>
        <v/>
      </c>
      <c r="N2485" s="27" t="n">
        <f aca="false">N(N2484)+IF(AND(A2485&lt;&gt;"",OR(Recherche!$C$4="",A2485=Recherche!$C$4),OR(Recherche!$C$5="",B2485&amp;""=Recherche!$C$5&amp;""),OR(Recherche!$C$6="",IFERROR(YEAR(L2485),0)=Recherche!$C$6),OR(Recherche!$C$7="",ISNUMBER(SEARCH(Recherche!$C$7,H2485))),OR(Recherche!$C$8="",J2485=Recherche!$C$8),OR(Recherche!$C$9="",I2485=Recherche!$C$9),OR(Recherche!$C$10="",G2485&amp;""=Recherche!$C$10&amp;""),OR(Recherche!$C$11="",E2485=Recherche!$C$11),OR(Recherche!$C$12="",ISNUMBER(SEARCH(Recherche!$C$12,M2485&amp;" "&amp;F2485)))),1,0)</f>
        <v>8</v>
      </c>
    </row>
    <row r="2486" customFormat="false" ht="15" hidden="false" customHeight="false" outlineLevel="0" collapsed="false">
      <c r="A2486" s="19"/>
      <c r="B2486" s="19"/>
      <c r="C2486" s="19"/>
      <c r="D2486" s="19"/>
      <c r="E2486" s="22"/>
      <c r="F2486" s="19"/>
      <c r="G2486" s="26" t="str">
        <f aca="false">IF(D2486="","",IFERROR(VALUE(LEFT(D2486,FIND(" |",D2486&amp;" |")-1)),"?"))</f>
        <v/>
      </c>
      <c r="H2486" s="27" t="str">
        <f aca="false">IF(G2486="","",IF(G2486="?","⚠ pub inconnue",IFERROR(INDEX(Pubs!$B$2:$B$3001,MATCH(G2486,Pubs!$A$2:$A$3001,0))&amp;"","⚠ pub inconnue")))</f>
        <v/>
      </c>
      <c r="I2486" s="27" t="str">
        <f aca="false">IF(OR(G2486="",G2486="?"),"",IFERROR(INDEX(Pubs!$C$2:$C$3001,MATCH(G2486,Pubs!$A$2:$A$3001,0))&amp;"",""))</f>
        <v/>
      </c>
      <c r="J2486" s="27" t="str">
        <f aca="false">IF(OR(G2486="",G2486="?"),"",IFERROR(INDEX(Pubs!$G$2:$G$3001,MATCH(G2486,Pubs!$A$2:$A$3001,0))&amp;"",""))</f>
        <v/>
      </c>
      <c r="K2486" s="28" t="str">
        <f aca="false">IF(OR(G2486="",G2486="?"),"",IFERROR(INDEX(Pubs!$E$2:$E$3001,MATCH(G2486,Pubs!$A$2:$A$3001,0)),""))</f>
        <v/>
      </c>
      <c r="L2486" s="29" t="str">
        <f aca="false">IF(A2486="","",IFERROR(1/(1/INDEX(Numéros!$C$2:$C$3001,MATCH(A2486&amp;"|"&amp;B2486,Numéros!$F$2:$F$3001,0))),""))</f>
        <v/>
      </c>
      <c r="M2486" s="27" t="str">
        <f aca="false">IF(OR(G2486="",G2486="?"),"",IFERROR(INDEX(Pubs!$D$2:$D$3001,MATCH(G2486,Pubs!$A$2:$A$3001,0))&amp;"",""))</f>
        <v/>
      </c>
      <c r="N2486" s="27" t="n">
        <f aca="false">N(N2485)+IF(AND(A2486&lt;&gt;"",OR(Recherche!$C$4="",A2486=Recherche!$C$4),OR(Recherche!$C$5="",B2486&amp;""=Recherche!$C$5&amp;""),OR(Recherche!$C$6="",IFERROR(YEAR(L2486),0)=Recherche!$C$6),OR(Recherche!$C$7="",ISNUMBER(SEARCH(Recherche!$C$7,H2486))),OR(Recherche!$C$8="",J2486=Recherche!$C$8),OR(Recherche!$C$9="",I2486=Recherche!$C$9),OR(Recherche!$C$10="",G2486&amp;""=Recherche!$C$10&amp;""),OR(Recherche!$C$11="",E2486=Recherche!$C$11),OR(Recherche!$C$12="",ISNUMBER(SEARCH(Recherche!$C$12,M2486&amp;" "&amp;F2486)))),1,0)</f>
        <v>8</v>
      </c>
    </row>
    <row r="2487" customFormat="false" ht="15" hidden="false" customHeight="false" outlineLevel="0" collapsed="false">
      <c r="A2487" s="19"/>
      <c r="B2487" s="19"/>
      <c r="C2487" s="19"/>
      <c r="D2487" s="19"/>
      <c r="E2487" s="22"/>
      <c r="F2487" s="19"/>
      <c r="G2487" s="26" t="str">
        <f aca="false">IF(D2487="","",IFERROR(VALUE(LEFT(D2487,FIND(" |",D2487&amp;" |")-1)),"?"))</f>
        <v/>
      </c>
      <c r="H2487" s="27" t="str">
        <f aca="false">IF(G2487="","",IF(G2487="?","⚠ pub inconnue",IFERROR(INDEX(Pubs!$B$2:$B$3001,MATCH(G2487,Pubs!$A$2:$A$3001,0))&amp;"","⚠ pub inconnue")))</f>
        <v/>
      </c>
      <c r="I2487" s="27" t="str">
        <f aca="false">IF(OR(G2487="",G2487="?"),"",IFERROR(INDEX(Pubs!$C$2:$C$3001,MATCH(G2487,Pubs!$A$2:$A$3001,0))&amp;"",""))</f>
        <v/>
      </c>
      <c r="J2487" s="27" t="str">
        <f aca="false">IF(OR(G2487="",G2487="?"),"",IFERROR(INDEX(Pubs!$G$2:$G$3001,MATCH(G2487,Pubs!$A$2:$A$3001,0))&amp;"",""))</f>
        <v/>
      </c>
      <c r="K2487" s="28" t="str">
        <f aca="false">IF(OR(G2487="",G2487="?"),"",IFERROR(INDEX(Pubs!$E$2:$E$3001,MATCH(G2487,Pubs!$A$2:$A$3001,0)),""))</f>
        <v/>
      </c>
      <c r="L2487" s="29" t="str">
        <f aca="false">IF(A2487="","",IFERROR(1/(1/INDEX(Numéros!$C$2:$C$3001,MATCH(A2487&amp;"|"&amp;B2487,Numéros!$F$2:$F$3001,0))),""))</f>
        <v/>
      </c>
      <c r="M2487" s="27" t="str">
        <f aca="false">IF(OR(G2487="",G2487="?"),"",IFERROR(INDEX(Pubs!$D$2:$D$3001,MATCH(G2487,Pubs!$A$2:$A$3001,0))&amp;"",""))</f>
        <v/>
      </c>
      <c r="N2487" s="27" t="n">
        <f aca="false">N(N2486)+IF(AND(A2487&lt;&gt;"",OR(Recherche!$C$4="",A2487=Recherche!$C$4),OR(Recherche!$C$5="",B2487&amp;""=Recherche!$C$5&amp;""),OR(Recherche!$C$6="",IFERROR(YEAR(L2487),0)=Recherche!$C$6),OR(Recherche!$C$7="",ISNUMBER(SEARCH(Recherche!$C$7,H2487))),OR(Recherche!$C$8="",J2487=Recherche!$C$8),OR(Recherche!$C$9="",I2487=Recherche!$C$9),OR(Recherche!$C$10="",G2487&amp;""=Recherche!$C$10&amp;""),OR(Recherche!$C$11="",E2487=Recherche!$C$11),OR(Recherche!$C$12="",ISNUMBER(SEARCH(Recherche!$C$12,M2487&amp;" "&amp;F2487)))),1,0)</f>
        <v>8</v>
      </c>
    </row>
    <row r="2488" customFormat="false" ht="15" hidden="false" customHeight="false" outlineLevel="0" collapsed="false">
      <c r="A2488" s="19"/>
      <c r="B2488" s="19"/>
      <c r="C2488" s="19"/>
      <c r="D2488" s="19"/>
      <c r="E2488" s="22"/>
      <c r="F2488" s="19"/>
      <c r="G2488" s="26" t="str">
        <f aca="false">IF(D2488="","",IFERROR(VALUE(LEFT(D2488,FIND(" |",D2488&amp;" |")-1)),"?"))</f>
        <v/>
      </c>
      <c r="H2488" s="27" t="str">
        <f aca="false">IF(G2488="","",IF(G2488="?","⚠ pub inconnue",IFERROR(INDEX(Pubs!$B$2:$B$3001,MATCH(G2488,Pubs!$A$2:$A$3001,0))&amp;"","⚠ pub inconnue")))</f>
        <v/>
      </c>
      <c r="I2488" s="27" t="str">
        <f aca="false">IF(OR(G2488="",G2488="?"),"",IFERROR(INDEX(Pubs!$C$2:$C$3001,MATCH(G2488,Pubs!$A$2:$A$3001,0))&amp;"",""))</f>
        <v/>
      </c>
      <c r="J2488" s="27" t="str">
        <f aca="false">IF(OR(G2488="",G2488="?"),"",IFERROR(INDEX(Pubs!$G$2:$G$3001,MATCH(G2488,Pubs!$A$2:$A$3001,0))&amp;"",""))</f>
        <v/>
      </c>
      <c r="K2488" s="28" t="str">
        <f aca="false">IF(OR(G2488="",G2488="?"),"",IFERROR(INDEX(Pubs!$E$2:$E$3001,MATCH(G2488,Pubs!$A$2:$A$3001,0)),""))</f>
        <v/>
      </c>
      <c r="L2488" s="29" t="str">
        <f aca="false">IF(A2488="","",IFERROR(1/(1/INDEX(Numéros!$C$2:$C$3001,MATCH(A2488&amp;"|"&amp;B2488,Numéros!$F$2:$F$3001,0))),""))</f>
        <v/>
      </c>
      <c r="M2488" s="27" t="str">
        <f aca="false">IF(OR(G2488="",G2488="?"),"",IFERROR(INDEX(Pubs!$D$2:$D$3001,MATCH(G2488,Pubs!$A$2:$A$3001,0))&amp;"",""))</f>
        <v/>
      </c>
      <c r="N2488" s="27" t="n">
        <f aca="false">N(N2487)+IF(AND(A2488&lt;&gt;"",OR(Recherche!$C$4="",A2488=Recherche!$C$4),OR(Recherche!$C$5="",B2488&amp;""=Recherche!$C$5&amp;""),OR(Recherche!$C$6="",IFERROR(YEAR(L2488),0)=Recherche!$C$6),OR(Recherche!$C$7="",ISNUMBER(SEARCH(Recherche!$C$7,H2488))),OR(Recherche!$C$8="",J2488=Recherche!$C$8),OR(Recherche!$C$9="",I2488=Recherche!$C$9),OR(Recherche!$C$10="",G2488&amp;""=Recherche!$C$10&amp;""),OR(Recherche!$C$11="",E2488=Recherche!$C$11),OR(Recherche!$C$12="",ISNUMBER(SEARCH(Recherche!$C$12,M2488&amp;" "&amp;F2488)))),1,0)</f>
        <v>8</v>
      </c>
    </row>
    <row r="2489" customFormat="false" ht="15" hidden="false" customHeight="false" outlineLevel="0" collapsed="false">
      <c r="A2489" s="19"/>
      <c r="B2489" s="19"/>
      <c r="C2489" s="19"/>
      <c r="D2489" s="19"/>
      <c r="E2489" s="22"/>
      <c r="F2489" s="19"/>
      <c r="G2489" s="26" t="str">
        <f aca="false">IF(D2489="","",IFERROR(VALUE(LEFT(D2489,FIND(" |",D2489&amp;" |")-1)),"?"))</f>
        <v/>
      </c>
      <c r="H2489" s="27" t="str">
        <f aca="false">IF(G2489="","",IF(G2489="?","⚠ pub inconnue",IFERROR(INDEX(Pubs!$B$2:$B$3001,MATCH(G2489,Pubs!$A$2:$A$3001,0))&amp;"","⚠ pub inconnue")))</f>
        <v/>
      </c>
      <c r="I2489" s="27" t="str">
        <f aca="false">IF(OR(G2489="",G2489="?"),"",IFERROR(INDEX(Pubs!$C$2:$C$3001,MATCH(G2489,Pubs!$A$2:$A$3001,0))&amp;"",""))</f>
        <v/>
      </c>
      <c r="J2489" s="27" t="str">
        <f aca="false">IF(OR(G2489="",G2489="?"),"",IFERROR(INDEX(Pubs!$G$2:$G$3001,MATCH(G2489,Pubs!$A$2:$A$3001,0))&amp;"",""))</f>
        <v/>
      </c>
      <c r="K2489" s="28" t="str">
        <f aca="false">IF(OR(G2489="",G2489="?"),"",IFERROR(INDEX(Pubs!$E$2:$E$3001,MATCH(G2489,Pubs!$A$2:$A$3001,0)),""))</f>
        <v/>
      </c>
      <c r="L2489" s="29" t="str">
        <f aca="false">IF(A2489="","",IFERROR(1/(1/INDEX(Numéros!$C$2:$C$3001,MATCH(A2489&amp;"|"&amp;B2489,Numéros!$F$2:$F$3001,0))),""))</f>
        <v/>
      </c>
      <c r="M2489" s="27" t="str">
        <f aca="false">IF(OR(G2489="",G2489="?"),"",IFERROR(INDEX(Pubs!$D$2:$D$3001,MATCH(G2489,Pubs!$A$2:$A$3001,0))&amp;"",""))</f>
        <v/>
      </c>
      <c r="N2489" s="27" t="n">
        <f aca="false">N(N2488)+IF(AND(A2489&lt;&gt;"",OR(Recherche!$C$4="",A2489=Recherche!$C$4),OR(Recherche!$C$5="",B2489&amp;""=Recherche!$C$5&amp;""),OR(Recherche!$C$6="",IFERROR(YEAR(L2489),0)=Recherche!$C$6),OR(Recherche!$C$7="",ISNUMBER(SEARCH(Recherche!$C$7,H2489))),OR(Recherche!$C$8="",J2489=Recherche!$C$8),OR(Recherche!$C$9="",I2489=Recherche!$C$9),OR(Recherche!$C$10="",G2489&amp;""=Recherche!$C$10&amp;""),OR(Recherche!$C$11="",E2489=Recherche!$C$11),OR(Recherche!$C$12="",ISNUMBER(SEARCH(Recherche!$C$12,M2489&amp;" "&amp;F2489)))),1,0)</f>
        <v>8</v>
      </c>
    </row>
    <row r="2490" customFormat="false" ht="15" hidden="false" customHeight="false" outlineLevel="0" collapsed="false">
      <c r="A2490" s="19"/>
      <c r="B2490" s="19"/>
      <c r="C2490" s="19"/>
      <c r="D2490" s="19"/>
      <c r="E2490" s="22"/>
      <c r="F2490" s="19"/>
      <c r="G2490" s="26" t="str">
        <f aca="false">IF(D2490="","",IFERROR(VALUE(LEFT(D2490,FIND(" |",D2490&amp;" |")-1)),"?"))</f>
        <v/>
      </c>
      <c r="H2490" s="27" t="str">
        <f aca="false">IF(G2490="","",IF(G2490="?","⚠ pub inconnue",IFERROR(INDEX(Pubs!$B$2:$B$3001,MATCH(G2490,Pubs!$A$2:$A$3001,0))&amp;"","⚠ pub inconnue")))</f>
        <v/>
      </c>
      <c r="I2490" s="27" t="str">
        <f aca="false">IF(OR(G2490="",G2490="?"),"",IFERROR(INDEX(Pubs!$C$2:$C$3001,MATCH(G2490,Pubs!$A$2:$A$3001,0))&amp;"",""))</f>
        <v/>
      </c>
      <c r="J2490" s="27" t="str">
        <f aca="false">IF(OR(G2490="",G2490="?"),"",IFERROR(INDEX(Pubs!$G$2:$G$3001,MATCH(G2490,Pubs!$A$2:$A$3001,0))&amp;"",""))</f>
        <v/>
      </c>
      <c r="K2490" s="28" t="str">
        <f aca="false">IF(OR(G2490="",G2490="?"),"",IFERROR(INDEX(Pubs!$E$2:$E$3001,MATCH(G2490,Pubs!$A$2:$A$3001,0)),""))</f>
        <v/>
      </c>
      <c r="L2490" s="29" t="str">
        <f aca="false">IF(A2490="","",IFERROR(1/(1/INDEX(Numéros!$C$2:$C$3001,MATCH(A2490&amp;"|"&amp;B2490,Numéros!$F$2:$F$3001,0))),""))</f>
        <v/>
      </c>
      <c r="M2490" s="27" t="str">
        <f aca="false">IF(OR(G2490="",G2490="?"),"",IFERROR(INDEX(Pubs!$D$2:$D$3001,MATCH(G2490,Pubs!$A$2:$A$3001,0))&amp;"",""))</f>
        <v/>
      </c>
      <c r="N2490" s="27" t="n">
        <f aca="false">N(N2489)+IF(AND(A2490&lt;&gt;"",OR(Recherche!$C$4="",A2490=Recherche!$C$4),OR(Recherche!$C$5="",B2490&amp;""=Recherche!$C$5&amp;""),OR(Recherche!$C$6="",IFERROR(YEAR(L2490),0)=Recherche!$C$6),OR(Recherche!$C$7="",ISNUMBER(SEARCH(Recherche!$C$7,H2490))),OR(Recherche!$C$8="",J2490=Recherche!$C$8),OR(Recherche!$C$9="",I2490=Recherche!$C$9),OR(Recherche!$C$10="",G2490&amp;""=Recherche!$C$10&amp;""),OR(Recherche!$C$11="",E2490=Recherche!$C$11),OR(Recherche!$C$12="",ISNUMBER(SEARCH(Recherche!$C$12,M2490&amp;" "&amp;F2490)))),1,0)</f>
        <v>8</v>
      </c>
    </row>
    <row r="2491" customFormat="false" ht="15" hidden="false" customHeight="false" outlineLevel="0" collapsed="false">
      <c r="A2491" s="19"/>
      <c r="B2491" s="19"/>
      <c r="C2491" s="19"/>
      <c r="D2491" s="19"/>
      <c r="E2491" s="22"/>
      <c r="F2491" s="19"/>
      <c r="G2491" s="26" t="str">
        <f aca="false">IF(D2491="","",IFERROR(VALUE(LEFT(D2491,FIND(" |",D2491&amp;" |")-1)),"?"))</f>
        <v/>
      </c>
      <c r="H2491" s="27" t="str">
        <f aca="false">IF(G2491="","",IF(G2491="?","⚠ pub inconnue",IFERROR(INDEX(Pubs!$B$2:$B$3001,MATCH(G2491,Pubs!$A$2:$A$3001,0))&amp;"","⚠ pub inconnue")))</f>
        <v/>
      </c>
      <c r="I2491" s="27" t="str">
        <f aca="false">IF(OR(G2491="",G2491="?"),"",IFERROR(INDEX(Pubs!$C$2:$C$3001,MATCH(G2491,Pubs!$A$2:$A$3001,0))&amp;"",""))</f>
        <v/>
      </c>
      <c r="J2491" s="27" t="str">
        <f aca="false">IF(OR(G2491="",G2491="?"),"",IFERROR(INDEX(Pubs!$G$2:$G$3001,MATCH(G2491,Pubs!$A$2:$A$3001,0))&amp;"",""))</f>
        <v/>
      </c>
      <c r="K2491" s="28" t="str">
        <f aca="false">IF(OR(G2491="",G2491="?"),"",IFERROR(INDEX(Pubs!$E$2:$E$3001,MATCH(G2491,Pubs!$A$2:$A$3001,0)),""))</f>
        <v/>
      </c>
      <c r="L2491" s="29" t="str">
        <f aca="false">IF(A2491="","",IFERROR(1/(1/INDEX(Numéros!$C$2:$C$3001,MATCH(A2491&amp;"|"&amp;B2491,Numéros!$F$2:$F$3001,0))),""))</f>
        <v/>
      </c>
      <c r="M2491" s="27" t="str">
        <f aca="false">IF(OR(G2491="",G2491="?"),"",IFERROR(INDEX(Pubs!$D$2:$D$3001,MATCH(G2491,Pubs!$A$2:$A$3001,0))&amp;"",""))</f>
        <v/>
      </c>
      <c r="N2491" s="27" t="n">
        <f aca="false">N(N2490)+IF(AND(A2491&lt;&gt;"",OR(Recherche!$C$4="",A2491=Recherche!$C$4),OR(Recherche!$C$5="",B2491&amp;""=Recherche!$C$5&amp;""),OR(Recherche!$C$6="",IFERROR(YEAR(L2491),0)=Recherche!$C$6),OR(Recherche!$C$7="",ISNUMBER(SEARCH(Recherche!$C$7,H2491))),OR(Recherche!$C$8="",J2491=Recherche!$C$8),OR(Recherche!$C$9="",I2491=Recherche!$C$9),OR(Recherche!$C$10="",G2491&amp;""=Recherche!$C$10&amp;""),OR(Recherche!$C$11="",E2491=Recherche!$C$11),OR(Recherche!$C$12="",ISNUMBER(SEARCH(Recherche!$C$12,M2491&amp;" "&amp;F2491)))),1,0)</f>
        <v>8</v>
      </c>
    </row>
    <row r="2492" customFormat="false" ht="15" hidden="false" customHeight="false" outlineLevel="0" collapsed="false">
      <c r="A2492" s="19"/>
      <c r="B2492" s="19"/>
      <c r="C2492" s="19"/>
      <c r="D2492" s="19"/>
      <c r="E2492" s="22"/>
      <c r="F2492" s="19"/>
      <c r="G2492" s="26" t="str">
        <f aca="false">IF(D2492="","",IFERROR(VALUE(LEFT(D2492,FIND(" |",D2492&amp;" |")-1)),"?"))</f>
        <v/>
      </c>
      <c r="H2492" s="27" t="str">
        <f aca="false">IF(G2492="","",IF(G2492="?","⚠ pub inconnue",IFERROR(INDEX(Pubs!$B$2:$B$3001,MATCH(G2492,Pubs!$A$2:$A$3001,0))&amp;"","⚠ pub inconnue")))</f>
        <v/>
      </c>
      <c r="I2492" s="27" t="str">
        <f aca="false">IF(OR(G2492="",G2492="?"),"",IFERROR(INDEX(Pubs!$C$2:$C$3001,MATCH(G2492,Pubs!$A$2:$A$3001,0))&amp;"",""))</f>
        <v/>
      </c>
      <c r="J2492" s="27" t="str">
        <f aca="false">IF(OR(G2492="",G2492="?"),"",IFERROR(INDEX(Pubs!$G$2:$G$3001,MATCH(G2492,Pubs!$A$2:$A$3001,0))&amp;"",""))</f>
        <v/>
      </c>
      <c r="K2492" s="28" t="str">
        <f aca="false">IF(OR(G2492="",G2492="?"),"",IFERROR(INDEX(Pubs!$E$2:$E$3001,MATCH(G2492,Pubs!$A$2:$A$3001,0)),""))</f>
        <v/>
      </c>
      <c r="L2492" s="29" t="str">
        <f aca="false">IF(A2492="","",IFERROR(1/(1/INDEX(Numéros!$C$2:$C$3001,MATCH(A2492&amp;"|"&amp;B2492,Numéros!$F$2:$F$3001,0))),""))</f>
        <v/>
      </c>
      <c r="M2492" s="27" t="str">
        <f aca="false">IF(OR(G2492="",G2492="?"),"",IFERROR(INDEX(Pubs!$D$2:$D$3001,MATCH(G2492,Pubs!$A$2:$A$3001,0))&amp;"",""))</f>
        <v/>
      </c>
      <c r="N2492" s="27" t="n">
        <f aca="false">N(N2491)+IF(AND(A2492&lt;&gt;"",OR(Recherche!$C$4="",A2492=Recherche!$C$4),OR(Recherche!$C$5="",B2492&amp;""=Recherche!$C$5&amp;""),OR(Recherche!$C$6="",IFERROR(YEAR(L2492),0)=Recherche!$C$6),OR(Recherche!$C$7="",ISNUMBER(SEARCH(Recherche!$C$7,H2492))),OR(Recherche!$C$8="",J2492=Recherche!$C$8),OR(Recherche!$C$9="",I2492=Recherche!$C$9),OR(Recherche!$C$10="",G2492&amp;""=Recherche!$C$10&amp;""),OR(Recherche!$C$11="",E2492=Recherche!$C$11),OR(Recherche!$C$12="",ISNUMBER(SEARCH(Recherche!$C$12,M2492&amp;" "&amp;F2492)))),1,0)</f>
        <v>8</v>
      </c>
    </row>
    <row r="2493" customFormat="false" ht="15" hidden="false" customHeight="false" outlineLevel="0" collapsed="false">
      <c r="A2493" s="19"/>
      <c r="B2493" s="19"/>
      <c r="C2493" s="19"/>
      <c r="D2493" s="19"/>
      <c r="E2493" s="22"/>
      <c r="F2493" s="19"/>
      <c r="G2493" s="26" t="str">
        <f aca="false">IF(D2493="","",IFERROR(VALUE(LEFT(D2493,FIND(" |",D2493&amp;" |")-1)),"?"))</f>
        <v/>
      </c>
      <c r="H2493" s="27" t="str">
        <f aca="false">IF(G2493="","",IF(G2493="?","⚠ pub inconnue",IFERROR(INDEX(Pubs!$B$2:$B$3001,MATCH(G2493,Pubs!$A$2:$A$3001,0))&amp;"","⚠ pub inconnue")))</f>
        <v/>
      </c>
      <c r="I2493" s="27" t="str">
        <f aca="false">IF(OR(G2493="",G2493="?"),"",IFERROR(INDEX(Pubs!$C$2:$C$3001,MATCH(G2493,Pubs!$A$2:$A$3001,0))&amp;"",""))</f>
        <v/>
      </c>
      <c r="J2493" s="27" t="str">
        <f aca="false">IF(OR(G2493="",G2493="?"),"",IFERROR(INDEX(Pubs!$G$2:$G$3001,MATCH(G2493,Pubs!$A$2:$A$3001,0))&amp;"",""))</f>
        <v/>
      </c>
      <c r="K2493" s="28" t="str">
        <f aca="false">IF(OR(G2493="",G2493="?"),"",IFERROR(INDEX(Pubs!$E$2:$E$3001,MATCH(G2493,Pubs!$A$2:$A$3001,0)),""))</f>
        <v/>
      </c>
      <c r="L2493" s="29" t="str">
        <f aca="false">IF(A2493="","",IFERROR(1/(1/INDEX(Numéros!$C$2:$C$3001,MATCH(A2493&amp;"|"&amp;B2493,Numéros!$F$2:$F$3001,0))),""))</f>
        <v/>
      </c>
      <c r="M2493" s="27" t="str">
        <f aca="false">IF(OR(G2493="",G2493="?"),"",IFERROR(INDEX(Pubs!$D$2:$D$3001,MATCH(G2493,Pubs!$A$2:$A$3001,0))&amp;"",""))</f>
        <v/>
      </c>
      <c r="N2493" s="27" t="n">
        <f aca="false">N(N2492)+IF(AND(A2493&lt;&gt;"",OR(Recherche!$C$4="",A2493=Recherche!$C$4),OR(Recherche!$C$5="",B2493&amp;""=Recherche!$C$5&amp;""),OR(Recherche!$C$6="",IFERROR(YEAR(L2493),0)=Recherche!$C$6),OR(Recherche!$C$7="",ISNUMBER(SEARCH(Recherche!$C$7,H2493))),OR(Recherche!$C$8="",J2493=Recherche!$C$8),OR(Recherche!$C$9="",I2493=Recherche!$C$9),OR(Recherche!$C$10="",G2493&amp;""=Recherche!$C$10&amp;""),OR(Recherche!$C$11="",E2493=Recherche!$C$11),OR(Recherche!$C$12="",ISNUMBER(SEARCH(Recherche!$C$12,M2493&amp;" "&amp;F2493)))),1,0)</f>
        <v>8</v>
      </c>
    </row>
    <row r="2494" customFormat="false" ht="15" hidden="false" customHeight="false" outlineLevel="0" collapsed="false">
      <c r="A2494" s="19"/>
      <c r="B2494" s="19"/>
      <c r="C2494" s="19"/>
      <c r="D2494" s="19"/>
      <c r="E2494" s="22"/>
      <c r="F2494" s="19"/>
      <c r="G2494" s="26" t="str">
        <f aca="false">IF(D2494="","",IFERROR(VALUE(LEFT(D2494,FIND(" |",D2494&amp;" |")-1)),"?"))</f>
        <v/>
      </c>
      <c r="H2494" s="27" t="str">
        <f aca="false">IF(G2494="","",IF(G2494="?","⚠ pub inconnue",IFERROR(INDEX(Pubs!$B$2:$B$3001,MATCH(G2494,Pubs!$A$2:$A$3001,0))&amp;"","⚠ pub inconnue")))</f>
        <v/>
      </c>
      <c r="I2494" s="27" t="str">
        <f aca="false">IF(OR(G2494="",G2494="?"),"",IFERROR(INDEX(Pubs!$C$2:$C$3001,MATCH(G2494,Pubs!$A$2:$A$3001,0))&amp;"",""))</f>
        <v/>
      </c>
      <c r="J2494" s="27" t="str">
        <f aca="false">IF(OR(G2494="",G2494="?"),"",IFERROR(INDEX(Pubs!$G$2:$G$3001,MATCH(G2494,Pubs!$A$2:$A$3001,0))&amp;"",""))</f>
        <v/>
      </c>
      <c r="K2494" s="28" t="str">
        <f aca="false">IF(OR(G2494="",G2494="?"),"",IFERROR(INDEX(Pubs!$E$2:$E$3001,MATCH(G2494,Pubs!$A$2:$A$3001,0)),""))</f>
        <v/>
      </c>
      <c r="L2494" s="29" t="str">
        <f aca="false">IF(A2494="","",IFERROR(1/(1/INDEX(Numéros!$C$2:$C$3001,MATCH(A2494&amp;"|"&amp;B2494,Numéros!$F$2:$F$3001,0))),""))</f>
        <v/>
      </c>
      <c r="M2494" s="27" t="str">
        <f aca="false">IF(OR(G2494="",G2494="?"),"",IFERROR(INDEX(Pubs!$D$2:$D$3001,MATCH(G2494,Pubs!$A$2:$A$3001,0))&amp;"",""))</f>
        <v/>
      </c>
      <c r="N2494" s="27" t="n">
        <f aca="false">N(N2493)+IF(AND(A2494&lt;&gt;"",OR(Recherche!$C$4="",A2494=Recherche!$C$4),OR(Recherche!$C$5="",B2494&amp;""=Recherche!$C$5&amp;""),OR(Recherche!$C$6="",IFERROR(YEAR(L2494),0)=Recherche!$C$6),OR(Recherche!$C$7="",ISNUMBER(SEARCH(Recherche!$C$7,H2494))),OR(Recherche!$C$8="",J2494=Recherche!$C$8),OR(Recherche!$C$9="",I2494=Recherche!$C$9),OR(Recherche!$C$10="",G2494&amp;""=Recherche!$C$10&amp;""),OR(Recherche!$C$11="",E2494=Recherche!$C$11),OR(Recherche!$C$12="",ISNUMBER(SEARCH(Recherche!$C$12,M2494&amp;" "&amp;F2494)))),1,0)</f>
        <v>8</v>
      </c>
    </row>
    <row r="2495" customFormat="false" ht="15" hidden="false" customHeight="false" outlineLevel="0" collapsed="false">
      <c r="A2495" s="19"/>
      <c r="B2495" s="19"/>
      <c r="C2495" s="19"/>
      <c r="D2495" s="19"/>
      <c r="E2495" s="22"/>
      <c r="F2495" s="19"/>
      <c r="G2495" s="26" t="str">
        <f aca="false">IF(D2495="","",IFERROR(VALUE(LEFT(D2495,FIND(" |",D2495&amp;" |")-1)),"?"))</f>
        <v/>
      </c>
      <c r="H2495" s="27" t="str">
        <f aca="false">IF(G2495="","",IF(G2495="?","⚠ pub inconnue",IFERROR(INDEX(Pubs!$B$2:$B$3001,MATCH(G2495,Pubs!$A$2:$A$3001,0))&amp;"","⚠ pub inconnue")))</f>
        <v/>
      </c>
      <c r="I2495" s="27" t="str">
        <f aca="false">IF(OR(G2495="",G2495="?"),"",IFERROR(INDEX(Pubs!$C$2:$C$3001,MATCH(G2495,Pubs!$A$2:$A$3001,0))&amp;"",""))</f>
        <v/>
      </c>
      <c r="J2495" s="27" t="str">
        <f aca="false">IF(OR(G2495="",G2495="?"),"",IFERROR(INDEX(Pubs!$G$2:$G$3001,MATCH(G2495,Pubs!$A$2:$A$3001,0))&amp;"",""))</f>
        <v/>
      </c>
      <c r="K2495" s="28" t="str">
        <f aca="false">IF(OR(G2495="",G2495="?"),"",IFERROR(INDEX(Pubs!$E$2:$E$3001,MATCH(G2495,Pubs!$A$2:$A$3001,0)),""))</f>
        <v/>
      </c>
      <c r="L2495" s="29" t="str">
        <f aca="false">IF(A2495="","",IFERROR(1/(1/INDEX(Numéros!$C$2:$C$3001,MATCH(A2495&amp;"|"&amp;B2495,Numéros!$F$2:$F$3001,0))),""))</f>
        <v/>
      </c>
      <c r="M2495" s="27" t="str">
        <f aca="false">IF(OR(G2495="",G2495="?"),"",IFERROR(INDEX(Pubs!$D$2:$D$3001,MATCH(G2495,Pubs!$A$2:$A$3001,0))&amp;"",""))</f>
        <v/>
      </c>
      <c r="N2495" s="27" t="n">
        <f aca="false">N(N2494)+IF(AND(A2495&lt;&gt;"",OR(Recherche!$C$4="",A2495=Recherche!$C$4),OR(Recherche!$C$5="",B2495&amp;""=Recherche!$C$5&amp;""),OR(Recherche!$C$6="",IFERROR(YEAR(L2495),0)=Recherche!$C$6),OR(Recherche!$C$7="",ISNUMBER(SEARCH(Recherche!$C$7,H2495))),OR(Recherche!$C$8="",J2495=Recherche!$C$8),OR(Recherche!$C$9="",I2495=Recherche!$C$9),OR(Recherche!$C$10="",G2495&amp;""=Recherche!$C$10&amp;""),OR(Recherche!$C$11="",E2495=Recherche!$C$11),OR(Recherche!$C$12="",ISNUMBER(SEARCH(Recherche!$C$12,M2495&amp;" "&amp;F2495)))),1,0)</f>
        <v>8</v>
      </c>
    </row>
    <row r="2496" customFormat="false" ht="15" hidden="false" customHeight="false" outlineLevel="0" collapsed="false">
      <c r="A2496" s="19"/>
      <c r="B2496" s="19"/>
      <c r="C2496" s="19"/>
      <c r="D2496" s="19"/>
      <c r="E2496" s="22"/>
      <c r="F2496" s="19"/>
      <c r="G2496" s="26" t="str">
        <f aca="false">IF(D2496="","",IFERROR(VALUE(LEFT(D2496,FIND(" |",D2496&amp;" |")-1)),"?"))</f>
        <v/>
      </c>
      <c r="H2496" s="27" t="str">
        <f aca="false">IF(G2496="","",IF(G2496="?","⚠ pub inconnue",IFERROR(INDEX(Pubs!$B$2:$B$3001,MATCH(G2496,Pubs!$A$2:$A$3001,0))&amp;"","⚠ pub inconnue")))</f>
        <v/>
      </c>
      <c r="I2496" s="27" t="str">
        <f aca="false">IF(OR(G2496="",G2496="?"),"",IFERROR(INDEX(Pubs!$C$2:$C$3001,MATCH(G2496,Pubs!$A$2:$A$3001,0))&amp;"",""))</f>
        <v/>
      </c>
      <c r="J2496" s="27" t="str">
        <f aca="false">IF(OR(G2496="",G2496="?"),"",IFERROR(INDEX(Pubs!$G$2:$G$3001,MATCH(G2496,Pubs!$A$2:$A$3001,0))&amp;"",""))</f>
        <v/>
      </c>
      <c r="K2496" s="28" t="str">
        <f aca="false">IF(OR(G2496="",G2496="?"),"",IFERROR(INDEX(Pubs!$E$2:$E$3001,MATCH(G2496,Pubs!$A$2:$A$3001,0)),""))</f>
        <v/>
      </c>
      <c r="L2496" s="29" t="str">
        <f aca="false">IF(A2496="","",IFERROR(1/(1/INDEX(Numéros!$C$2:$C$3001,MATCH(A2496&amp;"|"&amp;B2496,Numéros!$F$2:$F$3001,0))),""))</f>
        <v/>
      </c>
      <c r="M2496" s="27" t="str">
        <f aca="false">IF(OR(G2496="",G2496="?"),"",IFERROR(INDEX(Pubs!$D$2:$D$3001,MATCH(G2496,Pubs!$A$2:$A$3001,0))&amp;"",""))</f>
        <v/>
      </c>
      <c r="N2496" s="27" t="n">
        <f aca="false">N(N2495)+IF(AND(A2496&lt;&gt;"",OR(Recherche!$C$4="",A2496=Recherche!$C$4),OR(Recherche!$C$5="",B2496&amp;""=Recherche!$C$5&amp;""),OR(Recherche!$C$6="",IFERROR(YEAR(L2496),0)=Recherche!$C$6),OR(Recherche!$C$7="",ISNUMBER(SEARCH(Recherche!$C$7,H2496))),OR(Recherche!$C$8="",J2496=Recherche!$C$8),OR(Recherche!$C$9="",I2496=Recherche!$C$9),OR(Recherche!$C$10="",G2496&amp;""=Recherche!$C$10&amp;""),OR(Recherche!$C$11="",E2496=Recherche!$C$11),OR(Recherche!$C$12="",ISNUMBER(SEARCH(Recherche!$C$12,M2496&amp;" "&amp;F2496)))),1,0)</f>
        <v>8</v>
      </c>
    </row>
    <row r="2497" customFormat="false" ht="15" hidden="false" customHeight="false" outlineLevel="0" collapsed="false">
      <c r="A2497" s="19"/>
      <c r="B2497" s="19"/>
      <c r="C2497" s="19"/>
      <c r="D2497" s="19"/>
      <c r="E2497" s="22"/>
      <c r="F2497" s="19"/>
      <c r="G2497" s="26" t="str">
        <f aca="false">IF(D2497="","",IFERROR(VALUE(LEFT(D2497,FIND(" |",D2497&amp;" |")-1)),"?"))</f>
        <v/>
      </c>
      <c r="H2497" s="27" t="str">
        <f aca="false">IF(G2497="","",IF(G2497="?","⚠ pub inconnue",IFERROR(INDEX(Pubs!$B$2:$B$3001,MATCH(G2497,Pubs!$A$2:$A$3001,0))&amp;"","⚠ pub inconnue")))</f>
        <v/>
      </c>
      <c r="I2497" s="27" t="str">
        <f aca="false">IF(OR(G2497="",G2497="?"),"",IFERROR(INDEX(Pubs!$C$2:$C$3001,MATCH(G2497,Pubs!$A$2:$A$3001,0))&amp;"",""))</f>
        <v/>
      </c>
      <c r="J2497" s="27" t="str">
        <f aca="false">IF(OR(G2497="",G2497="?"),"",IFERROR(INDEX(Pubs!$G$2:$G$3001,MATCH(G2497,Pubs!$A$2:$A$3001,0))&amp;"",""))</f>
        <v/>
      </c>
      <c r="K2497" s="28" t="str">
        <f aca="false">IF(OR(G2497="",G2497="?"),"",IFERROR(INDEX(Pubs!$E$2:$E$3001,MATCH(G2497,Pubs!$A$2:$A$3001,0)),""))</f>
        <v/>
      </c>
      <c r="L2497" s="29" t="str">
        <f aca="false">IF(A2497="","",IFERROR(1/(1/INDEX(Numéros!$C$2:$C$3001,MATCH(A2497&amp;"|"&amp;B2497,Numéros!$F$2:$F$3001,0))),""))</f>
        <v/>
      </c>
      <c r="M2497" s="27" t="str">
        <f aca="false">IF(OR(G2497="",G2497="?"),"",IFERROR(INDEX(Pubs!$D$2:$D$3001,MATCH(G2497,Pubs!$A$2:$A$3001,0))&amp;"",""))</f>
        <v/>
      </c>
      <c r="N2497" s="27" t="n">
        <f aca="false">N(N2496)+IF(AND(A2497&lt;&gt;"",OR(Recherche!$C$4="",A2497=Recherche!$C$4),OR(Recherche!$C$5="",B2497&amp;""=Recherche!$C$5&amp;""),OR(Recherche!$C$6="",IFERROR(YEAR(L2497),0)=Recherche!$C$6),OR(Recherche!$C$7="",ISNUMBER(SEARCH(Recherche!$C$7,H2497))),OR(Recherche!$C$8="",J2497=Recherche!$C$8),OR(Recherche!$C$9="",I2497=Recherche!$C$9),OR(Recherche!$C$10="",G2497&amp;""=Recherche!$C$10&amp;""),OR(Recherche!$C$11="",E2497=Recherche!$C$11),OR(Recherche!$C$12="",ISNUMBER(SEARCH(Recherche!$C$12,M2497&amp;" "&amp;F2497)))),1,0)</f>
        <v>8</v>
      </c>
    </row>
    <row r="2498" customFormat="false" ht="15" hidden="false" customHeight="false" outlineLevel="0" collapsed="false">
      <c r="A2498" s="19"/>
      <c r="B2498" s="19"/>
      <c r="C2498" s="19"/>
      <c r="D2498" s="19"/>
      <c r="E2498" s="22"/>
      <c r="F2498" s="19"/>
      <c r="G2498" s="26" t="str">
        <f aca="false">IF(D2498="","",IFERROR(VALUE(LEFT(D2498,FIND(" |",D2498&amp;" |")-1)),"?"))</f>
        <v/>
      </c>
      <c r="H2498" s="27" t="str">
        <f aca="false">IF(G2498="","",IF(G2498="?","⚠ pub inconnue",IFERROR(INDEX(Pubs!$B$2:$B$3001,MATCH(G2498,Pubs!$A$2:$A$3001,0))&amp;"","⚠ pub inconnue")))</f>
        <v/>
      </c>
      <c r="I2498" s="27" t="str">
        <f aca="false">IF(OR(G2498="",G2498="?"),"",IFERROR(INDEX(Pubs!$C$2:$C$3001,MATCH(G2498,Pubs!$A$2:$A$3001,0))&amp;"",""))</f>
        <v/>
      </c>
      <c r="J2498" s="27" t="str">
        <f aca="false">IF(OR(G2498="",G2498="?"),"",IFERROR(INDEX(Pubs!$G$2:$G$3001,MATCH(G2498,Pubs!$A$2:$A$3001,0))&amp;"",""))</f>
        <v/>
      </c>
      <c r="K2498" s="28" t="str">
        <f aca="false">IF(OR(G2498="",G2498="?"),"",IFERROR(INDEX(Pubs!$E$2:$E$3001,MATCH(G2498,Pubs!$A$2:$A$3001,0)),""))</f>
        <v/>
      </c>
      <c r="L2498" s="29" t="str">
        <f aca="false">IF(A2498="","",IFERROR(1/(1/INDEX(Numéros!$C$2:$C$3001,MATCH(A2498&amp;"|"&amp;B2498,Numéros!$F$2:$F$3001,0))),""))</f>
        <v/>
      </c>
      <c r="M2498" s="27" t="str">
        <f aca="false">IF(OR(G2498="",G2498="?"),"",IFERROR(INDEX(Pubs!$D$2:$D$3001,MATCH(G2498,Pubs!$A$2:$A$3001,0))&amp;"",""))</f>
        <v/>
      </c>
      <c r="N2498" s="27" t="n">
        <f aca="false">N(N2497)+IF(AND(A2498&lt;&gt;"",OR(Recherche!$C$4="",A2498=Recherche!$C$4),OR(Recherche!$C$5="",B2498&amp;""=Recherche!$C$5&amp;""),OR(Recherche!$C$6="",IFERROR(YEAR(L2498),0)=Recherche!$C$6),OR(Recherche!$C$7="",ISNUMBER(SEARCH(Recherche!$C$7,H2498))),OR(Recherche!$C$8="",J2498=Recherche!$C$8),OR(Recherche!$C$9="",I2498=Recherche!$C$9),OR(Recherche!$C$10="",G2498&amp;""=Recherche!$C$10&amp;""),OR(Recherche!$C$11="",E2498=Recherche!$C$11),OR(Recherche!$C$12="",ISNUMBER(SEARCH(Recherche!$C$12,M2498&amp;" "&amp;F2498)))),1,0)</f>
        <v>8</v>
      </c>
    </row>
    <row r="2499" customFormat="false" ht="15" hidden="false" customHeight="false" outlineLevel="0" collapsed="false">
      <c r="A2499" s="19"/>
      <c r="B2499" s="19"/>
      <c r="C2499" s="19"/>
      <c r="D2499" s="19"/>
      <c r="E2499" s="22"/>
      <c r="F2499" s="19"/>
      <c r="G2499" s="26" t="str">
        <f aca="false">IF(D2499="","",IFERROR(VALUE(LEFT(D2499,FIND(" |",D2499&amp;" |")-1)),"?"))</f>
        <v/>
      </c>
      <c r="H2499" s="27" t="str">
        <f aca="false">IF(G2499="","",IF(G2499="?","⚠ pub inconnue",IFERROR(INDEX(Pubs!$B$2:$B$3001,MATCH(G2499,Pubs!$A$2:$A$3001,0))&amp;"","⚠ pub inconnue")))</f>
        <v/>
      </c>
      <c r="I2499" s="27" t="str">
        <f aca="false">IF(OR(G2499="",G2499="?"),"",IFERROR(INDEX(Pubs!$C$2:$C$3001,MATCH(G2499,Pubs!$A$2:$A$3001,0))&amp;"",""))</f>
        <v/>
      </c>
      <c r="J2499" s="27" t="str">
        <f aca="false">IF(OR(G2499="",G2499="?"),"",IFERROR(INDEX(Pubs!$G$2:$G$3001,MATCH(G2499,Pubs!$A$2:$A$3001,0))&amp;"",""))</f>
        <v/>
      </c>
      <c r="K2499" s="28" t="str">
        <f aca="false">IF(OR(G2499="",G2499="?"),"",IFERROR(INDEX(Pubs!$E$2:$E$3001,MATCH(G2499,Pubs!$A$2:$A$3001,0)),""))</f>
        <v/>
      </c>
      <c r="L2499" s="29" t="str">
        <f aca="false">IF(A2499="","",IFERROR(1/(1/INDEX(Numéros!$C$2:$C$3001,MATCH(A2499&amp;"|"&amp;B2499,Numéros!$F$2:$F$3001,0))),""))</f>
        <v/>
      </c>
      <c r="M2499" s="27" t="str">
        <f aca="false">IF(OR(G2499="",G2499="?"),"",IFERROR(INDEX(Pubs!$D$2:$D$3001,MATCH(G2499,Pubs!$A$2:$A$3001,0))&amp;"",""))</f>
        <v/>
      </c>
      <c r="N2499" s="27" t="n">
        <f aca="false">N(N2498)+IF(AND(A2499&lt;&gt;"",OR(Recherche!$C$4="",A2499=Recherche!$C$4),OR(Recherche!$C$5="",B2499&amp;""=Recherche!$C$5&amp;""),OR(Recherche!$C$6="",IFERROR(YEAR(L2499),0)=Recherche!$C$6),OR(Recherche!$C$7="",ISNUMBER(SEARCH(Recherche!$C$7,H2499))),OR(Recherche!$C$8="",J2499=Recherche!$C$8),OR(Recherche!$C$9="",I2499=Recherche!$C$9),OR(Recherche!$C$10="",G2499&amp;""=Recherche!$C$10&amp;""),OR(Recherche!$C$11="",E2499=Recherche!$C$11),OR(Recherche!$C$12="",ISNUMBER(SEARCH(Recherche!$C$12,M2499&amp;" "&amp;F2499)))),1,0)</f>
        <v>8</v>
      </c>
    </row>
    <row r="2500" customFormat="false" ht="15" hidden="false" customHeight="false" outlineLevel="0" collapsed="false">
      <c r="A2500" s="19"/>
      <c r="B2500" s="19"/>
      <c r="C2500" s="19"/>
      <c r="D2500" s="19"/>
      <c r="E2500" s="22"/>
      <c r="F2500" s="19"/>
      <c r="G2500" s="26" t="str">
        <f aca="false">IF(D2500="","",IFERROR(VALUE(LEFT(D2500,FIND(" |",D2500&amp;" |")-1)),"?"))</f>
        <v/>
      </c>
      <c r="H2500" s="27" t="str">
        <f aca="false">IF(G2500="","",IF(G2500="?","⚠ pub inconnue",IFERROR(INDEX(Pubs!$B$2:$B$3001,MATCH(G2500,Pubs!$A$2:$A$3001,0))&amp;"","⚠ pub inconnue")))</f>
        <v/>
      </c>
      <c r="I2500" s="27" t="str">
        <f aca="false">IF(OR(G2500="",G2500="?"),"",IFERROR(INDEX(Pubs!$C$2:$C$3001,MATCH(G2500,Pubs!$A$2:$A$3001,0))&amp;"",""))</f>
        <v/>
      </c>
      <c r="J2500" s="27" t="str">
        <f aca="false">IF(OR(G2500="",G2500="?"),"",IFERROR(INDEX(Pubs!$G$2:$G$3001,MATCH(G2500,Pubs!$A$2:$A$3001,0))&amp;"",""))</f>
        <v/>
      </c>
      <c r="K2500" s="28" t="str">
        <f aca="false">IF(OR(G2500="",G2500="?"),"",IFERROR(INDEX(Pubs!$E$2:$E$3001,MATCH(G2500,Pubs!$A$2:$A$3001,0)),""))</f>
        <v/>
      </c>
      <c r="L2500" s="29" t="str">
        <f aca="false">IF(A2500="","",IFERROR(1/(1/INDEX(Numéros!$C$2:$C$3001,MATCH(A2500&amp;"|"&amp;B2500,Numéros!$F$2:$F$3001,0))),""))</f>
        <v/>
      </c>
      <c r="M2500" s="27" t="str">
        <f aca="false">IF(OR(G2500="",G2500="?"),"",IFERROR(INDEX(Pubs!$D$2:$D$3001,MATCH(G2500,Pubs!$A$2:$A$3001,0))&amp;"",""))</f>
        <v/>
      </c>
      <c r="N2500" s="27" t="n">
        <f aca="false">N(N2499)+IF(AND(A2500&lt;&gt;"",OR(Recherche!$C$4="",A2500=Recherche!$C$4),OR(Recherche!$C$5="",B2500&amp;""=Recherche!$C$5&amp;""),OR(Recherche!$C$6="",IFERROR(YEAR(L2500),0)=Recherche!$C$6),OR(Recherche!$C$7="",ISNUMBER(SEARCH(Recherche!$C$7,H2500))),OR(Recherche!$C$8="",J2500=Recherche!$C$8),OR(Recherche!$C$9="",I2500=Recherche!$C$9),OR(Recherche!$C$10="",G2500&amp;""=Recherche!$C$10&amp;""),OR(Recherche!$C$11="",E2500=Recherche!$C$11),OR(Recherche!$C$12="",ISNUMBER(SEARCH(Recherche!$C$12,M2500&amp;" "&amp;F2500)))),1,0)</f>
        <v>8</v>
      </c>
    </row>
    <row r="2501" customFormat="false" ht="15" hidden="false" customHeight="false" outlineLevel="0" collapsed="false">
      <c r="A2501" s="19"/>
      <c r="B2501" s="19"/>
      <c r="C2501" s="19"/>
      <c r="D2501" s="19"/>
      <c r="E2501" s="22"/>
      <c r="F2501" s="19"/>
      <c r="G2501" s="26" t="str">
        <f aca="false">IF(D2501="","",IFERROR(VALUE(LEFT(D2501,FIND(" |",D2501&amp;" |")-1)),"?"))</f>
        <v/>
      </c>
      <c r="H2501" s="27" t="str">
        <f aca="false">IF(G2501="","",IF(G2501="?","⚠ pub inconnue",IFERROR(INDEX(Pubs!$B$2:$B$3001,MATCH(G2501,Pubs!$A$2:$A$3001,0))&amp;"","⚠ pub inconnue")))</f>
        <v/>
      </c>
      <c r="I2501" s="27" t="str">
        <f aca="false">IF(OR(G2501="",G2501="?"),"",IFERROR(INDEX(Pubs!$C$2:$C$3001,MATCH(G2501,Pubs!$A$2:$A$3001,0))&amp;"",""))</f>
        <v/>
      </c>
      <c r="J2501" s="27" t="str">
        <f aca="false">IF(OR(G2501="",G2501="?"),"",IFERROR(INDEX(Pubs!$G$2:$G$3001,MATCH(G2501,Pubs!$A$2:$A$3001,0))&amp;"",""))</f>
        <v/>
      </c>
      <c r="K2501" s="28" t="str">
        <f aca="false">IF(OR(G2501="",G2501="?"),"",IFERROR(INDEX(Pubs!$E$2:$E$3001,MATCH(G2501,Pubs!$A$2:$A$3001,0)),""))</f>
        <v/>
      </c>
      <c r="L2501" s="29" t="str">
        <f aca="false">IF(A2501="","",IFERROR(1/(1/INDEX(Numéros!$C$2:$C$3001,MATCH(A2501&amp;"|"&amp;B2501,Numéros!$F$2:$F$3001,0))),""))</f>
        <v/>
      </c>
      <c r="M2501" s="27" t="str">
        <f aca="false">IF(OR(G2501="",G2501="?"),"",IFERROR(INDEX(Pubs!$D$2:$D$3001,MATCH(G2501,Pubs!$A$2:$A$3001,0))&amp;"",""))</f>
        <v/>
      </c>
      <c r="N2501" s="27" t="n">
        <f aca="false">N(N2500)+IF(AND(A2501&lt;&gt;"",OR(Recherche!$C$4="",A2501=Recherche!$C$4),OR(Recherche!$C$5="",B2501&amp;""=Recherche!$C$5&amp;""),OR(Recherche!$C$6="",IFERROR(YEAR(L2501),0)=Recherche!$C$6),OR(Recherche!$C$7="",ISNUMBER(SEARCH(Recherche!$C$7,H2501))),OR(Recherche!$C$8="",J2501=Recherche!$C$8),OR(Recherche!$C$9="",I2501=Recherche!$C$9),OR(Recherche!$C$10="",G2501&amp;""=Recherche!$C$10&amp;""),OR(Recherche!$C$11="",E2501=Recherche!$C$11),OR(Recherche!$C$12="",ISNUMBER(SEARCH(Recherche!$C$12,M2501&amp;" "&amp;F2501)))),1,0)</f>
        <v>8</v>
      </c>
    </row>
    <row r="2502" customFormat="false" ht="15" hidden="false" customHeight="false" outlineLevel="0" collapsed="false">
      <c r="A2502" s="19"/>
      <c r="B2502" s="19"/>
      <c r="C2502" s="19"/>
      <c r="D2502" s="19"/>
      <c r="E2502" s="22"/>
      <c r="F2502" s="19"/>
      <c r="G2502" s="26" t="str">
        <f aca="false">IF(D2502="","",IFERROR(VALUE(LEFT(D2502,FIND(" |",D2502&amp;" |")-1)),"?"))</f>
        <v/>
      </c>
      <c r="H2502" s="27" t="str">
        <f aca="false">IF(G2502="","",IF(G2502="?","⚠ pub inconnue",IFERROR(INDEX(Pubs!$B$2:$B$3001,MATCH(G2502,Pubs!$A$2:$A$3001,0))&amp;"","⚠ pub inconnue")))</f>
        <v/>
      </c>
      <c r="I2502" s="27" t="str">
        <f aca="false">IF(OR(G2502="",G2502="?"),"",IFERROR(INDEX(Pubs!$C$2:$C$3001,MATCH(G2502,Pubs!$A$2:$A$3001,0))&amp;"",""))</f>
        <v/>
      </c>
      <c r="J2502" s="27" t="str">
        <f aca="false">IF(OR(G2502="",G2502="?"),"",IFERROR(INDEX(Pubs!$G$2:$G$3001,MATCH(G2502,Pubs!$A$2:$A$3001,0))&amp;"",""))</f>
        <v/>
      </c>
      <c r="K2502" s="28" t="str">
        <f aca="false">IF(OR(G2502="",G2502="?"),"",IFERROR(INDEX(Pubs!$E$2:$E$3001,MATCH(G2502,Pubs!$A$2:$A$3001,0)),""))</f>
        <v/>
      </c>
      <c r="L2502" s="29" t="str">
        <f aca="false">IF(A2502="","",IFERROR(1/(1/INDEX(Numéros!$C$2:$C$3001,MATCH(A2502&amp;"|"&amp;B2502,Numéros!$F$2:$F$3001,0))),""))</f>
        <v/>
      </c>
      <c r="M2502" s="27" t="str">
        <f aca="false">IF(OR(G2502="",G2502="?"),"",IFERROR(INDEX(Pubs!$D$2:$D$3001,MATCH(G2502,Pubs!$A$2:$A$3001,0))&amp;"",""))</f>
        <v/>
      </c>
      <c r="N2502" s="27" t="n">
        <f aca="false">N(N2501)+IF(AND(A2502&lt;&gt;"",OR(Recherche!$C$4="",A2502=Recherche!$C$4),OR(Recherche!$C$5="",B2502&amp;""=Recherche!$C$5&amp;""),OR(Recherche!$C$6="",IFERROR(YEAR(L2502),0)=Recherche!$C$6),OR(Recherche!$C$7="",ISNUMBER(SEARCH(Recherche!$C$7,H2502))),OR(Recherche!$C$8="",J2502=Recherche!$C$8),OR(Recherche!$C$9="",I2502=Recherche!$C$9),OR(Recherche!$C$10="",G2502&amp;""=Recherche!$C$10&amp;""),OR(Recherche!$C$11="",E2502=Recherche!$C$11),OR(Recherche!$C$12="",ISNUMBER(SEARCH(Recherche!$C$12,M2502&amp;" "&amp;F2502)))),1,0)</f>
        <v>8</v>
      </c>
    </row>
    <row r="2503" customFormat="false" ht="15" hidden="false" customHeight="false" outlineLevel="0" collapsed="false">
      <c r="A2503" s="19"/>
      <c r="B2503" s="19"/>
      <c r="C2503" s="19"/>
      <c r="D2503" s="19"/>
      <c r="E2503" s="22"/>
      <c r="F2503" s="19"/>
      <c r="G2503" s="26" t="str">
        <f aca="false">IF(D2503="","",IFERROR(VALUE(LEFT(D2503,FIND(" |",D2503&amp;" |")-1)),"?"))</f>
        <v/>
      </c>
      <c r="H2503" s="27" t="str">
        <f aca="false">IF(G2503="","",IF(G2503="?","⚠ pub inconnue",IFERROR(INDEX(Pubs!$B$2:$B$3001,MATCH(G2503,Pubs!$A$2:$A$3001,0))&amp;"","⚠ pub inconnue")))</f>
        <v/>
      </c>
      <c r="I2503" s="27" t="str">
        <f aca="false">IF(OR(G2503="",G2503="?"),"",IFERROR(INDEX(Pubs!$C$2:$C$3001,MATCH(G2503,Pubs!$A$2:$A$3001,0))&amp;"",""))</f>
        <v/>
      </c>
      <c r="J2503" s="27" t="str">
        <f aca="false">IF(OR(G2503="",G2503="?"),"",IFERROR(INDEX(Pubs!$G$2:$G$3001,MATCH(G2503,Pubs!$A$2:$A$3001,0))&amp;"",""))</f>
        <v/>
      </c>
      <c r="K2503" s="28" t="str">
        <f aca="false">IF(OR(G2503="",G2503="?"),"",IFERROR(INDEX(Pubs!$E$2:$E$3001,MATCH(G2503,Pubs!$A$2:$A$3001,0)),""))</f>
        <v/>
      </c>
      <c r="L2503" s="29" t="str">
        <f aca="false">IF(A2503="","",IFERROR(1/(1/INDEX(Numéros!$C$2:$C$3001,MATCH(A2503&amp;"|"&amp;B2503,Numéros!$F$2:$F$3001,0))),""))</f>
        <v/>
      </c>
      <c r="M2503" s="27" t="str">
        <f aca="false">IF(OR(G2503="",G2503="?"),"",IFERROR(INDEX(Pubs!$D$2:$D$3001,MATCH(G2503,Pubs!$A$2:$A$3001,0))&amp;"",""))</f>
        <v/>
      </c>
      <c r="N2503" s="27" t="n">
        <f aca="false">N(N2502)+IF(AND(A2503&lt;&gt;"",OR(Recherche!$C$4="",A2503=Recherche!$C$4),OR(Recherche!$C$5="",B2503&amp;""=Recherche!$C$5&amp;""),OR(Recherche!$C$6="",IFERROR(YEAR(L2503),0)=Recherche!$C$6),OR(Recherche!$C$7="",ISNUMBER(SEARCH(Recherche!$C$7,H2503))),OR(Recherche!$C$8="",J2503=Recherche!$C$8),OR(Recherche!$C$9="",I2503=Recherche!$C$9),OR(Recherche!$C$10="",G2503&amp;""=Recherche!$C$10&amp;""),OR(Recherche!$C$11="",E2503=Recherche!$C$11),OR(Recherche!$C$12="",ISNUMBER(SEARCH(Recherche!$C$12,M2503&amp;" "&amp;F2503)))),1,0)</f>
        <v>8</v>
      </c>
    </row>
    <row r="2504" customFormat="false" ht="15" hidden="false" customHeight="false" outlineLevel="0" collapsed="false">
      <c r="A2504" s="19"/>
      <c r="B2504" s="19"/>
      <c r="C2504" s="19"/>
      <c r="D2504" s="19"/>
      <c r="E2504" s="22"/>
      <c r="F2504" s="19"/>
      <c r="G2504" s="26" t="str">
        <f aca="false">IF(D2504="","",IFERROR(VALUE(LEFT(D2504,FIND(" |",D2504&amp;" |")-1)),"?"))</f>
        <v/>
      </c>
      <c r="H2504" s="27" t="str">
        <f aca="false">IF(G2504="","",IF(G2504="?","⚠ pub inconnue",IFERROR(INDEX(Pubs!$B$2:$B$3001,MATCH(G2504,Pubs!$A$2:$A$3001,0))&amp;"","⚠ pub inconnue")))</f>
        <v/>
      </c>
      <c r="I2504" s="27" t="str">
        <f aca="false">IF(OR(G2504="",G2504="?"),"",IFERROR(INDEX(Pubs!$C$2:$C$3001,MATCH(G2504,Pubs!$A$2:$A$3001,0))&amp;"",""))</f>
        <v/>
      </c>
      <c r="J2504" s="27" t="str">
        <f aca="false">IF(OR(G2504="",G2504="?"),"",IFERROR(INDEX(Pubs!$G$2:$G$3001,MATCH(G2504,Pubs!$A$2:$A$3001,0))&amp;"",""))</f>
        <v/>
      </c>
      <c r="K2504" s="28" t="str">
        <f aca="false">IF(OR(G2504="",G2504="?"),"",IFERROR(INDEX(Pubs!$E$2:$E$3001,MATCH(G2504,Pubs!$A$2:$A$3001,0)),""))</f>
        <v/>
      </c>
      <c r="L2504" s="29" t="str">
        <f aca="false">IF(A2504="","",IFERROR(1/(1/INDEX(Numéros!$C$2:$C$3001,MATCH(A2504&amp;"|"&amp;B2504,Numéros!$F$2:$F$3001,0))),""))</f>
        <v/>
      </c>
      <c r="M2504" s="27" t="str">
        <f aca="false">IF(OR(G2504="",G2504="?"),"",IFERROR(INDEX(Pubs!$D$2:$D$3001,MATCH(G2504,Pubs!$A$2:$A$3001,0))&amp;"",""))</f>
        <v/>
      </c>
      <c r="N2504" s="27" t="n">
        <f aca="false">N(N2503)+IF(AND(A2504&lt;&gt;"",OR(Recherche!$C$4="",A2504=Recherche!$C$4),OR(Recherche!$C$5="",B2504&amp;""=Recherche!$C$5&amp;""),OR(Recherche!$C$6="",IFERROR(YEAR(L2504),0)=Recherche!$C$6),OR(Recherche!$C$7="",ISNUMBER(SEARCH(Recherche!$C$7,H2504))),OR(Recherche!$C$8="",J2504=Recherche!$C$8),OR(Recherche!$C$9="",I2504=Recherche!$C$9),OR(Recherche!$C$10="",G2504&amp;""=Recherche!$C$10&amp;""),OR(Recherche!$C$11="",E2504=Recherche!$C$11),OR(Recherche!$C$12="",ISNUMBER(SEARCH(Recherche!$C$12,M2504&amp;" "&amp;F2504)))),1,0)</f>
        <v>8</v>
      </c>
    </row>
    <row r="2505" customFormat="false" ht="15" hidden="false" customHeight="false" outlineLevel="0" collapsed="false">
      <c r="A2505" s="19"/>
      <c r="B2505" s="19"/>
      <c r="C2505" s="19"/>
      <c r="D2505" s="19"/>
      <c r="E2505" s="22"/>
      <c r="F2505" s="19"/>
      <c r="G2505" s="26" t="str">
        <f aca="false">IF(D2505="","",IFERROR(VALUE(LEFT(D2505,FIND(" |",D2505&amp;" |")-1)),"?"))</f>
        <v/>
      </c>
      <c r="H2505" s="27" t="str">
        <f aca="false">IF(G2505="","",IF(G2505="?","⚠ pub inconnue",IFERROR(INDEX(Pubs!$B$2:$B$3001,MATCH(G2505,Pubs!$A$2:$A$3001,0))&amp;"","⚠ pub inconnue")))</f>
        <v/>
      </c>
      <c r="I2505" s="27" t="str">
        <f aca="false">IF(OR(G2505="",G2505="?"),"",IFERROR(INDEX(Pubs!$C$2:$C$3001,MATCH(G2505,Pubs!$A$2:$A$3001,0))&amp;"",""))</f>
        <v/>
      </c>
      <c r="J2505" s="27" t="str">
        <f aca="false">IF(OR(G2505="",G2505="?"),"",IFERROR(INDEX(Pubs!$G$2:$G$3001,MATCH(G2505,Pubs!$A$2:$A$3001,0))&amp;"",""))</f>
        <v/>
      </c>
      <c r="K2505" s="28" t="str">
        <f aca="false">IF(OR(G2505="",G2505="?"),"",IFERROR(INDEX(Pubs!$E$2:$E$3001,MATCH(G2505,Pubs!$A$2:$A$3001,0)),""))</f>
        <v/>
      </c>
      <c r="L2505" s="29" t="str">
        <f aca="false">IF(A2505="","",IFERROR(1/(1/INDEX(Numéros!$C$2:$C$3001,MATCH(A2505&amp;"|"&amp;B2505,Numéros!$F$2:$F$3001,0))),""))</f>
        <v/>
      </c>
      <c r="M2505" s="27" t="str">
        <f aca="false">IF(OR(G2505="",G2505="?"),"",IFERROR(INDEX(Pubs!$D$2:$D$3001,MATCH(G2505,Pubs!$A$2:$A$3001,0))&amp;"",""))</f>
        <v/>
      </c>
      <c r="N2505" s="27" t="n">
        <f aca="false">N(N2504)+IF(AND(A2505&lt;&gt;"",OR(Recherche!$C$4="",A2505=Recherche!$C$4),OR(Recherche!$C$5="",B2505&amp;""=Recherche!$C$5&amp;""),OR(Recherche!$C$6="",IFERROR(YEAR(L2505),0)=Recherche!$C$6),OR(Recherche!$C$7="",ISNUMBER(SEARCH(Recherche!$C$7,H2505))),OR(Recherche!$C$8="",J2505=Recherche!$C$8),OR(Recherche!$C$9="",I2505=Recherche!$C$9),OR(Recherche!$C$10="",G2505&amp;""=Recherche!$C$10&amp;""),OR(Recherche!$C$11="",E2505=Recherche!$C$11),OR(Recherche!$C$12="",ISNUMBER(SEARCH(Recherche!$C$12,M2505&amp;" "&amp;F2505)))),1,0)</f>
        <v>8</v>
      </c>
    </row>
    <row r="2506" customFormat="false" ht="15" hidden="false" customHeight="false" outlineLevel="0" collapsed="false">
      <c r="A2506" s="19"/>
      <c r="B2506" s="19"/>
      <c r="C2506" s="19"/>
      <c r="D2506" s="19"/>
      <c r="E2506" s="22"/>
      <c r="F2506" s="19"/>
      <c r="G2506" s="26" t="str">
        <f aca="false">IF(D2506="","",IFERROR(VALUE(LEFT(D2506,FIND(" |",D2506&amp;" |")-1)),"?"))</f>
        <v/>
      </c>
      <c r="H2506" s="27" t="str">
        <f aca="false">IF(G2506="","",IF(G2506="?","⚠ pub inconnue",IFERROR(INDEX(Pubs!$B$2:$B$3001,MATCH(G2506,Pubs!$A$2:$A$3001,0))&amp;"","⚠ pub inconnue")))</f>
        <v/>
      </c>
      <c r="I2506" s="27" t="str">
        <f aca="false">IF(OR(G2506="",G2506="?"),"",IFERROR(INDEX(Pubs!$C$2:$C$3001,MATCH(G2506,Pubs!$A$2:$A$3001,0))&amp;"",""))</f>
        <v/>
      </c>
      <c r="J2506" s="27" t="str">
        <f aca="false">IF(OR(G2506="",G2506="?"),"",IFERROR(INDEX(Pubs!$G$2:$G$3001,MATCH(G2506,Pubs!$A$2:$A$3001,0))&amp;"",""))</f>
        <v/>
      </c>
      <c r="K2506" s="28" t="str">
        <f aca="false">IF(OR(G2506="",G2506="?"),"",IFERROR(INDEX(Pubs!$E$2:$E$3001,MATCH(G2506,Pubs!$A$2:$A$3001,0)),""))</f>
        <v/>
      </c>
      <c r="L2506" s="29" t="str">
        <f aca="false">IF(A2506="","",IFERROR(1/(1/INDEX(Numéros!$C$2:$C$3001,MATCH(A2506&amp;"|"&amp;B2506,Numéros!$F$2:$F$3001,0))),""))</f>
        <v/>
      </c>
      <c r="M2506" s="27" t="str">
        <f aca="false">IF(OR(G2506="",G2506="?"),"",IFERROR(INDEX(Pubs!$D$2:$D$3001,MATCH(G2506,Pubs!$A$2:$A$3001,0))&amp;"",""))</f>
        <v/>
      </c>
      <c r="N2506" s="27" t="n">
        <f aca="false">N(N2505)+IF(AND(A2506&lt;&gt;"",OR(Recherche!$C$4="",A2506=Recherche!$C$4),OR(Recherche!$C$5="",B2506&amp;""=Recherche!$C$5&amp;""),OR(Recherche!$C$6="",IFERROR(YEAR(L2506),0)=Recherche!$C$6),OR(Recherche!$C$7="",ISNUMBER(SEARCH(Recherche!$C$7,H2506))),OR(Recherche!$C$8="",J2506=Recherche!$C$8),OR(Recherche!$C$9="",I2506=Recherche!$C$9),OR(Recherche!$C$10="",G2506&amp;""=Recherche!$C$10&amp;""),OR(Recherche!$C$11="",E2506=Recherche!$C$11),OR(Recherche!$C$12="",ISNUMBER(SEARCH(Recherche!$C$12,M2506&amp;" "&amp;F2506)))),1,0)</f>
        <v>8</v>
      </c>
    </row>
    <row r="2507" customFormat="false" ht="15" hidden="false" customHeight="false" outlineLevel="0" collapsed="false">
      <c r="A2507" s="19"/>
      <c r="B2507" s="19"/>
      <c r="C2507" s="19"/>
      <c r="D2507" s="19"/>
      <c r="E2507" s="22"/>
      <c r="F2507" s="19"/>
      <c r="G2507" s="26" t="str">
        <f aca="false">IF(D2507="","",IFERROR(VALUE(LEFT(D2507,FIND(" |",D2507&amp;" |")-1)),"?"))</f>
        <v/>
      </c>
      <c r="H2507" s="27" t="str">
        <f aca="false">IF(G2507="","",IF(G2507="?","⚠ pub inconnue",IFERROR(INDEX(Pubs!$B$2:$B$3001,MATCH(G2507,Pubs!$A$2:$A$3001,0))&amp;"","⚠ pub inconnue")))</f>
        <v/>
      </c>
      <c r="I2507" s="27" t="str">
        <f aca="false">IF(OR(G2507="",G2507="?"),"",IFERROR(INDEX(Pubs!$C$2:$C$3001,MATCH(G2507,Pubs!$A$2:$A$3001,0))&amp;"",""))</f>
        <v/>
      </c>
      <c r="J2507" s="27" t="str">
        <f aca="false">IF(OR(G2507="",G2507="?"),"",IFERROR(INDEX(Pubs!$G$2:$G$3001,MATCH(G2507,Pubs!$A$2:$A$3001,0))&amp;"",""))</f>
        <v/>
      </c>
      <c r="K2507" s="28" t="str">
        <f aca="false">IF(OR(G2507="",G2507="?"),"",IFERROR(INDEX(Pubs!$E$2:$E$3001,MATCH(G2507,Pubs!$A$2:$A$3001,0)),""))</f>
        <v/>
      </c>
      <c r="L2507" s="29" t="str">
        <f aca="false">IF(A2507="","",IFERROR(1/(1/INDEX(Numéros!$C$2:$C$3001,MATCH(A2507&amp;"|"&amp;B2507,Numéros!$F$2:$F$3001,0))),""))</f>
        <v/>
      </c>
      <c r="M2507" s="27" t="str">
        <f aca="false">IF(OR(G2507="",G2507="?"),"",IFERROR(INDEX(Pubs!$D$2:$D$3001,MATCH(G2507,Pubs!$A$2:$A$3001,0))&amp;"",""))</f>
        <v/>
      </c>
      <c r="N2507" s="27" t="n">
        <f aca="false">N(N2506)+IF(AND(A2507&lt;&gt;"",OR(Recherche!$C$4="",A2507=Recherche!$C$4),OR(Recherche!$C$5="",B2507&amp;""=Recherche!$C$5&amp;""),OR(Recherche!$C$6="",IFERROR(YEAR(L2507),0)=Recherche!$C$6),OR(Recherche!$C$7="",ISNUMBER(SEARCH(Recherche!$C$7,H2507))),OR(Recherche!$C$8="",J2507=Recherche!$C$8),OR(Recherche!$C$9="",I2507=Recherche!$C$9),OR(Recherche!$C$10="",G2507&amp;""=Recherche!$C$10&amp;""),OR(Recherche!$C$11="",E2507=Recherche!$C$11),OR(Recherche!$C$12="",ISNUMBER(SEARCH(Recherche!$C$12,M2507&amp;" "&amp;F2507)))),1,0)</f>
        <v>8</v>
      </c>
    </row>
    <row r="2508" customFormat="false" ht="15" hidden="false" customHeight="false" outlineLevel="0" collapsed="false">
      <c r="A2508" s="19"/>
      <c r="B2508" s="19"/>
      <c r="C2508" s="19"/>
      <c r="D2508" s="19"/>
      <c r="E2508" s="22"/>
      <c r="F2508" s="19"/>
      <c r="G2508" s="26" t="str">
        <f aca="false">IF(D2508="","",IFERROR(VALUE(LEFT(D2508,FIND(" |",D2508&amp;" |")-1)),"?"))</f>
        <v/>
      </c>
      <c r="H2508" s="27" t="str">
        <f aca="false">IF(G2508="","",IF(G2508="?","⚠ pub inconnue",IFERROR(INDEX(Pubs!$B$2:$B$3001,MATCH(G2508,Pubs!$A$2:$A$3001,0))&amp;"","⚠ pub inconnue")))</f>
        <v/>
      </c>
      <c r="I2508" s="27" t="str">
        <f aca="false">IF(OR(G2508="",G2508="?"),"",IFERROR(INDEX(Pubs!$C$2:$C$3001,MATCH(G2508,Pubs!$A$2:$A$3001,0))&amp;"",""))</f>
        <v/>
      </c>
      <c r="J2508" s="27" t="str">
        <f aca="false">IF(OR(G2508="",G2508="?"),"",IFERROR(INDEX(Pubs!$G$2:$G$3001,MATCH(G2508,Pubs!$A$2:$A$3001,0))&amp;"",""))</f>
        <v/>
      </c>
      <c r="K2508" s="28" t="str">
        <f aca="false">IF(OR(G2508="",G2508="?"),"",IFERROR(INDEX(Pubs!$E$2:$E$3001,MATCH(G2508,Pubs!$A$2:$A$3001,0)),""))</f>
        <v/>
      </c>
      <c r="L2508" s="29" t="str">
        <f aca="false">IF(A2508="","",IFERROR(1/(1/INDEX(Numéros!$C$2:$C$3001,MATCH(A2508&amp;"|"&amp;B2508,Numéros!$F$2:$F$3001,0))),""))</f>
        <v/>
      </c>
      <c r="M2508" s="27" t="str">
        <f aca="false">IF(OR(G2508="",G2508="?"),"",IFERROR(INDEX(Pubs!$D$2:$D$3001,MATCH(G2508,Pubs!$A$2:$A$3001,0))&amp;"",""))</f>
        <v/>
      </c>
      <c r="N2508" s="27" t="n">
        <f aca="false">N(N2507)+IF(AND(A2508&lt;&gt;"",OR(Recherche!$C$4="",A2508=Recherche!$C$4),OR(Recherche!$C$5="",B2508&amp;""=Recherche!$C$5&amp;""),OR(Recherche!$C$6="",IFERROR(YEAR(L2508),0)=Recherche!$C$6),OR(Recherche!$C$7="",ISNUMBER(SEARCH(Recherche!$C$7,H2508))),OR(Recherche!$C$8="",J2508=Recherche!$C$8),OR(Recherche!$C$9="",I2508=Recherche!$C$9),OR(Recherche!$C$10="",G2508&amp;""=Recherche!$C$10&amp;""),OR(Recherche!$C$11="",E2508=Recherche!$C$11),OR(Recherche!$C$12="",ISNUMBER(SEARCH(Recherche!$C$12,M2508&amp;" "&amp;F2508)))),1,0)</f>
        <v>8</v>
      </c>
    </row>
    <row r="2509" customFormat="false" ht="15" hidden="false" customHeight="false" outlineLevel="0" collapsed="false">
      <c r="A2509" s="19"/>
      <c r="B2509" s="19"/>
      <c r="C2509" s="19"/>
      <c r="D2509" s="19"/>
      <c r="E2509" s="22"/>
      <c r="F2509" s="19"/>
      <c r="G2509" s="26" t="str">
        <f aca="false">IF(D2509="","",IFERROR(VALUE(LEFT(D2509,FIND(" |",D2509&amp;" |")-1)),"?"))</f>
        <v/>
      </c>
      <c r="H2509" s="27" t="str">
        <f aca="false">IF(G2509="","",IF(G2509="?","⚠ pub inconnue",IFERROR(INDEX(Pubs!$B$2:$B$3001,MATCH(G2509,Pubs!$A$2:$A$3001,0))&amp;"","⚠ pub inconnue")))</f>
        <v/>
      </c>
      <c r="I2509" s="27" t="str">
        <f aca="false">IF(OR(G2509="",G2509="?"),"",IFERROR(INDEX(Pubs!$C$2:$C$3001,MATCH(G2509,Pubs!$A$2:$A$3001,0))&amp;"",""))</f>
        <v/>
      </c>
      <c r="J2509" s="27" t="str">
        <f aca="false">IF(OR(G2509="",G2509="?"),"",IFERROR(INDEX(Pubs!$G$2:$G$3001,MATCH(G2509,Pubs!$A$2:$A$3001,0))&amp;"",""))</f>
        <v/>
      </c>
      <c r="K2509" s="28" t="str">
        <f aca="false">IF(OR(G2509="",G2509="?"),"",IFERROR(INDEX(Pubs!$E$2:$E$3001,MATCH(G2509,Pubs!$A$2:$A$3001,0)),""))</f>
        <v/>
      </c>
      <c r="L2509" s="29" t="str">
        <f aca="false">IF(A2509="","",IFERROR(1/(1/INDEX(Numéros!$C$2:$C$3001,MATCH(A2509&amp;"|"&amp;B2509,Numéros!$F$2:$F$3001,0))),""))</f>
        <v/>
      </c>
      <c r="M2509" s="27" t="str">
        <f aca="false">IF(OR(G2509="",G2509="?"),"",IFERROR(INDEX(Pubs!$D$2:$D$3001,MATCH(G2509,Pubs!$A$2:$A$3001,0))&amp;"",""))</f>
        <v/>
      </c>
      <c r="N2509" s="27" t="n">
        <f aca="false">N(N2508)+IF(AND(A2509&lt;&gt;"",OR(Recherche!$C$4="",A2509=Recherche!$C$4),OR(Recherche!$C$5="",B2509&amp;""=Recherche!$C$5&amp;""),OR(Recherche!$C$6="",IFERROR(YEAR(L2509),0)=Recherche!$C$6),OR(Recherche!$C$7="",ISNUMBER(SEARCH(Recherche!$C$7,H2509))),OR(Recherche!$C$8="",J2509=Recherche!$C$8),OR(Recherche!$C$9="",I2509=Recherche!$C$9),OR(Recherche!$C$10="",G2509&amp;""=Recherche!$C$10&amp;""),OR(Recherche!$C$11="",E2509=Recherche!$C$11),OR(Recherche!$C$12="",ISNUMBER(SEARCH(Recherche!$C$12,M2509&amp;" "&amp;F2509)))),1,0)</f>
        <v>8</v>
      </c>
    </row>
    <row r="2510" customFormat="false" ht="15" hidden="false" customHeight="false" outlineLevel="0" collapsed="false">
      <c r="A2510" s="19"/>
      <c r="B2510" s="19"/>
      <c r="C2510" s="19"/>
      <c r="D2510" s="19"/>
      <c r="E2510" s="22"/>
      <c r="F2510" s="19"/>
      <c r="G2510" s="26" t="str">
        <f aca="false">IF(D2510="","",IFERROR(VALUE(LEFT(D2510,FIND(" |",D2510&amp;" |")-1)),"?"))</f>
        <v/>
      </c>
      <c r="H2510" s="27" t="str">
        <f aca="false">IF(G2510="","",IF(G2510="?","⚠ pub inconnue",IFERROR(INDEX(Pubs!$B$2:$B$3001,MATCH(G2510,Pubs!$A$2:$A$3001,0))&amp;"","⚠ pub inconnue")))</f>
        <v/>
      </c>
      <c r="I2510" s="27" t="str">
        <f aca="false">IF(OR(G2510="",G2510="?"),"",IFERROR(INDEX(Pubs!$C$2:$C$3001,MATCH(G2510,Pubs!$A$2:$A$3001,0))&amp;"",""))</f>
        <v/>
      </c>
      <c r="J2510" s="27" t="str">
        <f aca="false">IF(OR(G2510="",G2510="?"),"",IFERROR(INDEX(Pubs!$G$2:$G$3001,MATCH(G2510,Pubs!$A$2:$A$3001,0))&amp;"",""))</f>
        <v/>
      </c>
      <c r="K2510" s="28" t="str">
        <f aca="false">IF(OR(G2510="",G2510="?"),"",IFERROR(INDEX(Pubs!$E$2:$E$3001,MATCH(G2510,Pubs!$A$2:$A$3001,0)),""))</f>
        <v/>
      </c>
      <c r="L2510" s="29" t="str">
        <f aca="false">IF(A2510="","",IFERROR(1/(1/INDEX(Numéros!$C$2:$C$3001,MATCH(A2510&amp;"|"&amp;B2510,Numéros!$F$2:$F$3001,0))),""))</f>
        <v/>
      </c>
      <c r="M2510" s="27" t="str">
        <f aca="false">IF(OR(G2510="",G2510="?"),"",IFERROR(INDEX(Pubs!$D$2:$D$3001,MATCH(G2510,Pubs!$A$2:$A$3001,0))&amp;"",""))</f>
        <v/>
      </c>
      <c r="N2510" s="27" t="n">
        <f aca="false">N(N2509)+IF(AND(A2510&lt;&gt;"",OR(Recherche!$C$4="",A2510=Recherche!$C$4),OR(Recherche!$C$5="",B2510&amp;""=Recherche!$C$5&amp;""),OR(Recherche!$C$6="",IFERROR(YEAR(L2510),0)=Recherche!$C$6),OR(Recherche!$C$7="",ISNUMBER(SEARCH(Recherche!$C$7,H2510))),OR(Recherche!$C$8="",J2510=Recherche!$C$8),OR(Recherche!$C$9="",I2510=Recherche!$C$9),OR(Recherche!$C$10="",G2510&amp;""=Recherche!$C$10&amp;""),OR(Recherche!$C$11="",E2510=Recherche!$C$11),OR(Recherche!$C$12="",ISNUMBER(SEARCH(Recherche!$C$12,M2510&amp;" "&amp;F2510)))),1,0)</f>
        <v>8</v>
      </c>
    </row>
    <row r="2511" customFormat="false" ht="15" hidden="false" customHeight="false" outlineLevel="0" collapsed="false">
      <c r="A2511" s="19"/>
      <c r="B2511" s="19"/>
      <c r="C2511" s="19"/>
      <c r="D2511" s="19"/>
      <c r="E2511" s="22"/>
      <c r="F2511" s="19"/>
      <c r="G2511" s="26" t="str">
        <f aca="false">IF(D2511="","",IFERROR(VALUE(LEFT(D2511,FIND(" |",D2511&amp;" |")-1)),"?"))</f>
        <v/>
      </c>
      <c r="H2511" s="27" t="str">
        <f aca="false">IF(G2511="","",IF(G2511="?","⚠ pub inconnue",IFERROR(INDEX(Pubs!$B$2:$B$3001,MATCH(G2511,Pubs!$A$2:$A$3001,0))&amp;"","⚠ pub inconnue")))</f>
        <v/>
      </c>
      <c r="I2511" s="27" t="str">
        <f aca="false">IF(OR(G2511="",G2511="?"),"",IFERROR(INDEX(Pubs!$C$2:$C$3001,MATCH(G2511,Pubs!$A$2:$A$3001,0))&amp;"",""))</f>
        <v/>
      </c>
      <c r="J2511" s="27" t="str">
        <f aca="false">IF(OR(G2511="",G2511="?"),"",IFERROR(INDEX(Pubs!$G$2:$G$3001,MATCH(G2511,Pubs!$A$2:$A$3001,0))&amp;"",""))</f>
        <v/>
      </c>
      <c r="K2511" s="28" t="str">
        <f aca="false">IF(OR(G2511="",G2511="?"),"",IFERROR(INDEX(Pubs!$E$2:$E$3001,MATCH(G2511,Pubs!$A$2:$A$3001,0)),""))</f>
        <v/>
      </c>
      <c r="L2511" s="29" t="str">
        <f aca="false">IF(A2511="","",IFERROR(1/(1/INDEX(Numéros!$C$2:$C$3001,MATCH(A2511&amp;"|"&amp;B2511,Numéros!$F$2:$F$3001,0))),""))</f>
        <v/>
      </c>
      <c r="M2511" s="27" t="str">
        <f aca="false">IF(OR(G2511="",G2511="?"),"",IFERROR(INDEX(Pubs!$D$2:$D$3001,MATCH(G2511,Pubs!$A$2:$A$3001,0))&amp;"",""))</f>
        <v/>
      </c>
      <c r="N2511" s="27" t="n">
        <f aca="false">N(N2510)+IF(AND(A2511&lt;&gt;"",OR(Recherche!$C$4="",A2511=Recherche!$C$4),OR(Recherche!$C$5="",B2511&amp;""=Recherche!$C$5&amp;""),OR(Recherche!$C$6="",IFERROR(YEAR(L2511),0)=Recherche!$C$6),OR(Recherche!$C$7="",ISNUMBER(SEARCH(Recherche!$C$7,H2511))),OR(Recherche!$C$8="",J2511=Recherche!$C$8),OR(Recherche!$C$9="",I2511=Recherche!$C$9),OR(Recherche!$C$10="",G2511&amp;""=Recherche!$C$10&amp;""),OR(Recherche!$C$11="",E2511=Recherche!$C$11),OR(Recherche!$C$12="",ISNUMBER(SEARCH(Recherche!$C$12,M2511&amp;" "&amp;F2511)))),1,0)</f>
        <v>8</v>
      </c>
    </row>
    <row r="2512" customFormat="false" ht="15" hidden="false" customHeight="false" outlineLevel="0" collapsed="false">
      <c r="A2512" s="19"/>
      <c r="B2512" s="19"/>
      <c r="C2512" s="19"/>
      <c r="D2512" s="19"/>
      <c r="E2512" s="22"/>
      <c r="F2512" s="19"/>
      <c r="G2512" s="26" t="str">
        <f aca="false">IF(D2512="","",IFERROR(VALUE(LEFT(D2512,FIND(" |",D2512&amp;" |")-1)),"?"))</f>
        <v/>
      </c>
      <c r="H2512" s="27" t="str">
        <f aca="false">IF(G2512="","",IF(G2512="?","⚠ pub inconnue",IFERROR(INDEX(Pubs!$B$2:$B$3001,MATCH(G2512,Pubs!$A$2:$A$3001,0))&amp;"","⚠ pub inconnue")))</f>
        <v/>
      </c>
      <c r="I2512" s="27" t="str">
        <f aca="false">IF(OR(G2512="",G2512="?"),"",IFERROR(INDEX(Pubs!$C$2:$C$3001,MATCH(G2512,Pubs!$A$2:$A$3001,0))&amp;"",""))</f>
        <v/>
      </c>
      <c r="J2512" s="27" t="str">
        <f aca="false">IF(OR(G2512="",G2512="?"),"",IFERROR(INDEX(Pubs!$G$2:$G$3001,MATCH(G2512,Pubs!$A$2:$A$3001,0))&amp;"",""))</f>
        <v/>
      </c>
      <c r="K2512" s="28" t="str">
        <f aca="false">IF(OR(G2512="",G2512="?"),"",IFERROR(INDEX(Pubs!$E$2:$E$3001,MATCH(G2512,Pubs!$A$2:$A$3001,0)),""))</f>
        <v/>
      </c>
      <c r="L2512" s="29" t="str">
        <f aca="false">IF(A2512="","",IFERROR(1/(1/INDEX(Numéros!$C$2:$C$3001,MATCH(A2512&amp;"|"&amp;B2512,Numéros!$F$2:$F$3001,0))),""))</f>
        <v/>
      </c>
      <c r="M2512" s="27" t="str">
        <f aca="false">IF(OR(G2512="",G2512="?"),"",IFERROR(INDEX(Pubs!$D$2:$D$3001,MATCH(G2512,Pubs!$A$2:$A$3001,0))&amp;"",""))</f>
        <v/>
      </c>
      <c r="N2512" s="27" t="n">
        <f aca="false">N(N2511)+IF(AND(A2512&lt;&gt;"",OR(Recherche!$C$4="",A2512=Recherche!$C$4),OR(Recherche!$C$5="",B2512&amp;""=Recherche!$C$5&amp;""),OR(Recherche!$C$6="",IFERROR(YEAR(L2512),0)=Recherche!$C$6),OR(Recherche!$C$7="",ISNUMBER(SEARCH(Recherche!$C$7,H2512))),OR(Recherche!$C$8="",J2512=Recherche!$C$8),OR(Recherche!$C$9="",I2512=Recherche!$C$9),OR(Recherche!$C$10="",G2512&amp;""=Recherche!$C$10&amp;""),OR(Recherche!$C$11="",E2512=Recherche!$C$11),OR(Recherche!$C$12="",ISNUMBER(SEARCH(Recherche!$C$12,M2512&amp;" "&amp;F2512)))),1,0)</f>
        <v>8</v>
      </c>
    </row>
    <row r="2513" customFormat="false" ht="15" hidden="false" customHeight="false" outlineLevel="0" collapsed="false">
      <c r="A2513" s="19"/>
      <c r="B2513" s="19"/>
      <c r="C2513" s="19"/>
      <c r="D2513" s="19"/>
      <c r="E2513" s="22"/>
      <c r="F2513" s="19"/>
      <c r="G2513" s="26" t="str">
        <f aca="false">IF(D2513="","",IFERROR(VALUE(LEFT(D2513,FIND(" |",D2513&amp;" |")-1)),"?"))</f>
        <v/>
      </c>
      <c r="H2513" s="27" t="str">
        <f aca="false">IF(G2513="","",IF(G2513="?","⚠ pub inconnue",IFERROR(INDEX(Pubs!$B$2:$B$3001,MATCH(G2513,Pubs!$A$2:$A$3001,0))&amp;"","⚠ pub inconnue")))</f>
        <v/>
      </c>
      <c r="I2513" s="27" t="str">
        <f aca="false">IF(OR(G2513="",G2513="?"),"",IFERROR(INDEX(Pubs!$C$2:$C$3001,MATCH(G2513,Pubs!$A$2:$A$3001,0))&amp;"",""))</f>
        <v/>
      </c>
      <c r="J2513" s="27" t="str">
        <f aca="false">IF(OR(G2513="",G2513="?"),"",IFERROR(INDEX(Pubs!$G$2:$G$3001,MATCH(G2513,Pubs!$A$2:$A$3001,0))&amp;"",""))</f>
        <v/>
      </c>
      <c r="K2513" s="28" t="str">
        <f aca="false">IF(OR(G2513="",G2513="?"),"",IFERROR(INDEX(Pubs!$E$2:$E$3001,MATCH(G2513,Pubs!$A$2:$A$3001,0)),""))</f>
        <v/>
      </c>
      <c r="L2513" s="29" t="str">
        <f aca="false">IF(A2513="","",IFERROR(1/(1/INDEX(Numéros!$C$2:$C$3001,MATCH(A2513&amp;"|"&amp;B2513,Numéros!$F$2:$F$3001,0))),""))</f>
        <v/>
      </c>
      <c r="M2513" s="27" t="str">
        <f aca="false">IF(OR(G2513="",G2513="?"),"",IFERROR(INDEX(Pubs!$D$2:$D$3001,MATCH(G2513,Pubs!$A$2:$A$3001,0))&amp;"",""))</f>
        <v/>
      </c>
      <c r="N2513" s="27" t="n">
        <f aca="false">N(N2512)+IF(AND(A2513&lt;&gt;"",OR(Recherche!$C$4="",A2513=Recherche!$C$4),OR(Recherche!$C$5="",B2513&amp;""=Recherche!$C$5&amp;""),OR(Recherche!$C$6="",IFERROR(YEAR(L2513),0)=Recherche!$C$6),OR(Recherche!$C$7="",ISNUMBER(SEARCH(Recherche!$C$7,H2513))),OR(Recherche!$C$8="",J2513=Recherche!$C$8),OR(Recherche!$C$9="",I2513=Recherche!$C$9),OR(Recherche!$C$10="",G2513&amp;""=Recherche!$C$10&amp;""),OR(Recherche!$C$11="",E2513=Recherche!$C$11),OR(Recherche!$C$12="",ISNUMBER(SEARCH(Recherche!$C$12,M2513&amp;" "&amp;F2513)))),1,0)</f>
        <v>8</v>
      </c>
    </row>
    <row r="2514" customFormat="false" ht="15" hidden="false" customHeight="false" outlineLevel="0" collapsed="false">
      <c r="A2514" s="19"/>
      <c r="B2514" s="19"/>
      <c r="C2514" s="19"/>
      <c r="D2514" s="19"/>
      <c r="E2514" s="22"/>
      <c r="F2514" s="19"/>
      <c r="G2514" s="26" t="str">
        <f aca="false">IF(D2514="","",IFERROR(VALUE(LEFT(D2514,FIND(" |",D2514&amp;" |")-1)),"?"))</f>
        <v/>
      </c>
      <c r="H2514" s="27" t="str">
        <f aca="false">IF(G2514="","",IF(G2514="?","⚠ pub inconnue",IFERROR(INDEX(Pubs!$B$2:$B$3001,MATCH(G2514,Pubs!$A$2:$A$3001,0))&amp;"","⚠ pub inconnue")))</f>
        <v/>
      </c>
      <c r="I2514" s="27" t="str">
        <f aca="false">IF(OR(G2514="",G2514="?"),"",IFERROR(INDEX(Pubs!$C$2:$C$3001,MATCH(G2514,Pubs!$A$2:$A$3001,0))&amp;"",""))</f>
        <v/>
      </c>
      <c r="J2514" s="27" t="str">
        <f aca="false">IF(OR(G2514="",G2514="?"),"",IFERROR(INDEX(Pubs!$G$2:$G$3001,MATCH(G2514,Pubs!$A$2:$A$3001,0))&amp;"",""))</f>
        <v/>
      </c>
      <c r="K2514" s="28" t="str">
        <f aca="false">IF(OR(G2514="",G2514="?"),"",IFERROR(INDEX(Pubs!$E$2:$E$3001,MATCH(G2514,Pubs!$A$2:$A$3001,0)),""))</f>
        <v/>
      </c>
      <c r="L2514" s="29" t="str">
        <f aca="false">IF(A2514="","",IFERROR(1/(1/INDEX(Numéros!$C$2:$C$3001,MATCH(A2514&amp;"|"&amp;B2514,Numéros!$F$2:$F$3001,0))),""))</f>
        <v/>
      </c>
      <c r="M2514" s="27" t="str">
        <f aca="false">IF(OR(G2514="",G2514="?"),"",IFERROR(INDEX(Pubs!$D$2:$D$3001,MATCH(G2514,Pubs!$A$2:$A$3001,0))&amp;"",""))</f>
        <v/>
      </c>
      <c r="N2514" s="27" t="n">
        <f aca="false">N(N2513)+IF(AND(A2514&lt;&gt;"",OR(Recherche!$C$4="",A2514=Recherche!$C$4),OR(Recherche!$C$5="",B2514&amp;""=Recherche!$C$5&amp;""),OR(Recherche!$C$6="",IFERROR(YEAR(L2514),0)=Recherche!$C$6),OR(Recherche!$C$7="",ISNUMBER(SEARCH(Recherche!$C$7,H2514))),OR(Recherche!$C$8="",J2514=Recherche!$C$8),OR(Recherche!$C$9="",I2514=Recherche!$C$9),OR(Recherche!$C$10="",G2514&amp;""=Recherche!$C$10&amp;""),OR(Recherche!$C$11="",E2514=Recherche!$C$11),OR(Recherche!$C$12="",ISNUMBER(SEARCH(Recherche!$C$12,M2514&amp;" "&amp;F2514)))),1,0)</f>
        <v>8</v>
      </c>
    </row>
    <row r="2515" customFormat="false" ht="15" hidden="false" customHeight="false" outlineLevel="0" collapsed="false">
      <c r="A2515" s="19"/>
      <c r="B2515" s="19"/>
      <c r="C2515" s="19"/>
      <c r="D2515" s="19"/>
      <c r="E2515" s="22"/>
      <c r="F2515" s="19"/>
      <c r="G2515" s="26" t="str">
        <f aca="false">IF(D2515="","",IFERROR(VALUE(LEFT(D2515,FIND(" |",D2515&amp;" |")-1)),"?"))</f>
        <v/>
      </c>
      <c r="H2515" s="27" t="str">
        <f aca="false">IF(G2515="","",IF(G2515="?","⚠ pub inconnue",IFERROR(INDEX(Pubs!$B$2:$B$3001,MATCH(G2515,Pubs!$A$2:$A$3001,0))&amp;"","⚠ pub inconnue")))</f>
        <v/>
      </c>
      <c r="I2515" s="27" t="str">
        <f aca="false">IF(OR(G2515="",G2515="?"),"",IFERROR(INDEX(Pubs!$C$2:$C$3001,MATCH(G2515,Pubs!$A$2:$A$3001,0))&amp;"",""))</f>
        <v/>
      </c>
      <c r="J2515" s="27" t="str">
        <f aca="false">IF(OR(G2515="",G2515="?"),"",IFERROR(INDEX(Pubs!$G$2:$G$3001,MATCH(G2515,Pubs!$A$2:$A$3001,0))&amp;"",""))</f>
        <v/>
      </c>
      <c r="K2515" s="28" t="str">
        <f aca="false">IF(OR(G2515="",G2515="?"),"",IFERROR(INDEX(Pubs!$E$2:$E$3001,MATCH(G2515,Pubs!$A$2:$A$3001,0)),""))</f>
        <v/>
      </c>
      <c r="L2515" s="29" t="str">
        <f aca="false">IF(A2515="","",IFERROR(1/(1/INDEX(Numéros!$C$2:$C$3001,MATCH(A2515&amp;"|"&amp;B2515,Numéros!$F$2:$F$3001,0))),""))</f>
        <v/>
      </c>
      <c r="M2515" s="27" t="str">
        <f aca="false">IF(OR(G2515="",G2515="?"),"",IFERROR(INDEX(Pubs!$D$2:$D$3001,MATCH(G2515,Pubs!$A$2:$A$3001,0))&amp;"",""))</f>
        <v/>
      </c>
      <c r="N2515" s="27" t="n">
        <f aca="false">N(N2514)+IF(AND(A2515&lt;&gt;"",OR(Recherche!$C$4="",A2515=Recherche!$C$4),OR(Recherche!$C$5="",B2515&amp;""=Recherche!$C$5&amp;""),OR(Recherche!$C$6="",IFERROR(YEAR(L2515),0)=Recherche!$C$6),OR(Recherche!$C$7="",ISNUMBER(SEARCH(Recherche!$C$7,H2515))),OR(Recherche!$C$8="",J2515=Recherche!$C$8),OR(Recherche!$C$9="",I2515=Recherche!$C$9),OR(Recherche!$C$10="",G2515&amp;""=Recherche!$C$10&amp;""),OR(Recherche!$C$11="",E2515=Recherche!$C$11),OR(Recherche!$C$12="",ISNUMBER(SEARCH(Recherche!$C$12,M2515&amp;" "&amp;F2515)))),1,0)</f>
        <v>8</v>
      </c>
    </row>
    <row r="2516" customFormat="false" ht="15" hidden="false" customHeight="false" outlineLevel="0" collapsed="false">
      <c r="A2516" s="19"/>
      <c r="B2516" s="19"/>
      <c r="C2516" s="19"/>
      <c r="D2516" s="19"/>
      <c r="E2516" s="22"/>
      <c r="F2516" s="19"/>
      <c r="G2516" s="26" t="str">
        <f aca="false">IF(D2516="","",IFERROR(VALUE(LEFT(D2516,FIND(" |",D2516&amp;" |")-1)),"?"))</f>
        <v/>
      </c>
      <c r="H2516" s="27" t="str">
        <f aca="false">IF(G2516="","",IF(G2516="?","⚠ pub inconnue",IFERROR(INDEX(Pubs!$B$2:$B$3001,MATCH(G2516,Pubs!$A$2:$A$3001,0))&amp;"","⚠ pub inconnue")))</f>
        <v/>
      </c>
      <c r="I2516" s="27" t="str">
        <f aca="false">IF(OR(G2516="",G2516="?"),"",IFERROR(INDEX(Pubs!$C$2:$C$3001,MATCH(G2516,Pubs!$A$2:$A$3001,0))&amp;"",""))</f>
        <v/>
      </c>
      <c r="J2516" s="27" t="str">
        <f aca="false">IF(OR(G2516="",G2516="?"),"",IFERROR(INDEX(Pubs!$G$2:$G$3001,MATCH(G2516,Pubs!$A$2:$A$3001,0))&amp;"",""))</f>
        <v/>
      </c>
      <c r="K2516" s="28" t="str">
        <f aca="false">IF(OR(G2516="",G2516="?"),"",IFERROR(INDEX(Pubs!$E$2:$E$3001,MATCH(G2516,Pubs!$A$2:$A$3001,0)),""))</f>
        <v/>
      </c>
      <c r="L2516" s="29" t="str">
        <f aca="false">IF(A2516="","",IFERROR(1/(1/INDEX(Numéros!$C$2:$C$3001,MATCH(A2516&amp;"|"&amp;B2516,Numéros!$F$2:$F$3001,0))),""))</f>
        <v/>
      </c>
      <c r="M2516" s="27" t="str">
        <f aca="false">IF(OR(G2516="",G2516="?"),"",IFERROR(INDEX(Pubs!$D$2:$D$3001,MATCH(G2516,Pubs!$A$2:$A$3001,0))&amp;"",""))</f>
        <v/>
      </c>
      <c r="N2516" s="27" t="n">
        <f aca="false">N(N2515)+IF(AND(A2516&lt;&gt;"",OR(Recherche!$C$4="",A2516=Recherche!$C$4),OR(Recherche!$C$5="",B2516&amp;""=Recherche!$C$5&amp;""),OR(Recherche!$C$6="",IFERROR(YEAR(L2516),0)=Recherche!$C$6),OR(Recherche!$C$7="",ISNUMBER(SEARCH(Recherche!$C$7,H2516))),OR(Recherche!$C$8="",J2516=Recherche!$C$8),OR(Recherche!$C$9="",I2516=Recherche!$C$9),OR(Recherche!$C$10="",G2516&amp;""=Recherche!$C$10&amp;""),OR(Recherche!$C$11="",E2516=Recherche!$C$11),OR(Recherche!$C$12="",ISNUMBER(SEARCH(Recherche!$C$12,M2516&amp;" "&amp;F2516)))),1,0)</f>
        <v>8</v>
      </c>
    </row>
    <row r="2517" customFormat="false" ht="15" hidden="false" customHeight="false" outlineLevel="0" collapsed="false">
      <c r="A2517" s="19"/>
      <c r="B2517" s="19"/>
      <c r="C2517" s="19"/>
      <c r="D2517" s="19"/>
      <c r="E2517" s="22"/>
      <c r="F2517" s="19"/>
      <c r="G2517" s="26" t="str">
        <f aca="false">IF(D2517="","",IFERROR(VALUE(LEFT(D2517,FIND(" |",D2517&amp;" |")-1)),"?"))</f>
        <v/>
      </c>
      <c r="H2517" s="27" t="str">
        <f aca="false">IF(G2517="","",IF(G2517="?","⚠ pub inconnue",IFERROR(INDEX(Pubs!$B$2:$B$3001,MATCH(G2517,Pubs!$A$2:$A$3001,0))&amp;"","⚠ pub inconnue")))</f>
        <v/>
      </c>
      <c r="I2517" s="27" t="str">
        <f aca="false">IF(OR(G2517="",G2517="?"),"",IFERROR(INDEX(Pubs!$C$2:$C$3001,MATCH(G2517,Pubs!$A$2:$A$3001,0))&amp;"",""))</f>
        <v/>
      </c>
      <c r="J2517" s="27" t="str">
        <f aca="false">IF(OR(G2517="",G2517="?"),"",IFERROR(INDEX(Pubs!$G$2:$G$3001,MATCH(G2517,Pubs!$A$2:$A$3001,0))&amp;"",""))</f>
        <v/>
      </c>
      <c r="K2517" s="28" t="str">
        <f aca="false">IF(OR(G2517="",G2517="?"),"",IFERROR(INDEX(Pubs!$E$2:$E$3001,MATCH(G2517,Pubs!$A$2:$A$3001,0)),""))</f>
        <v/>
      </c>
      <c r="L2517" s="29" t="str">
        <f aca="false">IF(A2517="","",IFERROR(1/(1/INDEX(Numéros!$C$2:$C$3001,MATCH(A2517&amp;"|"&amp;B2517,Numéros!$F$2:$F$3001,0))),""))</f>
        <v/>
      </c>
      <c r="M2517" s="27" t="str">
        <f aca="false">IF(OR(G2517="",G2517="?"),"",IFERROR(INDEX(Pubs!$D$2:$D$3001,MATCH(G2517,Pubs!$A$2:$A$3001,0))&amp;"",""))</f>
        <v/>
      </c>
      <c r="N2517" s="27" t="n">
        <f aca="false">N(N2516)+IF(AND(A2517&lt;&gt;"",OR(Recherche!$C$4="",A2517=Recherche!$C$4),OR(Recherche!$C$5="",B2517&amp;""=Recherche!$C$5&amp;""),OR(Recherche!$C$6="",IFERROR(YEAR(L2517),0)=Recherche!$C$6),OR(Recherche!$C$7="",ISNUMBER(SEARCH(Recherche!$C$7,H2517))),OR(Recherche!$C$8="",J2517=Recherche!$C$8),OR(Recherche!$C$9="",I2517=Recherche!$C$9),OR(Recherche!$C$10="",G2517&amp;""=Recherche!$C$10&amp;""),OR(Recherche!$C$11="",E2517=Recherche!$C$11),OR(Recherche!$C$12="",ISNUMBER(SEARCH(Recherche!$C$12,M2517&amp;" "&amp;F2517)))),1,0)</f>
        <v>8</v>
      </c>
    </row>
    <row r="2518" customFormat="false" ht="15" hidden="false" customHeight="false" outlineLevel="0" collapsed="false">
      <c r="A2518" s="19"/>
      <c r="B2518" s="19"/>
      <c r="C2518" s="19"/>
      <c r="D2518" s="19"/>
      <c r="E2518" s="22"/>
      <c r="F2518" s="19"/>
      <c r="G2518" s="26" t="str">
        <f aca="false">IF(D2518="","",IFERROR(VALUE(LEFT(D2518,FIND(" |",D2518&amp;" |")-1)),"?"))</f>
        <v/>
      </c>
      <c r="H2518" s="27" t="str">
        <f aca="false">IF(G2518="","",IF(G2518="?","⚠ pub inconnue",IFERROR(INDEX(Pubs!$B$2:$B$3001,MATCH(G2518,Pubs!$A$2:$A$3001,0))&amp;"","⚠ pub inconnue")))</f>
        <v/>
      </c>
      <c r="I2518" s="27" t="str">
        <f aca="false">IF(OR(G2518="",G2518="?"),"",IFERROR(INDEX(Pubs!$C$2:$C$3001,MATCH(G2518,Pubs!$A$2:$A$3001,0))&amp;"",""))</f>
        <v/>
      </c>
      <c r="J2518" s="27" t="str">
        <f aca="false">IF(OR(G2518="",G2518="?"),"",IFERROR(INDEX(Pubs!$G$2:$G$3001,MATCH(G2518,Pubs!$A$2:$A$3001,0))&amp;"",""))</f>
        <v/>
      </c>
      <c r="K2518" s="28" t="str">
        <f aca="false">IF(OR(G2518="",G2518="?"),"",IFERROR(INDEX(Pubs!$E$2:$E$3001,MATCH(G2518,Pubs!$A$2:$A$3001,0)),""))</f>
        <v/>
      </c>
      <c r="L2518" s="29" t="str">
        <f aca="false">IF(A2518="","",IFERROR(1/(1/INDEX(Numéros!$C$2:$C$3001,MATCH(A2518&amp;"|"&amp;B2518,Numéros!$F$2:$F$3001,0))),""))</f>
        <v/>
      </c>
      <c r="M2518" s="27" t="str">
        <f aca="false">IF(OR(G2518="",G2518="?"),"",IFERROR(INDEX(Pubs!$D$2:$D$3001,MATCH(G2518,Pubs!$A$2:$A$3001,0))&amp;"",""))</f>
        <v/>
      </c>
      <c r="N2518" s="27" t="n">
        <f aca="false">N(N2517)+IF(AND(A2518&lt;&gt;"",OR(Recherche!$C$4="",A2518=Recherche!$C$4),OR(Recherche!$C$5="",B2518&amp;""=Recherche!$C$5&amp;""),OR(Recherche!$C$6="",IFERROR(YEAR(L2518),0)=Recherche!$C$6),OR(Recherche!$C$7="",ISNUMBER(SEARCH(Recherche!$C$7,H2518))),OR(Recherche!$C$8="",J2518=Recherche!$C$8),OR(Recherche!$C$9="",I2518=Recherche!$C$9),OR(Recherche!$C$10="",G2518&amp;""=Recherche!$C$10&amp;""),OR(Recherche!$C$11="",E2518=Recherche!$C$11),OR(Recherche!$C$12="",ISNUMBER(SEARCH(Recherche!$C$12,M2518&amp;" "&amp;F2518)))),1,0)</f>
        <v>8</v>
      </c>
    </row>
    <row r="2519" customFormat="false" ht="15" hidden="false" customHeight="false" outlineLevel="0" collapsed="false">
      <c r="A2519" s="19"/>
      <c r="B2519" s="19"/>
      <c r="C2519" s="19"/>
      <c r="D2519" s="19"/>
      <c r="E2519" s="22"/>
      <c r="F2519" s="19"/>
      <c r="G2519" s="26" t="str">
        <f aca="false">IF(D2519="","",IFERROR(VALUE(LEFT(D2519,FIND(" |",D2519&amp;" |")-1)),"?"))</f>
        <v/>
      </c>
      <c r="H2519" s="27" t="str">
        <f aca="false">IF(G2519="","",IF(G2519="?","⚠ pub inconnue",IFERROR(INDEX(Pubs!$B$2:$B$3001,MATCH(G2519,Pubs!$A$2:$A$3001,0))&amp;"","⚠ pub inconnue")))</f>
        <v/>
      </c>
      <c r="I2519" s="27" t="str">
        <f aca="false">IF(OR(G2519="",G2519="?"),"",IFERROR(INDEX(Pubs!$C$2:$C$3001,MATCH(G2519,Pubs!$A$2:$A$3001,0))&amp;"",""))</f>
        <v/>
      </c>
      <c r="J2519" s="27" t="str">
        <f aca="false">IF(OR(G2519="",G2519="?"),"",IFERROR(INDEX(Pubs!$G$2:$G$3001,MATCH(G2519,Pubs!$A$2:$A$3001,0))&amp;"",""))</f>
        <v/>
      </c>
      <c r="K2519" s="28" t="str">
        <f aca="false">IF(OR(G2519="",G2519="?"),"",IFERROR(INDEX(Pubs!$E$2:$E$3001,MATCH(G2519,Pubs!$A$2:$A$3001,0)),""))</f>
        <v/>
      </c>
      <c r="L2519" s="29" t="str">
        <f aca="false">IF(A2519="","",IFERROR(1/(1/INDEX(Numéros!$C$2:$C$3001,MATCH(A2519&amp;"|"&amp;B2519,Numéros!$F$2:$F$3001,0))),""))</f>
        <v/>
      </c>
      <c r="M2519" s="27" t="str">
        <f aca="false">IF(OR(G2519="",G2519="?"),"",IFERROR(INDEX(Pubs!$D$2:$D$3001,MATCH(G2519,Pubs!$A$2:$A$3001,0))&amp;"",""))</f>
        <v/>
      </c>
      <c r="N2519" s="27" t="n">
        <f aca="false">N(N2518)+IF(AND(A2519&lt;&gt;"",OR(Recherche!$C$4="",A2519=Recherche!$C$4),OR(Recherche!$C$5="",B2519&amp;""=Recherche!$C$5&amp;""),OR(Recherche!$C$6="",IFERROR(YEAR(L2519),0)=Recherche!$C$6),OR(Recherche!$C$7="",ISNUMBER(SEARCH(Recherche!$C$7,H2519))),OR(Recherche!$C$8="",J2519=Recherche!$C$8),OR(Recherche!$C$9="",I2519=Recherche!$C$9),OR(Recherche!$C$10="",G2519&amp;""=Recherche!$C$10&amp;""),OR(Recherche!$C$11="",E2519=Recherche!$C$11),OR(Recherche!$C$12="",ISNUMBER(SEARCH(Recherche!$C$12,M2519&amp;" "&amp;F2519)))),1,0)</f>
        <v>8</v>
      </c>
    </row>
    <row r="2520" customFormat="false" ht="15" hidden="false" customHeight="false" outlineLevel="0" collapsed="false">
      <c r="A2520" s="19"/>
      <c r="B2520" s="19"/>
      <c r="C2520" s="19"/>
      <c r="D2520" s="19"/>
      <c r="E2520" s="22"/>
      <c r="F2520" s="19"/>
      <c r="G2520" s="26" t="str">
        <f aca="false">IF(D2520="","",IFERROR(VALUE(LEFT(D2520,FIND(" |",D2520&amp;" |")-1)),"?"))</f>
        <v/>
      </c>
      <c r="H2520" s="27" t="str">
        <f aca="false">IF(G2520="","",IF(G2520="?","⚠ pub inconnue",IFERROR(INDEX(Pubs!$B$2:$B$3001,MATCH(G2520,Pubs!$A$2:$A$3001,0))&amp;"","⚠ pub inconnue")))</f>
        <v/>
      </c>
      <c r="I2520" s="27" t="str">
        <f aca="false">IF(OR(G2520="",G2520="?"),"",IFERROR(INDEX(Pubs!$C$2:$C$3001,MATCH(G2520,Pubs!$A$2:$A$3001,0))&amp;"",""))</f>
        <v/>
      </c>
      <c r="J2520" s="27" t="str">
        <f aca="false">IF(OR(G2520="",G2520="?"),"",IFERROR(INDEX(Pubs!$G$2:$G$3001,MATCH(G2520,Pubs!$A$2:$A$3001,0))&amp;"",""))</f>
        <v/>
      </c>
      <c r="K2520" s="28" t="str">
        <f aca="false">IF(OR(G2520="",G2520="?"),"",IFERROR(INDEX(Pubs!$E$2:$E$3001,MATCH(G2520,Pubs!$A$2:$A$3001,0)),""))</f>
        <v/>
      </c>
      <c r="L2520" s="29" t="str">
        <f aca="false">IF(A2520="","",IFERROR(1/(1/INDEX(Numéros!$C$2:$C$3001,MATCH(A2520&amp;"|"&amp;B2520,Numéros!$F$2:$F$3001,0))),""))</f>
        <v/>
      </c>
      <c r="M2520" s="27" t="str">
        <f aca="false">IF(OR(G2520="",G2520="?"),"",IFERROR(INDEX(Pubs!$D$2:$D$3001,MATCH(G2520,Pubs!$A$2:$A$3001,0))&amp;"",""))</f>
        <v/>
      </c>
      <c r="N2520" s="27" t="n">
        <f aca="false">N(N2519)+IF(AND(A2520&lt;&gt;"",OR(Recherche!$C$4="",A2520=Recherche!$C$4),OR(Recherche!$C$5="",B2520&amp;""=Recherche!$C$5&amp;""),OR(Recherche!$C$6="",IFERROR(YEAR(L2520),0)=Recherche!$C$6),OR(Recherche!$C$7="",ISNUMBER(SEARCH(Recherche!$C$7,H2520))),OR(Recherche!$C$8="",J2520=Recherche!$C$8),OR(Recherche!$C$9="",I2520=Recherche!$C$9),OR(Recherche!$C$10="",G2520&amp;""=Recherche!$C$10&amp;""),OR(Recherche!$C$11="",E2520=Recherche!$C$11),OR(Recherche!$C$12="",ISNUMBER(SEARCH(Recherche!$C$12,M2520&amp;" "&amp;F2520)))),1,0)</f>
        <v>8</v>
      </c>
    </row>
    <row r="2521" customFormat="false" ht="15" hidden="false" customHeight="false" outlineLevel="0" collapsed="false">
      <c r="A2521" s="19"/>
      <c r="B2521" s="19"/>
      <c r="C2521" s="19"/>
      <c r="D2521" s="19"/>
      <c r="E2521" s="22"/>
      <c r="F2521" s="19"/>
      <c r="G2521" s="26" t="str">
        <f aca="false">IF(D2521="","",IFERROR(VALUE(LEFT(D2521,FIND(" |",D2521&amp;" |")-1)),"?"))</f>
        <v/>
      </c>
      <c r="H2521" s="27" t="str">
        <f aca="false">IF(G2521="","",IF(G2521="?","⚠ pub inconnue",IFERROR(INDEX(Pubs!$B$2:$B$3001,MATCH(G2521,Pubs!$A$2:$A$3001,0))&amp;"","⚠ pub inconnue")))</f>
        <v/>
      </c>
      <c r="I2521" s="27" t="str">
        <f aca="false">IF(OR(G2521="",G2521="?"),"",IFERROR(INDEX(Pubs!$C$2:$C$3001,MATCH(G2521,Pubs!$A$2:$A$3001,0))&amp;"",""))</f>
        <v/>
      </c>
      <c r="J2521" s="27" t="str">
        <f aca="false">IF(OR(G2521="",G2521="?"),"",IFERROR(INDEX(Pubs!$G$2:$G$3001,MATCH(G2521,Pubs!$A$2:$A$3001,0))&amp;"",""))</f>
        <v/>
      </c>
      <c r="K2521" s="28" t="str">
        <f aca="false">IF(OR(G2521="",G2521="?"),"",IFERROR(INDEX(Pubs!$E$2:$E$3001,MATCH(G2521,Pubs!$A$2:$A$3001,0)),""))</f>
        <v/>
      </c>
      <c r="L2521" s="29" t="str">
        <f aca="false">IF(A2521="","",IFERROR(1/(1/INDEX(Numéros!$C$2:$C$3001,MATCH(A2521&amp;"|"&amp;B2521,Numéros!$F$2:$F$3001,0))),""))</f>
        <v/>
      </c>
      <c r="M2521" s="27" t="str">
        <f aca="false">IF(OR(G2521="",G2521="?"),"",IFERROR(INDEX(Pubs!$D$2:$D$3001,MATCH(G2521,Pubs!$A$2:$A$3001,0))&amp;"",""))</f>
        <v/>
      </c>
      <c r="N2521" s="27" t="n">
        <f aca="false">N(N2520)+IF(AND(A2521&lt;&gt;"",OR(Recherche!$C$4="",A2521=Recherche!$C$4),OR(Recherche!$C$5="",B2521&amp;""=Recherche!$C$5&amp;""),OR(Recherche!$C$6="",IFERROR(YEAR(L2521),0)=Recherche!$C$6),OR(Recherche!$C$7="",ISNUMBER(SEARCH(Recherche!$C$7,H2521))),OR(Recherche!$C$8="",J2521=Recherche!$C$8),OR(Recherche!$C$9="",I2521=Recherche!$C$9),OR(Recherche!$C$10="",G2521&amp;""=Recherche!$C$10&amp;""),OR(Recherche!$C$11="",E2521=Recherche!$C$11),OR(Recherche!$C$12="",ISNUMBER(SEARCH(Recherche!$C$12,M2521&amp;" "&amp;F2521)))),1,0)</f>
        <v>8</v>
      </c>
    </row>
    <row r="2522" customFormat="false" ht="15" hidden="false" customHeight="false" outlineLevel="0" collapsed="false">
      <c r="A2522" s="19"/>
      <c r="B2522" s="19"/>
      <c r="C2522" s="19"/>
      <c r="D2522" s="19"/>
      <c r="E2522" s="22"/>
      <c r="F2522" s="19"/>
      <c r="G2522" s="26" t="str">
        <f aca="false">IF(D2522="","",IFERROR(VALUE(LEFT(D2522,FIND(" |",D2522&amp;" |")-1)),"?"))</f>
        <v/>
      </c>
      <c r="H2522" s="27" t="str">
        <f aca="false">IF(G2522="","",IF(G2522="?","⚠ pub inconnue",IFERROR(INDEX(Pubs!$B$2:$B$3001,MATCH(G2522,Pubs!$A$2:$A$3001,0))&amp;"","⚠ pub inconnue")))</f>
        <v/>
      </c>
      <c r="I2522" s="27" t="str">
        <f aca="false">IF(OR(G2522="",G2522="?"),"",IFERROR(INDEX(Pubs!$C$2:$C$3001,MATCH(G2522,Pubs!$A$2:$A$3001,0))&amp;"",""))</f>
        <v/>
      </c>
      <c r="J2522" s="27" t="str">
        <f aca="false">IF(OR(G2522="",G2522="?"),"",IFERROR(INDEX(Pubs!$G$2:$G$3001,MATCH(G2522,Pubs!$A$2:$A$3001,0))&amp;"",""))</f>
        <v/>
      </c>
      <c r="K2522" s="28" t="str">
        <f aca="false">IF(OR(G2522="",G2522="?"),"",IFERROR(INDEX(Pubs!$E$2:$E$3001,MATCH(G2522,Pubs!$A$2:$A$3001,0)),""))</f>
        <v/>
      </c>
      <c r="L2522" s="29" t="str">
        <f aca="false">IF(A2522="","",IFERROR(1/(1/INDEX(Numéros!$C$2:$C$3001,MATCH(A2522&amp;"|"&amp;B2522,Numéros!$F$2:$F$3001,0))),""))</f>
        <v/>
      </c>
      <c r="M2522" s="27" t="str">
        <f aca="false">IF(OR(G2522="",G2522="?"),"",IFERROR(INDEX(Pubs!$D$2:$D$3001,MATCH(G2522,Pubs!$A$2:$A$3001,0))&amp;"",""))</f>
        <v/>
      </c>
      <c r="N2522" s="27" t="n">
        <f aca="false">N(N2521)+IF(AND(A2522&lt;&gt;"",OR(Recherche!$C$4="",A2522=Recherche!$C$4),OR(Recherche!$C$5="",B2522&amp;""=Recherche!$C$5&amp;""),OR(Recherche!$C$6="",IFERROR(YEAR(L2522),0)=Recherche!$C$6),OR(Recherche!$C$7="",ISNUMBER(SEARCH(Recherche!$C$7,H2522))),OR(Recherche!$C$8="",J2522=Recherche!$C$8),OR(Recherche!$C$9="",I2522=Recherche!$C$9),OR(Recherche!$C$10="",G2522&amp;""=Recherche!$C$10&amp;""),OR(Recherche!$C$11="",E2522=Recherche!$C$11),OR(Recherche!$C$12="",ISNUMBER(SEARCH(Recherche!$C$12,M2522&amp;" "&amp;F2522)))),1,0)</f>
        <v>8</v>
      </c>
    </row>
    <row r="2523" customFormat="false" ht="15" hidden="false" customHeight="false" outlineLevel="0" collapsed="false">
      <c r="A2523" s="19"/>
      <c r="B2523" s="19"/>
      <c r="C2523" s="19"/>
      <c r="D2523" s="19"/>
      <c r="E2523" s="22"/>
      <c r="F2523" s="19"/>
      <c r="G2523" s="26" t="str">
        <f aca="false">IF(D2523="","",IFERROR(VALUE(LEFT(D2523,FIND(" |",D2523&amp;" |")-1)),"?"))</f>
        <v/>
      </c>
      <c r="H2523" s="27" t="str">
        <f aca="false">IF(G2523="","",IF(G2523="?","⚠ pub inconnue",IFERROR(INDEX(Pubs!$B$2:$B$3001,MATCH(G2523,Pubs!$A$2:$A$3001,0))&amp;"","⚠ pub inconnue")))</f>
        <v/>
      </c>
      <c r="I2523" s="27" t="str">
        <f aca="false">IF(OR(G2523="",G2523="?"),"",IFERROR(INDEX(Pubs!$C$2:$C$3001,MATCH(G2523,Pubs!$A$2:$A$3001,0))&amp;"",""))</f>
        <v/>
      </c>
      <c r="J2523" s="27" t="str">
        <f aca="false">IF(OR(G2523="",G2523="?"),"",IFERROR(INDEX(Pubs!$G$2:$G$3001,MATCH(G2523,Pubs!$A$2:$A$3001,0))&amp;"",""))</f>
        <v/>
      </c>
      <c r="K2523" s="28" t="str">
        <f aca="false">IF(OR(G2523="",G2523="?"),"",IFERROR(INDEX(Pubs!$E$2:$E$3001,MATCH(G2523,Pubs!$A$2:$A$3001,0)),""))</f>
        <v/>
      </c>
      <c r="L2523" s="29" t="str">
        <f aca="false">IF(A2523="","",IFERROR(1/(1/INDEX(Numéros!$C$2:$C$3001,MATCH(A2523&amp;"|"&amp;B2523,Numéros!$F$2:$F$3001,0))),""))</f>
        <v/>
      </c>
      <c r="M2523" s="27" t="str">
        <f aca="false">IF(OR(G2523="",G2523="?"),"",IFERROR(INDEX(Pubs!$D$2:$D$3001,MATCH(G2523,Pubs!$A$2:$A$3001,0))&amp;"",""))</f>
        <v/>
      </c>
      <c r="N2523" s="27" t="n">
        <f aca="false">N(N2522)+IF(AND(A2523&lt;&gt;"",OR(Recherche!$C$4="",A2523=Recherche!$C$4),OR(Recherche!$C$5="",B2523&amp;""=Recherche!$C$5&amp;""),OR(Recherche!$C$6="",IFERROR(YEAR(L2523),0)=Recherche!$C$6),OR(Recherche!$C$7="",ISNUMBER(SEARCH(Recherche!$C$7,H2523))),OR(Recherche!$C$8="",J2523=Recherche!$C$8),OR(Recherche!$C$9="",I2523=Recherche!$C$9),OR(Recherche!$C$10="",G2523&amp;""=Recherche!$C$10&amp;""),OR(Recherche!$C$11="",E2523=Recherche!$C$11),OR(Recherche!$C$12="",ISNUMBER(SEARCH(Recherche!$C$12,M2523&amp;" "&amp;F2523)))),1,0)</f>
        <v>8</v>
      </c>
    </row>
    <row r="2524" customFormat="false" ht="15" hidden="false" customHeight="false" outlineLevel="0" collapsed="false">
      <c r="A2524" s="19"/>
      <c r="B2524" s="19"/>
      <c r="C2524" s="19"/>
      <c r="D2524" s="19"/>
      <c r="E2524" s="22"/>
      <c r="F2524" s="19"/>
      <c r="G2524" s="26" t="str">
        <f aca="false">IF(D2524="","",IFERROR(VALUE(LEFT(D2524,FIND(" |",D2524&amp;" |")-1)),"?"))</f>
        <v/>
      </c>
      <c r="H2524" s="27" t="str">
        <f aca="false">IF(G2524="","",IF(G2524="?","⚠ pub inconnue",IFERROR(INDEX(Pubs!$B$2:$B$3001,MATCH(G2524,Pubs!$A$2:$A$3001,0))&amp;"","⚠ pub inconnue")))</f>
        <v/>
      </c>
      <c r="I2524" s="27" t="str">
        <f aca="false">IF(OR(G2524="",G2524="?"),"",IFERROR(INDEX(Pubs!$C$2:$C$3001,MATCH(G2524,Pubs!$A$2:$A$3001,0))&amp;"",""))</f>
        <v/>
      </c>
      <c r="J2524" s="27" t="str">
        <f aca="false">IF(OR(G2524="",G2524="?"),"",IFERROR(INDEX(Pubs!$G$2:$G$3001,MATCH(G2524,Pubs!$A$2:$A$3001,0))&amp;"",""))</f>
        <v/>
      </c>
      <c r="K2524" s="28" t="str">
        <f aca="false">IF(OR(G2524="",G2524="?"),"",IFERROR(INDEX(Pubs!$E$2:$E$3001,MATCH(G2524,Pubs!$A$2:$A$3001,0)),""))</f>
        <v/>
      </c>
      <c r="L2524" s="29" t="str">
        <f aca="false">IF(A2524="","",IFERROR(1/(1/INDEX(Numéros!$C$2:$C$3001,MATCH(A2524&amp;"|"&amp;B2524,Numéros!$F$2:$F$3001,0))),""))</f>
        <v/>
      </c>
      <c r="M2524" s="27" t="str">
        <f aca="false">IF(OR(G2524="",G2524="?"),"",IFERROR(INDEX(Pubs!$D$2:$D$3001,MATCH(G2524,Pubs!$A$2:$A$3001,0))&amp;"",""))</f>
        <v/>
      </c>
      <c r="N2524" s="27" t="n">
        <f aca="false">N(N2523)+IF(AND(A2524&lt;&gt;"",OR(Recherche!$C$4="",A2524=Recherche!$C$4),OR(Recherche!$C$5="",B2524&amp;""=Recherche!$C$5&amp;""),OR(Recherche!$C$6="",IFERROR(YEAR(L2524),0)=Recherche!$C$6),OR(Recherche!$C$7="",ISNUMBER(SEARCH(Recherche!$C$7,H2524))),OR(Recherche!$C$8="",J2524=Recherche!$C$8),OR(Recherche!$C$9="",I2524=Recherche!$C$9),OR(Recherche!$C$10="",G2524&amp;""=Recherche!$C$10&amp;""),OR(Recherche!$C$11="",E2524=Recherche!$C$11),OR(Recherche!$C$12="",ISNUMBER(SEARCH(Recherche!$C$12,M2524&amp;" "&amp;F2524)))),1,0)</f>
        <v>8</v>
      </c>
    </row>
    <row r="2525" customFormat="false" ht="15" hidden="false" customHeight="false" outlineLevel="0" collapsed="false">
      <c r="A2525" s="19"/>
      <c r="B2525" s="19"/>
      <c r="C2525" s="19"/>
      <c r="D2525" s="19"/>
      <c r="E2525" s="22"/>
      <c r="F2525" s="19"/>
      <c r="G2525" s="26" t="str">
        <f aca="false">IF(D2525="","",IFERROR(VALUE(LEFT(D2525,FIND(" |",D2525&amp;" |")-1)),"?"))</f>
        <v/>
      </c>
      <c r="H2525" s="27" t="str">
        <f aca="false">IF(G2525="","",IF(G2525="?","⚠ pub inconnue",IFERROR(INDEX(Pubs!$B$2:$B$3001,MATCH(G2525,Pubs!$A$2:$A$3001,0))&amp;"","⚠ pub inconnue")))</f>
        <v/>
      </c>
      <c r="I2525" s="27" t="str">
        <f aca="false">IF(OR(G2525="",G2525="?"),"",IFERROR(INDEX(Pubs!$C$2:$C$3001,MATCH(G2525,Pubs!$A$2:$A$3001,0))&amp;"",""))</f>
        <v/>
      </c>
      <c r="J2525" s="27" t="str">
        <f aca="false">IF(OR(G2525="",G2525="?"),"",IFERROR(INDEX(Pubs!$G$2:$G$3001,MATCH(G2525,Pubs!$A$2:$A$3001,0))&amp;"",""))</f>
        <v/>
      </c>
      <c r="K2525" s="28" t="str">
        <f aca="false">IF(OR(G2525="",G2525="?"),"",IFERROR(INDEX(Pubs!$E$2:$E$3001,MATCH(G2525,Pubs!$A$2:$A$3001,0)),""))</f>
        <v/>
      </c>
      <c r="L2525" s="29" t="str">
        <f aca="false">IF(A2525="","",IFERROR(1/(1/INDEX(Numéros!$C$2:$C$3001,MATCH(A2525&amp;"|"&amp;B2525,Numéros!$F$2:$F$3001,0))),""))</f>
        <v/>
      </c>
      <c r="M2525" s="27" t="str">
        <f aca="false">IF(OR(G2525="",G2525="?"),"",IFERROR(INDEX(Pubs!$D$2:$D$3001,MATCH(G2525,Pubs!$A$2:$A$3001,0))&amp;"",""))</f>
        <v/>
      </c>
      <c r="N2525" s="27" t="n">
        <f aca="false">N(N2524)+IF(AND(A2525&lt;&gt;"",OR(Recherche!$C$4="",A2525=Recherche!$C$4),OR(Recherche!$C$5="",B2525&amp;""=Recherche!$C$5&amp;""),OR(Recherche!$C$6="",IFERROR(YEAR(L2525),0)=Recherche!$C$6),OR(Recherche!$C$7="",ISNUMBER(SEARCH(Recherche!$C$7,H2525))),OR(Recherche!$C$8="",J2525=Recherche!$C$8),OR(Recherche!$C$9="",I2525=Recherche!$C$9),OR(Recherche!$C$10="",G2525&amp;""=Recherche!$C$10&amp;""),OR(Recherche!$C$11="",E2525=Recherche!$C$11),OR(Recherche!$C$12="",ISNUMBER(SEARCH(Recherche!$C$12,M2525&amp;" "&amp;F2525)))),1,0)</f>
        <v>8</v>
      </c>
    </row>
    <row r="2526" customFormat="false" ht="15" hidden="false" customHeight="false" outlineLevel="0" collapsed="false">
      <c r="A2526" s="19"/>
      <c r="B2526" s="19"/>
      <c r="C2526" s="19"/>
      <c r="D2526" s="19"/>
      <c r="E2526" s="22"/>
      <c r="F2526" s="19"/>
      <c r="G2526" s="26" t="str">
        <f aca="false">IF(D2526="","",IFERROR(VALUE(LEFT(D2526,FIND(" |",D2526&amp;" |")-1)),"?"))</f>
        <v/>
      </c>
      <c r="H2526" s="27" t="str">
        <f aca="false">IF(G2526="","",IF(G2526="?","⚠ pub inconnue",IFERROR(INDEX(Pubs!$B$2:$B$3001,MATCH(G2526,Pubs!$A$2:$A$3001,0))&amp;"","⚠ pub inconnue")))</f>
        <v/>
      </c>
      <c r="I2526" s="27" t="str">
        <f aca="false">IF(OR(G2526="",G2526="?"),"",IFERROR(INDEX(Pubs!$C$2:$C$3001,MATCH(G2526,Pubs!$A$2:$A$3001,0))&amp;"",""))</f>
        <v/>
      </c>
      <c r="J2526" s="27" t="str">
        <f aca="false">IF(OR(G2526="",G2526="?"),"",IFERROR(INDEX(Pubs!$G$2:$G$3001,MATCH(G2526,Pubs!$A$2:$A$3001,0))&amp;"",""))</f>
        <v/>
      </c>
      <c r="K2526" s="28" t="str">
        <f aca="false">IF(OR(G2526="",G2526="?"),"",IFERROR(INDEX(Pubs!$E$2:$E$3001,MATCH(G2526,Pubs!$A$2:$A$3001,0)),""))</f>
        <v/>
      </c>
      <c r="L2526" s="29" t="str">
        <f aca="false">IF(A2526="","",IFERROR(1/(1/INDEX(Numéros!$C$2:$C$3001,MATCH(A2526&amp;"|"&amp;B2526,Numéros!$F$2:$F$3001,0))),""))</f>
        <v/>
      </c>
      <c r="M2526" s="27" t="str">
        <f aca="false">IF(OR(G2526="",G2526="?"),"",IFERROR(INDEX(Pubs!$D$2:$D$3001,MATCH(G2526,Pubs!$A$2:$A$3001,0))&amp;"",""))</f>
        <v/>
      </c>
      <c r="N2526" s="27" t="n">
        <f aca="false">N(N2525)+IF(AND(A2526&lt;&gt;"",OR(Recherche!$C$4="",A2526=Recherche!$C$4),OR(Recherche!$C$5="",B2526&amp;""=Recherche!$C$5&amp;""),OR(Recherche!$C$6="",IFERROR(YEAR(L2526),0)=Recherche!$C$6),OR(Recherche!$C$7="",ISNUMBER(SEARCH(Recherche!$C$7,H2526))),OR(Recherche!$C$8="",J2526=Recherche!$C$8),OR(Recherche!$C$9="",I2526=Recherche!$C$9),OR(Recherche!$C$10="",G2526&amp;""=Recherche!$C$10&amp;""),OR(Recherche!$C$11="",E2526=Recherche!$C$11),OR(Recherche!$C$12="",ISNUMBER(SEARCH(Recherche!$C$12,M2526&amp;" "&amp;F2526)))),1,0)</f>
        <v>8</v>
      </c>
    </row>
    <row r="2527" customFormat="false" ht="15" hidden="false" customHeight="false" outlineLevel="0" collapsed="false">
      <c r="A2527" s="19"/>
      <c r="B2527" s="19"/>
      <c r="C2527" s="19"/>
      <c r="D2527" s="19"/>
      <c r="E2527" s="22"/>
      <c r="F2527" s="19"/>
      <c r="G2527" s="26" t="str">
        <f aca="false">IF(D2527="","",IFERROR(VALUE(LEFT(D2527,FIND(" |",D2527&amp;" |")-1)),"?"))</f>
        <v/>
      </c>
      <c r="H2527" s="27" t="str">
        <f aca="false">IF(G2527="","",IF(G2527="?","⚠ pub inconnue",IFERROR(INDEX(Pubs!$B$2:$B$3001,MATCH(G2527,Pubs!$A$2:$A$3001,0))&amp;"","⚠ pub inconnue")))</f>
        <v/>
      </c>
      <c r="I2527" s="27" t="str">
        <f aca="false">IF(OR(G2527="",G2527="?"),"",IFERROR(INDEX(Pubs!$C$2:$C$3001,MATCH(G2527,Pubs!$A$2:$A$3001,0))&amp;"",""))</f>
        <v/>
      </c>
      <c r="J2527" s="27" t="str">
        <f aca="false">IF(OR(G2527="",G2527="?"),"",IFERROR(INDEX(Pubs!$G$2:$G$3001,MATCH(G2527,Pubs!$A$2:$A$3001,0))&amp;"",""))</f>
        <v/>
      </c>
      <c r="K2527" s="28" t="str">
        <f aca="false">IF(OR(G2527="",G2527="?"),"",IFERROR(INDEX(Pubs!$E$2:$E$3001,MATCH(G2527,Pubs!$A$2:$A$3001,0)),""))</f>
        <v/>
      </c>
      <c r="L2527" s="29" t="str">
        <f aca="false">IF(A2527="","",IFERROR(1/(1/INDEX(Numéros!$C$2:$C$3001,MATCH(A2527&amp;"|"&amp;B2527,Numéros!$F$2:$F$3001,0))),""))</f>
        <v/>
      </c>
      <c r="M2527" s="27" t="str">
        <f aca="false">IF(OR(G2527="",G2527="?"),"",IFERROR(INDEX(Pubs!$D$2:$D$3001,MATCH(G2527,Pubs!$A$2:$A$3001,0))&amp;"",""))</f>
        <v/>
      </c>
      <c r="N2527" s="27" t="n">
        <f aca="false">N(N2526)+IF(AND(A2527&lt;&gt;"",OR(Recherche!$C$4="",A2527=Recherche!$C$4),OR(Recherche!$C$5="",B2527&amp;""=Recherche!$C$5&amp;""),OR(Recherche!$C$6="",IFERROR(YEAR(L2527),0)=Recherche!$C$6),OR(Recherche!$C$7="",ISNUMBER(SEARCH(Recherche!$C$7,H2527))),OR(Recherche!$C$8="",J2527=Recherche!$C$8),OR(Recherche!$C$9="",I2527=Recherche!$C$9),OR(Recherche!$C$10="",G2527&amp;""=Recherche!$C$10&amp;""),OR(Recherche!$C$11="",E2527=Recherche!$C$11),OR(Recherche!$C$12="",ISNUMBER(SEARCH(Recherche!$C$12,M2527&amp;" "&amp;F2527)))),1,0)</f>
        <v>8</v>
      </c>
    </row>
    <row r="2528" customFormat="false" ht="15" hidden="false" customHeight="false" outlineLevel="0" collapsed="false">
      <c r="A2528" s="19"/>
      <c r="B2528" s="19"/>
      <c r="C2528" s="19"/>
      <c r="D2528" s="19"/>
      <c r="E2528" s="22"/>
      <c r="F2528" s="19"/>
      <c r="G2528" s="26" t="str">
        <f aca="false">IF(D2528="","",IFERROR(VALUE(LEFT(D2528,FIND(" |",D2528&amp;" |")-1)),"?"))</f>
        <v/>
      </c>
      <c r="H2528" s="27" t="str">
        <f aca="false">IF(G2528="","",IF(G2528="?","⚠ pub inconnue",IFERROR(INDEX(Pubs!$B$2:$B$3001,MATCH(G2528,Pubs!$A$2:$A$3001,0))&amp;"","⚠ pub inconnue")))</f>
        <v/>
      </c>
      <c r="I2528" s="27" t="str">
        <f aca="false">IF(OR(G2528="",G2528="?"),"",IFERROR(INDEX(Pubs!$C$2:$C$3001,MATCH(G2528,Pubs!$A$2:$A$3001,0))&amp;"",""))</f>
        <v/>
      </c>
      <c r="J2528" s="27" t="str">
        <f aca="false">IF(OR(G2528="",G2528="?"),"",IFERROR(INDEX(Pubs!$G$2:$G$3001,MATCH(G2528,Pubs!$A$2:$A$3001,0))&amp;"",""))</f>
        <v/>
      </c>
      <c r="K2528" s="28" t="str">
        <f aca="false">IF(OR(G2528="",G2528="?"),"",IFERROR(INDEX(Pubs!$E$2:$E$3001,MATCH(G2528,Pubs!$A$2:$A$3001,0)),""))</f>
        <v/>
      </c>
      <c r="L2528" s="29" t="str">
        <f aca="false">IF(A2528="","",IFERROR(1/(1/INDEX(Numéros!$C$2:$C$3001,MATCH(A2528&amp;"|"&amp;B2528,Numéros!$F$2:$F$3001,0))),""))</f>
        <v/>
      </c>
      <c r="M2528" s="27" t="str">
        <f aca="false">IF(OR(G2528="",G2528="?"),"",IFERROR(INDEX(Pubs!$D$2:$D$3001,MATCH(G2528,Pubs!$A$2:$A$3001,0))&amp;"",""))</f>
        <v/>
      </c>
      <c r="N2528" s="27" t="n">
        <f aca="false">N(N2527)+IF(AND(A2528&lt;&gt;"",OR(Recherche!$C$4="",A2528=Recherche!$C$4),OR(Recherche!$C$5="",B2528&amp;""=Recherche!$C$5&amp;""),OR(Recherche!$C$6="",IFERROR(YEAR(L2528),0)=Recherche!$C$6),OR(Recherche!$C$7="",ISNUMBER(SEARCH(Recherche!$C$7,H2528))),OR(Recherche!$C$8="",J2528=Recherche!$C$8),OR(Recherche!$C$9="",I2528=Recherche!$C$9),OR(Recherche!$C$10="",G2528&amp;""=Recherche!$C$10&amp;""),OR(Recherche!$C$11="",E2528=Recherche!$C$11),OR(Recherche!$C$12="",ISNUMBER(SEARCH(Recherche!$C$12,M2528&amp;" "&amp;F2528)))),1,0)</f>
        <v>8</v>
      </c>
    </row>
    <row r="2529" customFormat="false" ht="15" hidden="false" customHeight="false" outlineLevel="0" collapsed="false">
      <c r="A2529" s="19"/>
      <c r="B2529" s="19"/>
      <c r="C2529" s="19"/>
      <c r="D2529" s="19"/>
      <c r="E2529" s="22"/>
      <c r="F2529" s="19"/>
      <c r="G2529" s="26" t="str">
        <f aca="false">IF(D2529="","",IFERROR(VALUE(LEFT(D2529,FIND(" |",D2529&amp;" |")-1)),"?"))</f>
        <v/>
      </c>
      <c r="H2529" s="27" t="str">
        <f aca="false">IF(G2529="","",IF(G2529="?","⚠ pub inconnue",IFERROR(INDEX(Pubs!$B$2:$B$3001,MATCH(G2529,Pubs!$A$2:$A$3001,0))&amp;"","⚠ pub inconnue")))</f>
        <v/>
      </c>
      <c r="I2529" s="27" t="str">
        <f aca="false">IF(OR(G2529="",G2529="?"),"",IFERROR(INDEX(Pubs!$C$2:$C$3001,MATCH(G2529,Pubs!$A$2:$A$3001,0))&amp;"",""))</f>
        <v/>
      </c>
      <c r="J2529" s="27" t="str">
        <f aca="false">IF(OR(G2529="",G2529="?"),"",IFERROR(INDEX(Pubs!$G$2:$G$3001,MATCH(G2529,Pubs!$A$2:$A$3001,0))&amp;"",""))</f>
        <v/>
      </c>
      <c r="K2529" s="28" t="str">
        <f aca="false">IF(OR(G2529="",G2529="?"),"",IFERROR(INDEX(Pubs!$E$2:$E$3001,MATCH(G2529,Pubs!$A$2:$A$3001,0)),""))</f>
        <v/>
      </c>
      <c r="L2529" s="29" t="str">
        <f aca="false">IF(A2529="","",IFERROR(1/(1/INDEX(Numéros!$C$2:$C$3001,MATCH(A2529&amp;"|"&amp;B2529,Numéros!$F$2:$F$3001,0))),""))</f>
        <v/>
      </c>
      <c r="M2529" s="27" t="str">
        <f aca="false">IF(OR(G2529="",G2529="?"),"",IFERROR(INDEX(Pubs!$D$2:$D$3001,MATCH(G2529,Pubs!$A$2:$A$3001,0))&amp;"",""))</f>
        <v/>
      </c>
      <c r="N2529" s="27" t="n">
        <f aca="false">N(N2528)+IF(AND(A2529&lt;&gt;"",OR(Recherche!$C$4="",A2529=Recherche!$C$4),OR(Recherche!$C$5="",B2529&amp;""=Recherche!$C$5&amp;""),OR(Recherche!$C$6="",IFERROR(YEAR(L2529),0)=Recherche!$C$6),OR(Recherche!$C$7="",ISNUMBER(SEARCH(Recherche!$C$7,H2529))),OR(Recherche!$C$8="",J2529=Recherche!$C$8),OR(Recherche!$C$9="",I2529=Recherche!$C$9),OR(Recherche!$C$10="",G2529&amp;""=Recherche!$C$10&amp;""),OR(Recherche!$C$11="",E2529=Recherche!$C$11),OR(Recherche!$C$12="",ISNUMBER(SEARCH(Recherche!$C$12,M2529&amp;" "&amp;F2529)))),1,0)</f>
        <v>8</v>
      </c>
    </row>
    <row r="2530" customFormat="false" ht="15" hidden="false" customHeight="false" outlineLevel="0" collapsed="false">
      <c r="A2530" s="19"/>
      <c r="B2530" s="19"/>
      <c r="C2530" s="19"/>
      <c r="D2530" s="19"/>
      <c r="E2530" s="22"/>
      <c r="F2530" s="19"/>
      <c r="G2530" s="26" t="str">
        <f aca="false">IF(D2530="","",IFERROR(VALUE(LEFT(D2530,FIND(" |",D2530&amp;" |")-1)),"?"))</f>
        <v/>
      </c>
      <c r="H2530" s="27" t="str">
        <f aca="false">IF(G2530="","",IF(G2530="?","⚠ pub inconnue",IFERROR(INDEX(Pubs!$B$2:$B$3001,MATCH(G2530,Pubs!$A$2:$A$3001,0))&amp;"","⚠ pub inconnue")))</f>
        <v/>
      </c>
      <c r="I2530" s="27" t="str">
        <f aca="false">IF(OR(G2530="",G2530="?"),"",IFERROR(INDEX(Pubs!$C$2:$C$3001,MATCH(G2530,Pubs!$A$2:$A$3001,0))&amp;"",""))</f>
        <v/>
      </c>
      <c r="J2530" s="27" t="str">
        <f aca="false">IF(OR(G2530="",G2530="?"),"",IFERROR(INDEX(Pubs!$G$2:$G$3001,MATCH(G2530,Pubs!$A$2:$A$3001,0))&amp;"",""))</f>
        <v/>
      </c>
      <c r="K2530" s="28" t="str">
        <f aca="false">IF(OR(G2530="",G2530="?"),"",IFERROR(INDEX(Pubs!$E$2:$E$3001,MATCH(G2530,Pubs!$A$2:$A$3001,0)),""))</f>
        <v/>
      </c>
      <c r="L2530" s="29" t="str">
        <f aca="false">IF(A2530="","",IFERROR(1/(1/INDEX(Numéros!$C$2:$C$3001,MATCH(A2530&amp;"|"&amp;B2530,Numéros!$F$2:$F$3001,0))),""))</f>
        <v/>
      </c>
      <c r="M2530" s="27" t="str">
        <f aca="false">IF(OR(G2530="",G2530="?"),"",IFERROR(INDEX(Pubs!$D$2:$D$3001,MATCH(G2530,Pubs!$A$2:$A$3001,0))&amp;"",""))</f>
        <v/>
      </c>
      <c r="N2530" s="27" t="n">
        <f aca="false">N(N2529)+IF(AND(A2530&lt;&gt;"",OR(Recherche!$C$4="",A2530=Recherche!$C$4),OR(Recherche!$C$5="",B2530&amp;""=Recherche!$C$5&amp;""),OR(Recherche!$C$6="",IFERROR(YEAR(L2530),0)=Recherche!$C$6),OR(Recherche!$C$7="",ISNUMBER(SEARCH(Recherche!$C$7,H2530))),OR(Recherche!$C$8="",J2530=Recherche!$C$8),OR(Recherche!$C$9="",I2530=Recherche!$C$9),OR(Recherche!$C$10="",G2530&amp;""=Recherche!$C$10&amp;""),OR(Recherche!$C$11="",E2530=Recherche!$C$11),OR(Recherche!$C$12="",ISNUMBER(SEARCH(Recherche!$C$12,M2530&amp;" "&amp;F2530)))),1,0)</f>
        <v>8</v>
      </c>
    </row>
    <row r="2531" customFormat="false" ht="15" hidden="false" customHeight="false" outlineLevel="0" collapsed="false">
      <c r="A2531" s="19"/>
      <c r="B2531" s="19"/>
      <c r="C2531" s="19"/>
      <c r="D2531" s="19"/>
      <c r="E2531" s="22"/>
      <c r="F2531" s="19"/>
      <c r="G2531" s="26" t="str">
        <f aca="false">IF(D2531="","",IFERROR(VALUE(LEFT(D2531,FIND(" |",D2531&amp;" |")-1)),"?"))</f>
        <v/>
      </c>
      <c r="H2531" s="27" t="str">
        <f aca="false">IF(G2531="","",IF(G2531="?","⚠ pub inconnue",IFERROR(INDEX(Pubs!$B$2:$B$3001,MATCH(G2531,Pubs!$A$2:$A$3001,0))&amp;"","⚠ pub inconnue")))</f>
        <v/>
      </c>
      <c r="I2531" s="27" t="str">
        <f aca="false">IF(OR(G2531="",G2531="?"),"",IFERROR(INDEX(Pubs!$C$2:$C$3001,MATCH(G2531,Pubs!$A$2:$A$3001,0))&amp;"",""))</f>
        <v/>
      </c>
      <c r="J2531" s="27" t="str">
        <f aca="false">IF(OR(G2531="",G2531="?"),"",IFERROR(INDEX(Pubs!$G$2:$G$3001,MATCH(G2531,Pubs!$A$2:$A$3001,0))&amp;"",""))</f>
        <v/>
      </c>
      <c r="K2531" s="28" t="str">
        <f aca="false">IF(OR(G2531="",G2531="?"),"",IFERROR(INDEX(Pubs!$E$2:$E$3001,MATCH(G2531,Pubs!$A$2:$A$3001,0)),""))</f>
        <v/>
      </c>
      <c r="L2531" s="29" t="str">
        <f aca="false">IF(A2531="","",IFERROR(1/(1/INDEX(Numéros!$C$2:$C$3001,MATCH(A2531&amp;"|"&amp;B2531,Numéros!$F$2:$F$3001,0))),""))</f>
        <v/>
      </c>
      <c r="M2531" s="27" t="str">
        <f aca="false">IF(OR(G2531="",G2531="?"),"",IFERROR(INDEX(Pubs!$D$2:$D$3001,MATCH(G2531,Pubs!$A$2:$A$3001,0))&amp;"",""))</f>
        <v/>
      </c>
      <c r="N2531" s="27" t="n">
        <f aca="false">N(N2530)+IF(AND(A2531&lt;&gt;"",OR(Recherche!$C$4="",A2531=Recherche!$C$4),OR(Recherche!$C$5="",B2531&amp;""=Recherche!$C$5&amp;""),OR(Recherche!$C$6="",IFERROR(YEAR(L2531),0)=Recherche!$C$6),OR(Recherche!$C$7="",ISNUMBER(SEARCH(Recherche!$C$7,H2531))),OR(Recherche!$C$8="",J2531=Recherche!$C$8),OR(Recherche!$C$9="",I2531=Recherche!$C$9),OR(Recherche!$C$10="",G2531&amp;""=Recherche!$C$10&amp;""),OR(Recherche!$C$11="",E2531=Recherche!$C$11),OR(Recherche!$C$12="",ISNUMBER(SEARCH(Recherche!$C$12,M2531&amp;" "&amp;F2531)))),1,0)</f>
        <v>8</v>
      </c>
    </row>
    <row r="2532" customFormat="false" ht="15" hidden="false" customHeight="false" outlineLevel="0" collapsed="false">
      <c r="A2532" s="19"/>
      <c r="B2532" s="19"/>
      <c r="C2532" s="19"/>
      <c r="D2532" s="19"/>
      <c r="E2532" s="22"/>
      <c r="F2532" s="19"/>
      <c r="G2532" s="26" t="str">
        <f aca="false">IF(D2532="","",IFERROR(VALUE(LEFT(D2532,FIND(" |",D2532&amp;" |")-1)),"?"))</f>
        <v/>
      </c>
      <c r="H2532" s="27" t="str">
        <f aca="false">IF(G2532="","",IF(G2532="?","⚠ pub inconnue",IFERROR(INDEX(Pubs!$B$2:$B$3001,MATCH(G2532,Pubs!$A$2:$A$3001,0))&amp;"","⚠ pub inconnue")))</f>
        <v/>
      </c>
      <c r="I2532" s="27" t="str">
        <f aca="false">IF(OR(G2532="",G2532="?"),"",IFERROR(INDEX(Pubs!$C$2:$C$3001,MATCH(G2532,Pubs!$A$2:$A$3001,0))&amp;"",""))</f>
        <v/>
      </c>
      <c r="J2532" s="27" t="str">
        <f aca="false">IF(OR(G2532="",G2532="?"),"",IFERROR(INDEX(Pubs!$G$2:$G$3001,MATCH(G2532,Pubs!$A$2:$A$3001,0))&amp;"",""))</f>
        <v/>
      </c>
      <c r="K2532" s="28" t="str">
        <f aca="false">IF(OR(G2532="",G2532="?"),"",IFERROR(INDEX(Pubs!$E$2:$E$3001,MATCH(G2532,Pubs!$A$2:$A$3001,0)),""))</f>
        <v/>
      </c>
      <c r="L2532" s="29" t="str">
        <f aca="false">IF(A2532="","",IFERROR(1/(1/INDEX(Numéros!$C$2:$C$3001,MATCH(A2532&amp;"|"&amp;B2532,Numéros!$F$2:$F$3001,0))),""))</f>
        <v/>
      </c>
      <c r="M2532" s="27" t="str">
        <f aca="false">IF(OR(G2532="",G2532="?"),"",IFERROR(INDEX(Pubs!$D$2:$D$3001,MATCH(G2532,Pubs!$A$2:$A$3001,0))&amp;"",""))</f>
        <v/>
      </c>
      <c r="N2532" s="27" t="n">
        <f aca="false">N(N2531)+IF(AND(A2532&lt;&gt;"",OR(Recherche!$C$4="",A2532=Recherche!$C$4),OR(Recherche!$C$5="",B2532&amp;""=Recherche!$C$5&amp;""),OR(Recherche!$C$6="",IFERROR(YEAR(L2532),0)=Recherche!$C$6),OR(Recherche!$C$7="",ISNUMBER(SEARCH(Recherche!$C$7,H2532))),OR(Recherche!$C$8="",J2532=Recherche!$C$8),OR(Recherche!$C$9="",I2532=Recherche!$C$9),OR(Recherche!$C$10="",G2532&amp;""=Recherche!$C$10&amp;""),OR(Recherche!$C$11="",E2532=Recherche!$C$11),OR(Recherche!$C$12="",ISNUMBER(SEARCH(Recherche!$C$12,M2532&amp;" "&amp;F2532)))),1,0)</f>
        <v>8</v>
      </c>
    </row>
    <row r="2533" customFormat="false" ht="15" hidden="false" customHeight="false" outlineLevel="0" collapsed="false">
      <c r="A2533" s="19"/>
      <c r="B2533" s="19"/>
      <c r="C2533" s="19"/>
      <c r="D2533" s="19"/>
      <c r="E2533" s="22"/>
      <c r="F2533" s="19"/>
      <c r="G2533" s="26" t="str">
        <f aca="false">IF(D2533="","",IFERROR(VALUE(LEFT(D2533,FIND(" |",D2533&amp;" |")-1)),"?"))</f>
        <v/>
      </c>
      <c r="H2533" s="27" t="str">
        <f aca="false">IF(G2533="","",IF(G2533="?","⚠ pub inconnue",IFERROR(INDEX(Pubs!$B$2:$B$3001,MATCH(G2533,Pubs!$A$2:$A$3001,0))&amp;"","⚠ pub inconnue")))</f>
        <v/>
      </c>
      <c r="I2533" s="27" t="str">
        <f aca="false">IF(OR(G2533="",G2533="?"),"",IFERROR(INDEX(Pubs!$C$2:$C$3001,MATCH(G2533,Pubs!$A$2:$A$3001,0))&amp;"",""))</f>
        <v/>
      </c>
      <c r="J2533" s="27" t="str">
        <f aca="false">IF(OR(G2533="",G2533="?"),"",IFERROR(INDEX(Pubs!$G$2:$G$3001,MATCH(G2533,Pubs!$A$2:$A$3001,0))&amp;"",""))</f>
        <v/>
      </c>
      <c r="K2533" s="28" t="str">
        <f aca="false">IF(OR(G2533="",G2533="?"),"",IFERROR(INDEX(Pubs!$E$2:$E$3001,MATCH(G2533,Pubs!$A$2:$A$3001,0)),""))</f>
        <v/>
      </c>
      <c r="L2533" s="29" t="str">
        <f aca="false">IF(A2533="","",IFERROR(1/(1/INDEX(Numéros!$C$2:$C$3001,MATCH(A2533&amp;"|"&amp;B2533,Numéros!$F$2:$F$3001,0))),""))</f>
        <v/>
      </c>
      <c r="M2533" s="27" t="str">
        <f aca="false">IF(OR(G2533="",G2533="?"),"",IFERROR(INDEX(Pubs!$D$2:$D$3001,MATCH(G2533,Pubs!$A$2:$A$3001,0))&amp;"",""))</f>
        <v/>
      </c>
      <c r="N2533" s="27" t="n">
        <f aca="false">N(N2532)+IF(AND(A2533&lt;&gt;"",OR(Recherche!$C$4="",A2533=Recherche!$C$4),OR(Recherche!$C$5="",B2533&amp;""=Recherche!$C$5&amp;""),OR(Recherche!$C$6="",IFERROR(YEAR(L2533),0)=Recherche!$C$6),OR(Recherche!$C$7="",ISNUMBER(SEARCH(Recherche!$C$7,H2533))),OR(Recherche!$C$8="",J2533=Recherche!$C$8),OR(Recherche!$C$9="",I2533=Recherche!$C$9),OR(Recherche!$C$10="",G2533&amp;""=Recherche!$C$10&amp;""),OR(Recherche!$C$11="",E2533=Recherche!$C$11),OR(Recherche!$C$12="",ISNUMBER(SEARCH(Recherche!$C$12,M2533&amp;" "&amp;F2533)))),1,0)</f>
        <v>8</v>
      </c>
    </row>
    <row r="2534" customFormat="false" ht="15" hidden="false" customHeight="false" outlineLevel="0" collapsed="false">
      <c r="A2534" s="19"/>
      <c r="B2534" s="19"/>
      <c r="C2534" s="19"/>
      <c r="D2534" s="19"/>
      <c r="E2534" s="22"/>
      <c r="F2534" s="19"/>
      <c r="G2534" s="26" t="str">
        <f aca="false">IF(D2534="","",IFERROR(VALUE(LEFT(D2534,FIND(" |",D2534&amp;" |")-1)),"?"))</f>
        <v/>
      </c>
      <c r="H2534" s="27" t="str">
        <f aca="false">IF(G2534="","",IF(G2534="?","⚠ pub inconnue",IFERROR(INDEX(Pubs!$B$2:$B$3001,MATCH(G2534,Pubs!$A$2:$A$3001,0))&amp;"","⚠ pub inconnue")))</f>
        <v/>
      </c>
      <c r="I2534" s="27" t="str">
        <f aca="false">IF(OR(G2534="",G2534="?"),"",IFERROR(INDEX(Pubs!$C$2:$C$3001,MATCH(G2534,Pubs!$A$2:$A$3001,0))&amp;"",""))</f>
        <v/>
      </c>
      <c r="J2534" s="27" t="str">
        <f aca="false">IF(OR(G2534="",G2534="?"),"",IFERROR(INDEX(Pubs!$G$2:$G$3001,MATCH(G2534,Pubs!$A$2:$A$3001,0))&amp;"",""))</f>
        <v/>
      </c>
      <c r="K2534" s="28" t="str">
        <f aca="false">IF(OR(G2534="",G2534="?"),"",IFERROR(INDEX(Pubs!$E$2:$E$3001,MATCH(G2534,Pubs!$A$2:$A$3001,0)),""))</f>
        <v/>
      </c>
      <c r="L2534" s="29" t="str">
        <f aca="false">IF(A2534="","",IFERROR(1/(1/INDEX(Numéros!$C$2:$C$3001,MATCH(A2534&amp;"|"&amp;B2534,Numéros!$F$2:$F$3001,0))),""))</f>
        <v/>
      </c>
      <c r="M2534" s="27" t="str">
        <f aca="false">IF(OR(G2534="",G2534="?"),"",IFERROR(INDEX(Pubs!$D$2:$D$3001,MATCH(G2534,Pubs!$A$2:$A$3001,0))&amp;"",""))</f>
        <v/>
      </c>
      <c r="N2534" s="27" t="n">
        <f aca="false">N(N2533)+IF(AND(A2534&lt;&gt;"",OR(Recherche!$C$4="",A2534=Recherche!$C$4),OR(Recherche!$C$5="",B2534&amp;""=Recherche!$C$5&amp;""),OR(Recherche!$C$6="",IFERROR(YEAR(L2534),0)=Recherche!$C$6),OR(Recherche!$C$7="",ISNUMBER(SEARCH(Recherche!$C$7,H2534))),OR(Recherche!$C$8="",J2534=Recherche!$C$8),OR(Recherche!$C$9="",I2534=Recherche!$C$9),OR(Recherche!$C$10="",G2534&amp;""=Recherche!$C$10&amp;""),OR(Recherche!$C$11="",E2534=Recherche!$C$11),OR(Recherche!$C$12="",ISNUMBER(SEARCH(Recherche!$C$12,M2534&amp;" "&amp;F2534)))),1,0)</f>
        <v>8</v>
      </c>
    </row>
    <row r="2535" customFormat="false" ht="15" hidden="false" customHeight="false" outlineLevel="0" collapsed="false">
      <c r="A2535" s="19"/>
      <c r="B2535" s="19"/>
      <c r="C2535" s="19"/>
      <c r="D2535" s="19"/>
      <c r="E2535" s="22"/>
      <c r="F2535" s="19"/>
      <c r="G2535" s="26" t="str">
        <f aca="false">IF(D2535="","",IFERROR(VALUE(LEFT(D2535,FIND(" |",D2535&amp;" |")-1)),"?"))</f>
        <v/>
      </c>
      <c r="H2535" s="27" t="str">
        <f aca="false">IF(G2535="","",IF(G2535="?","⚠ pub inconnue",IFERROR(INDEX(Pubs!$B$2:$B$3001,MATCH(G2535,Pubs!$A$2:$A$3001,0))&amp;"","⚠ pub inconnue")))</f>
        <v/>
      </c>
      <c r="I2535" s="27" t="str">
        <f aca="false">IF(OR(G2535="",G2535="?"),"",IFERROR(INDEX(Pubs!$C$2:$C$3001,MATCH(G2535,Pubs!$A$2:$A$3001,0))&amp;"",""))</f>
        <v/>
      </c>
      <c r="J2535" s="27" t="str">
        <f aca="false">IF(OR(G2535="",G2535="?"),"",IFERROR(INDEX(Pubs!$G$2:$G$3001,MATCH(G2535,Pubs!$A$2:$A$3001,0))&amp;"",""))</f>
        <v/>
      </c>
      <c r="K2535" s="28" t="str">
        <f aca="false">IF(OR(G2535="",G2535="?"),"",IFERROR(INDEX(Pubs!$E$2:$E$3001,MATCH(G2535,Pubs!$A$2:$A$3001,0)),""))</f>
        <v/>
      </c>
      <c r="L2535" s="29" t="str">
        <f aca="false">IF(A2535="","",IFERROR(1/(1/INDEX(Numéros!$C$2:$C$3001,MATCH(A2535&amp;"|"&amp;B2535,Numéros!$F$2:$F$3001,0))),""))</f>
        <v/>
      </c>
      <c r="M2535" s="27" t="str">
        <f aca="false">IF(OR(G2535="",G2535="?"),"",IFERROR(INDEX(Pubs!$D$2:$D$3001,MATCH(G2535,Pubs!$A$2:$A$3001,0))&amp;"",""))</f>
        <v/>
      </c>
      <c r="N2535" s="27" t="n">
        <f aca="false">N(N2534)+IF(AND(A2535&lt;&gt;"",OR(Recherche!$C$4="",A2535=Recherche!$C$4),OR(Recherche!$C$5="",B2535&amp;""=Recherche!$C$5&amp;""),OR(Recherche!$C$6="",IFERROR(YEAR(L2535),0)=Recherche!$C$6),OR(Recherche!$C$7="",ISNUMBER(SEARCH(Recherche!$C$7,H2535))),OR(Recherche!$C$8="",J2535=Recherche!$C$8),OR(Recherche!$C$9="",I2535=Recherche!$C$9),OR(Recherche!$C$10="",G2535&amp;""=Recherche!$C$10&amp;""),OR(Recherche!$C$11="",E2535=Recherche!$C$11),OR(Recherche!$C$12="",ISNUMBER(SEARCH(Recherche!$C$12,M2535&amp;" "&amp;F2535)))),1,0)</f>
        <v>8</v>
      </c>
    </row>
    <row r="2536" customFormat="false" ht="15" hidden="false" customHeight="false" outlineLevel="0" collapsed="false">
      <c r="A2536" s="19"/>
      <c r="B2536" s="19"/>
      <c r="C2536" s="19"/>
      <c r="D2536" s="19"/>
      <c r="E2536" s="22"/>
      <c r="F2536" s="19"/>
      <c r="G2536" s="26" t="str">
        <f aca="false">IF(D2536="","",IFERROR(VALUE(LEFT(D2536,FIND(" |",D2536&amp;" |")-1)),"?"))</f>
        <v/>
      </c>
      <c r="H2536" s="27" t="str">
        <f aca="false">IF(G2536="","",IF(G2536="?","⚠ pub inconnue",IFERROR(INDEX(Pubs!$B$2:$B$3001,MATCH(G2536,Pubs!$A$2:$A$3001,0))&amp;"","⚠ pub inconnue")))</f>
        <v/>
      </c>
      <c r="I2536" s="27" t="str">
        <f aca="false">IF(OR(G2536="",G2536="?"),"",IFERROR(INDEX(Pubs!$C$2:$C$3001,MATCH(G2536,Pubs!$A$2:$A$3001,0))&amp;"",""))</f>
        <v/>
      </c>
      <c r="J2536" s="27" t="str">
        <f aca="false">IF(OR(G2536="",G2536="?"),"",IFERROR(INDEX(Pubs!$G$2:$G$3001,MATCH(G2536,Pubs!$A$2:$A$3001,0))&amp;"",""))</f>
        <v/>
      </c>
      <c r="K2536" s="28" t="str">
        <f aca="false">IF(OR(G2536="",G2536="?"),"",IFERROR(INDEX(Pubs!$E$2:$E$3001,MATCH(G2536,Pubs!$A$2:$A$3001,0)),""))</f>
        <v/>
      </c>
      <c r="L2536" s="29" t="str">
        <f aca="false">IF(A2536="","",IFERROR(1/(1/INDEX(Numéros!$C$2:$C$3001,MATCH(A2536&amp;"|"&amp;B2536,Numéros!$F$2:$F$3001,0))),""))</f>
        <v/>
      </c>
      <c r="M2536" s="27" t="str">
        <f aca="false">IF(OR(G2536="",G2536="?"),"",IFERROR(INDEX(Pubs!$D$2:$D$3001,MATCH(G2536,Pubs!$A$2:$A$3001,0))&amp;"",""))</f>
        <v/>
      </c>
      <c r="N2536" s="27" t="n">
        <f aca="false">N(N2535)+IF(AND(A2536&lt;&gt;"",OR(Recherche!$C$4="",A2536=Recherche!$C$4),OR(Recherche!$C$5="",B2536&amp;""=Recherche!$C$5&amp;""),OR(Recherche!$C$6="",IFERROR(YEAR(L2536),0)=Recherche!$C$6),OR(Recherche!$C$7="",ISNUMBER(SEARCH(Recherche!$C$7,H2536))),OR(Recherche!$C$8="",J2536=Recherche!$C$8),OR(Recherche!$C$9="",I2536=Recherche!$C$9),OR(Recherche!$C$10="",G2536&amp;""=Recherche!$C$10&amp;""),OR(Recherche!$C$11="",E2536=Recherche!$C$11),OR(Recherche!$C$12="",ISNUMBER(SEARCH(Recherche!$C$12,M2536&amp;" "&amp;F2536)))),1,0)</f>
        <v>8</v>
      </c>
    </row>
    <row r="2537" customFormat="false" ht="15" hidden="false" customHeight="false" outlineLevel="0" collapsed="false">
      <c r="A2537" s="19"/>
      <c r="B2537" s="19"/>
      <c r="C2537" s="19"/>
      <c r="D2537" s="19"/>
      <c r="E2537" s="22"/>
      <c r="F2537" s="19"/>
      <c r="G2537" s="26" t="str">
        <f aca="false">IF(D2537="","",IFERROR(VALUE(LEFT(D2537,FIND(" |",D2537&amp;" |")-1)),"?"))</f>
        <v/>
      </c>
      <c r="H2537" s="27" t="str">
        <f aca="false">IF(G2537="","",IF(G2537="?","⚠ pub inconnue",IFERROR(INDEX(Pubs!$B$2:$B$3001,MATCH(G2537,Pubs!$A$2:$A$3001,0))&amp;"","⚠ pub inconnue")))</f>
        <v/>
      </c>
      <c r="I2537" s="27" t="str">
        <f aca="false">IF(OR(G2537="",G2537="?"),"",IFERROR(INDEX(Pubs!$C$2:$C$3001,MATCH(G2537,Pubs!$A$2:$A$3001,0))&amp;"",""))</f>
        <v/>
      </c>
      <c r="J2537" s="27" t="str">
        <f aca="false">IF(OR(G2537="",G2537="?"),"",IFERROR(INDEX(Pubs!$G$2:$G$3001,MATCH(G2537,Pubs!$A$2:$A$3001,0))&amp;"",""))</f>
        <v/>
      </c>
      <c r="K2537" s="28" t="str">
        <f aca="false">IF(OR(G2537="",G2537="?"),"",IFERROR(INDEX(Pubs!$E$2:$E$3001,MATCH(G2537,Pubs!$A$2:$A$3001,0)),""))</f>
        <v/>
      </c>
      <c r="L2537" s="29" t="str">
        <f aca="false">IF(A2537="","",IFERROR(1/(1/INDEX(Numéros!$C$2:$C$3001,MATCH(A2537&amp;"|"&amp;B2537,Numéros!$F$2:$F$3001,0))),""))</f>
        <v/>
      </c>
      <c r="M2537" s="27" t="str">
        <f aca="false">IF(OR(G2537="",G2537="?"),"",IFERROR(INDEX(Pubs!$D$2:$D$3001,MATCH(G2537,Pubs!$A$2:$A$3001,0))&amp;"",""))</f>
        <v/>
      </c>
      <c r="N2537" s="27" t="n">
        <f aca="false">N(N2536)+IF(AND(A2537&lt;&gt;"",OR(Recherche!$C$4="",A2537=Recherche!$C$4),OR(Recherche!$C$5="",B2537&amp;""=Recherche!$C$5&amp;""),OR(Recherche!$C$6="",IFERROR(YEAR(L2537),0)=Recherche!$C$6),OR(Recherche!$C$7="",ISNUMBER(SEARCH(Recherche!$C$7,H2537))),OR(Recherche!$C$8="",J2537=Recherche!$C$8),OR(Recherche!$C$9="",I2537=Recherche!$C$9),OR(Recherche!$C$10="",G2537&amp;""=Recherche!$C$10&amp;""),OR(Recherche!$C$11="",E2537=Recherche!$C$11),OR(Recherche!$C$12="",ISNUMBER(SEARCH(Recherche!$C$12,M2537&amp;" "&amp;F2537)))),1,0)</f>
        <v>8</v>
      </c>
    </row>
    <row r="2538" customFormat="false" ht="15" hidden="false" customHeight="false" outlineLevel="0" collapsed="false">
      <c r="A2538" s="19"/>
      <c r="B2538" s="19"/>
      <c r="C2538" s="19"/>
      <c r="D2538" s="19"/>
      <c r="E2538" s="22"/>
      <c r="F2538" s="19"/>
      <c r="G2538" s="26" t="str">
        <f aca="false">IF(D2538="","",IFERROR(VALUE(LEFT(D2538,FIND(" |",D2538&amp;" |")-1)),"?"))</f>
        <v/>
      </c>
      <c r="H2538" s="27" t="str">
        <f aca="false">IF(G2538="","",IF(G2538="?","⚠ pub inconnue",IFERROR(INDEX(Pubs!$B$2:$B$3001,MATCH(G2538,Pubs!$A$2:$A$3001,0))&amp;"","⚠ pub inconnue")))</f>
        <v/>
      </c>
      <c r="I2538" s="27" t="str">
        <f aca="false">IF(OR(G2538="",G2538="?"),"",IFERROR(INDEX(Pubs!$C$2:$C$3001,MATCH(G2538,Pubs!$A$2:$A$3001,0))&amp;"",""))</f>
        <v/>
      </c>
      <c r="J2538" s="27" t="str">
        <f aca="false">IF(OR(G2538="",G2538="?"),"",IFERROR(INDEX(Pubs!$G$2:$G$3001,MATCH(G2538,Pubs!$A$2:$A$3001,0))&amp;"",""))</f>
        <v/>
      </c>
      <c r="K2538" s="28" t="str">
        <f aca="false">IF(OR(G2538="",G2538="?"),"",IFERROR(INDEX(Pubs!$E$2:$E$3001,MATCH(G2538,Pubs!$A$2:$A$3001,0)),""))</f>
        <v/>
      </c>
      <c r="L2538" s="29" t="str">
        <f aca="false">IF(A2538="","",IFERROR(1/(1/INDEX(Numéros!$C$2:$C$3001,MATCH(A2538&amp;"|"&amp;B2538,Numéros!$F$2:$F$3001,0))),""))</f>
        <v/>
      </c>
      <c r="M2538" s="27" t="str">
        <f aca="false">IF(OR(G2538="",G2538="?"),"",IFERROR(INDEX(Pubs!$D$2:$D$3001,MATCH(G2538,Pubs!$A$2:$A$3001,0))&amp;"",""))</f>
        <v/>
      </c>
      <c r="N2538" s="27" t="n">
        <f aca="false">N(N2537)+IF(AND(A2538&lt;&gt;"",OR(Recherche!$C$4="",A2538=Recherche!$C$4),OR(Recherche!$C$5="",B2538&amp;""=Recherche!$C$5&amp;""),OR(Recherche!$C$6="",IFERROR(YEAR(L2538),0)=Recherche!$C$6),OR(Recherche!$C$7="",ISNUMBER(SEARCH(Recherche!$C$7,H2538))),OR(Recherche!$C$8="",J2538=Recherche!$C$8),OR(Recherche!$C$9="",I2538=Recherche!$C$9),OR(Recherche!$C$10="",G2538&amp;""=Recherche!$C$10&amp;""),OR(Recherche!$C$11="",E2538=Recherche!$C$11),OR(Recherche!$C$12="",ISNUMBER(SEARCH(Recherche!$C$12,M2538&amp;" "&amp;F2538)))),1,0)</f>
        <v>8</v>
      </c>
    </row>
    <row r="2539" customFormat="false" ht="15" hidden="false" customHeight="false" outlineLevel="0" collapsed="false">
      <c r="A2539" s="19"/>
      <c r="B2539" s="19"/>
      <c r="C2539" s="19"/>
      <c r="D2539" s="19"/>
      <c r="E2539" s="22"/>
      <c r="F2539" s="19"/>
      <c r="G2539" s="26" t="str">
        <f aca="false">IF(D2539="","",IFERROR(VALUE(LEFT(D2539,FIND(" |",D2539&amp;" |")-1)),"?"))</f>
        <v/>
      </c>
      <c r="H2539" s="27" t="str">
        <f aca="false">IF(G2539="","",IF(G2539="?","⚠ pub inconnue",IFERROR(INDEX(Pubs!$B$2:$B$3001,MATCH(G2539,Pubs!$A$2:$A$3001,0))&amp;"","⚠ pub inconnue")))</f>
        <v/>
      </c>
      <c r="I2539" s="27" t="str">
        <f aca="false">IF(OR(G2539="",G2539="?"),"",IFERROR(INDEX(Pubs!$C$2:$C$3001,MATCH(G2539,Pubs!$A$2:$A$3001,0))&amp;"",""))</f>
        <v/>
      </c>
      <c r="J2539" s="27" t="str">
        <f aca="false">IF(OR(G2539="",G2539="?"),"",IFERROR(INDEX(Pubs!$G$2:$G$3001,MATCH(G2539,Pubs!$A$2:$A$3001,0))&amp;"",""))</f>
        <v/>
      </c>
      <c r="K2539" s="28" t="str">
        <f aca="false">IF(OR(G2539="",G2539="?"),"",IFERROR(INDEX(Pubs!$E$2:$E$3001,MATCH(G2539,Pubs!$A$2:$A$3001,0)),""))</f>
        <v/>
      </c>
      <c r="L2539" s="29" t="str">
        <f aca="false">IF(A2539="","",IFERROR(1/(1/INDEX(Numéros!$C$2:$C$3001,MATCH(A2539&amp;"|"&amp;B2539,Numéros!$F$2:$F$3001,0))),""))</f>
        <v/>
      </c>
      <c r="M2539" s="27" t="str">
        <f aca="false">IF(OR(G2539="",G2539="?"),"",IFERROR(INDEX(Pubs!$D$2:$D$3001,MATCH(G2539,Pubs!$A$2:$A$3001,0))&amp;"",""))</f>
        <v/>
      </c>
      <c r="N2539" s="27" t="n">
        <f aca="false">N(N2538)+IF(AND(A2539&lt;&gt;"",OR(Recherche!$C$4="",A2539=Recherche!$C$4),OR(Recherche!$C$5="",B2539&amp;""=Recherche!$C$5&amp;""),OR(Recherche!$C$6="",IFERROR(YEAR(L2539),0)=Recherche!$C$6),OR(Recherche!$C$7="",ISNUMBER(SEARCH(Recherche!$C$7,H2539))),OR(Recherche!$C$8="",J2539=Recherche!$C$8),OR(Recherche!$C$9="",I2539=Recherche!$C$9),OR(Recherche!$C$10="",G2539&amp;""=Recherche!$C$10&amp;""),OR(Recherche!$C$11="",E2539=Recherche!$C$11),OR(Recherche!$C$12="",ISNUMBER(SEARCH(Recherche!$C$12,M2539&amp;" "&amp;F2539)))),1,0)</f>
        <v>8</v>
      </c>
    </row>
    <row r="2540" customFormat="false" ht="15" hidden="false" customHeight="false" outlineLevel="0" collapsed="false">
      <c r="A2540" s="19"/>
      <c r="B2540" s="19"/>
      <c r="C2540" s="19"/>
      <c r="D2540" s="19"/>
      <c r="E2540" s="22"/>
      <c r="F2540" s="19"/>
      <c r="G2540" s="26" t="str">
        <f aca="false">IF(D2540="","",IFERROR(VALUE(LEFT(D2540,FIND(" |",D2540&amp;" |")-1)),"?"))</f>
        <v/>
      </c>
      <c r="H2540" s="27" t="str">
        <f aca="false">IF(G2540="","",IF(G2540="?","⚠ pub inconnue",IFERROR(INDEX(Pubs!$B$2:$B$3001,MATCH(G2540,Pubs!$A$2:$A$3001,0))&amp;"","⚠ pub inconnue")))</f>
        <v/>
      </c>
      <c r="I2540" s="27" t="str">
        <f aca="false">IF(OR(G2540="",G2540="?"),"",IFERROR(INDEX(Pubs!$C$2:$C$3001,MATCH(G2540,Pubs!$A$2:$A$3001,0))&amp;"",""))</f>
        <v/>
      </c>
      <c r="J2540" s="27" t="str">
        <f aca="false">IF(OR(G2540="",G2540="?"),"",IFERROR(INDEX(Pubs!$G$2:$G$3001,MATCH(G2540,Pubs!$A$2:$A$3001,0))&amp;"",""))</f>
        <v/>
      </c>
      <c r="K2540" s="28" t="str">
        <f aca="false">IF(OR(G2540="",G2540="?"),"",IFERROR(INDEX(Pubs!$E$2:$E$3001,MATCH(G2540,Pubs!$A$2:$A$3001,0)),""))</f>
        <v/>
      </c>
      <c r="L2540" s="29" t="str">
        <f aca="false">IF(A2540="","",IFERROR(1/(1/INDEX(Numéros!$C$2:$C$3001,MATCH(A2540&amp;"|"&amp;B2540,Numéros!$F$2:$F$3001,0))),""))</f>
        <v/>
      </c>
      <c r="M2540" s="27" t="str">
        <f aca="false">IF(OR(G2540="",G2540="?"),"",IFERROR(INDEX(Pubs!$D$2:$D$3001,MATCH(G2540,Pubs!$A$2:$A$3001,0))&amp;"",""))</f>
        <v/>
      </c>
      <c r="N2540" s="27" t="n">
        <f aca="false">N(N2539)+IF(AND(A2540&lt;&gt;"",OR(Recherche!$C$4="",A2540=Recherche!$C$4),OR(Recherche!$C$5="",B2540&amp;""=Recherche!$C$5&amp;""),OR(Recherche!$C$6="",IFERROR(YEAR(L2540),0)=Recherche!$C$6),OR(Recherche!$C$7="",ISNUMBER(SEARCH(Recherche!$C$7,H2540))),OR(Recherche!$C$8="",J2540=Recherche!$C$8),OR(Recherche!$C$9="",I2540=Recherche!$C$9),OR(Recherche!$C$10="",G2540&amp;""=Recherche!$C$10&amp;""),OR(Recherche!$C$11="",E2540=Recherche!$C$11),OR(Recherche!$C$12="",ISNUMBER(SEARCH(Recherche!$C$12,M2540&amp;" "&amp;F2540)))),1,0)</f>
        <v>8</v>
      </c>
    </row>
    <row r="2541" customFormat="false" ht="15" hidden="false" customHeight="false" outlineLevel="0" collapsed="false">
      <c r="A2541" s="19"/>
      <c r="B2541" s="19"/>
      <c r="C2541" s="19"/>
      <c r="D2541" s="19"/>
      <c r="E2541" s="22"/>
      <c r="F2541" s="19"/>
      <c r="G2541" s="26" t="str">
        <f aca="false">IF(D2541="","",IFERROR(VALUE(LEFT(D2541,FIND(" |",D2541&amp;" |")-1)),"?"))</f>
        <v/>
      </c>
      <c r="H2541" s="27" t="str">
        <f aca="false">IF(G2541="","",IF(G2541="?","⚠ pub inconnue",IFERROR(INDEX(Pubs!$B$2:$B$3001,MATCH(G2541,Pubs!$A$2:$A$3001,0))&amp;"","⚠ pub inconnue")))</f>
        <v/>
      </c>
      <c r="I2541" s="27" t="str">
        <f aca="false">IF(OR(G2541="",G2541="?"),"",IFERROR(INDEX(Pubs!$C$2:$C$3001,MATCH(G2541,Pubs!$A$2:$A$3001,0))&amp;"",""))</f>
        <v/>
      </c>
      <c r="J2541" s="27" t="str">
        <f aca="false">IF(OR(G2541="",G2541="?"),"",IFERROR(INDEX(Pubs!$G$2:$G$3001,MATCH(G2541,Pubs!$A$2:$A$3001,0))&amp;"",""))</f>
        <v/>
      </c>
      <c r="K2541" s="28" t="str">
        <f aca="false">IF(OR(G2541="",G2541="?"),"",IFERROR(INDEX(Pubs!$E$2:$E$3001,MATCH(G2541,Pubs!$A$2:$A$3001,0)),""))</f>
        <v/>
      </c>
      <c r="L2541" s="29" t="str">
        <f aca="false">IF(A2541="","",IFERROR(1/(1/INDEX(Numéros!$C$2:$C$3001,MATCH(A2541&amp;"|"&amp;B2541,Numéros!$F$2:$F$3001,0))),""))</f>
        <v/>
      </c>
      <c r="M2541" s="27" t="str">
        <f aca="false">IF(OR(G2541="",G2541="?"),"",IFERROR(INDEX(Pubs!$D$2:$D$3001,MATCH(G2541,Pubs!$A$2:$A$3001,0))&amp;"",""))</f>
        <v/>
      </c>
      <c r="N2541" s="27" t="n">
        <f aca="false">N(N2540)+IF(AND(A2541&lt;&gt;"",OR(Recherche!$C$4="",A2541=Recherche!$C$4),OR(Recherche!$C$5="",B2541&amp;""=Recherche!$C$5&amp;""),OR(Recherche!$C$6="",IFERROR(YEAR(L2541),0)=Recherche!$C$6),OR(Recherche!$C$7="",ISNUMBER(SEARCH(Recherche!$C$7,H2541))),OR(Recherche!$C$8="",J2541=Recherche!$C$8),OR(Recherche!$C$9="",I2541=Recherche!$C$9),OR(Recherche!$C$10="",G2541&amp;""=Recherche!$C$10&amp;""),OR(Recherche!$C$11="",E2541=Recherche!$C$11),OR(Recherche!$C$12="",ISNUMBER(SEARCH(Recherche!$C$12,M2541&amp;" "&amp;F2541)))),1,0)</f>
        <v>8</v>
      </c>
    </row>
    <row r="2542" customFormat="false" ht="15" hidden="false" customHeight="false" outlineLevel="0" collapsed="false">
      <c r="A2542" s="19"/>
      <c r="B2542" s="19"/>
      <c r="C2542" s="19"/>
      <c r="D2542" s="19"/>
      <c r="E2542" s="22"/>
      <c r="F2542" s="19"/>
      <c r="G2542" s="26" t="str">
        <f aca="false">IF(D2542="","",IFERROR(VALUE(LEFT(D2542,FIND(" |",D2542&amp;" |")-1)),"?"))</f>
        <v/>
      </c>
      <c r="H2542" s="27" t="str">
        <f aca="false">IF(G2542="","",IF(G2542="?","⚠ pub inconnue",IFERROR(INDEX(Pubs!$B$2:$B$3001,MATCH(G2542,Pubs!$A$2:$A$3001,0))&amp;"","⚠ pub inconnue")))</f>
        <v/>
      </c>
      <c r="I2542" s="27" t="str">
        <f aca="false">IF(OR(G2542="",G2542="?"),"",IFERROR(INDEX(Pubs!$C$2:$C$3001,MATCH(G2542,Pubs!$A$2:$A$3001,0))&amp;"",""))</f>
        <v/>
      </c>
      <c r="J2542" s="27" t="str">
        <f aca="false">IF(OR(G2542="",G2542="?"),"",IFERROR(INDEX(Pubs!$G$2:$G$3001,MATCH(G2542,Pubs!$A$2:$A$3001,0))&amp;"",""))</f>
        <v/>
      </c>
      <c r="K2542" s="28" t="str">
        <f aca="false">IF(OR(G2542="",G2542="?"),"",IFERROR(INDEX(Pubs!$E$2:$E$3001,MATCH(G2542,Pubs!$A$2:$A$3001,0)),""))</f>
        <v/>
      </c>
      <c r="L2542" s="29" t="str">
        <f aca="false">IF(A2542="","",IFERROR(1/(1/INDEX(Numéros!$C$2:$C$3001,MATCH(A2542&amp;"|"&amp;B2542,Numéros!$F$2:$F$3001,0))),""))</f>
        <v/>
      </c>
      <c r="M2542" s="27" t="str">
        <f aca="false">IF(OR(G2542="",G2542="?"),"",IFERROR(INDEX(Pubs!$D$2:$D$3001,MATCH(G2542,Pubs!$A$2:$A$3001,0))&amp;"",""))</f>
        <v/>
      </c>
      <c r="N2542" s="27" t="n">
        <f aca="false">N(N2541)+IF(AND(A2542&lt;&gt;"",OR(Recherche!$C$4="",A2542=Recherche!$C$4),OR(Recherche!$C$5="",B2542&amp;""=Recherche!$C$5&amp;""),OR(Recherche!$C$6="",IFERROR(YEAR(L2542),0)=Recherche!$C$6),OR(Recherche!$C$7="",ISNUMBER(SEARCH(Recherche!$C$7,H2542))),OR(Recherche!$C$8="",J2542=Recherche!$C$8),OR(Recherche!$C$9="",I2542=Recherche!$C$9),OR(Recherche!$C$10="",G2542&amp;""=Recherche!$C$10&amp;""),OR(Recherche!$C$11="",E2542=Recherche!$C$11),OR(Recherche!$C$12="",ISNUMBER(SEARCH(Recherche!$C$12,M2542&amp;" "&amp;F2542)))),1,0)</f>
        <v>8</v>
      </c>
    </row>
    <row r="2543" customFormat="false" ht="15" hidden="false" customHeight="false" outlineLevel="0" collapsed="false">
      <c r="A2543" s="19"/>
      <c r="B2543" s="19"/>
      <c r="C2543" s="19"/>
      <c r="D2543" s="19"/>
      <c r="E2543" s="22"/>
      <c r="F2543" s="19"/>
      <c r="G2543" s="26" t="str">
        <f aca="false">IF(D2543="","",IFERROR(VALUE(LEFT(D2543,FIND(" |",D2543&amp;" |")-1)),"?"))</f>
        <v/>
      </c>
      <c r="H2543" s="27" t="str">
        <f aca="false">IF(G2543="","",IF(G2543="?","⚠ pub inconnue",IFERROR(INDEX(Pubs!$B$2:$B$3001,MATCH(G2543,Pubs!$A$2:$A$3001,0))&amp;"","⚠ pub inconnue")))</f>
        <v/>
      </c>
      <c r="I2543" s="27" t="str">
        <f aca="false">IF(OR(G2543="",G2543="?"),"",IFERROR(INDEX(Pubs!$C$2:$C$3001,MATCH(G2543,Pubs!$A$2:$A$3001,0))&amp;"",""))</f>
        <v/>
      </c>
      <c r="J2543" s="27" t="str">
        <f aca="false">IF(OR(G2543="",G2543="?"),"",IFERROR(INDEX(Pubs!$G$2:$G$3001,MATCH(G2543,Pubs!$A$2:$A$3001,0))&amp;"",""))</f>
        <v/>
      </c>
      <c r="K2543" s="28" t="str">
        <f aca="false">IF(OR(G2543="",G2543="?"),"",IFERROR(INDEX(Pubs!$E$2:$E$3001,MATCH(G2543,Pubs!$A$2:$A$3001,0)),""))</f>
        <v/>
      </c>
      <c r="L2543" s="29" t="str">
        <f aca="false">IF(A2543="","",IFERROR(1/(1/INDEX(Numéros!$C$2:$C$3001,MATCH(A2543&amp;"|"&amp;B2543,Numéros!$F$2:$F$3001,0))),""))</f>
        <v/>
      </c>
      <c r="M2543" s="27" t="str">
        <f aca="false">IF(OR(G2543="",G2543="?"),"",IFERROR(INDEX(Pubs!$D$2:$D$3001,MATCH(G2543,Pubs!$A$2:$A$3001,0))&amp;"",""))</f>
        <v/>
      </c>
      <c r="N2543" s="27" t="n">
        <f aca="false">N(N2542)+IF(AND(A2543&lt;&gt;"",OR(Recherche!$C$4="",A2543=Recherche!$C$4),OR(Recherche!$C$5="",B2543&amp;""=Recherche!$C$5&amp;""),OR(Recherche!$C$6="",IFERROR(YEAR(L2543),0)=Recherche!$C$6),OR(Recherche!$C$7="",ISNUMBER(SEARCH(Recherche!$C$7,H2543))),OR(Recherche!$C$8="",J2543=Recherche!$C$8),OR(Recherche!$C$9="",I2543=Recherche!$C$9),OR(Recherche!$C$10="",G2543&amp;""=Recherche!$C$10&amp;""),OR(Recherche!$C$11="",E2543=Recherche!$C$11),OR(Recherche!$C$12="",ISNUMBER(SEARCH(Recherche!$C$12,M2543&amp;" "&amp;F2543)))),1,0)</f>
        <v>8</v>
      </c>
    </row>
    <row r="2544" customFormat="false" ht="15" hidden="false" customHeight="false" outlineLevel="0" collapsed="false">
      <c r="A2544" s="19"/>
      <c r="B2544" s="19"/>
      <c r="C2544" s="19"/>
      <c r="D2544" s="19"/>
      <c r="E2544" s="22"/>
      <c r="F2544" s="19"/>
      <c r="G2544" s="26" t="str">
        <f aca="false">IF(D2544="","",IFERROR(VALUE(LEFT(D2544,FIND(" |",D2544&amp;" |")-1)),"?"))</f>
        <v/>
      </c>
      <c r="H2544" s="27" t="str">
        <f aca="false">IF(G2544="","",IF(G2544="?","⚠ pub inconnue",IFERROR(INDEX(Pubs!$B$2:$B$3001,MATCH(G2544,Pubs!$A$2:$A$3001,0))&amp;"","⚠ pub inconnue")))</f>
        <v/>
      </c>
      <c r="I2544" s="27" t="str">
        <f aca="false">IF(OR(G2544="",G2544="?"),"",IFERROR(INDEX(Pubs!$C$2:$C$3001,MATCH(G2544,Pubs!$A$2:$A$3001,0))&amp;"",""))</f>
        <v/>
      </c>
      <c r="J2544" s="27" t="str">
        <f aca="false">IF(OR(G2544="",G2544="?"),"",IFERROR(INDEX(Pubs!$G$2:$G$3001,MATCH(G2544,Pubs!$A$2:$A$3001,0))&amp;"",""))</f>
        <v/>
      </c>
      <c r="K2544" s="28" t="str">
        <f aca="false">IF(OR(G2544="",G2544="?"),"",IFERROR(INDEX(Pubs!$E$2:$E$3001,MATCH(G2544,Pubs!$A$2:$A$3001,0)),""))</f>
        <v/>
      </c>
      <c r="L2544" s="29" t="str">
        <f aca="false">IF(A2544="","",IFERROR(1/(1/INDEX(Numéros!$C$2:$C$3001,MATCH(A2544&amp;"|"&amp;B2544,Numéros!$F$2:$F$3001,0))),""))</f>
        <v/>
      </c>
      <c r="M2544" s="27" t="str">
        <f aca="false">IF(OR(G2544="",G2544="?"),"",IFERROR(INDEX(Pubs!$D$2:$D$3001,MATCH(G2544,Pubs!$A$2:$A$3001,0))&amp;"",""))</f>
        <v/>
      </c>
      <c r="N2544" s="27" t="n">
        <f aca="false">N(N2543)+IF(AND(A2544&lt;&gt;"",OR(Recherche!$C$4="",A2544=Recherche!$C$4),OR(Recherche!$C$5="",B2544&amp;""=Recherche!$C$5&amp;""),OR(Recherche!$C$6="",IFERROR(YEAR(L2544),0)=Recherche!$C$6),OR(Recherche!$C$7="",ISNUMBER(SEARCH(Recherche!$C$7,H2544))),OR(Recherche!$C$8="",J2544=Recherche!$C$8),OR(Recherche!$C$9="",I2544=Recherche!$C$9),OR(Recherche!$C$10="",G2544&amp;""=Recherche!$C$10&amp;""),OR(Recherche!$C$11="",E2544=Recherche!$C$11),OR(Recherche!$C$12="",ISNUMBER(SEARCH(Recherche!$C$12,M2544&amp;" "&amp;F2544)))),1,0)</f>
        <v>8</v>
      </c>
    </row>
    <row r="2545" customFormat="false" ht="15" hidden="false" customHeight="false" outlineLevel="0" collapsed="false">
      <c r="A2545" s="19"/>
      <c r="B2545" s="19"/>
      <c r="C2545" s="19"/>
      <c r="D2545" s="19"/>
      <c r="E2545" s="22"/>
      <c r="F2545" s="19"/>
      <c r="G2545" s="26" t="str">
        <f aca="false">IF(D2545="","",IFERROR(VALUE(LEFT(D2545,FIND(" |",D2545&amp;" |")-1)),"?"))</f>
        <v/>
      </c>
      <c r="H2545" s="27" t="str">
        <f aca="false">IF(G2545="","",IF(G2545="?","⚠ pub inconnue",IFERROR(INDEX(Pubs!$B$2:$B$3001,MATCH(G2545,Pubs!$A$2:$A$3001,0))&amp;"","⚠ pub inconnue")))</f>
        <v/>
      </c>
      <c r="I2545" s="27" t="str">
        <f aca="false">IF(OR(G2545="",G2545="?"),"",IFERROR(INDEX(Pubs!$C$2:$C$3001,MATCH(G2545,Pubs!$A$2:$A$3001,0))&amp;"",""))</f>
        <v/>
      </c>
      <c r="J2545" s="27" t="str">
        <f aca="false">IF(OR(G2545="",G2545="?"),"",IFERROR(INDEX(Pubs!$G$2:$G$3001,MATCH(G2545,Pubs!$A$2:$A$3001,0))&amp;"",""))</f>
        <v/>
      </c>
      <c r="K2545" s="28" t="str">
        <f aca="false">IF(OR(G2545="",G2545="?"),"",IFERROR(INDEX(Pubs!$E$2:$E$3001,MATCH(G2545,Pubs!$A$2:$A$3001,0)),""))</f>
        <v/>
      </c>
      <c r="L2545" s="29" t="str">
        <f aca="false">IF(A2545="","",IFERROR(1/(1/INDEX(Numéros!$C$2:$C$3001,MATCH(A2545&amp;"|"&amp;B2545,Numéros!$F$2:$F$3001,0))),""))</f>
        <v/>
      </c>
      <c r="M2545" s="27" t="str">
        <f aca="false">IF(OR(G2545="",G2545="?"),"",IFERROR(INDEX(Pubs!$D$2:$D$3001,MATCH(G2545,Pubs!$A$2:$A$3001,0))&amp;"",""))</f>
        <v/>
      </c>
      <c r="N2545" s="27" t="n">
        <f aca="false">N(N2544)+IF(AND(A2545&lt;&gt;"",OR(Recherche!$C$4="",A2545=Recherche!$C$4),OR(Recherche!$C$5="",B2545&amp;""=Recherche!$C$5&amp;""),OR(Recherche!$C$6="",IFERROR(YEAR(L2545),0)=Recherche!$C$6),OR(Recherche!$C$7="",ISNUMBER(SEARCH(Recherche!$C$7,H2545))),OR(Recherche!$C$8="",J2545=Recherche!$C$8),OR(Recherche!$C$9="",I2545=Recherche!$C$9),OR(Recherche!$C$10="",G2545&amp;""=Recherche!$C$10&amp;""),OR(Recherche!$C$11="",E2545=Recherche!$C$11),OR(Recherche!$C$12="",ISNUMBER(SEARCH(Recherche!$C$12,M2545&amp;" "&amp;F2545)))),1,0)</f>
        <v>8</v>
      </c>
    </row>
    <row r="2546" customFormat="false" ht="15" hidden="false" customHeight="false" outlineLevel="0" collapsed="false">
      <c r="A2546" s="19"/>
      <c r="B2546" s="19"/>
      <c r="C2546" s="19"/>
      <c r="D2546" s="19"/>
      <c r="E2546" s="22"/>
      <c r="F2546" s="19"/>
      <c r="G2546" s="26" t="str">
        <f aca="false">IF(D2546="","",IFERROR(VALUE(LEFT(D2546,FIND(" |",D2546&amp;" |")-1)),"?"))</f>
        <v/>
      </c>
      <c r="H2546" s="27" t="str">
        <f aca="false">IF(G2546="","",IF(G2546="?","⚠ pub inconnue",IFERROR(INDEX(Pubs!$B$2:$B$3001,MATCH(G2546,Pubs!$A$2:$A$3001,0))&amp;"","⚠ pub inconnue")))</f>
        <v/>
      </c>
      <c r="I2546" s="27" t="str">
        <f aca="false">IF(OR(G2546="",G2546="?"),"",IFERROR(INDEX(Pubs!$C$2:$C$3001,MATCH(G2546,Pubs!$A$2:$A$3001,0))&amp;"",""))</f>
        <v/>
      </c>
      <c r="J2546" s="27" t="str">
        <f aca="false">IF(OR(G2546="",G2546="?"),"",IFERROR(INDEX(Pubs!$G$2:$G$3001,MATCH(G2546,Pubs!$A$2:$A$3001,0))&amp;"",""))</f>
        <v/>
      </c>
      <c r="K2546" s="28" t="str">
        <f aca="false">IF(OR(G2546="",G2546="?"),"",IFERROR(INDEX(Pubs!$E$2:$E$3001,MATCH(G2546,Pubs!$A$2:$A$3001,0)),""))</f>
        <v/>
      </c>
      <c r="L2546" s="29" t="str">
        <f aca="false">IF(A2546="","",IFERROR(1/(1/INDEX(Numéros!$C$2:$C$3001,MATCH(A2546&amp;"|"&amp;B2546,Numéros!$F$2:$F$3001,0))),""))</f>
        <v/>
      </c>
      <c r="M2546" s="27" t="str">
        <f aca="false">IF(OR(G2546="",G2546="?"),"",IFERROR(INDEX(Pubs!$D$2:$D$3001,MATCH(G2546,Pubs!$A$2:$A$3001,0))&amp;"",""))</f>
        <v/>
      </c>
      <c r="N2546" s="27" t="n">
        <f aca="false">N(N2545)+IF(AND(A2546&lt;&gt;"",OR(Recherche!$C$4="",A2546=Recherche!$C$4),OR(Recherche!$C$5="",B2546&amp;""=Recherche!$C$5&amp;""),OR(Recherche!$C$6="",IFERROR(YEAR(L2546),0)=Recherche!$C$6),OR(Recherche!$C$7="",ISNUMBER(SEARCH(Recherche!$C$7,H2546))),OR(Recherche!$C$8="",J2546=Recherche!$C$8),OR(Recherche!$C$9="",I2546=Recherche!$C$9),OR(Recherche!$C$10="",G2546&amp;""=Recherche!$C$10&amp;""),OR(Recherche!$C$11="",E2546=Recherche!$C$11),OR(Recherche!$C$12="",ISNUMBER(SEARCH(Recherche!$C$12,M2546&amp;" "&amp;F2546)))),1,0)</f>
        <v>8</v>
      </c>
    </row>
    <row r="2547" customFormat="false" ht="15" hidden="false" customHeight="false" outlineLevel="0" collapsed="false">
      <c r="A2547" s="19"/>
      <c r="B2547" s="19"/>
      <c r="C2547" s="19"/>
      <c r="D2547" s="19"/>
      <c r="E2547" s="22"/>
      <c r="F2547" s="19"/>
      <c r="G2547" s="26" t="str">
        <f aca="false">IF(D2547="","",IFERROR(VALUE(LEFT(D2547,FIND(" |",D2547&amp;" |")-1)),"?"))</f>
        <v/>
      </c>
      <c r="H2547" s="27" t="str">
        <f aca="false">IF(G2547="","",IF(G2547="?","⚠ pub inconnue",IFERROR(INDEX(Pubs!$B$2:$B$3001,MATCH(G2547,Pubs!$A$2:$A$3001,0))&amp;"","⚠ pub inconnue")))</f>
        <v/>
      </c>
      <c r="I2547" s="27" t="str">
        <f aca="false">IF(OR(G2547="",G2547="?"),"",IFERROR(INDEX(Pubs!$C$2:$C$3001,MATCH(G2547,Pubs!$A$2:$A$3001,0))&amp;"",""))</f>
        <v/>
      </c>
      <c r="J2547" s="27" t="str">
        <f aca="false">IF(OR(G2547="",G2547="?"),"",IFERROR(INDEX(Pubs!$G$2:$G$3001,MATCH(G2547,Pubs!$A$2:$A$3001,0))&amp;"",""))</f>
        <v/>
      </c>
      <c r="K2547" s="28" t="str">
        <f aca="false">IF(OR(G2547="",G2547="?"),"",IFERROR(INDEX(Pubs!$E$2:$E$3001,MATCH(G2547,Pubs!$A$2:$A$3001,0)),""))</f>
        <v/>
      </c>
      <c r="L2547" s="29" t="str">
        <f aca="false">IF(A2547="","",IFERROR(1/(1/INDEX(Numéros!$C$2:$C$3001,MATCH(A2547&amp;"|"&amp;B2547,Numéros!$F$2:$F$3001,0))),""))</f>
        <v/>
      </c>
      <c r="M2547" s="27" t="str">
        <f aca="false">IF(OR(G2547="",G2547="?"),"",IFERROR(INDEX(Pubs!$D$2:$D$3001,MATCH(G2547,Pubs!$A$2:$A$3001,0))&amp;"",""))</f>
        <v/>
      </c>
      <c r="N2547" s="27" t="n">
        <f aca="false">N(N2546)+IF(AND(A2547&lt;&gt;"",OR(Recherche!$C$4="",A2547=Recherche!$C$4),OR(Recherche!$C$5="",B2547&amp;""=Recherche!$C$5&amp;""),OR(Recherche!$C$6="",IFERROR(YEAR(L2547),0)=Recherche!$C$6),OR(Recherche!$C$7="",ISNUMBER(SEARCH(Recherche!$C$7,H2547))),OR(Recherche!$C$8="",J2547=Recherche!$C$8),OR(Recherche!$C$9="",I2547=Recherche!$C$9),OR(Recherche!$C$10="",G2547&amp;""=Recherche!$C$10&amp;""),OR(Recherche!$C$11="",E2547=Recherche!$C$11),OR(Recherche!$C$12="",ISNUMBER(SEARCH(Recherche!$C$12,M2547&amp;" "&amp;F2547)))),1,0)</f>
        <v>8</v>
      </c>
    </row>
    <row r="2548" customFormat="false" ht="15" hidden="false" customHeight="false" outlineLevel="0" collapsed="false">
      <c r="A2548" s="19"/>
      <c r="B2548" s="19"/>
      <c r="C2548" s="19"/>
      <c r="D2548" s="19"/>
      <c r="E2548" s="22"/>
      <c r="F2548" s="19"/>
      <c r="G2548" s="26" t="str">
        <f aca="false">IF(D2548="","",IFERROR(VALUE(LEFT(D2548,FIND(" |",D2548&amp;" |")-1)),"?"))</f>
        <v/>
      </c>
      <c r="H2548" s="27" t="str">
        <f aca="false">IF(G2548="","",IF(G2548="?","⚠ pub inconnue",IFERROR(INDEX(Pubs!$B$2:$B$3001,MATCH(G2548,Pubs!$A$2:$A$3001,0))&amp;"","⚠ pub inconnue")))</f>
        <v/>
      </c>
      <c r="I2548" s="27" t="str">
        <f aca="false">IF(OR(G2548="",G2548="?"),"",IFERROR(INDEX(Pubs!$C$2:$C$3001,MATCH(G2548,Pubs!$A$2:$A$3001,0))&amp;"",""))</f>
        <v/>
      </c>
      <c r="J2548" s="27" t="str">
        <f aca="false">IF(OR(G2548="",G2548="?"),"",IFERROR(INDEX(Pubs!$G$2:$G$3001,MATCH(G2548,Pubs!$A$2:$A$3001,0))&amp;"",""))</f>
        <v/>
      </c>
      <c r="K2548" s="28" t="str">
        <f aca="false">IF(OR(G2548="",G2548="?"),"",IFERROR(INDEX(Pubs!$E$2:$E$3001,MATCH(G2548,Pubs!$A$2:$A$3001,0)),""))</f>
        <v/>
      </c>
      <c r="L2548" s="29" t="str">
        <f aca="false">IF(A2548="","",IFERROR(1/(1/INDEX(Numéros!$C$2:$C$3001,MATCH(A2548&amp;"|"&amp;B2548,Numéros!$F$2:$F$3001,0))),""))</f>
        <v/>
      </c>
      <c r="M2548" s="27" t="str">
        <f aca="false">IF(OR(G2548="",G2548="?"),"",IFERROR(INDEX(Pubs!$D$2:$D$3001,MATCH(G2548,Pubs!$A$2:$A$3001,0))&amp;"",""))</f>
        <v/>
      </c>
      <c r="N2548" s="27" t="n">
        <f aca="false">N(N2547)+IF(AND(A2548&lt;&gt;"",OR(Recherche!$C$4="",A2548=Recherche!$C$4),OR(Recherche!$C$5="",B2548&amp;""=Recherche!$C$5&amp;""),OR(Recherche!$C$6="",IFERROR(YEAR(L2548),0)=Recherche!$C$6),OR(Recherche!$C$7="",ISNUMBER(SEARCH(Recherche!$C$7,H2548))),OR(Recherche!$C$8="",J2548=Recherche!$C$8),OR(Recherche!$C$9="",I2548=Recherche!$C$9),OR(Recherche!$C$10="",G2548&amp;""=Recherche!$C$10&amp;""),OR(Recherche!$C$11="",E2548=Recherche!$C$11),OR(Recherche!$C$12="",ISNUMBER(SEARCH(Recherche!$C$12,M2548&amp;" "&amp;F2548)))),1,0)</f>
        <v>8</v>
      </c>
    </row>
    <row r="2549" customFormat="false" ht="15" hidden="false" customHeight="false" outlineLevel="0" collapsed="false">
      <c r="A2549" s="19"/>
      <c r="B2549" s="19"/>
      <c r="C2549" s="19"/>
      <c r="D2549" s="19"/>
      <c r="E2549" s="22"/>
      <c r="F2549" s="19"/>
      <c r="G2549" s="26" t="str">
        <f aca="false">IF(D2549="","",IFERROR(VALUE(LEFT(D2549,FIND(" |",D2549&amp;" |")-1)),"?"))</f>
        <v/>
      </c>
      <c r="H2549" s="27" t="str">
        <f aca="false">IF(G2549="","",IF(G2549="?","⚠ pub inconnue",IFERROR(INDEX(Pubs!$B$2:$B$3001,MATCH(G2549,Pubs!$A$2:$A$3001,0))&amp;"","⚠ pub inconnue")))</f>
        <v/>
      </c>
      <c r="I2549" s="27" t="str">
        <f aca="false">IF(OR(G2549="",G2549="?"),"",IFERROR(INDEX(Pubs!$C$2:$C$3001,MATCH(G2549,Pubs!$A$2:$A$3001,0))&amp;"",""))</f>
        <v/>
      </c>
      <c r="J2549" s="27" t="str">
        <f aca="false">IF(OR(G2549="",G2549="?"),"",IFERROR(INDEX(Pubs!$G$2:$G$3001,MATCH(G2549,Pubs!$A$2:$A$3001,0))&amp;"",""))</f>
        <v/>
      </c>
      <c r="K2549" s="28" t="str">
        <f aca="false">IF(OR(G2549="",G2549="?"),"",IFERROR(INDEX(Pubs!$E$2:$E$3001,MATCH(G2549,Pubs!$A$2:$A$3001,0)),""))</f>
        <v/>
      </c>
      <c r="L2549" s="29" t="str">
        <f aca="false">IF(A2549="","",IFERROR(1/(1/INDEX(Numéros!$C$2:$C$3001,MATCH(A2549&amp;"|"&amp;B2549,Numéros!$F$2:$F$3001,0))),""))</f>
        <v/>
      </c>
      <c r="M2549" s="27" t="str">
        <f aca="false">IF(OR(G2549="",G2549="?"),"",IFERROR(INDEX(Pubs!$D$2:$D$3001,MATCH(G2549,Pubs!$A$2:$A$3001,0))&amp;"",""))</f>
        <v/>
      </c>
      <c r="N2549" s="27" t="n">
        <f aca="false">N(N2548)+IF(AND(A2549&lt;&gt;"",OR(Recherche!$C$4="",A2549=Recherche!$C$4),OR(Recherche!$C$5="",B2549&amp;""=Recherche!$C$5&amp;""),OR(Recherche!$C$6="",IFERROR(YEAR(L2549),0)=Recherche!$C$6),OR(Recherche!$C$7="",ISNUMBER(SEARCH(Recherche!$C$7,H2549))),OR(Recherche!$C$8="",J2549=Recherche!$C$8),OR(Recherche!$C$9="",I2549=Recherche!$C$9),OR(Recherche!$C$10="",G2549&amp;""=Recherche!$C$10&amp;""),OR(Recherche!$C$11="",E2549=Recherche!$C$11),OR(Recherche!$C$12="",ISNUMBER(SEARCH(Recherche!$C$12,M2549&amp;" "&amp;F2549)))),1,0)</f>
        <v>8</v>
      </c>
    </row>
    <row r="2550" customFormat="false" ht="15" hidden="false" customHeight="false" outlineLevel="0" collapsed="false">
      <c r="A2550" s="19"/>
      <c r="B2550" s="19"/>
      <c r="C2550" s="19"/>
      <c r="D2550" s="19"/>
      <c r="E2550" s="22"/>
      <c r="F2550" s="19"/>
      <c r="G2550" s="26" t="str">
        <f aca="false">IF(D2550="","",IFERROR(VALUE(LEFT(D2550,FIND(" |",D2550&amp;" |")-1)),"?"))</f>
        <v/>
      </c>
      <c r="H2550" s="27" t="str">
        <f aca="false">IF(G2550="","",IF(G2550="?","⚠ pub inconnue",IFERROR(INDEX(Pubs!$B$2:$B$3001,MATCH(G2550,Pubs!$A$2:$A$3001,0))&amp;"","⚠ pub inconnue")))</f>
        <v/>
      </c>
      <c r="I2550" s="27" t="str">
        <f aca="false">IF(OR(G2550="",G2550="?"),"",IFERROR(INDEX(Pubs!$C$2:$C$3001,MATCH(G2550,Pubs!$A$2:$A$3001,0))&amp;"",""))</f>
        <v/>
      </c>
      <c r="J2550" s="27" t="str">
        <f aca="false">IF(OR(G2550="",G2550="?"),"",IFERROR(INDEX(Pubs!$G$2:$G$3001,MATCH(G2550,Pubs!$A$2:$A$3001,0))&amp;"",""))</f>
        <v/>
      </c>
      <c r="K2550" s="28" t="str">
        <f aca="false">IF(OR(G2550="",G2550="?"),"",IFERROR(INDEX(Pubs!$E$2:$E$3001,MATCH(G2550,Pubs!$A$2:$A$3001,0)),""))</f>
        <v/>
      </c>
      <c r="L2550" s="29" t="str">
        <f aca="false">IF(A2550="","",IFERROR(1/(1/INDEX(Numéros!$C$2:$C$3001,MATCH(A2550&amp;"|"&amp;B2550,Numéros!$F$2:$F$3001,0))),""))</f>
        <v/>
      </c>
      <c r="M2550" s="27" t="str">
        <f aca="false">IF(OR(G2550="",G2550="?"),"",IFERROR(INDEX(Pubs!$D$2:$D$3001,MATCH(G2550,Pubs!$A$2:$A$3001,0))&amp;"",""))</f>
        <v/>
      </c>
      <c r="N2550" s="27" t="n">
        <f aca="false">N(N2549)+IF(AND(A2550&lt;&gt;"",OR(Recherche!$C$4="",A2550=Recherche!$C$4),OR(Recherche!$C$5="",B2550&amp;""=Recherche!$C$5&amp;""),OR(Recherche!$C$6="",IFERROR(YEAR(L2550),0)=Recherche!$C$6),OR(Recherche!$C$7="",ISNUMBER(SEARCH(Recherche!$C$7,H2550))),OR(Recherche!$C$8="",J2550=Recherche!$C$8),OR(Recherche!$C$9="",I2550=Recherche!$C$9),OR(Recherche!$C$10="",G2550&amp;""=Recherche!$C$10&amp;""),OR(Recherche!$C$11="",E2550=Recherche!$C$11),OR(Recherche!$C$12="",ISNUMBER(SEARCH(Recherche!$C$12,M2550&amp;" "&amp;F2550)))),1,0)</f>
        <v>8</v>
      </c>
    </row>
    <row r="2551" customFormat="false" ht="15" hidden="false" customHeight="false" outlineLevel="0" collapsed="false">
      <c r="A2551" s="19"/>
      <c r="B2551" s="19"/>
      <c r="C2551" s="19"/>
      <c r="D2551" s="19"/>
      <c r="E2551" s="22"/>
      <c r="F2551" s="19"/>
      <c r="G2551" s="26" t="str">
        <f aca="false">IF(D2551="","",IFERROR(VALUE(LEFT(D2551,FIND(" |",D2551&amp;" |")-1)),"?"))</f>
        <v/>
      </c>
      <c r="H2551" s="27" t="str">
        <f aca="false">IF(G2551="","",IF(G2551="?","⚠ pub inconnue",IFERROR(INDEX(Pubs!$B$2:$B$3001,MATCH(G2551,Pubs!$A$2:$A$3001,0))&amp;"","⚠ pub inconnue")))</f>
        <v/>
      </c>
      <c r="I2551" s="27" t="str">
        <f aca="false">IF(OR(G2551="",G2551="?"),"",IFERROR(INDEX(Pubs!$C$2:$C$3001,MATCH(G2551,Pubs!$A$2:$A$3001,0))&amp;"",""))</f>
        <v/>
      </c>
      <c r="J2551" s="27" t="str">
        <f aca="false">IF(OR(G2551="",G2551="?"),"",IFERROR(INDEX(Pubs!$G$2:$G$3001,MATCH(G2551,Pubs!$A$2:$A$3001,0))&amp;"",""))</f>
        <v/>
      </c>
      <c r="K2551" s="28" t="str">
        <f aca="false">IF(OR(G2551="",G2551="?"),"",IFERROR(INDEX(Pubs!$E$2:$E$3001,MATCH(G2551,Pubs!$A$2:$A$3001,0)),""))</f>
        <v/>
      </c>
      <c r="L2551" s="29" t="str">
        <f aca="false">IF(A2551="","",IFERROR(1/(1/INDEX(Numéros!$C$2:$C$3001,MATCH(A2551&amp;"|"&amp;B2551,Numéros!$F$2:$F$3001,0))),""))</f>
        <v/>
      </c>
      <c r="M2551" s="27" t="str">
        <f aca="false">IF(OR(G2551="",G2551="?"),"",IFERROR(INDEX(Pubs!$D$2:$D$3001,MATCH(G2551,Pubs!$A$2:$A$3001,0))&amp;"",""))</f>
        <v/>
      </c>
      <c r="N2551" s="27" t="n">
        <f aca="false">N(N2550)+IF(AND(A2551&lt;&gt;"",OR(Recherche!$C$4="",A2551=Recherche!$C$4),OR(Recherche!$C$5="",B2551&amp;""=Recherche!$C$5&amp;""),OR(Recherche!$C$6="",IFERROR(YEAR(L2551),0)=Recherche!$C$6),OR(Recherche!$C$7="",ISNUMBER(SEARCH(Recherche!$C$7,H2551))),OR(Recherche!$C$8="",J2551=Recherche!$C$8),OR(Recherche!$C$9="",I2551=Recherche!$C$9),OR(Recherche!$C$10="",G2551&amp;""=Recherche!$C$10&amp;""),OR(Recherche!$C$11="",E2551=Recherche!$C$11),OR(Recherche!$C$12="",ISNUMBER(SEARCH(Recherche!$C$12,M2551&amp;" "&amp;F2551)))),1,0)</f>
        <v>8</v>
      </c>
    </row>
    <row r="2552" customFormat="false" ht="15" hidden="false" customHeight="false" outlineLevel="0" collapsed="false">
      <c r="A2552" s="19"/>
      <c r="B2552" s="19"/>
      <c r="C2552" s="19"/>
      <c r="D2552" s="19"/>
      <c r="E2552" s="22"/>
      <c r="F2552" s="19"/>
      <c r="G2552" s="26" t="str">
        <f aca="false">IF(D2552="","",IFERROR(VALUE(LEFT(D2552,FIND(" |",D2552&amp;" |")-1)),"?"))</f>
        <v/>
      </c>
      <c r="H2552" s="27" t="str">
        <f aca="false">IF(G2552="","",IF(G2552="?","⚠ pub inconnue",IFERROR(INDEX(Pubs!$B$2:$B$3001,MATCH(G2552,Pubs!$A$2:$A$3001,0))&amp;"","⚠ pub inconnue")))</f>
        <v/>
      </c>
      <c r="I2552" s="27" t="str">
        <f aca="false">IF(OR(G2552="",G2552="?"),"",IFERROR(INDEX(Pubs!$C$2:$C$3001,MATCH(G2552,Pubs!$A$2:$A$3001,0))&amp;"",""))</f>
        <v/>
      </c>
      <c r="J2552" s="27" t="str">
        <f aca="false">IF(OR(G2552="",G2552="?"),"",IFERROR(INDEX(Pubs!$G$2:$G$3001,MATCH(G2552,Pubs!$A$2:$A$3001,0))&amp;"",""))</f>
        <v/>
      </c>
      <c r="K2552" s="28" t="str">
        <f aca="false">IF(OR(G2552="",G2552="?"),"",IFERROR(INDEX(Pubs!$E$2:$E$3001,MATCH(G2552,Pubs!$A$2:$A$3001,0)),""))</f>
        <v/>
      </c>
      <c r="L2552" s="29" t="str">
        <f aca="false">IF(A2552="","",IFERROR(1/(1/INDEX(Numéros!$C$2:$C$3001,MATCH(A2552&amp;"|"&amp;B2552,Numéros!$F$2:$F$3001,0))),""))</f>
        <v/>
      </c>
      <c r="M2552" s="27" t="str">
        <f aca="false">IF(OR(G2552="",G2552="?"),"",IFERROR(INDEX(Pubs!$D$2:$D$3001,MATCH(G2552,Pubs!$A$2:$A$3001,0))&amp;"",""))</f>
        <v/>
      </c>
      <c r="N2552" s="27" t="n">
        <f aca="false">N(N2551)+IF(AND(A2552&lt;&gt;"",OR(Recherche!$C$4="",A2552=Recherche!$C$4),OR(Recherche!$C$5="",B2552&amp;""=Recherche!$C$5&amp;""),OR(Recherche!$C$6="",IFERROR(YEAR(L2552),0)=Recherche!$C$6),OR(Recherche!$C$7="",ISNUMBER(SEARCH(Recherche!$C$7,H2552))),OR(Recherche!$C$8="",J2552=Recherche!$C$8),OR(Recherche!$C$9="",I2552=Recherche!$C$9),OR(Recherche!$C$10="",G2552&amp;""=Recherche!$C$10&amp;""),OR(Recherche!$C$11="",E2552=Recherche!$C$11),OR(Recherche!$C$12="",ISNUMBER(SEARCH(Recherche!$C$12,M2552&amp;" "&amp;F2552)))),1,0)</f>
        <v>8</v>
      </c>
    </row>
    <row r="2553" customFormat="false" ht="15" hidden="false" customHeight="false" outlineLevel="0" collapsed="false">
      <c r="A2553" s="19"/>
      <c r="B2553" s="19"/>
      <c r="C2553" s="19"/>
      <c r="D2553" s="19"/>
      <c r="E2553" s="22"/>
      <c r="F2553" s="19"/>
      <c r="G2553" s="26" t="str">
        <f aca="false">IF(D2553="","",IFERROR(VALUE(LEFT(D2553,FIND(" |",D2553&amp;" |")-1)),"?"))</f>
        <v/>
      </c>
      <c r="H2553" s="27" t="str">
        <f aca="false">IF(G2553="","",IF(G2553="?","⚠ pub inconnue",IFERROR(INDEX(Pubs!$B$2:$B$3001,MATCH(G2553,Pubs!$A$2:$A$3001,0))&amp;"","⚠ pub inconnue")))</f>
        <v/>
      </c>
      <c r="I2553" s="27" t="str">
        <f aca="false">IF(OR(G2553="",G2553="?"),"",IFERROR(INDEX(Pubs!$C$2:$C$3001,MATCH(G2553,Pubs!$A$2:$A$3001,0))&amp;"",""))</f>
        <v/>
      </c>
      <c r="J2553" s="27" t="str">
        <f aca="false">IF(OR(G2553="",G2553="?"),"",IFERROR(INDEX(Pubs!$G$2:$G$3001,MATCH(G2553,Pubs!$A$2:$A$3001,0))&amp;"",""))</f>
        <v/>
      </c>
      <c r="K2553" s="28" t="str">
        <f aca="false">IF(OR(G2553="",G2553="?"),"",IFERROR(INDEX(Pubs!$E$2:$E$3001,MATCH(G2553,Pubs!$A$2:$A$3001,0)),""))</f>
        <v/>
      </c>
      <c r="L2553" s="29" t="str">
        <f aca="false">IF(A2553="","",IFERROR(1/(1/INDEX(Numéros!$C$2:$C$3001,MATCH(A2553&amp;"|"&amp;B2553,Numéros!$F$2:$F$3001,0))),""))</f>
        <v/>
      </c>
      <c r="M2553" s="27" t="str">
        <f aca="false">IF(OR(G2553="",G2553="?"),"",IFERROR(INDEX(Pubs!$D$2:$D$3001,MATCH(G2553,Pubs!$A$2:$A$3001,0))&amp;"",""))</f>
        <v/>
      </c>
      <c r="N2553" s="27" t="n">
        <f aca="false">N(N2552)+IF(AND(A2553&lt;&gt;"",OR(Recherche!$C$4="",A2553=Recherche!$C$4),OR(Recherche!$C$5="",B2553&amp;""=Recherche!$C$5&amp;""),OR(Recherche!$C$6="",IFERROR(YEAR(L2553),0)=Recherche!$C$6),OR(Recherche!$C$7="",ISNUMBER(SEARCH(Recherche!$C$7,H2553))),OR(Recherche!$C$8="",J2553=Recherche!$C$8),OR(Recherche!$C$9="",I2553=Recherche!$C$9),OR(Recherche!$C$10="",G2553&amp;""=Recherche!$C$10&amp;""),OR(Recherche!$C$11="",E2553=Recherche!$C$11),OR(Recherche!$C$12="",ISNUMBER(SEARCH(Recherche!$C$12,M2553&amp;" "&amp;F2553)))),1,0)</f>
        <v>8</v>
      </c>
    </row>
    <row r="2554" customFormat="false" ht="15" hidden="false" customHeight="false" outlineLevel="0" collapsed="false">
      <c r="A2554" s="19"/>
      <c r="B2554" s="19"/>
      <c r="C2554" s="19"/>
      <c r="D2554" s="19"/>
      <c r="E2554" s="22"/>
      <c r="F2554" s="19"/>
      <c r="G2554" s="26" t="str">
        <f aca="false">IF(D2554="","",IFERROR(VALUE(LEFT(D2554,FIND(" |",D2554&amp;" |")-1)),"?"))</f>
        <v/>
      </c>
      <c r="H2554" s="27" t="str">
        <f aca="false">IF(G2554="","",IF(G2554="?","⚠ pub inconnue",IFERROR(INDEX(Pubs!$B$2:$B$3001,MATCH(G2554,Pubs!$A$2:$A$3001,0))&amp;"","⚠ pub inconnue")))</f>
        <v/>
      </c>
      <c r="I2554" s="27" t="str">
        <f aca="false">IF(OR(G2554="",G2554="?"),"",IFERROR(INDEX(Pubs!$C$2:$C$3001,MATCH(G2554,Pubs!$A$2:$A$3001,0))&amp;"",""))</f>
        <v/>
      </c>
      <c r="J2554" s="27" t="str">
        <f aca="false">IF(OR(G2554="",G2554="?"),"",IFERROR(INDEX(Pubs!$G$2:$G$3001,MATCH(G2554,Pubs!$A$2:$A$3001,0))&amp;"",""))</f>
        <v/>
      </c>
      <c r="K2554" s="28" t="str">
        <f aca="false">IF(OR(G2554="",G2554="?"),"",IFERROR(INDEX(Pubs!$E$2:$E$3001,MATCH(G2554,Pubs!$A$2:$A$3001,0)),""))</f>
        <v/>
      </c>
      <c r="L2554" s="29" t="str">
        <f aca="false">IF(A2554="","",IFERROR(1/(1/INDEX(Numéros!$C$2:$C$3001,MATCH(A2554&amp;"|"&amp;B2554,Numéros!$F$2:$F$3001,0))),""))</f>
        <v/>
      </c>
      <c r="M2554" s="27" t="str">
        <f aca="false">IF(OR(G2554="",G2554="?"),"",IFERROR(INDEX(Pubs!$D$2:$D$3001,MATCH(G2554,Pubs!$A$2:$A$3001,0))&amp;"",""))</f>
        <v/>
      </c>
      <c r="N2554" s="27" t="n">
        <f aca="false">N(N2553)+IF(AND(A2554&lt;&gt;"",OR(Recherche!$C$4="",A2554=Recherche!$C$4),OR(Recherche!$C$5="",B2554&amp;""=Recherche!$C$5&amp;""),OR(Recherche!$C$6="",IFERROR(YEAR(L2554),0)=Recherche!$C$6),OR(Recherche!$C$7="",ISNUMBER(SEARCH(Recherche!$C$7,H2554))),OR(Recherche!$C$8="",J2554=Recherche!$C$8),OR(Recherche!$C$9="",I2554=Recherche!$C$9),OR(Recherche!$C$10="",G2554&amp;""=Recherche!$C$10&amp;""),OR(Recherche!$C$11="",E2554=Recherche!$C$11),OR(Recherche!$C$12="",ISNUMBER(SEARCH(Recherche!$C$12,M2554&amp;" "&amp;F2554)))),1,0)</f>
        <v>8</v>
      </c>
    </row>
    <row r="2555" customFormat="false" ht="15" hidden="false" customHeight="false" outlineLevel="0" collapsed="false">
      <c r="A2555" s="19"/>
      <c r="B2555" s="19"/>
      <c r="C2555" s="19"/>
      <c r="D2555" s="19"/>
      <c r="E2555" s="22"/>
      <c r="F2555" s="19"/>
      <c r="G2555" s="26" t="str">
        <f aca="false">IF(D2555="","",IFERROR(VALUE(LEFT(D2555,FIND(" |",D2555&amp;" |")-1)),"?"))</f>
        <v/>
      </c>
      <c r="H2555" s="27" t="str">
        <f aca="false">IF(G2555="","",IF(G2555="?","⚠ pub inconnue",IFERROR(INDEX(Pubs!$B$2:$B$3001,MATCH(G2555,Pubs!$A$2:$A$3001,0))&amp;"","⚠ pub inconnue")))</f>
        <v/>
      </c>
      <c r="I2555" s="27" t="str">
        <f aca="false">IF(OR(G2555="",G2555="?"),"",IFERROR(INDEX(Pubs!$C$2:$C$3001,MATCH(G2555,Pubs!$A$2:$A$3001,0))&amp;"",""))</f>
        <v/>
      </c>
      <c r="J2555" s="27" t="str">
        <f aca="false">IF(OR(G2555="",G2555="?"),"",IFERROR(INDEX(Pubs!$G$2:$G$3001,MATCH(G2555,Pubs!$A$2:$A$3001,0))&amp;"",""))</f>
        <v/>
      </c>
      <c r="K2555" s="28" t="str">
        <f aca="false">IF(OR(G2555="",G2555="?"),"",IFERROR(INDEX(Pubs!$E$2:$E$3001,MATCH(G2555,Pubs!$A$2:$A$3001,0)),""))</f>
        <v/>
      </c>
      <c r="L2555" s="29" t="str">
        <f aca="false">IF(A2555="","",IFERROR(1/(1/INDEX(Numéros!$C$2:$C$3001,MATCH(A2555&amp;"|"&amp;B2555,Numéros!$F$2:$F$3001,0))),""))</f>
        <v/>
      </c>
      <c r="M2555" s="27" t="str">
        <f aca="false">IF(OR(G2555="",G2555="?"),"",IFERROR(INDEX(Pubs!$D$2:$D$3001,MATCH(G2555,Pubs!$A$2:$A$3001,0))&amp;"",""))</f>
        <v/>
      </c>
      <c r="N2555" s="27" t="n">
        <f aca="false">N(N2554)+IF(AND(A2555&lt;&gt;"",OR(Recherche!$C$4="",A2555=Recherche!$C$4),OR(Recherche!$C$5="",B2555&amp;""=Recherche!$C$5&amp;""),OR(Recherche!$C$6="",IFERROR(YEAR(L2555),0)=Recherche!$C$6),OR(Recherche!$C$7="",ISNUMBER(SEARCH(Recherche!$C$7,H2555))),OR(Recherche!$C$8="",J2555=Recherche!$C$8),OR(Recherche!$C$9="",I2555=Recherche!$C$9),OR(Recherche!$C$10="",G2555&amp;""=Recherche!$C$10&amp;""),OR(Recherche!$C$11="",E2555=Recherche!$C$11),OR(Recherche!$C$12="",ISNUMBER(SEARCH(Recherche!$C$12,M2555&amp;" "&amp;F2555)))),1,0)</f>
        <v>8</v>
      </c>
    </row>
    <row r="2556" customFormat="false" ht="15" hidden="false" customHeight="false" outlineLevel="0" collapsed="false">
      <c r="A2556" s="19"/>
      <c r="B2556" s="19"/>
      <c r="C2556" s="19"/>
      <c r="D2556" s="19"/>
      <c r="E2556" s="22"/>
      <c r="F2556" s="19"/>
      <c r="G2556" s="26" t="str">
        <f aca="false">IF(D2556="","",IFERROR(VALUE(LEFT(D2556,FIND(" |",D2556&amp;" |")-1)),"?"))</f>
        <v/>
      </c>
      <c r="H2556" s="27" t="str">
        <f aca="false">IF(G2556="","",IF(G2556="?","⚠ pub inconnue",IFERROR(INDEX(Pubs!$B$2:$B$3001,MATCH(G2556,Pubs!$A$2:$A$3001,0))&amp;"","⚠ pub inconnue")))</f>
        <v/>
      </c>
      <c r="I2556" s="27" t="str">
        <f aca="false">IF(OR(G2556="",G2556="?"),"",IFERROR(INDEX(Pubs!$C$2:$C$3001,MATCH(G2556,Pubs!$A$2:$A$3001,0))&amp;"",""))</f>
        <v/>
      </c>
      <c r="J2556" s="27" t="str">
        <f aca="false">IF(OR(G2556="",G2556="?"),"",IFERROR(INDEX(Pubs!$G$2:$G$3001,MATCH(G2556,Pubs!$A$2:$A$3001,0))&amp;"",""))</f>
        <v/>
      </c>
      <c r="K2556" s="28" t="str">
        <f aca="false">IF(OR(G2556="",G2556="?"),"",IFERROR(INDEX(Pubs!$E$2:$E$3001,MATCH(G2556,Pubs!$A$2:$A$3001,0)),""))</f>
        <v/>
      </c>
      <c r="L2556" s="29" t="str">
        <f aca="false">IF(A2556="","",IFERROR(1/(1/INDEX(Numéros!$C$2:$C$3001,MATCH(A2556&amp;"|"&amp;B2556,Numéros!$F$2:$F$3001,0))),""))</f>
        <v/>
      </c>
      <c r="M2556" s="27" t="str">
        <f aca="false">IF(OR(G2556="",G2556="?"),"",IFERROR(INDEX(Pubs!$D$2:$D$3001,MATCH(G2556,Pubs!$A$2:$A$3001,0))&amp;"",""))</f>
        <v/>
      </c>
      <c r="N2556" s="27" t="n">
        <f aca="false">N(N2555)+IF(AND(A2556&lt;&gt;"",OR(Recherche!$C$4="",A2556=Recherche!$C$4),OR(Recherche!$C$5="",B2556&amp;""=Recherche!$C$5&amp;""),OR(Recherche!$C$6="",IFERROR(YEAR(L2556),0)=Recherche!$C$6),OR(Recherche!$C$7="",ISNUMBER(SEARCH(Recherche!$C$7,H2556))),OR(Recherche!$C$8="",J2556=Recherche!$C$8),OR(Recherche!$C$9="",I2556=Recherche!$C$9),OR(Recherche!$C$10="",G2556&amp;""=Recherche!$C$10&amp;""),OR(Recherche!$C$11="",E2556=Recherche!$C$11),OR(Recherche!$C$12="",ISNUMBER(SEARCH(Recherche!$C$12,M2556&amp;" "&amp;F2556)))),1,0)</f>
        <v>8</v>
      </c>
    </row>
    <row r="2557" customFormat="false" ht="15" hidden="false" customHeight="false" outlineLevel="0" collapsed="false">
      <c r="A2557" s="19"/>
      <c r="B2557" s="19"/>
      <c r="C2557" s="19"/>
      <c r="D2557" s="19"/>
      <c r="E2557" s="22"/>
      <c r="F2557" s="19"/>
      <c r="G2557" s="26" t="str">
        <f aca="false">IF(D2557="","",IFERROR(VALUE(LEFT(D2557,FIND(" |",D2557&amp;" |")-1)),"?"))</f>
        <v/>
      </c>
      <c r="H2557" s="27" t="str">
        <f aca="false">IF(G2557="","",IF(G2557="?","⚠ pub inconnue",IFERROR(INDEX(Pubs!$B$2:$B$3001,MATCH(G2557,Pubs!$A$2:$A$3001,0))&amp;"","⚠ pub inconnue")))</f>
        <v/>
      </c>
      <c r="I2557" s="27" t="str">
        <f aca="false">IF(OR(G2557="",G2557="?"),"",IFERROR(INDEX(Pubs!$C$2:$C$3001,MATCH(G2557,Pubs!$A$2:$A$3001,0))&amp;"",""))</f>
        <v/>
      </c>
      <c r="J2557" s="27" t="str">
        <f aca="false">IF(OR(G2557="",G2557="?"),"",IFERROR(INDEX(Pubs!$G$2:$G$3001,MATCH(G2557,Pubs!$A$2:$A$3001,0))&amp;"",""))</f>
        <v/>
      </c>
      <c r="K2557" s="28" t="str">
        <f aca="false">IF(OR(G2557="",G2557="?"),"",IFERROR(INDEX(Pubs!$E$2:$E$3001,MATCH(G2557,Pubs!$A$2:$A$3001,0)),""))</f>
        <v/>
      </c>
      <c r="L2557" s="29" t="str">
        <f aca="false">IF(A2557="","",IFERROR(1/(1/INDEX(Numéros!$C$2:$C$3001,MATCH(A2557&amp;"|"&amp;B2557,Numéros!$F$2:$F$3001,0))),""))</f>
        <v/>
      </c>
      <c r="M2557" s="27" t="str">
        <f aca="false">IF(OR(G2557="",G2557="?"),"",IFERROR(INDEX(Pubs!$D$2:$D$3001,MATCH(G2557,Pubs!$A$2:$A$3001,0))&amp;"",""))</f>
        <v/>
      </c>
      <c r="N2557" s="27" t="n">
        <f aca="false">N(N2556)+IF(AND(A2557&lt;&gt;"",OR(Recherche!$C$4="",A2557=Recherche!$C$4),OR(Recherche!$C$5="",B2557&amp;""=Recherche!$C$5&amp;""),OR(Recherche!$C$6="",IFERROR(YEAR(L2557),0)=Recherche!$C$6),OR(Recherche!$C$7="",ISNUMBER(SEARCH(Recherche!$C$7,H2557))),OR(Recherche!$C$8="",J2557=Recherche!$C$8),OR(Recherche!$C$9="",I2557=Recherche!$C$9),OR(Recherche!$C$10="",G2557&amp;""=Recherche!$C$10&amp;""),OR(Recherche!$C$11="",E2557=Recherche!$C$11),OR(Recherche!$C$12="",ISNUMBER(SEARCH(Recherche!$C$12,M2557&amp;" "&amp;F2557)))),1,0)</f>
        <v>8</v>
      </c>
    </row>
    <row r="2558" customFormat="false" ht="15" hidden="false" customHeight="false" outlineLevel="0" collapsed="false">
      <c r="A2558" s="19"/>
      <c r="B2558" s="19"/>
      <c r="C2558" s="19"/>
      <c r="D2558" s="19"/>
      <c r="E2558" s="22"/>
      <c r="F2558" s="19"/>
      <c r="G2558" s="26" t="str">
        <f aca="false">IF(D2558="","",IFERROR(VALUE(LEFT(D2558,FIND(" |",D2558&amp;" |")-1)),"?"))</f>
        <v/>
      </c>
      <c r="H2558" s="27" t="str">
        <f aca="false">IF(G2558="","",IF(G2558="?","⚠ pub inconnue",IFERROR(INDEX(Pubs!$B$2:$B$3001,MATCH(G2558,Pubs!$A$2:$A$3001,0))&amp;"","⚠ pub inconnue")))</f>
        <v/>
      </c>
      <c r="I2558" s="27" t="str">
        <f aca="false">IF(OR(G2558="",G2558="?"),"",IFERROR(INDEX(Pubs!$C$2:$C$3001,MATCH(G2558,Pubs!$A$2:$A$3001,0))&amp;"",""))</f>
        <v/>
      </c>
      <c r="J2558" s="27" t="str">
        <f aca="false">IF(OR(G2558="",G2558="?"),"",IFERROR(INDEX(Pubs!$G$2:$G$3001,MATCH(G2558,Pubs!$A$2:$A$3001,0))&amp;"",""))</f>
        <v/>
      </c>
      <c r="K2558" s="28" t="str">
        <f aca="false">IF(OR(G2558="",G2558="?"),"",IFERROR(INDEX(Pubs!$E$2:$E$3001,MATCH(G2558,Pubs!$A$2:$A$3001,0)),""))</f>
        <v/>
      </c>
      <c r="L2558" s="29" t="str">
        <f aca="false">IF(A2558="","",IFERROR(1/(1/INDEX(Numéros!$C$2:$C$3001,MATCH(A2558&amp;"|"&amp;B2558,Numéros!$F$2:$F$3001,0))),""))</f>
        <v/>
      </c>
      <c r="M2558" s="27" t="str">
        <f aca="false">IF(OR(G2558="",G2558="?"),"",IFERROR(INDEX(Pubs!$D$2:$D$3001,MATCH(G2558,Pubs!$A$2:$A$3001,0))&amp;"",""))</f>
        <v/>
      </c>
      <c r="N2558" s="27" t="n">
        <f aca="false">N(N2557)+IF(AND(A2558&lt;&gt;"",OR(Recherche!$C$4="",A2558=Recherche!$C$4),OR(Recherche!$C$5="",B2558&amp;""=Recherche!$C$5&amp;""),OR(Recherche!$C$6="",IFERROR(YEAR(L2558),0)=Recherche!$C$6),OR(Recherche!$C$7="",ISNUMBER(SEARCH(Recherche!$C$7,H2558))),OR(Recherche!$C$8="",J2558=Recherche!$C$8),OR(Recherche!$C$9="",I2558=Recherche!$C$9),OR(Recherche!$C$10="",G2558&amp;""=Recherche!$C$10&amp;""),OR(Recherche!$C$11="",E2558=Recherche!$C$11),OR(Recherche!$C$12="",ISNUMBER(SEARCH(Recherche!$C$12,M2558&amp;" "&amp;F2558)))),1,0)</f>
        <v>8</v>
      </c>
    </row>
    <row r="2559" customFormat="false" ht="15" hidden="false" customHeight="false" outlineLevel="0" collapsed="false">
      <c r="A2559" s="19"/>
      <c r="B2559" s="19"/>
      <c r="C2559" s="19"/>
      <c r="D2559" s="19"/>
      <c r="E2559" s="22"/>
      <c r="F2559" s="19"/>
      <c r="G2559" s="26" t="str">
        <f aca="false">IF(D2559="","",IFERROR(VALUE(LEFT(D2559,FIND(" |",D2559&amp;" |")-1)),"?"))</f>
        <v/>
      </c>
      <c r="H2559" s="27" t="str">
        <f aca="false">IF(G2559="","",IF(G2559="?","⚠ pub inconnue",IFERROR(INDEX(Pubs!$B$2:$B$3001,MATCH(G2559,Pubs!$A$2:$A$3001,0))&amp;"","⚠ pub inconnue")))</f>
        <v/>
      </c>
      <c r="I2559" s="27" t="str">
        <f aca="false">IF(OR(G2559="",G2559="?"),"",IFERROR(INDEX(Pubs!$C$2:$C$3001,MATCH(G2559,Pubs!$A$2:$A$3001,0))&amp;"",""))</f>
        <v/>
      </c>
      <c r="J2559" s="27" t="str">
        <f aca="false">IF(OR(G2559="",G2559="?"),"",IFERROR(INDEX(Pubs!$G$2:$G$3001,MATCH(G2559,Pubs!$A$2:$A$3001,0))&amp;"",""))</f>
        <v/>
      </c>
      <c r="K2559" s="28" t="str">
        <f aca="false">IF(OR(G2559="",G2559="?"),"",IFERROR(INDEX(Pubs!$E$2:$E$3001,MATCH(G2559,Pubs!$A$2:$A$3001,0)),""))</f>
        <v/>
      </c>
      <c r="L2559" s="29" t="str">
        <f aca="false">IF(A2559="","",IFERROR(1/(1/INDEX(Numéros!$C$2:$C$3001,MATCH(A2559&amp;"|"&amp;B2559,Numéros!$F$2:$F$3001,0))),""))</f>
        <v/>
      </c>
      <c r="M2559" s="27" t="str">
        <f aca="false">IF(OR(G2559="",G2559="?"),"",IFERROR(INDEX(Pubs!$D$2:$D$3001,MATCH(G2559,Pubs!$A$2:$A$3001,0))&amp;"",""))</f>
        <v/>
      </c>
      <c r="N2559" s="27" t="n">
        <f aca="false">N(N2558)+IF(AND(A2559&lt;&gt;"",OR(Recherche!$C$4="",A2559=Recherche!$C$4),OR(Recherche!$C$5="",B2559&amp;""=Recherche!$C$5&amp;""),OR(Recherche!$C$6="",IFERROR(YEAR(L2559),0)=Recherche!$C$6),OR(Recherche!$C$7="",ISNUMBER(SEARCH(Recherche!$C$7,H2559))),OR(Recherche!$C$8="",J2559=Recherche!$C$8),OR(Recherche!$C$9="",I2559=Recherche!$C$9),OR(Recherche!$C$10="",G2559&amp;""=Recherche!$C$10&amp;""),OR(Recherche!$C$11="",E2559=Recherche!$C$11),OR(Recherche!$C$12="",ISNUMBER(SEARCH(Recherche!$C$12,M2559&amp;" "&amp;F2559)))),1,0)</f>
        <v>8</v>
      </c>
    </row>
    <row r="2560" customFormat="false" ht="15" hidden="false" customHeight="false" outlineLevel="0" collapsed="false">
      <c r="A2560" s="19"/>
      <c r="B2560" s="19"/>
      <c r="C2560" s="19"/>
      <c r="D2560" s="19"/>
      <c r="E2560" s="22"/>
      <c r="F2560" s="19"/>
      <c r="G2560" s="26" t="str">
        <f aca="false">IF(D2560="","",IFERROR(VALUE(LEFT(D2560,FIND(" |",D2560&amp;" |")-1)),"?"))</f>
        <v/>
      </c>
      <c r="H2560" s="27" t="str">
        <f aca="false">IF(G2560="","",IF(G2560="?","⚠ pub inconnue",IFERROR(INDEX(Pubs!$B$2:$B$3001,MATCH(G2560,Pubs!$A$2:$A$3001,0))&amp;"","⚠ pub inconnue")))</f>
        <v/>
      </c>
      <c r="I2560" s="27" t="str">
        <f aca="false">IF(OR(G2560="",G2560="?"),"",IFERROR(INDEX(Pubs!$C$2:$C$3001,MATCH(G2560,Pubs!$A$2:$A$3001,0))&amp;"",""))</f>
        <v/>
      </c>
      <c r="J2560" s="27" t="str">
        <f aca="false">IF(OR(G2560="",G2560="?"),"",IFERROR(INDEX(Pubs!$G$2:$G$3001,MATCH(G2560,Pubs!$A$2:$A$3001,0))&amp;"",""))</f>
        <v/>
      </c>
      <c r="K2560" s="28" t="str">
        <f aca="false">IF(OR(G2560="",G2560="?"),"",IFERROR(INDEX(Pubs!$E$2:$E$3001,MATCH(G2560,Pubs!$A$2:$A$3001,0)),""))</f>
        <v/>
      </c>
      <c r="L2560" s="29" t="str">
        <f aca="false">IF(A2560="","",IFERROR(1/(1/INDEX(Numéros!$C$2:$C$3001,MATCH(A2560&amp;"|"&amp;B2560,Numéros!$F$2:$F$3001,0))),""))</f>
        <v/>
      </c>
      <c r="M2560" s="27" t="str">
        <f aca="false">IF(OR(G2560="",G2560="?"),"",IFERROR(INDEX(Pubs!$D$2:$D$3001,MATCH(G2560,Pubs!$A$2:$A$3001,0))&amp;"",""))</f>
        <v/>
      </c>
      <c r="N2560" s="27" t="n">
        <f aca="false">N(N2559)+IF(AND(A2560&lt;&gt;"",OR(Recherche!$C$4="",A2560=Recherche!$C$4),OR(Recherche!$C$5="",B2560&amp;""=Recherche!$C$5&amp;""),OR(Recherche!$C$6="",IFERROR(YEAR(L2560),0)=Recherche!$C$6),OR(Recherche!$C$7="",ISNUMBER(SEARCH(Recherche!$C$7,H2560))),OR(Recherche!$C$8="",J2560=Recherche!$C$8),OR(Recherche!$C$9="",I2560=Recherche!$C$9),OR(Recherche!$C$10="",G2560&amp;""=Recherche!$C$10&amp;""),OR(Recherche!$C$11="",E2560=Recherche!$C$11),OR(Recherche!$C$12="",ISNUMBER(SEARCH(Recherche!$C$12,M2560&amp;" "&amp;F2560)))),1,0)</f>
        <v>8</v>
      </c>
    </row>
    <row r="2561" customFormat="false" ht="15" hidden="false" customHeight="false" outlineLevel="0" collapsed="false">
      <c r="A2561" s="19"/>
      <c r="B2561" s="19"/>
      <c r="C2561" s="19"/>
      <c r="D2561" s="19"/>
      <c r="E2561" s="22"/>
      <c r="F2561" s="19"/>
      <c r="G2561" s="26" t="str">
        <f aca="false">IF(D2561="","",IFERROR(VALUE(LEFT(D2561,FIND(" |",D2561&amp;" |")-1)),"?"))</f>
        <v/>
      </c>
      <c r="H2561" s="27" t="str">
        <f aca="false">IF(G2561="","",IF(G2561="?","⚠ pub inconnue",IFERROR(INDEX(Pubs!$B$2:$B$3001,MATCH(G2561,Pubs!$A$2:$A$3001,0))&amp;"","⚠ pub inconnue")))</f>
        <v/>
      </c>
      <c r="I2561" s="27" t="str">
        <f aca="false">IF(OR(G2561="",G2561="?"),"",IFERROR(INDEX(Pubs!$C$2:$C$3001,MATCH(G2561,Pubs!$A$2:$A$3001,0))&amp;"",""))</f>
        <v/>
      </c>
      <c r="J2561" s="27" t="str">
        <f aca="false">IF(OR(G2561="",G2561="?"),"",IFERROR(INDEX(Pubs!$G$2:$G$3001,MATCH(G2561,Pubs!$A$2:$A$3001,0))&amp;"",""))</f>
        <v/>
      </c>
      <c r="K2561" s="28" t="str">
        <f aca="false">IF(OR(G2561="",G2561="?"),"",IFERROR(INDEX(Pubs!$E$2:$E$3001,MATCH(G2561,Pubs!$A$2:$A$3001,0)),""))</f>
        <v/>
      </c>
      <c r="L2561" s="29" t="str">
        <f aca="false">IF(A2561="","",IFERROR(1/(1/INDEX(Numéros!$C$2:$C$3001,MATCH(A2561&amp;"|"&amp;B2561,Numéros!$F$2:$F$3001,0))),""))</f>
        <v/>
      </c>
      <c r="M2561" s="27" t="str">
        <f aca="false">IF(OR(G2561="",G2561="?"),"",IFERROR(INDEX(Pubs!$D$2:$D$3001,MATCH(G2561,Pubs!$A$2:$A$3001,0))&amp;"",""))</f>
        <v/>
      </c>
      <c r="N2561" s="27" t="n">
        <f aca="false">N(N2560)+IF(AND(A2561&lt;&gt;"",OR(Recherche!$C$4="",A2561=Recherche!$C$4),OR(Recherche!$C$5="",B2561&amp;""=Recherche!$C$5&amp;""),OR(Recherche!$C$6="",IFERROR(YEAR(L2561),0)=Recherche!$C$6),OR(Recherche!$C$7="",ISNUMBER(SEARCH(Recherche!$C$7,H2561))),OR(Recherche!$C$8="",J2561=Recherche!$C$8),OR(Recherche!$C$9="",I2561=Recherche!$C$9),OR(Recherche!$C$10="",G2561&amp;""=Recherche!$C$10&amp;""),OR(Recherche!$C$11="",E2561=Recherche!$C$11),OR(Recherche!$C$12="",ISNUMBER(SEARCH(Recherche!$C$12,M2561&amp;" "&amp;F2561)))),1,0)</f>
        <v>8</v>
      </c>
    </row>
    <row r="2562" customFormat="false" ht="15" hidden="false" customHeight="false" outlineLevel="0" collapsed="false">
      <c r="A2562" s="19"/>
      <c r="B2562" s="19"/>
      <c r="C2562" s="19"/>
      <c r="D2562" s="19"/>
      <c r="E2562" s="22"/>
      <c r="F2562" s="19"/>
      <c r="G2562" s="26" t="str">
        <f aca="false">IF(D2562="","",IFERROR(VALUE(LEFT(D2562,FIND(" |",D2562&amp;" |")-1)),"?"))</f>
        <v/>
      </c>
      <c r="H2562" s="27" t="str">
        <f aca="false">IF(G2562="","",IF(G2562="?","⚠ pub inconnue",IFERROR(INDEX(Pubs!$B$2:$B$3001,MATCH(G2562,Pubs!$A$2:$A$3001,0))&amp;"","⚠ pub inconnue")))</f>
        <v/>
      </c>
      <c r="I2562" s="27" t="str">
        <f aca="false">IF(OR(G2562="",G2562="?"),"",IFERROR(INDEX(Pubs!$C$2:$C$3001,MATCH(G2562,Pubs!$A$2:$A$3001,0))&amp;"",""))</f>
        <v/>
      </c>
      <c r="J2562" s="27" t="str">
        <f aca="false">IF(OR(G2562="",G2562="?"),"",IFERROR(INDEX(Pubs!$G$2:$G$3001,MATCH(G2562,Pubs!$A$2:$A$3001,0))&amp;"",""))</f>
        <v/>
      </c>
      <c r="K2562" s="28" t="str">
        <f aca="false">IF(OR(G2562="",G2562="?"),"",IFERROR(INDEX(Pubs!$E$2:$E$3001,MATCH(G2562,Pubs!$A$2:$A$3001,0)),""))</f>
        <v/>
      </c>
      <c r="L2562" s="29" t="str">
        <f aca="false">IF(A2562="","",IFERROR(1/(1/INDEX(Numéros!$C$2:$C$3001,MATCH(A2562&amp;"|"&amp;B2562,Numéros!$F$2:$F$3001,0))),""))</f>
        <v/>
      </c>
      <c r="M2562" s="27" t="str">
        <f aca="false">IF(OR(G2562="",G2562="?"),"",IFERROR(INDEX(Pubs!$D$2:$D$3001,MATCH(G2562,Pubs!$A$2:$A$3001,0))&amp;"",""))</f>
        <v/>
      </c>
      <c r="N2562" s="27" t="n">
        <f aca="false">N(N2561)+IF(AND(A2562&lt;&gt;"",OR(Recherche!$C$4="",A2562=Recherche!$C$4),OR(Recherche!$C$5="",B2562&amp;""=Recherche!$C$5&amp;""),OR(Recherche!$C$6="",IFERROR(YEAR(L2562),0)=Recherche!$C$6),OR(Recherche!$C$7="",ISNUMBER(SEARCH(Recherche!$C$7,H2562))),OR(Recherche!$C$8="",J2562=Recherche!$C$8),OR(Recherche!$C$9="",I2562=Recherche!$C$9),OR(Recherche!$C$10="",G2562&amp;""=Recherche!$C$10&amp;""),OR(Recherche!$C$11="",E2562=Recherche!$C$11),OR(Recherche!$C$12="",ISNUMBER(SEARCH(Recherche!$C$12,M2562&amp;" "&amp;F2562)))),1,0)</f>
        <v>8</v>
      </c>
    </row>
    <row r="2563" customFormat="false" ht="15" hidden="false" customHeight="false" outlineLevel="0" collapsed="false">
      <c r="A2563" s="19"/>
      <c r="B2563" s="19"/>
      <c r="C2563" s="19"/>
      <c r="D2563" s="19"/>
      <c r="E2563" s="22"/>
      <c r="F2563" s="19"/>
      <c r="G2563" s="26" t="str">
        <f aca="false">IF(D2563="","",IFERROR(VALUE(LEFT(D2563,FIND(" |",D2563&amp;" |")-1)),"?"))</f>
        <v/>
      </c>
      <c r="H2563" s="27" t="str">
        <f aca="false">IF(G2563="","",IF(G2563="?","⚠ pub inconnue",IFERROR(INDEX(Pubs!$B$2:$B$3001,MATCH(G2563,Pubs!$A$2:$A$3001,0))&amp;"","⚠ pub inconnue")))</f>
        <v/>
      </c>
      <c r="I2563" s="27" t="str">
        <f aca="false">IF(OR(G2563="",G2563="?"),"",IFERROR(INDEX(Pubs!$C$2:$C$3001,MATCH(G2563,Pubs!$A$2:$A$3001,0))&amp;"",""))</f>
        <v/>
      </c>
      <c r="J2563" s="27" t="str">
        <f aca="false">IF(OR(G2563="",G2563="?"),"",IFERROR(INDEX(Pubs!$G$2:$G$3001,MATCH(G2563,Pubs!$A$2:$A$3001,0))&amp;"",""))</f>
        <v/>
      </c>
      <c r="K2563" s="28" t="str">
        <f aca="false">IF(OR(G2563="",G2563="?"),"",IFERROR(INDEX(Pubs!$E$2:$E$3001,MATCH(G2563,Pubs!$A$2:$A$3001,0)),""))</f>
        <v/>
      </c>
      <c r="L2563" s="29" t="str">
        <f aca="false">IF(A2563="","",IFERROR(1/(1/INDEX(Numéros!$C$2:$C$3001,MATCH(A2563&amp;"|"&amp;B2563,Numéros!$F$2:$F$3001,0))),""))</f>
        <v/>
      </c>
      <c r="M2563" s="27" t="str">
        <f aca="false">IF(OR(G2563="",G2563="?"),"",IFERROR(INDEX(Pubs!$D$2:$D$3001,MATCH(G2563,Pubs!$A$2:$A$3001,0))&amp;"",""))</f>
        <v/>
      </c>
      <c r="N2563" s="27" t="n">
        <f aca="false">N(N2562)+IF(AND(A2563&lt;&gt;"",OR(Recherche!$C$4="",A2563=Recherche!$C$4),OR(Recherche!$C$5="",B2563&amp;""=Recherche!$C$5&amp;""),OR(Recherche!$C$6="",IFERROR(YEAR(L2563),0)=Recherche!$C$6),OR(Recherche!$C$7="",ISNUMBER(SEARCH(Recherche!$C$7,H2563))),OR(Recherche!$C$8="",J2563=Recherche!$C$8),OR(Recherche!$C$9="",I2563=Recherche!$C$9),OR(Recherche!$C$10="",G2563&amp;""=Recherche!$C$10&amp;""),OR(Recherche!$C$11="",E2563=Recherche!$C$11),OR(Recherche!$C$12="",ISNUMBER(SEARCH(Recherche!$C$12,M2563&amp;" "&amp;F2563)))),1,0)</f>
        <v>8</v>
      </c>
    </row>
    <row r="2564" customFormat="false" ht="15" hidden="false" customHeight="false" outlineLevel="0" collapsed="false">
      <c r="A2564" s="19"/>
      <c r="B2564" s="19"/>
      <c r="C2564" s="19"/>
      <c r="D2564" s="19"/>
      <c r="E2564" s="22"/>
      <c r="F2564" s="19"/>
      <c r="G2564" s="26" t="str">
        <f aca="false">IF(D2564="","",IFERROR(VALUE(LEFT(D2564,FIND(" |",D2564&amp;" |")-1)),"?"))</f>
        <v/>
      </c>
      <c r="H2564" s="27" t="str">
        <f aca="false">IF(G2564="","",IF(G2564="?","⚠ pub inconnue",IFERROR(INDEX(Pubs!$B$2:$B$3001,MATCH(G2564,Pubs!$A$2:$A$3001,0))&amp;"","⚠ pub inconnue")))</f>
        <v/>
      </c>
      <c r="I2564" s="27" t="str">
        <f aca="false">IF(OR(G2564="",G2564="?"),"",IFERROR(INDEX(Pubs!$C$2:$C$3001,MATCH(G2564,Pubs!$A$2:$A$3001,0))&amp;"",""))</f>
        <v/>
      </c>
      <c r="J2564" s="27" t="str">
        <f aca="false">IF(OR(G2564="",G2564="?"),"",IFERROR(INDEX(Pubs!$G$2:$G$3001,MATCH(G2564,Pubs!$A$2:$A$3001,0))&amp;"",""))</f>
        <v/>
      </c>
      <c r="K2564" s="28" t="str">
        <f aca="false">IF(OR(G2564="",G2564="?"),"",IFERROR(INDEX(Pubs!$E$2:$E$3001,MATCH(G2564,Pubs!$A$2:$A$3001,0)),""))</f>
        <v/>
      </c>
      <c r="L2564" s="29" t="str">
        <f aca="false">IF(A2564="","",IFERROR(1/(1/INDEX(Numéros!$C$2:$C$3001,MATCH(A2564&amp;"|"&amp;B2564,Numéros!$F$2:$F$3001,0))),""))</f>
        <v/>
      </c>
      <c r="M2564" s="27" t="str">
        <f aca="false">IF(OR(G2564="",G2564="?"),"",IFERROR(INDEX(Pubs!$D$2:$D$3001,MATCH(G2564,Pubs!$A$2:$A$3001,0))&amp;"",""))</f>
        <v/>
      </c>
      <c r="N2564" s="27" t="n">
        <f aca="false">N(N2563)+IF(AND(A2564&lt;&gt;"",OR(Recherche!$C$4="",A2564=Recherche!$C$4),OR(Recherche!$C$5="",B2564&amp;""=Recherche!$C$5&amp;""),OR(Recherche!$C$6="",IFERROR(YEAR(L2564),0)=Recherche!$C$6),OR(Recherche!$C$7="",ISNUMBER(SEARCH(Recherche!$C$7,H2564))),OR(Recherche!$C$8="",J2564=Recherche!$C$8),OR(Recherche!$C$9="",I2564=Recherche!$C$9),OR(Recherche!$C$10="",G2564&amp;""=Recherche!$C$10&amp;""),OR(Recherche!$C$11="",E2564=Recherche!$C$11),OR(Recherche!$C$12="",ISNUMBER(SEARCH(Recherche!$C$12,M2564&amp;" "&amp;F2564)))),1,0)</f>
        <v>8</v>
      </c>
    </row>
    <row r="2565" customFormat="false" ht="15" hidden="false" customHeight="false" outlineLevel="0" collapsed="false">
      <c r="A2565" s="19"/>
      <c r="B2565" s="19"/>
      <c r="C2565" s="19"/>
      <c r="D2565" s="19"/>
      <c r="E2565" s="22"/>
      <c r="F2565" s="19"/>
      <c r="G2565" s="26" t="str">
        <f aca="false">IF(D2565="","",IFERROR(VALUE(LEFT(D2565,FIND(" |",D2565&amp;" |")-1)),"?"))</f>
        <v/>
      </c>
      <c r="H2565" s="27" t="str">
        <f aca="false">IF(G2565="","",IF(G2565="?","⚠ pub inconnue",IFERROR(INDEX(Pubs!$B$2:$B$3001,MATCH(G2565,Pubs!$A$2:$A$3001,0))&amp;"","⚠ pub inconnue")))</f>
        <v/>
      </c>
      <c r="I2565" s="27" t="str">
        <f aca="false">IF(OR(G2565="",G2565="?"),"",IFERROR(INDEX(Pubs!$C$2:$C$3001,MATCH(G2565,Pubs!$A$2:$A$3001,0))&amp;"",""))</f>
        <v/>
      </c>
      <c r="J2565" s="27" t="str">
        <f aca="false">IF(OR(G2565="",G2565="?"),"",IFERROR(INDEX(Pubs!$G$2:$G$3001,MATCH(G2565,Pubs!$A$2:$A$3001,0))&amp;"",""))</f>
        <v/>
      </c>
      <c r="K2565" s="28" t="str">
        <f aca="false">IF(OR(G2565="",G2565="?"),"",IFERROR(INDEX(Pubs!$E$2:$E$3001,MATCH(G2565,Pubs!$A$2:$A$3001,0)),""))</f>
        <v/>
      </c>
      <c r="L2565" s="29" t="str">
        <f aca="false">IF(A2565="","",IFERROR(1/(1/INDEX(Numéros!$C$2:$C$3001,MATCH(A2565&amp;"|"&amp;B2565,Numéros!$F$2:$F$3001,0))),""))</f>
        <v/>
      </c>
      <c r="M2565" s="27" t="str">
        <f aca="false">IF(OR(G2565="",G2565="?"),"",IFERROR(INDEX(Pubs!$D$2:$D$3001,MATCH(G2565,Pubs!$A$2:$A$3001,0))&amp;"",""))</f>
        <v/>
      </c>
      <c r="N2565" s="27" t="n">
        <f aca="false">N(N2564)+IF(AND(A2565&lt;&gt;"",OR(Recherche!$C$4="",A2565=Recherche!$C$4),OR(Recherche!$C$5="",B2565&amp;""=Recherche!$C$5&amp;""),OR(Recherche!$C$6="",IFERROR(YEAR(L2565),0)=Recherche!$C$6),OR(Recherche!$C$7="",ISNUMBER(SEARCH(Recherche!$C$7,H2565))),OR(Recherche!$C$8="",J2565=Recherche!$C$8),OR(Recherche!$C$9="",I2565=Recherche!$C$9),OR(Recherche!$C$10="",G2565&amp;""=Recherche!$C$10&amp;""),OR(Recherche!$C$11="",E2565=Recherche!$C$11),OR(Recherche!$C$12="",ISNUMBER(SEARCH(Recherche!$C$12,M2565&amp;" "&amp;F2565)))),1,0)</f>
        <v>8</v>
      </c>
    </row>
    <row r="2566" customFormat="false" ht="15" hidden="false" customHeight="false" outlineLevel="0" collapsed="false">
      <c r="A2566" s="19"/>
      <c r="B2566" s="19"/>
      <c r="C2566" s="19"/>
      <c r="D2566" s="19"/>
      <c r="E2566" s="22"/>
      <c r="F2566" s="19"/>
      <c r="G2566" s="26" t="str">
        <f aca="false">IF(D2566="","",IFERROR(VALUE(LEFT(D2566,FIND(" |",D2566&amp;" |")-1)),"?"))</f>
        <v/>
      </c>
      <c r="H2566" s="27" t="str">
        <f aca="false">IF(G2566="","",IF(G2566="?","⚠ pub inconnue",IFERROR(INDEX(Pubs!$B$2:$B$3001,MATCH(G2566,Pubs!$A$2:$A$3001,0))&amp;"","⚠ pub inconnue")))</f>
        <v/>
      </c>
      <c r="I2566" s="27" t="str">
        <f aca="false">IF(OR(G2566="",G2566="?"),"",IFERROR(INDEX(Pubs!$C$2:$C$3001,MATCH(G2566,Pubs!$A$2:$A$3001,0))&amp;"",""))</f>
        <v/>
      </c>
      <c r="J2566" s="27" t="str">
        <f aca="false">IF(OR(G2566="",G2566="?"),"",IFERROR(INDEX(Pubs!$G$2:$G$3001,MATCH(G2566,Pubs!$A$2:$A$3001,0))&amp;"",""))</f>
        <v/>
      </c>
      <c r="K2566" s="28" t="str">
        <f aca="false">IF(OR(G2566="",G2566="?"),"",IFERROR(INDEX(Pubs!$E$2:$E$3001,MATCH(G2566,Pubs!$A$2:$A$3001,0)),""))</f>
        <v/>
      </c>
      <c r="L2566" s="29" t="str">
        <f aca="false">IF(A2566="","",IFERROR(1/(1/INDEX(Numéros!$C$2:$C$3001,MATCH(A2566&amp;"|"&amp;B2566,Numéros!$F$2:$F$3001,0))),""))</f>
        <v/>
      </c>
      <c r="M2566" s="27" t="str">
        <f aca="false">IF(OR(G2566="",G2566="?"),"",IFERROR(INDEX(Pubs!$D$2:$D$3001,MATCH(G2566,Pubs!$A$2:$A$3001,0))&amp;"",""))</f>
        <v/>
      </c>
      <c r="N2566" s="27" t="n">
        <f aca="false">N(N2565)+IF(AND(A2566&lt;&gt;"",OR(Recherche!$C$4="",A2566=Recherche!$C$4),OR(Recherche!$C$5="",B2566&amp;""=Recherche!$C$5&amp;""),OR(Recherche!$C$6="",IFERROR(YEAR(L2566),0)=Recherche!$C$6),OR(Recherche!$C$7="",ISNUMBER(SEARCH(Recherche!$C$7,H2566))),OR(Recherche!$C$8="",J2566=Recherche!$C$8),OR(Recherche!$C$9="",I2566=Recherche!$C$9),OR(Recherche!$C$10="",G2566&amp;""=Recherche!$C$10&amp;""),OR(Recherche!$C$11="",E2566=Recherche!$C$11),OR(Recherche!$C$12="",ISNUMBER(SEARCH(Recherche!$C$12,M2566&amp;" "&amp;F2566)))),1,0)</f>
        <v>8</v>
      </c>
    </row>
    <row r="2567" customFormat="false" ht="15" hidden="false" customHeight="false" outlineLevel="0" collapsed="false">
      <c r="A2567" s="19"/>
      <c r="B2567" s="19"/>
      <c r="C2567" s="19"/>
      <c r="D2567" s="19"/>
      <c r="E2567" s="22"/>
      <c r="F2567" s="19"/>
      <c r="G2567" s="26" t="str">
        <f aca="false">IF(D2567="","",IFERROR(VALUE(LEFT(D2567,FIND(" |",D2567&amp;" |")-1)),"?"))</f>
        <v/>
      </c>
      <c r="H2567" s="27" t="str">
        <f aca="false">IF(G2567="","",IF(G2567="?","⚠ pub inconnue",IFERROR(INDEX(Pubs!$B$2:$B$3001,MATCH(G2567,Pubs!$A$2:$A$3001,0))&amp;"","⚠ pub inconnue")))</f>
        <v/>
      </c>
      <c r="I2567" s="27" t="str">
        <f aca="false">IF(OR(G2567="",G2567="?"),"",IFERROR(INDEX(Pubs!$C$2:$C$3001,MATCH(G2567,Pubs!$A$2:$A$3001,0))&amp;"",""))</f>
        <v/>
      </c>
      <c r="J2567" s="27" t="str">
        <f aca="false">IF(OR(G2567="",G2567="?"),"",IFERROR(INDEX(Pubs!$G$2:$G$3001,MATCH(G2567,Pubs!$A$2:$A$3001,0))&amp;"",""))</f>
        <v/>
      </c>
      <c r="K2567" s="28" t="str">
        <f aca="false">IF(OR(G2567="",G2567="?"),"",IFERROR(INDEX(Pubs!$E$2:$E$3001,MATCH(G2567,Pubs!$A$2:$A$3001,0)),""))</f>
        <v/>
      </c>
      <c r="L2567" s="29" t="str">
        <f aca="false">IF(A2567="","",IFERROR(1/(1/INDEX(Numéros!$C$2:$C$3001,MATCH(A2567&amp;"|"&amp;B2567,Numéros!$F$2:$F$3001,0))),""))</f>
        <v/>
      </c>
      <c r="M2567" s="27" t="str">
        <f aca="false">IF(OR(G2567="",G2567="?"),"",IFERROR(INDEX(Pubs!$D$2:$D$3001,MATCH(G2567,Pubs!$A$2:$A$3001,0))&amp;"",""))</f>
        <v/>
      </c>
      <c r="N2567" s="27" t="n">
        <f aca="false">N(N2566)+IF(AND(A2567&lt;&gt;"",OR(Recherche!$C$4="",A2567=Recherche!$C$4),OR(Recherche!$C$5="",B2567&amp;""=Recherche!$C$5&amp;""),OR(Recherche!$C$6="",IFERROR(YEAR(L2567),0)=Recherche!$C$6),OR(Recherche!$C$7="",ISNUMBER(SEARCH(Recherche!$C$7,H2567))),OR(Recherche!$C$8="",J2567=Recherche!$C$8),OR(Recherche!$C$9="",I2567=Recherche!$C$9),OR(Recherche!$C$10="",G2567&amp;""=Recherche!$C$10&amp;""),OR(Recherche!$C$11="",E2567=Recherche!$C$11),OR(Recherche!$C$12="",ISNUMBER(SEARCH(Recherche!$C$12,M2567&amp;" "&amp;F2567)))),1,0)</f>
        <v>8</v>
      </c>
    </row>
    <row r="2568" customFormat="false" ht="15" hidden="false" customHeight="false" outlineLevel="0" collapsed="false">
      <c r="A2568" s="19"/>
      <c r="B2568" s="19"/>
      <c r="C2568" s="19"/>
      <c r="D2568" s="19"/>
      <c r="E2568" s="22"/>
      <c r="F2568" s="19"/>
      <c r="G2568" s="26" t="str">
        <f aca="false">IF(D2568="","",IFERROR(VALUE(LEFT(D2568,FIND(" |",D2568&amp;" |")-1)),"?"))</f>
        <v/>
      </c>
      <c r="H2568" s="27" t="str">
        <f aca="false">IF(G2568="","",IF(G2568="?","⚠ pub inconnue",IFERROR(INDEX(Pubs!$B$2:$B$3001,MATCH(G2568,Pubs!$A$2:$A$3001,0))&amp;"","⚠ pub inconnue")))</f>
        <v/>
      </c>
      <c r="I2568" s="27" t="str">
        <f aca="false">IF(OR(G2568="",G2568="?"),"",IFERROR(INDEX(Pubs!$C$2:$C$3001,MATCH(G2568,Pubs!$A$2:$A$3001,0))&amp;"",""))</f>
        <v/>
      </c>
      <c r="J2568" s="27" t="str">
        <f aca="false">IF(OR(G2568="",G2568="?"),"",IFERROR(INDEX(Pubs!$G$2:$G$3001,MATCH(G2568,Pubs!$A$2:$A$3001,0))&amp;"",""))</f>
        <v/>
      </c>
      <c r="K2568" s="28" t="str">
        <f aca="false">IF(OR(G2568="",G2568="?"),"",IFERROR(INDEX(Pubs!$E$2:$E$3001,MATCH(G2568,Pubs!$A$2:$A$3001,0)),""))</f>
        <v/>
      </c>
      <c r="L2568" s="29" t="str">
        <f aca="false">IF(A2568="","",IFERROR(1/(1/INDEX(Numéros!$C$2:$C$3001,MATCH(A2568&amp;"|"&amp;B2568,Numéros!$F$2:$F$3001,0))),""))</f>
        <v/>
      </c>
      <c r="M2568" s="27" t="str">
        <f aca="false">IF(OR(G2568="",G2568="?"),"",IFERROR(INDEX(Pubs!$D$2:$D$3001,MATCH(G2568,Pubs!$A$2:$A$3001,0))&amp;"",""))</f>
        <v/>
      </c>
      <c r="N2568" s="27" t="n">
        <f aca="false">N(N2567)+IF(AND(A2568&lt;&gt;"",OR(Recherche!$C$4="",A2568=Recherche!$C$4),OR(Recherche!$C$5="",B2568&amp;""=Recherche!$C$5&amp;""),OR(Recherche!$C$6="",IFERROR(YEAR(L2568),0)=Recherche!$C$6),OR(Recherche!$C$7="",ISNUMBER(SEARCH(Recherche!$C$7,H2568))),OR(Recherche!$C$8="",J2568=Recherche!$C$8),OR(Recherche!$C$9="",I2568=Recherche!$C$9),OR(Recherche!$C$10="",G2568&amp;""=Recherche!$C$10&amp;""),OR(Recherche!$C$11="",E2568=Recherche!$C$11),OR(Recherche!$C$12="",ISNUMBER(SEARCH(Recherche!$C$12,M2568&amp;" "&amp;F2568)))),1,0)</f>
        <v>8</v>
      </c>
    </row>
    <row r="2569" customFormat="false" ht="15" hidden="false" customHeight="false" outlineLevel="0" collapsed="false">
      <c r="A2569" s="19"/>
      <c r="B2569" s="19"/>
      <c r="C2569" s="19"/>
      <c r="D2569" s="19"/>
      <c r="E2569" s="22"/>
      <c r="F2569" s="19"/>
      <c r="G2569" s="26" t="str">
        <f aca="false">IF(D2569="","",IFERROR(VALUE(LEFT(D2569,FIND(" |",D2569&amp;" |")-1)),"?"))</f>
        <v/>
      </c>
      <c r="H2569" s="27" t="str">
        <f aca="false">IF(G2569="","",IF(G2569="?","⚠ pub inconnue",IFERROR(INDEX(Pubs!$B$2:$B$3001,MATCH(G2569,Pubs!$A$2:$A$3001,0))&amp;"","⚠ pub inconnue")))</f>
        <v/>
      </c>
      <c r="I2569" s="27" t="str">
        <f aca="false">IF(OR(G2569="",G2569="?"),"",IFERROR(INDEX(Pubs!$C$2:$C$3001,MATCH(G2569,Pubs!$A$2:$A$3001,0))&amp;"",""))</f>
        <v/>
      </c>
      <c r="J2569" s="27" t="str">
        <f aca="false">IF(OR(G2569="",G2569="?"),"",IFERROR(INDEX(Pubs!$G$2:$G$3001,MATCH(G2569,Pubs!$A$2:$A$3001,0))&amp;"",""))</f>
        <v/>
      </c>
      <c r="K2569" s="28" t="str">
        <f aca="false">IF(OR(G2569="",G2569="?"),"",IFERROR(INDEX(Pubs!$E$2:$E$3001,MATCH(G2569,Pubs!$A$2:$A$3001,0)),""))</f>
        <v/>
      </c>
      <c r="L2569" s="29" t="str">
        <f aca="false">IF(A2569="","",IFERROR(1/(1/INDEX(Numéros!$C$2:$C$3001,MATCH(A2569&amp;"|"&amp;B2569,Numéros!$F$2:$F$3001,0))),""))</f>
        <v/>
      </c>
      <c r="M2569" s="27" t="str">
        <f aca="false">IF(OR(G2569="",G2569="?"),"",IFERROR(INDEX(Pubs!$D$2:$D$3001,MATCH(G2569,Pubs!$A$2:$A$3001,0))&amp;"",""))</f>
        <v/>
      </c>
      <c r="N2569" s="27" t="n">
        <f aca="false">N(N2568)+IF(AND(A2569&lt;&gt;"",OR(Recherche!$C$4="",A2569=Recherche!$C$4),OR(Recherche!$C$5="",B2569&amp;""=Recherche!$C$5&amp;""),OR(Recherche!$C$6="",IFERROR(YEAR(L2569),0)=Recherche!$C$6),OR(Recherche!$C$7="",ISNUMBER(SEARCH(Recherche!$C$7,H2569))),OR(Recherche!$C$8="",J2569=Recherche!$C$8),OR(Recherche!$C$9="",I2569=Recherche!$C$9),OR(Recherche!$C$10="",G2569&amp;""=Recherche!$C$10&amp;""),OR(Recherche!$C$11="",E2569=Recherche!$C$11),OR(Recherche!$C$12="",ISNUMBER(SEARCH(Recherche!$C$12,M2569&amp;" "&amp;F2569)))),1,0)</f>
        <v>8</v>
      </c>
    </row>
    <row r="2570" customFormat="false" ht="15" hidden="false" customHeight="false" outlineLevel="0" collapsed="false">
      <c r="A2570" s="19"/>
      <c r="B2570" s="19"/>
      <c r="C2570" s="19"/>
      <c r="D2570" s="19"/>
      <c r="E2570" s="22"/>
      <c r="F2570" s="19"/>
      <c r="G2570" s="26" t="str">
        <f aca="false">IF(D2570="","",IFERROR(VALUE(LEFT(D2570,FIND(" |",D2570&amp;" |")-1)),"?"))</f>
        <v/>
      </c>
      <c r="H2570" s="27" t="str">
        <f aca="false">IF(G2570="","",IF(G2570="?","⚠ pub inconnue",IFERROR(INDEX(Pubs!$B$2:$B$3001,MATCH(G2570,Pubs!$A$2:$A$3001,0))&amp;"","⚠ pub inconnue")))</f>
        <v/>
      </c>
      <c r="I2570" s="27" t="str">
        <f aca="false">IF(OR(G2570="",G2570="?"),"",IFERROR(INDEX(Pubs!$C$2:$C$3001,MATCH(G2570,Pubs!$A$2:$A$3001,0))&amp;"",""))</f>
        <v/>
      </c>
      <c r="J2570" s="27" t="str">
        <f aca="false">IF(OR(G2570="",G2570="?"),"",IFERROR(INDEX(Pubs!$G$2:$G$3001,MATCH(G2570,Pubs!$A$2:$A$3001,0))&amp;"",""))</f>
        <v/>
      </c>
      <c r="K2570" s="28" t="str">
        <f aca="false">IF(OR(G2570="",G2570="?"),"",IFERROR(INDEX(Pubs!$E$2:$E$3001,MATCH(G2570,Pubs!$A$2:$A$3001,0)),""))</f>
        <v/>
      </c>
      <c r="L2570" s="29" t="str">
        <f aca="false">IF(A2570="","",IFERROR(1/(1/INDEX(Numéros!$C$2:$C$3001,MATCH(A2570&amp;"|"&amp;B2570,Numéros!$F$2:$F$3001,0))),""))</f>
        <v/>
      </c>
      <c r="M2570" s="27" t="str">
        <f aca="false">IF(OR(G2570="",G2570="?"),"",IFERROR(INDEX(Pubs!$D$2:$D$3001,MATCH(G2570,Pubs!$A$2:$A$3001,0))&amp;"",""))</f>
        <v/>
      </c>
      <c r="N2570" s="27" t="n">
        <f aca="false">N(N2569)+IF(AND(A2570&lt;&gt;"",OR(Recherche!$C$4="",A2570=Recherche!$C$4),OR(Recherche!$C$5="",B2570&amp;""=Recherche!$C$5&amp;""),OR(Recherche!$C$6="",IFERROR(YEAR(L2570),0)=Recherche!$C$6),OR(Recherche!$C$7="",ISNUMBER(SEARCH(Recherche!$C$7,H2570))),OR(Recherche!$C$8="",J2570=Recherche!$C$8),OR(Recherche!$C$9="",I2570=Recherche!$C$9),OR(Recherche!$C$10="",G2570&amp;""=Recherche!$C$10&amp;""),OR(Recherche!$C$11="",E2570=Recherche!$C$11),OR(Recherche!$C$12="",ISNUMBER(SEARCH(Recherche!$C$12,M2570&amp;" "&amp;F2570)))),1,0)</f>
        <v>8</v>
      </c>
    </row>
    <row r="2571" customFormat="false" ht="15" hidden="false" customHeight="false" outlineLevel="0" collapsed="false">
      <c r="A2571" s="19"/>
      <c r="B2571" s="19"/>
      <c r="C2571" s="19"/>
      <c r="D2571" s="19"/>
      <c r="E2571" s="22"/>
      <c r="F2571" s="19"/>
      <c r="G2571" s="26" t="str">
        <f aca="false">IF(D2571="","",IFERROR(VALUE(LEFT(D2571,FIND(" |",D2571&amp;" |")-1)),"?"))</f>
        <v/>
      </c>
      <c r="H2571" s="27" t="str">
        <f aca="false">IF(G2571="","",IF(G2571="?","⚠ pub inconnue",IFERROR(INDEX(Pubs!$B$2:$B$3001,MATCH(G2571,Pubs!$A$2:$A$3001,0))&amp;"","⚠ pub inconnue")))</f>
        <v/>
      </c>
      <c r="I2571" s="27" t="str">
        <f aca="false">IF(OR(G2571="",G2571="?"),"",IFERROR(INDEX(Pubs!$C$2:$C$3001,MATCH(G2571,Pubs!$A$2:$A$3001,0))&amp;"",""))</f>
        <v/>
      </c>
      <c r="J2571" s="27" t="str">
        <f aca="false">IF(OR(G2571="",G2571="?"),"",IFERROR(INDEX(Pubs!$G$2:$G$3001,MATCH(G2571,Pubs!$A$2:$A$3001,0))&amp;"",""))</f>
        <v/>
      </c>
      <c r="K2571" s="28" t="str">
        <f aca="false">IF(OR(G2571="",G2571="?"),"",IFERROR(INDEX(Pubs!$E$2:$E$3001,MATCH(G2571,Pubs!$A$2:$A$3001,0)),""))</f>
        <v/>
      </c>
      <c r="L2571" s="29" t="str">
        <f aca="false">IF(A2571="","",IFERROR(1/(1/INDEX(Numéros!$C$2:$C$3001,MATCH(A2571&amp;"|"&amp;B2571,Numéros!$F$2:$F$3001,0))),""))</f>
        <v/>
      </c>
      <c r="M2571" s="27" t="str">
        <f aca="false">IF(OR(G2571="",G2571="?"),"",IFERROR(INDEX(Pubs!$D$2:$D$3001,MATCH(G2571,Pubs!$A$2:$A$3001,0))&amp;"",""))</f>
        <v/>
      </c>
      <c r="N2571" s="27" t="n">
        <f aca="false">N(N2570)+IF(AND(A2571&lt;&gt;"",OR(Recherche!$C$4="",A2571=Recherche!$C$4),OR(Recherche!$C$5="",B2571&amp;""=Recherche!$C$5&amp;""),OR(Recherche!$C$6="",IFERROR(YEAR(L2571),0)=Recherche!$C$6),OR(Recherche!$C$7="",ISNUMBER(SEARCH(Recherche!$C$7,H2571))),OR(Recherche!$C$8="",J2571=Recherche!$C$8),OR(Recherche!$C$9="",I2571=Recherche!$C$9),OR(Recherche!$C$10="",G2571&amp;""=Recherche!$C$10&amp;""),OR(Recherche!$C$11="",E2571=Recherche!$C$11),OR(Recherche!$C$12="",ISNUMBER(SEARCH(Recherche!$C$12,M2571&amp;" "&amp;F2571)))),1,0)</f>
        <v>8</v>
      </c>
    </row>
    <row r="2572" customFormat="false" ht="15" hidden="false" customHeight="false" outlineLevel="0" collapsed="false">
      <c r="A2572" s="19"/>
      <c r="B2572" s="19"/>
      <c r="C2572" s="19"/>
      <c r="D2572" s="19"/>
      <c r="E2572" s="22"/>
      <c r="F2572" s="19"/>
      <c r="G2572" s="26" t="str">
        <f aca="false">IF(D2572="","",IFERROR(VALUE(LEFT(D2572,FIND(" |",D2572&amp;" |")-1)),"?"))</f>
        <v/>
      </c>
      <c r="H2572" s="27" t="str">
        <f aca="false">IF(G2572="","",IF(G2572="?","⚠ pub inconnue",IFERROR(INDEX(Pubs!$B$2:$B$3001,MATCH(G2572,Pubs!$A$2:$A$3001,0))&amp;"","⚠ pub inconnue")))</f>
        <v/>
      </c>
      <c r="I2572" s="27" t="str">
        <f aca="false">IF(OR(G2572="",G2572="?"),"",IFERROR(INDEX(Pubs!$C$2:$C$3001,MATCH(G2572,Pubs!$A$2:$A$3001,0))&amp;"",""))</f>
        <v/>
      </c>
      <c r="J2572" s="27" t="str">
        <f aca="false">IF(OR(G2572="",G2572="?"),"",IFERROR(INDEX(Pubs!$G$2:$G$3001,MATCH(G2572,Pubs!$A$2:$A$3001,0))&amp;"",""))</f>
        <v/>
      </c>
      <c r="K2572" s="28" t="str">
        <f aca="false">IF(OR(G2572="",G2572="?"),"",IFERROR(INDEX(Pubs!$E$2:$E$3001,MATCH(G2572,Pubs!$A$2:$A$3001,0)),""))</f>
        <v/>
      </c>
      <c r="L2572" s="29" t="str">
        <f aca="false">IF(A2572="","",IFERROR(1/(1/INDEX(Numéros!$C$2:$C$3001,MATCH(A2572&amp;"|"&amp;B2572,Numéros!$F$2:$F$3001,0))),""))</f>
        <v/>
      </c>
      <c r="M2572" s="27" t="str">
        <f aca="false">IF(OR(G2572="",G2572="?"),"",IFERROR(INDEX(Pubs!$D$2:$D$3001,MATCH(G2572,Pubs!$A$2:$A$3001,0))&amp;"",""))</f>
        <v/>
      </c>
      <c r="N2572" s="27" t="n">
        <f aca="false">N(N2571)+IF(AND(A2572&lt;&gt;"",OR(Recherche!$C$4="",A2572=Recherche!$C$4),OR(Recherche!$C$5="",B2572&amp;""=Recherche!$C$5&amp;""),OR(Recherche!$C$6="",IFERROR(YEAR(L2572),0)=Recherche!$C$6),OR(Recherche!$C$7="",ISNUMBER(SEARCH(Recherche!$C$7,H2572))),OR(Recherche!$C$8="",J2572=Recherche!$C$8),OR(Recherche!$C$9="",I2572=Recherche!$C$9),OR(Recherche!$C$10="",G2572&amp;""=Recherche!$C$10&amp;""),OR(Recherche!$C$11="",E2572=Recherche!$C$11),OR(Recherche!$C$12="",ISNUMBER(SEARCH(Recherche!$C$12,M2572&amp;" "&amp;F2572)))),1,0)</f>
        <v>8</v>
      </c>
    </row>
    <row r="2573" customFormat="false" ht="15" hidden="false" customHeight="false" outlineLevel="0" collapsed="false">
      <c r="A2573" s="19"/>
      <c r="B2573" s="19"/>
      <c r="C2573" s="19"/>
      <c r="D2573" s="19"/>
      <c r="E2573" s="22"/>
      <c r="F2573" s="19"/>
      <c r="G2573" s="26" t="str">
        <f aca="false">IF(D2573="","",IFERROR(VALUE(LEFT(D2573,FIND(" |",D2573&amp;" |")-1)),"?"))</f>
        <v/>
      </c>
      <c r="H2573" s="27" t="str">
        <f aca="false">IF(G2573="","",IF(G2573="?","⚠ pub inconnue",IFERROR(INDEX(Pubs!$B$2:$B$3001,MATCH(G2573,Pubs!$A$2:$A$3001,0))&amp;"","⚠ pub inconnue")))</f>
        <v/>
      </c>
      <c r="I2573" s="27" t="str">
        <f aca="false">IF(OR(G2573="",G2573="?"),"",IFERROR(INDEX(Pubs!$C$2:$C$3001,MATCH(G2573,Pubs!$A$2:$A$3001,0))&amp;"",""))</f>
        <v/>
      </c>
      <c r="J2573" s="27" t="str">
        <f aca="false">IF(OR(G2573="",G2573="?"),"",IFERROR(INDEX(Pubs!$G$2:$G$3001,MATCH(G2573,Pubs!$A$2:$A$3001,0))&amp;"",""))</f>
        <v/>
      </c>
      <c r="K2573" s="28" t="str">
        <f aca="false">IF(OR(G2573="",G2573="?"),"",IFERROR(INDEX(Pubs!$E$2:$E$3001,MATCH(G2573,Pubs!$A$2:$A$3001,0)),""))</f>
        <v/>
      </c>
      <c r="L2573" s="29" t="str">
        <f aca="false">IF(A2573="","",IFERROR(1/(1/INDEX(Numéros!$C$2:$C$3001,MATCH(A2573&amp;"|"&amp;B2573,Numéros!$F$2:$F$3001,0))),""))</f>
        <v/>
      </c>
      <c r="M2573" s="27" t="str">
        <f aca="false">IF(OR(G2573="",G2573="?"),"",IFERROR(INDEX(Pubs!$D$2:$D$3001,MATCH(G2573,Pubs!$A$2:$A$3001,0))&amp;"",""))</f>
        <v/>
      </c>
      <c r="N2573" s="27" t="n">
        <f aca="false">N(N2572)+IF(AND(A2573&lt;&gt;"",OR(Recherche!$C$4="",A2573=Recherche!$C$4),OR(Recherche!$C$5="",B2573&amp;""=Recherche!$C$5&amp;""),OR(Recherche!$C$6="",IFERROR(YEAR(L2573),0)=Recherche!$C$6),OR(Recherche!$C$7="",ISNUMBER(SEARCH(Recherche!$C$7,H2573))),OR(Recherche!$C$8="",J2573=Recherche!$C$8),OR(Recherche!$C$9="",I2573=Recherche!$C$9),OR(Recherche!$C$10="",G2573&amp;""=Recherche!$C$10&amp;""),OR(Recherche!$C$11="",E2573=Recherche!$C$11),OR(Recherche!$C$12="",ISNUMBER(SEARCH(Recherche!$C$12,M2573&amp;" "&amp;F2573)))),1,0)</f>
        <v>8</v>
      </c>
    </row>
    <row r="2574" customFormat="false" ht="15" hidden="false" customHeight="false" outlineLevel="0" collapsed="false">
      <c r="A2574" s="19"/>
      <c r="B2574" s="19"/>
      <c r="C2574" s="19"/>
      <c r="D2574" s="19"/>
      <c r="E2574" s="22"/>
      <c r="F2574" s="19"/>
      <c r="G2574" s="26" t="str">
        <f aca="false">IF(D2574="","",IFERROR(VALUE(LEFT(D2574,FIND(" |",D2574&amp;" |")-1)),"?"))</f>
        <v/>
      </c>
      <c r="H2574" s="27" t="str">
        <f aca="false">IF(G2574="","",IF(G2574="?","⚠ pub inconnue",IFERROR(INDEX(Pubs!$B$2:$B$3001,MATCH(G2574,Pubs!$A$2:$A$3001,0))&amp;"","⚠ pub inconnue")))</f>
        <v/>
      </c>
      <c r="I2574" s="27" t="str">
        <f aca="false">IF(OR(G2574="",G2574="?"),"",IFERROR(INDEX(Pubs!$C$2:$C$3001,MATCH(G2574,Pubs!$A$2:$A$3001,0))&amp;"",""))</f>
        <v/>
      </c>
      <c r="J2574" s="27" t="str">
        <f aca="false">IF(OR(G2574="",G2574="?"),"",IFERROR(INDEX(Pubs!$G$2:$G$3001,MATCH(G2574,Pubs!$A$2:$A$3001,0))&amp;"",""))</f>
        <v/>
      </c>
      <c r="K2574" s="28" t="str">
        <f aca="false">IF(OR(G2574="",G2574="?"),"",IFERROR(INDEX(Pubs!$E$2:$E$3001,MATCH(G2574,Pubs!$A$2:$A$3001,0)),""))</f>
        <v/>
      </c>
      <c r="L2574" s="29" t="str">
        <f aca="false">IF(A2574="","",IFERROR(1/(1/INDEX(Numéros!$C$2:$C$3001,MATCH(A2574&amp;"|"&amp;B2574,Numéros!$F$2:$F$3001,0))),""))</f>
        <v/>
      </c>
      <c r="M2574" s="27" t="str">
        <f aca="false">IF(OR(G2574="",G2574="?"),"",IFERROR(INDEX(Pubs!$D$2:$D$3001,MATCH(G2574,Pubs!$A$2:$A$3001,0))&amp;"",""))</f>
        <v/>
      </c>
      <c r="N2574" s="27" t="n">
        <f aca="false">N(N2573)+IF(AND(A2574&lt;&gt;"",OR(Recherche!$C$4="",A2574=Recherche!$C$4),OR(Recherche!$C$5="",B2574&amp;""=Recherche!$C$5&amp;""),OR(Recherche!$C$6="",IFERROR(YEAR(L2574),0)=Recherche!$C$6),OR(Recherche!$C$7="",ISNUMBER(SEARCH(Recherche!$C$7,H2574))),OR(Recherche!$C$8="",J2574=Recherche!$C$8),OR(Recherche!$C$9="",I2574=Recherche!$C$9),OR(Recherche!$C$10="",G2574&amp;""=Recherche!$C$10&amp;""),OR(Recherche!$C$11="",E2574=Recherche!$C$11),OR(Recherche!$C$12="",ISNUMBER(SEARCH(Recherche!$C$12,M2574&amp;" "&amp;F2574)))),1,0)</f>
        <v>8</v>
      </c>
    </row>
    <row r="2575" customFormat="false" ht="15" hidden="false" customHeight="false" outlineLevel="0" collapsed="false">
      <c r="A2575" s="19"/>
      <c r="B2575" s="19"/>
      <c r="C2575" s="19"/>
      <c r="D2575" s="19"/>
      <c r="E2575" s="22"/>
      <c r="F2575" s="19"/>
      <c r="G2575" s="26" t="str">
        <f aca="false">IF(D2575="","",IFERROR(VALUE(LEFT(D2575,FIND(" |",D2575&amp;" |")-1)),"?"))</f>
        <v/>
      </c>
      <c r="H2575" s="27" t="str">
        <f aca="false">IF(G2575="","",IF(G2575="?","⚠ pub inconnue",IFERROR(INDEX(Pubs!$B$2:$B$3001,MATCH(G2575,Pubs!$A$2:$A$3001,0))&amp;"","⚠ pub inconnue")))</f>
        <v/>
      </c>
      <c r="I2575" s="27" t="str">
        <f aca="false">IF(OR(G2575="",G2575="?"),"",IFERROR(INDEX(Pubs!$C$2:$C$3001,MATCH(G2575,Pubs!$A$2:$A$3001,0))&amp;"",""))</f>
        <v/>
      </c>
      <c r="J2575" s="27" t="str">
        <f aca="false">IF(OR(G2575="",G2575="?"),"",IFERROR(INDEX(Pubs!$G$2:$G$3001,MATCH(G2575,Pubs!$A$2:$A$3001,0))&amp;"",""))</f>
        <v/>
      </c>
      <c r="K2575" s="28" t="str">
        <f aca="false">IF(OR(G2575="",G2575="?"),"",IFERROR(INDEX(Pubs!$E$2:$E$3001,MATCH(G2575,Pubs!$A$2:$A$3001,0)),""))</f>
        <v/>
      </c>
      <c r="L2575" s="29" t="str">
        <f aca="false">IF(A2575="","",IFERROR(1/(1/INDEX(Numéros!$C$2:$C$3001,MATCH(A2575&amp;"|"&amp;B2575,Numéros!$F$2:$F$3001,0))),""))</f>
        <v/>
      </c>
      <c r="M2575" s="27" t="str">
        <f aca="false">IF(OR(G2575="",G2575="?"),"",IFERROR(INDEX(Pubs!$D$2:$D$3001,MATCH(G2575,Pubs!$A$2:$A$3001,0))&amp;"",""))</f>
        <v/>
      </c>
      <c r="N2575" s="27" t="n">
        <f aca="false">N(N2574)+IF(AND(A2575&lt;&gt;"",OR(Recherche!$C$4="",A2575=Recherche!$C$4),OR(Recherche!$C$5="",B2575&amp;""=Recherche!$C$5&amp;""),OR(Recherche!$C$6="",IFERROR(YEAR(L2575),0)=Recherche!$C$6),OR(Recherche!$C$7="",ISNUMBER(SEARCH(Recherche!$C$7,H2575))),OR(Recherche!$C$8="",J2575=Recherche!$C$8),OR(Recherche!$C$9="",I2575=Recherche!$C$9),OR(Recherche!$C$10="",G2575&amp;""=Recherche!$C$10&amp;""),OR(Recherche!$C$11="",E2575=Recherche!$C$11),OR(Recherche!$C$12="",ISNUMBER(SEARCH(Recherche!$C$12,M2575&amp;" "&amp;F2575)))),1,0)</f>
        <v>8</v>
      </c>
    </row>
    <row r="2576" customFormat="false" ht="15" hidden="false" customHeight="false" outlineLevel="0" collapsed="false">
      <c r="A2576" s="19"/>
      <c r="B2576" s="19"/>
      <c r="C2576" s="19"/>
      <c r="D2576" s="19"/>
      <c r="E2576" s="22"/>
      <c r="F2576" s="19"/>
      <c r="G2576" s="26" t="str">
        <f aca="false">IF(D2576="","",IFERROR(VALUE(LEFT(D2576,FIND(" |",D2576&amp;" |")-1)),"?"))</f>
        <v/>
      </c>
      <c r="H2576" s="27" t="str">
        <f aca="false">IF(G2576="","",IF(G2576="?","⚠ pub inconnue",IFERROR(INDEX(Pubs!$B$2:$B$3001,MATCH(G2576,Pubs!$A$2:$A$3001,0))&amp;"","⚠ pub inconnue")))</f>
        <v/>
      </c>
      <c r="I2576" s="27" t="str">
        <f aca="false">IF(OR(G2576="",G2576="?"),"",IFERROR(INDEX(Pubs!$C$2:$C$3001,MATCH(G2576,Pubs!$A$2:$A$3001,0))&amp;"",""))</f>
        <v/>
      </c>
      <c r="J2576" s="27" t="str">
        <f aca="false">IF(OR(G2576="",G2576="?"),"",IFERROR(INDEX(Pubs!$G$2:$G$3001,MATCH(G2576,Pubs!$A$2:$A$3001,0))&amp;"",""))</f>
        <v/>
      </c>
      <c r="K2576" s="28" t="str">
        <f aca="false">IF(OR(G2576="",G2576="?"),"",IFERROR(INDEX(Pubs!$E$2:$E$3001,MATCH(G2576,Pubs!$A$2:$A$3001,0)),""))</f>
        <v/>
      </c>
      <c r="L2576" s="29" t="str">
        <f aca="false">IF(A2576="","",IFERROR(1/(1/INDEX(Numéros!$C$2:$C$3001,MATCH(A2576&amp;"|"&amp;B2576,Numéros!$F$2:$F$3001,0))),""))</f>
        <v/>
      </c>
      <c r="M2576" s="27" t="str">
        <f aca="false">IF(OR(G2576="",G2576="?"),"",IFERROR(INDEX(Pubs!$D$2:$D$3001,MATCH(G2576,Pubs!$A$2:$A$3001,0))&amp;"",""))</f>
        <v/>
      </c>
      <c r="N2576" s="27" t="n">
        <f aca="false">N(N2575)+IF(AND(A2576&lt;&gt;"",OR(Recherche!$C$4="",A2576=Recherche!$C$4),OR(Recherche!$C$5="",B2576&amp;""=Recherche!$C$5&amp;""),OR(Recherche!$C$6="",IFERROR(YEAR(L2576),0)=Recherche!$C$6),OR(Recherche!$C$7="",ISNUMBER(SEARCH(Recherche!$C$7,H2576))),OR(Recherche!$C$8="",J2576=Recherche!$C$8),OR(Recherche!$C$9="",I2576=Recherche!$C$9),OR(Recherche!$C$10="",G2576&amp;""=Recherche!$C$10&amp;""),OR(Recherche!$C$11="",E2576=Recherche!$C$11),OR(Recherche!$C$12="",ISNUMBER(SEARCH(Recherche!$C$12,M2576&amp;" "&amp;F2576)))),1,0)</f>
        <v>8</v>
      </c>
    </row>
    <row r="2577" customFormat="false" ht="15" hidden="false" customHeight="false" outlineLevel="0" collapsed="false">
      <c r="A2577" s="19"/>
      <c r="B2577" s="19"/>
      <c r="C2577" s="19"/>
      <c r="D2577" s="19"/>
      <c r="E2577" s="22"/>
      <c r="F2577" s="19"/>
      <c r="G2577" s="26" t="str">
        <f aca="false">IF(D2577="","",IFERROR(VALUE(LEFT(D2577,FIND(" |",D2577&amp;" |")-1)),"?"))</f>
        <v/>
      </c>
      <c r="H2577" s="27" t="str">
        <f aca="false">IF(G2577="","",IF(G2577="?","⚠ pub inconnue",IFERROR(INDEX(Pubs!$B$2:$B$3001,MATCH(G2577,Pubs!$A$2:$A$3001,0))&amp;"","⚠ pub inconnue")))</f>
        <v/>
      </c>
      <c r="I2577" s="27" t="str">
        <f aca="false">IF(OR(G2577="",G2577="?"),"",IFERROR(INDEX(Pubs!$C$2:$C$3001,MATCH(G2577,Pubs!$A$2:$A$3001,0))&amp;"",""))</f>
        <v/>
      </c>
      <c r="J2577" s="27" t="str">
        <f aca="false">IF(OR(G2577="",G2577="?"),"",IFERROR(INDEX(Pubs!$G$2:$G$3001,MATCH(G2577,Pubs!$A$2:$A$3001,0))&amp;"",""))</f>
        <v/>
      </c>
      <c r="K2577" s="28" t="str">
        <f aca="false">IF(OR(G2577="",G2577="?"),"",IFERROR(INDEX(Pubs!$E$2:$E$3001,MATCH(G2577,Pubs!$A$2:$A$3001,0)),""))</f>
        <v/>
      </c>
      <c r="L2577" s="29" t="str">
        <f aca="false">IF(A2577="","",IFERROR(1/(1/INDEX(Numéros!$C$2:$C$3001,MATCH(A2577&amp;"|"&amp;B2577,Numéros!$F$2:$F$3001,0))),""))</f>
        <v/>
      </c>
      <c r="M2577" s="27" t="str">
        <f aca="false">IF(OR(G2577="",G2577="?"),"",IFERROR(INDEX(Pubs!$D$2:$D$3001,MATCH(G2577,Pubs!$A$2:$A$3001,0))&amp;"",""))</f>
        <v/>
      </c>
      <c r="N2577" s="27" t="n">
        <f aca="false">N(N2576)+IF(AND(A2577&lt;&gt;"",OR(Recherche!$C$4="",A2577=Recherche!$C$4),OR(Recherche!$C$5="",B2577&amp;""=Recherche!$C$5&amp;""),OR(Recherche!$C$6="",IFERROR(YEAR(L2577),0)=Recherche!$C$6),OR(Recherche!$C$7="",ISNUMBER(SEARCH(Recherche!$C$7,H2577))),OR(Recherche!$C$8="",J2577=Recherche!$C$8),OR(Recherche!$C$9="",I2577=Recherche!$C$9),OR(Recherche!$C$10="",G2577&amp;""=Recherche!$C$10&amp;""),OR(Recherche!$C$11="",E2577=Recherche!$C$11),OR(Recherche!$C$12="",ISNUMBER(SEARCH(Recherche!$C$12,M2577&amp;" "&amp;F2577)))),1,0)</f>
        <v>8</v>
      </c>
    </row>
    <row r="2578" customFormat="false" ht="15" hidden="false" customHeight="false" outlineLevel="0" collapsed="false">
      <c r="A2578" s="19"/>
      <c r="B2578" s="19"/>
      <c r="C2578" s="19"/>
      <c r="D2578" s="19"/>
      <c r="E2578" s="22"/>
      <c r="F2578" s="19"/>
      <c r="G2578" s="26" t="str">
        <f aca="false">IF(D2578="","",IFERROR(VALUE(LEFT(D2578,FIND(" |",D2578&amp;" |")-1)),"?"))</f>
        <v/>
      </c>
      <c r="H2578" s="27" t="str">
        <f aca="false">IF(G2578="","",IF(G2578="?","⚠ pub inconnue",IFERROR(INDEX(Pubs!$B$2:$B$3001,MATCH(G2578,Pubs!$A$2:$A$3001,0))&amp;"","⚠ pub inconnue")))</f>
        <v/>
      </c>
      <c r="I2578" s="27" t="str">
        <f aca="false">IF(OR(G2578="",G2578="?"),"",IFERROR(INDEX(Pubs!$C$2:$C$3001,MATCH(G2578,Pubs!$A$2:$A$3001,0))&amp;"",""))</f>
        <v/>
      </c>
      <c r="J2578" s="27" t="str">
        <f aca="false">IF(OR(G2578="",G2578="?"),"",IFERROR(INDEX(Pubs!$G$2:$G$3001,MATCH(G2578,Pubs!$A$2:$A$3001,0))&amp;"",""))</f>
        <v/>
      </c>
      <c r="K2578" s="28" t="str">
        <f aca="false">IF(OR(G2578="",G2578="?"),"",IFERROR(INDEX(Pubs!$E$2:$E$3001,MATCH(G2578,Pubs!$A$2:$A$3001,0)),""))</f>
        <v/>
      </c>
      <c r="L2578" s="29" t="str">
        <f aca="false">IF(A2578="","",IFERROR(1/(1/INDEX(Numéros!$C$2:$C$3001,MATCH(A2578&amp;"|"&amp;B2578,Numéros!$F$2:$F$3001,0))),""))</f>
        <v/>
      </c>
      <c r="M2578" s="27" t="str">
        <f aca="false">IF(OR(G2578="",G2578="?"),"",IFERROR(INDEX(Pubs!$D$2:$D$3001,MATCH(G2578,Pubs!$A$2:$A$3001,0))&amp;"",""))</f>
        <v/>
      </c>
      <c r="N2578" s="27" t="n">
        <f aca="false">N(N2577)+IF(AND(A2578&lt;&gt;"",OR(Recherche!$C$4="",A2578=Recherche!$C$4),OR(Recherche!$C$5="",B2578&amp;""=Recherche!$C$5&amp;""),OR(Recherche!$C$6="",IFERROR(YEAR(L2578),0)=Recherche!$C$6),OR(Recherche!$C$7="",ISNUMBER(SEARCH(Recherche!$C$7,H2578))),OR(Recherche!$C$8="",J2578=Recherche!$C$8),OR(Recherche!$C$9="",I2578=Recherche!$C$9),OR(Recherche!$C$10="",G2578&amp;""=Recherche!$C$10&amp;""),OR(Recherche!$C$11="",E2578=Recherche!$C$11),OR(Recherche!$C$12="",ISNUMBER(SEARCH(Recherche!$C$12,M2578&amp;" "&amp;F2578)))),1,0)</f>
        <v>8</v>
      </c>
    </row>
    <row r="2579" customFormat="false" ht="15" hidden="false" customHeight="false" outlineLevel="0" collapsed="false">
      <c r="A2579" s="19"/>
      <c r="B2579" s="19"/>
      <c r="C2579" s="19"/>
      <c r="D2579" s="19"/>
      <c r="E2579" s="22"/>
      <c r="F2579" s="19"/>
      <c r="G2579" s="26" t="str">
        <f aca="false">IF(D2579="","",IFERROR(VALUE(LEFT(D2579,FIND(" |",D2579&amp;" |")-1)),"?"))</f>
        <v/>
      </c>
      <c r="H2579" s="27" t="str">
        <f aca="false">IF(G2579="","",IF(G2579="?","⚠ pub inconnue",IFERROR(INDEX(Pubs!$B$2:$B$3001,MATCH(G2579,Pubs!$A$2:$A$3001,0))&amp;"","⚠ pub inconnue")))</f>
        <v/>
      </c>
      <c r="I2579" s="27" t="str">
        <f aca="false">IF(OR(G2579="",G2579="?"),"",IFERROR(INDEX(Pubs!$C$2:$C$3001,MATCH(G2579,Pubs!$A$2:$A$3001,0))&amp;"",""))</f>
        <v/>
      </c>
      <c r="J2579" s="27" t="str">
        <f aca="false">IF(OR(G2579="",G2579="?"),"",IFERROR(INDEX(Pubs!$G$2:$G$3001,MATCH(G2579,Pubs!$A$2:$A$3001,0))&amp;"",""))</f>
        <v/>
      </c>
      <c r="K2579" s="28" t="str">
        <f aca="false">IF(OR(G2579="",G2579="?"),"",IFERROR(INDEX(Pubs!$E$2:$E$3001,MATCH(G2579,Pubs!$A$2:$A$3001,0)),""))</f>
        <v/>
      </c>
      <c r="L2579" s="29" t="str">
        <f aca="false">IF(A2579="","",IFERROR(1/(1/INDEX(Numéros!$C$2:$C$3001,MATCH(A2579&amp;"|"&amp;B2579,Numéros!$F$2:$F$3001,0))),""))</f>
        <v/>
      </c>
      <c r="M2579" s="27" t="str">
        <f aca="false">IF(OR(G2579="",G2579="?"),"",IFERROR(INDEX(Pubs!$D$2:$D$3001,MATCH(G2579,Pubs!$A$2:$A$3001,0))&amp;"",""))</f>
        <v/>
      </c>
      <c r="N2579" s="27" t="n">
        <f aca="false">N(N2578)+IF(AND(A2579&lt;&gt;"",OR(Recherche!$C$4="",A2579=Recherche!$C$4),OR(Recherche!$C$5="",B2579&amp;""=Recherche!$C$5&amp;""),OR(Recherche!$C$6="",IFERROR(YEAR(L2579),0)=Recherche!$C$6),OR(Recherche!$C$7="",ISNUMBER(SEARCH(Recherche!$C$7,H2579))),OR(Recherche!$C$8="",J2579=Recherche!$C$8),OR(Recherche!$C$9="",I2579=Recherche!$C$9),OR(Recherche!$C$10="",G2579&amp;""=Recherche!$C$10&amp;""),OR(Recherche!$C$11="",E2579=Recherche!$C$11),OR(Recherche!$C$12="",ISNUMBER(SEARCH(Recherche!$C$12,M2579&amp;" "&amp;F2579)))),1,0)</f>
        <v>8</v>
      </c>
    </row>
    <row r="2580" customFormat="false" ht="15" hidden="false" customHeight="false" outlineLevel="0" collapsed="false">
      <c r="A2580" s="19"/>
      <c r="B2580" s="19"/>
      <c r="C2580" s="19"/>
      <c r="D2580" s="19"/>
      <c r="E2580" s="22"/>
      <c r="F2580" s="19"/>
      <c r="G2580" s="26" t="str">
        <f aca="false">IF(D2580="","",IFERROR(VALUE(LEFT(D2580,FIND(" |",D2580&amp;" |")-1)),"?"))</f>
        <v/>
      </c>
      <c r="H2580" s="27" t="str">
        <f aca="false">IF(G2580="","",IF(G2580="?","⚠ pub inconnue",IFERROR(INDEX(Pubs!$B$2:$B$3001,MATCH(G2580,Pubs!$A$2:$A$3001,0))&amp;"","⚠ pub inconnue")))</f>
        <v/>
      </c>
      <c r="I2580" s="27" t="str">
        <f aca="false">IF(OR(G2580="",G2580="?"),"",IFERROR(INDEX(Pubs!$C$2:$C$3001,MATCH(G2580,Pubs!$A$2:$A$3001,0))&amp;"",""))</f>
        <v/>
      </c>
      <c r="J2580" s="27" t="str">
        <f aca="false">IF(OR(G2580="",G2580="?"),"",IFERROR(INDEX(Pubs!$G$2:$G$3001,MATCH(G2580,Pubs!$A$2:$A$3001,0))&amp;"",""))</f>
        <v/>
      </c>
      <c r="K2580" s="28" t="str">
        <f aca="false">IF(OR(G2580="",G2580="?"),"",IFERROR(INDEX(Pubs!$E$2:$E$3001,MATCH(G2580,Pubs!$A$2:$A$3001,0)),""))</f>
        <v/>
      </c>
      <c r="L2580" s="29" t="str">
        <f aca="false">IF(A2580="","",IFERROR(1/(1/INDEX(Numéros!$C$2:$C$3001,MATCH(A2580&amp;"|"&amp;B2580,Numéros!$F$2:$F$3001,0))),""))</f>
        <v/>
      </c>
      <c r="M2580" s="27" t="str">
        <f aca="false">IF(OR(G2580="",G2580="?"),"",IFERROR(INDEX(Pubs!$D$2:$D$3001,MATCH(G2580,Pubs!$A$2:$A$3001,0))&amp;"",""))</f>
        <v/>
      </c>
      <c r="N2580" s="27" t="n">
        <f aca="false">N(N2579)+IF(AND(A2580&lt;&gt;"",OR(Recherche!$C$4="",A2580=Recherche!$C$4),OR(Recherche!$C$5="",B2580&amp;""=Recherche!$C$5&amp;""),OR(Recherche!$C$6="",IFERROR(YEAR(L2580),0)=Recherche!$C$6),OR(Recherche!$C$7="",ISNUMBER(SEARCH(Recherche!$C$7,H2580))),OR(Recherche!$C$8="",J2580=Recherche!$C$8),OR(Recherche!$C$9="",I2580=Recherche!$C$9),OR(Recherche!$C$10="",G2580&amp;""=Recherche!$C$10&amp;""),OR(Recherche!$C$11="",E2580=Recherche!$C$11),OR(Recherche!$C$12="",ISNUMBER(SEARCH(Recherche!$C$12,M2580&amp;" "&amp;F2580)))),1,0)</f>
        <v>8</v>
      </c>
    </row>
    <row r="2581" customFormat="false" ht="15" hidden="false" customHeight="false" outlineLevel="0" collapsed="false">
      <c r="A2581" s="19"/>
      <c r="B2581" s="19"/>
      <c r="C2581" s="19"/>
      <c r="D2581" s="19"/>
      <c r="E2581" s="22"/>
      <c r="F2581" s="19"/>
      <c r="G2581" s="26" t="str">
        <f aca="false">IF(D2581="","",IFERROR(VALUE(LEFT(D2581,FIND(" |",D2581&amp;" |")-1)),"?"))</f>
        <v/>
      </c>
      <c r="H2581" s="27" t="str">
        <f aca="false">IF(G2581="","",IF(G2581="?","⚠ pub inconnue",IFERROR(INDEX(Pubs!$B$2:$B$3001,MATCH(G2581,Pubs!$A$2:$A$3001,0))&amp;"","⚠ pub inconnue")))</f>
        <v/>
      </c>
      <c r="I2581" s="27" t="str">
        <f aca="false">IF(OR(G2581="",G2581="?"),"",IFERROR(INDEX(Pubs!$C$2:$C$3001,MATCH(G2581,Pubs!$A$2:$A$3001,0))&amp;"",""))</f>
        <v/>
      </c>
      <c r="J2581" s="27" t="str">
        <f aca="false">IF(OR(G2581="",G2581="?"),"",IFERROR(INDEX(Pubs!$G$2:$G$3001,MATCH(G2581,Pubs!$A$2:$A$3001,0))&amp;"",""))</f>
        <v/>
      </c>
      <c r="K2581" s="28" t="str">
        <f aca="false">IF(OR(G2581="",G2581="?"),"",IFERROR(INDEX(Pubs!$E$2:$E$3001,MATCH(G2581,Pubs!$A$2:$A$3001,0)),""))</f>
        <v/>
      </c>
      <c r="L2581" s="29" t="str">
        <f aca="false">IF(A2581="","",IFERROR(1/(1/INDEX(Numéros!$C$2:$C$3001,MATCH(A2581&amp;"|"&amp;B2581,Numéros!$F$2:$F$3001,0))),""))</f>
        <v/>
      </c>
      <c r="M2581" s="27" t="str">
        <f aca="false">IF(OR(G2581="",G2581="?"),"",IFERROR(INDEX(Pubs!$D$2:$D$3001,MATCH(G2581,Pubs!$A$2:$A$3001,0))&amp;"",""))</f>
        <v/>
      </c>
      <c r="N2581" s="27" t="n">
        <f aca="false">N(N2580)+IF(AND(A2581&lt;&gt;"",OR(Recherche!$C$4="",A2581=Recherche!$C$4),OR(Recherche!$C$5="",B2581&amp;""=Recherche!$C$5&amp;""),OR(Recherche!$C$6="",IFERROR(YEAR(L2581),0)=Recherche!$C$6),OR(Recherche!$C$7="",ISNUMBER(SEARCH(Recherche!$C$7,H2581))),OR(Recherche!$C$8="",J2581=Recherche!$C$8),OR(Recherche!$C$9="",I2581=Recherche!$C$9),OR(Recherche!$C$10="",G2581&amp;""=Recherche!$C$10&amp;""),OR(Recherche!$C$11="",E2581=Recherche!$C$11),OR(Recherche!$C$12="",ISNUMBER(SEARCH(Recherche!$C$12,M2581&amp;" "&amp;F2581)))),1,0)</f>
        <v>8</v>
      </c>
    </row>
    <row r="2582" customFormat="false" ht="15" hidden="false" customHeight="false" outlineLevel="0" collapsed="false">
      <c r="A2582" s="19"/>
      <c r="B2582" s="19"/>
      <c r="C2582" s="19"/>
      <c r="D2582" s="19"/>
      <c r="E2582" s="22"/>
      <c r="F2582" s="19"/>
      <c r="G2582" s="26" t="str">
        <f aca="false">IF(D2582="","",IFERROR(VALUE(LEFT(D2582,FIND(" |",D2582&amp;" |")-1)),"?"))</f>
        <v/>
      </c>
      <c r="H2582" s="27" t="str">
        <f aca="false">IF(G2582="","",IF(G2582="?","⚠ pub inconnue",IFERROR(INDEX(Pubs!$B$2:$B$3001,MATCH(G2582,Pubs!$A$2:$A$3001,0))&amp;"","⚠ pub inconnue")))</f>
        <v/>
      </c>
      <c r="I2582" s="27" t="str">
        <f aca="false">IF(OR(G2582="",G2582="?"),"",IFERROR(INDEX(Pubs!$C$2:$C$3001,MATCH(G2582,Pubs!$A$2:$A$3001,0))&amp;"",""))</f>
        <v/>
      </c>
      <c r="J2582" s="27" t="str">
        <f aca="false">IF(OR(G2582="",G2582="?"),"",IFERROR(INDEX(Pubs!$G$2:$G$3001,MATCH(G2582,Pubs!$A$2:$A$3001,0))&amp;"",""))</f>
        <v/>
      </c>
      <c r="K2582" s="28" t="str">
        <f aca="false">IF(OR(G2582="",G2582="?"),"",IFERROR(INDEX(Pubs!$E$2:$E$3001,MATCH(G2582,Pubs!$A$2:$A$3001,0)),""))</f>
        <v/>
      </c>
      <c r="L2582" s="29" t="str">
        <f aca="false">IF(A2582="","",IFERROR(1/(1/INDEX(Numéros!$C$2:$C$3001,MATCH(A2582&amp;"|"&amp;B2582,Numéros!$F$2:$F$3001,0))),""))</f>
        <v/>
      </c>
      <c r="M2582" s="27" t="str">
        <f aca="false">IF(OR(G2582="",G2582="?"),"",IFERROR(INDEX(Pubs!$D$2:$D$3001,MATCH(G2582,Pubs!$A$2:$A$3001,0))&amp;"",""))</f>
        <v/>
      </c>
      <c r="N2582" s="27" t="n">
        <f aca="false">N(N2581)+IF(AND(A2582&lt;&gt;"",OR(Recherche!$C$4="",A2582=Recherche!$C$4),OR(Recherche!$C$5="",B2582&amp;""=Recherche!$C$5&amp;""),OR(Recherche!$C$6="",IFERROR(YEAR(L2582),0)=Recherche!$C$6),OR(Recherche!$C$7="",ISNUMBER(SEARCH(Recherche!$C$7,H2582))),OR(Recherche!$C$8="",J2582=Recherche!$C$8),OR(Recherche!$C$9="",I2582=Recherche!$C$9),OR(Recherche!$C$10="",G2582&amp;""=Recherche!$C$10&amp;""),OR(Recherche!$C$11="",E2582=Recherche!$C$11),OR(Recherche!$C$12="",ISNUMBER(SEARCH(Recherche!$C$12,M2582&amp;" "&amp;F2582)))),1,0)</f>
        <v>8</v>
      </c>
    </row>
    <row r="2583" customFormat="false" ht="15" hidden="false" customHeight="false" outlineLevel="0" collapsed="false">
      <c r="A2583" s="19"/>
      <c r="B2583" s="19"/>
      <c r="C2583" s="19"/>
      <c r="D2583" s="19"/>
      <c r="E2583" s="22"/>
      <c r="F2583" s="19"/>
      <c r="G2583" s="26" t="str">
        <f aca="false">IF(D2583="","",IFERROR(VALUE(LEFT(D2583,FIND(" |",D2583&amp;" |")-1)),"?"))</f>
        <v/>
      </c>
      <c r="H2583" s="27" t="str">
        <f aca="false">IF(G2583="","",IF(G2583="?","⚠ pub inconnue",IFERROR(INDEX(Pubs!$B$2:$B$3001,MATCH(G2583,Pubs!$A$2:$A$3001,0))&amp;"","⚠ pub inconnue")))</f>
        <v/>
      </c>
      <c r="I2583" s="27" t="str">
        <f aca="false">IF(OR(G2583="",G2583="?"),"",IFERROR(INDEX(Pubs!$C$2:$C$3001,MATCH(G2583,Pubs!$A$2:$A$3001,0))&amp;"",""))</f>
        <v/>
      </c>
      <c r="J2583" s="27" t="str">
        <f aca="false">IF(OR(G2583="",G2583="?"),"",IFERROR(INDEX(Pubs!$G$2:$G$3001,MATCH(G2583,Pubs!$A$2:$A$3001,0))&amp;"",""))</f>
        <v/>
      </c>
      <c r="K2583" s="28" t="str">
        <f aca="false">IF(OR(G2583="",G2583="?"),"",IFERROR(INDEX(Pubs!$E$2:$E$3001,MATCH(G2583,Pubs!$A$2:$A$3001,0)),""))</f>
        <v/>
      </c>
      <c r="L2583" s="29" t="str">
        <f aca="false">IF(A2583="","",IFERROR(1/(1/INDEX(Numéros!$C$2:$C$3001,MATCH(A2583&amp;"|"&amp;B2583,Numéros!$F$2:$F$3001,0))),""))</f>
        <v/>
      </c>
      <c r="M2583" s="27" t="str">
        <f aca="false">IF(OR(G2583="",G2583="?"),"",IFERROR(INDEX(Pubs!$D$2:$D$3001,MATCH(G2583,Pubs!$A$2:$A$3001,0))&amp;"",""))</f>
        <v/>
      </c>
      <c r="N2583" s="27" t="n">
        <f aca="false">N(N2582)+IF(AND(A2583&lt;&gt;"",OR(Recherche!$C$4="",A2583=Recherche!$C$4),OR(Recherche!$C$5="",B2583&amp;""=Recherche!$C$5&amp;""),OR(Recherche!$C$6="",IFERROR(YEAR(L2583),0)=Recherche!$C$6),OR(Recherche!$C$7="",ISNUMBER(SEARCH(Recherche!$C$7,H2583))),OR(Recherche!$C$8="",J2583=Recherche!$C$8),OR(Recherche!$C$9="",I2583=Recherche!$C$9),OR(Recherche!$C$10="",G2583&amp;""=Recherche!$C$10&amp;""),OR(Recherche!$C$11="",E2583=Recherche!$C$11),OR(Recherche!$C$12="",ISNUMBER(SEARCH(Recherche!$C$12,M2583&amp;" "&amp;F2583)))),1,0)</f>
        <v>8</v>
      </c>
    </row>
    <row r="2584" customFormat="false" ht="15" hidden="false" customHeight="false" outlineLevel="0" collapsed="false">
      <c r="A2584" s="19"/>
      <c r="B2584" s="19"/>
      <c r="C2584" s="19"/>
      <c r="D2584" s="19"/>
      <c r="E2584" s="22"/>
      <c r="F2584" s="19"/>
      <c r="G2584" s="26" t="str">
        <f aca="false">IF(D2584="","",IFERROR(VALUE(LEFT(D2584,FIND(" |",D2584&amp;" |")-1)),"?"))</f>
        <v/>
      </c>
      <c r="H2584" s="27" t="str">
        <f aca="false">IF(G2584="","",IF(G2584="?","⚠ pub inconnue",IFERROR(INDEX(Pubs!$B$2:$B$3001,MATCH(G2584,Pubs!$A$2:$A$3001,0))&amp;"","⚠ pub inconnue")))</f>
        <v/>
      </c>
      <c r="I2584" s="27" t="str">
        <f aca="false">IF(OR(G2584="",G2584="?"),"",IFERROR(INDEX(Pubs!$C$2:$C$3001,MATCH(G2584,Pubs!$A$2:$A$3001,0))&amp;"",""))</f>
        <v/>
      </c>
      <c r="J2584" s="27" t="str">
        <f aca="false">IF(OR(G2584="",G2584="?"),"",IFERROR(INDEX(Pubs!$G$2:$G$3001,MATCH(G2584,Pubs!$A$2:$A$3001,0))&amp;"",""))</f>
        <v/>
      </c>
      <c r="K2584" s="28" t="str">
        <f aca="false">IF(OR(G2584="",G2584="?"),"",IFERROR(INDEX(Pubs!$E$2:$E$3001,MATCH(G2584,Pubs!$A$2:$A$3001,0)),""))</f>
        <v/>
      </c>
      <c r="L2584" s="29" t="str">
        <f aca="false">IF(A2584="","",IFERROR(1/(1/INDEX(Numéros!$C$2:$C$3001,MATCH(A2584&amp;"|"&amp;B2584,Numéros!$F$2:$F$3001,0))),""))</f>
        <v/>
      </c>
      <c r="M2584" s="27" t="str">
        <f aca="false">IF(OR(G2584="",G2584="?"),"",IFERROR(INDEX(Pubs!$D$2:$D$3001,MATCH(G2584,Pubs!$A$2:$A$3001,0))&amp;"",""))</f>
        <v/>
      </c>
      <c r="N2584" s="27" t="n">
        <f aca="false">N(N2583)+IF(AND(A2584&lt;&gt;"",OR(Recherche!$C$4="",A2584=Recherche!$C$4),OR(Recherche!$C$5="",B2584&amp;""=Recherche!$C$5&amp;""),OR(Recherche!$C$6="",IFERROR(YEAR(L2584),0)=Recherche!$C$6),OR(Recherche!$C$7="",ISNUMBER(SEARCH(Recherche!$C$7,H2584))),OR(Recherche!$C$8="",J2584=Recherche!$C$8),OR(Recherche!$C$9="",I2584=Recherche!$C$9),OR(Recherche!$C$10="",G2584&amp;""=Recherche!$C$10&amp;""),OR(Recherche!$C$11="",E2584=Recherche!$C$11),OR(Recherche!$C$12="",ISNUMBER(SEARCH(Recherche!$C$12,M2584&amp;" "&amp;F2584)))),1,0)</f>
        <v>8</v>
      </c>
    </row>
    <row r="2585" customFormat="false" ht="15" hidden="false" customHeight="false" outlineLevel="0" collapsed="false">
      <c r="A2585" s="19"/>
      <c r="B2585" s="19"/>
      <c r="C2585" s="19"/>
      <c r="D2585" s="19"/>
      <c r="E2585" s="22"/>
      <c r="F2585" s="19"/>
      <c r="G2585" s="26" t="str">
        <f aca="false">IF(D2585="","",IFERROR(VALUE(LEFT(D2585,FIND(" |",D2585&amp;" |")-1)),"?"))</f>
        <v/>
      </c>
      <c r="H2585" s="27" t="str">
        <f aca="false">IF(G2585="","",IF(G2585="?","⚠ pub inconnue",IFERROR(INDEX(Pubs!$B$2:$B$3001,MATCH(G2585,Pubs!$A$2:$A$3001,0))&amp;"","⚠ pub inconnue")))</f>
        <v/>
      </c>
      <c r="I2585" s="27" t="str">
        <f aca="false">IF(OR(G2585="",G2585="?"),"",IFERROR(INDEX(Pubs!$C$2:$C$3001,MATCH(G2585,Pubs!$A$2:$A$3001,0))&amp;"",""))</f>
        <v/>
      </c>
      <c r="J2585" s="27" t="str">
        <f aca="false">IF(OR(G2585="",G2585="?"),"",IFERROR(INDEX(Pubs!$G$2:$G$3001,MATCH(G2585,Pubs!$A$2:$A$3001,0))&amp;"",""))</f>
        <v/>
      </c>
      <c r="K2585" s="28" t="str">
        <f aca="false">IF(OR(G2585="",G2585="?"),"",IFERROR(INDEX(Pubs!$E$2:$E$3001,MATCH(G2585,Pubs!$A$2:$A$3001,0)),""))</f>
        <v/>
      </c>
      <c r="L2585" s="29" t="str">
        <f aca="false">IF(A2585="","",IFERROR(1/(1/INDEX(Numéros!$C$2:$C$3001,MATCH(A2585&amp;"|"&amp;B2585,Numéros!$F$2:$F$3001,0))),""))</f>
        <v/>
      </c>
      <c r="M2585" s="27" t="str">
        <f aca="false">IF(OR(G2585="",G2585="?"),"",IFERROR(INDEX(Pubs!$D$2:$D$3001,MATCH(G2585,Pubs!$A$2:$A$3001,0))&amp;"",""))</f>
        <v/>
      </c>
      <c r="N2585" s="27" t="n">
        <f aca="false">N(N2584)+IF(AND(A2585&lt;&gt;"",OR(Recherche!$C$4="",A2585=Recherche!$C$4),OR(Recherche!$C$5="",B2585&amp;""=Recherche!$C$5&amp;""),OR(Recherche!$C$6="",IFERROR(YEAR(L2585),0)=Recherche!$C$6),OR(Recherche!$C$7="",ISNUMBER(SEARCH(Recherche!$C$7,H2585))),OR(Recherche!$C$8="",J2585=Recherche!$C$8),OR(Recherche!$C$9="",I2585=Recherche!$C$9),OR(Recherche!$C$10="",G2585&amp;""=Recherche!$C$10&amp;""),OR(Recherche!$C$11="",E2585=Recherche!$C$11),OR(Recherche!$C$12="",ISNUMBER(SEARCH(Recherche!$C$12,M2585&amp;" "&amp;F2585)))),1,0)</f>
        <v>8</v>
      </c>
    </row>
    <row r="2586" customFormat="false" ht="15" hidden="false" customHeight="false" outlineLevel="0" collapsed="false">
      <c r="A2586" s="19"/>
      <c r="B2586" s="19"/>
      <c r="C2586" s="19"/>
      <c r="D2586" s="19"/>
      <c r="E2586" s="22"/>
      <c r="F2586" s="19"/>
      <c r="G2586" s="26" t="str">
        <f aca="false">IF(D2586="","",IFERROR(VALUE(LEFT(D2586,FIND(" |",D2586&amp;" |")-1)),"?"))</f>
        <v/>
      </c>
      <c r="H2586" s="27" t="str">
        <f aca="false">IF(G2586="","",IF(G2586="?","⚠ pub inconnue",IFERROR(INDEX(Pubs!$B$2:$B$3001,MATCH(G2586,Pubs!$A$2:$A$3001,0))&amp;"","⚠ pub inconnue")))</f>
        <v/>
      </c>
      <c r="I2586" s="27" t="str">
        <f aca="false">IF(OR(G2586="",G2586="?"),"",IFERROR(INDEX(Pubs!$C$2:$C$3001,MATCH(G2586,Pubs!$A$2:$A$3001,0))&amp;"",""))</f>
        <v/>
      </c>
      <c r="J2586" s="27" t="str">
        <f aca="false">IF(OR(G2586="",G2586="?"),"",IFERROR(INDEX(Pubs!$G$2:$G$3001,MATCH(G2586,Pubs!$A$2:$A$3001,0))&amp;"",""))</f>
        <v/>
      </c>
      <c r="K2586" s="28" t="str">
        <f aca="false">IF(OR(G2586="",G2586="?"),"",IFERROR(INDEX(Pubs!$E$2:$E$3001,MATCH(G2586,Pubs!$A$2:$A$3001,0)),""))</f>
        <v/>
      </c>
      <c r="L2586" s="29" t="str">
        <f aca="false">IF(A2586="","",IFERROR(1/(1/INDEX(Numéros!$C$2:$C$3001,MATCH(A2586&amp;"|"&amp;B2586,Numéros!$F$2:$F$3001,0))),""))</f>
        <v/>
      </c>
      <c r="M2586" s="27" t="str">
        <f aca="false">IF(OR(G2586="",G2586="?"),"",IFERROR(INDEX(Pubs!$D$2:$D$3001,MATCH(G2586,Pubs!$A$2:$A$3001,0))&amp;"",""))</f>
        <v/>
      </c>
      <c r="N2586" s="27" t="n">
        <f aca="false">N(N2585)+IF(AND(A2586&lt;&gt;"",OR(Recherche!$C$4="",A2586=Recherche!$C$4),OR(Recherche!$C$5="",B2586&amp;""=Recherche!$C$5&amp;""),OR(Recherche!$C$6="",IFERROR(YEAR(L2586),0)=Recherche!$C$6),OR(Recherche!$C$7="",ISNUMBER(SEARCH(Recherche!$C$7,H2586))),OR(Recherche!$C$8="",J2586=Recherche!$C$8),OR(Recherche!$C$9="",I2586=Recherche!$C$9),OR(Recherche!$C$10="",G2586&amp;""=Recherche!$C$10&amp;""),OR(Recherche!$C$11="",E2586=Recherche!$C$11),OR(Recherche!$C$12="",ISNUMBER(SEARCH(Recherche!$C$12,M2586&amp;" "&amp;F2586)))),1,0)</f>
        <v>8</v>
      </c>
    </row>
    <row r="2587" customFormat="false" ht="15" hidden="false" customHeight="false" outlineLevel="0" collapsed="false">
      <c r="A2587" s="19"/>
      <c r="B2587" s="19"/>
      <c r="C2587" s="19"/>
      <c r="D2587" s="19"/>
      <c r="E2587" s="22"/>
      <c r="F2587" s="19"/>
      <c r="G2587" s="26" t="str">
        <f aca="false">IF(D2587="","",IFERROR(VALUE(LEFT(D2587,FIND(" |",D2587&amp;" |")-1)),"?"))</f>
        <v/>
      </c>
      <c r="H2587" s="27" t="str">
        <f aca="false">IF(G2587="","",IF(G2587="?","⚠ pub inconnue",IFERROR(INDEX(Pubs!$B$2:$B$3001,MATCH(G2587,Pubs!$A$2:$A$3001,0))&amp;"","⚠ pub inconnue")))</f>
        <v/>
      </c>
      <c r="I2587" s="27" t="str">
        <f aca="false">IF(OR(G2587="",G2587="?"),"",IFERROR(INDEX(Pubs!$C$2:$C$3001,MATCH(G2587,Pubs!$A$2:$A$3001,0))&amp;"",""))</f>
        <v/>
      </c>
      <c r="J2587" s="27" t="str">
        <f aca="false">IF(OR(G2587="",G2587="?"),"",IFERROR(INDEX(Pubs!$G$2:$G$3001,MATCH(G2587,Pubs!$A$2:$A$3001,0))&amp;"",""))</f>
        <v/>
      </c>
      <c r="K2587" s="28" t="str">
        <f aca="false">IF(OR(G2587="",G2587="?"),"",IFERROR(INDEX(Pubs!$E$2:$E$3001,MATCH(G2587,Pubs!$A$2:$A$3001,0)),""))</f>
        <v/>
      </c>
      <c r="L2587" s="29" t="str">
        <f aca="false">IF(A2587="","",IFERROR(1/(1/INDEX(Numéros!$C$2:$C$3001,MATCH(A2587&amp;"|"&amp;B2587,Numéros!$F$2:$F$3001,0))),""))</f>
        <v/>
      </c>
      <c r="M2587" s="27" t="str">
        <f aca="false">IF(OR(G2587="",G2587="?"),"",IFERROR(INDEX(Pubs!$D$2:$D$3001,MATCH(G2587,Pubs!$A$2:$A$3001,0))&amp;"",""))</f>
        <v/>
      </c>
      <c r="N2587" s="27" t="n">
        <f aca="false">N(N2586)+IF(AND(A2587&lt;&gt;"",OR(Recherche!$C$4="",A2587=Recherche!$C$4),OR(Recherche!$C$5="",B2587&amp;""=Recherche!$C$5&amp;""),OR(Recherche!$C$6="",IFERROR(YEAR(L2587),0)=Recherche!$C$6),OR(Recherche!$C$7="",ISNUMBER(SEARCH(Recherche!$C$7,H2587))),OR(Recherche!$C$8="",J2587=Recherche!$C$8),OR(Recherche!$C$9="",I2587=Recherche!$C$9),OR(Recherche!$C$10="",G2587&amp;""=Recherche!$C$10&amp;""),OR(Recherche!$C$11="",E2587=Recherche!$C$11),OR(Recherche!$C$12="",ISNUMBER(SEARCH(Recherche!$C$12,M2587&amp;" "&amp;F2587)))),1,0)</f>
        <v>8</v>
      </c>
    </row>
    <row r="2588" customFormat="false" ht="15" hidden="false" customHeight="false" outlineLevel="0" collapsed="false">
      <c r="A2588" s="19"/>
      <c r="B2588" s="19"/>
      <c r="C2588" s="19"/>
      <c r="D2588" s="19"/>
      <c r="E2588" s="22"/>
      <c r="F2588" s="19"/>
      <c r="G2588" s="26" t="str">
        <f aca="false">IF(D2588="","",IFERROR(VALUE(LEFT(D2588,FIND(" |",D2588&amp;" |")-1)),"?"))</f>
        <v/>
      </c>
      <c r="H2588" s="27" t="str">
        <f aca="false">IF(G2588="","",IF(G2588="?","⚠ pub inconnue",IFERROR(INDEX(Pubs!$B$2:$B$3001,MATCH(G2588,Pubs!$A$2:$A$3001,0))&amp;"","⚠ pub inconnue")))</f>
        <v/>
      </c>
      <c r="I2588" s="27" t="str">
        <f aca="false">IF(OR(G2588="",G2588="?"),"",IFERROR(INDEX(Pubs!$C$2:$C$3001,MATCH(G2588,Pubs!$A$2:$A$3001,0))&amp;"",""))</f>
        <v/>
      </c>
      <c r="J2588" s="27" t="str">
        <f aca="false">IF(OR(G2588="",G2588="?"),"",IFERROR(INDEX(Pubs!$G$2:$G$3001,MATCH(G2588,Pubs!$A$2:$A$3001,0))&amp;"",""))</f>
        <v/>
      </c>
      <c r="K2588" s="28" t="str">
        <f aca="false">IF(OR(G2588="",G2588="?"),"",IFERROR(INDEX(Pubs!$E$2:$E$3001,MATCH(G2588,Pubs!$A$2:$A$3001,0)),""))</f>
        <v/>
      </c>
      <c r="L2588" s="29" t="str">
        <f aca="false">IF(A2588="","",IFERROR(1/(1/INDEX(Numéros!$C$2:$C$3001,MATCH(A2588&amp;"|"&amp;B2588,Numéros!$F$2:$F$3001,0))),""))</f>
        <v/>
      </c>
      <c r="M2588" s="27" t="str">
        <f aca="false">IF(OR(G2588="",G2588="?"),"",IFERROR(INDEX(Pubs!$D$2:$D$3001,MATCH(G2588,Pubs!$A$2:$A$3001,0))&amp;"",""))</f>
        <v/>
      </c>
      <c r="N2588" s="27" t="n">
        <f aca="false">N(N2587)+IF(AND(A2588&lt;&gt;"",OR(Recherche!$C$4="",A2588=Recherche!$C$4),OR(Recherche!$C$5="",B2588&amp;""=Recherche!$C$5&amp;""),OR(Recherche!$C$6="",IFERROR(YEAR(L2588),0)=Recherche!$C$6),OR(Recherche!$C$7="",ISNUMBER(SEARCH(Recherche!$C$7,H2588))),OR(Recherche!$C$8="",J2588=Recherche!$C$8),OR(Recherche!$C$9="",I2588=Recherche!$C$9),OR(Recherche!$C$10="",G2588&amp;""=Recherche!$C$10&amp;""),OR(Recherche!$C$11="",E2588=Recherche!$C$11),OR(Recherche!$C$12="",ISNUMBER(SEARCH(Recherche!$C$12,M2588&amp;" "&amp;F2588)))),1,0)</f>
        <v>8</v>
      </c>
    </row>
    <row r="2589" customFormat="false" ht="15" hidden="false" customHeight="false" outlineLevel="0" collapsed="false">
      <c r="A2589" s="19"/>
      <c r="B2589" s="19"/>
      <c r="C2589" s="19"/>
      <c r="D2589" s="19"/>
      <c r="E2589" s="22"/>
      <c r="F2589" s="19"/>
      <c r="G2589" s="26" t="str">
        <f aca="false">IF(D2589="","",IFERROR(VALUE(LEFT(D2589,FIND(" |",D2589&amp;" |")-1)),"?"))</f>
        <v/>
      </c>
      <c r="H2589" s="27" t="str">
        <f aca="false">IF(G2589="","",IF(G2589="?","⚠ pub inconnue",IFERROR(INDEX(Pubs!$B$2:$B$3001,MATCH(G2589,Pubs!$A$2:$A$3001,0))&amp;"","⚠ pub inconnue")))</f>
        <v/>
      </c>
      <c r="I2589" s="27" t="str">
        <f aca="false">IF(OR(G2589="",G2589="?"),"",IFERROR(INDEX(Pubs!$C$2:$C$3001,MATCH(G2589,Pubs!$A$2:$A$3001,0))&amp;"",""))</f>
        <v/>
      </c>
      <c r="J2589" s="27" t="str">
        <f aca="false">IF(OR(G2589="",G2589="?"),"",IFERROR(INDEX(Pubs!$G$2:$G$3001,MATCH(G2589,Pubs!$A$2:$A$3001,0))&amp;"",""))</f>
        <v/>
      </c>
      <c r="K2589" s="28" t="str">
        <f aca="false">IF(OR(G2589="",G2589="?"),"",IFERROR(INDEX(Pubs!$E$2:$E$3001,MATCH(G2589,Pubs!$A$2:$A$3001,0)),""))</f>
        <v/>
      </c>
      <c r="L2589" s="29" t="str">
        <f aca="false">IF(A2589="","",IFERROR(1/(1/INDEX(Numéros!$C$2:$C$3001,MATCH(A2589&amp;"|"&amp;B2589,Numéros!$F$2:$F$3001,0))),""))</f>
        <v/>
      </c>
      <c r="M2589" s="27" t="str">
        <f aca="false">IF(OR(G2589="",G2589="?"),"",IFERROR(INDEX(Pubs!$D$2:$D$3001,MATCH(G2589,Pubs!$A$2:$A$3001,0))&amp;"",""))</f>
        <v/>
      </c>
      <c r="N2589" s="27" t="n">
        <f aca="false">N(N2588)+IF(AND(A2589&lt;&gt;"",OR(Recherche!$C$4="",A2589=Recherche!$C$4),OR(Recherche!$C$5="",B2589&amp;""=Recherche!$C$5&amp;""),OR(Recherche!$C$6="",IFERROR(YEAR(L2589),0)=Recherche!$C$6),OR(Recherche!$C$7="",ISNUMBER(SEARCH(Recherche!$C$7,H2589))),OR(Recherche!$C$8="",J2589=Recherche!$C$8),OR(Recherche!$C$9="",I2589=Recherche!$C$9),OR(Recherche!$C$10="",G2589&amp;""=Recherche!$C$10&amp;""),OR(Recherche!$C$11="",E2589=Recherche!$C$11),OR(Recherche!$C$12="",ISNUMBER(SEARCH(Recherche!$C$12,M2589&amp;" "&amp;F2589)))),1,0)</f>
        <v>8</v>
      </c>
    </row>
    <row r="2590" customFormat="false" ht="15" hidden="false" customHeight="false" outlineLevel="0" collapsed="false">
      <c r="A2590" s="19"/>
      <c r="B2590" s="19"/>
      <c r="C2590" s="19"/>
      <c r="D2590" s="19"/>
      <c r="E2590" s="22"/>
      <c r="F2590" s="19"/>
      <c r="G2590" s="26" t="str">
        <f aca="false">IF(D2590="","",IFERROR(VALUE(LEFT(D2590,FIND(" |",D2590&amp;" |")-1)),"?"))</f>
        <v/>
      </c>
      <c r="H2590" s="27" t="str">
        <f aca="false">IF(G2590="","",IF(G2590="?","⚠ pub inconnue",IFERROR(INDEX(Pubs!$B$2:$B$3001,MATCH(G2590,Pubs!$A$2:$A$3001,0))&amp;"","⚠ pub inconnue")))</f>
        <v/>
      </c>
      <c r="I2590" s="27" t="str">
        <f aca="false">IF(OR(G2590="",G2590="?"),"",IFERROR(INDEX(Pubs!$C$2:$C$3001,MATCH(G2590,Pubs!$A$2:$A$3001,0))&amp;"",""))</f>
        <v/>
      </c>
      <c r="J2590" s="27" t="str">
        <f aca="false">IF(OR(G2590="",G2590="?"),"",IFERROR(INDEX(Pubs!$G$2:$G$3001,MATCH(G2590,Pubs!$A$2:$A$3001,0))&amp;"",""))</f>
        <v/>
      </c>
      <c r="K2590" s="28" t="str">
        <f aca="false">IF(OR(G2590="",G2590="?"),"",IFERROR(INDEX(Pubs!$E$2:$E$3001,MATCH(G2590,Pubs!$A$2:$A$3001,0)),""))</f>
        <v/>
      </c>
      <c r="L2590" s="29" t="str">
        <f aca="false">IF(A2590="","",IFERROR(1/(1/INDEX(Numéros!$C$2:$C$3001,MATCH(A2590&amp;"|"&amp;B2590,Numéros!$F$2:$F$3001,0))),""))</f>
        <v/>
      </c>
      <c r="M2590" s="27" t="str">
        <f aca="false">IF(OR(G2590="",G2590="?"),"",IFERROR(INDEX(Pubs!$D$2:$D$3001,MATCH(G2590,Pubs!$A$2:$A$3001,0))&amp;"",""))</f>
        <v/>
      </c>
      <c r="N2590" s="27" t="n">
        <f aca="false">N(N2589)+IF(AND(A2590&lt;&gt;"",OR(Recherche!$C$4="",A2590=Recherche!$C$4),OR(Recherche!$C$5="",B2590&amp;""=Recherche!$C$5&amp;""),OR(Recherche!$C$6="",IFERROR(YEAR(L2590),0)=Recherche!$C$6),OR(Recherche!$C$7="",ISNUMBER(SEARCH(Recherche!$C$7,H2590))),OR(Recherche!$C$8="",J2590=Recherche!$C$8),OR(Recherche!$C$9="",I2590=Recherche!$C$9),OR(Recherche!$C$10="",G2590&amp;""=Recherche!$C$10&amp;""),OR(Recherche!$C$11="",E2590=Recherche!$C$11),OR(Recherche!$C$12="",ISNUMBER(SEARCH(Recherche!$C$12,M2590&amp;" "&amp;F2590)))),1,0)</f>
        <v>8</v>
      </c>
    </row>
    <row r="2591" customFormat="false" ht="15" hidden="false" customHeight="false" outlineLevel="0" collapsed="false">
      <c r="A2591" s="19"/>
      <c r="B2591" s="19"/>
      <c r="C2591" s="19"/>
      <c r="D2591" s="19"/>
      <c r="E2591" s="22"/>
      <c r="F2591" s="19"/>
      <c r="G2591" s="26" t="str">
        <f aca="false">IF(D2591="","",IFERROR(VALUE(LEFT(D2591,FIND(" |",D2591&amp;" |")-1)),"?"))</f>
        <v/>
      </c>
      <c r="H2591" s="27" t="str">
        <f aca="false">IF(G2591="","",IF(G2591="?","⚠ pub inconnue",IFERROR(INDEX(Pubs!$B$2:$B$3001,MATCH(G2591,Pubs!$A$2:$A$3001,0))&amp;"","⚠ pub inconnue")))</f>
        <v/>
      </c>
      <c r="I2591" s="27" t="str">
        <f aca="false">IF(OR(G2591="",G2591="?"),"",IFERROR(INDEX(Pubs!$C$2:$C$3001,MATCH(G2591,Pubs!$A$2:$A$3001,0))&amp;"",""))</f>
        <v/>
      </c>
      <c r="J2591" s="27" t="str">
        <f aca="false">IF(OR(G2591="",G2591="?"),"",IFERROR(INDEX(Pubs!$G$2:$G$3001,MATCH(G2591,Pubs!$A$2:$A$3001,0))&amp;"",""))</f>
        <v/>
      </c>
      <c r="K2591" s="28" t="str">
        <f aca="false">IF(OR(G2591="",G2591="?"),"",IFERROR(INDEX(Pubs!$E$2:$E$3001,MATCH(G2591,Pubs!$A$2:$A$3001,0)),""))</f>
        <v/>
      </c>
      <c r="L2591" s="29" t="str">
        <f aca="false">IF(A2591="","",IFERROR(1/(1/INDEX(Numéros!$C$2:$C$3001,MATCH(A2591&amp;"|"&amp;B2591,Numéros!$F$2:$F$3001,0))),""))</f>
        <v/>
      </c>
      <c r="M2591" s="27" t="str">
        <f aca="false">IF(OR(G2591="",G2591="?"),"",IFERROR(INDEX(Pubs!$D$2:$D$3001,MATCH(G2591,Pubs!$A$2:$A$3001,0))&amp;"",""))</f>
        <v/>
      </c>
      <c r="N2591" s="27" t="n">
        <f aca="false">N(N2590)+IF(AND(A2591&lt;&gt;"",OR(Recherche!$C$4="",A2591=Recherche!$C$4),OR(Recherche!$C$5="",B2591&amp;""=Recherche!$C$5&amp;""),OR(Recherche!$C$6="",IFERROR(YEAR(L2591),0)=Recherche!$C$6),OR(Recherche!$C$7="",ISNUMBER(SEARCH(Recherche!$C$7,H2591))),OR(Recherche!$C$8="",J2591=Recherche!$C$8),OR(Recherche!$C$9="",I2591=Recherche!$C$9),OR(Recherche!$C$10="",G2591&amp;""=Recherche!$C$10&amp;""),OR(Recherche!$C$11="",E2591=Recherche!$C$11),OR(Recherche!$C$12="",ISNUMBER(SEARCH(Recherche!$C$12,M2591&amp;" "&amp;F2591)))),1,0)</f>
        <v>8</v>
      </c>
    </row>
    <row r="2592" customFormat="false" ht="15" hidden="false" customHeight="false" outlineLevel="0" collapsed="false">
      <c r="A2592" s="19"/>
      <c r="B2592" s="19"/>
      <c r="C2592" s="19"/>
      <c r="D2592" s="19"/>
      <c r="E2592" s="22"/>
      <c r="F2592" s="19"/>
      <c r="G2592" s="26" t="str">
        <f aca="false">IF(D2592="","",IFERROR(VALUE(LEFT(D2592,FIND(" |",D2592&amp;" |")-1)),"?"))</f>
        <v/>
      </c>
      <c r="H2592" s="27" t="str">
        <f aca="false">IF(G2592="","",IF(G2592="?","⚠ pub inconnue",IFERROR(INDEX(Pubs!$B$2:$B$3001,MATCH(G2592,Pubs!$A$2:$A$3001,0))&amp;"","⚠ pub inconnue")))</f>
        <v/>
      </c>
      <c r="I2592" s="27" t="str">
        <f aca="false">IF(OR(G2592="",G2592="?"),"",IFERROR(INDEX(Pubs!$C$2:$C$3001,MATCH(G2592,Pubs!$A$2:$A$3001,0))&amp;"",""))</f>
        <v/>
      </c>
      <c r="J2592" s="27" t="str">
        <f aca="false">IF(OR(G2592="",G2592="?"),"",IFERROR(INDEX(Pubs!$G$2:$G$3001,MATCH(G2592,Pubs!$A$2:$A$3001,0))&amp;"",""))</f>
        <v/>
      </c>
      <c r="K2592" s="28" t="str">
        <f aca="false">IF(OR(G2592="",G2592="?"),"",IFERROR(INDEX(Pubs!$E$2:$E$3001,MATCH(G2592,Pubs!$A$2:$A$3001,0)),""))</f>
        <v/>
      </c>
      <c r="L2592" s="29" t="str">
        <f aca="false">IF(A2592="","",IFERROR(1/(1/INDEX(Numéros!$C$2:$C$3001,MATCH(A2592&amp;"|"&amp;B2592,Numéros!$F$2:$F$3001,0))),""))</f>
        <v/>
      </c>
      <c r="M2592" s="27" t="str">
        <f aca="false">IF(OR(G2592="",G2592="?"),"",IFERROR(INDEX(Pubs!$D$2:$D$3001,MATCH(G2592,Pubs!$A$2:$A$3001,0))&amp;"",""))</f>
        <v/>
      </c>
      <c r="N2592" s="27" t="n">
        <f aca="false">N(N2591)+IF(AND(A2592&lt;&gt;"",OR(Recherche!$C$4="",A2592=Recherche!$C$4),OR(Recherche!$C$5="",B2592&amp;""=Recherche!$C$5&amp;""),OR(Recherche!$C$6="",IFERROR(YEAR(L2592),0)=Recherche!$C$6),OR(Recherche!$C$7="",ISNUMBER(SEARCH(Recherche!$C$7,H2592))),OR(Recherche!$C$8="",J2592=Recherche!$C$8),OR(Recherche!$C$9="",I2592=Recherche!$C$9),OR(Recherche!$C$10="",G2592&amp;""=Recherche!$C$10&amp;""),OR(Recherche!$C$11="",E2592=Recherche!$C$11),OR(Recherche!$C$12="",ISNUMBER(SEARCH(Recherche!$C$12,M2592&amp;" "&amp;F2592)))),1,0)</f>
        <v>8</v>
      </c>
    </row>
    <row r="2593" customFormat="false" ht="15" hidden="false" customHeight="false" outlineLevel="0" collapsed="false">
      <c r="A2593" s="19"/>
      <c r="B2593" s="19"/>
      <c r="C2593" s="19"/>
      <c r="D2593" s="19"/>
      <c r="E2593" s="22"/>
      <c r="F2593" s="19"/>
      <c r="G2593" s="26" t="str">
        <f aca="false">IF(D2593="","",IFERROR(VALUE(LEFT(D2593,FIND(" |",D2593&amp;" |")-1)),"?"))</f>
        <v/>
      </c>
      <c r="H2593" s="27" t="str">
        <f aca="false">IF(G2593="","",IF(G2593="?","⚠ pub inconnue",IFERROR(INDEX(Pubs!$B$2:$B$3001,MATCH(G2593,Pubs!$A$2:$A$3001,0))&amp;"","⚠ pub inconnue")))</f>
        <v/>
      </c>
      <c r="I2593" s="27" t="str">
        <f aca="false">IF(OR(G2593="",G2593="?"),"",IFERROR(INDEX(Pubs!$C$2:$C$3001,MATCH(G2593,Pubs!$A$2:$A$3001,0))&amp;"",""))</f>
        <v/>
      </c>
      <c r="J2593" s="27" t="str">
        <f aca="false">IF(OR(G2593="",G2593="?"),"",IFERROR(INDEX(Pubs!$G$2:$G$3001,MATCH(G2593,Pubs!$A$2:$A$3001,0))&amp;"",""))</f>
        <v/>
      </c>
      <c r="K2593" s="28" t="str">
        <f aca="false">IF(OR(G2593="",G2593="?"),"",IFERROR(INDEX(Pubs!$E$2:$E$3001,MATCH(G2593,Pubs!$A$2:$A$3001,0)),""))</f>
        <v/>
      </c>
      <c r="L2593" s="29" t="str">
        <f aca="false">IF(A2593="","",IFERROR(1/(1/INDEX(Numéros!$C$2:$C$3001,MATCH(A2593&amp;"|"&amp;B2593,Numéros!$F$2:$F$3001,0))),""))</f>
        <v/>
      </c>
      <c r="M2593" s="27" t="str">
        <f aca="false">IF(OR(G2593="",G2593="?"),"",IFERROR(INDEX(Pubs!$D$2:$D$3001,MATCH(G2593,Pubs!$A$2:$A$3001,0))&amp;"",""))</f>
        <v/>
      </c>
      <c r="N2593" s="27" t="n">
        <f aca="false">N(N2592)+IF(AND(A2593&lt;&gt;"",OR(Recherche!$C$4="",A2593=Recherche!$C$4),OR(Recherche!$C$5="",B2593&amp;""=Recherche!$C$5&amp;""),OR(Recherche!$C$6="",IFERROR(YEAR(L2593),0)=Recherche!$C$6),OR(Recherche!$C$7="",ISNUMBER(SEARCH(Recherche!$C$7,H2593))),OR(Recherche!$C$8="",J2593=Recherche!$C$8),OR(Recherche!$C$9="",I2593=Recherche!$C$9),OR(Recherche!$C$10="",G2593&amp;""=Recherche!$C$10&amp;""),OR(Recherche!$C$11="",E2593=Recherche!$C$11),OR(Recherche!$C$12="",ISNUMBER(SEARCH(Recherche!$C$12,M2593&amp;" "&amp;F2593)))),1,0)</f>
        <v>8</v>
      </c>
    </row>
    <row r="2594" customFormat="false" ht="15" hidden="false" customHeight="false" outlineLevel="0" collapsed="false">
      <c r="A2594" s="19"/>
      <c r="B2594" s="19"/>
      <c r="C2594" s="19"/>
      <c r="D2594" s="19"/>
      <c r="E2594" s="22"/>
      <c r="F2594" s="19"/>
      <c r="G2594" s="26" t="str">
        <f aca="false">IF(D2594="","",IFERROR(VALUE(LEFT(D2594,FIND(" |",D2594&amp;" |")-1)),"?"))</f>
        <v/>
      </c>
      <c r="H2594" s="27" t="str">
        <f aca="false">IF(G2594="","",IF(G2594="?","⚠ pub inconnue",IFERROR(INDEX(Pubs!$B$2:$B$3001,MATCH(G2594,Pubs!$A$2:$A$3001,0))&amp;"","⚠ pub inconnue")))</f>
        <v/>
      </c>
      <c r="I2594" s="27" t="str">
        <f aca="false">IF(OR(G2594="",G2594="?"),"",IFERROR(INDEX(Pubs!$C$2:$C$3001,MATCH(G2594,Pubs!$A$2:$A$3001,0))&amp;"",""))</f>
        <v/>
      </c>
      <c r="J2594" s="27" t="str">
        <f aca="false">IF(OR(G2594="",G2594="?"),"",IFERROR(INDEX(Pubs!$G$2:$G$3001,MATCH(G2594,Pubs!$A$2:$A$3001,0))&amp;"",""))</f>
        <v/>
      </c>
      <c r="K2594" s="28" t="str">
        <f aca="false">IF(OR(G2594="",G2594="?"),"",IFERROR(INDEX(Pubs!$E$2:$E$3001,MATCH(G2594,Pubs!$A$2:$A$3001,0)),""))</f>
        <v/>
      </c>
      <c r="L2594" s="29" t="str">
        <f aca="false">IF(A2594="","",IFERROR(1/(1/INDEX(Numéros!$C$2:$C$3001,MATCH(A2594&amp;"|"&amp;B2594,Numéros!$F$2:$F$3001,0))),""))</f>
        <v/>
      </c>
      <c r="M2594" s="27" t="str">
        <f aca="false">IF(OR(G2594="",G2594="?"),"",IFERROR(INDEX(Pubs!$D$2:$D$3001,MATCH(G2594,Pubs!$A$2:$A$3001,0))&amp;"",""))</f>
        <v/>
      </c>
      <c r="N2594" s="27" t="n">
        <f aca="false">N(N2593)+IF(AND(A2594&lt;&gt;"",OR(Recherche!$C$4="",A2594=Recherche!$C$4),OR(Recherche!$C$5="",B2594&amp;""=Recherche!$C$5&amp;""),OR(Recherche!$C$6="",IFERROR(YEAR(L2594),0)=Recherche!$C$6),OR(Recherche!$C$7="",ISNUMBER(SEARCH(Recherche!$C$7,H2594))),OR(Recherche!$C$8="",J2594=Recherche!$C$8),OR(Recherche!$C$9="",I2594=Recherche!$C$9),OR(Recherche!$C$10="",G2594&amp;""=Recherche!$C$10&amp;""),OR(Recherche!$C$11="",E2594=Recherche!$C$11),OR(Recherche!$C$12="",ISNUMBER(SEARCH(Recherche!$C$12,M2594&amp;" "&amp;F2594)))),1,0)</f>
        <v>8</v>
      </c>
    </row>
    <row r="2595" customFormat="false" ht="15" hidden="false" customHeight="false" outlineLevel="0" collapsed="false">
      <c r="A2595" s="19"/>
      <c r="B2595" s="19"/>
      <c r="C2595" s="19"/>
      <c r="D2595" s="19"/>
      <c r="E2595" s="22"/>
      <c r="F2595" s="19"/>
      <c r="G2595" s="26" t="str">
        <f aca="false">IF(D2595="","",IFERROR(VALUE(LEFT(D2595,FIND(" |",D2595&amp;" |")-1)),"?"))</f>
        <v/>
      </c>
      <c r="H2595" s="27" t="str">
        <f aca="false">IF(G2595="","",IF(G2595="?","⚠ pub inconnue",IFERROR(INDEX(Pubs!$B$2:$B$3001,MATCH(G2595,Pubs!$A$2:$A$3001,0))&amp;"","⚠ pub inconnue")))</f>
        <v/>
      </c>
      <c r="I2595" s="27" t="str">
        <f aca="false">IF(OR(G2595="",G2595="?"),"",IFERROR(INDEX(Pubs!$C$2:$C$3001,MATCH(G2595,Pubs!$A$2:$A$3001,0))&amp;"",""))</f>
        <v/>
      </c>
      <c r="J2595" s="27" t="str">
        <f aca="false">IF(OR(G2595="",G2595="?"),"",IFERROR(INDEX(Pubs!$G$2:$G$3001,MATCH(G2595,Pubs!$A$2:$A$3001,0))&amp;"",""))</f>
        <v/>
      </c>
      <c r="K2595" s="28" t="str">
        <f aca="false">IF(OR(G2595="",G2595="?"),"",IFERROR(INDEX(Pubs!$E$2:$E$3001,MATCH(G2595,Pubs!$A$2:$A$3001,0)),""))</f>
        <v/>
      </c>
      <c r="L2595" s="29" t="str">
        <f aca="false">IF(A2595="","",IFERROR(1/(1/INDEX(Numéros!$C$2:$C$3001,MATCH(A2595&amp;"|"&amp;B2595,Numéros!$F$2:$F$3001,0))),""))</f>
        <v/>
      </c>
      <c r="M2595" s="27" t="str">
        <f aca="false">IF(OR(G2595="",G2595="?"),"",IFERROR(INDEX(Pubs!$D$2:$D$3001,MATCH(G2595,Pubs!$A$2:$A$3001,0))&amp;"",""))</f>
        <v/>
      </c>
      <c r="N2595" s="27" t="n">
        <f aca="false">N(N2594)+IF(AND(A2595&lt;&gt;"",OR(Recherche!$C$4="",A2595=Recherche!$C$4),OR(Recherche!$C$5="",B2595&amp;""=Recherche!$C$5&amp;""),OR(Recherche!$C$6="",IFERROR(YEAR(L2595),0)=Recherche!$C$6),OR(Recherche!$C$7="",ISNUMBER(SEARCH(Recherche!$C$7,H2595))),OR(Recherche!$C$8="",J2595=Recherche!$C$8),OR(Recherche!$C$9="",I2595=Recherche!$C$9),OR(Recherche!$C$10="",G2595&amp;""=Recherche!$C$10&amp;""),OR(Recherche!$C$11="",E2595=Recherche!$C$11),OR(Recherche!$C$12="",ISNUMBER(SEARCH(Recherche!$C$12,M2595&amp;" "&amp;F2595)))),1,0)</f>
        <v>8</v>
      </c>
    </row>
    <row r="2596" customFormat="false" ht="15" hidden="false" customHeight="false" outlineLevel="0" collapsed="false">
      <c r="A2596" s="19"/>
      <c r="B2596" s="19"/>
      <c r="C2596" s="19"/>
      <c r="D2596" s="19"/>
      <c r="E2596" s="22"/>
      <c r="F2596" s="19"/>
      <c r="G2596" s="26" t="str">
        <f aca="false">IF(D2596="","",IFERROR(VALUE(LEFT(D2596,FIND(" |",D2596&amp;" |")-1)),"?"))</f>
        <v/>
      </c>
      <c r="H2596" s="27" t="str">
        <f aca="false">IF(G2596="","",IF(G2596="?","⚠ pub inconnue",IFERROR(INDEX(Pubs!$B$2:$B$3001,MATCH(G2596,Pubs!$A$2:$A$3001,0))&amp;"","⚠ pub inconnue")))</f>
        <v/>
      </c>
      <c r="I2596" s="27" t="str">
        <f aca="false">IF(OR(G2596="",G2596="?"),"",IFERROR(INDEX(Pubs!$C$2:$C$3001,MATCH(G2596,Pubs!$A$2:$A$3001,0))&amp;"",""))</f>
        <v/>
      </c>
      <c r="J2596" s="27" t="str">
        <f aca="false">IF(OR(G2596="",G2596="?"),"",IFERROR(INDEX(Pubs!$G$2:$G$3001,MATCH(G2596,Pubs!$A$2:$A$3001,0))&amp;"",""))</f>
        <v/>
      </c>
      <c r="K2596" s="28" t="str">
        <f aca="false">IF(OR(G2596="",G2596="?"),"",IFERROR(INDEX(Pubs!$E$2:$E$3001,MATCH(G2596,Pubs!$A$2:$A$3001,0)),""))</f>
        <v/>
      </c>
      <c r="L2596" s="29" t="str">
        <f aca="false">IF(A2596="","",IFERROR(1/(1/INDEX(Numéros!$C$2:$C$3001,MATCH(A2596&amp;"|"&amp;B2596,Numéros!$F$2:$F$3001,0))),""))</f>
        <v/>
      </c>
      <c r="M2596" s="27" t="str">
        <f aca="false">IF(OR(G2596="",G2596="?"),"",IFERROR(INDEX(Pubs!$D$2:$D$3001,MATCH(G2596,Pubs!$A$2:$A$3001,0))&amp;"",""))</f>
        <v/>
      </c>
      <c r="N2596" s="27" t="n">
        <f aca="false">N(N2595)+IF(AND(A2596&lt;&gt;"",OR(Recherche!$C$4="",A2596=Recherche!$C$4),OR(Recherche!$C$5="",B2596&amp;""=Recherche!$C$5&amp;""),OR(Recherche!$C$6="",IFERROR(YEAR(L2596),0)=Recherche!$C$6),OR(Recherche!$C$7="",ISNUMBER(SEARCH(Recherche!$C$7,H2596))),OR(Recherche!$C$8="",J2596=Recherche!$C$8),OR(Recherche!$C$9="",I2596=Recherche!$C$9),OR(Recherche!$C$10="",G2596&amp;""=Recherche!$C$10&amp;""),OR(Recherche!$C$11="",E2596=Recherche!$C$11),OR(Recherche!$C$12="",ISNUMBER(SEARCH(Recherche!$C$12,M2596&amp;" "&amp;F2596)))),1,0)</f>
        <v>8</v>
      </c>
    </row>
    <row r="2597" customFormat="false" ht="15" hidden="false" customHeight="false" outlineLevel="0" collapsed="false">
      <c r="A2597" s="19"/>
      <c r="B2597" s="19"/>
      <c r="C2597" s="19"/>
      <c r="D2597" s="19"/>
      <c r="E2597" s="22"/>
      <c r="F2597" s="19"/>
      <c r="G2597" s="26" t="str">
        <f aca="false">IF(D2597="","",IFERROR(VALUE(LEFT(D2597,FIND(" |",D2597&amp;" |")-1)),"?"))</f>
        <v/>
      </c>
      <c r="H2597" s="27" t="str">
        <f aca="false">IF(G2597="","",IF(G2597="?","⚠ pub inconnue",IFERROR(INDEX(Pubs!$B$2:$B$3001,MATCH(G2597,Pubs!$A$2:$A$3001,0))&amp;"","⚠ pub inconnue")))</f>
        <v/>
      </c>
      <c r="I2597" s="27" t="str">
        <f aca="false">IF(OR(G2597="",G2597="?"),"",IFERROR(INDEX(Pubs!$C$2:$C$3001,MATCH(G2597,Pubs!$A$2:$A$3001,0))&amp;"",""))</f>
        <v/>
      </c>
      <c r="J2597" s="27" t="str">
        <f aca="false">IF(OR(G2597="",G2597="?"),"",IFERROR(INDEX(Pubs!$G$2:$G$3001,MATCH(G2597,Pubs!$A$2:$A$3001,0))&amp;"",""))</f>
        <v/>
      </c>
      <c r="K2597" s="28" t="str">
        <f aca="false">IF(OR(G2597="",G2597="?"),"",IFERROR(INDEX(Pubs!$E$2:$E$3001,MATCH(G2597,Pubs!$A$2:$A$3001,0)),""))</f>
        <v/>
      </c>
      <c r="L2597" s="29" t="str">
        <f aca="false">IF(A2597="","",IFERROR(1/(1/INDEX(Numéros!$C$2:$C$3001,MATCH(A2597&amp;"|"&amp;B2597,Numéros!$F$2:$F$3001,0))),""))</f>
        <v/>
      </c>
      <c r="M2597" s="27" t="str">
        <f aca="false">IF(OR(G2597="",G2597="?"),"",IFERROR(INDEX(Pubs!$D$2:$D$3001,MATCH(G2597,Pubs!$A$2:$A$3001,0))&amp;"",""))</f>
        <v/>
      </c>
      <c r="N2597" s="27" t="n">
        <f aca="false">N(N2596)+IF(AND(A2597&lt;&gt;"",OR(Recherche!$C$4="",A2597=Recherche!$C$4),OR(Recherche!$C$5="",B2597&amp;""=Recherche!$C$5&amp;""),OR(Recherche!$C$6="",IFERROR(YEAR(L2597),0)=Recherche!$C$6),OR(Recherche!$C$7="",ISNUMBER(SEARCH(Recherche!$C$7,H2597))),OR(Recherche!$C$8="",J2597=Recherche!$C$8),OR(Recherche!$C$9="",I2597=Recherche!$C$9),OR(Recherche!$C$10="",G2597&amp;""=Recherche!$C$10&amp;""),OR(Recherche!$C$11="",E2597=Recherche!$C$11),OR(Recherche!$C$12="",ISNUMBER(SEARCH(Recherche!$C$12,M2597&amp;" "&amp;F2597)))),1,0)</f>
        <v>8</v>
      </c>
    </row>
    <row r="2598" customFormat="false" ht="15" hidden="false" customHeight="false" outlineLevel="0" collapsed="false">
      <c r="A2598" s="19"/>
      <c r="B2598" s="19"/>
      <c r="C2598" s="19"/>
      <c r="D2598" s="19"/>
      <c r="E2598" s="22"/>
      <c r="F2598" s="19"/>
      <c r="G2598" s="26" t="str">
        <f aca="false">IF(D2598="","",IFERROR(VALUE(LEFT(D2598,FIND(" |",D2598&amp;" |")-1)),"?"))</f>
        <v/>
      </c>
      <c r="H2598" s="27" t="str">
        <f aca="false">IF(G2598="","",IF(G2598="?","⚠ pub inconnue",IFERROR(INDEX(Pubs!$B$2:$B$3001,MATCH(G2598,Pubs!$A$2:$A$3001,0))&amp;"","⚠ pub inconnue")))</f>
        <v/>
      </c>
      <c r="I2598" s="27" t="str">
        <f aca="false">IF(OR(G2598="",G2598="?"),"",IFERROR(INDEX(Pubs!$C$2:$C$3001,MATCH(G2598,Pubs!$A$2:$A$3001,0))&amp;"",""))</f>
        <v/>
      </c>
      <c r="J2598" s="27" t="str">
        <f aca="false">IF(OR(G2598="",G2598="?"),"",IFERROR(INDEX(Pubs!$G$2:$G$3001,MATCH(G2598,Pubs!$A$2:$A$3001,0))&amp;"",""))</f>
        <v/>
      </c>
      <c r="K2598" s="28" t="str">
        <f aca="false">IF(OR(G2598="",G2598="?"),"",IFERROR(INDEX(Pubs!$E$2:$E$3001,MATCH(G2598,Pubs!$A$2:$A$3001,0)),""))</f>
        <v/>
      </c>
      <c r="L2598" s="29" t="str">
        <f aca="false">IF(A2598="","",IFERROR(1/(1/INDEX(Numéros!$C$2:$C$3001,MATCH(A2598&amp;"|"&amp;B2598,Numéros!$F$2:$F$3001,0))),""))</f>
        <v/>
      </c>
      <c r="M2598" s="27" t="str">
        <f aca="false">IF(OR(G2598="",G2598="?"),"",IFERROR(INDEX(Pubs!$D$2:$D$3001,MATCH(G2598,Pubs!$A$2:$A$3001,0))&amp;"",""))</f>
        <v/>
      </c>
      <c r="N2598" s="27" t="n">
        <f aca="false">N(N2597)+IF(AND(A2598&lt;&gt;"",OR(Recherche!$C$4="",A2598=Recherche!$C$4),OR(Recherche!$C$5="",B2598&amp;""=Recherche!$C$5&amp;""),OR(Recherche!$C$6="",IFERROR(YEAR(L2598),0)=Recherche!$C$6),OR(Recherche!$C$7="",ISNUMBER(SEARCH(Recherche!$C$7,H2598))),OR(Recherche!$C$8="",J2598=Recherche!$C$8),OR(Recherche!$C$9="",I2598=Recherche!$C$9),OR(Recherche!$C$10="",G2598&amp;""=Recherche!$C$10&amp;""),OR(Recherche!$C$11="",E2598=Recherche!$C$11),OR(Recherche!$C$12="",ISNUMBER(SEARCH(Recherche!$C$12,M2598&amp;" "&amp;F2598)))),1,0)</f>
        <v>8</v>
      </c>
    </row>
    <row r="2599" customFormat="false" ht="15" hidden="false" customHeight="false" outlineLevel="0" collapsed="false">
      <c r="A2599" s="19"/>
      <c r="B2599" s="19"/>
      <c r="C2599" s="19"/>
      <c r="D2599" s="19"/>
      <c r="E2599" s="22"/>
      <c r="F2599" s="19"/>
      <c r="G2599" s="26" t="str">
        <f aca="false">IF(D2599="","",IFERROR(VALUE(LEFT(D2599,FIND(" |",D2599&amp;" |")-1)),"?"))</f>
        <v/>
      </c>
      <c r="H2599" s="27" t="str">
        <f aca="false">IF(G2599="","",IF(G2599="?","⚠ pub inconnue",IFERROR(INDEX(Pubs!$B$2:$B$3001,MATCH(G2599,Pubs!$A$2:$A$3001,0))&amp;"","⚠ pub inconnue")))</f>
        <v/>
      </c>
      <c r="I2599" s="27" t="str">
        <f aca="false">IF(OR(G2599="",G2599="?"),"",IFERROR(INDEX(Pubs!$C$2:$C$3001,MATCH(G2599,Pubs!$A$2:$A$3001,0))&amp;"",""))</f>
        <v/>
      </c>
      <c r="J2599" s="27" t="str">
        <f aca="false">IF(OR(G2599="",G2599="?"),"",IFERROR(INDEX(Pubs!$G$2:$G$3001,MATCH(G2599,Pubs!$A$2:$A$3001,0))&amp;"",""))</f>
        <v/>
      </c>
      <c r="K2599" s="28" t="str">
        <f aca="false">IF(OR(G2599="",G2599="?"),"",IFERROR(INDEX(Pubs!$E$2:$E$3001,MATCH(G2599,Pubs!$A$2:$A$3001,0)),""))</f>
        <v/>
      </c>
      <c r="L2599" s="29" t="str">
        <f aca="false">IF(A2599="","",IFERROR(1/(1/INDEX(Numéros!$C$2:$C$3001,MATCH(A2599&amp;"|"&amp;B2599,Numéros!$F$2:$F$3001,0))),""))</f>
        <v/>
      </c>
      <c r="M2599" s="27" t="str">
        <f aca="false">IF(OR(G2599="",G2599="?"),"",IFERROR(INDEX(Pubs!$D$2:$D$3001,MATCH(G2599,Pubs!$A$2:$A$3001,0))&amp;"",""))</f>
        <v/>
      </c>
      <c r="N2599" s="27" t="n">
        <f aca="false">N(N2598)+IF(AND(A2599&lt;&gt;"",OR(Recherche!$C$4="",A2599=Recherche!$C$4),OR(Recherche!$C$5="",B2599&amp;""=Recherche!$C$5&amp;""),OR(Recherche!$C$6="",IFERROR(YEAR(L2599),0)=Recherche!$C$6),OR(Recherche!$C$7="",ISNUMBER(SEARCH(Recherche!$C$7,H2599))),OR(Recherche!$C$8="",J2599=Recherche!$C$8),OR(Recherche!$C$9="",I2599=Recherche!$C$9),OR(Recherche!$C$10="",G2599&amp;""=Recherche!$C$10&amp;""),OR(Recherche!$C$11="",E2599=Recherche!$C$11),OR(Recherche!$C$12="",ISNUMBER(SEARCH(Recherche!$C$12,M2599&amp;" "&amp;F2599)))),1,0)</f>
        <v>8</v>
      </c>
    </row>
    <row r="2600" customFormat="false" ht="15" hidden="false" customHeight="false" outlineLevel="0" collapsed="false">
      <c r="A2600" s="19"/>
      <c r="B2600" s="19"/>
      <c r="C2600" s="19"/>
      <c r="D2600" s="19"/>
      <c r="E2600" s="22"/>
      <c r="F2600" s="19"/>
      <c r="G2600" s="26" t="str">
        <f aca="false">IF(D2600="","",IFERROR(VALUE(LEFT(D2600,FIND(" |",D2600&amp;" |")-1)),"?"))</f>
        <v/>
      </c>
      <c r="H2600" s="27" t="str">
        <f aca="false">IF(G2600="","",IF(G2600="?","⚠ pub inconnue",IFERROR(INDEX(Pubs!$B$2:$B$3001,MATCH(G2600,Pubs!$A$2:$A$3001,0))&amp;"","⚠ pub inconnue")))</f>
        <v/>
      </c>
      <c r="I2600" s="27" t="str">
        <f aca="false">IF(OR(G2600="",G2600="?"),"",IFERROR(INDEX(Pubs!$C$2:$C$3001,MATCH(G2600,Pubs!$A$2:$A$3001,0))&amp;"",""))</f>
        <v/>
      </c>
      <c r="J2600" s="27" t="str">
        <f aca="false">IF(OR(G2600="",G2600="?"),"",IFERROR(INDEX(Pubs!$G$2:$G$3001,MATCH(G2600,Pubs!$A$2:$A$3001,0))&amp;"",""))</f>
        <v/>
      </c>
      <c r="K2600" s="28" t="str">
        <f aca="false">IF(OR(G2600="",G2600="?"),"",IFERROR(INDEX(Pubs!$E$2:$E$3001,MATCH(G2600,Pubs!$A$2:$A$3001,0)),""))</f>
        <v/>
      </c>
      <c r="L2600" s="29" t="str">
        <f aca="false">IF(A2600="","",IFERROR(1/(1/INDEX(Numéros!$C$2:$C$3001,MATCH(A2600&amp;"|"&amp;B2600,Numéros!$F$2:$F$3001,0))),""))</f>
        <v/>
      </c>
      <c r="M2600" s="27" t="str">
        <f aca="false">IF(OR(G2600="",G2600="?"),"",IFERROR(INDEX(Pubs!$D$2:$D$3001,MATCH(G2600,Pubs!$A$2:$A$3001,0))&amp;"",""))</f>
        <v/>
      </c>
      <c r="N2600" s="27" t="n">
        <f aca="false">N(N2599)+IF(AND(A2600&lt;&gt;"",OR(Recherche!$C$4="",A2600=Recherche!$C$4),OR(Recherche!$C$5="",B2600&amp;""=Recherche!$C$5&amp;""),OR(Recherche!$C$6="",IFERROR(YEAR(L2600),0)=Recherche!$C$6),OR(Recherche!$C$7="",ISNUMBER(SEARCH(Recherche!$C$7,H2600))),OR(Recherche!$C$8="",J2600=Recherche!$C$8),OR(Recherche!$C$9="",I2600=Recherche!$C$9),OR(Recherche!$C$10="",G2600&amp;""=Recherche!$C$10&amp;""),OR(Recherche!$C$11="",E2600=Recherche!$C$11),OR(Recherche!$C$12="",ISNUMBER(SEARCH(Recherche!$C$12,M2600&amp;" "&amp;F2600)))),1,0)</f>
        <v>8</v>
      </c>
    </row>
    <row r="2601" customFormat="false" ht="15" hidden="false" customHeight="false" outlineLevel="0" collapsed="false">
      <c r="A2601" s="19"/>
      <c r="B2601" s="19"/>
      <c r="C2601" s="19"/>
      <c r="D2601" s="19"/>
      <c r="E2601" s="22"/>
      <c r="F2601" s="19"/>
      <c r="G2601" s="26" t="str">
        <f aca="false">IF(D2601="","",IFERROR(VALUE(LEFT(D2601,FIND(" |",D2601&amp;" |")-1)),"?"))</f>
        <v/>
      </c>
      <c r="H2601" s="27" t="str">
        <f aca="false">IF(G2601="","",IF(G2601="?","⚠ pub inconnue",IFERROR(INDEX(Pubs!$B$2:$B$3001,MATCH(G2601,Pubs!$A$2:$A$3001,0))&amp;"","⚠ pub inconnue")))</f>
        <v/>
      </c>
      <c r="I2601" s="27" t="str">
        <f aca="false">IF(OR(G2601="",G2601="?"),"",IFERROR(INDEX(Pubs!$C$2:$C$3001,MATCH(G2601,Pubs!$A$2:$A$3001,0))&amp;"",""))</f>
        <v/>
      </c>
      <c r="J2601" s="27" t="str">
        <f aca="false">IF(OR(G2601="",G2601="?"),"",IFERROR(INDEX(Pubs!$G$2:$G$3001,MATCH(G2601,Pubs!$A$2:$A$3001,0))&amp;"",""))</f>
        <v/>
      </c>
      <c r="K2601" s="28" t="str">
        <f aca="false">IF(OR(G2601="",G2601="?"),"",IFERROR(INDEX(Pubs!$E$2:$E$3001,MATCH(G2601,Pubs!$A$2:$A$3001,0)),""))</f>
        <v/>
      </c>
      <c r="L2601" s="29" t="str">
        <f aca="false">IF(A2601="","",IFERROR(1/(1/INDEX(Numéros!$C$2:$C$3001,MATCH(A2601&amp;"|"&amp;B2601,Numéros!$F$2:$F$3001,0))),""))</f>
        <v/>
      </c>
      <c r="M2601" s="27" t="str">
        <f aca="false">IF(OR(G2601="",G2601="?"),"",IFERROR(INDEX(Pubs!$D$2:$D$3001,MATCH(G2601,Pubs!$A$2:$A$3001,0))&amp;"",""))</f>
        <v/>
      </c>
      <c r="N2601" s="27" t="n">
        <f aca="false">N(N2600)+IF(AND(A2601&lt;&gt;"",OR(Recherche!$C$4="",A2601=Recherche!$C$4),OR(Recherche!$C$5="",B2601&amp;""=Recherche!$C$5&amp;""),OR(Recherche!$C$6="",IFERROR(YEAR(L2601),0)=Recherche!$C$6),OR(Recherche!$C$7="",ISNUMBER(SEARCH(Recherche!$C$7,H2601))),OR(Recherche!$C$8="",J2601=Recherche!$C$8),OR(Recherche!$C$9="",I2601=Recherche!$C$9),OR(Recherche!$C$10="",G2601&amp;""=Recherche!$C$10&amp;""),OR(Recherche!$C$11="",E2601=Recherche!$C$11),OR(Recherche!$C$12="",ISNUMBER(SEARCH(Recherche!$C$12,M2601&amp;" "&amp;F2601)))),1,0)</f>
        <v>8</v>
      </c>
    </row>
    <row r="2602" customFormat="false" ht="15" hidden="false" customHeight="false" outlineLevel="0" collapsed="false">
      <c r="A2602" s="19"/>
      <c r="B2602" s="19"/>
      <c r="C2602" s="19"/>
      <c r="D2602" s="19"/>
      <c r="E2602" s="22"/>
      <c r="F2602" s="19"/>
      <c r="G2602" s="26" t="str">
        <f aca="false">IF(D2602="","",IFERROR(VALUE(LEFT(D2602,FIND(" |",D2602&amp;" |")-1)),"?"))</f>
        <v/>
      </c>
      <c r="H2602" s="27" t="str">
        <f aca="false">IF(G2602="","",IF(G2602="?","⚠ pub inconnue",IFERROR(INDEX(Pubs!$B$2:$B$3001,MATCH(G2602,Pubs!$A$2:$A$3001,0))&amp;"","⚠ pub inconnue")))</f>
        <v/>
      </c>
      <c r="I2602" s="27" t="str">
        <f aca="false">IF(OR(G2602="",G2602="?"),"",IFERROR(INDEX(Pubs!$C$2:$C$3001,MATCH(G2602,Pubs!$A$2:$A$3001,0))&amp;"",""))</f>
        <v/>
      </c>
      <c r="J2602" s="27" t="str">
        <f aca="false">IF(OR(G2602="",G2602="?"),"",IFERROR(INDEX(Pubs!$G$2:$G$3001,MATCH(G2602,Pubs!$A$2:$A$3001,0))&amp;"",""))</f>
        <v/>
      </c>
      <c r="K2602" s="28" t="str">
        <f aca="false">IF(OR(G2602="",G2602="?"),"",IFERROR(INDEX(Pubs!$E$2:$E$3001,MATCH(G2602,Pubs!$A$2:$A$3001,0)),""))</f>
        <v/>
      </c>
      <c r="L2602" s="29" t="str">
        <f aca="false">IF(A2602="","",IFERROR(1/(1/INDEX(Numéros!$C$2:$C$3001,MATCH(A2602&amp;"|"&amp;B2602,Numéros!$F$2:$F$3001,0))),""))</f>
        <v/>
      </c>
      <c r="M2602" s="27" t="str">
        <f aca="false">IF(OR(G2602="",G2602="?"),"",IFERROR(INDEX(Pubs!$D$2:$D$3001,MATCH(G2602,Pubs!$A$2:$A$3001,0))&amp;"",""))</f>
        <v/>
      </c>
      <c r="N2602" s="27" t="n">
        <f aca="false">N(N2601)+IF(AND(A2602&lt;&gt;"",OR(Recherche!$C$4="",A2602=Recherche!$C$4),OR(Recherche!$C$5="",B2602&amp;""=Recherche!$C$5&amp;""),OR(Recherche!$C$6="",IFERROR(YEAR(L2602),0)=Recherche!$C$6),OR(Recherche!$C$7="",ISNUMBER(SEARCH(Recherche!$C$7,H2602))),OR(Recherche!$C$8="",J2602=Recherche!$C$8),OR(Recherche!$C$9="",I2602=Recherche!$C$9),OR(Recherche!$C$10="",G2602&amp;""=Recherche!$C$10&amp;""),OR(Recherche!$C$11="",E2602=Recherche!$C$11),OR(Recherche!$C$12="",ISNUMBER(SEARCH(Recherche!$C$12,M2602&amp;" "&amp;F2602)))),1,0)</f>
        <v>8</v>
      </c>
    </row>
    <row r="2603" customFormat="false" ht="15" hidden="false" customHeight="false" outlineLevel="0" collapsed="false">
      <c r="A2603" s="19"/>
      <c r="B2603" s="19"/>
      <c r="C2603" s="19"/>
      <c r="D2603" s="19"/>
      <c r="E2603" s="22"/>
      <c r="F2603" s="19"/>
      <c r="G2603" s="26" t="str">
        <f aca="false">IF(D2603="","",IFERROR(VALUE(LEFT(D2603,FIND(" |",D2603&amp;" |")-1)),"?"))</f>
        <v/>
      </c>
      <c r="H2603" s="27" t="str">
        <f aca="false">IF(G2603="","",IF(G2603="?","⚠ pub inconnue",IFERROR(INDEX(Pubs!$B$2:$B$3001,MATCH(G2603,Pubs!$A$2:$A$3001,0))&amp;"","⚠ pub inconnue")))</f>
        <v/>
      </c>
      <c r="I2603" s="27" t="str">
        <f aca="false">IF(OR(G2603="",G2603="?"),"",IFERROR(INDEX(Pubs!$C$2:$C$3001,MATCH(G2603,Pubs!$A$2:$A$3001,0))&amp;"",""))</f>
        <v/>
      </c>
      <c r="J2603" s="27" t="str">
        <f aca="false">IF(OR(G2603="",G2603="?"),"",IFERROR(INDEX(Pubs!$G$2:$G$3001,MATCH(G2603,Pubs!$A$2:$A$3001,0))&amp;"",""))</f>
        <v/>
      </c>
      <c r="K2603" s="28" t="str">
        <f aca="false">IF(OR(G2603="",G2603="?"),"",IFERROR(INDEX(Pubs!$E$2:$E$3001,MATCH(G2603,Pubs!$A$2:$A$3001,0)),""))</f>
        <v/>
      </c>
      <c r="L2603" s="29" t="str">
        <f aca="false">IF(A2603="","",IFERROR(1/(1/INDEX(Numéros!$C$2:$C$3001,MATCH(A2603&amp;"|"&amp;B2603,Numéros!$F$2:$F$3001,0))),""))</f>
        <v/>
      </c>
      <c r="M2603" s="27" t="str">
        <f aca="false">IF(OR(G2603="",G2603="?"),"",IFERROR(INDEX(Pubs!$D$2:$D$3001,MATCH(G2603,Pubs!$A$2:$A$3001,0))&amp;"",""))</f>
        <v/>
      </c>
      <c r="N2603" s="27" t="n">
        <f aca="false">N(N2602)+IF(AND(A2603&lt;&gt;"",OR(Recherche!$C$4="",A2603=Recherche!$C$4),OR(Recherche!$C$5="",B2603&amp;""=Recherche!$C$5&amp;""),OR(Recherche!$C$6="",IFERROR(YEAR(L2603),0)=Recherche!$C$6),OR(Recherche!$C$7="",ISNUMBER(SEARCH(Recherche!$C$7,H2603))),OR(Recherche!$C$8="",J2603=Recherche!$C$8),OR(Recherche!$C$9="",I2603=Recherche!$C$9),OR(Recherche!$C$10="",G2603&amp;""=Recherche!$C$10&amp;""),OR(Recherche!$C$11="",E2603=Recherche!$C$11),OR(Recherche!$C$12="",ISNUMBER(SEARCH(Recherche!$C$12,M2603&amp;" "&amp;F2603)))),1,0)</f>
        <v>8</v>
      </c>
    </row>
    <row r="2604" customFormat="false" ht="15" hidden="false" customHeight="false" outlineLevel="0" collapsed="false">
      <c r="A2604" s="19"/>
      <c r="B2604" s="19"/>
      <c r="C2604" s="19"/>
      <c r="D2604" s="19"/>
      <c r="E2604" s="22"/>
      <c r="F2604" s="19"/>
      <c r="G2604" s="26" t="str">
        <f aca="false">IF(D2604="","",IFERROR(VALUE(LEFT(D2604,FIND(" |",D2604&amp;" |")-1)),"?"))</f>
        <v/>
      </c>
      <c r="H2604" s="27" t="str">
        <f aca="false">IF(G2604="","",IF(G2604="?","⚠ pub inconnue",IFERROR(INDEX(Pubs!$B$2:$B$3001,MATCH(G2604,Pubs!$A$2:$A$3001,0))&amp;"","⚠ pub inconnue")))</f>
        <v/>
      </c>
      <c r="I2604" s="27" t="str">
        <f aca="false">IF(OR(G2604="",G2604="?"),"",IFERROR(INDEX(Pubs!$C$2:$C$3001,MATCH(G2604,Pubs!$A$2:$A$3001,0))&amp;"",""))</f>
        <v/>
      </c>
      <c r="J2604" s="27" t="str">
        <f aca="false">IF(OR(G2604="",G2604="?"),"",IFERROR(INDEX(Pubs!$G$2:$G$3001,MATCH(G2604,Pubs!$A$2:$A$3001,0))&amp;"",""))</f>
        <v/>
      </c>
      <c r="K2604" s="28" t="str">
        <f aca="false">IF(OR(G2604="",G2604="?"),"",IFERROR(INDEX(Pubs!$E$2:$E$3001,MATCH(G2604,Pubs!$A$2:$A$3001,0)),""))</f>
        <v/>
      </c>
      <c r="L2604" s="29" t="str">
        <f aca="false">IF(A2604="","",IFERROR(1/(1/INDEX(Numéros!$C$2:$C$3001,MATCH(A2604&amp;"|"&amp;B2604,Numéros!$F$2:$F$3001,0))),""))</f>
        <v/>
      </c>
      <c r="M2604" s="27" t="str">
        <f aca="false">IF(OR(G2604="",G2604="?"),"",IFERROR(INDEX(Pubs!$D$2:$D$3001,MATCH(G2604,Pubs!$A$2:$A$3001,0))&amp;"",""))</f>
        <v/>
      </c>
      <c r="N2604" s="27" t="n">
        <f aca="false">N(N2603)+IF(AND(A2604&lt;&gt;"",OR(Recherche!$C$4="",A2604=Recherche!$C$4),OR(Recherche!$C$5="",B2604&amp;""=Recherche!$C$5&amp;""),OR(Recherche!$C$6="",IFERROR(YEAR(L2604),0)=Recherche!$C$6),OR(Recherche!$C$7="",ISNUMBER(SEARCH(Recherche!$C$7,H2604))),OR(Recherche!$C$8="",J2604=Recherche!$C$8),OR(Recherche!$C$9="",I2604=Recherche!$C$9),OR(Recherche!$C$10="",G2604&amp;""=Recherche!$C$10&amp;""),OR(Recherche!$C$11="",E2604=Recherche!$C$11),OR(Recherche!$C$12="",ISNUMBER(SEARCH(Recherche!$C$12,M2604&amp;" "&amp;F2604)))),1,0)</f>
        <v>8</v>
      </c>
    </row>
    <row r="2605" customFormat="false" ht="15" hidden="false" customHeight="false" outlineLevel="0" collapsed="false">
      <c r="A2605" s="19"/>
      <c r="B2605" s="19"/>
      <c r="C2605" s="19"/>
      <c r="D2605" s="19"/>
      <c r="E2605" s="22"/>
      <c r="F2605" s="19"/>
      <c r="G2605" s="26" t="str">
        <f aca="false">IF(D2605="","",IFERROR(VALUE(LEFT(D2605,FIND(" |",D2605&amp;" |")-1)),"?"))</f>
        <v/>
      </c>
      <c r="H2605" s="27" t="str">
        <f aca="false">IF(G2605="","",IF(G2605="?","⚠ pub inconnue",IFERROR(INDEX(Pubs!$B$2:$B$3001,MATCH(G2605,Pubs!$A$2:$A$3001,0))&amp;"","⚠ pub inconnue")))</f>
        <v/>
      </c>
      <c r="I2605" s="27" t="str">
        <f aca="false">IF(OR(G2605="",G2605="?"),"",IFERROR(INDEX(Pubs!$C$2:$C$3001,MATCH(G2605,Pubs!$A$2:$A$3001,0))&amp;"",""))</f>
        <v/>
      </c>
      <c r="J2605" s="27" t="str">
        <f aca="false">IF(OR(G2605="",G2605="?"),"",IFERROR(INDEX(Pubs!$G$2:$G$3001,MATCH(G2605,Pubs!$A$2:$A$3001,0))&amp;"",""))</f>
        <v/>
      </c>
      <c r="K2605" s="28" t="str">
        <f aca="false">IF(OR(G2605="",G2605="?"),"",IFERROR(INDEX(Pubs!$E$2:$E$3001,MATCH(G2605,Pubs!$A$2:$A$3001,0)),""))</f>
        <v/>
      </c>
      <c r="L2605" s="29" t="str">
        <f aca="false">IF(A2605="","",IFERROR(1/(1/INDEX(Numéros!$C$2:$C$3001,MATCH(A2605&amp;"|"&amp;B2605,Numéros!$F$2:$F$3001,0))),""))</f>
        <v/>
      </c>
      <c r="M2605" s="27" t="str">
        <f aca="false">IF(OR(G2605="",G2605="?"),"",IFERROR(INDEX(Pubs!$D$2:$D$3001,MATCH(G2605,Pubs!$A$2:$A$3001,0))&amp;"",""))</f>
        <v/>
      </c>
      <c r="N2605" s="27" t="n">
        <f aca="false">N(N2604)+IF(AND(A2605&lt;&gt;"",OR(Recherche!$C$4="",A2605=Recherche!$C$4),OR(Recherche!$C$5="",B2605&amp;""=Recherche!$C$5&amp;""),OR(Recherche!$C$6="",IFERROR(YEAR(L2605),0)=Recherche!$C$6),OR(Recherche!$C$7="",ISNUMBER(SEARCH(Recherche!$C$7,H2605))),OR(Recherche!$C$8="",J2605=Recherche!$C$8),OR(Recherche!$C$9="",I2605=Recherche!$C$9),OR(Recherche!$C$10="",G2605&amp;""=Recherche!$C$10&amp;""),OR(Recherche!$C$11="",E2605=Recherche!$C$11),OR(Recherche!$C$12="",ISNUMBER(SEARCH(Recherche!$C$12,M2605&amp;" "&amp;F2605)))),1,0)</f>
        <v>8</v>
      </c>
    </row>
    <row r="2606" customFormat="false" ht="15" hidden="false" customHeight="false" outlineLevel="0" collapsed="false">
      <c r="A2606" s="19"/>
      <c r="B2606" s="19"/>
      <c r="C2606" s="19"/>
      <c r="D2606" s="19"/>
      <c r="E2606" s="22"/>
      <c r="F2606" s="19"/>
      <c r="G2606" s="26" t="str">
        <f aca="false">IF(D2606="","",IFERROR(VALUE(LEFT(D2606,FIND(" |",D2606&amp;" |")-1)),"?"))</f>
        <v/>
      </c>
      <c r="H2606" s="27" t="str">
        <f aca="false">IF(G2606="","",IF(G2606="?","⚠ pub inconnue",IFERROR(INDEX(Pubs!$B$2:$B$3001,MATCH(G2606,Pubs!$A$2:$A$3001,0))&amp;"","⚠ pub inconnue")))</f>
        <v/>
      </c>
      <c r="I2606" s="27" t="str">
        <f aca="false">IF(OR(G2606="",G2606="?"),"",IFERROR(INDEX(Pubs!$C$2:$C$3001,MATCH(G2606,Pubs!$A$2:$A$3001,0))&amp;"",""))</f>
        <v/>
      </c>
      <c r="J2606" s="27" t="str">
        <f aca="false">IF(OR(G2606="",G2606="?"),"",IFERROR(INDEX(Pubs!$G$2:$G$3001,MATCH(G2606,Pubs!$A$2:$A$3001,0))&amp;"",""))</f>
        <v/>
      </c>
      <c r="K2606" s="28" t="str">
        <f aca="false">IF(OR(G2606="",G2606="?"),"",IFERROR(INDEX(Pubs!$E$2:$E$3001,MATCH(G2606,Pubs!$A$2:$A$3001,0)),""))</f>
        <v/>
      </c>
      <c r="L2606" s="29" t="str">
        <f aca="false">IF(A2606="","",IFERROR(1/(1/INDEX(Numéros!$C$2:$C$3001,MATCH(A2606&amp;"|"&amp;B2606,Numéros!$F$2:$F$3001,0))),""))</f>
        <v/>
      </c>
      <c r="M2606" s="27" t="str">
        <f aca="false">IF(OR(G2606="",G2606="?"),"",IFERROR(INDEX(Pubs!$D$2:$D$3001,MATCH(G2606,Pubs!$A$2:$A$3001,0))&amp;"",""))</f>
        <v/>
      </c>
      <c r="N2606" s="27" t="n">
        <f aca="false">N(N2605)+IF(AND(A2606&lt;&gt;"",OR(Recherche!$C$4="",A2606=Recherche!$C$4),OR(Recherche!$C$5="",B2606&amp;""=Recherche!$C$5&amp;""),OR(Recherche!$C$6="",IFERROR(YEAR(L2606),0)=Recherche!$C$6),OR(Recherche!$C$7="",ISNUMBER(SEARCH(Recherche!$C$7,H2606))),OR(Recherche!$C$8="",J2606=Recherche!$C$8),OR(Recherche!$C$9="",I2606=Recherche!$C$9),OR(Recherche!$C$10="",G2606&amp;""=Recherche!$C$10&amp;""),OR(Recherche!$C$11="",E2606=Recherche!$C$11),OR(Recherche!$C$12="",ISNUMBER(SEARCH(Recherche!$C$12,M2606&amp;" "&amp;F2606)))),1,0)</f>
        <v>8</v>
      </c>
    </row>
    <row r="2607" customFormat="false" ht="15" hidden="false" customHeight="false" outlineLevel="0" collapsed="false">
      <c r="A2607" s="19"/>
      <c r="B2607" s="19"/>
      <c r="C2607" s="19"/>
      <c r="D2607" s="19"/>
      <c r="E2607" s="22"/>
      <c r="F2607" s="19"/>
      <c r="G2607" s="26" t="str">
        <f aca="false">IF(D2607="","",IFERROR(VALUE(LEFT(D2607,FIND(" |",D2607&amp;" |")-1)),"?"))</f>
        <v/>
      </c>
      <c r="H2607" s="27" t="str">
        <f aca="false">IF(G2607="","",IF(G2607="?","⚠ pub inconnue",IFERROR(INDEX(Pubs!$B$2:$B$3001,MATCH(G2607,Pubs!$A$2:$A$3001,0))&amp;"","⚠ pub inconnue")))</f>
        <v/>
      </c>
      <c r="I2607" s="27" t="str">
        <f aca="false">IF(OR(G2607="",G2607="?"),"",IFERROR(INDEX(Pubs!$C$2:$C$3001,MATCH(G2607,Pubs!$A$2:$A$3001,0))&amp;"",""))</f>
        <v/>
      </c>
      <c r="J2607" s="27" t="str">
        <f aca="false">IF(OR(G2607="",G2607="?"),"",IFERROR(INDEX(Pubs!$G$2:$G$3001,MATCH(G2607,Pubs!$A$2:$A$3001,0))&amp;"",""))</f>
        <v/>
      </c>
      <c r="K2607" s="28" t="str">
        <f aca="false">IF(OR(G2607="",G2607="?"),"",IFERROR(INDEX(Pubs!$E$2:$E$3001,MATCH(G2607,Pubs!$A$2:$A$3001,0)),""))</f>
        <v/>
      </c>
      <c r="L2607" s="29" t="str">
        <f aca="false">IF(A2607="","",IFERROR(1/(1/INDEX(Numéros!$C$2:$C$3001,MATCH(A2607&amp;"|"&amp;B2607,Numéros!$F$2:$F$3001,0))),""))</f>
        <v/>
      </c>
      <c r="M2607" s="27" t="str">
        <f aca="false">IF(OR(G2607="",G2607="?"),"",IFERROR(INDEX(Pubs!$D$2:$D$3001,MATCH(G2607,Pubs!$A$2:$A$3001,0))&amp;"",""))</f>
        <v/>
      </c>
      <c r="N2607" s="27" t="n">
        <f aca="false">N(N2606)+IF(AND(A2607&lt;&gt;"",OR(Recherche!$C$4="",A2607=Recherche!$C$4),OR(Recherche!$C$5="",B2607&amp;""=Recherche!$C$5&amp;""),OR(Recherche!$C$6="",IFERROR(YEAR(L2607),0)=Recherche!$C$6),OR(Recherche!$C$7="",ISNUMBER(SEARCH(Recherche!$C$7,H2607))),OR(Recherche!$C$8="",J2607=Recherche!$C$8),OR(Recherche!$C$9="",I2607=Recherche!$C$9),OR(Recherche!$C$10="",G2607&amp;""=Recherche!$C$10&amp;""),OR(Recherche!$C$11="",E2607=Recherche!$C$11),OR(Recherche!$C$12="",ISNUMBER(SEARCH(Recherche!$C$12,M2607&amp;" "&amp;F2607)))),1,0)</f>
        <v>8</v>
      </c>
    </row>
    <row r="2608" customFormat="false" ht="15" hidden="false" customHeight="false" outlineLevel="0" collapsed="false">
      <c r="A2608" s="19"/>
      <c r="B2608" s="19"/>
      <c r="C2608" s="19"/>
      <c r="D2608" s="19"/>
      <c r="E2608" s="22"/>
      <c r="F2608" s="19"/>
      <c r="G2608" s="26" t="str">
        <f aca="false">IF(D2608="","",IFERROR(VALUE(LEFT(D2608,FIND(" |",D2608&amp;" |")-1)),"?"))</f>
        <v/>
      </c>
      <c r="H2608" s="27" t="str">
        <f aca="false">IF(G2608="","",IF(G2608="?","⚠ pub inconnue",IFERROR(INDEX(Pubs!$B$2:$B$3001,MATCH(G2608,Pubs!$A$2:$A$3001,0))&amp;"","⚠ pub inconnue")))</f>
        <v/>
      </c>
      <c r="I2608" s="27" t="str">
        <f aca="false">IF(OR(G2608="",G2608="?"),"",IFERROR(INDEX(Pubs!$C$2:$C$3001,MATCH(G2608,Pubs!$A$2:$A$3001,0))&amp;"",""))</f>
        <v/>
      </c>
      <c r="J2608" s="27" t="str">
        <f aca="false">IF(OR(G2608="",G2608="?"),"",IFERROR(INDEX(Pubs!$G$2:$G$3001,MATCH(G2608,Pubs!$A$2:$A$3001,0))&amp;"",""))</f>
        <v/>
      </c>
      <c r="K2608" s="28" t="str">
        <f aca="false">IF(OR(G2608="",G2608="?"),"",IFERROR(INDEX(Pubs!$E$2:$E$3001,MATCH(G2608,Pubs!$A$2:$A$3001,0)),""))</f>
        <v/>
      </c>
      <c r="L2608" s="29" t="str">
        <f aca="false">IF(A2608="","",IFERROR(1/(1/INDEX(Numéros!$C$2:$C$3001,MATCH(A2608&amp;"|"&amp;B2608,Numéros!$F$2:$F$3001,0))),""))</f>
        <v/>
      </c>
      <c r="M2608" s="27" t="str">
        <f aca="false">IF(OR(G2608="",G2608="?"),"",IFERROR(INDEX(Pubs!$D$2:$D$3001,MATCH(G2608,Pubs!$A$2:$A$3001,0))&amp;"",""))</f>
        <v/>
      </c>
      <c r="N2608" s="27" t="n">
        <f aca="false">N(N2607)+IF(AND(A2608&lt;&gt;"",OR(Recherche!$C$4="",A2608=Recherche!$C$4),OR(Recherche!$C$5="",B2608&amp;""=Recherche!$C$5&amp;""),OR(Recherche!$C$6="",IFERROR(YEAR(L2608),0)=Recherche!$C$6),OR(Recherche!$C$7="",ISNUMBER(SEARCH(Recherche!$C$7,H2608))),OR(Recherche!$C$8="",J2608=Recherche!$C$8),OR(Recherche!$C$9="",I2608=Recherche!$C$9),OR(Recherche!$C$10="",G2608&amp;""=Recherche!$C$10&amp;""),OR(Recherche!$C$11="",E2608=Recherche!$C$11),OR(Recherche!$C$12="",ISNUMBER(SEARCH(Recherche!$C$12,M2608&amp;" "&amp;F2608)))),1,0)</f>
        <v>8</v>
      </c>
    </row>
    <row r="2609" customFormat="false" ht="15" hidden="false" customHeight="false" outlineLevel="0" collapsed="false">
      <c r="A2609" s="19"/>
      <c r="B2609" s="19"/>
      <c r="C2609" s="19"/>
      <c r="D2609" s="19"/>
      <c r="E2609" s="22"/>
      <c r="F2609" s="19"/>
      <c r="G2609" s="26" t="str">
        <f aca="false">IF(D2609="","",IFERROR(VALUE(LEFT(D2609,FIND(" |",D2609&amp;" |")-1)),"?"))</f>
        <v/>
      </c>
      <c r="H2609" s="27" t="str">
        <f aca="false">IF(G2609="","",IF(G2609="?","⚠ pub inconnue",IFERROR(INDEX(Pubs!$B$2:$B$3001,MATCH(G2609,Pubs!$A$2:$A$3001,0))&amp;"","⚠ pub inconnue")))</f>
        <v/>
      </c>
      <c r="I2609" s="27" t="str">
        <f aca="false">IF(OR(G2609="",G2609="?"),"",IFERROR(INDEX(Pubs!$C$2:$C$3001,MATCH(G2609,Pubs!$A$2:$A$3001,0))&amp;"",""))</f>
        <v/>
      </c>
      <c r="J2609" s="27" t="str">
        <f aca="false">IF(OR(G2609="",G2609="?"),"",IFERROR(INDEX(Pubs!$G$2:$G$3001,MATCH(G2609,Pubs!$A$2:$A$3001,0))&amp;"",""))</f>
        <v/>
      </c>
      <c r="K2609" s="28" t="str">
        <f aca="false">IF(OR(G2609="",G2609="?"),"",IFERROR(INDEX(Pubs!$E$2:$E$3001,MATCH(G2609,Pubs!$A$2:$A$3001,0)),""))</f>
        <v/>
      </c>
      <c r="L2609" s="29" t="str">
        <f aca="false">IF(A2609="","",IFERROR(1/(1/INDEX(Numéros!$C$2:$C$3001,MATCH(A2609&amp;"|"&amp;B2609,Numéros!$F$2:$F$3001,0))),""))</f>
        <v/>
      </c>
      <c r="M2609" s="27" t="str">
        <f aca="false">IF(OR(G2609="",G2609="?"),"",IFERROR(INDEX(Pubs!$D$2:$D$3001,MATCH(G2609,Pubs!$A$2:$A$3001,0))&amp;"",""))</f>
        <v/>
      </c>
      <c r="N2609" s="27" t="n">
        <f aca="false">N(N2608)+IF(AND(A2609&lt;&gt;"",OR(Recherche!$C$4="",A2609=Recherche!$C$4),OR(Recherche!$C$5="",B2609&amp;""=Recherche!$C$5&amp;""),OR(Recherche!$C$6="",IFERROR(YEAR(L2609),0)=Recherche!$C$6),OR(Recherche!$C$7="",ISNUMBER(SEARCH(Recherche!$C$7,H2609))),OR(Recherche!$C$8="",J2609=Recherche!$C$8),OR(Recherche!$C$9="",I2609=Recherche!$C$9),OR(Recherche!$C$10="",G2609&amp;""=Recherche!$C$10&amp;""),OR(Recherche!$C$11="",E2609=Recherche!$C$11),OR(Recherche!$C$12="",ISNUMBER(SEARCH(Recherche!$C$12,M2609&amp;" "&amp;F2609)))),1,0)</f>
        <v>8</v>
      </c>
    </row>
    <row r="2610" customFormat="false" ht="15" hidden="false" customHeight="false" outlineLevel="0" collapsed="false">
      <c r="A2610" s="19"/>
      <c r="B2610" s="19"/>
      <c r="C2610" s="19"/>
      <c r="D2610" s="19"/>
      <c r="E2610" s="22"/>
      <c r="F2610" s="19"/>
      <c r="G2610" s="26" t="str">
        <f aca="false">IF(D2610="","",IFERROR(VALUE(LEFT(D2610,FIND(" |",D2610&amp;" |")-1)),"?"))</f>
        <v/>
      </c>
      <c r="H2610" s="27" t="str">
        <f aca="false">IF(G2610="","",IF(G2610="?","⚠ pub inconnue",IFERROR(INDEX(Pubs!$B$2:$B$3001,MATCH(G2610,Pubs!$A$2:$A$3001,0))&amp;"","⚠ pub inconnue")))</f>
        <v/>
      </c>
      <c r="I2610" s="27" t="str">
        <f aca="false">IF(OR(G2610="",G2610="?"),"",IFERROR(INDEX(Pubs!$C$2:$C$3001,MATCH(G2610,Pubs!$A$2:$A$3001,0))&amp;"",""))</f>
        <v/>
      </c>
      <c r="J2610" s="27" t="str">
        <f aca="false">IF(OR(G2610="",G2610="?"),"",IFERROR(INDEX(Pubs!$G$2:$G$3001,MATCH(G2610,Pubs!$A$2:$A$3001,0))&amp;"",""))</f>
        <v/>
      </c>
      <c r="K2610" s="28" t="str">
        <f aca="false">IF(OR(G2610="",G2610="?"),"",IFERROR(INDEX(Pubs!$E$2:$E$3001,MATCH(G2610,Pubs!$A$2:$A$3001,0)),""))</f>
        <v/>
      </c>
      <c r="L2610" s="29" t="str">
        <f aca="false">IF(A2610="","",IFERROR(1/(1/INDEX(Numéros!$C$2:$C$3001,MATCH(A2610&amp;"|"&amp;B2610,Numéros!$F$2:$F$3001,0))),""))</f>
        <v/>
      </c>
      <c r="M2610" s="27" t="str">
        <f aca="false">IF(OR(G2610="",G2610="?"),"",IFERROR(INDEX(Pubs!$D$2:$D$3001,MATCH(G2610,Pubs!$A$2:$A$3001,0))&amp;"",""))</f>
        <v/>
      </c>
      <c r="N2610" s="27" t="n">
        <f aca="false">N(N2609)+IF(AND(A2610&lt;&gt;"",OR(Recherche!$C$4="",A2610=Recherche!$C$4),OR(Recherche!$C$5="",B2610&amp;""=Recherche!$C$5&amp;""),OR(Recherche!$C$6="",IFERROR(YEAR(L2610),0)=Recherche!$C$6),OR(Recherche!$C$7="",ISNUMBER(SEARCH(Recherche!$C$7,H2610))),OR(Recherche!$C$8="",J2610=Recherche!$C$8),OR(Recherche!$C$9="",I2610=Recherche!$C$9),OR(Recherche!$C$10="",G2610&amp;""=Recherche!$C$10&amp;""),OR(Recherche!$C$11="",E2610=Recherche!$C$11),OR(Recherche!$C$12="",ISNUMBER(SEARCH(Recherche!$C$12,M2610&amp;" "&amp;F2610)))),1,0)</f>
        <v>8</v>
      </c>
    </row>
    <row r="2611" customFormat="false" ht="15" hidden="false" customHeight="false" outlineLevel="0" collapsed="false">
      <c r="A2611" s="19"/>
      <c r="B2611" s="19"/>
      <c r="C2611" s="19"/>
      <c r="D2611" s="19"/>
      <c r="E2611" s="22"/>
      <c r="F2611" s="19"/>
      <c r="G2611" s="26" t="str">
        <f aca="false">IF(D2611="","",IFERROR(VALUE(LEFT(D2611,FIND(" |",D2611&amp;" |")-1)),"?"))</f>
        <v/>
      </c>
      <c r="H2611" s="27" t="str">
        <f aca="false">IF(G2611="","",IF(G2611="?","⚠ pub inconnue",IFERROR(INDEX(Pubs!$B$2:$B$3001,MATCH(G2611,Pubs!$A$2:$A$3001,0))&amp;"","⚠ pub inconnue")))</f>
        <v/>
      </c>
      <c r="I2611" s="27" t="str">
        <f aca="false">IF(OR(G2611="",G2611="?"),"",IFERROR(INDEX(Pubs!$C$2:$C$3001,MATCH(G2611,Pubs!$A$2:$A$3001,0))&amp;"",""))</f>
        <v/>
      </c>
      <c r="J2611" s="27" t="str">
        <f aca="false">IF(OR(G2611="",G2611="?"),"",IFERROR(INDEX(Pubs!$G$2:$G$3001,MATCH(G2611,Pubs!$A$2:$A$3001,0))&amp;"",""))</f>
        <v/>
      </c>
      <c r="K2611" s="28" t="str">
        <f aca="false">IF(OR(G2611="",G2611="?"),"",IFERROR(INDEX(Pubs!$E$2:$E$3001,MATCH(G2611,Pubs!$A$2:$A$3001,0)),""))</f>
        <v/>
      </c>
      <c r="L2611" s="29" t="str">
        <f aca="false">IF(A2611="","",IFERROR(1/(1/INDEX(Numéros!$C$2:$C$3001,MATCH(A2611&amp;"|"&amp;B2611,Numéros!$F$2:$F$3001,0))),""))</f>
        <v/>
      </c>
      <c r="M2611" s="27" t="str">
        <f aca="false">IF(OR(G2611="",G2611="?"),"",IFERROR(INDEX(Pubs!$D$2:$D$3001,MATCH(G2611,Pubs!$A$2:$A$3001,0))&amp;"",""))</f>
        <v/>
      </c>
      <c r="N2611" s="27" t="n">
        <f aca="false">N(N2610)+IF(AND(A2611&lt;&gt;"",OR(Recherche!$C$4="",A2611=Recherche!$C$4),OR(Recherche!$C$5="",B2611&amp;""=Recherche!$C$5&amp;""),OR(Recherche!$C$6="",IFERROR(YEAR(L2611),0)=Recherche!$C$6),OR(Recherche!$C$7="",ISNUMBER(SEARCH(Recherche!$C$7,H2611))),OR(Recherche!$C$8="",J2611=Recherche!$C$8),OR(Recherche!$C$9="",I2611=Recherche!$C$9),OR(Recherche!$C$10="",G2611&amp;""=Recherche!$C$10&amp;""),OR(Recherche!$C$11="",E2611=Recherche!$C$11),OR(Recherche!$C$12="",ISNUMBER(SEARCH(Recherche!$C$12,M2611&amp;" "&amp;F2611)))),1,0)</f>
        <v>8</v>
      </c>
    </row>
    <row r="2612" customFormat="false" ht="15" hidden="false" customHeight="false" outlineLevel="0" collapsed="false">
      <c r="A2612" s="19"/>
      <c r="B2612" s="19"/>
      <c r="C2612" s="19"/>
      <c r="D2612" s="19"/>
      <c r="E2612" s="22"/>
      <c r="F2612" s="19"/>
      <c r="G2612" s="26" t="str">
        <f aca="false">IF(D2612="","",IFERROR(VALUE(LEFT(D2612,FIND(" |",D2612&amp;" |")-1)),"?"))</f>
        <v/>
      </c>
      <c r="H2612" s="27" t="str">
        <f aca="false">IF(G2612="","",IF(G2612="?","⚠ pub inconnue",IFERROR(INDEX(Pubs!$B$2:$B$3001,MATCH(G2612,Pubs!$A$2:$A$3001,0))&amp;"","⚠ pub inconnue")))</f>
        <v/>
      </c>
      <c r="I2612" s="27" t="str">
        <f aca="false">IF(OR(G2612="",G2612="?"),"",IFERROR(INDEX(Pubs!$C$2:$C$3001,MATCH(G2612,Pubs!$A$2:$A$3001,0))&amp;"",""))</f>
        <v/>
      </c>
      <c r="J2612" s="27" t="str">
        <f aca="false">IF(OR(G2612="",G2612="?"),"",IFERROR(INDEX(Pubs!$G$2:$G$3001,MATCH(G2612,Pubs!$A$2:$A$3001,0))&amp;"",""))</f>
        <v/>
      </c>
      <c r="K2612" s="28" t="str">
        <f aca="false">IF(OR(G2612="",G2612="?"),"",IFERROR(INDEX(Pubs!$E$2:$E$3001,MATCH(G2612,Pubs!$A$2:$A$3001,0)),""))</f>
        <v/>
      </c>
      <c r="L2612" s="29" t="str">
        <f aca="false">IF(A2612="","",IFERROR(1/(1/INDEX(Numéros!$C$2:$C$3001,MATCH(A2612&amp;"|"&amp;B2612,Numéros!$F$2:$F$3001,0))),""))</f>
        <v/>
      </c>
      <c r="M2612" s="27" t="str">
        <f aca="false">IF(OR(G2612="",G2612="?"),"",IFERROR(INDEX(Pubs!$D$2:$D$3001,MATCH(G2612,Pubs!$A$2:$A$3001,0))&amp;"",""))</f>
        <v/>
      </c>
      <c r="N2612" s="27" t="n">
        <f aca="false">N(N2611)+IF(AND(A2612&lt;&gt;"",OR(Recherche!$C$4="",A2612=Recherche!$C$4),OR(Recherche!$C$5="",B2612&amp;""=Recherche!$C$5&amp;""),OR(Recherche!$C$6="",IFERROR(YEAR(L2612),0)=Recherche!$C$6),OR(Recherche!$C$7="",ISNUMBER(SEARCH(Recherche!$C$7,H2612))),OR(Recherche!$C$8="",J2612=Recherche!$C$8),OR(Recherche!$C$9="",I2612=Recherche!$C$9),OR(Recherche!$C$10="",G2612&amp;""=Recherche!$C$10&amp;""),OR(Recherche!$C$11="",E2612=Recherche!$C$11),OR(Recherche!$C$12="",ISNUMBER(SEARCH(Recherche!$C$12,M2612&amp;" "&amp;F2612)))),1,0)</f>
        <v>8</v>
      </c>
    </row>
    <row r="2613" customFormat="false" ht="15" hidden="false" customHeight="false" outlineLevel="0" collapsed="false">
      <c r="A2613" s="19"/>
      <c r="B2613" s="19"/>
      <c r="C2613" s="19"/>
      <c r="D2613" s="19"/>
      <c r="E2613" s="22"/>
      <c r="F2613" s="19"/>
      <c r="G2613" s="26" t="str">
        <f aca="false">IF(D2613="","",IFERROR(VALUE(LEFT(D2613,FIND(" |",D2613&amp;" |")-1)),"?"))</f>
        <v/>
      </c>
      <c r="H2613" s="27" t="str">
        <f aca="false">IF(G2613="","",IF(G2613="?","⚠ pub inconnue",IFERROR(INDEX(Pubs!$B$2:$B$3001,MATCH(G2613,Pubs!$A$2:$A$3001,0))&amp;"","⚠ pub inconnue")))</f>
        <v/>
      </c>
      <c r="I2613" s="27" t="str">
        <f aca="false">IF(OR(G2613="",G2613="?"),"",IFERROR(INDEX(Pubs!$C$2:$C$3001,MATCH(G2613,Pubs!$A$2:$A$3001,0))&amp;"",""))</f>
        <v/>
      </c>
      <c r="J2613" s="27" t="str">
        <f aca="false">IF(OR(G2613="",G2613="?"),"",IFERROR(INDEX(Pubs!$G$2:$G$3001,MATCH(G2613,Pubs!$A$2:$A$3001,0))&amp;"",""))</f>
        <v/>
      </c>
      <c r="K2613" s="28" t="str">
        <f aca="false">IF(OR(G2613="",G2613="?"),"",IFERROR(INDEX(Pubs!$E$2:$E$3001,MATCH(G2613,Pubs!$A$2:$A$3001,0)),""))</f>
        <v/>
      </c>
      <c r="L2613" s="29" t="str">
        <f aca="false">IF(A2613="","",IFERROR(1/(1/INDEX(Numéros!$C$2:$C$3001,MATCH(A2613&amp;"|"&amp;B2613,Numéros!$F$2:$F$3001,0))),""))</f>
        <v/>
      </c>
      <c r="M2613" s="27" t="str">
        <f aca="false">IF(OR(G2613="",G2613="?"),"",IFERROR(INDEX(Pubs!$D$2:$D$3001,MATCH(G2613,Pubs!$A$2:$A$3001,0))&amp;"",""))</f>
        <v/>
      </c>
      <c r="N2613" s="27" t="n">
        <f aca="false">N(N2612)+IF(AND(A2613&lt;&gt;"",OR(Recherche!$C$4="",A2613=Recherche!$C$4),OR(Recherche!$C$5="",B2613&amp;""=Recherche!$C$5&amp;""),OR(Recherche!$C$6="",IFERROR(YEAR(L2613),0)=Recherche!$C$6),OR(Recherche!$C$7="",ISNUMBER(SEARCH(Recherche!$C$7,H2613))),OR(Recherche!$C$8="",J2613=Recherche!$C$8),OR(Recherche!$C$9="",I2613=Recherche!$C$9),OR(Recherche!$C$10="",G2613&amp;""=Recherche!$C$10&amp;""),OR(Recherche!$C$11="",E2613=Recherche!$C$11),OR(Recherche!$C$12="",ISNUMBER(SEARCH(Recherche!$C$12,M2613&amp;" "&amp;F2613)))),1,0)</f>
        <v>8</v>
      </c>
    </row>
    <row r="2614" customFormat="false" ht="15" hidden="false" customHeight="false" outlineLevel="0" collapsed="false">
      <c r="A2614" s="19"/>
      <c r="B2614" s="19"/>
      <c r="C2614" s="19"/>
      <c r="D2614" s="19"/>
      <c r="E2614" s="22"/>
      <c r="F2614" s="19"/>
      <c r="G2614" s="26" t="str">
        <f aca="false">IF(D2614="","",IFERROR(VALUE(LEFT(D2614,FIND(" |",D2614&amp;" |")-1)),"?"))</f>
        <v/>
      </c>
      <c r="H2614" s="27" t="str">
        <f aca="false">IF(G2614="","",IF(G2614="?","⚠ pub inconnue",IFERROR(INDEX(Pubs!$B$2:$B$3001,MATCH(G2614,Pubs!$A$2:$A$3001,0))&amp;"","⚠ pub inconnue")))</f>
        <v/>
      </c>
      <c r="I2614" s="27" t="str">
        <f aca="false">IF(OR(G2614="",G2614="?"),"",IFERROR(INDEX(Pubs!$C$2:$C$3001,MATCH(G2614,Pubs!$A$2:$A$3001,0))&amp;"",""))</f>
        <v/>
      </c>
      <c r="J2614" s="27" t="str">
        <f aca="false">IF(OR(G2614="",G2614="?"),"",IFERROR(INDEX(Pubs!$G$2:$G$3001,MATCH(G2614,Pubs!$A$2:$A$3001,0))&amp;"",""))</f>
        <v/>
      </c>
      <c r="K2614" s="28" t="str">
        <f aca="false">IF(OR(G2614="",G2614="?"),"",IFERROR(INDEX(Pubs!$E$2:$E$3001,MATCH(G2614,Pubs!$A$2:$A$3001,0)),""))</f>
        <v/>
      </c>
      <c r="L2614" s="29" t="str">
        <f aca="false">IF(A2614="","",IFERROR(1/(1/INDEX(Numéros!$C$2:$C$3001,MATCH(A2614&amp;"|"&amp;B2614,Numéros!$F$2:$F$3001,0))),""))</f>
        <v/>
      </c>
      <c r="M2614" s="27" t="str">
        <f aca="false">IF(OR(G2614="",G2614="?"),"",IFERROR(INDEX(Pubs!$D$2:$D$3001,MATCH(G2614,Pubs!$A$2:$A$3001,0))&amp;"",""))</f>
        <v/>
      </c>
      <c r="N2614" s="27" t="n">
        <f aca="false">N(N2613)+IF(AND(A2614&lt;&gt;"",OR(Recherche!$C$4="",A2614=Recherche!$C$4),OR(Recherche!$C$5="",B2614&amp;""=Recherche!$C$5&amp;""),OR(Recherche!$C$6="",IFERROR(YEAR(L2614),0)=Recherche!$C$6),OR(Recherche!$C$7="",ISNUMBER(SEARCH(Recherche!$C$7,H2614))),OR(Recherche!$C$8="",J2614=Recherche!$C$8),OR(Recherche!$C$9="",I2614=Recherche!$C$9),OR(Recherche!$C$10="",G2614&amp;""=Recherche!$C$10&amp;""),OR(Recherche!$C$11="",E2614=Recherche!$C$11),OR(Recherche!$C$12="",ISNUMBER(SEARCH(Recherche!$C$12,M2614&amp;" "&amp;F2614)))),1,0)</f>
        <v>8</v>
      </c>
    </row>
    <row r="2615" customFormat="false" ht="15" hidden="false" customHeight="false" outlineLevel="0" collapsed="false">
      <c r="A2615" s="19"/>
      <c r="B2615" s="19"/>
      <c r="C2615" s="19"/>
      <c r="D2615" s="19"/>
      <c r="E2615" s="22"/>
      <c r="F2615" s="19"/>
      <c r="G2615" s="26" t="str">
        <f aca="false">IF(D2615="","",IFERROR(VALUE(LEFT(D2615,FIND(" |",D2615&amp;" |")-1)),"?"))</f>
        <v/>
      </c>
      <c r="H2615" s="27" t="str">
        <f aca="false">IF(G2615="","",IF(G2615="?","⚠ pub inconnue",IFERROR(INDEX(Pubs!$B$2:$B$3001,MATCH(G2615,Pubs!$A$2:$A$3001,0))&amp;"","⚠ pub inconnue")))</f>
        <v/>
      </c>
      <c r="I2615" s="27" t="str">
        <f aca="false">IF(OR(G2615="",G2615="?"),"",IFERROR(INDEX(Pubs!$C$2:$C$3001,MATCH(G2615,Pubs!$A$2:$A$3001,0))&amp;"",""))</f>
        <v/>
      </c>
      <c r="J2615" s="27" t="str">
        <f aca="false">IF(OR(G2615="",G2615="?"),"",IFERROR(INDEX(Pubs!$G$2:$G$3001,MATCH(G2615,Pubs!$A$2:$A$3001,0))&amp;"",""))</f>
        <v/>
      </c>
      <c r="K2615" s="28" t="str">
        <f aca="false">IF(OR(G2615="",G2615="?"),"",IFERROR(INDEX(Pubs!$E$2:$E$3001,MATCH(G2615,Pubs!$A$2:$A$3001,0)),""))</f>
        <v/>
      </c>
      <c r="L2615" s="29" t="str">
        <f aca="false">IF(A2615="","",IFERROR(1/(1/INDEX(Numéros!$C$2:$C$3001,MATCH(A2615&amp;"|"&amp;B2615,Numéros!$F$2:$F$3001,0))),""))</f>
        <v/>
      </c>
      <c r="M2615" s="27" t="str">
        <f aca="false">IF(OR(G2615="",G2615="?"),"",IFERROR(INDEX(Pubs!$D$2:$D$3001,MATCH(G2615,Pubs!$A$2:$A$3001,0))&amp;"",""))</f>
        <v/>
      </c>
      <c r="N2615" s="27" t="n">
        <f aca="false">N(N2614)+IF(AND(A2615&lt;&gt;"",OR(Recherche!$C$4="",A2615=Recherche!$C$4),OR(Recherche!$C$5="",B2615&amp;""=Recherche!$C$5&amp;""),OR(Recherche!$C$6="",IFERROR(YEAR(L2615),0)=Recherche!$C$6),OR(Recherche!$C$7="",ISNUMBER(SEARCH(Recherche!$C$7,H2615))),OR(Recherche!$C$8="",J2615=Recherche!$C$8),OR(Recherche!$C$9="",I2615=Recherche!$C$9),OR(Recherche!$C$10="",G2615&amp;""=Recherche!$C$10&amp;""),OR(Recherche!$C$11="",E2615=Recherche!$C$11),OR(Recherche!$C$12="",ISNUMBER(SEARCH(Recherche!$C$12,M2615&amp;" "&amp;F2615)))),1,0)</f>
        <v>8</v>
      </c>
    </row>
    <row r="2616" customFormat="false" ht="15" hidden="false" customHeight="false" outlineLevel="0" collapsed="false">
      <c r="A2616" s="19"/>
      <c r="B2616" s="19"/>
      <c r="C2616" s="19"/>
      <c r="D2616" s="19"/>
      <c r="E2616" s="22"/>
      <c r="F2616" s="19"/>
      <c r="G2616" s="26" t="str">
        <f aca="false">IF(D2616="","",IFERROR(VALUE(LEFT(D2616,FIND(" |",D2616&amp;" |")-1)),"?"))</f>
        <v/>
      </c>
      <c r="H2616" s="27" t="str">
        <f aca="false">IF(G2616="","",IF(G2616="?","⚠ pub inconnue",IFERROR(INDEX(Pubs!$B$2:$B$3001,MATCH(G2616,Pubs!$A$2:$A$3001,0))&amp;"","⚠ pub inconnue")))</f>
        <v/>
      </c>
      <c r="I2616" s="27" t="str">
        <f aca="false">IF(OR(G2616="",G2616="?"),"",IFERROR(INDEX(Pubs!$C$2:$C$3001,MATCH(G2616,Pubs!$A$2:$A$3001,0))&amp;"",""))</f>
        <v/>
      </c>
      <c r="J2616" s="27" t="str">
        <f aca="false">IF(OR(G2616="",G2616="?"),"",IFERROR(INDEX(Pubs!$G$2:$G$3001,MATCH(G2616,Pubs!$A$2:$A$3001,0))&amp;"",""))</f>
        <v/>
      </c>
      <c r="K2616" s="28" t="str">
        <f aca="false">IF(OR(G2616="",G2616="?"),"",IFERROR(INDEX(Pubs!$E$2:$E$3001,MATCH(G2616,Pubs!$A$2:$A$3001,0)),""))</f>
        <v/>
      </c>
      <c r="L2616" s="29" t="str">
        <f aca="false">IF(A2616="","",IFERROR(1/(1/INDEX(Numéros!$C$2:$C$3001,MATCH(A2616&amp;"|"&amp;B2616,Numéros!$F$2:$F$3001,0))),""))</f>
        <v/>
      </c>
      <c r="M2616" s="27" t="str">
        <f aca="false">IF(OR(G2616="",G2616="?"),"",IFERROR(INDEX(Pubs!$D$2:$D$3001,MATCH(G2616,Pubs!$A$2:$A$3001,0))&amp;"",""))</f>
        <v/>
      </c>
      <c r="N2616" s="27" t="n">
        <f aca="false">N(N2615)+IF(AND(A2616&lt;&gt;"",OR(Recherche!$C$4="",A2616=Recherche!$C$4),OR(Recherche!$C$5="",B2616&amp;""=Recherche!$C$5&amp;""),OR(Recherche!$C$6="",IFERROR(YEAR(L2616),0)=Recherche!$C$6),OR(Recherche!$C$7="",ISNUMBER(SEARCH(Recherche!$C$7,H2616))),OR(Recherche!$C$8="",J2616=Recherche!$C$8),OR(Recherche!$C$9="",I2616=Recherche!$C$9),OR(Recherche!$C$10="",G2616&amp;""=Recherche!$C$10&amp;""),OR(Recherche!$C$11="",E2616=Recherche!$C$11),OR(Recherche!$C$12="",ISNUMBER(SEARCH(Recherche!$C$12,M2616&amp;" "&amp;F2616)))),1,0)</f>
        <v>8</v>
      </c>
    </row>
    <row r="2617" customFormat="false" ht="15" hidden="false" customHeight="false" outlineLevel="0" collapsed="false">
      <c r="A2617" s="19"/>
      <c r="B2617" s="19"/>
      <c r="C2617" s="19"/>
      <c r="D2617" s="19"/>
      <c r="E2617" s="22"/>
      <c r="F2617" s="19"/>
      <c r="G2617" s="26" t="str">
        <f aca="false">IF(D2617="","",IFERROR(VALUE(LEFT(D2617,FIND(" |",D2617&amp;" |")-1)),"?"))</f>
        <v/>
      </c>
      <c r="H2617" s="27" t="str">
        <f aca="false">IF(G2617="","",IF(G2617="?","⚠ pub inconnue",IFERROR(INDEX(Pubs!$B$2:$B$3001,MATCH(G2617,Pubs!$A$2:$A$3001,0))&amp;"","⚠ pub inconnue")))</f>
        <v/>
      </c>
      <c r="I2617" s="27" t="str">
        <f aca="false">IF(OR(G2617="",G2617="?"),"",IFERROR(INDEX(Pubs!$C$2:$C$3001,MATCH(G2617,Pubs!$A$2:$A$3001,0))&amp;"",""))</f>
        <v/>
      </c>
      <c r="J2617" s="27" t="str">
        <f aca="false">IF(OR(G2617="",G2617="?"),"",IFERROR(INDEX(Pubs!$G$2:$G$3001,MATCH(G2617,Pubs!$A$2:$A$3001,0))&amp;"",""))</f>
        <v/>
      </c>
      <c r="K2617" s="28" t="str">
        <f aca="false">IF(OR(G2617="",G2617="?"),"",IFERROR(INDEX(Pubs!$E$2:$E$3001,MATCH(G2617,Pubs!$A$2:$A$3001,0)),""))</f>
        <v/>
      </c>
      <c r="L2617" s="29" t="str">
        <f aca="false">IF(A2617="","",IFERROR(1/(1/INDEX(Numéros!$C$2:$C$3001,MATCH(A2617&amp;"|"&amp;B2617,Numéros!$F$2:$F$3001,0))),""))</f>
        <v/>
      </c>
      <c r="M2617" s="27" t="str">
        <f aca="false">IF(OR(G2617="",G2617="?"),"",IFERROR(INDEX(Pubs!$D$2:$D$3001,MATCH(G2617,Pubs!$A$2:$A$3001,0))&amp;"",""))</f>
        <v/>
      </c>
      <c r="N2617" s="27" t="n">
        <f aca="false">N(N2616)+IF(AND(A2617&lt;&gt;"",OR(Recherche!$C$4="",A2617=Recherche!$C$4),OR(Recherche!$C$5="",B2617&amp;""=Recherche!$C$5&amp;""),OR(Recherche!$C$6="",IFERROR(YEAR(L2617),0)=Recherche!$C$6),OR(Recherche!$C$7="",ISNUMBER(SEARCH(Recherche!$C$7,H2617))),OR(Recherche!$C$8="",J2617=Recherche!$C$8),OR(Recherche!$C$9="",I2617=Recherche!$C$9),OR(Recherche!$C$10="",G2617&amp;""=Recherche!$C$10&amp;""),OR(Recherche!$C$11="",E2617=Recherche!$C$11),OR(Recherche!$C$12="",ISNUMBER(SEARCH(Recherche!$C$12,M2617&amp;" "&amp;F2617)))),1,0)</f>
        <v>8</v>
      </c>
    </row>
    <row r="2618" customFormat="false" ht="15" hidden="false" customHeight="false" outlineLevel="0" collapsed="false">
      <c r="A2618" s="19"/>
      <c r="B2618" s="19"/>
      <c r="C2618" s="19"/>
      <c r="D2618" s="19"/>
      <c r="E2618" s="22"/>
      <c r="F2618" s="19"/>
      <c r="G2618" s="26" t="str">
        <f aca="false">IF(D2618="","",IFERROR(VALUE(LEFT(D2618,FIND(" |",D2618&amp;" |")-1)),"?"))</f>
        <v/>
      </c>
      <c r="H2618" s="27" t="str">
        <f aca="false">IF(G2618="","",IF(G2618="?","⚠ pub inconnue",IFERROR(INDEX(Pubs!$B$2:$B$3001,MATCH(G2618,Pubs!$A$2:$A$3001,0))&amp;"","⚠ pub inconnue")))</f>
        <v/>
      </c>
      <c r="I2618" s="27" t="str">
        <f aca="false">IF(OR(G2618="",G2618="?"),"",IFERROR(INDEX(Pubs!$C$2:$C$3001,MATCH(G2618,Pubs!$A$2:$A$3001,0))&amp;"",""))</f>
        <v/>
      </c>
      <c r="J2618" s="27" t="str">
        <f aca="false">IF(OR(G2618="",G2618="?"),"",IFERROR(INDEX(Pubs!$G$2:$G$3001,MATCH(G2618,Pubs!$A$2:$A$3001,0))&amp;"",""))</f>
        <v/>
      </c>
      <c r="K2618" s="28" t="str">
        <f aca="false">IF(OR(G2618="",G2618="?"),"",IFERROR(INDEX(Pubs!$E$2:$E$3001,MATCH(G2618,Pubs!$A$2:$A$3001,0)),""))</f>
        <v/>
      </c>
      <c r="L2618" s="29" t="str">
        <f aca="false">IF(A2618="","",IFERROR(1/(1/INDEX(Numéros!$C$2:$C$3001,MATCH(A2618&amp;"|"&amp;B2618,Numéros!$F$2:$F$3001,0))),""))</f>
        <v/>
      </c>
      <c r="M2618" s="27" t="str">
        <f aca="false">IF(OR(G2618="",G2618="?"),"",IFERROR(INDEX(Pubs!$D$2:$D$3001,MATCH(G2618,Pubs!$A$2:$A$3001,0))&amp;"",""))</f>
        <v/>
      </c>
      <c r="N2618" s="27" t="n">
        <f aca="false">N(N2617)+IF(AND(A2618&lt;&gt;"",OR(Recherche!$C$4="",A2618=Recherche!$C$4),OR(Recherche!$C$5="",B2618&amp;""=Recherche!$C$5&amp;""),OR(Recherche!$C$6="",IFERROR(YEAR(L2618),0)=Recherche!$C$6),OR(Recherche!$C$7="",ISNUMBER(SEARCH(Recherche!$C$7,H2618))),OR(Recherche!$C$8="",J2618=Recherche!$C$8),OR(Recherche!$C$9="",I2618=Recherche!$C$9),OR(Recherche!$C$10="",G2618&amp;""=Recherche!$C$10&amp;""),OR(Recherche!$C$11="",E2618=Recherche!$C$11),OR(Recherche!$C$12="",ISNUMBER(SEARCH(Recherche!$C$12,M2618&amp;" "&amp;F2618)))),1,0)</f>
        <v>8</v>
      </c>
    </row>
    <row r="2619" customFormat="false" ht="15" hidden="false" customHeight="false" outlineLevel="0" collapsed="false">
      <c r="A2619" s="19"/>
      <c r="B2619" s="19"/>
      <c r="C2619" s="19"/>
      <c r="D2619" s="19"/>
      <c r="E2619" s="22"/>
      <c r="F2619" s="19"/>
      <c r="G2619" s="26" t="str">
        <f aca="false">IF(D2619="","",IFERROR(VALUE(LEFT(D2619,FIND(" |",D2619&amp;" |")-1)),"?"))</f>
        <v/>
      </c>
      <c r="H2619" s="27" t="str">
        <f aca="false">IF(G2619="","",IF(G2619="?","⚠ pub inconnue",IFERROR(INDEX(Pubs!$B$2:$B$3001,MATCH(G2619,Pubs!$A$2:$A$3001,0))&amp;"","⚠ pub inconnue")))</f>
        <v/>
      </c>
      <c r="I2619" s="27" t="str">
        <f aca="false">IF(OR(G2619="",G2619="?"),"",IFERROR(INDEX(Pubs!$C$2:$C$3001,MATCH(G2619,Pubs!$A$2:$A$3001,0))&amp;"",""))</f>
        <v/>
      </c>
      <c r="J2619" s="27" t="str">
        <f aca="false">IF(OR(G2619="",G2619="?"),"",IFERROR(INDEX(Pubs!$G$2:$G$3001,MATCH(G2619,Pubs!$A$2:$A$3001,0))&amp;"",""))</f>
        <v/>
      </c>
      <c r="K2619" s="28" t="str">
        <f aca="false">IF(OR(G2619="",G2619="?"),"",IFERROR(INDEX(Pubs!$E$2:$E$3001,MATCH(G2619,Pubs!$A$2:$A$3001,0)),""))</f>
        <v/>
      </c>
      <c r="L2619" s="29" t="str">
        <f aca="false">IF(A2619="","",IFERROR(1/(1/INDEX(Numéros!$C$2:$C$3001,MATCH(A2619&amp;"|"&amp;B2619,Numéros!$F$2:$F$3001,0))),""))</f>
        <v/>
      </c>
      <c r="M2619" s="27" t="str">
        <f aca="false">IF(OR(G2619="",G2619="?"),"",IFERROR(INDEX(Pubs!$D$2:$D$3001,MATCH(G2619,Pubs!$A$2:$A$3001,0))&amp;"",""))</f>
        <v/>
      </c>
      <c r="N2619" s="27" t="n">
        <f aca="false">N(N2618)+IF(AND(A2619&lt;&gt;"",OR(Recherche!$C$4="",A2619=Recherche!$C$4),OR(Recherche!$C$5="",B2619&amp;""=Recherche!$C$5&amp;""),OR(Recherche!$C$6="",IFERROR(YEAR(L2619),0)=Recherche!$C$6),OR(Recherche!$C$7="",ISNUMBER(SEARCH(Recherche!$C$7,H2619))),OR(Recherche!$C$8="",J2619=Recherche!$C$8),OR(Recherche!$C$9="",I2619=Recherche!$C$9),OR(Recherche!$C$10="",G2619&amp;""=Recherche!$C$10&amp;""),OR(Recherche!$C$11="",E2619=Recherche!$C$11),OR(Recherche!$C$12="",ISNUMBER(SEARCH(Recherche!$C$12,M2619&amp;" "&amp;F2619)))),1,0)</f>
        <v>8</v>
      </c>
    </row>
    <row r="2620" customFormat="false" ht="15" hidden="false" customHeight="false" outlineLevel="0" collapsed="false">
      <c r="A2620" s="19"/>
      <c r="B2620" s="19"/>
      <c r="C2620" s="19"/>
      <c r="D2620" s="19"/>
      <c r="E2620" s="22"/>
      <c r="F2620" s="19"/>
      <c r="G2620" s="26" t="str">
        <f aca="false">IF(D2620="","",IFERROR(VALUE(LEFT(D2620,FIND(" |",D2620&amp;" |")-1)),"?"))</f>
        <v/>
      </c>
      <c r="H2620" s="27" t="str">
        <f aca="false">IF(G2620="","",IF(G2620="?","⚠ pub inconnue",IFERROR(INDEX(Pubs!$B$2:$B$3001,MATCH(G2620,Pubs!$A$2:$A$3001,0))&amp;"","⚠ pub inconnue")))</f>
        <v/>
      </c>
      <c r="I2620" s="27" t="str">
        <f aca="false">IF(OR(G2620="",G2620="?"),"",IFERROR(INDEX(Pubs!$C$2:$C$3001,MATCH(G2620,Pubs!$A$2:$A$3001,0))&amp;"",""))</f>
        <v/>
      </c>
      <c r="J2620" s="27" t="str">
        <f aca="false">IF(OR(G2620="",G2620="?"),"",IFERROR(INDEX(Pubs!$G$2:$G$3001,MATCH(G2620,Pubs!$A$2:$A$3001,0))&amp;"",""))</f>
        <v/>
      </c>
      <c r="K2620" s="28" t="str">
        <f aca="false">IF(OR(G2620="",G2620="?"),"",IFERROR(INDEX(Pubs!$E$2:$E$3001,MATCH(G2620,Pubs!$A$2:$A$3001,0)),""))</f>
        <v/>
      </c>
      <c r="L2620" s="29" t="str">
        <f aca="false">IF(A2620="","",IFERROR(1/(1/INDEX(Numéros!$C$2:$C$3001,MATCH(A2620&amp;"|"&amp;B2620,Numéros!$F$2:$F$3001,0))),""))</f>
        <v/>
      </c>
      <c r="M2620" s="27" t="str">
        <f aca="false">IF(OR(G2620="",G2620="?"),"",IFERROR(INDEX(Pubs!$D$2:$D$3001,MATCH(G2620,Pubs!$A$2:$A$3001,0))&amp;"",""))</f>
        <v/>
      </c>
      <c r="N2620" s="27" t="n">
        <f aca="false">N(N2619)+IF(AND(A2620&lt;&gt;"",OR(Recherche!$C$4="",A2620=Recherche!$C$4),OR(Recherche!$C$5="",B2620&amp;""=Recherche!$C$5&amp;""),OR(Recherche!$C$6="",IFERROR(YEAR(L2620),0)=Recherche!$C$6),OR(Recherche!$C$7="",ISNUMBER(SEARCH(Recherche!$C$7,H2620))),OR(Recherche!$C$8="",J2620=Recherche!$C$8),OR(Recherche!$C$9="",I2620=Recherche!$C$9),OR(Recherche!$C$10="",G2620&amp;""=Recherche!$C$10&amp;""),OR(Recherche!$C$11="",E2620=Recherche!$C$11),OR(Recherche!$C$12="",ISNUMBER(SEARCH(Recherche!$C$12,M2620&amp;" "&amp;F2620)))),1,0)</f>
        <v>8</v>
      </c>
    </row>
    <row r="2621" customFormat="false" ht="15" hidden="false" customHeight="false" outlineLevel="0" collapsed="false">
      <c r="A2621" s="19"/>
      <c r="B2621" s="19"/>
      <c r="C2621" s="19"/>
      <c r="D2621" s="19"/>
      <c r="E2621" s="22"/>
      <c r="F2621" s="19"/>
      <c r="G2621" s="26" t="str">
        <f aca="false">IF(D2621="","",IFERROR(VALUE(LEFT(D2621,FIND(" |",D2621&amp;" |")-1)),"?"))</f>
        <v/>
      </c>
      <c r="H2621" s="27" t="str">
        <f aca="false">IF(G2621="","",IF(G2621="?","⚠ pub inconnue",IFERROR(INDEX(Pubs!$B$2:$B$3001,MATCH(G2621,Pubs!$A$2:$A$3001,0))&amp;"","⚠ pub inconnue")))</f>
        <v/>
      </c>
      <c r="I2621" s="27" t="str">
        <f aca="false">IF(OR(G2621="",G2621="?"),"",IFERROR(INDEX(Pubs!$C$2:$C$3001,MATCH(G2621,Pubs!$A$2:$A$3001,0))&amp;"",""))</f>
        <v/>
      </c>
      <c r="J2621" s="27" t="str">
        <f aca="false">IF(OR(G2621="",G2621="?"),"",IFERROR(INDEX(Pubs!$G$2:$G$3001,MATCH(G2621,Pubs!$A$2:$A$3001,0))&amp;"",""))</f>
        <v/>
      </c>
      <c r="K2621" s="28" t="str">
        <f aca="false">IF(OR(G2621="",G2621="?"),"",IFERROR(INDEX(Pubs!$E$2:$E$3001,MATCH(G2621,Pubs!$A$2:$A$3001,0)),""))</f>
        <v/>
      </c>
      <c r="L2621" s="29" t="str">
        <f aca="false">IF(A2621="","",IFERROR(1/(1/INDEX(Numéros!$C$2:$C$3001,MATCH(A2621&amp;"|"&amp;B2621,Numéros!$F$2:$F$3001,0))),""))</f>
        <v/>
      </c>
      <c r="M2621" s="27" t="str">
        <f aca="false">IF(OR(G2621="",G2621="?"),"",IFERROR(INDEX(Pubs!$D$2:$D$3001,MATCH(G2621,Pubs!$A$2:$A$3001,0))&amp;"",""))</f>
        <v/>
      </c>
      <c r="N2621" s="27" t="n">
        <f aca="false">N(N2620)+IF(AND(A2621&lt;&gt;"",OR(Recherche!$C$4="",A2621=Recherche!$C$4),OR(Recherche!$C$5="",B2621&amp;""=Recherche!$C$5&amp;""),OR(Recherche!$C$6="",IFERROR(YEAR(L2621),0)=Recherche!$C$6),OR(Recherche!$C$7="",ISNUMBER(SEARCH(Recherche!$C$7,H2621))),OR(Recherche!$C$8="",J2621=Recherche!$C$8),OR(Recherche!$C$9="",I2621=Recherche!$C$9),OR(Recherche!$C$10="",G2621&amp;""=Recherche!$C$10&amp;""),OR(Recherche!$C$11="",E2621=Recherche!$C$11),OR(Recherche!$C$12="",ISNUMBER(SEARCH(Recherche!$C$12,M2621&amp;" "&amp;F2621)))),1,0)</f>
        <v>8</v>
      </c>
    </row>
    <row r="2622" customFormat="false" ht="15" hidden="false" customHeight="false" outlineLevel="0" collapsed="false">
      <c r="A2622" s="19"/>
      <c r="B2622" s="19"/>
      <c r="C2622" s="19"/>
      <c r="D2622" s="19"/>
      <c r="E2622" s="22"/>
      <c r="F2622" s="19"/>
      <c r="G2622" s="26" t="str">
        <f aca="false">IF(D2622="","",IFERROR(VALUE(LEFT(D2622,FIND(" |",D2622&amp;" |")-1)),"?"))</f>
        <v/>
      </c>
      <c r="H2622" s="27" t="str">
        <f aca="false">IF(G2622="","",IF(G2622="?","⚠ pub inconnue",IFERROR(INDEX(Pubs!$B$2:$B$3001,MATCH(G2622,Pubs!$A$2:$A$3001,0))&amp;"","⚠ pub inconnue")))</f>
        <v/>
      </c>
      <c r="I2622" s="27" t="str">
        <f aca="false">IF(OR(G2622="",G2622="?"),"",IFERROR(INDEX(Pubs!$C$2:$C$3001,MATCH(G2622,Pubs!$A$2:$A$3001,0))&amp;"",""))</f>
        <v/>
      </c>
      <c r="J2622" s="27" t="str">
        <f aca="false">IF(OR(G2622="",G2622="?"),"",IFERROR(INDEX(Pubs!$G$2:$G$3001,MATCH(G2622,Pubs!$A$2:$A$3001,0))&amp;"",""))</f>
        <v/>
      </c>
      <c r="K2622" s="28" t="str">
        <f aca="false">IF(OR(G2622="",G2622="?"),"",IFERROR(INDEX(Pubs!$E$2:$E$3001,MATCH(G2622,Pubs!$A$2:$A$3001,0)),""))</f>
        <v/>
      </c>
      <c r="L2622" s="29" t="str">
        <f aca="false">IF(A2622="","",IFERROR(1/(1/INDEX(Numéros!$C$2:$C$3001,MATCH(A2622&amp;"|"&amp;B2622,Numéros!$F$2:$F$3001,0))),""))</f>
        <v/>
      </c>
      <c r="M2622" s="27" t="str">
        <f aca="false">IF(OR(G2622="",G2622="?"),"",IFERROR(INDEX(Pubs!$D$2:$D$3001,MATCH(G2622,Pubs!$A$2:$A$3001,0))&amp;"",""))</f>
        <v/>
      </c>
      <c r="N2622" s="27" t="n">
        <f aca="false">N(N2621)+IF(AND(A2622&lt;&gt;"",OR(Recherche!$C$4="",A2622=Recherche!$C$4),OR(Recherche!$C$5="",B2622&amp;""=Recherche!$C$5&amp;""),OR(Recherche!$C$6="",IFERROR(YEAR(L2622),0)=Recherche!$C$6),OR(Recherche!$C$7="",ISNUMBER(SEARCH(Recherche!$C$7,H2622))),OR(Recherche!$C$8="",J2622=Recherche!$C$8),OR(Recherche!$C$9="",I2622=Recherche!$C$9),OR(Recherche!$C$10="",G2622&amp;""=Recherche!$C$10&amp;""),OR(Recherche!$C$11="",E2622=Recherche!$C$11),OR(Recherche!$C$12="",ISNUMBER(SEARCH(Recherche!$C$12,M2622&amp;" "&amp;F2622)))),1,0)</f>
        <v>8</v>
      </c>
    </row>
    <row r="2623" customFormat="false" ht="15" hidden="false" customHeight="false" outlineLevel="0" collapsed="false">
      <c r="A2623" s="19"/>
      <c r="B2623" s="19"/>
      <c r="C2623" s="19"/>
      <c r="D2623" s="19"/>
      <c r="E2623" s="22"/>
      <c r="F2623" s="19"/>
      <c r="G2623" s="26" t="str">
        <f aca="false">IF(D2623="","",IFERROR(VALUE(LEFT(D2623,FIND(" |",D2623&amp;" |")-1)),"?"))</f>
        <v/>
      </c>
      <c r="H2623" s="27" t="str">
        <f aca="false">IF(G2623="","",IF(G2623="?","⚠ pub inconnue",IFERROR(INDEX(Pubs!$B$2:$B$3001,MATCH(G2623,Pubs!$A$2:$A$3001,0))&amp;"","⚠ pub inconnue")))</f>
        <v/>
      </c>
      <c r="I2623" s="27" t="str">
        <f aca="false">IF(OR(G2623="",G2623="?"),"",IFERROR(INDEX(Pubs!$C$2:$C$3001,MATCH(G2623,Pubs!$A$2:$A$3001,0))&amp;"",""))</f>
        <v/>
      </c>
      <c r="J2623" s="27" t="str">
        <f aca="false">IF(OR(G2623="",G2623="?"),"",IFERROR(INDEX(Pubs!$G$2:$G$3001,MATCH(G2623,Pubs!$A$2:$A$3001,0))&amp;"",""))</f>
        <v/>
      </c>
      <c r="K2623" s="28" t="str">
        <f aca="false">IF(OR(G2623="",G2623="?"),"",IFERROR(INDEX(Pubs!$E$2:$E$3001,MATCH(G2623,Pubs!$A$2:$A$3001,0)),""))</f>
        <v/>
      </c>
      <c r="L2623" s="29" t="str">
        <f aca="false">IF(A2623="","",IFERROR(1/(1/INDEX(Numéros!$C$2:$C$3001,MATCH(A2623&amp;"|"&amp;B2623,Numéros!$F$2:$F$3001,0))),""))</f>
        <v/>
      </c>
      <c r="M2623" s="27" t="str">
        <f aca="false">IF(OR(G2623="",G2623="?"),"",IFERROR(INDEX(Pubs!$D$2:$D$3001,MATCH(G2623,Pubs!$A$2:$A$3001,0))&amp;"",""))</f>
        <v/>
      </c>
      <c r="N2623" s="27" t="n">
        <f aca="false">N(N2622)+IF(AND(A2623&lt;&gt;"",OR(Recherche!$C$4="",A2623=Recherche!$C$4),OR(Recherche!$C$5="",B2623&amp;""=Recherche!$C$5&amp;""),OR(Recherche!$C$6="",IFERROR(YEAR(L2623),0)=Recherche!$C$6),OR(Recherche!$C$7="",ISNUMBER(SEARCH(Recherche!$C$7,H2623))),OR(Recherche!$C$8="",J2623=Recherche!$C$8),OR(Recherche!$C$9="",I2623=Recherche!$C$9),OR(Recherche!$C$10="",G2623&amp;""=Recherche!$C$10&amp;""),OR(Recherche!$C$11="",E2623=Recherche!$C$11),OR(Recherche!$C$12="",ISNUMBER(SEARCH(Recherche!$C$12,M2623&amp;" "&amp;F2623)))),1,0)</f>
        <v>8</v>
      </c>
    </row>
    <row r="2624" customFormat="false" ht="15" hidden="false" customHeight="false" outlineLevel="0" collapsed="false">
      <c r="A2624" s="19"/>
      <c r="B2624" s="19"/>
      <c r="C2624" s="19"/>
      <c r="D2624" s="19"/>
      <c r="E2624" s="22"/>
      <c r="F2624" s="19"/>
      <c r="G2624" s="26" t="str">
        <f aca="false">IF(D2624="","",IFERROR(VALUE(LEFT(D2624,FIND(" |",D2624&amp;" |")-1)),"?"))</f>
        <v/>
      </c>
      <c r="H2624" s="27" t="str">
        <f aca="false">IF(G2624="","",IF(G2624="?","⚠ pub inconnue",IFERROR(INDEX(Pubs!$B$2:$B$3001,MATCH(G2624,Pubs!$A$2:$A$3001,0))&amp;"","⚠ pub inconnue")))</f>
        <v/>
      </c>
      <c r="I2624" s="27" t="str">
        <f aca="false">IF(OR(G2624="",G2624="?"),"",IFERROR(INDEX(Pubs!$C$2:$C$3001,MATCH(G2624,Pubs!$A$2:$A$3001,0))&amp;"",""))</f>
        <v/>
      </c>
      <c r="J2624" s="27" t="str">
        <f aca="false">IF(OR(G2624="",G2624="?"),"",IFERROR(INDEX(Pubs!$G$2:$G$3001,MATCH(G2624,Pubs!$A$2:$A$3001,0))&amp;"",""))</f>
        <v/>
      </c>
      <c r="K2624" s="28" t="str">
        <f aca="false">IF(OR(G2624="",G2624="?"),"",IFERROR(INDEX(Pubs!$E$2:$E$3001,MATCH(G2624,Pubs!$A$2:$A$3001,0)),""))</f>
        <v/>
      </c>
      <c r="L2624" s="29" t="str">
        <f aca="false">IF(A2624="","",IFERROR(1/(1/INDEX(Numéros!$C$2:$C$3001,MATCH(A2624&amp;"|"&amp;B2624,Numéros!$F$2:$F$3001,0))),""))</f>
        <v/>
      </c>
      <c r="M2624" s="27" t="str">
        <f aca="false">IF(OR(G2624="",G2624="?"),"",IFERROR(INDEX(Pubs!$D$2:$D$3001,MATCH(G2624,Pubs!$A$2:$A$3001,0))&amp;"",""))</f>
        <v/>
      </c>
      <c r="N2624" s="27" t="n">
        <f aca="false">N(N2623)+IF(AND(A2624&lt;&gt;"",OR(Recherche!$C$4="",A2624=Recherche!$C$4),OR(Recherche!$C$5="",B2624&amp;""=Recherche!$C$5&amp;""),OR(Recherche!$C$6="",IFERROR(YEAR(L2624),0)=Recherche!$C$6),OR(Recherche!$C$7="",ISNUMBER(SEARCH(Recherche!$C$7,H2624))),OR(Recherche!$C$8="",J2624=Recherche!$C$8),OR(Recherche!$C$9="",I2624=Recherche!$C$9),OR(Recherche!$C$10="",G2624&amp;""=Recherche!$C$10&amp;""),OR(Recherche!$C$11="",E2624=Recherche!$C$11),OR(Recherche!$C$12="",ISNUMBER(SEARCH(Recherche!$C$12,M2624&amp;" "&amp;F2624)))),1,0)</f>
        <v>8</v>
      </c>
    </row>
    <row r="2625" customFormat="false" ht="15" hidden="false" customHeight="false" outlineLevel="0" collapsed="false">
      <c r="A2625" s="19"/>
      <c r="B2625" s="19"/>
      <c r="C2625" s="19"/>
      <c r="D2625" s="19"/>
      <c r="E2625" s="22"/>
      <c r="F2625" s="19"/>
      <c r="G2625" s="26" t="str">
        <f aca="false">IF(D2625="","",IFERROR(VALUE(LEFT(D2625,FIND(" |",D2625&amp;" |")-1)),"?"))</f>
        <v/>
      </c>
      <c r="H2625" s="27" t="str">
        <f aca="false">IF(G2625="","",IF(G2625="?","⚠ pub inconnue",IFERROR(INDEX(Pubs!$B$2:$B$3001,MATCH(G2625,Pubs!$A$2:$A$3001,0))&amp;"","⚠ pub inconnue")))</f>
        <v/>
      </c>
      <c r="I2625" s="27" t="str">
        <f aca="false">IF(OR(G2625="",G2625="?"),"",IFERROR(INDEX(Pubs!$C$2:$C$3001,MATCH(G2625,Pubs!$A$2:$A$3001,0))&amp;"",""))</f>
        <v/>
      </c>
      <c r="J2625" s="27" t="str">
        <f aca="false">IF(OR(G2625="",G2625="?"),"",IFERROR(INDEX(Pubs!$G$2:$G$3001,MATCH(G2625,Pubs!$A$2:$A$3001,0))&amp;"",""))</f>
        <v/>
      </c>
      <c r="K2625" s="28" t="str">
        <f aca="false">IF(OR(G2625="",G2625="?"),"",IFERROR(INDEX(Pubs!$E$2:$E$3001,MATCH(G2625,Pubs!$A$2:$A$3001,0)),""))</f>
        <v/>
      </c>
      <c r="L2625" s="29" t="str">
        <f aca="false">IF(A2625="","",IFERROR(1/(1/INDEX(Numéros!$C$2:$C$3001,MATCH(A2625&amp;"|"&amp;B2625,Numéros!$F$2:$F$3001,0))),""))</f>
        <v/>
      </c>
      <c r="M2625" s="27" t="str">
        <f aca="false">IF(OR(G2625="",G2625="?"),"",IFERROR(INDEX(Pubs!$D$2:$D$3001,MATCH(G2625,Pubs!$A$2:$A$3001,0))&amp;"",""))</f>
        <v/>
      </c>
      <c r="N2625" s="27" t="n">
        <f aca="false">N(N2624)+IF(AND(A2625&lt;&gt;"",OR(Recherche!$C$4="",A2625=Recherche!$C$4),OR(Recherche!$C$5="",B2625&amp;""=Recherche!$C$5&amp;""),OR(Recherche!$C$6="",IFERROR(YEAR(L2625),0)=Recherche!$C$6),OR(Recherche!$C$7="",ISNUMBER(SEARCH(Recherche!$C$7,H2625))),OR(Recherche!$C$8="",J2625=Recherche!$C$8),OR(Recherche!$C$9="",I2625=Recherche!$C$9),OR(Recherche!$C$10="",G2625&amp;""=Recherche!$C$10&amp;""),OR(Recherche!$C$11="",E2625=Recherche!$C$11),OR(Recherche!$C$12="",ISNUMBER(SEARCH(Recherche!$C$12,M2625&amp;" "&amp;F2625)))),1,0)</f>
        <v>8</v>
      </c>
    </row>
    <row r="2626" customFormat="false" ht="15" hidden="false" customHeight="false" outlineLevel="0" collapsed="false">
      <c r="A2626" s="19"/>
      <c r="B2626" s="19"/>
      <c r="C2626" s="19"/>
      <c r="D2626" s="19"/>
      <c r="E2626" s="22"/>
      <c r="F2626" s="19"/>
      <c r="G2626" s="26" t="str">
        <f aca="false">IF(D2626="","",IFERROR(VALUE(LEFT(D2626,FIND(" |",D2626&amp;" |")-1)),"?"))</f>
        <v/>
      </c>
      <c r="H2626" s="27" t="str">
        <f aca="false">IF(G2626="","",IF(G2626="?","⚠ pub inconnue",IFERROR(INDEX(Pubs!$B$2:$B$3001,MATCH(G2626,Pubs!$A$2:$A$3001,0))&amp;"","⚠ pub inconnue")))</f>
        <v/>
      </c>
      <c r="I2626" s="27" t="str">
        <f aca="false">IF(OR(G2626="",G2626="?"),"",IFERROR(INDEX(Pubs!$C$2:$C$3001,MATCH(G2626,Pubs!$A$2:$A$3001,0))&amp;"",""))</f>
        <v/>
      </c>
      <c r="J2626" s="27" t="str">
        <f aca="false">IF(OR(G2626="",G2626="?"),"",IFERROR(INDEX(Pubs!$G$2:$G$3001,MATCH(G2626,Pubs!$A$2:$A$3001,0))&amp;"",""))</f>
        <v/>
      </c>
      <c r="K2626" s="28" t="str">
        <f aca="false">IF(OR(G2626="",G2626="?"),"",IFERROR(INDEX(Pubs!$E$2:$E$3001,MATCH(G2626,Pubs!$A$2:$A$3001,0)),""))</f>
        <v/>
      </c>
      <c r="L2626" s="29" t="str">
        <f aca="false">IF(A2626="","",IFERROR(1/(1/INDEX(Numéros!$C$2:$C$3001,MATCH(A2626&amp;"|"&amp;B2626,Numéros!$F$2:$F$3001,0))),""))</f>
        <v/>
      </c>
      <c r="M2626" s="27" t="str">
        <f aca="false">IF(OR(G2626="",G2626="?"),"",IFERROR(INDEX(Pubs!$D$2:$D$3001,MATCH(G2626,Pubs!$A$2:$A$3001,0))&amp;"",""))</f>
        <v/>
      </c>
      <c r="N2626" s="27" t="n">
        <f aca="false">N(N2625)+IF(AND(A2626&lt;&gt;"",OR(Recherche!$C$4="",A2626=Recherche!$C$4),OR(Recherche!$C$5="",B2626&amp;""=Recherche!$C$5&amp;""),OR(Recherche!$C$6="",IFERROR(YEAR(L2626),0)=Recherche!$C$6),OR(Recherche!$C$7="",ISNUMBER(SEARCH(Recherche!$C$7,H2626))),OR(Recherche!$C$8="",J2626=Recherche!$C$8),OR(Recherche!$C$9="",I2626=Recherche!$C$9),OR(Recherche!$C$10="",G2626&amp;""=Recherche!$C$10&amp;""),OR(Recherche!$C$11="",E2626=Recherche!$C$11),OR(Recherche!$C$12="",ISNUMBER(SEARCH(Recherche!$C$12,M2626&amp;" "&amp;F2626)))),1,0)</f>
        <v>8</v>
      </c>
    </row>
    <row r="2627" customFormat="false" ht="15" hidden="false" customHeight="false" outlineLevel="0" collapsed="false">
      <c r="A2627" s="19"/>
      <c r="B2627" s="19"/>
      <c r="C2627" s="19"/>
      <c r="D2627" s="19"/>
      <c r="E2627" s="22"/>
      <c r="F2627" s="19"/>
      <c r="G2627" s="26" t="str">
        <f aca="false">IF(D2627="","",IFERROR(VALUE(LEFT(D2627,FIND(" |",D2627&amp;" |")-1)),"?"))</f>
        <v/>
      </c>
      <c r="H2627" s="27" t="str">
        <f aca="false">IF(G2627="","",IF(G2627="?","⚠ pub inconnue",IFERROR(INDEX(Pubs!$B$2:$B$3001,MATCH(G2627,Pubs!$A$2:$A$3001,0))&amp;"","⚠ pub inconnue")))</f>
        <v/>
      </c>
      <c r="I2627" s="27" t="str">
        <f aca="false">IF(OR(G2627="",G2627="?"),"",IFERROR(INDEX(Pubs!$C$2:$C$3001,MATCH(G2627,Pubs!$A$2:$A$3001,0))&amp;"",""))</f>
        <v/>
      </c>
      <c r="J2627" s="27" t="str">
        <f aca="false">IF(OR(G2627="",G2627="?"),"",IFERROR(INDEX(Pubs!$G$2:$G$3001,MATCH(G2627,Pubs!$A$2:$A$3001,0))&amp;"",""))</f>
        <v/>
      </c>
      <c r="K2627" s="28" t="str">
        <f aca="false">IF(OR(G2627="",G2627="?"),"",IFERROR(INDEX(Pubs!$E$2:$E$3001,MATCH(G2627,Pubs!$A$2:$A$3001,0)),""))</f>
        <v/>
      </c>
      <c r="L2627" s="29" t="str">
        <f aca="false">IF(A2627="","",IFERROR(1/(1/INDEX(Numéros!$C$2:$C$3001,MATCH(A2627&amp;"|"&amp;B2627,Numéros!$F$2:$F$3001,0))),""))</f>
        <v/>
      </c>
      <c r="M2627" s="27" t="str">
        <f aca="false">IF(OR(G2627="",G2627="?"),"",IFERROR(INDEX(Pubs!$D$2:$D$3001,MATCH(G2627,Pubs!$A$2:$A$3001,0))&amp;"",""))</f>
        <v/>
      </c>
      <c r="N2627" s="27" t="n">
        <f aca="false">N(N2626)+IF(AND(A2627&lt;&gt;"",OR(Recherche!$C$4="",A2627=Recherche!$C$4),OR(Recherche!$C$5="",B2627&amp;""=Recherche!$C$5&amp;""),OR(Recherche!$C$6="",IFERROR(YEAR(L2627),0)=Recherche!$C$6),OR(Recherche!$C$7="",ISNUMBER(SEARCH(Recherche!$C$7,H2627))),OR(Recherche!$C$8="",J2627=Recherche!$C$8),OR(Recherche!$C$9="",I2627=Recherche!$C$9),OR(Recherche!$C$10="",G2627&amp;""=Recherche!$C$10&amp;""),OR(Recherche!$C$11="",E2627=Recherche!$C$11),OR(Recherche!$C$12="",ISNUMBER(SEARCH(Recherche!$C$12,M2627&amp;" "&amp;F2627)))),1,0)</f>
        <v>8</v>
      </c>
    </row>
    <row r="2628" customFormat="false" ht="15" hidden="false" customHeight="false" outlineLevel="0" collapsed="false">
      <c r="A2628" s="19"/>
      <c r="B2628" s="19"/>
      <c r="C2628" s="19"/>
      <c r="D2628" s="19"/>
      <c r="E2628" s="22"/>
      <c r="F2628" s="19"/>
      <c r="G2628" s="26" t="str">
        <f aca="false">IF(D2628="","",IFERROR(VALUE(LEFT(D2628,FIND(" |",D2628&amp;" |")-1)),"?"))</f>
        <v/>
      </c>
      <c r="H2628" s="27" t="str">
        <f aca="false">IF(G2628="","",IF(G2628="?","⚠ pub inconnue",IFERROR(INDEX(Pubs!$B$2:$B$3001,MATCH(G2628,Pubs!$A$2:$A$3001,0))&amp;"","⚠ pub inconnue")))</f>
        <v/>
      </c>
      <c r="I2628" s="27" t="str">
        <f aca="false">IF(OR(G2628="",G2628="?"),"",IFERROR(INDEX(Pubs!$C$2:$C$3001,MATCH(G2628,Pubs!$A$2:$A$3001,0))&amp;"",""))</f>
        <v/>
      </c>
      <c r="J2628" s="27" t="str">
        <f aca="false">IF(OR(G2628="",G2628="?"),"",IFERROR(INDEX(Pubs!$G$2:$G$3001,MATCH(G2628,Pubs!$A$2:$A$3001,0))&amp;"",""))</f>
        <v/>
      </c>
      <c r="K2628" s="28" t="str">
        <f aca="false">IF(OR(G2628="",G2628="?"),"",IFERROR(INDEX(Pubs!$E$2:$E$3001,MATCH(G2628,Pubs!$A$2:$A$3001,0)),""))</f>
        <v/>
      </c>
      <c r="L2628" s="29" t="str">
        <f aca="false">IF(A2628="","",IFERROR(1/(1/INDEX(Numéros!$C$2:$C$3001,MATCH(A2628&amp;"|"&amp;B2628,Numéros!$F$2:$F$3001,0))),""))</f>
        <v/>
      </c>
      <c r="M2628" s="27" t="str">
        <f aca="false">IF(OR(G2628="",G2628="?"),"",IFERROR(INDEX(Pubs!$D$2:$D$3001,MATCH(G2628,Pubs!$A$2:$A$3001,0))&amp;"",""))</f>
        <v/>
      </c>
      <c r="N2628" s="27" t="n">
        <f aca="false">N(N2627)+IF(AND(A2628&lt;&gt;"",OR(Recherche!$C$4="",A2628=Recherche!$C$4),OR(Recherche!$C$5="",B2628&amp;""=Recherche!$C$5&amp;""),OR(Recherche!$C$6="",IFERROR(YEAR(L2628),0)=Recherche!$C$6),OR(Recherche!$C$7="",ISNUMBER(SEARCH(Recherche!$C$7,H2628))),OR(Recherche!$C$8="",J2628=Recherche!$C$8),OR(Recherche!$C$9="",I2628=Recherche!$C$9),OR(Recherche!$C$10="",G2628&amp;""=Recherche!$C$10&amp;""),OR(Recherche!$C$11="",E2628=Recherche!$C$11),OR(Recherche!$C$12="",ISNUMBER(SEARCH(Recherche!$C$12,M2628&amp;" "&amp;F2628)))),1,0)</f>
        <v>8</v>
      </c>
    </row>
    <row r="2629" customFormat="false" ht="15" hidden="false" customHeight="false" outlineLevel="0" collapsed="false">
      <c r="A2629" s="19"/>
      <c r="B2629" s="19"/>
      <c r="C2629" s="19"/>
      <c r="D2629" s="19"/>
      <c r="E2629" s="22"/>
      <c r="F2629" s="19"/>
      <c r="G2629" s="26" t="str">
        <f aca="false">IF(D2629="","",IFERROR(VALUE(LEFT(D2629,FIND(" |",D2629&amp;" |")-1)),"?"))</f>
        <v/>
      </c>
      <c r="H2629" s="27" t="str">
        <f aca="false">IF(G2629="","",IF(G2629="?","⚠ pub inconnue",IFERROR(INDEX(Pubs!$B$2:$B$3001,MATCH(G2629,Pubs!$A$2:$A$3001,0))&amp;"","⚠ pub inconnue")))</f>
        <v/>
      </c>
      <c r="I2629" s="27" t="str">
        <f aca="false">IF(OR(G2629="",G2629="?"),"",IFERROR(INDEX(Pubs!$C$2:$C$3001,MATCH(G2629,Pubs!$A$2:$A$3001,0))&amp;"",""))</f>
        <v/>
      </c>
      <c r="J2629" s="27" t="str">
        <f aca="false">IF(OR(G2629="",G2629="?"),"",IFERROR(INDEX(Pubs!$G$2:$G$3001,MATCH(G2629,Pubs!$A$2:$A$3001,0))&amp;"",""))</f>
        <v/>
      </c>
      <c r="K2629" s="28" t="str">
        <f aca="false">IF(OR(G2629="",G2629="?"),"",IFERROR(INDEX(Pubs!$E$2:$E$3001,MATCH(G2629,Pubs!$A$2:$A$3001,0)),""))</f>
        <v/>
      </c>
      <c r="L2629" s="29" t="str">
        <f aca="false">IF(A2629="","",IFERROR(1/(1/INDEX(Numéros!$C$2:$C$3001,MATCH(A2629&amp;"|"&amp;B2629,Numéros!$F$2:$F$3001,0))),""))</f>
        <v/>
      </c>
      <c r="M2629" s="27" t="str">
        <f aca="false">IF(OR(G2629="",G2629="?"),"",IFERROR(INDEX(Pubs!$D$2:$D$3001,MATCH(G2629,Pubs!$A$2:$A$3001,0))&amp;"",""))</f>
        <v/>
      </c>
      <c r="N2629" s="27" t="n">
        <f aca="false">N(N2628)+IF(AND(A2629&lt;&gt;"",OR(Recherche!$C$4="",A2629=Recherche!$C$4),OR(Recherche!$C$5="",B2629&amp;""=Recherche!$C$5&amp;""),OR(Recherche!$C$6="",IFERROR(YEAR(L2629),0)=Recherche!$C$6),OR(Recherche!$C$7="",ISNUMBER(SEARCH(Recherche!$C$7,H2629))),OR(Recherche!$C$8="",J2629=Recherche!$C$8),OR(Recherche!$C$9="",I2629=Recherche!$C$9),OR(Recherche!$C$10="",G2629&amp;""=Recherche!$C$10&amp;""),OR(Recherche!$C$11="",E2629=Recherche!$C$11),OR(Recherche!$C$12="",ISNUMBER(SEARCH(Recherche!$C$12,M2629&amp;" "&amp;F2629)))),1,0)</f>
        <v>8</v>
      </c>
    </row>
    <row r="2630" customFormat="false" ht="15" hidden="false" customHeight="false" outlineLevel="0" collapsed="false">
      <c r="A2630" s="19"/>
      <c r="B2630" s="19"/>
      <c r="C2630" s="19"/>
      <c r="D2630" s="19"/>
      <c r="E2630" s="22"/>
      <c r="F2630" s="19"/>
      <c r="G2630" s="26" t="str">
        <f aca="false">IF(D2630="","",IFERROR(VALUE(LEFT(D2630,FIND(" |",D2630&amp;" |")-1)),"?"))</f>
        <v/>
      </c>
      <c r="H2630" s="27" t="str">
        <f aca="false">IF(G2630="","",IF(G2630="?","⚠ pub inconnue",IFERROR(INDEX(Pubs!$B$2:$B$3001,MATCH(G2630,Pubs!$A$2:$A$3001,0))&amp;"","⚠ pub inconnue")))</f>
        <v/>
      </c>
      <c r="I2630" s="27" t="str">
        <f aca="false">IF(OR(G2630="",G2630="?"),"",IFERROR(INDEX(Pubs!$C$2:$C$3001,MATCH(G2630,Pubs!$A$2:$A$3001,0))&amp;"",""))</f>
        <v/>
      </c>
      <c r="J2630" s="27" t="str">
        <f aca="false">IF(OR(G2630="",G2630="?"),"",IFERROR(INDEX(Pubs!$G$2:$G$3001,MATCH(G2630,Pubs!$A$2:$A$3001,0))&amp;"",""))</f>
        <v/>
      </c>
      <c r="K2630" s="28" t="str">
        <f aca="false">IF(OR(G2630="",G2630="?"),"",IFERROR(INDEX(Pubs!$E$2:$E$3001,MATCH(G2630,Pubs!$A$2:$A$3001,0)),""))</f>
        <v/>
      </c>
      <c r="L2630" s="29" t="str">
        <f aca="false">IF(A2630="","",IFERROR(1/(1/INDEX(Numéros!$C$2:$C$3001,MATCH(A2630&amp;"|"&amp;B2630,Numéros!$F$2:$F$3001,0))),""))</f>
        <v/>
      </c>
      <c r="M2630" s="27" t="str">
        <f aca="false">IF(OR(G2630="",G2630="?"),"",IFERROR(INDEX(Pubs!$D$2:$D$3001,MATCH(G2630,Pubs!$A$2:$A$3001,0))&amp;"",""))</f>
        <v/>
      </c>
      <c r="N2630" s="27" t="n">
        <f aca="false">N(N2629)+IF(AND(A2630&lt;&gt;"",OR(Recherche!$C$4="",A2630=Recherche!$C$4),OR(Recherche!$C$5="",B2630&amp;""=Recherche!$C$5&amp;""),OR(Recherche!$C$6="",IFERROR(YEAR(L2630),0)=Recherche!$C$6),OR(Recherche!$C$7="",ISNUMBER(SEARCH(Recherche!$C$7,H2630))),OR(Recherche!$C$8="",J2630=Recherche!$C$8),OR(Recherche!$C$9="",I2630=Recherche!$C$9),OR(Recherche!$C$10="",G2630&amp;""=Recherche!$C$10&amp;""),OR(Recherche!$C$11="",E2630=Recherche!$C$11),OR(Recherche!$C$12="",ISNUMBER(SEARCH(Recherche!$C$12,M2630&amp;" "&amp;F2630)))),1,0)</f>
        <v>8</v>
      </c>
    </row>
    <row r="2631" customFormat="false" ht="15" hidden="false" customHeight="false" outlineLevel="0" collapsed="false">
      <c r="A2631" s="19"/>
      <c r="B2631" s="19"/>
      <c r="C2631" s="19"/>
      <c r="D2631" s="19"/>
      <c r="E2631" s="22"/>
      <c r="F2631" s="19"/>
      <c r="G2631" s="26" t="str">
        <f aca="false">IF(D2631="","",IFERROR(VALUE(LEFT(D2631,FIND(" |",D2631&amp;" |")-1)),"?"))</f>
        <v/>
      </c>
      <c r="H2631" s="27" t="str">
        <f aca="false">IF(G2631="","",IF(G2631="?","⚠ pub inconnue",IFERROR(INDEX(Pubs!$B$2:$B$3001,MATCH(G2631,Pubs!$A$2:$A$3001,0))&amp;"","⚠ pub inconnue")))</f>
        <v/>
      </c>
      <c r="I2631" s="27" t="str">
        <f aca="false">IF(OR(G2631="",G2631="?"),"",IFERROR(INDEX(Pubs!$C$2:$C$3001,MATCH(G2631,Pubs!$A$2:$A$3001,0))&amp;"",""))</f>
        <v/>
      </c>
      <c r="J2631" s="27" t="str">
        <f aca="false">IF(OR(G2631="",G2631="?"),"",IFERROR(INDEX(Pubs!$G$2:$G$3001,MATCH(G2631,Pubs!$A$2:$A$3001,0))&amp;"",""))</f>
        <v/>
      </c>
      <c r="K2631" s="28" t="str">
        <f aca="false">IF(OR(G2631="",G2631="?"),"",IFERROR(INDEX(Pubs!$E$2:$E$3001,MATCH(G2631,Pubs!$A$2:$A$3001,0)),""))</f>
        <v/>
      </c>
      <c r="L2631" s="29" t="str">
        <f aca="false">IF(A2631="","",IFERROR(1/(1/INDEX(Numéros!$C$2:$C$3001,MATCH(A2631&amp;"|"&amp;B2631,Numéros!$F$2:$F$3001,0))),""))</f>
        <v/>
      </c>
      <c r="M2631" s="27" t="str">
        <f aca="false">IF(OR(G2631="",G2631="?"),"",IFERROR(INDEX(Pubs!$D$2:$D$3001,MATCH(G2631,Pubs!$A$2:$A$3001,0))&amp;"",""))</f>
        <v/>
      </c>
      <c r="N2631" s="27" t="n">
        <f aca="false">N(N2630)+IF(AND(A2631&lt;&gt;"",OR(Recherche!$C$4="",A2631=Recherche!$C$4),OR(Recherche!$C$5="",B2631&amp;""=Recherche!$C$5&amp;""),OR(Recherche!$C$6="",IFERROR(YEAR(L2631),0)=Recherche!$C$6),OR(Recherche!$C$7="",ISNUMBER(SEARCH(Recherche!$C$7,H2631))),OR(Recherche!$C$8="",J2631=Recherche!$C$8),OR(Recherche!$C$9="",I2631=Recherche!$C$9),OR(Recherche!$C$10="",G2631&amp;""=Recherche!$C$10&amp;""),OR(Recherche!$C$11="",E2631=Recherche!$C$11),OR(Recherche!$C$12="",ISNUMBER(SEARCH(Recherche!$C$12,M2631&amp;" "&amp;F2631)))),1,0)</f>
        <v>8</v>
      </c>
    </row>
    <row r="2632" customFormat="false" ht="15" hidden="false" customHeight="false" outlineLevel="0" collapsed="false">
      <c r="A2632" s="19"/>
      <c r="B2632" s="19"/>
      <c r="C2632" s="19"/>
      <c r="D2632" s="19"/>
      <c r="E2632" s="22"/>
      <c r="F2632" s="19"/>
      <c r="G2632" s="26" t="str">
        <f aca="false">IF(D2632="","",IFERROR(VALUE(LEFT(D2632,FIND(" |",D2632&amp;" |")-1)),"?"))</f>
        <v/>
      </c>
      <c r="H2632" s="27" t="str">
        <f aca="false">IF(G2632="","",IF(G2632="?","⚠ pub inconnue",IFERROR(INDEX(Pubs!$B$2:$B$3001,MATCH(G2632,Pubs!$A$2:$A$3001,0))&amp;"","⚠ pub inconnue")))</f>
        <v/>
      </c>
      <c r="I2632" s="27" t="str">
        <f aca="false">IF(OR(G2632="",G2632="?"),"",IFERROR(INDEX(Pubs!$C$2:$C$3001,MATCH(G2632,Pubs!$A$2:$A$3001,0))&amp;"",""))</f>
        <v/>
      </c>
      <c r="J2632" s="27" t="str">
        <f aca="false">IF(OR(G2632="",G2632="?"),"",IFERROR(INDEX(Pubs!$G$2:$G$3001,MATCH(G2632,Pubs!$A$2:$A$3001,0))&amp;"",""))</f>
        <v/>
      </c>
      <c r="K2632" s="28" t="str">
        <f aca="false">IF(OR(G2632="",G2632="?"),"",IFERROR(INDEX(Pubs!$E$2:$E$3001,MATCH(G2632,Pubs!$A$2:$A$3001,0)),""))</f>
        <v/>
      </c>
      <c r="L2632" s="29" t="str">
        <f aca="false">IF(A2632="","",IFERROR(1/(1/INDEX(Numéros!$C$2:$C$3001,MATCH(A2632&amp;"|"&amp;B2632,Numéros!$F$2:$F$3001,0))),""))</f>
        <v/>
      </c>
      <c r="M2632" s="27" t="str">
        <f aca="false">IF(OR(G2632="",G2632="?"),"",IFERROR(INDEX(Pubs!$D$2:$D$3001,MATCH(G2632,Pubs!$A$2:$A$3001,0))&amp;"",""))</f>
        <v/>
      </c>
      <c r="N2632" s="27" t="n">
        <f aca="false">N(N2631)+IF(AND(A2632&lt;&gt;"",OR(Recherche!$C$4="",A2632=Recherche!$C$4),OR(Recherche!$C$5="",B2632&amp;""=Recherche!$C$5&amp;""),OR(Recherche!$C$6="",IFERROR(YEAR(L2632),0)=Recherche!$C$6),OR(Recherche!$C$7="",ISNUMBER(SEARCH(Recherche!$C$7,H2632))),OR(Recherche!$C$8="",J2632=Recherche!$C$8),OR(Recherche!$C$9="",I2632=Recherche!$C$9),OR(Recherche!$C$10="",G2632&amp;""=Recherche!$C$10&amp;""),OR(Recherche!$C$11="",E2632=Recherche!$C$11),OR(Recherche!$C$12="",ISNUMBER(SEARCH(Recherche!$C$12,M2632&amp;" "&amp;F2632)))),1,0)</f>
        <v>8</v>
      </c>
    </row>
    <row r="2633" customFormat="false" ht="15" hidden="false" customHeight="false" outlineLevel="0" collapsed="false">
      <c r="A2633" s="19"/>
      <c r="B2633" s="19"/>
      <c r="C2633" s="19"/>
      <c r="D2633" s="19"/>
      <c r="E2633" s="22"/>
      <c r="F2633" s="19"/>
      <c r="G2633" s="26" t="str">
        <f aca="false">IF(D2633="","",IFERROR(VALUE(LEFT(D2633,FIND(" |",D2633&amp;" |")-1)),"?"))</f>
        <v/>
      </c>
      <c r="H2633" s="27" t="str">
        <f aca="false">IF(G2633="","",IF(G2633="?","⚠ pub inconnue",IFERROR(INDEX(Pubs!$B$2:$B$3001,MATCH(G2633,Pubs!$A$2:$A$3001,0))&amp;"","⚠ pub inconnue")))</f>
        <v/>
      </c>
      <c r="I2633" s="27" t="str">
        <f aca="false">IF(OR(G2633="",G2633="?"),"",IFERROR(INDEX(Pubs!$C$2:$C$3001,MATCH(G2633,Pubs!$A$2:$A$3001,0))&amp;"",""))</f>
        <v/>
      </c>
      <c r="J2633" s="27" t="str">
        <f aca="false">IF(OR(G2633="",G2633="?"),"",IFERROR(INDEX(Pubs!$G$2:$G$3001,MATCH(G2633,Pubs!$A$2:$A$3001,0))&amp;"",""))</f>
        <v/>
      </c>
      <c r="K2633" s="28" t="str">
        <f aca="false">IF(OR(G2633="",G2633="?"),"",IFERROR(INDEX(Pubs!$E$2:$E$3001,MATCH(G2633,Pubs!$A$2:$A$3001,0)),""))</f>
        <v/>
      </c>
      <c r="L2633" s="29" t="str">
        <f aca="false">IF(A2633="","",IFERROR(1/(1/INDEX(Numéros!$C$2:$C$3001,MATCH(A2633&amp;"|"&amp;B2633,Numéros!$F$2:$F$3001,0))),""))</f>
        <v/>
      </c>
      <c r="M2633" s="27" t="str">
        <f aca="false">IF(OR(G2633="",G2633="?"),"",IFERROR(INDEX(Pubs!$D$2:$D$3001,MATCH(G2633,Pubs!$A$2:$A$3001,0))&amp;"",""))</f>
        <v/>
      </c>
      <c r="N2633" s="27" t="n">
        <f aca="false">N(N2632)+IF(AND(A2633&lt;&gt;"",OR(Recherche!$C$4="",A2633=Recherche!$C$4),OR(Recherche!$C$5="",B2633&amp;""=Recherche!$C$5&amp;""),OR(Recherche!$C$6="",IFERROR(YEAR(L2633),0)=Recherche!$C$6),OR(Recherche!$C$7="",ISNUMBER(SEARCH(Recherche!$C$7,H2633))),OR(Recherche!$C$8="",J2633=Recherche!$C$8),OR(Recherche!$C$9="",I2633=Recherche!$C$9),OR(Recherche!$C$10="",G2633&amp;""=Recherche!$C$10&amp;""),OR(Recherche!$C$11="",E2633=Recherche!$C$11),OR(Recherche!$C$12="",ISNUMBER(SEARCH(Recherche!$C$12,M2633&amp;" "&amp;F2633)))),1,0)</f>
        <v>8</v>
      </c>
    </row>
    <row r="2634" customFormat="false" ht="15" hidden="false" customHeight="false" outlineLevel="0" collapsed="false">
      <c r="A2634" s="19"/>
      <c r="B2634" s="19"/>
      <c r="C2634" s="19"/>
      <c r="D2634" s="19"/>
      <c r="E2634" s="22"/>
      <c r="F2634" s="19"/>
      <c r="G2634" s="26" t="str">
        <f aca="false">IF(D2634="","",IFERROR(VALUE(LEFT(D2634,FIND(" |",D2634&amp;" |")-1)),"?"))</f>
        <v/>
      </c>
      <c r="H2634" s="27" t="str">
        <f aca="false">IF(G2634="","",IF(G2634="?","⚠ pub inconnue",IFERROR(INDEX(Pubs!$B$2:$B$3001,MATCH(G2634,Pubs!$A$2:$A$3001,0))&amp;"","⚠ pub inconnue")))</f>
        <v/>
      </c>
      <c r="I2634" s="27" t="str">
        <f aca="false">IF(OR(G2634="",G2634="?"),"",IFERROR(INDEX(Pubs!$C$2:$C$3001,MATCH(G2634,Pubs!$A$2:$A$3001,0))&amp;"",""))</f>
        <v/>
      </c>
      <c r="J2634" s="27" t="str">
        <f aca="false">IF(OR(G2634="",G2634="?"),"",IFERROR(INDEX(Pubs!$G$2:$G$3001,MATCH(G2634,Pubs!$A$2:$A$3001,0))&amp;"",""))</f>
        <v/>
      </c>
      <c r="K2634" s="28" t="str">
        <f aca="false">IF(OR(G2634="",G2634="?"),"",IFERROR(INDEX(Pubs!$E$2:$E$3001,MATCH(G2634,Pubs!$A$2:$A$3001,0)),""))</f>
        <v/>
      </c>
      <c r="L2634" s="29" t="str">
        <f aca="false">IF(A2634="","",IFERROR(1/(1/INDEX(Numéros!$C$2:$C$3001,MATCH(A2634&amp;"|"&amp;B2634,Numéros!$F$2:$F$3001,0))),""))</f>
        <v/>
      </c>
      <c r="M2634" s="27" t="str">
        <f aca="false">IF(OR(G2634="",G2634="?"),"",IFERROR(INDEX(Pubs!$D$2:$D$3001,MATCH(G2634,Pubs!$A$2:$A$3001,0))&amp;"",""))</f>
        <v/>
      </c>
      <c r="N2634" s="27" t="n">
        <f aca="false">N(N2633)+IF(AND(A2634&lt;&gt;"",OR(Recherche!$C$4="",A2634=Recherche!$C$4),OR(Recherche!$C$5="",B2634&amp;""=Recherche!$C$5&amp;""),OR(Recherche!$C$6="",IFERROR(YEAR(L2634),0)=Recherche!$C$6),OR(Recherche!$C$7="",ISNUMBER(SEARCH(Recherche!$C$7,H2634))),OR(Recherche!$C$8="",J2634=Recherche!$C$8),OR(Recherche!$C$9="",I2634=Recherche!$C$9),OR(Recherche!$C$10="",G2634&amp;""=Recherche!$C$10&amp;""),OR(Recherche!$C$11="",E2634=Recherche!$C$11),OR(Recherche!$C$12="",ISNUMBER(SEARCH(Recherche!$C$12,M2634&amp;" "&amp;F2634)))),1,0)</f>
        <v>8</v>
      </c>
    </row>
    <row r="2635" customFormat="false" ht="15" hidden="false" customHeight="false" outlineLevel="0" collapsed="false">
      <c r="A2635" s="19"/>
      <c r="B2635" s="19"/>
      <c r="C2635" s="19"/>
      <c r="D2635" s="19"/>
      <c r="E2635" s="22"/>
      <c r="F2635" s="19"/>
      <c r="G2635" s="26" t="str">
        <f aca="false">IF(D2635="","",IFERROR(VALUE(LEFT(D2635,FIND(" |",D2635&amp;" |")-1)),"?"))</f>
        <v/>
      </c>
      <c r="H2635" s="27" t="str">
        <f aca="false">IF(G2635="","",IF(G2635="?","⚠ pub inconnue",IFERROR(INDEX(Pubs!$B$2:$B$3001,MATCH(G2635,Pubs!$A$2:$A$3001,0))&amp;"","⚠ pub inconnue")))</f>
        <v/>
      </c>
      <c r="I2635" s="27" t="str">
        <f aca="false">IF(OR(G2635="",G2635="?"),"",IFERROR(INDEX(Pubs!$C$2:$C$3001,MATCH(G2635,Pubs!$A$2:$A$3001,0))&amp;"",""))</f>
        <v/>
      </c>
      <c r="J2635" s="27" t="str">
        <f aca="false">IF(OR(G2635="",G2635="?"),"",IFERROR(INDEX(Pubs!$G$2:$G$3001,MATCH(G2635,Pubs!$A$2:$A$3001,0))&amp;"",""))</f>
        <v/>
      </c>
      <c r="K2635" s="28" t="str">
        <f aca="false">IF(OR(G2635="",G2635="?"),"",IFERROR(INDEX(Pubs!$E$2:$E$3001,MATCH(G2635,Pubs!$A$2:$A$3001,0)),""))</f>
        <v/>
      </c>
      <c r="L2635" s="29" t="str">
        <f aca="false">IF(A2635="","",IFERROR(1/(1/INDEX(Numéros!$C$2:$C$3001,MATCH(A2635&amp;"|"&amp;B2635,Numéros!$F$2:$F$3001,0))),""))</f>
        <v/>
      </c>
      <c r="M2635" s="27" t="str">
        <f aca="false">IF(OR(G2635="",G2635="?"),"",IFERROR(INDEX(Pubs!$D$2:$D$3001,MATCH(G2635,Pubs!$A$2:$A$3001,0))&amp;"",""))</f>
        <v/>
      </c>
      <c r="N2635" s="27" t="n">
        <f aca="false">N(N2634)+IF(AND(A2635&lt;&gt;"",OR(Recherche!$C$4="",A2635=Recherche!$C$4),OR(Recherche!$C$5="",B2635&amp;""=Recherche!$C$5&amp;""),OR(Recherche!$C$6="",IFERROR(YEAR(L2635),0)=Recherche!$C$6),OR(Recherche!$C$7="",ISNUMBER(SEARCH(Recherche!$C$7,H2635))),OR(Recherche!$C$8="",J2635=Recherche!$C$8),OR(Recherche!$C$9="",I2635=Recherche!$C$9),OR(Recherche!$C$10="",G2635&amp;""=Recherche!$C$10&amp;""),OR(Recherche!$C$11="",E2635=Recherche!$C$11),OR(Recherche!$C$12="",ISNUMBER(SEARCH(Recherche!$C$12,M2635&amp;" "&amp;F2635)))),1,0)</f>
        <v>8</v>
      </c>
    </row>
    <row r="2636" customFormat="false" ht="15" hidden="false" customHeight="false" outlineLevel="0" collapsed="false">
      <c r="A2636" s="19"/>
      <c r="B2636" s="19"/>
      <c r="C2636" s="19"/>
      <c r="D2636" s="19"/>
      <c r="E2636" s="22"/>
      <c r="F2636" s="19"/>
      <c r="G2636" s="26" t="str">
        <f aca="false">IF(D2636="","",IFERROR(VALUE(LEFT(D2636,FIND(" |",D2636&amp;" |")-1)),"?"))</f>
        <v/>
      </c>
      <c r="H2636" s="27" t="str">
        <f aca="false">IF(G2636="","",IF(G2636="?","⚠ pub inconnue",IFERROR(INDEX(Pubs!$B$2:$B$3001,MATCH(G2636,Pubs!$A$2:$A$3001,0))&amp;"","⚠ pub inconnue")))</f>
        <v/>
      </c>
      <c r="I2636" s="27" t="str">
        <f aca="false">IF(OR(G2636="",G2636="?"),"",IFERROR(INDEX(Pubs!$C$2:$C$3001,MATCH(G2636,Pubs!$A$2:$A$3001,0))&amp;"",""))</f>
        <v/>
      </c>
      <c r="J2636" s="27" t="str">
        <f aca="false">IF(OR(G2636="",G2636="?"),"",IFERROR(INDEX(Pubs!$G$2:$G$3001,MATCH(G2636,Pubs!$A$2:$A$3001,0))&amp;"",""))</f>
        <v/>
      </c>
      <c r="K2636" s="28" t="str">
        <f aca="false">IF(OR(G2636="",G2636="?"),"",IFERROR(INDEX(Pubs!$E$2:$E$3001,MATCH(G2636,Pubs!$A$2:$A$3001,0)),""))</f>
        <v/>
      </c>
      <c r="L2636" s="29" t="str">
        <f aca="false">IF(A2636="","",IFERROR(1/(1/INDEX(Numéros!$C$2:$C$3001,MATCH(A2636&amp;"|"&amp;B2636,Numéros!$F$2:$F$3001,0))),""))</f>
        <v/>
      </c>
      <c r="M2636" s="27" t="str">
        <f aca="false">IF(OR(G2636="",G2636="?"),"",IFERROR(INDEX(Pubs!$D$2:$D$3001,MATCH(G2636,Pubs!$A$2:$A$3001,0))&amp;"",""))</f>
        <v/>
      </c>
      <c r="N2636" s="27" t="n">
        <f aca="false">N(N2635)+IF(AND(A2636&lt;&gt;"",OR(Recherche!$C$4="",A2636=Recherche!$C$4),OR(Recherche!$C$5="",B2636&amp;""=Recherche!$C$5&amp;""),OR(Recherche!$C$6="",IFERROR(YEAR(L2636),0)=Recherche!$C$6),OR(Recherche!$C$7="",ISNUMBER(SEARCH(Recherche!$C$7,H2636))),OR(Recherche!$C$8="",J2636=Recherche!$C$8),OR(Recherche!$C$9="",I2636=Recherche!$C$9),OR(Recherche!$C$10="",G2636&amp;""=Recherche!$C$10&amp;""),OR(Recherche!$C$11="",E2636=Recherche!$C$11),OR(Recherche!$C$12="",ISNUMBER(SEARCH(Recherche!$C$12,M2636&amp;" "&amp;F2636)))),1,0)</f>
        <v>8</v>
      </c>
    </row>
    <row r="2637" customFormat="false" ht="15" hidden="false" customHeight="false" outlineLevel="0" collapsed="false">
      <c r="A2637" s="19"/>
      <c r="B2637" s="19"/>
      <c r="C2637" s="19"/>
      <c r="D2637" s="19"/>
      <c r="E2637" s="22"/>
      <c r="F2637" s="19"/>
      <c r="G2637" s="26" t="str">
        <f aca="false">IF(D2637="","",IFERROR(VALUE(LEFT(D2637,FIND(" |",D2637&amp;" |")-1)),"?"))</f>
        <v/>
      </c>
      <c r="H2637" s="27" t="str">
        <f aca="false">IF(G2637="","",IF(G2637="?","⚠ pub inconnue",IFERROR(INDEX(Pubs!$B$2:$B$3001,MATCH(G2637,Pubs!$A$2:$A$3001,0))&amp;"","⚠ pub inconnue")))</f>
        <v/>
      </c>
      <c r="I2637" s="27" t="str">
        <f aca="false">IF(OR(G2637="",G2637="?"),"",IFERROR(INDEX(Pubs!$C$2:$C$3001,MATCH(G2637,Pubs!$A$2:$A$3001,0))&amp;"",""))</f>
        <v/>
      </c>
      <c r="J2637" s="27" t="str">
        <f aca="false">IF(OR(G2637="",G2637="?"),"",IFERROR(INDEX(Pubs!$G$2:$G$3001,MATCH(G2637,Pubs!$A$2:$A$3001,0))&amp;"",""))</f>
        <v/>
      </c>
      <c r="K2637" s="28" t="str">
        <f aca="false">IF(OR(G2637="",G2637="?"),"",IFERROR(INDEX(Pubs!$E$2:$E$3001,MATCH(G2637,Pubs!$A$2:$A$3001,0)),""))</f>
        <v/>
      </c>
      <c r="L2637" s="29" t="str">
        <f aca="false">IF(A2637="","",IFERROR(1/(1/INDEX(Numéros!$C$2:$C$3001,MATCH(A2637&amp;"|"&amp;B2637,Numéros!$F$2:$F$3001,0))),""))</f>
        <v/>
      </c>
      <c r="M2637" s="27" t="str">
        <f aca="false">IF(OR(G2637="",G2637="?"),"",IFERROR(INDEX(Pubs!$D$2:$D$3001,MATCH(G2637,Pubs!$A$2:$A$3001,0))&amp;"",""))</f>
        <v/>
      </c>
      <c r="N2637" s="27" t="n">
        <f aca="false">N(N2636)+IF(AND(A2637&lt;&gt;"",OR(Recherche!$C$4="",A2637=Recherche!$C$4),OR(Recherche!$C$5="",B2637&amp;""=Recherche!$C$5&amp;""),OR(Recherche!$C$6="",IFERROR(YEAR(L2637),0)=Recherche!$C$6),OR(Recherche!$C$7="",ISNUMBER(SEARCH(Recherche!$C$7,H2637))),OR(Recherche!$C$8="",J2637=Recherche!$C$8),OR(Recherche!$C$9="",I2637=Recherche!$C$9),OR(Recherche!$C$10="",G2637&amp;""=Recherche!$C$10&amp;""),OR(Recherche!$C$11="",E2637=Recherche!$C$11),OR(Recherche!$C$12="",ISNUMBER(SEARCH(Recherche!$C$12,M2637&amp;" "&amp;F2637)))),1,0)</f>
        <v>8</v>
      </c>
    </row>
    <row r="2638" customFormat="false" ht="15" hidden="false" customHeight="false" outlineLevel="0" collapsed="false">
      <c r="A2638" s="19"/>
      <c r="B2638" s="19"/>
      <c r="C2638" s="19"/>
      <c r="D2638" s="19"/>
      <c r="E2638" s="22"/>
      <c r="F2638" s="19"/>
      <c r="G2638" s="26" t="str">
        <f aca="false">IF(D2638="","",IFERROR(VALUE(LEFT(D2638,FIND(" |",D2638&amp;" |")-1)),"?"))</f>
        <v/>
      </c>
      <c r="H2638" s="27" t="str">
        <f aca="false">IF(G2638="","",IF(G2638="?","⚠ pub inconnue",IFERROR(INDEX(Pubs!$B$2:$B$3001,MATCH(G2638,Pubs!$A$2:$A$3001,0))&amp;"","⚠ pub inconnue")))</f>
        <v/>
      </c>
      <c r="I2638" s="27" t="str">
        <f aca="false">IF(OR(G2638="",G2638="?"),"",IFERROR(INDEX(Pubs!$C$2:$C$3001,MATCH(G2638,Pubs!$A$2:$A$3001,0))&amp;"",""))</f>
        <v/>
      </c>
      <c r="J2638" s="27" t="str">
        <f aca="false">IF(OR(G2638="",G2638="?"),"",IFERROR(INDEX(Pubs!$G$2:$G$3001,MATCH(G2638,Pubs!$A$2:$A$3001,0))&amp;"",""))</f>
        <v/>
      </c>
      <c r="K2638" s="28" t="str">
        <f aca="false">IF(OR(G2638="",G2638="?"),"",IFERROR(INDEX(Pubs!$E$2:$E$3001,MATCH(G2638,Pubs!$A$2:$A$3001,0)),""))</f>
        <v/>
      </c>
      <c r="L2638" s="29" t="str">
        <f aca="false">IF(A2638="","",IFERROR(1/(1/INDEX(Numéros!$C$2:$C$3001,MATCH(A2638&amp;"|"&amp;B2638,Numéros!$F$2:$F$3001,0))),""))</f>
        <v/>
      </c>
      <c r="M2638" s="27" t="str">
        <f aca="false">IF(OR(G2638="",G2638="?"),"",IFERROR(INDEX(Pubs!$D$2:$D$3001,MATCH(G2638,Pubs!$A$2:$A$3001,0))&amp;"",""))</f>
        <v/>
      </c>
      <c r="N2638" s="27" t="n">
        <f aca="false">N(N2637)+IF(AND(A2638&lt;&gt;"",OR(Recherche!$C$4="",A2638=Recherche!$C$4),OR(Recherche!$C$5="",B2638&amp;""=Recherche!$C$5&amp;""),OR(Recherche!$C$6="",IFERROR(YEAR(L2638),0)=Recherche!$C$6),OR(Recherche!$C$7="",ISNUMBER(SEARCH(Recherche!$C$7,H2638))),OR(Recherche!$C$8="",J2638=Recherche!$C$8),OR(Recherche!$C$9="",I2638=Recherche!$C$9),OR(Recherche!$C$10="",G2638&amp;""=Recherche!$C$10&amp;""),OR(Recherche!$C$11="",E2638=Recherche!$C$11),OR(Recherche!$C$12="",ISNUMBER(SEARCH(Recherche!$C$12,M2638&amp;" "&amp;F2638)))),1,0)</f>
        <v>8</v>
      </c>
    </row>
    <row r="2639" customFormat="false" ht="15" hidden="false" customHeight="false" outlineLevel="0" collapsed="false">
      <c r="A2639" s="19"/>
      <c r="B2639" s="19"/>
      <c r="C2639" s="19"/>
      <c r="D2639" s="19"/>
      <c r="E2639" s="22"/>
      <c r="F2639" s="19"/>
      <c r="G2639" s="26" t="str">
        <f aca="false">IF(D2639="","",IFERROR(VALUE(LEFT(D2639,FIND(" |",D2639&amp;" |")-1)),"?"))</f>
        <v/>
      </c>
      <c r="H2639" s="27" t="str">
        <f aca="false">IF(G2639="","",IF(G2639="?","⚠ pub inconnue",IFERROR(INDEX(Pubs!$B$2:$B$3001,MATCH(G2639,Pubs!$A$2:$A$3001,0))&amp;"","⚠ pub inconnue")))</f>
        <v/>
      </c>
      <c r="I2639" s="27" t="str">
        <f aca="false">IF(OR(G2639="",G2639="?"),"",IFERROR(INDEX(Pubs!$C$2:$C$3001,MATCH(G2639,Pubs!$A$2:$A$3001,0))&amp;"",""))</f>
        <v/>
      </c>
      <c r="J2639" s="27" t="str">
        <f aca="false">IF(OR(G2639="",G2639="?"),"",IFERROR(INDEX(Pubs!$G$2:$G$3001,MATCH(G2639,Pubs!$A$2:$A$3001,0))&amp;"",""))</f>
        <v/>
      </c>
      <c r="K2639" s="28" t="str">
        <f aca="false">IF(OR(G2639="",G2639="?"),"",IFERROR(INDEX(Pubs!$E$2:$E$3001,MATCH(G2639,Pubs!$A$2:$A$3001,0)),""))</f>
        <v/>
      </c>
      <c r="L2639" s="29" t="str">
        <f aca="false">IF(A2639="","",IFERROR(1/(1/INDEX(Numéros!$C$2:$C$3001,MATCH(A2639&amp;"|"&amp;B2639,Numéros!$F$2:$F$3001,0))),""))</f>
        <v/>
      </c>
      <c r="M2639" s="27" t="str">
        <f aca="false">IF(OR(G2639="",G2639="?"),"",IFERROR(INDEX(Pubs!$D$2:$D$3001,MATCH(G2639,Pubs!$A$2:$A$3001,0))&amp;"",""))</f>
        <v/>
      </c>
      <c r="N2639" s="27" t="n">
        <f aca="false">N(N2638)+IF(AND(A2639&lt;&gt;"",OR(Recherche!$C$4="",A2639=Recherche!$C$4),OR(Recherche!$C$5="",B2639&amp;""=Recherche!$C$5&amp;""),OR(Recherche!$C$6="",IFERROR(YEAR(L2639),0)=Recherche!$C$6),OR(Recherche!$C$7="",ISNUMBER(SEARCH(Recherche!$C$7,H2639))),OR(Recherche!$C$8="",J2639=Recherche!$C$8),OR(Recherche!$C$9="",I2639=Recherche!$C$9),OR(Recherche!$C$10="",G2639&amp;""=Recherche!$C$10&amp;""),OR(Recherche!$C$11="",E2639=Recherche!$C$11),OR(Recherche!$C$12="",ISNUMBER(SEARCH(Recherche!$C$12,M2639&amp;" "&amp;F2639)))),1,0)</f>
        <v>8</v>
      </c>
    </row>
    <row r="2640" customFormat="false" ht="15" hidden="false" customHeight="false" outlineLevel="0" collapsed="false">
      <c r="A2640" s="19"/>
      <c r="B2640" s="19"/>
      <c r="C2640" s="19"/>
      <c r="D2640" s="19"/>
      <c r="E2640" s="22"/>
      <c r="F2640" s="19"/>
      <c r="G2640" s="26" t="str">
        <f aca="false">IF(D2640="","",IFERROR(VALUE(LEFT(D2640,FIND(" |",D2640&amp;" |")-1)),"?"))</f>
        <v/>
      </c>
      <c r="H2640" s="27" t="str">
        <f aca="false">IF(G2640="","",IF(G2640="?","⚠ pub inconnue",IFERROR(INDEX(Pubs!$B$2:$B$3001,MATCH(G2640,Pubs!$A$2:$A$3001,0))&amp;"","⚠ pub inconnue")))</f>
        <v/>
      </c>
      <c r="I2640" s="27" t="str">
        <f aca="false">IF(OR(G2640="",G2640="?"),"",IFERROR(INDEX(Pubs!$C$2:$C$3001,MATCH(G2640,Pubs!$A$2:$A$3001,0))&amp;"",""))</f>
        <v/>
      </c>
      <c r="J2640" s="27" t="str">
        <f aca="false">IF(OR(G2640="",G2640="?"),"",IFERROR(INDEX(Pubs!$G$2:$G$3001,MATCH(G2640,Pubs!$A$2:$A$3001,0))&amp;"",""))</f>
        <v/>
      </c>
      <c r="K2640" s="28" t="str">
        <f aca="false">IF(OR(G2640="",G2640="?"),"",IFERROR(INDEX(Pubs!$E$2:$E$3001,MATCH(G2640,Pubs!$A$2:$A$3001,0)),""))</f>
        <v/>
      </c>
      <c r="L2640" s="29" t="str">
        <f aca="false">IF(A2640="","",IFERROR(1/(1/INDEX(Numéros!$C$2:$C$3001,MATCH(A2640&amp;"|"&amp;B2640,Numéros!$F$2:$F$3001,0))),""))</f>
        <v/>
      </c>
      <c r="M2640" s="27" t="str">
        <f aca="false">IF(OR(G2640="",G2640="?"),"",IFERROR(INDEX(Pubs!$D$2:$D$3001,MATCH(G2640,Pubs!$A$2:$A$3001,0))&amp;"",""))</f>
        <v/>
      </c>
      <c r="N2640" s="27" t="n">
        <f aca="false">N(N2639)+IF(AND(A2640&lt;&gt;"",OR(Recherche!$C$4="",A2640=Recherche!$C$4),OR(Recherche!$C$5="",B2640&amp;""=Recherche!$C$5&amp;""),OR(Recherche!$C$6="",IFERROR(YEAR(L2640),0)=Recherche!$C$6),OR(Recherche!$C$7="",ISNUMBER(SEARCH(Recherche!$C$7,H2640))),OR(Recherche!$C$8="",J2640=Recherche!$C$8),OR(Recherche!$C$9="",I2640=Recherche!$C$9),OR(Recherche!$C$10="",G2640&amp;""=Recherche!$C$10&amp;""),OR(Recherche!$C$11="",E2640=Recherche!$C$11),OR(Recherche!$C$12="",ISNUMBER(SEARCH(Recherche!$C$12,M2640&amp;" "&amp;F2640)))),1,0)</f>
        <v>8</v>
      </c>
    </row>
    <row r="2641" customFormat="false" ht="15" hidden="false" customHeight="false" outlineLevel="0" collapsed="false">
      <c r="A2641" s="19"/>
      <c r="B2641" s="19"/>
      <c r="C2641" s="19"/>
      <c r="D2641" s="19"/>
      <c r="E2641" s="22"/>
      <c r="F2641" s="19"/>
      <c r="G2641" s="26" t="str">
        <f aca="false">IF(D2641="","",IFERROR(VALUE(LEFT(D2641,FIND(" |",D2641&amp;" |")-1)),"?"))</f>
        <v/>
      </c>
      <c r="H2641" s="27" t="str">
        <f aca="false">IF(G2641="","",IF(G2641="?","⚠ pub inconnue",IFERROR(INDEX(Pubs!$B$2:$B$3001,MATCH(G2641,Pubs!$A$2:$A$3001,0))&amp;"","⚠ pub inconnue")))</f>
        <v/>
      </c>
      <c r="I2641" s="27" t="str">
        <f aca="false">IF(OR(G2641="",G2641="?"),"",IFERROR(INDEX(Pubs!$C$2:$C$3001,MATCH(G2641,Pubs!$A$2:$A$3001,0))&amp;"",""))</f>
        <v/>
      </c>
      <c r="J2641" s="27" t="str">
        <f aca="false">IF(OR(G2641="",G2641="?"),"",IFERROR(INDEX(Pubs!$G$2:$G$3001,MATCH(G2641,Pubs!$A$2:$A$3001,0))&amp;"",""))</f>
        <v/>
      </c>
      <c r="K2641" s="28" t="str">
        <f aca="false">IF(OR(G2641="",G2641="?"),"",IFERROR(INDEX(Pubs!$E$2:$E$3001,MATCH(G2641,Pubs!$A$2:$A$3001,0)),""))</f>
        <v/>
      </c>
      <c r="L2641" s="29" t="str">
        <f aca="false">IF(A2641="","",IFERROR(1/(1/INDEX(Numéros!$C$2:$C$3001,MATCH(A2641&amp;"|"&amp;B2641,Numéros!$F$2:$F$3001,0))),""))</f>
        <v/>
      </c>
      <c r="M2641" s="27" t="str">
        <f aca="false">IF(OR(G2641="",G2641="?"),"",IFERROR(INDEX(Pubs!$D$2:$D$3001,MATCH(G2641,Pubs!$A$2:$A$3001,0))&amp;"",""))</f>
        <v/>
      </c>
      <c r="N2641" s="27" t="n">
        <f aca="false">N(N2640)+IF(AND(A2641&lt;&gt;"",OR(Recherche!$C$4="",A2641=Recherche!$C$4),OR(Recherche!$C$5="",B2641&amp;""=Recherche!$C$5&amp;""),OR(Recherche!$C$6="",IFERROR(YEAR(L2641),0)=Recherche!$C$6),OR(Recherche!$C$7="",ISNUMBER(SEARCH(Recherche!$C$7,H2641))),OR(Recherche!$C$8="",J2641=Recherche!$C$8),OR(Recherche!$C$9="",I2641=Recherche!$C$9),OR(Recherche!$C$10="",G2641&amp;""=Recherche!$C$10&amp;""),OR(Recherche!$C$11="",E2641=Recherche!$C$11),OR(Recherche!$C$12="",ISNUMBER(SEARCH(Recherche!$C$12,M2641&amp;" "&amp;F2641)))),1,0)</f>
        <v>8</v>
      </c>
    </row>
    <row r="2642" customFormat="false" ht="15" hidden="false" customHeight="false" outlineLevel="0" collapsed="false">
      <c r="A2642" s="19"/>
      <c r="B2642" s="19"/>
      <c r="C2642" s="19"/>
      <c r="D2642" s="19"/>
      <c r="E2642" s="22"/>
      <c r="F2642" s="19"/>
      <c r="G2642" s="26" t="str">
        <f aca="false">IF(D2642="","",IFERROR(VALUE(LEFT(D2642,FIND(" |",D2642&amp;" |")-1)),"?"))</f>
        <v/>
      </c>
      <c r="H2642" s="27" t="str">
        <f aca="false">IF(G2642="","",IF(G2642="?","⚠ pub inconnue",IFERROR(INDEX(Pubs!$B$2:$B$3001,MATCH(G2642,Pubs!$A$2:$A$3001,0))&amp;"","⚠ pub inconnue")))</f>
        <v/>
      </c>
      <c r="I2642" s="27" t="str">
        <f aca="false">IF(OR(G2642="",G2642="?"),"",IFERROR(INDEX(Pubs!$C$2:$C$3001,MATCH(G2642,Pubs!$A$2:$A$3001,0))&amp;"",""))</f>
        <v/>
      </c>
      <c r="J2642" s="27" t="str">
        <f aca="false">IF(OR(G2642="",G2642="?"),"",IFERROR(INDEX(Pubs!$G$2:$G$3001,MATCH(G2642,Pubs!$A$2:$A$3001,0))&amp;"",""))</f>
        <v/>
      </c>
      <c r="K2642" s="28" t="str">
        <f aca="false">IF(OR(G2642="",G2642="?"),"",IFERROR(INDEX(Pubs!$E$2:$E$3001,MATCH(G2642,Pubs!$A$2:$A$3001,0)),""))</f>
        <v/>
      </c>
      <c r="L2642" s="29" t="str">
        <f aca="false">IF(A2642="","",IFERROR(1/(1/INDEX(Numéros!$C$2:$C$3001,MATCH(A2642&amp;"|"&amp;B2642,Numéros!$F$2:$F$3001,0))),""))</f>
        <v/>
      </c>
      <c r="M2642" s="27" t="str">
        <f aca="false">IF(OR(G2642="",G2642="?"),"",IFERROR(INDEX(Pubs!$D$2:$D$3001,MATCH(G2642,Pubs!$A$2:$A$3001,0))&amp;"",""))</f>
        <v/>
      </c>
      <c r="N2642" s="27" t="n">
        <f aca="false">N(N2641)+IF(AND(A2642&lt;&gt;"",OR(Recherche!$C$4="",A2642=Recherche!$C$4),OR(Recherche!$C$5="",B2642&amp;""=Recherche!$C$5&amp;""),OR(Recherche!$C$6="",IFERROR(YEAR(L2642),0)=Recherche!$C$6),OR(Recherche!$C$7="",ISNUMBER(SEARCH(Recherche!$C$7,H2642))),OR(Recherche!$C$8="",J2642=Recherche!$C$8),OR(Recherche!$C$9="",I2642=Recherche!$C$9),OR(Recherche!$C$10="",G2642&amp;""=Recherche!$C$10&amp;""),OR(Recherche!$C$11="",E2642=Recherche!$C$11),OR(Recherche!$C$12="",ISNUMBER(SEARCH(Recherche!$C$12,M2642&amp;" "&amp;F2642)))),1,0)</f>
        <v>8</v>
      </c>
    </row>
    <row r="2643" customFormat="false" ht="15" hidden="false" customHeight="false" outlineLevel="0" collapsed="false">
      <c r="A2643" s="19"/>
      <c r="B2643" s="19"/>
      <c r="C2643" s="19"/>
      <c r="D2643" s="19"/>
      <c r="E2643" s="22"/>
      <c r="F2643" s="19"/>
      <c r="G2643" s="26" t="str">
        <f aca="false">IF(D2643="","",IFERROR(VALUE(LEFT(D2643,FIND(" |",D2643&amp;" |")-1)),"?"))</f>
        <v/>
      </c>
      <c r="H2643" s="27" t="str">
        <f aca="false">IF(G2643="","",IF(G2643="?","⚠ pub inconnue",IFERROR(INDEX(Pubs!$B$2:$B$3001,MATCH(G2643,Pubs!$A$2:$A$3001,0))&amp;"","⚠ pub inconnue")))</f>
        <v/>
      </c>
      <c r="I2643" s="27" t="str">
        <f aca="false">IF(OR(G2643="",G2643="?"),"",IFERROR(INDEX(Pubs!$C$2:$C$3001,MATCH(G2643,Pubs!$A$2:$A$3001,0))&amp;"",""))</f>
        <v/>
      </c>
      <c r="J2643" s="27" t="str">
        <f aca="false">IF(OR(G2643="",G2643="?"),"",IFERROR(INDEX(Pubs!$G$2:$G$3001,MATCH(G2643,Pubs!$A$2:$A$3001,0))&amp;"",""))</f>
        <v/>
      </c>
      <c r="K2643" s="28" t="str">
        <f aca="false">IF(OR(G2643="",G2643="?"),"",IFERROR(INDEX(Pubs!$E$2:$E$3001,MATCH(G2643,Pubs!$A$2:$A$3001,0)),""))</f>
        <v/>
      </c>
      <c r="L2643" s="29" t="str">
        <f aca="false">IF(A2643="","",IFERROR(1/(1/INDEX(Numéros!$C$2:$C$3001,MATCH(A2643&amp;"|"&amp;B2643,Numéros!$F$2:$F$3001,0))),""))</f>
        <v/>
      </c>
      <c r="M2643" s="27" t="str">
        <f aca="false">IF(OR(G2643="",G2643="?"),"",IFERROR(INDEX(Pubs!$D$2:$D$3001,MATCH(G2643,Pubs!$A$2:$A$3001,0))&amp;"",""))</f>
        <v/>
      </c>
      <c r="N2643" s="27" t="n">
        <f aca="false">N(N2642)+IF(AND(A2643&lt;&gt;"",OR(Recherche!$C$4="",A2643=Recherche!$C$4),OR(Recherche!$C$5="",B2643&amp;""=Recherche!$C$5&amp;""),OR(Recherche!$C$6="",IFERROR(YEAR(L2643),0)=Recherche!$C$6),OR(Recherche!$C$7="",ISNUMBER(SEARCH(Recherche!$C$7,H2643))),OR(Recherche!$C$8="",J2643=Recherche!$C$8),OR(Recherche!$C$9="",I2643=Recherche!$C$9),OR(Recherche!$C$10="",G2643&amp;""=Recherche!$C$10&amp;""),OR(Recherche!$C$11="",E2643=Recherche!$C$11),OR(Recherche!$C$12="",ISNUMBER(SEARCH(Recherche!$C$12,M2643&amp;" "&amp;F2643)))),1,0)</f>
        <v>8</v>
      </c>
    </row>
    <row r="2644" customFormat="false" ht="15" hidden="false" customHeight="false" outlineLevel="0" collapsed="false">
      <c r="A2644" s="19"/>
      <c r="B2644" s="19"/>
      <c r="C2644" s="19"/>
      <c r="D2644" s="19"/>
      <c r="E2644" s="22"/>
      <c r="F2644" s="19"/>
      <c r="G2644" s="26" t="str">
        <f aca="false">IF(D2644="","",IFERROR(VALUE(LEFT(D2644,FIND(" |",D2644&amp;" |")-1)),"?"))</f>
        <v/>
      </c>
      <c r="H2644" s="27" t="str">
        <f aca="false">IF(G2644="","",IF(G2644="?","⚠ pub inconnue",IFERROR(INDEX(Pubs!$B$2:$B$3001,MATCH(G2644,Pubs!$A$2:$A$3001,0))&amp;"","⚠ pub inconnue")))</f>
        <v/>
      </c>
      <c r="I2644" s="27" t="str">
        <f aca="false">IF(OR(G2644="",G2644="?"),"",IFERROR(INDEX(Pubs!$C$2:$C$3001,MATCH(G2644,Pubs!$A$2:$A$3001,0))&amp;"",""))</f>
        <v/>
      </c>
      <c r="J2644" s="27" t="str">
        <f aca="false">IF(OR(G2644="",G2644="?"),"",IFERROR(INDEX(Pubs!$G$2:$G$3001,MATCH(G2644,Pubs!$A$2:$A$3001,0))&amp;"",""))</f>
        <v/>
      </c>
      <c r="K2644" s="28" t="str">
        <f aca="false">IF(OR(G2644="",G2644="?"),"",IFERROR(INDEX(Pubs!$E$2:$E$3001,MATCH(G2644,Pubs!$A$2:$A$3001,0)),""))</f>
        <v/>
      </c>
      <c r="L2644" s="29" t="str">
        <f aca="false">IF(A2644="","",IFERROR(1/(1/INDEX(Numéros!$C$2:$C$3001,MATCH(A2644&amp;"|"&amp;B2644,Numéros!$F$2:$F$3001,0))),""))</f>
        <v/>
      </c>
      <c r="M2644" s="27" t="str">
        <f aca="false">IF(OR(G2644="",G2644="?"),"",IFERROR(INDEX(Pubs!$D$2:$D$3001,MATCH(G2644,Pubs!$A$2:$A$3001,0))&amp;"",""))</f>
        <v/>
      </c>
      <c r="N2644" s="27" t="n">
        <f aca="false">N(N2643)+IF(AND(A2644&lt;&gt;"",OR(Recherche!$C$4="",A2644=Recherche!$C$4),OR(Recherche!$C$5="",B2644&amp;""=Recherche!$C$5&amp;""),OR(Recherche!$C$6="",IFERROR(YEAR(L2644),0)=Recherche!$C$6),OR(Recherche!$C$7="",ISNUMBER(SEARCH(Recherche!$C$7,H2644))),OR(Recherche!$C$8="",J2644=Recherche!$C$8),OR(Recherche!$C$9="",I2644=Recherche!$C$9),OR(Recherche!$C$10="",G2644&amp;""=Recherche!$C$10&amp;""),OR(Recherche!$C$11="",E2644=Recherche!$C$11),OR(Recherche!$C$12="",ISNUMBER(SEARCH(Recherche!$C$12,M2644&amp;" "&amp;F2644)))),1,0)</f>
        <v>8</v>
      </c>
    </row>
    <row r="2645" customFormat="false" ht="15" hidden="false" customHeight="false" outlineLevel="0" collapsed="false">
      <c r="A2645" s="19"/>
      <c r="B2645" s="19"/>
      <c r="C2645" s="19"/>
      <c r="D2645" s="19"/>
      <c r="E2645" s="22"/>
      <c r="F2645" s="19"/>
      <c r="G2645" s="26" t="str">
        <f aca="false">IF(D2645="","",IFERROR(VALUE(LEFT(D2645,FIND(" |",D2645&amp;" |")-1)),"?"))</f>
        <v/>
      </c>
      <c r="H2645" s="27" t="str">
        <f aca="false">IF(G2645="","",IF(G2645="?","⚠ pub inconnue",IFERROR(INDEX(Pubs!$B$2:$B$3001,MATCH(G2645,Pubs!$A$2:$A$3001,0))&amp;"","⚠ pub inconnue")))</f>
        <v/>
      </c>
      <c r="I2645" s="27" t="str">
        <f aca="false">IF(OR(G2645="",G2645="?"),"",IFERROR(INDEX(Pubs!$C$2:$C$3001,MATCH(G2645,Pubs!$A$2:$A$3001,0))&amp;"",""))</f>
        <v/>
      </c>
      <c r="J2645" s="27" t="str">
        <f aca="false">IF(OR(G2645="",G2645="?"),"",IFERROR(INDEX(Pubs!$G$2:$G$3001,MATCH(G2645,Pubs!$A$2:$A$3001,0))&amp;"",""))</f>
        <v/>
      </c>
      <c r="K2645" s="28" t="str">
        <f aca="false">IF(OR(G2645="",G2645="?"),"",IFERROR(INDEX(Pubs!$E$2:$E$3001,MATCH(G2645,Pubs!$A$2:$A$3001,0)),""))</f>
        <v/>
      </c>
      <c r="L2645" s="29" t="str">
        <f aca="false">IF(A2645="","",IFERROR(1/(1/INDEX(Numéros!$C$2:$C$3001,MATCH(A2645&amp;"|"&amp;B2645,Numéros!$F$2:$F$3001,0))),""))</f>
        <v/>
      </c>
      <c r="M2645" s="27" t="str">
        <f aca="false">IF(OR(G2645="",G2645="?"),"",IFERROR(INDEX(Pubs!$D$2:$D$3001,MATCH(G2645,Pubs!$A$2:$A$3001,0))&amp;"",""))</f>
        <v/>
      </c>
      <c r="N2645" s="27" t="n">
        <f aca="false">N(N2644)+IF(AND(A2645&lt;&gt;"",OR(Recherche!$C$4="",A2645=Recherche!$C$4),OR(Recherche!$C$5="",B2645&amp;""=Recherche!$C$5&amp;""),OR(Recherche!$C$6="",IFERROR(YEAR(L2645),0)=Recherche!$C$6),OR(Recherche!$C$7="",ISNUMBER(SEARCH(Recherche!$C$7,H2645))),OR(Recherche!$C$8="",J2645=Recherche!$C$8),OR(Recherche!$C$9="",I2645=Recherche!$C$9),OR(Recherche!$C$10="",G2645&amp;""=Recherche!$C$10&amp;""),OR(Recherche!$C$11="",E2645=Recherche!$C$11),OR(Recherche!$C$12="",ISNUMBER(SEARCH(Recherche!$C$12,M2645&amp;" "&amp;F2645)))),1,0)</f>
        <v>8</v>
      </c>
    </row>
    <row r="2646" customFormat="false" ht="15" hidden="false" customHeight="false" outlineLevel="0" collapsed="false">
      <c r="A2646" s="19"/>
      <c r="B2646" s="19"/>
      <c r="C2646" s="19"/>
      <c r="D2646" s="19"/>
      <c r="E2646" s="22"/>
      <c r="F2646" s="19"/>
      <c r="G2646" s="26" t="str">
        <f aca="false">IF(D2646="","",IFERROR(VALUE(LEFT(D2646,FIND(" |",D2646&amp;" |")-1)),"?"))</f>
        <v/>
      </c>
      <c r="H2646" s="27" t="str">
        <f aca="false">IF(G2646="","",IF(G2646="?","⚠ pub inconnue",IFERROR(INDEX(Pubs!$B$2:$B$3001,MATCH(G2646,Pubs!$A$2:$A$3001,0))&amp;"","⚠ pub inconnue")))</f>
        <v/>
      </c>
      <c r="I2646" s="27" t="str">
        <f aca="false">IF(OR(G2646="",G2646="?"),"",IFERROR(INDEX(Pubs!$C$2:$C$3001,MATCH(G2646,Pubs!$A$2:$A$3001,0))&amp;"",""))</f>
        <v/>
      </c>
      <c r="J2646" s="27" t="str">
        <f aca="false">IF(OR(G2646="",G2646="?"),"",IFERROR(INDEX(Pubs!$G$2:$G$3001,MATCH(G2646,Pubs!$A$2:$A$3001,0))&amp;"",""))</f>
        <v/>
      </c>
      <c r="K2646" s="28" t="str">
        <f aca="false">IF(OR(G2646="",G2646="?"),"",IFERROR(INDEX(Pubs!$E$2:$E$3001,MATCH(G2646,Pubs!$A$2:$A$3001,0)),""))</f>
        <v/>
      </c>
      <c r="L2646" s="29" t="str">
        <f aca="false">IF(A2646="","",IFERROR(1/(1/INDEX(Numéros!$C$2:$C$3001,MATCH(A2646&amp;"|"&amp;B2646,Numéros!$F$2:$F$3001,0))),""))</f>
        <v/>
      </c>
      <c r="M2646" s="27" t="str">
        <f aca="false">IF(OR(G2646="",G2646="?"),"",IFERROR(INDEX(Pubs!$D$2:$D$3001,MATCH(G2646,Pubs!$A$2:$A$3001,0))&amp;"",""))</f>
        <v/>
      </c>
      <c r="N2646" s="27" t="n">
        <f aca="false">N(N2645)+IF(AND(A2646&lt;&gt;"",OR(Recherche!$C$4="",A2646=Recherche!$C$4),OR(Recherche!$C$5="",B2646&amp;""=Recherche!$C$5&amp;""),OR(Recherche!$C$6="",IFERROR(YEAR(L2646),0)=Recherche!$C$6),OR(Recherche!$C$7="",ISNUMBER(SEARCH(Recherche!$C$7,H2646))),OR(Recherche!$C$8="",J2646=Recherche!$C$8),OR(Recherche!$C$9="",I2646=Recherche!$C$9),OR(Recherche!$C$10="",G2646&amp;""=Recherche!$C$10&amp;""),OR(Recherche!$C$11="",E2646=Recherche!$C$11),OR(Recherche!$C$12="",ISNUMBER(SEARCH(Recherche!$C$12,M2646&amp;" "&amp;F2646)))),1,0)</f>
        <v>8</v>
      </c>
    </row>
    <row r="2647" customFormat="false" ht="15" hidden="false" customHeight="false" outlineLevel="0" collapsed="false">
      <c r="A2647" s="19"/>
      <c r="B2647" s="19"/>
      <c r="C2647" s="19"/>
      <c r="D2647" s="19"/>
      <c r="E2647" s="22"/>
      <c r="F2647" s="19"/>
      <c r="G2647" s="26" t="str">
        <f aca="false">IF(D2647="","",IFERROR(VALUE(LEFT(D2647,FIND(" |",D2647&amp;" |")-1)),"?"))</f>
        <v/>
      </c>
      <c r="H2647" s="27" t="str">
        <f aca="false">IF(G2647="","",IF(G2647="?","⚠ pub inconnue",IFERROR(INDEX(Pubs!$B$2:$B$3001,MATCH(G2647,Pubs!$A$2:$A$3001,0))&amp;"","⚠ pub inconnue")))</f>
        <v/>
      </c>
      <c r="I2647" s="27" t="str">
        <f aca="false">IF(OR(G2647="",G2647="?"),"",IFERROR(INDEX(Pubs!$C$2:$C$3001,MATCH(G2647,Pubs!$A$2:$A$3001,0))&amp;"",""))</f>
        <v/>
      </c>
      <c r="J2647" s="27" t="str">
        <f aca="false">IF(OR(G2647="",G2647="?"),"",IFERROR(INDEX(Pubs!$G$2:$G$3001,MATCH(G2647,Pubs!$A$2:$A$3001,0))&amp;"",""))</f>
        <v/>
      </c>
      <c r="K2647" s="28" t="str">
        <f aca="false">IF(OR(G2647="",G2647="?"),"",IFERROR(INDEX(Pubs!$E$2:$E$3001,MATCH(G2647,Pubs!$A$2:$A$3001,0)),""))</f>
        <v/>
      </c>
      <c r="L2647" s="29" t="str">
        <f aca="false">IF(A2647="","",IFERROR(1/(1/INDEX(Numéros!$C$2:$C$3001,MATCH(A2647&amp;"|"&amp;B2647,Numéros!$F$2:$F$3001,0))),""))</f>
        <v/>
      </c>
      <c r="M2647" s="27" t="str">
        <f aca="false">IF(OR(G2647="",G2647="?"),"",IFERROR(INDEX(Pubs!$D$2:$D$3001,MATCH(G2647,Pubs!$A$2:$A$3001,0))&amp;"",""))</f>
        <v/>
      </c>
      <c r="N2647" s="27" t="n">
        <f aca="false">N(N2646)+IF(AND(A2647&lt;&gt;"",OR(Recherche!$C$4="",A2647=Recherche!$C$4),OR(Recherche!$C$5="",B2647&amp;""=Recherche!$C$5&amp;""),OR(Recherche!$C$6="",IFERROR(YEAR(L2647),0)=Recherche!$C$6),OR(Recherche!$C$7="",ISNUMBER(SEARCH(Recherche!$C$7,H2647))),OR(Recherche!$C$8="",J2647=Recherche!$C$8),OR(Recherche!$C$9="",I2647=Recherche!$C$9),OR(Recherche!$C$10="",G2647&amp;""=Recherche!$C$10&amp;""),OR(Recherche!$C$11="",E2647=Recherche!$C$11),OR(Recherche!$C$12="",ISNUMBER(SEARCH(Recherche!$C$12,M2647&amp;" "&amp;F2647)))),1,0)</f>
        <v>8</v>
      </c>
    </row>
    <row r="2648" customFormat="false" ht="15" hidden="false" customHeight="false" outlineLevel="0" collapsed="false">
      <c r="A2648" s="19"/>
      <c r="B2648" s="19"/>
      <c r="C2648" s="19"/>
      <c r="D2648" s="19"/>
      <c r="E2648" s="22"/>
      <c r="F2648" s="19"/>
      <c r="G2648" s="26" t="str">
        <f aca="false">IF(D2648="","",IFERROR(VALUE(LEFT(D2648,FIND(" |",D2648&amp;" |")-1)),"?"))</f>
        <v/>
      </c>
      <c r="H2648" s="27" t="str">
        <f aca="false">IF(G2648="","",IF(G2648="?","⚠ pub inconnue",IFERROR(INDEX(Pubs!$B$2:$B$3001,MATCH(G2648,Pubs!$A$2:$A$3001,0))&amp;"","⚠ pub inconnue")))</f>
        <v/>
      </c>
      <c r="I2648" s="27" t="str">
        <f aca="false">IF(OR(G2648="",G2648="?"),"",IFERROR(INDEX(Pubs!$C$2:$C$3001,MATCH(G2648,Pubs!$A$2:$A$3001,0))&amp;"",""))</f>
        <v/>
      </c>
      <c r="J2648" s="27" t="str">
        <f aca="false">IF(OR(G2648="",G2648="?"),"",IFERROR(INDEX(Pubs!$G$2:$G$3001,MATCH(G2648,Pubs!$A$2:$A$3001,0))&amp;"",""))</f>
        <v/>
      </c>
      <c r="K2648" s="28" t="str">
        <f aca="false">IF(OR(G2648="",G2648="?"),"",IFERROR(INDEX(Pubs!$E$2:$E$3001,MATCH(G2648,Pubs!$A$2:$A$3001,0)),""))</f>
        <v/>
      </c>
      <c r="L2648" s="29" t="str">
        <f aca="false">IF(A2648="","",IFERROR(1/(1/INDEX(Numéros!$C$2:$C$3001,MATCH(A2648&amp;"|"&amp;B2648,Numéros!$F$2:$F$3001,0))),""))</f>
        <v/>
      </c>
      <c r="M2648" s="27" t="str">
        <f aca="false">IF(OR(G2648="",G2648="?"),"",IFERROR(INDEX(Pubs!$D$2:$D$3001,MATCH(G2648,Pubs!$A$2:$A$3001,0))&amp;"",""))</f>
        <v/>
      </c>
      <c r="N2648" s="27" t="n">
        <f aca="false">N(N2647)+IF(AND(A2648&lt;&gt;"",OR(Recherche!$C$4="",A2648=Recherche!$C$4),OR(Recherche!$C$5="",B2648&amp;""=Recherche!$C$5&amp;""),OR(Recherche!$C$6="",IFERROR(YEAR(L2648),0)=Recherche!$C$6),OR(Recherche!$C$7="",ISNUMBER(SEARCH(Recherche!$C$7,H2648))),OR(Recherche!$C$8="",J2648=Recherche!$C$8),OR(Recherche!$C$9="",I2648=Recherche!$C$9),OR(Recherche!$C$10="",G2648&amp;""=Recherche!$C$10&amp;""),OR(Recherche!$C$11="",E2648=Recherche!$C$11),OR(Recherche!$C$12="",ISNUMBER(SEARCH(Recherche!$C$12,M2648&amp;" "&amp;F2648)))),1,0)</f>
        <v>8</v>
      </c>
    </row>
    <row r="2649" customFormat="false" ht="15" hidden="false" customHeight="false" outlineLevel="0" collapsed="false">
      <c r="A2649" s="19"/>
      <c r="B2649" s="19"/>
      <c r="C2649" s="19"/>
      <c r="D2649" s="19"/>
      <c r="E2649" s="22"/>
      <c r="F2649" s="19"/>
      <c r="G2649" s="26" t="str">
        <f aca="false">IF(D2649="","",IFERROR(VALUE(LEFT(D2649,FIND(" |",D2649&amp;" |")-1)),"?"))</f>
        <v/>
      </c>
      <c r="H2649" s="27" t="str">
        <f aca="false">IF(G2649="","",IF(G2649="?","⚠ pub inconnue",IFERROR(INDEX(Pubs!$B$2:$B$3001,MATCH(G2649,Pubs!$A$2:$A$3001,0))&amp;"","⚠ pub inconnue")))</f>
        <v/>
      </c>
      <c r="I2649" s="27" t="str">
        <f aca="false">IF(OR(G2649="",G2649="?"),"",IFERROR(INDEX(Pubs!$C$2:$C$3001,MATCH(G2649,Pubs!$A$2:$A$3001,0))&amp;"",""))</f>
        <v/>
      </c>
      <c r="J2649" s="27" t="str">
        <f aca="false">IF(OR(G2649="",G2649="?"),"",IFERROR(INDEX(Pubs!$G$2:$G$3001,MATCH(G2649,Pubs!$A$2:$A$3001,0))&amp;"",""))</f>
        <v/>
      </c>
      <c r="K2649" s="28" t="str">
        <f aca="false">IF(OR(G2649="",G2649="?"),"",IFERROR(INDEX(Pubs!$E$2:$E$3001,MATCH(G2649,Pubs!$A$2:$A$3001,0)),""))</f>
        <v/>
      </c>
      <c r="L2649" s="29" t="str">
        <f aca="false">IF(A2649="","",IFERROR(1/(1/INDEX(Numéros!$C$2:$C$3001,MATCH(A2649&amp;"|"&amp;B2649,Numéros!$F$2:$F$3001,0))),""))</f>
        <v/>
      </c>
      <c r="M2649" s="27" t="str">
        <f aca="false">IF(OR(G2649="",G2649="?"),"",IFERROR(INDEX(Pubs!$D$2:$D$3001,MATCH(G2649,Pubs!$A$2:$A$3001,0))&amp;"",""))</f>
        <v/>
      </c>
      <c r="N2649" s="27" t="n">
        <f aca="false">N(N2648)+IF(AND(A2649&lt;&gt;"",OR(Recherche!$C$4="",A2649=Recherche!$C$4),OR(Recherche!$C$5="",B2649&amp;""=Recherche!$C$5&amp;""),OR(Recherche!$C$6="",IFERROR(YEAR(L2649),0)=Recherche!$C$6),OR(Recherche!$C$7="",ISNUMBER(SEARCH(Recherche!$C$7,H2649))),OR(Recherche!$C$8="",J2649=Recherche!$C$8),OR(Recherche!$C$9="",I2649=Recherche!$C$9),OR(Recherche!$C$10="",G2649&amp;""=Recherche!$C$10&amp;""),OR(Recherche!$C$11="",E2649=Recherche!$C$11),OR(Recherche!$C$12="",ISNUMBER(SEARCH(Recherche!$C$12,M2649&amp;" "&amp;F2649)))),1,0)</f>
        <v>8</v>
      </c>
    </row>
    <row r="2650" customFormat="false" ht="15" hidden="false" customHeight="false" outlineLevel="0" collapsed="false">
      <c r="A2650" s="19"/>
      <c r="B2650" s="19"/>
      <c r="C2650" s="19"/>
      <c r="D2650" s="19"/>
      <c r="E2650" s="22"/>
      <c r="F2650" s="19"/>
      <c r="G2650" s="26" t="str">
        <f aca="false">IF(D2650="","",IFERROR(VALUE(LEFT(D2650,FIND(" |",D2650&amp;" |")-1)),"?"))</f>
        <v/>
      </c>
      <c r="H2650" s="27" t="str">
        <f aca="false">IF(G2650="","",IF(G2650="?","⚠ pub inconnue",IFERROR(INDEX(Pubs!$B$2:$B$3001,MATCH(G2650,Pubs!$A$2:$A$3001,0))&amp;"","⚠ pub inconnue")))</f>
        <v/>
      </c>
      <c r="I2650" s="27" t="str">
        <f aca="false">IF(OR(G2650="",G2650="?"),"",IFERROR(INDEX(Pubs!$C$2:$C$3001,MATCH(G2650,Pubs!$A$2:$A$3001,0))&amp;"",""))</f>
        <v/>
      </c>
      <c r="J2650" s="27" t="str">
        <f aca="false">IF(OR(G2650="",G2650="?"),"",IFERROR(INDEX(Pubs!$G$2:$G$3001,MATCH(G2650,Pubs!$A$2:$A$3001,0))&amp;"",""))</f>
        <v/>
      </c>
      <c r="K2650" s="28" t="str">
        <f aca="false">IF(OR(G2650="",G2650="?"),"",IFERROR(INDEX(Pubs!$E$2:$E$3001,MATCH(G2650,Pubs!$A$2:$A$3001,0)),""))</f>
        <v/>
      </c>
      <c r="L2650" s="29" t="str">
        <f aca="false">IF(A2650="","",IFERROR(1/(1/INDEX(Numéros!$C$2:$C$3001,MATCH(A2650&amp;"|"&amp;B2650,Numéros!$F$2:$F$3001,0))),""))</f>
        <v/>
      </c>
      <c r="M2650" s="27" t="str">
        <f aca="false">IF(OR(G2650="",G2650="?"),"",IFERROR(INDEX(Pubs!$D$2:$D$3001,MATCH(G2650,Pubs!$A$2:$A$3001,0))&amp;"",""))</f>
        <v/>
      </c>
      <c r="N2650" s="27" t="n">
        <f aca="false">N(N2649)+IF(AND(A2650&lt;&gt;"",OR(Recherche!$C$4="",A2650=Recherche!$C$4),OR(Recherche!$C$5="",B2650&amp;""=Recherche!$C$5&amp;""),OR(Recherche!$C$6="",IFERROR(YEAR(L2650),0)=Recherche!$C$6),OR(Recherche!$C$7="",ISNUMBER(SEARCH(Recherche!$C$7,H2650))),OR(Recherche!$C$8="",J2650=Recherche!$C$8),OR(Recherche!$C$9="",I2650=Recherche!$C$9),OR(Recherche!$C$10="",G2650&amp;""=Recherche!$C$10&amp;""),OR(Recherche!$C$11="",E2650=Recherche!$C$11),OR(Recherche!$C$12="",ISNUMBER(SEARCH(Recherche!$C$12,M2650&amp;" "&amp;F2650)))),1,0)</f>
        <v>8</v>
      </c>
    </row>
    <row r="2651" customFormat="false" ht="15" hidden="false" customHeight="false" outlineLevel="0" collapsed="false">
      <c r="A2651" s="19"/>
      <c r="B2651" s="19"/>
      <c r="C2651" s="19"/>
      <c r="D2651" s="19"/>
      <c r="E2651" s="22"/>
      <c r="F2651" s="19"/>
      <c r="G2651" s="26" t="str">
        <f aca="false">IF(D2651="","",IFERROR(VALUE(LEFT(D2651,FIND(" |",D2651&amp;" |")-1)),"?"))</f>
        <v/>
      </c>
      <c r="H2651" s="27" t="str">
        <f aca="false">IF(G2651="","",IF(G2651="?","⚠ pub inconnue",IFERROR(INDEX(Pubs!$B$2:$B$3001,MATCH(G2651,Pubs!$A$2:$A$3001,0))&amp;"","⚠ pub inconnue")))</f>
        <v/>
      </c>
      <c r="I2651" s="27" t="str">
        <f aca="false">IF(OR(G2651="",G2651="?"),"",IFERROR(INDEX(Pubs!$C$2:$C$3001,MATCH(G2651,Pubs!$A$2:$A$3001,0))&amp;"",""))</f>
        <v/>
      </c>
      <c r="J2651" s="27" t="str">
        <f aca="false">IF(OR(G2651="",G2651="?"),"",IFERROR(INDEX(Pubs!$G$2:$G$3001,MATCH(G2651,Pubs!$A$2:$A$3001,0))&amp;"",""))</f>
        <v/>
      </c>
      <c r="K2651" s="28" t="str">
        <f aca="false">IF(OR(G2651="",G2651="?"),"",IFERROR(INDEX(Pubs!$E$2:$E$3001,MATCH(G2651,Pubs!$A$2:$A$3001,0)),""))</f>
        <v/>
      </c>
      <c r="L2651" s="29" t="str">
        <f aca="false">IF(A2651="","",IFERROR(1/(1/INDEX(Numéros!$C$2:$C$3001,MATCH(A2651&amp;"|"&amp;B2651,Numéros!$F$2:$F$3001,0))),""))</f>
        <v/>
      </c>
      <c r="M2651" s="27" t="str">
        <f aca="false">IF(OR(G2651="",G2651="?"),"",IFERROR(INDEX(Pubs!$D$2:$D$3001,MATCH(G2651,Pubs!$A$2:$A$3001,0))&amp;"",""))</f>
        <v/>
      </c>
      <c r="N2651" s="27" t="n">
        <f aca="false">N(N2650)+IF(AND(A2651&lt;&gt;"",OR(Recherche!$C$4="",A2651=Recherche!$C$4),OR(Recherche!$C$5="",B2651&amp;""=Recherche!$C$5&amp;""),OR(Recherche!$C$6="",IFERROR(YEAR(L2651),0)=Recherche!$C$6),OR(Recherche!$C$7="",ISNUMBER(SEARCH(Recherche!$C$7,H2651))),OR(Recherche!$C$8="",J2651=Recherche!$C$8),OR(Recherche!$C$9="",I2651=Recherche!$C$9),OR(Recherche!$C$10="",G2651&amp;""=Recherche!$C$10&amp;""),OR(Recherche!$C$11="",E2651=Recherche!$C$11),OR(Recherche!$C$12="",ISNUMBER(SEARCH(Recherche!$C$12,M2651&amp;" "&amp;F2651)))),1,0)</f>
        <v>8</v>
      </c>
    </row>
    <row r="2652" customFormat="false" ht="15" hidden="false" customHeight="false" outlineLevel="0" collapsed="false">
      <c r="A2652" s="19"/>
      <c r="B2652" s="19"/>
      <c r="C2652" s="19"/>
      <c r="D2652" s="19"/>
      <c r="E2652" s="22"/>
      <c r="F2652" s="19"/>
      <c r="G2652" s="26" t="str">
        <f aca="false">IF(D2652="","",IFERROR(VALUE(LEFT(D2652,FIND(" |",D2652&amp;" |")-1)),"?"))</f>
        <v/>
      </c>
      <c r="H2652" s="27" t="str">
        <f aca="false">IF(G2652="","",IF(G2652="?","⚠ pub inconnue",IFERROR(INDEX(Pubs!$B$2:$B$3001,MATCH(G2652,Pubs!$A$2:$A$3001,0))&amp;"","⚠ pub inconnue")))</f>
        <v/>
      </c>
      <c r="I2652" s="27" t="str">
        <f aca="false">IF(OR(G2652="",G2652="?"),"",IFERROR(INDEX(Pubs!$C$2:$C$3001,MATCH(G2652,Pubs!$A$2:$A$3001,0))&amp;"",""))</f>
        <v/>
      </c>
      <c r="J2652" s="27" t="str">
        <f aca="false">IF(OR(G2652="",G2652="?"),"",IFERROR(INDEX(Pubs!$G$2:$G$3001,MATCH(G2652,Pubs!$A$2:$A$3001,0))&amp;"",""))</f>
        <v/>
      </c>
      <c r="K2652" s="28" t="str">
        <f aca="false">IF(OR(G2652="",G2652="?"),"",IFERROR(INDEX(Pubs!$E$2:$E$3001,MATCH(G2652,Pubs!$A$2:$A$3001,0)),""))</f>
        <v/>
      </c>
      <c r="L2652" s="29" t="str">
        <f aca="false">IF(A2652="","",IFERROR(1/(1/INDEX(Numéros!$C$2:$C$3001,MATCH(A2652&amp;"|"&amp;B2652,Numéros!$F$2:$F$3001,0))),""))</f>
        <v/>
      </c>
      <c r="M2652" s="27" t="str">
        <f aca="false">IF(OR(G2652="",G2652="?"),"",IFERROR(INDEX(Pubs!$D$2:$D$3001,MATCH(G2652,Pubs!$A$2:$A$3001,0))&amp;"",""))</f>
        <v/>
      </c>
      <c r="N2652" s="27" t="n">
        <f aca="false">N(N2651)+IF(AND(A2652&lt;&gt;"",OR(Recherche!$C$4="",A2652=Recherche!$C$4),OR(Recherche!$C$5="",B2652&amp;""=Recherche!$C$5&amp;""),OR(Recherche!$C$6="",IFERROR(YEAR(L2652),0)=Recherche!$C$6),OR(Recherche!$C$7="",ISNUMBER(SEARCH(Recherche!$C$7,H2652))),OR(Recherche!$C$8="",J2652=Recherche!$C$8),OR(Recherche!$C$9="",I2652=Recherche!$C$9),OR(Recherche!$C$10="",G2652&amp;""=Recherche!$C$10&amp;""),OR(Recherche!$C$11="",E2652=Recherche!$C$11),OR(Recherche!$C$12="",ISNUMBER(SEARCH(Recherche!$C$12,M2652&amp;" "&amp;F2652)))),1,0)</f>
        <v>8</v>
      </c>
    </row>
    <row r="2653" customFormat="false" ht="15" hidden="false" customHeight="false" outlineLevel="0" collapsed="false">
      <c r="A2653" s="19"/>
      <c r="B2653" s="19"/>
      <c r="C2653" s="19"/>
      <c r="D2653" s="19"/>
      <c r="E2653" s="22"/>
      <c r="F2653" s="19"/>
      <c r="G2653" s="26" t="str">
        <f aca="false">IF(D2653="","",IFERROR(VALUE(LEFT(D2653,FIND(" |",D2653&amp;" |")-1)),"?"))</f>
        <v/>
      </c>
      <c r="H2653" s="27" t="str">
        <f aca="false">IF(G2653="","",IF(G2653="?","⚠ pub inconnue",IFERROR(INDEX(Pubs!$B$2:$B$3001,MATCH(G2653,Pubs!$A$2:$A$3001,0))&amp;"","⚠ pub inconnue")))</f>
        <v/>
      </c>
      <c r="I2653" s="27" t="str">
        <f aca="false">IF(OR(G2653="",G2653="?"),"",IFERROR(INDEX(Pubs!$C$2:$C$3001,MATCH(G2653,Pubs!$A$2:$A$3001,0))&amp;"",""))</f>
        <v/>
      </c>
      <c r="J2653" s="27" t="str">
        <f aca="false">IF(OR(G2653="",G2653="?"),"",IFERROR(INDEX(Pubs!$G$2:$G$3001,MATCH(G2653,Pubs!$A$2:$A$3001,0))&amp;"",""))</f>
        <v/>
      </c>
      <c r="K2653" s="28" t="str">
        <f aca="false">IF(OR(G2653="",G2653="?"),"",IFERROR(INDEX(Pubs!$E$2:$E$3001,MATCH(G2653,Pubs!$A$2:$A$3001,0)),""))</f>
        <v/>
      </c>
      <c r="L2653" s="29" t="str">
        <f aca="false">IF(A2653="","",IFERROR(1/(1/INDEX(Numéros!$C$2:$C$3001,MATCH(A2653&amp;"|"&amp;B2653,Numéros!$F$2:$F$3001,0))),""))</f>
        <v/>
      </c>
      <c r="M2653" s="27" t="str">
        <f aca="false">IF(OR(G2653="",G2653="?"),"",IFERROR(INDEX(Pubs!$D$2:$D$3001,MATCH(G2653,Pubs!$A$2:$A$3001,0))&amp;"",""))</f>
        <v/>
      </c>
      <c r="N2653" s="27" t="n">
        <f aca="false">N(N2652)+IF(AND(A2653&lt;&gt;"",OR(Recherche!$C$4="",A2653=Recherche!$C$4),OR(Recherche!$C$5="",B2653&amp;""=Recherche!$C$5&amp;""),OR(Recherche!$C$6="",IFERROR(YEAR(L2653),0)=Recherche!$C$6),OR(Recherche!$C$7="",ISNUMBER(SEARCH(Recherche!$C$7,H2653))),OR(Recherche!$C$8="",J2653=Recherche!$C$8),OR(Recherche!$C$9="",I2653=Recherche!$C$9),OR(Recherche!$C$10="",G2653&amp;""=Recherche!$C$10&amp;""),OR(Recherche!$C$11="",E2653=Recherche!$C$11),OR(Recherche!$C$12="",ISNUMBER(SEARCH(Recherche!$C$12,M2653&amp;" "&amp;F2653)))),1,0)</f>
        <v>8</v>
      </c>
    </row>
    <row r="2654" customFormat="false" ht="15" hidden="false" customHeight="false" outlineLevel="0" collapsed="false">
      <c r="A2654" s="19"/>
      <c r="B2654" s="19"/>
      <c r="C2654" s="19"/>
      <c r="D2654" s="19"/>
      <c r="E2654" s="22"/>
      <c r="F2654" s="19"/>
      <c r="G2654" s="26" t="str">
        <f aca="false">IF(D2654="","",IFERROR(VALUE(LEFT(D2654,FIND(" |",D2654&amp;" |")-1)),"?"))</f>
        <v/>
      </c>
      <c r="H2654" s="27" t="str">
        <f aca="false">IF(G2654="","",IF(G2654="?","⚠ pub inconnue",IFERROR(INDEX(Pubs!$B$2:$B$3001,MATCH(G2654,Pubs!$A$2:$A$3001,0))&amp;"","⚠ pub inconnue")))</f>
        <v/>
      </c>
      <c r="I2654" s="27" t="str">
        <f aca="false">IF(OR(G2654="",G2654="?"),"",IFERROR(INDEX(Pubs!$C$2:$C$3001,MATCH(G2654,Pubs!$A$2:$A$3001,0))&amp;"",""))</f>
        <v/>
      </c>
      <c r="J2654" s="27" t="str">
        <f aca="false">IF(OR(G2654="",G2654="?"),"",IFERROR(INDEX(Pubs!$G$2:$G$3001,MATCH(G2654,Pubs!$A$2:$A$3001,0))&amp;"",""))</f>
        <v/>
      </c>
      <c r="K2654" s="28" t="str">
        <f aca="false">IF(OR(G2654="",G2654="?"),"",IFERROR(INDEX(Pubs!$E$2:$E$3001,MATCH(G2654,Pubs!$A$2:$A$3001,0)),""))</f>
        <v/>
      </c>
      <c r="L2654" s="29" t="str">
        <f aca="false">IF(A2654="","",IFERROR(1/(1/INDEX(Numéros!$C$2:$C$3001,MATCH(A2654&amp;"|"&amp;B2654,Numéros!$F$2:$F$3001,0))),""))</f>
        <v/>
      </c>
      <c r="M2654" s="27" t="str">
        <f aca="false">IF(OR(G2654="",G2654="?"),"",IFERROR(INDEX(Pubs!$D$2:$D$3001,MATCH(G2654,Pubs!$A$2:$A$3001,0))&amp;"",""))</f>
        <v/>
      </c>
      <c r="N2654" s="27" t="n">
        <f aca="false">N(N2653)+IF(AND(A2654&lt;&gt;"",OR(Recherche!$C$4="",A2654=Recherche!$C$4),OR(Recherche!$C$5="",B2654&amp;""=Recherche!$C$5&amp;""),OR(Recherche!$C$6="",IFERROR(YEAR(L2654),0)=Recherche!$C$6),OR(Recherche!$C$7="",ISNUMBER(SEARCH(Recherche!$C$7,H2654))),OR(Recherche!$C$8="",J2654=Recherche!$C$8),OR(Recherche!$C$9="",I2654=Recherche!$C$9),OR(Recherche!$C$10="",G2654&amp;""=Recherche!$C$10&amp;""),OR(Recherche!$C$11="",E2654=Recherche!$C$11),OR(Recherche!$C$12="",ISNUMBER(SEARCH(Recherche!$C$12,M2654&amp;" "&amp;F2654)))),1,0)</f>
        <v>8</v>
      </c>
    </row>
    <row r="2655" customFormat="false" ht="15" hidden="false" customHeight="false" outlineLevel="0" collapsed="false">
      <c r="A2655" s="19"/>
      <c r="B2655" s="19"/>
      <c r="C2655" s="19"/>
      <c r="D2655" s="19"/>
      <c r="E2655" s="22"/>
      <c r="F2655" s="19"/>
      <c r="G2655" s="26" t="str">
        <f aca="false">IF(D2655="","",IFERROR(VALUE(LEFT(D2655,FIND(" |",D2655&amp;" |")-1)),"?"))</f>
        <v/>
      </c>
      <c r="H2655" s="27" t="str">
        <f aca="false">IF(G2655="","",IF(G2655="?","⚠ pub inconnue",IFERROR(INDEX(Pubs!$B$2:$B$3001,MATCH(G2655,Pubs!$A$2:$A$3001,0))&amp;"","⚠ pub inconnue")))</f>
        <v/>
      </c>
      <c r="I2655" s="27" t="str">
        <f aca="false">IF(OR(G2655="",G2655="?"),"",IFERROR(INDEX(Pubs!$C$2:$C$3001,MATCH(G2655,Pubs!$A$2:$A$3001,0))&amp;"",""))</f>
        <v/>
      </c>
      <c r="J2655" s="27" t="str">
        <f aca="false">IF(OR(G2655="",G2655="?"),"",IFERROR(INDEX(Pubs!$G$2:$G$3001,MATCH(G2655,Pubs!$A$2:$A$3001,0))&amp;"",""))</f>
        <v/>
      </c>
      <c r="K2655" s="28" t="str">
        <f aca="false">IF(OR(G2655="",G2655="?"),"",IFERROR(INDEX(Pubs!$E$2:$E$3001,MATCH(G2655,Pubs!$A$2:$A$3001,0)),""))</f>
        <v/>
      </c>
      <c r="L2655" s="29" t="str">
        <f aca="false">IF(A2655="","",IFERROR(1/(1/INDEX(Numéros!$C$2:$C$3001,MATCH(A2655&amp;"|"&amp;B2655,Numéros!$F$2:$F$3001,0))),""))</f>
        <v/>
      </c>
      <c r="M2655" s="27" t="str">
        <f aca="false">IF(OR(G2655="",G2655="?"),"",IFERROR(INDEX(Pubs!$D$2:$D$3001,MATCH(G2655,Pubs!$A$2:$A$3001,0))&amp;"",""))</f>
        <v/>
      </c>
      <c r="N2655" s="27" t="n">
        <f aca="false">N(N2654)+IF(AND(A2655&lt;&gt;"",OR(Recherche!$C$4="",A2655=Recherche!$C$4),OR(Recherche!$C$5="",B2655&amp;""=Recherche!$C$5&amp;""),OR(Recherche!$C$6="",IFERROR(YEAR(L2655),0)=Recherche!$C$6),OR(Recherche!$C$7="",ISNUMBER(SEARCH(Recherche!$C$7,H2655))),OR(Recherche!$C$8="",J2655=Recherche!$C$8),OR(Recherche!$C$9="",I2655=Recherche!$C$9),OR(Recherche!$C$10="",G2655&amp;""=Recherche!$C$10&amp;""),OR(Recherche!$C$11="",E2655=Recherche!$C$11),OR(Recherche!$C$12="",ISNUMBER(SEARCH(Recherche!$C$12,M2655&amp;" "&amp;F2655)))),1,0)</f>
        <v>8</v>
      </c>
    </row>
    <row r="2656" customFormat="false" ht="15" hidden="false" customHeight="false" outlineLevel="0" collapsed="false">
      <c r="A2656" s="19"/>
      <c r="B2656" s="19"/>
      <c r="C2656" s="19"/>
      <c r="D2656" s="19"/>
      <c r="E2656" s="22"/>
      <c r="F2656" s="19"/>
      <c r="G2656" s="26" t="str">
        <f aca="false">IF(D2656="","",IFERROR(VALUE(LEFT(D2656,FIND(" |",D2656&amp;" |")-1)),"?"))</f>
        <v/>
      </c>
      <c r="H2656" s="27" t="str">
        <f aca="false">IF(G2656="","",IF(G2656="?","⚠ pub inconnue",IFERROR(INDEX(Pubs!$B$2:$B$3001,MATCH(G2656,Pubs!$A$2:$A$3001,0))&amp;"","⚠ pub inconnue")))</f>
        <v/>
      </c>
      <c r="I2656" s="27" t="str">
        <f aca="false">IF(OR(G2656="",G2656="?"),"",IFERROR(INDEX(Pubs!$C$2:$C$3001,MATCH(G2656,Pubs!$A$2:$A$3001,0))&amp;"",""))</f>
        <v/>
      </c>
      <c r="J2656" s="27" t="str">
        <f aca="false">IF(OR(G2656="",G2656="?"),"",IFERROR(INDEX(Pubs!$G$2:$G$3001,MATCH(G2656,Pubs!$A$2:$A$3001,0))&amp;"",""))</f>
        <v/>
      </c>
      <c r="K2656" s="28" t="str">
        <f aca="false">IF(OR(G2656="",G2656="?"),"",IFERROR(INDEX(Pubs!$E$2:$E$3001,MATCH(G2656,Pubs!$A$2:$A$3001,0)),""))</f>
        <v/>
      </c>
      <c r="L2656" s="29" t="str">
        <f aca="false">IF(A2656="","",IFERROR(1/(1/INDEX(Numéros!$C$2:$C$3001,MATCH(A2656&amp;"|"&amp;B2656,Numéros!$F$2:$F$3001,0))),""))</f>
        <v/>
      </c>
      <c r="M2656" s="27" t="str">
        <f aca="false">IF(OR(G2656="",G2656="?"),"",IFERROR(INDEX(Pubs!$D$2:$D$3001,MATCH(G2656,Pubs!$A$2:$A$3001,0))&amp;"",""))</f>
        <v/>
      </c>
      <c r="N2656" s="27" t="n">
        <f aca="false">N(N2655)+IF(AND(A2656&lt;&gt;"",OR(Recherche!$C$4="",A2656=Recherche!$C$4),OR(Recherche!$C$5="",B2656&amp;""=Recherche!$C$5&amp;""),OR(Recherche!$C$6="",IFERROR(YEAR(L2656),0)=Recherche!$C$6),OR(Recherche!$C$7="",ISNUMBER(SEARCH(Recherche!$C$7,H2656))),OR(Recherche!$C$8="",J2656=Recherche!$C$8),OR(Recherche!$C$9="",I2656=Recherche!$C$9),OR(Recherche!$C$10="",G2656&amp;""=Recherche!$C$10&amp;""),OR(Recherche!$C$11="",E2656=Recherche!$C$11),OR(Recherche!$C$12="",ISNUMBER(SEARCH(Recherche!$C$12,M2656&amp;" "&amp;F2656)))),1,0)</f>
        <v>8</v>
      </c>
    </row>
    <row r="2657" customFormat="false" ht="15" hidden="false" customHeight="false" outlineLevel="0" collapsed="false">
      <c r="A2657" s="19"/>
      <c r="B2657" s="19"/>
      <c r="C2657" s="19"/>
      <c r="D2657" s="19"/>
      <c r="E2657" s="22"/>
      <c r="F2657" s="19"/>
      <c r="G2657" s="26" t="str">
        <f aca="false">IF(D2657="","",IFERROR(VALUE(LEFT(D2657,FIND(" |",D2657&amp;" |")-1)),"?"))</f>
        <v/>
      </c>
      <c r="H2657" s="27" t="str">
        <f aca="false">IF(G2657="","",IF(G2657="?","⚠ pub inconnue",IFERROR(INDEX(Pubs!$B$2:$B$3001,MATCH(G2657,Pubs!$A$2:$A$3001,0))&amp;"","⚠ pub inconnue")))</f>
        <v/>
      </c>
      <c r="I2657" s="27" t="str">
        <f aca="false">IF(OR(G2657="",G2657="?"),"",IFERROR(INDEX(Pubs!$C$2:$C$3001,MATCH(G2657,Pubs!$A$2:$A$3001,0))&amp;"",""))</f>
        <v/>
      </c>
      <c r="J2657" s="27" t="str">
        <f aca="false">IF(OR(G2657="",G2657="?"),"",IFERROR(INDEX(Pubs!$G$2:$G$3001,MATCH(G2657,Pubs!$A$2:$A$3001,0))&amp;"",""))</f>
        <v/>
      </c>
      <c r="K2657" s="28" t="str">
        <f aca="false">IF(OR(G2657="",G2657="?"),"",IFERROR(INDEX(Pubs!$E$2:$E$3001,MATCH(G2657,Pubs!$A$2:$A$3001,0)),""))</f>
        <v/>
      </c>
      <c r="L2657" s="29" t="str">
        <f aca="false">IF(A2657="","",IFERROR(1/(1/INDEX(Numéros!$C$2:$C$3001,MATCH(A2657&amp;"|"&amp;B2657,Numéros!$F$2:$F$3001,0))),""))</f>
        <v/>
      </c>
      <c r="M2657" s="27" t="str">
        <f aca="false">IF(OR(G2657="",G2657="?"),"",IFERROR(INDEX(Pubs!$D$2:$D$3001,MATCH(G2657,Pubs!$A$2:$A$3001,0))&amp;"",""))</f>
        <v/>
      </c>
      <c r="N2657" s="27" t="n">
        <f aca="false">N(N2656)+IF(AND(A2657&lt;&gt;"",OR(Recherche!$C$4="",A2657=Recherche!$C$4),OR(Recherche!$C$5="",B2657&amp;""=Recherche!$C$5&amp;""),OR(Recherche!$C$6="",IFERROR(YEAR(L2657),0)=Recherche!$C$6),OR(Recherche!$C$7="",ISNUMBER(SEARCH(Recherche!$C$7,H2657))),OR(Recherche!$C$8="",J2657=Recherche!$C$8),OR(Recherche!$C$9="",I2657=Recherche!$C$9),OR(Recherche!$C$10="",G2657&amp;""=Recherche!$C$10&amp;""),OR(Recherche!$C$11="",E2657=Recherche!$C$11),OR(Recherche!$C$12="",ISNUMBER(SEARCH(Recherche!$C$12,M2657&amp;" "&amp;F2657)))),1,0)</f>
        <v>8</v>
      </c>
    </row>
    <row r="2658" customFormat="false" ht="15" hidden="false" customHeight="false" outlineLevel="0" collapsed="false">
      <c r="A2658" s="19"/>
      <c r="B2658" s="19"/>
      <c r="C2658" s="19"/>
      <c r="D2658" s="19"/>
      <c r="E2658" s="22"/>
      <c r="F2658" s="19"/>
      <c r="G2658" s="26" t="str">
        <f aca="false">IF(D2658="","",IFERROR(VALUE(LEFT(D2658,FIND(" |",D2658&amp;" |")-1)),"?"))</f>
        <v/>
      </c>
      <c r="H2658" s="27" t="str">
        <f aca="false">IF(G2658="","",IF(G2658="?","⚠ pub inconnue",IFERROR(INDEX(Pubs!$B$2:$B$3001,MATCH(G2658,Pubs!$A$2:$A$3001,0))&amp;"","⚠ pub inconnue")))</f>
        <v/>
      </c>
      <c r="I2658" s="27" t="str">
        <f aca="false">IF(OR(G2658="",G2658="?"),"",IFERROR(INDEX(Pubs!$C$2:$C$3001,MATCH(G2658,Pubs!$A$2:$A$3001,0))&amp;"",""))</f>
        <v/>
      </c>
      <c r="J2658" s="27" t="str">
        <f aca="false">IF(OR(G2658="",G2658="?"),"",IFERROR(INDEX(Pubs!$G$2:$G$3001,MATCH(G2658,Pubs!$A$2:$A$3001,0))&amp;"",""))</f>
        <v/>
      </c>
      <c r="K2658" s="28" t="str">
        <f aca="false">IF(OR(G2658="",G2658="?"),"",IFERROR(INDEX(Pubs!$E$2:$E$3001,MATCH(G2658,Pubs!$A$2:$A$3001,0)),""))</f>
        <v/>
      </c>
      <c r="L2658" s="29" t="str">
        <f aca="false">IF(A2658="","",IFERROR(1/(1/INDEX(Numéros!$C$2:$C$3001,MATCH(A2658&amp;"|"&amp;B2658,Numéros!$F$2:$F$3001,0))),""))</f>
        <v/>
      </c>
      <c r="M2658" s="27" t="str">
        <f aca="false">IF(OR(G2658="",G2658="?"),"",IFERROR(INDEX(Pubs!$D$2:$D$3001,MATCH(G2658,Pubs!$A$2:$A$3001,0))&amp;"",""))</f>
        <v/>
      </c>
      <c r="N2658" s="27" t="n">
        <f aca="false">N(N2657)+IF(AND(A2658&lt;&gt;"",OR(Recherche!$C$4="",A2658=Recherche!$C$4),OR(Recherche!$C$5="",B2658&amp;""=Recherche!$C$5&amp;""),OR(Recherche!$C$6="",IFERROR(YEAR(L2658),0)=Recherche!$C$6),OR(Recherche!$C$7="",ISNUMBER(SEARCH(Recherche!$C$7,H2658))),OR(Recherche!$C$8="",J2658=Recherche!$C$8),OR(Recherche!$C$9="",I2658=Recherche!$C$9),OR(Recherche!$C$10="",G2658&amp;""=Recherche!$C$10&amp;""),OR(Recherche!$C$11="",E2658=Recherche!$C$11),OR(Recherche!$C$12="",ISNUMBER(SEARCH(Recherche!$C$12,M2658&amp;" "&amp;F2658)))),1,0)</f>
        <v>8</v>
      </c>
    </row>
    <row r="2659" customFormat="false" ht="15" hidden="false" customHeight="false" outlineLevel="0" collapsed="false">
      <c r="A2659" s="19"/>
      <c r="B2659" s="19"/>
      <c r="C2659" s="19"/>
      <c r="D2659" s="19"/>
      <c r="E2659" s="22"/>
      <c r="F2659" s="19"/>
      <c r="G2659" s="26" t="str">
        <f aca="false">IF(D2659="","",IFERROR(VALUE(LEFT(D2659,FIND(" |",D2659&amp;" |")-1)),"?"))</f>
        <v/>
      </c>
      <c r="H2659" s="27" t="str">
        <f aca="false">IF(G2659="","",IF(G2659="?","⚠ pub inconnue",IFERROR(INDEX(Pubs!$B$2:$B$3001,MATCH(G2659,Pubs!$A$2:$A$3001,0))&amp;"","⚠ pub inconnue")))</f>
        <v/>
      </c>
      <c r="I2659" s="27" t="str">
        <f aca="false">IF(OR(G2659="",G2659="?"),"",IFERROR(INDEX(Pubs!$C$2:$C$3001,MATCH(G2659,Pubs!$A$2:$A$3001,0))&amp;"",""))</f>
        <v/>
      </c>
      <c r="J2659" s="27" t="str">
        <f aca="false">IF(OR(G2659="",G2659="?"),"",IFERROR(INDEX(Pubs!$G$2:$G$3001,MATCH(G2659,Pubs!$A$2:$A$3001,0))&amp;"",""))</f>
        <v/>
      </c>
      <c r="K2659" s="28" t="str">
        <f aca="false">IF(OR(G2659="",G2659="?"),"",IFERROR(INDEX(Pubs!$E$2:$E$3001,MATCH(G2659,Pubs!$A$2:$A$3001,0)),""))</f>
        <v/>
      </c>
      <c r="L2659" s="29" t="str">
        <f aca="false">IF(A2659="","",IFERROR(1/(1/INDEX(Numéros!$C$2:$C$3001,MATCH(A2659&amp;"|"&amp;B2659,Numéros!$F$2:$F$3001,0))),""))</f>
        <v/>
      </c>
      <c r="M2659" s="27" t="str">
        <f aca="false">IF(OR(G2659="",G2659="?"),"",IFERROR(INDEX(Pubs!$D$2:$D$3001,MATCH(G2659,Pubs!$A$2:$A$3001,0))&amp;"",""))</f>
        <v/>
      </c>
      <c r="N2659" s="27" t="n">
        <f aca="false">N(N2658)+IF(AND(A2659&lt;&gt;"",OR(Recherche!$C$4="",A2659=Recherche!$C$4),OR(Recherche!$C$5="",B2659&amp;""=Recherche!$C$5&amp;""),OR(Recherche!$C$6="",IFERROR(YEAR(L2659),0)=Recherche!$C$6),OR(Recherche!$C$7="",ISNUMBER(SEARCH(Recherche!$C$7,H2659))),OR(Recherche!$C$8="",J2659=Recherche!$C$8),OR(Recherche!$C$9="",I2659=Recherche!$C$9),OR(Recherche!$C$10="",G2659&amp;""=Recherche!$C$10&amp;""),OR(Recherche!$C$11="",E2659=Recherche!$C$11),OR(Recherche!$C$12="",ISNUMBER(SEARCH(Recherche!$C$12,M2659&amp;" "&amp;F2659)))),1,0)</f>
        <v>8</v>
      </c>
    </row>
    <row r="2660" customFormat="false" ht="15" hidden="false" customHeight="false" outlineLevel="0" collapsed="false">
      <c r="A2660" s="19"/>
      <c r="B2660" s="19"/>
      <c r="C2660" s="19"/>
      <c r="D2660" s="19"/>
      <c r="E2660" s="22"/>
      <c r="F2660" s="19"/>
      <c r="G2660" s="26" t="str">
        <f aca="false">IF(D2660="","",IFERROR(VALUE(LEFT(D2660,FIND(" |",D2660&amp;" |")-1)),"?"))</f>
        <v/>
      </c>
      <c r="H2660" s="27" t="str">
        <f aca="false">IF(G2660="","",IF(G2660="?","⚠ pub inconnue",IFERROR(INDEX(Pubs!$B$2:$B$3001,MATCH(G2660,Pubs!$A$2:$A$3001,0))&amp;"","⚠ pub inconnue")))</f>
        <v/>
      </c>
      <c r="I2660" s="27" t="str">
        <f aca="false">IF(OR(G2660="",G2660="?"),"",IFERROR(INDEX(Pubs!$C$2:$C$3001,MATCH(G2660,Pubs!$A$2:$A$3001,0))&amp;"",""))</f>
        <v/>
      </c>
      <c r="J2660" s="27" t="str">
        <f aca="false">IF(OR(G2660="",G2660="?"),"",IFERROR(INDEX(Pubs!$G$2:$G$3001,MATCH(G2660,Pubs!$A$2:$A$3001,0))&amp;"",""))</f>
        <v/>
      </c>
      <c r="K2660" s="28" t="str">
        <f aca="false">IF(OR(G2660="",G2660="?"),"",IFERROR(INDEX(Pubs!$E$2:$E$3001,MATCH(G2660,Pubs!$A$2:$A$3001,0)),""))</f>
        <v/>
      </c>
      <c r="L2660" s="29" t="str">
        <f aca="false">IF(A2660="","",IFERROR(1/(1/INDEX(Numéros!$C$2:$C$3001,MATCH(A2660&amp;"|"&amp;B2660,Numéros!$F$2:$F$3001,0))),""))</f>
        <v/>
      </c>
      <c r="M2660" s="27" t="str">
        <f aca="false">IF(OR(G2660="",G2660="?"),"",IFERROR(INDEX(Pubs!$D$2:$D$3001,MATCH(G2660,Pubs!$A$2:$A$3001,0))&amp;"",""))</f>
        <v/>
      </c>
      <c r="N2660" s="27" t="n">
        <f aca="false">N(N2659)+IF(AND(A2660&lt;&gt;"",OR(Recherche!$C$4="",A2660=Recherche!$C$4),OR(Recherche!$C$5="",B2660&amp;""=Recherche!$C$5&amp;""),OR(Recherche!$C$6="",IFERROR(YEAR(L2660),0)=Recherche!$C$6),OR(Recherche!$C$7="",ISNUMBER(SEARCH(Recherche!$C$7,H2660))),OR(Recherche!$C$8="",J2660=Recherche!$C$8),OR(Recherche!$C$9="",I2660=Recherche!$C$9),OR(Recherche!$C$10="",G2660&amp;""=Recherche!$C$10&amp;""),OR(Recherche!$C$11="",E2660=Recherche!$C$11),OR(Recherche!$C$12="",ISNUMBER(SEARCH(Recherche!$C$12,M2660&amp;" "&amp;F2660)))),1,0)</f>
        <v>8</v>
      </c>
    </row>
    <row r="2661" customFormat="false" ht="15" hidden="false" customHeight="false" outlineLevel="0" collapsed="false">
      <c r="A2661" s="19"/>
      <c r="B2661" s="19"/>
      <c r="C2661" s="19"/>
      <c r="D2661" s="19"/>
      <c r="E2661" s="22"/>
      <c r="F2661" s="19"/>
      <c r="G2661" s="26" t="str">
        <f aca="false">IF(D2661="","",IFERROR(VALUE(LEFT(D2661,FIND(" |",D2661&amp;" |")-1)),"?"))</f>
        <v/>
      </c>
      <c r="H2661" s="27" t="str">
        <f aca="false">IF(G2661="","",IF(G2661="?","⚠ pub inconnue",IFERROR(INDEX(Pubs!$B$2:$B$3001,MATCH(G2661,Pubs!$A$2:$A$3001,0))&amp;"","⚠ pub inconnue")))</f>
        <v/>
      </c>
      <c r="I2661" s="27" t="str">
        <f aca="false">IF(OR(G2661="",G2661="?"),"",IFERROR(INDEX(Pubs!$C$2:$C$3001,MATCH(G2661,Pubs!$A$2:$A$3001,0))&amp;"",""))</f>
        <v/>
      </c>
      <c r="J2661" s="27" t="str">
        <f aca="false">IF(OR(G2661="",G2661="?"),"",IFERROR(INDEX(Pubs!$G$2:$G$3001,MATCH(G2661,Pubs!$A$2:$A$3001,0))&amp;"",""))</f>
        <v/>
      </c>
      <c r="K2661" s="28" t="str">
        <f aca="false">IF(OR(G2661="",G2661="?"),"",IFERROR(INDEX(Pubs!$E$2:$E$3001,MATCH(G2661,Pubs!$A$2:$A$3001,0)),""))</f>
        <v/>
      </c>
      <c r="L2661" s="29" t="str">
        <f aca="false">IF(A2661="","",IFERROR(1/(1/INDEX(Numéros!$C$2:$C$3001,MATCH(A2661&amp;"|"&amp;B2661,Numéros!$F$2:$F$3001,0))),""))</f>
        <v/>
      </c>
      <c r="M2661" s="27" t="str">
        <f aca="false">IF(OR(G2661="",G2661="?"),"",IFERROR(INDEX(Pubs!$D$2:$D$3001,MATCH(G2661,Pubs!$A$2:$A$3001,0))&amp;"",""))</f>
        <v/>
      </c>
      <c r="N2661" s="27" t="n">
        <f aca="false">N(N2660)+IF(AND(A2661&lt;&gt;"",OR(Recherche!$C$4="",A2661=Recherche!$C$4),OR(Recherche!$C$5="",B2661&amp;""=Recherche!$C$5&amp;""),OR(Recherche!$C$6="",IFERROR(YEAR(L2661),0)=Recherche!$C$6),OR(Recherche!$C$7="",ISNUMBER(SEARCH(Recherche!$C$7,H2661))),OR(Recherche!$C$8="",J2661=Recherche!$C$8),OR(Recherche!$C$9="",I2661=Recherche!$C$9),OR(Recherche!$C$10="",G2661&amp;""=Recherche!$C$10&amp;""),OR(Recherche!$C$11="",E2661=Recherche!$C$11),OR(Recherche!$C$12="",ISNUMBER(SEARCH(Recherche!$C$12,M2661&amp;" "&amp;F2661)))),1,0)</f>
        <v>8</v>
      </c>
    </row>
    <row r="2662" customFormat="false" ht="15" hidden="false" customHeight="false" outlineLevel="0" collapsed="false">
      <c r="A2662" s="19"/>
      <c r="B2662" s="19"/>
      <c r="C2662" s="19"/>
      <c r="D2662" s="19"/>
      <c r="E2662" s="22"/>
      <c r="F2662" s="19"/>
      <c r="G2662" s="26" t="str">
        <f aca="false">IF(D2662="","",IFERROR(VALUE(LEFT(D2662,FIND(" |",D2662&amp;" |")-1)),"?"))</f>
        <v/>
      </c>
      <c r="H2662" s="27" t="str">
        <f aca="false">IF(G2662="","",IF(G2662="?","⚠ pub inconnue",IFERROR(INDEX(Pubs!$B$2:$B$3001,MATCH(G2662,Pubs!$A$2:$A$3001,0))&amp;"","⚠ pub inconnue")))</f>
        <v/>
      </c>
      <c r="I2662" s="27" t="str">
        <f aca="false">IF(OR(G2662="",G2662="?"),"",IFERROR(INDEX(Pubs!$C$2:$C$3001,MATCH(G2662,Pubs!$A$2:$A$3001,0))&amp;"",""))</f>
        <v/>
      </c>
      <c r="J2662" s="27" t="str">
        <f aca="false">IF(OR(G2662="",G2662="?"),"",IFERROR(INDEX(Pubs!$G$2:$G$3001,MATCH(G2662,Pubs!$A$2:$A$3001,0))&amp;"",""))</f>
        <v/>
      </c>
      <c r="K2662" s="28" t="str">
        <f aca="false">IF(OR(G2662="",G2662="?"),"",IFERROR(INDEX(Pubs!$E$2:$E$3001,MATCH(G2662,Pubs!$A$2:$A$3001,0)),""))</f>
        <v/>
      </c>
      <c r="L2662" s="29" t="str">
        <f aca="false">IF(A2662="","",IFERROR(1/(1/INDEX(Numéros!$C$2:$C$3001,MATCH(A2662&amp;"|"&amp;B2662,Numéros!$F$2:$F$3001,0))),""))</f>
        <v/>
      </c>
      <c r="M2662" s="27" t="str">
        <f aca="false">IF(OR(G2662="",G2662="?"),"",IFERROR(INDEX(Pubs!$D$2:$D$3001,MATCH(G2662,Pubs!$A$2:$A$3001,0))&amp;"",""))</f>
        <v/>
      </c>
      <c r="N2662" s="27" t="n">
        <f aca="false">N(N2661)+IF(AND(A2662&lt;&gt;"",OR(Recherche!$C$4="",A2662=Recherche!$C$4),OR(Recherche!$C$5="",B2662&amp;""=Recherche!$C$5&amp;""),OR(Recherche!$C$6="",IFERROR(YEAR(L2662),0)=Recherche!$C$6),OR(Recherche!$C$7="",ISNUMBER(SEARCH(Recherche!$C$7,H2662))),OR(Recherche!$C$8="",J2662=Recherche!$C$8),OR(Recherche!$C$9="",I2662=Recherche!$C$9),OR(Recherche!$C$10="",G2662&amp;""=Recherche!$C$10&amp;""),OR(Recherche!$C$11="",E2662=Recherche!$C$11),OR(Recherche!$C$12="",ISNUMBER(SEARCH(Recherche!$C$12,M2662&amp;" "&amp;F2662)))),1,0)</f>
        <v>8</v>
      </c>
    </row>
    <row r="2663" customFormat="false" ht="15" hidden="false" customHeight="false" outlineLevel="0" collapsed="false">
      <c r="A2663" s="19"/>
      <c r="B2663" s="19"/>
      <c r="C2663" s="19"/>
      <c r="D2663" s="19"/>
      <c r="E2663" s="22"/>
      <c r="F2663" s="19"/>
      <c r="G2663" s="26" t="str">
        <f aca="false">IF(D2663="","",IFERROR(VALUE(LEFT(D2663,FIND(" |",D2663&amp;" |")-1)),"?"))</f>
        <v/>
      </c>
      <c r="H2663" s="27" t="str">
        <f aca="false">IF(G2663="","",IF(G2663="?","⚠ pub inconnue",IFERROR(INDEX(Pubs!$B$2:$B$3001,MATCH(G2663,Pubs!$A$2:$A$3001,0))&amp;"","⚠ pub inconnue")))</f>
        <v/>
      </c>
      <c r="I2663" s="27" t="str">
        <f aca="false">IF(OR(G2663="",G2663="?"),"",IFERROR(INDEX(Pubs!$C$2:$C$3001,MATCH(G2663,Pubs!$A$2:$A$3001,0))&amp;"",""))</f>
        <v/>
      </c>
      <c r="J2663" s="27" t="str">
        <f aca="false">IF(OR(G2663="",G2663="?"),"",IFERROR(INDEX(Pubs!$G$2:$G$3001,MATCH(G2663,Pubs!$A$2:$A$3001,0))&amp;"",""))</f>
        <v/>
      </c>
      <c r="K2663" s="28" t="str">
        <f aca="false">IF(OR(G2663="",G2663="?"),"",IFERROR(INDEX(Pubs!$E$2:$E$3001,MATCH(G2663,Pubs!$A$2:$A$3001,0)),""))</f>
        <v/>
      </c>
      <c r="L2663" s="29" t="str">
        <f aca="false">IF(A2663="","",IFERROR(1/(1/INDEX(Numéros!$C$2:$C$3001,MATCH(A2663&amp;"|"&amp;B2663,Numéros!$F$2:$F$3001,0))),""))</f>
        <v/>
      </c>
      <c r="M2663" s="27" t="str">
        <f aca="false">IF(OR(G2663="",G2663="?"),"",IFERROR(INDEX(Pubs!$D$2:$D$3001,MATCH(G2663,Pubs!$A$2:$A$3001,0))&amp;"",""))</f>
        <v/>
      </c>
      <c r="N2663" s="27" t="n">
        <f aca="false">N(N2662)+IF(AND(A2663&lt;&gt;"",OR(Recherche!$C$4="",A2663=Recherche!$C$4),OR(Recherche!$C$5="",B2663&amp;""=Recherche!$C$5&amp;""),OR(Recherche!$C$6="",IFERROR(YEAR(L2663),0)=Recherche!$C$6),OR(Recherche!$C$7="",ISNUMBER(SEARCH(Recherche!$C$7,H2663))),OR(Recherche!$C$8="",J2663=Recherche!$C$8),OR(Recherche!$C$9="",I2663=Recherche!$C$9),OR(Recherche!$C$10="",G2663&amp;""=Recherche!$C$10&amp;""),OR(Recherche!$C$11="",E2663=Recherche!$C$11),OR(Recherche!$C$12="",ISNUMBER(SEARCH(Recherche!$C$12,M2663&amp;" "&amp;F2663)))),1,0)</f>
        <v>8</v>
      </c>
    </row>
    <row r="2664" customFormat="false" ht="15" hidden="false" customHeight="false" outlineLevel="0" collapsed="false">
      <c r="A2664" s="19"/>
      <c r="B2664" s="19"/>
      <c r="C2664" s="19"/>
      <c r="D2664" s="19"/>
      <c r="E2664" s="22"/>
      <c r="F2664" s="19"/>
      <c r="G2664" s="26" t="str">
        <f aca="false">IF(D2664="","",IFERROR(VALUE(LEFT(D2664,FIND(" |",D2664&amp;" |")-1)),"?"))</f>
        <v/>
      </c>
      <c r="H2664" s="27" t="str">
        <f aca="false">IF(G2664="","",IF(G2664="?","⚠ pub inconnue",IFERROR(INDEX(Pubs!$B$2:$B$3001,MATCH(G2664,Pubs!$A$2:$A$3001,0))&amp;"","⚠ pub inconnue")))</f>
        <v/>
      </c>
      <c r="I2664" s="27" t="str">
        <f aca="false">IF(OR(G2664="",G2664="?"),"",IFERROR(INDEX(Pubs!$C$2:$C$3001,MATCH(G2664,Pubs!$A$2:$A$3001,0))&amp;"",""))</f>
        <v/>
      </c>
      <c r="J2664" s="27" t="str">
        <f aca="false">IF(OR(G2664="",G2664="?"),"",IFERROR(INDEX(Pubs!$G$2:$G$3001,MATCH(G2664,Pubs!$A$2:$A$3001,0))&amp;"",""))</f>
        <v/>
      </c>
      <c r="K2664" s="28" t="str">
        <f aca="false">IF(OR(G2664="",G2664="?"),"",IFERROR(INDEX(Pubs!$E$2:$E$3001,MATCH(G2664,Pubs!$A$2:$A$3001,0)),""))</f>
        <v/>
      </c>
      <c r="L2664" s="29" t="str">
        <f aca="false">IF(A2664="","",IFERROR(1/(1/INDEX(Numéros!$C$2:$C$3001,MATCH(A2664&amp;"|"&amp;B2664,Numéros!$F$2:$F$3001,0))),""))</f>
        <v/>
      </c>
      <c r="M2664" s="27" t="str">
        <f aca="false">IF(OR(G2664="",G2664="?"),"",IFERROR(INDEX(Pubs!$D$2:$D$3001,MATCH(G2664,Pubs!$A$2:$A$3001,0))&amp;"",""))</f>
        <v/>
      </c>
      <c r="N2664" s="27" t="n">
        <f aca="false">N(N2663)+IF(AND(A2664&lt;&gt;"",OR(Recherche!$C$4="",A2664=Recherche!$C$4),OR(Recherche!$C$5="",B2664&amp;""=Recherche!$C$5&amp;""),OR(Recherche!$C$6="",IFERROR(YEAR(L2664),0)=Recherche!$C$6),OR(Recherche!$C$7="",ISNUMBER(SEARCH(Recherche!$C$7,H2664))),OR(Recherche!$C$8="",J2664=Recherche!$C$8),OR(Recherche!$C$9="",I2664=Recherche!$C$9),OR(Recherche!$C$10="",G2664&amp;""=Recherche!$C$10&amp;""),OR(Recherche!$C$11="",E2664=Recherche!$C$11),OR(Recherche!$C$12="",ISNUMBER(SEARCH(Recherche!$C$12,M2664&amp;" "&amp;F2664)))),1,0)</f>
        <v>8</v>
      </c>
    </row>
    <row r="2665" customFormat="false" ht="15" hidden="false" customHeight="false" outlineLevel="0" collapsed="false">
      <c r="A2665" s="19"/>
      <c r="B2665" s="19"/>
      <c r="C2665" s="19"/>
      <c r="D2665" s="19"/>
      <c r="E2665" s="22"/>
      <c r="F2665" s="19"/>
      <c r="G2665" s="26" t="str">
        <f aca="false">IF(D2665="","",IFERROR(VALUE(LEFT(D2665,FIND(" |",D2665&amp;" |")-1)),"?"))</f>
        <v/>
      </c>
      <c r="H2665" s="27" t="str">
        <f aca="false">IF(G2665="","",IF(G2665="?","⚠ pub inconnue",IFERROR(INDEX(Pubs!$B$2:$B$3001,MATCH(G2665,Pubs!$A$2:$A$3001,0))&amp;"","⚠ pub inconnue")))</f>
        <v/>
      </c>
      <c r="I2665" s="27" t="str">
        <f aca="false">IF(OR(G2665="",G2665="?"),"",IFERROR(INDEX(Pubs!$C$2:$C$3001,MATCH(G2665,Pubs!$A$2:$A$3001,0))&amp;"",""))</f>
        <v/>
      </c>
      <c r="J2665" s="27" t="str">
        <f aca="false">IF(OR(G2665="",G2665="?"),"",IFERROR(INDEX(Pubs!$G$2:$G$3001,MATCH(G2665,Pubs!$A$2:$A$3001,0))&amp;"",""))</f>
        <v/>
      </c>
      <c r="K2665" s="28" t="str">
        <f aca="false">IF(OR(G2665="",G2665="?"),"",IFERROR(INDEX(Pubs!$E$2:$E$3001,MATCH(G2665,Pubs!$A$2:$A$3001,0)),""))</f>
        <v/>
      </c>
      <c r="L2665" s="29" t="str">
        <f aca="false">IF(A2665="","",IFERROR(1/(1/INDEX(Numéros!$C$2:$C$3001,MATCH(A2665&amp;"|"&amp;B2665,Numéros!$F$2:$F$3001,0))),""))</f>
        <v/>
      </c>
      <c r="M2665" s="27" t="str">
        <f aca="false">IF(OR(G2665="",G2665="?"),"",IFERROR(INDEX(Pubs!$D$2:$D$3001,MATCH(G2665,Pubs!$A$2:$A$3001,0))&amp;"",""))</f>
        <v/>
      </c>
      <c r="N2665" s="27" t="n">
        <f aca="false">N(N2664)+IF(AND(A2665&lt;&gt;"",OR(Recherche!$C$4="",A2665=Recherche!$C$4),OR(Recherche!$C$5="",B2665&amp;""=Recherche!$C$5&amp;""),OR(Recherche!$C$6="",IFERROR(YEAR(L2665),0)=Recherche!$C$6),OR(Recherche!$C$7="",ISNUMBER(SEARCH(Recherche!$C$7,H2665))),OR(Recherche!$C$8="",J2665=Recherche!$C$8),OR(Recherche!$C$9="",I2665=Recherche!$C$9),OR(Recherche!$C$10="",G2665&amp;""=Recherche!$C$10&amp;""),OR(Recherche!$C$11="",E2665=Recherche!$C$11),OR(Recherche!$C$12="",ISNUMBER(SEARCH(Recherche!$C$12,M2665&amp;" "&amp;F2665)))),1,0)</f>
        <v>8</v>
      </c>
    </row>
    <row r="2666" customFormat="false" ht="15" hidden="false" customHeight="false" outlineLevel="0" collapsed="false">
      <c r="A2666" s="19"/>
      <c r="B2666" s="19"/>
      <c r="C2666" s="19"/>
      <c r="D2666" s="19"/>
      <c r="E2666" s="22"/>
      <c r="F2666" s="19"/>
      <c r="G2666" s="26" t="str">
        <f aca="false">IF(D2666="","",IFERROR(VALUE(LEFT(D2666,FIND(" |",D2666&amp;" |")-1)),"?"))</f>
        <v/>
      </c>
      <c r="H2666" s="27" t="str">
        <f aca="false">IF(G2666="","",IF(G2666="?","⚠ pub inconnue",IFERROR(INDEX(Pubs!$B$2:$B$3001,MATCH(G2666,Pubs!$A$2:$A$3001,0))&amp;"","⚠ pub inconnue")))</f>
        <v/>
      </c>
      <c r="I2666" s="27" t="str">
        <f aca="false">IF(OR(G2666="",G2666="?"),"",IFERROR(INDEX(Pubs!$C$2:$C$3001,MATCH(G2666,Pubs!$A$2:$A$3001,0))&amp;"",""))</f>
        <v/>
      </c>
      <c r="J2666" s="27" t="str">
        <f aca="false">IF(OR(G2666="",G2666="?"),"",IFERROR(INDEX(Pubs!$G$2:$G$3001,MATCH(G2666,Pubs!$A$2:$A$3001,0))&amp;"",""))</f>
        <v/>
      </c>
      <c r="K2666" s="28" t="str">
        <f aca="false">IF(OR(G2666="",G2666="?"),"",IFERROR(INDEX(Pubs!$E$2:$E$3001,MATCH(G2666,Pubs!$A$2:$A$3001,0)),""))</f>
        <v/>
      </c>
      <c r="L2666" s="29" t="str">
        <f aca="false">IF(A2666="","",IFERROR(1/(1/INDEX(Numéros!$C$2:$C$3001,MATCH(A2666&amp;"|"&amp;B2666,Numéros!$F$2:$F$3001,0))),""))</f>
        <v/>
      </c>
      <c r="M2666" s="27" t="str">
        <f aca="false">IF(OR(G2666="",G2666="?"),"",IFERROR(INDEX(Pubs!$D$2:$D$3001,MATCH(G2666,Pubs!$A$2:$A$3001,0))&amp;"",""))</f>
        <v/>
      </c>
      <c r="N2666" s="27" t="n">
        <f aca="false">N(N2665)+IF(AND(A2666&lt;&gt;"",OR(Recherche!$C$4="",A2666=Recherche!$C$4),OR(Recherche!$C$5="",B2666&amp;""=Recherche!$C$5&amp;""),OR(Recherche!$C$6="",IFERROR(YEAR(L2666),0)=Recherche!$C$6),OR(Recherche!$C$7="",ISNUMBER(SEARCH(Recherche!$C$7,H2666))),OR(Recherche!$C$8="",J2666=Recherche!$C$8),OR(Recherche!$C$9="",I2666=Recherche!$C$9),OR(Recherche!$C$10="",G2666&amp;""=Recherche!$C$10&amp;""),OR(Recherche!$C$11="",E2666=Recherche!$C$11),OR(Recherche!$C$12="",ISNUMBER(SEARCH(Recherche!$C$12,M2666&amp;" "&amp;F2666)))),1,0)</f>
        <v>8</v>
      </c>
    </row>
    <row r="2667" customFormat="false" ht="15" hidden="false" customHeight="false" outlineLevel="0" collapsed="false">
      <c r="A2667" s="19"/>
      <c r="B2667" s="19"/>
      <c r="C2667" s="19"/>
      <c r="D2667" s="19"/>
      <c r="E2667" s="22"/>
      <c r="F2667" s="19"/>
      <c r="G2667" s="26" t="str">
        <f aca="false">IF(D2667="","",IFERROR(VALUE(LEFT(D2667,FIND(" |",D2667&amp;" |")-1)),"?"))</f>
        <v/>
      </c>
      <c r="H2667" s="27" t="str">
        <f aca="false">IF(G2667="","",IF(G2667="?","⚠ pub inconnue",IFERROR(INDEX(Pubs!$B$2:$B$3001,MATCH(G2667,Pubs!$A$2:$A$3001,0))&amp;"","⚠ pub inconnue")))</f>
        <v/>
      </c>
      <c r="I2667" s="27" t="str">
        <f aca="false">IF(OR(G2667="",G2667="?"),"",IFERROR(INDEX(Pubs!$C$2:$C$3001,MATCH(G2667,Pubs!$A$2:$A$3001,0))&amp;"",""))</f>
        <v/>
      </c>
      <c r="J2667" s="27" t="str">
        <f aca="false">IF(OR(G2667="",G2667="?"),"",IFERROR(INDEX(Pubs!$G$2:$G$3001,MATCH(G2667,Pubs!$A$2:$A$3001,0))&amp;"",""))</f>
        <v/>
      </c>
      <c r="K2667" s="28" t="str">
        <f aca="false">IF(OR(G2667="",G2667="?"),"",IFERROR(INDEX(Pubs!$E$2:$E$3001,MATCH(G2667,Pubs!$A$2:$A$3001,0)),""))</f>
        <v/>
      </c>
      <c r="L2667" s="29" t="str">
        <f aca="false">IF(A2667="","",IFERROR(1/(1/INDEX(Numéros!$C$2:$C$3001,MATCH(A2667&amp;"|"&amp;B2667,Numéros!$F$2:$F$3001,0))),""))</f>
        <v/>
      </c>
      <c r="M2667" s="27" t="str">
        <f aca="false">IF(OR(G2667="",G2667="?"),"",IFERROR(INDEX(Pubs!$D$2:$D$3001,MATCH(G2667,Pubs!$A$2:$A$3001,0))&amp;"",""))</f>
        <v/>
      </c>
      <c r="N2667" s="27" t="n">
        <f aca="false">N(N2666)+IF(AND(A2667&lt;&gt;"",OR(Recherche!$C$4="",A2667=Recherche!$C$4),OR(Recherche!$C$5="",B2667&amp;""=Recherche!$C$5&amp;""),OR(Recherche!$C$6="",IFERROR(YEAR(L2667),0)=Recherche!$C$6),OR(Recherche!$C$7="",ISNUMBER(SEARCH(Recherche!$C$7,H2667))),OR(Recherche!$C$8="",J2667=Recherche!$C$8),OR(Recherche!$C$9="",I2667=Recherche!$C$9),OR(Recherche!$C$10="",G2667&amp;""=Recherche!$C$10&amp;""),OR(Recherche!$C$11="",E2667=Recherche!$C$11),OR(Recherche!$C$12="",ISNUMBER(SEARCH(Recherche!$C$12,M2667&amp;" "&amp;F2667)))),1,0)</f>
        <v>8</v>
      </c>
    </row>
    <row r="2668" customFormat="false" ht="15" hidden="false" customHeight="false" outlineLevel="0" collapsed="false">
      <c r="A2668" s="19"/>
      <c r="B2668" s="19"/>
      <c r="C2668" s="19"/>
      <c r="D2668" s="19"/>
      <c r="E2668" s="22"/>
      <c r="F2668" s="19"/>
      <c r="G2668" s="26" t="str">
        <f aca="false">IF(D2668="","",IFERROR(VALUE(LEFT(D2668,FIND(" |",D2668&amp;" |")-1)),"?"))</f>
        <v/>
      </c>
      <c r="H2668" s="27" t="str">
        <f aca="false">IF(G2668="","",IF(G2668="?","⚠ pub inconnue",IFERROR(INDEX(Pubs!$B$2:$B$3001,MATCH(G2668,Pubs!$A$2:$A$3001,0))&amp;"","⚠ pub inconnue")))</f>
        <v/>
      </c>
      <c r="I2668" s="27" t="str">
        <f aca="false">IF(OR(G2668="",G2668="?"),"",IFERROR(INDEX(Pubs!$C$2:$C$3001,MATCH(G2668,Pubs!$A$2:$A$3001,0))&amp;"",""))</f>
        <v/>
      </c>
      <c r="J2668" s="27" t="str">
        <f aca="false">IF(OR(G2668="",G2668="?"),"",IFERROR(INDEX(Pubs!$G$2:$G$3001,MATCH(G2668,Pubs!$A$2:$A$3001,0))&amp;"",""))</f>
        <v/>
      </c>
      <c r="K2668" s="28" t="str">
        <f aca="false">IF(OR(G2668="",G2668="?"),"",IFERROR(INDEX(Pubs!$E$2:$E$3001,MATCH(G2668,Pubs!$A$2:$A$3001,0)),""))</f>
        <v/>
      </c>
      <c r="L2668" s="29" t="str">
        <f aca="false">IF(A2668="","",IFERROR(1/(1/INDEX(Numéros!$C$2:$C$3001,MATCH(A2668&amp;"|"&amp;B2668,Numéros!$F$2:$F$3001,0))),""))</f>
        <v/>
      </c>
      <c r="M2668" s="27" t="str">
        <f aca="false">IF(OR(G2668="",G2668="?"),"",IFERROR(INDEX(Pubs!$D$2:$D$3001,MATCH(G2668,Pubs!$A$2:$A$3001,0))&amp;"",""))</f>
        <v/>
      </c>
      <c r="N2668" s="27" t="n">
        <f aca="false">N(N2667)+IF(AND(A2668&lt;&gt;"",OR(Recherche!$C$4="",A2668=Recherche!$C$4),OR(Recherche!$C$5="",B2668&amp;""=Recherche!$C$5&amp;""),OR(Recherche!$C$6="",IFERROR(YEAR(L2668),0)=Recherche!$C$6),OR(Recherche!$C$7="",ISNUMBER(SEARCH(Recherche!$C$7,H2668))),OR(Recherche!$C$8="",J2668=Recherche!$C$8),OR(Recherche!$C$9="",I2668=Recherche!$C$9),OR(Recherche!$C$10="",G2668&amp;""=Recherche!$C$10&amp;""),OR(Recherche!$C$11="",E2668=Recherche!$C$11),OR(Recherche!$C$12="",ISNUMBER(SEARCH(Recherche!$C$12,M2668&amp;" "&amp;F2668)))),1,0)</f>
        <v>8</v>
      </c>
    </row>
    <row r="2669" customFormat="false" ht="15" hidden="false" customHeight="false" outlineLevel="0" collapsed="false">
      <c r="A2669" s="19"/>
      <c r="B2669" s="19"/>
      <c r="C2669" s="19"/>
      <c r="D2669" s="19"/>
      <c r="E2669" s="22"/>
      <c r="F2669" s="19"/>
      <c r="G2669" s="26" t="str">
        <f aca="false">IF(D2669="","",IFERROR(VALUE(LEFT(D2669,FIND(" |",D2669&amp;" |")-1)),"?"))</f>
        <v/>
      </c>
      <c r="H2669" s="27" t="str">
        <f aca="false">IF(G2669="","",IF(G2669="?","⚠ pub inconnue",IFERROR(INDEX(Pubs!$B$2:$B$3001,MATCH(G2669,Pubs!$A$2:$A$3001,0))&amp;"","⚠ pub inconnue")))</f>
        <v/>
      </c>
      <c r="I2669" s="27" t="str">
        <f aca="false">IF(OR(G2669="",G2669="?"),"",IFERROR(INDEX(Pubs!$C$2:$C$3001,MATCH(G2669,Pubs!$A$2:$A$3001,0))&amp;"",""))</f>
        <v/>
      </c>
      <c r="J2669" s="27" t="str">
        <f aca="false">IF(OR(G2669="",G2669="?"),"",IFERROR(INDEX(Pubs!$G$2:$G$3001,MATCH(G2669,Pubs!$A$2:$A$3001,0))&amp;"",""))</f>
        <v/>
      </c>
      <c r="K2669" s="28" t="str">
        <f aca="false">IF(OR(G2669="",G2669="?"),"",IFERROR(INDEX(Pubs!$E$2:$E$3001,MATCH(G2669,Pubs!$A$2:$A$3001,0)),""))</f>
        <v/>
      </c>
      <c r="L2669" s="29" t="str">
        <f aca="false">IF(A2669="","",IFERROR(1/(1/INDEX(Numéros!$C$2:$C$3001,MATCH(A2669&amp;"|"&amp;B2669,Numéros!$F$2:$F$3001,0))),""))</f>
        <v/>
      </c>
      <c r="M2669" s="27" t="str">
        <f aca="false">IF(OR(G2669="",G2669="?"),"",IFERROR(INDEX(Pubs!$D$2:$D$3001,MATCH(G2669,Pubs!$A$2:$A$3001,0))&amp;"",""))</f>
        <v/>
      </c>
      <c r="N2669" s="27" t="n">
        <f aca="false">N(N2668)+IF(AND(A2669&lt;&gt;"",OR(Recherche!$C$4="",A2669=Recherche!$C$4),OR(Recherche!$C$5="",B2669&amp;""=Recherche!$C$5&amp;""),OR(Recherche!$C$6="",IFERROR(YEAR(L2669),0)=Recherche!$C$6),OR(Recherche!$C$7="",ISNUMBER(SEARCH(Recherche!$C$7,H2669))),OR(Recherche!$C$8="",J2669=Recherche!$C$8),OR(Recherche!$C$9="",I2669=Recherche!$C$9),OR(Recherche!$C$10="",G2669&amp;""=Recherche!$C$10&amp;""),OR(Recherche!$C$11="",E2669=Recherche!$C$11),OR(Recherche!$C$12="",ISNUMBER(SEARCH(Recherche!$C$12,M2669&amp;" "&amp;F2669)))),1,0)</f>
        <v>8</v>
      </c>
    </row>
    <row r="2670" customFormat="false" ht="15" hidden="false" customHeight="false" outlineLevel="0" collapsed="false">
      <c r="A2670" s="19"/>
      <c r="B2670" s="19"/>
      <c r="C2670" s="19"/>
      <c r="D2670" s="19"/>
      <c r="E2670" s="22"/>
      <c r="F2670" s="19"/>
      <c r="G2670" s="26" t="str">
        <f aca="false">IF(D2670="","",IFERROR(VALUE(LEFT(D2670,FIND(" |",D2670&amp;" |")-1)),"?"))</f>
        <v/>
      </c>
      <c r="H2670" s="27" t="str">
        <f aca="false">IF(G2670="","",IF(G2670="?","⚠ pub inconnue",IFERROR(INDEX(Pubs!$B$2:$B$3001,MATCH(G2670,Pubs!$A$2:$A$3001,0))&amp;"","⚠ pub inconnue")))</f>
        <v/>
      </c>
      <c r="I2670" s="27" t="str">
        <f aca="false">IF(OR(G2670="",G2670="?"),"",IFERROR(INDEX(Pubs!$C$2:$C$3001,MATCH(G2670,Pubs!$A$2:$A$3001,0))&amp;"",""))</f>
        <v/>
      </c>
      <c r="J2670" s="27" t="str">
        <f aca="false">IF(OR(G2670="",G2670="?"),"",IFERROR(INDEX(Pubs!$G$2:$G$3001,MATCH(G2670,Pubs!$A$2:$A$3001,0))&amp;"",""))</f>
        <v/>
      </c>
      <c r="K2670" s="28" t="str">
        <f aca="false">IF(OR(G2670="",G2670="?"),"",IFERROR(INDEX(Pubs!$E$2:$E$3001,MATCH(G2670,Pubs!$A$2:$A$3001,0)),""))</f>
        <v/>
      </c>
      <c r="L2670" s="29" t="str">
        <f aca="false">IF(A2670="","",IFERROR(1/(1/INDEX(Numéros!$C$2:$C$3001,MATCH(A2670&amp;"|"&amp;B2670,Numéros!$F$2:$F$3001,0))),""))</f>
        <v/>
      </c>
      <c r="M2670" s="27" t="str">
        <f aca="false">IF(OR(G2670="",G2670="?"),"",IFERROR(INDEX(Pubs!$D$2:$D$3001,MATCH(G2670,Pubs!$A$2:$A$3001,0))&amp;"",""))</f>
        <v/>
      </c>
      <c r="N2670" s="27" t="n">
        <f aca="false">N(N2669)+IF(AND(A2670&lt;&gt;"",OR(Recherche!$C$4="",A2670=Recherche!$C$4),OR(Recherche!$C$5="",B2670&amp;""=Recherche!$C$5&amp;""),OR(Recherche!$C$6="",IFERROR(YEAR(L2670),0)=Recherche!$C$6),OR(Recherche!$C$7="",ISNUMBER(SEARCH(Recherche!$C$7,H2670))),OR(Recherche!$C$8="",J2670=Recherche!$C$8),OR(Recherche!$C$9="",I2670=Recherche!$C$9),OR(Recherche!$C$10="",G2670&amp;""=Recherche!$C$10&amp;""),OR(Recherche!$C$11="",E2670=Recherche!$C$11),OR(Recherche!$C$12="",ISNUMBER(SEARCH(Recherche!$C$12,M2670&amp;" "&amp;F2670)))),1,0)</f>
        <v>8</v>
      </c>
    </row>
    <row r="2671" customFormat="false" ht="15" hidden="false" customHeight="false" outlineLevel="0" collapsed="false">
      <c r="A2671" s="19"/>
      <c r="B2671" s="19"/>
      <c r="C2671" s="19"/>
      <c r="D2671" s="19"/>
      <c r="E2671" s="22"/>
      <c r="F2671" s="19"/>
      <c r="G2671" s="26" t="str">
        <f aca="false">IF(D2671="","",IFERROR(VALUE(LEFT(D2671,FIND(" |",D2671&amp;" |")-1)),"?"))</f>
        <v/>
      </c>
      <c r="H2671" s="27" t="str">
        <f aca="false">IF(G2671="","",IF(G2671="?","⚠ pub inconnue",IFERROR(INDEX(Pubs!$B$2:$B$3001,MATCH(G2671,Pubs!$A$2:$A$3001,0))&amp;"","⚠ pub inconnue")))</f>
        <v/>
      </c>
      <c r="I2671" s="27" t="str">
        <f aca="false">IF(OR(G2671="",G2671="?"),"",IFERROR(INDEX(Pubs!$C$2:$C$3001,MATCH(G2671,Pubs!$A$2:$A$3001,0))&amp;"",""))</f>
        <v/>
      </c>
      <c r="J2671" s="27" t="str">
        <f aca="false">IF(OR(G2671="",G2671="?"),"",IFERROR(INDEX(Pubs!$G$2:$G$3001,MATCH(G2671,Pubs!$A$2:$A$3001,0))&amp;"",""))</f>
        <v/>
      </c>
      <c r="K2671" s="28" t="str">
        <f aca="false">IF(OR(G2671="",G2671="?"),"",IFERROR(INDEX(Pubs!$E$2:$E$3001,MATCH(G2671,Pubs!$A$2:$A$3001,0)),""))</f>
        <v/>
      </c>
      <c r="L2671" s="29" t="str">
        <f aca="false">IF(A2671="","",IFERROR(1/(1/INDEX(Numéros!$C$2:$C$3001,MATCH(A2671&amp;"|"&amp;B2671,Numéros!$F$2:$F$3001,0))),""))</f>
        <v/>
      </c>
      <c r="M2671" s="27" t="str">
        <f aca="false">IF(OR(G2671="",G2671="?"),"",IFERROR(INDEX(Pubs!$D$2:$D$3001,MATCH(G2671,Pubs!$A$2:$A$3001,0))&amp;"",""))</f>
        <v/>
      </c>
      <c r="N2671" s="27" t="n">
        <f aca="false">N(N2670)+IF(AND(A2671&lt;&gt;"",OR(Recherche!$C$4="",A2671=Recherche!$C$4),OR(Recherche!$C$5="",B2671&amp;""=Recherche!$C$5&amp;""),OR(Recherche!$C$6="",IFERROR(YEAR(L2671),0)=Recherche!$C$6),OR(Recherche!$C$7="",ISNUMBER(SEARCH(Recherche!$C$7,H2671))),OR(Recherche!$C$8="",J2671=Recherche!$C$8),OR(Recherche!$C$9="",I2671=Recherche!$C$9),OR(Recherche!$C$10="",G2671&amp;""=Recherche!$C$10&amp;""),OR(Recherche!$C$11="",E2671=Recherche!$C$11),OR(Recherche!$C$12="",ISNUMBER(SEARCH(Recherche!$C$12,M2671&amp;" "&amp;F2671)))),1,0)</f>
        <v>8</v>
      </c>
    </row>
    <row r="2672" customFormat="false" ht="15" hidden="false" customHeight="false" outlineLevel="0" collapsed="false">
      <c r="A2672" s="19"/>
      <c r="B2672" s="19"/>
      <c r="C2672" s="19"/>
      <c r="D2672" s="19"/>
      <c r="E2672" s="22"/>
      <c r="F2672" s="19"/>
      <c r="G2672" s="26" t="str">
        <f aca="false">IF(D2672="","",IFERROR(VALUE(LEFT(D2672,FIND(" |",D2672&amp;" |")-1)),"?"))</f>
        <v/>
      </c>
      <c r="H2672" s="27" t="str">
        <f aca="false">IF(G2672="","",IF(G2672="?","⚠ pub inconnue",IFERROR(INDEX(Pubs!$B$2:$B$3001,MATCH(G2672,Pubs!$A$2:$A$3001,0))&amp;"","⚠ pub inconnue")))</f>
        <v/>
      </c>
      <c r="I2672" s="27" t="str">
        <f aca="false">IF(OR(G2672="",G2672="?"),"",IFERROR(INDEX(Pubs!$C$2:$C$3001,MATCH(G2672,Pubs!$A$2:$A$3001,0))&amp;"",""))</f>
        <v/>
      </c>
      <c r="J2672" s="27" t="str">
        <f aca="false">IF(OR(G2672="",G2672="?"),"",IFERROR(INDEX(Pubs!$G$2:$G$3001,MATCH(G2672,Pubs!$A$2:$A$3001,0))&amp;"",""))</f>
        <v/>
      </c>
      <c r="K2672" s="28" t="str">
        <f aca="false">IF(OR(G2672="",G2672="?"),"",IFERROR(INDEX(Pubs!$E$2:$E$3001,MATCH(G2672,Pubs!$A$2:$A$3001,0)),""))</f>
        <v/>
      </c>
      <c r="L2672" s="29" t="str">
        <f aca="false">IF(A2672="","",IFERROR(1/(1/INDEX(Numéros!$C$2:$C$3001,MATCH(A2672&amp;"|"&amp;B2672,Numéros!$F$2:$F$3001,0))),""))</f>
        <v/>
      </c>
      <c r="M2672" s="27" t="str">
        <f aca="false">IF(OR(G2672="",G2672="?"),"",IFERROR(INDEX(Pubs!$D$2:$D$3001,MATCH(G2672,Pubs!$A$2:$A$3001,0))&amp;"",""))</f>
        <v/>
      </c>
      <c r="N2672" s="27" t="n">
        <f aca="false">N(N2671)+IF(AND(A2672&lt;&gt;"",OR(Recherche!$C$4="",A2672=Recherche!$C$4),OR(Recherche!$C$5="",B2672&amp;""=Recherche!$C$5&amp;""),OR(Recherche!$C$6="",IFERROR(YEAR(L2672),0)=Recherche!$C$6),OR(Recherche!$C$7="",ISNUMBER(SEARCH(Recherche!$C$7,H2672))),OR(Recherche!$C$8="",J2672=Recherche!$C$8),OR(Recherche!$C$9="",I2672=Recherche!$C$9),OR(Recherche!$C$10="",G2672&amp;""=Recherche!$C$10&amp;""),OR(Recherche!$C$11="",E2672=Recherche!$C$11),OR(Recherche!$C$12="",ISNUMBER(SEARCH(Recherche!$C$12,M2672&amp;" "&amp;F2672)))),1,0)</f>
        <v>8</v>
      </c>
    </row>
    <row r="2673" customFormat="false" ht="15" hidden="false" customHeight="false" outlineLevel="0" collapsed="false">
      <c r="A2673" s="19"/>
      <c r="B2673" s="19"/>
      <c r="C2673" s="19"/>
      <c r="D2673" s="19"/>
      <c r="E2673" s="22"/>
      <c r="F2673" s="19"/>
      <c r="G2673" s="26" t="str">
        <f aca="false">IF(D2673="","",IFERROR(VALUE(LEFT(D2673,FIND(" |",D2673&amp;" |")-1)),"?"))</f>
        <v/>
      </c>
      <c r="H2673" s="27" t="str">
        <f aca="false">IF(G2673="","",IF(G2673="?","⚠ pub inconnue",IFERROR(INDEX(Pubs!$B$2:$B$3001,MATCH(G2673,Pubs!$A$2:$A$3001,0))&amp;"","⚠ pub inconnue")))</f>
        <v/>
      </c>
      <c r="I2673" s="27" t="str">
        <f aca="false">IF(OR(G2673="",G2673="?"),"",IFERROR(INDEX(Pubs!$C$2:$C$3001,MATCH(G2673,Pubs!$A$2:$A$3001,0))&amp;"",""))</f>
        <v/>
      </c>
      <c r="J2673" s="27" t="str">
        <f aca="false">IF(OR(G2673="",G2673="?"),"",IFERROR(INDEX(Pubs!$G$2:$G$3001,MATCH(G2673,Pubs!$A$2:$A$3001,0))&amp;"",""))</f>
        <v/>
      </c>
      <c r="K2673" s="28" t="str">
        <f aca="false">IF(OR(G2673="",G2673="?"),"",IFERROR(INDEX(Pubs!$E$2:$E$3001,MATCH(G2673,Pubs!$A$2:$A$3001,0)),""))</f>
        <v/>
      </c>
      <c r="L2673" s="29" t="str">
        <f aca="false">IF(A2673="","",IFERROR(1/(1/INDEX(Numéros!$C$2:$C$3001,MATCH(A2673&amp;"|"&amp;B2673,Numéros!$F$2:$F$3001,0))),""))</f>
        <v/>
      </c>
      <c r="M2673" s="27" t="str">
        <f aca="false">IF(OR(G2673="",G2673="?"),"",IFERROR(INDEX(Pubs!$D$2:$D$3001,MATCH(G2673,Pubs!$A$2:$A$3001,0))&amp;"",""))</f>
        <v/>
      </c>
      <c r="N2673" s="27" t="n">
        <f aca="false">N(N2672)+IF(AND(A2673&lt;&gt;"",OR(Recherche!$C$4="",A2673=Recherche!$C$4),OR(Recherche!$C$5="",B2673&amp;""=Recherche!$C$5&amp;""),OR(Recherche!$C$6="",IFERROR(YEAR(L2673),0)=Recherche!$C$6),OR(Recherche!$C$7="",ISNUMBER(SEARCH(Recherche!$C$7,H2673))),OR(Recherche!$C$8="",J2673=Recherche!$C$8),OR(Recherche!$C$9="",I2673=Recherche!$C$9),OR(Recherche!$C$10="",G2673&amp;""=Recherche!$C$10&amp;""),OR(Recherche!$C$11="",E2673=Recherche!$C$11),OR(Recherche!$C$12="",ISNUMBER(SEARCH(Recherche!$C$12,M2673&amp;" "&amp;F2673)))),1,0)</f>
        <v>8</v>
      </c>
    </row>
    <row r="2674" customFormat="false" ht="15" hidden="false" customHeight="false" outlineLevel="0" collapsed="false">
      <c r="A2674" s="19"/>
      <c r="B2674" s="19"/>
      <c r="C2674" s="19"/>
      <c r="D2674" s="19"/>
      <c r="E2674" s="22"/>
      <c r="F2674" s="19"/>
      <c r="G2674" s="26" t="str">
        <f aca="false">IF(D2674="","",IFERROR(VALUE(LEFT(D2674,FIND(" |",D2674&amp;" |")-1)),"?"))</f>
        <v/>
      </c>
      <c r="H2674" s="27" t="str">
        <f aca="false">IF(G2674="","",IF(G2674="?","⚠ pub inconnue",IFERROR(INDEX(Pubs!$B$2:$B$3001,MATCH(G2674,Pubs!$A$2:$A$3001,0))&amp;"","⚠ pub inconnue")))</f>
        <v/>
      </c>
      <c r="I2674" s="27" t="str">
        <f aca="false">IF(OR(G2674="",G2674="?"),"",IFERROR(INDEX(Pubs!$C$2:$C$3001,MATCH(G2674,Pubs!$A$2:$A$3001,0))&amp;"",""))</f>
        <v/>
      </c>
      <c r="J2674" s="27" t="str">
        <f aca="false">IF(OR(G2674="",G2674="?"),"",IFERROR(INDEX(Pubs!$G$2:$G$3001,MATCH(G2674,Pubs!$A$2:$A$3001,0))&amp;"",""))</f>
        <v/>
      </c>
      <c r="K2674" s="28" t="str">
        <f aca="false">IF(OR(G2674="",G2674="?"),"",IFERROR(INDEX(Pubs!$E$2:$E$3001,MATCH(G2674,Pubs!$A$2:$A$3001,0)),""))</f>
        <v/>
      </c>
      <c r="L2674" s="29" t="str">
        <f aca="false">IF(A2674="","",IFERROR(1/(1/INDEX(Numéros!$C$2:$C$3001,MATCH(A2674&amp;"|"&amp;B2674,Numéros!$F$2:$F$3001,0))),""))</f>
        <v/>
      </c>
      <c r="M2674" s="27" t="str">
        <f aca="false">IF(OR(G2674="",G2674="?"),"",IFERROR(INDEX(Pubs!$D$2:$D$3001,MATCH(G2674,Pubs!$A$2:$A$3001,0))&amp;"",""))</f>
        <v/>
      </c>
      <c r="N2674" s="27" t="n">
        <f aca="false">N(N2673)+IF(AND(A2674&lt;&gt;"",OR(Recherche!$C$4="",A2674=Recherche!$C$4),OR(Recherche!$C$5="",B2674&amp;""=Recherche!$C$5&amp;""),OR(Recherche!$C$6="",IFERROR(YEAR(L2674),0)=Recherche!$C$6),OR(Recherche!$C$7="",ISNUMBER(SEARCH(Recherche!$C$7,H2674))),OR(Recherche!$C$8="",J2674=Recherche!$C$8),OR(Recherche!$C$9="",I2674=Recherche!$C$9),OR(Recherche!$C$10="",G2674&amp;""=Recherche!$C$10&amp;""),OR(Recherche!$C$11="",E2674=Recherche!$C$11),OR(Recherche!$C$12="",ISNUMBER(SEARCH(Recherche!$C$12,M2674&amp;" "&amp;F2674)))),1,0)</f>
        <v>8</v>
      </c>
    </row>
    <row r="2675" customFormat="false" ht="15" hidden="false" customHeight="false" outlineLevel="0" collapsed="false">
      <c r="A2675" s="19"/>
      <c r="B2675" s="19"/>
      <c r="C2675" s="19"/>
      <c r="D2675" s="19"/>
      <c r="E2675" s="22"/>
      <c r="F2675" s="19"/>
      <c r="G2675" s="26" t="str">
        <f aca="false">IF(D2675="","",IFERROR(VALUE(LEFT(D2675,FIND(" |",D2675&amp;" |")-1)),"?"))</f>
        <v/>
      </c>
      <c r="H2675" s="27" t="str">
        <f aca="false">IF(G2675="","",IF(G2675="?","⚠ pub inconnue",IFERROR(INDEX(Pubs!$B$2:$B$3001,MATCH(G2675,Pubs!$A$2:$A$3001,0))&amp;"","⚠ pub inconnue")))</f>
        <v/>
      </c>
      <c r="I2675" s="27" t="str">
        <f aca="false">IF(OR(G2675="",G2675="?"),"",IFERROR(INDEX(Pubs!$C$2:$C$3001,MATCH(G2675,Pubs!$A$2:$A$3001,0))&amp;"",""))</f>
        <v/>
      </c>
      <c r="J2675" s="27" t="str">
        <f aca="false">IF(OR(G2675="",G2675="?"),"",IFERROR(INDEX(Pubs!$G$2:$G$3001,MATCH(G2675,Pubs!$A$2:$A$3001,0))&amp;"",""))</f>
        <v/>
      </c>
      <c r="K2675" s="28" t="str">
        <f aca="false">IF(OR(G2675="",G2675="?"),"",IFERROR(INDEX(Pubs!$E$2:$E$3001,MATCH(G2675,Pubs!$A$2:$A$3001,0)),""))</f>
        <v/>
      </c>
      <c r="L2675" s="29" t="str">
        <f aca="false">IF(A2675="","",IFERROR(1/(1/INDEX(Numéros!$C$2:$C$3001,MATCH(A2675&amp;"|"&amp;B2675,Numéros!$F$2:$F$3001,0))),""))</f>
        <v/>
      </c>
      <c r="M2675" s="27" t="str">
        <f aca="false">IF(OR(G2675="",G2675="?"),"",IFERROR(INDEX(Pubs!$D$2:$D$3001,MATCH(G2675,Pubs!$A$2:$A$3001,0))&amp;"",""))</f>
        <v/>
      </c>
      <c r="N2675" s="27" t="n">
        <f aca="false">N(N2674)+IF(AND(A2675&lt;&gt;"",OR(Recherche!$C$4="",A2675=Recherche!$C$4),OR(Recherche!$C$5="",B2675&amp;""=Recherche!$C$5&amp;""),OR(Recherche!$C$6="",IFERROR(YEAR(L2675),0)=Recherche!$C$6),OR(Recherche!$C$7="",ISNUMBER(SEARCH(Recherche!$C$7,H2675))),OR(Recherche!$C$8="",J2675=Recherche!$C$8),OR(Recherche!$C$9="",I2675=Recherche!$C$9),OR(Recherche!$C$10="",G2675&amp;""=Recherche!$C$10&amp;""),OR(Recherche!$C$11="",E2675=Recherche!$C$11),OR(Recherche!$C$12="",ISNUMBER(SEARCH(Recherche!$C$12,M2675&amp;" "&amp;F2675)))),1,0)</f>
        <v>8</v>
      </c>
    </row>
    <row r="2676" customFormat="false" ht="15" hidden="false" customHeight="false" outlineLevel="0" collapsed="false">
      <c r="A2676" s="19"/>
      <c r="B2676" s="19"/>
      <c r="C2676" s="19"/>
      <c r="D2676" s="19"/>
      <c r="E2676" s="22"/>
      <c r="F2676" s="19"/>
      <c r="G2676" s="26" t="str">
        <f aca="false">IF(D2676="","",IFERROR(VALUE(LEFT(D2676,FIND(" |",D2676&amp;" |")-1)),"?"))</f>
        <v/>
      </c>
      <c r="H2676" s="27" t="str">
        <f aca="false">IF(G2676="","",IF(G2676="?","⚠ pub inconnue",IFERROR(INDEX(Pubs!$B$2:$B$3001,MATCH(G2676,Pubs!$A$2:$A$3001,0))&amp;"","⚠ pub inconnue")))</f>
        <v/>
      </c>
      <c r="I2676" s="27" t="str">
        <f aca="false">IF(OR(G2676="",G2676="?"),"",IFERROR(INDEX(Pubs!$C$2:$C$3001,MATCH(G2676,Pubs!$A$2:$A$3001,0))&amp;"",""))</f>
        <v/>
      </c>
      <c r="J2676" s="27" t="str">
        <f aca="false">IF(OR(G2676="",G2676="?"),"",IFERROR(INDEX(Pubs!$G$2:$G$3001,MATCH(G2676,Pubs!$A$2:$A$3001,0))&amp;"",""))</f>
        <v/>
      </c>
      <c r="K2676" s="28" t="str">
        <f aca="false">IF(OR(G2676="",G2676="?"),"",IFERROR(INDEX(Pubs!$E$2:$E$3001,MATCH(G2676,Pubs!$A$2:$A$3001,0)),""))</f>
        <v/>
      </c>
      <c r="L2676" s="29" t="str">
        <f aca="false">IF(A2676="","",IFERROR(1/(1/INDEX(Numéros!$C$2:$C$3001,MATCH(A2676&amp;"|"&amp;B2676,Numéros!$F$2:$F$3001,0))),""))</f>
        <v/>
      </c>
      <c r="M2676" s="27" t="str">
        <f aca="false">IF(OR(G2676="",G2676="?"),"",IFERROR(INDEX(Pubs!$D$2:$D$3001,MATCH(G2676,Pubs!$A$2:$A$3001,0))&amp;"",""))</f>
        <v/>
      </c>
      <c r="N2676" s="27" t="n">
        <f aca="false">N(N2675)+IF(AND(A2676&lt;&gt;"",OR(Recherche!$C$4="",A2676=Recherche!$C$4),OR(Recherche!$C$5="",B2676&amp;""=Recherche!$C$5&amp;""),OR(Recherche!$C$6="",IFERROR(YEAR(L2676),0)=Recherche!$C$6),OR(Recherche!$C$7="",ISNUMBER(SEARCH(Recherche!$C$7,H2676))),OR(Recherche!$C$8="",J2676=Recherche!$C$8),OR(Recherche!$C$9="",I2676=Recherche!$C$9),OR(Recherche!$C$10="",G2676&amp;""=Recherche!$C$10&amp;""),OR(Recherche!$C$11="",E2676=Recherche!$C$11),OR(Recherche!$C$12="",ISNUMBER(SEARCH(Recherche!$C$12,M2676&amp;" "&amp;F2676)))),1,0)</f>
        <v>8</v>
      </c>
    </row>
    <row r="2677" customFormat="false" ht="15" hidden="false" customHeight="false" outlineLevel="0" collapsed="false">
      <c r="A2677" s="19"/>
      <c r="B2677" s="19"/>
      <c r="C2677" s="19"/>
      <c r="D2677" s="19"/>
      <c r="E2677" s="22"/>
      <c r="F2677" s="19"/>
      <c r="G2677" s="26" t="str">
        <f aca="false">IF(D2677="","",IFERROR(VALUE(LEFT(D2677,FIND(" |",D2677&amp;" |")-1)),"?"))</f>
        <v/>
      </c>
      <c r="H2677" s="27" t="str">
        <f aca="false">IF(G2677="","",IF(G2677="?","⚠ pub inconnue",IFERROR(INDEX(Pubs!$B$2:$B$3001,MATCH(G2677,Pubs!$A$2:$A$3001,0))&amp;"","⚠ pub inconnue")))</f>
        <v/>
      </c>
      <c r="I2677" s="27" t="str">
        <f aca="false">IF(OR(G2677="",G2677="?"),"",IFERROR(INDEX(Pubs!$C$2:$C$3001,MATCH(G2677,Pubs!$A$2:$A$3001,0))&amp;"",""))</f>
        <v/>
      </c>
      <c r="J2677" s="27" t="str">
        <f aca="false">IF(OR(G2677="",G2677="?"),"",IFERROR(INDEX(Pubs!$G$2:$G$3001,MATCH(G2677,Pubs!$A$2:$A$3001,0))&amp;"",""))</f>
        <v/>
      </c>
      <c r="K2677" s="28" t="str">
        <f aca="false">IF(OR(G2677="",G2677="?"),"",IFERROR(INDEX(Pubs!$E$2:$E$3001,MATCH(G2677,Pubs!$A$2:$A$3001,0)),""))</f>
        <v/>
      </c>
      <c r="L2677" s="29" t="str">
        <f aca="false">IF(A2677="","",IFERROR(1/(1/INDEX(Numéros!$C$2:$C$3001,MATCH(A2677&amp;"|"&amp;B2677,Numéros!$F$2:$F$3001,0))),""))</f>
        <v/>
      </c>
      <c r="M2677" s="27" t="str">
        <f aca="false">IF(OR(G2677="",G2677="?"),"",IFERROR(INDEX(Pubs!$D$2:$D$3001,MATCH(G2677,Pubs!$A$2:$A$3001,0))&amp;"",""))</f>
        <v/>
      </c>
      <c r="N2677" s="27" t="n">
        <f aca="false">N(N2676)+IF(AND(A2677&lt;&gt;"",OR(Recherche!$C$4="",A2677=Recherche!$C$4),OR(Recherche!$C$5="",B2677&amp;""=Recherche!$C$5&amp;""),OR(Recherche!$C$6="",IFERROR(YEAR(L2677),0)=Recherche!$C$6),OR(Recherche!$C$7="",ISNUMBER(SEARCH(Recherche!$C$7,H2677))),OR(Recherche!$C$8="",J2677=Recherche!$C$8),OR(Recherche!$C$9="",I2677=Recherche!$C$9),OR(Recherche!$C$10="",G2677&amp;""=Recherche!$C$10&amp;""),OR(Recherche!$C$11="",E2677=Recherche!$C$11),OR(Recherche!$C$12="",ISNUMBER(SEARCH(Recherche!$C$12,M2677&amp;" "&amp;F2677)))),1,0)</f>
        <v>8</v>
      </c>
    </row>
    <row r="2678" customFormat="false" ht="15" hidden="false" customHeight="false" outlineLevel="0" collapsed="false">
      <c r="A2678" s="19"/>
      <c r="B2678" s="19"/>
      <c r="C2678" s="19"/>
      <c r="D2678" s="19"/>
      <c r="E2678" s="22"/>
      <c r="F2678" s="19"/>
      <c r="G2678" s="26" t="str">
        <f aca="false">IF(D2678="","",IFERROR(VALUE(LEFT(D2678,FIND(" |",D2678&amp;" |")-1)),"?"))</f>
        <v/>
      </c>
      <c r="H2678" s="27" t="str">
        <f aca="false">IF(G2678="","",IF(G2678="?","⚠ pub inconnue",IFERROR(INDEX(Pubs!$B$2:$B$3001,MATCH(G2678,Pubs!$A$2:$A$3001,0))&amp;"","⚠ pub inconnue")))</f>
        <v/>
      </c>
      <c r="I2678" s="27" t="str">
        <f aca="false">IF(OR(G2678="",G2678="?"),"",IFERROR(INDEX(Pubs!$C$2:$C$3001,MATCH(G2678,Pubs!$A$2:$A$3001,0))&amp;"",""))</f>
        <v/>
      </c>
      <c r="J2678" s="27" t="str">
        <f aca="false">IF(OR(G2678="",G2678="?"),"",IFERROR(INDEX(Pubs!$G$2:$G$3001,MATCH(G2678,Pubs!$A$2:$A$3001,0))&amp;"",""))</f>
        <v/>
      </c>
      <c r="K2678" s="28" t="str">
        <f aca="false">IF(OR(G2678="",G2678="?"),"",IFERROR(INDEX(Pubs!$E$2:$E$3001,MATCH(G2678,Pubs!$A$2:$A$3001,0)),""))</f>
        <v/>
      </c>
      <c r="L2678" s="29" t="str">
        <f aca="false">IF(A2678="","",IFERROR(1/(1/INDEX(Numéros!$C$2:$C$3001,MATCH(A2678&amp;"|"&amp;B2678,Numéros!$F$2:$F$3001,0))),""))</f>
        <v/>
      </c>
      <c r="M2678" s="27" t="str">
        <f aca="false">IF(OR(G2678="",G2678="?"),"",IFERROR(INDEX(Pubs!$D$2:$D$3001,MATCH(G2678,Pubs!$A$2:$A$3001,0))&amp;"",""))</f>
        <v/>
      </c>
      <c r="N2678" s="27" t="n">
        <f aca="false">N(N2677)+IF(AND(A2678&lt;&gt;"",OR(Recherche!$C$4="",A2678=Recherche!$C$4),OR(Recherche!$C$5="",B2678&amp;""=Recherche!$C$5&amp;""),OR(Recherche!$C$6="",IFERROR(YEAR(L2678),0)=Recherche!$C$6),OR(Recherche!$C$7="",ISNUMBER(SEARCH(Recherche!$C$7,H2678))),OR(Recherche!$C$8="",J2678=Recherche!$C$8),OR(Recherche!$C$9="",I2678=Recherche!$C$9),OR(Recherche!$C$10="",G2678&amp;""=Recherche!$C$10&amp;""),OR(Recherche!$C$11="",E2678=Recherche!$C$11),OR(Recherche!$C$12="",ISNUMBER(SEARCH(Recherche!$C$12,M2678&amp;" "&amp;F2678)))),1,0)</f>
        <v>8</v>
      </c>
    </row>
    <row r="2679" customFormat="false" ht="15" hidden="false" customHeight="false" outlineLevel="0" collapsed="false">
      <c r="A2679" s="19"/>
      <c r="B2679" s="19"/>
      <c r="C2679" s="19"/>
      <c r="D2679" s="19"/>
      <c r="E2679" s="22"/>
      <c r="F2679" s="19"/>
      <c r="G2679" s="26" t="str">
        <f aca="false">IF(D2679="","",IFERROR(VALUE(LEFT(D2679,FIND(" |",D2679&amp;" |")-1)),"?"))</f>
        <v/>
      </c>
      <c r="H2679" s="27" t="str">
        <f aca="false">IF(G2679="","",IF(G2679="?","⚠ pub inconnue",IFERROR(INDEX(Pubs!$B$2:$B$3001,MATCH(G2679,Pubs!$A$2:$A$3001,0))&amp;"","⚠ pub inconnue")))</f>
        <v/>
      </c>
      <c r="I2679" s="27" t="str">
        <f aca="false">IF(OR(G2679="",G2679="?"),"",IFERROR(INDEX(Pubs!$C$2:$C$3001,MATCH(G2679,Pubs!$A$2:$A$3001,0))&amp;"",""))</f>
        <v/>
      </c>
      <c r="J2679" s="27" t="str">
        <f aca="false">IF(OR(G2679="",G2679="?"),"",IFERROR(INDEX(Pubs!$G$2:$G$3001,MATCH(G2679,Pubs!$A$2:$A$3001,0))&amp;"",""))</f>
        <v/>
      </c>
      <c r="K2679" s="28" t="str">
        <f aca="false">IF(OR(G2679="",G2679="?"),"",IFERROR(INDEX(Pubs!$E$2:$E$3001,MATCH(G2679,Pubs!$A$2:$A$3001,0)),""))</f>
        <v/>
      </c>
      <c r="L2679" s="29" t="str">
        <f aca="false">IF(A2679="","",IFERROR(1/(1/INDEX(Numéros!$C$2:$C$3001,MATCH(A2679&amp;"|"&amp;B2679,Numéros!$F$2:$F$3001,0))),""))</f>
        <v/>
      </c>
      <c r="M2679" s="27" t="str">
        <f aca="false">IF(OR(G2679="",G2679="?"),"",IFERROR(INDEX(Pubs!$D$2:$D$3001,MATCH(G2679,Pubs!$A$2:$A$3001,0))&amp;"",""))</f>
        <v/>
      </c>
      <c r="N2679" s="27" t="n">
        <f aca="false">N(N2678)+IF(AND(A2679&lt;&gt;"",OR(Recherche!$C$4="",A2679=Recherche!$C$4),OR(Recherche!$C$5="",B2679&amp;""=Recherche!$C$5&amp;""),OR(Recherche!$C$6="",IFERROR(YEAR(L2679),0)=Recherche!$C$6),OR(Recherche!$C$7="",ISNUMBER(SEARCH(Recherche!$C$7,H2679))),OR(Recherche!$C$8="",J2679=Recherche!$C$8),OR(Recherche!$C$9="",I2679=Recherche!$C$9),OR(Recherche!$C$10="",G2679&amp;""=Recherche!$C$10&amp;""),OR(Recherche!$C$11="",E2679=Recherche!$C$11),OR(Recherche!$C$12="",ISNUMBER(SEARCH(Recherche!$C$12,M2679&amp;" "&amp;F2679)))),1,0)</f>
        <v>8</v>
      </c>
    </row>
    <row r="2680" customFormat="false" ht="15" hidden="false" customHeight="false" outlineLevel="0" collapsed="false">
      <c r="A2680" s="19"/>
      <c r="B2680" s="19"/>
      <c r="C2680" s="19"/>
      <c r="D2680" s="19"/>
      <c r="E2680" s="22"/>
      <c r="F2680" s="19"/>
      <c r="G2680" s="26" t="str">
        <f aca="false">IF(D2680="","",IFERROR(VALUE(LEFT(D2680,FIND(" |",D2680&amp;" |")-1)),"?"))</f>
        <v/>
      </c>
      <c r="H2680" s="27" t="str">
        <f aca="false">IF(G2680="","",IF(G2680="?","⚠ pub inconnue",IFERROR(INDEX(Pubs!$B$2:$B$3001,MATCH(G2680,Pubs!$A$2:$A$3001,0))&amp;"","⚠ pub inconnue")))</f>
        <v/>
      </c>
      <c r="I2680" s="27" t="str">
        <f aca="false">IF(OR(G2680="",G2680="?"),"",IFERROR(INDEX(Pubs!$C$2:$C$3001,MATCH(G2680,Pubs!$A$2:$A$3001,0))&amp;"",""))</f>
        <v/>
      </c>
      <c r="J2680" s="27" t="str">
        <f aca="false">IF(OR(G2680="",G2680="?"),"",IFERROR(INDEX(Pubs!$G$2:$G$3001,MATCH(G2680,Pubs!$A$2:$A$3001,0))&amp;"",""))</f>
        <v/>
      </c>
      <c r="K2680" s="28" t="str">
        <f aca="false">IF(OR(G2680="",G2680="?"),"",IFERROR(INDEX(Pubs!$E$2:$E$3001,MATCH(G2680,Pubs!$A$2:$A$3001,0)),""))</f>
        <v/>
      </c>
      <c r="L2680" s="29" t="str">
        <f aca="false">IF(A2680="","",IFERROR(1/(1/INDEX(Numéros!$C$2:$C$3001,MATCH(A2680&amp;"|"&amp;B2680,Numéros!$F$2:$F$3001,0))),""))</f>
        <v/>
      </c>
      <c r="M2680" s="27" t="str">
        <f aca="false">IF(OR(G2680="",G2680="?"),"",IFERROR(INDEX(Pubs!$D$2:$D$3001,MATCH(G2680,Pubs!$A$2:$A$3001,0))&amp;"",""))</f>
        <v/>
      </c>
      <c r="N2680" s="27" t="n">
        <f aca="false">N(N2679)+IF(AND(A2680&lt;&gt;"",OR(Recherche!$C$4="",A2680=Recherche!$C$4),OR(Recherche!$C$5="",B2680&amp;""=Recherche!$C$5&amp;""),OR(Recherche!$C$6="",IFERROR(YEAR(L2680),0)=Recherche!$C$6),OR(Recherche!$C$7="",ISNUMBER(SEARCH(Recherche!$C$7,H2680))),OR(Recherche!$C$8="",J2680=Recherche!$C$8),OR(Recherche!$C$9="",I2680=Recherche!$C$9),OR(Recherche!$C$10="",G2680&amp;""=Recherche!$C$10&amp;""),OR(Recherche!$C$11="",E2680=Recherche!$C$11),OR(Recherche!$C$12="",ISNUMBER(SEARCH(Recherche!$C$12,M2680&amp;" "&amp;F2680)))),1,0)</f>
        <v>8</v>
      </c>
    </row>
    <row r="2681" customFormat="false" ht="15" hidden="false" customHeight="false" outlineLevel="0" collapsed="false">
      <c r="A2681" s="19"/>
      <c r="B2681" s="19"/>
      <c r="C2681" s="19"/>
      <c r="D2681" s="19"/>
      <c r="E2681" s="22"/>
      <c r="F2681" s="19"/>
      <c r="G2681" s="26" t="str">
        <f aca="false">IF(D2681="","",IFERROR(VALUE(LEFT(D2681,FIND(" |",D2681&amp;" |")-1)),"?"))</f>
        <v/>
      </c>
      <c r="H2681" s="27" t="str">
        <f aca="false">IF(G2681="","",IF(G2681="?","⚠ pub inconnue",IFERROR(INDEX(Pubs!$B$2:$B$3001,MATCH(G2681,Pubs!$A$2:$A$3001,0))&amp;"","⚠ pub inconnue")))</f>
        <v/>
      </c>
      <c r="I2681" s="27" t="str">
        <f aca="false">IF(OR(G2681="",G2681="?"),"",IFERROR(INDEX(Pubs!$C$2:$C$3001,MATCH(G2681,Pubs!$A$2:$A$3001,0))&amp;"",""))</f>
        <v/>
      </c>
      <c r="J2681" s="27" t="str">
        <f aca="false">IF(OR(G2681="",G2681="?"),"",IFERROR(INDEX(Pubs!$G$2:$G$3001,MATCH(G2681,Pubs!$A$2:$A$3001,0))&amp;"",""))</f>
        <v/>
      </c>
      <c r="K2681" s="28" t="str">
        <f aca="false">IF(OR(G2681="",G2681="?"),"",IFERROR(INDEX(Pubs!$E$2:$E$3001,MATCH(G2681,Pubs!$A$2:$A$3001,0)),""))</f>
        <v/>
      </c>
      <c r="L2681" s="29" t="str">
        <f aca="false">IF(A2681="","",IFERROR(1/(1/INDEX(Numéros!$C$2:$C$3001,MATCH(A2681&amp;"|"&amp;B2681,Numéros!$F$2:$F$3001,0))),""))</f>
        <v/>
      </c>
      <c r="M2681" s="27" t="str">
        <f aca="false">IF(OR(G2681="",G2681="?"),"",IFERROR(INDEX(Pubs!$D$2:$D$3001,MATCH(G2681,Pubs!$A$2:$A$3001,0))&amp;"",""))</f>
        <v/>
      </c>
      <c r="N2681" s="27" t="n">
        <f aca="false">N(N2680)+IF(AND(A2681&lt;&gt;"",OR(Recherche!$C$4="",A2681=Recherche!$C$4),OR(Recherche!$C$5="",B2681&amp;""=Recherche!$C$5&amp;""),OR(Recherche!$C$6="",IFERROR(YEAR(L2681),0)=Recherche!$C$6),OR(Recherche!$C$7="",ISNUMBER(SEARCH(Recherche!$C$7,H2681))),OR(Recherche!$C$8="",J2681=Recherche!$C$8),OR(Recherche!$C$9="",I2681=Recherche!$C$9),OR(Recherche!$C$10="",G2681&amp;""=Recherche!$C$10&amp;""),OR(Recherche!$C$11="",E2681=Recherche!$C$11),OR(Recherche!$C$12="",ISNUMBER(SEARCH(Recherche!$C$12,M2681&amp;" "&amp;F2681)))),1,0)</f>
        <v>8</v>
      </c>
    </row>
    <row r="2682" customFormat="false" ht="15" hidden="false" customHeight="false" outlineLevel="0" collapsed="false">
      <c r="A2682" s="19"/>
      <c r="B2682" s="19"/>
      <c r="C2682" s="19"/>
      <c r="D2682" s="19"/>
      <c r="E2682" s="22"/>
      <c r="F2682" s="19"/>
      <c r="G2682" s="26" t="str">
        <f aca="false">IF(D2682="","",IFERROR(VALUE(LEFT(D2682,FIND(" |",D2682&amp;" |")-1)),"?"))</f>
        <v/>
      </c>
      <c r="H2682" s="27" t="str">
        <f aca="false">IF(G2682="","",IF(G2682="?","⚠ pub inconnue",IFERROR(INDEX(Pubs!$B$2:$B$3001,MATCH(G2682,Pubs!$A$2:$A$3001,0))&amp;"","⚠ pub inconnue")))</f>
        <v/>
      </c>
      <c r="I2682" s="27" t="str">
        <f aca="false">IF(OR(G2682="",G2682="?"),"",IFERROR(INDEX(Pubs!$C$2:$C$3001,MATCH(G2682,Pubs!$A$2:$A$3001,0))&amp;"",""))</f>
        <v/>
      </c>
      <c r="J2682" s="27" t="str">
        <f aca="false">IF(OR(G2682="",G2682="?"),"",IFERROR(INDEX(Pubs!$G$2:$G$3001,MATCH(G2682,Pubs!$A$2:$A$3001,0))&amp;"",""))</f>
        <v/>
      </c>
      <c r="K2682" s="28" t="str">
        <f aca="false">IF(OR(G2682="",G2682="?"),"",IFERROR(INDEX(Pubs!$E$2:$E$3001,MATCH(G2682,Pubs!$A$2:$A$3001,0)),""))</f>
        <v/>
      </c>
      <c r="L2682" s="29" t="str">
        <f aca="false">IF(A2682="","",IFERROR(1/(1/INDEX(Numéros!$C$2:$C$3001,MATCH(A2682&amp;"|"&amp;B2682,Numéros!$F$2:$F$3001,0))),""))</f>
        <v/>
      </c>
      <c r="M2682" s="27" t="str">
        <f aca="false">IF(OR(G2682="",G2682="?"),"",IFERROR(INDEX(Pubs!$D$2:$D$3001,MATCH(G2682,Pubs!$A$2:$A$3001,0))&amp;"",""))</f>
        <v/>
      </c>
      <c r="N2682" s="27" t="n">
        <f aca="false">N(N2681)+IF(AND(A2682&lt;&gt;"",OR(Recherche!$C$4="",A2682=Recherche!$C$4),OR(Recherche!$C$5="",B2682&amp;""=Recherche!$C$5&amp;""),OR(Recherche!$C$6="",IFERROR(YEAR(L2682),0)=Recherche!$C$6),OR(Recherche!$C$7="",ISNUMBER(SEARCH(Recherche!$C$7,H2682))),OR(Recherche!$C$8="",J2682=Recherche!$C$8),OR(Recherche!$C$9="",I2682=Recherche!$C$9),OR(Recherche!$C$10="",G2682&amp;""=Recherche!$C$10&amp;""),OR(Recherche!$C$11="",E2682=Recherche!$C$11),OR(Recherche!$C$12="",ISNUMBER(SEARCH(Recherche!$C$12,M2682&amp;" "&amp;F2682)))),1,0)</f>
        <v>8</v>
      </c>
    </row>
    <row r="2683" customFormat="false" ht="15" hidden="false" customHeight="false" outlineLevel="0" collapsed="false">
      <c r="A2683" s="19"/>
      <c r="B2683" s="19"/>
      <c r="C2683" s="19"/>
      <c r="D2683" s="19"/>
      <c r="E2683" s="22"/>
      <c r="F2683" s="19"/>
      <c r="G2683" s="26" t="str">
        <f aca="false">IF(D2683="","",IFERROR(VALUE(LEFT(D2683,FIND(" |",D2683&amp;" |")-1)),"?"))</f>
        <v/>
      </c>
      <c r="H2683" s="27" t="str">
        <f aca="false">IF(G2683="","",IF(G2683="?","⚠ pub inconnue",IFERROR(INDEX(Pubs!$B$2:$B$3001,MATCH(G2683,Pubs!$A$2:$A$3001,0))&amp;"","⚠ pub inconnue")))</f>
        <v/>
      </c>
      <c r="I2683" s="27" t="str">
        <f aca="false">IF(OR(G2683="",G2683="?"),"",IFERROR(INDEX(Pubs!$C$2:$C$3001,MATCH(G2683,Pubs!$A$2:$A$3001,0))&amp;"",""))</f>
        <v/>
      </c>
      <c r="J2683" s="27" t="str">
        <f aca="false">IF(OR(G2683="",G2683="?"),"",IFERROR(INDEX(Pubs!$G$2:$G$3001,MATCH(G2683,Pubs!$A$2:$A$3001,0))&amp;"",""))</f>
        <v/>
      </c>
      <c r="K2683" s="28" t="str">
        <f aca="false">IF(OR(G2683="",G2683="?"),"",IFERROR(INDEX(Pubs!$E$2:$E$3001,MATCH(G2683,Pubs!$A$2:$A$3001,0)),""))</f>
        <v/>
      </c>
      <c r="L2683" s="29" t="str">
        <f aca="false">IF(A2683="","",IFERROR(1/(1/INDEX(Numéros!$C$2:$C$3001,MATCH(A2683&amp;"|"&amp;B2683,Numéros!$F$2:$F$3001,0))),""))</f>
        <v/>
      </c>
      <c r="M2683" s="27" t="str">
        <f aca="false">IF(OR(G2683="",G2683="?"),"",IFERROR(INDEX(Pubs!$D$2:$D$3001,MATCH(G2683,Pubs!$A$2:$A$3001,0))&amp;"",""))</f>
        <v/>
      </c>
      <c r="N2683" s="27" t="n">
        <f aca="false">N(N2682)+IF(AND(A2683&lt;&gt;"",OR(Recherche!$C$4="",A2683=Recherche!$C$4),OR(Recherche!$C$5="",B2683&amp;""=Recherche!$C$5&amp;""),OR(Recherche!$C$6="",IFERROR(YEAR(L2683),0)=Recherche!$C$6),OR(Recherche!$C$7="",ISNUMBER(SEARCH(Recherche!$C$7,H2683))),OR(Recherche!$C$8="",J2683=Recherche!$C$8),OR(Recherche!$C$9="",I2683=Recherche!$C$9),OR(Recherche!$C$10="",G2683&amp;""=Recherche!$C$10&amp;""),OR(Recherche!$C$11="",E2683=Recherche!$C$11),OR(Recherche!$C$12="",ISNUMBER(SEARCH(Recherche!$C$12,M2683&amp;" "&amp;F2683)))),1,0)</f>
        <v>8</v>
      </c>
    </row>
    <row r="2684" customFormat="false" ht="15" hidden="false" customHeight="false" outlineLevel="0" collapsed="false">
      <c r="A2684" s="19"/>
      <c r="B2684" s="19"/>
      <c r="C2684" s="19"/>
      <c r="D2684" s="19"/>
      <c r="E2684" s="22"/>
      <c r="F2684" s="19"/>
      <c r="G2684" s="26" t="str">
        <f aca="false">IF(D2684="","",IFERROR(VALUE(LEFT(D2684,FIND(" |",D2684&amp;" |")-1)),"?"))</f>
        <v/>
      </c>
      <c r="H2684" s="27" t="str">
        <f aca="false">IF(G2684="","",IF(G2684="?","⚠ pub inconnue",IFERROR(INDEX(Pubs!$B$2:$B$3001,MATCH(G2684,Pubs!$A$2:$A$3001,0))&amp;"","⚠ pub inconnue")))</f>
        <v/>
      </c>
      <c r="I2684" s="27" t="str">
        <f aca="false">IF(OR(G2684="",G2684="?"),"",IFERROR(INDEX(Pubs!$C$2:$C$3001,MATCH(G2684,Pubs!$A$2:$A$3001,0))&amp;"",""))</f>
        <v/>
      </c>
      <c r="J2684" s="27" t="str">
        <f aca="false">IF(OR(G2684="",G2684="?"),"",IFERROR(INDEX(Pubs!$G$2:$G$3001,MATCH(G2684,Pubs!$A$2:$A$3001,0))&amp;"",""))</f>
        <v/>
      </c>
      <c r="K2684" s="28" t="str">
        <f aca="false">IF(OR(G2684="",G2684="?"),"",IFERROR(INDEX(Pubs!$E$2:$E$3001,MATCH(G2684,Pubs!$A$2:$A$3001,0)),""))</f>
        <v/>
      </c>
      <c r="L2684" s="29" t="str">
        <f aca="false">IF(A2684="","",IFERROR(1/(1/INDEX(Numéros!$C$2:$C$3001,MATCH(A2684&amp;"|"&amp;B2684,Numéros!$F$2:$F$3001,0))),""))</f>
        <v/>
      </c>
      <c r="M2684" s="27" t="str">
        <f aca="false">IF(OR(G2684="",G2684="?"),"",IFERROR(INDEX(Pubs!$D$2:$D$3001,MATCH(G2684,Pubs!$A$2:$A$3001,0))&amp;"",""))</f>
        <v/>
      </c>
      <c r="N2684" s="27" t="n">
        <f aca="false">N(N2683)+IF(AND(A2684&lt;&gt;"",OR(Recherche!$C$4="",A2684=Recherche!$C$4),OR(Recherche!$C$5="",B2684&amp;""=Recherche!$C$5&amp;""),OR(Recherche!$C$6="",IFERROR(YEAR(L2684),0)=Recherche!$C$6),OR(Recherche!$C$7="",ISNUMBER(SEARCH(Recherche!$C$7,H2684))),OR(Recherche!$C$8="",J2684=Recherche!$C$8),OR(Recherche!$C$9="",I2684=Recherche!$C$9),OR(Recherche!$C$10="",G2684&amp;""=Recherche!$C$10&amp;""),OR(Recherche!$C$11="",E2684=Recherche!$C$11),OR(Recherche!$C$12="",ISNUMBER(SEARCH(Recherche!$C$12,M2684&amp;" "&amp;F2684)))),1,0)</f>
        <v>8</v>
      </c>
    </row>
    <row r="2685" customFormat="false" ht="15" hidden="false" customHeight="false" outlineLevel="0" collapsed="false">
      <c r="A2685" s="19"/>
      <c r="B2685" s="19"/>
      <c r="C2685" s="19"/>
      <c r="D2685" s="19"/>
      <c r="E2685" s="22"/>
      <c r="F2685" s="19"/>
      <c r="G2685" s="26" t="str">
        <f aca="false">IF(D2685="","",IFERROR(VALUE(LEFT(D2685,FIND(" |",D2685&amp;" |")-1)),"?"))</f>
        <v/>
      </c>
      <c r="H2685" s="27" t="str">
        <f aca="false">IF(G2685="","",IF(G2685="?","⚠ pub inconnue",IFERROR(INDEX(Pubs!$B$2:$B$3001,MATCH(G2685,Pubs!$A$2:$A$3001,0))&amp;"","⚠ pub inconnue")))</f>
        <v/>
      </c>
      <c r="I2685" s="27" t="str">
        <f aca="false">IF(OR(G2685="",G2685="?"),"",IFERROR(INDEX(Pubs!$C$2:$C$3001,MATCH(G2685,Pubs!$A$2:$A$3001,0))&amp;"",""))</f>
        <v/>
      </c>
      <c r="J2685" s="27" t="str">
        <f aca="false">IF(OR(G2685="",G2685="?"),"",IFERROR(INDEX(Pubs!$G$2:$G$3001,MATCH(G2685,Pubs!$A$2:$A$3001,0))&amp;"",""))</f>
        <v/>
      </c>
      <c r="K2685" s="28" t="str">
        <f aca="false">IF(OR(G2685="",G2685="?"),"",IFERROR(INDEX(Pubs!$E$2:$E$3001,MATCH(G2685,Pubs!$A$2:$A$3001,0)),""))</f>
        <v/>
      </c>
      <c r="L2685" s="29" t="str">
        <f aca="false">IF(A2685="","",IFERROR(1/(1/INDEX(Numéros!$C$2:$C$3001,MATCH(A2685&amp;"|"&amp;B2685,Numéros!$F$2:$F$3001,0))),""))</f>
        <v/>
      </c>
      <c r="M2685" s="27" t="str">
        <f aca="false">IF(OR(G2685="",G2685="?"),"",IFERROR(INDEX(Pubs!$D$2:$D$3001,MATCH(G2685,Pubs!$A$2:$A$3001,0))&amp;"",""))</f>
        <v/>
      </c>
      <c r="N2685" s="27" t="n">
        <f aca="false">N(N2684)+IF(AND(A2685&lt;&gt;"",OR(Recherche!$C$4="",A2685=Recherche!$C$4),OR(Recherche!$C$5="",B2685&amp;""=Recherche!$C$5&amp;""),OR(Recherche!$C$6="",IFERROR(YEAR(L2685),0)=Recherche!$C$6),OR(Recherche!$C$7="",ISNUMBER(SEARCH(Recherche!$C$7,H2685))),OR(Recherche!$C$8="",J2685=Recherche!$C$8),OR(Recherche!$C$9="",I2685=Recherche!$C$9),OR(Recherche!$C$10="",G2685&amp;""=Recherche!$C$10&amp;""),OR(Recherche!$C$11="",E2685=Recherche!$C$11),OR(Recherche!$C$12="",ISNUMBER(SEARCH(Recherche!$C$12,M2685&amp;" "&amp;F2685)))),1,0)</f>
        <v>8</v>
      </c>
    </row>
    <row r="2686" customFormat="false" ht="15" hidden="false" customHeight="false" outlineLevel="0" collapsed="false">
      <c r="A2686" s="19"/>
      <c r="B2686" s="19"/>
      <c r="C2686" s="19"/>
      <c r="D2686" s="19"/>
      <c r="E2686" s="22"/>
      <c r="F2686" s="19"/>
      <c r="G2686" s="26" t="str">
        <f aca="false">IF(D2686="","",IFERROR(VALUE(LEFT(D2686,FIND(" |",D2686&amp;" |")-1)),"?"))</f>
        <v/>
      </c>
      <c r="H2686" s="27" t="str">
        <f aca="false">IF(G2686="","",IF(G2686="?","⚠ pub inconnue",IFERROR(INDEX(Pubs!$B$2:$B$3001,MATCH(G2686,Pubs!$A$2:$A$3001,0))&amp;"","⚠ pub inconnue")))</f>
        <v/>
      </c>
      <c r="I2686" s="27" t="str">
        <f aca="false">IF(OR(G2686="",G2686="?"),"",IFERROR(INDEX(Pubs!$C$2:$C$3001,MATCH(G2686,Pubs!$A$2:$A$3001,0))&amp;"",""))</f>
        <v/>
      </c>
      <c r="J2686" s="27" t="str">
        <f aca="false">IF(OR(G2686="",G2686="?"),"",IFERROR(INDEX(Pubs!$G$2:$G$3001,MATCH(G2686,Pubs!$A$2:$A$3001,0))&amp;"",""))</f>
        <v/>
      </c>
      <c r="K2686" s="28" t="str">
        <f aca="false">IF(OR(G2686="",G2686="?"),"",IFERROR(INDEX(Pubs!$E$2:$E$3001,MATCH(G2686,Pubs!$A$2:$A$3001,0)),""))</f>
        <v/>
      </c>
      <c r="L2686" s="29" t="str">
        <f aca="false">IF(A2686="","",IFERROR(1/(1/INDEX(Numéros!$C$2:$C$3001,MATCH(A2686&amp;"|"&amp;B2686,Numéros!$F$2:$F$3001,0))),""))</f>
        <v/>
      </c>
      <c r="M2686" s="27" t="str">
        <f aca="false">IF(OR(G2686="",G2686="?"),"",IFERROR(INDEX(Pubs!$D$2:$D$3001,MATCH(G2686,Pubs!$A$2:$A$3001,0))&amp;"",""))</f>
        <v/>
      </c>
      <c r="N2686" s="27" t="n">
        <f aca="false">N(N2685)+IF(AND(A2686&lt;&gt;"",OR(Recherche!$C$4="",A2686=Recherche!$C$4),OR(Recherche!$C$5="",B2686&amp;""=Recherche!$C$5&amp;""),OR(Recherche!$C$6="",IFERROR(YEAR(L2686),0)=Recherche!$C$6),OR(Recherche!$C$7="",ISNUMBER(SEARCH(Recherche!$C$7,H2686))),OR(Recherche!$C$8="",J2686=Recherche!$C$8),OR(Recherche!$C$9="",I2686=Recherche!$C$9),OR(Recherche!$C$10="",G2686&amp;""=Recherche!$C$10&amp;""),OR(Recherche!$C$11="",E2686=Recherche!$C$11),OR(Recherche!$C$12="",ISNUMBER(SEARCH(Recherche!$C$12,M2686&amp;" "&amp;F2686)))),1,0)</f>
        <v>8</v>
      </c>
    </row>
    <row r="2687" customFormat="false" ht="15" hidden="false" customHeight="false" outlineLevel="0" collapsed="false">
      <c r="A2687" s="19"/>
      <c r="B2687" s="19"/>
      <c r="C2687" s="19"/>
      <c r="D2687" s="19"/>
      <c r="E2687" s="22"/>
      <c r="F2687" s="19"/>
      <c r="G2687" s="26" t="str">
        <f aca="false">IF(D2687="","",IFERROR(VALUE(LEFT(D2687,FIND(" |",D2687&amp;" |")-1)),"?"))</f>
        <v/>
      </c>
      <c r="H2687" s="27" t="str">
        <f aca="false">IF(G2687="","",IF(G2687="?","⚠ pub inconnue",IFERROR(INDEX(Pubs!$B$2:$B$3001,MATCH(G2687,Pubs!$A$2:$A$3001,0))&amp;"","⚠ pub inconnue")))</f>
        <v/>
      </c>
      <c r="I2687" s="27" t="str">
        <f aca="false">IF(OR(G2687="",G2687="?"),"",IFERROR(INDEX(Pubs!$C$2:$C$3001,MATCH(G2687,Pubs!$A$2:$A$3001,0))&amp;"",""))</f>
        <v/>
      </c>
      <c r="J2687" s="27" t="str">
        <f aca="false">IF(OR(G2687="",G2687="?"),"",IFERROR(INDEX(Pubs!$G$2:$G$3001,MATCH(G2687,Pubs!$A$2:$A$3001,0))&amp;"",""))</f>
        <v/>
      </c>
      <c r="K2687" s="28" t="str">
        <f aca="false">IF(OR(G2687="",G2687="?"),"",IFERROR(INDEX(Pubs!$E$2:$E$3001,MATCH(G2687,Pubs!$A$2:$A$3001,0)),""))</f>
        <v/>
      </c>
      <c r="L2687" s="29" t="str">
        <f aca="false">IF(A2687="","",IFERROR(1/(1/INDEX(Numéros!$C$2:$C$3001,MATCH(A2687&amp;"|"&amp;B2687,Numéros!$F$2:$F$3001,0))),""))</f>
        <v/>
      </c>
      <c r="M2687" s="27" t="str">
        <f aca="false">IF(OR(G2687="",G2687="?"),"",IFERROR(INDEX(Pubs!$D$2:$D$3001,MATCH(G2687,Pubs!$A$2:$A$3001,0))&amp;"",""))</f>
        <v/>
      </c>
      <c r="N2687" s="27" t="n">
        <f aca="false">N(N2686)+IF(AND(A2687&lt;&gt;"",OR(Recherche!$C$4="",A2687=Recherche!$C$4),OR(Recherche!$C$5="",B2687&amp;""=Recherche!$C$5&amp;""),OR(Recherche!$C$6="",IFERROR(YEAR(L2687),0)=Recherche!$C$6),OR(Recherche!$C$7="",ISNUMBER(SEARCH(Recherche!$C$7,H2687))),OR(Recherche!$C$8="",J2687=Recherche!$C$8),OR(Recherche!$C$9="",I2687=Recherche!$C$9),OR(Recherche!$C$10="",G2687&amp;""=Recherche!$C$10&amp;""),OR(Recherche!$C$11="",E2687=Recherche!$C$11),OR(Recherche!$C$12="",ISNUMBER(SEARCH(Recherche!$C$12,M2687&amp;" "&amp;F2687)))),1,0)</f>
        <v>8</v>
      </c>
    </row>
    <row r="2688" customFormat="false" ht="15" hidden="false" customHeight="false" outlineLevel="0" collapsed="false">
      <c r="A2688" s="19"/>
      <c r="B2688" s="19"/>
      <c r="C2688" s="19"/>
      <c r="D2688" s="19"/>
      <c r="E2688" s="22"/>
      <c r="F2688" s="19"/>
      <c r="G2688" s="26" t="str">
        <f aca="false">IF(D2688="","",IFERROR(VALUE(LEFT(D2688,FIND(" |",D2688&amp;" |")-1)),"?"))</f>
        <v/>
      </c>
      <c r="H2688" s="27" t="str">
        <f aca="false">IF(G2688="","",IF(G2688="?","⚠ pub inconnue",IFERROR(INDEX(Pubs!$B$2:$B$3001,MATCH(G2688,Pubs!$A$2:$A$3001,0))&amp;"","⚠ pub inconnue")))</f>
        <v/>
      </c>
      <c r="I2688" s="27" t="str">
        <f aca="false">IF(OR(G2688="",G2688="?"),"",IFERROR(INDEX(Pubs!$C$2:$C$3001,MATCH(G2688,Pubs!$A$2:$A$3001,0))&amp;"",""))</f>
        <v/>
      </c>
      <c r="J2688" s="27" t="str">
        <f aca="false">IF(OR(G2688="",G2688="?"),"",IFERROR(INDEX(Pubs!$G$2:$G$3001,MATCH(G2688,Pubs!$A$2:$A$3001,0))&amp;"",""))</f>
        <v/>
      </c>
      <c r="K2688" s="28" t="str">
        <f aca="false">IF(OR(G2688="",G2688="?"),"",IFERROR(INDEX(Pubs!$E$2:$E$3001,MATCH(G2688,Pubs!$A$2:$A$3001,0)),""))</f>
        <v/>
      </c>
      <c r="L2688" s="29" t="str">
        <f aca="false">IF(A2688="","",IFERROR(1/(1/INDEX(Numéros!$C$2:$C$3001,MATCH(A2688&amp;"|"&amp;B2688,Numéros!$F$2:$F$3001,0))),""))</f>
        <v/>
      </c>
      <c r="M2688" s="27" t="str">
        <f aca="false">IF(OR(G2688="",G2688="?"),"",IFERROR(INDEX(Pubs!$D$2:$D$3001,MATCH(G2688,Pubs!$A$2:$A$3001,0))&amp;"",""))</f>
        <v/>
      </c>
      <c r="N2688" s="27" t="n">
        <f aca="false">N(N2687)+IF(AND(A2688&lt;&gt;"",OR(Recherche!$C$4="",A2688=Recherche!$C$4),OR(Recherche!$C$5="",B2688&amp;""=Recherche!$C$5&amp;""),OR(Recherche!$C$6="",IFERROR(YEAR(L2688),0)=Recherche!$C$6),OR(Recherche!$C$7="",ISNUMBER(SEARCH(Recherche!$C$7,H2688))),OR(Recherche!$C$8="",J2688=Recherche!$C$8),OR(Recherche!$C$9="",I2688=Recherche!$C$9),OR(Recherche!$C$10="",G2688&amp;""=Recherche!$C$10&amp;""),OR(Recherche!$C$11="",E2688=Recherche!$C$11),OR(Recherche!$C$12="",ISNUMBER(SEARCH(Recherche!$C$12,M2688&amp;" "&amp;F2688)))),1,0)</f>
        <v>8</v>
      </c>
    </row>
    <row r="2689" customFormat="false" ht="15" hidden="false" customHeight="false" outlineLevel="0" collapsed="false">
      <c r="A2689" s="19"/>
      <c r="B2689" s="19"/>
      <c r="C2689" s="19"/>
      <c r="D2689" s="19"/>
      <c r="E2689" s="22"/>
      <c r="F2689" s="19"/>
      <c r="G2689" s="26" t="str">
        <f aca="false">IF(D2689="","",IFERROR(VALUE(LEFT(D2689,FIND(" |",D2689&amp;" |")-1)),"?"))</f>
        <v/>
      </c>
      <c r="H2689" s="27" t="str">
        <f aca="false">IF(G2689="","",IF(G2689="?","⚠ pub inconnue",IFERROR(INDEX(Pubs!$B$2:$B$3001,MATCH(G2689,Pubs!$A$2:$A$3001,0))&amp;"","⚠ pub inconnue")))</f>
        <v/>
      </c>
      <c r="I2689" s="27" t="str">
        <f aca="false">IF(OR(G2689="",G2689="?"),"",IFERROR(INDEX(Pubs!$C$2:$C$3001,MATCH(G2689,Pubs!$A$2:$A$3001,0))&amp;"",""))</f>
        <v/>
      </c>
      <c r="J2689" s="27" t="str">
        <f aca="false">IF(OR(G2689="",G2689="?"),"",IFERROR(INDEX(Pubs!$G$2:$G$3001,MATCH(G2689,Pubs!$A$2:$A$3001,0))&amp;"",""))</f>
        <v/>
      </c>
      <c r="K2689" s="28" t="str">
        <f aca="false">IF(OR(G2689="",G2689="?"),"",IFERROR(INDEX(Pubs!$E$2:$E$3001,MATCH(G2689,Pubs!$A$2:$A$3001,0)),""))</f>
        <v/>
      </c>
      <c r="L2689" s="29" t="str">
        <f aca="false">IF(A2689="","",IFERROR(1/(1/INDEX(Numéros!$C$2:$C$3001,MATCH(A2689&amp;"|"&amp;B2689,Numéros!$F$2:$F$3001,0))),""))</f>
        <v/>
      </c>
      <c r="M2689" s="27" t="str">
        <f aca="false">IF(OR(G2689="",G2689="?"),"",IFERROR(INDEX(Pubs!$D$2:$D$3001,MATCH(G2689,Pubs!$A$2:$A$3001,0))&amp;"",""))</f>
        <v/>
      </c>
      <c r="N2689" s="27" t="n">
        <f aca="false">N(N2688)+IF(AND(A2689&lt;&gt;"",OR(Recherche!$C$4="",A2689=Recherche!$C$4),OR(Recherche!$C$5="",B2689&amp;""=Recherche!$C$5&amp;""),OR(Recherche!$C$6="",IFERROR(YEAR(L2689),0)=Recherche!$C$6),OR(Recherche!$C$7="",ISNUMBER(SEARCH(Recherche!$C$7,H2689))),OR(Recherche!$C$8="",J2689=Recherche!$C$8),OR(Recherche!$C$9="",I2689=Recherche!$C$9),OR(Recherche!$C$10="",G2689&amp;""=Recherche!$C$10&amp;""),OR(Recherche!$C$11="",E2689=Recherche!$C$11),OR(Recherche!$C$12="",ISNUMBER(SEARCH(Recherche!$C$12,M2689&amp;" "&amp;F2689)))),1,0)</f>
        <v>8</v>
      </c>
    </row>
    <row r="2690" customFormat="false" ht="15" hidden="false" customHeight="false" outlineLevel="0" collapsed="false">
      <c r="A2690" s="19"/>
      <c r="B2690" s="19"/>
      <c r="C2690" s="19"/>
      <c r="D2690" s="19"/>
      <c r="E2690" s="22"/>
      <c r="F2690" s="19"/>
      <c r="G2690" s="26" t="str">
        <f aca="false">IF(D2690="","",IFERROR(VALUE(LEFT(D2690,FIND(" |",D2690&amp;" |")-1)),"?"))</f>
        <v/>
      </c>
      <c r="H2690" s="27" t="str">
        <f aca="false">IF(G2690="","",IF(G2690="?","⚠ pub inconnue",IFERROR(INDEX(Pubs!$B$2:$B$3001,MATCH(G2690,Pubs!$A$2:$A$3001,0))&amp;"","⚠ pub inconnue")))</f>
        <v/>
      </c>
      <c r="I2690" s="27" t="str">
        <f aca="false">IF(OR(G2690="",G2690="?"),"",IFERROR(INDEX(Pubs!$C$2:$C$3001,MATCH(G2690,Pubs!$A$2:$A$3001,0))&amp;"",""))</f>
        <v/>
      </c>
      <c r="J2690" s="27" t="str">
        <f aca="false">IF(OR(G2690="",G2690="?"),"",IFERROR(INDEX(Pubs!$G$2:$G$3001,MATCH(G2690,Pubs!$A$2:$A$3001,0))&amp;"",""))</f>
        <v/>
      </c>
      <c r="K2690" s="28" t="str">
        <f aca="false">IF(OR(G2690="",G2690="?"),"",IFERROR(INDEX(Pubs!$E$2:$E$3001,MATCH(G2690,Pubs!$A$2:$A$3001,0)),""))</f>
        <v/>
      </c>
      <c r="L2690" s="29" t="str">
        <f aca="false">IF(A2690="","",IFERROR(1/(1/INDEX(Numéros!$C$2:$C$3001,MATCH(A2690&amp;"|"&amp;B2690,Numéros!$F$2:$F$3001,0))),""))</f>
        <v/>
      </c>
      <c r="M2690" s="27" t="str">
        <f aca="false">IF(OR(G2690="",G2690="?"),"",IFERROR(INDEX(Pubs!$D$2:$D$3001,MATCH(G2690,Pubs!$A$2:$A$3001,0))&amp;"",""))</f>
        <v/>
      </c>
      <c r="N2690" s="27" t="n">
        <f aca="false">N(N2689)+IF(AND(A2690&lt;&gt;"",OR(Recherche!$C$4="",A2690=Recherche!$C$4),OR(Recherche!$C$5="",B2690&amp;""=Recherche!$C$5&amp;""),OR(Recherche!$C$6="",IFERROR(YEAR(L2690),0)=Recherche!$C$6),OR(Recherche!$C$7="",ISNUMBER(SEARCH(Recherche!$C$7,H2690))),OR(Recherche!$C$8="",J2690=Recherche!$C$8),OR(Recherche!$C$9="",I2690=Recherche!$C$9),OR(Recherche!$C$10="",G2690&amp;""=Recherche!$C$10&amp;""),OR(Recherche!$C$11="",E2690=Recherche!$C$11),OR(Recherche!$C$12="",ISNUMBER(SEARCH(Recherche!$C$12,M2690&amp;" "&amp;F2690)))),1,0)</f>
        <v>8</v>
      </c>
    </row>
    <row r="2691" customFormat="false" ht="15" hidden="false" customHeight="false" outlineLevel="0" collapsed="false">
      <c r="A2691" s="19"/>
      <c r="B2691" s="19"/>
      <c r="C2691" s="19"/>
      <c r="D2691" s="19"/>
      <c r="E2691" s="22"/>
      <c r="F2691" s="19"/>
      <c r="G2691" s="26" t="str">
        <f aca="false">IF(D2691="","",IFERROR(VALUE(LEFT(D2691,FIND(" |",D2691&amp;" |")-1)),"?"))</f>
        <v/>
      </c>
      <c r="H2691" s="27" t="str">
        <f aca="false">IF(G2691="","",IF(G2691="?","⚠ pub inconnue",IFERROR(INDEX(Pubs!$B$2:$B$3001,MATCH(G2691,Pubs!$A$2:$A$3001,0))&amp;"","⚠ pub inconnue")))</f>
        <v/>
      </c>
      <c r="I2691" s="27" t="str">
        <f aca="false">IF(OR(G2691="",G2691="?"),"",IFERROR(INDEX(Pubs!$C$2:$C$3001,MATCH(G2691,Pubs!$A$2:$A$3001,0))&amp;"",""))</f>
        <v/>
      </c>
      <c r="J2691" s="27" t="str">
        <f aca="false">IF(OR(G2691="",G2691="?"),"",IFERROR(INDEX(Pubs!$G$2:$G$3001,MATCH(G2691,Pubs!$A$2:$A$3001,0))&amp;"",""))</f>
        <v/>
      </c>
      <c r="K2691" s="28" t="str">
        <f aca="false">IF(OR(G2691="",G2691="?"),"",IFERROR(INDEX(Pubs!$E$2:$E$3001,MATCH(G2691,Pubs!$A$2:$A$3001,0)),""))</f>
        <v/>
      </c>
      <c r="L2691" s="29" t="str">
        <f aca="false">IF(A2691="","",IFERROR(1/(1/INDEX(Numéros!$C$2:$C$3001,MATCH(A2691&amp;"|"&amp;B2691,Numéros!$F$2:$F$3001,0))),""))</f>
        <v/>
      </c>
      <c r="M2691" s="27" t="str">
        <f aca="false">IF(OR(G2691="",G2691="?"),"",IFERROR(INDEX(Pubs!$D$2:$D$3001,MATCH(G2691,Pubs!$A$2:$A$3001,0))&amp;"",""))</f>
        <v/>
      </c>
      <c r="N2691" s="27" t="n">
        <f aca="false">N(N2690)+IF(AND(A2691&lt;&gt;"",OR(Recherche!$C$4="",A2691=Recherche!$C$4),OR(Recherche!$C$5="",B2691&amp;""=Recherche!$C$5&amp;""),OR(Recherche!$C$6="",IFERROR(YEAR(L2691),0)=Recherche!$C$6),OR(Recherche!$C$7="",ISNUMBER(SEARCH(Recherche!$C$7,H2691))),OR(Recherche!$C$8="",J2691=Recherche!$C$8),OR(Recherche!$C$9="",I2691=Recherche!$C$9),OR(Recherche!$C$10="",G2691&amp;""=Recherche!$C$10&amp;""),OR(Recherche!$C$11="",E2691=Recherche!$C$11),OR(Recherche!$C$12="",ISNUMBER(SEARCH(Recherche!$C$12,M2691&amp;" "&amp;F2691)))),1,0)</f>
        <v>8</v>
      </c>
    </row>
    <row r="2692" customFormat="false" ht="15" hidden="false" customHeight="false" outlineLevel="0" collapsed="false">
      <c r="A2692" s="19"/>
      <c r="B2692" s="19"/>
      <c r="C2692" s="19"/>
      <c r="D2692" s="19"/>
      <c r="E2692" s="22"/>
      <c r="F2692" s="19"/>
      <c r="G2692" s="26" t="str">
        <f aca="false">IF(D2692="","",IFERROR(VALUE(LEFT(D2692,FIND(" |",D2692&amp;" |")-1)),"?"))</f>
        <v/>
      </c>
      <c r="H2692" s="27" t="str">
        <f aca="false">IF(G2692="","",IF(G2692="?","⚠ pub inconnue",IFERROR(INDEX(Pubs!$B$2:$B$3001,MATCH(G2692,Pubs!$A$2:$A$3001,0))&amp;"","⚠ pub inconnue")))</f>
        <v/>
      </c>
      <c r="I2692" s="27" t="str">
        <f aca="false">IF(OR(G2692="",G2692="?"),"",IFERROR(INDEX(Pubs!$C$2:$C$3001,MATCH(G2692,Pubs!$A$2:$A$3001,0))&amp;"",""))</f>
        <v/>
      </c>
      <c r="J2692" s="27" t="str">
        <f aca="false">IF(OR(G2692="",G2692="?"),"",IFERROR(INDEX(Pubs!$G$2:$G$3001,MATCH(G2692,Pubs!$A$2:$A$3001,0))&amp;"",""))</f>
        <v/>
      </c>
      <c r="K2692" s="28" t="str">
        <f aca="false">IF(OR(G2692="",G2692="?"),"",IFERROR(INDEX(Pubs!$E$2:$E$3001,MATCH(G2692,Pubs!$A$2:$A$3001,0)),""))</f>
        <v/>
      </c>
      <c r="L2692" s="29" t="str">
        <f aca="false">IF(A2692="","",IFERROR(1/(1/INDEX(Numéros!$C$2:$C$3001,MATCH(A2692&amp;"|"&amp;B2692,Numéros!$F$2:$F$3001,0))),""))</f>
        <v/>
      </c>
      <c r="M2692" s="27" t="str">
        <f aca="false">IF(OR(G2692="",G2692="?"),"",IFERROR(INDEX(Pubs!$D$2:$D$3001,MATCH(G2692,Pubs!$A$2:$A$3001,0))&amp;"",""))</f>
        <v/>
      </c>
      <c r="N2692" s="27" t="n">
        <f aca="false">N(N2691)+IF(AND(A2692&lt;&gt;"",OR(Recherche!$C$4="",A2692=Recherche!$C$4),OR(Recherche!$C$5="",B2692&amp;""=Recherche!$C$5&amp;""),OR(Recherche!$C$6="",IFERROR(YEAR(L2692),0)=Recherche!$C$6),OR(Recherche!$C$7="",ISNUMBER(SEARCH(Recherche!$C$7,H2692))),OR(Recherche!$C$8="",J2692=Recherche!$C$8),OR(Recherche!$C$9="",I2692=Recherche!$C$9),OR(Recherche!$C$10="",G2692&amp;""=Recherche!$C$10&amp;""),OR(Recherche!$C$11="",E2692=Recherche!$C$11),OR(Recherche!$C$12="",ISNUMBER(SEARCH(Recherche!$C$12,M2692&amp;" "&amp;F2692)))),1,0)</f>
        <v>8</v>
      </c>
    </row>
    <row r="2693" customFormat="false" ht="15" hidden="false" customHeight="false" outlineLevel="0" collapsed="false">
      <c r="A2693" s="19"/>
      <c r="B2693" s="19"/>
      <c r="C2693" s="19"/>
      <c r="D2693" s="19"/>
      <c r="E2693" s="22"/>
      <c r="F2693" s="19"/>
      <c r="G2693" s="26" t="str">
        <f aca="false">IF(D2693="","",IFERROR(VALUE(LEFT(D2693,FIND(" |",D2693&amp;" |")-1)),"?"))</f>
        <v/>
      </c>
      <c r="H2693" s="27" t="str">
        <f aca="false">IF(G2693="","",IF(G2693="?","⚠ pub inconnue",IFERROR(INDEX(Pubs!$B$2:$B$3001,MATCH(G2693,Pubs!$A$2:$A$3001,0))&amp;"","⚠ pub inconnue")))</f>
        <v/>
      </c>
      <c r="I2693" s="27" t="str">
        <f aca="false">IF(OR(G2693="",G2693="?"),"",IFERROR(INDEX(Pubs!$C$2:$C$3001,MATCH(G2693,Pubs!$A$2:$A$3001,0))&amp;"",""))</f>
        <v/>
      </c>
      <c r="J2693" s="27" t="str">
        <f aca="false">IF(OR(G2693="",G2693="?"),"",IFERROR(INDEX(Pubs!$G$2:$G$3001,MATCH(G2693,Pubs!$A$2:$A$3001,0))&amp;"",""))</f>
        <v/>
      </c>
      <c r="K2693" s="28" t="str">
        <f aca="false">IF(OR(G2693="",G2693="?"),"",IFERROR(INDEX(Pubs!$E$2:$E$3001,MATCH(G2693,Pubs!$A$2:$A$3001,0)),""))</f>
        <v/>
      </c>
      <c r="L2693" s="29" t="str">
        <f aca="false">IF(A2693="","",IFERROR(1/(1/INDEX(Numéros!$C$2:$C$3001,MATCH(A2693&amp;"|"&amp;B2693,Numéros!$F$2:$F$3001,0))),""))</f>
        <v/>
      </c>
      <c r="M2693" s="27" t="str">
        <f aca="false">IF(OR(G2693="",G2693="?"),"",IFERROR(INDEX(Pubs!$D$2:$D$3001,MATCH(G2693,Pubs!$A$2:$A$3001,0))&amp;"",""))</f>
        <v/>
      </c>
      <c r="N2693" s="27" t="n">
        <f aca="false">N(N2692)+IF(AND(A2693&lt;&gt;"",OR(Recherche!$C$4="",A2693=Recherche!$C$4),OR(Recherche!$C$5="",B2693&amp;""=Recherche!$C$5&amp;""),OR(Recherche!$C$6="",IFERROR(YEAR(L2693),0)=Recherche!$C$6),OR(Recherche!$C$7="",ISNUMBER(SEARCH(Recherche!$C$7,H2693))),OR(Recherche!$C$8="",J2693=Recherche!$C$8),OR(Recherche!$C$9="",I2693=Recherche!$C$9),OR(Recherche!$C$10="",G2693&amp;""=Recherche!$C$10&amp;""),OR(Recherche!$C$11="",E2693=Recherche!$C$11),OR(Recherche!$C$12="",ISNUMBER(SEARCH(Recherche!$C$12,M2693&amp;" "&amp;F2693)))),1,0)</f>
        <v>8</v>
      </c>
    </row>
    <row r="2694" customFormat="false" ht="15" hidden="false" customHeight="false" outlineLevel="0" collapsed="false">
      <c r="A2694" s="19"/>
      <c r="B2694" s="19"/>
      <c r="C2694" s="19"/>
      <c r="D2694" s="19"/>
      <c r="E2694" s="22"/>
      <c r="F2694" s="19"/>
      <c r="G2694" s="26" t="str">
        <f aca="false">IF(D2694="","",IFERROR(VALUE(LEFT(D2694,FIND(" |",D2694&amp;" |")-1)),"?"))</f>
        <v/>
      </c>
      <c r="H2694" s="27" t="str">
        <f aca="false">IF(G2694="","",IF(G2694="?","⚠ pub inconnue",IFERROR(INDEX(Pubs!$B$2:$B$3001,MATCH(G2694,Pubs!$A$2:$A$3001,0))&amp;"","⚠ pub inconnue")))</f>
        <v/>
      </c>
      <c r="I2694" s="27" t="str">
        <f aca="false">IF(OR(G2694="",G2694="?"),"",IFERROR(INDEX(Pubs!$C$2:$C$3001,MATCH(G2694,Pubs!$A$2:$A$3001,0))&amp;"",""))</f>
        <v/>
      </c>
      <c r="J2694" s="27" t="str">
        <f aca="false">IF(OR(G2694="",G2694="?"),"",IFERROR(INDEX(Pubs!$G$2:$G$3001,MATCH(G2694,Pubs!$A$2:$A$3001,0))&amp;"",""))</f>
        <v/>
      </c>
      <c r="K2694" s="28" t="str">
        <f aca="false">IF(OR(G2694="",G2694="?"),"",IFERROR(INDEX(Pubs!$E$2:$E$3001,MATCH(G2694,Pubs!$A$2:$A$3001,0)),""))</f>
        <v/>
      </c>
      <c r="L2694" s="29" t="str">
        <f aca="false">IF(A2694="","",IFERROR(1/(1/INDEX(Numéros!$C$2:$C$3001,MATCH(A2694&amp;"|"&amp;B2694,Numéros!$F$2:$F$3001,0))),""))</f>
        <v/>
      </c>
      <c r="M2694" s="27" t="str">
        <f aca="false">IF(OR(G2694="",G2694="?"),"",IFERROR(INDEX(Pubs!$D$2:$D$3001,MATCH(G2694,Pubs!$A$2:$A$3001,0))&amp;"",""))</f>
        <v/>
      </c>
      <c r="N2694" s="27" t="n">
        <f aca="false">N(N2693)+IF(AND(A2694&lt;&gt;"",OR(Recherche!$C$4="",A2694=Recherche!$C$4),OR(Recherche!$C$5="",B2694&amp;""=Recherche!$C$5&amp;""),OR(Recherche!$C$6="",IFERROR(YEAR(L2694),0)=Recherche!$C$6),OR(Recherche!$C$7="",ISNUMBER(SEARCH(Recherche!$C$7,H2694))),OR(Recherche!$C$8="",J2694=Recherche!$C$8),OR(Recherche!$C$9="",I2694=Recherche!$C$9),OR(Recherche!$C$10="",G2694&amp;""=Recherche!$C$10&amp;""),OR(Recherche!$C$11="",E2694=Recherche!$C$11),OR(Recherche!$C$12="",ISNUMBER(SEARCH(Recherche!$C$12,M2694&amp;" "&amp;F2694)))),1,0)</f>
        <v>8</v>
      </c>
    </row>
    <row r="2695" customFormat="false" ht="15" hidden="false" customHeight="false" outlineLevel="0" collapsed="false">
      <c r="A2695" s="19"/>
      <c r="B2695" s="19"/>
      <c r="C2695" s="19"/>
      <c r="D2695" s="19"/>
      <c r="E2695" s="22"/>
      <c r="F2695" s="19"/>
      <c r="G2695" s="26" t="str">
        <f aca="false">IF(D2695="","",IFERROR(VALUE(LEFT(D2695,FIND(" |",D2695&amp;" |")-1)),"?"))</f>
        <v/>
      </c>
      <c r="H2695" s="27" t="str">
        <f aca="false">IF(G2695="","",IF(G2695="?","⚠ pub inconnue",IFERROR(INDEX(Pubs!$B$2:$B$3001,MATCH(G2695,Pubs!$A$2:$A$3001,0))&amp;"","⚠ pub inconnue")))</f>
        <v/>
      </c>
      <c r="I2695" s="27" t="str">
        <f aca="false">IF(OR(G2695="",G2695="?"),"",IFERROR(INDEX(Pubs!$C$2:$C$3001,MATCH(G2695,Pubs!$A$2:$A$3001,0))&amp;"",""))</f>
        <v/>
      </c>
      <c r="J2695" s="27" t="str">
        <f aca="false">IF(OR(G2695="",G2695="?"),"",IFERROR(INDEX(Pubs!$G$2:$G$3001,MATCH(G2695,Pubs!$A$2:$A$3001,0))&amp;"",""))</f>
        <v/>
      </c>
      <c r="K2695" s="28" t="str">
        <f aca="false">IF(OR(G2695="",G2695="?"),"",IFERROR(INDEX(Pubs!$E$2:$E$3001,MATCH(G2695,Pubs!$A$2:$A$3001,0)),""))</f>
        <v/>
      </c>
      <c r="L2695" s="29" t="str">
        <f aca="false">IF(A2695="","",IFERROR(1/(1/INDEX(Numéros!$C$2:$C$3001,MATCH(A2695&amp;"|"&amp;B2695,Numéros!$F$2:$F$3001,0))),""))</f>
        <v/>
      </c>
      <c r="M2695" s="27" t="str">
        <f aca="false">IF(OR(G2695="",G2695="?"),"",IFERROR(INDEX(Pubs!$D$2:$D$3001,MATCH(G2695,Pubs!$A$2:$A$3001,0))&amp;"",""))</f>
        <v/>
      </c>
      <c r="N2695" s="27" t="n">
        <f aca="false">N(N2694)+IF(AND(A2695&lt;&gt;"",OR(Recherche!$C$4="",A2695=Recherche!$C$4),OR(Recherche!$C$5="",B2695&amp;""=Recherche!$C$5&amp;""),OR(Recherche!$C$6="",IFERROR(YEAR(L2695),0)=Recherche!$C$6),OR(Recherche!$C$7="",ISNUMBER(SEARCH(Recherche!$C$7,H2695))),OR(Recherche!$C$8="",J2695=Recherche!$C$8),OR(Recherche!$C$9="",I2695=Recherche!$C$9),OR(Recherche!$C$10="",G2695&amp;""=Recherche!$C$10&amp;""),OR(Recherche!$C$11="",E2695=Recherche!$C$11),OR(Recherche!$C$12="",ISNUMBER(SEARCH(Recherche!$C$12,M2695&amp;" "&amp;F2695)))),1,0)</f>
        <v>8</v>
      </c>
    </row>
    <row r="2696" customFormat="false" ht="15" hidden="false" customHeight="false" outlineLevel="0" collapsed="false">
      <c r="A2696" s="19"/>
      <c r="B2696" s="19"/>
      <c r="C2696" s="19"/>
      <c r="D2696" s="19"/>
      <c r="E2696" s="22"/>
      <c r="F2696" s="19"/>
      <c r="G2696" s="26" t="str">
        <f aca="false">IF(D2696="","",IFERROR(VALUE(LEFT(D2696,FIND(" |",D2696&amp;" |")-1)),"?"))</f>
        <v/>
      </c>
      <c r="H2696" s="27" t="str">
        <f aca="false">IF(G2696="","",IF(G2696="?","⚠ pub inconnue",IFERROR(INDEX(Pubs!$B$2:$B$3001,MATCH(G2696,Pubs!$A$2:$A$3001,0))&amp;"","⚠ pub inconnue")))</f>
        <v/>
      </c>
      <c r="I2696" s="27" t="str">
        <f aca="false">IF(OR(G2696="",G2696="?"),"",IFERROR(INDEX(Pubs!$C$2:$C$3001,MATCH(G2696,Pubs!$A$2:$A$3001,0))&amp;"",""))</f>
        <v/>
      </c>
      <c r="J2696" s="27" t="str">
        <f aca="false">IF(OR(G2696="",G2696="?"),"",IFERROR(INDEX(Pubs!$G$2:$G$3001,MATCH(G2696,Pubs!$A$2:$A$3001,0))&amp;"",""))</f>
        <v/>
      </c>
      <c r="K2696" s="28" t="str">
        <f aca="false">IF(OR(G2696="",G2696="?"),"",IFERROR(INDEX(Pubs!$E$2:$E$3001,MATCH(G2696,Pubs!$A$2:$A$3001,0)),""))</f>
        <v/>
      </c>
      <c r="L2696" s="29" t="str">
        <f aca="false">IF(A2696="","",IFERROR(1/(1/INDEX(Numéros!$C$2:$C$3001,MATCH(A2696&amp;"|"&amp;B2696,Numéros!$F$2:$F$3001,0))),""))</f>
        <v/>
      </c>
      <c r="M2696" s="27" t="str">
        <f aca="false">IF(OR(G2696="",G2696="?"),"",IFERROR(INDEX(Pubs!$D$2:$D$3001,MATCH(G2696,Pubs!$A$2:$A$3001,0))&amp;"",""))</f>
        <v/>
      </c>
      <c r="N2696" s="27" t="n">
        <f aca="false">N(N2695)+IF(AND(A2696&lt;&gt;"",OR(Recherche!$C$4="",A2696=Recherche!$C$4),OR(Recherche!$C$5="",B2696&amp;""=Recherche!$C$5&amp;""),OR(Recherche!$C$6="",IFERROR(YEAR(L2696),0)=Recherche!$C$6),OR(Recherche!$C$7="",ISNUMBER(SEARCH(Recherche!$C$7,H2696))),OR(Recherche!$C$8="",J2696=Recherche!$C$8),OR(Recherche!$C$9="",I2696=Recherche!$C$9),OR(Recherche!$C$10="",G2696&amp;""=Recherche!$C$10&amp;""),OR(Recherche!$C$11="",E2696=Recherche!$C$11),OR(Recherche!$C$12="",ISNUMBER(SEARCH(Recherche!$C$12,M2696&amp;" "&amp;F2696)))),1,0)</f>
        <v>8</v>
      </c>
    </row>
    <row r="2697" customFormat="false" ht="15" hidden="false" customHeight="false" outlineLevel="0" collapsed="false">
      <c r="A2697" s="19"/>
      <c r="B2697" s="19"/>
      <c r="C2697" s="19"/>
      <c r="D2697" s="19"/>
      <c r="E2697" s="22"/>
      <c r="F2697" s="19"/>
      <c r="G2697" s="26" t="str">
        <f aca="false">IF(D2697="","",IFERROR(VALUE(LEFT(D2697,FIND(" |",D2697&amp;" |")-1)),"?"))</f>
        <v/>
      </c>
      <c r="H2697" s="27" t="str">
        <f aca="false">IF(G2697="","",IF(G2697="?","⚠ pub inconnue",IFERROR(INDEX(Pubs!$B$2:$B$3001,MATCH(G2697,Pubs!$A$2:$A$3001,0))&amp;"","⚠ pub inconnue")))</f>
        <v/>
      </c>
      <c r="I2697" s="27" t="str">
        <f aca="false">IF(OR(G2697="",G2697="?"),"",IFERROR(INDEX(Pubs!$C$2:$C$3001,MATCH(G2697,Pubs!$A$2:$A$3001,0))&amp;"",""))</f>
        <v/>
      </c>
      <c r="J2697" s="27" t="str">
        <f aca="false">IF(OR(G2697="",G2697="?"),"",IFERROR(INDEX(Pubs!$G$2:$G$3001,MATCH(G2697,Pubs!$A$2:$A$3001,0))&amp;"",""))</f>
        <v/>
      </c>
      <c r="K2697" s="28" t="str">
        <f aca="false">IF(OR(G2697="",G2697="?"),"",IFERROR(INDEX(Pubs!$E$2:$E$3001,MATCH(G2697,Pubs!$A$2:$A$3001,0)),""))</f>
        <v/>
      </c>
      <c r="L2697" s="29" t="str">
        <f aca="false">IF(A2697="","",IFERROR(1/(1/INDEX(Numéros!$C$2:$C$3001,MATCH(A2697&amp;"|"&amp;B2697,Numéros!$F$2:$F$3001,0))),""))</f>
        <v/>
      </c>
      <c r="M2697" s="27" t="str">
        <f aca="false">IF(OR(G2697="",G2697="?"),"",IFERROR(INDEX(Pubs!$D$2:$D$3001,MATCH(G2697,Pubs!$A$2:$A$3001,0))&amp;"",""))</f>
        <v/>
      </c>
      <c r="N2697" s="27" t="n">
        <f aca="false">N(N2696)+IF(AND(A2697&lt;&gt;"",OR(Recherche!$C$4="",A2697=Recherche!$C$4),OR(Recherche!$C$5="",B2697&amp;""=Recherche!$C$5&amp;""),OR(Recherche!$C$6="",IFERROR(YEAR(L2697),0)=Recherche!$C$6),OR(Recherche!$C$7="",ISNUMBER(SEARCH(Recherche!$C$7,H2697))),OR(Recherche!$C$8="",J2697=Recherche!$C$8),OR(Recherche!$C$9="",I2697=Recherche!$C$9),OR(Recherche!$C$10="",G2697&amp;""=Recherche!$C$10&amp;""),OR(Recherche!$C$11="",E2697=Recherche!$C$11),OR(Recherche!$C$12="",ISNUMBER(SEARCH(Recherche!$C$12,M2697&amp;" "&amp;F2697)))),1,0)</f>
        <v>8</v>
      </c>
    </row>
    <row r="2698" customFormat="false" ht="15" hidden="false" customHeight="false" outlineLevel="0" collapsed="false">
      <c r="A2698" s="19"/>
      <c r="B2698" s="19"/>
      <c r="C2698" s="19"/>
      <c r="D2698" s="19"/>
      <c r="E2698" s="22"/>
      <c r="F2698" s="19"/>
      <c r="G2698" s="26" t="str">
        <f aca="false">IF(D2698="","",IFERROR(VALUE(LEFT(D2698,FIND(" |",D2698&amp;" |")-1)),"?"))</f>
        <v/>
      </c>
      <c r="H2698" s="27" t="str">
        <f aca="false">IF(G2698="","",IF(G2698="?","⚠ pub inconnue",IFERROR(INDEX(Pubs!$B$2:$B$3001,MATCH(G2698,Pubs!$A$2:$A$3001,0))&amp;"","⚠ pub inconnue")))</f>
        <v/>
      </c>
      <c r="I2698" s="27" t="str">
        <f aca="false">IF(OR(G2698="",G2698="?"),"",IFERROR(INDEX(Pubs!$C$2:$C$3001,MATCH(G2698,Pubs!$A$2:$A$3001,0))&amp;"",""))</f>
        <v/>
      </c>
      <c r="J2698" s="27" t="str">
        <f aca="false">IF(OR(G2698="",G2698="?"),"",IFERROR(INDEX(Pubs!$G$2:$G$3001,MATCH(G2698,Pubs!$A$2:$A$3001,0))&amp;"",""))</f>
        <v/>
      </c>
      <c r="K2698" s="28" t="str">
        <f aca="false">IF(OR(G2698="",G2698="?"),"",IFERROR(INDEX(Pubs!$E$2:$E$3001,MATCH(G2698,Pubs!$A$2:$A$3001,0)),""))</f>
        <v/>
      </c>
      <c r="L2698" s="29" t="str">
        <f aca="false">IF(A2698="","",IFERROR(1/(1/INDEX(Numéros!$C$2:$C$3001,MATCH(A2698&amp;"|"&amp;B2698,Numéros!$F$2:$F$3001,0))),""))</f>
        <v/>
      </c>
      <c r="M2698" s="27" t="str">
        <f aca="false">IF(OR(G2698="",G2698="?"),"",IFERROR(INDEX(Pubs!$D$2:$D$3001,MATCH(G2698,Pubs!$A$2:$A$3001,0))&amp;"",""))</f>
        <v/>
      </c>
      <c r="N2698" s="27" t="n">
        <f aca="false">N(N2697)+IF(AND(A2698&lt;&gt;"",OR(Recherche!$C$4="",A2698=Recherche!$C$4),OR(Recherche!$C$5="",B2698&amp;""=Recherche!$C$5&amp;""),OR(Recherche!$C$6="",IFERROR(YEAR(L2698),0)=Recherche!$C$6),OR(Recherche!$C$7="",ISNUMBER(SEARCH(Recherche!$C$7,H2698))),OR(Recherche!$C$8="",J2698=Recherche!$C$8),OR(Recherche!$C$9="",I2698=Recherche!$C$9),OR(Recherche!$C$10="",G2698&amp;""=Recherche!$C$10&amp;""),OR(Recherche!$C$11="",E2698=Recherche!$C$11),OR(Recherche!$C$12="",ISNUMBER(SEARCH(Recherche!$C$12,M2698&amp;" "&amp;F2698)))),1,0)</f>
        <v>8</v>
      </c>
    </row>
    <row r="2699" customFormat="false" ht="15" hidden="false" customHeight="false" outlineLevel="0" collapsed="false">
      <c r="A2699" s="19"/>
      <c r="B2699" s="19"/>
      <c r="C2699" s="19"/>
      <c r="D2699" s="19"/>
      <c r="E2699" s="22"/>
      <c r="F2699" s="19"/>
      <c r="G2699" s="26" t="str">
        <f aca="false">IF(D2699="","",IFERROR(VALUE(LEFT(D2699,FIND(" |",D2699&amp;" |")-1)),"?"))</f>
        <v/>
      </c>
      <c r="H2699" s="27" t="str">
        <f aca="false">IF(G2699="","",IF(G2699="?","⚠ pub inconnue",IFERROR(INDEX(Pubs!$B$2:$B$3001,MATCH(G2699,Pubs!$A$2:$A$3001,0))&amp;"","⚠ pub inconnue")))</f>
        <v/>
      </c>
      <c r="I2699" s="27" t="str">
        <f aca="false">IF(OR(G2699="",G2699="?"),"",IFERROR(INDEX(Pubs!$C$2:$C$3001,MATCH(G2699,Pubs!$A$2:$A$3001,0))&amp;"",""))</f>
        <v/>
      </c>
      <c r="J2699" s="27" t="str">
        <f aca="false">IF(OR(G2699="",G2699="?"),"",IFERROR(INDEX(Pubs!$G$2:$G$3001,MATCH(G2699,Pubs!$A$2:$A$3001,0))&amp;"",""))</f>
        <v/>
      </c>
      <c r="K2699" s="28" t="str">
        <f aca="false">IF(OR(G2699="",G2699="?"),"",IFERROR(INDEX(Pubs!$E$2:$E$3001,MATCH(G2699,Pubs!$A$2:$A$3001,0)),""))</f>
        <v/>
      </c>
      <c r="L2699" s="29" t="str">
        <f aca="false">IF(A2699="","",IFERROR(1/(1/INDEX(Numéros!$C$2:$C$3001,MATCH(A2699&amp;"|"&amp;B2699,Numéros!$F$2:$F$3001,0))),""))</f>
        <v/>
      </c>
      <c r="M2699" s="27" t="str">
        <f aca="false">IF(OR(G2699="",G2699="?"),"",IFERROR(INDEX(Pubs!$D$2:$D$3001,MATCH(G2699,Pubs!$A$2:$A$3001,0))&amp;"",""))</f>
        <v/>
      </c>
      <c r="N2699" s="27" t="n">
        <f aca="false">N(N2698)+IF(AND(A2699&lt;&gt;"",OR(Recherche!$C$4="",A2699=Recherche!$C$4),OR(Recherche!$C$5="",B2699&amp;""=Recherche!$C$5&amp;""),OR(Recherche!$C$6="",IFERROR(YEAR(L2699),0)=Recherche!$C$6),OR(Recherche!$C$7="",ISNUMBER(SEARCH(Recherche!$C$7,H2699))),OR(Recherche!$C$8="",J2699=Recherche!$C$8),OR(Recherche!$C$9="",I2699=Recherche!$C$9),OR(Recherche!$C$10="",G2699&amp;""=Recherche!$C$10&amp;""),OR(Recherche!$C$11="",E2699=Recherche!$C$11),OR(Recherche!$C$12="",ISNUMBER(SEARCH(Recherche!$C$12,M2699&amp;" "&amp;F2699)))),1,0)</f>
        <v>8</v>
      </c>
    </row>
    <row r="2700" customFormat="false" ht="15" hidden="false" customHeight="false" outlineLevel="0" collapsed="false">
      <c r="A2700" s="19"/>
      <c r="B2700" s="19"/>
      <c r="C2700" s="19"/>
      <c r="D2700" s="19"/>
      <c r="E2700" s="22"/>
      <c r="F2700" s="19"/>
      <c r="G2700" s="26" t="str">
        <f aca="false">IF(D2700="","",IFERROR(VALUE(LEFT(D2700,FIND(" |",D2700&amp;" |")-1)),"?"))</f>
        <v/>
      </c>
      <c r="H2700" s="27" t="str">
        <f aca="false">IF(G2700="","",IF(G2700="?","⚠ pub inconnue",IFERROR(INDEX(Pubs!$B$2:$B$3001,MATCH(G2700,Pubs!$A$2:$A$3001,0))&amp;"","⚠ pub inconnue")))</f>
        <v/>
      </c>
      <c r="I2700" s="27" t="str">
        <f aca="false">IF(OR(G2700="",G2700="?"),"",IFERROR(INDEX(Pubs!$C$2:$C$3001,MATCH(G2700,Pubs!$A$2:$A$3001,0))&amp;"",""))</f>
        <v/>
      </c>
      <c r="J2700" s="27" t="str">
        <f aca="false">IF(OR(G2700="",G2700="?"),"",IFERROR(INDEX(Pubs!$G$2:$G$3001,MATCH(G2700,Pubs!$A$2:$A$3001,0))&amp;"",""))</f>
        <v/>
      </c>
      <c r="K2700" s="28" t="str">
        <f aca="false">IF(OR(G2700="",G2700="?"),"",IFERROR(INDEX(Pubs!$E$2:$E$3001,MATCH(G2700,Pubs!$A$2:$A$3001,0)),""))</f>
        <v/>
      </c>
      <c r="L2700" s="29" t="str">
        <f aca="false">IF(A2700="","",IFERROR(1/(1/INDEX(Numéros!$C$2:$C$3001,MATCH(A2700&amp;"|"&amp;B2700,Numéros!$F$2:$F$3001,0))),""))</f>
        <v/>
      </c>
      <c r="M2700" s="27" t="str">
        <f aca="false">IF(OR(G2700="",G2700="?"),"",IFERROR(INDEX(Pubs!$D$2:$D$3001,MATCH(G2700,Pubs!$A$2:$A$3001,0))&amp;"",""))</f>
        <v/>
      </c>
      <c r="N2700" s="27" t="n">
        <f aca="false">N(N2699)+IF(AND(A2700&lt;&gt;"",OR(Recherche!$C$4="",A2700=Recherche!$C$4),OR(Recherche!$C$5="",B2700&amp;""=Recherche!$C$5&amp;""),OR(Recherche!$C$6="",IFERROR(YEAR(L2700),0)=Recherche!$C$6),OR(Recherche!$C$7="",ISNUMBER(SEARCH(Recherche!$C$7,H2700))),OR(Recherche!$C$8="",J2700=Recherche!$C$8),OR(Recherche!$C$9="",I2700=Recherche!$C$9),OR(Recherche!$C$10="",G2700&amp;""=Recherche!$C$10&amp;""),OR(Recherche!$C$11="",E2700=Recherche!$C$11),OR(Recherche!$C$12="",ISNUMBER(SEARCH(Recherche!$C$12,M2700&amp;" "&amp;F2700)))),1,0)</f>
        <v>8</v>
      </c>
    </row>
    <row r="2701" customFormat="false" ht="15" hidden="false" customHeight="false" outlineLevel="0" collapsed="false">
      <c r="A2701" s="19"/>
      <c r="B2701" s="19"/>
      <c r="C2701" s="19"/>
      <c r="D2701" s="19"/>
      <c r="E2701" s="22"/>
      <c r="F2701" s="19"/>
      <c r="G2701" s="26" t="str">
        <f aca="false">IF(D2701="","",IFERROR(VALUE(LEFT(D2701,FIND(" |",D2701&amp;" |")-1)),"?"))</f>
        <v/>
      </c>
      <c r="H2701" s="27" t="str">
        <f aca="false">IF(G2701="","",IF(G2701="?","⚠ pub inconnue",IFERROR(INDEX(Pubs!$B$2:$B$3001,MATCH(G2701,Pubs!$A$2:$A$3001,0))&amp;"","⚠ pub inconnue")))</f>
        <v/>
      </c>
      <c r="I2701" s="27" t="str">
        <f aca="false">IF(OR(G2701="",G2701="?"),"",IFERROR(INDEX(Pubs!$C$2:$C$3001,MATCH(G2701,Pubs!$A$2:$A$3001,0))&amp;"",""))</f>
        <v/>
      </c>
      <c r="J2701" s="27" t="str">
        <f aca="false">IF(OR(G2701="",G2701="?"),"",IFERROR(INDEX(Pubs!$G$2:$G$3001,MATCH(G2701,Pubs!$A$2:$A$3001,0))&amp;"",""))</f>
        <v/>
      </c>
      <c r="K2701" s="28" t="str">
        <f aca="false">IF(OR(G2701="",G2701="?"),"",IFERROR(INDEX(Pubs!$E$2:$E$3001,MATCH(G2701,Pubs!$A$2:$A$3001,0)),""))</f>
        <v/>
      </c>
      <c r="L2701" s="29" t="str">
        <f aca="false">IF(A2701="","",IFERROR(1/(1/INDEX(Numéros!$C$2:$C$3001,MATCH(A2701&amp;"|"&amp;B2701,Numéros!$F$2:$F$3001,0))),""))</f>
        <v/>
      </c>
      <c r="M2701" s="27" t="str">
        <f aca="false">IF(OR(G2701="",G2701="?"),"",IFERROR(INDEX(Pubs!$D$2:$D$3001,MATCH(G2701,Pubs!$A$2:$A$3001,0))&amp;"",""))</f>
        <v/>
      </c>
      <c r="N2701" s="27" t="n">
        <f aca="false">N(N2700)+IF(AND(A2701&lt;&gt;"",OR(Recherche!$C$4="",A2701=Recherche!$C$4),OR(Recherche!$C$5="",B2701&amp;""=Recherche!$C$5&amp;""),OR(Recherche!$C$6="",IFERROR(YEAR(L2701),0)=Recherche!$C$6),OR(Recherche!$C$7="",ISNUMBER(SEARCH(Recherche!$C$7,H2701))),OR(Recherche!$C$8="",J2701=Recherche!$C$8),OR(Recherche!$C$9="",I2701=Recherche!$C$9),OR(Recherche!$C$10="",G2701&amp;""=Recherche!$C$10&amp;""),OR(Recherche!$C$11="",E2701=Recherche!$C$11),OR(Recherche!$C$12="",ISNUMBER(SEARCH(Recherche!$C$12,M2701&amp;" "&amp;F2701)))),1,0)</f>
        <v>8</v>
      </c>
    </row>
    <row r="2702" customFormat="false" ht="15" hidden="false" customHeight="false" outlineLevel="0" collapsed="false">
      <c r="A2702" s="19"/>
      <c r="B2702" s="19"/>
      <c r="C2702" s="19"/>
      <c r="D2702" s="19"/>
      <c r="E2702" s="22"/>
      <c r="F2702" s="19"/>
      <c r="G2702" s="26" t="str">
        <f aca="false">IF(D2702="","",IFERROR(VALUE(LEFT(D2702,FIND(" |",D2702&amp;" |")-1)),"?"))</f>
        <v/>
      </c>
      <c r="H2702" s="27" t="str">
        <f aca="false">IF(G2702="","",IF(G2702="?","⚠ pub inconnue",IFERROR(INDEX(Pubs!$B$2:$B$3001,MATCH(G2702,Pubs!$A$2:$A$3001,0))&amp;"","⚠ pub inconnue")))</f>
        <v/>
      </c>
      <c r="I2702" s="27" t="str">
        <f aca="false">IF(OR(G2702="",G2702="?"),"",IFERROR(INDEX(Pubs!$C$2:$C$3001,MATCH(G2702,Pubs!$A$2:$A$3001,0))&amp;"",""))</f>
        <v/>
      </c>
      <c r="J2702" s="27" t="str">
        <f aca="false">IF(OR(G2702="",G2702="?"),"",IFERROR(INDEX(Pubs!$G$2:$G$3001,MATCH(G2702,Pubs!$A$2:$A$3001,0))&amp;"",""))</f>
        <v/>
      </c>
      <c r="K2702" s="28" t="str">
        <f aca="false">IF(OR(G2702="",G2702="?"),"",IFERROR(INDEX(Pubs!$E$2:$E$3001,MATCH(G2702,Pubs!$A$2:$A$3001,0)),""))</f>
        <v/>
      </c>
      <c r="L2702" s="29" t="str">
        <f aca="false">IF(A2702="","",IFERROR(1/(1/INDEX(Numéros!$C$2:$C$3001,MATCH(A2702&amp;"|"&amp;B2702,Numéros!$F$2:$F$3001,0))),""))</f>
        <v/>
      </c>
      <c r="M2702" s="27" t="str">
        <f aca="false">IF(OR(G2702="",G2702="?"),"",IFERROR(INDEX(Pubs!$D$2:$D$3001,MATCH(G2702,Pubs!$A$2:$A$3001,0))&amp;"",""))</f>
        <v/>
      </c>
      <c r="N2702" s="27" t="n">
        <f aca="false">N(N2701)+IF(AND(A2702&lt;&gt;"",OR(Recherche!$C$4="",A2702=Recherche!$C$4),OR(Recherche!$C$5="",B2702&amp;""=Recherche!$C$5&amp;""),OR(Recherche!$C$6="",IFERROR(YEAR(L2702),0)=Recherche!$C$6),OR(Recherche!$C$7="",ISNUMBER(SEARCH(Recherche!$C$7,H2702))),OR(Recherche!$C$8="",J2702=Recherche!$C$8),OR(Recherche!$C$9="",I2702=Recherche!$C$9),OR(Recherche!$C$10="",G2702&amp;""=Recherche!$C$10&amp;""),OR(Recherche!$C$11="",E2702=Recherche!$C$11),OR(Recherche!$C$12="",ISNUMBER(SEARCH(Recherche!$C$12,M2702&amp;" "&amp;F2702)))),1,0)</f>
        <v>8</v>
      </c>
    </row>
    <row r="2703" customFormat="false" ht="15" hidden="false" customHeight="false" outlineLevel="0" collapsed="false">
      <c r="A2703" s="19"/>
      <c r="B2703" s="19"/>
      <c r="C2703" s="19"/>
      <c r="D2703" s="19"/>
      <c r="E2703" s="22"/>
      <c r="F2703" s="19"/>
      <c r="G2703" s="26" t="str">
        <f aca="false">IF(D2703="","",IFERROR(VALUE(LEFT(D2703,FIND(" |",D2703&amp;" |")-1)),"?"))</f>
        <v/>
      </c>
      <c r="H2703" s="27" t="str">
        <f aca="false">IF(G2703="","",IF(G2703="?","⚠ pub inconnue",IFERROR(INDEX(Pubs!$B$2:$B$3001,MATCH(G2703,Pubs!$A$2:$A$3001,0))&amp;"","⚠ pub inconnue")))</f>
        <v/>
      </c>
      <c r="I2703" s="27" t="str">
        <f aca="false">IF(OR(G2703="",G2703="?"),"",IFERROR(INDEX(Pubs!$C$2:$C$3001,MATCH(G2703,Pubs!$A$2:$A$3001,0))&amp;"",""))</f>
        <v/>
      </c>
      <c r="J2703" s="27" t="str">
        <f aca="false">IF(OR(G2703="",G2703="?"),"",IFERROR(INDEX(Pubs!$G$2:$G$3001,MATCH(G2703,Pubs!$A$2:$A$3001,0))&amp;"",""))</f>
        <v/>
      </c>
      <c r="K2703" s="28" t="str">
        <f aca="false">IF(OR(G2703="",G2703="?"),"",IFERROR(INDEX(Pubs!$E$2:$E$3001,MATCH(G2703,Pubs!$A$2:$A$3001,0)),""))</f>
        <v/>
      </c>
      <c r="L2703" s="29" t="str">
        <f aca="false">IF(A2703="","",IFERROR(1/(1/INDEX(Numéros!$C$2:$C$3001,MATCH(A2703&amp;"|"&amp;B2703,Numéros!$F$2:$F$3001,0))),""))</f>
        <v/>
      </c>
      <c r="M2703" s="27" t="str">
        <f aca="false">IF(OR(G2703="",G2703="?"),"",IFERROR(INDEX(Pubs!$D$2:$D$3001,MATCH(G2703,Pubs!$A$2:$A$3001,0))&amp;"",""))</f>
        <v/>
      </c>
      <c r="N2703" s="27" t="n">
        <f aca="false">N(N2702)+IF(AND(A2703&lt;&gt;"",OR(Recherche!$C$4="",A2703=Recherche!$C$4),OR(Recherche!$C$5="",B2703&amp;""=Recherche!$C$5&amp;""),OR(Recherche!$C$6="",IFERROR(YEAR(L2703),0)=Recherche!$C$6),OR(Recherche!$C$7="",ISNUMBER(SEARCH(Recherche!$C$7,H2703))),OR(Recherche!$C$8="",J2703=Recherche!$C$8),OR(Recherche!$C$9="",I2703=Recherche!$C$9),OR(Recherche!$C$10="",G2703&amp;""=Recherche!$C$10&amp;""),OR(Recherche!$C$11="",E2703=Recherche!$C$11),OR(Recherche!$C$12="",ISNUMBER(SEARCH(Recherche!$C$12,M2703&amp;" "&amp;F2703)))),1,0)</f>
        <v>8</v>
      </c>
    </row>
    <row r="2704" customFormat="false" ht="15" hidden="false" customHeight="false" outlineLevel="0" collapsed="false">
      <c r="A2704" s="19"/>
      <c r="B2704" s="19"/>
      <c r="C2704" s="19"/>
      <c r="D2704" s="19"/>
      <c r="E2704" s="22"/>
      <c r="F2704" s="19"/>
      <c r="G2704" s="26" t="str">
        <f aca="false">IF(D2704="","",IFERROR(VALUE(LEFT(D2704,FIND(" |",D2704&amp;" |")-1)),"?"))</f>
        <v/>
      </c>
      <c r="H2704" s="27" t="str">
        <f aca="false">IF(G2704="","",IF(G2704="?","⚠ pub inconnue",IFERROR(INDEX(Pubs!$B$2:$B$3001,MATCH(G2704,Pubs!$A$2:$A$3001,0))&amp;"","⚠ pub inconnue")))</f>
        <v/>
      </c>
      <c r="I2704" s="27" t="str">
        <f aca="false">IF(OR(G2704="",G2704="?"),"",IFERROR(INDEX(Pubs!$C$2:$C$3001,MATCH(G2704,Pubs!$A$2:$A$3001,0))&amp;"",""))</f>
        <v/>
      </c>
      <c r="J2704" s="27" t="str">
        <f aca="false">IF(OR(G2704="",G2704="?"),"",IFERROR(INDEX(Pubs!$G$2:$G$3001,MATCH(G2704,Pubs!$A$2:$A$3001,0))&amp;"",""))</f>
        <v/>
      </c>
      <c r="K2704" s="28" t="str">
        <f aca="false">IF(OR(G2704="",G2704="?"),"",IFERROR(INDEX(Pubs!$E$2:$E$3001,MATCH(G2704,Pubs!$A$2:$A$3001,0)),""))</f>
        <v/>
      </c>
      <c r="L2704" s="29" t="str">
        <f aca="false">IF(A2704="","",IFERROR(1/(1/INDEX(Numéros!$C$2:$C$3001,MATCH(A2704&amp;"|"&amp;B2704,Numéros!$F$2:$F$3001,0))),""))</f>
        <v/>
      </c>
      <c r="M2704" s="27" t="str">
        <f aca="false">IF(OR(G2704="",G2704="?"),"",IFERROR(INDEX(Pubs!$D$2:$D$3001,MATCH(G2704,Pubs!$A$2:$A$3001,0))&amp;"",""))</f>
        <v/>
      </c>
      <c r="N2704" s="27" t="n">
        <f aca="false">N(N2703)+IF(AND(A2704&lt;&gt;"",OR(Recherche!$C$4="",A2704=Recherche!$C$4),OR(Recherche!$C$5="",B2704&amp;""=Recherche!$C$5&amp;""),OR(Recherche!$C$6="",IFERROR(YEAR(L2704),0)=Recherche!$C$6),OR(Recherche!$C$7="",ISNUMBER(SEARCH(Recherche!$C$7,H2704))),OR(Recherche!$C$8="",J2704=Recherche!$C$8),OR(Recherche!$C$9="",I2704=Recherche!$C$9),OR(Recherche!$C$10="",G2704&amp;""=Recherche!$C$10&amp;""),OR(Recherche!$C$11="",E2704=Recherche!$C$11),OR(Recherche!$C$12="",ISNUMBER(SEARCH(Recherche!$C$12,M2704&amp;" "&amp;F2704)))),1,0)</f>
        <v>8</v>
      </c>
    </row>
    <row r="2705" customFormat="false" ht="15" hidden="false" customHeight="false" outlineLevel="0" collapsed="false">
      <c r="A2705" s="19"/>
      <c r="B2705" s="19"/>
      <c r="C2705" s="19"/>
      <c r="D2705" s="19"/>
      <c r="E2705" s="22"/>
      <c r="F2705" s="19"/>
      <c r="G2705" s="26" t="str">
        <f aca="false">IF(D2705="","",IFERROR(VALUE(LEFT(D2705,FIND(" |",D2705&amp;" |")-1)),"?"))</f>
        <v/>
      </c>
      <c r="H2705" s="27" t="str">
        <f aca="false">IF(G2705="","",IF(G2705="?","⚠ pub inconnue",IFERROR(INDEX(Pubs!$B$2:$B$3001,MATCH(G2705,Pubs!$A$2:$A$3001,0))&amp;"","⚠ pub inconnue")))</f>
        <v/>
      </c>
      <c r="I2705" s="27" t="str">
        <f aca="false">IF(OR(G2705="",G2705="?"),"",IFERROR(INDEX(Pubs!$C$2:$C$3001,MATCH(G2705,Pubs!$A$2:$A$3001,0))&amp;"",""))</f>
        <v/>
      </c>
      <c r="J2705" s="27" t="str">
        <f aca="false">IF(OR(G2705="",G2705="?"),"",IFERROR(INDEX(Pubs!$G$2:$G$3001,MATCH(G2705,Pubs!$A$2:$A$3001,0))&amp;"",""))</f>
        <v/>
      </c>
      <c r="K2705" s="28" t="str">
        <f aca="false">IF(OR(G2705="",G2705="?"),"",IFERROR(INDEX(Pubs!$E$2:$E$3001,MATCH(G2705,Pubs!$A$2:$A$3001,0)),""))</f>
        <v/>
      </c>
      <c r="L2705" s="29" t="str">
        <f aca="false">IF(A2705="","",IFERROR(1/(1/INDEX(Numéros!$C$2:$C$3001,MATCH(A2705&amp;"|"&amp;B2705,Numéros!$F$2:$F$3001,0))),""))</f>
        <v/>
      </c>
      <c r="M2705" s="27" t="str">
        <f aca="false">IF(OR(G2705="",G2705="?"),"",IFERROR(INDEX(Pubs!$D$2:$D$3001,MATCH(G2705,Pubs!$A$2:$A$3001,0))&amp;"",""))</f>
        <v/>
      </c>
      <c r="N2705" s="27" t="n">
        <f aca="false">N(N2704)+IF(AND(A2705&lt;&gt;"",OR(Recherche!$C$4="",A2705=Recherche!$C$4),OR(Recherche!$C$5="",B2705&amp;""=Recherche!$C$5&amp;""),OR(Recherche!$C$6="",IFERROR(YEAR(L2705),0)=Recherche!$C$6),OR(Recherche!$C$7="",ISNUMBER(SEARCH(Recherche!$C$7,H2705))),OR(Recherche!$C$8="",J2705=Recherche!$C$8),OR(Recherche!$C$9="",I2705=Recherche!$C$9),OR(Recherche!$C$10="",G2705&amp;""=Recherche!$C$10&amp;""),OR(Recherche!$C$11="",E2705=Recherche!$C$11),OR(Recherche!$C$12="",ISNUMBER(SEARCH(Recherche!$C$12,M2705&amp;" "&amp;F2705)))),1,0)</f>
        <v>8</v>
      </c>
    </row>
    <row r="2706" customFormat="false" ht="15" hidden="false" customHeight="false" outlineLevel="0" collapsed="false">
      <c r="A2706" s="19"/>
      <c r="B2706" s="19"/>
      <c r="C2706" s="19"/>
      <c r="D2706" s="19"/>
      <c r="E2706" s="22"/>
      <c r="F2706" s="19"/>
      <c r="G2706" s="26" t="str">
        <f aca="false">IF(D2706="","",IFERROR(VALUE(LEFT(D2706,FIND(" |",D2706&amp;" |")-1)),"?"))</f>
        <v/>
      </c>
      <c r="H2706" s="27" t="str">
        <f aca="false">IF(G2706="","",IF(G2706="?","⚠ pub inconnue",IFERROR(INDEX(Pubs!$B$2:$B$3001,MATCH(G2706,Pubs!$A$2:$A$3001,0))&amp;"","⚠ pub inconnue")))</f>
        <v/>
      </c>
      <c r="I2706" s="27" t="str">
        <f aca="false">IF(OR(G2706="",G2706="?"),"",IFERROR(INDEX(Pubs!$C$2:$C$3001,MATCH(G2706,Pubs!$A$2:$A$3001,0))&amp;"",""))</f>
        <v/>
      </c>
      <c r="J2706" s="27" t="str">
        <f aca="false">IF(OR(G2706="",G2706="?"),"",IFERROR(INDEX(Pubs!$G$2:$G$3001,MATCH(G2706,Pubs!$A$2:$A$3001,0))&amp;"",""))</f>
        <v/>
      </c>
      <c r="K2706" s="28" t="str">
        <f aca="false">IF(OR(G2706="",G2706="?"),"",IFERROR(INDEX(Pubs!$E$2:$E$3001,MATCH(G2706,Pubs!$A$2:$A$3001,0)),""))</f>
        <v/>
      </c>
      <c r="L2706" s="29" t="str">
        <f aca="false">IF(A2706="","",IFERROR(1/(1/INDEX(Numéros!$C$2:$C$3001,MATCH(A2706&amp;"|"&amp;B2706,Numéros!$F$2:$F$3001,0))),""))</f>
        <v/>
      </c>
      <c r="M2706" s="27" t="str">
        <f aca="false">IF(OR(G2706="",G2706="?"),"",IFERROR(INDEX(Pubs!$D$2:$D$3001,MATCH(G2706,Pubs!$A$2:$A$3001,0))&amp;"",""))</f>
        <v/>
      </c>
      <c r="N2706" s="27" t="n">
        <f aca="false">N(N2705)+IF(AND(A2706&lt;&gt;"",OR(Recherche!$C$4="",A2706=Recherche!$C$4),OR(Recherche!$C$5="",B2706&amp;""=Recherche!$C$5&amp;""),OR(Recherche!$C$6="",IFERROR(YEAR(L2706),0)=Recherche!$C$6),OR(Recherche!$C$7="",ISNUMBER(SEARCH(Recherche!$C$7,H2706))),OR(Recherche!$C$8="",J2706=Recherche!$C$8),OR(Recherche!$C$9="",I2706=Recherche!$C$9),OR(Recherche!$C$10="",G2706&amp;""=Recherche!$C$10&amp;""),OR(Recherche!$C$11="",E2706=Recherche!$C$11),OR(Recherche!$C$12="",ISNUMBER(SEARCH(Recherche!$C$12,M2706&amp;" "&amp;F2706)))),1,0)</f>
        <v>8</v>
      </c>
    </row>
    <row r="2707" customFormat="false" ht="15" hidden="false" customHeight="false" outlineLevel="0" collapsed="false">
      <c r="A2707" s="19"/>
      <c r="B2707" s="19"/>
      <c r="C2707" s="19"/>
      <c r="D2707" s="19"/>
      <c r="E2707" s="22"/>
      <c r="F2707" s="19"/>
      <c r="G2707" s="26" t="str">
        <f aca="false">IF(D2707="","",IFERROR(VALUE(LEFT(D2707,FIND(" |",D2707&amp;" |")-1)),"?"))</f>
        <v/>
      </c>
      <c r="H2707" s="27" t="str">
        <f aca="false">IF(G2707="","",IF(G2707="?","⚠ pub inconnue",IFERROR(INDEX(Pubs!$B$2:$B$3001,MATCH(G2707,Pubs!$A$2:$A$3001,0))&amp;"","⚠ pub inconnue")))</f>
        <v/>
      </c>
      <c r="I2707" s="27" t="str">
        <f aca="false">IF(OR(G2707="",G2707="?"),"",IFERROR(INDEX(Pubs!$C$2:$C$3001,MATCH(G2707,Pubs!$A$2:$A$3001,0))&amp;"",""))</f>
        <v/>
      </c>
      <c r="J2707" s="27" t="str">
        <f aca="false">IF(OR(G2707="",G2707="?"),"",IFERROR(INDEX(Pubs!$G$2:$G$3001,MATCH(G2707,Pubs!$A$2:$A$3001,0))&amp;"",""))</f>
        <v/>
      </c>
      <c r="K2707" s="28" t="str">
        <f aca="false">IF(OR(G2707="",G2707="?"),"",IFERROR(INDEX(Pubs!$E$2:$E$3001,MATCH(G2707,Pubs!$A$2:$A$3001,0)),""))</f>
        <v/>
      </c>
      <c r="L2707" s="29" t="str">
        <f aca="false">IF(A2707="","",IFERROR(1/(1/INDEX(Numéros!$C$2:$C$3001,MATCH(A2707&amp;"|"&amp;B2707,Numéros!$F$2:$F$3001,0))),""))</f>
        <v/>
      </c>
      <c r="M2707" s="27" t="str">
        <f aca="false">IF(OR(G2707="",G2707="?"),"",IFERROR(INDEX(Pubs!$D$2:$D$3001,MATCH(G2707,Pubs!$A$2:$A$3001,0))&amp;"",""))</f>
        <v/>
      </c>
      <c r="N2707" s="27" t="n">
        <f aca="false">N(N2706)+IF(AND(A2707&lt;&gt;"",OR(Recherche!$C$4="",A2707=Recherche!$C$4),OR(Recherche!$C$5="",B2707&amp;""=Recherche!$C$5&amp;""),OR(Recherche!$C$6="",IFERROR(YEAR(L2707),0)=Recherche!$C$6),OR(Recherche!$C$7="",ISNUMBER(SEARCH(Recherche!$C$7,H2707))),OR(Recherche!$C$8="",J2707=Recherche!$C$8),OR(Recherche!$C$9="",I2707=Recherche!$C$9),OR(Recherche!$C$10="",G2707&amp;""=Recherche!$C$10&amp;""),OR(Recherche!$C$11="",E2707=Recherche!$C$11),OR(Recherche!$C$12="",ISNUMBER(SEARCH(Recherche!$C$12,M2707&amp;" "&amp;F2707)))),1,0)</f>
        <v>8</v>
      </c>
    </row>
    <row r="2708" customFormat="false" ht="15" hidden="false" customHeight="false" outlineLevel="0" collapsed="false">
      <c r="A2708" s="19"/>
      <c r="B2708" s="19"/>
      <c r="C2708" s="19"/>
      <c r="D2708" s="19"/>
      <c r="E2708" s="22"/>
      <c r="F2708" s="19"/>
      <c r="G2708" s="26" t="str">
        <f aca="false">IF(D2708="","",IFERROR(VALUE(LEFT(D2708,FIND(" |",D2708&amp;" |")-1)),"?"))</f>
        <v/>
      </c>
      <c r="H2708" s="27" t="str">
        <f aca="false">IF(G2708="","",IF(G2708="?","⚠ pub inconnue",IFERROR(INDEX(Pubs!$B$2:$B$3001,MATCH(G2708,Pubs!$A$2:$A$3001,0))&amp;"","⚠ pub inconnue")))</f>
        <v/>
      </c>
      <c r="I2708" s="27" t="str">
        <f aca="false">IF(OR(G2708="",G2708="?"),"",IFERROR(INDEX(Pubs!$C$2:$C$3001,MATCH(G2708,Pubs!$A$2:$A$3001,0))&amp;"",""))</f>
        <v/>
      </c>
      <c r="J2708" s="27" t="str">
        <f aca="false">IF(OR(G2708="",G2708="?"),"",IFERROR(INDEX(Pubs!$G$2:$G$3001,MATCH(G2708,Pubs!$A$2:$A$3001,0))&amp;"",""))</f>
        <v/>
      </c>
      <c r="K2708" s="28" t="str">
        <f aca="false">IF(OR(G2708="",G2708="?"),"",IFERROR(INDEX(Pubs!$E$2:$E$3001,MATCH(G2708,Pubs!$A$2:$A$3001,0)),""))</f>
        <v/>
      </c>
      <c r="L2708" s="29" t="str">
        <f aca="false">IF(A2708="","",IFERROR(1/(1/INDEX(Numéros!$C$2:$C$3001,MATCH(A2708&amp;"|"&amp;B2708,Numéros!$F$2:$F$3001,0))),""))</f>
        <v/>
      </c>
      <c r="M2708" s="27" t="str">
        <f aca="false">IF(OR(G2708="",G2708="?"),"",IFERROR(INDEX(Pubs!$D$2:$D$3001,MATCH(G2708,Pubs!$A$2:$A$3001,0))&amp;"",""))</f>
        <v/>
      </c>
      <c r="N2708" s="27" t="n">
        <f aca="false">N(N2707)+IF(AND(A2708&lt;&gt;"",OR(Recherche!$C$4="",A2708=Recherche!$C$4),OR(Recherche!$C$5="",B2708&amp;""=Recherche!$C$5&amp;""),OR(Recherche!$C$6="",IFERROR(YEAR(L2708),0)=Recherche!$C$6),OR(Recherche!$C$7="",ISNUMBER(SEARCH(Recherche!$C$7,H2708))),OR(Recherche!$C$8="",J2708=Recherche!$C$8),OR(Recherche!$C$9="",I2708=Recherche!$C$9),OR(Recherche!$C$10="",G2708&amp;""=Recherche!$C$10&amp;""),OR(Recherche!$C$11="",E2708=Recherche!$C$11),OR(Recherche!$C$12="",ISNUMBER(SEARCH(Recherche!$C$12,M2708&amp;" "&amp;F2708)))),1,0)</f>
        <v>8</v>
      </c>
    </row>
    <row r="2709" customFormat="false" ht="15" hidden="false" customHeight="false" outlineLevel="0" collapsed="false">
      <c r="A2709" s="19"/>
      <c r="B2709" s="19"/>
      <c r="C2709" s="19"/>
      <c r="D2709" s="19"/>
      <c r="E2709" s="22"/>
      <c r="F2709" s="19"/>
      <c r="G2709" s="26" t="str">
        <f aca="false">IF(D2709="","",IFERROR(VALUE(LEFT(D2709,FIND(" |",D2709&amp;" |")-1)),"?"))</f>
        <v/>
      </c>
      <c r="H2709" s="27" t="str">
        <f aca="false">IF(G2709="","",IF(G2709="?","⚠ pub inconnue",IFERROR(INDEX(Pubs!$B$2:$B$3001,MATCH(G2709,Pubs!$A$2:$A$3001,0))&amp;"","⚠ pub inconnue")))</f>
        <v/>
      </c>
      <c r="I2709" s="27" t="str">
        <f aca="false">IF(OR(G2709="",G2709="?"),"",IFERROR(INDEX(Pubs!$C$2:$C$3001,MATCH(G2709,Pubs!$A$2:$A$3001,0))&amp;"",""))</f>
        <v/>
      </c>
      <c r="J2709" s="27" t="str">
        <f aca="false">IF(OR(G2709="",G2709="?"),"",IFERROR(INDEX(Pubs!$G$2:$G$3001,MATCH(G2709,Pubs!$A$2:$A$3001,0))&amp;"",""))</f>
        <v/>
      </c>
      <c r="K2709" s="28" t="str">
        <f aca="false">IF(OR(G2709="",G2709="?"),"",IFERROR(INDEX(Pubs!$E$2:$E$3001,MATCH(G2709,Pubs!$A$2:$A$3001,0)),""))</f>
        <v/>
      </c>
      <c r="L2709" s="29" t="str">
        <f aca="false">IF(A2709="","",IFERROR(1/(1/INDEX(Numéros!$C$2:$C$3001,MATCH(A2709&amp;"|"&amp;B2709,Numéros!$F$2:$F$3001,0))),""))</f>
        <v/>
      </c>
      <c r="M2709" s="27" t="str">
        <f aca="false">IF(OR(G2709="",G2709="?"),"",IFERROR(INDEX(Pubs!$D$2:$D$3001,MATCH(G2709,Pubs!$A$2:$A$3001,0))&amp;"",""))</f>
        <v/>
      </c>
      <c r="N2709" s="27" t="n">
        <f aca="false">N(N2708)+IF(AND(A2709&lt;&gt;"",OR(Recherche!$C$4="",A2709=Recherche!$C$4),OR(Recherche!$C$5="",B2709&amp;""=Recherche!$C$5&amp;""),OR(Recherche!$C$6="",IFERROR(YEAR(L2709),0)=Recherche!$C$6),OR(Recherche!$C$7="",ISNUMBER(SEARCH(Recherche!$C$7,H2709))),OR(Recherche!$C$8="",J2709=Recherche!$C$8),OR(Recherche!$C$9="",I2709=Recherche!$C$9),OR(Recherche!$C$10="",G2709&amp;""=Recherche!$C$10&amp;""),OR(Recherche!$C$11="",E2709=Recherche!$C$11),OR(Recherche!$C$12="",ISNUMBER(SEARCH(Recherche!$C$12,M2709&amp;" "&amp;F2709)))),1,0)</f>
        <v>8</v>
      </c>
    </row>
    <row r="2710" customFormat="false" ht="15" hidden="false" customHeight="false" outlineLevel="0" collapsed="false">
      <c r="A2710" s="19"/>
      <c r="B2710" s="19"/>
      <c r="C2710" s="19"/>
      <c r="D2710" s="19"/>
      <c r="E2710" s="22"/>
      <c r="F2710" s="19"/>
      <c r="G2710" s="26" t="str">
        <f aca="false">IF(D2710="","",IFERROR(VALUE(LEFT(D2710,FIND(" |",D2710&amp;" |")-1)),"?"))</f>
        <v/>
      </c>
      <c r="H2710" s="27" t="str">
        <f aca="false">IF(G2710="","",IF(G2710="?","⚠ pub inconnue",IFERROR(INDEX(Pubs!$B$2:$B$3001,MATCH(G2710,Pubs!$A$2:$A$3001,0))&amp;"","⚠ pub inconnue")))</f>
        <v/>
      </c>
      <c r="I2710" s="27" t="str">
        <f aca="false">IF(OR(G2710="",G2710="?"),"",IFERROR(INDEX(Pubs!$C$2:$C$3001,MATCH(G2710,Pubs!$A$2:$A$3001,0))&amp;"",""))</f>
        <v/>
      </c>
      <c r="J2710" s="27" t="str">
        <f aca="false">IF(OR(G2710="",G2710="?"),"",IFERROR(INDEX(Pubs!$G$2:$G$3001,MATCH(G2710,Pubs!$A$2:$A$3001,0))&amp;"",""))</f>
        <v/>
      </c>
      <c r="K2710" s="28" t="str">
        <f aca="false">IF(OR(G2710="",G2710="?"),"",IFERROR(INDEX(Pubs!$E$2:$E$3001,MATCH(G2710,Pubs!$A$2:$A$3001,0)),""))</f>
        <v/>
      </c>
      <c r="L2710" s="29" t="str">
        <f aca="false">IF(A2710="","",IFERROR(1/(1/INDEX(Numéros!$C$2:$C$3001,MATCH(A2710&amp;"|"&amp;B2710,Numéros!$F$2:$F$3001,0))),""))</f>
        <v/>
      </c>
      <c r="M2710" s="27" t="str">
        <f aca="false">IF(OR(G2710="",G2710="?"),"",IFERROR(INDEX(Pubs!$D$2:$D$3001,MATCH(G2710,Pubs!$A$2:$A$3001,0))&amp;"",""))</f>
        <v/>
      </c>
      <c r="N2710" s="27" t="n">
        <f aca="false">N(N2709)+IF(AND(A2710&lt;&gt;"",OR(Recherche!$C$4="",A2710=Recherche!$C$4),OR(Recherche!$C$5="",B2710&amp;""=Recherche!$C$5&amp;""),OR(Recherche!$C$6="",IFERROR(YEAR(L2710),0)=Recherche!$C$6),OR(Recherche!$C$7="",ISNUMBER(SEARCH(Recherche!$C$7,H2710))),OR(Recherche!$C$8="",J2710=Recherche!$C$8),OR(Recherche!$C$9="",I2710=Recherche!$C$9),OR(Recherche!$C$10="",G2710&amp;""=Recherche!$C$10&amp;""),OR(Recherche!$C$11="",E2710=Recherche!$C$11),OR(Recherche!$C$12="",ISNUMBER(SEARCH(Recherche!$C$12,M2710&amp;" "&amp;F2710)))),1,0)</f>
        <v>8</v>
      </c>
    </row>
    <row r="2711" customFormat="false" ht="15" hidden="false" customHeight="false" outlineLevel="0" collapsed="false">
      <c r="A2711" s="19"/>
      <c r="B2711" s="19"/>
      <c r="C2711" s="19"/>
      <c r="D2711" s="19"/>
      <c r="E2711" s="22"/>
      <c r="F2711" s="19"/>
      <c r="G2711" s="26" t="str">
        <f aca="false">IF(D2711="","",IFERROR(VALUE(LEFT(D2711,FIND(" |",D2711&amp;" |")-1)),"?"))</f>
        <v/>
      </c>
      <c r="H2711" s="27" t="str">
        <f aca="false">IF(G2711="","",IF(G2711="?","⚠ pub inconnue",IFERROR(INDEX(Pubs!$B$2:$B$3001,MATCH(G2711,Pubs!$A$2:$A$3001,0))&amp;"","⚠ pub inconnue")))</f>
        <v/>
      </c>
      <c r="I2711" s="27" t="str">
        <f aca="false">IF(OR(G2711="",G2711="?"),"",IFERROR(INDEX(Pubs!$C$2:$C$3001,MATCH(G2711,Pubs!$A$2:$A$3001,0))&amp;"",""))</f>
        <v/>
      </c>
      <c r="J2711" s="27" t="str">
        <f aca="false">IF(OR(G2711="",G2711="?"),"",IFERROR(INDEX(Pubs!$G$2:$G$3001,MATCH(G2711,Pubs!$A$2:$A$3001,0))&amp;"",""))</f>
        <v/>
      </c>
      <c r="K2711" s="28" t="str">
        <f aca="false">IF(OR(G2711="",G2711="?"),"",IFERROR(INDEX(Pubs!$E$2:$E$3001,MATCH(G2711,Pubs!$A$2:$A$3001,0)),""))</f>
        <v/>
      </c>
      <c r="L2711" s="29" t="str">
        <f aca="false">IF(A2711="","",IFERROR(1/(1/INDEX(Numéros!$C$2:$C$3001,MATCH(A2711&amp;"|"&amp;B2711,Numéros!$F$2:$F$3001,0))),""))</f>
        <v/>
      </c>
      <c r="M2711" s="27" t="str">
        <f aca="false">IF(OR(G2711="",G2711="?"),"",IFERROR(INDEX(Pubs!$D$2:$D$3001,MATCH(G2711,Pubs!$A$2:$A$3001,0))&amp;"",""))</f>
        <v/>
      </c>
      <c r="N2711" s="27" t="n">
        <f aca="false">N(N2710)+IF(AND(A2711&lt;&gt;"",OR(Recherche!$C$4="",A2711=Recherche!$C$4),OR(Recherche!$C$5="",B2711&amp;""=Recherche!$C$5&amp;""),OR(Recherche!$C$6="",IFERROR(YEAR(L2711),0)=Recherche!$C$6),OR(Recherche!$C$7="",ISNUMBER(SEARCH(Recherche!$C$7,H2711))),OR(Recherche!$C$8="",J2711=Recherche!$C$8),OR(Recherche!$C$9="",I2711=Recherche!$C$9),OR(Recherche!$C$10="",G2711&amp;""=Recherche!$C$10&amp;""),OR(Recherche!$C$11="",E2711=Recherche!$C$11),OR(Recherche!$C$12="",ISNUMBER(SEARCH(Recherche!$C$12,M2711&amp;" "&amp;F2711)))),1,0)</f>
        <v>8</v>
      </c>
    </row>
    <row r="2712" customFormat="false" ht="15" hidden="false" customHeight="false" outlineLevel="0" collapsed="false">
      <c r="A2712" s="19"/>
      <c r="B2712" s="19"/>
      <c r="C2712" s="19"/>
      <c r="D2712" s="19"/>
      <c r="E2712" s="22"/>
      <c r="F2712" s="19"/>
      <c r="G2712" s="26" t="str">
        <f aca="false">IF(D2712="","",IFERROR(VALUE(LEFT(D2712,FIND(" |",D2712&amp;" |")-1)),"?"))</f>
        <v/>
      </c>
      <c r="H2712" s="27" t="str">
        <f aca="false">IF(G2712="","",IF(G2712="?","⚠ pub inconnue",IFERROR(INDEX(Pubs!$B$2:$B$3001,MATCH(G2712,Pubs!$A$2:$A$3001,0))&amp;"","⚠ pub inconnue")))</f>
        <v/>
      </c>
      <c r="I2712" s="27" t="str">
        <f aca="false">IF(OR(G2712="",G2712="?"),"",IFERROR(INDEX(Pubs!$C$2:$C$3001,MATCH(G2712,Pubs!$A$2:$A$3001,0))&amp;"",""))</f>
        <v/>
      </c>
      <c r="J2712" s="27" t="str">
        <f aca="false">IF(OR(G2712="",G2712="?"),"",IFERROR(INDEX(Pubs!$G$2:$G$3001,MATCH(G2712,Pubs!$A$2:$A$3001,0))&amp;"",""))</f>
        <v/>
      </c>
      <c r="K2712" s="28" t="str">
        <f aca="false">IF(OR(G2712="",G2712="?"),"",IFERROR(INDEX(Pubs!$E$2:$E$3001,MATCH(G2712,Pubs!$A$2:$A$3001,0)),""))</f>
        <v/>
      </c>
      <c r="L2712" s="29" t="str">
        <f aca="false">IF(A2712="","",IFERROR(1/(1/INDEX(Numéros!$C$2:$C$3001,MATCH(A2712&amp;"|"&amp;B2712,Numéros!$F$2:$F$3001,0))),""))</f>
        <v/>
      </c>
      <c r="M2712" s="27" t="str">
        <f aca="false">IF(OR(G2712="",G2712="?"),"",IFERROR(INDEX(Pubs!$D$2:$D$3001,MATCH(G2712,Pubs!$A$2:$A$3001,0))&amp;"",""))</f>
        <v/>
      </c>
      <c r="N2712" s="27" t="n">
        <f aca="false">N(N2711)+IF(AND(A2712&lt;&gt;"",OR(Recherche!$C$4="",A2712=Recherche!$C$4),OR(Recherche!$C$5="",B2712&amp;""=Recherche!$C$5&amp;""),OR(Recherche!$C$6="",IFERROR(YEAR(L2712),0)=Recherche!$C$6),OR(Recherche!$C$7="",ISNUMBER(SEARCH(Recherche!$C$7,H2712))),OR(Recherche!$C$8="",J2712=Recherche!$C$8),OR(Recherche!$C$9="",I2712=Recherche!$C$9),OR(Recherche!$C$10="",G2712&amp;""=Recherche!$C$10&amp;""),OR(Recherche!$C$11="",E2712=Recherche!$C$11),OR(Recherche!$C$12="",ISNUMBER(SEARCH(Recherche!$C$12,M2712&amp;" "&amp;F2712)))),1,0)</f>
        <v>8</v>
      </c>
    </row>
    <row r="2713" customFormat="false" ht="15" hidden="false" customHeight="false" outlineLevel="0" collapsed="false">
      <c r="A2713" s="19"/>
      <c r="B2713" s="19"/>
      <c r="C2713" s="19"/>
      <c r="D2713" s="19"/>
      <c r="E2713" s="22"/>
      <c r="F2713" s="19"/>
      <c r="G2713" s="26" t="str">
        <f aca="false">IF(D2713="","",IFERROR(VALUE(LEFT(D2713,FIND(" |",D2713&amp;" |")-1)),"?"))</f>
        <v/>
      </c>
      <c r="H2713" s="27" t="str">
        <f aca="false">IF(G2713="","",IF(G2713="?","⚠ pub inconnue",IFERROR(INDEX(Pubs!$B$2:$B$3001,MATCH(G2713,Pubs!$A$2:$A$3001,0))&amp;"","⚠ pub inconnue")))</f>
        <v/>
      </c>
      <c r="I2713" s="27" t="str">
        <f aca="false">IF(OR(G2713="",G2713="?"),"",IFERROR(INDEX(Pubs!$C$2:$C$3001,MATCH(G2713,Pubs!$A$2:$A$3001,0))&amp;"",""))</f>
        <v/>
      </c>
      <c r="J2713" s="27" t="str">
        <f aca="false">IF(OR(G2713="",G2713="?"),"",IFERROR(INDEX(Pubs!$G$2:$G$3001,MATCH(G2713,Pubs!$A$2:$A$3001,0))&amp;"",""))</f>
        <v/>
      </c>
      <c r="K2713" s="28" t="str">
        <f aca="false">IF(OR(G2713="",G2713="?"),"",IFERROR(INDEX(Pubs!$E$2:$E$3001,MATCH(G2713,Pubs!$A$2:$A$3001,0)),""))</f>
        <v/>
      </c>
      <c r="L2713" s="29" t="str">
        <f aca="false">IF(A2713="","",IFERROR(1/(1/INDEX(Numéros!$C$2:$C$3001,MATCH(A2713&amp;"|"&amp;B2713,Numéros!$F$2:$F$3001,0))),""))</f>
        <v/>
      </c>
      <c r="M2713" s="27" t="str">
        <f aca="false">IF(OR(G2713="",G2713="?"),"",IFERROR(INDEX(Pubs!$D$2:$D$3001,MATCH(G2713,Pubs!$A$2:$A$3001,0))&amp;"",""))</f>
        <v/>
      </c>
      <c r="N2713" s="27" t="n">
        <f aca="false">N(N2712)+IF(AND(A2713&lt;&gt;"",OR(Recherche!$C$4="",A2713=Recherche!$C$4),OR(Recherche!$C$5="",B2713&amp;""=Recherche!$C$5&amp;""),OR(Recherche!$C$6="",IFERROR(YEAR(L2713),0)=Recherche!$C$6),OR(Recherche!$C$7="",ISNUMBER(SEARCH(Recherche!$C$7,H2713))),OR(Recherche!$C$8="",J2713=Recherche!$C$8),OR(Recherche!$C$9="",I2713=Recherche!$C$9),OR(Recherche!$C$10="",G2713&amp;""=Recherche!$C$10&amp;""),OR(Recherche!$C$11="",E2713=Recherche!$C$11),OR(Recherche!$C$12="",ISNUMBER(SEARCH(Recherche!$C$12,M2713&amp;" "&amp;F2713)))),1,0)</f>
        <v>8</v>
      </c>
    </row>
    <row r="2714" customFormat="false" ht="15" hidden="false" customHeight="false" outlineLevel="0" collapsed="false">
      <c r="A2714" s="19"/>
      <c r="B2714" s="19"/>
      <c r="C2714" s="19"/>
      <c r="D2714" s="19"/>
      <c r="E2714" s="22"/>
      <c r="F2714" s="19"/>
      <c r="G2714" s="26" t="str">
        <f aca="false">IF(D2714="","",IFERROR(VALUE(LEFT(D2714,FIND(" |",D2714&amp;" |")-1)),"?"))</f>
        <v/>
      </c>
      <c r="H2714" s="27" t="str">
        <f aca="false">IF(G2714="","",IF(G2714="?","⚠ pub inconnue",IFERROR(INDEX(Pubs!$B$2:$B$3001,MATCH(G2714,Pubs!$A$2:$A$3001,0))&amp;"","⚠ pub inconnue")))</f>
        <v/>
      </c>
      <c r="I2714" s="27" t="str">
        <f aca="false">IF(OR(G2714="",G2714="?"),"",IFERROR(INDEX(Pubs!$C$2:$C$3001,MATCH(G2714,Pubs!$A$2:$A$3001,0))&amp;"",""))</f>
        <v/>
      </c>
      <c r="J2714" s="27" t="str">
        <f aca="false">IF(OR(G2714="",G2714="?"),"",IFERROR(INDEX(Pubs!$G$2:$G$3001,MATCH(G2714,Pubs!$A$2:$A$3001,0))&amp;"",""))</f>
        <v/>
      </c>
      <c r="K2714" s="28" t="str">
        <f aca="false">IF(OR(G2714="",G2714="?"),"",IFERROR(INDEX(Pubs!$E$2:$E$3001,MATCH(G2714,Pubs!$A$2:$A$3001,0)),""))</f>
        <v/>
      </c>
      <c r="L2714" s="29" t="str">
        <f aca="false">IF(A2714="","",IFERROR(1/(1/INDEX(Numéros!$C$2:$C$3001,MATCH(A2714&amp;"|"&amp;B2714,Numéros!$F$2:$F$3001,0))),""))</f>
        <v/>
      </c>
      <c r="M2714" s="27" t="str">
        <f aca="false">IF(OR(G2714="",G2714="?"),"",IFERROR(INDEX(Pubs!$D$2:$D$3001,MATCH(G2714,Pubs!$A$2:$A$3001,0))&amp;"",""))</f>
        <v/>
      </c>
      <c r="N2714" s="27" t="n">
        <f aca="false">N(N2713)+IF(AND(A2714&lt;&gt;"",OR(Recherche!$C$4="",A2714=Recherche!$C$4),OR(Recherche!$C$5="",B2714&amp;""=Recherche!$C$5&amp;""),OR(Recherche!$C$6="",IFERROR(YEAR(L2714),0)=Recherche!$C$6),OR(Recherche!$C$7="",ISNUMBER(SEARCH(Recherche!$C$7,H2714))),OR(Recherche!$C$8="",J2714=Recherche!$C$8),OR(Recherche!$C$9="",I2714=Recherche!$C$9),OR(Recherche!$C$10="",G2714&amp;""=Recherche!$C$10&amp;""),OR(Recherche!$C$11="",E2714=Recherche!$C$11),OR(Recherche!$C$12="",ISNUMBER(SEARCH(Recherche!$C$12,M2714&amp;" "&amp;F2714)))),1,0)</f>
        <v>8</v>
      </c>
    </row>
    <row r="2715" customFormat="false" ht="15" hidden="false" customHeight="false" outlineLevel="0" collapsed="false">
      <c r="A2715" s="19"/>
      <c r="B2715" s="19"/>
      <c r="C2715" s="19"/>
      <c r="D2715" s="19"/>
      <c r="E2715" s="22"/>
      <c r="F2715" s="19"/>
      <c r="G2715" s="26" t="str">
        <f aca="false">IF(D2715="","",IFERROR(VALUE(LEFT(D2715,FIND(" |",D2715&amp;" |")-1)),"?"))</f>
        <v/>
      </c>
      <c r="H2715" s="27" t="str">
        <f aca="false">IF(G2715="","",IF(G2715="?","⚠ pub inconnue",IFERROR(INDEX(Pubs!$B$2:$B$3001,MATCH(G2715,Pubs!$A$2:$A$3001,0))&amp;"","⚠ pub inconnue")))</f>
        <v/>
      </c>
      <c r="I2715" s="27" t="str">
        <f aca="false">IF(OR(G2715="",G2715="?"),"",IFERROR(INDEX(Pubs!$C$2:$C$3001,MATCH(G2715,Pubs!$A$2:$A$3001,0))&amp;"",""))</f>
        <v/>
      </c>
      <c r="J2715" s="27" t="str">
        <f aca="false">IF(OR(G2715="",G2715="?"),"",IFERROR(INDEX(Pubs!$G$2:$G$3001,MATCH(G2715,Pubs!$A$2:$A$3001,0))&amp;"",""))</f>
        <v/>
      </c>
      <c r="K2715" s="28" t="str">
        <f aca="false">IF(OR(G2715="",G2715="?"),"",IFERROR(INDEX(Pubs!$E$2:$E$3001,MATCH(G2715,Pubs!$A$2:$A$3001,0)),""))</f>
        <v/>
      </c>
      <c r="L2715" s="29" t="str">
        <f aca="false">IF(A2715="","",IFERROR(1/(1/INDEX(Numéros!$C$2:$C$3001,MATCH(A2715&amp;"|"&amp;B2715,Numéros!$F$2:$F$3001,0))),""))</f>
        <v/>
      </c>
      <c r="M2715" s="27" t="str">
        <f aca="false">IF(OR(G2715="",G2715="?"),"",IFERROR(INDEX(Pubs!$D$2:$D$3001,MATCH(G2715,Pubs!$A$2:$A$3001,0))&amp;"",""))</f>
        <v/>
      </c>
      <c r="N2715" s="27" t="n">
        <f aca="false">N(N2714)+IF(AND(A2715&lt;&gt;"",OR(Recherche!$C$4="",A2715=Recherche!$C$4),OR(Recherche!$C$5="",B2715&amp;""=Recherche!$C$5&amp;""),OR(Recherche!$C$6="",IFERROR(YEAR(L2715),0)=Recherche!$C$6),OR(Recherche!$C$7="",ISNUMBER(SEARCH(Recherche!$C$7,H2715))),OR(Recherche!$C$8="",J2715=Recherche!$C$8),OR(Recherche!$C$9="",I2715=Recherche!$C$9),OR(Recherche!$C$10="",G2715&amp;""=Recherche!$C$10&amp;""),OR(Recherche!$C$11="",E2715=Recherche!$C$11),OR(Recherche!$C$12="",ISNUMBER(SEARCH(Recherche!$C$12,M2715&amp;" "&amp;F2715)))),1,0)</f>
        <v>8</v>
      </c>
    </row>
    <row r="2716" customFormat="false" ht="15" hidden="false" customHeight="false" outlineLevel="0" collapsed="false">
      <c r="A2716" s="19"/>
      <c r="B2716" s="19"/>
      <c r="C2716" s="19"/>
      <c r="D2716" s="19"/>
      <c r="E2716" s="22"/>
      <c r="F2716" s="19"/>
      <c r="G2716" s="26" t="str">
        <f aca="false">IF(D2716="","",IFERROR(VALUE(LEFT(D2716,FIND(" |",D2716&amp;" |")-1)),"?"))</f>
        <v/>
      </c>
      <c r="H2716" s="27" t="str">
        <f aca="false">IF(G2716="","",IF(G2716="?","⚠ pub inconnue",IFERROR(INDEX(Pubs!$B$2:$B$3001,MATCH(G2716,Pubs!$A$2:$A$3001,0))&amp;"","⚠ pub inconnue")))</f>
        <v/>
      </c>
      <c r="I2716" s="27" t="str">
        <f aca="false">IF(OR(G2716="",G2716="?"),"",IFERROR(INDEX(Pubs!$C$2:$C$3001,MATCH(G2716,Pubs!$A$2:$A$3001,0))&amp;"",""))</f>
        <v/>
      </c>
      <c r="J2716" s="27" t="str">
        <f aca="false">IF(OR(G2716="",G2716="?"),"",IFERROR(INDEX(Pubs!$G$2:$G$3001,MATCH(G2716,Pubs!$A$2:$A$3001,0))&amp;"",""))</f>
        <v/>
      </c>
      <c r="K2716" s="28" t="str">
        <f aca="false">IF(OR(G2716="",G2716="?"),"",IFERROR(INDEX(Pubs!$E$2:$E$3001,MATCH(G2716,Pubs!$A$2:$A$3001,0)),""))</f>
        <v/>
      </c>
      <c r="L2716" s="29" t="str">
        <f aca="false">IF(A2716="","",IFERROR(1/(1/INDEX(Numéros!$C$2:$C$3001,MATCH(A2716&amp;"|"&amp;B2716,Numéros!$F$2:$F$3001,0))),""))</f>
        <v/>
      </c>
      <c r="M2716" s="27" t="str">
        <f aca="false">IF(OR(G2716="",G2716="?"),"",IFERROR(INDEX(Pubs!$D$2:$D$3001,MATCH(G2716,Pubs!$A$2:$A$3001,0))&amp;"",""))</f>
        <v/>
      </c>
      <c r="N2716" s="27" t="n">
        <f aca="false">N(N2715)+IF(AND(A2716&lt;&gt;"",OR(Recherche!$C$4="",A2716=Recherche!$C$4),OR(Recherche!$C$5="",B2716&amp;""=Recherche!$C$5&amp;""),OR(Recherche!$C$6="",IFERROR(YEAR(L2716),0)=Recherche!$C$6),OR(Recherche!$C$7="",ISNUMBER(SEARCH(Recherche!$C$7,H2716))),OR(Recherche!$C$8="",J2716=Recherche!$C$8),OR(Recherche!$C$9="",I2716=Recherche!$C$9),OR(Recherche!$C$10="",G2716&amp;""=Recherche!$C$10&amp;""),OR(Recherche!$C$11="",E2716=Recherche!$C$11),OR(Recherche!$C$12="",ISNUMBER(SEARCH(Recherche!$C$12,M2716&amp;" "&amp;F2716)))),1,0)</f>
        <v>8</v>
      </c>
    </row>
    <row r="2717" customFormat="false" ht="15" hidden="false" customHeight="false" outlineLevel="0" collapsed="false">
      <c r="A2717" s="19"/>
      <c r="B2717" s="19"/>
      <c r="C2717" s="19"/>
      <c r="D2717" s="19"/>
      <c r="E2717" s="22"/>
      <c r="F2717" s="19"/>
      <c r="G2717" s="26" t="str">
        <f aca="false">IF(D2717="","",IFERROR(VALUE(LEFT(D2717,FIND(" |",D2717&amp;" |")-1)),"?"))</f>
        <v/>
      </c>
      <c r="H2717" s="27" t="str">
        <f aca="false">IF(G2717="","",IF(G2717="?","⚠ pub inconnue",IFERROR(INDEX(Pubs!$B$2:$B$3001,MATCH(G2717,Pubs!$A$2:$A$3001,0))&amp;"","⚠ pub inconnue")))</f>
        <v/>
      </c>
      <c r="I2717" s="27" t="str">
        <f aca="false">IF(OR(G2717="",G2717="?"),"",IFERROR(INDEX(Pubs!$C$2:$C$3001,MATCH(G2717,Pubs!$A$2:$A$3001,0))&amp;"",""))</f>
        <v/>
      </c>
      <c r="J2717" s="27" t="str">
        <f aca="false">IF(OR(G2717="",G2717="?"),"",IFERROR(INDEX(Pubs!$G$2:$G$3001,MATCH(G2717,Pubs!$A$2:$A$3001,0))&amp;"",""))</f>
        <v/>
      </c>
      <c r="K2717" s="28" t="str">
        <f aca="false">IF(OR(G2717="",G2717="?"),"",IFERROR(INDEX(Pubs!$E$2:$E$3001,MATCH(G2717,Pubs!$A$2:$A$3001,0)),""))</f>
        <v/>
      </c>
      <c r="L2717" s="29" t="str">
        <f aca="false">IF(A2717="","",IFERROR(1/(1/INDEX(Numéros!$C$2:$C$3001,MATCH(A2717&amp;"|"&amp;B2717,Numéros!$F$2:$F$3001,0))),""))</f>
        <v/>
      </c>
      <c r="M2717" s="27" t="str">
        <f aca="false">IF(OR(G2717="",G2717="?"),"",IFERROR(INDEX(Pubs!$D$2:$D$3001,MATCH(G2717,Pubs!$A$2:$A$3001,0))&amp;"",""))</f>
        <v/>
      </c>
      <c r="N2717" s="27" t="n">
        <f aca="false">N(N2716)+IF(AND(A2717&lt;&gt;"",OR(Recherche!$C$4="",A2717=Recherche!$C$4),OR(Recherche!$C$5="",B2717&amp;""=Recherche!$C$5&amp;""),OR(Recherche!$C$6="",IFERROR(YEAR(L2717),0)=Recherche!$C$6),OR(Recherche!$C$7="",ISNUMBER(SEARCH(Recherche!$C$7,H2717))),OR(Recherche!$C$8="",J2717=Recherche!$C$8),OR(Recherche!$C$9="",I2717=Recherche!$C$9),OR(Recherche!$C$10="",G2717&amp;""=Recherche!$C$10&amp;""),OR(Recherche!$C$11="",E2717=Recherche!$C$11),OR(Recherche!$C$12="",ISNUMBER(SEARCH(Recherche!$C$12,M2717&amp;" "&amp;F2717)))),1,0)</f>
        <v>8</v>
      </c>
    </row>
    <row r="2718" customFormat="false" ht="15" hidden="false" customHeight="false" outlineLevel="0" collapsed="false">
      <c r="A2718" s="19"/>
      <c r="B2718" s="19"/>
      <c r="C2718" s="19"/>
      <c r="D2718" s="19"/>
      <c r="E2718" s="22"/>
      <c r="F2718" s="19"/>
      <c r="G2718" s="26" t="str">
        <f aca="false">IF(D2718="","",IFERROR(VALUE(LEFT(D2718,FIND(" |",D2718&amp;" |")-1)),"?"))</f>
        <v/>
      </c>
      <c r="H2718" s="27" t="str">
        <f aca="false">IF(G2718="","",IF(G2718="?","⚠ pub inconnue",IFERROR(INDEX(Pubs!$B$2:$B$3001,MATCH(G2718,Pubs!$A$2:$A$3001,0))&amp;"","⚠ pub inconnue")))</f>
        <v/>
      </c>
      <c r="I2718" s="27" t="str">
        <f aca="false">IF(OR(G2718="",G2718="?"),"",IFERROR(INDEX(Pubs!$C$2:$C$3001,MATCH(G2718,Pubs!$A$2:$A$3001,0))&amp;"",""))</f>
        <v/>
      </c>
      <c r="J2718" s="27" t="str">
        <f aca="false">IF(OR(G2718="",G2718="?"),"",IFERROR(INDEX(Pubs!$G$2:$G$3001,MATCH(G2718,Pubs!$A$2:$A$3001,0))&amp;"",""))</f>
        <v/>
      </c>
      <c r="K2718" s="28" t="str">
        <f aca="false">IF(OR(G2718="",G2718="?"),"",IFERROR(INDEX(Pubs!$E$2:$E$3001,MATCH(G2718,Pubs!$A$2:$A$3001,0)),""))</f>
        <v/>
      </c>
      <c r="L2718" s="29" t="str">
        <f aca="false">IF(A2718="","",IFERROR(1/(1/INDEX(Numéros!$C$2:$C$3001,MATCH(A2718&amp;"|"&amp;B2718,Numéros!$F$2:$F$3001,0))),""))</f>
        <v/>
      </c>
      <c r="M2718" s="27" t="str">
        <f aca="false">IF(OR(G2718="",G2718="?"),"",IFERROR(INDEX(Pubs!$D$2:$D$3001,MATCH(G2718,Pubs!$A$2:$A$3001,0))&amp;"",""))</f>
        <v/>
      </c>
      <c r="N2718" s="27" t="n">
        <f aca="false">N(N2717)+IF(AND(A2718&lt;&gt;"",OR(Recherche!$C$4="",A2718=Recherche!$C$4),OR(Recherche!$C$5="",B2718&amp;""=Recherche!$C$5&amp;""),OR(Recherche!$C$6="",IFERROR(YEAR(L2718),0)=Recherche!$C$6),OR(Recherche!$C$7="",ISNUMBER(SEARCH(Recherche!$C$7,H2718))),OR(Recherche!$C$8="",J2718=Recherche!$C$8),OR(Recherche!$C$9="",I2718=Recherche!$C$9),OR(Recherche!$C$10="",G2718&amp;""=Recherche!$C$10&amp;""),OR(Recherche!$C$11="",E2718=Recherche!$C$11),OR(Recherche!$C$12="",ISNUMBER(SEARCH(Recherche!$C$12,M2718&amp;" "&amp;F2718)))),1,0)</f>
        <v>8</v>
      </c>
    </row>
    <row r="2719" customFormat="false" ht="15" hidden="false" customHeight="false" outlineLevel="0" collapsed="false">
      <c r="A2719" s="19"/>
      <c r="B2719" s="19"/>
      <c r="C2719" s="19"/>
      <c r="D2719" s="19"/>
      <c r="E2719" s="22"/>
      <c r="F2719" s="19"/>
      <c r="G2719" s="26" t="str">
        <f aca="false">IF(D2719="","",IFERROR(VALUE(LEFT(D2719,FIND(" |",D2719&amp;" |")-1)),"?"))</f>
        <v/>
      </c>
      <c r="H2719" s="27" t="str">
        <f aca="false">IF(G2719="","",IF(G2719="?","⚠ pub inconnue",IFERROR(INDEX(Pubs!$B$2:$B$3001,MATCH(G2719,Pubs!$A$2:$A$3001,0))&amp;"","⚠ pub inconnue")))</f>
        <v/>
      </c>
      <c r="I2719" s="27" t="str">
        <f aca="false">IF(OR(G2719="",G2719="?"),"",IFERROR(INDEX(Pubs!$C$2:$C$3001,MATCH(G2719,Pubs!$A$2:$A$3001,0))&amp;"",""))</f>
        <v/>
      </c>
      <c r="J2719" s="27" t="str">
        <f aca="false">IF(OR(G2719="",G2719="?"),"",IFERROR(INDEX(Pubs!$G$2:$G$3001,MATCH(G2719,Pubs!$A$2:$A$3001,0))&amp;"",""))</f>
        <v/>
      </c>
      <c r="K2719" s="28" t="str">
        <f aca="false">IF(OR(G2719="",G2719="?"),"",IFERROR(INDEX(Pubs!$E$2:$E$3001,MATCH(G2719,Pubs!$A$2:$A$3001,0)),""))</f>
        <v/>
      </c>
      <c r="L2719" s="29" t="str">
        <f aca="false">IF(A2719="","",IFERROR(1/(1/INDEX(Numéros!$C$2:$C$3001,MATCH(A2719&amp;"|"&amp;B2719,Numéros!$F$2:$F$3001,0))),""))</f>
        <v/>
      </c>
      <c r="M2719" s="27" t="str">
        <f aca="false">IF(OR(G2719="",G2719="?"),"",IFERROR(INDEX(Pubs!$D$2:$D$3001,MATCH(G2719,Pubs!$A$2:$A$3001,0))&amp;"",""))</f>
        <v/>
      </c>
      <c r="N2719" s="27" t="n">
        <f aca="false">N(N2718)+IF(AND(A2719&lt;&gt;"",OR(Recherche!$C$4="",A2719=Recherche!$C$4),OR(Recherche!$C$5="",B2719&amp;""=Recherche!$C$5&amp;""),OR(Recherche!$C$6="",IFERROR(YEAR(L2719),0)=Recherche!$C$6),OR(Recherche!$C$7="",ISNUMBER(SEARCH(Recherche!$C$7,H2719))),OR(Recherche!$C$8="",J2719=Recherche!$C$8),OR(Recherche!$C$9="",I2719=Recherche!$C$9),OR(Recherche!$C$10="",G2719&amp;""=Recherche!$C$10&amp;""),OR(Recherche!$C$11="",E2719=Recherche!$C$11),OR(Recherche!$C$12="",ISNUMBER(SEARCH(Recherche!$C$12,M2719&amp;" "&amp;F2719)))),1,0)</f>
        <v>8</v>
      </c>
    </row>
    <row r="2720" customFormat="false" ht="15" hidden="false" customHeight="false" outlineLevel="0" collapsed="false">
      <c r="A2720" s="19"/>
      <c r="B2720" s="19"/>
      <c r="C2720" s="19"/>
      <c r="D2720" s="19"/>
      <c r="E2720" s="22"/>
      <c r="F2720" s="19"/>
      <c r="G2720" s="26" t="str">
        <f aca="false">IF(D2720="","",IFERROR(VALUE(LEFT(D2720,FIND(" |",D2720&amp;" |")-1)),"?"))</f>
        <v/>
      </c>
      <c r="H2720" s="27" t="str">
        <f aca="false">IF(G2720="","",IF(G2720="?","⚠ pub inconnue",IFERROR(INDEX(Pubs!$B$2:$B$3001,MATCH(G2720,Pubs!$A$2:$A$3001,0))&amp;"","⚠ pub inconnue")))</f>
        <v/>
      </c>
      <c r="I2720" s="27" t="str">
        <f aca="false">IF(OR(G2720="",G2720="?"),"",IFERROR(INDEX(Pubs!$C$2:$C$3001,MATCH(G2720,Pubs!$A$2:$A$3001,0))&amp;"",""))</f>
        <v/>
      </c>
      <c r="J2720" s="27" t="str">
        <f aca="false">IF(OR(G2720="",G2720="?"),"",IFERROR(INDEX(Pubs!$G$2:$G$3001,MATCH(G2720,Pubs!$A$2:$A$3001,0))&amp;"",""))</f>
        <v/>
      </c>
      <c r="K2720" s="28" t="str">
        <f aca="false">IF(OR(G2720="",G2720="?"),"",IFERROR(INDEX(Pubs!$E$2:$E$3001,MATCH(G2720,Pubs!$A$2:$A$3001,0)),""))</f>
        <v/>
      </c>
      <c r="L2720" s="29" t="str">
        <f aca="false">IF(A2720="","",IFERROR(1/(1/INDEX(Numéros!$C$2:$C$3001,MATCH(A2720&amp;"|"&amp;B2720,Numéros!$F$2:$F$3001,0))),""))</f>
        <v/>
      </c>
      <c r="M2720" s="27" t="str">
        <f aca="false">IF(OR(G2720="",G2720="?"),"",IFERROR(INDEX(Pubs!$D$2:$D$3001,MATCH(G2720,Pubs!$A$2:$A$3001,0))&amp;"",""))</f>
        <v/>
      </c>
      <c r="N2720" s="27" t="n">
        <f aca="false">N(N2719)+IF(AND(A2720&lt;&gt;"",OR(Recherche!$C$4="",A2720=Recherche!$C$4),OR(Recherche!$C$5="",B2720&amp;""=Recherche!$C$5&amp;""),OR(Recherche!$C$6="",IFERROR(YEAR(L2720),0)=Recherche!$C$6),OR(Recherche!$C$7="",ISNUMBER(SEARCH(Recherche!$C$7,H2720))),OR(Recherche!$C$8="",J2720=Recherche!$C$8),OR(Recherche!$C$9="",I2720=Recherche!$C$9),OR(Recherche!$C$10="",G2720&amp;""=Recherche!$C$10&amp;""),OR(Recherche!$C$11="",E2720=Recherche!$C$11),OR(Recherche!$C$12="",ISNUMBER(SEARCH(Recherche!$C$12,M2720&amp;" "&amp;F2720)))),1,0)</f>
        <v>8</v>
      </c>
    </row>
    <row r="2721" customFormat="false" ht="15" hidden="false" customHeight="false" outlineLevel="0" collapsed="false">
      <c r="A2721" s="19"/>
      <c r="B2721" s="19"/>
      <c r="C2721" s="19"/>
      <c r="D2721" s="19"/>
      <c r="E2721" s="22"/>
      <c r="F2721" s="19"/>
      <c r="G2721" s="26" t="str">
        <f aca="false">IF(D2721="","",IFERROR(VALUE(LEFT(D2721,FIND(" |",D2721&amp;" |")-1)),"?"))</f>
        <v/>
      </c>
      <c r="H2721" s="27" t="str">
        <f aca="false">IF(G2721="","",IF(G2721="?","⚠ pub inconnue",IFERROR(INDEX(Pubs!$B$2:$B$3001,MATCH(G2721,Pubs!$A$2:$A$3001,0))&amp;"","⚠ pub inconnue")))</f>
        <v/>
      </c>
      <c r="I2721" s="27" t="str">
        <f aca="false">IF(OR(G2721="",G2721="?"),"",IFERROR(INDEX(Pubs!$C$2:$C$3001,MATCH(G2721,Pubs!$A$2:$A$3001,0))&amp;"",""))</f>
        <v/>
      </c>
      <c r="J2721" s="27" t="str">
        <f aca="false">IF(OR(G2721="",G2721="?"),"",IFERROR(INDEX(Pubs!$G$2:$G$3001,MATCH(G2721,Pubs!$A$2:$A$3001,0))&amp;"",""))</f>
        <v/>
      </c>
      <c r="K2721" s="28" t="str">
        <f aca="false">IF(OR(G2721="",G2721="?"),"",IFERROR(INDEX(Pubs!$E$2:$E$3001,MATCH(G2721,Pubs!$A$2:$A$3001,0)),""))</f>
        <v/>
      </c>
      <c r="L2721" s="29" t="str">
        <f aca="false">IF(A2721="","",IFERROR(1/(1/INDEX(Numéros!$C$2:$C$3001,MATCH(A2721&amp;"|"&amp;B2721,Numéros!$F$2:$F$3001,0))),""))</f>
        <v/>
      </c>
      <c r="M2721" s="27" t="str">
        <f aca="false">IF(OR(G2721="",G2721="?"),"",IFERROR(INDEX(Pubs!$D$2:$D$3001,MATCH(G2721,Pubs!$A$2:$A$3001,0))&amp;"",""))</f>
        <v/>
      </c>
      <c r="N2721" s="27" t="n">
        <f aca="false">N(N2720)+IF(AND(A2721&lt;&gt;"",OR(Recherche!$C$4="",A2721=Recherche!$C$4),OR(Recherche!$C$5="",B2721&amp;""=Recherche!$C$5&amp;""),OR(Recherche!$C$6="",IFERROR(YEAR(L2721),0)=Recherche!$C$6),OR(Recherche!$C$7="",ISNUMBER(SEARCH(Recherche!$C$7,H2721))),OR(Recherche!$C$8="",J2721=Recherche!$C$8),OR(Recherche!$C$9="",I2721=Recherche!$C$9),OR(Recherche!$C$10="",G2721&amp;""=Recherche!$C$10&amp;""),OR(Recherche!$C$11="",E2721=Recherche!$C$11),OR(Recherche!$C$12="",ISNUMBER(SEARCH(Recherche!$C$12,M2721&amp;" "&amp;F2721)))),1,0)</f>
        <v>8</v>
      </c>
    </row>
    <row r="2722" customFormat="false" ht="15" hidden="false" customHeight="false" outlineLevel="0" collapsed="false">
      <c r="A2722" s="19"/>
      <c r="B2722" s="19"/>
      <c r="C2722" s="19"/>
      <c r="D2722" s="19"/>
      <c r="E2722" s="22"/>
      <c r="F2722" s="19"/>
      <c r="G2722" s="26" t="str">
        <f aca="false">IF(D2722="","",IFERROR(VALUE(LEFT(D2722,FIND(" |",D2722&amp;" |")-1)),"?"))</f>
        <v/>
      </c>
      <c r="H2722" s="27" t="str">
        <f aca="false">IF(G2722="","",IF(G2722="?","⚠ pub inconnue",IFERROR(INDEX(Pubs!$B$2:$B$3001,MATCH(G2722,Pubs!$A$2:$A$3001,0))&amp;"","⚠ pub inconnue")))</f>
        <v/>
      </c>
      <c r="I2722" s="27" t="str">
        <f aca="false">IF(OR(G2722="",G2722="?"),"",IFERROR(INDEX(Pubs!$C$2:$C$3001,MATCH(G2722,Pubs!$A$2:$A$3001,0))&amp;"",""))</f>
        <v/>
      </c>
      <c r="J2722" s="27" t="str">
        <f aca="false">IF(OR(G2722="",G2722="?"),"",IFERROR(INDEX(Pubs!$G$2:$G$3001,MATCH(G2722,Pubs!$A$2:$A$3001,0))&amp;"",""))</f>
        <v/>
      </c>
      <c r="K2722" s="28" t="str">
        <f aca="false">IF(OR(G2722="",G2722="?"),"",IFERROR(INDEX(Pubs!$E$2:$E$3001,MATCH(G2722,Pubs!$A$2:$A$3001,0)),""))</f>
        <v/>
      </c>
      <c r="L2722" s="29" t="str">
        <f aca="false">IF(A2722="","",IFERROR(1/(1/INDEX(Numéros!$C$2:$C$3001,MATCH(A2722&amp;"|"&amp;B2722,Numéros!$F$2:$F$3001,0))),""))</f>
        <v/>
      </c>
      <c r="M2722" s="27" t="str">
        <f aca="false">IF(OR(G2722="",G2722="?"),"",IFERROR(INDEX(Pubs!$D$2:$D$3001,MATCH(G2722,Pubs!$A$2:$A$3001,0))&amp;"",""))</f>
        <v/>
      </c>
      <c r="N2722" s="27" t="n">
        <f aca="false">N(N2721)+IF(AND(A2722&lt;&gt;"",OR(Recherche!$C$4="",A2722=Recherche!$C$4),OR(Recherche!$C$5="",B2722&amp;""=Recherche!$C$5&amp;""),OR(Recherche!$C$6="",IFERROR(YEAR(L2722),0)=Recherche!$C$6),OR(Recherche!$C$7="",ISNUMBER(SEARCH(Recherche!$C$7,H2722))),OR(Recherche!$C$8="",J2722=Recherche!$C$8),OR(Recherche!$C$9="",I2722=Recherche!$C$9),OR(Recherche!$C$10="",G2722&amp;""=Recherche!$C$10&amp;""),OR(Recherche!$C$11="",E2722=Recherche!$C$11),OR(Recherche!$C$12="",ISNUMBER(SEARCH(Recherche!$C$12,M2722&amp;" "&amp;F2722)))),1,0)</f>
        <v>8</v>
      </c>
    </row>
    <row r="2723" customFormat="false" ht="15" hidden="false" customHeight="false" outlineLevel="0" collapsed="false">
      <c r="A2723" s="19"/>
      <c r="B2723" s="19"/>
      <c r="C2723" s="19"/>
      <c r="D2723" s="19"/>
      <c r="E2723" s="22"/>
      <c r="F2723" s="19"/>
      <c r="G2723" s="26" t="str">
        <f aca="false">IF(D2723="","",IFERROR(VALUE(LEFT(D2723,FIND(" |",D2723&amp;" |")-1)),"?"))</f>
        <v/>
      </c>
      <c r="H2723" s="27" t="str">
        <f aca="false">IF(G2723="","",IF(G2723="?","⚠ pub inconnue",IFERROR(INDEX(Pubs!$B$2:$B$3001,MATCH(G2723,Pubs!$A$2:$A$3001,0))&amp;"","⚠ pub inconnue")))</f>
        <v/>
      </c>
      <c r="I2723" s="27" t="str">
        <f aca="false">IF(OR(G2723="",G2723="?"),"",IFERROR(INDEX(Pubs!$C$2:$C$3001,MATCH(G2723,Pubs!$A$2:$A$3001,0))&amp;"",""))</f>
        <v/>
      </c>
      <c r="J2723" s="27" t="str">
        <f aca="false">IF(OR(G2723="",G2723="?"),"",IFERROR(INDEX(Pubs!$G$2:$G$3001,MATCH(G2723,Pubs!$A$2:$A$3001,0))&amp;"",""))</f>
        <v/>
      </c>
      <c r="K2723" s="28" t="str">
        <f aca="false">IF(OR(G2723="",G2723="?"),"",IFERROR(INDEX(Pubs!$E$2:$E$3001,MATCH(G2723,Pubs!$A$2:$A$3001,0)),""))</f>
        <v/>
      </c>
      <c r="L2723" s="29" t="str">
        <f aca="false">IF(A2723="","",IFERROR(1/(1/INDEX(Numéros!$C$2:$C$3001,MATCH(A2723&amp;"|"&amp;B2723,Numéros!$F$2:$F$3001,0))),""))</f>
        <v/>
      </c>
      <c r="M2723" s="27" t="str">
        <f aca="false">IF(OR(G2723="",G2723="?"),"",IFERROR(INDEX(Pubs!$D$2:$D$3001,MATCH(G2723,Pubs!$A$2:$A$3001,0))&amp;"",""))</f>
        <v/>
      </c>
      <c r="N2723" s="27" t="n">
        <f aca="false">N(N2722)+IF(AND(A2723&lt;&gt;"",OR(Recherche!$C$4="",A2723=Recherche!$C$4),OR(Recherche!$C$5="",B2723&amp;""=Recherche!$C$5&amp;""),OR(Recherche!$C$6="",IFERROR(YEAR(L2723),0)=Recherche!$C$6),OR(Recherche!$C$7="",ISNUMBER(SEARCH(Recherche!$C$7,H2723))),OR(Recherche!$C$8="",J2723=Recherche!$C$8),OR(Recherche!$C$9="",I2723=Recherche!$C$9),OR(Recherche!$C$10="",G2723&amp;""=Recherche!$C$10&amp;""),OR(Recherche!$C$11="",E2723=Recherche!$C$11),OR(Recherche!$C$12="",ISNUMBER(SEARCH(Recherche!$C$12,M2723&amp;" "&amp;F2723)))),1,0)</f>
        <v>8</v>
      </c>
    </row>
    <row r="2724" customFormat="false" ht="15" hidden="false" customHeight="false" outlineLevel="0" collapsed="false">
      <c r="A2724" s="19"/>
      <c r="B2724" s="19"/>
      <c r="C2724" s="19"/>
      <c r="D2724" s="19"/>
      <c r="E2724" s="22"/>
      <c r="F2724" s="19"/>
      <c r="G2724" s="26" t="str">
        <f aca="false">IF(D2724="","",IFERROR(VALUE(LEFT(D2724,FIND(" |",D2724&amp;" |")-1)),"?"))</f>
        <v/>
      </c>
      <c r="H2724" s="27" t="str">
        <f aca="false">IF(G2724="","",IF(G2724="?","⚠ pub inconnue",IFERROR(INDEX(Pubs!$B$2:$B$3001,MATCH(G2724,Pubs!$A$2:$A$3001,0))&amp;"","⚠ pub inconnue")))</f>
        <v/>
      </c>
      <c r="I2724" s="27" t="str">
        <f aca="false">IF(OR(G2724="",G2724="?"),"",IFERROR(INDEX(Pubs!$C$2:$C$3001,MATCH(G2724,Pubs!$A$2:$A$3001,0))&amp;"",""))</f>
        <v/>
      </c>
      <c r="J2724" s="27" t="str">
        <f aca="false">IF(OR(G2724="",G2724="?"),"",IFERROR(INDEX(Pubs!$G$2:$G$3001,MATCH(G2724,Pubs!$A$2:$A$3001,0))&amp;"",""))</f>
        <v/>
      </c>
      <c r="K2724" s="28" t="str">
        <f aca="false">IF(OR(G2724="",G2724="?"),"",IFERROR(INDEX(Pubs!$E$2:$E$3001,MATCH(G2724,Pubs!$A$2:$A$3001,0)),""))</f>
        <v/>
      </c>
      <c r="L2724" s="29" t="str">
        <f aca="false">IF(A2724="","",IFERROR(1/(1/INDEX(Numéros!$C$2:$C$3001,MATCH(A2724&amp;"|"&amp;B2724,Numéros!$F$2:$F$3001,0))),""))</f>
        <v/>
      </c>
      <c r="M2724" s="27" t="str">
        <f aca="false">IF(OR(G2724="",G2724="?"),"",IFERROR(INDEX(Pubs!$D$2:$D$3001,MATCH(G2724,Pubs!$A$2:$A$3001,0))&amp;"",""))</f>
        <v/>
      </c>
      <c r="N2724" s="27" t="n">
        <f aca="false">N(N2723)+IF(AND(A2724&lt;&gt;"",OR(Recherche!$C$4="",A2724=Recherche!$C$4),OR(Recherche!$C$5="",B2724&amp;""=Recherche!$C$5&amp;""),OR(Recherche!$C$6="",IFERROR(YEAR(L2724),0)=Recherche!$C$6),OR(Recherche!$C$7="",ISNUMBER(SEARCH(Recherche!$C$7,H2724))),OR(Recherche!$C$8="",J2724=Recherche!$C$8),OR(Recherche!$C$9="",I2724=Recherche!$C$9),OR(Recherche!$C$10="",G2724&amp;""=Recherche!$C$10&amp;""),OR(Recherche!$C$11="",E2724=Recherche!$C$11),OR(Recherche!$C$12="",ISNUMBER(SEARCH(Recherche!$C$12,M2724&amp;" "&amp;F2724)))),1,0)</f>
        <v>8</v>
      </c>
    </row>
    <row r="2725" customFormat="false" ht="15" hidden="false" customHeight="false" outlineLevel="0" collapsed="false">
      <c r="A2725" s="19"/>
      <c r="B2725" s="19"/>
      <c r="C2725" s="19"/>
      <c r="D2725" s="19"/>
      <c r="E2725" s="22"/>
      <c r="F2725" s="19"/>
      <c r="G2725" s="26" t="str">
        <f aca="false">IF(D2725="","",IFERROR(VALUE(LEFT(D2725,FIND(" |",D2725&amp;" |")-1)),"?"))</f>
        <v/>
      </c>
      <c r="H2725" s="27" t="str">
        <f aca="false">IF(G2725="","",IF(G2725="?","⚠ pub inconnue",IFERROR(INDEX(Pubs!$B$2:$B$3001,MATCH(G2725,Pubs!$A$2:$A$3001,0))&amp;"","⚠ pub inconnue")))</f>
        <v/>
      </c>
      <c r="I2725" s="27" t="str">
        <f aca="false">IF(OR(G2725="",G2725="?"),"",IFERROR(INDEX(Pubs!$C$2:$C$3001,MATCH(G2725,Pubs!$A$2:$A$3001,0))&amp;"",""))</f>
        <v/>
      </c>
      <c r="J2725" s="27" t="str">
        <f aca="false">IF(OR(G2725="",G2725="?"),"",IFERROR(INDEX(Pubs!$G$2:$G$3001,MATCH(G2725,Pubs!$A$2:$A$3001,0))&amp;"",""))</f>
        <v/>
      </c>
      <c r="K2725" s="28" t="str">
        <f aca="false">IF(OR(G2725="",G2725="?"),"",IFERROR(INDEX(Pubs!$E$2:$E$3001,MATCH(G2725,Pubs!$A$2:$A$3001,0)),""))</f>
        <v/>
      </c>
      <c r="L2725" s="29" t="str">
        <f aca="false">IF(A2725="","",IFERROR(1/(1/INDEX(Numéros!$C$2:$C$3001,MATCH(A2725&amp;"|"&amp;B2725,Numéros!$F$2:$F$3001,0))),""))</f>
        <v/>
      </c>
      <c r="M2725" s="27" t="str">
        <f aca="false">IF(OR(G2725="",G2725="?"),"",IFERROR(INDEX(Pubs!$D$2:$D$3001,MATCH(G2725,Pubs!$A$2:$A$3001,0))&amp;"",""))</f>
        <v/>
      </c>
      <c r="N2725" s="27" t="n">
        <f aca="false">N(N2724)+IF(AND(A2725&lt;&gt;"",OR(Recherche!$C$4="",A2725=Recherche!$C$4),OR(Recherche!$C$5="",B2725&amp;""=Recherche!$C$5&amp;""),OR(Recherche!$C$6="",IFERROR(YEAR(L2725),0)=Recherche!$C$6),OR(Recherche!$C$7="",ISNUMBER(SEARCH(Recherche!$C$7,H2725))),OR(Recherche!$C$8="",J2725=Recherche!$C$8),OR(Recherche!$C$9="",I2725=Recherche!$C$9),OR(Recherche!$C$10="",G2725&amp;""=Recherche!$C$10&amp;""),OR(Recherche!$C$11="",E2725=Recherche!$C$11),OR(Recherche!$C$12="",ISNUMBER(SEARCH(Recherche!$C$12,M2725&amp;" "&amp;F2725)))),1,0)</f>
        <v>8</v>
      </c>
    </row>
    <row r="2726" customFormat="false" ht="15" hidden="false" customHeight="false" outlineLevel="0" collapsed="false">
      <c r="A2726" s="19"/>
      <c r="B2726" s="19"/>
      <c r="C2726" s="19"/>
      <c r="D2726" s="19"/>
      <c r="E2726" s="22"/>
      <c r="F2726" s="19"/>
      <c r="G2726" s="26" t="str">
        <f aca="false">IF(D2726="","",IFERROR(VALUE(LEFT(D2726,FIND(" |",D2726&amp;" |")-1)),"?"))</f>
        <v/>
      </c>
      <c r="H2726" s="27" t="str">
        <f aca="false">IF(G2726="","",IF(G2726="?","⚠ pub inconnue",IFERROR(INDEX(Pubs!$B$2:$B$3001,MATCH(G2726,Pubs!$A$2:$A$3001,0))&amp;"","⚠ pub inconnue")))</f>
        <v/>
      </c>
      <c r="I2726" s="27" t="str">
        <f aca="false">IF(OR(G2726="",G2726="?"),"",IFERROR(INDEX(Pubs!$C$2:$C$3001,MATCH(G2726,Pubs!$A$2:$A$3001,0))&amp;"",""))</f>
        <v/>
      </c>
      <c r="J2726" s="27" t="str">
        <f aca="false">IF(OR(G2726="",G2726="?"),"",IFERROR(INDEX(Pubs!$G$2:$G$3001,MATCH(G2726,Pubs!$A$2:$A$3001,0))&amp;"",""))</f>
        <v/>
      </c>
      <c r="K2726" s="28" t="str">
        <f aca="false">IF(OR(G2726="",G2726="?"),"",IFERROR(INDEX(Pubs!$E$2:$E$3001,MATCH(G2726,Pubs!$A$2:$A$3001,0)),""))</f>
        <v/>
      </c>
      <c r="L2726" s="29" t="str">
        <f aca="false">IF(A2726="","",IFERROR(1/(1/INDEX(Numéros!$C$2:$C$3001,MATCH(A2726&amp;"|"&amp;B2726,Numéros!$F$2:$F$3001,0))),""))</f>
        <v/>
      </c>
      <c r="M2726" s="27" t="str">
        <f aca="false">IF(OR(G2726="",G2726="?"),"",IFERROR(INDEX(Pubs!$D$2:$D$3001,MATCH(G2726,Pubs!$A$2:$A$3001,0))&amp;"",""))</f>
        <v/>
      </c>
      <c r="N2726" s="27" t="n">
        <f aca="false">N(N2725)+IF(AND(A2726&lt;&gt;"",OR(Recherche!$C$4="",A2726=Recherche!$C$4),OR(Recherche!$C$5="",B2726&amp;""=Recherche!$C$5&amp;""),OR(Recherche!$C$6="",IFERROR(YEAR(L2726),0)=Recherche!$C$6),OR(Recherche!$C$7="",ISNUMBER(SEARCH(Recherche!$C$7,H2726))),OR(Recherche!$C$8="",J2726=Recherche!$C$8),OR(Recherche!$C$9="",I2726=Recherche!$C$9),OR(Recherche!$C$10="",G2726&amp;""=Recherche!$C$10&amp;""),OR(Recherche!$C$11="",E2726=Recherche!$C$11),OR(Recherche!$C$12="",ISNUMBER(SEARCH(Recherche!$C$12,M2726&amp;" "&amp;F2726)))),1,0)</f>
        <v>8</v>
      </c>
    </row>
    <row r="2727" customFormat="false" ht="15" hidden="false" customHeight="false" outlineLevel="0" collapsed="false">
      <c r="A2727" s="19"/>
      <c r="B2727" s="19"/>
      <c r="C2727" s="19"/>
      <c r="D2727" s="19"/>
      <c r="E2727" s="22"/>
      <c r="F2727" s="19"/>
      <c r="G2727" s="26" t="str">
        <f aca="false">IF(D2727="","",IFERROR(VALUE(LEFT(D2727,FIND(" |",D2727&amp;" |")-1)),"?"))</f>
        <v/>
      </c>
      <c r="H2727" s="27" t="str">
        <f aca="false">IF(G2727="","",IF(G2727="?","⚠ pub inconnue",IFERROR(INDEX(Pubs!$B$2:$B$3001,MATCH(G2727,Pubs!$A$2:$A$3001,0))&amp;"","⚠ pub inconnue")))</f>
        <v/>
      </c>
      <c r="I2727" s="27" t="str">
        <f aca="false">IF(OR(G2727="",G2727="?"),"",IFERROR(INDEX(Pubs!$C$2:$C$3001,MATCH(G2727,Pubs!$A$2:$A$3001,0))&amp;"",""))</f>
        <v/>
      </c>
      <c r="J2727" s="27" t="str">
        <f aca="false">IF(OR(G2727="",G2727="?"),"",IFERROR(INDEX(Pubs!$G$2:$G$3001,MATCH(G2727,Pubs!$A$2:$A$3001,0))&amp;"",""))</f>
        <v/>
      </c>
      <c r="K2727" s="28" t="str">
        <f aca="false">IF(OR(G2727="",G2727="?"),"",IFERROR(INDEX(Pubs!$E$2:$E$3001,MATCH(G2727,Pubs!$A$2:$A$3001,0)),""))</f>
        <v/>
      </c>
      <c r="L2727" s="29" t="str">
        <f aca="false">IF(A2727="","",IFERROR(1/(1/INDEX(Numéros!$C$2:$C$3001,MATCH(A2727&amp;"|"&amp;B2727,Numéros!$F$2:$F$3001,0))),""))</f>
        <v/>
      </c>
      <c r="M2727" s="27" t="str">
        <f aca="false">IF(OR(G2727="",G2727="?"),"",IFERROR(INDEX(Pubs!$D$2:$D$3001,MATCH(G2727,Pubs!$A$2:$A$3001,0))&amp;"",""))</f>
        <v/>
      </c>
      <c r="N2727" s="27" t="n">
        <f aca="false">N(N2726)+IF(AND(A2727&lt;&gt;"",OR(Recherche!$C$4="",A2727=Recherche!$C$4),OR(Recherche!$C$5="",B2727&amp;""=Recherche!$C$5&amp;""),OR(Recherche!$C$6="",IFERROR(YEAR(L2727),0)=Recherche!$C$6),OR(Recherche!$C$7="",ISNUMBER(SEARCH(Recherche!$C$7,H2727))),OR(Recherche!$C$8="",J2727=Recherche!$C$8),OR(Recherche!$C$9="",I2727=Recherche!$C$9),OR(Recherche!$C$10="",G2727&amp;""=Recherche!$C$10&amp;""),OR(Recherche!$C$11="",E2727=Recherche!$C$11),OR(Recherche!$C$12="",ISNUMBER(SEARCH(Recherche!$C$12,M2727&amp;" "&amp;F2727)))),1,0)</f>
        <v>8</v>
      </c>
    </row>
    <row r="2728" customFormat="false" ht="15" hidden="false" customHeight="false" outlineLevel="0" collapsed="false">
      <c r="A2728" s="19"/>
      <c r="B2728" s="19"/>
      <c r="C2728" s="19"/>
      <c r="D2728" s="19"/>
      <c r="E2728" s="22"/>
      <c r="F2728" s="19"/>
      <c r="G2728" s="26" t="str">
        <f aca="false">IF(D2728="","",IFERROR(VALUE(LEFT(D2728,FIND(" |",D2728&amp;" |")-1)),"?"))</f>
        <v/>
      </c>
      <c r="H2728" s="27" t="str">
        <f aca="false">IF(G2728="","",IF(G2728="?","⚠ pub inconnue",IFERROR(INDEX(Pubs!$B$2:$B$3001,MATCH(G2728,Pubs!$A$2:$A$3001,0))&amp;"","⚠ pub inconnue")))</f>
        <v/>
      </c>
      <c r="I2728" s="27" t="str">
        <f aca="false">IF(OR(G2728="",G2728="?"),"",IFERROR(INDEX(Pubs!$C$2:$C$3001,MATCH(G2728,Pubs!$A$2:$A$3001,0))&amp;"",""))</f>
        <v/>
      </c>
      <c r="J2728" s="27" t="str">
        <f aca="false">IF(OR(G2728="",G2728="?"),"",IFERROR(INDEX(Pubs!$G$2:$G$3001,MATCH(G2728,Pubs!$A$2:$A$3001,0))&amp;"",""))</f>
        <v/>
      </c>
      <c r="K2728" s="28" t="str">
        <f aca="false">IF(OR(G2728="",G2728="?"),"",IFERROR(INDEX(Pubs!$E$2:$E$3001,MATCH(G2728,Pubs!$A$2:$A$3001,0)),""))</f>
        <v/>
      </c>
      <c r="L2728" s="29" t="str">
        <f aca="false">IF(A2728="","",IFERROR(1/(1/INDEX(Numéros!$C$2:$C$3001,MATCH(A2728&amp;"|"&amp;B2728,Numéros!$F$2:$F$3001,0))),""))</f>
        <v/>
      </c>
      <c r="M2728" s="27" t="str">
        <f aca="false">IF(OR(G2728="",G2728="?"),"",IFERROR(INDEX(Pubs!$D$2:$D$3001,MATCH(G2728,Pubs!$A$2:$A$3001,0))&amp;"",""))</f>
        <v/>
      </c>
      <c r="N2728" s="27" t="n">
        <f aca="false">N(N2727)+IF(AND(A2728&lt;&gt;"",OR(Recherche!$C$4="",A2728=Recherche!$C$4),OR(Recherche!$C$5="",B2728&amp;""=Recherche!$C$5&amp;""),OR(Recherche!$C$6="",IFERROR(YEAR(L2728),0)=Recherche!$C$6),OR(Recherche!$C$7="",ISNUMBER(SEARCH(Recherche!$C$7,H2728))),OR(Recherche!$C$8="",J2728=Recherche!$C$8),OR(Recherche!$C$9="",I2728=Recherche!$C$9),OR(Recherche!$C$10="",G2728&amp;""=Recherche!$C$10&amp;""),OR(Recherche!$C$11="",E2728=Recherche!$C$11),OR(Recherche!$C$12="",ISNUMBER(SEARCH(Recherche!$C$12,M2728&amp;" "&amp;F2728)))),1,0)</f>
        <v>8</v>
      </c>
    </row>
    <row r="2729" customFormat="false" ht="15" hidden="false" customHeight="false" outlineLevel="0" collapsed="false">
      <c r="A2729" s="19"/>
      <c r="B2729" s="19"/>
      <c r="C2729" s="19"/>
      <c r="D2729" s="19"/>
      <c r="E2729" s="22"/>
      <c r="F2729" s="19"/>
      <c r="G2729" s="26" t="str">
        <f aca="false">IF(D2729="","",IFERROR(VALUE(LEFT(D2729,FIND(" |",D2729&amp;" |")-1)),"?"))</f>
        <v/>
      </c>
      <c r="H2729" s="27" t="str">
        <f aca="false">IF(G2729="","",IF(G2729="?","⚠ pub inconnue",IFERROR(INDEX(Pubs!$B$2:$B$3001,MATCH(G2729,Pubs!$A$2:$A$3001,0))&amp;"","⚠ pub inconnue")))</f>
        <v/>
      </c>
      <c r="I2729" s="27" t="str">
        <f aca="false">IF(OR(G2729="",G2729="?"),"",IFERROR(INDEX(Pubs!$C$2:$C$3001,MATCH(G2729,Pubs!$A$2:$A$3001,0))&amp;"",""))</f>
        <v/>
      </c>
      <c r="J2729" s="27" t="str">
        <f aca="false">IF(OR(G2729="",G2729="?"),"",IFERROR(INDEX(Pubs!$G$2:$G$3001,MATCH(G2729,Pubs!$A$2:$A$3001,0))&amp;"",""))</f>
        <v/>
      </c>
      <c r="K2729" s="28" t="str">
        <f aca="false">IF(OR(G2729="",G2729="?"),"",IFERROR(INDEX(Pubs!$E$2:$E$3001,MATCH(G2729,Pubs!$A$2:$A$3001,0)),""))</f>
        <v/>
      </c>
      <c r="L2729" s="29" t="str">
        <f aca="false">IF(A2729="","",IFERROR(1/(1/INDEX(Numéros!$C$2:$C$3001,MATCH(A2729&amp;"|"&amp;B2729,Numéros!$F$2:$F$3001,0))),""))</f>
        <v/>
      </c>
      <c r="M2729" s="27" t="str">
        <f aca="false">IF(OR(G2729="",G2729="?"),"",IFERROR(INDEX(Pubs!$D$2:$D$3001,MATCH(G2729,Pubs!$A$2:$A$3001,0))&amp;"",""))</f>
        <v/>
      </c>
      <c r="N2729" s="27" t="n">
        <f aca="false">N(N2728)+IF(AND(A2729&lt;&gt;"",OR(Recherche!$C$4="",A2729=Recherche!$C$4),OR(Recherche!$C$5="",B2729&amp;""=Recherche!$C$5&amp;""),OR(Recherche!$C$6="",IFERROR(YEAR(L2729),0)=Recherche!$C$6),OR(Recherche!$C$7="",ISNUMBER(SEARCH(Recherche!$C$7,H2729))),OR(Recherche!$C$8="",J2729=Recherche!$C$8),OR(Recherche!$C$9="",I2729=Recherche!$C$9),OR(Recherche!$C$10="",G2729&amp;""=Recherche!$C$10&amp;""),OR(Recherche!$C$11="",E2729=Recherche!$C$11),OR(Recherche!$C$12="",ISNUMBER(SEARCH(Recherche!$C$12,M2729&amp;" "&amp;F2729)))),1,0)</f>
        <v>8</v>
      </c>
    </row>
    <row r="2730" customFormat="false" ht="15" hidden="false" customHeight="false" outlineLevel="0" collapsed="false">
      <c r="A2730" s="19"/>
      <c r="B2730" s="19"/>
      <c r="C2730" s="19"/>
      <c r="D2730" s="19"/>
      <c r="E2730" s="22"/>
      <c r="F2730" s="19"/>
      <c r="G2730" s="26" t="str">
        <f aca="false">IF(D2730="","",IFERROR(VALUE(LEFT(D2730,FIND(" |",D2730&amp;" |")-1)),"?"))</f>
        <v/>
      </c>
      <c r="H2730" s="27" t="str">
        <f aca="false">IF(G2730="","",IF(G2730="?","⚠ pub inconnue",IFERROR(INDEX(Pubs!$B$2:$B$3001,MATCH(G2730,Pubs!$A$2:$A$3001,0))&amp;"","⚠ pub inconnue")))</f>
        <v/>
      </c>
      <c r="I2730" s="27" t="str">
        <f aca="false">IF(OR(G2730="",G2730="?"),"",IFERROR(INDEX(Pubs!$C$2:$C$3001,MATCH(G2730,Pubs!$A$2:$A$3001,0))&amp;"",""))</f>
        <v/>
      </c>
      <c r="J2730" s="27" t="str">
        <f aca="false">IF(OR(G2730="",G2730="?"),"",IFERROR(INDEX(Pubs!$G$2:$G$3001,MATCH(G2730,Pubs!$A$2:$A$3001,0))&amp;"",""))</f>
        <v/>
      </c>
      <c r="K2730" s="28" t="str">
        <f aca="false">IF(OR(G2730="",G2730="?"),"",IFERROR(INDEX(Pubs!$E$2:$E$3001,MATCH(G2730,Pubs!$A$2:$A$3001,0)),""))</f>
        <v/>
      </c>
      <c r="L2730" s="29" t="str">
        <f aca="false">IF(A2730="","",IFERROR(1/(1/INDEX(Numéros!$C$2:$C$3001,MATCH(A2730&amp;"|"&amp;B2730,Numéros!$F$2:$F$3001,0))),""))</f>
        <v/>
      </c>
      <c r="M2730" s="27" t="str">
        <f aca="false">IF(OR(G2730="",G2730="?"),"",IFERROR(INDEX(Pubs!$D$2:$D$3001,MATCH(G2730,Pubs!$A$2:$A$3001,0))&amp;"",""))</f>
        <v/>
      </c>
      <c r="N2730" s="27" t="n">
        <f aca="false">N(N2729)+IF(AND(A2730&lt;&gt;"",OR(Recherche!$C$4="",A2730=Recherche!$C$4),OR(Recherche!$C$5="",B2730&amp;""=Recherche!$C$5&amp;""),OR(Recherche!$C$6="",IFERROR(YEAR(L2730),0)=Recherche!$C$6),OR(Recherche!$C$7="",ISNUMBER(SEARCH(Recherche!$C$7,H2730))),OR(Recherche!$C$8="",J2730=Recherche!$C$8),OR(Recherche!$C$9="",I2730=Recherche!$C$9),OR(Recherche!$C$10="",G2730&amp;""=Recherche!$C$10&amp;""),OR(Recherche!$C$11="",E2730=Recherche!$C$11),OR(Recherche!$C$12="",ISNUMBER(SEARCH(Recherche!$C$12,M2730&amp;" "&amp;F2730)))),1,0)</f>
        <v>8</v>
      </c>
    </row>
    <row r="2731" customFormat="false" ht="15" hidden="false" customHeight="false" outlineLevel="0" collapsed="false">
      <c r="A2731" s="19"/>
      <c r="B2731" s="19"/>
      <c r="C2731" s="19"/>
      <c r="D2731" s="19"/>
      <c r="E2731" s="22"/>
      <c r="F2731" s="19"/>
      <c r="G2731" s="26" t="str">
        <f aca="false">IF(D2731="","",IFERROR(VALUE(LEFT(D2731,FIND(" |",D2731&amp;" |")-1)),"?"))</f>
        <v/>
      </c>
      <c r="H2731" s="27" t="str">
        <f aca="false">IF(G2731="","",IF(G2731="?","⚠ pub inconnue",IFERROR(INDEX(Pubs!$B$2:$B$3001,MATCH(G2731,Pubs!$A$2:$A$3001,0))&amp;"","⚠ pub inconnue")))</f>
        <v/>
      </c>
      <c r="I2731" s="27" t="str">
        <f aca="false">IF(OR(G2731="",G2731="?"),"",IFERROR(INDEX(Pubs!$C$2:$C$3001,MATCH(G2731,Pubs!$A$2:$A$3001,0))&amp;"",""))</f>
        <v/>
      </c>
      <c r="J2731" s="27" t="str">
        <f aca="false">IF(OR(G2731="",G2731="?"),"",IFERROR(INDEX(Pubs!$G$2:$G$3001,MATCH(G2731,Pubs!$A$2:$A$3001,0))&amp;"",""))</f>
        <v/>
      </c>
      <c r="K2731" s="28" t="str">
        <f aca="false">IF(OR(G2731="",G2731="?"),"",IFERROR(INDEX(Pubs!$E$2:$E$3001,MATCH(G2731,Pubs!$A$2:$A$3001,0)),""))</f>
        <v/>
      </c>
      <c r="L2731" s="29" t="str">
        <f aca="false">IF(A2731="","",IFERROR(1/(1/INDEX(Numéros!$C$2:$C$3001,MATCH(A2731&amp;"|"&amp;B2731,Numéros!$F$2:$F$3001,0))),""))</f>
        <v/>
      </c>
      <c r="M2731" s="27" t="str">
        <f aca="false">IF(OR(G2731="",G2731="?"),"",IFERROR(INDEX(Pubs!$D$2:$D$3001,MATCH(G2731,Pubs!$A$2:$A$3001,0))&amp;"",""))</f>
        <v/>
      </c>
      <c r="N2731" s="27" t="n">
        <f aca="false">N(N2730)+IF(AND(A2731&lt;&gt;"",OR(Recherche!$C$4="",A2731=Recherche!$C$4),OR(Recherche!$C$5="",B2731&amp;""=Recherche!$C$5&amp;""),OR(Recherche!$C$6="",IFERROR(YEAR(L2731),0)=Recherche!$C$6),OR(Recherche!$C$7="",ISNUMBER(SEARCH(Recherche!$C$7,H2731))),OR(Recherche!$C$8="",J2731=Recherche!$C$8),OR(Recherche!$C$9="",I2731=Recherche!$C$9),OR(Recherche!$C$10="",G2731&amp;""=Recherche!$C$10&amp;""),OR(Recherche!$C$11="",E2731=Recherche!$C$11),OR(Recherche!$C$12="",ISNUMBER(SEARCH(Recherche!$C$12,M2731&amp;" "&amp;F2731)))),1,0)</f>
        <v>8</v>
      </c>
    </row>
    <row r="2732" customFormat="false" ht="15" hidden="false" customHeight="false" outlineLevel="0" collapsed="false">
      <c r="A2732" s="19"/>
      <c r="B2732" s="19"/>
      <c r="C2732" s="19"/>
      <c r="D2732" s="19"/>
      <c r="E2732" s="22"/>
      <c r="F2732" s="19"/>
      <c r="G2732" s="26" t="str">
        <f aca="false">IF(D2732="","",IFERROR(VALUE(LEFT(D2732,FIND(" |",D2732&amp;" |")-1)),"?"))</f>
        <v/>
      </c>
      <c r="H2732" s="27" t="str">
        <f aca="false">IF(G2732="","",IF(G2732="?","⚠ pub inconnue",IFERROR(INDEX(Pubs!$B$2:$B$3001,MATCH(G2732,Pubs!$A$2:$A$3001,0))&amp;"","⚠ pub inconnue")))</f>
        <v/>
      </c>
      <c r="I2732" s="27" t="str">
        <f aca="false">IF(OR(G2732="",G2732="?"),"",IFERROR(INDEX(Pubs!$C$2:$C$3001,MATCH(G2732,Pubs!$A$2:$A$3001,0))&amp;"",""))</f>
        <v/>
      </c>
      <c r="J2732" s="27" t="str">
        <f aca="false">IF(OR(G2732="",G2732="?"),"",IFERROR(INDEX(Pubs!$G$2:$G$3001,MATCH(G2732,Pubs!$A$2:$A$3001,0))&amp;"",""))</f>
        <v/>
      </c>
      <c r="K2732" s="28" t="str">
        <f aca="false">IF(OR(G2732="",G2732="?"),"",IFERROR(INDEX(Pubs!$E$2:$E$3001,MATCH(G2732,Pubs!$A$2:$A$3001,0)),""))</f>
        <v/>
      </c>
      <c r="L2732" s="29" t="str">
        <f aca="false">IF(A2732="","",IFERROR(1/(1/INDEX(Numéros!$C$2:$C$3001,MATCH(A2732&amp;"|"&amp;B2732,Numéros!$F$2:$F$3001,0))),""))</f>
        <v/>
      </c>
      <c r="M2732" s="27" t="str">
        <f aca="false">IF(OR(G2732="",G2732="?"),"",IFERROR(INDEX(Pubs!$D$2:$D$3001,MATCH(G2732,Pubs!$A$2:$A$3001,0))&amp;"",""))</f>
        <v/>
      </c>
      <c r="N2732" s="27" t="n">
        <f aca="false">N(N2731)+IF(AND(A2732&lt;&gt;"",OR(Recherche!$C$4="",A2732=Recherche!$C$4),OR(Recherche!$C$5="",B2732&amp;""=Recherche!$C$5&amp;""),OR(Recherche!$C$6="",IFERROR(YEAR(L2732),0)=Recherche!$C$6),OR(Recherche!$C$7="",ISNUMBER(SEARCH(Recherche!$C$7,H2732))),OR(Recherche!$C$8="",J2732=Recherche!$C$8),OR(Recherche!$C$9="",I2732=Recherche!$C$9),OR(Recherche!$C$10="",G2732&amp;""=Recherche!$C$10&amp;""),OR(Recherche!$C$11="",E2732=Recherche!$C$11),OR(Recherche!$C$12="",ISNUMBER(SEARCH(Recherche!$C$12,M2732&amp;" "&amp;F2732)))),1,0)</f>
        <v>8</v>
      </c>
    </row>
    <row r="2733" customFormat="false" ht="15" hidden="false" customHeight="false" outlineLevel="0" collapsed="false">
      <c r="A2733" s="19"/>
      <c r="B2733" s="19"/>
      <c r="C2733" s="19"/>
      <c r="D2733" s="19"/>
      <c r="E2733" s="22"/>
      <c r="F2733" s="19"/>
      <c r="G2733" s="26" t="str">
        <f aca="false">IF(D2733="","",IFERROR(VALUE(LEFT(D2733,FIND(" |",D2733&amp;" |")-1)),"?"))</f>
        <v/>
      </c>
      <c r="H2733" s="27" t="str">
        <f aca="false">IF(G2733="","",IF(G2733="?","⚠ pub inconnue",IFERROR(INDEX(Pubs!$B$2:$B$3001,MATCH(G2733,Pubs!$A$2:$A$3001,0))&amp;"","⚠ pub inconnue")))</f>
        <v/>
      </c>
      <c r="I2733" s="27" t="str">
        <f aca="false">IF(OR(G2733="",G2733="?"),"",IFERROR(INDEX(Pubs!$C$2:$C$3001,MATCH(G2733,Pubs!$A$2:$A$3001,0))&amp;"",""))</f>
        <v/>
      </c>
      <c r="J2733" s="27" t="str">
        <f aca="false">IF(OR(G2733="",G2733="?"),"",IFERROR(INDEX(Pubs!$G$2:$G$3001,MATCH(G2733,Pubs!$A$2:$A$3001,0))&amp;"",""))</f>
        <v/>
      </c>
      <c r="K2733" s="28" t="str">
        <f aca="false">IF(OR(G2733="",G2733="?"),"",IFERROR(INDEX(Pubs!$E$2:$E$3001,MATCH(G2733,Pubs!$A$2:$A$3001,0)),""))</f>
        <v/>
      </c>
      <c r="L2733" s="29" t="str">
        <f aca="false">IF(A2733="","",IFERROR(1/(1/INDEX(Numéros!$C$2:$C$3001,MATCH(A2733&amp;"|"&amp;B2733,Numéros!$F$2:$F$3001,0))),""))</f>
        <v/>
      </c>
      <c r="M2733" s="27" t="str">
        <f aca="false">IF(OR(G2733="",G2733="?"),"",IFERROR(INDEX(Pubs!$D$2:$D$3001,MATCH(G2733,Pubs!$A$2:$A$3001,0))&amp;"",""))</f>
        <v/>
      </c>
      <c r="N2733" s="27" t="n">
        <f aca="false">N(N2732)+IF(AND(A2733&lt;&gt;"",OR(Recherche!$C$4="",A2733=Recherche!$C$4),OR(Recherche!$C$5="",B2733&amp;""=Recherche!$C$5&amp;""),OR(Recherche!$C$6="",IFERROR(YEAR(L2733),0)=Recherche!$C$6),OR(Recherche!$C$7="",ISNUMBER(SEARCH(Recherche!$C$7,H2733))),OR(Recherche!$C$8="",J2733=Recherche!$C$8),OR(Recherche!$C$9="",I2733=Recherche!$C$9),OR(Recherche!$C$10="",G2733&amp;""=Recherche!$C$10&amp;""),OR(Recherche!$C$11="",E2733=Recherche!$C$11),OR(Recherche!$C$12="",ISNUMBER(SEARCH(Recherche!$C$12,M2733&amp;" "&amp;F2733)))),1,0)</f>
        <v>8</v>
      </c>
    </row>
    <row r="2734" customFormat="false" ht="15" hidden="false" customHeight="false" outlineLevel="0" collapsed="false">
      <c r="A2734" s="19"/>
      <c r="B2734" s="19"/>
      <c r="C2734" s="19"/>
      <c r="D2734" s="19"/>
      <c r="E2734" s="22"/>
      <c r="F2734" s="19"/>
      <c r="G2734" s="26" t="str">
        <f aca="false">IF(D2734="","",IFERROR(VALUE(LEFT(D2734,FIND(" |",D2734&amp;" |")-1)),"?"))</f>
        <v/>
      </c>
      <c r="H2734" s="27" t="str">
        <f aca="false">IF(G2734="","",IF(G2734="?","⚠ pub inconnue",IFERROR(INDEX(Pubs!$B$2:$B$3001,MATCH(G2734,Pubs!$A$2:$A$3001,0))&amp;"","⚠ pub inconnue")))</f>
        <v/>
      </c>
      <c r="I2734" s="27" t="str">
        <f aca="false">IF(OR(G2734="",G2734="?"),"",IFERROR(INDEX(Pubs!$C$2:$C$3001,MATCH(G2734,Pubs!$A$2:$A$3001,0))&amp;"",""))</f>
        <v/>
      </c>
      <c r="J2734" s="27" t="str">
        <f aca="false">IF(OR(G2734="",G2734="?"),"",IFERROR(INDEX(Pubs!$G$2:$G$3001,MATCH(G2734,Pubs!$A$2:$A$3001,0))&amp;"",""))</f>
        <v/>
      </c>
      <c r="K2734" s="28" t="str">
        <f aca="false">IF(OR(G2734="",G2734="?"),"",IFERROR(INDEX(Pubs!$E$2:$E$3001,MATCH(G2734,Pubs!$A$2:$A$3001,0)),""))</f>
        <v/>
      </c>
      <c r="L2734" s="29" t="str">
        <f aca="false">IF(A2734="","",IFERROR(1/(1/INDEX(Numéros!$C$2:$C$3001,MATCH(A2734&amp;"|"&amp;B2734,Numéros!$F$2:$F$3001,0))),""))</f>
        <v/>
      </c>
      <c r="M2734" s="27" t="str">
        <f aca="false">IF(OR(G2734="",G2734="?"),"",IFERROR(INDEX(Pubs!$D$2:$D$3001,MATCH(G2734,Pubs!$A$2:$A$3001,0))&amp;"",""))</f>
        <v/>
      </c>
      <c r="N2734" s="27" t="n">
        <f aca="false">N(N2733)+IF(AND(A2734&lt;&gt;"",OR(Recherche!$C$4="",A2734=Recherche!$C$4),OR(Recherche!$C$5="",B2734&amp;""=Recherche!$C$5&amp;""),OR(Recherche!$C$6="",IFERROR(YEAR(L2734),0)=Recherche!$C$6),OR(Recherche!$C$7="",ISNUMBER(SEARCH(Recherche!$C$7,H2734))),OR(Recherche!$C$8="",J2734=Recherche!$C$8),OR(Recherche!$C$9="",I2734=Recherche!$C$9),OR(Recherche!$C$10="",G2734&amp;""=Recherche!$C$10&amp;""),OR(Recherche!$C$11="",E2734=Recherche!$C$11),OR(Recherche!$C$12="",ISNUMBER(SEARCH(Recherche!$C$12,M2734&amp;" "&amp;F2734)))),1,0)</f>
        <v>8</v>
      </c>
    </row>
    <row r="2735" customFormat="false" ht="15" hidden="false" customHeight="false" outlineLevel="0" collapsed="false">
      <c r="A2735" s="19"/>
      <c r="B2735" s="19"/>
      <c r="C2735" s="19"/>
      <c r="D2735" s="19"/>
      <c r="E2735" s="22"/>
      <c r="F2735" s="19"/>
      <c r="G2735" s="26" t="str">
        <f aca="false">IF(D2735="","",IFERROR(VALUE(LEFT(D2735,FIND(" |",D2735&amp;" |")-1)),"?"))</f>
        <v/>
      </c>
      <c r="H2735" s="27" t="str">
        <f aca="false">IF(G2735="","",IF(G2735="?","⚠ pub inconnue",IFERROR(INDEX(Pubs!$B$2:$B$3001,MATCH(G2735,Pubs!$A$2:$A$3001,0))&amp;"","⚠ pub inconnue")))</f>
        <v/>
      </c>
      <c r="I2735" s="27" t="str">
        <f aca="false">IF(OR(G2735="",G2735="?"),"",IFERROR(INDEX(Pubs!$C$2:$C$3001,MATCH(G2735,Pubs!$A$2:$A$3001,0))&amp;"",""))</f>
        <v/>
      </c>
      <c r="J2735" s="27" t="str">
        <f aca="false">IF(OR(G2735="",G2735="?"),"",IFERROR(INDEX(Pubs!$G$2:$G$3001,MATCH(G2735,Pubs!$A$2:$A$3001,0))&amp;"",""))</f>
        <v/>
      </c>
      <c r="K2735" s="28" t="str">
        <f aca="false">IF(OR(G2735="",G2735="?"),"",IFERROR(INDEX(Pubs!$E$2:$E$3001,MATCH(G2735,Pubs!$A$2:$A$3001,0)),""))</f>
        <v/>
      </c>
      <c r="L2735" s="29" t="str">
        <f aca="false">IF(A2735="","",IFERROR(1/(1/INDEX(Numéros!$C$2:$C$3001,MATCH(A2735&amp;"|"&amp;B2735,Numéros!$F$2:$F$3001,0))),""))</f>
        <v/>
      </c>
      <c r="M2735" s="27" t="str">
        <f aca="false">IF(OR(G2735="",G2735="?"),"",IFERROR(INDEX(Pubs!$D$2:$D$3001,MATCH(G2735,Pubs!$A$2:$A$3001,0))&amp;"",""))</f>
        <v/>
      </c>
      <c r="N2735" s="27" t="n">
        <f aca="false">N(N2734)+IF(AND(A2735&lt;&gt;"",OR(Recherche!$C$4="",A2735=Recherche!$C$4),OR(Recherche!$C$5="",B2735&amp;""=Recherche!$C$5&amp;""),OR(Recherche!$C$6="",IFERROR(YEAR(L2735),0)=Recherche!$C$6),OR(Recherche!$C$7="",ISNUMBER(SEARCH(Recherche!$C$7,H2735))),OR(Recherche!$C$8="",J2735=Recherche!$C$8),OR(Recherche!$C$9="",I2735=Recherche!$C$9),OR(Recherche!$C$10="",G2735&amp;""=Recherche!$C$10&amp;""),OR(Recherche!$C$11="",E2735=Recherche!$C$11),OR(Recherche!$C$12="",ISNUMBER(SEARCH(Recherche!$C$12,M2735&amp;" "&amp;F2735)))),1,0)</f>
        <v>8</v>
      </c>
    </row>
    <row r="2736" customFormat="false" ht="15" hidden="false" customHeight="false" outlineLevel="0" collapsed="false">
      <c r="A2736" s="19"/>
      <c r="B2736" s="19"/>
      <c r="C2736" s="19"/>
      <c r="D2736" s="19"/>
      <c r="E2736" s="22"/>
      <c r="F2736" s="19"/>
      <c r="G2736" s="26" t="str">
        <f aca="false">IF(D2736="","",IFERROR(VALUE(LEFT(D2736,FIND(" |",D2736&amp;" |")-1)),"?"))</f>
        <v/>
      </c>
      <c r="H2736" s="27" t="str">
        <f aca="false">IF(G2736="","",IF(G2736="?","⚠ pub inconnue",IFERROR(INDEX(Pubs!$B$2:$B$3001,MATCH(G2736,Pubs!$A$2:$A$3001,0))&amp;"","⚠ pub inconnue")))</f>
        <v/>
      </c>
      <c r="I2736" s="27" t="str">
        <f aca="false">IF(OR(G2736="",G2736="?"),"",IFERROR(INDEX(Pubs!$C$2:$C$3001,MATCH(G2736,Pubs!$A$2:$A$3001,0))&amp;"",""))</f>
        <v/>
      </c>
      <c r="J2736" s="27" t="str">
        <f aca="false">IF(OR(G2736="",G2736="?"),"",IFERROR(INDEX(Pubs!$G$2:$G$3001,MATCH(G2736,Pubs!$A$2:$A$3001,0))&amp;"",""))</f>
        <v/>
      </c>
      <c r="K2736" s="28" t="str">
        <f aca="false">IF(OR(G2736="",G2736="?"),"",IFERROR(INDEX(Pubs!$E$2:$E$3001,MATCH(G2736,Pubs!$A$2:$A$3001,0)),""))</f>
        <v/>
      </c>
      <c r="L2736" s="29" t="str">
        <f aca="false">IF(A2736="","",IFERROR(1/(1/INDEX(Numéros!$C$2:$C$3001,MATCH(A2736&amp;"|"&amp;B2736,Numéros!$F$2:$F$3001,0))),""))</f>
        <v/>
      </c>
      <c r="M2736" s="27" t="str">
        <f aca="false">IF(OR(G2736="",G2736="?"),"",IFERROR(INDEX(Pubs!$D$2:$D$3001,MATCH(G2736,Pubs!$A$2:$A$3001,0))&amp;"",""))</f>
        <v/>
      </c>
      <c r="N2736" s="27" t="n">
        <f aca="false">N(N2735)+IF(AND(A2736&lt;&gt;"",OR(Recherche!$C$4="",A2736=Recherche!$C$4),OR(Recherche!$C$5="",B2736&amp;""=Recherche!$C$5&amp;""),OR(Recherche!$C$6="",IFERROR(YEAR(L2736),0)=Recherche!$C$6),OR(Recherche!$C$7="",ISNUMBER(SEARCH(Recherche!$C$7,H2736))),OR(Recherche!$C$8="",J2736=Recherche!$C$8),OR(Recherche!$C$9="",I2736=Recherche!$C$9),OR(Recherche!$C$10="",G2736&amp;""=Recherche!$C$10&amp;""),OR(Recherche!$C$11="",E2736=Recherche!$C$11),OR(Recherche!$C$12="",ISNUMBER(SEARCH(Recherche!$C$12,M2736&amp;" "&amp;F2736)))),1,0)</f>
        <v>8</v>
      </c>
    </row>
    <row r="2737" customFormat="false" ht="15" hidden="false" customHeight="false" outlineLevel="0" collapsed="false">
      <c r="A2737" s="19"/>
      <c r="B2737" s="19"/>
      <c r="C2737" s="19"/>
      <c r="D2737" s="19"/>
      <c r="E2737" s="22"/>
      <c r="F2737" s="19"/>
      <c r="G2737" s="26" t="str">
        <f aca="false">IF(D2737="","",IFERROR(VALUE(LEFT(D2737,FIND(" |",D2737&amp;" |")-1)),"?"))</f>
        <v/>
      </c>
      <c r="H2737" s="27" t="str">
        <f aca="false">IF(G2737="","",IF(G2737="?","⚠ pub inconnue",IFERROR(INDEX(Pubs!$B$2:$B$3001,MATCH(G2737,Pubs!$A$2:$A$3001,0))&amp;"","⚠ pub inconnue")))</f>
        <v/>
      </c>
      <c r="I2737" s="27" t="str">
        <f aca="false">IF(OR(G2737="",G2737="?"),"",IFERROR(INDEX(Pubs!$C$2:$C$3001,MATCH(G2737,Pubs!$A$2:$A$3001,0))&amp;"",""))</f>
        <v/>
      </c>
      <c r="J2737" s="27" t="str">
        <f aca="false">IF(OR(G2737="",G2737="?"),"",IFERROR(INDEX(Pubs!$G$2:$G$3001,MATCH(G2737,Pubs!$A$2:$A$3001,0))&amp;"",""))</f>
        <v/>
      </c>
      <c r="K2737" s="28" t="str">
        <f aca="false">IF(OR(G2737="",G2737="?"),"",IFERROR(INDEX(Pubs!$E$2:$E$3001,MATCH(G2737,Pubs!$A$2:$A$3001,0)),""))</f>
        <v/>
      </c>
      <c r="L2737" s="29" t="str">
        <f aca="false">IF(A2737="","",IFERROR(1/(1/INDEX(Numéros!$C$2:$C$3001,MATCH(A2737&amp;"|"&amp;B2737,Numéros!$F$2:$F$3001,0))),""))</f>
        <v/>
      </c>
      <c r="M2737" s="27" t="str">
        <f aca="false">IF(OR(G2737="",G2737="?"),"",IFERROR(INDEX(Pubs!$D$2:$D$3001,MATCH(G2737,Pubs!$A$2:$A$3001,0))&amp;"",""))</f>
        <v/>
      </c>
      <c r="N2737" s="27" t="n">
        <f aca="false">N(N2736)+IF(AND(A2737&lt;&gt;"",OR(Recherche!$C$4="",A2737=Recherche!$C$4),OR(Recherche!$C$5="",B2737&amp;""=Recherche!$C$5&amp;""),OR(Recherche!$C$6="",IFERROR(YEAR(L2737),0)=Recherche!$C$6),OR(Recherche!$C$7="",ISNUMBER(SEARCH(Recherche!$C$7,H2737))),OR(Recherche!$C$8="",J2737=Recherche!$C$8),OR(Recherche!$C$9="",I2737=Recherche!$C$9),OR(Recherche!$C$10="",G2737&amp;""=Recherche!$C$10&amp;""),OR(Recherche!$C$11="",E2737=Recherche!$C$11),OR(Recherche!$C$12="",ISNUMBER(SEARCH(Recherche!$C$12,M2737&amp;" "&amp;F2737)))),1,0)</f>
        <v>8</v>
      </c>
    </row>
    <row r="2738" customFormat="false" ht="15" hidden="false" customHeight="false" outlineLevel="0" collapsed="false">
      <c r="A2738" s="19"/>
      <c r="B2738" s="19"/>
      <c r="C2738" s="19"/>
      <c r="D2738" s="19"/>
      <c r="E2738" s="22"/>
      <c r="F2738" s="19"/>
      <c r="G2738" s="26" t="str">
        <f aca="false">IF(D2738="","",IFERROR(VALUE(LEFT(D2738,FIND(" |",D2738&amp;" |")-1)),"?"))</f>
        <v/>
      </c>
      <c r="H2738" s="27" t="str">
        <f aca="false">IF(G2738="","",IF(G2738="?","⚠ pub inconnue",IFERROR(INDEX(Pubs!$B$2:$B$3001,MATCH(G2738,Pubs!$A$2:$A$3001,0))&amp;"","⚠ pub inconnue")))</f>
        <v/>
      </c>
      <c r="I2738" s="27" t="str">
        <f aca="false">IF(OR(G2738="",G2738="?"),"",IFERROR(INDEX(Pubs!$C$2:$C$3001,MATCH(G2738,Pubs!$A$2:$A$3001,0))&amp;"",""))</f>
        <v/>
      </c>
      <c r="J2738" s="27" t="str">
        <f aca="false">IF(OR(G2738="",G2738="?"),"",IFERROR(INDEX(Pubs!$G$2:$G$3001,MATCH(G2738,Pubs!$A$2:$A$3001,0))&amp;"",""))</f>
        <v/>
      </c>
      <c r="K2738" s="28" t="str">
        <f aca="false">IF(OR(G2738="",G2738="?"),"",IFERROR(INDEX(Pubs!$E$2:$E$3001,MATCH(G2738,Pubs!$A$2:$A$3001,0)),""))</f>
        <v/>
      </c>
      <c r="L2738" s="29" t="str">
        <f aca="false">IF(A2738="","",IFERROR(1/(1/INDEX(Numéros!$C$2:$C$3001,MATCH(A2738&amp;"|"&amp;B2738,Numéros!$F$2:$F$3001,0))),""))</f>
        <v/>
      </c>
      <c r="M2738" s="27" t="str">
        <f aca="false">IF(OR(G2738="",G2738="?"),"",IFERROR(INDEX(Pubs!$D$2:$D$3001,MATCH(G2738,Pubs!$A$2:$A$3001,0))&amp;"",""))</f>
        <v/>
      </c>
      <c r="N2738" s="27" t="n">
        <f aca="false">N(N2737)+IF(AND(A2738&lt;&gt;"",OR(Recherche!$C$4="",A2738=Recherche!$C$4),OR(Recherche!$C$5="",B2738&amp;""=Recherche!$C$5&amp;""),OR(Recherche!$C$6="",IFERROR(YEAR(L2738),0)=Recherche!$C$6),OR(Recherche!$C$7="",ISNUMBER(SEARCH(Recherche!$C$7,H2738))),OR(Recherche!$C$8="",J2738=Recherche!$C$8),OR(Recherche!$C$9="",I2738=Recherche!$C$9),OR(Recherche!$C$10="",G2738&amp;""=Recherche!$C$10&amp;""),OR(Recherche!$C$11="",E2738=Recherche!$C$11),OR(Recherche!$C$12="",ISNUMBER(SEARCH(Recherche!$C$12,M2738&amp;" "&amp;F2738)))),1,0)</f>
        <v>8</v>
      </c>
    </row>
    <row r="2739" customFormat="false" ht="15" hidden="false" customHeight="false" outlineLevel="0" collapsed="false">
      <c r="A2739" s="19"/>
      <c r="B2739" s="19"/>
      <c r="C2739" s="19"/>
      <c r="D2739" s="19"/>
      <c r="E2739" s="22"/>
      <c r="F2739" s="19"/>
      <c r="G2739" s="26" t="str">
        <f aca="false">IF(D2739="","",IFERROR(VALUE(LEFT(D2739,FIND(" |",D2739&amp;" |")-1)),"?"))</f>
        <v/>
      </c>
      <c r="H2739" s="27" t="str">
        <f aca="false">IF(G2739="","",IF(G2739="?","⚠ pub inconnue",IFERROR(INDEX(Pubs!$B$2:$B$3001,MATCH(G2739,Pubs!$A$2:$A$3001,0))&amp;"","⚠ pub inconnue")))</f>
        <v/>
      </c>
      <c r="I2739" s="27" t="str">
        <f aca="false">IF(OR(G2739="",G2739="?"),"",IFERROR(INDEX(Pubs!$C$2:$C$3001,MATCH(G2739,Pubs!$A$2:$A$3001,0))&amp;"",""))</f>
        <v/>
      </c>
      <c r="J2739" s="27" t="str">
        <f aca="false">IF(OR(G2739="",G2739="?"),"",IFERROR(INDEX(Pubs!$G$2:$G$3001,MATCH(G2739,Pubs!$A$2:$A$3001,0))&amp;"",""))</f>
        <v/>
      </c>
      <c r="K2739" s="28" t="str">
        <f aca="false">IF(OR(G2739="",G2739="?"),"",IFERROR(INDEX(Pubs!$E$2:$E$3001,MATCH(G2739,Pubs!$A$2:$A$3001,0)),""))</f>
        <v/>
      </c>
      <c r="L2739" s="29" t="str">
        <f aca="false">IF(A2739="","",IFERROR(1/(1/INDEX(Numéros!$C$2:$C$3001,MATCH(A2739&amp;"|"&amp;B2739,Numéros!$F$2:$F$3001,0))),""))</f>
        <v/>
      </c>
      <c r="M2739" s="27" t="str">
        <f aca="false">IF(OR(G2739="",G2739="?"),"",IFERROR(INDEX(Pubs!$D$2:$D$3001,MATCH(G2739,Pubs!$A$2:$A$3001,0))&amp;"",""))</f>
        <v/>
      </c>
      <c r="N2739" s="27" t="n">
        <f aca="false">N(N2738)+IF(AND(A2739&lt;&gt;"",OR(Recherche!$C$4="",A2739=Recherche!$C$4),OR(Recherche!$C$5="",B2739&amp;""=Recherche!$C$5&amp;""),OR(Recherche!$C$6="",IFERROR(YEAR(L2739),0)=Recherche!$C$6),OR(Recherche!$C$7="",ISNUMBER(SEARCH(Recherche!$C$7,H2739))),OR(Recherche!$C$8="",J2739=Recherche!$C$8),OR(Recherche!$C$9="",I2739=Recherche!$C$9),OR(Recherche!$C$10="",G2739&amp;""=Recherche!$C$10&amp;""),OR(Recherche!$C$11="",E2739=Recherche!$C$11),OR(Recherche!$C$12="",ISNUMBER(SEARCH(Recherche!$C$12,M2739&amp;" "&amp;F2739)))),1,0)</f>
        <v>8</v>
      </c>
    </row>
    <row r="2740" customFormat="false" ht="15" hidden="false" customHeight="false" outlineLevel="0" collapsed="false">
      <c r="A2740" s="19"/>
      <c r="B2740" s="19"/>
      <c r="C2740" s="19"/>
      <c r="D2740" s="19"/>
      <c r="E2740" s="22"/>
      <c r="F2740" s="19"/>
      <c r="G2740" s="26" t="str">
        <f aca="false">IF(D2740="","",IFERROR(VALUE(LEFT(D2740,FIND(" |",D2740&amp;" |")-1)),"?"))</f>
        <v/>
      </c>
      <c r="H2740" s="27" t="str">
        <f aca="false">IF(G2740="","",IF(G2740="?","⚠ pub inconnue",IFERROR(INDEX(Pubs!$B$2:$B$3001,MATCH(G2740,Pubs!$A$2:$A$3001,0))&amp;"","⚠ pub inconnue")))</f>
        <v/>
      </c>
      <c r="I2740" s="27" t="str">
        <f aca="false">IF(OR(G2740="",G2740="?"),"",IFERROR(INDEX(Pubs!$C$2:$C$3001,MATCH(G2740,Pubs!$A$2:$A$3001,0))&amp;"",""))</f>
        <v/>
      </c>
      <c r="J2740" s="27" t="str">
        <f aca="false">IF(OR(G2740="",G2740="?"),"",IFERROR(INDEX(Pubs!$G$2:$G$3001,MATCH(G2740,Pubs!$A$2:$A$3001,0))&amp;"",""))</f>
        <v/>
      </c>
      <c r="K2740" s="28" t="str">
        <f aca="false">IF(OR(G2740="",G2740="?"),"",IFERROR(INDEX(Pubs!$E$2:$E$3001,MATCH(G2740,Pubs!$A$2:$A$3001,0)),""))</f>
        <v/>
      </c>
      <c r="L2740" s="29" t="str">
        <f aca="false">IF(A2740="","",IFERROR(1/(1/INDEX(Numéros!$C$2:$C$3001,MATCH(A2740&amp;"|"&amp;B2740,Numéros!$F$2:$F$3001,0))),""))</f>
        <v/>
      </c>
      <c r="M2740" s="27" t="str">
        <f aca="false">IF(OR(G2740="",G2740="?"),"",IFERROR(INDEX(Pubs!$D$2:$D$3001,MATCH(G2740,Pubs!$A$2:$A$3001,0))&amp;"",""))</f>
        <v/>
      </c>
      <c r="N2740" s="27" t="n">
        <f aca="false">N(N2739)+IF(AND(A2740&lt;&gt;"",OR(Recherche!$C$4="",A2740=Recherche!$C$4),OR(Recherche!$C$5="",B2740&amp;""=Recherche!$C$5&amp;""),OR(Recherche!$C$6="",IFERROR(YEAR(L2740),0)=Recherche!$C$6),OR(Recherche!$C$7="",ISNUMBER(SEARCH(Recherche!$C$7,H2740))),OR(Recherche!$C$8="",J2740=Recherche!$C$8),OR(Recherche!$C$9="",I2740=Recherche!$C$9),OR(Recherche!$C$10="",G2740&amp;""=Recherche!$C$10&amp;""),OR(Recherche!$C$11="",E2740=Recherche!$C$11),OR(Recherche!$C$12="",ISNUMBER(SEARCH(Recherche!$C$12,M2740&amp;" "&amp;F2740)))),1,0)</f>
        <v>8</v>
      </c>
    </row>
    <row r="2741" customFormat="false" ht="15" hidden="false" customHeight="false" outlineLevel="0" collapsed="false">
      <c r="A2741" s="19"/>
      <c r="B2741" s="19"/>
      <c r="C2741" s="19"/>
      <c r="D2741" s="19"/>
      <c r="E2741" s="22"/>
      <c r="F2741" s="19"/>
      <c r="G2741" s="26" t="str">
        <f aca="false">IF(D2741="","",IFERROR(VALUE(LEFT(D2741,FIND(" |",D2741&amp;" |")-1)),"?"))</f>
        <v/>
      </c>
      <c r="H2741" s="27" t="str">
        <f aca="false">IF(G2741="","",IF(G2741="?","⚠ pub inconnue",IFERROR(INDEX(Pubs!$B$2:$B$3001,MATCH(G2741,Pubs!$A$2:$A$3001,0))&amp;"","⚠ pub inconnue")))</f>
        <v/>
      </c>
      <c r="I2741" s="27" t="str">
        <f aca="false">IF(OR(G2741="",G2741="?"),"",IFERROR(INDEX(Pubs!$C$2:$C$3001,MATCH(G2741,Pubs!$A$2:$A$3001,0))&amp;"",""))</f>
        <v/>
      </c>
      <c r="J2741" s="27" t="str">
        <f aca="false">IF(OR(G2741="",G2741="?"),"",IFERROR(INDEX(Pubs!$G$2:$G$3001,MATCH(G2741,Pubs!$A$2:$A$3001,0))&amp;"",""))</f>
        <v/>
      </c>
      <c r="K2741" s="28" t="str">
        <f aca="false">IF(OR(G2741="",G2741="?"),"",IFERROR(INDEX(Pubs!$E$2:$E$3001,MATCH(G2741,Pubs!$A$2:$A$3001,0)),""))</f>
        <v/>
      </c>
      <c r="L2741" s="29" t="str">
        <f aca="false">IF(A2741="","",IFERROR(1/(1/INDEX(Numéros!$C$2:$C$3001,MATCH(A2741&amp;"|"&amp;B2741,Numéros!$F$2:$F$3001,0))),""))</f>
        <v/>
      </c>
      <c r="M2741" s="27" t="str">
        <f aca="false">IF(OR(G2741="",G2741="?"),"",IFERROR(INDEX(Pubs!$D$2:$D$3001,MATCH(G2741,Pubs!$A$2:$A$3001,0))&amp;"",""))</f>
        <v/>
      </c>
      <c r="N2741" s="27" t="n">
        <f aca="false">N(N2740)+IF(AND(A2741&lt;&gt;"",OR(Recherche!$C$4="",A2741=Recherche!$C$4),OR(Recherche!$C$5="",B2741&amp;""=Recherche!$C$5&amp;""),OR(Recherche!$C$6="",IFERROR(YEAR(L2741),0)=Recherche!$C$6),OR(Recherche!$C$7="",ISNUMBER(SEARCH(Recherche!$C$7,H2741))),OR(Recherche!$C$8="",J2741=Recherche!$C$8),OR(Recherche!$C$9="",I2741=Recherche!$C$9),OR(Recherche!$C$10="",G2741&amp;""=Recherche!$C$10&amp;""),OR(Recherche!$C$11="",E2741=Recherche!$C$11),OR(Recherche!$C$12="",ISNUMBER(SEARCH(Recherche!$C$12,M2741&amp;" "&amp;F2741)))),1,0)</f>
        <v>8</v>
      </c>
    </row>
    <row r="2742" customFormat="false" ht="15" hidden="false" customHeight="false" outlineLevel="0" collapsed="false">
      <c r="A2742" s="19"/>
      <c r="B2742" s="19"/>
      <c r="C2742" s="19"/>
      <c r="D2742" s="19"/>
      <c r="E2742" s="22"/>
      <c r="F2742" s="19"/>
      <c r="G2742" s="26" t="str">
        <f aca="false">IF(D2742="","",IFERROR(VALUE(LEFT(D2742,FIND(" |",D2742&amp;" |")-1)),"?"))</f>
        <v/>
      </c>
      <c r="H2742" s="27" t="str">
        <f aca="false">IF(G2742="","",IF(G2742="?","⚠ pub inconnue",IFERROR(INDEX(Pubs!$B$2:$B$3001,MATCH(G2742,Pubs!$A$2:$A$3001,0))&amp;"","⚠ pub inconnue")))</f>
        <v/>
      </c>
      <c r="I2742" s="27" t="str">
        <f aca="false">IF(OR(G2742="",G2742="?"),"",IFERROR(INDEX(Pubs!$C$2:$C$3001,MATCH(G2742,Pubs!$A$2:$A$3001,0))&amp;"",""))</f>
        <v/>
      </c>
      <c r="J2742" s="27" t="str">
        <f aca="false">IF(OR(G2742="",G2742="?"),"",IFERROR(INDEX(Pubs!$G$2:$G$3001,MATCH(G2742,Pubs!$A$2:$A$3001,0))&amp;"",""))</f>
        <v/>
      </c>
      <c r="K2742" s="28" t="str">
        <f aca="false">IF(OR(G2742="",G2742="?"),"",IFERROR(INDEX(Pubs!$E$2:$E$3001,MATCH(G2742,Pubs!$A$2:$A$3001,0)),""))</f>
        <v/>
      </c>
      <c r="L2742" s="29" t="str">
        <f aca="false">IF(A2742="","",IFERROR(1/(1/INDEX(Numéros!$C$2:$C$3001,MATCH(A2742&amp;"|"&amp;B2742,Numéros!$F$2:$F$3001,0))),""))</f>
        <v/>
      </c>
      <c r="M2742" s="27" t="str">
        <f aca="false">IF(OR(G2742="",G2742="?"),"",IFERROR(INDEX(Pubs!$D$2:$D$3001,MATCH(G2742,Pubs!$A$2:$A$3001,0))&amp;"",""))</f>
        <v/>
      </c>
      <c r="N2742" s="27" t="n">
        <f aca="false">N(N2741)+IF(AND(A2742&lt;&gt;"",OR(Recherche!$C$4="",A2742=Recherche!$C$4),OR(Recherche!$C$5="",B2742&amp;""=Recherche!$C$5&amp;""),OR(Recherche!$C$6="",IFERROR(YEAR(L2742),0)=Recherche!$C$6),OR(Recherche!$C$7="",ISNUMBER(SEARCH(Recherche!$C$7,H2742))),OR(Recherche!$C$8="",J2742=Recherche!$C$8),OR(Recherche!$C$9="",I2742=Recherche!$C$9),OR(Recherche!$C$10="",G2742&amp;""=Recherche!$C$10&amp;""),OR(Recherche!$C$11="",E2742=Recherche!$C$11),OR(Recherche!$C$12="",ISNUMBER(SEARCH(Recherche!$C$12,M2742&amp;" "&amp;F2742)))),1,0)</f>
        <v>8</v>
      </c>
    </row>
    <row r="2743" customFormat="false" ht="15" hidden="false" customHeight="false" outlineLevel="0" collapsed="false">
      <c r="A2743" s="19"/>
      <c r="B2743" s="19"/>
      <c r="C2743" s="19"/>
      <c r="D2743" s="19"/>
      <c r="E2743" s="22"/>
      <c r="F2743" s="19"/>
      <c r="G2743" s="26" t="str">
        <f aca="false">IF(D2743="","",IFERROR(VALUE(LEFT(D2743,FIND(" |",D2743&amp;" |")-1)),"?"))</f>
        <v/>
      </c>
      <c r="H2743" s="27" t="str">
        <f aca="false">IF(G2743="","",IF(G2743="?","⚠ pub inconnue",IFERROR(INDEX(Pubs!$B$2:$B$3001,MATCH(G2743,Pubs!$A$2:$A$3001,0))&amp;"","⚠ pub inconnue")))</f>
        <v/>
      </c>
      <c r="I2743" s="27" t="str">
        <f aca="false">IF(OR(G2743="",G2743="?"),"",IFERROR(INDEX(Pubs!$C$2:$C$3001,MATCH(G2743,Pubs!$A$2:$A$3001,0))&amp;"",""))</f>
        <v/>
      </c>
      <c r="J2743" s="27" t="str">
        <f aca="false">IF(OR(G2743="",G2743="?"),"",IFERROR(INDEX(Pubs!$G$2:$G$3001,MATCH(G2743,Pubs!$A$2:$A$3001,0))&amp;"",""))</f>
        <v/>
      </c>
      <c r="K2743" s="28" t="str">
        <f aca="false">IF(OR(G2743="",G2743="?"),"",IFERROR(INDEX(Pubs!$E$2:$E$3001,MATCH(G2743,Pubs!$A$2:$A$3001,0)),""))</f>
        <v/>
      </c>
      <c r="L2743" s="29" t="str">
        <f aca="false">IF(A2743="","",IFERROR(1/(1/INDEX(Numéros!$C$2:$C$3001,MATCH(A2743&amp;"|"&amp;B2743,Numéros!$F$2:$F$3001,0))),""))</f>
        <v/>
      </c>
      <c r="M2743" s="27" t="str">
        <f aca="false">IF(OR(G2743="",G2743="?"),"",IFERROR(INDEX(Pubs!$D$2:$D$3001,MATCH(G2743,Pubs!$A$2:$A$3001,0))&amp;"",""))</f>
        <v/>
      </c>
      <c r="N2743" s="27" t="n">
        <f aca="false">N(N2742)+IF(AND(A2743&lt;&gt;"",OR(Recherche!$C$4="",A2743=Recherche!$C$4),OR(Recherche!$C$5="",B2743&amp;""=Recherche!$C$5&amp;""),OR(Recherche!$C$6="",IFERROR(YEAR(L2743),0)=Recherche!$C$6),OR(Recherche!$C$7="",ISNUMBER(SEARCH(Recherche!$C$7,H2743))),OR(Recherche!$C$8="",J2743=Recherche!$C$8),OR(Recherche!$C$9="",I2743=Recherche!$C$9),OR(Recherche!$C$10="",G2743&amp;""=Recherche!$C$10&amp;""),OR(Recherche!$C$11="",E2743=Recherche!$C$11),OR(Recherche!$C$12="",ISNUMBER(SEARCH(Recherche!$C$12,M2743&amp;" "&amp;F2743)))),1,0)</f>
        <v>8</v>
      </c>
    </row>
    <row r="2744" customFormat="false" ht="15" hidden="false" customHeight="false" outlineLevel="0" collapsed="false">
      <c r="A2744" s="19"/>
      <c r="B2744" s="19"/>
      <c r="C2744" s="19"/>
      <c r="D2744" s="19"/>
      <c r="E2744" s="22"/>
      <c r="F2744" s="19"/>
      <c r="G2744" s="26" t="str">
        <f aca="false">IF(D2744="","",IFERROR(VALUE(LEFT(D2744,FIND(" |",D2744&amp;" |")-1)),"?"))</f>
        <v/>
      </c>
      <c r="H2744" s="27" t="str">
        <f aca="false">IF(G2744="","",IF(G2744="?","⚠ pub inconnue",IFERROR(INDEX(Pubs!$B$2:$B$3001,MATCH(G2744,Pubs!$A$2:$A$3001,0))&amp;"","⚠ pub inconnue")))</f>
        <v/>
      </c>
      <c r="I2744" s="27" t="str">
        <f aca="false">IF(OR(G2744="",G2744="?"),"",IFERROR(INDEX(Pubs!$C$2:$C$3001,MATCH(G2744,Pubs!$A$2:$A$3001,0))&amp;"",""))</f>
        <v/>
      </c>
      <c r="J2744" s="27" t="str">
        <f aca="false">IF(OR(G2744="",G2744="?"),"",IFERROR(INDEX(Pubs!$G$2:$G$3001,MATCH(G2744,Pubs!$A$2:$A$3001,0))&amp;"",""))</f>
        <v/>
      </c>
      <c r="K2744" s="28" t="str">
        <f aca="false">IF(OR(G2744="",G2744="?"),"",IFERROR(INDEX(Pubs!$E$2:$E$3001,MATCH(G2744,Pubs!$A$2:$A$3001,0)),""))</f>
        <v/>
      </c>
      <c r="L2744" s="29" t="str">
        <f aca="false">IF(A2744="","",IFERROR(1/(1/INDEX(Numéros!$C$2:$C$3001,MATCH(A2744&amp;"|"&amp;B2744,Numéros!$F$2:$F$3001,0))),""))</f>
        <v/>
      </c>
      <c r="M2744" s="27" t="str">
        <f aca="false">IF(OR(G2744="",G2744="?"),"",IFERROR(INDEX(Pubs!$D$2:$D$3001,MATCH(G2744,Pubs!$A$2:$A$3001,0))&amp;"",""))</f>
        <v/>
      </c>
      <c r="N2744" s="27" t="n">
        <f aca="false">N(N2743)+IF(AND(A2744&lt;&gt;"",OR(Recherche!$C$4="",A2744=Recherche!$C$4),OR(Recherche!$C$5="",B2744&amp;""=Recherche!$C$5&amp;""),OR(Recherche!$C$6="",IFERROR(YEAR(L2744),0)=Recherche!$C$6),OR(Recherche!$C$7="",ISNUMBER(SEARCH(Recherche!$C$7,H2744))),OR(Recherche!$C$8="",J2744=Recherche!$C$8),OR(Recherche!$C$9="",I2744=Recherche!$C$9),OR(Recherche!$C$10="",G2744&amp;""=Recherche!$C$10&amp;""),OR(Recherche!$C$11="",E2744=Recherche!$C$11),OR(Recherche!$C$12="",ISNUMBER(SEARCH(Recherche!$C$12,M2744&amp;" "&amp;F2744)))),1,0)</f>
        <v>8</v>
      </c>
    </row>
    <row r="2745" customFormat="false" ht="15" hidden="false" customHeight="false" outlineLevel="0" collapsed="false">
      <c r="A2745" s="19"/>
      <c r="B2745" s="19"/>
      <c r="C2745" s="19"/>
      <c r="D2745" s="19"/>
      <c r="E2745" s="22"/>
      <c r="F2745" s="19"/>
      <c r="G2745" s="26" t="str">
        <f aca="false">IF(D2745="","",IFERROR(VALUE(LEFT(D2745,FIND(" |",D2745&amp;" |")-1)),"?"))</f>
        <v/>
      </c>
      <c r="H2745" s="27" t="str">
        <f aca="false">IF(G2745="","",IF(G2745="?","⚠ pub inconnue",IFERROR(INDEX(Pubs!$B$2:$B$3001,MATCH(G2745,Pubs!$A$2:$A$3001,0))&amp;"","⚠ pub inconnue")))</f>
        <v/>
      </c>
      <c r="I2745" s="27" t="str">
        <f aca="false">IF(OR(G2745="",G2745="?"),"",IFERROR(INDEX(Pubs!$C$2:$C$3001,MATCH(G2745,Pubs!$A$2:$A$3001,0))&amp;"",""))</f>
        <v/>
      </c>
      <c r="J2745" s="27" t="str">
        <f aca="false">IF(OR(G2745="",G2745="?"),"",IFERROR(INDEX(Pubs!$G$2:$G$3001,MATCH(G2745,Pubs!$A$2:$A$3001,0))&amp;"",""))</f>
        <v/>
      </c>
      <c r="K2745" s="28" t="str">
        <f aca="false">IF(OR(G2745="",G2745="?"),"",IFERROR(INDEX(Pubs!$E$2:$E$3001,MATCH(G2745,Pubs!$A$2:$A$3001,0)),""))</f>
        <v/>
      </c>
      <c r="L2745" s="29" t="str">
        <f aca="false">IF(A2745="","",IFERROR(1/(1/INDEX(Numéros!$C$2:$C$3001,MATCH(A2745&amp;"|"&amp;B2745,Numéros!$F$2:$F$3001,0))),""))</f>
        <v/>
      </c>
      <c r="M2745" s="27" t="str">
        <f aca="false">IF(OR(G2745="",G2745="?"),"",IFERROR(INDEX(Pubs!$D$2:$D$3001,MATCH(G2745,Pubs!$A$2:$A$3001,0))&amp;"",""))</f>
        <v/>
      </c>
      <c r="N2745" s="27" t="n">
        <f aca="false">N(N2744)+IF(AND(A2745&lt;&gt;"",OR(Recherche!$C$4="",A2745=Recherche!$C$4),OR(Recherche!$C$5="",B2745&amp;""=Recherche!$C$5&amp;""),OR(Recherche!$C$6="",IFERROR(YEAR(L2745),0)=Recherche!$C$6),OR(Recherche!$C$7="",ISNUMBER(SEARCH(Recherche!$C$7,H2745))),OR(Recherche!$C$8="",J2745=Recherche!$C$8),OR(Recherche!$C$9="",I2745=Recherche!$C$9),OR(Recherche!$C$10="",G2745&amp;""=Recherche!$C$10&amp;""),OR(Recherche!$C$11="",E2745=Recherche!$C$11),OR(Recherche!$C$12="",ISNUMBER(SEARCH(Recherche!$C$12,M2745&amp;" "&amp;F2745)))),1,0)</f>
        <v>8</v>
      </c>
    </row>
    <row r="2746" customFormat="false" ht="15" hidden="false" customHeight="false" outlineLevel="0" collapsed="false">
      <c r="A2746" s="19"/>
      <c r="B2746" s="19"/>
      <c r="C2746" s="19"/>
      <c r="D2746" s="19"/>
      <c r="E2746" s="22"/>
      <c r="F2746" s="19"/>
      <c r="G2746" s="26" t="str">
        <f aca="false">IF(D2746="","",IFERROR(VALUE(LEFT(D2746,FIND(" |",D2746&amp;" |")-1)),"?"))</f>
        <v/>
      </c>
      <c r="H2746" s="27" t="str">
        <f aca="false">IF(G2746="","",IF(G2746="?","⚠ pub inconnue",IFERROR(INDEX(Pubs!$B$2:$B$3001,MATCH(G2746,Pubs!$A$2:$A$3001,0))&amp;"","⚠ pub inconnue")))</f>
        <v/>
      </c>
      <c r="I2746" s="27" t="str">
        <f aca="false">IF(OR(G2746="",G2746="?"),"",IFERROR(INDEX(Pubs!$C$2:$C$3001,MATCH(G2746,Pubs!$A$2:$A$3001,0))&amp;"",""))</f>
        <v/>
      </c>
      <c r="J2746" s="27" t="str">
        <f aca="false">IF(OR(G2746="",G2746="?"),"",IFERROR(INDEX(Pubs!$G$2:$G$3001,MATCH(G2746,Pubs!$A$2:$A$3001,0))&amp;"",""))</f>
        <v/>
      </c>
      <c r="K2746" s="28" t="str">
        <f aca="false">IF(OR(G2746="",G2746="?"),"",IFERROR(INDEX(Pubs!$E$2:$E$3001,MATCH(G2746,Pubs!$A$2:$A$3001,0)),""))</f>
        <v/>
      </c>
      <c r="L2746" s="29" t="str">
        <f aca="false">IF(A2746="","",IFERROR(1/(1/INDEX(Numéros!$C$2:$C$3001,MATCH(A2746&amp;"|"&amp;B2746,Numéros!$F$2:$F$3001,0))),""))</f>
        <v/>
      </c>
      <c r="M2746" s="27" t="str">
        <f aca="false">IF(OR(G2746="",G2746="?"),"",IFERROR(INDEX(Pubs!$D$2:$D$3001,MATCH(G2746,Pubs!$A$2:$A$3001,0))&amp;"",""))</f>
        <v/>
      </c>
      <c r="N2746" s="27" t="n">
        <f aca="false">N(N2745)+IF(AND(A2746&lt;&gt;"",OR(Recherche!$C$4="",A2746=Recherche!$C$4),OR(Recherche!$C$5="",B2746&amp;""=Recherche!$C$5&amp;""),OR(Recherche!$C$6="",IFERROR(YEAR(L2746),0)=Recherche!$C$6),OR(Recherche!$C$7="",ISNUMBER(SEARCH(Recherche!$C$7,H2746))),OR(Recherche!$C$8="",J2746=Recherche!$C$8),OR(Recherche!$C$9="",I2746=Recherche!$C$9),OR(Recherche!$C$10="",G2746&amp;""=Recherche!$C$10&amp;""),OR(Recherche!$C$11="",E2746=Recherche!$C$11),OR(Recherche!$C$12="",ISNUMBER(SEARCH(Recherche!$C$12,M2746&amp;" "&amp;F2746)))),1,0)</f>
        <v>8</v>
      </c>
    </row>
    <row r="2747" customFormat="false" ht="15" hidden="false" customHeight="false" outlineLevel="0" collapsed="false">
      <c r="A2747" s="19"/>
      <c r="B2747" s="19"/>
      <c r="C2747" s="19"/>
      <c r="D2747" s="19"/>
      <c r="E2747" s="22"/>
      <c r="F2747" s="19"/>
      <c r="G2747" s="26" t="str">
        <f aca="false">IF(D2747="","",IFERROR(VALUE(LEFT(D2747,FIND(" |",D2747&amp;" |")-1)),"?"))</f>
        <v/>
      </c>
      <c r="H2747" s="27" t="str">
        <f aca="false">IF(G2747="","",IF(G2747="?","⚠ pub inconnue",IFERROR(INDEX(Pubs!$B$2:$B$3001,MATCH(G2747,Pubs!$A$2:$A$3001,0))&amp;"","⚠ pub inconnue")))</f>
        <v/>
      </c>
      <c r="I2747" s="27" t="str">
        <f aca="false">IF(OR(G2747="",G2747="?"),"",IFERROR(INDEX(Pubs!$C$2:$C$3001,MATCH(G2747,Pubs!$A$2:$A$3001,0))&amp;"",""))</f>
        <v/>
      </c>
      <c r="J2747" s="27" t="str">
        <f aca="false">IF(OR(G2747="",G2747="?"),"",IFERROR(INDEX(Pubs!$G$2:$G$3001,MATCH(G2747,Pubs!$A$2:$A$3001,0))&amp;"",""))</f>
        <v/>
      </c>
      <c r="K2747" s="28" t="str">
        <f aca="false">IF(OR(G2747="",G2747="?"),"",IFERROR(INDEX(Pubs!$E$2:$E$3001,MATCH(G2747,Pubs!$A$2:$A$3001,0)),""))</f>
        <v/>
      </c>
      <c r="L2747" s="29" t="str">
        <f aca="false">IF(A2747="","",IFERROR(1/(1/INDEX(Numéros!$C$2:$C$3001,MATCH(A2747&amp;"|"&amp;B2747,Numéros!$F$2:$F$3001,0))),""))</f>
        <v/>
      </c>
      <c r="M2747" s="27" t="str">
        <f aca="false">IF(OR(G2747="",G2747="?"),"",IFERROR(INDEX(Pubs!$D$2:$D$3001,MATCH(G2747,Pubs!$A$2:$A$3001,0))&amp;"",""))</f>
        <v/>
      </c>
      <c r="N2747" s="27" t="n">
        <f aca="false">N(N2746)+IF(AND(A2747&lt;&gt;"",OR(Recherche!$C$4="",A2747=Recherche!$C$4),OR(Recherche!$C$5="",B2747&amp;""=Recherche!$C$5&amp;""),OR(Recherche!$C$6="",IFERROR(YEAR(L2747),0)=Recherche!$C$6),OR(Recherche!$C$7="",ISNUMBER(SEARCH(Recherche!$C$7,H2747))),OR(Recherche!$C$8="",J2747=Recherche!$C$8),OR(Recherche!$C$9="",I2747=Recherche!$C$9),OR(Recherche!$C$10="",G2747&amp;""=Recherche!$C$10&amp;""),OR(Recherche!$C$11="",E2747=Recherche!$C$11),OR(Recherche!$C$12="",ISNUMBER(SEARCH(Recherche!$C$12,M2747&amp;" "&amp;F2747)))),1,0)</f>
        <v>8</v>
      </c>
    </row>
    <row r="2748" customFormat="false" ht="15" hidden="false" customHeight="false" outlineLevel="0" collapsed="false">
      <c r="A2748" s="19"/>
      <c r="B2748" s="19"/>
      <c r="C2748" s="19"/>
      <c r="D2748" s="19"/>
      <c r="E2748" s="22"/>
      <c r="F2748" s="19"/>
      <c r="G2748" s="26" t="str">
        <f aca="false">IF(D2748="","",IFERROR(VALUE(LEFT(D2748,FIND(" |",D2748&amp;" |")-1)),"?"))</f>
        <v/>
      </c>
      <c r="H2748" s="27" t="str">
        <f aca="false">IF(G2748="","",IF(G2748="?","⚠ pub inconnue",IFERROR(INDEX(Pubs!$B$2:$B$3001,MATCH(G2748,Pubs!$A$2:$A$3001,0))&amp;"","⚠ pub inconnue")))</f>
        <v/>
      </c>
      <c r="I2748" s="27" t="str">
        <f aca="false">IF(OR(G2748="",G2748="?"),"",IFERROR(INDEX(Pubs!$C$2:$C$3001,MATCH(G2748,Pubs!$A$2:$A$3001,0))&amp;"",""))</f>
        <v/>
      </c>
      <c r="J2748" s="27" t="str">
        <f aca="false">IF(OR(G2748="",G2748="?"),"",IFERROR(INDEX(Pubs!$G$2:$G$3001,MATCH(G2748,Pubs!$A$2:$A$3001,0))&amp;"",""))</f>
        <v/>
      </c>
      <c r="K2748" s="28" t="str">
        <f aca="false">IF(OR(G2748="",G2748="?"),"",IFERROR(INDEX(Pubs!$E$2:$E$3001,MATCH(G2748,Pubs!$A$2:$A$3001,0)),""))</f>
        <v/>
      </c>
      <c r="L2748" s="29" t="str">
        <f aca="false">IF(A2748="","",IFERROR(1/(1/INDEX(Numéros!$C$2:$C$3001,MATCH(A2748&amp;"|"&amp;B2748,Numéros!$F$2:$F$3001,0))),""))</f>
        <v/>
      </c>
      <c r="M2748" s="27" t="str">
        <f aca="false">IF(OR(G2748="",G2748="?"),"",IFERROR(INDEX(Pubs!$D$2:$D$3001,MATCH(G2748,Pubs!$A$2:$A$3001,0))&amp;"",""))</f>
        <v/>
      </c>
      <c r="N2748" s="27" t="n">
        <f aca="false">N(N2747)+IF(AND(A2748&lt;&gt;"",OR(Recherche!$C$4="",A2748=Recherche!$C$4),OR(Recherche!$C$5="",B2748&amp;""=Recherche!$C$5&amp;""),OR(Recherche!$C$6="",IFERROR(YEAR(L2748),0)=Recherche!$C$6),OR(Recherche!$C$7="",ISNUMBER(SEARCH(Recherche!$C$7,H2748))),OR(Recherche!$C$8="",J2748=Recherche!$C$8),OR(Recherche!$C$9="",I2748=Recherche!$C$9),OR(Recherche!$C$10="",G2748&amp;""=Recherche!$C$10&amp;""),OR(Recherche!$C$11="",E2748=Recherche!$C$11),OR(Recherche!$C$12="",ISNUMBER(SEARCH(Recherche!$C$12,M2748&amp;" "&amp;F2748)))),1,0)</f>
        <v>8</v>
      </c>
    </row>
    <row r="2749" customFormat="false" ht="15" hidden="false" customHeight="false" outlineLevel="0" collapsed="false">
      <c r="A2749" s="19"/>
      <c r="B2749" s="19"/>
      <c r="C2749" s="19"/>
      <c r="D2749" s="19"/>
      <c r="E2749" s="22"/>
      <c r="F2749" s="19"/>
      <c r="G2749" s="26" t="str">
        <f aca="false">IF(D2749="","",IFERROR(VALUE(LEFT(D2749,FIND(" |",D2749&amp;" |")-1)),"?"))</f>
        <v/>
      </c>
      <c r="H2749" s="27" t="str">
        <f aca="false">IF(G2749="","",IF(G2749="?","⚠ pub inconnue",IFERROR(INDEX(Pubs!$B$2:$B$3001,MATCH(G2749,Pubs!$A$2:$A$3001,0))&amp;"","⚠ pub inconnue")))</f>
        <v/>
      </c>
      <c r="I2749" s="27" t="str">
        <f aca="false">IF(OR(G2749="",G2749="?"),"",IFERROR(INDEX(Pubs!$C$2:$C$3001,MATCH(G2749,Pubs!$A$2:$A$3001,0))&amp;"",""))</f>
        <v/>
      </c>
      <c r="J2749" s="27" t="str">
        <f aca="false">IF(OR(G2749="",G2749="?"),"",IFERROR(INDEX(Pubs!$G$2:$G$3001,MATCH(G2749,Pubs!$A$2:$A$3001,0))&amp;"",""))</f>
        <v/>
      </c>
      <c r="K2749" s="28" t="str">
        <f aca="false">IF(OR(G2749="",G2749="?"),"",IFERROR(INDEX(Pubs!$E$2:$E$3001,MATCH(G2749,Pubs!$A$2:$A$3001,0)),""))</f>
        <v/>
      </c>
      <c r="L2749" s="29" t="str">
        <f aca="false">IF(A2749="","",IFERROR(1/(1/INDEX(Numéros!$C$2:$C$3001,MATCH(A2749&amp;"|"&amp;B2749,Numéros!$F$2:$F$3001,0))),""))</f>
        <v/>
      </c>
      <c r="M2749" s="27" t="str">
        <f aca="false">IF(OR(G2749="",G2749="?"),"",IFERROR(INDEX(Pubs!$D$2:$D$3001,MATCH(G2749,Pubs!$A$2:$A$3001,0))&amp;"",""))</f>
        <v/>
      </c>
      <c r="N2749" s="27" t="n">
        <f aca="false">N(N2748)+IF(AND(A2749&lt;&gt;"",OR(Recherche!$C$4="",A2749=Recherche!$C$4),OR(Recherche!$C$5="",B2749&amp;""=Recherche!$C$5&amp;""),OR(Recherche!$C$6="",IFERROR(YEAR(L2749),0)=Recherche!$C$6),OR(Recherche!$C$7="",ISNUMBER(SEARCH(Recherche!$C$7,H2749))),OR(Recherche!$C$8="",J2749=Recherche!$C$8),OR(Recherche!$C$9="",I2749=Recherche!$C$9),OR(Recherche!$C$10="",G2749&amp;""=Recherche!$C$10&amp;""),OR(Recherche!$C$11="",E2749=Recherche!$C$11),OR(Recherche!$C$12="",ISNUMBER(SEARCH(Recherche!$C$12,M2749&amp;" "&amp;F2749)))),1,0)</f>
        <v>8</v>
      </c>
    </row>
    <row r="2750" customFormat="false" ht="15" hidden="false" customHeight="false" outlineLevel="0" collapsed="false">
      <c r="A2750" s="19"/>
      <c r="B2750" s="19"/>
      <c r="C2750" s="19"/>
      <c r="D2750" s="19"/>
      <c r="E2750" s="22"/>
      <c r="F2750" s="19"/>
      <c r="G2750" s="26" t="str">
        <f aca="false">IF(D2750="","",IFERROR(VALUE(LEFT(D2750,FIND(" |",D2750&amp;" |")-1)),"?"))</f>
        <v/>
      </c>
      <c r="H2750" s="27" t="str">
        <f aca="false">IF(G2750="","",IF(G2750="?","⚠ pub inconnue",IFERROR(INDEX(Pubs!$B$2:$B$3001,MATCH(G2750,Pubs!$A$2:$A$3001,0))&amp;"","⚠ pub inconnue")))</f>
        <v/>
      </c>
      <c r="I2750" s="27" t="str">
        <f aca="false">IF(OR(G2750="",G2750="?"),"",IFERROR(INDEX(Pubs!$C$2:$C$3001,MATCH(G2750,Pubs!$A$2:$A$3001,0))&amp;"",""))</f>
        <v/>
      </c>
      <c r="J2750" s="27" t="str">
        <f aca="false">IF(OR(G2750="",G2750="?"),"",IFERROR(INDEX(Pubs!$G$2:$G$3001,MATCH(G2750,Pubs!$A$2:$A$3001,0))&amp;"",""))</f>
        <v/>
      </c>
      <c r="K2750" s="28" t="str">
        <f aca="false">IF(OR(G2750="",G2750="?"),"",IFERROR(INDEX(Pubs!$E$2:$E$3001,MATCH(G2750,Pubs!$A$2:$A$3001,0)),""))</f>
        <v/>
      </c>
      <c r="L2750" s="29" t="str">
        <f aca="false">IF(A2750="","",IFERROR(1/(1/INDEX(Numéros!$C$2:$C$3001,MATCH(A2750&amp;"|"&amp;B2750,Numéros!$F$2:$F$3001,0))),""))</f>
        <v/>
      </c>
      <c r="M2750" s="27" t="str">
        <f aca="false">IF(OR(G2750="",G2750="?"),"",IFERROR(INDEX(Pubs!$D$2:$D$3001,MATCH(G2750,Pubs!$A$2:$A$3001,0))&amp;"",""))</f>
        <v/>
      </c>
      <c r="N2750" s="27" t="n">
        <f aca="false">N(N2749)+IF(AND(A2750&lt;&gt;"",OR(Recherche!$C$4="",A2750=Recherche!$C$4),OR(Recherche!$C$5="",B2750&amp;""=Recherche!$C$5&amp;""),OR(Recherche!$C$6="",IFERROR(YEAR(L2750),0)=Recherche!$C$6),OR(Recherche!$C$7="",ISNUMBER(SEARCH(Recherche!$C$7,H2750))),OR(Recherche!$C$8="",J2750=Recherche!$C$8),OR(Recherche!$C$9="",I2750=Recherche!$C$9),OR(Recherche!$C$10="",G2750&amp;""=Recherche!$C$10&amp;""),OR(Recherche!$C$11="",E2750=Recherche!$C$11),OR(Recherche!$C$12="",ISNUMBER(SEARCH(Recherche!$C$12,M2750&amp;" "&amp;F2750)))),1,0)</f>
        <v>8</v>
      </c>
    </row>
    <row r="2751" customFormat="false" ht="15" hidden="false" customHeight="false" outlineLevel="0" collapsed="false">
      <c r="A2751" s="19"/>
      <c r="B2751" s="19"/>
      <c r="C2751" s="19"/>
      <c r="D2751" s="19"/>
      <c r="E2751" s="22"/>
      <c r="F2751" s="19"/>
      <c r="G2751" s="26" t="str">
        <f aca="false">IF(D2751="","",IFERROR(VALUE(LEFT(D2751,FIND(" |",D2751&amp;" |")-1)),"?"))</f>
        <v/>
      </c>
      <c r="H2751" s="27" t="str">
        <f aca="false">IF(G2751="","",IF(G2751="?","⚠ pub inconnue",IFERROR(INDEX(Pubs!$B$2:$B$3001,MATCH(G2751,Pubs!$A$2:$A$3001,0))&amp;"","⚠ pub inconnue")))</f>
        <v/>
      </c>
      <c r="I2751" s="27" t="str">
        <f aca="false">IF(OR(G2751="",G2751="?"),"",IFERROR(INDEX(Pubs!$C$2:$C$3001,MATCH(G2751,Pubs!$A$2:$A$3001,0))&amp;"",""))</f>
        <v/>
      </c>
      <c r="J2751" s="27" t="str">
        <f aca="false">IF(OR(G2751="",G2751="?"),"",IFERROR(INDEX(Pubs!$G$2:$G$3001,MATCH(G2751,Pubs!$A$2:$A$3001,0))&amp;"",""))</f>
        <v/>
      </c>
      <c r="K2751" s="28" t="str">
        <f aca="false">IF(OR(G2751="",G2751="?"),"",IFERROR(INDEX(Pubs!$E$2:$E$3001,MATCH(G2751,Pubs!$A$2:$A$3001,0)),""))</f>
        <v/>
      </c>
      <c r="L2751" s="29" t="str">
        <f aca="false">IF(A2751="","",IFERROR(1/(1/INDEX(Numéros!$C$2:$C$3001,MATCH(A2751&amp;"|"&amp;B2751,Numéros!$F$2:$F$3001,0))),""))</f>
        <v/>
      </c>
      <c r="M2751" s="27" t="str">
        <f aca="false">IF(OR(G2751="",G2751="?"),"",IFERROR(INDEX(Pubs!$D$2:$D$3001,MATCH(G2751,Pubs!$A$2:$A$3001,0))&amp;"",""))</f>
        <v/>
      </c>
      <c r="N2751" s="27" t="n">
        <f aca="false">N(N2750)+IF(AND(A2751&lt;&gt;"",OR(Recherche!$C$4="",A2751=Recherche!$C$4),OR(Recherche!$C$5="",B2751&amp;""=Recherche!$C$5&amp;""),OR(Recherche!$C$6="",IFERROR(YEAR(L2751),0)=Recherche!$C$6),OR(Recherche!$C$7="",ISNUMBER(SEARCH(Recherche!$C$7,H2751))),OR(Recherche!$C$8="",J2751=Recherche!$C$8),OR(Recherche!$C$9="",I2751=Recherche!$C$9),OR(Recherche!$C$10="",G2751&amp;""=Recherche!$C$10&amp;""),OR(Recherche!$C$11="",E2751=Recherche!$C$11),OR(Recherche!$C$12="",ISNUMBER(SEARCH(Recherche!$C$12,M2751&amp;" "&amp;F2751)))),1,0)</f>
        <v>8</v>
      </c>
    </row>
    <row r="2752" customFormat="false" ht="15" hidden="false" customHeight="false" outlineLevel="0" collapsed="false">
      <c r="A2752" s="19"/>
      <c r="B2752" s="19"/>
      <c r="C2752" s="19"/>
      <c r="D2752" s="19"/>
      <c r="E2752" s="22"/>
      <c r="F2752" s="19"/>
      <c r="G2752" s="26" t="str">
        <f aca="false">IF(D2752="","",IFERROR(VALUE(LEFT(D2752,FIND(" |",D2752&amp;" |")-1)),"?"))</f>
        <v/>
      </c>
      <c r="H2752" s="27" t="str">
        <f aca="false">IF(G2752="","",IF(G2752="?","⚠ pub inconnue",IFERROR(INDEX(Pubs!$B$2:$B$3001,MATCH(G2752,Pubs!$A$2:$A$3001,0))&amp;"","⚠ pub inconnue")))</f>
        <v/>
      </c>
      <c r="I2752" s="27" t="str">
        <f aca="false">IF(OR(G2752="",G2752="?"),"",IFERROR(INDEX(Pubs!$C$2:$C$3001,MATCH(G2752,Pubs!$A$2:$A$3001,0))&amp;"",""))</f>
        <v/>
      </c>
      <c r="J2752" s="27" t="str">
        <f aca="false">IF(OR(G2752="",G2752="?"),"",IFERROR(INDEX(Pubs!$G$2:$G$3001,MATCH(G2752,Pubs!$A$2:$A$3001,0))&amp;"",""))</f>
        <v/>
      </c>
      <c r="K2752" s="28" t="str">
        <f aca="false">IF(OR(G2752="",G2752="?"),"",IFERROR(INDEX(Pubs!$E$2:$E$3001,MATCH(G2752,Pubs!$A$2:$A$3001,0)),""))</f>
        <v/>
      </c>
      <c r="L2752" s="29" t="str">
        <f aca="false">IF(A2752="","",IFERROR(1/(1/INDEX(Numéros!$C$2:$C$3001,MATCH(A2752&amp;"|"&amp;B2752,Numéros!$F$2:$F$3001,0))),""))</f>
        <v/>
      </c>
      <c r="M2752" s="27" t="str">
        <f aca="false">IF(OR(G2752="",G2752="?"),"",IFERROR(INDEX(Pubs!$D$2:$D$3001,MATCH(G2752,Pubs!$A$2:$A$3001,0))&amp;"",""))</f>
        <v/>
      </c>
      <c r="N2752" s="27" t="n">
        <f aca="false">N(N2751)+IF(AND(A2752&lt;&gt;"",OR(Recherche!$C$4="",A2752=Recherche!$C$4),OR(Recherche!$C$5="",B2752&amp;""=Recherche!$C$5&amp;""),OR(Recherche!$C$6="",IFERROR(YEAR(L2752),0)=Recherche!$C$6),OR(Recherche!$C$7="",ISNUMBER(SEARCH(Recherche!$C$7,H2752))),OR(Recherche!$C$8="",J2752=Recherche!$C$8),OR(Recherche!$C$9="",I2752=Recherche!$C$9),OR(Recherche!$C$10="",G2752&amp;""=Recherche!$C$10&amp;""),OR(Recherche!$C$11="",E2752=Recherche!$C$11),OR(Recherche!$C$12="",ISNUMBER(SEARCH(Recherche!$C$12,M2752&amp;" "&amp;F2752)))),1,0)</f>
        <v>8</v>
      </c>
    </row>
    <row r="2753" customFormat="false" ht="15" hidden="false" customHeight="false" outlineLevel="0" collapsed="false">
      <c r="A2753" s="19"/>
      <c r="B2753" s="19"/>
      <c r="C2753" s="19"/>
      <c r="D2753" s="19"/>
      <c r="E2753" s="22"/>
      <c r="F2753" s="19"/>
      <c r="G2753" s="26" t="str">
        <f aca="false">IF(D2753="","",IFERROR(VALUE(LEFT(D2753,FIND(" |",D2753&amp;" |")-1)),"?"))</f>
        <v/>
      </c>
      <c r="H2753" s="27" t="str">
        <f aca="false">IF(G2753="","",IF(G2753="?","⚠ pub inconnue",IFERROR(INDEX(Pubs!$B$2:$B$3001,MATCH(G2753,Pubs!$A$2:$A$3001,0))&amp;"","⚠ pub inconnue")))</f>
        <v/>
      </c>
      <c r="I2753" s="27" t="str">
        <f aca="false">IF(OR(G2753="",G2753="?"),"",IFERROR(INDEX(Pubs!$C$2:$C$3001,MATCH(G2753,Pubs!$A$2:$A$3001,0))&amp;"",""))</f>
        <v/>
      </c>
      <c r="J2753" s="27" t="str">
        <f aca="false">IF(OR(G2753="",G2753="?"),"",IFERROR(INDEX(Pubs!$G$2:$G$3001,MATCH(G2753,Pubs!$A$2:$A$3001,0))&amp;"",""))</f>
        <v/>
      </c>
      <c r="K2753" s="28" t="str">
        <f aca="false">IF(OR(G2753="",G2753="?"),"",IFERROR(INDEX(Pubs!$E$2:$E$3001,MATCH(G2753,Pubs!$A$2:$A$3001,0)),""))</f>
        <v/>
      </c>
      <c r="L2753" s="29" t="str">
        <f aca="false">IF(A2753="","",IFERROR(1/(1/INDEX(Numéros!$C$2:$C$3001,MATCH(A2753&amp;"|"&amp;B2753,Numéros!$F$2:$F$3001,0))),""))</f>
        <v/>
      </c>
      <c r="M2753" s="27" t="str">
        <f aca="false">IF(OR(G2753="",G2753="?"),"",IFERROR(INDEX(Pubs!$D$2:$D$3001,MATCH(G2753,Pubs!$A$2:$A$3001,0))&amp;"",""))</f>
        <v/>
      </c>
      <c r="N2753" s="27" t="n">
        <f aca="false">N(N2752)+IF(AND(A2753&lt;&gt;"",OR(Recherche!$C$4="",A2753=Recherche!$C$4),OR(Recherche!$C$5="",B2753&amp;""=Recherche!$C$5&amp;""),OR(Recherche!$C$6="",IFERROR(YEAR(L2753),0)=Recherche!$C$6),OR(Recherche!$C$7="",ISNUMBER(SEARCH(Recherche!$C$7,H2753))),OR(Recherche!$C$8="",J2753=Recherche!$C$8),OR(Recherche!$C$9="",I2753=Recherche!$C$9),OR(Recherche!$C$10="",G2753&amp;""=Recherche!$C$10&amp;""),OR(Recherche!$C$11="",E2753=Recherche!$C$11),OR(Recherche!$C$12="",ISNUMBER(SEARCH(Recherche!$C$12,M2753&amp;" "&amp;F2753)))),1,0)</f>
        <v>8</v>
      </c>
    </row>
    <row r="2754" customFormat="false" ht="15" hidden="false" customHeight="false" outlineLevel="0" collapsed="false">
      <c r="A2754" s="19"/>
      <c r="B2754" s="19"/>
      <c r="C2754" s="19"/>
      <c r="D2754" s="19"/>
      <c r="E2754" s="22"/>
      <c r="F2754" s="19"/>
      <c r="G2754" s="26" t="str">
        <f aca="false">IF(D2754="","",IFERROR(VALUE(LEFT(D2754,FIND(" |",D2754&amp;" |")-1)),"?"))</f>
        <v/>
      </c>
      <c r="H2754" s="27" t="str">
        <f aca="false">IF(G2754="","",IF(G2754="?","⚠ pub inconnue",IFERROR(INDEX(Pubs!$B$2:$B$3001,MATCH(G2754,Pubs!$A$2:$A$3001,0))&amp;"","⚠ pub inconnue")))</f>
        <v/>
      </c>
      <c r="I2754" s="27" t="str">
        <f aca="false">IF(OR(G2754="",G2754="?"),"",IFERROR(INDEX(Pubs!$C$2:$C$3001,MATCH(G2754,Pubs!$A$2:$A$3001,0))&amp;"",""))</f>
        <v/>
      </c>
      <c r="J2754" s="27" t="str">
        <f aca="false">IF(OR(G2754="",G2754="?"),"",IFERROR(INDEX(Pubs!$G$2:$G$3001,MATCH(G2754,Pubs!$A$2:$A$3001,0))&amp;"",""))</f>
        <v/>
      </c>
      <c r="K2754" s="28" t="str">
        <f aca="false">IF(OR(G2754="",G2754="?"),"",IFERROR(INDEX(Pubs!$E$2:$E$3001,MATCH(G2754,Pubs!$A$2:$A$3001,0)),""))</f>
        <v/>
      </c>
      <c r="L2754" s="29" t="str">
        <f aca="false">IF(A2754="","",IFERROR(1/(1/INDEX(Numéros!$C$2:$C$3001,MATCH(A2754&amp;"|"&amp;B2754,Numéros!$F$2:$F$3001,0))),""))</f>
        <v/>
      </c>
      <c r="M2754" s="27" t="str">
        <f aca="false">IF(OR(G2754="",G2754="?"),"",IFERROR(INDEX(Pubs!$D$2:$D$3001,MATCH(G2754,Pubs!$A$2:$A$3001,0))&amp;"",""))</f>
        <v/>
      </c>
      <c r="N2754" s="27" t="n">
        <f aca="false">N(N2753)+IF(AND(A2754&lt;&gt;"",OR(Recherche!$C$4="",A2754=Recherche!$C$4),OR(Recherche!$C$5="",B2754&amp;""=Recherche!$C$5&amp;""),OR(Recherche!$C$6="",IFERROR(YEAR(L2754),0)=Recherche!$C$6),OR(Recherche!$C$7="",ISNUMBER(SEARCH(Recherche!$C$7,H2754))),OR(Recherche!$C$8="",J2754=Recherche!$C$8),OR(Recherche!$C$9="",I2754=Recherche!$C$9),OR(Recherche!$C$10="",G2754&amp;""=Recherche!$C$10&amp;""),OR(Recherche!$C$11="",E2754=Recherche!$C$11),OR(Recherche!$C$12="",ISNUMBER(SEARCH(Recherche!$C$12,M2754&amp;" "&amp;F2754)))),1,0)</f>
        <v>8</v>
      </c>
    </row>
    <row r="2755" customFormat="false" ht="15" hidden="false" customHeight="false" outlineLevel="0" collapsed="false">
      <c r="A2755" s="19"/>
      <c r="B2755" s="19"/>
      <c r="C2755" s="19"/>
      <c r="D2755" s="19"/>
      <c r="E2755" s="22"/>
      <c r="F2755" s="19"/>
      <c r="G2755" s="26" t="str">
        <f aca="false">IF(D2755="","",IFERROR(VALUE(LEFT(D2755,FIND(" |",D2755&amp;" |")-1)),"?"))</f>
        <v/>
      </c>
      <c r="H2755" s="27" t="str">
        <f aca="false">IF(G2755="","",IF(G2755="?","⚠ pub inconnue",IFERROR(INDEX(Pubs!$B$2:$B$3001,MATCH(G2755,Pubs!$A$2:$A$3001,0))&amp;"","⚠ pub inconnue")))</f>
        <v/>
      </c>
      <c r="I2755" s="27" t="str">
        <f aca="false">IF(OR(G2755="",G2755="?"),"",IFERROR(INDEX(Pubs!$C$2:$C$3001,MATCH(G2755,Pubs!$A$2:$A$3001,0))&amp;"",""))</f>
        <v/>
      </c>
      <c r="J2755" s="27" t="str">
        <f aca="false">IF(OR(G2755="",G2755="?"),"",IFERROR(INDEX(Pubs!$G$2:$G$3001,MATCH(G2755,Pubs!$A$2:$A$3001,0))&amp;"",""))</f>
        <v/>
      </c>
      <c r="K2755" s="28" t="str">
        <f aca="false">IF(OR(G2755="",G2755="?"),"",IFERROR(INDEX(Pubs!$E$2:$E$3001,MATCH(G2755,Pubs!$A$2:$A$3001,0)),""))</f>
        <v/>
      </c>
      <c r="L2755" s="29" t="str">
        <f aca="false">IF(A2755="","",IFERROR(1/(1/INDEX(Numéros!$C$2:$C$3001,MATCH(A2755&amp;"|"&amp;B2755,Numéros!$F$2:$F$3001,0))),""))</f>
        <v/>
      </c>
      <c r="M2755" s="27" t="str">
        <f aca="false">IF(OR(G2755="",G2755="?"),"",IFERROR(INDEX(Pubs!$D$2:$D$3001,MATCH(G2755,Pubs!$A$2:$A$3001,0))&amp;"",""))</f>
        <v/>
      </c>
      <c r="N2755" s="27" t="n">
        <f aca="false">N(N2754)+IF(AND(A2755&lt;&gt;"",OR(Recherche!$C$4="",A2755=Recherche!$C$4),OR(Recherche!$C$5="",B2755&amp;""=Recherche!$C$5&amp;""),OR(Recherche!$C$6="",IFERROR(YEAR(L2755),0)=Recherche!$C$6),OR(Recherche!$C$7="",ISNUMBER(SEARCH(Recherche!$C$7,H2755))),OR(Recherche!$C$8="",J2755=Recherche!$C$8),OR(Recherche!$C$9="",I2755=Recherche!$C$9),OR(Recherche!$C$10="",G2755&amp;""=Recherche!$C$10&amp;""),OR(Recherche!$C$11="",E2755=Recherche!$C$11),OR(Recherche!$C$12="",ISNUMBER(SEARCH(Recherche!$C$12,M2755&amp;" "&amp;F2755)))),1,0)</f>
        <v>8</v>
      </c>
    </row>
    <row r="2756" customFormat="false" ht="15" hidden="false" customHeight="false" outlineLevel="0" collapsed="false">
      <c r="A2756" s="19"/>
      <c r="B2756" s="19"/>
      <c r="C2756" s="19"/>
      <c r="D2756" s="19"/>
      <c r="E2756" s="22"/>
      <c r="F2756" s="19"/>
      <c r="G2756" s="26" t="str">
        <f aca="false">IF(D2756="","",IFERROR(VALUE(LEFT(D2756,FIND(" |",D2756&amp;" |")-1)),"?"))</f>
        <v/>
      </c>
      <c r="H2756" s="27" t="str">
        <f aca="false">IF(G2756="","",IF(G2756="?","⚠ pub inconnue",IFERROR(INDEX(Pubs!$B$2:$B$3001,MATCH(G2756,Pubs!$A$2:$A$3001,0))&amp;"","⚠ pub inconnue")))</f>
        <v/>
      </c>
      <c r="I2756" s="27" t="str">
        <f aca="false">IF(OR(G2756="",G2756="?"),"",IFERROR(INDEX(Pubs!$C$2:$C$3001,MATCH(G2756,Pubs!$A$2:$A$3001,0))&amp;"",""))</f>
        <v/>
      </c>
      <c r="J2756" s="27" t="str">
        <f aca="false">IF(OR(G2756="",G2756="?"),"",IFERROR(INDEX(Pubs!$G$2:$G$3001,MATCH(G2756,Pubs!$A$2:$A$3001,0))&amp;"",""))</f>
        <v/>
      </c>
      <c r="K2756" s="28" t="str">
        <f aca="false">IF(OR(G2756="",G2756="?"),"",IFERROR(INDEX(Pubs!$E$2:$E$3001,MATCH(G2756,Pubs!$A$2:$A$3001,0)),""))</f>
        <v/>
      </c>
      <c r="L2756" s="29" t="str">
        <f aca="false">IF(A2756="","",IFERROR(1/(1/INDEX(Numéros!$C$2:$C$3001,MATCH(A2756&amp;"|"&amp;B2756,Numéros!$F$2:$F$3001,0))),""))</f>
        <v/>
      </c>
      <c r="M2756" s="27" t="str">
        <f aca="false">IF(OR(G2756="",G2756="?"),"",IFERROR(INDEX(Pubs!$D$2:$D$3001,MATCH(G2756,Pubs!$A$2:$A$3001,0))&amp;"",""))</f>
        <v/>
      </c>
      <c r="N2756" s="27" t="n">
        <f aca="false">N(N2755)+IF(AND(A2756&lt;&gt;"",OR(Recherche!$C$4="",A2756=Recherche!$C$4),OR(Recherche!$C$5="",B2756&amp;""=Recherche!$C$5&amp;""),OR(Recherche!$C$6="",IFERROR(YEAR(L2756),0)=Recherche!$C$6),OR(Recherche!$C$7="",ISNUMBER(SEARCH(Recherche!$C$7,H2756))),OR(Recherche!$C$8="",J2756=Recherche!$C$8),OR(Recherche!$C$9="",I2756=Recherche!$C$9),OR(Recherche!$C$10="",G2756&amp;""=Recherche!$C$10&amp;""),OR(Recherche!$C$11="",E2756=Recherche!$C$11),OR(Recherche!$C$12="",ISNUMBER(SEARCH(Recherche!$C$12,M2756&amp;" "&amp;F2756)))),1,0)</f>
        <v>8</v>
      </c>
    </row>
    <row r="2757" customFormat="false" ht="15" hidden="false" customHeight="false" outlineLevel="0" collapsed="false">
      <c r="A2757" s="19"/>
      <c r="B2757" s="19"/>
      <c r="C2757" s="19"/>
      <c r="D2757" s="19"/>
      <c r="E2757" s="22"/>
      <c r="F2757" s="19"/>
      <c r="G2757" s="26" t="str">
        <f aca="false">IF(D2757="","",IFERROR(VALUE(LEFT(D2757,FIND(" |",D2757&amp;" |")-1)),"?"))</f>
        <v/>
      </c>
      <c r="H2757" s="27" t="str">
        <f aca="false">IF(G2757="","",IF(G2757="?","⚠ pub inconnue",IFERROR(INDEX(Pubs!$B$2:$B$3001,MATCH(G2757,Pubs!$A$2:$A$3001,0))&amp;"","⚠ pub inconnue")))</f>
        <v/>
      </c>
      <c r="I2757" s="27" t="str">
        <f aca="false">IF(OR(G2757="",G2757="?"),"",IFERROR(INDEX(Pubs!$C$2:$C$3001,MATCH(G2757,Pubs!$A$2:$A$3001,0))&amp;"",""))</f>
        <v/>
      </c>
      <c r="J2757" s="27" t="str">
        <f aca="false">IF(OR(G2757="",G2757="?"),"",IFERROR(INDEX(Pubs!$G$2:$G$3001,MATCH(G2757,Pubs!$A$2:$A$3001,0))&amp;"",""))</f>
        <v/>
      </c>
      <c r="K2757" s="28" t="str">
        <f aca="false">IF(OR(G2757="",G2757="?"),"",IFERROR(INDEX(Pubs!$E$2:$E$3001,MATCH(G2757,Pubs!$A$2:$A$3001,0)),""))</f>
        <v/>
      </c>
      <c r="L2757" s="29" t="str">
        <f aca="false">IF(A2757="","",IFERROR(1/(1/INDEX(Numéros!$C$2:$C$3001,MATCH(A2757&amp;"|"&amp;B2757,Numéros!$F$2:$F$3001,0))),""))</f>
        <v/>
      </c>
      <c r="M2757" s="27" t="str">
        <f aca="false">IF(OR(G2757="",G2757="?"),"",IFERROR(INDEX(Pubs!$D$2:$D$3001,MATCH(G2757,Pubs!$A$2:$A$3001,0))&amp;"",""))</f>
        <v/>
      </c>
      <c r="N2757" s="27" t="n">
        <f aca="false">N(N2756)+IF(AND(A2757&lt;&gt;"",OR(Recherche!$C$4="",A2757=Recherche!$C$4),OR(Recherche!$C$5="",B2757&amp;""=Recherche!$C$5&amp;""),OR(Recherche!$C$6="",IFERROR(YEAR(L2757),0)=Recherche!$C$6),OR(Recherche!$C$7="",ISNUMBER(SEARCH(Recherche!$C$7,H2757))),OR(Recherche!$C$8="",J2757=Recherche!$C$8),OR(Recherche!$C$9="",I2757=Recherche!$C$9),OR(Recherche!$C$10="",G2757&amp;""=Recherche!$C$10&amp;""),OR(Recherche!$C$11="",E2757=Recherche!$C$11),OR(Recherche!$C$12="",ISNUMBER(SEARCH(Recherche!$C$12,M2757&amp;" "&amp;F2757)))),1,0)</f>
        <v>8</v>
      </c>
    </row>
    <row r="2758" customFormat="false" ht="15" hidden="false" customHeight="false" outlineLevel="0" collapsed="false">
      <c r="A2758" s="19"/>
      <c r="B2758" s="19"/>
      <c r="C2758" s="19"/>
      <c r="D2758" s="19"/>
      <c r="E2758" s="22"/>
      <c r="F2758" s="19"/>
      <c r="G2758" s="26" t="str">
        <f aca="false">IF(D2758="","",IFERROR(VALUE(LEFT(D2758,FIND(" |",D2758&amp;" |")-1)),"?"))</f>
        <v/>
      </c>
      <c r="H2758" s="27" t="str">
        <f aca="false">IF(G2758="","",IF(G2758="?","⚠ pub inconnue",IFERROR(INDEX(Pubs!$B$2:$B$3001,MATCH(G2758,Pubs!$A$2:$A$3001,0))&amp;"","⚠ pub inconnue")))</f>
        <v/>
      </c>
      <c r="I2758" s="27" t="str">
        <f aca="false">IF(OR(G2758="",G2758="?"),"",IFERROR(INDEX(Pubs!$C$2:$C$3001,MATCH(G2758,Pubs!$A$2:$A$3001,0))&amp;"",""))</f>
        <v/>
      </c>
      <c r="J2758" s="27" t="str">
        <f aca="false">IF(OR(G2758="",G2758="?"),"",IFERROR(INDEX(Pubs!$G$2:$G$3001,MATCH(G2758,Pubs!$A$2:$A$3001,0))&amp;"",""))</f>
        <v/>
      </c>
      <c r="K2758" s="28" t="str">
        <f aca="false">IF(OR(G2758="",G2758="?"),"",IFERROR(INDEX(Pubs!$E$2:$E$3001,MATCH(G2758,Pubs!$A$2:$A$3001,0)),""))</f>
        <v/>
      </c>
      <c r="L2758" s="29" t="str">
        <f aca="false">IF(A2758="","",IFERROR(1/(1/INDEX(Numéros!$C$2:$C$3001,MATCH(A2758&amp;"|"&amp;B2758,Numéros!$F$2:$F$3001,0))),""))</f>
        <v/>
      </c>
      <c r="M2758" s="27" t="str">
        <f aca="false">IF(OR(G2758="",G2758="?"),"",IFERROR(INDEX(Pubs!$D$2:$D$3001,MATCH(G2758,Pubs!$A$2:$A$3001,0))&amp;"",""))</f>
        <v/>
      </c>
      <c r="N2758" s="27" t="n">
        <f aca="false">N(N2757)+IF(AND(A2758&lt;&gt;"",OR(Recherche!$C$4="",A2758=Recherche!$C$4),OR(Recherche!$C$5="",B2758&amp;""=Recherche!$C$5&amp;""),OR(Recherche!$C$6="",IFERROR(YEAR(L2758),0)=Recherche!$C$6),OR(Recherche!$C$7="",ISNUMBER(SEARCH(Recherche!$C$7,H2758))),OR(Recherche!$C$8="",J2758=Recherche!$C$8),OR(Recherche!$C$9="",I2758=Recherche!$C$9),OR(Recherche!$C$10="",G2758&amp;""=Recherche!$C$10&amp;""),OR(Recherche!$C$11="",E2758=Recherche!$C$11),OR(Recherche!$C$12="",ISNUMBER(SEARCH(Recherche!$C$12,M2758&amp;" "&amp;F2758)))),1,0)</f>
        <v>8</v>
      </c>
    </row>
    <row r="2759" customFormat="false" ht="15" hidden="false" customHeight="false" outlineLevel="0" collapsed="false">
      <c r="A2759" s="19"/>
      <c r="B2759" s="19"/>
      <c r="C2759" s="19"/>
      <c r="D2759" s="19"/>
      <c r="E2759" s="22"/>
      <c r="F2759" s="19"/>
      <c r="G2759" s="26" t="str">
        <f aca="false">IF(D2759="","",IFERROR(VALUE(LEFT(D2759,FIND(" |",D2759&amp;" |")-1)),"?"))</f>
        <v/>
      </c>
      <c r="H2759" s="27" t="str">
        <f aca="false">IF(G2759="","",IF(G2759="?","⚠ pub inconnue",IFERROR(INDEX(Pubs!$B$2:$B$3001,MATCH(G2759,Pubs!$A$2:$A$3001,0))&amp;"","⚠ pub inconnue")))</f>
        <v/>
      </c>
      <c r="I2759" s="27" t="str">
        <f aca="false">IF(OR(G2759="",G2759="?"),"",IFERROR(INDEX(Pubs!$C$2:$C$3001,MATCH(G2759,Pubs!$A$2:$A$3001,0))&amp;"",""))</f>
        <v/>
      </c>
      <c r="J2759" s="27" t="str">
        <f aca="false">IF(OR(G2759="",G2759="?"),"",IFERROR(INDEX(Pubs!$G$2:$G$3001,MATCH(G2759,Pubs!$A$2:$A$3001,0))&amp;"",""))</f>
        <v/>
      </c>
      <c r="K2759" s="28" t="str">
        <f aca="false">IF(OR(G2759="",G2759="?"),"",IFERROR(INDEX(Pubs!$E$2:$E$3001,MATCH(G2759,Pubs!$A$2:$A$3001,0)),""))</f>
        <v/>
      </c>
      <c r="L2759" s="29" t="str">
        <f aca="false">IF(A2759="","",IFERROR(1/(1/INDEX(Numéros!$C$2:$C$3001,MATCH(A2759&amp;"|"&amp;B2759,Numéros!$F$2:$F$3001,0))),""))</f>
        <v/>
      </c>
      <c r="M2759" s="27" t="str">
        <f aca="false">IF(OR(G2759="",G2759="?"),"",IFERROR(INDEX(Pubs!$D$2:$D$3001,MATCH(G2759,Pubs!$A$2:$A$3001,0))&amp;"",""))</f>
        <v/>
      </c>
      <c r="N2759" s="27" t="n">
        <f aca="false">N(N2758)+IF(AND(A2759&lt;&gt;"",OR(Recherche!$C$4="",A2759=Recherche!$C$4),OR(Recherche!$C$5="",B2759&amp;""=Recherche!$C$5&amp;""),OR(Recherche!$C$6="",IFERROR(YEAR(L2759),0)=Recherche!$C$6),OR(Recherche!$C$7="",ISNUMBER(SEARCH(Recherche!$C$7,H2759))),OR(Recherche!$C$8="",J2759=Recherche!$C$8),OR(Recherche!$C$9="",I2759=Recherche!$C$9),OR(Recherche!$C$10="",G2759&amp;""=Recherche!$C$10&amp;""),OR(Recherche!$C$11="",E2759=Recherche!$C$11),OR(Recherche!$C$12="",ISNUMBER(SEARCH(Recherche!$C$12,M2759&amp;" "&amp;F2759)))),1,0)</f>
        <v>8</v>
      </c>
    </row>
    <row r="2760" customFormat="false" ht="15" hidden="false" customHeight="false" outlineLevel="0" collapsed="false">
      <c r="A2760" s="19"/>
      <c r="B2760" s="19"/>
      <c r="C2760" s="19"/>
      <c r="D2760" s="19"/>
      <c r="E2760" s="22"/>
      <c r="F2760" s="19"/>
      <c r="G2760" s="26" t="str">
        <f aca="false">IF(D2760="","",IFERROR(VALUE(LEFT(D2760,FIND(" |",D2760&amp;" |")-1)),"?"))</f>
        <v/>
      </c>
      <c r="H2760" s="27" t="str">
        <f aca="false">IF(G2760="","",IF(G2760="?","⚠ pub inconnue",IFERROR(INDEX(Pubs!$B$2:$B$3001,MATCH(G2760,Pubs!$A$2:$A$3001,0))&amp;"","⚠ pub inconnue")))</f>
        <v/>
      </c>
      <c r="I2760" s="27" t="str">
        <f aca="false">IF(OR(G2760="",G2760="?"),"",IFERROR(INDEX(Pubs!$C$2:$C$3001,MATCH(G2760,Pubs!$A$2:$A$3001,0))&amp;"",""))</f>
        <v/>
      </c>
      <c r="J2760" s="27" t="str">
        <f aca="false">IF(OR(G2760="",G2760="?"),"",IFERROR(INDEX(Pubs!$G$2:$G$3001,MATCH(G2760,Pubs!$A$2:$A$3001,0))&amp;"",""))</f>
        <v/>
      </c>
      <c r="K2760" s="28" t="str">
        <f aca="false">IF(OR(G2760="",G2760="?"),"",IFERROR(INDEX(Pubs!$E$2:$E$3001,MATCH(G2760,Pubs!$A$2:$A$3001,0)),""))</f>
        <v/>
      </c>
      <c r="L2760" s="29" t="str">
        <f aca="false">IF(A2760="","",IFERROR(1/(1/INDEX(Numéros!$C$2:$C$3001,MATCH(A2760&amp;"|"&amp;B2760,Numéros!$F$2:$F$3001,0))),""))</f>
        <v/>
      </c>
      <c r="M2760" s="27" t="str">
        <f aca="false">IF(OR(G2760="",G2760="?"),"",IFERROR(INDEX(Pubs!$D$2:$D$3001,MATCH(G2760,Pubs!$A$2:$A$3001,0))&amp;"",""))</f>
        <v/>
      </c>
      <c r="N2760" s="27" t="n">
        <f aca="false">N(N2759)+IF(AND(A2760&lt;&gt;"",OR(Recherche!$C$4="",A2760=Recherche!$C$4),OR(Recherche!$C$5="",B2760&amp;""=Recherche!$C$5&amp;""),OR(Recherche!$C$6="",IFERROR(YEAR(L2760),0)=Recherche!$C$6),OR(Recherche!$C$7="",ISNUMBER(SEARCH(Recherche!$C$7,H2760))),OR(Recherche!$C$8="",J2760=Recherche!$C$8),OR(Recherche!$C$9="",I2760=Recherche!$C$9),OR(Recherche!$C$10="",G2760&amp;""=Recherche!$C$10&amp;""),OR(Recherche!$C$11="",E2760=Recherche!$C$11),OR(Recherche!$C$12="",ISNUMBER(SEARCH(Recherche!$C$12,M2760&amp;" "&amp;F2760)))),1,0)</f>
        <v>8</v>
      </c>
    </row>
    <row r="2761" customFormat="false" ht="15" hidden="false" customHeight="false" outlineLevel="0" collapsed="false">
      <c r="A2761" s="19"/>
      <c r="B2761" s="19"/>
      <c r="C2761" s="19"/>
      <c r="D2761" s="19"/>
      <c r="E2761" s="22"/>
      <c r="F2761" s="19"/>
      <c r="G2761" s="26" t="str">
        <f aca="false">IF(D2761="","",IFERROR(VALUE(LEFT(D2761,FIND(" |",D2761&amp;" |")-1)),"?"))</f>
        <v/>
      </c>
      <c r="H2761" s="27" t="str">
        <f aca="false">IF(G2761="","",IF(G2761="?","⚠ pub inconnue",IFERROR(INDEX(Pubs!$B$2:$B$3001,MATCH(G2761,Pubs!$A$2:$A$3001,0))&amp;"","⚠ pub inconnue")))</f>
        <v/>
      </c>
      <c r="I2761" s="27" t="str">
        <f aca="false">IF(OR(G2761="",G2761="?"),"",IFERROR(INDEX(Pubs!$C$2:$C$3001,MATCH(G2761,Pubs!$A$2:$A$3001,0))&amp;"",""))</f>
        <v/>
      </c>
      <c r="J2761" s="27" t="str">
        <f aca="false">IF(OR(G2761="",G2761="?"),"",IFERROR(INDEX(Pubs!$G$2:$G$3001,MATCH(G2761,Pubs!$A$2:$A$3001,0))&amp;"",""))</f>
        <v/>
      </c>
      <c r="K2761" s="28" t="str">
        <f aca="false">IF(OR(G2761="",G2761="?"),"",IFERROR(INDEX(Pubs!$E$2:$E$3001,MATCH(G2761,Pubs!$A$2:$A$3001,0)),""))</f>
        <v/>
      </c>
      <c r="L2761" s="29" t="str">
        <f aca="false">IF(A2761="","",IFERROR(1/(1/INDEX(Numéros!$C$2:$C$3001,MATCH(A2761&amp;"|"&amp;B2761,Numéros!$F$2:$F$3001,0))),""))</f>
        <v/>
      </c>
      <c r="M2761" s="27" t="str">
        <f aca="false">IF(OR(G2761="",G2761="?"),"",IFERROR(INDEX(Pubs!$D$2:$D$3001,MATCH(G2761,Pubs!$A$2:$A$3001,0))&amp;"",""))</f>
        <v/>
      </c>
      <c r="N2761" s="27" t="n">
        <f aca="false">N(N2760)+IF(AND(A2761&lt;&gt;"",OR(Recherche!$C$4="",A2761=Recherche!$C$4),OR(Recherche!$C$5="",B2761&amp;""=Recherche!$C$5&amp;""),OR(Recherche!$C$6="",IFERROR(YEAR(L2761),0)=Recherche!$C$6),OR(Recherche!$C$7="",ISNUMBER(SEARCH(Recherche!$C$7,H2761))),OR(Recherche!$C$8="",J2761=Recherche!$C$8),OR(Recherche!$C$9="",I2761=Recherche!$C$9),OR(Recherche!$C$10="",G2761&amp;""=Recherche!$C$10&amp;""),OR(Recherche!$C$11="",E2761=Recherche!$C$11),OR(Recherche!$C$12="",ISNUMBER(SEARCH(Recherche!$C$12,M2761&amp;" "&amp;F2761)))),1,0)</f>
        <v>8</v>
      </c>
    </row>
    <row r="2762" customFormat="false" ht="15" hidden="false" customHeight="false" outlineLevel="0" collapsed="false">
      <c r="A2762" s="19"/>
      <c r="B2762" s="19"/>
      <c r="C2762" s="19"/>
      <c r="D2762" s="19"/>
      <c r="E2762" s="22"/>
      <c r="F2762" s="19"/>
      <c r="G2762" s="26" t="str">
        <f aca="false">IF(D2762="","",IFERROR(VALUE(LEFT(D2762,FIND(" |",D2762&amp;" |")-1)),"?"))</f>
        <v/>
      </c>
      <c r="H2762" s="27" t="str">
        <f aca="false">IF(G2762="","",IF(G2762="?","⚠ pub inconnue",IFERROR(INDEX(Pubs!$B$2:$B$3001,MATCH(G2762,Pubs!$A$2:$A$3001,0))&amp;"","⚠ pub inconnue")))</f>
        <v/>
      </c>
      <c r="I2762" s="27" t="str">
        <f aca="false">IF(OR(G2762="",G2762="?"),"",IFERROR(INDEX(Pubs!$C$2:$C$3001,MATCH(G2762,Pubs!$A$2:$A$3001,0))&amp;"",""))</f>
        <v/>
      </c>
      <c r="J2762" s="27" t="str">
        <f aca="false">IF(OR(G2762="",G2762="?"),"",IFERROR(INDEX(Pubs!$G$2:$G$3001,MATCH(G2762,Pubs!$A$2:$A$3001,0))&amp;"",""))</f>
        <v/>
      </c>
      <c r="K2762" s="28" t="str">
        <f aca="false">IF(OR(G2762="",G2762="?"),"",IFERROR(INDEX(Pubs!$E$2:$E$3001,MATCH(G2762,Pubs!$A$2:$A$3001,0)),""))</f>
        <v/>
      </c>
      <c r="L2762" s="29" t="str">
        <f aca="false">IF(A2762="","",IFERROR(1/(1/INDEX(Numéros!$C$2:$C$3001,MATCH(A2762&amp;"|"&amp;B2762,Numéros!$F$2:$F$3001,0))),""))</f>
        <v/>
      </c>
      <c r="M2762" s="27" t="str">
        <f aca="false">IF(OR(G2762="",G2762="?"),"",IFERROR(INDEX(Pubs!$D$2:$D$3001,MATCH(G2762,Pubs!$A$2:$A$3001,0))&amp;"",""))</f>
        <v/>
      </c>
      <c r="N2762" s="27" t="n">
        <f aca="false">N(N2761)+IF(AND(A2762&lt;&gt;"",OR(Recherche!$C$4="",A2762=Recherche!$C$4),OR(Recherche!$C$5="",B2762&amp;""=Recherche!$C$5&amp;""),OR(Recherche!$C$6="",IFERROR(YEAR(L2762),0)=Recherche!$C$6),OR(Recherche!$C$7="",ISNUMBER(SEARCH(Recherche!$C$7,H2762))),OR(Recherche!$C$8="",J2762=Recherche!$C$8),OR(Recherche!$C$9="",I2762=Recherche!$C$9),OR(Recherche!$C$10="",G2762&amp;""=Recherche!$C$10&amp;""),OR(Recherche!$C$11="",E2762=Recherche!$C$11),OR(Recherche!$C$12="",ISNUMBER(SEARCH(Recherche!$C$12,M2762&amp;" "&amp;F2762)))),1,0)</f>
        <v>8</v>
      </c>
    </row>
    <row r="2763" customFormat="false" ht="15" hidden="false" customHeight="false" outlineLevel="0" collapsed="false">
      <c r="A2763" s="19"/>
      <c r="B2763" s="19"/>
      <c r="C2763" s="19"/>
      <c r="D2763" s="19"/>
      <c r="E2763" s="22"/>
      <c r="F2763" s="19"/>
      <c r="G2763" s="26" t="str">
        <f aca="false">IF(D2763="","",IFERROR(VALUE(LEFT(D2763,FIND(" |",D2763&amp;" |")-1)),"?"))</f>
        <v/>
      </c>
      <c r="H2763" s="27" t="str">
        <f aca="false">IF(G2763="","",IF(G2763="?","⚠ pub inconnue",IFERROR(INDEX(Pubs!$B$2:$B$3001,MATCH(G2763,Pubs!$A$2:$A$3001,0))&amp;"","⚠ pub inconnue")))</f>
        <v/>
      </c>
      <c r="I2763" s="27" t="str">
        <f aca="false">IF(OR(G2763="",G2763="?"),"",IFERROR(INDEX(Pubs!$C$2:$C$3001,MATCH(G2763,Pubs!$A$2:$A$3001,0))&amp;"",""))</f>
        <v/>
      </c>
      <c r="J2763" s="27" t="str">
        <f aca="false">IF(OR(G2763="",G2763="?"),"",IFERROR(INDEX(Pubs!$G$2:$G$3001,MATCH(G2763,Pubs!$A$2:$A$3001,0))&amp;"",""))</f>
        <v/>
      </c>
      <c r="K2763" s="28" t="str">
        <f aca="false">IF(OR(G2763="",G2763="?"),"",IFERROR(INDEX(Pubs!$E$2:$E$3001,MATCH(G2763,Pubs!$A$2:$A$3001,0)),""))</f>
        <v/>
      </c>
      <c r="L2763" s="29" t="str">
        <f aca="false">IF(A2763="","",IFERROR(1/(1/INDEX(Numéros!$C$2:$C$3001,MATCH(A2763&amp;"|"&amp;B2763,Numéros!$F$2:$F$3001,0))),""))</f>
        <v/>
      </c>
      <c r="M2763" s="27" t="str">
        <f aca="false">IF(OR(G2763="",G2763="?"),"",IFERROR(INDEX(Pubs!$D$2:$D$3001,MATCH(G2763,Pubs!$A$2:$A$3001,0))&amp;"",""))</f>
        <v/>
      </c>
      <c r="N2763" s="27" t="n">
        <f aca="false">N(N2762)+IF(AND(A2763&lt;&gt;"",OR(Recherche!$C$4="",A2763=Recherche!$C$4),OR(Recherche!$C$5="",B2763&amp;""=Recherche!$C$5&amp;""),OR(Recherche!$C$6="",IFERROR(YEAR(L2763),0)=Recherche!$C$6),OR(Recherche!$C$7="",ISNUMBER(SEARCH(Recherche!$C$7,H2763))),OR(Recherche!$C$8="",J2763=Recherche!$C$8),OR(Recherche!$C$9="",I2763=Recherche!$C$9),OR(Recherche!$C$10="",G2763&amp;""=Recherche!$C$10&amp;""),OR(Recherche!$C$11="",E2763=Recherche!$C$11),OR(Recherche!$C$12="",ISNUMBER(SEARCH(Recherche!$C$12,M2763&amp;" "&amp;F2763)))),1,0)</f>
        <v>8</v>
      </c>
    </row>
    <row r="2764" customFormat="false" ht="15" hidden="false" customHeight="false" outlineLevel="0" collapsed="false">
      <c r="A2764" s="19"/>
      <c r="B2764" s="19"/>
      <c r="C2764" s="19"/>
      <c r="D2764" s="19"/>
      <c r="E2764" s="22"/>
      <c r="F2764" s="19"/>
      <c r="G2764" s="26" t="str">
        <f aca="false">IF(D2764="","",IFERROR(VALUE(LEFT(D2764,FIND(" |",D2764&amp;" |")-1)),"?"))</f>
        <v/>
      </c>
      <c r="H2764" s="27" t="str">
        <f aca="false">IF(G2764="","",IF(G2764="?","⚠ pub inconnue",IFERROR(INDEX(Pubs!$B$2:$B$3001,MATCH(G2764,Pubs!$A$2:$A$3001,0))&amp;"","⚠ pub inconnue")))</f>
        <v/>
      </c>
      <c r="I2764" s="27" t="str">
        <f aca="false">IF(OR(G2764="",G2764="?"),"",IFERROR(INDEX(Pubs!$C$2:$C$3001,MATCH(G2764,Pubs!$A$2:$A$3001,0))&amp;"",""))</f>
        <v/>
      </c>
      <c r="J2764" s="27" t="str">
        <f aca="false">IF(OR(G2764="",G2764="?"),"",IFERROR(INDEX(Pubs!$G$2:$G$3001,MATCH(G2764,Pubs!$A$2:$A$3001,0))&amp;"",""))</f>
        <v/>
      </c>
      <c r="K2764" s="28" t="str">
        <f aca="false">IF(OR(G2764="",G2764="?"),"",IFERROR(INDEX(Pubs!$E$2:$E$3001,MATCH(G2764,Pubs!$A$2:$A$3001,0)),""))</f>
        <v/>
      </c>
      <c r="L2764" s="29" t="str">
        <f aca="false">IF(A2764="","",IFERROR(1/(1/INDEX(Numéros!$C$2:$C$3001,MATCH(A2764&amp;"|"&amp;B2764,Numéros!$F$2:$F$3001,0))),""))</f>
        <v/>
      </c>
      <c r="M2764" s="27" t="str">
        <f aca="false">IF(OR(G2764="",G2764="?"),"",IFERROR(INDEX(Pubs!$D$2:$D$3001,MATCH(G2764,Pubs!$A$2:$A$3001,0))&amp;"",""))</f>
        <v/>
      </c>
      <c r="N2764" s="27" t="n">
        <f aca="false">N(N2763)+IF(AND(A2764&lt;&gt;"",OR(Recherche!$C$4="",A2764=Recherche!$C$4),OR(Recherche!$C$5="",B2764&amp;""=Recherche!$C$5&amp;""),OR(Recherche!$C$6="",IFERROR(YEAR(L2764),0)=Recherche!$C$6),OR(Recherche!$C$7="",ISNUMBER(SEARCH(Recherche!$C$7,H2764))),OR(Recherche!$C$8="",J2764=Recherche!$C$8),OR(Recherche!$C$9="",I2764=Recherche!$C$9),OR(Recherche!$C$10="",G2764&amp;""=Recherche!$C$10&amp;""),OR(Recherche!$C$11="",E2764=Recherche!$C$11),OR(Recherche!$C$12="",ISNUMBER(SEARCH(Recherche!$C$12,M2764&amp;" "&amp;F2764)))),1,0)</f>
        <v>8</v>
      </c>
    </row>
    <row r="2765" customFormat="false" ht="15" hidden="false" customHeight="false" outlineLevel="0" collapsed="false">
      <c r="A2765" s="19"/>
      <c r="B2765" s="19"/>
      <c r="C2765" s="19"/>
      <c r="D2765" s="19"/>
      <c r="E2765" s="22"/>
      <c r="F2765" s="19"/>
      <c r="G2765" s="26" t="str">
        <f aca="false">IF(D2765="","",IFERROR(VALUE(LEFT(D2765,FIND(" |",D2765&amp;" |")-1)),"?"))</f>
        <v/>
      </c>
      <c r="H2765" s="27" t="str">
        <f aca="false">IF(G2765="","",IF(G2765="?","⚠ pub inconnue",IFERROR(INDEX(Pubs!$B$2:$B$3001,MATCH(G2765,Pubs!$A$2:$A$3001,0))&amp;"","⚠ pub inconnue")))</f>
        <v/>
      </c>
      <c r="I2765" s="27" t="str">
        <f aca="false">IF(OR(G2765="",G2765="?"),"",IFERROR(INDEX(Pubs!$C$2:$C$3001,MATCH(G2765,Pubs!$A$2:$A$3001,0))&amp;"",""))</f>
        <v/>
      </c>
      <c r="J2765" s="27" t="str">
        <f aca="false">IF(OR(G2765="",G2765="?"),"",IFERROR(INDEX(Pubs!$G$2:$G$3001,MATCH(G2765,Pubs!$A$2:$A$3001,0))&amp;"",""))</f>
        <v/>
      </c>
      <c r="K2765" s="28" t="str">
        <f aca="false">IF(OR(G2765="",G2765="?"),"",IFERROR(INDEX(Pubs!$E$2:$E$3001,MATCH(G2765,Pubs!$A$2:$A$3001,0)),""))</f>
        <v/>
      </c>
      <c r="L2765" s="29" t="str">
        <f aca="false">IF(A2765="","",IFERROR(1/(1/INDEX(Numéros!$C$2:$C$3001,MATCH(A2765&amp;"|"&amp;B2765,Numéros!$F$2:$F$3001,0))),""))</f>
        <v/>
      </c>
      <c r="M2765" s="27" t="str">
        <f aca="false">IF(OR(G2765="",G2765="?"),"",IFERROR(INDEX(Pubs!$D$2:$D$3001,MATCH(G2765,Pubs!$A$2:$A$3001,0))&amp;"",""))</f>
        <v/>
      </c>
      <c r="N2765" s="27" t="n">
        <f aca="false">N(N2764)+IF(AND(A2765&lt;&gt;"",OR(Recherche!$C$4="",A2765=Recherche!$C$4),OR(Recherche!$C$5="",B2765&amp;""=Recherche!$C$5&amp;""),OR(Recherche!$C$6="",IFERROR(YEAR(L2765),0)=Recherche!$C$6),OR(Recherche!$C$7="",ISNUMBER(SEARCH(Recherche!$C$7,H2765))),OR(Recherche!$C$8="",J2765=Recherche!$C$8),OR(Recherche!$C$9="",I2765=Recherche!$C$9),OR(Recherche!$C$10="",G2765&amp;""=Recherche!$C$10&amp;""),OR(Recherche!$C$11="",E2765=Recherche!$C$11),OR(Recherche!$C$12="",ISNUMBER(SEARCH(Recherche!$C$12,M2765&amp;" "&amp;F2765)))),1,0)</f>
        <v>8</v>
      </c>
    </row>
    <row r="2766" customFormat="false" ht="15" hidden="false" customHeight="false" outlineLevel="0" collapsed="false">
      <c r="A2766" s="19"/>
      <c r="B2766" s="19"/>
      <c r="C2766" s="19"/>
      <c r="D2766" s="19"/>
      <c r="E2766" s="22"/>
      <c r="F2766" s="19"/>
      <c r="G2766" s="26" t="str">
        <f aca="false">IF(D2766="","",IFERROR(VALUE(LEFT(D2766,FIND(" |",D2766&amp;" |")-1)),"?"))</f>
        <v/>
      </c>
      <c r="H2766" s="27" t="str">
        <f aca="false">IF(G2766="","",IF(G2766="?","⚠ pub inconnue",IFERROR(INDEX(Pubs!$B$2:$B$3001,MATCH(G2766,Pubs!$A$2:$A$3001,0))&amp;"","⚠ pub inconnue")))</f>
        <v/>
      </c>
      <c r="I2766" s="27" t="str">
        <f aca="false">IF(OR(G2766="",G2766="?"),"",IFERROR(INDEX(Pubs!$C$2:$C$3001,MATCH(G2766,Pubs!$A$2:$A$3001,0))&amp;"",""))</f>
        <v/>
      </c>
      <c r="J2766" s="27" t="str">
        <f aca="false">IF(OR(G2766="",G2766="?"),"",IFERROR(INDEX(Pubs!$G$2:$G$3001,MATCH(G2766,Pubs!$A$2:$A$3001,0))&amp;"",""))</f>
        <v/>
      </c>
      <c r="K2766" s="28" t="str">
        <f aca="false">IF(OR(G2766="",G2766="?"),"",IFERROR(INDEX(Pubs!$E$2:$E$3001,MATCH(G2766,Pubs!$A$2:$A$3001,0)),""))</f>
        <v/>
      </c>
      <c r="L2766" s="29" t="str">
        <f aca="false">IF(A2766="","",IFERROR(1/(1/INDEX(Numéros!$C$2:$C$3001,MATCH(A2766&amp;"|"&amp;B2766,Numéros!$F$2:$F$3001,0))),""))</f>
        <v/>
      </c>
      <c r="M2766" s="27" t="str">
        <f aca="false">IF(OR(G2766="",G2766="?"),"",IFERROR(INDEX(Pubs!$D$2:$D$3001,MATCH(G2766,Pubs!$A$2:$A$3001,0))&amp;"",""))</f>
        <v/>
      </c>
      <c r="N2766" s="27" t="n">
        <f aca="false">N(N2765)+IF(AND(A2766&lt;&gt;"",OR(Recherche!$C$4="",A2766=Recherche!$C$4),OR(Recherche!$C$5="",B2766&amp;""=Recherche!$C$5&amp;""),OR(Recherche!$C$6="",IFERROR(YEAR(L2766),0)=Recherche!$C$6),OR(Recherche!$C$7="",ISNUMBER(SEARCH(Recherche!$C$7,H2766))),OR(Recherche!$C$8="",J2766=Recherche!$C$8),OR(Recherche!$C$9="",I2766=Recherche!$C$9),OR(Recherche!$C$10="",G2766&amp;""=Recherche!$C$10&amp;""),OR(Recherche!$C$11="",E2766=Recherche!$C$11),OR(Recherche!$C$12="",ISNUMBER(SEARCH(Recherche!$C$12,M2766&amp;" "&amp;F2766)))),1,0)</f>
        <v>8</v>
      </c>
    </row>
    <row r="2767" customFormat="false" ht="15" hidden="false" customHeight="false" outlineLevel="0" collapsed="false">
      <c r="A2767" s="19"/>
      <c r="B2767" s="19"/>
      <c r="C2767" s="19"/>
      <c r="D2767" s="19"/>
      <c r="E2767" s="22"/>
      <c r="F2767" s="19"/>
      <c r="G2767" s="26" t="str">
        <f aca="false">IF(D2767="","",IFERROR(VALUE(LEFT(D2767,FIND(" |",D2767&amp;" |")-1)),"?"))</f>
        <v/>
      </c>
      <c r="H2767" s="27" t="str">
        <f aca="false">IF(G2767="","",IF(G2767="?","⚠ pub inconnue",IFERROR(INDEX(Pubs!$B$2:$B$3001,MATCH(G2767,Pubs!$A$2:$A$3001,0))&amp;"","⚠ pub inconnue")))</f>
        <v/>
      </c>
      <c r="I2767" s="27" t="str">
        <f aca="false">IF(OR(G2767="",G2767="?"),"",IFERROR(INDEX(Pubs!$C$2:$C$3001,MATCH(G2767,Pubs!$A$2:$A$3001,0))&amp;"",""))</f>
        <v/>
      </c>
      <c r="J2767" s="27" t="str">
        <f aca="false">IF(OR(G2767="",G2767="?"),"",IFERROR(INDEX(Pubs!$G$2:$G$3001,MATCH(G2767,Pubs!$A$2:$A$3001,0))&amp;"",""))</f>
        <v/>
      </c>
      <c r="K2767" s="28" t="str">
        <f aca="false">IF(OR(G2767="",G2767="?"),"",IFERROR(INDEX(Pubs!$E$2:$E$3001,MATCH(G2767,Pubs!$A$2:$A$3001,0)),""))</f>
        <v/>
      </c>
      <c r="L2767" s="29" t="str">
        <f aca="false">IF(A2767="","",IFERROR(1/(1/INDEX(Numéros!$C$2:$C$3001,MATCH(A2767&amp;"|"&amp;B2767,Numéros!$F$2:$F$3001,0))),""))</f>
        <v/>
      </c>
      <c r="M2767" s="27" t="str">
        <f aca="false">IF(OR(G2767="",G2767="?"),"",IFERROR(INDEX(Pubs!$D$2:$D$3001,MATCH(G2767,Pubs!$A$2:$A$3001,0))&amp;"",""))</f>
        <v/>
      </c>
      <c r="N2767" s="27" t="n">
        <f aca="false">N(N2766)+IF(AND(A2767&lt;&gt;"",OR(Recherche!$C$4="",A2767=Recherche!$C$4),OR(Recherche!$C$5="",B2767&amp;""=Recherche!$C$5&amp;""),OR(Recherche!$C$6="",IFERROR(YEAR(L2767),0)=Recherche!$C$6),OR(Recherche!$C$7="",ISNUMBER(SEARCH(Recherche!$C$7,H2767))),OR(Recherche!$C$8="",J2767=Recherche!$C$8),OR(Recherche!$C$9="",I2767=Recherche!$C$9),OR(Recherche!$C$10="",G2767&amp;""=Recherche!$C$10&amp;""),OR(Recherche!$C$11="",E2767=Recherche!$C$11),OR(Recherche!$C$12="",ISNUMBER(SEARCH(Recherche!$C$12,M2767&amp;" "&amp;F2767)))),1,0)</f>
        <v>8</v>
      </c>
    </row>
    <row r="2768" customFormat="false" ht="15" hidden="false" customHeight="false" outlineLevel="0" collapsed="false">
      <c r="A2768" s="19"/>
      <c r="B2768" s="19"/>
      <c r="C2768" s="19"/>
      <c r="D2768" s="19"/>
      <c r="E2768" s="22"/>
      <c r="F2768" s="19"/>
      <c r="G2768" s="26" t="str">
        <f aca="false">IF(D2768="","",IFERROR(VALUE(LEFT(D2768,FIND(" |",D2768&amp;" |")-1)),"?"))</f>
        <v/>
      </c>
      <c r="H2768" s="27" t="str">
        <f aca="false">IF(G2768="","",IF(G2768="?","⚠ pub inconnue",IFERROR(INDEX(Pubs!$B$2:$B$3001,MATCH(G2768,Pubs!$A$2:$A$3001,0))&amp;"","⚠ pub inconnue")))</f>
        <v/>
      </c>
      <c r="I2768" s="27" t="str">
        <f aca="false">IF(OR(G2768="",G2768="?"),"",IFERROR(INDEX(Pubs!$C$2:$C$3001,MATCH(G2768,Pubs!$A$2:$A$3001,0))&amp;"",""))</f>
        <v/>
      </c>
      <c r="J2768" s="27" t="str">
        <f aca="false">IF(OR(G2768="",G2768="?"),"",IFERROR(INDEX(Pubs!$G$2:$G$3001,MATCH(G2768,Pubs!$A$2:$A$3001,0))&amp;"",""))</f>
        <v/>
      </c>
      <c r="K2768" s="28" t="str">
        <f aca="false">IF(OR(G2768="",G2768="?"),"",IFERROR(INDEX(Pubs!$E$2:$E$3001,MATCH(G2768,Pubs!$A$2:$A$3001,0)),""))</f>
        <v/>
      </c>
      <c r="L2768" s="29" t="str">
        <f aca="false">IF(A2768="","",IFERROR(1/(1/INDEX(Numéros!$C$2:$C$3001,MATCH(A2768&amp;"|"&amp;B2768,Numéros!$F$2:$F$3001,0))),""))</f>
        <v/>
      </c>
      <c r="M2768" s="27" t="str">
        <f aca="false">IF(OR(G2768="",G2768="?"),"",IFERROR(INDEX(Pubs!$D$2:$D$3001,MATCH(G2768,Pubs!$A$2:$A$3001,0))&amp;"",""))</f>
        <v/>
      </c>
      <c r="N2768" s="27" t="n">
        <f aca="false">N(N2767)+IF(AND(A2768&lt;&gt;"",OR(Recherche!$C$4="",A2768=Recherche!$C$4),OR(Recherche!$C$5="",B2768&amp;""=Recherche!$C$5&amp;""),OR(Recherche!$C$6="",IFERROR(YEAR(L2768),0)=Recherche!$C$6),OR(Recherche!$C$7="",ISNUMBER(SEARCH(Recherche!$C$7,H2768))),OR(Recherche!$C$8="",J2768=Recherche!$C$8),OR(Recherche!$C$9="",I2768=Recherche!$C$9),OR(Recherche!$C$10="",G2768&amp;""=Recherche!$C$10&amp;""),OR(Recherche!$C$11="",E2768=Recherche!$C$11),OR(Recherche!$C$12="",ISNUMBER(SEARCH(Recherche!$C$12,M2768&amp;" "&amp;F2768)))),1,0)</f>
        <v>8</v>
      </c>
    </row>
    <row r="2769" customFormat="false" ht="15" hidden="false" customHeight="false" outlineLevel="0" collapsed="false">
      <c r="A2769" s="19"/>
      <c r="B2769" s="19"/>
      <c r="C2769" s="19"/>
      <c r="D2769" s="19"/>
      <c r="E2769" s="22"/>
      <c r="F2769" s="19"/>
      <c r="G2769" s="26" t="str">
        <f aca="false">IF(D2769="","",IFERROR(VALUE(LEFT(D2769,FIND(" |",D2769&amp;" |")-1)),"?"))</f>
        <v/>
      </c>
      <c r="H2769" s="27" t="str">
        <f aca="false">IF(G2769="","",IF(G2769="?","⚠ pub inconnue",IFERROR(INDEX(Pubs!$B$2:$B$3001,MATCH(G2769,Pubs!$A$2:$A$3001,0))&amp;"","⚠ pub inconnue")))</f>
        <v/>
      </c>
      <c r="I2769" s="27" t="str">
        <f aca="false">IF(OR(G2769="",G2769="?"),"",IFERROR(INDEX(Pubs!$C$2:$C$3001,MATCH(G2769,Pubs!$A$2:$A$3001,0))&amp;"",""))</f>
        <v/>
      </c>
      <c r="J2769" s="27" t="str">
        <f aca="false">IF(OR(G2769="",G2769="?"),"",IFERROR(INDEX(Pubs!$G$2:$G$3001,MATCH(G2769,Pubs!$A$2:$A$3001,0))&amp;"",""))</f>
        <v/>
      </c>
      <c r="K2769" s="28" t="str">
        <f aca="false">IF(OR(G2769="",G2769="?"),"",IFERROR(INDEX(Pubs!$E$2:$E$3001,MATCH(G2769,Pubs!$A$2:$A$3001,0)),""))</f>
        <v/>
      </c>
      <c r="L2769" s="29" t="str">
        <f aca="false">IF(A2769="","",IFERROR(1/(1/INDEX(Numéros!$C$2:$C$3001,MATCH(A2769&amp;"|"&amp;B2769,Numéros!$F$2:$F$3001,0))),""))</f>
        <v/>
      </c>
      <c r="M2769" s="27" t="str">
        <f aca="false">IF(OR(G2769="",G2769="?"),"",IFERROR(INDEX(Pubs!$D$2:$D$3001,MATCH(G2769,Pubs!$A$2:$A$3001,0))&amp;"",""))</f>
        <v/>
      </c>
      <c r="N2769" s="27" t="n">
        <f aca="false">N(N2768)+IF(AND(A2769&lt;&gt;"",OR(Recherche!$C$4="",A2769=Recherche!$C$4),OR(Recherche!$C$5="",B2769&amp;""=Recherche!$C$5&amp;""),OR(Recherche!$C$6="",IFERROR(YEAR(L2769),0)=Recherche!$C$6),OR(Recherche!$C$7="",ISNUMBER(SEARCH(Recherche!$C$7,H2769))),OR(Recherche!$C$8="",J2769=Recherche!$C$8),OR(Recherche!$C$9="",I2769=Recherche!$C$9),OR(Recherche!$C$10="",G2769&amp;""=Recherche!$C$10&amp;""),OR(Recherche!$C$11="",E2769=Recherche!$C$11),OR(Recherche!$C$12="",ISNUMBER(SEARCH(Recherche!$C$12,M2769&amp;" "&amp;F2769)))),1,0)</f>
        <v>8</v>
      </c>
    </row>
    <row r="2770" customFormat="false" ht="15" hidden="false" customHeight="false" outlineLevel="0" collapsed="false">
      <c r="A2770" s="19"/>
      <c r="B2770" s="19"/>
      <c r="C2770" s="19"/>
      <c r="D2770" s="19"/>
      <c r="E2770" s="22"/>
      <c r="F2770" s="19"/>
      <c r="G2770" s="26" t="str">
        <f aca="false">IF(D2770="","",IFERROR(VALUE(LEFT(D2770,FIND(" |",D2770&amp;" |")-1)),"?"))</f>
        <v/>
      </c>
      <c r="H2770" s="27" t="str">
        <f aca="false">IF(G2770="","",IF(G2770="?","⚠ pub inconnue",IFERROR(INDEX(Pubs!$B$2:$B$3001,MATCH(G2770,Pubs!$A$2:$A$3001,0))&amp;"","⚠ pub inconnue")))</f>
        <v/>
      </c>
      <c r="I2770" s="27" t="str">
        <f aca="false">IF(OR(G2770="",G2770="?"),"",IFERROR(INDEX(Pubs!$C$2:$C$3001,MATCH(G2770,Pubs!$A$2:$A$3001,0))&amp;"",""))</f>
        <v/>
      </c>
      <c r="J2770" s="27" t="str">
        <f aca="false">IF(OR(G2770="",G2770="?"),"",IFERROR(INDEX(Pubs!$G$2:$G$3001,MATCH(G2770,Pubs!$A$2:$A$3001,0))&amp;"",""))</f>
        <v/>
      </c>
      <c r="K2770" s="28" t="str">
        <f aca="false">IF(OR(G2770="",G2770="?"),"",IFERROR(INDEX(Pubs!$E$2:$E$3001,MATCH(G2770,Pubs!$A$2:$A$3001,0)),""))</f>
        <v/>
      </c>
      <c r="L2770" s="29" t="str">
        <f aca="false">IF(A2770="","",IFERROR(1/(1/INDEX(Numéros!$C$2:$C$3001,MATCH(A2770&amp;"|"&amp;B2770,Numéros!$F$2:$F$3001,0))),""))</f>
        <v/>
      </c>
      <c r="M2770" s="27" t="str">
        <f aca="false">IF(OR(G2770="",G2770="?"),"",IFERROR(INDEX(Pubs!$D$2:$D$3001,MATCH(G2770,Pubs!$A$2:$A$3001,0))&amp;"",""))</f>
        <v/>
      </c>
      <c r="N2770" s="27" t="n">
        <f aca="false">N(N2769)+IF(AND(A2770&lt;&gt;"",OR(Recherche!$C$4="",A2770=Recherche!$C$4),OR(Recherche!$C$5="",B2770&amp;""=Recherche!$C$5&amp;""),OR(Recherche!$C$6="",IFERROR(YEAR(L2770),0)=Recherche!$C$6),OR(Recherche!$C$7="",ISNUMBER(SEARCH(Recherche!$C$7,H2770))),OR(Recherche!$C$8="",J2770=Recherche!$C$8),OR(Recherche!$C$9="",I2770=Recherche!$C$9),OR(Recherche!$C$10="",G2770&amp;""=Recherche!$C$10&amp;""),OR(Recherche!$C$11="",E2770=Recherche!$C$11),OR(Recherche!$C$12="",ISNUMBER(SEARCH(Recherche!$C$12,M2770&amp;" "&amp;F2770)))),1,0)</f>
        <v>8</v>
      </c>
    </row>
    <row r="2771" customFormat="false" ht="15" hidden="false" customHeight="false" outlineLevel="0" collapsed="false">
      <c r="A2771" s="19"/>
      <c r="B2771" s="19"/>
      <c r="C2771" s="19"/>
      <c r="D2771" s="19"/>
      <c r="E2771" s="22"/>
      <c r="F2771" s="19"/>
      <c r="G2771" s="26" t="str">
        <f aca="false">IF(D2771="","",IFERROR(VALUE(LEFT(D2771,FIND(" |",D2771&amp;" |")-1)),"?"))</f>
        <v/>
      </c>
      <c r="H2771" s="27" t="str">
        <f aca="false">IF(G2771="","",IF(G2771="?","⚠ pub inconnue",IFERROR(INDEX(Pubs!$B$2:$B$3001,MATCH(G2771,Pubs!$A$2:$A$3001,0))&amp;"","⚠ pub inconnue")))</f>
        <v/>
      </c>
      <c r="I2771" s="27" t="str">
        <f aca="false">IF(OR(G2771="",G2771="?"),"",IFERROR(INDEX(Pubs!$C$2:$C$3001,MATCH(G2771,Pubs!$A$2:$A$3001,0))&amp;"",""))</f>
        <v/>
      </c>
      <c r="J2771" s="27" t="str">
        <f aca="false">IF(OR(G2771="",G2771="?"),"",IFERROR(INDEX(Pubs!$G$2:$G$3001,MATCH(G2771,Pubs!$A$2:$A$3001,0))&amp;"",""))</f>
        <v/>
      </c>
      <c r="K2771" s="28" t="str">
        <f aca="false">IF(OR(G2771="",G2771="?"),"",IFERROR(INDEX(Pubs!$E$2:$E$3001,MATCH(G2771,Pubs!$A$2:$A$3001,0)),""))</f>
        <v/>
      </c>
      <c r="L2771" s="29" t="str">
        <f aca="false">IF(A2771="","",IFERROR(1/(1/INDEX(Numéros!$C$2:$C$3001,MATCH(A2771&amp;"|"&amp;B2771,Numéros!$F$2:$F$3001,0))),""))</f>
        <v/>
      </c>
      <c r="M2771" s="27" t="str">
        <f aca="false">IF(OR(G2771="",G2771="?"),"",IFERROR(INDEX(Pubs!$D$2:$D$3001,MATCH(G2771,Pubs!$A$2:$A$3001,0))&amp;"",""))</f>
        <v/>
      </c>
      <c r="N2771" s="27" t="n">
        <f aca="false">N(N2770)+IF(AND(A2771&lt;&gt;"",OR(Recherche!$C$4="",A2771=Recherche!$C$4),OR(Recherche!$C$5="",B2771&amp;""=Recherche!$C$5&amp;""),OR(Recherche!$C$6="",IFERROR(YEAR(L2771),0)=Recherche!$C$6),OR(Recherche!$C$7="",ISNUMBER(SEARCH(Recherche!$C$7,H2771))),OR(Recherche!$C$8="",J2771=Recherche!$C$8),OR(Recherche!$C$9="",I2771=Recherche!$C$9),OR(Recherche!$C$10="",G2771&amp;""=Recherche!$C$10&amp;""),OR(Recherche!$C$11="",E2771=Recherche!$C$11),OR(Recherche!$C$12="",ISNUMBER(SEARCH(Recherche!$C$12,M2771&amp;" "&amp;F2771)))),1,0)</f>
        <v>8</v>
      </c>
    </row>
    <row r="2772" customFormat="false" ht="15" hidden="false" customHeight="false" outlineLevel="0" collapsed="false">
      <c r="A2772" s="19"/>
      <c r="B2772" s="19"/>
      <c r="C2772" s="19"/>
      <c r="D2772" s="19"/>
      <c r="E2772" s="22"/>
      <c r="F2772" s="19"/>
      <c r="G2772" s="26" t="str">
        <f aca="false">IF(D2772="","",IFERROR(VALUE(LEFT(D2772,FIND(" |",D2772&amp;" |")-1)),"?"))</f>
        <v/>
      </c>
      <c r="H2772" s="27" t="str">
        <f aca="false">IF(G2772="","",IF(G2772="?","⚠ pub inconnue",IFERROR(INDEX(Pubs!$B$2:$B$3001,MATCH(G2772,Pubs!$A$2:$A$3001,0))&amp;"","⚠ pub inconnue")))</f>
        <v/>
      </c>
      <c r="I2772" s="27" t="str">
        <f aca="false">IF(OR(G2772="",G2772="?"),"",IFERROR(INDEX(Pubs!$C$2:$C$3001,MATCH(G2772,Pubs!$A$2:$A$3001,0))&amp;"",""))</f>
        <v/>
      </c>
      <c r="J2772" s="27" t="str">
        <f aca="false">IF(OR(G2772="",G2772="?"),"",IFERROR(INDEX(Pubs!$G$2:$G$3001,MATCH(G2772,Pubs!$A$2:$A$3001,0))&amp;"",""))</f>
        <v/>
      </c>
      <c r="K2772" s="28" t="str">
        <f aca="false">IF(OR(G2772="",G2772="?"),"",IFERROR(INDEX(Pubs!$E$2:$E$3001,MATCH(G2772,Pubs!$A$2:$A$3001,0)),""))</f>
        <v/>
      </c>
      <c r="L2772" s="29" t="str">
        <f aca="false">IF(A2772="","",IFERROR(1/(1/INDEX(Numéros!$C$2:$C$3001,MATCH(A2772&amp;"|"&amp;B2772,Numéros!$F$2:$F$3001,0))),""))</f>
        <v/>
      </c>
      <c r="M2772" s="27" t="str">
        <f aca="false">IF(OR(G2772="",G2772="?"),"",IFERROR(INDEX(Pubs!$D$2:$D$3001,MATCH(G2772,Pubs!$A$2:$A$3001,0))&amp;"",""))</f>
        <v/>
      </c>
      <c r="N2772" s="27" t="n">
        <f aca="false">N(N2771)+IF(AND(A2772&lt;&gt;"",OR(Recherche!$C$4="",A2772=Recherche!$C$4),OR(Recherche!$C$5="",B2772&amp;""=Recherche!$C$5&amp;""),OR(Recherche!$C$6="",IFERROR(YEAR(L2772),0)=Recherche!$C$6),OR(Recherche!$C$7="",ISNUMBER(SEARCH(Recherche!$C$7,H2772))),OR(Recherche!$C$8="",J2772=Recherche!$C$8),OR(Recherche!$C$9="",I2772=Recherche!$C$9),OR(Recherche!$C$10="",G2772&amp;""=Recherche!$C$10&amp;""),OR(Recherche!$C$11="",E2772=Recherche!$C$11),OR(Recherche!$C$12="",ISNUMBER(SEARCH(Recherche!$C$12,M2772&amp;" "&amp;F2772)))),1,0)</f>
        <v>8</v>
      </c>
    </row>
    <row r="2773" customFormat="false" ht="15" hidden="false" customHeight="false" outlineLevel="0" collapsed="false">
      <c r="A2773" s="19"/>
      <c r="B2773" s="19"/>
      <c r="C2773" s="19"/>
      <c r="D2773" s="19"/>
      <c r="E2773" s="22"/>
      <c r="F2773" s="19"/>
      <c r="G2773" s="26" t="str">
        <f aca="false">IF(D2773="","",IFERROR(VALUE(LEFT(D2773,FIND(" |",D2773&amp;" |")-1)),"?"))</f>
        <v/>
      </c>
      <c r="H2773" s="27" t="str">
        <f aca="false">IF(G2773="","",IF(G2773="?","⚠ pub inconnue",IFERROR(INDEX(Pubs!$B$2:$B$3001,MATCH(G2773,Pubs!$A$2:$A$3001,0))&amp;"","⚠ pub inconnue")))</f>
        <v/>
      </c>
      <c r="I2773" s="27" t="str">
        <f aca="false">IF(OR(G2773="",G2773="?"),"",IFERROR(INDEX(Pubs!$C$2:$C$3001,MATCH(G2773,Pubs!$A$2:$A$3001,0))&amp;"",""))</f>
        <v/>
      </c>
      <c r="J2773" s="27" t="str">
        <f aca="false">IF(OR(G2773="",G2773="?"),"",IFERROR(INDEX(Pubs!$G$2:$G$3001,MATCH(G2773,Pubs!$A$2:$A$3001,0))&amp;"",""))</f>
        <v/>
      </c>
      <c r="K2773" s="28" t="str">
        <f aca="false">IF(OR(G2773="",G2773="?"),"",IFERROR(INDEX(Pubs!$E$2:$E$3001,MATCH(G2773,Pubs!$A$2:$A$3001,0)),""))</f>
        <v/>
      </c>
      <c r="L2773" s="29" t="str">
        <f aca="false">IF(A2773="","",IFERROR(1/(1/INDEX(Numéros!$C$2:$C$3001,MATCH(A2773&amp;"|"&amp;B2773,Numéros!$F$2:$F$3001,0))),""))</f>
        <v/>
      </c>
      <c r="M2773" s="27" t="str">
        <f aca="false">IF(OR(G2773="",G2773="?"),"",IFERROR(INDEX(Pubs!$D$2:$D$3001,MATCH(G2773,Pubs!$A$2:$A$3001,0))&amp;"",""))</f>
        <v/>
      </c>
      <c r="N2773" s="27" t="n">
        <f aca="false">N(N2772)+IF(AND(A2773&lt;&gt;"",OR(Recherche!$C$4="",A2773=Recherche!$C$4),OR(Recherche!$C$5="",B2773&amp;""=Recherche!$C$5&amp;""),OR(Recherche!$C$6="",IFERROR(YEAR(L2773),0)=Recherche!$C$6),OR(Recherche!$C$7="",ISNUMBER(SEARCH(Recherche!$C$7,H2773))),OR(Recherche!$C$8="",J2773=Recherche!$C$8),OR(Recherche!$C$9="",I2773=Recherche!$C$9),OR(Recherche!$C$10="",G2773&amp;""=Recherche!$C$10&amp;""),OR(Recherche!$C$11="",E2773=Recherche!$C$11),OR(Recherche!$C$12="",ISNUMBER(SEARCH(Recherche!$C$12,M2773&amp;" "&amp;F2773)))),1,0)</f>
        <v>8</v>
      </c>
    </row>
    <row r="2774" customFormat="false" ht="15" hidden="false" customHeight="false" outlineLevel="0" collapsed="false">
      <c r="A2774" s="19"/>
      <c r="B2774" s="19"/>
      <c r="C2774" s="19"/>
      <c r="D2774" s="19"/>
      <c r="E2774" s="22"/>
      <c r="F2774" s="19"/>
      <c r="G2774" s="26" t="str">
        <f aca="false">IF(D2774="","",IFERROR(VALUE(LEFT(D2774,FIND(" |",D2774&amp;" |")-1)),"?"))</f>
        <v/>
      </c>
      <c r="H2774" s="27" t="str">
        <f aca="false">IF(G2774="","",IF(G2774="?","⚠ pub inconnue",IFERROR(INDEX(Pubs!$B$2:$B$3001,MATCH(G2774,Pubs!$A$2:$A$3001,0))&amp;"","⚠ pub inconnue")))</f>
        <v/>
      </c>
      <c r="I2774" s="27" t="str">
        <f aca="false">IF(OR(G2774="",G2774="?"),"",IFERROR(INDEX(Pubs!$C$2:$C$3001,MATCH(G2774,Pubs!$A$2:$A$3001,0))&amp;"",""))</f>
        <v/>
      </c>
      <c r="J2774" s="27" t="str">
        <f aca="false">IF(OR(G2774="",G2774="?"),"",IFERROR(INDEX(Pubs!$G$2:$G$3001,MATCH(G2774,Pubs!$A$2:$A$3001,0))&amp;"",""))</f>
        <v/>
      </c>
      <c r="K2774" s="28" t="str">
        <f aca="false">IF(OR(G2774="",G2774="?"),"",IFERROR(INDEX(Pubs!$E$2:$E$3001,MATCH(G2774,Pubs!$A$2:$A$3001,0)),""))</f>
        <v/>
      </c>
      <c r="L2774" s="29" t="str">
        <f aca="false">IF(A2774="","",IFERROR(1/(1/INDEX(Numéros!$C$2:$C$3001,MATCH(A2774&amp;"|"&amp;B2774,Numéros!$F$2:$F$3001,0))),""))</f>
        <v/>
      </c>
      <c r="M2774" s="27" t="str">
        <f aca="false">IF(OR(G2774="",G2774="?"),"",IFERROR(INDEX(Pubs!$D$2:$D$3001,MATCH(G2774,Pubs!$A$2:$A$3001,0))&amp;"",""))</f>
        <v/>
      </c>
      <c r="N2774" s="27" t="n">
        <f aca="false">N(N2773)+IF(AND(A2774&lt;&gt;"",OR(Recherche!$C$4="",A2774=Recherche!$C$4),OR(Recherche!$C$5="",B2774&amp;""=Recherche!$C$5&amp;""),OR(Recherche!$C$6="",IFERROR(YEAR(L2774),0)=Recherche!$C$6),OR(Recherche!$C$7="",ISNUMBER(SEARCH(Recherche!$C$7,H2774))),OR(Recherche!$C$8="",J2774=Recherche!$C$8),OR(Recherche!$C$9="",I2774=Recherche!$C$9),OR(Recherche!$C$10="",G2774&amp;""=Recherche!$C$10&amp;""),OR(Recherche!$C$11="",E2774=Recherche!$C$11),OR(Recherche!$C$12="",ISNUMBER(SEARCH(Recherche!$C$12,M2774&amp;" "&amp;F2774)))),1,0)</f>
        <v>8</v>
      </c>
    </row>
    <row r="2775" customFormat="false" ht="15" hidden="false" customHeight="false" outlineLevel="0" collapsed="false">
      <c r="A2775" s="19"/>
      <c r="B2775" s="19"/>
      <c r="C2775" s="19"/>
      <c r="D2775" s="19"/>
      <c r="E2775" s="22"/>
      <c r="F2775" s="19"/>
      <c r="G2775" s="26" t="str">
        <f aca="false">IF(D2775="","",IFERROR(VALUE(LEFT(D2775,FIND(" |",D2775&amp;" |")-1)),"?"))</f>
        <v/>
      </c>
      <c r="H2775" s="27" t="str">
        <f aca="false">IF(G2775="","",IF(G2775="?","⚠ pub inconnue",IFERROR(INDEX(Pubs!$B$2:$B$3001,MATCH(G2775,Pubs!$A$2:$A$3001,0))&amp;"","⚠ pub inconnue")))</f>
        <v/>
      </c>
      <c r="I2775" s="27" t="str">
        <f aca="false">IF(OR(G2775="",G2775="?"),"",IFERROR(INDEX(Pubs!$C$2:$C$3001,MATCH(G2775,Pubs!$A$2:$A$3001,0))&amp;"",""))</f>
        <v/>
      </c>
      <c r="J2775" s="27" t="str">
        <f aca="false">IF(OR(G2775="",G2775="?"),"",IFERROR(INDEX(Pubs!$G$2:$G$3001,MATCH(G2775,Pubs!$A$2:$A$3001,0))&amp;"",""))</f>
        <v/>
      </c>
      <c r="K2775" s="28" t="str">
        <f aca="false">IF(OR(G2775="",G2775="?"),"",IFERROR(INDEX(Pubs!$E$2:$E$3001,MATCH(G2775,Pubs!$A$2:$A$3001,0)),""))</f>
        <v/>
      </c>
      <c r="L2775" s="29" t="str">
        <f aca="false">IF(A2775="","",IFERROR(1/(1/INDEX(Numéros!$C$2:$C$3001,MATCH(A2775&amp;"|"&amp;B2775,Numéros!$F$2:$F$3001,0))),""))</f>
        <v/>
      </c>
      <c r="M2775" s="27" t="str">
        <f aca="false">IF(OR(G2775="",G2775="?"),"",IFERROR(INDEX(Pubs!$D$2:$D$3001,MATCH(G2775,Pubs!$A$2:$A$3001,0))&amp;"",""))</f>
        <v/>
      </c>
      <c r="N2775" s="27" t="n">
        <f aca="false">N(N2774)+IF(AND(A2775&lt;&gt;"",OR(Recherche!$C$4="",A2775=Recherche!$C$4),OR(Recherche!$C$5="",B2775&amp;""=Recherche!$C$5&amp;""),OR(Recherche!$C$6="",IFERROR(YEAR(L2775),0)=Recherche!$C$6),OR(Recherche!$C$7="",ISNUMBER(SEARCH(Recherche!$C$7,H2775))),OR(Recherche!$C$8="",J2775=Recherche!$C$8),OR(Recherche!$C$9="",I2775=Recherche!$C$9),OR(Recherche!$C$10="",G2775&amp;""=Recherche!$C$10&amp;""),OR(Recherche!$C$11="",E2775=Recherche!$C$11),OR(Recherche!$C$12="",ISNUMBER(SEARCH(Recherche!$C$12,M2775&amp;" "&amp;F2775)))),1,0)</f>
        <v>8</v>
      </c>
    </row>
    <row r="2776" customFormat="false" ht="15" hidden="false" customHeight="false" outlineLevel="0" collapsed="false">
      <c r="A2776" s="19"/>
      <c r="B2776" s="19"/>
      <c r="C2776" s="19"/>
      <c r="D2776" s="19"/>
      <c r="E2776" s="22"/>
      <c r="F2776" s="19"/>
      <c r="G2776" s="26" t="str">
        <f aca="false">IF(D2776="","",IFERROR(VALUE(LEFT(D2776,FIND(" |",D2776&amp;" |")-1)),"?"))</f>
        <v/>
      </c>
      <c r="H2776" s="27" t="str">
        <f aca="false">IF(G2776="","",IF(G2776="?","⚠ pub inconnue",IFERROR(INDEX(Pubs!$B$2:$B$3001,MATCH(G2776,Pubs!$A$2:$A$3001,0))&amp;"","⚠ pub inconnue")))</f>
        <v/>
      </c>
      <c r="I2776" s="27" t="str">
        <f aca="false">IF(OR(G2776="",G2776="?"),"",IFERROR(INDEX(Pubs!$C$2:$C$3001,MATCH(G2776,Pubs!$A$2:$A$3001,0))&amp;"",""))</f>
        <v/>
      </c>
      <c r="J2776" s="27" t="str">
        <f aca="false">IF(OR(G2776="",G2776="?"),"",IFERROR(INDEX(Pubs!$G$2:$G$3001,MATCH(G2776,Pubs!$A$2:$A$3001,0))&amp;"",""))</f>
        <v/>
      </c>
      <c r="K2776" s="28" t="str">
        <f aca="false">IF(OR(G2776="",G2776="?"),"",IFERROR(INDEX(Pubs!$E$2:$E$3001,MATCH(G2776,Pubs!$A$2:$A$3001,0)),""))</f>
        <v/>
      </c>
      <c r="L2776" s="29" t="str">
        <f aca="false">IF(A2776="","",IFERROR(1/(1/INDEX(Numéros!$C$2:$C$3001,MATCH(A2776&amp;"|"&amp;B2776,Numéros!$F$2:$F$3001,0))),""))</f>
        <v/>
      </c>
      <c r="M2776" s="27" t="str">
        <f aca="false">IF(OR(G2776="",G2776="?"),"",IFERROR(INDEX(Pubs!$D$2:$D$3001,MATCH(G2776,Pubs!$A$2:$A$3001,0))&amp;"",""))</f>
        <v/>
      </c>
      <c r="N2776" s="27" t="n">
        <f aca="false">N(N2775)+IF(AND(A2776&lt;&gt;"",OR(Recherche!$C$4="",A2776=Recherche!$C$4),OR(Recherche!$C$5="",B2776&amp;""=Recherche!$C$5&amp;""),OR(Recherche!$C$6="",IFERROR(YEAR(L2776),0)=Recherche!$C$6),OR(Recherche!$C$7="",ISNUMBER(SEARCH(Recherche!$C$7,H2776))),OR(Recherche!$C$8="",J2776=Recherche!$C$8),OR(Recherche!$C$9="",I2776=Recherche!$C$9),OR(Recherche!$C$10="",G2776&amp;""=Recherche!$C$10&amp;""),OR(Recherche!$C$11="",E2776=Recherche!$C$11),OR(Recherche!$C$12="",ISNUMBER(SEARCH(Recherche!$C$12,M2776&amp;" "&amp;F2776)))),1,0)</f>
        <v>8</v>
      </c>
    </row>
    <row r="2777" customFormat="false" ht="15" hidden="false" customHeight="false" outlineLevel="0" collapsed="false">
      <c r="A2777" s="19"/>
      <c r="B2777" s="19"/>
      <c r="C2777" s="19"/>
      <c r="D2777" s="19"/>
      <c r="E2777" s="22"/>
      <c r="F2777" s="19"/>
      <c r="G2777" s="26" t="str">
        <f aca="false">IF(D2777="","",IFERROR(VALUE(LEFT(D2777,FIND(" |",D2777&amp;" |")-1)),"?"))</f>
        <v/>
      </c>
      <c r="H2777" s="27" t="str">
        <f aca="false">IF(G2777="","",IF(G2777="?","⚠ pub inconnue",IFERROR(INDEX(Pubs!$B$2:$B$3001,MATCH(G2777,Pubs!$A$2:$A$3001,0))&amp;"","⚠ pub inconnue")))</f>
        <v/>
      </c>
      <c r="I2777" s="27" t="str">
        <f aca="false">IF(OR(G2777="",G2777="?"),"",IFERROR(INDEX(Pubs!$C$2:$C$3001,MATCH(G2777,Pubs!$A$2:$A$3001,0))&amp;"",""))</f>
        <v/>
      </c>
      <c r="J2777" s="27" t="str">
        <f aca="false">IF(OR(G2777="",G2777="?"),"",IFERROR(INDEX(Pubs!$G$2:$G$3001,MATCH(G2777,Pubs!$A$2:$A$3001,0))&amp;"",""))</f>
        <v/>
      </c>
      <c r="K2777" s="28" t="str">
        <f aca="false">IF(OR(G2777="",G2777="?"),"",IFERROR(INDEX(Pubs!$E$2:$E$3001,MATCH(G2777,Pubs!$A$2:$A$3001,0)),""))</f>
        <v/>
      </c>
      <c r="L2777" s="29" t="str">
        <f aca="false">IF(A2777="","",IFERROR(1/(1/INDEX(Numéros!$C$2:$C$3001,MATCH(A2777&amp;"|"&amp;B2777,Numéros!$F$2:$F$3001,0))),""))</f>
        <v/>
      </c>
      <c r="M2777" s="27" t="str">
        <f aca="false">IF(OR(G2777="",G2777="?"),"",IFERROR(INDEX(Pubs!$D$2:$D$3001,MATCH(G2777,Pubs!$A$2:$A$3001,0))&amp;"",""))</f>
        <v/>
      </c>
      <c r="N2777" s="27" t="n">
        <f aca="false">N(N2776)+IF(AND(A2777&lt;&gt;"",OR(Recherche!$C$4="",A2777=Recherche!$C$4),OR(Recherche!$C$5="",B2777&amp;""=Recherche!$C$5&amp;""),OR(Recherche!$C$6="",IFERROR(YEAR(L2777),0)=Recherche!$C$6),OR(Recherche!$C$7="",ISNUMBER(SEARCH(Recherche!$C$7,H2777))),OR(Recherche!$C$8="",J2777=Recherche!$C$8),OR(Recherche!$C$9="",I2777=Recherche!$C$9),OR(Recherche!$C$10="",G2777&amp;""=Recherche!$C$10&amp;""),OR(Recherche!$C$11="",E2777=Recherche!$C$11),OR(Recherche!$C$12="",ISNUMBER(SEARCH(Recherche!$C$12,M2777&amp;" "&amp;F2777)))),1,0)</f>
        <v>8</v>
      </c>
    </row>
    <row r="2778" customFormat="false" ht="15" hidden="false" customHeight="false" outlineLevel="0" collapsed="false">
      <c r="A2778" s="19"/>
      <c r="B2778" s="19"/>
      <c r="C2778" s="19"/>
      <c r="D2778" s="19"/>
      <c r="E2778" s="22"/>
      <c r="F2778" s="19"/>
      <c r="G2778" s="26" t="str">
        <f aca="false">IF(D2778="","",IFERROR(VALUE(LEFT(D2778,FIND(" |",D2778&amp;" |")-1)),"?"))</f>
        <v/>
      </c>
      <c r="H2778" s="27" t="str">
        <f aca="false">IF(G2778="","",IF(G2778="?","⚠ pub inconnue",IFERROR(INDEX(Pubs!$B$2:$B$3001,MATCH(G2778,Pubs!$A$2:$A$3001,0))&amp;"","⚠ pub inconnue")))</f>
        <v/>
      </c>
      <c r="I2778" s="27" t="str">
        <f aca="false">IF(OR(G2778="",G2778="?"),"",IFERROR(INDEX(Pubs!$C$2:$C$3001,MATCH(G2778,Pubs!$A$2:$A$3001,0))&amp;"",""))</f>
        <v/>
      </c>
      <c r="J2778" s="27" t="str">
        <f aca="false">IF(OR(G2778="",G2778="?"),"",IFERROR(INDEX(Pubs!$G$2:$G$3001,MATCH(G2778,Pubs!$A$2:$A$3001,0))&amp;"",""))</f>
        <v/>
      </c>
      <c r="K2778" s="28" t="str">
        <f aca="false">IF(OR(G2778="",G2778="?"),"",IFERROR(INDEX(Pubs!$E$2:$E$3001,MATCH(G2778,Pubs!$A$2:$A$3001,0)),""))</f>
        <v/>
      </c>
      <c r="L2778" s="29" t="str">
        <f aca="false">IF(A2778="","",IFERROR(1/(1/INDEX(Numéros!$C$2:$C$3001,MATCH(A2778&amp;"|"&amp;B2778,Numéros!$F$2:$F$3001,0))),""))</f>
        <v/>
      </c>
      <c r="M2778" s="27" t="str">
        <f aca="false">IF(OR(G2778="",G2778="?"),"",IFERROR(INDEX(Pubs!$D$2:$D$3001,MATCH(G2778,Pubs!$A$2:$A$3001,0))&amp;"",""))</f>
        <v/>
      </c>
      <c r="N2778" s="27" t="n">
        <f aca="false">N(N2777)+IF(AND(A2778&lt;&gt;"",OR(Recherche!$C$4="",A2778=Recherche!$C$4),OR(Recherche!$C$5="",B2778&amp;""=Recherche!$C$5&amp;""),OR(Recherche!$C$6="",IFERROR(YEAR(L2778),0)=Recherche!$C$6),OR(Recherche!$C$7="",ISNUMBER(SEARCH(Recherche!$C$7,H2778))),OR(Recherche!$C$8="",J2778=Recherche!$C$8),OR(Recherche!$C$9="",I2778=Recherche!$C$9),OR(Recherche!$C$10="",G2778&amp;""=Recherche!$C$10&amp;""),OR(Recherche!$C$11="",E2778=Recherche!$C$11),OR(Recherche!$C$12="",ISNUMBER(SEARCH(Recherche!$C$12,M2778&amp;" "&amp;F2778)))),1,0)</f>
        <v>8</v>
      </c>
    </row>
    <row r="2779" customFormat="false" ht="15" hidden="false" customHeight="false" outlineLevel="0" collapsed="false">
      <c r="A2779" s="19"/>
      <c r="B2779" s="19"/>
      <c r="C2779" s="19"/>
      <c r="D2779" s="19"/>
      <c r="E2779" s="22"/>
      <c r="F2779" s="19"/>
      <c r="G2779" s="26" t="str">
        <f aca="false">IF(D2779="","",IFERROR(VALUE(LEFT(D2779,FIND(" |",D2779&amp;" |")-1)),"?"))</f>
        <v/>
      </c>
      <c r="H2779" s="27" t="str">
        <f aca="false">IF(G2779="","",IF(G2779="?","⚠ pub inconnue",IFERROR(INDEX(Pubs!$B$2:$B$3001,MATCH(G2779,Pubs!$A$2:$A$3001,0))&amp;"","⚠ pub inconnue")))</f>
        <v/>
      </c>
      <c r="I2779" s="27" t="str">
        <f aca="false">IF(OR(G2779="",G2779="?"),"",IFERROR(INDEX(Pubs!$C$2:$C$3001,MATCH(G2779,Pubs!$A$2:$A$3001,0))&amp;"",""))</f>
        <v/>
      </c>
      <c r="J2779" s="27" t="str">
        <f aca="false">IF(OR(G2779="",G2779="?"),"",IFERROR(INDEX(Pubs!$G$2:$G$3001,MATCH(G2779,Pubs!$A$2:$A$3001,0))&amp;"",""))</f>
        <v/>
      </c>
      <c r="K2779" s="28" t="str">
        <f aca="false">IF(OR(G2779="",G2779="?"),"",IFERROR(INDEX(Pubs!$E$2:$E$3001,MATCH(G2779,Pubs!$A$2:$A$3001,0)),""))</f>
        <v/>
      </c>
      <c r="L2779" s="29" t="str">
        <f aca="false">IF(A2779="","",IFERROR(1/(1/INDEX(Numéros!$C$2:$C$3001,MATCH(A2779&amp;"|"&amp;B2779,Numéros!$F$2:$F$3001,0))),""))</f>
        <v/>
      </c>
      <c r="M2779" s="27" t="str">
        <f aca="false">IF(OR(G2779="",G2779="?"),"",IFERROR(INDEX(Pubs!$D$2:$D$3001,MATCH(G2779,Pubs!$A$2:$A$3001,0))&amp;"",""))</f>
        <v/>
      </c>
      <c r="N2779" s="27" t="n">
        <f aca="false">N(N2778)+IF(AND(A2779&lt;&gt;"",OR(Recherche!$C$4="",A2779=Recherche!$C$4),OR(Recherche!$C$5="",B2779&amp;""=Recherche!$C$5&amp;""),OR(Recherche!$C$6="",IFERROR(YEAR(L2779),0)=Recherche!$C$6),OR(Recherche!$C$7="",ISNUMBER(SEARCH(Recherche!$C$7,H2779))),OR(Recherche!$C$8="",J2779=Recherche!$C$8),OR(Recherche!$C$9="",I2779=Recherche!$C$9),OR(Recherche!$C$10="",G2779&amp;""=Recherche!$C$10&amp;""),OR(Recherche!$C$11="",E2779=Recherche!$C$11),OR(Recherche!$C$12="",ISNUMBER(SEARCH(Recherche!$C$12,M2779&amp;" "&amp;F2779)))),1,0)</f>
        <v>8</v>
      </c>
    </row>
    <row r="2780" customFormat="false" ht="15" hidden="false" customHeight="false" outlineLevel="0" collapsed="false">
      <c r="A2780" s="19"/>
      <c r="B2780" s="19"/>
      <c r="C2780" s="19"/>
      <c r="D2780" s="19"/>
      <c r="E2780" s="22"/>
      <c r="F2780" s="19"/>
      <c r="G2780" s="26" t="str">
        <f aca="false">IF(D2780="","",IFERROR(VALUE(LEFT(D2780,FIND(" |",D2780&amp;" |")-1)),"?"))</f>
        <v/>
      </c>
      <c r="H2780" s="27" t="str">
        <f aca="false">IF(G2780="","",IF(G2780="?","⚠ pub inconnue",IFERROR(INDEX(Pubs!$B$2:$B$3001,MATCH(G2780,Pubs!$A$2:$A$3001,0))&amp;"","⚠ pub inconnue")))</f>
        <v/>
      </c>
      <c r="I2780" s="27" t="str">
        <f aca="false">IF(OR(G2780="",G2780="?"),"",IFERROR(INDEX(Pubs!$C$2:$C$3001,MATCH(G2780,Pubs!$A$2:$A$3001,0))&amp;"",""))</f>
        <v/>
      </c>
      <c r="J2780" s="27" t="str">
        <f aca="false">IF(OR(G2780="",G2780="?"),"",IFERROR(INDEX(Pubs!$G$2:$G$3001,MATCH(G2780,Pubs!$A$2:$A$3001,0))&amp;"",""))</f>
        <v/>
      </c>
      <c r="K2780" s="28" t="str">
        <f aca="false">IF(OR(G2780="",G2780="?"),"",IFERROR(INDEX(Pubs!$E$2:$E$3001,MATCH(G2780,Pubs!$A$2:$A$3001,0)),""))</f>
        <v/>
      </c>
      <c r="L2780" s="29" t="str">
        <f aca="false">IF(A2780="","",IFERROR(1/(1/INDEX(Numéros!$C$2:$C$3001,MATCH(A2780&amp;"|"&amp;B2780,Numéros!$F$2:$F$3001,0))),""))</f>
        <v/>
      </c>
      <c r="M2780" s="27" t="str">
        <f aca="false">IF(OR(G2780="",G2780="?"),"",IFERROR(INDEX(Pubs!$D$2:$D$3001,MATCH(G2780,Pubs!$A$2:$A$3001,0))&amp;"",""))</f>
        <v/>
      </c>
      <c r="N2780" s="27" t="n">
        <f aca="false">N(N2779)+IF(AND(A2780&lt;&gt;"",OR(Recherche!$C$4="",A2780=Recherche!$C$4),OR(Recherche!$C$5="",B2780&amp;""=Recherche!$C$5&amp;""),OR(Recherche!$C$6="",IFERROR(YEAR(L2780),0)=Recherche!$C$6),OR(Recherche!$C$7="",ISNUMBER(SEARCH(Recherche!$C$7,H2780))),OR(Recherche!$C$8="",J2780=Recherche!$C$8),OR(Recherche!$C$9="",I2780=Recherche!$C$9),OR(Recherche!$C$10="",G2780&amp;""=Recherche!$C$10&amp;""),OR(Recherche!$C$11="",E2780=Recherche!$C$11),OR(Recherche!$C$12="",ISNUMBER(SEARCH(Recherche!$C$12,M2780&amp;" "&amp;F2780)))),1,0)</f>
        <v>8</v>
      </c>
    </row>
    <row r="2781" customFormat="false" ht="15" hidden="false" customHeight="false" outlineLevel="0" collapsed="false">
      <c r="A2781" s="19"/>
      <c r="B2781" s="19"/>
      <c r="C2781" s="19"/>
      <c r="D2781" s="19"/>
      <c r="E2781" s="22"/>
      <c r="F2781" s="19"/>
      <c r="G2781" s="26" t="str">
        <f aca="false">IF(D2781="","",IFERROR(VALUE(LEFT(D2781,FIND(" |",D2781&amp;" |")-1)),"?"))</f>
        <v/>
      </c>
      <c r="H2781" s="27" t="str">
        <f aca="false">IF(G2781="","",IF(G2781="?","⚠ pub inconnue",IFERROR(INDEX(Pubs!$B$2:$B$3001,MATCH(G2781,Pubs!$A$2:$A$3001,0))&amp;"","⚠ pub inconnue")))</f>
        <v/>
      </c>
      <c r="I2781" s="27" t="str">
        <f aca="false">IF(OR(G2781="",G2781="?"),"",IFERROR(INDEX(Pubs!$C$2:$C$3001,MATCH(G2781,Pubs!$A$2:$A$3001,0))&amp;"",""))</f>
        <v/>
      </c>
      <c r="J2781" s="27" t="str">
        <f aca="false">IF(OR(G2781="",G2781="?"),"",IFERROR(INDEX(Pubs!$G$2:$G$3001,MATCH(G2781,Pubs!$A$2:$A$3001,0))&amp;"",""))</f>
        <v/>
      </c>
      <c r="K2781" s="28" t="str">
        <f aca="false">IF(OR(G2781="",G2781="?"),"",IFERROR(INDEX(Pubs!$E$2:$E$3001,MATCH(G2781,Pubs!$A$2:$A$3001,0)),""))</f>
        <v/>
      </c>
      <c r="L2781" s="29" t="str">
        <f aca="false">IF(A2781="","",IFERROR(1/(1/INDEX(Numéros!$C$2:$C$3001,MATCH(A2781&amp;"|"&amp;B2781,Numéros!$F$2:$F$3001,0))),""))</f>
        <v/>
      </c>
      <c r="M2781" s="27" t="str">
        <f aca="false">IF(OR(G2781="",G2781="?"),"",IFERROR(INDEX(Pubs!$D$2:$D$3001,MATCH(G2781,Pubs!$A$2:$A$3001,0))&amp;"",""))</f>
        <v/>
      </c>
      <c r="N2781" s="27" t="n">
        <f aca="false">N(N2780)+IF(AND(A2781&lt;&gt;"",OR(Recherche!$C$4="",A2781=Recherche!$C$4),OR(Recherche!$C$5="",B2781&amp;""=Recherche!$C$5&amp;""),OR(Recherche!$C$6="",IFERROR(YEAR(L2781),0)=Recherche!$C$6),OR(Recherche!$C$7="",ISNUMBER(SEARCH(Recherche!$C$7,H2781))),OR(Recherche!$C$8="",J2781=Recherche!$C$8),OR(Recherche!$C$9="",I2781=Recherche!$C$9),OR(Recherche!$C$10="",G2781&amp;""=Recherche!$C$10&amp;""),OR(Recherche!$C$11="",E2781=Recherche!$C$11),OR(Recherche!$C$12="",ISNUMBER(SEARCH(Recherche!$C$12,M2781&amp;" "&amp;F2781)))),1,0)</f>
        <v>8</v>
      </c>
    </row>
    <row r="2782" customFormat="false" ht="15" hidden="false" customHeight="false" outlineLevel="0" collapsed="false">
      <c r="A2782" s="19"/>
      <c r="B2782" s="19"/>
      <c r="C2782" s="19"/>
      <c r="D2782" s="19"/>
      <c r="E2782" s="22"/>
      <c r="F2782" s="19"/>
      <c r="G2782" s="26" t="str">
        <f aca="false">IF(D2782="","",IFERROR(VALUE(LEFT(D2782,FIND(" |",D2782&amp;" |")-1)),"?"))</f>
        <v/>
      </c>
      <c r="H2782" s="27" t="str">
        <f aca="false">IF(G2782="","",IF(G2782="?","⚠ pub inconnue",IFERROR(INDEX(Pubs!$B$2:$B$3001,MATCH(G2782,Pubs!$A$2:$A$3001,0))&amp;"","⚠ pub inconnue")))</f>
        <v/>
      </c>
      <c r="I2782" s="27" t="str">
        <f aca="false">IF(OR(G2782="",G2782="?"),"",IFERROR(INDEX(Pubs!$C$2:$C$3001,MATCH(G2782,Pubs!$A$2:$A$3001,0))&amp;"",""))</f>
        <v/>
      </c>
      <c r="J2782" s="27" t="str">
        <f aca="false">IF(OR(G2782="",G2782="?"),"",IFERROR(INDEX(Pubs!$G$2:$G$3001,MATCH(G2782,Pubs!$A$2:$A$3001,0))&amp;"",""))</f>
        <v/>
      </c>
      <c r="K2782" s="28" t="str">
        <f aca="false">IF(OR(G2782="",G2782="?"),"",IFERROR(INDEX(Pubs!$E$2:$E$3001,MATCH(G2782,Pubs!$A$2:$A$3001,0)),""))</f>
        <v/>
      </c>
      <c r="L2782" s="29" t="str">
        <f aca="false">IF(A2782="","",IFERROR(1/(1/INDEX(Numéros!$C$2:$C$3001,MATCH(A2782&amp;"|"&amp;B2782,Numéros!$F$2:$F$3001,0))),""))</f>
        <v/>
      </c>
      <c r="M2782" s="27" t="str">
        <f aca="false">IF(OR(G2782="",G2782="?"),"",IFERROR(INDEX(Pubs!$D$2:$D$3001,MATCH(G2782,Pubs!$A$2:$A$3001,0))&amp;"",""))</f>
        <v/>
      </c>
      <c r="N2782" s="27" t="n">
        <f aca="false">N(N2781)+IF(AND(A2782&lt;&gt;"",OR(Recherche!$C$4="",A2782=Recherche!$C$4),OR(Recherche!$C$5="",B2782&amp;""=Recherche!$C$5&amp;""),OR(Recherche!$C$6="",IFERROR(YEAR(L2782),0)=Recherche!$C$6),OR(Recherche!$C$7="",ISNUMBER(SEARCH(Recherche!$C$7,H2782))),OR(Recherche!$C$8="",J2782=Recherche!$C$8),OR(Recherche!$C$9="",I2782=Recherche!$C$9),OR(Recherche!$C$10="",G2782&amp;""=Recherche!$C$10&amp;""),OR(Recherche!$C$11="",E2782=Recherche!$C$11),OR(Recherche!$C$12="",ISNUMBER(SEARCH(Recherche!$C$12,M2782&amp;" "&amp;F2782)))),1,0)</f>
        <v>8</v>
      </c>
    </row>
    <row r="2783" customFormat="false" ht="15" hidden="false" customHeight="false" outlineLevel="0" collapsed="false">
      <c r="A2783" s="19"/>
      <c r="B2783" s="19"/>
      <c r="C2783" s="19"/>
      <c r="D2783" s="19"/>
      <c r="E2783" s="22"/>
      <c r="F2783" s="19"/>
      <c r="G2783" s="26" t="str">
        <f aca="false">IF(D2783="","",IFERROR(VALUE(LEFT(D2783,FIND(" |",D2783&amp;" |")-1)),"?"))</f>
        <v/>
      </c>
      <c r="H2783" s="27" t="str">
        <f aca="false">IF(G2783="","",IF(G2783="?","⚠ pub inconnue",IFERROR(INDEX(Pubs!$B$2:$B$3001,MATCH(G2783,Pubs!$A$2:$A$3001,0))&amp;"","⚠ pub inconnue")))</f>
        <v/>
      </c>
      <c r="I2783" s="27" t="str">
        <f aca="false">IF(OR(G2783="",G2783="?"),"",IFERROR(INDEX(Pubs!$C$2:$C$3001,MATCH(G2783,Pubs!$A$2:$A$3001,0))&amp;"",""))</f>
        <v/>
      </c>
      <c r="J2783" s="27" t="str">
        <f aca="false">IF(OR(G2783="",G2783="?"),"",IFERROR(INDEX(Pubs!$G$2:$G$3001,MATCH(G2783,Pubs!$A$2:$A$3001,0))&amp;"",""))</f>
        <v/>
      </c>
      <c r="K2783" s="28" t="str">
        <f aca="false">IF(OR(G2783="",G2783="?"),"",IFERROR(INDEX(Pubs!$E$2:$E$3001,MATCH(G2783,Pubs!$A$2:$A$3001,0)),""))</f>
        <v/>
      </c>
      <c r="L2783" s="29" t="str">
        <f aca="false">IF(A2783="","",IFERROR(1/(1/INDEX(Numéros!$C$2:$C$3001,MATCH(A2783&amp;"|"&amp;B2783,Numéros!$F$2:$F$3001,0))),""))</f>
        <v/>
      </c>
      <c r="M2783" s="27" t="str">
        <f aca="false">IF(OR(G2783="",G2783="?"),"",IFERROR(INDEX(Pubs!$D$2:$D$3001,MATCH(G2783,Pubs!$A$2:$A$3001,0))&amp;"",""))</f>
        <v/>
      </c>
      <c r="N2783" s="27" t="n">
        <f aca="false">N(N2782)+IF(AND(A2783&lt;&gt;"",OR(Recherche!$C$4="",A2783=Recherche!$C$4),OR(Recherche!$C$5="",B2783&amp;""=Recherche!$C$5&amp;""),OR(Recherche!$C$6="",IFERROR(YEAR(L2783),0)=Recherche!$C$6),OR(Recherche!$C$7="",ISNUMBER(SEARCH(Recherche!$C$7,H2783))),OR(Recherche!$C$8="",J2783=Recherche!$C$8),OR(Recherche!$C$9="",I2783=Recherche!$C$9),OR(Recherche!$C$10="",G2783&amp;""=Recherche!$C$10&amp;""),OR(Recherche!$C$11="",E2783=Recherche!$C$11),OR(Recherche!$C$12="",ISNUMBER(SEARCH(Recherche!$C$12,M2783&amp;" "&amp;F2783)))),1,0)</f>
        <v>8</v>
      </c>
    </row>
    <row r="2784" customFormat="false" ht="15" hidden="false" customHeight="false" outlineLevel="0" collapsed="false">
      <c r="A2784" s="19"/>
      <c r="B2784" s="19"/>
      <c r="C2784" s="19"/>
      <c r="D2784" s="19"/>
      <c r="E2784" s="22"/>
      <c r="F2784" s="19"/>
      <c r="G2784" s="26" t="str">
        <f aca="false">IF(D2784="","",IFERROR(VALUE(LEFT(D2784,FIND(" |",D2784&amp;" |")-1)),"?"))</f>
        <v/>
      </c>
      <c r="H2784" s="27" t="str">
        <f aca="false">IF(G2784="","",IF(G2784="?","⚠ pub inconnue",IFERROR(INDEX(Pubs!$B$2:$B$3001,MATCH(G2784,Pubs!$A$2:$A$3001,0))&amp;"","⚠ pub inconnue")))</f>
        <v/>
      </c>
      <c r="I2784" s="27" t="str">
        <f aca="false">IF(OR(G2784="",G2784="?"),"",IFERROR(INDEX(Pubs!$C$2:$C$3001,MATCH(G2784,Pubs!$A$2:$A$3001,0))&amp;"",""))</f>
        <v/>
      </c>
      <c r="J2784" s="27" t="str">
        <f aca="false">IF(OR(G2784="",G2784="?"),"",IFERROR(INDEX(Pubs!$G$2:$G$3001,MATCH(G2784,Pubs!$A$2:$A$3001,0))&amp;"",""))</f>
        <v/>
      </c>
      <c r="K2784" s="28" t="str">
        <f aca="false">IF(OR(G2784="",G2784="?"),"",IFERROR(INDEX(Pubs!$E$2:$E$3001,MATCH(G2784,Pubs!$A$2:$A$3001,0)),""))</f>
        <v/>
      </c>
      <c r="L2784" s="29" t="str">
        <f aca="false">IF(A2784="","",IFERROR(1/(1/INDEX(Numéros!$C$2:$C$3001,MATCH(A2784&amp;"|"&amp;B2784,Numéros!$F$2:$F$3001,0))),""))</f>
        <v/>
      </c>
      <c r="M2784" s="27" t="str">
        <f aca="false">IF(OR(G2784="",G2784="?"),"",IFERROR(INDEX(Pubs!$D$2:$D$3001,MATCH(G2784,Pubs!$A$2:$A$3001,0))&amp;"",""))</f>
        <v/>
      </c>
      <c r="N2784" s="27" t="n">
        <f aca="false">N(N2783)+IF(AND(A2784&lt;&gt;"",OR(Recherche!$C$4="",A2784=Recherche!$C$4),OR(Recherche!$C$5="",B2784&amp;""=Recherche!$C$5&amp;""),OR(Recherche!$C$6="",IFERROR(YEAR(L2784),0)=Recherche!$C$6),OR(Recherche!$C$7="",ISNUMBER(SEARCH(Recherche!$C$7,H2784))),OR(Recherche!$C$8="",J2784=Recherche!$C$8),OR(Recherche!$C$9="",I2784=Recherche!$C$9),OR(Recherche!$C$10="",G2784&amp;""=Recherche!$C$10&amp;""),OR(Recherche!$C$11="",E2784=Recherche!$C$11),OR(Recherche!$C$12="",ISNUMBER(SEARCH(Recherche!$C$12,M2784&amp;" "&amp;F2784)))),1,0)</f>
        <v>8</v>
      </c>
    </row>
    <row r="2785" customFormat="false" ht="15" hidden="false" customHeight="false" outlineLevel="0" collapsed="false">
      <c r="A2785" s="19"/>
      <c r="B2785" s="19"/>
      <c r="C2785" s="19"/>
      <c r="D2785" s="19"/>
      <c r="E2785" s="22"/>
      <c r="F2785" s="19"/>
      <c r="G2785" s="26" t="str">
        <f aca="false">IF(D2785="","",IFERROR(VALUE(LEFT(D2785,FIND(" |",D2785&amp;" |")-1)),"?"))</f>
        <v/>
      </c>
      <c r="H2785" s="27" t="str">
        <f aca="false">IF(G2785="","",IF(G2785="?","⚠ pub inconnue",IFERROR(INDEX(Pubs!$B$2:$B$3001,MATCH(G2785,Pubs!$A$2:$A$3001,0))&amp;"","⚠ pub inconnue")))</f>
        <v/>
      </c>
      <c r="I2785" s="27" t="str">
        <f aca="false">IF(OR(G2785="",G2785="?"),"",IFERROR(INDEX(Pubs!$C$2:$C$3001,MATCH(G2785,Pubs!$A$2:$A$3001,0))&amp;"",""))</f>
        <v/>
      </c>
      <c r="J2785" s="27" t="str">
        <f aca="false">IF(OR(G2785="",G2785="?"),"",IFERROR(INDEX(Pubs!$G$2:$G$3001,MATCH(G2785,Pubs!$A$2:$A$3001,0))&amp;"",""))</f>
        <v/>
      </c>
      <c r="K2785" s="28" t="str">
        <f aca="false">IF(OR(G2785="",G2785="?"),"",IFERROR(INDEX(Pubs!$E$2:$E$3001,MATCH(G2785,Pubs!$A$2:$A$3001,0)),""))</f>
        <v/>
      </c>
      <c r="L2785" s="29" t="str">
        <f aca="false">IF(A2785="","",IFERROR(1/(1/INDEX(Numéros!$C$2:$C$3001,MATCH(A2785&amp;"|"&amp;B2785,Numéros!$F$2:$F$3001,0))),""))</f>
        <v/>
      </c>
      <c r="M2785" s="27" t="str">
        <f aca="false">IF(OR(G2785="",G2785="?"),"",IFERROR(INDEX(Pubs!$D$2:$D$3001,MATCH(G2785,Pubs!$A$2:$A$3001,0))&amp;"",""))</f>
        <v/>
      </c>
      <c r="N2785" s="27" t="n">
        <f aca="false">N(N2784)+IF(AND(A2785&lt;&gt;"",OR(Recherche!$C$4="",A2785=Recherche!$C$4),OR(Recherche!$C$5="",B2785&amp;""=Recherche!$C$5&amp;""),OR(Recherche!$C$6="",IFERROR(YEAR(L2785),0)=Recherche!$C$6),OR(Recherche!$C$7="",ISNUMBER(SEARCH(Recherche!$C$7,H2785))),OR(Recherche!$C$8="",J2785=Recherche!$C$8),OR(Recherche!$C$9="",I2785=Recherche!$C$9),OR(Recherche!$C$10="",G2785&amp;""=Recherche!$C$10&amp;""),OR(Recherche!$C$11="",E2785=Recherche!$C$11),OR(Recherche!$C$12="",ISNUMBER(SEARCH(Recherche!$C$12,M2785&amp;" "&amp;F2785)))),1,0)</f>
        <v>8</v>
      </c>
    </row>
    <row r="2786" customFormat="false" ht="15" hidden="false" customHeight="false" outlineLevel="0" collapsed="false">
      <c r="A2786" s="19"/>
      <c r="B2786" s="19"/>
      <c r="C2786" s="19"/>
      <c r="D2786" s="19"/>
      <c r="E2786" s="22"/>
      <c r="F2786" s="19"/>
      <c r="G2786" s="26" t="str">
        <f aca="false">IF(D2786="","",IFERROR(VALUE(LEFT(D2786,FIND(" |",D2786&amp;" |")-1)),"?"))</f>
        <v/>
      </c>
      <c r="H2786" s="27" t="str">
        <f aca="false">IF(G2786="","",IF(G2786="?","⚠ pub inconnue",IFERROR(INDEX(Pubs!$B$2:$B$3001,MATCH(G2786,Pubs!$A$2:$A$3001,0))&amp;"","⚠ pub inconnue")))</f>
        <v/>
      </c>
      <c r="I2786" s="27" t="str">
        <f aca="false">IF(OR(G2786="",G2786="?"),"",IFERROR(INDEX(Pubs!$C$2:$C$3001,MATCH(G2786,Pubs!$A$2:$A$3001,0))&amp;"",""))</f>
        <v/>
      </c>
      <c r="J2786" s="27" t="str">
        <f aca="false">IF(OR(G2786="",G2786="?"),"",IFERROR(INDEX(Pubs!$G$2:$G$3001,MATCH(G2786,Pubs!$A$2:$A$3001,0))&amp;"",""))</f>
        <v/>
      </c>
      <c r="K2786" s="28" t="str">
        <f aca="false">IF(OR(G2786="",G2786="?"),"",IFERROR(INDEX(Pubs!$E$2:$E$3001,MATCH(G2786,Pubs!$A$2:$A$3001,0)),""))</f>
        <v/>
      </c>
      <c r="L2786" s="29" t="str">
        <f aca="false">IF(A2786="","",IFERROR(1/(1/INDEX(Numéros!$C$2:$C$3001,MATCH(A2786&amp;"|"&amp;B2786,Numéros!$F$2:$F$3001,0))),""))</f>
        <v/>
      </c>
      <c r="M2786" s="27" t="str">
        <f aca="false">IF(OR(G2786="",G2786="?"),"",IFERROR(INDEX(Pubs!$D$2:$D$3001,MATCH(G2786,Pubs!$A$2:$A$3001,0))&amp;"",""))</f>
        <v/>
      </c>
      <c r="N2786" s="27" t="n">
        <f aca="false">N(N2785)+IF(AND(A2786&lt;&gt;"",OR(Recherche!$C$4="",A2786=Recherche!$C$4),OR(Recherche!$C$5="",B2786&amp;""=Recherche!$C$5&amp;""),OR(Recherche!$C$6="",IFERROR(YEAR(L2786),0)=Recherche!$C$6),OR(Recherche!$C$7="",ISNUMBER(SEARCH(Recherche!$C$7,H2786))),OR(Recherche!$C$8="",J2786=Recherche!$C$8),OR(Recherche!$C$9="",I2786=Recherche!$C$9),OR(Recherche!$C$10="",G2786&amp;""=Recherche!$C$10&amp;""),OR(Recherche!$C$11="",E2786=Recherche!$C$11),OR(Recherche!$C$12="",ISNUMBER(SEARCH(Recherche!$C$12,M2786&amp;" "&amp;F2786)))),1,0)</f>
        <v>8</v>
      </c>
    </row>
    <row r="2787" customFormat="false" ht="15" hidden="false" customHeight="false" outlineLevel="0" collapsed="false">
      <c r="A2787" s="19"/>
      <c r="B2787" s="19"/>
      <c r="C2787" s="19"/>
      <c r="D2787" s="19"/>
      <c r="E2787" s="22"/>
      <c r="F2787" s="19"/>
      <c r="G2787" s="26" t="str">
        <f aca="false">IF(D2787="","",IFERROR(VALUE(LEFT(D2787,FIND(" |",D2787&amp;" |")-1)),"?"))</f>
        <v/>
      </c>
      <c r="H2787" s="27" t="str">
        <f aca="false">IF(G2787="","",IF(G2787="?","⚠ pub inconnue",IFERROR(INDEX(Pubs!$B$2:$B$3001,MATCH(G2787,Pubs!$A$2:$A$3001,0))&amp;"","⚠ pub inconnue")))</f>
        <v/>
      </c>
      <c r="I2787" s="27" t="str">
        <f aca="false">IF(OR(G2787="",G2787="?"),"",IFERROR(INDEX(Pubs!$C$2:$C$3001,MATCH(G2787,Pubs!$A$2:$A$3001,0))&amp;"",""))</f>
        <v/>
      </c>
      <c r="J2787" s="27" t="str">
        <f aca="false">IF(OR(G2787="",G2787="?"),"",IFERROR(INDEX(Pubs!$G$2:$G$3001,MATCH(G2787,Pubs!$A$2:$A$3001,0))&amp;"",""))</f>
        <v/>
      </c>
      <c r="K2787" s="28" t="str">
        <f aca="false">IF(OR(G2787="",G2787="?"),"",IFERROR(INDEX(Pubs!$E$2:$E$3001,MATCH(G2787,Pubs!$A$2:$A$3001,0)),""))</f>
        <v/>
      </c>
      <c r="L2787" s="29" t="str">
        <f aca="false">IF(A2787="","",IFERROR(1/(1/INDEX(Numéros!$C$2:$C$3001,MATCH(A2787&amp;"|"&amp;B2787,Numéros!$F$2:$F$3001,0))),""))</f>
        <v/>
      </c>
      <c r="M2787" s="27" t="str">
        <f aca="false">IF(OR(G2787="",G2787="?"),"",IFERROR(INDEX(Pubs!$D$2:$D$3001,MATCH(G2787,Pubs!$A$2:$A$3001,0))&amp;"",""))</f>
        <v/>
      </c>
      <c r="N2787" s="27" t="n">
        <f aca="false">N(N2786)+IF(AND(A2787&lt;&gt;"",OR(Recherche!$C$4="",A2787=Recherche!$C$4),OR(Recherche!$C$5="",B2787&amp;""=Recherche!$C$5&amp;""),OR(Recherche!$C$6="",IFERROR(YEAR(L2787),0)=Recherche!$C$6),OR(Recherche!$C$7="",ISNUMBER(SEARCH(Recherche!$C$7,H2787))),OR(Recherche!$C$8="",J2787=Recherche!$C$8),OR(Recherche!$C$9="",I2787=Recherche!$C$9),OR(Recherche!$C$10="",G2787&amp;""=Recherche!$C$10&amp;""),OR(Recherche!$C$11="",E2787=Recherche!$C$11),OR(Recherche!$C$12="",ISNUMBER(SEARCH(Recherche!$C$12,M2787&amp;" "&amp;F2787)))),1,0)</f>
        <v>8</v>
      </c>
    </row>
    <row r="2788" customFormat="false" ht="15" hidden="false" customHeight="false" outlineLevel="0" collapsed="false">
      <c r="A2788" s="19"/>
      <c r="B2788" s="19"/>
      <c r="C2788" s="19"/>
      <c r="D2788" s="19"/>
      <c r="E2788" s="22"/>
      <c r="F2788" s="19"/>
      <c r="G2788" s="26" t="str">
        <f aca="false">IF(D2788="","",IFERROR(VALUE(LEFT(D2788,FIND(" |",D2788&amp;" |")-1)),"?"))</f>
        <v/>
      </c>
      <c r="H2788" s="27" t="str">
        <f aca="false">IF(G2788="","",IF(G2788="?","⚠ pub inconnue",IFERROR(INDEX(Pubs!$B$2:$B$3001,MATCH(G2788,Pubs!$A$2:$A$3001,0))&amp;"","⚠ pub inconnue")))</f>
        <v/>
      </c>
      <c r="I2788" s="27" t="str">
        <f aca="false">IF(OR(G2788="",G2788="?"),"",IFERROR(INDEX(Pubs!$C$2:$C$3001,MATCH(G2788,Pubs!$A$2:$A$3001,0))&amp;"",""))</f>
        <v/>
      </c>
      <c r="J2788" s="27" t="str">
        <f aca="false">IF(OR(G2788="",G2788="?"),"",IFERROR(INDEX(Pubs!$G$2:$G$3001,MATCH(G2788,Pubs!$A$2:$A$3001,0))&amp;"",""))</f>
        <v/>
      </c>
      <c r="K2788" s="28" t="str">
        <f aca="false">IF(OR(G2788="",G2788="?"),"",IFERROR(INDEX(Pubs!$E$2:$E$3001,MATCH(G2788,Pubs!$A$2:$A$3001,0)),""))</f>
        <v/>
      </c>
      <c r="L2788" s="29" t="str">
        <f aca="false">IF(A2788="","",IFERROR(1/(1/INDEX(Numéros!$C$2:$C$3001,MATCH(A2788&amp;"|"&amp;B2788,Numéros!$F$2:$F$3001,0))),""))</f>
        <v/>
      </c>
      <c r="M2788" s="27" t="str">
        <f aca="false">IF(OR(G2788="",G2788="?"),"",IFERROR(INDEX(Pubs!$D$2:$D$3001,MATCH(G2788,Pubs!$A$2:$A$3001,0))&amp;"",""))</f>
        <v/>
      </c>
      <c r="N2788" s="27" t="n">
        <f aca="false">N(N2787)+IF(AND(A2788&lt;&gt;"",OR(Recherche!$C$4="",A2788=Recherche!$C$4),OR(Recherche!$C$5="",B2788&amp;""=Recherche!$C$5&amp;""),OR(Recherche!$C$6="",IFERROR(YEAR(L2788),0)=Recherche!$C$6),OR(Recherche!$C$7="",ISNUMBER(SEARCH(Recherche!$C$7,H2788))),OR(Recherche!$C$8="",J2788=Recherche!$C$8),OR(Recherche!$C$9="",I2788=Recherche!$C$9),OR(Recherche!$C$10="",G2788&amp;""=Recherche!$C$10&amp;""),OR(Recherche!$C$11="",E2788=Recherche!$C$11),OR(Recherche!$C$12="",ISNUMBER(SEARCH(Recherche!$C$12,M2788&amp;" "&amp;F2788)))),1,0)</f>
        <v>8</v>
      </c>
    </row>
    <row r="2789" customFormat="false" ht="15" hidden="false" customHeight="false" outlineLevel="0" collapsed="false">
      <c r="A2789" s="19"/>
      <c r="B2789" s="19"/>
      <c r="C2789" s="19"/>
      <c r="D2789" s="19"/>
      <c r="E2789" s="22"/>
      <c r="F2789" s="19"/>
      <c r="G2789" s="26" t="str">
        <f aca="false">IF(D2789="","",IFERROR(VALUE(LEFT(D2789,FIND(" |",D2789&amp;" |")-1)),"?"))</f>
        <v/>
      </c>
      <c r="H2789" s="27" t="str">
        <f aca="false">IF(G2789="","",IF(G2789="?","⚠ pub inconnue",IFERROR(INDEX(Pubs!$B$2:$B$3001,MATCH(G2789,Pubs!$A$2:$A$3001,0))&amp;"","⚠ pub inconnue")))</f>
        <v/>
      </c>
      <c r="I2789" s="27" t="str">
        <f aca="false">IF(OR(G2789="",G2789="?"),"",IFERROR(INDEX(Pubs!$C$2:$C$3001,MATCH(G2789,Pubs!$A$2:$A$3001,0))&amp;"",""))</f>
        <v/>
      </c>
      <c r="J2789" s="27" t="str">
        <f aca="false">IF(OR(G2789="",G2789="?"),"",IFERROR(INDEX(Pubs!$G$2:$G$3001,MATCH(G2789,Pubs!$A$2:$A$3001,0))&amp;"",""))</f>
        <v/>
      </c>
      <c r="K2789" s="28" t="str">
        <f aca="false">IF(OR(G2789="",G2789="?"),"",IFERROR(INDEX(Pubs!$E$2:$E$3001,MATCH(G2789,Pubs!$A$2:$A$3001,0)),""))</f>
        <v/>
      </c>
      <c r="L2789" s="29" t="str">
        <f aca="false">IF(A2789="","",IFERROR(1/(1/INDEX(Numéros!$C$2:$C$3001,MATCH(A2789&amp;"|"&amp;B2789,Numéros!$F$2:$F$3001,0))),""))</f>
        <v/>
      </c>
      <c r="M2789" s="27" t="str">
        <f aca="false">IF(OR(G2789="",G2789="?"),"",IFERROR(INDEX(Pubs!$D$2:$D$3001,MATCH(G2789,Pubs!$A$2:$A$3001,0))&amp;"",""))</f>
        <v/>
      </c>
      <c r="N2789" s="27" t="n">
        <f aca="false">N(N2788)+IF(AND(A2789&lt;&gt;"",OR(Recherche!$C$4="",A2789=Recherche!$C$4),OR(Recherche!$C$5="",B2789&amp;""=Recherche!$C$5&amp;""),OR(Recherche!$C$6="",IFERROR(YEAR(L2789),0)=Recherche!$C$6),OR(Recherche!$C$7="",ISNUMBER(SEARCH(Recherche!$C$7,H2789))),OR(Recherche!$C$8="",J2789=Recherche!$C$8),OR(Recherche!$C$9="",I2789=Recherche!$C$9),OR(Recherche!$C$10="",G2789&amp;""=Recherche!$C$10&amp;""),OR(Recherche!$C$11="",E2789=Recherche!$C$11),OR(Recherche!$C$12="",ISNUMBER(SEARCH(Recherche!$C$12,M2789&amp;" "&amp;F2789)))),1,0)</f>
        <v>8</v>
      </c>
    </row>
    <row r="2790" customFormat="false" ht="15" hidden="false" customHeight="false" outlineLevel="0" collapsed="false">
      <c r="A2790" s="19"/>
      <c r="B2790" s="19"/>
      <c r="C2790" s="19"/>
      <c r="D2790" s="19"/>
      <c r="E2790" s="22"/>
      <c r="F2790" s="19"/>
      <c r="G2790" s="26" t="str">
        <f aca="false">IF(D2790="","",IFERROR(VALUE(LEFT(D2790,FIND(" |",D2790&amp;" |")-1)),"?"))</f>
        <v/>
      </c>
      <c r="H2790" s="27" t="str">
        <f aca="false">IF(G2790="","",IF(G2790="?","⚠ pub inconnue",IFERROR(INDEX(Pubs!$B$2:$B$3001,MATCH(G2790,Pubs!$A$2:$A$3001,0))&amp;"","⚠ pub inconnue")))</f>
        <v/>
      </c>
      <c r="I2790" s="27" t="str">
        <f aca="false">IF(OR(G2790="",G2790="?"),"",IFERROR(INDEX(Pubs!$C$2:$C$3001,MATCH(G2790,Pubs!$A$2:$A$3001,0))&amp;"",""))</f>
        <v/>
      </c>
      <c r="J2790" s="27" t="str">
        <f aca="false">IF(OR(G2790="",G2790="?"),"",IFERROR(INDEX(Pubs!$G$2:$G$3001,MATCH(G2790,Pubs!$A$2:$A$3001,0))&amp;"",""))</f>
        <v/>
      </c>
      <c r="K2790" s="28" t="str">
        <f aca="false">IF(OR(G2790="",G2790="?"),"",IFERROR(INDEX(Pubs!$E$2:$E$3001,MATCH(G2790,Pubs!$A$2:$A$3001,0)),""))</f>
        <v/>
      </c>
      <c r="L2790" s="29" t="str">
        <f aca="false">IF(A2790="","",IFERROR(1/(1/INDEX(Numéros!$C$2:$C$3001,MATCH(A2790&amp;"|"&amp;B2790,Numéros!$F$2:$F$3001,0))),""))</f>
        <v/>
      </c>
      <c r="M2790" s="27" t="str">
        <f aca="false">IF(OR(G2790="",G2790="?"),"",IFERROR(INDEX(Pubs!$D$2:$D$3001,MATCH(G2790,Pubs!$A$2:$A$3001,0))&amp;"",""))</f>
        <v/>
      </c>
      <c r="N2790" s="27" t="n">
        <f aca="false">N(N2789)+IF(AND(A2790&lt;&gt;"",OR(Recherche!$C$4="",A2790=Recherche!$C$4),OR(Recherche!$C$5="",B2790&amp;""=Recherche!$C$5&amp;""),OR(Recherche!$C$6="",IFERROR(YEAR(L2790),0)=Recherche!$C$6),OR(Recherche!$C$7="",ISNUMBER(SEARCH(Recherche!$C$7,H2790))),OR(Recherche!$C$8="",J2790=Recherche!$C$8),OR(Recherche!$C$9="",I2790=Recherche!$C$9),OR(Recherche!$C$10="",G2790&amp;""=Recherche!$C$10&amp;""),OR(Recherche!$C$11="",E2790=Recherche!$C$11),OR(Recherche!$C$12="",ISNUMBER(SEARCH(Recherche!$C$12,M2790&amp;" "&amp;F2790)))),1,0)</f>
        <v>8</v>
      </c>
    </row>
    <row r="2791" customFormat="false" ht="15" hidden="false" customHeight="false" outlineLevel="0" collapsed="false">
      <c r="A2791" s="19"/>
      <c r="B2791" s="19"/>
      <c r="C2791" s="19"/>
      <c r="D2791" s="19"/>
      <c r="E2791" s="22"/>
      <c r="F2791" s="19"/>
      <c r="G2791" s="26" t="str">
        <f aca="false">IF(D2791="","",IFERROR(VALUE(LEFT(D2791,FIND(" |",D2791&amp;" |")-1)),"?"))</f>
        <v/>
      </c>
      <c r="H2791" s="27" t="str">
        <f aca="false">IF(G2791="","",IF(G2791="?","⚠ pub inconnue",IFERROR(INDEX(Pubs!$B$2:$B$3001,MATCH(G2791,Pubs!$A$2:$A$3001,0))&amp;"","⚠ pub inconnue")))</f>
        <v/>
      </c>
      <c r="I2791" s="27" t="str">
        <f aca="false">IF(OR(G2791="",G2791="?"),"",IFERROR(INDEX(Pubs!$C$2:$C$3001,MATCH(G2791,Pubs!$A$2:$A$3001,0))&amp;"",""))</f>
        <v/>
      </c>
      <c r="J2791" s="27" t="str">
        <f aca="false">IF(OR(G2791="",G2791="?"),"",IFERROR(INDEX(Pubs!$G$2:$G$3001,MATCH(G2791,Pubs!$A$2:$A$3001,0))&amp;"",""))</f>
        <v/>
      </c>
      <c r="K2791" s="28" t="str">
        <f aca="false">IF(OR(G2791="",G2791="?"),"",IFERROR(INDEX(Pubs!$E$2:$E$3001,MATCH(G2791,Pubs!$A$2:$A$3001,0)),""))</f>
        <v/>
      </c>
      <c r="L2791" s="29" t="str">
        <f aca="false">IF(A2791="","",IFERROR(1/(1/INDEX(Numéros!$C$2:$C$3001,MATCH(A2791&amp;"|"&amp;B2791,Numéros!$F$2:$F$3001,0))),""))</f>
        <v/>
      </c>
      <c r="M2791" s="27" t="str">
        <f aca="false">IF(OR(G2791="",G2791="?"),"",IFERROR(INDEX(Pubs!$D$2:$D$3001,MATCH(G2791,Pubs!$A$2:$A$3001,0))&amp;"",""))</f>
        <v/>
      </c>
      <c r="N2791" s="27" t="n">
        <f aca="false">N(N2790)+IF(AND(A2791&lt;&gt;"",OR(Recherche!$C$4="",A2791=Recherche!$C$4),OR(Recherche!$C$5="",B2791&amp;""=Recherche!$C$5&amp;""),OR(Recherche!$C$6="",IFERROR(YEAR(L2791),0)=Recherche!$C$6),OR(Recherche!$C$7="",ISNUMBER(SEARCH(Recherche!$C$7,H2791))),OR(Recherche!$C$8="",J2791=Recherche!$C$8),OR(Recherche!$C$9="",I2791=Recherche!$C$9),OR(Recherche!$C$10="",G2791&amp;""=Recherche!$C$10&amp;""),OR(Recherche!$C$11="",E2791=Recherche!$C$11),OR(Recherche!$C$12="",ISNUMBER(SEARCH(Recherche!$C$12,M2791&amp;" "&amp;F2791)))),1,0)</f>
        <v>8</v>
      </c>
    </row>
    <row r="2792" customFormat="false" ht="15" hidden="false" customHeight="false" outlineLevel="0" collapsed="false">
      <c r="A2792" s="19"/>
      <c r="B2792" s="19"/>
      <c r="C2792" s="19"/>
      <c r="D2792" s="19"/>
      <c r="E2792" s="22"/>
      <c r="F2792" s="19"/>
      <c r="G2792" s="26" t="str">
        <f aca="false">IF(D2792="","",IFERROR(VALUE(LEFT(D2792,FIND(" |",D2792&amp;" |")-1)),"?"))</f>
        <v/>
      </c>
      <c r="H2792" s="27" t="str">
        <f aca="false">IF(G2792="","",IF(G2792="?","⚠ pub inconnue",IFERROR(INDEX(Pubs!$B$2:$B$3001,MATCH(G2792,Pubs!$A$2:$A$3001,0))&amp;"","⚠ pub inconnue")))</f>
        <v/>
      </c>
      <c r="I2792" s="27" t="str">
        <f aca="false">IF(OR(G2792="",G2792="?"),"",IFERROR(INDEX(Pubs!$C$2:$C$3001,MATCH(G2792,Pubs!$A$2:$A$3001,0))&amp;"",""))</f>
        <v/>
      </c>
      <c r="J2792" s="27" t="str">
        <f aca="false">IF(OR(G2792="",G2792="?"),"",IFERROR(INDEX(Pubs!$G$2:$G$3001,MATCH(G2792,Pubs!$A$2:$A$3001,0))&amp;"",""))</f>
        <v/>
      </c>
      <c r="K2792" s="28" t="str">
        <f aca="false">IF(OR(G2792="",G2792="?"),"",IFERROR(INDEX(Pubs!$E$2:$E$3001,MATCH(G2792,Pubs!$A$2:$A$3001,0)),""))</f>
        <v/>
      </c>
      <c r="L2792" s="29" t="str">
        <f aca="false">IF(A2792="","",IFERROR(1/(1/INDEX(Numéros!$C$2:$C$3001,MATCH(A2792&amp;"|"&amp;B2792,Numéros!$F$2:$F$3001,0))),""))</f>
        <v/>
      </c>
      <c r="M2792" s="27" t="str">
        <f aca="false">IF(OR(G2792="",G2792="?"),"",IFERROR(INDEX(Pubs!$D$2:$D$3001,MATCH(G2792,Pubs!$A$2:$A$3001,0))&amp;"",""))</f>
        <v/>
      </c>
      <c r="N2792" s="27" t="n">
        <f aca="false">N(N2791)+IF(AND(A2792&lt;&gt;"",OR(Recherche!$C$4="",A2792=Recherche!$C$4),OR(Recherche!$C$5="",B2792&amp;""=Recherche!$C$5&amp;""),OR(Recherche!$C$6="",IFERROR(YEAR(L2792),0)=Recherche!$C$6),OR(Recherche!$C$7="",ISNUMBER(SEARCH(Recherche!$C$7,H2792))),OR(Recherche!$C$8="",J2792=Recherche!$C$8),OR(Recherche!$C$9="",I2792=Recherche!$C$9),OR(Recherche!$C$10="",G2792&amp;""=Recherche!$C$10&amp;""),OR(Recherche!$C$11="",E2792=Recherche!$C$11),OR(Recherche!$C$12="",ISNUMBER(SEARCH(Recherche!$C$12,M2792&amp;" "&amp;F2792)))),1,0)</f>
        <v>8</v>
      </c>
    </row>
    <row r="2793" customFormat="false" ht="15" hidden="false" customHeight="false" outlineLevel="0" collapsed="false">
      <c r="A2793" s="19"/>
      <c r="B2793" s="19"/>
      <c r="C2793" s="19"/>
      <c r="D2793" s="19"/>
      <c r="E2793" s="22"/>
      <c r="F2793" s="19"/>
      <c r="G2793" s="26" t="str">
        <f aca="false">IF(D2793="","",IFERROR(VALUE(LEFT(D2793,FIND(" |",D2793&amp;" |")-1)),"?"))</f>
        <v/>
      </c>
      <c r="H2793" s="27" t="str">
        <f aca="false">IF(G2793="","",IF(G2793="?","⚠ pub inconnue",IFERROR(INDEX(Pubs!$B$2:$B$3001,MATCH(G2793,Pubs!$A$2:$A$3001,0))&amp;"","⚠ pub inconnue")))</f>
        <v/>
      </c>
      <c r="I2793" s="27" t="str">
        <f aca="false">IF(OR(G2793="",G2793="?"),"",IFERROR(INDEX(Pubs!$C$2:$C$3001,MATCH(G2793,Pubs!$A$2:$A$3001,0))&amp;"",""))</f>
        <v/>
      </c>
      <c r="J2793" s="27" t="str">
        <f aca="false">IF(OR(G2793="",G2793="?"),"",IFERROR(INDEX(Pubs!$G$2:$G$3001,MATCH(G2793,Pubs!$A$2:$A$3001,0))&amp;"",""))</f>
        <v/>
      </c>
      <c r="K2793" s="28" t="str">
        <f aca="false">IF(OR(G2793="",G2793="?"),"",IFERROR(INDEX(Pubs!$E$2:$E$3001,MATCH(G2793,Pubs!$A$2:$A$3001,0)),""))</f>
        <v/>
      </c>
      <c r="L2793" s="29" t="str">
        <f aca="false">IF(A2793="","",IFERROR(1/(1/INDEX(Numéros!$C$2:$C$3001,MATCH(A2793&amp;"|"&amp;B2793,Numéros!$F$2:$F$3001,0))),""))</f>
        <v/>
      </c>
      <c r="M2793" s="27" t="str">
        <f aca="false">IF(OR(G2793="",G2793="?"),"",IFERROR(INDEX(Pubs!$D$2:$D$3001,MATCH(G2793,Pubs!$A$2:$A$3001,0))&amp;"",""))</f>
        <v/>
      </c>
      <c r="N2793" s="27" t="n">
        <f aca="false">N(N2792)+IF(AND(A2793&lt;&gt;"",OR(Recherche!$C$4="",A2793=Recherche!$C$4),OR(Recherche!$C$5="",B2793&amp;""=Recherche!$C$5&amp;""),OR(Recherche!$C$6="",IFERROR(YEAR(L2793),0)=Recherche!$C$6),OR(Recherche!$C$7="",ISNUMBER(SEARCH(Recherche!$C$7,H2793))),OR(Recherche!$C$8="",J2793=Recherche!$C$8),OR(Recherche!$C$9="",I2793=Recherche!$C$9),OR(Recherche!$C$10="",G2793&amp;""=Recherche!$C$10&amp;""),OR(Recherche!$C$11="",E2793=Recherche!$C$11),OR(Recherche!$C$12="",ISNUMBER(SEARCH(Recherche!$C$12,M2793&amp;" "&amp;F2793)))),1,0)</f>
        <v>8</v>
      </c>
    </row>
    <row r="2794" customFormat="false" ht="15" hidden="false" customHeight="false" outlineLevel="0" collapsed="false">
      <c r="A2794" s="19"/>
      <c r="B2794" s="19"/>
      <c r="C2794" s="19"/>
      <c r="D2794" s="19"/>
      <c r="E2794" s="22"/>
      <c r="F2794" s="19"/>
      <c r="G2794" s="26" t="str">
        <f aca="false">IF(D2794="","",IFERROR(VALUE(LEFT(D2794,FIND(" |",D2794&amp;" |")-1)),"?"))</f>
        <v/>
      </c>
      <c r="H2794" s="27" t="str">
        <f aca="false">IF(G2794="","",IF(G2794="?","⚠ pub inconnue",IFERROR(INDEX(Pubs!$B$2:$B$3001,MATCH(G2794,Pubs!$A$2:$A$3001,0))&amp;"","⚠ pub inconnue")))</f>
        <v/>
      </c>
      <c r="I2794" s="27" t="str">
        <f aca="false">IF(OR(G2794="",G2794="?"),"",IFERROR(INDEX(Pubs!$C$2:$C$3001,MATCH(G2794,Pubs!$A$2:$A$3001,0))&amp;"",""))</f>
        <v/>
      </c>
      <c r="J2794" s="27" t="str">
        <f aca="false">IF(OR(G2794="",G2794="?"),"",IFERROR(INDEX(Pubs!$G$2:$G$3001,MATCH(G2794,Pubs!$A$2:$A$3001,0))&amp;"",""))</f>
        <v/>
      </c>
      <c r="K2794" s="28" t="str">
        <f aca="false">IF(OR(G2794="",G2794="?"),"",IFERROR(INDEX(Pubs!$E$2:$E$3001,MATCH(G2794,Pubs!$A$2:$A$3001,0)),""))</f>
        <v/>
      </c>
      <c r="L2794" s="29" t="str">
        <f aca="false">IF(A2794="","",IFERROR(1/(1/INDEX(Numéros!$C$2:$C$3001,MATCH(A2794&amp;"|"&amp;B2794,Numéros!$F$2:$F$3001,0))),""))</f>
        <v/>
      </c>
      <c r="M2794" s="27" t="str">
        <f aca="false">IF(OR(G2794="",G2794="?"),"",IFERROR(INDEX(Pubs!$D$2:$D$3001,MATCH(G2794,Pubs!$A$2:$A$3001,0))&amp;"",""))</f>
        <v/>
      </c>
      <c r="N2794" s="27" t="n">
        <f aca="false">N(N2793)+IF(AND(A2794&lt;&gt;"",OR(Recherche!$C$4="",A2794=Recherche!$C$4),OR(Recherche!$C$5="",B2794&amp;""=Recherche!$C$5&amp;""),OR(Recherche!$C$6="",IFERROR(YEAR(L2794),0)=Recherche!$C$6),OR(Recherche!$C$7="",ISNUMBER(SEARCH(Recherche!$C$7,H2794))),OR(Recherche!$C$8="",J2794=Recherche!$C$8),OR(Recherche!$C$9="",I2794=Recherche!$C$9),OR(Recherche!$C$10="",G2794&amp;""=Recherche!$C$10&amp;""),OR(Recherche!$C$11="",E2794=Recherche!$C$11),OR(Recherche!$C$12="",ISNUMBER(SEARCH(Recherche!$C$12,M2794&amp;" "&amp;F2794)))),1,0)</f>
        <v>8</v>
      </c>
    </row>
    <row r="2795" customFormat="false" ht="15" hidden="false" customHeight="false" outlineLevel="0" collapsed="false">
      <c r="A2795" s="19"/>
      <c r="B2795" s="19"/>
      <c r="C2795" s="19"/>
      <c r="D2795" s="19"/>
      <c r="E2795" s="22"/>
      <c r="F2795" s="19"/>
      <c r="G2795" s="26" t="str">
        <f aca="false">IF(D2795="","",IFERROR(VALUE(LEFT(D2795,FIND(" |",D2795&amp;" |")-1)),"?"))</f>
        <v/>
      </c>
      <c r="H2795" s="27" t="str">
        <f aca="false">IF(G2795="","",IF(G2795="?","⚠ pub inconnue",IFERROR(INDEX(Pubs!$B$2:$B$3001,MATCH(G2795,Pubs!$A$2:$A$3001,0))&amp;"","⚠ pub inconnue")))</f>
        <v/>
      </c>
      <c r="I2795" s="27" t="str">
        <f aca="false">IF(OR(G2795="",G2795="?"),"",IFERROR(INDEX(Pubs!$C$2:$C$3001,MATCH(G2795,Pubs!$A$2:$A$3001,0))&amp;"",""))</f>
        <v/>
      </c>
      <c r="J2795" s="27" t="str">
        <f aca="false">IF(OR(G2795="",G2795="?"),"",IFERROR(INDEX(Pubs!$G$2:$G$3001,MATCH(G2795,Pubs!$A$2:$A$3001,0))&amp;"",""))</f>
        <v/>
      </c>
      <c r="K2795" s="28" t="str">
        <f aca="false">IF(OR(G2795="",G2795="?"),"",IFERROR(INDEX(Pubs!$E$2:$E$3001,MATCH(G2795,Pubs!$A$2:$A$3001,0)),""))</f>
        <v/>
      </c>
      <c r="L2795" s="29" t="str">
        <f aca="false">IF(A2795="","",IFERROR(1/(1/INDEX(Numéros!$C$2:$C$3001,MATCH(A2795&amp;"|"&amp;B2795,Numéros!$F$2:$F$3001,0))),""))</f>
        <v/>
      </c>
      <c r="M2795" s="27" t="str">
        <f aca="false">IF(OR(G2795="",G2795="?"),"",IFERROR(INDEX(Pubs!$D$2:$D$3001,MATCH(G2795,Pubs!$A$2:$A$3001,0))&amp;"",""))</f>
        <v/>
      </c>
      <c r="N2795" s="27" t="n">
        <f aca="false">N(N2794)+IF(AND(A2795&lt;&gt;"",OR(Recherche!$C$4="",A2795=Recherche!$C$4),OR(Recherche!$C$5="",B2795&amp;""=Recherche!$C$5&amp;""),OR(Recherche!$C$6="",IFERROR(YEAR(L2795),0)=Recherche!$C$6),OR(Recherche!$C$7="",ISNUMBER(SEARCH(Recherche!$C$7,H2795))),OR(Recherche!$C$8="",J2795=Recherche!$C$8),OR(Recherche!$C$9="",I2795=Recherche!$C$9),OR(Recherche!$C$10="",G2795&amp;""=Recherche!$C$10&amp;""),OR(Recherche!$C$11="",E2795=Recherche!$C$11),OR(Recherche!$C$12="",ISNUMBER(SEARCH(Recherche!$C$12,M2795&amp;" "&amp;F2795)))),1,0)</f>
        <v>8</v>
      </c>
    </row>
    <row r="2796" customFormat="false" ht="15" hidden="false" customHeight="false" outlineLevel="0" collapsed="false">
      <c r="A2796" s="19"/>
      <c r="B2796" s="19"/>
      <c r="C2796" s="19"/>
      <c r="D2796" s="19"/>
      <c r="E2796" s="22"/>
      <c r="F2796" s="19"/>
      <c r="G2796" s="26" t="str">
        <f aca="false">IF(D2796="","",IFERROR(VALUE(LEFT(D2796,FIND(" |",D2796&amp;" |")-1)),"?"))</f>
        <v/>
      </c>
      <c r="H2796" s="27" t="str">
        <f aca="false">IF(G2796="","",IF(G2796="?","⚠ pub inconnue",IFERROR(INDEX(Pubs!$B$2:$B$3001,MATCH(G2796,Pubs!$A$2:$A$3001,0))&amp;"","⚠ pub inconnue")))</f>
        <v/>
      </c>
      <c r="I2796" s="27" t="str">
        <f aca="false">IF(OR(G2796="",G2796="?"),"",IFERROR(INDEX(Pubs!$C$2:$C$3001,MATCH(G2796,Pubs!$A$2:$A$3001,0))&amp;"",""))</f>
        <v/>
      </c>
      <c r="J2796" s="27" t="str">
        <f aca="false">IF(OR(G2796="",G2796="?"),"",IFERROR(INDEX(Pubs!$G$2:$G$3001,MATCH(G2796,Pubs!$A$2:$A$3001,0))&amp;"",""))</f>
        <v/>
      </c>
      <c r="K2796" s="28" t="str">
        <f aca="false">IF(OR(G2796="",G2796="?"),"",IFERROR(INDEX(Pubs!$E$2:$E$3001,MATCH(G2796,Pubs!$A$2:$A$3001,0)),""))</f>
        <v/>
      </c>
      <c r="L2796" s="29" t="str">
        <f aca="false">IF(A2796="","",IFERROR(1/(1/INDEX(Numéros!$C$2:$C$3001,MATCH(A2796&amp;"|"&amp;B2796,Numéros!$F$2:$F$3001,0))),""))</f>
        <v/>
      </c>
      <c r="M2796" s="27" t="str">
        <f aca="false">IF(OR(G2796="",G2796="?"),"",IFERROR(INDEX(Pubs!$D$2:$D$3001,MATCH(G2796,Pubs!$A$2:$A$3001,0))&amp;"",""))</f>
        <v/>
      </c>
      <c r="N2796" s="27" t="n">
        <f aca="false">N(N2795)+IF(AND(A2796&lt;&gt;"",OR(Recherche!$C$4="",A2796=Recherche!$C$4),OR(Recherche!$C$5="",B2796&amp;""=Recherche!$C$5&amp;""),OR(Recherche!$C$6="",IFERROR(YEAR(L2796),0)=Recherche!$C$6),OR(Recherche!$C$7="",ISNUMBER(SEARCH(Recherche!$C$7,H2796))),OR(Recherche!$C$8="",J2796=Recherche!$C$8),OR(Recherche!$C$9="",I2796=Recherche!$C$9),OR(Recherche!$C$10="",G2796&amp;""=Recherche!$C$10&amp;""),OR(Recherche!$C$11="",E2796=Recherche!$C$11),OR(Recherche!$C$12="",ISNUMBER(SEARCH(Recherche!$C$12,M2796&amp;" "&amp;F2796)))),1,0)</f>
        <v>8</v>
      </c>
    </row>
    <row r="2797" customFormat="false" ht="15" hidden="false" customHeight="false" outlineLevel="0" collapsed="false">
      <c r="A2797" s="19"/>
      <c r="B2797" s="19"/>
      <c r="C2797" s="19"/>
      <c r="D2797" s="19"/>
      <c r="E2797" s="22"/>
      <c r="F2797" s="19"/>
      <c r="G2797" s="26" t="str">
        <f aca="false">IF(D2797="","",IFERROR(VALUE(LEFT(D2797,FIND(" |",D2797&amp;" |")-1)),"?"))</f>
        <v/>
      </c>
      <c r="H2797" s="27" t="str">
        <f aca="false">IF(G2797="","",IF(G2797="?","⚠ pub inconnue",IFERROR(INDEX(Pubs!$B$2:$B$3001,MATCH(G2797,Pubs!$A$2:$A$3001,0))&amp;"","⚠ pub inconnue")))</f>
        <v/>
      </c>
      <c r="I2797" s="27" t="str">
        <f aca="false">IF(OR(G2797="",G2797="?"),"",IFERROR(INDEX(Pubs!$C$2:$C$3001,MATCH(G2797,Pubs!$A$2:$A$3001,0))&amp;"",""))</f>
        <v/>
      </c>
      <c r="J2797" s="27" t="str">
        <f aca="false">IF(OR(G2797="",G2797="?"),"",IFERROR(INDEX(Pubs!$G$2:$G$3001,MATCH(G2797,Pubs!$A$2:$A$3001,0))&amp;"",""))</f>
        <v/>
      </c>
      <c r="K2797" s="28" t="str">
        <f aca="false">IF(OR(G2797="",G2797="?"),"",IFERROR(INDEX(Pubs!$E$2:$E$3001,MATCH(G2797,Pubs!$A$2:$A$3001,0)),""))</f>
        <v/>
      </c>
      <c r="L2797" s="29" t="str">
        <f aca="false">IF(A2797="","",IFERROR(1/(1/INDEX(Numéros!$C$2:$C$3001,MATCH(A2797&amp;"|"&amp;B2797,Numéros!$F$2:$F$3001,0))),""))</f>
        <v/>
      </c>
      <c r="M2797" s="27" t="str">
        <f aca="false">IF(OR(G2797="",G2797="?"),"",IFERROR(INDEX(Pubs!$D$2:$D$3001,MATCH(G2797,Pubs!$A$2:$A$3001,0))&amp;"",""))</f>
        <v/>
      </c>
      <c r="N2797" s="27" t="n">
        <f aca="false">N(N2796)+IF(AND(A2797&lt;&gt;"",OR(Recherche!$C$4="",A2797=Recherche!$C$4),OR(Recherche!$C$5="",B2797&amp;""=Recherche!$C$5&amp;""),OR(Recherche!$C$6="",IFERROR(YEAR(L2797),0)=Recherche!$C$6),OR(Recherche!$C$7="",ISNUMBER(SEARCH(Recherche!$C$7,H2797))),OR(Recherche!$C$8="",J2797=Recherche!$C$8),OR(Recherche!$C$9="",I2797=Recherche!$C$9),OR(Recherche!$C$10="",G2797&amp;""=Recherche!$C$10&amp;""),OR(Recherche!$C$11="",E2797=Recherche!$C$11),OR(Recherche!$C$12="",ISNUMBER(SEARCH(Recherche!$C$12,M2797&amp;" "&amp;F2797)))),1,0)</f>
        <v>8</v>
      </c>
    </row>
    <row r="2798" customFormat="false" ht="15" hidden="false" customHeight="false" outlineLevel="0" collapsed="false">
      <c r="A2798" s="19"/>
      <c r="B2798" s="19"/>
      <c r="C2798" s="19"/>
      <c r="D2798" s="19"/>
      <c r="E2798" s="22"/>
      <c r="F2798" s="19"/>
      <c r="G2798" s="26" t="str">
        <f aca="false">IF(D2798="","",IFERROR(VALUE(LEFT(D2798,FIND(" |",D2798&amp;" |")-1)),"?"))</f>
        <v/>
      </c>
      <c r="H2798" s="27" t="str">
        <f aca="false">IF(G2798="","",IF(G2798="?","⚠ pub inconnue",IFERROR(INDEX(Pubs!$B$2:$B$3001,MATCH(G2798,Pubs!$A$2:$A$3001,0))&amp;"","⚠ pub inconnue")))</f>
        <v/>
      </c>
      <c r="I2798" s="27" t="str">
        <f aca="false">IF(OR(G2798="",G2798="?"),"",IFERROR(INDEX(Pubs!$C$2:$C$3001,MATCH(G2798,Pubs!$A$2:$A$3001,0))&amp;"",""))</f>
        <v/>
      </c>
      <c r="J2798" s="27" t="str">
        <f aca="false">IF(OR(G2798="",G2798="?"),"",IFERROR(INDEX(Pubs!$G$2:$G$3001,MATCH(G2798,Pubs!$A$2:$A$3001,0))&amp;"",""))</f>
        <v/>
      </c>
      <c r="K2798" s="28" t="str">
        <f aca="false">IF(OR(G2798="",G2798="?"),"",IFERROR(INDEX(Pubs!$E$2:$E$3001,MATCH(G2798,Pubs!$A$2:$A$3001,0)),""))</f>
        <v/>
      </c>
      <c r="L2798" s="29" t="str">
        <f aca="false">IF(A2798="","",IFERROR(1/(1/INDEX(Numéros!$C$2:$C$3001,MATCH(A2798&amp;"|"&amp;B2798,Numéros!$F$2:$F$3001,0))),""))</f>
        <v/>
      </c>
      <c r="M2798" s="27" t="str">
        <f aca="false">IF(OR(G2798="",G2798="?"),"",IFERROR(INDEX(Pubs!$D$2:$D$3001,MATCH(G2798,Pubs!$A$2:$A$3001,0))&amp;"",""))</f>
        <v/>
      </c>
      <c r="N2798" s="27" t="n">
        <f aca="false">N(N2797)+IF(AND(A2798&lt;&gt;"",OR(Recherche!$C$4="",A2798=Recherche!$C$4),OR(Recherche!$C$5="",B2798&amp;""=Recherche!$C$5&amp;""),OR(Recherche!$C$6="",IFERROR(YEAR(L2798),0)=Recherche!$C$6),OR(Recherche!$C$7="",ISNUMBER(SEARCH(Recherche!$C$7,H2798))),OR(Recherche!$C$8="",J2798=Recherche!$C$8),OR(Recherche!$C$9="",I2798=Recherche!$C$9),OR(Recherche!$C$10="",G2798&amp;""=Recherche!$C$10&amp;""),OR(Recherche!$C$11="",E2798=Recherche!$C$11),OR(Recherche!$C$12="",ISNUMBER(SEARCH(Recherche!$C$12,M2798&amp;" "&amp;F2798)))),1,0)</f>
        <v>8</v>
      </c>
    </row>
    <row r="2799" customFormat="false" ht="15" hidden="false" customHeight="false" outlineLevel="0" collapsed="false">
      <c r="A2799" s="19"/>
      <c r="B2799" s="19"/>
      <c r="C2799" s="19"/>
      <c r="D2799" s="19"/>
      <c r="E2799" s="22"/>
      <c r="F2799" s="19"/>
      <c r="G2799" s="26" t="str">
        <f aca="false">IF(D2799="","",IFERROR(VALUE(LEFT(D2799,FIND(" |",D2799&amp;" |")-1)),"?"))</f>
        <v/>
      </c>
      <c r="H2799" s="27" t="str">
        <f aca="false">IF(G2799="","",IF(G2799="?","⚠ pub inconnue",IFERROR(INDEX(Pubs!$B$2:$B$3001,MATCH(G2799,Pubs!$A$2:$A$3001,0))&amp;"","⚠ pub inconnue")))</f>
        <v/>
      </c>
      <c r="I2799" s="27" t="str">
        <f aca="false">IF(OR(G2799="",G2799="?"),"",IFERROR(INDEX(Pubs!$C$2:$C$3001,MATCH(G2799,Pubs!$A$2:$A$3001,0))&amp;"",""))</f>
        <v/>
      </c>
      <c r="J2799" s="27" t="str">
        <f aca="false">IF(OR(G2799="",G2799="?"),"",IFERROR(INDEX(Pubs!$G$2:$G$3001,MATCH(G2799,Pubs!$A$2:$A$3001,0))&amp;"",""))</f>
        <v/>
      </c>
      <c r="K2799" s="28" t="str">
        <f aca="false">IF(OR(G2799="",G2799="?"),"",IFERROR(INDEX(Pubs!$E$2:$E$3001,MATCH(G2799,Pubs!$A$2:$A$3001,0)),""))</f>
        <v/>
      </c>
      <c r="L2799" s="29" t="str">
        <f aca="false">IF(A2799="","",IFERROR(1/(1/INDEX(Numéros!$C$2:$C$3001,MATCH(A2799&amp;"|"&amp;B2799,Numéros!$F$2:$F$3001,0))),""))</f>
        <v/>
      </c>
      <c r="M2799" s="27" t="str">
        <f aca="false">IF(OR(G2799="",G2799="?"),"",IFERROR(INDEX(Pubs!$D$2:$D$3001,MATCH(G2799,Pubs!$A$2:$A$3001,0))&amp;"",""))</f>
        <v/>
      </c>
      <c r="N2799" s="27" t="n">
        <f aca="false">N(N2798)+IF(AND(A2799&lt;&gt;"",OR(Recherche!$C$4="",A2799=Recherche!$C$4),OR(Recherche!$C$5="",B2799&amp;""=Recherche!$C$5&amp;""),OR(Recherche!$C$6="",IFERROR(YEAR(L2799),0)=Recherche!$C$6),OR(Recherche!$C$7="",ISNUMBER(SEARCH(Recherche!$C$7,H2799))),OR(Recherche!$C$8="",J2799=Recherche!$C$8),OR(Recherche!$C$9="",I2799=Recherche!$C$9),OR(Recherche!$C$10="",G2799&amp;""=Recherche!$C$10&amp;""),OR(Recherche!$C$11="",E2799=Recherche!$C$11),OR(Recherche!$C$12="",ISNUMBER(SEARCH(Recherche!$C$12,M2799&amp;" "&amp;F2799)))),1,0)</f>
        <v>8</v>
      </c>
    </row>
    <row r="2800" customFormat="false" ht="15" hidden="false" customHeight="false" outlineLevel="0" collapsed="false">
      <c r="A2800" s="19"/>
      <c r="B2800" s="19"/>
      <c r="C2800" s="19"/>
      <c r="D2800" s="19"/>
      <c r="E2800" s="22"/>
      <c r="F2800" s="19"/>
      <c r="G2800" s="26" t="str">
        <f aca="false">IF(D2800="","",IFERROR(VALUE(LEFT(D2800,FIND(" |",D2800&amp;" |")-1)),"?"))</f>
        <v/>
      </c>
      <c r="H2800" s="27" t="str">
        <f aca="false">IF(G2800="","",IF(G2800="?","⚠ pub inconnue",IFERROR(INDEX(Pubs!$B$2:$B$3001,MATCH(G2800,Pubs!$A$2:$A$3001,0))&amp;"","⚠ pub inconnue")))</f>
        <v/>
      </c>
      <c r="I2800" s="27" t="str">
        <f aca="false">IF(OR(G2800="",G2800="?"),"",IFERROR(INDEX(Pubs!$C$2:$C$3001,MATCH(G2800,Pubs!$A$2:$A$3001,0))&amp;"",""))</f>
        <v/>
      </c>
      <c r="J2800" s="27" t="str">
        <f aca="false">IF(OR(G2800="",G2800="?"),"",IFERROR(INDEX(Pubs!$G$2:$G$3001,MATCH(G2800,Pubs!$A$2:$A$3001,0))&amp;"",""))</f>
        <v/>
      </c>
      <c r="K2800" s="28" t="str">
        <f aca="false">IF(OR(G2800="",G2800="?"),"",IFERROR(INDEX(Pubs!$E$2:$E$3001,MATCH(G2800,Pubs!$A$2:$A$3001,0)),""))</f>
        <v/>
      </c>
      <c r="L2800" s="29" t="str">
        <f aca="false">IF(A2800="","",IFERROR(1/(1/INDEX(Numéros!$C$2:$C$3001,MATCH(A2800&amp;"|"&amp;B2800,Numéros!$F$2:$F$3001,0))),""))</f>
        <v/>
      </c>
      <c r="M2800" s="27" t="str">
        <f aca="false">IF(OR(G2800="",G2800="?"),"",IFERROR(INDEX(Pubs!$D$2:$D$3001,MATCH(G2800,Pubs!$A$2:$A$3001,0))&amp;"",""))</f>
        <v/>
      </c>
      <c r="N2800" s="27" t="n">
        <f aca="false">N(N2799)+IF(AND(A2800&lt;&gt;"",OR(Recherche!$C$4="",A2800=Recherche!$C$4),OR(Recherche!$C$5="",B2800&amp;""=Recherche!$C$5&amp;""),OR(Recherche!$C$6="",IFERROR(YEAR(L2800),0)=Recherche!$C$6),OR(Recherche!$C$7="",ISNUMBER(SEARCH(Recherche!$C$7,H2800))),OR(Recherche!$C$8="",J2800=Recherche!$C$8),OR(Recherche!$C$9="",I2800=Recherche!$C$9),OR(Recherche!$C$10="",G2800&amp;""=Recherche!$C$10&amp;""),OR(Recherche!$C$11="",E2800=Recherche!$C$11),OR(Recherche!$C$12="",ISNUMBER(SEARCH(Recherche!$C$12,M2800&amp;" "&amp;F2800)))),1,0)</f>
        <v>8</v>
      </c>
    </row>
    <row r="2801" customFormat="false" ht="15" hidden="false" customHeight="false" outlineLevel="0" collapsed="false">
      <c r="A2801" s="19"/>
      <c r="B2801" s="19"/>
      <c r="C2801" s="19"/>
      <c r="D2801" s="19"/>
      <c r="E2801" s="22"/>
      <c r="F2801" s="19"/>
      <c r="G2801" s="26" t="str">
        <f aca="false">IF(D2801="","",IFERROR(VALUE(LEFT(D2801,FIND(" |",D2801&amp;" |")-1)),"?"))</f>
        <v/>
      </c>
      <c r="H2801" s="27" t="str">
        <f aca="false">IF(G2801="","",IF(G2801="?","⚠ pub inconnue",IFERROR(INDEX(Pubs!$B$2:$B$3001,MATCH(G2801,Pubs!$A$2:$A$3001,0))&amp;"","⚠ pub inconnue")))</f>
        <v/>
      </c>
      <c r="I2801" s="27" t="str">
        <f aca="false">IF(OR(G2801="",G2801="?"),"",IFERROR(INDEX(Pubs!$C$2:$C$3001,MATCH(G2801,Pubs!$A$2:$A$3001,0))&amp;"",""))</f>
        <v/>
      </c>
      <c r="J2801" s="27" t="str">
        <f aca="false">IF(OR(G2801="",G2801="?"),"",IFERROR(INDEX(Pubs!$G$2:$G$3001,MATCH(G2801,Pubs!$A$2:$A$3001,0))&amp;"",""))</f>
        <v/>
      </c>
      <c r="K2801" s="28" t="str">
        <f aca="false">IF(OR(G2801="",G2801="?"),"",IFERROR(INDEX(Pubs!$E$2:$E$3001,MATCH(G2801,Pubs!$A$2:$A$3001,0)),""))</f>
        <v/>
      </c>
      <c r="L2801" s="29" t="str">
        <f aca="false">IF(A2801="","",IFERROR(1/(1/INDEX(Numéros!$C$2:$C$3001,MATCH(A2801&amp;"|"&amp;B2801,Numéros!$F$2:$F$3001,0))),""))</f>
        <v/>
      </c>
      <c r="M2801" s="27" t="str">
        <f aca="false">IF(OR(G2801="",G2801="?"),"",IFERROR(INDEX(Pubs!$D$2:$D$3001,MATCH(G2801,Pubs!$A$2:$A$3001,0))&amp;"",""))</f>
        <v/>
      </c>
      <c r="N2801" s="27" t="n">
        <f aca="false">N(N2800)+IF(AND(A2801&lt;&gt;"",OR(Recherche!$C$4="",A2801=Recherche!$C$4),OR(Recherche!$C$5="",B2801&amp;""=Recherche!$C$5&amp;""),OR(Recherche!$C$6="",IFERROR(YEAR(L2801),0)=Recherche!$C$6),OR(Recherche!$C$7="",ISNUMBER(SEARCH(Recherche!$C$7,H2801))),OR(Recherche!$C$8="",J2801=Recherche!$C$8),OR(Recherche!$C$9="",I2801=Recherche!$C$9),OR(Recherche!$C$10="",G2801&amp;""=Recherche!$C$10&amp;""),OR(Recherche!$C$11="",E2801=Recherche!$C$11),OR(Recherche!$C$12="",ISNUMBER(SEARCH(Recherche!$C$12,M2801&amp;" "&amp;F2801)))),1,0)</f>
        <v>8</v>
      </c>
    </row>
    <row r="2802" customFormat="false" ht="15" hidden="false" customHeight="false" outlineLevel="0" collapsed="false">
      <c r="A2802" s="19"/>
      <c r="B2802" s="19"/>
      <c r="C2802" s="19"/>
      <c r="D2802" s="19"/>
      <c r="E2802" s="22"/>
      <c r="F2802" s="19"/>
      <c r="G2802" s="26" t="str">
        <f aca="false">IF(D2802="","",IFERROR(VALUE(LEFT(D2802,FIND(" |",D2802&amp;" |")-1)),"?"))</f>
        <v/>
      </c>
      <c r="H2802" s="27" t="str">
        <f aca="false">IF(G2802="","",IF(G2802="?","⚠ pub inconnue",IFERROR(INDEX(Pubs!$B$2:$B$3001,MATCH(G2802,Pubs!$A$2:$A$3001,0))&amp;"","⚠ pub inconnue")))</f>
        <v/>
      </c>
      <c r="I2802" s="27" t="str">
        <f aca="false">IF(OR(G2802="",G2802="?"),"",IFERROR(INDEX(Pubs!$C$2:$C$3001,MATCH(G2802,Pubs!$A$2:$A$3001,0))&amp;"",""))</f>
        <v/>
      </c>
      <c r="J2802" s="27" t="str">
        <f aca="false">IF(OR(G2802="",G2802="?"),"",IFERROR(INDEX(Pubs!$G$2:$G$3001,MATCH(G2802,Pubs!$A$2:$A$3001,0))&amp;"",""))</f>
        <v/>
      </c>
      <c r="K2802" s="28" t="str">
        <f aca="false">IF(OR(G2802="",G2802="?"),"",IFERROR(INDEX(Pubs!$E$2:$E$3001,MATCH(G2802,Pubs!$A$2:$A$3001,0)),""))</f>
        <v/>
      </c>
      <c r="L2802" s="29" t="str">
        <f aca="false">IF(A2802="","",IFERROR(1/(1/INDEX(Numéros!$C$2:$C$3001,MATCH(A2802&amp;"|"&amp;B2802,Numéros!$F$2:$F$3001,0))),""))</f>
        <v/>
      </c>
      <c r="M2802" s="27" t="str">
        <f aca="false">IF(OR(G2802="",G2802="?"),"",IFERROR(INDEX(Pubs!$D$2:$D$3001,MATCH(G2802,Pubs!$A$2:$A$3001,0))&amp;"",""))</f>
        <v/>
      </c>
      <c r="N2802" s="27" t="n">
        <f aca="false">N(N2801)+IF(AND(A2802&lt;&gt;"",OR(Recherche!$C$4="",A2802=Recherche!$C$4),OR(Recherche!$C$5="",B2802&amp;""=Recherche!$C$5&amp;""),OR(Recherche!$C$6="",IFERROR(YEAR(L2802),0)=Recherche!$C$6),OR(Recherche!$C$7="",ISNUMBER(SEARCH(Recherche!$C$7,H2802))),OR(Recherche!$C$8="",J2802=Recherche!$C$8),OR(Recherche!$C$9="",I2802=Recherche!$C$9),OR(Recherche!$C$10="",G2802&amp;""=Recherche!$C$10&amp;""),OR(Recherche!$C$11="",E2802=Recherche!$C$11),OR(Recherche!$C$12="",ISNUMBER(SEARCH(Recherche!$C$12,M2802&amp;" "&amp;F2802)))),1,0)</f>
        <v>8</v>
      </c>
    </row>
    <row r="2803" customFormat="false" ht="15" hidden="false" customHeight="false" outlineLevel="0" collapsed="false">
      <c r="A2803" s="19"/>
      <c r="B2803" s="19"/>
      <c r="C2803" s="19"/>
      <c r="D2803" s="19"/>
      <c r="E2803" s="22"/>
      <c r="F2803" s="19"/>
      <c r="G2803" s="26" t="str">
        <f aca="false">IF(D2803="","",IFERROR(VALUE(LEFT(D2803,FIND(" |",D2803&amp;" |")-1)),"?"))</f>
        <v/>
      </c>
      <c r="H2803" s="27" t="str">
        <f aca="false">IF(G2803="","",IF(G2803="?","⚠ pub inconnue",IFERROR(INDEX(Pubs!$B$2:$B$3001,MATCH(G2803,Pubs!$A$2:$A$3001,0))&amp;"","⚠ pub inconnue")))</f>
        <v/>
      </c>
      <c r="I2803" s="27" t="str">
        <f aca="false">IF(OR(G2803="",G2803="?"),"",IFERROR(INDEX(Pubs!$C$2:$C$3001,MATCH(G2803,Pubs!$A$2:$A$3001,0))&amp;"",""))</f>
        <v/>
      </c>
      <c r="J2803" s="27" t="str">
        <f aca="false">IF(OR(G2803="",G2803="?"),"",IFERROR(INDEX(Pubs!$G$2:$G$3001,MATCH(G2803,Pubs!$A$2:$A$3001,0))&amp;"",""))</f>
        <v/>
      </c>
      <c r="K2803" s="28" t="str">
        <f aca="false">IF(OR(G2803="",G2803="?"),"",IFERROR(INDEX(Pubs!$E$2:$E$3001,MATCH(G2803,Pubs!$A$2:$A$3001,0)),""))</f>
        <v/>
      </c>
      <c r="L2803" s="29" t="str">
        <f aca="false">IF(A2803="","",IFERROR(1/(1/INDEX(Numéros!$C$2:$C$3001,MATCH(A2803&amp;"|"&amp;B2803,Numéros!$F$2:$F$3001,0))),""))</f>
        <v/>
      </c>
      <c r="M2803" s="27" t="str">
        <f aca="false">IF(OR(G2803="",G2803="?"),"",IFERROR(INDEX(Pubs!$D$2:$D$3001,MATCH(G2803,Pubs!$A$2:$A$3001,0))&amp;"",""))</f>
        <v/>
      </c>
      <c r="N2803" s="27" t="n">
        <f aca="false">N(N2802)+IF(AND(A2803&lt;&gt;"",OR(Recherche!$C$4="",A2803=Recherche!$C$4),OR(Recherche!$C$5="",B2803&amp;""=Recherche!$C$5&amp;""),OR(Recherche!$C$6="",IFERROR(YEAR(L2803),0)=Recherche!$C$6),OR(Recherche!$C$7="",ISNUMBER(SEARCH(Recherche!$C$7,H2803))),OR(Recherche!$C$8="",J2803=Recherche!$C$8),OR(Recherche!$C$9="",I2803=Recherche!$C$9),OR(Recherche!$C$10="",G2803&amp;""=Recherche!$C$10&amp;""),OR(Recherche!$C$11="",E2803=Recherche!$C$11),OR(Recherche!$C$12="",ISNUMBER(SEARCH(Recherche!$C$12,M2803&amp;" "&amp;F2803)))),1,0)</f>
        <v>8</v>
      </c>
    </row>
    <row r="2804" customFormat="false" ht="15" hidden="false" customHeight="false" outlineLevel="0" collapsed="false">
      <c r="A2804" s="19"/>
      <c r="B2804" s="19"/>
      <c r="C2804" s="19"/>
      <c r="D2804" s="19"/>
      <c r="E2804" s="22"/>
      <c r="F2804" s="19"/>
      <c r="G2804" s="26" t="str">
        <f aca="false">IF(D2804="","",IFERROR(VALUE(LEFT(D2804,FIND(" |",D2804&amp;" |")-1)),"?"))</f>
        <v/>
      </c>
      <c r="H2804" s="27" t="str">
        <f aca="false">IF(G2804="","",IF(G2804="?","⚠ pub inconnue",IFERROR(INDEX(Pubs!$B$2:$B$3001,MATCH(G2804,Pubs!$A$2:$A$3001,0))&amp;"","⚠ pub inconnue")))</f>
        <v/>
      </c>
      <c r="I2804" s="27" t="str">
        <f aca="false">IF(OR(G2804="",G2804="?"),"",IFERROR(INDEX(Pubs!$C$2:$C$3001,MATCH(G2804,Pubs!$A$2:$A$3001,0))&amp;"",""))</f>
        <v/>
      </c>
      <c r="J2804" s="27" t="str">
        <f aca="false">IF(OR(G2804="",G2804="?"),"",IFERROR(INDEX(Pubs!$G$2:$G$3001,MATCH(G2804,Pubs!$A$2:$A$3001,0))&amp;"",""))</f>
        <v/>
      </c>
      <c r="K2804" s="28" t="str">
        <f aca="false">IF(OR(G2804="",G2804="?"),"",IFERROR(INDEX(Pubs!$E$2:$E$3001,MATCH(G2804,Pubs!$A$2:$A$3001,0)),""))</f>
        <v/>
      </c>
      <c r="L2804" s="29" t="str">
        <f aca="false">IF(A2804="","",IFERROR(1/(1/INDEX(Numéros!$C$2:$C$3001,MATCH(A2804&amp;"|"&amp;B2804,Numéros!$F$2:$F$3001,0))),""))</f>
        <v/>
      </c>
      <c r="M2804" s="27" t="str">
        <f aca="false">IF(OR(G2804="",G2804="?"),"",IFERROR(INDEX(Pubs!$D$2:$D$3001,MATCH(G2804,Pubs!$A$2:$A$3001,0))&amp;"",""))</f>
        <v/>
      </c>
      <c r="N2804" s="27" t="n">
        <f aca="false">N(N2803)+IF(AND(A2804&lt;&gt;"",OR(Recherche!$C$4="",A2804=Recherche!$C$4),OR(Recherche!$C$5="",B2804&amp;""=Recherche!$C$5&amp;""),OR(Recherche!$C$6="",IFERROR(YEAR(L2804),0)=Recherche!$C$6),OR(Recherche!$C$7="",ISNUMBER(SEARCH(Recherche!$C$7,H2804))),OR(Recherche!$C$8="",J2804=Recherche!$C$8),OR(Recherche!$C$9="",I2804=Recherche!$C$9),OR(Recherche!$C$10="",G2804&amp;""=Recherche!$C$10&amp;""),OR(Recherche!$C$11="",E2804=Recherche!$C$11),OR(Recherche!$C$12="",ISNUMBER(SEARCH(Recherche!$C$12,M2804&amp;" "&amp;F2804)))),1,0)</f>
        <v>8</v>
      </c>
    </row>
    <row r="2805" customFormat="false" ht="15" hidden="false" customHeight="false" outlineLevel="0" collapsed="false">
      <c r="A2805" s="19"/>
      <c r="B2805" s="19"/>
      <c r="C2805" s="19"/>
      <c r="D2805" s="19"/>
      <c r="E2805" s="22"/>
      <c r="F2805" s="19"/>
      <c r="G2805" s="26" t="str">
        <f aca="false">IF(D2805="","",IFERROR(VALUE(LEFT(D2805,FIND(" |",D2805&amp;" |")-1)),"?"))</f>
        <v/>
      </c>
      <c r="H2805" s="27" t="str">
        <f aca="false">IF(G2805="","",IF(G2805="?","⚠ pub inconnue",IFERROR(INDEX(Pubs!$B$2:$B$3001,MATCH(G2805,Pubs!$A$2:$A$3001,0))&amp;"","⚠ pub inconnue")))</f>
        <v/>
      </c>
      <c r="I2805" s="27" t="str">
        <f aca="false">IF(OR(G2805="",G2805="?"),"",IFERROR(INDEX(Pubs!$C$2:$C$3001,MATCH(G2805,Pubs!$A$2:$A$3001,0))&amp;"",""))</f>
        <v/>
      </c>
      <c r="J2805" s="27" t="str">
        <f aca="false">IF(OR(G2805="",G2805="?"),"",IFERROR(INDEX(Pubs!$G$2:$G$3001,MATCH(G2805,Pubs!$A$2:$A$3001,0))&amp;"",""))</f>
        <v/>
      </c>
      <c r="K2805" s="28" t="str">
        <f aca="false">IF(OR(G2805="",G2805="?"),"",IFERROR(INDEX(Pubs!$E$2:$E$3001,MATCH(G2805,Pubs!$A$2:$A$3001,0)),""))</f>
        <v/>
      </c>
      <c r="L2805" s="29" t="str">
        <f aca="false">IF(A2805="","",IFERROR(1/(1/INDEX(Numéros!$C$2:$C$3001,MATCH(A2805&amp;"|"&amp;B2805,Numéros!$F$2:$F$3001,0))),""))</f>
        <v/>
      </c>
      <c r="M2805" s="27" t="str">
        <f aca="false">IF(OR(G2805="",G2805="?"),"",IFERROR(INDEX(Pubs!$D$2:$D$3001,MATCH(G2805,Pubs!$A$2:$A$3001,0))&amp;"",""))</f>
        <v/>
      </c>
      <c r="N2805" s="27" t="n">
        <f aca="false">N(N2804)+IF(AND(A2805&lt;&gt;"",OR(Recherche!$C$4="",A2805=Recherche!$C$4),OR(Recherche!$C$5="",B2805&amp;""=Recherche!$C$5&amp;""),OR(Recherche!$C$6="",IFERROR(YEAR(L2805),0)=Recherche!$C$6),OR(Recherche!$C$7="",ISNUMBER(SEARCH(Recherche!$C$7,H2805))),OR(Recherche!$C$8="",J2805=Recherche!$C$8),OR(Recherche!$C$9="",I2805=Recherche!$C$9),OR(Recherche!$C$10="",G2805&amp;""=Recherche!$C$10&amp;""),OR(Recherche!$C$11="",E2805=Recherche!$C$11),OR(Recherche!$C$12="",ISNUMBER(SEARCH(Recherche!$C$12,M2805&amp;" "&amp;F2805)))),1,0)</f>
        <v>8</v>
      </c>
    </row>
    <row r="2806" customFormat="false" ht="15" hidden="false" customHeight="false" outlineLevel="0" collapsed="false">
      <c r="A2806" s="19"/>
      <c r="B2806" s="19"/>
      <c r="C2806" s="19"/>
      <c r="D2806" s="19"/>
      <c r="E2806" s="22"/>
      <c r="F2806" s="19"/>
      <c r="G2806" s="26" t="str">
        <f aca="false">IF(D2806="","",IFERROR(VALUE(LEFT(D2806,FIND(" |",D2806&amp;" |")-1)),"?"))</f>
        <v/>
      </c>
      <c r="H2806" s="27" t="str">
        <f aca="false">IF(G2806="","",IF(G2806="?","⚠ pub inconnue",IFERROR(INDEX(Pubs!$B$2:$B$3001,MATCH(G2806,Pubs!$A$2:$A$3001,0))&amp;"","⚠ pub inconnue")))</f>
        <v/>
      </c>
      <c r="I2806" s="27" t="str">
        <f aca="false">IF(OR(G2806="",G2806="?"),"",IFERROR(INDEX(Pubs!$C$2:$C$3001,MATCH(G2806,Pubs!$A$2:$A$3001,0))&amp;"",""))</f>
        <v/>
      </c>
      <c r="J2806" s="27" t="str">
        <f aca="false">IF(OR(G2806="",G2806="?"),"",IFERROR(INDEX(Pubs!$G$2:$G$3001,MATCH(G2806,Pubs!$A$2:$A$3001,0))&amp;"",""))</f>
        <v/>
      </c>
      <c r="K2806" s="28" t="str">
        <f aca="false">IF(OR(G2806="",G2806="?"),"",IFERROR(INDEX(Pubs!$E$2:$E$3001,MATCH(G2806,Pubs!$A$2:$A$3001,0)),""))</f>
        <v/>
      </c>
      <c r="L2806" s="29" t="str">
        <f aca="false">IF(A2806="","",IFERROR(1/(1/INDEX(Numéros!$C$2:$C$3001,MATCH(A2806&amp;"|"&amp;B2806,Numéros!$F$2:$F$3001,0))),""))</f>
        <v/>
      </c>
      <c r="M2806" s="27" t="str">
        <f aca="false">IF(OR(G2806="",G2806="?"),"",IFERROR(INDEX(Pubs!$D$2:$D$3001,MATCH(G2806,Pubs!$A$2:$A$3001,0))&amp;"",""))</f>
        <v/>
      </c>
      <c r="N2806" s="27" t="n">
        <f aca="false">N(N2805)+IF(AND(A2806&lt;&gt;"",OR(Recherche!$C$4="",A2806=Recherche!$C$4),OR(Recherche!$C$5="",B2806&amp;""=Recherche!$C$5&amp;""),OR(Recherche!$C$6="",IFERROR(YEAR(L2806),0)=Recherche!$C$6),OR(Recherche!$C$7="",ISNUMBER(SEARCH(Recherche!$C$7,H2806))),OR(Recherche!$C$8="",J2806=Recherche!$C$8),OR(Recherche!$C$9="",I2806=Recherche!$C$9),OR(Recherche!$C$10="",G2806&amp;""=Recherche!$C$10&amp;""),OR(Recherche!$C$11="",E2806=Recherche!$C$11),OR(Recherche!$C$12="",ISNUMBER(SEARCH(Recherche!$C$12,M2806&amp;" "&amp;F2806)))),1,0)</f>
        <v>8</v>
      </c>
    </row>
    <row r="2807" customFormat="false" ht="15" hidden="false" customHeight="false" outlineLevel="0" collapsed="false">
      <c r="A2807" s="19"/>
      <c r="B2807" s="19"/>
      <c r="C2807" s="19"/>
      <c r="D2807" s="19"/>
      <c r="E2807" s="22"/>
      <c r="F2807" s="19"/>
      <c r="G2807" s="26" t="str">
        <f aca="false">IF(D2807="","",IFERROR(VALUE(LEFT(D2807,FIND(" |",D2807&amp;" |")-1)),"?"))</f>
        <v/>
      </c>
      <c r="H2807" s="27" t="str">
        <f aca="false">IF(G2807="","",IF(G2807="?","⚠ pub inconnue",IFERROR(INDEX(Pubs!$B$2:$B$3001,MATCH(G2807,Pubs!$A$2:$A$3001,0))&amp;"","⚠ pub inconnue")))</f>
        <v/>
      </c>
      <c r="I2807" s="27" t="str">
        <f aca="false">IF(OR(G2807="",G2807="?"),"",IFERROR(INDEX(Pubs!$C$2:$C$3001,MATCH(G2807,Pubs!$A$2:$A$3001,0))&amp;"",""))</f>
        <v/>
      </c>
      <c r="J2807" s="27" t="str">
        <f aca="false">IF(OR(G2807="",G2807="?"),"",IFERROR(INDEX(Pubs!$G$2:$G$3001,MATCH(G2807,Pubs!$A$2:$A$3001,0))&amp;"",""))</f>
        <v/>
      </c>
      <c r="K2807" s="28" t="str">
        <f aca="false">IF(OR(G2807="",G2807="?"),"",IFERROR(INDEX(Pubs!$E$2:$E$3001,MATCH(G2807,Pubs!$A$2:$A$3001,0)),""))</f>
        <v/>
      </c>
      <c r="L2807" s="29" t="str">
        <f aca="false">IF(A2807="","",IFERROR(1/(1/INDEX(Numéros!$C$2:$C$3001,MATCH(A2807&amp;"|"&amp;B2807,Numéros!$F$2:$F$3001,0))),""))</f>
        <v/>
      </c>
      <c r="M2807" s="27" t="str">
        <f aca="false">IF(OR(G2807="",G2807="?"),"",IFERROR(INDEX(Pubs!$D$2:$D$3001,MATCH(G2807,Pubs!$A$2:$A$3001,0))&amp;"",""))</f>
        <v/>
      </c>
      <c r="N2807" s="27" t="n">
        <f aca="false">N(N2806)+IF(AND(A2807&lt;&gt;"",OR(Recherche!$C$4="",A2807=Recherche!$C$4),OR(Recherche!$C$5="",B2807&amp;""=Recherche!$C$5&amp;""),OR(Recherche!$C$6="",IFERROR(YEAR(L2807),0)=Recherche!$C$6),OR(Recherche!$C$7="",ISNUMBER(SEARCH(Recherche!$C$7,H2807))),OR(Recherche!$C$8="",J2807=Recherche!$C$8),OR(Recherche!$C$9="",I2807=Recherche!$C$9),OR(Recherche!$C$10="",G2807&amp;""=Recherche!$C$10&amp;""),OR(Recherche!$C$11="",E2807=Recherche!$C$11),OR(Recherche!$C$12="",ISNUMBER(SEARCH(Recherche!$C$12,M2807&amp;" "&amp;F2807)))),1,0)</f>
        <v>8</v>
      </c>
    </row>
    <row r="2808" customFormat="false" ht="15" hidden="false" customHeight="false" outlineLevel="0" collapsed="false">
      <c r="A2808" s="19"/>
      <c r="B2808" s="19"/>
      <c r="C2808" s="19"/>
      <c r="D2808" s="19"/>
      <c r="E2808" s="22"/>
      <c r="F2808" s="19"/>
      <c r="G2808" s="26" t="str">
        <f aca="false">IF(D2808="","",IFERROR(VALUE(LEFT(D2808,FIND(" |",D2808&amp;" |")-1)),"?"))</f>
        <v/>
      </c>
      <c r="H2808" s="27" t="str">
        <f aca="false">IF(G2808="","",IF(G2808="?","⚠ pub inconnue",IFERROR(INDEX(Pubs!$B$2:$B$3001,MATCH(G2808,Pubs!$A$2:$A$3001,0))&amp;"","⚠ pub inconnue")))</f>
        <v/>
      </c>
      <c r="I2808" s="27" t="str">
        <f aca="false">IF(OR(G2808="",G2808="?"),"",IFERROR(INDEX(Pubs!$C$2:$C$3001,MATCH(G2808,Pubs!$A$2:$A$3001,0))&amp;"",""))</f>
        <v/>
      </c>
      <c r="J2808" s="27" t="str">
        <f aca="false">IF(OR(G2808="",G2808="?"),"",IFERROR(INDEX(Pubs!$G$2:$G$3001,MATCH(G2808,Pubs!$A$2:$A$3001,0))&amp;"",""))</f>
        <v/>
      </c>
      <c r="K2808" s="28" t="str">
        <f aca="false">IF(OR(G2808="",G2808="?"),"",IFERROR(INDEX(Pubs!$E$2:$E$3001,MATCH(G2808,Pubs!$A$2:$A$3001,0)),""))</f>
        <v/>
      </c>
      <c r="L2808" s="29" t="str">
        <f aca="false">IF(A2808="","",IFERROR(1/(1/INDEX(Numéros!$C$2:$C$3001,MATCH(A2808&amp;"|"&amp;B2808,Numéros!$F$2:$F$3001,0))),""))</f>
        <v/>
      </c>
      <c r="M2808" s="27" t="str">
        <f aca="false">IF(OR(G2808="",G2808="?"),"",IFERROR(INDEX(Pubs!$D$2:$D$3001,MATCH(G2808,Pubs!$A$2:$A$3001,0))&amp;"",""))</f>
        <v/>
      </c>
      <c r="N2808" s="27" t="n">
        <f aca="false">N(N2807)+IF(AND(A2808&lt;&gt;"",OR(Recherche!$C$4="",A2808=Recherche!$C$4),OR(Recherche!$C$5="",B2808&amp;""=Recherche!$C$5&amp;""),OR(Recherche!$C$6="",IFERROR(YEAR(L2808),0)=Recherche!$C$6),OR(Recherche!$C$7="",ISNUMBER(SEARCH(Recherche!$C$7,H2808))),OR(Recherche!$C$8="",J2808=Recherche!$C$8),OR(Recherche!$C$9="",I2808=Recherche!$C$9),OR(Recherche!$C$10="",G2808&amp;""=Recherche!$C$10&amp;""),OR(Recherche!$C$11="",E2808=Recherche!$C$11),OR(Recherche!$C$12="",ISNUMBER(SEARCH(Recherche!$C$12,M2808&amp;" "&amp;F2808)))),1,0)</f>
        <v>8</v>
      </c>
    </row>
    <row r="2809" customFormat="false" ht="15" hidden="false" customHeight="false" outlineLevel="0" collapsed="false">
      <c r="A2809" s="19"/>
      <c r="B2809" s="19"/>
      <c r="C2809" s="19"/>
      <c r="D2809" s="19"/>
      <c r="E2809" s="22"/>
      <c r="F2809" s="19"/>
      <c r="G2809" s="26" t="str">
        <f aca="false">IF(D2809="","",IFERROR(VALUE(LEFT(D2809,FIND(" |",D2809&amp;" |")-1)),"?"))</f>
        <v/>
      </c>
      <c r="H2809" s="27" t="str">
        <f aca="false">IF(G2809="","",IF(G2809="?","⚠ pub inconnue",IFERROR(INDEX(Pubs!$B$2:$B$3001,MATCH(G2809,Pubs!$A$2:$A$3001,0))&amp;"","⚠ pub inconnue")))</f>
        <v/>
      </c>
      <c r="I2809" s="27" t="str">
        <f aca="false">IF(OR(G2809="",G2809="?"),"",IFERROR(INDEX(Pubs!$C$2:$C$3001,MATCH(G2809,Pubs!$A$2:$A$3001,0))&amp;"",""))</f>
        <v/>
      </c>
      <c r="J2809" s="27" t="str">
        <f aca="false">IF(OR(G2809="",G2809="?"),"",IFERROR(INDEX(Pubs!$G$2:$G$3001,MATCH(G2809,Pubs!$A$2:$A$3001,0))&amp;"",""))</f>
        <v/>
      </c>
      <c r="K2809" s="28" t="str">
        <f aca="false">IF(OR(G2809="",G2809="?"),"",IFERROR(INDEX(Pubs!$E$2:$E$3001,MATCH(G2809,Pubs!$A$2:$A$3001,0)),""))</f>
        <v/>
      </c>
      <c r="L2809" s="29" t="str">
        <f aca="false">IF(A2809="","",IFERROR(1/(1/INDEX(Numéros!$C$2:$C$3001,MATCH(A2809&amp;"|"&amp;B2809,Numéros!$F$2:$F$3001,0))),""))</f>
        <v/>
      </c>
      <c r="M2809" s="27" t="str">
        <f aca="false">IF(OR(G2809="",G2809="?"),"",IFERROR(INDEX(Pubs!$D$2:$D$3001,MATCH(G2809,Pubs!$A$2:$A$3001,0))&amp;"",""))</f>
        <v/>
      </c>
      <c r="N2809" s="27" t="n">
        <f aca="false">N(N2808)+IF(AND(A2809&lt;&gt;"",OR(Recherche!$C$4="",A2809=Recherche!$C$4),OR(Recherche!$C$5="",B2809&amp;""=Recherche!$C$5&amp;""),OR(Recherche!$C$6="",IFERROR(YEAR(L2809),0)=Recherche!$C$6),OR(Recherche!$C$7="",ISNUMBER(SEARCH(Recherche!$C$7,H2809))),OR(Recherche!$C$8="",J2809=Recherche!$C$8),OR(Recherche!$C$9="",I2809=Recherche!$C$9),OR(Recherche!$C$10="",G2809&amp;""=Recherche!$C$10&amp;""),OR(Recherche!$C$11="",E2809=Recherche!$C$11),OR(Recherche!$C$12="",ISNUMBER(SEARCH(Recherche!$C$12,M2809&amp;" "&amp;F2809)))),1,0)</f>
        <v>8</v>
      </c>
    </row>
    <row r="2810" customFormat="false" ht="15" hidden="false" customHeight="false" outlineLevel="0" collapsed="false">
      <c r="A2810" s="19"/>
      <c r="B2810" s="19"/>
      <c r="C2810" s="19"/>
      <c r="D2810" s="19"/>
      <c r="E2810" s="22"/>
      <c r="F2810" s="19"/>
      <c r="G2810" s="26" t="str">
        <f aca="false">IF(D2810="","",IFERROR(VALUE(LEFT(D2810,FIND(" |",D2810&amp;" |")-1)),"?"))</f>
        <v/>
      </c>
      <c r="H2810" s="27" t="str">
        <f aca="false">IF(G2810="","",IF(G2810="?","⚠ pub inconnue",IFERROR(INDEX(Pubs!$B$2:$B$3001,MATCH(G2810,Pubs!$A$2:$A$3001,0))&amp;"","⚠ pub inconnue")))</f>
        <v/>
      </c>
      <c r="I2810" s="27" t="str">
        <f aca="false">IF(OR(G2810="",G2810="?"),"",IFERROR(INDEX(Pubs!$C$2:$C$3001,MATCH(G2810,Pubs!$A$2:$A$3001,0))&amp;"",""))</f>
        <v/>
      </c>
      <c r="J2810" s="27" t="str">
        <f aca="false">IF(OR(G2810="",G2810="?"),"",IFERROR(INDEX(Pubs!$G$2:$G$3001,MATCH(G2810,Pubs!$A$2:$A$3001,0))&amp;"",""))</f>
        <v/>
      </c>
      <c r="K2810" s="28" t="str">
        <f aca="false">IF(OR(G2810="",G2810="?"),"",IFERROR(INDEX(Pubs!$E$2:$E$3001,MATCH(G2810,Pubs!$A$2:$A$3001,0)),""))</f>
        <v/>
      </c>
      <c r="L2810" s="29" t="str">
        <f aca="false">IF(A2810="","",IFERROR(1/(1/INDEX(Numéros!$C$2:$C$3001,MATCH(A2810&amp;"|"&amp;B2810,Numéros!$F$2:$F$3001,0))),""))</f>
        <v/>
      </c>
      <c r="M2810" s="27" t="str">
        <f aca="false">IF(OR(G2810="",G2810="?"),"",IFERROR(INDEX(Pubs!$D$2:$D$3001,MATCH(G2810,Pubs!$A$2:$A$3001,0))&amp;"",""))</f>
        <v/>
      </c>
      <c r="N2810" s="27" t="n">
        <f aca="false">N(N2809)+IF(AND(A2810&lt;&gt;"",OR(Recherche!$C$4="",A2810=Recherche!$C$4),OR(Recherche!$C$5="",B2810&amp;""=Recherche!$C$5&amp;""),OR(Recherche!$C$6="",IFERROR(YEAR(L2810),0)=Recherche!$C$6),OR(Recherche!$C$7="",ISNUMBER(SEARCH(Recherche!$C$7,H2810))),OR(Recherche!$C$8="",J2810=Recherche!$C$8),OR(Recherche!$C$9="",I2810=Recherche!$C$9),OR(Recherche!$C$10="",G2810&amp;""=Recherche!$C$10&amp;""),OR(Recherche!$C$11="",E2810=Recherche!$C$11),OR(Recherche!$C$12="",ISNUMBER(SEARCH(Recherche!$C$12,M2810&amp;" "&amp;F2810)))),1,0)</f>
        <v>8</v>
      </c>
    </row>
    <row r="2811" customFormat="false" ht="15" hidden="false" customHeight="false" outlineLevel="0" collapsed="false">
      <c r="A2811" s="19"/>
      <c r="B2811" s="19"/>
      <c r="C2811" s="19"/>
      <c r="D2811" s="19"/>
      <c r="E2811" s="22"/>
      <c r="F2811" s="19"/>
      <c r="G2811" s="26" t="str">
        <f aca="false">IF(D2811="","",IFERROR(VALUE(LEFT(D2811,FIND(" |",D2811&amp;" |")-1)),"?"))</f>
        <v/>
      </c>
      <c r="H2811" s="27" t="str">
        <f aca="false">IF(G2811="","",IF(G2811="?","⚠ pub inconnue",IFERROR(INDEX(Pubs!$B$2:$B$3001,MATCH(G2811,Pubs!$A$2:$A$3001,0))&amp;"","⚠ pub inconnue")))</f>
        <v/>
      </c>
      <c r="I2811" s="27" t="str">
        <f aca="false">IF(OR(G2811="",G2811="?"),"",IFERROR(INDEX(Pubs!$C$2:$C$3001,MATCH(G2811,Pubs!$A$2:$A$3001,0))&amp;"",""))</f>
        <v/>
      </c>
      <c r="J2811" s="27" t="str">
        <f aca="false">IF(OR(G2811="",G2811="?"),"",IFERROR(INDEX(Pubs!$G$2:$G$3001,MATCH(G2811,Pubs!$A$2:$A$3001,0))&amp;"",""))</f>
        <v/>
      </c>
      <c r="K2811" s="28" t="str">
        <f aca="false">IF(OR(G2811="",G2811="?"),"",IFERROR(INDEX(Pubs!$E$2:$E$3001,MATCH(G2811,Pubs!$A$2:$A$3001,0)),""))</f>
        <v/>
      </c>
      <c r="L2811" s="29" t="str">
        <f aca="false">IF(A2811="","",IFERROR(1/(1/INDEX(Numéros!$C$2:$C$3001,MATCH(A2811&amp;"|"&amp;B2811,Numéros!$F$2:$F$3001,0))),""))</f>
        <v/>
      </c>
      <c r="M2811" s="27" t="str">
        <f aca="false">IF(OR(G2811="",G2811="?"),"",IFERROR(INDEX(Pubs!$D$2:$D$3001,MATCH(G2811,Pubs!$A$2:$A$3001,0))&amp;"",""))</f>
        <v/>
      </c>
      <c r="N2811" s="27" t="n">
        <f aca="false">N(N2810)+IF(AND(A2811&lt;&gt;"",OR(Recherche!$C$4="",A2811=Recherche!$C$4),OR(Recherche!$C$5="",B2811&amp;""=Recherche!$C$5&amp;""),OR(Recherche!$C$6="",IFERROR(YEAR(L2811),0)=Recherche!$C$6),OR(Recherche!$C$7="",ISNUMBER(SEARCH(Recherche!$C$7,H2811))),OR(Recherche!$C$8="",J2811=Recherche!$C$8),OR(Recherche!$C$9="",I2811=Recherche!$C$9),OR(Recherche!$C$10="",G2811&amp;""=Recherche!$C$10&amp;""),OR(Recherche!$C$11="",E2811=Recherche!$C$11),OR(Recherche!$C$12="",ISNUMBER(SEARCH(Recherche!$C$12,M2811&amp;" "&amp;F2811)))),1,0)</f>
        <v>8</v>
      </c>
    </row>
    <row r="2812" customFormat="false" ht="15" hidden="false" customHeight="false" outlineLevel="0" collapsed="false">
      <c r="A2812" s="19"/>
      <c r="B2812" s="19"/>
      <c r="C2812" s="19"/>
      <c r="D2812" s="19"/>
      <c r="E2812" s="22"/>
      <c r="F2812" s="19"/>
      <c r="G2812" s="26" t="str">
        <f aca="false">IF(D2812="","",IFERROR(VALUE(LEFT(D2812,FIND(" |",D2812&amp;" |")-1)),"?"))</f>
        <v/>
      </c>
      <c r="H2812" s="27" t="str">
        <f aca="false">IF(G2812="","",IF(G2812="?","⚠ pub inconnue",IFERROR(INDEX(Pubs!$B$2:$B$3001,MATCH(G2812,Pubs!$A$2:$A$3001,0))&amp;"","⚠ pub inconnue")))</f>
        <v/>
      </c>
      <c r="I2812" s="27" t="str">
        <f aca="false">IF(OR(G2812="",G2812="?"),"",IFERROR(INDEX(Pubs!$C$2:$C$3001,MATCH(G2812,Pubs!$A$2:$A$3001,0))&amp;"",""))</f>
        <v/>
      </c>
      <c r="J2812" s="27" t="str">
        <f aca="false">IF(OR(G2812="",G2812="?"),"",IFERROR(INDEX(Pubs!$G$2:$G$3001,MATCH(G2812,Pubs!$A$2:$A$3001,0))&amp;"",""))</f>
        <v/>
      </c>
      <c r="K2812" s="28" t="str">
        <f aca="false">IF(OR(G2812="",G2812="?"),"",IFERROR(INDEX(Pubs!$E$2:$E$3001,MATCH(G2812,Pubs!$A$2:$A$3001,0)),""))</f>
        <v/>
      </c>
      <c r="L2812" s="29" t="str">
        <f aca="false">IF(A2812="","",IFERROR(1/(1/INDEX(Numéros!$C$2:$C$3001,MATCH(A2812&amp;"|"&amp;B2812,Numéros!$F$2:$F$3001,0))),""))</f>
        <v/>
      </c>
      <c r="M2812" s="27" t="str">
        <f aca="false">IF(OR(G2812="",G2812="?"),"",IFERROR(INDEX(Pubs!$D$2:$D$3001,MATCH(G2812,Pubs!$A$2:$A$3001,0))&amp;"",""))</f>
        <v/>
      </c>
      <c r="N2812" s="27" t="n">
        <f aca="false">N(N2811)+IF(AND(A2812&lt;&gt;"",OR(Recherche!$C$4="",A2812=Recherche!$C$4),OR(Recherche!$C$5="",B2812&amp;""=Recherche!$C$5&amp;""),OR(Recherche!$C$6="",IFERROR(YEAR(L2812),0)=Recherche!$C$6),OR(Recherche!$C$7="",ISNUMBER(SEARCH(Recherche!$C$7,H2812))),OR(Recherche!$C$8="",J2812=Recherche!$C$8),OR(Recherche!$C$9="",I2812=Recherche!$C$9),OR(Recherche!$C$10="",G2812&amp;""=Recherche!$C$10&amp;""),OR(Recherche!$C$11="",E2812=Recherche!$C$11),OR(Recherche!$C$12="",ISNUMBER(SEARCH(Recherche!$C$12,M2812&amp;" "&amp;F2812)))),1,0)</f>
        <v>8</v>
      </c>
    </row>
    <row r="2813" customFormat="false" ht="15" hidden="false" customHeight="false" outlineLevel="0" collapsed="false">
      <c r="A2813" s="19"/>
      <c r="B2813" s="19"/>
      <c r="C2813" s="19"/>
      <c r="D2813" s="19"/>
      <c r="E2813" s="22"/>
      <c r="F2813" s="19"/>
      <c r="G2813" s="26" t="str">
        <f aca="false">IF(D2813="","",IFERROR(VALUE(LEFT(D2813,FIND(" |",D2813&amp;" |")-1)),"?"))</f>
        <v/>
      </c>
      <c r="H2813" s="27" t="str">
        <f aca="false">IF(G2813="","",IF(G2813="?","⚠ pub inconnue",IFERROR(INDEX(Pubs!$B$2:$B$3001,MATCH(G2813,Pubs!$A$2:$A$3001,0))&amp;"","⚠ pub inconnue")))</f>
        <v/>
      </c>
      <c r="I2813" s="27" t="str">
        <f aca="false">IF(OR(G2813="",G2813="?"),"",IFERROR(INDEX(Pubs!$C$2:$C$3001,MATCH(G2813,Pubs!$A$2:$A$3001,0))&amp;"",""))</f>
        <v/>
      </c>
      <c r="J2813" s="27" t="str">
        <f aca="false">IF(OR(G2813="",G2813="?"),"",IFERROR(INDEX(Pubs!$G$2:$G$3001,MATCH(G2813,Pubs!$A$2:$A$3001,0))&amp;"",""))</f>
        <v/>
      </c>
      <c r="K2813" s="28" t="str">
        <f aca="false">IF(OR(G2813="",G2813="?"),"",IFERROR(INDEX(Pubs!$E$2:$E$3001,MATCH(G2813,Pubs!$A$2:$A$3001,0)),""))</f>
        <v/>
      </c>
      <c r="L2813" s="29" t="str">
        <f aca="false">IF(A2813="","",IFERROR(1/(1/INDEX(Numéros!$C$2:$C$3001,MATCH(A2813&amp;"|"&amp;B2813,Numéros!$F$2:$F$3001,0))),""))</f>
        <v/>
      </c>
      <c r="M2813" s="27" t="str">
        <f aca="false">IF(OR(G2813="",G2813="?"),"",IFERROR(INDEX(Pubs!$D$2:$D$3001,MATCH(G2813,Pubs!$A$2:$A$3001,0))&amp;"",""))</f>
        <v/>
      </c>
      <c r="N2813" s="27" t="n">
        <f aca="false">N(N2812)+IF(AND(A2813&lt;&gt;"",OR(Recherche!$C$4="",A2813=Recherche!$C$4),OR(Recherche!$C$5="",B2813&amp;""=Recherche!$C$5&amp;""),OR(Recherche!$C$6="",IFERROR(YEAR(L2813),0)=Recherche!$C$6),OR(Recherche!$C$7="",ISNUMBER(SEARCH(Recherche!$C$7,H2813))),OR(Recherche!$C$8="",J2813=Recherche!$C$8),OR(Recherche!$C$9="",I2813=Recherche!$C$9),OR(Recherche!$C$10="",G2813&amp;""=Recherche!$C$10&amp;""),OR(Recherche!$C$11="",E2813=Recherche!$C$11),OR(Recherche!$C$12="",ISNUMBER(SEARCH(Recherche!$C$12,M2813&amp;" "&amp;F2813)))),1,0)</f>
        <v>8</v>
      </c>
    </row>
    <row r="2814" customFormat="false" ht="15" hidden="false" customHeight="false" outlineLevel="0" collapsed="false">
      <c r="A2814" s="19"/>
      <c r="B2814" s="19"/>
      <c r="C2814" s="19"/>
      <c r="D2814" s="19"/>
      <c r="E2814" s="22"/>
      <c r="F2814" s="19"/>
      <c r="G2814" s="26" t="str">
        <f aca="false">IF(D2814="","",IFERROR(VALUE(LEFT(D2814,FIND(" |",D2814&amp;" |")-1)),"?"))</f>
        <v/>
      </c>
      <c r="H2814" s="27" t="str">
        <f aca="false">IF(G2814="","",IF(G2814="?","⚠ pub inconnue",IFERROR(INDEX(Pubs!$B$2:$B$3001,MATCH(G2814,Pubs!$A$2:$A$3001,0))&amp;"","⚠ pub inconnue")))</f>
        <v/>
      </c>
      <c r="I2814" s="27" t="str">
        <f aca="false">IF(OR(G2814="",G2814="?"),"",IFERROR(INDEX(Pubs!$C$2:$C$3001,MATCH(G2814,Pubs!$A$2:$A$3001,0))&amp;"",""))</f>
        <v/>
      </c>
      <c r="J2814" s="27" t="str">
        <f aca="false">IF(OR(G2814="",G2814="?"),"",IFERROR(INDEX(Pubs!$G$2:$G$3001,MATCH(G2814,Pubs!$A$2:$A$3001,0))&amp;"",""))</f>
        <v/>
      </c>
      <c r="K2814" s="28" t="str">
        <f aca="false">IF(OR(G2814="",G2814="?"),"",IFERROR(INDEX(Pubs!$E$2:$E$3001,MATCH(G2814,Pubs!$A$2:$A$3001,0)),""))</f>
        <v/>
      </c>
      <c r="L2814" s="29" t="str">
        <f aca="false">IF(A2814="","",IFERROR(1/(1/INDEX(Numéros!$C$2:$C$3001,MATCH(A2814&amp;"|"&amp;B2814,Numéros!$F$2:$F$3001,0))),""))</f>
        <v/>
      </c>
      <c r="M2814" s="27" t="str">
        <f aca="false">IF(OR(G2814="",G2814="?"),"",IFERROR(INDEX(Pubs!$D$2:$D$3001,MATCH(G2814,Pubs!$A$2:$A$3001,0))&amp;"",""))</f>
        <v/>
      </c>
      <c r="N2814" s="27" t="n">
        <f aca="false">N(N2813)+IF(AND(A2814&lt;&gt;"",OR(Recherche!$C$4="",A2814=Recherche!$C$4),OR(Recherche!$C$5="",B2814&amp;""=Recherche!$C$5&amp;""),OR(Recherche!$C$6="",IFERROR(YEAR(L2814),0)=Recherche!$C$6),OR(Recherche!$C$7="",ISNUMBER(SEARCH(Recherche!$C$7,H2814))),OR(Recherche!$C$8="",J2814=Recherche!$C$8),OR(Recherche!$C$9="",I2814=Recherche!$C$9),OR(Recherche!$C$10="",G2814&amp;""=Recherche!$C$10&amp;""),OR(Recherche!$C$11="",E2814=Recherche!$C$11),OR(Recherche!$C$12="",ISNUMBER(SEARCH(Recherche!$C$12,M2814&amp;" "&amp;F2814)))),1,0)</f>
        <v>8</v>
      </c>
    </row>
    <row r="2815" customFormat="false" ht="15" hidden="false" customHeight="false" outlineLevel="0" collapsed="false">
      <c r="A2815" s="19"/>
      <c r="B2815" s="19"/>
      <c r="C2815" s="19"/>
      <c r="D2815" s="19"/>
      <c r="E2815" s="22"/>
      <c r="F2815" s="19"/>
      <c r="G2815" s="26" t="str">
        <f aca="false">IF(D2815="","",IFERROR(VALUE(LEFT(D2815,FIND(" |",D2815&amp;" |")-1)),"?"))</f>
        <v/>
      </c>
      <c r="H2815" s="27" t="str">
        <f aca="false">IF(G2815="","",IF(G2815="?","⚠ pub inconnue",IFERROR(INDEX(Pubs!$B$2:$B$3001,MATCH(G2815,Pubs!$A$2:$A$3001,0))&amp;"","⚠ pub inconnue")))</f>
        <v/>
      </c>
      <c r="I2815" s="27" t="str">
        <f aca="false">IF(OR(G2815="",G2815="?"),"",IFERROR(INDEX(Pubs!$C$2:$C$3001,MATCH(G2815,Pubs!$A$2:$A$3001,0))&amp;"",""))</f>
        <v/>
      </c>
      <c r="J2815" s="27" t="str">
        <f aca="false">IF(OR(G2815="",G2815="?"),"",IFERROR(INDEX(Pubs!$G$2:$G$3001,MATCH(G2815,Pubs!$A$2:$A$3001,0))&amp;"",""))</f>
        <v/>
      </c>
      <c r="K2815" s="28" t="str">
        <f aca="false">IF(OR(G2815="",G2815="?"),"",IFERROR(INDEX(Pubs!$E$2:$E$3001,MATCH(G2815,Pubs!$A$2:$A$3001,0)),""))</f>
        <v/>
      </c>
      <c r="L2815" s="29" t="str">
        <f aca="false">IF(A2815="","",IFERROR(1/(1/INDEX(Numéros!$C$2:$C$3001,MATCH(A2815&amp;"|"&amp;B2815,Numéros!$F$2:$F$3001,0))),""))</f>
        <v/>
      </c>
      <c r="M2815" s="27" t="str">
        <f aca="false">IF(OR(G2815="",G2815="?"),"",IFERROR(INDEX(Pubs!$D$2:$D$3001,MATCH(G2815,Pubs!$A$2:$A$3001,0))&amp;"",""))</f>
        <v/>
      </c>
      <c r="N2815" s="27" t="n">
        <f aca="false">N(N2814)+IF(AND(A2815&lt;&gt;"",OR(Recherche!$C$4="",A2815=Recherche!$C$4),OR(Recherche!$C$5="",B2815&amp;""=Recherche!$C$5&amp;""),OR(Recherche!$C$6="",IFERROR(YEAR(L2815),0)=Recherche!$C$6),OR(Recherche!$C$7="",ISNUMBER(SEARCH(Recherche!$C$7,H2815))),OR(Recherche!$C$8="",J2815=Recherche!$C$8),OR(Recherche!$C$9="",I2815=Recherche!$C$9),OR(Recherche!$C$10="",G2815&amp;""=Recherche!$C$10&amp;""),OR(Recherche!$C$11="",E2815=Recherche!$C$11),OR(Recherche!$C$12="",ISNUMBER(SEARCH(Recherche!$C$12,M2815&amp;" "&amp;F2815)))),1,0)</f>
        <v>8</v>
      </c>
    </row>
    <row r="2816" customFormat="false" ht="15" hidden="false" customHeight="false" outlineLevel="0" collapsed="false">
      <c r="A2816" s="19"/>
      <c r="B2816" s="19"/>
      <c r="C2816" s="19"/>
      <c r="D2816" s="19"/>
      <c r="E2816" s="22"/>
      <c r="F2816" s="19"/>
      <c r="G2816" s="26" t="str">
        <f aca="false">IF(D2816="","",IFERROR(VALUE(LEFT(D2816,FIND(" |",D2816&amp;" |")-1)),"?"))</f>
        <v/>
      </c>
      <c r="H2816" s="27" t="str">
        <f aca="false">IF(G2816="","",IF(G2816="?","⚠ pub inconnue",IFERROR(INDEX(Pubs!$B$2:$B$3001,MATCH(G2816,Pubs!$A$2:$A$3001,0))&amp;"","⚠ pub inconnue")))</f>
        <v/>
      </c>
      <c r="I2816" s="27" t="str">
        <f aca="false">IF(OR(G2816="",G2816="?"),"",IFERROR(INDEX(Pubs!$C$2:$C$3001,MATCH(G2816,Pubs!$A$2:$A$3001,0))&amp;"",""))</f>
        <v/>
      </c>
      <c r="J2816" s="27" t="str">
        <f aca="false">IF(OR(G2816="",G2816="?"),"",IFERROR(INDEX(Pubs!$G$2:$G$3001,MATCH(G2816,Pubs!$A$2:$A$3001,0))&amp;"",""))</f>
        <v/>
      </c>
      <c r="K2816" s="28" t="str">
        <f aca="false">IF(OR(G2816="",G2816="?"),"",IFERROR(INDEX(Pubs!$E$2:$E$3001,MATCH(G2816,Pubs!$A$2:$A$3001,0)),""))</f>
        <v/>
      </c>
      <c r="L2816" s="29" t="str">
        <f aca="false">IF(A2816="","",IFERROR(1/(1/INDEX(Numéros!$C$2:$C$3001,MATCH(A2816&amp;"|"&amp;B2816,Numéros!$F$2:$F$3001,0))),""))</f>
        <v/>
      </c>
      <c r="M2816" s="27" t="str">
        <f aca="false">IF(OR(G2816="",G2816="?"),"",IFERROR(INDEX(Pubs!$D$2:$D$3001,MATCH(G2816,Pubs!$A$2:$A$3001,0))&amp;"",""))</f>
        <v/>
      </c>
      <c r="N2816" s="27" t="n">
        <f aca="false">N(N2815)+IF(AND(A2816&lt;&gt;"",OR(Recherche!$C$4="",A2816=Recherche!$C$4),OR(Recherche!$C$5="",B2816&amp;""=Recherche!$C$5&amp;""),OR(Recherche!$C$6="",IFERROR(YEAR(L2816),0)=Recherche!$C$6),OR(Recherche!$C$7="",ISNUMBER(SEARCH(Recherche!$C$7,H2816))),OR(Recherche!$C$8="",J2816=Recherche!$C$8),OR(Recherche!$C$9="",I2816=Recherche!$C$9),OR(Recherche!$C$10="",G2816&amp;""=Recherche!$C$10&amp;""),OR(Recherche!$C$11="",E2816=Recherche!$C$11),OR(Recherche!$C$12="",ISNUMBER(SEARCH(Recherche!$C$12,M2816&amp;" "&amp;F2816)))),1,0)</f>
        <v>8</v>
      </c>
    </row>
    <row r="2817" customFormat="false" ht="15" hidden="false" customHeight="false" outlineLevel="0" collapsed="false">
      <c r="A2817" s="19"/>
      <c r="B2817" s="19"/>
      <c r="C2817" s="19"/>
      <c r="D2817" s="19"/>
      <c r="E2817" s="22"/>
      <c r="F2817" s="19"/>
      <c r="G2817" s="26" t="str">
        <f aca="false">IF(D2817="","",IFERROR(VALUE(LEFT(D2817,FIND(" |",D2817&amp;" |")-1)),"?"))</f>
        <v/>
      </c>
      <c r="H2817" s="27" t="str">
        <f aca="false">IF(G2817="","",IF(G2817="?","⚠ pub inconnue",IFERROR(INDEX(Pubs!$B$2:$B$3001,MATCH(G2817,Pubs!$A$2:$A$3001,0))&amp;"","⚠ pub inconnue")))</f>
        <v/>
      </c>
      <c r="I2817" s="27" t="str">
        <f aca="false">IF(OR(G2817="",G2817="?"),"",IFERROR(INDEX(Pubs!$C$2:$C$3001,MATCH(G2817,Pubs!$A$2:$A$3001,0))&amp;"",""))</f>
        <v/>
      </c>
      <c r="J2817" s="27" t="str">
        <f aca="false">IF(OR(G2817="",G2817="?"),"",IFERROR(INDEX(Pubs!$G$2:$G$3001,MATCH(G2817,Pubs!$A$2:$A$3001,0))&amp;"",""))</f>
        <v/>
      </c>
      <c r="K2817" s="28" t="str">
        <f aca="false">IF(OR(G2817="",G2817="?"),"",IFERROR(INDEX(Pubs!$E$2:$E$3001,MATCH(G2817,Pubs!$A$2:$A$3001,0)),""))</f>
        <v/>
      </c>
      <c r="L2817" s="29" t="str">
        <f aca="false">IF(A2817="","",IFERROR(1/(1/INDEX(Numéros!$C$2:$C$3001,MATCH(A2817&amp;"|"&amp;B2817,Numéros!$F$2:$F$3001,0))),""))</f>
        <v/>
      </c>
      <c r="M2817" s="27" t="str">
        <f aca="false">IF(OR(G2817="",G2817="?"),"",IFERROR(INDEX(Pubs!$D$2:$D$3001,MATCH(G2817,Pubs!$A$2:$A$3001,0))&amp;"",""))</f>
        <v/>
      </c>
      <c r="N2817" s="27" t="n">
        <f aca="false">N(N2816)+IF(AND(A2817&lt;&gt;"",OR(Recherche!$C$4="",A2817=Recherche!$C$4),OR(Recherche!$C$5="",B2817&amp;""=Recherche!$C$5&amp;""),OR(Recherche!$C$6="",IFERROR(YEAR(L2817),0)=Recherche!$C$6),OR(Recherche!$C$7="",ISNUMBER(SEARCH(Recherche!$C$7,H2817))),OR(Recherche!$C$8="",J2817=Recherche!$C$8),OR(Recherche!$C$9="",I2817=Recherche!$C$9),OR(Recherche!$C$10="",G2817&amp;""=Recherche!$C$10&amp;""),OR(Recherche!$C$11="",E2817=Recherche!$C$11),OR(Recherche!$C$12="",ISNUMBER(SEARCH(Recherche!$C$12,M2817&amp;" "&amp;F2817)))),1,0)</f>
        <v>8</v>
      </c>
    </row>
    <row r="2818" customFormat="false" ht="15" hidden="false" customHeight="false" outlineLevel="0" collapsed="false">
      <c r="A2818" s="19"/>
      <c r="B2818" s="19"/>
      <c r="C2818" s="19"/>
      <c r="D2818" s="19"/>
      <c r="E2818" s="22"/>
      <c r="F2818" s="19"/>
      <c r="G2818" s="26" t="str">
        <f aca="false">IF(D2818="","",IFERROR(VALUE(LEFT(D2818,FIND(" |",D2818&amp;" |")-1)),"?"))</f>
        <v/>
      </c>
      <c r="H2818" s="27" t="str">
        <f aca="false">IF(G2818="","",IF(G2818="?","⚠ pub inconnue",IFERROR(INDEX(Pubs!$B$2:$B$3001,MATCH(G2818,Pubs!$A$2:$A$3001,0))&amp;"","⚠ pub inconnue")))</f>
        <v/>
      </c>
      <c r="I2818" s="27" t="str">
        <f aca="false">IF(OR(G2818="",G2818="?"),"",IFERROR(INDEX(Pubs!$C$2:$C$3001,MATCH(G2818,Pubs!$A$2:$A$3001,0))&amp;"",""))</f>
        <v/>
      </c>
      <c r="J2818" s="27" t="str">
        <f aca="false">IF(OR(G2818="",G2818="?"),"",IFERROR(INDEX(Pubs!$G$2:$G$3001,MATCH(G2818,Pubs!$A$2:$A$3001,0))&amp;"",""))</f>
        <v/>
      </c>
      <c r="K2818" s="28" t="str">
        <f aca="false">IF(OR(G2818="",G2818="?"),"",IFERROR(INDEX(Pubs!$E$2:$E$3001,MATCH(G2818,Pubs!$A$2:$A$3001,0)),""))</f>
        <v/>
      </c>
      <c r="L2818" s="29" t="str">
        <f aca="false">IF(A2818="","",IFERROR(1/(1/INDEX(Numéros!$C$2:$C$3001,MATCH(A2818&amp;"|"&amp;B2818,Numéros!$F$2:$F$3001,0))),""))</f>
        <v/>
      </c>
      <c r="M2818" s="27" t="str">
        <f aca="false">IF(OR(G2818="",G2818="?"),"",IFERROR(INDEX(Pubs!$D$2:$D$3001,MATCH(G2818,Pubs!$A$2:$A$3001,0))&amp;"",""))</f>
        <v/>
      </c>
      <c r="N2818" s="27" t="n">
        <f aca="false">N(N2817)+IF(AND(A2818&lt;&gt;"",OR(Recherche!$C$4="",A2818=Recherche!$C$4),OR(Recherche!$C$5="",B2818&amp;""=Recherche!$C$5&amp;""),OR(Recherche!$C$6="",IFERROR(YEAR(L2818),0)=Recherche!$C$6),OR(Recherche!$C$7="",ISNUMBER(SEARCH(Recherche!$C$7,H2818))),OR(Recherche!$C$8="",J2818=Recherche!$C$8),OR(Recherche!$C$9="",I2818=Recherche!$C$9),OR(Recherche!$C$10="",G2818&amp;""=Recherche!$C$10&amp;""),OR(Recherche!$C$11="",E2818=Recherche!$C$11),OR(Recherche!$C$12="",ISNUMBER(SEARCH(Recherche!$C$12,M2818&amp;" "&amp;F2818)))),1,0)</f>
        <v>8</v>
      </c>
    </row>
    <row r="2819" customFormat="false" ht="15" hidden="false" customHeight="false" outlineLevel="0" collapsed="false">
      <c r="A2819" s="19"/>
      <c r="B2819" s="19"/>
      <c r="C2819" s="19"/>
      <c r="D2819" s="19"/>
      <c r="E2819" s="22"/>
      <c r="F2819" s="19"/>
      <c r="G2819" s="26" t="str">
        <f aca="false">IF(D2819="","",IFERROR(VALUE(LEFT(D2819,FIND(" |",D2819&amp;" |")-1)),"?"))</f>
        <v/>
      </c>
      <c r="H2819" s="27" t="str">
        <f aca="false">IF(G2819="","",IF(G2819="?","⚠ pub inconnue",IFERROR(INDEX(Pubs!$B$2:$B$3001,MATCH(G2819,Pubs!$A$2:$A$3001,0))&amp;"","⚠ pub inconnue")))</f>
        <v/>
      </c>
      <c r="I2819" s="27" t="str">
        <f aca="false">IF(OR(G2819="",G2819="?"),"",IFERROR(INDEX(Pubs!$C$2:$C$3001,MATCH(G2819,Pubs!$A$2:$A$3001,0))&amp;"",""))</f>
        <v/>
      </c>
      <c r="J2819" s="27" t="str">
        <f aca="false">IF(OR(G2819="",G2819="?"),"",IFERROR(INDEX(Pubs!$G$2:$G$3001,MATCH(G2819,Pubs!$A$2:$A$3001,0))&amp;"",""))</f>
        <v/>
      </c>
      <c r="K2819" s="28" t="str">
        <f aca="false">IF(OR(G2819="",G2819="?"),"",IFERROR(INDEX(Pubs!$E$2:$E$3001,MATCH(G2819,Pubs!$A$2:$A$3001,0)),""))</f>
        <v/>
      </c>
      <c r="L2819" s="29" t="str">
        <f aca="false">IF(A2819="","",IFERROR(1/(1/INDEX(Numéros!$C$2:$C$3001,MATCH(A2819&amp;"|"&amp;B2819,Numéros!$F$2:$F$3001,0))),""))</f>
        <v/>
      </c>
      <c r="M2819" s="27" t="str">
        <f aca="false">IF(OR(G2819="",G2819="?"),"",IFERROR(INDEX(Pubs!$D$2:$D$3001,MATCH(G2819,Pubs!$A$2:$A$3001,0))&amp;"",""))</f>
        <v/>
      </c>
      <c r="N2819" s="27" t="n">
        <f aca="false">N(N2818)+IF(AND(A2819&lt;&gt;"",OR(Recherche!$C$4="",A2819=Recherche!$C$4),OR(Recherche!$C$5="",B2819&amp;""=Recherche!$C$5&amp;""),OR(Recherche!$C$6="",IFERROR(YEAR(L2819),0)=Recherche!$C$6),OR(Recherche!$C$7="",ISNUMBER(SEARCH(Recherche!$C$7,H2819))),OR(Recherche!$C$8="",J2819=Recherche!$C$8),OR(Recherche!$C$9="",I2819=Recherche!$C$9),OR(Recherche!$C$10="",G2819&amp;""=Recherche!$C$10&amp;""),OR(Recherche!$C$11="",E2819=Recherche!$C$11),OR(Recherche!$C$12="",ISNUMBER(SEARCH(Recherche!$C$12,M2819&amp;" "&amp;F2819)))),1,0)</f>
        <v>8</v>
      </c>
    </row>
    <row r="2820" customFormat="false" ht="15" hidden="false" customHeight="false" outlineLevel="0" collapsed="false">
      <c r="A2820" s="19"/>
      <c r="B2820" s="19"/>
      <c r="C2820" s="19"/>
      <c r="D2820" s="19"/>
      <c r="E2820" s="22"/>
      <c r="F2820" s="19"/>
      <c r="G2820" s="26" t="str">
        <f aca="false">IF(D2820="","",IFERROR(VALUE(LEFT(D2820,FIND(" |",D2820&amp;" |")-1)),"?"))</f>
        <v/>
      </c>
      <c r="H2820" s="27" t="str">
        <f aca="false">IF(G2820="","",IF(G2820="?","⚠ pub inconnue",IFERROR(INDEX(Pubs!$B$2:$B$3001,MATCH(G2820,Pubs!$A$2:$A$3001,0))&amp;"","⚠ pub inconnue")))</f>
        <v/>
      </c>
      <c r="I2820" s="27" t="str">
        <f aca="false">IF(OR(G2820="",G2820="?"),"",IFERROR(INDEX(Pubs!$C$2:$C$3001,MATCH(G2820,Pubs!$A$2:$A$3001,0))&amp;"",""))</f>
        <v/>
      </c>
      <c r="J2820" s="27" t="str">
        <f aca="false">IF(OR(G2820="",G2820="?"),"",IFERROR(INDEX(Pubs!$G$2:$G$3001,MATCH(G2820,Pubs!$A$2:$A$3001,0))&amp;"",""))</f>
        <v/>
      </c>
      <c r="K2820" s="28" t="str">
        <f aca="false">IF(OR(G2820="",G2820="?"),"",IFERROR(INDEX(Pubs!$E$2:$E$3001,MATCH(G2820,Pubs!$A$2:$A$3001,0)),""))</f>
        <v/>
      </c>
      <c r="L2820" s="29" t="str">
        <f aca="false">IF(A2820="","",IFERROR(1/(1/INDEX(Numéros!$C$2:$C$3001,MATCH(A2820&amp;"|"&amp;B2820,Numéros!$F$2:$F$3001,0))),""))</f>
        <v/>
      </c>
      <c r="M2820" s="27" t="str">
        <f aca="false">IF(OR(G2820="",G2820="?"),"",IFERROR(INDEX(Pubs!$D$2:$D$3001,MATCH(G2820,Pubs!$A$2:$A$3001,0))&amp;"",""))</f>
        <v/>
      </c>
      <c r="N2820" s="27" t="n">
        <f aca="false">N(N2819)+IF(AND(A2820&lt;&gt;"",OR(Recherche!$C$4="",A2820=Recherche!$C$4),OR(Recherche!$C$5="",B2820&amp;""=Recherche!$C$5&amp;""),OR(Recherche!$C$6="",IFERROR(YEAR(L2820),0)=Recherche!$C$6),OR(Recherche!$C$7="",ISNUMBER(SEARCH(Recherche!$C$7,H2820))),OR(Recherche!$C$8="",J2820=Recherche!$C$8),OR(Recherche!$C$9="",I2820=Recherche!$C$9),OR(Recherche!$C$10="",G2820&amp;""=Recherche!$C$10&amp;""),OR(Recherche!$C$11="",E2820=Recherche!$C$11),OR(Recherche!$C$12="",ISNUMBER(SEARCH(Recherche!$C$12,M2820&amp;" "&amp;F2820)))),1,0)</f>
        <v>8</v>
      </c>
    </row>
    <row r="2821" customFormat="false" ht="15" hidden="false" customHeight="false" outlineLevel="0" collapsed="false">
      <c r="A2821" s="19"/>
      <c r="B2821" s="19"/>
      <c r="C2821" s="19"/>
      <c r="D2821" s="19"/>
      <c r="E2821" s="22"/>
      <c r="F2821" s="19"/>
      <c r="G2821" s="26" t="str">
        <f aca="false">IF(D2821="","",IFERROR(VALUE(LEFT(D2821,FIND(" |",D2821&amp;" |")-1)),"?"))</f>
        <v/>
      </c>
      <c r="H2821" s="27" t="str">
        <f aca="false">IF(G2821="","",IF(G2821="?","⚠ pub inconnue",IFERROR(INDEX(Pubs!$B$2:$B$3001,MATCH(G2821,Pubs!$A$2:$A$3001,0))&amp;"","⚠ pub inconnue")))</f>
        <v/>
      </c>
      <c r="I2821" s="27" t="str">
        <f aca="false">IF(OR(G2821="",G2821="?"),"",IFERROR(INDEX(Pubs!$C$2:$C$3001,MATCH(G2821,Pubs!$A$2:$A$3001,0))&amp;"",""))</f>
        <v/>
      </c>
      <c r="J2821" s="27" t="str">
        <f aca="false">IF(OR(G2821="",G2821="?"),"",IFERROR(INDEX(Pubs!$G$2:$G$3001,MATCH(G2821,Pubs!$A$2:$A$3001,0))&amp;"",""))</f>
        <v/>
      </c>
      <c r="K2821" s="28" t="str">
        <f aca="false">IF(OR(G2821="",G2821="?"),"",IFERROR(INDEX(Pubs!$E$2:$E$3001,MATCH(G2821,Pubs!$A$2:$A$3001,0)),""))</f>
        <v/>
      </c>
      <c r="L2821" s="29" t="str">
        <f aca="false">IF(A2821="","",IFERROR(1/(1/INDEX(Numéros!$C$2:$C$3001,MATCH(A2821&amp;"|"&amp;B2821,Numéros!$F$2:$F$3001,0))),""))</f>
        <v/>
      </c>
      <c r="M2821" s="27" t="str">
        <f aca="false">IF(OR(G2821="",G2821="?"),"",IFERROR(INDEX(Pubs!$D$2:$D$3001,MATCH(G2821,Pubs!$A$2:$A$3001,0))&amp;"",""))</f>
        <v/>
      </c>
      <c r="N2821" s="27" t="n">
        <f aca="false">N(N2820)+IF(AND(A2821&lt;&gt;"",OR(Recherche!$C$4="",A2821=Recherche!$C$4),OR(Recherche!$C$5="",B2821&amp;""=Recherche!$C$5&amp;""),OR(Recherche!$C$6="",IFERROR(YEAR(L2821),0)=Recherche!$C$6),OR(Recherche!$C$7="",ISNUMBER(SEARCH(Recherche!$C$7,H2821))),OR(Recherche!$C$8="",J2821=Recherche!$C$8),OR(Recherche!$C$9="",I2821=Recherche!$C$9),OR(Recherche!$C$10="",G2821&amp;""=Recherche!$C$10&amp;""),OR(Recherche!$C$11="",E2821=Recherche!$C$11),OR(Recherche!$C$12="",ISNUMBER(SEARCH(Recherche!$C$12,M2821&amp;" "&amp;F2821)))),1,0)</f>
        <v>8</v>
      </c>
    </row>
    <row r="2822" customFormat="false" ht="15" hidden="false" customHeight="false" outlineLevel="0" collapsed="false">
      <c r="A2822" s="19"/>
      <c r="B2822" s="19"/>
      <c r="C2822" s="19"/>
      <c r="D2822" s="19"/>
      <c r="E2822" s="22"/>
      <c r="F2822" s="19"/>
      <c r="G2822" s="26" t="str">
        <f aca="false">IF(D2822="","",IFERROR(VALUE(LEFT(D2822,FIND(" |",D2822&amp;" |")-1)),"?"))</f>
        <v/>
      </c>
      <c r="H2822" s="27" t="str">
        <f aca="false">IF(G2822="","",IF(G2822="?","⚠ pub inconnue",IFERROR(INDEX(Pubs!$B$2:$B$3001,MATCH(G2822,Pubs!$A$2:$A$3001,0))&amp;"","⚠ pub inconnue")))</f>
        <v/>
      </c>
      <c r="I2822" s="27" t="str">
        <f aca="false">IF(OR(G2822="",G2822="?"),"",IFERROR(INDEX(Pubs!$C$2:$C$3001,MATCH(G2822,Pubs!$A$2:$A$3001,0))&amp;"",""))</f>
        <v/>
      </c>
      <c r="J2822" s="27" t="str">
        <f aca="false">IF(OR(G2822="",G2822="?"),"",IFERROR(INDEX(Pubs!$G$2:$G$3001,MATCH(G2822,Pubs!$A$2:$A$3001,0))&amp;"",""))</f>
        <v/>
      </c>
      <c r="K2822" s="28" t="str">
        <f aca="false">IF(OR(G2822="",G2822="?"),"",IFERROR(INDEX(Pubs!$E$2:$E$3001,MATCH(G2822,Pubs!$A$2:$A$3001,0)),""))</f>
        <v/>
      </c>
      <c r="L2822" s="29" t="str">
        <f aca="false">IF(A2822="","",IFERROR(1/(1/INDEX(Numéros!$C$2:$C$3001,MATCH(A2822&amp;"|"&amp;B2822,Numéros!$F$2:$F$3001,0))),""))</f>
        <v/>
      </c>
      <c r="M2822" s="27" t="str">
        <f aca="false">IF(OR(G2822="",G2822="?"),"",IFERROR(INDEX(Pubs!$D$2:$D$3001,MATCH(G2822,Pubs!$A$2:$A$3001,0))&amp;"",""))</f>
        <v/>
      </c>
      <c r="N2822" s="27" t="n">
        <f aca="false">N(N2821)+IF(AND(A2822&lt;&gt;"",OR(Recherche!$C$4="",A2822=Recherche!$C$4),OR(Recherche!$C$5="",B2822&amp;""=Recherche!$C$5&amp;""),OR(Recherche!$C$6="",IFERROR(YEAR(L2822),0)=Recherche!$C$6),OR(Recherche!$C$7="",ISNUMBER(SEARCH(Recherche!$C$7,H2822))),OR(Recherche!$C$8="",J2822=Recherche!$C$8),OR(Recherche!$C$9="",I2822=Recherche!$C$9),OR(Recherche!$C$10="",G2822&amp;""=Recherche!$C$10&amp;""),OR(Recherche!$C$11="",E2822=Recherche!$C$11),OR(Recherche!$C$12="",ISNUMBER(SEARCH(Recherche!$C$12,M2822&amp;" "&amp;F2822)))),1,0)</f>
        <v>8</v>
      </c>
    </row>
    <row r="2823" customFormat="false" ht="15" hidden="false" customHeight="false" outlineLevel="0" collapsed="false">
      <c r="A2823" s="19"/>
      <c r="B2823" s="19"/>
      <c r="C2823" s="19"/>
      <c r="D2823" s="19"/>
      <c r="E2823" s="22"/>
      <c r="F2823" s="19"/>
      <c r="G2823" s="26" t="str">
        <f aca="false">IF(D2823="","",IFERROR(VALUE(LEFT(D2823,FIND(" |",D2823&amp;" |")-1)),"?"))</f>
        <v/>
      </c>
      <c r="H2823" s="27" t="str">
        <f aca="false">IF(G2823="","",IF(G2823="?","⚠ pub inconnue",IFERROR(INDEX(Pubs!$B$2:$B$3001,MATCH(G2823,Pubs!$A$2:$A$3001,0))&amp;"","⚠ pub inconnue")))</f>
        <v/>
      </c>
      <c r="I2823" s="27" t="str">
        <f aca="false">IF(OR(G2823="",G2823="?"),"",IFERROR(INDEX(Pubs!$C$2:$C$3001,MATCH(G2823,Pubs!$A$2:$A$3001,0))&amp;"",""))</f>
        <v/>
      </c>
      <c r="J2823" s="27" t="str">
        <f aca="false">IF(OR(G2823="",G2823="?"),"",IFERROR(INDEX(Pubs!$G$2:$G$3001,MATCH(G2823,Pubs!$A$2:$A$3001,0))&amp;"",""))</f>
        <v/>
      </c>
      <c r="K2823" s="28" t="str">
        <f aca="false">IF(OR(G2823="",G2823="?"),"",IFERROR(INDEX(Pubs!$E$2:$E$3001,MATCH(G2823,Pubs!$A$2:$A$3001,0)),""))</f>
        <v/>
      </c>
      <c r="L2823" s="29" t="str">
        <f aca="false">IF(A2823="","",IFERROR(1/(1/INDEX(Numéros!$C$2:$C$3001,MATCH(A2823&amp;"|"&amp;B2823,Numéros!$F$2:$F$3001,0))),""))</f>
        <v/>
      </c>
      <c r="M2823" s="27" t="str">
        <f aca="false">IF(OR(G2823="",G2823="?"),"",IFERROR(INDEX(Pubs!$D$2:$D$3001,MATCH(G2823,Pubs!$A$2:$A$3001,0))&amp;"",""))</f>
        <v/>
      </c>
      <c r="N2823" s="27" t="n">
        <f aca="false">N(N2822)+IF(AND(A2823&lt;&gt;"",OR(Recherche!$C$4="",A2823=Recherche!$C$4),OR(Recherche!$C$5="",B2823&amp;""=Recherche!$C$5&amp;""),OR(Recherche!$C$6="",IFERROR(YEAR(L2823),0)=Recherche!$C$6),OR(Recherche!$C$7="",ISNUMBER(SEARCH(Recherche!$C$7,H2823))),OR(Recherche!$C$8="",J2823=Recherche!$C$8),OR(Recherche!$C$9="",I2823=Recherche!$C$9),OR(Recherche!$C$10="",G2823&amp;""=Recherche!$C$10&amp;""),OR(Recherche!$C$11="",E2823=Recherche!$C$11),OR(Recherche!$C$12="",ISNUMBER(SEARCH(Recherche!$C$12,M2823&amp;" "&amp;F2823)))),1,0)</f>
        <v>8</v>
      </c>
    </row>
    <row r="2824" customFormat="false" ht="15" hidden="false" customHeight="false" outlineLevel="0" collapsed="false">
      <c r="A2824" s="19"/>
      <c r="B2824" s="19"/>
      <c r="C2824" s="19"/>
      <c r="D2824" s="19"/>
      <c r="E2824" s="22"/>
      <c r="F2824" s="19"/>
      <c r="G2824" s="26" t="str">
        <f aca="false">IF(D2824="","",IFERROR(VALUE(LEFT(D2824,FIND(" |",D2824&amp;" |")-1)),"?"))</f>
        <v/>
      </c>
      <c r="H2824" s="27" t="str">
        <f aca="false">IF(G2824="","",IF(G2824="?","⚠ pub inconnue",IFERROR(INDEX(Pubs!$B$2:$B$3001,MATCH(G2824,Pubs!$A$2:$A$3001,0))&amp;"","⚠ pub inconnue")))</f>
        <v/>
      </c>
      <c r="I2824" s="27" t="str">
        <f aca="false">IF(OR(G2824="",G2824="?"),"",IFERROR(INDEX(Pubs!$C$2:$C$3001,MATCH(G2824,Pubs!$A$2:$A$3001,0))&amp;"",""))</f>
        <v/>
      </c>
      <c r="J2824" s="27" t="str">
        <f aca="false">IF(OR(G2824="",G2824="?"),"",IFERROR(INDEX(Pubs!$G$2:$G$3001,MATCH(G2824,Pubs!$A$2:$A$3001,0))&amp;"",""))</f>
        <v/>
      </c>
      <c r="K2824" s="28" t="str">
        <f aca="false">IF(OR(G2824="",G2824="?"),"",IFERROR(INDEX(Pubs!$E$2:$E$3001,MATCH(G2824,Pubs!$A$2:$A$3001,0)),""))</f>
        <v/>
      </c>
      <c r="L2824" s="29" t="str">
        <f aca="false">IF(A2824="","",IFERROR(1/(1/INDEX(Numéros!$C$2:$C$3001,MATCH(A2824&amp;"|"&amp;B2824,Numéros!$F$2:$F$3001,0))),""))</f>
        <v/>
      </c>
      <c r="M2824" s="27" t="str">
        <f aca="false">IF(OR(G2824="",G2824="?"),"",IFERROR(INDEX(Pubs!$D$2:$D$3001,MATCH(G2824,Pubs!$A$2:$A$3001,0))&amp;"",""))</f>
        <v/>
      </c>
      <c r="N2824" s="27" t="n">
        <f aca="false">N(N2823)+IF(AND(A2824&lt;&gt;"",OR(Recherche!$C$4="",A2824=Recherche!$C$4),OR(Recherche!$C$5="",B2824&amp;""=Recherche!$C$5&amp;""),OR(Recherche!$C$6="",IFERROR(YEAR(L2824),0)=Recherche!$C$6),OR(Recherche!$C$7="",ISNUMBER(SEARCH(Recherche!$C$7,H2824))),OR(Recherche!$C$8="",J2824=Recherche!$C$8),OR(Recherche!$C$9="",I2824=Recherche!$C$9),OR(Recherche!$C$10="",G2824&amp;""=Recherche!$C$10&amp;""),OR(Recherche!$C$11="",E2824=Recherche!$C$11),OR(Recherche!$C$12="",ISNUMBER(SEARCH(Recherche!$C$12,M2824&amp;" "&amp;F2824)))),1,0)</f>
        <v>8</v>
      </c>
    </row>
    <row r="2825" customFormat="false" ht="15" hidden="false" customHeight="false" outlineLevel="0" collapsed="false">
      <c r="A2825" s="19"/>
      <c r="B2825" s="19"/>
      <c r="C2825" s="19"/>
      <c r="D2825" s="19"/>
      <c r="E2825" s="22"/>
      <c r="F2825" s="19"/>
      <c r="G2825" s="26" t="str">
        <f aca="false">IF(D2825="","",IFERROR(VALUE(LEFT(D2825,FIND(" |",D2825&amp;" |")-1)),"?"))</f>
        <v/>
      </c>
      <c r="H2825" s="27" t="str">
        <f aca="false">IF(G2825="","",IF(G2825="?","⚠ pub inconnue",IFERROR(INDEX(Pubs!$B$2:$B$3001,MATCH(G2825,Pubs!$A$2:$A$3001,0))&amp;"","⚠ pub inconnue")))</f>
        <v/>
      </c>
      <c r="I2825" s="27" t="str">
        <f aca="false">IF(OR(G2825="",G2825="?"),"",IFERROR(INDEX(Pubs!$C$2:$C$3001,MATCH(G2825,Pubs!$A$2:$A$3001,0))&amp;"",""))</f>
        <v/>
      </c>
      <c r="J2825" s="27" t="str">
        <f aca="false">IF(OR(G2825="",G2825="?"),"",IFERROR(INDEX(Pubs!$G$2:$G$3001,MATCH(G2825,Pubs!$A$2:$A$3001,0))&amp;"",""))</f>
        <v/>
      </c>
      <c r="K2825" s="28" t="str">
        <f aca="false">IF(OR(G2825="",G2825="?"),"",IFERROR(INDEX(Pubs!$E$2:$E$3001,MATCH(G2825,Pubs!$A$2:$A$3001,0)),""))</f>
        <v/>
      </c>
      <c r="L2825" s="29" t="str">
        <f aca="false">IF(A2825="","",IFERROR(1/(1/INDEX(Numéros!$C$2:$C$3001,MATCH(A2825&amp;"|"&amp;B2825,Numéros!$F$2:$F$3001,0))),""))</f>
        <v/>
      </c>
      <c r="M2825" s="27" t="str">
        <f aca="false">IF(OR(G2825="",G2825="?"),"",IFERROR(INDEX(Pubs!$D$2:$D$3001,MATCH(G2825,Pubs!$A$2:$A$3001,0))&amp;"",""))</f>
        <v/>
      </c>
      <c r="N2825" s="27" t="n">
        <f aca="false">N(N2824)+IF(AND(A2825&lt;&gt;"",OR(Recherche!$C$4="",A2825=Recherche!$C$4),OR(Recherche!$C$5="",B2825&amp;""=Recherche!$C$5&amp;""),OR(Recherche!$C$6="",IFERROR(YEAR(L2825),0)=Recherche!$C$6),OR(Recherche!$C$7="",ISNUMBER(SEARCH(Recherche!$C$7,H2825))),OR(Recherche!$C$8="",J2825=Recherche!$C$8),OR(Recherche!$C$9="",I2825=Recherche!$C$9),OR(Recherche!$C$10="",G2825&amp;""=Recherche!$C$10&amp;""),OR(Recherche!$C$11="",E2825=Recherche!$C$11),OR(Recherche!$C$12="",ISNUMBER(SEARCH(Recherche!$C$12,M2825&amp;" "&amp;F2825)))),1,0)</f>
        <v>8</v>
      </c>
    </row>
    <row r="2826" customFormat="false" ht="15" hidden="false" customHeight="false" outlineLevel="0" collapsed="false">
      <c r="A2826" s="19"/>
      <c r="B2826" s="19"/>
      <c r="C2826" s="19"/>
      <c r="D2826" s="19"/>
      <c r="E2826" s="22"/>
      <c r="F2826" s="19"/>
      <c r="G2826" s="26" t="str">
        <f aca="false">IF(D2826="","",IFERROR(VALUE(LEFT(D2826,FIND(" |",D2826&amp;" |")-1)),"?"))</f>
        <v/>
      </c>
      <c r="H2826" s="27" t="str">
        <f aca="false">IF(G2826="","",IF(G2826="?","⚠ pub inconnue",IFERROR(INDEX(Pubs!$B$2:$B$3001,MATCH(G2826,Pubs!$A$2:$A$3001,0))&amp;"","⚠ pub inconnue")))</f>
        <v/>
      </c>
      <c r="I2826" s="27" t="str">
        <f aca="false">IF(OR(G2826="",G2826="?"),"",IFERROR(INDEX(Pubs!$C$2:$C$3001,MATCH(G2826,Pubs!$A$2:$A$3001,0))&amp;"",""))</f>
        <v/>
      </c>
      <c r="J2826" s="27" t="str">
        <f aca="false">IF(OR(G2826="",G2826="?"),"",IFERROR(INDEX(Pubs!$G$2:$G$3001,MATCH(G2826,Pubs!$A$2:$A$3001,0))&amp;"",""))</f>
        <v/>
      </c>
      <c r="K2826" s="28" t="str">
        <f aca="false">IF(OR(G2826="",G2826="?"),"",IFERROR(INDEX(Pubs!$E$2:$E$3001,MATCH(G2826,Pubs!$A$2:$A$3001,0)),""))</f>
        <v/>
      </c>
      <c r="L2826" s="29" t="str">
        <f aca="false">IF(A2826="","",IFERROR(1/(1/INDEX(Numéros!$C$2:$C$3001,MATCH(A2826&amp;"|"&amp;B2826,Numéros!$F$2:$F$3001,0))),""))</f>
        <v/>
      </c>
      <c r="M2826" s="27" t="str">
        <f aca="false">IF(OR(G2826="",G2826="?"),"",IFERROR(INDEX(Pubs!$D$2:$D$3001,MATCH(G2826,Pubs!$A$2:$A$3001,0))&amp;"",""))</f>
        <v/>
      </c>
      <c r="N2826" s="27" t="n">
        <f aca="false">N(N2825)+IF(AND(A2826&lt;&gt;"",OR(Recherche!$C$4="",A2826=Recherche!$C$4),OR(Recherche!$C$5="",B2826&amp;""=Recherche!$C$5&amp;""),OR(Recherche!$C$6="",IFERROR(YEAR(L2826),0)=Recherche!$C$6),OR(Recherche!$C$7="",ISNUMBER(SEARCH(Recherche!$C$7,H2826))),OR(Recherche!$C$8="",J2826=Recherche!$C$8),OR(Recherche!$C$9="",I2826=Recherche!$C$9),OR(Recherche!$C$10="",G2826&amp;""=Recherche!$C$10&amp;""),OR(Recherche!$C$11="",E2826=Recherche!$C$11),OR(Recherche!$C$12="",ISNUMBER(SEARCH(Recherche!$C$12,M2826&amp;" "&amp;F2826)))),1,0)</f>
        <v>8</v>
      </c>
    </row>
    <row r="2827" customFormat="false" ht="15" hidden="false" customHeight="false" outlineLevel="0" collapsed="false">
      <c r="A2827" s="19"/>
      <c r="B2827" s="19"/>
      <c r="C2827" s="19"/>
      <c r="D2827" s="19"/>
      <c r="E2827" s="22"/>
      <c r="F2827" s="19"/>
      <c r="G2827" s="26" t="str">
        <f aca="false">IF(D2827="","",IFERROR(VALUE(LEFT(D2827,FIND(" |",D2827&amp;" |")-1)),"?"))</f>
        <v/>
      </c>
      <c r="H2827" s="27" t="str">
        <f aca="false">IF(G2827="","",IF(G2827="?","⚠ pub inconnue",IFERROR(INDEX(Pubs!$B$2:$B$3001,MATCH(G2827,Pubs!$A$2:$A$3001,0))&amp;"","⚠ pub inconnue")))</f>
        <v/>
      </c>
      <c r="I2827" s="27" t="str">
        <f aca="false">IF(OR(G2827="",G2827="?"),"",IFERROR(INDEX(Pubs!$C$2:$C$3001,MATCH(G2827,Pubs!$A$2:$A$3001,0))&amp;"",""))</f>
        <v/>
      </c>
      <c r="J2827" s="27" t="str">
        <f aca="false">IF(OR(G2827="",G2827="?"),"",IFERROR(INDEX(Pubs!$G$2:$G$3001,MATCH(G2827,Pubs!$A$2:$A$3001,0))&amp;"",""))</f>
        <v/>
      </c>
      <c r="K2827" s="28" t="str">
        <f aca="false">IF(OR(G2827="",G2827="?"),"",IFERROR(INDEX(Pubs!$E$2:$E$3001,MATCH(G2827,Pubs!$A$2:$A$3001,0)),""))</f>
        <v/>
      </c>
      <c r="L2827" s="29" t="str">
        <f aca="false">IF(A2827="","",IFERROR(1/(1/INDEX(Numéros!$C$2:$C$3001,MATCH(A2827&amp;"|"&amp;B2827,Numéros!$F$2:$F$3001,0))),""))</f>
        <v/>
      </c>
      <c r="M2827" s="27" t="str">
        <f aca="false">IF(OR(G2827="",G2827="?"),"",IFERROR(INDEX(Pubs!$D$2:$D$3001,MATCH(G2827,Pubs!$A$2:$A$3001,0))&amp;"",""))</f>
        <v/>
      </c>
      <c r="N2827" s="27" t="n">
        <f aca="false">N(N2826)+IF(AND(A2827&lt;&gt;"",OR(Recherche!$C$4="",A2827=Recherche!$C$4),OR(Recherche!$C$5="",B2827&amp;""=Recherche!$C$5&amp;""),OR(Recherche!$C$6="",IFERROR(YEAR(L2827),0)=Recherche!$C$6),OR(Recherche!$C$7="",ISNUMBER(SEARCH(Recherche!$C$7,H2827))),OR(Recherche!$C$8="",J2827=Recherche!$C$8),OR(Recherche!$C$9="",I2827=Recherche!$C$9),OR(Recherche!$C$10="",G2827&amp;""=Recherche!$C$10&amp;""),OR(Recherche!$C$11="",E2827=Recherche!$C$11),OR(Recherche!$C$12="",ISNUMBER(SEARCH(Recherche!$C$12,M2827&amp;" "&amp;F2827)))),1,0)</f>
        <v>8</v>
      </c>
    </row>
    <row r="2828" customFormat="false" ht="15" hidden="false" customHeight="false" outlineLevel="0" collapsed="false">
      <c r="A2828" s="19"/>
      <c r="B2828" s="19"/>
      <c r="C2828" s="19"/>
      <c r="D2828" s="19"/>
      <c r="E2828" s="22"/>
      <c r="F2828" s="19"/>
      <c r="G2828" s="26" t="str">
        <f aca="false">IF(D2828="","",IFERROR(VALUE(LEFT(D2828,FIND(" |",D2828&amp;" |")-1)),"?"))</f>
        <v/>
      </c>
      <c r="H2828" s="27" t="str">
        <f aca="false">IF(G2828="","",IF(G2828="?","⚠ pub inconnue",IFERROR(INDEX(Pubs!$B$2:$B$3001,MATCH(G2828,Pubs!$A$2:$A$3001,0))&amp;"","⚠ pub inconnue")))</f>
        <v/>
      </c>
      <c r="I2828" s="27" t="str">
        <f aca="false">IF(OR(G2828="",G2828="?"),"",IFERROR(INDEX(Pubs!$C$2:$C$3001,MATCH(G2828,Pubs!$A$2:$A$3001,0))&amp;"",""))</f>
        <v/>
      </c>
      <c r="J2828" s="27" t="str">
        <f aca="false">IF(OR(G2828="",G2828="?"),"",IFERROR(INDEX(Pubs!$G$2:$G$3001,MATCH(G2828,Pubs!$A$2:$A$3001,0))&amp;"",""))</f>
        <v/>
      </c>
      <c r="K2828" s="28" t="str">
        <f aca="false">IF(OR(G2828="",G2828="?"),"",IFERROR(INDEX(Pubs!$E$2:$E$3001,MATCH(G2828,Pubs!$A$2:$A$3001,0)),""))</f>
        <v/>
      </c>
      <c r="L2828" s="29" t="str">
        <f aca="false">IF(A2828="","",IFERROR(1/(1/INDEX(Numéros!$C$2:$C$3001,MATCH(A2828&amp;"|"&amp;B2828,Numéros!$F$2:$F$3001,0))),""))</f>
        <v/>
      </c>
      <c r="M2828" s="27" t="str">
        <f aca="false">IF(OR(G2828="",G2828="?"),"",IFERROR(INDEX(Pubs!$D$2:$D$3001,MATCH(G2828,Pubs!$A$2:$A$3001,0))&amp;"",""))</f>
        <v/>
      </c>
      <c r="N2828" s="27" t="n">
        <f aca="false">N(N2827)+IF(AND(A2828&lt;&gt;"",OR(Recherche!$C$4="",A2828=Recherche!$C$4),OR(Recherche!$C$5="",B2828&amp;""=Recherche!$C$5&amp;""),OR(Recherche!$C$6="",IFERROR(YEAR(L2828),0)=Recherche!$C$6),OR(Recherche!$C$7="",ISNUMBER(SEARCH(Recherche!$C$7,H2828))),OR(Recherche!$C$8="",J2828=Recherche!$C$8),OR(Recherche!$C$9="",I2828=Recherche!$C$9),OR(Recherche!$C$10="",G2828&amp;""=Recherche!$C$10&amp;""),OR(Recherche!$C$11="",E2828=Recherche!$C$11),OR(Recherche!$C$12="",ISNUMBER(SEARCH(Recherche!$C$12,M2828&amp;" "&amp;F2828)))),1,0)</f>
        <v>8</v>
      </c>
    </row>
    <row r="2829" customFormat="false" ht="15" hidden="false" customHeight="false" outlineLevel="0" collapsed="false">
      <c r="A2829" s="19"/>
      <c r="B2829" s="19"/>
      <c r="C2829" s="19"/>
      <c r="D2829" s="19"/>
      <c r="E2829" s="22"/>
      <c r="F2829" s="19"/>
      <c r="G2829" s="26" t="str">
        <f aca="false">IF(D2829="","",IFERROR(VALUE(LEFT(D2829,FIND(" |",D2829&amp;" |")-1)),"?"))</f>
        <v/>
      </c>
      <c r="H2829" s="27" t="str">
        <f aca="false">IF(G2829="","",IF(G2829="?","⚠ pub inconnue",IFERROR(INDEX(Pubs!$B$2:$B$3001,MATCH(G2829,Pubs!$A$2:$A$3001,0))&amp;"","⚠ pub inconnue")))</f>
        <v/>
      </c>
      <c r="I2829" s="27" t="str">
        <f aca="false">IF(OR(G2829="",G2829="?"),"",IFERROR(INDEX(Pubs!$C$2:$C$3001,MATCH(G2829,Pubs!$A$2:$A$3001,0))&amp;"",""))</f>
        <v/>
      </c>
      <c r="J2829" s="27" t="str">
        <f aca="false">IF(OR(G2829="",G2829="?"),"",IFERROR(INDEX(Pubs!$G$2:$G$3001,MATCH(G2829,Pubs!$A$2:$A$3001,0))&amp;"",""))</f>
        <v/>
      </c>
      <c r="K2829" s="28" t="str">
        <f aca="false">IF(OR(G2829="",G2829="?"),"",IFERROR(INDEX(Pubs!$E$2:$E$3001,MATCH(G2829,Pubs!$A$2:$A$3001,0)),""))</f>
        <v/>
      </c>
      <c r="L2829" s="29" t="str">
        <f aca="false">IF(A2829="","",IFERROR(1/(1/INDEX(Numéros!$C$2:$C$3001,MATCH(A2829&amp;"|"&amp;B2829,Numéros!$F$2:$F$3001,0))),""))</f>
        <v/>
      </c>
      <c r="M2829" s="27" t="str">
        <f aca="false">IF(OR(G2829="",G2829="?"),"",IFERROR(INDEX(Pubs!$D$2:$D$3001,MATCH(G2829,Pubs!$A$2:$A$3001,0))&amp;"",""))</f>
        <v/>
      </c>
      <c r="N2829" s="27" t="n">
        <f aca="false">N(N2828)+IF(AND(A2829&lt;&gt;"",OR(Recherche!$C$4="",A2829=Recherche!$C$4),OR(Recherche!$C$5="",B2829&amp;""=Recherche!$C$5&amp;""),OR(Recherche!$C$6="",IFERROR(YEAR(L2829),0)=Recherche!$C$6),OR(Recherche!$C$7="",ISNUMBER(SEARCH(Recherche!$C$7,H2829))),OR(Recherche!$C$8="",J2829=Recherche!$C$8),OR(Recherche!$C$9="",I2829=Recherche!$C$9),OR(Recherche!$C$10="",G2829&amp;""=Recherche!$C$10&amp;""),OR(Recherche!$C$11="",E2829=Recherche!$C$11),OR(Recherche!$C$12="",ISNUMBER(SEARCH(Recherche!$C$12,M2829&amp;" "&amp;F2829)))),1,0)</f>
        <v>8</v>
      </c>
    </row>
    <row r="2830" customFormat="false" ht="15" hidden="false" customHeight="false" outlineLevel="0" collapsed="false">
      <c r="A2830" s="19"/>
      <c r="B2830" s="19"/>
      <c r="C2830" s="19"/>
      <c r="D2830" s="19"/>
      <c r="E2830" s="22"/>
      <c r="F2830" s="19"/>
      <c r="G2830" s="26" t="str">
        <f aca="false">IF(D2830="","",IFERROR(VALUE(LEFT(D2830,FIND(" |",D2830&amp;" |")-1)),"?"))</f>
        <v/>
      </c>
      <c r="H2830" s="27" t="str">
        <f aca="false">IF(G2830="","",IF(G2830="?","⚠ pub inconnue",IFERROR(INDEX(Pubs!$B$2:$B$3001,MATCH(G2830,Pubs!$A$2:$A$3001,0))&amp;"","⚠ pub inconnue")))</f>
        <v/>
      </c>
      <c r="I2830" s="27" t="str">
        <f aca="false">IF(OR(G2830="",G2830="?"),"",IFERROR(INDEX(Pubs!$C$2:$C$3001,MATCH(G2830,Pubs!$A$2:$A$3001,0))&amp;"",""))</f>
        <v/>
      </c>
      <c r="J2830" s="27" t="str">
        <f aca="false">IF(OR(G2830="",G2830="?"),"",IFERROR(INDEX(Pubs!$G$2:$G$3001,MATCH(G2830,Pubs!$A$2:$A$3001,0))&amp;"",""))</f>
        <v/>
      </c>
      <c r="K2830" s="28" t="str">
        <f aca="false">IF(OR(G2830="",G2830="?"),"",IFERROR(INDEX(Pubs!$E$2:$E$3001,MATCH(G2830,Pubs!$A$2:$A$3001,0)),""))</f>
        <v/>
      </c>
      <c r="L2830" s="29" t="str">
        <f aca="false">IF(A2830="","",IFERROR(1/(1/INDEX(Numéros!$C$2:$C$3001,MATCH(A2830&amp;"|"&amp;B2830,Numéros!$F$2:$F$3001,0))),""))</f>
        <v/>
      </c>
      <c r="M2830" s="27" t="str">
        <f aca="false">IF(OR(G2830="",G2830="?"),"",IFERROR(INDEX(Pubs!$D$2:$D$3001,MATCH(G2830,Pubs!$A$2:$A$3001,0))&amp;"",""))</f>
        <v/>
      </c>
      <c r="N2830" s="27" t="n">
        <f aca="false">N(N2829)+IF(AND(A2830&lt;&gt;"",OR(Recherche!$C$4="",A2830=Recherche!$C$4),OR(Recherche!$C$5="",B2830&amp;""=Recherche!$C$5&amp;""),OR(Recherche!$C$6="",IFERROR(YEAR(L2830),0)=Recherche!$C$6),OR(Recherche!$C$7="",ISNUMBER(SEARCH(Recherche!$C$7,H2830))),OR(Recherche!$C$8="",J2830=Recherche!$C$8),OR(Recherche!$C$9="",I2830=Recherche!$C$9),OR(Recherche!$C$10="",G2830&amp;""=Recherche!$C$10&amp;""),OR(Recherche!$C$11="",E2830=Recherche!$C$11),OR(Recherche!$C$12="",ISNUMBER(SEARCH(Recherche!$C$12,M2830&amp;" "&amp;F2830)))),1,0)</f>
        <v>8</v>
      </c>
    </row>
    <row r="2831" customFormat="false" ht="15" hidden="false" customHeight="false" outlineLevel="0" collapsed="false">
      <c r="A2831" s="19"/>
      <c r="B2831" s="19"/>
      <c r="C2831" s="19"/>
      <c r="D2831" s="19"/>
      <c r="E2831" s="22"/>
      <c r="F2831" s="19"/>
      <c r="G2831" s="26" t="str">
        <f aca="false">IF(D2831="","",IFERROR(VALUE(LEFT(D2831,FIND(" |",D2831&amp;" |")-1)),"?"))</f>
        <v/>
      </c>
      <c r="H2831" s="27" t="str">
        <f aca="false">IF(G2831="","",IF(G2831="?","⚠ pub inconnue",IFERROR(INDEX(Pubs!$B$2:$B$3001,MATCH(G2831,Pubs!$A$2:$A$3001,0))&amp;"","⚠ pub inconnue")))</f>
        <v/>
      </c>
      <c r="I2831" s="27" t="str">
        <f aca="false">IF(OR(G2831="",G2831="?"),"",IFERROR(INDEX(Pubs!$C$2:$C$3001,MATCH(G2831,Pubs!$A$2:$A$3001,0))&amp;"",""))</f>
        <v/>
      </c>
      <c r="J2831" s="27" t="str">
        <f aca="false">IF(OR(G2831="",G2831="?"),"",IFERROR(INDEX(Pubs!$G$2:$G$3001,MATCH(G2831,Pubs!$A$2:$A$3001,0))&amp;"",""))</f>
        <v/>
      </c>
      <c r="K2831" s="28" t="str">
        <f aca="false">IF(OR(G2831="",G2831="?"),"",IFERROR(INDEX(Pubs!$E$2:$E$3001,MATCH(G2831,Pubs!$A$2:$A$3001,0)),""))</f>
        <v/>
      </c>
      <c r="L2831" s="29" t="str">
        <f aca="false">IF(A2831="","",IFERROR(1/(1/INDEX(Numéros!$C$2:$C$3001,MATCH(A2831&amp;"|"&amp;B2831,Numéros!$F$2:$F$3001,0))),""))</f>
        <v/>
      </c>
      <c r="M2831" s="27" t="str">
        <f aca="false">IF(OR(G2831="",G2831="?"),"",IFERROR(INDEX(Pubs!$D$2:$D$3001,MATCH(G2831,Pubs!$A$2:$A$3001,0))&amp;"",""))</f>
        <v/>
      </c>
      <c r="N2831" s="27" t="n">
        <f aca="false">N(N2830)+IF(AND(A2831&lt;&gt;"",OR(Recherche!$C$4="",A2831=Recherche!$C$4),OR(Recherche!$C$5="",B2831&amp;""=Recherche!$C$5&amp;""),OR(Recherche!$C$6="",IFERROR(YEAR(L2831),0)=Recherche!$C$6),OR(Recherche!$C$7="",ISNUMBER(SEARCH(Recherche!$C$7,H2831))),OR(Recherche!$C$8="",J2831=Recherche!$C$8),OR(Recherche!$C$9="",I2831=Recherche!$C$9),OR(Recherche!$C$10="",G2831&amp;""=Recherche!$C$10&amp;""),OR(Recherche!$C$11="",E2831=Recherche!$C$11),OR(Recherche!$C$12="",ISNUMBER(SEARCH(Recherche!$C$12,M2831&amp;" "&amp;F2831)))),1,0)</f>
        <v>8</v>
      </c>
    </row>
    <row r="2832" customFormat="false" ht="15" hidden="false" customHeight="false" outlineLevel="0" collapsed="false">
      <c r="A2832" s="19"/>
      <c r="B2832" s="19"/>
      <c r="C2832" s="19"/>
      <c r="D2832" s="19"/>
      <c r="E2832" s="22"/>
      <c r="F2832" s="19"/>
      <c r="G2832" s="26" t="str">
        <f aca="false">IF(D2832="","",IFERROR(VALUE(LEFT(D2832,FIND(" |",D2832&amp;" |")-1)),"?"))</f>
        <v/>
      </c>
      <c r="H2832" s="27" t="str">
        <f aca="false">IF(G2832="","",IF(G2832="?","⚠ pub inconnue",IFERROR(INDEX(Pubs!$B$2:$B$3001,MATCH(G2832,Pubs!$A$2:$A$3001,0))&amp;"","⚠ pub inconnue")))</f>
        <v/>
      </c>
      <c r="I2832" s="27" t="str">
        <f aca="false">IF(OR(G2832="",G2832="?"),"",IFERROR(INDEX(Pubs!$C$2:$C$3001,MATCH(G2832,Pubs!$A$2:$A$3001,0))&amp;"",""))</f>
        <v/>
      </c>
      <c r="J2832" s="27" t="str">
        <f aca="false">IF(OR(G2832="",G2832="?"),"",IFERROR(INDEX(Pubs!$G$2:$G$3001,MATCH(G2832,Pubs!$A$2:$A$3001,0))&amp;"",""))</f>
        <v/>
      </c>
      <c r="K2832" s="28" t="str">
        <f aca="false">IF(OR(G2832="",G2832="?"),"",IFERROR(INDEX(Pubs!$E$2:$E$3001,MATCH(G2832,Pubs!$A$2:$A$3001,0)),""))</f>
        <v/>
      </c>
      <c r="L2832" s="29" t="str">
        <f aca="false">IF(A2832="","",IFERROR(1/(1/INDEX(Numéros!$C$2:$C$3001,MATCH(A2832&amp;"|"&amp;B2832,Numéros!$F$2:$F$3001,0))),""))</f>
        <v/>
      </c>
      <c r="M2832" s="27" t="str">
        <f aca="false">IF(OR(G2832="",G2832="?"),"",IFERROR(INDEX(Pubs!$D$2:$D$3001,MATCH(G2832,Pubs!$A$2:$A$3001,0))&amp;"",""))</f>
        <v/>
      </c>
      <c r="N2832" s="27" t="n">
        <f aca="false">N(N2831)+IF(AND(A2832&lt;&gt;"",OR(Recherche!$C$4="",A2832=Recherche!$C$4),OR(Recherche!$C$5="",B2832&amp;""=Recherche!$C$5&amp;""),OR(Recherche!$C$6="",IFERROR(YEAR(L2832),0)=Recherche!$C$6),OR(Recherche!$C$7="",ISNUMBER(SEARCH(Recherche!$C$7,H2832))),OR(Recherche!$C$8="",J2832=Recherche!$C$8),OR(Recherche!$C$9="",I2832=Recherche!$C$9),OR(Recherche!$C$10="",G2832&amp;""=Recherche!$C$10&amp;""),OR(Recherche!$C$11="",E2832=Recherche!$C$11),OR(Recherche!$C$12="",ISNUMBER(SEARCH(Recherche!$C$12,M2832&amp;" "&amp;F2832)))),1,0)</f>
        <v>8</v>
      </c>
    </row>
    <row r="2833" customFormat="false" ht="15" hidden="false" customHeight="false" outlineLevel="0" collapsed="false">
      <c r="A2833" s="19"/>
      <c r="B2833" s="19"/>
      <c r="C2833" s="19"/>
      <c r="D2833" s="19"/>
      <c r="E2833" s="22"/>
      <c r="F2833" s="19"/>
      <c r="G2833" s="26" t="str">
        <f aca="false">IF(D2833="","",IFERROR(VALUE(LEFT(D2833,FIND(" |",D2833&amp;" |")-1)),"?"))</f>
        <v/>
      </c>
      <c r="H2833" s="27" t="str">
        <f aca="false">IF(G2833="","",IF(G2833="?","⚠ pub inconnue",IFERROR(INDEX(Pubs!$B$2:$B$3001,MATCH(G2833,Pubs!$A$2:$A$3001,0))&amp;"","⚠ pub inconnue")))</f>
        <v/>
      </c>
      <c r="I2833" s="27" t="str">
        <f aca="false">IF(OR(G2833="",G2833="?"),"",IFERROR(INDEX(Pubs!$C$2:$C$3001,MATCH(G2833,Pubs!$A$2:$A$3001,0))&amp;"",""))</f>
        <v/>
      </c>
      <c r="J2833" s="27" t="str">
        <f aca="false">IF(OR(G2833="",G2833="?"),"",IFERROR(INDEX(Pubs!$G$2:$G$3001,MATCH(G2833,Pubs!$A$2:$A$3001,0))&amp;"",""))</f>
        <v/>
      </c>
      <c r="K2833" s="28" t="str">
        <f aca="false">IF(OR(G2833="",G2833="?"),"",IFERROR(INDEX(Pubs!$E$2:$E$3001,MATCH(G2833,Pubs!$A$2:$A$3001,0)),""))</f>
        <v/>
      </c>
      <c r="L2833" s="29" t="str">
        <f aca="false">IF(A2833="","",IFERROR(1/(1/INDEX(Numéros!$C$2:$C$3001,MATCH(A2833&amp;"|"&amp;B2833,Numéros!$F$2:$F$3001,0))),""))</f>
        <v/>
      </c>
      <c r="M2833" s="27" t="str">
        <f aca="false">IF(OR(G2833="",G2833="?"),"",IFERROR(INDEX(Pubs!$D$2:$D$3001,MATCH(G2833,Pubs!$A$2:$A$3001,0))&amp;"",""))</f>
        <v/>
      </c>
      <c r="N2833" s="27" t="n">
        <f aca="false">N(N2832)+IF(AND(A2833&lt;&gt;"",OR(Recherche!$C$4="",A2833=Recherche!$C$4),OR(Recherche!$C$5="",B2833&amp;""=Recherche!$C$5&amp;""),OR(Recherche!$C$6="",IFERROR(YEAR(L2833),0)=Recherche!$C$6),OR(Recherche!$C$7="",ISNUMBER(SEARCH(Recherche!$C$7,H2833))),OR(Recherche!$C$8="",J2833=Recherche!$C$8),OR(Recherche!$C$9="",I2833=Recherche!$C$9),OR(Recherche!$C$10="",G2833&amp;""=Recherche!$C$10&amp;""),OR(Recherche!$C$11="",E2833=Recherche!$C$11),OR(Recherche!$C$12="",ISNUMBER(SEARCH(Recherche!$C$12,M2833&amp;" "&amp;F2833)))),1,0)</f>
        <v>8</v>
      </c>
    </row>
    <row r="2834" customFormat="false" ht="15" hidden="false" customHeight="false" outlineLevel="0" collapsed="false">
      <c r="A2834" s="19"/>
      <c r="B2834" s="19"/>
      <c r="C2834" s="19"/>
      <c r="D2834" s="19"/>
      <c r="E2834" s="22"/>
      <c r="F2834" s="19"/>
      <c r="G2834" s="26" t="str">
        <f aca="false">IF(D2834="","",IFERROR(VALUE(LEFT(D2834,FIND(" |",D2834&amp;" |")-1)),"?"))</f>
        <v/>
      </c>
      <c r="H2834" s="27" t="str">
        <f aca="false">IF(G2834="","",IF(G2834="?","⚠ pub inconnue",IFERROR(INDEX(Pubs!$B$2:$B$3001,MATCH(G2834,Pubs!$A$2:$A$3001,0))&amp;"","⚠ pub inconnue")))</f>
        <v/>
      </c>
      <c r="I2834" s="27" t="str">
        <f aca="false">IF(OR(G2834="",G2834="?"),"",IFERROR(INDEX(Pubs!$C$2:$C$3001,MATCH(G2834,Pubs!$A$2:$A$3001,0))&amp;"",""))</f>
        <v/>
      </c>
      <c r="J2834" s="27" t="str">
        <f aca="false">IF(OR(G2834="",G2834="?"),"",IFERROR(INDEX(Pubs!$G$2:$G$3001,MATCH(G2834,Pubs!$A$2:$A$3001,0))&amp;"",""))</f>
        <v/>
      </c>
      <c r="K2834" s="28" t="str">
        <f aca="false">IF(OR(G2834="",G2834="?"),"",IFERROR(INDEX(Pubs!$E$2:$E$3001,MATCH(G2834,Pubs!$A$2:$A$3001,0)),""))</f>
        <v/>
      </c>
      <c r="L2834" s="29" t="str">
        <f aca="false">IF(A2834="","",IFERROR(1/(1/INDEX(Numéros!$C$2:$C$3001,MATCH(A2834&amp;"|"&amp;B2834,Numéros!$F$2:$F$3001,0))),""))</f>
        <v/>
      </c>
      <c r="M2834" s="27" t="str">
        <f aca="false">IF(OR(G2834="",G2834="?"),"",IFERROR(INDEX(Pubs!$D$2:$D$3001,MATCH(G2834,Pubs!$A$2:$A$3001,0))&amp;"",""))</f>
        <v/>
      </c>
      <c r="N2834" s="27" t="n">
        <f aca="false">N(N2833)+IF(AND(A2834&lt;&gt;"",OR(Recherche!$C$4="",A2834=Recherche!$C$4),OR(Recherche!$C$5="",B2834&amp;""=Recherche!$C$5&amp;""),OR(Recherche!$C$6="",IFERROR(YEAR(L2834),0)=Recherche!$C$6),OR(Recherche!$C$7="",ISNUMBER(SEARCH(Recherche!$C$7,H2834))),OR(Recherche!$C$8="",J2834=Recherche!$C$8),OR(Recherche!$C$9="",I2834=Recherche!$C$9),OR(Recherche!$C$10="",G2834&amp;""=Recherche!$C$10&amp;""),OR(Recherche!$C$11="",E2834=Recherche!$C$11),OR(Recherche!$C$12="",ISNUMBER(SEARCH(Recherche!$C$12,M2834&amp;" "&amp;F2834)))),1,0)</f>
        <v>8</v>
      </c>
    </row>
    <row r="2835" customFormat="false" ht="15" hidden="false" customHeight="false" outlineLevel="0" collapsed="false">
      <c r="A2835" s="19"/>
      <c r="B2835" s="19"/>
      <c r="C2835" s="19"/>
      <c r="D2835" s="19"/>
      <c r="E2835" s="22"/>
      <c r="F2835" s="19"/>
      <c r="G2835" s="26" t="str">
        <f aca="false">IF(D2835="","",IFERROR(VALUE(LEFT(D2835,FIND(" |",D2835&amp;" |")-1)),"?"))</f>
        <v/>
      </c>
      <c r="H2835" s="27" t="str">
        <f aca="false">IF(G2835="","",IF(G2835="?","⚠ pub inconnue",IFERROR(INDEX(Pubs!$B$2:$B$3001,MATCH(G2835,Pubs!$A$2:$A$3001,0))&amp;"","⚠ pub inconnue")))</f>
        <v/>
      </c>
      <c r="I2835" s="27" t="str">
        <f aca="false">IF(OR(G2835="",G2835="?"),"",IFERROR(INDEX(Pubs!$C$2:$C$3001,MATCH(G2835,Pubs!$A$2:$A$3001,0))&amp;"",""))</f>
        <v/>
      </c>
      <c r="J2835" s="27" t="str">
        <f aca="false">IF(OR(G2835="",G2835="?"),"",IFERROR(INDEX(Pubs!$G$2:$G$3001,MATCH(G2835,Pubs!$A$2:$A$3001,0))&amp;"",""))</f>
        <v/>
      </c>
      <c r="K2835" s="28" t="str">
        <f aca="false">IF(OR(G2835="",G2835="?"),"",IFERROR(INDEX(Pubs!$E$2:$E$3001,MATCH(G2835,Pubs!$A$2:$A$3001,0)),""))</f>
        <v/>
      </c>
      <c r="L2835" s="29" t="str">
        <f aca="false">IF(A2835="","",IFERROR(1/(1/INDEX(Numéros!$C$2:$C$3001,MATCH(A2835&amp;"|"&amp;B2835,Numéros!$F$2:$F$3001,0))),""))</f>
        <v/>
      </c>
      <c r="M2835" s="27" t="str">
        <f aca="false">IF(OR(G2835="",G2835="?"),"",IFERROR(INDEX(Pubs!$D$2:$D$3001,MATCH(G2835,Pubs!$A$2:$A$3001,0))&amp;"",""))</f>
        <v/>
      </c>
      <c r="N2835" s="27" t="n">
        <f aca="false">N(N2834)+IF(AND(A2835&lt;&gt;"",OR(Recherche!$C$4="",A2835=Recherche!$C$4),OR(Recherche!$C$5="",B2835&amp;""=Recherche!$C$5&amp;""),OR(Recherche!$C$6="",IFERROR(YEAR(L2835),0)=Recherche!$C$6),OR(Recherche!$C$7="",ISNUMBER(SEARCH(Recherche!$C$7,H2835))),OR(Recherche!$C$8="",J2835=Recherche!$C$8),OR(Recherche!$C$9="",I2835=Recherche!$C$9),OR(Recherche!$C$10="",G2835&amp;""=Recherche!$C$10&amp;""),OR(Recherche!$C$11="",E2835=Recherche!$C$11),OR(Recherche!$C$12="",ISNUMBER(SEARCH(Recherche!$C$12,M2835&amp;" "&amp;F2835)))),1,0)</f>
        <v>8</v>
      </c>
    </row>
    <row r="2836" customFormat="false" ht="15" hidden="false" customHeight="false" outlineLevel="0" collapsed="false">
      <c r="A2836" s="19"/>
      <c r="B2836" s="19"/>
      <c r="C2836" s="19"/>
      <c r="D2836" s="19"/>
      <c r="E2836" s="22"/>
      <c r="F2836" s="19"/>
      <c r="G2836" s="26" t="str">
        <f aca="false">IF(D2836="","",IFERROR(VALUE(LEFT(D2836,FIND(" |",D2836&amp;" |")-1)),"?"))</f>
        <v/>
      </c>
      <c r="H2836" s="27" t="str">
        <f aca="false">IF(G2836="","",IF(G2836="?","⚠ pub inconnue",IFERROR(INDEX(Pubs!$B$2:$B$3001,MATCH(G2836,Pubs!$A$2:$A$3001,0))&amp;"","⚠ pub inconnue")))</f>
        <v/>
      </c>
      <c r="I2836" s="27" t="str">
        <f aca="false">IF(OR(G2836="",G2836="?"),"",IFERROR(INDEX(Pubs!$C$2:$C$3001,MATCH(G2836,Pubs!$A$2:$A$3001,0))&amp;"",""))</f>
        <v/>
      </c>
      <c r="J2836" s="27" t="str">
        <f aca="false">IF(OR(G2836="",G2836="?"),"",IFERROR(INDEX(Pubs!$G$2:$G$3001,MATCH(G2836,Pubs!$A$2:$A$3001,0))&amp;"",""))</f>
        <v/>
      </c>
      <c r="K2836" s="28" t="str">
        <f aca="false">IF(OR(G2836="",G2836="?"),"",IFERROR(INDEX(Pubs!$E$2:$E$3001,MATCH(G2836,Pubs!$A$2:$A$3001,0)),""))</f>
        <v/>
      </c>
      <c r="L2836" s="29" t="str">
        <f aca="false">IF(A2836="","",IFERROR(1/(1/INDEX(Numéros!$C$2:$C$3001,MATCH(A2836&amp;"|"&amp;B2836,Numéros!$F$2:$F$3001,0))),""))</f>
        <v/>
      </c>
      <c r="M2836" s="27" t="str">
        <f aca="false">IF(OR(G2836="",G2836="?"),"",IFERROR(INDEX(Pubs!$D$2:$D$3001,MATCH(G2836,Pubs!$A$2:$A$3001,0))&amp;"",""))</f>
        <v/>
      </c>
      <c r="N2836" s="27" t="n">
        <f aca="false">N(N2835)+IF(AND(A2836&lt;&gt;"",OR(Recherche!$C$4="",A2836=Recherche!$C$4),OR(Recherche!$C$5="",B2836&amp;""=Recherche!$C$5&amp;""),OR(Recherche!$C$6="",IFERROR(YEAR(L2836),0)=Recherche!$C$6),OR(Recherche!$C$7="",ISNUMBER(SEARCH(Recherche!$C$7,H2836))),OR(Recherche!$C$8="",J2836=Recherche!$C$8),OR(Recherche!$C$9="",I2836=Recherche!$C$9),OR(Recherche!$C$10="",G2836&amp;""=Recherche!$C$10&amp;""),OR(Recherche!$C$11="",E2836=Recherche!$C$11),OR(Recherche!$C$12="",ISNUMBER(SEARCH(Recherche!$C$12,M2836&amp;" "&amp;F2836)))),1,0)</f>
        <v>8</v>
      </c>
    </row>
    <row r="2837" customFormat="false" ht="15" hidden="false" customHeight="false" outlineLevel="0" collapsed="false">
      <c r="A2837" s="19"/>
      <c r="B2837" s="19"/>
      <c r="C2837" s="19"/>
      <c r="D2837" s="19"/>
      <c r="E2837" s="22"/>
      <c r="F2837" s="19"/>
      <c r="G2837" s="26" t="str">
        <f aca="false">IF(D2837="","",IFERROR(VALUE(LEFT(D2837,FIND(" |",D2837&amp;" |")-1)),"?"))</f>
        <v/>
      </c>
      <c r="H2837" s="27" t="str">
        <f aca="false">IF(G2837="","",IF(G2837="?","⚠ pub inconnue",IFERROR(INDEX(Pubs!$B$2:$B$3001,MATCH(G2837,Pubs!$A$2:$A$3001,0))&amp;"","⚠ pub inconnue")))</f>
        <v/>
      </c>
      <c r="I2837" s="27" t="str">
        <f aca="false">IF(OR(G2837="",G2837="?"),"",IFERROR(INDEX(Pubs!$C$2:$C$3001,MATCH(G2837,Pubs!$A$2:$A$3001,0))&amp;"",""))</f>
        <v/>
      </c>
      <c r="J2837" s="27" t="str">
        <f aca="false">IF(OR(G2837="",G2837="?"),"",IFERROR(INDEX(Pubs!$G$2:$G$3001,MATCH(G2837,Pubs!$A$2:$A$3001,0))&amp;"",""))</f>
        <v/>
      </c>
      <c r="K2837" s="28" t="str">
        <f aca="false">IF(OR(G2837="",G2837="?"),"",IFERROR(INDEX(Pubs!$E$2:$E$3001,MATCH(G2837,Pubs!$A$2:$A$3001,0)),""))</f>
        <v/>
      </c>
      <c r="L2837" s="29" t="str">
        <f aca="false">IF(A2837="","",IFERROR(1/(1/INDEX(Numéros!$C$2:$C$3001,MATCH(A2837&amp;"|"&amp;B2837,Numéros!$F$2:$F$3001,0))),""))</f>
        <v/>
      </c>
      <c r="M2837" s="27" t="str">
        <f aca="false">IF(OR(G2837="",G2837="?"),"",IFERROR(INDEX(Pubs!$D$2:$D$3001,MATCH(G2837,Pubs!$A$2:$A$3001,0))&amp;"",""))</f>
        <v/>
      </c>
      <c r="N2837" s="27" t="n">
        <f aca="false">N(N2836)+IF(AND(A2837&lt;&gt;"",OR(Recherche!$C$4="",A2837=Recherche!$C$4),OR(Recherche!$C$5="",B2837&amp;""=Recherche!$C$5&amp;""),OR(Recherche!$C$6="",IFERROR(YEAR(L2837),0)=Recherche!$C$6),OR(Recherche!$C$7="",ISNUMBER(SEARCH(Recherche!$C$7,H2837))),OR(Recherche!$C$8="",J2837=Recherche!$C$8),OR(Recherche!$C$9="",I2837=Recherche!$C$9),OR(Recherche!$C$10="",G2837&amp;""=Recherche!$C$10&amp;""),OR(Recherche!$C$11="",E2837=Recherche!$C$11),OR(Recherche!$C$12="",ISNUMBER(SEARCH(Recherche!$C$12,M2837&amp;" "&amp;F2837)))),1,0)</f>
        <v>8</v>
      </c>
    </row>
    <row r="2838" customFormat="false" ht="15" hidden="false" customHeight="false" outlineLevel="0" collapsed="false">
      <c r="A2838" s="19"/>
      <c r="B2838" s="19"/>
      <c r="C2838" s="19"/>
      <c r="D2838" s="19"/>
      <c r="E2838" s="22"/>
      <c r="F2838" s="19"/>
      <c r="G2838" s="26" t="str">
        <f aca="false">IF(D2838="","",IFERROR(VALUE(LEFT(D2838,FIND(" |",D2838&amp;" |")-1)),"?"))</f>
        <v/>
      </c>
      <c r="H2838" s="27" t="str">
        <f aca="false">IF(G2838="","",IF(G2838="?","⚠ pub inconnue",IFERROR(INDEX(Pubs!$B$2:$B$3001,MATCH(G2838,Pubs!$A$2:$A$3001,0))&amp;"","⚠ pub inconnue")))</f>
        <v/>
      </c>
      <c r="I2838" s="27" t="str">
        <f aca="false">IF(OR(G2838="",G2838="?"),"",IFERROR(INDEX(Pubs!$C$2:$C$3001,MATCH(G2838,Pubs!$A$2:$A$3001,0))&amp;"",""))</f>
        <v/>
      </c>
      <c r="J2838" s="27" t="str">
        <f aca="false">IF(OR(G2838="",G2838="?"),"",IFERROR(INDEX(Pubs!$G$2:$G$3001,MATCH(G2838,Pubs!$A$2:$A$3001,0))&amp;"",""))</f>
        <v/>
      </c>
      <c r="K2838" s="28" t="str">
        <f aca="false">IF(OR(G2838="",G2838="?"),"",IFERROR(INDEX(Pubs!$E$2:$E$3001,MATCH(G2838,Pubs!$A$2:$A$3001,0)),""))</f>
        <v/>
      </c>
      <c r="L2838" s="29" t="str">
        <f aca="false">IF(A2838="","",IFERROR(1/(1/INDEX(Numéros!$C$2:$C$3001,MATCH(A2838&amp;"|"&amp;B2838,Numéros!$F$2:$F$3001,0))),""))</f>
        <v/>
      </c>
      <c r="M2838" s="27" t="str">
        <f aca="false">IF(OR(G2838="",G2838="?"),"",IFERROR(INDEX(Pubs!$D$2:$D$3001,MATCH(G2838,Pubs!$A$2:$A$3001,0))&amp;"",""))</f>
        <v/>
      </c>
      <c r="N2838" s="27" t="n">
        <f aca="false">N(N2837)+IF(AND(A2838&lt;&gt;"",OR(Recherche!$C$4="",A2838=Recherche!$C$4),OR(Recherche!$C$5="",B2838&amp;""=Recherche!$C$5&amp;""),OR(Recherche!$C$6="",IFERROR(YEAR(L2838),0)=Recherche!$C$6),OR(Recherche!$C$7="",ISNUMBER(SEARCH(Recherche!$C$7,H2838))),OR(Recherche!$C$8="",J2838=Recherche!$C$8),OR(Recherche!$C$9="",I2838=Recherche!$C$9),OR(Recherche!$C$10="",G2838&amp;""=Recherche!$C$10&amp;""),OR(Recherche!$C$11="",E2838=Recherche!$C$11),OR(Recherche!$C$12="",ISNUMBER(SEARCH(Recherche!$C$12,M2838&amp;" "&amp;F2838)))),1,0)</f>
        <v>8</v>
      </c>
    </row>
    <row r="2839" customFormat="false" ht="15" hidden="false" customHeight="false" outlineLevel="0" collapsed="false">
      <c r="A2839" s="19"/>
      <c r="B2839" s="19"/>
      <c r="C2839" s="19"/>
      <c r="D2839" s="19"/>
      <c r="E2839" s="22"/>
      <c r="F2839" s="19"/>
      <c r="G2839" s="26" t="str">
        <f aca="false">IF(D2839="","",IFERROR(VALUE(LEFT(D2839,FIND(" |",D2839&amp;" |")-1)),"?"))</f>
        <v/>
      </c>
      <c r="H2839" s="27" t="str">
        <f aca="false">IF(G2839="","",IF(G2839="?","⚠ pub inconnue",IFERROR(INDEX(Pubs!$B$2:$B$3001,MATCH(G2839,Pubs!$A$2:$A$3001,0))&amp;"","⚠ pub inconnue")))</f>
        <v/>
      </c>
      <c r="I2839" s="27" t="str">
        <f aca="false">IF(OR(G2839="",G2839="?"),"",IFERROR(INDEX(Pubs!$C$2:$C$3001,MATCH(G2839,Pubs!$A$2:$A$3001,0))&amp;"",""))</f>
        <v/>
      </c>
      <c r="J2839" s="27" t="str">
        <f aca="false">IF(OR(G2839="",G2839="?"),"",IFERROR(INDEX(Pubs!$G$2:$G$3001,MATCH(G2839,Pubs!$A$2:$A$3001,0))&amp;"",""))</f>
        <v/>
      </c>
      <c r="K2839" s="28" t="str">
        <f aca="false">IF(OR(G2839="",G2839="?"),"",IFERROR(INDEX(Pubs!$E$2:$E$3001,MATCH(G2839,Pubs!$A$2:$A$3001,0)),""))</f>
        <v/>
      </c>
      <c r="L2839" s="29" t="str">
        <f aca="false">IF(A2839="","",IFERROR(1/(1/INDEX(Numéros!$C$2:$C$3001,MATCH(A2839&amp;"|"&amp;B2839,Numéros!$F$2:$F$3001,0))),""))</f>
        <v/>
      </c>
      <c r="M2839" s="27" t="str">
        <f aca="false">IF(OR(G2839="",G2839="?"),"",IFERROR(INDEX(Pubs!$D$2:$D$3001,MATCH(G2839,Pubs!$A$2:$A$3001,0))&amp;"",""))</f>
        <v/>
      </c>
      <c r="N2839" s="27" t="n">
        <f aca="false">N(N2838)+IF(AND(A2839&lt;&gt;"",OR(Recherche!$C$4="",A2839=Recherche!$C$4),OR(Recherche!$C$5="",B2839&amp;""=Recherche!$C$5&amp;""),OR(Recherche!$C$6="",IFERROR(YEAR(L2839),0)=Recherche!$C$6),OR(Recherche!$C$7="",ISNUMBER(SEARCH(Recherche!$C$7,H2839))),OR(Recherche!$C$8="",J2839=Recherche!$C$8),OR(Recherche!$C$9="",I2839=Recherche!$C$9),OR(Recherche!$C$10="",G2839&amp;""=Recherche!$C$10&amp;""),OR(Recherche!$C$11="",E2839=Recherche!$C$11),OR(Recherche!$C$12="",ISNUMBER(SEARCH(Recherche!$C$12,M2839&amp;" "&amp;F2839)))),1,0)</f>
        <v>8</v>
      </c>
    </row>
    <row r="2840" customFormat="false" ht="15" hidden="false" customHeight="false" outlineLevel="0" collapsed="false">
      <c r="A2840" s="19"/>
      <c r="B2840" s="19"/>
      <c r="C2840" s="19"/>
      <c r="D2840" s="19"/>
      <c r="E2840" s="22"/>
      <c r="F2840" s="19"/>
      <c r="G2840" s="26" t="str">
        <f aca="false">IF(D2840="","",IFERROR(VALUE(LEFT(D2840,FIND(" |",D2840&amp;" |")-1)),"?"))</f>
        <v/>
      </c>
      <c r="H2840" s="27" t="str">
        <f aca="false">IF(G2840="","",IF(G2840="?","⚠ pub inconnue",IFERROR(INDEX(Pubs!$B$2:$B$3001,MATCH(G2840,Pubs!$A$2:$A$3001,0))&amp;"","⚠ pub inconnue")))</f>
        <v/>
      </c>
      <c r="I2840" s="27" t="str">
        <f aca="false">IF(OR(G2840="",G2840="?"),"",IFERROR(INDEX(Pubs!$C$2:$C$3001,MATCH(G2840,Pubs!$A$2:$A$3001,0))&amp;"",""))</f>
        <v/>
      </c>
      <c r="J2840" s="27" t="str">
        <f aca="false">IF(OR(G2840="",G2840="?"),"",IFERROR(INDEX(Pubs!$G$2:$G$3001,MATCH(G2840,Pubs!$A$2:$A$3001,0))&amp;"",""))</f>
        <v/>
      </c>
      <c r="K2840" s="28" t="str">
        <f aca="false">IF(OR(G2840="",G2840="?"),"",IFERROR(INDEX(Pubs!$E$2:$E$3001,MATCH(G2840,Pubs!$A$2:$A$3001,0)),""))</f>
        <v/>
      </c>
      <c r="L2840" s="29" t="str">
        <f aca="false">IF(A2840="","",IFERROR(1/(1/INDEX(Numéros!$C$2:$C$3001,MATCH(A2840&amp;"|"&amp;B2840,Numéros!$F$2:$F$3001,0))),""))</f>
        <v/>
      </c>
      <c r="M2840" s="27" t="str">
        <f aca="false">IF(OR(G2840="",G2840="?"),"",IFERROR(INDEX(Pubs!$D$2:$D$3001,MATCH(G2840,Pubs!$A$2:$A$3001,0))&amp;"",""))</f>
        <v/>
      </c>
      <c r="N2840" s="27" t="n">
        <f aca="false">N(N2839)+IF(AND(A2840&lt;&gt;"",OR(Recherche!$C$4="",A2840=Recherche!$C$4),OR(Recherche!$C$5="",B2840&amp;""=Recherche!$C$5&amp;""),OR(Recherche!$C$6="",IFERROR(YEAR(L2840),0)=Recherche!$C$6),OR(Recherche!$C$7="",ISNUMBER(SEARCH(Recherche!$C$7,H2840))),OR(Recherche!$C$8="",J2840=Recherche!$C$8),OR(Recherche!$C$9="",I2840=Recherche!$C$9),OR(Recherche!$C$10="",G2840&amp;""=Recherche!$C$10&amp;""),OR(Recherche!$C$11="",E2840=Recherche!$C$11),OR(Recherche!$C$12="",ISNUMBER(SEARCH(Recherche!$C$12,M2840&amp;" "&amp;F2840)))),1,0)</f>
        <v>8</v>
      </c>
    </row>
    <row r="2841" customFormat="false" ht="15" hidden="false" customHeight="false" outlineLevel="0" collapsed="false">
      <c r="A2841" s="19"/>
      <c r="B2841" s="19"/>
      <c r="C2841" s="19"/>
      <c r="D2841" s="19"/>
      <c r="E2841" s="22"/>
      <c r="F2841" s="19"/>
      <c r="G2841" s="26" t="str">
        <f aca="false">IF(D2841="","",IFERROR(VALUE(LEFT(D2841,FIND(" |",D2841&amp;" |")-1)),"?"))</f>
        <v/>
      </c>
      <c r="H2841" s="27" t="str">
        <f aca="false">IF(G2841="","",IF(G2841="?","⚠ pub inconnue",IFERROR(INDEX(Pubs!$B$2:$B$3001,MATCH(G2841,Pubs!$A$2:$A$3001,0))&amp;"","⚠ pub inconnue")))</f>
        <v/>
      </c>
      <c r="I2841" s="27" t="str">
        <f aca="false">IF(OR(G2841="",G2841="?"),"",IFERROR(INDEX(Pubs!$C$2:$C$3001,MATCH(G2841,Pubs!$A$2:$A$3001,0))&amp;"",""))</f>
        <v/>
      </c>
      <c r="J2841" s="27" t="str">
        <f aca="false">IF(OR(G2841="",G2841="?"),"",IFERROR(INDEX(Pubs!$G$2:$G$3001,MATCH(G2841,Pubs!$A$2:$A$3001,0))&amp;"",""))</f>
        <v/>
      </c>
      <c r="K2841" s="28" t="str">
        <f aca="false">IF(OR(G2841="",G2841="?"),"",IFERROR(INDEX(Pubs!$E$2:$E$3001,MATCH(G2841,Pubs!$A$2:$A$3001,0)),""))</f>
        <v/>
      </c>
      <c r="L2841" s="29" t="str">
        <f aca="false">IF(A2841="","",IFERROR(1/(1/INDEX(Numéros!$C$2:$C$3001,MATCH(A2841&amp;"|"&amp;B2841,Numéros!$F$2:$F$3001,0))),""))</f>
        <v/>
      </c>
      <c r="M2841" s="27" t="str">
        <f aca="false">IF(OR(G2841="",G2841="?"),"",IFERROR(INDEX(Pubs!$D$2:$D$3001,MATCH(G2841,Pubs!$A$2:$A$3001,0))&amp;"",""))</f>
        <v/>
      </c>
      <c r="N2841" s="27" t="n">
        <f aca="false">N(N2840)+IF(AND(A2841&lt;&gt;"",OR(Recherche!$C$4="",A2841=Recherche!$C$4),OR(Recherche!$C$5="",B2841&amp;""=Recherche!$C$5&amp;""),OR(Recherche!$C$6="",IFERROR(YEAR(L2841),0)=Recherche!$C$6),OR(Recherche!$C$7="",ISNUMBER(SEARCH(Recherche!$C$7,H2841))),OR(Recherche!$C$8="",J2841=Recherche!$C$8),OR(Recherche!$C$9="",I2841=Recherche!$C$9),OR(Recherche!$C$10="",G2841&amp;""=Recherche!$C$10&amp;""),OR(Recherche!$C$11="",E2841=Recherche!$C$11),OR(Recherche!$C$12="",ISNUMBER(SEARCH(Recherche!$C$12,M2841&amp;" "&amp;F2841)))),1,0)</f>
        <v>8</v>
      </c>
    </row>
    <row r="2842" customFormat="false" ht="15" hidden="false" customHeight="false" outlineLevel="0" collapsed="false">
      <c r="A2842" s="19"/>
      <c r="B2842" s="19"/>
      <c r="C2842" s="19"/>
      <c r="D2842" s="19"/>
      <c r="E2842" s="22"/>
      <c r="F2842" s="19"/>
      <c r="G2842" s="26" t="str">
        <f aca="false">IF(D2842="","",IFERROR(VALUE(LEFT(D2842,FIND(" |",D2842&amp;" |")-1)),"?"))</f>
        <v/>
      </c>
      <c r="H2842" s="27" t="str">
        <f aca="false">IF(G2842="","",IF(G2842="?","⚠ pub inconnue",IFERROR(INDEX(Pubs!$B$2:$B$3001,MATCH(G2842,Pubs!$A$2:$A$3001,0))&amp;"","⚠ pub inconnue")))</f>
        <v/>
      </c>
      <c r="I2842" s="27" t="str">
        <f aca="false">IF(OR(G2842="",G2842="?"),"",IFERROR(INDEX(Pubs!$C$2:$C$3001,MATCH(G2842,Pubs!$A$2:$A$3001,0))&amp;"",""))</f>
        <v/>
      </c>
      <c r="J2842" s="27" t="str">
        <f aca="false">IF(OR(G2842="",G2842="?"),"",IFERROR(INDEX(Pubs!$G$2:$G$3001,MATCH(G2842,Pubs!$A$2:$A$3001,0))&amp;"",""))</f>
        <v/>
      </c>
      <c r="K2842" s="28" t="str">
        <f aca="false">IF(OR(G2842="",G2842="?"),"",IFERROR(INDEX(Pubs!$E$2:$E$3001,MATCH(G2842,Pubs!$A$2:$A$3001,0)),""))</f>
        <v/>
      </c>
      <c r="L2842" s="29" t="str">
        <f aca="false">IF(A2842="","",IFERROR(1/(1/INDEX(Numéros!$C$2:$C$3001,MATCH(A2842&amp;"|"&amp;B2842,Numéros!$F$2:$F$3001,0))),""))</f>
        <v/>
      </c>
      <c r="M2842" s="27" t="str">
        <f aca="false">IF(OR(G2842="",G2842="?"),"",IFERROR(INDEX(Pubs!$D$2:$D$3001,MATCH(G2842,Pubs!$A$2:$A$3001,0))&amp;"",""))</f>
        <v/>
      </c>
      <c r="N2842" s="27" t="n">
        <f aca="false">N(N2841)+IF(AND(A2842&lt;&gt;"",OR(Recherche!$C$4="",A2842=Recherche!$C$4),OR(Recherche!$C$5="",B2842&amp;""=Recherche!$C$5&amp;""),OR(Recherche!$C$6="",IFERROR(YEAR(L2842),0)=Recherche!$C$6),OR(Recherche!$C$7="",ISNUMBER(SEARCH(Recherche!$C$7,H2842))),OR(Recherche!$C$8="",J2842=Recherche!$C$8),OR(Recherche!$C$9="",I2842=Recherche!$C$9),OR(Recherche!$C$10="",G2842&amp;""=Recherche!$C$10&amp;""),OR(Recherche!$C$11="",E2842=Recherche!$C$11),OR(Recherche!$C$12="",ISNUMBER(SEARCH(Recherche!$C$12,M2842&amp;" "&amp;F2842)))),1,0)</f>
        <v>8</v>
      </c>
    </row>
    <row r="2843" customFormat="false" ht="15" hidden="false" customHeight="false" outlineLevel="0" collapsed="false">
      <c r="A2843" s="19"/>
      <c r="B2843" s="19"/>
      <c r="C2843" s="19"/>
      <c r="D2843" s="19"/>
      <c r="E2843" s="22"/>
      <c r="F2843" s="19"/>
      <c r="G2843" s="26" t="str">
        <f aca="false">IF(D2843="","",IFERROR(VALUE(LEFT(D2843,FIND(" |",D2843&amp;" |")-1)),"?"))</f>
        <v/>
      </c>
      <c r="H2843" s="27" t="str">
        <f aca="false">IF(G2843="","",IF(G2843="?","⚠ pub inconnue",IFERROR(INDEX(Pubs!$B$2:$B$3001,MATCH(G2843,Pubs!$A$2:$A$3001,0))&amp;"","⚠ pub inconnue")))</f>
        <v/>
      </c>
      <c r="I2843" s="27" t="str">
        <f aca="false">IF(OR(G2843="",G2843="?"),"",IFERROR(INDEX(Pubs!$C$2:$C$3001,MATCH(G2843,Pubs!$A$2:$A$3001,0))&amp;"",""))</f>
        <v/>
      </c>
      <c r="J2843" s="27" t="str">
        <f aca="false">IF(OR(G2843="",G2843="?"),"",IFERROR(INDEX(Pubs!$G$2:$G$3001,MATCH(G2843,Pubs!$A$2:$A$3001,0))&amp;"",""))</f>
        <v/>
      </c>
      <c r="K2843" s="28" t="str">
        <f aca="false">IF(OR(G2843="",G2843="?"),"",IFERROR(INDEX(Pubs!$E$2:$E$3001,MATCH(G2843,Pubs!$A$2:$A$3001,0)),""))</f>
        <v/>
      </c>
      <c r="L2843" s="29" t="str">
        <f aca="false">IF(A2843="","",IFERROR(1/(1/INDEX(Numéros!$C$2:$C$3001,MATCH(A2843&amp;"|"&amp;B2843,Numéros!$F$2:$F$3001,0))),""))</f>
        <v/>
      </c>
      <c r="M2843" s="27" t="str">
        <f aca="false">IF(OR(G2843="",G2843="?"),"",IFERROR(INDEX(Pubs!$D$2:$D$3001,MATCH(G2843,Pubs!$A$2:$A$3001,0))&amp;"",""))</f>
        <v/>
      </c>
      <c r="N2843" s="27" t="n">
        <f aca="false">N(N2842)+IF(AND(A2843&lt;&gt;"",OR(Recherche!$C$4="",A2843=Recherche!$C$4),OR(Recherche!$C$5="",B2843&amp;""=Recherche!$C$5&amp;""),OR(Recherche!$C$6="",IFERROR(YEAR(L2843),0)=Recherche!$C$6),OR(Recherche!$C$7="",ISNUMBER(SEARCH(Recherche!$C$7,H2843))),OR(Recherche!$C$8="",J2843=Recherche!$C$8),OR(Recherche!$C$9="",I2843=Recherche!$C$9),OR(Recherche!$C$10="",G2843&amp;""=Recherche!$C$10&amp;""),OR(Recherche!$C$11="",E2843=Recherche!$C$11),OR(Recherche!$C$12="",ISNUMBER(SEARCH(Recherche!$C$12,M2843&amp;" "&amp;F2843)))),1,0)</f>
        <v>8</v>
      </c>
    </row>
    <row r="2844" customFormat="false" ht="15" hidden="false" customHeight="false" outlineLevel="0" collapsed="false">
      <c r="A2844" s="19"/>
      <c r="B2844" s="19"/>
      <c r="C2844" s="19"/>
      <c r="D2844" s="19"/>
      <c r="E2844" s="22"/>
      <c r="F2844" s="19"/>
      <c r="G2844" s="26" t="str">
        <f aca="false">IF(D2844="","",IFERROR(VALUE(LEFT(D2844,FIND(" |",D2844&amp;" |")-1)),"?"))</f>
        <v/>
      </c>
      <c r="H2844" s="27" t="str">
        <f aca="false">IF(G2844="","",IF(G2844="?","⚠ pub inconnue",IFERROR(INDEX(Pubs!$B$2:$B$3001,MATCH(G2844,Pubs!$A$2:$A$3001,0))&amp;"","⚠ pub inconnue")))</f>
        <v/>
      </c>
      <c r="I2844" s="27" t="str">
        <f aca="false">IF(OR(G2844="",G2844="?"),"",IFERROR(INDEX(Pubs!$C$2:$C$3001,MATCH(G2844,Pubs!$A$2:$A$3001,0))&amp;"",""))</f>
        <v/>
      </c>
      <c r="J2844" s="27" t="str">
        <f aca="false">IF(OR(G2844="",G2844="?"),"",IFERROR(INDEX(Pubs!$G$2:$G$3001,MATCH(G2844,Pubs!$A$2:$A$3001,0))&amp;"",""))</f>
        <v/>
      </c>
      <c r="K2844" s="28" t="str">
        <f aca="false">IF(OR(G2844="",G2844="?"),"",IFERROR(INDEX(Pubs!$E$2:$E$3001,MATCH(G2844,Pubs!$A$2:$A$3001,0)),""))</f>
        <v/>
      </c>
      <c r="L2844" s="29" t="str">
        <f aca="false">IF(A2844="","",IFERROR(1/(1/INDEX(Numéros!$C$2:$C$3001,MATCH(A2844&amp;"|"&amp;B2844,Numéros!$F$2:$F$3001,0))),""))</f>
        <v/>
      </c>
      <c r="M2844" s="27" t="str">
        <f aca="false">IF(OR(G2844="",G2844="?"),"",IFERROR(INDEX(Pubs!$D$2:$D$3001,MATCH(G2844,Pubs!$A$2:$A$3001,0))&amp;"",""))</f>
        <v/>
      </c>
      <c r="N2844" s="27" t="n">
        <f aca="false">N(N2843)+IF(AND(A2844&lt;&gt;"",OR(Recherche!$C$4="",A2844=Recherche!$C$4),OR(Recherche!$C$5="",B2844&amp;""=Recherche!$C$5&amp;""),OR(Recherche!$C$6="",IFERROR(YEAR(L2844),0)=Recherche!$C$6),OR(Recherche!$C$7="",ISNUMBER(SEARCH(Recherche!$C$7,H2844))),OR(Recherche!$C$8="",J2844=Recherche!$C$8),OR(Recherche!$C$9="",I2844=Recherche!$C$9),OR(Recherche!$C$10="",G2844&amp;""=Recherche!$C$10&amp;""),OR(Recherche!$C$11="",E2844=Recherche!$C$11),OR(Recherche!$C$12="",ISNUMBER(SEARCH(Recherche!$C$12,M2844&amp;" "&amp;F2844)))),1,0)</f>
        <v>8</v>
      </c>
    </row>
    <row r="2845" customFormat="false" ht="15" hidden="false" customHeight="false" outlineLevel="0" collapsed="false">
      <c r="A2845" s="19"/>
      <c r="B2845" s="19"/>
      <c r="C2845" s="19"/>
      <c r="D2845" s="19"/>
      <c r="E2845" s="22"/>
      <c r="F2845" s="19"/>
      <c r="G2845" s="26" t="str">
        <f aca="false">IF(D2845="","",IFERROR(VALUE(LEFT(D2845,FIND(" |",D2845&amp;" |")-1)),"?"))</f>
        <v/>
      </c>
      <c r="H2845" s="27" t="str">
        <f aca="false">IF(G2845="","",IF(G2845="?","⚠ pub inconnue",IFERROR(INDEX(Pubs!$B$2:$B$3001,MATCH(G2845,Pubs!$A$2:$A$3001,0))&amp;"","⚠ pub inconnue")))</f>
        <v/>
      </c>
      <c r="I2845" s="27" t="str">
        <f aca="false">IF(OR(G2845="",G2845="?"),"",IFERROR(INDEX(Pubs!$C$2:$C$3001,MATCH(G2845,Pubs!$A$2:$A$3001,0))&amp;"",""))</f>
        <v/>
      </c>
      <c r="J2845" s="27" t="str">
        <f aca="false">IF(OR(G2845="",G2845="?"),"",IFERROR(INDEX(Pubs!$G$2:$G$3001,MATCH(G2845,Pubs!$A$2:$A$3001,0))&amp;"",""))</f>
        <v/>
      </c>
      <c r="K2845" s="28" t="str">
        <f aca="false">IF(OR(G2845="",G2845="?"),"",IFERROR(INDEX(Pubs!$E$2:$E$3001,MATCH(G2845,Pubs!$A$2:$A$3001,0)),""))</f>
        <v/>
      </c>
      <c r="L2845" s="29" t="str">
        <f aca="false">IF(A2845="","",IFERROR(1/(1/INDEX(Numéros!$C$2:$C$3001,MATCH(A2845&amp;"|"&amp;B2845,Numéros!$F$2:$F$3001,0))),""))</f>
        <v/>
      </c>
      <c r="M2845" s="27" t="str">
        <f aca="false">IF(OR(G2845="",G2845="?"),"",IFERROR(INDEX(Pubs!$D$2:$D$3001,MATCH(G2845,Pubs!$A$2:$A$3001,0))&amp;"",""))</f>
        <v/>
      </c>
      <c r="N2845" s="27" t="n">
        <f aca="false">N(N2844)+IF(AND(A2845&lt;&gt;"",OR(Recherche!$C$4="",A2845=Recherche!$C$4),OR(Recherche!$C$5="",B2845&amp;""=Recherche!$C$5&amp;""),OR(Recherche!$C$6="",IFERROR(YEAR(L2845),0)=Recherche!$C$6),OR(Recherche!$C$7="",ISNUMBER(SEARCH(Recherche!$C$7,H2845))),OR(Recherche!$C$8="",J2845=Recherche!$C$8),OR(Recherche!$C$9="",I2845=Recherche!$C$9),OR(Recherche!$C$10="",G2845&amp;""=Recherche!$C$10&amp;""),OR(Recherche!$C$11="",E2845=Recherche!$C$11),OR(Recherche!$C$12="",ISNUMBER(SEARCH(Recherche!$C$12,M2845&amp;" "&amp;F2845)))),1,0)</f>
        <v>8</v>
      </c>
    </row>
    <row r="2846" customFormat="false" ht="15" hidden="false" customHeight="false" outlineLevel="0" collapsed="false">
      <c r="A2846" s="19"/>
      <c r="B2846" s="19"/>
      <c r="C2846" s="19"/>
      <c r="D2846" s="19"/>
      <c r="E2846" s="22"/>
      <c r="F2846" s="19"/>
      <c r="G2846" s="26" t="str">
        <f aca="false">IF(D2846="","",IFERROR(VALUE(LEFT(D2846,FIND(" |",D2846&amp;" |")-1)),"?"))</f>
        <v/>
      </c>
      <c r="H2846" s="27" t="str">
        <f aca="false">IF(G2846="","",IF(G2846="?","⚠ pub inconnue",IFERROR(INDEX(Pubs!$B$2:$B$3001,MATCH(G2846,Pubs!$A$2:$A$3001,0))&amp;"","⚠ pub inconnue")))</f>
        <v/>
      </c>
      <c r="I2846" s="27" t="str">
        <f aca="false">IF(OR(G2846="",G2846="?"),"",IFERROR(INDEX(Pubs!$C$2:$C$3001,MATCH(G2846,Pubs!$A$2:$A$3001,0))&amp;"",""))</f>
        <v/>
      </c>
      <c r="J2846" s="27" t="str">
        <f aca="false">IF(OR(G2846="",G2846="?"),"",IFERROR(INDEX(Pubs!$G$2:$G$3001,MATCH(G2846,Pubs!$A$2:$A$3001,0))&amp;"",""))</f>
        <v/>
      </c>
      <c r="K2846" s="28" t="str">
        <f aca="false">IF(OR(G2846="",G2846="?"),"",IFERROR(INDEX(Pubs!$E$2:$E$3001,MATCH(G2846,Pubs!$A$2:$A$3001,0)),""))</f>
        <v/>
      </c>
      <c r="L2846" s="29" t="str">
        <f aca="false">IF(A2846="","",IFERROR(1/(1/INDEX(Numéros!$C$2:$C$3001,MATCH(A2846&amp;"|"&amp;B2846,Numéros!$F$2:$F$3001,0))),""))</f>
        <v/>
      </c>
      <c r="M2846" s="27" t="str">
        <f aca="false">IF(OR(G2846="",G2846="?"),"",IFERROR(INDEX(Pubs!$D$2:$D$3001,MATCH(G2846,Pubs!$A$2:$A$3001,0))&amp;"",""))</f>
        <v/>
      </c>
      <c r="N2846" s="27" t="n">
        <f aca="false">N(N2845)+IF(AND(A2846&lt;&gt;"",OR(Recherche!$C$4="",A2846=Recherche!$C$4),OR(Recherche!$C$5="",B2846&amp;""=Recherche!$C$5&amp;""),OR(Recherche!$C$6="",IFERROR(YEAR(L2846),0)=Recherche!$C$6),OR(Recherche!$C$7="",ISNUMBER(SEARCH(Recherche!$C$7,H2846))),OR(Recherche!$C$8="",J2846=Recherche!$C$8),OR(Recherche!$C$9="",I2846=Recherche!$C$9),OR(Recherche!$C$10="",G2846&amp;""=Recherche!$C$10&amp;""),OR(Recherche!$C$11="",E2846=Recherche!$C$11),OR(Recherche!$C$12="",ISNUMBER(SEARCH(Recherche!$C$12,M2846&amp;" "&amp;F2846)))),1,0)</f>
        <v>8</v>
      </c>
    </row>
    <row r="2847" customFormat="false" ht="15" hidden="false" customHeight="false" outlineLevel="0" collapsed="false">
      <c r="A2847" s="19"/>
      <c r="B2847" s="19"/>
      <c r="C2847" s="19"/>
      <c r="D2847" s="19"/>
      <c r="E2847" s="22"/>
      <c r="F2847" s="19"/>
      <c r="G2847" s="26" t="str">
        <f aca="false">IF(D2847="","",IFERROR(VALUE(LEFT(D2847,FIND(" |",D2847&amp;" |")-1)),"?"))</f>
        <v/>
      </c>
      <c r="H2847" s="27" t="str">
        <f aca="false">IF(G2847="","",IF(G2847="?","⚠ pub inconnue",IFERROR(INDEX(Pubs!$B$2:$B$3001,MATCH(G2847,Pubs!$A$2:$A$3001,0))&amp;"","⚠ pub inconnue")))</f>
        <v/>
      </c>
      <c r="I2847" s="27" t="str">
        <f aca="false">IF(OR(G2847="",G2847="?"),"",IFERROR(INDEX(Pubs!$C$2:$C$3001,MATCH(G2847,Pubs!$A$2:$A$3001,0))&amp;"",""))</f>
        <v/>
      </c>
      <c r="J2847" s="27" t="str">
        <f aca="false">IF(OR(G2847="",G2847="?"),"",IFERROR(INDEX(Pubs!$G$2:$G$3001,MATCH(G2847,Pubs!$A$2:$A$3001,0))&amp;"",""))</f>
        <v/>
      </c>
      <c r="K2847" s="28" t="str">
        <f aca="false">IF(OR(G2847="",G2847="?"),"",IFERROR(INDEX(Pubs!$E$2:$E$3001,MATCH(G2847,Pubs!$A$2:$A$3001,0)),""))</f>
        <v/>
      </c>
      <c r="L2847" s="29" t="str">
        <f aca="false">IF(A2847="","",IFERROR(1/(1/INDEX(Numéros!$C$2:$C$3001,MATCH(A2847&amp;"|"&amp;B2847,Numéros!$F$2:$F$3001,0))),""))</f>
        <v/>
      </c>
      <c r="M2847" s="27" t="str">
        <f aca="false">IF(OR(G2847="",G2847="?"),"",IFERROR(INDEX(Pubs!$D$2:$D$3001,MATCH(G2847,Pubs!$A$2:$A$3001,0))&amp;"",""))</f>
        <v/>
      </c>
      <c r="N2847" s="27" t="n">
        <f aca="false">N(N2846)+IF(AND(A2847&lt;&gt;"",OR(Recherche!$C$4="",A2847=Recherche!$C$4),OR(Recherche!$C$5="",B2847&amp;""=Recherche!$C$5&amp;""),OR(Recherche!$C$6="",IFERROR(YEAR(L2847),0)=Recherche!$C$6),OR(Recherche!$C$7="",ISNUMBER(SEARCH(Recherche!$C$7,H2847))),OR(Recherche!$C$8="",J2847=Recherche!$C$8),OR(Recherche!$C$9="",I2847=Recherche!$C$9),OR(Recherche!$C$10="",G2847&amp;""=Recherche!$C$10&amp;""),OR(Recherche!$C$11="",E2847=Recherche!$C$11),OR(Recherche!$C$12="",ISNUMBER(SEARCH(Recherche!$C$12,M2847&amp;" "&amp;F2847)))),1,0)</f>
        <v>8</v>
      </c>
    </row>
    <row r="2848" customFormat="false" ht="15" hidden="false" customHeight="false" outlineLevel="0" collapsed="false">
      <c r="A2848" s="19"/>
      <c r="B2848" s="19"/>
      <c r="C2848" s="19"/>
      <c r="D2848" s="19"/>
      <c r="E2848" s="22"/>
      <c r="F2848" s="19"/>
      <c r="G2848" s="26" t="str">
        <f aca="false">IF(D2848="","",IFERROR(VALUE(LEFT(D2848,FIND(" |",D2848&amp;" |")-1)),"?"))</f>
        <v/>
      </c>
      <c r="H2848" s="27" t="str">
        <f aca="false">IF(G2848="","",IF(G2848="?","⚠ pub inconnue",IFERROR(INDEX(Pubs!$B$2:$B$3001,MATCH(G2848,Pubs!$A$2:$A$3001,0))&amp;"","⚠ pub inconnue")))</f>
        <v/>
      </c>
      <c r="I2848" s="27" t="str">
        <f aca="false">IF(OR(G2848="",G2848="?"),"",IFERROR(INDEX(Pubs!$C$2:$C$3001,MATCH(G2848,Pubs!$A$2:$A$3001,0))&amp;"",""))</f>
        <v/>
      </c>
      <c r="J2848" s="27" t="str">
        <f aca="false">IF(OR(G2848="",G2848="?"),"",IFERROR(INDEX(Pubs!$G$2:$G$3001,MATCH(G2848,Pubs!$A$2:$A$3001,0))&amp;"",""))</f>
        <v/>
      </c>
      <c r="K2848" s="28" t="str">
        <f aca="false">IF(OR(G2848="",G2848="?"),"",IFERROR(INDEX(Pubs!$E$2:$E$3001,MATCH(G2848,Pubs!$A$2:$A$3001,0)),""))</f>
        <v/>
      </c>
      <c r="L2848" s="29" t="str">
        <f aca="false">IF(A2848="","",IFERROR(1/(1/INDEX(Numéros!$C$2:$C$3001,MATCH(A2848&amp;"|"&amp;B2848,Numéros!$F$2:$F$3001,0))),""))</f>
        <v/>
      </c>
      <c r="M2848" s="27" t="str">
        <f aca="false">IF(OR(G2848="",G2848="?"),"",IFERROR(INDEX(Pubs!$D$2:$D$3001,MATCH(G2848,Pubs!$A$2:$A$3001,0))&amp;"",""))</f>
        <v/>
      </c>
      <c r="N2848" s="27" t="n">
        <f aca="false">N(N2847)+IF(AND(A2848&lt;&gt;"",OR(Recherche!$C$4="",A2848=Recherche!$C$4),OR(Recherche!$C$5="",B2848&amp;""=Recherche!$C$5&amp;""),OR(Recherche!$C$6="",IFERROR(YEAR(L2848),0)=Recherche!$C$6),OR(Recherche!$C$7="",ISNUMBER(SEARCH(Recherche!$C$7,H2848))),OR(Recherche!$C$8="",J2848=Recherche!$C$8),OR(Recherche!$C$9="",I2848=Recherche!$C$9),OR(Recherche!$C$10="",G2848&amp;""=Recherche!$C$10&amp;""),OR(Recherche!$C$11="",E2848=Recherche!$C$11),OR(Recherche!$C$12="",ISNUMBER(SEARCH(Recherche!$C$12,M2848&amp;" "&amp;F2848)))),1,0)</f>
        <v>8</v>
      </c>
    </row>
    <row r="2849" customFormat="false" ht="15" hidden="false" customHeight="false" outlineLevel="0" collapsed="false">
      <c r="A2849" s="19"/>
      <c r="B2849" s="19"/>
      <c r="C2849" s="19"/>
      <c r="D2849" s="19"/>
      <c r="E2849" s="22"/>
      <c r="F2849" s="19"/>
      <c r="G2849" s="26" t="str">
        <f aca="false">IF(D2849="","",IFERROR(VALUE(LEFT(D2849,FIND(" |",D2849&amp;" |")-1)),"?"))</f>
        <v/>
      </c>
      <c r="H2849" s="27" t="str">
        <f aca="false">IF(G2849="","",IF(G2849="?","⚠ pub inconnue",IFERROR(INDEX(Pubs!$B$2:$B$3001,MATCH(G2849,Pubs!$A$2:$A$3001,0))&amp;"","⚠ pub inconnue")))</f>
        <v/>
      </c>
      <c r="I2849" s="27" t="str">
        <f aca="false">IF(OR(G2849="",G2849="?"),"",IFERROR(INDEX(Pubs!$C$2:$C$3001,MATCH(G2849,Pubs!$A$2:$A$3001,0))&amp;"",""))</f>
        <v/>
      </c>
      <c r="J2849" s="27" t="str">
        <f aca="false">IF(OR(G2849="",G2849="?"),"",IFERROR(INDEX(Pubs!$G$2:$G$3001,MATCH(G2849,Pubs!$A$2:$A$3001,0))&amp;"",""))</f>
        <v/>
      </c>
      <c r="K2849" s="28" t="str">
        <f aca="false">IF(OR(G2849="",G2849="?"),"",IFERROR(INDEX(Pubs!$E$2:$E$3001,MATCH(G2849,Pubs!$A$2:$A$3001,0)),""))</f>
        <v/>
      </c>
      <c r="L2849" s="29" t="str">
        <f aca="false">IF(A2849="","",IFERROR(1/(1/INDEX(Numéros!$C$2:$C$3001,MATCH(A2849&amp;"|"&amp;B2849,Numéros!$F$2:$F$3001,0))),""))</f>
        <v/>
      </c>
      <c r="M2849" s="27" t="str">
        <f aca="false">IF(OR(G2849="",G2849="?"),"",IFERROR(INDEX(Pubs!$D$2:$D$3001,MATCH(G2849,Pubs!$A$2:$A$3001,0))&amp;"",""))</f>
        <v/>
      </c>
      <c r="N2849" s="27" t="n">
        <f aca="false">N(N2848)+IF(AND(A2849&lt;&gt;"",OR(Recherche!$C$4="",A2849=Recherche!$C$4),OR(Recherche!$C$5="",B2849&amp;""=Recherche!$C$5&amp;""),OR(Recherche!$C$6="",IFERROR(YEAR(L2849),0)=Recherche!$C$6),OR(Recherche!$C$7="",ISNUMBER(SEARCH(Recherche!$C$7,H2849))),OR(Recherche!$C$8="",J2849=Recherche!$C$8),OR(Recherche!$C$9="",I2849=Recherche!$C$9),OR(Recherche!$C$10="",G2849&amp;""=Recherche!$C$10&amp;""),OR(Recherche!$C$11="",E2849=Recherche!$C$11),OR(Recherche!$C$12="",ISNUMBER(SEARCH(Recherche!$C$12,M2849&amp;" "&amp;F2849)))),1,0)</f>
        <v>8</v>
      </c>
    </row>
    <row r="2850" customFormat="false" ht="15" hidden="false" customHeight="false" outlineLevel="0" collapsed="false">
      <c r="A2850" s="19"/>
      <c r="B2850" s="19"/>
      <c r="C2850" s="19"/>
      <c r="D2850" s="19"/>
      <c r="E2850" s="22"/>
      <c r="F2850" s="19"/>
      <c r="G2850" s="26" t="str">
        <f aca="false">IF(D2850="","",IFERROR(VALUE(LEFT(D2850,FIND(" |",D2850&amp;" |")-1)),"?"))</f>
        <v/>
      </c>
      <c r="H2850" s="27" t="str">
        <f aca="false">IF(G2850="","",IF(G2850="?","⚠ pub inconnue",IFERROR(INDEX(Pubs!$B$2:$B$3001,MATCH(G2850,Pubs!$A$2:$A$3001,0))&amp;"","⚠ pub inconnue")))</f>
        <v/>
      </c>
      <c r="I2850" s="27" t="str">
        <f aca="false">IF(OR(G2850="",G2850="?"),"",IFERROR(INDEX(Pubs!$C$2:$C$3001,MATCH(G2850,Pubs!$A$2:$A$3001,0))&amp;"",""))</f>
        <v/>
      </c>
      <c r="J2850" s="27" t="str">
        <f aca="false">IF(OR(G2850="",G2850="?"),"",IFERROR(INDEX(Pubs!$G$2:$G$3001,MATCH(G2850,Pubs!$A$2:$A$3001,0))&amp;"",""))</f>
        <v/>
      </c>
      <c r="K2850" s="28" t="str">
        <f aca="false">IF(OR(G2850="",G2850="?"),"",IFERROR(INDEX(Pubs!$E$2:$E$3001,MATCH(G2850,Pubs!$A$2:$A$3001,0)),""))</f>
        <v/>
      </c>
      <c r="L2850" s="29" t="str">
        <f aca="false">IF(A2850="","",IFERROR(1/(1/INDEX(Numéros!$C$2:$C$3001,MATCH(A2850&amp;"|"&amp;B2850,Numéros!$F$2:$F$3001,0))),""))</f>
        <v/>
      </c>
      <c r="M2850" s="27" t="str">
        <f aca="false">IF(OR(G2850="",G2850="?"),"",IFERROR(INDEX(Pubs!$D$2:$D$3001,MATCH(G2850,Pubs!$A$2:$A$3001,0))&amp;"",""))</f>
        <v/>
      </c>
      <c r="N2850" s="27" t="n">
        <f aca="false">N(N2849)+IF(AND(A2850&lt;&gt;"",OR(Recherche!$C$4="",A2850=Recherche!$C$4),OR(Recherche!$C$5="",B2850&amp;""=Recherche!$C$5&amp;""),OR(Recherche!$C$6="",IFERROR(YEAR(L2850),0)=Recherche!$C$6),OR(Recherche!$C$7="",ISNUMBER(SEARCH(Recherche!$C$7,H2850))),OR(Recherche!$C$8="",J2850=Recherche!$C$8),OR(Recherche!$C$9="",I2850=Recherche!$C$9),OR(Recherche!$C$10="",G2850&amp;""=Recherche!$C$10&amp;""),OR(Recherche!$C$11="",E2850=Recherche!$C$11),OR(Recherche!$C$12="",ISNUMBER(SEARCH(Recherche!$C$12,M2850&amp;" "&amp;F2850)))),1,0)</f>
        <v>8</v>
      </c>
    </row>
    <row r="2851" customFormat="false" ht="15" hidden="false" customHeight="false" outlineLevel="0" collapsed="false">
      <c r="A2851" s="19"/>
      <c r="B2851" s="19"/>
      <c r="C2851" s="19"/>
      <c r="D2851" s="19"/>
      <c r="E2851" s="22"/>
      <c r="F2851" s="19"/>
      <c r="G2851" s="26" t="str">
        <f aca="false">IF(D2851="","",IFERROR(VALUE(LEFT(D2851,FIND(" |",D2851&amp;" |")-1)),"?"))</f>
        <v/>
      </c>
      <c r="H2851" s="27" t="str">
        <f aca="false">IF(G2851="","",IF(G2851="?","⚠ pub inconnue",IFERROR(INDEX(Pubs!$B$2:$B$3001,MATCH(G2851,Pubs!$A$2:$A$3001,0))&amp;"","⚠ pub inconnue")))</f>
        <v/>
      </c>
      <c r="I2851" s="27" t="str">
        <f aca="false">IF(OR(G2851="",G2851="?"),"",IFERROR(INDEX(Pubs!$C$2:$C$3001,MATCH(G2851,Pubs!$A$2:$A$3001,0))&amp;"",""))</f>
        <v/>
      </c>
      <c r="J2851" s="27" t="str">
        <f aca="false">IF(OR(G2851="",G2851="?"),"",IFERROR(INDEX(Pubs!$G$2:$G$3001,MATCH(G2851,Pubs!$A$2:$A$3001,0))&amp;"",""))</f>
        <v/>
      </c>
      <c r="K2851" s="28" t="str">
        <f aca="false">IF(OR(G2851="",G2851="?"),"",IFERROR(INDEX(Pubs!$E$2:$E$3001,MATCH(G2851,Pubs!$A$2:$A$3001,0)),""))</f>
        <v/>
      </c>
      <c r="L2851" s="29" t="str">
        <f aca="false">IF(A2851="","",IFERROR(1/(1/INDEX(Numéros!$C$2:$C$3001,MATCH(A2851&amp;"|"&amp;B2851,Numéros!$F$2:$F$3001,0))),""))</f>
        <v/>
      </c>
      <c r="M2851" s="27" t="str">
        <f aca="false">IF(OR(G2851="",G2851="?"),"",IFERROR(INDEX(Pubs!$D$2:$D$3001,MATCH(G2851,Pubs!$A$2:$A$3001,0))&amp;"",""))</f>
        <v/>
      </c>
      <c r="N2851" s="27" t="n">
        <f aca="false">N(N2850)+IF(AND(A2851&lt;&gt;"",OR(Recherche!$C$4="",A2851=Recherche!$C$4),OR(Recherche!$C$5="",B2851&amp;""=Recherche!$C$5&amp;""),OR(Recherche!$C$6="",IFERROR(YEAR(L2851),0)=Recherche!$C$6),OR(Recherche!$C$7="",ISNUMBER(SEARCH(Recherche!$C$7,H2851))),OR(Recherche!$C$8="",J2851=Recherche!$C$8),OR(Recherche!$C$9="",I2851=Recherche!$C$9),OR(Recherche!$C$10="",G2851&amp;""=Recherche!$C$10&amp;""),OR(Recherche!$C$11="",E2851=Recherche!$C$11),OR(Recherche!$C$12="",ISNUMBER(SEARCH(Recherche!$C$12,M2851&amp;" "&amp;F2851)))),1,0)</f>
        <v>8</v>
      </c>
    </row>
    <row r="2852" customFormat="false" ht="15" hidden="false" customHeight="false" outlineLevel="0" collapsed="false">
      <c r="A2852" s="19"/>
      <c r="B2852" s="19"/>
      <c r="C2852" s="19"/>
      <c r="D2852" s="19"/>
      <c r="E2852" s="22"/>
      <c r="F2852" s="19"/>
      <c r="G2852" s="26" t="str">
        <f aca="false">IF(D2852="","",IFERROR(VALUE(LEFT(D2852,FIND(" |",D2852&amp;" |")-1)),"?"))</f>
        <v/>
      </c>
      <c r="H2852" s="27" t="str">
        <f aca="false">IF(G2852="","",IF(G2852="?","⚠ pub inconnue",IFERROR(INDEX(Pubs!$B$2:$B$3001,MATCH(G2852,Pubs!$A$2:$A$3001,0))&amp;"","⚠ pub inconnue")))</f>
        <v/>
      </c>
      <c r="I2852" s="27" t="str">
        <f aca="false">IF(OR(G2852="",G2852="?"),"",IFERROR(INDEX(Pubs!$C$2:$C$3001,MATCH(G2852,Pubs!$A$2:$A$3001,0))&amp;"",""))</f>
        <v/>
      </c>
      <c r="J2852" s="27" t="str">
        <f aca="false">IF(OR(G2852="",G2852="?"),"",IFERROR(INDEX(Pubs!$G$2:$G$3001,MATCH(G2852,Pubs!$A$2:$A$3001,0))&amp;"",""))</f>
        <v/>
      </c>
      <c r="K2852" s="28" t="str">
        <f aca="false">IF(OR(G2852="",G2852="?"),"",IFERROR(INDEX(Pubs!$E$2:$E$3001,MATCH(G2852,Pubs!$A$2:$A$3001,0)),""))</f>
        <v/>
      </c>
      <c r="L2852" s="29" t="str">
        <f aca="false">IF(A2852="","",IFERROR(1/(1/INDEX(Numéros!$C$2:$C$3001,MATCH(A2852&amp;"|"&amp;B2852,Numéros!$F$2:$F$3001,0))),""))</f>
        <v/>
      </c>
      <c r="M2852" s="27" t="str">
        <f aca="false">IF(OR(G2852="",G2852="?"),"",IFERROR(INDEX(Pubs!$D$2:$D$3001,MATCH(G2852,Pubs!$A$2:$A$3001,0))&amp;"",""))</f>
        <v/>
      </c>
      <c r="N2852" s="27" t="n">
        <f aca="false">N(N2851)+IF(AND(A2852&lt;&gt;"",OR(Recherche!$C$4="",A2852=Recherche!$C$4),OR(Recherche!$C$5="",B2852&amp;""=Recherche!$C$5&amp;""),OR(Recherche!$C$6="",IFERROR(YEAR(L2852),0)=Recherche!$C$6),OR(Recherche!$C$7="",ISNUMBER(SEARCH(Recherche!$C$7,H2852))),OR(Recherche!$C$8="",J2852=Recherche!$C$8),OR(Recherche!$C$9="",I2852=Recherche!$C$9),OR(Recherche!$C$10="",G2852&amp;""=Recherche!$C$10&amp;""),OR(Recherche!$C$11="",E2852=Recherche!$C$11),OR(Recherche!$C$12="",ISNUMBER(SEARCH(Recherche!$C$12,M2852&amp;" "&amp;F2852)))),1,0)</f>
        <v>8</v>
      </c>
    </row>
    <row r="2853" customFormat="false" ht="15" hidden="false" customHeight="false" outlineLevel="0" collapsed="false">
      <c r="A2853" s="19"/>
      <c r="B2853" s="19"/>
      <c r="C2853" s="19"/>
      <c r="D2853" s="19"/>
      <c r="E2853" s="22"/>
      <c r="F2853" s="19"/>
      <c r="G2853" s="26" t="str">
        <f aca="false">IF(D2853="","",IFERROR(VALUE(LEFT(D2853,FIND(" |",D2853&amp;" |")-1)),"?"))</f>
        <v/>
      </c>
      <c r="H2853" s="27" t="str">
        <f aca="false">IF(G2853="","",IF(G2853="?","⚠ pub inconnue",IFERROR(INDEX(Pubs!$B$2:$B$3001,MATCH(G2853,Pubs!$A$2:$A$3001,0))&amp;"","⚠ pub inconnue")))</f>
        <v/>
      </c>
      <c r="I2853" s="27" t="str">
        <f aca="false">IF(OR(G2853="",G2853="?"),"",IFERROR(INDEX(Pubs!$C$2:$C$3001,MATCH(G2853,Pubs!$A$2:$A$3001,0))&amp;"",""))</f>
        <v/>
      </c>
      <c r="J2853" s="27" t="str">
        <f aca="false">IF(OR(G2853="",G2853="?"),"",IFERROR(INDEX(Pubs!$G$2:$G$3001,MATCH(G2853,Pubs!$A$2:$A$3001,0))&amp;"",""))</f>
        <v/>
      </c>
      <c r="K2853" s="28" t="str">
        <f aca="false">IF(OR(G2853="",G2853="?"),"",IFERROR(INDEX(Pubs!$E$2:$E$3001,MATCH(G2853,Pubs!$A$2:$A$3001,0)),""))</f>
        <v/>
      </c>
      <c r="L2853" s="29" t="str">
        <f aca="false">IF(A2853="","",IFERROR(1/(1/INDEX(Numéros!$C$2:$C$3001,MATCH(A2853&amp;"|"&amp;B2853,Numéros!$F$2:$F$3001,0))),""))</f>
        <v/>
      </c>
      <c r="M2853" s="27" t="str">
        <f aca="false">IF(OR(G2853="",G2853="?"),"",IFERROR(INDEX(Pubs!$D$2:$D$3001,MATCH(G2853,Pubs!$A$2:$A$3001,0))&amp;"",""))</f>
        <v/>
      </c>
      <c r="N2853" s="27" t="n">
        <f aca="false">N(N2852)+IF(AND(A2853&lt;&gt;"",OR(Recherche!$C$4="",A2853=Recherche!$C$4),OR(Recherche!$C$5="",B2853&amp;""=Recherche!$C$5&amp;""),OR(Recherche!$C$6="",IFERROR(YEAR(L2853),0)=Recherche!$C$6),OR(Recherche!$C$7="",ISNUMBER(SEARCH(Recherche!$C$7,H2853))),OR(Recherche!$C$8="",J2853=Recherche!$C$8),OR(Recherche!$C$9="",I2853=Recherche!$C$9),OR(Recherche!$C$10="",G2853&amp;""=Recherche!$C$10&amp;""),OR(Recherche!$C$11="",E2853=Recherche!$C$11),OR(Recherche!$C$12="",ISNUMBER(SEARCH(Recherche!$C$12,M2853&amp;" "&amp;F2853)))),1,0)</f>
        <v>8</v>
      </c>
    </row>
    <row r="2854" customFormat="false" ht="15" hidden="false" customHeight="false" outlineLevel="0" collapsed="false">
      <c r="A2854" s="19"/>
      <c r="B2854" s="19"/>
      <c r="C2854" s="19"/>
      <c r="D2854" s="19"/>
      <c r="E2854" s="22"/>
      <c r="F2854" s="19"/>
      <c r="G2854" s="26" t="str">
        <f aca="false">IF(D2854="","",IFERROR(VALUE(LEFT(D2854,FIND(" |",D2854&amp;" |")-1)),"?"))</f>
        <v/>
      </c>
      <c r="H2854" s="27" t="str">
        <f aca="false">IF(G2854="","",IF(G2854="?","⚠ pub inconnue",IFERROR(INDEX(Pubs!$B$2:$B$3001,MATCH(G2854,Pubs!$A$2:$A$3001,0))&amp;"","⚠ pub inconnue")))</f>
        <v/>
      </c>
      <c r="I2854" s="27" t="str">
        <f aca="false">IF(OR(G2854="",G2854="?"),"",IFERROR(INDEX(Pubs!$C$2:$C$3001,MATCH(G2854,Pubs!$A$2:$A$3001,0))&amp;"",""))</f>
        <v/>
      </c>
      <c r="J2854" s="27" t="str">
        <f aca="false">IF(OR(G2854="",G2854="?"),"",IFERROR(INDEX(Pubs!$G$2:$G$3001,MATCH(G2854,Pubs!$A$2:$A$3001,0))&amp;"",""))</f>
        <v/>
      </c>
      <c r="K2854" s="28" t="str">
        <f aca="false">IF(OR(G2854="",G2854="?"),"",IFERROR(INDEX(Pubs!$E$2:$E$3001,MATCH(G2854,Pubs!$A$2:$A$3001,0)),""))</f>
        <v/>
      </c>
      <c r="L2854" s="29" t="str">
        <f aca="false">IF(A2854="","",IFERROR(1/(1/INDEX(Numéros!$C$2:$C$3001,MATCH(A2854&amp;"|"&amp;B2854,Numéros!$F$2:$F$3001,0))),""))</f>
        <v/>
      </c>
      <c r="M2854" s="27" t="str">
        <f aca="false">IF(OR(G2854="",G2854="?"),"",IFERROR(INDEX(Pubs!$D$2:$D$3001,MATCH(G2854,Pubs!$A$2:$A$3001,0))&amp;"",""))</f>
        <v/>
      </c>
      <c r="N2854" s="27" t="n">
        <f aca="false">N(N2853)+IF(AND(A2854&lt;&gt;"",OR(Recherche!$C$4="",A2854=Recherche!$C$4),OR(Recherche!$C$5="",B2854&amp;""=Recherche!$C$5&amp;""),OR(Recherche!$C$6="",IFERROR(YEAR(L2854),0)=Recherche!$C$6),OR(Recherche!$C$7="",ISNUMBER(SEARCH(Recherche!$C$7,H2854))),OR(Recherche!$C$8="",J2854=Recherche!$C$8),OR(Recherche!$C$9="",I2854=Recherche!$C$9),OR(Recherche!$C$10="",G2854&amp;""=Recherche!$C$10&amp;""),OR(Recherche!$C$11="",E2854=Recherche!$C$11),OR(Recherche!$C$12="",ISNUMBER(SEARCH(Recherche!$C$12,M2854&amp;" "&amp;F2854)))),1,0)</f>
        <v>8</v>
      </c>
    </row>
    <row r="2855" customFormat="false" ht="15" hidden="false" customHeight="false" outlineLevel="0" collapsed="false">
      <c r="A2855" s="19"/>
      <c r="B2855" s="19"/>
      <c r="C2855" s="19"/>
      <c r="D2855" s="19"/>
      <c r="E2855" s="22"/>
      <c r="F2855" s="19"/>
      <c r="G2855" s="26" t="str">
        <f aca="false">IF(D2855="","",IFERROR(VALUE(LEFT(D2855,FIND(" |",D2855&amp;" |")-1)),"?"))</f>
        <v/>
      </c>
      <c r="H2855" s="27" t="str">
        <f aca="false">IF(G2855="","",IF(G2855="?","⚠ pub inconnue",IFERROR(INDEX(Pubs!$B$2:$B$3001,MATCH(G2855,Pubs!$A$2:$A$3001,0))&amp;"","⚠ pub inconnue")))</f>
        <v/>
      </c>
      <c r="I2855" s="27" t="str">
        <f aca="false">IF(OR(G2855="",G2855="?"),"",IFERROR(INDEX(Pubs!$C$2:$C$3001,MATCH(G2855,Pubs!$A$2:$A$3001,0))&amp;"",""))</f>
        <v/>
      </c>
      <c r="J2855" s="27" t="str">
        <f aca="false">IF(OR(G2855="",G2855="?"),"",IFERROR(INDEX(Pubs!$G$2:$G$3001,MATCH(G2855,Pubs!$A$2:$A$3001,0))&amp;"",""))</f>
        <v/>
      </c>
      <c r="K2855" s="28" t="str">
        <f aca="false">IF(OR(G2855="",G2855="?"),"",IFERROR(INDEX(Pubs!$E$2:$E$3001,MATCH(G2855,Pubs!$A$2:$A$3001,0)),""))</f>
        <v/>
      </c>
      <c r="L2855" s="29" t="str">
        <f aca="false">IF(A2855="","",IFERROR(1/(1/INDEX(Numéros!$C$2:$C$3001,MATCH(A2855&amp;"|"&amp;B2855,Numéros!$F$2:$F$3001,0))),""))</f>
        <v/>
      </c>
      <c r="M2855" s="27" t="str">
        <f aca="false">IF(OR(G2855="",G2855="?"),"",IFERROR(INDEX(Pubs!$D$2:$D$3001,MATCH(G2855,Pubs!$A$2:$A$3001,0))&amp;"",""))</f>
        <v/>
      </c>
      <c r="N2855" s="27" t="n">
        <f aca="false">N(N2854)+IF(AND(A2855&lt;&gt;"",OR(Recherche!$C$4="",A2855=Recherche!$C$4),OR(Recherche!$C$5="",B2855&amp;""=Recherche!$C$5&amp;""),OR(Recherche!$C$6="",IFERROR(YEAR(L2855),0)=Recherche!$C$6),OR(Recherche!$C$7="",ISNUMBER(SEARCH(Recherche!$C$7,H2855))),OR(Recherche!$C$8="",J2855=Recherche!$C$8),OR(Recherche!$C$9="",I2855=Recherche!$C$9),OR(Recherche!$C$10="",G2855&amp;""=Recherche!$C$10&amp;""),OR(Recherche!$C$11="",E2855=Recherche!$C$11),OR(Recherche!$C$12="",ISNUMBER(SEARCH(Recherche!$C$12,M2855&amp;" "&amp;F2855)))),1,0)</f>
        <v>8</v>
      </c>
    </row>
    <row r="2856" customFormat="false" ht="15" hidden="false" customHeight="false" outlineLevel="0" collapsed="false">
      <c r="A2856" s="19"/>
      <c r="B2856" s="19"/>
      <c r="C2856" s="19"/>
      <c r="D2856" s="19"/>
      <c r="E2856" s="22"/>
      <c r="F2856" s="19"/>
      <c r="G2856" s="26" t="str">
        <f aca="false">IF(D2856="","",IFERROR(VALUE(LEFT(D2856,FIND(" |",D2856&amp;" |")-1)),"?"))</f>
        <v/>
      </c>
      <c r="H2856" s="27" t="str">
        <f aca="false">IF(G2856="","",IF(G2856="?","⚠ pub inconnue",IFERROR(INDEX(Pubs!$B$2:$B$3001,MATCH(G2856,Pubs!$A$2:$A$3001,0))&amp;"","⚠ pub inconnue")))</f>
        <v/>
      </c>
      <c r="I2856" s="27" t="str">
        <f aca="false">IF(OR(G2856="",G2856="?"),"",IFERROR(INDEX(Pubs!$C$2:$C$3001,MATCH(G2856,Pubs!$A$2:$A$3001,0))&amp;"",""))</f>
        <v/>
      </c>
      <c r="J2856" s="27" t="str">
        <f aca="false">IF(OR(G2856="",G2856="?"),"",IFERROR(INDEX(Pubs!$G$2:$G$3001,MATCH(G2856,Pubs!$A$2:$A$3001,0))&amp;"",""))</f>
        <v/>
      </c>
      <c r="K2856" s="28" t="str">
        <f aca="false">IF(OR(G2856="",G2856="?"),"",IFERROR(INDEX(Pubs!$E$2:$E$3001,MATCH(G2856,Pubs!$A$2:$A$3001,0)),""))</f>
        <v/>
      </c>
      <c r="L2856" s="29" t="str">
        <f aca="false">IF(A2856="","",IFERROR(1/(1/INDEX(Numéros!$C$2:$C$3001,MATCH(A2856&amp;"|"&amp;B2856,Numéros!$F$2:$F$3001,0))),""))</f>
        <v/>
      </c>
      <c r="M2856" s="27" t="str">
        <f aca="false">IF(OR(G2856="",G2856="?"),"",IFERROR(INDEX(Pubs!$D$2:$D$3001,MATCH(G2856,Pubs!$A$2:$A$3001,0))&amp;"",""))</f>
        <v/>
      </c>
      <c r="N2856" s="27" t="n">
        <f aca="false">N(N2855)+IF(AND(A2856&lt;&gt;"",OR(Recherche!$C$4="",A2856=Recherche!$C$4),OR(Recherche!$C$5="",B2856&amp;""=Recherche!$C$5&amp;""),OR(Recherche!$C$6="",IFERROR(YEAR(L2856),0)=Recherche!$C$6),OR(Recherche!$C$7="",ISNUMBER(SEARCH(Recherche!$C$7,H2856))),OR(Recherche!$C$8="",J2856=Recherche!$C$8),OR(Recherche!$C$9="",I2856=Recherche!$C$9),OR(Recherche!$C$10="",G2856&amp;""=Recherche!$C$10&amp;""),OR(Recherche!$C$11="",E2856=Recherche!$C$11),OR(Recherche!$C$12="",ISNUMBER(SEARCH(Recherche!$C$12,M2856&amp;" "&amp;F2856)))),1,0)</f>
        <v>8</v>
      </c>
    </row>
    <row r="2857" customFormat="false" ht="15" hidden="false" customHeight="false" outlineLevel="0" collapsed="false">
      <c r="A2857" s="19"/>
      <c r="B2857" s="19"/>
      <c r="C2857" s="19"/>
      <c r="D2857" s="19"/>
      <c r="E2857" s="22"/>
      <c r="F2857" s="19"/>
      <c r="G2857" s="26" t="str">
        <f aca="false">IF(D2857="","",IFERROR(VALUE(LEFT(D2857,FIND(" |",D2857&amp;" |")-1)),"?"))</f>
        <v/>
      </c>
      <c r="H2857" s="27" t="str">
        <f aca="false">IF(G2857="","",IF(G2857="?","⚠ pub inconnue",IFERROR(INDEX(Pubs!$B$2:$B$3001,MATCH(G2857,Pubs!$A$2:$A$3001,0))&amp;"","⚠ pub inconnue")))</f>
        <v/>
      </c>
      <c r="I2857" s="27" t="str">
        <f aca="false">IF(OR(G2857="",G2857="?"),"",IFERROR(INDEX(Pubs!$C$2:$C$3001,MATCH(G2857,Pubs!$A$2:$A$3001,0))&amp;"",""))</f>
        <v/>
      </c>
      <c r="J2857" s="27" t="str">
        <f aca="false">IF(OR(G2857="",G2857="?"),"",IFERROR(INDEX(Pubs!$G$2:$G$3001,MATCH(G2857,Pubs!$A$2:$A$3001,0))&amp;"",""))</f>
        <v/>
      </c>
      <c r="K2857" s="28" t="str">
        <f aca="false">IF(OR(G2857="",G2857="?"),"",IFERROR(INDEX(Pubs!$E$2:$E$3001,MATCH(G2857,Pubs!$A$2:$A$3001,0)),""))</f>
        <v/>
      </c>
      <c r="L2857" s="29" t="str">
        <f aca="false">IF(A2857="","",IFERROR(1/(1/INDEX(Numéros!$C$2:$C$3001,MATCH(A2857&amp;"|"&amp;B2857,Numéros!$F$2:$F$3001,0))),""))</f>
        <v/>
      </c>
      <c r="M2857" s="27" t="str">
        <f aca="false">IF(OR(G2857="",G2857="?"),"",IFERROR(INDEX(Pubs!$D$2:$D$3001,MATCH(G2857,Pubs!$A$2:$A$3001,0))&amp;"",""))</f>
        <v/>
      </c>
      <c r="N2857" s="27" t="n">
        <f aca="false">N(N2856)+IF(AND(A2857&lt;&gt;"",OR(Recherche!$C$4="",A2857=Recherche!$C$4),OR(Recherche!$C$5="",B2857&amp;""=Recherche!$C$5&amp;""),OR(Recherche!$C$6="",IFERROR(YEAR(L2857),0)=Recherche!$C$6),OR(Recherche!$C$7="",ISNUMBER(SEARCH(Recherche!$C$7,H2857))),OR(Recherche!$C$8="",J2857=Recherche!$C$8),OR(Recherche!$C$9="",I2857=Recherche!$C$9),OR(Recherche!$C$10="",G2857&amp;""=Recherche!$C$10&amp;""),OR(Recherche!$C$11="",E2857=Recherche!$C$11),OR(Recherche!$C$12="",ISNUMBER(SEARCH(Recherche!$C$12,M2857&amp;" "&amp;F2857)))),1,0)</f>
        <v>8</v>
      </c>
    </row>
    <row r="2858" customFormat="false" ht="15" hidden="false" customHeight="false" outlineLevel="0" collapsed="false">
      <c r="A2858" s="19"/>
      <c r="B2858" s="19"/>
      <c r="C2858" s="19"/>
      <c r="D2858" s="19"/>
      <c r="E2858" s="22"/>
      <c r="F2858" s="19"/>
      <c r="G2858" s="26" t="str">
        <f aca="false">IF(D2858="","",IFERROR(VALUE(LEFT(D2858,FIND(" |",D2858&amp;" |")-1)),"?"))</f>
        <v/>
      </c>
      <c r="H2858" s="27" t="str">
        <f aca="false">IF(G2858="","",IF(G2858="?","⚠ pub inconnue",IFERROR(INDEX(Pubs!$B$2:$B$3001,MATCH(G2858,Pubs!$A$2:$A$3001,0))&amp;"","⚠ pub inconnue")))</f>
        <v/>
      </c>
      <c r="I2858" s="27" t="str">
        <f aca="false">IF(OR(G2858="",G2858="?"),"",IFERROR(INDEX(Pubs!$C$2:$C$3001,MATCH(G2858,Pubs!$A$2:$A$3001,0))&amp;"",""))</f>
        <v/>
      </c>
      <c r="J2858" s="27" t="str">
        <f aca="false">IF(OR(G2858="",G2858="?"),"",IFERROR(INDEX(Pubs!$G$2:$G$3001,MATCH(G2858,Pubs!$A$2:$A$3001,0))&amp;"",""))</f>
        <v/>
      </c>
      <c r="K2858" s="28" t="str">
        <f aca="false">IF(OR(G2858="",G2858="?"),"",IFERROR(INDEX(Pubs!$E$2:$E$3001,MATCH(G2858,Pubs!$A$2:$A$3001,0)),""))</f>
        <v/>
      </c>
      <c r="L2858" s="29" t="str">
        <f aca="false">IF(A2858="","",IFERROR(1/(1/INDEX(Numéros!$C$2:$C$3001,MATCH(A2858&amp;"|"&amp;B2858,Numéros!$F$2:$F$3001,0))),""))</f>
        <v/>
      </c>
      <c r="M2858" s="27" t="str">
        <f aca="false">IF(OR(G2858="",G2858="?"),"",IFERROR(INDEX(Pubs!$D$2:$D$3001,MATCH(G2858,Pubs!$A$2:$A$3001,0))&amp;"",""))</f>
        <v/>
      </c>
      <c r="N2858" s="27" t="n">
        <f aca="false">N(N2857)+IF(AND(A2858&lt;&gt;"",OR(Recherche!$C$4="",A2858=Recherche!$C$4),OR(Recherche!$C$5="",B2858&amp;""=Recherche!$C$5&amp;""),OR(Recherche!$C$6="",IFERROR(YEAR(L2858),0)=Recherche!$C$6),OR(Recherche!$C$7="",ISNUMBER(SEARCH(Recherche!$C$7,H2858))),OR(Recherche!$C$8="",J2858=Recherche!$C$8),OR(Recherche!$C$9="",I2858=Recherche!$C$9),OR(Recherche!$C$10="",G2858&amp;""=Recherche!$C$10&amp;""),OR(Recherche!$C$11="",E2858=Recherche!$C$11),OR(Recherche!$C$12="",ISNUMBER(SEARCH(Recherche!$C$12,M2858&amp;" "&amp;F2858)))),1,0)</f>
        <v>8</v>
      </c>
    </row>
    <row r="2859" customFormat="false" ht="15" hidden="false" customHeight="false" outlineLevel="0" collapsed="false">
      <c r="A2859" s="19"/>
      <c r="B2859" s="19"/>
      <c r="C2859" s="19"/>
      <c r="D2859" s="19"/>
      <c r="E2859" s="22"/>
      <c r="F2859" s="19"/>
      <c r="G2859" s="26" t="str">
        <f aca="false">IF(D2859="","",IFERROR(VALUE(LEFT(D2859,FIND(" |",D2859&amp;" |")-1)),"?"))</f>
        <v/>
      </c>
      <c r="H2859" s="27" t="str">
        <f aca="false">IF(G2859="","",IF(G2859="?","⚠ pub inconnue",IFERROR(INDEX(Pubs!$B$2:$B$3001,MATCH(G2859,Pubs!$A$2:$A$3001,0))&amp;"","⚠ pub inconnue")))</f>
        <v/>
      </c>
      <c r="I2859" s="27" t="str">
        <f aca="false">IF(OR(G2859="",G2859="?"),"",IFERROR(INDEX(Pubs!$C$2:$C$3001,MATCH(G2859,Pubs!$A$2:$A$3001,0))&amp;"",""))</f>
        <v/>
      </c>
      <c r="J2859" s="27" t="str">
        <f aca="false">IF(OR(G2859="",G2859="?"),"",IFERROR(INDEX(Pubs!$G$2:$G$3001,MATCH(G2859,Pubs!$A$2:$A$3001,0))&amp;"",""))</f>
        <v/>
      </c>
      <c r="K2859" s="28" t="str">
        <f aca="false">IF(OR(G2859="",G2859="?"),"",IFERROR(INDEX(Pubs!$E$2:$E$3001,MATCH(G2859,Pubs!$A$2:$A$3001,0)),""))</f>
        <v/>
      </c>
      <c r="L2859" s="29" t="str">
        <f aca="false">IF(A2859="","",IFERROR(1/(1/INDEX(Numéros!$C$2:$C$3001,MATCH(A2859&amp;"|"&amp;B2859,Numéros!$F$2:$F$3001,0))),""))</f>
        <v/>
      </c>
      <c r="M2859" s="27" t="str">
        <f aca="false">IF(OR(G2859="",G2859="?"),"",IFERROR(INDEX(Pubs!$D$2:$D$3001,MATCH(G2859,Pubs!$A$2:$A$3001,0))&amp;"",""))</f>
        <v/>
      </c>
      <c r="N2859" s="27" t="n">
        <f aca="false">N(N2858)+IF(AND(A2859&lt;&gt;"",OR(Recherche!$C$4="",A2859=Recherche!$C$4),OR(Recherche!$C$5="",B2859&amp;""=Recherche!$C$5&amp;""),OR(Recherche!$C$6="",IFERROR(YEAR(L2859),0)=Recherche!$C$6),OR(Recherche!$C$7="",ISNUMBER(SEARCH(Recherche!$C$7,H2859))),OR(Recherche!$C$8="",J2859=Recherche!$C$8),OR(Recherche!$C$9="",I2859=Recherche!$C$9),OR(Recherche!$C$10="",G2859&amp;""=Recherche!$C$10&amp;""),OR(Recherche!$C$11="",E2859=Recherche!$C$11),OR(Recherche!$C$12="",ISNUMBER(SEARCH(Recherche!$C$12,M2859&amp;" "&amp;F2859)))),1,0)</f>
        <v>8</v>
      </c>
    </row>
    <row r="2860" customFormat="false" ht="15" hidden="false" customHeight="false" outlineLevel="0" collapsed="false">
      <c r="A2860" s="19"/>
      <c r="B2860" s="19"/>
      <c r="C2860" s="19"/>
      <c r="D2860" s="19"/>
      <c r="E2860" s="22"/>
      <c r="F2860" s="19"/>
      <c r="G2860" s="26" t="str">
        <f aca="false">IF(D2860="","",IFERROR(VALUE(LEFT(D2860,FIND(" |",D2860&amp;" |")-1)),"?"))</f>
        <v/>
      </c>
      <c r="H2860" s="27" t="str">
        <f aca="false">IF(G2860="","",IF(G2860="?","⚠ pub inconnue",IFERROR(INDEX(Pubs!$B$2:$B$3001,MATCH(G2860,Pubs!$A$2:$A$3001,0))&amp;"","⚠ pub inconnue")))</f>
        <v/>
      </c>
      <c r="I2860" s="27" t="str">
        <f aca="false">IF(OR(G2860="",G2860="?"),"",IFERROR(INDEX(Pubs!$C$2:$C$3001,MATCH(G2860,Pubs!$A$2:$A$3001,0))&amp;"",""))</f>
        <v/>
      </c>
      <c r="J2860" s="27" t="str">
        <f aca="false">IF(OR(G2860="",G2860="?"),"",IFERROR(INDEX(Pubs!$G$2:$G$3001,MATCH(G2860,Pubs!$A$2:$A$3001,0))&amp;"",""))</f>
        <v/>
      </c>
      <c r="K2860" s="28" t="str">
        <f aca="false">IF(OR(G2860="",G2860="?"),"",IFERROR(INDEX(Pubs!$E$2:$E$3001,MATCH(G2860,Pubs!$A$2:$A$3001,0)),""))</f>
        <v/>
      </c>
      <c r="L2860" s="29" t="str">
        <f aca="false">IF(A2860="","",IFERROR(1/(1/INDEX(Numéros!$C$2:$C$3001,MATCH(A2860&amp;"|"&amp;B2860,Numéros!$F$2:$F$3001,0))),""))</f>
        <v/>
      </c>
      <c r="M2860" s="27" t="str">
        <f aca="false">IF(OR(G2860="",G2860="?"),"",IFERROR(INDEX(Pubs!$D$2:$D$3001,MATCH(G2860,Pubs!$A$2:$A$3001,0))&amp;"",""))</f>
        <v/>
      </c>
      <c r="N2860" s="27" t="n">
        <f aca="false">N(N2859)+IF(AND(A2860&lt;&gt;"",OR(Recherche!$C$4="",A2860=Recherche!$C$4),OR(Recherche!$C$5="",B2860&amp;""=Recherche!$C$5&amp;""),OR(Recherche!$C$6="",IFERROR(YEAR(L2860),0)=Recherche!$C$6),OR(Recherche!$C$7="",ISNUMBER(SEARCH(Recherche!$C$7,H2860))),OR(Recherche!$C$8="",J2860=Recherche!$C$8),OR(Recherche!$C$9="",I2860=Recherche!$C$9),OR(Recherche!$C$10="",G2860&amp;""=Recherche!$C$10&amp;""),OR(Recherche!$C$11="",E2860=Recherche!$C$11),OR(Recherche!$C$12="",ISNUMBER(SEARCH(Recherche!$C$12,M2860&amp;" "&amp;F2860)))),1,0)</f>
        <v>8</v>
      </c>
    </row>
    <row r="2861" customFormat="false" ht="15" hidden="false" customHeight="false" outlineLevel="0" collapsed="false">
      <c r="A2861" s="19"/>
      <c r="B2861" s="19"/>
      <c r="C2861" s="19"/>
      <c r="D2861" s="19"/>
      <c r="E2861" s="22"/>
      <c r="F2861" s="19"/>
      <c r="G2861" s="26" t="str">
        <f aca="false">IF(D2861="","",IFERROR(VALUE(LEFT(D2861,FIND(" |",D2861&amp;" |")-1)),"?"))</f>
        <v/>
      </c>
      <c r="H2861" s="27" t="str">
        <f aca="false">IF(G2861="","",IF(G2861="?","⚠ pub inconnue",IFERROR(INDEX(Pubs!$B$2:$B$3001,MATCH(G2861,Pubs!$A$2:$A$3001,0))&amp;"","⚠ pub inconnue")))</f>
        <v/>
      </c>
      <c r="I2861" s="27" t="str">
        <f aca="false">IF(OR(G2861="",G2861="?"),"",IFERROR(INDEX(Pubs!$C$2:$C$3001,MATCH(G2861,Pubs!$A$2:$A$3001,0))&amp;"",""))</f>
        <v/>
      </c>
      <c r="J2861" s="27" t="str">
        <f aca="false">IF(OR(G2861="",G2861="?"),"",IFERROR(INDEX(Pubs!$G$2:$G$3001,MATCH(G2861,Pubs!$A$2:$A$3001,0))&amp;"",""))</f>
        <v/>
      </c>
      <c r="K2861" s="28" t="str">
        <f aca="false">IF(OR(G2861="",G2861="?"),"",IFERROR(INDEX(Pubs!$E$2:$E$3001,MATCH(G2861,Pubs!$A$2:$A$3001,0)),""))</f>
        <v/>
      </c>
      <c r="L2861" s="29" t="str">
        <f aca="false">IF(A2861="","",IFERROR(1/(1/INDEX(Numéros!$C$2:$C$3001,MATCH(A2861&amp;"|"&amp;B2861,Numéros!$F$2:$F$3001,0))),""))</f>
        <v/>
      </c>
      <c r="M2861" s="27" t="str">
        <f aca="false">IF(OR(G2861="",G2861="?"),"",IFERROR(INDEX(Pubs!$D$2:$D$3001,MATCH(G2861,Pubs!$A$2:$A$3001,0))&amp;"",""))</f>
        <v/>
      </c>
      <c r="N2861" s="27" t="n">
        <f aca="false">N(N2860)+IF(AND(A2861&lt;&gt;"",OR(Recherche!$C$4="",A2861=Recherche!$C$4),OR(Recherche!$C$5="",B2861&amp;""=Recherche!$C$5&amp;""),OR(Recherche!$C$6="",IFERROR(YEAR(L2861),0)=Recherche!$C$6),OR(Recherche!$C$7="",ISNUMBER(SEARCH(Recherche!$C$7,H2861))),OR(Recherche!$C$8="",J2861=Recherche!$C$8),OR(Recherche!$C$9="",I2861=Recherche!$C$9),OR(Recherche!$C$10="",G2861&amp;""=Recherche!$C$10&amp;""),OR(Recherche!$C$11="",E2861=Recherche!$C$11),OR(Recherche!$C$12="",ISNUMBER(SEARCH(Recherche!$C$12,M2861&amp;" "&amp;F2861)))),1,0)</f>
        <v>8</v>
      </c>
    </row>
    <row r="2862" customFormat="false" ht="15" hidden="false" customHeight="false" outlineLevel="0" collapsed="false">
      <c r="A2862" s="19"/>
      <c r="B2862" s="19"/>
      <c r="C2862" s="19"/>
      <c r="D2862" s="19"/>
      <c r="E2862" s="22"/>
      <c r="F2862" s="19"/>
      <c r="G2862" s="26" t="str">
        <f aca="false">IF(D2862="","",IFERROR(VALUE(LEFT(D2862,FIND(" |",D2862&amp;" |")-1)),"?"))</f>
        <v/>
      </c>
      <c r="H2862" s="27" t="str">
        <f aca="false">IF(G2862="","",IF(G2862="?","⚠ pub inconnue",IFERROR(INDEX(Pubs!$B$2:$B$3001,MATCH(G2862,Pubs!$A$2:$A$3001,0))&amp;"","⚠ pub inconnue")))</f>
        <v/>
      </c>
      <c r="I2862" s="27" t="str">
        <f aca="false">IF(OR(G2862="",G2862="?"),"",IFERROR(INDEX(Pubs!$C$2:$C$3001,MATCH(G2862,Pubs!$A$2:$A$3001,0))&amp;"",""))</f>
        <v/>
      </c>
      <c r="J2862" s="27" t="str">
        <f aca="false">IF(OR(G2862="",G2862="?"),"",IFERROR(INDEX(Pubs!$G$2:$G$3001,MATCH(G2862,Pubs!$A$2:$A$3001,0))&amp;"",""))</f>
        <v/>
      </c>
      <c r="K2862" s="28" t="str">
        <f aca="false">IF(OR(G2862="",G2862="?"),"",IFERROR(INDEX(Pubs!$E$2:$E$3001,MATCH(G2862,Pubs!$A$2:$A$3001,0)),""))</f>
        <v/>
      </c>
      <c r="L2862" s="29" t="str">
        <f aca="false">IF(A2862="","",IFERROR(1/(1/INDEX(Numéros!$C$2:$C$3001,MATCH(A2862&amp;"|"&amp;B2862,Numéros!$F$2:$F$3001,0))),""))</f>
        <v/>
      </c>
      <c r="M2862" s="27" t="str">
        <f aca="false">IF(OR(G2862="",G2862="?"),"",IFERROR(INDEX(Pubs!$D$2:$D$3001,MATCH(G2862,Pubs!$A$2:$A$3001,0))&amp;"",""))</f>
        <v/>
      </c>
      <c r="N2862" s="27" t="n">
        <f aca="false">N(N2861)+IF(AND(A2862&lt;&gt;"",OR(Recherche!$C$4="",A2862=Recherche!$C$4),OR(Recherche!$C$5="",B2862&amp;""=Recherche!$C$5&amp;""),OR(Recherche!$C$6="",IFERROR(YEAR(L2862),0)=Recherche!$C$6),OR(Recherche!$C$7="",ISNUMBER(SEARCH(Recherche!$C$7,H2862))),OR(Recherche!$C$8="",J2862=Recherche!$C$8),OR(Recherche!$C$9="",I2862=Recherche!$C$9),OR(Recherche!$C$10="",G2862&amp;""=Recherche!$C$10&amp;""),OR(Recherche!$C$11="",E2862=Recherche!$C$11),OR(Recherche!$C$12="",ISNUMBER(SEARCH(Recherche!$C$12,M2862&amp;" "&amp;F2862)))),1,0)</f>
        <v>8</v>
      </c>
    </row>
    <row r="2863" customFormat="false" ht="15" hidden="false" customHeight="false" outlineLevel="0" collapsed="false">
      <c r="A2863" s="19"/>
      <c r="B2863" s="19"/>
      <c r="C2863" s="19"/>
      <c r="D2863" s="19"/>
      <c r="E2863" s="22"/>
      <c r="F2863" s="19"/>
      <c r="G2863" s="26" t="str">
        <f aca="false">IF(D2863="","",IFERROR(VALUE(LEFT(D2863,FIND(" |",D2863&amp;" |")-1)),"?"))</f>
        <v/>
      </c>
      <c r="H2863" s="27" t="str">
        <f aca="false">IF(G2863="","",IF(G2863="?","⚠ pub inconnue",IFERROR(INDEX(Pubs!$B$2:$B$3001,MATCH(G2863,Pubs!$A$2:$A$3001,0))&amp;"","⚠ pub inconnue")))</f>
        <v/>
      </c>
      <c r="I2863" s="27" t="str">
        <f aca="false">IF(OR(G2863="",G2863="?"),"",IFERROR(INDEX(Pubs!$C$2:$C$3001,MATCH(G2863,Pubs!$A$2:$A$3001,0))&amp;"",""))</f>
        <v/>
      </c>
      <c r="J2863" s="27" t="str">
        <f aca="false">IF(OR(G2863="",G2863="?"),"",IFERROR(INDEX(Pubs!$G$2:$G$3001,MATCH(G2863,Pubs!$A$2:$A$3001,0))&amp;"",""))</f>
        <v/>
      </c>
      <c r="K2863" s="28" t="str">
        <f aca="false">IF(OR(G2863="",G2863="?"),"",IFERROR(INDEX(Pubs!$E$2:$E$3001,MATCH(G2863,Pubs!$A$2:$A$3001,0)),""))</f>
        <v/>
      </c>
      <c r="L2863" s="29" t="str">
        <f aca="false">IF(A2863="","",IFERROR(1/(1/INDEX(Numéros!$C$2:$C$3001,MATCH(A2863&amp;"|"&amp;B2863,Numéros!$F$2:$F$3001,0))),""))</f>
        <v/>
      </c>
      <c r="M2863" s="27" t="str">
        <f aca="false">IF(OR(G2863="",G2863="?"),"",IFERROR(INDEX(Pubs!$D$2:$D$3001,MATCH(G2863,Pubs!$A$2:$A$3001,0))&amp;"",""))</f>
        <v/>
      </c>
      <c r="N2863" s="27" t="n">
        <f aca="false">N(N2862)+IF(AND(A2863&lt;&gt;"",OR(Recherche!$C$4="",A2863=Recherche!$C$4),OR(Recherche!$C$5="",B2863&amp;""=Recherche!$C$5&amp;""),OR(Recherche!$C$6="",IFERROR(YEAR(L2863),0)=Recherche!$C$6),OR(Recherche!$C$7="",ISNUMBER(SEARCH(Recherche!$C$7,H2863))),OR(Recherche!$C$8="",J2863=Recherche!$C$8),OR(Recherche!$C$9="",I2863=Recherche!$C$9),OR(Recherche!$C$10="",G2863&amp;""=Recherche!$C$10&amp;""),OR(Recherche!$C$11="",E2863=Recherche!$C$11),OR(Recherche!$C$12="",ISNUMBER(SEARCH(Recherche!$C$12,M2863&amp;" "&amp;F2863)))),1,0)</f>
        <v>8</v>
      </c>
    </row>
    <row r="2864" customFormat="false" ht="15" hidden="false" customHeight="false" outlineLevel="0" collapsed="false">
      <c r="A2864" s="19"/>
      <c r="B2864" s="19"/>
      <c r="C2864" s="19"/>
      <c r="D2864" s="19"/>
      <c r="E2864" s="22"/>
      <c r="F2864" s="19"/>
      <c r="G2864" s="26" t="str">
        <f aca="false">IF(D2864="","",IFERROR(VALUE(LEFT(D2864,FIND(" |",D2864&amp;" |")-1)),"?"))</f>
        <v/>
      </c>
      <c r="H2864" s="27" t="str">
        <f aca="false">IF(G2864="","",IF(G2864="?","⚠ pub inconnue",IFERROR(INDEX(Pubs!$B$2:$B$3001,MATCH(G2864,Pubs!$A$2:$A$3001,0))&amp;"","⚠ pub inconnue")))</f>
        <v/>
      </c>
      <c r="I2864" s="27" t="str">
        <f aca="false">IF(OR(G2864="",G2864="?"),"",IFERROR(INDEX(Pubs!$C$2:$C$3001,MATCH(G2864,Pubs!$A$2:$A$3001,0))&amp;"",""))</f>
        <v/>
      </c>
      <c r="J2864" s="27" t="str">
        <f aca="false">IF(OR(G2864="",G2864="?"),"",IFERROR(INDEX(Pubs!$G$2:$G$3001,MATCH(G2864,Pubs!$A$2:$A$3001,0))&amp;"",""))</f>
        <v/>
      </c>
      <c r="K2864" s="28" t="str">
        <f aca="false">IF(OR(G2864="",G2864="?"),"",IFERROR(INDEX(Pubs!$E$2:$E$3001,MATCH(G2864,Pubs!$A$2:$A$3001,0)),""))</f>
        <v/>
      </c>
      <c r="L2864" s="29" t="str">
        <f aca="false">IF(A2864="","",IFERROR(1/(1/INDEX(Numéros!$C$2:$C$3001,MATCH(A2864&amp;"|"&amp;B2864,Numéros!$F$2:$F$3001,0))),""))</f>
        <v/>
      </c>
      <c r="M2864" s="27" t="str">
        <f aca="false">IF(OR(G2864="",G2864="?"),"",IFERROR(INDEX(Pubs!$D$2:$D$3001,MATCH(G2864,Pubs!$A$2:$A$3001,0))&amp;"",""))</f>
        <v/>
      </c>
      <c r="N2864" s="27" t="n">
        <f aca="false">N(N2863)+IF(AND(A2864&lt;&gt;"",OR(Recherche!$C$4="",A2864=Recherche!$C$4),OR(Recherche!$C$5="",B2864&amp;""=Recherche!$C$5&amp;""),OR(Recherche!$C$6="",IFERROR(YEAR(L2864),0)=Recherche!$C$6),OR(Recherche!$C$7="",ISNUMBER(SEARCH(Recherche!$C$7,H2864))),OR(Recherche!$C$8="",J2864=Recherche!$C$8),OR(Recherche!$C$9="",I2864=Recherche!$C$9),OR(Recherche!$C$10="",G2864&amp;""=Recherche!$C$10&amp;""),OR(Recherche!$C$11="",E2864=Recherche!$C$11),OR(Recherche!$C$12="",ISNUMBER(SEARCH(Recherche!$C$12,M2864&amp;" "&amp;F2864)))),1,0)</f>
        <v>8</v>
      </c>
    </row>
    <row r="2865" customFormat="false" ht="15" hidden="false" customHeight="false" outlineLevel="0" collapsed="false">
      <c r="A2865" s="19"/>
      <c r="B2865" s="19"/>
      <c r="C2865" s="19"/>
      <c r="D2865" s="19"/>
      <c r="E2865" s="22"/>
      <c r="F2865" s="19"/>
      <c r="G2865" s="26" t="str">
        <f aca="false">IF(D2865="","",IFERROR(VALUE(LEFT(D2865,FIND(" |",D2865&amp;" |")-1)),"?"))</f>
        <v/>
      </c>
      <c r="H2865" s="27" t="str">
        <f aca="false">IF(G2865="","",IF(G2865="?","⚠ pub inconnue",IFERROR(INDEX(Pubs!$B$2:$B$3001,MATCH(G2865,Pubs!$A$2:$A$3001,0))&amp;"","⚠ pub inconnue")))</f>
        <v/>
      </c>
      <c r="I2865" s="27" t="str">
        <f aca="false">IF(OR(G2865="",G2865="?"),"",IFERROR(INDEX(Pubs!$C$2:$C$3001,MATCH(G2865,Pubs!$A$2:$A$3001,0))&amp;"",""))</f>
        <v/>
      </c>
      <c r="J2865" s="27" t="str">
        <f aca="false">IF(OR(G2865="",G2865="?"),"",IFERROR(INDEX(Pubs!$G$2:$G$3001,MATCH(G2865,Pubs!$A$2:$A$3001,0))&amp;"",""))</f>
        <v/>
      </c>
      <c r="K2865" s="28" t="str">
        <f aca="false">IF(OR(G2865="",G2865="?"),"",IFERROR(INDEX(Pubs!$E$2:$E$3001,MATCH(G2865,Pubs!$A$2:$A$3001,0)),""))</f>
        <v/>
      </c>
      <c r="L2865" s="29" t="str">
        <f aca="false">IF(A2865="","",IFERROR(1/(1/INDEX(Numéros!$C$2:$C$3001,MATCH(A2865&amp;"|"&amp;B2865,Numéros!$F$2:$F$3001,0))),""))</f>
        <v/>
      </c>
      <c r="M2865" s="27" t="str">
        <f aca="false">IF(OR(G2865="",G2865="?"),"",IFERROR(INDEX(Pubs!$D$2:$D$3001,MATCH(G2865,Pubs!$A$2:$A$3001,0))&amp;"",""))</f>
        <v/>
      </c>
      <c r="N2865" s="27" t="n">
        <f aca="false">N(N2864)+IF(AND(A2865&lt;&gt;"",OR(Recherche!$C$4="",A2865=Recherche!$C$4),OR(Recherche!$C$5="",B2865&amp;""=Recherche!$C$5&amp;""),OR(Recherche!$C$6="",IFERROR(YEAR(L2865),0)=Recherche!$C$6),OR(Recherche!$C$7="",ISNUMBER(SEARCH(Recherche!$C$7,H2865))),OR(Recherche!$C$8="",J2865=Recherche!$C$8),OR(Recherche!$C$9="",I2865=Recherche!$C$9),OR(Recherche!$C$10="",G2865&amp;""=Recherche!$C$10&amp;""),OR(Recherche!$C$11="",E2865=Recherche!$C$11),OR(Recherche!$C$12="",ISNUMBER(SEARCH(Recherche!$C$12,M2865&amp;" "&amp;F2865)))),1,0)</f>
        <v>8</v>
      </c>
    </row>
    <row r="2866" customFormat="false" ht="15" hidden="false" customHeight="false" outlineLevel="0" collapsed="false">
      <c r="A2866" s="19"/>
      <c r="B2866" s="19"/>
      <c r="C2866" s="19"/>
      <c r="D2866" s="19"/>
      <c r="E2866" s="22"/>
      <c r="F2866" s="19"/>
      <c r="G2866" s="26" t="str">
        <f aca="false">IF(D2866="","",IFERROR(VALUE(LEFT(D2866,FIND(" |",D2866&amp;" |")-1)),"?"))</f>
        <v/>
      </c>
      <c r="H2866" s="27" t="str">
        <f aca="false">IF(G2866="","",IF(G2866="?","⚠ pub inconnue",IFERROR(INDEX(Pubs!$B$2:$B$3001,MATCH(G2866,Pubs!$A$2:$A$3001,0))&amp;"","⚠ pub inconnue")))</f>
        <v/>
      </c>
      <c r="I2866" s="27" t="str">
        <f aca="false">IF(OR(G2866="",G2866="?"),"",IFERROR(INDEX(Pubs!$C$2:$C$3001,MATCH(G2866,Pubs!$A$2:$A$3001,0))&amp;"",""))</f>
        <v/>
      </c>
      <c r="J2866" s="27" t="str">
        <f aca="false">IF(OR(G2866="",G2866="?"),"",IFERROR(INDEX(Pubs!$G$2:$G$3001,MATCH(G2866,Pubs!$A$2:$A$3001,0))&amp;"",""))</f>
        <v/>
      </c>
      <c r="K2866" s="28" t="str">
        <f aca="false">IF(OR(G2866="",G2866="?"),"",IFERROR(INDEX(Pubs!$E$2:$E$3001,MATCH(G2866,Pubs!$A$2:$A$3001,0)),""))</f>
        <v/>
      </c>
      <c r="L2866" s="29" t="str">
        <f aca="false">IF(A2866="","",IFERROR(1/(1/INDEX(Numéros!$C$2:$C$3001,MATCH(A2866&amp;"|"&amp;B2866,Numéros!$F$2:$F$3001,0))),""))</f>
        <v/>
      </c>
      <c r="M2866" s="27" t="str">
        <f aca="false">IF(OR(G2866="",G2866="?"),"",IFERROR(INDEX(Pubs!$D$2:$D$3001,MATCH(G2866,Pubs!$A$2:$A$3001,0))&amp;"",""))</f>
        <v/>
      </c>
      <c r="N2866" s="27" t="n">
        <f aca="false">N(N2865)+IF(AND(A2866&lt;&gt;"",OR(Recherche!$C$4="",A2866=Recherche!$C$4),OR(Recherche!$C$5="",B2866&amp;""=Recherche!$C$5&amp;""),OR(Recherche!$C$6="",IFERROR(YEAR(L2866),0)=Recherche!$C$6),OR(Recherche!$C$7="",ISNUMBER(SEARCH(Recherche!$C$7,H2866))),OR(Recherche!$C$8="",J2866=Recherche!$C$8),OR(Recherche!$C$9="",I2866=Recherche!$C$9),OR(Recherche!$C$10="",G2866&amp;""=Recherche!$C$10&amp;""),OR(Recherche!$C$11="",E2866=Recherche!$C$11),OR(Recherche!$C$12="",ISNUMBER(SEARCH(Recherche!$C$12,M2866&amp;" "&amp;F2866)))),1,0)</f>
        <v>8</v>
      </c>
    </row>
    <row r="2867" customFormat="false" ht="15" hidden="false" customHeight="false" outlineLevel="0" collapsed="false">
      <c r="A2867" s="19"/>
      <c r="B2867" s="19"/>
      <c r="C2867" s="19"/>
      <c r="D2867" s="19"/>
      <c r="E2867" s="22"/>
      <c r="F2867" s="19"/>
      <c r="G2867" s="26" t="str">
        <f aca="false">IF(D2867="","",IFERROR(VALUE(LEFT(D2867,FIND(" |",D2867&amp;" |")-1)),"?"))</f>
        <v/>
      </c>
      <c r="H2867" s="27" t="str">
        <f aca="false">IF(G2867="","",IF(G2867="?","⚠ pub inconnue",IFERROR(INDEX(Pubs!$B$2:$B$3001,MATCH(G2867,Pubs!$A$2:$A$3001,0))&amp;"","⚠ pub inconnue")))</f>
        <v/>
      </c>
      <c r="I2867" s="27" t="str">
        <f aca="false">IF(OR(G2867="",G2867="?"),"",IFERROR(INDEX(Pubs!$C$2:$C$3001,MATCH(G2867,Pubs!$A$2:$A$3001,0))&amp;"",""))</f>
        <v/>
      </c>
      <c r="J2867" s="27" t="str">
        <f aca="false">IF(OR(G2867="",G2867="?"),"",IFERROR(INDEX(Pubs!$G$2:$G$3001,MATCH(G2867,Pubs!$A$2:$A$3001,0))&amp;"",""))</f>
        <v/>
      </c>
      <c r="K2867" s="28" t="str">
        <f aca="false">IF(OR(G2867="",G2867="?"),"",IFERROR(INDEX(Pubs!$E$2:$E$3001,MATCH(G2867,Pubs!$A$2:$A$3001,0)),""))</f>
        <v/>
      </c>
      <c r="L2867" s="29" t="str">
        <f aca="false">IF(A2867="","",IFERROR(1/(1/INDEX(Numéros!$C$2:$C$3001,MATCH(A2867&amp;"|"&amp;B2867,Numéros!$F$2:$F$3001,0))),""))</f>
        <v/>
      </c>
      <c r="M2867" s="27" t="str">
        <f aca="false">IF(OR(G2867="",G2867="?"),"",IFERROR(INDEX(Pubs!$D$2:$D$3001,MATCH(G2867,Pubs!$A$2:$A$3001,0))&amp;"",""))</f>
        <v/>
      </c>
      <c r="N2867" s="27" t="n">
        <f aca="false">N(N2866)+IF(AND(A2867&lt;&gt;"",OR(Recherche!$C$4="",A2867=Recherche!$C$4),OR(Recherche!$C$5="",B2867&amp;""=Recherche!$C$5&amp;""),OR(Recherche!$C$6="",IFERROR(YEAR(L2867),0)=Recherche!$C$6),OR(Recherche!$C$7="",ISNUMBER(SEARCH(Recherche!$C$7,H2867))),OR(Recherche!$C$8="",J2867=Recherche!$C$8),OR(Recherche!$C$9="",I2867=Recherche!$C$9),OR(Recherche!$C$10="",G2867&amp;""=Recherche!$C$10&amp;""),OR(Recherche!$C$11="",E2867=Recherche!$C$11),OR(Recherche!$C$12="",ISNUMBER(SEARCH(Recherche!$C$12,M2867&amp;" "&amp;F2867)))),1,0)</f>
        <v>8</v>
      </c>
    </row>
    <row r="2868" customFormat="false" ht="15" hidden="false" customHeight="false" outlineLevel="0" collapsed="false">
      <c r="A2868" s="19"/>
      <c r="B2868" s="19"/>
      <c r="C2868" s="19"/>
      <c r="D2868" s="19"/>
      <c r="E2868" s="22"/>
      <c r="F2868" s="19"/>
      <c r="G2868" s="26" t="str">
        <f aca="false">IF(D2868="","",IFERROR(VALUE(LEFT(D2868,FIND(" |",D2868&amp;" |")-1)),"?"))</f>
        <v/>
      </c>
      <c r="H2868" s="27" t="str">
        <f aca="false">IF(G2868="","",IF(G2868="?","⚠ pub inconnue",IFERROR(INDEX(Pubs!$B$2:$B$3001,MATCH(G2868,Pubs!$A$2:$A$3001,0))&amp;"","⚠ pub inconnue")))</f>
        <v/>
      </c>
      <c r="I2868" s="27" t="str">
        <f aca="false">IF(OR(G2868="",G2868="?"),"",IFERROR(INDEX(Pubs!$C$2:$C$3001,MATCH(G2868,Pubs!$A$2:$A$3001,0))&amp;"",""))</f>
        <v/>
      </c>
      <c r="J2868" s="27" t="str">
        <f aca="false">IF(OR(G2868="",G2868="?"),"",IFERROR(INDEX(Pubs!$G$2:$G$3001,MATCH(G2868,Pubs!$A$2:$A$3001,0))&amp;"",""))</f>
        <v/>
      </c>
      <c r="K2868" s="28" t="str">
        <f aca="false">IF(OR(G2868="",G2868="?"),"",IFERROR(INDEX(Pubs!$E$2:$E$3001,MATCH(G2868,Pubs!$A$2:$A$3001,0)),""))</f>
        <v/>
      </c>
      <c r="L2868" s="29" t="str">
        <f aca="false">IF(A2868="","",IFERROR(1/(1/INDEX(Numéros!$C$2:$C$3001,MATCH(A2868&amp;"|"&amp;B2868,Numéros!$F$2:$F$3001,0))),""))</f>
        <v/>
      </c>
      <c r="M2868" s="27" t="str">
        <f aca="false">IF(OR(G2868="",G2868="?"),"",IFERROR(INDEX(Pubs!$D$2:$D$3001,MATCH(G2868,Pubs!$A$2:$A$3001,0))&amp;"",""))</f>
        <v/>
      </c>
      <c r="N2868" s="27" t="n">
        <f aca="false">N(N2867)+IF(AND(A2868&lt;&gt;"",OR(Recherche!$C$4="",A2868=Recherche!$C$4),OR(Recherche!$C$5="",B2868&amp;""=Recherche!$C$5&amp;""),OR(Recherche!$C$6="",IFERROR(YEAR(L2868),0)=Recherche!$C$6),OR(Recherche!$C$7="",ISNUMBER(SEARCH(Recherche!$C$7,H2868))),OR(Recherche!$C$8="",J2868=Recherche!$C$8),OR(Recherche!$C$9="",I2868=Recherche!$C$9),OR(Recherche!$C$10="",G2868&amp;""=Recherche!$C$10&amp;""),OR(Recherche!$C$11="",E2868=Recherche!$C$11),OR(Recherche!$C$12="",ISNUMBER(SEARCH(Recherche!$C$12,M2868&amp;" "&amp;F2868)))),1,0)</f>
        <v>8</v>
      </c>
    </row>
    <row r="2869" customFormat="false" ht="15" hidden="false" customHeight="false" outlineLevel="0" collapsed="false">
      <c r="A2869" s="19"/>
      <c r="B2869" s="19"/>
      <c r="C2869" s="19"/>
      <c r="D2869" s="19"/>
      <c r="E2869" s="22"/>
      <c r="F2869" s="19"/>
      <c r="G2869" s="26" t="str">
        <f aca="false">IF(D2869="","",IFERROR(VALUE(LEFT(D2869,FIND(" |",D2869&amp;" |")-1)),"?"))</f>
        <v/>
      </c>
      <c r="H2869" s="27" t="str">
        <f aca="false">IF(G2869="","",IF(G2869="?","⚠ pub inconnue",IFERROR(INDEX(Pubs!$B$2:$B$3001,MATCH(G2869,Pubs!$A$2:$A$3001,0))&amp;"","⚠ pub inconnue")))</f>
        <v/>
      </c>
      <c r="I2869" s="27" t="str">
        <f aca="false">IF(OR(G2869="",G2869="?"),"",IFERROR(INDEX(Pubs!$C$2:$C$3001,MATCH(G2869,Pubs!$A$2:$A$3001,0))&amp;"",""))</f>
        <v/>
      </c>
      <c r="J2869" s="27" t="str">
        <f aca="false">IF(OR(G2869="",G2869="?"),"",IFERROR(INDEX(Pubs!$G$2:$G$3001,MATCH(G2869,Pubs!$A$2:$A$3001,0))&amp;"",""))</f>
        <v/>
      </c>
      <c r="K2869" s="28" t="str">
        <f aca="false">IF(OR(G2869="",G2869="?"),"",IFERROR(INDEX(Pubs!$E$2:$E$3001,MATCH(G2869,Pubs!$A$2:$A$3001,0)),""))</f>
        <v/>
      </c>
      <c r="L2869" s="29" t="str">
        <f aca="false">IF(A2869="","",IFERROR(1/(1/INDEX(Numéros!$C$2:$C$3001,MATCH(A2869&amp;"|"&amp;B2869,Numéros!$F$2:$F$3001,0))),""))</f>
        <v/>
      </c>
      <c r="M2869" s="27" t="str">
        <f aca="false">IF(OR(G2869="",G2869="?"),"",IFERROR(INDEX(Pubs!$D$2:$D$3001,MATCH(G2869,Pubs!$A$2:$A$3001,0))&amp;"",""))</f>
        <v/>
      </c>
      <c r="N2869" s="27" t="n">
        <f aca="false">N(N2868)+IF(AND(A2869&lt;&gt;"",OR(Recherche!$C$4="",A2869=Recherche!$C$4),OR(Recherche!$C$5="",B2869&amp;""=Recherche!$C$5&amp;""),OR(Recherche!$C$6="",IFERROR(YEAR(L2869),0)=Recherche!$C$6),OR(Recherche!$C$7="",ISNUMBER(SEARCH(Recherche!$C$7,H2869))),OR(Recherche!$C$8="",J2869=Recherche!$C$8),OR(Recherche!$C$9="",I2869=Recherche!$C$9),OR(Recherche!$C$10="",G2869&amp;""=Recherche!$C$10&amp;""),OR(Recherche!$C$11="",E2869=Recherche!$C$11),OR(Recherche!$C$12="",ISNUMBER(SEARCH(Recherche!$C$12,M2869&amp;" "&amp;F2869)))),1,0)</f>
        <v>8</v>
      </c>
    </row>
    <row r="2870" customFormat="false" ht="15" hidden="false" customHeight="false" outlineLevel="0" collapsed="false">
      <c r="A2870" s="19"/>
      <c r="B2870" s="19"/>
      <c r="C2870" s="19"/>
      <c r="D2870" s="19"/>
      <c r="E2870" s="22"/>
      <c r="F2870" s="19"/>
      <c r="G2870" s="26" t="str">
        <f aca="false">IF(D2870="","",IFERROR(VALUE(LEFT(D2870,FIND(" |",D2870&amp;" |")-1)),"?"))</f>
        <v/>
      </c>
      <c r="H2870" s="27" t="str">
        <f aca="false">IF(G2870="","",IF(G2870="?","⚠ pub inconnue",IFERROR(INDEX(Pubs!$B$2:$B$3001,MATCH(G2870,Pubs!$A$2:$A$3001,0))&amp;"","⚠ pub inconnue")))</f>
        <v/>
      </c>
      <c r="I2870" s="27" t="str">
        <f aca="false">IF(OR(G2870="",G2870="?"),"",IFERROR(INDEX(Pubs!$C$2:$C$3001,MATCH(G2870,Pubs!$A$2:$A$3001,0))&amp;"",""))</f>
        <v/>
      </c>
      <c r="J2870" s="27" t="str">
        <f aca="false">IF(OR(G2870="",G2870="?"),"",IFERROR(INDEX(Pubs!$G$2:$G$3001,MATCH(G2870,Pubs!$A$2:$A$3001,0))&amp;"",""))</f>
        <v/>
      </c>
      <c r="K2870" s="28" t="str">
        <f aca="false">IF(OR(G2870="",G2870="?"),"",IFERROR(INDEX(Pubs!$E$2:$E$3001,MATCH(G2870,Pubs!$A$2:$A$3001,0)),""))</f>
        <v/>
      </c>
      <c r="L2870" s="29" t="str">
        <f aca="false">IF(A2870="","",IFERROR(1/(1/INDEX(Numéros!$C$2:$C$3001,MATCH(A2870&amp;"|"&amp;B2870,Numéros!$F$2:$F$3001,0))),""))</f>
        <v/>
      </c>
      <c r="M2870" s="27" t="str">
        <f aca="false">IF(OR(G2870="",G2870="?"),"",IFERROR(INDEX(Pubs!$D$2:$D$3001,MATCH(G2870,Pubs!$A$2:$A$3001,0))&amp;"",""))</f>
        <v/>
      </c>
      <c r="N2870" s="27" t="n">
        <f aca="false">N(N2869)+IF(AND(A2870&lt;&gt;"",OR(Recherche!$C$4="",A2870=Recherche!$C$4),OR(Recherche!$C$5="",B2870&amp;""=Recherche!$C$5&amp;""),OR(Recherche!$C$6="",IFERROR(YEAR(L2870),0)=Recherche!$C$6),OR(Recherche!$C$7="",ISNUMBER(SEARCH(Recherche!$C$7,H2870))),OR(Recherche!$C$8="",J2870=Recherche!$C$8),OR(Recherche!$C$9="",I2870=Recherche!$C$9),OR(Recherche!$C$10="",G2870&amp;""=Recherche!$C$10&amp;""),OR(Recherche!$C$11="",E2870=Recherche!$C$11),OR(Recherche!$C$12="",ISNUMBER(SEARCH(Recherche!$C$12,M2870&amp;" "&amp;F2870)))),1,0)</f>
        <v>8</v>
      </c>
    </row>
    <row r="2871" customFormat="false" ht="15" hidden="false" customHeight="false" outlineLevel="0" collapsed="false">
      <c r="A2871" s="19"/>
      <c r="B2871" s="19"/>
      <c r="C2871" s="19"/>
      <c r="D2871" s="19"/>
      <c r="E2871" s="22"/>
      <c r="F2871" s="19"/>
      <c r="G2871" s="26" t="str">
        <f aca="false">IF(D2871="","",IFERROR(VALUE(LEFT(D2871,FIND(" |",D2871&amp;" |")-1)),"?"))</f>
        <v/>
      </c>
      <c r="H2871" s="27" t="str">
        <f aca="false">IF(G2871="","",IF(G2871="?","⚠ pub inconnue",IFERROR(INDEX(Pubs!$B$2:$B$3001,MATCH(G2871,Pubs!$A$2:$A$3001,0))&amp;"","⚠ pub inconnue")))</f>
        <v/>
      </c>
      <c r="I2871" s="27" t="str">
        <f aca="false">IF(OR(G2871="",G2871="?"),"",IFERROR(INDEX(Pubs!$C$2:$C$3001,MATCH(G2871,Pubs!$A$2:$A$3001,0))&amp;"",""))</f>
        <v/>
      </c>
      <c r="J2871" s="27" t="str">
        <f aca="false">IF(OR(G2871="",G2871="?"),"",IFERROR(INDEX(Pubs!$G$2:$G$3001,MATCH(G2871,Pubs!$A$2:$A$3001,0))&amp;"",""))</f>
        <v/>
      </c>
      <c r="K2871" s="28" t="str">
        <f aca="false">IF(OR(G2871="",G2871="?"),"",IFERROR(INDEX(Pubs!$E$2:$E$3001,MATCH(G2871,Pubs!$A$2:$A$3001,0)),""))</f>
        <v/>
      </c>
      <c r="L2871" s="29" t="str">
        <f aca="false">IF(A2871="","",IFERROR(1/(1/INDEX(Numéros!$C$2:$C$3001,MATCH(A2871&amp;"|"&amp;B2871,Numéros!$F$2:$F$3001,0))),""))</f>
        <v/>
      </c>
      <c r="M2871" s="27" t="str">
        <f aca="false">IF(OR(G2871="",G2871="?"),"",IFERROR(INDEX(Pubs!$D$2:$D$3001,MATCH(G2871,Pubs!$A$2:$A$3001,0))&amp;"",""))</f>
        <v/>
      </c>
      <c r="N2871" s="27" t="n">
        <f aca="false">N(N2870)+IF(AND(A2871&lt;&gt;"",OR(Recherche!$C$4="",A2871=Recherche!$C$4),OR(Recherche!$C$5="",B2871&amp;""=Recherche!$C$5&amp;""),OR(Recherche!$C$6="",IFERROR(YEAR(L2871),0)=Recherche!$C$6),OR(Recherche!$C$7="",ISNUMBER(SEARCH(Recherche!$C$7,H2871))),OR(Recherche!$C$8="",J2871=Recherche!$C$8),OR(Recherche!$C$9="",I2871=Recherche!$C$9),OR(Recherche!$C$10="",G2871&amp;""=Recherche!$C$10&amp;""),OR(Recherche!$C$11="",E2871=Recherche!$C$11),OR(Recherche!$C$12="",ISNUMBER(SEARCH(Recherche!$C$12,M2871&amp;" "&amp;F2871)))),1,0)</f>
        <v>8</v>
      </c>
    </row>
    <row r="2872" customFormat="false" ht="15" hidden="false" customHeight="false" outlineLevel="0" collapsed="false">
      <c r="A2872" s="19"/>
      <c r="B2872" s="19"/>
      <c r="C2872" s="19"/>
      <c r="D2872" s="19"/>
      <c r="E2872" s="22"/>
      <c r="F2872" s="19"/>
      <c r="G2872" s="26" t="str">
        <f aca="false">IF(D2872="","",IFERROR(VALUE(LEFT(D2872,FIND(" |",D2872&amp;" |")-1)),"?"))</f>
        <v/>
      </c>
      <c r="H2872" s="27" t="str">
        <f aca="false">IF(G2872="","",IF(G2872="?","⚠ pub inconnue",IFERROR(INDEX(Pubs!$B$2:$B$3001,MATCH(G2872,Pubs!$A$2:$A$3001,0))&amp;"","⚠ pub inconnue")))</f>
        <v/>
      </c>
      <c r="I2872" s="27" t="str">
        <f aca="false">IF(OR(G2872="",G2872="?"),"",IFERROR(INDEX(Pubs!$C$2:$C$3001,MATCH(G2872,Pubs!$A$2:$A$3001,0))&amp;"",""))</f>
        <v/>
      </c>
      <c r="J2872" s="27" t="str">
        <f aca="false">IF(OR(G2872="",G2872="?"),"",IFERROR(INDEX(Pubs!$G$2:$G$3001,MATCH(G2872,Pubs!$A$2:$A$3001,0))&amp;"",""))</f>
        <v/>
      </c>
      <c r="K2872" s="28" t="str">
        <f aca="false">IF(OR(G2872="",G2872="?"),"",IFERROR(INDEX(Pubs!$E$2:$E$3001,MATCH(G2872,Pubs!$A$2:$A$3001,0)),""))</f>
        <v/>
      </c>
      <c r="L2872" s="29" t="str">
        <f aca="false">IF(A2872="","",IFERROR(1/(1/INDEX(Numéros!$C$2:$C$3001,MATCH(A2872&amp;"|"&amp;B2872,Numéros!$F$2:$F$3001,0))),""))</f>
        <v/>
      </c>
      <c r="M2872" s="27" t="str">
        <f aca="false">IF(OR(G2872="",G2872="?"),"",IFERROR(INDEX(Pubs!$D$2:$D$3001,MATCH(G2872,Pubs!$A$2:$A$3001,0))&amp;"",""))</f>
        <v/>
      </c>
      <c r="N2872" s="27" t="n">
        <f aca="false">N(N2871)+IF(AND(A2872&lt;&gt;"",OR(Recherche!$C$4="",A2872=Recherche!$C$4),OR(Recherche!$C$5="",B2872&amp;""=Recherche!$C$5&amp;""),OR(Recherche!$C$6="",IFERROR(YEAR(L2872),0)=Recherche!$C$6),OR(Recherche!$C$7="",ISNUMBER(SEARCH(Recherche!$C$7,H2872))),OR(Recherche!$C$8="",J2872=Recherche!$C$8),OR(Recherche!$C$9="",I2872=Recherche!$C$9),OR(Recherche!$C$10="",G2872&amp;""=Recherche!$C$10&amp;""),OR(Recherche!$C$11="",E2872=Recherche!$C$11),OR(Recherche!$C$12="",ISNUMBER(SEARCH(Recherche!$C$12,M2872&amp;" "&amp;F2872)))),1,0)</f>
        <v>8</v>
      </c>
    </row>
    <row r="2873" customFormat="false" ht="15" hidden="false" customHeight="false" outlineLevel="0" collapsed="false">
      <c r="A2873" s="19"/>
      <c r="B2873" s="19"/>
      <c r="C2873" s="19"/>
      <c r="D2873" s="19"/>
      <c r="E2873" s="22"/>
      <c r="F2873" s="19"/>
      <c r="G2873" s="26" t="str">
        <f aca="false">IF(D2873="","",IFERROR(VALUE(LEFT(D2873,FIND(" |",D2873&amp;" |")-1)),"?"))</f>
        <v/>
      </c>
      <c r="H2873" s="27" t="str">
        <f aca="false">IF(G2873="","",IF(G2873="?","⚠ pub inconnue",IFERROR(INDEX(Pubs!$B$2:$B$3001,MATCH(G2873,Pubs!$A$2:$A$3001,0))&amp;"","⚠ pub inconnue")))</f>
        <v/>
      </c>
      <c r="I2873" s="27" t="str">
        <f aca="false">IF(OR(G2873="",G2873="?"),"",IFERROR(INDEX(Pubs!$C$2:$C$3001,MATCH(G2873,Pubs!$A$2:$A$3001,0))&amp;"",""))</f>
        <v/>
      </c>
      <c r="J2873" s="27" t="str">
        <f aca="false">IF(OR(G2873="",G2873="?"),"",IFERROR(INDEX(Pubs!$G$2:$G$3001,MATCH(G2873,Pubs!$A$2:$A$3001,0))&amp;"",""))</f>
        <v/>
      </c>
      <c r="K2873" s="28" t="str">
        <f aca="false">IF(OR(G2873="",G2873="?"),"",IFERROR(INDEX(Pubs!$E$2:$E$3001,MATCH(G2873,Pubs!$A$2:$A$3001,0)),""))</f>
        <v/>
      </c>
      <c r="L2873" s="29" t="str">
        <f aca="false">IF(A2873="","",IFERROR(1/(1/INDEX(Numéros!$C$2:$C$3001,MATCH(A2873&amp;"|"&amp;B2873,Numéros!$F$2:$F$3001,0))),""))</f>
        <v/>
      </c>
      <c r="M2873" s="27" t="str">
        <f aca="false">IF(OR(G2873="",G2873="?"),"",IFERROR(INDEX(Pubs!$D$2:$D$3001,MATCH(G2873,Pubs!$A$2:$A$3001,0))&amp;"",""))</f>
        <v/>
      </c>
      <c r="N2873" s="27" t="n">
        <f aca="false">N(N2872)+IF(AND(A2873&lt;&gt;"",OR(Recherche!$C$4="",A2873=Recherche!$C$4),OR(Recherche!$C$5="",B2873&amp;""=Recherche!$C$5&amp;""),OR(Recherche!$C$6="",IFERROR(YEAR(L2873),0)=Recherche!$C$6),OR(Recherche!$C$7="",ISNUMBER(SEARCH(Recherche!$C$7,H2873))),OR(Recherche!$C$8="",J2873=Recherche!$C$8),OR(Recherche!$C$9="",I2873=Recherche!$C$9),OR(Recherche!$C$10="",G2873&amp;""=Recherche!$C$10&amp;""),OR(Recherche!$C$11="",E2873=Recherche!$C$11),OR(Recherche!$C$12="",ISNUMBER(SEARCH(Recherche!$C$12,M2873&amp;" "&amp;F2873)))),1,0)</f>
        <v>8</v>
      </c>
    </row>
    <row r="2874" customFormat="false" ht="15" hidden="false" customHeight="false" outlineLevel="0" collapsed="false">
      <c r="A2874" s="19"/>
      <c r="B2874" s="19"/>
      <c r="C2874" s="19"/>
      <c r="D2874" s="19"/>
      <c r="E2874" s="22"/>
      <c r="F2874" s="19"/>
      <c r="G2874" s="26" t="str">
        <f aca="false">IF(D2874="","",IFERROR(VALUE(LEFT(D2874,FIND(" |",D2874&amp;" |")-1)),"?"))</f>
        <v/>
      </c>
      <c r="H2874" s="27" t="str">
        <f aca="false">IF(G2874="","",IF(G2874="?","⚠ pub inconnue",IFERROR(INDEX(Pubs!$B$2:$B$3001,MATCH(G2874,Pubs!$A$2:$A$3001,0))&amp;"","⚠ pub inconnue")))</f>
        <v/>
      </c>
      <c r="I2874" s="27" t="str">
        <f aca="false">IF(OR(G2874="",G2874="?"),"",IFERROR(INDEX(Pubs!$C$2:$C$3001,MATCH(G2874,Pubs!$A$2:$A$3001,0))&amp;"",""))</f>
        <v/>
      </c>
      <c r="J2874" s="27" t="str">
        <f aca="false">IF(OR(G2874="",G2874="?"),"",IFERROR(INDEX(Pubs!$G$2:$G$3001,MATCH(G2874,Pubs!$A$2:$A$3001,0))&amp;"",""))</f>
        <v/>
      </c>
      <c r="K2874" s="28" t="str">
        <f aca="false">IF(OR(G2874="",G2874="?"),"",IFERROR(INDEX(Pubs!$E$2:$E$3001,MATCH(G2874,Pubs!$A$2:$A$3001,0)),""))</f>
        <v/>
      </c>
      <c r="L2874" s="29" t="str">
        <f aca="false">IF(A2874="","",IFERROR(1/(1/INDEX(Numéros!$C$2:$C$3001,MATCH(A2874&amp;"|"&amp;B2874,Numéros!$F$2:$F$3001,0))),""))</f>
        <v/>
      </c>
      <c r="M2874" s="27" t="str">
        <f aca="false">IF(OR(G2874="",G2874="?"),"",IFERROR(INDEX(Pubs!$D$2:$D$3001,MATCH(G2874,Pubs!$A$2:$A$3001,0))&amp;"",""))</f>
        <v/>
      </c>
      <c r="N2874" s="27" t="n">
        <f aca="false">N(N2873)+IF(AND(A2874&lt;&gt;"",OR(Recherche!$C$4="",A2874=Recherche!$C$4),OR(Recherche!$C$5="",B2874&amp;""=Recherche!$C$5&amp;""),OR(Recherche!$C$6="",IFERROR(YEAR(L2874),0)=Recherche!$C$6),OR(Recherche!$C$7="",ISNUMBER(SEARCH(Recherche!$C$7,H2874))),OR(Recherche!$C$8="",J2874=Recherche!$C$8),OR(Recherche!$C$9="",I2874=Recherche!$C$9),OR(Recherche!$C$10="",G2874&amp;""=Recherche!$C$10&amp;""),OR(Recherche!$C$11="",E2874=Recherche!$C$11),OR(Recherche!$C$12="",ISNUMBER(SEARCH(Recherche!$C$12,M2874&amp;" "&amp;F2874)))),1,0)</f>
        <v>8</v>
      </c>
    </row>
    <row r="2875" customFormat="false" ht="15" hidden="false" customHeight="false" outlineLevel="0" collapsed="false">
      <c r="A2875" s="19"/>
      <c r="B2875" s="19"/>
      <c r="C2875" s="19"/>
      <c r="D2875" s="19"/>
      <c r="E2875" s="22"/>
      <c r="F2875" s="19"/>
      <c r="G2875" s="26" t="str">
        <f aca="false">IF(D2875="","",IFERROR(VALUE(LEFT(D2875,FIND(" |",D2875&amp;" |")-1)),"?"))</f>
        <v/>
      </c>
      <c r="H2875" s="27" t="str">
        <f aca="false">IF(G2875="","",IF(G2875="?","⚠ pub inconnue",IFERROR(INDEX(Pubs!$B$2:$B$3001,MATCH(G2875,Pubs!$A$2:$A$3001,0))&amp;"","⚠ pub inconnue")))</f>
        <v/>
      </c>
      <c r="I2875" s="27" t="str">
        <f aca="false">IF(OR(G2875="",G2875="?"),"",IFERROR(INDEX(Pubs!$C$2:$C$3001,MATCH(G2875,Pubs!$A$2:$A$3001,0))&amp;"",""))</f>
        <v/>
      </c>
      <c r="J2875" s="27" t="str">
        <f aca="false">IF(OR(G2875="",G2875="?"),"",IFERROR(INDEX(Pubs!$G$2:$G$3001,MATCH(G2875,Pubs!$A$2:$A$3001,0))&amp;"",""))</f>
        <v/>
      </c>
      <c r="K2875" s="28" t="str">
        <f aca="false">IF(OR(G2875="",G2875="?"),"",IFERROR(INDEX(Pubs!$E$2:$E$3001,MATCH(G2875,Pubs!$A$2:$A$3001,0)),""))</f>
        <v/>
      </c>
      <c r="L2875" s="29" t="str">
        <f aca="false">IF(A2875="","",IFERROR(1/(1/INDEX(Numéros!$C$2:$C$3001,MATCH(A2875&amp;"|"&amp;B2875,Numéros!$F$2:$F$3001,0))),""))</f>
        <v/>
      </c>
      <c r="M2875" s="27" t="str">
        <f aca="false">IF(OR(G2875="",G2875="?"),"",IFERROR(INDEX(Pubs!$D$2:$D$3001,MATCH(G2875,Pubs!$A$2:$A$3001,0))&amp;"",""))</f>
        <v/>
      </c>
      <c r="N2875" s="27" t="n">
        <f aca="false">N(N2874)+IF(AND(A2875&lt;&gt;"",OR(Recherche!$C$4="",A2875=Recherche!$C$4),OR(Recherche!$C$5="",B2875&amp;""=Recherche!$C$5&amp;""),OR(Recherche!$C$6="",IFERROR(YEAR(L2875),0)=Recherche!$C$6),OR(Recherche!$C$7="",ISNUMBER(SEARCH(Recherche!$C$7,H2875))),OR(Recherche!$C$8="",J2875=Recherche!$C$8),OR(Recherche!$C$9="",I2875=Recherche!$C$9),OR(Recherche!$C$10="",G2875&amp;""=Recherche!$C$10&amp;""),OR(Recherche!$C$11="",E2875=Recherche!$C$11),OR(Recherche!$C$12="",ISNUMBER(SEARCH(Recherche!$C$12,M2875&amp;" "&amp;F2875)))),1,0)</f>
        <v>8</v>
      </c>
    </row>
    <row r="2876" customFormat="false" ht="15" hidden="false" customHeight="false" outlineLevel="0" collapsed="false">
      <c r="A2876" s="19"/>
      <c r="B2876" s="19"/>
      <c r="C2876" s="19"/>
      <c r="D2876" s="19"/>
      <c r="E2876" s="22"/>
      <c r="F2876" s="19"/>
      <c r="G2876" s="26" t="str">
        <f aca="false">IF(D2876="","",IFERROR(VALUE(LEFT(D2876,FIND(" |",D2876&amp;" |")-1)),"?"))</f>
        <v/>
      </c>
      <c r="H2876" s="27" t="str">
        <f aca="false">IF(G2876="","",IF(G2876="?","⚠ pub inconnue",IFERROR(INDEX(Pubs!$B$2:$B$3001,MATCH(G2876,Pubs!$A$2:$A$3001,0))&amp;"","⚠ pub inconnue")))</f>
        <v/>
      </c>
      <c r="I2876" s="27" t="str">
        <f aca="false">IF(OR(G2876="",G2876="?"),"",IFERROR(INDEX(Pubs!$C$2:$C$3001,MATCH(G2876,Pubs!$A$2:$A$3001,0))&amp;"",""))</f>
        <v/>
      </c>
      <c r="J2876" s="27" t="str">
        <f aca="false">IF(OR(G2876="",G2876="?"),"",IFERROR(INDEX(Pubs!$G$2:$G$3001,MATCH(G2876,Pubs!$A$2:$A$3001,0))&amp;"",""))</f>
        <v/>
      </c>
      <c r="K2876" s="28" t="str">
        <f aca="false">IF(OR(G2876="",G2876="?"),"",IFERROR(INDEX(Pubs!$E$2:$E$3001,MATCH(G2876,Pubs!$A$2:$A$3001,0)),""))</f>
        <v/>
      </c>
      <c r="L2876" s="29" t="str">
        <f aca="false">IF(A2876="","",IFERROR(1/(1/INDEX(Numéros!$C$2:$C$3001,MATCH(A2876&amp;"|"&amp;B2876,Numéros!$F$2:$F$3001,0))),""))</f>
        <v/>
      </c>
      <c r="M2876" s="27" t="str">
        <f aca="false">IF(OR(G2876="",G2876="?"),"",IFERROR(INDEX(Pubs!$D$2:$D$3001,MATCH(G2876,Pubs!$A$2:$A$3001,0))&amp;"",""))</f>
        <v/>
      </c>
      <c r="N2876" s="27" t="n">
        <f aca="false">N(N2875)+IF(AND(A2876&lt;&gt;"",OR(Recherche!$C$4="",A2876=Recherche!$C$4),OR(Recherche!$C$5="",B2876&amp;""=Recherche!$C$5&amp;""),OR(Recherche!$C$6="",IFERROR(YEAR(L2876),0)=Recherche!$C$6),OR(Recherche!$C$7="",ISNUMBER(SEARCH(Recherche!$C$7,H2876))),OR(Recherche!$C$8="",J2876=Recherche!$C$8),OR(Recherche!$C$9="",I2876=Recherche!$C$9),OR(Recherche!$C$10="",G2876&amp;""=Recherche!$C$10&amp;""),OR(Recherche!$C$11="",E2876=Recherche!$C$11),OR(Recherche!$C$12="",ISNUMBER(SEARCH(Recherche!$C$12,M2876&amp;" "&amp;F2876)))),1,0)</f>
        <v>8</v>
      </c>
    </row>
    <row r="2877" customFormat="false" ht="15" hidden="false" customHeight="false" outlineLevel="0" collapsed="false">
      <c r="A2877" s="19"/>
      <c r="B2877" s="19"/>
      <c r="C2877" s="19"/>
      <c r="D2877" s="19"/>
      <c r="E2877" s="22"/>
      <c r="F2877" s="19"/>
      <c r="G2877" s="26" t="str">
        <f aca="false">IF(D2877="","",IFERROR(VALUE(LEFT(D2877,FIND(" |",D2877&amp;" |")-1)),"?"))</f>
        <v/>
      </c>
      <c r="H2877" s="27" t="str">
        <f aca="false">IF(G2877="","",IF(G2877="?","⚠ pub inconnue",IFERROR(INDEX(Pubs!$B$2:$B$3001,MATCH(G2877,Pubs!$A$2:$A$3001,0))&amp;"","⚠ pub inconnue")))</f>
        <v/>
      </c>
      <c r="I2877" s="27" t="str">
        <f aca="false">IF(OR(G2877="",G2877="?"),"",IFERROR(INDEX(Pubs!$C$2:$C$3001,MATCH(G2877,Pubs!$A$2:$A$3001,0))&amp;"",""))</f>
        <v/>
      </c>
      <c r="J2877" s="27" t="str">
        <f aca="false">IF(OR(G2877="",G2877="?"),"",IFERROR(INDEX(Pubs!$G$2:$G$3001,MATCH(G2877,Pubs!$A$2:$A$3001,0))&amp;"",""))</f>
        <v/>
      </c>
      <c r="K2877" s="28" t="str">
        <f aca="false">IF(OR(G2877="",G2877="?"),"",IFERROR(INDEX(Pubs!$E$2:$E$3001,MATCH(G2877,Pubs!$A$2:$A$3001,0)),""))</f>
        <v/>
      </c>
      <c r="L2877" s="29" t="str">
        <f aca="false">IF(A2877="","",IFERROR(1/(1/INDEX(Numéros!$C$2:$C$3001,MATCH(A2877&amp;"|"&amp;B2877,Numéros!$F$2:$F$3001,0))),""))</f>
        <v/>
      </c>
      <c r="M2877" s="27" t="str">
        <f aca="false">IF(OR(G2877="",G2877="?"),"",IFERROR(INDEX(Pubs!$D$2:$D$3001,MATCH(G2877,Pubs!$A$2:$A$3001,0))&amp;"",""))</f>
        <v/>
      </c>
      <c r="N2877" s="27" t="n">
        <f aca="false">N(N2876)+IF(AND(A2877&lt;&gt;"",OR(Recherche!$C$4="",A2877=Recherche!$C$4),OR(Recherche!$C$5="",B2877&amp;""=Recherche!$C$5&amp;""),OR(Recherche!$C$6="",IFERROR(YEAR(L2877),0)=Recherche!$C$6),OR(Recherche!$C$7="",ISNUMBER(SEARCH(Recherche!$C$7,H2877))),OR(Recherche!$C$8="",J2877=Recherche!$C$8),OR(Recherche!$C$9="",I2877=Recherche!$C$9),OR(Recherche!$C$10="",G2877&amp;""=Recherche!$C$10&amp;""),OR(Recherche!$C$11="",E2877=Recherche!$C$11),OR(Recherche!$C$12="",ISNUMBER(SEARCH(Recherche!$C$12,M2877&amp;" "&amp;F2877)))),1,0)</f>
        <v>8</v>
      </c>
    </row>
    <row r="2878" customFormat="false" ht="15" hidden="false" customHeight="false" outlineLevel="0" collapsed="false">
      <c r="A2878" s="19"/>
      <c r="B2878" s="19"/>
      <c r="C2878" s="19"/>
      <c r="D2878" s="19"/>
      <c r="E2878" s="22"/>
      <c r="F2878" s="19"/>
      <c r="G2878" s="26" t="str">
        <f aca="false">IF(D2878="","",IFERROR(VALUE(LEFT(D2878,FIND(" |",D2878&amp;" |")-1)),"?"))</f>
        <v/>
      </c>
      <c r="H2878" s="27" t="str">
        <f aca="false">IF(G2878="","",IF(G2878="?","⚠ pub inconnue",IFERROR(INDEX(Pubs!$B$2:$B$3001,MATCH(G2878,Pubs!$A$2:$A$3001,0))&amp;"","⚠ pub inconnue")))</f>
        <v/>
      </c>
      <c r="I2878" s="27" t="str">
        <f aca="false">IF(OR(G2878="",G2878="?"),"",IFERROR(INDEX(Pubs!$C$2:$C$3001,MATCH(G2878,Pubs!$A$2:$A$3001,0))&amp;"",""))</f>
        <v/>
      </c>
      <c r="J2878" s="27" t="str">
        <f aca="false">IF(OR(G2878="",G2878="?"),"",IFERROR(INDEX(Pubs!$G$2:$G$3001,MATCH(G2878,Pubs!$A$2:$A$3001,0))&amp;"",""))</f>
        <v/>
      </c>
      <c r="K2878" s="28" t="str">
        <f aca="false">IF(OR(G2878="",G2878="?"),"",IFERROR(INDEX(Pubs!$E$2:$E$3001,MATCH(G2878,Pubs!$A$2:$A$3001,0)),""))</f>
        <v/>
      </c>
      <c r="L2878" s="29" t="str">
        <f aca="false">IF(A2878="","",IFERROR(1/(1/INDEX(Numéros!$C$2:$C$3001,MATCH(A2878&amp;"|"&amp;B2878,Numéros!$F$2:$F$3001,0))),""))</f>
        <v/>
      </c>
      <c r="M2878" s="27" t="str">
        <f aca="false">IF(OR(G2878="",G2878="?"),"",IFERROR(INDEX(Pubs!$D$2:$D$3001,MATCH(G2878,Pubs!$A$2:$A$3001,0))&amp;"",""))</f>
        <v/>
      </c>
      <c r="N2878" s="27" t="n">
        <f aca="false">N(N2877)+IF(AND(A2878&lt;&gt;"",OR(Recherche!$C$4="",A2878=Recherche!$C$4),OR(Recherche!$C$5="",B2878&amp;""=Recherche!$C$5&amp;""),OR(Recherche!$C$6="",IFERROR(YEAR(L2878),0)=Recherche!$C$6),OR(Recherche!$C$7="",ISNUMBER(SEARCH(Recherche!$C$7,H2878))),OR(Recherche!$C$8="",J2878=Recherche!$C$8),OR(Recherche!$C$9="",I2878=Recherche!$C$9),OR(Recherche!$C$10="",G2878&amp;""=Recherche!$C$10&amp;""),OR(Recherche!$C$11="",E2878=Recherche!$C$11),OR(Recherche!$C$12="",ISNUMBER(SEARCH(Recherche!$C$12,M2878&amp;" "&amp;F2878)))),1,0)</f>
        <v>8</v>
      </c>
    </row>
    <row r="2879" customFormat="false" ht="15" hidden="false" customHeight="false" outlineLevel="0" collapsed="false">
      <c r="A2879" s="19"/>
      <c r="B2879" s="19"/>
      <c r="C2879" s="19"/>
      <c r="D2879" s="19"/>
      <c r="E2879" s="22"/>
      <c r="F2879" s="19"/>
      <c r="G2879" s="26" t="str">
        <f aca="false">IF(D2879="","",IFERROR(VALUE(LEFT(D2879,FIND(" |",D2879&amp;" |")-1)),"?"))</f>
        <v/>
      </c>
      <c r="H2879" s="27" t="str">
        <f aca="false">IF(G2879="","",IF(G2879="?","⚠ pub inconnue",IFERROR(INDEX(Pubs!$B$2:$B$3001,MATCH(G2879,Pubs!$A$2:$A$3001,0))&amp;"","⚠ pub inconnue")))</f>
        <v/>
      </c>
      <c r="I2879" s="27" t="str">
        <f aca="false">IF(OR(G2879="",G2879="?"),"",IFERROR(INDEX(Pubs!$C$2:$C$3001,MATCH(G2879,Pubs!$A$2:$A$3001,0))&amp;"",""))</f>
        <v/>
      </c>
      <c r="J2879" s="27" t="str">
        <f aca="false">IF(OR(G2879="",G2879="?"),"",IFERROR(INDEX(Pubs!$G$2:$G$3001,MATCH(G2879,Pubs!$A$2:$A$3001,0))&amp;"",""))</f>
        <v/>
      </c>
      <c r="K2879" s="28" t="str">
        <f aca="false">IF(OR(G2879="",G2879="?"),"",IFERROR(INDEX(Pubs!$E$2:$E$3001,MATCH(G2879,Pubs!$A$2:$A$3001,0)),""))</f>
        <v/>
      </c>
      <c r="L2879" s="29" t="str">
        <f aca="false">IF(A2879="","",IFERROR(1/(1/INDEX(Numéros!$C$2:$C$3001,MATCH(A2879&amp;"|"&amp;B2879,Numéros!$F$2:$F$3001,0))),""))</f>
        <v/>
      </c>
      <c r="M2879" s="27" t="str">
        <f aca="false">IF(OR(G2879="",G2879="?"),"",IFERROR(INDEX(Pubs!$D$2:$D$3001,MATCH(G2879,Pubs!$A$2:$A$3001,0))&amp;"",""))</f>
        <v/>
      </c>
      <c r="N2879" s="27" t="n">
        <f aca="false">N(N2878)+IF(AND(A2879&lt;&gt;"",OR(Recherche!$C$4="",A2879=Recherche!$C$4),OR(Recherche!$C$5="",B2879&amp;""=Recherche!$C$5&amp;""),OR(Recherche!$C$6="",IFERROR(YEAR(L2879),0)=Recherche!$C$6),OR(Recherche!$C$7="",ISNUMBER(SEARCH(Recherche!$C$7,H2879))),OR(Recherche!$C$8="",J2879=Recherche!$C$8),OR(Recherche!$C$9="",I2879=Recherche!$C$9),OR(Recherche!$C$10="",G2879&amp;""=Recherche!$C$10&amp;""),OR(Recherche!$C$11="",E2879=Recherche!$C$11),OR(Recherche!$C$12="",ISNUMBER(SEARCH(Recherche!$C$12,M2879&amp;" "&amp;F2879)))),1,0)</f>
        <v>8</v>
      </c>
    </row>
    <row r="2880" customFormat="false" ht="15" hidden="false" customHeight="false" outlineLevel="0" collapsed="false">
      <c r="A2880" s="19"/>
      <c r="B2880" s="19"/>
      <c r="C2880" s="19"/>
      <c r="D2880" s="19"/>
      <c r="E2880" s="22"/>
      <c r="F2880" s="19"/>
      <c r="G2880" s="26" t="str">
        <f aca="false">IF(D2880="","",IFERROR(VALUE(LEFT(D2880,FIND(" |",D2880&amp;" |")-1)),"?"))</f>
        <v/>
      </c>
      <c r="H2880" s="27" t="str">
        <f aca="false">IF(G2880="","",IF(G2880="?","⚠ pub inconnue",IFERROR(INDEX(Pubs!$B$2:$B$3001,MATCH(G2880,Pubs!$A$2:$A$3001,0))&amp;"","⚠ pub inconnue")))</f>
        <v/>
      </c>
      <c r="I2880" s="27" t="str">
        <f aca="false">IF(OR(G2880="",G2880="?"),"",IFERROR(INDEX(Pubs!$C$2:$C$3001,MATCH(G2880,Pubs!$A$2:$A$3001,0))&amp;"",""))</f>
        <v/>
      </c>
      <c r="J2880" s="27" t="str">
        <f aca="false">IF(OR(G2880="",G2880="?"),"",IFERROR(INDEX(Pubs!$G$2:$G$3001,MATCH(G2880,Pubs!$A$2:$A$3001,0))&amp;"",""))</f>
        <v/>
      </c>
      <c r="K2880" s="28" t="str">
        <f aca="false">IF(OR(G2880="",G2880="?"),"",IFERROR(INDEX(Pubs!$E$2:$E$3001,MATCH(G2880,Pubs!$A$2:$A$3001,0)),""))</f>
        <v/>
      </c>
      <c r="L2880" s="29" t="str">
        <f aca="false">IF(A2880="","",IFERROR(1/(1/INDEX(Numéros!$C$2:$C$3001,MATCH(A2880&amp;"|"&amp;B2880,Numéros!$F$2:$F$3001,0))),""))</f>
        <v/>
      </c>
      <c r="M2880" s="27" t="str">
        <f aca="false">IF(OR(G2880="",G2880="?"),"",IFERROR(INDEX(Pubs!$D$2:$D$3001,MATCH(G2880,Pubs!$A$2:$A$3001,0))&amp;"",""))</f>
        <v/>
      </c>
      <c r="N2880" s="27" t="n">
        <f aca="false">N(N2879)+IF(AND(A2880&lt;&gt;"",OR(Recherche!$C$4="",A2880=Recherche!$C$4),OR(Recherche!$C$5="",B2880&amp;""=Recherche!$C$5&amp;""),OR(Recherche!$C$6="",IFERROR(YEAR(L2880),0)=Recherche!$C$6),OR(Recherche!$C$7="",ISNUMBER(SEARCH(Recherche!$C$7,H2880))),OR(Recherche!$C$8="",J2880=Recherche!$C$8),OR(Recherche!$C$9="",I2880=Recherche!$C$9),OR(Recherche!$C$10="",G2880&amp;""=Recherche!$C$10&amp;""),OR(Recherche!$C$11="",E2880=Recherche!$C$11),OR(Recherche!$C$12="",ISNUMBER(SEARCH(Recherche!$C$12,M2880&amp;" "&amp;F2880)))),1,0)</f>
        <v>8</v>
      </c>
    </row>
    <row r="2881" customFormat="false" ht="15" hidden="false" customHeight="false" outlineLevel="0" collapsed="false">
      <c r="A2881" s="19"/>
      <c r="B2881" s="19"/>
      <c r="C2881" s="19"/>
      <c r="D2881" s="19"/>
      <c r="E2881" s="22"/>
      <c r="F2881" s="19"/>
      <c r="G2881" s="26" t="str">
        <f aca="false">IF(D2881="","",IFERROR(VALUE(LEFT(D2881,FIND(" |",D2881&amp;" |")-1)),"?"))</f>
        <v/>
      </c>
      <c r="H2881" s="27" t="str">
        <f aca="false">IF(G2881="","",IF(G2881="?","⚠ pub inconnue",IFERROR(INDEX(Pubs!$B$2:$B$3001,MATCH(G2881,Pubs!$A$2:$A$3001,0))&amp;"","⚠ pub inconnue")))</f>
        <v/>
      </c>
      <c r="I2881" s="27" t="str">
        <f aca="false">IF(OR(G2881="",G2881="?"),"",IFERROR(INDEX(Pubs!$C$2:$C$3001,MATCH(G2881,Pubs!$A$2:$A$3001,0))&amp;"",""))</f>
        <v/>
      </c>
      <c r="J2881" s="27" t="str">
        <f aca="false">IF(OR(G2881="",G2881="?"),"",IFERROR(INDEX(Pubs!$G$2:$G$3001,MATCH(G2881,Pubs!$A$2:$A$3001,0))&amp;"",""))</f>
        <v/>
      </c>
      <c r="K2881" s="28" t="str">
        <f aca="false">IF(OR(G2881="",G2881="?"),"",IFERROR(INDEX(Pubs!$E$2:$E$3001,MATCH(G2881,Pubs!$A$2:$A$3001,0)),""))</f>
        <v/>
      </c>
      <c r="L2881" s="29" t="str">
        <f aca="false">IF(A2881="","",IFERROR(1/(1/INDEX(Numéros!$C$2:$C$3001,MATCH(A2881&amp;"|"&amp;B2881,Numéros!$F$2:$F$3001,0))),""))</f>
        <v/>
      </c>
      <c r="M2881" s="27" t="str">
        <f aca="false">IF(OR(G2881="",G2881="?"),"",IFERROR(INDEX(Pubs!$D$2:$D$3001,MATCH(G2881,Pubs!$A$2:$A$3001,0))&amp;"",""))</f>
        <v/>
      </c>
      <c r="N2881" s="27" t="n">
        <f aca="false">N(N2880)+IF(AND(A2881&lt;&gt;"",OR(Recherche!$C$4="",A2881=Recherche!$C$4),OR(Recherche!$C$5="",B2881&amp;""=Recherche!$C$5&amp;""),OR(Recherche!$C$6="",IFERROR(YEAR(L2881),0)=Recherche!$C$6),OR(Recherche!$C$7="",ISNUMBER(SEARCH(Recherche!$C$7,H2881))),OR(Recherche!$C$8="",J2881=Recherche!$C$8),OR(Recherche!$C$9="",I2881=Recherche!$C$9),OR(Recherche!$C$10="",G2881&amp;""=Recherche!$C$10&amp;""),OR(Recherche!$C$11="",E2881=Recherche!$C$11),OR(Recherche!$C$12="",ISNUMBER(SEARCH(Recherche!$C$12,M2881&amp;" "&amp;F2881)))),1,0)</f>
        <v>8</v>
      </c>
    </row>
    <row r="2882" customFormat="false" ht="15" hidden="false" customHeight="false" outlineLevel="0" collapsed="false">
      <c r="A2882" s="19"/>
      <c r="B2882" s="19"/>
      <c r="C2882" s="19"/>
      <c r="D2882" s="19"/>
      <c r="E2882" s="22"/>
      <c r="F2882" s="19"/>
      <c r="G2882" s="26" t="str">
        <f aca="false">IF(D2882="","",IFERROR(VALUE(LEFT(D2882,FIND(" |",D2882&amp;" |")-1)),"?"))</f>
        <v/>
      </c>
      <c r="H2882" s="27" t="str">
        <f aca="false">IF(G2882="","",IF(G2882="?","⚠ pub inconnue",IFERROR(INDEX(Pubs!$B$2:$B$3001,MATCH(G2882,Pubs!$A$2:$A$3001,0))&amp;"","⚠ pub inconnue")))</f>
        <v/>
      </c>
      <c r="I2882" s="27" t="str">
        <f aca="false">IF(OR(G2882="",G2882="?"),"",IFERROR(INDEX(Pubs!$C$2:$C$3001,MATCH(G2882,Pubs!$A$2:$A$3001,0))&amp;"",""))</f>
        <v/>
      </c>
      <c r="J2882" s="27" t="str">
        <f aca="false">IF(OR(G2882="",G2882="?"),"",IFERROR(INDEX(Pubs!$G$2:$G$3001,MATCH(G2882,Pubs!$A$2:$A$3001,0))&amp;"",""))</f>
        <v/>
      </c>
      <c r="K2882" s="28" t="str">
        <f aca="false">IF(OR(G2882="",G2882="?"),"",IFERROR(INDEX(Pubs!$E$2:$E$3001,MATCH(G2882,Pubs!$A$2:$A$3001,0)),""))</f>
        <v/>
      </c>
      <c r="L2882" s="29" t="str">
        <f aca="false">IF(A2882="","",IFERROR(1/(1/INDEX(Numéros!$C$2:$C$3001,MATCH(A2882&amp;"|"&amp;B2882,Numéros!$F$2:$F$3001,0))),""))</f>
        <v/>
      </c>
      <c r="M2882" s="27" t="str">
        <f aca="false">IF(OR(G2882="",G2882="?"),"",IFERROR(INDEX(Pubs!$D$2:$D$3001,MATCH(G2882,Pubs!$A$2:$A$3001,0))&amp;"",""))</f>
        <v/>
      </c>
      <c r="N2882" s="27" t="n">
        <f aca="false">N(N2881)+IF(AND(A2882&lt;&gt;"",OR(Recherche!$C$4="",A2882=Recherche!$C$4),OR(Recherche!$C$5="",B2882&amp;""=Recherche!$C$5&amp;""),OR(Recherche!$C$6="",IFERROR(YEAR(L2882),0)=Recherche!$C$6),OR(Recherche!$C$7="",ISNUMBER(SEARCH(Recherche!$C$7,H2882))),OR(Recherche!$C$8="",J2882=Recherche!$C$8),OR(Recherche!$C$9="",I2882=Recherche!$C$9),OR(Recherche!$C$10="",G2882&amp;""=Recherche!$C$10&amp;""),OR(Recherche!$C$11="",E2882=Recherche!$C$11),OR(Recherche!$C$12="",ISNUMBER(SEARCH(Recherche!$C$12,M2882&amp;" "&amp;F2882)))),1,0)</f>
        <v>8</v>
      </c>
    </row>
    <row r="2883" customFormat="false" ht="15" hidden="false" customHeight="false" outlineLevel="0" collapsed="false">
      <c r="A2883" s="19"/>
      <c r="B2883" s="19"/>
      <c r="C2883" s="19"/>
      <c r="D2883" s="19"/>
      <c r="E2883" s="22"/>
      <c r="F2883" s="19"/>
      <c r="G2883" s="26" t="str">
        <f aca="false">IF(D2883="","",IFERROR(VALUE(LEFT(D2883,FIND(" |",D2883&amp;" |")-1)),"?"))</f>
        <v/>
      </c>
      <c r="H2883" s="27" t="str">
        <f aca="false">IF(G2883="","",IF(G2883="?","⚠ pub inconnue",IFERROR(INDEX(Pubs!$B$2:$B$3001,MATCH(G2883,Pubs!$A$2:$A$3001,0))&amp;"","⚠ pub inconnue")))</f>
        <v/>
      </c>
      <c r="I2883" s="27" t="str">
        <f aca="false">IF(OR(G2883="",G2883="?"),"",IFERROR(INDEX(Pubs!$C$2:$C$3001,MATCH(G2883,Pubs!$A$2:$A$3001,0))&amp;"",""))</f>
        <v/>
      </c>
      <c r="J2883" s="27" t="str">
        <f aca="false">IF(OR(G2883="",G2883="?"),"",IFERROR(INDEX(Pubs!$G$2:$G$3001,MATCH(G2883,Pubs!$A$2:$A$3001,0))&amp;"",""))</f>
        <v/>
      </c>
      <c r="K2883" s="28" t="str">
        <f aca="false">IF(OR(G2883="",G2883="?"),"",IFERROR(INDEX(Pubs!$E$2:$E$3001,MATCH(G2883,Pubs!$A$2:$A$3001,0)),""))</f>
        <v/>
      </c>
      <c r="L2883" s="29" t="str">
        <f aca="false">IF(A2883="","",IFERROR(1/(1/INDEX(Numéros!$C$2:$C$3001,MATCH(A2883&amp;"|"&amp;B2883,Numéros!$F$2:$F$3001,0))),""))</f>
        <v/>
      </c>
      <c r="M2883" s="27" t="str">
        <f aca="false">IF(OR(G2883="",G2883="?"),"",IFERROR(INDEX(Pubs!$D$2:$D$3001,MATCH(G2883,Pubs!$A$2:$A$3001,0))&amp;"",""))</f>
        <v/>
      </c>
      <c r="N2883" s="27" t="n">
        <f aca="false">N(N2882)+IF(AND(A2883&lt;&gt;"",OR(Recherche!$C$4="",A2883=Recherche!$C$4),OR(Recherche!$C$5="",B2883&amp;""=Recherche!$C$5&amp;""),OR(Recherche!$C$6="",IFERROR(YEAR(L2883),0)=Recherche!$C$6),OR(Recherche!$C$7="",ISNUMBER(SEARCH(Recherche!$C$7,H2883))),OR(Recherche!$C$8="",J2883=Recherche!$C$8),OR(Recherche!$C$9="",I2883=Recherche!$C$9),OR(Recherche!$C$10="",G2883&amp;""=Recherche!$C$10&amp;""),OR(Recherche!$C$11="",E2883=Recherche!$C$11),OR(Recherche!$C$12="",ISNUMBER(SEARCH(Recherche!$C$12,M2883&amp;" "&amp;F2883)))),1,0)</f>
        <v>8</v>
      </c>
    </row>
    <row r="2884" customFormat="false" ht="15" hidden="false" customHeight="false" outlineLevel="0" collapsed="false">
      <c r="A2884" s="19"/>
      <c r="B2884" s="19"/>
      <c r="C2884" s="19"/>
      <c r="D2884" s="19"/>
      <c r="E2884" s="22"/>
      <c r="F2884" s="19"/>
      <c r="G2884" s="26" t="str">
        <f aca="false">IF(D2884="","",IFERROR(VALUE(LEFT(D2884,FIND(" |",D2884&amp;" |")-1)),"?"))</f>
        <v/>
      </c>
      <c r="H2884" s="27" t="str">
        <f aca="false">IF(G2884="","",IF(G2884="?","⚠ pub inconnue",IFERROR(INDEX(Pubs!$B$2:$B$3001,MATCH(G2884,Pubs!$A$2:$A$3001,0))&amp;"","⚠ pub inconnue")))</f>
        <v/>
      </c>
      <c r="I2884" s="27" t="str">
        <f aca="false">IF(OR(G2884="",G2884="?"),"",IFERROR(INDEX(Pubs!$C$2:$C$3001,MATCH(G2884,Pubs!$A$2:$A$3001,0))&amp;"",""))</f>
        <v/>
      </c>
      <c r="J2884" s="27" t="str">
        <f aca="false">IF(OR(G2884="",G2884="?"),"",IFERROR(INDEX(Pubs!$G$2:$G$3001,MATCH(G2884,Pubs!$A$2:$A$3001,0))&amp;"",""))</f>
        <v/>
      </c>
      <c r="K2884" s="28" t="str">
        <f aca="false">IF(OR(G2884="",G2884="?"),"",IFERROR(INDEX(Pubs!$E$2:$E$3001,MATCH(G2884,Pubs!$A$2:$A$3001,0)),""))</f>
        <v/>
      </c>
      <c r="L2884" s="29" t="str">
        <f aca="false">IF(A2884="","",IFERROR(1/(1/INDEX(Numéros!$C$2:$C$3001,MATCH(A2884&amp;"|"&amp;B2884,Numéros!$F$2:$F$3001,0))),""))</f>
        <v/>
      </c>
      <c r="M2884" s="27" t="str">
        <f aca="false">IF(OR(G2884="",G2884="?"),"",IFERROR(INDEX(Pubs!$D$2:$D$3001,MATCH(G2884,Pubs!$A$2:$A$3001,0))&amp;"",""))</f>
        <v/>
      </c>
      <c r="N2884" s="27" t="n">
        <f aca="false">N(N2883)+IF(AND(A2884&lt;&gt;"",OR(Recherche!$C$4="",A2884=Recherche!$C$4),OR(Recherche!$C$5="",B2884&amp;""=Recherche!$C$5&amp;""),OR(Recherche!$C$6="",IFERROR(YEAR(L2884),0)=Recherche!$C$6),OR(Recherche!$C$7="",ISNUMBER(SEARCH(Recherche!$C$7,H2884))),OR(Recherche!$C$8="",J2884=Recherche!$C$8),OR(Recherche!$C$9="",I2884=Recherche!$C$9),OR(Recherche!$C$10="",G2884&amp;""=Recherche!$C$10&amp;""),OR(Recherche!$C$11="",E2884=Recherche!$C$11),OR(Recherche!$C$12="",ISNUMBER(SEARCH(Recherche!$C$12,M2884&amp;" "&amp;F2884)))),1,0)</f>
        <v>8</v>
      </c>
    </row>
    <row r="2885" customFormat="false" ht="15" hidden="false" customHeight="false" outlineLevel="0" collapsed="false">
      <c r="A2885" s="19"/>
      <c r="B2885" s="19"/>
      <c r="C2885" s="19"/>
      <c r="D2885" s="19"/>
      <c r="E2885" s="22"/>
      <c r="F2885" s="19"/>
      <c r="G2885" s="26" t="str">
        <f aca="false">IF(D2885="","",IFERROR(VALUE(LEFT(D2885,FIND(" |",D2885&amp;" |")-1)),"?"))</f>
        <v/>
      </c>
      <c r="H2885" s="27" t="str">
        <f aca="false">IF(G2885="","",IF(G2885="?","⚠ pub inconnue",IFERROR(INDEX(Pubs!$B$2:$B$3001,MATCH(G2885,Pubs!$A$2:$A$3001,0))&amp;"","⚠ pub inconnue")))</f>
        <v/>
      </c>
      <c r="I2885" s="27" t="str">
        <f aca="false">IF(OR(G2885="",G2885="?"),"",IFERROR(INDEX(Pubs!$C$2:$C$3001,MATCH(G2885,Pubs!$A$2:$A$3001,0))&amp;"",""))</f>
        <v/>
      </c>
      <c r="J2885" s="27" t="str">
        <f aca="false">IF(OR(G2885="",G2885="?"),"",IFERROR(INDEX(Pubs!$G$2:$G$3001,MATCH(G2885,Pubs!$A$2:$A$3001,0))&amp;"",""))</f>
        <v/>
      </c>
      <c r="K2885" s="28" t="str">
        <f aca="false">IF(OR(G2885="",G2885="?"),"",IFERROR(INDEX(Pubs!$E$2:$E$3001,MATCH(G2885,Pubs!$A$2:$A$3001,0)),""))</f>
        <v/>
      </c>
      <c r="L2885" s="29" t="str">
        <f aca="false">IF(A2885="","",IFERROR(1/(1/INDEX(Numéros!$C$2:$C$3001,MATCH(A2885&amp;"|"&amp;B2885,Numéros!$F$2:$F$3001,0))),""))</f>
        <v/>
      </c>
      <c r="M2885" s="27" t="str">
        <f aca="false">IF(OR(G2885="",G2885="?"),"",IFERROR(INDEX(Pubs!$D$2:$D$3001,MATCH(G2885,Pubs!$A$2:$A$3001,0))&amp;"",""))</f>
        <v/>
      </c>
      <c r="N2885" s="27" t="n">
        <f aca="false">N(N2884)+IF(AND(A2885&lt;&gt;"",OR(Recherche!$C$4="",A2885=Recherche!$C$4),OR(Recherche!$C$5="",B2885&amp;""=Recherche!$C$5&amp;""),OR(Recherche!$C$6="",IFERROR(YEAR(L2885),0)=Recherche!$C$6),OR(Recherche!$C$7="",ISNUMBER(SEARCH(Recherche!$C$7,H2885))),OR(Recherche!$C$8="",J2885=Recherche!$C$8),OR(Recherche!$C$9="",I2885=Recherche!$C$9),OR(Recherche!$C$10="",G2885&amp;""=Recherche!$C$10&amp;""),OR(Recherche!$C$11="",E2885=Recherche!$C$11),OR(Recherche!$C$12="",ISNUMBER(SEARCH(Recherche!$C$12,M2885&amp;" "&amp;F2885)))),1,0)</f>
        <v>8</v>
      </c>
    </row>
    <row r="2886" customFormat="false" ht="15" hidden="false" customHeight="false" outlineLevel="0" collapsed="false">
      <c r="A2886" s="19"/>
      <c r="B2886" s="19"/>
      <c r="C2886" s="19"/>
      <c r="D2886" s="19"/>
      <c r="E2886" s="22"/>
      <c r="F2886" s="19"/>
      <c r="G2886" s="26" t="str">
        <f aca="false">IF(D2886="","",IFERROR(VALUE(LEFT(D2886,FIND(" |",D2886&amp;" |")-1)),"?"))</f>
        <v/>
      </c>
      <c r="H2886" s="27" t="str">
        <f aca="false">IF(G2886="","",IF(G2886="?","⚠ pub inconnue",IFERROR(INDEX(Pubs!$B$2:$B$3001,MATCH(G2886,Pubs!$A$2:$A$3001,0))&amp;"","⚠ pub inconnue")))</f>
        <v/>
      </c>
      <c r="I2886" s="27" t="str">
        <f aca="false">IF(OR(G2886="",G2886="?"),"",IFERROR(INDEX(Pubs!$C$2:$C$3001,MATCH(G2886,Pubs!$A$2:$A$3001,0))&amp;"",""))</f>
        <v/>
      </c>
      <c r="J2886" s="27" t="str">
        <f aca="false">IF(OR(G2886="",G2886="?"),"",IFERROR(INDEX(Pubs!$G$2:$G$3001,MATCH(G2886,Pubs!$A$2:$A$3001,0))&amp;"",""))</f>
        <v/>
      </c>
      <c r="K2886" s="28" t="str">
        <f aca="false">IF(OR(G2886="",G2886="?"),"",IFERROR(INDEX(Pubs!$E$2:$E$3001,MATCH(G2886,Pubs!$A$2:$A$3001,0)),""))</f>
        <v/>
      </c>
      <c r="L2886" s="29" t="str">
        <f aca="false">IF(A2886="","",IFERROR(1/(1/INDEX(Numéros!$C$2:$C$3001,MATCH(A2886&amp;"|"&amp;B2886,Numéros!$F$2:$F$3001,0))),""))</f>
        <v/>
      </c>
      <c r="M2886" s="27" t="str">
        <f aca="false">IF(OR(G2886="",G2886="?"),"",IFERROR(INDEX(Pubs!$D$2:$D$3001,MATCH(G2886,Pubs!$A$2:$A$3001,0))&amp;"",""))</f>
        <v/>
      </c>
      <c r="N2886" s="27" t="n">
        <f aca="false">N(N2885)+IF(AND(A2886&lt;&gt;"",OR(Recherche!$C$4="",A2886=Recherche!$C$4),OR(Recherche!$C$5="",B2886&amp;""=Recherche!$C$5&amp;""),OR(Recherche!$C$6="",IFERROR(YEAR(L2886),0)=Recherche!$C$6),OR(Recherche!$C$7="",ISNUMBER(SEARCH(Recherche!$C$7,H2886))),OR(Recherche!$C$8="",J2886=Recherche!$C$8),OR(Recherche!$C$9="",I2886=Recherche!$C$9),OR(Recherche!$C$10="",G2886&amp;""=Recherche!$C$10&amp;""),OR(Recherche!$C$11="",E2886=Recherche!$C$11),OR(Recherche!$C$12="",ISNUMBER(SEARCH(Recherche!$C$12,M2886&amp;" "&amp;F2886)))),1,0)</f>
        <v>8</v>
      </c>
    </row>
    <row r="2887" customFormat="false" ht="15" hidden="false" customHeight="false" outlineLevel="0" collapsed="false">
      <c r="A2887" s="19"/>
      <c r="B2887" s="19"/>
      <c r="C2887" s="19"/>
      <c r="D2887" s="19"/>
      <c r="E2887" s="22"/>
      <c r="F2887" s="19"/>
      <c r="G2887" s="26" t="str">
        <f aca="false">IF(D2887="","",IFERROR(VALUE(LEFT(D2887,FIND(" |",D2887&amp;" |")-1)),"?"))</f>
        <v/>
      </c>
      <c r="H2887" s="27" t="str">
        <f aca="false">IF(G2887="","",IF(G2887="?","⚠ pub inconnue",IFERROR(INDEX(Pubs!$B$2:$B$3001,MATCH(G2887,Pubs!$A$2:$A$3001,0))&amp;"","⚠ pub inconnue")))</f>
        <v/>
      </c>
      <c r="I2887" s="27" t="str">
        <f aca="false">IF(OR(G2887="",G2887="?"),"",IFERROR(INDEX(Pubs!$C$2:$C$3001,MATCH(G2887,Pubs!$A$2:$A$3001,0))&amp;"",""))</f>
        <v/>
      </c>
      <c r="J2887" s="27" t="str">
        <f aca="false">IF(OR(G2887="",G2887="?"),"",IFERROR(INDEX(Pubs!$G$2:$G$3001,MATCH(G2887,Pubs!$A$2:$A$3001,0))&amp;"",""))</f>
        <v/>
      </c>
      <c r="K2887" s="28" t="str">
        <f aca="false">IF(OR(G2887="",G2887="?"),"",IFERROR(INDEX(Pubs!$E$2:$E$3001,MATCH(G2887,Pubs!$A$2:$A$3001,0)),""))</f>
        <v/>
      </c>
      <c r="L2887" s="29" t="str">
        <f aca="false">IF(A2887="","",IFERROR(1/(1/INDEX(Numéros!$C$2:$C$3001,MATCH(A2887&amp;"|"&amp;B2887,Numéros!$F$2:$F$3001,0))),""))</f>
        <v/>
      </c>
      <c r="M2887" s="27" t="str">
        <f aca="false">IF(OR(G2887="",G2887="?"),"",IFERROR(INDEX(Pubs!$D$2:$D$3001,MATCH(G2887,Pubs!$A$2:$A$3001,0))&amp;"",""))</f>
        <v/>
      </c>
      <c r="N2887" s="27" t="n">
        <f aca="false">N(N2886)+IF(AND(A2887&lt;&gt;"",OR(Recherche!$C$4="",A2887=Recherche!$C$4),OR(Recherche!$C$5="",B2887&amp;""=Recherche!$C$5&amp;""),OR(Recherche!$C$6="",IFERROR(YEAR(L2887),0)=Recherche!$C$6),OR(Recherche!$C$7="",ISNUMBER(SEARCH(Recherche!$C$7,H2887))),OR(Recherche!$C$8="",J2887=Recherche!$C$8),OR(Recherche!$C$9="",I2887=Recherche!$C$9),OR(Recherche!$C$10="",G2887&amp;""=Recherche!$C$10&amp;""),OR(Recherche!$C$11="",E2887=Recherche!$C$11),OR(Recherche!$C$12="",ISNUMBER(SEARCH(Recherche!$C$12,M2887&amp;" "&amp;F2887)))),1,0)</f>
        <v>8</v>
      </c>
    </row>
    <row r="2888" customFormat="false" ht="15" hidden="false" customHeight="false" outlineLevel="0" collapsed="false">
      <c r="A2888" s="19"/>
      <c r="B2888" s="19"/>
      <c r="C2888" s="19"/>
      <c r="D2888" s="19"/>
      <c r="E2888" s="22"/>
      <c r="F2888" s="19"/>
      <c r="G2888" s="26" t="str">
        <f aca="false">IF(D2888="","",IFERROR(VALUE(LEFT(D2888,FIND(" |",D2888&amp;" |")-1)),"?"))</f>
        <v/>
      </c>
      <c r="H2888" s="27" t="str">
        <f aca="false">IF(G2888="","",IF(G2888="?","⚠ pub inconnue",IFERROR(INDEX(Pubs!$B$2:$B$3001,MATCH(G2888,Pubs!$A$2:$A$3001,0))&amp;"","⚠ pub inconnue")))</f>
        <v/>
      </c>
      <c r="I2888" s="27" t="str">
        <f aca="false">IF(OR(G2888="",G2888="?"),"",IFERROR(INDEX(Pubs!$C$2:$C$3001,MATCH(G2888,Pubs!$A$2:$A$3001,0))&amp;"",""))</f>
        <v/>
      </c>
      <c r="J2888" s="27" t="str">
        <f aca="false">IF(OR(G2888="",G2888="?"),"",IFERROR(INDEX(Pubs!$G$2:$G$3001,MATCH(G2888,Pubs!$A$2:$A$3001,0))&amp;"",""))</f>
        <v/>
      </c>
      <c r="K2888" s="28" t="str">
        <f aca="false">IF(OR(G2888="",G2888="?"),"",IFERROR(INDEX(Pubs!$E$2:$E$3001,MATCH(G2888,Pubs!$A$2:$A$3001,0)),""))</f>
        <v/>
      </c>
      <c r="L2888" s="29" t="str">
        <f aca="false">IF(A2888="","",IFERROR(1/(1/INDEX(Numéros!$C$2:$C$3001,MATCH(A2888&amp;"|"&amp;B2888,Numéros!$F$2:$F$3001,0))),""))</f>
        <v/>
      </c>
      <c r="M2888" s="27" t="str">
        <f aca="false">IF(OR(G2888="",G2888="?"),"",IFERROR(INDEX(Pubs!$D$2:$D$3001,MATCH(G2888,Pubs!$A$2:$A$3001,0))&amp;"",""))</f>
        <v/>
      </c>
      <c r="N2888" s="27" t="n">
        <f aca="false">N(N2887)+IF(AND(A2888&lt;&gt;"",OR(Recherche!$C$4="",A2888=Recherche!$C$4),OR(Recherche!$C$5="",B2888&amp;""=Recherche!$C$5&amp;""),OR(Recherche!$C$6="",IFERROR(YEAR(L2888),0)=Recherche!$C$6),OR(Recherche!$C$7="",ISNUMBER(SEARCH(Recherche!$C$7,H2888))),OR(Recherche!$C$8="",J2888=Recherche!$C$8),OR(Recherche!$C$9="",I2888=Recherche!$C$9),OR(Recherche!$C$10="",G2888&amp;""=Recherche!$C$10&amp;""),OR(Recherche!$C$11="",E2888=Recherche!$C$11),OR(Recherche!$C$12="",ISNUMBER(SEARCH(Recherche!$C$12,M2888&amp;" "&amp;F2888)))),1,0)</f>
        <v>8</v>
      </c>
    </row>
    <row r="2889" customFormat="false" ht="15" hidden="false" customHeight="false" outlineLevel="0" collapsed="false">
      <c r="A2889" s="19"/>
      <c r="B2889" s="19"/>
      <c r="C2889" s="19"/>
      <c r="D2889" s="19"/>
      <c r="E2889" s="22"/>
      <c r="F2889" s="19"/>
      <c r="G2889" s="26" t="str">
        <f aca="false">IF(D2889="","",IFERROR(VALUE(LEFT(D2889,FIND(" |",D2889&amp;" |")-1)),"?"))</f>
        <v/>
      </c>
      <c r="H2889" s="27" t="str">
        <f aca="false">IF(G2889="","",IF(G2889="?","⚠ pub inconnue",IFERROR(INDEX(Pubs!$B$2:$B$3001,MATCH(G2889,Pubs!$A$2:$A$3001,0))&amp;"","⚠ pub inconnue")))</f>
        <v/>
      </c>
      <c r="I2889" s="27" t="str">
        <f aca="false">IF(OR(G2889="",G2889="?"),"",IFERROR(INDEX(Pubs!$C$2:$C$3001,MATCH(G2889,Pubs!$A$2:$A$3001,0))&amp;"",""))</f>
        <v/>
      </c>
      <c r="J2889" s="27" t="str">
        <f aca="false">IF(OR(G2889="",G2889="?"),"",IFERROR(INDEX(Pubs!$G$2:$G$3001,MATCH(G2889,Pubs!$A$2:$A$3001,0))&amp;"",""))</f>
        <v/>
      </c>
      <c r="K2889" s="28" t="str">
        <f aca="false">IF(OR(G2889="",G2889="?"),"",IFERROR(INDEX(Pubs!$E$2:$E$3001,MATCH(G2889,Pubs!$A$2:$A$3001,0)),""))</f>
        <v/>
      </c>
      <c r="L2889" s="29" t="str">
        <f aca="false">IF(A2889="","",IFERROR(1/(1/INDEX(Numéros!$C$2:$C$3001,MATCH(A2889&amp;"|"&amp;B2889,Numéros!$F$2:$F$3001,0))),""))</f>
        <v/>
      </c>
      <c r="M2889" s="27" t="str">
        <f aca="false">IF(OR(G2889="",G2889="?"),"",IFERROR(INDEX(Pubs!$D$2:$D$3001,MATCH(G2889,Pubs!$A$2:$A$3001,0))&amp;"",""))</f>
        <v/>
      </c>
      <c r="N2889" s="27" t="n">
        <f aca="false">N(N2888)+IF(AND(A2889&lt;&gt;"",OR(Recherche!$C$4="",A2889=Recherche!$C$4),OR(Recherche!$C$5="",B2889&amp;""=Recherche!$C$5&amp;""),OR(Recherche!$C$6="",IFERROR(YEAR(L2889),0)=Recherche!$C$6),OR(Recherche!$C$7="",ISNUMBER(SEARCH(Recherche!$C$7,H2889))),OR(Recherche!$C$8="",J2889=Recherche!$C$8),OR(Recherche!$C$9="",I2889=Recherche!$C$9),OR(Recherche!$C$10="",G2889&amp;""=Recherche!$C$10&amp;""),OR(Recherche!$C$11="",E2889=Recherche!$C$11),OR(Recherche!$C$12="",ISNUMBER(SEARCH(Recherche!$C$12,M2889&amp;" "&amp;F2889)))),1,0)</f>
        <v>8</v>
      </c>
    </row>
    <row r="2890" customFormat="false" ht="15" hidden="false" customHeight="false" outlineLevel="0" collapsed="false">
      <c r="A2890" s="19"/>
      <c r="B2890" s="19"/>
      <c r="C2890" s="19"/>
      <c r="D2890" s="19"/>
      <c r="E2890" s="22"/>
      <c r="F2890" s="19"/>
      <c r="G2890" s="26" t="str">
        <f aca="false">IF(D2890="","",IFERROR(VALUE(LEFT(D2890,FIND(" |",D2890&amp;" |")-1)),"?"))</f>
        <v/>
      </c>
      <c r="H2890" s="27" t="str">
        <f aca="false">IF(G2890="","",IF(G2890="?","⚠ pub inconnue",IFERROR(INDEX(Pubs!$B$2:$B$3001,MATCH(G2890,Pubs!$A$2:$A$3001,0))&amp;"","⚠ pub inconnue")))</f>
        <v/>
      </c>
      <c r="I2890" s="27" t="str">
        <f aca="false">IF(OR(G2890="",G2890="?"),"",IFERROR(INDEX(Pubs!$C$2:$C$3001,MATCH(G2890,Pubs!$A$2:$A$3001,0))&amp;"",""))</f>
        <v/>
      </c>
      <c r="J2890" s="27" t="str">
        <f aca="false">IF(OR(G2890="",G2890="?"),"",IFERROR(INDEX(Pubs!$G$2:$G$3001,MATCH(G2890,Pubs!$A$2:$A$3001,0))&amp;"",""))</f>
        <v/>
      </c>
      <c r="K2890" s="28" t="str">
        <f aca="false">IF(OR(G2890="",G2890="?"),"",IFERROR(INDEX(Pubs!$E$2:$E$3001,MATCH(G2890,Pubs!$A$2:$A$3001,0)),""))</f>
        <v/>
      </c>
      <c r="L2890" s="29" t="str">
        <f aca="false">IF(A2890="","",IFERROR(1/(1/INDEX(Numéros!$C$2:$C$3001,MATCH(A2890&amp;"|"&amp;B2890,Numéros!$F$2:$F$3001,0))),""))</f>
        <v/>
      </c>
      <c r="M2890" s="27" t="str">
        <f aca="false">IF(OR(G2890="",G2890="?"),"",IFERROR(INDEX(Pubs!$D$2:$D$3001,MATCH(G2890,Pubs!$A$2:$A$3001,0))&amp;"",""))</f>
        <v/>
      </c>
      <c r="N2890" s="27" t="n">
        <f aca="false">N(N2889)+IF(AND(A2890&lt;&gt;"",OR(Recherche!$C$4="",A2890=Recherche!$C$4),OR(Recherche!$C$5="",B2890&amp;""=Recherche!$C$5&amp;""),OR(Recherche!$C$6="",IFERROR(YEAR(L2890),0)=Recherche!$C$6),OR(Recherche!$C$7="",ISNUMBER(SEARCH(Recherche!$C$7,H2890))),OR(Recherche!$C$8="",J2890=Recherche!$C$8),OR(Recherche!$C$9="",I2890=Recherche!$C$9),OR(Recherche!$C$10="",G2890&amp;""=Recherche!$C$10&amp;""),OR(Recherche!$C$11="",E2890=Recherche!$C$11),OR(Recherche!$C$12="",ISNUMBER(SEARCH(Recherche!$C$12,M2890&amp;" "&amp;F2890)))),1,0)</f>
        <v>8</v>
      </c>
    </row>
    <row r="2891" customFormat="false" ht="15" hidden="false" customHeight="false" outlineLevel="0" collapsed="false">
      <c r="A2891" s="19"/>
      <c r="B2891" s="19"/>
      <c r="C2891" s="19"/>
      <c r="D2891" s="19"/>
      <c r="E2891" s="22"/>
      <c r="F2891" s="19"/>
      <c r="G2891" s="26" t="str">
        <f aca="false">IF(D2891="","",IFERROR(VALUE(LEFT(D2891,FIND(" |",D2891&amp;" |")-1)),"?"))</f>
        <v/>
      </c>
      <c r="H2891" s="27" t="str">
        <f aca="false">IF(G2891="","",IF(G2891="?","⚠ pub inconnue",IFERROR(INDEX(Pubs!$B$2:$B$3001,MATCH(G2891,Pubs!$A$2:$A$3001,0))&amp;"","⚠ pub inconnue")))</f>
        <v/>
      </c>
      <c r="I2891" s="27" t="str">
        <f aca="false">IF(OR(G2891="",G2891="?"),"",IFERROR(INDEX(Pubs!$C$2:$C$3001,MATCH(G2891,Pubs!$A$2:$A$3001,0))&amp;"",""))</f>
        <v/>
      </c>
      <c r="J2891" s="27" t="str">
        <f aca="false">IF(OR(G2891="",G2891="?"),"",IFERROR(INDEX(Pubs!$G$2:$G$3001,MATCH(G2891,Pubs!$A$2:$A$3001,0))&amp;"",""))</f>
        <v/>
      </c>
      <c r="K2891" s="28" t="str">
        <f aca="false">IF(OR(G2891="",G2891="?"),"",IFERROR(INDEX(Pubs!$E$2:$E$3001,MATCH(G2891,Pubs!$A$2:$A$3001,0)),""))</f>
        <v/>
      </c>
      <c r="L2891" s="29" t="str">
        <f aca="false">IF(A2891="","",IFERROR(1/(1/INDEX(Numéros!$C$2:$C$3001,MATCH(A2891&amp;"|"&amp;B2891,Numéros!$F$2:$F$3001,0))),""))</f>
        <v/>
      </c>
      <c r="M2891" s="27" t="str">
        <f aca="false">IF(OR(G2891="",G2891="?"),"",IFERROR(INDEX(Pubs!$D$2:$D$3001,MATCH(G2891,Pubs!$A$2:$A$3001,0))&amp;"",""))</f>
        <v/>
      </c>
      <c r="N2891" s="27" t="n">
        <f aca="false">N(N2890)+IF(AND(A2891&lt;&gt;"",OR(Recherche!$C$4="",A2891=Recherche!$C$4),OR(Recherche!$C$5="",B2891&amp;""=Recherche!$C$5&amp;""),OR(Recherche!$C$6="",IFERROR(YEAR(L2891),0)=Recherche!$C$6),OR(Recherche!$C$7="",ISNUMBER(SEARCH(Recherche!$C$7,H2891))),OR(Recherche!$C$8="",J2891=Recherche!$C$8),OR(Recherche!$C$9="",I2891=Recherche!$C$9),OR(Recherche!$C$10="",G2891&amp;""=Recherche!$C$10&amp;""),OR(Recherche!$C$11="",E2891=Recherche!$C$11),OR(Recherche!$C$12="",ISNUMBER(SEARCH(Recherche!$C$12,M2891&amp;" "&amp;F2891)))),1,0)</f>
        <v>8</v>
      </c>
    </row>
    <row r="2892" customFormat="false" ht="15" hidden="false" customHeight="false" outlineLevel="0" collapsed="false">
      <c r="A2892" s="19"/>
      <c r="B2892" s="19"/>
      <c r="C2892" s="19"/>
      <c r="D2892" s="19"/>
      <c r="E2892" s="22"/>
      <c r="F2892" s="19"/>
      <c r="G2892" s="26" t="str">
        <f aca="false">IF(D2892="","",IFERROR(VALUE(LEFT(D2892,FIND(" |",D2892&amp;" |")-1)),"?"))</f>
        <v/>
      </c>
      <c r="H2892" s="27" t="str">
        <f aca="false">IF(G2892="","",IF(G2892="?","⚠ pub inconnue",IFERROR(INDEX(Pubs!$B$2:$B$3001,MATCH(G2892,Pubs!$A$2:$A$3001,0))&amp;"","⚠ pub inconnue")))</f>
        <v/>
      </c>
      <c r="I2892" s="27" t="str">
        <f aca="false">IF(OR(G2892="",G2892="?"),"",IFERROR(INDEX(Pubs!$C$2:$C$3001,MATCH(G2892,Pubs!$A$2:$A$3001,0))&amp;"",""))</f>
        <v/>
      </c>
      <c r="J2892" s="27" t="str">
        <f aca="false">IF(OR(G2892="",G2892="?"),"",IFERROR(INDEX(Pubs!$G$2:$G$3001,MATCH(G2892,Pubs!$A$2:$A$3001,0))&amp;"",""))</f>
        <v/>
      </c>
      <c r="K2892" s="28" t="str">
        <f aca="false">IF(OR(G2892="",G2892="?"),"",IFERROR(INDEX(Pubs!$E$2:$E$3001,MATCH(G2892,Pubs!$A$2:$A$3001,0)),""))</f>
        <v/>
      </c>
      <c r="L2892" s="29" t="str">
        <f aca="false">IF(A2892="","",IFERROR(1/(1/INDEX(Numéros!$C$2:$C$3001,MATCH(A2892&amp;"|"&amp;B2892,Numéros!$F$2:$F$3001,0))),""))</f>
        <v/>
      </c>
      <c r="M2892" s="27" t="str">
        <f aca="false">IF(OR(G2892="",G2892="?"),"",IFERROR(INDEX(Pubs!$D$2:$D$3001,MATCH(G2892,Pubs!$A$2:$A$3001,0))&amp;"",""))</f>
        <v/>
      </c>
      <c r="N2892" s="27" t="n">
        <f aca="false">N(N2891)+IF(AND(A2892&lt;&gt;"",OR(Recherche!$C$4="",A2892=Recherche!$C$4),OR(Recherche!$C$5="",B2892&amp;""=Recherche!$C$5&amp;""),OR(Recherche!$C$6="",IFERROR(YEAR(L2892),0)=Recherche!$C$6),OR(Recherche!$C$7="",ISNUMBER(SEARCH(Recherche!$C$7,H2892))),OR(Recherche!$C$8="",J2892=Recherche!$C$8),OR(Recherche!$C$9="",I2892=Recherche!$C$9),OR(Recherche!$C$10="",G2892&amp;""=Recherche!$C$10&amp;""),OR(Recherche!$C$11="",E2892=Recherche!$C$11),OR(Recherche!$C$12="",ISNUMBER(SEARCH(Recherche!$C$12,M2892&amp;" "&amp;F2892)))),1,0)</f>
        <v>8</v>
      </c>
    </row>
    <row r="2893" customFormat="false" ht="15" hidden="false" customHeight="false" outlineLevel="0" collapsed="false">
      <c r="A2893" s="19"/>
      <c r="B2893" s="19"/>
      <c r="C2893" s="19"/>
      <c r="D2893" s="19"/>
      <c r="E2893" s="22"/>
      <c r="F2893" s="19"/>
      <c r="G2893" s="26" t="str">
        <f aca="false">IF(D2893="","",IFERROR(VALUE(LEFT(D2893,FIND(" |",D2893&amp;" |")-1)),"?"))</f>
        <v/>
      </c>
      <c r="H2893" s="27" t="str">
        <f aca="false">IF(G2893="","",IF(G2893="?","⚠ pub inconnue",IFERROR(INDEX(Pubs!$B$2:$B$3001,MATCH(G2893,Pubs!$A$2:$A$3001,0))&amp;"","⚠ pub inconnue")))</f>
        <v/>
      </c>
      <c r="I2893" s="27" t="str">
        <f aca="false">IF(OR(G2893="",G2893="?"),"",IFERROR(INDEX(Pubs!$C$2:$C$3001,MATCH(G2893,Pubs!$A$2:$A$3001,0))&amp;"",""))</f>
        <v/>
      </c>
      <c r="J2893" s="27" t="str">
        <f aca="false">IF(OR(G2893="",G2893="?"),"",IFERROR(INDEX(Pubs!$G$2:$G$3001,MATCH(G2893,Pubs!$A$2:$A$3001,0))&amp;"",""))</f>
        <v/>
      </c>
      <c r="K2893" s="28" t="str">
        <f aca="false">IF(OR(G2893="",G2893="?"),"",IFERROR(INDEX(Pubs!$E$2:$E$3001,MATCH(G2893,Pubs!$A$2:$A$3001,0)),""))</f>
        <v/>
      </c>
      <c r="L2893" s="29" t="str">
        <f aca="false">IF(A2893="","",IFERROR(1/(1/INDEX(Numéros!$C$2:$C$3001,MATCH(A2893&amp;"|"&amp;B2893,Numéros!$F$2:$F$3001,0))),""))</f>
        <v/>
      </c>
      <c r="M2893" s="27" t="str">
        <f aca="false">IF(OR(G2893="",G2893="?"),"",IFERROR(INDEX(Pubs!$D$2:$D$3001,MATCH(G2893,Pubs!$A$2:$A$3001,0))&amp;"",""))</f>
        <v/>
      </c>
      <c r="N2893" s="27" t="n">
        <f aca="false">N(N2892)+IF(AND(A2893&lt;&gt;"",OR(Recherche!$C$4="",A2893=Recherche!$C$4),OR(Recherche!$C$5="",B2893&amp;""=Recherche!$C$5&amp;""),OR(Recherche!$C$6="",IFERROR(YEAR(L2893),0)=Recherche!$C$6),OR(Recherche!$C$7="",ISNUMBER(SEARCH(Recherche!$C$7,H2893))),OR(Recherche!$C$8="",J2893=Recherche!$C$8),OR(Recherche!$C$9="",I2893=Recherche!$C$9),OR(Recherche!$C$10="",G2893&amp;""=Recherche!$C$10&amp;""),OR(Recherche!$C$11="",E2893=Recherche!$C$11),OR(Recherche!$C$12="",ISNUMBER(SEARCH(Recherche!$C$12,M2893&amp;" "&amp;F2893)))),1,0)</f>
        <v>8</v>
      </c>
    </row>
    <row r="2894" customFormat="false" ht="15" hidden="false" customHeight="false" outlineLevel="0" collapsed="false">
      <c r="A2894" s="19"/>
      <c r="B2894" s="19"/>
      <c r="C2894" s="19"/>
      <c r="D2894" s="19"/>
      <c r="E2894" s="22"/>
      <c r="F2894" s="19"/>
      <c r="G2894" s="26" t="str">
        <f aca="false">IF(D2894="","",IFERROR(VALUE(LEFT(D2894,FIND(" |",D2894&amp;" |")-1)),"?"))</f>
        <v/>
      </c>
      <c r="H2894" s="27" t="str">
        <f aca="false">IF(G2894="","",IF(G2894="?","⚠ pub inconnue",IFERROR(INDEX(Pubs!$B$2:$B$3001,MATCH(G2894,Pubs!$A$2:$A$3001,0))&amp;"","⚠ pub inconnue")))</f>
        <v/>
      </c>
      <c r="I2894" s="27" t="str">
        <f aca="false">IF(OR(G2894="",G2894="?"),"",IFERROR(INDEX(Pubs!$C$2:$C$3001,MATCH(G2894,Pubs!$A$2:$A$3001,0))&amp;"",""))</f>
        <v/>
      </c>
      <c r="J2894" s="27" t="str">
        <f aca="false">IF(OR(G2894="",G2894="?"),"",IFERROR(INDEX(Pubs!$G$2:$G$3001,MATCH(G2894,Pubs!$A$2:$A$3001,0))&amp;"",""))</f>
        <v/>
      </c>
      <c r="K2894" s="28" t="str">
        <f aca="false">IF(OR(G2894="",G2894="?"),"",IFERROR(INDEX(Pubs!$E$2:$E$3001,MATCH(G2894,Pubs!$A$2:$A$3001,0)),""))</f>
        <v/>
      </c>
      <c r="L2894" s="29" t="str">
        <f aca="false">IF(A2894="","",IFERROR(1/(1/INDEX(Numéros!$C$2:$C$3001,MATCH(A2894&amp;"|"&amp;B2894,Numéros!$F$2:$F$3001,0))),""))</f>
        <v/>
      </c>
      <c r="M2894" s="27" t="str">
        <f aca="false">IF(OR(G2894="",G2894="?"),"",IFERROR(INDEX(Pubs!$D$2:$D$3001,MATCH(G2894,Pubs!$A$2:$A$3001,0))&amp;"",""))</f>
        <v/>
      </c>
      <c r="N2894" s="27" t="n">
        <f aca="false">N(N2893)+IF(AND(A2894&lt;&gt;"",OR(Recherche!$C$4="",A2894=Recherche!$C$4),OR(Recherche!$C$5="",B2894&amp;""=Recherche!$C$5&amp;""),OR(Recherche!$C$6="",IFERROR(YEAR(L2894),0)=Recherche!$C$6),OR(Recherche!$C$7="",ISNUMBER(SEARCH(Recherche!$C$7,H2894))),OR(Recherche!$C$8="",J2894=Recherche!$C$8),OR(Recherche!$C$9="",I2894=Recherche!$C$9),OR(Recherche!$C$10="",G2894&amp;""=Recherche!$C$10&amp;""),OR(Recherche!$C$11="",E2894=Recherche!$C$11),OR(Recherche!$C$12="",ISNUMBER(SEARCH(Recherche!$C$12,M2894&amp;" "&amp;F2894)))),1,0)</f>
        <v>8</v>
      </c>
    </row>
    <row r="2895" customFormat="false" ht="15" hidden="false" customHeight="false" outlineLevel="0" collapsed="false">
      <c r="A2895" s="19"/>
      <c r="B2895" s="19"/>
      <c r="C2895" s="19"/>
      <c r="D2895" s="19"/>
      <c r="E2895" s="22"/>
      <c r="F2895" s="19"/>
      <c r="G2895" s="26" t="str">
        <f aca="false">IF(D2895="","",IFERROR(VALUE(LEFT(D2895,FIND(" |",D2895&amp;" |")-1)),"?"))</f>
        <v/>
      </c>
      <c r="H2895" s="27" t="str">
        <f aca="false">IF(G2895="","",IF(G2895="?","⚠ pub inconnue",IFERROR(INDEX(Pubs!$B$2:$B$3001,MATCH(G2895,Pubs!$A$2:$A$3001,0))&amp;"","⚠ pub inconnue")))</f>
        <v/>
      </c>
      <c r="I2895" s="27" t="str">
        <f aca="false">IF(OR(G2895="",G2895="?"),"",IFERROR(INDEX(Pubs!$C$2:$C$3001,MATCH(G2895,Pubs!$A$2:$A$3001,0))&amp;"",""))</f>
        <v/>
      </c>
      <c r="J2895" s="27" t="str">
        <f aca="false">IF(OR(G2895="",G2895="?"),"",IFERROR(INDEX(Pubs!$G$2:$G$3001,MATCH(G2895,Pubs!$A$2:$A$3001,0))&amp;"",""))</f>
        <v/>
      </c>
      <c r="K2895" s="28" t="str">
        <f aca="false">IF(OR(G2895="",G2895="?"),"",IFERROR(INDEX(Pubs!$E$2:$E$3001,MATCH(G2895,Pubs!$A$2:$A$3001,0)),""))</f>
        <v/>
      </c>
      <c r="L2895" s="29" t="str">
        <f aca="false">IF(A2895="","",IFERROR(1/(1/INDEX(Numéros!$C$2:$C$3001,MATCH(A2895&amp;"|"&amp;B2895,Numéros!$F$2:$F$3001,0))),""))</f>
        <v/>
      </c>
      <c r="M2895" s="27" t="str">
        <f aca="false">IF(OR(G2895="",G2895="?"),"",IFERROR(INDEX(Pubs!$D$2:$D$3001,MATCH(G2895,Pubs!$A$2:$A$3001,0))&amp;"",""))</f>
        <v/>
      </c>
      <c r="N2895" s="27" t="n">
        <f aca="false">N(N2894)+IF(AND(A2895&lt;&gt;"",OR(Recherche!$C$4="",A2895=Recherche!$C$4),OR(Recherche!$C$5="",B2895&amp;""=Recherche!$C$5&amp;""),OR(Recherche!$C$6="",IFERROR(YEAR(L2895),0)=Recherche!$C$6),OR(Recherche!$C$7="",ISNUMBER(SEARCH(Recherche!$C$7,H2895))),OR(Recherche!$C$8="",J2895=Recherche!$C$8),OR(Recherche!$C$9="",I2895=Recherche!$C$9),OR(Recherche!$C$10="",G2895&amp;""=Recherche!$C$10&amp;""),OR(Recherche!$C$11="",E2895=Recherche!$C$11),OR(Recherche!$C$12="",ISNUMBER(SEARCH(Recherche!$C$12,M2895&amp;" "&amp;F2895)))),1,0)</f>
        <v>8</v>
      </c>
    </row>
    <row r="2896" customFormat="false" ht="15" hidden="false" customHeight="false" outlineLevel="0" collapsed="false">
      <c r="A2896" s="19"/>
      <c r="B2896" s="19"/>
      <c r="C2896" s="19"/>
      <c r="D2896" s="19"/>
      <c r="E2896" s="22"/>
      <c r="F2896" s="19"/>
      <c r="G2896" s="26" t="str">
        <f aca="false">IF(D2896="","",IFERROR(VALUE(LEFT(D2896,FIND(" |",D2896&amp;" |")-1)),"?"))</f>
        <v/>
      </c>
      <c r="H2896" s="27" t="str">
        <f aca="false">IF(G2896="","",IF(G2896="?","⚠ pub inconnue",IFERROR(INDEX(Pubs!$B$2:$B$3001,MATCH(G2896,Pubs!$A$2:$A$3001,0))&amp;"","⚠ pub inconnue")))</f>
        <v/>
      </c>
      <c r="I2896" s="27" t="str">
        <f aca="false">IF(OR(G2896="",G2896="?"),"",IFERROR(INDEX(Pubs!$C$2:$C$3001,MATCH(G2896,Pubs!$A$2:$A$3001,0))&amp;"",""))</f>
        <v/>
      </c>
      <c r="J2896" s="27" t="str">
        <f aca="false">IF(OR(G2896="",G2896="?"),"",IFERROR(INDEX(Pubs!$G$2:$G$3001,MATCH(G2896,Pubs!$A$2:$A$3001,0))&amp;"",""))</f>
        <v/>
      </c>
      <c r="K2896" s="28" t="str">
        <f aca="false">IF(OR(G2896="",G2896="?"),"",IFERROR(INDEX(Pubs!$E$2:$E$3001,MATCH(G2896,Pubs!$A$2:$A$3001,0)),""))</f>
        <v/>
      </c>
      <c r="L2896" s="29" t="str">
        <f aca="false">IF(A2896="","",IFERROR(1/(1/INDEX(Numéros!$C$2:$C$3001,MATCH(A2896&amp;"|"&amp;B2896,Numéros!$F$2:$F$3001,0))),""))</f>
        <v/>
      </c>
      <c r="M2896" s="27" t="str">
        <f aca="false">IF(OR(G2896="",G2896="?"),"",IFERROR(INDEX(Pubs!$D$2:$D$3001,MATCH(G2896,Pubs!$A$2:$A$3001,0))&amp;"",""))</f>
        <v/>
      </c>
      <c r="N2896" s="27" t="n">
        <f aca="false">N(N2895)+IF(AND(A2896&lt;&gt;"",OR(Recherche!$C$4="",A2896=Recherche!$C$4),OR(Recherche!$C$5="",B2896&amp;""=Recherche!$C$5&amp;""),OR(Recherche!$C$6="",IFERROR(YEAR(L2896),0)=Recherche!$C$6),OR(Recherche!$C$7="",ISNUMBER(SEARCH(Recherche!$C$7,H2896))),OR(Recherche!$C$8="",J2896=Recherche!$C$8),OR(Recherche!$C$9="",I2896=Recherche!$C$9),OR(Recherche!$C$10="",G2896&amp;""=Recherche!$C$10&amp;""),OR(Recherche!$C$11="",E2896=Recherche!$C$11),OR(Recherche!$C$12="",ISNUMBER(SEARCH(Recherche!$C$12,M2896&amp;" "&amp;F2896)))),1,0)</f>
        <v>8</v>
      </c>
    </row>
    <row r="2897" customFormat="false" ht="15" hidden="false" customHeight="false" outlineLevel="0" collapsed="false">
      <c r="A2897" s="19"/>
      <c r="B2897" s="19"/>
      <c r="C2897" s="19"/>
      <c r="D2897" s="19"/>
      <c r="E2897" s="22"/>
      <c r="F2897" s="19"/>
      <c r="G2897" s="26" t="str">
        <f aca="false">IF(D2897="","",IFERROR(VALUE(LEFT(D2897,FIND(" |",D2897&amp;" |")-1)),"?"))</f>
        <v/>
      </c>
      <c r="H2897" s="27" t="str">
        <f aca="false">IF(G2897="","",IF(G2897="?","⚠ pub inconnue",IFERROR(INDEX(Pubs!$B$2:$B$3001,MATCH(G2897,Pubs!$A$2:$A$3001,0))&amp;"","⚠ pub inconnue")))</f>
        <v/>
      </c>
      <c r="I2897" s="27" t="str">
        <f aca="false">IF(OR(G2897="",G2897="?"),"",IFERROR(INDEX(Pubs!$C$2:$C$3001,MATCH(G2897,Pubs!$A$2:$A$3001,0))&amp;"",""))</f>
        <v/>
      </c>
      <c r="J2897" s="27" t="str">
        <f aca="false">IF(OR(G2897="",G2897="?"),"",IFERROR(INDEX(Pubs!$G$2:$G$3001,MATCH(G2897,Pubs!$A$2:$A$3001,0))&amp;"",""))</f>
        <v/>
      </c>
      <c r="K2897" s="28" t="str">
        <f aca="false">IF(OR(G2897="",G2897="?"),"",IFERROR(INDEX(Pubs!$E$2:$E$3001,MATCH(G2897,Pubs!$A$2:$A$3001,0)),""))</f>
        <v/>
      </c>
      <c r="L2897" s="29" t="str">
        <f aca="false">IF(A2897="","",IFERROR(1/(1/INDEX(Numéros!$C$2:$C$3001,MATCH(A2897&amp;"|"&amp;B2897,Numéros!$F$2:$F$3001,0))),""))</f>
        <v/>
      </c>
      <c r="M2897" s="27" t="str">
        <f aca="false">IF(OR(G2897="",G2897="?"),"",IFERROR(INDEX(Pubs!$D$2:$D$3001,MATCH(G2897,Pubs!$A$2:$A$3001,0))&amp;"",""))</f>
        <v/>
      </c>
      <c r="N2897" s="27" t="n">
        <f aca="false">N(N2896)+IF(AND(A2897&lt;&gt;"",OR(Recherche!$C$4="",A2897=Recherche!$C$4),OR(Recherche!$C$5="",B2897&amp;""=Recherche!$C$5&amp;""),OR(Recherche!$C$6="",IFERROR(YEAR(L2897),0)=Recherche!$C$6),OR(Recherche!$C$7="",ISNUMBER(SEARCH(Recherche!$C$7,H2897))),OR(Recherche!$C$8="",J2897=Recherche!$C$8),OR(Recherche!$C$9="",I2897=Recherche!$C$9),OR(Recherche!$C$10="",G2897&amp;""=Recherche!$C$10&amp;""),OR(Recherche!$C$11="",E2897=Recherche!$C$11),OR(Recherche!$C$12="",ISNUMBER(SEARCH(Recherche!$C$12,M2897&amp;" "&amp;F2897)))),1,0)</f>
        <v>8</v>
      </c>
    </row>
    <row r="2898" customFormat="false" ht="15" hidden="false" customHeight="false" outlineLevel="0" collapsed="false">
      <c r="A2898" s="19"/>
      <c r="B2898" s="19"/>
      <c r="C2898" s="19"/>
      <c r="D2898" s="19"/>
      <c r="E2898" s="22"/>
      <c r="F2898" s="19"/>
      <c r="G2898" s="26" t="str">
        <f aca="false">IF(D2898="","",IFERROR(VALUE(LEFT(D2898,FIND(" |",D2898&amp;" |")-1)),"?"))</f>
        <v/>
      </c>
      <c r="H2898" s="27" t="str">
        <f aca="false">IF(G2898="","",IF(G2898="?","⚠ pub inconnue",IFERROR(INDEX(Pubs!$B$2:$B$3001,MATCH(G2898,Pubs!$A$2:$A$3001,0))&amp;"","⚠ pub inconnue")))</f>
        <v/>
      </c>
      <c r="I2898" s="27" t="str">
        <f aca="false">IF(OR(G2898="",G2898="?"),"",IFERROR(INDEX(Pubs!$C$2:$C$3001,MATCH(G2898,Pubs!$A$2:$A$3001,0))&amp;"",""))</f>
        <v/>
      </c>
      <c r="J2898" s="27" t="str">
        <f aca="false">IF(OR(G2898="",G2898="?"),"",IFERROR(INDEX(Pubs!$G$2:$G$3001,MATCH(G2898,Pubs!$A$2:$A$3001,0))&amp;"",""))</f>
        <v/>
      </c>
      <c r="K2898" s="28" t="str">
        <f aca="false">IF(OR(G2898="",G2898="?"),"",IFERROR(INDEX(Pubs!$E$2:$E$3001,MATCH(G2898,Pubs!$A$2:$A$3001,0)),""))</f>
        <v/>
      </c>
      <c r="L2898" s="29" t="str">
        <f aca="false">IF(A2898="","",IFERROR(1/(1/INDEX(Numéros!$C$2:$C$3001,MATCH(A2898&amp;"|"&amp;B2898,Numéros!$F$2:$F$3001,0))),""))</f>
        <v/>
      </c>
      <c r="M2898" s="27" t="str">
        <f aca="false">IF(OR(G2898="",G2898="?"),"",IFERROR(INDEX(Pubs!$D$2:$D$3001,MATCH(G2898,Pubs!$A$2:$A$3001,0))&amp;"",""))</f>
        <v/>
      </c>
      <c r="N2898" s="27" t="n">
        <f aca="false">N(N2897)+IF(AND(A2898&lt;&gt;"",OR(Recherche!$C$4="",A2898=Recherche!$C$4),OR(Recherche!$C$5="",B2898&amp;""=Recherche!$C$5&amp;""),OR(Recherche!$C$6="",IFERROR(YEAR(L2898),0)=Recherche!$C$6),OR(Recherche!$C$7="",ISNUMBER(SEARCH(Recherche!$C$7,H2898))),OR(Recherche!$C$8="",J2898=Recherche!$C$8),OR(Recherche!$C$9="",I2898=Recherche!$C$9),OR(Recherche!$C$10="",G2898&amp;""=Recherche!$C$10&amp;""),OR(Recherche!$C$11="",E2898=Recherche!$C$11),OR(Recherche!$C$12="",ISNUMBER(SEARCH(Recherche!$C$12,M2898&amp;" "&amp;F2898)))),1,0)</f>
        <v>8</v>
      </c>
    </row>
    <row r="2899" customFormat="false" ht="15" hidden="false" customHeight="false" outlineLevel="0" collapsed="false">
      <c r="A2899" s="19"/>
      <c r="B2899" s="19"/>
      <c r="C2899" s="19"/>
      <c r="D2899" s="19"/>
      <c r="E2899" s="22"/>
      <c r="F2899" s="19"/>
      <c r="G2899" s="26" t="str">
        <f aca="false">IF(D2899="","",IFERROR(VALUE(LEFT(D2899,FIND(" |",D2899&amp;" |")-1)),"?"))</f>
        <v/>
      </c>
      <c r="H2899" s="27" t="str">
        <f aca="false">IF(G2899="","",IF(G2899="?","⚠ pub inconnue",IFERROR(INDEX(Pubs!$B$2:$B$3001,MATCH(G2899,Pubs!$A$2:$A$3001,0))&amp;"","⚠ pub inconnue")))</f>
        <v/>
      </c>
      <c r="I2899" s="27" t="str">
        <f aca="false">IF(OR(G2899="",G2899="?"),"",IFERROR(INDEX(Pubs!$C$2:$C$3001,MATCH(G2899,Pubs!$A$2:$A$3001,0))&amp;"",""))</f>
        <v/>
      </c>
      <c r="J2899" s="27" t="str">
        <f aca="false">IF(OR(G2899="",G2899="?"),"",IFERROR(INDEX(Pubs!$G$2:$G$3001,MATCH(G2899,Pubs!$A$2:$A$3001,0))&amp;"",""))</f>
        <v/>
      </c>
      <c r="K2899" s="28" t="str">
        <f aca="false">IF(OR(G2899="",G2899="?"),"",IFERROR(INDEX(Pubs!$E$2:$E$3001,MATCH(G2899,Pubs!$A$2:$A$3001,0)),""))</f>
        <v/>
      </c>
      <c r="L2899" s="29" t="str">
        <f aca="false">IF(A2899="","",IFERROR(1/(1/INDEX(Numéros!$C$2:$C$3001,MATCH(A2899&amp;"|"&amp;B2899,Numéros!$F$2:$F$3001,0))),""))</f>
        <v/>
      </c>
      <c r="M2899" s="27" t="str">
        <f aca="false">IF(OR(G2899="",G2899="?"),"",IFERROR(INDEX(Pubs!$D$2:$D$3001,MATCH(G2899,Pubs!$A$2:$A$3001,0))&amp;"",""))</f>
        <v/>
      </c>
      <c r="N2899" s="27" t="n">
        <f aca="false">N(N2898)+IF(AND(A2899&lt;&gt;"",OR(Recherche!$C$4="",A2899=Recherche!$C$4),OR(Recherche!$C$5="",B2899&amp;""=Recherche!$C$5&amp;""),OR(Recherche!$C$6="",IFERROR(YEAR(L2899),0)=Recherche!$C$6),OR(Recherche!$C$7="",ISNUMBER(SEARCH(Recherche!$C$7,H2899))),OR(Recherche!$C$8="",J2899=Recherche!$C$8),OR(Recherche!$C$9="",I2899=Recherche!$C$9),OR(Recherche!$C$10="",G2899&amp;""=Recherche!$C$10&amp;""),OR(Recherche!$C$11="",E2899=Recherche!$C$11),OR(Recherche!$C$12="",ISNUMBER(SEARCH(Recherche!$C$12,M2899&amp;" "&amp;F2899)))),1,0)</f>
        <v>8</v>
      </c>
    </row>
    <row r="2900" customFormat="false" ht="15" hidden="false" customHeight="false" outlineLevel="0" collapsed="false">
      <c r="A2900" s="19"/>
      <c r="B2900" s="19"/>
      <c r="C2900" s="19"/>
      <c r="D2900" s="19"/>
      <c r="E2900" s="22"/>
      <c r="F2900" s="19"/>
      <c r="G2900" s="26" t="str">
        <f aca="false">IF(D2900="","",IFERROR(VALUE(LEFT(D2900,FIND(" |",D2900&amp;" |")-1)),"?"))</f>
        <v/>
      </c>
      <c r="H2900" s="27" t="str">
        <f aca="false">IF(G2900="","",IF(G2900="?","⚠ pub inconnue",IFERROR(INDEX(Pubs!$B$2:$B$3001,MATCH(G2900,Pubs!$A$2:$A$3001,0))&amp;"","⚠ pub inconnue")))</f>
        <v/>
      </c>
      <c r="I2900" s="27" t="str">
        <f aca="false">IF(OR(G2900="",G2900="?"),"",IFERROR(INDEX(Pubs!$C$2:$C$3001,MATCH(G2900,Pubs!$A$2:$A$3001,0))&amp;"",""))</f>
        <v/>
      </c>
      <c r="J2900" s="27" t="str">
        <f aca="false">IF(OR(G2900="",G2900="?"),"",IFERROR(INDEX(Pubs!$G$2:$G$3001,MATCH(G2900,Pubs!$A$2:$A$3001,0))&amp;"",""))</f>
        <v/>
      </c>
      <c r="K2900" s="28" t="str">
        <f aca="false">IF(OR(G2900="",G2900="?"),"",IFERROR(INDEX(Pubs!$E$2:$E$3001,MATCH(G2900,Pubs!$A$2:$A$3001,0)),""))</f>
        <v/>
      </c>
      <c r="L2900" s="29" t="str">
        <f aca="false">IF(A2900="","",IFERROR(1/(1/INDEX(Numéros!$C$2:$C$3001,MATCH(A2900&amp;"|"&amp;B2900,Numéros!$F$2:$F$3001,0))),""))</f>
        <v/>
      </c>
      <c r="M2900" s="27" t="str">
        <f aca="false">IF(OR(G2900="",G2900="?"),"",IFERROR(INDEX(Pubs!$D$2:$D$3001,MATCH(G2900,Pubs!$A$2:$A$3001,0))&amp;"",""))</f>
        <v/>
      </c>
      <c r="N2900" s="27" t="n">
        <f aca="false">N(N2899)+IF(AND(A2900&lt;&gt;"",OR(Recherche!$C$4="",A2900=Recherche!$C$4),OR(Recherche!$C$5="",B2900&amp;""=Recherche!$C$5&amp;""),OR(Recherche!$C$6="",IFERROR(YEAR(L2900),0)=Recherche!$C$6),OR(Recherche!$C$7="",ISNUMBER(SEARCH(Recherche!$C$7,H2900))),OR(Recherche!$C$8="",J2900=Recherche!$C$8),OR(Recherche!$C$9="",I2900=Recherche!$C$9),OR(Recherche!$C$10="",G2900&amp;""=Recherche!$C$10&amp;""),OR(Recherche!$C$11="",E2900=Recherche!$C$11),OR(Recherche!$C$12="",ISNUMBER(SEARCH(Recherche!$C$12,M2900&amp;" "&amp;F2900)))),1,0)</f>
        <v>8</v>
      </c>
    </row>
    <row r="2901" customFormat="false" ht="15" hidden="false" customHeight="false" outlineLevel="0" collapsed="false">
      <c r="A2901" s="19"/>
      <c r="B2901" s="19"/>
      <c r="C2901" s="19"/>
      <c r="D2901" s="19"/>
      <c r="E2901" s="22"/>
      <c r="F2901" s="19"/>
      <c r="G2901" s="26" t="str">
        <f aca="false">IF(D2901="","",IFERROR(VALUE(LEFT(D2901,FIND(" |",D2901&amp;" |")-1)),"?"))</f>
        <v/>
      </c>
      <c r="H2901" s="27" t="str">
        <f aca="false">IF(G2901="","",IF(G2901="?","⚠ pub inconnue",IFERROR(INDEX(Pubs!$B$2:$B$3001,MATCH(G2901,Pubs!$A$2:$A$3001,0))&amp;"","⚠ pub inconnue")))</f>
        <v/>
      </c>
      <c r="I2901" s="27" t="str">
        <f aca="false">IF(OR(G2901="",G2901="?"),"",IFERROR(INDEX(Pubs!$C$2:$C$3001,MATCH(G2901,Pubs!$A$2:$A$3001,0))&amp;"",""))</f>
        <v/>
      </c>
      <c r="J2901" s="27" t="str">
        <f aca="false">IF(OR(G2901="",G2901="?"),"",IFERROR(INDEX(Pubs!$G$2:$G$3001,MATCH(G2901,Pubs!$A$2:$A$3001,0))&amp;"",""))</f>
        <v/>
      </c>
      <c r="K2901" s="28" t="str">
        <f aca="false">IF(OR(G2901="",G2901="?"),"",IFERROR(INDEX(Pubs!$E$2:$E$3001,MATCH(G2901,Pubs!$A$2:$A$3001,0)),""))</f>
        <v/>
      </c>
      <c r="L2901" s="29" t="str">
        <f aca="false">IF(A2901="","",IFERROR(1/(1/INDEX(Numéros!$C$2:$C$3001,MATCH(A2901&amp;"|"&amp;B2901,Numéros!$F$2:$F$3001,0))),""))</f>
        <v/>
      </c>
      <c r="M2901" s="27" t="str">
        <f aca="false">IF(OR(G2901="",G2901="?"),"",IFERROR(INDEX(Pubs!$D$2:$D$3001,MATCH(G2901,Pubs!$A$2:$A$3001,0))&amp;"",""))</f>
        <v/>
      </c>
      <c r="N2901" s="27" t="n">
        <f aca="false">N(N2900)+IF(AND(A2901&lt;&gt;"",OR(Recherche!$C$4="",A2901=Recherche!$C$4),OR(Recherche!$C$5="",B2901&amp;""=Recherche!$C$5&amp;""),OR(Recherche!$C$6="",IFERROR(YEAR(L2901),0)=Recherche!$C$6),OR(Recherche!$C$7="",ISNUMBER(SEARCH(Recherche!$C$7,H2901))),OR(Recherche!$C$8="",J2901=Recherche!$C$8),OR(Recherche!$C$9="",I2901=Recherche!$C$9),OR(Recherche!$C$10="",G2901&amp;""=Recherche!$C$10&amp;""),OR(Recherche!$C$11="",E2901=Recherche!$C$11),OR(Recherche!$C$12="",ISNUMBER(SEARCH(Recherche!$C$12,M2901&amp;" "&amp;F2901)))),1,0)</f>
        <v>8</v>
      </c>
    </row>
    <row r="2902" customFormat="false" ht="15" hidden="false" customHeight="false" outlineLevel="0" collapsed="false">
      <c r="A2902" s="19"/>
      <c r="B2902" s="19"/>
      <c r="C2902" s="19"/>
      <c r="D2902" s="19"/>
      <c r="E2902" s="22"/>
      <c r="F2902" s="19"/>
      <c r="G2902" s="26" t="str">
        <f aca="false">IF(D2902="","",IFERROR(VALUE(LEFT(D2902,FIND(" |",D2902&amp;" |")-1)),"?"))</f>
        <v/>
      </c>
      <c r="H2902" s="27" t="str">
        <f aca="false">IF(G2902="","",IF(G2902="?","⚠ pub inconnue",IFERROR(INDEX(Pubs!$B$2:$B$3001,MATCH(G2902,Pubs!$A$2:$A$3001,0))&amp;"","⚠ pub inconnue")))</f>
        <v/>
      </c>
      <c r="I2902" s="27" t="str">
        <f aca="false">IF(OR(G2902="",G2902="?"),"",IFERROR(INDEX(Pubs!$C$2:$C$3001,MATCH(G2902,Pubs!$A$2:$A$3001,0))&amp;"",""))</f>
        <v/>
      </c>
      <c r="J2902" s="27" t="str">
        <f aca="false">IF(OR(G2902="",G2902="?"),"",IFERROR(INDEX(Pubs!$G$2:$G$3001,MATCH(G2902,Pubs!$A$2:$A$3001,0))&amp;"",""))</f>
        <v/>
      </c>
      <c r="K2902" s="28" t="str">
        <f aca="false">IF(OR(G2902="",G2902="?"),"",IFERROR(INDEX(Pubs!$E$2:$E$3001,MATCH(G2902,Pubs!$A$2:$A$3001,0)),""))</f>
        <v/>
      </c>
      <c r="L2902" s="29" t="str">
        <f aca="false">IF(A2902="","",IFERROR(1/(1/INDEX(Numéros!$C$2:$C$3001,MATCH(A2902&amp;"|"&amp;B2902,Numéros!$F$2:$F$3001,0))),""))</f>
        <v/>
      </c>
      <c r="M2902" s="27" t="str">
        <f aca="false">IF(OR(G2902="",G2902="?"),"",IFERROR(INDEX(Pubs!$D$2:$D$3001,MATCH(G2902,Pubs!$A$2:$A$3001,0))&amp;"",""))</f>
        <v/>
      </c>
      <c r="N2902" s="27" t="n">
        <f aca="false">N(N2901)+IF(AND(A2902&lt;&gt;"",OR(Recherche!$C$4="",A2902=Recherche!$C$4),OR(Recherche!$C$5="",B2902&amp;""=Recherche!$C$5&amp;""),OR(Recherche!$C$6="",IFERROR(YEAR(L2902),0)=Recherche!$C$6),OR(Recherche!$C$7="",ISNUMBER(SEARCH(Recherche!$C$7,H2902))),OR(Recherche!$C$8="",J2902=Recherche!$C$8),OR(Recherche!$C$9="",I2902=Recherche!$C$9),OR(Recherche!$C$10="",G2902&amp;""=Recherche!$C$10&amp;""),OR(Recherche!$C$11="",E2902=Recherche!$C$11),OR(Recherche!$C$12="",ISNUMBER(SEARCH(Recherche!$C$12,M2902&amp;" "&amp;F2902)))),1,0)</f>
        <v>8</v>
      </c>
    </row>
    <row r="2903" customFormat="false" ht="15" hidden="false" customHeight="false" outlineLevel="0" collapsed="false">
      <c r="A2903" s="19"/>
      <c r="B2903" s="19"/>
      <c r="C2903" s="19"/>
      <c r="D2903" s="19"/>
      <c r="E2903" s="22"/>
      <c r="F2903" s="19"/>
      <c r="G2903" s="26" t="str">
        <f aca="false">IF(D2903="","",IFERROR(VALUE(LEFT(D2903,FIND(" |",D2903&amp;" |")-1)),"?"))</f>
        <v/>
      </c>
      <c r="H2903" s="27" t="str">
        <f aca="false">IF(G2903="","",IF(G2903="?","⚠ pub inconnue",IFERROR(INDEX(Pubs!$B$2:$B$3001,MATCH(G2903,Pubs!$A$2:$A$3001,0))&amp;"","⚠ pub inconnue")))</f>
        <v/>
      </c>
      <c r="I2903" s="27" t="str">
        <f aca="false">IF(OR(G2903="",G2903="?"),"",IFERROR(INDEX(Pubs!$C$2:$C$3001,MATCH(G2903,Pubs!$A$2:$A$3001,0))&amp;"",""))</f>
        <v/>
      </c>
      <c r="J2903" s="27" t="str">
        <f aca="false">IF(OR(G2903="",G2903="?"),"",IFERROR(INDEX(Pubs!$G$2:$G$3001,MATCH(G2903,Pubs!$A$2:$A$3001,0))&amp;"",""))</f>
        <v/>
      </c>
      <c r="K2903" s="28" t="str">
        <f aca="false">IF(OR(G2903="",G2903="?"),"",IFERROR(INDEX(Pubs!$E$2:$E$3001,MATCH(G2903,Pubs!$A$2:$A$3001,0)),""))</f>
        <v/>
      </c>
      <c r="L2903" s="29" t="str">
        <f aca="false">IF(A2903="","",IFERROR(1/(1/INDEX(Numéros!$C$2:$C$3001,MATCH(A2903&amp;"|"&amp;B2903,Numéros!$F$2:$F$3001,0))),""))</f>
        <v/>
      </c>
      <c r="M2903" s="27" t="str">
        <f aca="false">IF(OR(G2903="",G2903="?"),"",IFERROR(INDEX(Pubs!$D$2:$D$3001,MATCH(G2903,Pubs!$A$2:$A$3001,0))&amp;"",""))</f>
        <v/>
      </c>
      <c r="N2903" s="27" t="n">
        <f aca="false">N(N2902)+IF(AND(A2903&lt;&gt;"",OR(Recherche!$C$4="",A2903=Recherche!$C$4),OR(Recherche!$C$5="",B2903&amp;""=Recherche!$C$5&amp;""),OR(Recherche!$C$6="",IFERROR(YEAR(L2903),0)=Recherche!$C$6),OR(Recherche!$C$7="",ISNUMBER(SEARCH(Recherche!$C$7,H2903))),OR(Recherche!$C$8="",J2903=Recherche!$C$8),OR(Recherche!$C$9="",I2903=Recherche!$C$9),OR(Recherche!$C$10="",G2903&amp;""=Recherche!$C$10&amp;""),OR(Recherche!$C$11="",E2903=Recherche!$C$11),OR(Recherche!$C$12="",ISNUMBER(SEARCH(Recherche!$C$12,M2903&amp;" "&amp;F2903)))),1,0)</f>
        <v>8</v>
      </c>
    </row>
    <row r="2904" customFormat="false" ht="15" hidden="false" customHeight="false" outlineLevel="0" collapsed="false">
      <c r="A2904" s="19"/>
      <c r="B2904" s="19"/>
      <c r="C2904" s="19"/>
      <c r="D2904" s="19"/>
      <c r="E2904" s="22"/>
      <c r="F2904" s="19"/>
      <c r="G2904" s="26" t="str">
        <f aca="false">IF(D2904="","",IFERROR(VALUE(LEFT(D2904,FIND(" |",D2904&amp;" |")-1)),"?"))</f>
        <v/>
      </c>
      <c r="H2904" s="27" t="str">
        <f aca="false">IF(G2904="","",IF(G2904="?","⚠ pub inconnue",IFERROR(INDEX(Pubs!$B$2:$B$3001,MATCH(G2904,Pubs!$A$2:$A$3001,0))&amp;"","⚠ pub inconnue")))</f>
        <v/>
      </c>
      <c r="I2904" s="27" t="str">
        <f aca="false">IF(OR(G2904="",G2904="?"),"",IFERROR(INDEX(Pubs!$C$2:$C$3001,MATCH(G2904,Pubs!$A$2:$A$3001,0))&amp;"",""))</f>
        <v/>
      </c>
      <c r="J2904" s="27" t="str">
        <f aca="false">IF(OR(G2904="",G2904="?"),"",IFERROR(INDEX(Pubs!$G$2:$G$3001,MATCH(G2904,Pubs!$A$2:$A$3001,0))&amp;"",""))</f>
        <v/>
      </c>
      <c r="K2904" s="28" t="str">
        <f aca="false">IF(OR(G2904="",G2904="?"),"",IFERROR(INDEX(Pubs!$E$2:$E$3001,MATCH(G2904,Pubs!$A$2:$A$3001,0)),""))</f>
        <v/>
      </c>
      <c r="L2904" s="29" t="str">
        <f aca="false">IF(A2904="","",IFERROR(1/(1/INDEX(Numéros!$C$2:$C$3001,MATCH(A2904&amp;"|"&amp;B2904,Numéros!$F$2:$F$3001,0))),""))</f>
        <v/>
      </c>
      <c r="M2904" s="27" t="str">
        <f aca="false">IF(OR(G2904="",G2904="?"),"",IFERROR(INDEX(Pubs!$D$2:$D$3001,MATCH(G2904,Pubs!$A$2:$A$3001,0))&amp;"",""))</f>
        <v/>
      </c>
      <c r="N2904" s="27" t="n">
        <f aca="false">N(N2903)+IF(AND(A2904&lt;&gt;"",OR(Recherche!$C$4="",A2904=Recherche!$C$4),OR(Recherche!$C$5="",B2904&amp;""=Recherche!$C$5&amp;""),OR(Recherche!$C$6="",IFERROR(YEAR(L2904),0)=Recherche!$C$6),OR(Recherche!$C$7="",ISNUMBER(SEARCH(Recherche!$C$7,H2904))),OR(Recherche!$C$8="",J2904=Recherche!$C$8),OR(Recherche!$C$9="",I2904=Recherche!$C$9),OR(Recherche!$C$10="",G2904&amp;""=Recherche!$C$10&amp;""),OR(Recherche!$C$11="",E2904=Recherche!$C$11),OR(Recherche!$C$12="",ISNUMBER(SEARCH(Recherche!$C$12,M2904&amp;" "&amp;F2904)))),1,0)</f>
        <v>8</v>
      </c>
    </row>
    <row r="2905" customFormat="false" ht="15" hidden="false" customHeight="false" outlineLevel="0" collapsed="false">
      <c r="A2905" s="19"/>
      <c r="B2905" s="19"/>
      <c r="C2905" s="19"/>
      <c r="D2905" s="19"/>
      <c r="E2905" s="22"/>
      <c r="F2905" s="19"/>
      <c r="G2905" s="26" t="str">
        <f aca="false">IF(D2905="","",IFERROR(VALUE(LEFT(D2905,FIND(" |",D2905&amp;" |")-1)),"?"))</f>
        <v/>
      </c>
      <c r="H2905" s="27" t="str">
        <f aca="false">IF(G2905="","",IF(G2905="?","⚠ pub inconnue",IFERROR(INDEX(Pubs!$B$2:$B$3001,MATCH(G2905,Pubs!$A$2:$A$3001,0))&amp;"","⚠ pub inconnue")))</f>
        <v/>
      </c>
      <c r="I2905" s="27" t="str">
        <f aca="false">IF(OR(G2905="",G2905="?"),"",IFERROR(INDEX(Pubs!$C$2:$C$3001,MATCH(G2905,Pubs!$A$2:$A$3001,0))&amp;"",""))</f>
        <v/>
      </c>
      <c r="J2905" s="27" t="str">
        <f aca="false">IF(OR(G2905="",G2905="?"),"",IFERROR(INDEX(Pubs!$G$2:$G$3001,MATCH(G2905,Pubs!$A$2:$A$3001,0))&amp;"",""))</f>
        <v/>
      </c>
      <c r="K2905" s="28" t="str">
        <f aca="false">IF(OR(G2905="",G2905="?"),"",IFERROR(INDEX(Pubs!$E$2:$E$3001,MATCH(G2905,Pubs!$A$2:$A$3001,0)),""))</f>
        <v/>
      </c>
      <c r="L2905" s="29" t="str">
        <f aca="false">IF(A2905="","",IFERROR(1/(1/INDEX(Numéros!$C$2:$C$3001,MATCH(A2905&amp;"|"&amp;B2905,Numéros!$F$2:$F$3001,0))),""))</f>
        <v/>
      </c>
      <c r="M2905" s="27" t="str">
        <f aca="false">IF(OR(G2905="",G2905="?"),"",IFERROR(INDEX(Pubs!$D$2:$D$3001,MATCH(G2905,Pubs!$A$2:$A$3001,0))&amp;"",""))</f>
        <v/>
      </c>
      <c r="N2905" s="27" t="n">
        <f aca="false">N(N2904)+IF(AND(A2905&lt;&gt;"",OR(Recherche!$C$4="",A2905=Recherche!$C$4),OR(Recherche!$C$5="",B2905&amp;""=Recherche!$C$5&amp;""),OR(Recherche!$C$6="",IFERROR(YEAR(L2905),0)=Recherche!$C$6),OR(Recherche!$C$7="",ISNUMBER(SEARCH(Recherche!$C$7,H2905))),OR(Recherche!$C$8="",J2905=Recherche!$C$8),OR(Recherche!$C$9="",I2905=Recherche!$C$9),OR(Recherche!$C$10="",G2905&amp;""=Recherche!$C$10&amp;""),OR(Recherche!$C$11="",E2905=Recherche!$C$11),OR(Recherche!$C$12="",ISNUMBER(SEARCH(Recherche!$C$12,M2905&amp;" "&amp;F2905)))),1,0)</f>
        <v>8</v>
      </c>
    </row>
    <row r="2906" customFormat="false" ht="15" hidden="false" customHeight="false" outlineLevel="0" collapsed="false">
      <c r="A2906" s="19"/>
      <c r="B2906" s="19"/>
      <c r="C2906" s="19"/>
      <c r="D2906" s="19"/>
      <c r="E2906" s="22"/>
      <c r="F2906" s="19"/>
      <c r="G2906" s="26" t="str">
        <f aca="false">IF(D2906="","",IFERROR(VALUE(LEFT(D2906,FIND(" |",D2906&amp;" |")-1)),"?"))</f>
        <v/>
      </c>
      <c r="H2906" s="27" t="str">
        <f aca="false">IF(G2906="","",IF(G2906="?","⚠ pub inconnue",IFERROR(INDEX(Pubs!$B$2:$B$3001,MATCH(G2906,Pubs!$A$2:$A$3001,0))&amp;"","⚠ pub inconnue")))</f>
        <v/>
      </c>
      <c r="I2906" s="27" t="str">
        <f aca="false">IF(OR(G2906="",G2906="?"),"",IFERROR(INDEX(Pubs!$C$2:$C$3001,MATCH(G2906,Pubs!$A$2:$A$3001,0))&amp;"",""))</f>
        <v/>
      </c>
      <c r="J2906" s="27" t="str">
        <f aca="false">IF(OR(G2906="",G2906="?"),"",IFERROR(INDEX(Pubs!$G$2:$G$3001,MATCH(G2906,Pubs!$A$2:$A$3001,0))&amp;"",""))</f>
        <v/>
      </c>
      <c r="K2906" s="28" t="str">
        <f aca="false">IF(OR(G2906="",G2906="?"),"",IFERROR(INDEX(Pubs!$E$2:$E$3001,MATCH(G2906,Pubs!$A$2:$A$3001,0)),""))</f>
        <v/>
      </c>
      <c r="L2906" s="29" t="str">
        <f aca="false">IF(A2906="","",IFERROR(1/(1/INDEX(Numéros!$C$2:$C$3001,MATCH(A2906&amp;"|"&amp;B2906,Numéros!$F$2:$F$3001,0))),""))</f>
        <v/>
      </c>
      <c r="M2906" s="27" t="str">
        <f aca="false">IF(OR(G2906="",G2906="?"),"",IFERROR(INDEX(Pubs!$D$2:$D$3001,MATCH(G2906,Pubs!$A$2:$A$3001,0))&amp;"",""))</f>
        <v/>
      </c>
      <c r="N2906" s="27" t="n">
        <f aca="false">N(N2905)+IF(AND(A2906&lt;&gt;"",OR(Recherche!$C$4="",A2906=Recherche!$C$4),OR(Recherche!$C$5="",B2906&amp;""=Recherche!$C$5&amp;""),OR(Recherche!$C$6="",IFERROR(YEAR(L2906),0)=Recherche!$C$6),OR(Recherche!$C$7="",ISNUMBER(SEARCH(Recherche!$C$7,H2906))),OR(Recherche!$C$8="",J2906=Recherche!$C$8),OR(Recherche!$C$9="",I2906=Recherche!$C$9),OR(Recherche!$C$10="",G2906&amp;""=Recherche!$C$10&amp;""),OR(Recherche!$C$11="",E2906=Recherche!$C$11),OR(Recherche!$C$12="",ISNUMBER(SEARCH(Recherche!$C$12,M2906&amp;" "&amp;F2906)))),1,0)</f>
        <v>8</v>
      </c>
    </row>
    <row r="2907" customFormat="false" ht="15" hidden="false" customHeight="false" outlineLevel="0" collapsed="false">
      <c r="A2907" s="19"/>
      <c r="B2907" s="19"/>
      <c r="C2907" s="19"/>
      <c r="D2907" s="19"/>
      <c r="E2907" s="22"/>
      <c r="F2907" s="19"/>
      <c r="G2907" s="26" t="str">
        <f aca="false">IF(D2907="","",IFERROR(VALUE(LEFT(D2907,FIND(" |",D2907&amp;" |")-1)),"?"))</f>
        <v/>
      </c>
      <c r="H2907" s="27" t="str">
        <f aca="false">IF(G2907="","",IF(G2907="?","⚠ pub inconnue",IFERROR(INDEX(Pubs!$B$2:$B$3001,MATCH(G2907,Pubs!$A$2:$A$3001,0))&amp;"","⚠ pub inconnue")))</f>
        <v/>
      </c>
      <c r="I2907" s="27" t="str">
        <f aca="false">IF(OR(G2907="",G2907="?"),"",IFERROR(INDEX(Pubs!$C$2:$C$3001,MATCH(G2907,Pubs!$A$2:$A$3001,0))&amp;"",""))</f>
        <v/>
      </c>
      <c r="J2907" s="27" t="str">
        <f aca="false">IF(OR(G2907="",G2907="?"),"",IFERROR(INDEX(Pubs!$G$2:$G$3001,MATCH(G2907,Pubs!$A$2:$A$3001,0))&amp;"",""))</f>
        <v/>
      </c>
      <c r="K2907" s="28" t="str">
        <f aca="false">IF(OR(G2907="",G2907="?"),"",IFERROR(INDEX(Pubs!$E$2:$E$3001,MATCH(G2907,Pubs!$A$2:$A$3001,0)),""))</f>
        <v/>
      </c>
      <c r="L2907" s="29" t="str">
        <f aca="false">IF(A2907="","",IFERROR(1/(1/INDEX(Numéros!$C$2:$C$3001,MATCH(A2907&amp;"|"&amp;B2907,Numéros!$F$2:$F$3001,0))),""))</f>
        <v/>
      </c>
      <c r="M2907" s="27" t="str">
        <f aca="false">IF(OR(G2907="",G2907="?"),"",IFERROR(INDEX(Pubs!$D$2:$D$3001,MATCH(G2907,Pubs!$A$2:$A$3001,0))&amp;"",""))</f>
        <v/>
      </c>
      <c r="N2907" s="27" t="n">
        <f aca="false">N(N2906)+IF(AND(A2907&lt;&gt;"",OR(Recherche!$C$4="",A2907=Recherche!$C$4),OR(Recherche!$C$5="",B2907&amp;""=Recherche!$C$5&amp;""),OR(Recherche!$C$6="",IFERROR(YEAR(L2907),0)=Recherche!$C$6),OR(Recherche!$C$7="",ISNUMBER(SEARCH(Recherche!$C$7,H2907))),OR(Recherche!$C$8="",J2907=Recherche!$C$8),OR(Recherche!$C$9="",I2907=Recherche!$C$9),OR(Recherche!$C$10="",G2907&amp;""=Recherche!$C$10&amp;""),OR(Recherche!$C$11="",E2907=Recherche!$C$11),OR(Recherche!$C$12="",ISNUMBER(SEARCH(Recherche!$C$12,M2907&amp;" "&amp;F2907)))),1,0)</f>
        <v>8</v>
      </c>
    </row>
    <row r="2908" customFormat="false" ht="15" hidden="false" customHeight="false" outlineLevel="0" collapsed="false">
      <c r="A2908" s="19"/>
      <c r="B2908" s="19"/>
      <c r="C2908" s="19"/>
      <c r="D2908" s="19"/>
      <c r="E2908" s="22"/>
      <c r="F2908" s="19"/>
      <c r="G2908" s="26" t="str">
        <f aca="false">IF(D2908="","",IFERROR(VALUE(LEFT(D2908,FIND(" |",D2908&amp;" |")-1)),"?"))</f>
        <v/>
      </c>
      <c r="H2908" s="27" t="str">
        <f aca="false">IF(G2908="","",IF(G2908="?","⚠ pub inconnue",IFERROR(INDEX(Pubs!$B$2:$B$3001,MATCH(G2908,Pubs!$A$2:$A$3001,0))&amp;"","⚠ pub inconnue")))</f>
        <v/>
      </c>
      <c r="I2908" s="27" t="str">
        <f aca="false">IF(OR(G2908="",G2908="?"),"",IFERROR(INDEX(Pubs!$C$2:$C$3001,MATCH(G2908,Pubs!$A$2:$A$3001,0))&amp;"",""))</f>
        <v/>
      </c>
      <c r="J2908" s="27" t="str">
        <f aca="false">IF(OR(G2908="",G2908="?"),"",IFERROR(INDEX(Pubs!$G$2:$G$3001,MATCH(G2908,Pubs!$A$2:$A$3001,0))&amp;"",""))</f>
        <v/>
      </c>
      <c r="K2908" s="28" t="str">
        <f aca="false">IF(OR(G2908="",G2908="?"),"",IFERROR(INDEX(Pubs!$E$2:$E$3001,MATCH(G2908,Pubs!$A$2:$A$3001,0)),""))</f>
        <v/>
      </c>
      <c r="L2908" s="29" t="str">
        <f aca="false">IF(A2908="","",IFERROR(1/(1/INDEX(Numéros!$C$2:$C$3001,MATCH(A2908&amp;"|"&amp;B2908,Numéros!$F$2:$F$3001,0))),""))</f>
        <v/>
      </c>
      <c r="M2908" s="27" t="str">
        <f aca="false">IF(OR(G2908="",G2908="?"),"",IFERROR(INDEX(Pubs!$D$2:$D$3001,MATCH(G2908,Pubs!$A$2:$A$3001,0))&amp;"",""))</f>
        <v/>
      </c>
      <c r="N2908" s="27" t="n">
        <f aca="false">N(N2907)+IF(AND(A2908&lt;&gt;"",OR(Recherche!$C$4="",A2908=Recherche!$C$4),OR(Recherche!$C$5="",B2908&amp;""=Recherche!$C$5&amp;""),OR(Recherche!$C$6="",IFERROR(YEAR(L2908),0)=Recherche!$C$6),OR(Recherche!$C$7="",ISNUMBER(SEARCH(Recherche!$C$7,H2908))),OR(Recherche!$C$8="",J2908=Recherche!$C$8),OR(Recherche!$C$9="",I2908=Recherche!$C$9),OR(Recherche!$C$10="",G2908&amp;""=Recherche!$C$10&amp;""),OR(Recherche!$C$11="",E2908=Recherche!$C$11),OR(Recherche!$C$12="",ISNUMBER(SEARCH(Recherche!$C$12,M2908&amp;" "&amp;F2908)))),1,0)</f>
        <v>8</v>
      </c>
    </row>
    <row r="2909" customFormat="false" ht="15" hidden="false" customHeight="false" outlineLevel="0" collapsed="false">
      <c r="A2909" s="19"/>
      <c r="B2909" s="19"/>
      <c r="C2909" s="19"/>
      <c r="D2909" s="19"/>
      <c r="E2909" s="22"/>
      <c r="F2909" s="19"/>
      <c r="G2909" s="26" t="str">
        <f aca="false">IF(D2909="","",IFERROR(VALUE(LEFT(D2909,FIND(" |",D2909&amp;" |")-1)),"?"))</f>
        <v/>
      </c>
      <c r="H2909" s="27" t="str">
        <f aca="false">IF(G2909="","",IF(G2909="?","⚠ pub inconnue",IFERROR(INDEX(Pubs!$B$2:$B$3001,MATCH(G2909,Pubs!$A$2:$A$3001,0))&amp;"","⚠ pub inconnue")))</f>
        <v/>
      </c>
      <c r="I2909" s="27" t="str">
        <f aca="false">IF(OR(G2909="",G2909="?"),"",IFERROR(INDEX(Pubs!$C$2:$C$3001,MATCH(G2909,Pubs!$A$2:$A$3001,0))&amp;"",""))</f>
        <v/>
      </c>
      <c r="J2909" s="27" t="str">
        <f aca="false">IF(OR(G2909="",G2909="?"),"",IFERROR(INDEX(Pubs!$G$2:$G$3001,MATCH(G2909,Pubs!$A$2:$A$3001,0))&amp;"",""))</f>
        <v/>
      </c>
      <c r="K2909" s="28" t="str">
        <f aca="false">IF(OR(G2909="",G2909="?"),"",IFERROR(INDEX(Pubs!$E$2:$E$3001,MATCH(G2909,Pubs!$A$2:$A$3001,0)),""))</f>
        <v/>
      </c>
      <c r="L2909" s="29" t="str">
        <f aca="false">IF(A2909="","",IFERROR(1/(1/INDEX(Numéros!$C$2:$C$3001,MATCH(A2909&amp;"|"&amp;B2909,Numéros!$F$2:$F$3001,0))),""))</f>
        <v/>
      </c>
      <c r="M2909" s="27" t="str">
        <f aca="false">IF(OR(G2909="",G2909="?"),"",IFERROR(INDEX(Pubs!$D$2:$D$3001,MATCH(G2909,Pubs!$A$2:$A$3001,0))&amp;"",""))</f>
        <v/>
      </c>
      <c r="N2909" s="27" t="n">
        <f aca="false">N(N2908)+IF(AND(A2909&lt;&gt;"",OR(Recherche!$C$4="",A2909=Recherche!$C$4),OR(Recherche!$C$5="",B2909&amp;""=Recherche!$C$5&amp;""),OR(Recherche!$C$6="",IFERROR(YEAR(L2909),0)=Recherche!$C$6),OR(Recherche!$C$7="",ISNUMBER(SEARCH(Recherche!$C$7,H2909))),OR(Recherche!$C$8="",J2909=Recherche!$C$8),OR(Recherche!$C$9="",I2909=Recherche!$C$9),OR(Recherche!$C$10="",G2909&amp;""=Recherche!$C$10&amp;""),OR(Recherche!$C$11="",E2909=Recherche!$C$11),OR(Recherche!$C$12="",ISNUMBER(SEARCH(Recherche!$C$12,M2909&amp;" "&amp;F2909)))),1,0)</f>
        <v>8</v>
      </c>
    </row>
    <row r="2910" customFormat="false" ht="15" hidden="false" customHeight="false" outlineLevel="0" collapsed="false">
      <c r="A2910" s="19"/>
      <c r="B2910" s="19"/>
      <c r="C2910" s="19"/>
      <c r="D2910" s="19"/>
      <c r="E2910" s="22"/>
      <c r="F2910" s="19"/>
      <c r="G2910" s="26" t="str">
        <f aca="false">IF(D2910="","",IFERROR(VALUE(LEFT(D2910,FIND(" |",D2910&amp;" |")-1)),"?"))</f>
        <v/>
      </c>
      <c r="H2910" s="27" t="str">
        <f aca="false">IF(G2910="","",IF(G2910="?","⚠ pub inconnue",IFERROR(INDEX(Pubs!$B$2:$B$3001,MATCH(G2910,Pubs!$A$2:$A$3001,0))&amp;"","⚠ pub inconnue")))</f>
        <v/>
      </c>
      <c r="I2910" s="27" t="str">
        <f aca="false">IF(OR(G2910="",G2910="?"),"",IFERROR(INDEX(Pubs!$C$2:$C$3001,MATCH(G2910,Pubs!$A$2:$A$3001,0))&amp;"",""))</f>
        <v/>
      </c>
      <c r="J2910" s="27" t="str">
        <f aca="false">IF(OR(G2910="",G2910="?"),"",IFERROR(INDEX(Pubs!$G$2:$G$3001,MATCH(G2910,Pubs!$A$2:$A$3001,0))&amp;"",""))</f>
        <v/>
      </c>
      <c r="K2910" s="28" t="str">
        <f aca="false">IF(OR(G2910="",G2910="?"),"",IFERROR(INDEX(Pubs!$E$2:$E$3001,MATCH(G2910,Pubs!$A$2:$A$3001,0)),""))</f>
        <v/>
      </c>
      <c r="L2910" s="29" t="str">
        <f aca="false">IF(A2910="","",IFERROR(1/(1/INDEX(Numéros!$C$2:$C$3001,MATCH(A2910&amp;"|"&amp;B2910,Numéros!$F$2:$F$3001,0))),""))</f>
        <v/>
      </c>
      <c r="M2910" s="27" t="str">
        <f aca="false">IF(OR(G2910="",G2910="?"),"",IFERROR(INDEX(Pubs!$D$2:$D$3001,MATCH(G2910,Pubs!$A$2:$A$3001,0))&amp;"",""))</f>
        <v/>
      </c>
      <c r="N2910" s="27" t="n">
        <f aca="false">N(N2909)+IF(AND(A2910&lt;&gt;"",OR(Recherche!$C$4="",A2910=Recherche!$C$4),OR(Recherche!$C$5="",B2910&amp;""=Recherche!$C$5&amp;""),OR(Recherche!$C$6="",IFERROR(YEAR(L2910),0)=Recherche!$C$6),OR(Recherche!$C$7="",ISNUMBER(SEARCH(Recherche!$C$7,H2910))),OR(Recherche!$C$8="",J2910=Recherche!$C$8),OR(Recherche!$C$9="",I2910=Recherche!$C$9),OR(Recherche!$C$10="",G2910&amp;""=Recherche!$C$10&amp;""),OR(Recherche!$C$11="",E2910=Recherche!$C$11),OR(Recherche!$C$12="",ISNUMBER(SEARCH(Recherche!$C$12,M2910&amp;" "&amp;F2910)))),1,0)</f>
        <v>8</v>
      </c>
    </row>
    <row r="2911" customFormat="false" ht="15" hidden="false" customHeight="false" outlineLevel="0" collapsed="false">
      <c r="A2911" s="19"/>
      <c r="B2911" s="19"/>
      <c r="C2911" s="19"/>
      <c r="D2911" s="19"/>
      <c r="E2911" s="22"/>
      <c r="F2911" s="19"/>
      <c r="G2911" s="26" t="str">
        <f aca="false">IF(D2911="","",IFERROR(VALUE(LEFT(D2911,FIND(" |",D2911&amp;" |")-1)),"?"))</f>
        <v/>
      </c>
      <c r="H2911" s="27" t="str">
        <f aca="false">IF(G2911="","",IF(G2911="?","⚠ pub inconnue",IFERROR(INDEX(Pubs!$B$2:$B$3001,MATCH(G2911,Pubs!$A$2:$A$3001,0))&amp;"","⚠ pub inconnue")))</f>
        <v/>
      </c>
      <c r="I2911" s="27" t="str">
        <f aca="false">IF(OR(G2911="",G2911="?"),"",IFERROR(INDEX(Pubs!$C$2:$C$3001,MATCH(G2911,Pubs!$A$2:$A$3001,0))&amp;"",""))</f>
        <v/>
      </c>
      <c r="J2911" s="27" t="str">
        <f aca="false">IF(OR(G2911="",G2911="?"),"",IFERROR(INDEX(Pubs!$G$2:$G$3001,MATCH(G2911,Pubs!$A$2:$A$3001,0))&amp;"",""))</f>
        <v/>
      </c>
      <c r="K2911" s="28" t="str">
        <f aca="false">IF(OR(G2911="",G2911="?"),"",IFERROR(INDEX(Pubs!$E$2:$E$3001,MATCH(G2911,Pubs!$A$2:$A$3001,0)),""))</f>
        <v/>
      </c>
      <c r="L2911" s="29" t="str">
        <f aca="false">IF(A2911="","",IFERROR(1/(1/INDEX(Numéros!$C$2:$C$3001,MATCH(A2911&amp;"|"&amp;B2911,Numéros!$F$2:$F$3001,0))),""))</f>
        <v/>
      </c>
      <c r="M2911" s="27" t="str">
        <f aca="false">IF(OR(G2911="",G2911="?"),"",IFERROR(INDEX(Pubs!$D$2:$D$3001,MATCH(G2911,Pubs!$A$2:$A$3001,0))&amp;"",""))</f>
        <v/>
      </c>
      <c r="N2911" s="27" t="n">
        <f aca="false">N(N2910)+IF(AND(A2911&lt;&gt;"",OR(Recherche!$C$4="",A2911=Recherche!$C$4),OR(Recherche!$C$5="",B2911&amp;""=Recherche!$C$5&amp;""),OR(Recherche!$C$6="",IFERROR(YEAR(L2911),0)=Recherche!$C$6),OR(Recherche!$C$7="",ISNUMBER(SEARCH(Recherche!$C$7,H2911))),OR(Recherche!$C$8="",J2911=Recherche!$C$8),OR(Recherche!$C$9="",I2911=Recherche!$C$9),OR(Recherche!$C$10="",G2911&amp;""=Recherche!$C$10&amp;""),OR(Recherche!$C$11="",E2911=Recherche!$C$11),OR(Recherche!$C$12="",ISNUMBER(SEARCH(Recherche!$C$12,M2911&amp;" "&amp;F2911)))),1,0)</f>
        <v>8</v>
      </c>
    </row>
    <row r="2912" customFormat="false" ht="15" hidden="false" customHeight="false" outlineLevel="0" collapsed="false">
      <c r="A2912" s="19"/>
      <c r="B2912" s="19"/>
      <c r="C2912" s="19"/>
      <c r="D2912" s="19"/>
      <c r="E2912" s="22"/>
      <c r="F2912" s="19"/>
      <c r="G2912" s="26" t="str">
        <f aca="false">IF(D2912="","",IFERROR(VALUE(LEFT(D2912,FIND(" |",D2912&amp;" |")-1)),"?"))</f>
        <v/>
      </c>
      <c r="H2912" s="27" t="str">
        <f aca="false">IF(G2912="","",IF(G2912="?","⚠ pub inconnue",IFERROR(INDEX(Pubs!$B$2:$B$3001,MATCH(G2912,Pubs!$A$2:$A$3001,0))&amp;"","⚠ pub inconnue")))</f>
        <v/>
      </c>
      <c r="I2912" s="27" t="str">
        <f aca="false">IF(OR(G2912="",G2912="?"),"",IFERROR(INDEX(Pubs!$C$2:$C$3001,MATCH(G2912,Pubs!$A$2:$A$3001,0))&amp;"",""))</f>
        <v/>
      </c>
      <c r="J2912" s="27" t="str">
        <f aca="false">IF(OR(G2912="",G2912="?"),"",IFERROR(INDEX(Pubs!$G$2:$G$3001,MATCH(G2912,Pubs!$A$2:$A$3001,0))&amp;"",""))</f>
        <v/>
      </c>
      <c r="K2912" s="28" t="str">
        <f aca="false">IF(OR(G2912="",G2912="?"),"",IFERROR(INDEX(Pubs!$E$2:$E$3001,MATCH(G2912,Pubs!$A$2:$A$3001,0)),""))</f>
        <v/>
      </c>
      <c r="L2912" s="29" t="str">
        <f aca="false">IF(A2912="","",IFERROR(1/(1/INDEX(Numéros!$C$2:$C$3001,MATCH(A2912&amp;"|"&amp;B2912,Numéros!$F$2:$F$3001,0))),""))</f>
        <v/>
      </c>
      <c r="M2912" s="27" t="str">
        <f aca="false">IF(OR(G2912="",G2912="?"),"",IFERROR(INDEX(Pubs!$D$2:$D$3001,MATCH(G2912,Pubs!$A$2:$A$3001,0))&amp;"",""))</f>
        <v/>
      </c>
      <c r="N2912" s="27" t="n">
        <f aca="false">N(N2911)+IF(AND(A2912&lt;&gt;"",OR(Recherche!$C$4="",A2912=Recherche!$C$4),OR(Recherche!$C$5="",B2912&amp;""=Recherche!$C$5&amp;""),OR(Recherche!$C$6="",IFERROR(YEAR(L2912),0)=Recherche!$C$6),OR(Recherche!$C$7="",ISNUMBER(SEARCH(Recherche!$C$7,H2912))),OR(Recherche!$C$8="",J2912=Recherche!$C$8),OR(Recherche!$C$9="",I2912=Recherche!$C$9),OR(Recherche!$C$10="",G2912&amp;""=Recherche!$C$10&amp;""),OR(Recherche!$C$11="",E2912=Recherche!$C$11),OR(Recherche!$C$12="",ISNUMBER(SEARCH(Recherche!$C$12,M2912&amp;" "&amp;F2912)))),1,0)</f>
        <v>8</v>
      </c>
    </row>
    <row r="2913" customFormat="false" ht="15" hidden="false" customHeight="false" outlineLevel="0" collapsed="false">
      <c r="A2913" s="19"/>
      <c r="B2913" s="19"/>
      <c r="C2913" s="19"/>
      <c r="D2913" s="19"/>
      <c r="E2913" s="22"/>
      <c r="F2913" s="19"/>
      <c r="G2913" s="26" t="str">
        <f aca="false">IF(D2913="","",IFERROR(VALUE(LEFT(D2913,FIND(" |",D2913&amp;" |")-1)),"?"))</f>
        <v/>
      </c>
      <c r="H2913" s="27" t="str">
        <f aca="false">IF(G2913="","",IF(G2913="?","⚠ pub inconnue",IFERROR(INDEX(Pubs!$B$2:$B$3001,MATCH(G2913,Pubs!$A$2:$A$3001,0))&amp;"","⚠ pub inconnue")))</f>
        <v/>
      </c>
      <c r="I2913" s="27" t="str">
        <f aca="false">IF(OR(G2913="",G2913="?"),"",IFERROR(INDEX(Pubs!$C$2:$C$3001,MATCH(G2913,Pubs!$A$2:$A$3001,0))&amp;"",""))</f>
        <v/>
      </c>
      <c r="J2913" s="27" t="str">
        <f aca="false">IF(OR(G2913="",G2913="?"),"",IFERROR(INDEX(Pubs!$G$2:$G$3001,MATCH(G2913,Pubs!$A$2:$A$3001,0))&amp;"",""))</f>
        <v/>
      </c>
      <c r="K2913" s="28" t="str">
        <f aca="false">IF(OR(G2913="",G2913="?"),"",IFERROR(INDEX(Pubs!$E$2:$E$3001,MATCH(G2913,Pubs!$A$2:$A$3001,0)),""))</f>
        <v/>
      </c>
      <c r="L2913" s="29" t="str">
        <f aca="false">IF(A2913="","",IFERROR(1/(1/INDEX(Numéros!$C$2:$C$3001,MATCH(A2913&amp;"|"&amp;B2913,Numéros!$F$2:$F$3001,0))),""))</f>
        <v/>
      </c>
      <c r="M2913" s="27" t="str">
        <f aca="false">IF(OR(G2913="",G2913="?"),"",IFERROR(INDEX(Pubs!$D$2:$D$3001,MATCH(G2913,Pubs!$A$2:$A$3001,0))&amp;"",""))</f>
        <v/>
      </c>
      <c r="N2913" s="27" t="n">
        <f aca="false">N(N2912)+IF(AND(A2913&lt;&gt;"",OR(Recherche!$C$4="",A2913=Recherche!$C$4),OR(Recherche!$C$5="",B2913&amp;""=Recherche!$C$5&amp;""),OR(Recherche!$C$6="",IFERROR(YEAR(L2913),0)=Recherche!$C$6),OR(Recherche!$C$7="",ISNUMBER(SEARCH(Recherche!$C$7,H2913))),OR(Recherche!$C$8="",J2913=Recherche!$C$8),OR(Recherche!$C$9="",I2913=Recherche!$C$9),OR(Recherche!$C$10="",G2913&amp;""=Recherche!$C$10&amp;""),OR(Recherche!$C$11="",E2913=Recherche!$C$11),OR(Recherche!$C$12="",ISNUMBER(SEARCH(Recherche!$C$12,M2913&amp;" "&amp;F2913)))),1,0)</f>
        <v>8</v>
      </c>
    </row>
    <row r="2914" customFormat="false" ht="15" hidden="false" customHeight="false" outlineLevel="0" collapsed="false">
      <c r="A2914" s="19"/>
      <c r="B2914" s="19"/>
      <c r="C2914" s="19"/>
      <c r="D2914" s="19"/>
      <c r="E2914" s="22"/>
      <c r="F2914" s="19"/>
      <c r="G2914" s="26" t="str">
        <f aca="false">IF(D2914="","",IFERROR(VALUE(LEFT(D2914,FIND(" |",D2914&amp;" |")-1)),"?"))</f>
        <v/>
      </c>
      <c r="H2914" s="27" t="str">
        <f aca="false">IF(G2914="","",IF(G2914="?","⚠ pub inconnue",IFERROR(INDEX(Pubs!$B$2:$B$3001,MATCH(G2914,Pubs!$A$2:$A$3001,0))&amp;"","⚠ pub inconnue")))</f>
        <v/>
      </c>
      <c r="I2914" s="27" t="str">
        <f aca="false">IF(OR(G2914="",G2914="?"),"",IFERROR(INDEX(Pubs!$C$2:$C$3001,MATCH(G2914,Pubs!$A$2:$A$3001,0))&amp;"",""))</f>
        <v/>
      </c>
      <c r="J2914" s="27" t="str">
        <f aca="false">IF(OR(G2914="",G2914="?"),"",IFERROR(INDEX(Pubs!$G$2:$G$3001,MATCH(G2914,Pubs!$A$2:$A$3001,0))&amp;"",""))</f>
        <v/>
      </c>
      <c r="K2914" s="28" t="str">
        <f aca="false">IF(OR(G2914="",G2914="?"),"",IFERROR(INDEX(Pubs!$E$2:$E$3001,MATCH(G2914,Pubs!$A$2:$A$3001,0)),""))</f>
        <v/>
      </c>
      <c r="L2914" s="29" t="str">
        <f aca="false">IF(A2914="","",IFERROR(1/(1/INDEX(Numéros!$C$2:$C$3001,MATCH(A2914&amp;"|"&amp;B2914,Numéros!$F$2:$F$3001,0))),""))</f>
        <v/>
      </c>
      <c r="M2914" s="27" t="str">
        <f aca="false">IF(OR(G2914="",G2914="?"),"",IFERROR(INDEX(Pubs!$D$2:$D$3001,MATCH(G2914,Pubs!$A$2:$A$3001,0))&amp;"",""))</f>
        <v/>
      </c>
      <c r="N2914" s="27" t="n">
        <f aca="false">N(N2913)+IF(AND(A2914&lt;&gt;"",OR(Recherche!$C$4="",A2914=Recherche!$C$4),OR(Recherche!$C$5="",B2914&amp;""=Recherche!$C$5&amp;""),OR(Recherche!$C$6="",IFERROR(YEAR(L2914),0)=Recherche!$C$6),OR(Recherche!$C$7="",ISNUMBER(SEARCH(Recherche!$C$7,H2914))),OR(Recherche!$C$8="",J2914=Recherche!$C$8),OR(Recherche!$C$9="",I2914=Recherche!$C$9),OR(Recherche!$C$10="",G2914&amp;""=Recherche!$C$10&amp;""),OR(Recherche!$C$11="",E2914=Recherche!$C$11),OR(Recherche!$C$12="",ISNUMBER(SEARCH(Recherche!$C$12,M2914&amp;" "&amp;F2914)))),1,0)</f>
        <v>8</v>
      </c>
    </row>
    <row r="2915" customFormat="false" ht="15" hidden="false" customHeight="false" outlineLevel="0" collapsed="false">
      <c r="A2915" s="19"/>
      <c r="B2915" s="19"/>
      <c r="C2915" s="19"/>
      <c r="D2915" s="19"/>
      <c r="E2915" s="22"/>
      <c r="F2915" s="19"/>
      <c r="G2915" s="26" t="str">
        <f aca="false">IF(D2915="","",IFERROR(VALUE(LEFT(D2915,FIND(" |",D2915&amp;" |")-1)),"?"))</f>
        <v/>
      </c>
      <c r="H2915" s="27" t="str">
        <f aca="false">IF(G2915="","",IF(G2915="?","⚠ pub inconnue",IFERROR(INDEX(Pubs!$B$2:$B$3001,MATCH(G2915,Pubs!$A$2:$A$3001,0))&amp;"","⚠ pub inconnue")))</f>
        <v/>
      </c>
      <c r="I2915" s="27" t="str">
        <f aca="false">IF(OR(G2915="",G2915="?"),"",IFERROR(INDEX(Pubs!$C$2:$C$3001,MATCH(G2915,Pubs!$A$2:$A$3001,0))&amp;"",""))</f>
        <v/>
      </c>
      <c r="J2915" s="27" t="str">
        <f aca="false">IF(OR(G2915="",G2915="?"),"",IFERROR(INDEX(Pubs!$G$2:$G$3001,MATCH(G2915,Pubs!$A$2:$A$3001,0))&amp;"",""))</f>
        <v/>
      </c>
      <c r="K2915" s="28" t="str">
        <f aca="false">IF(OR(G2915="",G2915="?"),"",IFERROR(INDEX(Pubs!$E$2:$E$3001,MATCH(G2915,Pubs!$A$2:$A$3001,0)),""))</f>
        <v/>
      </c>
      <c r="L2915" s="29" t="str">
        <f aca="false">IF(A2915="","",IFERROR(1/(1/INDEX(Numéros!$C$2:$C$3001,MATCH(A2915&amp;"|"&amp;B2915,Numéros!$F$2:$F$3001,0))),""))</f>
        <v/>
      </c>
      <c r="M2915" s="27" t="str">
        <f aca="false">IF(OR(G2915="",G2915="?"),"",IFERROR(INDEX(Pubs!$D$2:$D$3001,MATCH(G2915,Pubs!$A$2:$A$3001,0))&amp;"",""))</f>
        <v/>
      </c>
      <c r="N2915" s="27" t="n">
        <f aca="false">N(N2914)+IF(AND(A2915&lt;&gt;"",OR(Recherche!$C$4="",A2915=Recherche!$C$4),OR(Recherche!$C$5="",B2915&amp;""=Recherche!$C$5&amp;""),OR(Recherche!$C$6="",IFERROR(YEAR(L2915),0)=Recherche!$C$6),OR(Recherche!$C$7="",ISNUMBER(SEARCH(Recherche!$C$7,H2915))),OR(Recherche!$C$8="",J2915=Recherche!$C$8),OR(Recherche!$C$9="",I2915=Recherche!$C$9),OR(Recherche!$C$10="",G2915&amp;""=Recherche!$C$10&amp;""),OR(Recherche!$C$11="",E2915=Recherche!$C$11),OR(Recherche!$C$12="",ISNUMBER(SEARCH(Recherche!$C$12,M2915&amp;" "&amp;F2915)))),1,0)</f>
        <v>8</v>
      </c>
    </row>
    <row r="2916" customFormat="false" ht="15" hidden="false" customHeight="false" outlineLevel="0" collapsed="false">
      <c r="A2916" s="19"/>
      <c r="B2916" s="19"/>
      <c r="C2916" s="19"/>
      <c r="D2916" s="19"/>
      <c r="E2916" s="22"/>
      <c r="F2916" s="19"/>
      <c r="G2916" s="26" t="str">
        <f aca="false">IF(D2916="","",IFERROR(VALUE(LEFT(D2916,FIND(" |",D2916&amp;" |")-1)),"?"))</f>
        <v/>
      </c>
      <c r="H2916" s="27" t="str">
        <f aca="false">IF(G2916="","",IF(G2916="?","⚠ pub inconnue",IFERROR(INDEX(Pubs!$B$2:$B$3001,MATCH(G2916,Pubs!$A$2:$A$3001,0))&amp;"","⚠ pub inconnue")))</f>
        <v/>
      </c>
      <c r="I2916" s="27" t="str">
        <f aca="false">IF(OR(G2916="",G2916="?"),"",IFERROR(INDEX(Pubs!$C$2:$C$3001,MATCH(G2916,Pubs!$A$2:$A$3001,0))&amp;"",""))</f>
        <v/>
      </c>
      <c r="J2916" s="27" t="str">
        <f aca="false">IF(OR(G2916="",G2916="?"),"",IFERROR(INDEX(Pubs!$G$2:$G$3001,MATCH(G2916,Pubs!$A$2:$A$3001,0))&amp;"",""))</f>
        <v/>
      </c>
      <c r="K2916" s="28" t="str">
        <f aca="false">IF(OR(G2916="",G2916="?"),"",IFERROR(INDEX(Pubs!$E$2:$E$3001,MATCH(G2916,Pubs!$A$2:$A$3001,0)),""))</f>
        <v/>
      </c>
      <c r="L2916" s="29" t="str">
        <f aca="false">IF(A2916="","",IFERROR(1/(1/INDEX(Numéros!$C$2:$C$3001,MATCH(A2916&amp;"|"&amp;B2916,Numéros!$F$2:$F$3001,0))),""))</f>
        <v/>
      </c>
      <c r="M2916" s="27" t="str">
        <f aca="false">IF(OR(G2916="",G2916="?"),"",IFERROR(INDEX(Pubs!$D$2:$D$3001,MATCH(G2916,Pubs!$A$2:$A$3001,0))&amp;"",""))</f>
        <v/>
      </c>
      <c r="N2916" s="27" t="n">
        <f aca="false">N(N2915)+IF(AND(A2916&lt;&gt;"",OR(Recherche!$C$4="",A2916=Recherche!$C$4),OR(Recherche!$C$5="",B2916&amp;""=Recherche!$C$5&amp;""),OR(Recherche!$C$6="",IFERROR(YEAR(L2916),0)=Recherche!$C$6),OR(Recherche!$C$7="",ISNUMBER(SEARCH(Recherche!$C$7,H2916))),OR(Recherche!$C$8="",J2916=Recherche!$C$8),OR(Recherche!$C$9="",I2916=Recherche!$C$9),OR(Recherche!$C$10="",G2916&amp;""=Recherche!$C$10&amp;""),OR(Recherche!$C$11="",E2916=Recherche!$C$11),OR(Recherche!$C$12="",ISNUMBER(SEARCH(Recherche!$C$12,M2916&amp;" "&amp;F2916)))),1,0)</f>
        <v>8</v>
      </c>
    </row>
    <row r="2917" customFormat="false" ht="15" hidden="false" customHeight="false" outlineLevel="0" collapsed="false">
      <c r="A2917" s="19"/>
      <c r="B2917" s="19"/>
      <c r="C2917" s="19"/>
      <c r="D2917" s="19"/>
      <c r="E2917" s="22"/>
      <c r="F2917" s="19"/>
      <c r="G2917" s="26" t="str">
        <f aca="false">IF(D2917="","",IFERROR(VALUE(LEFT(D2917,FIND(" |",D2917&amp;" |")-1)),"?"))</f>
        <v/>
      </c>
      <c r="H2917" s="27" t="str">
        <f aca="false">IF(G2917="","",IF(G2917="?","⚠ pub inconnue",IFERROR(INDEX(Pubs!$B$2:$B$3001,MATCH(G2917,Pubs!$A$2:$A$3001,0))&amp;"","⚠ pub inconnue")))</f>
        <v/>
      </c>
      <c r="I2917" s="27" t="str">
        <f aca="false">IF(OR(G2917="",G2917="?"),"",IFERROR(INDEX(Pubs!$C$2:$C$3001,MATCH(G2917,Pubs!$A$2:$A$3001,0))&amp;"",""))</f>
        <v/>
      </c>
      <c r="J2917" s="27" t="str">
        <f aca="false">IF(OR(G2917="",G2917="?"),"",IFERROR(INDEX(Pubs!$G$2:$G$3001,MATCH(G2917,Pubs!$A$2:$A$3001,0))&amp;"",""))</f>
        <v/>
      </c>
      <c r="K2917" s="28" t="str">
        <f aca="false">IF(OR(G2917="",G2917="?"),"",IFERROR(INDEX(Pubs!$E$2:$E$3001,MATCH(G2917,Pubs!$A$2:$A$3001,0)),""))</f>
        <v/>
      </c>
      <c r="L2917" s="29" t="str">
        <f aca="false">IF(A2917="","",IFERROR(1/(1/INDEX(Numéros!$C$2:$C$3001,MATCH(A2917&amp;"|"&amp;B2917,Numéros!$F$2:$F$3001,0))),""))</f>
        <v/>
      </c>
      <c r="M2917" s="27" t="str">
        <f aca="false">IF(OR(G2917="",G2917="?"),"",IFERROR(INDEX(Pubs!$D$2:$D$3001,MATCH(G2917,Pubs!$A$2:$A$3001,0))&amp;"",""))</f>
        <v/>
      </c>
      <c r="N2917" s="27" t="n">
        <f aca="false">N(N2916)+IF(AND(A2917&lt;&gt;"",OR(Recherche!$C$4="",A2917=Recherche!$C$4),OR(Recherche!$C$5="",B2917&amp;""=Recherche!$C$5&amp;""),OR(Recherche!$C$6="",IFERROR(YEAR(L2917),0)=Recherche!$C$6),OR(Recherche!$C$7="",ISNUMBER(SEARCH(Recherche!$C$7,H2917))),OR(Recherche!$C$8="",J2917=Recherche!$C$8),OR(Recherche!$C$9="",I2917=Recherche!$C$9),OR(Recherche!$C$10="",G2917&amp;""=Recherche!$C$10&amp;""),OR(Recherche!$C$11="",E2917=Recherche!$C$11),OR(Recherche!$C$12="",ISNUMBER(SEARCH(Recherche!$C$12,M2917&amp;" "&amp;F2917)))),1,0)</f>
        <v>8</v>
      </c>
    </row>
    <row r="2918" customFormat="false" ht="15" hidden="false" customHeight="false" outlineLevel="0" collapsed="false">
      <c r="A2918" s="19"/>
      <c r="B2918" s="19"/>
      <c r="C2918" s="19"/>
      <c r="D2918" s="19"/>
      <c r="E2918" s="22"/>
      <c r="F2918" s="19"/>
      <c r="G2918" s="26" t="str">
        <f aca="false">IF(D2918="","",IFERROR(VALUE(LEFT(D2918,FIND(" |",D2918&amp;" |")-1)),"?"))</f>
        <v/>
      </c>
      <c r="H2918" s="27" t="str">
        <f aca="false">IF(G2918="","",IF(G2918="?","⚠ pub inconnue",IFERROR(INDEX(Pubs!$B$2:$B$3001,MATCH(G2918,Pubs!$A$2:$A$3001,0))&amp;"","⚠ pub inconnue")))</f>
        <v/>
      </c>
      <c r="I2918" s="27" t="str">
        <f aca="false">IF(OR(G2918="",G2918="?"),"",IFERROR(INDEX(Pubs!$C$2:$C$3001,MATCH(G2918,Pubs!$A$2:$A$3001,0))&amp;"",""))</f>
        <v/>
      </c>
      <c r="J2918" s="27" t="str">
        <f aca="false">IF(OR(G2918="",G2918="?"),"",IFERROR(INDEX(Pubs!$G$2:$G$3001,MATCH(G2918,Pubs!$A$2:$A$3001,0))&amp;"",""))</f>
        <v/>
      </c>
      <c r="K2918" s="28" t="str">
        <f aca="false">IF(OR(G2918="",G2918="?"),"",IFERROR(INDEX(Pubs!$E$2:$E$3001,MATCH(G2918,Pubs!$A$2:$A$3001,0)),""))</f>
        <v/>
      </c>
      <c r="L2918" s="29" t="str">
        <f aca="false">IF(A2918="","",IFERROR(1/(1/INDEX(Numéros!$C$2:$C$3001,MATCH(A2918&amp;"|"&amp;B2918,Numéros!$F$2:$F$3001,0))),""))</f>
        <v/>
      </c>
      <c r="M2918" s="27" t="str">
        <f aca="false">IF(OR(G2918="",G2918="?"),"",IFERROR(INDEX(Pubs!$D$2:$D$3001,MATCH(G2918,Pubs!$A$2:$A$3001,0))&amp;"",""))</f>
        <v/>
      </c>
      <c r="N2918" s="27" t="n">
        <f aca="false">N(N2917)+IF(AND(A2918&lt;&gt;"",OR(Recherche!$C$4="",A2918=Recherche!$C$4),OR(Recherche!$C$5="",B2918&amp;""=Recherche!$C$5&amp;""),OR(Recherche!$C$6="",IFERROR(YEAR(L2918),0)=Recherche!$C$6),OR(Recherche!$C$7="",ISNUMBER(SEARCH(Recherche!$C$7,H2918))),OR(Recherche!$C$8="",J2918=Recherche!$C$8),OR(Recherche!$C$9="",I2918=Recherche!$C$9),OR(Recherche!$C$10="",G2918&amp;""=Recherche!$C$10&amp;""),OR(Recherche!$C$11="",E2918=Recherche!$C$11),OR(Recherche!$C$12="",ISNUMBER(SEARCH(Recherche!$C$12,M2918&amp;" "&amp;F2918)))),1,0)</f>
        <v>8</v>
      </c>
    </row>
    <row r="2919" customFormat="false" ht="15" hidden="false" customHeight="false" outlineLevel="0" collapsed="false">
      <c r="A2919" s="19"/>
      <c r="B2919" s="19"/>
      <c r="C2919" s="19"/>
      <c r="D2919" s="19"/>
      <c r="E2919" s="22"/>
      <c r="F2919" s="19"/>
      <c r="G2919" s="26" t="str">
        <f aca="false">IF(D2919="","",IFERROR(VALUE(LEFT(D2919,FIND(" |",D2919&amp;" |")-1)),"?"))</f>
        <v/>
      </c>
      <c r="H2919" s="27" t="str">
        <f aca="false">IF(G2919="","",IF(G2919="?","⚠ pub inconnue",IFERROR(INDEX(Pubs!$B$2:$B$3001,MATCH(G2919,Pubs!$A$2:$A$3001,0))&amp;"","⚠ pub inconnue")))</f>
        <v/>
      </c>
      <c r="I2919" s="27" t="str">
        <f aca="false">IF(OR(G2919="",G2919="?"),"",IFERROR(INDEX(Pubs!$C$2:$C$3001,MATCH(G2919,Pubs!$A$2:$A$3001,0))&amp;"",""))</f>
        <v/>
      </c>
      <c r="J2919" s="27" t="str">
        <f aca="false">IF(OR(G2919="",G2919="?"),"",IFERROR(INDEX(Pubs!$G$2:$G$3001,MATCH(G2919,Pubs!$A$2:$A$3001,0))&amp;"",""))</f>
        <v/>
      </c>
      <c r="K2919" s="28" t="str">
        <f aca="false">IF(OR(G2919="",G2919="?"),"",IFERROR(INDEX(Pubs!$E$2:$E$3001,MATCH(G2919,Pubs!$A$2:$A$3001,0)),""))</f>
        <v/>
      </c>
      <c r="L2919" s="29" t="str">
        <f aca="false">IF(A2919="","",IFERROR(1/(1/INDEX(Numéros!$C$2:$C$3001,MATCH(A2919&amp;"|"&amp;B2919,Numéros!$F$2:$F$3001,0))),""))</f>
        <v/>
      </c>
      <c r="M2919" s="27" t="str">
        <f aca="false">IF(OR(G2919="",G2919="?"),"",IFERROR(INDEX(Pubs!$D$2:$D$3001,MATCH(G2919,Pubs!$A$2:$A$3001,0))&amp;"",""))</f>
        <v/>
      </c>
      <c r="N2919" s="27" t="n">
        <f aca="false">N(N2918)+IF(AND(A2919&lt;&gt;"",OR(Recherche!$C$4="",A2919=Recherche!$C$4),OR(Recherche!$C$5="",B2919&amp;""=Recherche!$C$5&amp;""),OR(Recherche!$C$6="",IFERROR(YEAR(L2919),0)=Recherche!$C$6),OR(Recherche!$C$7="",ISNUMBER(SEARCH(Recherche!$C$7,H2919))),OR(Recherche!$C$8="",J2919=Recherche!$C$8),OR(Recherche!$C$9="",I2919=Recherche!$C$9),OR(Recherche!$C$10="",G2919&amp;""=Recherche!$C$10&amp;""),OR(Recherche!$C$11="",E2919=Recherche!$C$11),OR(Recherche!$C$12="",ISNUMBER(SEARCH(Recherche!$C$12,M2919&amp;" "&amp;F2919)))),1,0)</f>
        <v>8</v>
      </c>
    </row>
    <row r="2920" customFormat="false" ht="15" hidden="false" customHeight="false" outlineLevel="0" collapsed="false">
      <c r="A2920" s="19"/>
      <c r="B2920" s="19"/>
      <c r="C2920" s="19"/>
      <c r="D2920" s="19"/>
      <c r="E2920" s="22"/>
      <c r="F2920" s="19"/>
      <c r="G2920" s="26" t="str">
        <f aca="false">IF(D2920="","",IFERROR(VALUE(LEFT(D2920,FIND(" |",D2920&amp;" |")-1)),"?"))</f>
        <v/>
      </c>
      <c r="H2920" s="27" t="str">
        <f aca="false">IF(G2920="","",IF(G2920="?","⚠ pub inconnue",IFERROR(INDEX(Pubs!$B$2:$B$3001,MATCH(G2920,Pubs!$A$2:$A$3001,0))&amp;"","⚠ pub inconnue")))</f>
        <v/>
      </c>
      <c r="I2920" s="27" t="str">
        <f aca="false">IF(OR(G2920="",G2920="?"),"",IFERROR(INDEX(Pubs!$C$2:$C$3001,MATCH(G2920,Pubs!$A$2:$A$3001,0))&amp;"",""))</f>
        <v/>
      </c>
      <c r="J2920" s="27" t="str">
        <f aca="false">IF(OR(G2920="",G2920="?"),"",IFERROR(INDEX(Pubs!$G$2:$G$3001,MATCH(G2920,Pubs!$A$2:$A$3001,0))&amp;"",""))</f>
        <v/>
      </c>
      <c r="K2920" s="28" t="str">
        <f aca="false">IF(OR(G2920="",G2920="?"),"",IFERROR(INDEX(Pubs!$E$2:$E$3001,MATCH(G2920,Pubs!$A$2:$A$3001,0)),""))</f>
        <v/>
      </c>
      <c r="L2920" s="29" t="str">
        <f aca="false">IF(A2920="","",IFERROR(1/(1/INDEX(Numéros!$C$2:$C$3001,MATCH(A2920&amp;"|"&amp;B2920,Numéros!$F$2:$F$3001,0))),""))</f>
        <v/>
      </c>
      <c r="M2920" s="27" t="str">
        <f aca="false">IF(OR(G2920="",G2920="?"),"",IFERROR(INDEX(Pubs!$D$2:$D$3001,MATCH(G2920,Pubs!$A$2:$A$3001,0))&amp;"",""))</f>
        <v/>
      </c>
      <c r="N2920" s="27" t="n">
        <f aca="false">N(N2919)+IF(AND(A2920&lt;&gt;"",OR(Recherche!$C$4="",A2920=Recherche!$C$4),OR(Recherche!$C$5="",B2920&amp;""=Recherche!$C$5&amp;""),OR(Recherche!$C$6="",IFERROR(YEAR(L2920),0)=Recherche!$C$6),OR(Recherche!$C$7="",ISNUMBER(SEARCH(Recherche!$C$7,H2920))),OR(Recherche!$C$8="",J2920=Recherche!$C$8),OR(Recherche!$C$9="",I2920=Recherche!$C$9),OR(Recherche!$C$10="",G2920&amp;""=Recherche!$C$10&amp;""),OR(Recherche!$C$11="",E2920=Recherche!$C$11),OR(Recherche!$C$12="",ISNUMBER(SEARCH(Recherche!$C$12,M2920&amp;" "&amp;F2920)))),1,0)</f>
        <v>8</v>
      </c>
    </row>
    <row r="2921" customFormat="false" ht="15" hidden="false" customHeight="false" outlineLevel="0" collapsed="false">
      <c r="A2921" s="19"/>
      <c r="B2921" s="19"/>
      <c r="C2921" s="19"/>
      <c r="D2921" s="19"/>
      <c r="E2921" s="22"/>
      <c r="F2921" s="19"/>
      <c r="G2921" s="26" t="str">
        <f aca="false">IF(D2921="","",IFERROR(VALUE(LEFT(D2921,FIND(" |",D2921&amp;" |")-1)),"?"))</f>
        <v/>
      </c>
      <c r="H2921" s="27" t="str">
        <f aca="false">IF(G2921="","",IF(G2921="?","⚠ pub inconnue",IFERROR(INDEX(Pubs!$B$2:$B$3001,MATCH(G2921,Pubs!$A$2:$A$3001,0))&amp;"","⚠ pub inconnue")))</f>
        <v/>
      </c>
      <c r="I2921" s="27" t="str">
        <f aca="false">IF(OR(G2921="",G2921="?"),"",IFERROR(INDEX(Pubs!$C$2:$C$3001,MATCH(G2921,Pubs!$A$2:$A$3001,0))&amp;"",""))</f>
        <v/>
      </c>
      <c r="J2921" s="27" t="str">
        <f aca="false">IF(OR(G2921="",G2921="?"),"",IFERROR(INDEX(Pubs!$G$2:$G$3001,MATCH(G2921,Pubs!$A$2:$A$3001,0))&amp;"",""))</f>
        <v/>
      </c>
      <c r="K2921" s="28" t="str">
        <f aca="false">IF(OR(G2921="",G2921="?"),"",IFERROR(INDEX(Pubs!$E$2:$E$3001,MATCH(G2921,Pubs!$A$2:$A$3001,0)),""))</f>
        <v/>
      </c>
      <c r="L2921" s="29" t="str">
        <f aca="false">IF(A2921="","",IFERROR(1/(1/INDEX(Numéros!$C$2:$C$3001,MATCH(A2921&amp;"|"&amp;B2921,Numéros!$F$2:$F$3001,0))),""))</f>
        <v/>
      </c>
      <c r="M2921" s="27" t="str">
        <f aca="false">IF(OR(G2921="",G2921="?"),"",IFERROR(INDEX(Pubs!$D$2:$D$3001,MATCH(G2921,Pubs!$A$2:$A$3001,0))&amp;"",""))</f>
        <v/>
      </c>
      <c r="N2921" s="27" t="n">
        <f aca="false">N(N2920)+IF(AND(A2921&lt;&gt;"",OR(Recherche!$C$4="",A2921=Recherche!$C$4),OR(Recherche!$C$5="",B2921&amp;""=Recherche!$C$5&amp;""),OR(Recherche!$C$6="",IFERROR(YEAR(L2921),0)=Recherche!$C$6),OR(Recherche!$C$7="",ISNUMBER(SEARCH(Recherche!$C$7,H2921))),OR(Recherche!$C$8="",J2921=Recherche!$C$8),OR(Recherche!$C$9="",I2921=Recherche!$C$9),OR(Recherche!$C$10="",G2921&amp;""=Recherche!$C$10&amp;""),OR(Recherche!$C$11="",E2921=Recherche!$C$11),OR(Recherche!$C$12="",ISNUMBER(SEARCH(Recherche!$C$12,M2921&amp;" "&amp;F2921)))),1,0)</f>
        <v>8</v>
      </c>
    </row>
    <row r="2922" customFormat="false" ht="15" hidden="false" customHeight="false" outlineLevel="0" collapsed="false">
      <c r="A2922" s="19"/>
      <c r="B2922" s="19"/>
      <c r="C2922" s="19"/>
      <c r="D2922" s="19"/>
      <c r="E2922" s="22"/>
      <c r="F2922" s="19"/>
      <c r="G2922" s="26" t="str">
        <f aca="false">IF(D2922="","",IFERROR(VALUE(LEFT(D2922,FIND(" |",D2922&amp;" |")-1)),"?"))</f>
        <v/>
      </c>
      <c r="H2922" s="27" t="str">
        <f aca="false">IF(G2922="","",IF(G2922="?","⚠ pub inconnue",IFERROR(INDEX(Pubs!$B$2:$B$3001,MATCH(G2922,Pubs!$A$2:$A$3001,0))&amp;"","⚠ pub inconnue")))</f>
        <v/>
      </c>
      <c r="I2922" s="27" t="str">
        <f aca="false">IF(OR(G2922="",G2922="?"),"",IFERROR(INDEX(Pubs!$C$2:$C$3001,MATCH(G2922,Pubs!$A$2:$A$3001,0))&amp;"",""))</f>
        <v/>
      </c>
      <c r="J2922" s="27" t="str">
        <f aca="false">IF(OR(G2922="",G2922="?"),"",IFERROR(INDEX(Pubs!$G$2:$G$3001,MATCH(G2922,Pubs!$A$2:$A$3001,0))&amp;"",""))</f>
        <v/>
      </c>
      <c r="K2922" s="28" t="str">
        <f aca="false">IF(OR(G2922="",G2922="?"),"",IFERROR(INDEX(Pubs!$E$2:$E$3001,MATCH(G2922,Pubs!$A$2:$A$3001,0)),""))</f>
        <v/>
      </c>
      <c r="L2922" s="29" t="str">
        <f aca="false">IF(A2922="","",IFERROR(1/(1/INDEX(Numéros!$C$2:$C$3001,MATCH(A2922&amp;"|"&amp;B2922,Numéros!$F$2:$F$3001,0))),""))</f>
        <v/>
      </c>
      <c r="M2922" s="27" t="str">
        <f aca="false">IF(OR(G2922="",G2922="?"),"",IFERROR(INDEX(Pubs!$D$2:$D$3001,MATCH(G2922,Pubs!$A$2:$A$3001,0))&amp;"",""))</f>
        <v/>
      </c>
      <c r="N2922" s="27" t="n">
        <f aca="false">N(N2921)+IF(AND(A2922&lt;&gt;"",OR(Recherche!$C$4="",A2922=Recherche!$C$4),OR(Recherche!$C$5="",B2922&amp;""=Recherche!$C$5&amp;""),OR(Recherche!$C$6="",IFERROR(YEAR(L2922),0)=Recherche!$C$6),OR(Recherche!$C$7="",ISNUMBER(SEARCH(Recherche!$C$7,H2922))),OR(Recherche!$C$8="",J2922=Recherche!$C$8),OR(Recherche!$C$9="",I2922=Recherche!$C$9),OR(Recherche!$C$10="",G2922&amp;""=Recherche!$C$10&amp;""),OR(Recherche!$C$11="",E2922=Recherche!$C$11),OR(Recherche!$C$12="",ISNUMBER(SEARCH(Recherche!$C$12,M2922&amp;" "&amp;F2922)))),1,0)</f>
        <v>8</v>
      </c>
    </row>
    <row r="2923" customFormat="false" ht="15" hidden="false" customHeight="false" outlineLevel="0" collapsed="false">
      <c r="A2923" s="19"/>
      <c r="B2923" s="19"/>
      <c r="C2923" s="19"/>
      <c r="D2923" s="19"/>
      <c r="E2923" s="22"/>
      <c r="F2923" s="19"/>
      <c r="G2923" s="26" t="str">
        <f aca="false">IF(D2923="","",IFERROR(VALUE(LEFT(D2923,FIND(" |",D2923&amp;" |")-1)),"?"))</f>
        <v/>
      </c>
      <c r="H2923" s="27" t="str">
        <f aca="false">IF(G2923="","",IF(G2923="?","⚠ pub inconnue",IFERROR(INDEX(Pubs!$B$2:$B$3001,MATCH(G2923,Pubs!$A$2:$A$3001,0))&amp;"","⚠ pub inconnue")))</f>
        <v/>
      </c>
      <c r="I2923" s="27" t="str">
        <f aca="false">IF(OR(G2923="",G2923="?"),"",IFERROR(INDEX(Pubs!$C$2:$C$3001,MATCH(G2923,Pubs!$A$2:$A$3001,0))&amp;"",""))</f>
        <v/>
      </c>
      <c r="J2923" s="27" t="str">
        <f aca="false">IF(OR(G2923="",G2923="?"),"",IFERROR(INDEX(Pubs!$G$2:$G$3001,MATCH(G2923,Pubs!$A$2:$A$3001,0))&amp;"",""))</f>
        <v/>
      </c>
      <c r="K2923" s="28" t="str">
        <f aca="false">IF(OR(G2923="",G2923="?"),"",IFERROR(INDEX(Pubs!$E$2:$E$3001,MATCH(G2923,Pubs!$A$2:$A$3001,0)),""))</f>
        <v/>
      </c>
      <c r="L2923" s="29" t="str">
        <f aca="false">IF(A2923="","",IFERROR(1/(1/INDEX(Numéros!$C$2:$C$3001,MATCH(A2923&amp;"|"&amp;B2923,Numéros!$F$2:$F$3001,0))),""))</f>
        <v/>
      </c>
      <c r="M2923" s="27" t="str">
        <f aca="false">IF(OR(G2923="",G2923="?"),"",IFERROR(INDEX(Pubs!$D$2:$D$3001,MATCH(G2923,Pubs!$A$2:$A$3001,0))&amp;"",""))</f>
        <v/>
      </c>
      <c r="N2923" s="27" t="n">
        <f aca="false">N(N2922)+IF(AND(A2923&lt;&gt;"",OR(Recherche!$C$4="",A2923=Recherche!$C$4),OR(Recherche!$C$5="",B2923&amp;""=Recherche!$C$5&amp;""),OR(Recherche!$C$6="",IFERROR(YEAR(L2923),0)=Recherche!$C$6),OR(Recherche!$C$7="",ISNUMBER(SEARCH(Recherche!$C$7,H2923))),OR(Recherche!$C$8="",J2923=Recherche!$C$8),OR(Recherche!$C$9="",I2923=Recherche!$C$9),OR(Recherche!$C$10="",G2923&amp;""=Recherche!$C$10&amp;""),OR(Recherche!$C$11="",E2923=Recherche!$C$11),OR(Recherche!$C$12="",ISNUMBER(SEARCH(Recherche!$C$12,M2923&amp;" "&amp;F2923)))),1,0)</f>
        <v>8</v>
      </c>
    </row>
    <row r="2924" customFormat="false" ht="15" hidden="false" customHeight="false" outlineLevel="0" collapsed="false">
      <c r="A2924" s="19"/>
      <c r="B2924" s="19"/>
      <c r="C2924" s="19"/>
      <c r="D2924" s="19"/>
      <c r="E2924" s="22"/>
      <c r="F2924" s="19"/>
      <c r="G2924" s="26" t="str">
        <f aca="false">IF(D2924="","",IFERROR(VALUE(LEFT(D2924,FIND(" |",D2924&amp;" |")-1)),"?"))</f>
        <v/>
      </c>
      <c r="H2924" s="27" t="str">
        <f aca="false">IF(G2924="","",IF(G2924="?","⚠ pub inconnue",IFERROR(INDEX(Pubs!$B$2:$B$3001,MATCH(G2924,Pubs!$A$2:$A$3001,0))&amp;"","⚠ pub inconnue")))</f>
        <v/>
      </c>
      <c r="I2924" s="27" t="str">
        <f aca="false">IF(OR(G2924="",G2924="?"),"",IFERROR(INDEX(Pubs!$C$2:$C$3001,MATCH(G2924,Pubs!$A$2:$A$3001,0))&amp;"",""))</f>
        <v/>
      </c>
      <c r="J2924" s="27" t="str">
        <f aca="false">IF(OR(G2924="",G2924="?"),"",IFERROR(INDEX(Pubs!$G$2:$G$3001,MATCH(G2924,Pubs!$A$2:$A$3001,0))&amp;"",""))</f>
        <v/>
      </c>
      <c r="K2924" s="28" t="str">
        <f aca="false">IF(OR(G2924="",G2924="?"),"",IFERROR(INDEX(Pubs!$E$2:$E$3001,MATCH(G2924,Pubs!$A$2:$A$3001,0)),""))</f>
        <v/>
      </c>
      <c r="L2924" s="29" t="str">
        <f aca="false">IF(A2924="","",IFERROR(1/(1/INDEX(Numéros!$C$2:$C$3001,MATCH(A2924&amp;"|"&amp;B2924,Numéros!$F$2:$F$3001,0))),""))</f>
        <v/>
      </c>
      <c r="M2924" s="27" t="str">
        <f aca="false">IF(OR(G2924="",G2924="?"),"",IFERROR(INDEX(Pubs!$D$2:$D$3001,MATCH(G2924,Pubs!$A$2:$A$3001,0))&amp;"",""))</f>
        <v/>
      </c>
      <c r="N2924" s="27" t="n">
        <f aca="false">N(N2923)+IF(AND(A2924&lt;&gt;"",OR(Recherche!$C$4="",A2924=Recherche!$C$4),OR(Recherche!$C$5="",B2924&amp;""=Recherche!$C$5&amp;""),OR(Recherche!$C$6="",IFERROR(YEAR(L2924),0)=Recherche!$C$6),OR(Recherche!$C$7="",ISNUMBER(SEARCH(Recherche!$C$7,H2924))),OR(Recherche!$C$8="",J2924=Recherche!$C$8),OR(Recherche!$C$9="",I2924=Recherche!$C$9),OR(Recherche!$C$10="",G2924&amp;""=Recherche!$C$10&amp;""),OR(Recherche!$C$11="",E2924=Recherche!$C$11),OR(Recherche!$C$12="",ISNUMBER(SEARCH(Recherche!$C$12,M2924&amp;" "&amp;F2924)))),1,0)</f>
        <v>8</v>
      </c>
    </row>
    <row r="2925" customFormat="false" ht="15" hidden="false" customHeight="false" outlineLevel="0" collapsed="false">
      <c r="A2925" s="19"/>
      <c r="B2925" s="19"/>
      <c r="C2925" s="19"/>
      <c r="D2925" s="19"/>
      <c r="E2925" s="22"/>
      <c r="F2925" s="19"/>
      <c r="G2925" s="26" t="str">
        <f aca="false">IF(D2925="","",IFERROR(VALUE(LEFT(D2925,FIND(" |",D2925&amp;" |")-1)),"?"))</f>
        <v/>
      </c>
      <c r="H2925" s="27" t="str">
        <f aca="false">IF(G2925="","",IF(G2925="?","⚠ pub inconnue",IFERROR(INDEX(Pubs!$B$2:$B$3001,MATCH(G2925,Pubs!$A$2:$A$3001,0))&amp;"","⚠ pub inconnue")))</f>
        <v/>
      </c>
      <c r="I2925" s="27" t="str">
        <f aca="false">IF(OR(G2925="",G2925="?"),"",IFERROR(INDEX(Pubs!$C$2:$C$3001,MATCH(G2925,Pubs!$A$2:$A$3001,0))&amp;"",""))</f>
        <v/>
      </c>
      <c r="J2925" s="27" t="str">
        <f aca="false">IF(OR(G2925="",G2925="?"),"",IFERROR(INDEX(Pubs!$G$2:$G$3001,MATCH(G2925,Pubs!$A$2:$A$3001,0))&amp;"",""))</f>
        <v/>
      </c>
      <c r="K2925" s="28" t="str">
        <f aca="false">IF(OR(G2925="",G2925="?"),"",IFERROR(INDEX(Pubs!$E$2:$E$3001,MATCH(G2925,Pubs!$A$2:$A$3001,0)),""))</f>
        <v/>
      </c>
      <c r="L2925" s="29" t="str">
        <f aca="false">IF(A2925="","",IFERROR(1/(1/INDEX(Numéros!$C$2:$C$3001,MATCH(A2925&amp;"|"&amp;B2925,Numéros!$F$2:$F$3001,0))),""))</f>
        <v/>
      </c>
      <c r="M2925" s="27" t="str">
        <f aca="false">IF(OR(G2925="",G2925="?"),"",IFERROR(INDEX(Pubs!$D$2:$D$3001,MATCH(G2925,Pubs!$A$2:$A$3001,0))&amp;"",""))</f>
        <v/>
      </c>
      <c r="N2925" s="27" t="n">
        <f aca="false">N(N2924)+IF(AND(A2925&lt;&gt;"",OR(Recherche!$C$4="",A2925=Recherche!$C$4),OR(Recherche!$C$5="",B2925&amp;""=Recherche!$C$5&amp;""),OR(Recherche!$C$6="",IFERROR(YEAR(L2925),0)=Recherche!$C$6),OR(Recherche!$C$7="",ISNUMBER(SEARCH(Recherche!$C$7,H2925))),OR(Recherche!$C$8="",J2925=Recherche!$C$8),OR(Recherche!$C$9="",I2925=Recherche!$C$9),OR(Recherche!$C$10="",G2925&amp;""=Recherche!$C$10&amp;""),OR(Recherche!$C$11="",E2925=Recherche!$C$11),OR(Recherche!$C$12="",ISNUMBER(SEARCH(Recherche!$C$12,M2925&amp;" "&amp;F2925)))),1,0)</f>
        <v>8</v>
      </c>
    </row>
    <row r="2926" customFormat="false" ht="15" hidden="false" customHeight="false" outlineLevel="0" collapsed="false">
      <c r="A2926" s="19"/>
      <c r="B2926" s="19"/>
      <c r="C2926" s="19"/>
      <c r="D2926" s="19"/>
      <c r="E2926" s="22"/>
      <c r="F2926" s="19"/>
      <c r="G2926" s="26" t="str">
        <f aca="false">IF(D2926="","",IFERROR(VALUE(LEFT(D2926,FIND(" |",D2926&amp;" |")-1)),"?"))</f>
        <v/>
      </c>
      <c r="H2926" s="27" t="str">
        <f aca="false">IF(G2926="","",IF(G2926="?","⚠ pub inconnue",IFERROR(INDEX(Pubs!$B$2:$B$3001,MATCH(G2926,Pubs!$A$2:$A$3001,0))&amp;"","⚠ pub inconnue")))</f>
        <v/>
      </c>
      <c r="I2926" s="27" t="str">
        <f aca="false">IF(OR(G2926="",G2926="?"),"",IFERROR(INDEX(Pubs!$C$2:$C$3001,MATCH(G2926,Pubs!$A$2:$A$3001,0))&amp;"",""))</f>
        <v/>
      </c>
      <c r="J2926" s="27" t="str">
        <f aca="false">IF(OR(G2926="",G2926="?"),"",IFERROR(INDEX(Pubs!$G$2:$G$3001,MATCH(G2926,Pubs!$A$2:$A$3001,0))&amp;"",""))</f>
        <v/>
      </c>
      <c r="K2926" s="28" t="str">
        <f aca="false">IF(OR(G2926="",G2926="?"),"",IFERROR(INDEX(Pubs!$E$2:$E$3001,MATCH(G2926,Pubs!$A$2:$A$3001,0)),""))</f>
        <v/>
      </c>
      <c r="L2926" s="29" t="str">
        <f aca="false">IF(A2926="","",IFERROR(1/(1/INDEX(Numéros!$C$2:$C$3001,MATCH(A2926&amp;"|"&amp;B2926,Numéros!$F$2:$F$3001,0))),""))</f>
        <v/>
      </c>
      <c r="M2926" s="27" t="str">
        <f aca="false">IF(OR(G2926="",G2926="?"),"",IFERROR(INDEX(Pubs!$D$2:$D$3001,MATCH(G2926,Pubs!$A$2:$A$3001,0))&amp;"",""))</f>
        <v/>
      </c>
      <c r="N2926" s="27" t="n">
        <f aca="false">N(N2925)+IF(AND(A2926&lt;&gt;"",OR(Recherche!$C$4="",A2926=Recherche!$C$4),OR(Recherche!$C$5="",B2926&amp;""=Recherche!$C$5&amp;""),OR(Recherche!$C$6="",IFERROR(YEAR(L2926),0)=Recherche!$C$6),OR(Recherche!$C$7="",ISNUMBER(SEARCH(Recherche!$C$7,H2926))),OR(Recherche!$C$8="",J2926=Recherche!$C$8),OR(Recherche!$C$9="",I2926=Recherche!$C$9),OR(Recherche!$C$10="",G2926&amp;""=Recherche!$C$10&amp;""),OR(Recherche!$C$11="",E2926=Recherche!$C$11),OR(Recherche!$C$12="",ISNUMBER(SEARCH(Recherche!$C$12,M2926&amp;" "&amp;F2926)))),1,0)</f>
        <v>8</v>
      </c>
    </row>
    <row r="2927" customFormat="false" ht="15" hidden="false" customHeight="false" outlineLevel="0" collapsed="false">
      <c r="A2927" s="19"/>
      <c r="B2927" s="19"/>
      <c r="C2927" s="19"/>
      <c r="D2927" s="19"/>
      <c r="E2927" s="22"/>
      <c r="F2927" s="19"/>
      <c r="G2927" s="26" t="str">
        <f aca="false">IF(D2927="","",IFERROR(VALUE(LEFT(D2927,FIND(" |",D2927&amp;" |")-1)),"?"))</f>
        <v/>
      </c>
      <c r="H2927" s="27" t="str">
        <f aca="false">IF(G2927="","",IF(G2927="?","⚠ pub inconnue",IFERROR(INDEX(Pubs!$B$2:$B$3001,MATCH(G2927,Pubs!$A$2:$A$3001,0))&amp;"","⚠ pub inconnue")))</f>
        <v/>
      </c>
      <c r="I2927" s="27" t="str">
        <f aca="false">IF(OR(G2927="",G2927="?"),"",IFERROR(INDEX(Pubs!$C$2:$C$3001,MATCH(G2927,Pubs!$A$2:$A$3001,0))&amp;"",""))</f>
        <v/>
      </c>
      <c r="J2927" s="27" t="str">
        <f aca="false">IF(OR(G2927="",G2927="?"),"",IFERROR(INDEX(Pubs!$G$2:$G$3001,MATCH(G2927,Pubs!$A$2:$A$3001,0))&amp;"",""))</f>
        <v/>
      </c>
      <c r="K2927" s="28" t="str">
        <f aca="false">IF(OR(G2927="",G2927="?"),"",IFERROR(INDEX(Pubs!$E$2:$E$3001,MATCH(G2927,Pubs!$A$2:$A$3001,0)),""))</f>
        <v/>
      </c>
      <c r="L2927" s="29" t="str">
        <f aca="false">IF(A2927="","",IFERROR(1/(1/INDEX(Numéros!$C$2:$C$3001,MATCH(A2927&amp;"|"&amp;B2927,Numéros!$F$2:$F$3001,0))),""))</f>
        <v/>
      </c>
      <c r="M2927" s="27" t="str">
        <f aca="false">IF(OR(G2927="",G2927="?"),"",IFERROR(INDEX(Pubs!$D$2:$D$3001,MATCH(G2927,Pubs!$A$2:$A$3001,0))&amp;"",""))</f>
        <v/>
      </c>
      <c r="N2927" s="27" t="n">
        <f aca="false">N(N2926)+IF(AND(A2927&lt;&gt;"",OR(Recherche!$C$4="",A2927=Recherche!$C$4),OR(Recherche!$C$5="",B2927&amp;""=Recherche!$C$5&amp;""),OR(Recherche!$C$6="",IFERROR(YEAR(L2927),0)=Recherche!$C$6),OR(Recherche!$C$7="",ISNUMBER(SEARCH(Recherche!$C$7,H2927))),OR(Recherche!$C$8="",J2927=Recherche!$C$8),OR(Recherche!$C$9="",I2927=Recherche!$C$9),OR(Recherche!$C$10="",G2927&amp;""=Recherche!$C$10&amp;""),OR(Recherche!$C$11="",E2927=Recherche!$C$11),OR(Recherche!$C$12="",ISNUMBER(SEARCH(Recherche!$C$12,M2927&amp;" "&amp;F2927)))),1,0)</f>
        <v>8</v>
      </c>
    </row>
    <row r="2928" customFormat="false" ht="15" hidden="false" customHeight="false" outlineLevel="0" collapsed="false">
      <c r="A2928" s="19"/>
      <c r="B2928" s="19"/>
      <c r="C2928" s="19"/>
      <c r="D2928" s="19"/>
      <c r="E2928" s="22"/>
      <c r="F2928" s="19"/>
      <c r="G2928" s="26" t="str">
        <f aca="false">IF(D2928="","",IFERROR(VALUE(LEFT(D2928,FIND(" |",D2928&amp;" |")-1)),"?"))</f>
        <v/>
      </c>
      <c r="H2928" s="27" t="str">
        <f aca="false">IF(G2928="","",IF(G2928="?","⚠ pub inconnue",IFERROR(INDEX(Pubs!$B$2:$B$3001,MATCH(G2928,Pubs!$A$2:$A$3001,0))&amp;"","⚠ pub inconnue")))</f>
        <v/>
      </c>
      <c r="I2928" s="27" t="str">
        <f aca="false">IF(OR(G2928="",G2928="?"),"",IFERROR(INDEX(Pubs!$C$2:$C$3001,MATCH(G2928,Pubs!$A$2:$A$3001,0))&amp;"",""))</f>
        <v/>
      </c>
      <c r="J2928" s="27" t="str">
        <f aca="false">IF(OR(G2928="",G2928="?"),"",IFERROR(INDEX(Pubs!$G$2:$G$3001,MATCH(G2928,Pubs!$A$2:$A$3001,0))&amp;"",""))</f>
        <v/>
      </c>
      <c r="K2928" s="28" t="str">
        <f aca="false">IF(OR(G2928="",G2928="?"),"",IFERROR(INDEX(Pubs!$E$2:$E$3001,MATCH(G2928,Pubs!$A$2:$A$3001,0)),""))</f>
        <v/>
      </c>
      <c r="L2928" s="29" t="str">
        <f aca="false">IF(A2928="","",IFERROR(1/(1/INDEX(Numéros!$C$2:$C$3001,MATCH(A2928&amp;"|"&amp;B2928,Numéros!$F$2:$F$3001,0))),""))</f>
        <v/>
      </c>
      <c r="M2928" s="27" t="str">
        <f aca="false">IF(OR(G2928="",G2928="?"),"",IFERROR(INDEX(Pubs!$D$2:$D$3001,MATCH(G2928,Pubs!$A$2:$A$3001,0))&amp;"",""))</f>
        <v/>
      </c>
      <c r="N2928" s="27" t="n">
        <f aca="false">N(N2927)+IF(AND(A2928&lt;&gt;"",OR(Recherche!$C$4="",A2928=Recherche!$C$4),OR(Recherche!$C$5="",B2928&amp;""=Recherche!$C$5&amp;""),OR(Recherche!$C$6="",IFERROR(YEAR(L2928),0)=Recherche!$C$6),OR(Recherche!$C$7="",ISNUMBER(SEARCH(Recherche!$C$7,H2928))),OR(Recherche!$C$8="",J2928=Recherche!$C$8),OR(Recherche!$C$9="",I2928=Recherche!$C$9),OR(Recherche!$C$10="",G2928&amp;""=Recherche!$C$10&amp;""),OR(Recherche!$C$11="",E2928=Recherche!$C$11),OR(Recherche!$C$12="",ISNUMBER(SEARCH(Recherche!$C$12,M2928&amp;" "&amp;F2928)))),1,0)</f>
        <v>8</v>
      </c>
    </row>
    <row r="2929" customFormat="false" ht="15" hidden="false" customHeight="false" outlineLevel="0" collapsed="false">
      <c r="A2929" s="19"/>
      <c r="B2929" s="19"/>
      <c r="C2929" s="19"/>
      <c r="D2929" s="19"/>
      <c r="E2929" s="22"/>
      <c r="F2929" s="19"/>
      <c r="G2929" s="26" t="str">
        <f aca="false">IF(D2929="","",IFERROR(VALUE(LEFT(D2929,FIND(" |",D2929&amp;" |")-1)),"?"))</f>
        <v/>
      </c>
      <c r="H2929" s="27" t="str">
        <f aca="false">IF(G2929="","",IF(G2929="?","⚠ pub inconnue",IFERROR(INDEX(Pubs!$B$2:$B$3001,MATCH(G2929,Pubs!$A$2:$A$3001,0))&amp;"","⚠ pub inconnue")))</f>
        <v/>
      </c>
      <c r="I2929" s="27" t="str">
        <f aca="false">IF(OR(G2929="",G2929="?"),"",IFERROR(INDEX(Pubs!$C$2:$C$3001,MATCH(G2929,Pubs!$A$2:$A$3001,0))&amp;"",""))</f>
        <v/>
      </c>
      <c r="J2929" s="27" t="str">
        <f aca="false">IF(OR(G2929="",G2929="?"),"",IFERROR(INDEX(Pubs!$G$2:$G$3001,MATCH(G2929,Pubs!$A$2:$A$3001,0))&amp;"",""))</f>
        <v/>
      </c>
      <c r="K2929" s="28" t="str">
        <f aca="false">IF(OR(G2929="",G2929="?"),"",IFERROR(INDEX(Pubs!$E$2:$E$3001,MATCH(G2929,Pubs!$A$2:$A$3001,0)),""))</f>
        <v/>
      </c>
      <c r="L2929" s="29" t="str">
        <f aca="false">IF(A2929="","",IFERROR(1/(1/INDEX(Numéros!$C$2:$C$3001,MATCH(A2929&amp;"|"&amp;B2929,Numéros!$F$2:$F$3001,0))),""))</f>
        <v/>
      </c>
      <c r="M2929" s="27" t="str">
        <f aca="false">IF(OR(G2929="",G2929="?"),"",IFERROR(INDEX(Pubs!$D$2:$D$3001,MATCH(G2929,Pubs!$A$2:$A$3001,0))&amp;"",""))</f>
        <v/>
      </c>
      <c r="N2929" s="27" t="n">
        <f aca="false">N(N2928)+IF(AND(A2929&lt;&gt;"",OR(Recherche!$C$4="",A2929=Recherche!$C$4),OR(Recherche!$C$5="",B2929&amp;""=Recherche!$C$5&amp;""),OR(Recherche!$C$6="",IFERROR(YEAR(L2929),0)=Recherche!$C$6),OR(Recherche!$C$7="",ISNUMBER(SEARCH(Recherche!$C$7,H2929))),OR(Recherche!$C$8="",J2929=Recherche!$C$8),OR(Recherche!$C$9="",I2929=Recherche!$C$9),OR(Recherche!$C$10="",G2929&amp;""=Recherche!$C$10&amp;""),OR(Recherche!$C$11="",E2929=Recherche!$C$11),OR(Recherche!$C$12="",ISNUMBER(SEARCH(Recherche!$C$12,M2929&amp;" "&amp;F2929)))),1,0)</f>
        <v>8</v>
      </c>
    </row>
    <row r="2930" customFormat="false" ht="15" hidden="false" customHeight="false" outlineLevel="0" collapsed="false">
      <c r="A2930" s="19"/>
      <c r="B2930" s="19"/>
      <c r="C2930" s="19"/>
      <c r="D2930" s="19"/>
      <c r="E2930" s="22"/>
      <c r="F2930" s="19"/>
      <c r="G2930" s="26" t="str">
        <f aca="false">IF(D2930="","",IFERROR(VALUE(LEFT(D2930,FIND(" |",D2930&amp;" |")-1)),"?"))</f>
        <v/>
      </c>
      <c r="H2930" s="27" t="str">
        <f aca="false">IF(G2930="","",IF(G2930="?","⚠ pub inconnue",IFERROR(INDEX(Pubs!$B$2:$B$3001,MATCH(G2930,Pubs!$A$2:$A$3001,0))&amp;"","⚠ pub inconnue")))</f>
        <v/>
      </c>
      <c r="I2930" s="27" t="str">
        <f aca="false">IF(OR(G2930="",G2930="?"),"",IFERROR(INDEX(Pubs!$C$2:$C$3001,MATCH(G2930,Pubs!$A$2:$A$3001,0))&amp;"",""))</f>
        <v/>
      </c>
      <c r="J2930" s="27" t="str">
        <f aca="false">IF(OR(G2930="",G2930="?"),"",IFERROR(INDEX(Pubs!$G$2:$G$3001,MATCH(G2930,Pubs!$A$2:$A$3001,0))&amp;"",""))</f>
        <v/>
      </c>
      <c r="K2930" s="28" t="str">
        <f aca="false">IF(OR(G2930="",G2930="?"),"",IFERROR(INDEX(Pubs!$E$2:$E$3001,MATCH(G2930,Pubs!$A$2:$A$3001,0)),""))</f>
        <v/>
      </c>
      <c r="L2930" s="29" t="str">
        <f aca="false">IF(A2930="","",IFERROR(1/(1/INDEX(Numéros!$C$2:$C$3001,MATCH(A2930&amp;"|"&amp;B2930,Numéros!$F$2:$F$3001,0))),""))</f>
        <v/>
      </c>
      <c r="M2930" s="27" t="str">
        <f aca="false">IF(OR(G2930="",G2930="?"),"",IFERROR(INDEX(Pubs!$D$2:$D$3001,MATCH(G2930,Pubs!$A$2:$A$3001,0))&amp;"",""))</f>
        <v/>
      </c>
      <c r="N2930" s="27" t="n">
        <f aca="false">N(N2929)+IF(AND(A2930&lt;&gt;"",OR(Recherche!$C$4="",A2930=Recherche!$C$4),OR(Recherche!$C$5="",B2930&amp;""=Recherche!$C$5&amp;""),OR(Recherche!$C$6="",IFERROR(YEAR(L2930),0)=Recherche!$C$6),OR(Recherche!$C$7="",ISNUMBER(SEARCH(Recherche!$C$7,H2930))),OR(Recherche!$C$8="",J2930=Recherche!$C$8),OR(Recherche!$C$9="",I2930=Recherche!$C$9),OR(Recherche!$C$10="",G2930&amp;""=Recherche!$C$10&amp;""),OR(Recherche!$C$11="",E2930=Recherche!$C$11),OR(Recherche!$C$12="",ISNUMBER(SEARCH(Recherche!$C$12,M2930&amp;" "&amp;F2930)))),1,0)</f>
        <v>8</v>
      </c>
    </row>
    <row r="2931" customFormat="false" ht="15" hidden="false" customHeight="false" outlineLevel="0" collapsed="false">
      <c r="A2931" s="19"/>
      <c r="B2931" s="19"/>
      <c r="C2931" s="19"/>
      <c r="D2931" s="19"/>
      <c r="E2931" s="22"/>
      <c r="F2931" s="19"/>
      <c r="G2931" s="26" t="str">
        <f aca="false">IF(D2931="","",IFERROR(VALUE(LEFT(D2931,FIND(" |",D2931&amp;" |")-1)),"?"))</f>
        <v/>
      </c>
      <c r="H2931" s="27" t="str">
        <f aca="false">IF(G2931="","",IF(G2931="?","⚠ pub inconnue",IFERROR(INDEX(Pubs!$B$2:$B$3001,MATCH(G2931,Pubs!$A$2:$A$3001,0))&amp;"","⚠ pub inconnue")))</f>
        <v/>
      </c>
      <c r="I2931" s="27" t="str">
        <f aca="false">IF(OR(G2931="",G2931="?"),"",IFERROR(INDEX(Pubs!$C$2:$C$3001,MATCH(G2931,Pubs!$A$2:$A$3001,0))&amp;"",""))</f>
        <v/>
      </c>
      <c r="J2931" s="27" t="str">
        <f aca="false">IF(OR(G2931="",G2931="?"),"",IFERROR(INDEX(Pubs!$G$2:$G$3001,MATCH(G2931,Pubs!$A$2:$A$3001,0))&amp;"",""))</f>
        <v/>
      </c>
      <c r="K2931" s="28" t="str">
        <f aca="false">IF(OR(G2931="",G2931="?"),"",IFERROR(INDEX(Pubs!$E$2:$E$3001,MATCH(G2931,Pubs!$A$2:$A$3001,0)),""))</f>
        <v/>
      </c>
      <c r="L2931" s="29" t="str">
        <f aca="false">IF(A2931="","",IFERROR(1/(1/INDEX(Numéros!$C$2:$C$3001,MATCH(A2931&amp;"|"&amp;B2931,Numéros!$F$2:$F$3001,0))),""))</f>
        <v/>
      </c>
      <c r="M2931" s="27" t="str">
        <f aca="false">IF(OR(G2931="",G2931="?"),"",IFERROR(INDEX(Pubs!$D$2:$D$3001,MATCH(G2931,Pubs!$A$2:$A$3001,0))&amp;"",""))</f>
        <v/>
      </c>
      <c r="N2931" s="27" t="n">
        <f aca="false">N(N2930)+IF(AND(A2931&lt;&gt;"",OR(Recherche!$C$4="",A2931=Recherche!$C$4),OR(Recherche!$C$5="",B2931&amp;""=Recherche!$C$5&amp;""),OR(Recherche!$C$6="",IFERROR(YEAR(L2931),0)=Recherche!$C$6),OR(Recherche!$C$7="",ISNUMBER(SEARCH(Recherche!$C$7,H2931))),OR(Recherche!$C$8="",J2931=Recherche!$C$8),OR(Recherche!$C$9="",I2931=Recherche!$C$9),OR(Recherche!$C$10="",G2931&amp;""=Recherche!$C$10&amp;""),OR(Recherche!$C$11="",E2931=Recherche!$C$11),OR(Recherche!$C$12="",ISNUMBER(SEARCH(Recherche!$C$12,M2931&amp;" "&amp;F2931)))),1,0)</f>
        <v>8</v>
      </c>
    </row>
    <row r="2932" customFormat="false" ht="15" hidden="false" customHeight="false" outlineLevel="0" collapsed="false">
      <c r="A2932" s="19"/>
      <c r="B2932" s="19"/>
      <c r="C2932" s="19"/>
      <c r="D2932" s="19"/>
      <c r="E2932" s="22"/>
      <c r="F2932" s="19"/>
      <c r="G2932" s="26" t="str">
        <f aca="false">IF(D2932="","",IFERROR(VALUE(LEFT(D2932,FIND(" |",D2932&amp;" |")-1)),"?"))</f>
        <v/>
      </c>
      <c r="H2932" s="27" t="str">
        <f aca="false">IF(G2932="","",IF(G2932="?","⚠ pub inconnue",IFERROR(INDEX(Pubs!$B$2:$B$3001,MATCH(G2932,Pubs!$A$2:$A$3001,0))&amp;"","⚠ pub inconnue")))</f>
        <v/>
      </c>
      <c r="I2932" s="27" t="str">
        <f aca="false">IF(OR(G2932="",G2932="?"),"",IFERROR(INDEX(Pubs!$C$2:$C$3001,MATCH(G2932,Pubs!$A$2:$A$3001,0))&amp;"",""))</f>
        <v/>
      </c>
      <c r="J2932" s="27" t="str">
        <f aca="false">IF(OR(G2932="",G2932="?"),"",IFERROR(INDEX(Pubs!$G$2:$G$3001,MATCH(G2932,Pubs!$A$2:$A$3001,0))&amp;"",""))</f>
        <v/>
      </c>
      <c r="K2932" s="28" t="str">
        <f aca="false">IF(OR(G2932="",G2932="?"),"",IFERROR(INDEX(Pubs!$E$2:$E$3001,MATCH(G2932,Pubs!$A$2:$A$3001,0)),""))</f>
        <v/>
      </c>
      <c r="L2932" s="29" t="str">
        <f aca="false">IF(A2932="","",IFERROR(1/(1/INDEX(Numéros!$C$2:$C$3001,MATCH(A2932&amp;"|"&amp;B2932,Numéros!$F$2:$F$3001,0))),""))</f>
        <v/>
      </c>
      <c r="M2932" s="27" t="str">
        <f aca="false">IF(OR(G2932="",G2932="?"),"",IFERROR(INDEX(Pubs!$D$2:$D$3001,MATCH(G2932,Pubs!$A$2:$A$3001,0))&amp;"",""))</f>
        <v/>
      </c>
      <c r="N2932" s="27" t="n">
        <f aca="false">N(N2931)+IF(AND(A2932&lt;&gt;"",OR(Recherche!$C$4="",A2932=Recherche!$C$4),OR(Recherche!$C$5="",B2932&amp;""=Recherche!$C$5&amp;""),OR(Recherche!$C$6="",IFERROR(YEAR(L2932),0)=Recherche!$C$6),OR(Recherche!$C$7="",ISNUMBER(SEARCH(Recherche!$C$7,H2932))),OR(Recherche!$C$8="",J2932=Recherche!$C$8),OR(Recherche!$C$9="",I2932=Recherche!$C$9),OR(Recherche!$C$10="",G2932&amp;""=Recherche!$C$10&amp;""),OR(Recherche!$C$11="",E2932=Recherche!$C$11),OR(Recherche!$C$12="",ISNUMBER(SEARCH(Recherche!$C$12,M2932&amp;" "&amp;F2932)))),1,0)</f>
        <v>8</v>
      </c>
    </row>
    <row r="2933" customFormat="false" ht="15" hidden="false" customHeight="false" outlineLevel="0" collapsed="false">
      <c r="A2933" s="19"/>
      <c r="B2933" s="19"/>
      <c r="C2933" s="19"/>
      <c r="D2933" s="19"/>
      <c r="E2933" s="22"/>
      <c r="F2933" s="19"/>
      <c r="G2933" s="26" t="str">
        <f aca="false">IF(D2933="","",IFERROR(VALUE(LEFT(D2933,FIND(" |",D2933&amp;" |")-1)),"?"))</f>
        <v/>
      </c>
      <c r="H2933" s="27" t="str">
        <f aca="false">IF(G2933="","",IF(G2933="?","⚠ pub inconnue",IFERROR(INDEX(Pubs!$B$2:$B$3001,MATCH(G2933,Pubs!$A$2:$A$3001,0))&amp;"","⚠ pub inconnue")))</f>
        <v/>
      </c>
      <c r="I2933" s="27" t="str">
        <f aca="false">IF(OR(G2933="",G2933="?"),"",IFERROR(INDEX(Pubs!$C$2:$C$3001,MATCH(G2933,Pubs!$A$2:$A$3001,0))&amp;"",""))</f>
        <v/>
      </c>
      <c r="J2933" s="27" t="str">
        <f aca="false">IF(OR(G2933="",G2933="?"),"",IFERROR(INDEX(Pubs!$G$2:$G$3001,MATCH(G2933,Pubs!$A$2:$A$3001,0))&amp;"",""))</f>
        <v/>
      </c>
      <c r="K2933" s="28" t="str">
        <f aca="false">IF(OR(G2933="",G2933="?"),"",IFERROR(INDEX(Pubs!$E$2:$E$3001,MATCH(G2933,Pubs!$A$2:$A$3001,0)),""))</f>
        <v/>
      </c>
      <c r="L2933" s="29" t="str">
        <f aca="false">IF(A2933="","",IFERROR(1/(1/INDEX(Numéros!$C$2:$C$3001,MATCH(A2933&amp;"|"&amp;B2933,Numéros!$F$2:$F$3001,0))),""))</f>
        <v/>
      </c>
      <c r="M2933" s="27" t="str">
        <f aca="false">IF(OR(G2933="",G2933="?"),"",IFERROR(INDEX(Pubs!$D$2:$D$3001,MATCH(G2933,Pubs!$A$2:$A$3001,0))&amp;"",""))</f>
        <v/>
      </c>
      <c r="N2933" s="27" t="n">
        <f aca="false">N(N2932)+IF(AND(A2933&lt;&gt;"",OR(Recherche!$C$4="",A2933=Recherche!$C$4),OR(Recherche!$C$5="",B2933&amp;""=Recherche!$C$5&amp;""),OR(Recherche!$C$6="",IFERROR(YEAR(L2933),0)=Recherche!$C$6),OR(Recherche!$C$7="",ISNUMBER(SEARCH(Recherche!$C$7,H2933))),OR(Recherche!$C$8="",J2933=Recherche!$C$8),OR(Recherche!$C$9="",I2933=Recherche!$C$9),OR(Recherche!$C$10="",G2933&amp;""=Recherche!$C$10&amp;""),OR(Recherche!$C$11="",E2933=Recherche!$C$11),OR(Recherche!$C$12="",ISNUMBER(SEARCH(Recherche!$C$12,M2933&amp;" "&amp;F2933)))),1,0)</f>
        <v>8</v>
      </c>
    </row>
    <row r="2934" customFormat="false" ht="15" hidden="false" customHeight="false" outlineLevel="0" collapsed="false">
      <c r="A2934" s="19"/>
      <c r="B2934" s="19"/>
      <c r="C2934" s="19"/>
      <c r="D2934" s="19"/>
      <c r="E2934" s="22"/>
      <c r="F2934" s="19"/>
      <c r="G2934" s="26" t="str">
        <f aca="false">IF(D2934="","",IFERROR(VALUE(LEFT(D2934,FIND(" |",D2934&amp;" |")-1)),"?"))</f>
        <v/>
      </c>
      <c r="H2934" s="27" t="str">
        <f aca="false">IF(G2934="","",IF(G2934="?","⚠ pub inconnue",IFERROR(INDEX(Pubs!$B$2:$B$3001,MATCH(G2934,Pubs!$A$2:$A$3001,0))&amp;"","⚠ pub inconnue")))</f>
        <v/>
      </c>
      <c r="I2934" s="27" t="str">
        <f aca="false">IF(OR(G2934="",G2934="?"),"",IFERROR(INDEX(Pubs!$C$2:$C$3001,MATCH(G2934,Pubs!$A$2:$A$3001,0))&amp;"",""))</f>
        <v/>
      </c>
      <c r="J2934" s="27" t="str">
        <f aca="false">IF(OR(G2934="",G2934="?"),"",IFERROR(INDEX(Pubs!$G$2:$G$3001,MATCH(G2934,Pubs!$A$2:$A$3001,0))&amp;"",""))</f>
        <v/>
      </c>
      <c r="K2934" s="28" t="str">
        <f aca="false">IF(OR(G2934="",G2934="?"),"",IFERROR(INDEX(Pubs!$E$2:$E$3001,MATCH(G2934,Pubs!$A$2:$A$3001,0)),""))</f>
        <v/>
      </c>
      <c r="L2934" s="29" t="str">
        <f aca="false">IF(A2934="","",IFERROR(1/(1/INDEX(Numéros!$C$2:$C$3001,MATCH(A2934&amp;"|"&amp;B2934,Numéros!$F$2:$F$3001,0))),""))</f>
        <v/>
      </c>
      <c r="M2934" s="27" t="str">
        <f aca="false">IF(OR(G2934="",G2934="?"),"",IFERROR(INDEX(Pubs!$D$2:$D$3001,MATCH(G2934,Pubs!$A$2:$A$3001,0))&amp;"",""))</f>
        <v/>
      </c>
      <c r="N2934" s="27" t="n">
        <f aca="false">N(N2933)+IF(AND(A2934&lt;&gt;"",OR(Recherche!$C$4="",A2934=Recherche!$C$4),OR(Recherche!$C$5="",B2934&amp;""=Recherche!$C$5&amp;""),OR(Recherche!$C$6="",IFERROR(YEAR(L2934),0)=Recherche!$C$6),OR(Recherche!$C$7="",ISNUMBER(SEARCH(Recherche!$C$7,H2934))),OR(Recherche!$C$8="",J2934=Recherche!$C$8),OR(Recherche!$C$9="",I2934=Recherche!$C$9),OR(Recherche!$C$10="",G2934&amp;""=Recherche!$C$10&amp;""),OR(Recherche!$C$11="",E2934=Recherche!$C$11),OR(Recherche!$C$12="",ISNUMBER(SEARCH(Recherche!$C$12,M2934&amp;" "&amp;F2934)))),1,0)</f>
        <v>8</v>
      </c>
    </row>
    <row r="2935" customFormat="false" ht="15" hidden="false" customHeight="false" outlineLevel="0" collapsed="false">
      <c r="A2935" s="19"/>
      <c r="B2935" s="19"/>
      <c r="C2935" s="19"/>
      <c r="D2935" s="19"/>
      <c r="E2935" s="22"/>
      <c r="F2935" s="19"/>
      <c r="G2935" s="26" t="str">
        <f aca="false">IF(D2935="","",IFERROR(VALUE(LEFT(D2935,FIND(" |",D2935&amp;" |")-1)),"?"))</f>
        <v/>
      </c>
      <c r="H2935" s="27" t="str">
        <f aca="false">IF(G2935="","",IF(G2935="?","⚠ pub inconnue",IFERROR(INDEX(Pubs!$B$2:$B$3001,MATCH(G2935,Pubs!$A$2:$A$3001,0))&amp;"","⚠ pub inconnue")))</f>
        <v/>
      </c>
      <c r="I2935" s="27" t="str">
        <f aca="false">IF(OR(G2935="",G2935="?"),"",IFERROR(INDEX(Pubs!$C$2:$C$3001,MATCH(G2935,Pubs!$A$2:$A$3001,0))&amp;"",""))</f>
        <v/>
      </c>
      <c r="J2935" s="27" t="str">
        <f aca="false">IF(OR(G2935="",G2935="?"),"",IFERROR(INDEX(Pubs!$G$2:$G$3001,MATCH(G2935,Pubs!$A$2:$A$3001,0))&amp;"",""))</f>
        <v/>
      </c>
      <c r="K2935" s="28" t="str">
        <f aca="false">IF(OR(G2935="",G2935="?"),"",IFERROR(INDEX(Pubs!$E$2:$E$3001,MATCH(G2935,Pubs!$A$2:$A$3001,0)),""))</f>
        <v/>
      </c>
      <c r="L2935" s="29" t="str">
        <f aca="false">IF(A2935="","",IFERROR(1/(1/INDEX(Numéros!$C$2:$C$3001,MATCH(A2935&amp;"|"&amp;B2935,Numéros!$F$2:$F$3001,0))),""))</f>
        <v/>
      </c>
      <c r="M2935" s="27" t="str">
        <f aca="false">IF(OR(G2935="",G2935="?"),"",IFERROR(INDEX(Pubs!$D$2:$D$3001,MATCH(G2935,Pubs!$A$2:$A$3001,0))&amp;"",""))</f>
        <v/>
      </c>
      <c r="N2935" s="27" t="n">
        <f aca="false">N(N2934)+IF(AND(A2935&lt;&gt;"",OR(Recherche!$C$4="",A2935=Recherche!$C$4),OR(Recherche!$C$5="",B2935&amp;""=Recherche!$C$5&amp;""),OR(Recherche!$C$6="",IFERROR(YEAR(L2935),0)=Recherche!$C$6),OR(Recherche!$C$7="",ISNUMBER(SEARCH(Recherche!$C$7,H2935))),OR(Recherche!$C$8="",J2935=Recherche!$C$8),OR(Recherche!$C$9="",I2935=Recherche!$C$9),OR(Recherche!$C$10="",G2935&amp;""=Recherche!$C$10&amp;""),OR(Recherche!$C$11="",E2935=Recherche!$C$11),OR(Recherche!$C$12="",ISNUMBER(SEARCH(Recherche!$C$12,M2935&amp;" "&amp;F2935)))),1,0)</f>
        <v>8</v>
      </c>
    </row>
    <row r="2936" customFormat="false" ht="15" hidden="false" customHeight="false" outlineLevel="0" collapsed="false">
      <c r="A2936" s="19"/>
      <c r="B2936" s="19"/>
      <c r="C2936" s="19"/>
      <c r="D2936" s="19"/>
      <c r="E2936" s="22"/>
      <c r="F2936" s="19"/>
      <c r="G2936" s="26" t="str">
        <f aca="false">IF(D2936="","",IFERROR(VALUE(LEFT(D2936,FIND(" |",D2936&amp;" |")-1)),"?"))</f>
        <v/>
      </c>
      <c r="H2936" s="27" t="str">
        <f aca="false">IF(G2936="","",IF(G2936="?","⚠ pub inconnue",IFERROR(INDEX(Pubs!$B$2:$B$3001,MATCH(G2936,Pubs!$A$2:$A$3001,0))&amp;"","⚠ pub inconnue")))</f>
        <v/>
      </c>
      <c r="I2936" s="27" t="str">
        <f aca="false">IF(OR(G2936="",G2936="?"),"",IFERROR(INDEX(Pubs!$C$2:$C$3001,MATCH(G2936,Pubs!$A$2:$A$3001,0))&amp;"",""))</f>
        <v/>
      </c>
      <c r="J2936" s="27" t="str">
        <f aca="false">IF(OR(G2936="",G2936="?"),"",IFERROR(INDEX(Pubs!$G$2:$G$3001,MATCH(G2936,Pubs!$A$2:$A$3001,0))&amp;"",""))</f>
        <v/>
      </c>
      <c r="K2936" s="28" t="str">
        <f aca="false">IF(OR(G2936="",G2936="?"),"",IFERROR(INDEX(Pubs!$E$2:$E$3001,MATCH(G2936,Pubs!$A$2:$A$3001,0)),""))</f>
        <v/>
      </c>
      <c r="L2936" s="29" t="str">
        <f aca="false">IF(A2936="","",IFERROR(1/(1/INDEX(Numéros!$C$2:$C$3001,MATCH(A2936&amp;"|"&amp;B2936,Numéros!$F$2:$F$3001,0))),""))</f>
        <v/>
      </c>
      <c r="M2936" s="27" t="str">
        <f aca="false">IF(OR(G2936="",G2936="?"),"",IFERROR(INDEX(Pubs!$D$2:$D$3001,MATCH(G2936,Pubs!$A$2:$A$3001,0))&amp;"",""))</f>
        <v/>
      </c>
      <c r="N2936" s="27" t="n">
        <f aca="false">N(N2935)+IF(AND(A2936&lt;&gt;"",OR(Recherche!$C$4="",A2936=Recherche!$C$4),OR(Recherche!$C$5="",B2936&amp;""=Recherche!$C$5&amp;""),OR(Recherche!$C$6="",IFERROR(YEAR(L2936),0)=Recherche!$C$6),OR(Recherche!$C$7="",ISNUMBER(SEARCH(Recherche!$C$7,H2936))),OR(Recherche!$C$8="",J2936=Recherche!$C$8),OR(Recherche!$C$9="",I2936=Recherche!$C$9),OR(Recherche!$C$10="",G2936&amp;""=Recherche!$C$10&amp;""),OR(Recherche!$C$11="",E2936=Recherche!$C$11),OR(Recherche!$C$12="",ISNUMBER(SEARCH(Recherche!$C$12,M2936&amp;" "&amp;F2936)))),1,0)</f>
        <v>8</v>
      </c>
    </row>
    <row r="2937" customFormat="false" ht="15" hidden="false" customHeight="false" outlineLevel="0" collapsed="false">
      <c r="A2937" s="19"/>
      <c r="B2937" s="19"/>
      <c r="C2937" s="19"/>
      <c r="D2937" s="19"/>
      <c r="E2937" s="22"/>
      <c r="F2937" s="19"/>
      <c r="G2937" s="26" t="str">
        <f aca="false">IF(D2937="","",IFERROR(VALUE(LEFT(D2937,FIND(" |",D2937&amp;" |")-1)),"?"))</f>
        <v/>
      </c>
      <c r="H2937" s="27" t="str">
        <f aca="false">IF(G2937="","",IF(G2937="?","⚠ pub inconnue",IFERROR(INDEX(Pubs!$B$2:$B$3001,MATCH(G2937,Pubs!$A$2:$A$3001,0))&amp;"","⚠ pub inconnue")))</f>
        <v/>
      </c>
      <c r="I2937" s="27" t="str">
        <f aca="false">IF(OR(G2937="",G2937="?"),"",IFERROR(INDEX(Pubs!$C$2:$C$3001,MATCH(G2937,Pubs!$A$2:$A$3001,0))&amp;"",""))</f>
        <v/>
      </c>
      <c r="J2937" s="27" t="str">
        <f aca="false">IF(OR(G2937="",G2937="?"),"",IFERROR(INDEX(Pubs!$G$2:$G$3001,MATCH(G2937,Pubs!$A$2:$A$3001,0))&amp;"",""))</f>
        <v/>
      </c>
      <c r="K2937" s="28" t="str">
        <f aca="false">IF(OR(G2937="",G2937="?"),"",IFERROR(INDEX(Pubs!$E$2:$E$3001,MATCH(G2937,Pubs!$A$2:$A$3001,0)),""))</f>
        <v/>
      </c>
      <c r="L2937" s="29" t="str">
        <f aca="false">IF(A2937="","",IFERROR(1/(1/INDEX(Numéros!$C$2:$C$3001,MATCH(A2937&amp;"|"&amp;B2937,Numéros!$F$2:$F$3001,0))),""))</f>
        <v/>
      </c>
      <c r="M2937" s="27" t="str">
        <f aca="false">IF(OR(G2937="",G2937="?"),"",IFERROR(INDEX(Pubs!$D$2:$D$3001,MATCH(G2937,Pubs!$A$2:$A$3001,0))&amp;"",""))</f>
        <v/>
      </c>
      <c r="N2937" s="27" t="n">
        <f aca="false">N(N2936)+IF(AND(A2937&lt;&gt;"",OR(Recherche!$C$4="",A2937=Recherche!$C$4),OR(Recherche!$C$5="",B2937&amp;""=Recherche!$C$5&amp;""),OR(Recherche!$C$6="",IFERROR(YEAR(L2937),0)=Recherche!$C$6),OR(Recherche!$C$7="",ISNUMBER(SEARCH(Recherche!$C$7,H2937))),OR(Recherche!$C$8="",J2937=Recherche!$C$8),OR(Recherche!$C$9="",I2937=Recherche!$C$9),OR(Recherche!$C$10="",G2937&amp;""=Recherche!$C$10&amp;""),OR(Recherche!$C$11="",E2937=Recherche!$C$11),OR(Recherche!$C$12="",ISNUMBER(SEARCH(Recherche!$C$12,M2937&amp;" "&amp;F2937)))),1,0)</f>
        <v>8</v>
      </c>
    </row>
    <row r="2938" customFormat="false" ht="15" hidden="false" customHeight="false" outlineLevel="0" collapsed="false">
      <c r="A2938" s="19"/>
      <c r="B2938" s="19"/>
      <c r="C2938" s="19"/>
      <c r="D2938" s="19"/>
      <c r="E2938" s="22"/>
      <c r="F2938" s="19"/>
      <c r="G2938" s="26" t="str">
        <f aca="false">IF(D2938="","",IFERROR(VALUE(LEFT(D2938,FIND(" |",D2938&amp;" |")-1)),"?"))</f>
        <v/>
      </c>
      <c r="H2938" s="27" t="str">
        <f aca="false">IF(G2938="","",IF(G2938="?","⚠ pub inconnue",IFERROR(INDEX(Pubs!$B$2:$B$3001,MATCH(G2938,Pubs!$A$2:$A$3001,0))&amp;"","⚠ pub inconnue")))</f>
        <v/>
      </c>
      <c r="I2938" s="27" t="str">
        <f aca="false">IF(OR(G2938="",G2938="?"),"",IFERROR(INDEX(Pubs!$C$2:$C$3001,MATCH(G2938,Pubs!$A$2:$A$3001,0))&amp;"",""))</f>
        <v/>
      </c>
      <c r="J2938" s="27" t="str">
        <f aca="false">IF(OR(G2938="",G2938="?"),"",IFERROR(INDEX(Pubs!$G$2:$G$3001,MATCH(G2938,Pubs!$A$2:$A$3001,0))&amp;"",""))</f>
        <v/>
      </c>
      <c r="K2938" s="28" t="str">
        <f aca="false">IF(OR(G2938="",G2938="?"),"",IFERROR(INDEX(Pubs!$E$2:$E$3001,MATCH(G2938,Pubs!$A$2:$A$3001,0)),""))</f>
        <v/>
      </c>
      <c r="L2938" s="29" t="str">
        <f aca="false">IF(A2938="","",IFERROR(1/(1/INDEX(Numéros!$C$2:$C$3001,MATCH(A2938&amp;"|"&amp;B2938,Numéros!$F$2:$F$3001,0))),""))</f>
        <v/>
      </c>
      <c r="M2938" s="27" t="str">
        <f aca="false">IF(OR(G2938="",G2938="?"),"",IFERROR(INDEX(Pubs!$D$2:$D$3001,MATCH(G2938,Pubs!$A$2:$A$3001,0))&amp;"",""))</f>
        <v/>
      </c>
      <c r="N2938" s="27" t="n">
        <f aca="false">N(N2937)+IF(AND(A2938&lt;&gt;"",OR(Recherche!$C$4="",A2938=Recherche!$C$4),OR(Recherche!$C$5="",B2938&amp;""=Recherche!$C$5&amp;""),OR(Recherche!$C$6="",IFERROR(YEAR(L2938),0)=Recherche!$C$6),OR(Recherche!$C$7="",ISNUMBER(SEARCH(Recherche!$C$7,H2938))),OR(Recherche!$C$8="",J2938=Recherche!$C$8),OR(Recherche!$C$9="",I2938=Recherche!$C$9),OR(Recherche!$C$10="",G2938&amp;""=Recherche!$C$10&amp;""),OR(Recherche!$C$11="",E2938=Recherche!$C$11),OR(Recherche!$C$12="",ISNUMBER(SEARCH(Recherche!$C$12,M2938&amp;" "&amp;F2938)))),1,0)</f>
        <v>8</v>
      </c>
    </row>
    <row r="2939" customFormat="false" ht="15" hidden="false" customHeight="false" outlineLevel="0" collapsed="false">
      <c r="A2939" s="19"/>
      <c r="B2939" s="19"/>
      <c r="C2939" s="19"/>
      <c r="D2939" s="19"/>
      <c r="E2939" s="22"/>
      <c r="F2939" s="19"/>
      <c r="G2939" s="26" t="str">
        <f aca="false">IF(D2939="","",IFERROR(VALUE(LEFT(D2939,FIND(" |",D2939&amp;" |")-1)),"?"))</f>
        <v/>
      </c>
      <c r="H2939" s="27" t="str">
        <f aca="false">IF(G2939="","",IF(G2939="?","⚠ pub inconnue",IFERROR(INDEX(Pubs!$B$2:$B$3001,MATCH(G2939,Pubs!$A$2:$A$3001,0))&amp;"","⚠ pub inconnue")))</f>
        <v/>
      </c>
      <c r="I2939" s="27" t="str">
        <f aca="false">IF(OR(G2939="",G2939="?"),"",IFERROR(INDEX(Pubs!$C$2:$C$3001,MATCH(G2939,Pubs!$A$2:$A$3001,0))&amp;"",""))</f>
        <v/>
      </c>
      <c r="J2939" s="27" t="str">
        <f aca="false">IF(OR(G2939="",G2939="?"),"",IFERROR(INDEX(Pubs!$G$2:$G$3001,MATCH(G2939,Pubs!$A$2:$A$3001,0))&amp;"",""))</f>
        <v/>
      </c>
      <c r="K2939" s="28" t="str">
        <f aca="false">IF(OR(G2939="",G2939="?"),"",IFERROR(INDEX(Pubs!$E$2:$E$3001,MATCH(G2939,Pubs!$A$2:$A$3001,0)),""))</f>
        <v/>
      </c>
      <c r="L2939" s="29" t="str">
        <f aca="false">IF(A2939="","",IFERROR(1/(1/INDEX(Numéros!$C$2:$C$3001,MATCH(A2939&amp;"|"&amp;B2939,Numéros!$F$2:$F$3001,0))),""))</f>
        <v/>
      </c>
      <c r="M2939" s="27" t="str">
        <f aca="false">IF(OR(G2939="",G2939="?"),"",IFERROR(INDEX(Pubs!$D$2:$D$3001,MATCH(G2939,Pubs!$A$2:$A$3001,0))&amp;"",""))</f>
        <v/>
      </c>
      <c r="N2939" s="27" t="n">
        <f aca="false">N(N2938)+IF(AND(A2939&lt;&gt;"",OR(Recherche!$C$4="",A2939=Recherche!$C$4),OR(Recherche!$C$5="",B2939&amp;""=Recherche!$C$5&amp;""),OR(Recherche!$C$6="",IFERROR(YEAR(L2939),0)=Recherche!$C$6),OR(Recherche!$C$7="",ISNUMBER(SEARCH(Recherche!$C$7,H2939))),OR(Recherche!$C$8="",J2939=Recherche!$C$8),OR(Recherche!$C$9="",I2939=Recherche!$C$9),OR(Recherche!$C$10="",G2939&amp;""=Recherche!$C$10&amp;""),OR(Recherche!$C$11="",E2939=Recherche!$C$11),OR(Recherche!$C$12="",ISNUMBER(SEARCH(Recherche!$C$12,M2939&amp;" "&amp;F2939)))),1,0)</f>
        <v>8</v>
      </c>
    </row>
    <row r="2940" customFormat="false" ht="15" hidden="false" customHeight="false" outlineLevel="0" collapsed="false">
      <c r="A2940" s="19"/>
      <c r="B2940" s="19"/>
      <c r="C2940" s="19"/>
      <c r="D2940" s="19"/>
      <c r="E2940" s="22"/>
      <c r="F2940" s="19"/>
      <c r="G2940" s="26" t="str">
        <f aca="false">IF(D2940="","",IFERROR(VALUE(LEFT(D2940,FIND(" |",D2940&amp;" |")-1)),"?"))</f>
        <v/>
      </c>
      <c r="H2940" s="27" t="str">
        <f aca="false">IF(G2940="","",IF(G2940="?","⚠ pub inconnue",IFERROR(INDEX(Pubs!$B$2:$B$3001,MATCH(G2940,Pubs!$A$2:$A$3001,0))&amp;"","⚠ pub inconnue")))</f>
        <v/>
      </c>
      <c r="I2940" s="27" t="str">
        <f aca="false">IF(OR(G2940="",G2940="?"),"",IFERROR(INDEX(Pubs!$C$2:$C$3001,MATCH(G2940,Pubs!$A$2:$A$3001,0))&amp;"",""))</f>
        <v/>
      </c>
      <c r="J2940" s="27" t="str">
        <f aca="false">IF(OR(G2940="",G2940="?"),"",IFERROR(INDEX(Pubs!$G$2:$G$3001,MATCH(G2940,Pubs!$A$2:$A$3001,0))&amp;"",""))</f>
        <v/>
      </c>
      <c r="K2940" s="28" t="str">
        <f aca="false">IF(OR(G2940="",G2940="?"),"",IFERROR(INDEX(Pubs!$E$2:$E$3001,MATCH(G2940,Pubs!$A$2:$A$3001,0)),""))</f>
        <v/>
      </c>
      <c r="L2940" s="29" t="str">
        <f aca="false">IF(A2940="","",IFERROR(1/(1/INDEX(Numéros!$C$2:$C$3001,MATCH(A2940&amp;"|"&amp;B2940,Numéros!$F$2:$F$3001,0))),""))</f>
        <v/>
      </c>
      <c r="M2940" s="27" t="str">
        <f aca="false">IF(OR(G2940="",G2940="?"),"",IFERROR(INDEX(Pubs!$D$2:$D$3001,MATCH(G2940,Pubs!$A$2:$A$3001,0))&amp;"",""))</f>
        <v/>
      </c>
      <c r="N2940" s="27" t="n">
        <f aca="false">N(N2939)+IF(AND(A2940&lt;&gt;"",OR(Recherche!$C$4="",A2940=Recherche!$C$4),OR(Recherche!$C$5="",B2940&amp;""=Recherche!$C$5&amp;""),OR(Recherche!$C$6="",IFERROR(YEAR(L2940),0)=Recherche!$C$6),OR(Recherche!$C$7="",ISNUMBER(SEARCH(Recherche!$C$7,H2940))),OR(Recherche!$C$8="",J2940=Recherche!$C$8),OR(Recherche!$C$9="",I2940=Recherche!$C$9),OR(Recherche!$C$10="",G2940&amp;""=Recherche!$C$10&amp;""),OR(Recherche!$C$11="",E2940=Recherche!$C$11),OR(Recherche!$C$12="",ISNUMBER(SEARCH(Recherche!$C$12,M2940&amp;" "&amp;F2940)))),1,0)</f>
        <v>8</v>
      </c>
    </row>
    <row r="2941" customFormat="false" ht="15" hidden="false" customHeight="false" outlineLevel="0" collapsed="false">
      <c r="A2941" s="19"/>
      <c r="B2941" s="19"/>
      <c r="C2941" s="19"/>
      <c r="D2941" s="19"/>
      <c r="E2941" s="22"/>
      <c r="F2941" s="19"/>
      <c r="G2941" s="26" t="str">
        <f aca="false">IF(D2941="","",IFERROR(VALUE(LEFT(D2941,FIND(" |",D2941&amp;" |")-1)),"?"))</f>
        <v/>
      </c>
      <c r="H2941" s="27" t="str">
        <f aca="false">IF(G2941="","",IF(G2941="?","⚠ pub inconnue",IFERROR(INDEX(Pubs!$B$2:$B$3001,MATCH(G2941,Pubs!$A$2:$A$3001,0))&amp;"","⚠ pub inconnue")))</f>
        <v/>
      </c>
      <c r="I2941" s="27" t="str">
        <f aca="false">IF(OR(G2941="",G2941="?"),"",IFERROR(INDEX(Pubs!$C$2:$C$3001,MATCH(G2941,Pubs!$A$2:$A$3001,0))&amp;"",""))</f>
        <v/>
      </c>
      <c r="J2941" s="27" t="str">
        <f aca="false">IF(OR(G2941="",G2941="?"),"",IFERROR(INDEX(Pubs!$G$2:$G$3001,MATCH(G2941,Pubs!$A$2:$A$3001,0))&amp;"",""))</f>
        <v/>
      </c>
      <c r="K2941" s="28" t="str">
        <f aca="false">IF(OR(G2941="",G2941="?"),"",IFERROR(INDEX(Pubs!$E$2:$E$3001,MATCH(G2941,Pubs!$A$2:$A$3001,0)),""))</f>
        <v/>
      </c>
      <c r="L2941" s="29" t="str">
        <f aca="false">IF(A2941="","",IFERROR(1/(1/INDEX(Numéros!$C$2:$C$3001,MATCH(A2941&amp;"|"&amp;B2941,Numéros!$F$2:$F$3001,0))),""))</f>
        <v/>
      </c>
      <c r="M2941" s="27" t="str">
        <f aca="false">IF(OR(G2941="",G2941="?"),"",IFERROR(INDEX(Pubs!$D$2:$D$3001,MATCH(G2941,Pubs!$A$2:$A$3001,0))&amp;"",""))</f>
        <v/>
      </c>
      <c r="N2941" s="27" t="n">
        <f aca="false">N(N2940)+IF(AND(A2941&lt;&gt;"",OR(Recherche!$C$4="",A2941=Recherche!$C$4),OR(Recherche!$C$5="",B2941&amp;""=Recherche!$C$5&amp;""),OR(Recherche!$C$6="",IFERROR(YEAR(L2941),0)=Recherche!$C$6),OR(Recherche!$C$7="",ISNUMBER(SEARCH(Recherche!$C$7,H2941))),OR(Recherche!$C$8="",J2941=Recherche!$C$8),OR(Recherche!$C$9="",I2941=Recherche!$C$9),OR(Recherche!$C$10="",G2941&amp;""=Recherche!$C$10&amp;""),OR(Recherche!$C$11="",E2941=Recherche!$C$11),OR(Recherche!$C$12="",ISNUMBER(SEARCH(Recherche!$C$12,M2941&amp;" "&amp;F2941)))),1,0)</f>
        <v>8</v>
      </c>
    </row>
    <row r="2942" customFormat="false" ht="15" hidden="false" customHeight="false" outlineLevel="0" collapsed="false">
      <c r="A2942" s="19"/>
      <c r="B2942" s="19"/>
      <c r="C2942" s="19"/>
      <c r="D2942" s="19"/>
      <c r="E2942" s="22"/>
      <c r="F2942" s="19"/>
      <c r="G2942" s="26" t="str">
        <f aca="false">IF(D2942="","",IFERROR(VALUE(LEFT(D2942,FIND(" |",D2942&amp;" |")-1)),"?"))</f>
        <v/>
      </c>
      <c r="H2942" s="27" t="str">
        <f aca="false">IF(G2942="","",IF(G2942="?","⚠ pub inconnue",IFERROR(INDEX(Pubs!$B$2:$B$3001,MATCH(G2942,Pubs!$A$2:$A$3001,0))&amp;"","⚠ pub inconnue")))</f>
        <v/>
      </c>
      <c r="I2942" s="27" t="str">
        <f aca="false">IF(OR(G2942="",G2942="?"),"",IFERROR(INDEX(Pubs!$C$2:$C$3001,MATCH(G2942,Pubs!$A$2:$A$3001,0))&amp;"",""))</f>
        <v/>
      </c>
      <c r="J2942" s="27" t="str">
        <f aca="false">IF(OR(G2942="",G2942="?"),"",IFERROR(INDEX(Pubs!$G$2:$G$3001,MATCH(G2942,Pubs!$A$2:$A$3001,0))&amp;"",""))</f>
        <v/>
      </c>
      <c r="K2942" s="28" t="str">
        <f aca="false">IF(OR(G2942="",G2942="?"),"",IFERROR(INDEX(Pubs!$E$2:$E$3001,MATCH(G2942,Pubs!$A$2:$A$3001,0)),""))</f>
        <v/>
      </c>
      <c r="L2942" s="29" t="str">
        <f aca="false">IF(A2942="","",IFERROR(1/(1/INDEX(Numéros!$C$2:$C$3001,MATCH(A2942&amp;"|"&amp;B2942,Numéros!$F$2:$F$3001,0))),""))</f>
        <v/>
      </c>
      <c r="M2942" s="27" t="str">
        <f aca="false">IF(OR(G2942="",G2942="?"),"",IFERROR(INDEX(Pubs!$D$2:$D$3001,MATCH(G2942,Pubs!$A$2:$A$3001,0))&amp;"",""))</f>
        <v/>
      </c>
      <c r="N2942" s="27" t="n">
        <f aca="false">N(N2941)+IF(AND(A2942&lt;&gt;"",OR(Recherche!$C$4="",A2942=Recherche!$C$4),OR(Recherche!$C$5="",B2942&amp;""=Recherche!$C$5&amp;""),OR(Recherche!$C$6="",IFERROR(YEAR(L2942),0)=Recherche!$C$6),OR(Recherche!$C$7="",ISNUMBER(SEARCH(Recherche!$C$7,H2942))),OR(Recherche!$C$8="",J2942=Recherche!$C$8),OR(Recherche!$C$9="",I2942=Recherche!$C$9),OR(Recherche!$C$10="",G2942&amp;""=Recherche!$C$10&amp;""),OR(Recherche!$C$11="",E2942=Recherche!$C$11),OR(Recherche!$C$12="",ISNUMBER(SEARCH(Recherche!$C$12,M2942&amp;" "&amp;F2942)))),1,0)</f>
        <v>8</v>
      </c>
    </row>
    <row r="2943" customFormat="false" ht="15" hidden="false" customHeight="false" outlineLevel="0" collapsed="false">
      <c r="A2943" s="19"/>
      <c r="B2943" s="19"/>
      <c r="C2943" s="19"/>
      <c r="D2943" s="19"/>
      <c r="E2943" s="22"/>
      <c r="F2943" s="19"/>
      <c r="G2943" s="26" t="str">
        <f aca="false">IF(D2943="","",IFERROR(VALUE(LEFT(D2943,FIND(" |",D2943&amp;" |")-1)),"?"))</f>
        <v/>
      </c>
      <c r="H2943" s="27" t="str">
        <f aca="false">IF(G2943="","",IF(G2943="?","⚠ pub inconnue",IFERROR(INDEX(Pubs!$B$2:$B$3001,MATCH(G2943,Pubs!$A$2:$A$3001,0))&amp;"","⚠ pub inconnue")))</f>
        <v/>
      </c>
      <c r="I2943" s="27" t="str">
        <f aca="false">IF(OR(G2943="",G2943="?"),"",IFERROR(INDEX(Pubs!$C$2:$C$3001,MATCH(G2943,Pubs!$A$2:$A$3001,0))&amp;"",""))</f>
        <v/>
      </c>
      <c r="J2943" s="27" t="str">
        <f aca="false">IF(OR(G2943="",G2943="?"),"",IFERROR(INDEX(Pubs!$G$2:$G$3001,MATCH(G2943,Pubs!$A$2:$A$3001,0))&amp;"",""))</f>
        <v/>
      </c>
      <c r="K2943" s="28" t="str">
        <f aca="false">IF(OR(G2943="",G2943="?"),"",IFERROR(INDEX(Pubs!$E$2:$E$3001,MATCH(G2943,Pubs!$A$2:$A$3001,0)),""))</f>
        <v/>
      </c>
      <c r="L2943" s="29" t="str">
        <f aca="false">IF(A2943="","",IFERROR(1/(1/INDEX(Numéros!$C$2:$C$3001,MATCH(A2943&amp;"|"&amp;B2943,Numéros!$F$2:$F$3001,0))),""))</f>
        <v/>
      </c>
      <c r="M2943" s="27" t="str">
        <f aca="false">IF(OR(G2943="",G2943="?"),"",IFERROR(INDEX(Pubs!$D$2:$D$3001,MATCH(G2943,Pubs!$A$2:$A$3001,0))&amp;"",""))</f>
        <v/>
      </c>
      <c r="N2943" s="27" t="n">
        <f aca="false">N(N2942)+IF(AND(A2943&lt;&gt;"",OR(Recherche!$C$4="",A2943=Recherche!$C$4),OR(Recherche!$C$5="",B2943&amp;""=Recherche!$C$5&amp;""),OR(Recherche!$C$6="",IFERROR(YEAR(L2943),0)=Recherche!$C$6),OR(Recherche!$C$7="",ISNUMBER(SEARCH(Recherche!$C$7,H2943))),OR(Recherche!$C$8="",J2943=Recherche!$C$8),OR(Recherche!$C$9="",I2943=Recherche!$C$9),OR(Recherche!$C$10="",G2943&amp;""=Recherche!$C$10&amp;""),OR(Recherche!$C$11="",E2943=Recherche!$C$11),OR(Recherche!$C$12="",ISNUMBER(SEARCH(Recherche!$C$12,M2943&amp;" "&amp;F2943)))),1,0)</f>
        <v>8</v>
      </c>
    </row>
    <row r="2944" customFormat="false" ht="15" hidden="false" customHeight="false" outlineLevel="0" collapsed="false">
      <c r="A2944" s="19"/>
      <c r="B2944" s="19"/>
      <c r="C2944" s="19"/>
      <c r="D2944" s="19"/>
      <c r="E2944" s="22"/>
      <c r="F2944" s="19"/>
      <c r="G2944" s="26" t="str">
        <f aca="false">IF(D2944="","",IFERROR(VALUE(LEFT(D2944,FIND(" |",D2944&amp;" |")-1)),"?"))</f>
        <v/>
      </c>
      <c r="H2944" s="27" t="str">
        <f aca="false">IF(G2944="","",IF(G2944="?","⚠ pub inconnue",IFERROR(INDEX(Pubs!$B$2:$B$3001,MATCH(G2944,Pubs!$A$2:$A$3001,0))&amp;"","⚠ pub inconnue")))</f>
        <v/>
      </c>
      <c r="I2944" s="27" t="str">
        <f aca="false">IF(OR(G2944="",G2944="?"),"",IFERROR(INDEX(Pubs!$C$2:$C$3001,MATCH(G2944,Pubs!$A$2:$A$3001,0))&amp;"",""))</f>
        <v/>
      </c>
      <c r="J2944" s="27" t="str">
        <f aca="false">IF(OR(G2944="",G2944="?"),"",IFERROR(INDEX(Pubs!$G$2:$G$3001,MATCH(G2944,Pubs!$A$2:$A$3001,0))&amp;"",""))</f>
        <v/>
      </c>
      <c r="K2944" s="28" t="str">
        <f aca="false">IF(OR(G2944="",G2944="?"),"",IFERROR(INDEX(Pubs!$E$2:$E$3001,MATCH(G2944,Pubs!$A$2:$A$3001,0)),""))</f>
        <v/>
      </c>
      <c r="L2944" s="29" t="str">
        <f aca="false">IF(A2944="","",IFERROR(1/(1/INDEX(Numéros!$C$2:$C$3001,MATCH(A2944&amp;"|"&amp;B2944,Numéros!$F$2:$F$3001,0))),""))</f>
        <v/>
      </c>
      <c r="M2944" s="27" t="str">
        <f aca="false">IF(OR(G2944="",G2944="?"),"",IFERROR(INDEX(Pubs!$D$2:$D$3001,MATCH(G2944,Pubs!$A$2:$A$3001,0))&amp;"",""))</f>
        <v/>
      </c>
      <c r="N2944" s="27" t="n">
        <f aca="false">N(N2943)+IF(AND(A2944&lt;&gt;"",OR(Recherche!$C$4="",A2944=Recherche!$C$4),OR(Recherche!$C$5="",B2944&amp;""=Recherche!$C$5&amp;""),OR(Recherche!$C$6="",IFERROR(YEAR(L2944),0)=Recherche!$C$6),OR(Recherche!$C$7="",ISNUMBER(SEARCH(Recherche!$C$7,H2944))),OR(Recherche!$C$8="",J2944=Recherche!$C$8),OR(Recherche!$C$9="",I2944=Recherche!$C$9),OR(Recherche!$C$10="",G2944&amp;""=Recherche!$C$10&amp;""),OR(Recherche!$C$11="",E2944=Recherche!$C$11),OR(Recherche!$C$12="",ISNUMBER(SEARCH(Recherche!$C$12,M2944&amp;" "&amp;F2944)))),1,0)</f>
        <v>8</v>
      </c>
    </row>
    <row r="2945" customFormat="false" ht="15" hidden="false" customHeight="false" outlineLevel="0" collapsed="false">
      <c r="A2945" s="19"/>
      <c r="B2945" s="19"/>
      <c r="C2945" s="19"/>
      <c r="D2945" s="19"/>
      <c r="E2945" s="22"/>
      <c r="F2945" s="19"/>
      <c r="G2945" s="26" t="str">
        <f aca="false">IF(D2945="","",IFERROR(VALUE(LEFT(D2945,FIND(" |",D2945&amp;" |")-1)),"?"))</f>
        <v/>
      </c>
      <c r="H2945" s="27" t="str">
        <f aca="false">IF(G2945="","",IF(G2945="?","⚠ pub inconnue",IFERROR(INDEX(Pubs!$B$2:$B$3001,MATCH(G2945,Pubs!$A$2:$A$3001,0))&amp;"","⚠ pub inconnue")))</f>
        <v/>
      </c>
      <c r="I2945" s="27" t="str">
        <f aca="false">IF(OR(G2945="",G2945="?"),"",IFERROR(INDEX(Pubs!$C$2:$C$3001,MATCH(G2945,Pubs!$A$2:$A$3001,0))&amp;"",""))</f>
        <v/>
      </c>
      <c r="J2945" s="27" t="str">
        <f aca="false">IF(OR(G2945="",G2945="?"),"",IFERROR(INDEX(Pubs!$G$2:$G$3001,MATCH(G2945,Pubs!$A$2:$A$3001,0))&amp;"",""))</f>
        <v/>
      </c>
      <c r="K2945" s="28" t="str">
        <f aca="false">IF(OR(G2945="",G2945="?"),"",IFERROR(INDEX(Pubs!$E$2:$E$3001,MATCH(G2945,Pubs!$A$2:$A$3001,0)),""))</f>
        <v/>
      </c>
      <c r="L2945" s="29" t="str">
        <f aca="false">IF(A2945="","",IFERROR(1/(1/INDEX(Numéros!$C$2:$C$3001,MATCH(A2945&amp;"|"&amp;B2945,Numéros!$F$2:$F$3001,0))),""))</f>
        <v/>
      </c>
      <c r="M2945" s="27" t="str">
        <f aca="false">IF(OR(G2945="",G2945="?"),"",IFERROR(INDEX(Pubs!$D$2:$D$3001,MATCH(G2945,Pubs!$A$2:$A$3001,0))&amp;"",""))</f>
        <v/>
      </c>
      <c r="N2945" s="27" t="n">
        <f aca="false">N(N2944)+IF(AND(A2945&lt;&gt;"",OR(Recherche!$C$4="",A2945=Recherche!$C$4),OR(Recherche!$C$5="",B2945&amp;""=Recherche!$C$5&amp;""),OR(Recherche!$C$6="",IFERROR(YEAR(L2945),0)=Recherche!$C$6),OR(Recherche!$C$7="",ISNUMBER(SEARCH(Recherche!$C$7,H2945))),OR(Recherche!$C$8="",J2945=Recherche!$C$8),OR(Recherche!$C$9="",I2945=Recherche!$C$9),OR(Recherche!$C$10="",G2945&amp;""=Recherche!$C$10&amp;""),OR(Recherche!$C$11="",E2945=Recherche!$C$11),OR(Recherche!$C$12="",ISNUMBER(SEARCH(Recherche!$C$12,M2945&amp;" "&amp;F2945)))),1,0)</f>
        <v>8</v>
      </c>
    </row>
    <row r="2946" customFormat="false" ht="15" hidden="false" customHeight="false" outlineLevel="0" collapsed="false">
      <c r="A2946" s="19"/>
      <c r="B2946" s="19"/>
      <c r="C2946" s="19"/>
      <c r="D2946" s="19"/>
      <c r="E2946" s="22"/>
      <c r="F2946" s="19"/>
      <c r="G2946" s="26" t="str">
        <f aca="false">IF(D2946="","",IFERROR(VALUE(LEFT(D2946,FIND(" |",D2946&amp;" |")-1)),"?"))</f>
        <v/>
      </c>
      <c r="H2946" s="27" t="str">
        <f aca="false">IF(G2946="","",IF(G2946="?","⚠ pub inconnue",IFERROR(INDEX(Pubs!$B$2:$B$3001,MATCH(G2946,Pubs!$A$2:$A$3001,0))&amp;"","⚠ pub inconnue")))</f>
        <v/>
      </c>
      <c r="I2946" s="27" t="str">
        <f aca="false">IF(OR(G2946="",G2946="?"),"",IFERROR(INDEX(Pubs!$C$2:$C$3001,MATCH(G2946,Pubs!$A$2:$A$3001,0))&amp;"",""))</f>
        <v/>
      </c>
      <c r="J2946" s="27" t="str">
        <f aca="false">IF(OR(G2946="",G2946="?"),"",IFERROR(INDEX(Pubs!$G$2:$G$3001,MATCH(G2946,Pubs!$A$2:$A$3001,0))&amp;"",""))</f>
        <v/>
      </c>
      <c r="K2946" s="28" t="str">
        <f aca="false">IF(OR(G2946="",G2946="?"),"",IFERROR(INDEX(Pubs!$E$2:$E$3001,MATCH(G2946,Pubs!$A$2:$A$3001,0)),""))</f>
        <v/>
      </c>
      <c r="L2946" s="29" t="str">
        <f aca="false">IF(A2946="","",IFERROR(1/(1/INDEX(Numéros!$C$2:$C$3001,MATCH(A2946&amp;"|"&amp;B2946,Numéros!$F$2:$F$3001,0))),""))</f>
        <v/>
      </c>
      <c r="M2946" s="27" t="str">
        <f aca="false">IF(OR(G2946="",G2946="?"),"",IFERROR(INDEX(Pubs!$D$2:$D$3001,MATCH(G2946,Pubs!$A$2:$A$3001,0))&amp;"",""))</f>
        <v/>
      </c>
      <c r="N2946" s="27" t="n">
        <f aca="false">N(N2945)+IF(AND(A2946&lt;&gt;"",OR(Recherche!$C$4="",A2946=Recherche!$C$4),OR(Recherche!$C$5="",B2946&amp;""=Recherche!$C$5&amp;""),OR(Recherche!$C$6="",IFERROR(YEAR(L2946),0)=Recherche!$C$6),OR(Recherche!$C$7="",ISNUMBER(SEARCH(Recherche!$C$7,H2946))),OR(Recherche!$C$8="",J2946=Recherche!$C$8),OR(Recherche!$C$9="",I2946=Recherche!$C$9),OR(Recherche!$C$10="",G2946&amp;""=Recherche!$C$10&amp;""),OR(Recherche!$C$11="",E2946=Recherche!$C$11),OR(Recherche!$C$12="",ISNUMBER(SEARCH(Recherche!$C$12,M2946&amp;" "&amp;F2946)))),1,0)</f>
        <v>8</v>
      </c>
    </row>
    <row r="2947" customFormat="false" ht="15" hidden="false" customHeight="false" outlineLevel="0" collapsed="false">
      <c r="A2947" s="19"/>
      <c r="B2947" s="19"/>
      <c r="C2947" s="19"/>
      <c r="D2947" s="19"/>
      <c r="E2947" s="22"/>
      <c r="F2947" s="19"/>
      <c r="G2947" s="26" t="str">
        <f aca="false">IF(D2947="","",IFERROR(VALUE(LEFT(D2947,FIND(" |",D2947&amp;" |")-1)),"?"))</f>
        <v/>
      </c>
      <c r="H2947" s="27" t="str">
        <f aca="false">IF(G2947="","",IF(G2947="?","⚠ pub inconnue",IFERROR(INDEX(Pubs!$B$2:$B$3001,MATCH(G2947,Pubs!$A$2:$A$3001,0))&amp;"","⚠ pub inconnue")))</f>
        <v/>
      </c>
      <c r="I2947" s="27" t="str">
        <f aca="false">IF(OR(G2947="",G2947="?"),"",IFERROR(INDEX(Pubs!$C$2:$C$3001,MATCH(G2947,Pubs!$A$2:$A$3001,0))&amp;"",""))</f>
        <v/>
      </c>
      <c r="J2947" s="27" t="str">
        <f aca="false">IF(OR(G2947="",G2947="?"),"",IFERROR(INDEX(Pubs!$G$2:$G$3001,MATCH(G2947,Pubs!$A$2:$A$3001,0))&amp;"",""))</f>
        <v/>
      </c>
      <c r="K2947" s="28" t="str">
        <f aca="false">IF(OR(G2947="",G2947="?"),"",IFERROR(INDEX(Pubs!$E$2:$E$3001,MATCH(G2947,Pubs!$A$2:$A$3001,0)),""))</f>
        <v/>
      </c>
      <c r="L2947" s="29" t="str">
        <f aca="false">IF(A2947="","",IFERROR(1/(1/INDEX(Numéros!$C$2:$C$3001,MATCH(A2947&amp;"|"&amp;B2947,Numéros!$F$2:$F$3001,0))),""))</f>
        <v/>
      </c>
      <c r="M2947" s="27" t="str">
        <f aca="false">IF(OR(G2947="",G2947="?"),"",IFERROR(INDEX(Pubs!$D$2:$D$3001,MATCH(G2947,Pubs!$A$2:$A$3001,0))&amp;"",""))</f>
        <v/>
      </c>
      <c r="N2947" s="27" t="n">
        <f aca="false">N(N2946)+IF(AND(A2947&lt;&gt;"",OR(Recherche!$C$4="",A2947=Recherche!$C$4),OR(Recherche!$C$5="",B2947&amp;""=Recherche!$C$5&amp;""),OR(Recherche!$C$6="",IFERROR(YEAR(L2947),0)=Recherche!$C$6),OR(Recherche!$C$7="",ISNUMBER(SEARCH(Recherche!$C$7,H2947))),OR(Recherche!$C$8="",J2947=Recherche!$C$8),OR(Recherche!$C$9="",I2947=Recherche!$C$9),OR(Recherche!$C$10="",G2947&amp;""=Recherche!$C$10&amp;""),OR(Recherche!$C$11="",E2947=Recherche!$C$11),OR(Recherche!$C$12="",ISNUMBER(SEARCH(Recherche!$C$12,M2947&amp;" "&amp;F2947)))),1,0)</f>
        <v>8</v>
      </c>
    </row>
    <row r="2948" customFormat="false" ht="15" hidden="false" customHeight="false" outlineLevel="0" collapsed="false">
      <c r="A2948" s="19"/>
      <c r="B2948" s="19"/>
      <c r="C2948" s="19"/>
      <c r="D2948" s="19"/>
      <c r="E2948" s="22"/>
      <c r="F2948" s="19"/>
      <c r="G2948" s="26" t="str">
        <f aca="false">IF(D2948="","",IFERROR(VALUE(LEFT(D2948,FIND(" |",D2948&amp;" |")-1)),"?"))</f>
        <v/>
      </c>
      <c r="H2948" s="27" t="str">
        <f aca="false">IF(G2948="","",IF(G2948="?","⚠ pub inconnue",IFERROR(INDEX(Pubs!$B$2:$B$3001,MATCH(G2948,Pubs!$A$2:$A$3001,0))&amp;"","⚠ pub inconnue")))</f>
        <v/>
      </c>
      <c r="I2948" s="27" t="str">
        <f aca="false">IF(OR(G2948="",G2948="?"),"",IFERROR(INDEX(Pubs!$C$2:$C$3001,MATCH(G2948,Pubs!$A$2:$A$3001,0))&amp;"",""))</f>
        <v/>
      </c>
      <c r="J2948" s="27" t="str">
        <f aca="false">IF(OR(G2948="",G2948="?"),"",IFERROR(INDEX(Pubs!$G$2:$G$3001,MATCH(G2948,Pubs!$A$2:$A$3001,0))&amp;"",""))</f>
        <v/>
      </c>
      <c r="K2948" s="28" t="str">
        <f aca="false">IF(OR(G2948="",G2948="?"),"",IFERROR(INDEX(Pubs!$E$2:$E$3001,MATCH(G2948,Pubs!$A$2:$A$3001,0)),""))</f>
        <v/>
      </c>
      <c r="L2948" s="29" t="str">
        <f aca="false">IF(A2948="","",IFERROR(1/(1/INDEX(Numéros!$C$2:$C$3001,MATCH(A2948&amp;"|"&amp;B2948,Numéros!$F$2:$F$3001,0))),""))</f>
        <v/>
      </c>
      <c r="M2948" s="27" t="str">
        <f aca="false">IF(OR(G2948="",G2948="?"),"",IFERROR(INDEX(Pubs!$D$2:$D$3001,MATCH(G2948,Pubs!$A$2:$A$3001,0))&amp;"",""))</f>
        <v/>
      </c>
      <c r="N2948" s="27" t="n">
        <f aca="false">N(N2947)+IF(AND(A2948&lt;&gt;"",OR(Recherche!$C$4="",A2948=Recherche!$C$4),OR(Recherche!$C$5="",B2948&amp;""=Recherche!$C$5&amp;""),OR(Recherche!$C$6="",IFERROR(YEAR(L2948),0)=Recherche!$C$6),OR(Recherche!$C$7="",ISNUMBER(SEARCH(Recherche!$C$7,H2948))),OR(Recherche!$C$8="",J2948=Recherche!$C$8),OR(Recherche!$C$9="",I2948=Recherche!$C$9),OR(Recherche!$C$10="",G2948&amp;""=Recherche!$C$10&amp;""),OR(Recherche!$C$11="",E2948=Recherche!$C$11),OR(Recherche!$C$12="",ISNUMBER(SEARCH(Recherche!$C$12,M2948&amp;" "&amp;F2948)))),1,0)</f>
        <v>8</v>
      </c>
    </row>
    <row r="2949" customFormat="false" ht="15" hidden="false" customHeight="false" outlineLevel="0" collapsed="false">
      <c r="A2949" s="19"/>
      <c r="B2949" s="19"/>
      <c r="C2949" s="19"/>
      <c r="D2949" s="19"/>
      <c r="E2949" s="22"/>
      <c r="F2949" s="19"/>
      <c r="G2949" s="26" t="str">
        <f aca="false">IF(D2949="","",IFERROR(VALUE(LEFT(D2949,FIND(" |",D2949&amp;" |")-1)),"?"))</f>
        <v/>
      </c>
      <c r="H2949" s="27" t="str">
        <f aca="false">IF(G2949="","",IF(G2949="?","⚠ pub inconnue",IFERROR(INDEX(Pubs!$B$2:$B$3001,MATCH(G2949,Pubs!$A$2:$A$3001,0))&amp;"","⚠ pub inconnue")))</f>
        <v/>
      </c>
      <c r="I2949" s="27" t="str">
        <f aca="false">IF(OR(G2949="",G2949="?"),"",IFERROR(INDEX(Pubs!$C$2:$C$3001,MATCH(G2949,Pubs!$A$2:$A$3001,0))&amp;"",""))</f>
        <v/>
      </c>
      <c r="J2949" s="27" t="str">
        <f aca="false">IF(OR(G2949="",G2949="?"),"",IFERROR(INDEX(Pubs!$G$2:$G$3001,MATCH(G2949,Pubs!$A$2:$A$3001,0))&amp;"",""))</f>
        <v/>
      </c>
      <c r="K2949" s="28" t="str">
        <f aca="false">IF(OR(G2949="",G2949="?"),"",IFERROR(INDEX(Pubs!$E$2:$E$3001,MATCH(G2949,Pubs!$A$2:$A$3001,0)),""))</f>
        <v/>
      </c>
      <c r="L2949" s="29" t="str">
        <f aca="false">IF(A2949="","",IFERROR(1/(1/INDEX(Numéros!$C$2:$C$3001,MATCH(A2949&amp;"|"&amp;B2949,Numéros!$F$2:$F$3001,0))),""))</f>
        <v/>
      </c>
      <c r="M2949" s="27" t="str">
        <f aca="false">IF(OR(G2949="",G2949="?"),"",IFERROR(INDEX(Pubs!$D$2:$D$3001,MATCH(G2949,Pubs!$A$2:$A$3001,0))&amp;"",""))</f>
        <v/>
      </c>
      <c r="N2949" s="27" t="n">
        <f aca="false">N(N2948)+IF(AND(A2949&lt;&gt;"",OR(Recherche!$C$4="",A2949=Recherche!$C$4),OR(Recherche!$C$5="",B2949&amp;""=Recherche!$C$5&amp;""),OR(Recherche!$C$6="",IFERROR(YEAR(L2949),0)=Recherche!$C$6),OR(Recherche!$C$7="",ISNUMBER(SEARCH(Recherche!$C$7,H2949))),OR(Recherche!$C$8="",J2949=Recherche!$C$8),OR(Recherche!$C$9="",I2949=Recherche!$C$9),OR(Recherche!$C$10="",G2949&amp;""=Recherche!$C$10&amp;""),OR(Recherche!$C$11="",E2949=Recherche!$C$11),OR(Recherche!$C$12="",ISNUMBER(SEARCH(Recherche!$C$12,M2949&amp;" "&amp;F2949)))),1,0)</f>
        <v>8</v>
      </c>
    </row>
    <row r="2950" customFormat="false" ht="15" hidden="false" customHeight="false" outlineLevel="0" collapsed="false">
      <c r="A2950" s="19"/>
      <c r="B2950" s="19"/>
      <c r="C2950" s="19"/>
      <c r="D2950" s="19"/>
      <c r="E2950" s="22"/>
      <c r="F2950" s="19"/>
      <c r="G2950" s="26" t="str">
        <f aca="false">IF(D2950="","",IFERROR(VALUE(LEFT(D2950,FIND(" |",D2950&amp;" |")-1)),"?"))</f>
        <v/>
      </c>
      <c r="H2950" s="27" t="str">
        <f aca="false">IF(G2950="","",IF(G2950="?","⚠ pub inconnue",IFERROR(INDEX(Pubs!$B$2:$B$3001,MATCH(G2950,Pubs!$A$2:$A$3001,0))&amp;"","⚠ pub inconnue")))</f>
        <v/>
      </c>
      <c r="I2950" s="27" t="str">
        <f aca="false">IF(OR(G2950="",G2950="?"),"",IFERROR(INDEX(Pubs!$C$2:$C$3001,MATCH(G2950,Pubs!$A$2:$A$3001,0))&amp;"",""))</f>
        <v/>
      </c>
      <c r="J2950" s="27" t="str">
        <f aca="false">IF(OR(G2950="",G2950="?"),"",IFERROR(INDEX(Pubs!$G$2:$G$3001,MATCH(G2950,Pubs!$A$2:$A$3001,0))&amp;"",""))</f>
        <v/>
      </c>
      <c r="K2950" s="28" t="str">
        <f aca="false">IF(OR(G2950="",G2950="?"),"",IFERROR(INDEX(Pubs!$E$2:$E$3001,MATCH(G2950,Pubs!$A$2:$A$3001,0)),""))</f>
        <v/>
      </c>
      <c r="L2950" s="29" t="str">
        <f aca="false">IF(A2950="","",IFERROR(1/(1/INDEX(Numéros!$C$2:$C$3001,MATCH(A2950&amp;"|"&amp;B2950,Numéros!$F$2:$F$3001,0))),""))</f>
        <v/>
      </c>
      <c r="M2950" s="27" t="str">
        <f aca="false">IF(OR(G2950="",G2950="?"),"",IFERROR(INDEX(Pubs!$D$2:$D$3001,MATCH(G2950,Pubs!$A$2:$A$3001,0))&amp;"",""))</f>
        <v/>
      </c>
      <c r="N2950" s="27" t="n">
        <f aca="false">N(N2949)+IF(AND(A2950&lt;&gt;"",OR(Recherche!$C$4="",A2950=Recherche!$C$4),OR(Recherche!$C$5="",B2950&amp;""=Recherche!$C$5&amp;""),OR(Recherche!$C$6="",IFERROR(YEAR(L2950),0)=Recherche!$C$6),OR(Recherche!$C$7="",ISNUMBER(SEARCH(Recherche!$C$7,H2950))),OR(Recherche!$C$8="",J2950=Recherche!$C$8),OR(Recherche!$C$9="",I2950=Recherche!$C$9),OR(Recherche!$C$10="",G2950&amp;""=Recherche!$C$10&amp;""),OR(Recherche!$C$11="",E2950=Recherche!$C$11),OR(Recherche!$C$12="",ISNUMBER(SEARCH(Recherche!$C$12,M2950&amp;" "&amp;F2950)))),1,0)</f>
        <v>8</v>
      </c>
    </row>
    <row r="2951" customFormat="false" ht="15" hidden="false" customHeight="false" outlineLevel="0" collapsed="false">
      <c r="A2951" s="19"/>
      <c r="B2951" s="19"/>
      <c r="C2951" s="19"/>
      <c r="D2951" s="19"/>
      <c r="E2951" s="22"/>
      <c r="F2951" s="19"/>
      <c r="G2951" s="26" t="str">
        <f aca="false">IF(D2951="","",IFERROR(VALUE(LEFT(D2951,FIND(" |",D2951&amp;" |")-1)),"?"))</f>
        <v/>
      </c>
      <c r="H2951" s="27" t="str">
        <f aca="false">IF(G2951="","",IF(G2951="?","⚠ pub inconnue",IFERROR(INDEX(Pubs!$B$2:$B$3001,MATCH(G2951,Pubs!$A$2:$A$3001,0))&amp;"","⚠ pub inconnue")))</f>
        <v/>
      </c>
      <c r="I2951" s="27" t="str">
        <f aca="false">IF(OR(G2951="",G2951="?"),"",IFERROR(INDEX(Pubs!$C$2:$C$3001,MATCH(G2951,Pubs!$A$2:$A$3001,0))&amp;"",""))</f>
        <v/>
      </c>
      <c r="J2951" s="27" t="str">
        <f aca="false">IF(OR(G2951="",G2951="?"),"",IFERROR(INDEX(Pubs!$G$2:$G$3001,MATCH(G2951,Pubs!$A$2:$A$3001,0))&amp;"",""))</f>
        <v/>
      </c>
      <c r="K2951" s="28" t="str">
        <f aca="false">IF(OR(G2951="",G2951="?"),"",IFERROR(INDEX(Pubs!$E$2:$E$3001,MATCH(G2951,Pubs!$A$2:$A$3001,0)),""))</f>
        <v/>
      </c>
      <c r="L2951" s="29" t="str">
        <f aca="false">IF(A2951="","",IFERROR(1/(1/INDEX(Numéros!$C$2:$C$3001,MATCH(A2951&amp;"|"&amp;B2951,Numéros!$F$2:$F$3001,0))),""))</f>
        <v/>
      </c>
      <c r="M2951" s="27" t="str">
        <f aca="false">IF(OR(G2951="",G2951="?"),"",IFERROR(INDEX(Pubs!$D$2:$D$3001,MATCH(G2951,Pubs!$A$2:$A$3001,0))&amp;"",""))</f>
        <v/>
      </c>
      <c r="N2951" s="27" t="n">
        <f aca="false">N(N2950)+IF(AND(A2951&lt;&gt;"",OR(Recherche!$C$4="",A2951=Recherche!$C$4),OR(Recherche!$C$5="",B2951&amp;""=Recherche!$C$5&amp;""),OR(Recherche!$C$6="",IFERROR(YEAR(L2951),0)=Recherche!$C$6),OR(Recherche!$C$7="",ISNUMBER(SEARCH(Recherche!$C$7,H2951))),OR(Recherche!$C$8="",J2951=Recherche!$C$8),OR(Recherche!$C$9="",I2951=Recherche!$C$9),OR(Recherche!$C$10="",G2951&amp;""=Recherche!$C$10&amp;""),OR(Recherche!$C$11="",E2951=Recherche!$C$11),OR(Recherche!$C$12="",ISNUMBER(SEARCH(Recherche!$C$12,M2951&amp;" "&amp;F2951)))),1,0)</f>
        <v>8</v>
      </c>
    </row>
    <row r="2952" customFormat="false" ht="15" hidden="false" customHeight="false" outlineLevel="0" collapsed="false">
      <c r="A2952" s="19"/>
      <c r="B2952" s="19"/>
      <c r="C2952" s="19"/>
      <c r="D2952" s="19"/>
      <c r="E2952" s="22"/>
      <c r="F2952" s="19"/>
      <c r="G2952" s="26" t="str">
        <f aca="false">IF(D2952="","",IFERROR(VALUE(LEFT(D2952,FIND(" |",D2952&amp;" |")-1)),"?"))</f>
        <v/>
      </c>
      <c r="H2952" s="27" t="str">
        <f aca="false">IF(G2952="","",IF(G2952="?","⚠ pub inconnue",IFERROR(INDEX(Pubs!$B$2:$B$3001,MATCH(G2952,Pubs!$A$2:$A$3001,0))&amp;"","⚠ pub inconnue")))</f>
        <v/>
      </c>
      <c r="I2952" s="27" t="str">
        <f aca="false">IF(OR(G2952="",G2952="?"),"",IFERROR(INDEX(Pubs!$C$2:$C$3001,MATCH(G2952,Pubs!$A$2:$A$3001,0))&amp;"",""))</f>
        <v/>
      </c>
      <c r="J2952" s="27" t="str">
        <f aca="false">IF(OR(G2952="",G2952="?"),"",IFERROR(INDEX(Pubs!$G$2:$G$3001,MATCH(G2952,Pubs!$A$2:$A$3001,0))&amp;"",""))</f>
        <v/>
      </c>
      <c r="K2952" s="28" t="str">
        <f aca="false">IF(OR(G2952="",G2952="?"),"",IFERROR(INDEX(Pubs!$E$2:$E$3001,MATCH(G2952,Pubs!$A$2:$A$3001,0)),""))</f>
        <v/>
      </c>
      <c r="L2952" s="29" t="str">
        <f aca="false">IF(A2952="","",IFERROR(1/(1/INDEX(Numéros!$C$2:$C$3001,MATCH(A2952&amp;"|"&amp;B2952,Numéros!$F$2:$F$3001,0))),""))</f>
        <v/>
      </c>
      <c r="M2952" s="27" t="str">
        <f aca="false">IF(OR(G2952="",G2952="?"),"",IFERROR(INDEX(Pubs!$D$2:$D$3001,MATCH(G2952,Pubs!$A$2:$A$3001,0))&amp;"",""))</f>
        <v/>
      </c>
      <c r="N2952" s="27" t="n">
        <f aca="false">N(N2951)+IF(AND(A2952&lt;&gt;"",OR(Recherche!$C$4="",A2952=Recherche!$C$4),OR(Recherche!$C$5="",B2952&amp;""=Recherche!$C$5&amp;""),OR(Recherche!$C$6="",IFERROR(YEAR(L2952),0)=Recherche!$C$6),OR(Recherche!$C$7="",ISNUMBER(SEARCH(Recherche!$C$7,H2952))),OR(Recherche!$C$8="",J2952=Recherche!$C$8),OR(Recherche!$C$9="",I2952=Recherche!$C$9),OR(Recherche!$C$10="",G2952&amp;""=Recherche!$C$10&amp;""),OR(Recherche!$C$11="",E2952=Recherche!$C$11),OR(Recherche!$C$12="",ISNUMBER(SEARCH(Recherche!$C$12,M2952&amp;" "&amp;F2952)))),1,0)</f>
        <v>8</v>
      </c>
    </row>
    <row r="2953" customFormat="false" ht="15" hidden="false" customHeight="false" outlineLevel="0" collapsed="false">
      <c r="A2953" s="19"/>
      <c r="B2953" s="19"/>
      <c r="C2953" s="19"/>
      <c r="D2953" s="19"/>
      <c r="E2953" s="22"/>
      <c r="F2953" s="19"/>
      <c r="G2953" s="26" t="str">
        <f aca="false">IF(D2953="","",IFERROR(VALUE(LEFT(D2953,FIND(" |",D2953&amp;" |")-1)),"?"))</f>
        <v/>
      </c>
      <c r="H2953" s="27" t="str">
        <f aca="false">IF(G2953="","",IF(G2953="?","⚠ pub inconnue",IFERROR(INDEX(Pubs!$B$2:$B$3001,MATCH(G2953,Pubs!$A$2:$A$3001,0))&amp;"","⚠ pub inconnue")))</f>
        <v/>
      </c>
      <c r="I2953" s="27" t="str">
        <f aca="false">IF(OR(G2953="",G2953="?"),"",IFERROR(INDEX(Pubs!$C$2:$C$3001,MATCH(G2953,Pubs!$A$2:$A$3001,0))&amp;"",""))</f>
        <v/>
      </c>
      <c r="J2953" s="27" t="str">
        <f aca="false">IF(OR(G2953="",G2953="?"),"",IFERROR(INDEX(Pubs!$G$2:$G$3001,MATCH(G2953,Pubs!$A$2:$A$3001,0))&amp;"",""))</f>
        <v/>
      </c>
      <c r="K2953" s="28" t="str">
        <f aca="false">IF(OR(G2953="",G2953="?"),"",IFERROR(INDEX(Pubs!$E$2:$E$3001,MATCH(G2953,Pubs!$A$2:$A$3001,0)),""))</f>
        <v/>
      </c>
      <c r="L2953" s="29" t="str">
        <f aca="false">IF(A2953="","",IFERROR(1/(1/INDEX(Numéros!$C$2:$C$3001,MATCH(A2953&amp;"|"&amp;B2953,Numéros!$F$2:$F$3001,0))),""))</f>
        <v/>
      </c>
      <c r="M2953" s="27" t="str">
        <f aca="false">IF(OR(G2953="",G2953="?"),"",IFERROR(INDEX(Pubs!$D$2:$D$3001,MATCH(G2953,Pubs!$A$2:$A$3001,0))&amp;"",""))</f>
        <v/>
      </c>
      <c r="N2953" s="27" t="n">
        <f aca="false">N(N2952)+IF(AND(A2953&lt;&gt;"",OR(Recherche!$C$4="",A2953=Recherche!$C$4),OR(Recherche!$C$5="",B2953&amp;""=Recherche!$C$5&amp;""),OR(Recherche!$C$6="",IFERROR(YEAR(L2953),0)=Recherche!$C$6),OR(Recherche!$C$7="",ISNUMBER(SEARCH(Recherche!$C$7,H2953))),OR(Recherche!$C$8="",J2953=Recherche!$C$8),OR(Recherche!$C$9="",I2953=Recherche!$C$9),OR(Recherche!$C$10="",G2953&amp;""=Recherche!$C$10&amp;""),OR(Recherche!$C$11="",E2953=Recherche!$C$11),OR(Recherche!$C$12="",ISNUMBER(SEARCH(Recherche!$C$12,M2953&amp;" "&amp;F2953)))),1,0)</f>
        <v>8</v>
      </c>
    </row>
    <row r="2954" customFormat="false" ht="15" hidden="false" customHeight="false" outlineLevel="0" collapsed="false">
      <c r="A2954" s="19"/>
      <c r="B2954" s="19"/>
      <c r="C2954" s="19"/>
      <c r="D2954" s="19"/>
      <c r="E2954" s="22"/>
      <c r="F2954" s="19"/>
      <c r="G2954" s="26" t="str">
        <f aca="false">IF(D2954="","",IFERROR(VALUE(LEFT(D2954,FIND(" |",D2954&amp;" |")-1)),"?"))</f>
        <v/>
      </c>
      <c r="H2954" s="27" t="str">
        <f aca="false">IF(G2954="","",IF(G2954="?","⚠ pub inconnue",IFERROR(INDEX(Pubs!$B$2:$B$3001,MATCH(G2954,Pubs!$A$2:$A$3001,0))&amp;"","⚠ pub inconnue")))</f>
        <v/>
      </c>
      <c r="I2954" s="27" t="str">
        <f aca="false">IF(OR(G2954="",G2954="?"),"",IFERROR(INDEX(Pubs!$C$2:$C$3001,MATCH(G2954,Pubs!$A$2:$A$3001,0))&amp;"",""))</f>
        <v/>
      </c>
      <c r="J2954" s="27" t="str">
        <f aca="false">IF(OR(G2954="",G2954="?"),"",IFERROR(INDEX(Pubs!$G$2:$G$3001,MATCH(G2954,Pubs!$A$2:$A$3001,0))&amp;"",""))</f>
        <v/>
      </c>
      <c r="K2954" s="28" t="str">
        <f aca="false">IF(OR(G2954="",G2954="?"),"",IFERROR(INDEX(Pubs!$E$2:$E$3001,MATCH(G2954,Pubs!$A$2:$A$3001,0)),""))</f>
        <v/>
      </c>
      <c r="L2954" s="29" t="str">
        <f aca="false">IF(A2954="","",IFERROR(1/(1/INDEX(Numéros!$C$2:$C$3001,MATCH(A2954&amp;"|"&amp;B2954,Numéros!$F$2:$F$3001,0))),""))</f>
        <v/>
      </c>
      <c r="M2954" s="27" t="str">
        <f aca="false">IF(OR(G2954="",G2954="?"),"",IFERROR(INDEX(Pubs!$D$2:$D$3001,MATCH(G2954,Pubs!$A$2:$A$3001,0))&amp;"",""))</f>
        <v/>
      </c>
      <c r="N2954" s="27" t="n">
        <f aca="false">N(N2953)+IF(AND(A2954&lt;&gt;"",OR(Recherche!$C$4="",A2954=Recherche!$C$4),OR(Recherche!$C$5="",B2954&amp;""=Recherche!$C$5&amp;""),OR(Recherche!$C$6="",IFERROR(YEAR(L2954),0)=Recherche!$C$6),OR(Recherche!$C$7="",ISNUMBER(SEARCH(Recherche!$C$7,H2954))),OR(Recherche!$C$8="",J2954=Recherche!$C$8),OR(Recherche!$C$9="",I2954=Recherche!$C$9),OR(Recherche!$C$10="",G2954&amp;""=Recherche!$C$10&amp;""),OR(Recherche!$C$11="",E2954=Recherche!$C$11),OR(Recherche!$C$12="",ISNUMBER(SEARCH(Recherche!$C$12,M2954&amp;" "&amp;F2954)))),1,0)</f>
        <v>8</v>
      </c>
    </row>
    <row r="2955" customFormat="false" ht="15" hidden="false" customHeight="false" outlineLevel="0" collapsed="false">
      <c r="A2955" s="19"/>
      <c r="B2955" s="19"/>
      <c r="C2955" s="19"/>
      <c r="D2955" s="19"/>
      <c r="E2955" s="22"/>
      <c r="F2955" s="19"/>
      <c r="G2955" s="26" t="str">
        <f aca="false">IF(D2955="","",IFERROR(VALUE(LEFT(D2955,FIND(" |",D2955&amp;" |")-1)),"?"))</f>
        <v/>
      </c>
      <c r="H2955" s="27" t="str">
        <f aca="false">IF(G2955="","",IF(G2955="?","⚠ pub inconnue",IFERROR(INDEX(Pubs!$B$2:$B$3001,MATCH(G2955,Pubs!$A$2:$A$3001,0))&amp;"","⚠ pub inconnue")))</f>
        <v/>
      </c>
      <c r="I2955" s="27" t="str">
        <f aca="false">IF(OR(G2955="",G2955="?"),"",IFERROR(INDEX(Pubs!$C$2:$C$3001,MATCH(G2955,Pubs!$A$2:$A$3001,0))&amp;"",""))</f>
        <v/>
      </c>
      <c r="J2955" s="27" t="str">
        <f aca="false">IF(OR(G2955="",G2955="?"),"",IFERROR(INDEX(Pubs!$G$2:$G$3001,MATCH(G2955,Pubs!$A$2:$A$3001,0))&amp;"",""))</f>
        <v/>
      </c>
      <c r="K2955" s="28" t="str">
        <f aca="false">IF(OR(G2955="",G2955="?"),"",IFERROR(INDEX(Pubs!$E$2:$E$3001,MATCH(G2955,Pubs!$A$2:$A$3001,0)),""))</f>
        <v/>
      </c>
      <c r="L2955" s="29" t="str">
        <f aca="false">IF(A2955="","",IFERROR(1/(1/INDEX(Numéros!$C$2:$C$3001,MATCH(A2955&amp;"|"&amp;B2955,Numéros!$F$2:$F$3001,0))),""))</f>
        <v/>
      </c>
      <c r="M2955" s="27" t="str">
        <f aca="false">IF(OR(G2955="",G2955="?"),"",IFERROR(INDEX(Pubs!$D$2:$D$3001,MATCH(G2955,Pubs!$A$2:$A$3001,0))&amp;"",""))</f>
        <v/>
      </c>
      <c r="N2955" s="27" t="n">
        <f aca="false">N(N2954)+IF(AND(A2955&lt;&gt;"",OR(Recherche!$C$4="",A2955=Recherche!$C$4),OR(Recherche!$C$5="",B2955&amp;""=Recherche!$C$5&amp;""),OR(Recherche!$C$6="",IFERROR(YEAR(L2955),0)=Recherche!$C$6),OR(Recherche!$C$7="",ISNUMBER(SEARCH(Recherche!$C$7,H2955))),OR(Recherche!$C$8="",J2955=Recherche!$C$8),OR(Recherche!$C$9="",I2955=Recherche!$C$9),OR(Recherche!$C$10="",G2955&amp;""=Recherche!$C$10&amp;""),OR(Recherche!$C$11="",E2955=Recherche!$C$11),OR(Recherche!$C$12="",ISNUMBER(SEARCH(Recherche!$C$12,M2955&amp;" "&amp;F2955)))),1,0)</f>
        <v>8</v>
      </c>
    </row>
    <row r="2956" customFormat="false" ht="15" hidden="false" customHeight="false" outlineLevel="0" collapsed="false">
      <c r="A2956" s="19"/>
      <c r="B2956" s="19"/>
      <c r="C2956" s="19"/>
      <c r="D2956" s="19"/>
      <c r="E2956" s="22"/>
      <c r="F2956" s="19"/>
      <c r="G2956" s="26" t="str">
        <f aca="false">IF(D2956="","",IFERROR(VALUE(LEFT(D2956,FIND(" |",D2956&amp;" |")-1)),"?"))</f>
        <v/>
      </c>
      <c r="H2956" s="27" t="str">
        <f aca="false">IF(G2956="","",IF(G2956="?","⚠ pub inconnue",IFERROR(INDEX(Pubs!$B$2:$B$3001,MATCH(G2956,Pubs!$A$2:$A$3001,0))&amp;"","⚠ pub inconnue")))</f>
        <v/>
      </c>
      <c r="I2956" s="27" t="str">
        <f aca="false">IF(OR(G2956="",G2956="?"),"",IFERROR(INDEX(Pubs!$C$2:$C$3001,MATCH(G2956,Pubs!$A$2:$A$3001,0))&amp;"",""))</f>
        <v/>
      </c>
      <c r="J2956" s="27" t="str">
        <f aca="false">IF(OR(G2956="",G2956="?"),"",IFERROR(INDEX(Pubs!$G$2:$G$3001,MATCH(G2956,Pubs!$A$2:$A$3001,0))&amp;"",""))</f>
        <v/>
      </c>
      <c r="K2956" s="28" t="str">
        <f aca="false">IF(OR(G2956="",G2956="?"),"",IFERROR(INDEX(Pubs!$E$2:$E$3001,MATCH(G2956,Pubs!$A$2:$A$3001,0)),""))</f>
        <v/>
      </c>
      <c r="L2956" s="29" t="str">
        <f aca="false">IF(A2956="","",IFERROR(1/(1/INDEX(Numéros!$C$2:$C$3001,MATCH(A2956&amp;"|"&amp;B2956,Numéros!$F$2:$F$3001,0))),""))</f>
        <v/>
      </c>
      <c r="M2956" s="27" t="str">
        <f aca="false">IF(OR(G2956="",G2956="?"),"",IFERROR(INDEX(Pubs!$D$2:$D$3001,MATCH(G2956,Pubs!$A$2:$A$3001,0))&amp;"",""))</f>
        <v/>
      </c>
      <c r="N2956" s="27" t="n">
        <f aca="false">N(N2955)+IF(AND(A2956&lt;&gt;"",OR(Recherche!$C$4="",A2956=Recherche!$C$4),OR(Recherche!$C$5="",B2956&amp;""=Recherche!$C$5&amp;""),OR(Recherche!$C$6="",IFERROR(YEAR(L2956),0)=Recherche!$C$6),OR(Recherche!$C$7="",ISNUMBER(SEARCH(Recherche!$C$7,H2956))),OR(Recherche!$C$8="",J2956=Recherche!$C$8),OR(Recherche!$C$9="",I2956=Recherche!$C$9),OR(Recherche!$C$10="",G2956&amp;""=Recherche!$C$10&amp;""),OR(Recherche!$C$11="",E2956=Recherche!$C$11),OR(Recherche!$C$12="",ISNUMBER(SEARCH(Recherche!$C$12,M2956&amp;" "&amp;F2956)))),1,0)</f>
        <v>8</v>
      </c>
    </row>
    <row r="2957" customFormat="false" ht="15" hidden="false" customHeight="false" outlineLevel="0" collapsed="false">
      <c r="A2957" s="19"/>
      <c r="B2957" s="19"/>
      <c r="C2957" s="19"/>
      <c r="D2957" s="19"/>
      <c r="E2957" s="22"/>
      <c r="F2957" s="19"/>
      <c r="G2957" s="26" t="str">
        <f aca="false">IF(D2957="","",IFERROR(VALUE(LEFT(D2957,FIND(" |",D2957&amp;" |")-1)),"?"))</f>
        <v/>
      </c>
      <c r="H2957" s="27" t="str">
        <f aca="false">IF(G2957="","",IF(G2957="?","⚠ pub inconnue",IFERROR(INDEX(Pubs!$B$2:$B$3001,MATCH(G2957,Pubs!$A$2:$A$3001,0))&amp;"","⚠ pub inconnue")))</f>
        <v/>
      </c>
      <c r="I2957" s="27" t="str">
        <f aca="false">IF(OR(G2957="",G2957="?"),"",IFERROR(INDEX(Pubs!$C$2:$C$3001,MATCH(G2957,Pubs!$A$2:$A$3001,0))&amp;"",""))</f>
        <v/>
      </c>
      <c r="J2957" s="27" t="str">
        <f aca="false">IF(OR(G2957="",G2957="?"),"",IFERROR(INDEX(Pubs!$G$2:$G$3001,MATCH(G2957,Pubs!$A$2:$A$3001,0))&amp;"",""))</f>
        <v/>
      </c>
      <c r="K2957" s="28" t="str">
        <f aca="false">IF(OR(G2957="",G2957="?"),"",IFERROR(INDEX(Pubs!$E$2:$E$3001,MATCH(G2957,Pubs!$A$2:$A$3001,0)),""))</f>
        <v/>
      </c>
      <c r="L2957" s="29" t="str">
        <f aca="false">IF(A2957="","",IFERROR(1/(1/INDEX(Numéros!$C$2:$C$3001,MATCH(A2957&amp;"|"&amp;B2957,Numéros!$F$2:$F$3001,0))),""))</f>
        <v/>
      </c>
      <c r="M2957" s="27" t="str">
        <f aca="false">IF(OR(G2957="",G2957="?"),"",IFERROR(INDEX(Pubs!$D$2:$D$3001,MATCH(G2957,Pubs!$A$2:$A$3001,0))&amp;"",""))</f>
        <v/>
      </c>
      <c r="N2957" s="27" t="n">
        <f aca="false">N(N2956)+IF(AND(A2957&lt;&gt;"",OR(Recherche!$C$4="",A2957=Recherche!$C$4),OR(Recherche!$C$5="",B2957&amp;""=Recherche!$C$5&amp;""),OR(Recherche!$C$6="",IFERROR(YEAR(L2957),0)=Recherche!$C$6),OR(Recherche!$C$7="",ISNUMBER(SEARCH(Recherche!$C$7,H2957))),OR(Recherche!$C$8="",J2957=Recherche!$C$8),OR(Recherche!$C$9="",I2957=Recherche!$C$9),OR(Recherche!$C$10="",G2957&amp;""=Recherche!$C$10&amp;""),OR(Recherche!$C$11="",E2957=Recherche!$C$11),OR(Recherche!$C$12="",ISNUMBER(SEARCH(Recherche!$C$12,M2957&amp;" "&amp;F2957)))),1,0)</f>
        <v>8</v>
      </c>
    </row>
    <row r="2958" customFormat="false" ht="15" hidden="false" customHeight="false" outlineLevel="0" collapsed="false">
      <c r="A2958" s="19"/>
      <c r="B2958" s="19"/>
      <c r="C2958" s="19"/>
      <c r="D2958" s="19"/>
      <c r="E2958" s="22"/>
      <c r="F2958" s="19"/>
      <c r="G2958" s="26" t="str">
        <f aca="false">IF(D2958="","",IFERROR(VALUE(LEFT(D2958,FIND(" |",D2958&amp;" |")-1)),"?"))</f>
        <v/>
      </c>
      <c r="H2958" s="27" t="str">
        <f aca="false">IF(G2958="","",IF(G2958="?","⚠ pub inconnue",IFERROR(INDEX(Pubs!$B$2:$B$3001,MATCH(G2958,Pubs!$A$2:$A$3001,0))&amp;"","⚠ pub inconnue")))</f>
        <v/>
      </c>
      <c r="I2958" s="27" t="str">
        <f aca="false">IF(OR(G2958="",G2958="?"),"",IFERROR(INDEX(Pubs!$C$2:$C$3001,MATCH(G2958,Pubs!$A$2:$A$3001,0))&amp;"",""))</f>
        <v/>
      </c>
      <c r="J2958" s="27" t="str">
        <f aca="false">IF(OR(G2958="",G2958="?"),"",IFERROR(INDEX(Pubs!$G$2:$G$3001,MATCH(G2958,Pubs!$A$2:$A$3001,0))&amp;"",""))</f>
        <v/>
      </c>
      <c r="K2958" s="28" t="str">
        <f aca="false">IF(OR(G2958="",G2958="?"),"",IFERROR(INDEX(Pubs!$E$2:$E$3001,MATCH(G2958,Pubs!$A$2:$A$3001,0)),""))</f>
        <v/>
      </c>
      <c r="L2958" s="29" t="str">
        <f aca="false">IF(A2958="","",IFERROR(1/(1/INDEX(Numéros!$C$2:$C$3001,MATCH(A2958&amp;"|"&amp;B2958,Numéros!$F$2:$F$3001,0))),""))</f>
        <v/>
      </c>
      <c r="M2958" s="27" t="str">
        <f aca="false">IF(OR(G2958="",G2958="?"),"",IFERROR(INDEX(Pubs!$D$2:$D$3001,MATCH(G2958,Pubs!$A$2:$A$3001,0))&amp;"",""))</f>
        <v/>
      </c>
      <c r="N2958" s="27" t="n">
        <f aca="false">N(N2957)+IF(AND(A2958&lt;&gt;"",OR(Recherche!$C$4="",A2958=Recherche!$C$4),OR(Recherche!$C$5="",B2958&amp;""=Recherche!$C$5&amp;""),OR(Recherche!$C$6="",IFERROR(YEAR(L2958),0)=Recherche!$C$6),OR(Recherche!$C$7="",ISNUMBER(SEARCH(Recherche!$C$7,H2958))),OR(Recherche!$C$8="",J2958=Recherche!$C$8),OR(Recherche!$C$9="",I2958=Recherche!$C$9),OR(Recherche!$C$10="",G2958&amp;""=Recherche!$C$10&amp;""),OR(Recherche!$C$11="",E2958=Recherche!$C$11),OR(Recherche!$C$12="",ISNUMBER(SEARCH(Recherche!$C$12,M2958&amp;" "&amp;F2958)))),1,0)</f>
        <v>8</v>
      </c>
    </row>
    <row r="2959" customFormat="false" ht="15" hidden="false" customHeight="false" outlineLevel="0" collapsed="false">
      <c r="A2959" s="19"/>
      <c r="B2959" s="19"/>
      <c r="C2959" s="19"/>
      <c r="D2959" s="19"/>
      <c r="E2959" s="22"/>
      <c r="F2959" s="19"/>
      <c r="G2959" s="26" t="str">
        <f aca="false">IF(D2959="","",IFERROR(VALUE(LEFT(D2959,FIND(" |",D2959&amp;" |")-1)),"?"))</f>
        <v/>
      </c>
      <c r="H2959" s="27" t="str">
        <f aca="false">IF(G2959="","",IF(G2959="?","⚠ pub inconnue",IFERROR(INDEX(Pubs!$B$2:$B$3001,MATCH(G2959,Pubs!$A$2:$A$3001,0))&amp;"","⚠ pub inconnue")))</f>
        <v/>
      </c>
      <c r="I2959" s="27" t="str">
        <f aca="false">IF(OR(G2959="",G2959="?"),"",IFERROR(INDEX(Pubs!$C$2:$C$3001,MATCH(G2959,Pubs!$A$2:$A$3001,0))&amp;"",""))</f>
        <v/>
      </c>
      <c r="J2959" s="27" t="str">
        <f aca="false">IF(OR(G2959="",G2959="?"),"",IFERROR(INDEX(Pubs!$G$2:$G$3001,MATCH(G2959,Pubs!$A$2:$A$3001,0))&amp;"",""))</f>
        <v/>
      </c>
      <c r="K2959" s="28" t="str">
        <f aca="false">IF(OR(G2959="",G2959="?"),"",IFERROR(INDEX(Pubs!$E$2:$E$3001,MATCH(G2959,Pubs!$A$2:$A$3001,0)),""))</f>
        <v/>
      </c>
      <c r="L2959" s="29" t="str">
        <f aca="false">IF(A2959="","",IFERROR(1/(1/INDEX(Numéros!$C$2:$C$3001,MATCH(A2959&amp;"|"&amp;B2959,Numéros!$F$2:$F$3001,0))),""))</f>
        <v/>
      </c>
      <c r="M2959" s="27" t="str">
        <f aca="false">IF(OR(G2959="",G2959="?"),"",IFERROR(INDEX(Pubs!$D$2:$D$3001,MATCH(G2959,Pubs!$A$2:$A$3001,0))&amp;"",""))</f>
        <v/>
      </c>
      <c r="N2959" s="27" t="n">
        <f aca="false">N(N2958)+IF(AND(A2959&lt;&gt;"",OR(Recherche!$C$4="",A2959=Recherche!$C$4),OR(Recherche!$C$5="",B2959&amp;""=Recherche!$C$5&amp;""),OR(Recherche!$C$6="",IFERROR(YEAR(L2959),0)=Recherche!$C$6),OR(Recherche!$C$7="",ISNUMBER(SEARCH(Recherche!$C$7,H2959))),OR(Recherche!$C$8="",J2959=Recherche!$C$8),OR(Recherche!$C$9="",I2959=Recherche!$C$9),OR(Recherche!$C$10="",G2959&amp;""=Recherche!$C$10&amp;""),OR(Recherche!$C$11="",E2959=Recherche!$C$11),OR(Recherche!$C$12="",ISNUMBER(SEARCH(Recherche!$C$12,M2959&amp;" "&amp;F2959)))),1,0)</f>
        <v>8</v>
      </c>
    </row>
    <row r="2960" customFormat="false" ht="15" hidden="false" customHeight="false" outlineLevel="0" collapsed="false">
      <c r="A2960" s="19"/>
      <c r="B2960" s="19"/>
      <c r="C2960" s="19"/>
      <c r="D2960" s="19"/>
      <c r="E2960" s="22"/>
      <c r="F2960" s="19"/>
      <c r="G2960" s="26" t="str">
        <f aca="false">IF(D2960="","",IFERROR(VALUE(LEFT(D2960,FIND(" |",D2960&amp;" |")-1)),"?"))</f>
        <v/>
      </c>
      <c r="H2960" s="27" t="str">
        <f aca="false">IF(G2960="","",IF(G2960="?","⚠ pub inconnue",IFERROR(INDEX(Pubs!$B$2:$B$3001,MATCH(G2960,Pubs!$A$2:$A$3001,0))&amp;"","⚠ pub inconnue")))</f>
        <v/>
      </c>
      <c r="I2960" s="27" t="str">
        <f aca="false">IF(OR(G2960="",G2960="?"),"",IFERROR(INDEX(Pubs!$C$2:$C$3001,MATCH(G2960,Pubs!$A$2:$A$3001,0))&amp;"",""))</f>
        <v/>
      </c>
      <c r="J2960" s="27" t="str">
        <f aca="false">IF(OR(G2960="",G2960="?"),"",IFERROR(INDEX(Pubs!$G$2:$G$3001,MATCH(G2960,Pubs!$A$2:$A$3001,0))&amp;"",""))</f>
        <v/>
      </c>
      <c r="K2960" s="28" t="str">
        <f aca="false">IF(OR(G2960="",G2960="?"),"",IFERROR(INDEX(Pubs!$E$2:$E$3001,MATCH(G2960,Pubs!$A$2:$A$3001,0)),""))</f>
        <v/>
      </c>
      <c r="L2960" s="29" t="str">
        <f aca="false">IF(A2960="","",IFERROR(1/(1/INDEX(Numéros!$C$2:$C$3001,MATCH(A2960&amp;"|"&amp;B2960,Numéros!$F$2:$F$3001,0))),""))</f>
        <v/>
      </c>
      <c r="M2960" s="27" t="str">
        <f aca="false">IF(OR(G2960="",G2960="?"),"",IFERROR(INDEX(Pubs!$D$2:$D$3001,MATCH(G2960,Pubs!$A$2:$A$3001,0))&amp;"",""))</f>
        <v/>
      </c>
      <c r="N2960" s="27" t="n">
        <f aca="false">N(N2959)+IF(AND(A2960&lt;&gt;"",OR(Recherche!$C$4="",A2960=Recherche!$C$4),OR(Recherche!$C$5="",B2960&amp;""=Recherche!$C$5&amp;""),OR(Recherche!$C$6="",IFERROR(YEAR(L2960),0)=Recherche!$C$6),OR(Recherche!$C$7="",ISNUMBER(SEARCH(Recherche!$C$7,H2960))),OR(Recherche!$C$8="",J2960=Recherche!$C$8),OR(Recherche!$C$9="",I2960=Recherche!$C$9),OR(Recherche!$C$10="",G2960&amp;""=Recherche!$C$10&amp;""),OR(Recherche!$C$11="",E2960=Recherche!$C$11),OR(Recherche!$C$12="",ISNUMBER(SEARCH(Recherche!$C$12,M2960&amp;" "&amp;F2960)))),1,0)</f>
        <v>8</v>
      </c>
    </row>
    <row r="2961" customFormat="false" ht="15" hidden="false" customHeight="false" outlineLevel="0" collapsed="false">
      <c r="A2961" s="19"/>
      <c r="B2961" s="19"/>
      <c r="C2961" s="19"/>
      <c r="D2961" s="19"/>
      <c r="E2961" s="22"/>
      <c r="F2961" s="19"/>
      <c r="G2961" s="26" t="str">
        <f aca="false">IF(D2961="","",IFERROR(VALUE(LEFT(D2961,FIND(" |",D2961&amp;" |")-1)),"?"))</f>
        <v/>
      </c>
      <c r="H2961" s="27" t="str">
        <f aca="false">IF(G2961="","",IF(G2961="?","⚠ pub inconnue",IFERROR(INDEX(Pubs!$B$2:$B$3001,MATCH(G2961,Pubs!$A$2:$A$3001,0))&amp;"","⚠ pub inconnue")))</f>
        <v/>
      </c>
      <c r="I2961" s="27" t="str">
        <f aca="false">IF(OR(G2961="",G2961="?"),"",IFERROR(INDEX(Pubs!$C$2:$C$3001,MATCH(G2961,Pubs!$A$2:$A$3001,0))&amp;"",""))</f>
        <v/>
      </c>
      <c r="J2961" s="27" t="str">
        <f aca="false">IF(OR(G2961="",G2961="?"),"",IFERROR(INDEX(Pubs!$G$2:$G$3001,MATCH(G2961,Pubs!$A$2:$A$3001,0))&amp;"",""))</f>
        <v/>
      </c>
      <c r="K2961" s="28" t="str">
        <f aca="false">IF(OR(G2961="",G2961="?"),"",IFERROR(INDEX(Pubs!$E$2:$E$3001,MATCH(G2961,Pubs!$A$2:$A$3001,0)),""))</f>
        <v/>
      </c>
      <c r="L2961" s="29" t="str">
        <f aca="false">IF(A2961="","",IFERROR(1/(1/INDEX(Numéros!$C$2:$C$3001,MATCH(A2961&amp;"|"&amp;B2961,Numéros!$F$2:$F$3001,0))),""))</f>
        <v/>
      </c>
      <c r="M2961" s="27" t="str">
        <f aca="false">IF(OR(G2961="",G2961="?"),"",IFERROR(INDEX(Pubs!$D$2:$D$3001,MATCH(G2961,Pubs!$A$2:$A$3001,0))&amp;"",""))</f>
        <v/>
      </c>
      <c r="N2961" s="27" t="n">
        <f aca="false">N(N2960)+IF(AND(A2961&lt;&gt;"",OR(Recherche!$C$4="",A2961=Recherche!$C$4),OR(Recherche!$C$5="",B2961&amp;""=Recherche!$C$5&amp;""),OR(Recherche!$C$6="",IFERROR(YEAR(L2961),0)=Recherche!$C$6),OR(Recherche!$C$7="",ISNUMBER(SEARCH(Recherche!$C$7,H2961))),OR(Recherche!$C$8="",J2961=Recherche!$C$8),OR(Recherche!$C$9="",I2961=Recherche!$C$9),OR(Recherche!$C$10="",G2961&amp;""=Recherche!$C$10&amp;""),OR(Recherche!$C$11="",E2961=Recherche!$C$11),OR(Recherche!$C$12="",ISNUMBER(SEARCH(Recherche!$C$12,M2961&amp;" "&amp;F2961)))),1,0)</f>
        <v>8</v>
      </c>
    </row>
    <row r="2962" customFormat="false" ht="15" hidden="false" customHeight="false" outlineLevel="0" collapsed="false">
      <c r="A2962" s="19"/>
      <c r="B2962" s="19"/>
      <c r="C2962" s="19"/>
      <c r="D2962" s="19"/>
      <c r="E2962" s="22"/>
      <c r="F2962" s="19"/>
      <c r="G2962" s="26" t="str">
        <f aca="false">IF(D2962="","",IFERROR(VALUE(LEFT(D2962,FIND(" |",D2962&amp;" |")-1)),"?"))</f>
        <v/>
      </c>
      <c r="H2962" s="27" t="str">
        <f aca="false">IF(G2962="","",IF(G2962="?","⚠ pub inconnue",IFERROR(INDEX(Pubs!$B$2:$B$3001,MATCH(G2962,Pubs!$A$2:$A$3001,0))&amp;"","⚠ pub inconnue")))</f>
        <v/>
      </c>
      <c r="I2962" s="27" t="str">
        <f aca="false">IF(OR(G2962="",G2962="?"),"",IFERROR(INDEX(Pubs!$C$2:$C$3001,MATCH(G2962,Pubs!$A$2:$A$3001,0))&amp;"",""))</f>
        <v/>
      </c>
      <c r="J2962" s="27" t="str">
        <f aca="false">IF(OR(G2962="",G2962="?"),"",IFERROR(INDEX(Pubs!$G$2:$G$3001,MATCH(G2962,Pubs!$A$2:$A$3001,0))&amp;"",""))</f>
        <v/>
      </c>
      <c r="K2962" s="28" t="str">
        <f aca="false">IF(OR(G2962="",G2962="?"),"",IFERROR(INDEX(Pubs!$E$2:$E$3001,MATCH(G2962,Pubs!$A$2:$A$3001,0)),""))</f>
        <v/>
      </c>
      <c r="L2962" s="29" t="str">
        <f aca="false">IF(A2962="","",IFERROR(1/(1/INDEX(Numéros!$C$2:$C$3001,MATCH(A2962&amp;"|"&amp;B2962,Numéros!$F$2:$F$3001,0))),""))</f>
        <v/>
      </c>
      <c r="M2962" s="27" t="str">
        <f aca="false">IF(OR(G2962="",G2962="?"),"",IFERROR(INDEX(Pubs!$D$2:$D$3001,MATCH(G2962,Pubs!$A$2:$A$3001,0))&amp;"",""))</f>
        <v/>
      </c>
      <c r="N2962" s="27" t="n">
        <f aca="false">N(N2961)+IF(AND(A2962&lt;&gt;"",OR(Recherche!$C$4="",A2962=Recherche!$C$4),OR(Recherche!$C$5="",B2962&amp;""=Recherche!$C$5&amp;""),OR(Recherche!$C$6="",IFERROR(YEAR(L2962),0)=Recherche!$C$6),OR(Recherche!$C$7="",ISNUMBER(SEARCH(Recherche!$C$7,H2962))),OR(Recherche!$C$8="",J2962=Recherche!$C$8),OR(Recherche!$C$9="",I2962=Recherche!$C$9),OR(Recherche!$C$10="",G2962&amp;""=Recherche!$C$10&amp;""),OR(Recherche!$C$11="",E2962=Recherche!$C$11),OR(Recherche!$C$12="",ISNUMBER(SEARCH(Recherche!$C$12,M2962&amp;" "&amp;F2962)))),1,0)</f>
        <v>8</v>
      </c>
    </row>
    <row r="2963" customFormat="false" ht="15" hidden="false" customHeight="false" outlineLevel="0" collapsed="false">
      <c r="A2963" s="19"/>
      <c r="B2963" s="19"/>
      <c r="C2963" s="19"/>
      <c r="D2963" s="19"/>
      <c r="E2963" s="22"/>
      <c r="F2963" s="19"/>
      <c r="G2963" s="26" t="str">
        <f aca="false">IF(D2963="","",IFERROR(VALUE(LEFT(D2963,FIND(" |",D2963&amp;" |")-1)),"?"))</f>
        <v/>
      </c>
      <c r="H2963" s="27" t="str">
        <f aca="false">IF(G2963="","",IF(G2963="?","⚠ pub inconnue",IFERROR(INDEX(Pubs!$B$2:$B$3001,MATCH(G2963,Pubs!$A$2:$A$3001,0))&amp;"","⚠ pub inconnue")))</f>
        <v/>
      </c>
      <c r="I2963" s="27" t="str">
        <f aca="false">IF(OR(G2963="",G2963="?"),"",IFERROR(INDEX(Pubs!$C$2:$C$3001,MATCH(G2963,Pubs!$A$2:$A$3001,0))&amp;"",""))</f>
        <v/>
      </c>
      <c r="J2963" s="27" t="str">
        <f aca="false">IF(OR(G2963="",G2963="?"),"",IFERROR(INDEX(Pubs!$G$2:$G$3001,MATCH(G2963,Pubs!$A$2:$A$3001,0))&amp;"",""))</f>
        <v/>
      </c>
      <c r="K2963" s="28" t="str">
        <f aca="false">IF(OR(G2963="",G2963="?"),"",IFERROR(INDEX(Pubs!$E$2:$E$3001,MATCH(G2963,Pubs!$A$2:$A$3001,0)),""))</f>
        <v/>
      </c>
      <c r="L2963" s="29" t="str">
        <f aca="false">IF(A2963="","",IFERROR(1/(1/INDEX(Numéros!$C$2:$C$3001,MATCH(A2963&amp;"|"&amp;B2963,Numéros!$F$2:$F$3001,0))),""))</f>
        <v/>
      </c>
      <c r="M2963" s="27" t="str">
        <f aca="false">IF(OR(G2963="",G2963="?"),"",IFERROR(INDEX(Pubs!$D$2:$D$3001,MATCH(G2963,Pubs!$A$2:$A$3001,0))&amp;"",""))</f>
        <v/>
      </c>
      <c r="N2963" s="27" t="n">
        <f aca="false">N(N2962)+IF(AND(A2963&lt;&gt;"",OR(Recherche!$C$4="",A2963=Recherche!$C$4),OR(Recherche!$C$5="",B2963&amp;""=Recherche!$C$5&amp;""),OR(Recherche!$C$6="",IFERROR(YEAR(L2963),0)=Recherche!$C$6),OR(Recherche!$C$7="",ISNUMBER(SEARCH(Recherche!$C$7,H2963))),OR(Recherche!$C$8="",J2963=Recherche!$C$8),OR(Recherche!$C$9="",I2963=Recherche!$C$9),OR(Recherche!$C$10="",G2963&amp;""=Recherche!$C$10&amp;""),OR(Recherche!$C$11="",E2963=Recherche!$C$11),OR(Recherche!$C$12="",ISNUMBER(SEARCH(Recherche!$C$12,M2963&amp;" "&amp;F2963)))),1,0)</f>
        <v>8</v>
      </c>
    </row>
    <row r="2964" customFormat="false" ht="15" hidden="false" customHeight="false" outlineLevel="0" collapsed="false">
      <c r="A2964" s="19"/>
      <c r="B2964" s="19"/>
      <c r="C2964" s="19"/>
      <c r="D2964" s="19"/>
      <c r="E2964" s="22"/>
      <c r="F2964" s="19"/>
      <c r="G2964" s="26" t="str">
        <f aca="false">IF(D2964="","",IFERROR(VALUE(LEFT(D2964,FIND(" |",D2964&amp;" |")-1)),"?"))</f>
        <v/>
      </c>
      <c r="H2964" s="27" t="str">
        <f aca="false">IF(G2964="","",IF(G2964="?","⚠ pub inconnue",IFERROR(INDEX(Pubs!$B$2:$B$3001,MATCH(G2964,Pubs!$A$2:$A$3001,0))&amp;"","⚠ pub inconnue")))</f>
        <v/>
      </c>
      <c r="I2964" s="27" t="str">
        <f aca="false">IF(OR(G2964="",G2964="?"),"",IFERROR(INDEX(Pubs!$C$2:$C$3001,MATCH(G2964,Pubs!$A$2:$A$3001,0))&amp;"",""))</f>
        <v/>
      </c>
      <c r="J2964" s="27" t="str">
        <f aca="false">IF(OR(G2964="",G2964="?"),"",IFERROR(INDEX(Pubs!$G$2:$G$3001,MATCH(G2964,Pubs!$A$2:$A$3001,0))&amp;"",""))</f>
        <v/>
      </c>
      <c r="K2964" s="28" t="str">
        <f aca="false">IF(OR(G2964="",G2964="?"),"",IFERROR(INDEX(Pubs!$E$2:$E$3001,MATCH(G2964,Pubs!$A$2:$A$3001,0)),""))</f>
        <v/>
      </c>
      <c r="L2964" s="29" t="str">
        <f aca="false">IF(A2964="","",IFERROR(1/(1/INDEX(Numéros!$C$2:$C$3001,MATCH(A2964&amp;"|"&amp;B2964,Numéros!$F$2:$F$3001,0))),""))</f>
        <v/>
      </c>
      <c r="M2964" s="27" t="str">
        <f aca="false">IF(OR(G2964="",G2964="?"),"",IFERROR(INDEX(Pubs!$D$2:$D$3001,MATCH(G2964,Pubs!$A$2:$A$3001,0))&amp;"",""))</f>
        <v/>
      </c>
      <c r="N2964" s="27" t="n">
        <f aca="false">N(N2963)+IF(AND(A2964&lt;&gt;"",OR(Recherche!$C$4="",A2964=Recherche!$C$4),OR(Recherche!$C$5="",B2964&amp;""=Recherche!$C$5&amp;""),OR(Recherche!$C$6="",IFERROR(YEAR(L2964),0)=Recherche!$C$6),OR(Recherche!$C$7="",ISNUMBER(SEARCH(Recherche!$C$7,H2964))),OR(Recherche!$C$8="",J2964=Recherche!$C$8),OR(Recherche!$C$9="",I2964=Recherche!$C$9),OR(Recherche!$C$10="",G2964&amp;""=Recherche!$C$10&amp;""),OR(Recherche!$C$11="",E2964=Recherche!$C$11),OR(Recherche!$C$12="",ISNUMBER(SEARCH(Recherche!$C$12,M2964&amp;" "&amp;F2964)))),1,0)</f>
        <v>8</v>
      </c>
    </row>
    <row r="2965" customFormat="false" ht="15" hidden="false" customHeight="false" outlineLevel="0" collapsed="false">
      <c r="A2965" s="19"/>
      <c r="B2965" s="19"/>
      <c r="C2965" s="19"/>
      <c r="D2965" s="19"/>
      <c r="E2965" s="22"/>
      <c r="F2965" s="19"/>
      <c r="G2965" s="26" t="str">
        <f aca="false">IF(D2965="","",IFERROR(VALUE(LEFT(D2965,FIND(" |",D2965&amp;" |")-1)),"?"))</f>
        <v/>
      </c>
      <c r="H2965" s="27" t="str">
        <f aca="false">IF(G2965="","",IF(G2965="?","⚠ pub inconnue",IFERROR(INDEX(Pubs!$B$2:$B$3001,MATCH(G2965,Pubs!$A$2:$A$3001,0))&amp;"","⚠ pub inconnue")))</f>
        <v/>
      </c>
      <c r="I2965" s="27" t="str">
        <f aca="false">IF(OR(G2965="",G2965="?"),"",IFERROR(INDEX(Pubs!$C$2:$C$3001,MATCH(G2965,Pubs!$A$2:$A$3001,0))&amp;"",""))</f>
        <v/>
      </c>
      <c r="J2965" s="27" t="str">
        <f aca="false">IF(OR(G2965="",G2965="?"),"",IFERROR(INDEX(Pubs!$G$2:$G$3001,MATCH(G2965,Pubs!$A$2:$A$3001,0))&amp;"",""))</f>
        <v/>
      </c>
      <c r="K2965" s="28" t="str">
        <f aca="false">IF(OR(G2965="",G2965="?"),"",IFERROR(INDEX(Pubs!$E$2:$E$3001,MATCH(G2965,Pubs!$A$2:$A$3001,0)),""))</f>
        <v/>
      </c>
      <c r="L2965" s="29" t="str">
        <f aca="false">IF(A2965="","",IFERROR(1/(1/INDEX(Numéros!$C$2:$C$3001,MATCH(A2965&amp;"|"&amp;B2965,Numéros!$F$2:$F$3001,0))),""))</f>
        <v/>
      </c>
      <c r="M2965" s="27" t="str">
        <f aca="false">IF(OR(G2965="",G2965="?"),"",IFERROR(INDEX(Pubs!$D$2:$D$3001,MATCH(G2965,Pubs!$A$2:$A$3001,0))&amp;"",""))</f>
        <v/>
      </c>
      <c r="N2965" s="27" t="n">
        <f aca="false">N(N2964)+IF(AND(A2965&lt;&gt;"",OR(Recherche!$C$4="",A2965=Recherche!$C$4),OR(Recherche!$C$5="",B2965&amp;""=Recherche!$C$5&amp;""),OR(Recherche!$C$6="",IFERROR(YEAR(L2965),0)=Recherche!$C$6),OR(Recherche!$C$7="",ISNUMBER(SEARCH(Recherche!$C$7,H2965))),OR(Recherche!$C$8="",J2965=Recherche!$C$8),OR(Recherche!$C$9="",I2965=Recherche!$C$9),OR(Recherche!$C$10="",G2965&amp;""=Recherche!$C$10&amp;""),OR(Recherche!$C$11="",E2965=Recherche!$C$11),OR(Recherche!$C$12="",ISNUMBER(SEARCH(Recherche!$C$12,M2965&amp;" "&amp;F2965)))),1,0)</f>
        <v>8</v>
      </c>
    </row>
    <row r="2966" customFormat="false" ht="15" hidden="false" customHeight="false" outlineLevel="0" collapsed="false">
      <c r="A2966" s="19"/>
      <c r="B2966" s="19"/>
      <c r="C2966" s="19"/>
      <c r="D2966" s="19"/>
      <c r="E2966" s="22"/>
      <c r="F2966" s="19"/>
      <c r="G2966" s="26" t="str">
        <f aca="false">IF(D2966="","",IFERROR(VALUE(LEFT(D2966,FIND(" |",D2966&amp;" |")-1)),"?"))</f>
        <v/>
      </c>
      <c r="H2966" s="27" t="str">
        <f aca="false">IF(G2966="","",IF(G2966="?","⚠ pub inconnue",IFERROR(INDEX(Pubs!$B$2:$B$3001,MATCH(G2966,Pubs!$A$2:$A$3001,0))&amp;"","⚠ pub inconnue")))</f>
        <v/>
      </c>
      <c r="I2966" s="27" t="str">
        <f aca="false">IF(OR(G2966="",G2966="?"),"",IFERROR(INDEX(Pubs!$C$2:$C$3001,MATCH(G2966,Pubs!$A$2:$A$3001,0))&amp;"",""))</f>
        <v/>
      </c>
      <c r="J2966" s="27" t="str">
        <f aca="false">IF(OR(G2966="",G2966="?"),"",IFERROR(INDEX(Pubs!$G$2:$G$3001,MATCH(G2966,Pubs!$A$2:$A$3001,0))&amp;"",""))</f>
        <v/>
      </c>
      <c r="K2966" s="28" t="str">
        <f aca="false">IF(OR(G2966="",G2966="?"),"",IFERROR(INDEX(Pubs!$E$2:$E$3001,MATCH(G2966,Pubs!$A$2:$A$3001,0)),""))</f>
        <v/>
      </c>
      <c r="L2966" s="29" t="str">
        <f aca="false">IF(A2966="","",IFERROR(1/(1/INDEX(Numéros!$C$2:$C$3001,MATCH(A2966&amp;"|"&amp;B2966,Numéros!$F$2:$F$3001,0))),""))</f>
        <v/>
      </c>
      <c r="M2966" s="27" t="str">
        <f aca="false">IF(OR(G2966="",G2966="?"),"",IFERROR(INDEX(Pubs!$D$2:$D$3001,MATCH(G2966,Pubs!$A$2:$A$3001,0))&amp;"",""))</f>
        <v/>
      </c>
      <c r="N2966" s="27" t="n">
        <f aca="false">N(N2965)+IF(AND(A2966&lt;&gt;"",OR(Recherche!$C$4="",A2966=Recherche!$C$4),OR(Recherche!$C$5="",B2966&amp;""=Recherche!$C$5&amp;""),OR(Recherche!$C$6="",IFERROR(YEAR(L2966),0)=Recherche!$C$6),OR(Recherche!$C$7="",ISNUMBER(SEARCH(Recherche!$C$7,H2966))),OR(Recherche!$C$8="",J2966=Recherche!$C$8),OR(Recherche!$C$9="",I2966=Recherche!$C$9),OR(Recherche!$C$10="",G2966&amp;""=Recherche!$C$10&amp;""),OR(Recherche!$C$11="",E2966=Recherche!$C$11),OR(Recherche!$C$12="",ISNUMBER(SEARCH(Recherche!$C$12,M2966&amp;" "&amp;F2966)))),1,0)</f>
        <v>8</v>
      </c>
    </row>
    <row r="2967" customFormat="false" ht="15" hidden="false" customHeight="false" outlineLevel="0" collapsed="false">
      <c r="A2967" s="19"/>
      <c r="B2967" s="19"/>
      <c r="C2967" s="19"/>
      <c r="D2967" s="19"/>
      <c r="E2967" s="22"/>
      <c r="F2967" s="19"/>
      <c r="G2967" s="26" t="str">
        <f aca="false">IF(D2967="","",IFERROR(VALUE(LEFT(D2967,FIND(" |",D2967&amp;" |")-1)),"?"))</f>
        <v/>
      </c>
      <c r="H2967" s="27" t="str">
        <f aca="false">IF(G2967="","",IF(G2967="?","⚠ pub inconnue",IFERROR(INDEX(Pubs!$B$2:$B$3001,MATCH(G2967,Pubs!$A$2:$A$3001,0))&amp;"","⚠ pub inconnue")))</f>
        <v/>
      </c>
      <c r="I2967" s="27" t="str">
        <f aca="false">IF(OR(G2967="",G2967="?"),"",IFERROR(INDEX(Pubs!$C$2:$C$3001,MATCH(G2967,Pubs!$A$2:$A$3001,0))&amp;"",""))</f>
        <v/>
      </c>
      <c r="J2967" s="27" t="str">
        <f aca="false">IF(OR(G2967="",G2967="?"),"",IFERROR(INDEX(Pubs!$G$2:$G$3001,MATCH(G2967,Pubs!$A$2:$A$3001,0))&amp;"",""))</f>
        <v/>
      </c>
      <c r="K2967" s="28" t="str">
        <f aca="false">IF(OR(G2967="",G2967="?"),"",IFERROR(INDEX(Pubs!$E$2:$E$3001,MATCH(G2967,Pubs!$A$2:$A$3001,0)),""))</f>
        <v/>
      </c>
      <c r="L2967" s="29" t="str">
        <f aca="false">IF(A2967="","",IFERROR(1/(1/INDEX(Numéros!$C$2:$C$3001,MATCH(A2967&amp;"|"&amp;B2967,Numéros!$F$2:$F$3001,0))),""))</f>
        <v/>
      </c>
      <c r="M2967" s="27" t="str">
        <f aca="false">IF(OR(G2967="",G2967="?"),"",IFERROR(INDEX(Pubs!$D$2:$D$3001,MATCH(G2967,Pubs!$A$2:$A$3001,0))&amp;"",""))</f>
        <v/>
      </c>
      <c r="N2967" s="27" t="n">
        <f aca="false">N(N2966)+IF(AND(A2967&lt;&gt;"",OR(Recherche!$C$4="",A2967=Recherche!$C$4),OR(Recherche!$C$5="",B2967&amp;""=Recherche!$C$5&amp;""),OR(Recherche!$C$6="",IFERROR(YEAR(L2967),0)=Recherche!$C$6),OR(Recherche!$C$7="",ISNUMBER(SEARCH(Recherche!$C$7,H2967))),OR(Recherche!$C$8="",J2967=Recherche!$C$8),OR(Recherche!$C$9="",I2967=Recherche!$C$9),OR(Recherche!$C$10="",G2967&amp;""=Recherche!$C$10&amp;""),OR(Recherche!$C$11="",E2967=Recherche!$C$11),OR(Recherche!$C$12="",ISNUMBER(SEARCH(Recherche!$C$12,M2967&amp;" "&amp;F2967)))),1,0)</f>
        <v>8</v>
      </c>
    </row>
    <row r="2968" customFormat="false" ht="15" hidden="false" customHeight="false" outlineLevel="0" collapsed="false">
      <c r="A2968" s="19"/>
      <c r="B2968" s="19"/>
      <c r="C2968" s="19"/>
      <c r="D2968" s="19"/>
      <c r="E2968" s="22"/>
      <c r="F2968" s="19"/>
      <c r="G2968" s="26" t="str">
        <f aca="false">IF(D2968="","",IFERROR(VALUE(LEFT(D2968,FIND(" |",D2968&amp;" |")-1)),"?"))</f>
        <v/>
      </c>
      <c r="H2968" s="27" t="str">
        <f aca="false">IF(G2968="","",IF(G2968="?","⚠ pub inconnue",IFERROR(INDEX(Pubs!$B$2:$B$3001,MATCH(G2968,Pubs!$A$2:$A$3001,0))&amp;"","⚠ pub inconnue")))</f>
        <v/>
      </c>
      <c r="I2968" s="27" t="str">
        <f aca="false">IF(OR(G2968="",G2968="?"),"",IFERROR(INDEX(Pubs!$C$2:$C$3001,MATCH(G2968,Pubs!$A$2:$A$3001,0))&amp;"",""))</f>
        <v/>
      </c>
      <c r="J2968" s="27" t="str">
        <f aca="false">IF(OR(G2968="",G2968="?"),"",IFERROR(INDEX(Pubs!$G$2:$G$3001,MATCH(G2968,Pubs!$A$2:$A$3001,0))&amp;"",""))</f>
        <v/>
      </c>
      <c r="K2968" s="28" t="str">
        <f aca="false">IF(OR(G2968="",G2968="?"),"",IFERROR(INDEX(Pubs!$E$2:$E$3001,MATCH(G2968,Pubs!$A$2:$A$3001,0)),""))</f>
        <v/>
      </c>
      <c r="L2968" s="29" t="str">
        <f aca="false">IF(A2968="","",IFERROR(1/(1/INDEX(Numéros!$C$2:$C$3001,MATCH(A2968&amp;"|"&amp;B2968,Numéros!$F$2:$F$3001,0))),""))</f>
        <v/>
      </c>
      <c r="M2968" s="27" t="str">
        <f aca="false">IF(OR(G2968="",G2968="?"),"",IFERROR(INDEX(Pubs!$D$2:$D$3001,MATCH(G2968,Pubs!$A$2:$A$3001,0))&amp;"",""))</f>
        <v/>
      </c>
      <c r="N2968" s="27" t="n">
        <f aca="false">N(N2967)+IF(AND(A2968&lt;&gt;"",OR(Recherche!$C$4="",A2968=Recherche!$C$4),OR(Recherche!$C$5="",B2968&amp;""=Recherche!$C$5&amp;""),OR(Recherche!$C$6="",IFERROR(YEAR(L2968),0)=Recherche!$C$6),OR(Recherche!$C$7="",ISNUMBER(SEARCH(Recherche!$C$7,H2968))),OR(Recherche!$C$8="",J2968=Recherche!$C$8),OR(Recherche!$C$9="",I2968=Recherche!$C$9),OR(Recherche!$C$10="",G2968&amp;""=Recherche!$C$10&amp;""),OR(Recherche!$C$11="",E2968=Recherche!$C$11),OR(Recherche!$C$12="",ISNUMBER(SEARCH(Recherche!$C$12,M2968&amp;" "&amp;F2968)))),1,0)</f>
        <v>8</v>
      </c>
    </row>
    <row r="2969" customFormat="false" ht="15" hidden="false" customHeight="false" outlineLevel="0" collapsed="false">
      <c r="A2969" s="19"/>
      <c r="B2969" s="19"/>
      <c r="C2969" s="19"/>
      <c r="D2969" s="19"/>
      <c r="E2969" s="22"/>
      <c r="F2969" s="19"/>
      <c r="G2969" s="26" t="str">
        <f aca="false">IF(D2969="","",IFERROR(VALUE(LEFT(D2969,FIND(" |",D2969&amp;" |")-1)),"?"))</f>
        <v/>
      </c>
      <c r="H2969" s="27" t="str">
        <f aca="false">IF(G2969="","",IF(G2969="?","⚠ pub inconnue",IFERROR(INDEX(Pubs!$B$2:$B$3001,MATCH(G2969,Pubs!$A$2:$A$3001,0))&amp;"","⚠ pub inconnue")))</f>
        <v/>
      </c>
      <c r="I2969" s="27" t="str">
        <f aca="false">IF(OR(G2969="",G2969="?"),"",IFERROR(INDEX(Pubs!$C$2:$C$3001,MATCH(G2969,Pubs!$A$2:$A$3001,0))&amp;"",""))</f>
        <v/>
      </c>
      <c r="J2969" s="27" t="str">
        <f aca="false">IF(OR(G2969="",G2969="?"),"",IFERROR(INDEX(Pubs!$G$2:$G$3001,MATCH(G2969,Pubs!$A$2:$A$3001,0))&amp;"",""))</f>
        <v/>
      </c>
      <c r="K2969" s="28" t="str">
        <f aca="false">IF(OR(G2969="",G2969="?"),"",IFERROR(INDEX(Pubs!$E$2:$E$3001,MATCH(G2969,Pubs!$A$2:$A$3001,0)),""))</f>
        <v/>
      </c>
      <c r="L2969" s="29" t="str">
        <f aca="false">IF(A2969="","",IFERROR(1/(1/INDEX(Numéros!$C$2:$C$3001,MATCH(A2969&amp;"|"&amp;B2969,Numéros!$F$2:$F$3001,0))),""))</f>
        <v/>
      </c>
      <c r="M2969" s="27" t="str">
        <f aca="false">IF(OR(G2969="",G2969="?"),"",IFERROR(INDEX(Pubs!$D$2:$D$3001,MATCH(G2969,Pubs!$A$2:$A$3001,0))&amp;"",""))</f>
        <v/>
      </c>
      <c r="N2969" s="27" t="n">
        <f aca="false">N(N2968)+IF(AND(A2969&lt;&gt;"",OR(Recherche!$C$4="",A2969=Recherche!$C$4),OR(Recherche!$C$5="",B2969&amp;""=Recherche!$C$5&amp;""),OR(Recherche!$C$6="",IFERROR(YEAR(L2969),0)=Recherche!$C$6),OR(Recherche!$C$7="",ISNUMBER(SEARCH(Recherche!$C$7,H2969))),OR(Recherche!$C$8="",J2969=Recherche!$C$8),OR(Recherche!$C$9="",I2969=Recherche!$C$9),OR(Recherche!$C$10="",G2969&amp;""=Recherche!$C$10&amp;""),OR(Recherche!$C$11="",E2969=Recherche!$C$11),OR(Recherche!$C$12="",ISNUMBER(SEARCH(Recherche!$C$12,M2969&amp;" "&amp;F2969)))),1,0)</f>
        <v>8</v>
      </c>
    </row>
    <row r="2970" customFormat="false" ht="15" hidden="false" customHeight="false" outlineLevel="0" collapsed="false">
      <c r="A2970" s="19"/>
      <c r="B2970" s="19"/>
      <c r="C2970" s="19"/>
      <c r="D2970" s="19"/>
      <c r="E2970" s="22"/>
      <c r="F2970" s="19"/>
      <c r="G2970" s="26" t="str">
        <f aca="false">IF(D2970="","",IFERROR(VALUE(LEFT(D2970,FIND(" |",D2970&amp;" |")-1)),"?"))</f>
        <v/>
      </c>
      <c r="H2970" s="27" t="str">
        <f aca="false">IF(G2970="","",IF(G2970="?","⚠ pub inconnue",IFERROR(INDEX(Pubs!$B$2:$B$3001,MATCH(G2970,Pubs!$A$2:$A$3001,0))&amp;"","⚠ pub inconnue")))</f>
        <v/>
      </c>
      <c r="I2970" s="27" t="str">
        <f aca="false">IF(OR(G2970="",G2970="?"),"",IFERROR(INDEX(Pubs!$C$2:$C$3001,MATCH(G2970,Pubs!$A$2:$A$3001,0))&amp;"",""))</f>
        <v/>
      </c>
      <c r="J2970" s="27" t="str">
        <f aca="false">IF(OR(G2970="",G2970="?"),"",IFERROR(INDEX(Pubs!$G$2:$G$3001,MATCH(G2970,Pubs!$A$2:$A$3001,0))&amp;"",""))</f>
        <v/>
      </c>
      <c r="K2970" s="28" t="str">
        <f aca="false">IF(OR(G2970="",G2970="?"),"",IFERROR(INDEX(Pubs!$E$2:$E$3001,MATCH(G2970,Pubs!$A$2:$A$3001,0)),""))</f>
        <v/>
      </c>
      <c r="L2970" s="29" t="str">
        <f aca="false">IF(A2970="","",IFERROR(1/(1/INDEX(Numéros!$C$2:$C$3001,MATCH(A2970&amp;"|"&amp;B2970,Numéros!$F$2:$F$3001,0))),""))</f>
        <v/>
      </c>
      <c r="M2970" s="27" t="str">
        <f aca="false">IF(OR(G2970="",G2970="?"),"",IFERROR(INDEX(Pubs!$D$2:$D$3001,MATCH(G2970,Pubs!$A$2:$A$3001,0))&amp;"",""))</f>
        <v/>
      </c>
      <c r="N2970" s="27" t="n">
        <f aca="false">N(N2969)+IF(AND(A2970&lt;&gt;"",OR(Recherche!$C$4="",A2970=Recherche!$C$4),OR(Recherche!$C$5="",B2970&amp;""=Recherche!$C$5&amp;""),OR(Recherche!$C$6="",IFERROR(YEAR(L2970),0)=Recherche!$C$6),OR(Recherche!$C$7="",ISNUMBER(SEARCH(Recherche!$C$7,H2970))),OR(Recherche!$C$8="",J2970=Recherche!$C$8),OR(Recherche!$C$9="",I2970=Recherche!$C$9),OR(Recherche!$C$10="",G2970&amp;""=Recherche!$C$10&amp;""),OR(Recherche!$C$11="",E2970=Recherche!$C$11),OR(Recherche!$C$12="",ISNUMBER(SEARCH(Recherche!$C$12,M2970&amp;" "&amp;F2970)))),1,0)</f>
        <v>8</v>
      </c>
    </row>
    <row r="2971" customFormat="false" ht="15" hidden="false" customHeight="false" outlineLevel="0" collapsed="false">
      <c r="A2971" s="19"/>
      <c r="B2971" s="19"/>
      <c r="C2971" s="19"/>
      <c r="D2971" s="19"/>
      <c r="E2971" s="22"/>
      <c r="F2971" s="19"/>
      <c r="G2971" s="26" t="str">
        <f aca="false">IF(D2971="","",IFERROR(VALUE(LEFT(D2971,FIND(" |",D2971&amp;" |")-1)),"?"))</f>
        <v/>
      </c>
      <c r="H2971" s="27" t="str">
        <f aca="false">IF(G2971="","",IF(G2971="?","⚠ pub inconnue",IFERROR(INDEX(Pubs!$B$2:$B$3001,MATCH(G2971,Pubs!$A$2:$A$3001,0))&amp;"","⚠ pub inconnue")))</f>
        <v/>
      </c>
      <c r="I2971" s="27" t="str">
        <f aca="false">IF(OR(G2971="",G2971="?"),"",IFERROR(INDEX(Pubs!$C$2:$C$3001,MATCH(G2971,Pubs!$A$2:$A$3001,0))&amp;"",""))</f>
        <v/>
      </c>
      <c r="J2971" s="27" t="str">
        <f aca="false">IF(OR(G2971="",G2971="?"),"",IFERROR(INDEX(Pubs!$G$2:$G$3001,MATCH(G2971,Pubs!$A$2:$A$3001,0))&amp;"",""))</f>
        <v/>
      </c>
      <c r="K2971" s="28" t="str">
        <f aca="false">IF(OR(G2971="",G2971="?"),"",IFERROR(INDEX(Pubs!$E$2:$E$3001,MATCH(G2971,Pubs!$A$2:$A$3001,0)),""))</f>
        <v/>
      </c>
      <c r="L2971" s="29" t="str">
        <f aca="false">IF(A2971="","",IFERROR(1/(1/INDEX(Numéros!$C$2:$C$3001,MATCH(A2971&amp;"|"&amp;B2971,Numéros!$F$2:$F$3001,0))),""))</f>
        <v/>
      </c>
      <c r="M2971" s="27" t="str">
        <f aca="false">IF(OR(G2971="",G2971="?"),"",IFERROR(INDEX(Pubs!$D$2:$D$3001,MATCH(G2971,Pubs!$A$2:$A$3001,0))&amp;"",""))</f>
        <v/>
      </c>
      <c r="N2971" s="27" t="n">
        <f aca="false">N(N2970)+IF(AND(A2971&lt;&gt;"",OR(Recherche!$C$4="",A2971=Recherche!$C$4),OR(Recherche!$C$5="",B2971&amp;""=Recherche!$C$5&amp;""),OR(Recherche!$C$6="",IFERROR(YEAR(L2971),0)=Recherche!$C$6),OR(Recherche!$C$7="",ISNUMBER(SEARCH(Recherche!$C$7,H2971))),OR(Recherche!$C$8="",J2971=Recherche!$C$8),OR(Recherche!$C$9="",I2971=Recherche!$C$9),OR(Recherche!$C$10="",G2971&amp;""=Recherche!$C$10&amp;""),OR(Recherche!$C$11="",E2971=Recherche!$C$11),OR(Recherche!$C$12="",ISNUMBER(SEARCH(Recherche!$C$12,M2971&amp;" "&amp;F2971)))),1,0)</f>
        <v>8</v>
      </c>
    </row>
    <row r="2972" customFormat="false" ht="15" hidden="false" customHeight="false" outlineLevel="0" collapsed="false">
      <c r="A2972" s="19"/>
      <c r="B2972" s="19"/>
      <c r="C2972" s="19"/>
      <c r="D2972" s="19"/>
      <c r="E2972" s="22"/>
      <c r="F2972" s="19"/>
      <c r="G2972" s="26" t="str">
        <f aca="false">IF(D2972="","",IFERROR(VALUE(LEFT(D2972,FIND(" |",D2972&amp;" |")-1)),"?"))</f>
        <v/>
      </c>
      <c r="H2972" s="27" t="str">
        <f aca="false">IF(G2972="","",IF(G2972="?","⚠ pub inconnue",IFERROR(INDEX(Pubs!$B$2:$B$3001,MATCH(G2972,Pubs!$A$2:$A$3001,0))&amp;"","⚠ pub inconnue")))</f>
        <v/>
      </c>
      <c r="I2972" s="27" t="str">
        <f aca="false">IF(OR(G2972="",G2972="?"),"",IFERROR(INDEX(Pubs!$C$2:$C$3001,MATCH(G2972,Pubs!$A$2:$A$3001,0))&amp;"",""))</f>
        <v/>
      </c>
      <c r="J2972" s="27" t="str">
        <f aca="false">IF(OR(G2972="",G2972="?"),"",IFERROR(INDEX(Pubs!$G$2:$G$3001,MATCH(G2972,Pubs!$A$2:$A$3001,0))&amp;"",""))</f>
        <v/>
      </c>
      <c r="K2972" s="28" t="str">
        <f aca="false">IF(OR(G2972="",G2972="?"),"",IFERROR(INDEX(Pubs!$E$2:$E$3001,MATCH(G2972,Pubs!$A$2:$A$3001,0)),""))</f>
        <v/>
      </c>
      <c r="L2972" s="29" t="str">
        <f aca="false">IF(A2972="","",IFERROR(1/(1/INDEX(Numéros!$C$2:$C$3001,MATCH(A2972&amp;"|"&amp;B2972,Numéros!$F$2:$F$3001,0))),""))</f>
        <v/>
      </c>
      <c r="M2972" s="27" t="str">
        <f aca="false">IF(OR(G2972="",G2972="?"),"",IFERROR(INDEX(Pubs!$D$2:$D$3001,MATCH(G2972,Pubs!$A$2:$A$3001,0))&amp;"",""))</f>
        <v/>
      </c>
      <c r="N2972" s="27" t="n">
        <f aca="false">N(N2971)+IF(AND(A2972&lt;&gt;"",OR(Recherche!$C$4="",A2972=Recherche!$C$4),OR(Recherche!$C$5="",B2972&amp;""=Recherche!$C$5&amp;""),OR(Recherche!$C$6="",IFERROR(YEAR(L2972),0)=Recherche!$C$6),OR(Recherche!$C$7="",ISNUMBER(SEARCH(Recherche!$C$7,H2972))),OR(Recherche!$C$8="",J2972=Recherche!$C$8),OR(Recherche!$C$9="",I2972=Recherche!$C$9),OR(Recherche!$C$10="",G2972&amp;""=Recherche!$C$10&amp;""),OR(Recherche!$C$11="",E2972=Recherche!$C$11),OR(Recherche!$C$12="",ISNUMBER(SEARCH(Recherche!$C$12,M2972&amp;" "&amp;F2972)))),1,0)</f>
        <v>8</v>
      </c>
    </row>
    <row r="2973" customFormat="false" ht="15" hidden="false" customHeight="false" outlineLevel="0" collapsed="false">
      <c r="A2973" s="19"/>
      <c r="B2973" s="19"/>
      <c r="C2973" s="19"/>
      <c r="D2973" s="19"/>
      <c r="E2973" s="22"/>
      <c r="F2973" s="19"/>
      <c r="G2973" s="26" t="str">
        <f aca="false">IF(D2973="","",IFERROR(VALUE(LEFT(D2973,FIND(" |",D2973&amp;" |")-1)),"?"))</f>
        <v/>
      </c>
      <c r="H2973" s="27" t="str">
        <f aca="false">IF(G2973="","",IF(G2973="?","⚠ pub inconnue",IFERROR(INDEX(Pubs!$B$2:$B$3001,MATCH(G2973,Pubs!$A$2:$A$3001,0))&amp;"","⚠ pub inconnue")))</f>
        <v/>
      </c>
      <c r="I2973" s="27" t="str">
        <f aca="false">IF(OR(G2973="",G2973="?"),"",IFERROR(INDEX(Pubs!$C$2:$C$3001,MATCH(G2973,Pubs!$A$2:$A$3001,0))&amp;"",""))</f>
        <v/>
      </c>
      <c r="J2973" s="27" t="str">
        <f aca="false">IF(OR(G2973="",G2973="?"),"",IFERROR(INDEX(Pubs!$G$2:$G$3001,MATCH(G2973,Pubs!$A$2:$A$3001,0))&amp;"",""))</f>
        <v/>
      </c>
      <c r="K2973" s="28" t="str">
        <f aca="false">IF(OR(G2973="",G2973="?"),"",IFERROR(INDEX(Pubs!$E$2:$E$3001,MATCH(G2973,Pubs!$A$2:$A$3001,0)),""))</f>
        <v/>
      </c>
      <c r="L2973" s="29" t="str">
        <f aca="false">IF(A2973="","",IFERROR(1/(1/INDEX(Numéros!$C$2:$C$3001,MATCH(A2973&amp;"|"&amp;B2973,Numéros!$F$2:$F$3001,0))),""))</f>
        <v/>
      </c>
      <c r="M2973" s="27" t="str">
        <f aca="false">IF(OR(G2973="",G2973="?"),"",IFERROR(INDEX(Pubs!$D$2:$D$3001,MATCH(G2973,Pubs!$A$2:$A$3001,0))&amp;"",""))</f>
        <v/>
      </c>
      <c r="N2973" s="27" t="n">
        <f aca="false">N(N2972)+IF(AND(A2973&lt;&gt;"",OR(Recherche!$C$4="",A2973=Recherche!$C$4),OR(Recherche!$C$5="",B2973&amp;""=Recherche!$C$5&amp;""),OR(Recherche!$C$6="",IFERROR(YEAR(L2973),0)=Recherche!$C$6),OR(Recherche!$C$7="",ISNUMBER(SEARCH(Recherche!$C$7,H2973))),OR(Recherche!$C$8="",J2973=Recherche!$C$8),OR(Recherche!$C$9="",I2973=Recherche!$C$9),OR(Recherche!$C$10="",G2973&amp;""=Recherche!$C$10&amp;""),OR(Recherche!$C$11="",E2973=Recherche!$C$11),OR(Recherche!$C$12="",ISNUMBER(SEARCH(Recherche!$C$12,M2973&amp;" "&amp;F2973)))),1,0)</f>
        <v>8</v>
      </c>
    </row>
    <row r="2974" customFormat="false" ht="15" hidden="false" customHeight="false" outlineLevel="0" collapsed="false">
      <c r="A2974" s="19"/>
      <c r="B2974" s="19"/>
      <c r="C2974" s="19"/>
      <c r="D2974" s="19"/>
      <c r="E2974" s="22"/>
      <c r="F2974" s="19"/>
      <c r="G2974" s="26" t="str">
        <f aca="false">IF(D2974="","",IFERROR(VALUE(LEFT(D2974,FIND(" |",D2974&amp;" |")-1)),"?"))</f>
        <v/>
      </c>
      <c r="H2974" s="27" t="str">
        <f aca="false">IF(G2974="","",IF(G2974="?","⚠ pub inconnue",IFERROR(INDEX(Pubs!$B$2:$B$3001,MATCH(G2974,Pubs!$A$2:$A$3001,0))&amp;"","⚠ pub inconnue")))</f>
        <v/>
      </c>
      <c r="I2974" s="27" t="str">
        <f aca="false">IF(OR(G2974="",G2974="?"),"",IFERROR(INDEX(Pubs!$C$2:$C$3001,MATCH(G2974,Pubs!$A$2:$A$3001,0))&amp;"",""))</f>
        <v/>
      </c>
      <c r="J2974" s="27" t="str">
        <f aca="false">IF(OR(G2974="",G2974="?"),"",IFERROR(INDEX(Pubs!$G$2:$G$3001,MATCH(G2974,Pubs!$A$2:$A$3001,0))&amp;"",""))</f>
        <v/>
      </c>
      <c r="K2974" s="28" t="str">
        <f aca="false">IF(OR(G2974="",G2974="?"),"",IFERROR(INDEX(Pubs!$E$2:$E$3001,MATCH(G2974,Pubs!$A$2:$A$3001,0)),""))</f>
        <v/>
      </c>
      <c r="L2974" s="29" t="str">
        <f aca="false">IF(A2974="","",IFERROR(1/(1/INDEX(Numéros!$C$2:$C$3001,MATCH(A2974&amp;"|"&amp;B2974,Numéros!$F$2:$F$3001,0))),""))</f>
        <v/>
      </c>
      <c r="M2974" s="27" t="str">
        <f aca="false">IF(OR(G2974="",G2974="?"),"",IFERROR(INDEX(Pubs!$D$2:$D$3001,MATCH(G2974,Pubs!$A$2:$A$3001,0))&amp;"",""))</f>
        <v/>
      </c>
      <c r="N2974" s="27" t="n">
        <f aca="false">N(N2973)+IF(AND(A2974&lt;&gt;"",OR(Recherche!$C$4="",A2974=Recherche!$C$4),OR(Recherche!$C$5="",B2974&amp;""=Recherche!$C$5&amp;""),OR(Recherche!$C$6="",IFERROR(YEAR(L2974),0)=Recherche!$C$6),OR(Recherche!$C$7="",ISNUMBER(SEARCH(Recherche!$C$7,H2974))),OR(Recherche!$C$8="",J2974=Recherche!$C$8),OR(Recherche!$C$9="",I2974=Recherche!$C$9),OR(Recherche!$C$10="",G2974&amp;""=Recherche!$C$10&amp;""),OR(Recherche!$C$11="",E2974=Recherche!$C$11),OR(Recherche!$C$12="",ISNUMBER(SEARCH(Recherche!$C$12,M2974&amp;" "&amp;F2974)))),1,0)</f>
        <v>8</v>
      </c>
    </row>
    <row r="2975" customFormat="false" ht="15" hidden="false" customHeight="false" outlineLevel="0" collapsed="false">
      <c r="A2975" s="19"/>
      <c r="B2975" s="19"/>
      <c r="C2975" s="19"/>
      <c r="D2975" s="19"/>
      <c r="E2975" s="22"/>
      <c r="F2975" s="19"/>
      <c r="G2975" s="26" t="str">
        <f aca="false">IF(D2975="","",IFERROR(VALUE(LEFT(D2975,FIND(" |",D2975&amp;" |")-1)),"?"))</f>
        <v/>
      </c>
      <c r="H2975" s="27" t="str">
        <f aca="false">IF(G2975="","",IF(G2975="?","⚠ pub inconnue",IFERROR(INDEX(Pubs!$B$2:$B$3001,MATCH(G2975,Pubs!$A$2:$A$3001,0))&amp;"","⚠ pub inconnue")))</f>
        <v/>
      </c>
      <c r="I2975" s="27" t="str">
        <f aca="false">IF(OR(G2975="",G2975="?"),"",IFERROR(INDEX(Pubs!$C$2:$C$3001,MATCH(G2975,Pubs!$A$2:$A$3001,0))&amp;"",""))</f>
        <v/>
      </c>
      <c r="J2975" s="27" t="str">
        <f aca="false">IF(OR(G2975="",G2975="?"),"",IFERROR(INDEX(Pubs!$G$2:$G$3001,MATCH(G2975,Pubs!$A$2:$A$3001,0))&amp;"",""))</f>
        <v/>
      </c>
      <c r="K2975" s="28" t="str">
        <f aca="false">IF(OR(G2975="",G2975="?"),"",IFERROR(INDEX(Pubs!$E$2:$E$3001,MATCH(G2975,Pubs!$A$2:$A$3001,0)),""))</f>
        <v/>
      </c>
      <c r="L2975" s="29" t="str">
        <f aca="false">IF(A2975="","",IFERROR(1/(1/INDEX(Numéros!$C$2:$C$3001,MATCH(A2975&amp;"|"&amp;B2975,Numéros!$F$2:$F$3001,0))),""))</f>
        <v/>
      </c>
      <c r="M2975" s="27" t="str">
        <f aca="false">IF(OR(G2975="",G2975="?"),"",IFERROR(INDEX(Pubs!$D$2:$D$3001,MATCH(G2975,Pubs!$A$2:$A$3001,0))&amp;"",""))</f>
        <v/>
      </c>
      <c r="N2975" s="27" t="n">
        <f aca="false">N(N2974)+IF(AND(A2975&lt;&gt;"",OR(Recherche!$C$4="",A2975=Recherche!$C$4),OR(Recherche!$C$5="",B2975&amp;""=Recherche!$C$5&amp;""),OR(Recherche!$C$6="",IFERROR(YEAR(L2975),0)=Recherche!$C$6),OR(Recherche!$C$7="",ISNUMBER(SEARCH(Recherche!$C$7,H2975))),OR(Recherche!$C$8="",J2975=Recherche!$C$8),OR(Recherche!$C$9="",I2975=Recherche!$C$9),OR(Recherche!$C$10="",G2975&amp;""=Recherche!$C$10&amp;""),OR(Recherche!$C$11="",E2975=Recherche!$C$11),OR(Recherche!$C$12="",ISNUMBER(SEARCH(Recherche!$C$12,M2975&amp;" "&amp;F2975)))),1,0)</f>
        <v>8</v>
      </c>
    </row>
    <row r="2976" customFormat="false" ht="15" hidden="false" customHeight="false" outlineLevel="0" collapsed="false">
      <c r="A2976" s="19"/>
      <c r="B2976" s="19"/>
      <c r="C2976" s="19"/>
      <c r="D2976" s="19"/>
      <c r="E2976" s="22"/>
      <c r="F2976" s="19"/>
      <c r="G2976" s="26" t="str">
        <f aca="false">IF(D2976="","",IFERROR(VALUE(LEFT(D2976,FIND(" |",D2976&amp;" |")-1)),"?"))</f>
        <v/>
      </c>
      <c r="H2976" s="27" t="str">
        <f aca="false">IF(G2976="","",IF(G2976="?","⚠ pub inconnue",IFERROR(INDEX(Pubs!$B$2:$B$3001,MATCH(G2976,Pubs!$A$2:$A$3001,0))&amp;"","⚠ pub inconnue")))</f>
        <v/>
      </c>
      <c r="I2976" s="27" t="str">
        <f aca="false">IF(OR(G2976="",G2976="?"),"",IFERROR(INDEX(Pubs!$C$2:$C$3001,MATCH(G2976,Pubs!$A$2:$A$3001,0))&amp;"",""))</f>
        <v/>
      </c>
      <c r="J2976" s="27" t="str">
        <f aca="false">IF(OR(G2976="",G2976="?"),"",IFERROR(INDEX(Pubs!$G$2:$G$3001,MATCH(G2976,Pubs!$A$2:$A$3001,0))&amp;"",""))</f>
        <v/>
      </c>
      <c r="K2976" s="28" t="str">
        <f aca="false">IF(OR(G2976="",G2976="?"),"",IFERROR(INDEX(Pubs!$E$2:$E$3001,MATCH(G2976,Pubs!$A$2:$A$3001,0)),""))</f>
        <v/>
      </c>
      <c r="L2976" s="29" t="str">
        <f aca="false">IF(A2976="","",IFERROR(1/(1/INDEX(Numéros!$C$2:$C$3001,MATCH(A2976&amp;"|"&amp;B2976,Numéros!$F$2:$F$3001,0))),""))</f>
        <v/>
      </c>
      <c r="M2976" s="27" t="str">
        <f aca="false">IF(OR(G2976="",G2976="?"),"",IFERROR(INDEX(Pubs!$D$2:$D$3001,MATCH(G2976,Pubs!$A$2:$A$3001,0))&amp;"",""))</f>
        <v/>
      </c>
      <c r="N2976" s="27" t="n">
        <f aca="false">N(N2975)+IF(AND(A2976&lt;&gt;"",OR(Recherche!$C$4="",A2976=Recherche!$C$4),OR(Recherche!$C$5="",B2976&amp;""=Recherche!$C$5&amp;""),OR(Recherche!$C$6="",IFERROR(YEAR(L2976),0)=Recherche!$C$6),OR(Recherche!$C$7="",ISNUMBER(SEARCH(Recherche!$C$7,H2976))),OR(Recherche!$C$8="",J2976=Recherche!$C$8),OR(Recherche!$C$9="",I2976=Recherche!$C$9),OR(Recherche!$C$10="",G2976&amp;""=Recherche!$C$10&amp;""),OR(Recherche!$C$11="",E2976=Recherche!$C$11),OR(Recherche!$C$12="",ISNUMBER(SEARCH(Recherche!$C$12,M2976&amp;" "&amp;F2976)))),1,0)</f>
        <v>8</v>
      </c>
    </row>
    <row r="2977" customFormat="false" ht="15" hidden="false" customHeight="false" outlineLevel="0" collapsed="false">
      <c r="A2977" s="19"/>
      <c r="B2977" s="19"/>
      <c r="C2977" s="19"/>
      <c r="D2977" s="19"/>
      <c r="E2977" s="22"/>
      <c r="F2977" s="19"/>
      <c r="G2977" s="26" t="str">
        <f aca="false">IF(D2977="","",IFERROR(VALUE(LEFT(D2977,FIND(" |",D2977&amp;" |")-1)),"?"))</f>
        <v/>
      </c>
      <c r="H2977" s="27" t="str">
        <f aca="false">IF(G2977="","",IF(G2977="?","⚠ pub inconnue",IFERROR(INDEX(Pubs!$B$2:$B$3001,MATCH(G2977,Pubs!$A$2:$A$3001,0))&amp;"","⚠ pub inconnue")))</f>
        <v/>
      </c>
      <c r="I2977" s="27" t="str">
        <f aca="false">IF(OR(G2977="",G2977="?"),"",IFERROR(INDEX(Pubs!$C$2:$C$3001,MATCH(G2977,Pubs!$A$2:$A$3001,0))&amp;"",""))</f>
        <v/>
      </c>
      <c r="J2977" s="27" t="str">
        <f aca="false">IF(OR(G2977="",G2977="?"),"",IFERROR(INDEX(Pubs!$G$2:$G$3001,MATCH(G2977,Pubs!$A$2:$A$3001,0))&amp;"",""))</f>
        <v/>
      </c>
      <c r="K2977" s="28" t="str">
        <f aca="false">IF(OR(G2977="",G2977="?"),"",IFERROR(INDEX(Pubs!$E$2:$E$3001,MATCH(G2977,Pubs!$A$2:$A$3001,0)),""))</f>
        <v/>
      </c>
      <c r="L2977" s="29" t="str">
        <f aca="false">IF(A2977="","",IFERROR(1/(1/INDEX(Numéros!$C$2:$C$3001,MATCH(A2977&amp;"|"&amp;B2977,Numéros!$F$2:$F$3001,0))),""))</f>
        <v/>
      </c>
      <c r="M2977" s="27" t="str">
        <f aca="false">IF(OR(G2977="",G2977="?"),"",IFERROR(INDEX(Pubs!$D$2:$D$3001,MATCH(G2977,Pubs!$A$2:$A$3001,0))&amp;"",""))</f>
        <v/>
      </c>
      <c r="N2977" s="27" t="n">
        <f aca="false">N(N2976)+IF(AND(A2977&lt;&gt;"",OR(Recherche!$C$4="",A2977=Recherche!$C$4),OR(Recherche!$C$5="",B2977&amp;""=Recherche!$C$5&amp;""),OR(Recherche!$C$6="",IFERROR(YEAR(L2977),0)=Recherche!$C$6),OR(Recherche!$C$7="",ISNUMBER(SEARCH(Recherche!$C$7,H2977))),OR(Recherche!$C$8="",J2977=Recherche!$C$8),OR(Recherche!$C$9="",I2977=Recherche!$C$9),OR(Recherche!$C$10="",G2977&amp;""=Recherche!$C$10&amp;""),OR(Recherche!$C$11="",E2977=Recherche!$C$11),OR(Recherche!$C$12="",ISNUMBER(SEARCH(Recherche!$C$12,M2977&amp;" "&amp;F2977)))),1,0)</f>
        <v>8</v>
      </c>
    </row>
    <row r="2978" customFormat="false" ht="15" hidden="false" customHeight="false" outlineLevel="0" collapsed="false">
      <c r="A2978" s="19"/>
      <c r="B2978" s="19"/>
      <c r="C2978" s="19"/>
      <c r="D2978" s="19"/>
      <c r="E2978" s="22"/>
      <c r="F2978" s="19"/>
      <c r="G2978" s="26" t="str">
        <f aca="false">IF(D2978="","",IFERROR(VALUE(LEFT(D2978,FIND(" |",D2978&amp;" |")-1)),"?"))</f>
        <v/>
      </c>
      <c r="H2978" s="27" t="str">
        <f aca="false">IF(G2978="","",IF(G2978="?","⚠ pub inconnue",IFERROR(INDEX(Pubs!$B$2:$B$3001,MATCH(G2978,Pubs!$A$2:$A$3001,0))&amp;"","⚠ pub inconnue")))</f>
        <v/>
      </c>
      <c r="I2978" s="27" t="str">
        <f aca="false">IF(OR(G2978="",G2978="?"),"",IFERROR(INDEX(Pubs!$C$2:$C$3001,MATCH(G2978,Pubs!$A$2:$A$3001,0))&amp;"",""))</f>
        <v/>
      </c>
      <c r="J2978" s="27" t="str">
        <f aca="false">IF(OR(G2978="",G2978="?"),"",IFERROR(INDEX(Pubs!$G$2:$G$3001,MATCH(G2978,Pubs!$A$2:$A$3001,0))&amp;"",""))</f>
        <v/>
      </c>
      <c r="K2978" s="28" t="str">
        <f aca="false">IF(OR(G2978="",G2978="?"),"",IFERROR(INDEX(Pubs!$E$2:$E$3001,MATCH(G2978,Pubs!$A$2:$A$3001,0)),""))</f>
        <v/>
      </c>
      <c r="L2978" s="29" t="str">
        <f aca="false">IF(A2978="","",IFERROR(1/(1/INDEX(Numéros!$C$2:$C$3001,MATCH(A2978&amp;"|"&amp;B2978,Numéros!$F$2:$F$3001,0))),""))</f>
        <v/>
      </c>
      <c r="M2978" s="27" t="str">
        <f aca="false">IF(OR(G2978="",G2978="?"),"",IFERROR(INDEX(Pubs!$D$2:$D$3001,MATCH(G2978,Pubs!$A$2:$A$3001,0))&amp;"",""))</f>
        <v/>
      </c>
      <c r="N2978" s="27" t="n">
        <f aca="false">N(N2977)+IF(AND(A2978&lt;&gt;"",OR(Recherche!$C$4="",A2978=Recherche!$C$4),OR(Recherche!$C$5="",B2978&amp;""=Recherche!$C$5&amp;""),OR(Recherche!$C$6="",IFERROR(YEAR(L2978),0)=Recherche!$C$6),OR(Recherche!$C$7="",ISNUMBER(SEARCH(Recherche!$C$7,H2978))),OR(Recherche!$C$8="",J2978=Recherche!$C$8),OR(Recherche!$C$9="",I2978=Recherche!$C$9),OR(Recherche!$C$10="",G2978&amp;""=Recherche!$C$10&amp;""),OR(Recherche!$C$11="",E2978=Recherche!$C$11),OR(Recherche!$C$12="",ISNUMBER(SEARCH(Recherche!$C$12,M2978&amp;" "&amp;F2978)))),1,0)</f>
        <v>8</v>
      </c>
    </row>
    <row r="2979" customFormat="false" ht="15" hidden="false" customHeight="false" outlineLevel="0" collapsed="false">
      <c r="A2979" s="19"/>
      <c r="B2979" s="19"/>
      <c r="C2979" s="19"/>
      <c r="D2979" s="19"/>
      <c r="E2979" s="22"/>
      <c r="F2979" s="19"/>
      <c r="G2979" s="26" t="str">
        <f aca="false">IF(D2979="","",IFERROR(VALUE(LEFT(D2979,FIND(" |",D2979&amp;" |")-1)),"?"))</f>
        <v/>
      </c>
      <c r="H2979" s="27" t="str">
        <f aca="false">IF(G2979="","",IF(G2979="?","⚠ pub inconnue",IFERROR(INDEX(Pubs!$B$2:$B$3001,MATCH(G2979,Pubs!$A$2:$A$3001,0))&amp;"","⚠ pub inconnue")))</f>
        <v/>
      </c>
      <c r="I2979" s="27" t="str">
        <f aca="false">IF(OR(G2979="",G2979="?"),"",IFERROR(INDEX(Pubs!$C$2:$C$3001,MATCH(G2979,Pubs!$A$2:$A$3001,0))&amp;"",""))</f>
        <v/>
      </c>
      <c r="J2979" s="27" t="str">
        <f aca="false">IF(OR(G2979="",G2979="?"),"",IFERROR(INDEX(Pubs!$G$2:$G$3001,MATCH(G2979,Pubs!$A$2:$A$3001,0))&amp;"",""))</f>
        <v/>
      </c>
      <c r="K2979" s="28" t="str">
        <f aca="false">IF(OR(G2979="",G2979="?"),"",IFERROR(INDEX(Pubs!$E$2:$E$3001,MATCH(G2979,Pubs!$A$2:$A$3001,0)),""))</f>
        <v/>
      </c>
      <c r="L2979" s="29" t="str">
        <f aca="false">IF(A2979="","",IFERROR(1/(1/INDEX(Numéros!$C$2:$C$3001,MATCH(A2979&amp;"|"&amp;B2979,Numéros!$F$2:$F$3001,0))),""))</f>
        <v/>
      </c>
      <c r="M2979" s="27" t="str">
        <f aca="false">IF(OR(G2979="",G2979="?"),"",IFERROR(INDEX(Pubs!$D$2:$D$3001,MATCH(G2979,Pubs!$A$2:$A$3001,0))&amp;"",""))</f>
        <v/>
      </c>
      <c r="N2979" s="27" t="n">
        <f aca="false">N(N2978)+IF(AND(A2979&lt;&gt;"",OR(Recherche!$C$4="",A2979=Recherche!$C$4),OR(Recherche!$C$5="",B2979&amp;""=Recherche!$C$5&amp;""),OR(Recherche!$C$6="",IFERROR(YEAR(L2979),0)=Recherche!$C$6),OR(Recherche!$C$7="",ISNUMBER(SEARCH(Recherche!$C$7,H2979))),OR(Recherche!$C$8="",J2979=Recherche!$C$8),OR(Recherche!$C$9="",I2979=Recherche!$C$9),OR(Recherche!$C$10="",G2979&amp;""=Recherche!$C$10&amp;""),OR(Recherche!$C$11="",E2979=Recherche!$C$11),OR(Recherche!$C$12="",ISNUMBER(SEARCH(Recherche!$C$12,M2979&amp;" "&amp;F2979)))),1,0)</f>
        <v>8</v>
      </c>
    </row>
    <row r="2980" customFormat="false" ht="15" hidden="false" customHeight="false" outlineLevel="0" collapsed="false">
      <c r="A2980" s="19"/>
      <c r="B2980" s="19"/>
      <c r="C2980" s="19"/>
      <c r="D2980" s="19"/>
      <c r="E2980" s="22"/>
      <c r="F2980" s="19"/>
      <c r="G2980" s="26" t="str">
        <f aca="false">IF(D2980="","",IFERROR(VALUE(LEFT(D2980,FIND(" |",D2980&amp;" |")-1)),"?"))</f>
        <v/>
      </c>
      <c r="H2980" s="27" t="str">
        <f aca="false">IF(G2980="","",IF(G2980="?","⚠ pub inconnue",IFERROR(INDEX(Pubs!$B$2:$B$3001,MATCH(G2980,Pubs!$A$2:$A$3001,0))&amp;"","⚠ pub inconnue")))</f>
        <v/>
      </c>
      <c r="I2980" s="27" t="str">
        <f aca="false">IF(OR(G2980="",G2980="?"),"",IFERROR(INDEX(Pubs!$C$2:$C$3001,MATCH(G2980,Pubs!$A$2:$A$3001,0))&amp;"",""))</f>
        <v/>
      </c>
      <c r="J2980" s="27" t="str">
        <f aca="false">IF(OR(G2980="",G2980="?"),"",IFERROR(INDEX(Pubs!$G$2:$G$3001,MATCH(G2980,Pubs!$A$2:$A$3001,0))&amp;"",""))</f>
        <v/>
      </c>
      <c r="K2980" s="28" t="str">
        <f aca="false">IF(OR(G2980="",G2980="?"),"",IFERROR(INDEX(Pubs!$E$2:$E$3001,MATCH(G2980,Pubs!$A$2:$A$3001,0)),""))</f>
        <v/>
      </c>
      <c r="L2980" s="29" t="str">
        <f aca="false">IF(A2980="","",IFERROR(1/(1/INDEX(Numéros!$C$2:$C$3001,MATCH(A2980&amp;"|"&amp;B2980,Numéros!$F$2:$F$3001,0))),""))</f>
        <v/>
      </c>
      <c r="M2980" s="27" t="str">
        <f aca="false">IF(OR(G2980="",G2980="?"),"",IFERROR(INDEX(Pubs!$D$2:$D$3001,MATCH(G2980,Pubs!$A$2:$A$3001,0))&amp;"",""))</f>
        <v/>
      </c>
      <c r="N2980" s="27" t="n">
        <f aca="false">N(N2979)+IF(AND(A2980&lt;&gt;"",OR(Recherche!$C$4="",A2980=Recherche!$C$4),OR(Recherche!$C$5="",B2980&amp;""=Recherche!$C$5&amp;""),OR(Recherche!$C$6="",IFERROR(YEAR(L2980),0)=Recherche!$C$6),OR(Recherche!$C$7="",ISNUMBER(SEARCH(Recherche!$C$7,H2980))),OR(Recherche!$C$8="",J2980=Recherche!$C$8),OR(Recherche!$C$9="",I2980=Recherche!$C$9),OR(Recherche!$C$10="",G2980&amp;""=Recherche!$C$10&amp;""),OR(Recherche!$C$11="",E2980=Recherche!$C$11),OR(Recherche!$C$12="",ISNUMBER(SEARCH(Recherche!$C$12,M2980&amp;" "&amp;F2980)))),1,0)</f>
        <v>8</v>
      </c>
    </row>
    <row r="2981" customFormat="false" ht="15" hidden="false" customHeight="false" outlineLevel="0" collapsed="false">
      <c r="A2981" s="19"/>
      <c r="B2981" s="19"/>
      <c r="C2981" s="19"/>
      <c r="D2981" s="19"/>
      <c r="E2981" s="22"/>
      <c r="F2981" s="19"/>
      <c r="G2981" s="26" t="str">
        <f aca="false">IF(D2981="","",IFERROR(VALUE(LEFT(D2981,FIND(" |",D2981&amp;" |")-1)),"?"))</f>
        <v/>
      </c>
      <c r="H2981" s="27" t="str">
        <f aca="false">IF(G2981="","",IF(G2981="?","⚠ pub inconnue",IFERROR(INDEX(Pubs!$B$2:$B$3001,MATCH(G2981,Pubs!$A$2:$A$3001,0))&amp;"","⚠ pub inconnue")))</f>
        <v/>
      </c>
      <c r="I2981" s="27" t="str">
        <f aca="false">IF(OR(G2981="",G2981="?"),"",IFERROR(INDEX(Pubs!$C$2:$C$3001,MATCH(G2981,Pubs!$A$2:$A$3001,0))&amp;"",""))</f>
        <v/>
      </c>
      <c r="J2981" s="27" t="str">
        <f aca="false">IF(OR(G2981="",G2981="?"),"",IFERROR(INDEX(Pubs!$G$2:$G$3001,MATCH(G2981,Pubs!$A$2:$A$3001,0))&amp;"",""))</f>
        <v/>
      </c>
      <c r="K2981" s="28" t="str">
        <f aca="false">IF(OR(G2981="",G2981="?"),"",IFERROR(INDEX(Pubs!$E$2:$E$3001,MATCH(G2981,Pubs!$A$2:$A$3001,0)),""))</f>
        <v/>
      </c>
      <c r="L2981" s="29" t="str">
        <f aca="false">IF(A2981="","",IFERROR(1/(1/INDEX(Numéros!$C$2:$C$3001,MATCH(A2981&amp;"|"&amp;B2981,Numéros!$F$2:$F$3001,0))),""))</f>
        <v/>
      </c>
      <c r="M2981" s="27" t="str">
        <f aca="false">IF(OR(G2981="",G2981="?"),"",IFERROR(INDEX(Pubs!$D$2:$D$3001,MATCH(G2981,Pubs!$A$2:$A$3001,0))&amp;"",""))</f>
        <v/>
      </c>
      <c r="N2981" s="27" t="n">
        <f aca="false">N(N2980)+IF(AND(A2981&lt;&gt;"",OR(Recherche!$C$4="",A2981=Recherche!$C$4),OR(Recherche!$C$5="",B2981&amp;""=Recherche!$C$5&amp;""),OR(Recherche!$C$6="",IFERROR(YEAR(L2981),0)=Recherche!$C$6),OR(Recherche!$C$7="",ISNUMBER(SEARCH(Recherche!$C$7,H2981))),OR(Recherche!$C$8="",J2981=Recherche!$C$8),OR(Recherche!$C$9="",I2981=Recherche!$C$9),OR(Recherche!$C$10="",G2981&amp;""=Recherche!$C$10&amp;""),OR(Recherche!$C$11="",E2981=Recherche!$C$11),OR(Recherche!$C$12="",ISNUMBER(SEARCH(Recherche!$C$12,M2981&amp;" "&amp;F2981)))),1,0)</f>
        <v>8</v>
      </c>
    </row>
    <row r="2982" customFormat="false" ht="15" hidden="false" customHeight="false" outlineLevel="0" collapsed="false">
      <c r="A2982" s="19"/>
      <c r="B2982" s="19"/>
      <c r="C2982" s="19"/>
      <c r="D2982" s="19"/>
      <c r="E2982" s="22"/>
      <c r="F2982" s="19"/>
      <c r="G2982" s="26" t="str">
        <f aca="false">IF(D2982="","",IFERROR(VALUE(LEFT(D2982,FIND(" |",D2982&amp;" |")-1)),"?"))</f>
        <v/>
      </c>
      <c r="H2982" s="27" t="str">
        <f aca="false">IF(G2982="","",IF(G2982="?","⚠ pub inconnue",IFERROR(INDEX(Pubs!$B$2:$B$3001,MATCH(G2982,Pubs!$A$2:$A$3001,0))&amp;"","⚠ pub inconnue")))</f>
        <v/>
      </c>
      <c r="I2982" s="27" t="str">
        <f aca="false">IF(OR(G2982="",G2982="?"),"",IFERROR(INDEX(Pubs!$C$2:$C$3001,MATCH(G2982,Pubs!$A$2:$A$3001,0))&amp;"",""))</f>
        <v/>
      </c>
      <c r="J2982" s="27" t="str">
        <f aca="false">IF(OR(G2982="",G2982="?"),"",IFERROR(INDEX(Pubs!$G$2:$G$3001,MATCH(G2982,Pubs!$A$2:$A$3001,0))&amp;"",""))</f>
        <v/>
      </c>
      <c r="K2982" s="28" t="str">
        <f aca="false">IF(OR(G2982="",G2982="?"),"",IFERROR(INDEX(Pubs!$E$2:$E$3001,MATCH(G2982,Pubs!$A$2:$A$3001,0)),""))</f>
        <v/>
      </c>
      <c r="L2982" s="29" t="str">
        <f aca="false">IF(A2982="","",IFERROR(1/(1/INDEX(Numéros!$C$2:$C$3001,MATCH(A2982&amp;"|"&amp;B2982,Numéros!$F$2:$F$3001,0))),""))</f>
        <v/>
      </c>
      <c r="M2982" s="27" t="str">
        <f aca="false">IF(OR(G2982="",G2982="?"),"",IFERROR(INDEX(Pubs!$D$2:$D$3001,MATCH(G2982,Pubs!$A$2:$A$3001,0))&amp;"",""))</f>
        <v/>
      </c>
      <c r="N2982" s="27" t="n">
        <f aca="false">N(N2981)+IF(AND(A2982&lt;&gt;"",OR(Recherche!$C$4="",A2982=Recherche!$C$4),OR(Recherche!$C$5="",B2982&amp;""=Recherche!$C$5&amp;""),OR(Recherche!$C$6="",IFERROR(YEAR(L2982),0)=Recherche!$C$6),OR(Recherche!$C$7="",ISNUMBER(SEARCH(Recherche!$C$7,H2982))),OR(Recherche!$C$8="",J2982=Recherche!$C$8),OR(Recherche!$C$9="",I2982=Recherche!$C$9),OR(Recherche!$C$10="",G2982&amp;""=Recherche!$C$10&amp;""),OR(Recherche!$C$11="",E2982=Recherche!$C$11),OR(Recherche!$C$12="",ISNUMBER(SEARCH(Recherche!$C$12,M2982&amp;" "&amp;F2982)))),1,0)</f>
        <v>8</v>
      </c>
    </row>
    <row r="2983" customFormat="false" ht="15" hidden="false" customHeight="false" outlineLevel="0" collapsed="false">
      <c r="A2983" s="19"/>
      <c r="B2983" s="19"/>
      <c r="C2983" s="19"/>
      <c r="D2983" s="19"/>
      <c r="E2983" s="22"/>
      <c r="F2983" s="19"/>
      <c r="G2983" s="26" t="str">
        <f aca="false">IF(D2983="","",IFERROR(VALUE(LEFT(D2983,FIND(" |",D2983&amp;" |")-1)),"?"))</f>
        <v/>
      </c>
      <c r="H2983" s="27" t="str">
        <f aca="false">IF(G2983="","",IF(G2983="?","⚠ pub inconnue",IFERROR(INDEX(Pubs!$B$2:$B$3001,MATCH(G2983,Pubs!$A$2:$A$3001,0))&amp;"","⚠ pub inconnue")))</f>
        <v/>
      </c>
      <c r="I2983" s="27" t="str">
        <f aca="false">IF(OR(G2983="",G2983="?"),"",IFERROR(INDEX(Pubs!$C$2:$C$3001,MATCH(G2983,Pubs!$A$2:$A$3001,0))&amp;"",""))</f>
        <v/>
      </c>
      <c r="J2983" s="27" t="str">
        <f aca="false">IF(OR(G2983="",G2983="?"),"",IFERROR(INDEX(Pubs!$G$2:$G$3001,MATCH(G2983,Pubs!$A$2:$A$3001,0))&amp;"",""))</f>
        <v/>
      </c>
      <c r="K2983" s="28" t="str">
        <f aca="false">IF(OR(G2983="",G2983="?"),"",IFERROR(INDEX(Pubs!$E$2:$E$3001,MATCH(G2983,Pubs!$A$2:$A$3001,0)),""))</f>
        <v/>
      </c>
      <c r="L2983" s="29" t="str">
        <f aca="false">IF(A2983="","",IFERROR(1/(1/INDEX(Numéros!$C$2:$C$3001,MATCH(A2983&amp;"|"&amp;B2983,Numéros!$F$2:$F$3001,0))),""))</f>
        <v/>
      </c>
      <c r="M2983" s="27" t="str">
        <f aca="false">IF(OR(G2983="",G2983="?"),"",IFERROR(INDEX(Pubs!$D$2:$D$3001,MATCH(G2983,Pubs!$A$2:$A$3001,0))&amp;"",""))</f>
        <v/>
      </c>
      <c r="N2983" s="27" t="n">
        <f aca="false">N(N2982)+IF(AND(A2983&lt;&gt;"",OR(Recherche!$C$4="",A2983=Recherche!$C$4),OR(Recherche!$C$5="",B2983&amp;""=Recherche!$C$5&amp;""),OR(Recherche!$C$6="",IFERROR(YEAR(L2983),0)=Recherche!$C$6),OR(Recherche!$C$7="",ISNUMBER(SEARCH(Recherche!$C$7,H2983))),OR(Recherche!$C$8="",J2983=Recherche!$C$8),OR(Recherche!$C$9="",I2983=Recherche!$C$9),OR(Recherche!$C$10="",G2983&amp;""=Recherche!$C$10&amp;""),OR(Recherche!$C$11="",E2983=Recherche!$C$11),OR(Recherche!$C$12="",ISNUMBER(SEARCH(Recherche!$C$12,M2983&amp;" "&amp;F2983)))),1,0)</f>
        <v>8</v>
      </c>
    </row>
    <row r="2984" customFormat="false" ht="15" hidden="false" customHeight="false" outlineLevel="0" collapsed="false">
      <c r="A2984" s="19"/>
      <c r="B2984" s="19"/>
      <c r="C2984" s="19"/>
      <c r="D2984" s="19"/>
      <c r="E2984" s="22"/>
      <c r="F2984" s="19"/>
      <c r="G2984" s="26" t="str">
        <f aca="false">IF(D2984="","",IFERROR(VALUE(LEFT(D2984,FIND(" |",D2984&amp;" |")-1)),"?"))</f>
        <v/>
      </c>
      <c r="H2984" s="27" t="str">
        <f aca="false">IF(G2984="","",IF(G2984="?","⚠ pub inconnue",IFERROR(INDEX(Pubs!$B$2:$B$3001,MATCH(G2984,Pubs!$A$2:$A$3001,0))&amp;"","⚠ pub inconnue")))</f>
        <v/>
      </c>
      <c r="I2984" s="27" t="str">
        <f aca="false">IF(OR(G2984="",G2984="?"),"",IFERROR(INDEX(Pubs!$C$2:$C$3001,MATCH(G2984,Pubs!$A$2:$A$3001,0))&amp;"",""))</f>
        <v/>
      </c>
      <c r="J2984" s="27" t="str">
        <f aca="false">IF(OR(G2984="",G2984="?"),"",IFERROR(INDEX(Pubs!$G$2:$G$3001,MATCH(G2984,Pubs!$A$2:$A$3001,0))&amp;"",""))</f>
        <v/>
      </c>
      <c r="K2984" s="28" t="str">
        <f aca="false">IF(OR(G2984="",G2984="?"),"",IFERROR(INDEX(Pubs!$E$2:$E$3001,MATCH(G2984,Pubs!$A$2:$A$3001,0)),""))</f>
        <v/>
      </c>
      <c r="L2984" s="29" t="str">
        <f aca="false">IF(A2984="","",IFERROR(1/(1/INDEX(Numéros!$C$2:$C$3001,MATCH(A2984&amp;"|"&amp;B2984,Numéros!$F$2:$F$3001,0))),""))</f>
        <v/>
      </c>
      <c r="M2984" s="27" t="str">
        <f aca="false">IF(OR(G2984="",G2984="?"),"",IFERROR(INDEX(Pubs!$D$2:$D$3001,MATCH(G2984,Pubs!$A$2:$A$3001,0))&amp;"",""))</f>
        <v/>
      </c>
      <c r="N2984" s="27" t="n">
        <f aca="false">N(N2983)+IF(AND(A2984&lt;&gt;"",OR(Recherche!$C$4="",A2984=Recherche!$C$4),OR(Recherche!$C$5="",B2984&amp;""=Recherche!$C$5&amp;""),OR(Recherche!$C$6="",IFERROR(YEAR(L2984),0)=Recherche!$C$6),OR(Recherche!$C$7="",ISNUMBER(SEARCH(Recherche!$C$7,H2984))),OR(Recherche!$C$8="",J2984=Recherche!$C$8),OR(Recherche!$C$9="",I2984=Recherche!$C$9),OR(Recherche!$C$10="",G2984&amp;""=Recherche!$C$10&amp;""),OR(Recherche!$C$11="",E2984=Recherche!$C$11),OR(Recherche!$C$12="",ISNUMBER(SEARCH(Recherche!$C$12,M2984&amp;" "&amp;F2984)))),1,0)</f>
        <v>8</v>
      </c>
    </row>
    <row r="2985" customFormat="false" ht="15" hidden="false" customHeight="false" outlineLevel="0" collapsed="false">
      <c r="A2985" s="19"/>
      <c r="B2985" s="19"/>
      <c r="C2985" s="19"/>
      <c r="D2985" s="19"/>
      <c r="E2985" s="22"/>
      <c r="F2985" s="19"/>
      <c r="G2985" s="26" t="str">
        <f aca="false">IF(D2985="","",IFERROR(VALUE(LEFT(D2985,FIND(" |",D2985&amp;" |")-1)),"?"))</f>
        <v/>
      </c>
      <c r="H2985" s="27" t="str">
        <f aca="false">IF(G2985="","",IF(G2985="?","⚠ pub inconnue",IFERROR(INDEX(Pubs!$B$2:$B$3001,MATCH(G2985,Pubs!$A$2:$A$3001,0))&amp;"","⚠ pub inconnue")))</f>
        <v/>
      </c>
      <c r="I2985" s="27" t="str">
        <f aca="false">IF(OR(G2985="",G2985="?"),"",IFERROR(INDEX(Pubs!$C$2:$C$3001,MATCH(G2985,Pubs!$A$2:$A$3001,0))&amp;"",""))</f>
        <v/>
      </c>
      <c r="J2985" s="27" t="str">
        <f aca="false">IF(OR(G2985="",G2985="?"),"",IFERROR(INDEX(Pubs!$G$2:$G$3001,MATCH(G2985,Pubs!$A$2:$A$3001,0))&amp;"",""))</f>
        <v/>
      </c>
      <c r="K2985" s="28" t="str">
        <f aca="false">IF(OR(G2985="",G2985="?"),"",IFERROR(INDEX(Pubs!$E$2:$E$3001,MATCH(G2985,Pubs!$A$2:$A$3001,0)),""))</f>
        <v/>
      </c>
      <c r="L2985" s="29" t="str">
        <f aca="false">IF(A2985="","",IFERROR(1/(1/INDEX(Numéros!$C$2:$C$3001,MATCH(A2985&amp;"|"&amp;B2985,Numéros!$F$2:$F$3001,0))),""))</f>
        <v/>
      </c>
      <c r="M2985" s="27" t="str">
        <f aca="false">IF(OR(G2985="",G2985="?"),"",IFERROR(INDEX(Pubs!$D$2:$D$3001,MATCH(G2985,Pubs!$A$2:$A$3001,0))&amp;"",""))</f>
        <v/>
      </c>
      <c r="N2985" s="27" t="n">
        <f aca="false">N(N2984)+IF(AND(A2985&lt;&gt;"",OR(Recherche!$C$4="",A2985=Recherche!$C$4),OR(Recherche!$C$5="",B2985&amp;""=Recherche!$C$5&amp;""),OR(Recherche!$C$6="",IFERROR(YEAR(L2985),0)=Recherche!$C$6),OR(Recherche!$C$7="",ISNUMBER(SEARCH(Recherche!$C$7,H2985))),OR(Recherche!$C$8="",J2985=Recherche!$C$8),OR(Recherche!$C$9="",I2985=Recherche!$C$9),OR(Recherche!$C$10="",G2985&amp;""=Recherche!$C$10&amp;""),OR(Recherche!$C$11="",E2985=Recherche!$C$11),OR(Recherche!$C$12="",ISNUMBER(SEARCH(Recherche!$C$12,M2985&amp;" "&amp;F2985)))),1,0)</f>
        <v>8</v>
      </c>
    </row>
    <row r="2986" customFormat="false" ht="15" hidden="false" customHeight="false" outlineLevel="0" collapsed="false">
      <c r="A2986" s="19"/>
      <c r="B2986" s="19"/>
      <c r="C2986" s="19"/>
      <c r="D2986" s="19"/>
      <c r="E2986" s="22"/>
      <c r="F2986" s="19"/>
      <c r="G2986" s="26" t="str">
        <f aca="false">IF(D2986="","",IFERROR(VALUE(LEFT(D2986,FIND(" |",D2986&amp;" |")-1)),"?"))</f>
        <v/>
      </c>
      <c r="H2986" s="27" t="str">
        <f aca="false">IF(G2986="","",IF(G2986="?","⚠ pub inconnue",IFERROR(INDEX(Pubs!$B$2:$B$3001,MATCH(G2986,Pubs!$A$2:$A$3001,0))&amp;"","⚠ pub inconnue")))</f>
        <v/>
      </c>
      <c r="I2986" s="27" t="str">
        <f aca="false">IF(OR(G2986="",G2986="?"),"",IFERROR(INDEX(Pubs!$C$2:$C$3001,MATCH(G2986,Pubs!$A$2:$A$3001,0))&amp;"",""))</f>
        <v/>
      </c>
      <c r="J2986" s="27" t="str">
        <f aca="false">IF(OR(G2986="",G2986="?"),"",IFERROR(INDEX(Pubs!$G$2:$G$3001,MATCH(G2986,Pubs!$A$2:$A$3001,0))&amp;"",""))</f>
        <v/>
      </c>
      <c r="K2986" s="28" t="str">
        <f aca="false">IF(OR(G2986="",G2986="?"),"",IFERROR(INDEX(Pubs!$E$2:$E$3001,MATCH(G2986,Pubs!$A$2:$A$3001,0)),""))</f>
        <v/>
      </c>
      <c r="L2986" s="29" t="str">
        <f aca="false">IF(A2986="","",IFERROR(1/(1/INDEX(Numéros!$C$2:$C$3001,MATCH(A2986&amp;"|"&amp;B2986,Numéros!$F$2:$F$3001,0))),""))</f>
        <v/>
      </c>
      <c r="M2986" s="27" t="str">
        <f aca="false">IF(OR(G2986="",G2986="?"),"",IFERROR(INDEX(Pubs!$D$2:$D$3001,MATCH(G2986,Pubs!$A$2:$A$3001,0))&amp;"",""))</f>
        <v/>
      </c>
      <c r="N2986" s="27" t="n">
        <f aca="false">N(N2985)+IF(AND(A2986&lt;&gt;"",OR(Recherche!$C$4="",A2986=Recherche!$C$4),OR(Recherche!$C$5="",B2986&amp;""=Recherche!$C$5&amp;""),OR(Recherche!$C$6="",IFERROR(YEAR(L2986),0)=Recherche!$C$6),OR(Recherche!$C$7="",ISNUMBER(SEARCH(Recherche!$C$7,H2986))),OR(Recherche!$C$8="",J2986=Recherche!$C$8),OR(Recherche!$C$9="",I2986=Recherche!$C$9),OR(Recherche!$C$10="",G2986&amp;""=Recherche!$C$10&amp;""),OR(Recherche!$C$11="",E2986=Recherche!$C$11),OR(Recherche!$C$12="",ISNUMBER(SEARCH(Recherche!$C$12,M2986&amp;" "&amp;F2986)))),1,0)</f>
        <v>8</v>
      </c>
    </row>
    <row r="2987" customFormat="false" ht="15" hidden="false" customHeight="false" outlineLevel="0" collapsed="false">
      <c r="A2987" s="19"/>
      <c r="B2987" s="19"/>
      <c r="C2987" s="19"/>
      <c r="D2987" s="19"/>
      <c r="E2987" s="22"/>
      <c r="F2987" s="19"/>
      <c r="G2987" s="26" t="str">
        <f aca="false">IF(D2987="","",IFERROR(VALUE(LEFT(D2987,FIND(" |",D2987&amp;" |")-1)),"?"))</f>
        <v/>
      </c>
      <c r="H2987" s="27" t="str">
        <f aca="false">IF(G2987="","",IF(G2987="?","⚠ pub inconnue",IFERROR(INDEX(Pubs!$B$2:$B$3001,MATCH(G2987,Pubs!$A$2:$A$3001,0))&amp;"","⚠ pub inconnue")))</f>
        <v/>
      </c>
      <c r="I2987" s="27" t="str">
        <f aca="false">IF(OR(G2987="",G2987="?"),"",IFERROR(INDEX(Pubs!$C$2:$C$3001,MATCH(G2987,Pubs!$A$2:$A$3001,0))&amp;"",""))</f>
        <v/>
      </c>
      <c r="J2987" s="27" t="str">
        <f aca="false">IF(OR(G2987="",G2987="?"),"",IFERROR(INDEX(Pubs!$G$2:$G$3001,MATCH(G2987,Pubs!$A$2:$A$3001,0))&amp;"",""))</f>
        <v/>
      </c>
      <c r="K2987" s="28" t="str">
        <f aca="false">IF(OR(G2987="",G2987="?"),"",IFERROR(INDEX(Pubs!$E$2:$E$3001,MATCH(G2987,Pubs!$A$2:$A$3001,0)),""))</f>
        <v/>
      </c>
      <c r="L2987" s="29" t="str">
        <f aca="false">IF(A2987="","",IFERROR(1/(1/INDEX(Numéros!$C$2:$C$3001,MATCH(A2987&amp;"|"&amp;B2987,Numéros!$F$2:$F$3001,0))),""))</f>
        <v/>
      </c>
      <c r="M2987" s="27" t="str">
        <f aca="false">IF(OR(G2987="",G2987="?"),"",IFERROR(INDEX(Pubs!$D$2:$D$3001,MATCH(G2987,Pubs!$A$2:$A$3001,0))&amp;"",""))</f>
        <v/>
      </c>
      <c r="N2987" s="27" t="n">
        <f aca="false">N(N2986)+IF(AND(A2987&lt;&gt;"",OR(Recherche!$C$4="",A2987=Recherche!$C$4),OR(Recherche!$C$5="",B2987&amp;""=Recherche!$C$5&amp;""),OR(Recherche!$C$6="",IFERROR(YEAR(L2987),0)=Recherche!$C$6),OR(Recherche!$C$7="",ISNUMBER(SEARCH(Recherche!$C$7,H2987))),OR(Recherche!$C$8="",J2987=Recherche!$C$8),OR(Recherche!$C$9="",I2987=Recherche!$C$9),OR(Recherche!$C$10="",G2987&amp;""=Recherche!$C$10&amp;""),OR(Recherche!$C$11="",E2987=Recherche!$C$11),OR(Recherche!$C$12="",ISNUMBER(SEARCH(Recherche!$C$12,M2987&amp;" "&amp;F2987)))),1,0)</f>
        <v>8</v>
      </c>
    </row>
    <row r="2988" customFormat="false" ht="15" hidden="false" customHeight="false" outlineLevel="0" collapsed="false">
      <c r="A2988" s="19"/>
      <c r="B2988" s="19"/>
      <c r="C2988" s="19"/>
      <c r="D2988" s="19"/>
      <c r="E2988" s="22"/>
      <c r="F2988" s="19"/>
      <c r="G2988" s="26" t="str">
        <f aca="false">IF(D2988="","",IFERROR(VALUE(LEFT(D2988,FIND(" |",D2988&amp;" |")-1)),"?"))</f>
        <v/>
      </c>
      <c r="H2988" s="27" t="str">
        <f aca="false">IF(G2988="","",IF(G2988="?","⚠ pub inconnue",IFERROR(INDEX(Pubs!$B$2:$B$3001,MATCH(G2988,Pubs!$A$2:$A$3001,0))&amp;"","⚠ pub inconnue")))</f>
        <v/>
      </c>
      <c r="I2988" s="27" t="str">
        <f aca="false">IF(OR(G2988="",G2988="?"),"",IFERROR(INDEX(Pubs!$C$2:$C$3001,MATCH(G2988,Pubs!$A$2:$A$3001,0))&amp;"",""))</f>
        <v/>
      </c>
      <c r="J2988" s="27" t="str">
        <f aca="false">IF(OR(G2988="",G2988="?"),"",IFERROR(INDEX(Pubs!$G$2:$G$3001,MATCH(G2988,Pubs!$A$2:$A$3001,0))&amp;"",""))</f>
        <v/>
      </c>
      <c r="K2988" s="28" t="str">
        <f aca="false">IF(OR(G2988="",G2988="?"),"",IFERROR(INDEX(Pubs!$E$2:$E$3001,MATCH(G2988,Pubs!$A$2:$A$3001,0)),""))</f>
        <v/>
      </c>
      <c r="L2988" s="29" t="str">
        <f aca="false">IF(A2988="","",IFERROR(1/(1/INDEX(Numéros!$C$2:$C$3001,MATCH(A2988&amp;"|"&amp;B2988,Numéros!$F$2:$F$3001,0))),""))</f>
        <v/>
      </c>
      <c r="M2988" s="27" t="str">
        <f aca="false">IF(OR(G2988="",G2988="?"),"",IFERROR(INDEX(Pubs!$D$2:$D$3001,MATCH(G2988,Pubs!$A$2:$A$3001,0))&amp;"",""))</f>
        <v/>
      </c>
      <c r="N2988" s="27" t="n">
        <f aca="false">N(N2987)+IF(AND(A2988&lt;&gt;"",OR(Recherche!$C$4="",A2988=Recherche!$C$4),OR(Recherche!$C$5="",B2988&amp;""=Recherche!$C$5&amp;""),OR(Recherche!$C$6="",IFERROR(YEAR(L2988),0)=Recherche!$C$6),OR(Recherche!$C$7="",ISNUMBER(SEARCH(Recherche!$C$7,H2988))),OR(Recherche!$C$8="",J2988=Recherche!$C$8),OR(Recherche!$C$9="",I2988=Recherche!$C$9),OR(Recherche!$C$10="",G2988&amp;""=Recherche!$C$10&amp;""),OR(Recherche!$C$11="",E2988=Recherche!$C$11),OR(Recherche!$C$12="",ISNUMBER(SEARCH(Recherche!$C$12,M2988&amp;" "&amp;F2988)))),1,0)</f>
        <v>8</v>
      </c>
    </row>
    <row r="2989" customFormat="false" ht="15" hidden="false" customHeight="false" outlineLevel="0" collapsed="false">
      <c r="A2989" s="19"/>
      <c r="B2989" s="19"/>
      <c r="C2989" s="19"/>
      <c r="D2989" s="19"/>
      <c r="E2989" s="22"/>
      <c r="F2989" s="19"/>
      <c r="G2989" s="26" t="str">
        <f aca="false">IF(D2989="","",IFERROR(VALUE(LEFT(D2989,FIND(" |",D2989&amp;" |")-1)),"?"))</f>
        <v/>
      </c>
      <c r="H2989" s="27" t="str">
        <f aca="false">IF(G2989="","",IF(G2989="?","⚠ pub inconnue",IFERROR(INDEX(Pubs!$B$2:$B$3001,MATCH(G2989,Pubs!$A$2:$A$3001,0))&amp;"","⚠ pub inconnue")))</f>
        <v/>
      </c>
      <c r="I2989" s="27" t="str">
        <f aca="false">IF(OR(G2989="",G2989="?"),"",IFERROR(INDEX(Pubs!$C$2:$C$3001,MATCH(G2989,Pubs!$A$2:$A$3001,0))&amp;"",""))</f>
        <v/>
      </c>
      <c r="J2989" s="27" t="str">
        <f aca="false">IF(OR(G2989="",G2989="?"),"",IFERROR(INDEX(Pubs!$G$2:$G$3001,MATCH(G2989,Pubs!$A$2:$A$3001,0))&amp;"",""))</f>
        <v/>
      </c>
      <c r="K2989" s="28" t="str">
        <f aca="false">IF(OR(G2989="",G2989="?"),"",IFERROR(INDEX(Pubs!$E$2:$E$3001,MATCH(G2989,Pubs!$A$2:$A$3001,0)),""))</f>
        <v/>
      </c>
      <c r="L2989" s="29" t="str">
        <f aca="false">IF(A2989="","",IFERROR(1/(1/INDEX(Numéros!$C$2:$C$3001,MATCH(A2989&amp;"|"&amp;B2989,Numéros!$F$2:$F$3001,0))),""))</f>
        <v/>
      </c>
      <c r="M2989" s="27" t="str">
        <f aca="false">IF(OR(G2989="",G2989="?"),"",IFERROR(INDEX(Pubs!$D$2:$D$3001,MATCH(G2989,Pubs!$A$2:$A$3001,0))&amp;"",""))</f>
        <v/>
      </c>
      <c r="N2989" s="27" t="n">
        <f aca="false">N(N2988)+IF(AND(A2989&lt;&gt;"",OR(Recherche!$C$4="",A2989=Recherche!$C$4),OR(Recherche!$C$5="",B2989&amp;""=Recherche!$C$5&amp;""),OR(Recherche!$C$6="",IFERROR(YEAR(L2989),0)=Recherche!$C$6),OR(Recherche!$C$7="",ISNUMBER(SEARCH(Recherche!$C$7,H2989))),OR(Recherche!$C$8="",J2989=Recherche!$C$8),OR(Recherche!$C$9="",I2989=Recherche!$C$9),OR(Recherche!$C$10="",G2989&amp;""=Recherche!$C$10&amp;""),OR(Recherche!$C$11="",E2989=Recherche!$C$11),OR(Recherche!$C$12="",ISNUMBER(SEARCH(Recherche!$C$12,M2989&amp;" "&amp;F2989)))),1,0)</f>
        <v>8</v>
      </c>
    </row>
    <row r="2990" customFormat="false" ht="15" hidden="false" customHeight="false" outlineLevel="0" collapsed="false">
      <c r="A2990" s="19"/>
      <c r="B2990" s="19"/>
      <c r="C2990" s="19"/>
      <c r="D2990" s="19"/>
      <c r="E2990" s="22"/>
      <c r="F2990" s="19"/>
      <c r="G2990" s="26" t="str">
        <f aca="false">IF(D2990="","",IFERROR(VALUE(LEFT(D2990,FIND(" |",D2990&amp;" |")-1)),"?"))</f>
        <v/>
      </c>
      <c r="H2990" s="27" t="str">
        <f aca="false">IF(G2990="","",IF(G2990="?","⚠ pub inconnue",IFERROR(INDEX(Pubs!$B$2:$B$3001,MATCH(G2990,Pubs!$A$2:$A$3001,0))&amp;"","⚠ pub inconnue")))</f>
        <v/>
      </c>
      <c r="I2990" s="27" t="str">
        <f aca="false">IF(OR(G2990="",G2990="?"),"",IFERROR(INDEX(Pubs!$C$2:$C$3001,MATCH(G2990,Pubs!$A$2:$A$3001,0))&amp;"",""))</f>
        <v/>
      </c>
      <c r="J2990" s="27" t="str">
        <f aca="false">IF(OR(G2990="",G2990="?"),"",IFERROR(INDEX(Pubs!$G$2:$G$3001,MATCH(G2990,Pubs!$A$2:$A$3001,0))&amp;"",""))</f>
        <v/>
      </c>
      <c r="K2990" s="28" t="str">
        <f aca="false">IF(OR(G2990="",G2990="?"),"",IFERROR(INDEX(Pubs!$E$2:$E$3001,MATCH(G2990,Pubs!$A$2:$A$3001,0)),""))</f>
        <v/>
      </c>
      <c r="L2990" s="29" t="str">
        <f aca="false">IF(A2990="","",IFERROR(1/(1/INDEX(Numéros!$C$2:$C$3001,MATCH(A2990&amp;"|"&amp;B2990,Numéros!$F$2:$F$3001,0))),""))</f>
        <v/>
      </c>
      <c r="M2990" s="27" t="str">
        <f aca="false">IF(OR(G2990="",G2990="?"),"",IFERROR(INDEX(Pubs!$D$2:$D$3001,MATCH(G2990,Pubs!$A$2:$A$3001,0))&amp;"",""))</f>
        <v/>
      </c>
      <c r="N2990" s="27" t="n">
        <f aca="false">N(N2989)+IF(AND(A2990&lt;&gt;"",OR(Recherche!$C$4="",A2990=Recherche!$C$4),OR(Recherche!$C$5="",B2990&amp;""=Recherche!$C$5&amp;""),OR(Recherche!$C$6="",IFERROR(YEAR(L2990),0)=Recherche!$C$6),OR(Recherche!$C$7="",ISNUMBER(SEARCH(Recherche!$C$7,H2990))),OR(Recherche!$C$8="",J2990=Recherche!$C$8),OR(Recherche!$C$9="",I2990=Recherche!$C$9),OR(Recherche!$C$10="",G2990&amp;""=Recherche!$C$10&amp;""),OR(Recherche!$C$11="",E2990=Recherche!$C$11),OR(Recherche!$C$12="",ISNUMBER(SEARCH(Recherche!$C$12,M2990&amp;" "&amp;F2990)))),1,0)</f>
        <v>8</v>
      </c>
    </row>
    <row r="2991" customFormat="false" ht="15" hidden="false" customHeight="false" outlineLevel="0" collapsed="false">
      <c r="A2991" s="19"/>
      <c r="B2991" s="19"/>
      <c r="C2991" s="19"/>
      <c r="D2991" s="19"/>
      <c r="E2991" s="22"/>
      <c r="F2991" s="19"/>
      <c r="G2991" s="26" t="str">
        <f aca="false">IF(D2991="","",IFERROR(VALUE(LEFT(D2991,FIND(" |",D2991&amp;" |")-1)),"?"))</f>
        <v/>
      </c>
      <c r="H2991" s="27" t="str">
        <f aca="false">IF(G2991="","",IF(G2991="?","⚠ pub inconnue",IFERROR(INDEX(Pubs!$B$2:$B$3001,MATCH(G2991,Pubs!$A$2:$A$3001,0))&amp;"","⚠ pub inconnue")))</f>
        <v/>
      </c>
      <c r="I2991" s="27" t="str">
        <f aca="false">IF(OR(G2991="",G2991="?"),"",IFERROR(INDEX(Pubs!$C$2:$C$3001,MATCH(G2991,Pubs!$A$2:$A$3001,0))&amp;"",""))</f>
        <v/>
      </c>
      <c r="J2991" s="27" t="str">
        <f aca="false">IF(OR(G2991="",G2991="?"),"",IFERROR(INDEX(Pubs!$G$2:$G$3001,MATCH(G2991,Pubs!$A$2:$A$3001,0))&amp;"",""))</f>
        <v/>
      </c>
      <c r="K2991" s="28" t="str">
        <f aca="false">IF(OR(G2991="",G2991="?"),"",IFERROR(INDEX(Pubs!$E$2:$E$3001,MATCH(G2991,Pubs!$A$2:$A$3001,0)),""))</f>
        <v/>
      </c>
      <c r="L2991" s="29" t="str">
        <f aca="false">IF(A2991="","",IFERROR(1/(1/INDEX(Numéros!$C$2:$C$3001,MATCH(A2991&amp;"|"&amp;B2991,Numéros!$F$2:$F$3001,0))),""))</f>
        <v/>
      </c>
      <c r="M2991" s="27" t="str">
        <f aca="false">IF(OR(G2991="",G2991="?"),"",IFERROR(INDEX(Pubs!$D$2:$D$3001,MATCH(G2991,Pubs!$A$2:$A$3001,0))&amp;"",""))</f>
        <v/>
      </c>
      <c r="N2991" s="27" t="n">
        <f aca="false">N(N2990)+IF(AND(A2991&lt;&gt;"",OR(Recherche!$C$4="",A2991=Recherche!$C$4),OR(Recherche!$C$5="",B2991&amp;""=Recherche!$C$5&amp;""),OR(Recherche!$C$6="",IFERROR(YEAR(L2991),0)=Recherche!$C$6),OR(Recherche!$C$7="",ISNUMBER(SEARCH(Recherche!$C$7,H2991))),OR(Recherche!$C$8="",J2991=Recherche!$C$8),OR(Recherche!$C$9="",I2991=Recherche!$C$9),OR(Recherche!$C$10="",G2991&amp;""=Recherche!$C$10&amp;""),OR(Recherche!$C$11="",E2991=Recherche!$C$11),OR(Recherche!$C$12="",ISNUMBER(SEARCH(Recherche!$C$12,M2991&amp;" "&amp;F2991)))),1,0)</f>
        <v>8</v>
      </c>
    </row>
    <row r="2992" customFormat="false" ht="15" hidden="false" customHeight="false" outlineLevel="0" collapsed="false">
      <c r="A2992" s="19"/>
      <c r="B2992" s="19"/>
      <c r="C2992" s="19"/>
      <c r="D2992" s="19"/>
      <c r="E2992" s="22"/>
      <c r="F2992" s="19"/>
      <c r="G2992" s="26" t="str">
        <f aca="false">IF(D2992="","",IFERROR(VALUE(LEFT(D2992,FIND(" |",D2992&amp;" |")-1)),"?"))</f>
        <v/>
      </c>
      <c r="H2992" s="27" t="str">
        <f aca="false">IF(G2992="","",IF(G2992="?","⚠ pub inconnue",IFERROR(INDEX(Pubs!$B$2:$B$3001,MATCH(G2992,Pubs!$A$2:$A$3001,0))&amp;"","⚠ pub inconnue")))</f>
        <v/>
      </c>
      <c r="I2992" s="27" t="str">
        <f aca="false">IF(OR(G2992="",G2992="?"),"",IFERROR(INDEX(Pubs!$C$2:$C$3001,MATCH(G2992,Pubs!$A$2:$A$3001,0))&amp;"",""))</f>
        <v/>
      </c>
      <c r="J2992" s="27" t="str">
        <f aca="false">IF(OR(G2992="",G2992="?"),"",IFERROR(INDEX(Pubs!$G$2:$G$3001,MATCH(G2992,Pubs!$A$2:$A$3001,0))&amp;"",""))</f>
        <v/>
      </c>
      <c r="K2992" s="28" t="str">
        <f aca="false">IF(OR(G2992="",G2992="?"),"",IFERROR(INDEX(Pubs!$E$2:$E$3001,MATCH(G2992,Pubs!$A$2:$A$3001,0)),""))</f>
        <v/>
      </c>
      <c r="L2992" s="29" t="str">
        <f aca="false">IF(A2992="","",IFERROR(1/(1/INDEX(Numéros!$C$2:$C$3001,MATCH(A2992&amp;"|"&amp;B2992,Numéros!$F$2:$F$3001,0))),""))</f>
        <v/>
      </c>
      <c r="M2992" s="27" t="str">
        <f aca="false">IF(OR(G2992="",G2992="?"),"",IFERROR(INDEX(Pubs!$D$2:$D$3001,MATCH(G2992,Pubs!$A$2:$A$3001,0))&amp;"",""))</f>
        <v/>
      </c>
      <c r="N2992" s="27" t="n">
        <f aca="false">N(N2991)+IF(AND(A2992&lt;&gt;"",OR(Recherche!$C$4="",A2992=Recherche!$C$4),OR(Recherche!$C$5="",B2992&amp;""=Recherche!$C$5&amp;""),OR(Recherche!$C$6="",IFERROR(YEAR(L2992),0)=Recherche!$C$6),OR(Recherche!$C$7="",ISNUMBER(SEARCH(Recherche!$C$7,H2992))),OR(Recherche!$C$8="",J2992=Recherche!$C$8),OR(Recherche!$C$9="",I2992=Recherche!$C$9),OR(Recherche!$C$10="",G2992&amp;""=Recherche!$C$10&amp;""),OR(Recherche!$C$11="",E2992=Recherche!$C$11),OR(Recherche!$C$12="",ISNUMBER(SEARCH(Recherche!$C$12,M2992&amp;" "&amp;F2992)))),1,0)</f>
        <v>8</v>
      </c>
    </row>
    <row r="2993" customFormat="false" ht="15" hidden="false" customHeight="false" outlineLevel="0" collapsed="false">
      <c r="A2993" s="19"/>
      <c r="B2993" s="19"/>
      <c r="C2993" s="19"/>
      <c r="D2993" s="19"/>
      <c r="E2993" s="22"/>
      <c r="F2993" s="19"/>
      <c r="G2993" s="26" t="str">
        <f aca="false">IF(D2993="","",IFERROR(VALUE(LEFT(D2993,FIND(" |",D2993&amp;" |")-1)),"?"))</f>
        <v/>
      </c>
      <c r="H2993" s="27" t="str">
        <f aca="false">IF(G2993="","",IF(G2993="?","⚠ pub inconnue",IFERROR(INDEX(Pubs!$B$2:$B$3001,MATCH(G2993,Pubs!$A$2:$A$3001,0))&amp;"","⚠ pub inconnue")))</f>
        <v/>
      </c>
      <c r="I2993" s="27" t="str">
        <f aca="false">IF(OR(G2993="",G2993="?"),"",IFERROR(INDEX(Pubs!$C$2:$C$3001,MATCH(G2993,Pubs!$A$2:$A$3001,0))&amp;"",""))</f>
        <v/>
      </c>
      <c r="J2993" s="27" t="str">
        <f aca="false">IF(OR(G2993="",G2993="?"),"",IFERROR(INDEX(Pubs!$G$2:$G$3001,MATCH(G2993,Pubs!$A$2:$A$3001,0))&amp;"",""))</f>
        <v/>
      </c>
      <c r="K2993" s="28" t="str">
        <f aca="false">IF(OR(G2993="",G2993="?"),"",IFERROR(INDEX(Pubs!$E$2:$E$3001,MATCH(G2993,Pubs!$A$2:$A$3001,0)),""))</f>
        <v/>
      </c>
      <c r="L2993" s="29" t="str">
        <f aca="false">IF(A2993="","",IFERROR(1/(1/INDEX(Numéros!$C$2:$C$3001,MATCH(A2993&amp;"|"&amp;B2993,Numéros!$F$2:$F$3001,0))),""))</f>
        <v/>
      </c>
      <c r="M2993" s="27" t="str">
        <f aca="false">IF(OR(G2993="",G2993="?"),"",IFERROR(INDEX(Pubs!$D$2:$D$3001,MATCH(G2993,Pubs!$A$2:$A$3001,0))&amp;"",""))</f>
        <v/>
      </c>
      <c r="N2993" s="27" t="n">
        <f aca="false">N(N2992)+IF(AND(A2993&lt;&gt;"",OR(Recherche!$C$4="",A2993=Recherche!$C$4),OR(Recherche!$C$5="",B2993&amp;""=Recherche!$C$5&amp;""),OR(Recherche!$C$6="",IFERROR(YEAR(L2993),0)=Recherche!$C$6),OR(Recherche!$C$7="",ISNUMBER(SEARCH(Recherche!$C$7,H2993))),OR(Recherche!$C$8="",J2993=Recherche!$C$8),OR(Recherche!$C$9="",I2993=Recherche!$C$9),OR(Recherche!$C$10="",G2993&amp;""=Recherche!$C$10&amp;""),OR(Recherche!$C$11="",E2993=Recherche!$C$11),OR(Recherche!$C$12="",ISNUMBER(SEARCH(Recherche!$C$12,M2993&amp;" "&amp;F2993)))),1,0)</f>
        <v>8</v>
      </c>
    </row>
    <row r="2994" customFormat="false" ht="15" hidden="false" customHeight="false" outlineLevel="0" collapsed="false">
      <c r="A2994" s="19"/>
      <c r="B2994" s="19"/>
      <c r="C2994" s="19"/>
      <c r="D2994" s="19"/>
      <c r="E2994" s="22"/>
      <c r="F2994" s="19"/>
      <c r="G2994" s="26" t="str">
        <f aca="false">IF(D2994="","",IFERROR(VALUE(LEFT(D2994,FIND(" |",D2994&amp;" |")-1)),"?"))</f>
        <v/>
      </c>
      <c r="H2994" s="27" t="str">
        <f aca="false">IF(G2994="","",IF(G2994="?","⚠ pub inconnue",IFERROR(INDEX(Pubs!$B$2:$B$3001,MATCH(G2994,Pubs!$A$2:$A$3001,0))&amp;"","⚠ pub inconnue")))</f>
        <v/>
      </c>
      <c r="I2994" s="27" t="str">
        <f aca="false">IF(OR(G2994="",G2994="?"),"",IFERROR(INDEX(Pubs!$C$2:$C$3001,MATCH(G2994,Pubs!$A$2:$A$3001,0))&amp;"",""))</f>
        <v/>
      </c>
      <c r="J2994" s="27" t="str">
        <f aca="false">IF(OR(G2994="",G2994="?"),"",IFERROR(INDEX(Pubs!$G$2:$G$3001,MATCH(G2994,Pubs!$A$2:$A$3001,0))&amp;"",""))</f>
        <v/>
      </c>
      <c r="K2994" s="28" t="str">
        <f aca="false">IF(OR(G2994="",G2994="?"),"",IFERROR(INDEX(Pubs!$E$2:$E$3001,MATCH(G2994,Pubs!$A$2:$A$3001,0)),""))</f>
        <v/>
      </c>
      <c r="L2994" s="29" t="str">
        <f aca="false">IF(A2994="","",IFERROR(1/(1/INDEX(Numéros!$C$2:$C$3001,MATCH(A2994&amp;"|"&amp;B2994,Numéros!$F$2:$F$3001,0))),""))</f>
        <v/>
      </c>
      <c r="M2994" s="27" t="str">
        <f aca="false">IF(OR(G2994="",G2994="?"),"",IFERROR(INDEX(Pubs!$D$2:$D$3001,MATCH(G2994,Pubs!$A$2:$A$3001,0))&amp;"",""))</f>
        <v/>
      </c>
      <c r="N2994" s="27" t="n">
        <f aca="false">N(N2993)+IF(AND(A2994&lt;&gt;"",OR(Recherche!$C$4="",A2994=Recherche!$C$4),OR(Recherche!$C$5="",B2994&amp;""=Recherche!$C$5&amp;""),OR(Recherche!$C$6="",IFERROR(YEAR(L2994),0)=Recherche!$C$6),OR(Recherche!$C$7="",ISNUMBER(SEARCH(Recherche!$C$7,H2994))),OR(Recherche!$C$8="",J2994=Recherche!$C$8),OR(Recherche!$C$9="",I2994=Recherche!$C$9),OR(Recherche!$C$10="",G2994&amp;""=Recherche!$C$10&amp;""),OR(Recherche!$C$11="",E2994=Recherche!$C$11),OR(Recherche!$C$12="",ISNUMBER(SEARCH(Recherche!$C$12,M2994&amp;" "&amp;F2994)))),1,0)</f>
        <v>8</v>
      </c>
    </row>
    <row r="2995" customFormat="false" ht="15" hidden="false" customHeight="false" outlineLevel="0" collapsed="false">
      <c r="A2995" s="19"/>
      <c r="B2995" s="19"/>
      <c r="C2995" s="19"/>
      <c r="D2995" s="19"/>
      <c r="E2995" s="22"/>
      <c r="F2995" s="19"/>
      <c r="G2995" s="26" t="str">
        <f aca="false">IF(D2995="","",IFERROR(VALUE(LEFT(D2995,FIND(" |",D2995&amp;" |")-1)),"?"))</f>
        <v/>
      </c>
      <c r="H2995" s="27" t="str">
        <f aca="false">IF(G2995="","",IF(G2995="?","⚠ pub inconnue",IFERROR(INDEX(Pubs!$B$2:$B$3001,MATCH(G2995,Pubs!$A$2:$A$3001,0))&amp;"","⚠ pub inconnue")))</f>
        <v/>
      </c>
      <c r="I2995" s="27" t="str">
        <f aca="false">IF(OR(G2995="",G2995="?"),"",IFERROR(INDEX(Pubs!$C$2:$C$3001,MATCH(G2995,Pubs!$A$2:$A$3001,0))&amp;"",""))</f>
        <v/>
      </c>
      <c r="J2995" s="27" t="str">
        <f aca="false">IF(OR(G2995="",G2995="?"),"",IFERROR(INDEX(Pubs!$G$2:$G$3001,MATCH(G2995,Pubs!$A$2:$A$3001,0))&amp;"",""))</f>
        <v/>
      </c>
      <c r="K2995" s="28" t="str">
        <f aca="false">IF(OR(G2995="",G2995="?"),"",IFERROR(INDEX(Pubs!$E$2:$E$3001,MATCH(G2995,Pubs!$A$2:$A$3001,0)),""))</f>
        <v/>
      </c>
      <c r="L2995" s="29" t="str">
        <f aca="false">IF(A2995="","",IFERROR(1/(1/INDEX(Numéros!$C$2:$C$3001,MATCH(A2995&amp;"|"&amp;B2995,Numéros!$F$2:$F$3001,0))),""))</f>
        <v/>
      </c>
      <c r="M2995" s="27" t="str">
        <f aca="false">IF(OR(G2995="",G2995="?"),"",IFERROR(INDEX(Pubs!$D$2:$D$3001,MATCH(G2995,Pubs!$A$2:$A$3001,0))&amp;"",""))</f>
        <v/>
      </c>
      <c r="N2995" s="27" t="n">
        <f aca="false">N(N2994)+IF(AND(A2995&lt;&gt;"",OR(Recherche!$C$4="",A2995=Recherche!$C$4),OR(Recherche!$C$5="",B2995&amp;""=Recherche!$C$5&amp;""),OR(Recherche!$C$6="",IFERROR(YEAR(L2995),0)=Recherche!$C$6),OR(Recherche!$C$7="",ISNUMBER(SEARCH(Recherche!$C$7,H2995))),OR(Recherche!$C$8="",J2995=Recherche!$C$8),OR(Recherche!$C$9="",I2995=Recherche!$C$9),OR(Recherche!$C$10="",G2995&amp;""=Recherche!$C$10&amp;""),OR(Recherche!$C$11="",E2995=Recherche!$C$11),OR(Recherche!$C$12="",ISNUMBER(SEARCH(Recherche!$C$12,M2995&amp;" "&amp;F2995)))),1,0)</f>
        <v>8</v>
      </c>
    </row>
    <row r="2996" customFormat="false" ht="15" hidden="false" customHeight="false" outlineLevel="0" collapsed="false">
      <c r="A2996" s="19"/>
      <c r="B2996" s="19"/>
      <c r="C2996" s="19"/>
      <c r="D2996" s="19"/>
      <c r="E2996" s="22"/>
      <c r="F2996" s="19"/>
      <c r="G2996" s="26" t="str">
        <f aca="false">IF(D2996="","",IFERROR(VALUE(LEFT(D2996,FIND(" |",D2996&amp;" |")-1)),"?"))</f>
        <v/>
      </c>
      <c r="H2996" s="27" t="str">
        <f aca="false">IF(G2996="","",IF(G2996="?","⚠ pub inconnue",IFERROR(INDEX(Pubs!$B$2:$B$3001,MATCH(G2996,Pubs!$A$2:$A$3001,0))&amp;"","⚠ pub inconnue")))</f>
        <v/>
      </c>
      <c r="I2996" s="27" t="str">
        <f aca="false">IF(OR(G2996="",G2996="?"),"",IFERROR(INDEX(Pubs!$C$2:$C$3001,MATCH(G2996,Pubs!$A$2:$A$3001,0))&amp;"",""))</f>
        <v/>
      </c>
      <c r="J2996" s="27" t="str">
        <f aca="false">IF(OR(G2996="",G2996="?"),"",IFERROR(INDEX(Pubs!$G$2:$G$3001,MATCH(G2996,Pubs!$A$2:$A$3001,0))&amp;"",""))</f>
        <v/>
      </c>
      <c r="K2996" s="28" t="str">
        <f aca="false">IF(OR(G2996="",G2996="?"),"",IFERROR(INDEX(Pubs!$E$2:$E$3001,MATCH(G2996,Pubs!$A$2:$A$3001,0)),""))</f>
        <v/>
      </c>
      <c r="L2996" s="29" t="str">
        <f aca="false">IF(A2996="","",IFERROR(1/(1/INDEX(Numéros!$C$2:$C$3001,MATCH(A2996&amp;"|"&amp;B2996,Numéros!$F$2:$F$3001,0))),""))</f>
        <v/>
      </c>
      <c r="M2996" s="27" t="str">
        <f aca="false">IF(OR(G2996="",G2996="?"),"",IFERROR(INDEX(Pubs!$D$2:$D$3001,MATCH(G2996,Pubs!$A$2:$A$3001,0))&amp;"",""))</f>
        <v/>
      </c>
      <c r="N2996" s="27" t="n">
        <f aca="false">N(N2995)+IF(AND(A2996&lt;&gt;"",OR(Recherche!$C$4="",A2996=Recherche!$C$4),OR(Recherche!$C$5="",B2996&amp;""=Recherche!$C$5&amp;""),OR(Recherche!$C$6="",IFERROR(YEAR(L2996),0)=Recherche!$C$6),OR(Recherche!$C$7="",ISNUMBER(SEARCH(Recherche!$C$7,H2996))),OR(Recherche!$C$8="",J2996=Recherche!$C$8),OR(Recherche!$C$9="",I2996=Recherche!$C$9),OR(Recherche!$C$10="",G2996&amp;""=Recherche!$C$10&amp;""),OR(Recherche!$C$11="",E2996=Recherche!$C$11),OR(Recherche!$C$12="",ISNUMBER(SEARCH(Recherche!$C$12,M2996&amp;" "&amp;F2996)))),1,0)</f>
        <v>8</v>
      </c>
    </row>
    <row r="2997" customFormat="false" ht="15" hidden="false" customHeight="false" outlineLevel="0" collapsed="false">
      <c r="A2997" s="19"/>
      <c r="B2997" s="19"/>
      <c r="C2997" s="19"/>
      <c r="D2997" s="19"/>
      <c r="E2997" s="22"/>
      <c r="F2997" s="19"/>
      <c r="G2997" s="26" t="str">
        <f aca="false">IF(D2997="","",IFERROR(VALUE(LEFT(D2997,FIND(" |",D2997&amp;" |")-1)),"?"))</f>
        <v/>
      </c>
      <c r="H2997" s="27" t="str">
        <f aca="false">IF(G2997="","",IF(G2997="?","⚠ pub inconnue",IFERROR(INDEX(Pubs!$B$2:$B$3001,MATCH(G2997,Pubs!$A$2:$A$3001,0))&amp;"","⚠ pub inconnue")))</f>
        <v/>
      </c>
      <c r="I2997" s="27" t="str">
        <f aca="false">IF(OR(G2997="",G2997="?"),"",IFERROR(INDEX(Pubs!$C$2:$C$3001,MATCH(G2997,Pubs!$A$2:$A$3001,0))&amp;"",""))</f>
        <v/>
      </c>
      <c r="J2997" s="27" t="str">
        <f aca="false">IF(OR(G2997="",G2997="?"),"",IFERROR(INDEX(Pubs!$G$2:$G$3001,MATCH(G2997,Pubs!$A$2:$A$3001,0))&amp;"",""))</f>
        <v/>
      </c>
      <c r="K2997" s="28" t="str">
        <f aca="false">IF(OR(G2997="",G2997="?"),"",IFERROR(INDEX(Pubs!$E$2:$E$3001,MATCH(G2997,Pubs!$A$2:$A$3001,0)),""))</f>
        <v/>
      </c>
      <c r="L2997" s="29" t="str">
        <f aca="false">IF(A2997="","",IFERROR(1/(1/INDEX(Numéros!$C$2:$C$3001,MATCH(A2997&amp;"|"&amp;B2997,Numéros!$F$2:$F$3001,0))),""))</f>
        <v/>
      </c>
      <c r="M2997" s="27" t="str">
        <f aca="false">IF(OR(G2997="",G2997="?"),"",IFERROR(INDEX(Pubs!$D$2:$D$3001,MATCH(G2997,Pubs!$A$2:$A$3001,0))&amp;"",""))</f>
        <v/>
      </c>
      <c r="N2997" s="27" t="n">
        <f aca="false">N(N2996)+IF(AND(A2997&lt;&gt;"",OR(Recherche!$C$4="",A2997=Recherche!$C$4),OR(Recherche!$C$5="",B2997&amp;""=Recherche!$C$5&amp;""),OR(Recherche!$C$6="",IFERROR(YEAR(L2997),0)=Recherche!$C$6),OR(Recherche!$C$7="",ISNUMBER(SEARCH(Recherche!$C$7,H2997))),OR(Recherche!$C$8="",J2997=Recherche!$C$8),OR(Recherche!$C$9="",I2997=Recherche!$C$9),OR(Recherche!$C$10="",G2997&amp;""=Recherche!$C$10&amp;""),OR(Recherche!$C$11="",E2997=Recherche!$C$11),OR(Recherche!$C$12="",ISNUMBER(SEARCH(Recherche!$C$12,M2997&amp;" "&amp;F2997)))),1,0)</f>
        <v>8</v>
      </c>
    </row>
    <row r="2998" customFormat="false" ht="15" hidden="false" customHeight="false" outlineLevel="0" collapsed="false">
      <c r="A2998" s="19"/>
      <c r="B2998" s="19"/>
      <c r="C2998" s="19"/>
      <c r="D2998" s="19"/>
      <c r="E2998" s="22"/>
      <c r="F2998" s="19"/>
      <c r="G2998" s="26" t="str">
        <f aca="false">IF(D2998="","",IFERROR(VALUE(LEFT(D2998,FIND(" |",D2998&amp;" |")-1)),"?"))</f>
        <v/>
      </c>
      <c r="H2998" s="27" t="str">
        <f aca="false">IF(G2998="","",IF(G2998="?","⚠ pub inconnue",IFERROR(INDEX(Pubs!$B$2:$B$3001,MATCH(G2998,Pubs!$A$2:$A$3001,0))&amp;"","⚠ pub inconnue")))</f>
        <v/>
      </c>
      <c r="I2998" s="27" t="str">
        <f aca="false">IF(OR(G2998="",G2998="?"),"",IFERROR(INDEX(Pubs!$C$2:$C$3001,MATCH(G2998,Pubs!$A$2:$A$3001,0))&amp;"",""))</f>
        <v/>
      </c>
      <c r="J2998" s="27" t="str">
        <f aca="false">IF(OR(G2998="",G2998="?"),"",IFERROR(INDEX(Pubs!$G$2:$G$3001,MATCH(G2998,Pubs!$A$2:$A$3001,0))&amp;"",""))</f>
        <v/>
      </c>
      <c r="K2998" s="28" t="str">
        <f aca="false">IF(OR(G2998="",G2998="?"),"",IFERROR(INDEX(Pubs!$E$2:$E$3001,MATCH(G2998,Pubs!$A$2:$A$3001,0)),""))</f>
        <v/>
      </c>
      <c r="L2998" s="29" t="str">
        <f aca="false">IF(A2998="","",IFERROR(1/(1/INDEX(Numéros!$C$2:$C$3001,MATCH(A2998&amp;"|"&amp;B2998,Numéros!$F$2:$F$3001,0))),""))</f>
        <v/>
      </c>
      <c r="M2998" s="27" t="str">
        <f aca="false">IF(OR(G2998="",G2998="?"),"",IFERROR(INDEX(Pubs!$D$2:$D$3001,MATCH(G2998,Pubs!$A$2:$A$3001,0))&amp;"",""))</f>
        <v/>
      </c>
      <c r="N2998" s="27" t="n">
        <f aca="false">N(N2997)+IF(AND(A2998&lt;&gt;"",OR(Recherche!$C$4="",A2998=Recherche!$C$4),OR(Recherche!$C$5="",B2998&amp;""=Recherche!$C$5&amp;""),OR(Recherche!$C$6="",IFERROR(YEAR(L2998),0)=Recherche!$C$6),OR(Recherche!$C$7="",ISNUMBER(SEARCH(Recherche!$C$7,H2998))),OR(Recherche!$C$8="",J2998=Recherche!$C$8),OR(Recherche!$C$9="",I2998=Recherche!$C$9),OR(Recherche!$C$10="",G2998&amp;""=Recherche!$C$10&amp;""),OR(Recherche!$C$11="",E2998=Recherche!$C$11),OR(Recherche!$C$12="",ISNUMBER(SEARCH(Recherche!$C$12,M2998&amp;" "&amp;F2998)))),1,0)</f>
        <v>8</v>
      </c>
    </row>
    <row r="2999" customFormat="false" ht="15" hidden="false" customHeight="false" outlineLevel="0" collapsed="false">
      <c r="A2999" s="19"/>
      <c r="B2999" s="19"/>
      <c r="C2999" s="19"/>
      <c r="D2999" s="19"/>
      <c r="E2999" s="22"/>
      <c r="F2999" s="19"/>
      <c r="G2999" s="26" t="str">
        <f aca="false">IF(D2999="","",IFERROR(VALUE(LEFT(D2999,FIND(" |",D2999&amp;" |")-1)),"?"))</f>
        <v/>
      </c>
      <c r="H2999" s="27" t="str">
        <f aca="false">IF(G2999="","",IF(G2999="?","⚠ pub inconnue",IFERROR(INDEX(Pubs!$B$2:$B$3001,MATCH(G2999,Pubs!$A$2:$A$3001,0))&amp;"","⚠ pub inconnue")))</f>
        <v/>
      </c>
      <c r="I2999" s="27" t="str">
        <f aca="false">IF(OR(G2999="",G2999="?"),"",IFERROR(INDEX(Pubs!$C$2:$C$3001,MATCH(G2999,Pubs!$A$2:$A$3001,0))&amp;"",""))</f>
        <v/>
      </c>
      <c r="J2999" s="27" t="str">
        <f aca="false">IF(OR(G2999="",G2999="?"),"",IFERROR(INDEX(Pubs!$G$2:$G$3001,MATCH(G2999,Pubs!$A$2:$A$3001,0))&amp;"",""))</f>
        <v/>
      </c>
      <c r="K2999" s="28" t="str">
        <f aca="false">IF(OR(G2999="",G2999="?"),"",IFERROR(INDEX(Pubs!$E$2:$E$3001,MATCH(G2999,Pubs!$A$2:$A$3001,0)),""))</f>
        <v/>
      </c>
      <c r="L2999" s="29" t="str">
        <f aca="false">IF(A2999="","",IFERROR(1/(1/INDEX(Numéros!$C$2:$C$3001,MATCH(A2999&amp;"|"&amp;B2999,Numéros!$F$2:$F$3001,0))),""))</f>
        <v/>
      </c>
      <c r="M2999" s="27" t="str">
        <f aca="false">IF(OR(G2999="",G2999="?"),"",IFERROR(INDEX(Pubs!$D$2:$D$3001,MATCH(G2999,Pubs!$A$2:$A$3001,0))&amp;"",""))</f>
        <v/>
      </c>
      <c r="N2999" s="27" t="n">
        <f aca="false">N(N2998)+IF(AND(A2999&lt;&gt;"",OR(Recherche!$C$4="",A2999=Recherche!$C$4),OR(Recherche!$C$5="",B2999&amp;""=Recherche!$C$5&amp;""),OR(Recherche!$C$6="",IFERROR(YEAR(L2999),0)=Recherche!$C$6),OR(Recherche!$C$7="",ISNUMBER(SEARCH(Recherche!$C$7,H2999))),OR(Recherche!$C$8="",J2999=Recherche!$C$8),OR(Recherche!$C$9="",I2999=Recherche!$C$9),OR(Recherche!$C$10="",G2999&amp;""=Recherche!$C$10&amp;""),OR(Recherche!$C$11="",E2999=Recherche!$C$11),OR(Recherche!$C$12="",ISNUMBER(SEARCH(Recherche!$C$12,M2999&amp;" "&amp;F2999)))),1,0)</f>
        <v>8</v>
      </c>
    </row>
    <row r="3000" customFormat="false" ht="15" hidden="false" customHeight="false" outlineLevel="0" collapsed="false">
      <c r="A3000" s="19"/>
      <c r="B3000" s="19"/>
      <c r="C3000" s="19"/>
      <c r="D3000" s="19"/>
      <c r="E3000" s="22"/>
      <c r="F3000" s="19"/>
      <c r="G3000" s="26" t="str">
        <f aca="false">IF(D3000="","",IFERROR(VALUE(LEFT(D3000,FIND(" |",D3000&amp;" |")-1)),"?"))</f>
        <v/>
      </c>
      <c r="H3000" s="27" t="str">
        <f aca="false">IF(G3000="","",IF(G3000="?","⚠ pub inconnue",IFERROR(INDEX(Pubs!$B$2:$B$3001,MATCH(G3000,Pubs!$A$2:$A$3001,0))&amp;"","⚠ pub inconnue")))</f>
        <v/>
      </c>
      <c r="I3000" s="27" t="str">
        <f aca="false">IF(OR(G3000="",G3000="?"),"",IFERROR(INDEX(Pubs!$C$2:$C$3001,MATCH(G3000,Pubs!$A$2:$A$3001,0))&amp;"",""))</f>
        <v/>
      </c>
      <c r="J3000" s="27" t="str">
        <f aca="false">IF(OR(G3000="",G3000="?"),"",IFERROR(INDEX(Pubs!$G$2:$G$3001,MATCH(G3000,Pubs!$A$2:$A$3001,0))&amp;"",""))</f>
        <v/>
      </c>
      <c r="K3000" s="28" t="str">
        <f aca="false">IF(OR(G3000="",G3000="?"),"",IFERROR(INDEX(Pubs!$E$2:$E$3001,MATCH(G3000,Pubs!$A$2:$A$3001,0)),""))</f>
        <v/>
      </c>
      <c r="L3000" s="29" t="str">
        <f aca="false">IF(A3000="","",IFERROR(1/(1/INDEX(Numéros!$C$2:$C$3001,MATCH(A3000&amp;"|"&amp;B3000,Numéros!$F$2:$F$3001,0))),""))</f>
        <v/>
      </c>
      <c r="M3000" s="27" t="str">
        <f aca="false">IF(OR(G3000="",G3000="?"),"",IFERROR(INDEX(Pubs!$D$2:$D$3001,MATCH(G3000,Pubs!$A$2:$A$3001,0))&amp;"",""))</f>
        <v/>
      </c>
      <c r="N3000" s="27" t="n">
        <f aca="false">N(N2999)+IF(AND(A3000&lt;&gt;"",OR(Recherche!$C$4="",A3000=Recherche!$C$4),OR(Recherche!$C$5="",B3000&amp;""=Recherche!$C$5&amp;""),OR(Recherche!$C$6="",IFERROR(YEAR(L3000),0)=Recherche!$C$6),OR(Recherche!$C$7="",ISNUMBER(SEARCH(Recherche!$C$7,H3000))),OR(Recherche!$C$8="",J3000=Recherche!$C$8),OR(Recherche!$C$9="",I3000=Recherche!$C$9),OR(Recherche!$C$10="",G3000&amp;""=Recherche!$C$10&amp;""),OR(Recherche!$C$11="",E3000=Recherche!$C$11),OR(Recherche!$C$12="",ISNUMBER(SEARCH(Recherche!$C$12,M3000&amp;" "&amp;F3000)))),1,0)</f>
        <v>8</v>
      </c>
    </row>
    <row r="3001" customFormat="false" ht="15" hidden="false" customHeight="false" outlineLevel="0" collapsed="false">
      <c r="A3001" s="19"/>
      <c r="B3001" s="19"/>
      <c r="C3001" s="19"/>
      <c r="D3001" s="19"/>
      <c r="E3001" s="22"/>
      <c r="F3001" s="19"/>
      <c r="G3001" s="26" t="str">
        <f aca="false">IF(D3001="","",IFERROR(VALUE(LEFT(D3001,FIND(" |",D3001&amp;" |")-1)),"?"))</f>
        <v/>
      </c>
      <c r="H3001" s="27" t="str">
        <f aca="false">IF(G3001="","",IF(G3001="?","⚠ pub inconnue",IFERROR(INDEX(Pubs!$B$2:$B$3001,MATCH(G3001,Pubs!$A$2:$A$3001,0))&amp;"","⚠ pub inconnue")))</f>
        <v/>
      </c>
      <c r="I3001" s="27" t="str">
        <f aca="false">IF(OR(G3001="",G3001="?"),"",IFERROR(INDEX(Pubs!$C$2:$C$3001,MATCH(G3001,Pubs!$A$2:$A$3001,0))&amp;"",""))</f>
        <v/>
      </c>
      <c r="J3001" s="27" t="str">
        <f aca="false">IF(OR(G3001="",G3001="?"),"",IFERROR(INDEX(Pubs!$G$2:$G$3001,MATCH(G3001,Pubs!$A$2:$A$3001,0))&amp;"",""))</f>
        <v/>
      </c>
      <c r="K3001" s="28" t="str">
        <f aca="false">IF(OR(G3001="",G3001="?"),"",IFERROR(INDEX(Pubs!$E$2:$E$3001,MATCH(G3001,Pubs!$A$2:$A$3001,0)),""))</f>
        <v/>
      </c>
      <c r="L3001" s="29" t="str">
        <f aca="false">IF(A3001="","",IFERROR(1/(1/INDEX(Numéros!$C$2:$C$3001,MATCH(A3001&amp;"|"&amp;B3001,Numéros!$F$2:$F$3001,0))),""))</f>
        <v/>
      </c>
      <c r="M3001" s="27" t="str">
        <f aca="false">IF(OR(G3001="",G3001="?"),"",IFERROR(INDEX(Pubs!$D$2:$D$3001,MATCH(G3001,Pubs!$A$2:$A$3001,0))&amp;"",""))</f>
        <v/>
      </c>
      <c r="N3001" s="27" t="n">
        <f aca="false">N(N3000)+IF(AND(A3001&lt;&gt;"",OR(Recherche!$C$4="",A3001=Recherche!$C$4),OR(Recherche!$C$5="",B3001&amp;""=Recherche!$C$5&amp;""),OR(Recherche!$C$6="",IFERROR(YEAR(L3001),0)=Recherche!$C$6),OR(Recherche!$C$7="",ISNUMBER(SEARCH(Recherche!$C$7,H3001))),OR(Recherche!$C$8="",J3001=Recherche!$C$8),OR(Recherche!$C$9="",I3001=Recherche!$C$9),OR(Recherche!$C$10="",G3001&amp;""=Recherche!$C$10&amp;""),OR(Recherche!$C$11="",E3001=Recherche!$C$11),OR(Recherche!$C$12="",ISNUMBER(SEARCH(Recherche!$C$12,M3001&amp;" "&amp;F3001)))),1,0)</f>
        <v>8</v>
      </c>
    </row>
    <row r="3002" customFormat="false" ht="15" hidden="false" customHeight="false" outlineLevel="0" collapsed="false">
      <c r="A3002" s="19"/>
      <c r="B3002" s="19"/>
      <c r="C3002" s="19"/>
      <c r="D3002" s="19"/>
      <c r="E3002" s="22"/>
      <c r="F3002" s="19"/>
      <c r="G3002" s="26" t="str">
        <f aca="false">IF(D3002="","",IFERROR(VALUE(LEFT(D3002,FIND(" |",D3002&amp;" |")-1)),"?"))</f>
        <v/>
      </c>
      <c r="H3002" s="27" t="str">
        <f aca="false">IF(G3002="","",IF(G3002="?","⚠ pub inconnue",IFERROR(INDEX(Pubs!$B$2:$B$3001,MATCH(G3002,Pubs!$A$2:$A$3001,0))&amp;"","⚠ pub inconnue")))</f>
        <v/>
      </c>
      <c r="I3002" s="27" t="str">
        <f aca="false">IF(OR(G3002="",G3002="?"),"",IFERROR(INDEX(Pubs!$C$2:$C$3001,MATCH(G3002,Pubs!$A$2:$A$3001,0))&amp;"",""))</f>
        <v/>
      </c>
      <c r="J3002" s="27" t="str">
        <f aca="false">IF(OR(G3002="",G3002="?"),"",IFERROR(INDEX(Pubs!$G$2:$G$3001,MATCH(G3002,Pubs!$A$2:$A$3001,0))&amp;"",""))</f>
        <v/>
      </c>
      <c r="K3002" s="28" t="str">
        <f aca="false">IF(OR(G3002="",G3002="?"),"",IFERROR(INDEX(Pubs!$E$2:$E$3001,MATCH(G3002,Pubs!$A$2:$A$3001,0)),""))</f>
        <v/>
      </c>
      <c r="L3002" s="29" t="str">
        <f aca="false">IF(A3002="","",IFERROR(1/(1/INDEX(Numéros!$C$2:$C$3001,MATCH(A3002&amp;"|"&amp;B3002,Numéros!$F$2:$F$3001,0))),""))</f>
        <v/>
      </c>
      <c r="M3002" s="27" t="str">
        <f aca="false">IF(OR(G3002="",G3002="?"),"",IFERROR(INDEX(Pubs!$D$2:$D$3001,MATCH(G3002,Pubs!$A$2:$A$3001,0))&amp;"",""))</f>
        <v/>
      </c>
      <c r="N3002" s="27" t="n">
        <f aca="false">N(N3001)+IF(AND(A3002&lt;&gt;"",OR(Recherche!$C$4="",A3002=Recherche!$C$4),OR(Recherche!$C$5="",B3002&amp;""=Recherche!$C$5&amp;""),OR(Recherche!$C$6="",IFERROR(YEAR(L3002),0)=Recherche!$C$6),OR(Recherche!$C$7="",ISNUMBER(SEARCH(Recherche!$C$7,H3002))),OR(Recherche!$C$8="",J3002=Recherche!$C$8),OR(Recherche!$C$9="",I3002=Recherche!$C$9),OR(Recherche!$C$10="",G3002&amp;""=Recherche!$C$10&amp;""),OR(Recherche!$C$11="",E3002=Recherche!$C$11),OR(Recherche!$C$12="",ISNUMBER(SEARCH(Recherche!$C$12,M3002&amp;" "&amp;F3002)))),1,0)</f>
        <v>8</v>
      </c>
    </row>
    <row r="3003" customFormat="false" ht="15" hidden="false" customHeight="false" outlineLevel="0" collapsed="false">
      <c r="A3003" s="19"/>
      <c r="B3003" s="19"/>
      <c r="C3003" s="19"/>
      <c r="D3003" s="19"/>
      <c r="E3003" s="22"/>
      <c r="F3003" s="19"/>
      <c r="G3003" s="26" t="str">
        <f aca="false">IF(D3003="","",IFERROR(VALUE(LEFT(D3003,FIND(" |",D3003&amp;" |")-1)),"?"))</f>
        <v/>
      </c>
      <c r="H3003" s="27" t="str">
        <f aca="false">IF(G3003="","",IF(G3003="?","⚠ pub inconnue",IFERROR(INDEX(Pubs!$B$2:$B$3001,MATCH(G3003,Pubs!$A$2:$A$3001,0))&amp;"","⚠ pub inconnue")))</f>
        <v/>
      </c>
      <c r="I3003" s="27" t="str">
        <f aca="false">IF(OR(G3003="",G3003="?"),"",IFERROR(INDEX(Pubs!$C$2:$C$3001,MATCH(G3003,Pubs!$A$2:$A$3001,0))&amp;"",""))</f>
        <v/>
      </c>
      <c r="J3003" s="27" t="str">
        <f aca="false">IF(OR(G3003="",G3003="?"),"",IFERROR(INDEX(Pubs!$G$2:$G$3001,MATCH(G3003,Pubs!$A$2:$A$3001,0))&amp;"",""))</f>
        <v/>
      </c>
      <c r="K3003" s="28" t="str">
        <f aca="false">IF(OR(G3003="",G3003="?"),"",IFERROR(INDEX(Pubs!$E$2:$E$3001,MATCH(G3003,Pubs!$A$2:$A$3001,0)),""))</f>
        <v/>
      </c>
      <c r="L3003" s="29" t="str">
        <f aca="false">IF(A3003="","",IFERROR(1/(1/INDEX(Numéros!$C$2:$C$3001,MATCH(A3003&amp;"|"&amp;B3003,Numéros!$F$2:$F$3001,0))),""))</f>
        <v/>
      </c>
      <c r="M3003" s="27" t="str">
        <f aca="false">IF(OR(G3003="",G3003="?"),"",IFERROR(INDEX(Pubs!$D$2:$D$3001,MATCH(G3003,Pubs!$A$2:$A$3001,0))&amp;"",""))</f>
        <v/>
      </c>
      <c r="N3003" s="27" t="n">
        <f aca="false">N(N3002)+IF(AND(A3003&lt;&gt;"",OR(Recherche!$C$4="",A3003=Recherche!$C$4),OR(Recherche!$C$5="",B3003&amp;""=Recherche!$C$5&amp;""),OR(Recherche!$C$6="",IFERROR(YEAR(L3003),0)=Recherche!$C$6),OR(Recherche!$C$7="",ISNUMBER(SEARCH(Recherche!$C$7,H3003))),OR(Recherche!$C$8="",J3003=Recherche!$C$8),OR(Recherche!$C$9="",I3003=Recherche!$C$9),OR(Recherche!$C$10="",G3003&amp;""=Recherche!$C$10&amp;""),OR(Recherche!$C$11="",E3003=Recherche!$C$11),OR(Recherche!$C$12="",ISNUMBER(SEARCH(Recherche!$C$12,M3003&amp;" "&amp;F3003)))),1,0)</f>
        <v>8</v>
      </c>
    </row>
    <row r="3004" customFormat="false" ht="15" hidden="false" customHeight="false" outlineLevel="0" collapsed="false">
      <c r="A3004" s="19"/>
      <c r="B3004" s="19"/>
      <c r="C3004" s="19"/>
      <c r="D3004" s="19"/>
      <c r="E3004" s="22"/>
      <c r="F3004" s="19"/>
      <c r="G3004" s="26" t="str">
        <f aca="false">IF(D3004="","",IFERROR(VALUE(LEFT(D3004,FIND(" |",D3004&amp;" |")-1)),"?"))</f>
        <v/>
      </c>
      <c r="H3004" s="27" t="str">
        <f aca="false">IF(G3004="","",IF(G3004="?","⚠ pub inconnue",IFERROR(INDEX(Pubs!$B$2:$B$3001,MATCH(G3004,Pubs!$A$2:$A$3001,0))&amp;"","⚠ pub inconnue")))</f>
        <v/>
      </c>
      <c r="I3004" s="27" t="str">
        <f aca="false">IF(OR(G3004="",G3004="?"),"",IFERROR(INDEX(Pubs!$C$2:$C$3001,MATCH(G3004,Pubs!$A$2:$A$3001,0))&amp;"",""))</f>
        <v/>
      </c>
      <c r="J3004" s="27" t="str">
        <f aca="false">IF(OR(G3004="",G3004="?"),"",IFERROR(INDEX(Pubs!$G$2:$G$3001,MATCH(G3004,Pubs!$A$2:$A$3001,0))&amp;"",""))</f>
        <v/>
      </c>
      <c r="K3004" s="28" t="str">
        <f aca="false">IF(OR(G3004="",G3004="?"),"",IFERROR(INDEX(Pubs!$E$2:$E$3001,MATCH(G3004,Pubs!$A$2:$A$3001,0)),""))</f>
        <v/>
      </c>
      <c r="L3004" s="29" t="str">
        <f aca="false">IF(A3004="","",IFERROR(1/(1/INDEX(Numéros!$C$2:$C$3001,MATCH(A3004&amp;"|"&amp;B3004,Numéros!$F$2:$F$3001,0))),""))</f>
        <v/>
      </c>
      <c r="M3004" s="27" t="str">
        <f aca="false">IF(OR(G3004="",G3004="?"),"",IFERROR(INDEX(Pubs!$D$2:$D$3001,MATCH(G3004,Pubs!$A$2:$A$3001,0))&amp;"",""))</f>
        <v/>
      </c>
      <c r="N3004" s="27" t="n">
        <f aca="false">N(N3003)+IF(AND(A3004&lt;&gt;"",OR(Recherche!$C$4="",A3004=Recherche!$C$4),OR(Recherche!$C$5="",B3004&amp;""=Recherche!$C$5&amp;""),OR(Recherche!$C$6="",IFERROR(YEAR(L3004),0)=Recherche!$C$6),OR(Recherche!$C$7="",ISNUMBER(SEARCH(Recherche!$C$7,H3004))),OR(Recherche!$C$8="",J3004=Recherche!$C$8),OR(Recherche!$C$9="",I3004=Recherche!$C$9),OR(Recherche!$C$10="",G3004&amp;""=Recherche!$C$10&amp;""),OR(Recherche!$C$11="",E3004=Recherche!$C$11),OR(Recherche!$C$12="",ISNUMBER(SEARCH(Recherche!$C$12,M3004&amp;" "&amp;F3004)))),1,0)</f>
        <v>8</v>
      </c>
    </row>
    <row r="3005" customFormat="false" ht="15" hidden="false" customHeight="false" outlineLevel="0" collapsed="false">
      <c r="A3005" s="19"/>
      <c r="B3005" s="19"/>
      <c r="C3005" s="19"/>
      <c r="D3005" s="19"/>
      <c r="E3005" s="22"/>
      <c r="F3005" s="19"/>
      <c r="G3005" s="26" t="str">
        <f aca="false">IF(D3005="","",IFERROR(VALUE(LEFT(D3005,FIND(" |",D3005&amp;" |")-1)),"?"))</f>
        <v/>
      </c>
      <c r="H3005" s="27" t="str">
        <f aca="false">IF(G3005="","",IF(G3005="?","⚠ pub inconnue",IFERROR(INDEX(Pubs!$B$2:$B$3001,MATCH(G3005,Pubs!$A$2:$A$3001,0))&amp;"","⚠ pub inconnue")))</f>
        <v/>
      </c>
      <c r="I3005" s="27" t="str">
        <f aca="false">IF(OR(G3005="",G3005="?"),"",IFERROR(INDEX(Pubs!$C$2:$C$3001,MATCH(G3005,Pubs!$A$2:$A$3001,0))&amp;"",""))</f>
        <v/>
      </c>
      <c r="J3005" s="27" t="str">
        <f aca="false">IF(OR(G3005="",G3005="?"),"",IFERROR(INDEX(Pubs!$G$2:$G$3001,MATCH(G3005,Pubs!$A$2:$A$3001,0))&amp;"",""))</f>
        <v/>
      </c>
      <c r="K3005" s="28" t="str">
        <f aca="false">IF(OR(G3005="",G3005="?"),"",IFERROR(INDEX(Pubs!$E$2:$E$3001,MATCH(G3005,Pubs!$A$2:$A$3001,0)),""))</f>
        <v/>
      </c>
      <c r="L3005" s="29" t="str">
        <f aca="false">IF(A3005="","",IFERROR(1/(1/INDEX(Numéros!$C$2:$C$3001,MATCH(A3005&amp;"|"&amp;B3005,Numéros!$F$2:$F$3001,0))),""))</f>
        <v/>
      </c>
      <c r="M3005" s="27" t="str">
        <f aca="false">IF(OR(G3005="",G3005="?"),"",IFERROR(INDEX(Pubs!$D$2:$D$3001,MATCH(G3005,Pubs!$A$2:$A$3001,0))&amp;"",""))</f>
        <v/>
      </c>
      <c r="N3005" s="27" t="n">
        <f aca="false">N(N3004)+IF(AND(A3005&lt;&gt;"",OR(Recherche!$C$4="",A3005=Recherche!$C$4),OR(Recherche!$C$5="",B3005&amp;""=Recherche!$C$5&amp;""),OR(Recherche!$C$6="",IFERROR(YEAR(L3005),0)=Recherche!$C$6),OR(Recherche!$C$7="",ISNUMBER(SEARCH(Recherche!$C$7,H3005))),OR(Recherche!$C$8="",J3005=Recherche!$C$8),OR(Recherche!$C$9="",I3005=Recherche!$C$9),OR(Recherche!$C$10="",G3005&amp;""=Recherche!$C$10&amp;""),OR(Recherche!$C$11="",E3005=Recherche!$C$11),OR(Recherche!$C$12="",ISNUMBER(SEARCH(Recherche!$C$12,M3005&amp;" "&amp;F3005)))),1,0)</f>
        <v>8</v>
      </c>
    </row>
    <row r="3006" customFormat="false" ht="15" hidden="false" customHeight="false" outlineLevel="0" collapsed="false">
      <c r="A3006" s="19"/>
      <c r="B3006" s="19"/>
      <c r="C3006" s="19"/>
      <c r="D3006" s="19"/>
      <c r="E3006" s="22"/>
      <c r="F3006" s="19"/>
      <c r="G3006" s="26" t="str">
        <f aca="false">IF(D3006="","",IFERROR(VALUE(LEFT(D3006,FIND(" |",D3006&amp;" |")-1)),"?"))</f>
        <v/>
      </c>
      <c r="H3006" s="27" t="str">
        <f aca="false">IF(G3006="","",IF(G3006="?","⚠ pub inconnue",IFERROR(INDEX(Pubs!$B$2:$B$3001,MATCH(G3006,Pubs!$A$2:$A$3001,0))&amp;"","⚠ pub inconnue")))</f>
        <v/>
      </c>
      <c r="I3006" s="27" t="str">
        <f aca="false">IF(OR(G3006="",G3006="?"),"",IFERROR(INDEX(Pubs!$C$2:$C$3001,MATCH(G3006,Pubs!$A$2:$A$3001,0))&amp;"",""))</f>
        <v/>
      </c>
      <c r="J3006" s="27" t="str">
        <f aca="false">IF(OR(G3006="",G3006="?"),"",IFERROR(INDEX(Pubs!$G$2:$G$3001,MATCH(G3006,Pubs!$A$2:$A$3001,0))&amp;"",""))</f>
        <v/>
      </c>
      <c r="K3006" s="28" t="str">
        <f aca="false">IF(OR(G3006="",G3006="?"),"",IFERROR(INDEX(Pubs!$E$2:$E$3001,MATCH(G3006,Pubs!$A$2:$A$3001,0)),""))</f>
        <v/>
      </c>
      <c r="L3006" s="29" t="str">
        <f aca="false">IF(A3006="","",IFERROR(1/(1/INDEX(Numéros!$C$2:$C$3001,MATCH(A3006&amp;"|"&amp;B3006,Numéros!$F$2:$F$3001,0))),""))</f>
        <v/>
      </c>
      <c r="M3006" s="27" t="str">
        <f aca="false">IF(OR(G3006="",G3006="?"),"",IFERROR(INDEX(Pubs!$D$2:$D$3001,MATCH(G3006,Pubs!$A$2:$A$3001,0))&amp;"",""))</f>
        <v/>
      </c>
      <c r="N3006" s="27" t="n">
        <f aca="false">N(N3005)+IF(AND(A3006&lt;&gt;"",OR(Recherche!$C$4="",A3006=Recherche!$C$4),OR(Recherche!$C$5="",B3006&amp;""=Recherche!$C$5&amp;""),OR(Recherche!$C$6="",IFERROR(YEAR(L3006),0)=Recherche!$C$6),OR(Recherche!$C$7="",ISNUMBER(SEARCH(Recherche!$C$7,H3006))),OR(Recherche!$C$8="",J3006=Recherche!$C$8),OR(Recherche!$C$9="",I3006=Recherche!$C$9),OR(Recherche!$C$10="",G3006&amp;""=Recherche!$C$10&amp;""),OR(Recherche!$C$11="",E3006=Recherche!$C$11),OR(Recherche!$C$12="",ISNUMBER(SEARCH(Recherche!$C$12,M3006&amp;" "&amp;F3006)))),1,0)</f>
        <v>8</v>
      </c>
    </row>
    <row r="3007" customFormat="false" ht="15" hidden="false" customHeight="false" outlineLevel="0" collapsed="false">
      <c r="A3007" s="19"/>
      <c r="B3007" s="19"/>
      <c r="C3007" s="19"/>
      <c r="D3007" s="19"/>
      <c r="E3007" s="22"/>
      <c r="F3007" s="19"/>
      <c r="G3007" s="26" t="str">
        <f aca="false">IF(D3007="","",IFERROR(VALUE(LEFT(D3007,FIND(" |",D3007&amp;" |")-1)),"?"))</f>
        <v/>
      </c>
      <c r="H3007" s="27" t="str">
        <f aca="false">IF(G3007="","",IF(G3007="?","⚠ pub inconnue",IFERROR(INDEX(Pubs!$B$2:$B$3001,MATCH(G3007,Pubs!$A$2:$A$3001,0))&amp;"","⚠ pub inconnue")))</f>
        <v/>
      </c>
      <c r="I3007" s="27" t="str">
        <f aca="false">IF(OR(G3007="",G3007="?"),"",IFERROR(INDEX(Pubs!$C$2:$C$3001,MATCH(G3007,Pubs!$A$2:$A$3001,0))&amp;"",""))</f>
        <v/>
      </c>
      <c r="J3007" s="27" t="str">
        <f aca="false">IF(OR(G3007="",G3007="?"),"",IFERROR(INDEX(Pubs!$G$2:$G$3001,MATCH(G3007,Pubs!$A$2:$A$3001,0))&amp;"",""))</f>
        <v/>
      </c>
      <c r="K3007" s="28" t="str">
        <f aca="false">IF(OR(G3007="",G3007="?"),"",IFERROR(INDEX(Pubs!$E$2:$E$3001,MATCH(G3007,Pubs!$A$2:$A$3001,0)),""))</f>
        <v/>
      </c>
      <c r="L3007" s="29" t="str">
        <f aca="false">IF(A3007="","",IFERROR(1/(1/INDEX(Numéros!$C$2:$C$3001,MATCH(A3007&amp;"|"&amp;B3007,Numéros!$F$2:$F$3001,0))),""))</f>
        <v/>
      </c>
      <c r="M3007" s="27" t="str">
        <f aca="false">IF(OR(G3007="",G3007="?"),"",IFERROR(INDEX(Pubs!$D$2:$D$3001,MATCH(G3007,Pubs!$A$2:$A$3001,0))&amp;"",""))</f>
        <v/>
      </c>
      <c r="N3007" s="27" t="n">
        <f aca="false">N(N3006)+IF(AND(A3007&lt;&gt;"",OR(Recherche!$C$4="",A3007=Recherche!$C$4),OR(Recherche!$C$5="",B3007&amp;""=Recherche!$C$5&amp;""),OR(Recherche!$C$6="",IFERROR(YEAR(L3007),0)=Recherche!$C$6),OR(Recherche!$C$7="",ISNUMBER(SEARCH(Recherche!$C$7,H3007))),OR(Recherche!$C$8="",J3007=Recherche!$C$8),OR(Recherche!$C$9="",I3007=Recherche!$C$9),OR(Recherche!$C$10="",G3007&amp;""=Recherche!$C$10&amp;""),OR(Recherche!$C$11="",E3007=Recherche!$C$11),OR(Recherche!$C$12="",ISNUMBER(SEARCH(Recherche!$C$12,M3007&amp;" "&amp;F3007)))),1,0)</f>
        <v>8</v>
      </c>
    </row>
    <row r="3008" customFormat="false" ht="15" hidden="false" customHeight="false" outlineLevel="0" collapsed="false">
      <c r="A3008" s="19"/>
      <c r="B3008" s="19"/>
      <c r="C3008" s="19"/>
      <c r="D3008" s="19"/>
      <c r="E3008" s="22"/>
      <c r="F3008" s="19"/>
      <c r="G3008" s="26" t="str">
        <f aca="false">IF(D3008="","",IFERROR(VALUE(LEFT(D3008,FIND(" |",D3008&amp;" |")-1)),"?"))</f>
        <v/>
      </c>
      <c r="H3008" s="27" t="str">
        <f aca="false">IF(G3008="","",IF(G3008="?","⚠ pub inconnue",IFERROR(INDEX(Pubs!$B$2:$B$3001,MATCH(G3008,Pubs!$A$2:$A$3001,0))&amp;"","⚠ pub inconnue")))</f>
        <v/>
      </c>
      <c r="I3008" s="27" t="str">
        <f aca="false">IF(OR(G3008="",G3008="?"),"",IFERROR(INDEX(Pubs!$C$2:$C$3001,MATCH(G3008,Pubs!$A$2:$A$3001,0))&amp;"",""))</f>
        <v/>
      </c>
      <c r="J3008" s="27" t="str">
        <f aca="false">IF(OR(G3008="",G3008="?"),"",IFERROR(INDEX(Pubs!$G$2:$G$3001,MATCH(G3008,Pubs!$A$2:$A$3001,0))&amp;"",""))</f>
        <v/>
      </c>
      <c r="K3008" s="28" t="str">
        <f aca="false">IF(OR(G3008="",G3008="?"),"",IFERROR(INDEX(Pubs!$E$2:$E$3001,MATCH(G3008,Pubs!$A$2:$A$3001,0)),""))</f>
        <v/>
      </c>
      <c r="L3008" s="29" t="str">
        <f aca="false">IF(A3008="","",IFERROR(1/(1/INDEX(Numéros!$C$2:$C$3001,MATCH(A3008&amp;"|"&amp;B3008,Numéros!$F$2:$F$3001,0))),""))</f>
        <v/>
      </c>
      <c r="M3008" s="27" t="str">
        <f aca="false">IF(OR(G3008="",G3008="?"),"",IFERROR(INDEX(Pubs!$D$2:$D$3001,MATCH(G3008,Pubs!$A$2:$A$3001,0))&amp;"",""))</f>
        <v/>
      </c>
      <c r="N3008" s="27" t="n">
        <f aca="false">N(N3007)+IF(AND(A3008&lt;&gt;"",OR(Recherche!$C$4="",A3008=Recherche!$C$4),OR(Recherche!$C$5="",B3008&amp;""=Recherche!$C$5&amp;""),OR(Recherche!$C$6="",IFERROR(YEAR(L3008),0)=Recherche!$C$6),OR(Recherche!$C$7="",ISNUMBER(SEARCH(Recherche!$C$7,H3008))),OR(Recherche!$C$8="",J3008=Recherche!$C$8),OR(Recherche!$C$9="",I3008=Recherche!$C$9),OR(Recherche!$C$10="",G3008&amp;""=Recherche!$C$10&amp;""),OR(Recherche!$C$11="",E3008=Recherche!$C$11),OR(Recherche!$C$12="",ISNUMBER(SEARCH(Recherche!$C$12,M3008&amp;" "&amp;F3008)))),1,0)</f>
        <v>8</v>
      </c>
    </row>
    <row r="3009" customFormat="false" ht="15" hidden="false" customHeight="false" outlineLevel="0" collapsed="false">
      <c r="A3009" s="19"/>
      <c r="B3009" s="19"/>
      <c r="C3009" s="19"/>
      <c r="D3009" s="19"/>
      <c r="E3009" s="22"/>
      <c r="F3009" s="19"/>
      <c r="G3009" s="26" t="str">
        <f aca="false">IF(D3009="","",IFERROR(VALUE(LEFT(D3009,FIND(" |",D3009&amp;" |")-1)),"?"))</f>
        <v/>
      </c>
      <c r="H3009" s="27" t="str">
        <f aca="false">IF(G3009="","",IF(G3009="?","⚠ pub inconnue",IFERROR(INDEX(Pubs!$B$2:$B$3001,MATCH(G3009,Pubs!$A$2:$A$3001,0))&amp;"","⚠ pub inconnue")))</f>
        <v/>
      </c>
      <c r="I3009" s="27" t="str">
        <f aca="false">IF(OR(G3009="",G3009="?"),"",IFERROR(INDEX(Pubs!$C$2:$C$3001,MATCH(G3009,Pubs!$A$2:$A$3001,0))&amp;"",""))</f>
        <v/>
      </c>
      <c r="J3009" s="27" t="str">
        <f aca="false">IF(OR(G3009="",G3009="?"),"",IFERROR(INDEX(Pubs!$G$2:$G$3001,MATCH(G3009,Pubs!$A$2:$A$3001,0))&amp;"",""))</f>
        <v/>
      </c>
      <c r="K3009" s="28" t="str">
        <f aca="false">IF(OR(G3009="",G3009="?"),"",IFERROR(INDEX(Pubs!$E$2:$E$3001,MATCH(G3009,Pubs!$A$2:$A$3001,0)),""))</f>
        <v/>
      </c>
      <c r="L3009" s="29" t="str">
        <f aca="false">IF(A3009="","",IFERROR(1/(1/INDEX(Numéros!$C$2:$C$3001,MATCH(A3009&amp;"|"&amp;B3009,Numéros!$F$2:$F$3001,0))),""))</f>
        <v/>
      </c>
      <c r="M3009" s="27" t="str">
        <f aca="false">IF(OR(G3009="",G3009="?"),"",IFERROR(INDEX(Pubs!$D$2:$D$3001,MATCH(G3009,Pubs!$A$2:$A$3001,0))&amp;"",""))</f>
        <v/>
      </c>
      <c r="N3009" s="27" t="n">
        <f aca="false">N(N3008)+IF(AND(A3009&lt;&gt;"",OR(Recherche!$C$4="",A3009=Recherche!$C$4),OR(Recherche!$C$5="",B3009&amp;""=Recherche!$C$5&amp;""),OR(Recherche!$C$6="",IFERROR(YEAR(L3009),0)=Recherche!$C$6),OR(Recherche!$C$7="",ISNUMBER(SEARCH(Recherche!$C$7,H3009))),OR(Recherche!$C$8="",J3009=Recherche!$C$8),OR(Recherche!$C$9="",I3009=Recherche!$C$9),OR(Recherche!$C$10="",G3009&amp;""=Recherche!$C$10&amp;""),OR(Recherche!$C$11="",E3009=Recherche!$C$11),OR(Recherche!$C$12="",ISNUMBER(SEARCH(Recherche!$C$12,M3009&amp;" "&amp;F3009)))),1,0)</f>
        <v>8</v>
      </c>
    </row>
    <row r="3010" customFormat="false" ht="15" hidden="false" customHeight="false" outlineLevel="0" collapsed="false">
      <c r="A3010" s="19"/>
      <c r="B3010" s="19"/>
      <c r="C3010" s="19"/>
      <c r="D3010" s="19"/>
      <c r="E3010" s="22"/>
      <c r="F3010" s="19"/>
      <c r="G3010" s="26" t="str">
        <f aca="false">IF(D3010="","",IFERROR(VALUE(LEFT(D3010,FIND(" |",D3010&amp;" |")-1)),"?"))</f>
        <v/>
      </c>
      <c r="H3010" s="27" t="str">
        <f aca="false">IF(G3010="","",IF(G3010="?","⚠ pub inconnue",IFERROR(INDEX(Pubs!$B$2:$B$3001,MATCH(G3010,Pubs!$A$2:$A$3001,0))&amp;"","⚠ pub inconnue")))</f>
        <v/>
      </c>
      <c r="I3010" s="27" t="str">
        <f aca="false">IF(OR(G3010="",G3010="?"),"",IFERROR(INDEX(Pubs!$C$2:$C$3001,MATCH(G3010,Pubs!$A$2:$A$3001,0))&amp;"",""))</f>
        <v/>
      </c>
      <c r="J3010" s="27" t="str">
        <f aca="false">IF(OR(G3010="",G3010="?"),"",IFERROR(INDEX(Pubs!$G$2:$G$3001,MATCH(G3010,Pubs!$A$2:$A$3001,0))&amp;"",""))</f>
        <v/>
      </c>
      <c r="K3010" s="28" t="str">
        <f aca="false">IF(OR(G3010="",G3010="?"),"",IFERROR(INDEX(Pubs!$E$2:$E$3001,MATCH(G3010,Pubs!$A$2:$A$3001,0)),""))</f>
        <v/>
      </c>
      <c r="L3010" s="29" t="str">
        <f aca="false">IF(A3010="","",IFERROR(1/(1/INDEX(Numéros!$C$2:$C$3001,MATCH(A3010&amp;"|"&amp;B3010,Numéros!$F$2:$F$3001,0))),""))</f>
        <v/>
      </c>
      <c r="M3010" s="27" t="str">
        <f aca="false">IF(OR(G3010="",G3010="?"),"",IFERROR(INDEX(Pubs!$D$2:$D$3001,MATCH(G3010,Pubs!$A$2:$A$3001,0))&amp;"",""))</f>
        <v/>
      </c>
      <c r="N3010" s="27" t="n">
        <f aca="false">N(N3009)+IF(AND(A3010&lt;&gt;"",OR(Recherche!$C$4="",A3010=Recherche!$C$4),OR(Recherche!$C$5="",B3010&amp;""=Recherche!$C$5&amp;""),OR(Recherche!$C$6="",IFERROR(YEAR(L3010),0)=Recherche!$C$6),OR(Recherche!$C$7="",ISNUMBER(SEARCH(Recherche!$C$7,H3010))),OR(Recherche!$C$8="",J3010=Recherche!$C$8),OR(Recherche!$C$9="",I3010=Recherche!$C$9),OR(Recherche!$C$10="",G3010&amp;""=Recherche!$C$10&amp;""),OR(Recherche!$C$11="",E3010=Recherche!$C$11),OR(Recherche!$C$12="",ISNUMBER(SEARCH(Recherche!$C$12,M3010&amp;" "&amp;F3010)))),1,0)</f>
        <v>8</v>
      </c>
    </row>
    <row r="3011" customFormat="false" ht="15" hidden="false" customHeight="false" outlineLevel="0" collapsed="false">
      <c r="A3011" s="19"/>
      <c r="B3011" s="19"/>
      <c r="C3011" s="19"/>
      <c r="D3011" s="19"/>
      <c r="E3011" s="22"/>
      <c r="F3011" s="19"/>
      <c r="G3011" s="26" t="str">
        <f aca="false">IF(D3011="","",IFERROR(VALUE(LEFT(D3011,FIND(" |",D3011&amp;" |")-1)),"?"))</f>
        <v/>
      </c>
      <c r="H3011" s="27" t="str">
        <f aca="false">IF(G3011="","",IF(G3011="?","⚠ pub inconnue",IFERROR(INDEX(Pubs!$B$2:$B$3001,MATCH(G3011,Pubs!$A$2:$A$3001,0))&amp;"","⚠ pub inconnue")))</f>
        <v/>
      </c>
      <c r="I3011" s="27" t="str">
        <f aca="false">IF(OR(G3011="",G3011="?"),"",IFERROR(INDEX(Pubs!$C$2:$C$3001,MATCH(G3011,Pubs!$A$2:$A$3001,0))&amp;"",""))</f>
        <v/>
      </c>
      <c r="J3011" s="27" t="str">
        <f aca="false">IF(OR(G3011="",G3011="?"),"",IFERROR(INDEX(Pubs!$G$2:$G$3001,MATCH(G3011,Pubs!$A$2:$A$3001,0))&amp;"",""))</f>
        <v/>
      </c>
      <c r="K3011" s="28" t="str">
        <f aca="false">IF(OR(G3011="",G3011="?"),"",IFERROR(INDEX(Pubs!$E$2:$E$3001,MATCH(G3011,Pubs!$A$2:$A$3001,0)),""))</f>
        <v/>
      </c>
      <c r="L3011" s="29" t="str">
        <f aca="false">IF(A3011="","",IFERROR(1/(1/INDEX(Numéros!$C$2:$C$3001,MATCH(A3011&amp;"|"&amp;B3011,Numéros!$F$2:$F$3001,0))),""))</f>
        <v/>
      </c>
      <c r="M3011" s="27" t="str">
        <f aca="false">IF(OR(G3011="",G3011="?"),"",IFERROR(INDEX(Pubs!$D$2:$D$3001,MATCH(G3011,Pubs!$A$2:$A$3001,0))&amp;"",""))</f>
        <v/>
      </c>
      <c r="N3011" s="27" t="n">
        <f aca="false">N(N3010)+IF(AND(A3011&lt;&gt;"",OR(Recherche!$C$4="",A3011=Recherche!$C$4),OR(Recherche!$C$5="",B3011&amp;""=Recherche!$C$5&amp;""),OR(Recherche!$C$6="",IFERROR(YEAR(L3011),0)=Recherche!$C$6),OR(Recherche!$C$7="",ISNUMBER(SEARCH(Recherche!$C$7,H3011))),OR(Recherche!$C$8="",J3011=Recherche!$C$8),OR(Recherche!$C$9="",I3011=Recherche!$C$9),OR(Recherche!$C$10="",G3011&amp;""=Recherche!$C$10&amp;""),OR(Recherche!$C$11="",E3011=Recherche!$C$11),OR(Recherche!$C$12="",ISNUMBER(SEARCH(Recherche!$C$12,M3011&amp;" "&amp;F3011)))),1,0)</f>
        <v>8</v>
      </c>
    </row>
    <row r="3012" customFormat="false" ht="15" hidden="false" customHeight="false" outlineLevel="0" collapsed="false">
      <c r="A3012" s="19"/>
      <c r="B3012" s="19"/>
      <c r="C3012" s="19"/>
      <c r="D3012" s="19"/>
      <c r="E3012" s="22"/>
      <c r="F3012" s="19"/>
      <c r="G3012" s="26" t="str">
        <f aca="false">IF(D3012="","",IFERROR(VALUE(LEFT(D3012,FIND(" |",D3012&amp;" |")-1)),"?"))</f>
        <v/>
      </c>
      <c r="H3012" s="27" t="str">
        <f aca="false">IF(G3012="","",IF(G3012="?","⚠ pub inconnue",IFERROR(INDEX(Pubs!$B$2:$B$3001,MATCH(G3012,Pubs!$A$2:$A$3001,0))&amp;"","⚠ pub inconnue")))</f>
        <v/>
      </c>
      <c r="I3012" s="27" t="str">
        <f aca="false">IF(OR(G3012="",G3012="?"),"",IFERROR(INDEX(Pubs!$C$2:$C$3001,MATCH(G3012,Pubs!$A$2:$A$3001,0))&amp;"",""))</f>
        <v/>
      </c>
      <c r="J3012" s="27" t="str">
        <f aca="false">IF(OR(G3012="",G3012="?"),"",IFERROR(INDEX(Pubs!$G$2:$G$3001,MATCH(G3012,Pubs!$A$2:$A$3001,0))&amp;"",""))</f>
        <v/>
      </c>
      <c r="K3012" s="28" t="str">
        <f aca="false">IF(OR(G3012="",G3012="?"),"",IFERROR(INDEX(Pubs!$E$2:$E$3001,MATCH(G3012,Pubs!$A$2:$A$3001,0)),""))</f>
        <v/>
      </c>
      <c r="L3012" s="29" t="str">
        <f aca="false">IF(A3012="","",IFERROR(1/(1/INDEX(Numéros!$C$2:$C$3001,MATCH(A3012&amp;"|"&amp;B3012,Numéros!$F$2:$F$3001,0))),""))</f>
        <v/>
      </c>
      <c r="M3012" s="27" t="str">
        <f aca="false">IF(OR(G3012="",G3012="?"),"",IFERROR(INDEX(Pubs!$D$2:$D$3001,MATCH(G3012,Pubs!$A$2:$A$3001,0))&amp;"",""))</f>
        <v/>
      </c>
      <c r="N3012" s="27" t="n">
        <f aca="false">N(N3011)+IF(AND(A3012&lt;&gt;"",OR(Recherche!$C$4="",A3012=Recherche!$C$4),OR(Recherche!$C$5="",B3012&amp;""=Recherche!$C$5&amp;""),OR(Recherche!$C$6="",IFERROR(YEAR(L3012),0)=Recherche!$C$6),OR(Recherche!$C$7="",ISNUMBER(SEARCH(Recherche!$C$7,H3012))),OR(Recherche!$C$8="",J3012=Recherche!$C$8),OR(Recherche!$C$9="",I3012=Recherche!$C$9),OR(Recherche!$C$10="",G3012&amp;""=Recherche!$C$10&amp;""),OR(Recherche!$C$11="",E3012=Recherche!$C$11),OR(Recherche!$C$12="",ISNUMBER(SEARCH(Recherche!$C$12,M3012&amp;" "&amp;F3012)))),1,0)</f>
        <v>8</v>
      </c>
    </row>
    <row r="3013" customFormat="false" ht="15" hidden="false" customHeight="false" outlineLevel="0" collapsed="false">
      <c r="A3013" s="19"/>
      <c r="B3013" s="19"/>
      <c r="C3013" s="19"/>
      <c r="D3013" s="19"/>
      <c r="E3013" s="22"/>
      <c r="F3013" s="19"/>
      <c r="G3013" s="26" t="str">
        <f aca="false">IF(D3013="","",IFERROR(VALUE(LEFT(D3013,FIND(" |",D3013&amp;" |")-1)),"?"))</f>
        <v/>
      </c>
      <c r="H3013" s="27" t="str">
        <f aca="false">IF(G3013="","",IF(G3013="?","⚠ pub inconnue",IFERROR(INDEX(Pubs!$B$2:$B$3001,MATCH(G3013,Pubs!$A$2:$A$3001,0))&amp;"","⚠ pub inconnue")))</f>
        <v/>
      </c>
      <c r="I3013" s="27" t="str">
        <f aca="false">IF(OR(G3013="",G3013="?"),"",IFERROR(INDEX(Pubs!$C$2:$C$3001,MATCH(G3013,Pubs!$A$2:$A$3001,0))&amp;"",""))</f>
        <v/>
      </c>
      <c r="J3013" s="27" t="str">
        <f aca="false">IF(OR(G3013="",G3013="?"),"",IFERROR(INDEX(Pubs!$G$2:$G$3001,MATCH(G3013,Pubs!$A$2:$A$3001,0))&amp;"",""))</f>
        <v/>
      </c>
      <c r="K3013" s="28" t="str">
        <f aca="false">IF(OR(G3013="",G3013="?"),"",IFERROR(INDEX(Pubs!$E$2:$E$3001,MATCH(G3013,Pubs!$A$2:$A$3001,0)),""))</f>
        <v/>
      </c>
      <c r="L3013" s="29" t="str">
        <f aca="false">IF(A3013="","",IFERROR(1/(1/INDEX(Numéros!$C$2:$C$3001,MATCH(A3013&amp;"|"&amp;B3013,Numéros!$F$2:$F$3001,0))),""))</f>
        <v/>
      </c>
      <c r="M3013" s="27" t="str">
        <f aca="false">IF(OR(G3013="",G3013="?"),"",IFERROR(INDEX(Pubs!$D$2:$D$3001,MATCH(G3013,Pubs!$A$2:$A$3001,0))&amp;"",""))</f>
        <v/>
      </c>
      <c r="N3013" s="27" t="n">
        <f aca="false">N(N3012)+IF(AND(A3013&lt;&gt;"",OR(Recherche!$C$4="",A3013=Recherche!$C$4),OR(Recherche!$C$5="",B3013&amp;""=Recherche!$C$5&amp;""),OR(Recherche!$C$6="",IFERROR(YEAR(L3013),0)=Recherche!$C$6),OR(Recherche!$C$7="",ISNUMBER(SEARCH(Recherche!$C$7,H3013))),OR(Recherche!$C$8="",J3013=Recherche!$C$8),OR(Recherche!$C$9="",I3013=Recherche!$C$9),OR(Recherche!$C$10="",G3013&amp;""=Recherche!$C$10&amp;""),OR(Recherche!$C$11="",E3013=Recherche!$C$11),OR(Recherche!$C$12="",ISNUMBER(SEARCH(Recherche!$C$12,M3013&amp;" "&amp;F3013)))),1,0)</f>
        <v>8</v>
      </c>
    </row>
    <row r="3014" customFormat="false" ht="15" hidden="false" customHeight="false" outlineLevel="0" collapsed="false">
      <c r="A3014" s="19"/>
      <c r="B3014" s="19"/>
      <c r="C3014" s="19"/>
      <c r="D3014" s="19"/>
      <c r="E3014" s="22"/>
      <c r="F3014" s="19"/>
      <c r="G3014" s="26" t="str">
        <f aca="false">IF(D3014="","",IFERROR(VALUE(LEFT(D3014,FIND(" |",D3014&amp;" |")-1)),"?"))</f>
        <v/>
      </c>
      <c r="H3014" s="27" t="str">
        <f aca="false">IF(G3014="","",IF(G3014="?","⚠ pub inconnue",IFERROR(INDEX(Pubs!$B$2:$B$3001,MATCH(G3014,Pubs!$A$2:$A$3001,0))&amp;"","⚠ pub inconnue")))</f>
        <v/>
      </c>
      <c r="I3014" s="27" t="str">
        <f aca="false">IF(OR(G3014="",G3014="?"),"",IFERROR(INDEX(Pubs!$C$2:$C$3001,MATCH(G3014,Pubs!$A$2:$A$3001,0))&amp;"",""))</f>
        <v/>
      </c>
      <c r="J3014" s="27" t="str">
        <f aca="false">IF(OR(G3014="",G3014="?"),"",IFERROR(INDEX(Pubs!$G$2:$G$3001,MATCH(G3014,Pubs!$A$2:$A$3001,0))&amp;"",""))</f>
        <v/>
      </c>
      <c r="K3014" s="28" t="str">
        <f aca="false">IF(OR(G3014="",G3014="?"),"",IFERROR(INDEX(Pubs!$E$2:$E$3001,MATCH(G3014,Pubs!$A$2:$A$3001,0)),""))</f>
        <v/>
      </c>
      <c r="L3014" s="29" t="str">
        <f aca="false">IF(A3014="","",IFERROR(1/(1/INDEX(Numéros!$C$2:$C$3001,MATCH(A3014&amp;"|"&amp;B3014,Numéros!$F$2:$F$3001,0))),""))</f>
        <v/>
      </c>
      <c r="M3014" s="27" t="str">
        <f aca="false">IF(OR(G3014="",G3014="?"),"",IFERROR(INDEX(Pubs!$D$2:$D$3001,MATCH(G3014,Pubs!$A$2:$A$3001,0))&amp;"",""))</f>
        <v/>
      </c>
      <c r="N3014" s="27" t="n">
        <f aca="false">N(N3013)+IF(AND(A3014&lt;&gt;"",OR(Recherche!$C$4="",A3014=Recherche!$C$4),OR(Recherche!$C$5="",B3014&amp;""=Recherche!$C$5&amp;""),OR(Recherche!$C$6="",IFERROR(YEAR(L3014),0)=Recherche!$C$6),OR(Recherche!$C$7="",ISNUMBER(SEARCH(Recherche!$C$7,H3014))),OR(Recherche!$C$8="",J3014=Recherche!$C$8),OR(Recherche!$C$9="",I3014=Recherche!$C$9),OR(Recherche!$C$10="",G3014&amp;""=Recherche!$C$10&amp;""),OR(Recherche!$C$11="",E3014=Recherche!$C$11),OR(Recherche!$C$12="",ISNUMBER(SEARCH(Recherche!$C$12,M3014&amp;" "&amp;F3014)))),1,0)</f>
        <v>8</v>
      </c>
    </row>
    <row r="3015" customFormat="false" ht="15" hidden="false" customHeight="false" outlineLevel="0" collapsed="false">
      <c r="A3015" s="19"/>
      <c r="B3015" s="19"/>
      <c r="C3015" s="19"/>
      <c r="D3015" s="19"/>
      <c r="E3015" s="22"/>
      <c r="F3015" s="19"/>
      <c r="G3015" s="26" t="str">
        <f aca="false">IF(D3015="","",IFERROR(VALUE(LEFT(D3015,FIND(" |",D3015&amp;" |")-1)),"?"))</f>
        <v/>
      </c>
      <c r="H3015" s="27" t="str">
        <f aca="false">IF(G3015="","",IF(G3015="?","⚠ pub inconnue",IFERROR(INDEX(Pubs!$B$2:$B$3001,MATCH(G3015,Pubs!$A$2:$A$3001,0))&amp;"","⚠ pub inconnue")))</f>
        <v/>
      </c>
      <c r="I3015" s="27" t="str">
        <f aca="false">IF(OR(G3015="",G3015="?"),"",IFERROR(INDEX(Pubs!$C$2:$C$3001,MATCH(G3015,Pubs!$A$2:$A$3001,0))&amp;"",""))</f>
        <v/>
      </c>
      <c r="J3015" s="27" t="str">
        <f aca="false">IF(OR(G3015="",G3015="?"),"",IFERROR(INDEX(Pubs!$G$2:$G$3001,MATCH(G3015,Pubs!$A$2:$A$3001,0))&amp;"",""))</f>
        <v/>
      </c>
      <c r="K3015" s="28" t="str">
        <f aca="false">IF(OR(G3015="",G3015="?"),"",IFERROR(INDEX(Pubs!$E$2:$E$3001,MATCH(G3015,Pubs!$A$2:$A$3001,0)),""))</f>
        <v/>
      </c>
      <c r="L3015" s="29" t="str">
        <f aca="false">IF(A3015="","",IFERROR(1/(1/INDEX(Numéros!$C$2:$C$3001,MATCH(A3015&amp;"|"&amp;B3015,Numéros!$F$2:$F$3001,0))),""))</f>
        <v/>
      </c>
      <c r="M3015" s="27" t="str">
        <f aca="false">IF(OR(G3015="",G3015="?"),"",IFERROR(INDEX(Pubs!$D$2:$D$3001,MATCH(G3015,Pubs!$A$2:$A$3001,0))&amp;"",""))</f>
        <v/>
      </c>
      <c r="N3015" s="27" t="n">
        <f aca="false">N(N3014)+IF(AND(A3015&lt;&gt;"",OR(Recherche!$C$4="",A3015=Recherche!$C$4),OR(Recherche!$C$5="",B3015&amp;""=Recherche!$C$5&amp;""),OR(Recherche!$C$6="",IFERROR(YEAR(L3015),0)=Recherche!$C$6),OR(Recherche!$C$7="",ISNUMBER(SEARCH(Recherche!$C$7,H3015))),OR(Recherche!$C$8="",J3015=Recherche!$C$8),OR(Recherche!$C$9="",I3015=Recherche!$C$9),OR(Recherche!$C$10="",G3015&amp;""=Recherche!$C$10&amp;""),OR(Recherche!$C$11="",E3015=Recherche!$C$11),OR(Recherche!$C$12="",ISNUMBER(SEARCH(Recherche!$C$12,M3015&amp;" "&amp;F3015)))),1,0)</f>
        <v>8</v>
      </c>
    </row>
    <row r="3016" customFormat="false" ht="15" hidden="false" customHeight="false" outlineLevel="0" collapsed="false">
      <c r="A3016" s="19"/>
      <c r="B3016" s="19"/>
      <c r="C3016" s="19"/>
      <c r="D3016" s="19"/>
      <c r="E3016" s="22"/>
      <c r="F3016" s="19"/>
      <c r="G3016" s="26" t="str">
        <f aca="false">IF(D3016="","",IFERROR(VALUE(LEFT(D3016,FIND(" |",D3016&amp;" |")-1)),"?"))</f>
        <v/>
      </c>
      <c r="H3016" s="27" t="str">
        <f aca="false">IF(G3016="","",IF(G3016="?","⚠ pub inconnue",IFERROR(INDEX(Pubs!$B$2:$B$3001,MATCH(G3016,Pubs!$A$2:$A$3001,0))&amp;"","⚠ pub inconnue")))</f>
        <v/>
      </c>
      <c r="I3016" s="27" t="str">
        <f aca="false">IF(OR(G3016="",G3016="?"),"",IFERROR(INDEX(Pubs!$C$2:$C$3001,MATCH(G3016,Pubs!$A$2:$A$3001,0))&amp;"",""))</f>
        <v/>
      </c>
      <c r="J3016" s="27" t="str">
        <f aca="false">IF(OR(G3016="",G3016="?"),"",IFERROR(INDEX(Pubs!$G$2:$G$3001,MATCH(G3016,Pubs!$A$2:$A$3001,0))&amp;"",""))</f>
        <v/>
      </c>
      <c r="K3016" s="28" t="str">
        <f aca="false">IF(OR(G3016="",G3016="?"),"",IFERROR(INDEX(Pubs!$E$2:$E$3001,MATCH(G3016,Pubs!$A$2:$A$3001,0)),""))</f>
        <v/>
      </c>
      <c r="L3016" s="29" t="str">
        <f aca="false">IF(A3016="","",IFERROR(1/(1/INDEX(Numéros!$C$2:$C$3001,MATCH(A3016&amp;"|"&amp;B3016,Numéros!$F$2:$F$3001,0))),""))</f>
        <v/>
      </c>
      <c r="M3016" s="27" t="str">
        <f aca="false">IF(OR(G3016="",G3016="?"),"",IFERROR(INDEX(Pubs!$D$2:$D$3001,MATCH(G3016,Pubs!$A$2:$A$3001,0))&amp;"",""))</f>
        <v/>
      </c>
      <c r="N3016" s="27" t="n">
        <f aca="false">N(N3015)+IF(AND(A3016&lt;&gt;"",OR(Recherche!$C$4="",A3016=Recherche!$C$4),OR(Recherche!$C$5="",B3016&amp;""=Recherche!$C$5&amp;""),OR(Recherche!$C$6="",IFERROR(YEAR(L3016),0)=Recherche!$C$6),OR(Recherche!$C$7="",ISNUMBER(SEARCH(Recherche!$C$7,H3016))),OR(Recherche!$C$8="",J3016=Recherche!$C$8),OR(Recherche!$C$9="",I3016=Recherche!$C$9),OR(Recherche!$C$10="",G3016&amp;""=Recherche!$C$10&amp;""),OR(Recherche!$C$11="",E3016=Recherche!$C$11),OR(Recherche!$C$12="",ISNUMBER(SEARCH(Recherche!$C$12,M3016&amp;" "&amp;F3016)))),1,0)</f>
        <v>8</v>
      </c>
    </row>
    <row r="3017" customFormat="false" ht="15" hidden="false" customHeight="false" outlineLevel="0" collapsed="false">
      <c r="A3017" s="19"/>
      <c r="B3017" s="19"/>
      <c r="C3017" s="19"/>
      <c r="D3017" s="19"/>
      <c r="E3017" s="22"/>
      <c r="F3017" s="19"/>
      <c r="G3017" s="26" t="str">
        <f aca="false">IF(D3017="","",IFERROR(VALUE(LEFT(D3017,FIND(" |",D3017&amp;" |")-1)),"?"))</f>
        <v/>
      </c>
      <c r="H3017" s="27" t="str">
        <f aca="false">IF(G3017="","",IF(G3017="?","⚠ pub inconnue",IFERROR(INDEX(Pubs!$B$2:$B$3001,MATCH(G3017,Pubs!$A$2:$A$3001,0))&amp;"","⚠ pub inconnue")))</f>
        <v/>
      </c>
      <c r="I3017" s="27" t="str">
        <f aca="false">IF(OR(G3017="",G3017="?"),"",IFERROR(INDEX(Pubs!$C$2:$C$3001,MATCH(G3017,Pubs!$A$2:$A$3001,0))&amp;"",""))</f>
        <v/>
      </c>
      <c r="J3017" s="27" t="str">
        <f aca="false">IF(OR(G3017="",G3017="?"),"",IFERROR(INDEX(Pubs!$G$2:$G$3001,MATCH(G3017,Pubs!$A$2:$A$3001,0))&amp;"",""))</f>
        <v/>
      </c>
      <c r="K3017" s="28" t="str">
        <f aca="false">IF(OR(G3017="",G3017="?"),"",IFERROR(INDEX(Pubs!$E$2:$E$3001,MATCH(G3017,Pubs!$A$2:$A$3001,0)),""))</f>
        <v/>
      </c>
      <c r="L3017" s="29" t="str">
        <f aca="false">IF(A3017="","",IFERROR(1/(1/INDEX(Numéros!$C$2:$C$3001,MATCH(A3017&amp;"|"&amp;B3017,Numéros!$F$2:$F$3001,0))),""))</f>
        <v/>
      </c>
      <c r="M3017" s="27" t="str">
        <f aca="false">IF(OR(G3017="",G3017="?"),"",IFERROR(INDEX(Pubs!$D$2:$D$3001,MATCH(G3017,Pubs!$A$2:$A$3001,0))&amp;"",""))</f>
        <v/>
      </c>
      <c r="N3017" s="27" t="n">
        <f aca="false">N(N3016)+IF(AND(A3017&lt;&gt;"",OR(Recherche!$C$4="",A3017=Recherche!$C$4),OR(Recherche!$C$5="",B3017&amp;""=Recherche!$C$5&amp;""),OR(Recherche!$C$6="",IFERROR(YEAR(L3017),0)=Recherche!$C$6),OR(Recherche!$C$7="",ISNUMBER(SEARCH(Recherche!$C$7,H3017))),OR(Recherche!$C$8="",J3017=Recherche!$C$8),OR(Recherche!$C$9="",I3017=Recherche!$C$9),OR(Recherche!$C$10="",G3017&amp;""=Recherche!$C$10&amp;""),OR(Recherche!$C$11="",E3017=Recherche!$C$11),OR(Recherche!$C$12="",ISNUMBER(SEARCH(Recherche!$C$12,M3017&amp;" "&amp;F3017)))),1,0)</f>
        <v>8</v>
      </c>
    </row>
    <row r="3018" customFormat="false" ht="15" hidden="false" customHeight="false" outlineLevel="0" collapsed="false">
      <c r="A3018" s="19"/>
      <c r="B3018" s="19"/>
      <c r="C3018" s="19"/>
      <c r="D3018" s="19"/>
      <c r="E3018" s="22"/>
      <c r="F3018" s="19"/>
      <c r="G3018" s="26" t="str">
        <f aca="false">IF(D3018="","",IFERROR(VALUE(LEFT(D3018,FIND(" |",D3018&amp;" |")-1)),"?"))</f>
        <v/>
      </c>
      <c r="H3018" s="27" t="str">
        <f aca="false">IF(G3018="","",IF(G3018="?","⚠ pub inconnue",IFERROR(INDEX(Pubs!$B$2:$B$3001,MATCH(G3018,Pubs!$A$2:$A$3001,0))&amp;"","⚠ pub inconnue")))</f>
        <v/>
      </c>
      <c r="I3018" s="27" t="str">
        <f aca="false">IF(OR(G3018="",G3018="?"),"",IFERROR(INDEX(Pubs!$C$2:$C$3001,MATCH(G3018,Pubs!$A$2:$A$3001,0))&amp;"",""))</f>
        <v/>
      </c>
      <c r="J3018" s="27" t="str">
        <f aca="false">IF(OR(G3018="",G3018="?"),"",IFERROR(INDEX(Pubs!$G$2:$G$3001,MATCH(G3018,Pubs!$A$2:$A$3001,0))&amp;"",""))</f>
        <v/>
      </c>
      <c r="K3018" s="28" t="str">
        <f aca="false">IF(OR(G3018="",G3018="?"),"",IFERROR(INDEX(Pubs!$E$2:$E$3001,MATCH(G3018,Pubs!$A$2:$A$3001,0)),""))</f>
        <v/>
      </c>
      <c r="L3018" s="29" t="str">
        <f aca="false">IF(A3018="","",IFERROR(1/(1/INDEX(Numéros!$C$2:$C$3001,MATCH(A3018&amp;"|"&amp;B3018,Numéros!$F$2:$F$3001,0))),""))</f>
        <v/>
      </c>
      <c r="M3018" s="27" t="str">
        <f aca="false">IF(OR(G3018="",G3018="?"),"",IFERROR(INDEX(Pubs!$D$2:$D$3001,MATCH(G3018,Pubs!$A$2:$A$3001,0))&amp;"",""))</f>
        <v/>
      </c>
      <c r="N3018" s="27" t="n">
        <f aca="false">N(N3017)+IF(AND(A3018&lt;&gt;"",OR(Recherche!$C$4="",A3018=Recherche!$C$4),OR(Recherche!$C$5="",B3018&amp;""=Recherche!$C$5&amp;""),OR(Recherche!$C$6="",IFERROR(YEAR(L3018),0)=Recherche!$C$6),OR(Recherche!$C$7="",ISNUMBER(SEARCH(Recherche!$C$7,H3018))),OR(Recherche!$C$8="",J3018=Recherche!$C$8),OR(Recherche!$C$9="",I3018=Recherche!$C$9),OR(Recherche!$C$10="",G3018&amp;""=Recherche!$C$10&amp;""),OR(Recherche!$C$11="",E3018=Recherche!$C$11),OR(Recherche!$C$12="",ISNUMBER(SEARCH(Recherche!$C$12,M3018&amp;" "&amp;F3018)))),1,0)</f>
        <v>8</v>
      </c>
    </row>
    <row r="3019" customFormat="false" ht="15" hidden="false" customHeight="false" outlineLevel="0" collapsed="false">
      <c r="A3019" s="19"/>
      <c r="B3019" s="19"/>
      <c r="C3019" s="19"/>
      <c r="D3019" s="19"/>
      <c r="E3019" s="22"/>
      <c r="F3019" s="19"/>
      <c r="G3019" s="26" t="str">
        <f aca="false">IF(D3019="","",IFERROR(VALUE(LEFT(D3019,FIND(" |",D3019&amp;" |")-1)),"?"))</f>
        <v/>
      </c>
      <c r="H3019" s="27" t="str">
        <f aca="false">IF(G3019="","",IF(G3019="?","⚠ pub inconnue",IFERROR(INDEX(Pubs!$B$2:$B$3001,MATCH(G3019,Pubs!$A$2:$A$3001,0))&amp;"","⚠ pub inconnue")))</f>
        <v/>
      </c>
      <c r="I3019" s="27" t="str">
        <f aca="false">IF(OR(G3019="",G3019="?"),"",IFERROR(INDEX(Pubs!$C$2:$C$3001,MATCH(G3019,Pubs!$A$2:$A$3001,0))&amp;"",""))</f>
        <v/>
      </c>
      <c r="J3019" s="27" t="str">
        <f aca="false">IF(OR(G3019="",G3019="?"),"",IFERROR(INDEX(Pubs!$G$2:$G$3001,MATCH(G3019,Pubs!$A$2:$A$3001,0))&amp;"",""))</f>
        <v/>
      </c>
      <c r="K3019" s="28" t="str">
        <f aca="false">IF(OR(G3019="",G3019="?"),"",IFERROR(INDEX(Pubs!$E$2:$E$3001,MATCH(G3019,Pubs!$A$2:$A$3001,0)),""))</f>
        <v/>
      </c>
      <c r="L3019" s="29" t="str">
        <f aca="false">IF(A3019="","",IFERROR(1/(1/INDEX(Numéros!$C$2:$C$3001,MATCH(A3019&amp;"|"&amp;B3019,Numéros!$F$2:$F$3001,0))),""))</f>
        <v/>
      </c>
      <c r="M3019" s="27" t="str">
        <f aca="false">IF(OR(G3019="",G3019="?"),"",IFERROR(INDEX(Pubs!$D$2:$D$3001,MATCH(G3019,Pubs!$A$2:$A$3001,0))&amp;"",""))</f>
        <v/>
      </c>
      <c r="N3019" s="27" t="n">
        <f aca="false">N(N3018)+IF(AND(A3019&lt;&gt;"",OR(Recherche!$C$4="",A3019=Recherche!$C$4),OR(Recherche!$C$5="",B3019&amp;""=Recherche!$C$5&amp;""),OR(Recherche!$C$6="",IFERROR(YEAR(L3019),0)=Recherche!$C$6),OR(Recherche!$C$7="",ISNUMBER(SEARCH(Recherche!$C$7,H3019))),OR(Recherche!$C$8="",J3019=Recherche!$C$8),OR(Recherche!$C$9="",I3019=Recherche!$C$9),OR(Recherche!$C$10="",G3019&amp;""=Recherche!$C$10&amp;""),OR(Recherche!$C$11="",E3019=Recherche!$C$11),OR(Recherche!$C$12="",ISNUMBER(SEARCH(Recherche!$C$12,M3019&amp;" "&amp;F3019)))),1,0)</f>
        <v>8</v>
      </c>
    </row>
    <row r="3020" customFormat="false" ht="15" hidden="false" customHeight="false" outlineLevel="0" collapsed="false">
      <c r="A3020" s="19"/>
      <c r="B3020" s="19"/>
      <c r="C3020" s="19"/>
      <c r="D3020" s="19"/>
      <c r="E3020" s="22"/>
      <c r="F3020" s="19"/>
      <c r="G3020" s="26" t="str">
        <f aca="false">IF(D3020="","",IFERROR(VALUE(LEFT(D3020,FIND(" |",D3020&amp;" |")-1)),"?"))</f>
        <v/>
      </c>
      <c r="H3020" s="27" t="str">
        <f aca="false">IF(G3020="","",IF(G3020="?","⚠ pub inconnue",IFERROR(INDEX(Pubs!$B$2:$B$3001,MATCH(G3020,Pubs!$A$2:$A$3001,0))&amp;"","⚠ pub inconnue")))</f>
        <v/>
      </c>
      <c r="I3020" s="27" t="str">
        <f aca="false">IF(OR(G3020="",G3020="?"),"",IFERROR(INDEX(Pubs!$C$2:$C$3001,MATCH(G3020,Pubs!$A$2:$A$3001,0))&amp;"",""))</f>
        <v/>
      </c>
      <c r="J3020" s="27" t="str">
        <f aca="false">IF(OR(G3020="",G3020="?"),"",IFERROR(INDEX(Pubs!$G$2:$G$3001,MATCH(G3020,Pubs!$A$2:$A$3001,0))&amp;"",""))</f>
        <v/>
      </c>
      <c r="K3020" s="28" t="str">
        <f aca="false">IF(OR(G3020="",G3020="?"),"",IFERROR(INDEX(Pubs!$E$2:$E$3001,MATCH(G3020,Pubs!$A$2:$A$3001,0)),""))</f>
        <v/>
      </c>
      <c r="L3020" s="29" t="str">
        <f aca="false">IF(A3020="","",IFERROR(1/(1/INDEX(Numéros!$C$2:$C$3001,MATCH(A3020&amp;"|"&amp;B3020,Numéros!$F$2:$F$3001,0))),""))</f>
        <v/>
      </c>
      <c r="M3020" s="27" t="str">
        <f aca="false">IF(OR(G3020="",G3020="?"),"",IFERROR(INDEX(Pubs!$D$2:$D$3001,MATCH(G3020,Pubs!$A$2:$A$3001,0))&amp;"",""))</f>
        <v/>
      </c>
      <c r="N3020" s="27" t="n">
        <f aca="false">N(N3019)+IF(AND(A3020&lt;&gt;"",OR(Recherche!$C$4="",A3020=Recherche!$C$4),OR(Recherche!$C$5="",B3020&amp;""=Recherche!$C$5&amp;""),OR(Recherche!$C$6="",IFERROR(YEAR(L3020),0)=Recherche!$C$6),OR(Recherche!$C$7="",ISNUMBER(SEARCH(Recherche!$C$7,H3020))),OR(Recherche!$C$8="",J3020=Recherche!$C$8),OR(Recherche!$C$9="",I3020=Recherche!$C$9),OR(Recherche!$C$10="",G3020&amp;""=Recherche!$C$10&amp;""),OR(Recherche!$C$11="",E3020=Recherche!$C$11),OR(Recherche!$C$12="",ISNUMBER(SEARCH(Recherche!$C$12,M3020&amp;" "&amp;F3020)))),1,0)</f>
        <v>8</v>
      </c>
    </row>
    <row r="3021" customFormat="false" ht="15" hidden="false" customHeight="false" outlineLevel="0" collapsed="false">
      <c r="A3021" s="19"/>
      <c r="B3021" s="19"/>
      <c r="C3021" s="19"/>
      <c r="D3021" s="19"/>
      <c r="E3021" s="22"/>
      <c r="F3021" s="19"/>
      <c r="G3021" s="26" t="str">
        <f aca="false">IF(D3021="","",IFERROR(VALUE(LEFT(D3021,FIND(" |",D3021&amp;" |")-1)),"?"))</f>
        <v/>
      </c>
      <c r="H3021" s="27" t="str">
        <f aca="false">IF(G3021="","",IF(G3021="?","⚠ pub inconnue",IFERROR(INDEX(Pubs!$B$2:$B$3001,MATCH(G3021,Pubs!$A$2:$A$3001,0))&amp;"","⚠ pub inconnue")))</f>
        <v/>
      </c>
      <c r="I3021" s="27" t="str">
        <f aca="false">IF(OR(G3021="",G3021="?"),"",IFERROR(INDEX(Pubs!$C$2:$C$3001,MATCH(G3021,Pubs!$A$2:$A$3001,0))&amp;"",""))</f>
        <v/>
      </c>
      <c r="J3021" s="27" t="str">
        <f aca="false">IF(OR(G3021="",G3021="?"),"",IFERROR(INDEX(Pubs!$G$2:$G$3001,MATCH(G3021,Pubs!$A$2:$A$3001,0))&amp;"",""))</f>
        <v/>
      </c>
      <c r="K3021" s="28" t="str">
        <f aca="false">IF(OR(G3021="",G3021="?"),"",IFERROR(INDEX(Pubs!$E$2:$E$3001,MATCH(G3021,Pubs!$A$2:$A$3001,0)),""))</f>
        <v/>
      </c>
      <c r="L3021" s="29" t="str">
        <f aca="false">IF(A3021="","",IFERROR(1/(1/INDEX(Numéros!$C$2:$C$3001,MATCH(A3021&amp;"|"&amp;B3021,Numéros!$F$2:$F$3001,0))),""))</f>
        <v/>
      </c>
      <c r="M3021" s="27" t="str">
        <f aca="false">IF(OR(G3021="",G3021="?"),"",IFERROR(INDEX(Pubs!$D$2:$D$3001,MATCH(G3021,Pubs!$A$2:$A$3001,0))&amp;"",""))</f>
        <v/>
      </c>
      <c r="N3021" s="27" t="n">
        <f aca="false">N(N3020)+IF(AND(A3021&lt;&gt;"",OR(Recherche!$C$4="",A3021=Recherche!$C$4),OR(Recherche!$C$5="",B3021&amp;""=Recherche!$C$5&amp;""),OR(Recherche!$C$6="",IFERROR(YEAR(L3021),0)=Recherche!$C$6),OR(Recherche!$C$7="",ISNUMBER(SEARCH(Recherche!$C$7,H3021))),OR(Recherche!$C$8="",J3021=Recherche!$C$8),OR(Recherche!$C$9="",I3021=Recherche!$C$9),OR(Recherche!$C$10="",G3021&amp;""=Recherche!$C$10&amp;""),OR(Recherche!$C$11="",E3021=Recherche!$C$11),OR(Recherche!$C$12="",ISNUMBER(SEARCH(Recherche!$C$12,M3021&amp;" "&amp;F3021)))),1,0)</f>
        <v>8</v>
      </c>
    </row>
    <row r="3022" customFormat="false" ht="15" hidden="false" customHeight="false" outlineLevel="0" collapsed="false">
      <c r="A3022" s="19"/>
      <c r="B3022" s="19"/>
      <c r="C3022" s="19"/>
      <c r="D3022" s="19"/>
      <c r="E3022" s="22"/>
      <c r="F3022" s="19"/>
      <c r="G3022" s="26" t="str">
        <f aca="false">IF(D3022="","",IFERROR(VALUE(LEFT(D3022,FIND(" |",D3022&amp;" |")-1)),"?"))</f>
        <v/>
      </c>
      <c r="H3022" s="27" t="str">
        <f aca="false">IF(G3022="","",IF(G3022="?","⚠ pub inconnue",IFERROR(INDEX(Pubs!$B$2:$B$3001,MATCH(G3022,Pubs!$A$2:$A$3001,0))&amp;"","⚠ pub inconnue")))</f>
        <v/>
      </c>
      <c r="I3022" s="27" t="str">
        <f aca="false">IF(OR(G3022="",G3022="?"),"",IFERROR(INDEX(Pubs!$C$2:$C$3001,MATCH(G3022,Pubs!$A$2:$A$3001,0))&amp;"",""))</f>
        <v/>
      </c>
      <c r="J3022" s="27" t="str">
        <f aca="false">IF(OR(G3022="",G3022="?"),"",IFERROR(INDEX(Pubs!$G$2:$G$3001,MATCH(G3022,Pubs!$A$2:$A$3001,0))&amp;"",""))</f>
        <v/>
      </c>
      <c r="K3022" s="28" t="str">
        <f aca="false">IF(OR(G3022="",G3022="?"),"",IFERROR(INDEX(Pubs!$E$2:$E$3001,MATCH(G3022,Pubs!$A$2:$A$3001,0)),""))</f>
        <v/>
      </c>
      <c r="L3022" s="29" t="str">
        <f aca="false">IF(A3022="","",IFERROR(1/(1/INDEX(Numéros!$C$2:$C$3001,MATCH(A3022&amp;"|"&amp;B3022,Numéros!$F$2:$F$3001,0))),""))</f>
        <v/>
      </c>
      <c r="M3022" s="27" t="str">
        <f aca="false">IF(OR(G3022="",G3022="?"),"",IFERROR(INDEX(Pubs!$D$2:$D$3001,MATCH(G3022,Pubs!$A$2:$A$3001,0))&amp;"",""))</f>
        <v/>
      </c>
      <c r="N3022" s="27" t="n">
        <f aca="false">N(N3021)+IF(AND(A3022&lt;&gt;"",OR(Recherche!$C$4="",A3022=Recherche!$C$4),OR(Recherche!$C$5="",B3022&amp;""=Recherche!$C$5&amp;""),OR(Recherche!$C$6="",IFERROR(YEAR(L3022),0)=Recherche!$C$6),OR(Recherche!$C$7="",ISNUMBER(SEARCH(Recherche!$C$7,H3022))),OR(Recherche!$C$8="",J3022=Recherche!$C$8),OR(Recherche!$C$9="",I3022=Recherche!$C$9),OR(Recherche!$C$10="",G3022&amp;""=Recherche!$C$10&amp;""),OR(Recherche!$C$11="",E3022=Recherche!$C$11),OR(Recherche!$C$12="",ISNUMBER(SEARCH(Recherche!$C$12,M3022&amp;" "&amp;F3022)))),1,0)</f>
        <v>8</v>
      </c>
    </row>
    <row r="3023" customFormat="false" ht="15" hidden="false" customHeight="false" outlineLevel="0" collapsed="false">
      <c r="A3023" s="19"/>
      <c r="B3023" s="19"/>
      <c r="C3023" s="19"/>
      <c r="D3023" s="19"/>
      <c r="E3023" s="22"/>
      <c r="F3023" s="19"/>
      <c r="G3023" s="26" t="str">
        <f aca="false">IF(D3023="","",IFERROR(VALUE(LEFT(D3023,FIND(" |",D3023&amp;" |")-1)),"?"))</f>
        <v/>
      </c>
      <c r="H3023" s="27" t="str">
        <f aca="false">IF(G3023="","",IF(G3023="?","⚠ pub inconnue",IFERROR(INDEX(Pubs!$B$2:$B$3001,MATCH(G3023,Pubs!$A$2:$A$3001,0))&amp;"","⚠ pub inconnue")))</f>
        <v/>
      </c>
      <c r="I3023" s="27" t="str">
        <f aca="false">IF(OR(G3023="",G3023="?"),"",IFERROR(INDEX(Pubs!$C$2:$C$3001,MATCH(G3023,Pubs!$A$2:$A$3001,0))&amp;"",""))</f>
        <v/>
      </c>
      <c r="J3023" s="27" t="str">
        <f aca="false">IF(OR(G3023="",G3023="?"),"",IFERROR(INDEX(Pubs!$G$2:$G$3001,MATCH(G3023,Pubs!$A$2:$A$3001,0))&amp;"",""))</f>
        <v/>
      </c>
      <c r="K3023" s="28" t="str">
        <f aca="false">IF(OR(G3023="",G3023="?"),"",IFERROR(INDEX(Pubs!$E$2:$E$3001,MATCH(G3023,Pubs!$A$2:$A$3001,0)),""))</f>
        <v/>
      </c>
      <c r="L3023" s="29" t="str">
        <f aca="false">IF(A3023="","",IFERROR(1/(1/INDEX(Numéros!$C$2:$C$3001,MATCH(A3023&amp;"|"&amp;B3023,Numéros!$F$2:$F$3001,0))),""))</f>
        <v/>
      </c>
      <c r="M3023" s="27" t="str">
        <f aca="false">IF(OR(G3023="",G3023="?"),"",IFERROR(INDEX(Pubs!$D$2:$D$3001,MATCH(G3023,Pubs!$A$2:$A$3001,0))&amp;"",""))</f>
        <v/>
      </c>
      <c r="N3023" s="27" t="n">
        <f aca="false">N(N3022)+IF(AND(A3023&lt;&gt;"",OR(Recherche!$C$4="",A3023=Recherche!$C$4),OR(Recherche!$C$5="",B3023&amp;""=Recherche!$C$5&amp;""),OR(Recherche!$C$6="",IFERROR(YEAR(L3023),0)=Recherche!$C$6),OR(Recherche!$C$7="",ISNUMBER(SEARCH(Recherche!$C$7,H3023))),OR(Recherche!$C$8="",J3023=Recherche!$C$8),OR(Recherche!$C$9="",I3023=Recherche!$C$9),OR(Recherche!$C$10="",G3023&amp;""=Recherche!$C$10&amp;""),OR(Recherche!$C$11="",E3023=Recherche!$C$11),OR(Recherche!$C$12="",ISNUMBER(SEARCH(Recherche!$C$12,M3023&amp;" "&amp;F3023)))),1,0)</f>
        <v>8</v>
      </c>
    </row>
    <row r="3024" customFormat="false" ht="15" hidden="false" customHeight="false" outlineLevel="0" collapsed="false">
      <c r="A3024" s="19"/>
      <c r="B3024" s="19"/>
      <c r="C3024" s="19"/>
      <c r="D3024" s="19"/>
      <c r="E3024" s="22"/>
      <c r="F3024" s="19"/>
      <c r="G3024" s="26" t="str">
        <f aca="false">IF(D3024="","",IFERROR(VALUE(LEFT(D3024,FIND(" |",D3024&amp;" |")-1)),"?"))</f>
        <v/>
      </c>
      <c r="H3024" s="27" t="str">
        <f aca="false">IF(G3024="","",IF(G3024="?","⚠ pub inconnue",IFERROR(INDEX(Pubs!$B$2:$B$3001,MATCH(G3024,Pubs!$A$2:$A$3001,0))&amp;"","⚠ pub inconnue")))</f>
        <v/>
      </c>
      <c r="I3024" s="27" t="str">
        <f aca="false">IF(OR(G3024="",G3024="?"),"",IFERROR(INDEX(Pubs!$C$2:$C$3001,MATCH(G3024,Pubs!$A$2:$A$3001,0))&amp;"",""))</f>
        <v/>
      </c>
      <c r="J3024" s="27" t="str">
        <f aca="false">IF(OR(G3024="",G3024="?"),"",IFERROR(INDEX(Pubs!$G$2:$G$3001,MATCH(G3024,Pubs!$A$2:$A$3001,0))&amp;"",""))</f>
        <v/>
      </c>
      <c r="K3024" s="28" t="str">
        <f aca="false">IF(OR(G3024="",G3024="?"),"",IFERROR(INDEX(Pubs!$E$2:$E$3001,MATCH(G3024,Pubs!$A$2:$A$3001,0)),""))</f>
        <v/>
      </c>
      <c r="L3024" s="29" t="str">
        <f aca="false">IF(A3024="","",IFERROR(1/(1/INDEX(Numéros!$C$2:$C$3001,MATCH(A3024&amp;"|"&amp;B3024,Numéros!$F$2:$F$3001,0))),""))</f>
        <v/>
      </c>
      <c r="M3024" s="27" t="str">
        <f aca="false">IF(OR(G3024="",G3024="?"),"",IFERROR(INDEX(Pubs!$D$2:$D$3001,MATCH(G3024,Pubs!$A$2:$A$3001,0))&amp;"",""))</f>
        <v/>
      </c>
      <c r="N3024" s="27" t="n">
        <f aca="false">N(N3023)+IF(AND(A3024&lt;&gt;"",OR(Recherche!$C$4="",A3024=Recherche!$C$4),OR(Recherche!$C$5="",B3024&amp;""=Recherche!$C$5&amp;""),OR(Recherche!$C$6="",IFERROR(YEAR(L3024),0)=Recherche!$C$6),OR(Recherche!$C$7="",ISNUMBER(SEARCH(Recherche!$C$7,H3024))),OR(Recherche!$C$8="",J3024=Recherche!$C$8),OR(Recherche!$C$9="",I3024=Recherche!$C$9),OR(Recherche!$C$10="",G3024&amp;""=Recherche!$C$10&amp;""),OR(Recherche!$C$11="",E3024=Recherche!$C$11),OR(Recherche!$C$12="",ISNUMBER(SEARCH(Recherche!$C$12,M3024&amp;" "&amp;F3024)))),1,0)</f>
        <v>8</v>
      </c>
    </row>
    <row r="3025" customFormat="false" ht="15" hidden="false" customHeight="false" outlineLevel="0" collapsed="false">
      <c r="A3025" s="19"/>
      <c r="B3025" s="19"/>
      <c r="C3025" s="19"/>
      <c r="D3025" s="19"/>
      <c r="E3025" s="22"/>
      <c r="F3025" s="19"/>
      <c r="G3025" s="26" t="str">
        <f aca="false">IF(D3025="","",IFERROR(VALUE(LEFT(D3025,FIND(" |",D3025&amp;" |")-1)),"?"))</f>
        <v/>
      </c>
      <c r="H3025" s="27" t="str">
        <f aca="false">IF(G3025="","",IF(G3025="?","⚠ pub inconnue",IFERROR(INDEX(Pubs!$B$2:$B$3001,MATCH(G3025,Pubs!$A$2:$A$3001,0))&amp;"","⚠ pub inconnue")))</f>
        <v/>
      </c>
      <c r="I3025" s="27" t="str">
        <f aca="false">IF(OR(G3025="",G3025="?"),"",IFERROR(INDEX(Pubs!$C$2:$C$3001,MATCH(G3025,Pubs!$A$2:$A$3001,0))&amp;"",""))</f>
        <v/>
      </c>
      <c r="J3025" s="27" t="str">
        <f aca="false">IF(OR(G3025="",G3025="?"),"",IFERROR(INDEX(Pubs!$G$2:$G$3001,MATCH(G3025,Pubs!$A$2:$A$3001,0))&amp;"",""))</f>
        <v/>
      </c>
      <c r="K3025" s="28" t="str">
        <f aca="false">IF(OR(G3025="",G3025="?"),"",IFERROR(INDEX(Pubs!$E$2:$E$3001,MATCH(G3025,Pubs!$A$2:$A$3001,0)),""))</f>
        <v/>
      </c>
      <c r="L3025" s="29" t="str">
        <f aca="false">IF(A3025="","",IFERROR(1/(1/INDEX(Numéros!$C$2:$C$3001,MATCH(A3025&amp;"|"&amp;B3025,Numéros!$F$2:$F$3001,0))),""))</f>
        <v/>
      </c>
      <c r="M3025" s="27" t="str">
        <f aca="false">IF(OR(G3025="",G3025="?"),"",IFERROR(INDEX(Pubs!$D$2:$D$3001,MATCH(G3025,Pubs!$A$2:$A$3001,0))&amp;"",""))</f>
        <v/>
      </c>
      <c r="N3025" s="27" t="n">
        <f aca="false">N(N3024)+IF(AND(A3025&lt;&gt;"",OR(Recherche!$C$4="",A3025=Recherche!$C$4),OR(Recherche!$C$5="",B3025&amp;""=Recherche!$C$5&amp;""),OR(Recherche!$C$6="",IFERROR(YEAR(L3025),0)=Recherche!$C$6),OR(Recherche!$C$7="",ISNUMBER(SEARCH(Recherche!$C$7,H3025))),OR(Recherche!$C$8="",J3025=Recherche!$C$8),OR(Recherche!$C$9="",I3025=Recherche!$C$9),OR(Recherche!$C$10="",G3025&amp;""=Recherche!$C$10&amp;""),OR(Recherche!$C$11="",E3025=Recherche!$C$11),OR(Recherche!$C$12="",ISNUMBER(SEARCH(Recherche!$C$12,M3025&amp;" "&amp;F3025)))),1,0)</f>
        <v>8</v>
      </c>
    </row>
    <row r="3026" customFormat="false" ht="15" hidden="false" customHeight="false" outlineLevel="0" collapsed="false">
      <c r="A3026" s="19"/>
      <c r="B3026" s="19"/>
      <c r="C3026" s="19"/>
      <c r="D3026" s="19"/>
      <c r="E3026" s="22"/>
      <c r="F3026" s="19"/>
      <c r="G3026" s="26" t="str">
        <f aca="false">IF(D3026="","",IFERROR(VALUE(LEFT(D3026,FIND(" |",D3026&amp;" |")-1)),"?"))</f>
        <v/>
      </c>
      <c r="H3026" s="27" t="str">
        <f aca="false">IF(G3026="","",IF(G3026="?","⚠ pub inconnue",IFERROR(INDEX(Pubs!$B$2:$B$3001,MATCH(G3026,Pubs!$A$2:$A$3001,0))&amp;"","⚠ pub inconnue")))</f>
        <v/>
      </c>
      <c r="I3026" s="27" t="str">
        <f aca="false">IF(OR(G3026="",G3026="?"),"",IFERROR(INDEX(Pubs!$C$2:$C$3001,MATCH(G3026,Pubs!$A$2:$A$3001,0))&amp;"",""))</f>
        <v/>
      </c>
      <c r="J3026" s="27" t="str">
        <f aca="false">IF(OR(G3026="",G3026="?"),"",IFERROR(INDEX(Pubs!$G$2:$G$3001,MATCH(G3026,Pubs!$A$2:$A$3001,0))&amp;"",""))</f>
        <v/>
      </c>
      <c r="K3026" s="28" t="str">
        <f aca="false">IF(OR(G3026="",G3026="?"),"",IFERROR(INDEX(Pubs!$E$2:$E$3001,MATCH(G3026,Pubs!$A$2:$A$3001,0)),""))</f>
        <v/>
      </c>
      <c r="L3026" s="29" t="str">
        <f aca="false">IF(A3026="","",IFERROR(1/(1/INDEX(Numéros!$C$2:$C$3001,MATCH(A3026&amp;"|"&amp;B3026,Numéros!$F$2:$F$3001,0))),""))</f>
        <v/>
      </c>
      <c r="M3026" s="27" t="str">
        <f aca="false">IF(OR(G3026="",G3026="?"),"",IFERROR(INDEX(Pubs!$D$2:$D$3001,MATCH(G3026,Pubs!$A$2:$A$3001,0))&amp;"",""))</f>
        <v/>
      </c>
      <c r="N3026" s="27" t="n">
        <f aca="false">N(N3025)+IF(AND(A3026&lt;&gt;"",OR(Recherche!$C$4="",A3026=Recherche!$C$4),OR(Recherche!$C$5="",B3026&amp;""=Recherche!$C$5&amp;""),OR(Recherche!$C$6="",IFERROR(YEAR(L3026),0)=Recherche!$C$6),OR(Recherche!$C$7="",ISNUMBER(SEARCH(Recherche!$C$7,H3026))),OR(Recherche!$C$8="",J3026=Recherche!$C$8),OR(Recherche!$C$9="",I3026=Recherche!$C$9),OR(Recherche!$C$10="",G3026&amp;""=Recherche!$C$10&amp;""),OR(Recherche!$C$11="",E3026=Recherche!$C$11),OR(Recherche!$C$12="",ISNUMBER(SEARCH(Recherche!$C$12,M3026&amp;" "&amp;F3026)))),1,0)</f>
        <v>8</v>
      </c>
    </row>
    <row r="3027" customFormat="false" ht="15" hidden="false" customHeight="false" outlineLevel="0" collapsed="false">
      <c r="A3027" s="19"/>
      <c r="B3027" s="19"/>
      <c r="C3027" s="19"/>
      <c r="D3027" s="19"/>
      <c r="E3027" s="22"/>
      <c r="F3027" s="19"/>
      <c r="G3027" s="26" t="str">
        <f aca="false">IF(D3027="","",IFERROR(VALUE(LEFT(D3027,FIND(" |",D3027&amp;" |")-1)),"?"))</f>
        <v/>
      </c>
      <c r="H3027" s="27" t="str">
        <f aca="false">IF(G3027="","",IF(G3027="?","⚠ pub inconnue",IFERROR(INDEX(Pubs!$B$2:$B$3001,MATCH(G3027,Pubs!$A$2:$A$3001,0))&amp;"","⚠ pub inconnue")))</f>
        <v/>
      </c>
      <c r="I3027" s="27" t="str">
        <f aca="false">IF(OR(G3027="",G3027="?"),"",IFERROR(INDEX(Pubs!$C$2:$C$3001,MATCH(G3027,Pubs!$A$2:$A$3001,0))&amp;"",""))</f>
        <v/>
      </c>
      <c r="J3027" s="27" t="str">
        <f aca="false">IF(OR(G3027="",G3027="?"),"",IFERROR(INDEX(Pubs!$G$2:$G$3001,MATCH(G3027,Pubs!$A$2:$A$3001,0))&amp;"",""))</f>
        <v/>
      </c>
      <c r="K3027" s="28" t="str">
        <f aca="false">IF(OR(G3027="",G3027="?"),"",IFERROR(INDEX(Pubs!$E$2:$E$3001,MATCH(G3027,Pubs!$A$2:$A$3001,0)),""))</f>
        <v/>
      </c>
      <c r="L3027" s="29" t="str">
        <f aca="false">IF(A3027="","",IFERROR(1/(1/INDEX(Numéros!$C$2:$C$3001,MATCH(A3027&amp;"|"&amp;B3027,Numéros!$F$2:$F$3001,0))),""))</f>
        <v/>
      </c>
      <c r="M3027" s="27" t="str">
        <f aca="false">IF(OR(G3027="",G3027="?"),"",IFERROR(INDEX(Pubs!$D$2:$D$3001,MATCH(G3027,Pubs!$A$2:$A$3001,0))&amp;"",""))</f>
        <v/>
      </c>
      <c r="N3027" s="27" t="n">
        <f aca="false">N(N3026)+IF(AND(A3027&lt;&gt;"",OR(Recherche!$C$4="",A3027=Recherche!$C$4),OR(Recherche!$C$5="",B3027&amp;""=Recherche!$C$5&amp;""),OR(Recherche!$C$6="",IFERROR(YEAR(L3027),0)=Recherche!$C$6),OR(Recherche!$C$7="",ISNUMBER(SEARCH(Recherche!$C$7,H3027))),OR(Recherche!$C$8="",J3027=Recherche!$C$8),OR(Recherche!$C$9="",I3027=Recherche!$C$9),OR(Recherche!$C$10="",G3027&amp;""=Recherche!$C$10&amp;""),OR(Recherche!$C$11="",E3027=Recherche!$C$11),OR(Recherche!$C$12="",ISNUMBER(SEARCH(Recherche!$C$12,M3027&amp;" "&amp;F3027)))),1,0)</f>
        <v>8</v>
      </c>
    </row>
    <row r="3028" customFormat="false" ht="15" hidden="false" customHeight="false" outlineLevel="0" collapsed="false">
      <c r="A3028" s="19"/>
      <c r="B3028" s="19"/>
      <c r="C3028" s="19"/>
      <c r="D3028" s="19"/>
      <c r="E3028" s="22"/>
      <c r="F3028" s="19"/>
      <c r="G3028" s="26" t="str">
        <f aca="false">IF(D3028="","",IFERROR(VALUE(LEFT(D3028,FIND(" |",D3028&amp;" |")-1)),"?"))</f>
        <v/>
      </c>
      <c r="H3028" s="27" t="str">
        <f aca="false">IF(G3028="","",IF(G3028="?","⚠ pub inconnue",IFERROR(INDEX(Pubs!$B$2:$B$3001,MATCH(G3028,Pubs!$A$2:$A$3001,0))&amp;"","⚠ pub inconnue")))</f>
        <v/>
      </c>
      <c r="I3028" s="27" t="str">
        <f aca="false">IF(OR(G3028="",G3028="?"),"",IFERROR(INDEX(Pubs!$C$2:$C$3001,MATCH(G3028,Pubs!$A$2:$A$3001,0))&amp;"",""))</f>
        <v/>
      </c>
      <c r="J3028" s="27" t="str">
        <f aca="false">IF(OR(G3028="",G3028="?"),"",IFERROR(INDEX(Pubs!$G$2:$G$3001,MATCH(G3028,Pubs!$A$2:$A$3001,0))&amp;"",""))</f>
        <v/>
      </c>
      <c r="K3028" s="28" t="str">
        <f aca="false">IF(OR(G3028="",G3028="?"),"",IFERROR(INDEX(Pubs!$E$2:$E$3001,MATCH(G3028,Pubs!$A$2:$A$3001,0)),""))</f>
        <v/>
      </c>
      <c r="L3028" s="29" t="str">
        <f aca="false">IF(A3028="","",IFERROR(1/(1/INDEX(Numéros!$C$2:$C$3001,MATCH(A3028&amp;"|"&amp;B3028,Numéros!$F$2:$F$3001,0))),""))</f>
        <v/>
      </c>
      <c r="M3028" s="27" t="str">
        <f aca="false">IF(OR(G3028="",G3028="?"),"",IFERROR(INDEX(Pubs!$D$2:$D$3001,MATCH(G3028,Pubs!$A$2:$A$3001,0))&amp;"",""))</f>
        <v/>
      </c>
      <c r="N3028" s="27" t="n">
        <f aca="false">N(N3027)+IF(AND(A3028&lt;&gt;"",OR(Recherche!$C$4="",A3028=Recherche!$C$4),OR(Recherche!$C$5="",B3028&amp;""=Recherche!$C$5&amp;""),OR(Recherche!$C$6="",IFERROR(YEAR(L3028),0)=Recherche!$C$6),OR(Recherche!$C$7="",ISNUMBER(SEARCH(Recherche!$C$7,H3028))),OR(Recherche!$C$8="",J3028=Recherche!$C$8),OR(Recherche!$C$9="",I3028=Recherche!$C$9),OR(Recherche!$C$10="",G3028&amp;""=Recherche!$C$10&amp;""),OR(Recherche!$C$11="",E3028=Recherche!$C$11),OR(Recherche!$C$12="",ISNUMBER(SEARCH(Recherche!$C$12,M3028&amp;" "&amp;F3028)))),1,0)</f>
        <v>8</v>
      </c>
    </row>
    <row r="3029" customFormat="false" ht="15" hidden="false" customHeight="false" outlineLevel="0" collapsed="false">
      <c r="A3029" s="19"/>
      <c r="B3029" s="19"/>
      <c r="C3029" s="19"/>
      <c r="D3029" s="19"/>
      <c r="E3029" s="22"/>
      <c r="F3029" s="19"/>
      <c r="G3029" s="26" t="str">
        <f aca="false">IF(D3029="","",IFERROR(VALUE(LEFT(D3029,FIND(" |",D3029&amp;" |")-1)),"?"))</f>
        <v/>
      </c>
      <c r="H3029" s="27" t="str">
        <f aca="false">IF(G3029="","",IF(G3029="?","⚠ pub inconnue",IFERROR(INDEX(Pubs!$B$2:$B$3001,MATCH(G3029,Pubs!$A$2:$A$3001,0))&amp;"","⚠ pub inconnue")))</f>
        <v/>
      </c>
      <c r="I3029" s="27" t="str">
        <f aca="false">IF(OR(G3029="",G3029="?"),"",IFERROR(INDEX(Pubs!$C$2:$C$3001,MATCH(G3029,Pubs!$A$2:$A$3001,0))&amp;"",""))</f>
        <v/>
      </c>
      <c r="J3029" s="27" t="str">
        <f aca="false">IF(OR(G3029="",G3029="?"),"",IFERROR(INDEX(Pubs!$G$2:$G$3001,MATCH(G3029,Pubs!$A$2:$A$3001,0))&amp;"",""))</f>
        <v/>
      </c>
      <c r="K3029" s="28" t="str">
        <f aca="false">IF(OR(G3029="",G3029="?"),"",IFERROR(INDEX(Pubs!$E$2:$E$3001,MATCH(G3029,Pubs!$A$2:$A$3001,0)),""))</f>
        <v/>
      </c>
      <c r="L3029" s="29" t="str">
        <f aca="false">IF(A3029="","",IFERROR(1/(1/INDEX(Numéros!$C$2:$C$3001,MATCH(A3029&amp;"|"&amp;B3029,Numéros!$F$2:$F$3001,0))),""))</f>
        <v/>
      </c>
      <c r="M3029" s="27" t="str">
        <f aca="false">IF(OR(G3029="",G3029="?"),"",IFERROR(INDEX(Pubs!$D$2:$D$3001,MATCH(G3029,Pubs!$A$2:$A$3001,0))&amp;"",""))</f>
        <v/>
      </c>
      <c r="N3029" s="27" t="n">
        <f aca="false">N(N3028)+IF(AND(A3029&lt;&gt;"",OR(Recherche!$C$4="",A3029=Recherche!$C$4),OR(Recherche!$C$5="",B3029&amp;""=Recherche!$C$5&amp;""),OR(Recherche!$C$6="",IFERROR(YEAR(L3029),0)=Recherche!$C$6),OR(Recherche!$C$7="",ISNUMBER(SEARCH(Recherche!$C$7,H3029))),OR(Recherche!$C$8="",J3029=Recherche!$C$8),OR(Recherche!$C$9="",I3029=Recherche!$C$9),OR(Recherche!$C$10="",G3029&amp;""=Recherche!$C$10&amp;""),OR(Recherche!$C$11="",E3029=Recherche!$C$11),OR(Recherche!$C$12="",ISNUMBER(SEARCH(Recherche!$C$12,M3029&amp;" "&amp;F3029)))),1,0)</f>
        <v>8</v>
      </c>
    </row>
    <row r="3030" customFormat="false" ht="15" hidden="false" customHeight="false" outlineLevel="0" collapsed="false">
      <c r="A3030" s="19"/>
      <c r="B3030" s="19"/>
      <c r="C3030" s="19"/>
      <c r="D3030" s="19"/>
      <c r="E3030" s="22"/>
      <c r="F3030" s="19"/>
      <c r="G3030" s="26" t="str">
        <f aca="false">IF(D3030="","",IFERROR(VALUE(LEFT(D3030,FIND(" |",D3030&amp;" |")-1)),"?"))</f>
        <v/>
      </c>
      <c r="H3030" s="27" t="str">
        <f aca="false">IF(G3030="","",IF(G3030="?","⚠ pub inconnue",IFERROR(INDEX(Pubs!$B$2:$B$3001,MATCH(G3030,Pubs!$A$2:$A$3001,0))&amp;"","⚠ pub inconnue")))</f>
        <v/>
      </c>
      <c r="I3030" s="27" t="str">
        <f aca="false">IF(OR(G3030="",G3030="?"),"",IFERROR(INDEX(Pubs!$C$2:$C$3001,MATCH(G3030,Pubs!$A$2:$A$3001,0))&amp;"",""))</f>
        <v/>
      </c>
      <c r="J3030" s="27" t="str">
        <f aca="false">IF(OR(G3030="",G3030="?"),"",IFERROR(INDEX(Pubs!$G$2:$G$3001,MATCH(G3030,Pubs!$A$2:$A$3001,0))&amp;"",""))</f>
        <v/>
      </c>
      <c r="K3030" s="28" t="str">
        <f aca="false">IF(OR(G3030="",G3030="?"),"",IFERROR(INDEX(Pubs!$E$2:$E$3001,MATCH(G3030,Pubs!$A$2:$A$3001,0)),""))</f>
        <v/>
      </c>
      <c r="L3030" s="29" t="str">
        <f aca="false">IF(A3030="","",IFERROR(1/(1/INDEX(Numéros!$C$2:$C$3001,MATCH(A3030&amp;"|"&amp;B3030,Numéros!$F$2:$F$3001,0))),""))</f>
        <v/>
      </c>
      <c r="M3030" s="27" t="str">
        <f aca="false">IF(OR(G3030="",G3030="?"),"",IFERROR(INDEX(Pubs!$D$2:$D$3001,MATCH(G3030,Pubs!$A$2:$A$3001,0))&amp;"",""))</f>
        <v/>
      </c>
      <c r="N3030" s="27" t="n">
        <f aca="false">N(N3029)+IF(AND(A3030&lt;&gt;"",OR(Recherche!$C$4="",A3030=Recherche!$C$4),OR(Recherche!$C$5="",B3030&amp;""=Recherche!$C$5&amp;""),OR(Recherche!$C$6="",IFERROR(YEAR(L3030),0)=Recherche!$C$6),OR(Recherche!$C$7="",ISNUMBER(SEARCH(Recherche!$C$7,H3030))),OR(Recherche!$C$8="",J3030=Recherche!$C$8),OR(Recherche!$C$9="",I3030=Recherche!$C$9),OR(Recherche!$C$10="",G3030&amp;""=Recherche!$C$10&amp;""),OR(Recherche!$C$11="",E3030=Recherche!$C$11),OR(Recherche!$C$12="",ISNUMBER(SEARCH(Recherche!$C$12,M3030&amp;" "&amp;F3030)))),1,0)</f>
        <v>8</v>
      </c>
    </row>
    <row r="3031" customFormat="false" ht="15" hidden="false" customHeight="false" outlineLevel="0" collapsed="false">
      <c r="A3031" s="19"/>
      <c r="B3031" s="19"/>
      <c r="C3031" s="19"/>
      <c r="D3031" s="19"/>
      <c r="E3031" s="22"/>
      <c r="F3031" s="19"/>
      <c r="G3031" s="26" t="str">
        <f aca="false">IF(D3031="","",IFERROR(VALUE(LEFT(D3031,FIND(" |",D3031&amp;" |")-1)),"?"))</f>
        <v/>
      </c>
      <c r="H3031" s="27" t="str">
        <f aca="false">IF(G3031="","",IF(G3031="?","⚠ pub inconnue",IFERROR(INDEX(Pubs!$B$2:$B$3001,MATCH(G3031,Pubs!$A$2:$A$3001,0))&amp;"","⚠ pub inconnue")))</f>
        <v/>
      </c>
      <c r="I3031" s="27" t="str">
        <f aca="false">IF(OR(G3031="",G3031="?"),"",IFERROR(INDEX(Pubs!$C$2:$C$3001,MATCH(G3031,Pubs!$A$2:$A$3001,0))&amp;"",""))</f>
        <v/>
      </c>
      <c r="J3031" s="27" t="str">
        <f aca="false">IF(OR(G3031="",G3031="?"),"",IFERROR(INDEX(Pubs!$G$2:$G$3001,MATCH(G3031,Pubs!$A$2:$A$3001,0))&amp;"",""))</f>
        <v/>
      </c>
      <c r="K3031" s="28" t="str">
        <f aca="false">IF(OR(G3031="",G3031="?"),"",IFERROR(INDEX(Pubs!$E$2:$E$3001,MATCH(G3031,Pubs!$A$2:$A$3001,0)),""))</f>
        <v/>
      </c>
      <c r="L3031" s="29" t="str">
        <f aca="false">IF(A3031="","",IFERROR(1/(1/INDEX(Numéros!$C$2:$C$3001,MATCH(A3031&amp;"|"&amp;B3031,Numéros!$F$2:$F$3001,0))),""))</f>
        <v/>
      </c>
      <c r="M3031" s="27" t="str">
        <f aca="false">IF(OR(G3031="",G3031="?"),"",IFERROR(INDEX(Pubs!$D$2:$D$3001,MATCH(G3031,Pubs!$A$2:$A$3001,0))&amp;"",""))</f>
        <v/>
      </c>
      <c r="N3031" s="27" t="n">
        <f aca="false">N(N3030)+IF(AND(A3031&lt;&gt;"",OR(Recherche!$C$4="",A3031=Recherche!$C$4),OR(Recherche!$C$5="",B3031&amp;""=Recherche!$C$5&amp;""),OR(Recherche!$C$6="",IFERROR(YEAR(L3031),0)=Recherche!$C$6),OR(Recherche!$C$7="",ISNUMBER(SEARCH(Recherche!$C$7,H3031))),OR(Recherche!$C$8="",J3031=Recherche!$C$8),OR(Recherche!$C$9="",I3031=Recherche!$C$9),OR(Recherche!$C$10="",G3031&amp;""=Recherche!$C$10&amp;""),OR(Recherche!$C$11="",E3031=Recherche!$C$11),OR(Recherche!$C$12="",ISNUMBER(SEARCH(Recherche!$C$12,M3031&amp;" "&amp;F3031)))),1,0)</f>
        <v>8</v>
      </c>
    </row>
    <row r="3032" customFormat="false" ht="15" hidden="false" customHeight="false" outlineLevel="0" collapsed="false">
      <c r="A3032" s="19"/>
      <c r="B3032" s="19"/>
      <c r="C3032" s="19"/>
      <c r="D3032" s="19"/>
      <c r="E3032" s="22"/>
      <c r="F3032" s="19"/>
      <c r="G3032" s="26" t="str">
        <f aca="false">IF(D3032="","",IFERROR(VALUE(LEFT(D3032,FIND(" |",D3032&amp;" |")-1)),"?"))</f>
        <v/>
      </c>
      <c r="H3032" s="27" t="str">
        <f aca="false">IF(G3032="","",IF(G3032="?","⚠ pub inconnue",IFERROR(INDEX(Pubs!$B$2:$B$3001,MATCH(G3032,Pubs!$A$2:$A$3001,0))&amp;"","⚠ pub inconnue")))</f>
        <v/>
      </c>
      <c r="I3032" s="27" t="str">
        <f aca="false">IF(OR(G3032="",G3032="?"),"",IFERROR(INDEX(Pubs!$C$2:$C$3001,MATCH(G3032,Pubs!$A$2:$A$3001,0))&amp;"",""))</f>
        <v/>
      </c>
      <c r="J3032" s="27" t="str">
        <f aca="false">IF(OR(G3032="",G3032="?"),"",IFERROR(INDEX(Pubs!$G$2:$G$3001,MATCH(G3032,Pubs!$A$2:$A$3001,0))&amp;"",""))</f>
        <v/>
      </c>
      <c r="K3032" s="28" t="str">
        <f aca="false">IF(OR(G3032="",G3032="?"),"",IFERROR(INDEX(Pubs!$E$2:$E$3001,MATCH(G3032,Pubs!$A$2:$A$3001,0)),""))</f>
        <v/>
      </c>
      <c r="L3032" s="29" t="str">
        <f aca="false">IF(A3032="","",IFERROR(1/(1/INDEX(Numéros!$C$2:$C$3001,MATCH(A3032&amp;"|"&amp;B3032,Numéros!$F$2:$F$3001,0))),""))</f>
        <v/>
      </c>
      <c r="M3032" s="27" t="str">
        <f aca="false">IF(OR(G3032="",G3032="?"),"",IFERROR(INDEX(Pubs!$D$2:$D$3001,MATCH(G3032,Pubs!$A$2:$A$3001,0))&amp;"",""))</f>
        <v/>
      </c>
      <c r="N3032" s="27" t="n">
        <f aca="false">N(N3031)+IF(AND(A3032&lt;&gt;"",OR(Recherche!$C$4="",A3032=Recherche!$C$4),OR(Recherche!$C$5="",B3032&amp;""=Recherche!$C$5&amp;""),OR(Recherche!$C$6="",IFERROR(YEAR(L3032),0)=Recherche!$C$6),OR(Recherche!$C$7="",ISNUMBER(SEARCH(Recherche!$C$7,H3032))),OR(Recherche!$C$8="",J3032=Recherche!$C$8),OR(Recherche!$C$9="",I3032=Recherche!$C$9),OR(Recherche!$C$10="",G3032&amp;""=Recherche!$C$10&amp;""),OR(Recherche!$C$11="",E3032=Recherche!$C$11),OR(Recherche!$C$12="",ISNUMBER(SEARCH(Recherche!$C$12,M3032&amp;" "&amp;F3032)))),1,0)</f>
        <v>8</v>
      </c>
    </row>
    <row r="3033" customFormat="false" ht="15" hidden="false" customHeight="false" outlineLevel="0" collapsed="false">
      <c r="A3033" s="19"/>
      <c r="B3033" s="19"/>
      <c r="C3033" s="19"/>
      <c r="D3033" s="19"/>
      <c r="E3033" s="22"/>
      <c r="F3033" s="19"/>
      <c r="G3033" s="26" t="str">
        <f aca="false">IF(D3033="","",IFERROR(VALUE(LEFT(D3033,FIND(" |",D3033&amp;" |")-1)),"?"))</f>
        <v/>
      </c>
      <c r="H3033" s="27" t="str">
        <f aca="false">IF(G3033="","",IF(G3033="?","⚠ pub inconnue",IFERROR(INDEX(Pubs!$B$2:$B$3001,MATCH(G3033,Pubs!$A$2:$A$3001,0))&amp;"","⚠ pub inconnue")))</f>
        <v/>
      </c>
      <c r="I3033" s="27" t="str">
        <f aca="false">IF(OR(G3033="",G3033="?"),"",IFERROR(INDEX(Pubs!$C$2:$C$3001,MATCH(G3033,Pubs!$A$2:$A$3001,0))&amp;"",""))</f>
        <v/>
      </c>
      <c r="J3033" s="27" t="str">
        <f aca="false">IF(OR(G3033="",G3033="?"),"",IFERROR(INDEX(Pubs!$G$2:$G$3001,MATCH(G3033,Pubs!$A$2:$A$3001,0))&amp;"",""))</f>
        <v/>
      </c>
      <c r="K3033" s="28" t="str">
        <f aca="false">IF(OR(G3033="",G3033="?"),"",IFERROR(INDEX(Pubs!$E$2:$E$3001,MATCH(G3033,Pubs!$A$2:$A$3001,0)),""))</f>
        <v/>
      </c>
      <c r="L3033" s="29" t="str">
        <f aca="false">IF(A3033="","",IFERROR(1/(1/INDEX(Numéros!$C$2:$C$3001,MATCH(A3033&amp;"|"&amp;B3033,Numéros!$F$2:$F$3001,0))),""))</f>
        <v/>
      </c>
      <c r="M3033" s="27" t="str">
        <f aca="false">IF(OR(G3033="",G3033="?"),"",IFERROR(INDEX(Pubs!$D$2:$D$3001,MATCH(G3033,Pubs!$A$2:$A$3001,0))&amp;"",""))</f>
        <v/>
      </c>
      <c r="N3033" s="27" t="n">
        <f aca="false">N(N3032)+IF(AND(A3033&lt;&gt;"",OR(Recherche!$C$4="",A3033=Recherche!$C$4),OR(Recherche!$C$5="",B3033&amp;""=Recherche!$C$5&amp;""),OR(Recherche!$C$6="",IFERROR(YEAR(L3033),0)=Recherche!$C$6),OR(Recherche!$C$7="",ISNUMBER(SEARCH(Recherche!$C$7,H3033))),OR(Recherche!$C$8="",J3033=Recherche!$C$8),OR(Recherche!$C$9="",I3033=Recherche!$C$9),OR(Recherche!$C$10="",G3033&amp;""=Recherche!$C$10&amp;""),OR(Recherche!$C$11="",E3033=Recherche!$C$11),OR(Recherche!$C$12="",ISNUMBER(SEARCH(Recherche!$C$12,M3033&amp;" "&amp;F3033)))),1,0)</f>
        <v>8</v>
      </c>
    </row>
    <row r="3034" customFormat="false" ht="15" hidden="false" customHeight="false" outlineLevel="0" collapsed="false">
      <c r="A3034" s="19"/>
      <c r="B3034" s="19"/>
      <c r="C3034" s="19"/>
      <c r="D3034" s="19"/>
      <c r="E3034" s="22"/>
      <c r="F3034" s="19"/>
      <c r="G3034" s="26" t="str">
        <f aca="false">IF(D3034="","",IFERROR(VALUE(LEFT(D3034,FIND(" |",D3034&amp;" |")-1)),"?"))</f>
        <v/>
      </c>
      <c r="H3034" s="27" t="str">
        <f aca="false">IF(G3034="","",IF(G3034="?","⚠ pub inconnue",IFERROR(INDEX(Pubs!$B$2:$B$3001,MATCH(G3034,Pubs!$A$2:$A$3001,0))&amp;"","⚠ pub inconnue")))</f>
        <v/>
      </c>
      <c r="I3034" s="27" t="str">
        <f aca="false">IF(OR(G3034="",G3034="?"),"",IFERROR(INDEX(Pubs!$C$2:$C$3001,MATCH(G3034,Pubs!$A$2:$A$3001,0))&amp;"",""))</f>
        <v/>
      </c>
      <c r="J3034" s="27" t="str">
        <f aca="false">IF(OR(G3034="",G3034="?"),"",IFERROR(INDEX(Pubs!$G$2:$G$3001,MATCH(G3034,Pubs!$A$2:$A$3001,0))&amp;"",""))</f>
        <v/>
      </c>
      <c r="K3034" s="28" t="str">
        <f aca="false">IF(OR(G3034="",G3034="?"),"",IFERROR(INDEX(Pubs!$E$2:$E$3001,MATCH(G3034,Pubs!$A$2:$A$3001,0)),""))</f>
        <v/>
      </c>
      <c r="L3034" s="29" t="str">
        <f aca="false">IF(A3034="","",IFERROR(1/(1/INDEX(Numéros!$C$2:$C$3001,MATCH(A3034&amp;"|"&amp;B3034,Numéros!$F$2:$F$3001,0))),""))</f>
        <v/>
      </c>
      <c r="M3034" s="27" t="str">
        <f aca="false">IF(OR(G3034="",G3034="?"),"",IFERROR(INDEX(Pubs!$D$2:$D$3001,MATCH(G3034,Pubs!$A$2:$A$3001,0))&amp;"",""))</f>
        <v/>
      </c>
      <c r="N3034" s="27" t="n">
        <f aca="false">N(N3033)+IF(AND(A3034&lt;&gt;"",OR(Recherche!$C$4="",A3034=Recherche!$C$4),OR(Recherche!$C$5="",B3034&amp;""=Recherche!$C$5&amp;""),OR(Recherche!$C$6="",IFERROR(YEAR(L3034),0)=Recherche!$C$6),OR(Recherche!$C$7="",ISNUMBER(SEARCH(Recherche!$C$7,H3034))),OR(Recherche!$C$8="",J3034=Recherche!$C$8),OR(Recherche!$C$9="",I3034=Recherche!$C$9),OR(Recherche!$C$10="",G3034&amp;""=Recherche!$C$10&amp;""),OR(Recherche!$C$11="",E3034=Recherche!$C$11),OR(Recherche!$C$12="",ISNUMBER(SEARCH(Recherche!$C$12,M3034&amp;" "&amp;F3034)))),1,0)</f>
        <v>8</v>
      </c>
    </row>
    <row r="3035" customFormat="false" ht="15" hidden="false" customHeight="false" outlineLevel="0" collapsed="false">
      <c r="A3035" s="19"/>
      <c r="B3035" s="19"/>
      <c r="C3035" s="19"/>
      <c r="D3035" s="19"/>
      <c r="E3035" s="22"/>
      <c r="F3035" s="19"/>
      <c r="G3035" s="26" t="str">
        <f aca="false">IF(D3035="","",IFERROR(VALUE(LEFT(D3035,FIND(" |",D3035&amp;" |")-1)),"?"))</f>
        <v/>
      </c>
      <c r="H3035" s="27" t="str">
        <f aca="false">IF(G3035="","",IF(G3035="?","⚠ pub inconnue",IFERROR(INDEX(Pubs!$B$2:$B$3001,MATCH(G3035,Pubs!$A$2:$A$3001,0))&amp;"","⚠ pub inconnue")))</f>
        <v/>
      </c>
      <c r="I3035" s="27" t="str">
        <f aca="false">IF(OR(G3035="",G3035="?"),"",IFERROR(INDEX(Pubs!$C$2:$C$3001,MATCH(G3035,Pubs!$A$2:$A$3001,0))&amp;"",""))</f>
        <v/>
      </c>
      <c r="J3035" s="27" t="str">
        <f aca="false">IF(OR(G3035="",G3035="?"),"",IFERROR(INDEX(Pubs!$G$2:$G$3001,MATCH(G3035,Pubs!$A$2:$A$3001,0))&amp;"",""))</f>
        <v/>
      </c>
      <c r="K3035" s="28" t="str">
        <f aca="false">IF(OR(G3035="",G3035="?"),"",IFERROR(INDEX(Pubs!$E$2:$E$3001,MATCH(G3035,Pubs!$A$2:$A$3001,0)),""))</f>
        <v/>
      </c>
      <c r="L3035" s="29" t="str">
        <f aca="false">IF(A3035="","",IFERROR(1/(1/INDEX(Numéros!$C$2:$C$3001,MATCH(A3035&amp;"|"&amp;B3035,Numéros!$F$2:$F$3001,0))),""))</f>
        <v/>
      </c>
      <c r="M3035" s="27" t="str">
        <f aca="false">IF(OR(G3035="",G3035="?"),"",IFERROR(INDEX(Pubs!$D$2:$D$3001,MATCH(G3035,Pubs!$A$2:$A$3001,0))&amp;"",""))</f>
        <v/>
      </c>
      <c r="N3035" s="27" t="n">
        <f aca="false">N(N3034)+IF(AND(A3035&lt;&gt;"",OR(Recherche!$C$4="",A3035=Recherche!$C$4),OR(Recherche!$C$5="",B3035&amp;""=Recherche!$C$5&amp;""),OR(Recherche!$C$6="",IFERROR(YEAR(L3035),0)=Recherche!$C$6),OR(Recherche!$C$7="",ISNUMBER(SEARCH(Recherche!$C$7,H3035))),OR(Recherche!$C$8="",J3035=Recherche!$C$8),OR(Recherche!$C$9="",I3035=Recherche!$C$9),OR(Recherche!$C$10="",G3035&amp;""=Recherche!$C$10&amp;""),OR(Recherche!$C$11="",E3035=Recherche!$C$11),OR(Recherche!$C$12="",ISNUMBER(SEARCH(Recherche!$C$12,M3035&amp;" "&amp;F3035)))),1,0)</f>
        <v>8</v>
      </c>
    </row>
    <row r="3036" customFormat="false" ht="15" hidden="false" customHeight="false" outlineLevel="0" collapsed="false">
      <c r="A3036" s="19"/>
      <c r="B3036" s="19"/>
      <c r="C3036" s="19"/>
      <c r="D3036" s="19"/>
      <c r="E3036" s="22"/>
      <c r="F3036" s="19"/>
      <c r="G3036" s="26" t="str">
        <f aca="false">IF(D3036="","",IFERROR(VALUE(LEFT(D3036,FIND(" |",D3036&amp;" |")-1)),"?"))</f>
        <v/>
      </c>
      <c r="H3036" s="27" t="str">
        <f aca="false">IF(G3036="","",IF(G3036="?","⚠ pub inconnue",IFERROR(INDEX(Pubs!$B$2:$B$3001,MATCH(G3036,Pubs!$A$2:$A$3001,0))&amp;"","⚠ pub inconnue")))</f>
        <v/>
      </c>
      <c r="I3036" s="27" t="str">
        <f aca="false">IF(OR(G3036="",G3036="?"),"",IFERROR(INDEX(Pubs!$C$2:$C$3001,MATCH(G3036,Pubs!$A$2:$A$3001,0))&amp;"",""))</f>
        <v/>
      </c>
      <c r="J3036" s="27" t="str">
        <f aca="false">IF(OR(G3036="",G3036="?"),"",IFERROR(INDEX(Pubs!$G$2:$G$3001,MATCH(G3036,Pubs!$A$2:$A$3001,0))&amp;"",""))</f>
        <v/>
      </c>
      <c r="K3036" s="28" t="str">
        <f aca="false">IF(OR(G3036="",G3036="?"),"",IFERROR(INDEX(Pubs!$E$2:$E$3001,MATCH(G3036,Pubs!$A$2:$A$3001,0)),""))</f>
        <v/>
      </c>
      <c r="L3036" s="29" t="str">
        <f aca="false">IF(A3036="","",IFERROR(1/(1/INDEX(Numéros!$C$2:$C$3001,MATCH(A3036&amp;"|"&amp;B3036,Numéros!$F$2:$F$3001,0))),""))</f>
        <v/>
      </c>
      <c r="M3036" s="27" t="str">
        <f aca="false">IF(OR(G3036="",G3036="?"),"",IFERROR(INDEX(Pubs!$D$2:$D$3001,MATCH(G3036,Pubs!$A$2:$A$3001,0))&amp;"",""))</f>
        <v/>
      </c>
      <c r="N3036" s="27" t="n">
        <f aca="false">N(N3035)+IF(AND(A3036&lt;&gt;"",OR(Recherche!$C$4="",A3036=Recherche!$C$4),OR(Recherche!$C$5="",B3036&amp;""=Recherche!$C$5&amp;""),OR(Recherche!$C$6="",IFERROR(YEAR(L3036),0)=Recherche!$C$6),OR(Recherche!$C$7="",ISNUMBER(SEARCH(Recherche!$C$7,H3036))),OR(Recherche!$C$8="",J3036=Recherche!$C$8),OR(Recherche!$C$9="",I3036=Recherche!$C$9),OR(Recherche!$C$10="",G3036&amp;""=Recherche!$C$10&amp;""),OR(Recherche!$C$11="",E3036=Recherche!$C$11),OR(Recherche!$C$12="",ISNUMBER(SEARCH(Recherche!$C$12,M3036&amp;" "&amp;F3036)))),1,0)</f>
        <v>8</v>
      </c>
    </row>
    <row r="3037" customFormat="false" ht="15" hidden="false" customHeight="false" outlineLevel="0" collapsed="false">
      <c r="A3037" s="19"/>
      <c r="B3037" s="19"/>
      <c r="C3037" s="19"/>
      <c r="D3037" s="19"/>
      <c r="E3037" s="22"/>
      <c r="F3037" s="19"/>
      <c r="G3037" s="26" t="str">
        <f aca="false">IF(D3037="","",IFERROR(VALUE(LEFT(D3037,FIND(" |",D3037&amp;" |")-1)),"?"))</f>
        <v/>
      </c>
      <c r="H3037" s="27" t="str">
        <f aca="false">IF(G3037="","",IF(G3037="?","⚠ pub inconnue",IFERROR(INDEX(Pubs!$B$2:$B$3001,MATCH(G3037,Pubs!$A$2:$A$3001,0))&amp;"","⚠ pub inconnue")))</f>
        <v/>
      </c>
      <c r="I3037" s="27" t="str">
        <f aca="false">IF(OR(G3037="",G3037="?"),"",IFERROR(INDEX(Pubs!$C$2:$C$3001,MATCH(G3037,Pubs!$A$2:$A$3001,0))&amp;"",""))</f>
        <v/>
      </c>
      <c r="J3037" s="27" t="str">
        <f aca="false">IF(OR(G3037="",G3037="?"),"",IFERROR(INDEX(Pubs!$G$2:$G$3001,MATCH(G3037,Pubs!$A$2:$A$3001,0))&amp;"",""))</f>
        <v/>
      </c>
      <c r="K3037" s="28" t="str">
        <f aca="false">IF(OR(G3037="",G3037="?"),"",IFERROR(INDEX(Pubs!$E$2:$E$3001,MATCH(G3037,Pubs!$A$2:$A$3001,0)),""))</f>
        <v/>
      </c>
      <c r="L3037" s="29" t="str">
        <f aca="false">IF(A3037="","",IFERROR(1/(1/INDEX(Numéros!$C$2:$C$3001,MATCH(A3037&amp;"|"&amp;B3037,Numéros!$F$2:$F$3001,0))),""))</f>
        <v/>
      </c>
      <c r="M3037" s="27" t="str">
        <f aca="false">IF(OR(G3037="",G3037="?"),"",IFERROR(INDEX(Pubs!$D$2:$D$3001,MATCH(G3037,Pubs!$A$2:$A$3001,0))&amp;"",""))</f>
        <v/>
      </c>
      <c r="N3037" s="27" t="n">
        <f aca="false">N(N3036)+IF(AND(A3037&lt;&gt;"",OR(Recherche!$C$4="",A3037=Recherche!$C$4),OR(Recherche!$C$5="",B3037&amp;""=Recherche!$C$5&amp;""),OR(Recherche!$C$6="",IFERROR(YEAR(L3037),0)=Recherche!$C$6),OR(Recherche!$C$7="",ISNUMBER(SEARCH(Recherche!$C$7,H3037))),OR(Recherche!$C$8="",J3037=Recherche!$C$8),OR(Recherche!$C$9="",I3037=Recherche!$C$9),OR(Recherche!$C$10="",G3037&amp;""=Recherche!$C$10&amp;""),OR(Recherche!$C$11="",E3037=Recherche!$C$11),OR(Recherche!$C$12="",ISNUMBER(SEARCH(Recherche!$C$12,M3037&amp;" "&amp;F3037)))),1,0)</f>
        <v>8</v>
      </c>
    </row>
    <row r="3038" customFormat="false" ht="15" hidden="false" customHeight="false" outlineLevel="0" collapsed="false">
      <c r="A3038" s="19"/>
      <c r="B3038" s="19"/>
      <c r="C3038" s="19"/>
      <c r="D3038" s="19"/>
      <c r="E3038" s="22"/>
      <c r="F3038" s="19"/>
      <c r="G3038" s="26" t="str">
        <f aca="false">IF(D3038="","",IFERROR(VALUE(LEFT(D3038,FIND(" |",D3038&amp;" |")-1)),"?"))</f>
        <v/>
      </c>
      <c r="H3038" s="27" t="str">
        <f aca="false">IF(G3038="","",IF(G3038="?","⚠ pub inconnue",IFERROR(INDEX(Pubs!$B$2:$B$3001,MATCH(G3038,Pubs!$A$2:$A$3001,0))&amp;"","⚠ pub inconnue")))</f>
        <v/>
      </c>
      <c r="I3038" s="27" t="str">
        <f aca="false">IF(OR(G3038="",G3038="?"),"",IFERROR(INDEX(Pubs!$C$2:$C$3001,MATCH(G3038,Pubs!$A$2:$A$3001,0))&amp;"",""))</f>
        <v/>
      </c>
      <c r="J3038" s="27" t="str">
        <f aca="false">IF(OR(G3038="",G3038="?"),"",IFERROR(INDEX(Pubs!$G$2:$G$3001,MATCH(G3038,Pubs!$A$2:$A$3001,0))&amp;"",""))</f>
        <v/>
      </c>
      <c r="K3038" s="28" t="str">
        <f aca="false">IF(OR(G3038="",G3038="?"),"",IFERROR(INDEX(Pubs!$E$2:$E$3001,MATCH(G3038,Pubs!$A$2:$A$3001,0)),""))</f>
        <v/>
      </c>
      <c r="L3038" s="29" t="str">
        <f aca="false">IF(A3038="","",IFERROR(1/(1/INDEX(Numéros!$C$2:$C$3001,MATCH(A3038&amp;"|"&amp;B3038,Numéros!$F$2:$F$3001,0))),""))</f>
        <v/>
      </c>
      <c r="M3038" s="27" t="str">
        <f aca="false">IF(OR(G3038="",G3038="?"),"",IFERROR(INDEX(Pubs!$D$2:$D$3001,MATCH(G3038,Pubs!$A$2:$A$3001,0))&amp;"",""))</f>
        <v/>
      </c>
      <c r="N3038" s="27" t="n">
        <f aca="false">N(N3037)+IF(AND(A3038&lt;&gt;"",OR(Recherche!$C$4="",A3038=Recherche!$C$4),OR(Recherche!$C$5="",B3038&amp;""=Recherche!$C$5&amp;""),OR(Recherche!$C$6="",IFERROR(YEAR(L3038),0)=Recherche!$C$6),OR(Recherche!$C$7="",ISNUMBER(SEARCH(Recherche!$C$7,H3038))),OR(Recherche!$C$8="",J3038=Recherche!$C$8),OR(Recherche!$C$9="",I3038=Recherche!$C$9),OR(Recherche!$C$10="",G3038&amp;""=Recherche!$C$10&amp;""),OR(Recherche!$C$11="",E3038=Recherche!$C$11),OR(Recherche!$C$12="",ISNUMBER(SEARCH(Recherche!$C$12,M3038&amp;" "&amp;F3038)))),1,0)</f>
        <v>8</v>
      </c>
    </row>
    <row r="3039" customFormat="false" ht="15" hidden="false" customHeight="false" outlineLevel="0" collapsed="false">
      <c r="A3039" s="19"/>
      <c r="B3039" s="19"/>
      <c r="C3039" s="19"/>
      <c r="D3039" s="19"/>
      <c r="E3039" s="22"/>
      <c r="F3039" s="19"/>
      <c r="G3039" s="26" t="str">
        <f aca="false">IF(D3039="","",IFERROR(VALUE(LEFT(D3039,FIND(" |",D3039&amp;" |")-1)),"?"))</f>
        <v/>
      </c>
      <c r="H3039" s="27" t="str">
        <f aca="false">IF(G3039="","",IF(G3039="?","⚠ pub inconnue",IFERROR(INDEX(Pubs!$B$2:$B$3001,MATCH(G3039,Pubs!$A$2:$A$3001,0))&amp;"","⚠ pub inconnue")))</f>
        <v/>
      </c>
      <c r="I3039" s="27" t="str">
        <f aca="false">IF(OR(G3039="",G3039="?"),"",IFERROR(INDEX(Pubs!$C$2:$C$3001,MATCH(G3039,Pubs!$A$2:$A$3001,0))&amp;"",""))</f>
        <v/>
      </c>
      <c r="J3039" s="27" t="str">
        <f aca="false">IF(OR(G3039="",G3039="?"),"",IFERROR(INDEX(Pubs!$G$2:$G$3001,MATCH(G3039,Pubs!$A$2:$A$3001,0))&amp;"",""))</f>
        <v/>
      </c>
      <c r="K3039" s="28" t="str">
        <f aca="false">IF(OR(G3039="",G3039="?"),"",IFERROR(INDEX(Pubs!$E$2:$E$3001,MATCH(G3039,Pubs!$A$2:$A$3001,0)),""))</f>
        <v/>
      </c>
      <c r="L3039" s="29" t="str">
        <f aca="false">IF(A3039="","",IFERROR(1/(1/INDEX(Numéros!$C$2:$C$3001,MATCH(A3039&amp;"|"&amp;B3039,Numéros!$F$2:$F$3001,0))),""))</f>
        <v/>
      </c>
      <c r="M3039" s="27" t="str">
        <f aca="false">IF(OR(G3039="",G3039="?"),"",IFERROR(INDEX(Pubs!$D$2:$D$3001,MATCH(G3039,Pubs!$A$2:$A$3001,0))&amp;"",""))</f>
        <v/>
      </c>
      <c r="N3039" s="27" t="n">
        <f aca="false">N(N3038)+IF(AND(A3039&lt;&gt;"",OR(Recherche!$C$4="",A3039=Recherche!$C$4),OR(Recherche!$C$5="",B3039&amp;""=Recherche!$C$5&amp;""),OR(Recherche!$C$6="",IFERROR(YEAR(L3039),0)=Recherche!$C$6),OR(Recherche!$C$7="",ISNUMBER(SEARCH(Recherche!$C$7,H3039))),OR(Recherche!$C$8="",J3039=Recherche!$C$8),OR(Recherche!$C$9="",I3039=Recherche!$C$9),OR(Recherche!$C$10="",G3039&amp;""=Recherche!$C$10&amp;""),OR(Recherche!$C$11="",E3039=Recherche!$C$11),OR(Recherche!$C$12="",ISNUMBER(SEARCH(Recherche!$C$12,M3039&amp;" "&amp;F3039)))),1,0)</f>
        <v>8</v>
      </c>
    </row>
    <row r="3040" customFormat="false" ht="15" hidden="false" customHeight="false" outlineLevel="0" collapsed="false">
      <c r="A3040" s="19"/>
      <c r="B3040" s="19"/>
      <c r="C3040" s="19"/>
      <c r="D3040" s="19"/>
      <c r="E3040" s="22"/>
      <c r="F3040" s="19"/>
      <c r="G3040" s="26" t="str">
        <f aca="false">IF(D3040="","",IFERROR(VALUE(LEFT(D3040,FIND(" |",D3040&amp;" |")-1)),"?"))</f>
        <v/>
      </c>
      <c r="H3040" s="27" t="str">
        <f aca="false">IF(G3040="","",IF(G3040="?","⚠ pub inconnue",IFERROR(INDEX(Pubs!$B$2:$B$3001,MATCH(G3040,Pubs!$A$2:$A$3001,0))&amp;"","⚠ pub inconnue")))</f>
        <v/>
      </c>
      <c r="I3040" s="27" t="str">
        <f aca="false">IF(OR(G3040="",G3040="?"),"",IFERROR(INDEX(Pubs!$C$2:$C$3001,MATCH(G3040,Pubs!$A$2:$A$3001,0))&amp;"",""))</f>
        <v/>
      </c>
      <c r="J3040" s="27" t="str">
        <f aca="false">IF(OR(G3040="",G3040="?"),"",IFERROR(INDEX(Pubs!$G$2:$G$3001,MATCH(G3040,Pubs!$A$2:$A$3001,0))&amp;"",""))</f>
        <v/>
      </c>
      <c r="K3040" s="28" t="str">
        <f aca="false">IF(OR(G3040="",G3040="?"),"",IFERROR(INDEX(Pubs!$E$2:$E$3001,MATCH(G3040,Pubs!$A$2:$A$3001,0)),""))</f>
        <v/>
      </c>
      <c r="L3040" s="29" t="str">
        <f aca="false">IF(A3040="","",IFERROR(1/(1/INDEX(Numéros!$C$2:$C$3001,MATCH(A3040&amp;"|"&amp;B3040,Numéros!$F$2:$F$3001,0))),""))</f>
        <v/>
      </c>
      <c r="M3040" s="27" t="str">
        <f aca="false">IF(OR(G3040="",G3040="?"),"",IFERROR(INDEX(Pubs!$D$2:$D$3001,MATCH(G3040,Pubs!$A$2:$A$3001,0))&amp;"",""))</f>
        <v/>
      </c>
      <c r="N3040" s="27" t="n">
        <f aca="false">N(N3039)+IF(AND(A3040&lt;&gt;"",OR(Recherche!$C$4="",A3040=Recherche!$C$4),OR(Recherche!$C$5="",B3040&amp;""=Recherche!$C$5&amp;""),OR(Recherche!$C$6="",IFERROR(YEAR(L3040),0)=Recherche!$C$6),OR(Recherche!$C$7="",ISNUMBER(SEARCH(Recherche!$C$7,H3040))),OR(Recherche!$C$8="",J3040=Recherche!$C$8),OR(Recherche!$C$9="",I3040=Recherche!$C$9),OR(Recherche!$C$10="",G3040&amp;""=Recherche!$C$10&amp;""),OR(Recherche!$C$11="",E3040=Recherche!$C$11),OR(Recherche!$C$12="",ISNUMBER(SEARCH(Recherche!$C$12,M3040&amp;" "&amp;F3040)))),1,0)</f>
        <v>8</v>
      </c>
    </row>
    <row r="3041" customFormat="false" ht="15" hidden="false" customHeight="false" outlineLevel="0" collapsed="false">
      <c r="A3041" s="19"/>
      <c r="B3041" s="19"/>
      <c r="C3041" s="19"/>
      <c r="D3041" s="19"/>
      <c r="E3041" s="22"/>
      <c r="F3041" s="19"/>
      <c r="G3041" s="26" t="str">
        <f aca="false">IF(D3041="","",IFERROR(VALUE(LEFT(D3041,FIND(" |",D3041&amp;" |")-1)),"?"))</f>
        <v/>
      </c>
      <c r="H3041" s="27" t="str">
        <f aca="false">IF(G3041="","",IF(G3041="?","⚠ pub inconnue",IFERROR(INDEX(Pubs!$B$2:$B$3001,MATCH(G3041,Pubs!$A$2:$A$3001,0))&amp;"","⚠ pub inconnue")))</f>
        <v/>
      </c>
      <c r="I3041" s="27" t="str">
        <f aca="false">IF(OR(G3041="",G3041="?"),"",IFERROR(INDEX(Pubs!$C$2:$C$3001,MATCH(G3041,Pubs!$A$2:$A$3001,0))&amp;"",""))</f>
        <v/>
      </c>
      <c r="J3041" s="27" t="str">
        <f aca="false">IF(OR(G3041="",G3041="?"),"",IFERROR(INDEX(Pubs!$G$2:$G$3001,MATCH(G3041,Pubs!$A$2:$A$3001,0))&amp;"",""))</f>
        <v/>
      </c>
      <c r="K3041" s="28" t="str">
        <f aca="false">IF(OR(G3041="",G3041="?"),"",IFERROR(INDEX(Pubs!$E$2:$E$3001,MATCH(G3041,Pubs!$A$2:$A$3001,0)),""))</f>
        <v/>
      </c>
      <c r="L3041" s="29" t="str">
        <f aca="false">IF(A3041="","",IFERROR(1/(1/INDEX(Numéros!$C$2:$C$3001,MATCH(A3041&amp;"|"&amp;B3041,Numéros!$F$2:$F$3001,0))),""))</f>
        <v/>
      </c>
      <c r="M3041" s="27" t="str">
        <f aca="false">IF(OR(G3041="",G3041="?"),"",IFERROR(INDEX(Pubs!$D$2:$D$3001,MATCH(G3041,Pubs!$A$2:$A$3001,0))&amp;"",""))</f>
        <v/>
      </c>
      <c r="N3041" s="27" t="n">
        <f aca="false">N(N3040)+IF(AND(A3041&lt;&gt;"",OR(Recherche!$C$4="",A3041=Recherche!$C$4),OR(Recherche!$C$5="",B3041&amp;""=Recherche!$C$5&amp;""),OR(Recherche!$C$6="",IFERROR(YEAR(L3041),0)=Recherche!$C$6),OR(Recherche!$C$7="",ISNUMBER(SEARCH(Recherche!$C$7,H3041))),OR(Recherche!$C$8="",J3041=Recherche!$C$8),OR(Recherche!$C$9="",I3041=Recherche!$C$9),OR(Recherche!$C$10="",G3041&amp;""=Recherche!$C$10&amp;""),OR(Recherche!$C$11="",E3041=Recherche!$C$11),OR(Recherche!$C$12="",ISNUMBER(SEARCH(Recherche!$C$12,M3041&amp;" "&amp;F3041)))),1,0)</f>
        <v>8</v>
      </c>
    </row>
    <row r="3042" customFormat="false" ht="15" hidden="false" customHeight="false" outlineLevel="0" collapsed="false">
      <c r="A3042" s="19"/>
      <c r="B3042" s="19"/>
      <c r="C3042" s="19"/>
      <c r="D3042" s="19"/>
      <c r="E3042" s="22"/>
      <c r="F3042" s="19"/>
      <c r="G3042" s="26" t="str">
        <f aca="false">IF(D3042="","",IFERROR(VALUE(LEFT(D3042,FIND(" |",D3042&amp;" |")-1)),"?"))</f>
        <v/>
      </c>
      <c r="H3042" s="27" t="str">
        <f aca="false">IF(G3042="","",IF(G3042="?","⚠ pub inconnue",IFERROR(INDEX(Pubs!$B$2:$B$3001,MATCH(G3042,Pubs!$A$2:$A$3001,0))&amp;"","⚠ pub inconnue")))</f>
        <v/>
      </c>
      <c r="I3042" s="27" t="str">
        <f aca="false">IF(OR(G3042="",G3042="?"),"",IFERROR(INDEX(Pubs!$C$2:$C$3001,MATCH(G3042,Pubs!$A$2:$A$3001,0))&amp;"",""))</f>
        <v/>
      </c>
      <c r="J3042" s="27" t="str">
        <f aca="false">IF(OR(G3042="",G3042="?"),"",IFERROR(INDEX(Pubs!$G$2:$G$3001,MATCH(G3042,Pubs!$A$2:$A$3001,0))&amp;"",""))</f>
        <v/>
      </c>
      <c r="K3042" s="28" t="str">
        <f aca="false">IF(OR(G3042="",G3042="?"),"",IFERROR(INDEX(Pubs!$E$2:$E$3001,MATCH(G3042,Pubs!$A$2:$A$3001,0)),""))</f>
        <v/>
      </c>
      <c r="L3042" s="29" t="str">
        <f aca="false">IF(A3042="","",IFERROR(1/(1/INDEX(Numéros!$C$2:$C$3001,MATCH(A3042&amp;"|"&amp;B3042,Numéros!$F$2:$F$3001,0))),""))</f>
        <v/>
      </c>
      <c r="M3042" s="27" t="str">
        <f aca="false">IF(OR(G3042="",G3042="?"),"",IFERROR(INDEX(Pubs!$D$2:$D$3001,MATCH(G3042,Pubs!$A$2:$A$3001,0))&amp;"",""))</f>
        <v/>
      </c>
      <c r="N3042" s="27" t="n">
        <f aca="false">N(N3041)+IF(AND(A3042&lt;&gt;"",OR(Recherche!$C$4="",A3042=Recherche!$C$4),OR(Recherche!$C$5="",B3042&amp;""=Recherche!$C$5&amp;""),OR(Recherche!$C$6="",IFERROR(YEAR(L3042),0)=Recherche!$C$6),OR(Recherche!$C$7="",ISNUMBER(SEARCH(Recherche!$C$7,H3042))),OR(Recherche!$C$8="",J3042=Recherche!$C$8),OR(Recherche!$C$9="",I3042=Recherche!$C$9),OR(Recherche!$C$10="",G3042&amp;""=Recherche!$C$10&amp;""),OR(Recherche!$C$11="",E3042=Recherche!$C$11),OR(Recherche!$C$12="",ISNUMBER(SEARCH(Recherche!$C$12,M3042&amp;" "&amp;F3042)))),1,0)</f>
        <v>8</v>
      </c>
    </row>
    <row r="3043" customFormat="false" ht="15" hidden="false" customHeight="false" outlineLevel="0" collapsed="false">
      <c r="A3043" s="19"/>
      <c r="B3043" s="19"/>
      <c r="C3043" s="19"/>
      <c r="D3043" s="19"/>
      <c r="E3043" s="22"/>
      <c r="F3043" s="19"/>
      <c r="G3043" s="26" t="str">
        <f aca="false">IF(D3043="","",IFERROR(VALUE(LEFT(D3043,FIND(" |",D3043&amp;" |")-1)),"?"))</f>
        <v/>
      </c>
      <c r="H3043" s="27" t="str">
        <f aca="false">IF(G3043="","",IF(G3043="?","⚠ pub inconnue",IFERROR(INDEX(Pubs!$B$2:$B$3001,MATCH(G3043,Pubs!$A$2:$A$3001,0))&amp;"","⚠ pub inconnue")))</f>
        <v/>
      </c>
      <c r="I3043" s="27" t="str">
        <f aca="false">IF(OR(G3043="",G3043="?"),"",IFERROR(INDEX(Pubs!$C$2:$C$3001,MATCH(G3043,Pubs!$A$2:$A$3001,0))&amp;"",""))</f>
        <v/>
      </c>
      <c r="J3043" s="27" t="str">
        <f aca="false">IF(OR(G3043="",G3043="?"),"",IFERROR(INDEX(Pubs!$G$2:$G$3001,MATCH(G3043,Pubs!$A$2:$A$3001,0))&amp;"",""))</f>
        <v/>
      </c>
      <c r="K3043" s="28" t="str">
        <f aca="false">IF(OR(G3043="",G3043="?"),"",IFERROR(INDEX(Pubs!$E$2:$E$3001,MATCH(G3043,Pubs!$A$2:$A$3001,0)),""))</f>
        <v/>
      </c>
      <c r="L3043" s="29" t="str">
        <f aca="false">IF(A3043="","",IFERROR(1/(1/INDEX(Numéros!$C$2:$C$3001,MATCH(A3043&amp;"|"&amp;B3043,Numéros!$F$2:$F$3001,0))),""))</f>
        <v/>
      </c>
      <c r="M3043" s="27" t="str">
        <f aca="false">IF(OR(G3043="",G3043="?"),"",IFERROR(INDEX(Pubs!$D$2:$D$3001,MATCH(G3043,Pubs!$A$2:$A$3001,0))&amp;"",""))</f>
        <v/>
      </c>
      <c r="N3043" s="27" t="n">
        <f aca="false">N(N3042)+IF(AND(A3043&lt;&gt;"",OR(Recherche!$C$4="",A3043=Recherche!$C$4),OR(Recherche!$C$5="",B3043&amp;""=Recherche!$C$5&amp;""),OR(Recherche!$C$6="",IFERROR(YEAR(L3043),0)=Recherche!$C$6),OR(Recherche!$C$7="",ISNUMBER(SEARCH(Recherche!$C$7,H3043))),OR(Recherche!$C$8="",J3043=Recherche!$C$8),OR(Recherche!$C$9="",I3043=Recherche!$C$9),OR(Recherche!$C$10="",G3043&amp;""=Recherche!$C$10&amp;""),OR(Recherche!$C$11="",E3043=Recherche!$C$11),OR(Recherche!$C$12="",ISNUMBER(SEARCH(Recherche!$C$12,M3043&amp;" "&amp;F3043)))),1,0)</f>
        <v>8</v>
      </c>
    </row>
    <row r="3044" customFormat="false" ht="15" hidden="false" customHeight="false" outlineLevel="0" collapsed="false">
      <c r="A3044" s="19"/>
      <c r="B3044" s="19"/>
      <c r="C3044" s="19"/>
      <c r="D3044" s="19"/>
      <c r="E3044" s="22"/>
      <c r="F3044" s="19"/>
      <c r="G3044" s="26" t="str">
        <f aca="false">IF(D3044="","",IFERROR(VALUE(LEFT(D3044,FIND(" |",D3044&amp;" |")-1)),"?"))</f>
        <v/>
      </c>
      <c r="H3044" s="27" t="str">
        <f aca="false">IF(G3044="","",IF(G3044="?","⚠ pub inconnue",IFERROR(INDEX(Pubs!$B$2:$B$3001,MATCH(G3044,Pubs!$A$2:$A$3001,0))&amp;"","⚠ pub inconnue")))</f>
        <v/>
      </c>
      <c r="I3044" s="27" t="str">
        <f aca="false">IF(OR(G3044="",G3044="?"),"",IFERROR(INDEX(Pubs!$C$2:$C$3001,MATCH(G3044,Pubs!$A$2:$A$3001,0))&amp;"",""))</f>
        <v/>
      </c>
      <c r="J3044" s="27" t="str">
        <f aca="false">IF(OR(G3044="",G3044="?"),"",IFERROR(INDEX(Pubs!$G$2:$G$3001,MATCH(G3044,Pubs!$A$2:$A$3001,0))&amp;"",""))</f>
        <v/>
      </c>
      <c r="K3044" s="28" t="str">
        <f aca="false">IF(OR(G3044="",G3044="?"),"",IFERROR(INDEX(Pubs!$E$2:$E$3001,MATCH(G3044,Pubs!$A$2:$A$3001,0)),""))</f>
        <v/>
      </c>
      <c r="L3044" s="29" t="str">
        <f aca="false">IF(A3044="","",IFERROR(1/(1/INDEX(Numéros!$C$2:$C$3001,MATCH(A3044&amp;"|"&amp;B3044,Numéros!$F$2:$F$3001,0))),""))</f>
        <v/>
      </c>
      <c r="M3044" s="27" t="str">
        <f aca="false">IF(OR(G3044="",G3044="?"),"",IFERROR(INDEX(Pubs!$D$2:$D$3001,MATCH(G3044,Pubs!$A$2:$A$3001,0))&amp;"",""))</f>
        <v/>
      </c>
      <c r="N3044" s="27" t="n">
        <f aca="false">N(N3043)+IF(AND(A3044&lt;&gt;"",OR(Recherche!$C$4="",A3044=Recherche!$C$4),OR(Recherche!$C$5="",B3044&amp;""=Recherche!$C$5&amp;""),OR(Recherche!$C$6="",IFERROR(YEAR(L3044),0)=Recherche!$C$6),OR(Recherche!$C$7="",ISNUMBER(SEARCH(Recherche!$C$7,H3044))),OR(Recherche!$C$8="",J3044=Recherche!$C$8),OR(Recherche!$C$9="",I3044=Recherche!$C$9),OR(Recherche!$C$10="",G3044&amp;""=Recherche!$C$10&amp;""),OR(Recherche!$C$11="",E3044=Recherche!$C$11),OR(Recherche!$C$12="",ISNUMBER(SEARCH(Recherche!$C$12,M3044&amp;" "&amp;F3044)))),1,0)</f>
        <v>8</v>
      </c>
    </row>
    <row r="3045" customFormat="false" ht="15" hidden="false" customHeight="false" outlineLevel="0" collapsed="false">
      <c r="A3045" s="19"/>
      <c r="B3045" s="19"/>
      <c r="C3045" s="19"/>
      <c r="D3045" s="19"/>
      <c r="E3045" s="22"/>
      <c r="F3045" s="19"/>
      <c r="G3045" s="26" t="str">
        <f aca="false">IF(D3045="","",IFERROR(VALUE(LEFT(D3045,FIND(" |",D3045&amp;" |")-1)),"?"))</f>
        <v/>
      </c>
      <c r="H3045" s="27" t="str">
        <f aca="false">IF(G3045="","",IF(G3045="?","⚠ pub inconnue",IFERROR(INDEX(Pubs!$B$2:$B$3001,MATCH(G3045,Pubs!$A$2:$A$3001,0))&amp;"","⚠ pub inconnue")))</f>
        <v/>
      </c>
      <c r="I3045" s="27" t="str">
        <f aca="false">IF(OR(G3045="",G3045="?"),"",IFERROR(INDEX(Pubs!$C$2:$C$3001,MATCH(G3045,Pubs!$A$2:$A$3001,0))&amp;"",""))</f>
        <v/>
      </c>
      <c r="J3045" s="27" t="str">
        <f aca="false">IF(OR(G3045="",G3045="?"),"",IFERROR(INDEX(Pubs!$G$2:$G$3001,MATCH(G3045,Pubs!$A$2:$A$3001,0))&amp;"",""))</f>
        <v/>
      </c>
      <c r="K3045" s="28" t="str">
        <f aca="false">IF(OR(G3045="",G3045="?"),"",IFERROR(INDEX(Pubs!$E$2:$E$3001,MATCH(G3045,Pubs!$A$2:$A$3001,0)),""))</f>
        <v/>
      </c>
      <c r="L3045" s="29" t="str">
        <f aca="false">IF(A3045="","",IFERROR(1/(1/INDEX(Numéros!$C$2:$C$3001,MATCH(A3045&amp;"|"&amp;B3045,Numéros!$F$2:$F$3001,0))),""))</f>
        <v/>
      </c>
      <c r="M3045" s="27" t="str">
        <f aca="false">IF(OR(G3045="",G3045="?"),"",IFERROR(INDEX(Pubs!$D$2:$D$3001,MATCH(G3045,Pubs!$A$2:$A$3001,0))&amp;"",""))</f>
        <v/>
      </c>
      <c r="N3045" s="27" t="n">
        <f aca="false">N(N3044)+IF(AND(A3045&lt;&gt;"",OR(Recherche!$C$4="",A3045=Recherche!$C$4),OR(Recherche!$C$5="",B3045&amp;""=Recherche!$C$5&amp;""),OR(Recherche!$C$6="",IFERROR(YEAR(L3045),0)=Recherche!$C$6),OR(Recherche!$C$7="",ISNUMBER(SEARCH(Recherche!$C$7,H3045))),OR(Recherche!$C$8="",J3045=Recherche!$C$8),OR(Recherche!$C$9="",I3045=Recherche!$C$9),OR(Recherche!$C$10="",G3045&amp;""=Recherche!$C$10&amp;""),OR(Recherche!$C$11="",E3045=Recherche!$C$11),OR(Recherche!$C$12="",ISNUMBER(SEARCH(Recherche!$C$12,M3045&amp;" "&amp;F3045)))),1,0)</f>
        <v>8</v>
      </c>
    </row>
    <row r="3046" customFormat="false" ht="15" hidden="false" customHeight="false" outlineLevel="0" collapsed="false">
      <c r="A3046" s="19"/>
      <c r="B3046" s="19"/>
      <c r="C3046" s="19"/>
      <c r="D3046" s="19"/>
      <c r="E3046" s="22"/>
      <c r="F3046" s="19"/>
      <c r="G3046" s="26" t="str">
        <f aca="false">IF(D3046="","",IFERROR(VALUE(LEFT(D3046,FIND(" |",D3046&amp;" |")-1)),"?"))</f>
        <v/>
      </c>
      <c r="H3046" s="27" t="str">
        <f aca="false">IF(G3046="","",IF(G3046="?","⚠ pub inconnue",IFERROR(INDEX(Pubs!$B$2:$B$3001,MATCH(G3046,Pubs!$A$2:$A$3001,0))&amp;"","⚠ pub inconnue")))</f>
        <v/>
      </c>
      <c r="I3046" s="27" t="str">
        <f aca="false">IF(OR(G3046="",G3046="?"),"",IFERROR(INDEX(Pubs!$C$2:$C$3001,MATCH(G3046,Pubs!$A$2:$A$3001,0))&amp;"",""))</f>
        <v/>
      </c>
      <c r="J3046" s="27" t="str">
        <f aca="false">IF(OR(G3046="",G3046="?"),"",IFERROR(INDEX(Pubs!$G$2:$G$3001,MATCH(G3046,Pubs!$A$2:$A$3001,0))&amp;"",""))</f>
        <v/>
      </c>
      <c r="K3046" s="28" t="str">
        <f aca="false">IF(OR(G3046="",G3046="?"),"",IFERROR(INDEX(Pubs!$E$2:$E$3001,MATCH(G3046,Pubs!$A$2:$A$3001,0)),""))</f>
        <v/>
      </c>
      <c r="L3046" s="29" t="str">
        <f aca="false">IF(A3046="","",IFERROR(1/(1/INDEX(Numéros!$C$2:$C$3001,MATCH(A3046&amp;"|"&amp;B3046,Numéros!$F$2:$F$3001,0))),""))</f>
        <v/>
      </c>
      <c r="M3046" s="27" t="str">
        <f aca="false">IF(OR(G3046="",G3046="?"),"",IFERROR(INDEX(Pubs!$D$2:$D$3001,MATCH(G3046,Pubs!$A$2:$A$3001,0))&amp;"",""))</f>
        <v/>
      </c>
      <c r="N3046" s="27" t="n">
        <f aca="false">N(N3045)+IF(AND(A3046&lt;&gt;"",OR(Recherche!$C$4="",A3046=Recherche!$C$4),OR(Recherche!$C$5="",B3046&amp;""=Recherche!$C$5&amp;""),OR(Recherche!$C$6="",IFERROR(YEAR(L3046),0)=Recherche!$C$6),OR(Recherche!$C$7="",ISNUMBER(SEARCH(Recherche!$C$7,H3046))),OR(Recherche!$C$8="",J3046=Recherche!$C$8),OR(Recherche!$C$9="",I3046=Recherche!$C$9),OR(Recherche!$C$10="",G3046&amp;""=Recherche!$C$10&amp;""),OR(Recherche!$C$11="",E3046=Recherche!$C$11),OR(Recherche!$C$12="",ISNUMBER(SEARCH(Recherche!$C$12,M3046&amp;" "&amp;F3046)))),1,0)</f>
        <v>8</v>
      </c>
    </row>
    <row r="3047" customFormat="false" ht="15" hidden="false" customHeight="false" outlineLevel="0" collapsed="false">
      <c r="A3047" s="19"/>
      <c r="B3047" s="19"/>
      <c r="C3047" s="19"/>
      <c r="D3047" s="19"/>
      <c r="E3047" s="22"/>
      <c r="F3047" s="19"/>
      <c r="G3047" s="26" t="str">
        <f aca="false">IF(D3047="","",IFERROR(VALUE(LEFT(D3047,FIND(" |",D3047&amp;" |")-1)),"?"))</f>
        <v/>
      </c>
      <c r="H3047" s="27" t="str">
        <f aca="false">IF(G3047="","",IF(G3047="?","⚠ pub inconnue",IFERROR(INDEX(Pubs!$B$2:$B$3001,MATCH(G3047,Pubs!$A$2:$A$3001,0))&amp;"","⚠ pub inconnue")))</f>
        <v/>
      </c>
      <c r="I3047" s="27" t="str">
        <f aca="false">IF(OR(G3047="",G3047="?"),"",IFERROR(INDEX(Pubs!$C$2:$C$3001,MATCH(G3047,Pubs!$A$2:$A$3001,0))&amp;"",""))</f>
        <v/>
      </c>
      <c r="J3047" s="27" t="str">
        <f aca="false">IF(OR(G3047="",G3047="?"),"",IFERROR(INDEX(Pubs!$G$2:$G$3001,MATCH(G3047,Pubs!$A$2:$A$3001,0))&amp;"",""))</f>
        <v/>
      </c>
      <c r="K3047" s="28" t="str">
        <f aca="false">IF(OR(G3047="",G3047="?"),"",IFERROR(INDEX(Pubs!$E$2:$E$3001,MATCH(G3047,Pubs!$A$2:$A$3001,0)),""))</f>
        <v/>
      </c>
      <c r="L3047" s="29" t="str">
        <f aca="false">IF(A3047="","",IFERROR(1/(1/INDEX(Numéros!$C$2:$C$3001,MATCH(A3047&amp;"|"&amp;B3047,Numéros!$F$2:$F$3001,0))),""))</f>
        <v/>
      </c>
      <c r="M3047" s="27" t="str">
        <f aca="false">IF(OR(G3047="",G3047="?"),"",IFERROR(INDEX(Pubs!$D$2:$D$3001,MATCH(G3047,Pubs!$A$2:$A$3001,0))&amp;"",""))</f>
        <v/>
      </c>
      <c r="N3047" s="27" t="n">
        <f aca="false">N(N3046)+IF(AND(A3047&lt;&gt;"",OR(Recherche!$C$4="",A3047=Recherche!$C$4),OR(Recherche!$C$5="",B3047&amp;""=Recherche!$C$5&amp;""),OR(Recherche!$C$6="",IFERROR(YEAR(L3047),0)=Recherche!$C$6),OR(Recherche!$C$7="",ISNUMBER(SEARCH(Recherche!$C$7,H3047))),OR(Recherche!$C$8="",J3047=Recherche!$C$8),OR(Recherche!$C$9="",I3047=Recherche!$C$9),OR(Recherche!$C$10="",G3047&amp;""=Recherche!$C$10&amp;""),OR(Recherche!$C$11="",E3047=Recherche!$C$11),OR(Recherche!$C$12="",ISNUMBER(SEARCH(Recherche!$C$12,M3047&amp;" "&amp;F3047)))),1,0)</f>
        <v>8</v>
      </c>
    </row>
    <row r="3048" customFormat="false" ht="15" hidden="false" customHeight="false" outlineLevel="0" collapsed="false">
      <c r="A3048" s="19"/>
      <c r="B3048" s="19"/>
      <c r="C3048" s="19"/>
      <c r="D3048" s="19"/>
      <c r="E3048" s="22"/>
      <c r="F3048" s="19"/>
      <c r="G3048" s="26" t="str">
        <f aca="false">IF(D3048="","",IFERROR(VALUE(LEFT(D3048,FIND(" |",D3048&amp;" |")-1)),"?"))</f>
        <v/>
      </c>
      <c r="H3048" s="27" t="str">
        <f aca="false">IF(G3048="","",IF(G3048="?","⚠ pub inconnue",IFERROR(INDEX(Pubs!$B$2:$B$3001,MATCH(G3048,Pubs!$A$2:$A$3001,0))&amp;"","⚠ pub inconnue")))</f>
        <v/>
      </c>
      <c r="I3048" s="27" t="str">
        <f aca="false">IF(OR(G3048="",G3048="?"),"",IFERROR(INDEX(Pubs!$C$2:$C$3001,MATCH(G3048,Pubs!$A$2:$A$3001,0))&amp;"",""))</f>
        <v/>
      </c>
      <c r="J3048" s="27" t="str">
        <f aca="false">IF(OR(G3048="",G3048="?"),"",IFERROR(INDEX(Pubs!$G$2:$G$3001,MATCH(G3048,Pubs!$A$2:$A$3001,0))&amp;"",""))</f>
        <v/>
      </c>
      <c r="K3048" s="28" t="str">
        <f aca="false">IF(OR(G3048="",G3048="?"),"",IFERROR(INDEX(Pubs!$E$2:$E$3001,MATCH(G3048,Pubs!$A$2:$A$3001,0)),""))</f>
        <v/>
      </c>
      <c r="L3048" s="29" t="str">
        <f aca="false">IF(A3048="","",IFERROR(1/(1/INDEX(Numéros!$C$2:$C$3001,MATCH(A3048&amp;"|"&amp;B3048,Numéros!$F$2:$F$3001,0))),""))</f>
        <v/>
      </c>
      <c r="M3048" s="27" t="str">
        <f aca="false">IF(OR(G3048="",G3048="?"),"",IFERROR(INDEX(Pubs!$D$2:$D$3001,MATCH(G3048,Pubs!$A$2:$A$3001,0))&amp;"",""))</f>
        <v/>
      </c>
      <c r="N3048" s="27" t="n">
        <f aca="false">N(N3047)+IF(AND(A3048&lt;&gt;"",OR(Recherche!$C$4="",A3048=Recherche!$C$4),OR(Recherche!$C$5="",B3048&amp;""=Recherche!$C$5&amp;""),OR(Recherche!$C$6="",IFERROR(YEAR(L3048),0)=Recherche!$C$6),OR(Recherche!$C$7="",ISNUMBER(SEARCH(Recherche!$C$7,H3048))),OR(Recherche!$C$8="",J3048=Recherche!$C$8),OR(Recherche!$C$9="",I3048=Recherche!$C$9),OR(Recherche!$C$10="",G3048&amp;""=Recherche!$C$10&amp;""),OR(Recherche!$C$11="",E3048=Recherche!$C$11),OR(Recherche!$C$12="",ISNUMBER(SEARCH(Recherche!$C$12,M3048&amp;" "&amp;F3048)))),1,0)</f>
        <v>8</v>
      </c>
    </row>
    <row r="3049" customFormat="false" ht="15" hidden="false" customHeight="false" outlineLevel="0" collapsed="false">
      <c r="A3049" s="19"/>
      <c r="B3049" s="19"/>
      <c r="C3049" s="19"/>
      <c r="D3049" s="19"/>
      <c r="E3049" s="22"/>
      <c r="F3049" s="19"/>
      <c r="G3049" s="26" t="str">
        <f aca="false">IF(D3049="","",IFERROR(VALUE(LEFT(D3049,FIND(" |",D3049&amp;" |")-1)),"?"))</f>
        <v/>
      </c>
      <c r="H3049" s="27" t="str">
        <f aca="false">IF(G3049="","",IF(G3049="?","⚠ pub inconnue",IFERROR(INDEX(Pubs!$B$2:$B$3001,MATCH(G3049,Pubs!$A$2:$A$3001,0))&amp;"","⚠ pub inconnue")))</f>
        <v/>
      </c>
      <c r="I3049" s="27" t="str">
        <f aca="false">IF(OR(G3049="",G3049="?"),"",IFERROR(INDEX(Pubs!$C$2:$C$3001,MATCH(G3049,Pubs!$A$2:$A$3001,0))&amp;"",""))</f>
        <v/>
      </c>
      <c r="J3049" s="27" t="str">
        <f aca="false">IF(OR(G3049="",G3049="?"),"",IFERROR(INDEX(Pubs!$G$2:$G$3001,MATCH(G3049,Pubs!$A$2:$A$3001,0))&amp;"",""))</f>
        <v/>
      </c>
      <c r="K3049" s="28" t="str">
        <f aca="false">IF(OR(G3049="",G3049="?"),"",IFERROR(INDEX(Pubs!$E$2:$E$3001,MATCH(G3049,Pubs!$A$2:$A$3001,0)),""))</f>
        <v/>
      </c>
      <c r="L3049" s="29" t="str">
        <f aca="false">IF(A3049="","",IFERROR(1/(1/INDEX(Numéros!$C$2:$C$3001,MATCH(A3049&amp;"|"&amp;B3049,Numéros!$F$2:$F$3001,0))),""))</f>
        <v/>
      </c>
      <c r="M3049" s="27" t="str">
        <f aca="false">IF(OR(G3049="",G3049="?"),"",IFERROR(INDEX(Pubs!$D$2:$D$3001,MATCH(G3049,Pubs!$A$2:$A$3001,0))&amp;"",""))</f>
        <v/>
      </c>
      <c r="N3049" s="27" t="n">
        <f aca="false">N(N3048)+IF(AND(A3049&lt;&gt;"",OR(Recherche!$C$4="",A3049=Recherche!$C$4),OR(Recherche!$C$5="",B3049&amp;""=Recherche!$C$5&amp;""),OR(Recherche!$C$6="",IFERROR(YEAR(L3049),0)=Recherche!$C$6),OR(Recherche!$C$7="",ISNUMBER(SEARCH(Recherche!$C$7,H3049))),OR(Recherche!$C$8="",J3049=Recherche!$C$8),OR(Recherche!$C$9="",I3049=Recherche!$C$9),OR(Recherche!$C$10="",G3049&amp;""=Recherche!$C$10&amp;""),OR(Recherche!$C$11="",E3049=Recherche!$C$11),OR(Recherche!$C$12="",ISNUMBER(SEARCH(Recherche!$C$12,M3049&amp;" "&amp;F3049)))),1,0)</f>
        <v>8</v>
      </c>
    </row>
    <row r="3050" customFormat="false" ht="15" hidden="false" customHeight="false" outlineLevel="0" collapsed="false">
      <c r="A3050" s="19"/>
      <c r="B3050" s="19"/>
      <c r="C3050" s="19"/>
      <c r="D3050" s="19"/>
      <c r="E3050" s="22"/>
      <c r="F3050" s="19"/>
      <c r="G3050" s="26" t="str">
        <f aca="false">IF(D3050="","",IFERROR(VALUE(LEFT(D3050,FIND(" |",D3050&amp;" |")-1)),"?"))</f>
        <v/>
      </c>
      <c r="H3050" s="27" t="str">
        <f aca="false">IF(G3050="","",IF(G3050="?","⚠ pub inconnue",IFERROR(INDEX(Pubs!$B$2:$B$3001,MATCH(G3050,Pubs!$A$2:$A$3001,0))&amp;"","⚠ pub inconnue")))</f>
        <v/>
      </c>
      <c r="I3050" s="27" t="str">
        <f aca="false">IF(OR(G3050="",G3050="?"),"",IFERROR(INDEX(Pubs!$C$2:$C$3001,MATCH(G3050,Pubs!$A$2:$A$3001,0))&amp;"",""))</f>
        <v/>
      </c>
      <c r="J3050" s="27" t="str">
        <f aca="false">IF(OR(G3050="",G3050="?"),"",IFERROR(INDEX(Pubs!$G$2:$G$3001,MATCH(G3050,Pubs!$A$2:$A$3001,0))&amp;"",""))</f>
        <v/>
      </c>
      <c r="K3050" s="28" t="str">
        <f aca="false">IF(OR(G3050="",G3050="?"),"",IFERROR(INDEX(Pubs!$E$2:$E$3001,MATCH(G3050,Pubs!$A$2:$A$3001,0)),""))</f>
        <v/>
      </c>
      <c r="L3050" s="29" t="str">
        <f aca="false">IF(A3050="","",IFERROR(1/(1/INDEX(Numéros!$C$2:$C$3001,MATCH(A3050&amp;"|"&amp;B3050,Numéros!$F$2:$F$3001,0))),""))</f>
        <v/>
      </c>
      <c r="M3050" s="27" t="str">
        <f aca="false">IF(OR(G3050="",G3050="?"),"",IFERROR(INDEX(Pubs!$D$2:$D$3001,MATCH(G3050,Pubs!$A$2:$A$3001,0))&amp;"",""))</f>
        <v/>
      </c>
      <c r="N3050" s="27" t="n">
        <f aca="false">N(N3049)+IF(AND(A3050&lt;&gt;"",OR(Recherche!$C$4="",A3050=Recherche!$C$4),OR(Recherche!$C$5="",B3050&amp;""=Recherche!$C$5&amp;""),OR(Recherche!$C$6="",IFERROR(YEAR(L3050),0)=Recherche!$C$6),OR(Recherche!$C$7="",ISNUMBER(SEARCH(Recherche!$C$7,H3050))),OR(Recherche!$C$8="",J3050=Recherche!$C$8),OR(Recherche!$C$9="",I3050=Recherche!$C$9),OR(Recherche!$C$10="",G3050&amp;""=Recherche!$C$10&amp;""),OR(Recherche!$C$11="",E3050=Recherche!$C$11),OR(Recherche!$C$12="",ISNUMBER(SEARCH(Recherche!$C$12,M3050&amp;" "&amp;F3050)))),1,0)</f>
        <v>8</v>
      </c>
    </row>
    <row r="3051" customFormat="false" ht="15" hidden="false" customHeight="false" outlineLevel="0" collapsed="false">
      <c r="A3051" s="19"/>
      <c r="B3051" s="19"/>
      <c r="C3051" s="19"/>
      <c r="D3051" s="19"/>
      <c r="E3051" s="22"/>
      <c r="F3051" s="19"/>
      <c r="G3051" s="26" t="str">
        <f aca="false">IF(D3051="","",IFERROR(VALUE(LEFT(D3051,FIND(" |",D3051&amp;" |")-1)),"?"))</f>
        <v/>
      </c>
      <c r="H3051" s="27" t="str">
        <f aca="false">IF(G3051="","",IF(G3051="?","⚠ pub inconnue",IFERROR(INDEX(Pubs!$B$2:$B$3001,MATCH(G3051,Pubs!$A$2:$A$3001,0))&amp;"","⚠ pub inconnue")))</f>
        <v/>
      </c>
      <c r="I3051" s="27" t="str">
        <f aca="false">IF(OR(G3051="",G3051="?"),"",IFERROR(INDEX(Pubs!$C$2:$C$3001,MATCH(G3051,Pubs!$A$2:$A$3001,0))&amp;"",""))</f>
        <v/>
      </c>
      <c r="J3051" s="27" t="str">
        <f aca="false">IF(OR(G3051="",G3051="?"),"",IFERROR(INDEX(Pubs!$G$2:$G$3001,MATCH(G3051,Pubs!$A$2:$A$3001,0))&amp;"",""))</f>
        <v/>
      </c>
      <c r="K3051" s="28" t="str">
        <f aca="false">IF(OR(G3051="",G3051="?"),"",IFERROR(INDEX(Pubs!$E$2:$E$3001,MATCH(G3051,Pubs!$A$2:$A$3001,0)),""))</f>
        <v/>
      </c>
      <c r="L3051" s="29" t="str">
        <f aca="false">IF(A3051="","",IFERROR(1/(1/INDEX(Numéros!$C$2:$C$3001,MATCH(A3051&amp;"|"&amp;B3051,Numéros!$F$2:$F$3001,0))),""))</f>
        <v/>
      </c>
      <c r="M3051" s="27" t="str">
        <f aca="false">IF(OR(G3051="",G3051="?"),"",IFERROR(INDEX(Pubs!$D$2:$D$3001,MATCH(G3051,Pubs!$A$2:$A$3001,0))&amp;"",""))</f>
        <v/>
      </c>
      <c r="N3051" s="27" t="n">
        <f aca="false">N(N3050)+IF(AND(A3051&lt;&gt;"",OR(Recherche!$C$4="",A3051=Recherche!$C$4),OR(Recherche!$C$5="",B3051&amp;""=Recherche!$C$5&amp;""),OR(Recherche!$C$6="",IFERROR(YEAR(L3051),0)=Recherche!$C$6),OR(Recherche!$C$7="",ISNUMBER(SEARCH(Recherche!$C$7,H3051))),OR(Recherche!$C$8="",J3051=Recherche!$C$8),OR(Recherche!$C$9="",I3051=Recherche!$C$9),OR(Recherche!$C$10="",G3051&amp;""=Recherche!$C$10&amp;""),OR(Recherche!$C$11="",E3051=Recherche!$C$11),OR(Recherche!$C$12="",ISNUMBER(SEARCH(Recherche!$C$12,M3051&amp;" "&amp;F3051)))),1,0)</f>
        <v>8</v>
      </c>
    </row>
    <row r="3052" customFormat="false" ht="15" hidden="false" customHeight="false" outlineLevel="0" collapsed="false">
      <c r="A3052" s="19"/>
      <c r="B3052" s="19"/>
      <c r="C3052" s="19"/>
      <c r="D3052" s="19"/>
      <c r="E3052" s="22"/>
      <c r="F3052" s="19"/>
      <c r="G3052" s="26" t="str">
        <f aca="false">IF(D3052="","",IFERROR(VALUE(LEFT(D3052,FIND(" |",D3052&amp;" |")-1)),"?"))</f>
        <v/>
      </c>
      <c r="H3052" s="27" t="str">
        <f aca="false">IF(G3052="","",IF(G3052="?","⚠ pub inconnue",IFERROR(INDEX(Pubs!$B$2:$B$3001,MATCH(G3052,Pubs!$A$2:$A$3001,0))&amp;"","⚠ pub inconnue")))</f>
        <v/>
      </c>
      <c r="I3052" s="27" t="str">
        <f aca="false">IF(OR(G3052="",G3052="?"),"",IFERROR(INDEX(Pubs!$C$2:$C$3001,MATCH(G3052,Pubs!$A$2:$A$3001,0))&amp;"",""))</f>
        <v/>
      </c>
      <c r="J3052" s="27" t="str">
        <f aca="false">IF(OR(G3052="",G3052="?"),"",IFERROR(INDEX(Pubs!$G$2:$G$3001,MATCH(G3052,Pubs!$A$2:$A$3001,0))&amp;"",""))</f>
        <v/>
      </c>
      <c r="K3052" s="28" t="str">
        <f aca="false">IF(OR(G3052="",G3052="?"),"",IFERROR(INDEX(Pubs!$E$2:$E$3001,MATCH(G3052,Pubs!$A$2:$A$3001,0)),""))</f>
        <v/>
      </c>
      <c r="L3052" s="29" t="str">
        <f aca="false">IF(A3052="","",IFERROR(1/(1/INDEX(Numéros!$C$2:$C$3001,MATCH(A3052&amp;"|"&amp;B3052,Numéros!$F$2:$F$3001,0))),""))</f>
        <v/>
      </c>
      <c r="M3052" s="27" t="str">
        <f aca="false">IF(OR(G3052="",G3052="?"),"",IFERROR(INDEX(Pubs!$D$2:$D$3001,MATCH(G3052,Pubs!$A$2:$A$3001,0))&amp;"",""))</f>
        <v/>
      </c>
      <c r="N3052" s="27" t="n">
        <f aca="false">N(N3051)+IF(AND(A3052&lt;&gt;"",OR(Recherche!$C$4="",A3052=Recherche!$C$4),OR(Recherche!$C$5="",B3052&amp;""=Recherche!$C$5&amp;""),OR(Recherche!$C$6="",IFERROR(YEAR(L3052),0)=Recherche!$C$6),OR(Recherche!$C$7="",ISNUMBER(SEARCH(Recherche!$C$7,H3052))),OR(Recherche!$C$8="",J3052=Recherche!$C$8),OR(Recherche!$C$9="",I3052=Recherche!$C$9),OR(Recherche!$C$10="",G3052&amp;""=Recherche!$C$10&amp;""),OR(Recherche!$C$11="",E3052=Recherche!$C$11),OR(Recherche!$C$12="",ISNUMBER(SEARCH(Recherche!$C$12,M3052&amp;" "&amp;F3052)))),1,0)</f>
        <v>8</v>
      </c>
    </row>
    <row r="3053" customFormat="false" ht="15" hidden="false" customHeight="false" outlineLevel="0" collapsed="false">
      <c r="A3053" s="19"/>
      <c r="B3053" s="19"/>
      <c r="C3053" s="19"/>
      <c r="D3053" s="19"/>
      <c r="E3053" s="22"/>
      <c r="F3053" s="19"/>
      <c r="G3053" s="26" t="str">
        <f aca="false">IF(D3053="","",IFERROR(VALUE(LEFT(D3053,FIND(" |",D3053&amp;" |")-1)),"?"))</f>
        <v/>
      </c>
      <c r="H3053" s="27" t="str">
        <f aca="false">IF(G3053="","",IF(G3053="?","⚠ pub inconnue",IFERROR(INDEX(Pubs!$B$2:$B$3001,MATCH(G3053,Pubs!$A$2:$A$3001,0))&amp;"","⚠ pub inconnue")))</f>
        <v/>
      </c>
      <c r="I3053" s="27" t="str">
        <f aca="false">IF(OR(G3053="",G3053="?"),"",IFERROR(INDEX(Pubs!$C$2:$C$3001,MATCH(G3053,Pubs!$A$2:$A$3001,0))&amp;"",""))</f>
        <v/>
      </c>
      <c r="J3053" s="27" t="str">
        <f aca="false">IF(OR(G3053="",G3053="?"),"",IFERROR(INDEX(Pubs!$G$2:$G$3001,MATCH(G3053,Pubs!$A$2:$A$3001,0))&amp;"",""))</f>
        <v/>
      </c>
      <c r="K3053" s="28" t="str">
        <f aca="false">IF(OR(G3053="",G3053="?"),"",IFERROR(INDEX(Pubs!$E$2:$E$3001,MATCH(G3053,Pubs!$A$2:$A$3001,0)),""))</f>
        <v/>
      </c>
      <c r="L3053" s="29" t="str">
        <f aca="false">IF(A3053="","",IFERROR(1/(1/INDEX(Numéros!$C$2:$C$3001,MATCH(A3053&amp;"|"&amp;B3053,Numéros!$F$2:$F$3001,0))),""))</f>
        <v/>
      </c>
      <c r="M3053" s="27" t="str">
        <f aca="false">IF(OR(G3053="",G3053="?"),"",IFERROR(INDEX(Pubs!$D$2:$D$3001,MATCH(G3053,Pubs!$A$2:$A$3001,0))&amp;"",""))</f>
        <v/>
      </c>
      <c r="N3053" s="27" t="n">
        <f aca="false">N(N3052)+IF(AND(A3053&lt;&gt;"",OR(Recherche!$C$4="",A3053=Recherche!$C$4),OR(Recherche!$C$5="",B3053&amp;""=Recherche!$C$5&amp;""),OR(Recherche!$C$6="",IFERROR(YEAR(L3053),0)=Recherche!$C$6),OR(Recherche!$C$7="",ISNUMBER(SEARCH(Recherche!$C$7,H3053))),OR(Recherche!$C$8="",J3053=Recherche!$C$8),OR(Recherche!$C$9="",I3053=Recherche!$C$9),OR(Recherche!$C$10="",G3053&amp;""=Recherche!$C$10&amp;""),OR(Recherche!$C$11="",E3053=Recherche!$C$11),OR(Recherche!$C$12="",ISNUMBER(SEARCH(Recherche!$C$12,M3053&amp;" "&amp;F3053)))),1,0)</f>
        <v>8</v>
      </c>
    </row>
    <row r="3054" customFormat="false" ht="15" hidden="false" customHeight="false" outlineLevel="0" collapsed="false">
      <c r="A3054" s="19"/>
      <c r="B3054" s="19"/>
      <c r="C3054" s="19"/>
      <c r="D3054" s="19"/>
      <c r="E3054" s="22"/>
      <c r="F3054" s="19"/>
      <c r="G3054" s="26" t="str">
        <f aca="false">IF(D3054="","",IFERROR(VALUE(LEFT(D3054,FIND(" |",D3054&amp;" |")-1)),"?"))</f>
        <v/>
      </c>
      <c r="H3054" s="27" t="str">
        <f aca="false">IF(G3054="","",IF(G3054="?","⚠ pub inconnue",IFERROR(INDEX(Pubs!$B$2:$B$3001,MATCH(G3054,Pubs!$A$2:$A$3001,0))&amp;"","⚠ pub inconnue")))</f>
        <v/>
      </c>
      <c r="I3054" s="27" t="str">
        <f aca="false">IF(OR(G3054="",G3054="?"),"",IFERROR(INDEX(Pubs!$C$2:$C$3001,MATCH(G3054,Pubs!$A$2:$A$3001,0))&amp;"",""))</f>
        <v/>
      </c>
      <c r="J3054" s="27" t="str">
        <f aca="false">IF(OR(G3054="",G3054="?"),"",IFERROR(INDEX(Pubs!$G$2:$G$3001,MATCH(G3054,Pubs!$A$2:$A$3001,0))&amp;"",""))</f>
        <v/>
      </c>
      <c r="K3054" s="28" t="str">
        <f aca="false">IF(OR(G3054="",G3054="?"),"",IFERROR(INDEX(Pubs!$E$2:$E$3001,MATCH(G3054,Pubs!$A$2:$A$3001,0)),""))</f>
        <v/>
      </c>
      <c r="L3054" s="29" t="str">
        <f aca="false">IF(A3054="","",IFERROR(1/(1/INDEX(Numéros!$C$2:$C$3001,MATCH(A3054&amp;"|"&amp;B3054,Numéros!$F$2:$F$3001,0))),""))</f>
        <v/>
      </c>
      <c r="M3054" s="27" t="str">
        <f aca="false">IF(OR(G3054="",G3054="?"),"",IFERROR(INDEX(Pubs!$D$2:$D$3001,MATCH(G3054,Pubs!$A$2:$A$3001,0))&amp;"",""))</f>
        <v/>
      </c>
      <c r="N3054" s="27" t="n">
        <f aca="false">N(N3053)+IF(AND(A3054&lt;&gt;"",OR(Recherche!$C$4="",A3054=Recherche!$C$4),OR(Recherche!$C$5="",B3054&amp;""=Recherche!$C$5&amp;""),OR(Recherche!$C$6="",IFERROR(YEAR(L3054),0)=Recherche!$C$6),OR(Recherche!$C$7="",ISNUMBER(SEARCH(Recherche!$C$7,H3054))),OR(Recherche!$C$8="",J3054=Recherche!$C$8),OR(Recherche!$C$9="",I3054=Recherche!$C$9),OR(Recherche!$C$10="",G3054&amp;""=Recherche!$C$10&amp;""),OR(Recherche!$C$11="",E3054=Recherche!$C$11),OR(Recherche!$C$12="",ISNUMBER(SEARCH(Recherche!$C$12,M3054&amp;" "&amp;F3054)))),1,0)</f>
        <v>8</v>
      </c>
    </row>
    <row r="3055" customFormat="false" ht="15" hidden="false" customHeight="false" outlineLevel="0" collapsed="false">
      <c r="A3055" s="19"/>
      <c r="B3055" s="19"/>
      <c r="C3055" s="19"/>
      <c r="D3055" s="19"/>
      <c r="E3055" s="22"/>
      <c r="F3055" s="19"/>
      <c r="G3055" s="26" t="str">
        <f aca="false">IF(D3055="","",IFERROR(VALUE(LEFT(D3055,FIND(" |",D3055&amp;" |")-1)),"?"))</f>
        <v/>
      </c>
      <c r="H3055" s="27" t="str">
        <f aca="false">IF(G3055="","",IF(G3055="?","⚠ pub inconnue",IFERROR(INDEX(Pubs!$B$2:$B$3001,MATCH(G3055,Pubs!$A$2:$A$3001,0))&amp;"","⚠ pub inconnue")))</f>
        <v/>
      </c>
      <c r="I3055" s="27" t="str">
        <f aca="false">IF(OR(G3055="",G3055="?"),"",IFERROR(INDEX(Pubs!$C$2:$C$3001,MATCH(G3055,Pubs!$A$2:$A$3001,0))&amp;"",""))</f>
        <v/>
      </c>
      <c r="J3055" s="27" t="str">
        <f aca="false">IF(OR(G3055="",G3055="?"),"",IFERROR(INDEX(Pubs!$G$2:$G$3001,MATCH(G3055,Pubs!$A$2:$A$3001,0))&amp;"",""))</f>
        <v/>
      </c>
      <c r="K3055" s="28" t="str">
        <f aca="false">IF(OR(G3055="",G3055="?"),"",IFERROR(INDEX(Pubs!$E$2:$E$3001,MATCH(G3055,Pubs!$A$2:$A$3001,0)),""))</f>
        <v/>
      </c>
      <c r="L3055" s="29" t="str">
        <f aca="false">IF(A3055="","",IFERROR(1/(1/INDEX(Numéros!$C$2:$C$3001,MATCH(A3055&amp;"|"&amp;B3055,Numéros!$F$2:$F$3001,0))),""))</f>
        <v/>
      </c>
      <c r="M3055" s="27" t="str">
        <f aca="false">IF(OR(G3055="",G3055="?"),"",IFERROR(INDEX(Pubs!$D$2:$D$3001,MATCH(G3055,Pubs!$A$2:$A$3001,0))&amp;"",""))</f>
        <v/>
      </c>
      <c r="N3055" s="27" t="n">
        <f aca="false">N(N3054)+IF(AND(A3055&lt;&gt;"",OR(Recherche!$C$4="",A3055=Recherche!$C$4),OR(Recherche!$C$5="",B3055&amp;""=Recherche!$C$5&amp;""),OR(Recherche!$C$6="",IFERROR(YEAR(L3055),0)=Recherche!$C$6),OR(Recherche!$C$7="",ISNUMBER(SEARCH(Recherche!$C$7,H3055))),OR(Recherche!$C$8="",J3055=Recherche!$C$8),OR(Recherche!$C$9="",I3055=Recherche!$C$9),OR(Recherche!$C$10="",G3055&amp;""=Recherche!$C$10&amp;""),OR(Recherche!$C$11="",E3055=Recherche!$C$11),OR(Recherche!$C$12="",ISNUMBER(SEARCH(Recherche!$C$12,M3055&amp;" "&amp;F3055)))),1,0)</f>
        <v>8</v>
      </c>
    </row>
    <row r="3056" customFormat="false" ht="15" hidden="false" customHeight="false" outlineLevel="0" collapsed="false">
      <c r="A3056" s="19"/>
      <c r="B3056" s="19"/>
      <c r="C3056" s="19"/>
      <c r="D3056" s="19"/>
      <c r="E3056" s="22"/>
      <c r="F3056" s="19"/>
      <c r="G3056" s="26" t="str">
        <f aca="false">IF(D3056="","",IFERROR(VALUE(LEFT(D3056,FIND(" |",D3056&amp;" |")-1)),"?"))</f>
        <v/>
      </c>
      <c r="H3056" s="27" t="str">
        <f aca="false">IF(G3056="","",IF(G3056="?","⚠ pub inconnue",IFERROR(INDEX(Pubs!$B$2:$B$3001,MATCH(G3056,Pubs!$A$2:$A$3001,0))&amp;"","⚠ pub inconnue")))</f>
        <v/>
      </c>
      <c r="I3056" s="27" t="str">
        <f aca="false">IF(OR(G3056="",G3056="?"),"",IFERROR(INDEX(Pubs!$C$2:$C$3001,MATCH(G3056,Pubs!$A$2:$A$3001,0))&amp;"",""))</f>
        <v/>
      </c>
      <c r="J3056" s="27" t="str">
        <f aca="false">IF(OR(G3056="",G3056="?"),"",IFERROR(INDEX(Pubs!$G$2:$G$3001,MATCH(G3056,Pubs!$A$2:$A$3001,0))&amp;"",""))</f>
        <v/>
      </c>
      <c r="K3056" s="28" t="str">
        <f aca="false">IF(OR(G3056="",G3056="?"),"",IFERROR(INDEX(Pubs!$E$2:$E$3001,MATCH(G3056,Pubs!$A$2:$A$3001,0)),""))</f>
        <v/>
      </c>
      <c r="L3056" s="29" t="str">
        <f aca="false">IF(A3056="","",IFERROR(1/(1/INDEX(Numéros!$C$2:$C$3001,MATCH(A3056&amp;"|"&amp;B3056,Numéros!$F$2:$F$3001,0))),""))</f>
        <v/>
      </c>
      <c r="M3056" s="27" t="str">
        <f aca="false">IF(OR(G3056="",G3056="?"),"",IFERROR(INDEX(Pubs!$D$2:$D$3001,MATCH(G3056,Pubs!$A$2:$A$3001,0))&amp;"",""))</f>
        <v/>
      </c>
      <c r="N3056" s="27" t="n">
        <f aca="false">N(N3055)+IF(AND(A3056&lt;&gt;"",OR(Recherche!$C$4="",A3056=Recherche!$C$4),OR(Recherche!$C$5="",B3056&amp;""=Recherche!$C$5&amp;""),OR(Recherche!$C$6="",IFERROR(YEAR(L3056),0)=Recherche!$C$6),OR(Recherche!$C$7="",ISNUMBER(SEARCH(Recherche!$C$7,H3056))),OR(Recherche!$C$8="",J3056=Recherche!$C$8),OR(Recherche!$C$9="",I3056=Recherche!$C$9),OR(Recherche!$C$10="",G3056&amp;""=Recherche!$C$10&amp;""),OR(Recherche!$C$11="",E3056=Recherche!$C$11),OR(Recherche!$C$12="",ISNUMBER(SEARCH(Recherche!$C$12,M3056&amp;" "&amp;F3056)))),1,0)</f>
        <v>8</v>
      </c>
    </row>
    <row r="3057" customFormat="false" ht="15" hidden="false" customHeight="false" outlineLevel="0" collapsed="false">
      <c r="A3057" s="19"/>
      <c r="B3057" s="19"/>
      <c r="C3057" s="19"/>
      <c r="D3057" s="19"/>
      <c r="E3057" s="22"/>
      <c r="F3057" s="19"/>
      <c r="G3057" s="26" t="str">
        <f aca="false">IF(D3057="","",IFERROR(VALUE(LEFT(D3057,FIND(" |",D3057&amp;" |")-1)),"?"))</f>
        <v/>
      </c>
      <c r="H3057" s="27" t="str">
        <f aca="false">IF(G3057="","",IF(G3057="?","⚠ pub inconnue",IFERROR(INDEX(Pubs!$B$2:$B$3001,MATCH(G3057,Pubs!$A$2:$A$3001,0))&amp;"","⚠ pub inconnue")))</f>
        <v/>
      </c>
      <c r="I3057" s="27" t="str">
        <f aca="false">IF(OR(G3057="",G3057="?"),"",IFERROR(INDEX(Pubs!$C$2:$C$3001,MATCH(G3057,Pubs!$A$2:$A$3001,0))&amp;"",""))</f>
        <v/>
      </c>
      <c r="J3057" s="27" t="str">
        <f aca="false">IF(OR(G3057="",G3057="?"),"",IFERROR(INDEX(Pubs!$G$2:$G$3001,MATCH(G3057,Pubs!$A$2:$A$3001,0))&amp;"",""))</f>
        <v/>
      </c>
      <c r="K3057" s="28" t="str">
        <f aca="false">IF(OR(G3057="",G3057="?"),"",IFERROR(INDEX(Pubs!$E$2:$E$3001,MATCH(G3057,Pubs!$A$2:$A$3001,0)),""))</f>
        <v/>
      </c>
      <c r="L3057" s="29" t="str">
        <f aca="false">IF(A3057="","",IFERROR(1/(1/INDEX(Numéros!$C$2:$C$3001,MATCH(A3057&amp;"|"&amp;B3057,Numéros!$F$2:$F$3001,0))),""))</f>
        <v/>
      </c>
      <c r="M3057" s="27" t="str">
        <f aca="false">IF(OR(G3057="",G3057="?"),"",IFERROR(INDEX(Pubs!$D$2:$D$3001,MATCH(G3057,Pubs!$A$2:$A$3001,0))&amp;"",""))</f>
        <v/>
      </c>
      <c r="N3057" s="27" t="n">
        <f aca="false">N(N3056)+IF(AND(A3057&lt;&gt;"",OR(Recherche!$C$4="",A3057=Recherche!$C$4),OR(Recherche!$C$5="",B3057&amp;""=Recherche!$C$5&amp;""),OR(Recherche!$C$6="",IFERROR(YEAR(L3057),0)=Recherche!$C$6),OR(Recherche!$C$7="",ISNUMBER(SEARCH(Recherche!$C$7,H3057))),OR(Recherche!$C$8="",J3057=Recherche!$C$8),OR(Recherche!$C$9="",I3057=Recherche!$C$9),OR(Recherche!$C$10="",G3057&amp;""=Recherche!$C$10&amp;""),OR(Recherche!$C$11="",E3057=Recherche!$C$11),OR(Recherche!$C$12="",ISNUMBER(SEARCH(Recherche!$C$12,M3057&amp;" "&amp;F3057)))),1,0)</f>
        <v>8</v>
      </c>
    </row>
    <row r="3058" customFormat="false" ht="15" hidden="false" customHeight="false" outlineLevel="0" collapsed="false">
      <c r="A3058" s="19"/>
      <c r="B3058" s="19"/>
      <c r="C3058" s="19"/>
      <c r="D3058" s="19"/>
      <c r="E3058" s="22"/>
      <c r="F3058" s="19"/>
      <c r="G3058" s="26" t="str">
        <f aca="false">IF(D3058="","",IFERROR(VALUE(LEFT(D3058,FIND(" |",D3058&amp;" |")-1)),"?"))</f>
        <v/>
      </c>
      <c r="H3058" s="27" t="str">
        <f aca="false">IF(G3058="","",IF(G3058="?","⚠ pub inconnue",IFERROR(INDEX(Pubs!$B$2:$B$3001,MATCH(G3058,Pubs!$A$2:$A$3001,0))&amp;"","⚠ pub inconnue")))</f>
        <v/>
      </c>
      <c r="I3058" s="27" t="str">
        <f aca="false">IF(OR(G3058="",G3058="?"),"",IFERROR(INDEX(Pubs!$C$2:$C$3001,MATCH(G3058,Pubs!$A$2:$A$3001,0))&amp;"",""))</f>
        <v/>
      </c>
      <c r="J3058" s="27" t="str">
        <f aca="false">IF(OR(G3058="",G3058="?"),"",IFERROR(INDEX(Pubs!$G$2:$G$3001,MATCH(G3058,Pubs!$A$2:$A$3001,0))&amp;"",""))</f>
        <v/>
      </c>
      <c r="K3058" s="28" t="str">
        <f aca="false">IF(OR(G3058="",G3058="?"),"",IFERROR(INDEX(Pubs!$E$2:$E$3001,MATCH(G3058,Pubs!$A$2:$A$3001,0)),""))</f>
        <v/>
      </c>
      <c r="L3058" s="29" t="str">
        <f aca="false">IF(A3058="","",IFERROR(1/(1/INDEX(Numéros!$C$2:$C$3001,MATCH(A3058&amp;"|"&amp;B3058,Numéros!$F$2:$F$3001,0))),""))</f>
        <v/>
      </c>
      <c r="M3058" s="27" t="str">
        <f aca="false">IF(OR(G3058="",G3058="?"),"",IFERROR(INDEX(Pubs!$D$2:$D$3001,MATCH(G3058,Pubs!$A$2:$A$3001,0))&amp;"",""))</f>
        <v/>
      </c>
      <c r="N3058" s="27" t="n">
        <f aca="false">N(N3057)+IF(AND(A3058&lt;&gt;"",OR(Recherche!$C$4="",A3058=Recherche!$C$4),OR(Recherche!$C$5="",B3058&amp;""=Recherche!$C$5&amp;""),OR(Recherche!$C$6="",IFERROR(YEAR(L3058),0)=Recherche!$C$6),OR(Recherche!$C$7="",ISNUMBER(SEARCH(Recherche!$C$7,H3058))),OR(Recherche!$C$8="",J3058=Recherche!$C$8),OR(Recherche!$C$9="",I3058=Recherche!$C$9),OR(Recherche!$C$10="",G3058&amp;""=Recherche!$C$10&amp;""),OR(Recherche!$C$11="",E3058=Recherche!$C$11),OR(Recherche!$C$12="",ISNUMBER(SEARCH(Recherche!$C$12,M3058&amp;" "&amp;F3058)))),1,0)</f>
        <v>8</v>
      </c>
    </row>
    <row r="3059" customFormat="false" ht="15" hidden="false" customHeight="false" outlineLevel="0" collapsed="false">
      <c r="A3059" s="19"/>
      <c r="B3059" s="19"/>
      <c r="C3059" s="19"/>
      <c r="D3059" s="19"/>
      <c r="E3059" s="22"/>
      <c r="F3059" s="19"/>
      <c r="G3059" s="26" t="str">
        <f aca="false">IF(D3059="","",IFERROR(VALUE(LEFT(D3059,FIND(" |",D3059&amp;" |")-1)),"?"))</f>
        <v/>
      </c>
      <c r="H3059" s="27" t="str">
        <f aca="false">IF(G3059="","",IF(G3059="?","⚠ pub inconnue",IFERROR(INDEX(Pubs!$B$2:$B$3001,MATCH(G3059,Pubs!$A$2:$A$3001,0))&amp;"","⚠ pub inconnue")))</f>
        <v/>
      </c>
      <c r="I3059" s="27" t="str">
        <f aca="false">IF(OR(G3059="",G3059="?"),"",IFERROR(INDEX(Pubs!$C$2:$C$3001,MATCH(G3059,Pubs!$A$2:$A$3001,0))&amp;"",""))</f>
        <v/>
      </c>
      <c r="J3059" s="27" t="str">
        <f aca="false">IF(OR(G3059="",G3059="?"),"",IFERROR(INDEX(Pubs!$G$2:$G$3001,MATCH(G3059,Pubs!$A$2:$A$3001,0))&amp;"",""))</f>
        <v/>
      </c>
      <c r="K3059" s="28" t="str">
        <f aca="false">IF(OR(G3059="",G3059="?"),"",IFERROR(INDEX(Pubs!$E$2:$E$3001,MATCH(G3059,Pubs!$A$2:$A$3001,0)),""))</f>
        <v/>
      </c>
      <c r="L3059" s="29" t="str">
        <f aca="false">IF(A3059="","",IFERROR(1/(1/INDEX(Numéros!$C$2:$C$3001,MATCH(A3059&amp;"|"&amp;B3059,Numéros!$F$2:$F$3001,0))),""))</f>
        <v/>
      </c>
      <c r="M3059" s="27" t="str">
        <f aca="false">IF(OR(G3059="",G3059="?"),"",IFERROR(INDEX(Pubs!$D$2:$D$3001,MATCH(G3059,Pubs!$A$2:$A$3001,0))&amp;"",""))</f>
        <v/>
      </c>
      <c r="N3059" s="27" t="n">
        <f aca="false">N(N3058)+IF(AND(A3059&lt;&gt;"",OR(Recherche!$C$4="",A3059=Recherche!$C$4),OR(Recherche!$C$5="",B3059&amp;""=Recherche!$C$5&amp;""),OR(Recherche!$C$6="",IFERROR(YEAR(L3059),0)=Recherche!$C$6),OR(Recherche!$C$7="",ISNUMBER(SEARCH(Recherche!$C$7,H3059))),OR(Recherche!$C$8="",J3059=Recherche!$C$8),OR(Recherche!$C$9="",I3059=Recherche!$C$9),OR(Recherche!$C$10="",G3059&amp;""=Recherche!$C$10&amp;""),OR(Recherche!$C$11="",E3059=Recherche!$C$11),OR(Recherche!$C$12="",ISNUMBER(SEARCH(Recherche!$C$12,M3059&amp;" "&amp;F3059)))),1,0)</f>
        <v>8</v>
      </c>
    </row>
    <row r="3060" customFormat="false" ht="15" hidden="false" customHeight="false" outlineLevel="0" collapsed="false">
      <c r="A3060" s="19"/>
      <c r="B3060" s="19"/>
      <c r="C3060" s="19"/>
      <c r="D3060" s="19"/>
      <c r="E3060" s="22"/>
      <c r="F3060" s="19"/>
      <c r="G3060" s="26" t="str">
        <f aca="false">IF(D3060="","",IFERROR(VALUE(LEFT(D3060,FIND(" |",D3060&amp;" |")-1)),"?"))</f>
        <v/>
      </c>
      <c r="H3060" s="27" t="str">
        <f aca="false">IF(G3060="","",IF(G3060="?","⚠ pub inconnue",IFERROR(INDEX(Pubs!$B$2:$B$3001,MATCH(G3060,Pubs!$A$2:$A$3001,0))&amp;"","⚠ pub inconnue")))</f>
        <v/>
      </c>
      <c r="I3060" s="27" t="str">
        <f aca="false">IF(OR(G3060="",G3060="?"),"",IFERROR(INDEX(Pubs!$C$2:$C$3001,MATCH(G3060,Pubs!$A$2:$A$3001,0))&amp;"",""))</f>
        <v/>
      </c>
      <c r="J3060" s="27" t="str">
        <f aca="false">IF(OR(G3060="",G3060="?"),"",IFERROR(INDEX(Pubs!$G$2:$G$3001,MATCH(G3060,Pubs!$A$2:$A$3001,0))&amp;"",""))</f>
        <v/>
      </c>
      <c r="K3060" s="28" t="str">
        <f aca="false">IF(OR(G3060="",G3060="?"),"",IFERROR(INDEX(Pubs!$E$2:$E$3001,MATCH(G3060,Pubs!$A$2:$A$3001,0)),""))</f>
        <v/>
      </c>
      <c r="L3060" s="29" t="str">
        <f aca="false">IF(A3060="","",IFERROR(1/(1/INDEX(Numéros!$C$2:$C$3001,MATCH(A3060&amp;"|"&amp;B3060,Numéros!$F$2:$F$3001,0))),""))</f>
        <v/>
      </c>
      <c r="M3060" s="27" t="str">
        <f aca="false">IF(OR(G3060="",G3060="?"),"",IFERROR(INDEX(Pubs!$D$2:$D$3001,MATCH(G3060,Pubs!$A$2:$A$3001,0))&amp;"",""))</f>
        <v/>
      </c>
      <c r="N3060" s="27" t="n">
        <f aca="false">N(N3059)+IF(AND(A3060&lt;&gt;"",OR(Recherche!$C$4="",A3060=Recherche!$C$4),OR(Recherche!$C$5="",B3060&amp;""=Recherche!$C$5&amp;""),OR(Recherche!$C$6="",IFERROR(YEAR(L3060),0)=Recherche!$C$6),OR(Recherche!$C$7="",ISNUMBER(SEARCH(Recherche!$C$7,H3060))),OR(Recherche!$C$8="",J3060=Recherche!$C$8),OR(Recherche!$C$9="",I3060=Recherche!$C$9),OR(Recherche!$C$10="",G3060&amp;""=Recherche!$C$10&amp;""),OR(Recherche!$C$11="",E3060=Recherche!$C$11),OR(Recherche!$C$12="",ISNUMBER(SEARCH(Recherche!$C$12,M3060&amp;" "&amp;F3060)))),1,0)</f>
        <v>8</v>
      </c>
    </row>
    <row r="3061" customFormat="false" ht="15" hidden="false" customHeight="false" outlineLevel="0" collapsed="false">
      <c r="A3061" s="19"/>
      <c r="B3061" s="19"/>
      <c r="C3061" s="19"/>
      <c r="D3061" s="19"/>
      <c r="E3061" s="22"/>
      <c r="F3061" s="19"/>
      <c r="G3061" s="26" t="str">
        <f aca="false">IF(D3061="","",IFERROR(VALUE(LEFT(D3061,FIND(" |",D3061&amp;" |")-1)),"?"))</f>
        <v/>
      </c>
      <c r="H3061" s="27" t="str">
        <f aca="false">IF(G3061="","",IF(G3061="?","⚠ pub inconnue",IFERROR(INDEX(Pubs!$B$2:$B$3001,MATCH(G3061,Pubs!$A$2:$A$3001,0))&amp;"","⚠ pub inconnue")))</f>
        <v/>
      </c>
      <c r="I3061" s="27" t="str">
        <f aca="false">IF(OR(G3061="",G3061="?"),"",IFERROR(INDEX(Pubs!$C$2:$C$3001,MATCH(G3061,Pubs!$A$2:$A$3001,0))&amp;"",""))</f>
        <v/>
      </c>
      <c r="J3061" s="27" t="str">
        <f aca="false">IF(OR(G3061="",G3061="?"),"",IFERROR(INDEX(Pubs!$G$2:$G$3001,MATCH(G3061,Pubs!$A$2:$A$3001,0))&amp;"",""))</f>
        <v/>
      </c>
      <c r="K3061" s="28" t="str">
        <f aca="false">IF(OR(G3061="",G3061="?"),"",IFERROR(INDEX(Pubs!$E$2:$E$3001,MATCH(G3061,Pubs!$A$2:$A$3001,0)),""))</f>
        <v/>
      </c>
      <c r="L3061" s="29" t="str">
        <f aca="false">IF(A3061="","",IFERROR(1/(1/INDEX(Numéros!$C$2:$C$3001,MATCH(A3061&amp;"|"&amp;B3061,Numéros!$F$2:$F$3001,0))),""))</f>
        <v/>
      </c>
      <c r="M3061" s="27" t="str">
        <f aca="false">IF(OR(G3061="",G3061="?"),"",IFERROR(INDEX(Pubs!$D$2:$D$3001,MATCH(G3061,Pubs!$A$2:$A$3001,0))&amp;"",""))</f>
        <v/>
      </c>
      <c r="N3061" s="27" t="n">
        <f aca="false">N(N3060)+IF(AND(A3061&lt;&gt;"",OR(Recherche!$C$4="",A3061=Recherche!$C$4),OR(Recherche!$C$5="",B3061&amp;""=Recherche!$C$5&amp;""),OR(Recherche!$C$6="",IFERROR(YEAR(L3061),0)=Recherche!$C$6),OR(Recherche!$C$7="",ISNUMBER(SEARCH(Recherche!$C$7,H3061))),OR(Recherche!$C$8="",J3061=Recherche!$C$8),OR(Recherche!$C$9="",I3061=Recherche!$C$9),OR(Recherche!$C$10="",G3061&amp;""=Recherche!$C$10&amp;""),OR(Recherche!$C$11="",E3061=Recherche!$C$11),OR(Recherche!$C$12="",ISNUMBER(SEARCH(Recherche!$C$12,M3061&amp;" "&amp;F3061)))),1,0)</f>
        <v>8</v>
      </c>
    </row>
    <row r="3062" customFormat="false" ht="15" hidden="false" customHeight="false" outlineLevel="0" collapsed="false">
      <c r="A3062" s="19"/>
      <c r="B3062" s="19"/>
      <c r="C3062" s="19"/>
      <c r="D3062" s="19"/>
      <c r="E3062" s="22"/>
      <c r="F3062" s="19"/>
      <c r="G3062" s="26" t="str">
        <f aca="false">IF(D3062="","",IFERROR(VALUE(LEFT(D3062,FIND(" |",D3062&amp;" |")-1)),"?"))</f>
        <v/>
      </c>
      <c r="H3062" s="27" t="str">
        <f aca="false">IF(G3062="","",IF(G3062="?","⚠ pub inconnue",IFERROR(INDEX(Pubs!$B$2:$B$3001,MATCH(G3062,Pubs!$A$2:$A$3001,0))&amp;"","⚠ pub inconnue")))</f>
        <v/>
      </c>
      <c r="I3062" s="27" t="str">
        <f aca="false">IF(OR(G3062="",G3062="?"),"",IFERROR(INDEX(Pubs!$C$2:$C$3001,MATCH(G3062,Pubs!$A$2:$A$3001,0))&amp;"",""))</f>
        <v/>
      </c>
      <c r="J3062" s="27" t="str">
        <f aca="false">IF(OR(G3062="",G3062="?"),"",IFERROR(INDEX(Pubs!$G$2:$G$3001,MATCH(G3062,Pubs!$A$2:$A$3001,0))&amp;"",""))</f>
        <v/>
      </c>
      <c r="K3062" s="28" t="str">
        <f aca="false">IF(OR(G3062="",G3062="?"),"",IFERROR(INDEX(Pubs!$E$2:$E$3001,MATCH(G3062,Pubs!$A$2:$A$3001,0)),""))</f>
        <v/>
      </c>
      <c r="L3062" s="29" t="str">
        <f aca="false">IF(A3062="","",IFERROR(1/(1/INDEX(Numéros!$C$2:$C$3001,MATCH(A3062&amp;"|"&amp;B3062,Numéros!$F$2:$F$3001,0))),""))</f>
        <v/>
      </c>
      <c r="M3062" s="27" t="str">
        <f aca="false">IF(OR(G3062="",G3062="?"),"",IFERROR(INDEX(Pubs!$D$2:$D$3001,MATCH(G3062,Pubs!$A$2:$A$3001,0))&amp;"",""))</f>
        <v/>
      </c>
      <c r="N3062" s="27" t="n">
        <f aca="false">N(N3061)+IF(AND(A3062&lt;&gt;"",OR(Recherche!$C$4="",A3062=Recherche!$C$4),OR(Recherche!$C$5="",B3062&amp;""=Recherche!$C$5&amp;""),OR(Recherche!$C$6="",IFERROR(YEAR(L3062),0)=Recherche!$C$6),OR(Recherche!$C$7="",ISNUMBER(SEARCH(Recherche!$C$7,H3062))),OR(Recherche!$C$8="",J3062=Recherche!$C$8),OR(Recherche!$C$9="",I3062=Recherche!$C$9),OR(Recherche!$C$10="",G3062&amp;""=Recherche!$C$10&amp;""),OR(Recherche!$C$11="",E3062=Recherche!$C$11),OR(Recherche!$C$12="",ISNUMBER(SEARCH(Recherche!$C$12,M3062&amp;" "&amp;F3062)))),1,0)</f>
        <v>8</v>
      </c>
    </row>
    <row r="3063" customFormat="false" ht="15" hidden="false" customHeight="false" outlineLevel="0" collapsed="false">
      <c r="A3063" s="19"/>
      <c r="B3063" s="19"/>
      <c r="C3063" s="19"/>
      <c r="D3063" s="19"/>
      <c r="E3063" s="22"/>
      <c r="F3063" s="19"/>
      <c r="G3063" s="26" t="str">
        <f aca="false">IF(D3063="","",IFERROR(VALUE(LEFT(D3063,FIND(" |",D3063&amp;" |")-1)),"?"))</f>
        <v/>
      </c>
      <c r="H3063" s="27" t="str">
        <f aca="false">IF(G3063="","",IF(G3063="?","⚠ pub inconnue",IFERROR(INDEX(Pubs!$B$2:$B$3001,MATCH(G3063,Pubs!$A$2:$A$3001,0))&amp;"","⚠ pub inconnue")))</f>
        <v/>
      </c>
      <c r="I3063" s="27" t="str">
        <f aca="false">IF(OR(G3063="",G3063="?"),"",IFERROR(INDEX(Pubs!$C$2:$C$3001,MATCH(G3063,Pubs!$A$2:$A$3001,0))&amp;"",""))</f>
        <v/>
      </c>
      <c r="J3063" s="27" t="str">
        <f aca="false">IF(OR(G3063="",G3063="?"),"",IFERROR(INDEX(Pubs!$G$2:$G$3001,MATCH(G3063,Pubs!$A$2:$A$3001,0))&amp;"",""))</f>
        <v/>
      </c>
      <c r="K3063" s="28" t="str">
        <f aca="false">IF(OR(G3063="",G3063="?"),"",IFERROR(INDEX(Pubs!$E$2:$E$3001,MATCH(G3063,Pubs!$A$2:$A$3001,0)),""))</f>
        <v/>
      </c>
      <c r="L3063" s="29" t="str">
        <f aca="false">IF(A3063="","",IFERROR(1/(1/INDEX(Numéros!$C$2:$C$3001,MATCH(A3063&amp;"|"&amp;B3063,Numéros!$F$2:$F$3001,0))),""))</f>
        <v/>
      </c>
      <c r="M3063" s="27" t="str">
        <f aca="false">IF(OR(G3063="",G3063="?"),"",IFERROR(INDEX(Pubs!$D$2:$D$3001,MATCH(G3063,Pubs!$A$2:$A$3001,0))&amp;"",""))</f>
        <v/>
      </c>
      <c r="N3063" s="27" t="n">
        <f aca="false">N(N3062)+IF(AND(A3063&lt;&gt;"",OR(Recherche!$C$4="",A3063=Recherche!$C$4),OR(Recherche!$C$5="",B3063&amp;""=Recherche!$C$5&amp;""),OR(Recherche!$C$6="",IFERROR(YEAR(L3063),0)=Recherche!$C$6),OR(Recherche!$C$7="",ISNUMBER(SEARCH(Recherche!$C$7,H3063))),OR(Recherche!$C$8="",J3063=Recherche!$C$8),OR(Recherche!$C$9="",I3063=Recherche!$C$9),OR(Recherche!$C$10="",G3063&amp;""=Recherche!$C$10&amp;""),OR(Recherche!$C$11="",E3063=Recherche!$C$11),OR(Recherche!$C$12="",ISNUMBER(SEARCH(Recherche!$C$12,M3063&amp;" "&amp;F3063)))),1,0)</f>
        <v>8</v>
      </c>
    </row>
    <row r="3064" customFormat="false" ht="15" hidden="false" customHeight="false" outlineLevel="0" collapsed="false">
      <c r="A3064" s="19"/>
      <c r="B3064" s="19"/>
      <c r="C3064" s="19"/>
      <c r="D3064" s="19"/>
      <c r="E3064" s="22"/>
      <c r="F3064" s="19"/>
      <c r="G3064" s="26" t="str">
        <f aca="false">IF(D3064="","",IFERROR(VALUE(LEFT(D3064,FIND(" |",D3064&amp;" |")-1)),"?"))</f>
        <v/>
      </c>
      <c r="H3064" s="27" t="str">
        <f aca="false">IF(G3064="","",IF(G3064="?","⚠ pub inconnue",IFERROR(INDEX(Pubs!$B$2:$B$3001,MATCH(G3064,Pubs!$A$2:$A$3001,0))&amp;"","⚠ pub inconnue")))</f>
        <v/>
      </c>
      <c r="I3064" s="27" t="str">
        <f aca="false">IF(OR(G3064="",G3064="?"),"",IFERROR(INDEX(Pubs!$C$2:$C$3001,MATCH(G3064,Pubs!$A$2:$A$3001,0))&amp;"",""))</f>
        <v/>
      </c>
      <c r="J3064" s="27" t="str">
        <f aca="false">IF(OR(G3064="",G3064="?"),"",IFERROR(INDEX(Pubs!$G$2:$G$3001,MATCH(G3064,Pubs!$A$2:$A$3001,0))&amp;"",""))</f>
        <v/>
      </c>
      <c r="K3064" s="28" t="str">
        <f aca="false">IF(OR(G3064="",G3064="?"),"",IFERROR(INDEX(Pubs!$E$2:$E$3001,MATCH(G3064,Pubs!$A$2:$A$3001,0)),""))</f>
        <v/>
      </c>
      <c r="L3064" s="29" t="str">
        <f aca="false">IF(A3064="","",IFERROR(1/(1/INDEX(Numéros!$C$2:$C$3001,MATCH(A3064&amp;"|"&amp;B3064,Numéros!$F$2:$F$3001,0))),""))</f>
        <v/>
      </c>
      <c r="M3064" s="27" t="str">
        <f aca="false">IF(OR(G3064="",G3064="?"),"",IFERROR(INDEX(Pubs!$D$2:$D$3001,MATCH(G3064,Pubs!$A$2:$A$3001,0))&amp;"",""))</f>
        <v/>
      </c>
      <c r="N3064" s="27" t="n">
        <f aca="false">N(N3063)+IF(AND(A3064&lt;&gt;"",OR(Recherche!$C$4="",A3064=Recherche!$C$4),OR(Recherche!$C$5="",B3064&amp;""=Recherche!$C$5&amp;""),OR(Recherche!$C$6="",IFERROR(YEAR(L3064),0)=Recherche!$C$6),OR(Recherche!$C$7="",ISNUMBER(SEARCH(Recherche!$C$7,H3064))),OR(Recherche!$C$8="",J3064=Recherche!$C$8),OR(Recherche!$C$9="",I3064=Recherche!$C$9),OR(Recherche!$C$10="",G3064&amp;""=Recherche!$C$10&amp;""),OR(Recherche!$C$11="",E3064=Recherche!$C$11),OR(Recherche!$C$12="",ISNUMBER(SEARCH(Recherche!$C$12,M3064&amp;" "&amp;F3064)))),1,0)</f>
        <v>8</v>
      </c>
    </row>
    <row r="3065" customFormat="false" ht="15" hidden="false" customHeight="false" outlineLevel="0" collapsed="false">
      <c r="A3065" s="19"/>
      <c r="B3065" s="19"/>
      <c r="C3065" s="19"/>
      <c r="D3065" s="19"/>
      <c r="E3065" s="22"/>
      <c r="F3065" s="19"/>
      <c r="G3065" s="26" t="str">
        <f aca="false">IF(D3065="","",IFERROR(VALUE(LEFT(D3065,FIND(" |",D3065&amp;" |")-1)),"?"))</f>
        <v/>
      </c>
      <c r="H3065" s="27" t="str">
        <f aca="false">IF(G3065="","",IF(G3065="?","⚠ pub inconnue",IFERROR(INDEX(Pubs!$B$2:$B$3001,MATCH(G3065,Pubs!$A$2:$A$3001,0))&amp;"","⚠ pub inconnue")))</f>
        <v/>
      </c>
      <c r="I3065" s="27" t="str">
        <f aca="false">IF(OR(G3065="",G3065="?"),"",IFERROR(INDEX(Pubs!$C$2:$C$3001,MATCH(G3065,Pubs!$A$2:$A$3001,0))&amp;"",""))</f>
        <v/>
      </c>
      <c r="J3065" s="27" t="str">
        <f aca="false">IF(OR(G3065="",G3065="?"),"",IFERROR(INDEX(Pubs!$G$2:$G$3001,MATCH(G3065,Pubs!$A$2:$A$3001,0))&amp;"",""))</f>
        <v/>
      </c>
      <c r="K3065" s="28" t="str">
        <f aca="false">IF(OR(G3065="",G3065="?"),"",IFERROR(INDEX(Pubs!$E$2:$E$3001,MATCH(G3065,Pubs!$A$2:$A$3001,0)),""))</f>
        <v/>
      </c>
      <c r="L3065" s="29" t="str">
        <f aca="false">IF(A3065="","",IFERROR(1/(1/INDEX(Numéros!$C$2:$C$3001,MATCH(A3065&amp;"|"&amp;B3065,Numéros!$F$2:$F$3001,0))),""))</f>
        <v/>
      </c>
      <c r="M3065" s="27" t="str">
        <f aca="false">IF(OR(G3065="",G3065="?"),"",IFERROR(INDEX(Pubs!$D$2:$D$3001,MATCH(G3065,Pubs!$A$2:$A$3001,0))&amp;"",""))</f>
        <v/>
      </c>
      <c r="N3065" s="27" t="n">
        <f aca="false">N(N3064)+IF(AND(A3065&lt;&gt;"",OR(Recherche!$C$4="",A3065=Recherche!$C$4),OR(Recherche!$C$5="",B3065&amp;""=Recherche!$C$5&amp;""),OR(Recherche!$C$6="",IFERROR(YEAR(L3065),0)=Recherche!$C$6),OR(Recherche!$C$7="",ISNUMBER(SEARCH(Recherche!$C$7,H3065))),OR(Recherche!$C$8="",J3065=Recherche!$C$8),OR(Recherche!$C$9="",I3065=Recherche!$C$9),OR(Recherche!$C$10="",G3065&amp;""=Recherche!$C$10&amp;""),OR(Recherche!$C$11="",E3065=Recherche!$C$11),OR(Recherche!$C$12="",ISNUMBER(SEARCH(Recherche!$C$12,M3065&amp;" "&amp;F3065)))),1,0)</f>
        <v>8</v>
      </c>
    </row>
    <row r="3066" customFormat="false" ht="15" hidden="false" customHeight="false" outlineLevel="0" collapsed="false">
      <c r="A3066" s="19"/>
      <c r="B3066" s="19"/>
      <c r="C3066" s="19"/>
      <c r="D3066" s="19"/>
      <c r="E3066" s="22"/>
      <c r="F3066" s="19"/>
      <c r="G3066" s="26" t="str">
        <f aca="false">IF(D3066="","",IFERROR(VALUE(LEFT(D3066,FIND(" |",D3066&amp;" |")-1)),"?"))</f>
        <v/>
      </c>
      <c r="H3066" s="27" t="str">
        <f aca="false">IF(G3066="","",IF(G3066="?","⚠ pub inconnue",IFERROR(INDEX(Pubs!$B$2:$B$3001,MATCH(G3066,Pubs!$A$2:$A$3001,0))&amp;"","⚠ pub inconnue")))</f>
        <v/>
      </c>
      <c r="I3066" s="27" t="str">
        <f aca="false">IF(OR(G3066="",G3066="?"),"",IFERROR(INDEX(Pubs!$C$2:$C$3001,MATCH(G3066,Pubs!$A$2:$A$3001,0))&amp;"",""))</f>
        <v/>
      </c>
      <c r="J3066" s="27" t="str">
        <f aca="false">IF(OR(G3066="",G3066="?"),"",IFERROR(INDEX(Pubs!$G$2:$G$3001,MATCH(G3066,Pubs!$A$2:$A$3001,0))&amp;"",""))</f>
        <v/>
      </c>
      <c r="K3066" s="28" t="str">
        <f aca="false">IF(OR(G3066="",G3066="?"),"",IFERROR(INDEX(Pubs!$E$2:$E$3001,MATCH(G3066,Pubs!$A$2:$A$3001,0)),""))</f>
        <v/>
      </c>
      <c r="L3066" s="29" t="str">
        <f aca="false">IF(A3066="","",IFERROR(1/(1/INDEX(Numéros!$C$2:$C$3001,MATCH(A3066&amp;"|"&amp;B3066,Numéros!$F$2:$F$3001,0))),""))</f>
        <v/>
      </c>
      <c r="M3066" s="27" t="str">
        <f aca="false">IF(OR(G3066="",G3066="?"),"",IFERROR(INDEX(Pubs!$D$2:$D$3001,MATCH(G3066,Pubs!$A$2:$A$3001,0))&amp;"",""))</f>
        <v/>
      </c>
      <c r="N3066" s="27" t="n">
        <f aca="false">N(N3065)+IF(AND(A3066&lt;&gt;"",OR(Recherche!$C$4="",A3066=Recherche!$C$4),OR(Recherche!$C$5="",B3066&amp;""=Recherche!$C$5&amp;""),OR(Recherche!$C$6="",IFERROR(YEAR(L3066),0)=Recherche!$C$6),OR(Recherche!$C$7="",ISNUMBER(SEARCH(Recherche!$C$7,H3066))),OR(Recherche!$C$8="",J3066=Recherche!$C$8),OR(Recherche!$C$9="",I3066=Recherche!$C$9),OR(Recherche!$C$10="",G3066&amp;""=Recherche!$C$10&amp;""),OR(Recherche!$C$11="",E3066=Recherche!$C$11),OR(Recherche!$C$12="",ISNUMBER(SEARCH(Recherche!$C$12,M3066&amp;" "&amp;F3066)))),1,0)</f>
        <v>8</v>
      </c>
    </row>
    <row r="3067" customFormat="false" ht="15" hidden="false" customHeight="false" outlineLevel="0" collapsed="false">
      <c r="A3067" s="19"/>
      <c r="B3067" s="19"/>
      <c r="C3067" s="19"/>
      <c r="D3067" s="19"/>
      <c r="E3067" s="22"/>
      <c r="F3067" s="19"/>
      <c r="G3067" s="26" t="str">
        <f aca="false">IF(D3067="","",IFERROR(VALUE(LEFT(D3067,FIND(" |",D3067&amp;" |")-1)),"?"))</f>
        <v/>
      </c>
      <c r="H3067" s="27" t="str">
        <f aca="false">IF(G3067="","",IF(G3067="?","⚠ pub inconnue",IFERROR(INDEX(Pubs!$B$2:$B$3001,MATCH(G3067,Pubs!$A$2:$A$3001,0))&amp;"","⚠ pub inconnue")))</f>
        <v/>
      </c>
      <c r="I3067" s="27" t="str">
        <f aca="false">IF(OR(G3067="",G3067="?"),"",IFERROR(INDEX(Pubs!$C$2:$C$3001,MATCH(G3067,Pubs!$A$2:$A$3001,0))&amp;"",""))</f>
        <v/>
      </c>
      <c r="J3067" s="27" t="str">
        <f aca="false">IF(OR(G3067="",G3067="?"),"",IFERROR(INDEX(Pubs!$G$2:$G$3001,MATCH(G3067,Pubs!$A$2:$A$3001,0))&amp;"",""))</f>
        <v/>
      </c>
      <c r="K3067" s="28" t="str">
        <f aca="false">IF(OR(G3067="",G3067="?"),"",IFERROR(INDEX(Pubs!$E$2:$E$3001,MATCH(G3067,Pubs!$A$2:$A$3001,0)),""))</f>
        <v/>
      </c>
      <c r="L3067" s="29" t="str">
        <f aca="false">IF(A3067="","",IFERROR(1/(1/INDEX(Numéros!$C$2:$C$3001,MATCH(A3067&amp;"|"&amp;B3067,Numéros!$F$2:$F$3001,0))),""))</f>
        <v/>
      </c>
      <c r="M3067" s="27" t="str">
        <f aca="false">IF(OR(G3067="",G3067="?"),"",IFERROR(INDEX(Pubs!$D$2:$D$3001,MATCH(G3067,Pubs!$A$2:$A$3001,0))&amp;"",""))</f>
        <v/>
      </c>
      <c r="N3067" s="27" t="n">
        <f aca="false">N(N3066)+IF(AND(A3067&lt;&gt;"",OR(Recherche!$C$4="",A3067=Recherche!$C$4),OR(Recherche!$C$5="",B3067&amp;""=Recherche!$C$5&amp;""),OR(Recherche!$C$6="",IFERROR(YEAR(L3067),0)=Recherche!$C$6),OR(Recherche!$C$7="",ISNUMBER(SEARCH(Recherche!$C$7,H3067))),OR(Recherche!$C$8="",J3067=Recherche!$C$8),OR(Recherche!$C$9="",I3067=Recherche!$C$9),OR(Recherche!$C$10="",G3067&amp;""=Recherche!$C$10&amp;""),OR(Recherche!$C$11="",E3067=Recherche!$C$11),OR(Recherche!$C$12="",ISNUMBER(SEARCH(Recherche!$C$12,M3067&amp;" "&amp;F3067)))),1,0)</f>
        <v>8</v>
      </c>
    </row>
    <row r="3068" customFormat="false" ht="15" hidden="false" customHeight="false" outlineLevel="0" collapsed="false">
      <c r="A3068" s="19"/>
      <c r="B3068" s="19"/>
      <c r="C3068" s="19"/>
      <c r="D3068" s="19"/>
      <c r="E3068" s="22"/>
      <c r="F3068" s="19"/>
      <c r="G3068" s="26" t="str">
        <f aca="false">IF(D3068="","",IFERROR(VALUE(LEFT(D3068,FIND(" |",D3068&amp;" |")-1)),"?"))</f>
        <v/>
      </c>
      <c r="H3068" s="27" t="str">
        <f aca="false">IF(G3068="","",IF(G3068="?","⚠ pub inconnue",IFERROR(INDEX(Pubs!$B$2:$B$3001,MATCH(G3068,Pubs!$A$2:$A$3001,0))&amp;"","⚠ pub inconnue")))</f>
        <v/>
      </c>
      <c r="I3068" s="27" t="str">
        <f aca="false">IF(OR(G3068="",G3068="?"),"",IFERROR(INDEX(Pubs!$C$2:$C$3001,MATCH(G3068,Pubs!$A$2:$A$3001,0))&amp;"",""))</f>
        <v/>
      </c>
      <c r="J3068" s="27" t="str">
        <f aca="false">IF(OR(G3068="",G3068="?"),"",IFERROR(INDEX(Pubs!$G$2:$G$3001,MATCH(G3068,Pubs!$A$2:$A$3001,0))&amp;"",""))</f>
        <v/>
      </c>
      <c r="K3068" s="28" t="str">
        <f aca="false">IF(OR(G3068="",G3068="?"),"",IFERROR(INDEX(Pubs!$E$2:$E$3001,MATCH(G3068,Pubs!$A$2:$A$3001,0)),""))</f>
        <v/>
      </c>
      <c r="L3068" s="29" t="str">
        <f aca="false">IF(A3068="","",IFERROR(1/(1/INDEX(Numéros!$C$2:$C$3001,MATCH(A3068&amp;"|"&amp;B3068,Numéros!$F$2:$F$3001,0))),""))</f>
        <v/>
      </c>
      <c r="M3068" s="27" t="str">
        <f aca="false">IF(OR(G3068="",G3068="?"),"",IFERROR(INDEX(Pubs!$D$2:$D$3001,MATCH(G3068,Pubs!$A$2:$A$3001,0))&amp;"",""))</f>
        <v/>
      </c>
      <c r="N3068" s="27" t="n">
        <f aca="false">N(N3067)+IF(AND(A3068&lt;&gt;"",OR(Recherche!$C$4="",A3068=Recherche!$C$4),OR(Recherche!$C$5="",B3068&amp;""=Recherche!$C$5&amp;""),OR(Recherche!$C$6="",IFERROR(YEAR(L3068),0)=Recherche!$C$6),OR(Recherche!$C$7="",ISNUMBER(SEARCH(Recherche!$C$7,H3068))),OR(Recherche!$C$8="",J3068=Recherche!$C$8),OR(Recherche!$C$9="",I3068=Recherche!$C$9),OR(Recherche!$C$10="",G3068&amp;""=Recherche!$C$10&amp;""),OR(Recherche!$C$11="",E3068=Recherche!$C$11),OR(Recherche!$C$12="",ISNUMBER(SEARCH(Recherche!$C$12,M3068&amp;" "&amp;F3068)))),1,0)</f>
        <v>8</v>
      </c>
    </row>
    <row r="3069" customFormat="false" ht="15" hidden="false" customHeight="false" outlineLevel="0" collapsed="false">
      <c r="A3069" s="19"/>
      <c r="B3069" s="19"/>
      <c r="C3069" s="19"/>
      <c r="D3069" s="19"/>
      <c r="E3069" s="22"/>
      <c r="F3069" s="19"/>
      <c r="G3069" s="26" t="str">
        <f aca="false">IF(D3069="","",IFERROR(VALUE(LEFT(D3069,FIND(" |",D3069&amp;" |")-1)),"?"))</f>
        <v/>
      </c>
      <c r="H3069" s="27" t="str">
        <f aca="false">IF(G3069="","",IF(G3069="?","⚠ pub inconnue",IFERROR(INDEX(Pubs!$B$2:$B$3001,MATCH(G3069,Pubs!$A$2:$A$3001,0))&amp;"","⚠ pub inconnue")))</f>
        <v/>
      </c>
      <c r="I3069" s="27" t="str">
        <f aca="false">IF(OR(G3069="",G3069="?"),"",IFERROR(INDEX(Pubs!$C$2:$C$3001,MATCH(G3069,Pubs!$A$2:$A$3001,0))&amp;"",""))</f>
        <v/>
      </c>
      <c r="J3069" s="27" t="str">
        <f aca="false">IF(OR(G3069="",G3069="?"),"",IFERROR(INDEX(Pubs!$G$2:$G$3001,MATCH(G3069,Pubs!$A$2:$A$3001,0))&amp;"",""))</f>
        <v/>
      </c>
      <c r="K3069" s="28" t="str">
        <f aca="false">IF(OR(G3069="",G3069="?"),"",IFERROR(INDEX(Pubs!$E$2:$E$3001,MATCH(G3069,Pubs!$A$2:$A$3001,0)),""))</f>
        <v/>
      </c>
      <c r="L3069" s="29" t="str">
        <f aca="false">IF(A3069="","",IFERROR(1/(1/INDEX(Numéros!$C$2:$C$3001,MATCH(A3069&amp;"|"&amp;B3069,Numéros!$F$2:$F$3001,0))),""))</f>
        <v/>
      </c>
      <c r="M3069" s="27" t="str">
        <f aca="false">IF(OR(G3069="",G3069="?"),"",IFERROR(INDEX(Pubs!$D$2:$D$3001,MATCH(G3069,Pubs!$A$2:$A$3001,0))&amp;"",""))</f>
        <v/>
      </c>
      <c r="N3069" s="27" t="n">
        <f aca="false">N(N3068)+IF(AND(A3069&lt;&gt;"",OR(Recherche!$C$4="",A3069=Recherche!$C$4),OR(Recherche!$C$5="",B3069&amp;""=Recherche!$C$5&amp;""),OR(Recherche!$C$6="",IFERROR(YEAR(L3069),0)=Recherche!$C$6),OR(Recherche!$C$7="",ISNUMBER(SEARCH(Recherche!$C$7,H3069))),OR(Recherche!$C$8="",J3069=Recherche!$C$8),OR(Recherche!$C$9="",I3069=Recherche!$C$9),OR(Recherche!$C$10="",G3069&amp;""=Recherche!$C$10&amp;""),OR(Recherche!$C$11="",E3069=Recherche!$C$11),OR(Recherche!$C$12="",ISNUMBER(SEARCH(Recherche!$C$12,M3069&amp;" "&amp;F3069)))),1,0)</f>
        <v>8</v>
      </c>
    </row>
    <row r="3070" customFormat="false" ht="15" hidden="false" customHeight="false" outlineLevel="0" collapsed="false">
      <c r="A3070" s="19"/>
      <c r="B3070" s="19"/>
      <c r="C3070" s="19"/>
      <c r="D3070" s="19"/>
      <c r="E3070" s="22"/>
      <c r="F3070" s="19"/>
      <c r="G3070" s="26" t="str">
        <f aca="false">IF(D3070="","",IFERROR(VALUE(LEFT(D3070,FIND(" |",D3070&amp;" |")-1)),"?"))</f>
        <v/>
      </c>
      <c r="H3070" s="27" t="str">
        <f aca="false">IF(G3070="","",IF(G3070="?","⚠ pub inconnue",IFERROR(INDEX(Pubs!$B$2:$B$3001,MATCH(G3070,Pubs!$A$2:$A$3001,0))&amp;"","⚠ pub inconnue")))</f>
        <v/>
      </c>
      <c r="I3070" s="27" t="str">
        <f aca="false">IF(OR(G3070="",G3070="?"),"",IFERROR(INDEX(Pubs!$C$2:$C$3001,MATCH(G3070,Pubs!$A$2:$A$3001,0))&amp;"",""))</f>
        <v/>
      </c>
      <c r="J3070" s="27" t="str">
        <f aca="false">IF(OR(G3070="",G3070="?"),"",IFERROR(INDEX(Pubs!$G$2:$G$3001,MATCH(G3070,Pubs!$A$2:$A$3001,0))&amp;"",""))</f>
        <v/>
      </c>
      <c r="K3070" s="28" t="str">
        <f aca="false">IF(OR(G3070="",G3070="?"),"",IFERROR(INDEX(Pubs!$E$2:$E$3001,MATCH(G3070,Pubs!$A$2:$A$3001,0)),""))</f>
        <v/>
      </c>
      <c r="L3070" s="29" t="str">
        <f aca="false">IF(A3070="","",IFERROR(1/(1/INDEX(Numéros!$C$2:$C$3001,MATCH(A3070&amp;"|"&amp;B3070,Numéros!$F$2:$F$3001,0))),""))</f>
        <v/>
      </c>
      <c r="M3070" s="27" t="str">
        <f aca="false">IF(OR(G3070="",G3070="?"),"",IFERROR(INDEX(Pubs!$D$2:$D$3001,MATCH(G3070,Pubs!$A$2:$A$3001,0))&amp;"",""))</f>
        <v/>
      </c>
      <c r="N3070" s="27" t="n">
        <f aca="false">N(N3069)+IF(AND(A3070&lt;&gt;"",OR(Recherche!$C$4="",A3070=Recherche!$C$4),OR(Recherche!$C$5="",B3070&amp;""=Recherche!$C$5&amp;""),OR(Recherche!$C$6="",IFERROR(YEAR(L3070),0)=Recherche!$C$6),OR(Recherche!$C$7="",ISNUMBER(SEARCH(Recherche!$C$7,H3070))),OR(Recherche!$C$8="",J3070=Recherche!$C$8),OR(Recherche!$C$9="",I3070=Recherche!$C$9),OR(Recherche!$C$10="",G3070&amp;""=Recherche!$C$10&amp;""),OR(Recherche!$C$11="",E3070=Recherche!$C$11),OR(Recherche!$C$12="",ISNUMBER(SEARCH(Recherche!$C$12,M3070&amp;" "&amp;F3070)))),1,0)</f>
        <v>8</v>
      </c>
    </row>
    <row r="3071" customFormat="false" ht="15" hidden="false" customHeight="false" outlineLevel="0" collapsed="false">
      <c r="A3071" s="19"/>
      <c r="B3071" s="19"/>
      <c r="C3071" s="19"/>
      <c r="D3071" s="19"/>
      <c r="E3071" s="22"/>
      <c r="F3071" s="19"/>
      <c r="G3071" s="26" t="str">
        <f aca="false">IF(D3071="","",IFERROR(VALUE(LEFT(D3071,FIND(" |",D3071&amp;" |")-1)),"?"))</f>
        <v/>
      </c>
      <c r="H3071" s="27" t="str">
        <f aca="false">IF(G3071="","",IF(G3071="?","⚠ pub inconnue",IFERROR(INDEX(Pubs!$B$2:$B$3001,MATCH(G3071,Pubs!$A$2:$A$3001,0))&amp;"","⚠ pub inconnue")))</f>
        <v/>
      </c>
      <c r="I3071" s="27" t="str">
        <f aca="false">IF(OR(G3071="",G3071="?"),"",IFERROR(INDEX(Pubs!$C$2:$C$3001,MATCH(G3071,Pubs!$A$2:$A$3001,0))&amp;"",""))</f>
        <v/>
      </c>
      <c r="J3071" s="27" t="str">
        <f aca="false">IF(OR(G3071="",G3071="?"),"",IFERROR(INDEX(Pubs!$G$2:$G$3001,MATCH(G3071,Pubs!$A$2:$A$3001,0))&amp;"",""))</f>
        <v/>
      </c>
      <c r="K3071" s="28" t="str">
        <f aca="false">IF(OR(G3071="",G3071="?"),"",IFERROR(INDEX(Pubs!$E$2:$E$3001,MATCH(G3071,Pubs!$A$2:$A$3001,0)),""))</f>
        <v/>
      </c>
      <c r="L3071" s="29" t="str">
        <f aca="false">IF(A3071="","",IFERROR(1/(1/INDEX(Numéros!$C$2:$C$3001,MATCH(A3071&amp;"|"&amp;B3071,Numéros!$F$2:$F$3001,0))),""))</f>
        <v/>
      </c>
      <c r="M3071" s="27" t="str">
        <f aca="false">IF(OR(G3071="",G3071="?"),"",IFERROR(INDEX(Pubs!$D$2:$D$3001,MATCH(G3071,Pubs!$A$2:$A$3001,0))&amp;"",""))</f>
        <v/>
      </c>
      <c r="N3071" s="27" t="n">
        <f aca="false">N(N3070)+IF(AND(A3071&lt;&gt;"",OR(Recherche!$C$4="",A3071=Recherche!$C$4),OR(Recherche!$C$5="",B3071&amp;""=Recherche!$C$5&amp;""),OR(Recherche!$C$6="",IFERROR(YEAR(L3071),0)=Recherche!$C$6),OR(Recherche!$C$7="",ISNUMBER(SEARCH(Recherche!$C$7,H3071))),OR(Recherche!$C$8="",J3071=Recherche!$C$8),OR(Recherche!$C$9="",I3071=Recherche!$C$9),OR(Recherche!$C$10="",G3071&amp;""=Recherche!$C$10&amp;""),OR(Recherche!$C$11="",E3071=Recherche!$C$11),OR(Recherche!$C$12="",ISNUMBER(SEARCH(Recherche!$C$12,M3071&amp;" "&amp;F3071)))),1,0)</f>
        <v>8</v>
      </c>
    </row>
    <row r="3072" customFormat="false" ht="15" hidden="false" customHeight="false" outlineLevel="0" collapsed="false">
      <c r="A3072" s="19"/>
      <c r="B3072" s="19"/>
      <c r="C3072" s="19"/>
      <c r="D3072" s="19"/>
      <c r="E3072" s="22"/>
      <c r="F3072" s="19"/>
      <c r="G3072" s="26" t="str">
        <f aca="false">IF(D3072="","",IFERROR(VALUE(LEFT(D3072,FIND(" |",D3072&amp;" |")-1)),"?"))</f>
        <v/>
      </c>
      <c r="H3072" s="27" t="str">
        <f aca="false">IF(G3072="","",IF(G3072="?","⚠ pub inconnue",IFERROR(INDEX(Pubs!$B$2:$B$3001,MATCH(G3072,Pubs!$A$2:$A$3001,0))&amp;"","⚠ pub inconnue")))</f>
        <v/>
      </c>
      <c r="I3072" s="27" t="str">
        <f aca="false">IF(OR(G3072="",G3072="?"),"",IFERROR(INDEX(Pubs!$C$2:$C$3001,MATCH(G3072,Pubs!$A$2:$A$3001,0))&amp;"",""))</f>
        <v/>
      </c>
      <c r="J3072" s="27" t="str">
        <f aca="false">IF(OR(G3072="",G3072="?"),"",IFERROR(INDEX(Pubs!$G$2:$G$3001,MATCH(G3072,Pubs!$A$2:$A$3001,0))&amp;"",""))</f>
        <v/>
      </c>
      <c r="K3072" s="28" t="str">
        <f aca="false">IF(OR(G3072="",G3072="?"),"",IFERROR(INDEX(Pubs!$E$2:$E$3001,MATCH(G3072,Pubs!$A$2:$A$3001,0)),""))</f>
        <v/>
      </c>
      <c r="L3072" s="29" t="str">
        <f aca="false">IF(A3072="","",IFERROR(1/(1/INDEX(Numéros!$C$2:$C$3001,MATCH(A3072&amp;"|"&amp;B3072,Numéros!$F$2:$F$3001,0))),""))</f>
        <v/>
      </c>
      <c r="M3072" s="27" t="str">
        <f aca="false">IF(OR(G3072="",G3072="?"),"",IFERROR(INDEX(Pubs!$D$2:$D$3001,MATCH(G3072,Pubs!$A$2:$A$3001,0))&amp;"",""))</f>
        <v/>
      </c>
      <c r="N3072" s="27" t="n">
        <f aca="false">N(N3071)+IF(AND(A3072&lt;&gt;"",OR(Recherche!$C$4="",A3072=Recherche!$C$4),OR(Recherche!$C$5="",B3072&amp;""=Recherche!$C$5&amp;""),OR(Recherche!$C$6="",IFERROR(YEAR(L3072),0)=Recherche!$C$6),OR(Recherche!$C$7="",ISNUMBER(SEARCH(Recherche!$C$7,H3072))),OR(Recherche!$C$8="",J3072=Recherche!$C$8),OR(Recherche!$C$9="",I3072=Recherche!$C$9),OR(Recherche!$C$10="",G3072&amp;""=Recherche!$C$10&amp;""),OR(Recherche!$C$11="",E3072=Recherche!$C$11),OR(Recherche!$C$12="",ISNUMBER(SEARCH(Recherche!$C$12,M3072&amp;" "&amp;F3072)))),1,0)</f>
        <v>8</v>
      </c>
    </row>
    <row r="3073" customFormat="false" ht="15" hidden="false" customHeight="false" outlineLevel="0" collapsed="false">
      <c r="A3073" s="19"/>
      <c r="B3073" s="19"/>
      <c r="C3073" s="19"/>
      <c r="D3073" s="19"/>
      <c r="E3073" s="22"/>
      <c r="F3073" s="19"/>
      <c r="G3073" s="26" t="str">
        <f aca="false">IF(D3073="","",IFERROR(VALUE(LEFT(D3073,FIND(" |",D3073&amp;" |")-1)),"?"))</f>
        <v/>
      </c>
      <c r="H3073" s="27" t="str">
        <f aca="false">IF(G3073="","",IF(G3073="?","⚠ pub inconnue",IFERROR(INDEX(Pubs!$B$2:$B$3001,MATCH(G3073,Pubs!$A$2:$A$3001,0))&amp;"","⚠ pub inconnue")))</f>
        <v/>
      </c>
      <c r="I3073" s="27" t="str">
        <f aca="false">IF(OR(G3073="",G3073="?"),"",IFERROR(INDEX(Pubs!$C$2:$C$3001,MATCH(G3073,Pubs!$A$2:$A$3001,0))&amp;"",""))</f>
        <v/>
      </c>
      <c r="J3073" s="27" t="str">
        <f aca="false">IF(OR(G3073="",G3073="?"),"",IFERROR(INDEX(Pubs!$G$2:$G$3001,MATCH(G3073,Pubs!$A$2:$A$3001,0))&amp;"",""))</f>
        <v/>
      </c>
      <c r="K3073" s="28" t="str">
        <f aca="false">IF(OR(G3073="",G3073="?"),"",IFERROR(INDEX(Pubs!$E$2:$E$3001,MATCH(G3073,Pubs!$A$2:$A$3001,0)),""))</f>
        <v/>
      </c>
      <c r="L3073" s="29" t="str">
        <f aca="false">IF(A3073="","",IFERROR(1/(1/INDEX(Numéros!$C$2:$C$3001,MATCH(A3073&amp;"|"&amp;B3073,Numéros!$F$2:$F$3001,0))),""))</f>
        <v/>
      </c>
      <c r="M3073" s="27" t="str">
        <f aca="false">IF(OR(G3073="",G3073="?"),"",IFERROR(INDEX(Pubs!$D$2:$D$3001,MATCH(G3073,Pubs!$A$2:$A$3001,0))&amp;"",""))</f>
        <v/>
      </c>
      <c r="N3073" s="27" t="n">
        <f aca="false">N(N3072)+IF(AND(A3073&lt;&gt;"",OR(Recherche!$C$4="",A3073=Recherche!$C$4),OR(Recherche!$C$5="",B3073&amp;""=Recherche!$C$5&amp;""),OR(Recherche!$C$6="",IFERROR(YEAR(L3073),0)=Recherche!$C$6),OR(Recherche!$C$7="",ISNUMBER(SEARCH(Recherche!$C$7,H3073))),OR(Recherche!$C$8="",J3073=Recherche!$C$8),OR(Recherche!$C$9="",I3073=Recherche!$C$9),OR(Recherche!$C$10="",G3073&amp;""=Recherche!$C$10&amp;""),OR(Recherche!$C$11="",E3073=Recherche!$C$11),OR(Recherche!$C$12="",ISNUMBER(SEARCH(Recherche!$C$12,M3073&amp;" "&amp;F3073)))),1,0)</f>
        <v>8</v>
      </c>
    </row>
    <row r="3074" customFormat="false" ht="15" hidden="false" customHeight="false" outlineLevel="0" collapsed="false">
      <c r="A3074" s="19"/>
      <c r="B3074" s="19"/>
      <c r="C3074" s="19"/>
      <c r="D3074" s="19"/>
      <c r="E3074" s="22"/>
      <c r="F3074" s="19"/>
      <c r="G3074" s="26" t="str">
        <f aca="false">IF(D3074="","",IFERROR(VALUE(LEFT(D3074,FIND(" |",D3074&amp;" |")-1)),"?"))</f>
        <v/>
      </c>
      <c r="H3074" s="27" t="str">
        <f aca="false">IF(G3074="","",IF(G3074="?","⚠ pub inconnue",IFERROR(INDEX(Pubs!$B$2:$B$3001,MATCH(G3074,Pubs!$A$2:$A$3001,0))&amp;"","⚠ pub inconnue")))</f>
        <v/>
      </c>
      <c r="I3074" s="27" t="str">
        <f aca="false">IF(OR(G3074="",G3074="?"),"",IFERROR(INDEX(Pubs!$C$2:$C$3001,MATCH(G3074,Pubs!$A$2:$A$3001,0))&amp;"",""))</f>
        <v/>
      </c>
      <c r="J3074" s="27" t="str">
        <f aca="false">IF(OR(G3074="",G3074="?"),"",IFERROR(INDEX(Pubs!$G$2:$G$3001,MATCH(G3074,Pubs!$A$2:$A$3001,0))&amp;"",""))</f>
        <v/>
      </c>
      <c r="K3074" s="28" t="str">
        <f aca="false">IF(OR(G3074="",G3074="?"),"",IFERROR(INDEX(Pubs!$E$2:$E$3001,MATCH(G3074,Pubs!$A$2:$A$3001,0)),""))</f>
        <v/>
      </c>
      <c r="L3074" s="29" t="str">
        <f aca="false">IF(A3074="","",IFERROR(1/(1/INDEX(Numéros!$C$2:$C$3001,MATCH(A3074&amp;"|"&amp;B3074,Numéros!$F$2:$F$3001,0))),""))</f>
        <v/>
      </c>
      <c r="M3074" s="27" t="str">
        <f aca="false">IF(OR(G3074="",G3074="?"),"",IFERROR(INDEX(Pubs!$D$2:$D$3001,MATCH(G3074,Pubs!$A$2:$A$3001,0))&amp;"",""))</f>
        <v/>
      </c>
      <c r="N3074" s="27" t="n">
        <f aca="false">N(N3073)+IF(AND(A3074&lt;&gt;"",OR(Recherche!$C$4="",A3074=Recherche!$C$4),OR(Recherche!$C$5="",B3074&amp;""=Recherche!$C$5&amp;""),OR(Recherche!$C$6="",IFERROR(YEAR(L3074),0)=Recherche!$C$6),OR(Recherche!$C$7="",ISNUMBER(SEARCH(Recherche!$C$7,H3074))),OR(Recherche!$C$8="",J3074=Recherche!$C$8),OR(Recherche!$C$9="",I3074=Recherche!$C$9),OR(Recherche!$C$10="",G3074&amp;""=Recherche!$C$10&amp;""),OR(Recherche!$C$11="",E3074=Recherche!$C$11),OR(Recherche!$C$12="",ISNUMBER(SEARCH(Recherche!$C$12,M3074&amp;" "&amp;F3074)))),1,0)</f>
        <v>8</v>
      </c>
    </row>
    <row r="3075" customFormat="false" ht="15" hidden="false" customHeight="false" outlineLevel="0" collapsed="false">
      <c r="A3075" s="19"/>
      <c r="B3075" s="19"/>
      <c r="C3075" s="19"/>
      <c r="D3075" s="19"/>
      <c r="E3075" s="22"/>
      <c r="F3075" s="19"/>
      <c r="G3075" s="26" t="str">
        <f aca="false">IF(D3075="","",IFERROR(VALUE(LEFT(D3075,FIND(" |",D3075&amp;" |")-1)),"?"))</f>
        <v/>
      </c>
      <c r="H3075" s="27" t="str">
        <f aca="false">IF(G3075="","",IF(G3075="?","⚠ pub inconnue",IFERROR(INDEX(Pubs!$B$2:$B$3001,MATCH(G3075,Pubs!$A$2:$A$3001,0))&amp;"","⚠ pub inconnue")))</f>
        <v/>
      </c>
      <c r="I3075" s="27" t="str">
        <f aca="false">IF(OR(G3075="",G3075="?"),"",IFERROR(INDEX(Pubs!$C$2:$C$3001,MATCH(G3075,Pubs!$A$2:$A$3001,0))&amp;"",""))</f>
        <v/>
      </c>
      <c r="J3075" s="27" t="str">
        <f aca="false">IF(OR(G3075="",G3075="?"),"",IFERROR(INDEX(Pubs!$G$2:$G$3001,MATCH(G3075,Pubs!$A$2:$A$3001,0))&amp;"",""))</f>
        <v/>
      </c>
      <c r="K3075" s="28" t="str">
        <f aca="false">IF(OR(G3075="",G3075="?"),"",IFERROR(INDEX(Pubs!$E$2:$E$3001,MATCH(G3075,Pubs!$A$2:$A$3001,0)),""))</f>
        <v/>
      </c>
      <c r="L3075" s="29" t="str">
        <f aca="false">IF(A3075="","",IFERROR(1/(1/INDEX(Numéros!$C$2:$C$3001,MATCH(A3075&amp;"|"&amp;B3075,Numéros!$F$2:$F$3001,0))),""))</f>
        <v/>
      </c>
      <c r="M3075" s="27" t="str">
        <f aca="false">IF(OR(G3075="",G3075="?"),"",IFERROR(INDEX(Pubs!$D$2:$D$3001,MATCH(G3075,Pubs!$A$2:$A$3001,0))&amp;"",""))</f>
        <v/>
      </c>
      <c r="N3075" s="27" t="n">
        <f aca="false">N(N3074)+IF(AND(A3075&lt;&gt;"",OR(Recherche!$C$4="",A3075=Recherche!$C$4),OR(Recherche!$C$5="",B3075&amp;""=Recherche!$C$5&amp;""),OR(Recherche!$C$6="",IFERROR(YEAR(L3075),0)=Recherche!$C$6),OR(Recherche!$C$7="",ISNUMBER(SEARCH(Recherche!$C$7,H3075))),OR(Recherche!$C$8="",J3075=Recherche!$C$8),OR(Recherche!$C$9="",I3075=Recherche!$C$9),OR(Recherche!$C$10="",G3075&amp;""=Recherche!$C$10&amp;""),OR(Recherche!$C$11="",E3075=Recherche!$C$11),OR(Recherche!$C$12="",ISNUMBER(SEARCH(Recherche!$C$12,M3075&amp;" "&amp;F3075)))),1,0)</f>
        <v>8</v>
      </c>
    </row>
    <row r="3076" customFormat="false" ht="15" hidden="false" customHeight="false" outlineLevel="0" collapsed="false">
      <c r="A3076" s="19"/>
      <c r="B3076" s="19"/>
      <c r="C3076" s="19"/>
      <c r="D3076" s="19"/>
      <c r="E3076" s="22"/>
      <c r="F3076" s="19"/>
      <c r="G3076" s="26" t="str">
        <f aca="false">IF(D3076="","",IFERROR(VALUE(LEFT(D3076,FIND(" |",D3076&amp;" |")-1)),"?"))</f>
        <v/>
      </c>
      <c r="H3076" s="27" t="str">
        <f aca="false">IF(G3076="","",IF(G3076="?","⚠ pub inconnue",IFERROR(INDEX(Pubs!$B$2:$B$3001,MATCH(G3076,Pubs!$A$2:$A$3001,0))&amp;"","⚠ pub inconnue")))</f>
        <v/>
      </c>
      <c r="I3076" s="27" t="str">
        <f aca="false">IF(OR(G3076="",G3076="?"),"",IFERROR(INDEX(Pubs!$C$2:$C$3001,MATCH(G3076,Pubs!$A$2:$A$3001,0))&amp;"",""))</f>
        <v/>
      </c>
      <c r="J3076" s="27" t="str">
        <f aca="false">IF(OR(G3076="",G3076="?"),"",IFERROR(INDEX(Pubs!$G$2:$G$3001,MATCH(G3076,Pubs!$A$2:$A$3001,0))&amp;"",""))</f>
        <v/>
      </c>
      <c r="K3076" s="28" t="str">
        <f aca="false">IF(OR(G3076="",G3076="?"),"",IFERROR(INDEX(Pubs!$E$2:$E$3001,MATCH(G3076,Pubs!$A$2:$A$3001,0)),""))</f>
        <v/>
      </c>
      <c r="L3076" s="29" t="str">
        <f aca="false">IF(A3076="","",IFERROR(1/(1/INDEX(Numéros!$C$2:$C$3001,MATCH(A3076&amp;"|"&amp;B3076,Numéros!$F$2:$F$3001,0))),""))</f>
        <v/>
      </c>
      <c r="M3076" s="27" t="str">
        <f aca="false">IF(OR(G3076="",G3076="?"),"",IFERROR(INDEX(Pubs!$D$2:$D$3001,MATCH(G3076,Pubs!$A$2:$A$3001,0))&amp;"",""))</f>
        <v/>
      </c>
      <c r="N3076" s="27" t="n">
        <f aca="false">N(N3075)+IF(AND(A3076&lt;&gt;"",OR(Recherche!$C$4="",A3076=Recherche!$C$4),OR(Recherche!$C$5="",B3076&amp;""=Recherche!$C$5&amp;""),OR(Recherche!$C$6="",IFERROR(YEAR(L3076),0)=Recherche!$C$6),OR(Recherche!$C$7="",ISNUMBER(SEARCH(Recherche!$C$7,H3076))),OR(Recherche!$C$8="",J3076=Recherche!$C$8),OR(Recherche!$C$9="",I3076=Recherche!$C$9),OR(Recherche!$C$10="",G3076&amp;""=Recherche!$C$10&amp;""),OR(Recherche!$C$11="",E3076=Recherche!$C$11),OR(Recherche!$C$12="",ISNUMBER(SEARCH(Recherche!$C$12,M3076&amp;" "&amp;F3076)))),1,0)</f>
        <v>8</v>
      </c>
    </row>
    <row r="3077" customFormat="false" ht="15" hidden="false" customHeight="false" outlineLevel="0" collapsed="false">
      <c r="A3077" s="19"/>
      <c r="B3077" s="19"/>
      <c r="C3077" s="19"/>
      <c r="D3077" s="19"/>
      <c r="E3077" s="22"/>
      <c r="F3077" s="19"/>
      <c r="G3077" s="26" t="str">
        <f aca="false">IF(D3077="","",IFERROR(VALUE(LEFT(D3077,FIND(" |",D3077&amp;" |")-1)),"?"))</f>
        <v/>
      </c>
      <c r="H3077" s="27" t="str">
        <f aca="false">IF(G3077="","",IF(G3077="?","⚠ pub inconnue",IFERROR(INDEX(Pubs!$B$2:$B$3001,MATCH(G3077,Pubs!$A$2:$A$3001,0))&amp;"","⚠ pub inconnue")))</f>
        <v/>
      </c>
      <c r="I3077" s="27" t="str">
        <f aca="false">IF(OR(G3077="",G3077="?"),"",IFERROR(INDEX(Pubs!$C$2:$C$3001,MATCH(G3077,Pubs!$A$2:$A$3001,0))&amp;"",""))</f>
        <v/>
      </c>
      <c r="J3077" s="27" t="str">
        <f aca="false">IF(OR(G3077="",G3077="?"),"",IFERROR(INDEX(Pubs!$G$2:$G$3001,MATCH(G3077,Pubs!$A$2:$A$3001,0))&amp;"",""))</f>
        <v/>
      </c>
      <c r="K3077" s="28" t="str">
        <f aca="false">IF(OR(G3077="",G3077="?"),"",IFERROR(INDEX(Pubs!$E$2:$E$3001,MATCH(G3077,Pubs!$A$2:$A$3001,0)),""))</f>
        <v/>
      </c>
      <c r="L3077" s="29" t="str">
        <f aca="false">IF(A3077="","",IFERROR(1/(1/INDEX(Numéros!$C$2:$C$3001,MATCH(A3077&amp;"|"&amp;B3077,Numéros!$F$2:$F$3001,0))),""))</f>
        <v/>
      </c>
      <c r="M3077" s="27" t="str">
        <f aca="false">IF(OR(G3077="",G3077="?"),"",IFERROR(INDEX(Pubs!$D$2:$D$3001,MATCH(G3077,Pubs!$A$2:$A$3001,0))&amp;"",""))</f>
        <v/>
      </c>
      <c r="N3077" s="27" t="n">
        <f aca="false">N(N3076)+IF(AND(A3077&lt;&gt;"",OR(Recherche!$C$4="",A3077=Recherche!$C$4),OR(Recherche!$C$5="",B3077&amp;""=Recherche!$C$5&amp;""),OR(Recherche!$C$6="",IFERROR(YEAR(L3077),0)=Recherche!$C$6),OR(Recherche!$C$7="",ISNUMBER(SEARCH(Recherche!$C$7,H3077))),OR(Recherche!$C$8="",J3077=Recherche!$C$8),OR(Recherche!$C$9="",I3077=Recherche!$C$9),OR(Recherche!$C$10="",G3077&amp;""=Recherche!$C$10&amp;""),OR(Recherche!$C$11="",E3077=Recherche!$C$11),OR(Recherche!$C$12="",ISNUMBER(SEARCH(Recherche!$C$12,M3077&amp;" "&amp;F3077)))),1,0)</f>
        <v>8</v>
      </c>
    </row>
    <row r="3078" customFormat="false" ht="15" hidden="false" customHeight="false" outlineLevel="0" collapsed="false">
      <c r="A3078" s="19"/>
      <c r="B3078" s="19"/>
      <c r="C3078" s="19"/>
      <c r="D3078" s="19"/>
      <c r="E3078" s="22"/>
      <c r="F3078" s="19"/>
      <c r="G3078" s="26" t="str">
        <f aca="false">IF(D3078="","",IFERROR(VALUE(LEFT(D3078,FIND(" |",D3078&amp;" |")-1)),"?"))</f>
        <v/>
      </c>
      <c r="H3078" s="27" t="str">
        <f aca="false">IF(G3078="","",IF(G3078="?","⚠ pub inconnue",IFERROR(INDEX(Pubs!$B$2:$B$3001,MATCH(G3078,Pubs!$A$2:$A$3001,0))&amp;"","⚠ pub inconnue")))</f>
        <v/>
      </c>
      <c r="I3078" s="27" t="str">
        <f aca="false">IF(OR(G3078="",G3078="?"),"",IFERROR(INDEX(Pubs!$C$2:$C$3001,MATCH(G3078,Pubs!$A$2:$A$3001,0))&amp;"",""))</f>
        <v/>
      </c>
      <c r="J3078" s="27" t="str">
        <f aca="false">IF(OR(G3078="",G3078="?"),"",IFERROR(INDEX(Pubs!$G$2:$G$3001,MATCH(G3078,Pubs!$A$2:$A$3001,0))&amp;"",""))</f>
        <v/>
      </c>
      <c r="K3078" s="28" t="str">
        <f aca="false">IF(OR(G3078="",G3078="?"),"",IFERROR(INDEX(Pubs!$E$2:$E$3001,MATCH(G3078,Pubs!$A$2:$A$3001,0)),""))</f>
        <v/>
      </c>
      <c r="L3078" s="29" t="str">
        <f aca="false">IF(A3078="","",IFERROR(1/(1/INDEX(Numéros!$C$2:$C$3001,MATCH(A3078&amp;"|"&amp;B3078,Numéros!$F$2:$F$3001,0))),""))</f>
        <v/>
      </c>
      <c r="M3078" s="27" t="str">
        <f aca="false">IF(OR(G3078="",G3078="?"),"",IFERROR(INDEX(Pubs!$D$2:$D$3001,MATCH(G3078,Pubs!$A$2:$A$3001,0))&amp;"",""))</f>
        <v/>
      </c>
      <c r="N3078" s="27" t="n">
        <f aca="false">N(N3077)+IF(AND(A3078&lt;&gt;"",OR(Recherche!$C$4="",A3078=Recherche!$C$4),OR(Recherche!$C$5="",B3078&amp;""=Recherche!$C$5&amp;""),OR(Recherche!$C$6="",IFERROR(YEAR(L3078),0)=Recherche!$C$6),OR(Recherche!$C$7="",ISNUMBER(SEARCH(Recherche!$C$7,H3078))),OR(Recherche!$C$8="",J3078=Recherche!$C$8),OR(Recherche!$C$9="",I3078=Recherche!$C$9),OR(Recherche!$C$10="",G3078&amp;""=Recherche!$C$10&amp;""),OR(Recherche!$C$11="",E3078=Recherche!$C$11),OR(Recherche!$C$12="",ISNUMBER(SEARCH(Recherche!$C$12,M3078&amp;" "&amp;F3078)))),1,0)</f>
        <v>8</v>
      </c>
    </row>
    <row r="3079" customFormat="false" ht="15" hidden="false" customHeight="false" outlineLevel="0" collapsed="false">
      <c r="A3079" s="19"/>
      <c r="B3079" s="19"/>
      <c r="C3079" s="19"/>
      <c r="D3079" s="19"/>
      <c r="E3079" s="22"/>
      <c r="F3079" s="19"/>
      <c r="G3079" s="26" t="str">
        <f aca="false">IF(D3079="","",IFERROR(VALUE(LEFT(D3079,FIND(" |",D3079&amp;" |")-1)),"?"))</f>
        <v/>
      </c>
      <c r="H3079" s="27" t="str">
        <f aca="false">IF(G3079="","",IF(G3079="?","⚠ pub inconnue",IFERROR(INDEX(Pubs!$B$2:$B$3001,MATCH(G3079,Pubs!$A$2:$A$3001,0))&amp;"","⚠ pub inconnue")))</f>
        <v/>
      </c>
      <c r="I3079" s="27" t="str">
        <f aca="false">IF(OR(G3079="",G3079="?"),"",IFERROR(INDEX(Pubs!$C$2:$C$3001,MATCH(G3079,Pubs!$A$2:$A$3001,0))&amp;"",""))</f>
        <v/>
      </c>
      <c r="J3079" s="27" t="str">
        <f aca="false">IF(OR(G3079="",G3079="?"),"",IFERROR(INDEX(Pubs!$G$2:$G$3001,MATCH(G3079,Pubs!$A$2:$A$3001,0))&amp;"",""))</f>
        <v/>
      </c>
      <c r="K3079" s="28" t="str">
        <f aca="false">IF(OR(G3079="",G3079="?"),"",IFERROR(INDEX(Pubs!$E$2:$E$3001,MATCH(G3079,Pubs!$A$2:$A$3001,0)),""))</f>
        <v/>
      </c>
      <c r="L3079" s="29" t="str">
        <f aca="false">IF(A3079="","",IFERROR(1/(1/INDEX(Numéros!$C$2:$C$3001,MATCH(A3079&amp;"|"&amp;B3079,Numéros!$F$2:$F$3001,0))),""))</f>
        <v/>
      </c>
      <c r="M3079" s="27" t="str">
        <f aca="false">IF(OR(G3079="",G3079="?"),"",IFERROR(INDEX(Pubs!$D$2:$D$3001,MATCH(G3079,Pubs!$A$2:$A$3001,0))&amp;"",""))</f>
        <v/>
      </c>
      <c r="N3079" s="27" t="n">
        <f aca="false">N(N3078)+IF(AND(A3079&lt;&gt;"",OR(Recherche!$C$4="",A3079=Recherche!$C$4),OR(Recherche!$C$5="",B3079&amp;""=Recherche!$C$5&amp;""),OR(Recherche!$C$6="",IFERROR(YEAR(L3079),0)=Recherche!$C$6),OR(Recherche!$C$7="",ISNUMBER(SEARCH(Recherche!$C$7,H3079))),OR(Recherche!$C$8="",J3079=Recherche!$C$8),OR(Recherche!$C$9="",I3079=Recherche!$C$9),OR(Recherche!$C$10="",G3079&amp;""=Recherche!$C$10&amp;""),OR(Recherche!$C$11="",E3079=Recherche!$C$11),OR(Recherche!$C$12="",ISNUMBER(SEARCH(Recherche!$C$12,M3079&amp;" "&amp;F3079)))),1,0)</f>
        <v>8</v>
      </c>
    </row>
    <row r="3080" customFormat="false" ht="15" hidden="false" customHeight="false" outlineLevel="0" collapsed="false">
      <c r="A3080" s="19"/>
      <c r="B3080" s="19"/>
      <c r="C3080" s="19"/>
      <c r="D3080" s="19"/>
      <c r="E3080" s="22"/>
      <c r="F3080" s="19"/>
      <c r="G3080" s="26" t="str">
        <f aca="false">IF(D3080="","",IFERROR(VALUE(LEFT(D3080,FIND(" |",D3080&amp;" |")-1)),"?"))</f>
        <v/>
      </c>
      <c r="H3080" s="27" t="str">
        <f aca="false">IF(G3080="","",IF(G3080="?","⚠ pub inconnue",IFERROR(INDEX(Pubs!$B$2:$B$3001,MATCH(G3080,Pubs!$A$2:$A$3001,0))&amp;"","⚠ pub inconnue")))</f>
        <v/>
      </c>
      <c r="I3080" s="27" t="str">
        <f aca="false">IF(OR(G3080="",G3080="?"),"",IFERROR(INDEX(Pubs!$C$2:$C$3001,MATCH(G3080,Pubs!$A$2:$A$3001,0))&amp;"",""))</f>
        <v/>
      </c>
      <c r="J3080" s="27" t="str">
        <f aca="false">IF(OR(G3080="",G3080="?"),"",IFERROR(INDEX(Pubs!$G$2:$G$3001,MATCH(G3080,Pubs!$A$2:$A$3001,0))&amp;"",""))</f>
        <v/>
      </c>
      <c r="K3080" s="28" t="str">
        <f aca="false">IF(OR(G3080="",G3080="?"),"",IFERROR(INDEX(Pubs!$E$2:$E$3001,MATCH(G3080,Pubs!$A$2:$A$3001,0)),""))</f>
        <v/>
      </c>
      <c r="L3080" s="29" t="str">
        <f aca="false">IF(A3080="","",IFERROR(1/(1/INDEX(Numéros!$C$2:$C$3001,MATCH(A3080&amp;"|"&amp;B3080,Numéros!$F$2:$F$3001,0))),""))</f>
        <v/>
      </c>
      <c r="M3080" s="27" t="str">
        <f aca="false">IF(OR(G3080="",G3080="?"),"",IFERROR(INDEX(Pubs!$D$2:$D$3001,MATCH(G3080,Pubs!$A$2:$A$3001,0))&amp;"",""))</f>
        <v/>
      </c>
      <c r="N3080" s="27" t="n">
        <f aca="false">N(N3079)+IF(AND(A3080&lt;&gt;"",OR(Recherche!$C$4="",A3080=Recherche!$C$4),OR(Recherche!$C$5="",B3080&amp;""=Recherche!$C$5&amp;""),OR(Recherche!$C$6="",IFERROR(YEAR(L3080),0)=Recherche!$C$6),OR(Recherche!$C$7="",ISNUMBER(SEARCH(Recherche!$C$7,H3080))),OR(Recherche!$C$8="",J3080=Recherche!$C$8),OR(Recherche!$C$9="",I3080=Recherche!$C$9),OR(Recherche!$C$10="",G3080&amp;""=Recherche!$C$10&amp;""),OR(Recherche!$C$11="",E3080=Recherche!$C$11),OR(Recherche!$C$12="",ISNUMBER(SEARCH(Recherche!$C$12,M3080&amp;" "&amp;F3080)))),1,0)</f>
        <v>8</v>
      </c>
    </row>
    <row r="3081" customFormat="false" ht="15" hidden="false" customHeight="false" outlineLevel="0" collapsed="false">
      <c r="A3081" s="19"/>
      <c r="B3081" s="19"/>
      <c r="C3081" s="19"/>
      <c r="D3081" s="19"/>
      <c r="E3081" s="22"/>
      <c r="F3081" s="19"/>
      <c r="G3081" s="26" t="str">
        <f aca="false">IF(D3081="","",IFERROR(VALUE(LEFT(D3081,FIND(" |",D3081&amp;" |")-1)),"?"))</f>
        <v/>
      </c>
      <c r="H3081" s="27" t="str">
        <f aca="false">IF(G3081="","",IF(G3081="?","⚠ pub inconnue",IFERROR(INDEX(Pubs!$B$2:$B$3001,MATCH(G3081,Pubs!$A$2:$A$3001,0))&amp;"","⚠ pub inconnue")))</f>
        <v/>
      </c>
      <c r="I3081" s="27" t="str">
        <f aca="false">IF(OR(G3081="",G3081="?"),"",IFERROR(INDEX(Pubs!$C$2:$C$3001,MATCH(G3081,Pubs!$A$2:$A$3001,0))&amp;"",""))</f>
        <v/>
      </c>
      <c r="J3081" s="27" t="str">
        <f aca="false">IF(OR(G3081="",G3081="?"),"",IFERROR(INDEX(Pubs!$G$2:$G$3001,MATCH(G3081,Pubs!$A$2:$A$3001,0))&amp;"",""))</f>
        <v/>
      </c>
      <c r="K3081" s="28" t="str">
        <f aca="false">IF(OR(G3081="",G3081="?"),"",IFERROR(INDEX(Pubs!$E$2:$E$3001,MATCH(G3081,Pubs!$A$2:$A$3001,0)),""))</f>
        <v/>
      </c>
      <c r="L3081" s="29" t="str">
        <f aca="false">IF(A3081="","",IFERROR(1/(1/INDEX(Numéros!$C$2:$C$3001,MATCH(A3081&amp;"|"&amp;B3081,Numéros!$F$2:$F$3001,0))),""))</f>
        <v/>
      </c>
      <c r="M3081" s="27" t="str">
        <f aca="false">IF(OR(G3081="",G3081="?"),"",IFERROR(INDEX(Pubs!$D$2:$D$3001,MATCH(G3081,Pubs!$A$2:$A$3001,0))&amp;"",""))</f>
        <v/>
      </c>
      <c r="N3081" s="27" t="n">
        <f aca="false">N(N3080)+IF(AND(A3081&lt;&gt;"",OR(Recherche!$C$4="",A3081=Recherche!$C$4),OR(Recherche!$C$5="",B3081&amp;""=Recherche!$C$5&amp;""),OR(Recherche!$C$6="",IFERROR(YEAR(L3081),0)=Recherche!$C$6),OR(Recherche!$C$7="",ISNUMBER(SEARCH(Recherche!$C$7,H3081))),OR(Recherche!$C$8="",J3081=Recherche!$C$8),OR(Recherche!$C$9="",I3081=Recherche!$C$9),OR(Recherche!$C$10="",G3081&amp;""=Recherche!$C$10&amp;""),OR(Recherche!$C$11="",E3081=Recherche!$C$11),OR(Recherche!$C$12="",ISNUMBER(SEARCH(Recherche!$C$12,M3081&amp;" "&amp;F3081)))),1,0)</f>
        <v>8</v>
      </c>
    </row>
    <row r="3082" customFormat="false" ht="15" hidden="false" customHeight="false" outlineLevel="0" collapsed="false">
      <c r="A3082" s="19"/>
      <c r="B3082" s="19"/>
      <c r="C3082" s="19"/>
      <c r="D3082" s="19"/>
      <c r="E3082" s="22"/>
      <c r="F3082" s="19"/>
      <c r="G3082" s="26" t="str">
        <f aca="false">IF(D3082="","",IFERROR(VALUE(LEFT(D3082,FIND(" |",D3082&amp;" |")-1)),"?"))</f>
        <v/>
      </c>
      <c r="H3082" s="27" t="str">
        <f aca="false">IF(G3082="","",IF(G3082="?","⚠ pub inconnue",IFERROR(INDEX(Pubs!$B$2:$B$3001,MATCH(G3082,Pubs!$A$2:$A$3001,0))&amp;"","⚠ pub inconnue")))</f>
        <v/>
      </c>
      <c r="I3082" s="27" t="str">
        <f aca="false">IF(OR(G3082="",G3082="?"),"",IFERROR(INDEX(Pubs!$C$2:$C$3001,MATCH(G3082,Pubs!$A$2:$A$3001,0))&amp;"",""))</f>
        <v/>
      </c>
      <c r="J3082" s="27" t="str">
        <f aca="false">IF(OR(G3082="",G3082="?"),"",IFERROR(INDEX(Pubs!$G$2:$G$3001,MATCH(G3082,Pubs!$A$2:$A$3001,0))&amp;"",""))</f>
        <v/>
      </c>
      <c r="K3082" s="28" t="str">
        <f aca="false">IF(OR(G3082="",G3082="?"),"",IFERROR(INDEX(Pubs!$E$2:$E$3001,MATCH(G3082,Pubs!$A$2:$A$3001,0)),""))</f>
        <v/>
      </c>
      <c r="L3082" s="29" t="str">
        <f aca="false">IF(A3082="","",IFERROR(1/(1/INDEX(Numéros!$C$2:$C$3001,MATCH(A3082&amp;"|"&amp;B3082,Numéros!$F$2:$F$3001,0))),""))</f>
        <v/>
      </c>
      <c r="M3082" s="27" t="str">
        <f aca="false">IF(OR(G3082="",G3082="?"),"",IFERROR(INDEX(Pubs!$D$2:$D$3001,MATCH(G3082,Pubs!$A$2:$A$3001,0))&amp;"",""))</f>
        <v/>
      </c>
      <c r="N3082" s="27" t="n">
        <f aca="false">N(N3081)+IF(AND(A3082&lt;&gt;"",OR(Recherche!$C$4="",A3082=Recherche!$C$4),OR(Recherche!$C$5="",B3082&amp;""=Recherche!$C$5&amp;""),OR(Recherche!$C$6="",IFERROR(YEAR(L3082),0)=Recherche!$C$6),OR(Recherche!$C$7="",ISNUMBER(SEARCH(Recherche!$C$7,H3082))),OR(Recherche!$C$8="",J3082=Recherche!$C$8),OR(Recherche!$C$9="",I3082=Recherche!$C$9),OR(Recherche!$C$10="",G3082&amp;""=Recherche!$C$10&amp;""),OR(Recherche!$C$11="",E3082=Recherche!$C$11),OR(Recherche!$C$12="",ISNUMBER(SEARCH(Recherche!$C$12,M3082&amp;" "&amp;F3082)))),1,0)</f>
        <v>8</v>
      </c>
    </row>
    <row r="3083" customFormat="false" ht="15" hidden="false" customHeight="false" outlineLevel="0" collapsed="false">
      <c r="A3083" s="19"/>
      <c r="B3083" s="19"/>
      <c r="C3083" s="19"/>
      <c r="D3083" s="19"/>
      <c r="E3083" s="22"/>
      <c r="F3083" s="19"/>
      <c r="G3083" s="26" t="str">
        <f aca="false">IF(D3083="","",IFERROR(VALUE(LEFT(D3083,FIND(" |",D3083&amp;" |")-1)),"?"))</f>
        <v/>
      </c>
      <c r="H3083" s="27" t="str">
        <f aca="false">IF(G3083="","",IF(G3083="?","⚠ pub inconnue",IFERROR(INDEX(Pubs!$B$2:$B$3001,MATCH(G3083,Pubs!$A$2:$A$3001,0))&amp;"","⚠ pub inconnue")))</f>
        <v/>
      </c>
      <c r="I3083" s="27" t="str">
        <f aca="false">IF(OR(G3083="",G3083="?"),"",IFERROR(INDEX(Pubs!$C$2:$C$3001,MATCH(G3083,Pubs!$A$2:$A$3001,0))&amp;"",""))</f>
        <v/>
      </c>
      <c r="J3083" s="27" t="str">
        <f aca="false">IF(OR(G3083="",G3083="?"),"",IFERROR(INDEX(Pubs!$G$2:$G$3001,MATCH(G3083,Pubs!$A$2:$A$3001,0))&amp;"",""))</f>
        <v/>
      </c>
      <c r="K3083" s="28" t="str">
        <f aca="false">IF(OR(G3083="",G3083="?"),"",IFERROR(INDEX(Pubs!$E$2:$E$3001,MATCH(G3083,Pubs!$A$2:$A$3001,0)),""))</f>
        <v/>
      </c>
      <c r="L3083" s="29" t="str">
        <f aca="false">IF(A3083="","",IFERROR(1/(1/INDEX(Numéros!$C$2:$C$3001,MATCH(A3083&amp;"|"&amp;B3083,Numéros!$F$2:$F$3001,0))),""))</f>
        <v/>
      </c>
      <c r="M3083" s="27" t="str">
        <f aca="false">IF(OR(G3083="",G3083="?"),"",IFERROR(INDEX(Pubs!$D$2:$D$3001,MATCH(G3083,Pubs!$A$2:$A$3001,0))&amp;"",""))</f>
        <v/>
      </c>
      <c r="N3083" s="27" t="n">
        <f aca="false">N(N3082)+IF(AND(A3083&lt;&gt;"",OR(Recherche!$C$4="",A3083=Recherche!$C$4),OR(Recherche!$C$5="",B3083&amp;""=Recherche!$C$5&amp;""),OR(Recherche!$C$6="",IFERROR(YEAR(L3083),0)=Recherche!$C$6),OR(Recherche!$C$7="",ISNUMBER(SEARCH(Recherche!$C$7,H3083))),OR(Recherche!$C$8="",J3083=Recherche!$C$8),OR(Recherche!$C$9="",I3083=Recherche!$C$9),OR(Recherche!$C$10="",G3083&amp;""=Recherche!$C$10&amp;""),OR(Recherche!$C$11="",E3083=Recherche!$C$11),OR(Recherche!$C$12="",ISNUMBER(SEARCH(Recherche!$C$12,M3083&amp;" "&amp;F3083)))),1,0)</f>
        <v>8</v>
      </c>
    </row>
    <row r="3084" customFormat="false" ht="15" hidden="false" customHeight="false" outlineLevel="0" collapsed="false">
      <c r="A3084" s="19"/>
      <c r="B3084" s="19"/>
      <c r="C3084" s="19"/>
      <c r="D3084" s="19"/>
      <c r="E3084" s="22"/>
      <c r="F3084" s="19"/>
      <c r="G3084" s="26" t="str">
        <f aca="false">IF(D3084="","",IFERROR(VALUE(LEFT(D3084,FIND(" |",D3084&amp;" |")-1)),"?"))</f>
        <v/>
      </c>
      <c r="H3084" s="27" t="str">
        <f aca="false">IF(G3084="","",IF(G3084="?","⚠ pub inconnue",IFERROR(INDEX(Pubs!$B$2:$B$3001,MATCH(G3084,Pubs!$A$2:$A$3001,0))&amp;"","⚠ pub inconnue")))</f>
        <v/>
      </c>
      <c r="I3084" s="27" t="str">
        <f aca="false">IF(OR(G3084="",G3084="?"),"",IFERROR(INDEX(Pubs!$C$2:$C$3001,MATCH(G3084,Pubs!$A$2:$A$3001,0))&amp;"",""))</f>
        <v/>
      </c>
      <c r="J3084" s="27" t="str">
        <f aca="false">IF(OR(G3084="",G3084="?"),"",IFERROR(INDEX(Pubs!$G$2:$G$3001,MATCH(G3084,Pubs!$A$2:$A$3001,0))&amp;"",""))</f>
        <v/>
      </c>
      <c r="K3084" s="28" t="str">
        <f aca="false">IF(OR(G3084="",G3084="?"),"",IFERROR(INDEX(Pubs!$E$2:$E$3001,MATCH(G3084,Pubs!$A$2:$A$3001,0)),""))</f>
        <v/>
      </c>
      <c r="L3084" s="29" t="str">
        <f aca="false">IF(A3084="","",IFERROR(1/(1/INDEX(Numéros!$C$2:$C$3001,MATCH(A3084&amp;"|"&amp;B3084,Numéros!$F$2:$F$3001,0))),""))</f>
        <v/>
      </c>
      <c r="M3084" s="27" t="str">
        <f aca="false">IF(OR(G3084="",G3084="?"),"",IFERROR(INDEX(Pubs!$D$2:$D$3001,MATCH(G3084,Pubs!$A$2:$A$3001,0))&amp;"",""))</f>
        <v/>
      </c>
      <c r="N3084" s="27" t="n">
        <f aca="false">N(N3083)+IF(AND(A3084&lt;&gt;"",OR(Recherche!$C$4="",A3084=Recherche!$C$4),OR(Recherche!$C$5="",B3084&amp;""=Recherche!$C$5&amp;""),OR(Recherche!$C$6="",IFERROR(YEAR(L3084),0)=Recherche!$C$6),OR(Recherche!$C$7="",ISNUMBER(SEARCH(Recherche!$C$7,H3084))),OR(Recherche!$C$8="",J3084=Recherche!$C$8),OR(Recherche!$C$9="",I3084=Recherche!$C$9),OR(Recherche!$C$10="",G3084&amp;""=Recherche!$C$10&amp;""),OR(Recherche!$C$11="",E3084=Recherche!$C$11),OR(Recherche!$C$12="",ISNUMBER(SEARCH(Recherche!$C$12,M3084&amp;" "&amp;F3084)))),1,0)</f>
        <v>8</v>
      </c>
    </row>
    <row r="3085" customFormat="false" ht="15" hidden="false" customHeight="false" outlineLevel="0" collapsed="false">
      <c r="A3085" s="19"/>
      <c r="B3085" s="19"/>
      <c r="C3085" s="19"/>
      <c r="D3085" s="19"/>
      <c r="E3085" s="22"/>
      <c r="F3085" s="19"/>
      <c r="G3085" s="26" t="str">
        <f aca="false">IF(D3085="","",IFERROR(VALUE(LEFT(D3085,FIND(" |",D3085&amp;" |")-1)),"?"))</f>
        <v/>
      </c>
      <c r="H3085" s="27" t="str">
        <f aca="false">IF(G3085="","",IF(G3085="?","⚠ pub inconnue",IFERROR(INDEX(Pubs!$B$2:$B$3001,MATCH(G3085,Pubs!$A$2:$A$3001,0))&amp;"","⚠ pub inconnue")))</f>
        <v/>
      </c>
      <c r="I3085" s="27" t="str">
        <f aca="false">IF(OR(G3085="",G3085="?"),"",IFERROR(INDEX(Pubs!$C$2:$C$3001,MATCH(G3085,Pubs!$A$2:$A$3001,0))&amp;"",""))</f>
        <v/>
      </c>
      <c r="J3085" s="27" t="str">
        <f aca="false">IF(OR(G3085="",G3085="?"),"",IFERROR(INDEX(Pubs!$G$2:$G$3001,MATCH(G3085,Pubs!$A$2:$A$3001,0))&amp;"",""))</f>
        <v/>
      </c>
      <c r="K3085" s="28" t="str">
        <f aca="false">IF(OR(G3085="",G3085="?"),"",IFERROR(INDEX(Pubs!$E$2:$E$3001,MATCH(G3085,Pubs!$A$2:$A$3001,0)),""))</f>
        <v/>
      </c>
      <c r="L3085" s="29" t="str">
        <f aca="false">IF(A3085="","",IFERROR(1/(1/INDEX(Numéros!$C$2:$C$3001,MATCH(A3085&amp;"|"&amp;B3085,Numéros!$F$2:$F$3001,0))),""))</f>
        <v/>
      </c>
      <c r="M3085" s="27" t="str">
        <f aca="false">IF(OR(G3085="",G3085="?"),"",IFERROR(INDEX(Pubs!$D$2:$D$3001,MATCH(G3085,Pubs!$A$2:$A$3001,0))&amp;"",""))</f>
        <v/>
      </c>
      <c r="N3085" s="27" t="n">
        <f aca="false">N(N3084)+IF(AND(A3085&lt;&gt;"",OR(Recherche!$C$4="",A3085=Recherche!$C$4),OR(Recherche!$C$5="",B3085&amp;""=Recherche!$C$5&amp;""),OR(Recherche!$C$6="",IFERROR(YEAR(L3085),0)=Recherche!$C$6),OR(Recherche!$C$7="",ISNUMBER(SEARCH(Recherche!$C$7,H3085))),OR(Recherche!$C$8="",J3085=Recherche!$C$8),OR(Recherche!$C$9="",I3085=Recherche!$C$9),OR(Recherche!$C$10="",G3085&amp;""=Recherche!$C$10&amp;""),OR(Recherche!$C$11="",E3085=Recherche!$C$11),OR(Recherche!$C$12="",ISNUMBER(SEARCH(Recherche!$C$12,M3085&amp;" "&amp;F3085)))),1,0)</f>
        <v>8</v>
      </c>
    </row>
    <row r="3086" customFormat="false" ht="15" hidden="false" customHeight="false" outlineLevel="0" collapsed="false">
      <c r="A3086" s="19"/>
      <c r="B3086" s="19"/>
      <c r="C3086" s="19"/>
      <c r="D3086" s="19"/>
      <c r="E3086" s="22"/>
      <c r="F3086" s="19"/>
      <c r="G3086" s="26" t="str">
        <f aca="false">IF(D3086="","",IFERROR(VALUE(LEFT(D3086,FIND(" |",D3086&amp;" |")-1)),"?"))</f>
        <v/>
      </c>
      <c r="H3086" s="27" t="str">
        <f aca="false">IF(G3086="","",IF(G3086="?","⚠ pub inconnue",IFERROR(INDEX(Pubs!$B$2:$B$3001,MATCH(G3086,Pubs!$A$2:$A$3001,0))&amp;"","⚠ pub inconnue")))</f>
        <v/>
      </c>
      <c r="I3086" s="27" t="str">
        <f aca="false">IF(OR(G3086="",G3086="?"),"",IFERROR(INDEX(Pubs!$C$2:$C$3001,MATCH(G3086,Pubs!$A$2:$A$3001,0))&amp;"",""))</f>
        <v/>
      </c>
      <c r="J3086" s="27" t="str">
        <f aca="false">IF(OR(G3086="",G3086="?"),"",IFERROR(INDEX(Pubs!$G$2:$G$3001,MATCH(G3086,Pubs!$A$2:$A$3001,0))&amp;"",""))</f>
        <v/>
      </c>
      <c r="K3086" s="28" t="str">
        <f aca="false">IF(OR(G3086="",G3086="?"),"",IFERROR(INDEX(Pubs!$E$2:$E$3001,MATCH(G3086,Pubs!$A$2:$A$3001,0)),""))</f>
        <v/>
      </c>
      <c r="L3086" s="29" t="str">
        <f aca="false">IF(A3086="","",IFERROR(1/(1/INDEX(Numéros!$C$2:$C$3001,MATCH(A3086&amp;"|"&amp;B3086,Numéros!$F$2:$F$3001,0))),""))</f>
        <v/>
      </c>
      <c r="M3086" s="27" t="str">
        <f aca="false">IF(OR(G3086="",G3086="?"),"",IFERROR(INDEX(Pubs!$D$2:$D$3001,MATCH(G3086,Pubs!$A$2:$A$3001,0))&amp;"",""))</f>
        <v/>
      </c>
      <c r="N3086" s="27" t="n">
        <f aca="false">N(N3085)+IF(AND(A3086&lt;&gt;"",OR(Recherche!$C$4="",A3086=Recherche!$C$4),OR(Recherche!$C$5="",B3086&amp;""=Recherche!$C$5&amp;""),OR(Recherche!$C$6="",IFERROR(YEAR(L3086),0)=Recherche!$C$6),OR(Recherche!$C$7="",ISNUMBER(SEARCH(Recherche!$C$7,H3086))),OR(Recherche!$C$8="",J3086=Recherche!$C$8),OR(Recherche!$C$9="",I3086=Recherche!$C$9),OR(Recherche!$C$10="",G3086&amp;""=Recherche!$C$10&amp;""),OR(Recherche!$C$11="",E3086=Recherche!$C$11),OR(Recherche!$C$12="",ISNUMBER(SEARCH(Recherche!$C$12,M3086&amp;" "&amp;F3086)))),1,0)</f>
        <v>8</v>
      </c>
    </row>
    <row r="3087" customFormat="false" ht="15" hidden="false" customHeight="false" outlineLevel="0" collapsed="false">
      <c r="A3087" s="19"/>
      <c r="B3087" s="19"/>
      <c r="C3087" s="19"/>
      <c r="D3087" s="19"/>
      <c r="E3087" s="22"/>
      <c r="F3087" s="19"/>
      <c r="G3087" s="26" t="str">
        <f aca="false">IF(D3087="","",IFERROR(VALUE(LEFT(D3087,FIND(" |",D3087&amp;" |")-1)),"?"))</f>
        <v/>
      </c>
      <c r="H3087" s="27" t="str">
        <f aca="false">IF(G3087="","",IF(G3087="?","⚠ pub inconnue",IFERROR(INDEX(Pubs!$B$2:$B$3001,MATCH(G3087,Pubs!$A$2:$A$3001,0))&amp;"","⚠ pub inconnue")))</f>
        <v/>
      </c>
      <c r="I3087" s="27" t="str">
        <f aca="false">IF(OR(G3087="",G3087="?"),"",IFERROR(INDEX(Pubs!$C$2:$C$3001,MATCH(G3087,Pubs!$A$2:$A$3001,0))&amp;"",""))</f>
        <v/>
      </c>
      <c r="J3087" s="27" t="str">
        <f aca="false">IF(OR(G3087="",G3087="?"),"",IFERROR(INDEX(Pubs!$G$2:$G$3001,MATCH(G3087,Pubs!$A$2:$A$3001,0))&amp;"",""))</f>
        <v/>
      </c>
      <c r="K3087" s="28" t="str">
        <f aca="false">IF(OR(G3087="",G3087="?"),"",IFERROR(INDEX(Pubs!$E$2:$E$3001,MATCH(G3087,Pubs!$A$2:$A$3001,0)),""))</f>
        <v/>
      </c>
      <c r="L3087" s="29" t="str">
        <f aca="false">IF(A3087="","",IFERROR(1/(1/INDEX(Numéros!$C$2:$C$3001,MATCH(A3087&amp;"|"&amp;B3087,Numéros!$F$2:$F$3001,0))),""))</f>
        <v/>
      </c>
      <c r="M3087" s="27" t="str">
        <f aca="false">IF(OR(G3087="",G3087="?"),"",IFERROR(INDEX(Pubs!$D$2:$D$3001,MATCH(G3087,Pubs!$A$2:$A$3001,0))&amp;"",""))</f>
        <v/>
      </c>
      <c r="N3087" s="27" t="n">
        <f aca="false">N(N3086)+IF(AND(A3087&lt;&gt;"",OR(Recherche!$C$4="",A3087=Recherche!$C$4),OR(Recherche!$C$5="",B3087&amp;""=Recherche!$C$5&amp;""),OR(Recherche!$C$6="",IFERROR(YEAR(L3087),0)=Recherche!$C$6),OR(Recherche!$C$7="",ISNUMBER(SEARCH(Recherche!$C$7,H3087))),OR(Recherche!$C$8="",J3087=Recherche!$C$8),OR(Recherche!$C$9="",I3087=Recherche!$C$9),OR(Recherche!$C$10="",G3087&amp;""=Recherche!$C$10&amp;""),OR(Recherche!$C$11="",E3087=Recherche!$C$11),OR(Recherche!$C$12="",ISNUMBER(SEARCH(Recherche!$C$12,M3087&amp;" "&amp;F3087)))),1,0)</f>
        <v>8</v>
      </c>
    </row>
    <row r="3088" customFormat="false" ht="15" hidden="false" customHeight="false" outlineLevel="0" collapsed="false">
      <c r="A3088" s="19"/>
      <c r="B3088" s="19"/>
      <c r="C3088" s="19"/>
      <c r="D3088" s="19"/>
      <c r="E3088" s="22"/>
      <c r="F3088" s="19"/>
      <c r="G3088" s="26" t="str">
        <f aca="false">IF(D3088="","",IFERROR(VALUE(LEFT(D3088,FIND(" |",D3088&amp;" |")-1)),"?"))</f>
        <v/>
      </c>
      <c r="H3088" s="27" t="str">
        <f aca="false">IF(G3088="","",IF(G3088="?","⚠ pub inconnue",IFERROR(INDEX(Pubs!$B$2:$B$3001,MATCH(G3088,Pubs!$A$2:$A$3001,0))&amp;"","⚠ pub inconnue")))</f>
        <v/>
      </c>
      <c r="I3088" s="27" t="str">
        <f aca="false">IF(OR(G3088="",G3088="?"),"",IFERROR(INDEX(Pubs!$C$2:$C$3001,MATCH(G3088,Pubs!$A$2:$A$3001,0))&amp;"",""))</f>
        <v/>
      </c>
      <c r="J3088" s="27" t="str">
        <f aca="false">IF(OR(G3088="",G3088="?"),"",IFERROR(INDEX(Pubs!$G$2:$G$3001,MATCH(G3088,Pubs!$A$2:$A$3001,0))&amp;"",""))</f>
        <v/>
      </c>
      <c r="K3088" s="28" t="str">
        <f aca="false">IF(OR(G3088="",G3088="?"),"",IFERROR(INDEX(Pubs!$E$2:$E$3001,MATCH(G3088,Pubs!$A$2:$A$3001,0)),""))</f>
        <v/>
      </c>
      <c r="L3088" s="29" t="str">
        <f aca="false">IF(A3088="","",IFERROR(1/(1/INDEX(Numéros!$C$2:$C$3001,MATCH(A3088&amp;"|"&amp;B3088,Numéros!$F$2:$F$3001,0))),""))</f>
        <v/>
      </c>
      <c r="M3088" s="27" t="str">
        <f aca="false">IF(OR(G3088="",G3088="?"),"",IFERROR(INDEX(Pubs!$D$2:$D$3001,MATCH(G3088,Pubs!$A$2:$A$3001,0))&amp;"",""))</f>
        <v/>
      </c>
      <c r="N3088" s="27" t="n">
        <f aca="false">N(N3087)+IF(AND(A3088&lt;&gt;"",OR(Recherche!$C$4="",A3088=Recherche!$C$4),OR(Recherche!$C$5="",B3088&amp;""=Recherche!$C$5&amp;""),OR(Recherche!$C$6="",IFERROR(YEAR(L3088),0)=Recherche!$C$6),OR(Recherche!$C$7="",ISNUMBER(SEARCH(Recherche!$C$7,H3088))),OR(Recherche!$C$8="",J3088=Recherche!$C$8),OR(Recherche!$C$9="",I3088=Recherche!$C$9),OR(Recherche!$C$10="",G3088&amp;""=Recherche!$C$10&amp;""),OR(Recherche!$C$11="",E3088=Recherche!$C$11),OR(Recherche!$C$12="",ISNUMBER(SEARCH(Recherche!$C$12,M3088&amp;" "&amp;F3088)))),1,0)</f>
        <v>8</v>
      </c>
    </row>
    <row r="3089" customFormat="false" ht="15" hidden="false" customHeight="false" outlineLevel="0" collapsed="false">
      <c r="A3089" s="19"/>
      <c r="B3089" s="19"/>
      <c r="C3089" s="19"/>
      <c r="D3089" s="19"/>
      <c r="E3089" s="22"/>
      <c r="F3089" s="19"/>
      <c r="G3089" s="26" t="str">
        <f aca="false">IF(D3089="","",IFERROR(VALUE(LEFT(D3089,FIND(" |",D3089&amp;" |")-1)),"?"))</f>
        <v/>
      </c>
      <c r="H3089" s="27" t="str">
        <f aca="false">IF(G3089="","",IF(G3089="?","⚠ pub inconnue",IFERROR(INDEX(Pubs!$B$2:$B$3001,MATCH(G3089,Pubs!$A$2:$A$3001,0))&amp;"","⚠ pub inconnue")))</f>
        <v/>
      </c>
      <c r="I3089" s="27" t="str">
        <f aca="false">IF(OR(G3089="",G3089="?"),"",IFERROR(INDEX(Pubs!$C$2:$C$3001,MATCH(G3089,Pubs!$A$2:$A$3001,0))&amp;"",""))</f>
        <v/>
      </c>
      <c r="J3089" s="27" t="str">
        <f aca="false">IF(OR(G3089="",G3089="?"),"",IFERROR(INDEX(Pubs!$G$2:$G$3001,MATCH(G3089,Pubs!$A$2:$A$3001,0))&amp;"",""))</f>
        <v/>
      </c>
      <c r="K3089" s="28" t="str">
        <f aca="false">IF(OR(G3089="",G3089="?"),"",IFERROR(INDEX(Pubs!$E$2:$E$3001,MATCH(G3089,Pubs!$A$2:$A$3001,0)),""))</f>
        <v/>
      </c>
      <c r="L3089" s="29" t="str">
        <f aca="false">IF(A3089="","",IFERROR(1/(1/INDEX(Numéros!$C$2:$C$3001,MATCH(A3089&amp;"|"&amp;B3089,Numéros!$F$2:$F$3001,0))),""))</f>
        <v/>
      </c>
      <c r="M3089" s="27" t="str">
        <f aca="false">IF(OR(G3089="",G3089="?"),"",IFERROR(INDEX(Pubs!$D$2:$D$3001,MATCH(G3089,Pubs!$A$2:$A$3001,0))&amp;"",""))</f>
        <v/>
      </c>
      <c r="N3089" s="27" t="n">
        <f aca="false">N(N3088)+IF(AND(A3089&lt;&gt;"",OR(Recherche!$C$4="",A3089=Recherche!$C$4),OR(Recherche!$C$5="",B3089&amp;""=Recherche!$C$5&amp;""),OR(Recherche!$C$6="",IFERROR(YEAR(L3089),0)=Recherche!$C$6),OR(Recherche!$C$7="",ISNUMBER(SEARCH(Recherche!$C$7,H3089))),OR(Recherche!$C$8="",J3089=Recherche!$C$8),OR(Recherche!$C$9="",I3089=Recherche!$C$9),OR(Recherche!$C$10="",G3089&amp;""=Recherche!$C$10&amp;""),OR(Recherche!$C$11="",E3089=Recherche!$C$11),OR(Recherche!$C$12="",ISNUMBER(SEARCH(Recherche!$C$12,M3089&amp;" "&amp;F3089)))),1,0)</f>
        <v>8</v>
      </c>
    </row>
    <row r="3090" customFormat="false" ht="15" hidden="false" customHeight="false" outlineLevel="0" collapsed="false">
      <c r="A3090" s="19"/>
      <c r="B3090" s="19"/>
      <c r="C3090" s="19"/>
      <c r="D3090" s="19"/>
      <c r="E3090" s="22"/>
      <c r="F3090" s="19"/>
      <c r="G3090" s="26" t="str">
        <f aca="false">IF(D3090="","",IFERROR(VALUE(LEFT(D3090,FIND(" |",D3090&amp;" |")-1)),"?"))</f>
        <v/>
      </c>
      <c r="H3090" s="27" t="str">
        <f aca="false">IF(G3090="","",IF(G3090="?","⚠ pub inconnue",IFERROR(INDEX(Pubs!$B$2:$B$3001,MATCH(G3090,Pubs!$A$2:$A$3001,0))&amp;"","⚠ pub inconnue")))</f>
        <v/>
      </c>
      <c r="I3090" s="27" t="str">
        <f aca="false">IF(OR(G3090="",G3090="?"),"",IFERROR(INDEX(Pubs!$C$2:$C$3001,MATCH(G3090,Pubs!$A$2:$A$3001,0))&amp;"",""))</f>
        <v/>
      </c>
      <c r="J3090" s="27" t="str">
        <f aca="false">IF(OR(G3090="",G3090="?"),"",IFERROR(INDEX(Pubs!$G$2:$G$3001,MATCH(G3090,Pubs!$A$2:$A$3001,0))&amp;"",""))</f>
        <v/>
      </c>
      <c r="K3090" s="28" t="str">
        <f aca="false">IF(OR(G3090="",G3090="?"),"",IFERROR(INDEX(Pubs!$E$2:$E$3001,MATCH(G3090,Pubs!$A$2:$A$3001,0)),""))</f>
        <v/>
      </c>
      <c r="L3090" s="29" t="str">
        <f aca="false">IF(A3090="","",IFERROR(1/(1/INDEX(Numéros!$C$2:$C$3001,MATCH(A3090&amp;"|"&amp;B3090,Numéros!$F$2:$F$3001,0))),""))</f>
        <v/>
      </c>
      <c r="M3090" s="27" t="str">
        <f aca="false">IF(OR(G3090="",G3090="?"),"",IFERROR(INDEX(Pubs!$D$2:$D$3001,MATCH(G3090,Pubs!$A$2:$A$3001,0))&amp;"",""))</f>
        <v/>
      </c>
      <c r="N3090" s="27" t="n">
        <f aca="false">N(N3089)+IF(AND(A3090&lt;&gt;"",OR(Recherche!$C$4="",A3090=Recherche!$C$4),OR(Recherche!$C$5="",B3090&amp;""=Recherche!$C$5&amp;""),OR(Recherche!$C$6="",IFERROR(YEAR(L3090),0)=Recherche!$C$6),OR(Recherche!$C$7="",ISNUMBER(SEARCH(Recherche!$C$7,H3090))),OR(Recherche!$C$8="",J3090=Recherche!$C$8),OR(Recherche!$C$9="",I3090=Recherche!$C$9),OR(Recherche!$C$10="",G3090&amp;""=Recherche!$C$10&amp;""),OR(Recherche!$C$11="",E3090=Recherche!$C$11),OR(Recherche!$C$12="",ISNUMBER(SEARCH(Recherche!$C$12,M3090&amp;" "&amp;F3090)))),1,0)</f>
        <v>8</v>
      </c>
    </row>
    <row r="3091" customFormat="false" ht="15" hidden="false" customHeight="false" outlineLevel="0" collapsed="false">
      <c r="A3091" s="19"/>
      <c r="B3091" s="19"/>
      <c r="C3091" s="19"/>
      <c r="D3091" s="19"/>
      <c r="E3091" s="22"/>
      <c r="F3091" s="19"/>
      <c r="G3091" s="26" t="str">
        <f aca="false">IF(D3091="","",IFERROR(VALUE(LEFT(D3091,FIND(" |",D3091&amp;" |")-1)),"?"))</f>
        <v/>
      </c>
      <c r="H3091" s="27" t="str">
        <f aca="false">IF(G3091="","",IF(G3091="?","⚠ pub inconnue",IFERROR(INDEX(Pubs!$B$2:$B$3001,MATCH(G3091,Pubs!$A$2:$A$3001,0))&amp;"","⚠ pub inconnue")))</f>
        <v/>
      </c>
      <c r="I3091" s="27" t="str">
        <f aca="false">IF(OR(G3091="",G3091="?"),"",IFERROR(INDEX(Pubs!$C$2:$C$3001,MATCH(G3091,Pubs!$A$2:$A$3001,0))&amp;"",""))</f>
        <v/>
      </c>
      <c r="J3091" s="27" t="str">
        <f aca="false">IF(OR(G3091="",G3091="?"),"",IFERROR(INDEX(Pubs!$G$2:$G$3001,MATCH(G3091,Pubs!$A$2:$A$3001,0))&amp;"",""))</f>
        <v/>
      </c>
      <c r="K3091" s="28" t="str">
        <f aca="false">IF(OR(G3091="",G3091="?"),"",IFERROR(INDEX(Pubs!$E$2:$E$3001,MATCH(G3091,Pubs!$A$2:$A$3001,0)),""))</f>
        <v/>
      </c>
      <c r="L3091" s="29" t="str">
        <f aca="false">IF(A3091="","",IFERROR(1/(1/INDEX(Numéros!$C$2:$C$3001,MATCH(A3091&amp;"|"&amp;B3091,Numéros!$F$2:$F$3001,0))),""))</f>
        <v/>
      </c>
      <c r="M3091" s="27" t="str">
        <f aca="false">IF(OR(G3091="",G3091="?"),"",IFERROR(INDEX(Pubs!$D$2:$D$3001,MATCH(G3091,Pubs!$A$2:$A$3001,0))&amp;"",""))</f>
        <v/>
      </c>
      <c r="N3091" s="27" t="n">
        <f aca="false">N(N3090)+IF(AND(A3091&lt;&gt;"",OR(Recherche!$C$4="",A3091=Recherche!$C$4),OR(Recherche!$C$5="",B3091&amp;""=Recherche!$C$5&amp;""),OR(Recherche!$C$6="",IFERROR(YEAR(L3091),0)=Recherche!$C$6),OR(Recherche!$C$7="",ISNUMBER(SEARCH(Recherche!$C$7,H3091))),OR(Recherche!$C$8="",J3091=Recherche!$C$8),OR(Recherche!$C$9="",I3091=Recherche!$C$9),OR(Recherche!$C$10="",G3091&amp;""=Recherche!$C$10&amp;""),OR(Recherche!$C$11="",E3091=Recherche!$C$11),OR(Recherche!$C$12="",ISNUMBER(SEARCH(Recherche!$C$12,M3091&amp;" "&amp;F3091)))),1,0)</f>
        <v>8</v>
      </c>
    </row>
    <row r="3092" customFormat="false" ht="15" hidden="false" customHeight="false" outlineLevel="0" collapsed="false">
      <c r="A3092" s="19"/>
      <c r="B3092" s="19"/>
      <c r="C3092" s="19"/>
      <c r="D3092" s="19"/>
      <c r="E3092" s="22"/>
      <c r="F3092" s="19"/>
      <c r="G3092" s="26" t="str">
        <f aca="false">IF(D3092="","",IFERROR(VALUE(LEFT(D3092,FIND(" |",D3092&amp;" |")-1)),"?"))</f>
        <v/>
      </c>
      <c r="H3092" s="27" t="str">
        <f aca="false">IF(G3092="","",IF(G3092="?","⚠ pub inconnue",IFERROR(INDEX(Pubs!$B$2:$B$3001,MATCH(G3092,Pubs!$A$2:$A$3001,0))&amp;"","⚠ pub inconnue")))</f>
        <v/>
      </c>
      <c r="I3092" s="27" t="str">
        <f aca="false">IF(OR(G3092="",G3092="?"),"",IFERROR(INDEX(Pubs!$C$2:$C$3001,MATCH(G3092,Pubs!$A$2:$A$3001,0))&amp;"",""))</f>
        <v/>
      </c>
      <c r="J3092" s="27" t="str">
        <f aca="false">IF(OR(G3092="",G3092="?"),"",IFERROR(INDEX(Pubs!$G$2:$G$3001,MATCH(G3092,Pubs!$A$2:$A$3001,0))&amp;"",""))</f>
        <v/>
      </c>
      <c r="K3092" s="28" t="str">
        <f aca="false">IF(OR(G3092="",G3092="?"),"",IFERROR(INDEX(Pubs!$E$2:$E$3001,MATCH(G3092,Pubs!$A$2:$A$3001,0)),""))</f>
        <v/>
      </c>
      <c r="L3092" s="29" t="str">
        <f aca="false">IF(A3092="","",IFERROR(1/(1/INDEX(Numéros!$C$2:$C$3001,MATCH(A3092&amp;"|"&amp;B3092,Numéros!$F$2:$F$3001,0))),""))</f>
        <v/>
      </c>
      <c r="M3092" s="27" t="str">
        <f aca="false">IF(OR(G3092="",G3092="?"),"",IFERROR(INDEX(Pubs!$D$2:$D$3001,MATCH(G3092,Pubs!$A$2:$A$3001,0))&amp;"",""))</f>
        <v/>
      </c>
      <c r="N3092" s="27" t="n">
        <f aca="false">N(N3091)+IF(AND(A3092&lt;&gt;"",OR(Recherche!$C$4="",A3092=Recherche!$C$4),OR(Recherche!$C$5="",B3092&amp;""=Recherche!$C$5&amp;""),OR(Recherche!$C$6="",IFERROR(YEAR(L3092),0)=Recherche!$C$6),OR(Recherche!$C$7="",ISNUMBER(SEARCH(Recherche!$C$7,H3092))),OR(Recherche!$C$8="",J3092=Recherche!$C$8),OR(Recherche!$C$9="",I3092=Recherche!$C$9),OR(Recherche!$C$10="",G3092&amp;""=Recherche!$C$10&amp;""),OR(Recherche!$C$11="",E3092=Recherche!$C$11),OR(Recherche!$C$12="",ISNUMBER(SEARCH(Recherche!$C$12,M3092&amp;" "&amp;F3092)))),1,0)</f>
        <v>8</v>
      </c>
    </row>
    <row r="3093" customFormat="false" ht="15" hidden="false" customHeight="false" outlineLevel="0" collapsed="false">
      <c r="A3093" s="19"/>
      <c r="B3093" s="19"/>
      <c r="C3093" s="19"/>
      <c r="D3093" s="19"/>
      <c r="E3093" s="22"/>
      <c r="F3093" s="19"/>
      <c r="G3093" s="26" t="str">
        <f aca="false">IF(D3093="","",IFERROR(VALUE(LEFT(D3093,FIND(" |",D3093&amp;" |")-1)),"?"))</f>
        <v/>
      </c>
      <c r="H3093" s="27" t="str">
        <f aca="false">IF(G3093="","",IF(G3093="?","⚠ pub inconnue",IFERROR(INDEX(Pubs!$B$2:$B$3001,MATCH(G3093,Pubs!$A$2:$A$3001,0))&amp;"","⚠ pub inconnue")))</f>
        <v/>
      </c>
      <c r="I3093" s="27" t="str">
        <f aca="false">IF(OR(G3093="",G3093="?"),"",IFERROR(INDEX(Pubs!$C$2:$C$3001,MATCH(G3093,Pubs!$A$2:$A$3001,0))&amp;"",""))</f>
        <v/>
      </c>
      <c r="J3093" s="27" t="str">
        <f aca="false">IF(OR(G3093="",G3093="?"),"",IFERROR(INDEX(Pubs!$G$2:$G$3001,MATCH(G3093,Pubs!$A$2:$A$3001,0))&amp;"",""))</f>
        <v/>
      </c>
      <c r="K3093" s="28" t="str">
        <f aca="false">IF(OR(G3093="",G3093="?"),"",IFERROR(INDEX(Pubs!$E$2:$E$3001,MATCH(G3093,Pubs!$A$2:$A$3001,0)),""))</f>
        <v/>
      </c>
      <c r="L3093" s="29" t="str">
        <f aca="false">IF(A3093="","",IFERROR(1/(1/INDEX(Numéros!$C$2:$C$3001,MATCH(A3093&amp;"|"&amp;B3093,Numéros!$F$2:$F$3001,0))),""))</f>
        <v/>
      </c>
      <c r="M3093" s="27" t="str">
        <f aca="false">IF(OR(G3093="",G3093="?"),"",IFERROR(INDEX(Pubs!$D$2:$D$3001,MATCH(G3093,Pubs!$A$2:$A$3001,0))&amp;"",""))</f>
        <v/>
      </c>
      <c r="N3093" s="27" t="n">
        <f aca="false">N(N3092)+IF(AND(A3093&lt;&gt;"",OR(Recherche!$C$4="",A3093=Recherche!$C$4),OR(Recherche!$C$5="",B3093&amp;""=Recherche!$C$5&amp;""),OR(Recherche!$C$6="",IFERROR(YEAR(L3093),0)=Recherche!$C$6),OR(Recherche!$C$7="",ISNUMBER(SEARCH(Recherche!$C$7,H3093))),OR(Recherche!$C$8="",J3093=Recherche!$C$8),OR(Recherche!$C$9="",I3093=Recherche!$C$9),OR(Recherche!$C$10="",G3093&amp;""=Recherche!$C$10&amp;""),OR(Recherche!$C$11="",E3093=Recherche!$C$11),OR(Recherche!$C$12="",ISNUMBER(SEARCH(Recherche!$C$12,M3093&amp;" "&amp;F3093)))),1,0)</f>
        <v>8</v>
      </c>
    </row>
    <row r="3094" customFormat="false" ht="15" hidden="false" customHeight="false" outlineLevel="0" collapsed="false">
      <c r="A3094" s="19"/>
      <c r="B3094" s="19"/>
      <c r="C3094" s="19"/>
      <c r="D3094" s="19"/>
      <c r="E3094" s="22"/>
      <c r="F3094" s="19"/>
      <c r="G3094" s="26" t="str">
        <f aca="false">IF(D3094="","",IFERROR(VALUE(LEFT(D3094,FIND(" |",D3094&amp;" |")-1)),"?"))</f>
        <v/>
      </c>
      <c r="H3094" s="27" t="str">
        <f aca="false">IF(G3094="","",IF(G3094="?","⚠ pub inconnue",IFERROR(INDEX(Pubs!$B$2:$B$3001,MATCH(G3094,Pubs!$A$2:$A$3001,0))&amp;"","⚠ pub inconnue")))</f>
        <v/>
      </c>
      <c r="I3094" s="27" t="str">
        <f aca="false">IF(OR(G3094="",G3094="?"),"",IFERROR(INDEX(Pubs!$C$2:$C$3001,MATCH(G3094,Pubs!$A$2:$A$3001,0))&amp;"",""))</f>
        <v/>
      </c>
      <c r="J3094" s="27" t="str">
        <f aca="false">IF(OR(G3094="",G3094="?"),"",IFERROR(INDEX(Pubs!$G$2:$G$3001,MATCH(G3094,Pubs!$A$2:$A$3001,0))&amp;"",""))</f>
        <v/>
      </c>
      <c r="K3094" s="28" t="str">
        <f aca="false">IF(OR(G3094="",G3094="?"),"",IFERROR(INDEX(Pubs!$E$2:$E$3001,MATCH(G3094,Pubs!$A$2:$A$3001,0)),""))</f>
        <v/>
      </c>
      <c r="L3094" s="29" t="str">
        <f aca="false">IF(A3094="","",IFERROR(1/(1/INDEX(Numéros!$C$2:$C$3001,MATCH(A3094&amp;"|"&amp;B3094,Numéros!$F$2:$F$3001,0))),""))</f>
        <v/>
      </c>
      <c r="M3094" s="27" t="str">
        <f aca="false">IF(OR(G3094="",G3094="?"),"",IFERROR(INDEX(Pubs!$D$2:$D$3001,MATCH(G3094,Pubs!$A$2:$A$3001,0))&amp;"",""))</f>
        <v/>
      </c>
      <c r="N3094" s="27" t="n">
        <f aca="false">N(N3093)+IF(AND(A3094&lt;&gt;"",OR(Recherche!$C$4="",A3094=Recherche!$C$4),OR(Recherche!$C$5="",B3094&amp;""=Recherche!$C$5&amp;""),OR(Recherche!$C$6="",IFERROR(YEAR(L3094),0)=Recherche!$C$6),OR(Recherche!$C$7="",ISNUMBER(SEARCH(Recherche!$C$7,H3094))),OR(Recherche!$C$8="",J3094=Recherche!$C$8),OR(Recherche!$C$9="",I3094=Recherche!$C$9),OR(Recherche!$C$10="",G3094&amp;""=Recherche!$C$10&amp;""),OR(Recherche!$C$11="",E3094=Recherche!$C$11),OR(Recherche!$C$12="",ISNUMBER(SEARCH(Recherche!$C$12,M3094&amp;" "&amp;F3094)))),1,0)</f>
        <v>8</v>
      </c>
    </row>
    <row r="3095" customFormat="false" ht="15" hidden="false" customHeight="false" outlineLevel="0" collapsed="false">
      <c r="A3095" s="19"/>
      <c r="B3095" s="19"/>
      <c r="C3095" s="19"/>
      <c r="D3095" s="19"/>
      <c r="E3095" s="22"/>
      <c r="F3095" s="19"/>
      <c r="G3095" s="26" t="str">
        <f aca="false">IF(D3095="","",IFERROR(VALUE(LEFT(D3095,FIND(" |",D3095&amp;" |")-1)),"?"))</f>
        <v/>
      </c>
      <c r="H3095" s="27" t="str">
        <f aca="false">IF(G3095="","",IF(G3095="?","⚠ pub inconnue",IFERROR(INDEX(Pubs!$B$2:$B$3001,MATCH(G3095,Pubs!$A$2:$A$3001,0))&amp;"","⚠ pub inconnue")))</f>
        <v/>
      </c>
      <c r="I3095" s="27" t="str">
        <f aca="false">IF(OR(G3095="",G3095="?"),"",IFERROR(INDEX(Pubs!$C$2:$C$3001,MATCH(G3095,Pubs!$A$2:$A$3001,0))&amp;"",""))</f>
        <v/>
      </c>
      <c r="J3095" s="27" t="str">
        <f aca="false">IF(OR(G3095="",G3095="?"),"",IFERROR(INDEX(Pubs!$G$2:$G$3001,MATCH(G3095,Pubs!$A$2:$A$3001,0))&amp;"",""))</f>
        <v/>
      </c>
      <c r="K3095" s="28" t="str">
        <f aca="false">IF(OR(G3095="",G3095="?"),"",IFERROR(INDEX(Pubs!$E$2:$E$3001,MATCH(G3095,Pubs!$A$2:$A$3001,0)),""))</f>
        <v/>
      </c>
      <c r="L3095" s="29" t="str">
        <f aca="false">IF(A3095="","",IFERROR(1/(1/INDEX(Numéros!$C$2:$C$3001,MATCH(A3095&amp;"|"&amp;B3095,Numéros!$F$2:$F$3001,0))),""))</f>
        <v/>
      </c>
      <c r="M3095" s="27" t="str">
        <f aca="false">IF(OR(G3095="",G3095="?"),"",IFERROR(INDEX(Pubs!$D$2:$D$3001,MATCH(G3095,Pubs!$A$2:$A$3001,0))&amp;"",""))</f>
        <v/>
      </c>
      <c r="N3095" s="27" t="n">
        <f aca="false">N(N3094)+IF(AND(A3095&lt;&gt;"",OR(Recherche!$C$4="",A3095=Recherche!$C$4),OR(Recherche!$C$5="",B3095&amp;""=Recherche!$C$5&amp;""),OR(Recherche!$C$6="",IFERROR(YEAR(L3095),0)=Recherche!$C$6),OR(Recherche!$C$7="",ISNUMBER(SEARCH(Recherche!$C$7,H3095))),OR(Recherche!$C$8="",J3095=Recherche!$C$8),OR(Recherche!$C$9="",I3095=Recherche!$C$9),OR(Recherche!$C$10="",G3095&amp;""=Recherche!$C$10&amp;""),OR(Recherche!$C$11="",E3095=Recherche!$C$11),OR(Recherche!$C$12="",ISNUMBER(SEARCH(Recherche!$C$12,M3095&amp;" "&amp;F3095)))),1,0)</f>
        <v>8</v>
      </c>
    </row>
    <row r="3096" customFormat="false" ht="15" hidden="false" customHeight="false" outlineLevel="0" collapsed="false">
      <c r="A3096" s="19"/>
      <c r="B3096" s="19"/>
      <c r="C3096" s="19"/>
      <c r="D3096" s="19"/>
      <c r="E3096" s="22"/>
      <c r="F3096" s="19"/>
      <c r="G3096" s="26" t="str">
        <f aca="false">IF(D3096="","",IFERROR(VALUE(LEFT(D3096,FIND(" |",D3096&amp;" |")-1)),"?"))</f>
        <v/>
      </c>
      <c r="H3096" s="27" t="str">
        <f aca="false">IF(G3096="","",IF(G3096="?","⚠ pub inconnue",IFERROR(INDEX(Pubs!$B$2:$B$3001,MATCH(G3096,Pubs!$A$2:$A$3001,0))&amp;"","⚠ pub inconnue")))</f>
        <v/>
      </c>
      <c r="I3096" s="27" t="str">
        <f aca="false">IF(OR(G3096="",G3096="?"),"",IFERROR(INDEX(Pubs!$C$2:$C$3001,MATCH(G3096,Pubs!$A$2:$A$3001,0))&amp;"",""))</f>
        <v/>
      </c>
      <c r="J3096" s="27" t="str">
        <f aca="false">IF(OR(G3096="",G3096="?"),"",IFERROR(INDEX(Pubs!$G$2:$G$3001,MATCH(G3096,Pubs!$A$2:$A$3001,0))&amp;"",""))</f>
        <v/>
      </c>
      <c r="K3096" s="28" t="str">
        <f aca="false">IF(OR(G3096="",G3096="?"),"",IFERROR(INDEX(Pubs!$E$2:$E$3001,MATCH(G3096,Pubs!$A$2:$A$3001,0)),""))</f>
        <v/>
      </c>
      <c r="L3096" s="29" t="str">
        <f aca="false">IF(A3096="","",IFERROR(1/(1/INDEX(Numéros!$C$2:$C$3001,MATCH(A3096&amp;"|"&amp;B3096,Numéros!$F$2:$F$3001,0))),""))</f>
        <v/>
      </c>
      <c r="M3096" s="27" t="str">
        <f aca="false">IF(OR(G3096="",G3096="?"),"",IFERROR(INDEX(Pubs!$D$2:$D$3001,MATCH(G3096,Pubs!$A$2:$A$3001,0))&amp;"",""))</f>
        <v/>
      </c>
      <c r="N3096" s="27" t="n">
        <f aca="false">N(N3095)+IF(AND(A3096&lt;&gt;"",OR(Recherche!$C$4="",A3096=Recherche!$C$4),OR(Recherche!$C$5="",B3096&amp;""=Recherche!$C$5&amp;""),OR(Recherche!$C$6="",IFERROR(YEAR(L3096),0)=Recherche!$C$6),OR(Recherche!$C$7="",ISNUMBER(SEARCH(Recherche!$C$7,H3096))),OR(Recherche!$C$8="",J3096=Recherche!$C$8),OR(Recherche!$C$9="",I3096=Recherche!$C$9),OR(Recherche!$C$10="",G3096&amp;""=Recherche!$C$10&amp;""),OR(Recherche!$C$11="",E3096=Recherche!$C$11),OR(Recherche!$C$12="",ISNUMBER(SEARCH(Recherche!$C$12,M3096&amp;" "&amp;F3096)))),1,0)</f>
        <v>8</v>
      </c>
    </row>
    <row r="3097" customFormat="false" ht="15" hidden="false" customHeight="false" outlineLevel="0" collapsed="false">
      <c r="A3097" s="19"/>
      <c r="B3097" s="19"/>
      <c r="C3097" s="19"/>
      <c r="D3097" s="19"/>
      <c r="E3097" s="22"/>
      <c r="F3097" s="19"/>
      <c r="G3097" s="26" t="str">
        <f aca="false">IF(D3097="","",IFERROR(VALUE(LEFT(D3097,FIND(" |",D3097&amp;" |")-1)),"?"))</f>
        <v/>
      </c>
      <c r="H3097" s="27" t="str">
        <f aca="false">IF(G3097="","",IF(G3097="?","⚠ pub inconnue",IFERROR(INDEX(Pubs!$B$2:$B$3001,MATCH(G3097,Pubs!$A$2:$A$3001,0))&amp;"","⚠ pub inconnue")))</f>
        <v/>
      </c>
      <c r="I3097" s="27" t="str">
        <f aca="false">IF(OR(G3097="",G3097="?"),"",IFERROR(INDEX(Pubs!$C$2:$C$3001,MATCH(G3097,Pubs!$A$2:$A$3001,0))&amp;"",""))</f>
        <v/>
      </c>
      <c r="J3097" s="27" t="str">
        <f aca="false">IF(OR(G3097="",G3097="?"),"",IFERROR(INDEX(Pubs!$G$2:$G$3001,MATCH(G3097,Pubs!$A$2:$A$3001,0))&amp;"",""))</f>
        <v/>
      </c>
      <c r="K3097" s="28" t="str">
        <f aca="false">IF(OR(G3097="",G3097="?"),"",IFERROR(INDEX(Pubs!$E$2:$E$3001,MATCH(G3097,Pubs!$A$2:$A$3001,0)),""))</f>
        <v/>
      </c>
      <c r="L3097" s="29" t="str">
        <f aca="false">IF(A3097="","",IFERROR(1/(1/INDEX(Numéros!$C$2:$C$3001,MATCH(A3097&amp;"|"&amp;B3097,Numéros!$F$2:$F$3001,0))),""))</f>
        <v/>
      </c>
      <c r="M3097" s="27" t="str">
        <f aca="false">IF(OR(G3097="",G3097="?"),"",IFERROR(INDEX(Pubs!$D$2:$D$3001,MATCH(G3097,Pubs!$A$2:$A$3001,0))&amp;"",""))</f>
        <v/>
      </c>
      <c r="N3097" s="27" t="n">
        <f aca="false">N(N3096)+IF(AND(A3097&lt;&gt;"",OR(Recherche!$C$4="",A3097=Recherche!$C$4),OR(Recherche!$C$5="",B3097&amp;""=Recherche!$C$5&amp;""),OR(Recherche!$C$6="",IFERROR(YEAR(L3097),0)=Recherche!$C$6),OR(Recherche!$C$7="",ISNUMBER(SEARCH(Recherche!$C$7,H3097))),OR(Recherche!$C$8="",J3097=Recherche!$C$8),OR(Recherche!$C$9="",I3097=Recherche!$C$9),OR(Recherche!$C$10="",G3097&amp;""=Recherche!$C$10&amp;""),OR(Recherche!$C$11="",E3097=Recherche!$C$11),OR(Recherche!$C$12="",ISNUMBER(SEARCH(Recherche!$C$12,M3097&amp;" "&amp;F3097)))),1,0)</f>
        <v>8</v>
      </c>
    </row>
    <row r="3098" customFormat="false" ht="15" hidden="false" customHeight="false" outlineLevel="0" collapsed="false">
      <c r="A3098" s="19"/>
      <c r="B3098" s="19"/>
      <c r="C3098" s="19"/>
      <c r="D3098" s="19"/>
      <c r="E3098" s="22"/>
      <c r="F3098" s="19"/>
      <c r="G3098" s="26" t="str">
        <f aca="false">IF(D3098="","",IFERROR(VALUE(LEFT(D3098,FIND(" |",D3098&amp;" |")-1)),"?"))</f>
        <v/>
      </c>
      <c r="H3098" s="27" t="str">
        <f aca="false">IF(G3098="","",IF(G3098="?","⚠ pub inconnue",IFERROR(INDEX(Pubs!$B$2:$B$3001,MATCH(G3098,Pubs!$A$2:$A$3001,0))&amp;"","⚠ pub inconnue")))</f>
        <v/>
      </c>
      <c r="I3098" s="27" t="str">
        <f aca="false">IF(OR(G3098="",G3098="?"),"",IFERROR(INDEX(Pubs!$C$2:$C$3001,MATCH(G3098,Pubs!$A$2:$A$3001,0))&amp;"",""))</f>
        <v/>
      </c>
      <c r="J3098" s="27" t="str">
        <f aca="false">IF(OR(G3098="",G3098="?"),"",IFERROR(INDEX(Pubs!$G$2:$G$3001,MATCH(G3098,Pubs!$A$2:$A$3001,0))&amp;"",""))</f>
        <v/>
      </c>
      <c r="K3098" s="28" t="str">
        <f aca="false">IF(OR(G3098="",G3098="?"),"",IFERROR(INDEX(Pubs!$E$2:$E$3001,MATCH(G3098,Pubs!$A$2:$A$3001,0)),""))</f>
        <v/>
      </c>
      <c r="L3098" s="29" t="str">
        <f aca="false">IF(A3098="","",IFERROR(1/(1/INDEX(Numéros!$C$2:$C$3001,MATCH(A3098&amp;"|"&amp;B3098,Numéros!$F$2:$F$3001,0))),""))</f>
        <v/>
      </c>
      <c r="M3098" s="27" t="str">
        <f aca="false">IF(OR(G3098="",G3098="?"),"",IFERROR(INDEX(Pubs!$D$2:$D$3001,MATCH(G3098,Pubs!$A$2:$A$3001,0))&amp;"",""))</f>
        <v/>
      </c>
      <c r="N3098" s="27" t="n">
        <f aca="false">N(N3097)+IF(AND(A3098&lt;&gt;"",OR(Recherche!$C$4="",A3098=Recherche!$C$4),OR(Recherche!$C$5="",B3098&amp;""=Recherche!$C$5&amp;""),OR(Recherche!$C$6="",IFERROR(YEAR(L3098),0)=Recherche!$C$6),OR(Recherche!$C$7="",ISNUMBER(SEARCH(Recherche!$C$7,H3098))),OR(Recherche!$C$8="",J3098=Recherche!$C$8),OR(Recherche!$C$9="",I3098=Recherche!$C$9),OR(Recherche!$C$10="",G3098&amp;""=Recherche!$C$10&amp;""),OR(Recherche!$C$11="",E3098=Recherche!$C$11),OR(Recherche!$C$12="",ISNUMBER(SEARCH(Recherche!$C$12,M3098&amp;" "&amp;F3098)))),1,0)</f>
        <v>8</v>
      </c>
    </row>
    <row r="3099" customFormat="false" ht="15" hidden="false" customHeight="false" outlineLevel="0" collapsed="false">
      <c r="A3099" s="19"/>
      <c r="B3099" s="19"/>
      <c r="C3099" s="19"/>
      <c r="D3099" s="19"/>
      <c r="E3099" s="22"/>
      <c r="F3099" s="19"/>
      <c r="G3099" s="26" t="str">
        <f aca="false">IF(D3099="","",IFERROR(VALUE(LEFT(D3099,FIND(" |",D3099&amp;" |")-1)),"?"))</f>
        <v/>
      </c>
      <c r="H3099" s="27" t="str">
        <f aca="false">IF(G3099="","",IF(G3099="?","⚠ pub inconnue",IFERROR(INDEX(Pubs!$B$2:$B$3001,MATCH(G3099,Pubs!$A$2:$A$3001,0))&amp;"","⚠ pub inconnue")))</f>
        <v/>
      </c>
      <c r="I3099" s="27" t="str">
        <f aca="false">IF(OR(G3099="",G3099="?"),"",IFERROR(INDEX(Pubs!$C$2:$C$3001,MATCH(G3099,Pubs!$A$2:$A$3001,0))&amp;"",""))</f>
        <v/>
      </c>
      <c r="J3099" s="27" t="str">
        <f aca="false">IF(OR(G3099="",G3099="?"),"",IFERROR(INDEX(Pubs!$G$2:$G$3001,MATCH(G3099,Pubs!$A$2:$A$3001,0))&amp;"",""))</f>
        <v/>
      </c>
      <c r="K3099" s="28" t="str">
        <f aca="false">IF(OR(G3099="",G3099="?"),"",IFERROR(INDEX(Pubs!$E$2:$E$3001,MATCH(G3099,Pubs!$A$2:$A$3001,0)),""))</f>
        <v/>
      </c>
      <c r="L3099" s="29" t="str">
        <f aca="false">IF(A3099="","",IFERROR(1/(1/INDEX(Numéros!$C$2:$C$3001,MATCH(A3099&amp;"|"&amp;B3099,Numéros!$F$2:$F$3001,0))),""))</f>
        <v/>
      </c>
      <c r="M3099" s="27" t="str">
        <f aca="false">IF(OR(G3099="",G3099="?"),"",IFERROR(INDEX(Pubs!$D$2:$D$3001,MATCH(G3099,Pubs!$A$2:$A$3001,0))&amp;"",""))</f>
        <v/>
      </c>
      <c r="N3099" s="27" t="n">
        <f aca="false">N(N3098)+IF(AND(A3099&lt;&gt;"",OR(Recherche!$C$4="",A3099=Recherche!$C$4),OR(Recherche!$C$5="",B3099&amp;""=Recherche!$C$5&amp;""),OR(Recherche!$C$6="",IFERROR(YEAR(L3099),0)=Recherche!$C$6),OR(Recherche!$C$7="",ISNUMBER(SEARCH(Recherche!$C$7,H3099))),OR(Recherche!$C$8="",J3099=Recherche!$C$8),OR(Recherche!$C$9="",I3099=Recherche!$C$9),OR(Recherche!$C$10="",G3099&amp;""=Recherche!$C$10&amp;""),OR(Recherche!$C$11="",E3099=Recherche!$C$11),OR(Recherche!$C$12="",ISNUMBER(SEARCH(Recherche!$C$12,M3099&amp;" "&amp;F3099)))),1,0)</f>
        <v>8</v>
      </c>
    </row>
    <row r="3100" customFormat="false" ht="15" hidden="false" customHeight="false" outlineLevel="0" collapsed="false">
      <c r="A3100" s="19"/>
      <c r="B3100" s="19"/>
      <c r="C3100" s="19"/>
      <c r="D3100" s="19"/>
      <c r="E3100" s="22"/>
      <c r="F3100" s="19"/>
      <c r="G3100" s="26" t="str">
        <f aca="false">IF(D3100="","",IFERROR(VALUE(LEFT(D3100,FIND(" |",D3100&amp;" |")-1)),"?"))</f>
        <v/>
      </c>
      <c r="H3100" s="27" t="str">
        <f aca="false">IF(G3100="","",IF(G3100="?","⚠ pub inconnue",IFERROR(INDEX(Pubs!$B$2:$B$3001,MATCH(G3100,Pubs!$A$2:$A$3001,0))&amp;"","⚠ pub inconnue")))</f>
        <v/>
      </c>
      <c r="I3100" s="27" t="str">
        <f aca="false">IF(OR(G3100="",G3100="?"),"",IFERROR(INDEX(Pubs!$C$2:$C$3001,MATCH(G3100,Pubs!$A$2:$A$3001,0))&amp;"",""))</f>
        <v/>
      </c>
      <c r="J3100" s="27" t="str">
        <f aca="false">IF(OR(G3100="",G3100="?"),"",IFERROR(INDEX(Pubs!$G$2:$G$3001,MATCH(G3100,Pubs!$A$2:$A$3001,0))&amp;"",""))</f>
        <v/>
      </c>
      <c r="K3100" s="28" t="str">
        <f aca="false">IF(OR(G3100="",G3100="?"),"",IFERROR(INDEX(Pubs!$E$2:$E$3001,MATCH(G3100,Pubs!$A$2:$A$3001,0)),""))</f>
        <v/>
      </c>
      <c r="L3100" s="29" t="str">
        <f aca="false">IF(A3100="","",IFERROR(1/(1/INDEX(Numéros!$C$2:$C$3001,MATCH(A3100&amp;"|"&amp;B3100,Numéros!$F$2:$F$3001,0))),""))</f>
        <v/>
      </c>
      <c r="M3100" s="27" t="str">
        <f aca="false">IF(OR(G3100="",G3100="?"),"",IFERROR(INDEX(Pubs!$D$2:$D$3001,MATCH(G3100,Pubs!$A$2:$A$3001,0))&amp;"",""))</f>
        <v/>
      </c>
      <c r="N3100" s="27" t="n">
        <f aca="false">N(N3099)+IF(AND(A3100&lt;&gt;"",OR(Recherche!$C$4="",A3100=Recherche!$C$4),OR(Recherche!$C$5="",B3100&amp;""=Recherche!$C$5&amp;""),OR(Recherche!$C$6="",IFERROR(YEAR(L3100),0)=Recherche!$C$6),OR(Recherche!$C$7="",ISNUMBER(SEARCH(Recherche!$C$7,H3100))),OR(Recherche!$C$8="",J3100=Recherche!$C$8),OR(Recherche!$C$9="",I3100=Recherche!$C$9),OR(Recherche!$C$10="",G3100&amp;""=Recherche!$C$10&amp;""),OR(Recherche!$C$11="",E3100=Recherche!$C$11),OR(Recherche!$C$12="",ISNUMBER(SEARCH(Recherche!$C$12,M3100&amp;" "&amp;F3100)))),1,0)</f>
        <v>8</v>
      </c>
    </row>
    <row r="3101" customFormat="false" ht="15" hidden="false" customHeight="false" outlineLevel="0" collapsed="false">
      <c r="A3101" s="19"/>
      <c r="B3101" s="19"/>
      <c r="C3101" s="19"/>
      <c r="D3101" s="19"/>
      <c r="E3101" s="22"/>
      <c r="F3101" s="19"/>
      <c r="G3101" s="26" t="str">
        <f aca="false">IF(D3101="","",IFERROR(VALUE(LEFT(D3101,FIND(" |",D3101&amp;" |")-1)),"?"))</f>
        <v/>
      </c>
      <c r="H3101" s="27" t="str">
        <f aca="false">IF(G3101="","",IF(G3101="?","⚠ pub inconnue",IFERROR(INDEX(Pubs!$B$2:$B$3001,MATCH(G3101,Pubs!$A$2:$A$3001,0))&amp;"","⚠ pub inconnue")))</f>
        <v/>
      </c>
      <c r="I3101" s="27" t="str">
        <f aca="false">IF(OR(G3101="",G3101="?"),"",IFERROR(INDEX(Pubs!$C$2:$C$3001,MATCH(G3101,Pubs!$A$2:$A$3001,0))&amp;"",""))</f>
        <v/>
      </c>
      <c r="J3101" s="27" t="str">
        <f aca="false">IF(OR(G3101="",G3101="?"),"",IFERROR(INDEX(Pubs!$G$2:$G$3001,MATCH(G3101,Pubs!$A$2:$A$3001,0))&amp;"",""))</f>
        <v/>
      </c>
      <c r="K3101" s="28" t="str">
        <f aca="false">IF(OR(G3101="",G3101="?"),"",IFERROR(INDEX(Pubs!$E$2:$E$3001,MATCH(G3101,Pubs!$A$2:$A$3001,0)),""))</f>
        <v/>
      </c>
      <c r="L3101" s="29" t="str">
        <f aca="false">IF(A3101="","",IFERROR(1/(1/INDEX(Numéros!$C$2:$C$3001,MATCH(A3101&amp;"|"&amp;B3101,Numéros!$F$2:$F$3001,0))),""))</f>
        <v/>
      </c>
      <c r="M3101" s="27" t="str">
        <f aca="false">IF(OR(G3101="",G3101="?"),"",IFERROR(INDEX(Pubs!$D$2:$D$3001,MATCH(G3101,Pubs!$A$2:$A$3001,0))&amp;"",""))</f>
        <v/>
      </c>
      <c r="N3101" s="27" t="n">
        <f aca="false">N(N3100)+IF(AND(A3101&lt;&gt;"",OR(Recherche!$C$4="",A3101=Recherche!$C$4),OR(Recherche!$C$5="",B3101&amp;""=Recherche!$C$5&amp;""),OR(Recherche!$C$6="",IFERROR(YEAR(L3101),0)=Recherche!$C$6),OR(Recherche!$C$7="",ISNUMBER(SEARCH(Recherche!$C$7,H3101))),OR(Recherche!$C$8="",J3101=Recherche!$C$8),OR(Recherche!$C$9="",I3101=Recherche!$C$9),OR(Recherche!$C$10="",G3101&amp;""=Recherche!$C$10&amp;""),OR(Recherche!$C$11="",E3101=Recherche!$C$11),OR(Recherche!$C$12="",ISNUMBER(SEARCH(Recherche!$C$12,M3101&amp;" "&amp;F3101)))),1,0)</f>
        <v>8</v>
      </c>
    </row>
    <row r="3102" customFormat="false" ht="15" hidden="false" customHeight="false" outlineLevel="0" collapsed="false">
      <c r="A3102" s="19"/>
      <c r="B3102" s="19"/>
      <c r="C3102" s="19"/>
      <c r="D3102" s="19"/>
      <c r="E3102" s="22"/>
      <c r="F3102" s="19"/>
      <c r="G3102" s="26" t="str">
        <f aca="false">IF(D3102="","",IFERROR(VALUE(LEFT(D3102,FIND(" |",D3102&amp;" |")-1)),"?"))</f>
        <v/>
      </c>
      <c r="H3102" s="27" t="str">
        <f aca="false">IF(G3102="","",IF(G3102="?","⚠ pub inconnue",IFERROR(INDEX(Pubs!$B$2:$B$3001,MATCH(G3102,Pubs!$A$2:$A$3001,0))&amp;"","⚠ pub inconnue")))</f>
        <v/>
      </c>
      <c r="I3102" s="27" t="str">
        <f aca="false">IF(OR(G3102="",G3102="?"),"",IFERROR(INDEX(Pubs!$C$2:$C$3001,MATCH(G3102,Pubs!$A$2:$A$3001,0))&amp;"",""))</f>
        <v/>
      </c>
      <c r="J3102" s="27" t="str">
        <f aca="false">IF(OR(G3102="",G3102="?"),"",IFERROR(INDEX(Pubs!$G$2:$G$3001,MATCH(G3102,Pubs!$A$2:$A$3001,0))&amp;"",""))</f>
        <v/>
      </c>
      <c r="K3102" s="28" t="str">
        <f aca="false">IF(OR(G3102="",G3102="?"),"",IFERROR(INDEX(Pubs!$E$2:$E$3001,MATCH(G3102,Pubs!$A$2:$A$3001,0)),""))</f>
        <v/>
      </c>
      <c r="L3102" s="29" t="str">
        <f aca="false">IF(A3102="","",IFERROR(1/(1/INDEX(Numéros!$C$2:$C$3001,MATCH(A3102&amp;"|"&amp;B3102,Numéros!$F$2:$F$3001,0))),""))</f>
        <v/>
      </c>
      <c r="M3102" s="27" t="str">
        <f aca="false">IF(OR(G3102="",G3102="?"),"",IFERROR(INDEX(Pubs!$D$2:$D$3001,MATCH(G3102,Pubs!$A$2:$A$3001,0))&amp;"",""))</f>
        <v/>
      </c>
      <c r="N3102" s="27" t="n">
        <f aca="false">N(N3101)+IF(AND(A3102&lt;&gt;"",OR(Recherche!$C$4="",A3102=Recherche!$C$4),OR(Recherche!$C$5="",B3102&amp;""=Recherche!$C$5&amp;""),OR(Recherche!$C$6="",IFERROR(YEAR(L3102),0)=Recherche!$C$6),OR(Recherche!$C$7="",ISNUMBER(SEARCH(Recherche!$C$7,H3102))),OR(Recherche!$C$8="",J3102=Recherche!$C$8),OR(Recherche!$C$9="",I3102=Recherche!$C$9),OR(Recherche!$C$10="",G3102&amp;""=Recherche!$C$10&amp;""),OR(Recherche!$C$11="",E3102=Recherche!$C$11),OR(Recherche!$C$12="",ISNUMBER(SEARCH(Recherche!$C$12,M3102&amp;" "&amp;F3102)))),1,0)</f>
        <v>8</v>
      </c>
    </row>
    <row r="3103" customFormat="false" ht="15" hidden="false" customHeight="false" outlineLevel="0" collapsed="false">
      <c r="A3103" s="19"/>
      <c r="B3103" s="19"/>
      <c r="C3103" s="19"/>
      <c r="D3103" s="19"/>
      <c r="E3103" s="22"/>
      <c r="F3103" s="19"/>
      <c r="G3103" s="26" t="str">
        <f aca="false">IF(D3103="","",IFERROR(VALUE(LEFT(D3103,FIND(" |",D3103&amp;" |")-1)),"?"))</f>
        <v/>
      </c>
      <c r="H3103" s="27" t="str">
        <f aca="false">IF(G3103="","",IF(G3103="?","⚠ pub inconnue",IFERROR(INDEX(Pubs!$B$2:$B$3001,MATCH(G3103,Pubs!$A$2:$A$3001,0))&amp;"","⚠ pub inconnue")))</f>
        <v/>
      </c>
      <c r="I3103" s="27" t="str">
        <f aca="false">IF(OR(G3103="",G3103="?"),"",IFERROR(INDEX(Pubs!$C$2:$C$3001,MATCH(G3103,Pubs!$A$2:$A$3001,0))&amp;"",""))</f>
        <v/>
      </c>
      <c r="J3103" s="27" t="str">
        <f aca="false">IF(OR(G3103="",G3103="?"),"",IFERROR(INDEX(Pubs!$G$2:$G$3001,MATCH(G3103,Pubs!$A$2:$A$3001,0))&amp;"",""))</f>
        <v/>
      </c>
      <c r="K3103" s="28" t="str">
        <f aca="false">IF(OR(G3103="",G3103="?"),"",IFERROR(INDEX(Pubs!$E$2:$E$3001,MATCH(G3103,Pubs!$A$2:$A$3001,0)),""))</f>
        <v/>
      </c>
      <c r="L3103" s="29" t="str">
        <f aca="false">IF(A3103="","",IFERROR(1/(1/INDEX(Numéros!$C$2:$C$3001,MATCH(A3103&amp;"|"&amp;B3103,Numéros!$F$2:$F$3001,0))),""))</f>
        <v/>
      </c>
      <c r="M3103" s="27" t="str">
        <f aca="false">IF(OR(G3103="",G3103="?"),"",IFERROR(INDEX(Pubs!$D$2:$D$3001,MATCH(G3103,Pubs!$A$2:$A$3001,0))&amp;"",""))</f>
        <v/>
      </c>
      <c r="N3103" s="27" t="n">
        <f aca="false">N(N3102)+IF(AND(A3103&lt;&gt;"",OR(Recherche!$C$4="",A3103=Recherche!$C$4),OR(Recherche!$C$5="",B3103&amp;""=Recherche!$C$5&amp;""),OR(Recherche!$C$6="",IFERROR(YEAR(L3103),0)=Recherche!$C$6),OR(Recherche!$C$7="",ISNUMBER(SEARCH(Recherche!$C$7,H3103))),OR(Recherche!$C$8="",J3103=Recherche!$C$8),OR(Recherche!$C$9="",I3103=Recherche!$C$9),OR(Recherche!$C$10="",G3103&amp;""=Recherche!$C$10&amp;""),OR(Recherche!$C$11="",E3103=Recherche!$C$11),OR(Recherche!$C$12="",ISNUMBER(SEARCH(Recherche!$C$12,M3103&amp;" "&amp;F3103)))),1,0)</f>
        <v>8</v>
      </c>
    </row>
    <row r="3104" customFormat="false" ht="15" hidden="false" customHeight="false" outlineLevel="0" collapsed="false">
      <c r="A3104" s="19"/>
      <c r="B3104" s="19"/>
      <c r="C3104" s="19"/>
      <c r="D3104" s="19"/>
      <c r="E3104" s="22"/>
      <c r="F3104" s="19"/>
      <c r="G3104" s="26" t="str">
        <f aca="false">IF(D3104="","",IFERROR(VALUE(LEFT(D3104,FIND(" |",D3104&amp;" |")-1)),"?"))</f>
        <v/>
      </c>
      <c r="H3104" s="27" t="str">
        <f aca="false">IF(G3104="","",IF(G3104="?","⚠ pub inconnue",IFERROR(INDEX(Pubs!$B$2:$B$3001,MATCH(G3104,Pubs!$A$2:$A$3001,0))&amp;"","⚠ pub inconnue")))</f>
        <v/>
      </c>
      <c r="I3104" s="27" t="str">
        <f aca="false">IF(OR(G3104="",G3104="?"),"",IFERROR(INDEX(Pubs!$C$2:$C$3001,MATCH(G3104,Pubs!$A$2:$A$3001,0))&amp;"",""))</f>
        <v/>
      </c>
      <c r="J3104" s="27" t="str">
        <f aca="false">IF(OR(G3104="",G3104="?"),"",IFERROR(INDEX(Pubs!$G$2:$G$3001,MATCH(G3104,Pubs!$A$2:$A$3001,0))&amp;"",""))</f>
        <v/>
      </c>
      <c r="K3104" s="28" t="str">
        <f aca="false">IF(OR(G3104="",G3104="?"),"",IFERROR(INDEX(Pubs!$E$2:$E$3001,MATCH(G3104,Pubs!$A$2:$A$3001,0)),""))</f>
        <v/>
      </c>
      <c r="L3104" s="29" t="str">
        <f aca="false">IF(A3104="","",IFERROR(1/(1/INDEX(Numéros!$C$2:$C$3001,MATCH(A3104&amp;"|"&amp;B3104,Numéros!$F$2:$F$3001,0))),""))</f>
        <v/>
      </c>
      <c r="M3104" s="27" t="str">
        <f aca="false">IF(OR(G3104="",G3104="?"),"",IFERROR(INDEX(Pubs!$D$2:$D$3001,MATCH(G3104,Pubs!$A$2:$A$3001,0))&amp;"",""))</f>
        <v/>
      </c>
      <c r="N3104" s="27" t="n">
        <f aca="false">N(N3103)+IF(AND(A3104&lt;&gt;"",OR(Recherche!$C$4="",A3104=Recherche!$C$4),OR(Recherche!$C$5="",B3104&amp;""=Recherche!$C$5&amp;""),OR(Recherche!$C$6="",IFERROR(YEAR(L3104),0)=Recherche!$C$6),OR(Recherche!$C$7="",ISNUMBER(SEARCH(Recherche!$C$7,H3104))),OR(Recherche!$C$8="",J3104=Recherche!$C$8),OR(Recherche!$C$9="",I3104=Recherche!$C$9),OR(Recherche!$C$10="",G3104&amp;""=Recherche!$C$10&amp;""),OR(Recherche!$C$11="",E3104=Recherche!$C$11),OR(Recherche!$C$12="",ISNUMBER(SEARCH(Recherche!$C$12,M3104&amp;" "&amp;F3104)))),1,0)</f>
        <v>8</v>
      </c>
    </row>
    <row r="3105" customFormat="false" ht="15" hidden="false" customHeight="false" outlineLevel="0" collapsed="false">
      <c r="A3105" s="19"/>
      <c r="B3105" s="19"/>
      <c r="C3105" s="19"/>
      <c r="D3105" s="19"/>
      <c r="E3105" s="22"/>
      <c r="F3105" s="19"/>
      <c r="G3105" s="26" t="str">
        <f aca="false">IF(D3105="","",IFERROR(VALUE(LEFT(D3105,FIND(" |",D3105&amp;" |")-1)),"?"))</f>
        <v/>
      </c>
      <c r="H3105" s="27" t="str">
        <f aca="false">IF(G3105="","",IF(G3105="?","⚠ pub inconnue",IFERROR(INDEX(Pubs!$B$2:$B$3001,MATCH(G3105,Pubs!$A$2:$A$3001,0))&amp;"","⚠ pub inconnue")))</f>
        <v/>
      </c>
      <c r="I3105" s="27" t="str">
        <f aca="false">IF(OR(G3105="",G3105="?"),"",IFERROR(INDEX(Pubs!$C$2:$C$3001,MATCH(G3105,Pubs!$A$2:$A$3001,0))&amp;"",""))</f>
        <v/>
      </c>
      <c r="J3105" s="27" t="str">
        <f aca="false">IF(OR(G3105="",G3105="?"),"",IFERROR(INDEX(Pubs!$G$2:$G$3001,MATCH(G3105,Pubs!$A$2:$A$3001,0))&amp;"",""))</f>
        <v/>
      </c>
      <c r="K3105" s="28" t="str">
        <f aca="false">IF(OR(G3105="",G3105="?"),"",IFERROR(INDEX(Pubs!$E$2:$E$3001,MATCH(G3105,Pubs!$A$2:$A$3001,0)),""))</f>
        <v/>
      </c>
      <c r="L3105" s="29" t="str">
        <f aca="false">IF(A3105="","",IFERROR(1/(1/INDEX(Numéros!$C$2:$C$3001,MATCH(A3105&amp;"|"&amp;B3105,Numéros!$F$2:$F$3001,0))),""))</f>
        <v/>
      </c>
      <c r="M3105" s="27" t="str">
        <f aca="false">IF(OR(G3105="",G3105="?"),"",IFERROR(INDEX(Pubs!$D$2:$D$3001,MATCH(G3105,Pubs!$A$2:$A$3001,0))&amp;"",""))</f>
        <v/>
      </c>
      <c r="N3105" s="27" t="n">
        <f aca="false">N(N3104)+IF(AND(A3105&lt;&gt;"",OR(Recherche!$C$4="",A3105=Recherche!$C$4),OR(Recherche!$C$5="",B3105&amp;""=Recherche!$C$5&amp;""),OR(Recherche!$C$6="",IFERROR(YEAR(L3105),0)=Recherche!$C$6),OR(Recherche!$C$7="",ISNUMBER(SEARCH(Recherche!$C$7,H3105))),OR(Recherche!$C$8="",J3105=Recherche!$C$8),OR(Recherche!$C$9="",I3105=Recherche!$C$9),OR(Recherche!$C$10="",G3105&amp;""=Recherche!$C$10&amp;""),OR(Recherche!$C$11="",E3105=Recherche!$C$11),OR(Recherche!$C$12="",ISNUMBER(SEARCH(Recherche!$C$12,M3105&amp;" "&amp;F3105)))),1,0)</f>
        <v>8</v>
      </c>
    </row>
    <row r="3106" customFormat="false" ht="15" hidden="false" customHeight="false" outlineLevel="0" collapsed="false">
      <c r="A3106" s="19"/>
      <c r="B3106" s="19"/>
      <c r="C3106" s="19"/>
      <c r="D3106" s="19"/>
      <c r="E3106" s="22"/>
      <c r="F3106" s="19"/>
      <c r="G3106" s="26" t="str">
        <f aca="false">IF(D3106="","",IFERROR(VALUE(LEFT(D3106,FIND(" |",D3106&amp;" |")-1)),"?"))</f>
        <v/>
      </c>
      <c r="H3106" s="27" t="str">
        <f aca="false">IF(G3106="","",IF(G3106="?","⚠ pub inconnue",IFERROR(INDEX(Pubs!$B$2:$B$3001,MATCH(G3106,Pubs!$A$2:$A$3001,0))&amp;"","⚠ pub inconnue")))</f>
        <v/>
      </c>
      <c r="I3106" s="27" t="str">
        <f aca="false">IF(OR(G3106="",G3106="?"),"",IFERROR(INDEX(Pubs!$C$2:$C$3001,MATCH(G3106,Pubs!$A$2:$A$3001,0))&amp;"",""))</f>
        <v/>
      </c>
      <c r="J3106" s="27" t="str">
        <f aca="false">IF(OR(G3106="",G3106="?"),"",IFERROR(INDEX(Pubs!$G$2:$G$3001,MATCH(G3106,Pubs!$A$2:$A$3001,0))&amp;"",""))</f>
        <v/>
      </c>
      <c r="K3106" s="28" t="str">
        <f aca="false">IF(OR(G3106="",G3106="?"),"",IFERROR(INDEX(Pubs!$E$2:$E$3001,MATCH(G3106,Pubs!$A$2:$A$3001,0)),""))</f>
        <v/>
      </c>
      <c r="L3106" s="29" t="str">
        <f aca="false">IF(A3106="","",IFERROR(1/(1/INDEX(Numéros!$C$2:$C$3001,MATCH(A3106&amp;"|"&amp;B3106,Numéros!$F$2:$F$3001,0))),""))</f>
        <v/>
      </c>
      <c r="M3106" s="27" t="str">
        <f aca="false">IF(OR(G3106="",G3106="?"),"",IFERROR(INDEX(Pubs!$D$2:$D$3001,MATCH(G3106,Pubs!$A$2:$A$3001,0))&amp;"",""))</f>
        <v/>
      </c>
      <c r="N3106" s="27" t="n">
        <f aca="false">N(N3105)+IF(AND(A3106&lt;&gt;"",OR(Recherche!$C$4="",A3106=Recherche!$C$4),OR(Recherche!$C$5="",B3106&amp;""=Recherche!$C$5&amp;""),OR(Recherche!$C$6="",IFERROR(YEAR(L3106),0)=Recherche!$C$6),OR(Recherche!$C$7="",ISNUMBER(SEARCH(Recherche!$C$7,H3106))),OR(Recherche!$C$8="",J3106=Recherche!$C$8),OR(Recherche!$C$9="",I3106=Recherche!$C$9),OR(Recherche!$C$10="",G3106&amp;""=Recherche!$C$10&amp;""),OR(Recherche!$C$11="",E3106=Recherche!$C$11),OR(Recherche!$C$12="",ISNUMBER(SEARCH(Recherche!$C$12,M3106&amp;" "&amp;F3106)))),1,0)</f>
        <v>8</v>
      </c>
    </row>
    <row r="3107" customFormat="false" ht="15" hidden="false" customHeight="false" outlineLevel="0" collapsed="false">
      <c r="A3107" s="19"/>
      <c r="B3107" s="19"/>
      <c r="C3107" s="19"/>
      <c r="D3107" s="19"/>
      <c r="E3107" s="22"/>
      <c r="F3107" s="19"/>
      <c r="G3107" s="26" t="str">
        <f aca="false">IF(D3107="","",IFERROR(VALUE(LEFT(D3107,FIND(" |",D3107&amp;" |")-1)),"?"))</f>
        <v/>
      </c>
      <c r="H3107" s="27" t="str">
        <f aca="false">IF(G3107="","",IF(G3107="?","⚠ pub inconnue",IFERROR(INDEX(Pubs!$B$2:$B$3001,MATCH(G3107,Pubs!$A$2:$A$3001,0))&amp;"","⚠ pub inconnue")))</f>
        <v/>
      </c>
      <c r="I3107" s="27" t="str">
        <f aca="false">IF(OR(G3107="",G3107="?"),"",IFERROR(INDEX(Pubs!$C$2:$C$3001,MATCH(G3107,Pubs!$A$2:$A$3001,0))&amp;"",""))</f>
        <v/>
      </c>
      <c r="J3107" s="27" t="str">
        <f aca="false">IF(OR(G3107="",G3107="?"),"",IFERROR(INDEX(Pubs!$G$2:$G$3001,MATCH(G3107,Pubs!$A$2:$A$3001,0))&amp;"",""))</f>
        <v/>
      </c>
      <c r="K3107" s="28" t="str">
        <f aca="false">IF(OR(G3107="",G3107="?"),"",IFERROR(INDEX(Pubs!$E$2:$E$3001,MATCH(G3107,Pubs!$A$2:$A$3001,0)),""))</f>
        <v/>
      </c>
      <c r="L3107" s="29" t="str">
        <f aca="false">IF(A3107="","",IFERROR(1/(1/INDEX(Numéros!$C$2:$C$3001,MATCH(A3107&amp;"|"&amp;B3107,Numéros!$F$2:$F$3001,0))),""))</f>
        <v/>
      </c>
      <c r="M3107" s="27" t="str">
        <f aca="false">IF(OR(G3107="",G3107="?"),"",IFERROR(INDEX(Pubs!$D$2:$D$3001,MATCH(G3107,Pubs!$A$2:$A$3001,0))&amp;"",""))</f>
        <v/>
      </c>
      <c r="N3107" s="27" t="n">
        <f aca="false">N(N3106)+IF(AND(A3107&lt;&gt;"",OR(Recherche!$C$4="",A3107=Recherche!$C$4),OR(Recherche!$C$5="",B3107&amp;""=Recherche!$C$5&amp;""),OR(Recherche!$C$6="",IFERROR(YEAR(L3107),0)=Recherche!$C$6),OR(Recherche!$C$7="",ISNUMBER(SEARCH(Recherche!$C$7,H3107))),OR(Recherche!$C$8="",J3107=Recherche!$C$8),OR(Recherche!$C$9="",I3107=Recherche!$C$9),OR(Recherche!$C$10="",G3107&amp;""=Recherche!$C$10&amp;""),OR(Recherche!$C$11="",E3107=Recherche!$C$11),OR(Recherche!$C$12="",ISNUMBER(SEARCH(Recherche!$C$12,M3107&amp;" "&amp;F3107)))),1,0)</f>
        <v>8</v>
      </c>
    </row>
    <row r="3108" customFormat="false" ht="15" hidden="false" customHeight="false" outlineLevel="0" collapsed="false">
      <c r="A3108" s="19"/>
      <c r="B3108" s="19"/>
      <c r="C3108" s="19"/>
      <c r="D3108" s="19"/>
      <c r="E3108" s="22"/>
      <c r="F3108" s="19"/>
      <c r="G3108" s="26" t="str">
        <f aca="false">IF(D3108="","",IFERROR(VALUE(LEFT(D3108,FIND(" |",D3108&amp;" |")-1)),"?"))</f>
        <v/>
      </c>
      <c r="H3108" s="27" t="str">
        <f aca="false">IF(G3108="","",IF(G3108="?","⚠ pub inconnue",IFERROR(INDEX(Pubs!$B$2:$B$3001,MATCH(G3108,Pubs!$A$2:$A$3001,0))&amp;"","⚠ pub inconnue")))</f>
        <v/>
      </c>
      <c r="I3108" s="27" t="str">
        <f aca="false">IF(OR(G3108="",G3108="?"),"",IFERROR(INDEX(Pubs!$C$2:$C$3001,MATCH(G3108,Pubs!$A$2:$A$3001,0))&amp;"",""))</f>
        <v/>
      </c>
      <c r="J3108" s="27" t="str">
        <f aca="false">IF(OR(G3108="",G3108="?"),"",IFERROR(INDEX(Pubs!$G$2:$G$3001,MATCH(G3108,Pubs!$A$2:$A$3001,0))&amp;"",""))</f>
        <v/>
      </c>
      <c r="K3108" s="28" t="str">
        <f aca="false">IF(OR(G3108="",G3108="?"),"",IFERROR(INDEX(Pubs!$E$2:$E$3001,MATCH(G3108,Pubs!$A$2:$A$3001,0)),""))</f>
        <v/>
      </c>
      <c r="L3108" s="29" t="str">
        <f aca="false">IF(A3108="","",IFERROR(1/(1/INDEX(Numéros!$C$2:$C$3001,MATCH(A3108&amp;"|"&amp;B3108,Numéros!$F$2:$F$3001,0))),""))</f>
        <v/>
      </c>
      <c r="M3108" s="27" t="str">
        <f aca="false">IF(OR(G3108="",G3108="?"),"",IFERROR(INDEX(Pubs!$D$2:$D$3001,MATCH(G3108,Pubs!$A$2:$A$3001,0))&amp;"",""))</f>
        <v/>
      </c>
      <c r="N3108" s="27" t="n">
        <f aca="false">N(N3107)+IF(AND(A3108&lt;&gt;"",OR(Recherche!$C$4="",A3108=Recherche!$C$4),OR(Recherche!$C$5="",B3108&amp;""=Recherche!$C$5&amp;""),OR(Recherche!$C$6="",IFERROR(YEAR(L3108),0)=Recherche!$C$6),OR(Recherche!$C$7="",ISNUMBER(SEARCH(Recherche!$C$7,H3108))),OR(Recherche!$C$8="",J3108=Recherche!$C$8),OR(Recherche!$C$9="",I3108=Recherche!$C$9),OR(Recherche!$C$10="",G3108&amp;""=Recherche!$C$10&amp;""),OR(Recherche!$C$11="",E3108=Recherche!$C$11),OR(Recherche!$C$12="",ISNUMBER(SEARCH(Recherche!$C$12,M3108&amp;" "&amp;F3108)))),1,0)</f>
        <v>8</v>
      </c>
    </row>
    <row r="3109" customFormat="false" ht="15" hidden="false" customHeight="false" outlineLevel="0" collapsed="false">
      <c r="A3109" s="19"/>
      <c r="B3109" s="19"/>
      <c r="C3109" s="19"/>
      <c r="D3109" s="19"/>
      <c r="E3109" s="22"/>
      <c r="F3109" s="19"/>
      <c r="G3109" s="26" t="str">
        <f aca="false">IF(D3109="","",IFERROR(VALUE(LEFT(D3109,FIND(" |",D3109&amp;" |")-1)),"?"))</f>
        <v/>
      </c>
      <c r="H3109" s="27" t="str">
        <f aca="false">IF(G3109="","",IF(G3109="?","⚠ pub inconnue",IFERROR(INDEX(Pubs!$B$2:$B$3001,MATCH(G3109,Pubs!$A$2:$A$3001,0))&amp;"","⚠ pub inconnue")))</f>
        <v/>
      </c>
      <c r="I3109" s="27" t="str">
        <f aca="false">IF(OR(G3109="",G3109="?"),"",IFERROR(INDEX(Pubs!$C$2:$C$3001,MATCH(G3109,Pubs!$A$2:$A$3001,0))&amp;"",""))</f>
        <v/>
      </c>
      <c r="J3109" s="27" t="str">
        <f aca="false">IF(OR(G3109="",G3109="?"),"",IFERROR(INDEX(Pubs!$G$2:$G$3001,MATCH(G3109,Pubs!$A$2:$A$3001,0))&amp;"",""))</f>
        <v/>
      </c>
      <c r="K3109" s="28" t="str">
        <f aca="false">IF(OR(G3109="",G3109="?"),"",IFERROR(INDEX(Pubs!$E$2:$E$3001,MATCH(G3109,Pubs!$A$2:$A$3001,0)),""))</f>
        <v/>
      </c>
      <c r="L3109" s="29" t="str">
        <f aca="false">IF(A3109="","",IFERROR(1/(1/INDEX(Numéros!$C$2:$C$3001,MATCH(A3109&amp;"|"&amp;B3109,Numéros!$F$2:$F$3001,0))),""))</f>
        <v/>
      </c>
      <c r="M3109" s="27" t="str">
        <f aca="false">IF(OR(G3109="",G3109="?"),"",IFERROR(INDEX(Pubs!$D$2:$D$3001,MATCH(G3109,Pubs!$A$2:$A$3001,0))&amp;"",""))</f>
        <v/>
      </c>
      <c r="N3109" s="27" t="n">
        <f aca="false">N(N3108)+IF(AND(A3109&lt;&gt;"",OR(Recherche!$C$4="",A3109=Recherche!$C$4),OR(Recherche!$C$5="",B3109&amp;""=Recherche!$C$5&amp;""),OR(Recherche!$C$6="",IFERROR(YEAR(L3109),0)=Recherche!$C$6),OR(Recherche!$C$7="",ISNUMBER(SEARCH(Recherche!$C$7,H3109))),OR(Recherche!$C$8="",J3109=Recherche!$C$8),OR(Recherche!$C$9="",I3109=Recherche!$C$9),OR(Recherche!$C$10="",G3109&amp;""=Recherche!$C$10&amp;""),OR(Recherche!$C$11="",E3109=Recherche!$C$11),OR(Recherche!$C$12="",ISNUMBER(SEARCH(Recherche!$C$12,M3109&amp;" "&amp;F3109)))),1,0)</f>
        <v>8</v>
      </c>
    </row>
    <row r="3110" customFormat="false" ht="15" hidden="false" customHeight="false" outlineLevel="0" collapsed="false">
      <c r="A3110" s="19"/>
      <c r="B3110" s="19"/>
      <c r="C3110" s="19"/>
      <c r="D3110" s="19"/>
      <c r="E3110" s="22"/>
      <c r="F3110" s="19"/>
      <c r="G3110" s="26" t="str">
        <f aca="false">IF(D3110="","",IFERROR(VALUE(LEFT(D3110,FIND(" |",D3110&amp;" |")-1)),"?"))</f>
        <v/>
      </c>
      <c r="H3110" s="27" t="str">
        <f aca="false">IF(G3110="","",IF(G3110="?","⚠ pub inconnue",IFERROR(INDEX(Pubs!$B$2:$B$3001,MATCH(G3110,Pubs!$A$2:$A$3001,0))&amp;"","⚠ pub inconnue")))</f>
        <v/>
      </c>
      <c r="I3110" s="27" t="str">
        <f aca="false">IF(OR(G3110="",G3110="?"),"",IFERROR(INDEX(Pubs!$C$2:$C$3001,MATCH(G3110,Pubs!$A$2:$A$3001,0))&amp;"",""))</f>
        <v/>
      </c>
      <c r="J3110" s="27" t="str">
        <f aca="false">IF(OR(G3110="",G3110="?"),"",IFERROR(INDEX(Pubs!$G$2:$G$3001,MATCH(G3110,Pubs!$A$2:$A$3001,0))&amp;"",""))</f>
        <v/>
      </c>
      <c r="K3110" s="28" t="str">
        <f aca="false">IF(OR(G3110="",G3110="?"),"",IFERROR(INDEX(Pubs!$E$2:$E$3001,MATCH(G3110,Pubs!$A$2:$A$3001,0)),""))</f>
        <v/>
      </c>
      <c r="L3110" s="29" t="str">
        <f aca="false">IF(A3110="","",IFERROR(1/(1/INDEX(Numéros!$C$2:$C$3001,MATCH(A3110&amp;"|"&amp;B3110,Numéros!$F$2:$F$3001,0))),""))</f>
        <v/>
      </c>
      <c r="M3110" s="27" t="str">
        <f aca="false">IF(OR(G3110="",G3110="?"),"",IFERROR(INDEX(Pubs!$D$2:$D$3001,MATCH(G3110,Pubs!$A$2:$A$3001,0))&amp;"",""))</f>
        <v/>
      </c>
      <c r="N3110" s="27" t="n">
        <f aca="false">N(N3109)+IF(AND(A3110&lt;&gt;"",OR(Recherche!$C$4="",A3110=Recherche!$C$4),OR(Recherche!$C$5="",B3110&amp;""=Recherche!$C$5&amp;""),OR(Recherche!$C$6="",IFERROR(YEAR(L3110),0)=Recherche!$C$6),OR(Recherche!$C$7="",ISNUMBER(SEARCH(Recherche!$C$7,H3110))),OR(Recherche!$C$8="",J3110=Recherche!$C$8),OR(Recherche!$C$9="",I3110=Recherche!$C$9),OR(Recherche!$C$10="",G3110&amp;""=Recherche!$C$10&amp;""),OR(Recherche!$C$11="",E3110=Recherche!$C$11),OR(Recherche!$C$12="",ISNUMBER(SEARCH(Recherche!$C$12,M3110&amp;" "&amp;F3110)))),1,0)</f>
        <v>8</v>
      </c>
    </row>
    <row r="3111" customFormat="false" ht="15" hidden="false" customHeight="false" outlineLevel="0" collapsed="false">
      <c r="A3111" s="19"/>
      <c r="B3111" s="19"/>
      <c r="C3111" s="19"/>
      <c r="D3111" s="19"/>
      <c r="E3111" s="22"/>
      <c r="F3111" s="19"/>
      <c r="G3111" s="26" t="str">
        <f aca="false">IF(D3111="","",IFERROR(VALUE(LEFT(D3111,FIND(" |",D3111&amp;" |")-1)),"?"))</f>
        <v/>
      </c>
      <c r="H3111" s="27" t="str">
        <f aca="false">IF(G3111="","",IF(G3111="?","⚠ pub inconnue",IFERROR(INDEX(Pubs!$B$2:$B$3001,MATCH(G3111,Pubs!$A$2:$A$3001,0))&amp;"","⚠ pub inconnue")))</f>
        <v/>
      </c>
      <c r="I3111" s="27" t="str">
        <f aca="false">IF(OR(G3111="",G3111="?"),"",IFERROR(INDEX(Pubs!$C$2:$C$3001,MATCH(G3111,Pubs!$A$2:$A$3001,0))&amp;"",""))</f>
        <v/>
      </c>
      <c r="J3111" s="27" t="str">
        <f aca="false">IF(OR(G3111="",G3111="?"),"",IFERROR(INDEX(Pubs!$G$2:$G$3001,MATCH(G3111,Pubs!$A$2:$A$3001,0))&amp;"",""))</f>
        <v/>
      </c>
      <c r="K3111" s="28" t="str">
        <f aca="false">IF(OR(G3111="",G3111="?"),"",IFERROR(INDEX(Pubs!$E$2:$E$3001,MATCH(G3111,Pubs!$A$2:$A$3001,0)),""))</f>
        <v/>
      </c>
      <c r="L3111" s="29" t="str">
        <f aca="false">IF(A3111="","",IFERROR(1/(1/INDEX(Numéros!$C$2:$C$3001,MATCH(A3111&amp;"|"&amp;B3111,Numéros!$F$2:$F$3001,0))),""))</f>
        <v/>
      </c>
      <c r="M3111" s="27" t="str">
        <f aca="false">IF(OR(G3111="",G3111="?"),"",IFERROR(INDEX(Pubs!$D$2:$D$3001,MATCH(G3111,Pubs!$A$2:$A$3001,0))&amp;"",""))</f>
        <v/>
      </c>
      <c r="N3111" s="27" t="n">
        <f aca="false">N(N3110)+IF(AND(A3111&lt;&gt;"",OR(Recherche!$C$4="",A3111=Recherche!$C$4),OR(Recherche!$C$5="",B3111&amp;""=Recherche!$C$5&amp;""),OR(Recherche!$C$6="",IFERROR(YEAR(L3111),0)=Recherche!$C$6),OR(Recherche!$C$7="",ISNUMBER(SEARCH(Recherche!$C$7,H3111))),OR(Recherche!$C$8="",J3111=Recherche!$C$8),OR(Recherche!$C$9="",I3111=Recherche!$C$9),OR(Recherche!$C$10="",G3111&amp;""=Recherche!$C$10&amp;""),OR(Recherche!$C$11="",E3111=Recherche!$C$11),OR(Recherche!$C$12="",ISNUMBER(SEARCH(Recherche!$C$12,M3111&amp;" "&amp;F3111)))),1,0)</f>
        <v>8</v>
      </c>
    </row>
    <row r="3112" customFormat="false" ht="15" hidden="false" customHeight="false" outlineLevel="0" collapsed="false">
      <c r="A3112" s="19"/>
      <c r="B3112" s="19"/>
      <c r="C3112" s="19"/>
      <c r="D3112" s="19"/>
      <c r="E3112" s="22"/>
      <c r="F3112" s="19"/>
      <c r="G3112" s="26" t="str">
        <f aca="false">IF(D3112="","",IFERROR(VALUE(LEFT(D3112,FIND(" |",D3112&amp;" |")-1)),"?"))</f>
        <v/>
      </c>
      <c r="H3112" s="27" t="str">
        <f aca="false">IF(G3112="","",IF(G3112="?","⚠ pub inconnue",IFERROR(INDEX(Pubs!$B$2:$B$3001,MATCH(G3112,Pubs!$A$2:$A$3001,0))&amp;"","⚠ pub inconnue")))</f>
        <v/>
      </c>
      <c r="I3112" s="27" t="str">
        <f aca="false">IF(OR(G3112="",G3112="?"),"",IFERROR(INDEX(Pubs!$C$2:$C$3001,MATCH(G3112,Pubs!$A$2:$A$3001,0))&amp;"",""))</f>
        <v/>
      </c>
      <c r="J3112" s="27" t="str">
        <f aca="false">IF(OR(G3112="",G3112="?"),"",IFERROR(INDEX(Pubs!$G$2:$G$3001,MATCH(G3112,Pubs!$A$2:$A$3001,0))&amp;"",""))</f>
        <v/>
      </c>
      <c r="K3112" s="28" t="str">
        <f aca="false">IF(OR(G3112="",G3112="?"),"",IFERROR(INDEX(Pubs!$E$2:$E$3001,MATCH(G3112,Pubs!$A$2:$A$3001,0)),""))</f>
        <v/>
      </c>
      <c r="L3112" s="29" t="str">
        <f aca="false">IF(A3112="","",IFERROR(1/(1/INDEX(Numéros!$C$2:$C$3001,MATCH(A3112&amp;"|"&amp;B3112,Numéros!$F$2:$F$3001,0))),""))</f>
        <v/>
      </c>
      <c r="M3112" s="27" t="str">
        <f aca="false">IF(OR(G3112="",G3112="?"),"",IFERROR(INDEX(Pubs!$D$2:$D$3001,MATCH(G3112,Pubs!$A$2:$A$3001,0))&amp;"",""))</f>
        <v/>
      </c>
      <c r="N3112" s="27" t="n">
        <f aca="false">N(N3111)+IF(AND(A3112&lt;&gt;"",OR(Recherche!$C$4="",A3112=Recherche!$C$4),OR(Recherche!$C$5="",B3112&amp;""=Recherche!$C$5&amp;""),OR(Recherche!$C$6="",IFERROR(YEAR(L3112),0)=Recherche!$C$6),OR(Recherche!$C$7="",ISNUMBER(SEARCH(Recherche!$C$7,H3112))),OR(Recherche!$C$8="",J3112=Recherche!$C$8),OR(Recherche!$C$9="",I3112=Recherche!$C$9),OR(Recherche!$C$10="",G3112&amp;""=Recherche!$C$10&amp;""),OR(Recherche!$C$11="",E3112=Recherche!$C$11),OR(Recherche!$C$12="",ISNUMBER(SEARCH(Recherche!$C$12,M3112&amp;" "&amp;F3112)))),1,0)</f>
        <v>8</v>
      </c>
    </row>
    <row r="3113" customFormat="false" ht="15" hidden="false" customHeight="false" outlineLevel="0" collapsed="false">
      <c r="A3113" s="19"/>
      <c r="B3113" s="19"/>
      <c r="C3113" s="19"/>
      <c r="D3113" s="19"/>
      <c r="E3113" s="22"/>
      <c r="F3113" s="19"/>
      <c r="G3113" s="26" t="str">
        <f aca="false">IF(D3113="","",IFERROR(VALUE(LEFT(D3113,FIND(" |",D3113&amp;" |")-1)),"?"))</f>
        <v/>
      </c>
      <c r="H3113" s="27" t="str">
        <f aca="false">IF(G3113="","",IF(G3113="?","⚠ pub inconnue",IFERROR(INDEX(Pubs!$B$2:$B$3001,MATCH(G3113,Pubs!$A$2:$A$3001,0))&amp;"","⚠ pub inconnue")))</f>
        <v/>
      </c>
      <c r="I3113" s="27" t="str">
        <f aca="false">IF(OR(G3113="",G3113="?"),"",IFERROR(INDEX(Pubs!$C$2:$C$3001,MATCH(G3113,Pubs!$A$2:$A$3001,0))&amp;"",""))</f>
        <v/>
      </c>
      <c r="J3113" s="27" t="str">
        <f aca="false">IF(OR(G3113="",G3113="?"),"",IFERROR(INDEX(Pubs!$G$2:$G$3001,MATCH(G3113,Pubs!$A$2:$A$3001,0))&amp;"",""))</f>
        <v/>
      </c>
      <c r="K3113" s="28" t="str">
        <f aca="false">IF(OR(G3113="",G3113="?"),"",IFERROR(INDEX(Pubs!$E$2:$E$3001,MATCH(G3113,Pubs!$A$2:$A$3001,0)),""))</f>
        <v/>
      </c>
      <c r="L3113" s="29" t="str">
        <f aca="false">IF(A3113="","",IFERROR(1/(1/INDEX(Numéros!$C$2:$C$3001,MATCH(A3113&amp;"|"&amp;B3113,Numéros!$F$2:$F$3001,0))),""))</f>
        <v/>
      </c>
      <c r="M3113" s="27" t="str">
        <f aca="false">IF(OR(G3113="",G3113="?"),"",IFERROR(INDEX(Pubs!$D$2:$D$3001,MATCH(G3113,Pubs!$A$2:$A$3001,0))&amp;"",""))</f>
        <v/>
      </c>
      <c r="N3113" s="27" t="n">
        <f aca="false">N(N3112)+IF(AND(A3113&lt;&gt;"",OR(Recherche!$C$4="",A3113=Recherche!$C$4),OR(Recherche!$C$5="",B3113&amp;""=Recherche!$C$5&amp;""),OR(Recherche!$C$6="",IFERROR(YEAR(L3113),0)=Recherche!$C$6),OR(Recherche!$C$7="",ISNUMBER(SEARCH(Recherche!$C$7,H3113))),OR(Recherche!$C$8="",J3113=Recherche!$C$8),OR(Recherche!$C$9="",I3113=Recherche!$C$9),OR(Recherche!$C$10="",G3113&amp;""=Recherche!$C$10&amp;""),OR(Recherche!$C$11="",E3113=Recherche!$C$11),OR(Recherche!$C$12="",ISNUMBER(SEARCH(Recherche!$C$12,M3113&amp;" "&amp;F3113)))),1,0)</f>
        <v>8</v>
      </c>
    </row>
    <row r="3114" customFormat="false" ht="15" hidden="false" customHeight="false" outlineLevel="0" collapsed="false">
      <c r="A3114" s="19"/>
      <c r="B3114" s="19"/>
      <c r="C3114" s="19"/>
      <c r="D3114" s="19"/>
      <c r="E3114" s="22"/>
      <c r="F3114" s="19"/>
      <c r="G3114" s="26" t="str">
        <f aca="false">IF(D3114="","",IFERROR(VALUE(LEFT(D3114,FIND(" |",D3114&amp;" |")-1)),"?"))</f>
        <v/>
      </c>
      <c r="H3114" s="27" t="str">
        <f aca="false">IF(G3114="","",IF(G3114="?","⚠ pub inconnue",IFERROR(INDEX(Pubs!$B$2:$B$3001,MATCH(G3114,Pubs!$A$2:$A$3001,0))&amp;"","⚠ pub inconnue")))</f>
        <v/>
      </c>
      <c r="I3114" s="27" t="str">
        <f aca="false">IF(OR(G3114="",G3114="?"),"",IFERROR(INDEX(Pubs!$C$2:$C$3001,MATCH(G3114,Pubs!$A$2:$A$3001,0))&amp;"",""))</f>
        <v/>
      </c>
      <c r="J3114" s="27" t="str">
        <f aca="false">IF(OR(G3114="",G3114="?"),"",IFERROR(INDEX(Pubs!$G$2:$G$3001,MATCH(G3114,Pubs!$A$2:$A$3001,0))&amp;"",""))</f>
        <v/>
      </c>
      <c r="K3114" s="28" t="str">
        <f aca="false">IF(OR(G3114="",G3114="?"),"",IFERROR(INDEX(Pubs!$E$2:$E$3001,MATCH(G3114,Pubs!$A$2:$A$3001,0)),""))</f>
        <v/>
      </c>
      <c r="L3114" s="29" t="str">
        <f aca="false">IF(A3114="","",IFERROR(1/(1/INDEX(Numéros!$C$2:$C$3001,MATCH(A3114&amp;"|"&amp;B3114,Numéros!$F$2:$F$3001,0))),""))</f>
        <v/>
      </c>
      <c r="M3114" s="27" t="str">
        <f aca="false">IF(OR(G3114="",G3114="?"),"",IFERROR(INDEX(Pubs!$D$2:$D$3001,MATCH(G3114,Pubs!$A$2:$A$3001,0))&amp;"",""))</f>
        <v/>
      </c>
      <c r="N3114" s="27" t="n">
        <f aca="false">N(N3113)+IF(AND(A3114&lt;&gt;"",OR(Recherche!$C$4="",A3114=Recherche!$C$4),OR(Recherche!$C$5="",B3114&amp;""=Recherche!$C$5&amp;""),OR(Recherche!$C$6="",IFERROR(YEAR(L3114),0)=Recherche!$C$6),OR(Recherche!$C$7="",ISNUMBER(SEARCH(Recherche!$C$7,H3114))),OR(Recherche!$C$8="",J3114=Recherche!$C$8),OR(Recherche!$C$9="",I3114=Recherche!$C$9),OR(Recherche!$C$10="",G3114&amp;""=Recherche!$C$10&amp;""),OR(Recherche!$C$11="",E3114=Recherche!$C$11),OR(Recherche!$C$12="",ISNUMBER(SEARCH(Recherche!$C$12,M3114&amp;" "&amp;F3114)))),1,0)</f>
        <v>8</v>
      </c>
    </row>
    <row r="3115" customFormat="false" ht="15" hidden="false" customHeight="false" outlineLevel="0" collapsed="false">
      <c r="A3115" s="19"/>
      <c r="B3115" s="19"/>
      <c r="C3115" s="19"/>
      <c r="D3115" s="19"/>
      <c r="E3115" s="22"/>
      <c r="F3115" s="19"/>
      <c r="G3115" s="26" t="str">
        <f aca="false">IF(D3115="","",IFERROR(VALUE(LEFT(D3115,FIND(" |",D3115&amp;" |")-1)),"?"))</f>
        <v/>
      </c>
      <c r="H3115" s="27" t="str">
        <f aca="false">IF(G3115="","",IF(G3115="?","⚠ pub inconnue",IFERROR(INDEX(Pubs!$B$2:$B$3001,MATCH(G3115,Pubs!$A$2:$A$3001,0))&amp;"","⚠ pub inconnue")))</f>
        <v/>
      </c>
      <c r="I3115" s="27" t="str">
        <f aca="false">IF(OR(G3115="",G3115="?"),"",IFERROR(INDEX(Pubs!$C$2:$C$3001,MATCH(G3115,Pubs!$A$2:$A$3001,0))&amp;"",""))</f>
        <v/>
      </c>
      <c r="J3115" s="27" t="str">
        <f aca="false">IF(OR(G3115="",G3115="?"),"",IFERROR(INDEX(Pubs!$G$2:$G$3001,MATCH(G3115,Pubs!$A$2:$A$3001,0))&amp;"",""))</f>
        <v/>
      </c>
      <c r="K3115" s="28" t="str">
        <f aca="false">IF(OR(G3115="",G3115="?"),"",IFERROR(INDEX(Pubs!$E$2:$E$3001,MATCH(G3115,Pubs!$A$2:$A$3001,0)),""))</f>
        <v/>
      </c>
      <c r="L3115" s="29" t="str">
        <f aca="false">IF(A3115="","",IFERROR(1/(1/INDEX(Numéros!$C$2:$C$3001,MATCH(A3115&amp;"|"&amp;B3115,Numéros!$F$2:$F$3001,0))),""))</f>
        <v/>
      </c>
      <c r="M3115" s="27" t="str">
        <f aca="false">IF(OR(G3115="",G3115="?"),"",IFERROR(INDEX(Pubs!$D$2:$D$3001,MATCH(G3115,Pubs!$A$2:$A$3001,0))&amp;"",""))</f>
        <v/>
      </c>
      <c r="N3115" s="27" t="n">
        <f aca="false">N(N3114)+IF(AND(A3115&lt;&gt;"",OR(Recherche!$C$4="",A3115=Recherche!$C$4),OR(Recherche!$C$5="",B3115&amp;""=Recherche!$C$5&amp;""),OR(Recherche!$C$6="",IFERROR(YEAR(L3115),0)=Recherche!$C$6),OR(Recherche!$C$7="",ISNUMBER(SEARCH(Recherche!$C$7,H3115))),OR(Recherche!$C$8="",J3115=Recherche!$C$8),OR(Recherche!$C$9="",I3115=Recherche!$C$9),OR(Recherche!$C$10="",G3115&amp;""=Recherche!$C$10&amp;""),OR(Recherche!$C$11="",E3115=Recherche!$C$11),OR(Recherche!$C$12="",ISNUMBER(SEARCH(Recherche!$C$12,M3115&amp;" "&amp;F3115)))),1,0)</f>
        <v>8</v>
      </c>
    </row>
    <row r="3116" customFormat="false" ht="15" hidden="false" customHeight="false" outlineLevel="0" collapsed="false">
      <c r="A3116" s="19"/>
      <c r="B3116" s="19"/>
      <c r="C3116" s="19"/>
      <c r="D3116" s="19"/>
      <c r="E3116" s="22"/>
      <c r="F3116" s="19"/>
      <c r="G3116" s="26" t="str">
        <f aca="false">IF(D3116="","",IFERROR(VALUE(LEFT(D3116,FIND(" |",D3116&amp;" |")-1)),"?"))</f>
        <v/>
      </c>
      <c r="H3116" s="27" t="str">
        <f aca="false">IF(G3116="","",IF(G3116="?","⚠ pub inconnue",IFERROR(INDEX(Pubs!$B$2:$B$3001,MATCH(G3116,Pubs!$A$2:$A$3001,0))&amp;"","⚠ pub inconnue")))</f>
        <v/>
      </c>
      <c r="I3116" s="27" t="str">
        <f aca="false">IF(OR(G3116="",G3116="?"),"",IFERROR(INDEX(Pubs!$C$2:$C$3001,MATCH(G3116,Pubs!$A$2:$A$3001,0))&amp;"",""))</f>
        <v/>
      </c>
      <c r="J3116" s="27" t="str">
        <f aca="false">IF(OR(G3116="",G3116="?"),"",IFERROR(INDEX(Pubs!$G$2:$G$3001,MATCH(G3116,Pubs!$A$2:$A$3001,0))&amp;"",""))</f>
        <v/>
      </c>
      <c r="K3116" s="28" t="str">
        <f aca="false">IF(OR(G3116="",G3116="?"),"",IFERROR(INDEX(Pubs!$E$2:$E$3001,MATCH(G3116,Pubs!$A$2:$A$3001,0)),""))</f>
        <v/>
      </c>
      <c r="L3116" s="29" t="str">
        <f aca="false">IF(A3116="","",IFERROR(1/(1/INDEX(Numéros!$C$2:$C$3001,MATCH(A3116&amp;"|"&amp;B3116,Numéros!$F$2:$F$3001,0))),""))</f>
        <v/>
      </c>
      <c r="M3116" s="27" t="str">
        <f aca="false">IF(OR(G3116="",G3116="?"),"",IFERROR(INDEX(Pubs!$D$2:$D$3001,MATCH(G3116,Pubs!$A$2:$A$3001,0))&amp;"",""))</f>
        <v/>
      </c>
      <c r="N3116" s="27" t="n">
        <f aca="false">N(N3115)+IF(AND(A3116&lt;&gt;"",OR(Recherche!$C$4="",A3116=Recherche!$C$4),OR(Recherche!$C$5="",B3116&amp;""=Recherche!$C$5&amp;""),OR(Recherche!$C$6="",IFERROR(YEAR(L3116),0)=Recherche!$C$6),OR(Recherche!$C$7="",ISNUMBER(SEARCH(Recherche!$C$7,H3116))),OR(Recherche!$C$8="",J3116=Recherche!$C$8),OR(Recherche!$C$9="",I3116=Recherche!$C$9),OR(Recherche!$C$10="",G3116&amp;""=Recherche!$C$10&amp;""),OR(Recherche!$C$11="",E3116=Recherche!$C$11),OR(Recherche!$C$12="",ISNUMBER(SEARCH(Recherche!$C$12,M3116&amp;" "&amp;F3116)))),1,0)</f>
        <v>8</v>
      </c>
    </row>
    <row r="3117" customFormat="false" ht="15" hidden="false" customHeight="false" outlineLevel="0" collapsed="false">
      <c r="A3117" s="19"/>
      <c r="B3117" s="19"/>
      <c r="C3117" s="19"/>
      <c r="D3117" s="19"/>
      <c r="E3117" s="22"/>
      <c r="F3117" s="19"/>
      <c r="G3117" s="26" t="str">
        <f aca="false">IF(D3117="","",IFERROR(VALUE(LEFT(D3117,FIND(" |",D3117&amp;" |")-1)),"?"))</f>
        <v/>
      </c>
      <c r="H3117" s="27" t="str">
        <f aca="false">IF(G3117="","",IF(G3117="?","⚠ pub inconnue",IFERROR(INDEX(Pubs!$B$2:$B$3001,MATCH(G3117,Pubs!$A$2:$A$3001,0))&amp;"","⚠ pub inconnue")))</f>
        <v/>
      </c>
      <c r="I3117" s="27" t="str">
        <f aca="false">IF(OR(G3117="",G3117="?"),"",IFERROR(INDEX(Pubs!$C$2:$C$3001,MATCH(G3117,Pubs!$A$2:$A$3001,0))&amp;"",""))</f>
        <v/>
      </c>
      <c r="J3117" s="27" t="str">
        <f aca="false">IF(OR(G3117="",G3117="?"),"",IFERROR(INDEX(Pubs!$G$2:$G$3001,MATCH(G3117,Pubs!$A$2:$A$3001,0))&amp;"",""))</f>
        <v/>
      </c>
      <c r="K3117" s="28" t="str">
        <f aca="false">IF(OR(G3117="",G3117="?"),"",IFERROR(INDEX(Pubs!$E$2:$E$3001,MATCH(G3117,Pubs!$A$2:$A$3001,0)),""))</f>
        <v/>
      </c>
      <c r="L3117" s="29" t="str">
        <f aca="false">IF(A3117="","",IFERROR(1/(1/INDEX(Numéros!$C$2:$C$3001,MATCH(A3117&amp;"|"&amp;B3117,Numéros!$F$2:$F$3001,0))),""))</f>
        <v/>
      </c>
      <c r="M3117" s="27" t="str">
        <f aca="false">IF(OR(G3117="",G3117="?"),"",IFERROR(INDEX(Pubs!$D$2:$D$3001,MATCH(G3117,Pubs!$A$2:$A$3001,0))&amp;"",""))</f>
        <v/>
      </c>
      <c r="N3117" s="27" t="n">
        <f aca="false">N(N3116)+IF(AND(A3117&lt;&gt;"",OR(Recherche!$C$4="",A3117=Recherche!$C$4),OR(Recherche!$C$5="",B3117&amp;""=Recherche!$C$5&amp;""),OR(Recherche!$C$6="",IFERROR(YEAR(L3117),0)=Recherche!$C$6),OR(Recherche!$C$7="",ISNUMBER(SEARCH(Recherche!$C$7,H3117))),OR(Recherche!$C$8="",J3117=Recherche!$C$8),OR(Recherche!$C$9="",I3117=Recherche!$C$9),OR(Recherche!$C$10="",G3117&amp;""=Recherche!$C$10&amp;""),OR(Recherche!$C$11="",E3117=Recherche!$C$11),OR(Recherche!$C$12="",ISNUMBER(SEARCH(Recherche!$C$12,M3117&amp;" "&amp;F3117)))),1,0)</f>
        <v>8</v>
      </c>
    </row>
    <row r="3118" customFormat="false" ht="15" hidden="false" customHeight="false" outlineLevel="0" collapsed="false">
      <c r="A3118" s="19"/>
      <c r="B3118" s="19"/>
      <c r="C3118" s="19"/>
      <c r="D3118" s="19"/>
      <c r="E3118" s="22"/>
      <c r="F3118" s="19"/>
      <c r="G3118" s="26" t="str">
        <f aca="false">IF(D3118="","",IFERROR(VALUE(LEFT(D3118,FIND(" |",D3118&amp;" |")-1)),"?"))</f>
        <v/>
      </c>
      <c r="H3118" s="27" t="str">
        <f aca="false">IF(G3118="","",IF(G3118="?","⚠ pub inconnue",IFERROR(INDEX(Pubs!$B$2:$B$3001,MATCH(G3118,Pubs!$A$2:$A$3001,0))&amp;"","⚠ pub inconnue")))</f>
        <v/>
      </c>
      <c r="I3118" s="27" t="str">
        <f aca="false">IF(OR(G3118="",G3118="?"),"",IFERROR(INDEX(Pubs!$C$2:$C$3001,MATCH(G3118,Pubs!$A$2:$A$3001,0))&amp;"",""))</f>
        <v/>
      </c>
      <c r="J3118" s="27" t="str">
        <f aca="false">IF(OR(G3118="",G3118="?"),"",IFERROR(INDEX(Pubs!$G$2:$G$3001,MATCH(G3118,Pubs!$A$2:$A$3001,0))&amp;"",""))</f>
        <v/>
      </c>
      <c r="K3118" s="28" t="str">
        <f aca="false">IF(OR(G3118="",G3118="?"),"",IFERROR(INDEX(Pubs!$E$2:$E$3001,MATCH(G3118,Pubs!$A$2:$A$3001,0)),""))</f>
        <v/>
      </c>
      <c r="L3118" s="29" t="str">
        <f aca="false">IF(A3118="","",IFERROR(1/(1/INDEX(Numéros!$C$2:$C$3001,MATCH(A3118&amp;"|"&amp;B3118,Numéros!$F$2:$F$3001,0))),""))</f>
        <v/>
      </c>
      <c r="M3118" s="27" t="str">
        <f aca="false">IF(OR(G3118="",G3118="?"),"",IFERROR(INDEX(Pubs!$D$2:$D$3001,MATCH(G3118,Pubs!$A$2:$A$3001,0))&amp;"",""))</f>
        <v/>
      </c>
      <c r="N3118" s="27" t="n">
        <f aca="false">N(N3117)+IF(AND(A3118&lt;&gt;"",OR(Recherche!$C$4="",A3118=Recherche!$C$4),OR(Recherche!$C$5="",B3118&amp;""=Recherche!$C$5&amp;""),OR(Recherche!$C$6="",IFERROR(YEAR(L3118),0)=Recherche!$C$6),OR(Recherche!$C$7="",ISNUMBER(SEARCH(Recherche!$C$7,H3118))),OR(Recherche!$C$8="",J3118=Recherche!$C$8),OR(Recherche!$C$9="",I3118=Recherche!$C$9),OR(Recherche!$C$10="",G3118&amp;""=Recherche!$C$10&amp;""),OR(Recherche!$C$11="",E3118=Recherche!$C$11),OR(Recherche!$C$12="",ISNUMBER(SEARCH(Recherche!$C$12,M3118&amp;" "&amp;F3118)))),1,0)</f>
        <v>8</v>
      </c>
    </row>
    <row r="3119" customFormat="false" ht="15" hidden="false" customHeight="false" outlineLevel="0" collapsed="false">
      <c r="A3119" s="19"/>
      <c r="B3119" s="19"/>
      <c r="C3119" s="19"/>
      <c r="D3119" s="19"/>
      <c r="E3119" s="22"/>
      <c r="F3119" s="19"/>
      <c r="G3119" s="26" t="str">
        <f aca="false">IF(D3119="","",IFERROR(VALUE(LEFT(D3119,FIND(" |",D3119&amp;" |")-1)),"?"))</f>
        <v/>
      </c>
      <c r="H3119" s="27" t="str">
        <f aca="false">IF(G3119="","",IF(G3119="?","⚠ pub inconnue",IFERROR(INDEX(Pubs!$B$2:$B$3001,MATCH(G3119,Pubs!$A$2:$A$3001,0))&amp;"","⚠ pub inconnue")))</f>
        <v/>
      </c>
      <c r="I3119" s="27" t="str">
        <f aca="false">IF(OR(G3119="",G3119="?"),"",IFERROR(INDEX(Pubs!$C$2:$C$3001,MATCH(G3119,Pubs!$A$2:$A$3001,0))&amp;"",""))</f>
        <v/>
      </c>
      <c r="J3119" s="27" t="str">
        <f aca="false">IF(OR(G3119="",G3119="?"),"",IFERROR(INDEX(Pubs!$G$2:$G$3001,MATCH(G3119,Pubs!$A$2:$A$3001,0))&amp;"",""))</f>
        <v/>
      </c>
      <c r="K3119" s="28" t="str">
        <f aca="false">IF(OR(G3119="",G3119="?"),"",IFERROR(INDEX(Pubs!$E$2:$E$3001,MATCH(G3119,Pubs!$A$2:$A$3001,0)),""))</f>
        <v/>
      </c>
      <c r="L3119" s="29" t="str">
        <f aca="false">IF(A3119="","",IFERROR(1/(1/INDEX(Numéros!$C$2:$C$3001,MATCH(A3119&amp;"|"&amp;B3119,Numéros!$F$2:$F$3001,0))),""))</f>
        <v/>
      </c>
      <c r="M3119" s="27" t="str">
        <f aca="false">IF(OR(G3119="",G3119="?"),"",IFERROR(INDEX(Pubs!$D$2:$D$3001,MATCH(G3119,Pubs!$A$2:$A$3001,0))&amp;"",""))</f>
        <v/>
      </c>
      <c r="N3119" s="27" t="n">
        <f aca="false">N(N3118)+IF(AND(A3119&lt;&gt;"",OR(Recherche!$C$4="",A3119=Recherche!$C$4),OR(Recherche!$C$5="",B3119&amp;""=Recherche!$C$5&amp;""),OR(Recherche!$C$6="",IFERROR(YEAR(L3119),0)=Recherche!$C$6),OR(Recherche!$C$7="",ISNUMBER(SEARCH(Recherche!$C$7,H3119))),OR(Recherche!$C$8="",J3119=Recherche!$C$8),OR(Recherche!$C$9="",I3119=Recherche!$C$9),OR(Recherche!$C$10="",G3119&amp;""=Recherche!$C$10&amp;""),OR(Recherche!$C$11="",E3119=Recherche!$C$11),OR(Recherche!$C$12="",ISNUMBER(SEARCH(Recherche!$C$12,M3119&amp;" "&amp;F3119)))),1,0)</f>
        <v>8</v>
      </c>
    </row>
    <row r="3120" customFormat="false" ht="15" hidden="false" customHeight="false" outlineLevel="0" collapsed="false">
      <c r="A3120" s="19"/>
      <c r="B3120" s="19"/>
      <c r="C3120" s="19"/>
      <c r="D3120" s="19"/>
      <c r="E3120" s="22"/>
      <c r="F3120" s="19"/>
      <c r="G3120" s="26" t="str">
        <f aca="false">IF(D3120="","",IFERROR(VALUE(LEFT(D3120,FIND(" |",D3120&amp;" |")-1)),"?"))</f>
        <v/>
      </c>
      <c r="H3120" s="27" t="str">
        <f aca="false">IF(G3120="","",IF(G3120="?","⚠ pub inconnue",IFERROR(INDEX(Pubs!$B$2:$B$3001,MATCH(G3120,Pubs!$A$2:$A$3001,0))&amp;"","⚠ pub inconnue")))</f>
        <v/>
      </c>
      <c r="I3120" s="27" t="str">
        <f aca="false">IF(OR(G3120="",G3120="?"),"",IFERROR(INDEX(Pubs!$C$2:$C$3001,MATCH(G3120,Pubs!$A$2:$A$3001,0))&amp;"",""))</f>
        <v/>
      </c>
      <c r="J3120" s="27" t="str">
        <f aca="false">IF(OR(G3120="",G3120="?"),"",IFERROR(INDEX(Pubs!$G$2:$G$3001,MATCH(G3120,Pubs!$A$2:$A$3001,0))&amp;"",""))</f>
        <v/>
      </c>
      <c r="K3120" s="28" t="str">
        <f aca="false">IF(OR(G3120="",G3120="?"),"",IFERROR(INDEX(Pubs!$E$2:$E$3001,MATCH(G3120,Pubs!$A$2:$A$3001,0)),""))</f>
        <v/>
      </c>
      <c r="L3120" s="29" t="str">
        <f aca="false">IF(A3120="","",IFERROR(1/(1/INDEX(Numéros!$C$2:$C$3001,MATCH(A3120&amp;"|"&amp;B3120,Numéros!$F$2:$F$3001,0))),""))</f>
        <v/>
      </c>
      <c r="M3120" s="27" t="str">
        <f aca="false">IF(OR(G3120="",G3120="?"),"",IFERROR(INDEX(Pubs!$D$2:$D$3001,MATCH(G3120,Pubs!$A$2:$A$3001,0))&amp;"",""))</f>
        <v/>
      </c>
      <c r="N3120" s="27" t="n">
        <f aca="false">N(N3119)+IF(AND(A3120&lt;&gt;"",OR(Recherche!$C$4="",A3120=Recherche!$C$4),OR(Recherche!$C$5="",B3120&amp;""=Recherche!$C$5&amp;""),OR(Recherche!$C$6="",IFERROR(YEAR(L3120),0)=Recherche!$C$6),OR(Recherche!$C$7="",ISNUMBER(SEARCH(Recherche!$C$7,H3120))),OR(Recherche!$C$8="",J3120=Recherche!$C$8),OR(Recherche!$C$9="",I3120=Recherche!$C$9),OR(Recherche!$C$10="",G3120&amp;""=Recherche!$C$10&amp;""),OR(Recherche!$C$11="",E3120=Recherche!$C$11),OR(Recherche!$C$12="",ISNUMBER(SEARCH(Recherche!$C$12,M3120&amp;" "&amp;F3120)))),1,0)</f>
        <v>8</v>
      </c>
    </row>
    <row r="3121" customFormat="false" ht="15" hidden="false" customHeight="false" outlineLevel="0" collapsed="false">
      <c r="A3121" s="19"/>
      <c r="B3121" s="19"/>
      <c r="C3121" s="19"/>
      <c r="D3121" s="19"/>
      <c r="E3121" s="22"/>
      <c r="F3121" s="19"/>
      <c r="G3121" s="26" t="str">
        <f aca="false">IF(D3121="","",IFERROR(VALUE(LEFT(D3121,FIND(" |",D3121&amp;" |")-1)),"?"))</f>
        <v/>
      </c>
      <c r="H3121" s="27" t="str">
        <f aca="false">IF(G3121="","",IF(G3121="?","⚠ pub inconnue",IFERROR(INDEX(Pubs!$B$2:$B$3001,MATCH(G3121,Pubs!$A$2:$A$3001,0))&amp;"","⚠ pub inconnue")))</f>
        <v/>
      </c>
      <c r="I3121" s="27" t="str">
        <f aca="false">IF(OR(G3121="",G3121="?"),"",IFERROR(INDEX(Pubs!$C$2:$C$3001,MATCH(G3121,Pubs!$A$2:$A$3001,0))&amp;"",""))</f>
        <v/>
      </c>
      <c r="J3121" s="27" t="str">
        <f aca="false">IF(OR(G3121="",G3121="?"),"",IFERROR(INDEX(Pubs!$G$2:$G$3001,MATCH(G3121,Pubs!$A$2:$A$3001,0))&amp;"",""))</f>
        <v/>
      </c>
      <c r="K3121" s="28" t="str">
        <f aca="false">IF(OR(G3121="",G3121="?"),"",IFERROR(INDEX(Pubs!$E$2:$E$3001,MATCH(G3121,Pubs!$A$2:$A$3001,0)),""))</f>
        <v/>
      </c>
      <c r="L3121" s="29" t="str">
        <f aca="false">IF(A3121="","",IFERROR(1/(1/INDEX(Numéros!$C$2:$C$3001,MATCH(A3121&amp;"|"&amp;B3121,Numéros!$F$2:$F$3001,0))),""))</f>
        <v/>
      </c>
      <c r="M3121" s="27" t="str">
        <f aca="false">IF(OR(G3121="",G3121="?"),"",IFERROR(INDEX(Pubs!$D$2:$D$3001,MATCH(G3121,Pubs!$A$2:$A$3001,0))&amp;"",""))</f>
        <v/>
      </c>
      <c r="N3121" s="27" t="n">
        <f aca="false">N(N3120)+IF(AND(A3121&lt;&gt;"",OR(Recherche!$C$4="",A3121=Recherche!$C$4),OR(Recherche!$C$5="",B3121&amp;""=Recherche!$C$5&amp;""),OR(Recherche!$C$6="",IFERROR(YEAR(L3121),0)=Recherche!$C$6),OR(Recherche!$C$7="",ISNUMBER(SEARCH(Recherche!$C$7,H3121))),OR(Recherche!$C$8="",J3121=Recherche!$C$8),OR(Recherche!$C$9="",I3121=Recherche!$C$9),OR(Recherche!$C$10="",G3121&amp;""=Recherche!$C$10&amp;""),OR(Recherche!$C$11="",E3121=Recherche!$C$11),OR(Recherche!$C$12="",ISNUMBER(SEARCH(Recherche!$C$12,M3121&amp;" "&amp;F3121)))),1,0)</f>
        <v>8</v>
      </c>
    </row>
    <row r="3122" customFormat="false" ht="15" hidden="false" customHeight="false" outlineLevel="0" collapsed="false">
      <c r="A3122" s="19"/>
      <c r="B3122" s="19"/>
      <c r="C3122" s="19"/>
      <c r="D3122" s="19"/>
      <c r="E3122" s="22"/>
      <c r="F3122" s="19"/>
      <c r="G3122" s="26" t="str">
        <f aca="false">IF(D3122="","",IFERROR(VALUE(LEFT(D3122,FIND(" |",D3122&amp;" |")-1)),"?"))</f>
        <v/>
      </c>
      <c r="H3122" s="27" t="str">
        <f aca="false">IF(G3122="","",IF(G3122="?","⚠ pub inconnue",IFERROR(INDEX(Pubs!$B$2:$B$3001,MATCH(G3122,Pubs!$A$2:$A$3001,0))&amp;"","⚠ pub inconnue")))</f>
        <v/>
      </c>
      <c r="I3122" s="27" t="str">
        <f aca="false">IF(OR(G3122="",G3122="?"),"",IFERROR(INDEX(Pubs!$C$2:$C$3001,MATCH(G3122,Pubs!$A$2:$A$3001,0))&amp;"",""))</f>
        <v/>
      </c>
      <c r="J3122" s="27" t="str">
        <f aca="false">IF(OR(G3122="",G3122="?"),"",IFERROR(INDEX(Pubs!$G$2:$G$3001,MATCH(G3122,Pubs!$A$2:$A$3001,0))&amp;"",""))</f>
        <v/>
      </c>
      <c r="K3122" s="28" t="str">
        <f aca="false">IF(OR(G3122="",G3122="?"),"",IFERROR(INDEX(Pubs!$E$2:$E$3001,MATCH(G3122,Pubs!$A$2:$A$3001,0)),""))</f>
        <v/>
      </c>
      <c r="L3122" s="29" t="str">
        <f aca="false">IF(A3122="","",IFERROR(1/(1/INDEX(Numéros!$C$2:$C$3001,MATCH(A3122&amp;"|"&amp;B3122,Numéros!$F$2:$F$3001,0))),""))</f>
        <v/>
      </c>
      <c r="M3122" s="27" t="str">
        <f aca="false">IF(OR(G3122="",G3122="?"),"",IFERROR(INDEX(Pubs!$D$2:$D$3001,MATCH(G3122,Pubs!$A$2:$A$3001,0))&amp;"",""))</f>
        <v/>
      </c>
      <c r="N3122" s="27" t="n">
        <f aca="false">N(N3121)+IF(AND(A3122&lt;&gt;"",OR(Recherche!$C$4="",A3122=Recherche!$C$4),OR(Recherche!$C$5="",B3122&amp;""=Recherche!$C$5&amp;""),OR(Recherche!$C$6="",IFERROR(YEAR(L3122),0)=Recherche!$C$6),OR(Recherche!$C$7="",ISNUMBER(SEARCH(Recherche!$C$7,H3122))),OR(Recherche!$C$8="",J3122=Recherche!$C$8),OR(Recherche!$C$9="",I3122=Recherche!$C$9),OR(Recherche!$C$10="",G3122&amp;""=Recherche!$C$10&amp;""),OR(Recherche!$C$11="",E3122=Recherche!$C$11),OR(Recherche!$C$12="",ISNUMBER(SEARCH(Recherche!$C$12,M3122&amp;" "&amp;F3122)))),1,0)</f>
        <v>8</v>
      </c>
    </row>
    <row r="3123" customFormat="false" ht="15" hidden="false" customHeight="false" outlineLevel="0" collapsed="false">
      <c r="A3123" s="19"/>
      <c r="B3123" s="19"/>
      <c r="C3123" s="19"/>
      <c r="D3123" s="19"/>
      <c r="E3123" s="22"/>
      <c r="F3123" s="19"/>
      <c r="G3123" s="26" t="str">
        <f aca="false">IF(D3123="","",IFERROR(VALUE(LEFT(D3123,FIND(" |",D3123&amp;" |")-1)),"?"))</f>
        <v/>
      </c>
      <c r="H3123" s="27" t="str">
        <f aca="false">IF(G3123="","",IF(G3123="?","⚠ pub inconnue",IFERROR(INDEX(Pubs!$B$2:$B$3001,MATCH(G3123,Pubs!$A$2:$A$3001,0))&amp;"","⚠ pub inconnue")))</f>
        <v/>
      </c>
      <c r="I3123" s="27" t="str">
        <f aca="false">IF(OR(G3123="",G3123="?"),"",IFERROR(INDEX(Pubs!$C$2:$C$3001,MATCH(G3123,Pubs!$A$2:$A$3001,0))&amp;"",""))</f>
        <v/>
      </c>
      <c r="J3123" s="27" t="str">
        <f aca="false">IF(OR(G3123="",G3123="?"),"",IFERROR(INDEX(Pubs!$G$2:$G$3001,MATCH(G3123,Pubs!$A$2:$A$3001,0))&amp;"",""))</f>
        <v/>
      </c>
      <c r="K3123" s="28" t="str">
        <f aca="false">IF(OR(G3123="",G3123="?"),"",IFERROR(INDEX(Pubs!$E$2:$E$3001,MATCH(G3123,Pubs!$A$2:$A$3001,0)),""))</f>
        <v/>
      </c>
      <c r="L3123" s="29" t="str">
        <f aca="false">IF(A3123="","",IFERROR(1/(1/INDEX(Numéros!$C$2:$C$3001,MATCH(A3123&amp;"|"&amp;B3123,Numéros!$F$2:$F$3001,0))),""))</f>
        <v/>
      </c>
      <c r="M3123" s="27" t="str">
        <f aca="false">IF(OR(G3123="",G3123="?"),"",IFERROR(INDEX(Pubs!$D$2:$D$3001,MATCH(G3123,Pubs!$A$2:$A$3001,0))&amp;"",""))</f>
        <v/>
      </c>
      <c r="N3123" s="27" t="n">
        <f aca="false">N(N3122)+IF(AND(A3123&lt;&gt;"",OR(Recherche!$C$4="",A3123=Recherche!$C$4),OR(Recherche!$C$5="",B3123&amp;""=Recherche!$C$5&amp;""),OR(Recherche!$C$6="",IFERROR(YEAR(L3123),0)=Recherche!$C$6),OR(Recherche!$C$7="",ISNUMBER(SEARCH(Recherche!$C$7,H3123))),OR(Recherche!$C$8="",J3123=Recherche!$C$8),OR(Recherche!$C$9="",I3123=Recherche!$C$9),OR(Recherche!$C$10="",G3123&amp;""=Recherche!$C$10&amp;""),OR(Recherche!$C$11="",E3123=Recherche!$C$11),OR(Recherche!$C$12="",ISNUMBER(SEARCH(Recherche!$C$12,M3123&amp;" "&amp;F3123)))),1,0)</f>
        <v>8</v>
      </c>
    </row>
    <row r="3124" customFormat="false" ht="15" hidden="false" customHeight="false" outlineLevel="0" collapsed="false">
      <c r="A3124" s="19"/>
      <c r="B3124" s="19"/>
      <c r="C3124" s="19"/>
      <c r="D3124" s="19"/>
      <c r="E3124" s="22"/>
      <c r="F3124" s="19"/>
      <c r="G3124" s="26" t="str">
        <f aca="false">IF(D3124="","",IFERROR(VALUE(LEFT(D3124,FIND(" |",D3124&amp;" |")-1)),"?"))</f>
        <v/>
      </c>
      <c r="H3124" s="27" t="str">
        <f aca="false">IF(G3124="","",IF(G3124="?","⚠ pub inconnue",IFERROR(INDEX(Pubs!$B$2:$B$3001,MATCH(G3124,Pubs!$A$2:$A$3001,0))&amp;"","⚠ pub inconnue")))</f>
        <v/>
      </c>
      <c r="I3124" s="27" t="str">
        <f aca="false">IF(OR(G3124="",G3124="?"),"",IFERROR(INDEX(Pubs!$C$2:$C$3001,MATCH(G3124,Pubs!$A$2:$A$3001,0))&amp;"",""))</f>
        <v/>
      </c>
      <c r="J3124" s="27" t="str">
        <f aca="false">IF(OR(G3124="",G3124="?"),"",IFERROR(INDEX(Pubs!$G$2:$G$3001,MATCH(G3124,Pubs!$A$2:$A$3001,0))&amp;"",""))</f>
        <v/>
      </c>
      <c r="K3124" s="28" t="str">
        <f aca="false">IF(OR(G3124="",G3124="?"),"",IFERROR(INDEX(Pubs!$E$2:$E$3001,MATCH(G3124,Pubs!$A$2:$A$3001,0)),""))</f>
        <v/>
      </c>
      <c r="L3124" s="29" t="str">
        <f aca="false">IF(A3124="","",IFERROR(1/(1/INDEX(Numéros!$C$2:$C$3001,MATCH(A3124&amp;"|"&amp;B3124,Numéros!$F$2:$F$3001,0))),""))</f>
        <v/>
      </c>
      <c r="M3124" s="27" t="str">
        <f aca="false">IF(OR(G3124="",G3124="?"),"",IFERROR(INDEX(Pubs!$D$2:$D$3001,MATCH(G3124,Pubs!$A$2:$A$3001,0))&amp;"",""))</f>
        <v/>
      </c>
      <c r="N3124" s="27" t="n">
        <f aca="false">N(N3123)+IF(AND(A3124&lt;&gt;"",OR(Recherche!$C$4="",A3124=Recherche!$C$4),OR(Recherche!$C$5="",B3124&amp;""=Recherche!$C$5&amp;""),OR(Recherche!$C$6="",IFERROR(YEAR(L3124),0)=Recherche!$C$6),OR(Recherche!$C$7="",ISNUMBER(SEARCH(Recherche!$C$7,H3124))),OR(Recherche!$C$8="",J3124=Recherche!$C$8),OR(Recherche!$C$9="",I3124=Recherche!$C$9),OR(Recherche!$C$10="",G3124&amp;""=Recherche!$C$10&amp;""),OR(Recherche!$C$11="",E3124=Recherche!$C$11),OR(Recherche!$C$12="",ISNUMBER(SEARCH(Recherche!$C$12,M3124&amp;" "&amp;F3124)))),1,0)</f>
        <v>8</v>
      </c>
    </row>
    <row r="3125" customFormat="false" ht="15" hidden="false" customHeight="false" outlineLevel="0" collapsed="false">
      <c r="A3125" s="19"/>
      <c r="B3125" s="19"/>
      <c r="C3125" s="19"/>
      <c r="D3125" s="19"/>
      <c r="E3125" s="22"/>
      <c r="F3125" s="19"/>
      <c r="G3125" s="26" t="str">
        <f aca="false">IF(D3125="","",IFERROR(VALUE(LEFT(D3125,FIND(" |",D3125&amp;" |")-1)),"?"))</f>
        <v/>
      </c>
      <c r="H3125" s="27" t="str">
        <f aca="false">IF(G3125="","",IF(G3125="?","⚠ pub inconnue",IFERROR(INDEX(Pubs!$B$2:$B$3001,MATCH(G3125,Pubs!$A$2:$A$3001,0))&amp;"","⚠ pub inconnue")))</f>
        <v/>
      </c>
      <c r="I3125" s="27" t="str">
        <f aca="false">IF(OR(G3125="",G3125="?"),"",IFERROR(INDEX(Pubs!$C$2:$C$3001,MATCH(G3125,Pubs!$A$2:$A$3001,0))&amp;"",""))</f>
        <v/>
      </c>
      <c r="J3125" s="27" t="str">
        <f aca="false">IF(OR(G3125="",G3125="?"),"",IFERROR(INDEX(Pubs!$G$2:$G$3001,MATCH(G3125,Pubs!$A$2:$A$3001,0))&amp;"",""))</f>
        <v/>
      </c>
      <c r="K3125" s="28" t="str">
        <f aca="false">IF(OR(G3125="",G3125="?"),"",IFERROR(INDEX(Pubs!$E$2:$E$3001,MATCH(G3125,Pubs!$A$2:$A$3001,0)),""))</f>
        <v/>
      </c>
      <c r="L3125" s="29" t="str">
        <f aca="false">IF(A3125="","",IFERROR(1/(1/INDEX(Numéros!$C$2:$C$3001,MATCH(A3125&amp;"|"&amp;B3125,Numéros!$F$2:$F$3001,0))),""))</f>
        <v/>
      </c>
      <c r="M3125" s="27" t="str">
        <f aca="false">IF(OR(G3125="",G3125="?"),"",IFERROR(INDEX(Pubs!$D$2:$D$3001,MATCH(G3125,Pubs!$A$2:$A$3001,0))&amp;"",""))</f>
        <v/>
      </c>
      <c r="N3125" s="27" t="n">
        <f aca="false">N(N3124)+IF(AND(A3125&lt;&gt;"",OR(Recherche!$C$4="",A3125=Recherche!$C$4),OR(Recherche!$C$5="",B3125&amp;""=Recherche!$C$5&amp;""),OR(Recherche!$C$6="",IFERROR(YEAR(L3125),0)=Recherche!$C$6),OR(Recherche!$C$7="",ISNUMBER(SEARCH(Recherche!$C$7,H3125))),OR(Recherche!$C$8="",J3125=Recherche!$C$8),OR(Recherche!$C$9="",I3125=Recherche!$C$9),OR(Recherche!$C$10="",G3125&amp;""=Recherche!$C$10&amp;""),OR(Recherche!$C$11="",E3125=Recherche!$C$11),OR(Recherche!$C$12="",ISNUMBER(SEARCH(Recherche!$C$12,M3125&amp;" "&amp;F3125)))),1,0)</f>
        <v>8</v>
      </c>
    </row>
    <row r="3126" customFormat="false" ht="15" hidden="false" customHeight="false" outlineLevel="0" collapsed="false">
      <c r="A3126" s="19"/>
      <c r="B3126" s="19"/>
      <c r="C3126" s="19"/>
      <c r="D3126" s="19"/>
      <c r="E3126" s="22"/>
      <c r="F3126" s="19"/>
      <c r="G3126" s="26" t="str">
        <f aca="false">IF(D3126="","",IFERROR(VALUE(LEFT(D3126,FIND(" |",D3126&amp;" |")-1)),"?"))</f>
        <v/>
      </c>
      <c r="H3126" s="27" t="str">
        <f aca="false">IF(G3126="","",IF(G3126="?","⚠ pub inconnue",IFERROR(INDEX(Pubs!$B$2:$B$3001,MATCH(G3126,Pubs!$A$2:$A$3001,0))&amp;"","⚠ pub inconnue")))</f>
        <v/>
      </c>
      <c r="I3126" s="27" t="str">
        <f aca="false">IF(OR(G3126="",G3126="?"),"",IFERROR(INDEX(Pubs!$C$2:$C$3001,MATCH(G3126,Pubs!$A$2:$A$3001,0))&amp;"",""))</f>
        <v/>
      </c>
      <c r="J3126" s="27" t="str">
        <f aca="false">IF(OR(G3126="",G3126="?"),"",IFERROR(INDEX(Pubs!$G$2:$G$3001,MATCH(G3126,Pubs!$A$2:$A$3001,0))&amp;"",""))</f>
        <v/>
      </c>
      <c r="K3126" s="28" t="str">
        <f aca="false">IF(OR(G3126="",G3126="?"),"",IFERROR(INDEX(Pubs!$E$2:$E$3001,MATCH(G3126,Pubs!$A$2:$A$3001,0)),""))</f>
        <v/>
      </c>
      <c r="L3126" s="29" t="str">
        <f aca="false">IF(A3126="","",IFERROR(1/(1/INDEX(Numéros!$C$2:$C$3001,MATCH(A3126&amp;"|"&amp;B3126,Numéros!$F$2:$F$3001,0))),""))</f>
        <v/>
      </c>
      <c r="M3126" s="27" t="str">
        <f aca="false">IF(OR(G3126="",G3126="?"),"",IFERROR(INDEX(Pubs!$D$2:$D$3001,MATCH(G3126,Pubs!$A$2:$A$3001,0))&amp;"",""))</f>
        <v/>
      </c>
      <c r="N3126" s="27" t="n">
        <f aca="false">N(N3125)+IF(AND(A3126&lt;&gt;"",OR(Recherche!$C$4="",A3126=Recherche!$C$4),OR(Recherche!$C$5="",B3126&amp;""=Recherche!$C$5&amp;""),OR(Recherche!$C$6="",IFERROR(YEAR(L3126),0)=Recherche!$C$6),OR(Recherche!$C$7="",ISNUMBER(SEARCH(Recherche!$C$7,H3126))),OR(Recherche!$C$8="",J3126=Recherche!$C$8),OR(Recherche!$C$9="",I3126=Recherche!$C$9),OR(Recherche!$C$10="",G3126&amp;""=Recherche!$C$10&amp;""),OR(Recherche!$C$11="",E3126=Recherche!$C$11),OR(Recherche!$C$12="",ISNUMBER(SEARCH(Recherche!$C$12,M3126&amp;" "&amp;F3126)))),1,0)</f>
        <v>8</v>
      </c>
    </row>
    <row r="3127" customFormat="false" ht="15" hidden="false" customHeight="false" outlineLevel="0" collapsed="false">
      <c r="A3127" s="19"/>
      <c r="B3127" s="19"/>
      <c r="C3127" s="19"/>
      <c r="D3127" s="19"/>
      <c r="E3127" s="22"/>
      <c r="F3127" s="19"/>
      <c r="G3127" s="26" t="str">
        <f aca="false">IF(D3127="","",IFERROR(VALUE(LEFT(D3127,FIND(" |",D3127&amp;" |")-1)),"?"))</f>
        <v/>
      </c>
      <c r="H3127" s="27" t="str">
        <f aca="false">IF(G3127="","",IF(G3127="?","⚠ pub inconnue",IFERROR(INDEX(Pubs!$B$2:$B$3001,MATCH(G3127,Pubs!$A$2:$A$3001,0))&amp;"","⚠ pub inconnue")))</f>
        <v/>
      </c>
      <c r="I3127" s="27" t="str">
        <f aca="false">IF(OR(G3127="",G3127="?"),"",IFERROR(INDEX(Pubs!$C$2:$C$3001,MATCH(G3127,Pubs!$A$2:$A$3001,0))&amp;"",""))</f>
        <v/>
      </c>
      <c r="J3127" s="27" t="str">
        <f aca="false">IF(OR(G3127="",G3127="?"),"",IFERROR(INDEX(Pubs!$G$2:$G$3001,MATCH(G3127,Pubs!$A$2:$A$3001,0))&amp;"",""))</f>
        <v/>
      </c>
      <c r="K3127" s="28" t="str">
        <f aca="false">IF(OR(G3127="",G3127="?"),"",IFERROR(INDEX(Pubs!$E$2:$E$3001,MATCH(G3127,Pubs!$A$2:$A$3001,0)),""))</f>
        <v/>
      </c>
      <c r="L3127" s="29" t="str">
        <f aca="false">IF(A3127="","",IFERROR(1/(1/INDEX(Numéros!$C$2:$C$3001,MATCH(A3127&amp;"|"&amp;B3127,Numéros!$F$2:$F$3001,0))),""))</f>
        <v/>
      </c>
      <c r="M3127" s="27" t="str">
        <f aca="false">IF(OR(G3127="",G3127="?"),"",IFERROR(INDEX(Pubs!$D$2:$D$3001,MATCH(G3127,Pubs!$A$2:$A$3001,0))&amp;"",""))</f>
        <v/>
      </c>
      <c r="N3127" s="27" t="n">
        <f aca="false">N(N3126)+IF(AND(A3127&lt;&gt;"",OR(Recherche!$C$4="",A3127=Recherche!$C$4),OR(Recherche!$C$5="",B3127&amp;""=Recherche!$C$5&amp;""),OR(Recherche!$C$6="",IFERROR(YEAR(L3127),0)=Recherche!$C$6),OR(Recherche!$C$7="",ISNUMBER(SEARCH(Recherche!$C$7,H3127))),OR(Recherche!$C$8="",J3127=Recherche!$C$8),OR(Recherche!$C$9="",I3127=Recherche!$C$9),OR(Recherche!$C$10="",G3127&amp;""=Recherche!$C$10&amp;""),OR(Recherche!$C$11="",E3127=Recherche!$C$11),OR(Recherche!$C$12="",ISNUMBER(SEARCH(Recherche!$C$12,M3127&amp;" "&amp;F3127)))),1,0)</f>
        <v>8</v>
      </c>
    </row>
    <row r="3128" customFormat="false" ht="15" hidden="false" customHeight="false" outlineLevel="0" collapsed="false">
      <c r="A3128" s="19"/>
      <c r="B3128" s="19"/>
      <c r="C3128" s="19"/>
      <c r="D3128" s="19"/>
      <c r="E3128" s="22"/>
      <c r="F3128" s="19"/>
      <c r="G3128" s="26" t="str">
        <f aca="false">IF(D3128="","",IFERROR(VALUE(LEFT(D3128,FIND(" |",D3128&amp;" |")-1)),"?"))</f>
        <v/>
      </c>
      <c r="H3128" s="27" t="str">
        <f aca="false">IF(G3128="","",IF(G3128="?","⚠ pub inconnue",IFERROR(INDEX(Pubs!$B$2:$B$3001,MATCH(G3128,Pubs!$A$2:$A$3001,0))&amp;"","⚠ pub inconnue")))</f>
        <v/>
      </c>
      <c r="I3128" s="27" t="str">
        <f aca="false">IF(OR(G3128="",G3128="?"),"",IFERROR(INDEX(Pubs!$C$2:$C$3001,MATCH(G3128,Pubs!$A$2:$A$3001,0))&amp;"",""))</f>
        <v/>
      </c>
      <c r="J3128" s="27" t="str">
        <f aca="false">IF(OR(G3128="",G3128="?"),"",IFERROR(INDEX(Pubs!$G$2:$G$3001,MATCH(G3128,Pubs!$A$2:$A$3001,0))&amp;"",""))</f>
        <v/>
      </c>
      <c r="K3128" s="28" t="str">
        <f aca="false">IF(OR(G3128="",G3128="?"),"",IFERROR(INDEX(Pubs!$E$2:$E$3001,MATCH(G3128,Pubs!$A$2:$A$3001,0)),""))</f>
        <v/>
      </c>
      <c r="L3128" s="29" t="str">
        <f aca="false">IF(A3128="","",IFERROR(1/(1/INDEX(Numéros!$C$2:$C$3001,MATCH(A3128&amp;"|"&amp;B3128,Numéros!$F$2:$F$3001,0))),""))</f>
        <v/>
      </c>
      <c r="M3128" s="27" t="str">
        <f aca="false">IF(OR(G3128="",G3128="?"),"",IFERROR(INDEX(Pubs!$D$2:$D$3001,MATCH(G3128,Pubs!$A$2:$A$3001,0))&amp;"",""))</f>
        <v/>
      </c>
      <c r="N3128" s="27" t="n">
        <f aca="false">N(N3127)+IF(AND(A3128&lt;&gt;"",OR(Recherche!$C$4="",A3128=Recherche!$C$4),OR(Recherche!$C$5="",B3128&amp;""=Recherche!$C$5&amp;""),OR(Recherche!$C$6="",IFERROR(YEAR(L3128),0)=Recherche!$C$6),OR(Recherche!$C$7="",ISNUMBER(SEARCH(Recherche!$C$7,H3128))),OR(Recherche!$C$8="",J3128=Recherche!$C$8),OR(Recherche!$C$9="",I3128=Recherche!$C$9),OR(Recherche!$C$10="",G3128&amp;""=Recherche!$C$10&amp;""),OR(Recherche!$C$11="",E3128=Recherche!$C$11),OR(Recherche!$C$12="",ISNUMBER(SEARCH(Recherche!$C$12,M3128&amp;" "&amp;F3128)))),1,0)</f>
        <v>8</v>
      </c>
    </row>
    <row r="3129" customFormat="false" ht="15" hidden="false" customHeight="false" outlineLevel="0" collapsed="false">
      <c r="A3129" s="19"/>
      <c r="B3129" s="19"/>
      <c r="C3129" s="19"/>
      <c r="D3129" s="19"/>
      <c r="E3129" s="22"/>
      <c r="F3129" s="19"/>
      <c r="G3129" s="26" t="str">
        <f aca="false">IF(D3129="","",IFERROR(VALUE(LEFT(D3129,FIND(" |",D3129&amp;" |")-1)),"?"))</f>
        <v/>
      </c>
      <c r="H3129" s="27" t="str">
        <f aca="false">IF(G3129="","",IF(G3129="?","⚠ pub inconnue",IFERROR(INDEX(Pubs!$B$2:$B$3001,MATCH(G3129,Pubs!$A$2:$A$3001,0))&amp;"","⚠ pub inconnue")))</f>
        <v/>
      </c>
      <c r="I3129" s="27" t="str">
        <f aca="false">IF(OR(G3129="",G3129="?"),"",IFERROR(INDEX(Pubs!$C$2:$C$3001,MATCH(G3129,Pubs!$A$2:$A$3001,0))&amp;"",""))</f>
        <v/>
      </c>
      <c r="J3129" s="27" t="str">
        <f aca="false">IF(OR(G3129="",G3129="?"),"",IFERROR(INDEX(Pubs!$G$2:$G$3001,MATCH(G3129,Pubs!$A$2:$A$3001,0))&amp;"",""))</f>
        <v/>
      </c>
      <c r="K3129" s="28" t="str">
        <f aca="false">IF(OR(G3129="",G3129="?"),"",IFERROR(INDEX(Pubs!$E$2:$E$3001,MATCH(G3129,Pubs!$A$2:$A$3001,0)),""))</f>
        <v/>
      </c>
      <c r="L3129" s="29" t="str">
        <f aca="false">IF(A3129="","",IFERROR(1/(1/INDEX(Numéros!$C$2:$C$3001,MATCH(A3129&amp;"|"&amp;B3129,Numéros!$F$2:$F$3001,0))),""))</f>
        <v/>
      </c>
      <c r="M3129" s="27" t="str">
        <f aca="false">IF(OR(G3129="",G3129="?"),"",IFERROR(INDEX(Pubs!$D$2:$D$3001,MATCH(G3129,Pubs!$A$2:$A$3001,0))&amp;"",""))</f>
        <v/>
      </c>
      <c r="N3129" s="27" t="n">
        <f aca="false">N(N3128)+IF(AND(A3129&lt;&gt;"",OR(Recherche!$C$4="",A3129=Recherche!$C$4),OR(Recherche!$C$5="",B3129&amp;""=Recherche!$C$5&amp;""),OR(Recherche!$C$6="",IFERROR(YEAR(L3129),0)=Recherche!$C$6),OR(Recherche!$C$7="",ISNUMBER(SEARCH(Recherche!$C$7,H3129))),OR(Recherche!$C$8="",J3129=Recherche!$C$8),OR(Recherche!$C$9="",I3129=Recherche!$C$9),OR(Recherche!$C$10="",G3129&amp;""=Recherche!$C$10&amp;""),OR(Recherche!$C$11="",E3129=Recherche!$C$11),OR(Recherche!$C$12="",ISNUMBER(SEARCH(Recherche!$C$12,M3129&amp;" "&amp;F3129)))),1,0)</f>
        <v>8</v>
      </c>
    </row>
    <row r="3130" customFormat="false" ht="15" hidden="false" customHeight="false" outlineLevel="0" collapsed="false">
      <c r="A3130" s="19"/>
      <c r="B3130" s="19"/>
      <c r="C3130" s="19"/>
      <c r="D3130" s="19"/>
      <c r="E3130" s="22"/>
      <c r="F3130" s="19"/>
      <c r="G3130" s="26" t="str">
        <f aca="false">IF(D3130="","",IFERROR(VALUE(LEFT(D3130,FIND(" |",D3130&amp;" |")-1)),"?"))</f>
        <v/>
      </c>
      <c r="H3130" s="27" t="str">
        <f aca="false">IF(G3130="","",IF(G3130="?","⚠ pub inconnue",IFERROR(INDEX(Pubs!$B$2:$B$3001,MATCH(G3130,Pubs!$A$2:$A$3001,0))&amp;"","⚠ pub inconnue")))</f>
        <v/>
      </c>
      <c r="I3130" s="27" t="str">
        <f aca="false">IF(OR(G3130="",G3130="?"),"",IFERROR(INDEX(Pubs!$C$2:$C$3001,MATCH(G3130,Pubs!$A$2:$A$3001,0))&amp;"",""))</f>
        <v/>
      </c>
      <c r="J3130" s="27" t="str">
        <f aca="false">IF(OR(G3130="",G3130="?"),"",IFERROR(INDEX(Pubs!$G$2:$G$3001,MATCH(G3130,Pubs!$A$2:$A$3001,0))&amp;"",""))</f>
        <v/>
      </c>
      <c r="K3130" s="28" t="str">
        <f aca="false">IF(OR(G3130="",G3130="?"),"",IFERROR(INDEX(Pubs!$E$2:$E$3001,MATCH(G3130,Pubs!$A$2:$A$3001,0)),""))</f>
        <v/>
      </c>
      <c r="L3130" s="29" t="str">
        <f aca="false">IF(A3130="","",IFERROR(1/(1/INDEX(Numéros!$C$2:$C$3001,MATCH(A3130&amp;"|"&amp;B3130,Numéros!$F$2:$F$3001,0))),""))</f>
        <v/>
      </c>
      <c r="M3130" s="27" t="str">
        <f aca="false">IF(OR(G3130="",G3130="?"),"",IFERROR(INDEX(Pubs!$D$2:$D$3001,MATCH(G3130,Pubs!$A$2:$A$3001,0))&amp;"",""))</f>
        <v/>
      </c>
      <c r="N3130" s="27" t="n">
        <f aca="false">N(N3129)+IF(AND(A3130&lt;&gt;"",OR(Recherche!$C$4="",A3130=Recherche!$C$4),OR(Recherche!$C$5="",B3130&amp;""=Recherche!$C$5&amp;""),OR(Recherche!$C$6="",IFERROR(YEAR(L3130),0)=Recherche!$C$6),OR(Recherche!$C$7="",ISNUMBER(SEARCH(Recherche!$C$7,H3130))),OR(Recherche!$C$8="",J3130=Recherche!$C$8),OR(Recherche!$C$9="",I3130=Recherche!$C$9),OR(Recherche!$C$10="",G3130&amp;""=Recherche!$C$10&amp;""),OR(Recherche!$C$11="",E3130=Recherche!$C$11),OR(Recherche!$C$12="",ISNUMBER(SEARCH(Recherche!$C$12,M3130&amp;" "&amp;F3130)))),1,0)</f>
        <v>8</v>
      </c>
    </row>
    <row r="3131" customFormat="false" ht="15" hidden="false" customHeight="false" outlineLevel="0" collapsed="false">
      <c r="A3131" s="19"/>
      <c r="B3131" s="19"/>
      <c r="C3131" s="19"/>
      <c r="D3131" s="19"/>
      <c r="E3131" s="22"/>
      <c r="F3131" s="19"/>
      <c r="G3131" s="26" t="str">
        <f aca="false">IF(D3131="","",IFERROR(VALUE(LEFT(D3131,FIND(" |",D3131&amp;" |")-1)),"?"))</f>
        <v/>
      </c>
      <c r="H3131" s="27" t="str">
        <f aca="false">IF(G3131="","",IF(G3131="?","⚠ pub inconnue",IFERROR(INDEX(Pubs!$B$2:$B$3001,MATCH(G3131,Pubs!$A$2:$A$3001,0))&amp;"","⚠ pub inconnue")))</f>
        <v/>
      </c>
      <c r="I3131" s="27" t="str">
        <f aca="false">IF(OR(G3131="",G3131="?"),"",IFERROR(INDEX(Pubs!$C$2:$C$3001,MATCH(G3131,Pubs!$A$2:$A$3001,0))&amp;"",""))</f>
        <v/>
      </c>
      <c r="J3131" s="27" t="str">
        <f aca="false">IF(OR(G3131="",G3131="?"),"",IFERROR(INDEX(Pubs!$G$2:$G$3001,MATCH(G3131,Pubs!$A$2:$A$3001,0))&amp;"",""))</f>
        <v/>
      </c>
      <c r="K3131" s="28" t="str">
        <f aca="false">IF(OR(G3131="",G3131="?"),"",IFERROR(INDEX(Pubs!$E$2:$E$3001,MATCH(G3131,Pubs!$A$2:$A$3001,0)),""))</f>
        <v/>
      </c>
      <c r="L3131" s="29" t="str">
        <f aca="false">IF(A3131="","",IFERROR(1/(1/INDEX(Numéros!$C$2:$C$3001,MATCH(A3131&amp;"|"&amp;B3131,Numéros!$F$2:$F$3001,0))),""))</f>
        <v/>
      </c>
      <c r="M3131" s="27" t="str">
        <f aca="false">IF(OR(G3131="",G3131="?"),"",IFERROR(INDEX(Pubs!$D$2:$D$3001,MATCH(G3131,Pubs!$A$2:$A$3001,0))&amp;"",""))</f>
        <v/>
      </c>
      <c r="N3131" s="27" t="n">
        <f aca="false">N(N3130)+IF(AND(A3131&lt;&gt;"",OR(Recherche!$C$4="",A3131=Recherche!$C$4),OR(Recherche!$C$5="",B3131&amp;""=Recherche!$C$5&amp;""),OR(Recherche!$C$6="",IFERROR(YEAR(L3131),0)=Recherche!$C$6),OR(Recherche!$C$7="",ISNUMBER(SEARCH(Recherche!$C$7,H3131))),OR(Recherche!$C$8="",J3131=Recherche!$C$8),OR(Recherche!$C$9="",I3131=Recherche!$C$9),OR(Recherche!$C$10="",G3131&amp;""=Recherche!$C$10&amp;""),OR(Recherche!$C$11="",E3131=Recherche!$C$11),OR(Recherche!$C$12="",ISNUMBER(SEARCH(Recherche!$C$12,M3131&amp;" "&amp;F3131)))),1,0)</f>
        <v>8</v>
      </c>
    </row>
    <row r="3132" customFormat="false" ht="15" hidden="false" customHeight="false" outlineLevel="0" collapsed="false">
      <c r="A3132" s="19"/>
      <c r="B3132" s="19"/>
      <c r="C3132" s="19"/>
      <c r="D3132" s="19"/>
      <c r="E3132" s="22"/>
      <c r="F3132" s="19"/>
      <c r="G3132" s="26" t="str">
        <f aca="false">IF(D3132="","",IFERROR(VALUE(LEFT(D3132,FIND(" |",D3132&amp;" |")-1)),"?"))</f>
        <v/>
      </c>
      <c r="H3132" s="27" t="str">
        <f aca="false">IF(G3132="","",IF(G3132="?","⚠ pub inconnue",IFERROR(INDEX(Pubs!$B$2:$B$3001,MATCH(G3132,Pubs!$A$2:$A$3001,0))&amp;"","⚠ pub inconnue")))</f>
        <v/>
      </c>
      <c r="I3132" s="27" t="str">
        <f aca="false">IF(OR(G3132="",G3132="?"),"",IFERROR(INDEX(Pubs!$C$2:$C$3001,MATCH(G3132,Pubs!$A$2:$A$3001,0))&amp;"",""))</f>
        <v/>
      </c>
      <c r="J3132" s="27" t="str">
        <f aca="false">IF(OR(G3132="",G3132="?"),"",IFERROR(INDEX(Pubs!$G$2:$G$3001,MATCH(G3132,Pubs!$A$2:$A$3001,0))&amp;"",""))</f>
        <v/>
      </c>
      <c r="K3132" s="28" t="str">
        <f aca="false">IF(OR(G3132="",G3132="?"),"",IFERROR(INDEX(Pubs!$E$2:$E$3001,MATCH(G3132,Pubs!$A$2:$A$3001,0)),""))</f>
        <v/>
      </c>
      <c r="L3132" s="29" t="str">
        <f aca="false">IF(A3132="","",IFERROR(1/(1/INDEX(Numéros!$C$2:$C$3001,MATCH(A3132&amp;"|"&amp;B3132,Numéros!$F$2:$F$3001,0))),""))</f>
        <v/>
      </c>
      <c r="M3132" s="27" t="str">
        <f aca="false">IF(OR(G3132="",G3132="?"),"",IFERROR(INDEX(Pubs!$D$2:$D$3001,MATCH(G3132,Pubs!$A$2:$A$3001,0))&amp;"",""))</f>
        <v/>
      </c>
      <c r="N3132" s="27" t="n">
        <f aca="false">N(N3131)+IF(AND(A3132&lt;&gt;"",OR(Recherche!$C$4="",A3132=Recherche!$C$4),OR(Recherche!$C$5="",B3132&amp;""=Recherche!$C$5&amp;""),OR(Recherche!$C$6="",IFERROR(YEAR(L3132),0)=Recherche!$C$6),OR(Recherche!$C$7="",ISNUMBER(SEARCH(Recherche!$C$7,H3132))),OR(Recherche!$C$8="",J3132=Recherche!$C$8),OR(Recherche!$C$9="",I3132=Recherche!$C$9),OR(Recherche!$C$10="",G3132&amp;""=Recherche!$C$10&amp;""),OR(Recherche!$C$11="",E3132=Recherche!$C$11),OR(Recherche!$C$12="",ISNUMBER(SEARCH(Recherche!$C$12,M3132&amp;" "&amp;F3132)))),1,0)</f>
        <v>8</v>
      </c>
    </row>
    <row r="3133" customFormat="false" ht="15" hidden="false" customHeight="false" outlineLevel="0" collapsed="false">
      <c r="A3133" s="19"/>
      <c r="B3133" s="19"/>
      <c r="C3133" s="19"/>
      <c r="D3133" s="19"/>
      <c r="E3133" s="22"/>
      <c r="F3133" s="19"/>
      <c r="G3133" s="26" t="str">
        <f aca="false">IF(D3133="","",IFERROR(VALUE(LEFT(D3133,FIND(" |",D3133&amp;" |")-1)),"?"))</f>
        <v/>
      </c>
      <c r="H3133" s="27" t="str">
        <f aca="false">IF(G3133="","",IF(G3133="?","⚠ pub inconnue",IFERROR(INDEX(Pubs!$B$2:$B$3001,MATCH(G3133,Pubs!$A$2:$A$3001,0))&amp;"","⚠ pub inconnue")))</f>
        <v/>
      </c>
      <c r="I3133" s="27" t="str">
        <f aca="false">IF(OR(G3133="",G3133="?"),"",IFERROR(INDEX(Pubs!$C$2:$C$3001,MATCH(G3133,Pubs!$A$2:$A$3001,0))&amp;"",""))</f>
        <v/>
      </c>
      <c r="J3133" s="27" t="str">
        <f aca="false">IF(OR(G3133="",G3133="?"),"",IFERROR(INDEX(Pubs!$G$2:$G$3001,MATCH(G3133,Pubs!$A$2:$A$3001,0))&amp;"",""))</f>
        <v/>
      </c>
      <c r="K3133" s="28" t="str">
        <f aca="false">IF(OR(G3133="",G3133="?"),"",IFERROR(INDEX(Pubs!$E$2:$E$3001,MATCH(G3133,Pubs!$A$2:$A$3001,0)),""))</f>
        <v/>
      </c>
      <c r="L3133" s="29" t="str">
        <f aca="false">IF(A3133="","",IFERROR(1/(1/INDEX(Numéros!$C$2:$C$3001,MATCH(A3133&amp;"|"&amp;B3133,Numéros!$F$2:$F$3001,0))),""))</f>
        <v/>
      </c>
      <c r="M3133" s="27" t="str">
        <f aca="false">IF(OR(G3133="",G3133="?"),"",IFERROR(INDEX(Pubs!$D$2:$D$3001,MATCH(G3133,Pubs!$A$2:$A$3001,0))&amp;"",""))</f>
        <v/>
      </c>
      <c r="N3133" s="27" t="n">
        <f aca="false">N(N3132)+IF(AND(A3133&lt;&gt;"",OR(Recherche!$C$4="",A3133=Recherche!$C$4),OR(Recherche!$C$5="",B3133&amp;""=Recherche!$C$5&amp;""),OR(Recherche!$C$6="",IFERROR(YEAR(L3133),0)=Recherche!$C$6),OR(Recherche!$C$7="",ISNUMBER(SEARCH(Recherche!$C$7,H3133))),OR(Recherche!$C$8="",J3133=Recherche!$C$8),OR(Recherche!$C$9="",I3133=Recherche!$C$9),OR(Recherche!$C$10="",G3133&amp;""=Recherche!$C$10&amp;""),OR(Recherche!$C$11="",E3133=Recherche!$C$11),OR(Recherche!$C$12="",ISNUMBER(SEARCH(Recherche!$C$12,M3133&amp;" "&amp;F3133)))),1,0)</f>
        <v>8</v>
      </c>
    </row>
    <row r="3134" customFormat="false" ht="15" hidden="false" customHeight="false" outlineLevel="0" collapsed="false">
      <c r="A3134" s="19"/>
      <c r="B3134" s="19"/>
      <c r="C3134" s="19"/>
      <c r="D3134" s="19"/>
      <c r="E3134" s="22"/>
      <c r="F3134" s="19"/>
      <c r="G3134" s="26" t="str">
        <f aca="false">IF(D3134="","",IFERROR(VALUE(LEFT(D3134,FIND(" |",D3134&amp;" |")-1)),"?"))</f>
        <v/>
      </c>
      <c r="H3134" s="27" t="str">
        <f aca="false">IF(G3134="","",IF(G3134="?","⚠ pub inconnue",IFERROR(INDEX(Pubs!$B$2:$B$3001,MATCH(G3134,Pubs!$A$2:$A$3001,0))&amp;"","⚠ pub inconnue")))</f>
        <v/>
      </c>
      <c r="I3134" s="27" t="str">
        <f aca="false">IF(OR(G3134="",G3134="?"),"",IFERROR(INDEX(Pubs!$C$2:$C$3001,MATCH(G3134,Pubs!$A$2:$A$3001,0))&amp;"",""))</f>
        <v/>
      </c>
      <c r="J3134" s="27" t="str">
        <f aca="false">IF(OR(G3134="",G3134="?"),"",IFERROR(INDEX(Pubs!$G$2:$G$3001,MATCH(G3134,Pubs!$A$2:$A$3001,0))&amp;"",""))</f>
        <v/>
      </c>
      <c r="K3134" s="28" t="str">
        <f aca="false">IF(OR(G3134="",G3134="?"),"",IFERROR(INDEX(Pubs!$E$2:$E$3001,MATCH(G3134,Pubs!$A$2:$A$3001,0)),""))</f>
        <v/>
      </c>
      <c r="L3134" s="29" t="str">
        <f aca="false">IF(A3134="","",IFERROR(1/(1/INDEX(Numéros!$C$2:$C$3001,MATCH(A3134&amp;"|"&amp;B3134,Numéros!$F$2:$F$3001,0))),""))</f>
        <v/>
      </c>
      <c r="M3134" s="27" t="str">
        <f aca="false">IF(OR(G3134="",G3134="?"),"",IFERROR(INDEX(Pubs!$D$2:$D$3001,MATCH(G3134,Pubs!$A$2:$A$3001,0))&amp;"",""))</f>
        <v/>
      </c>
      <c r="N3134" s="27" t="n">
        <f aca="false">N(N3133)+IF(AND(A3134&lt;&gt;"",OR(Recherche!$C$4="",A3134=Recherche!$C$4),OR(Recherche!$C$5="",B3134&amp;""=Recherche!$C$5&amp;""),OR(Recherche!$C$6="",IFERROR(YEAR(L3134),0)=Recherche!$C$6),OR(Recherche!$C$7="",ISNUMBER(SEARCH(Recherche!$C$7,H3134))),OR(Recherche!$C$8="",J3134=Recherche!$C$8),OR(Recherche!$C$9="",I3134=Recherche!$C$9),OR(Recherche!$C$10="",G3134&amp;""=Recherche!$C$10&amp;""),OR(Recherche!$C$11="",E3134=Recherche!$C$11),OR(Recherche!$C$12="",ISNUMBER(SEARCH(Recherche!$C$12,M3134&amp;" "&amp;F3134)))),1,0)</f>
        <v>8</v>
      </c>
    </row>
    <row r="3135" customFormat="false" ht="15" hidden="false" customHeight="false" outlineLevel="0" collapsed="false">
      <c r="A3135" s="19"/>
      <c r="B3135" s="19"/>
      <c r="C3135" s="19"/>
      <c r="D3135" s="19"/>
      <c r="E3135" s="22"/>
      <c r="F3135" s="19"/>
      <c r="G3135" s="26" t="str">
        <f aca="false">IF(D3135="","",IFERROR(VALUE(LEFT(D3135,FIND(" |",D3135&amp;" |")-1)),"?"))</f>
        <v/>
      </c>
      <c r="H3135" s="27" t="str">
        <f aca="false">IF(G3135="","",IF(G3135="?","⚠ pub inconnue",IFERROR(INDEX(Pubs!$B$2:$B$3001,MATCH(G3135,Pubs!$A$2:$A$3001,0))&amp;"","⚠ pub inconnue")))</f>
        <v/>
      </c>
      <c r="I3135" s="27" t="str">
        <f aca="false">IF(OR(G3135="",G3135="?"),"",IFERROR(INDEX(Pubs!$C$2:$C$3001,MATCH(G3135,Pubs!$A$2:$A$3001,0))&amp;"",""))</f>
        <v/>
      </c>
      <c r="J3135" s="27" t="str">
        <f aca="false">IF(OR(G3135="",G3135="?"),"",IFERROR(INDEX(Pubs!$G$2:$G$3001,MATCH(G3135,Pubs!$A$2:$A$3001,0))&amp;"",""))</f>
        <v/>
      </c>
      <c r="K3135" s="28" t="str">
        <f aca="false">IF(OR(G3135="",G3135="?"),"",IFERROR(INDEX(Pubs!$E$2:$E$3001,MATCH(G3135,Pubs!$A$2:$A$3001,0)),""))</f>
        <v/>
      </c>
      <c r="L3135" s="29" t="str">
        <f aca="false">IF(A3135="","",IFERROR(1/(1/INDEX(Numéros!$C$2:$C$3001,MATCH(A3135&amp;"|"&amp;B3135,Numéros!$F$2:$F$3001,0))),""))</f>
        <v/>
      </c>
      <c r="M3135" s="27" t="str">
        <f aca="false">IF(OR(G3135="",G3135="?"),"",IFERROR(INDEX(Pubs!$D$2:$D$3001,MATCH(G3135,Pubs!$A$2:$A$3001,0))&amp;"",""))</f>
        <v/>
      </c>
      <c r="N3135" s="27" t="n">
        <f aca="false">N(N3134)+IF(AND(A3135&lt;&gt;"",OR(Recherche!$C$4="",A3135=Recherche!$C$4),OR(Recherche!$C$5="",B3135&amp;""=Recherche!$C$5&amp;""),OR(Recherche!$C$6="",IFERROR(YEAR(L3135),0)=Recherche!$C$6),OR(Recherche!$C$7="",ISNUMBER(SEARCH(Recherche!$C$7,H3135))),OR(Recherche!$C$8="",J3135=Recherche!$C$8),OR(Recherche!$C$9="",I3135=Recherche!$C$9),OR(Recherche!$C$10="",G3135&amp;""=Recherche!$C$10&amp;""),OR(Recherche!$C$11="",E3135=Recherche!$C$11),OR(Recherche!$C$12="",ISNUMBER(SEARCH(Recherche!$C$12,M3135&amp;" "&amp;F3135)))),1,0)</f>
        <v>8</v>
      </c>
    </row>
    <row r="3136" customFormat="false" ht="15" hidden="false" customHeight="false" outlineLevel="0" collapsed="false">
      <c r="A3136" s="19"/>
      <c r="B3136" s="19"/>
      <c r="C3136" s="19"/>
      <c r="D3136" s="19"/>
      <c r="E3136" s="22"/>
      <c r="F3136" s="19"/>
      <c r="G3136" s="26" t="str">
        <f aca="false">IF(D3136="","",IFERROR(VALUE(LEFT(D3136,FIND(" |",D3136&amp;" |")-1)),"?"))</f>
        <v/>
      </c>
      <c r="H3136" s="27" t="str">
        <f aca="false">IF(G3136="","",IF(G3136="?","⚠ pub inconnue",IFERROR(INDEX(Pubs!$B$2:$B$3001,MATCH(G3136,Pubs!$A$2:$A$3001,0))&amp;"","⚠ pub inconnue")))</f>
        <v/>
      </c>
      <c r="I3136" s="27" t="str">
        <f aca="false">IF(OR(G3136="",G3136="?"),"",IFERROR(INDEX(Pubs!$C$2:$C$3001,MATCH(G3136,Pubs!$A$2:$A$3001,0))&amp;"",""))</f>
        <v/>
      </c>
      <c r="J3136" s="27" t="str">
        <f aca="false">IF(OR(G3136="",G3136="?"),"",IFERROR(INDEX(Pubs!$G$2:$G$3001,MATCH(G3136,Pubs!$A$2:$A$3001,0))&amp;"",""))</f>
        <v/>
      </c>
      <c r="K3136" s="28" t="str">
        <f aca="false">IF(OR(G3136="",G3136="?"),"",IFERROR(INDEX(Pubs!$E$2:$E$3001,MATCH(G3136,Pubs!$A$2:$A$3001,0)),""))</f>
        <v/>
      </c>
      <c r="L3136" s="29" t="str">
        <f aca="false">IF(A3136="","",IFERROR(1/(1/INDEX(Numéros!$C$2:$C$3001,MATCH(A3136&amp;"|"&amp;B3136,Numéros!$F$2:$F$3001,0))),""))</f>
        <v/>
      </c>
      <c r="M3136" s="27" t="str">
        <f aca="false">IF(OR(G3136="",G3136="?"),"",IFERROR(INDEX(Pubs!$D$2:$D$3001,MATCH(G3136,Pubs!$A$2:$A$3001,0))&amp;"",""))</f>
        <v/>
      </c>
      <c r="N3136" s="27" t="n">
        <f aca="false">N(N3135)+IF(AND(A3136&lt;&gt;"",OR(Recherche!$C$4="",A3136=Recherche!$C$4),OR(Recherche!$C$5="",B3136&amp;""=Recherche!$C$5&amp;""),OR(Recherche!$C$6="",IFERROR(YEAR(L3136),0)=Recherche!$C$6),OR(Recherche!$C$7="",ISNUMBER(SEARCH(Recherche!$C$7,H3136))),OR(Recherche!$C$8="",J3136=Recherche!$C$8),OR(Recherche!$C$9="",I3136=Recherche!$C$9),OR(Recherche!$C$10="",G3136&amp;""=Recherche!$C$10&amp;""),OR(Recherche!$C$11="",E3136=Recherche!$C$11),OR(Recherche!$C$12="",ISNUMBER(SEARCH(Recherche!$C$12,M3136&amp;" "&amp;F3136)))),1,0)</f>
        <v>8</v>
      </c>
    </row>
    <row r="3137" customFormat="false" ht="15" hidden="false" customHeight="false" outlineLevel="0" collapsed="false">
      <c r="A3137" s="19"/>
      <c r="B3137" s="19"/>
      <c r="C3137" s="19"/>
      <c r="D3137" s="19"/>
      <c r="E3137" s="22"/>
      <c r="F3137" s="19"/>
      <c r="G3137" s="26" t="str">
        <f aca="false">IF(D3137="","",IFERROR(VALUE(LEFT(D3137,FIND(" |",D3137&amp;" |")-1)),"?"))</f>
        <v/>
      </c>
      <c r="H3137" s="27" t="str">
        <f aca="false">IF(G3137="","",IF(G3137="?","⚠ pub inconnue",IFERROR(INDEX(Pubs!$B$2:$B$3001,MATCH(G3137,Pubs!$A$2:$A$3001,0))&amp;"","⚠ pub inconnue")))</f>
        <v/>
      </c>
      <c r="I3137" s="27" t="str">
        <f aca="false">IF(OR(G3137="",G3137="?"),"",IFERROR(INDEX(Pubs!$C$2:$C$3001,MATCH(G3137,Pubs!$A$2:$A$3001,0))&amp;"",""))</f>
        <v/>
      </c>
      <c r="J3137" s="27" t="str">
        <f aca="false">IF(OR(G3137="",G3137="?"),"",IFERROR(INDEX(Pubs!$G$2:$G$3001,MATCH(G3137,Pubs!$A$2:$A$3001,0))&amp;"",""))</f>
        <v/>
      </c>
      <c r="K3137" s="28" t="str">
        <f aca="false">IF(OR(G3137="",G3137="?"),"",IFERROR(INDEX(Pubs!$E$2:$E$3001,MATCH(G3137,Pubs!$A$2:$A$3001,0)),""))</f>
        <v/>
      </c>
      <c r="L3137" s="29" t="str">
        <f aca="false">IF(A3137="","",IFERROR(1/(1/INDEX(Numéros!$C$2:$C$3001,MATCH(A3137&amp;"|"&amp;B3137,Numéros!$F$2:$F$3001,0))),""))</f>
        <v/>
      </c>
      <c r="M3137" s="27" t="str">
        <f aca="false">IF(OR(G3137="",G3137="?"),"",IFERROR(INDEX(Pubs!$D$2:$D$3001,MATCH(G3137,Pubs!$A$2:$A$3001,0))&amp;"",""))</f>
        <v/>
      </c>
      <c r="N3137" s="27" t="n">
        <f aca="false">N(N3136)+IF(AND(A3137&lt;&gt;"",OR(Recherche!$C$4="",A3137=Recherche!$C$4),OR(Recherche!$C$5="",B3137&amp;""=Recherche!$C$5&amp;""),OR(Recherche!$C$6="",IFERROR(YEAR(L3137),0)=Recherche!$C$6),OR(Recherche!$C$7="",ISNUMBER(SEARCH(Recherche!$C$7,H3137))),OR(Recherche!$C$8="",J3137=Recherche!$C$8),OR(Recherche!$C$9="",I3137=Recherche!$C$9),OR(Recherche!$C$10="",G3137&amp;""=Recherche!$C$10&amp;""),OR(Recherche!$C$11="",E3137=Recherche!$C$11),OR(Recherche!$C$12="",ISNUMBER(SEARCH(Recherche!$C$12,M3137&amp;" "&amp;F3137)))),1,0)</f>
        <v>8</v>
      </c>
    </row>
    <row r="3138" customFormat="false" ht="15" hidden="false" customHeight="false" outlineLevel="0" collapsed="false">
      <c r="A3138" s="19"/>
      <c r="B3138" s="19"/>
      <c r="C3138" s="19"/>
      <c r="D3138" s="19"/>
      <c r="E3138" s="22"/>
      <c r="F3138" s="19"/>
      <c r="G3138" s="26" t="str">
        <f aca="false">IF(D3138="","",IFERROR(VALUE(LEFT(D3138,FIND(" |",D3138&amp;" |")-1)),"?"))</f>
        <v/>
      </c>
      <c r="H3138" s="27" t="str">
        <f aca="false">IF(G3138="","",IF(G3138="?","⚠ pub inconnue",IFERROR(INDEX(Pubs!$B$2:$B$3001,MATCH(G3138,Pubs!$A$2:$A$3001,0))&amp;"","⚠ pub inconnue")))</f>
        <v/>
      </c>
      <c r="I3138" s="27" t="str">
        <f aca="false">IF(OR(G3138="",G3138="?"),"",IFERROR(INDEX(Pubs!$C$2:$C$3001,MATCH(G3138,Pubs!$A$2:$A$3001,0))&amp;"",""))</f>
        <v/>
      </c>
      <c r="J3138" s="27" t="str">
        <f aca="false">IF(OR(G3138="",G3138="?"),"",IFERROR(INDEX(Pubs!$G$2:$G$3001,MATCH(G3138,Pubs!$A$2:$A$3001,0))&amp;"",""))</f>
        <v/>
      </c>
      <c r="K3138" s="28" t="str">
        <f aca="false">IF(OR(G3138="",G3138="?"),"",IFERROR(INDEX(Pubs!$E$2:$E$3001,MATCH(G3138,Pubs!$A$2:$A$3001,0)),""))</f>
        <v/>
      </c>
      <c r="L3138" s="29" t="str">
        <f aca="false">IF(A3138="","",IFERROR(1/(1/INDEX(Numéros!$C$2:$C$3001,MATCH(A3138&amp;"|"&amp;B3138,Numéros!$F$2:$F$3001,0))),""))</f>
        <v/>
      </c>
      <c r="M3138" s="27" t="str">
        <f aca="false">IF(OR(G3138="",G3138="?"),"",IFERROR(INDEX(Pubs!$D$2:$D$3001,MATCH(G3138,Pubs!$A$2:$A$3001,0))&amp;"",""))</f>
        <v/>
      </c>
      <c r="N3138" s="27" t="n">
        <f aca="false">N(N3137)+IF(AND(A3138&lt;&gt;"",OR(Recherche!$C$4="",A3138=Recherche!$C$4),OR(Recherche!$C$5="",B3138&amp;""=Recherche!$C$5&amp;""),OR(Recherche!$C$6="",IFERROR(YEAR(L3138),0)=Recherche!$C$6),OR(Recherche!$C$7="",ISNUMBER(SEARCH(Recherche!$C$7,H3138))),OR(Recherche!$C$8="",J3138=Recherche!$C$8),OR(Recherche!$C$9="",I3138=Recherche!$C$9),OR(Recherche!$C$10="",G3138&amp;""=Recherche!$C$10&amp;""),OR(Recherche!$C$11="",E3138=Recherche!$C$11),OR(Recherche!$C$12="",ISNUMBER(SEARCH(Recherche!$C$12,M3138&amp;" "&amp;F3138)))),1,0)</f>
        <v>8</v>
      </c>
    </row>
    <row r="3139" customFormat="false" ht="15" hidden="false" customHeight="false" outlineLevel="0" collapsed="false">
      <c r="A3139" s="19"/>
      <c r="B3139" s="19"/>
      <c r="C3139" s="19"/>
      <c r="D3139" s="19"/>
      <c r="E3139" s="22"/>
      <c r="F3139" s="19"/>
      <c r="G3139" s="26" t="str">
        <f aca="false">IF(D3139="","",IFERROR(VALUE(LEFT(D3139,FIND(" |",D3139&amp;" |")-1)),"?"))</f>
        <v/>
      </c>
      <c r="H3139" s="27" t="str">
        <f aca="false">IF(G3139="","",IF(G3139="?","⚠ pub inconnue",IFERROR(INDEX(Pubs!$B$2:$B$3001,MATCH(G3139,Pubs!$A$2:$A$3001,0))&amp;"","⚠ pub inconnue")))</f>
        <v/>
      </c>
      <c r="I3139" s="27" t="str">
        <f aca="false">IF(OR(G3139="",G3139="?"),"",IFERROR(INDEX(Pubs!$C$2:$C$3001,MATCH(G3139,Pubs!$A$2:$A$3001,0))&amp;"",""))</f>
        <v/>
      </c>
      <c r="J3139" s="27" t="str">
        <f aca="false">IF(OR(G3139="",G3139="?"),"",IFERROR(INDEX(Pubs!$G$2:$G$3001,MATCH(G3139,Pubs!$A$2:$A$3001,0))&amp;"",""))</f>
        <v/>
      </c>
      <c r="K3139" s="28" t="str">
        <f aca="false">IF(OR(G3139="",G3139="?"),"",IFERROR(INDEX(Pubs!$E$2:$E$3001,MATCH(G3139,Pubs!$A$2:$A$3001,0)),""))</f>
        <v/>
      </c>
      <c r="L3139" s="29" t="str">
        <f aca="false">IF(A3139="","",IFERROR(1/(1/INDEX(Numéros!$C$2:$C$3001,MATCH(A3139&amp;"|"&amp;B3139,Numéros!$F$2:$F$3001,0))),""))</f>
        <v/>
      </c>
      <c r="M3139" s="27" t="str">
        <f aca="false">IF(OR(G3139="",G3139="?"),"",IFERROR(INDEX(Pubs!$D$2:$D$3001,MATCH(G3139,Pubs!$A$2:$A$3001,0))&amp;"",""))</f>
        <v/>
      </c>
      <c r="N3139" s="27" t="n">
        <f aca="false">N(N3138)+IF(AND(A3139&lt;&gt;"",OR(Recherche!$C$4="",A3139=Recherche!$C$4),OR(Recherche!$C$5="",B3139&amp;""=Recherche!$C$5&amp;""),OR(Recherche!$C$6="",IFERROR(YEAR(L3139),0)=Recherche!$C$6),OR(Recherche!$C$7="",ISNUMBER(SEARCH(Recherche!$C$7,H3139))),OR(Recherche!$C$8="",J3139=Recherche!$C$8),OR(Recherche!$C$9="",I3139=Recherche!$C$9),OR(Recherche!$C$10="",G3139&amp;""=Recherche!$C$10&amp;""),OR(Recherche!$C$11="",E3139=Recherche!$C$11),OR(Recherche!$C$12="",ISNUMBER(SEARCH(Recherche!$C$12,M3139&amp;" "&amp;F3139)))),1,0)</f>
        <v>8</v>
      </c>
    </row>
    <row r="3140" customFormat="false" ht="15" hidden="false" customHeight="false" outlineLevel="0" collapsed="false">
      <c r="A3140" s="19"/>
      <c r="B3140" s="19"/>
      <c r="C3140" s="19"/>
      <c r="D3140" s="19"/>
      <c r="E3140" s="22"/>
      <c r="F3140" s="19"/>
      <c r="G3140" s="26" t="str">
        <f aca="false">IF(D3140="","",IFERROR(VALUE(LEFT(D3140,FIND(" |",D3140&amp;" |")-1)),"?"))</f>
        <v/>
      </c>
      <c r="H3140" s="27" t="str">
        <f aca="false">IF(G3140="","",IF(G3140="?","⚠ pub inconnue",IFERROR(INDEX(Pubs!$B$2:$B$3001,MATCH(G3140,Pubs!$A$2:$A$3001,0))&amp;"","⚠ pub inconnue")))</f>
        <v/>
      </c>
      <c r="I3140" s="27" t="str">
        <f aca="false">IF(OR(G3140="",G3140="?"),"",IFERROR(INDEX(Pubs!$C$2:$C$3001,MATCH(G3140,Pubs!$A$2:$A$3001,0))&amp;"",""))</f>
        <v/>
      </c>
      <c r="J3140" s="27" t="str">
        <f aca="false">IF(OR(G3140="",G3140="?"),"",IFERROR(INDEX(Pubs!$G$2:$G$3001,MATCH(G3140,Pubs!$A$2:$A$3001,0))&amp;"",""))</f>
        <v/>
      </c>
      <c r="K3140" s="28" t="str">
        <f aca="false">IF(OR(G3140="",G3140="?"),"",IFERROR(INDEX(Pubs!$E$2:$E$3001,MATCH(G3140,Pubs!$A$2:$A$3001,0)),""))</f>
        <v/>
      </c>
      <c r="L3140" s="29" t="str">
        <f aca="false">IF(A3140="","",IFERROR(1/(1/INDEX(Numéros!$C$2:$C$3001,MATCH(A3140&amp;"|"&amp;B3140,Numéros!$F$2:$F$3001,0))),""))</f>
        <v/>
      </c>
      <c r="M3140" s="27" t="str">
        <f aca="false">IF(OR(G3140="",G3140="?"),"",IFERROR(INDEX(Pubs!$D$2:$D$3001,MATCH(G3140,Pubs!$A$2:$A$3001,0))&amp;"",""))</f>
        <v/>
      </c>
      <c r="N3140" s="27" t="n">
        <f aca="false">N(N3139)+IF(AND(A3140&lt;&gt;"",OR(Recherche!$C$4="",A3140=Recherche!$C$4),OR(Recherche!$C$5="",B3140&amp;""=Recherche!$C$5&amp;""),OR(Recherche!$C$6="",IFERROR(YEAR(L3140),0)=Recherche!$C$6),OR(Recherche!$C$7="",ISNUMBER(SEARCH(Recherche!$C$7,H3140))),OR(Recherche!$C$8="",J3140=Recherche!$C$8),OR(Recherche!$C$9="",I3140=Recherche!$C$9),OR(Recherche!$C$10="",G3140&amp;""=Recherche!$C$10&amp;""),OR(Recherche!$C$11="",E3140=Recherche!$C$11),OR(Recherche!$C$12="",ISNUMBER(SEARCH(Recherche!$C$12,M3140&amp;" "&amp;F3140)))),1,0)</f>
        <v>8</v>
      </c>
    </row>
    <row r="3141" customFormat="false" ht="15" hidden="false" customHeight="false" outlineLevel="0" collapsed="false">
      <c r="A3141" s="19"/>
      <c r="B3141" s="19"/>
      <c r="C3141" s="19"/>
      <c r="D3141" s="19"/>
      <c r="E3141" s="22"/>
      <c r="F3141" s="19"/>
      <c r="G3141" s="26" t="str">
        <f aca="false">IF(D3141="","",IFERROR(VALUE(LEFT(D3141,FIND(" |",D3141&amp;" |")-1)),"?"))</f>
        <v/>
      </c>
      <c r="H3141" s="27" t="str">
        <f aca="false">IF(G3141="","",IF(G3141="?","⚠ pub inconnue",IFERROR(INDEX(Pubs!$B$2:$B$3001,MATCH(G3141,Pubs!$A$2:$A$3001,0))&amp;"","⚠ pub inconnue")))</f>
        <v/>
      </c>
      <c r="I3141" s="27" t="str">
        <f aca="false">IF(OR(G3141="",G3141="?"),"",IFERROR(INDEX(Pubs!$C$2:$C$3001,MATCH(G3141,Pubs!$A$2:$A$3001,0))&amp;"",""))</f>
        <v/>
      </c>
      <c r="J3141" s="27" t="str">
        <f aca="false">IF(OR(G3141="",G3141="?"),"",IFERROR(INDEX(Pubs!$G$2:$G$3001,MATCH(G3141,Pubs!$A$2:$A$3001,0))&amp;"",""))</f>
        <v/>
      </c>
      <c r="K3141" s="28" t="str">
        <f aca="false">IF(OR(G3141="",G3141="?"),"",IFERROR(INDEX(Pubs!$E$2:$E$3001,MATCH(G3141,Pubs!$A$2:$A$3001,0)),""))</f>
        <v/>
      </c>
      <c r="L3141" s="29" t="str">
        <f aca="false">IF(A3141="","",IFERROR(1/(1/INDEX(Numéros!$C$2:$C$3001,MATCH(A3141&amp;"|"&amp;B3141,Numéros!$F$2:$F$3001,0))),""))</f>
        <v/>
      </c>
      <c r="M3141" s="27" t="str">
        <f aca="false">IF(OR(G3141="",G3141="?"),"",IFERROR(INDEX(Pubs!$D$2:$D$3001,MATCH(G3141,Pubs!$A$2:$A$3001,0))&amp;"",""))</f>
        <v/>
      </c>
      <c r="N3141" s="27" t="n">
        <f aca="false">N(N3140)+IF(AND(A3141&lt;&gt;"",OR(Recherche!$C$4="",A3141=Recherche!$C$4),OR(Recherche!$C$5="",B3141&amp;""=Recherche!$C$5&amp;""),OR(Recherche!$C$6="",IFERROR(YEAR(L3141),0)=Recherche!$C$6),OR(Recherche!$C$7="",ISNUMBER(SEARCH(Recherche!$C$7,H3141))),OR(Recherche!$C$8="",J3141=Recherche!$C$8),OR(Recherche!$C$9="",I3141=Recherche!$C$9),OR(Recherche!$C$10="",G3141&amp;""=Recherche!$C$10&amp;""),OR(Recherche!$C$11="",E3141=Recherche!$C$11),OR(Recherche!$C$12="",ISNUMBER(SEARCH(Recherche!$C$12,M3141&amp;" "&amp;F3141)))),1,0)</f>
        <v>8</v>
      </c>
    </row>
    <row r="3142" customFormat="false" ht="15" hidden="false" customHeight="false" outlineLevel="0" collapsed="false">
      <c r="A3142" s="19"/>
      <c r="B3142" s="19"/>
      <c r="C3142" s="19"/>
      <c r="D3142" s="19"/>
      <c r="E3142" s="22"/>
      <c r="F3142" s="19"/>
      <c r="G3142" s="26" t="str">
        <f aca="false">IF(D3142="","",IFERROR(VALUE(LEFT(D3142,FIND(" |",D3142&amp;" |")-1)),"?"))</f>
        <v/>
      </c>
      <c r="H3142" s="27" t="str">
        <f aca="false">IF(G3142="","",IF(G3142="?","⚠ pub inconnue",IFERROR(INDEX(Pubs!$B$2:$B$3001,MATCH(G3142,Pubs!$A$2:$A$3001,0))&amp;"","⚠ pub inconnue")))</f>
        <v/>
      </c>
      <c r="I3142" s="27" t="str">
        <f aca="false">IF(OR(G3142="",G3142="?"),"",IFERROR(INDEX(Pubs!$C$2:$C$3001,MATCH(G3142,Pubs!$A$2:$A$3001,0))&amp;"",""))</f>
        <v/>
      </c>
      <c r="J3142" s="27" t="str">
        <f aca="false">IF(OR(G3142="",G3142="?"),"",IFERROR(INDEX(Pubs!$G$2:$G$3001,MATCH(G3142,Pubs!$A$2:$A$3001,0))&amp;"",""))</f>
        <v/>
      </c>
      <c r="K3142" s="28" t="str">
        <f aca="false">IF(OR(G3142="",G3142="?"),"",IFERROR(INDEX(Pubs!$E$2:$E$3001,MATCH(G3142,Pubs!$A$2:$A$3001,0)),""))</f>
        <v/>
      </c>
      <c r="L3142" s="29" t="str">
        <f aca="false">IF(A3142="","",IFERROR(1/(1/INDEX(Numéros!$C$2:$C$3001,MATCH(A3142&amp;"|"&amp;B3142,Numéros!$F$2:$F$3001,0))),""))</f>
        <v/>
      </c>
      <c r="M3142" s="27" t="str">
        <f aca="false">IF(OR(G3142="",G3142="?"),"",IFERROR(INDEX(Pubs!$D$2:$D$3001,MATCH(G3142,Pubs!$A$2:$A$3001,0))&amp;"",""))</f>
        <v/>
      </c>
      <c r="N3142" s="27" t="n">
        <f aca="false">N(N3141)+IF(AND(A3142&lt;&gt;"",OR(Recherche!$C$4="",A3142=Recherche!$C$4),OR(Recherche!$C$5="",B3142&amp;""=Recherche!$C$5&amp;""),OR(Recherche!$C$6="",IFERROR(YEAR(L3142),0)=Recherche!$C$6),OR(Recherche!$C$7="",ISNUMBER(SEARCH(Recherche!$C$7,H3142))),OR(Recherche!$C$8="",J3142=Recherche!$C$8),OR(Recherche!$C$9="",I3142=Recherche!$C$9),OR(Recherche!$C$10="",G3142&amp;""=Recherche!$C$10&amp;""),OR(Recherche!$C$11="",E3142=Recherche!$C$11),OR(Recherche!$C$12="",ISNUMBER(SEARCH(Recherche!$C$12,M3142&amp;" "&amp;F3142)))),1,0)</f>
        <v>8</v>
      </c>
    </row>
    <row r="3143" customFormat="false" ht="15" hidden="false" customHeight="false" outlineLevel="0" collapsed="false">
      <c r="A3143" s="19"/>
      <c r="B3143" s="19"/>
      <c r="C3143" s="19"/>
      <c r="D3143" s="19"/>
      <c r="E3143" s="22"/>
      <c r="F3143" s="19"/>
      <c r="G3143" s="26" t="str">
        <f aca="false">IF(D3143="","",IFERROR(VALUE(LEFT(D3143,FIND(" |",D3143&amp;" |")-1)),"?"))</f>
        <v/>
      </c>
      <c r="H3143" s="27" t="str">
        <f aca="false">IF(G3143="","",IF(G3143="?","⚠ pub inconnue",IFERROR(INDEX(Pubs!$B$2:$B$3001,MATCH(G3143,Pubs!$A$2:$A$3001,0))&amp;"","⚠ pub inconnue")))</f>
        <v/>
      </c>
      <c r="I3143" s="27" t="str">
        <f aca="false">IF(OR(G3143="",G3143="?"),"",IFERROR(INDEX(Pubs!$C$2:$C$3001,MATCH(G3143,Pubs!$A$2:$A$3001,0))&amp;"",""))</f>
        <v/>
      </c>
      <c r="J3143" s="27" t="str">
        <f aca="false">IF(OR(G3143="",G3143="?"),"",IFERROR(INDEX(Pubs!$G$2:$G$3001,MATCH(G3143,Pubs!$A$2:$A$3001,0))&amp;"",""))</f>
        <v/>
      </c>
      <c r="K3143" s="28" t="str">
        <f aca="false">IF(OR(G3143="",G3143="?"),"",IFERROR(INDEX(Pubs!$E$2:$E$3001,MATCH(G3143,Pubs!$A$2:$A$3001,0)),""))</f>
        <v/>
      </c>
      <c r="L3143" s="29" t="str">
        <f aca="false">IF(A3143="","",IFERROR(1/(1/INDEX(Numéros!$C$2:$C$3001,MATCH(A3143&amp;"|"&amp;B3143,Numéros!$F$2:$F$3001,0))),""))</f>
        <v/>
      </c>
      <c r="M3143" s="27" t="str">
        <f aca="false">IF(OR(G3143="",G3143="?"),"",IFERROR(INDEX(Pubs!$D$2:$D$3001,MATCH(G3143,Pubs!$A$2:$A$3001,0))&amp;"",""))</f>
        <v/>
      </c>
      <c r="N3143" s="27" t="n">
        <f aca="false">N(N3142)+IF(AND(A3143&lt;&gt;"",OR(Recherche!$C$4="",A3143=Recherche!$C$4),OR(Recherche!$C$5="",B3143&amp;""=Recherche!$C$5&amp;""),OR(Recherche!$C$6="",IFERROR(YEAR(L3143),0)=Recherche!$C$6),OR(Recherche!$C$7="",ISNUMBER(SEARCH(Recherche!$C$7,H3143))),OR(Recherche!$C$8="",J3143=Recherche!$C$8),OR(Recherche!$C$9="",I3143=Recherche!$C$9),OR(Recherche!$C$10="",G3143&amp;""=Recherche!$C$10&amp;""),OR(Recherche!$C$11="",E3143=Recherche!$C$11),OR(Recherche!$C$12="",ISNUMBER(SEARCH(Recherche!$C$12,M3143&amp;" "&amp;F3143)))),1,0)</f>
        <v>8</v>
      </c>
    </row>
    <row r="3144" customFormat="false" ht="15" hidden="false" customHeight="false" outlineLevel="0" collapsed="false">
      <c r="A3144" s="19"/>
      <c r="B3144" s="19"/>
      <c r="C3144" s="19"/>
      <c r="D3144" s="19"/>
      <c r="E3144" s="22"/>
      <c r="F3144" s="19"/>
      <c r="G3144" s="26" t="str">
        <f aca="false">IF(D3144="","",IFERROR(VALUE(LEFT(D3144,FIND(" |",D3144&amp;" |")-1)),"?"))</f>
        <v/>
      </c>
      <c r="H3144" s="27" t="str">
        <f aca="false">IF(G3144="","",IF(G3144="?","⚠ pub inconnue",IFERROR(INDEX(Pubs!$B$2:$B$3001,MATCH(G3144,Pubs!$A$2:$A$3001,0))&amp;"","⚠ pub inconnue")))</f>
        <v/>
      </c>
      <c r="I3144" s="27" t="str">
        <f aca="false">IF(OR(G3144="",G3144="?"),"",IFERROR(INDEX(Pubs!$C$2:$C$3001,MATCH(G3144,Pubs!$A$2:$A$3001,0))&amp;"",""))</f>
        <v/>
      </c>
      <c r="J3144" s="27" t="str">
        <f aca="false">IF(OR(G3144="",G3144="?"),"",IFERROR(INDEX(Pubs!$G$2:$G$3001,MATCH(G3144,Pubs!$A$2:$A$3001,0))&amp;"",""))</f>
        <v/>
      </c>
      <c r="K3144" s="28" t="str">
        <f aca="false">IF(OR(G3144="",G3144="?"),"",IFERROR(INDEX(Pubs!$E$2:$E$3001,MATCH(G3144,Pubs!$A$2:$A$3001,0)),""))</f>
        <v/>
      </c>
      <c r="L3144" s="29" t="str">
        <f aca="false">IF(A3144="","",IFERROR(1/(1/INDEX(Numéros!$C$2:$C$3001,MATCH(A3144&amp;"|"&amp;B3144,Numéros!$F$2:$F$3001,0))),""))</f>
        <v/>
      </c>
      <c r="M3144" s="27" t="str">
        <f aca="false">IF(OR(G3144="",G3144="?"),"",IFERROR(INDEX(Pubs!$D$2:$D$3001,MATCH(G3144,Pubs!$A$2:$A$3001,0))&amp;"",""))</f>
        <v/>
      </c>
      <c r="N3144" s="27" t="n">
        <f aca="false">N(N3143)+IF(AND(A3144&lt;&gt;"",OR(Recherche!$C$4="",A3144=Recherche!$C$4),OR(Recherche!$C$5="",B3144&amp;""=Recherche!$C$5&amp;""),OR(Recherche!$C$6="",IFERROR(YEAR(L3144),0)=Recherche!$C$6),OR(Recherche!$C$7="",ISNUMBER(SEARCH(Recherche!$C$7,H3144))),OR(Recherche!$C$8="",J3144=Recherche!$C$8),OR(Recherche!$C$9="",I3144=Recherche!$C$9),OR(Recherche!$C$10="",G3144&amp;""=Recherche!$C$10&amp;""),OR(Recherche!$C$11="",E3144=Recherche!$C$11),OR(Recherche!$C$12="",ISNUMBER(SEARCH(Recherche!$C$12,M3144&amp;" "&amp;F3144)))),1,0)</f>
        <v>8</v>
      </c>
    </row>
    <row r="3145" customFormat="false" ht="15" hidden="false" customHeight="false" outlineLevel="0" collapsed="false">
      <c r="A3145" s="19"/>
      <c r="B3145" s="19"/>
      <c r="C3145" s="19"/>
      <c r="D3145" s="19"/>
      <c r="E3145" s="22"/>
      <c r="F3145" s="19"/>
      <c r="G3145" s="26" t="str">
        <f aca="false">IF(D3145="","",IFERROR(VALUE(LEFT(D3145,FIND(" |",D3145&amp;" |")-1)),"?"))</f>
        <v/>
      </c>
      <c r="H3145" s="27" t="str">
        <f aca="false">IF(G3145="","",IF(G3145="?","⚠ pub inconnue",IFERROR(INDEX(Pubs!$B$2:$B$3001,MATCH(G3145,Pubs!$A$2:$A$3001,0))&amp;"","⚠ pub inconnue")))</f>
        <v/>
      </c>
      <c r="I3145" s="27" t="str">
        <f aca="false">IF(OR(G3145="",G3145="?"),"",IFERROR(INDEX(Pubs!$C$2:$C$3001,MATCH(G3145,Pubs!$A$2:$A$3001,0))&amp;"",""))</f>
        <v/>
      </c>
      <c r="J3145" s="27" t="str">
        <f aca="false">IF(OR(G3145="",G3145="?"),"",IFERROR(INDEX(Pubs!$G$2:$G$3001,MATCH(G3145,Pubs!$A$2:$A$3001,0))&amp;"",""))</f>
        <v/>
      </c>
      <c r="K3145" s="28" t="str">
        <f aca="false">IF(OR(G3145="",G3145="?"),"",IFERROR(INDEX(Pubs!$E$2:$E$3001,MATCH(G3145,Pubs!$A$2:$A$3001,0)),""))</f>
        <v/>
      </c>
      <c r="L3145" s="29" t="str">
        <f aca="false">IF(A3145="","",IFERROR(1/(1/INDEX(Numéros!$C$2:$C$3001,MATCH(A3145&amp;"|"&amp;B3145,Numéros!$F$2:$F$3001,0))),""))</f>
        <v/>
      </c>
      <c r="M3145" s="27" t="str">
        <f aca="false">IF(OR(G3145="",G3145="?"),"",IFERROR(INDEX(Pubs!$D$2:$D$3001,MATCH(G3145,Pubs!$A$2:$A$3001,0))&amp;"",""))</f>
        <v/>
      </c>
      <c r="N3145" s="27" t="n">
        <f aca="false">N(N3144)+IF(AND(A3145&lt;&gt;"",OR(Recherche!$C$4="",A3145=Recherche!$C$4),OR(Recherche!$C$5="",B3145&amp;""=Recherche!$C$5&amp;""),OR(Recherche!$C$6="",IFERROR(YEAR(L3145),0)=Recherche!$C$6),OR(Recherche!$C$7="",ISNUMBER(SEARCH(Recherche!$C$7,H3145))),OR(Recherche!$C$8="",J3145=Recherche!$C$8),OR(Recherche!$C$9="",I3145=Recherche!$C$9),OR(Recherche!$C$10="",G3145&amp;""=Recherche!$C$10&amp;""),OR(Recherche!$C$11="",E3145=Recherche!$C$11),OR(Recherche!$C$12="",ISNUMBER(SEARCH(Recherche!$C$12,M3145&amp;" "&amp;F3145)))),1,0)</f>
        <v>8</v>
      </c>
    </row>
    <row r="3146" customFormat="false" ht="15" hidden="false" customHeight="false" outlineLevel="0" collapsed="false">
      <c r="A3146" s="19"/>
      <c r="B3146" s="19"/>
      <c r="C3146" s="19"/>
      <c r="D3146" s="19"/>
      <c r="E3146" s="22"/>
      <c r="F3146" s="19"/>
      <c r="G3146" s="26" t="str">
        <f aca="false">IF(D3146="","",IFERROR(VALUE(LEFT(D3146,FIND(" |",D3146&amp;" |")-1)),"?"))</f>
        <v/>
      </c>
      <c r="H3146" s="27" t="str">
        <f aca="false">IF(G3146="","",IF(G3146="?","⚠ pub inconnue",IFERROR(INDEX(Pubs!$B$2:$B$3001,MATCH(G3146,Pubs!$A$2:$A$3001,0))&amp;"","⚠ pub inconnue")))</f>
        <v/>
      </c>
      <c r="I3146" s="27" t="str">
        <f aca="false">IF(OR(G3146="",G3146="?"),"",IFERROR(INDEX(Pubs!$C$2:$C$3001,MATCH(G3146,Pubs!$A$2:$A$3001,0))&amp;"",""))</f>
        <v/>
      </c>
      <c r="J3146" s="27" t="str">
        <f aca="false">IF(OR(G3146="",G3146="?"),"",IFERROR(INDEX(Pubs!$G$2:$G$3001,MATCH(G3146,Pubs!$A$2:$A$3001,0))&amp;"",""))</f>
        <v/>
      </c>
      <c r="K3146" s="28" t="str">
        <f aca="false">IF(OR(G3146="",G3146="?"),"",IFERROR(INDEX(Pubs!$E$2:$E$3001,MATCH(G3146,Pubs!$A$2:$A$3001,0)),""))</f>
        <v/>
      </c>
      <c r="L3146" s="29" t="str">
        <f aca="false">IF(A3146="","",IFERROR(1/(1/INDEX(Numéros!$C$2:$C$3001,MATCH(A3146&amp;"|"&amp;B3146,Numéros!$F$2:$F$3001,0))),""))</f>
        <v/>
      </c>
      <c r="M3146" s="27" t="str">
        <f aca="false">IF(OR(G3146="",G3146="?"),"",IFERROR(INDEX(Pubs!$D$2:$D$3001,MATCH(G3146,Pubs!$A$2:$A$3001,0))&amp;"",""))</f>
        <v/>
      </c>
      <c r="N3146" s="27" t="n">
        <f aca="false">N(N3145)+IF(AND(A3146&lt;&gt;"",OR(Recherche!$C$4="",A3146=Recherche!$C$4),OR(Recherche!$C$5="",B3146&amp;""=Recherche!$C$5&amp;""),OR(Recherche!$C$6="",IFERROR(YEAR(L3146),0)=Recherche!$C$6),OR(Recherche!$C$7="",ISNUMBER(SEARCH(Recherche!$C$7,H3146))),OR(Recherche!$C$8="",J3146=Recherche!$C$8),OR(Recherche!$C$9="",I3146=Recherche!$C$9),OR(Recherche!$C$10="",G3146&amp;""=Recherche!$C$10&amp;""),OR(Recherche!$C$11="",E3146=Recherche!$C$11),OR(Recherche!$C$12="",ISNUMBER(SEARCH(Recherche!$C$12,M3146&amp;" "&amp;F3146)))),1,0)</f>
        <v>8</v>
      </c>
    </row>
    <row r="3147" customFormat="false" ht="15" hidden="false" customHeight="false" outlineLevel="0" collapsed="false">
      <c r="A3147" s="19"/>
      <c r="B3147" s="19"/>
      <c r="C3147" s="19"/>
      <c r="D3147" s="19"/>
      <c r="E3147" s="22"/>
      <c r="F3147" s="19"/>
      <c r="G3147" s="26" t="str">
        <f aca="false">IF(D3147="","",IFERROR(VALUE(LEFT(D3147,FIND(" |",D3147&amp;" |")-1)),"?"))</f>
        <v/>
      </c>
      <c r="H3147" s="27" t="str">
        <f aca="false">IF(G3147="","",IF(G3147="?","⚠ pub inconnue",IFERROR(INDEX(Pubs!$B$2:$B$3001,MATCH(G3147,Pubs!$A$2:$A$3001,0))&amp;"","⚠ pub inconnue")))</f>
        <v/>
      </c>
      <c r="I3147" s="27" t="str">
        <f aca="false">IF(OR(G3147="",G3147="?"),"",IFERROR(INDEX(Pubs!$C$2:$C$3001,MATCH(G3147,Pubs!$A$2:$A$3001,0))&amp;"",""))</f>
        <v/>
      </c>
      <c r="J3147" s="27" t="str">
        <f aca="false">IF(OR(G3147="",G3147="?"),"",IFERROR(INDEX(Pubs!$G$2:$G$3001,MATCH(G3147,Pubs!$A$2:$A$3001,0))&amp;"",""))</f>
        <v/>
      </c>
      <c r="K3147" s="28" t="str">
        <f aca="false">IF(OR(G3147="",G3147="?"),"",IFERROR(INDEX(Pubs!$E$2:$E$3001,MATCH(G3147,Pubs!$A$2:$A$3001,0)),""))</f>
        <v/>
      </c>
      <c r="L3147" s="29" t="str">
        <f aca="false">IF(A3147="","",IFERROR(1/(1/INDEX(Numéros!$C$2:$C$3001,MATCH(A3147&amp;"|"&amp;B3147,Numéros!$F$2:$F$3001,0))),""))</f>
        <v/>
      </c>
      <c r="M3147" s="27" t="str">
        <f aca="false">IF(OR(G3147="",G3147="?"),"",IFERROR(INDEX(Pubs!$D$2:$D$3001,MATCH(G3147,Pubs!$A$2:$A$3001,0))&amp;"",""))</f>
        <v/>
      </c>
      <c r="N3147" s="27" t="n">
        <f aca="false">N(N3146)+IF(AND(A3147&lt;&gt;"",OR(Recherche!$C$4="",A3147=Recherche!$C$4),OR(Recherche!$C$5="",B3147&amp;""=Recherche!$C$5&amp;""),OR(Recherche!$C$6="",IFERROR(YEAR(L3147),0)=Recherche!$C$6),OR(Recherche!$C$7="",ISNUMBER(SEARCH(Recherche!$C$7,H3147))),OR(Recherche!$C$8="",J3147=Recherche!$C$8),OR(Recherche!$C$9="",I3147=Recherche!$C$9),OR(Recherche!$C$10="",G3147&amp;""=Recherche!$C$10&amp;""),OR(Recherche!$C$11="",E3147=Recherche!$C$11),OR(Recherche!$C$12="",ISNUMBER(SEARCH(Recherche!$C$12,M3147&amp;" "&amp;F3147)))),1,0)</f>
        <v>8</v>
      </c>
    </row>
    <row r="3148" customFormat="false" ht="15" hidden="false" customHeight="false" outlineLevel="0" collapsed="false">
      <c r="A3148" s="19"/>
      <c r="B3148" s="19"/>
      <c r="C3148" s="19"/>
      <c r="D3148" s="19"/>
      <c r="E3148" s="22"/>
      <c r="F3148" s="19"/>
      <c r="G3148" s="26" t="str">
        <f aca="false">IF(D3148="","",IFERROR(VALUE(LEFT(D3148,FIND(" |",D3148&amp;" |")-1)),"?"))</f>
        <v/>
      </c>
      <c r="H3148" s="27" t="str">
        <f aca="false">IF(G3148="","",IF(G3148="?","⚠ pub inconnue",IFERROR(INDEX(Pubs!$B$2:$B$3001,MATCH(G3148,Pubs!$A$2:$A$3001,0))&amp;"","⚠ pub inconnue")))</f>
        <v/>
      </c>
      <c r="I3148" s="27" t="str">
        <f aca="false">IF(OR(G3148="",G3148="?"),"",IFERROR(INDEX(Pubs!$C$2:$C$3001,MATCH(G3148,Pubs!$A$2:$A$3001,0))&amp;"",""))</f>
        <v/>
      </c>
      <c r="J3148" s="27" t="str">
        <f aca="false">IF(OR(G3148="",G3148="?"),"",IFERROR(INDEX(Pubs!$G$2:$G$3001,MATCH(G3148,Pubs!$A$2:$A$3001,0))&amp;"",""))</f>
        <v/>
      </c>
      <c r="K3148" s="28" t="str">
        <f aca="false">IF(OR(G3148="",G3148="?"),"",IFERROR(INDEX(Pubs!$E$2:$E$3001,MATCH(G3148,Pubs!$A$2:$A$3001,0)),""))</f>
        <v/>
      </c>
      <c r="L3148" s="29" t="str">
        <f aca="false">IF(A3148="","",IFERROR(1/(1/INDEX(Numéros!$C$2:$C$3001,MATCH(A3148&amp;"|"&amp;B3148,Numéros!$F$2:$F$3001,0))),""))</f>
        <v/>
      </c>
      <c r="M3148" s="27" t="str">
        <f aca="false">IF(OR(G3148="",G3148="?"),"",IFERROR(INDEX(Pubs!$D$2:$D$3001,MATCH(G3148,Pubs!$A$2:$A$3001,0))&amp;"",""))</f>
        <v/>
      </c>
      <c r="N3148" s="27" t="n">
        <f aca="false">N(N3147)+IF(AND(A3148&lt;&gt;"",OR(Recherche!$C$4="",A3148=Recherche!$C$4),OR(Recherche!$C$5="",B3148&amp;""=Recherche!$C$5&amp;""),OR(Recherche!$C$6="",IFERROR(YEAR(L3148),0)=Recherche!$C$6),OR(Recherche!$C$7="",ISNUMBER(SEARCH(Recherche!$C$7,H3148))),OR(Recherche!$C$8="",J3148=Recherche!$C$8),OR(Recherche!$C$9="",I3148=Recherche!$C$9),OR(Recherche!$C$10="",G3148&amp;""=Recherche!$C$10&amp;""),OR(Recherche!$C$11="",E3148=Recherche!$C$11),OR(Recherche!$C$12="",ISNUMBER(SEARCH(Recherche!$C$12,M3148&amp;" "&amp;F3148)))),1,0)</f>
        <v>8</v>
      </c>
    </row>
    <row r="3149" customFormat="false" ht="15" hidden="false" customHeight="false" outlineLevel="0" collapsed="false">
      <c r="A3149" s="19"/>
      <c r="B3149" s="19"/>
      <c r="C3149" s="19"/>
      <c r="D3149" s="19"/>
      <c r="E3149" s="22"/>
      <c r="F3149" s="19"/>
      <c r="G3149" s="26" t="str">
        <f aca="false">IF(D3149="","",IFERROR(VALUE(LEFT(D3149,FIND(" |",D3149&amp;" |")-1)),"?"))</f>
        <v/>
      </c>
      <c r="H3149" s="27" t="str">
        <f aca="false">IF(G3149="","",IF(G3149="?","⚠ pub inconnue",IFERROR(INDEX(Pubs!$B$2:$B$3001,MATCH(G3149,Pubs!$A$2:$A$3001,0))&amp;"","⚠ pub inconnue")))</f>
        <v/>
      </c>
      <c r="I3149" s="27" t="str">
        <f aca="false">IF(OR(G3149="",G3149="?"),"",IFERROR(INDEX(Pubs!$C$2:$C$3001,MATCH(G3149,Pubs!$A$2:$A$3001,0))&amp;"",""))</f>
        <v/>
      </c>
      <c r="J3149" s="27" t="str">
        <f aca="false">IF(OR(G3149="",G3149="?"),"",IFERROR(INDEX(Pubs!$G$2:$G$3001,MATCH(G3149,Pubs!$A$2:$A$3001,0))&amp;"",""))</f>
        <v/>
      </c>
      <c r="K3149" s="28" t="str">
        <f aca="false">IF(OR(G3149="",G3149="?"),"",IFERROR(INDEX(Pubs!$E$2:$E$3001,MATCH(G3149,Pubs!$A$2:$A$3001,0)),""))</f>
        <v/>
      </c>
      <c r="L3149" s="29" t="str">
        <f aca="false">IF(A3149="","",IFERROR(1/(1/INDEX(Numéros!$C$2:$C$3001,MATCH(A3149&amp;"|"&amp;B3149,Numéros!$F$2:$F$3001,0))),""))</f>
        <v/>
      </c>
      <c r="M3149" s="27" t="str">
        <f aca="false">IF(OR(G3149="",G3149="?"),"",IFERROR(INDEX(Pubs!$D$2:$D$3001,MATCH(G3149,Pubs!$A$2:$A$3001,0))&amp;"",""))</f>
        <v/>
      </c>
      <c r="N3149" s="27" t="n">
        <f aca="false">N(N3148)+IF(AND(A3149&lt;&gt;"",OR(Recherche!$C$4="",A3149=Recherche!$C$4),OR(Recherche!$C$5="",B3149&amp;""=Recherche!$C$5&amp;""),OR(Recherche!$C$6="",IFERROR(YEAR(L3149),0)=Recherche!$C$6),OR(Recherche!$C$7="",ISNUMBER(SEARCH(Recherche!$C$7,H3149))),OR(Recherche!$C$8="",J3149=Recherche!$C$8),OR(Recherche!$C$9="",I3149=Recherche!$C$9),OR(Recherche!$C$10="",G3149&amp;""=Recherche!$C$10&amp;""),OR(Recherche!$C$11="",E3149=Recherche!$C$11),OR(Recherche!$C$12="",ISNUMBER(SEARCH(Recherche!$C$12,M3149&amp;" "&amp;F3149)))),1,0)</f>
        <v>8</v>
      </c>
    </row>
    <row r="3150" customFormat="false" ht="15" hidden="false" customHeight="false" outlineLevel="0" collapsed="false">
      <c r="A3150" s="19"/>
      <c r="B3150" s="19"/>
      <c r="C3150" s="19"/>
      <c r="D3150" s="19"/>
      <c r="E3150" s="22"/>
      <c r="F3150" s="19"/>
      <c r="G3150" s="26" t="str">
        <f aca="false">IF(D3150="","",IFERROR(VALUE(LEFT(D3150,FIND(" |",D3150&amp;" |")-1)),"?"))</f>
        <v/>
      </c>
      <c r="H3150" s="27" t="str">
        <f aca="false">IF(G3150="","",IF(G3150="?","⚠ pub inconnue",IFERROR(INDEX(Pubs!$B$2:$B$3001,MATCH(G3150,Pubs!$A$2:$A$3001,0))&amp;"","⚠ pub inconnue")))</f>
        <v/>
      </c>
      <c r="I3150" s="27" t="str">
        <f aca="false">IF(OR(G3150="",G3150="?"),"",IFERROR(INDEX(Pubs!$C$2:$C$3001,MATCH(G3150,Pubs!$A$2:$A$3001,0))&amp;"",""))</f>
        <v/>
      </c>
      <c r="J3150" s="27" t="str">
        <f aca="false">IF(OR(G3150="",G3150="?"),"",IFERROR(INDEX(Pubs!$G$2:$G$3001,MATCH(G3150,Pubs!$A$2:$A$3001,0))&amp;"",""))</f>
        <v/>
      </c>
      <c r="K3150" s="28" t="str">
        <f aca="false">IF(OR(G3150="",G3150="?"),"",IFERROR(INDEX(Pubs!$E$2:$E$3001,MATCH(G3150,Pubs!$A$2:$A$3001,0)),""))</f>
        <v/>
      </c>
      <c r="L3150" s="29" t="str">
        <f aca="false">IF(A3150="","",IFERROR(1/(1/INDEX(Numéros!$C$2:$C$3001,MATCH(A3150&amp;"|"&amp;B3150,Numéros!$F$2:$F$3001,0))),""))</f>
        <v/>
      </c>
      <c r="M3150" s="27" t="str">
        <f aca="false">IF(OR(G3150="",G3150="?"),"",IFERROR(INDEX(Pubs!$D$2:$D$3001,MATCH(G3150,Pubs!$A$2:$A$3001,0))&amp;"",""))</f>
        <v/>
      </c>
      <c r="N3150" s="27" t="n">
        <f aca="false">N(N3149)+IF(AND(A3150&lt;&gt;"",OR(Recherche!$C$4="",A3150=Recherche!$C$4),OR(Recherche!$C$5="",B3150&amp;""=Recherche!$C$5&amp;""),OR(Recherche!$C$6="",IFERROR(YEAR(L3150),0)=Recherche!$C$6),OR(Recherche!$C$7="",ISNUMBER(SEARCH(Recherche!$C$7,H3150))),OR(Recherche!$C$8="",J3150=Recherche!$C$8),OR(Recherche!$C$9="",I3150=Recherche!$C$9),OR(Recherche!$C$10="",G3150&amp;""=Recherche!$C$10&amp;""),OR(Recherche!$C$11="",E3150=Recherche!$C$11),OR(Recherche!$C$12="",ISNUMBER(SEARCH(Recherche!$C$12,M3150&amp;" "&amp;F3150)))),1,0)</f>
        <v>8</v>
      </c>
    </row>
    <row r="3151" customFormat="false" ht="15" hidden="false" customHeight="false" outlineLevel="0" collapsed="false">
      <c r="A3151" s="19"/>
      <c r="B3151" s="19"/>
      <c r="C3151" s="19"/>
      <c r="D3151" s="19"/>
      <c r="E3151" s="22"/>
      <c r="F3151" s="19"/>
      <c r="G3151" s="26" t="str">
        <f aca="false">IF(D3151="","",IFERROR(VALUE(LEFT(D3151,FIND(" |",D3151&amp;" |")-1)),"?"))</f>
        <v/>
      </c>
      <c r="H3151" s="27" t="str">
        <f aca="false">IF(G3151="","",IF(G3151="?","⚠ pub inconnue",IFERROR(INDEX(Pubs!$B$2:$B$3001,MATCH(G3151,Pubs!$A$2:$A$3001,0))&amp;"","⚠ pub inconnue")))</f>
        <v/>
      </c>
      <c r="I3151" s="27" t="str">
        <f aca="false">IF(OR(G3151="",G3151="?"),"",IFERROR(INDEX(Pubs!$C$2:$C$3001,MATCH(G3151,Pubs!$A$2:$A$3001,0))&amp;"",""))</f>
        <v/>
      </c>
      <c r="J3151" s="27" t="str">
        <f aca="false">IF(OR(G3151="",G3151="?"),"",IFERROR(INDEX(Pubs!$G$2:$G$3001,MATCH(G3151,Pubs!$A$2:$A$3001,0))&amp;"",""))</f>
        <v/>
      </c>
      <c r="K3151" s="28" t="str">
        <f aca="false">IF(OR(G3151="",G3151="?"),"",IFERROR(INDEX(Pubs!$E$2:$E$3001,MATCH(G3151,Pubs!$A$2:$A$3001,0)),""))</f>
        <v/>
      </c>
      <c r="L3151" s="29" t="str">
        <f aca="false">IF(A3151="","",IFERROR(1/(1/INDEX(Numéros!$C$2:$C$3001,MATCH(A3151&amp;"|"&amp;B3151,Numéros!$F$2:$F$3001,0))),""))</f>
        <v/>
      </c>
      <c r="M3151" s="27" t="str">
        <f aca="false">IF(OR(G3151="",G3151="?"),"",IFERROR(INDEX(Pubs!$D$2:$D$3001,MATCH(G3151,Pubs!$A$2:$A$3001,0))&amp;"",""))</f>
        <v/>
      </c>
      <c r="N3151" s="27" t="n">
        <f aca="false">N(N3150)+IF(AND(A3151&lt;&gt;"",OR(Recherche!$C$4="",A3151=Recherche!$C$4),OR(Recherche!$C$5="",B3151&amp;""=Recherche!$C$5&amp;""),OR(Recherche!$C$6="",IFERROR(YEAR(L3151),0)=Recherche!$C$6),OR(Recherche!$C$7="",ISNUMBER(SEARCH(Recherche!$C$7,H3151))),OR(Recherche!$C$8="",J3151=Recherche!$C$8),OR(Recherche!$C$9="",I3151=Recherche!$C$9),OR(Recherche!$C$10="",G3151&amp;""=Recherche!$C$10&amp;""),OR(Recherche!$C$11="",E3151=Recherche!$C$11),OR(Recherche!$C$12="",ISNUMBER(SEARCH(Recherche!$C$12,M3151&amp;" "&amp;F3151)))),1,0)</f>
        <v>8</v>
      </c>
    </row>
    <row r="3152" customFormat="false" ht="15" hidden="false" customHeight="false" outlineLevel="0" collapsed="false">
      <c r="A3152" s="19"/>
      <c r="B3152" s="19"/>
      <c r="C3152" s="19"/>
      <c r="D3152" s="19"/>
      <c r="E3152" s="22"/>
      <c r="F3152" s="19"/>
      <c r="G3152" s="26" t="str">
        <f aca="false">IF(D3152="","",IFERROR(VALUE(LEFT(D3152,FIND(" |",D3152&amp;" |")-1)),"?"))</f>
        <v/>
      </c>
      <c r="H3152" s="27" t="str">
        <f aca="false">IF(G3152="","",IF(G3152="?","⚠ pub inconnue",IFERROR(INDEX(Pubs!$B$2:$B$3001,MATCH(G3152,Pubs!$A$2:$A$3001,0))&amp;"","⚠ pub inconnue")))</f>
        <v/>
      </c>
      <c r="I3152" s="27" t="str">
        <f aca="false">IF(OR(G3152="",G3152="?"),"",IFERROR(INDEX(Pubs!$C$2:$C$3001,MATCH(G3152,Pubs!$A$2:$A$3001,0))&amp;"",""))</f>
        <v/>
      </c>
      <c r="J3152" s="27" t="str">
        <f aca="false">IF(OR(G3152="",G3152="?"),"",IFERROR(INDEX(Pubs!$G$2:$G$3001,MATCH(G3152,Pubs!$A$2:$A$3001,0))&amp;"",""))</f>
        <v/>
      </c>
      <c r="K3152" s="28" t="str">
        <f aca="false">IF(OR(G3152="",G3152="?"),"",IFERROR(INDEX(Pubs!$E$2:$E$3001,MATCH(G3152,Pubs!$A$2:$A$3001,0)),""))</f>
        <v/>
      </c>
      <c r="L3152" s="29" t="str">
        <f aca="false">IF(A3152="","",IFERROR(1/(1/INDEX(Numéros!$C$2:$C$3001,MATCH(A3152&amp;"|"&amp;B3152,Numéros!$F$2:$F$3001,0))),""))</f>
        <v/>
      </c>
      <c r="M3152" s="27" t="str">
        <f aca="false">IF(OR(G3152="",G3152="?"),"",IFERROR(INDEX(Pubs!$D$2:$D$3001,MATCH(G3152,Pubs!$A$2:$A$3001,0))&amp;"",""))</f>
        <v/>
      </c>
      <c r="N3152" s="27" t="n">
        <f aca="false">N(N3151)+IF(AND(A3152&lt;&gt;"",OR(Recherche!$C$4="",A3152=Recherche!$C$4),OR(Recherche!$C$5="",B3152&amp;""=Recherche!$C$5&amp;""),OR(Recherche!$C$6="",IFERROR(YEAR(L3152),0)=Recherche!$C$6),OR(Recherche!$C$7="",ISNUMBER(SEARCH(Recherche!$C$7,H3152))),OR(Recherche!$C$8="",J3152=Recherche!$C$8),OR(Recherche!$C$9="",I3152=Recherche!$C$9),OR(Recherche!$C$10="",G3152&amp;""=Recherche!$C$10&amp;""),OR(Recherche!$C$11="",E3152=Recherche!$C$11),OR(Recherche!$C$12="",ISNUMBER(SEARCH(Recherche!$C$12,M3152&amp;" "&amp;F3152)))),1,0)</f>
        <v>8</v>
      </c>
    </row>
    <row r="3153" customFormat="false" ht="15" hidden="false" customHeight="false" outlineLevel="0" collapsed="false">
      <c r="A3153" s="19"/>
      <c r="B3153" s="19"/>
      <c r="C3153" s="19"/>
      <c r="D3153" s="19"/>
      <c r="E3153" s="22"/>
      <c r="F3153" s="19"/>
      <c r="G3153" s="26" t="str">
        <f aca="false">IF(D3153="","",IFERROR(VALUE(LEFT(D3153,FIND(" |",D3153&amp;" |")-1)),"?"))</f>
        <v/>
      </c>
      <c r="H3153" s="27" t="str">
        <f aca="false">IF(G3153="","",IF(G3153="?","⚠ pub inconnue",IFERROR(INDEX(Pubs!$B$2:$B$3001,MATCH(G3153,Pubs!$A$2:$A$3001,0))&amp;"","⚠ pub inconnue")))</f>
        <v/>
      </c>
      <c r="I3153" s="27" t="str">
        <f aca="false">IF(OR(G3153="",G3153="?"),"",IFERROR(INDEX(Pubs!$C$2:$C$3001,MATCH(G3153,Pubs!$A$2:$A$3001,0))&amp;"",""))</f>
        <v/>
      </c>
      <c r="J3153" s="27" t="str">
        <f aca="false">IF(OR(G3153="",G3153="?"),"",IFERROR(INDEX(Pubs!$G$2:$G$3001,MATCH(G3153,Pubs!$A$2:$A$3001,0))&amp;"",""))</f>
        <v/>
      </c>
      <c r="K3153" s="28" t="str">
        <f aca="false">IF(OR(G3153="",G3153="?"),"",IFERROR(INDEX(Pubs!$E$2:$E$3001,MATCH(G3153,Pubs!$A$2:$A$3001,0)),""))</f>
        <v/>
      </c>
      <c r="L3153" s="29" t="str">
        <f aca="false">IF(A3153="","",IFERROR(1/(1/INDEX(Numéros!$C$2:$C$3001,MATCH(A3153&amp;"|"&amp;B3153,Numéros!$F$2:$F$3001,0))),""))</f>
        <v/>
      </c>
      <c r="M3153" s="27" t="str">
        <f aca="false">IF(OR(G3153="",G3153="?"),"",IFERROR(INDEX(Pubs!$D$2:$D$3001,MATCH(G3153,Pubs!$A$2:$A$3001,0))&amp;"",""))</f>
        <v/>
      </c>
      <c r="N3153" s="27" t="n">
        <f aca="false">N(N3152)+IF(AND(A3153&lt;&gt;"",OR(Recherche!$C$4="",A3153=Recherche!$C$4),OR(Recherche!$C$5="",B3153&amp;""=Recherche!$C$5&amp;""),OR(Recherche!$C$6="",IFERROR(YEAR(L3153),0)=Recherche!$C$6),OR(Recherche!$C$7="",ISNUMBER(SEARCH(Recherche!$C$7,H3153))),OR(Recherche!$C$8="",J3153=Recherche!$C$8),OR(Recherche!$C$9="",I3153=Recherche!$C$9),OR(Recherche!$C$10="",G3153&amp;""=Recherche!$C$10&amp;""),OR(Recherche!$C$11="",E3153=Recherche!$C$11),OR(Recherche!$C$12="",ISNUMBER(SEARCH(Recherche!$C$12,M3153&amp;" "&amp;F3153)))),1,0)</f>
        <v>8</v>
      </c>
    </row>
    <row r="3154" customFormat="false" ht="15" hidden="false" customHeight="false" outlineLevel="0" collapsed="false">
      <c r="A3154" s="19"/>
      <c r="B3154" s="19"/>
      <c r="C3154" s="19"/>
      <c r="D3154" s="19"/>
      <c r="E3154" s="22"/>
      <c r="F3154" s="19"/>
      <c r="G3154" s="26" t="str">
        <f aca="false">IF(D3154="","",IFERROR(VALUE(LEFT(D3154,FIND(" |",D3154&amp;" |")-1)),"?"))</f>
        <v/>
      </c>
      <c r="H3154" s="27" t="str">
        <f aca="false">IF(G3154="","",IF(G3154="?","⚠ pub inconnue",IFERROR(INDEX(Pubs!$B$2:$B$3001,MATCH(G3154,Pubs!$A$2:$A$3001,0))&amp;"","⚠ pub inconnue")))</f>
        <v/>
      </c>
      <c r="I3154" s="27" t="str">
        <f aca="false">IF(OR(G3154="",G3154="?"),"",IFERROR(INDEX(Pubs!$C$2:$C$3001,MATCH(G3154,Pubs!$A$2:$A$3001,0))&amp;"",""))</f>
        <v/>
      </c>
      <c r="J3154" s="27" t="str">
        <f aca="false">IF(OR(G3154="",G3154="?"),"",IFERROR(INDEX(Pubs!$G$2:$G$3001,MATCH(G3154,Pubs!$A$2:$A$3001,0))&amp;"",""))</f>
        <v/>
      </c>
      <c r="K3154" s="28" t="str">
        <f aca="false">IF(OR(G3154="",G3154="?"),"",IFERROR(INDEX(Pubs!$E$2:$E$3001,MATCH(G3154,Pubs!$A$2:$A$3001,0)),""))</f>
        <v/>
      </c>
      <c r="L3154" s="29" t="str">
        <f aca="false">IF(A3154="","",IFERROR(1/(1/INDEX(Numéros!$C$2:$C$3001,MATCH(A3154&amp;"|"&amp;B3154,Numéros!$F$2:$F$3001,0))),""))</f>
        <v/>
      </c>
      <c r="M3154" s="27" t="str">
        <f aca="false">IF(OR(G3154="",G3154="?"),"",IFERROR(INDEX(Pubs!$D$2:$D$3001,MATCH(G3154,Pubs!$A$2:$A$3001,0))&amp;"",""))</f>
        <v/>
      </c>
      <c r="N3154" s="27" t="n">
        <f aca="false">N(N3153)+IF(AND(A3154&lt;&gt;"",OR(Recherche!$C$4="",A3154=Recherche!$C$4),OR(Recherche!$C$5="",B3154&amp;""=Recherche!$C$5&amp;""),OR(Recherche!$C$6="",IFERROR(YEAR(L3154),0)=Recherche!$C$6),OR(Recherche!$C$7="",ISNUMBER(SEARCH(Recherche!$C$7,H3154))),OR(Recherche!$C$8="",J3154=Recherche!$C$8),OR(Recherche!$C$9="",I3154=Recherche!$C$9),OR(Recherche!$C$10="",G3154&amp;""=Recherche!$C$10&amp;""),OR(Recherche!$C$11="",E3154=Recherche!$C$11),OR(Recherche!$C$12="",ISNUMBER(SEARCH(Recherche!$C$12,M3154&amp;" "&amp;F3154)))),1,0)</f>
        <v>8</v>
      </c>
    </row>
    <row r="3155" customFormat="false" ht="15" hidden="false" customHeight="false" outlineLevel="0" collapsed="false">
      <c r="A3155" s="19"/>
      <c r="B3155" s="19"/>
      <c r="C3155" s="19"/>
      <c r="D3155" s="19"/>
      <c r="E3155" s="22"/>
      <c r="F3155" s="19"/>
      <c r="G3155" s="26" t="str">
        <f aca="false">IF(D3155="","",IFERROR(VALUE(LEFT(D3155,FIND(" |",D3155&amp;" |")-1)),"?"))</f>
        <v/>
      </c>
      <c r="H3155" s="27" t="str">
        <f aca="false">IF(G3155="","",IF(G3155="?","⚠ pub inconnue",IFERROR(INDEX(Pubs!$B$2:$B$3001,MATCH(G3155,Pubs!$A$2:$A$3001,0))&amp;"","⚠ pub inconnue")))</f>
        <v/>
      </c>
      <c r="I3155" s="27" t="str">
        <f aca="false">IF(OR(G3155="",G3155="?"),"",IFERROR(INDEX(Pubs!$C$2:$C$3001,MATCH(G3155,Pubs!$A$2:$A$3001,0))&amp;"",""))</f>
        <v/>
      </c>
      <c r="J3155" s="27" t="str">
        <f aca="false">IF(OR(G3155="",G3155="?"),"",IFERROR(INDEX(Pubs!$G$2:$G$3001,MATCH(G3155,Pubs!$A$2:$A$3001,0))&amp;"",""))</f>
        <v/>
      </c>
      <c r="K3155" s="28" t="str">
        <f aca="false">IF(OR(G3155="",G3155="?"),"",IFERROR(INDEX(Pubs!$E$2:$E$3001,MATCH(G3155,Pubs!$A$2:$A$3001,0)),""))</f>
        <v/>
      </c>
      <c r="L3155" s="29" t="str">
        <f aca="false">IF(A3155="","",IFERROR(1/(1/INDEX(Numéros!$C$2:$C$3001,MATCH(A3155&amp;"|"&amp;B3155,Numéros!$F$2:$F$3001,0))),""))</f>
        <v/>
      </c>
      <c r="M3155" s="27" t="str">
        <f aca="false">IF(OR(G3155="",G3155="?"),"",IFERROR(INDEX(Pubs!$D$2:$D$3001,MATCH(G3155,Pubs!$A$2:$A$3001,0))&amp;"",""))</f>
        <v/>
      </c>
      <c r="N3155" s="27" t="n">
        <f aca="false">N(N3154)+IF(AND(A3155&lt;&gt;"",OR(Recherche!$C$4="",A3155=Recherche!$C$4),OR(Recherche!$C$5="",B3155&amp;""=Recherche!$C$5&amp;""),OR(Recherche!$C$6="",IFERROR(YEAR(L3155),0)=Recherche!$C$6),OR(Recherche!$C$7="",ISNUMBER(SEARCH(Recherche!$C$7,H3155))),OR(Recherche!$C$8="",J3155=Recherche!$C$8),OR(Recherche!$C$9="",I3155=Recherche!$C$9),OR(Recherche!$C$10="",G3155&amp;""=Recherche!$C$10&amp;""),OR(Recherche!$C$11="",E3155=Recherche!$C$11),OR(Recherche!$C$12="",ISNUMBER(SEARCH(Recherche!$C$12,M3155&amp;" "&amp;F3155)))),1,0)</f>
        <v>8</v>
      </c>
    </row>
    <row r="3156" customFormat="false" ht="15" hidden="false" customHeight="false" outlineLevel="0" collapsed="false">
      <c r="A3156" s="19"/>
      <c r="B3156" s="19"/>
      <c r="C3156" s="19"/>
      <c r="D3156" s="19"/>
      <c r="E3156" s="22"/>
      <c r="F3156" s="19"/>
      <c r="G3156" s="26" t="str">
        <f aca="false">IF(D3156="","",IFERROR(VALUE(LEFT(D3156,FIND(" |",D3156&amp;" |")-1)),"?"))</f>
        <v/>
      </c>
      <c r="H3156" s="27" t="str">
        <f aca="false">IF(G3156="","",IF(G3156="?","⚠ pub inconnue",IFERROR(INDEX(Pubs!$B$2:$B$3001,MATCH(G3156,Pubs!$A$2:$A$3001,0))&amp;"","⚠ pub inconnue")))</f>
        <v/>
      </c>
      <c r="I3156" s="27" t="str">
        <f aca="false">IF(OR(G3156="",G3156="?"),"",IFERROR(INDEX(Pubs!$C$2:$C$3001,MATCH(G3156,Pubs!$A$2:$A$3001,0))&amp;"",""))</f>
        <v/>
      </c>
      <c r="J3156" s="27" t="str">
        <f aca="false">IF(OR(G3156="",G3156="?"),"",IFERROR(INDEX(Pubs!$G$2:$G$3001,MATCH(G3156,Pubs!$A$2:$A$3001,0))&amp;"",""))</f>
        <v/>
      </c>
      <c r="K3156" s="28" t="str">
        <f aca="false">IF(OR(G3156="",G3156="?"),"",IFERROR(INDEX(Pubs!$E$2:$E$3001,MATCH(G3156,Pubs!$A$2:$A$3001,0)),""))</f>
        <v/>
      </c>
      <c r="L3156" s="29" t="str">
        <f aca="false">IF(A3156="","",IFERROR(1/(1/INDEX(Numéros!$C$2:$C$3001,MATCH(A3156&amp;"|"&amp;B3156,Numéros!$F$2:$F$3001,0))),""))</f>
        <v/>
      </c>
      <c r="M3156" s="27" t="str">
        <f aca="false">IF(OR(G3156="",G3156="?"),"",IFERROR(INDEX(Pubs!$D$2:$D$3001,MATCH(G3156,Pubs!$A$2:$A$3001,0))&amp;"",""))</f>
        <v/>
      </c>
      <c r="N3156" s="27" t="n">
        <f aca="false">N(N3155)+IF(AND(A3156&lt;&gt;"",OR(Recherche!$C$4="",A3156=Recherche!$C$4),OR(Recherche!$C$5="",B3156&amp;""=Recherche!$C$5&amp;""),OR(Recherche!$C$6="",IFERROR(YEAR(L3156),0)=Recherche!$C$6),OR(Recherche!$C$7="",ISNUMBER(SEARCH(Recherche!$C$7,H3156))),OR(Recherche!$C$8="",J3156=Recherche!$C$8),OR(Recherche!$C$9="",I3156=Recherche!$C$9),OR(Recherche!$C$10="",G3156&amp;""=Recherche!$C$10&amp;""),OR(Recherche!$C$11="",E3156=Recherche!$C$11),OR(Recherche!$C$12="",ISNUMBER(SEARCH(Recherche!$C$12,M3156&amp;" "&amp;F3156)))),1,0)</f>
        <v>8</v>
      </c>
    </row>
    <row r="3157" customFormat="false" ht="15" hidden="false" customHeight="false" outlineLevel="0" collapsed="false">
      <c r="A3157" s="19"/>
      <c r="B3157" s="19"/>
      <c r="C3157" s="19"/>
      <c r="D3157" s="19"/>
      <c r="E3157" s="22"/>
      <c r="F3157" s="19"/>
      <c r="G3157" s="26" t="str">
        <f aca="false">IF(D3157="","",IFERROR(VALUE(LEFT(D3157,FIND(" |",D3157&amp;" |")-1)),"?"))</f>
        <v/>
      </c>
      <c r="H3157" s="27" t="str">
        <f aca="false">IF(G3157="","",IF(G3157="?","⚠ pub inconnue",IFERROR(INDEX(Pubs!$B$2:$B$3001,MATCH(G3157,Pubs!$A$2:$A$3001,0))&amp;"","⚠ pub inconnue")))</f>
        <v/>
      </c>
      <c r="I3157" s="27" t="str">
        <f aca="false">IF(OR(G3157="",G3157="?"),"",IFERROR(INDEX(Pubs!$C$2:$C$3001,MATCH(G3157,Pubs!$A$2:$A$3001,0))&amp;"",""))</f>
        <v/>
      </c>
      <c r="J3157" s="27" t="str">
        <f aca="false">IF(OR(G3157="",G3157="?"),"",IFERROR(INDEX(Pubs!$G$2:$G$3001,MATCH(G3157,Pubs!$A$2:$A$3001,0))&amp;"",""))</f>
        <v/>
      </c>
      <c r="K3157" s="28" t="str">
        <f aca="false">IF(OR(G3157="",G3157="?"),"",IFERROR(INDEX(Pubs!$E$2:$E$3001,MATCH(G3157,Pubs!$A$2:$A$3001,0)),""))</f>
        <v/>
      </c>
      <c r="L3157" s="29" t="str">
        <f aca="false">IF(A3157="","",IFERROR(1/(1/INDEX(Numéros!$C$2:$C$3001,MATCH(A3157&amp;"|"&amp;B3157,Numéros!$F$2:$F$3001,0))),""))</f>
        <v/>
      </c>
      <c r="M3157" s="27" t="str">
        <f aca="false">IF(OR(G3157="",G3157="?"),"",IFERROR(INDEX(Pubs!$D$2:$D$3001,MATCH(G3157,Pubs!$A$2:$A$3001,0))&amp;"",""))</f>
        <v/>
      </c>
      <c r="N3157" s="27" t="n">
        <f aca="false">N(N3156)+IF(AND(A3157&lt;&gt;"",OR(Recherche!$C$4="",A3157=Recherche!$C$4),OR(Recherche!$C$5="",B3157&amp;""=Recherche!$C$5&amp;""),OR(Recherche!$C$6="",IFERROR(YEAR(L3157),0)=Recherche!$C$6),OR(Recherche!$C$7="",ISNUMBER(SEARCH(Recherche!$C$7,H3157))),OR(Recherche!$C$8="",J3157=Recherche!$C$8),OR(Recherche!$C$9="",I3157=Recherche!$C$9),OR(Recherche!$C$10="",G3157&amp;""=Recherche!$C$10&amp;""),OR(Recherche!$C$11="",E3157=Recherche!$C$11),OR(Recherche!$C$12="",ISNUMBER(SEARCH(Recherche!$C$12,M3157&amp;" "&amp;F3157)))),1,0)</f>
        <v>8</v>
      </c>
    </row>
    <row r="3158" customFormat="false" ht="15" hidden="false" customHeight="false" outlineLevel="0" collapsed="false">
      <c r="A3158" s="19"/>
      <c r="B3158" s="19"/>
      <c r="C3158" s="19"/>
      <c r="D3158" s="19"/>
      <c r="E3158" s="22"/>
      <c r="F3158" s="19"/>
      <c r="G3158" s="26" t="str">
        <f aca="false">IF(D3158="","",IFERROR(VALUE(LEFT(D3158,FIND(" |",D3158&amp;" |")-1)),"?"))</f>
        <v/>
      </c>
      <c r="H3158" s="27" t="str">
        <f aca="false">IF(G3158="","",IF(G3158="?","⚠ pub inconnue",IFERROR(INDEX(Pubs!$B$2:$B$3001,MATCH(G3158,Pubs!$A$2:$A$3001,0))&amp;"","⚠ pub inconnue")))</f>
        <v/>
      </c>
      <c r="I3158" s="27" t="str">
        <f aca="false">IF(OR(G3158="",G3158="?"),"",IFERROR(INDEX(Pubs!$C$2:$C$3001,MATCH(G3158,Pubs!$A$2:$A$3001,0))&amp;"",""))</f>
        <v/>
      </c>
      <c r="J3158" s="27" t="str">
        <f aca="false">IF(OR(G3158="",G3158="?"),"",IFERROR(INDEX(Pubs!$G$2:$G$3001,MATCH(G3158,Pubs!$A$2:$A$3001,0))&amp;"",""))</f>
        <v/>
      </c>
      <c r="K3158" s="28" t="str">
        <f aca="false">IF(OR(G3158="",G3158="?"),"",IFERROR(INDEX(Pubs!$E$2:$E$3001,MATCH(G3158,Pubs!$A$2:$A$3001,0)),""))</f>
        <v/>
      </c>
      <c r="L3158" s="29" t="str">
        <f aca="false">IF(A3158="","",IFERROR(1/(1/INDEX(Numéros!$C$2:$C$3001,MATCH(A3158&amp;"|"&amp;B3158,Numéros!$F$2:$F$3001,0))),""))</f>
        <v/>
      </c>
      <c r="M3158" s="27" t="str">
        <f aca="false">IF(OR(G3158="",G3158="?"),"",IFERROR(INDEX(Pubs!$D$2:$D$3001,MATCH(G3158,Pubs!$A$2:$A$3001,0))&amp;"",""))</f>
        <v/>
      </c>
      <c r="N3158" s="27" t="n">
        <f aca="false">N(N3157)+IF(AND(A3158&lt;&gt;"",OR(Recherche!$C$4="",A3158=Recherche!$C$4),OR(Recherche!$C$5="",B3158&amp;""=Recherche!$C$5&amp;""),OR(Recherche!$C$6="",IFERROR(YEAR(L3158),0)=Recherche!$C$6),OR(Recherche!$C$7="",ISNUMBER(SEARCH(Recherche!$C$7,H3158))),OR(Recherche!$C$8="",J3158=Recherche!$C$8),OR(Recherche!$C$9="",I3158=Recherche!$C$9),OR(Recherche!$C$10="",G3158&amp;""=Recherche!$C$10&amp;""),OR(Recherche!$C$11="",E3158=Recherche!$C$11),OR(Recherche!$C$12="",ISNUMBER(SEARCH(Recherche!$C$12,M3158&amp;" "&amp;F3158)))),1,0)</f>
        <v>8</v>
      </c>
    </row>
    <row r="3159" customFormat="false" ht="15" hidden="false" customHeight="false" outlineLevel="0" collapsed="false">
      <c r="A3159" s="19"/>
      <c r="B3159" s="19"/>
      <c r="C3159" s="19"/>
      <c r="D3159" s="19"/>
      <c r="E3159" s="22"/>
      <c r="F3159" s="19"/>
      <c r="G3159" s="26" t="str">
        <f aca="false">IF(D3159="","",IFERROR(VALUE(LEFT(D3159,FIND(" |",D3159&amp;" |")-1)),"?"))</f>
        <v/>
      </c>
      <c r="H3159" s="27" t="str">
        <f aca="false">IF(G3159="","",IF(G3159="?","⚠ pub inconnue",IFERROR(INDEX(Pubs!$B$2:$B$3001,MATCH(G3159,Pubs!$A$2:$A$3001,0))&amp;"","⚠ pub inconnue")))</f>
        <v/>
      </c>
      <c r="I3159" s="27" t="str">
        <f aca="false">IF(OR(G3159="",G3159="?"),"",IFERROR(INDEX(Pubs!$C$2:$C$3001,MATCH(G3159,Pubs!$A$2:$A$3001,0))&amp;"",""))</f>
        <v/>
      </c>
      <c r="J3159" s="27" t="str">
        <f aca="false">IF(OR(G3159="",G3159="?"),"",IFERROR(INDEX(Pubs!$G$2:$G$3001,MATCH(G3159,Pubs!$A$2:$A$3001,0))&amp;"",""))</f>
        <v/>
      </c>
      <c r="K3159" s="28" t="str">
        <f aca="false">IF(OR(G3159="",G3159="?"),"",IFERROR(INDEX(Pubs!$E$2:$E$3001,MATCH(G3159,Pubs!$A$2:$A$3001,0)),""))</f>
        <v/>
      </c>
      <c r="L3159" s="29" t="str">
        <f aca="false">IF(A3159="","",IFERROR(1/(1/INDEX(Numéros!$C$2:$C$3001,MATCH(A3159&amp;"|"&amp;B3159,Numéros!$F$2:$F$3001,0))),""))</f>
        <v/>
      </c>
      <c r="M3159" s="27" t="str">
        <f aca="false">IF(OR(G3159="",G3159="?"),"",IFERROR(INDEX(Pubs!$D$2:$D$3001,MATCH(G3159,Pubs!$A$2:$A$3001,0))&amp;"",""))</f>
        <v/>
      </c>
      <c r="N3159" s="27" t="n">
        <f aca="false">N(N3158)+IF(AND(A3159&lt;&gt;"",OR(Recherche!$C$4="",A3159=Recherche!$C$4),OR(Recherche!$C$5="",B3159&amp;""=Recherche!$C$5&amp;""),OR(Recherche!$C$6="",IFERROR(YEAR(L3159),0)=Recherche!$C$6),OR(Recherche!$C$7="",ISNUMBER(SEARCH(Recherche!$C$7,H3159))),OR(Recherche!$C$8="",J3159=Recherche!$C$8),OR(Recherche!$C$9="",I3159=Recherche!$C$9),OR(Recherche!$C$10="",G3159&amp;""=Recherche!$C$10&amp;""),OR(Recherche!$C$11="",E3159=Recherche!$C$11),OR(Recherche!$C$12="",ISNUMBER(SEARCH(Recherche!$C$12,M3159&amp;" "&amp;F3159)))),1,0)</f>
        <v>8</v>
      </c>
    </row>
    <row r="3160" customFormat="false" ht="15" hidden="false" customHeight="false" outlineLevel="0" collapsed="false">
      <c r="A3160" s="19"/>
      <c r="B3160" s="19"/>
      <c r="C3160" s="19"/>
      <c r="D3160" s="19"/>
      <c r="E3160" s="22"/>
      <c r="F3160" s="19"/>
      <c r="G3160" s="26" t="str">
        <f aca="false">IF(D3160="","",IFERROR(VALUE(LEFT(D3160,FIND(" |",D3160&amp;" |")-1)),"?"))</f>
        <v/>
      </c>
      <c r="H3160" s="27" t="str">
        <f aca="false">IF(G3160="","",IF(G3160="?","⚠ pub inconnue",IFERROR(INDEX(Pubs!$B$2:$B$3001,MATCH(G3160,Pubs!$A$2:$A$3001,0))&amp;"","⚠ pub inconnue")))</f>
        <v/>
      </c>
      <c r="I3160" s="27" t="str">
        <f aca="false">IF(OR(G3160="",G3160="?"),"",IFERROR(INDEX(Pubs!$C$2:$C$3001,MATCH(G3160,Pubs!$A$2:$A$3001,0))&amp;"",""))</f>
        <v/>
      </c>
      <c r="J3160" s="27" t="str">
        <f aca="false">IF(OR(G3160="",G3160="?"),"",IFERROR(INDEX(Pubs!$G$2:$G$3001,MATCH(G3160,Pubs!$A$2:$A$3001,0))&amp;"",""))</f>
        <v/>
      </c>
      <c r="K3160" s="28" t="str">
        <f aca="false">IF(OR(G3160="",G3160="?"),"",IFERROR(INDEX(Pubs!$E$2:$E$3001,MATCH(G3160,Pubs!$A$2:$A$3001,0)),""))</f>
        <v/>
      </c>
      <c r="L3160" s="29" t="str">
        <f aca="false">IF(A3160="","",IFERROR(1/(1/INDEX(Numéros!$C$2:$C$3001,MATCH(A3160&amp;"|"&amp;B3160,Numéros!$F$2:$F$3001,0))),""))</f>
        <v/>
      </c>
      <c r="M3160" s="27" t="str">
        <f aca="false">IF(OR(G3160="",G3160="?"),"",IFERROR(INDEX(Pubs!$D$2:$D$3001,MATCH(G3160,Pubs!$A$2:$A$3001,0))&amp;"",""))</f>
        <v/>
      </c>
      <c r="N3160" s="27" t="n">
        <f aca="false">N(N3159)+IF(AND(A3160&lt;&gt;"",OR(Recherche!$C$4="",A3160=Recherche!$C$4),OR(Recherche!$C$5="",B3160&amp;""=Recherche!$C$5&amp;""),OR(Recherche!$C$6="",IFERROR(YEAR(L3160),0)=Recherche!$C$6),OR(Recherche!$C$7="",ISNUMBER(SEARCH(Recherche!$C$7,H3160))),OR(Recherche!$C$8="",J3160=Recherche!$C$8),OR(Recherche!$C$9="",I3160=Recherche!$C$9),OR(Recherche!$C$10="",G3160&amp;""=Recherche!$C$10&amp;""),OR(Recherche!$C$11="",E3160=Recherche!$C$11),OR(Recherche!$C$12="",ISNUMBER(SEARCH(Recherche!$C$12,M3160&amp;" "&amp;F3160)))),1,0)</f>
        <v>8</v>
      </c>
    </row>
    <row r="3161" customFormat="false" ht="15" hidden="false" customHeight="false" outlineLevel="0" collapsed="false">
      <c r="A3161" s="19"/>
      <c r="B3161" s="19"/>
      <c r="C3161" s="19"/>
      <c r="D3161" s="19"/>
      <c r="E3161" s="22"/>
      <c r="F3161" s="19"/>
      <c r="G3161" s="26" t="str">
        <f aca="false">IF(D3161="","",IFERROR(VALUE(LEFT(D3161,FIND(" |",D3161&amp;" |")-1)),"?"))</f>
        <v/>
      </c>
      <c r="H3161" s="27" t="str">
        <f aca="false">IF(G3161="","",IF(G3161="?","⚠ pub inconnue",IFERROR(INDEX(Pubs!$B$2:$B$3001,MATCH(G3161,Pubs!$A$2:$A$3001,0))&amp;"","⚠ pub inconnue")))</f>
        <v/>
      </c>
      <c r="I3161" s="27" t="str">
        <f aca="false">IF(OR(G3161="",G3161="?"),"",IFERROR(INDEX(Pubs!$C$2:$C$3001,MATCH(G3161,Pubs!$A$2:$A$3001,0))&amp;"",""))</f>
        <v/>
      </c>
      <c r="J3161" s="27" t="str">
        <f aca="false">IF(OR(G3161="",G3161="?"),"",IFERROR(INDEX(Pubs!$G$2:$G$3001,MATCH(G3161,Pubs!$A$2:$A$3001,0))&amp;"",""))</f>
        <v/>
      </c>
      <c r="K3161" s="28" t="str">
        <f aca="false">IF(OR(G3161="",G3161="?"),"",IFERROR(INDEX(Pubs!$E$2:$E$3001,MATCH(G3161,Pubs!$A$2:$A$3001,0)),""))</f>
        <v/>
      </c>
      <c r="L3161" s="29" t="str">
        <f aca="false">IF(A3161="","",IFERROR(1/(1/INDEX(Numéros!$C$2:$C$3001,MATCH(A3161&amp;"|"&amp;B3161,Numéros!$F$2:$F$3001,0))),""))</f>
        <v/>
      </c>
      <c r="M3161" s="27" t="str">
        <f aca="false">IF(OR(G3161="",G3161="?"),"",IFERROR(INDEX(Pubs!$D$2:$D$3001,MATCH(G3161,Pubs!$A$2:$A$3001,0))&amp;"",""))</f>
        <v/>
      </c>
      <c r="N3161" s="27" t="n">
        <f aca="false">N(N3160)+IF(AND(A3161&lt;&gt;"",OR(Recherche!$C$4="",A3161=Recherche!$C$4),OR(Recherche!$C$5="",B3161&amp;""=Recherche!$C$5&amp;""),OR(Recherche!$C$6="",IFERROR(YEAR(L3161),0)=Recherche!$C$6),OR(Recherche!$C$7="",ISNUMBER(SEARCH(Recherche!$C$7,H3161))),OR(Recherche!$C$8="",J3161=Recherche!$C$8),OR(Recherche!$C$9="",I3161=Recherche!$C$9),OR(Recherche!$C$10="",G3161&amp;""=Recherche!$C$10&amp;""),OR(Recherche!$C$11="",E3161=Recherche!$C$11),OR(Recherche!$C$12="",ISNUMBER(SEARCH(Recherche!$C$12,M3161&amp;" "&amp;F3161)))),1,0)</f>
        <v>8</v>
      </c>
    </row>
    <row r="3162" customFormat="false" ht="15" hidden="false" customHeight="false" outlineLevel="0" collapsed="false">
      <c r="A3162" s="19"/>
      <c r="B3162" s="19"/>
      <c r="C3162" s="19"/>
      <c r="D3162" s="19"/>
      <c r="E3162" s="22"/>
      <c r="F3162" s="19"/>
      <c r="G3162" s="26" t="str">
        <f aca="false">IF(D3162="","",IFERROR(VALUE(LEFT(D3162,FIND(" |",D3162&amp;" |")-1)),"?"))</f>
        <v/>
      </c>
      <c r="H3162" s="27" t="str">
        <f aca="false">IF(G3162="","",IF(G3162="?","⚠ pub inconnue",IFERROR(INDEX(Pubs!$B$2:$B$3001,MATCH(G3162,Pubs!$A$2:$A$3001,0))&amp;"","⚠ pub inconnue")))</f>
        <v/>
      </c>
      <c r="I3162" s="27" t="str">
        <f aca="false">IF(OR(G3162="",G3162="?"),"",IFERROR(INDEX(Pubs!$C$2:$C$3001,MATCH(G3162,Pubs!$A$2:$A$3001,0))&amp;"",""))</f>
        <v/>
      </c>
      <c r="J3162" s="27" t="str">
        <f aca="false">IF(OR(G3162="",G3162="?"),"",IFERROR(INDEX(Pubs!$G$2:$G$3001,MATCH(G3162,Pubs!$A$2:$A$3001,0))&amp;"",""))</f>
        <v/>
      </c>
      <c r="K3162" s="28" t="str">
        <f aca="false">IF(OR(G3162="",G3162="?"),"",IFERROR(INDEX(Pubs!$E$2:$E$3001,MATCH(G3162,Pubs!$A$2:$A$3001,0)),""))</f>
        <v/>
      </c>
      <c r="L3162" s="29" t="str">
        <f aca="false">IF(A3162="","",IFERROR(1/(1/INDEX(Numéros!$C$2:$C$3001,MATCH(A3162&amp;"|"&amp;B3162,Numéros!$F$2:$F$3001,0))),""))</f>
        <v/>
      </c>
      <c r="M3162" s="27" t="str">
        <f aca="false">IF(OR(G3162="",G3162="?"),"",IFERROR(INDEX(Pubs!$D$2:$D$3001,MATCH(G3162,Pubs!$A$2:$A$3001,0))&amp;"",""))</f>
        <v/>
      </c>
      <c r="N3162" s="27" t="n">
        <f aca="false">N(N3161)+IF(AND(A3162&lt;&gt;"",OR(Recherche!$C$4="",A3162=Recherche!$C$4),OR(Recherche!$C$5="",B3162&amp;""=Recherche!$C$5&amp;""),OR(Recherche!$C$6="",IFERROR(YEAR(L3162),0)=Recherche!$C$6),OR(Recherche!$C$7="",ISNUMBER(SEARCH(Recherche!$C$7,H3162))),OR(Recherche!$C$8="",J3162=Recherche!$C$8),OR(Recherche!$C$9="",I3162=Recherche!$C$9),OR(Recherche!$C$10="",G3162&amp;""=Recherche!$C$10&amp;""),OR(Recherche!$C$11="",E3162=Recherche!$C$11),OR(Recherche!$C$12="",ISNUMBER(SEARCH(Recherche!$C$12,M3162&amp;" "&amp;F3162)))),1,0)</f>
        <v>8</v>
      </c>
    </row>
    <row r="3163" customFormat="false" ht="15" hidden="false" customHeight="false" outlineLevel="0" collapsed="false">
      <c r="A3163" s="19"/>
      <c r="B3163" s="19"/>
      <c r="C3163" s="19"/>
      <c r="D3163" s="19"/>
      <c r="E3163" s="22"/>
      <c r="F3163" s="19"/>
      <c r="G3163" s="26" t="str">
        <f aca="false">IF(D3163="","",IFERROR(VALUE(LEFT(D3163,FIND(" |",D3163&amp;" |")-1)),"?"))</f>
        <v/>
      </c>
      <c r="H3163" s="27" t="str">
        <f aca="false">IF(G3163="","",IF(G3163="?","⚠ pub inconnue",IFERROR(INDEX(Pubs!$B$2:$B$3001,MATCH(G3163,Pubs!$A$2:$A$3001,0))&amp;"","⚠ pub inconnue")))</f>
        <v/>
      </c>
      <c r="I3163" s="27" t="str">
        <f aca="false">IF(OR(G3163="",G3163="?"),"",IFERROR(INDEX(Pubs!$C$2:$C$3001,MATCH(G3163,Pubs!$A$2:$A$3001,0))&amp;"",""))</f>
        <v/>
      </c>
      <c r="J3163" s="27" t="str">
        <f aca="false">IF(OR(G3163="",G3163="?"),"",IFERROR(INDEX(Pubs!$G$2:$G$3001,MATCH(G3163,Pubs!$A$2:$A$3001,0))&amp;"",""))</f>
        <v/>
      </c>
      <c r="K3163" s="28" t="str">
        <f aca="false">IF(OR(G3163="",G3163="?"),"",IFERROR(INDEX(Pubs!$E$2:$E$3001,MATCH(G3163,Pubs!$A$2:$A$3001,0)),""))</f>
        <v/>
      </c>
      <c r="L3163" s="29" t="str">
        <f aca="false">IF(A3163="","",IFERROR(1/(1/INDEX(Numéros!$C$2:$C$3001,MATCH(A3163&amp;"|"&amp;B3163,Numéros!$F$2:$F$3001,0))),""))</f>
        <v/>
      </c>
      <c r="M3163" s="27" t="str">
        <f aca="false">IF(OR(G3163="",G3163="?"),"",IFERROR(INDEX(Pubs!$D$2:$D$3001,MATCH(G3163,Pubs!$A$2:$A$3001,0))&amp;"",""))</f>
        <v/>
      </c>
      <c r="N3163" s="27" t="n">
        <f aca="false">N(N3162)+IF(AND(A3163&lt;&gt;"",OR(Recherche!$C$4="",A3163=Recherche!$C$4),OR(Recherche!$C$5="",B3163&amp;""=Recherche!$C$5&amp;""),OR(Recherche!$C$6="",IFERROR(YEAR(L3163),0)=Recherche!$C$6),OR(Recherche!$C$7="",ISNUMBER(SEARCH(Recherche!$C$7,H3163))),OR(Recherche!$C$8="",J3163=Recherche!$C$8),OR(Recherche!$C$9="",I3163=Recherche!$C$9),OR(Recherche!$C$10="",G3163&amp;""=Recherche!$C$10&amp;""),OR(Recherche!$C$11="",E3163=Recherche!$C$11),OR(Recherche!$C$12="",ISNUMBER(SEARCH(Recherche!$C$12,M3163&amp;" "&amp;F3163)))),1,0)</f>
        <v>8</v>
      </c>
    </row>
    <row r="3164" customFormat="false" ht="15" hidden="false" customHeight="false" outlineLevel="0" collapsed="false">
      <c r="A3164" s="19"/>
      <c r="B3164" s="19"/>
      <c r="C3164" s="19"/>
      <c r="D3164" s="19"/>
      <c r="E3164" s="22"/>
      <c r="F3164" s="19"/>
      <c r="G3164" s="26" t="str">
        <f aca="false">IF(D3164="","",IFERROR(VALUE(LEFT(D3164,FIND(" |",D3164&amp;" |")-1)),"?"))</f>
        <v/>
      </c>
      <c r="H3164" s="27" t="str">
        <f aca="false">IF(G3164="","",IF(G3164="?","⚠ pub inconnue",IFERROR(INDEX(Pubs!$B$2:$B$3001,MATCH(G3164,Pubs!$A$2:$A$3001,0))&amp;"","⚠ pub inconnue")))</f>
        <v/>
      </c>
      <c r="I3164" s="27" t="str">
        <f aca="false">IF(OR(G3164="",G3164="?"),"",IFERROR(INDEX(Pubs!$C$2:$C$3001,MATCH(G3164,Pubs!$A$2:$A$3001,0))&amp;"",""))</f>
        <v/>
      </c>
      <c r="J3164" s="27" t="str">
        <f aca="false">IF(OR(G3164="",G3164="?"),"",IFERROR(INDEX(Pubs!$G$2:$G$3001,MATCH(G3164,Pubs!$A$2:$A$3001,0))&amp;"",""))</f>
        <v/>
      </c>
      <c r="K3164" s="28" t="str">
        <f aca="false">IF(OR(G3164="",G3164="?"),"",IFERROR(INDEX(Pubs!$E$2:$E$3001,MATCH(G3164,Pubs!$A$2:$A$3001,0)),""))</f>
        <v/>
      </c>
      <c r="L3164" s="29" t="str">
        <f aca="false">IF(A3164="","",IFERROR(1/(1/INDEX(Numéros!$C$2:$C$3001,MATCH(A3164&amp;"|"&amp;B3164,Numéros!$F$2:$F$3001,0))),""))</f>
        <v/>
      </c>
      <c r="M3164" s="27" t="str">
        <f aca="false">IF(OR(G3164="",G3164="?"),"",IFERROR(INDEX(Pubs!$D$2:$D$3001,MATCH(G3164,Pubs!$A$2:$A$3001,0))&amp;"",""))</f>
        <v/>
      </c>
      <c r="N3164" s="27" t="n">
        <f aca="false">N(N3163)+IF(AND(A3164&lt;&gt;"",OR(Recherche!$C$4="",A3164=Recherche!$C$4),OR(Recherche!$C$5="",B3164&amp;""=Recherche!$C$5&amp;""),OR(Recherche!$C$6="",IFERROR(YEAR(L3164),0)=Recherche!$C$6),OR(Recherche!$C$7="",ISNUMBER(SEARCH(Recherche!$C$7,H3164))),OR(Recherche!$C$8="",J3164=Recherche!$C$8),OR(Recherche!$C$9="",I3164=Recherche!$C$9),OR(Recherche!$C$10="",G3164&amp;""=Recherche!$C$10&amp;""),OR(Recherche!$C$11="",E3164=Recherche!$C$11),OR(Recherche!$C$12="",ISNUMBER(SEARCH(Recherche!$C$12,M3164&amp;" "&amp;F3164)))),1,0)</f>
        <v>8</v>
      </c>
    </row>
    <row r="3165" customFormat="false" ht="15" hidden="false" customHeight="false" outlineLevel="0" collapsed="false">
      <c r="A3165" s="19"/>
      <c r="B3165" s="19"/>
      <c r="C3165" s="19"/>
      <c r="D3165" s="19"/>
      <c r="E3165" s="22"/>
      <c r="F3165" s="19"/>
      <c r="G3165" s="26" t="str">
        <f aca="false">IF(D3165="","",IFERROR(VALUE(LEFT(D3165,FIND(" |",D3165&amp;" |")-1)),"?"))</f>
        <v/>
      </c>
      <c r="H3165" s="27" t="str">
        <f aca="false">IF(G3165="","",IF(G3165="?","⚠ pub inconnue",IFERROR(INDEX(Pubs!$B$2:$B$3001,MATCH(G3165,Pubs!$A$2:$A$3001,0))&amp;"","⚠ pub inconnue")))</f>
        <v/>
      </c>
      <c r="I3165" s="27" t="str">
        <f aca="false">IF(OR(G3165="",G3165="?"),"",IFERROR(INDEX(Pubs!$C$2:$C$3001,MATCH(G3165,Pubs!$A$2:$A$3001,0))&amp;"",""))</f>
        <v/>
      </c>
      <c r="J3165" s="27" t="str">
        <f aca="false">IF(OR(G3165="",G3165="?"),"",IFERROR(INDEX(Pubs!$G$2:$G$3001,MATCH(G3165,Pubs!$A$2:$A$3001,0))&amp;"",""))</f>
        <v/>
      </c>
      <c r="K3165" s="28" t="str">
        <f aca="false">IF(OR(G3165="",G3165="?"),"",IFERROR(INDEX(Pubs!$E$2:$E$3001,MATCH(G3165,Pubs!$A$2:$A$3001,0)),""))</f>
        <v/>
      </c>
      <c r="L3165" s="29" t="str">
        <f aca="false">IF(A3165="","",IFERROR(1/(1/INDEX(Numéros!$C$2:$C$3001,MATCH(A3165&amp;"|"&amp;B3165,Numéros!$F$2:$F$3001,0))),""))</f>
        <v/>
      </c>
      <c r="M3165" s="27" t="str">
        <f aca="false">IF(OR(G3165="",G3165="?"),"",IFERROR(INDEX(Pubs!$D$2:$D$3001,MATCH(G3165,Pubs!$A$2:$A$3001,0))&amp;"",""))</f>
        <v/>
      </c>
      <c r="N3165" s="27" t="n">
        <f aca="false">N(N3164)+IF(AND(A3165&lt;&gt;"",OR(Recherche!$C$4="",A3165=Recherche!$C$4),OR(Recherche!$C$5="",B3165&amp;""=Recherche!$C$5&amp;""),OR(Recherche!$C$6="",IFERROR(YEAR(L3165),0)=Recherche!$C$6),OR(Recherche!$C$7="",ISNUMBER(SEARCH(Recherche!$C$7,H3165))),OR(Recherche!$C$8="",J3165=Recherche!$C$8),OR(Recherche!$C$9="",I3165=Recherche!$C$9),OR(Recherche!$C$10="",G3165&amp;""=Recherche!$C$10&amp;""),OR(Recherche!$C$11="",E3165=Recherche!$C$11),OR(Recherche!$C$12="",ISNUMBER(SEARCH(Recherche!$C$12,M3165&amp;" "&amp;F3165)))),1,0)</f>
        <v>8</v>
      </c>
    </row>
    <row r="3166" customFormat="false" ht="15" hidden="false" customHeight="false" outlineLevel="0" collapsed="false">
      <c r="A3166" s="19"/>
      <c r="B3166" s="19"/>
      <c r="C3166" s="19"/>
      <c r="D3166" s="19"/>
      <c r="E3166" s="22"/>
      <c r="F3166" s="19"/>
      <c r="G3166" s="26" t="str">
        <f aca="false">IF(D3166="","",IFERROR(VALUE(LEFT(D3166,FIND(" |",D3166&amp;" |")-1)),"?"))</f>
        <v/>
      </c>
      <c r="H3166" s="27" t="str">
        <f aca="false">IF(G3166="","",IF(G3166="?","⚠ pub inconnue",IFERROR(INDEX(Pubs!$B$2:$B$3001,MATCH(G3166,Pubs!$A$2:$A$3001,0))&amp;"","⚠ pub inconnue")))</f>
        <v/>
      </c>
      <c r="I3166" s="27" t="str">
        <f aca="false">IF(OR(G3166="",G3166="?"),"",IFERROR(INDEX(Pubs!$C$2:$C$3001,MATCH(G3166,Pubs!$A$2:$A$3001,0))&amp;"",""))</f>
        <v/>
      </c>
      <c r="J3166" s="27" t="str">
        <f aca="false">IF(OR(G3166="",G3166="?"),"",IFERROR(INDEX(Pubs!$G$2:$G$3001,MATCH(G3166,Pubs!$A$2:$A$3001,0))&amp;"",""))</f>
        <v/>
      </c>
      <c r="K3166" s="28" t="str">
        <f aca="false">IF(OR(G3166="",G3166="?"),"",IFERROR(INDEX(Pubs!$E$2:$E$3001,MATCH(G3166,Pubs!$A$2:$A$3001,0)),""))</f>
        <v/>
      </c>
      <c r="L3166" s="29" t="str">
        <f aca="false">IF(A3166="","",IFERROR(1/(1/INDEX(Numéros!$C$2:$C$3001,MATCH(A3166&amp;"|"&amp;B3166,Numéros!$F$2:$F$3001,0))),""))</f>
        <v/>
      </c>
      <c r="M3166" s="27" t="str">
        <f aca="false">IF(OR(G3166="",G3166="?"),"",IFERROR(INDEX(Pubs!$D$2:$D$3001,MATCH(G3166,Pubs!$A$2:$A$3001,0))&amp;"",""))</f>
        <v/>
      </c>
      <c r="N3166" s="27" t="n">
        <f aca="false">N(N3165)+IF(AND(A3166&lt;&gt;"",OR(Recherche!$C$4="",A3166=Recherche!$C$4),OR(Recherche!$C$5="",B3166&amp;""=Recherche!$C$5&amp;""),OR(Recherche!$C$6="",IFERROR(YEAR(L3166),0)=Recherche!$C$6),OR(Recherche!$C$7="",ISNUMBER(SEARCH(Recherche!$C$7,H3166))),OR(Recherche!$C$8="",J3166=Recherche!$C$8),OR(Recherche!$C$9="",I3166=Recherche!$C$9),OR(Recherche!$C$10="",G3166&amp;""=Recherche!$C$10&amp;""),OR(Recherche!$C$11="",E3166=Recherche!$C$11),OR(Recherche!$C$12="",ISNUMBER(SEARCH(Recherche!$C$12,M3166&amp;" "&amp;F3166)))),1,0)</f>
        <v>8</v>
      </c>
    </row>
    <row r="3167" customFormat="false" ht="15" hidden="false" customHeight="false" outlineLevel="0" collapsed="false">
      <c r="A3167" s="19"/>
      <c r="B3167" s="19"/>
      <c r="C3167" s="19"/>
      <c r="D3167" s="19"/>
      <c r="E3167" s="22"/>
      <c r="F3167" s="19"/>
      <c r="G3167" s="26" t="str">
        <f aca="false">IF(D3167="","",IFERROR(VALUE(LEFT(D3167,FIND(" |",D3167&amp;" |")-1)),"?"))</f>
        <v/>
      </c>
      <c r="H3167" s="27" t="str">
        <f aca="false">IF(G3167="","",IF(G3167="?","⚠ pub inconnue",IFERROR(INDEX(Pubs!$B$2:$B$3001,MATCH(G3167,Pubs!$A$2:$A$3001,0))&amp;"","⚠ pub inconnue")))</f>
        <v/>
      </c>
      <c r="I3167" s="27" t="str">
        <f aca="false">IF(OR(G3167="",G3167="?"),"",IFERROR(INDEX(Pubs!$C$2:$C$3001,MATCH(G3167,Pubs!$A$2:$A$3001,0))&amp;"",""))</f>
        <v/>
      </c>
      <c r="J3167" s="27" t="str">
        <f aca="false">IF(OR(G3167="",G3167="?"),"",IFERROR(INDEX(Pubs!$G$2:$G$3001,MATCH(G3167,Pubs!$A$2:$A$3001,0))&amp;"",""))</f>
        <v/>
      </c>
      <c r="K3167" s="28" t="str">
        <f aca="false">IF(OR(G3167="",G3167="?"),"",IFERROR(INDEX(Pubs!$E$2:$E$3001,MATCH(G3167,Pubs!$A$2:$A$3001,0)),""))</f>
        <v/>
      </c>
      <c r="L3167" s="29" t="str">
        <f aca="false">IF(A3167="","",IFERROR(1/(1/INDEX(Numéros!$C$2:$C$3001,MATCH(A3167&amp;"|"&amp;B3167,Numéros!$F$2:$F$3001,0))),""))</f>
        <v/>
      </c>
      <c r="M3167" s="27" t="str">
        <f aca="false">IF(OR(G3167="",G3167="?"),"",IFERROR(INDEX(Pubs!$D$2:$D$3001,MATCH(G3167,Pubs!$A$2:$A$3001,0))&amp;"",""))</f>
        <v/>
      </c>
      <c r="N3167" s="27" t="n">
        <f aca="false">N(N3166)+IF(AND(A3167&lt;&gt;"",OR(Recherche!$C$4="",A3167=Recherche!$C$4),OR(Recherche!$C$5="",B3167&amp;""=Recherche!$C$5&amp;""),OR(Recherche!$C$6="",IFERROR(YEAR(L3167),0)=Recherche!$C$6),OR(Recherche!$C$7="",ISNUMBER(SEARCH(Recherche!$C$7,H3167))),OR(Recherche!$C$8="",J3167=Recherche!$C$8),OR(Recherche!$C$9="",I3167=Recherche!$C$9),OR(Recherche!$C$10="",G3167&amp;""=Recherche!$C$10&amp;""),OR(Recherche!$C$11="",E3167=Recherche!$C$11),OR(Recherche!$C$12="",ISNUMBER(SEARCH(Recherche!$C$12,M3167&amp;" "&amp;F3167)))),1,0)</f>
        <v>8</v>
      </c>
    </row>
    <row r="3168" customFormat="false" ht="15" hidden="false" customHeight="false" outlineLevel="0" collapsed="false">
      <c r="A3168" s="19"/>
      <c r="B3168" s="19"/>
      <c r="C3168" s="19"/>
      <c r="D3168" s="19"/>
      <c r="E3168" s="22"/>
      <c r="F3168" s="19"/>
      <c r="G3168" s="26" t="str">
        <f aca="false">IF(D3168="","",IFERROR(VALUE(LEFT(D3168,FIND(" |",D3168&amp;" |")-1)),"?"))</f>
        <v/>
      </c>
      <c r="H3168" s="27" t="str">
        <f aca="false">IF(G3168="","",IF(G3168="?","⚠ pub inconnue",IFERROR(INDEX(Pubs!$B$2:$B$3001,MATCH(G3168,Pubs!$A$2:$A$3001,0))&amp;"","⚠ pub inconnue")))</f>
        <v/>
      </c>
      <c r="I3168" s="27" t="str">
        <f aca="false">IF(OR(G3168="",G3168="?"),"",IFERROR(INDEX(Pubs!$C$2:$C$3001,MATCH(G3168,Pubs!$A$2:$A$3001,0))&amp;"",""))</f>
        <v/>
      </c>
      <c r="J3168" s="27" t="str">
        <f aca="false">IF(OR(G3168="",G3168="?"),"",IFERROR(INDEX(Pubs!$G$2:$G$3001,MATCH(G3168,Pubs!$A$2:$A$3001,0))&amp;"",""))</f>
        <v/>
      </c>
      <c r="K3168" s="28" t="str">
        <f aca="false">IF(OR(G3168="",G3168="?"),"",IFERROR(INDEX(Pubs!$E$2:$E$3001,MATCH(G3168,Pubs!$A$2:$A$3001,0)),""))</f>
        <v/>
      </c>
      <c r="L3168" s="29" t="str">
        <f aca="false">IF(A3168="","",IFERROR(1/(1/INDEX(Numéros!$C$2:$C$3001,MATCH(A3168&amp;"|"&amp;B3168,Numéros!$F$2:$F$3001,0))),""))</f>
        <v/>
      </c>
      <c r="M3168" s="27" t="str">
        <f aca="false">IF(OR(G3168="",G3168="?"),"",IFERROR(INDEX(Pubs!$D$2:$D$3001,MATCH(G3168,Pubs!$A$2:$A$3001,0))&amp;"",""))</f>
        <v/>
      </c>
      <c r="N3168" s="27" t="n">
        <f aca="false">N(N3167)+IF(AND(A3168&lt;&gt;"",OR(Recherche!$C$4="",A3168=Recherche!$C$4),OR(Recherche!$C$5="",B3168&amp;""=Recherche!$C$5&amp;""),OR(Recherche!$C$6="",IFERROR(YEAR(L3168),0)=Recherche!$C$6),OR(Recherche!$C$7="",ISNUMBER(SEARCH(Recherche!$C$7,H3168))),OR(Recherche!$C$8="",J3168=Recherche!$C$8),OR(Recherche!$C$9="",I3168=Recherche!$C$9),OR(Recherche!$C$10="",G3168&amp;""=Recherche!$C$10&amp;""),OR(Recherche!$C$11="",E3168=Recherche!$C$11),OR(Recherche!$C$12="",ISNUMBER(SEARCH(Recherche!$C$12,M3168&amp;" "&amp;F3168)))),1,0)</f>
        <v>8</v>
      </c>
    </row>
    <row r="3169" customFormat="false" ht="15" hidden="false" customHeight="false" outlineLevel="0" collapsed="false">
      <c r="A3169" s="19"/>
      <c r="B3169" s="19"/>
      <c r="C3169" s="19"/>
      <c r="D3169" s="19"/>
      <c r="E3169" s="22"/>
      <c r="F3169" s="19"/>
      <c r="G3169" s="26" t="str">
        <f aca="false">IF(D3169="","",IFERROR(VALUE(LEFT(D3169,FIND(" |",D3169&amp;" |")-1)),"?"))</f>
        <v/>
      </c>
      <c r="H3169" s="27" t="str">
        <f aca="false">IF(G3169="","",IF(G3169="?","⚠ pub inconnue",IFERROR(INDEX(Pubs!$B$2:$B$3001,MATCH(G3169,Pubs!$A$2:$A$3001,0))&amp;"","⚠ pub inconnue")))</f>
        <v/>
      </c>
      <c r="I3169" s="27" t="str">
        <f aca="false">IF(OR(G3169="",G3169="?"),"",IFERROR(INDEX(Pubs!$C$2:$C$3001,MATCH(G3169,Pubs!$A$2:$A$3001,0))&amp;"",""))</f>
        <v/>
      </c>
      <c r="J3169" s="27" t="str">
        <f aca="false">IF(OR(G3169="",G3169="?"),"",IFERROR(INDEX(Pubs!$G$2:$G$3001,MATCH(G3169,Pubs!$A$2:$A$3001,0))&amp;"",""))</f>
        <v/>
      </c>
      <c r="K3169" s="28" t="str">
        <f aca="false">IF(OR(G3169="",G3169="?"),"",IFERROR(INDEX(Pubs!$E$2:$E$3001,MATCH(G3169,Pubs!$A$2:$A$3001,0)),""))</f>
        <v/>
      </c>
      <c r="L3169" s="29" t="str">
        <f aca="false">IF(A3169="","",IFERROR(1/(1/INDEX(Numéros!$C$2:$C$3001,MATCH(A3169&amp;"|"&amp;B3169,Numéros!$F$2:$F$3001,0))),""))</f>
        <v/>
      </c>
      <c r="M3169" s="27" t="str">
        <f aca="false">IF(OR(G3169="",G3169="?"),"",IFERROR(INDEX(Pubs!$D$2:$D$3001,MATCH(G3169,Pubs!$A$2:$A$3001,0))&amp;"",""))</f>
        <v/>
      </c>
      <c r="N3169" s="27" t="n">
        <f aca="false">N(N3168)+IF(AND(A3169&lt;&gt;"",OR(Recherche!$C$4="",A3169=Recherche!$C$4),OR(Recherche!$C$5="",B3169&amp;""=Recherche!$C$5&amp;""),OR(Recherche!$C$6="",IFERROR(YEAR(L3169),0)=Recherche!$C$6),OR(Recherche!$C$7="",ISNUMBER(SEARCH(Recherche!$C$7,H3169))),OR(Recherche!$C$8="",J3169=Recherche!$C$8),OR(Recherche!$C$9="",I3169=Recherche!$C$9),OR(Recherche!$C$10="",G3169&amp;""=Recherche!$C$10&amp;""),OR(Recherche!$C$11="",E3169=Recherche!$C$11),OR(Recherche!$C$12="",ISNUMBER(SEARCH(Recherche!$C$12,M3169&amp;" "&amp;F3169)))),1,0)</f>
        <v>8</v>
      </c>
    </row>
    <row r="3170" customFormat="false" ht="15" hidden="false" customHeight="false" outlineLevel="0" collapsed="false">
      <c r="A3170" s="19"/>
      <c r="B3170" s="19"/>
      <c r="C3170" s="19"/>
      <c r="D3170" s="19"/>
      <c r="E3170" s="22"/>
      <c r="F3170" s="19"/>
      <c r="G3170" s="26" t="str">
        <f aca="false">IF(D3170="","",IFERROR(VALUE(LEFT(D3170,FIND(" |",D3170&amp;" |")-1)),"?"))</f>
        <v/>
      </c>
      <c r="H3170" s="27" t="str">
        <f aca="false">IF(G3170="","",IF(G3170="?","⚠ pub inconnue",IFERROR(INDEX(Pubs!$B$2:$B$3001,MATCH(G3170,Pubs!$A$2:$A$3001,0))&amp;"","⚠ pub inconnue")))</f>
        <v/>
      </c>
      <c r="I3170" s="27" t="str">
        <f aca="false">IF(OR(G3170="",G3170="?"),"",IFERROR(INDEX(Pubs!$C$2:$C$3001,MATCH(G3170,Pubs!$A$2:$A$3001,0))&amp;"",""))</f>
        <v/>
      </c>
      <c r="J3170" s="27" t="str">
        <f aca="false">IF(OR(G3170="",G3170="?"),"",IFERROR(INDEX(Pubs!$G$2:$G$3001,MATCH(G3170,Pubs!$A$2:$A$3001,0))&amp;"",""))</f>
        <v/>
      </c>
      <c r="K3170" s="28" t="str">
        <f aca="false">IF(OR(G3170="",G3170="?"),"",IFERROR(INDEX(Pubs!$E$2:$E$3001,MATCH(G3170,Pubs!$A$2:$A$3001,0)),""))</f>
        <v/>
      </c>
      <c r="L3170" s="29" t="str">
        <f aca="false">IF(A3170="","",IFERROR(1/(1/INDEX(Numéros!$C$2:$C$3001,MATCH(A3170&amp;"|"&amp;B3170,Numéros!$F$2:$F$3001,0))),""))</f>
        <v/>
      </c>
      <c r="M3170" s="27" t="str">
        <f aca="false">IF(OR(G3170="",G3170="?"),"",IFERROR(INDEX(Pubs!$D$2:$D$3001,MATCH(G3170,Pubs!$A$2:$A$3001,0))&amp;"",""))</f>
        <v/>
      </c>
      <c r="N3170" s="27" t="n">
        <f aca="false">N(N3169)+IF(AND(A3170&lt;&gt;"",OR(Recherche!$C$4="",A3170=Recherche!$C$4),OR(Recherche!$C$5="",B3170&amp;""=Recherche!$C$5&amp;""),OR(Recherche!$C$6="",IFERROR(YEAR(L3170),0)=Recherche!$C$6),OR(Recherche!$C$7="",ISNUMBER(SEARCH(Recherche!$C$7,H3170))),OR(Recherche!$C$8="",J3170=Recherche!$C$8),OR(Recherche!$C$9="",I3170=Recherche!$C$9),OR(Recherche!$C$10="",G3170&amp;""=Recherche!$C$10&amp;""),OR(Recherche!$C$11="",E3170=Recherche!$C$11),OR(Recherche!$C$12="",ISNUMBER(SEARCH(Recherche!$C$12,M3170&amp;" "&amp;F3170)))),1,0)</f>
        <v>8</v>
      </c>
    </row>
    <row r="3171" customFormat="false" ht="15" hidden="false" customHeight="false" outlineLevel="0" collapsed="false">
      <c r="A3171" s="19"/>
      <c r="B3171" s="19"/>
      <c r="C3171" s="19"/>
      <c r="D3171" s="19"/>
      <c r="E3171" s="22"/>
      <c r="F3171" s="19"/>
      <c r="G3171" s="26" t="str">
        <f aca="false">IF(D3171="","",IFERROR(VALUE(LEFT(D3171,FIND(" |",D3171&amp;" |")-1)),"?"))</f>
        <v/>
      </c>
      <c r="H3171" s="27" t="str">
        <f aca="false">IF(G3171="","",IF(G3171="?","⚠ pub inconnue",IFERROR(INDEX(Pubs!$B$2:$B$3001,MATCH(G3171,Pubs!$A$2:$A$3001,0))&amp;"","⚠ pub inconnue")))</f>
        <v/>
      </c>
      <c r="I3171" s="27" t="str">
        <f aca="false">IF(OR(G3171="",G3171="?"),"",IFERROR(INDEX(Pubs!$C$2:$C$3001,MATCH(G3171,Pubs!$A$2:$A$3001,0))&amp;"",""))</f>
        <v/>
      </c>
      <c r="J3171" s="27" t="str">
        <f aca="false">IF(OR(G3171="",G3171="?"),"",IFERROR(INDEX(Pubs!$G$2:$G$3001,MATCH(G3171,Pubs!$A$2:$A$3001,0))&amp;"",""))</f>
        <v/>
      </c>
      <c r="K3171" s="28" t="str">
        <f aca="false">IF(OR(G3171="",G3171="?"),"",IFERROR(INDEX(Pubs!$E$2:$E$3001,MATCH(G3171,Pubs!$A$2:$A$3001,0)),""))</f>
        <v/>
      </c>
      <c r="L3171" s="29" t="str">
        <f aca="false">IF(A3171="","",IFERROR(1/(1/INDEX(Numéros!$C$2:$C$3001,MATCH(A3171&amp;"|"&amp;B3171,Numéros!$F$2:$F$3001,0))),""))</f>
        <v/>
      </c>
      <c r="M3171" s="27" t="str">
        <f aca="false">IF(OR(G3171="",G3171="?"),"",IFERROR(INDEX(Pubs!$D$2:$D$3001,MATCH(G3171,Pubs!$A$2:$A$3001,0))&amp;"",""))</f>
        <v/>
      </c>
      <c r="N3171" s="27" t="n">
        <f aca="false">N(N3170)+IF(AND(A3171&lt;&gt;"",OR(Recherche!$C$4="",A3171=Recherche!$C$4),OR(Recherche!$C$5="",B3171&amp;""=Recherche!$C$5&amp;""),OR(Recherche!$C$6="",IFERROR(YEAR(L3171),0)=Recherche!$C$6),OR(Recherche!$C$7="",ISNUMBER(SEARCH(Recherche!$C$7,H3171))),OR(Recherche!$C$8="",J3171=Recherche!$C$8),OR(Recherche!$C$9="",I3171=Recherche!$C$9),OR(Recherche!$C$10="",G3171&amp;""=Recherche!$C$10&amp;""),OR(Recherche!$C$11="",E3171=Recherche!$C$11),OR(Recherche!$C$12="",ISNUMBER(SEARCH(Recherche!$C$12,M3171&amp;" "&amp;F3171)))),1,0)</f>
        <v>8</v>
      </c>
    </row>
    <row r="3172" customFormat="false" ht="15" hidden="false" customHeight="false" outlineLevel="0" collapsed="false">
      <c r="A3172" s="19"/>
      <c r="B3172" s="19"/>
      <c r="C3172" s="19"/>
      <c r="D3172" s="19"/>
      <c r="E3172" s="22"/>
      <c r="F3172" s="19"/>
      <c r="G3172" s="26" t="str">
        <f aca="false">IF(D3172="","",IFERROR(VALUE(LEFT(D3172,FIND(" |",D3172&amp;" |")-1)),"?"))</f>
        <v/>
      </c>
      <c r="H3172" s="27" t="str">
        <f aca="false">IF(G3172="","",IF(G3172="?","⚠ pub inconnue",IFERROR(INDEX(Pubs!$B$2:$B$3001,MATCH(G3172,Pubs!$A$2:$A$3001,0))&amp;"","⚠ pub inconnue")))</f>
        <v/>
      </c>
      <c r="I3172" s="27" t="str">
        <f aca="false">IF(OR(G3172="",G3172="?"),"",IFERROR(INDEX(Pubs!$C$2:$C$3001,MATCH(G3172,Pubs!$A$2:$A$3001,0))&amp;"",""))</f>
        <v/>
      </c>
      <c r="J3172" s="27" t="str">
        <f aca="false">IF(OR(G3172="",G3172="?"),"",IFERROR(INDEX(Pubs!$G$2:$G$3001,MATCH(G3172,Pubs!$A$2:$A$3001,0))&amp;"",""))</f>
        <v/>
      </c>
      <c r="K3172" s="28" t="str">
        <f aca="false">IF(OR(G3172="",G3172="?"),"",IFERROR(INDEX(Pubs!$E$2:$E$3001,MATCH(G3172,Pubs!$A$2:$A$3001,0)),""))</f>
        <v/>
      </c>
      <c r="L3172" s="29" t="str">
        <f aca="false">IF(A3172="","",IFERROR(1/(1/INDEX(Numéros!$C$2:$C$3001,MATCH(A3172&amp;"|"&amp;B3172,Numéros!$F$2:$F$3001,0))),""))</f>
        <v/>
      </c>
      <c r="M3172" s="27" t="str">
        <f aca="false">IF(OR(G3172="",G3172="?"),"",IFERROR(INDEX(Pubs!$D$2:$D$3001,MATCH(G3172,Pubs!$A$2:$A$3001,0))&amp;"",""))</f>
        <v/>
      </c>
      <c r="N3172" s="27" t="n">
        <f aca="false">N(N3171)+IF(AND(A3172&lt;&gt;"",OR(Recherche!$C$4="",A3172=Recherche!$C$4),OR(Recherche!$C$5="",B3172&amp;""=Recherche!$C$5&amp;""),OR(Recherche!$C$6="",IFERROR(YEAR(L3172),0)=Recherche!$C$6),OR(Recherche!$C$7="",ISNUMBER(SEARCH(Recherche!$C$7,H3172))),OR(Recherche!$C$8="",J3172=Recherche!$C$8),OR(Recherche!$C$9="",I3172=Recherche!$C$9),OR(Recherche!$C$10="",G3172&amp;""=Recherche!$C$10&amp;""),OR(Recherche!$C$11="",E3172=Recherche!$C$11),OR(Recherche!$C$12="",ISNUMBER(SEARCH(Recherche!$C$12,M3172&amp;" "&amp;F3172)))),1,0)</f>
        <v>8</v>
      </c>
    </row>
    <row r="3173" customFormat="false" ht="15" hidden="false" customHeight="false" outlineLevel="0" collapsed="false">
      <c r="A3173" s="19"/>
      <c r="B3173" s="19"/>
      <c r="C3173" s="19"/>
      <c r="D3173" s="19"/>
      <c r="E3173" s="22"/>
      <c r="F3173" s="19"/>
      <c r="G3173" s="26" t="str">
        <f aca="false">IF(D3173="","",IFERROR(VALUE(LEFT(D3173,FIND(" |",D3173&amp;" |")-1)),"?"))</f>
        <v/>
      </c>
      <c r="H3173" s="27" t="str">
        <f aca="false">IF(G3173="","",IF(G3173="?","⚠ pub inconnue",IFERROR(INDEX(Pubs!$B$2:$B$3001,MATCH(G3173,Pubs!$A$2:$A$3001,0))&amp;"","⚠ pub inconnue")))</f>
        <v/>
      </c>
      <c r="I3173" s="27" t="str">
        <f aca="false">IF(OR(G3173="",G3173="?"),"",IFERROR(INDEX(Pubs!$C$2:$C$3001,MATCH(G3173,Pubs!$A$2:$A$3001,0))&amp;"",""))</f>
        <v/>
      </c>
      <c r="J3173" s="27" t="str">
        <f aca="false">IF(OR(G3173="",G3173="?"),"",IFERROR(INDEX(Pubs!$G$2:$G$3001,MATCH(G3173,Pubs!$A$2:$A$3001,0))&amp;"",""))</f>
        <v/>
      </c>
      <c r="K3173" s="28" t="str">
        <f aca="false">IF(OR(G3173="",G3173="?"),"",IFERROR(INDEX(Pubs!$E$2:$E$3001,MATCH(G3173,Pubs!$A$2:$A$3001,0)),""))</f>
        <v/>
      </c>
      <c r="L3173" s="29" t="str">
        <f aca="false">IF(A3173="","",IFERROR(1/(1/INDEX(Numéros!$C$2:$C$3001,MATCH(A3173&amp;"|"&amp;B3173,Numéros!$F$2:$F$3001,0))),""))</f>
        <v/>
      </c>
      <c r="M3173" s="27" t="str">
        <f aca="false">IF(OR(G3173="",G3173="?"),"",IFERROR(INDEX(Pubs!$D$2:$D$3001,MATCH(G3173,Pubs!$A$2:$A$3001,0))&amp;"",""))</f>
        <v/>
      </c>
      <c r="N3173" s="27" t="n">
        <f aca="false">N(N3172)+IF(AND(A3173&lt;&gt;"",OR(Recherche!$C$4="",A3173=Recherche!$C$4),OR(Recherche!$C$5="",B3173&amp;""=Recherche!$C$5&amp;""),OR(Recherche!$C$6="",IFERROR(YEAR(L3173),0)=Recherche!$C$6),OR(Recherche!$C$7="",ISNUMBER(SEARCH(Recherche!$C$7,H3173))),OR(Recherche!$C$8="",J3173=Recherche!$C$8),OR(Recherche!$C$9="",I3173=Recherche!$C$9),OR(Recherche!$C$10="",G3173&amp;""=Recherche!$C$10&amp;""),OR(Recherche!$C$11="",E3173=Recherche!$C$11),OR(Recherche!$C$12="",ISNUMBER(SEARCH(Recherche!$C$12,M3173&amp;" "&amp;F3173)))),1,0)</f>
        <v>8</v>
      </c>
    </row>
    <row r="3174" customFormat="false" ht="15" hidden="false" customHeight="false" outlineLevel="0" collapsed="false">
      <c r="A3174" s="19"/>
      <c r="B3174" s="19"/>
      <c r="C3174" s="19"/>
      <c r="D3174" s="19"/>
      <c r="E3174" s="22"/>
      <c r="F3174" s="19"/>
      <c r="G3174" s="26" t="str">
        <f aca="false">IF(D3174="","",IFERROR(VALUE(LEFT(D3174,FIND(" |",D3174&amp;" |")-1)),"?"))</f>
        <v/>
      </c>
      <c r="H3174" s="27" t="str">
        <f aca="false">IF(G3174="","",IF(G3174="?","⚠ pub inconnue",IFERROR(INDEX(Pubs!$B$2:$B$3001,MATCH(G3174,Pubs!$A$2:$A$3001,0))&amp;"","⚠ pub inconnue")))</f>
        <v/>
      </c>
      <c r="I3174" s="27" t="str">
        <f aca="false">IF(OR(G3174="",G3174="?"),"",IFERROR(INDEX(Pubs!$C$2:$C$3001,MATCH(G3174,Pubs!$A$2:$A$3001,0))&amp;"",""))</f>
        <v/>
      </c>
      <c r="J3174" s="27" t="str">
        <f aca="false">IF(OR(G3174="",G3174="?"),"",IFERROR(INDEX(Pubs!$G$2:$G$3001,MATCH(G3174,Pubs!$A$2:$A$3001,0))&amp;"",""))</f>
        <v/>
      </c>
      <c r="K3174" s="28" t="str">
        <f aca="false">IF(OR(G3174="",G3174="?"),"",IFERROR(INDEX(Pubs!$E$2:$E$3001,MATCH(G3174,Pubs!$A$2:$A$3001,0)),""))</f>
        <v/>
      </c>
      <c r="L3174" s="29" t="str">
        <f aca="false">IF(A3174="","",IFERROR(1/(1/INDEX(Numéros!$C$2:$C$3001,MATCH(A3174&amp;"|"&amp;B3174,Numéros!$F$2:$F$3001,0))),""))</f>
        <v/>
      </c>
      <c r="M3174" s="27" t="str">
        <f aca="false">IF(OR(G3174="",G3174="?"),"",IFERROR(INDEX(Pubs!$D$2:$D$3001,MATCH(G3174,Pubs!$A$2:$A$3001,0))&amp;"",""))</f>
        <v/>
      </c>
      <c r="N3174" s="27" t="n">
        <f aca="false">N(N3173)+IF(AND(A3174&lt;&gt;"",OR(Recherche!$C$4="",A3174=Recherche!$C$4),OR(Recherche!$C$5="",B3174&amp;""=Recherche!$C$5&amp;""),OR(Recherche!$C$6="",IFERROR(YEAR(L3174),0)=Recherche!$C$6),OR(Recherche!$C$7="",ISNUMBER(SEARCH(Recherche!$C$7,H3174))),OR(Recherche!$C$8="",J3174=Recherche!$C$8),OR(Recherche!$C$9="",I3174=Recherche!$C$9),OR(Recherche!$C$10="",G3174&amp;""=Recherche!$C$10&amp;""),OR(Recherche!$C$11="",E3174=Recherche!$C$11),OR(Recherche!$C$12="",ISNUMBER(SEARCH(Recherche!$C$12,M3174&amp;" "&amp;F3174)))),1,0)</f>
        <v>8</v>
      </c>
    </row>
    <row r="3175" customFormat="false" ht="15" hidden="false" customHeight="false" outlineLevel="0" collapsed="false">
      <c r="A3175" s="19"/>
      <c r="B3175" s="19"/>
      <c r="C3175" s="19"/>
      <c r="D3175" s="19"/>
      <c r="E3175" s="22"/>
      <c r="F3175" s="19"/>
      <c r="G3175" s="26" t="str">
        <f aca="false">IF(D3175="","",IFERROR(VALUE(LEFT(D3175,FIND(" |",D3175&amp;" |")-1)),"?"))</f>
        <v/>
      </c>
      <c r="H3175" s="27" t="str">
        <f aca="false">IF(G3175="","",IF(G3175="?","⚠ pub inconnue",IFERROR(INDEX(Pubs!$B$2:$B$3001,MATCH(G3175,Pubs!$A$2:$A$3001,0))&amp;"","⚠ pub inconnue")))</f>
        <v/>
      </c>
      <c r="I3175" s="27" t="str">
        <f aca="false">IF(OR(G3175="",G3175="?"),"",IFERROR(INDEX(Pubs!$C$2:$C$3001,MATCH(G3175,Pubs!$A$2:$A$3001,0))&amp;"",""))</f>
        <v/>
      </c>
      <c r="J3175" s="27" t="str">
        <f aca="false">IF(OR(G3175="",G3175="?"),"",IFERROR(INDEX(Pubs!$G$2:$G$3001,MATCH(G3175,Pubs!$A$2:$A$3001,0))&amp;"",""))</f>
        <v/>
      </c>
      <c r="K3175" s="28" t="str">
        <f aca="false">IF(OR(G3175="",G3175="?"),"",IFERROR(INDEX(Pubs!$E$2:$E$3001,MATCH(G3175,Pubs!$A$2:$A$3001,0)),""))</f>
        <v/>
      </c>
      <c r="L3175" s="29" t="str">
        <f aca="false">IF(A3175="","",IFERROR(1/(1/INDEX(Numéros!$C$2:$C$3001,MATCH(A3175&amp;"|"&amp;B3175,Numéros!$F$2:$F$3001,0))),""))</f>
        <v/>
      </c>
      <c r="M3175" s="27" t="str">
        <f aca="false">IF(OR(G3175="",G3175="?"),"",IFERROR(INDEX(Pubs!$D$2:$D$3001,MATCH(G3175,Pubs!$A$2:$A$3001,0))&amp;"",""))</f>
        <v/>
      </c>
      <c r="N3175" s="27" t="n">
        <f aca="false">N(N3174)+IF(AND(A3175&lt;&gt;"",OR(Recherche!$C$4="",A3175=Recherche!$C$4),OR(Recherche!$C$5="",B3175&amp;""=Recherche!$C$5&amp;""),OR(Recherche!$C$6="",IFERROR(YEAR(L3175),0)=Recherche!$C$6),OR(Recherche!$C$7="",ISNUMBER(SEARCH(Recherche!$C$7,H3175))),OR(Recherche!$C$8="",J3175=Recherche!$C$8),OR(Recherche!$C$9="",I3175=Recherche!$C$9),OR(Recherche!$C$10="",G3175&amp;""=Recherche!$C$10&amp;""),OR(Recherche!$C$11="",E3175=Recherche!$C$11),OR(Recherche!$C$12="",ISNUMBER(SEARCH(Recherche!$C$12,M3175&amp;" "&amp;F3175)))),1,0)</f>
        <v>8</v>
      </c>
    </row>
    <row r="3176" customFormat="false" ht="15" hidden="false" customHeight="false" outlineLevel="0" collapsed="false">
      <c r="A3176" s="19"/>
      <c r="B3176" s="19"/>
      <c r="C3176" s="19"/>
      <c r="D3176" s="19"/>
      <c r="E3176" s="22"/>
      <c r="F3176" s="19"/>
      <c r="G3176" s="26" t="str">
        <f aca="false">IF(D3176="","",IFERROR(VALUE(LEFT(D3176,FIND(" |",D3176&amp;" |")-1)),"?"))</f>
        <v/>
      </c>
      <c r="H3176" s="27" t="str">
        <f aca="false">IF(G3176="","",IF(G3176="?","⚠ pub inconnue",IFERROR(INDEX(Pubs!$B$2:$B$3001,MATCH(G3176,Pubs!$A$2:$A$3001,0))&amp;"","⚠ pub inconnue")))</f>
        <v/>
      </c>
      <c r="I3176" s="27" t="str">
        <f aca="false">IF(OR(G3176="",G3176="?"),"",IFERROR(INDEX(Pubs!$C$2:$C$3001,MATCH(G3176,Pubs!$A$2:$A$3001,0))&amp;"",""))</f>
        <v/>
      </c>
      <c r="J3176" s="27" t="str">
        <f aca="false">IF(OR(G3176="",G3176="?"),"",IFERROR(INDEX(Pubs!$G$2:$G$3001,MATCH(G3176,Pubs!$A$2:$A$3001,0))&amp;"",""))</f>
        <v/>
      </c>
      <c r="K3176" s="28" t="str">
        <f aca="false">IF(OR(G3176="",G3176="?"),"",IFERROR(INDEX(Pubs!$E$2:$E$3001,MATCH(G3176,Pubs!$A$2:$A$3001,0)),""))</f>
        <v/>
      </c>
      <c r="L3176" s="29" t="str">
        <f aca="false">IF(A3176="","",IFERROR(1/(1/INDEX(Numéros!$C$2:$C$3001,MATCH(A3176&amp;"|"&amp;B3176,Numéros!$F$2:$F$3001,0))),""))</f>
        <v/>
      </c>
      <c r="M3176" s="27" t="str">
        <f aca="false">IF(OR(G3176="",G3176="?"),"",IFERROR(INDEX(Pubs!$D$2:$D$3001,MATCH(G3176,Pubs!$A$2:$A$3001,0))&amp;"",""))</f>
        <v/>
      </c>
      <c r="N3176" s="27" t="n">
        <f aca="false">N(N3175)+IF(AND(A3176&lt;&gt;"",OR(Recherche!$C$4="",A3176=Recherche!$C$4),OR(Recherche!$C$5="",B3176&amp;""=Recherche!$C$5&amp;""),OR(Recherche!$C$6="",IFERROR(YEAR(L3176),0)=Recherche!$C$6),OR(Recherche!$C$7="",ISNUMBER(SEARCH(Recherche!$C$7,H3176))),OR(Recherche!$C$8="",J3176=Recherche!$C$8),OR(Recherche!$C$9="",I3176=Recherche!$C$9),OR(Recherche!$C$10="",G3176&amp;""=Recherche!$C$10&amp;""),OR(Recherche!$C$11="",E3176=Recherche!$C$11),OR(Recherche!$C$12="",ISNUMBER(SEARCH(Recherche!$C$12,M3176&amp;" "&amp;F3176)))),1,0)</f>
        <v>8</v>
      </c>
    </row>
    <row r="3177" customFormat="false" ht="15" hidden="false" customHeight="false" outlineLevel="0" collapsed="false">
      <c r="A3177" s="19"/>
      <c r="B3177" s="19"/>
      <c r="C3177" s="19"/>
      <c r="D3177" s="19"/>
      <c r="E3177" s="22"/>
      <c r="F3177" s="19"/>
      <c r="G3177" s="26" t="str">
        <f aca="false">IF(D3177="","",IFERROR(VALUE(LEFT(D3177,FIND(" |",D3177&amp;" |")-1)),"?"))</f>
        <v/>
      </c>
      <c r="H3177" s="27" t="str">
        <f aca="false">IF(G3177="","",IF(G3177="?","⚠ pub inconnue",IFERROR(INDEX(Pubs!$B$2:$B$3001,MATCH(G3177,Pubs!$A$2:$A$3001,0))&amp;"","⚠ pub inconnue")))</f>
        <v/>
      </c>
      <c r="I3177" s="27" t="str">
        <f aca="false">IF(OR(G3177="",G3177="?"),"",IFERROR(INDEX(Pubs!$C$2:$C$3001,MATCH(G3177,Pubs!$A$2:$A$3001,0))&amp;"",""))</f>
        <v/>
      </c>
      <c r="J3177" s="27" t="str">
        <f aca="false">IF(OR(G3177="",G3177="?"),"",IFERROR(INDEX(Pubs!$G$2:$G$3001,MATCH(G3177,Pubs!$A$2:$A$3001,0))&amp;"",""))</f>
        <v/>
      </c>
      <c r="K3177" s="28" t="str">
        <f aca="false">IF(OR(G3177="",G3177="?"),"",IFERROR(INDEX(Pubs!$E$2:$E$3001,MATCH(G3177,Pubs!$A$2:$A$3001,0)),""))</f>
        <v/>
      </c>
      <c r="L3177" s="29" t="str">
        <f aca="false">IF(A3177="","",IFERROR(1/(1/INDEX(Numéros!$C$2:$C$3001,MATCH(A3177&amp;"|"&amp;B3177,Numéros!$F$2:$F$3001,0))),""))</f>
        <v/>
      </c>
      <c r="M3177" s="27" t="str">
        <f aca="false">IF(OR(G3177="",G3177="?"),"",IFERROR(INDEX(Pubs!$D$2:$D$3001,MATCH(G3177,Pubs!$A$2:$A$3001,0))&amp;"",""))</f>
        <v/>
      </c>
      <c r="N3177" s="27" t="n">
        <f aca="false">N(N3176)+IF(AND(A3177&lt;&gt;"",OR(Recherche!$C$4="",A3177=Recherche!$C$4),OR(Recherche!$C$5="",B3177&amp;""=Recherche!$C$5&amp;""),OR(Recherche!$C$6="",IFERROR(YEAR(L3177),0)=Recherche!$C$6),OR(Recherche!$C$7="",ISNUMBER(SEARCH(Recherche!$C$7,H3177))),OR(Recherche!$C$8="",J3177=Recherche!$C$8),OR(Recherche!$C$9="",I3177=Recherche!$C$9),OR(Recherche!$C$10="",G3177&amp;""=Recherche!$C$10&amp;""),OR(Recherche!$C$11="",E3177=Recherche!$C$11),OR(Recherche!$C$12="",ISNUMBER(SEARCH(Recherche!$C$12,M3177&amp;" "&amp;F3177)))),1,0)</f>
        <v>8</v>
      </c>
    </row>
    <row r="3178" customFormat="false" ht="15" hidden="false" customHeight="false" outlineLevel="0" collapsed="false">
      <c r="A3178" s="19"/>
      <c r="B3178" s="19"/>
      <c r="C3178" s="19"/>
      <c r="D3178" s="19"/>
      <c r="E3178" s="22"/>
      <c r="F3178" s="19"/>
      <c r="G3178" s="26" t="str">
        <f aca="false">IF(D3178="","",IFERROR(VALUE(LEFT(D3178,FIND(" |",D3178&amp;" |")-1)),"?"))</f>
        <v/>
      </c>
      <c r="H3178" s="27" t="str">
        <f aca="false">IF(G3178="","",IF(G3178="?","⚠ pub inconnue",IFERROR(INDEX(Pubs!$B$2:$B$3001,MATCH(G3178,Pubs!$A$2:$A$3001,0))&amp;"","⚠ pub inconnue")))</f>
        <v/>
      </c>
      <c r="I3178" s="27" t="str">
        <f aca="false">IF(OR(G3178="",G3178="?"),"",IFERROR(INDEX(Pubs!$C$2:$C$3001,MATCH(G3178,Pubs!$A$2:$A$3001,0))&amp;"",""))</f>
        <v/>
      </c>
      <c r="J3178" s="27" t="str">
        <f aca="false">IF(OR(G3178="",G3178="?"),"",IFERROR(INDEX(Pubs!$G$2:$G$3001,MATCH(G3178,Pubs!$A$2:$A$3001,0))&amp;"",""))</f>
        <v/>
      </c>
      <c r="K3178" s="28" t="str">
        <f aca="false">IF(OR(G3178="",G3178="?"),"",IFERROR(INDEX(Pubs!$E$2:$E$3001,MATCH(G3178,Pubs!$A$2:$A$3001,0)),""))</f>
        <v/>
      </c>
      <c r="L3178" s="29" t="str">
        <f aca="false">IF(A3178="","",IFERROR(1/(1/INDEX(Numéros!$C$2:$C$3001,MATCH(A3178&amp;"|"&amp;B3178,Numéros!$F$2:$F$3001,0))),""))</f>
        <v/>
      </c>
      <c r="M3178" s="27" t="str">
        <f aca="false">IF(OR(G3178="",G3178="?"),"",IFERROR(INDEX(Pubs!$D$2:$D$3001,MATCH(G3178,Pubs!$A$2:$A$3001,0))&amp;"",""))</f>
        <v/>
      </c>
      <c r="N3178" s="27" t="n">
        <f aca="false">N(N3177)+IF(AND(A3178&lt;&gt;"",OR(Recherche!$C$4="",A3178=Recherche!$C$4),OR(Recherche!$C$5="",B3178&amp;""=Recherche!$C$5&amp;""),OR(Recherche!$C$6="",IFERROR(YEAR(L3178),0)=Recherche!$C$6),OR(Recherche!$C$7="",ISNUMBER(SEARCH(Recherche!$C$7,H3178))),OR(Recherche!$C$8="",J3178=Recherche!$C$8),OR(Recherche!$C$9="",I3178=Recherche!$C$9),OR(Recherche!$C$10="",G3178&amp;""=Recherche!$C$10&amp;""),OR(Recherche!$C$11="",E3178=Recherche!$C$11),OR(Recherche!$C$12="",ISNUMBER(SEARCH(Recherche!$C$12,M3178&amp;" "&amp;F3178)))),1,0)</f>
        <v>8</v>
      </c>
    </row>
    <row r="3179" customFormat="false" ht="15" hidden="false" customHeight="false" outlineLevel="0" collapsed="false">
      <c r="A3179" s="19"/>
      <c r="B3179" s="19"/>
      <c r="C3179" s="19"/>
      <c r="D3179" s="19"/>
      <c r="E3179" s="22"/>
      <c r="F3179" s="19"/>
      <c r="G3179" s="26" t="str">
        <f aca="false">IF(D3179="","",IFERROR(VALUE(LEFT(D3179,FIND(" |",D3179&amp;" |")-1)),"?"))</f>
        <v/>
      </c>
      <c r="H3179" s="27" t="str">
        <f aca="false">IF(G3179="","",IF(G3179="?","⚠ pub inconnue",IFERROR(INDEX(Pubs!$B$2:$B$3001,MATCH(G3179,Pubs!$A$2:$A$3001,0))&amp;"","⚠ pub inconnue")))</f>
        <v/>
      </c>
      <c r="I3179" s="27" t="str">
        <f aca="false">IF(OR(G3179="",G3179="?"),"",IFERROR(INDEX(Pubs!$C$2:$C$3001,MATCH(G3179,Pubs!$A$2:$A$3001,0))&amp;"",""))</f>
        <v/>
      </c>
      <c r="J3179" s="27" t="str">
        <f aca="false">IF(OR(G3179="",G3179="?"),"",IFERROR(INDEX(Pubs!$G$2:$G$3001,MATCH(G3179,Pubs!$A$2:$A$3001,0))&amp;"",""))</f>
        <v/>
      </c>
      <c r="K3179" s="28" t="str">
        <f aca="false">IF(OR(G3179="",G3179="?"),"",IFERROR(INDEX(Pubs!$E$2:$E$3001,MATCH(G3179,Pubs!$A$2:$A$3001,0)),""))</f>
        <v/>
      </c>
      <c r="L3179" s="29" t="str">
        <f aca="false">IF(A3179="","",IFERROR(1/(1/INDEX(Numéros!$C$2:$C$3001,MATCH(A3179&amp;"|"&amp;B3179,Numéros!$F$2:$F$3001,0))),""))</f>
        <v/>
      </c>
      <c r="M3179" s="27" t="str">
        <f aca="false">IF(OR(G3179="",G3179="?"),"",IFERROR(INDEX(Pubs!$D$2:$D$3001,MATCH(G3179,Pubs!$A$2:$A$3001,0))&amp;"",""))</f>
        <v/>
      </c>
      <c r="N3179" s="27" t="n">
        <f aca="false">N(N3178)+IF(AND(A3179&lt;&gt;"",OR(Recherche!$C$4="",A3179=Recherche!$C$4),OR(Recherche!$C$5="",B3179&amp;""=Recherche!$C$5&amp;""),OR(Recherche!$C$6="",IFERROR(YEAR(L3179),0)=Recherche!$C$6),OR(Recherche!$C$7="",ISNUMBER(SEARCH(Recherche!$C$7,H3179))),OR(Recherche!$C$8="",J3179=Recherche!$C$8),OR(Recherche!$C$9="",I3179=Recherche!$C$9),OR(Recherche!$C$10="",G3179&amp;""=Recherche!$C$10&amp;""),OR(Recherche!$C$11="",E3179=Recherche!$C$11),OR(Recherche!$C$12="",ISNUMBER(SEARCH(Recherche!$C$12,M3179&amp;" "&amp;F3179)))),1,0)</f>
        <v>8</v>
      </c>
    </row>
    <row r="3180" customFormat="false" ht="15" hidden="false" customHeight="false" outlineLevel="0" collapsed="false">
      <c r="A3180" s="19"/>
      <c r="B3180" s="19"/>
      <c r="C3180" s="19"/>
      <c r="D3180" s="19"/>
      <c r="E3180" s="22"/>
      <c r="F3180" s="19"/>
      <c r="G3180" s="26" t="str">
        <f aca="false">IF(D3180="","",IFERROR(VALUE(LEFT(D3180,FIND(" |",D3180&amp;" |")-1)),"?"))</f>
        <v/>
      </c>
      <c r="H3180" s="27" t="str">
        <f aca="false">IF(G3180="","",IF(G3180="?","⚠ pub inconnue",IFERROR(INDEX(Pubs!$B$2:$B$3001,MATCH(G3180,Pubs!$A$2:$A$3001,0))&amp;"","⚠ pub inconnue")))</f>
        <v/>
      </c>
      <c r="I3180" s="27" t="str">
        <f aca="false">IF(OR(G3180="",G3180="?"),"",IFERROR(INDEX(Pubs!$C$2:$C$3001,MATCH(G3180,Pubs!$A$2:$A$3001,0))&amp;"",""))</f>
        <v/>
      </c>
      <c r="J3180" s="27" t="str">
        <f aca="false">IF(OR(G3180="",G3180="?"),"",IFERROR(INDEX(Pubs!$G$2:$G$3001,MATCH(G3180,Pubs!$A$2:$A$3001,0))&amp;"",""))</f>
        <v/>
      </c>
      <c r="K3180" s="28" t="str">
        <f aca="false">IF(OR(G3180="",G3180="?"),"",IFERROR(INDEX(Pubs!$E$2:$E$3001,MATCH(G3180,Pubs!$A$2:$A$3001,0)),""))</f>
        <v/>
      </c>
      <c r="L3180" s="29" t="str">
        <f aca="false">IF(A3180="","",IFERROR(1/(1/INDEX(Numéros!$C$2:$C$3001,MATCH(A3180&amp;"|"&amp;B3180,Numéros!$F$2:$F$3001,0))),""))</f>
        <v/>
      </c>
      <c r="M3180" s="27" t="str">
        <f aca="false">IF(OR(G3180="",G3180="?"),"",IFERROR(INDEX(Pubs!$D$2:$D$3001,MATCH(G3180,Pubs!$A$2:$A$3001,0))&amp;"",""))</f>
        <v/>
      </c>
      <c r="N3180" s="27" t="n">
        <f aca="false">N(N3179)+IF(AND(A3180&lt;&gt;"",OR(Recherche!$C$4="",A3180=Recherche!$C$4),OR(Recherche!$C$5="",B3180&amp;""=Recherche!$C$5&amp;""),OR(Recherche!$C$6="",IFERROR(YEAR(L3180),0)=Recherche!$C$6),OR(Recherche!$C$7="",ISNUMBER(SEARCH(Recherche!$C$7,H3180))),OR(Recherche!$C$8="",J3180=Recherche!$C$8),OR(Recherche!$C$9="",I3180=Recherche!$C$9),OR(Recherche!$C$10="",G3180&amp;""=Recherche!$C$10&amp;""),OR(Recherche!$C$11="",E3180=Recherche!$C$11),OR(Recherche!$C$12="",ISNUMBER(SEARCH(Recherche!$C$12,M3180&amp;" "&amp;F3180)))),1,0)</f>
        <v>8</v>
      </c>
    </row>
    <row r="3181" customFormat="false" ht="15" hidden="false" customHeight="false" outlineLevel="0" collapsed="false">
      <c r="A3181" s="19"/>
      <c r="B3181" s="19"/>
      <c r="C3181" s="19"/>
      <c r="D3181" s="19"/>
      <c r="E3181" s="22"/>
      <c r="F3181" s="19"/>
      <c r="G3181" s="26" t="str">
        <f aca="false">IF(D3181="","",IFERROR(VALUE(LEFT(D3181,FIND(" |",D3181&amp;" |")-1)),"?"))</f>
        <v/>
      </c>
      <c r="H3181" s="27" t="str">
        <f aca="false">IF(G3181="","",IF(G3181="?","⚠ pub inconnue",IFERROR(INDEX(Pubs!$B$2:$B$3001,MATCH(G3181,Pubs!$A$2:$A$3001,0))&amp;"","⚠ pub inconnue")))</f>
        <v/>
      </c>
      <c r="I3181" s="27" t="str">
        <f aca="false">IF(OR(G3181="",G3181="?"),"",IFERROR(INDEX(Pubs!$C$2:$C$3001,MATCH(G3181,Pubs!$A$2:$A$3001,0))&amp;"",""))</f>
        <v/>
      </c>
      <c r="J3181" s="27" t="str">
        <f aca="false">IF(OR(G3181="",G3181="?"),"",IFERROR(INDEX(Pubs!$G$2:$G$3001,MATCH(G3181,Pubs!$A$2:$A$3001,0))&amp;"",""))</f>
        <v/>
      </c>
      <c r="K3181" s="28" t="str">
        <f aca="false">IF(OR(G3181="",G3181="?"),"",IFERROR(INDEX(Pubs!$E$2:$E$3001,MATCH(G3181,Pubs!$A$2:$A$3001,0)),""))</f>
        <v/>
      </c>
      <c r="L3181" s="29" t="str">
        <f aca="false">IF(A3181="","",IFERROR(1/(1/INDEX(Numéros!$C$2:$C$3001,MATCH(A3181&amp;"|"&amp;B3181,Numéros!$F$2:$F$3001,0))),""))</f>
        <v/>
      </c>
      <c r="M3181" s="27" t="str">
        <f aca="false">IF(OR(G3181="",G3181="?"),"",IFERROR(INDEX(Pubs!$D$2:$D$3001,MATCH(G3181,Pubs!$A$2:$A$3001,0))&amp;"",""))</f>
        <v/>
      </c>
      <c r="N3181" s="27" t="n">
        <f aca="false">N(N3180)+IF(AND(A3181&lt;&gt;"",OR(Recherche!$C$4="",A3181=Recherche!$C$4),OR(Recherche!$C$5="",B3181&amp;""=Recherche!$C$5&amp;""),OR(Recherche!$C$6="",IFERROR(YEAR(L3181),0)=Recherche!$C$6),OR(Recherche!$C$7="",ISNUMBER(SEARCH(Recherche!$C$7,H3181))),OR(Recherche!$C$8="",J3181=Recherche!$C$8),OR(Recherche!$C$9="",I3181=Recherche!$C$9),OR(Recherche!$C$10="",G3181&amp;""=Recherche!$C$10&amp;""),OR(Recherche!$C$11="",E3181=Recherche!$C$11),OR(Recherche!$C$12="",ISNUMBER(SEARCH(Recherche!$C$12,M3181&amp;" "&amp;F3181)))),1,0)</f>
        <v>8</v>
      </c>
    </row>
    <row r="3182" customFormat="false" ht="15" hidden="false" customHeight="false" outlineLevel="0" collapsed="false">
      <c r="A3182" s="19"/>
      <c r="B3182" s="19"/>
      <c r="C3182" s="19"/>
      <c r="D3182" s="19"/>
      <c r="E3182" s="22"/>
      <c r="F3182" s="19"/>
      <c r="G3182" s="26" t="str">
        <f aca="false">IF(D3182="","",IFERROR(VALUE(LEFT(D3182,FIND(" |",D3182&amp;" |")-1)),"?"))</f>
        <v/>
      </c>
      <c r="H3182" s="27" t="str">
        <f aca="false">IF(G3182="","",IF(G3182="?","⚠ pub inconnue",IFERROR(INDEX(Pubs!$B$2:$B$3001,MATCH(G3182,Pubs!$A$2:$A$3001,0))&amp;"","⚠ pub inconnue")))</f>
        <v/>
      </c>
      <c r="I3182" s="27" t="str">
        <f aca="false">IF(OR(G3182="",G3182="?"),"",IFERROR(INDEX(Pubs!$C$2:$C$3001,MATCH(G3182,Pubs!$A$2:$A$3001,0))&amp;"",""))</f>
        <v/>
      </c>
      <c r="J3182" s="27" t="str">
        <f aca="false">IF(OR(G3182="",G3182="?"),"",IFERROR(INDEX(Pubs!$G$2:$G$3001,MATCH(G3182,Pubs!$A$2:$A$3001,0))&amp;"",""))</f>
        <v/>
      </c>
      <c r="K3182" s="28" t="str">
        <f aca="false">IF(OR(G3182="",G3182="?"),"",IFERROR(INDEX(Pubs!$E$2:$E$3001,MATCH(G3182,Pubs!$A$2:$A$3001,0)),""))</f>
        <v/>
      </c>
      <c r="L3182" s="29" t="str">
        <f aca="false">IF(A3182="","",IFERROR(1/(1/INDEX(Numéros!$C$2:$C$3001,MATCH(A3182&amp;"|"&amp;B3182,Numéros!$F$2:$F$3001,0))),""))</f>
        <v/>
      </c>
      <c r="M3182" s="27" t="str">
        <f aca="false">IF(OR(G3182="",G3182="?"),"",IFERROR(INDEX(Pubs!$D$2:$D$3001,MATCH(G3182,Pubs!$A$2:$A$3001,0))&amp;"",""))</f>
        <v/>
      </c>
      <c r="N3182" s="27" t="n">
        <f aca="false">N(N3181)+IF(AND(A3182&lt;&gt;"",OR(Recherche!$C$4="",A3182=Recherche!$C$4),OR(Recherche!$C$5="",B3182&amp;""=Recherche!$C$5&amp;""),OR(Recherche!$C$6="",IFERROR(YEAR(L3182),0)=Recherche!$C$6),OR(Recherche!$C$7="",ISNUMBER(SEARCH(Recherche!$C$7,H3182))),OR(Recherche!$C$8="",J3182=Recherche!$C$8),OR(Recherche!$C$9="",I3182=Recherche!$C$9),OR(Recherche!$C$10="",G3182&amp;""=Recherche!$C$10&amp;""),OR(Recherche!$C$11="",E3182=Recherche!$C$11),OR(Recherche!$C$12="",ISNUMBER(SEARCH(Recherche!$C$12,M3182&amp;" "&amp;F3182)))),1,0)</f>
        <v>8</v>
      </c>
    </row>
    <row r="3183" customFormat="false" ht="15" hidden="false" customHeight="false" outlineLevel="0" collapsed="false">
      <c r="A3183" s="19"/>
      <c r="B3183" s="19"/>
      <c r="C3183" s="19"/>
      <c r="D3183" s="19"/>
      <c r="E3183" s="22"/>
      <c r="F3183" s="19"/>
      <c r="G3183" s="26" t="str">
        <f aca="false">IF(D3183="","",IFERROR(VALUE(LEFT(D3183,FIND(" |",D3183&amp;" |")-1)),"?"))</f>
        <v/>
      </c>
      <c r="H3183" s="27" t="str">
        <f aca="false">IF(G3183="","",IF(G3183="?","⚠ pub inconnue",IFERROR(INDEX(Pubs!$B$2:$B$3001,MATCH(G3183,Pubs!$A$2:$A$3001,0))&amp;"","⚠ pub inconnue")))</f>
        <v/>
      </c>
      <c r="I3183" s="27" t="str">
        <f aca="false">IF(OR(G3183="",G3183="?"),"",IFERROR(INDEX(Pubs!$C$2:$C$3001,MATCH(G3183,Pubs!$A$2:$A$3001,0))&amp;"",""))</f>
        <v/>
      </c>
      <c r="J3183" s="27" t="str">
        <f aca="false">IF(OR(G3183="",G3183="?"),"",IFERROR(INDEX(Pubs!$G$2:$G$3001,MATCH(G3183,Pubs!$A$2:$A$3001,0))&amp;"",""))</f>
        <v/>
      </c>
      <c r="K3183" s="28" t="str">
        <f aca="false">IF(OR(G3183="",G3183="?"),"",IFERROR(INDEX(Pubs!$E$2:$E$3001,MATCH(G3183,Pubs!$A$2:$A$3001,0)),""))</f>
        <v/>
      </c>
      <c r="L3183" s="29" t="str">
        <f aca="false">IF(A3183="","",IFERROR(1/(1/INDEX(Numéros!$C$2:$C$3001,MATCH(A3183&amp;"|"&amp;B3183,Numéros!$F$2:$F$3001,0))),""))</f>
        <v/>
      </c>
      <c r="M3183" s="27" t="str">
        <f aca="false">IF(OR(G3183="",G3183="?"),"",IFERROR(INDEX(Pubs!$D$2:$D$3001,MATCH(G3183,Pubs!$A$2:$A$3001,0))&amp;"",""))</f>
        <v/>
      </c>
      <c r="N3183" s="27" t="n">
        <f aca="false">N(N3182)+IF(AND(A3183&lt;&gt;"",OR(Recherche!$C$4="",A3183=Recherche!$C$4),OR(Recherche!$C$5="",B3183&amp;""=Recherche!$C$5&amp;""),OR(Recherche!$C$6="",IFERROR(YEAR(L3183),0)=Recherche!$C$6),OR(Recherche!$C$7="",ISNUMBER(SEARCH(Recherche!$C$7,H3183))),OR(Recherche!$C$8="",J3183=Recherche!$C$8),OR(Recherche!$C$9="",I3183=Recherche!$C$9),OR(Recherche!$C$10="",G3183&amp;""=Recherche!$C$10&amp;""),OR(Recherche!$C$11="",E3183=Recherche!$C$11),OR(Recherche!$C$12="",ISNUMBER(SEARCH(Recherche!$C$12,M3183&amp;" "&amp;F3183)))),1,0)</f>
        <v>8</v>
      </c>
    </row>
    <row r="3184" customFormat="false" ht="15" hidden="false" customHeight="false" outlineLevel="0" collapsed="false">
      <c r="A3184" s="19"/>
      <c r="B3184" s="19"/>
      <c r="C3184" s="19"/>
      <c r="D3184" s="19"/>
      <c r="E3184" s="22"/>
      <c r="F3184" s="19"/>
      <c r="G3184" s="26" t="str">
        <f aca="false">IF(D3184="","",IFERROR(VALUE(LEFT(D3184,FIND(" |",D3184&amp;" |")-1)),"?"))</f>
        <v/>
      </c>
      <c r="H3184" s="27" t="str">
        <f aca="false">IF(G3184="","",IF(G3184="?","⚠ pub inconnue",IFERROR(INDEX(Pubs!$B$2:$B$3001,MATCH(G3184,Pubs!$A$2:$A$3001,0))&amp;"","⚠ pub inconnue")))</f>
        <v/>
      </c>
      <c r="I3184" s="27" t="str">
        <f aca="false">IF(OR(G3184="",G3184="?"),"",IFERROR(INDEX(Pubs!$C$2:$C$3001,MATCH(G3184,Pubs!$A$2:$A$3001,0))&amp;"",""))</f>
        <v/>
      </c>
      <c r="J3184" s="27" t="str">
        <f aca="false">IF(OR(G3184="",G3184="?"),"",IFERROR(INDEX(Pubs!$G$2:$G$3001,MATCH(G3184,Pubs!$A$2:$A$3001,0))&amp;"",""))</f>
        <v/>
      </c>
      <c r="K3184" s="28" t="str">
        <f aca="false">IF(OR(G3184="",G3184="?"),"",IFERROR(INDEX(Pubs!$E$2:$E$3001,MATCH(G3184,Pubs!$A$2:$A$3001,0)),""))</f>
        <v/>
      </c>
      <c r="L3184" s="29" t="str">
        <f aca="false">IF(A3184="","",IFERROR(1/(1/INDEX(Numéros!$C$2:$C$3001,MATCH(A3184&amp;"|"&amp;B3184,Numéros!$F$2:$F$3001,0))),""))</f>
        <v/>
      </c>
      <c r="M3184" s="27" t="str">
        <f aca="false">IF(OR(G3184="",G3184="?"),"",IFERROR(INDEX(Pubs!$D$2:$D$3001,MATCH(G3184,Pubs!$A$2:$A$3001,0))&amp;"",""))</f>
        <v/>
      </c>
      <c r="N3184" s="27" t="n">
        <f aca="false">N(N3183)+IF(AND(A3184&lt;&gt;"",OR(Recherche!$C$4="",A3184=Recherche!$C$4),OR(Recherche!$C$5="",B3184&amp;""=Recherche!$C$5&amp;""),OR(Recherche!$C$6="",IFERROR(YEAR(L3184),0)=Recherche!$C$6),OR(Recherche!$C$7="",ISNUMBER(SEARCH(Recherche!$C$7,H3184))),OR(Recherche!$C$8="",J3184=Recherche!$C$8),OR(Recherche!$C$9="",I3184=Recherche!$C$9),OR(Recherche!$C$10="",G3184&amp;""=Recherche!$C$10&amp;""),OR(Recherche!$C$11="",E3184=Recherche!$C$11),OR(Recherche!$C$12="",ISNUMBER(SEARCH(Recherche!$C$12,M3184&amp;" "&amp;F3184)))),1,0)</f>
        <v>8</v>
      </c>
    </row>
    <row r="3185" customFormat="false" ht="15" hidden="false" customHeight="false" outlineLevel="0" collapsed="false">
      <c r="A3185" s="19"/>
      <c r="B3185" s="19"/>
      <c r="C3185" s="19"/>
      <c r="D3185" s="19"/>
      <c r="E3185" s="22"/>
      <c r="F3185" s="19"/>
      <c r="G3185" s="26" t="str">
        <f aca="false">IF(D3185="","",IFERROR(VALUE(LEFT(D3185,FIND(" |",D3185&amp;" |")-1)),"?"))</f>
        <v/>
      </c>
      <c r="H3185" s="27" t="str">
        <f aca="false">IF(G3185="","",IF(G3185="?","⚠ pub inconnue",IFERROR(INDEX(Pubs!$B$2:$B$3001,MATCH(G3185,Pubs!$A$2:$A$3001,0))&amp;"","⚠ pub inconnue")))</f>
        <v/>
      </c>
      <c r="I3185" s="27" t="str">
        <f aca="false">IF(OR(G3185="",G3185="?"),"",IFERROR(INDEX(Pubs!$C$2:$C$3001,MATCH(G3185,Pubs!$A$2:$A$3001,0))&amp;"",""))</f>
        <v/>
      </c>
      <c r="J3185" s="27" t="str">
        <f aca="false">IF(OR(G3185="",G3185="?"),"",IFERROR(INDEX(Pubs!$G$2:$G$3001,MATCH(G3185,Pubs!$A$2:$A$3001,0))&amp;"",""))</f>
        <v/>
      </c>
      <c r="K3185" s="28" t="str">
        <f aca="false">IF(OR(G3185="",G3185="?"),"",IFERROR(INDEX(Pubs!$E$2:$E$3001,MATCH(G3185,Pubs!$A$2:$A$3001,0)),""))</f>
        <v/>
      </c>
      <c r="L3185" s="29" t="str">
        <f aca="false">IF(A3185="","",IFERROR(1/(1/INDEX(Numéros!$C$2:$C$3001,MATCH(A3185&amp;"|"&amp;B3185,Numéros!$F$2:$F$3001,0))),""))</f>
        <v/>
      </c>
      <c r="M3185" s="27" t="str">
        <f aca="false">IF(OR(G3185="",G3185="?"),"",IFERROR(INDEX(Pubs!$D$2:$D$3001,MATCH(G3185,Pubs!$A$2:$A$3001,0))&amp;"",""))</f>
        <v/>
      </c>
      <c r="N3185" s="27" t="n">
        <f aca="false">N(N3184)+IF(AND(A3185&lt;&gt;"",OR(Recherche!$C$4="",A3185=Recherche!$C$4),OR(Recherche!$C$5="",B3185&amp;""=Recherche!$C$5&amp;""),OR(Recherche!$C$6="",IFERROR(YEAR(L3185),0)=Recherche!$C$6),OR(Recherche!$C$7="",ISNUMBER(SEARCH(Recherche!$C$7,H3185))),OR(Recherche!$C$8="",J3185=Recherche!$C$8),OR(Recherche!$C$9="",I3185=Recherche!$C$9),OR(Recherche!$C$10="",G3185&amp;""=Recherche!$C$10&amp;""),OR(Recherche!$C$11="",E3185=Recherche!$C$11),OR(Recherche!$C$12="",ISNUMBER(SEARCH(Recherche!$C$12,M3185&amp;" "&amp;F3185)))),1,0)</f>
        <v>8</v>
      </c>
    </row>
    <row r="3186" customFormat="false" ht="15" hidden="false" customHeight="false" outlineLevel="0" collapsed="false">
      <c r="A3186" s="19"/>
      <c r="B3186" s="19"/>
      <c r="C3186" s="19"/>
      <c r="D3186" s="19"/>
      <c r="E3186" s="22"/>
      <c r="F3186" s="19"/>
      <c r="G3186" s="26" t="str">
        <f aca="false">IF(D3186="","",IFERROR(VALUE(LEFT(D3186,FIND(" |",D3186&amp;" |")-1)),"?"))</f>
        <v/>
      </c>
      <c r="H3186" s="27" t="str">
        <f aca="false">IF(G3186="","",IF(G3186="?","⚠ pub inconnue",IFERROR(INDEX(Pubs!$B$2:$B$3001,MATCH(G3186,Pubs!$A$2:$A$3001,0))&amp;"","⚠ pub inconnue")))</f>
        <v/>
      </c>
      <c r="I3186" s="27" t="str">
        <f aca="false">IF(OR(G3186="",G3186="?"),"",IFERROR(INDEX(Pubs!$C$2:$C$3001,MATCH(G3186,Pubs!$A$2:$A$3001,0))&amp;"",""))</f>
        <v/>
      </c>
      <c r="J3186" s="27" t="str">
        <f aca="false">IF(OR(G3186="",G3186="?"),"",IFERROR(INDEX(Pubs!$G$2:$G$3001,MATCH(G3186,Pubs!$A$2:$A$3001,0))&amp;"",""))</f>
        <v/>
      </c>
      <c r="K3186" s="28" t="str">
        <f aca="false">IF(OR(G3186="",G3186="?"),"",IFERROR(INDEX(Pubs!$E$2:$E$3001,MATCH(G3186,Pubs!$A$2:$A$3001,0)),""))</f>
        <v/>
      </c>
      <c r="L3186" s="29" t="str">
        <f aca="false">IF(A3186="","",IFERROR(1/(1/INDEX(Numéros!$C$2:$C$3001,MATCH(A3186&amp;"|"&amp;B3186,Numéros!$F$2:$F$3001,0))),""))</f>
        <v/>
      </c>
      <c r="M3186" s="27" t="str">
        <f aca="false">IF(OR(G3186="",G3186="?"),"",IFERROR(INDEX(Pubs!$D$2:$D$3001,MATCH(G3186,Pubs!$A$2:$A$3001,0))&amp;"",""))</f>
        <v/>
      </c>
      <c r="N3186" s="27" t="n">
        <f aca="false">N(N3185)+IF(AND(A3186&lt;&gt;"",OR(Recherche!$C$4="",A3186=Recherche!$C$4),OR(Recherche!$C$5="",B3186&amp;""=Recherche!$C$5&amp;""),OR(Recherche!$C$6="",IFERROR(YEAR(L3186),0)=Recherche!$C$6),OR(Recherche!$C$7="",ISNUMBER(SEARCH(Recherche!$C$7,H3186))),OR(Recherche!$C$8="",J3186=Recherche!$C$8),OR(Recherche!$C$9="",I3186=Recherche!$C$9),OR(Recherche!$C$10="",G3186&amp;""=Recherche!$C$10&amp;""),OR(Recherche!$C$11="",E3186=Recherche!$C$11),OR(Recherche!$C$12="",ISNUMBER(SEARCH(Recherche!$C$12,M3186&amp;" "&amp;F3186)))),1,0)</f>
        <v>8</v>
      </c>
    </row>
    <row r="3187" customFormat="false" ht="15" hidden="false" customHeight="false" outlineLevel="0" collapsed="false">
      <c r="A3187" s="19"/>
      <c r="B3187" s="19"/>
      <c r="C3187" s="19"/>
      <c r="D3187" s="19"/>
      <c r="E3187" s="22"/>
      <c r="F3187" s="19"/>
      <c r="G3187" s="26" t="str">
        <f aca="false">IF(D3187="","",IFERROR(VALUE(LEFT(D3187,FIND(" |",D3187&amp;" |")-1)),"?"))</f>
        <v/>
      </c>
      <c r="H3187" s="27" t="str">
        <f aca="false">IF(G3187="","",IF(G3187="?","⚠ pub inconnue",IFERROR(INDEX(Pubs!$B$2:$B$3001,MATCH(G3187,Pubs!$A$2:$A$3001,0))&amp;"","⚠ pub inconnue")))</f>
        <v/>
      </c>
      <c r="I3187" s="27" t="str">
        <f aca="false">IF(OR(G3187="",G3187="?"),"",IFERROR(INDEX(Pubs!$C$2:$C$3001,MATCH(G3187,Pubs!$A$2:$A$3001,0))&amp;"",""))</f>
        <v/>
      </c>
      <c r="J3187" s="27" t="str">
        <f aca="false">IF(OR(G3187="",G3187="?"),"",IFERROR(INDEX(Pubs!$G$2:$G$3001,MATCH(G3187,Pubs!$A$2:$A$3001,0))&amp;"",""))</f>
        <v/>
      </c>
      <c r="K3187" s="28" t="str">
        <f aca="false">IF(OR(G3187="",G3187="?"),"",IFERROR(INDEX(Pubs!$E$2:$E$3001,MATCH(G3187,Pubs!$A$2:$A$3001,0)),""))</f>
        <v/>
      </c>
      <c r="L3187" s="29" t="str">
        <f aca="false">IF(A3187="","",IFERROR(1/(1/INDEX(Numéros!$C$2:$C$3001,MATCH(A3187&amp;"|"&amp;B3187,Numéros!$F$2:$F$3001,0))),""))</f>
        <v/>
      </c>
      <c r="M3187" s="27" t="str">
        <f aca="false">IF(OR(G3187="",G3187="?"),"",IFERROR(INDEX(Pubs!$D$2:$D$3001,MATCH(G3187,Pubs!$A$2:$A$3001,0))&amp;"",""))</f>
        <v/>
      </c>
      <c r="N3187" s="27" t="n">
        <f aca="false">N(N3186)+IF(AND(A3187&lt;&gt;"",OR(Recherche!$C$4="",A3187=Recherche!$C$4),OR(Recherche!$C$5="",B3187&amp;""=Recherche!$C$5&amp;""),OR(Recherche!$C$6="",IFERROR(YEAR(L3187),0)=Recherche!$C$6),OR(Recherche!$C$7="",ISNUMBER(SEARCH(Recherche!$C$7,H3187))),OR(Recherche!$C$8="",J3187=Recherche!$C$8),OR(Recherche!$C$9="",I3187=Recherche!$C$9),OR(Recherche!$C$10="",G3187&amp;""=Recherche!$C$10&amp;""),OR(Recherche!$C$11="",E3187=Recherche!$C$11),OR(Recherche!$C$12="",ISNUMBER(SEARCH(Recherche!$C$12,M3187&amp;" "&amp;F3187)))),1,0)</f>
        <v>8</v>
      </c>
    </row>
    <row r="3188" customFormat="false" ht="15" hidden="false" customHeight="false" outlineLevel="0" collapsed="false">
      <c r="A3188" s="19"/>
      <c r="B3188" s="19"/>
      <c r="C3188" s="19"/>
      <c r="D3188" s="19"/>
      <c r="E3188" s="22"/>
      <c r="F3188" s="19"/>
      <c r="G3188" s="26" t="str">
        <f aca="false">IF(D3188="","",IFERROR(VALUE(LEFT(D3188,FIND(" |",D3188&amp;" |")-1)),"?"))</f>
        <v/>
      </c>
      <c r="H3188" s="27" t="str">
        <f aca="false">IF(G3188="","",IF(G3188="?","⚠ pub inconnue",IFERROR(INDEX(Pubs!$B$2:$B$3001,MATCH(G3188,Pubs!$A$2:$A$3001,0))&amp;"","⚠ pub inconnue")))</f>
        <v/>
      </c>
      <c r="I3188" s="27" t="str">
        <f aca="false">IF(OR(G3188="",G3188="?"),"",IFERROR(INDEX(Pubs!$C$2:$C$3001,MATCH(G3188,Pubs!$A$2:$A$3001,0))&amp;"",""))</f>
        <v/>
      </c>
      <c r="J3188" s="27" t="str">
        <f aca="false">IF(OR(G3188="",G3188="?"),"",IFERROR(INDEX(Pubs!$G$2:$G$3001,MATCH(G3188,Pubs!$A$2:$A$3001,0))&amp;"",""))</f>
        <v/>
      </c>
      <c r="K3188" s="28" t="str">
        <f aca="false">IF(OR(G3188="",G3188="?"),"",IFERROR(INDEX(Pubs!$E$2:$E$3001,MATCH(G3188,Pubs!$A$2:$A$3001,0)),""))</f>
        <v/>
      </c>
      <c r="L3188" s="29" t="str">
        <f aca="false">IF(A3188="","",IFERROR(1/(1/INDEX(Numéros!$C$2:$C$3001,MATCH(A3188&amp;"|"&amp;B3188,Numéros!$F$2:$F$3001,0))),""))</f>
        <v/>
      </c>
      <c r="M3188" s="27" t="str">
        <f aca="false">IF(OR(G3188="",G3188="?"),"",IFERROR(INDEX(Pubs!$D$2:$D$3001,MATCH(G3188,Pubs!$A$2:$A$3001,0))&amp;"",""))</f>
        <v/>
      </c>
      <c r="N3188" s="27" t="n">
        <f aca="false">N(N3187)+IF(AND(A3188&lt;&gt;"",OR(Recherche!$C$4="",A3188=Recherche!$C$4),OR(Recherche!$C$5="",B3188&amp;""=Recherche!$C$5&amp;""),OR(Recherche!$C$6="",IFERROR(YEAR(L3188),0)=Recherche!$C$6),OR(Recherche!$C$7="",ISNUMBER(SEARCH(Recherche!$C$7,H3188))),OR(Recherche!$C$8="",J3188=Recherche!$C$8),OR(Recherche!$C$9="",I3188=Recherche!$C$9),OR(Recherche!$C$10="",G3188&amp;""=Recherche!$C$10&amp;""),OR(Recherche!$C$11="",E3188=Recherche!$C$11),OR(Recherche!$C$12="",ISNUMBER(SEARCH(Recherche!$C$12,M3188&amp;" "&amp;F3188)))),1,0)</f>
        <v>8</v>
      </c>
    </row>
    <row r="3189" customFormat="false" ht="15" hidden="false" customHeight="false" outlineLevel="0" collapsed="false">
      <c r="A3189" s="19"/>
      <c r="B3189" s="19"/>
      <c r="C3189" s="19"/>
      <c r="D3189" s="19"/>
      <c r="E3189" s="22"/>
      <c r="F3189" s="19"/>
      <c r="G3189" s="26" t="str">
        <f aca="false">IF(D3189="","",IFERROR(VALUE(LEFT(D3189,FIND(" |",D3189&amp;" |")-1)),"?"))</f>
        <v/>
      </c>
      <c r="H3189" s="27" t="str">
        <f aca="false">IF(G3189="","",IF(G3189="?","⚠ pub inconnue",IFERROR(INDEX(Pubs!$B$2:$B$3001,MATCH(G3189,Pubs!$A$2:$A$3001,0))&amp;"","⚠ pub inconnue")))</f>
        <v/>
      </c>
      <c r="I3189" s="27" t="str">
        <f aca="false">IF(OR(G3189="",G3189="?"),"",IFERROR(INDEX(Pubs!$C$2:$C$3001,MATCH(G3189,Pubs!$A$2:$A$3001,0))&amp;"",""))</f>
        <v/>
      </c>
      <c r="J3189" s="27" t="str">
        <f aca="false">IF(OR(G3189="",G3189="?"),"",IFERROR(INDEX(Pubs!$G$2:$G$3001,MATCH(G3189,Pubs!$A$2:$A$3001,0))&amp;"",""))</f>
        <v/>
      </c>
      <c r="K3189" s="28" t="str">
        <f aca="false">IF(OR(G3189="",G3189="?"),"",IFERROR(INDEX(Pubs!$E$2:$E$3001,MATCH(G3189,Pubs!$A$2:$A$3001,0)),""))</f>
        <v/>
      </c>
      <c r="L3189" s="29" t="str">
        <f aca="false">IF(A3189="","",IFERROR(1/(1/INDEX(Numéros!$C$2:$C$3001,MATCH(A3189&amp;"|"&amp;B3189,Numéros!$F$2:$F$3001,0))),""))</f>
        <v/>
      </c>
      <c r="M3189" s="27" t="str">
        <f aca="false">IF(OR(G3189="",G3189="?"),"",IFERROR(INDEX(Pubs!$D$2:$D$3001,MATCH(G3189,Pubs!$A$2:$A$3001,0))&amp;"",""))</f>
        <v/>
      </c>
      <c r="N3189" s="27" t="n">
        <f aca="false">N(N3188)+IF(AND(A3189&lt;&gt;"",OR(Recherche!$C$4="",A3189=Recherche!$C$4),OR(Recherche!$C$5="",B3189&amp;""=Recherche!$C$5&amp;""),OR(Recherche!$C$6="",IFERROR(YEAR(L3189),0)=Recherche!$C$6),OR(Recherche!$C$7="",ISNUMBER(SEARCH(Recherche!$C$7,H3189))),OR(Recherche!$C$8="",J3189=Recherche!$C$8),OR(Recherche!$C$9="",I3189=Recherche!$C$9),OR(Recherche!$C$10="",G3189&amp;""=Recherche!$C$10&amp;""),OR(Recherche!$C$11="",E3189=Recherche!$C$11),OR(Recherche!$C$12="",ISNUMBER(SEARCH(Recherche!$C$12,M3189&amp;" "&amp;F3189)))),1,0)</f>
        <v>8</v>
      </c>
    </row>
    <row r="3190" customFormat="false" ht="15" hidden="false" customHeight="false" outlineLevel="0" collapsed="false">
      <c r="A3190" s="19"/>
      <c r="B3190" s="19"/>
      <c r="C3190" s="19"/>
      <c r="D3190" s="19"/>
      <c r="E3190" s="22"/>
      <c r="F3190" s="19"/>
      <c r="G3190" s="26" t="str">
        <f aca="false">IF(D3190="","",IFERROR(VALUE(LEFT(D3190,FIND(" |",D3190&amp;" |")-1)),"?"))</f>
        <v/>
      </c>
      <c r="H3190" s="27" t="str">
        <f aca="false">IF(G3190="","",IF(G3190="?","⚠ pub inconnue",IFERROR(INDEX(Pubs!$B$2:$B$3001,MATCH(G3190,Pubs!$A$2:$A$3001,0))&amp;"","⚠ pub inconnue")))</f>
        <v/>
      </c>
      <c r="I3190" s="27" t="str">
        <f aca="false">IF(OR(G3190="",G3190="?"),"",IFERROR(INDEX(Pubs!$C$2:$C$3001,MATCH(G3190,Pubs!$A$2:$A$3001,0))&amp;"",""))</f>
        <v/>
      </c>
      <c r="J3190" s="27" t="str">
        <f aca="false">IF(OR(G3190="",G3190="?"),"",IFERROR(INDEX(Pubs!$G$2:$G$3001,MATCH(G3190,Pubs!$A$2:$A$3001,0))&amp;"",""))</f>
        <v/>
      </c>
      <c r="K3190" s="28" t="str">
        <f aca="false">IF(OR(G3190="",G3190="?"),"",IFERROR(INDEX(Pubs!$E$2:$E$3001,MATCH(G3190,Pubs!$A$2:$A$3001,0)),""))</f>
        <v/>
      </c>
      <c r="L3190" s="29" t="str">
        <f aca="false">IF(A3190="","",IFERROR(1/(1/INDEX(Numéros!$C$2:$C$3001,MATCH(A3190&amp;"|"&amp;B3190,Numéros!$F$2:$F$3001,0))),""))</f>
        <v/>
      </c>
      <c r="M3190" s="27" t="str">
        <f aca="false">IF(OR(G3190="",G3190="?"),"",IFERROR(INDEX(Pubs!$D$2:$D$3001,MATCH(G3190,Pubs!$A$2:$A$3001,0))&amp;"",""))</f>
        <v/>
      </c>
      <c r="N3190" s="27" t="n">
        <f aca="false">N(N3189)+IF(AND(A3190&lt;&gt;"",OR(Recherche!$C$4="",A3190=Recherche!$C$4),OR(Recherche!$C$5="",B3190&amp;""=Recherche!$C$5&amp;""),OR(Recherche!$C$6="",IFERROR(YEAR(L3190),0)=Recherche!$C$6),OR(Recherche!$C$7="",ISNUMBER(SEARCH(Recherche!$C$7,H3190))),OR(Recherche!$C$8="",J3190=Recherche!$C$8),OR(Recherche!$C$9="",I3190=Recherche!$C$9),OR(Recherche!$C$10="",G3190&amp;""=Recherche!$C$10&amp;""),OR(Recherche!$C$11="",E3190=Recherche!$C$11),OR(Recherche!$C$12="",ISNUMBER(SEARCH(Recherche!$C$12,M3190&amp;" "&amp;F3190)))),1,0)</f>
        <v>8</v>
      </c>
    </row>
    <row r="3191" customFormat="false" ht="15" hidden="false" customHeight="false" outlineLevel="0" collapsed="false">
      <c r="A3191" s="19"/>
      <c r="B3191" s="19"/>
      <c r="C3191" s="19"/>
      <c r="D3191" s="19"/>
      <c r="E3191" s="22"/>
      <c r="F3191" s="19"/>
      <c r="G3191" s="26" t="str">
        <f aca="false">IF(D3191="","",IFERROR(VALUE(LEFT(D3191,FIND(" |",D3191&amp;" |")-1)),"?"))</f>
        <v/>
      </c>
      <c r="H3191" s="27" t="str">
        <f aca="false">IF(G3191="","",IF(G3191="?","⚠ pub inconnue",IFERROR(INDEX(Pubs!$B$2:$B$3001,MATCH(G3191,Pubs!$A$2:$A$3001,0))&amp;"","⚠ pub inconnue")))</f>
        <v/>
      </c>
      <c r="I3191" s="27" t="str">
        <f aca="false">IF(OR(G3191="",G3191="?"),"",IFERROR(INDEX(Pubs!$C$2:$C$3001,MATCH(G3191,Pubs!$A$2:$A$3001,0))&amp;"",""))</f>
        <v/>
      </c>
      <c r="J3191" s="27" t="str">
        <f aca="false">IF(OR(G3191="",G3191="?"),"",IFERROR(INDEX(Pubs!$G$2:$G$3001,MATCH(G3191,Pubs!$A$2:$A$3001,0))&amp;"",""))</f>
        <v/>
      </c>
      <c r="K3191" s="28" t="str">
        <f aca="false">IF(OR(G3191="",G3191="?"),"",IFERROR(INDEX(Pubs!$E$2:$E$3001,MATCH(G3191,Pubs!$A$2:$A$3001,0)),""))</f>
        <v/>
      </c>
      <c r="L3191" s="29" t="str">
        <f aca="false">IF(A3191="","",IFERROR(1/(1/INDEX(Numéros!$C$2:$C$3001,MATCH(A3191&amp;"|"&amp;B3191,Numéros!$F$2:$F$3001,0))),""))</f>
        <v/>
      </c>
      <c r="M3191" s="27" t="str">
        <f aca="false">IF(OR(G3191="",G3191="?"),"",IFERROR(INDEX(Pubs!$D$2:$D$3001,MATCH(G3191,Pubs!$A$2:$A$3001,0))&amp;"",""))</f>
        <v/>
      </c>
      <c r="N3191" s="27" t="n">
        <f aca="false">N(N3190)+IF(AND(A3191&lt;&gt;"",OR(Recherche!$C$4="",A3191=Recherche!$C$4),OR(Recherche!$C$5="",B3191&amp;""=Recherche!$C$5&amp;""),OR(Recherche!$C$6="",IFERROR(YEAR(L3191),0)=Recherche!$C$6),OR(Recherche!$C$7="",ISNUMBER(SEARCH(Recherche!$C$7,H3191))),OR(Recherche!$C$8="",J3191=Recherche!$C$8),OR(Recherche!$C$9="",I3191=Recherche!$C$9),OR(Recherche!$C$10="",G3191&amp;""=Recherche!$C$10&amp;""),OR(Recherche!$C$11="",E3191=Recherche!$C$11),OR(Recherche!$C$12="",ISNUMBER(SEARCH(Recherche!$C$12,M3191&amp;" "&amp;F3191)))),1,0)</f>
        <v>8</v>
      </c>
    </row>
    <row r="3192" customFormat="false" ht="15" hidden="false" customHeight="false" outlineLevel="0" collapsed="false">
      <c r="A3192" s="19"/>
      <c r="B3192" s="19"/>
      <c r="C3192" s="19"/>
      <c r="D3192" s="19"/>
      <c r="E3192" s="22"/>
      <c r="F3192" s="19"/>
      <c r="G3192" s="26" t="str">
        <f aca="false">IF(D3192="","",IFERROR(VALUE(LEFT(D3192,FIND(" |",D3192&amp;" |")-1)),"?"))</f>
        <v/>
      </c>
      <c r="H3192" s="27" t="str">
        <f aca="false">IF(G3192="","",IF(G3192="?","⚠ pub inconnue",IFERROR(INDEX(Pubs!$B$2:$B$3001,MATCH(G3192,Pubs!$A$2:$A$3001,0))&amp;"","⚠ pub inconnue")))</f>
        <v/>
      </c>
      <c r="I3192" s="27" t="str">
        <f aca="false">IF(OR(G3192="",G3192="?"),"",IFERROR(INDEX(Pubs!$C$2:$C$3001,MATCH(G3192,Pubs!$A$2:$A$3001,0))&amp;"",""))</f>
        <v/>
      </c>
      <c r="J3192" s="27" t="str">
        <f aca="false">IF(OR(G3192="",G3192="?"),"",IFERROR(INDEX(Pubs!$G$2:$G$3001,MATCH(G3192,Pubs!$A$2:$A$3001,0))&amp;"",""))</f>
        <v/>
      </c>
      <c r="K3192" s="28" t="str">
        <f aca="false">IF(OR(G3192="",G3192="?"),"",IFERROR(INDEX(Pubs!$E$2:$E$3001,MATCH(G3192,Pubs!$A$2:$A$3001,0)),""))</f>
        <v/>
      </c>
      <c r="L3192" s="29" t="str">
        <f aca="false">IF(A3192="","",IFERROR(1/(1/INDEX(Numéros!$C$2:$C$3001,MATCH(A3192&amp;"|"&amp;B3192,Numéros!$F$2:$F$3001,0))),""))</f>
        <v/>
      </c>
      <c r="M3192" s="27" t="str">
        <f aca="false">IF(OR(G3192="",G3192="?"),"",IFERROR(INDEX(Pubs!$D$2:$D$3001,MATCH(G3192,Pubs!$A$2:$A$3001,0))&amp;"",""))</f>
        <v/>
      </c>
      <c r="N3192" s="27" t="n">
        <f aca="false">N(N3191)+IF(AND(A3192&lt;&gt;"",OR(Recherche!$C$4="",A3192=Recherche!$C$4),OR(Recherche!$C$5="",B3192&amp;""=Recherche!$C$5&amp;""),OR(Recherche!$C$6="",IFERROR(YEAR(L3192),0)=Recherche!$C$6),OR(Recherche!$C$7="",ISNUMBER(SEARCH(Recherche!$C$7,H3192))),OR(Recherche!$C$8="",J3192=Recherche!$C$8),OR(Recherche!$C$9="",I3192=Recherche!$C$9),OR(Recherche!$C$10="",G3192&amp;""=Recherche!$C$10&amp;""),OR(Recherche!$C$11="",E3192=Recherche!$C$11),OR(Recherche!$C$12="",ISNUMBER(SEARCH(Recherche!$C$12,M3192&amp;" "&amp;F3192)))),1,0)</f>
        <v>8</v>
      </c>
    </row>
    <row r="3193" customFormat="false" ht="15" hidden="false" customHeight="false" outlineLevel="0" collapsed="false">
      <c r="A3193" s="19"/>
      <c r="B3193" s="19"/>
      <c r="C3193" s="19"/>
      <c r="D3193" s="19"/>
      <c r="E3193" s="22"/>
      <c r="F3193" s="19"/>
      <c r="G3193" s="26" t="str">
        <f aca="false">IF(D3193="","",IFERROR(VALUE(LEFT(D3193,FIND(" |",D3193&amp;" |")-1)),"?"))</f>
        <v/>
      </c>
      <c r="H3193" s="27" t="str">
        <f aca="false">IF(G3193="","",IF(G3193="?","⚠ pub inconnue",IFERROR(INDEX(Pubs!$B$2:$B$3001,MATCH(G3193,Pubs!$A$2:$A$3001,0))&amp;"","⚠ pub inconnue")))</f>
        <v/>
      </c>
      <c r="I3193" s="27" t="str">
        <f aca="false">IF(OR(G3193="",G3193="?"),"",IFERROR(INDEX(Pubs!$C$2:$C$3001,MATCH(G3193,Pubs!$A$2:$A$3001,0))&amp;"",""))</f>
        <v/>
      </c>
      <c r="J3193" s="27" t="str">
        <f aca="false">IF(OR(G3193="",G3193="?"),"",IFERROR(INDEX(Pubs!$G$2:$G$3001,MATCH(G3193,Pubs!$A$2:$A$3001,0))&amp;"",""))</f>
        <v/>
      </c>
      <c r="K3193" s="28" t="str">
        <f aca="false">IF(OR(G3193="",G3193="?"),"",IFERROR(INDEX(Pubs!$E$2:$E$3001,MATCH(G3193,Pubs!$A$2:$A$3001,0)),""))</f>
        <v/>
      </c>
      <c r="L3193" s="29" t="str">
        <f aca="false">IF(A3193="","",IFERROR(1/(1/INDEX(Numéros!$C$2:$C$3001,MATCH(A3193&amp;"|"&amp;B3193,Numéros!$F$2:$F$3001,0))),""))</f>
        <v/>
      </c>
      <c r="M3193" s="27" t="str">
        <f aca="false">IF(OR(G3193="",G3193="?"),"",IFERROR(INDEX(Pubs!$D$2:$D$3001,MATCH(G3193,Pubs!$A$2:$A$3001,0))&amp;"",""))</f>
        <v/>
      </c>
      <c r="N3193" s="27" t="n">
        <f aca="false">N(N3192)+IF(AND(A3193&lt;&gt;"",OR(Recherche!$C$4="",A3193=Recherche!$C$4),OR(Recherche!$C$5="",B3193&amp;""=Recherche!$C$5&amp;""),OR(Recherche!$C$6="",IFERROR(YEAR(L3193),0)=Recherche!$C$6),OR(Recherche!$C$7="",ISNUMBER(SEARCH(Recherche!$C$7,H3193))),OR(Recherche!$C$8="",J3193=Recherche!$C$8),OR(Recherche!$C$9="",I3193=Recherche!$C$9),OR(Recherche!$C$10="",G3193&amp;""=Recherche!$C$10&amp;""),OR(Recherche!$C$11="",E3193=Recherche!$C$11),OR(Recherche!$C$12="",ISNUMBER(SEARCH(Recherche!$C$12,M3193&amp;" "&amp;F3193)))),1,0)</f>
        <v>8</v>
      </c>
    </row>
    <row r="3194" customFormat="false" ht="15" hidden="false" customHeight="false" outlineLevel="0" collapsed="false">
      <c r="A3194" s="19"/>
      <c r="B3194" s="19"/>
      <c r="C3194" s="19"/>
      <c r="D3194" s="19"/>
      <c r="E3194" s="22"/>
      <c r="F3194" s="19"/>
      <c r="G3194" s="26" t="str">
        <f aca="false">IF(D3194="","",IFERROR(VALUE(LEFT(D3194,FIND(" |",D3194&amp;" |")-1)),"?"))</f>
        <v/>
      </c>
      <c r="H3194" s="27" t="str">
        <f aca="false">IF(G3194="","",IF(G3194="?","⚠ pub inconnue",IFERROR(INDEX(Pubs!$B$2:$B$3001,MATCH(G3194,Pubs!$A$2:$A$3001,0))&amp;"","⚠ pub inconnue")))</f>
        <v/>
      </c>
      <c r="I3194" s="27" t="str">
        <f aca="false">IF(OR(G3194="",G3194="?"),"",IFERROR(INDEX(Pubs!$C$2:$C$3001,MATCH(G3194,Pubs!$A$2:$A$3001,0))&amp;"",""))</f>
        <v/>
      </c>
      <c r="J3194" s="27" t="str">
        <f aca="false">IF(OR(G3194="",G3194="?"),"",IFERROR(INDEX(Pubs!$G$2:$G$3001,MATCH(G3194,Pubs!$A$2:$A$3001,0))&amp;"",""))</f>
        <v/>
      </c>
      <c r="K3194" s="28" t="str">
        <f aca="false">IF(OR(G3194="",G3194="?"),"",IFERROR(INDEX(Pubs!$E$2:$E$3001,MATCH(G3194,Pubs!$A$2:$A$3001,0)),""))</f>
        <v/>
      </c>
      <c r="L3194" s="29" t="str">
        <f aca="false">IF(A3194="","",IFERROR(1/(1/INDEX(Numéros!$C$2:$C$3001,MATCH(A3194&amp;"|"&amp;B3194,Numéros!$F$2:$F$3001,0))),""))</f>
        <v/>
      </c>
      <c r="M3194" s="27" t="str">
        <f aca="false">IF(OR(G3194="",G3194="?"),"",IFERROR(INDEX(Pubs!$D$2:$D$3001,MATCH(G3194,Pubs!$A$2:$A$3001,0))&amp;"",""))</f>
        <v/>
      </c>
      <c r="N3194" s="27" t="n">
        <f aca="false">N(N3193)+IF(AND(A3194&lt;&gt;"",OR(Recherche!$C$4="",A3194=Recherche!$C$4),OR(Recherche!$C$5="",B3194&amp;""=Recherche!$C$5&amp;""),OR(Recherche!$C$6="",IFERROR(YEAR(L3194),0)=Recherche!$C$6),OR(Recherche!$C$7="",ISNUMBER(SEARCH(Recherche!$C$7,H3194))),OR(Recherche!$C$8="",J3194=Recherche!$C$8),OR(Recherche!$C$9="",I3194=Recherche!$C$9),OR(Recherche!$C$10="",G3194&amp;""=Recherche!$C$10&amp;""),OR(Recherche!$C$11="",E3194=Recherche!$C$11),OR(Recherche!$C$12="",ISNUMBER(SEARCH(Recherche!$C$12,M3194&amp;" "&amp;F3194)))),1,0)</f>
        <v>8</v>
      </c>
    </row>
    <row r="3195" customFormat="false" ht="15" hidden="false" customHeight="false" outlineLevel="0" collapsed="false">
      <c r="A3195" s="19"/>
      <c r="B3195" s="19"/>
      <c r="C3195" s="19"/>
      <c r="D3195" s="19"/>
      <c r="E3195" s="22"/>
      <c r="F3195" s="19"/>
      <c r="G3195" s="26" t="str">
        <f aca="false">IF(D3195="","",IFERROR(VALUE(LEFT(D3195,FIND(" |",D3195&amp;" |")-1)),"?"))</f>
        <v/>
      </c>
      <c r="H3195" s="27" t="str">
        <f aca="false">IF(G3195="","",IF(G3195="?","⚠ pub inconnue",IFERROR(INDEX(Pubs!$B$2:$B$3001,MATCH(G3195,Pubs!$A$2:$A$3001,0))&amp;"","⚠ pub inconnue")))</f>
        <v/>
      </c>
      <c r="I3195" s="27" t="str">
        <f aca="false">IF(OR(G3195="",G3195="?"),"",IFERROR(INDEX(Pubs!$C$2:$C$3001,MATCH(G3195,Pubs!$A$2:$A$3001,0))&amp;"",""))</f>
        <v/>
      </c>
      <c r="J3195" s="27" t="str">
        <f aca="false">IF(OR(G3195="",G3195="?"),"",IFERROR(INDEX(Pubs!$G$2:$G$3001,MATCH(G3195,Pubs!$A$2:$A$3001,0))&amp;"",""))</f>
        <v/>
      </c>
      <c r="K3195" s="28" t="str">
        <f aca="false">IF(OR(G3195="",G3195="?"),"",IFERROR(INDEX(Pubs!$E$2:$E$3001,MATCH(G3195,Pubs!$A$2:$A$3001,0)),""))</f>
        <v/>
      </c>
      <c r="L3195" s="29" t="str">
        <f aca="false">IF(A3195="","",IFERROR(1/(1/INDEX(Numéros!$C$2:$C$3001,MATCH(A3195&amp;"|"&amp;B3195,Numéros!$F$2:$F$3001,0))),""))</f>
        <v/>
      </c>
      <c r="M3195" s="27" t="str">
        <f aca="false">IF(OR(G3195="",G3195="?"),"",IFERROR(INDEX(Pubs!$D$2:$D$3001,MATCH(G3195,Pubs!$A$2:$A$3001,0))&amp;"",""))</f>
        <v/>
      </c>
      <c r="N3195" s="27" t="n">
        <f aca="false">N(N3194)+IF(AND(A3195&lt;&gt;"",OR(Recherche!$C$4="",A3195=Recherche!$C$4),OR(Recherche!$C$5="",B3195&amp;""=Recherche!$C$5&amp;""),OR(Recherche!$C$6="",IFERROR(YEAR(L3195),0)=Recherche!$C$6),OR(Recherche!$C$7="",ISNUMBER(SEARCH(Recherche!$C$7,H3195))),OR(Recherche!$C$8="",J3195=Recherche!$C$8),OR(Recherche!$C$9="",I3195=Recherche!$C$9),OR(Recherche!$C$10="",G3195&amp;""=Recherche!$C$10&amp;""),OR(Recherche!$C$11="",E3195=Recherche!$C$11),OR(Recherche!$C$12="",ISNUMBER(SEARCH(Recherche!$C$12,M3195&amp;" "&amp;F3195)))),1,0)</f>
        <v>8</v>
      </c>
    </row>
    <row r="3196" customFormat="false" ht="15" hidden="false" customHeight="false" outlineLevel="0" collapsed="false">
      <c r="A3196" s="19"/>
      <c r="B3196" s="19"/>
      <c r="C3196" s="19"/>
      <c r="D3196" s="19"/>
      <c r="E3196" s="22"/>
      <c r="F3196" s="19"/>
      <c r="G3196" s="26" t="str">
        <f aca="false">IF(D3196="","",IFERROR(VALUE(LEFT(D3196,FIND(" |",D3196&amp;" |")-1)),"?"))</f>
        <v/>
      </c>
      <c r="H3196" s="27" t="str">
        <f aca="false">IF(G3196="","",IF(G3196="?","⚠ pub inconnue",IFERROR(INDEX(Pubs!$B$2:$B$3001,MATCH(G3196,Pubs!$A$2:$A$3001,0))&amp;"","⚠ pub inconnue")))</f>
        <v/>
      </c>
      <c r="I3196" s="27" t="str">
        <f aca="false">IF(OR(G3196="",G3196="?"),"",IFERROR(INDEX(Pubs!$C$2:$C$3001,MATCH(G3196,Pubs!$A$2:$A$3001,0))&amp;"",""))</f>
        <v/>
      </c>
      <c r="J3196" s="27" t="str">
        <f aca="false">IF(OR(G3196="",G3196="?"),"",IFERROR(INDEX(Pubs!$G$2:$G$3001,MATCH(G3196,Pubs!$A$2:$A$3001,0))&amp;"",""))</f>
        <v/>
      </c>
      <c r="K3196" s="28" t="str">
        <f aca="false">IF(OR(G3196="",G3196="?"),"",IFERROR(INDEX(Pubs!$E$2:$E$3001,MATCH(G3196,Pubs!$A$2:$A$3001,0)),""))</f>
        <v/>
      </c>
      <c r="L3196" s="29" t="str">
        <f aca="false">IF(A3196="","",IFERROR(1/(1/INDEX(Numéros!$C$2:$C$3001,MATCH(A3196&amp;"|"&amp;B3196,Numéros!$F$2:$F$3001,0))),""))</f>
        <v/>
      </c>
      <c r="M3196" s="27" t="str">
        <f aca="false">IF(OR(G3196="",G3196="?"),"",IFERROR(INDEX(Pubs!$D$2:$D$3001,MATCH(G3196,Pubs!$A$2:$A$3001,0))&amp;"",""))</f>
        <v/>
      </c>
      <c r="N3196" s="27" t="n">
        <f aca="false">N(N3195)+IF(AND(A3196&lt;&gt;"",OR(Recherche!$C$4="",A3196=Recherche!$C$4),OR(Recherche!$C$5="",B3196&amp;""=Recherche!$C$5&amp;""),OR(Recherche!$C$6="",IFERROR(YEAR(L3196),0)=Recherche!$C$6),OR(Recherche!$C$7="",ISNUMBER(SEARCH(Recherche!$C$7,H3196))),OR(Recherche!$C$8="",J3196=Recherche!$C$8),OR(Recherche!$C$9="",I3196=Recherche!$C$9),OR(Recherche!$C$10="",G3196&amp;""=Recherche!$C$10&amp;""),OR(Recherche!$C$11="",E3196=Recherche!$C$11),OR(Recherche!$C$12="",ISNUMBER(SEARCH(Recherche!$C$12,M3196&amp;" "&amp;F3196)))),1,0)</f>
        <v>8</v>
      </c>
    </row>
    <row r="3197" customFormat="false" ht="15" hidden="false" customHeight="false" outlineLevel="0" collapsed="false">
      <c r="A3197" s="19"/>
      <c r="B3197" s="19"/>
      <c r="C3197" s="19"/>
      <c r="D3197" s="19"/>
      <c r="E3197" s="22"/>
      <c r="F3197" s="19"/>
      <c r="G3197" s="26" t="str">
        <f aca="false">IF(D3197="","",IFERROR(VALUE(LEFT(D3197,FIND(" |",D3197&amp;" |")-1)),"?"))</f>
        <v/>
      </c>
      <c r="H3197" s="27" t="str">
        <f aca="false">IF(G3197="","",IF(G3197="?","⚠ pub inconnue",IFERROR(INDEX(Pubs!$B$2:$B$3001,MATCH(G3197,Pubs!$A$2:$A$3001,0))&amp;"","⚠ pub inconnue")))</f>
        <v/>
      </c>
      <c r="I3197" s="27" t="str">
        <f aca="false">IF(OR(G3197="",G3197="?"),"",IFERROR(INDEX(Pubs!$C$2:$C$3001,MATCH(G3197,Pubs!$A$2:$A$3001,0))&amp;"",""))</f>
        <v/>
      </c>
      <c r="J3197" s="27" t="str">
        <f aca="false">IF(OR(G3197="",G3197="?"),"",IFERROR(INDEX(Pubs!$G$2:$G$3001,MATCH(G3197,Pubs!$A$2:$A$3001,0))&amp;"",""))</f>
        <v/>
      </c>
      <c r="K3197" s="28" t="str">
        <f aca="false">IF(OR(G3197="",G3197="?"),"",IFERROR(INDEX(Pubs!$E$2:$E$3001,MATCH(G3197,Pubs!$A$2:$A$3001,0)),""))</f>
        <v/>
      </c>
      <c r="L3197" s="29" t="str">
        <f aca="false">IF(A3197="","",IFERROR(1/(1/INDEX(Numéros!$C$2:$C$3001,MATCH(A3197&amp;"|"&amp;B3197,Numéros!$F$2:$F$3001,0))),""))</f>
        <v/>
      </c>
      <c r="M3197" s="27" t="str">
        <f aca="false">IF(OR(G3197="",G3197="?"),"",IFERROR(INDEX(Pubs!$D$2:$D$3001,MATCH(G3197,Pubs!$A$2:$A$3001,0))&amp;"",""))</f>
        <v/>
      </c>
      <c r="N3197" s="27" t="n">
        <f aca="false">N(N3196)+IF(AND(A3197&lt;&gt;"",OR(Recherche!$C$4="",A3197=Recherche!$C$4),OR(Recherche!$C$5="",B3197&amp;""=Recherche!$C$5&amp;""),OR(Recherche!$C$6="",IFERROR(YEAR(L3197),0)=Recherche!$C$6),OR(Recherche!$C$7="",ISNUMBER(SEARCH(Recherche!$C$7,H3197))),OR(Recherche!$C$8="",J3197=Recherche!$C$8),OR(Recherche!$C$9="",I3197=Recherche!$C$9),OR(Recherche!$C$10="",G3197&amp;""=Recherche!$C$10&amp;""),OR(Recherche!$C$11="",E3197=Recherche!$C$11),OR(Recherche!$C$12="",ISNUMBER(SEARCH(Recherche!$C$12,M3197&amp;" "&amp;F3197)))),1,0)</f>
        <v>8</v>
      </c>
    </row>
    <row r="3198" customFormat="false" ht="15" hidden="false" customHeight="false" outlineLevel="0" collapsed="false">
      <c r="A3198" s="19"/>
      <c r="B3198" s="19"/>
      <c r="C3198" s="19"/>
      <c r="D3198" s="19"/>
      <c r="E3198" s="22"/>
      <c r="F3198" s="19"/>
      <c r="G3198" s="26" t="str">
        <f aca="false">IF(D3198="","",IFERROR(VALUE(LEFT(D3198,FIND(" |",D3198&amp;" |")-1)),"?"))</f>
        <v/>
      </c>
      <c r="H3198" s="27" t="str">
        <f aca="false">IF(G3198="","",IF(G3198="?","⚠ pub inconnue",IFERROR(INDEX(Pubs!$B$2:$B$3001,MATCH(G3198,Pubs!$A$2:$A$3001,0))&amp;"","⚠ pub inconnue")))</f>
        <v/>
      </c>
      <c r="I3198" s="27" t="str">
        <f aca="false">IF(OR(G3198="",G3198="?"),"",IFERROR(INDEX(Pubs!$C$2:$C$3001,MATCH(G3198,Pubs!$A$2:$A$3001,0))&amp;"",""))</f>
        <v/>
      </c>
      <c r="J3198" s="27" t="str">
        <f aca="false">IF(OR(G3198="",G3198="?"),"",IFERROR(INDEX(Pubs!$G$2:$G$3001,MATCH(G3198,Pubs!$A$2:$A$3001,0))&amp;"",""))</f>
        <v/>
      </c>
      <c r="K3198" s="28" t="str">
        <f aca="false">IF(OR(G3198="",G3198="?"),"",IFERROR(INDEX(Pubs!$E$2:$E$3001,MATCH(G3198,Pubs!$A$2:$A$3001,0)),""))</f>
        <v/>
      </c>
      <c r="L3198" s="29" t="str">
        <f aca="false">IF(A3198="","",IFERROR(1/(1/INDEX(Numéros!$C$2:$C$3001,MATCH(A3198&amp;"|"&amp;B3198,Numéros!$F$2:$F$3001,0))),""))</f>
        <v/>
      </c>
      <c r="M3198" s="27" t="str">
        <f aca="false">IF(OR(G3198="",G3198="?"),"",IFERROR(INDEX(Pubs!$D$2:$D$3001,MATCH(G3198,Pubs!$A$2:$A$3001,0))&amp;"",""))</f>
        <v/>
      </c>
      <c r="N3198" s="27" t="n">
        <f aca="false">N(N3197)+IF(AND(A3198&lt;&gt;"",OR(Recherche!$C$4="",A3198=Recherche!$C$4),OR(Recherche!$C$5="",B3198&amp;""=Recherche!$C$5&amp;""),OR(Recherche!$C$6="",IFERROR(YEAR(L3198),0)=Recherche!$C$6),OR(Recherche!$C$7="",ISNUMBER(SEARCH(Recherche!$C$7,H3198))),OR(Recherche!$C$8="",J3198=Recherche!$C$8),OR(Recherche!$C$9="",I3198=Recherche!$C$9),OR(Recherche!$C$10="",G3198&amp;""=Recherche!$C$10&amp;""),OR(Recherche!$C$11="",E3198=Recherche!$C$11),OR(Recherche!$C$12="",ISNUMBER(SEARCH(Recherche!$C$12,M3198&amp;" "&amp;F3198)))),1,0)</f>
        <v>8</v>
      </c>
    </row>
    <row r="3199" customFormat="false" ht="15" hidden="false" customHeight="false" outlineLevel="0" collapsed="false">
      <c r="A3199" s="19"/>
      <c r="B3199" s="19"/>
      <c r="C3199" s="19"/>
      <c r="D3199" s="19"/>
      <c r="E3199" s="22"/>
      <c r="F3199" s="19"/>
      <c r="G3199" s="26" t="str">
        <f aca="false">IF(D3199="","",IFERROR(VALUE(LEFT(D3199,FIND(" |",D3199&amp;" |")-1)),"?"))</f>
        <v/>
      </c>
      <c r="H3199" s="27" t="str">
        <f aca="false">IF(G3199="","",IF(G3199="?","⚠ pub inconnue",IFERROR(INDEX(Pubs!$B$2:$B$3001,MATCH(G3199,Pubs!$A$2:$A$3001,0))&amp;"","⚠ pub inconnue")))</f>
        <v/>
      </c>
      <c r="I3199" s="27" t="str">
        <f aca="false">IF(OR(G3199="",G3199="?"),"",IFERROR(INDEX(Pubs!$C$2:$C$3001,MATCH(G3199,Pubs!$A$2:$A$3001,0))&amp;"",""))</f>
        <v/>
      </c>
      <c r="J3199" s="27" t="str">
        <f aca="false">IF(OR(G3199="",G3199="?"),"",IFERROR(INDEX(Pubs!$G$2:$G$3001,MATCH(G3199,Pubs!$A$2:$A$3001,0))&amp;"",""))</f>
        <v/>
      </c>
      <c r="K3199" s="28" t="str">
        <f aca="false">IF(OR(G3199="",G3199="?"),"",IFERROR(INDEX(Pubs!$E$2:$E$3001,MATCH(G3199,Pubs!$A$2:$A$3001,0)),""))</f>
        <v/>
      </c>
      <c r="L3199" s="29" t="str">
        <f aca="false">IF(A3199="","",IFERROR(1/(1/INDEX(Numéros!$C$2:$C$3001,MATCH(A3199&amp;"|"&amp;B3199,Numéros!$F$2:$F$3001,0))),""))</f>
        <v/>
      </c>
      <c r="M3199" s="27" t="str">
        <f aca="false">IF(OR(G3199="",G3199="?"),"",IFERROR(INDEX(Pubs!$D$2:$D$3001,MATCH(G3199,Pubs!$A$2:$A$3001,0))&amp;"",""))</f>
        <v/>
      </c>
      <c r="N3199" s="27" t="n">
        <f aca="false">N(N3198)+IF(AND(A3199&lt;&gt;"",OR(Recherche!$C$4="",A3199=Recherche!$C$4),OR(Recherche!$C$5="",B3199&amp;""=Recherche!$C$5&amp;""),OR(Recherche!$C$6="",IFERROR(YEAR(L3199),0)=Recherche!$C$6),OR(Recherche!$C$7="",ISNUMBER(SEARCH(Recherche!$C$7,H3199))),OR(Recherche!$C$8="",J3199=Recherche!$C$8),OR(Recherche!$C$9="",I3199=Recherche!$C$9),OR(Recherche!$C$10="",G3199&amp;""=Recherche!$C$10&amp;""),OR(Recherche!$C$11="",E3199=Recherche!$C$11),OR(Recherche!$C$12="",ISNUMBER(SEARCH(Recherche!$C$12,M3199&amp;" "&amp;F3199)))),1,0)</f>
        <v>8</v>
      </c>
    </row>
    <row r="3200" customFormat="false" ht="15" hidden="false" customHeight="false" outlineLevel="0" collapsed="false">
      <c r="A3200" s="19"/>
      <c r="B3200" s="19"/>
      <c r="C3200" s="19"/>
      <c r="D3200" s="19"/>
      <c r="E3200" s="22"/>
      <c r="F3200" s="19"/>
      <c r="G3200" s="26" t="str">
        <f aca="false">IF(D3200="","",IFERROR(VALUE(LEFT(D3200,FIND(" |",D3200&amp;" |")-1)),"?"))</f>
        <v/>
      </c>
      <c r="H3200" s="27" t="str">
        <f aca="false">IF(G3200="","",IF(G3200="?","⚠ pub inconnue",IFERROR(INDEX(Pubs!$B$2:$B$3001,MATCH(G3200,Pubs!$A$2:$A$3001,0))&amp;"","⚠ pub inconnue")))</f>
        <v/>
      </c>
      <c r="I3200" s="27" t="str">
        <f aca="false">IF(OR(G3200="",G3200="?"),"",IFERROR(INDEX(Pubs!$C$2:$C$3001,MATCH(G3200,Pubs!$A$2:$A$3001,0))&amp;"",""))</f>
        <v/>
      </c>
      <c r="J3200" s="27" t="str">
        <f aca="false">IF(OR(G3200="",G3200="?"),"",IFERROR(INDEX(Pubs!$G$2:$G$3001,MATCH(G3200,Pubs!$A$2:$A$3001,0))&amp;"",""))</f>
        <v/>
      </c>
      <c r="K3200" s="28" t="str">
        <f aca="false">IF(OR(G3200="",G3200="?"),"",IFERROR(INDEX(Pubs!$E$2:$E$3001,MATCH(G3200,Pubs!$A$2:$A$3001,0)),""))</f>
        <v/>
      </c>
      <c r="L3200" s="29" t="str">
        <f aca="false">IF(A3200="","",IFERROR(1/(1/INDEX(Numéros!$C$2:$C$3001,MATCH(A3200&amp;"|"&amp;B3200,Numéros!$F$2:$F$3001,0))),""))</f>
        <v/>
      </c>
      <c r="M3200" s="27" t="str">
        <f aca="false">IF(OR(G3200="",G3200="?"),"",IFERROR(INDEX(Pubs!$D$2:$D$3001,MATCH(G3200,Pubs!$A$2:$A$3001,0))&amp;"",""))</f>
        <v/>
      </c>
      <c r="N3200" s="27" t="n">
        <f aca="false">N(N3199)+IF(AND(A3200&lt;&gt;"",OR(Recherche!$C$4="",A3200=Recherche!$C$4),OR(Recherche!$C$5="",B3200&amp;""=Recherche!$C$5&amp;""),OR(Recherche!$C$6="",IFERROR(YEAR(L3200),0)=Recherche!$C$6),OR(Recherche!$C$7="",ISNUMBER(SEARCH(Recherche!$C$7,H3200))),OR(Recherche!$C$8="",J3200=Recherche!$C$8),OR(Recherche!$C$9="",I3200=Recherche!$C$9),OR(Recherche!$C$10="",G3200&amp;""=Recherche!$C$10&amp;""),OR(Recherche!$C$11="",E3200=Recherche!$C$11),OR(Recherche!$C$12="",ISNUMBER(SEARCH(Recherche!$C$12,M3200&amp;" "&amp;F3200)))),1,0)</f>
        <v>8</v>
      </c>
    </row>
    <row r="3201" customFormat="false" ht="15" hidden="false" customHeight="false" outlineLevel="0" collapsed="false">
      <c r="A3201" s="19"/>
      <c r="B3201" s="19"/>
      <c r="C3201" s="19"/>
      <c r="D3201" s="19"/>
      <c r="E3201" s="22"/>
      <c r="F3201" s="19"/>
      <c r="G3201" s="26" t="str">
        <f aca="false">IF(D3201="","",IFERROR(VALUE(LEFT(D3201,FIND(" |",D3201&amp;" |")-1)),"?"))</f>
        <v/>
      </c>
      <c r="H3201" s="27" t="str">
        <f aca="false">IF(G3201="","",IF(G3201="?","⚠ pub inconnue",IFERROR(INDEX(Pubs!$B$2:$B$3001,MATCH(G3201,Pubs!$A$2:$A$3001,0))&amp;"","⚠ pub inconnue")))</f>
        <v/>
      </c>
      <c r="I3201" s="27" t="str">
        <f aca="false">IF(OR(G3201="",G3201="?"),"",IFERROR(INDEX(Pubs!$C$2:$C$3001,MATCH(G3201,Pubs!$A$2:$A$3001,0))&amp;"",""))</f>
        <v/>
      </c>
      <c r="J3201" s="27" t="str">
        <f aca="false">IF(OR(G3201="",G3201="?"),"",IFERROR(INDEX(Pubs!$G$2:$G$3001,MATCH(G3201,Pubs!$A$2:$A$3001,0))&amp;"",""))</f>
        <v/>
      </c>
      <c r="K3201" s="28" t="str">
        <f aca="false">IF(OR(G3201="",G3201="?"),"",IFERROR(INDEX(Pubs!$E$2:$E$3001,MATCH(G3201,Pubs!$A$2:$A$3001,0)),""))</f>
        <v/>
      </c>
      <c r="L3201" s="29" t="str">
        <f aca="false">IF(A3201="","",IFERROR(1/(1/INDEX(Numéros!$C$2:$C$3001,MATCH(A3201&amp;"|"&amp;B3201,Numéros!$F$2:$F$3001,0))),""))</f>
        <v/>
      </c>
      <c r="M3201" s="27" t="str">
        <f aca="false">IF(OR(G3201="",G3201="?"),"",IFERROR(INDEX(Pubs!$D$2:$D$3001,MATCH(G3201,Pubs!$A$2:$A$3001,0))&amp;"",""))</f>
        <v/>
      </c>
      <c r="N3201" s="27" t="n">
        <f aca="false">N(N3200)+IF(AND(A3201&lt;&gt;"",OR(Recherche!$C$4="",A3201=Recherche!$C$4),OR(Recherche!$C$5="",B3201&amp;""=Recherche!$C$5&amp;""),OR(Recherche!$C$6="",IFERROR(YEAR(L3201),0)=Recherche!$C$6),OR(Recherche!$C$7="",ISNUMBER(SEARCH(Recherche!$C$7,H3201))),OR(Recherche!$C$8="",J3201=Recherche!$C$8),OR(Recherche!$C$9="",I3201=Recherche!$C$9),OR(Recherche!$C$10="",G3201&amp;""=Recherche!$C$10&amp;""),OR(Recherche!$C$11="",E3201=Recherche!$C$11),OR(Recherche!$C$12="",ISNUMBER(SEARCH(Recherche!$C$12,M3201&amp;" "&amp;F3201)))),1,0)</f>
        <v>8</v>
      </c>
    </row>
    <row r="3202" customFormat="false" ht="15" hidden="false" customHeight="false" outlineLevel="0" collapsed="false">
      <c r="A3202" s="19"/>
      <c r="B3202" s="19"/>
      <c r="C3202" s="19"/>
      <c r="D3202" s="19"/>
      <c r="E3202" s="22"/>
      <c r="F3202" s="19"/>
      <c r="G3202" s="26" t="str">
        <f aca="false">IF(D3202="","",IFERROR(VALUE(LEFT(D3202,FIND(" |",D3202&amp;" |")-1)),"?"))</f>
        <v/>
      </c>
      <c r="H3202" s="27" t="str">
        <f aca="false">IF(G3202="","",IF(G3202="?","⚠ pub inconnue",IFERROR(INDEX(Pubs!$B$2:$B$3001,MATCH(G3202,Pubs!$A$2:$A$3001,0))&amp;"","⚠ pub inconnue")))</f>
        <v/>
      </c>
      <c r="I3202" s="27" t="str">
        <f aca="false">IF(OR(G3202="",G3202="?"),"",IFERROR(INDEX(Pubs!$C$2:$C$3001,MATCH(G3202,Pubs!$A$2:$A$3001,0))&amp;"",""))</f>
        <v/>
      </c>
      <c r="J3202" s="27" t="str">
        <f aca="false">IF(OR(G3202="",G3202="?"),"",IFERROR(INDEX(Pubs!$G$2:$G$3001,MATCH(G3202,Pubs!$A$2:$A$3001,0))&amp;"",""))</f>
        <v/>
      </c>
      <c r="K3202" s="28" t="str">
        <f aca="false">IF(OR(G3202="",G3202="?"),"",IFERROR(INDEX(Pubs!$E$2:$E$3001,MATCH(G3202,Pubs!$A$2:$A$3001,0)),""))</f>
        <v/>
      </c>
      <c r="L3202" s="29" t="str">
        <f aca="false">IF(A3202="","",IFERROR(1/(1/INDEX(Numéros!$C$2:$C$3001,MATCH(A3202&amp;"|"&amp;B3202,Numéros!$F$2:$F$3001,0))),""))</f>
        <v/>
      </c>
      <c r="M3202" s="27" t="str">
        <f aca="false">IF(OR(G3202="",G3202="?"),"",IFERROR(INDEX(Pubs!$D$2:$D$3001,MATCH(G3202,Pubs!$A$2:$A$3001,0))&amp;"",""))</f>
        <v/>
      </c>
      <c r="N3202" s="27" t="n">
        <f aca="false">N(N3201)+IF(AND(A3202&lt;&gt;"",OR(Recherche!$C$4="",A3202=Recherche!$C$4),OR(Recherche!$C$5="",B3202&amp;""=Recherche!$C$5&amp;""),OR(Recherche!$C$6="",IFERROR(YEAR(L3202),0)=Recherche!$C$6),OR(Recherche!$C$7="",ISNUMBER(SEARCH(Recherche!$C$7,H3202))),OR(Recherche!$C$8="",J3202=Recherche!$C$8),OR(Recherche!$C$9="",I3202=Recherche!$C$9),OR(Recherche!$C$10="",G3202&amp;""=Recherche!$C$10&amp;""),OR(Recherche!$C$11="",E3202=Recherche!$C$11),OR(Recherche!$C$12="",ISNUMBER(SEARCH(Recherche!$C$12,M3202&amp;" "&amp;F3202)))),1,0)</f>
        <v>8</v>
      </c>
    </row>
    <row r="3203" customFormat="false" ht="15" hidden="false" customHeight="false" outlineLevel="0" collapsed="false">
      <c r="A3203" s="19"/>
      <c r="B3203" s="19"/>
      <c r="C3203" s="19"/>
      <c r="D3203" s="19"/>
      <c r="E3203" s="22"/>
      <c r="F3203" s="19"/>
      <c r="G3203" s="26" t="str">
        <f aca="false">IF(D3203="","",IFERROR(VALUE(LEFT(D3203,FIND(" |",D3203&amp;" |")-1)),"?"))</f>
        <v/>
      </c>
      <c r="H3203" s="27" t="str">
        <f aca="false">IF(G3203="","",IF(G3203="?","⚠ pub inconnue",IFERROR(INDEX(Pubs!$B$2:$B$3001,MATCH(G3203,Pubs!$A$2:$A$3001,0))&amp;"","⚠ pub inconnue")))</f>
        <v/>
      </c>
      <c r="I3203" s="27" t="str">
        <f aca="false">IF(OR(G3203="",G3203="?"),"",IFERROR(INDEX(Pubs!$C$2:$C$3001,MATCH(G3203,Pubs!$A$2:$A$3001,0))&amp;"",""))</f>
        <v/>
      </c>
      <c r="J3203" s="27" t="str">
        <f aca="false">IF(OR(G3203="",G3203="?"),"",IFERROR(INDEX(Pubs!$G$2:$G$3001,MATCH(G3203,Pubs!$A$2:$A$3001,0))&amp;"",""))</f>
        <v/>
      </c>
      <c r="K3203" s="28" t="str">
        <f aca="false">IF(OR(G3203="",G3203="?"),"",IFERROR(INDEX(Pubs!$E$2:$E$3001,MATCH(G3203,Pubs!$A$2:$A$3001,0)),""))</f>
        <v/>
      </c>
      <c r="L3203" s="29" t="str">
        <f aca="false">IF(A3203="","",IFERROR(1/(1/INDEX(Numéros!$C$2:$C$3001,MATCH(A3203&amp;"|"&amp;B3203,Numéros!$F$2:$F$3001,0))),""))</f>
        <v/>
      </c>
      <c r="M3203" s="27" t="str">
        <f aca="false">IF(OR(G3203="",G3203="?"),"",IFERROR(INDEX(Pubs!$D$2:$D$3001,MATCH(G3203,Pubs!$A$2:$A$3001,0))&amp;"",""))</f>
        <v/>
      </c>
      <c r="N3203" s="27" t="n">
        <f aca="false">N(N3202)+IF(AND(A3203&lt;&gt;"",OR(Recherche!$C$4="",A3203=Recherche!$C$4),OR(Recherche!$C$5="",B3203&amp;""=Recherche!$C$5&amp;""),OR(Recherche!$C$6="",IFERROR(YEAR(L3203),0)=Recherche!$C$6),OR(Recherche!$C$7="",ISNUMBER(SEARCH(Recherche!$C$7,H3203))),OR(Recherche!$C$8="",J3203=Recherche!$C$8),OR(Recherche!$C$9="",I3203=Recherche!$C$9),OR(Recherche!$C$10="",G3203&amp;""=Recherche!$C$10&amp;""),OR(Recherche!$C$11="",E3203=Recherche!$C$11),OR(Recherche!$C$12="",ISNUMBER(SEARCH(Recherche!$C$12,M3203&amp;" "&amp;F3203)))),1,0)</f>
        <v>8</v>
      </c>
    </row>
    <row r="3204" customFormat="false" ht="15" hidden="false" customHeight="false" outlineLevel="0" collapsed="false">
      <c r="A3204" s="19"/>
      <c r="B3204" s="19"/>
      <c r="C3204" s="19"/>
      <c r="D3204" s="19"/>
      <c r="E3204" s="22"/>
      <c r="F3204" s="19"/>
      <c r="G3204" s="26" t="str">
        <f aca="false">IF(D3204="","",IFERROR(VALUE(LEFT(D3204,FIND(" |",D3204&amp;" |")-1)),"?"))</f>
        <v/>
      </c>
      <c r="H3204" s="27" t="str">
        <f aca="false">IF(G3204="","",IF(G3204="?","⚠ pub inconnue",IFERROR(INDEX(Pubs!$B$2:$B$3001,MATCH(G3204,Pubs!$A$2:$A$3001,0))&amp;"","⚠ pub inconnue")))</f>
        <v/>
      </c>
      <c r="I3204" s="27" t="str">
        <f aca="false">IF(OR(G3204="",G3204="?"),"",IFERROR(INDEX(Pubs!$C$2:$C$3001,MATCH(G3204,Pubs!$A$2:$A$3001,0))&amp;"",""))</f>
        <v/>
      </c>
      <c r="J3204" s="27" t="str">
        <f aca="false">IF(OR(G3204="",G3204="?"),"",IFERROR(INDEX(Pubs!$G$2:$G$3001,MATCH(G3204,Pubs!$A$2:$A$3001,0))&amp;"",""))</f>
        <v/>
      </c>
      <c r="K3204" s="28" t="str">
        <f aca="false">IF(OR(G3204="",G3204="?"),"",IFERROR(INDEX(Pubs!$E$2:$E$3001,MATCH(G3204,Pubs!$A$2:$A$3001,0)),""))</f>
        <v/>
      </c>
      <c r="L3204" s="29" t="str">
        <f aca="false">IF(A3204="","",IFERROR(1/(1/INDEX(Numéros!$C$2:$C$3001,MATCH(A3204&amp;"|"&amp;B3204,Numéros!$F$2:$F$3001,0))),""))</f>
        <v/>
      </c>
      <c r="M3204" s="27" t="str">
        <f aca="false">IF(OR(G3204="",G3204="?"),"",IFERROR(INDEX(Pubs!$D$2:$D$3001,MATCH(G3204,Pubs!$A$2:$A$3001,0))&amp;"",""))</f>
        <v/>
      </c>
      <c r="N3204" s="27" t="n">
        <f aca="false">N(N3203)+IF(AND(A3204&lt;&gt;"",OR(Recherche!$C$4="",A3204=Recherche!$C$4),OR(Recherche!$C$5="",B3204&amp;""=Recherche!$C$5&amp;""),OR(Recherche!$C$6="",IFERROR(YEAR(L3204),0)=Recherche!$C$6),OR(Recherche!$C$7="",ISNUMBER(SEARCH(Recherche!$C$7,H3204))),OR(Recherche!$C$8="",J3204=Recherche!$C$8),OR(Recherche!$C$9="",I3204=Recherche!$C$9),OR(Recherche!$C$10="",G3204&amp;""=Recherche!$C$10&amp;""),OR(Recherche!$C$11="",E3204=Recherche!$C$11),OR(Recherche!$C$12="",ISNUMBER(SEARCH(Recherche!$C$12,M3204&amp;" "&amp;F3204)))),1,0)</f>
        <v>8</v>
      </c>
    </row>
    <row r="3205" customFormat="false" ht="15" hidden="false" customHeight="false" outlineLevel="0" collapsed="false">
      <c r="A3205" s="19"/>
      <c r="B3205" s="19"/>
      <c r="C3205" s="19"/>
      <c r="D3205" s="19"/>
      <c r="E3205" s="22"/>
      <c r="F3205" s="19"/>
      <c r="G3205" s="26" t="str">
        <f aca="false">IF(D3205="","",IFERROR(VALUE(LEFT(D3205,FIND(" |",D3205&amp;" |")-1)),"?"))</f>
        <v/>
      </c>
      <c r="H3205" s="27" t="str">
        <f aca="false">IF(G3205="","",IF(G3205="?","⚠ pub inconnue",IFERROR(INDEX(Pubs!$B$2:$B$3001,MATCH(G3205,Pubs!$A$2:$A$3001,0))&amp;"","⚠ pub inconnue")))</f>
        <v/>
      </c>
      <c r="I3205" s="27" t="str">
        <f aca="false">IF(OR(G3205="",G3205="?"),"",IFERROR(INDEX(Pubs!$C$2:$C$3001,MATCH(G3205,Pubs!$A$2:$A$3001,0))&amp;"",""))</f>
        <v/>
      </c>
      <c r="J3205" s="27" t="str">
        <f aca="false">IF(OR(G3205="",G3205="?"),"",IFERROR(INDEX(Pubs!$G$2:$G$3001,MATCH(G3205,Pubs!$A$2:$A$3001,0))&amp;"",""))</f>
        <v/>
      </c>
      <c r="K3205" s="28" t="str">
        <f aca="false">IF(OR(G3205="",G3205="?"),"",IFERROR(INDEX(Pubs!$E$2:$E$3001,MATCH(G3205,Pubs!$A$2:$A$3001,0)),""))</f>
        <v/>
      </c>
      <c r="L3205" s="29" t="str">
        <f aca="false">IF(A3205="","",IFERROR(1/(1/INDEX(Numéros!$C$2:$C$3001,MATCH(A3205&amp;"|"&amp;B3205,Numéros!$F$2:$F$3001,0))),""))</f>
        <v/>
      </c>
      <c r="M3205" s="27" t="str">
        <f aca="false">IF(OR(G3205="",G3205="?"),"",IFERROR(INDEX(Pubs!$D$2:$D$3001,MATCH(G3205,Pubs!$A$2:$A$3001,0))&amp;"",""))</f>
        <v/>
      </c>
      <c r="N3205" s="27" t="n">
        <f aca="false">N(N3204)+IF(AND(A3205&lt;&gt;"",OR(Recherche!$C$4="",A3205=Recherche!$C$4),OR(Recherche!$C$5="",B3205&amp;""=Recherche!$C$5&amp;""),OR(Recherche!$C$6="",IFERROR(YEAR(L3205),0)=Recherche!$C$6),OR(Recherche!$C$7="",ISNUMBER(SEARCH(Recherche!$C$7,H3205))),OR(Recherche!$C$8="",J3205=Recherche!$C$8),OR(Recherche!$C$9="",I3205=Recherche!$C$9),OR(Recherche!$C$10="",G3205&amp;""=Recherche!$C$10&amp;""),OR(Recherche!$C$11="",E3205=Recherche!$C$11),OR(Recherche!$C$12="",ISNUMBER(SEARCH(Recherche!$C$12,M3205&amp;" "&amp;F3205)))),1,0)</f>
        <v>8</v>
      </c>
    </row>
    <row r="3206" customFormat="false" ht="15" hidden="false" customHeight="false" outlineLevel="0" collapsed="false">
      <c r="A3206" s="19"/>
      <c r="B3206" s="19"/>
      <c r="C3206" s="19"/>
      <c r="D3206" s="19"/>
      <c r="E3206" s="22"/>
      <c r="F3206" s="19"/>
      <c r="G3206" s="26" t="str">
        <f aca="false">IF(D3206="","",IFERROR(VALUE(LEFT(D3206,FIND(" |",D3206&amp;" |")-1)),"?"))</f>
        <v/>
      </c>
      <c r="H3206" s="27" t="str">
        <f aca="false">IF(G3206="","",IF(G3206="?","⚠ pub inconnue",IFERROR(INDEX(Pubs!$B$2:$B$3001,MATCH(G3206,Pubs!$A$2:$A$3001,0))&amp;"","⚠ pub inconnue")))</f>
        <v/>
      </c>
      <c r="I3206" s="27" t="str">
        <f aca="false">IF(OR(G3206="",G3206="?"),"",IFERROR(INDEX(Pubs!$C$2:$C$3001,MATCH(G3206,Pubs!$A$2:$A$3001,0))&amp;"",""))</f>
        <v/>
      </c>
      <c r="J3206" s="27" t="str">
        <f aca="false">IF(OR(G3206="",G3206="?"),"",IFERROR(INDEX(Pubs!$G$2:$G$3001,MATCH(G3206,Pubs!$A$2:$A$3001,0))&amp;"",""))</f>
        <v/>
      </c>
      <c r="K3206" s="28" t="str">
        <f aca="false">IF(OR(G3206="",G3206="?"),"",IFERROR(INDEX(Pubs!$E$2:$E$3001,MATCH(G3206,Pubs!$A$2:$A$3001,0)),""))</f>
        <v/>
      </c>
      <c r="L3206" s="29" t="str">
        <f aca="false">IF(A3206="","",IFERROR(1/(1/INDEX(Numéros!$C$2:$C$3001,MATCH(A3206&amp;"|"&amp;B3206,Numéros!$F$2:$F$3001,0))),""))</f>
        <v/>
      </c>
      <c r="M3206" s="27" t="str">
        <f aca="false">IF(OR(G3206="",G3206="?"),"",IFERROR(INDEX(Pubs!$D$2:$D$3001,MATCH(G3206,Pubs!$A$2:$A$3001,0))&amp;"",""))</f>
        <v/>
      </c>
      <c r="N3206" s="27" t="n">
        <f aca="false">N(N3205)+IF(AND(A3206&lt;&gt;"",OR(Recherche!$C$4="",A3206=Recherche!$C$4),OR(Recherche!$C$5="",B3206&amp;""=Recherche!$C$5&amp;""),OR(Recherche!$C$6="",IFERROR(YEAR(L3206),0)=Recherche!$C$6),OR(Recherche!$C$7="",ISNUMBER(SEARCH(Recherche!$C$7,H3206))),OR(Recherche!$C$8="",J3206=Recherche!$C$8),OR(Recherche!$C$9="",I3206=Recherche!$C$9),OR(Recherche!$C$10="",G3206&amp;""=Recherche!$C$10&amp;""),OR(Recherche!$C$11="",E3206=Recherche!$C$11),OR(Recherche!$C$12="",ISNUMBER(SEARCH(Recherche!$C$12,M3206&amp;" "&amp;F3206)))),1,0)</f>
        <v>8</v>
      </c>
    </row>
    <row r="3207" customFormat="false" ht="15" hidden="false" customHeight="false" outlineLevel="0" collapsed="false">
      <c r="A3207" s="19"/>
      <c r="B3207" s="19"/>
      <c r="C3207" s="19"/>
      <c r="D3207" s="19"/>
      <c r="E3207" s="22"/>
      <c r="F3207" s="19"/>
      <c r="G3207" s="26" t="str">
        <f aca="false">IF(D3207="","",IFERROR(VALUE(LEFT(D3207,FIND(" |",D3207&amp;" |")-1)),"?"))</f>
        <v/>
      </c>
      <c r="H3207" s="27" t="str">
        <f aca="false">IF(G3207="","",IF(G3207="?","⚠ pub inconnue",IFERROR(INDEX(Pubs!$B$2:$B$3001,MATCH(G3207,Pubs!$A$2:$A$3001,0))&amp;"","⚠ pub inconnue")))</f>
        <v/>
      </c>
      <c r="I3207" s="27" t="str">
        <f aca="false">IF(OR(G3207="",G3207="?"),"",IFERROR(INDEX(Pubs!$C$2:$C$3001,MATCH(G3207,Pubs!$A$2:$A$3001,0))&amp;"",""))</f>
        <v/>
      </c>
      <c r="J3207" s="27" t="str">
        <f aca="false">IF(OR(G3207="",G3207="?"),"",IFERROR(INDEX(Pubs!$G$2:$G$3001,MATCH(G3207,Pubs!$A$2:$A$3001,0))&amp;"",""))</f>
        <v/>
      </c>
      <c r="K3207" s="28" t="str">
        <f aca="false">IF(OR(G3207="",G3207="?"),"",IFERROR(INDEX(Pubs!$E$2:$E$3001,MATCH(G3207,Pubs!$A$2:$A$3001,0)),""))</f>
        <v/>
      </c>
      <c r="L3207" s="29" t="str">
        <f aca="false">IF(A3207="","",IFERROR(1/(1/INDEX(Numéros!$C$2:$C$3001,MATCH(A3207&amp;"|"&amp;B3207,Numéros!$F$2:$F$3001,0))),""))</f>
        <v/>
      </c>
      <c r="M3207" s="27" t="str">
        <f aca="false">IF(OR(G3207="",G3207="?"),"",IFERROR(INDEX(Pubs!$D$2:$D$3001,MATCH(G3207,Pubs!$A$2:$A$3001,0))&amp;"",""))</f>
        <v/>
      </c>
      <c r="N3207" s="27" t="n">
        <f aca="false">N(N3206)+IF(AND(A3207&lt;&gt;"",OR(Recherche!$C$4="",A3207=Recherche!$C$4),OR(Recherche!$C$5="",B3207&amp;""=Recherche!$C$5&amp;""),OR(Recherche!$C$6="",IFERROR(YEAR(L3207),0)=Recherche!$C$6),OR(Recherche!$C$7="",ISNUMBER(SEARCH(Recherche!$C$7,H3207))),OR(Recherche!$C$8="",J3207=Recherche!$C$8),OR(Recherche!$C$9="",I3207=Recherche!$C$9),OR(Recherche!$C$10="",G3207&amp;""=Recherche!$C$10&amp;""),OR(Recherche!$C$11="",E3207=Recherche!$C$11),OR(Recherche!$C$12="",ISNUMBER(SEARCH(Recherche!$C$12,M3207&amp;" "&amp;F3207)))),1,0)</f>
        <v>8</v>
      </c>
    </row>
    <row r="3208" customFormat="false" ht="15" hidden="false" customHeight="false" outlineLevel="0" collapsed="false">
      <c r="A3208" s="19"/>
      <c r="B3208" s="19"/>
      <c r="C3208" s="19"/>
      <c r="D3208" s="19"/>
      <c r="E3208" s="22"/>
      <c r="F3208" s="19"/>
      <c r="G3208" s="26" t="str">
        <f aca="false">IF(D3208="","",IFERROR(VALUE(LEFT(D3208,FIND(" |",D3208&amp;" |")-1)),"?"))</f>
        <v/>
      </c>
      <c r="H3208" s="27" t="str">
        <f aca="false">IF(G3208="","",IF(G3208="?","⚠ pub inconnue",IFERROR(INDEX(Pubs!$B$2:$B$3001,MATCH(G3208,Pubs!$A$2:$A$3001,0))&amp;"","⚠ pub inconnue")))</f>
        <v/>
      </c>
      <c r="I3208" s="27" t="str">
        <f aca="false">IF(OR(G3208="",G3208="?"),"",IFERROR(INDEX(Pubs!$C$2:$C$3001,MATCH(G3208,Pubs!$A$2:$A$3001,0))&amp;"",""))</f>
        <v/>
      </c>
      <c r="J3208" s="27" t="str">
        <f aca="false">IF(OR(G3208="",G3208="?"),"",IFERROR(INDEX(Pubs!$G$2:$G$3001,MATCH(G3208,Pubs!$A$2:$A$3001,0))&amp;"",""))</f>
        <v/>
      </c>
      <c r="K3208" s="28" t="str">
        <f aca="false">IF(OR(G3208="",G3208="?"),"",IFERROR(INDEX(Pubs!$E$2:$E$3001,MATCH(G3208,Pubs!$A$2:$A$3001,0)),""))</f>
        <v/>
      </c>
      <c r="L3208" s="29" t="str">
        <f aca="false">IF(A3208="","",IFERROR(1/(1/INDEX(Numéros!$C$2:$C$3001,MATCH(A3208&amp;"|"&amp;B3208,Numéros!$F$2:$F$3001,0))),""))</f>
        <v/>
      </c>
      <c r="M3208" s="27" t="str">
        <f aca="false">IF(OR(G3208="",G3208="?"),"",IFERROR(INDEX(Pubs!$D$2:$D$3001,MATCH(G3208,Pubs!$A$2:$A$3001,0))&amp;"",""))</f>
        <v/>
      </c>
      <c r="N3208" s="27" t="n">
        <f aca="false">N(N3207)+IF(AND(A3208&lt;&gt;"",OR(Recherche!$C$4="",A3208=Recherche!$C$4),OR(Recherche!$C$5="",B3208&amp;""=Recherche!$C$5&amp;""),OR(Recherche!$C$6="",IFERROR(YEAR(L3208),0)=Recherche!$C$6),OR(Recherche!$C$7="",ISNUMBER(SEARCH(Recherche!$C$7,H3208))),OR(Recherche!$C$8="",J3208=Recherche!$C$8),OR(Recherche!$C$9="",I3208=Recherche!$C$9),OR(Recherche!$C$10="",G3208&amp;""=Recherche!$C$10&amp;""),OR(Recherche!$C$11="",E3208=Recherche!$C$11),OR(Recherche!$C$12="",ISNUMBER(SEARCH(Recherche!$C$12,M3208&amp;" "&amp;F3208)))),1,0)</f>
        <v>8</v>
      </c>
    </row>
    <row r="3209" customFormat="false" ht="15" hidden="false" customHeight="false" outlineLevel="0" collapsed="false">
      <c r="A3209" s="19"/>
      <c r="B3209" s="19"/>
      <c r="C3209" s="19"/>
      <c r="D3209" s="19"/>
      <c r="E3209" s="22"/>
      <c r="F3209" s="19"/>
      <c r="G3209" s="26" t="str">
        <f aca="false">IF(D3209="","",IFERROR(VALUE(LEFT(D3209,FIND(" |",D3209&amp;" |")-1)),"?"))</f>
        <v/>
      </c>
      <c r="H3209" s="27" t="str">
        <f aca="false">IF(G3209="","",IF(G3209="?","⚠ pub inconnue",IFERROR(INDEX(Pubs!$B$2:$B$3001,MATCH(G3209,Pubs!$A$2:$A$3001,0))&amp;"","⚠ pub inconnue")))</f>
        <v/>
      </c>
      <c r="I3209" s="27" t="str">
        <f aca="false">IF(OR(G3209="",G3209="?"),"",IFERROR(INDEX(Pubs!$C$2:$C$3001,MATCH(G3209,Pubs!$A$2:$A$3001,0))&amp;"",""))</f>
        <v/>
      </c>
      <c r="J3209" s="27" t="str">
        <f aca="false">IF(OR(G3209="",G3209="?"),"",IFERROR(INDEX(Pubs!$G$2:$G$3001,MATCH(G3209,Pubs!$A$2:$A$3001,0))&amp;"",""))</f>
        <v/>
      </c>
      <c r="K3209" s="28" t="str">
        <f aca="false">IF(OR(G3209="",G3209="?"),"",IFERROR(INDEX(Pubs!$E$2:$E$3001,MATCH(G3209,Pubs!$A$2:$A$3001,0)),""))</f>
        <v/>
      </c>
      <c r="L3209" s="29" t="str">
        <f aca="false">IF(A3209="","",IFERROR(1/(1/INDEX(Numéros!$C$2:$C$3001,MATCH(A3209&amp;"|"&amp;B3209,Numéros!$F$2:$F$3001,0))),""))</f>
        <v/>
      </c>
      <c r="M3209" s="27" t="str">
        <f aca="false">IF(OR(G3209="",G3209="?"),"",IFERROR(INDEX(Pubs!$D$2:$D$3001,MATCH(G3209,Pubs!$A$2:$A$3001,0))&amp;"",""))</f>
        <v/>
      </c>
      <c r="N3209" s="27" t="n">
        <f aca="false">N(N3208)+IF(AND(A3209&lt;&gt;"",OR(Recherche!$C$4="",A3209=Recherche!$C$4),OR(Recherche!$C$5="",B3209&amp;""=Recherche!$C$5&amp;""),OR(Recherche!$C$6="",IFERROR(YEAR(L3209),0)=Recherche!$C$6),OR(Recherche!$C$7="",ISNUMBER(SEARCH(Recherche!$C$7,H3209))),OR(Recherche!$C$8="",J3209=Recherche!$C$8),OR(Recherche!$C$9="",I3209=Recherche!$C$9),OR(Recherche!$C$10="",G3209&amp;""=Recherche!$C$10&amp;""),OR(Recherche!$C$11="",E3209=Recherche!$C$11),OR(Recherche!$C$12="",ISNUMBER(SEARCH(Recherche!$C$12,M3209&amp;" "&amp;F3209)))),1,0)</f>
        <v>8</v>
      </c>
    </row>
    <row r="3210" customFormat="false" ht="15" hidden="false" customHeight="false" outlineLevel="0" collapsed="false">
      <c r="A3210" s="19"/>
      <c r="B3210" s="19"/>
      <c r="C3210" s="19"/>
      <c r="D3210" s="19"/>
      <c r="E3210" s="22"/>
      <c r="F3210" s="19"/>
      <c r="G3210" s="26" t="str">
        <f aca="false">IF(D3210="","",IFERROR(VALUE(LEFT(D3210,FIND(" |",D3210&amp;" |")-1)),"?"))</f>
        <v/>
      </c>
      <c r="H3210" s="27" t="str">
        <f aca="false">IF(G3210="","",IF(G3210="?","⚠ pub inconnue",IFERROR(INDEX(Pubs!$B$2:$B$3001,MATCH(G3210,Pubs!$A$2:$A$3001,0))&amp;"","⚠ pub inconnue")))</f>
        <v/>
      </c>
      <c r="I3210" s="27" t="str">
        <f aca="false">IF(OR(G3210="",G3210="?"),"",IFERROR(INDEX(Pubs!$C$2:$C$3001,MATCH(G3210,Pubs!$A$2:$A$3001,0))&amp;"",""))</f>
        <v/>
      </c>
      <c r="J3210" s="27" t="str">
        <f aca="false">IF(OR(G3210="",G3210="?"),"",IFERROR(INDEX(Pubs!$G$2:$G$3001,MATCH(G3210,Pubs!$A$2:$A$3001,0))&amp;"",""))</f>
        <v/>
      </c>
      <c r="K3210" s="28" t="str">
        <f aca="false">IF(OR(G3210="",G3210="?"),"",IFERROR(INDEX(Pubs!$E$2:$E$3001,MATCH(G3210,Pubs!$A$2:$A$3001,0)),""))</f>
        <v/>
      </c>
      <c r="L3210" s="29" t="str">
        <f aca="false">IF(A3210="","",IFERROR(1/(1/INDEX(Numéros!$C$2:$C$3001,MATCH(A3210&amp;"|"&amp;B3210,Numéros!$F$2:$F$3001,0))),""))</f>
        <v/>
      </c>
      <c r="M3210" s="27" t="str">
        <f aca="false">IF(OR(G3210="",G3210="?"),"",IFERROR(INDEX(Pubs!$D$2:$D$3001,MATCH(G3210,Pubs!$A$2:$A$3001,0))&amp;"",""))</f>
        <v/>
      </c>
      <c r="N3210" s="27" t="n">
        <f aca="false">N(N3209)+IF(AND(A3210&lt;&gt;"",OR(Recherche!$C$4="",A3210=Recherche!$C$4),OR(Recherche!$C$5="",B3210&amp;""=Recherche!$C$5&amp;""),OR(Recherche!$C$6="",IFERROR(YEAR(L3210),0)=Recherche!$C$6),OR(Recherche!$C$7="",ISNUMBER(SEARCH(Recherche!$C$7,H3210))),OR(Recherche!$C$8="",J3210=Recherche!$C$8),OR(Recherche!$C$9="",I3210=Recherche!$C$9),OR(Recherche!$C$10="",G3210&amp;""=Recherche!$C$10&amp;""),OR(Recherche!$C$11="",E3210=Recherche!$C$11),OR(Recherche!$C$12="",ISNUMBER(SEARCH(Recherche!$C$12,M3210&amp;" "&amp;F3210)))),1,0)</f>
        <v>8</v>
      </c>
    </row>
    <row r="3211" customFormat="false" ht="15" hidden="false" customHeight="false" outlineLevel="0" collapsed="false">
      <c r="A3211" s="19"/>
      <c r="B3211" s="19"/>
      <c r="C3211" s="19"/>
      <c r="D3211" s="19"/>
      <c r="E3211" s="22"/>
      <c r="F3211" s="19"/>
      <c r="G3211" s="26" t="str">
        <f aca="false">IF(D3211="","",IFERROR(VALUE(LEFT(D3211,FIND(" |",D3211&amp;" |")-1)),"?"))</f>
        <v/>
      </c>
      <c r="H3211" s="27" t="str">
        <f aca="false">IF(G3211="","",IF(G3211="?","⚠ pub inconnue",IFERROR(INDEX(Pubs!$B$2:$B$3001,MATCH(G3211,Pubs!$A$2:$A$3001,0))&amp;"","⚠ pub inconnue")))</f>
        <v/>
      </c>
      <c r="I3211" s="27" t="str">
        <f aca="false">IF(OR(G3211="",G3211="?"),"",IFERROR(INDEX(Pubs!$C$2:$C$3001,MATCH(G3211,Pubs!$A$2:$A$3001,0))&amp;"",""))</f>
        <v/>
      </c>
      <c r="J3211" s="27" t="str">
        <f aca="false">IF(OR(G3211="",G3211="?"),"",IFERROR(INDEX(Pubs!$G$2:$G$3001,MATCH(G3211,Pubs!$A$2:$A$3001,0))&amp;"",""))</f>
        <v/>
      </c>
      <c r="K3211" s="28" t="str">
        <f aca="false">IF(OR(G3211="",G3211="?"),"",IFERROR(INDEX(Pubs!$E$2:$E$3001,MATCH(G3211,Pubs!$A$2:$A$3001,0)),""))</f>
        <v/>
      </c>
      <c r="L3211" s="29" t="str">
        <f aca="false">IF(A3211="","",IFERROR(1/(1/INDEX(Numéros!$C$2:$C$3001,MATCH(A3211&amp;"|"&amp;B3211,Numéros!$F$2:$F$3001,0))),""))</f>
        <v/>
      </c>
      <c r="M3211" s="27" t="str">
        <f aca="false">IF(OR(G3211="",G3211="?"),"",IFERROR(INDEX(Pubs!$D$2:$D$3001,MATCH(G3211,Pubs!$A$2:$A$3001,0))&amp;"",""))</f>
        <v/>
      </c>
      <c r="N3211" s="27" t="n">
        <f aca="false">N(N3210)+IF(AND(A3211&lt;&gt;"",OR(Recherche!$C$4="",A3211=Recherche!$C$4),OR(Recherche!$C$5="",B3211&amp;""=Recherche!$C$5&amp;""),OR(Recherche!$C$6="",IFERROR(YEAR(L3211),0)=Recherche!$C$6),OR(Recherche!$C$7="",ISNUMBER(SEARCH(Recherche!$C$7,H3211))),OR(Recherche!$C$8="",J3211=Recherche!$C$8),OR(Recherche!$C$9="",I3211=Recherche!$C$9),OR(Recherche!$C$10="",G3211&amp;""=Recherche!$C$10&amp;""),OR(Recherche!$C$11="",E3211=Recherche!$C$11),OR(Recherche!$C$12="",ISNUMBER(SEARCH(Recherche!$C$12,M3211&amp;" "&amp;F3211)))),1,0)</f>
        <v>8</v>
      </c>
    </row>
    <row r="3212" customFormat="false" ht="15" hidden="false" customHeight="false" outlineLevel="0" collapsed="false">
      <c r="A3212" s="19"/>
      <c r="B3212" s="19"/>
      <c r="C3212" s="19"/>
      <c r="D3212" s="19"/>
      <c r="E3212" s="22"/>
      <c r="F3212" s="19"/>
      <c r="G3212" s="26" t="str">
        <f aca="false">IF(D3212="","",IFERROR(VALUE(LEFT(D3212,FIND(" |",D3212&amp;" |")-1)),"?"))</f>
        <v/>
      </c>
      <c r="H3212" s="27" t="str">
        <f aca="false">IF(G3212="","",IF(G3212="?","⚠ pub inconnue",IFERROR(INDEX(Pubs!$B$2:$B$3001,MATCH(G3212,Pubs!$A$2:$A$3001,0))&amp;"","⚠ pub inconnue")))</f>
        <v/>
      </c>
      <c r="I3212" s="27" t="str">
        <f aca="false">IF(OR(G3212="",G3212="?"),"",IFERROR(INDEX(Pubs!$C$2:$C$3001,MATCH(G3212,Pubs!$A$2:$A$3001,0))&amp;"",""))</f>
        <v/>
      </c>
      <c r="J3212" s="27" t="str">
        <f aca="false">IF(OR(G3212="",G3212="?"),"",IFERROR(INDEX(Pubs!$G$2:$G$3001,MATCH(G3212,Pubs!$A$2:$A$3001,0))&amp;"",""))</f>
        <v/>
      </c>
      <c r="K3212" s="28" t="str">
        <f aca="false">IF(OR(G3212="",G3212="?"),"",IFERROR(INDEX(Pubs!$E$2:$E$3001,MATCH(G3212,Pubs!$A$2:$A$3001,0)),""))</f>
        <v/>
      </c>
      <c r="L3212" s="29" t="str">
        <f aca="false">IF(A3212="","",IFERROR(1/(1/INDEX(Numéros!$C$2:$C$3001,MATCH(A3212&amp;"|"&amp;B3212,Numéros!$F$2:$F$3001,0))),""))</f>
        <v/>
      </c>
      <c r="M3212" s="27" t="str">
        <f aca="false">IF(OR(G3212="",G3212="?"),"",IFERROR(INDEX(Pubs!$D$2:$D$3001,MATCH(G3212,Pubs!$A$2:$A$3001,0))&amp;"",""))</f>
        <v/>
      </c>
      <c r="N3212" s="27" t="n">
        <f aca="false">N(N3211)+IF(AND(A3212&lt;&gt;"",OR(Recherche!$C$4="",A3212=Recherche!$C$4),OR(Recherche!$C$5="",B3212&amp;""=Recherche!$C$5&amp;""),OR(Recherche!$C$6="",IFERROR(YEAR(L3212),0)=Recherche!$C$6),OR(Recherche!$C$7="",ISNUMBER(SEARCH(Recherche!$C$7,H3212))),OR(Recherche!$C$8="",J3212=Recherche!$C$8),OR(Recherche!$C$9="",I3212=Recherche!$C$9),OR(Recherche!$C$10="",G3212&amp;""=Recherche!$C$10&amp;""),OR(Recherche!$C$11="",E3212=Recherche!$C$11),OR(Recherche!$C$12="",ISNUMBER(SEARCH(Recherche!$C$12,M3212&amp;" "&amp;F3212)))),1,0)</f>
        <v>8</v>
      </c>
    </row>
    <row r="3213" customFormat="false" ht="15" hidden="false" customHeight="false" outlineLevel="0" collapsed="false">
      <c r="A3213" s="19"/>
      <c r="B3213" s="19"/>
      <c r="C3213" s="19"/>
      <c r="D3213" s="19"/>
      <c r="E3213" s="22"/>
      <c r="F3213" s="19"/>
      <c r="G3213" s="26" t="str">
        <f aca="false">IF(D3213="","",IFERROR(VALUE(LEFT(D3213,FIND(" |",D3213&amp;" |")-1)),"?"))</f>
        <v/>
      </c>
      <c r="H3213" s="27" t="str">
        <f aca="false">IF(G3213="","",IF(G3213="?","⚠ pub inconnue",IFERROR(INDEX(Pubs!$B$2:$B$3001,MATCH(G3213,Pubs!$A$2:$A$3001,0))&amp;"","⚠ pub inconnue")))</f>
        <v/>
      </c>
      <c r="I3213" s="27" t="str">
        <f aca="false">IF(OR(G3213="",G3213="?"),"",IFERROR(INDEX(Pubs!$C$2:$C$3001,MATCH(G3213,Pubs!$A$2:$A$3001,0))&amp;"",""))</f>
        <v/>
      </c>
      <c r="J3213" s="27" t="str">
        <f aca="false">IF(OR(G3213="",G3213="?"),"",IFERROR(INDEX(Pubs!$G$2:$G$3001,MATCH(G3213,Pubs!$A$2:$A$3001,0))&amp;"",""))</f>
        <v/>
      </c>
      <c r="K3213" s="28" t="str">
        <f aca="false">IF(OR(G3213="",G3213="?"),"",IFERROR(INDEX(Pubs!$E$2:$E$3001,MATCH(G3213,Pubs!$A$2:$A$3001,0)),""))</f>
        <v/>
      </c>
      <c r="L3213" s="29" t="str">
        <f aca="false">IF(A3213="","",IFERROR(1/(1/INDEX(Numéros!$C$2:$C$3001,MATCH(A3213&amp;"|"&amp;B3213,Numéros!$F$2:$F$3001,0))),""))</f>
        <v/>
      </c>
      <c r="M3213" s="27" t="str">
        <f aca="false">IF(OR(G3213="",G3213="?"),"",IFERROR(INDEX(Pubs!$D$2:$D$3001,MATCH(G3213,Pubs!$A$2:$A$3001,0))&amp;"",""))</f>
        <v/>
      </c>
      <c r="N3213" s="27" t="n">
        <f aca="false">N(N3212)+IF(AND(A3213&lt;&gt;"",OR(Recherche!$C$4="",A3213=Recherche!$C$4),OR(Recherche!$C$5="",B3213&amp;""=Recherche!$C$5&amp;""),OR(Recherche!$C$6="",IFERROR(YEAR(L3213),0)=Recherche!$C$6),OR(Recherche!$C$7="",ISNUMBER(SEARCH(Recherche!$C$7,H3213))),OR(Recherche!$C$8="",J3213=Recherche!$C$8),OR(Recherche!$C$9="",I3213=Recherche!$C$9),OR(Recherche!$C$10="",G3213&amp;""=Recherche!$C$10&amp;""),OR(Recherche!$C$11="",E3213=Recherche!$C$11),OR(Recherche!$C$12="",ISNUMBER(SEARCH(Recherche!$C$12,M3213&amp;" "&amp;F3213)))),1,0)</f>
        <v>8</v>
      </c>
    </row>
    <row r="3214" customFormat="false" ht="15" hidden="false" customHeight="false" outlineLevel="0" collapsed="false">
      <c r="A3214" s="19"/>
      <c r="B3214" s="19"/>
      <c r="C3214" s="19"/>
      <c r="D3214" s="19"/>
      <c r="E3214" s="22"/>
      <c r="F3214" s="19"/>
      <c r="G3214" s="26" t="str">
        <f aca="false">IF(D3214="","",IFERROR(VALUE(LEFT(D3214,FIND(" |",D3214&amp;" |")-1)),"?"))</f>
        <v/>
      </c>
      <c r="H3214" s="27" t="str">
        <f aca="false">IF(G3214="","",IF(G3214="?","⚠ pub inconnue",IFERROR(INDEX(Pubs!$B$2:$B$3001,MATCH(G3214,Pubs!$A$2:$A$3001,0))&amp;"","⚠ pub inconnue")))</f>
        <v/>
      </c>
      <c r="I3214" s="27" t="str">
        <f aca="false">IF(OR(G3214="",G3214="?"),"",IFERROR(INDEX(Pubs!$C$2:$C$3001,MATCH(G3214,Pubs!$A$2:$A$3001,0))&amp;"",""))</f>
        <v/>
      </c>
      <c r="J3214" s="27" t="str">
        <f aca="false">IF(OR(G3214="",G3214="?"),"",IFERROR(INDEX(Pubs!$G$2:$G$3001,MATCH(G3214,Pubs!$A$2:$A$3001,0))&amp;"",""))</f>
        <v/>
      </c>
      <c r="K3214" s="28" t="str">
        <f aca="false">IF(OR(G3214="",G3214="?"),"",IFERROR(INDEX(Pubs!$E$2:$E$3001,MATCH(G3214,Pubs!$A$2:$A$3001,0)),""))</f>
        <v/>
      </c>
      <c r="L3214" s="29" t="str">
        <f aca="false">IF(A3214="","",IFERROR(1/(1/INDEX(Numéros!$C$2:$C$3001,MATCH(A3214&amp;"|"&amp;B3214,Numéros!$F$2:$F$3001,0))),""))</f>
        <v/>
      </c>
      <c r="M3214" s="27" t="str">
        <f aca="false">IF(OR(G3214="",G3214="?"),"",IFERROR(INDEX(Pubs!$D$2:$D$3001,MATCH(G3214,Pubs!$A$2:$A$3001,0))&amp;"",""))</f>
        <v/>
      </c>
      <c r="N3214" s="27" t="n">
        <f aca="false">N(N3213)+IF(AND(A3214&lt;&gt;"",OR(Recherche!$C$4="",A3214=Recherche!$C$4),OR(Recherche!$C$5="",B3214&amp;""=Recherche!$C$5&amp;""),OR(Recherche!$C$6="",IFERROR(YEAR(L3214),0)=Recherche!$C$6),OR(Recherche!$C$7="",ISNUMBER(SEARCH(Recherche!$C$7,H3214))),OR(Recherche!$C$8="",J3214=Recherche!$C$8),OR(Recherche!$C$9="",I3214=Recherche!$C$9),OR(Recherche!$C$10="",G3214&amp;""=Recherche!$C$10&amp;""),OR(Recherche!$C$11="",E3214=Recherche!$C$11),OR(Recherche!$C$12="",ISNUMBER(SEARCH(Recherche!$C$12,M3214&amp;" "&amp;F3214)))),1,0)</f>
        <v>8</v>
      </c>
    </row>
    <row r="3215" customFormat="false" ht="15" hidden="false" customHeight="false" outlineLevel="0" collapsed="false">
      <c r="A3215" s="19"/>
      <c r="B3215" s="19"/>
      <c r="C3215" s="19"/>
      <c r="D3215" s="19"/>
      <c r="E3215" s="22"/>
      <c r="F3215" s="19"/>
      <c r="G3215" s="26" t="str">
        <f aca="false">IF(D3215="","",IFERROR(VALUE(LEFT(D3215,FIND(" |",D3215&amp;" |")-1)),"?"))</f>
        <v/>
      </c>
      <c r="H3215" s="27" t="str">
        <f aca="false">IF(G3215="","",IF(G3215="?","⚠ pub inconnue",IFERROR(INDEX(Pubs!$B$2:$B$3001,MATCH(G3215,Pubs!$A$2:$A$3001,0))&amp;"","⚠ pub inconnue")))</f>
        <v/>
      </c>
      <c r="I3215" s="27" t="str">
        <f aca="false">IF(OR(G3215="",G3215="?"),"",IFERROR(INDEX(Pubs!$C$2:$C$3001,MATCH(G3215,Pubs!$A$2:$A$3001,0))&amp;"",""))</f>
        <v/>
      </c>
      <c r="J3215" s="27" t="str">
        <f aca="false">IF(OR(G3215="",G3215="?"),"",IFERROR(INDEX(Pubs!$G$2:$G$3001,MATCH(G3215,Pubs!$A$2:$A$3001,0))&amp;"",""))</f>
        <v/>
      </c>
      <c r="K3215" s="28" t="str">
        <f aca="false">IF(OR(G3215="",G3215="?"),"",IFERROR(INDEX(Pubs!$E$2:$E$3001,MATCH(G3215,Pubs!$A$2:$A$3001,0)),""))</f>
        <v/>
      </c>
      <c r="L3215" s="29" t="str">
        <f aca="false">IF(A3215="","",IFERROR(1/(1/INDEX(Numéros!$C$2:$C$3001,MATCH(A3215&amp;"|"&amp;B3215,Numéros!$F$2:$F$3001,0))),""))</f>
        <v/>
      </c>
      <c r="M3215" s="27" t="str">
        <f aca="false">IF(OR(G3215="",G3215="?"),"",IFERROR(INDEX(Pubs!$D$2:$D$3001,MATCH(G3215,Pubs!$A$2:$A$3001,0))&amp;"",""))</f>
        <v/>
      </c>
      <c r="N3215" s="27" t="n">
        <f aca="false">N(N3214)+IF(AND(A3215&lt;&gt;"",OR(Recherche!$C$4="",A3215=Recherche!$C$4),OR(Recherche!$C$5="",B3215&amp;""=Recherche!$C$5&amp;""),OR(Recherche!$C$6="",IFERROR(YEAR(L3215),0)=Recherche!$C$6),OR(Recherche!$C$7="",ISNUMBER(SEARCH(Recherche!$C$7,H3215))),OR(Recherche!$C$8="",J3215=Recherche!$C$8),OR(Recherche!$C$9="",I3215=Recherche!$C$9),OR(Recherche!$C$10="",G3215&amp;""=Recherche!$C$10&amp;""),OR(Recherche!$C$11="",E3215=Recherche!$C$11),OR(Recherche!$C$12="",ISNUMBER(SEARCH(Recherche!$C$12,M3215&amp;" "&amp;F3215)))),1,0)</f>
        <v>8</v>
      </c>
    </row>
    <row r="3216" customFormat="false" ht="15" hidden="false" customHeight="false" outlineLevel="0" collapsed="false">
      <c r="A3216" s="19"/>
      <c r="B3216" s="19"/>
      <c r="C3216" s="19"/>
      <c r="D3216" s="19"/>
      <c r="E3216" s="22"/>
      <c r="F3216" s="19"/>
      <c r="G3216" s="26" t="str">
        <f aca="false">IF(D3216="","",IFERROR(VALUE(LEFT(D3216,FIND(" |",D3216&amp;" |")-1)),"?"))</f>
        <v/>
      </c>
      <c r="H3216" s="27" t="str">
        <f aca="false">IF(G3216="","",IF(G3216="?","⚠ pub inconnue",IFERROR(INDEX(Pubs!$B$2:$B$3001,MATCH(G3216,Pubs!$A$2:$A$3001,0))&amp;"","⚠ pub inconnue")))</f>
        <v/>
      </c>
      <c r="I3216" s="27" t="str">
        <f aca="false">IF(OR(G3216="",G3216="?"),"",IFERROR(INDEX(Pubs!$C$2:$C$3001,MATCH(G3216,Pubs!$A$2:$A$3001,0))&amp;"",""))</f>
        <v/>
      </c>
      <c r="J3216" s="27" t="str">
        <f aca="false">IF(OR(G3216="",G3216="?"),"",IFERROR(INDEX(Pubs!$G$2:$G$3001,MATCH(G3216,Pubs!$A$2:$A$3001,0))&amp;"",""))</f>
        <v/>
      </c>
      <c r="K3216" s="28" t="str">
        <f aca="false">IF(OR(G3216="",G3216="?"),"",IFERROR(INDEX(Pubs!$E$2:$E$3001,MATCH(G3216,Pubs!$A$2:$A$3001,0)),""))</f>
        <v/>
      </c>
      <c r="L3216" s="29" t="str">
        <f aca="false">IF(A3216="","",IFERROR(1/(1/INDEX(Numéros!$C$2:$C$3001,MATCH(A3216&amp;"|"&amp;B3216,Numéros!$F$2:$F$3001,0))),""))</f>
        <v/>
      </c>
      <c r="M3216" s="27" t="str">
        <f aca="false">IF(OR(G3216="",G3216="?"),"",IFERROR(INDEX(Pubs!$D$2:$D$3001,MATCH(G3216,Pubs!$A$2:$A$3001,0))&amp;"",""))</f>
        <v/>
      </c>
      <c r="N3216" s="27" t="n">
        <f aca="false">N(N3215)+IF(AND(A3216&lt;&gt;"",OR(Recherche!$C$4="",A3216=Recherche!$C$4),OR(Recherche!$C$5="",B3216&amp;""=Recherche!$C$5&amp;""),OR(Recherche!$C$6="",IFERROR(YEAR(L3216),0)=Recherche!$C$6),OR(Recherche!$C$7="",ISNUMBER(SEARCH(Recherche!$C$7,H3216))),OR(Recherche!$C$8="",J3216=Recherche!$C$8),OR(Recherche!$C$9="",I3216=Recherche!$C$9),OR(Recherche!$C$10="",G3216&amp;""=Recherche!$C$10&amp;""),OR(Recherche!$C$11="",E3216=Recherche!$C$11),OR(Recherche!$C$12="",ISNUMBER(SEARCH(Recherche!$C$12,M3216&amp;" "&amp;F3216)))),1,0)</f>
        <v>8</v>
      </c>
    </row>
    <row r="3217" customFormat="false" ht="15" hidden="false" customHeight="false" outlineLevel="0" collapsed="false">
      <c r="A3217" s="19"/>
      <c r="B3217" s="19"/>
      <c r="C3217" s="19"/>
      <c r="D3217" s="19"/>
      <c r="E3217" s="22"/>
      <c r="F3217" s="19"/>
      <c r="G3217" s="26" t="str">
        <f aca="false">IF(D3217="","",IFERROR(VALUE(LEFT(D3217,FIND(" |",D3217&amp;" |")-1)),"?"))</f>
        <v/>
      </c>
      <c r="H3217" s="27" t="str">
        <f aca="false">IF(G3217="","",IF(G3217="?","⚠ pub inconnue",IFERROR(INDEX(Pubs!$B$2:$B$3001,MATCH(G3217,Pubs!$A$2:$A$3001,0))&amp;"","⚠ pub inconnue")))</f>
        <v/>
      </c>
      <c r="I3217" s="27" t="str">
        <f aca="false">IF(OR(G3217="",G3217="?"),"",IFERROR(INDEX(Pubs!$C$2:$C$3001,MATCH(G3217,Pubs!$A$2:$A$3001,0))&amp;"",""))</f>
        <v/>
      </c>
      <c r="J3217" s="27" t="str">
        <f aca="false">IF(OR(G3217="",G3217="?"),"",IFERROR(INDEX(Pubs!$G$2:$G$3001,MATCH(G3217,Pubs!$A$2:$A$3001,0))&amp;"",""))</f>
        <v/>
      </c>
      <c r="K3217" s="28" t="str">
        <f aca="false">IF(OR(G3217="",G3217="?"),"",IFERROR(INDEX(Pubs!$E$2:$E$3001,MATCH(G3217,Pubs!$A$2:$A$3001,0)),""))</f>
        <v/>
      </c>
      <c r="L3217" s="29" t="str">
        <f aca="false">IF(A3217="","",IFERROR(1/(1/INDEX(Numéros!$C$2:$C$3001,MATCH(A3217&amp;"|"&amp;B3217,Numéros!$F$2:$F$3001,0))),""))</f>
        <v/>
      </c>
      <c r="M3217" s="27" t="str">
        <f aca="false">IF(OR(G3217="",G3217="?"),"",IFERROR(INDEX(Pubs!$D$2:$D$3001,MATCH(G3217,Pubs!$A$2:$A$3001,0))&amp;"",""))</f>
        <v/>
      </c>
      <c r="N3217" s="27" t="n">
        <f aca="false">N(N3216)+IF(AND(A3217&lt;&gt;"",OR(Recherche!$C$4="",A3217=Recherche!$C$4),OR(Recherche!$C$5="",B3217&amp;""=Recherche!$C$5&amp;""),OR(Recherche!$C$6="",IFERROR(YEAR(L3217),0)=Recherche!$C$6),OR(Recherche!$C$7="",ISNUMBER(SEARCH(Recherche!$C$7,H3217))),OR(Recherche!$C$8="",J3217=Recherche!$C$8),OR(Recherche!$C$9="",I3217=Recherche!$C$9),OR(Recherche!$C$10="",G3217&amp;""=Recherche!$C$10&amp;""),OR(Recherche!$C$11="",E3217=Recherche!$C$11),OR(Recherche!$C$12="",ISNUMBER(SEARCH(Recherche!$C$12,M3217&amp;" "&amp;F3217)))),1,0)</f>
        <v>8</v>
      </c>
    </row>
    <row r="3218" customFormat="false" ht="15" hidden="false" customHeight="false" outlineLevel="0" collapsed="false">
      <c r="A3218" s="19"/>
      <c r="B3218" s="19"/>
      <c r="C3218" s="19"/>
      <c r="D3218" s="19"/>
      <c r="E3218" s="22"/>
      <c r="F3218" s="19"/>
      <c r="G3218" s="26" t="str">
        <f aca="false">IF(D3218="","",IFERROR(VALUE(LEFT(D3218,FIND(" |",D3218&amp;" |")-1)),"?"))</f>
        <v/>
      </c>
      <c r="H3218" s="27" t="str">
        <f aca="false">IF(G3218="","",IF(G3218="?","⚠ pub inconnue",IFERROR(INDEX(Pubs!$B$2:$B$3001,MATCH(G3218,Pubs!$A$2:$A$3001,0))&amp;"","⚠ pub inconnue")))</f>
        <v/>
      </c>
      <c r="I3218" s="27" t="str">
        <f aca="false">IF(OR(G3218="",G3218="?"),"",IFERROR(INDEX(Pubs!$C$2:$C$3001,MATCH(G3218,Pubs!$A$2:$A$3001,0))&amp;"",""))</f>
        <v/>
      </c>
      <c r="J3218" s="27" t="str">
        <f aca="false">IF(OR(G3218="",G3218="?"),"",IFERROR(INDEX(Pubs!$G$2:$G$3001,MATCH(G3218,Pubs!$A$2:$A$3001,0))&amp;"",""))</f>
        <v/>
      </c>
      <c r="K3218" s="28" t="str">
        <f aca="false">IF(OR(G3218="",G3218="?"),"",IFERROR(INDEX(Pubs!$E$2:$E$3001,MATCH(G3218,Pubs!$A$2:$A$3001,0)),""))</f>
        <v/>
      </c>
      <c r="L3218" s="29" t="str">
        <f aca="false">IF(A3218="","",IFERROR(1/(1/INDEX(Numéros!$C$2:$C$3001,MATCH(A3218&amp;"|"&amp;B3218,Numéros!$F$2:$F$3001,0))),""))</f>
        <v/>
      </c>
      <c r="M3218" s="27" t="str">
        <f aca="false">IF(OR(G3218="",G3218="?"),"",IFERROR(INDEX(Pubs!$D$2:$D$3001,MATCH(G3218,Pubs!$A$2:$A$3001,0))&amp;"",""))</f>
        <v/>
      </c>
      <c r="N3218" s="27" t="n">
        <f aca="false">N(N3217)+IF(AND(A3218&lt;&gt;"",OR(Recherche!$C$4="",A3218=Recherche!$C$4),OR(Recherche!$C$5="",B3218&amp;""=Recherche!$C$5&amp;""),OR(Recherche!$C$6="",IFERROR(YEAR(L3218),0)=Recherche!$C$6),OR(Recherche!$C$7="",ISNUMBER(SEARCH(Recherche!$C$7,H3218))),OR(Recherche!$C$8="",J3218=Recherche!$C$8),OR(Recherche!$C$9="",I3218=Recherche!$C$9),OR(Recherche!$C$10="",G3218&amp;""=Recherche!$C$10&amp;""),OR(Recherche!$C$11="",E3218=Recherche!$C$11),OR(Recherche!$C$12="",ISNUMBER(SEARCH(Recherche!$C$12,M3218&amp;" "&amp;F3218)))),1,0)</f>
        <v>8</v>
      </c>
    </row>
    <row r="3219" customFormat="false" ht="15" hidden="false" customHeight="false" outlineLevel="0" collapsed="false">
      <c r="A3219" s="19"/>
      <c r="B3219" s="19"/>
      <c r="C3219" s="19"/>
      <c r="D3219" s="19"/>
      <c r="E3219" s="22"/>
      <c r="F3219" s="19"/>
      <c r="G3219" s="26" t="str">
        <f aca="false">IF(D3219="","",IFERROR(VALUE(LEFT(D3219,FIND(" |",D3219&amp;" |")-1)),"?"))</f>
        <v/>
      </c>
      <c r="H3219" s="27" t="str">
        <f aca="false">IF(G3219="","",IF(G3219="?","⚠ pub inconnue",IFERROR(INDEX(Pubs!$B$2:$B$3001,MATCH(G3219,Pubs!$A$2:$A$3001,0))&amp;"","⚠ pub inconnue")))</f>
        <v/>
      </c>
      <c r="I3219" s="27" t="str">
        <f aca="false">IF(OR(G3219="",G3219="?"),"",IFERROR(INDEX(Pubs!$C$2:$C$3001,MATCH(G3219,Pubs!$A$2:$A$3001,0))&amp;"",""))</f>
        <v/>
      </c>
      <c r="J3219" s="27" t="str">
        <f aca="false">IF(OR(G3219="",G3219="?"),"",IFERROR(INDEX(Pubs!$G$2:$G$3001,MATCH(G3219,Pubs!$A$2:$A$3001,0))&amp;"",""))</f>
        <v/>
      </c>
      <c r="K3219" s="28" t="str">
        <f aca="false">IF(OR(G3219="",G3219="?"),"",IFERROR(INDEX(Pubs!$E$2:$E$3001,MATCH(G3219,Pubs!$A$2:$A$3001,0)),""))</f>
        <v/>
      </c>
      <c r="L3219" s="29" t="str">
        <f aca="false">IF(A3219="","",IFERROR(1/(1/INDEX(Numéros!$C$2:$C$3001,MATCH(A3219&amp;"|"&amp;B3219,Numéros!$F$2:$F$3001,0))),""))</f>
        <v/>
      </c>
      <c r="M3219" s="27" t="str">
        <f aca="false">IF(OR(G3219="",G3219="?"),"",IFERROR(INDEX(Pubs!$D$2:$D$3001,MATCH(G3219,Pubs!$A$2:$A$3001,0))&amp;"",""))</f>
        <v/>
      </c>
      <c r="N3219" s="27" t="n">
        <f aca="false">N(N3218)+IF(AND(A3219&lt;&gt;"",OR(Recherche!$C$4="",A3219=Recherche!$C$4),OR(Recherche!$C$5="",B3219&amp;""=Recherche!$C$5&amp;""),OR(Recherche!$C$6="",IFERROR(YEAR(L3219),0)=Recherche!$C$6),OR(Recherche!$C$7="",ISNUMBER(SEARCH(Recherche!$C$7,H3219))),OR(Recherche!$C$8="",J3219=Recherche!$C$8),OR(Recherche!$C$9="",I3219=Recherche!$C$9),OR(Recherche!$C$10="",G3219&amp;""=Recherche!$C$10&amp;""),OR(Recherche!$C$11="",E3219=Recherche!$C$11),OR(Recherche!$C$12="",ISNUMBER(SEARCH(Recherche!$C$12,M3219&amp;" "&amp;F3219)))),1,0)</f>
        <v>8</v>
      </c>
    </row>
    <row r="3220" customFormat="false" ht="15" hidden="false" customHeight="false" outlineLevel="0" collapsed="false">
      <c r="A3220" s="19"/>
      <c r="B3220" s="19"/>
      <c r="C3220" s="19"/>
      <c r="D3220" s="19"/>
      <c r="E3220" s="22"/>
      <c r="F3220" s="19"/>
      <c r="G3220" s="26" t="str">
        <f aca="false">IF(D3220="","",IFERROR(VALUE(LEFT(D3220,FIND(" |",D3220&amp;" |")-1)),"?"))</f>
        <v/>
      </c>
      <c r="H3220" s="27" t="str">
        <f aca="false">IF(G3220="","",IF(G3220="?","⚠ pub inconnue",IFERROR(INDEX(Pubs!$B$2:$B$3001,MATCH(G3220,Pubs!$A$2:$A$3001,0))&amp;"","⚠ pub inconnue")))</f>
        <v/>
      </c>
      <c r="I3220" s="27" t="str">
        <f aca="false">IF(OR(G3220="",G3220="?"),"",IFERROR(INDEX(Pubs!$C$2:$C$3001,MATCH(G3220,Pubs!$A$2:$A$3001,0))&amp;"",""))</f>
        <v/>
      </c>
      <c r="J3220" s="27" t="str">
        <f aca="false">IF(OR(G3220="",G3220="?"),"",IFERROR(INDEX(Pubs!$G$2:$G$3001,MATCH(G3220,Pubs!$A$2:$A$3001,0))&amp;"",""))</f>
        <v/>
      </c>
      <c r="K3220" s="28" t="str">
        <f aca="false">IF(OR(G3220="",G3220="?"),"",IFERROR(INDEX(Pubs!$E$2:$E$3001,MATCH(G3220,Pubs!$A$2:$A$3001,0)),""))</f>
        <v/>
      </c>
      <c r="L3220" s="29" t="str">
        <f aca="false">IF(A3220="","",IFERROR(1/(1/INDEX(Numéros!$C$2:$C$3001,MATCH(A3220&amp;"|"&amp;B3220,Numéros!$F$2:$F$3001,0))),""))</f>
        <v/>
      </c>
      <c r="M3220" s="27" t="str">
        <f aca="false">IF(OR(G3220="",G3220="?"),"",IFERROR(INDEX(Pubs!$D$2:$D$3001,MATCH(G3220,Pubs!$A$2:$A$3001,0))&amp;"",""))</f>
        <v/>
      </c>
      <c r="N3220" s="27" t="n">
        <f aca="false">N(N3219)+IF(AND(A3220&lt;&gt;"",OR(Recherche!$C$4="",A3220=Recherche!$C$4),OR(Recherche!$C$5="",B3220&amp;""=Recherche!$C$5&amp;""),OR(Recherche!$C$6="",IFERROR(YEAR(L3220),0)=Recherche!$C$6),OR(Recherche!$C$7="",ISNUMBER(SEARCH(Recherche!$C$7,H3220))),OR(Recherche!$C$8="",J3220=Recherche!$C$8),OR(Recherche!$C$9="",I3220=Recherche!$C$9),OR(Recherche!$C$10="",G3220&amp;""=Recherche!$C$10&amp;""),OR(Recherche!$C$11="",E3220=Recherche!$C$11),OR(Recherche!$C$12="",ISNUMBER(SEARCH(Recherche!$C$12,M3220&amp;" "&amp;F3220)))),1,0)</f>
        <v>8</v>
      </c>
    </row>
    <row r="3221" customFormat="false" ht="15" hidden="false" customHeight="false" outlineLevel="0" collapsed="false">
      <c r="A3221" s="19"/>
      <c r="B3221" s="19"/>
      <c r="C3221" s="19"/>
      <c r="D3221" s="19"/>
      <c r="E3221" s="22"/>
      <c r="F3221" s="19"/>
      <c r="G3221" s="26" t="str">
        <f aca="false">IF(D3221="","",IFERROR(VALUE(LEFT(D3221,FIND(" |",D3221&amp;" |")-1)),"?"))</f>
        <v/>
      </c>
      <c r="H3221" s="27" t="str">
        <f aca="false">IF(G3221="","",IF(G3221="?","⚠ pub inconnue",IFERROR(INDEX(Pubs!$B$2:$B$3001,MATCH(G3221,Pubs!$A$2:$A$3001,0))&amp;"","⚠ pub inconnue")))</f>
        <v/>
      </c>
      <c r="I3221" s="27" t="str">
        <f aca="false">IF(OR(G3221="",G3221="?"),"",IFERROR(INDEX(Pubs!$C$2:$C$3001,MATCH(G3221,Pubs!$A$2:$A$3001,0))&amp;"",""))</f>
        <v/>
      </c>
      <c r="J3221" s="27" t="str">
        <f aca="false">IF(OR(G3221="",G3221="?"),"",IFERROR(INDEX(Pubs!$G$2:$G$3001,MATCH(G3221,Pubs!$A$2:$A$3001,0))&amp;"",""))</f>
        <v/>
      </c>
      <c r="K3221" s="28" t="str">
        <f aca="false">IF(OR(G3221="",G3221="?"),"",IFERROR(INDEX(Pubs!$E$2:$E$3001,MATCH(G3221,Pubs!$A$2:$A$3001,0)),""))</f>
        <v/>
      </c>
      <c r="L3221" s="29" t="str">
        <f aca="false">IF(A3221="","",IFERROR(1/(1/INDEX(Numéros!$C$2:$C$3001,MATCH(A3221&amp;"|"&amp;B3221,Numéros!$F$2:$F$3001,0))),""))</f>
        <v/>
      </c>
      <c r="M3221" s="27" t="str">
        <f aca="false">IF(OR(G3221="",G3221="?"),"",IFERROR(INDEX(Pubs!$D$2:$D$3001,MATCH(G3221,Pubs!$A$2:$A$3001,0))&amp;"",""))</f>
        <v/>
      </c>
      <c r="N3221" s="27" t="n">
        <f aca="false">N(N3220)+IF(AND(A3221&lt;&gt;"",OR(Recherche!$C$4="",A3221=Recherche!$C$4),OR(Recherche!$C$5="",B3221&amp;""=Recherche!$C$5&amp;""),OR(Recherche!$C$6="",IFERROR(YEAR(L3221),0)=Recherche!$C$6),OR(Recherche!$C$7="",ISNUMBER(SEARCH(Recherche!$C$7,H3221))),OR(Recherche!$C$8="",J3221=Recherche!$C$8),OR(Recherche!$C$9="",I3221=Recherche!$C$9),OR(Recherche!$C$10="",G3221&amp;""=Recherche!$C$10&amp;""),OR(Recherche!$C$11="",E3221=Recherche!$C$11),OR(Recherche!$C$12="",ISNUMBER(SEARCH(Recherche!$C$12,M3221&amp;" "&amp;F3221)))),1,0)</f>
        <v>8</v>
      </c>
    </row>
    <row r="3222" customFormat="false" ht="15" hidden="false" customHeight="false" outlineLevel="0" collapsed="false">
      <c r="A3222" s="19"/>
      <c r="B3222" s="19"/>
      <c r="C3222" s="19"/>
      <c r="D3222" s="19"/>
      <c r="E3222" s="22"/>
      <c r="F3222" s="19"/>
      <c r="G3222" s="26" t="str">
        <f aca="false">IF(D3222="","",IFERROR(VALUE(LEFT(D3222,FIND(" |",D3222&amp;" |")-1)),"?"))</f>
        <v/>
      </c>
      <c r="H3222" s="27" t="str">
        <f aca="false">IF(G3222="","",IF(G3222="?","⚠ pub inconnue",IFERROR(INDEX(Pubs!$B$2:$B$3001,MATCH(G3222,Pubs!$A$2:$A$3001,0))&amp;"","⚠ pub inconnue")))</f>
        <v/>
      </c>
      <c r="I3222" s="27" t="str">
        <f aca="false">IF(OR(G3222="",G3222="?"),"",IFERROR(INDEX(Pubs!$C$2:$C$3001,MATCH(G3222,Pubs!$A$2:$A$3001,0))&amp;"",""))</f>
        <v/>
      </c>
      <c r="J3222" s="27" t="str">
        <f aca="false">IF(OR(G3222="",G3222="?"),"",IFERROR(INDEX(Pubs!$G$2:$G$3001,MATCH(G3222,Pubs!$A$2:$A$3001,0))&amp;"",""))</f>
        <v/>
      </c>
      <c r="K3222" s="28" t="str">
        <f aca="false">IF(OR(G3222="",G3222="?"),"",IFERROR(INDEX(Pubs!$E$2:$E$3001,MATCH(G3222,Pubs!$A$2:$A$3001,0)),""))</f>
        <v/>
      </c>
      <c r="L3222" s="29" t="str">
        <f aca="false">IF(A3222="","",IFERROR(1/(1/INDEX(Numéros!$C$2:$C$3001,MATCH(A3222&amp;"|"&amp;B3222,Numéros!$F$2:$F$3001,0))),""))</f>
        <v/>
      </c>
      <c r="M3222" s="27" t="str">
        <f aca="false">IF(OR(G3222="",G3222="?"),"",IFERROR(INDEX(Pubs!$D$2:$D$3001,MATCH(G3222,Pubs!$A$2:$A$3001,0))&amp;"",""))</f>
        <v/>
      </c>
      <c r="N3222" s="27" t="n">
        <f aca="false">N(N3221)+IF(AND(A3222&lt;&gt;"",OR(Recherche!$C$4="",A3222=Recherche!$C$4),OR(Recherche!$C$5="",B3222&amp;""=Recherche!$C$5&amp;""),OR(Recherche!$C$6="",IFERROR(YEAR(L3222),0)=Recherche!$C$6),OR(Recherche!$C$7="",ISNUMBER(SEARCH(Recherche!$C$7,H3222))),OR(Recherche!$C$8="",J3222=Recherche!$C$8),OR(Recherche!$C$9="",I3222=Recherche!$C$9),OR(Recherche!$C$10="",G3222&amp;""=Recherche!$C$10&amp;""),OR(Recherche!$C$11="",E3222=Recherche!$C$11),OR(Recherche!$C$12="",ISNUMBER(SEARCH(Recherche!$C$12,M3222&amp;" "&amp;F3222)))),1,0)</f>
        <v>8</v>
      </c>
    </row>
    <row r="3223" customFormat="false" ht="15" hidden="false" customHeight="false" outlineLevel="0" collapsed="false">
      <c r="A3223" s="19"/>
      <c r="B3223" s="19"/>
      <c r="C3223" s="19"/>
      <c r="D3223" s="19"/>
      <c r="E3223" s="22"/>
      <c r="F3223" s="19"/>
      <c r="G3223" s="26" t="str">
        <f aca="false">IF(D3223="","",IFERROR(VALUE(LEFT(D3223,FIND(" |",D3223&amp;" |")-1)),"?"))</f>
        <v/>
      </c>
      <c r="H3223" s="27" t="str">
        <f aca="false">IF(G3223="","",IF(G3223="?","⚠ pub inconnue",IFERROR(INDEX(Pubs!$B$2:$B$3001,MATCH(G3223,Pubs!$A$2:$A$3001,0))&amp;"","⚠ pub inconnue")))</f>
        <v/>
      </c>
      <c r="I3223" s="27" t="str">
        <f aca="false">IF(OR(G3223="",G3223="?"),"",IFERROR(INDEX(Pubs!$C$2:$C$3001,MATCH(G3223,Pubs!$A$2:$A$3001,0))&amp;"",""))</f>
        <v/>
      </c>
      <c r="J3223" s="27" t="str">
        <f aca="false">IF(OR(G3223="",G3223="?"),"",IFERROR(INDEX(Pubs!$G$2:$G$3001,MATCH(G3223,Pubs!$A$2:$A$3001,0))&amp;"",""))</f>
        <v/>
      </c>
      <c r="K3223" s="28" t="str">
        <f aca="false">IF(OR(G3223="",G3223="?"),"",IFERROR(INDEX(Pubs!$E$2:$E$3001,MATCH(G3223,Pubs!$A$2:$A$3001,0)),""))</f>
        <v/>
      </c>
      <c r="L3223" s="29" t="str">
        <f aca="false">IF(A3223="","",IFERROR(1/(1/INDEX(Numéros!$C$2:$C$3001,MATCH(A3223&amp;"|"&amp;B3223,Numéros!$F$2:$F$3001,0))),""))</f>
        <v/>
      </c>
      <c r="M3223" s="27" t="str">
        <f aca="false">IF(OR(G3223="",G3223="?"),"",IFERROR(INDEX(Pubs!$D$2:$D$3001,MATCH(G3223,Pubs!$A$2:$A$3001,0))&amp;"",""))</f>
        <v/>
      </c>
      <c r="N3223" s="27" t="n">
        <f aca="false">N(N3222)+IF(AND(A3223&lt;&gt;"",OR(Recherche!$C$4="",A3223=Recherche!$C$4),OR(Recherche!$C$5="",B3223&amp;""=Recherche!$C$5&amp;""),OR(Recherche!$C$6="",IFERROR(YEAR(L3223),0)=Recherche!$C$6),OR(Recherche!$C$7="",ISNUMBER(SEARCH(Recherche!$C$7,H3223))),OR(Recherche!$C$8="",J3223=Recherche!$C$8),OR(Recherche!$C$9="",I3223=Recherche!$C$9),OR(Recherche!$C$10="",G3223&amp;""=Recherche!$C$10&amp;""),OR(Recherche!$C$11="",E3223=Recherche!$C$11),OR(Recherche!$C$12="",ISNUMBER(SEARCH(Recherche!$C$12,M3223&amp;" "&amp;F3223)))),1,0)</f>
        <v>8</v>
      </c>
    </row>
    <row r="3224" customFormat="false" ht="15" hidden="false" customHeight="false" outlineLevel="0" collapsed="false">
      <c r="A3224" s="19"/>
      <c r="B3224" s="19"/>
      <c r="C3224" s="19"/>
      <c r="D3224" s="19"/>
      <c r="E3224" s="22"/>
      <c r="F3224" s="19"/>
      <c r="G3224" s="26" t="str">
        <f aca="false">IF(D3224="","",IFERROR(VALUE(LEFT(D3224,FIND(" |",D3224&amp;" |")-1)),"?"))</f>
        <v/>
      </c>
      <c r="H3224" s="27" t="str">
        <f aca="false">IF(G3224="","",IF(G3224="?","⚠ pub inconnue",IFERROR(INDEX(Pubs!$B$2:$B$3001,MATCH(G3224,Pubs!$A$2:$A$3001,0))&amp;"","⚠ pub inconnue")))</f>
        <v/>
      </c>
      <c r="I3224" s="27" t="str">
        <f aca="false">IF(OR(G3224="",G3224="?"),"",IFERROR(INDEX(Pubs!$C$2:$C$3001,MATCH(G3224,Pubs!$A$2:$A$3001,0))&amp;"",""))</f>
        <v/>
      </c>
      <c r="J3224" s="27" t="str">
        <f aca="false">IF(OR(G3224="",G3224="?"),"",IFERROR(INDEX(Pubs!$G$2:$G$3001,MATCH(G3224,Pubs!$A$2:$A$3001,0))&amp;"",""))</f>
        <v/>
      </c>
      <c r="K3224" s="28" t="str">
        <f aca="false">IF(OR(G3224="",G3224="?"),"",IFERROR(INDEX(Pubs!$E$2:$E$3001,MATCH(G3224,Pubs!$A$2:$A$3001,0)),""))</f>
        <v/>
      </c>
      <c r="L3224" s="29" t="str">
        <f aca="false">IF(A3224="","",IFERROR(1/(1/INDEX(Numéros!$C$2:$C$3001,MATCH(A3224&amp;"|"&amp;B3224,Numéros!$F$2:$F$3001,0))),""))</f>
        <v/>
      </c>
      <c r="M3224" s="27" t="str">
        <f aca="false">IF(OR(G3224="",G3224="?"),"",IFERROR(INDEX(Pubs!$D$2:$D$3001,MATCH(G3224,Pubs!$A$2:$A$3001,0))&amp;"",""))</f>
        <v/>
      </c>
      <c r="N3224" s="27" t="n">
        <f aca="false">N(N3223)+IF(AND(A3224&lt;&gt;"",OR(Recherche!$C$4="",A3224=Recherche!$C$4),OR(Recherche!$C$5="",B3224&amp;""=Recherche!$C$5&amp;""),OR(Recherche!$C$6="",IFERROR(YEAR(L3224),0)=Recherche!$C$6),OR(Recherche!$C$7="",ISNUMBER(SEARCH(Recherche!$C$7,H3224))),OR(Recherche!$C$8="",J3224=Recherche!$C$8),OR(Recherche!$C$9="",I3224=Recherche!$C$9),OR(Recherche!$C$10="",G3224&amp;""=Recherche!$C$10&amp;""),OR(Recherche!$C$11="",E3224=Recherche!$C$11),OR(Recherche!$C$12="",ISNUMBER(SEARCH(Recherche!$C$12,M3224&amp;" "&amp;F3224)))),1,0)</f>
        <v>8</v>
      </c>
    </row>
    <row r="3225" customFormat="false" ht="15" hidden="false" customHeight="false" outlineLevel="0" collapsed="false">
      <c r="A3225" s="19"/>
      <c r="B3225" s="19"/>
      <c r="C3225" s="19"/>
      <c r="D3225" s="19"/>
      <c r="E3225" s="22"/>
      <c r="F3225" s="19"/>
      <c r="G3225" s="26" t="str">
        <f aca="false">IF(D3225="","",IFERROR(VALUE(LEFT(D3225,FIND(" |",D3225&amp;" |")-1)),"?"))</f>
        <v/>
      </c>
      <c r="H3225" s="27" t="str">
        <f aca="false">IF(G3225="","",IF(G3225="?","⚠ pub inconnue",IFERROR(INDEX(Pubs!$B$2:$B$3001,MATCH(G3225,Pubs!$A$2:$A$3001,0))&amp;"","⚠ pub inconnue")))</f>
        <v/>
      </c>
      <c r="I3225" s="27" t="str">
        <f aca="false">IF(OR(G3225="",G3225="?"),"",IFERROR(INDEX(Pubs!$C$2:$C$3001,MATCH(G3225,Pubs!$A$2:$A$3001,0))&amp;"",""))</f>
        <v/>
      </c>
      <c r="J3225" s="27" t="str">
        <f aca="false">IF(OR(G3225="",G3225="?"),"",IFERROR(INDEX(Pubs!$G$2:$G$3001,MATCH(G3225,Pubs!$A$2:$A$3001,0))&amp;"",""))</f>
        <v/>
      </c>
      <c r="K3225" s="28" t="str">
        <f aca="false">IF(OR(G3225="",G3225="?"),"",IFERROR(INDEX(Pubs!$E$2:$E$3001,MATCH(G3225,Pubs!$A$2:$A$3001,0)),""))</f>
        <v/>
      </c>
      <c r="L3225" s="29" t="str">
        <f aca="false">IF(A3225="","",IFERROR(1/(1/INDEX(Numéros!$C$2:$C$3001,MATCH(A3225&amp;"|"&amp;B3225,Numéros!$F$2:$F$3001,0))),""))</f>
        <v/>
      </c>
      <c r="M3225" s="27" t="str">
        <f aca="false">IF(OR(G3225="",G3225="?"),"",IFERROR(INDEX(Pubs!$D$2:$D$3001,MATCH(G3225,Pubs!$A$2:$A$3001,0))&amp;"",""))</f>
        <v/>
      </c>
      <c r="N3225" s="27" t="n">
        <f aca="false">N(N3224)+IF(AND(A3225&lt;&gt;"",OR(Recherche!$C$4="",A3225=Recherche!$C$4),OR(Recherche!$C$5="",B3225&amp;""=Recherche!$C$5&amp;""),OR(Recherche!$C$6="",IFERROR(YEAR(L3225),0)=Recherche!$C$6),OR(Recherche!$C$7="",ISNUMBER(SEARCH(Recherche!$C$7,H3225))),OR(Recherche!$C$8="",J3225=Recherche!$C$8),OR(Recherche!$C$9="",I3225=Recherche!$C$9),OR(Recherche!$C$10="",G3225&amp;""=Recherche!$C$10&amp;""),OR(Recherche!$C$11="",E3225=Recherche!$C$11),OR(Recherche!$C$12="",ISNUMBER(SEARCH(Recherche!$C$12,M3225&amp;" "&amp;F3225)))),1,0)</f>
        <v>8</v>
      </c>
    </row>
    <row r="3226" customFormat="false" ht="15" hidden="false" customHeight="false" outlineLevel="0" collapsed="false">
      <c r="A3226" s="19"/>
      <c r="B3226" s="19"/>
      <c r="C3226" s="19"/>
      <c r="D3226" s="19"/>
      <c r="E3226" s="22"/>
      <c r="F3226" s="19"/>
      <c r="G3226" s="26" t="str">
        <f aca="false">IF(D3226="","",IFERROR(VALUE(LEFT(D3226,FIND(" |",D3226&amp;" |")-1)),"?"))</f>
        <v/>
      </c>
      <c r="H3226" s="27" t="str">
        <f aca="false">IF(G3226="","",IF(G3226="?","⚠ pub inconnue",IFERROR(INDEX(Pubs!$B$2:$B$3001,MATCH(G3226,Pubs!$A$2:$A$3001,0))&amp;"","⚠ pub inconnue")))</f>
        <v/>
      </c>
      <c r="I3226" s="27" t="str">
        <f aca="false">IF(OR(G3226="",G3226="?"),"",IFERROR(INDEX(Pubs!$C$2:$C$3001,MATCH(G3226,Pubs!$A$2:$A$3001,0))&amp;"",""))</f>
        <v/>
      </c>
      <c r="J3226" s="27" t="str">
        <f aca="false">IF(OR(G3226="",G3226="?"),"",IFERROR(INDEX(Pubs!$G$2:$G$3001,MATCH(G3226,Pubs!$A$2:$A$3001,0))&amp;"",""))</f>
        <v/>
      </c>
      <c r="K3226" s="28" t="str">
        <f aca="false">IF(OR(G3226="",G3226="?"),"",IFERROR(INDEX(Pubs!$E$2:$E$3001,MATCH(G3226,Pubs!$A$2:$A$3001,0)),""))</f>
        <v/>
      </c>
      <c r="L3226" s="29" t="str">
        <f aca="false">IF(A3226="","",IFERROR(1/(1/INDEX(Numéros!$C$2:$C$3001,MATCH(A3226&amp;"|"&amp;B3226,Numéros!$F$2:$F$3001,0))),""))</f>
        <v/>
      </c>
      <c r="M3226" s="27" t="str">
        <f aca="false">IF(OR(G3226="",G3226="?"),"",IFERROR(INDEX(Pubs!$D$2:$D$3001,MATCH(G3226,Pubs!$A$2:$A$3001,0))&amp;"",""))</f>
        <v/>
      </c>
      <c r="N3226" s="27" t="n">
        <f aca="false">N(N3225)+IF(AND(A3226&lt;&gt;"",OR(Recherche!$C$4="",A3226=Recherche!$C$4),OR(Recherche!$C$5="",B3226&amp;""=Recherche!$C$5&amp;""),OR(Recherche!$C$6="",IFERROR(YEAR(L3226),0)=Recherche!$C$6),OR(Recherche!$C$7="",ISNUMBER(SEARCH(Recherche!$C$7,H3226))),OR(Recherche!$C$8="",J3226=Recherche!$C$8),OR(Recherche!$C$9="",I3226=Recherche!$C$9),OR(Recherche!$C$10="",G3226&amp;""=Recherche!$C$10&amp;""),OR(Recherche!$C$11="",E3226=Recherche!$C$11),OR(Recherche!$C$12="",ISNUMBER(SEARCH(Recherche!$C$12,M3226&amp;" "&amp;F3226)))),1,0)</f>
        <v>8</v>
      </c>
    </row>
    <row r="3227" customFormat="false" ht="15" hidden="false" customHeight="false" outlineLevel="0" collapsed="false">
      <c r="A3227" s="19"/>
      <c r="B3227" s="19"/>
      <c r="C3227" s="19"/>
      <c r="D3227" s="19"/>
      <c r="E3227" s="22"/>
      <c r="F3227" s="19"/>
      <c r="G3227" s="26" t="str">
        <f aca="false">IF(D3227="","",IFERROR(VALUE(LEFT(D3227,FIND(" |",D3227&amp;" |")-1)),"?"))</f>
        <v/>
      </c>
      <c r="H3227" s="27" t="str">
        <f aca="false">IF(G3227="","",IF(G3227="?","⚠ pub inconnue",IFERROR(INDEX(Pubs!$B$2:$B$3001,MATCH(G3227,Pubs!$A$2:$A$3001,0))&amp;"","⚠ pub inconnue")))</f>
        <v/>
      </c>
      <c r="I3227" s="27" t="str">
        <f aca="false">IF(OR(G3227="",G3227="?"),"",IFERROR(INDEX(Pubs!$C$2:$C$3001,MATCH(G3227,Pubs!$A$2:$A$3001,0))&amp;"",""))</f>
        <v/>
      </c>
      <c r="J3227" s="27" t="str">
        <f aca="false">IF(OR(G3227="",G3227="?"),"",IFERROR(INDEX(Pubs!$G$2:$G$3001,MATCH(G3227,Pubs!$A$2:$A$3001,0))&amp;"",""))</f>
        <v/>
      </c>
      <c r="K3227" s="28" t="str">
        <f aca="false">IF(OR(G3227="",G3227="?"),"",IFERROR(INDEX(Pubs!$E$2:$E$3001,MATCH(G3227,Pubs!$A$2:$A$3001,0)),""))</f>
        <v/>
      </c>
      <c r="L3227" s="29" t="str">
        <f aca="false">IF(A3227="","",IFERROR(1/(1/INDEX(Numéros!$C$2:$C$3001,MATCH(A3227&amp;"|"&amp;B3227,Numéros!$F$2:$F$3001,0))),""))</f>
        <v/>
      </c>
      <c r="M3227" s="27" t="str">
        <f aca="false">IF(OR(G3227="",G3227="?"),"",IFERROR(INDEX(Pubs!$D$2:$D$3001,MATCH(G3227,Pubs!$A$2:$A$3001,0))&amp;"",""))</f>
        <v/>
      </c>
      <c r="N3227" s="27" t="n">
        <f aca="false">N(N3226)+IF(AND(A3227&lt;&gt;"",OR(Recherche!$C$4="",A3227=Recherche!$C$4),OR(Recherche!$C$5="",B3227&amp;""=Recherche!$C$5&amp;""),OR(Recherche!$C$6="",IFERROR(YEAR(L3227),0)=Recherche!$C$6),OR(Recherche!$C$7="",ISNUMBER(SEARCH(Recherche!$C$7,H3227))),OR(Recherche!$C$8="",J3227=Recherche!$C$8),OR(Recherche!$C$9="",I3227=Recherche!$C$9),OR(Recherche!$C$10="",G3227&amp;""=Recherche!$C$10&amp;""),OR(Recherche!$C$11="",E3227=Recherche!$C$11),OR(Recherche!$C$12="",ISNUMBER(SEARCH(Recherche!$C$12,M3227&amp;" "&amp;F3227)))),1,0)</f>
        <v>8</v>
      </c>
    </row>
    <row r="3228" customFormat="false" ht="15" hidden="false" customHeight="false" outlineLevel="0" collapsed="false">
      <c r="A3228" s="19"/>
      <c r="B3228" s="19"/>
      <c r="C3228" s="19"/>
      <c r="D3228" s="19"/>
      <c r="E3228" s="22"/>
      <c r="F3228" s="19"/>
      <c r="G3228" s="26" t="str">
        <f aca="false">IF(D3228="","",IFERROR(VALUE(LEFT(D3228,FIND(" |",D3228&amp;" |")-1)),"?"))</f>
        <v/>
      </c>
      <c r="H3228" s="27" t="str">
        <f aca="false">IF(G3228="","",IF(G3228="?","⚠ pub inconnue",IFERROR(INDEX(Pubs!$B$2:$B$3001,MATCH(G3228,Pubs!$A$2:$A$3001,0))&amp;"","⚠ pub inconnue")))</f>
        <v/>
      </c>
      <c r="I3228" s="27" t="str">
        <f aca="false">IF(OR(G3228="",G3228="?"),"",IFERROR(INDEX(Pubs!$C$2:$C$3001,MATCH(G3228,Pubs!$A$2:$A$3001,0))&amp;"",""))</f>
        <v/>
      </c>
      <c r="J3228" s="27" t="str">
        <f aca="false">IF(OR(G3228="",G3228="?"),"",IFERROR(INDEX(Pubs!$G$2:$G$3001,MATCH(G3228,Pubs!$A$2:$A$3001,0))&amp;"",""))</f>
        <v/>
      </c>
      <c r="K3228" s="28" t="str">
        <f aca="false">IF(OR(G3228="",G3228="?"),"",IFERROR(INDEX(Pubs!$E$2:$E$3001,MATCH(G3228,Pubs!$A$2:$A$3001,0)),""))</f>
        <v/>
      </c>
      <c r="L3228" s="29" t="str">
        <f aca="false">IF(A3228="","",IFERROR(1/(1/INDEX(Numéros!$C$2:$C$3001,MATCH(A3228&amp;"|"&amp;B3228,Numéros!$F$2:$F$3001,0))),""))</f>
        <v/>
      </c>
      <c r="M3228" s="27" t="str">
        <f aca="false">IF(OR(G3228="",G3228="?"),"",IFERROR(INDEX(Pubs!$D$2:$D$3001,MATCH(G3228,Pubs!$A$2:$A$3001,0))&amp;"",""))</f>
        <v/>
      </c>
      <c r="N3228" s="27" t="n">
        <f aca="false">N(N3227)+IF(AND(A3228&lt;&gt;"",OR(Recherche!$C$4="",A3228=Recherche!$C$4),OR(Recherche!$C$5="",B3228&amp;""=Recherche!$C$5&amp;""),OR(Recherche!$C$6="",IFERROR(YEAR(L3228),0)=Recherche!$C$6),OR(Recherche!$C$7="",ISNUMBER(SEARCH(Recherche!$C$7,H3228))),OR(Recherche!$C$8="",J3228=Recherche!$C$8),OR(Recherche!$C$9="",I3228=Recherche!$C$9),OR(Recherche!$C$10="",G3228&amp;""=Recherche!$C$10&amp;""),OR(Recherche!$C$11="",E3228=Recherche!$C$11),OR(Recherche!$C$12="",ISNUMBER(SEARCH(Recherche!$C$12,M3228&amp;" "&amp;F3228)))),1,0)</f>
        <v>8</v>
      </c>
    </row>
    <row r="3229" customFormat="false" ht="15" hidden="false" customHeight="false" outlineLevel="0" collapsed="false">
      <c r="A3229" s="19"/>
      <c r="B3229" s="19"/>
      <c r="C3229" s="19"/>
      <c r="D3229" s="19"/>
      <c r="E3229" s="22"/>
      <c r="F3229" s="19"/>
      <c r="G3229" s="26" t="str">
        <f aca="false">IF(D3229="","",IFERROR(VALUE(LEFT(D3229,FIND(" |",D3229&amp;" |")-1)),"?"))</f>
        <v/>
      </c>
      <c r="H3229" s="27" t="str">
        <f aca="false">IF(G3229="","",IF(G3229="?","⚠ pub inconnue",IFERROR(INDEX(Pubs!$B$2:$B$3001,MATCH(G3229,Pubs!$A$2:$A$3001,0))&amp;"","⚠ pub inconnue")))</f>
        <v/>
      </c>
      <c r="I3229" s="27" t="str">
        <f aca="false">IF(OR(G3229="",G3229="?"),"",IFERROR(INDEX(Pubs!$C$2:$C$3001,MATCH(G3229,Pubs!$A$2:$A$3001,0))&amp;"",""))</f>
        <v/>
      </c>
      <c r="J3229" s="27" t="str">
        <f aca="false">IF(OR(G3229="",G3229="?"),"",IFERROR(INDEX(Pubs!$G$2:$G$3001,MATCH(G3229,Pubs!$A$2:$A$3001,0))&amp;"",""))</f>
        <v/>
      </c>
      <c r="K3229" s="28" t="str">
        <f aca="false">IF(OR(G3229="",G3229="?"),"",IFERROR(INDEX(Pubs!$E$2:$E$3001,MATCH(G3229,Pubs!$A$2:$A$3001,0)),""))</f>
        <v/>
      </c>
      <c r="L3229" s="29" t="str">
        <f aca="false">IF(A3229="","",IFERROR(1/(1/INDEX(Numéros!$C$2:$C$3001,MATCH(A3229&amp;"|"&amp;B3229,Numéros!$F$2:$F$3001,0))),""))</f>
        <v/>
      </c>
      <c r="M3229" s="27" t="str">
        <f aca="false">IF(OR(G3229="",G3229="?"),"",IFERROR(INDEX(Pubs!$D$2:$D$3001,MATCH(G3229,Pubs!$A$2:$A$3001,0))&amp;"",""))</f>
        <v/>
      </c>
      <c r="N3229" s="27" t="n">
        <f aca="false">N(N3228)+IF(AND(A3229&lt;&gt;"",OR(Recherche!$C$4="",A3229=Recherche!$C$4),OR(Recherche!$C$5="",B3229&amp;""=Recherche!$C$5&amp;""),OR(Recherche!$C$6="",IFERROR(YEAR(L3229),0)=Recherche!$C$6),OR(Recherche!$C$7="",ISNUMBER(SEARCH(Recherche!$C$7,H3229))),OR(Recherche!$C$8="",J3229=Recherche!$C$8),OR(Recherche!$C$9="",I3229=Recherche!$C$9),OR(Recherche!$C$10="",G3229&amp;""=Recherche!$C$10&amp;""),OR(Recherche!$C$11="",E3229=Recherche!$C$11),OR(Recherche!$C$12="",ISNUMBER(SEARCH(Recherche!$C$12,M3229&amp;" "&amp;F3229)))),1,0)</f>
        <v>8</v>
      </c>
    </row>
    <row r="3230" customFormat="false" ht="15" hidden="false" customHeight="false" outlineLevel="0" collapsed="false">
      <c r="A3230" s="19"/>
      <c r="B3230" s="19"/>
      <c r="C3230" s="19"/>
      <c r="D3230" s="19"/>
      <c r="E3230" s="22"/>
      <c r="F3230" s="19"/>
      <c r="G3230" s="26" t="str">
        <f aca="false">IF(D3230="","",IFERROR(VALUE(LEFT(D3230,FIND(" |",D3230&amp;" |")-1)),"?"))</f>
        <v/>
      </c>
      <c r="H3230" s="27" t="str">
        <f aca="false">IF(G3230="","",IF(G3230="?","⚠ pub inconnue",IFERROR(INDEX(Pubs!$B$2:$B$3001,MATCH(G3230,Pubs!$A$2:$A$3001,0))&amp;"","⚠ pub inconnue")))</f>
        <v/>
      </c>
      <c r="I3230" s="27" t="str">
        <f aca="false">IF(OR(G3230="",G3230="?"),"",IFERROR(INDEX(Pubs!$C$2:$C$3001,MATCH(G3230,Pubs!$A$2:$A$3001,0))&amp;"",""))</f>
        <v/>
      </c>
      <c r="J3230" s="27" t="str">
        <f aca="false">IF(OR(G3230="",G3230="?"),"",IFERROR(INDEX(Pubs!$G$2:$G$3001,MATCH(G3230,Pubs!$A$2:$A$3001,0))&amp;"",""))</f>
        <v/>
      </c>
      <c r="K3230" s="28" t="str">
        <f aca="false">IF(OR(G3230="",G3230="?"),"",IFERROR(INDEX(Pubs!$E$2:$E$3001,MATCH(G3230,Pubs!$A$2:$A$3001,0)),""))</f>
        <v/>
      </c>
      <c r="L3230" s="29" t="str">
        <f aca="false">IF(A3230="","",IFERROR(1/(1/INDEX(Numéros!$C$2:$C$3001,MATCH(A3230&amp;"|"&amp;B3230,Numéros!$F$2:$F$3001,0))),""))</f>
        <v/>
      </c>
      <c r="M3230" s="27" t="str">
        <f aca="false">IF(OR(G3230="",G3230="?"),"",IFERROR(INDEX(Pubs!$D$2:$D$3001,MATCH(G3230,Pubs!$A$2:$A$3001,0))&amp;"",""))</f>
        <v/>
      </c>
      <c r="N3230" s="27" t="n">
        <f aca="false">N(N3229)+IF(AND(A3230&lt;&gt;"",OR(Recherche!$C$4="",A3230=Recherche!$C$4),OR(Recherche!$C$5="",B3230&amp;""=Recherche!$C$5&amp;""),OR(Recherche!$C$6="",IFERROR(YEAR(L3230),0)=Recherche!$C$6),OR(Recherche!$C$7="",ISNUMBER(SEARCH(Recherche!$C$7,H3230))),OR(Recherche!$C$8="",J3230=Recherche!$C$8),OR(Recherche!$C$9="",I3230=Recherche!$C$9),OR(Recherche!$C$10="",G3230&amp;""=Recherche!$C$10&amp;""),OR(Recherche!$C$11="",E3230=Recherche!$C$11),OR(Recherche!$C$12="",ISNUMBER(SEARCH(Recherche!$C$12,M3230&amp;" "&amp;F3230)))),1,0)</f>
        <v>8</v>
      </c>
    </row>
    <row r="3231" customFormat="false" ht="15" hidden="false" customHeight="false" outlineLevel="0" collapsed="false">
      <c r="A3231" s="19"/>
      <c r="B3231" s="19"/>
      <c r="C3231" s="19"/>
      <c r="D3231" s="19"/>
      <c r="E3231" s="22"/>
      <c r="F3231" s="19"/>
      <c r="G3231" s="26" t="str">
        <f aca="false">IF(D3231="","",IFERROR(VALUE(LEFT(D3231,FIND(" |",D3231&amp;" |")-1)),"?"))</f>
        <v/>
      </c>
      <c r="H3231" s="27" t="str">
        <f aca="false">IF(G3231="","",IF(G3231="?","⚠ pub inconnue",IFERROR(INDEX(Pubs!$B$2:$B$3001,MATCH(G3231,Pubs!$A$2:$A$3001,0))&amp;"","⚠ pub inconnue")))</f>
        <v/>
      </c>
      <c r="I3231" s="27" t="str">
        <f aca="false">IF(OR(G3231="",G3231="?"),"",IFERROR(INDEX(Pubs!$C$2:$C$3001,MATCH(G3231,Pubs!$A$2:$A$3001,0))&amp;"",""))</f>
        <v/>
      </c>
      <c r="J3231" s="27" t="str">
        <f aca="false">IF(OR(G3231="",G3231="?"),"",IFERROR(INDEX(Pubs!$G$2:$G$3001,MATCH(G3231,Pubs!$A$2:$A$3001,0))&amp;"",""))</f>
        <v/>
      </c>
      <c r="K3231" s="28" t="str">
        <f aca="false">IF(OR(G3231="",G3231="?"),"",IFERROR(INDEX(Pubs!$E$2:$E$3001,MATCH(G3231,Pubs!$A$2:$A$3001,0)),""))</f>
        <v/>
      </c>
      <c r="L3231" s="29" t="str">
        <f aca="false">IF(A3231="","",IFERROR(1/(1/INDEX(Numéros!$C$2:$C$3001,MATCH(A3231&amp;"|"&amp;B3231,Numéros!$F$2:$F$3001,0))),""))</f>
        <v/>
      </c>
      <c r="M3231" s="27" t="str">
        <f aca="false">IF(OR(G3231="",G3231="?"),"",IFERROR(INDEX(Pubs!$D$2:$D$3001,MATCH(G3231,Pubs!$A$2:$A$3001,0))&amp;"",""))</f>
        <v/>
      </c>
      <c r="N3231" s="27" t="n">
        <f aca="false">N(N3230)+IF(AND(A3231&lt;&gt;"",OR(Recherche!$C$4="",A3231=Recherche!$C$4),OR(Recherche!$C$5="",B3231&amp;""=Recherche!$C$5&amp;""),OR(Recherche!$C$6="",IFERROR(YEAR(L3231),0)=Recherche!$C$6),OR(Recherche!$C$7="",ISNUMBER(SEARCH(Recherche!$C$7,H3231))),OR(Recherche!$C$8="",J3231=Recherche!$C$8),OR(Recherche!$C$9="",I3231=Recherche!$C$9),OR(Recherche!$C$10="",G3231&amp;""=Recherche!$C$10&amp;""),OR(Recherche!$C$11="",E3231=Recherche!$C$11),OR(Recherche!$C$12="",ISNUMBER(SEARCH(Recherche!$C$12,M3231&amp;" "&amp;F3231)))),1,0)</f>
        <v>8</v>
      </c>
    </row>
    <row r="3232" customFormat="false" ht="15" hidden="false" customHeight="false" outlineLevel="0" collapsed="false">
      <c r="A3232" s="19"/>
      <c r="B3232" s="19"/>
      <c r="C3232" s="19"/>
      <c r="D3232" s="19"/>
      <c r="E3232" s="22"/>
      <c r="F3232" s="19"/>
      <c r="G3232" s="26" t="str">
        <f aca="false">IF(D3232="","",IFERROR(VALUE(LEFT(D3232,FIND(" |",D3232&amp;" |")-1)),"?"))</f>
        <v/>
      </c>
      <c r="H3232" s="27" t="str">
        <f aca="false">IF(G3232="","",IF(G3232="?","⚠ pub inconnue",IFERROR(INDEX(Pubs!$B$2:$B$3001,MATCH(G3232,Pubs!$A$2:$A$3001,0))&amp;"","⚠ pub inconnue")))</f>
        <v/>
      </c>
      <c r="I3232" s="27" t="str">
        <f aca="false">IF(OR(G3232="",G3232="?"),"",IFERROR(INDEX(Pubs!$C$2:$C$3001,MATCH(G3232,Pubs!$A$2:$A$3001,0))&amp;"",""))</f>
        <v/>
      </c>
      <c r="J3232" s="27" t="str">
        <f aca="false">IF(OR(G3232="",G3232="?"),"",IFERROR(INDEX(Pubs!$G$2:$G$3001,MATCH(G3232,Pubs!$A$2:$A$3001,0))&amp;"",""))</f>
        <v/>
      </c>
      <c r="K3232" s="28" t="str">
        <f aca="false">IF(OR(G3232="",G3232="?"),"",IFERROR(INDEX(Pubs!$E$2:$E$3001,MATCH(G3232,Pubs!$A$2:$A$3001,0)),""))</f>
        <v/>
      </c>
      <c r="L3232" s="29" t="str">
        <f aca="false">IF(A3232="","",IFERROR(1/(1/INDEX(Numéros!$C$2:$C$3001,MATCH(A3232&amp;"|"&amp;B3232,Numéros!$F$2:$F$3001,0))),""))</f>
        <v/>
      </c>
      <c r="M3232" s="27" t="str">
        <f aca="false">IF(OR(G3232="",G3232="?"),"",IFERROR(INDEX(Pubs!$D$2:$D$3001,MATCH(G3232,Pubs!$A$2:$A$3001,0))&amp;"",""))</f>
        <v/>
      </c>
      <c r="N3232" s="27" t="n">
        <f aca="false">N(N3231)+IF(AND(A3232&lt;&gt;"",OR(Recherche!$C$4="",A3232=Recherche!$C$4),OR(Recherche!$C$5="",B3232&amp;""=Recherche!$C$5&amp;""),OR(Recherche!$C$6="",IFERROR(YEAR(L3232),0)=Recherche!$C$6),OR(Recherche!$C$7="",ISNUMBER(SEARCH(Recherche!$C$7,H3232))),OR(Recherche!$C$8="",J3232=Recherche!$C$8),OR(Recherche!$C$9="",I3232=Recherche!$C$9),OR(Recherche!$C$10="",G3232&amp;""=Recherche!$C$10&amp;""),OR(Recherche!$C$11="",E3232=Recherche!$C$11),OR(Recherche!$C$12="",ISNUMBER(SEARCH(Recherche!$C$12,M3232&amp;" "&amp;F3232)))),1,0)</f>
        <v>8</v>
      </c>
    </row>
    <row r="3233" customFormat="false" ht="15" hidden="false" customHeight="false" outlineLevel="0" collapsed="false">
      <c r="A3233" s="19"/>
      <c r="B3233" s="19"/>
      <c r="C3233" s="19"/>
      <c r="D3233" s="19"/>
      <c r="E3233" s="22"/>
      <c r="F3233" s="19"/>
      <c r="G3233" s="26" t="str">
        <f aca="false">IF(D3233="","",IFERROR(VALUE(LEFT(D3233,FIND(" |",D3233&amp;" |")-1)),"?"))</f>
        <v/>
      </c>
      <c r="H3233" s="27" t="str">
        <f aca="false">IF(G3233="","",IF(G3233="?","⚠ pub inconnue",IFERROR(INDEX(Pubs!$B$2:$B$3001,MATCH(G3233,Pubs!$A$2:$A$3001,0))&amp;"","⚠ pub inconnue")))</f>
        <v/>
      </c>
      <c r="I3233" s="27" t="str">
        <f aca="false">IF(OR(G3233="",G3233="?"),"",IFERROR(INDEX(Pubs!$C$2:$C$3001,MATCH(G3233,Pubs!$A$2:$A$3001,0))&amp;"",""))</f>
        <v/>
      </c>
      <c r="J3233" s="27" t="str">
        <f aca="false">IF(OR(G3233="",G3233="?"),"",IFERROR(INDEX(Pubs!$G$2:$G$3001,MATCH(G3233,Pubs!$A$2:$A$3001,0))&amp;"",""))</f>
        <v/>
      </c>
      <c r="K3233" s="28" t="str">
        <f aca="false">IF(OR(G3233="",G3233="?"),"",IFERROR(INDEX(Pubs!$E$2:$E$3001,MATCH(G3233,Pubs!$A$2:$A$3001,0)),""))</f>
        <v/>
      </c>
      <c r="L3233" s="29" t="str">
        <f aca="false">IF(A3233="","",IFERROR(1/(1/INDEX(Numéros!$C$2:$C$3001,MATCH(A3233&amp;"|"&amp;B3233,Numéros!$F$2:$F$3001,0))),""))</f>
        <v/>
      </c>
      <c r="M3233" s="27" t="str">
        <f aca="false">IF(OR(G3233="",G3233="?"),"",IFERROR(INDEX(Pubs!$D$2:$D$3001,MATCH(G3233,Pubs!$A$2:$A$3001,0))&amp;"",""))</f>
        <v/>
      </c>
      <c r="N3233" s="27" t="n">
        <f aca="false">N(N3232)+IF(AND(A3233&lt;&gt;"",OR(Recherche!$C$4="",A3233=Recherche!$C$4),OR(Recherche!$C$5="",B3233&amp;""=Recherche!$C$5&amp;""),OR(Recherche!$C$6="",IFERROR(YEAR(L3233),0)=Recherche!$C$6),OR(Recherche!$C$7="",ISNUMBER(SEARCH(Recherche!$C$7,H3233))),OR(Recherche!$C$8="",J3233=Recherche!$C$8),OR(Recherche!$C$9="",I3233=Recherche!$C$9),OR(Recherche!$C$10="",G3233&amp;""=Recherche!$C$10&amp;""),OR(Recherche!$C$11="",E3233=Recherche!$C$11),OR(Recherche!$C$12="",ISNUMBER(SEARCH(Recherche!$C$12,M3233&amp;" "&amp;F3233)))),1,0)</f>
        <v>8</v>
      </c>
    </row>
    <row r="3234" customFormat="false" ht="15" hidden="false" customHeight="false" outlineLevel="0" collapsed="false">
      <c r="A3234" s="19"/>
      <c r="B3234" s="19"/>
      <c r="C3234" s="19"/>
      <c r="D3234" s="19"/>
      <c r="E3234" s="22"/>
      <c r="F3234" s="19"/>
      <c r="G3234" s="26" t="str">
        <f aca="false">IF(D3234="","",IFERROR(VALUE(LEFT(D3234,FIND(" |",D3234&amp;" |")-1)),"?"))</f>
        <v/>
      </c>
      <c r="H3234" s="27" t="str">
        <f aca="false">IF(G3234="","",IF(G3234="?","⚠ pub inconnue",IFERROR(INDEX(Pubs!$B$2:$B$3001,MATCH(G3234,Pubs!$A$2:$A$3001,0))&amp;"","⚠ pub inconnue")))</f>
        <v/>
      </c>
      <c r="I3234" s="27" t="str">
        <f aca="false">IF(OR(G3234="",G3234="?"),"",IFERROR(INDEX(Pubs!$C$2:$C$3001,MATCH(G3234,Pubs!$A$2:$A$3001,0))&amp;"",""))</f>
        <v/>
      </c>
      <c r="J3234" s="27" t="str">
        <f aca="false">IF(OR(G3234="",G3234="?"),"",IFERROR(INDEX(Pubs!$G$2:$G$3001,MATCH(G3234,Pubs!$A$2:$A$3001,0))&amp;"",""))</f>
        <v/>
      </c>
      <c r="K3234" s="28" t="str">
        <f aca="false">IF(OR(G3234="",G3234="?"),"",IFERROR(INDEX(Pubs!$E$2:$E$3001,MATCH(G3234,Pubs!$A$2:$A$3001,0)),""))</f>
        <v/>
      </c>
      <c r="L3234" s="29" t="str">
        <f aca="false">IF(A3234="","",IFERROR(1/(1/INDEX(Numéros!$C$2:$C$3001,MATCH(A3234&amp;"|"&amp;B3234,Numéros!$F$2:$F$3001,0))),""))</f>
        <v/>
      </c>
      <c r="M3234" s="27" t="str">
        <f aca="false">IF(OR(G3234="",G3234="?"),"",IFERROR(INDEX(Pubs!$D$2:$D$3001,MATCH(G3234,Pubs!$A$2:$A$3001,0))&amp;"",""))</f>
        <v/>
      </c>
      <c r="N3234" s="27" t="n">
        <f aca="false">N(N3233)+IF(AND(A3234&lt;&gt;"",OR(Recherche!$C$4="",A3234=Recherche!$C$4),OR(Recherche!$C$5="",B3234&amp;""=Recherche!$C$5&amp;""),OR(Recherche!$C$6="",IFERROR(YEAR(L3234),0)=Recherche!$C$6),OR(Recherche!$C$7="",ISNUMBER(SEARCH(Recherche!$C$7,H3234))),OR(Recherche!$C$8="",J3234=Recherche!$C$8),OR(Recherche!$C$9="",I3234=Recherche!$C$9),OR(Recherche!$C$10="",G3234&amp;""=Recherche!$C$10&amp;""),OR(Recherche!$C$11="",E3234=Recherche!$C$11),OR(Recherche!$C$12="",ISNUMBER(SEARCH(Recherche!$C$12,M3234&amp;" "&amp;F3234)))),1,0)</f>
        <v>8</v>
      </c>
    </row>
    <row r="3235" customFormat="false" ht="15" hidden="false" customHeight="false" outlineLevel="0" collapsed="false">
      <c r="A3235" s="19"/>
      <c r="B3235" s="19"/>
      <c r="C3235" s="19"/>
      <c r="D3235" s="19"/>
      <c r="E3235" s="22"/>
      <c r="F3235" s="19"/>
      <c r="G3235" s="26" t="str">
        <f aca="false">IF(D3235="","",IFERROR(VALUE(LEFT(D3235,FIND(" |",D3235&amp;" |")-1)),"?"))</f>
        <v/>
      </c>
      <c r="H3235" s="27" t="str">
        <f aca="false">IF(G3235="","",IF(G3235="?","⚠ pub inconnue",IFERROR(INDEX(Pubs!$B$2:$B$3001,MATCH(G3235,Pubs!$A$2:$A$3001,0))&amp;"","⚠ pub inconnue")))</f>
        <v/>
      </c>
      <c r="I3235" s="27" t="str">
        <f aca="false">IF(OR(G3235="",G3235="?"),"",IFERROR(INDEX(Pubs!$C$2:$C$3001,MATCH(G3235,Pubs!$A$2:$A$3001,0))&amp;"",""))</f>
        <v/>
      </c>
      <c r="J3235" s="27" t="str">
        <f aca="false">IF(OR(G3235="",G3235="?"),"",IFERROR(INDEX(Pubs!$G$2:$G$3001,MATCH(G3235,Pubs!$A$2:$A$3001,0))&amp;"",""))</f>
        <v/>
      </c>
      <c r="K3235" s="28" t="str">
        <f aca="false">IF(OR(G3235="",G3235="?"),"",IFERROR(INDEX(Pubs!$E$2:$E$3001,MATCH(G3235,Pubs!$A$2:$A$3001,0)),""))</f>
        <v/>
      </c>
      <c r="L3235" s="29" t="str">
        <f aca="false">IF(A3235="","",IFERROR(1/(1/INDEX(Numéros!$C$2:$C$3001,MATCH(A3235&amp;"|"&amp;B3235,Numéros!$F$2:$F$3001,0))),""))</f>
        <v/>
      </c>
      <c r="M3235" s="27" t="str">
        <f aca="false">IF(OR(G3235="",G3235="?"),"",IFERROR(INDEX(Pubs!$D$2:$D$3001,MATCH(G3235,Pubs!$A$2:$A$3001,0))&amp;"",""))</f>
        <v/>
      </c>
      <c r="N3235" s="27" t="n">
        <f aca="false">N(N3234)+IF(AND(A3235&lt;&gt;"",OR(Recherche!$C$4="",A3235=Recherche!$C$4),OR(Recherche!$C$5="",B3235&amp;""=Recherche!$C$5&amp;""),OR(Recherche!$C$6="",IFERROR(YEAR(L3235),0)=Recherche!$C$6),OR(Recherche!$C$7="",ISNUMBER(SEARCH(Recherche!$C$7,H3235))),OR(Recherche!$C$8="",J3235=Recherche!$C$8),OR(Recherche!$C$9="",I3235=Recherche!$C$9),OR(Recherche!$C$10="",G3235&amp;""=Recherche!$C$10&amp;""),OR(Recherche!$C$11="",E3235=Recherche!$C$11),OR(Recherche!$C$12="",ISNUMBER(SEARCH(Recherche!$C$12,M3235&amp;" "&amp;F3235)))),1,0)</f>
        <v>8</v>
      </c>
    </row>
    <row r="3236" customFormat="false" ht="15" hidden="false" customHeight="false" outlineLevel="0" collapsed="false">
      <c r="A3236" s="19"/>
      <c r="B3236" s="19"/>
      <c r="C3236" s="19"/>
      <c r="D3236" s="19"/>
      <c r="E3236" s="22"/>
      <c r="F3236" s="19"/>
      <c r="G3236" s="26" t="str">
        <f aca="false">IF(D3236="","",IFERROR(VALUE(LEFT(D3236,FIND(" |",D3236&amp;" |")-1)),"?"))</f>
        <v/>
      </c>
      <c r="H3236" s="27" t="str">
        <f aca="false">IF(G3236="","",IF(G3236="?","⚠ pub inconnue",IFERROR(INDEX(Pubs!$B$2:$B$3001,MATCH(G3236,Pubs!$A$2:$A$3001,0))&amp;"","⚠ pub inconnue")))</f>
        <v/>
      </c>
      <c r="I3236" s="27" t="str">
        <f aca="false">IF(OR(G3236="",G3236="?"),"",IFERROR(INDEX(Pubs!$C$2:$C$3001,MATCH(G3236,Pubs!$A$2:$A$3001,0))&amp;"",""))</f>
        <v/>
      </c>
      <c r="J3236" s="27" t="str">
        <f aca="false">IF(OR(G3236="",G3236="?"),"",IFERROR(INDEX(Pubs!$G$2:$G$3001,MATCH(G3236,Pubs!$A$2:$A$3001,0))&amp;"",""))</f>
        <v/>
      </c>
      <c r="K3236" s="28" t="str">
        <f aca="false">IF(OR(G3236="",G3236="?"),"",IFERROR(INDEX(Pubs!$E$2:$E$3001,MATCH(G3236,Pubs!$A$2:$A$3001,0)),""))</f>
        <v/>
      </c>
      <c r="L3236" s="29" t="str">
        <f aca="false">IF(A3236="","",IFERROR(1/(1/INDEX(Numéros!$C$2:$C$3001,MATCH(A3236&amp;"|"&amp;B3236,Numéros!$F$2:$F$3001,0))),""))</f>
        <v/>
      </c>
      <c r="M3236" s="27" t="str">
        <f aca="false">IF(OR(G3236="",G3236="?"),"",IFERROR(INDEX(Pubs!$D$2:$D$3001,MATCH(G3236,Pubs!$A$2:$A$3001,0))&amp;"",""))</f>
        <v/>
      </c>
      <c r="N3236" s="27" t="n">
        <f aca="false">N(N3235)+IF(AND(A3236&lt;&gt;"",OR(Recherche!$C$4="",A3236=Recherche!$C$4),OR(Recherche!$C$5="",B3236&amp;""=Recherche!$C$5&amp;""),OR(Recherche!$C$6="",IFERROR(YEAR(L3236),0)=Recherche!$C$6),OR(Recherche!$C$7="",ISNUMBER(SEARCH(Recherche!$C$7,H3236))),OR(Recherche!$C$8="",J3236=Recherche!$C$8),OR(Recherche!$C$9="",I3236=Recherche!$C$9),OR(Recherche!$C$10="",G3236&amp;""=Recherche!$C$10&amp;""),OR(Recherche!$C$11="",E3236=Recherche!$C$11),OR(Recherche!$C$12="",ISNUMBER(SEARCH(Recherche!$C$12,M3236&amp;" "&amp;F3236)))),1,0)</f>
        <v>8</v>
      </c>
    </row>
    <row r="3237" customFormat="false" ht="15" hidden="false" customHeight="false" outlineLevel="0" collapsed="false">
      <c r="A3237" s="19"/>
      <c r="B3237" s="19"/>
      <c r="C3237" s="19"/>
      <c r="D3237" s="19"/>
      <c r="E3237" s="22"/>
      <c r="F3237" s="19"/>
      <c r="G3237" s="26" t="str">
        <f aca="false">IF(D3237="","",IFERROR(VALUE(LEFT(D3237,FIND(" |",D3237&amp;" |")-1)),"?"))</f>
        <v/>
      </c>
      <c r="H3237" s="27" t="str">
        <f aca="false">IF(G3237="","",IF(G3237="?","⚠ pub inconnue",IFERROR(INDEX(Pubs!$B$2:$B$3001,MATCH(G3237,Pubs!$A$2:$A$3001,0))&amp;"","⚠ pub inconnue")))</f>
        <v/>
      </c>
      <c r="I3237" s="27" t="str">
        <f aca="false">IF(OR(G3237="",G3237="?"),"",IFERROR(INDEX(Pubs!$C$2:$C$3001,MATCH(G3237,Pubs!$A$2:$A$3001,0))&amp;"",""))</f>
        <v/>
      </c>
      <c r="J3237" s="27" t="str">
        <f aca="false">IF(OR(G3237="",G3237="?"),"",IFERROR(INDEX(Pubs!$G$2:$G$3001,MATCH(G3237,Pubs!$A$2:$A$3001,0))&amp;"",""))</f>
        <v/>
      </c>
      <c r="K3237" s="28" t="str">
        <f aca="false">IF(OR(G3237="",G3237="?"),"",IFERROR(INDEX(Pubs!$E$2:$E$3001,MATCH(G3237,Pubs!$A$2:$A$3001,0)),""))</f>
        <v/>
      </c>
      <c r="L3237" s="29" t="str">
        <f aca="false">IF(A3237="","",IFERROR(1/(1/INDEX(Numéros!$C$2:$C$3001,MATCH(A3237&amp;"|"&amp;B3237,Numéros!$F$2:$F$3001,0))),""))</f>
        <v/>
      </c>
      <c r="M3237" s="27" t="str">
        <f aca="false">IF(OR(G3237="",G3237="?"),"",IFERROR(INDEX(Pubs!$D$2:$D$3001,MATCH(G3237,Pubs!$A$2:$A$3001,0))&amp;"",""))</f>
        <v/>
      </c>
      <c r="N3237" s="27" t="n">
        <f aca="false">N(N3236)+IF(AND(A3237&lt;&gt;"",OR(Recherche!$C$4="",A3237=Recherche!$C$4),OR(Recherche!$C$5="",B3237&amp;""=Recherche!$C$5&amp;""),OR(Recherche!$C$6="",IFERROR(YEAR(L3237),0)=Recherche!$C$6),OR(Recherche!$C$7="",ISNUMBER(SEARCH(Recherche!$C$7,H3237))),OR(Recherche!$C$8="",J3237=Recherche!$C$8),OR(Recherche!$C$9="",I3237=Recherche!$C$9),OR(Recherche!$C$10="",G3237&amp;""=Recherche!$C$10&amp;""),OR(Recherche!$C$11="",E3237=Recherche!$C$11),OR(Recherche!$C$12="",ISNUMBER(SEARCH(Recherche!$C$12,M3237&amp;" "&amp;F3237)))),1,0)</f>
        <v>8</v>
      </c>
    </row>
    <row r="3238" customFormat="false" ht="15" hidden="false" customHeight="false" outlineLevel="0" collapsed="false">
      <c r="A3238" s="19"/>
      <c r="B3238" s="19"/>
      <c r="C3238" s="19"/>
      <c r="D3238" s="19"/>
      <c r="E3238" s="22"/>
      <c r="F3238" s="19"/>
      <c r="G3238" s="26" t="str">
        <f aca="false">IF(D3238="","",IFERROR(VALUE(LEFT(D3238,FIND(" |",D3238&amp;" |")-1)),"?"))</f>
        <v/>
      </c>
      <c r="H3238" s="27" t="str">
        <f aca="false">IF(G3238="","",IF(G3238="?","⚠ pub inconnue",IFERROR(INDEX(Pubs!$B$2:$B$3001,MATCH(G3238,Pubs!$A$2:$A$3001,0))&amp;"","⚠ pub inconnue")))</f>
        <v/>
      </c>
      <c r="I3238" s="27" t="str">
        <f aca="false">IF(OR(G3238="",G3238="?"),"",IFERROR(INDEX(Pubs!$C$2:$C$3001,MATCH(G3238,Pubs!$A$2:$A$3001,0))&amp;"",""))</f>
        <v/>
      </c>
      <c r="J3238" s="27" t="str">
        <f aca="false">IF(OR(G3238="",G3238="?"),"",IFERROR(INDEX(Pubs!$G$2:$G$3001,MATCH(G3238,Pubs!$A$2:$A$3001,0))&amp;"",""))</f>
        <v/>
      </c>
      <c r="K3238" s="28" t="str">
        <f aca="false">IF(OR(G3238="",G3238="?"),"",IFERROR(INDEX(Pubs!$E$2:$E$3001,MATCH(G3238,Pubs!$A$2:$A$3001,0)),""))</f>
        <v/>
      </c>
      <c r="L3238" s="29" t="str">
        <f aca="false">IF(A3238="","",IFERROR(1/(1/INDEX(Numéros!$C$2:$C$3001,MATCH(A3238&amp;"|"&amp;B3238,Numéros!$F$2:$F$3001,0))),""))</f>
        <v/>
      </c>
      <c r="M3238" s="27" t="str">
        <f aca="false">IF(OR(G3238="",G3238="?"),"",IFERROR(INDEX(Pubs!$D$2:$D$3001,MATCH(G3238,Pubs!$A$2:$A$3001,0))&amp;"",""))</f>
        <v/>
      </c>
      <c r="N3238" s="27" t="n">
        <f aca="false">N(N3237)+IF(AND(A3238&lt;&gt;"",OR(Recherche!$C$4="",A3238=Recherche!$C$4),OR(Recherche!$C$5="",B3238&amp;""=Recherche!$C$5&amp;""),OR(Recherche!$C$6="",IFERROR(YEAR(L3238),0)=Recherche!$C$6),OR(Recherche!$C$7="",ISNUMBER(SEARCH(Recherche!$C$7,H3238))),OR(Recherche!$C$8="",J3238=Recherche!$C$8),OR(Recherche!$C$9="",I3238=Recherche!$C$9),OR(Recherche!$C$10="",G3238&amp;""=Recherche!$C$10&amp;""),OR(Recherche!$C$11="",E3238=Recherche!$C$11),OR(Recherche!$C$12="",ISNUMBER(SEARCH(Recherche!$C$12,M3238&amp;" "&amp;F3238)))),1,0)</f>
        <v>8</v>
      </c>
    </row>
    <row r="3239" customFormat="false" ht="15" hidden="false" customHeight="false" outlineLevel="0" collapsed="false">
      <c r="A3239" s="19"/>
      <c r="B3239" s="19"/>
      <c r="C3239" s="19"/>
      <c r="D3239" s="19"/>
      <c r="E3239" s="22"/>
      <c r="F3239" s="19"/>
      <c r="G3239" s="26" t="str">
        <f aca="false">IF(D3239="","",IFERROR(VALUE(LEFT(D3239,FIND(" |",D3239&amp;" |")-1)),"?"))</f>
        <v/>
      </c>
      <c r="H3239" s="27" t="str">
        <f aca="false">IF(G3239="","",IF(G3239="?","⚠ pub inconnue",IFERROR(INDEX(Pubs!$B$2:$B$3001,MATCH(G3239,Pubs!$A$2:$A$3001,0))&amp;"","⚠ pub inconnue")))</f>
        <v/>
      </c>
      <c r="I3239" s="27" t="str">
        <f aca="false">IF(OR(G3239="",G3239="?"),"",IFERROR(INDEX(Pubs!$C$2:$C$3001,MATCH(G3239,Pubs!$A$2:$A$3001,0))&amp;"",""))</f>
        <v/>
      </c>
      <c r="J3239" s="27" t="str">
        <f aca="false">IF(OR(G3239="",G3239="?"),"",IFERROR(INDEX(Pubs!$G$2:$G$3001,MATCH(G3239,Pubs!$A$2:$A$3001,0))&amp;"",""))</f>
        <v/>
      </c>
      <c r="K3239" s="28" t="str">
        <f aca="false">IF(OR(G3239="",G3239="?"),"",IFERROR(INDEX(Pubs!$E$2:$E$3001,MATCH(G3239,Pubs!$A$2:$A$3001,0)),""))</f>
        <v/>
      </c>
      <c r="L3239" s="29" t="str">
        <f aca="false">IF(A3239="","",IFERROR(1/(1/INDEX(Numéros!$C$2:$C$3001,MATCH(A3239&amp;"|"&amp;B3239,Numéros!$F$2:$F$3001,0))),""))</f>
        <v/>
      </c>
      <c r="M3239" s="27" t="str">
        <f aca="false">IF(OR(G3239="",G3239="?"),"",IFERROR(INDEX(Pubs!$D$2:$D$3001,MATCH(G3239,Pubs!$A$2:$A$3001,0))&amp;"",""))</f>
        <v/>
      </c>
      <c r="N3239" s="27" t="n">
        <f aca="false">N(N3238)+IF(AND(A3239&lt;&gt;"",OR(Recherche!$C$4="",A3239=Recherche!$C$4),OR(Recherche!$C$5="",B3239&amp;""=Recherche!$C$5&amp;""),OR(Recherche!$C$6="",IFERROR(YEAR(L3239),0)=Recherche!$C$6),OR(Recherche!$C$7="",ISNUMBER(SEARCH(Recherche!$C$7,H3239))),OR(Recherche!$C$8="",J3239=Recherche!$C$8),OR(Recherche!$C$9="",I3239=Recherche!$C$9),OR(Recherche!$C$10="",G3239&amp;""=Recherche!$C$10&amp;""),OR(Recherche!$C$11="",E3239=Recherche!$C$11),OR(Recherche!$C$12="",ISNUMBER(SEARCH(Recherche!$C$12,M3239&amp;" "&amp;F3239)))),1,0)</f>
        <v>8</v>
      </c>
    </row>
    <row r="3240" customFormat="false" ht="15" hidden="false" customHeight="false" outlineLevel="0" collapsed="false">
      <c r="A3240" s="19"/>
      <c r="B3240" s="19"/>
      <c r="C3240" s="19"/>
      <c r="D3240" s="19"/>
      <c r="E3240" s="22"/>
      <c r="F3240" s="19"/>
      <c r="G3240" s="26" t="str">
        <f aca="false">IF(D3240="","",IFERROR(VALUE(LEFT(D3240,FIND(" |",D3240&amp;" |")-1)),"?"))</f>
        <v/>
      </c>
      <c r="H3240" s="27" t="str">
        <f aca="false">IF(G3240="","",IF(G3240="?","⚠ pub inconnue",IFERROR(INDEX(Pubs!$B$2:$B$3001,MATCH(G3240,Pubs!$A$2:$A$3001,0))&amp;"","⚠ pub inconnue")))</f>
        <v/>
      </c>
      <c r="I3240" s="27" t="str">
        <f aca="false">IF(OR(G3240="",G3240="?"),"",IFERROR(INDEX(Pubs!$C$2:$C$3001,MATCH(G3240,Pubs!$A$2:$A$3001,0))&amp;"",""))</f>
        <v/>
      </c>
      <c r="J3240" s="27" t="str">
        <f aca="false">IF(OR(G3240="",G3240="?"),"",IFERROR(INDEX(Pubs!$G$2:$G$3001,MATCH(G3240,Pubs!$A$2:$A$3001,0))&amp;"",""))</f>
        <v/>
      </c>
      <c r="K3240" s="28" t="str">
        <f aca="false">IF(OR(G3240="",G3240="?"),"",IFERROR(INDEX(Pubs!$E$2:$E$3001,MATCH(G3240,Pubs!$A$2:$A$3001,0)),""))</f>
        <v/>
      </c>
      <c r="L3240" s="29" t="str">
        <f aca="false">IF(A3240="","",IFERROR(1/(1/INDEX(Numéros!$C$2:$C$3001,MATCH(A3240&amp;"|"&amp;B3240,Numéros!$F$2:$F$3001,0))),""))</f>
        <v/>
      </c>
      <c r="M3240" s="27" t="str">
        <f aca="false">IF(OR(G3240="",G3240="?"),"",IFERROR(INDEX(Pubs!$D$2:$D$3001,MATCH(G3240,Pubs!$A$2:$A$3001,0))&amp;"",""))</f>
        <v/>
      </c>
      <c r="N3240" s="27" t="n">
        <f aca="false">N(N3239)+IF(AND(A3240&lt;&gt;"",OR(Recherche!$C$4="",A3240=Recherche!$C$4),OR(Recherche!$C$5="",B3240&amp;""=Recherche!$C$5&amp;""),OR(Recherche!$C$6="",IFERROR(YEAR(L3240),0)=Recherche!$C$6),OR(Recherche!$C$7="",ISNUMBER(SEARCH(Recherche!$C$7,H3240))),OR(Recherche!$C$8="",J3240=Recherche!$C$8),OR(Recherche!$C$9="",I3240=Recherche!$C$9),OR(Recherche!$C$10="",G3240&amp;""=Recherche!$C$10&amp;""),OR(Recherche!$C$11="",E3240=Recherche!$C$11),OR(Recherche!$C$12="",ISNUMBER(SEARCH(Recherche!$C$12,M3240&amp;" "&amp;F3240)))),1,0)</f>
        <v>8</v>
      </c>
    </row>
    <row r="3241" customFormat="false" ht="15" hidden="false" customHeight="false" outlineLevel="0" collapsed="false">
      <c r="A3241" s="19"/>
      <c r="B3241" s="19"/>
      <c r="C3241" s="19"/>
      <c r="D3241" s="19"/>
      <c r="E3241" s="22"/>
      <c r="F3241" s="19"/>
      <c r="G3241" s="26" t="str">
        <f aca="false">IF(D3241="","",IFERROR(VALUE(LEFT(D3241,FIND(" |",D3241&amp;" |")-1)),"?"))</f>
        <v/>
      </c>
      <c r="H3241" s="27" t="str">
        <f aca="false">IF(G3241="","",IF(G3241="?","⚠ pub inconnue",IFERROR(INDEX(Pubs!$B$2:$B$3001,MATCH(G3241,Pubs!$A$2:$A$3001,0))&amp;"","⚠ pub inconnue")))</f>
        <v/>
      </c>
      <c r="I3241" s="27" t="str">
        <f aca="false">IF(OR(G3241="",G3241="?"),"",IFERROR(INDEX(Pubs!$C$2:$C$3001,MATCH(G3241,Pubs!$A$2:$A$3001,0))&amp;"",""))</f>
        <v/>
      </c>
      <c r="J3241" s="27" t="str">
        <f aca="false">IF(OR(G3241="",G3241="?"),"",IFERROR(INDEX(Pubs!$G$2:$G$3001,MATCH(G3241,Pubs!$A$2:$A$3001,0))&amp;"",""))</f>
        <v/>
      </c>
      <c r="K3241" s="28" t="str">
        <f aca="false">IF(OR(G3241="",G3241="?"),"",IFERROR(INDEX(Pubs!$E$2:$E$3001,MATCH(G3241,Pubs!$A$2:$A$3001,0)),""))</f>
        <v/>
      </c>
      <c r="L3241" s="29" t="str">
        <f aca="false">IF(A3241="","",IFERROR(1/(1/INDEX(Numéros!$C$2:$C$3001,MATCH(A3241&amp;"|"&amp;B3241,Numéros!$F$2:$F$3001,0))),""))</f>
        <v/>
      </c>
      <c r="M3241" s="27" t="str">
        <f aca="false">IF(OR(G3241="",G3241="?"),"",IFERROR(INDEX(Pubs!$D$2:$D$3001,MATCH(G3241,Pubs!$A$2:$A$3001,0))&amp;"",""))</f>
        <v/>
      </c>
      <c r="N3241" s="27" t="n">
        <f aca="false">N(N3240)+IF(AND(A3241&lt;&gt;"",OR(Recherche!$C$4="",A3241=Recherche!$C$4),OR(Recherche!$C$5="",B3241&amp;""=Recherche!$C$5&amp;""),OR(Recherche!$C$6="",IFERROR(YEAR(L3241),0)=Recherche!$C$6),OR(Recherche!$C$7="",ISNUMBER(SEARCH(Recherche!$C$7,H3241))),OR(Recherche!$C$8="",J3241=Recherche!$C$8),OR(Recherche!$C$9="",I3241=Recherche!$C$9),OR(Recherche!$C$10="",G3241&amp;""=Recherche!$C$10&amp;""),OR(Recherche!$C$11="",E3241=Recherche!$C$11),OR(Recherche!$C$12="",ISNUMBER(SEARCH(Recherche!$C$12,M3241&amp;" "&amp;F3241)))),1,0)</f>
        <v>8</v>
      </c>
    </row>
    <row r="3242" customFormat="false" ht="15" hidden="false" customHeight="false" outlineLevel="0" collapsed="false">
      <c r="A3242" s="19"/>
      <c r="B3242" s="19"/>
      <c r="C3242" s="19"/>
      <c r="D3242" s="19"/>
      <c r="E3242" s="22"/>
      <c r="F3242" s="19"/>
      <c r="G3242" s="26" t="str">
        <f aca="false">IF(D3242="","",IFERROR(VALUE(LEFT(D3242,FIND(" |",D3242&amp;" |")-1)),"?"))</f>
        <v/>
      </c>
      <c r="H3242" s="27" t="str">
        <f aca="false">IF(G3242="","",IF(G3242="?","⚠ pub inconnue",IFERROR(INDEX(Pubs!$B$2:$B$3001,MATCH(G3242,Pubs!$A$2:$A$3001,0))&amp;"","⚠ pub inconnue")))</f>
        <v/>
      </c>
      <c r="I3242" s="27" t="str">
        <f aca="false">IF(OR(G3242="",G3242="?"),"",IFERROR(INDEX(Pubs!$C$2:$C$3001,MATCH(G3242,Pubs!$A$2:$A$3001,0))&amp;"",""))</f>
        <v/>
      </c>
      <c r="J3242" s="27" t="str">
        <f aca="false">IF(OR(G3242="",G3242="?"),"",IFERROR(INDEX(Pubs!$G$2:$G$3001,MATCH(G3242,Pubs!$A$2:$A$3001,0))&amp;"",""))</f>
        <v/>
      </c>
      <c r="K3242" s="28" t="str">
        <f aca="false">IF(OR(G3242="",G3242="?"),"",IFERROR(INDEX(Pubs!$E$2:$E$3001,MATCH(G3242,Pubs!$A$2:$A$3001,0)),""))</f>
        <v/>
      </c>
      <c r="L3242" s="29" t="str">
        <f aca="false">IF(A3242="","",IFERROR(1/(1/INDEX(Numéros!$C$2:$C$3001,MATCH(A3242&amp;"|"&amp;B3242,Numéros!$F$2:$F$3001,0))),""))</f>
        <v/>
      </c>
      <c r="M3242" s="27" t="str">
        <f aca="false">IF(OR(G3242="",G3242="?"),"",IFERROR(INDEX(Pubs!$D$2:$D$3001,MATCH(G3242,Pubs!$A$2:$A$3001,0))&amp;"",""))</f>
        <v/>
      </c>
      <c r="N3242" s="27" t="n">
        <f aca="false">N(N3241)+IF(AND(A3242&lt;&gt;"",OR(Recherche!$C$4="",A3242=Recherche!$C$4),OR(Recherche!$C$5="",B3242&amp;""=Recherche!$C$5&amp;""),OR(Recherche!$C$6="",IFERROR(YEAR(L3242),0)=Recherche!$C$6),OR(Recherche!$C$7="",ISNUMBER(SEARCH(Recherche!$C$7,H3242))),OR(Recherche!$C$8="",J3242=Recherche!$C$8),OR(Recherche!$C$9="",I3242=Recherche!$C$9),OR(Recherche!$C$10="",G3242&amp;""=Recherche!$C$10&amp;""),OR(Recherche!$C$11="",E3242=Recherche!$C$11),OR(Recherche!$C$12="",ISNUMBER(SEARCH(Recherche!$C$12,M3242&amp;" "&amp;F3242)))),1,0)</f>
        <v>8</v>
      </c>
    </row>
    <row r="3243" customFormat="false" ht="15" hidden="false" customHeight="false" outlineLevel="0" collapsed="false">
      <c r="A3243" s="19"/>
      <c r="B3243" s="19"/>
      <c r="C3243" s="19"/>
      <c r="D3243" s="19"/>
      <c r="E3243" s="22"/>
      <c r="F3243" s="19"/>
      <c r="G3243" s="26" t="str">
        <f aca="false">IF(D3243="","",IFERROR(VALUE(LEFT(D3243,FIND(" |",D3243&amp;" |")-1)),"?"))</f>
        <v/>
      </c>
      <c r="H3243" s="27" t="str">
        <f aca="false">IF(G3243="","",IF(G3243="?","⚠ pub inconnue",IFERROR(INDEX(Pubs!$B$2:$B$3001,MATCH(G3243,Pubs!$A$2:$A$3001,0))&amp;"","⚠ pub inconnue")))</f>
        <v/>
      </c>
      <c r="I3243" s="27" t="str">
        <f aca="false">IF(OR(G3243="",G3243="?"),"",IFERROR(INDEX(Pubs!$C$2:$C$3001,MATCH(G3243,Pubs!$A$2:$A$3001,0))&amp;"",""))</f>
        <v/>
      </c>
      <c r="J3243" s="27" t="str">
        <f aca="false">IF(OR(G3243="",G3243="?"),"",IFERROR(INDEX(Pubs!$G$2:$G$3001,MATCH(G3243,Pubs!$A$2:$A$3001,0))&amp;"",""))</f>
        <v/>
      </c>
      <c r="K3243" s="28" t="str">
        <f aca="false">IF(OR(G3243="",G3243="?"),"",IFERROR(INDEX(Pubs!$E$2:$E$3001,MATCH(G3243,Pubs!$A$2:$A$3001,0)),""))</f>
        <v/>
      </c>
      <c r="L3243" s="29" t="str">
        <f aca="false">IF(A3243="","",IFERROR(1/(1/INDEX(Numéros!$C$2:$C$3001,MATCH(A3243&amp;"|"&amp;B3243,Numéros!$F$2:$F$3001,0))),""))</f>
        <v/>
      </c>
      <c r="M3243" s="27" t="str">
        <f aca="false">IF(OR(G3243="",G3243="?"),"",IFERROR(INDEX(Pubs!$D$2:$D$3001,MATCH(G3243,Pubs!$A$2:$A$3001,0))&amp;"",""))</f>
        <v/>
      </c>
      <c r="N3243" s="27" t="n">
        <f aca="false">N(N3242)+IF(AND(A3243&lt;&gt;"",OR(Recherche!$C$4="",A3243=Recherche!$C$4),OR(Recherche!$C$5="",B3243&amp;""=Recherche!$C$5&amp;""),OR(Recherche!$C$6="",IFERROR(YEAR(L3243),0)=Recherche!$C$6),OR(Recherche!$C$7="",ISNUMBER(SEARCH(Recherche!$C$7,H3243))),OR(Recherche!$C$8="",J3243=Recherche!$C$8),OR(Recherche!$C$9="",I3243=Recherche!$C$9),OR(Recherche!$C$10="",G3243&amp;""=Recherche!$C$10&amp;""),OR(Recherche!$C$11="",E3243=Recherche!$C$11),OR(Recherche!$C$12="",ISNUMBER(SEARCH(Recherche!$C$12,M3243&amp;" "&amp;F3243)))),1,0)</f>
        <v>8</v>
      </c>
    </row>
    <row r="3244" customFormat="false" ht="15" hidden="false" customHeight="false" outlineLevel="0" collapsed="false">
      <c r="A3244" s="19"/>
      <c r="B3244" s="19"/>
      <c r="C3244" s="19"/>
      <c r="D3244" s="19"/>
      <c r="E3244" s="22"/>
      <c r="F3244" s="19"/>
      <c r="G3244" s="26" t="str">
        <f aca="false">IF(D3244="","",IFERROR(VALUE(LEFT(D3244,FIND(" |",D3244&amp;" |")-1)),"?"))</f>
        <v/>
      </c>
      <c r="H3244" s="27" t="str">
        <f aca="false">IF(G3244="","",IF(G3244="?","⚠ pub inconnue",IFERROR(INDEX(Pubs!$B$2:$B$3001,MATCH(G3244,Pubs!$A$2:$A$3001,0))&amp;"","⚠ pub inconnue")))</f>
        <v/>
      </c>
      <c r="I3244" s="27" t="str">
        <f aca="false">IF(OR(G3244="",G3244="?"),"",IFERROR(INDEX(Pubs!$C$2:$C$3001,MATCH(G3244,Pubs!$A$2:$A$3001,0))&amp;"",""))</f>
        <v/>
      </c>
      <c r="J3244" s="27" t="str">
        <f aca="false">IF(OR(G3244="",G3244="?"),"",IFERROR(INDEX(Pubs!$G$2:$G$3001,MATCH(G3244,Pubs!$A$2:$A$3001,0))&amp;"",""))</f>
        <v/>
      </c>
      <c r="K3244" s="28" t="str">
        <f aca="false">IF(OR(G3244="",G3244="?"),"",IFERROR(INDEX(Pubs!$E$2:$E$3001,MATCH(G3244,Pubs!$A$2:$A$3001,0)),""))</f>
        <v/>
      </c>
      <c r="L3244" s="29" t="str">
        <f aca="false">IF(A3244="","",IFERROR(1/(1/INDEX(Numéros!$C$2:$C$3001,MATCH(A3244&amp;"|"&amp;B3244,Numéros!$F$2:$F$3001,0))),""))</f>
        <v/>
      </c>
      <c r="M3244" s="27" t="str">
        <f aca="false">IF(OR(G3244="",G3244="?"),"",IFERROR(INDEX(Pubs!$D$2:$D$3001,MATCH(G3244,Pubs!$A$2:$A$3001,0))&amp;"",""))</f>
        <v/>
      </c>
      <c r="N3244" s="27" t="n">
        <f aca="false">N(N3243)+IF(AND(A3244&lt;&gt;"",OR(Recherche!$C$4="",A3244=Recherche!$C$4),OR(Recherche!$C$5="",B3244&amp;""=Recherche!$C$5&amp;""),OR(Recherche!$C$6="",IFERROR(YEAR(L3244),0)=Recherche!$C$6),OR(Recherche!$C$7="",ISNUMBER(SEARCH(Recherche!$C$7,H3244))),OR(Recherche!$C$8="",J3244=Recherche!$C$8),OR(Recherche!$C$9="",I3244=Recherche!$C$9),OR(Recherche!$C$10="",G3244&amp;""=Recherche!$C$10&amp;""),OR(Recherche!$C$11="",E3244=Recherche!$C$11),OR(Recherche!$C$12="",ISNUMBER(SEARCH(Recherche!$C$12,M3244&amp;" "&amp;F3244)))),1,0)</f>
        <v>8</v>
      </c>
    </row>
    <row r="3245" customFormat="false" ht="15" hidden="false" customHeight="false" outlineLevel="0" collapsed="false">
      <c r="A3245" s="19"/>
      <c r="B3245" s="19"/>
      <c r="C3245" s="19"/>
      <c r="D3245" s="19"/>
      <c r="E3245" s="22"/>
      <c r="F3245" s="19"/>
      <c r="G3245" s="26" t="str">
        <f aca="false">IF(D3245="","",IFERROR(VALUE(LEFT(D3245,FIND(" |",D3245&amp;" |")-1)),"?"))</f>
        <v/>
      </c>
      <c r="H3245" s="27" t="str">
        <f aca="false">IF(G3245="","",IF(G3245="?","⚠ pub inconnue",IFERROR(INDEX(Pubs!$B$2:$B$3001,MATCH(G3245,Pubs!$A$2:$A$3001,0))&amp;"","⚠ pub inconnue")))</f>
        <v/>
      </c>
      <c r="I3245" s="27" t="str">
        <f aca="false">IF(OR(G3245="",G3245="?"),"",IFERROR(INDEX(Pubs!$C$2:$C$3001,MATCH(G3245,Pubs!$A$2:$A$3001,0))&amp;"",""))</f>
        <v/>
      </c>
      <c r="J3245" s="27" t="str">
        <f aca="false">IF(OR(G3245="",G3245="?"),"",IFERROR(INDEX(Pubs!$G$2:$G$3001,MATCH(G3245,Pubs!$A$2:$A$3001,0))&amp;"",""))</f>
        <v/>
      </c>
      <c r="K3245" s="28" t="str">
        <f aca="false">IF(OR(G3245="",G3245="?"),"",IFERROR(INDEX(Pubs!$E$2:$E$3001,MATCH(G3245,Pubs!$A$2:$A$3001,0)),""))</f>
        <v/>
      </c>
      <c r="L3245" s="29" t="str">
        <f aca="false">IF(A3245="","",IFERROR(1/(1/INDEX(Numéros!$C$2:$C$3001,MATCH(A3245&amp;"|"&amp;B3245,Numéros!$F$2:$F$3001,0))),""))</f>
        <v/>
      </c>
      <c r="M3245" s="27" t="str">
        <f aca="false">IF(OR(G3245="",G3245="?"),"",IFERROR(INDEX(Pubs!$D$2:$D$3001,MATCH(G3245,Pubs!$A$2:$A$3001,0))&amp;"",""))</f>
        <v/>
      </c>
      <c r="N3245" s="27" t="n">
        <f aca="false">N(N3244)+IF(AND(A3245&lt;&gt;"",OR(Recherche!$C$4="",A3245=Recherche!$C$4),OR(Recherche!$C$5="",B3245&amp;""=Recherche!$C$5&amp;""),OR(Recherche!$C$6="",IFERROR(YEAR(L3245),0)=Recherche!$C$6),OR(Recherche!$C$7="",ISNUMBER(SEARCH(Recherche!$C$7,H3245))),OR(Recherche!$C$8="",J3245=Recherche!$C$8),OR(Recherche!$C$9="",I3245=Recherche!$C$9),OR(Recherche!$C$10="",G3245&amp;""=Recherche!$C$10&amp;""),OR(Recherche!$C$11="",E3245=Recherche!$C$11),OR(Recherche!$C$12="",ISNUMBER(SEARCH(Recherche!$C$12,M3245&amp;" "&amp;F3245)))),1,0)</f>
        <v>8</v>
      </c>
    </row>
    <row r="3246" customFormat="false" ht="15" hidden="false" customHeight="false" outlineLevel="0" collapsed="false">
      <c r="A3246" s="19"/>
      <c r="B3246" s="19"/>
      <c r="C3246" s="19"/>
      <c r="D3246" s="19"/>
      <c r="E3246" s="22"/>
      <c r="F3246" s="19"/>
      <c r="G3246" s="26" t="str">
        <f aca="false">IF(D3246="","",IFERROR(VALUE(LEFT(D3246,FIND(" |",D3246&amp;" |")-1)),"?"))</f>
        <v/>
      </c>
      <c r="H3246" s="27" t="str">
        <f aca="false">IF(G3246="","",IF(G3246="?","⚠ pub inconnue",IFERROR(INDEX(Pubs!$B$2:$B$3001,MATCH(G3246,Pubs!$A$2:$A$3001,0))&amp;"","⚠ pub inconnue")))</f>
        <v/>
      </c>
      <c r="I3246" s="27" t="str">
        <f aca="false">IF(OR(G3246="",G3246="?"),"",IFERROR(INDEX(Pubs!$C$2:$C$3001,MATCH(G3246,Pubs!$A$2:$A$3001,0))&amp;"",""))</f>
        <v/>
      </c>
      <c r="J3246" s="27" t="str">
        <f aca="false">IF(OR(G3246="",G3246="?"),"",IFERROR(INDEX(Pubs!$G$2:$G$3001,MATCH(G3246,Pubs!$A$2:$A$3001,0))&amp;"",""))</f>
        <v/>
      </c>
      <c r="K3246" s="28" t="str">
        <f aca="false">IF(OR(G3246="",G3246="?"),"",IFERROR(INDEX(Pubs!$E$2:$E$3001,MATCH(G3246,Pubs!$A$2:$A$3001,0)),""))</f>
        <v/>
      </c>
      <c r="L3246" s="29" t="str">
        <f aca="false">IF(A3246="","",IFERROR(1/(1/INDEX(Numéros!$C$2:$C$3001,MATCH(A3246&amp;"|"&amp;B3246,Numéros!$F$2:$F$3001,0))),""))</f>
        <v/>
      </c>
      <c r="M3246" s="27" t="str">
        <f aca="false">IF(OR(G3246="",G3246="?"),"",IFERROR(INDEX(Pubs!$D$2:$D$3001,MATCH(G3246,Pubs!$A$2:$A$3001,0))&amp;"",""))</f>
        <v/>
      </c>
      <c r="N3246" s="27" t="n">
        <f aca="false">N(N3245)+IF(AND(A3246&lt;&gt;"",OR(Recherche!$C$4="",A3246=Recherche!$C$4),OR(Recherche!$C$5="",B3246&amp;""=Recherche!$C$5&amp;""),OR(Recherche!$C$6="",IFERROR(YEAR(L3246),0)=Recherche!$C$6),OR(Recherche!$C$7="",ISNUMBER(SEARCH(Recherche!$C$7,H3246))),OR(Recherche!$C$8="",J3246=Recherche!$C$8),OR(Recherche!$C$9="",I3246=Recherche!$C$9),OR(Recherche!$C$10="",G3246&amp;""=Recherche!$C$10&amp;""),OR(Recherche!$C$11="",E3246=Recherche!$C$11),OR(Recherche!$C$12="",ISNUMBER(SEARCH(Recherche!$C$12,M3246&amp;" "&amp;F3246)))),1,0)</f>
        <v>8</v>
      </c>
    </row>
    <row r="3247" customFormat="false" ht="15" hidden="false" customHeight="false" outlineLevel="0" collapsed="false">
      <c r="A3247" s="19"/>
      <c r="B3247" s="19"/>
      <c r="C3247" s="19"/>
      <c r="D3247" s="19"/>
      <c r="E3247" s="22"/>
      <c r="F3247" s="19"/>
      <c r="G3247" s="26" t="str">
        <f aca="false">IF(D3247="","",IFERROR(VALUE(LEFT(D3247,FIND(" |",D3247&amp;" |")-1)),"?"))</f>
        <v/>
      </c>
      <c r="H3247" s="27" t="str">
        <f aca="false">IF(G3247="","",IF(G3247="?","⚠ pub inconnue",IFERROR(INDEX(Pubs!$B$2:$B$3001,MATCH(G3247,Pubs!$A$2:$A$3001,0))&amp;"","⚠ pub inconnue")))</f>
        <v/>
      </c>
      <c r="I3247" s="27" t="str">
        <f aca="false">IF(OR(G3247="",G3247="?"),"",IFERROR(INDEX(Pubs!$C$2:$C$3001,MATCH(G3247,Pubs!$A$2:$A$3001,0))&amp;"",""))</f>
        <v/>
      </c>
      <c r="J3247" s="27" t="str">
        <f aca="false">IF(OR(G3247="",G3247="?"),"",IFERROR(INDEX(Pubs!$G$2:$G$3001,MATCH(G3247,Pubs!$A$2:$A$3001,0))&amp;"",""))</f>
        <v/>
      </c>
      <c r="K3247" s="28" t="str">
        <f aca="false">IF(OR(G3247="",G3247="?"),"",IFERROR(INDEX(Pubs!$E$2:$E$3001,MATCH(G3247,Pubs!$A$2:$A$3001,0)),""))</f>
        <v/>
      </c>
      <c r="L3247" s="29" t="str">
        <f aca="false">IF(A3247="","",IFERROR(1/(1/INDEX(Numéros!$C$2:$C$3001,MATCH(A3247&amp;"|"&amp;B3247,Numéros!$F$2:$F$3001,0))),""))</f>
        <v/>
      </c>
      <c r="M3247" s="27" t="str">
        <f aca="false">IF(OR(G3247="",G3247="?"),"",IFERROR(INDEX(Pubs!$D$2:$D$3001,MATCH(G3247,Pubs!$A$2:$A$3001,0))&amp;"",""))</f>
        <v/>
      </c>
      <c r="N3247" s="27" t="n">
        <f aca="false">N(N3246)+IF(AND(A3247&lt;&gt;"",OR(Recherche!$C$4="",A3247=Recherche!$C$4),OR(Recherche!$C$5="",B3247&amp;""=Recherche!$C$5&amp;""),OR(Recherche!$C$6="",IFERROR(YEAR(L3247),0)=Recherche!$C$6),OR(Recherche!$C$7="",ISNUMBER(SEARCH(Recherche!$C$7,H3247))),OR(Recherche!$C$8="",J3247=Recherche!$C$8),OR(Recherche!$C$9="",I3247=Recherche!$C$9),OR(Recherche!$C$10="",G3247&amp;""=Recherche!$C$10&amp;""),OR(Recherche!$C$11="",E3247=Recherche!$C$11),OR(Recherche!$C$12="",ISNUMBER(SEARCH(Recherche!$C$12,M3247&amp;" "&amp;F3247)))),1,0)</f>
        <v>8</v>
      </c>
    </row>
    <row r="3248" customFormat="false" ht="15" hidden="false" customHeight="false" outlineLevel="0" collapsed="false">
      <c r="A3248" s="19"/>
      <c r="B3248" s="19"/>
      <c r="C3248" s="19"/>
      <c r="D3248" s="19"/>
      <c r="E3248" s="22"/>
      <c r="F3248" s="19"/>
      <c r="G3248" s="26" t="str">
        <f aca="false">IF(D3248="","",IFERROR(VALUE(LEFT(D3248,FIND(" |",D3248&amp;" |")-1)),"?"))</f>
        <v/>
      </c>
      <c r="H3248" s="27" t="str">
        <f aca="false">IF(G3248="","",IF(G3248="?","⚠ pub inconnue",IFERROR(INDEX(Pubs!$B$2:$B$3001,MATCH(G3248,Pubs!$A$2:$A$3001,0))&amp;"","⚠ pub inconnue")))</f>
        <v/>
      </c>
      <c r="I3248" s="27" t="str">
        <f aca="false">IF(OR(G3248="",G3248="?"),"",IFERROR(INDEX(Pubs!$C$2:$C$3001,MATCH(G3248,Pubs!$A$2:$A$3001,0))&amp;"",""))</f>
        <v/>
      </c>
      <c r="J3248" s="27" t="str">
        <f aca="false">IF(OR(G3248="",G3248="?"),"",IFERROR(INDEX(Pubs!$G$2:$G$3001,MATCH(G3248,Pubs!$A$2:$A$3001,0))&amp;"",""))</f>
        <v/>
      </c>
      <c r="K3248" s="28" t="str">
        <f aca="false">IF(OR(G3248="",G3248="?"),"",IFERROR(INDEX(Pubs!$E$2:$E$3001,MATCH(G3248,Pubs!$A$2:$A$3001,0)),""))</f>
        <v/>
      </c>
      <c r="L3248" s="29" t="str">
        <f aca="false">IF(A3248="","",IFERROR(1/(1/INDEX(Numéros!$C$2:$C$3001,MATCH(A3248&amp;"|"&amp;B3248,Numéros!$F$2:$F$3001,0))),""))</f>
        <v/>
      </c>
      <c r="M3248" s="27" t="str">
        <f aca="false">IF(OR(G3248="",G3248="?"),"",IFERROR(INDEX(Pubs!$D$2:$D$3001,MATCH(G3248,Pubs!$A$2:$A$3001,0))&amp;"",""))</f>
        <v/>
      </c>
      <c r="N3248" s="27" t="n">
        <f aca="false">N(N3247)+IF(AND(A3248&lt;&gt;"",OR(Recherche!$C$4="",A3248=Recherche!$C$4),OR(Recherche!$C$5="",B3248&amp;""=Recherche!$C$5&amp;""),OR(Recherche!$C$6="",IFERROR(YEAR(L3248),0)=Recherche!$C$6),OR(Recherche!$C$7="",ISNUMBER(SEARCH(Recherche!$C$7,H3248))),OR(Recherche!$C$8="",J3248=Recherche!$C$8),OR(Recherche!$C$9="",I3248=Recherche!$C$9),OR(Recherche!$C$10="",G3248&amp;""=Recherche!$C$10&amp;""),OR(Recherche!$C$11="",E3248=Recherche!$C$11),OR(Recherche!$C$12="",ISNUMBER(SEARCH(Recherche!$C$12,M3248&amp;" "&amp;F3248)))),1,0)</f>
        <v>8</v>
      </c>
    </row>
    <row r="3249" customFormat="false" ht="15" hidden="false" customHeight="false" outlineLevel="0" collapsed="false">
      <c r="A3249" s="19"/>
      <c r="B3249" s="19"/>
      <c r="C3249" s="19"/>
      <c r="D3249" s="19"/>
      <c r="E3249" s="22"/>
      <c r="F3249" s="19"/>
      <c r="G3249" s="26" t="str">
        <f aca="false">IF(D3249="","",IFERROR(VALUE(LEFT(D3249,FIND(" |",D3249&amp;" |")-1)),"?"))</f>
        <v/>
      </c>
      <c r="H3249" s="27" t="str">
        <f aca="false">IF(G3249="","",IF(G3249="?","⚠ pub inconnue",IFERROR(INDEX(Pubs!$B$2:$B$3001,MATCH(G3249,Pubs!$A$2:$A$3001,0))&amp;"","⚠ pub inconnue")))</f>
        <v/>
      </c>
      <c r="I3249" s="27" t="str">
        <f aca="false">IF(OR(G3249="",G3249="?"),"",IFERROR(INDEX(Pubs!$C$2:$C$3001,MATCH(G3249,Pubs!$A$2:$A$3001,0))&amp;"",""))</f>
        <v/>
      </c>
      <c r="J3249" s="27" t="str">
        <f aca="false">IF(OR(G3249="",G3249="?"),"",IFERROR(INDEX(Pubs!$G$2:$G$3001,MATCH(G3249,Pubs!$A$2:$A$3001,0))&amp;"",""))</f>
        <v/>
      </c>
      <c r="K3249" s="28" t="str">
        <f aca="false">IF(OR(G3249="",G3249="?"),"",IFERROR(INDEX(Pubs!$E$2:$E$3001,MATCH(G3249,Pubs!$A$2:$A$3001,0)),""))</f>
        <v/>
      </c>
      <c r="L3249" s="29" t="str">
        <f aca="false">IF(A3249="","",IFERROR(1/(1/INDEX(Numéros!$C$2:$C$3001,MATCH(A3249&amp;"|"&amp;B3249,Numéros!$F$2:$F$3001,0))),""))</f>
        <v/>
      </c>
      <c r="M3249" s="27" t="str">
        <f aca="false">IF(OR(G3249="",G3249="?"),"",IFERROR(INDEX(Pubs!$D$2:$D$3001,MATCH(G3249,Pubs!$A$2:$A$3001,0))&amp;"",""))</f>
        <v/>
      </c>
      <c r="N3249" s="27" t="n">
        <f aca="false">N(N3248)+IF(AND(A3249&lt;&gt;"",OR(Recherche!$C$4="",A3249=Recherche!$C$4),OR(Recherche!$C$5="",B3249&amp;""=Recherche!$C$5&amp;""),OR(Recherche!$C$6="",IFERROR(YEAR(L3249),0)=Recherche!$C$6),OR(Recherche!$C$7="",ISNUMBER(SEARCH(Recherche!$C$7,H3249))),OR(Recherche!$C$8="",J3249=Recherche!$C$8),OR(Recherche!$C$9="",I3249=Recherche!$C$9),OR(Recherche!$C$10="",G3249&amp;""=Recherche!$C$10&amp;""),OR(Recherche!$C$11="",E3249=Recherche!$C$11),OR(Recherche!$C$12="",ISNUMBER(SEARCH(Recherche!$C$12,M3249&amp;" "&amp;F3249)))),1,0)</f>
        <v>8</v>
      </c>
    </row>
    <row r="3250" customFormat="false" ht="15" hidden="false" customHeight="false" outlineLevel="0" collapsed="false">
      <c r="A3250" s="19"/>
      <c r="B3250" s="19"/>
      <c r="C3250" s="19"/>
      <c r="D3250" s="19"/>
      <c r="E3250" s="22"/>
      <c r="F3250" s="19"/>
      <c r="G3250" s="26" t="str">
        <f aca="false">IF(D3250="","",IFERROR(VALUE(LEFT(D3250,FIND(" |",D3250&amp;" |")-1)),"?"))</f>
        <v/>
      </c>
      <c r="H3250" s="27" t="str">
        <f aca="false">IF(G3250="","",IF(G3250="?","⚠ pub inconnue",IFERROR(INDEX(Pubs!$B$2:$B$3001,MATCH(G3250,Pubs!$A$2:$A$3001,0))&amp;"","⚠ pub inconnue")))</f>
        <v/>
      </c>
      <c r="I3250" s="27" t="str">
        <f aca="false">IF(OR(G3250="",G3250="?"),"",IFERROR(INDEX(Pubs!$C$2:$C$3001,MATCH(G3250,Pubs!$A$2:$A$3001,0))&amp;"",""))</f>
        <v/>
      </c>
      <c r="J3250" s="27" t="str">
        <f aca="false">IF(OR(G3250="",G3250="?"),"",IFERROR(INDEX(Pubs!$G$2:$G$3001,MATCH(G3250,Pubs!$A$2:$A$3001,0))&amp;"",""))</f>
        <v/>
      </c>
      <c r="K3250" s="28" t="str">
        <f aca="false">IF(OR(G3250="",G3250="?"),"",IFERROR(INDEX(Pubs!$E$2:$E$3001,MATCH(G3250,Pubs!$A$2:$A$3001,0)),""))</f>
        <v/>
      </c>
      <c r="L3250" s="29" t="str">
        <f aca="false">IF(A3250="","",IFERROR(1/(1/INDEX(Numéros!$C$2:$C$3001,MATCH(A3250&amp;"|"&amp;B3250,Numéros!$F$2:$F$3001,0))),""))</f>
        <v/>
      </c>
      <c r="M3250" s="27" t="str">
        <f aca="false">IF(OR(G3250="",G3250="?"),"",IFERROR(INDEX(Pubs!$D$2:$D$3001,MATCH(G3250,Pubs!$A$2:$A$3001,0))&amp;"",""))</f>
        <v/>
      </c>
      <c r="N3250" s="27" t="n">
        <f aca="false">N(N3249)+IF(AND(A3250&lt;&gt;"",OR(Recherche!$C$4="",A3250=Recherche!$C$4),OR(Recherche!$C$5="",B3250&amp;""=Recherche!$C$5&amp;""),OR(Recherche!$C$6="",IFERROR(YEAR(L3250),0)=Recherche!$C$6),OR(Recherche!$C$7="",ISNUMBER(SEARCH(Recherche!$C$7,H3250))),OR(Recherche!$C$8="",J3250=Recherche!$C$8),OR(Recherche!$C$9="",I3250=Recherche!$C$9),OR(Recherche!$C$10="",G3250&amp;""=Recherche!$C$10&amp;""),OR(Recherche!$C$11="",E3250=Recherche!$C$11),OR(Recherche!$C$12="",ISNUMBER(SEARCH(Recherche!$C$12,M3250&amp;" "&amp;F3250)))),1,0)</f>
        <v>8</v>
      </c>
    </row>
    <row r="3251" customFormat="false" ht="15" hidden="false" customHeight="false" outlineLevel="0" collapsed="false">
      <c r="A3251" s="19"/>
      <c r="B3251" s="19"/>
      <c r="C3251" s="19"/>
      <c r="D3251" s="19"/>
      <c r="E3251" s="22"/>
      <c r="F3251" s="19"/>
      <c r="G3251" s="26" t="str">
        <f aca="false">IF(D3251="","",IFERROR(VALUE(LEFT(D3251,FIND(" |",D3251&amp;" |")-1)),"?"))</f>
        <v/>
      </c>
      <c r="H3251" s="27" t="str">
        <f aca="false">IF(G3251="","",IF(G3251="?","⚠ pub inconnue",IFERROR(INDEX(Pubs!$B$2:$B$3001,MATCH(G3251,Pubs!$A$2:$A$3001,0))&amp;"","⚠ pub inconnue")))</f>
        <v/>
      </c>
      <c r="I3251" s="27" t="str">
        <f aca="false">IF(OR(G3251="",G3251="?"),"",IFERROR(INDEX(Pubs!$C$2:$C$3001,MATCH(G3251,Pubs!$A$2:$A$3001,0))&amp;"",""))</f>
        <v/>
      </c>
      <c r="J3251" s="27" t="str">
        <f aca="false">IF(OR(G3251="",G3251="?"),"",IFERROR(INDEX(Pubs!$G$2:$G$3001,MATCH(G3251,Pubs!$A$2:$A$3001,0))&amp;"",""))</f>
        <v/>
      </c>
      <c r="K3251" s="28" t="str">
        <f aca="false">IF(OR(G3251="",G3251="?"),"",IFERROR(INDEX(Pubs!$E$2:$E$3001,MATCH(G3251,Pubs!$A$2:$A$3001,0)),""))</f>
        <v/>
      </c>
      <c r="L3251" s="29" t="str">
        <f aca="false">IF(A3251="","",IFERROR(1/(1/INDEX(Numéros!$C$2:$C$3001,MATCH(A3251&amp;"|"&amp;B3251,Numéros!$F$2:$F$3001,0))),""))</f>
        <v/>
      </c>
      <c r="M3251" s="27" t="str">
        <f aca="false">IF(OR(G3251="",G3251="?"),"",IFERROR(INDEX(Pubs!$D$2:$D$3001,MATCH(G3251,Pubs!$A$2:$A$3001,0))&amp;"",""))</f>
        <v/>
      </c>
      <c r="N3251" s="27" t="n">
        <f aca="false">N(N3250)+IF(AND(A3251&lt;&gt;"",OR(Recherche!$C$4="",A3251=Recherche!$C$4),OR(Recherche!$C$5="",B3251&amp;""=Recherche!$C$5&amp;""),OR(Recherche!$C$6="",IFERROR(YEAR(L3251),0)=Recherche!$C$6),OR(Recherche!$C$7="",ISNUMBER(SEARCH(Recherche!$C$7,H3251))),OR(Recherche!$C$8="",J3251=Recherche!$C$8),OR(Recherche!$C$9="",I3251=Recherche!$C$9),OR(Recherche!$C$10="",G3251&amp;""=Recherche!$C$10&amp;""),OR(Recherche!$C$11="",E3251=Recherche!$C$11),OR(Recherche!$C$12="",ISNUMBER(SEARCH(Recherche!$C$12,M3251&amp;" "&amp;F3251)))),1,0)</f>
        <v>8</v>
      </c>
    </row>
    <row r="3252" customFormat="false" ht="15" hidden="false" customHeight="false" outlineLevel="0" collapsed="false">
      <c r="A3252" s="19"/>
      <c r="B3252" s="19"/>
      <c r="C3252" s="19"/>
      <c r="D3252" s="19"/>
      <c r="E3252" s="22"/>
      <c r="F3252" s="19"/>
      <c r="G3252" s="26" t="str">
        <f aca="false">IF(D3252="","",IFERROR(VALUE(LEFT(D3252,FIND(" |",D3252&amp;" |")-1)),"?"))</f>
        <v/>
      </c>
      <c r="H3252" s="27" t="str">
        <f aca="false">IF(G3252="","",IF(G3252="?","⚠ pub inconnue",IFERROR(INDEX(Pubs!$B$2:$B$3001,MATCH(G3252,Pubs!$A$2:$A$3001,0))&amp;"","⚠ pub inconnue")))</f>
        <v/>
      </c>
      <c r="I3252" s="27" t="str">
        <f aca="false">IF(OR(G3252="",G3252="?"),"",IFERROR(INDEX(Pubs!$C$2:$C$3001,MATCH(G3252,Pubs!$A$2:$A$3001,0))&amp;"",""))</f>
        <v/>
      </c>
      <c r="J3252" s="27" t="str">
        <f aca="false">IF(OR(G3252="",G3252="?"),"",IFERROR(INDEX(Pubs!$G$2:$G$3001,MATCH(G3252,Pubs!$A$2:$A$3001,0))&amp;"",""))</f>
        <v/>
      </c>
      <c r="K3252" s="28" t="str">
        <f aca="false">IF(OR(G3252="",G3252="?"),"",IFERROR(INDEX(Pubs!$E$2:$E$3001,MATCH(G3252,Pubs!$A$2:$A$3001,0)),""))</f>
        <v/>
      </c>
      <c r="L3252" s="29" t="str">
        <f aca="false">IF(A3252="","",IFERROR(1/(1/INDEX(Numéros!$C$2:$C$3001,MATCH(A3252&amp;"|"&amp;B3252,Numéros!$F$2:$F$3001,0))),""))</f>
        <v/>
      </c>
      <c r="M3252" s="27" t="str">
        <f aca="false">IF(OR(G3252="",G3252="?"),"",IFERROR(INDEX(Pubs!$D$2:$D$3001,MATCH(G3252,Pubs!$A$2:$A$3001,0))&amp;"",""))</f>
        <v/>
      </c>
      <c r="N3252" s="27" t="n">
        <f aca="false">N(N3251)+IF(AND(A3252&lt;&gt;"",OR(Recherche!$C$4="",A3252=Recherche!$C$4),OR(Recherche!$C$5="",B3252&amp;""=Recherche!$C$5&amp;""),OR(Recherche!$C$6="",IFERROR(YEAR(L3252),0)=Recherche!$C$6),OR(Recherche!$C$7="",ISNUMBER(SEARCH(Recherche!$C$7,H3252))),OR(Recherche!$C$8="",J3252=Recherche!$C$8),OR(Recherche!$C$9="",I3252=Recherche!$C$9),OR(Recherche!$C$10="",G3252&amp;""=Recherche!$C$10&amp;""),OR(Recherche!$C$11="",E3252=Recherche!$C$11),OR(Recherche!$C$12="",ISNUMBER(SEARCH(Recherche!$C$12,M3252&amp;" "&amp;F3252)))),1,0)</f>
        <v>8</v>
      </c>
    </row>
    <row r="3253" customFormat="false" ht="15" hidden="false" customHeight="false" outlineLevel="0" collapsed="false">
      <c r="A3253" s="19"/>
      <c r="B3253" s="19"/>
      <c r="C3253" s="19"/>
      <c r="D3253" s="19"/>
      <c r="E3253" s="22"/>
      <c r="F3253" s="19"/>
      <c r="G3253" s="26" t="str">
        <f aca="false">IF(D3253="","",IFERROR(VALUE(LEFT(D3253,FIND(" |",D3253&amp;" |")-1)),"?"))</f>
        <v/>
      </c>
      <c r="H3253" s="27" t="str">
        <f aca="false">IF(G3253="","",IF(G3253="?","⚠ pub inconnue",IFERROR(INDEX(Pubs!$B$2:$B$3001,MATCH(G3253,Pubs!$A$2:$A$3001,0))&amp;"","⚠ pub inconnue")))</f>
        <v/>
      </c>
      <c r="I3253" s="27" t="str">
        <f aca="false">IF(OR(G3253="",G3253="?"),"",IFERROR(INDEX(Pubs!$C$2:$C$3001,MATCH(G3253,Pubs!$A$2:$A$3001,0))&amp;"",""))</f>
        <v/>
      </c>
      <c r="J3253" s="27" t="str">
        <f aca="false">IF(OR(G3253="",G3253="?"),"",IFERROR(INDEX(Pubs!$G$2:$G$3001,MATCH(G3253,Pubs!$A$2:$A$3001,0))&amp;"",""))</f>
        <v/>
      </c>
      <c r="K3253" s="28" t="str">
        <f aca="false">IF(OR(G3253="",G3253="?"),"",IFERROR(INDEX(Pubs!$E$2:$E$3001,MATCH(G3253,Pubs!$A$2:$A$3001,0)),""))</f>
        <v/>
      </c>
      <c r="L3253" s="29" t="str">
        <f aca="false">IF(A3253="","",IFERROR(1/(1/INDEX(Numéros!$C$2:$C$3001,MATCH(A3253&amp;"|"&amp;B3253,Numéros!$F$2:$F$3001,0))),""))</f>
        <v/>
      </c>
      <c r="M3253" s="27" t="str">
        <f aca="false">IF(OR(G3253="",G3253="?"),"",IFERROR(INDEX(Pubs!$D$2:$D$3001,MATCH(G3253,Pubs!$A$2:$A$3001,0))&amp;"",""))</f>
        <v/>
      </c>
      <c r="N3253" s="27" t="n">
        <f aca="false">N(N3252)+IF(AND(A3253&lt;&gt;"",OR(Recherche!$C$4="",A3253=Recherche!$C$4),OR(Recherche!$C$5="",B3253&amp;""=Recherche!$C$5&amp;""),OR(Recherche!$C$6="",IFERROR(YEAR(L3253),0)=Recherche!$C$6),OR(Recherche!$C$7="",ISNUMBER(SEARCH(Recherche!$C$7,H3253))),OR(Recherche!$C$8="",J3253=Recherche!$C$8),OR(Recherche!$C$9="",I3253=Recherche!$C$9),OR(Recherche!$C$10="",G3253&amp;""=Recherche!$C$10&amp;""),OR(Recherche!$C$11="",E3253=Recherche!$C$11),OR(Recherche!$C$12="",ISNUMBER(SEARCH(Recherche!$C$12,M3253&amp;" "&amp;F3253)))),1,0)</f>
        <v>8</v>
      </c>
    </row>
    <row r="3254" customFormat="false" ht="15" hidden="false" customHeight="false" outlineLevel="0" collapsed="false">
      <c r="A3254" s="19"/>
      <c r="B3254" s="19"/>
      <c r="C3254" s="19"/>
      <c r="D3254" s="19"/>
      <c r="E3254" s="22"/>
      <c r="F3254" s="19"/>
      <c r="G3254" s="26" t="str">
        <f aca="false">IF(D3254="","",IFERROR(VALUE(LEFT(D3254,FIND(" |",D3254&amp;" |")-1)),"?"))</f>
        <v/>
      </c>
      <c r="H3254" s="27" t="str">
        <f aca="false">IF(G3254="","",IF(G3254="?","⚠ pub inconnue",IFERROR(INDEX(Pubs!$B$2:$B$3001,MATCH(G3254,Pubs!$A$2:$A$3001,0))&amp;"","⚠ pub inconnue")))</f>
        <v/>
      </c>
      <c r="I3254" s="27" t="str">
        <f aca="false">IF(OR(G3254="",G3254="?"),"",IFERROR(INDEX(Pubs!$C$2:$C$3001,MATCH(G3254,Pubs!$A$2:$A$3001,0))&amp;"",""))</f>
        <v/>
      </c>
      <c r="J3254" s="27" t="str">
        <f aca="false">IF(OR(G3254="",G3254="?"),"",IFERROR(INDEX(Pubs!$G$2:$G$3001,MATCH(G3254,Pubs!$A$2:$A$3001,0))&amp;"",""))</f>
        <v/>
      </c>
      <c r="K3254" s="28" t="str">
        <f aca="false">IF(OR(G3254="",G3254="?"),"",IFERROR(INDEX(Pubs!$E$2:$E$3001,MATCH(G3254,Pubs!$A$2:$A$3001,0)),""))</f>
        <v/>
      </c>
      <c r="L3254" s="29" t="str">
        <f aca="false">IF(A3254="","",IFERROR(1/(1/INDEX(Numéros!$C$2:$C$3001,MATCH(A3254&amp;"|"&amp;B3254,Numéros!$F$2:$F$3001,0))),""))</f>
        <v/>
      </c>
      <c r="M3254" s="27" t="str">
        <f aca="false">IF(OR(G3254="",G3254="?"),"",IFERROR(INDEX(Pubs!$D$2:$D$3001,MATCH(G3254,Pubs!$A$2:$A$3001,0))&amp;"",""))</f>
        <v/>
      </c>
      <c r="N3254" s="27" t="n">
        <f aca="false">N(N3253)+IF(AND(A3254&lt;&gt;"",OR(Recherche!$C$4="",A3254=Recherche!$C$4),OR(Recherche!$C$5="",B3254&amp;""=Recherche!$C$5&amp;""),OR(Recherche!$C$6="",IFERROR(YEAR(L3254),0)=Recherche!$C$6),OR(Recherche!$C$7="",ISNUMBER(SEARCH(Recherche!$C$7,H3254))),OR(Recherche!$C$8="",J3254=Recherche!$C$8),OR(Recherche!$C$9="",I3254=Recherche!$C$9),OR(Recherche!$C$10="",G3254&amp;""=Recherche!$C$10&amp;""),OR(Recherche!$C$11="",E3254=Recherche!$C$11),OR(Recherche!$C$12="",ISNUMBER(SEARCH(Recherche!$C$12,M3254&amp;" "&amp;F3254)))),1,0)</f>
        <v>8</v>
      </c>
    </row>
    <row r="3255" customFormat="false" ht="15" hidden="false" customHeight="false" outlineLevel="0" collapsed="false">
      <c r="A3255" s="19"/>
      <c r="B3255" s="19"/>
      <c r="C3255" s="19"/>
      <c r="D3255" s="19"/>
      <c r="E3255" s="22"/>
      <c r="F3255" s="19"/>
      <c r="G3255" s="26" t="str">
        <f aca="false">IF(D3255="","",IFERROR(VALUE(LEFT(D3255,FIND(" |",D3255&amp;" |")-1)),"?"))</f>
        <v/>
      </c>
      <c r="H3255" s="27" t="str">
        <f aca="false">IF(G3255="","",IF(G3255="?","⚠ pub inconnue",IFERROR(INDEX(Pubs!$B$2:$B$3001,MATCH(G3255,Pubs!$A$2:$A$3001,0))&amp;"","⚠ pub inconnue")))</f>
        <v/>
      </c>
      <c r="I3255" s="27" t="str">
        <f aca="false">IF(OR(G3255="",G3255="?"),"",IFERROR(INDEX(Pubs!$C$2:$C$3001,MATCH(G3255,Pubs!$A$2:$A$3001,0))&amp;"",""))</f>
        <v/>
      </c>
      <c r="J3255" s="27" t="str">
        <f aca="false">IF(OR(G3255="",G3255="?"),"",IFERROR(INDEX(Pubs!$G$2:$G$3001,MATCH(G3255,Pubs!$A$2:$A$3001,0))&amp;"",""))</f>
        <v/>
      </c>
      <c r="K3255" s="28" t="str">
        <f aca="false">IF(OR(G3255="",G3255="?"),"",IFERROR(INDEX(Pubs!$E$2:$E$3001,MATCH(G3255,Pubs!$A$2:$A$3001,0)),""))</f>
        <v/>
      </c>
      <c r="L3255" s="29" t="str">
        <f aca="false">IF(A3255="","",IFERROR(1/(1/INDEX(Numéros!$C$2:$C$3001,MATCH(A3255&amp;"|"&amp;B3255,Numéros!$F$2:$F$3001,0))),""))</f>
        <v/>
      </c>
      <c r="M3255" s="27" t="str">
        <f aca="false">IF(OR(G3255="",G3255="?"),"",IFERROR(INDEX(Pubs!$D$2:$D$3001,MATCH(G3255,Pubs!$A$2:$A$3001,0))&amp;"",""))</f>
        <v/>
      </c>
      <c r="N3255" s="27" t="n">
        <f aca="false">N(N3254)+IF(AND(A3255&lt;&gt;"",OR(Recherche!$C$4="",A3255=Recherche!$C$4),OR(Recherche!$C$5="",B3255&amp;""=Recherche!$C$5&amp;""),OR(Recherche!$C$6="",IFERROR(YEAR(L3255),0)=Recherche!$C$6),OR(Recherche!$C$7="",ISNUMBER(SEARCH(Recherche!$C$7,H3255))),OR(Recherche!$C$8="",J3255=Recherche!$C$8),OR(Recherche!$C$9="",I3255=Recherche!$C$9),OR(Recherche!$C$10="",G3255&amp;""=Recherche!$C$10&amp;""),OR(Recherche!$C$11="",E3255=Recherche!$C$11),OR(Recherche!$C$12="",ISNUMBER(SEARCH(Recherche!$C$12,M3255&amp;" "&amp;F3255)))),1,0)</f>
        <v>8</v>
      </c>
    </row>
    <row r="3256" customFormat="false" ht="15" hidden="false" customHeight="false" outlineLevel="0" collapsed="false">
      <c r="A3256" s="19"/>
      <c r="B3256" s="19"/>
      <c r="C3256" s="19"/>
      <c r="D3256" s="19"/>
      <c r="E3256" s="22"/>
      <c r="F3256" s="19"/>
      <c r="G3256" s="26" t="str">
        <f aca="false">IF(D3256="","",IFERROR(VALUE(LEFT(D3256,FIND(" |",D3256&amp;" |")-1)),"?"))</f>
        <v/>
      </c>
      <c r="H3256" s="27" t="str">
        <f aca="false">IF(G3256="","",IF(G3256="?","⚠ pub inconnue",IFERROR(INDEX(Pubs!$B$2:$B$3001,MATCH(G3256,Pubs!$A$2:$A$3001,0))&amp;"","⚠ pub inconnue")))</f>
        <v/>
      </c>
      <c r="I3256" s="27" t="str">
        <f aca="false">IF(OR(G3256="",G3256="?"),"",IFERROR(INDEX(Pubs!$C$2:$C$3001,MATCH(G3256,Pubs!$A$2:$A$3001,0))&amp;"",""))</f>
        <v/>
      </c>
      <c r="J3256" s="27" t="str">
        <f aca="false">IF(OR(G3256="",G3256="?"),"",IFERROR(INDEX(Pubs!$G$2:$G$3001,MATCH(G3256,Pubs!$A$2:$A$3001,0))&amp;"",""))</f>
        <v/>
      </c>
      <c r="K3256" s="28" t="str">
        <f aca="false">IF(OR(G3256="",G3256="?"),"",IFERROR(INDEX(Pubs!$E$2:$E$3001,MATCH(G3256,Pubs!$A$2:$A$3001,0)),""))</f>
        <v/>
      </c>
      <c r="L3256" s="29" t="str">
        <f aca="false">IF(A3256="","",IFERROR(1/(1/INDEX(Numéros!$C$2:$C$3001,MATCH(A3256&amp;"|"&amp;B3256,Numéros!$F$2:$F$3001,0))),""))</f>
        <v/>
      </c>
      <c r="M3256" s="27" t="str">
        <f aca="false">IF(OR(G3256="",G3256="?"),"",IFERROR(INDEX(Pubs!$D$2:$D$3001,MATCH(G3256,Pubs!$A$2:$A$3001,0))&amp;"",""))</f>
        <v/>
      </c>
      <c r="N3256" s="27" t="n">
        <f aca="false">N(N3255)+IF(AND(A3256&lt;&gt;"",OR(Recherche!$C$4="",A3256=Recherche!$C$4),OR(Recherche!$C$5="",B3256&amp;""=Recherche!$C$5&amp;""),OR(Recherche!$C$6="",IFERROR(YEAR(L3256),0)=Recherche!$C$6),OR(Recherche!$C$7="",ISNUMBER(SEARCH(Recherche!$C$7,H3256))),OR(Recherche!$C$8="",J3256=Recherche!$C$8),OR(Recherche!$C$9="",I3256=Recherche!$C$9),OR(Recherche!$C$10="",G3256&amp;""=Recherche!$C$10&amp;""),OR(Recherche!$C$11="",E3256=Recherche!$C$11),OR(Recherche!$C$12="",ISNUMBER(SEARCH(Recherche!$C$12,M3256&amp;" "&amp;F3256)))),1,0)</f>
        <v>8</v>
      </c>
    </row>
    <row r="3257" customFormat="false" ht="15" hidden="false" customHeight="false" outlineLevel="0" collapsed="false">
      <c r="A3257" s="19"/>
      <c r="B3257" s="19"/>
      <c r="C3257" s="19"/>
      <c r="D3257" s="19"/>
      <c r="E3257" s="22"/>
      <c r="F3257" s="19"/>
      <c r="G3257" s="26" t="str">
        <f aca="false">IF(D3257="","",IFERROR(VALUE(LEFT(D3257,FIND(" |",D3257&amp;" |")-1)),"?"))</f>
        <v/>
      </c>
      <c r="H3257" s="27" t="str">
        <f aca="false">IF(G3257="","",IF(G3257="?","⚠ pub inconnue",IFERROR(INDEX(Pubs!$B$2:$B$3001,MATCH(G3257,Pubs!$A$2:$A$3001,0))&amp;"","⚠ pub inconnue")))</f>
        <v/>
      </c>
      <c r="I3257" s="27" t="str">
        <f aca="false">IF(OR(G3257="",G3257="?"),"",IFERROR(INDEX(Pubs!$C$2:$C$3001,MATCH(G3257,Pubs!$A$2:$A$3001,0))&amp;"",""))</f>
        <v/>
      </c>
      <c r="J3257" s="27" t="str">
        <f aca="false">IF(OR(G3257="",G3257="?"),"",IFERROR(INDEX(Pubs!$G$2:$G$3001,MATCH(G3257,Pubs!$A$2:$A$3001,0))&amp;"",""))</f>
        <v/>
      </c>
      <c r="K3257" s="28" t="str">
        <f aca="false">IF(OR(G3257="",G3257="?"),"",IFERROR(INDEX(Pubs!$E$2:$E$3001,MATCH(G3257,Pubs!$A$2:$A$3001,0)),""))</f>
        <v/>
      </c>
      <c r="L3257" s="29" t="str">
        <f aca="false">IF(A3257="","",IFERROR(1/(1/INDEX(Numéros!$C$2:$C$3001,MATCH(A3257&amp;"|"&amp;B3257,Numéros!$F$2:$F$3001,0))),""))</f>
        <v/>
      </c>
      <c r="M3257" s="27" t="str">
        <f aca="false">IF(OR(G3257="",G3257="?"),"",IFERROR(INDEX(Pubs!$D$2:$D$3001,MATCH(G3257,Pubs!$A$2:$A$3001,0))&amp;"",""))</f>
        <v/>
      </c>
      <c r="N3257" s="27" t="n">
        <f aca="false">N(N3256)+IF(AND(A3257&lt;&gt;"",OR(Recherche!$C$4="",A3257=Recherche!$C$4),OR(Recherche!$C$5="",B3257&amp;""=Recherche!$C$5&amp;""),OR(Recherche!$C$6="",IFERROR(YEAR(L3257),0)=Recherche!$C$6),OR(Recherche!$C$7="",ISNUMBER(SEARCH(Recherche!$C$7,H3257))),OR(Recherche!$C$8="",J3257=Recherche!$C$8),OR(Recherche!$C$9="",I3257=Recherche!$C$9),OR(Recherche!$C$10="",G3257&amp;""=Recherche!$C$10&amp;""),OR(Recherche!$C$11="",E3257=Recherche!$C$11),OR(Recherche!$C$12="",ISNUMBER(SEARCH(Recherche!$C$12,M3257&amp;" "&amp;F3257)))),1,0)</f>
        <v>8</v>
      </c>
    </row>
    <row r="3258" customFormat="false" ht="15" hidden="false" customHeight="false" outlineLevel="0" collapsed="false">
      <c r="A3258" s="19"/>
      <c r="B3258" s="19"/>
      <c r="C3258" s="19"/>
      <c r="D3258" s="19"/>
      <c r="E3258" s="22"/>
      <c r="F3258" s="19"/>
      <c r="G3258" s="26" t="str">
        <f aca="false">IF(D3258="","",IFERROR(VALUE(LEFT(D3258,FIND(" |",D3258&amp;" |")-1)),"?"))</f>
        <v/>
      </c>
      <c r="H3258" s="27" t="str">
        <f aca="false">IF(G3258="","",IF(G3258="?","⚠ pub inconnue",IFERROR(INDEX(Pubs!$B$2:$B$3001,MATCH(G3258,Pubs!$A$2:$A$3001,0))&amp;"","⚠ pub inconnue")))</f>
        <v/>
      </c>
      <c r="I3258" s="27" t="str">
        <f aca="false">IF(OR(G3258="",G3258="?"),"",IFERROR(INDEX(Pubs!$C$2:$C$3001,MATCH(G3258,Pubs!$A$2:$A$3001,0))&amp;"",""))</f>
        <v/>
      </c>
      <c r="J3258" s="27" t="str">
        <f aca="false">IF(OR(G3258="",G3258="?"),"",IFERROR(INDEX(Pubs!$G$2:$G$3001,MATCH(G3258,Pubs!$A$2:$A$3001,0))&amp;"",""))</f>
        <v/>
      </c>
      <c r="K3258" s="28" t="str">
        <f aca="false">IF(OR(G3258="",G3258="?"),"",IFERROR(INDEX(Pubs!$E$2:$E$3001,MATCH(G3258,Pubs!$A$2:$A$3001,0)),""))</f>
        <v/>
      </c>
      <c r="L3258" s="29" t="str">
        <f aca="false">IF(A3258="","",IFERROR(1/(1/INDEX(Numéros!$C$2:$C$3001,MATCH(A3258&amp;"|"&amp;B3258,Numéros!$F$2:$F$3001,0))),""))</f>
        <v/>
      </c>
      <c r="M3258" s="27" t="str">
        <f aca="false">IF(OR(G3258="",G3258="?"),"",IFERROR(INDEX(Pubs!$D$2:$D$3001,MATCH(G3258,Pubs!$A$2:$A$3001,0))&amp;"",""))</f>
        <v/>
      </c>
      <c r="N3258" s="27" t="n">
        <f aca="false">N(N3257)+IF(AND(A3258&lt;&gt;"",OR(Recherche!$C$4="",A3258=Recherche!$C$4),OR(Recherche!$C$5="",B3258&amp;""=Recherche!$C$5&amp;""),OR(Recherche!$C$6="",IFERROR(YEAR(L3258),0)=Recherche!$C$6),OR(Recherche!$C$7="",ISNUMBER(SEARCH(Recherche!$C$7,H3258))),OR(Recherche!$C$8="",J3258=Recherche!$C$8),OR(Recherche!$C$9="",I3258=Recherche!$C$9),OR(Recherche!$C$10="",G3258&amp;""=Recherche!$C$10&amp;""),OR(Recherche!$C$11="",E3258=Recherche!$C$11),OR(Recherche!$C$12="",ISNUMBER(SEARCH(Recherche!$C$12,M3258&amp;" "&amp;F3258)))),1,0)</f>
        <v>8</v>
      </c>
    </row>
    <row r="3259" customFormat="false" ht="15" hidden="false" customHeight="false" outlineLevel="0" collapsed="false">
      <c r="A3259" s="19"/>
      <c r="B3259" s="19"/>
      <c r="C3259" s="19"/>
      <c r="D3259" s="19"/>
      <c r="E3259" s="22"/>
      <c r="F3259" s="19"/>
      <c r="G3259" s="26" t="str">
        <f aca="false">IF(D3259="","",IFERROR(VALUE(LEFT(D3259,FIND(" |",D3259&amp;" |")-1)),"?"))</f>
        <v/>
      </c>
      <c r="H3259" s="27" t="str">
        <f aca="false">IF(G3259="","",IF(G3259="?","⚠ pub inconnue",IFERROR(INDEX(Pubs!$B$2:$B$3001,MATCH(G3259,Pubs!$A$2:$A$3001,0))&amp;"","⚠ pub inconnue")))</f>
        <v/>
      </c>
      <c r="I3259" s="27" t="str">
        <f aca="false">IF(OR(G3259="",G3259="?"),"",IFERROR(INDEX(Pubs!$C$2:$C$3001,MATCH(G3259,Pubs!$A$2:$A$3001,0))&amp;"",""))</f>
        <v/>
      </c>
      <c r="J3259" s="27" t="str">
        <f aca="false">IF(OR(G3259="",G3259="?"),"",IFERROR(INDEX(Pubs!$G$2:$G$3001,MATCH(G3259,Pubs!$A$2:$A$3001,0))&amp;"",""))</f>
        <v/>
      </c>
      <c r="K3259" s="28" t="str">
        <f aca="false">IF(OR(G3259="",G3259="?"),"",IFERROR(INDEX(Pubs!$E$2:$E$3001,MATCH(G3259,Pubs!$A$2:$A$3001,0)),""))</f>
        <v/>
      </c>
      <c r="L3259" s="29" t="str">
        <f aca="false">IF(A3259="","",IFERROR(1/(1/INDEX(Numéros!$C$2:$C$3001,MATCH(A3259&amp;"|"&amp;B3259,Numéros!$F$2:$F$3001,0))),""))</f>
        <v/>
      </c>
      <c r="M3259" s="27" t="str">
        <f aca="false">IF(OR(G3259="",G3259="?"),"",IFERROR(INDEX(Pubs!$D$2:$D$3001,MATCH(G3259,Pubs!$A$2:$A$3001,0))&amp;"",""))</f>
        <v/>
      </c>
      <c r="N3259" s="27" t="n">
        <f aca="false">N(N3258)+IF(AND(A3259&lt;&gt;"",OR(Recherche!$C$4="",A3259=Recherche!$C$4),OR(Recherche!$C$5="",B3259&amp;""=Recherche!$C$5&amp;""),OR(Recherche!$C$6="",IFERROR(YEAR(L3259),0)=Recherche!$C$6),OR(Recherche!$C$7="",ISNUMBER(SEARCH(Recherche!$C$7,H3259))),OR(Recherche!$C$8="",J3259=Recherche!$C$8),OR(Recherche!$C$9="",I3259=Recherche!$C$9),OR(Recherche!$C$10="",G3259&amp;""=Recherche!$C$10&amp;""),OR(Recherche!$C$11="",E3259=Recherche!$C$11),OR(Recherche!$C$12="",ISNUMBER(SEARCH(Recherche!$C$12,M3259&amp;" "&amp;F3259)))),1,0)</f>
        <v>8</v>
      </c>
    </row>
    <row r="3260" customFormat="false" ht="15" hidden="false" customHeight="false" outlineLevel="0" collapsed="false">
      <c r="A3260" s="19"/>
      <c r="B3260" s="19"/>
      <c r="C3260" s="19"/>
      <c r="D3260" s="19"/>
      <c r="E3260" s="22"/>
      <c r="F3260" s="19"/>
      <c r="G3260" s="26" t="str">
        <f aca="false">IF(D3260="","",IFERROR(VALUE(LEFT(D3260,FIND(" |",D3260&amp;" |")-1)),"?"))</f>
        <v/>
      </c>
      <c r="H3260" s="27" t="str">
        <f aca="false">IF(G3260="","",IF(G3260="?","⚠ pub inconnue",IFERROR(INDEX(Pubs!$B$2:$B$3001,MATCH(G3260,Pubs!$A$2:$A$3001,0))&amp;"","⚠ pub inconnue")))</f>
        <v/>
      </c>
      <c r="I3260" s="27" t="str">
        <f aca="false">IF(OR(G3260="",G3260="?"),"",IFERROR(INDEX(Pubs!$C$2:$C$3001,MATCH(G3260,Pubs!$A$2:$A$3001,0))&amp;"",""))</f>
        <v/>
      </c>
      <c r="J3260" s="27" t="str">
        <f aca="false">IF(OR(G3260="",G3260="?"),"",IFERROR(INDEX(Pubs!$G$2:$G$3001,MATCH(G3260,Pubs!$A$2:$A$3001,0))&amp;"",""))</f>
        <v/>
      </c>
      <c r="K3260" s="28" t="str">
        <f aca="false">IF(OR(G3260="",G3260="?"),"",IFERROR(INDEX(Pubs!$E$2:$E$3001,MATCH(G3260,Pubs!$A$2:$A$3001,0)),""))</f>
        <v/>
      </c>
      <c r="L3260" s="29" t="str">
        <f aca="false">IF(A3260="","",IFERROR(1/(1/INDEX(Numéros!$C$2:$C$3001,MATCH(A3260&amp;"|"&amp;B3260,Numéros!$F$2:$F$3001,0))),""))</f>
        <v/>
      </c>
      <c r="M3260" s="27" t="str">
        <f aca="false">IF(OR(G3260="",G3260="?"),"",IFERROR(INDEX(Pubs!$D$2:$D$3001,MATCH(G3260,Pubs!$A$2:$A$3001,0))&amp;"",""))</f>
        <v/>
      </c>
      <c r="N3260" s="27" t="n">
        <f aca="false">N(N3259)+IF(AND(A3260&lt;&gt;"",OR(Recherche!$C$4="",A3260=Recherche!$C$4),OR(Recherche!$C$5="",B3260&amp;""=Recherche!$C$5&amp;""),OR(Recherche!$C$6="",IFERROR(YEAR(L3260),0)=Recherche!$C$6),OR(Recherche!$C$7="",ISNUMBER(SEARCH(Recherche!$C$7,H3260))),OR(Recherche!$C$8="",J3260=Recherche!$C$8),OR(Recherche!$C$9="",I3260=Recherche!$C$9),OR(Recherche!$C$10="",G3260&amp;""=Recherche!$C$10&amp;""),OR(Recherche!$C$11="",E3260=Recherche!$C$11),OR(Recherche!$C$12="",ISNUMBER(SEARCH(Recherche!$C$12,M3260&amp;" "&amp;F3260)))),1,0)</f>
        <v>8</v>
      </c>
    </row>
    <row r="3261" customFormat="false" ht="15" hidden="false" customHeight="false" outlineLevel="0" collapsed="false">
      <c r="A3261" s="19"/>
      <c r="B3261" s="19"/>
      <c r="C3261" s="19"/>
      <c r="D3261" s="19"/>
      <c r="E3261" s="22"/>
      <c r="F3261" s="19"/>
      <c r="G3261" s="26" t="str">
        <f aca="false">IF(D3261="","",IFERROR(VALUE(LEFT(D3261,FIND(" |",D3261&amp;" |")-1)),"?"))</f>
        <v/>
      </c>
      <c r="H3261" s="27" t="str">
        <f aca="false">IF(G3261="","",IF(G3261="?","⚠ pub inconnue",IFERROR(INDEX(Pubs!$B$2:$B$3001,MATCH(G3261,Pubs!$A$2:$A$3001,0))&amp;"","⚠ pub inconnue")))</f>
        <v/>
      </c>
      <c r="I3261" s="27" t="str">
        <f aca="false">IF(OR(G3261="",G3261="?"),"",IFERROR(INDEX(Pubs!$C$2:$C$3001,MATCH(G3261,Pubs!$A$2:$A$3001,0))&amp;"",""))</f>
        <v/>
      </c>
      <c r="J3261" s="27" t="str">
        <f aca="false">IF(OR(G3261="",G3261="?"),"",IFERROR(INDEX(Pubs!$G$2:$G$3001,MATCH(G3261,Pubs!$A$2:$A$3001,0))&amp;"",""))</f>
        <v/>
      </c>
      <c r="K3261" s="28" t="str">
        <f aca="false">IF(OR(G3261="",G3261="?"),"",IFERROR(INDEX(Pubs!$E$2:$E$3001,MATCH(G3261,Pubs!$A$2:$A$3001,0)),""))</f>
        <v/>
      </c>
      <c r="L3261" s="29" t="str">
        <f aca="false">IF(A3261="","",IFERROR(1/(1/INDEX(Numéros!$C$2:$C$3001,MATCH(A3261&amp;"|"&amp;B3261,Numéros!$F$2:$F$3001,0))),""))</f>
        <v/>
      </c>
      <c r="M3261" s="27" t="str">
        <f aca="false">IF(OR(G3261="",G3261="?"),"",IFERROR(INDEX(Pubs!$D$2:$D$3001,MATCH(G3261,Pubs!$A$2:$A$3001,0))&amp;"",""))</f>
        <v/>
      </c>
      <c r="N3261" s="27" t="n">
        <f aca="false">N(N3260)+IF(AND(A3261&lt;&gt;"",OR(Recherche!$C$4="",A3261=Recherche!$C$4),OR(Recherche!$C$5="",B3261&amp;""=Recherche!$C$5&amp;""),OR(Recherche!$C$6="",IFERROR(YEAR(L3261),0)=Recherche!$C$6),OR(Recherche!$C$7="",ISNUMBER(SEARCH(Recherche!$C$7,H3261))),OR(Recherche!$C$8="",J3261=Recherche!$C$8),OR(Recherche!$C$9="",I3261=Recherche!$C$9),OR(Recherche!$C$10="",G3261&amp;""=Recherche!$C$10&amp;""),OR(Recherche!$C$11="",E3261=Recherche!$C$11),OR(Recherche!$C$12="",ISNUMBER(SEARCH(Recherche!$C$12,M3261&amp;" "&amp;F3261)))),1,0)</f>
        <v>8</v>
      </c>
    </row>
    <row r="3262" customFormat="false" ht="15" hidden="false" customHeight="false" outlineLevel="0" collapsed="false">
      <c r="A3262" s="19"/>
      <c r="B3262" s="19"/>
      <c r="C3262" s="19"/>
      <c r="D3262" s="19"/>
      <c r="E3262" s="22"/>
      <c r="F3262" s="19"/>
      <c r="G3262" s="26" t="str">
        <f aca="false">IF(D3262="","",IFERROR(VALUE(LEFT(D3262,FIND(" |",D3262&amp;" |")-1)),"?"))</f>
        <v/>
      </c>
      <c r="H3262" s="27" t="str">
        <f aca="false">IF(G3262="","",IF(G3262="?","⚠ pub inconnue",IFERROR(INDEX(Pubs!$B$2:$B$3001,MATCH(G3262,Pubs!$A$2:$A$3001,0))&amp;"","⚠ pub inconnue")))</f>
        <v/>
      </c>
      <c r="I3262" s="27" t="str">
        <f aca="false">IF(OR(G3262="",G3262="?"),"",IFERROR(INDEX(Pubs!$C$2:$C$3001,MATCH(G3262,Pubs!$A$2:$A$3001,0))&amp;"",""))</f>
        <v/>
      </c>
      <c r="J3262" s="27" t="str">
        <f aca="false">IF(OR(G3262="",G3262="?"),"",IFERROR(INDEX(Pubs!$G$2:$G$3001,MATCH(G3262,Pubs!$A$2:$A$3001,0))&amp;"",""))</f>
        <v/>
      </c>
      <c r="K3262" s="28" t="str">
        <f aca="false">IF(OR(G3262="",G3262="?"),"",IFERROR(INDEX(Pubs!$E$2:$E$3001,MATCH(G3262,Pubs!$A$2:$A$3001,0)),""))</f>
        <v/>
      </c>
      <c r="L3262" s="29" t="str">
        <f aca="false">IF(A3262="","",IFERROR(1/(1/INDEX(Numéros!$C$2:$C$3001,MATCH(A3262&amp;"|"&amp;B3262,Numéros!$F$2:$F$3001,0))),""))</f>
        <v/>
      </c>
      <c r="M3262" s="27" t="str">
        <f aca="false">IF(OR(G3262="",G3262="?"),"",IFERROR(INDEX(Pubs!$D$2:$D$3001,MATCH(G3262,Pubs!$A$2:$A$3001,0))&amp;"",""))</f>
        <v/>
      </c>
      <c r="N3262" s="27" t="n">
        <f aca="false">N(N3261)+IF(AND(A3262&lt;&gt;"",OR(Recherche!$C$4="",A3262=Recherche!$C$4),OR(Recherche!$C$5="",B3262&amp;""=Recherche!$C$5&amp;""),OR(Recherche!$C$6="",IFERROR(YEAR(L3262),0)=Recherche!$C$6),OR(Recherche!$C$7="",ISNUMBER(SEARCH(Recherche!$C$7,H3262))),OR(Recherche!$C$8="",J3262=Recherche!$C$8),OR(Recherche!$C$9="",I3262=Recherche!$C$9),OR(Recherche!$C$10="",G3262&amp;""=Recherche!$C$10&amp;""),OR(Recherche!$C$11="",E3262=Recherche!$C$11),OR(Recherche!$C$12="",ISNUMBER(SEARCH(Recherche!$C$12,M3262&amp;" "&amp;F3262)))),1,0)</f>
        <v>8</v>
      </c>
    </row>
    <row r="3263" customFormat="false" ht="15" hidden="false" customHeight="false" outlineLevel="0" collapsed="false">
      <c r="A3263" s="19"/>
      <c r="B3263" s="19"/>
      <c r="C3263" s="19"/>
      <c r="D3263" s="19"/>
      <c r="E3263" s="22"/>
      <c r="F3263" s="19"/>
      <c r="G3263" s="26" t="str">
        <f aca="false">IF(D3263="","",IFERROR(VALUE(LEFT(D3263,FIND(" |",D3263&amp;" |")-1)),"?"))</f>
        <v/>
      </c>
      <c r="H3263" s="27" t="str">
        <f aca="false">IF(G3263="","",IF(G3263="?","⚠ pub inconnue",IFERROR(INDEX(Pubs!$B$2:$B$3001,MATCH(G3263,Pubs!$A$2:$A$3001,0))&amp;"","⚠ pub inconnue")))</f>
        <v/>
      </c>
      <c r="I3263" s="27" t="str">
        <f aca="false">IF(OR(G3263="",G3263="?"),"",IFERROR(INDEX(Pubs!$C$2:$C$3001,MATCH(G3263,Pubs!$A$2:$A$3001,0))&amp;"",""))</f>
        <v/>
      </c>
      <c r="J3263" s="27" t="str">
        <f aca="false">IF(OR(G3263="",G3263="?"),"",IFERROR(INDEX(Pubs!$G$2:$G$3001,MATCH(G3263,Pubs!$A$2:$A$3001,0))&amp;"",""))</f>
        <v/>
      </c>
      <c r="K3263" s="28" t="str">
        <f aca="false">IF(OR(G3263="",G3263="?"),"",IFERROR(INDEX(Pubs!$E$2:$E$3001,MATCH(G3263,Pubs!$A$2:$A$3001,0)),""))</f>
        <v/>
      </c>
      <c r="L3263" s="29" t="str">
        <f aca="false">IF(A3263="","",IFERROR(1/(1/INDEX(Numéros!$C$2:$C$3001,MATCH(A3263&amp;"|"&amp;B3263,Numéros!$F$2:$F$3001,0))),""))</f>
        <v/>
      </c>
      <c r="M3263" s="27" t="str">
        <f aca="false">IF(OR(G3263="",G3263="?"),"",IFERROR(INDEX(Pubs!$D$2:$D$3001,MATCH(G3263,Pubs!$A$2:$A$3001,0))&amp;"",""))</f>
        <v/>
      </c>
      <c r="N3263" s="27" t="n">
        <f aca="false">N(N3262)+IF(AND(A3263&lt;&gt;"",OR(Recherche!$C$4="",A3263=Recherche!$C$4),OR(Recherche!$C$5="",B3263&amp;""=Recherche!$C$5&amp;""),OR(Recherche!$C$6="",IFERROR(YEAR(L3263),0)=Recherche!$C$6),OR(Recherche!$C$7="",ISNUMBER(SEARCH(Recherche!$C$7,H3263))),OR(Recherche!$C$8="",J3263=Recherche!$C$8),OR(Recherche!$C$9="",I3263=Recherche!$C$9),OR(Recherche!$C$10="",G3263&amp;""=Recherche!$C$10&amp;""),OR(Recherche!$C$11="",E3263=Recherche!$C$11),OR(Recherche!$C$12="",ISNUMBER(SEARCH(Recherche!$C$12,M3263&amp;" "&amp;F3263)))),1,0)</f>
        <v>8</v>
      </c>
    </row>
    <row r="3264" customFormat="false" ht="15" hidden="false" customHeight="false" outlineLevel="0" collapsed="false">
      <c r="A3264" s="19"/>
      <c r="B3264" s="19"/>
      <c r="C3264" s="19"/>
      <c r="D3264" s="19"/>
      <c r="E3264" s="22"/>
      <c r="F3264" s="19"/>
      <c r="G3264" s="26" t="str">
        <f aca="false">IF(D3264="","",IFERROR(VALUE(LEFT(D3264,FIND(" |",D3264&amp;" |")-1)),"?"))</f>
        <v/>
      </c>
      <c r="H3264" s="27" t="str">
        <f aca="false">IF(G3264="","",IF(G3264="?","⚠ pub inconnue",IFERROR(INDEX(Pubs!$B$2:$B$3001,MATCH(G3264,Pubs!$A$2:$A$3001,0))&amp;"","⚠ pub inconnue")))</f>
        <v/>
      </c>
      <c r="I3264" s="27" t="str">
        <f aca="false">IF(OR(G3264="",G3264="?"),"",IFERROR(INDEX(Pubs!$C$2:$C$3001,MATCH(G3264,Pubs!$A$2:$A$3001,0))&amp;"",""))</f>
        <v/>
      </c>
      <c r="J3264" s="27" t="str">
        <f aca="false">IF(OR(G3264="",G3264="?"),"",IFERROR(INDEX(Pubs!$G$2:$G$3001,MATCH(G3264,Pubs!$A$2:$A$3001,0))&amp;"",""))</f>
        <v/>
      </c>
      <c r="K3264" s="28" t="str">
        <f aca="false">IF(OR(G3264="",G3264="?"),"",IFERROR(INDEX(Pubs!$E$2:$E$3001,MATCH(G3264,Pubs!$A$2:$A$3001,0)),""))</f>
        <v/>
      </c>
      <c r="L3264" s="29" t="str">
        <f aca="false">IF(A3264="","",IFERROR(1/(1/INDEX(Numéros!$C$2:$C$3001,MATCH(A3264&amp;"|"&amp;B3264,Numéros!$F$2:$F$3001,0))),""))</f>
        <v/>
      </c>
      <c r="M3264" s="27" t="str">
        <f aca="false">IF(OR(G3264="",G3264="?"),"",IFERROR(INDEX(Pubs!$D$2:$D$3001,MATCH(G3264,Pubs!$A$2:$A$3001,0))&amp;"",""))</f>
        <v/>
      </c>
      <c r="N3264" s="27" t="n">
        <f aca="false">N(N3263)+IF(AND(A3264&lt;&gt;"",OR(Recherche!$C$4="",A3264=Recherche!$C$4),OR(Recherche!$C$5="",B3264&amp;""=Recherche!$C$5&amp;""),OR(Recherche!$C$6="",IFERROR(YEAR(L3264),0)=Recherche!$C$6),OR(Recherche!$C$7="",ISNUMBER(SEARCH(Recherche!$C$7,H3264))),OR(Recherche!$C$8="",J3264=Recherche!$C$8),OR(Recherche!$C$9="",I3264=Recherche!$C$9),OR(Recherche!$C$10="",G3264&amp;""=Recherche!$C$10&amp;""),OR(Recherche!$C$11="",E3264=Recherche!$C$11),OR(Recherche!$C$12="",ISNUMBER(SEARCH(Recherche!$C$12,M3264&amp;" "&amp;F3264)))),1,0)</f>
        <v>8</v>
      </c>
    </row>
    <row r="3265" customFormat="false" ht="15" hidden="false" customHeight="false" outlineLevel="0" collapsed="false">
      <c r="A3265" s="19"/>
      <c r="B3265" s="19"/>
      <c r="C3265" s="19"/>
      <c r="D3265" s="19"/>
      <c r="E3265" s="22"/>
      <c r="F3265" s="19"/>
      <c r="G3265" s="26" t="str">
        <f aca="false">IF(D3265="","",IFERROR(VALUE(LEFT(D3265,FIND(" |",D3265&amp;" |")-1)),"?"))</f>
        <v/>
      </c>
      <c r="H3265" s="27" t="str">
        <f aca="false">IF(G3265="","",IF(G3265="?","⚠ pub inconnue",IFERROR(INDEX(Pubs!$B$2:$B$3001,MATCH(G3265,Pubs!$A$2:$A$3001,0))&amp;"","⚠ pub inconnue")))</f>
        <v/>
      </c>
      <c r="I3265" s="27" t="str">
        <f aca="false">IF(OR(G3265="",G3265="?"),"",IFERROR(INDEX(Pubs!$C$2:$C$3001,MATCH(G3265,Pubs!$A$2:$A$3001,0))&amp;"",""))</f>
        <v/>
      </c>
      <c r="J3265" s="27" t="str">
        <f aca="false">IF(OR(G3265="",G3265="?"),"",IFERROR(INDEX(Pubs!$G$2:$G$3001,MATCH(G3265,Pubs!$A$2:$A$3001,0))&amp;"",""))</f>
        <v/>
      </c>
      <c r="K3265" s="28" t="str">
        <f aca="false">IF(OR(G3265="",G3265="?"),"",IFERROR(INDEX(Pubs!$E$2:$E$3001,MATCH(G3265,Pubs!$A$2:$A$3001,0)),""))</f>
        <v/>
      </c>
      <c r="L3265" s="29" t="str">
        <f aca="false">IF(A3265="","",IFERROR(1/(1/INDEX(Numéros!$C$2:$C$3001,MATCH(A3265&amp;"|"&amp;B3265,Numéros!$F$2:$F$3001,0))),""))</f>
        <v/>
      </c>
      <c r="M3265" s="27" t="str">
        <f aca="false">IF(OR(G3265="",G3265="?"),"",IFERROR(INDEX(Pubs!$D$2:$D$3001,MATCH(G3265,Pubs!$A$2:$A$3001,0))&amp;"",""))</f>
        <v/>
      </c>
      <c r="N3265" s="27" t="n">
        <f aca="false">N(N3264)+IF(AND(A3265&lt;&gt;"",OR(Recherche!$C$4="",A3265=Recherche!$C$4),OR(Recherche!$C$5="",B3265&amp;""=Recherche!$C$5&amp;""),OR(Recherche!$C$6="",IFERROR(YEAR(L3265),0)=Recherche!$C$6),OR(Recherche!$C$7="",ISNUMBER(SEARCH(Recherche!$C$7,H3265))),OR(Recherche!$C$8="",J3265=Recherche!$C$8),OR(Recherche!$C$9="",I3265=Recherche!$C$9),OR(Recherche!$C$10="",G3265&amp;""=Recherche!$C$10&amp;""),OR(Recherche!$C$11="",E3265=Recherche!$C$11),OR(Recherche!$C$12="",ISNUMBER(SEARCH(Recherche!$C$12,M3265&amp;" "&amp;F3265)))),1,0)</f>
        <v>8</v>
      </c>
    </row>
    <row r="3266" customFormat="false" ht="15" hidden="false" customHeight="false" outlineLevel="0" collapsed="false">
      <c r="A3266" s="19"/>
      <c r="B3266" s="19"/>
      <c r="C3266" s="19"/>
      <c r="D3266" s="19"/>
      <c r="E3266" s="22"/>
      <c r="F3266" s="19"/>
      <c r="G3266" s="26" t="str">
        <f aca="false">IF(D3266="","",IFERROR(VALUE(LEFT(D3266,FIND(" |",D3266&amp;" |")-1)),"?"))</f>
        <v/>
      </c>
      <c r="H3266" s="27" t="str">
        <f aca="false">IF(G3266="","",IF(G3266="?","⚠ pub inconnue",IFERROR(INDEX(Pubs!$B$2:$B$3001,MATCH(G3266,Pubs!$A$2:$A$3001,0))&amp;"","⚠ pub inconnue")))</f>
        <v/>
      </c>
      <c r="I3266" s="27" t="str">
        <f aca="false">IF(OR(G3266="",G3266="?"),"",IFERROR(INDEX(Pubs!$C$2:$C$3001,MATCH(G3266,Pubs!$A$2:$A$3001,0))&amp;"",""))</f>
        <v/>
      </c>
      <c r="J3266" s="27" t="str">
        <f aca="false">IF(OR(G3266="",G3266="?"),"",IFERROR(INDEX(Pubs!$G$2:$G$3001,MATCH(G3266,Pubs!$A$2:$A$3001,0))&amp;"",""))</f>
        <v/>
      </c>
      <c r="K3266" s="28" t="str">
        <f aca="false">IF(OR(G3266="",G3266="?"),"",IFERROR(INDEX(Pubs!$E$2:$E$3001,MATCH(G3266,Pubs!$A$2:$A$3001,0)),""))</f>
        <v/>
      </c>
      <c r="L3266" s="29" t="str">
        <f aca="false">IF(A3266="","",IFERROR(1/(1/INDEX(Numéros!$C$2:$C$3001,MATCH(A3266&amp;"|"&amp;B3266,Numéros!$F$2:$F$3001,0))),""))</f>
        <v/>
      </c>
      <c r="M3266" s="27" t="str">
        <f aca="false">IF(OR(G3266="",G3266="?"),"",IFERROR(INDEX(Pubs!$D$2:$D$3001,MATCH(G3266,Pubs!$A$2:$A$3001,0))&amp;"",""))</f>
        <v/>
      </c>
      <c r="N3266" s="27" t="n">
        <f aca="false">N(N3265)+IF(AND(A3266&lt;&gt;"",OR(Recherche!$C$4="",A3266=Recherche!$C$4),OR(Recherche!$C$5="",B3266&amp;""=Recherche!$C$5&amp;""),OR(Recherche!$C$6="",IFERROR(YEAR(L3266),0)=Recherche!$C$6),OR(Recherche!$C$7="",ISNUMBER(SEARCH(Recherche!$C$7,H3266))),OR(Recherche!$C$8="",J3266=Recherche!$C$8),OR(Recherche!$C$9="",I3266=Recherche!$C$9),OR(Recherche!$C$10="",G3266&amp;""=Recherche!$C$10&amp;""),OR(Recherche!$C$11="",E3266=Recherche!$C$11),OR(Recherche!$C$12="",ISNUMBER(SEARCH(Recherche!$C$12,M3266&amp;" "&amp;F3266)))),1,0)</f>
        <v>8</v>
      </c>
    </row>
    <row r="3267" customFormat="false" ht="15" hidden="false" customHeight="false" outlineLevel="0" collapsed="false">
      <c r="A3267" s="19"/>
      <c r="B3267" s="19"/>
      <c r="C3267" s="19"/>
      <c r="D3267" s="19"/>
      <c r="E3267" s="22"/>
      <c r="F3267" s="19"/>
      <c r="G3267" s="26" t="str">
        <f aca="false">IF(D3267="","",IFERROR(VALUE(LEFT(D3267,FIND(" |",D3267&amp;" |")-1)),"?"))</f>
        <v/>
      </c>
      <c r="H3267" s="27" t="str">
        <f aca="false">IF(G3267="","",IF(G3267="?","⚠ pub inconnue",IFERROR(INDEX(Pubs!$B$2:$B$3001,MATCH(G3267,Pubs!$A$2:$A$3001,0))&amp;"","⚠ pub inconnue")))</f>
        <v/>
      </c>
      <c r="I3267" s="27" t="str">
        <f aca="false">IF(OR(G3267="",G3267="?"),"",IFERROR(INDEX(Pubs!$C$2:$C$3001,MATCH(G3267,Pubs!$A$2:$A$3001,0))&amp;"",""))</f>
        <v/>
      </c>
      <c r="J3267" s="27" t="str">
        <f aca="false">IF(OR(G3267="",G3267="?"),"",IFERROR(INDEX(Pubs!$G$2:$G$3001,MATCH(G3267,Pubs!$A$2:$A$3001,0))&amp;"",""))</f>
        <v/>
      </c>
      <c r="K3267" s="28" t="str">
        <f aca="false">IF(OR(G3267="",G3267="?"),"",IFERROR(INDEX(Pubs!$E$2:$E$3001,MATCH(G3267,Pubs!$A$2:$A$3001,0)),""))</f>
        <v/>
      </c>
      <c r="L3267" s="29" t="str">
        <f aca="false">IF(A3267="","",IFERROR(1/(1/INDEX(Numéros!$C$2:$C$3001,MATCH(A3267&amp;"|"&amp;B3267,Numéros!$F$2:$F$3001,0))),""))</f>
        <v/>
      </c>
      <c r="M3267" s="27" t="str">
        <f aca="false">IF(OR(G3267="",G3267="?"),"",IFERROR(INDEX(Pubs!$D$2:$D$3001,MATCH(G3267,Pubs!$A$2:$A$3001,0))&amp;"",""))</f>
        <v/>
      </c>
      <c r="N3267" s="27" t="n">
        <f aca="false">N(N3266)+IF(AND(A3267&lt;&gt;"",OR(Recherche!$C$4="",A3267=Recherche!$C$4),OR(Recherche!$C$5="",B3267&amp;""=Recherche!$C$5&amp;""),OR(Recherche!$C$6="",IFERROR(YEAR(L3267),0)=Recherche!$C$6),OR(Recherche!$C$7="",ISNUMBER(SEARCH(Recherche!$C$7,H3267))),OR(Recherche!$C$8="",J3267=Recherche!$C$8),OR(Recherche!$C$9="",I3267=Recherche!$C$9),OR(Recherche!$C$10="",G3267&amp;""=Recherche!$C$10&amp;""),OR(Recherche!$C$11="",E3267=Recherche!$C$11),OR(Recherche!$C$12="",ISNUMBER(SEARCH(Recherche!$C$12,M3267&amp;" "&amp;F3267)))),1,0)</f>
        <v>8</v>
      </c>
    </row>
    <row r="3268" customFormat="false" ht="15" hidden="false" customHeight="false" outlineLevel="0" collapsed="false">
      <c r="A3268" s="19"/>
      <c r="B3268" s="19"/>
      <c r="C3268" s="19"/>
      <c r="D3268" s="19"/>
      <c r="E3268" s="22"/>
      <c r="F3268" s="19"/>
      <c r="G3268" s="26" t="str">
        <f aca="false">IF(D3268="","",IFERROR(VALUE(LEFT(D3268,FIND(" |",D3268&amp;" |")-1)),"?"))</f>
        <v/>
      </c>
      <c r="H3268" s="27" t="str">
        <f aca="false">IF(G3268="","",IF(G3268="?","⚠ pub inconnue",IFERROR(INDEX(Pubs!$B$2:$B$3001,MATCH(G3268,Pubs!$A$2:$A$3001,0))&amp;"","⚠ pub inconnue")))</f>
        <v/>
      </c>
      <c r="I3268" s="27" t="str">
        <f aca="false">IF(OR(G3268="",G3268="?"),"",IFERROR(INDEX(Pubs!$C$2:$C$3001,MATCH(G3268,Pubs!$A$2:$A$3001,0))&amp;"",""))</f>
        <v/>
      </c>
      <c r="J3268" s="27" t="str">
        <f aca="false">IF(OR(G3268="",G3268="?"),"",IFERROR(INDEX(Pubs!$G$2:$G$3001,MATCH(G3268,Pubs!$A$2:$A$3001,0))&amp;"",""))</f>
        <v/>
      </c>
      <c r="K3268" s="28" t="str">
        <f aca="false">IF(OR(G3268="",G3268="?"),"",IFERROR(INDEX(Pubs!$E$2:$E$3001,MATCH(G3268,Pubs!$A$2:$A$3001,0)),""))</f>
        <v/>
      </c>
      <c r="L3268" s="29" t="str">
        <f aca="false">IF(A3268="","",IFERROR(1/(1/INDEX(Numéros!$C$2:$C$3001,MATCH(A3268&amp;"|"&amp;B3268,Numéros!$F$2:$F$3001,0))),""))</f>
        <v/>
      </c>
      <c r="M3268" s="27" t="str">
        <f aca="false">IF(OR(G3268="",G3268="?"),"",IFERROR(INDEX(Pubs!$D$2:$D$3001,MATCH(G3268,Pubs!$A$2:$A$3001,0))&amp;"",""))</f>
        <v/>
      </c>
      <c r="N3268" s="27" t="n">
        <f aca="false">N(N3267)+IF(AND(A3268&lt;&gt;"",OR(Recherche!$C$4="",A3268=Recherche!$C$4),OR(Recherche!$C$5="",B3268&amp;""=Recherche!$C$5&amp;""),OR(Recherche!$C$6="",IFERROR(YEAR(L3268),0)=Recherche!$C$6),OR(Recherche!$C$7="",ISNUMBER(SEARCH(Recherche!$C$7,H3268))),OR(Recherche!$C$8="",J3268=Recherche!$C$8),OR(Recherche!$C$9="",I3268=Recherche!$C$9),OR(Recherche!$C$10="",G3268&amp;""=Recherche!$C$10&amp;""),OR(Recherche!$C$11="",E3268=Recherche!$C$11),OR(Recherche!$C$12="",ISNUMBER(SEARCH(Recherche!$C$12,M3268&amp;" "&amp;F3268)))),1,0)</f>
        <v>8</v>
      </c>
    </row>
    <row r="3269" customFormat="false" ht="15" hidden="false" customHeight="false" outlineLevel="0" collapsed="false">
      <c r="A3269" s="19"/>
      <c r="B3269" s="19"/>
      <c r="C3269" s="19"/>
      <c r="D3269" s="19"/>
      <c r="E3269" s="22"/>
      <c r="F3269" s="19"/>
      <c r="G3269" s="26" t="str">
        <f aca="false">IF(D3269="","",IFERROR(VALUE(LEFT(D3269,FIND(" |",D3269&amp;" |")-1)),"?"))</f>
        <v/>
      </c>
      <c r="H3269" s="27" t="str">
        <f aca="false">IF(G3269="","",IF(G3269="?","⚠ pub inconnue",IFERROR(INDEX(Pubs!$B$2:$B$3001,MATCH(G3269,Pubs!$A$2:$A$3001,0))&amp;"","⚠ pub inconnue")))</f>
        <v/>
      </c>
      <c r="I3269" s="27" t="str">
        <f aca="false">IF(OR(G3269="",G3269="?"),"",IFERROR(INDEX(Pubs!$C$2:$C$3001,MATCH(G3269,Pubs!$A$2:$A$3001,0))&amp;"",""))</f>
        <v/>
      </c>
      <c r="J3269" s="27" t="str">
        <f aca="false">IF(OR(G3269="",G3269="?"),"",IFERROR(INDEX(Pubs!$G$2:$G$3001,MATCH(G3269,Pubs!$A$2:$A$3001,0))&amp;"",""))</f>
        <v/>
      </c>
      <c r="K3269" s="28" t="str">
        <f aca="false">IF(OR(G3269="",G3269="?"),"",IFERROR(INDEX(Pubs!$E$2:$E$3001,MATCH(G3269,Pubs!$A$2:$A$3001,0)),""))</f>
        <v/>
      </c>
      <c r="L3269" s="29" t="str">
        <f aca="false">IF(A3269="","",IFERROR(1/(1/INDEX(Numéros!$C$2:$C$3001,MATCH(A3269&amp;"|"&amp;B3269,Numéros!$F$2:$F$3001,0))),""))</f>
        <v/>
      </c>
      <c r="M3269" s="27" t="str">
        <f aca="false">IF(OR(G3269="",G3269="?"),"",IFERROR(INDEX(Pubs!$D$2:$D$3001,MATCH(G3269,Pubs!$A$2:$A$3001,0))&amp;"",""))</f>
        <v/>
      </c>
      <c r="N3269" s="27" t="n">
        <f aca="false">N(N3268)+IF(AND(A3269&lt;&gt;"",OR(Recherche!$C$4="",A3269=Recherche!$C$4),OR(Recherche!$C$5="",B3269&amp;""=Recherche!$C$5&amp;""),OR(Recherche!$C$6="",IFERROR(YEAR(L3269),0)=Recherche!$C$6),OR(Recherche!$C$7="",ISNUMBER(SEARCH(Recherche!$C$7,H3269))),OR(Recherche!$C$8="",J3269=Recherche!$C$8),OR(Recherche!$C$9="",I3269=Recherche!$C$9),OR(Recherche!$C$10="",G3269&amp;""=Recherche!$C$10&amp;""),OR(Recherche!$C$11="",E3269=Recherche!$C$11),OR(Recherche!$C$12="",ISNUMBER(SEARCH(Recherche!$C$12,M3269&amp;" "&amp;F3269)))),1,0)</f>
        <v>8</v>
      </c>
    </row>
    <row r="3270" customFormat="false" ht="15" hidden="false" customHeight="false" outlineLevel="0" collapsed="false">
      <c r="A3270" s="19"/>
      <c r="B3270" s="19"/>
      <c r="C3270" s="19"/>
      <c r="D3270" s="19"/>
      <c r="E3270" s="22"/>
      <c r="F3270" s="19"/>
      <c r="G3270" s="26" t="str">
        <f aca="false">IF(D3270="","",IFERROR(VALUE(LEFT(D3270,FIND(" |",D3270&amp;" |")-1)),"?"))</f>
        <v/>
      </c>
      <c r="H3270" s="27" t="str">
        <f aca="false">IF(G3270="","",IF(G3270="?","⚠ pub inconnue",IFERROR(INDEX(Pubs!$B$2:$B$3001,MATCH(G3270,Pubs!$A$2:$A$3001,0))&amp;"","⚠ pub inconnue")))</f>
        <v/>
      </c>
      <c r="I3270" s="27" t="str">
        <f aca="false">IF(OR(G3270="",G3270="?"),"",IFERROR(INDEX(Pubs!$C$2:$C$3001,MATCH(G3270,Pubs!$A$2:$A$3001,0))&amp;"",""))</f>
        <v/>
      </c>
      <c r="J3270" s="27" t="str">
        <f aca="false">IF(OR(G3270="",G3270="?"),"",IFERROR(INDEX(Pubs!$G$2:$G$3001,MATCH(G3270,Pubs!$A$2:$A$3001,0))&amp;"",""))</f>
        <v/>
      </c>
      <c r="K3270" s="28" t="str">
        <f aca="false">IF(OR(G3270="",G3270="?"),"",IFERROR(INDEX(Pubs!$E$2:$E$3001,MATCH(G3270,Pubs!$A$2:$A$3001,0)),""))</f>
        <v/>
      </c>
      <c r="L3270" s="29" t="str">
        <f aca="false">IF(A3270="","",IFERROR(1/(1/INDEX(Numéros!$C$2:$C$3001,MATCH(A3270&amp;"|"&amp;B3270,Numéros!$F$2:$F$3001,0))),""))</f>
        <v/>
      </c>
      <c r="M3270" s="27" t="str">
        <f aca="false">IF(OR(G3270="",G3270="?"),"",IFERROR(INDEX(Pubs!$D$2:$D$3001,MATCH(G3270,Pubs!$A$2:$A$3001,0))&amp;"",""))</f>
        <v/>
      </c>
      <c r="N3270" s="27" t="n">
        <f aca="false">N(N3269)+IF(AND(A3270&lt;&gt;"",OR(Recherche!$C$4="",A3270=Recherche!$C$4),OR(Recherche!$C$5="",B3270&amp;""=Recherche!$C$5&amp;""),OR(Recherche!$C$6="",IFERROR(YEAR(L3270),0)=Recherche!$C$6),OR(Recherche!$C$7="",ISNUMBER(SEARCH(Recherche!$C$7,H3270))),OR(Recherche!$C$8="",J3270=Recherche!$C$8),OR(Recherche!$C$9="",I3270=Recherche!$C$9),OR(Recherche!$C$10="",G3270&amp;""=Recherche!$C$10&amp;""),OR(Recherche!$C$11="",E3270=Recherche!$C$11),OR(Recherche!$C$12="",ISNUMBER(SEARCH(Recherche!$C$12,M3270&amp;" "&amp;F3270)))),1,0)</f>
        <v>8</v>
      </c>
    </row>
    <row r="3271" customFormat="false" ht="15" hidden="false" customHeight="false" outlineLevel="0" collapsed="false">
      <c r="A3271" s="19"/>
      <c r="B3271" s="19"/>
      <c r="C3271" s="19"/>
      <c r="D3271" s="19"/>
      <c r="E3271" s="22"/>
      <c r="F3271" s="19"/>
      <c r="G3271" s="26" t="str">
        <f aca="false">IF(D3271="","",IFERROR(VALUE(LEFT(D3271,FIND(" |",D3271&amp;" |")-1)),"?"))</f>
        <v/>
      </c>
      <c r="H3271" s="27" t="str">
        <f aca="false">IF(G3271="","",IF(G3271="?","⚠ pub inconnue",IFERROR(INDEX(Pubs!$B$2:$B$3001,MATCH(G3271,Pubs!$A$2:$A$3001,0))&amp;"","⚠ pub inconnue")))</f>
        <v/>
      </c>
      <c r="I3271" s="27" t="str">
        <f aca="false">IF(OR(G3271="",G3271="?"),"",IFERROR(INDEX(Pubs!$C$2:$C$3001,MATCH(G3271,Pubs!$A$2:$A$3001,0))&amp;"",""))</f>
        <v/>
      </c>
      <c r="J3271" s="27" t="str">
        <f aca="false">IF(OR(G3271="",G3271="?"),"",IFERROR(INDEX(Pubs!$G$2:$G$3001,MATCH(G3271,Pubs!$A$2:$A$3001,0))&amp;"",""))</f>
        <v/>
      </c>
      <c r="K3271" s="28" t="str">
        <f aca="false">IF(OR(G3271="",G3271="?"),"",IFERROR(INDEX(Pubs!$E$2:$E$3001,MATCH(G3271,Pubs!$A$2:$A$3001,0)),""))</f>
        <v/>
      </c>
      <c r="L3271" s="29" t="str">
        <f aca="false">IF(A3271="","",IFERROR(1/(1/INDEX(Numéros!$C$2:$C$3001,MATCH(A3271&amp;"|"&amp;B3271,Numéros!$F$2:$F$3001,0))),""))</f>
        <v/>
      </c>
      <c r="M3271" s="27" t="str">
        <f aca="false">IF(OR(G3271="",G3271="?"),"",IFERROR(INDEX(Pubs!$D$2:$D$3001,MATCH(G3271,Pubs!$A$2:$A$3001,0))&amp;"",""))</f>
        <v/>
      </c>
      <c r="N3271" s="27" t="n">
        <f aca="false">N(N3270)+IF(AND(A3271&lt;&gt;"",OR(Recherche!$C$4="",A3271=Recherche!$C$4),OR(Recherche!$C$5="",B3271&amp;""=Recherche!$C$5&amp;""),OR(Recherche!$C$6="",IFERROR(YEAR(L3271),0)=Recherche!$C$6),OR(Recherche!$C$7="",ISNUMBER(SEARCH(Recherche!$C$7,H3271))),OR(Recherche!$C$8="",J3271=Recherche!$C$8),OR(Recherche!$C$9="",I3271=Recherche!$C$9),OR(Recherche!$C$10="",G3271&amp;""=Recherche!$C$10&amp;""),OR(Recherche!$C$11="",E3271=Recherche!$C$11),OR(Recherche!$C$12="",ISNUMBER(SEARCH(Recherche!$C$12,M3271&amp;" "&amp;F3271)))),1,0)</f>
        <v>8</v>
      </c>
    </row>
    <row r="3272" customFormat="false" ht="15" hidden="false" customHeight="false" outlineLevel="0" collapsed="false">
      <c r="A3272" s="19"/>
      <c r="B3272" s="19"/>
      <c r="C3272" s="19"/>
      <c r="D3272" s="19"/>
      <c r="E3272" s="22"/>
      <c r="F3272" s="19"/>
      <c r="G3272" s="26" t="str">
        <f aca="false">IF(D3272="","",IFERROR(VALUE(LEFT(D3272,FIND(" |",D3272&amp;" |")-1)),"?"))</f>
        <v/>
      </c>
      <c r="H3272" s="27" t="str">
        <f aca="false">IF(G3272="","",IF(G3272="?","⚠ pub inconnue",IFERROR(INDEX(Pubs!$B$2:$B$3001,MATCH(G3272,Pubs!$A$2:$A$3001,0))&amp;"","⚠ pub inconnue")))</f>
        <v/>
      </c>
      <c r="I3272" s="27" t="str">
        <f aca="false">IF(OR(G3272="",G3272="?"),"",IFERROR(INDEX(Pubs!$C$2:$C$3001,MATCH(G3272,Pubs!$A$2:$A$3001,0))&amp;"",""))</f>
        <v/>
      </c>
      <c r="J3272" s="27" t="str">
        <f aca="false">IF(OR(G3272="",G3272="?"),"",IFERROR(INDEX(Pubs!$G$2:$G$3001,MATCH(G3272,Pubs!$A$2:$A$3001,0))&amp;"",""))</f>
        <v/>
      </c>
      <c r="K3272" s="28" t="str">
        <f aca="false">IF(OR(G3272="",G3272="?"),"",IFERROR(INDEX(Pubs!$E$2:$E$3001,MATCH(G3272,Pubs!$A$2:$A$3001,0)),""))</f>
        <v/>
      </c>
      <c r="L3272" s="29" t="str">
        <f aca="false">IF(A3272="","",IFERROR(1/(1/INDEX(Numéros!$C$2:$C$3001,MATCH(A3272&amp;"|"&amp;B3272,Numéros!$F$2:$F$3001,0))),""))</f>
        <v/>
      </c>
      <c r="M3272" s="27" t="str">
        <f aca="false">IF(OR(G3272="",G3272="?"),"",IFERROR(INDEX(Pubs!$D$2:$D$3001,MATCH(G3272,Pubs!$A$2:$A$3001,0))&amp;"",""))</f>
        <v/>
      </c>
      <c r="N3272" s="27" t="n">
        <f aca="false">N(N3271)+IF(AND(A3272&lt;&gt;"",OR(Recherche!$C$4="",A3272=Recherche!$C$4),OR(Recherche!$C$5="",B3272&amp;""=Recherche!$C$5&amp;""),OR(Recherche!$C$6="",IFERROR(YEAR(L3272),0)=Recherche!$C$6),OR(Recherche!$C$7="",ISNUMBER(SEARCH(Recherche!$C$7,H3272))),OR(Recherche!$C$8="",J3272=Recherche!$C$8),OR(Recherche!$C$9="",I3272=Recherche!$C$9),OR(Recherche!$C$10="",G3272&amp;""=Recherche!$C$10&amp;""),OR(Recherche!$C$11="",E3272=Recherche!$C$11),OR(Recherche!$C$12="",ISNUMBER(SEARCH(Recherche!$C$12,M3272&amp;" "&amp;F3272)))),1,0)</f>
        <v>8</v>
      </c>
    </row>
    <row r="3273" customFormat="false" ht="15" hidden="false" customHeight="false" outlineLevel="0" collapsed="false">
      <c r="A3273" s="19"/>
      <c r="B3273" s="19"/>
      <c r="C3273" s="19"/>
      <c r="D3273" s="19"/>
      <c r="E3273" s="22"/>
      <c r="F3273" s="19"/>
      <c r="G3273" s="26" t="str">
        <f aca="false">IF(D3273="","",IFERROR(VALUE(LEFT(D3273,FIND(" |",D3273&amp;" |")-1)),"?"))</f>
        <v/>
      </c>
      <c r="H3273" s="27" t="str">
        <f aca="false">IF(G3273="","",IF(G3273="?","⚠ pub inconnue",IFERROR(INDEX(Pubs!$B$2:$B$3001,MATCH(G3273,Pubs!$A$2:$A$3001,0))&amp;"","⚠ pub inconnue")))</f>
        <v/>
      </c>
      <c r="I3273" s="27" t="str">
        <f aca="false">IF(OR(G3273="",G3273="?"),"",IFERROR(INDEX(Pubs!$C$2:$C$3001,MATCH(G3273,Pubs!$A$2:$A$3001,0))&amp;"",""))</f>
        <v/>
      </c>
      <c r="J3273" s="27" t="str">
        <f aca="false">IF(OR(G3273="",G3273="?"),"",IFERROR(INDEX(Pubs!$G$2:$G$3001,MATCH(G3273,Pubs!$A$2:$A$3001,0))&amp;"",""))</f>
        <v/>
      </c>
      <c r="K3273" s="28" t="str">
        <f aca="false">IF(OR(G3273="",G3273="?"),"",IFERROR(INDEX(Pubs!$E$2:$E$3001,MATCH(G3273,Pubs!$A$2:$A$3001,0)),""))</f>
        <v/>
      </c>
      <c r="L3273" s="29" t="str">
        <f aca="false">IF(A3273="","",IFERROR(1/(1/INDEX(Numéros!$C$2:$C$3001,MATCH(A3273&amp;"|"&amp;B3273,Numéros!$F$2:$F$3001,0))),""))</f>
        <v/>
      </c>
      <c r="M3273" s="27" t="str">
        <f aca="false">IF(OR(G3273="",G3273="?"),"",IFERROR(INDEX(Pubs!$D$2:$D$3001,MATCH(G3273,Pubs!$A$2:$A$3001,0))&amp;"",""))</f>
        <v/>
      </c>
      <c r="N3273" s="27" t="n">
        <f aca="false">N(N3272)+IF(AND(A3273&lt;&gt;"",OR(Recherche!$C$4="",A3273=Recherche!$C$4),OR(Recherche!$C$5="",B3273&amp;""=Recherche!$C$5&amp;""),OR(Recherche!$C$6="",IFERROR(YEAR(L3273),0)=Recherche!$C$6),OR(Recherche!$C$7="",ISNUMBER(SEARCH(Recherche!$C$7,H3273))),OR(Recherche!$C$8="",J3273=Recherche!$C$8),OR(Recherche!$C$9="",I3273=Recherche!$C$9),OR(Recherche!$C$10="",G3273&amp;""=Recherche!$C$10&amp;""),OR(Recherche!$C$11="",E3273=Recherche!$C$11),OR(Recherche!$C$12="",ISNUMBER(SEARCH(Recherche!$C$12,M3273&amp;" "&amp;F3273)))),1,0)</f>
        <v>8</v>
      </c>
    </row>
    <row r="3274" customFormat="false" ht="15" hidden="false" customHeight="false" outlineLevel="0" collapsed="false">
      <c r="A3274" s="19"/>
      <c r="B3274" s="19"/>
      <c r="C3274" s="19"/>
      <c r="D3274" s="19"/>
      <c r="E3274" s="22"/>
      <c r="F3274" s="19"/>
      <c r="G3274" s="26" t="str">
        <f aca="false">IF(D3274="","",IFERROR(VALUE(LEFT(D3274,FIND(" |",D3274&amp;" |")-1)),"?"))</f>
        <v/>
      </c>
      <c r="H3274" s="27" t="str">
        <f aca="false">IF(G3274="","",IF(G3274="?","⚠ pub inconnue",IFERROR(INDEX(Pubs!$B$2:$B$3001,MATCH(G3274,Pubs!$A$2:$A$3001,0))&amp;"","⚠ pub inconnue")))</f>
        <v/>
      </c>
      <c r="I3274" s="27" t="str">
        <f aca="false">IF(OR(G3274="",G3274="?"),"",IFERROR(INDEX(Pubs!$C$2:$C$3001,MATCH(G3274,Pubs!$A$2:$A$3001,0))&amp;"",""))</f>
        <v/>
      </c>
      <c r="J3274" s="27" t="str">
        <f aca="false">IF(OR(G3274="",G3274="?"),"",IFERROR(INDEX(Pubs!$G$2:$G$3001,MATCH(G3274,Pubs!$A$2:$A$3001,0))&amp;"",""))</f>
        <v/>
      </c>
      <c r="K3274" s="28" t="str">
        <f aca="false">IF(OR(G3274="",G3274="?"),"",IFERROR(INDEX(Pubs!$E$2:$E$3001,MATCH(G3274,Pubs!$A$2:$A$3001,0)),""))</f>
        <v/>
      </c>
      <c r="L3274" s="29" t="str">
        <f aca="false">IF(A3274="","",IFERROR(1/(1/INDEX(Numéros!$C$2:$C$3001,MATCH(A3274&amp;"|"&amp;B3274,Numéros!$F$2:$F$3001,0))),""))</f>
        <v/>
      </c>
      <c r="M3274" s="27" t="str">
        <f aca="false">IF(OR(G3274="",G3274="?"),"",IFERROR(INDEX(Pubs!$D$2:$D$3001,MATCH(G3274,Pubs!$A$2:$A$3001,0))&amp;"",""))</f>
        <v/>
      </c>
      <c r="N3274" s="27" t="n">
        <f aca="false">N(N3273)+IF(AND(A3274&lt;&gt;"",OR(Recherche!$C$4="",A3274=Recherche!$C$4),OR(Recherche!$C$5="",B3274&amp;""=Recherche!$C$5&amp;""),OR(Recherche!$C$6="",IFERROR(YEAR(L3274),0)=Recherche!$C$6),OR(Recherche!$C$7="",ISNUMBER(SEARCH(Recherche!$C$7,H3274))),OR(Recherche!$C$8="",J3274=Recherche!$C$8),OR(Recherche!$C$9="",I3274=Recherche!$C$9),OR(Recherche!$C$10="",G3274&amp;""=Recherche!$C$10&amp;""),OR(Recherche!$C$11="",E3274=Recherche!$C$11),OR(Recherche!$C$12="",ISNUMBER(SEARCH(Recherche!$C$12,M3274&amp;" "&amp;F3274)))),1,0)</f>
        <v>8</v>
      </c>
    </row>
    <row r="3275" customFormat="false" ht="15" hidden="false" customHeight="false" outlineLevel="0" collapsed="false">
      <c r="A3275" s="19"/>
      <c r="B3275" s="19"/>
      <c r="C3275" s="19"/>
      <c r="D3275" s="19"/>
      <c r="E3275" s="22"/>
      <c r="F3275" s="19"/>
      <c r="G3275" s="26" t="str">
        <f aca="false">IF(D3275="","",IFERROR(VALUE(LEFT(D3275,FIND(" |",D3275&amp;" |")-1)),"?"))</f>
        <v/>
      </c>
      <c r="H3275" s="27" t="str">
        <f aca="false">IF(G3275="","",IF(G3275="?","⚠ pub inconnue",IFERROR(INDEX(Pubs!$B$2:$B$3001,MATCH(G3275,Pubs!$A$2:$A$3001,0))&amp;"","⚠ pub inconnue")))</f>
        <v/>
      </c>
      <c r="I3275" s="27" t="str">
        <f aca="false">IF(OR(G3275="",G3275="?"),"",IFERROR(INDEX(Pubs!$C$2:$C$3001,MATCH(G3275,Pubs!$A$2:$A$3001,0))&amp;"",""))</f>
        <v/>
      </c>
      <c r="J3275" s="27" t="str">
        <f aca="false">IF(OR(G3275="",G3275="?"),"",IFERROR(INDEX(Pubs!$G$2:$G$3001,MATCH(G3275,Pubs!$A$2:$A$3001,0))&amp;"",""))</f>
        <v/>
      </c>
      <c r="K3275" s="28" t="str">
        <f aca="false">IF(OR(G3275="",G3275="?"),"",IFERROR(INDEX(Pubs!$E$2:$E$3001,MATCH(G3275,Pubs!$A$2:$A$3001,0)),""))</f>
        <v/>
      </c>
      <c r="L3275" s="29" t="str">
        <f aca="false">IF(A3275="","",IFERROR(1/(1/INDEX(Numéros!$C$2:$C$3001,MATCH(A3275&amp;"|"&amp;B3275,Numéros!$F$2:$F$3001,0))),""))</f>
        <v/>
      </c>
      <c r="M3275" s="27" t="str">
        <f aca="false">IF(OR(G3275="",G3275="?"),"",IFERROR(INDEX(Pubs!$D$2:$D$3001,MATCH(G3275,Pubs!$A$2:$A$3001,0))&amp;"",""))</f>
        <v/>
      </c>
      <c r="N3275" s="27" t="n">
        <f aca="false">N(N3274)+IF(AND(A3275&lt;&gt;"",OR(Recherche!$C$4="",A3275=Recherche!$C$4),OR(Recherche!$C$5="",B3275&amp;""=Recherche!$C$5&amp;""),OR(Recherche!$C$6="",IFERROR(YEAR(L3275),0)=Recherche!$C$6),OR(Recherche!$C$7="",ISNUMBER(SEARCH(Recherche!$C$7,H3275))),OR(Recherche!$C$8="",J3275=Recherche!$C$8),OR(Recherche!$C$9="",I3275=Recherche!$C$9),OR(Recherche!$C$10="",G3275&amp;""=Recherche!$C$10&amp;""),OR(Recherche!$C$11="",E3275=Recherche!$C$11),OR(Recherche!$C$12="",ISNUMBER(SEARCH(Recherche!$C$12,M3275&amp;" "&amp;F3275)))),1,0)</f>
        <v>8</v>
      </c>
    </row>
    <row r="3276" customFormat="false" ht="15" hidden="false" customHeight="false" outlineLevel="0" collapsed="false">
      <c r="A3276" s="19"/>
      <c r="B3276" s="19"/>
      <c r="C3276" s="19"/>
      <c r="D3276" s="19"/>
      <c r="E3276" s="22"/>
      <c r="F3276" s="19"/>
      <c r="G3276" s="26" t="str">
        <f aca="false">IF(D3276="","",IFERROR(VALUE(LEFT(D3276,FIND(" |",D3276&amp;" |")-1)),"?"))</f>
        <v/>
      </c>
      <c r="H3276" s="27" t="str">
        <f aca="false">IF(G3276="","",IF(G3276="?","⚠ pub inconnue",IFERROR(INDEX(Pubs!$B$2:$B$3001,MATCH(G3276,Pubs!$A$2:$A$3001,0))&amp;"","⚠ pub inconnue")))</f>
        <v/>
      </c>
      <c r="I3276" s="27" t="str">
        <f aca="false">IF(OR(G3276="",G3276="?"),"",IFERROR(INDEX(Pubs!$C$2:$C$3001,MATCH(G3276,Pubs!$A$2:$A$3001,0))&amp;"",""))</f>
        <v/>
      </c>
      <c r="J3276" s="27" t="str">
        <f aca="false">IF(OR(G3276="",G3276="?"),"",IFERROR(INDEX(Pubs!$G$2:$G$3001,MATCH(G3276,Pubs!$A$2:$A$3001,0))&amp;"",""))</f>
        <v/>
      </c>
      <c r="K3276" s="28" t="str">
        <f aca="false">IF(OR(G3276="",G3276="?"),"",IFERROR(INDEX(Pubs!$E$2:$E$3001,MATCH(G3276,Pubs!$A$2:$A$3001,0)),""))</f>
        <v/>
      </c>
      <c r="L3276" s="29" t="str">
        <f aca="false">IF(A3276="","",IFERROR(1/(1/INDEX(Numéros!$C$2:$C$3001,MATCH(A3276&amp;"|"&amp;B3276,Numéros!$F$2:$F$3001,0))),""))</f>
        <v/>
      </c>
      <c r="M3276" s="27" t="str">
        <f aca="false">IF(OR(G3276="",G3276="?"),"",IFERROR(INDEX(Pubs!$D$2:$D$3001,MATCH(G3276,Pubs!$A$2:$A$3001,0))&amp;"",""))</f>
        <v/>
      </c>
      <c r="N3276" s="27" t="n">
        <f aca="false">N(N3275)+IF(AND(A3276&lt;&gt;"",OR(Recherche!$C$4="",A3276=Recherche!$C$4),OR(Recherche!$C$5="",B3276&amp;""=Recherche!$C$5&amp;""),OR(Recherche!$C$6="",IFERROR(YEAR(L3276),0)=Recherche!$C$6),OR(Recherche!$C$7="",ISNUMBER(SEARCH(Recherche!$C$7,H3276))),OR(Recherche!$C$8="",J3276=Recherche!$C$8),OR(Recherche!$C$9="",I3276=Recherche!$C$9),OR(Recherche!$C$10="",G3276&amp;""=Recherche!$C$10&amp;""),OR(Recherche!$C$11="",E3276=Recherche!$C$11),OR(Recherche!$C$12="",ISNUMBER(SEARCH(Recherche!$C$12,M3276&amp;" "&amp;F3276)))),1,0)</f>
        <v>8</v>
      </c>
    </row>
    <row r="3277" customFormat="false" ht="15" hidden="false" customHeight="false" outlineLevel="0" collapsed="false">
      <c r="A3277" s="19"/>
      <c r="B3277" s="19"/>
      <c r="C3277" s="19"/>
      <c r="D3277" s="19"/>
      <c r="E3277" s="22"/>
      <c r="F3277" s="19"/>
      <c r="G3277" s="26" t="str">
        <f aca="false">IF(D3277="","",IFERROR(VALUE(LEFT(D3277,FIND(" |",D3277&amp;" |")-1)),"?"))</f>
        <v/>
      </c>
      <c r="H3277" s="27" t="str">
        <f aca="false">IF(G3277="","",IF(G3277="?","⚠ pub inconnue",IFERROR(INDEX(Pubs!$B$2:$B$3001,MATCH(G3277,Pubs!$A$2:$A$3001,0))&amp;"","⚠ pub inconnue")))</f>
        <v/>
      </c>
      <c r="I3277" s="27" t="str">
        <f aca="false">IF(OR(G3277="",G3277="?"),"",IFERROR(INDEX(Pubs!$C$2:$C$3001,MATCH(G3277,Pubs!$A$2:$A$3001,0))&amp;"",""))</f>
        <v/>
      </c>
      <c r="J3277" s="27" t="str">
        <f aca="false">IF(OR(G3277="",G3277="?"),"",IFERROR(INDEX(Pubs!$G$2:$G$3001,MATCH(G3277,Pubs!$A$2:$A$3001,0))&amp;"",""))</f>
        <v/>
      </c>
      <c r="K3277" s="28" t="str">
        <f aca="false">IF(OR(G3277="",G3277="?"),"",IFERROR(INDEX(Pubs!$E$2:$E$3001,MATCH(G3277,Pubs!$A$2:$A$3001,0)),""))</f>
        <v/>
      </c>
      <c r="L3277" s="29" t="str">
        <f aca="false">IF(A3277="","",IFERROR(1/(1/INDEX(Numéros!$C$2:$C$3001,MATCH(A3277&amp;"|"&amp;B3277,Numéros!$F$2:$F$3001,0))),""))</f>
        <v/>
      </c>
      <c r="M3277" s="27" t="str">
        <f aca="false">IF(OR(G3277="",G3277="?"),"",IFERROR(INDEX(Pubs!$D$2:$D$3001,MATCH(G3277,Pubs!$A$2:$A$3001,0))&amp;"",""))</f>
        <v/>
      </c>
      <c r="N3277" s="27" t="n">
        <f aca="false">N(N3276)+IF(AND(A3277&lt;&gt;"",OR(Recherche!$C$4="",A3277=Recherche!$C$4),OR(Recherche!$C$5="",B3277&amp;""=Recherche!$C$5&amp;""),OR(Recherche!$C$6="",IFERROR(YEAR(L3277),0)=Recherche!$C$6),OR(Recherche!$C$7="",ISNUMBER(SEARCH(Recherche!$C$7,H3277))),OR(Recherche!$C$8="",J3277=Recherche!$C$8),OR(Recherche!$C$9="",I3277=Recherche!$C$9),OR(Recherche!$C$10="",G3277&amp;""=Recherche!$C$10&amp;""),OR(Recherche!$C$11="",E3277=Recherche!$C$11),OR(Recherche!$C$12="",ISNUMBER(SEARCH(Recherche!$C$12,M3277&amp;" "&amp;F3277)))),1,0)</f>
        <v>8</v>
      </c>
    </row>
    <row r="3278" customFormat="false" ht="15" hidden="false" customHeight="false" outlineLevel="0" collapsed="false">
      <c r="A3278" s="19"/>
      <c r="B3278" s="19"/>
      <c r="C3278" s="19"/>
      <c r="D3278" s="19"/>
      <c r="E3278" s="22"/>
      <c r="F3278" s="19"/>
      <c r="G3278" s="26" t="str">
        <f aca="false">IF(D3278="","",IFERROR(VALUE(LEFT(D3278,FIND(" |",D3278&amp;" |")-1)),"?"))</f>
        <v/>
      </c>
      <c r="H3278" s="27" t="str">
        <f aca="false">IF(G3278="","",IF(G3278="?","⚠ pub inconnue",IFERROR(INDEX(Pubs!$B$2:$B$3001,MATCH(G3278,Pubs!$A$2:$A$3001,0))&amp;"","⚠ pub inconnue")))</f>
        <v/>
      </c>
      <c r="I3278" s="27" t="str">
        <f aca="false">IF(OR(G3278="",G3278="?"),"",IFERROR(INDEX(Pubs!$C$2:$C$3001,MATCH(G3278,Pubs!$A$2:$A$3001,0))&amp;"",""))</f>
        <v/>
      </c>
      <c r="J3278" s="27" t="str">
        <f aca="false">IF(OR(G3278="",G3278="?"),"",IFERROR(INDEX(Pubs!$G$2:$G$3001,MATCH(G3278,Pubs!$A$2:$A$3001,0))&amp;"",""))</f>
        <v/>
      </c>
      <c r="K3278" s="28" t="str">
        <f aca="false">IF(OR(G3278="",G3278="?"),"",IFERROR(INDEX(Pubs!$E$2:$E$3001,MATCH(G3278,Pubs!$A$2:$A$3001,0)),""))</f>
        <v/>
      </c>
      <c r="L3278" s="29" t="str">
        <f aca="false">IF(A3278="","",IFERROR(1/(1/INDEX(Numéros!$C$2:$C$3001,MATCH(A3278&amp;"|"&amp;B3278,Numéros!$F$2:$F$3001,0))),""))</f>
        <v/>
      </c>
      <c r="M3278" s="27" t="str">
        <f aca="false">IF(OR(G3278="",G3278="?"),"",IFERROR(INDEX(Pubs!$D$2:$D$3001,MATCH(G3278,Pubs!$A$2:$A$3001,0))&amp;"",""))</f>
        <v/>
      </c>
      <c r="N3278" s="27" t="n">
        <f aca="false">N(N3277)+IF(AND(A3278&lt;&gt;"",OR(Recherche!$C$4="",A3278=Recherche!$C$4),OR(Recherche!$C$5="",B3278&amp;""=Recherche!$C$5&amp;""),OR(Recherche!$C$6="",IFERROR(YEAR(L3278),0)=Recherche!$C$6),OR(Recherche!$C$7="",ISNUMBER(SEARCH(Recherche!$C$7,H3278))),OR(Recherche!$C$8="",J3278=Recherche!$C$8),OR(Recherche!$C$9="",I3278=Recherche!$C$9),OR(Recherche!$C$10="",G3278&amp;""=Recherche!$C$10&amp;""),OR(Recherche!$C$11="",E3278=Recherche!$C$11),OR(Recherche!$C$12="",ISNUMBER(SEARCH(Recherche!$C$12,M3278&amp;" "&amp;F3278)))),1,0)</f>
        <v>8</v>
      </c>
    </row>
    <row r="3279" customFormat="false" ht="15" hidden="false" customHeight="false" outlineLevel="0" collapsed="false">
      <c r="A3279" s="19"/>
      <c r="B3279" s="19"/>
      <c r="C3279" s="19"/>
      <c r="D3279" s="19"/>
      <c r="E3279" s="22"/>
      <c r="F3279" s="19"/>
      <c r="G3279" s="26" t="str">
        <f aca="false">IF(D3279="","",IFERROR(VALUE(LEFT(D3279,FIND(" |",D3279&amp;" |")-1)),"?"))</f>
        <v/>
      </c>
      <c r="H3279" s="27" t="str">
        <f aca="false">IF(G3279="","",IF(G3279="?","⚠ pub inconnue",IFERROR(INDEX(Pubs!$B$2:$B$3001,MATCH(G3279,Pubs!$A$2:$A$3001,0))&amp;"","⚠ pub inconnue")))</f>
        <v/>
      </c>
      <c r="I3279" s="27" t="str">
        <f aca="false">IF(OR(G3279="",G3279="?"),"",IFERROR(INDEX(Pubs!$C$2:$C$3001,MATCH(G3279,Pubs!$A$2:$A$3001,0))&amp;"",""))</f>
        <v/>
      </c>
      <c r="J3279" s="27" t="str">
        <f aca="false">IF(OR(G3279="",G3279="?"),"",IFERROR(INDEX(Pubs!$G$2:$G$3001,MATCH(G3279,Pubs!$A$2:$A$3001,0))&amp;"",""))</f>
        <v/>
      </c>
      <c r="K3279" s="28" t="str">
        <f aca="false">IF(OR(G3279="",G3279="?"),"",IFERROR(INDEX(Pubs!$E$2:$E$3001,MATCH(G3279,Pubs!$A$2:$A$3001,0)),""))</f>
        <v/>
      </c>
      <c r="L3279" s="29" t="str">
        <f aca="false">IF(A3279="","",IFERROR(1/(1/INDEX(Numéros!$C$2:$C$3001,MATCH(A3279&amp;"|"&amp;B3279,Numéros!$F$2:$F$3001,0))),""))</f>
        <v/>
      </c>
      <c r="M3279" s="27" t="str">
        <f aca="false">IF(OR(G3279="",G3279="?"),"",IFERROR(INDEX(Pubs!$D$2:$D$3001,MATCH(G3279,Pubs!$A$2:$A$3001,0))&amp;"",""))</f>
        <v/>
      </c>
      <c r="N3279" s="27" t="n">
        <f aca="false">N(N3278)+IF(AND(A3279&lt;&gt;"",OR(Recherche!$C$4="",A3279=Recherche!$C$4),OR(Recherche!$C$5="",B3279&amp;""=Recherche!$C$5&amp;""),OR(Recherche!$C$6="",IFERROR(YEAR(L3279),0)=Recherche!$C$6),OR(Recherche!$C$7="",ISNUMBER(SEARCH(Recherche!$C$7,H3279))),OR(Recherche!$C$8="",J3279=Recherche!$C$8),OR(Recherche!$C$9="",I3279=Recherche!$C$9),OR(Recherche!$C$10="",G3279&amp;""=Recherche!$C$10&amp;""),OR(Recherche!$C$11="",E3279=Recherche!$C$11),OR(Recherche!$C$12="",ISNUMBER(SEARCH(Recherche!$C$12,M3279&amp;" "&amp;F3279)))),1,0)</f>
        <v>8</v>
      </c>
    </row>
    <row r="3280" customFormat="false" ht="15" hidden="false" customHeight="false" outlineLevel="0" collapsed="false">
      <c r="A3280" s="19"/>
      <c r="B3280" s="19"/>
      <c r="C3280" s="19"/>
      <c r="D3280" s="19"/>
      <c r="E3280" s="22"/>
      <c r="F3280" s="19"/>
      <c r="G3280" s="26" t="str">
        <f aca="false">IF(D3280="","",IFERROR(VALUE(LEFT(D3280,FIND(" |",D3280&amp;" |")-1)),"?"))</f>
        <v/>
      </c>
      <c r="H3280" s="27" t="str">
        <f aca="false">IF(G3280="","",IF(G3280="?","⚠ pub inconnue",IFERROR(INDEX(Pubs!$B$2:$B$3001,MATCH(G3280,Pubs!$A$2:$A$3001,0))&amp;"","⚠ pub inconnue")))</f>
        <v/>
      </c>
      <c r="I3280" s="27" t="str">
        <f aca="false">IF(OR(G3280="",G3280="?"),"",IFERROR(INDEX(Pubs!$C$2:$C$3001,MATCH(G3280,Pubs!$A$2:$A$3001,0))&amp;"",""))</f>
        <v/>
      </c>
      <c r="J3280" s="27" t="str">
        <f aca="false">IF(OR(G3280="",G3280="?"),"",IFERROR(INDEX(Pubs!$G$2:$G$3001,MATCH(G3280,Pubs!$A$2:$A$3001,0))&amp;"",""))</f>
        <v/>
      </c>
      <c r="K3280" s="28" t="str">
        <f aca="false">IF(OR(G3280="",G3280="?"),"",IFERROR(INDEX(Pubs!$E$2:$E$3001,MATCH(G3280,Pubs!$A$2:$A$3001,0)),""))</f>
        <v/>
      </c>
      <c r="L3280" s="29" t="str">
        <f aca="false">IF(A3280="","",IFERROR(1/(1/INDEX(Numéros!$C$2:$C$3001,MATCH(A3280&amp;"|"&amp;B3280,Numéros!$F$2:$F$3001,0))),""))</f>
        <v/>
      </c>
      <c r="M3280" s="27" t="str">
        <f aca="false">IF(OR(G3280="",G3280="?"),"",IFERROR(INDEX(Pubs!$D$2:$D$3001,MATCH(G3280,Pubs!$A$2:$A$3001,0))&amp;"",""))</f>
        <v/>
      </c>
      <c r="N3280" s="27" t="n">
        <f aca="false">N(N3279)+IF(AND(A3280&lt;&gt;"",OR(Recherche!$C$4="",A3280=Recherche!$C$4),OR(Recherche!$C$5="",B3280&amp;""=Recherche!$C$5&amp;""),OR(Recherche!$C$6="",IFERROR(YEAR(L3280),0)=Recherche!$C$6),OR(Recherche!$C$7="",ISNUMBER(SEARCH(Recherche!$C$7,H3280))),OR(Recherche!$C$8="",J3280=Recherche!$C$8),OR(Recherche!$C$9="",I3280=Recherche!$C$9),OR(Recherche!$C$10="",G3280&amp;""=Recherche!$C$10&amp;""),OR(Recherche!$C$11="",E3280=Recherche!$C$11),OR(Recherche!$C$12="",ISNUMBER(SEARCH(Recherche!$C$12,M3280&amp;" "&amp;F3280)))),1,0)</f>
        <v>8</v>
      </c>
    </row>
    <row r="3281" customFormat="false" ht="15" hidden="false" customHeight="false" outlineLevel="0" collapsed="false">
      <c r="A3281" s="19"/>
      <c r="B3281" s="19"/>
      <c r="C3281" s="19"/>
      <c r="D3281" s="19"/>
      <c r="E3281" s="22"/>
      <c r="F3281" s="19"/>
      <c r="G3281" s="26" t="str">
        <f aca="false">IF(D3281="","",IFERROR(VALUE(LEFT(D3281,FIND(" |",D3281&amp;" |")-1)),"?"))</f>
        <v/>
      </c>
      <c r="H3281" s="27" t="str">
        <f aca="false">IF(G3281="","",IF(G3281="?","⚠ pub inconnue",IFERROR(INDEX(Pubs!$B$2:$B$3001,MATCH(G3281,Pubs!$A$2:$A$3001,0))&amp;"","⚠ pub inconnue")))</f>
        <v/>
      </c>
      <c r="I3281" s="27" t="str">
        <f aca="false">IF(OR(G3281="",G3281="?"),"",IFERROR(INDEX(Pubs!$C$2:$C$3001,MATCH(G3281,Pubs!$A$2:$A$3001,0))&amp;"",""))</f>
        <v/>
      </c>
      <c r="J3281" s="27" t="str">
        <f aca="false">IF(OR(G3281="",G3281="?"),"",IFERROR(INDEX(Pubs!$G$2:$G$3001,MATCH(G3281,Pubs!$A$2:$A$3001,0))&amp;"",""))</f>
        <v/>
      </c>
      <c r="K3281" s="28" t="str">
        <f aca="false">IF(OR(G3281="",G3281="?"),"",IFERROR(INDEX(Pubs!$E$2:$E$3001,MATCH(G3281,Pubs!$A$2:$A$3001,0)),""))</f>
        <v/>
      </c>
      <c r="L3281" s="29" t="str">
        <f aca="false">IF(A3281="","",IFERROR(1/(1/INDEX(Numéros!$C$2:$C$3001,MATCH(A3281&amp;"|"&amp;B3281,Numéros!$F$2:$F$3001,0))),""))</f>
        <v/>
      </c>
      <c r="M3281" s="27" t="str">
        <f aca="false">IF(OR(G3281="",G3281="?"),"",IFERROR(INDEX(Pubs!$D$2:$D$3001,MATCH(G3281,Pubs!$A$2:$A$3001,0))&amp;"",""))</f>
        <v/>
      </c>
      <c r="N3281" s="27" t="n">
        <f aca="false">N(N3280)+IF(AND(A3281&lt;&gt;"",OR(Recherche!$C$4="",A3281=Recherche!$C$4),OR(Recherche!$C$5="",B3281&amp;""=Recherche!$C$5&amp;""),OR(Recherche!$C$6="",IFERROR(YEAR(L3281),0)=Recherche!$C$6),OR(Recherche!$C$7="",ISNUMBER(SEARCH(Recherche!$C$7,H3281))),OR(Recherche!$C$8="",J3281=Recherche!$C$8),OR(Recherche!$C$9="",I3281=Recherche!$C$9),OR(Recherche!$C$10="",G3281&amp;""=Recherche!$C$10&amp;""),OR(Recherche!$C$11="",E3281=Recherche!$C$11),OR(Recherche!$C$12="",ISNUMBER(SEARCH(Recherche!$C$12,M3281&amp;" "&amp;F3281)))),1,0)</f>
        <v>8</v>
      </c>
    </row>
    <row r="3282" customFormat="false" ht="15" hidden="false" customHeight="false" outlineLevel="0" collapsed="false">
      <c r="A3282" s="19"/>
      <c r="B3282" s="19"/>
      <c r="C3282" s="19"/>
      <c r="D3282" s="19"/>
      <c r="E3282" s="22"/>
      <c r="F3282" s="19"/>
      <c r="G3282" s="26" t="str">
        <f aca="false">IF(D3282="","",IFERROR(VALUE(LEFT(D3282,FIND(" |",D3282&amp;" |")-1)),"?"))</f>
        <v/>
      </c>
      <c r="H3282" s="27" t="str">
        <f aca="false">IF(G3282="","",IF(G3282="?","⚠ pub inconnue",IFERROR(INDEX(Pubs!$B$2:$B$3001,MATCH(G3282,Pubs!$A$2:$A$3001,0))&amp;"","⚠ pub inconnue")))</f>
        <v/>
      </c>
      <c r="I3282" s="27" t="str">
        <f aca="false">IF(OR(G3282="",G3282="?"),"",IFERROR(INDEX(Pubs!$C$2:$C$3001,MATCH(G3282,Pubs!$A$2:$A$3001,0))&amp;"",""))</f>
        <v/>
      </c>
      <c r="J3282" s="27" t="str">
        <f aca="false">IF(OR(G3282="",G3282="?"),"",IFERROR(INDEX(Pubs!$G$2:$G$3001,MATCH(G3282,Pubs!$A$2:$A$3001,0))&amp;"",""))</f>
        <v/>
      </c>
      <c r="K3282" s="28" t="str">
        <f aca="false">IF(OR(G3282="",G3282="?"),"",IFERROR(INDEX(Pubs!$E$2:$E$3001,MATCH(G3282,Pubs!$A$2:$A$3001,0)),""))</f>
        <v/>
      </c>
      <c r="L3282" s="29" t="str">
        <f aca="false">IF(A3282="","",IFERROR(1/(1/INDEX(Numéros!$C$2:$C$3001,MATCH(A3282&amp;"|"&amp;B3282,Numéros!$F$2:$F$3001,0))),""))</f>
        <v/>
      </c>
      <c r="M3282" s="27" t="str">
        <f aca="false">IF(OR(G3282="",G3282="?"),"",IFERROR(INDEX(Pubs!$D$2:$D$3001,MATCH(G3282,Pubs!$A$2:$A$3001,0))&amp;"",""))</f>
        <v/>
      </c>
      <c r="N3282" s="27" t="n">
        <f aca="false">N(N3281)+IF(AND(A3282&lt;&gt;"",OR(Recherche!$C$4="",A3282=Recherche!$C$4),OR(Recherche!$C$5="",B3282&amp;""=Recherche!$C$5&amp;""),OR(Recherche!$C$6="",IFERROR(YEAR(L3282),0)=Recherche!$C$6),OR(Recherche!$C$7="",ISNUMBER(SEARCH(Recherche!$C$7,H3282))),OR(Recherche!$C$8="",J3282=Recherche!$C$8),OR(Recherche!$C$9="",I3282=Recherche!$C$9),OR(Recherche!$C$10="",G3282&amp;""=Recherche!$C$10&amp;""),OR(Recherche!$C$11="",E3282=Recherche!$C$11),OR(Recherche!$C$12="",ISNUMBER(SEARCH(Recherche!$C$12,M3282&amp;" "&amp;F3282)))),1,0)</f>
        <v>8</v>
      </c>
    </row>
    <row r="3283" customFormat="false" ht="15" hidden="false" customHeight="false" outlineLevel="0" collapsed="false">
      <c r="A3283" s="19"/>
      <c r="B3283" s="19"/>
      <c r="C3283" s="19"/>
      <c r="D3283" s="19"/>
      <c r="E3283" s="22"/>
      <c r="F3283" s="19"/>
      <c r="G3283" s="26" t="str">
        <f aca="false">IF(D3283="","",IFERROR(VALUE(LEFT(D3283,FIND(" |",D3283&amp;" |")-1)),"?"))</f>
        <v/>
      </c>
      <c r="H3283" s="27" t="str">
        <f aca="false">IF(G3283="","",IF(G3283="?","⚠ pub inconnue",IFERROR(INDEX(Pubs!$B$2:$B$3001,MATCH(G3283,Pubs!$A$2:$A$3001,0))&amp;"","⚠ pub inconnue")))</f>
        <v/>
      </c>
      <c r="I3283" s="27" t="str">
        <f aca="false">IF(OR(G3283="",G3283="?"),"",IFERROR(INDEX(Pubs!$C$2:$C$3001,MATCH(G3283,Pubs!$A$2:$A$3001,0))&amp;"",""))</f>
        <v/>
      </c>
      <c r="J3283" s="27" t="str">
        <f aca="false">IF(OR(G3283="",G3283="?"),"",IFERROR(INDEX(Pubs!$G$2:$G$3001,MATCH(G3283,Pubs!$A$2:$A$3001,0))&amp;"",""))</f>
        <v/>
      </c>
      <c r="K3283" s="28" t="str">
        <f aca="false">IF(OR(G3283="",G3283="?"),"",IFERROR(INDEX(Pubs!$E$2:$E$3001,MATCH(G3283,Pubs!$A$2:$A$3001,0)),""))</f>
        <v/>
      </c>
      <c r="L3283" s="29" t="str">
        <f aca="false">IF(A3283="","",IFERROR(1/(1/INDEX(Numéros!$C$2:$C$3001,MATCH(A3283&amp;"|"&amp;B3283,Numéros!$F$2:$F$3001,0))),""))</f>
        <v/>
      </c>
      <c r="M3283" s="27" t="str">
        <f aca="false">IF(OR(G3283="",G3283="?"),"",IFERROR(INDEX(Pubs!$D$2:$D$3001,MATCH(G3283,Pubs!$A$2:$A$3001,0))&amp;"",""))</f>
        <v/>
      </c>
      <c r="N3283" s="27" t="n">
        <f aca="false">N(N3282)+IF(AND(A3283&lt;&gt;"",OR(Recherche!$C$4="",A3283=Recherche!$C$4),OR(Recherche!$C$5="",B3283&amp;""=Recherche!$C$5&amp;""),OR(Recherche!$C$6="",IFERROR(YEAR(L3283),0)=Recherche!$C$6),OR(Recherche!$C$7="",ISNUMBER(SEARCH(Recherche!$C$7,H3283))),OR(Recherche!$C$8="",J3283=Recherche!$C$8),OR(Recherche!$C$9="",I3283=Recherche!$C$9),OR(Recherche!$C$10="",G3283&amp;""=Recherche!$C$10&amp;""),OR(Recherche!$C$11="",E3283=Recherche!$C$11),OR(Recherche!$C$12="",ISNUMBER(SEARCH(Recherche!$C$12,M3283&amp;" "&amp;F3283)))),1,0)</f>
        <v>8</v>
      </c>
    </row>
    <row r="3284" customFormat="false" ht="15" hidden="false" customHeight="false" outlineLevel="0" collapsed="false">
      <c r="A3284" s="19"/>
      <c r="B3284" s="19"/>
      <c r="C3284" s="19"/>
      <c r="D3284" s="19"/>
      <c r="E3284" s="22"/>
      <c r="F3284" s="19"/>
      <c r="G3284" s="26" t="str">
        <f aca="false">IF(D3284="","",IFERROR(VALUE(LEFT(D3284,FIND(" |",D3284&amp;" |")-1)),"?"))</f>
        <v/>
      </c>
      <c r="H3284" s="27" t="str">
        <f aca="false">IF(G3284="","",IF(G3284="?","⚠ pub inconnue",IFERROR(INDEX(Pubs!$B$2:$B$3001,MATCH(G3284,Pubs!$A$2:$A$3001,0))&amp;"","⚠ pub inconnue")))</f>
        <v/>
      </c>
      <c r="I3284" s="27" t="str">
        <f aca="false">IF(OR(G3284="",G3284="?"),"",IFERROR(INDEX(Pubs!$C$2:$C$3001,MATCH(G3284,Pubs!$A$2:$A$3001,0))&amp;"",""))</f>
        <v/>
      </c>
      <c r="J3284" s="27" t="str">
        <f aca="false">IF(OR(G3284="",G3284="?"),"",IFERROR(INDEX(Pubs!$G$2:$G$3001,MATCH(G3284,Pubs!$A$2:$A$3001,0))&amp;"",""))</f>
        <v/>
      </c>
      <c r="K3284" s="28" t="str">
        <f aca="false">IF(OR(G3284="",G3284="?"),"",IFERROR(INDEX(Pubs!$E$2:$E$3001,MATCH(G3284,Pubs!$A$2:$A$3001,0)),""))</f>
        <v/>
      </c>
      <c r="L3284" s="29" t="str">
        <f aca="false">IF(A3284="","",IFERROR(1/(1/INDEX(Numéros!$C$2:$C$3001,MATCH(A3284&amp;"|"&amp;B3284,Numéros!$F$2:$F$3001,0))),""))</f>
        <v/>
      </c>
      <c r="M3284" s="27" t="str">
        <f aca="false">IF(OR(G3284="",G3284="?"),"",IFERROR(INDEX(Pubs!$D$2:$D$3001,MATCH(G3284,Pubs!$A$2:$A$3001,0))&amp;"",""))</f>
        <v/>
      </c>
      <c r="N3284" s="27" t="n">
        <f aca="false">N(N3283)+IF(AND(A3284&lt;&gt;"",OR(Recherche!$C$4="",A3284=Recherche!$C$4),OR(Recherche!$C$5="",B3284&amp;""=Recherche!$C$5&amp;""),OR(Recherche!$C$6="",IFERROR(YEAR(L3284),0)=Recherche!$C$6),OR(Recherche!$C$7="",ISNUMBER(SEARCH(Recherche!$C$7,H3284))),OR(Recherche!$C$8="",J3284=Recherche!$C$8),OR(Recherche!$C$9="",I3284=Recherche!$C$9),OR(Recherche!$C$10="",G3284&amp;""=Recherche!$C$10&amp;""),OR(Recherche!$C$11="",E3284=Recherche!$C$11),OR(Recherche!$C$12="",ISNUMBER(SEARCH(Recherche!$C$12,M3284&amp;" "&amp;F3284)))),1,0)</f>
        <v>8</v>
      </c>
    </row>
    <row r="3285" customFormat="false" ht="15" hidden="false" customHeight="false" outlineLevel="0" collapsed="false">
      <c r="A3285" s="19"/>
      <c r="B3285" s="19"/>
      <c r="C3285" s="19"/>
      <c r="D3285" s="19"/>
      <c r="E3285" s="22"/>
      <c r="F3285" s="19"/>
      <c r="G3285" s="26" t="str">
        <f aca="false">IF(D3285="","",IFERROR(VALUE(LEFT(D3285,FIND(" |",D3285&amp;" |")-1)),"?"))</f>
        <v/>
      </c>
      <c r="H3285" s="27" t="str">
        <f aca="false">IF(G3285="","",IF(G3285="?","⚠ pub inconnue",IFERROR(INDEX(Pubs!$B$2:$B$3001,MATCH(G3285,Pubs!$A$2:$A$3001,0))&amp;"","⚠ pub inconnue")))</f>
        <v/>
      </c>
      <c r="I3285" s="27" t="str">
        <f aca="false">IF(OR(G3285="",G3285="?"),"",IFERROR(INDEX(Pubs!$C$2:$C$3001,MATCH(G3285,Pubs!$A$2:$A$3001,0))&amp;"",""))</f>
        <v/>
      </c>
      <c r="J3285" s="27" t="str">
        <f aca="false">IF(OR(G3285="",G3285="?"),"",IFERROR(INDEX(Pubs!$G$2:$G$3001,MATCH(G3285,Pubs!$A$2:$A$3001,0))&amp;"",""))</f>
        <v/>
      </c>
      <c r="K3285" s="28" t="str">
        <f aca="false">IF(OR(G3285="",G3285="?"),"",IFERROR(INDEX(Pubs!$E$2:$E$3001,MATCH(G3285,Pubs!$A$2:$A$3001,0)),""))</f>
        <v/>
      </c>
      <c r="L3285" s="29" t="str">
        <f aca="false">IF(A3285="","",IFERROR(1/(1/INDEX(Numéros!$C$2:$C$3001,MATCH(A3285&amp;"|"&amp;B3285,Numéros!$F$2:$F$3001,0))),""))</f>
        <v/>
      </c>
      <c r="M3285" s="27" t="str">
        <f aca="false">IF(OR(G3285="",G3285="?"),"",IFERROR(INDEX(Pubs!$D$2:$D$3001,MATCH(G3285,Pubs!$A$2:$A$3001,0))&amp;"",""))</f>
        <v/>
      </c>
      <c r="N3285" s="27" t="n">
        <f aca="false">N(N3284)+IF(AND(A3285&lt;&gt;"",OR(Recherche!$C$4="",A3285=Recherche!$C$4),OR(Recherche!$C$5="",B3285&amp;""=Recherche!$C$5&amp;""),OR(Recherche!$C$6="",IFERROR(YEAR(L3285),0)=Recherche!$C$6),OR(Recherche!$C$7="",ISNUMBER(SEARCH(Recherche!$C$7,H3285))),OR(Recherche!$C$8="",J3285=Recherche!$C$8),OR(Recherche!$C$9="",I3285=Recherche!$C$9),OR(Recherche!$C$10="",G3285&amp;""=Recherche!$C$10&amp;""),OR(Recherche!$C$11="",E3285=Recherche!$C$11),OR(Recherche!$C$12="",ISNUMBER(SEARCH(Recherche!$C$12,M3285&amp;" "&amp;F3285)))),1,0)</f>
        <v>8</v>
      </c>
    </row>
    <row r="3286" customFormat="false" ht="15" hidden="false" customHeight="false" outlineLevel="0" collapsed="false">
      <c r="A3286" s="19"/>
      <c r="B3286" s="19"/>
      <c r="C3286" s="19"/>
      <c r="D3286" s="19"/>
      <c r="E3286" s="22"/>
      <c r="F3286" s="19"/>
      <c r="G3286" s="26" t="str">
        <f aca="false">IF(D3286="","",IFERROR(VALUE(LEFT(D3286,FIND(" |",D3286&amp;" |")-1)),"?"))</f>
        <v/>
      </c>
      <c r="H3286" s="27" t="str">
        <f aca="false">IF(G3286="","",IF(G3286="?","⚠ pub inconnue",IFERROR(INDEX(Pubs!$B$2:$B$3001,MATCH(G3286,Pubs!$A$2:$A$3001,0))&amp;"","⚠ pub inconnue")))</f>
        <v/>
      </c>
      <c r="I3286" s="27" t="str">
        <f aca="false">IF(OR(G3286="",G3286="?"),"",IFERROR(INDEX(Pubs!$C$2:$C$3001,MATCH(G3286,Pubs!$A$2:$A$3001,0))&amp;"",""))</f>
        <v/>
      </c>
      <c r="J3286" s="27" t="str">
        <f aca="false">IF(OR(G3286="",G3286="?"),"",IFERROR(INDEX(Pubs!$G$2:$G$3001,MATCH(G3286,Pubs!$A$2:$A$3001,0))&amp;"",""))</f>
        <v/>
      </c>
      <c r="K3286" s="28" t="str">
        <f aca="false">IF(OR(G3286="",G3286="?"),"",IFERROR(INDEX(Pubs!$E$2:$E$3001,MATCH(G3286,Pubs!$A$2:$A$3001,0)),""))</f>
        <v/>
      </c>
      <c r="L3286" s="29" t="str">
        <f aca="false">IF(A3286="","",IFERROR(1/(1/INDEX(Numéros!$C$2:$C$3001,MATCH(A3286&amp;"|"&amp;B3286,Numéros!$F$2:$F$3001,0))),""))</f>
        <v/>
      </c>
      <c r="M3286" s="27" t="str">
        <f aca="false">IF(OR(G3286="",G3286="?"),"",IFERROR(INDEX(Pubs!$D$2:$D$3001,MATCH(G3286,Pubs!$A$2:$A$3001,0))&amp;"",""))</f>
        <v/>
      </c>
      <c r="N3286" s="27" t="n">
        <f aca="false">N(N3285)+IF(AND(A3286&lt;&gt;"",OR(Recherche!$C$4="",A3286=Recherche!$C$4),OR(Recherche!$C$5="",B3286&amp;""=Recherche!$C$5&amp;""),OR(Recherche!$C$6="",IFERROR(YEAR(L3286),0)=Recherche!$C$6),OR(Recherche!$C$7="",ISNUMBER(SEARCH(Recherche!$C$7,H3286))),OR(Recherche!$C$8="",J3286=Recherche!$C$8),OR(Recherche!$C$9="",I3286=Recherche!$C$9),OR(Recherche!$C$10="",G3286&amp;""=Recherche!$C$10&amp;""),OR(Recherche!$C$11="",E3286=Recherche!$C$11),OR(Recherche!$C$12="",ISNUMBER(SEARCH(Recherche!$C$12,M3286&amp;" "&amp;F3286)))),1,0)</f>
        <v>8</v>
      </c>
    </row>
    <row r="3287" customFormat="false" ht="15" hidden="false" customHeight="false" outlineLevel="0" collapsed="false">
      <c r="A3287" s="19"/>
      <c r="B3287" s="19"/>
      <c r="C3287" s="19"/>
      <c r="D3287" s="19"/>
      <c r="E3287" s="22"/>
      <c r="F3287" s="19"/>
      <c r="G3287" s="26" t="str">
        <f aca="false">IF(D3287="","",IFERROR(VALUE(LEFT(D3287,FIND(" |",D3287&amp;" |")-1)),"?"))</f>
        <v/>
      </c>
      <c r="H3287" s="27" t="str">
        <f aca="false">IF(G3287="","",IF(G3287="?","⚠ pub inconnue",IFERROR(INDEX(Pubs!$B$2:$B$3001,MATCH(G3287,Pubs!$A$2:$A$3001,0))&amp;"","⚠ pub inconnue")))</f>
        <v/>
      </c>
      <c r="I3287" s="27" t="str">
        <f aca="false">IF(OR(G3287="",G3287="?"),"",IFERROR(INDEX(Pubs!$C$2:$C$3001,MATCH(G3287,Pubs!$A$2:$A$3001,0))&amp;"",""))</f>
        <v/>
      </c>
      <c r="J3287" s="27" t="str">
        <f aca="false">IF(OR(G3287="",G3287="?"),"",IFERROR(INDEX(Pubs!$G$2:$G$3001,MATCH(G3287,Pubs!$A$2:$A$3001,0))&amp;"",""))</f>
        <v/>
      </c>
      <c r="K3287" s="28" t="str">
        <f aca="false">IF(OR(G3287="",G3287="?"),"",IFERROR(INDEX(Pubs!$E$2:$E$3001,MATCH(G3287,Pubs!$A$2:$A$3001,0)),""))</f>
        <v/>
      </c>
      <c r="L3287" s="29" t="str">
        <f aca="false">IF(A3287="","",IFERROR(1/(1/INDEX(Numéros!$C$2:$C$3001,MATCH(A3287&amp;"|"&amp;B3287,Numéros!$F$2:$F$3001,0))),""))</f>
        <v/>
      </c>
      <c r="M3287" s="27" t="str">
        <f aca="false">IF(OR(G3287="",G3287="?"),"",IFERROR(INDEX(Pubs!$D$2:$D$3001,MATCH(G3287,Pubs!$A$2:$A$3001,0))&amp;"",""))</f>
        <v/>
      </c>
      <c r="N3287" s="27" t="n">
        <f aca="false">N(N3286)+IF(AND(A3287&lt;&gt;"",OR(Recherche!$C$4="",A3287=Recherche!$C$4),OR(Recherche!$C$5="",B3287&amp;""=Recherche!$C$5&amp;""),OR(Recherche!$C$6="",IFERROR(YEAR(L3287),0)=Recherche!$C$6),OR(Recherche!$C$7="",ISNUMBER(SEARCH(Recherche!$C$7,H3287))),OR(Recherche!$C$8="",J3287=Recherche!$C$8),OR(Recherche!$C$9="",I3287=Recherche!$C$9),OR(Recherche!$C$10="",G3287&amp;""=Recherche!$C$10&amp;""),OR(Recherche!$C$11="",E3287=Recherche!$C$11),OR(Recherche!$C$12="",ISNUMBER(SEARCH(Recherche!$C$12,M3287&amp;" "&amp;F3287)))),1,0)</f>
        <v>8</v>
      </c>
    </row>
    <row r="3288" customFormat="false" ht="15" hidden="false" customHeight="false" outlineLevel="0" collapsed="false">
      <c r="A3288" s="19"/>
      <c r="B3288" s="19"/>
      <c r="C3288" s="19"/>
      <c r="D3288" s="19"/>
      <c r="E3288" s="22"/>
      <c r="F3288" s="19"/>
      <c r="G3288" s="26" t="str">
        <f aca="false">IF(D3288="","",IFERROR(VALUE(LEFT(D3288,FIND(" |",D3288&amp;" |")-1)),"?"))</f>
        <v/>
      </c>
      <c r="H3288" s="27" t="str">
        <f aca="false">IF(G3288="","",IF(G3288="?","⚠ pub inconnue",IFERROR(INDEX(Pubs!$B$2:$B$3001,MATCH(G3288,Pubs!$A$2:$A$3001,0))&amp;"","⚠ pub inconnue")))</f>
        <v/>
      </c>
      <c r="I3288" s="27" t="str">
        <f aca="false">IF(OR(G3288="",G3288="?"),"",IFERROR(INDEX(Pubs!$C$2:$C$3001,MATCH(G3288,Pubs!$A$2:$A$3001,0))&amp;"",""))</f>
        <v/>
      </c>
      <c r="J3288" s="27" t="str">
        <f aca="false">IF(OR(G3288="",G3288="?"),"",IFERROR(INDEX(Pubs!$G$2:$G$3001,MATCH(G3288,Pubs!$A$2:$A$3001,0))&amp;"",""))</f>
        <v/>
      </c>
      <c r="K3288" s="28" t="str">
        <f aca="false">IF(OR(G3288="",G3288="?"),"",IFERROR(INDEX(Pubs!$E$2:$E$3001,MATCH(G3288,Pubs!$A$2:$A$3001,0)),""))</f>
        <v/>
      </c>
      <c r="L3288" s="29" t="str">
        <f aca="false">IF(A3288="","",IFERROR(1/(1/INDEX(Numéros!$C$2:$C$3001,MATCH(A3288&amp;"|"&amp;B3288,Numéros!$F$2:$F$3001,0))),""))</f>
        <v/>
      </c>
      <c r="M3288" s="27" t="str">
        <f aca="false">IF(OR(G3288="",G3288="?"),"",IFERROR(INDEX(Pubs!$D$2:$D$3001,MATCH(G3288,Pubs!$A$2:$A$3001,0))&amp;"",""))</f>
        <v/>
      </c>
      <c r="N3288" s="27" t="n">
        <f aca="false">N(N3287)+IF(AND(A3288&lt;&gt;"",OR(Recherche!$C$4="",A3288=Recherche!$C$4),OR(Recherche!$C$5="",B3288&amp;""=Recherche!$C$5&amp;""),OR(Recherche!$C$6="",IFERROR(YEAR(L3288),0)=Recherche!$C$6),OR(Recherche!$C$7="",ISNUMBER(SEARCH(Recherche!$C$7,H3288))),OR(Recherche!$C$8="",J3288=Recherche!$C$8),OR(Recherche!$C$9="",I3288=Recherche!$C$9),OR(Recherche!$C$10="",G3288&amp;""=Recherche!$C$10&amp;""),OR(Recherche!$C$11="",E3288=Recherche!$C$11),OR(Recherche!$C$12="",ISNUMBER(SEARCH(Recherche!$C$12,M3288&amp;" "&amp;F3288)))),1,0)</f>
        <v>8</v>
      </c>
    </row>
    <row r="3289" customFormat="false" ht="15" hidden="false" customHeight="false" outlineLevel="0" collapsed="false">
      <c r="A3289" s="19"/>
      <c r="B3289" s="19"/>
      <c r="C3289" s="19"/>
      <c r="D3289" s="19"/>
      <c r="E3289" s="22"/>
      <c r="F3289" s="19"/>
      <c r="G3289" s="26" t="str">
        <f aca="false">IF(D3289="","",IFERROR(VALUE(LEFT(D3289,FIND(" |",D3289&amp;" |")-1)),"?"))</f>
        <v/>
      </c>
      <c r="H3289" s="27" t="str">
        <f aca="false">IF(G3289="","",IF(G3289="?","⚠ pub inconnue",IFERROR(INDEX(Pubs!$B$2:$B$3001,MATCH(G3289,Pubs!$A$2:$A$3001,0))&amp;"","⚠ pub inconnue")))</f>
        <v/>
      </c>
      <c r="I3289" s="27" t="str">
        <f aca="false">IF(OR(G3289="",G3289="?"),"",IFERROR(INDEX(Pubs!$C$2:$C$3001,MATCH(G3289,Pubs!$A$2:$A$3001,0))&amp;"",""))</f>
        <v/>
      </c>
      <c r="J3289" s="27" t="str">
        <f aca="false">IF(OR(G3289="",G3289="?"),"",IFERROR(INDEX(Pubs!$G$2:$G$3001,MATCH(G3289,Pubs!$A$2:$A$3001,0))&amp;"",""))</f>
        <v/>
      </c>
      <c r="K3289" s="28" t="str">
        <f aca="false">IF(OR(G3289="",G3289="?"),"",IFERROR(INDEX(Pubs!$E$2:$E$3001,MATCH(G3289,Pubs!$A$2:$A$3001,0)),""))</f>
        <v/>
      </c>
      <c r="L3289" s="29" t="str">
        <f aca="false">IF(A3289="","",IFERROR(1/(1/INDEX(Numéros!$C$2:$C$3001,MATCH(A3289&amp;"|"&amp;B3289,Numéros!$F$2:$F$3001,0))),""))</f>
        <v/>
      </c>
      <c r="M3289" s="27" t="str">
        <f aca="false">IF(OR(G3289="",G3289="?"),"",IFERROR(INDEX(Pubs!$D$2:$D$3001,MATCH(G3289,Pubs!$A$2:$A$3001,0))&amp;"",""))</f>
        <v/>
      </c>
      <c r="N3289" s="27" t="n">
        <f aca="false">N(N3288)+IF(AND(A3289&lt;&gt;"",OR(Recherche!$C$4="",A3289=Recherche!$C$4),OR(Recherche!$C$5="",B3289&amp;""=Recherche!$C$5&amp;""),OR(Recherche!$C$6="",IFERROR(YEAR(L3289),0)=Recherche!$C$6),OR(Recherche!$C$7="",ISNUMBER(SEARCH(Recherche!$C$7,H3289))),OR(Recherche!$C$8="",J3289=Recherche!$C$8),OR(Recherche!$C$9="",I3289=Recherche!$C$9),OR(Recherche!$C$10="",G3289&amp;""=Recherche!$C$10&amp;""),OR(Recherche!$C$11="",E3289=Recherche!$C$11),OR(Recherche!$C$12="",ISNUMBER(SEARCH(Recherche!$C$12,M3289&amp;" "&amp;F3289)))),1,0)</f>
        <v>8</v>
      </c>
    </row>
    <row r="3290" customFormat="false" ht="15" hidden="false" customHeight="false" outlineLevel="0" collapsed="false">
      <c r="A3290" s="19"/>
      <c r="B3290" s="19"/>
      <c r="C3290" s="19"/>
      <c r="D3290" s="19"/>
      <c r="E3290" s="22"/>
      <c r="F3290" s="19"/>
      <c r="G3290" s="26" t="str">
        <f aca="false">IF(D3290="","",IFERROR(VALUE(LEFT(D3290,FIND(" |",D3290&amp;" |")-1)),"?"))</f>
        <v/>
      </c>
      <c r="H3290" s="27" t="str">
        <f aca="false">IF(G3290="","",IF(G3290="?","⚠ pub inconnue",IFERROR(INDEX(Pubs!$B$2:$B$3001,MATCH(G3290,Pubs!$A$2:$A$3001,0))&amp;"","⚠ pub inconnue")))</f>
        <v/>
      </c>
      <c r="I3290" s="27" t="str">
        <f aca="false">IF(OR(G3290="",G3290="?"),"",IFERROR(INDEX(Pubs!$C$2:$C$3001,MATCH(G3290,Pubs!$A$2:$A$3001,0))&amp;"",""))</f>
        <v/>
      </c>
      <c r="J3290" s="27" t="str">
        <f aca="false">IF(OR(G3290="",G3290="?"),"",IFERROR(INDEX(Pubs!$G$2:$G$3001,MATCH(G3290,Pubs!$A$2:$A$3001,0))&amp;"",""))</f>
        <v/>
      </c>
      <c r="K3290" s="28" t="str">
        <f aca="false">IF(OR(G3290="",G3290="?"),"",IFERROR(INDEX(Pubs!$E$2:$E$3001,MATCH(G3290,Pubs!$A$2:$A$3001,0)),""))</f>
        <v/>
      </c>
      <c r="L3290" s="29" t="str">
        <f aca="false">IF(A3290="","",IFERROR(1/(1/INDEX(Numéros!$C$2:$C$3001,MATCH(A3290&amp;"|"&amp;B3290,Numéros!$F$2:$F$3001,0))),""))</f>
        <v/>
      </c>
      <c r="M3290" s="27" t="str">
        <f aca="false">IF(OR(G3290="",G3290="?"),"",IFERROR(INDEX(Pubs!$D$2:$D$3001,MATCH(G3290,Pubs!$A$2:$A$3001,0))&amp;"",""))</f>
        <v/>
      </c>
      <c r="N3290" s="27" t="n">
        <f aca="false">N(N3289)+IF(AND(A3290&lt;&gt;"",OR(Recherche!$C$4="",A3290=Recherche!$C$4),OR(Recherche!$C$5="",B3290&amp;""=Recherche!$C$5&amp;""),OR(Recherche!$C$6="",IFERROR(YEAR(L3290),0)=Recherche!$C$6),OR(Recherche!$C$7="",ISNUMBER(SEARCH(Recherche!$C$7,H3290))),OR(Recherche!$C$8="",J3290=Recherche!$C$8),OR(Recherche!$C$9="",I3290=Recherche!$C$9),OR(Recherche!$C$10="",G3290&amp;""=Recherche!$C$10&amp;""),OR(Recherche!$C$11="",E3290=Recherche!$C$11),OR(Recherche!$C$12="",ISNUMBER(SEARCH(Recherche!$C$12,M3290&amp;" "&amp;F3290)))),1,0)</f>
        <v>8</v>
      </c>
    </row>
    <row r="3291" customFormat="false" ht="15" hidden="false" customHeight="false" outlineLevel="0" collapsed="false">
      <c r="A3291" s="19"/>
      <c r="B3291" s="19"/>
      <c r="C3291" s="19"/>
      <c r="D3291" s="19"/>
      <c r="E3291" s="22"/>
      <c r="F3291" s="19"/>
      <c r="G3291" s="26" t="str">
        <f aca="false">IF(D3291="","",IFERROR(VALUE(LEFT(D3291,FIND(" |",D3291&amp;" |")-1)),"?"))</f>
        <v/>
      </c>
      <c r="H3291" s="27" t="str">
        <f aca="false">IF(G3291="","",IF(G3291="?","⚠ pub inconnue",IFERROR(INDEX(Pubs!$B$2:$B$3001,MATCH(G3291,Pubs!$A$2:$A$3001,0))&amp;"","⚠ pub inconnue")))</f>
        <v/>
      </c>
      <c r="I3291" s="27" t="str">
        <f aca="false">IF(OR(G3291="",G3291="?"),"",IFERROR(INDEX(Pubs!$C$2:$C$3001,MATCH(G3291,Pubs!$A$2:$A$3001,0))&amp;"",""))</f>
        <v/>
      </c>
      <c r="J3291" s="27" t="str">
        <f aca="false">IF(OR(G3291="",G3291="?"),"",IFERROR(INDEX(Pubs!$G$2:$G$3001,MATCH(G3291,Pubs!$A$2:$A$3001,0))&amp;"",""))</f>
        <v/>
      </c>
      <c r="K3291" s="28" t="str">
        <f aca="false">IF(OR(G3291="",G3291="?"),"",IFERROR(INDEX(Pubs!$E$2:$E$3001,MATCH(G3291,Pubs!$A$2:$A$3001,0)),""))</f>
        <v/>
      </c>
      <c r="L3291" s="29" t="str">
        <f aca="false">IF(A3291="","",IFERROR(1/(1/INDEX(Numéros!$C$2:$C$3001,MATCH(A3291&amp;"|"&amp;B3291,Numéros!$F$2:$F$3001,0))),""))</f>
        <v/>
      </c>
      <c r="M3291" s="27" t="str">
        <f aca="false">IF(OR(G3291="",G3291="?"),"",IFERROR(INDEX(Pubs!$D$2:$D$3001,MATCH(G3291,Pubs!$A$2:$A$3001,0))&amp;"",""))</f>
        <v/>
      </c>
      <c r="N3291" s="27" t="n">
        <f aca="false">N(N3290)+IF(AND(A3291&lt;&gt;"",OR(Recherche!$C$4="",A3291=Recherche!$C$4),OR(Recherche!$C$5="",B3291&amp;""=Recherche!$C$5&amp;""),OR(Recherche!$C$6="",IFERROR(YEAR(L3291),0)=Recherche!$C$6),OR(Recherche!$C$7="",ISNUMBER(SEARCH(Recherche!$C$7,H3291))),OR(Recherche!$C$8="",J3291=Recherche!$C$8),OR(Recherche!$C$9="",I3291=Recherche!$C$9),OR(Recherche!$C$10="",G3291&amp;""=Recherche!$C$10&amp;""),OR(Recherche!$C$11="",E3291=Recherche!$C$11),OR(Recherche!$C$12="",ISNUMBER(SEARCH(Recherche!$C$12,M3291&amp;" "&amp;F3291)))),1,0)</f>
        <v>8</v>
      </c>
    </row>
    <row r="3292" customFormat="false" ht="15" hidden="false" customHeight="false" outlineLevel="0" collapsed="false">
      <c r="A3292" s="19"/>
      <c r="B3292" s="19"/>
      <c r="C3292" s="19"/>
      <c r="D3292" s="19"/>
      <c r="E3292" s="22"/>
      <c r="F3292" s="19"/>
      <c r="G3292" s="26" t="str">
        <f aca="false">IF(D3292="","",IFERROR(VALUE(LEFT(D3292,FIND(" |",D3292&amp;" |")-1)),"?"))</f>
        <v/>
      </c>
      <c r="H3292" s="27" t="str">
        <f aca="false">IF(G3292="","",IF(G3292="?","⚠ pub inconnue",IFERROR(INDEX(Pubs!$B$2:$B$3001,MATCH(G3292,Pubs!$A$2:$A$3001,0))&amp;"","⚠ pub inconnue")))</f>
        <v/>
      </c>
      <c r="I3292" s="27" t="str">
        <f aca="false">IF(OR(G3292="",G3292="?"),"",IFERROR(INDEX(Pubs!$C$2:$C$3001,MATCH(G3292,Pubs!$A$2:$A$3001,0))&amp;"",""))</f>
        <v/>
      </c>
      <c r="J3292" s="27" t="str">
        <f aca="false">IF(OR(G3292="",G3292="?"),"",IFERROR(INDEX(Pubs!$G$2:$G$3001,MATCH(G3292,Pubs!$A$2:$A$3001,0))&amp;"",""))</f>
        <v/>
      </c>
      <c r="K3292" s="28" t="str">
        <f aca="false">IF(OR(G3292="",G3292="?"),"",IFERROR(INDEX(Pubs!$E$2:$E$3001,MATCH(G3292,Pubs!$A$2:$A$3001,0)),""))</f>
        <v/>
      </c>
      <c r="L3292" s="29" t="str">
        <f aca="false">IF(A3292="","",IFERROR(1/(1/INDEX(Numéros!$C$2:$C$3001,MATCH(A3292&amp;"|"&amp;B3292,Numéros!$F$2:$F$3001,0))),""))</f>
        <v/>
      </c>
      <c r="M3292" s="27" t="str">
        <f aca="false">IF(OR(G3292="",G3292="?"),"",IFERROR(INDEX(Pubs!$D$2:$D$3001,MATCH(G3292,Pubs!$A$2:$A$3001,0))&amp;"",""))</f>
        <v/>
      </c>
      <c r="N3292" s="27" t="n">
        <f aca="false">N(N3291)+IF(AND(A3292&lt;&gt;"",OR(Recherche!$C$4="",A3292=Recherche!$C$4),OR(Recherche!$C$5="",B3292&amp;""=Recherche!$C$5&amp;""),OR(Recherche!$C$6="",IFERROR(YEAR(L3292),0)=Recherche!$C$6),OR(Recherche!$C$7="",ISNUMBER(SEARCH(Recherche!$C$7,H3292))),OR(Recherche!$C$8="",J3292=Recherche!$C$8),OR(Recherche!$C$9="",I3292=Recherche!$C$9),OR(Recherche!$C$10="",G3292&amp;""=Recherche!$C$10&amp;""),OR(Recherche!$C$11="",E3292=Recherche!$C$11),OR(Recherche!$C$12="",ISNUMBER(SEARCH(Recherche!$C$12,M3292&amp;" "&amp;F3292)))),1,0)</f>
        <v>8</v>
      </c>
    </row>
    <row r="3293" customFormat="false" ht="15" hidden="false" customHeight="false" outlineLevel="0" collapsed="false">
      <c r="A3293" s="19"/>
      <c r="B3293" s="19"/>
      <c r="C3293" s="19"/>
      <c r="D3293" s="19"/>
      <c r="E3293" s="22"/>
      <c r="F3293" s="19"/>
      <c r="G3293" s="26" t="str">
        <f aca="false">IF(D3293="","",IFERROR(VALUE(LEFT(D3293,FIND(" |",D3293&amp;" |")-1)),"?"))</f>
        <v/>
      </c>
      <c r="H3293" s="27" t="str">
        <f aca="false">IF(G3293="","",IF(G3293="?","⚠ pub inconnue",IFERROR(INDEX(Pubs!$B$2:$B$3001,MATCH(G3293,Pubs!$A$2:$A$3001,0))&amp;"","⚠ pub inconnue")))</f>
        <v/>
      </c>
      <c r="I3293" s="27" t="str">
        <f aca="false">IF(OR(G3293="",G3293="?"),"",IFERROR(INDEX(Pubs!$C$2:$C$3001,MATCH(G3293,Pubs!$A$2:$A$3001,0))&amp;"",""))</f>
        <v/>
      </c>
      <c r="J3293" s="27" t="str">
        <f aca="false">IF(OR(G3293="",G3293="?"),"",IFERROR(INDEX(Pubs!$G$2:$G$3001,MATCH(G3293,Pubs!$A$2:$A$3001,0))&amp;"",""))</f>
        <v/>
      </c>
      <c r="K3293" s="28" t="str">
        <f aca="false">IF(OR(G3293="",G3293="?"),"",IFERROR(INDEX(Pubs!$E$2:$E$3001,MATCH(G3293,Pubs!$A$2:$A$3001,0)),""))</f>
        <v/>
      </c>
      <c r="L3293" s="29" t="str">
        <f aca="false">IF(A3293="","",IFERROR(1/(1/INDEX(Numéros!$C$2:$C$3001,MATCH(A3293&amp;"|"&amp;B3293,Numéros!$F$2:$F$3001,0))),""))</f>
        <v/>
      </c>
      <c r="M3293" s="27" t="str">
        <f aca="false">IF(OR(G3293="",G3293="?"),"",IFERROR(INDEX(Pubs!$D$2:$D$3001,MATCH(G3293,Pubs!$A$2:$A$3001,0))&amp;"",""))</f>
        <v/>
      </c>
      <c r="N3293" s="27" t="n">
        <f aca="false">N(N3292)+IF(AND(A3293&lt;&gt;"",OR(Recherche!$C$4="",A3293=Recherche!$C$4),OR(Recherche!$C$5="",B3293&amp;""=Recherche!$C$5&amp;""),OR(Recherche!$C$6="",IFERROR(YEAR(L3293),0)=Recherche!$C$6),OR(Recherche!$C$7="",ISNUMBER(SEARCH(Recherche!$C$7,H3293))),OR(Recherche!$C$8="",J3293=Recherche!$C$8),OR(Recherche!$C$9="",I3293=Recherche!$C$9),OR(Recherche!$C$10="",G3293&amp;""=Recherche!$C$10&amp;""),OR(Recherche!$C$11="",E3293=Recherche!$C$11),OR(Recherche!$C$12="",ISNUMBER(SEARCH(Recherche!$C$12,M3293&amp;" "&amp;F3293)))),1,0)</f>
        <v>8</v>
      </c>
    </row>
    <row r="3294" customFormat="false" ht="15" hidden="false" customHeight="false" outlineLevel="0" collapsed="false">
      <c r="A3294" s="19"/>
      <c r="B3294" s="19"/>
      <c r="C3294" s="19"/>
      <c r="D3294" s="19"/>
      <c r="E3294" s="22"/>
      <c r="F3294" s="19"/>
      <c r="G3294" s="26" t="str">
        <f aca="false">IF(D3294="","",IFERROR(VALUE(LEFT(D3294,FIND(" |",D3294&amp;" |")-1)),"?"))</f>
        <v/>
      </c>
      <c r="H3294" s="27" t="str">
        <f aca="false">IF(G3294="","",IF(G3294="?","⚠ pub inconnue",IFERROR(INDEX(Pubs!$B$2:$B$3001,MATCH(G3294,Pubs!$A$2:$A$3001,0))&amp;"","⚠ pub inconnue")))</f>
        <v/>
      </c>
      <c r="I3294" s="27" t="str">
        <f aca="false">IF(OR(G3294="",G3294="?"),"",IFERROR(INDEX(Pubs!$C$2:$C$3001,MATCH(G3294,Pubs!$A$2:$A$3001,0))&amp;"",""))</f>
        <v/>
      </c>
      <c r="J3294" s="27" t="str">
        <f aca="false">IF(OR(G3294="",G3294="?"),"",IFERROR(INDEX(Pubs!$G$2:$G$3001,MATCH(G3294,Pubs!$A$2:$A$3001,0))&amp;"",""))</f>
        <v/>
      </c>
      <c r="K3294" s="28" t="str">
        <f aca="false">IF(OR(G3294="",G3294="?"),"",IFERROR(INDEX(Pubs!$E$2:$E$3001,MATCH(G3294,Pubs!$A$2:$A$3001,0)),""))</f>
        <v/>
      </c>
      <c r="L3294" s="29" t="str">
        <f aca="false">IF(A3294="","",IFERROR(1/(1/INDEX(Numéros!$C$2:$C$3001,MATCH(A3294&amp;"|"&amp;B3294,Numéros!$F$2:$F$3001,0))),""))</f>
        <v/>
      </c>
      <c r="M3294" s="27" t="str">
        <f aca="false">IF(OR(G3294="",G3294="?"),"",IFERROR(INDEX(Pubs!$D$2:$D$3001,MATCH(G3294,Pubs!$A$2:$A$3001,0))&amp;"",""))</f>
        <v/>
      </c>
      <c r="N3294" s="27" t="n">
        <f aca="false">N(N3293)+IF(AND(A3294&lt;&gt;"",OR(Recherche!$C$4="",A3294=Recherche!$C$4),OR(Recherche!$C$5="",B3294&amp;""=Recherche!$C$5&amp;""),OR(Recherche!$C$6="",IFERROR(YEAR(L3294),0)=Recherche!$C$6),OR(Recherche!$C$7="",ISNUMBER(SEARCH(Recherche!$C$7,H3294))),OR(Recherche!$C$8="",J3294=Recherche!$C$8),OR(Recherche!$C$9="",I3294=Recherche!$C$9),OR(Recherche!$C$10="",G3294&amp;""=Recherche!$C$10&amp;""),OR(Recherche!$C$11="",E3294=Recherche!$C$11),OR(Recherche!$C$12="",ISNUMBER(SEARCH(Recherche!$C$12,M3294&amp;" "&amp;F3294)))),1,0)</f>
        <v>8</v>
      </c>
    </row>
    <row r="3295" customFormat="false" ht="15" hidden="false" customHeight="false" outlineLevel="0" collapsed="false">
      <c r="A3295" s="19"/>
      <c r="B3295" s="19"/>
      <c r="C3295" s="19"/>
      <c r="D3295" s="19"/>
      <c r="E3295" s="22"/>
      <c r="F3295" s="19"/>
      <c r="G3295" s="26" t="str">
        <f aca="false">IF(D3295="","",IFERROR(VALUE(LEFT(D3295,FIND(" |",D3295&amp;" |")-1)),"?"))</f>
        <v/>
      </c>
      <c r="H3295" s="27" t="str">
        <f aca="false">IF(G3295="","",IF(G3295="?","⚠ pub inconnue",IFERROR(INDEX(Pubs!$B$2:$B$3001,MATCH(G3295,Pubs!$A$2:$A$3001,0))&amp;"","⚠ pub inconnue")))</f>
        <v/>
      </c>
      <c r="I3295" s="27" t="str">
        <f aca="false">IF(OR(G3295="",G3295="?"),"",IFERROR(INDEX(Pubs!$C$2:$C$3001,MATCH(G3295,Pubs!$A$2:$A$3001,0))&amp;"",""))</f>
        <v/>
      </c>
      <c r="J3295" s="27" t="str">
        <f aca="false">IF(OR(G3295="",G3295="?"),"",IFERROR(INDEX(Pubs!$G$2:$G$3001,MATCH(G3295,Pubs!$A$2:$A$3001,0))&amp;"",""))</f>
        <v/>
      </c>
      <c r="K3295" s="28" t="str">
        <f aca="false">IF(OR(G3295="",G3295="?"),"",IFERROR(INDEX(Pubs!$E$2:$E$3001,MATCH(G3295,Pubs!$A$2:$A$3001,0)),""))</f>
        <v/>
      </c>
      <c r="L3295" s="29" t="str">
        <f aca="false">IF(A3295="","",IFERROR(1/(1/INDEX(Numéros!$C$2:$C$3001,MATCH(A3295&amp;"|"&amp;B3295,Numéros!$F$2:$F$3001,0))),""))</f>
        <v/>
      </c>
      <c r="M3295" s="27" t="str">
        <f aca="false">IF(OR(G3295="",G3295="?"),"",IFERROR(INDEX(Pubs!$D$2:$D$3001,MATCH(G3295,Pubs!$A$2:$A$3001,0))&amp;"",""))</f>
        <v/>
      </c>
      <c r="N3295" s="27" t="n">
        <f aca="false">N(N3294)+IF(AND(A3295&lt;&gt;"",OR(Recherche!$C$4="",A3295=Recherche!$C$4),OR(Recherche!$C$5="",B3295&amp;""=Recherche!$C$5&amp;""),OR(Recherche!$C$6="",IFERROR(YEAR(L3295),0)=Recherche!$C$6),OR(Recherche!$C$7="",ISNUMBER(SEARCH(Recherche!$C$7,H3295))),OR(Recherche!$C$8="",J3295=Recherche!$C$8),OR(Recherche!$C$9="",I3295=Recherche!$C$9),OR(Recherche!$C$10="",G3295&amp;""=Recherche!$C$10&amp;""),OR(Recherche!$C$11="",E3295=Recherche!$C$11),OR(Recherche!$C$12="",ISNUMBER(SEARCH(Recherche!$C$12,M3295&amp;" "&amp;F3295)))),1,0)</f>
        <v>8</v>
      </c>
    </row>
    <row r="3296" customFormat="false" ht="15" hidden="false" customHeight="false" outlineLevel="0" collapsed="false">
      <c r="A3296" s="19"/>
      <c r="B3296" s="19"/>
      <c r="C3296" s="19"/>
      <c r="D3296" s="19"/>
      <c r="E3296" s="22"/>
      <c r="F3296" s="19"/>
      <c r="G3296" s="26" t="str">
        <f aca="false">IF(D3296="","",IFERROR(VALUE(LEFT(D3296,FIND(" |",D3296&amp;" |")-1)),"?"))</f>
        <v/>
      </c>
      <c r="H3296" s="27" t="str">
        <f aca="false">IF(G3296="","",IF(G3296="?","⚠ pub inconnue",IFERROR(INDEX(Pubs!$B$2:$B$3001,MATCH(G3296,Pubs!$A$2:$A$3001,0))&amp;"","⚠ pub inconnue")))</f>
        <v/>
      </c>
      <c r="I3296" s="27" t="str">
        <f aca="false">IF(OR(G3296="",G3296="?"),"",IFERROR(INDEX(Pubs!$C$2:$C$3001,MATCH(G3296,Pubs!$A$2:$A$3001,0))&amp;"",""))</f>
        <v/>
      </c>
      <c r="J3296" s="27" t="str">
        <f aca="false">IF(OR(G3296="",G3296="?"),"",IFERROR(INDEX(Pubs!$G$2:$G$3001,MATCH(G3296,Pubs!$A$2:$A$3001,0))&amp;"",""))</f>
        <v/>
      </c>
      <c r="K3296" s="28" t="str">
        <f aca="false">IF(OR(G3296="",G3296="?"),"",IFERROR(INDEX(Pubs!$E$2:$E$3001,MATCH(G3296,Pubs!$A$2:$A$3001,0)),""))</f>
        <v/>
      </c>
      <c r="L3296" s="29" t="str">
        <f aca="false">IF(A3296="","",IFERROR(1/(1/INDEX(Numéros!$C$2:$C$3001,MATCH(A3296&amp;"|"&amp;B3296,Numéros!$F$2:$F$3001,0))),""))</f>
        <v/>
      </c>
      <c r="M3296" s="27" t="str">
        <f aca="false">IF(OR(G3296="",G3296="?"),"",IFERROR(INDEX(Pubs!$D$2:$D$3001,MATCH(G3296,Pubs!$A$2:$A$3001,0))&amp;"",""))</f>
        <v/>
      </c>
      <c r="N3296" s="27" t="n">
        <f aca="false">N(N3295)+IF(AND(A3296&lt;&gt;"",OR(Recherche!$C$4="",A3296=Recherche!$C$4),OR(Recherche!$C$5="",B3296&amp;""=Recherche!$C$5&amp;""),OR(Recherche!$C$6="",IFERROR(YEAR(L3296),0)=Recherche!$C$6),OR(Recherche!$C$7="",ISNUMBER(SEARCH(Recherche!$C$7,H3296))),OR(Recherche!$C$8="",J3296=Recherche!$C$8),OR(Recherche!$C$9="",I3296=Recherche!$C$9),OR(Recherche!$C$10="",G3296&amp;""=Recherche!$C$10&amp;""),OR(Recherche!$C$11="",E3296=Recherche!$C$11),OR(Recherche!$C$12="",ISNUMBER(SEARCH(Recherche!$C$12,M3296&amp;" "&amp;F3296)))),1,0)</f>
        <v>8</v>
      </c>
    </row>
    <row r="3297" customFormat="false" ht="15" hidden="false" customHeight="false" outlineLevel="0" collapsed="false">
      <c r="A3297" s="19"/>
      <c r="B3297" s="19"/>
      <c r="C3297" s="19"/>
      <c r="D3297" s="19"/>
      <c r="E3297" s="22"/>
      <c r="F3297" s="19"/>
      <c r="G3297" s="26" t="str">
        <f aca="false">IF(D3297="","",IFERROR(VALUE(LEFT(D3297,FIND(" |",D3297&amp;" |")-1)),"?"))</f>
        <v/>
      </c>
      <c r="H3297" s="27" t="str">
        <f aca="false">IF(G3297="","",IF(G3297="?","⚠ pub inconnue",IFERROR(INDEX(Pubs!$B$2:$B$3001,MATCH(G3297,Pubs!$A$2:$A$3001,0))&amp;"","⚠ pub inconnue")))</f>
        <v/>
      </c>
      <c r="I3297" s="27" t="str">
        <f aca="false">IF(OR(G3297="",G3297="?"),"",IFERROR(INDEX(Pubs!$C$2:$C$3001,MATCH(G3297,Pubs!$A$2:$A$3001,0))&amp;"",""))</f>
        <v/>
      </c>
      <c r="J3297" s="27" t="str">
        <f aca="false">IF(OR(G3297="",G3297="?"),"",IFERROR(INDEX(Pubs!$G$2:$G$3001,MATCH(G3297,Pubs!$A$2:$A$3001,0))&amp;"",""))</f>
        <v/>
      </c>
      <c r="K3297" s="28" t="str">
        <f aca="false">IF(OR(G3297="",G3297="?"),"",IFERROR(INDEX(Pubs!$E$2:$E$3001,MATCH(G3297,Pubs!$A$2:$A$3001,0)),""))</f>
        <v/>
      </c>
      <c r="L3297" s="29" t="str">
        <f aca="false">IF(A3297="","",IFERROR(1/(1/INDEX(Numéros!$C$2:$C$3001,MATCH(A3297&amp;"|"&amp;B3297,Numéros!$F$2:$F$3001,0))),""))</f>
        <v/>
      </c>
      <c r="M3297" s="27" t="str">
        <f aca="false">IF(OR(G3297="",G3297="?"),"",IFERROR(INDEX(Pubs!$D$2:$D$3001,MATCH(G3297,Pubs!$A$2:$A$3001,0))&amp;"",""))</f>
        <v/>
      </c>
      <c r="N3297" s="27" t="n">
        <f aca="false">N(N3296)+IF(AND(A3297&lt;&gt;"",OR(Recherche!$C$4="",A3297=Recherche!$C$4),OR(Recherche!$C$5="",B3297&amp;""=Recherche!$C$5&amp;""),OR(Recherche!$C$6="",IFERROR(YEAR(L3297),0)=Recherche!$C$6),OR(Recherche!$C$7="",ISNUMBER(SEARCH(Recherche!$C$7,H3297))),OR(Recherche!$C$8="",J3297=Recherche!$C$8),OR(Recherche!$C$9="",I3297=Recherche!$C$9),OR(Recherche!$C$10="",G3297&amp;""=Recherche!$C$10&amp;""),OR(Recherche!$C$11="",E3297=Recherche!$C$11),OR(Recherche!$C$12="",ISNUMBER(SEARCH(Recherche!$C$12,M3297&amp;" "&amp;F3297)))),1,0)</f>
        <v>8</v>
      </c>
    </row>
    <row r="3298" customFormat="false" ht="15" hidden="false" customHeight="false" outlineLevel="0" collapsed="false">
      <c r="A3298" s="19"/>
      <c r="B3298" s="19"/>
      <c r="C3298" s="19"/>
      <c r="D3298" s="19"/>
      <c r="E3298" s="22"/>
      <c r="F3298" s="19"/>
      <c r="G3298" s="26" t="str">
        <f aca="false">IF(D3298="","",IFERROR(VALUE(LEFT(D3298,FIND(" |",D3298&amp;" |")-1)),"?"))</f>
        <v/>
      </c>
      <c r="H3298" s="27" t="str">
        <f aca="false">IF(G3298="","",IF(G3298="?","⚠ pub inconnue",IFERROR(INDEX(Pubs!$B$2:$B$3001,MATCH(G3298,Pubs!$A$2:$A$3001,0))&amp;"","⚠ pub inconnue")))</f>
        <v/>
      </c>
      <c r="I3298" s="27" t="str">
        <f aca="false">IF(OR(G3298="",G3298="?"),"",IFERROR(INDEX(Pubs!$C$2:$C$3001,MATCH(G3298,Pubs!$A$2:$A$3001,0))&amp;"",""))</f>
        <v/>
      </c>
      <c r="J3298" s="27" t="str">
        <f aca="false">IF(OR(G3298="",G3298="?"),"",IFERROR(INDEX(Pubs!$G$2:$G$3001,MATCH(G3298,Pubs!$A$2:$A$3001,0))&amp;"",""))</f>
        <v/>
      </c>
      <c r="K3298" s="28" t="str">
        <f aca="false">IF(OR(G3298="",G3298="?"),"",IFERROR(INDEX(Pubs!$E$2:$E$3001,MATCH(G3298,Pubs!$A$2:$A$3001,0)),""))</f>
        <v/>
      </c>
      <c r="L3298" s="29" t="str">
        <f aca="false">IF(A3298="","",IFERROR(1/(1/INDEX(Numéros!$C$2:$C$3001,MATCH(A3298&amp;"|"&amp;B3298,Numéros!$F$2:$F$3001,0))),""))</f>
        <v/>
      </c>
      <c r="M3298" s="27" t="str">
        <f aca="false">IF(OR(G3298="",G3298="?"),"",IFERROR(INDEX(Pubs!$D$2:$D$3001,MATCH(G3298,Pubs!$A$2:$A$3001,0))&amp;"",""))</f>
        <v/>
      </c>
      <c r="N3298" s="27" t="n">
        <f aca="false">N(N3297)+IF(AND(A3298&lt;&gt;"",OR(Recherche!$C$4="",A3298=Recherche!$C$4),OR(Recherche!$C$5="",B3298&amp;""=Recherche!$C$5&amp;""),OR(Recherche!$C$6="",IFERROR(YEAR(L3298),0)=Recherche!$C$6),OR(Recherche!$C$7="",ISNUMBER(SEARCH(Recherche!$C$7,H3298))),OR(Recherche!$C$8="",J3298=Recherche!$C$8),OR(Recherche!$C$9="",I3298=Recherche!$C$9),OR(Recherche!$C$10="",G3298&amp;""=Recherche!$C$10&amp;""),OR(Recherche!$C$11="",E3298=Recherche!$C$11),OR(Recherche!$C$12="",ISNUMBER(SEARCH(Recherche!$C$12,M3298&amp;" "&amp;F3298)))),1,0)</f>
        <v>8</v>
      </c>
    </row>
    <row r="3299" customFormat="false" ht="15" hidden="false" customHeight="false" outlineLevel="0" collapsed="false">
      <c r="A3299" s="19"/>
      <c r="B3299" s="19"/>
      <c r="C3299" s="19"/>
      <c r="D3299" s="19"/>
      <c r="E3299" s="22"/>
      <c r="F3299" s="19"/>
      <c r="G3299" s="26" t="str">
        <f aca="false">IF(D3299="","",IFERROR(VALUE(LEFT(D3299,FIND(" |",D3299&amp;" |")-1)),"?"))</f>
        <v/>
      </c>
      <c r="H3299" s="27" t="str">
        <f aca="false">IF(G3299="","",IF(G3299="?","⚠ pub inconnue",IFERROR(INDEX(Pubs!$B$2:$B$3001,MATCH(G3299,Pubs!$A$2:$A$3001,0))&amp;"","⚠ pub inconnue")))</f>
        <v/>
      </c>
      <c r="I3299" s="27" t="str">
        <f aca="false">IF(OR(G3299="",G3299="?"),"",IFERROR(INDEX(Pubs!$C$2:$C$3001,MATCH(G3299,Pubs!$A$2:$A$3001,0))&amp;"",""))</f>
        <v/>
      </c>
      <c r="J3299" s="27" t="str">
        <f aca="false">IF(OR(G3299="",G3299="?"),"",IFERROR(INDEX(Pubs!$G$2:$G$3001,MATCH(G3299,Pubs!$A$2:$A$3001,0))&amp;"",""))</f>
        <v/>
      </c>
      <c r="K3299" s="28" t="str">
        <f aca="false">IF(OR(G3299="",G3299="?"),"",IFERROR(INDEX(Pubs!$E$2:$E$3001,MATCH(G3299,Pubs!$A$2:$A$3001,0)),""))</f>
        <v/>
      </c>
      <c r="L3299" s="29" t="str">
        <f aca="false">IF(A3299="","",IFERROR(1/(1/INDEX(Numéros!$C$2:$C$3001,MATCH(A3299&amp;"|"&amp;B3299,Numéros!$F$2:$F$3001,0))),""))</f>
        <v/>
      </c>
      <c r="M3299" s="27" t="str">
        <f aca="false">IF(OR(G3299="",G3299="?"),"",IFERROR(INDEX(Pubs!$D$2:$D$3001,MATCH(G3299,Pubs!$A$2:$A$3001,0))&amp;"",""))</f>
        <v/>
      </c>
      <c r="N3299" s="27" t="n">
        <f aca="false">N(N3298)+IF(AND(A3299&lt;&gt;"",OR(Recherche!$C$4="",A3299=Recherche!$C$4),OR(Recherche!$C$5="",B3299&amp;""=Recherche!$C$5&amp;""),OR(Recherche!$C$6="",IFERROR(YEAR(L3299),0)=Recherche!$C$6),OR(Recherche!$C$7="",ISNUMBER(SEARCH(Recherche!$C$7,H3299))),OR(Recherche!$C$8="",J3299=Recherche!$C$8),OR(Recherche!$C$9="",I3299=Recherche!$C$9),OR(Recherche!$C$10="",G3299&amp;""=Recherche!$C$10&amp;""),OR(Recherche!$C$11="",E3299=Recherche!$C$11),OR(Recherche!$C$12="",ISNUMBER(SEARCH(Recherche!$C$12,M3299&amp;" "&amp;F3299)))),1,0)</f>
        <v>8</v>
      </c>
    </row>
    <row r="3300" customFormat="false" ht="15" hidden="false" customHeight="false" outlineLevel="0" collapsed="false">
      <c r="A3300" s="19"/>
      <c r="B3300" s="19"/>
      <c r="C3300" s="19"/>
      <c r="D3300" s="19"/>
      <c r="E3300" s="22"/>
      <c r="F3300" s="19"/>
      <c r="G3300" s="26" t="str">
        <f aca="false">IF(D3300="","",IFERROR(VALUE(LEFT(D3300,FIND(" |",D3300&amp;" |")-1)),"?"))</f>
        <v/>
      </c>
      <c r="H3300" s="27" t="str">
        <f aca="false">IF(G3300="","",IF(G3300="?","⚠ pub inconnue",IFERROR(INDEX(Pubs!$B$2:$B$3001,MATCH(G3300,Pubs!$A$2:$A$3001,0))&amp;"","⚠ pub inconnue")))</f>
        <v/>
      </c>
      <c r="I3300" s="27" t="str">
        <f aca="false">IF(OR(G3300="",G3300="?"),"",IFERROR(INDEX(Pubs!$C$2:$C$3001,MATCH(G3300,Pubs!$A$2:$A$3001,0))&amp;"",""))</f>
        <v/>
      </c>
      <c r="J3300" s="27" t="str">
        <f aca="false">IF(OR(G3300="",G3300="?"),"",IFERROR(INDEX(Pubs!$G$2:$G$3001,MATCH(G3300,Pubs!$A$2:$A$3001,0))&amp;"",""))</f>
        <v/>
      </c>
      <c r="K3300" s="28" t="str">
        <f aca="false">IF(OR(G3300="",G3300="?"),"",IFERROR(INDEX(Pubs!$E$2:$E$3001,MATCH(G3300,Pubs!$A$2:$A$3001,0)),""))</f>
        <v/>
      </c>
      <c r="L3300" s="29" t="str">
        <f aca="false">IF(A3300="","",IFERROR(1/(1/INDEX(Numéros!$C$2:$C$3001,MATCH(A3300&amp;"|"&amp;B3300,Numéros!$F$2:$F$3001,0))),""))</f>
        <v/>
      </c>
      <c r="M3300" s="27" t="str">
        <f aca="false">IF(OR(G3300="",G3300="?"),"",IFERROR(INDEX(Pubs!$D$2:$D$3001,MATCH(G3300,Pubs!$A$2:$A$3001,0))&amp;"",""))</f>
        <v/>
      </c>
      <c r="N3300" s="27" t="n">
        <f aca="false">N(N3299)+IF(AND(A3300&lt;&gt;"",OR(Recherche!$C$4="",A3300=Recherche!$C$4),OR(Recherche!$C$5="",B3300&amp;""=Recherche!$C$5&amp;""),OR(Recherche!$C$6="",IFERROR(YEAR(L3300),0)=Recherche!$C$6),OR(Recherche!$C$7="",ISNUMBER(SEARCH(Recherche!$C$7,H3300))),OR(Recherche!$C$8="",J3300=Recherche!$C$8),OR(Recherche!$C$9="",I3300=Recherche!$C$9),OR(Recherche!$C$10="",G3300&amp;""=Recherche!$C$10&amp;""),OR(Recherche!$C$11="",E3300=Recherche!$C$11),OR(Recherche!$C$12="",ISNUMBER(SEARCH(Recherche!$C$12,M3300&amp;" "&amp;F3300)))),1,0)</f>
        <v>8</v>
      </c>
    </row>
    <row r="3301" customFormat="false" ht="15" hidden="false" customHeight="false" outlineLevel="0" collapsed="false">
      <c r="A3301" s="19"/>
      <c r="B3301" s="19"/>
      <c r="C3301" s="19"/>
      <c r="D3301" s="19"/>
      <c r="E3301" s="22"/>
      <c r="F3301" s="19"/>
      <c r="G3301" s="26" t="str">
        <f aca="false">IF(D3301="","",IFERROR(VALUE(LEFT(D3301,FIND(" |",D3301&amp;" |")-1)),"?"))</f>
        <v/>
      </c>
      <c r="H3301" s="27" t="str">
        <f aca="false">IF(G3301="","",IF(G3301="?","⚠ pub inconnue",IFERROR(INDEX(Pubs!$B$2:$B$3001,MATCH(G3301,Pubs!$A$2:$A$3001,0))&amp;"","⚠ pub inconnue")))</f>
        <v/>
      </c>
      <c r="I3301" s="27" t="str">
        <f aca="false">IF(OR(G3301="",G3301="?"),"",IFERROR(INDEX(Pubs!$C$2:$C$3001,MATCH(G3301,Pubs!$A$2:$A$3001,0))&amp;"",""))</f>
        <v/>
      </c>
      <c r="J3301" s="27" t="str">
        <f aca="false">IF(OR(G3301="",G3301="?"),"",IFERROR(INDEX(Pubs!$G$2:$G$3001,MATCH(G3301,Pubs!$A$2:$A$3001,0))&amp;"",""))</f>
        <v/>
      </c>
      <c r="K3301" s="28" t="str">
        <f aca="false">IF(OR(G3301="",G3301="?"),"",IFERROR(INDEX(Pubs!$E$2:$E$3001,MATCH(G3301,Pubs!$A$2:$A$3001,0)),""))</f>
        <v/>
      </c>
      <c r="L3301" s="29" t="str">
        <f aca="false">IF(A3301="","",IFERROR(1/(1/INDEX(Numéros!$C$2:$C$3001,MATCH(A3301&amp;"|"&amp;B3301,Numéros!$F$2:$F$3001,0))),""))</f>
        <v/>
      </c>
      <c r="M3301" s="27" t="str">
        <f aca="false">IF(OR(G3301="",G3301="?"),"",IFERROR(INDEX(Pubs!$D$2:$D$3001,MATCH(G3301,Pubs!$A$2:$A$3001,0))&amp;"",""))</f>
        <v/>
      </c>
      <c r="N3301" s="27" t="n">
        <f aca="false">N(N3300)+IF(AND(A3301&lt;&gt;"",OR(Recherche!$C$4="",A3301=Recherche!$C$4),OR(Recherche!$C$5="",B3301&amp;""=Recherche!$C$5&amp;""),OR(Recherche!$C$6="",IFERROR(YEAR(L3301),0)=Recherche!$C$6),OR(Recherche!$C$7="",ISNUMBER(SEARCH(Recherche!$C$7,H3301))),OR(Recherche!$C$8="",J3301=Recherche!$C$8),OR(Recherche!$C$9="",I3301=Recherche!$C$9),OR(Recherche!$C$10="",G3301&amp;""=Recherche!$C$10&amp;""),OR(Recherche!$C$11="",E3301=Recherche!$C$11),OR(Recherche!$C$12="",ISNUMBER(SEARCH(Recherche!$C$12,M3301&amp;" "&amp;F3301)))),1,0)</f>
        <v>8</v>
      </c>
    </row>
    <row r="3302" customFormat="false" ht="15" hidden="false" customHeight="false" outlineLevel="0" collapsed="false">
      <c r="A3302" s="19"/>
      <c r="B3302" s="19"/>
      <c r="C3302" s="19"/>
      <c r="D3302" s="19"/>
      <c r="E3302" s="22"/>
      <c r="F3302" s="19"/>
      <c r="G3302" s="26" t="str">
        <f aca="false">IF(D3302="","",IFERROR(VALUE(LEFT(D3302,FIND(" |",D3302&amp;" |")-1)),"?"))</f>
        <v/>
      </c>
      <c r="H3302" s="27" t="str">
        <f aca="false">IF(G3302="","",IF(G3302="?","⚠ pub inconnue",IFERROR(INDEX(Pubs!$B$2:$B$3001,MATCH(G3302,Pubs!$A$2:$A$3001,0))&amp;"","⚠ pub inconnue")))</f>
        <v/>
      </c>
      <c r="I3302" s="27" t="str">
        <f aca="false">IF(OR(G3302="",G3302="?"),"",IFERROR(INDEX(Pubs!$C$2:$C$3001,MATCH(G3302,Pubs!$A$2:$A$3001,0))&amp;"",""))</f>
        <v/>
      </c>
      <c r="J3302" s="27" t="str">
        <f aca="false">IF(OR(G3302="",G3302="?"),"",IFERROR(INDEX(Pubs!$G$2:$G$3001,MATCH(G3302,Pubs!$A$2:$A$3001,0))&amp;"",""))</f>
        <v/>
      </c>
      <c r="K3302" s="28" t="str">
        <f aca="false">IF(OR(G3302="",G3302="?"),"",IFERROR(INDEX(Pubs!$E$2:$E$3001,MATCH(G3302,Pubs!$A$2:$A$3001,0)),""))</f>
        <v/>
      </c>
      <c r="L3302" s="29" t="str">
        <f aca="false">IF(A3302="","",IFERROR(1/(1/INDEX(Numéros!$C$2:$C$3001,MATCH(A3302&amp;"|"&amp;B3302,Numéros!$F$2:$F$3001,0))),""))</f>
        <v/>
      </c>
      <c r="M3302" s="27" t="str">
        <f aca="false">IF(OR(G3302="",G3302="?"),"",IFERROR(INDEX(Pubs!$D$2:$D$3001,MATCH(G3302,Pubs!$A$2:$A$3001,0))&amp;"",""))</f>
        <v/>
      </c>
      <c r="N3302" s="27" t="n">
        <f aca="false">N(N3301)+IF(AND(A3302&lt;&gt;"",OR(Recherche!$C$4="",A3302=Recherche!$C$4),OR(Recherche!$C$5="",B3302&amp;""=Recherche!$C$5&amp;""),OR(Recherche!$C$6="",IFERROR(YEAR(L3302),0)=Recherche!$C$6),OR(Recherche!$C$7="",ISNUMBER(SEARCH(Recherche!$C$7,H3302))),OR(Recherche!$C$8="",J3302=Recherche!$C$8),OR(Recherche!$C$9="",I3302=Recherche!$C$9),OR(Recherche!$C$10="",G3302&amp;""=Recherche!$C$10&amp;""),OR(Recherche!$C$11="",E3302=Recherche!$C$11),OR(Recherche!$C$12="",ISNUMBER(SEARCH(Recherche!$C$12,M3302&amp;" "&amp;F3302)))),1,0)</f>
        <v>8</v>
      </c>
    </row>
    <row r="3303" customFormat="false" ht="15" hidden="false" customHeight="false" outlineLevel="0" collapsed="false">
      <c r="A3303" s="19"/>
      <c r="B3303" s="19"/>
      <c r="C3303" s="19"/>
      <c r="D3303" s="19"/>
      <c r="E3303" s="22"/>
      <c r="F3303" s="19"/>
      <c r="G3303" s="26" t="str">
        <f aca="false">IF(D3303="","",IFERROR(VALUE(LEFT(D3303,FIND(" |",D3303&amp;" |")-1)),"?"))</f>
        <v/>
      </c>
      <c r="H3303" s="27" t="str">
        <f aca="false">IF(G3303="","",IF(G3303="?","⚠ pub inconnue",IFERROR(INDEX(Pubs!$B$2:$B$3001,MATCH(G3303,Pubs!$A$2:$A$3001,0))&amp;"","⚠ pub inconnue")))</f>
        <v/>
      </c>
      <c r="I3303" s="27" t="str">
        <f aca="false">IF(OR(G3303="",G3303="?"),"",IFERROR(INDEX(Pubs!$C$2:$C$3001,MATCH(G3303,Pubs!$A$2:$A$3001,0))&amp;"",""))</f>
        <v/>
      </c>
      <c r="J3303" s="27" t="str">
        <f aca="false">IF(OR(G3303="",G3303="?"),"",IFERROR(INDEX(Pubs!$G$2:$G$3001,MATCH(G3303,Pubs!$A$2:$A$3001,0))&amp;"",""))</f>
        <v/>
      </c>
      <c r="K3303" s="28" t="str">
        <f aca="false">IF(OR(G3303="",G3303="?"),"",IFERROR(INDEX(Pubs!$E$2:$E$3001,MATCH(G3303,Pubs!$A$2:$A$3001,0)),""))</f>
        <v/>
      </c>
      <c r="L3303" s="29" t="str">
        <f aca="false">IF(A3303="","",IFERROR(1/(1/INDEX(Numéros!$C$2:$C$3001,MATCH(A3303&amp;"|"&amp;B3303,Numéros!$F$2:$F$3001,0))),""))</f>
        <v/>
      </c>
      <c r="M3303" s="27" t="str">
        <f aca="false">IF(OR(G3303="",G3303="?"),"",IFERROR(INDEX(Pubs!$D$2:$D$3001,MATCH(G3303,Pubs!$A$2:$A$3001,0))&amp;"",""))</f>
        <v/>
      </c>
      <c r="N3303" s="27" t="n">
        <f aca="false">N(N3302)+IF(AND(A3303&lt;&gt;"",OR(Recherche!$C$4="",A3303=Recherche!$C$4),OR(Recherche!$C$5="",B3303&amp;""=Recherche!$C$5&amp;""),OR(Recherche!$C$6="",IFERROR(YEAR(L3303),0)=Recherche!$C$6),OR(Recherche!$C$7="",ISNUMBER(SEARCH(Recherche!$C$7,H3303))),OR(Recherche!$C$8="",J3303=Recherche!$C$8),OR(Recherche!$C$9="",I3303=Recherche!$C$9),OR(Recherche!$C$10="",G3303&amp;""=Recherche!$C$10&amp;""),OR(Recherche!$C$11="",E3303=Recherche!$C$11),OR(Recherche!$C$12="",ISNUMBER(SEARCH(Recherche!$C$12,M3303&amp;" "&amp;F3303)))),1,0)</f>
        <v>8</v>
      </c>
    </row>
    <row r="3304" customFormat="false" ht="15" hidden="false" customHeight="false" outlineLevel="0" collapsed="false">
      <c r="A3304" s="19"/>
      <c r="B3304" s="19"/>
      <c r="C3304" s="19"/>
      <c r="D3304" s="19"/>
      <c r="E3304" s="22"/>
      <c r="F3304" s="19"/>
      <c r="G3304" s="26" t="str">
        <f aca="false">IF(D3304="","",IFERROR(VALUE(LEFT(D3304,FIND(" |",D3304&amp;" |")-1)),"?"))</f>
        <v/>
      </c>
      <c r="H3304" s="27" t="str">
        <f aca="false">IF(G3304="","",IF(G3304="?","⚠ pub inconnue",IFERROR(INDEX(Pubs!$B$2:$B$3001,MATCH(G3304,Pubs!$A$2:$A$3001,0))&amp;"","⚠ pub inconnue")))</f>
        <v/>
      </c>
      <c r="I3304" s="27" t="str">
        <f aca="false">IF(OR(G3304="",G3304="?"),"",IFERROR(INDEX(Pubs!$C$2:$C$3001,MATCH(G3304,Pubs!$A$2:$A$3001,0))&amp;"",""))</f>
        <v/>
      </c>
      <c r="J3304" s="27" t="str">
        <f aca="false">IF(OR(G3304="",G3304="?"),"",IFERROR(INDEX(Pubs!$G$2:$G$3001,MATCH(G3304,Pubs!$A$2:$A$3001,0))&amp;"",""))</f>
        <v/>
      </c>
      <c r="K3304" s="28" t="str">
        <f aca="false">IF(OR(G3304="",G3304="?"),"",IFERROR(INDEX(Pubs!$E$2:$E$3001,MATCH(G3304,Pubs!$A$2:$A$3001,0)),""))</f>
        <v/>
      </c>
      <c r="L3304" s="29" t="str">
        <f aca="false">IF(A3304="","",IFERROR(1/(1/INDEX(Numéros!$C$2:$C$3001,MATCH(A3304&amp;"|"&amp;B3304,Numéros!$F$2:$F$3001,0))),""))</f>
        <v/>
      </c>
      <c r="M3304" s="27" t="str">
        <f aca="false">IF(OR(G3304="",G3304="?"),"",IFERROR(INDEX(Pubs!$D$2:$D$3001,MATCH(G3304,Pubs!$A$2:$A$3001,0))&amp;"",""))</f>
        <v/>
      </c>
      <c r="N3304" s="27" t="n">
        <f aca="false">N(N3303)+IF(AND(A3304&lt;&gt;"",OR(Recherche!$C$4="",A3304=Recherche!$C$4),OR(Recherche!$C$5="",B3304&amp;""=Recherche!$C$5&amp;""),OR(Recherche!$C$6="",IFERROR(YEAR(L3304),0)=Recherche!$C$6),OR(Recherche!$C$7="",ISNUMBER(SEARCH(Recherche!$C$7,H3304))),OR(Recherche!$C$8="",J3304=Recherche!$C$8),OR(Recherche!$C$9="",I3304=Recherche!$C$9),OR(Recherche!$C$10="",G3304&amp;""=Recherche!$C$10&amp;""),OR(Recherche!$C$11="",E3304=Recherche!$C$11),OR(Recherche!$C$12="",ISNUMBER(SEARCH(Recherche!$C$12,M3304&amp;" "&amp;F3304)))),1,0)</f>
        <v>8</v>
      </c>
    </row>
    <row r="3305" customFormat="false" ht="15" hidden="false" customHeight="false" outlineLevel="0" collapsed="false">
      <c r="A3305" s="19"/>
      <c r="B3305" s="19"/>
      <c r="C3305" s="19"/>
      <c r="D3305" s="19"/>
      <c r="E3305" s="22"/>
      <c r="F3305" s="19"/>
      <c r="G3305" s="26" t="str">
        <f aca="false">IF(D3305="","",IFERROR(VALUE(LEFT(D3305,FIND(" |",D3305&amp;" |")-1)),"?"))</f>
        <v/>
      </c>
      <c r="H3305" s="27" t="str">
        <f aca="false">IF(G3305="","",IF(G3305="?","⚠ pub inconnue",IFERROR(INDEX(Pubs!$B$2:$B$3001,MATCH(G3305,Pubs!$A$2:$A$3001,0))&amp;"","⚠ pub inconnue")))</f>
        <v/>
      </c>
      <c r="I3305" s="27" t="str">
        <f aca="false">IF(OR(G3305="",G3305="?"),"",IFERROR(INDEX(Pubs!$C$2:$C$3001,MATCH(G3305,Pubs!$A$2:$A$3001,0))&amp;"",""))</f>
        <v/>
      </c>
      <c r="J3305" s="27" t="str">
        <f aca="false">IF(OR(G3305="",G3305="?"),"",IFERROR(INDEX(Pubs!$G$2:$G$3001,MATCH(G3305,Pubs!$A$2:$A$3001,0))&amp;"",""))</f>
        <v/>
      </c>
      <c r="K3305" s="28" t="str">
        <f aca="false">IF(OR(G3305="",G3305="?"),"",IFERROR(INDEX(Pubs!$E$2:$E$3001,MATCH(G3305,Pubs!$A$2:$A$3001,0)),""))</f>
        <v/>
      </c>
      <c r="L3305" s="29" t="str">
        <f aca="false">IF(A3305="","",IFERROR(1/(1/INDEX(Numéros!$C$2:$C$3001,MATCH(A3305&amp;"|"&amp;B3305,Numéros!$F$2:$F$3001,0))),""))</f>
        <v/>
      </c>
      <c r="M3305" s="27" t="str">
        <f aca="false">IF(OR(G3305="",G3305="?"),"",IFERROR(INDEX(Pubs!$D$2:$D$3001,MATCH(G3305,Pubs!$A$2:$A$3001,0))&amp;"",""))</f>
        <v/>
      </c>
      <c r="N3305" s="27" t="n">
        <f aca="false">N(N3304)+IF(AND(A3305&lt;&gt;"",OR(Recherche!$C$4="",A3305=Recherche!$C$4),OR(Recherche!$C$5="",B3305&amp;""=Recherche!$C$5&amp;""),OR(Recherche!$C$6="",IFERROR(YEAR(L3305),0)=Recherche!$C$6),OR(Recherche!$C$7="",ISNUMBER(SEARCH(Recherche!$C$7,H3305))),OR(Recherche!$C$8="",J3305=Recherche!$C$8),OR(Recherche!$C$9="",I3305=Recherche!$C$9),OR(Recherche!$C$10="",G3305&amp;""=Recherche!$C$10&amp;""),OR(Recherche!$C$11="",E3305=Recherche!$C$11),OR(Recherche!$C$12="",ISNUMBER(SEARCH(Recherche!$C$12,M3305&amp;" "&amp;F3305)))),1,0)</f>
        <v>8</v>
      </c>
    </row>
    <row r="3306" customFormat="false" ht="15" hidden="false" customHeight="false" outlineLevel="0" collapsed="false">
      <c r="A3306" s="19"/>
      <c r="B3306" s="19"/>
      <c r="C3306" s="19"/>
      <c r="D3306" s="19"/>
      <c r="E3306" s="22"/>
      <c r="F3306" s="19"/>
      <c r="G3306" s="26" t="str">
        <f aca="false">IF(D3306="","",IFERROR(VALUE(LEFT(D3306,FIND(" |",D3306&amp;" |")-1)),"?"))</f>
        <v/>
      </c>
      <c r="H3306" s="27" t="str">
        <f aca="false">IF(G3306="","",IF(G3306="?","⚠ pub inconnue",IFERROR(INDEX(Pubs!$B$2:$B$3001,MATCH(G3306,Pubs!$A$2:$A$3001,0))&amp;"","⚠ pub inconnue")))</f>
        <v/>
      </c>
      <c r="I3306" s="27" t="str">
        <f aca="false">IF(OR(G3306="",G3306="?"),"",IFERROR(INDEX(Pubs!$C$2:$C$3001,MATCH(G3306,Pubs!$A$2:$A$3001,0))&amp;"",""))</f>
        <v/>
      </c>
      <c r="J3306" s="27" t="str">
        <f aca="false">IF(OR(G3306="",G3306="?"),"",IFERROR(INDEX(Pubs!$G$2:$G$3001,MATCH(G3306,Pubs!$A$2:$A$3001,0))&amp;"",""))</f>
        <v/>
      </c>
      <c r="K3306" s="28" t="str">
        <f aca="false">IF(OR(G3306="",G3306="?"),"",IFERROR(INDEX(Pubs!$E$2:$E$3001,MATCH(G3306,Pubs!$A$2:$A$3001,0)),""))</f>
        <v/>
      </c>
      <c r="L3306" s="29" t="str">
        <f aca="false">IF(A3306="","",IFERROR(1/(1/INDEX(Numéros!$C$2:$C$3001,MATCH(A3306&amp;"|"&amp;B3306,Numéros!$F$2:$F$3001,0))),""))</f>
        <v/>
      </c>
      <c r="M3306" s="27" t="str">
        <f aca="false">IF(OR(G3306="",G3306="?"),"",IFERROR(INDEX(Pubs!$D$2:$D$3001,MATCH(G3306,Pubs!$A$2:$A$3001,0))&amp;"",""))</f>
        <v/>
      </c>
      <c r="N3306" s="27" t="n">
        <f aca="false">N(N3305)+IF(AND(A3306&lt;&gt;"",OR(Recherche!$C$4="",A3306=Recherche!$C$4),OR(Recherche!$C$5="",B3306&amp;""=Recherche!$C$5&amp;""),OR(Recherche!$C$6="",IFERROR(YEAR(L3306),0)=Recherche!$C$6),OR(Recherche!$C$7="",ISNUMBER(SEARCH(Recherche!$C$7,H3306))),OR(Recherche!$C$8="",J3306=Recherche!$C$8),OR(Recherche!$C$9="",I3306=Recherche!$C$9),OR(Recherche!$C$10="",G3306&amp;""=Recherche!$C$10&amp;""),OR(Recherche!$C$11="",E3306=Recherche!$C$11),OR(Recherche!$C$12="",ISNUMBER(SEARCH(Recherche!$C$12,M3306&amp;" "&amp;F3306)))),1,0)</f>
        <v>8</v>
      </c>
    </row>
    <row r="3307" customFormat="false" ht="15" hidden="false" customHeight="false" outlineLevel="0" collapsed="false">
      <c r="A3307" s="19"/>
      <c r="B3307" s="19"/>
      <c r="C3307" s="19"/>
      <c r="D3307" s="19"/>
      <c r="E3307" s="22"/>
      <c r="F3307" s="19"/>
      <c r="G3307" s="26" t="str">
        <f aca="false">IF(D3307="","",IFERROR(VALUE(LEFT(D3307,FIND(" |",D3307&amp;" |")-1)),"?"))</f>
        <v/>
      </c>
      <c r="H3307" s="27" t="str">
        <f aca="false">IF(G3307="","",IF(G3307="?","⚠ pub inconnue",IFERROR(INDEX(Pubs!$B$2:$B$3001,MATCH(G3307,Pubs!$A$2:$A$3001,0))&amp;"","⚠ pub inconnue")))</f>
        <v/>
      </c>
      <c r="I3307" s="27" t="str">
        <f aca="false">IF(OR(G3307="",G3307="?"),"",IFERROR(INDEX(Pubs!$C$2:$C$3001,MATCH(G3307,Pubs!$A$2:$A$3001,0))&amp;"",""))</f>
        <v/>
      </c>
      <c r="J3307" s="27" t="str">
        <f aca="false">IF(OR(G3307="",G3307="?"),"",IFERROR(INDEX(Pubs!$G$2:$G$3001,MATCH(G3307,Pubs!$A$2:$A$3001,0))&amp;"",""))</f>
        <v/>
      </c>
      <c r="K3307" s="28" t="str">
        <f aca="false">IF(OR(G3307="",G3307="?"),"",IFERROR(INDEX(Pubs!$E$2:$E$3001,MATCH(G3307,Pubs!$A$2:$A$3001,0)),""))</f>
        <v/>
      </c>
      <c r="L3307" s="29" t="str">
        <f aca="false">IF(A3307="","",IFERROR(1/(1/INDEX(Numéros!$C$2:$C$3001,MATCH(A3307&amp;"|"&amp;B3307,Numéros!$F$2:$F$3001,0))),""))</f>
        <v/>
      </c>
      <c r="M3307" s="27" t="str">
        <f aca="false">IF(OR(G3307="",G3307="?"),"",IFERROR(INDEX(Pubs!$D$2:$D$3001,MATCH(G3307,Pubs!$A$2:$A$3001,0))&amp;"",""))</f>
        <v/>
      </c>
      <c r="N3307" s="27" t="n">
        <f aca="false">N(N3306)+IF(AND(A3307&lt;&gt;"",OR(Recherche!$C$4="",A3307=Recherche!$C$4),OR(Recherche!$C$5="",B3307&amp;""=Recherche!$C$5&amp;""),OR(Recherche!$C$6="",IFERROR(YEAR(L3307),0)=Recherche!$C$6),OR(Recherche!$C$7="",ISNUMBER(SEARCH(Recherche!$C$7,H3307))),OR(Recherche!$C$8="",J3307=Recherche!$C$8),OR(Recherche!$C$9="",I3307=Recherche!$C$9),OR(Recherche!$C$10="",G3307&amp;""=Recherche!$C$10&amp;""),OR(Recherche!$C$11="",E3307=Recherche!$C$11),OR(Recherche!$C$12="",ISNUMBER(SEARCH(Recherche!$C$12,M3307&amp;" "&amp;F3307)))),1,0)</f>
        <v>8</v>
      </c>
    </row>
    <row r="3308" customFormat="false" ht="15" hidden="false" customHeight="false" outlineLevel="0" collapsed="false">
      <c r="A3308" s="19"/>
      <c r="B3308" s="19"/>
      <c r="C3308" s="19"/>
      <c r="D3308" s="19"/>
      <c r="E3308" s="22"/>
      <c r="F3308" s="19"/>
      <c r="G3308" s="26" t="str">
        <f aca="false">IF(D3308="","",IFERROR(VALUE(LEFT(D3308,FIND(" |",D3308&amp;" |")-1)),"?"))</f>
        <v/>
      </c>
      <c r="H3308" s="27" t="str">
        <f aca="false">IF(G3308="","",IF(G3308="?","⚠ pub inconnue",IFERROR(INDEX(Pubs!$B$2:$B$3001,MATCH(G3308,Pubs!$A$2:$A$3001,0))&amp;"","⚠ pub inconnue")))</f>
        <v/>
      </c>
      <c r="I3308" s="27" t="str">
        <f aca="false">IF(OR(G3308="",G3308="?"),"",IFERROR(INDEX(Pubs!$C$2:$C$3001,MATCH(G3308,Pubs!$A$2:$A$3001,0))&amp;"",""))</f>
        <v/>
      </c>
      <c r="J3308" s="27" t="str">
        <f aca="false">IF(OR(G3308="",G3308="?"),"",IFERROR(INDEX(Pubs!$G$2:$G$3001,MATCH(G3308,Pubs!$A$2:$A$3001,0))&amp;"",""))</f>
        <v/>
      </c>
      <c r="K3308" s="28" t="str">
        <f aca="false">IF(OR(G3308="",G3308="?"),"",IFERROR(INDEX(Pubs!$E$2:$E$3001,MATCH(G3308,Pubs!$A$2:$A$3001,0)),""))</f>
        <v/>
      </c>
      <c r="L3308" s="29" t="str">
        <f aca="false">IF(A3308="","",IFERROR(1/(1/INDEX(Numéros!$C$2:$C$3001,MATCH(A3308&amp;"|"&amp;B3308,Numéros!$F$2:$F$3001,0))),""))</f>
        <v/>
      </c>
      <c r="M3308" s="27" t="str">
        <f aca="false">IF(OR(G3308="",G3308="?"),"",IFERROR(INDEX(Pubs!$D$2:$D$3001,MATCH(G3308,Pubs!$A$2:$A$3001,0))&amp;"",""))</f>
        <v/>
      </c>
      <c r="N3308" s="27" t="n">
        <f aca="false">N(N3307)+IF(AND(A3308&lt;&gt;"",OR(Recherche!$C$4="",A3308=Recherche!$C$4),OR(Recherche!$C$5="",B3308&amp;""=Recherche!$C$5&amp;""),OR(Recherche!$C$6="",IFERROR(YEAR(L3308),0)=Recherche!$C$6),OR(Recherche!$C$7="",ISNUMBER(SEARCH(Recherche!$C$7,H3308))),OR(Recherche!$C$8="",J3308=Recherche!$C$8),OR(Recherche!$C$9="",I3308=Recherche!$C$9),OR(Recherche!$C$10="",G3308&amp;""=Recherche!$C$10&amp;""),OR(Recherche!$C$11="",E3308=Recherche!$C$11),OR(Recherche!$C$12="",ISNUMBER(SEARCH(Recherche!$C$12,M3308&amp;" "&amp;F3308)))),1,0)</f>
        <v>8</v>
      </c>
    </row>
    <row r="3309" customFormat="false" ht="15" hidden="false" customHeight="false" outlineLevel="0" collapsed="false">
      <c r="A3309" s="19"/>
      <c r="B3309" s="19"/>
      <c r="C3309" s="19"/>
      <c r="D3309" s="19"/>
      <c r="E3309" s="22"/>
      <c r="F3309" s="19"/>
      <c r="G3309" s="26" t="str">
        <f aca="false">IF(D3309="","",IFERROR(VALUE(LEFT(D3309,FIND(" |",D3309&amp;" |")-1)),"?"))</f>
        <v/>
      </c>
      <c r="H3309" s="27" t="str">
        <f aca="false">IF(G3309="","",IF(G3309="?","⚠ pub inconnue",IFERROR(INDEX(Pubs!$B$2:$B$3001,MATCH(G3309,Pubs!$A$2:$A$3001,0))&amp;"","⚠ pub inconnue")))</f>
        <v/>
      </c>
      <c r="I3309" s="27" t="str">
        <f aca="false">IF(OR(G3309="",G3309="?"),"",IFERROR(INDEX(Pubs!$C$2:$C$3001,MATCH(G3309,Pubs!$A$2:$A$3001,0))&amp;"",""))</f>
        <v/>
      </c>
      <c r="J3309" s="27" t="str">
        <f aca="false">IF(OR(G3309="",G3309="?"),"",IFERROR(INDEX(Pubs!$G$2:$G$3001,MATCH(G3309,Pubs!$A$2:$A$3001,0))&amp;"",""))</f>
        <v/>
      </c>
      <c r="K3309" s="28" t="str">
        <f aca="false">IF(OR(G3309="",G3309="?"),"",IFERROR(INDEX(Pubs!$E$2:$E$3001,MATCH(G3309,Pubs!$A$2:$A$3001,0)),""))</f>
        <v/>
      </c>
      <c r="L3309" s="29" t="str">
        <f aca="false">IF(A3309="","",IFERROR(1/(1/INDEX(Numéros!$C$2:$C$3001,MATCH(A3309&amp;"|"&amp;B3309,Numéros!$F$2:$F$3001,0))),""))</f>
        <v/>
      </c>
      <c r="M3309" s="27" t="str">
        <f aca="false">IF(OR(G3309="",G3309="?"),"",IFERROR(INDEX(Pubs!$D$2:$D$3001,MATCH(G3309,Pubs!$A$2:$A$3001,0))&amp;"",""))</f>
        <v/>
      </c>
      <c r="N3309" s="27" t="n">
        <f aca="false">N(N3308)+IF(AND(A3309&lt;&gt;"",OR(Recherche!$C$4="",A3309=Recherche!$C$4),OR(Recherche!$C$5="",B3309&amp;""=Recherche!$C$5&amp;""),OR(Recherche!$C$6="",IFERROR(YEAR(L3309),0)=Recherche!$C$6),OR(Recherche!$C$7="",ISNUMBER(SEARCH(Recherche!$C$7,H3309))),OR(Recherche!$C$8="",J3309=Recherche!$C$8),OR(Recherche!$C$9="",I3309=Recherche!$C$9),OR(Recherche!$C$10="",G3309&amp;""=Recherche!$C$10&amp;""),OR(Recherche!$C$11="",E3309=Recherche!$C$11),OR(Recherche!$C$12="",ISNUMBER(SEARCH(Recherche!$C$12,M3309&amp;" "&amp;F3309)))),1,0)</f>
        <v>8</v>
      </c>
    </row>
    <row r="3310" customFormat="false" ht="15" hidden="false" customHeight="false" outlineLevel="0" collapsed="false">
      <c r="A3310" s="19"/>
      <c r="B3310" s="19"/>
      <c r="C3310" s="19"/>
      <c r="D3310" s="19"/>
      <c r="E3310" s="22"/>
      <c r="F3310" s="19"/>
      <c r="G3310" s="26" t="str">
        <f aca="false">IF(D3310="","",IFERROR(VALUE(LEFT(D3310,FIND(" |",D3310&amp;" |")-1)),"?"))</f>
        <v/>
      </c>
      <c r="H3310" s="27" t="str">
        <f aca="false">IF(G3310="","",IF(G3310="?","⚠ pub inconnue",IFERROR(INDEX(Pubs!$B$2:$B$3001,MATCH(G3310,Pubs!$A$2:$A$3001,0))&amp;"","⚠ pub inconnue")))</f>
        <v/>
      </c>
      <c r="I3310" s="27" t="str">
        <f aca="false">IF(OR(G3310="",G3310="?"),"",IFERROR(INDEX(Pubs!$C$2:$C$3001,MATCH(G3310,Pubs!$A$2:$A$3001,0))&amp;"",""))</f>
        <v/>
      </c>
      <c r="J3310" s="27" t="str">
        <f aca="false">IF(OR(G3310="",G3310="?"),"",IFERROR(INDEX(Pubs!$G$2:$G$3001,MATCH(G3310,Pubs!$A$2:$A$3001,0))&amp;"",""))</f>
        <v/>
      </c>
      <c r="K3310" s="28" t="str">
        <f aca="false">IF(OR(G3310="",G3310="?"),"",IFERROR(INDEX(Pubs!$E$2:$E$3001,MATCH(G3310,Pubs!$A$2:$A$3001,0)),""))</f>
        <v/>
      </c>
      <c r="L3310" s="29" t="str">
        <f aca="false">IF(A3310="","",IFERROR(1/(1/INDEX(Numéros!$C$2:$C$3001,MATCH(A3310&amp;"|"&amp;B3310,Numéros!$F$2:$F$3001,0))),""))</f>
        <v/>
      </c>
      <c r="M3310" s="27" t="str">
        <f aca="false">IF(OR(G3310="",G3310="?"),"",IFERROR(INDEX(Pubs!$D$2:$D$3001,MATCH(G3310,Pubs!$A$2:$A$3001,0))&amp;"",""))</f>
        <v/>
      </c>
      <c r="N3310" s="27" t="n">
        <f aca="false">N(N3309)+IF(AND(A3310&lt;&gt;"",OR(Recherche!$C$4="",A3310=Recherche!$C$4),OR(Recherche!$C$5="",B3310&amp;""=Recherche!$C$5&amp;""),OR(Recherche!$C$6="",IFERROR(YEAR(L3310),0)=Recherche!$C$6),OR(Recherche!$C$7="",ISNUMBER(SEARCH(Recherche!$C$7,H3310))),OR(Recherche!$C$8="",J3310=Recherche!$C$8),OR(Recherche!$C$9="",I3310=Recherche!$C$9),OR(Recherche!$C$10="",G3310&amp;""=Recherche!$C$10&amp;""),OR(Recherche!$C$11="",E3310=Recherche!$C$11),OR(Recherche!$C$12="",ISNUMBER(SEARCH(Recherche!$C$12,M3310&amp;" "&amp;F3310)))),1,0)</f>
        <v>8</v>
      </c>
    </row>
    <row r="3311" customFormat="false" ht="15" hidden="false" customHeight="false" outlineLevel="0" collapsed="false">
      <c r="A3311" s="19"/>
      <c r="B3311" s="19"/>
      <c r="C3311" s="19"/>
      <c r="D3311" s="19"/>
      <c r="E3311" s="22"/>
      <c r="F3311" s="19"/>
      <c r="G3311" s="26" t="str">
        <f aca="false">IF(D3311="","",IFERROR(VALUE(LEFT(D3311,FIND(" |",D3311&amp;" |")-1)),"?"))</f>
        <v/>
      </c>
      <c r="H3311" s="27" t="str">
        <f aca="false">IF(G3311="","",IF(G3311="?","⚠ pub inconnue",IFERROR(INDEX(Pubs!$B$2:$B$3001,MATCH(G3311,Pubs!$A$2:$A$3001,0))&amp;"","⚠ pub inconnue")))</f>
        <v/>
      </c>
      <c r="I3311" s="27" t="str">
        <f aca="false">IF(OR(G3311="",G3311="?"),"",IFERROR(INDEX(Pubs!$C$2:$C$3001,MATCH(G3311,Pubs!$A$2:$A$3001,0))&amp;"",""))</f>
        <v/>
      </c>
      <c r="J3311" s="27" t="str">
        <f aca="false">IF(OR(G3311="",G3311="?"),"",IFERROR(INDEX(Pubs!$G$2:$G$3001,MATCH(G3311,Pubs!$A$2:$A$3001,0))&amp;"",""))</f>
        <v/>
      </c>
      <c r="K3311" s="28" t="str">
        <f aca="false">IF(OR(G3311="",G3311="?"),"",IFERROR(INDEX(Pubs!$E$2:$E$3001,MATCH(G3311,Pubs!$A$2:$A$3001,0)),""))</f>
        <v/>
      </c>
      <c r="L3311" s="29" t="str">
        <f aca="false">IF(A3311="","",IFERROR(1/(1/INDEX(Numéros!$C$2:$C$3001,MATCH(A3311&amp;"|"&amp;B3311,Numéros!$F$2:$F$3001,0))),""))</f>
        <v/>
      </c>
      <c r="M3311" s="27" t="str">
        <f aca="false">IF(OR(G3311="",G3311="?"),"",IFERROR(INDEX(Pubs!$D$2:$D$3001,MATCH(G3311,Pubs!$A$2:$A$3001,0))&amp;"",""))</f>
        <v/>
      </c>
      <c r="N3311" s="27" t="n">
        <f aca="false">N(N3310)+IF(AND(A3311&lt;&gt;"",OR(Recherche!$C$4="",A3311=Recherche!$C$4),OR(Recherche!$C$5="",B3311&amp;""=Recherche!$C$5&amp;""),OR(Recherche!$C$6="",IFERROR(YEAR(L3311),0)=Recherche!$C$6),OR(Recherche!$C$7="",ISNUMBER(SEARCH(Recherche!$C$7,H3311))),OR(Recherche!$C$8="",J3311=Recherche!$C$8),OR(Recherche!$C$9="",I3311=Recherche!$C$9),OR(Recherche!$C$10="",G3311&amp;""=Recherche!$C$10&amp;""),OR(Recherche!$C$11="",E3311=Recherche!$C$11),OR(Recherche!$C$12="",ISNUMBER(SEARCH(Recherche!$C$12,M3311&amp;" "&amp;F3311)))),1,0)</f>
        <v>8</v>
      </c>
    </row>
    <row r="3312" customFormat="false" ht="15" hidden="false" customHeight="false" outlineLevel="0" collapsed="false">
      <c r="A3312" s="19"/>
      <c r="B3312" s="19"/>
      <c r="C3312" s="19"/>
      <c r="D3312" s="19"/>
      <c r="E3312" s="22"/>
      <c r="F3312" s="19"/>
      <c r="G3312" s="26" t="str">
        <f aca="false">IF(D3312="","",IFERROR(VALUE(LEFT(D3312,FIND(" |",D3312&amp;" |")-1)),"?"))</f>
        <v/>
      </c>
      <c r="H3312" s="27" t="str">
        <f aca="false">IF(G3312="","",IF(G3312="?","⚠ pub inconnue",IFERROR(INDEX(Pubs!$B$2:$B$3001,MATCH(G3312,Pubs!$A$2:$A$3001,0))&amp;"","⚠ pub inconnue")))</f>
        <v/>
      </c>
      <c r="I3312" s="27" t="str">
        <f aca="false">IF(OR(G3312="",G3312="?"),"",IFERROR(INDEX(Pubs!$C$2:$C$3001,MATCH(G3312,Pubs!$A$2:$A$3001,0))&amp;"",""))</f>
        <v/>
      </c>
      <c r="J3312" s="27" t="str">
        <f aca="false">IF(OR(G3312="",G3312="?"),"",IFERROR(INDEX(Pubs!$G$2:$G$3001,MATCH(G3312,Pubs!$A$2:$A$3001,0))&amp;"",""))</f>
        <v/>
      </c>
      <c r="K3312" s="28" t="str">
        <f aca="false">IF(OR(G3312="",G3312="?"),"",IFERROR(INDEX(Pubs!$E$2:$E$3001,MATCH(G3312,Pubs!$A$2:$A$3001,0)),""))</f>
        <v/>
      </c>
      <c r="L3312" s="29" t="str">
        <f aca="false">IF(A3312="","",IFERROR(1/(1/INDEX(Numéros!$C$2:$C$3001,MATCH(A3312&amp;"|"&amp;B3312,Numéros!$F$2:$F$3001,0))),""))</f>
        <v/>
      </c>
      <c r="M3312" s="27" t="str">
        <f aca="false">IF(OR(G3312="",G3312="?"),"",IFERROR(INDEX(Pubs!$D$2:$D$3001,MATCH(G3312,Pubs!$A$2:$A$3001,0))&amp;"",""))</f>
        <v/>
      </c>
      <c r="N3312" s="27" t="n">
        <f aca="false">N(N3311)+IF(AND(A3312&lt;&gt;"",OR(Recherche!$C$4="",A3312=Recherche!$C$4),OR(Recherche!$C$5="",B3312&amp;""=Recherche!$C$5&amp;""),OR(Recherche!$C$6="",IFERROR(YEAR(L3312),0)=Recherche!$C$6),OR(Recherche!$C$7="",ISNUMBER(SEARCH(Recherche!$C$7,H3312))),OR(Recherche!$C$8="",J3312=Recherche!$C$8),OR(Recherche!$C$9="",I3312=Recherche!$C$9),OR(Recherche!$C$10="",G3312&amp;""=Recherche!$C$10&amp;""),OR(Recherche!$C$11="",E3312=Recherche!$C$11),OR(Recherche!$C$12="",ISNUMBER(SEARCH(Recherche!$C$12,M3312&amp;" "&amp;F3312)))),1,0)</f>
        <v>8</v>
      </c>
    </row>
    <row r="3313" customFormat="false" ht="15" hidden="false" customHeight="false" outlineLevel="0" collapsed="false">
      <c r="A3313" s="19"/>
      <c r="B3313" s="19"/>
      <c r="C3313" s="19"/>
      <c r="D3313" s="19"/>
      <c r="E3313" s="22"/>
      <c r="F3313" s="19"/>
      <c r="G3313" s="26" t="str">
        <f aca="false">IF(D3313="","",IFERROR(VALUE(LEFT(D3313,FIND(" |",D3313&amp;" |")-1)),"?"))</f>
        <v/>
      </c>
      <c r="H3313" s="27" t="str">
        <f aca="false">IF(G3313="","",IF(G3313="?","⚠ pub inconnue",IFERROR(INDEX(Pubs!$B$2:$B$3001,MATCH(G3313,Pubs!$A$2:$A$3001,0))&amp;"","⚠ pub inconnue")))</f>
        <v/>
      </c>
      <c r="I3313" s="27" t="str">
        <f aca="false">IF(OR(G3313="",G3313="?"),"",IFERROR(INDEX(Pubs!$C$2:$C$3001,MATCH(G3313,Pubs!$A$2:$A$3001,0))&amp;"",""))</f>
        <v/>
      </c>
      <c r="J3313" s="27" t="str">
        <f aca="false">IF(OR(G3313="",G3313="?"),"",IFERROR(INDEX(Pubs!$G$2:$G$3001,MATCH(G3313,Pubs!$A$2:$A$3001,0))&amp;"",""))</f>
        <v/>
      </c>
      <c r="K3313" s="28" t="str">
        <f aca="false">IF(OR(G3313="",G3313="?"),"",IFERROR(INDEX(Pubs!$E$2:$E$3001,MATCH(G3313,Pubs!$A$2:$A$3001,0)),""))</f>
        <v/>
      </c>
      <c r="L3313" s="29" t="str">
        <f aca="false">IF(A3313="","",IFERROR(1/(1/INDEX(Numéros!$C$2:$C$3001,MATCH(A3313&amp;"|"&amp;B3313,Numéros!$F$2:$F$3001,0))),""))</f>
        <v/>
      </c>
      <c r="M3313" s="27" t="str">
        <f aca="false">IF(OR(G3313="",G3313="?"),"",IFERROR(INDEX(Pubs!$D$2:$D$3001,MATCH(G3313,Pubs!$A$2:$A$3001,0))&amp;"",""))</f>
        <v/>
      </c>
      <c r="N3313" s="27" t="n">
        <f aca="false">N(N3312)+IF(AND(A3313&lt;&gt;"",OR(Recherche!$C$4="",A3313=Recherche!$C$4),OR(Recherche!$C$5="",B3313&amp;""=Recherche!$C$5&amp;""),OR(Recherche!$C$6="",IFERROR(YEAR(L3313),0)=Recherche!$C$6),OR(Recherche!$C$7="",ISNUMBER(SEARCH(Recherche!$C$7,H3313))),OR(Recherche!$C$8="",J3313=Recherche!$C$8),OR(Recherche!$C$9="",I3313=Recherche!$C$9),OR(Recherche!$C$10="",G3313&amp;""=Recherche!$C$10&amp;""),OR(Recherche!$C$11="",E3313=Recherche!$C$11),OR(Recherche!$C$12="",ISNUMBER(SEARCH(Recherche!$C$12,M3313&amp;" "&amp;F3313)))),1,0)</f>
        <v>8</v>
      </c>
    </row>
    <row r="3314" customFormat="false" ht="15" hidden="false" customHeight="false" outlineLevel="0" collapsed="false">
      <c r="A3314" s="19"/>
      <c r="B3314" s="19"/>
      <c r="C3314" s="19"/>
      <c r="D3314" s="19"/>
      <c r="E3314" s="22"/>
      <c r="F3314" s="19"/>
      <c r="G3314" s="26" t="str">
        <f aca="false">IF(D3314="","",IFERROR(VALUE(LEFT(D3314,FIND(" |",D3314&amp;" |")-1)),"?"))</f>
        <v/>
      </c>
      <c r="H3314" s="27" t="str">
        <f aca="false">IF(G3314="","",IF(G3314="?","⚠ pub inconnue",IFERROR(INDEX(Pubs!$B$2:$B$3001,MATCH(G3314,Pubs!$A$2:$A$3001,0))&amp;"","⚠ pub inconnue")))</f>
        <v/>
      </c>
      <c r="I3314" s="27" t="str">
        <f aca="false">IF(OR(G3314="",G3314="?"),"",IFERROR(INDEX(Pubs!$C$2:$C$3001,MATCH(G3314,Pubs!$A$2:$A$3001,0))&amp;"",""))</f>
        <v/>
      </c>
      <c r="J3314" s="27" t="str">
        <f aca="false">IF(OR(G3314="",G3314="?"),"",IFERROR(INDEX(Pubs!$G$2:$G$3001,MATCH(G3314,Pubs!$A$2:$A$3001,0))&amp;"",""))</f>
        <v/>
      </c>
      <c r="K3314" s="28" t="str">
        <f aca="false">IF(OR(G3314="",G3314="?"),"",IFERROR(INDEX(Pubs!$E$2:$E$3001,MATCH(G3314,Pubs!$A$2:$A$3001,0)),""))</f>
        <v/>
      </c>
      <c r="L3314" s="29" t="str">
        <f aca="false">IF(A3314="","",IFERROR(1/(1/INDEX(Numéros!$C$2:$C$3001,MATCH(A3314&amp;"|"&amp;B3314,Numéros!$F$2:$F$3001,0))),""))</f>
        <v/>
      </c>
      <c r="M3314" s="27" t="str">
        <f aca="false">IF(OR(G3314="",G3314="?"),"",IFERROR(INDEX(Pubs!$D$2:$D$3001,MATCH(G3314,Pubs!$A$2:$A$3001,0))&amp;"",""))</f>
        <v/>
      </c>
      <c r="N3314" s="27" t="n">
        <f aca="false">N(N3313)+IF(AND(A3314&lt;&gt;"",OR(Recherche!$C$4="",A3314=Recherche!$C$4),OR(Recherche!$C$5="",B3314&amp;""=Recherche!$C$5&amp;""),OR(Recherche!$C$6="",IFERROR(YEAR(L3314),0)=Recherche!$C$6),OR(Recherche!$C$7="",ISNUMBER(SEARCH(Recherche!$C$7,H3314))),OR(Recherche!$C$8="",J3314=Recherche!$C$8),OR(Recherche!$C$9="",I3314=Recherche!$C$9),OR(Recherche!$C$10="",G3314&amp;""=Recherche!$C$10&amp;""),OR(Recherche!$C$11="",E3314=Recherche!$C$11),OR(Recherche!$C$12="",ISNUMBER(SEARCH(Recherche!$C$12,M3314&amp;" "&amp;F3314)))),1,0)</f>
        <v>8</v>
      </c>
    </row>
    <row r="3315" customFormat="false" ht="15" hidden="false" customHeight="false" outlineLevel="0" collapsed="false">
      <c r="A3315" s="19"/>
      <c r="B3315" s="19"/>
      <c r="C3315" s="19"/>
      <c r="D3315" s="19"/>
      <c r="E3315" s="22"/>
      <c r="F3315" s="19"/>
      <c r="G3315" s="26" t="str">
        <f aca="false">IF(D3315="","",IFERROR(VALUE(LEFT(D3315,FIND(" |",D3315&amp;" |")-1)),"?"))</f>
        <v/>
      </c>
      <c r="H3315" s="27" t="str">
        <f aca="false">IF(G3315="","",IF(G3315="?","⚠ pub inconnue",IFERROR(INDEX(Pubs!$B$2:$B$3001,MATCH(G3315,Pubs!$A$2:$A$3001,0))&amp;"","⚠ pub inconnue")))</f>
        <v/>
      </c>
      <c r="I3315" s="27" t="str">
        <f aca="false">IF(OR(G3315="",G3315="?"),"",IFERROR(INDEX(Pubs!$C$2:$C$3001,MATCH(G3315,Pubs!$A$2:$A$3001,0))&amp;"",""))</f>
        <v/>
      </c>
      <c r="J3315" s="27" t="str">
        <f aca="false">IF(OR(G3315="",G3315="?"),"",IFERROR(INDEX(Pubs!$G$2:$G$3001,MATCH(G3315,Pubs!$A$2:$A$3001,0))&amp;"",""))</f>
        <v/>
      </c>
      <c r="K3315" s="28" t="str">
        <f aca="false">IF(OR(G3315="",G3315="?"),"",IFERROR(INDEX(Pubs!$E$2:$E$3001,MATCH(G3315,Pubs!$A$2:$A$3001,0)),""))</f>
        <v/>
      </c>
      <c r="L3315" s="29" t="str">
        <f aca="false">IF(A3315="","",IFERROR(1/(1/INDEX(Numéros!$C$2:$C$3001,MATCH(A3315&amp;"|"&amp;B3315,Numéros!$F$2:$F$3001,0))),""))</f>
        <v/>
      </c>
      <c r="M3315" s="27" t="str">
        <f aca="false">IF(OR(G3315="",G3315="?"),"",IFERROR(INDEX(Pubs!$D$2:$D$3001,MATCH(G3315,Pubs!$A$2:$A$3001,0))&amp;"",""))</f>
        <v/>
      </c>
      <c r="N3315" s="27" t="n">
        <f aca="false">N(N3314)+IF(AND(A3315&lt;&gt;"",OR(Recherche!$C$4="",A3315=Recherche!$C$4),OR(Recherche!$C$5="",B3315&amp;""=Recherche!$C$5&amp;""),OR(Recherche!$C$6="",IFERROR(YEAR(L3315),0)=Recherche!$C$6),OR(Recherche!$C$7="",ISNUMBER(SEARCH(Recherche!$C$7,H3315))),OR(Recherche!$C$8="",J3315=Recherche!$C$8),OR(Recherche!$C$9="",I3315=Recherche!$C$9),OR(Recherche!$C$10="",G3315&amp;""=Recherche!$C$10&amp;""),OR(Recherche!$C$11="",E3315=Recherche!$C$11),OR(Recherche!$C$12="",ISNUMBER(SEARCH(Recherche!$C$12,M3315&amp;" "&amp;F3315)))),1,0)</f>
        <v>8</v>
      </c>
    </row>
    <row r="3316" customFormat="false" ht="15" hidden="false" customHeight="false" outlineLevel="0" collapsed="false">
      <c r="A3316" s="19"/>
      <c r="B3316" s="19"/>
      <c r="C3316" s="19"/>
      <c r="D3316" s="19"/>
      <c r="E3316" s="22"/>
      <c r="F3316" s="19"/>
      <c r="G3316" s="26" t="str">
        <f aca="false">IF(D3316="","",IFERROR(VALUE(LEFT(D3316,FIND(" |",D3316&amp;" |")-1)),"?"))</f>
        <v/>
      </c>
      <c r="H3316" s="27" t="str">
        <f aca="false">IF(G3316="","",IF(G3316="?","⚠ pub inconnue",IFERROR(INDEX(Pubs!$B$2:$B$3001,MATCH(G3316,Pubs!$A$2:$A$3001,0))&amp;"","⚠ pub inconnue")))</f>
        <v/>
      </c>
      <c r="I3316" s="27" t="str">
        <f aca="false">IF(OR(G3316="",G3316="?"),"",IFERROR(INDEX(Pubs!$C$2:$C$3001,MATCH(G3316,Pubs!$A$2:$A$3001,0))&amp;"",""))</f>
        <v/>
      </c>
      <c r="J3316" s="27" t="str">
        <f aca="false">IF(OR(G3316="",G3316="?"),"",IFERROR(INDEX(Pubs!$G$2:$G$3001,MATCH(G3316,Pubs!$A$2:$A$3001,0))&amp;"",""))</f>
        <v/>
      </c>
      <c r="K3316" s="28" t="str">
        <f aca="false">IF(OR(G3316="",G3316="?"),"",IFERROR(INDEX(Pubs!$E$2:$E$3001,MATCH(G3316,Pubs!$A$2:$A$3001,0)),""))</f>
        <v/>
      </c>
      <c r="L3316" s="29" t="str">
        <f aca="false">IF(A3316="","",IFERROR(1/(1/INDEX(Numéros!$C$2:$C$3001,MATCH(A3316&amp;"|"&amp;B3316,Numéros!$F$2:$F$3001,0))),""))</f>
        <v/>
      </c>
      <c r="M3316" s="27" t="str">
        <f aca="false">IF(OR(G3316="",G3316="?"),"",IFERROR(INDEX(Pubs!$D$2:$D$3001,MATCH(G3316,Pubs!$A$2:$A$3001,0))&amp;"",""))</f>
        <v/>
      </c>
      <c r="N3316" s="27" t="n">
        <f aca="false">N(N3315)+IF(AND(A3316&lt;&gt;"",OR(Recherche!$C$4="",A3316=Recherche!$C$4),OR(Recherche!$C$5="",B3316&amp;""=Recherche!$C$5&amp;""),OR(Recherche!$C$6="",IFERROR(YEAR(L3316),0)=Recherche!$C$6),OR(Recherche!$C$7="",ISNUMBER(SEARCH(Recherche!$C$7,H3316))),OR(Recherche!$C$8="",J3316=Recherche!$C$8),OR(Recherche!$C$9="",I3316=Recherche!$C$9),OR(Recherche!$C$10="",G3316&amp;""=Recherche!$C$10&amp;""),OR(Recherche!$C$11="",E3316=Recherche!$C$11),OR(Recherche!$C$12="",ISNUMBER(SEARCH(Recherche!$C$12,M3316&amp;" "&amp;F3316)))),1,0)</f>
        <v>8</v>
      </c>
    </row>
    <row r="3317" customFormat="false" ht="15" hidden="false" customHeight="false" outlineLevel="0" collapsed="false">
      <c r="A3317" s="19"/>
      <c r="B3317" s="19"/>
      <c r="C3317" s="19"/>
      <c r="D3317" s="19"/>
      <c r="E3317" s="22"/>
      <c r="F3317" s="19"/>
      <c r="G3317" s="26" t="str">
        <f aca="false">IF(D3317="","",IFERROR(VALUE(LEFT(D3317,FIND(" |",D3317&amp;" |")-1)),"?"))</f>
        <v/>
      </c>
      <c r="H3317" s="27" t="str">
        <f aca="false">IF(G3317="","",IF(G3317="?","⚠ pub inconnue",IFERROR(INDEX(Pubs!$B$2:$B$3001,MATCH(G3317,Pubs!$A$2:$A$3001,0))&amp;"","⚠ pub inconnue")))</f>
        <v/>
      </c>
      <c r="I3317" s="27" t="str">
        <f aca="false">IF(OR(G3317="",G3317="?"),"",IFERROR(INDEX(Pubs!$C$2:$C$3001,MATCH(G3317,Pubs!$A$2:$A$3001,0))&amp;"",""))</f>
        <v/>
      </c>
      <c r="J3317" s="27" t="str">
        <f aca="false">IF(OR(G3317="",G3317="?"),"",IFERROR(INDEX(Pubs!$G$2:$G$3001,MATCH(G3317,Pubs!$A$2:$A$3001,0))&amp;"",""))</f>
        <v/>
      </c>
      <c r="K3317" s="28" t="str">
        <f aca="false">IF(OR(G3317="",G3317="?"),"",IFERROR(INDEX(Pubs!$E$2:$E$3001,MATCH(G3317,Pubs!$A$2:$A$3001,0)),""))</f>
        <v/>
      </c>
      <c r="L3317" s="29" t="str">
        <f aca="false">IF(A3317="","",IFERROR(1/(1/INDEX(Numéros!$C$2:$C$3001,MATCH(A3317&amp;"|"&amp;B3317,Numéros!$F$2:$F$3001,0))),""))</f>
        <v/>
      </c>
      <c r="M3317" s="27" t="str">
        <f aca="false">IF(OR(G3317="",G3317="?"),"",IFERROR(INDEX(Pubs!$D$2:$D$3001,MATCH(G3317,Pubs!$A$2:$A$3001,0))&amp;"",""))</f>
        <v/>
      </c>
      <c r="N3317" s="27" t="n">
        <f aca="false">N(N3316)+IF(AND(A3317&lt;&gt;"",OR(Recherche!$C$4="",A3317=Recherche!$C$4),OR(Recherche!$C$5="",B3317&amp;""=Recherche!$C$5&amp;""),OR(Recherche!$C$6="",IFERROR(YEAR(L3317),0)=Recherche!$C$6),OR(Recherche!$C$7="",ISNUMBER(SEARCH(Recherche!$C$7,H3317))),OR(Recherche!$C$8="",J3317=Recherche!$C$8),OR(Recherche!$C$9="",I3317=Recherche!$C$9),OR(Recherche!$C$10="",G3317&amp;""=Recherche!$C$10&amp;""),OR(Recherche!$C$11="",E3317=Recherche!$C$11),OR(Recherche!$C$12="",ISNUMBER(SEARCH(Recherche!$C$12,M3317&amp;" "&amp;F3317)))),1,0)</f>
        <v>8</v>
      </c>
    </row>
    <row r="3318" customFormat="false" ht="15" hidden="false" customHeight="false" outlineLevel="0" collapsed="false">
      <c r="A3318" s="19"/>
      <c r="B3318" s="19"/>
      <c r="C3318" s="19"/>
      <c r="D3318" s="19"/>
      <c r="E3318" s="22"/>
      <c r="F3318" s="19"/>
      <c r="G3318" s="26" t="str">
        <f aca="false">IF(D3318="","",IFERROR(VALUE(LEFT(D3318,FIND(" |",D3318&amp;" |")-1)),"?"))</f>
        <v/>
      </c>
      <c r="H3318" s="27" t="str">
        <f aca="false">IF(G3318="","",IF(G3318="?","⚠ pub inconnue",IFERROR(INDEX(Pubs!$B$2:$B$3001,MATCH(G3318,Pubs!$A$2:$A$3001,0))&amp;"","⚠ pub inconnue")))</f>
        <v/>
      </c>
      <c r="I3318" s="27" t="str">
        <f aca="false">IF(OR(G3318="",G3318="?"),"",IFERROR(INDEX(Pubs!$C$2:$C$3001,MATCH(G3318,Pubs!$A$2:$A$3001,0))&amp;"",""))</f>
        <v/>
      </c>
      <c r="J3318" s="27" t="str">
        <f aca="false">IF(OR(G3318="",G3318="?"),"",IFERROR(INDEX(Pubs!$G$2:$G$3001,MATCH(G3318,Pubs!$A$2:$A$3001,0))&amp;"",""))</f>
        <v/>
      </c>
      <c r="K3318" s="28" t="str">
        <f aca="false">IF(OR(G3318="",G3318="?"),"",IFERROR(INDEX(Pubs!$E$2:$E$3001,MATCH(G3318,Pubs!$A$2:$A$3001,0)),""))</f>
        <v/>
      </c>
      <c r="L3318" s="29" t="str">
        <f aca="false">IF(A3318="","",IFERROR(1/(1/INDEX(Numéros!$C$2:$C$3001,MATCH(A3318&amp;"|"&amp;B3318,Numéros!$F$2:$F$3001,0))),""))</f>
        <v/>
      </c>
      <c r="M3318" s="27" t="str">
        <f aca="false">IF(OR(G3318="",G3318="?"),"",IFERROR(INDEX(Pubs!$D$2:$D$3001,MATCH(G3318,Pubs!$A$2:$A$3001,0))&amp;"",""))</f>
        <v/>
      </c>
      <c r="N3318" s="27" t="n">
        <f aca="false">N(N3317)+IF(AND(A3318&lt;&gt;"",OR(Recherche!$C$4="",A3318=Recherche!$C$4),OR(Recherche!$C$5="",B3318&amp;""=Recherche!$C$5&amp;""),OR(Recherche!$C$6="",IFERROR(YEAR(L3318),0)=Recherche!$C$6),OR(Recherche!$C$7="",ISNUMBER(SEARCH(Recherche!$C$7,H3318))),OR(Recherche!$C$8="",J3318=Recherche!$C$8),OR(Recherche!$C$9="",I3318=Recherche!$C$9),OR(Recherche!$C$10="",G3318&amp;""=Recherche!$C$10&amp;""),OR(Recherche!$C$11="",E3318=Recherche!$C$11),OR(Recherche!$C$12="",ISNUMBER(SEARCH(Recherche!$C$12,M3318&amp;" "&amp;F3318)))),1,0)</f>
        <v>8</v>
      </c>
    </row>
    <row r="3319" customFormat="false" ht="15" hidden="false" customHeight="false" outlineLevel="0" collapsed="false">
      <c r="A3319" s="19"/>
      <c r="B3319" s="19"/>
      <c r="C3319" s="19"/>
      <c r="D3319" s="19"/>
      <c r="E3319" s="22"/>
      <c r="F3319" s="19"/>
      <c r="G3319" s="26" t="str">
        <f aca="false">IF(D3319="","",IFERROR(VALUE(LEFT(D3319,FIND(" |",D3319&amp;" |")-1)),"?"))</f>
        <v/>
      </c>
      <c r="H3319" s="27" t="str">
        <f aca="false">IF(G3319="","",IF(G3319="?","⚠ pub inconnue",IFERROR(INDEX(Pubs!$B$2:$B$3001,MATCH(G3319,Pubs!$A$2:$A$3001,0))&amp;"","⚠ pub inconnue")))</f>
        <v/>
      </c>
      <c r="I3319" s="27" t="str">
        <f aca="false">IF(OR(G3319="",G3319="?"),"",IFERROR(INDEX(Pubs!$C$2:$C$3001,MATCH(G3319,Pubs!$A$2:$A$3001,0))&amp;"",""))</f>
        <v/>
      </c>
      <c r="J3319" s="27" t="str">
        <f aca="false">IF(OR(G3319="",G3319="?"),"",IFERROR(INDEX(Pubs!$G$2:$G$3001,MATCH(G3319,Pubs!$A$2:$A$3001,0))&amp;"",""))</f>
        <v/>
      </c>
      <c r="K3319" s="28" t="str">
        <f aca="false">IF(OR(G3319="",G3319="?"),"",IFERROR(INDEX(Pubs!$E$2:$E$3001,MATCH(G3319,Pubs!$A$2:$A$3001,0)),""))</f>
        <v/>
      </c>
      <c r="L3319" s="29" t="str">
        <f aca="false">IF(A3319="","",IFERROR(1/(1/INDEX(Numéros!$C$2:$C$3001,MATCH(A3319&amp;"|"&amp;B3319,Numéros!$F$2:$F$3001,0))),""))</f>
        <v/>
      </c>
      <c r="M3319" s="27" t="str">
        <f aca="false">IF(OR(G3319="",G3319="?"),"",IFERROR(INDEX(Pubs!$D$2:$D$3001,MATCH(G3319,Pubs!$A$2:$A$3001,0))&amp;"",""))</f>
        <v/>
      </c>
      <c r="N3319" s="27" t="n">
        <f aca="false">N(N3318)+IF(AND(A3319&lt;&gt;"",OR(Recherche!$C$4="",A3319=Recherche!$C$4),OR(Recherche!$C$5="",B3319&amp;""=Recherche!$C$5&amp;""),OR(Recherche!$C$6="",IFERROR(YEAR(L3319),0)=Recherche!$C$6),OR(Recherche!$C$7="",ISNUMBER(SEARCH(Recherche!$C$7,H3319))),OR(Recherche!$C$8="",J3319=Recherche!$C$8),OR(Recherche!$C$9="",I3319=Recherche!$C$9),OR(Recherche!$C$10="",G3319&amp;""=Recherche!$C$10&amp;""),OR(Recherche!$C$11="",E3319=Recherche!$C$11),OR(Recherche!$C$12="",ISNUMBER(SEARCH(Recherche!$C$12,M3319&amp;" "&amp;F3319)))),1,0)</f>
        <v>8</v>
      </c>
    </row>
    <row r="3320" customFormat="false" ht="15" hidden="false" customHeight="false" outlineLevel="0" collapsed="false">
      <c r="A3320" s="19"/>
      <c r="B3320" s="19"/>
      <c r="C3320" s="19"/>
      <c r="D3320" s="19"/>
      <c r="E3320" s="22"/>
      <c r="F3320" s="19"/>
      <c r="G3320" s="26" t="str">
        <f aca="false">IF(D3320="","",IFERROR(VALUE(LEFT(D3320,FIND(" |",D3320&amp;" |")-1)),"?"))</f>
        <v/>
      </c>
      <c r="H3320" s="27" t="str">
        <f aca="false">IF(G3320="","",IF(G3320="?","⚠ pub inconnue",IFERROR(INDEX(Pubs!$B$2:$B$3001,MATCH(G3320,Pubs!$A$2:$A$3001,0))&amp;"","⚠ pub inconnue")))</f>
        <v/>
      </c>
      <c r="I3320" s="27" t="str">
        <f aca="false">IF(OR(G3320="",G3320="?"),"",IFERROR(INDEX(Pubs!$C$2:$C$3001,MATCH(G3320,Pubs!$A$2:$A$3001,0))&amp;"",""))</f>
        <v/>
      </c>
      <c r="J3320" s="27" t="str">
        <f aca="false">IF(OR(G3320="",G3320="?"),"",IFERROR(INDEX(Pubs!$G$2:$G$3001,MATCH(G3320,Pubs!$A$2:$A$3001,0))&amp;"",""))</f>
        <v/>
      </c>
      <c r="K3320" s="28" t="str">
        <f aca="false">IF(OR(G3320="",G3320="?"),"",IFERROR(INDEX(Pubs!$E$2:$E$3001,MATCH(G3320,Pubs!$A$2:$A$3001,0)),""))</f>
        <v/>
      </c>
      <c r="L3320" s="29" t="str">
        <f aca="false">IF(A3320="","",IFERROR(1/(1/INDEX(Numéros!$C$2:$C$3001,MATCH(A3320&amp;"|"&amp;B3320,Numéros!$F$2:$F$3001,0))),""))</f>
        <v/>
      </c>
      <c r="M3320" s="27" t="str">
        <f aca="false">IF(OR(G3320="",G3320="?"),"",IFERROR(INDEX(Pubs!$D$2:$D$3001,MATCH(G3320,Pubs!$A$2:$A$3001,0))&amp;"",""))</f>
        <v/>
      </c>
      <c r="N3320" s="27" t="n">
        <f aca="false">N(N3319)+IF(AND(A3320&lt;&gt;"",OR(Recherche!$C$4="",A3320=Recherche!$C$4),OR(Recherche!$C$5="",B3320&amp;""=Recherche!$C$5&amp;""),OR(Recherche!$C$6="",IFERROR(YEAR(L3320),0)=Recherche!$C$6),OR(Recherche!$C$7="",ISNUMBER(SEARCH(Recherche!$C$7,H3320))),OR(Recherche!$C$8="",J3320=Recherche!$C$8),OR(Recherche!$C$9="",I3320=Recherche!$C$9),OR(Recherche!$C$10="",G3320&amp;""=Recherche!$C$10&amp;""),OR(Recherche!$C$11="",E3320=Recherche!$C$11),OR(Recherche!$C$12="",ISNUMBER(SEARCH(Recherche!$C$12,M3320&amp;" "&amp;F3320)))),1,0)</f>
        <v>8</v>
      </c>
    </row>
    <row r="3321" customFormat="false" ht="15" hidden="false" customHeight="false" outlineLevel="0" collapsed="false">
      <c r="A3321" s="19"/>
      <c r="B3321" s="19"/>
      <c r="C3321" s="19"/>
      <c r="D3321" s="19"/>
      <c r="E3321" s="22"/>
      <c r="F3321" s="19"/>
      <c r="G3321" s="26" t="str">
        <f aca="false">IF(D3321="","",IFERROR(VALUE(LEFT(D3321,FIND(" |",D3321&amp;" |")-1)),"?"))</f>
        <v/>
      </c>
      <c r="H3321" s="27" t="str">
        <f aca="false">IF(G3321="","",IF(G3321="?","⚠ pub inconnue",IFERROR(INDEX(Pubs!$B$2:$B$3001,MATCH(G3321,Pubs!$A$2:$A$3001,0))&amp;"","⚠ pub inconnue")))</f>
        <v/>
      </c>
      <c r="I3321" s="27" t="str">
        <f aca="false">IF(OR(G3321="",G3321="?"),"",IFERROR(INDEX(Pubs!$C$2:$C$3001,MATCH(G3321,Pubs!$A$2:$A$3001,0))&amp;"",""))</f>
        <v/>
      </c>
      <c r="J3321" s="27" t="str">
        <f aca="false">IF(OR(G3321="",G3321="?"),"",IFERROR(INDEX(Pubs!$G$2:$G$3001,MATCH(G3321,Pubs!$A$2:$A$3001,0))&amp;"",""))</f>
        <v/>
      </c>
      <c r="K3321" s="28" t="str">
        <f aca="false">IF(OR(G3321="",G3321="?"),"",IFERROR(INDEX(Pubs!$E$2:$E$3001,MATCH(G3321,Pubs!$A$2:$A$3001,0)),""))</f>
        <v/>
      </c>
      <c r="L3321" s="29" t="str">
        <f aca="false">IF(A3321="","",IFERROR(1/(1/INDEX(Numéros!$C$2:$C$3001,MATCH(A3321&amp;"|"&amp;B3321,Numéros!$F$2:$F$3001,0))),""))</f>
        <v/>
      </c>
      <c r="M3321" s="27" t="str">
        <f aca="false">IF(OR(G3321="",G3321="?"),"",IFERROR(INDEX(Pubs!$D$2:$D$3001,MATCH(G3321,Pubs!$A$2:$A$3001,0))&amp;"",""))</f>
        <v/>
      </c>
      <c r="N3321" s="27" t="n">
        <f aca="false">N(N3320)+IF(AND(A3321&lt;&gt;"",OR(Recherche!$C$4="",A3321=Recherche!$C$4),OR(Recherche!$C$5="",B3321&amp;""=Recherche!$C$5&amp;""),OR(Recherche!$C$6="",IFERROR(YEAR(L3321),0)=Recherche!$C$6),OR(Recherche!$C$7="",ISNUMBER(SEARCH(Recherche!$C$7,H3321))),OR(Recherche!$C$8="",J3321=Recherche!$C$8),OR(Recherche!$C$9="",I3321=Recherche!$C$9),OR(Recherche!$C$10="",G3321&amp;""=Recherche!$C$10&amp;""),OR(Recherche!$C$11="",E3321=Recherche!$C$11),OR(Recherche!$C$12="",ISNUMBER(SEARCH(Recherche!$C$12,M3321&amp;" "&amp;F3321)))),1,0)</f>
        <v>8</v>
      </c>
    </row>
    <row r="3322" customFormat="false" ht="15" hidden="false" customHeight="false" outlineLevel="0" collapsed="false">
      <c r="A3322" s="19"/>
      <c r="B3322" s="19"/>
      <c r="C3322" s="19"/>
      <c r="D3322" s="19"/>
      <c r="E3322" s="22"/>
      <c r="F3322" s="19"/>
      <c r="G3322" s="26" t="str">
        <f aca="false">IF(D3322="","",IFERROR(VALUE(LEFT(D3322,FIND(" |",D3322&amp;" |")-1)),"?"))</f>
        <v/>
      </c>
      <c r="H3322" s="27" t="str">
        <f aca="false">IF(G3322="","",IF(G3322="?","⚠ pub inconnue",IFERROR(INDEX(Pubs!$B$2:$B$3001,MATCH(G3322,Pubs!$A$2:$A$3001,0))&amp;"","⚠ pub inconnue")))</f>
        <v/>
      </c>
      <c r="I3322" s="27" t="str">
        <f aca="false">IF(OR(G3322="",G3322="?"),"",IFERROR(INDEX(Pubs!$C$2:$C$3001,MATCH(G3322,Pubs!$A$2:$A$3001,0))&amp;"",""))</f>
        <v/>
      </c>
      <c r="J3322" s="27" t="str">
        <f aca="false">IF(OR(G3322="",G3322="?"),"",IFERROR(INDEX(Pubs!$G$2:$G$3001,MATCH(G3322,Pubs!$A$2:$A$3001,0))&amp;"",""))</f>
        <v/>
      </c>
      <c r="K3322" s="28" t="str">
        <f aca="false">IF(OR(G3322="",G3322="?"),"",IFERROR(INDEX(Pubs!$E$2:$E$3001,MATCH(G3322,Pubs!$A$2:$A$3001,0)),""))</f>
        <v/>
      </c>
      <c r="L3322" s="29" t="str">
        <f aca="false">IF(A3322="","",IFERROR(1/(1/INDEX(Numéros!$C$2:$C$3001,MATCH(A3322&amp;"|"&amp;B3322,Numéros!$F$2:$F$3001,0))),""))</f>
        <v/>
      </c>
      <c r="M3322" s="27" t="str">
        <f aca="false">IF(OR(G3322="",G3322="?"),"",IFERROR(INDEX(Pubs!$D$2:$D$3001,MATCH(G3322,Pubs!$A$2:$A$3001,0))&amp;"",""))</f>
        <v/>
      </c>
      <c r="N3322" s="27" t="n">
        <f aca="false">N(N3321)+IF(AND(A3322&lt;&gt;"",OR(Recherche!$C$4="",A3322=Recherche!$C$4),OR(Recherche!$C$5="",B3322&amp;""=Recherche!$C$5&amp;""),OR(Recherche!$C$6="",IFERROR(YEAR(L3322),0)=Recherche!$C$6),OR(Recherche!$C$7="",ISNUMBER(SEARCH(Recherche!$C$7,H3322))),OR(Recherche!$C$8="",J3322=Recherche!$C$8),OR(Recherche!$C$9="",I3322=Recherche!$C$9),OR(Recherche!$C$10="",G3322&amp;""=Recherche!$C$10&amp;""),OR(Recherche!$C$11="",E3322=Recherche!$C$11),OR(Recherche!$C$12="",ISNUMBER(SEARCH(Recherche!$C$12,M3322&amp;" "&amp;F3322)))),1,0)</f>
        <v>8</v>
      </c>
    </row>
    <row r="3323" customFormat="false" ht="15" hidden="false" customHeight="false" outlineLevel="0" collapsed="false">
      <c r="A3323" s="19"/>
      <c r="B3323" s="19"/>
      <c r="C3323" s="19"/>
      <c r="D3323" s="19"/>
      <c r="E3323" s="22"/>
      <c r="F3323" s="19"/>
      <c r="G3323" s="26" t="str">
        <f aca="false">IF(D3323="","",IFERROR(VALUE(LEFT(D3323,FIND(" |",D3323&amp;" |")-1)),"?"))</f>
        <v/>
      </c>
      <c r="H3323" s="27" t="str">
        <f aca="false">IF(G3323="","",IF(G3323="?","⚠ pub inconnue",IFERROR(INDEX(Pubs!$B$2:$B$3001,MATCH(G3323,Pubs!$A$2:$A$3001,0))&amp;"","⚠ pub inconnue")))</f>
        <v/>
      </c>
      <c r="I3323" s="27" t="str">
        <f aca="false">IF(OR(G3323="",G3323="?"),"",IFERROR(INDEX(Pubs!$C$2:$C$3001,MATCH(G3323,Pubs!$A$2:$A$3001,0))&amp;"",""))</f>
        <v/>
      </c>
      <c r="J3323" s="27" t="str">
        <f aca="false">IF(OR(G3323="",G3323="?"),"",IFERROR(INDEX(Pubs!$G$2:$G$3001,MATCH(G3323,Pubs!$A$2:$A$3001,0))&amp;"",""))</f>
        <v/>
      </c>
      <c r="K3323" s="28" t="str">
        <f aca="false">IF(OR(G3323="",G3323="?"),"",IFERROR(INDEX(Pubs!$E$2:$E$3001,MATCH(G3323,Pubs!$A$2:$A$3001,0)),""))</f>
        <v/>
      </c>
      <c r="L3323" s="29" t="str">
        <f aca="false">IF(A3323="","",IFERROR(1/(1/INDEX(Numéros!$C$2:$C$3001,MATCH(A3323&amp;"|"&amp;B3323,Numéros!$F$2:$F$3001,0))),""))</f>
        <v/>
      </c>
      <c r="M3323" s="27" t="str">
        <f aca="false">IF(OR(G3323="",G3323="?"),"",IFERROR(INDEX(Pubs!$D$2:$D$3001,MATCH(G3323,Pubs!$A$2:$A$3001,0))&amp;"",""))</f>
        <v/>
      </c>
      <c r="N3323" s="27" t="n">
        <f aca="false">N(N3322)+IF(AND(A3323&lt;&gt;"",OR(Recherche!$C$4="",A3323=Recherche!$C$4),OR(Recherche!$C$5="",B3323&amp;""=Recherche!$C$5&amp;""),OR(Recherche!$C$6="",IFERROR(YEAR(L3323),0)=Recherche!$C$6),OR(Recherche!$C$7="",ISNUMBER(SEARCH(Recherche!$C$7,H3323))),OR(Recherche!$C$8="",J3323=Recherche!$C$8),OR(Recherche!$C$9="",I3323=Recherche!$C$9),OR(Recherche!$C$10="",G3323&amp;""=Recherche!$C$10&amp;""),OR(Recherche!$C$11="",E3323=Recherche!$C$11),OR(Recherche!$C$12="",ISNUMBER(SEARCH(Recherche!$C$12,M3323&amp;" "&amp;F3323)))),1,0)</f>
        <v>8</v>
      </c>
    </row>
    <row r="3324" customFormat="false" ht="15" hidden="false" customHeight="false" outlineLevel="0" collapsed="false">
      <c r="A3324" s="19"/>
      <c r="B3324" s="19"/>
      <c r="C3324" s="19"/>
      <c r="D3324" s="19"/>
      <c r="E3324" s="22"/>
      <c r="F3324" s="19"/>
      <c r="G3324" s="26" t="str">
        <f aca="false">IF(D3324="","",IFERROR(VALUE(LEFT(D3324,FIND(" |",D3324&amp;" |")-1)),"?"))</f>
        <v/>
      </c>
      <c r="H3324" s="27" t="str">
        <f aca="false">IF(G3324="","",IF(G3324="?","⚠ pub inconnue",IFERROR(INDEX(Pubs!$B$2:$B$3001,MATCH(G3324,Pubs!$A$2:$A$3001,0))&amp;"","⚠ pub inconnue")))</f>
        <v/>
      </c>
      <c r="I3324" s="27" t="str">
        <f aca="false">IF(OR(G3324="",G3324="?"),"",IFERROR(INDEX(Pubs!$C$2:$C$3001,MATCH(G3324,Pubs!$A$2:$A$3001,0))&amp;"",""))</f>
        <v/>
      </c>
      <c r="J3324" s="27" t="str">
        <f aca="false">IF(OR(G3324="",G3324="?"),"",IFERROR(INDEX(Pubs!$G$2:$G$3001,MATCH(G3324,Pubs!$A$2:$A$3001,0))&amp;"",""))</f>
        <v/>
      </c>
      <c r="K3324" s="28" t="str">
        <f aca="false">IF(OR(G3324="",G3324="?"),"",IFERROR(INDEX(Pubs!$E$2:$E$3001,MATCH(G3324,Pubs!$A$2:$A$3001,0)),""))</f>
        <v/>
      </c>
      <c r="L3324" s="29" t="str">
        <f aca="false">IF(A3324="","",IFERROR(1/(1/INDEX(Numéros!$C$2:$C$3001,MATCH(A3324&amp;"|"&amp;B3324,Numéros!$F$2:$F$3001,0))),""))</f>
        <v/>
      </c>
      <c r="M3324" s="27" t="str">
        <f aca="false">IF(OR(G3324="",G3324="?"),"",IFERROR(INDEX(Pubs!$D$2:$D$3001,MATCH(G3324,Pubs!$A$2:$A$3001,0))&amp;"",""))</f>
        <v/>
      </c>
      <c r="N3324" s="27" t="n">
        <f aca="false">N(N3323)+IF(AND(A3324&lt;&gt;"",OR(Recherche!$C$4="",A3324=Recherche!$C$4),OR(Recherche!$C$5="",B3324&amp;""=Recherche!$C$5&amp;""),OR(Recherche!$C$6="",IFERROR(YEAR(L3324),0)=Recherche!$C$6),OR(Recherche!$C$7="",ISNUMBER(SEARCH(Recherche!$C$7,H3324))),OR(Recherche!$C$8="",J3324=Recherche!$C$8),OR(Recherche!$C$9="",I3324=Recherche!$C$9),OR(Recherche!$C$10="",G3324&amp;""=Recherche!$C$10&amp;""),OR(Recherche!$C$11="",E3324=Recherche!$C$11),OR(Recherche!$C$12="",ISNUMBER(SEARCH(Recherche!$C$12,M3324&amp;" "&amp;F3324)))),1,0)</f>
        <v>8</v>
      </c>
    </row>
    <row r="3325" customFormat="false" ht="15" hidden="false" customHeight="false" outlineLevel="0" collapsed="false">
      <c r="A3325" s="19"/>
      <c r="B3325" s="19"/>
      <c r="C3325" s="19"/>
      <c r="D3325" s="19"/>
      <c r="E3325" s="22"/>
      <c r="F3325" s="19"/>
      <c r="G3325" s="26" t="str">
        <f aca="false">IF(D3325="","",IFERROR(VALUE(LEFT(D3325,FIND(" |",D3325&amp;" |")-1)),"?"))</f>
        <v/>
      </c>
      <c r="H3325" s="27" t="str">
        <f aca="false">IF(G3325="","",IF(G3325="?","⚠ pub inconnue",IFERROR(INDEX(Pubs!$B$2:$B$3001,MATCH(G3325,Pubs!$A$2:$A$3001,0))&amp;"","⚠ pub inconnue")))</f>
        <v/>
      </c>
      <c r="I3325" s="27" t="str">
        <f aca="false">IF(OR(G3325="",G3325="?"),"",IFERROR(INDEX(Pubs!$C$2:$C$3001,MATCH(G3325,Pubs!$A$2:$A$3001,0))&amp;"",""))</f>
        <v/>
      </c>
      <c r="J3325" s="27" t="str">
        <f aca="false">IF(OR(G3325="",G3325="?"),"",IFERROR(INDEX(Pubs!$G$2:$G$3001,MATCH(G3325,Pubs!$A$2:$A$3001,0))&amp;"",""))</f>
        <v/>
      </c>
      <c r="K3325" s="28" t="str">
        <f aca="false">IF(OR(G3325="",G3325="?"),"",IFERROR(INDEX(Pubs!$E$2:$E$3001,MATCH(G3325,Pubs!$A$2:$A$3001,0)),""))</f>
        <v/>
      </c>
      <c r="L3325" s="29" t="str">
        <f aca="false">IF(A3325="","",IFERROR(1/(1/INDEX(Numéros!$C$2:$C$3001,MATCH(A3325&amp;"|"&amp;B3325,Numéros!$F$2:$F$3001,0))),""))</f>
        <v/>
      </c>
      <c r="M3325" s="27" t="str">
        <f aca="false">IF(OR(G3325="",G3325="?"),"",IFERROR(INDEX(Pubs!$D$2:$D$3001,MATCH(G3325,Pubs!$A$2:$A$3001,0))&amp;"",""))</f>
        <v/>
      </c>
      <c r="N3325" s="27" t="n">
        <f aca="false">N(N3324)+IF(AND(A3325&lt;&gt;"",OR(Recherche!$C$4="",A3325=Recherche!$C$4),OR(Recherche!$C$5="",B3325&amp;""=Recherche!$C$5&amp;""),OR(Recherche!$C$6="",IFERROR(YEAR(L3325),0)=Recherche!$C$6),OR(Recherche!$C$7="",ISNUMBER(SEARCH(Recherche!$C$7,H3325))),OR(Recherche!$C$8="",J3325=Recherche!$C$8),OR(Recherche!$C$9="",I3325=Recherche!$C$9),OR(Recherche!$C$10="",G3325&amp;""=Recherche!$C$10&amp;""),OR(Recherche!$C$11="",E3325=Recherche!$C$11),OR(Recherche!$C$12="",ISNUMBER(SEARCH(Recherche!$C$12,M3325&amp;" "&amp;F3325)))),1,0)</f>
        <v>8</v>
      </c>
    </row>
    <row r="3326" customFormat="false" ht="15" hidden="false" customHeight="false" outlineLevel="0" collapsed="false">
      <c r="A3326" s="19"/>
      <c r="B3326" s="19"/>
      <c r="C3326" s="19"/>
      <c r="D3326" s="19"/>
      <c r="E3326" s="22"/>
      <c r="F3326" s="19"/>
      <c r="G3326" s="26" t="str">
        <f aca="false">IF(D3326="","",IFERROR(VALUE(LEFT(D3326,FIND(" |",D3326&amp;" |")-1)),"?"))</f>
        <v/>
      </c>
      <c r="H3326" s="27" t="str">
        <f aca="false">IF(G3326="","",IF(G3326="?","⚠ pub inconnue",IFERROR(INDEX(Pubs!$B$2:$B$3001,MATCH(G3326,Pubs!$A$2:$A$3001,0))&amp;"","⚠ pub inconnue")))</f>
        <v/>
      </c>
      <c r="I3326" s="27" t="str">
        <f aca="false">IF(OR(G3326="",G3326="?"),"",IFERROR(INDEX(Pubs!$C$2:$C$3001,MATCH(G3326,Pubs!$A$2:$A$3001,0))&amp;"",""))</f>
        <v/>
      </c>
      <c r="J3326" s="27" t="str">
        <f aca="false">IF(OR(G3326="",G3326="?"),"",IFERROR(INDEX(Pubs!$G$2:$G$3001,MATCH(G3326,Pubs!$A$2:$A$3001,0))&amp;"",""))</f>
        <v/>
      </c>
      <c r="K3326" s="28" t="str">
        <f aca="false">IF(OR(G3326="",G3326="?"),"",IFERROR(INDEX(Pubs!$E$2:$E$3001,MATCH(G3326,Pubs!$A$2:$A$3001,0)),""))</f>
        <v/>
      </c>
      <c r="L3326" s="29" t="str">
        <f aca="false">IF(A3326="","",IFERROR(1/(1/INDEX(Numéros!$C$2:$C$3001,MATCH(A3326&amp;"|"&amp;B3326,Numéros!$F$2:$F$3001,0))),""))</f>
        <v/>
      </c>
      <c r="M3326" s="27" t="str">
        <f aca="false">IF(OR(G3326="",G3326="?"),"",IFERROR(INDEX(Pubs!$D$2:$D$3001,MATCH(G3326,Pubs!$A$2:$A$3001,0))&amp;"",""))</f>
        <v/>
      </c>
      <c r="N3326" s="27" t="n">
        <f aca="false">N(N3325)+IF(AND(A3326&lt;&gt;"",OR(Recherche!$C$4="",A3326=Recherche!$C$4),OR(Recherche!$C$5="",B3326&amp;""=Recherche!$C$5&amp;""),OR(Recherche!$C$6="",IFERROR(YEAR(L3326),0)=Recherche!$C$6),OR(Recherche!$C$7="",ISNUMBER(SEARCH(Recherche!$C$7,H3326))),OR(Recherche!$C$8="",J3326=Recherche!$C$8),OR(Recherche!$C$9="",I3326=Recherche!$C$9),OR(Recherche!$C$10="",G3326&amp;""=Recherche!$C$10&amp;""),OR(Recherche!$C$11="",E3326=Recherche!$C$11),OR(Recherche!$C$12="",ISNUMBER(SEARCH(Recherche!$C$12,M3326&amp;" "&amp;F3326)))),1,0)</f>
        <v>8</v>
      </c>
    </row>
    <row r="3327" customFormat="false" ht="15" hidden="false" customHeight="false" outlineLevel="0" collapsed="false">
      <c r="A3327" s="19"/>
      <c r="B3327" s="19"/>
      <c r="C3327" s="19"/>
      <c r="D3327" s="19"/>
      <c r="E3327" s="22"/>
      <c r="F3327" s="19"/>
      <c r="G3327" s="26" t="str">
        <f aca="false">IF(D3327="","",IFERROR(VALUE(LEFT(D3327,FIND(" |",D3327&amp;" |")-1)),"?"))</f>
        <v/>
      </c>
      <c r="H3327" s="27" t="str">
        <f aca="false">IF(G3327="","",IF(G3327="?","⚠ pub inconnue",IFERROR(INDEX(Pubs!$B$2:$B$3001,MATCH(G3327,Pubs!$A$2:$A$3001,0))&amp;"","⚠ pub inconnue")))</f>
        <v/>
      </c>
      <c r="I3327" s="27" t="str">
        <f aca="false">IF(OR(G3327="",G3327="?"),"",IFERROR(INDEX(Pubs!$C$2:$C$3001,MATCH(G3327,Pubs!$A$2:$A$3001,0))&amp;"",""))</f>
        <v/>
      </c>
      <c r="J3327" s="27" t="str">
        <f aca="false">IF(OR(G3327="",G3327="?"),"",IFERROR(INDEX(Pubs!$G$2:$G$3001,MATCH(G3327,Pubs!$A$2:$A$3001,0))&amp;"",""))</f>
        <v/>
      </c>
      <c r="K3327" s="28" t="str">
        <f aca="false">IF(OR(G3327="",G3327="?"),"",IFERROR(INDEX(Pubs!$E$2:$E$3001,MATCH(G3327,Pubs!$A$2:$A$3001,0)),""))</f>
        <v/>
      </c>
      <c r="L3327" s="29" t="str">
        <f aca="false">IF(A3327="","",IFERROR(1/(1/INDEX(Numéros!$C$2:$C$3001,MATCH(A3327&amp;"|"&amp;B3327,Numéros!$F$2:$F$3001,0))),""))</f>
        <v/>
      </c>
      <c r="M3327" s="27" t="str">
        <f aca="false">IF(OR(G3327="",G3327="?"),"",IFERROR(INDEX(Pubs!$D$2:$D$3001,MATCH(G3327,Pubs!$A$2:$A$3001,0))&amp;"",""))</f>
        <v/>
      </c>
      <c r="N3327" s="27" t="n">
        <f aca="false">N(N3326)+IF(AND(A3327&lt;&gt;"",OR(Recherche!$C$4="",A3327=Recherche!$C$4),OR(Recherche!$C$5="",B3327&amp;""=Recherche!$C$5&amp;""),OR(Recherche!$C$6="",IFERROR(YEAR(L3327),0)=Recherche!$C$6),OR(Recherche!$C$7="",ISNUMBER(SEARCH(Recherche!$C$7,H3327))),OR(Recherche!$C$8="",J3327=Recherche!$C$8),OR(Recherche!$C$9="",I3327=Recherche!$C$9),OR(Recherche!$C$10="",G3327&amp;""=Recherche!$C$10&amp;""),OR(Recherche!$C$11="",E3327=Recherche!$C$11),OR(Recherche!$C$12="",ISNUMBER(SEARCH(Recherche!$C$12,M3327&amp;" "&amp;F3327)))),1,0)</f>
        <v>8</v>
      </c>
    </row>
    <row r="3328" customFormat="false" ht="15" hidden="false" customHeight="false" outlineLevel="0" collapsed="false">
      <c r="A3328" s="19"/>
      <c r="B3328" s="19"/>
      <c r="C3328" s="19"/>
      <c r="D3328" s="19"/>
      <c r="E3328" s="22"/>
      <c r="F3328" s="19"/>
      <c r="G3328" s="26" t="str">
        <f aca="false">IF(D3328="","",IFERROR(VALUE(LEFT(D3328,FIND(" |",D3328&amp;" |")-1)),"?"))</f>
        <v/>
      </c>
      <c r="H3328" s="27" t="str">
        <f aca="false">IF(G3328="","",IF(G3328="?","⚠ pub inconnue",IFERROR(INDEX(Pubs!$B$2:$B$3001,MATCH(G3328,Pubs!$A$2:$A$3001,0))&amp;"","⚠ pub inconnue")))</f>
        <v/>
      </c>
      <c r="I3328" s="27" t="str">
        <f aca="false">IF(OR(G3328="",G3328="?"),"",IFERROR(INDEX(Pubs!$C$2:$C$3001,MATCH(G3328,Pubs!$A$2:$A$3001,0))&amp;"",""))</f>
        <v/>
      </c>
      <c r="J3328" s="27" t="str">
        <f aca="false">IF(OR(G3328="",G3328="?"),"",IFERROR(INDEX(Pubs!$G$2:$G$3001,MATCH(G3328,Pubs!$A$2:$A$3001,0))&amp;"",""))</f>
        <v/>
      </c>
      <c r="K3328" s="28" t="str">
        <f aca="false">IF(OR(G3328="",G3328="?"),"",IFERROR(INDEX(Pubs!$E$2:$E$3001,MATCH(G3328,Pubs!$A$2:$A$3001,0)),""))</f>
        <v/>
      </c>
      <c r="L3328" s="29" t="str">
        <f aca="false">IF(A3328="","",IFERROR(1/(1/INDEX(Numéros!$C$2:$C$3001,MATCH(A3328&amp;"|"&amp;B3328,Numéros!$F$2:$F$3001,0))),""))</f>
        <v/>
      </c>
      <c r="M3328" s="27" t="str">
        <f aca="false">IF(OR(G3328="",G3328="?"),"",IFERROR(INDEX(Pubs!$D$2:$D$3001,MATCH(G3328,Pubs!$A$2:$A$3001,0))&amp;"",""))</f>
        <v/>
      </c>
      <c r="N3328" s="27" t="n">
        <f aca="false">N(N3327)+IF(AND(A3328&lt;&gt;"",OR(Recherche!$C$4="",A3328=Recherche!$C$4),OR(Recherche!$C$5="",B3328&amp;""=Recherche!$C$5&amp;""),OR(Recherche!$C$6="",IFERROR(YEAR(L3328),0)=Recherche!$C$6),OR(Recherche!$C$7="",ISNUMBER(SEARCH(Recherche!$C$7,H3328))),OR(Recherche!$C$8="",J3328=Recherche!$C$8),OR(Recherche!$C$9="",I3328=Recherche!$C$9),OR(Recherche!$C$10="",G3328&amp;""=Recherche!$C$10&amp;""),OR(Recherche!$C$11="",E3328=Recherche!$C$11),OR(Recherche!$C$12="",ISNUMBER(SEARCH(Recherche!$C$12,M3328&amp;" "&amp;F3328)))),1,0)</f>
        <v>8</v>
      </c>
    </row>
    <row r="3329" customFormat="false" ht="15" hidden="false" customHeight="false" outlineLevel="0" collapsed="false">
      <c r="A3329" s="19"/>
      <c r="B3329" s="19"/>
      <c r="C3329" s="19"/>
      <c r="D3329" s="19"/>
      <c r="E3329" s="22"/>
      <c r="F3329" s="19"/>
      <c r="G3329" s="26" t="str">
        <f aca="false">IF(D3329="","",IFERROR(VALUE(LEFT(D3329,FIND(" |",D3329&amp;" |")-1)),"?"))</f>
        <v/>
      </c>
      <c r="H3329" s="27" t="str">
        <f aca="false">IF(G3329="","",IF(G3329="?","⚠ pub inconnue",IFERROR(INDEX(Pubs!$B$2:$B$3001,MATCH(G3329,Pubs!$A$2:$A$3001,0))&amp;"","⚠ pub inconnue")))</f>
        <v/>
      </c>
      <c r="I3329" s="27" t="str">
        <f aca="false">IF(OR(G3329="",G3329="?"),"",IFERROR(INDEX(Pubs!$C$2:$C$3001,MATCH(G3329,Pubs!$A$2:$A$3001,0))&amp;"",""))</f>
        <v/>
      </c>
      <c r="J3329" s="27" t="str">
        <f aca="false">IF(OR(G3329="",G3329="?"),"",IFERROR(INDEX(Pubs!$G$2:$G$3001,MATCH(G3329,Pubs!$A$2:$A$3001,0))&amp;"",""))</f>
        <v/>
      </c>
      <c r="K3329" s="28" t="str">
        <f aca="false">IF(OR(G3329="",G3329="?"),"",IFERROR(INDEX(Pubs!$E$2:$E$3001,MATCH(G3329,Pubs!$A$2:$A$3001,0)),""))</f>
        <v/>
      </c>
      <c r="L3329" s="29" t="str">
        <f aca="false">IF(A3329="","",IFERROR(1/(1/INDEX(Numéros!$C$2:$C$3001,MATCH(A3329&amp;"|"&amp;B3329,Numéros!$F$2:$F$3001,0))),""))</f>
        <v/>
      </c>
      <c r="M3329" s="27" t="str">
        <f aca="false">IF(OR(G3329="",G3329="?"),"",IFERROR(INDEX(Pubs!$D$2:$D$3001,MATCH(G3329,Pubs!$A$2:$A$3001,0))&amp;"",""))</f>
        <v/>
      </c>
      <c r="N3329" s="27" t="n">
        <f aca="false">N(N3328)+IF(AND(A3329&lt;&gt;"",OR(Recherche!$C$4="",A3329=Recherche!$C$4),OR(Recherche!$C$5="",B3329&amp;""=Recherche!$C$5&amp;""),OR(Recherche!$C$6="",IFERROR(YEAR(L3329),0)=Recherche!$C$6),OR(Recherche!$C$7="",ISNUMBER(SEARCH(Recherche!$C$7,H3329))),OR(Recherche!$C$8="",J3329=Recherche!$C$8),OR(Recherche!$C$9="",I3329=Recherche!$C$9),OR(Recherche!$C$10="",G3329&amp;""=Recherche!$C$10&amp;""),OR(Recherche!$C$11="",E3329=Recherche!$C$11),OR(Recherche!$C$12="",ISNUMBER(SEARCH(Recherche!$C$12,M3329&amp;" "&amp;F3329)))),1,0)</f>
        <v>8</v>
      </c>
    </row>
    <row r="3330" customFormat="false" ht="15" hidden="false" customHeight="false" outlineLevel="0" collapsed="false">
      <c r="A3330" s="19"/>
      <c r="B3330" s="19"/>
      <c r="C3330" s="19"/>
      <c r="D3330" s="19"/>
      <c r="E3330" s="22"/>
      <c r="F3330" s="19"/>
      <c r="G3330" s="26" t="str">
        <f aca="false">IF(D3330="","",IFERROR(VALUE(LEFT(D3330,FIND(" |",D3330&amp;" |")-1)),"?"))</f>
        <v/>
      </c>
      <c r="H3330" s="27" t="str">
        <f aca="false">IF(G3330="","",IF(G3330="?","⚠ pub inconnue",IFERROR(INDEX(Pubs!$B$2:$B$3001,MATCH(G3330,Pubs!$A$2:$A$3001,0))&amp;"","⚠ pub inconnue")))</f>
        <v/>
      </c>
      <c r="I3330" s="27" t="str">
        <f aca="false">IF(OR(G3330="",G3330="?"),"",IFERROR(INDEX(Pubs!$C$2:$C$3001,MATCH(G3330,Pubs!$A$2:$A$3001,0))&amp;"",""))</f>
        <v/>
      </c>
      <c r="J3330" s="27" t="str">
        <f aca="false">IF(OR(G3330="",G3330="?"),"",IFERROR(INDEX(Pubs!$G$2:$G$3001,MATCH(G3330,Pubs!$A$2:$A$3001,0))&amp;"",""))</f>
        <v/>
      </c>
      <c r="K3330" s="28" t="str">
        <f aca="false">IF(OR(G3330="",G3330="?"),"",IFERROR(INDEX(Pubs!$E$2:$E$3001,MATCH(G3330,Pubs!$A$2:$A$3001,0)),""))</f>
        <v/>
      </c>
      <c r="L3330" s="29" t="str">
        <f aca="false">IF(A3330="","",IFERROR(1/(1/INDEX(Numéros!$C$2:$C$3001,MATCH(A3330&amp;"|"&amp;B3330,Numéros!$F$2:$F$3001,0))),""))</f>
        <v/>
      </c>
      <c r="M3330" s="27" t="str">
        <f aca="false">IF(OR(G3330="",G3330="?"),"",IFERROR(INDEX(Pubs!$D$2:$D$3001,MATCH(G3330,Pubs!$A$2:$A$3001,0))&amp;"",""))</f>
        <v/>
      </c>
      <c r="N3330" s="27" t="n">
        <f aca="false">N(N3329)+IF(AND(A3330&lt;&gt;"",OR(Recherche!$C$4="",A3330=Recherche!$C$4),OR(Recherche!$C$5="",B3330&amp;""=Recherche!$C$5&amp;""),OR(Recherche!$C$6="",IFERROR(YEAR(L3330),0)=Recherche!$C$6),OR(Recherche!$C$7="",ISNUMBER(SEARCH(Recherche!$C$7,H3330))),OR(Recherche!$C$8="",J3330=Recherche!$C$8),OR(Recherche!$C$9="",I3330=Recherche!$C$9),OR(Recherche!$C$10="",G3330&amp;""=Recherche!$C$10&amp;""),OR(Recherche!$C$11="",E3330=Recherche!$C$11),OR(Recherche!$C$12="",ISNUMBER(SEARCH(Recherche!$C$12,M3330&amp;" "&amp;F3330)))),1,0)</f>
        <v>8</v>
      </c>
    </row>
    <row r="3331" customFormat="false" ht="15" hidden="false" customHeight="false" outlineLevel="0" collapsed="false">
      <c r="A3331" s="19"/>
      <c r="B3331" s="19"/>
      <c r="C3331" s="19"/>
      <c r="D3331" s="19"/>
      <c r="E3331" s="22"/>
      <c r="F3331" s="19"/>
      <c r="G3331" s="26" t="str">
        <f aca="false">IF(D3331="","",IFERROR(VALUE(LEFT(D3331,FIND(" |",D3331&amp;" |")-1)),"?"))</f>
        <v/>
      </c>
      <c r="H3331" s="27" t="str">
        <f aca="false">IF(G3331="","",IF(G3331="?","⚠ pub inconnue",IFERROR(INDEX(Pubs!$B$2:$B$3001,MATCH(G3331,Pubs!$A$2:$A$3001,0))&amp;"","⚠ pub inconnue")))</f>
        <v/>
      </c>
      <c r="I3331" s="27" t="str">
        <f aca="false">IF(OR(G3331="",G3331="?"),"",IFERROR(INDEX(Pubs!$C$2:$C$3001,MATCH(G3331,Pubs!$A$2:$A$3001,0))&amp;"",""))</f>
        <v/>
      </c>
      <c r="J3331" s="27" t="str">
        <f aca="false">IF(OR(G3331="",G3331="?"),"",IFERROR(INDEX(Pubs!$G$2:$G$3001,MATCH(G3331,Pubs!$A$2:$A$3001,0))&amp;"",""))</f>
        <v/>
      </c>
      <c r="K3331" s="28" t="str">
        <f aca="false">IF(OR(G3331="",G3331="?"),"",IFERROR(INDEX(Pubs!$E$2:$E$3001,MATCH(G3331,Pubs!$A$2:$A$3001,0)),""))</f>
        <v/>
      </c>
      <c r="L3331" s="29" t="str">
        <f aca="false">IF(A3331="","",IFERROR(1/(1/INDEX(Numéros!$C$2:$C$3001,MATCH(A3331&amp;"|"&amp;B3331,Numéros!$F$2:$F$3001,0))),""))</f>
        <v/>
      </c>
      <c r="M3331" s="27" t="str">
        <f aca="false">IF(OR(G3331="",G3331="?"),"",IFERROR(INDEX(Pubs!$D$2:$D$3001,MATCH(G3331,Pubs!$A$2:$A$3001,0))&amp;"",""))</f>
        <v/>
      </c>
      <c r="N3331" s="27" t="n">
        <f aca="false">N(N3330)+IF(AND(A3331&lt;&gt;"",OR(Recherche!$C$4="",A3331=Recherche!$C$4),OR(Recherche!$C$5="",B3331&amp;""=Recherche!$C$5&amp;""),OR(Recherche!$C$6="",IFERROR(YEAR(L3331),0)=Recherche!$C$6),OR(Recherche!$C$7="",ISNUMBER(SEARCH(Recherche!$C$7,H3331))),OR(Recherche!$C$8="",J3331=Recherche!$C$8),OR(Recherche!$C$9="",I3331=Recherche!$C$9),OR(Recherche!$C$10="",G3331&amp;""=Recherche!$C$10&amp;""),OR(Recherche!$C$11="",E3331=Recherche!$C$11),OR(Recherche!$C$12="",ISNUMBER(SEARCH(Recherche!$C$12,M3331&amp;" "&amp;F3331)))),1,0)</f>
        <v>8</v>
      </c>
    </row>
    <row r="3332" customFormat="false" ht="15" hidden="false" customHeight="false" outlineLevel="0" collapsed="false">
      <c r="A3332" s="19"/>
      <c r="B3332" s="19"/>
      <c r="C3332" s="19"/>
      <c r="D3332" s="19"/>
      <c r="E3332" s="22"/>
      <c r="F3332" s="19"/>
      <c r="G3332" s="26" t="str">
        <f aca="false">IF(D3332="","",IFERROR(VALUE(LEFT(D3332,FIND(" |",D3332&amp;" |")-1)),"?"))</f>
        <v/>
      </c>
      <c r="H3332" s="27" t="str">
        <f aca="false">IF(G3332="","",IF(G3332="?","⚠ pub inconnue",IFERROR(INDEX(Pubs!$B$2:$B$3001,MATCH(G3332,Pubs!$A$2:$A$3001,0))&amp;"","⚠ pub inconnue")))</f>
        <v/>
      </c>
      <c r="I3332" s="27" t="str">
        <f aca="false">IF(OR(G3332="",G3332="?"),"",IFERROR(INDEX(Pubs!$C$2:$C$3001,MATCH(G3332,Pubs!$A$2:$A$3001,0))&amp;"",""))</f>
        <v/>
      </c>
      <c r="J3332" s="27" t="str">
        <f aca="false">IF(OR(G3332="",G3332="?"),"",IFERROR(INDEX(Pubs!$G$2:$G$3001,MATCH(G3332,Pubs!$A$2:$A$3001,0))&amp;"",""))</f>
        <v/>
      </c>
      <c r="K3332" s="28" t="str">
        <f aca="false">IF(OR(G3332="",G3332="?"),"",IFERROR(INDEX(Pubs!$E$2:$E$3001,MATCH(G3332,Pubs!$A$2:$A$3001,0)),""))</f>
        <v/>
      </c>
      <c r="L3332" s="29" t="str">
        <f aca="false">IF(A3332="","",IFERROR(1/(1/INDEX(Numéros!$C$2:$C$3001,MATCH(A3332&amp;"|"&amp;B3332,Numéros!$F$2:$F$3001,0))),""))</f>
        <v/>
      </c>
      <c r="M3332" s="27" t="str">
        <f aca="false">IF(OR(G3332="",G3332="?"),"",IFERROR(INDEX(Pubs!$D$2:$D$3001,MATCH(G3332,Pubs!$A$2:$A$3001,0))&amp;"",""))</f>
        <v/>
      </c>
      <c r="N3332" s="27" t="n">
        <f aca="false">N(N3331)+IF(AND(A3332&lt;&gt;"",OR(Recherche!$C$4="",A3332=Recherche!$C$4),OR(Recherche!$C$5="",B3332&amp;""=Recherche!$C$5&amp;""),OR(Recherche!$C$6="",IFERROR(YEAR(L3332),0)=Recherche!$C$6),OR(Recherche!$C$7="",ISNUMBER(SEARCH(Recherche!$C$7,H3332))),OR(Recherche!$C$8="",J3332=Recherche!$C$8),OR(Recherche!$C$9="",I3332=Recherche!$C$9),OR(Recherche!$C$10="",G3332&amp;""=Recherche!$C$10&amp;""),OR(Recherche!$C$11="",E3332=Recherche!$C$11),OR(Recherche!$C$12="",ISNUMBER(SEARCH(Recherche!$C$12,M3332&amp;" "&amp;F3332)))),1,0)</f>
        <v>8</v>
      </c>
    </row>
    <row r="3333" customFormat="false" ht="15" hidden="false" customHeight="false" outlineLevel="0" collapsed="false">
      <c r="A3333" s="19"/>
      <c r="B3333" s="19"/>
      <c r="C3333" s="19"/>
      <c r="D3333" s="19"/>
      <c r="E3333" s="22"/>
      <c r="F3333" s="19"/>
      <c r="G3333" s="26" t="str">
        <f aca="false">IF(D3333="","",IFERROR(VALUE(LEFT(D3333,FIND(" |",D3333&amp;" |")-1)),"?"))</f>
        <v/>
      </c>
      <c r="H3333" s="27" t="str">
        <f aca="false">IF(G3333="","",IF(G3333="?","⚠ pub inconnue",IFERROR(INDEX(Pubs!$B$2:$B$3001,MATCH(G3333,Pubs!$A$2:$A$3001,0))&amp;"","⚠ pub inconnue")))</f>
        <v/>
      </c>
      <c r="I3333" s="27" t="str">
        <f aca="false">IF(OR(G3333="",G3333="?"),"",IFERROR(INDEX(Pubs!$C$2:$C$3001,MATCH(G3333,Pubs!$A$2:$A$3001,0))&amp;"",""))</f>
        <v/>
      </c>
      <c r="J3333" s="27" t="str">
        <f aca="false">IF(OR(G3333="",G3333="?"),"",IFERROR(INDEX(Pubs!$G$2:$G$3001,MATCH(G3333,Pubs!$A$2:$A$3001,0))&amp;"",""))</f>
        <v/>
      </c>
      <c r="K3333" s="28" t="str">
        <f aca="false">IF(OR(G3333="",G3333="?"),"",IFERROR(INDEX(Pubs!$E$2:$E$3001,MATCH(G3333,Pubs!$A$2:$A$3001,0)),""))</f>
        <v/>
      </c>
      <c r="L3333" s="29" t="str">
        <f aca="false">IF(A3333="","",IFERROR(1/(1/INDEX(Numéros!$C$2:$C$3001,MATCH(A3333&amp;"|"&amp;B3333,Numéros!$F$2:$F$3001,0))),""))</f>
        <v/>
      </c>
      <c r="M3333" s="27" t="str">
        <f aca="false">IF(OR(G3333="",G3333="?"),"",IFERROR(INDEX(Pubs!$D$2:$D$3001,MATCH(G3333,Pubs!$A$2:$A$3001,0))&amp;"",""))</f>
        <v/>
      </c>
      <c r="N3333" s="27" t="n">
        <f aca="false">N(N3332)+IF(AND(A3333&lt;&gt;"",OR(Recherche!$C$4="",A3333=Recherche!$C$4),OR(Recherche!$C$5="",B3333&amp;""=Recherche!$C$5&amp;""),OR(Recherche!$C$6="",IFERROR(YEAR(L3333),0)=Recherche!$C$6),OR(Recherche!$C$7="",ISNUMBER(SEARCH(Recherche!$C$7,H3333))),OR(Recherche!$C$8="",J3333=Recherche!$C$8),OR(Recherche!$C$9="",I3333=Recherche!$C$9),OR(Recherche!$C$10="",G3333&amp;""=Recherche!$C$10&amp;""),OR(Recherche!$C$11="",E3333=Recherche!$C$11),OR(Recherche!$C$12="",ISNUMBER(SEARCH(Recherche!$C$12,M3333&amp;" "&amp;F3333)))),1,0)</f>
        <v>8</v>
      </c>
    </row>
    <row r="3334" customFormat="false" ht="15" hidden="false" customHeight="false" outlineLevel="0" collapsed="false">
      <c r="A3334" s="19"/>
      <c r="B3334" s="19"/>
      <c r="C3334" s="19"/>
      <c r="D3334" s="19"/>
      <c r="E3334" s="22"/>
      <c r="F3334" s="19"/>
      <c r="G3334" s="26" t="str">
        <f aca="false">IF(D3334="","",IFERROR(VALUE(LEFT(D3334,FIND(" |",D3334&amp;" |")-1)),"?"))</f>
        <v/>
      </c>
      <c r="H3334" s="27" t="str">
        <f aca="false">IF(G3334="","",IF(G3334="?","⚠ pub inconnue",IFERROR(INDEX(Pubs!$B$2:$B$3001,MATCH(G3334,Pubs!$A$2:$A$3001,0))&amp;"","⚠ pub inconnue")))</f>
        <v/>
      </c>
      <c r="I3334" s="27" t="str">
        <f aca="false">IF(OR(G3334="",G3334="?"),"",IFERROR(INDEX(Pubs!$C$2:$C$3001,MATCH(G3334,Pubs!$A$2:$A$3001,0))&amp;"",""))</f>
        <v/>
      </c>
      <c r="J3334" s="27" t="str">
        <f aca="false">IF(OR(G3334="",G3334="?"),"",IFERROR(INDEX(Pubs!$G$2:$G$3001,MATCH(G3334,Pubs!$A$2:$A$3001,0))&amp;"",""))</f>
        <v/>
      </c>
      <c r="K3334" s="28" t="str">
        <f aca="false">IF(OR(G3334="",G3334="?"),"",IFERROR(INDEX(Pubs!$E$2:$E$3001,MATCH(G3334,Pubs!$A$2:$A$3001,0)),""))</f>
        <v/>
      </c>
      <c r="L3334" s="29" t="str">
        <f aca="false">IF(A3334="","",IFERROR(1/(1/INDEX(Numéros!$C$2:$C$3001,MATCH(A3334&amp;"|"&amp;B3334,Numéros!$F$2:$F$3001,0))),""))</f>
        <v/>
      </c>
      <c r="M3334" s="27" t="str">
        <f aca="false">IF(OR(G3334="",G3334="?"),"",IFERROR(INDEX(Pubs!$D$2:$D$3001,MATCH(G3334,Pubs!$A$2:$A$3001,0))&amp;"",""))</f>
        <v/>
      </c>
      <c r="N3334" s="27" t="n">
        <f aca="false">N(N3333)+IF(AND(A3334&lt;&gt;"",OR(Recherche!$C$4="",A3334=Recherche!$C$4),OR(Recherche!$C$5="",B3334&amp;""=Recherche!$C$5&amp;""),OR(Recherche!$C$6="",IFERROR(YEAR(L3334),0)=Recherche!$C$6),OR(Recherche!$C$7="",ISNUMBER(SEARCH(Recherche!$C$7,H3334))),OR(Recherche!$C$8="",J3334=Recherche!$C$8),OR(Recherche!$C$9="",I3334=Recherche!$C$9),OR(Recherche!$C$10="",G3334&amp;""=Recherche!$C$10&amp;""),OR(Recherche!$C$11="",E3334=Recherche!$C$11),OR(Recherche!$C$12="",ISNUMBER(SEARCH(Recherche!$C$12,M3334&amp;" "&amp;F3334)))),1,0)</f>
        <v>8</v>
      </c>
    </row>
    <row r="3335" customFormat="false" ht="15" hidden="false" customHeight="false" outlineLevel="0" collapsed="false">
      <c r="A3335" s="19"/>
      <c r="B3335" s="19"/>
      <c r="C3335" s="19"/>
      <c r="D3335" s="19"/>
      <c r="E3335" s="22"/>
      <c r="F3335" s="19"/>
      <c r="G3335" s="26" t="str">
        <f aca="false">IF(D3335="","",IFERROR(VALUE(LEFT(D3335,FIND(" |",D3335&amp;" |")-1)),"?"))</f>
        <v/>
      </c>
      <c r="H3335" s="27" t="str">
        <f aca="false">IF(G3335="","",IF(G3335="?","⚠ pub inconnue",IFERROR(INDEX(Pubs!$B$2:$B$3001,MATCH(G3335,Pubs!$A$2:$A$3001,0))&amp;"","⚠ pub inconnue")))</f>
        <v/>
      </c>
      <c r="I3335" s="27" t="str">
        <f aca="false">IF(OR(G3335="",G3335="?"),"",IFERROR(INDEX(Pubs!$C$2:$C$3001,MATCH(G3335,Pubs!$A$2:$A$3001,0))&amp;"",""))</f>
        <v/>
      </c>
      <c r="J3335" s="27" t="str">
        <f aca="false">IF(OR(G3335="",G3335="?"),"",IFERROR(INDEX(Pubs!$G$2:$G$3001,MATCH(G3335,Pubs!$A$2:$A$3001,0))&amp;"",""))</f>
        <v/>
      </c>
      <c r="K3335" s="28" t="str">
        <f aca="false">IF(OR(G3335="",G3335="?"),"",IFERROR(INDEX(Pubs!$E$2:$E$3001,MATCH(G3335,Pubs!$A$2:$A$3001,0)),""))</f>
        <v/>
      </c>
      <c r="L3335" s="29" t="str">
        <f aca="false">IF(A3335="","",IFERROR(1/(1/INDEX(Numéros!$C$2:$C$3001,MATCH(A3335&amp;"|"&amp;B3335,Numéros!$F$2:$F$3001,0))),""))</f>
        <v/>
      </c>
      <c r="M3335" s="27" t="str">
        <f aca="false">IF(OR(G3335="",G3335="?"),"",IFERROR(INDEX(Pubs!$D$2:$D$3001,MATCH(G3335,Pubs!$A$2:$A$3001,0))&amp;"",""))</f>
        <v/>
      </c>
      <c r="N3335" s="27" t="n">
        <f aca="false">N(N3334)+IF(AND(A3335&lt;&gt;"",OR(Recherche!$C$4="",A3335=Recherche!$C$4),OR(Recherche!$C$5="",B3335&amp;""=Recherche!$C$5&amp;""),OR(Recherche!$C$6="",IFERROR(YEAR(L3335),0)=Recherche!$C$6),OR(Recherche!$C$7="",ISNUMBER(SEARCH(Recherche!$C$7,H3335))),OR(Recherche!$C$8="",J3335=Recherche!$C$8),OR(Recherche!$C$9="",I3335=Recherche!$C$9),OR(Recherche!$C$10="",G3335&amp;""=Recherche!$C$10&amp;""),OR(Recherche!$C$11="",E3335=Recherche!$C$11),OR(Recherche!$C$12="",ISNUMBER(SEARCH(Recherche!$C$12,M3335&amp;" "&amp;F3335)))),1,0)</f>
        <v>8</v>
      </c>
    </row>
    <row r="3336" customFormat="false" ht="15" hidden="false" customHeight="false" outlineLevel="0" collapsed="false">
      <c r="A3336" s="19"/>
      <c r="B3336" s="19"/>
      <c r="C3336" s="19"/>
      <c r="D3336" s="19"/>
      <c r="E3336" s="22"/>
      <c r="F3336" s="19"/>
      <c r="G3336" s="26" t="str">
        <f aca="false">IF(D3336="","",IFERROR(VALUE(LEFT(D3336,FIND(" |",D3336&amp;" |")-1)),"?"))</f>
        <v/>
      </c>
      <c r="H3336" s="27" t="str">
        <f aca="false">IF(G3336="","",IF(G3336="?","⚠ pub inconnue",IFERROR(INDEX(Pubs!$B$2:$B$3001,MATCH(G3336,Pubs!$A$2:$A$3001,0))&amp;"","⚠ pub inconnue")))</f>
        <v/>
      </c>
      <c r="I3336" s="27" t="str">
        <f aca="false">IF(OR(G3336="",G3336="?"),"",IFERROR(INDEX(Pubs!$C$2:$C$3001,MATCH(G3336,Pubs!$A$2:$A$3001,0))&amp;"",""))</f>
        <v/>
      </c>
      <c r="J3336" s="27" t="str">
        <f aca="false">IF(OR(G3336="",G3336="?"),"",IFERROR(INDEX(Pubs!$G$2:$G$3001,MATCH(G3336,Pubs!$A$2:$A$3001,0))&amp;"",""))</f>
        <v/>
      </c>
      <c r="K3336" s="28" t="str">
        <f aca="false">IF(OR(G3336="",G3336="?"),"",IFERROR(INDEX(Pubs!$E$2:$E$3001,MATCH(G3336,Pubs!$A$2:$A$3001,0)),""))</f>
        <v/>
      </c>
      <c r="L3336" s="29" t="str">
        <f aca="false">IF(A3336="","",IFERROR(1/(1/INDEX(Numéros!$C$2:$C$3001,MATCH(A3336&amp;"|"&amp;B3336,Numéros!$F$2:$F$3001,0))),""))</f>
        <v/>
      </c>
      <c r="M3336" s="27" t="str">
        <f aca="false">IF(OR(G3336="",G3336="?"),"",IFERROR(INDEX(Pubs!$D$2:$D$3001,MATCH(G3336,Pubs!$A$2:$A$3001,0))&amp;"",""))</f>
        <v/>
      </c>
      <c r="N3336" s="27" t="n">
        <f aca="false">N(N3335)+IF(AND(A3336&lt;&gt;"",OR(Recherche!$C$4="",A3336=Recherche!$C$4),OR(Recherche!$C$5="",B3336&amp;""=Recherche!$C$5&amp;""),OR(Recherche!$C$6="",IFERROR(YEAR(L3336),0)=Recherche!$C$6),OR(Recherche!$C$7="",ISNUMBER(SEARCH(Recherche!$C$7,H3336))),OR(Recherche!$C$8="",J3336=Recherche!$C$8),OR(Recherche!$C$9="",I3336=Recherche!$C$9),OR(Recherche!$C$10="",G3336&amp;""=Recherche!$C$10&amp;""),OR(Recherche!$C$11="",E3336=Recherche!$C$11),OR(Recherche!$C$12="",ISNUMBER(SEARCH(Recherche!$C$12,M3336&amp;" "&amp;F3336)))),1,0)</f>
        <v>8</v>
      </c>
    </row>
    <row r="3337" customFormat="false" ht="15" hidden="false" customHeight="false" outlineLevel="0" collapsed="false">
      <c r="A3337" s="19"/>
      <c r="B3337" s="19"/>
      <c r="C3337" s="19"/>
      <c r="D3337" s="19"/>
      <c r="E3337" s="22"/>
      <c r="F3337" s="19"/>
      <c r="G3337" s="26" t="str">
        <f aca="false">IF(D3337="","",IFERROR(VALUE(LEFT(D3337,FIND(" |",D3337&amp;" |")-1)),"?"))</f>
        <v/>
      </c>
      <c r="H3337" s="27" t="str">
        <f aca="false">IF(G3337="","",IF(G3337="?","⚠ pub inconnue",IFERROR(INDEX(Pubs!$B$2:$B$3001,MATCH(G3337,Pubs!$A$2:$A$3001,0))&amp;"","⚠ pub inconnue")))</f>
        <v/>
      </c>
      <c r="I3337" s="27" t="str">
        <f aca="false">IF(OR(G3337="",G3337="?"),"",IFERROR(INDEX(Pubs!$C$2:$C$3001,MATCH(G3337,Pubs!$A$2:$A$3001,0))&amp;"",""))</f>
        <v/>
      </c>
      <c r="J3337" s="27" t="str">
        <f aca="false">IF(OR(G3337="",G3337="?"),"",IFERROR(INDEX(Pubs!$G$2:$G$3001,MATCH(G3337,Pubs!$A$2:$A$3001,0))&amp;"",""))</f>
        <v/>
      </c>
      <c r="K3337" s="28" t="str">
        <f aca="false">IF(OR(G3337="",G3337="?"),"",IFERROR(INDEX(Pubs!$E$2:$E$3001,MATCH(G3337,Pubs!$A$2:$A$3001,0)),""))</f>
        <v/>
      </c>
      <c r="L3337" s="29" t="str">
        <f aca="false">IF(A3337="","",IFERROR(1/(1/INDEX(Numéros!$C$2:$C$3001,MATCH(A3337&amp;"|"&amp;B3337,Numéros!$F$2:$F$3001,0))),""))</f>
        <v/>
      </c>
      <c r="M3337" s="27" t="str">
        <f aca="false">IF(OR(G3337="",G3337="?"),"",IFERROR(INDEX(Pubs!$D$2:$D$3001,MATCH(G3337,Pubs!$A$2:$A$3001,0))&amp;"",""))</f>
        <v/>
      </c>
      <c r="N3337" s="27" t="n">
        <f aca="false">N(N3336)+IF(AND(A3337&lt;&gt;"",OR(Recherche!$C$4="",A3337=Recherche!$C$4),OR(Recherche!$C$5="",B3337&amp;""=Recherche!$C$5&amp;""),OR(Recherche!$C$6="",IFERROR(YEAR(L3337),0)=Recherche!$C$6),OR(Recherche!$C$7="",ISNUMBER(SEARCH(Recherche!$C$7,H3337))),OR(Recherche!$C$8="",J3337=Recherche!$C$8),OR(Recherche!$C$9="",I3337=Recherche!$C$9),OR(Recherche!$C$10="",G3337&amp;""=Recherche!$C$10&amp;""),OR(Recherche!$C$11="",E3337=Recherche!$C$11),OR(Recherche!$C$12="",ISNUMBER(SEARCH(Recherche!$C$12,M3337&amp;" "&amp;F3337)))),1,0)</f>
        <v>8</v>
      </c>
    </row>
    <row r="3338" customFormat="false" ht="15" hidden="false" customHeight="false" outlineLevel="0" collapsed="false">
      <c r="A3338" s="19"/>
      <c r="B3338" s="19"/>
      <c r="C3338" s="19"/>
      <c r="D3338" s="19"/>
      <c r="E3338" s="22"/>
      <c r="F3338" s="19"/>
      <c r="G3338" s="26" t="str">
        <f aca="false">IF(D3338="","",IFERROR(VALUE(LEFT(D3338,FIND(" |",D3338&amp;" |")-1)),"?"))</f>
        <v/>
      </c>
      <c r="H3338" s="27" t="str">
        <f aca="false">IF(G3338="","",IF(G3338="?","⚠ pub inconnue",IFERROR(INDEX(Pubs!$B$2:$B$3001,MATCH(G3338,Pubs!$A$2:$A$3001,0))&amp;"","⚠ pub inconnue")))</f>
        <v/>
      </c>
      <c r="I3338" s="27" t="str">
        <f aca="false">IF(OR(G3338="",G3338="?"),"",IFERROR(INDEX(Pubs!$C$2:$C$3001,MATCH(G3338,Pubs!$A$2:$A$3001,0))&amp;"",""))</f>
        <v/>
      </c>
      <c r="J3338" s="27" t="str">
        <f aca="false">IF(OR(G3338="",G3338="?"),"",IFERROR(INDEX(Pubs!$G$2:$G$3001,MATCH(G3338,Pubs!$A$2:$A$3001,0))&amp;"",""))</f>
        <v/>
      </c>
      <c r="K3338" s="28" t="str">
        <f aca="false">IF(OR(G3338="",G3338="?"),"",IFERROR(INDEX(Pubs!$E$2:$E$3001,MATCH(G3338,Pubs!$A$2:$A$3001,0)),""))</f>
        <v/>
      </c>
      <c r="L3338" s="29" t="str">
        <f aca="false">IF(A3338="","",IFERROR(1/(1/INDEX(Numéros!$C$2:$C$3001,MATCH(A3338&amp;"|"&amp;B3338,Numéros!$F$2:$F$3001,0))),""))</f>
        <v/>
      </c>
      <c r="M3338" s="27" t="str">
        <f aca="false">IF(OR(G3338="",G3338="?"),"",IFERROR(INDEX(Pubs!$D$2:$D$3001,MATCH(G3338,Pubs!$A$2:$A$3001,0))&amp;"",""))</f>
        <v/>
      </c>
      <c r="N3338" s="27" t="n">
        <f aca="false">N(N3337)+IF(AND(A3338&lt;&gt;"",OR(Recherche!$C$4="",A3338=Recherche!$C$4),OR(Recherche!$C$5="",B3338&amp;""=Recherche!$C$5&amp;""),OR(Recherche!$C$6="",IFERROR(YEAR(L3338),0)=Recherche!$C$6),OR(Recherche!$C$7="",ISNUMBER(SEARCH(Recherche!$C$7,H3338))),OR(Recherche!$C$8="",J3338=Recherche!$C$8),OR(Recherche!$C$9="",I3338=Recherche!$C$9),OR(Recherche!$C$10="",G3338&amp;""=Recherche!$C$10&amp;""),OR(Recherche!$C$11="",E3338=Recherche!$C$11),OR(Recherche!$C$12="",ISNUMBER(SEARCH(Recherche!$C$12,M3338&amp;" "&amp;F3338)))),1,0)</f>
        <v>8</v>
      </c>
    </row>
    <row r="3339" customFormat="false" ht="15" hidden="false" customHeight="false" outlineLevel="0" collapsed="false">
      <c r="A3339" s="19"/>
      <c r="B3339" s="19"/>
      <c r="C3339" s="19"/>
      <c r="D3339" s="19"/>
      <c r="E3339" s="22"/>
      <c r="F3339" s="19"/>
      <c r="G3339" s="26" t="str">
        <f aca="false">IF(D3339="","",IFERROR(VALUE(LEFT(D3339,FIND(" |",D3339&amp;" |")-1)),"?"))</f>
        <v/>
      </c>
      <c r="H3339" s="27" t="str">
        <f aca="false">IF(G3339="","",IF(G3339="?","⚠ pub inconnue",IFERROR(INDEX(Pubs!$B$2:$B$3001,MATCH(G3339,Pubs!$A$2:$A$3001,0))&amp;"","⚠ pub inconnue")))</f>
        <v/>
      </c>
      <c r="I3339" s="27" t="str">
        <f aca="false">IF(OR(G3339="",G3339="?"),"",IFERROR(INDEX(Pubs!$C$2:$C$3001,MATCH(G3339,Pubs!$A$2:$A$3001,0))&amp;"",""))</f>
        <v/>
      </c>
      <c r="J3339" s="27" t="str">
        <f aca="false">IF(OR(G3339="",G3339="?"),"",IFERROR(INDEX(Pubs!$G$2:$G$3001,MATCH(G3339,Pubs!$A$2:$A$3001,0))&amp;"",""))</f>
        <v/>
      </c>
      <c r="K3339" s="28" t="str">
        <f aca="false">IF(OR(G3339="",G3339="?"),"",IFERROR(INDEX(Pubs!$E$2:$E$3001,MATCH(G3339,Pubs!$A$2:$A$3001,0)),""))</f>
        <v/>
      </c>
      <c r="L3339" s="29" t="str">
        <f aca="false">IF(A3339="","",IFERROR(1/(1/INDEX(Numéros!$C$2:$C$3001,MATCH(A3339&amp;"|"&amp;B3339,Numéros!$F$2:$F$3001,0))),""))</f>
        <v/>
      </c>
      <c r="M3339" s="27" t="str">
        <f aca="false">IF(OR(G3339="",G3339="?"),"",IFERROR(INDEX(Pubs!$D$2:$D$3001,MATCH(G3339,Pubs!$A$2:$A$3001,0))&amp;"",""))</f>
        <v/>
      </c>
      <c r="N3339" s="27" t="n">
        <f aca="false">N(N3338)+IF(AND(A3339&lt;&gt;"",OR(Recherche!$C$4="",A3339=Recherche!$C$4),OR(Recherche!$C$5="",B3339&amp;""=Recherche!$C$5&amp;""),OR(Recherche!$C$6="",IFERROR(YEAR(L3339),0)=Recherche!$C$6),OR(Recherche!$C$7="",ISNUMBER(SEARCH(Recherche!$C$7,H3339))),OR(Recherche!$C$8="",J3339=Recherche!$C$8),OR(Recherche!$C$9="",I3339=Recherche!$C$9),OR(Recherche!$C$10="",G3339&amp;""=Recherche!$C$10&amp;""),OR(Recherche!$C$11="",E3339=Recherche!$C$11),OR(Recherche!$C$12="",ISNUMBER(SEARCH(Recherche!$C$12,M3339&amp;" "&amp;F3339)))),1,0)</f>
        <v>8</v>
      </c>
    </row>
    <row r="3340" customFormat="false" ht="15" hidden="false" customHeight="false" outlineLevel="0" collapsed="false">
      <c r="A3340" s="19"/>
      <c r="B3340" s="19"/>
      <c r="C3340" s="19"/>
      <c r="D3340" s="19"/>
      <c r="E3340" s="22"/>
      <c r="F3340" s="19"/>
      <c r="G3340" s="26" t="str">
        <f aca="false">IF(D3340="","",IFERROR(VALUE(LEFT(D3340,FIND(" |",D3340&amp;" |")-1)),"?"))</f>
        <v/>
      </c>
      <c r="H3340" s="27" t="str">
        <f aca="false">IF(G3340="","",IF(G3340="?","⚠ pub inconnue",IFERROR(INDEX(Pubs!$B$2:$B$3001,MATCH(G3340,Pubs!$A$2:$A$3001,0))&amp;"","⚠ pub inconnue")))</f>
        <v/>
      </c>
      <c r="I3340" s="27" t="str">
        <f aca="false">IF(OR(G3340="",G3340="?"),"",IFERROR(INDEX(Pubs!$C$2:$C$3001,MATCH(G3340,Pubs!$A$2:$A$3001,0))&amp;"",""))</f>
        <v/>
      </c>
      <c r="J3340" s="27" t="str">
        <f aca="false">IF(OR(G3340="",G3340="?"),"",IFERROR(INDEX(Pubs!$G$2:$G$3001,MATCH(G3340,Pubs!$A$2:$A$3001,0))&amp;"",""))</f>
        <v/>
      </c>
      <c r="K3340" s="28" t="str">
        <f aca="false">IF(OR(G3340="",G3340="?"),"",IFERROR(INDEX(Pubs!$E$2:$E$3001,MATCH(G3340,Pubs!$A$2:$A$3001,0)),""))</f>
        <v/>
      </c>
      <c r="L3340" s="29" t="str">
        <f aca="false">IF(A3340="","",IFERROR(1/(1/INDEX(Numéros!$C$2:$C$3001,MATCH(A3340&amp;"|"&amp;B3340,Numéros!$F$2:$F$3001,0))),""))</f>
        <v/>
      </c>
      <c r="M3340" s="27" t="str">
        <f aca="false">IF(OR(G3340="",G3340="?"),"",IFERROR(INDEX(Pubs!$D$2:$D$3001,MATCH(G3340,Pubs!$A$2:$A$3001,0))&amp;"",""))</f>
        <v/>
      </c>
      <c r="N3340" s="27" t="n">
        <f aca="false">N(N3339)+IF(AND(A3340&lt;&gt;"",OR(Recherche!$C$4="",A3340=Recherche!$C$4),OR(Recherche!$C$5="",B3340&amp;""=Recherche!$C$5&amp;""),OR(Recherche!$C$6="",IFERROR(YEAR(L3340),0)=Recherche!$C$6),OR(Recherche!$C$7="",ISNUMBER(SEARCH(Recherche!$C$7,H3340))),OR(Recherche!$C$8="",J3340=Recherche!$C$8),OR(Recherche!$C$9="",I3340=Recherche!$C$9),OR(Recherche!$C$10="",G3340&amp;""=Recherche!$C$10&amp;""),OR(Recherche!$C$11="",E3340=Recherche!$C$11),OR(Recherche!$C$12="",ISNUMBER(SEARCH(Recherche!$C$12,M3340&amp;" "&amp;F3340)))),1,0)</f>
        <v>8</v>
      </c>
    </row>
    <row r="3341" customFormat="false" ht="15" hidden="false" customHeight="false" outlineLevel="0" collapsed="false">
      <c r="A3341" s="19"/>
      <c r="B3341" s="19"/>
      <c r="C3341" s="19"/>
      <c r="D3341" s="19"/>
      <c r="E3341" s="22"/>
      <c r="F3341" s="19"/>
      <c r="G3341" s="26" t="str">
        <f aca="false">IF(D3341="","",IFERROR(VALUE(LEFT(D3341,FIND(" |",D3341&amp;" |")-1)),"?"))</f>
        <v/>
      </c>
      <c r="H3341" s="27" t="str">
        <f aca="false">IF(G3341="","",IF(G3341="?","⚠ pub inconnue",IFERROR(INDEX(Pubs!$B$2:$B$3001,MATCH(G3341,Pubs!$A$2:$A$3001,0))&amp;"","⚠ pub inconnue")))</f>
        <v/>
      </c>
      <c r="I3341" s="27" t="str">
        <f aca="false">IF(OR(G3341="",G3341="?"),"",IFERROR(INDEX(Pubs!$C$2:$C$3001,MATCH(G3341,Pubs!$A$2:$A$3001,0))&amp;"",""))</f>
        <v/>
      </c>
      <c r="J3341" s="27" t="str">
        <f aca="false">IF(OR(G3341="",G3341="?"),"",IFERROR(INDEX(Pubs!$G$2:$G$3001,MATCH(G3341,Pubs!$A$2:$A$3001,0))&amp;"",""))</f>
        <v/>
      </c>
      <c r="K3341" s="28" t="str">
        <f aca="false">IF(OR(G3341="",G3341="?"),"",IFERROR(INDEX(Pubs!$E$2:$E$3001,MATCH(G3341,Pubs!$A$2:$A$3001,0)),""))</f>
        <v/>
      </c>
      <c r="L3341" s="29" t="str">
        <f aca="false">IF(A3341="","",IFERROR(1/(1/INDEX(Numéros!$C$2:$C$3001,MATCH(A3341&amp;"|"&amp;B3341,Numéros!$F$2:$F$3001,0))),""))</f>
        <v/>
      </c>
      <c r="M3341" s="27" t="str">
        <f aca="false">IF(OR(G3341="",G3341="?"),"",IFERROR(INDEX(Pubs!$D$2:$D$3001,MATCH(G3341,Pubs!$A$2:$A$3001,0))&amp;"",""))</f>
        <v/>
      </c>
      <c r="N3341" s="27" t="n">
        <f aca="false">N(N3340)+IF(AND(A3341&lt;&gt;"",OR(Recherche!$C$4="",A3341=Recherche!$C$4),OR(Recherche!$C$5="",B3341&amp;""=Recherche!$C$5&amp;""),OR(Recherche!$C$6="",IFERROR(YEAR(L3341),0)=Recherche!$C$6),OR(Recherche!$C$7="",ISNUMBER(SEARCH(Recherche!$C$7,H3341))),OR(Recherche!$C$8="",J3341=Recherche!$C$8),OR(Recherche!$C$9="",I3341=Recherche!$C$9),OR(Recherche!$C$10="",G3341&amp;""=Recherche!$C$10&amp;""),OR(Recherche!$C$11="",E3341=Recherche!$C$11),OR(Recherche!$C$12="",ISNUMBER(SEARCH(Recherche!$C$12,M3341&amp;" "&amp;F3341)))),1,0)</f>
        <v>8</v>
      </c>
    </row>
    <row r="3342" customFormat="false" ht="15" hidden="false" customHeight="false" outlineLevel="0" collapsed="false">
      <c r="A3342" s="19"/>
      <c r="B3342" s="19"/>
      <c r="C3342" s="19"/>
      <c r="D3342" s="19"/>
      <c r="E3342" s="22"/>
      <c r="F3342" s="19"/>
      <c r="G3342" s="26" t="str">
        <f aca="false">IF(D3342="","",IFERROR(VALUE(LEFT(D3342,FIND(" |",D3342&amp;" |")-1)),"?"))</f>
        <v/>
      </c>
      <c r="H3342" s="27" t="str">
        <f aca="false">IF(G3342="","",IF(G3342="?","⚠ pub inconnue",IFERROR(INDEX(Pubs!$B$2:$B$3001,MATCH(G3342,Pubs!$A$2:$A$3001,0))&amp;"","⚠ pub inconnue")))</f>
        <v/>
      </c>
      <c r="I3342" s="27" t="str">
        <f aca="false">IF(OR(G3342="",G3342="?"),"",IFERROR(INDEX(Pubs!$C$2:$C$3001,MATCH(G3342,Pubs!$A$2:$A$3001,0))&amp;"",""))</f>
        <v/>
      </c>
      <c r="J3342" s="27" t="str">
        <f aca="false">IF(OR(G3342="",G3342="?"),"",IFERROR(INDEX(Pubs!$G$2:$G$3001,MATCH(G3342,Pubs!$A$2:$A$3001,0))&amp;"",""))</f>
        <v/>
      </c>
      <c r="K3342" s="28" t="str">
        <f aca="false">IF(OR(G3342="",G3342="?"),"",IFERROR(INDEX(Pubs!$E$2:$E$3001,MATCH(G3342,Pubs!$A$2:$A$3001,0)),""))</f>
        <v/>
      </c>
      <c r="L3342" s="29" t="str">
        <f aca="false">IF(A3342="","",IFERROR(1/(1/INDEX(Numéros!$C$2:$C$3001,MATCH(A3342&amp;"|"&amp;B3342,Numéros!$F$2:$F$3001,0))),""))</f>
        <v/>
      </c>
      <c r="M3342" s="27" t="str">
        <f aca="false">IF(OR(G3342="",G3342="?"),"",IFERROR(INDEX(Pubs!$D$2:$D$3001,MATCH(G3342,Pubs!$A$2:$A$3001,0))&amp;"",""))</f>
        <v/>
      </c>
      <c r="N3342" s="27" t="n">
        <f aca="false">N(N3341)+IF(AND(A3342&lt;&gt;"",OR(Recherche!$C$4="",A3342=Recherche!$C$4),OR(Recherche!$C$5="",B3342&amp;""=Recherche!$C$5&amp;""),OR(Recherche!$C$6="",IFERROR(YEAR(L3342),0)=Recherche!$C$6),OR(Recherche!$C$7="",ISNUMBER(SEARCH(Recherche!$C$7,H3342))),OR(Recherche!$C$8="",J3342=Recherche!$C$8),OR(Recherche!$C$9="",I3342=Recherche!$C$9),OR(Recherche!$C$10="",G3342&amp;""=Recherche!$C$10&amp;""),OR(Recherche!$C$11="",E3342=Recherche!$C$11),OR(Recherche!$C$12="",ISNUMBER(SEARCH(Recherche!$C$12,M3342&amp;" "&amp;F3342)))),1,0)</f>
        <v>8</v>
      </c>
    </row>
    <row r="3343" customFormat="false" ht="15" hidden="false" customHeight="false" outlineLevel="0" collapsed="false">
      <c r="A3343" s="19"/>
      <c r="B3343" s="19"/>
      <c r="C3343" s="19"/>
      <c r="D3343" s="19"/>
      <c r="E3343" s="22"/>
      <c r="F3343" s="19"/>
      <c r="G3343" s="26" t="str">
        <f aca="false">IF(D3343="","",IFERROR(VALUE(LEFT(D3343,FIND(" |",D3343&amp;" |")-1)),"?"))</f>
        <v/>
      </c>
      <c r="H3343" s="27" t="str">
        <f aca="false">IF(G3343="","",IF(G3343="?","⚠ pub inconnue",IFERROR(INDEX(Pubs!$B$2:$B$3001,MATCH(G3343,Pubs!$A$2:$A$3001,0))&amp;"","⚠ pub inconnue")))</f>
        <v/>
      </c>
      <c r="I3343" s="27" t="str">
        <f aca="false">IF(OR(G3343="",G3343="?"),"",IFERROR(INDEX(Pubs!$C$2:$C$3001,MATCH(G3343,Pubs!$A$2:$A$3001,0))&amp;"",""))</f>
        <v/>
      </c>
      <c r="J3343" s="27" t="str">
        <f aca="false">IF(OR(G3343="",G3343="?"),"",IFERROR(INDEX(Pubs!$G$2:$G$3001,MATCH(G3343,Pubs!$A$2:$A$3001,0))&amp;"",""))</f>
        <v/>
      </c>
      <c r="K3343" s="28" t="str">
        <f aca="false">IF(OR(G3343="",G3343="?"),"",IFERROR(INDEX(Pubs!$E$2:$E$3001,MATCH(G3343,Pubs!$A$2:$A$3001,0)),""))</f>
        <v/>
      </c>
      <c r="L3343" s="29" t="str">
        <f aca="false">IF(A3343="","",IFERROR(1/(1/INDEX(Numéros!$C$2:$C$3001,MATCH(A3343&amp;"|"&amp;B3343,Numéros!$F$2:$F$3001,0))),""))</f>
        <v/>
      </c>
      <c r="M3343" s="27" t="str">
        <f aca="false">IF(OR(G3343="",G3343="?"),"",IFERROR(INDEX(Pubs!$D$2:$D$3001,MATCH(G3343,Pubs!$A$2:$A$3001,0))&amp;"",""))</f>
        <v/>
      </c>
      <c r="N3343" s="27" t="n">
        <f aca="false">N(N3342)+IF(AND(A3343&lt;&gt;"",OR(Recherche!$C$4="",A3343=Recherche!$C$4),OR(Recherche!$C$5="",B3343&amp;""=Recherche!$C$5&amp;""),OR(Recherche!$C$6="",IFERROR(YEAR(L3343),0)=Recherche!$C$6),OR(Recherche!$C$7="",ISNUMBER(SEARCH(Recherche!$C$7,H3343))),OR(Recherche!$C$8="",J3343=Recherche!$C$8),OR(Recherche!$C$9="",I3343=Recherche!$C$9),OR(Recherche!$C$10="",G3343&amp;""=Recherche!$C$10&amp;""),OR(Recherche!$C$11="",E3343=Recherche!$C$11),OR(Recherche!$C$12="",ISNUMBER(SEARCH(Recherche!$C$12,M3343&amp;" "&amp;F3343)))),1,0)</f>
        <v>8</v>
      </c>
    </row>
    <row r="3344" customFormat="false" ht="15" hidden="false" customHeight="false" outlineLevel="0" collapsed="false">
      <c r="A3344" s="19"/>
      <c r="B3344" s="19"/>
      <c r="C3344" s="19"/>
      <c r="D3344" s="19"/>
      <c r="E3344" s="22"/>
      <c r="F3344" s="19"/>
      <c r="G3344" s="26" t="str">
        <f aca="false">IF(D3344="","",IFERROR(VALUE(LEFT(D3344,FIND(" |",D3344&amp;" |")-1)),"?"))</f>
        <v/>
      </c>
      <c r="H3344" s="27" t="str">
        <f aca="false">IF(G3344="","",IF(G3344="?","⚠ pub inconnue",IFERROR(INDEX(Pubs!$B$2:$B$3001,MATCH(G3344,Pubs!$A$2:$A$3001,0))&amp;"","⚠ pub inconnue")))</f>
        <v/>
      </c>
      <c r="I3344" s="27" t="str">
        <f aca="false">IF(OR(G3344="",G3344="?"),"",IFERROR(INDEX(Pubs!$C$2:$C$3001,MATCH(G3344,Pubs!$A$2:$A$3001,0))&amp;"",""))</f>
        <v/>
      </c>
      <c r="J3344" s="27" t="str">
        <f aca="false">IF(OR(G3344="",G3344="?"),"",IFERROR(INDEX(Pubs!$G$2:$G$3001,MATCH(G3344,Pubs!$A$2:$A$3001,0))&amp;"",""))</f>
        <v/>
      </c>
      <c r="K3344" s="28" t="str">
        <f aca="false">IF(OR(G3344="",G3344="?"),"",IFERROR(INDEX(Pubs!$E$2:$E$3001,MATCH(G3344,Pubs!$A$2:$A$3001,0)),""))</f>
        <v/>
      </c>
      <c r="L3344" s="29" t="str">
        <f aca="false">IF(A3344="","",IFERROR(1/(1/INDEX(Numéros!$C$2:$C$3001,MATCH(A3344&amp;"|"&amp;B3344,Numéros!$F$2:$F$3001,0))),""))</f>
        <v/>
      </c>
      <c r="M3344" s="27" t="str">
        <f aca="false">IF(OR(G3344="",G3344="?"),"",IFERROR(INDEX(Pubs!$D$2:$D$3001,MATCH(G3344,Pubs!$A$2:$A$3001,0))&amp;"",""))</f>
        <v/>
      </c>
      <c r="N3344" s="27" t="n">
        <f aca="false">N(N3343)+IF(AND(A3344&lt;&gt;"",OR(Recherche!$C$4="",A3344=Recherche!$C$4),OR(Recherche!$C$5="",B3344&amp;""=Recherche!$C$5&amp;""),OR(Recherche!$C$6="",IFERROR(YEAR(L3344),0)=Recherche!$C$6),OR(Recherche!$C$7="",ISNUMBER(SEARCH(Recherche!$C$7,H3344))),OR(Recherche!$C$8="",J3344=Recherche!$C$8),OR(Recherche!$C$9="",I3344=Recherche!$C$9),OR(Recherche!$C$10="",G3344&amp;""=Recherche!$C$10&amp;""),OR(Recherche!$C$11="",E3344=Recherche!$C$11),OR(Recherche!$C$12="",ISNUMBER(SEARCH(Recherche!$C$12,M3344&amp;" "&amp;F3344)))),1,0)</f>
        <v>8</v>
      </c>
    </row>
    <row r="3345" customFormat="false" ht="15" hidden="false" customHeight="false" outlineLevel="0" collapsed="false">
      <c r="A3345" s="19"/>
      <c r="B3345" s="19"/>
      <c r="C3345" s="19"/>
      <c r="D3345" s="19"/>
      <c r="E3345" s="22"/>
      <c r="F3345" s="19"/>
      <c r="G3345" s="26" t="str">
        <f aca="false">IF(D3345="","",IFERROR(VALUE(LEFT(D3345,FIND(" |",D3345&amp;" |")-1)),"?"))</f>
        <v/>
      </c>
      <c r="H3345" s="27" t="str">
        <f aca="false">IF(G3345="","",IF(G3345="?","⚠ pub inconnue",IFERROR(INDEX(Pubs!$B$2:$B$3001,MATCH(G3345,Pubs!$A$2:$A$3001,0))&amp;"","⚠ pub inconnue")))</f>
        <v/>
      </c>
      <c r="I3345" s="27" t="str">
        <f aca="false">IF(OR(G3345="",G3345="?"),"",IFERROR(INDEX(Pubs!$C$2:$C$3001,MATCH(G3345,Pubs!$A$2:$A$3001,0))&amp;"",""))</f>
        <v/>
      </c>
      <c r="J3345" s="27" t="str">
        <f aca="false">IF(OR(G3345="",G3345="?"),"",IFERROR(INDEX(Pubs!$G$2:$G$3001,MATCH(G3345,Pubs!$A$2:$A$3001,0))&amp;"",""))</f>
        <v/>
      </c>
      <c r="K3345" s="28" t="str">
        <f aca="false">IF(OR(G3345="",G3345="?"),"",IFERROR(INDEX(Pubs!$E$2:$E$3001,MATCH(G3345,Pubs!$A$2:$A$3001,0)),""))</f>
        <v/>
      </c>
      <c r="L3345" s="29" t="str">
        <f aca="false">IF(A3345="","",IFERROR(1/(1/INDEX(Numéros!$C$2:$C$3001,MATCH(A3345&amp;"|"&amp;B3345,Numéros!$F$2:$F$3001,0))),""))</f>
        <v/>
      </c>
      <c r="M3345" s="27" t="str">
        <f aca="false">IF(OR(G3345="",G3345="?"),"",IFERROR(INDEX(Pubs!$D$2:$D$3001,MATCH(G3345,Pubs!$A$2:$A$3001,0))&amp;"",""))</f>
        <v/>
      </c>
      <c r="N3345" s="27" t="n">
        <f aca="false">N(N3344)+IF(AND(A3345&lt;&gt;"",OR(Recherche!$C$4="",A3345=Recherche!$C$4),OR(Recherche!$C$5="",B3345&amp;""=Recherche!$C$5&amp;""),OR(Recherche!$C$6="",IFERROR(YEAR(L3345),0)=Recherche!$C$6),OR(Recherche!$C$7="",ISNUMBER(SEARCH(Recherche!$C$7,H3345))),OR(Recherche!$C$8="",J3345=Recherche!$C$8),OR(Recherche!$C$9="",I3345=Recherche!$C$9),OR(Recherche!$C$10="",G3345&amp;""=Recherche!$C$10&amp;""),OR(Recherche!$C$11="",E3345=Recherche!$C$11),OR(Recherche!$C$12="",ISNUMBER(SEARCH(Recherche!$C$12,M3345&amp;" "&amp;F3345)))),1,0)</f>
        <v>8</v>
      </c>
    </row>
    <row r="3346" customFormat="false" ht="15" hidden="false" customHeight="false" outlineLevel="0" collapsed="false">
      <c r="A3346" s="19"/>
      <c r="B3346" s="19"/>
      <c r="C3346" s="19"/>
      <c r="D3346" s="19"/>
      <c r="E3346" s="22"/>
      <c r="F3346" s="19"/>
      <c r="G3346" s="26" t="str">
        <f aca="false">IF(D3346="","",IFERROR(VALUE(LEFT(D3346,FIND(" |",D3346&amp;" |")-1)),"?"))</f>
        <v/>
      </c>
      <c r="H3346" s="27" t="str">
        <f aca="false">IF(G3346="","",IF(G3346="?","⚠ pub inconnue",IFERROR(INDEX(Pubs!$B$2:$B$3001,MATCH(G3346,Pubs!$A$2:$A$3001,0))&amp;"","⚠ pub inconnue")))</f>
        <v/>
      </c>
      <c r="I3346" s="27" t="str">
        <f aca="false">IF(OR(G3346="",G3346="?"),"",IFERROR(INDEX(Pubs!$C$2:$C$3001,MATCH(G3346,Pubs!$A$2:$A$3001,0))&amp;"",""))</f>
        <v/>
      </c>
      <c r="J3346" s="27" t="str">
        <f aca="false">IF(OR(G3346="",G3346="?"),"",IFERROR(INDEX(Pubs!$G$2:$G$3001,MATCH(G3346,Pubs!$A$2:$A$3001,0))&amp;"",""))</f>
        <v/>
      </c>
      <c r="K3346" s="28" t="str">
        <f aca="false">IF(OR(G3346="",G3346="?"),"",IFERROR(INDEX(Pubs!$E$2:$E$3001,MATCH(G3346,Pubs!$A$2:$A$3001,0)),""))</f>
        <v/>
      </c>
      <c r="L3346" s="29" t="str">
        <f aca="false">IF(A3346="","",IFERROR(1/(1/INDEX(Numéros!$C$2:$C$3001,MATCH(A3346&amp;"|"&amp;B3346,Numéros!$F$2:$F$3001,0))),""))</f>
        <v/>
      </c>
      <c r="M3346" s="27" t="str">
        <f aca="false">IF(OR(G3346="",G3346="?"),"",IFERROR(INDEX(Pubs!$D$2:$D$3001,MATCH(G3346,Pubs!$A$2:$A$3001,0))&amp;"",""))</f>
        <v/>
      </c>
      <c r="N3346" s="27" t="n">
        <f aca="false">N(N3345)+IF(AND(A3346&lt;&gt;"",OR(Recherche!$C$4="",A3346=Recherche!$C$4),OR(Recherche!$C$5="",B3346&amp;""=Recherche!$C$5&amp;""),OR(Recherche!$C$6="",IFERROR(YEAR(L3346),0)=Recherche!$C$6),OR(Recherche!$C$7="",ISNUMBER(SEARCH(Recherche!$C$7,H3346))),OR(Recherche!$C$8="",J3346=Recherche!$C$8),OR(Recherche!$C$9="",I3346=Recherche!$C$9),OR(Recherche!$C$10="",G3346&amp;""=Recherche!$C$10&amp;""),OR(Recherche!$C$11="",E3346=Recherche!$C$11),OR(Recherche!$C$12="",ISNUMBER(SEARCH(Recherche!$C$12,M3346&amp;" "&amp;F3346)))),1,0)</f>
        <v>8</v>
      </c>
    </row>
    <row r="3347" customFormat="false" ht="15" hidden="false" customHeight="false" outlineLevel="0" collapsed="false">
      <c r="A3347" s="19"/>
      <c r="B3347" s="19"/>
      <c r="C3347" s="19"/>
      <c r="D3347" s="19"/>
      <c r="E3347" s="22"/>
      <c r="F3347" s="19"/>
      <c r="G3347" s="26" t="str">
        <f aca="false">IF(D3347="","",IFERROR(VALUE(LEFT(D3347,FIND(" |",D3347&amp;" |")-1)),"?"))</f>
        <v/>
      </c>
      <c r="H3347" s="27" t="str">
        <f aca="false">IF(G3347="","",IF(G3347="?","⚠ pub inconnue",IFERROR(INDEX(Pubs!$B$2:$B$3001,MATCH(G3347,Pubs!$A$2:$A$3001,0))&amp;"","⚠ pub inconnue")))</f>
        <v/>
      </c>
      <c r="I3347" s="27" t="str">
        <f aca="false">IF(OR(G3347="",G3347="?"),"",IFERROR(INDEX(Pubs!$C$2:$C$3001,MATCH(G3347,Pubs!$A$2:$A$3001,0))&amp;"",""))</f>
        <v/>
      </c>
      <c r="J3347" s="27" t="str">
        <f aca="false">IF(OR(G3347="",G3347="?"),"",IFERROR(INDEX(Pubs!$G$2:$G$3001,MATCH(G3347,Pubs!$A$2:$A$3001,0))&amp;"",""))</f>
        <v/>
      </c>
      <c r="K3347" s="28" t="str">
        <f aca="false">IF(OR(G3347="",G3347="?"),"",IFERROR(INDEX(Pubs!$E$2:$E$3001,MATCH(G3347,Pubs!$A$2:$A$3001,0)),""))</f>
        <v/>
      </c>
      <c r="L3347" s="29" t="str">
        <f aca="false">IF(A3347="","",IFERROR(1/(1/INDEX(Numéros!$C$2:$C$3001,MATCH(A3347&amp;"|"&amp;B3347,Numéros!$F$2:$F$3001,0))),""))</f>
        <v/>
      </c>
      <c r="M3347" s="27" t="str">
        <f aca="false">IF(OR(G3347="",G3347="?"),"",IFERROR(INDEX(Pubs!$D$2:$D$3001,MATCH(G3347,Pubs!$A$2:$A$3001,0))&amp;"",""))</f>
        <v/>
      </c>
      <c r="N3347" s="27" t="n">
        <f aca="false">N(N3346)+IF(AND(A3347&lt;&gt;"",OR(Recherche!$C$4="",A3347=Recherche!$C$4),OR(Recherche!$C$5="",B3347&amp;""=Recherche!$C$5&amp;""),OR(Recherche!$C$6="",IFERROR(YEAR(L3347),0)=Recherche!$C$6),OR(Recherche!$C$7="",ISNUMBER(SEARCH(Recherche!$C$7,H3347))),OR(Recherche!$C$8="",J3347=Recherche!$C$8),OR(Recherche!$C$9="",I3347=Recherche!$C$9),OR(Recherche!$C$10="",G3347&amp;""=Recherche!$C$10&amp;""),OR(Recherche!$C$11="",E3347=Recherche!$C$11),OR(Recherche!$C$12="",ISNUMBER(SEARCH(Recherche!$C$12,M3347&amp;" "&amp;F3347)))),1,0)</f>
        <v>8</v>
      </c>
    </row>
    <row r="3348" customFormat="false" ht="15" hidden="false" customHeight="false" outlineLevel="0" collapsed="false">
      <c r="A3348" s="19"/>
      <c r="B3348" s="19"/>
      <c r="C3348" s="19"/>
      <c r="D3348" s="19"/>
      <c r="E3348" s="22"/>
      <c r="F3348" s="19"/>
      <c r="G3348" s="26" t="str">
        <f aca="false">IF(D3348="","",IFERROR(VALUE(LEFT(D3348,FIND(" |",D3348&amp;" |")-1)),"?"))</f>
        <v/>
      </c>
      <c r="H3348" s="27" t="str">
        <f aca="false">IF(G3348="","",IF(G3348="?","⚠ pub inconnue",IFERROR(INDEX(Pubs!$B$2:$B$3001,MATCH(G3348,Pubs!$A$2:$A$3001,0))&amp;"","⚠ pub inconnue")))</f>
        <v/>
      </c>
      <c r="I3348" s="27" t="str">
        <f aca="false">IF(OR(G3348="",G3348="?"),"",IFERROR(INDEX(Pubs!$C$2:$C$3001,MATCH(G3348,Pubs!$A$2:$A$3001,0))&amp;"",""))</f>
        <v/>
      </c>
      <c r="J3348" s="27" t="str">
        <f aca="false">IF(OR(G3348="",G3348="?"),"",IFERROR(INDEX(Pubs!$G$2:$G$3001,MATCH(G3348,Pubs!$A$2:$A$3001,0))&amp;"",""))</f>
        <v/>
      </c>
      <c r="K3348" s="28" t="str">
        <f aca="false">IF(OR(G3348="",G3348="?"),"",IFERROR(INDEX(Pubs!$E$2:$E$3001,MATCH(G3348,Pubs!$A$2:$A$3001,0)),""))</f>
        <v/>
      </c>
      <c r="L3348" s="29" t="str">
        <f aca="false">IF(A3348="","",IFERROR(1/(1/INDEX(Numéros!$C$2:$C$3001,MATCH(A3348&amp;"|"&amp;B3348,Numéros!$F$2:$F$3001,0))),""))</f>
        <v/>
      </c>
      <c r="M3348" s="27" t="str">
        <f aca="false">IF(OR(G3348="",G3348="?"),"",IFERROR(INDEX(Pubs!$D$2:$D$3001,MATCH(G3348,Pubs!$A$2:$A$3001,0))&amp;"",""))</f>
        <v/>
      </c>
      <c r="N3348" s="27" t="n">
        <f aca="false">N(N3347)+IF(AND(A3348&lt;&gt;"",OR(Recherche!$C$4="",A3348=Recherche!$C$4),OR(Recherche!$C$5="",B3348&amp;""=Recherche!$C$5&amp;""),OR(Recherche!$C$6="",IFERROR(YEAR(L3348),0)=Recherche!$C$6),OR(Recherche!$C$7="",ISNUMBER(SEARCH(Recherche!$C$7,H3348))),OR(Recherche!$C$8="",J3348=Recherche!$C$8),OR(Recherche!$C$9="",I3348=Recherche!$C$9),OR(Recherche!$C$10="",G3348&amp;""=Recherche!$C$10&amp;""),OR(Recherche!$C$11="",E3348=Recherche!$C$11),OR(Recherche!$C$12="",ISNUMBER(SEARCH(Recherche!$C$12,M3348&amp;" "&amp;F3348)))),1,0)</f>
        <v>8</v>
      </c>
    </row>
    <row r="3349" customFormat="false" ht="15" hidden="false" customHeight="false" outlineLevel="0" collapsed="false">
      <c r="A3349" s="19"/>
      <c r="B3349" s="19"/>
      <c r="C3349" s="19"/>
      <c r="D3349" s="19"/>
      <c r="E3349" s="22"/>
      <c r="F3349" s="19"/>
      <c r="G3349" s="26" t="str">
        <f aca="false">IF(D3349="","",IFERROR(VALUE(LEFT(D3349,FIND(" |",D3349&amp;" |")-1)),"?"))</f>
        <v/>
      </c>
      <c r="H3349" s="27" t="str">
        <f aca="false">IF(G3349="","",IF(G3349="?","⚠ pub inconnue",IFERROR(INDEX(Pubs!$B$2:$B$3001,MATCH(G3349,Pubs!$A$2:$A$3001,0))&amp;"","⚠ pub inconnue")))</f>
        <v/>
      </c>
      <c r="I3349" s="27" t="str">
        <f aca="false">IF(OR(G3349="",G3349="?"),"",IFERROR(INDEX(Pubs!$C$2:$C$3001,MATCH(G3349,Pubs!$A$2:$A$3001,0))&amp;"",""))</f>
        <v/>
      </c>
      <c r="J3349" s="27" t="str">
        <f aca="false">IF(OR(G3349="",G3349="?"),"",IFERROR(INDEX(Pubs!$G$2:$G$3001,MATCH(G3349,Pubs!$A$2:$A$3001,0))&amp;"",""))</f>
        <v/>
      </c>
      <c r="K3349" s="28" t="str">
        <f aca="false">IF(OR(G3349="",G3349="?"),"",IFERROR(INDEX(Pubs!$E$2:$E$3001,MATCH(G3349,Pubs!$A$2:$A$3001,0)),""))</f>
        <v/>
      </c>
      <c r="L3349" s="29" t="str">
        <f aca="false">IF(A3349="","",IFERROR(1/(1/INDEX(Numéros!$C$2:$C$3001,MATCH(A3349&amp;"|"&amp;B3349,Numéros!$F$2:$F$3001,0))),""))</f>
        <v/>
      </c>
      <c r="M3349" s="27" t="str">
        <f aca="false">IF(OR(G3349="",G3349="?"),"",IFERROR(INDEX(Pubs!$D$2:$D$3001,MATCH(G3349,Pubs!$A$2:$A$3001,0))&amp;"",""))</f>
        <v/>
      </c>
      <c r="N3349" s="27" t="n">
        <f aca="false">N(N3348)+IF(AND(A3349&lt;&gt;"",OR(Recherche!$C$4="",A3349=Recherche!$C$4),OR(Recherche!$C$5="",B3349&amp;""=Recherche!$C$5&amp;""),OR(Recherche!$C$6="",IFERROR(YEAR(L3349),0)=Recherche!$C$6),OR(Recherche!$C$7="",ISNUMBER(SEARCH(Recherche!$C$7,H3349))),OR(Recherche!$C$8="",J3349=Recherche!$C$8),OR(Recherche!$C$9="",I3349=Recherche!$C$9),OR(Recherche!$C$10="",G3349&amp;""=Recherche!$C$10&amp;""),OR(Recherche!$C$11="",E3349=Recherche!$C$11),OR(Recherche!$C$12="",ISNUMBER(SEARCH(Recherche!$C$12,M3349&amp;" "&amp;F3349)))),1,0)</f>
        <v>8</v>
      </c>
    </row>
    <row r="3350" customFormat="false" ht="15" hidden="false" customHeight="false" outlineLevel="0" collapsed="false">
      <c r="A3350" s="19"/>
      <c r="B3350" s="19"/>
      <c r="C3350" s="19"/>
      <c r="D3350" s="19"/>
      <c r="E3350" s="22"/>
      <c r="F3350" s="19"/>
      <c r="G3350" s="26" t="str">
        <f aca="false">IF(D3350="","",IFERROR(VALUE(LEFT(D3350,FIND(" |",D3350&amp;" |")-1)),"?"))</f>
        <v/>
      </c>
      <c r="H3350" s="27" t="str">
        <f aca="false">IF(G3350="","",IF(G3350="?","⚠ pub inconnue",IFERROR(INDEX(Pubs!$B$2:$B$3001,MATCH(G3350,Pubs!$A$2:$A$3001,0))&amp;"","⚠ pub inconnue")))</f>
        <v/>
      </c>
      <c r="I3350" s="27" t="str">
        <f aca="false">IF(OR(G3350="",G3350="?"),"",IFERROR(INDEX(Pubs!$C$2:$C$3001,MATCH(G3350,Pubs!$A$2:$A$3001,0))&amp;"",""))</f>
        <v/>
      </c>
      <c r="J3350" s="27" t="str">
        <f aca="false">IF(OR(G3350="",G3350="?"),"",IFERROR(INDEX(Pubs!$G$2:$G$3001,MATCH(G3350,Pubs!$A$2:$A$3001,0))&amp;"",""))</f>
        <v/>
      </c>
      <c r="K3350" s="28" t="str">
        <f aca="false">IF(OR(G3350="",G3350="?"),"",IFERROR(INDEX(Pubs!$E$2:$E$3001,MATCH(G3350,Pubs!$A$2:$A$3001,0)),""))</f>
        <v/>
      </c>
      <c r="L3350" s="29" t="str">
        <f aca="false">IF(A3350="","",IFERROR(1/(1/INDEX(Numéros!$C$2:$C$3001,MATCH(A3350&amp;"|"&amp;B3350,Numéros!$F$2:$F$3001,0))),""))</f>
        <v/>
      </c>
      <c r="M3350" s="27" t="str">
        <f aca="false">IF(OR(G3350="",G3350="?"),"",IFERROR(INDEX(Pubs!$D$2:$D$3001,MATCH(G3350,Pubs!$A$2:$A$3001,0))&amp;"",""))</f>
        <v/>
      </c>
      <c r="N3350" s="27" t="n">
        <f aca="false">N(N3349)+IF(AND(A3350&lt;&gt;"",OR(Recherche!$C$4="",A3350=Recherche!$C$4),OR(Recherche!$C$5="",B3350&amp;""=Recherche!$C$5&amp;""),OR(Recherche!$C$6="",IFERROR(YEAR(L3350),0)=Recherche!$C$6),OR(Recherche!$C$7="",ISNUMBER(SEARCH(Recherche!$C$7,H3350))),OR(Recherche!$C$8="",J3350=Recherche!$C$8),OR(Recherche!$C$9="",I3350=Recherche!$C$9),OR(Recherche!$C$10="",G3350&amp;""=Recherche!$C$10&amp;""),OR(Recherche!$C$11="",E3350=Recherche!$C$11),OR(Recherche!$C$12="",ISNUMBER(SEARCH(Recherche!$C$12,M3350&amp;" "&amp;F3350)))),1,0)</f>
        <v>8</v>
      </c>
    </row>
    <row r="3351" customFormat="false" ht="15" hidden="false" customHeight="false" outlineLevel="0" collapsed="false">
      <c r="A3351" s="19"/>
      <c r="B3351" s="19"/>
      <c r="C3351" s="19"/>
      <c r="D3351" s="19"/>
      <c r="E3351" s="22"/>
      <c r="F3351" s="19"/>
      <c r="G3351" s="26" t="str">
        <f aca="false">IF(D3351="","",IFERROR(VALUE(LEFT(D3351,FIND(" |",D3351&amp;" |")-1)),"?"))</f>
        <v/>
      </c>
      <c r="H3351" s="27" t="str">
        <f aca="false">IF(G3351="","",IF(G3351="?","⚠ pub inconnue",IFERROR(INDEX(Pubs!$B$2:$B$3001,MATCH(G3351,Pubs!$A$2:$A$3001,0))&amp;"","⚠ pub inconnue")))</f>
        <v/>
      </c>
      <c r="I3351" s="27" t="str">
        <f aca="false">IF(OR(G3351="",G3351="?"),"",IFERROR(INDEX(Pubs!$C$2:$C$3001,MATCH(G3351,Pubs!$A$2:$A$3001,0))&amp;"",""))</f>
        <v/>
      </c>
      <c r="J3351" s="27" t="str">
        <f aca="false">IF(OR(G3351="",G3351="?"),"",IFERROR(INDEX(Pubs!$G$2:$G$3001,MATCH(G3351,Pubs!$A$2:$A$3001,0))&amp;"",""))</f>
        <v/>
      </c>
      <c r="K3351" s="28" t="str">
        <f aca="false">IF(OR(G3351="",G3351="?"),"",IFERROR(INDEX(Pubs!$E$2:$E$3001,MATCH(G3351,Pubs!$A$2:$A$3001,0)),""))</f>
        <v/>
      </c>
      <c r="L3351" s="29" t="str">
        <f aca="false">IF(A3351="","",IFERROR(1/(1/INDEX(Numéros!$C$2:$C$3001,MATCH(A3351&amp;"|"&amp;B3351,Numéros!$F$2:$F$3001,0))),""))</f>
        <v/>
      </c>
      <c r="M3351" s="27" t="str">
        <f aca="false">IF(OR(G3351="",G3351="?"),"",IFERROR(INDEX(Pubs!$D$2:$D$3001,MATCH(G3351,Pubs!$A$2:$A$3001,0))&amp;"",""))</f>
        <v/>
      </c>
      <c r="N3351" s="27" t="n">
        <f aca="false">N(N3350)+IF(AND(A3351&lt;&gt;"",OR(Recherche!$C$4="",A3351=Recherche!$C$4),OR(Recherche!$C$5="",B3351&amp;""=Recherche!$C$5&amp;""),OR(Recherche!$C$6="",IFERROR(YEAR(L3351),0)=Recherche!$C$6),OR(Recherche!$C$7="",ISNUMBER(SEARCH(Recherche!$C$7,H3351))),OR(Recherche!$C$8="",J3351=Recherche!$C$8),OR(Recherche!$C$9="",I3351=Recherche!$C$9),OR(Recherche!$C$10="",G3351&amp;""=Recherche!$C$10&amp;""),OR(Recherche!$C$11="",E3351=Recherche!$C$11),OR(Recherche!$C$12="",ISNUMBER(SEARCH(Recherche!$C$12,M3351&amp;" "&amp;F3351)))),1,0)</f>
        <v>8</v>
      </c>
    </row>
    <row r="3352" customFormat="false" ht="15" hidden="false" customHeight="false" outlineLevel="0" collapsed="false">
      <c r="A3352" s="19"/>
      <c r="B3352" s="19"/>
      <c r="C3352" s="19"/>
      <c r="D3352" s="19"/>
      <c r="E3352" s="22"/>
      <c r="F3352" s="19"/>
      <c r="G3352" s="26" t="str">
        <f aca="false">IF(D3352="","",IFERROR(VALUE(LEFT(D3352,FIND(" |",D3352&amp;" |")-1)),"?"))</f>
        <v/>
      </c>
      <c r="H3352" s="27" t="str">
        <f aca="false">IF(G3352="","",IF(G3352="?","⚠ pub inconnue",IFERROR(INDEX(Pubs!$B$2:$B$3001,MATCH(G3352,Pubs!$A$2:$A$3001,0))&amp;"","⚠ pub inconnue")))</f>
        <v/>
      </c>
      <c r="I3352" s="27" t="str">
        <f aca="false">IF(OR(G3352="",G3352="?"),"",IFERROR(INDEX(Pubs!$C$2:$C$3001,MATCH(G3352,Pubs!$A$2:$A$3001,0))&amp;"",""))</f>
        <v/>
      </c>
      <c r="J3352" s="27" t="str">
        <f aca="false">IF(OR(G3352="",G3352="?"),"",IFERROR(INDEX(Pubs!$G$2:$G$3001,MATCH(G3352,Pubs!$A$2:$A$3001,0))&amp;"",""))</f>
        <v/>
      </c>
      <c r="K3352" s="28" t="str">
        <f aca="false">IF(OR(G3352="",G3352="?"),"",IFERROR(INDEX(Pubs!$E$2:$E$3001,MATCH(G3352,Pubs!$A$2:$A$3001,0)),""))</f>
        <v/>
      </c>
      <c r="L3352" s="29" t="str">
        <f aca="false">IF(A3352="","",IFERROR(1/(1/INDEX(Numéros!$C$2:$C$3001,MATCH(A3352&amp;"|"&amp;B3352,Numéros!$F$2:$F$3001,0))),""))</f>
        <v/>
      </c>
      <c r="M3352" s="27" t="str">
        <f aca="false">IF(OR(G3352="",G3352="?"),"",IFERROR(INDEX(Pubs!$D$2:$D$3001,MATCH(G3352,Pubs!$A$2:$A$3001,0))&amp;"",""))</f>
        <v/>
      </c>
      <c r="N3352" s="27" t="n">
        <f aca="false">N(N3351)+IF(AND(A3352&lt;&gt;"",OR(Recherche!$C$4="",A3352=Recherche!$C$4),OR(Recherche!$C$5="",B3352&amp;""=Recherche!$C$5&amp;""),OR(Recherche!$C$6="",IFERROR(YEAR(L3352),0)=Recherche!$C$6),OR(Recherche!$C$7="",ISNUMBER(SEARCH(Recherche!$C$7,H3352))),OR(Recherche!$C$8="",J3352=Recherche!$C$8),OR(Recherche!$C$9="",I3352=Recherche!$C$9),OR(Recherche!$C$10="",G3352&amp;""=Recherche!$C$10&amp;""),OR(Recherche!$C$11="",E3352=Recherche!$C$11),OR(Recherche!$C$12="",ISNUMBER(SEARCH(Recherche!$C$12,M3352&amp;" "&amp;F3352)))),1,0)</f>
        <v>8</v>
      </c>
    </row>
    <row r="3353" customFormat="false" ht="15" hidden="false" customHeight="false" outlineLevel="0" collapsed="false">
      <c r="A3353" s="19"/>
      <c r="B3353" s="19"/>
      <c r="C3353" s="19"/>
      <c r="D3353" s="19"/>
      <c r="E3353" s="22"/>
      <c r="F3353" s="19"/>
      <c r="G3353" s="26" t="str">
        <f aca="false">IF(D3353="","",IFERROR(VALUE(LEFT(D3353,FIND(" |",D3353&amp;" |")-1)),"?"))</f>
        <v/>
      </c>
      <c r="H3353" s="27" t="str">
        <f aca="false">IF(G3353="","",IF(G3353="?","⚠ pub inconnue",IFERROR(INDEX(Pubs!$B$2:$B$3001,MATCH(G3353,Pubs!$A$2:$A$3001,0))&amp;"","⚠ pub inconnue")))</f>
        <v/>
      </c>
      <c r="I3353" s="27" t="str">
        <f aca="false">IF(OR(G3353="",G3353="?"),"",IFERROR(INDEX(Pubs!$C$2:$C$3001,MATCH(G3353,Pubs!$A$2:$A$3001,0))&amp;"",""))</f>
        <v/>
      </c>
      <c r="J3353" s="27" t="str">
        <f aca="false">IF(OR(G3353="",G3353="?"),"",IFERROR(INDEX(Pubs!$G$2:$G$3001,MATCH(G3353,Pubs!$A$2:$A$3001,0))&amp;"",""))</f>
        <v/>
      </c>
      <c r="K3353" s="28" t="str">
        <f aca="false">IF(OR(G3353="",G3353="?"),"",IFERROR(INDEX(Pubs!$E$2:$E$3001,MATCH(G3353,Pubs!$A$2:$A$3001,0)),""))</f>
        <v/>
      </c>
      <c r="L3353" s="29" t="str">
        <f aca="false">IF(A3353="","",IFERROR(1/(1/INDEX(Numéros!$C$2:$C$3001,MATCH(A3353&amp;"|"&amp;B3353,Numéros!$F$2:$F$3001,0))),""))</f>
        <v/>
      </c>
      <c r="M3353" s="27" t="str">
        <f aca="false">IF(OR(G3353="",G3353="?"),"",IFERROR(INDEX(Pubs!$D$2:$D$3001,MATCH(G3353,Pubs!$A$2:$A$3001,0))&amp;"",""))</f>
        <v/>
      </c>
      <c r="N3353" s="27" t="n">
        <f aca="false">N(N3352)+IF(AND(A3353&lt;&gt;"",OR(Recherche!$C$4="",A3353=Recherche!$C$4),OR(Recherche!$C$5="",B3353&amp;""=Recherche!$C$5&amp;""),OR(Recherche!$C$6="",IFERROR(YEAR(L3353),0)=Recherche!$C$6),OR(Recherche!$C$7="",ISNUMBER(SEARCH(Recherche!$C$7,H3353))),OR(Recherche!$C$8="",J3353=Recherche!$C$8),OR(Recherche!$C$9="",I3353=Recherche!$C$9),OR(Recherche!$C$10="",G3353&amp;""=Recherche!$C$10&amp;""),OR(Recherche!$C$11="",E3353=Recherche!$C$11),OR(Recherche!$C$12="",ISNUMBER(SEARCH(Recherche!$C$12,M3353&amp;" "&amp;F3353)))),1,0)</f>
        <v>8</v>
      </c>
    </row>
    <row r="3354" customFormat="false" ht="15" hidden="false" customHeight="false" outlineLevel="0" collapsed="false">
      <c r="A3354" s="19"/>
      <c r="B3354" s="19"/>
      <c r="C3354" s="19"/>
      <c r="D3354" s="19"/>
      <c r="E3354" s="22"/>
      <c r="F3354" s="19"/>
      <c r="G3354" s="26" t="str">
        <f aca="false">IF(D3354="","",IFERROR(VALUE(LEFT(D3354,FIND(" |",D3354&amp;" |")-1)),"?"))</f>
        <v/>
      </c>
      <c r="H3354" s="27" t="str">
        <f aca="false">IF(G3354="","",IF(G3354="?","⚠ pub inconnue",IFERROR(INDEX(Pubs!$B$2:$B$3001,MATCH(G3354,Pubs!$A$2:$A$3001,0))&amp;"","⚠ pub inconnue")))</f>
        <v/>
      </c>
      <c r="I3354" s="27" t="str">
        <f aca="false">IF(OR(G3354="",G3354="?"),"",IFERROR(INDEX(Pubs!$C$2:$C$3001,MATCH(G3354,Pubs!$A$2:$A$3001,0))&amp;"",""))</f>
        <v/>
      </c>
      <c r="J3354" s="27" t="str">
        <f aca="false">IF(OR(G3354="",G3354="?"),"",IFERROR(INDEX(Pubs!$G$2:$G$3001,MATCH(G3354,Pubs!$A$2:$A$3001,0))&amp;"",""))</f>
        <v/>
      </c>
      <c r="K3354" s="28" t="str">
        <f aca="false">IF(OR(G3354="",G3354="?"),"",IFERROR(INDEX(Pubs!$E$2:$E$3001,MATCH(G3354,Pubs!$A$2:$A$3001,0)),""))</f>
        <v/>
      </c>
      <c r="L3354" s="29" t="str">
        <f aca="false">IF(A3354="","",IFERROR(1/(1/INDEX(Numéros!$C$2:$C$3001,MATCH(A3354&amp;"|"&amp;B3354,Numéros!$F$2:$F$3001,0))),""))</f>
        <v/>
      </c>
      <c r="M3354" s="27" t="str">
        <f aca="false">IF(OR(G3354="",G3354="?"),"",IFERROR(INDEX(Pubs!$D$2:$D$3001,MATCH(G3354,Pubs!$A$2:$A$3001,0))&amp;"",""))</f>
        <v/>
      </c>
      <c r="N3354" s="27" t="n">
        <f aca="false">N(N3353)+IF(AND(A3354&lt;&gt;"",OR(Recherche!$C$4="",A3354=Recherche!$C$4),OR(Recherche!$C$5="",B3354&amp;""=Recherche!$C$5&amp;""),OR(Recherche!$C$6="",IFERROR(YEAR(L3354),0)=Recherche!$C$6),OR(Recherche!$C$7="",ISNUMBER(SEARCH(Recherche!$C$7,H3354))),OR(Recherche!$C$8="",J3354=Recherche!$C$8),OR(Recherche!$C$9="",I3354=Recherche!$C$9),OR(Recherche!$C$10="",G3354&amp;""=Recherche!$C$10&amp;""),OR(Recherche!$C$11="",E3354=Recherche!$C$11),OR(Recherche!$C$12="",ISNUMBER(SEARCH(Recherche!$C$12,M3354&amp;" "&amp;F3354)))),1,0)</f>
        <v>8</v>
      </c>
    </row>
    <row r="3355" customFormat="false" ht="15" hidden="false" customHeight="false" outlineLevel="0" collapsed="false">
      <c r="A3355" s="19"/>
      <c r="B3355" s="19"/>
      <c r="C3355" s="19"/>
      <c r="D3355" s="19"/>
      <c r="E3355" s="22"/>
      <c r="F3355" s="19"/>
      <c r="G3355" s="26" t="str">
        <f aca="false">IF(D3355="","",IFERROR(VALUE(LEFT(D3355,FIND(" |",D3355&amp;" |")-1)),"?"))</f>
        <v/>
      </c>
      <c r="H3355" s="27" t="str">
        <f aca="false">IF(G3355="","",IF(G3355="?","⚠ pub inconnue",IFERROR(INDEX(Pubs!$B$2:$B$3001,MATCH(G3355,Pubs!$A$2:$A$3001,0))&amp;"","⚠ pub inconnue")))</f>
        <v/>
      </c>
      <c r="I3355" s="27" t="str">
        <f aca="false">IF(OR(G3355="",G3355="?"),"",IFERROR(INDEX(Pubs!$C$2:$C$3001,MATCH(G3355,Pubs!$A$2:$A$3001,0))&amp;"",""))</f>
        <v/>
      </c>
      <c r="J3355" s="27" t="str">
        <f aca="false">IF(OR(G3355="",G3355="?"),"",IFERROR(INDEX(Pubs!$G$2:$G$3001,MATCH(G3355,Pubs!$A$2:$A$3001,0))&amp;"",""))</f>
        <v/>
      </c>
      <c r="K3355" s="28" t="str">
        <f aca="false">IF(OR(G3355="",G3355="?"),"",IFERROR(INDEX(Pubs!$E$2:$E$3001,MATCH(G3355,Pubs!$A$2:$A$3001,0)),""))</f>
        <v/>
      </c>
      <c r="L3355" s="29" t="str">
        <f aca="false">IF(A3355="","",IFERROR(1/(1/INDEX(Numéros!$C$2:$C$3001,MATCH(A3355&amp;"|"&amp;B3355,Numéros!$F$2:$F$3001,0))),""))</f>
        <v/>
      </c>
      <c r="M3355" s="27" t="str">
        <f aca="false">IF(OR(G3355="",G3355="?"),"",IFERROR(INDEX(Pubs!$D$2:$D$3001,MATCH(G3355,Pubs!$A$2:$A$3001,0))&amp;"",""))</f>
        <v/>
      </c>
      <c r="N3355" s="27" t="n">
        <f aca="false">N(N3354)+IF(AND(A3355&lt;&gt;"",OR(Recherche!$C$4="",A3355=Recherche!$C$4),OR(Recherche!$C$5="",B3355&amp;""=Recherche!$C$5&amp;""),OR(Recherche!$C$6="",IFERROR(YEAR(L3355),0)=Recherche!$C$6),OR(Recherche!$C$7="",ISNUMBER(SEARCH(Recherche!$C$7,H3355))),OR(Recherche!$C$8="",J3355=Recherche!$C$8),OR(Recherche!$C$9="",I3355=Recherche!$C$9),OR(Recherche!$C$10="",G3355&amp;""=Recherche!$C$10&amp;""),OR(Recherche!$C$11="",E3355=Recherche!$C$11),OR(Recherche!$C$12="",ISNUMBER(SEARCH(Recherche!$C$12,M3355&amp;" "&amp;F3355)))),1,0)</f>
        <v>8</v>
      </c>
    </row>
    <row r="3356" customFormat="false" ht="15" hidden="false" customHeight="false" outlineLevel="0" collapsed="false">
      <c r="A3356" s="19"/>
      <c r="B3356" s="19"/>
      <c r="C3356" s="19"/>
      <c r="D3356" s="19"/>
      <c r="E3356" s="22"/>
      <c r="F3356" s="19"/>
      <c r="G3356" s="26" t="str">
        <f aca="false">IF(D3356="","",IFERROR(VALUE(LEFT(D3356,FIND(" |",D3356&amp;" |")-1)),"?"))</f>
        <v/>
      </c>
      <c r="H3356" s="27" t="str">
        <f aca="false">IF(G3356="","",IF(G3356="?","⚠ pub inconnue",IFERROR(INDEX(Pubs!$B$2:$B$3001,MATCH(G3356,Pubs!$A$2:$A$3001,0))&amp;"","⚠ pub inconnue")))</f>
        <v/>
      </c>
      <c r="I3356" s="27" t="str">
        <f aca="false">IF(OR(G3356="",G3356="?"),"",IFERROR(INDEX(Pubs!$C$2:$C$3001,MATCH(G3356,Pubs!$A$2:$A$3001,0))&amp;"",""))</f>
        <v/>
      </c>
      <c r="J3356" s="27" t="str">
        <f aca="false">IF(OR(G3356="",G3356="?"),"",IFERROR(INDEX(Pubs!$G$2:$G$3001,MATCH(G3356,Pubs!$A$2:$A$3001,0))&amp;"",""))</f>
        <v/>
      </c>
      <c r="K3356" s="28" t="str">
        <f aca="false">IF(OR(G3356="",G3356="?"),"",IFERROR(INDEX(Pubs!$E$2:$E$3001,MATCH(G3356,Pubs!$A$2:$A$3001,0)),""))</f>
        <v/>
      </c>
      <c r="L3356" s="29" t="str">
        <f aca="false">IF(A3356="","",IFERROR(1/(1/INDEX(Numéros!$C$2:$C$3001,MATCH(A3356&amp;"|"&amp;B3356,Numéros!$F$2:$F$3001,0))),""))</f>
        <v/>
      </c>
      <c r="M3356" s="27" t="str">
        <f aca="false">IF(OR(G3356="",G3356="?"),"",IFERROR(INDEX(Pubs!$D$2:$D$3001,MATCH(G3356,Pubs!$A$2:$A$3001,0))&amp;"",""))</f>
        <v/>
      </c>
      <c r="N3356" s="27" t="n">
        <f aca="false">N(N3355)+IF(AND(A3356&lt;&gt;"",OR(Recherche!$C$4="",A3356=Recherche!$C$4),OR(Recherche!$C$5="",B3356&amp;""=Recherche!$C$5&amp;""),OR(Recherche!$C$6="",IFERROR(YEAR(L3356),0)=Recherche!$C$6),OR(Recherche!$C$7="",ISNUMBER(SEARCH(Recherche!$C$7,H3356))),OR(Recherche!$C$8="",J3356=Recherche!$C$8),OR(Recherche!$C$9="",I3356=Recherche!$C$9),OR(Recherche!$C$10="",G3356&amp;""=Recherche!$C$10&amp;""),OR(Recherche!$C$11="",E3356=Recherche!$C$11),OR(Recherche!$C$12="",ISNUMBER(SEARCH(Recherche!$C$12,M3356&amp;" "&amp;F3356)))),1,0)</f>
        <v>8</v>
      </c>
    </row>
    <row r="3357" customFormat="false" ht="15" hidden="false" customHeight="false" outlineLevel="0" collapsed="false">
      <c r="A3357" s="19"/>
      <c r="B3357" s="19"/>
      <c r="C3357" s="19"/>
      <c r="D3357" s="19"/>
      <c r="E3357" s="22"/>
      <c r="F3357" s="19"/>
      <c r="G3357" s="26" t="str">
        <f aca="false">IF(D3357="","",IFERROR(VALUE(LEFT(D3357,FIND(" |",D3357&amp;" |")-1)),"?"))</f>
        <v/>
      </c>
      <c r="H3357" s="27" t="str">
        <f aca="false">IF(G3357="","",IF(G3357="?","⚠ pub inconnue",IFERROR(INDEX(Pubs!$B$2:$B$3001,MATCH(G3357,Pubs!$A$2:$A$3001,0))&amp;"","⚠ pub inconnue")))</f>
        <v/>
      </c>
      <c r="I3357" s="27" t="str">
        <f aca="false">IF(OR(G3357="",G3357="?"),"",IFERROR(INDEX(Pubs!$C$2:$C$3001,MATCH(G3357,Pubs!$A$2:$A$3001,0))&amp;"",""))</f>
        <v/>
      </c>
      <c r="J3357" s="27" t="str">
        <f aca="false">IF(OR(G3357="",G3357="?"),"",IFERROR(INDEX(Pubs!$G$2:$G$3001,MATCH(G3357,Pubs!$A$2:$A$3001,0))&amp;"",""))</f>
        <v/>
      </c>
      <c r="K3357" s="28" t="str">
        <f aca="false">IF(OR(G3357="",G3357="?"),"",IFERROR(INDEX(Pubs!$E$2:$E$3001,MATCH(G3357,Pubs!$A$2:$A$3001,0)),""))</f>
        <v/>
      </c>
      <c r="L3357" s="29" t="str">
        <f aca="false">IF(A3357="","",IFERROR(1/(1/INDEX(Numéros!$C$2:$C$3001,MATCH(A3357&amp;"|"&amp;B3357,Numéros!$F$2:$F$3001,0))),""))</f>
        <v/>
      </c>
      <c r="M3357" s="27" t="str">
        <f aca="false">IF(OR(G3357="",G3357="?"),"",IFERROR(INDEX(Pubs!$D$2:$D$3001,MATCH(G3357,Pubs!$A$2:$A$3001,0))&amp;"",""))</f>
        <v/>
      </c>
      <c r="N3357" s="27" t="n">
        <f aca="false">N(N3356)+IF(AND(A3357&lt;&gt;"",OR(Recherche!$C$4="",A3357=Recherche!$C$4),OR(Recherche!$C$5="",B3357&amp;""=Recherche!$C$5&amp;""),OR(Recherche!$C$6="",IFERROR(YEAR(L3357),0)=Recherche!$C$6),OR(Recherche!$C$7="",ISNUMBER(SEARCH(Recherche!$C$7,H3357))),OR(Recherche!$C$8="",J3357=Recherche!$C$8),OR(Recherche!$C$9="",I3357=Recherche!$C$9),OR(Recherche!$C$10="",G3357&amp;""=Recherche!$C$10&amp;""),OR(Recherche!$C$11="",E3357=Recherche!$C$11),OR(Recherche!$C$12="",ISNUMBER(SEARCH(Recherche!$C$12,M3357&amp;" "&amp;F3357)))),1,0)</f>
        <v>8</v>
      </c>
    </row>
    <row r="3358" customFormat="false" ht="15" hidden="false" customHeight="false" outlineLevel="0" collapsed="false">
      <c r="A3358" s="19"/>
      <c r="B3358" s="19"/>
      <c r="C3358" s="19"/>
      <c r="D3358" s="19"/>
      <c r="E3358" s="22"/>
      <c r="F3358" s="19"/>
      <c r="G3358" s="26" t="str">
        <f aca="false">IF(D3358="","",IFERROR(VALUE(LEFT(D3358,FIND(" |",D3358&amp;" |")-1)),"?"))</f>
        <v/>
      </c>
      <c r="H3358" s="27" t="str">
        <f aca="false">IF(G3358="","",IF(G3358="?","⚠ pub inconnue",IFERROR(INDEX(Pubs!$B$2:$B$3001,MATCH(G3358,Pubs!$A$2:$A$3001,0))&amp;"","⚠ pub inconnue")))</f>
        <v/>
      </c>
      <c r="I3358" s="27" t="str">
        <f aca="false">IF(OR(G3358="",G3358="?"),"",IFERROR(INDEX(Pubs!$C$2:$C$3001,MATCH(G3358,Pubs!$A$2:$A$3001,0))&amp;"",""))</f>
        <v/>
      </c>
      <c r="J3358" s="27" t="str">
        <f aca="false">IF(OR(G3358="",G3358="?"),"",IFERROR(INDEX(Pubs!$G$2:$G$3001,MATCH(G3358,Pubs!$A$2:$A$3001,0))&amp;"",""))</f>
        <v/>
      </c>
      <c r="K3358" s="28" t="str">
        <f aca="false">IF(OR(G3358="",G3358="?"),"",IFERROR(INDEX(Pubs!$E$2:$E$3001,MATCH(G3358,Pubs!$A$2:$A$3001,0)),""))</f>
        <v/>
      </c>
      <c r="L3358" s="29" t="str">
        <f aca="false">IF(A3358="","",IFERROR(1/(1/INDEX(Numéros!$C$2:$C$3001,MATCH(A3358&amp;"|"&amp;B3358,Numéros!$F$2:$F$3001,0))),""))</f>
        <v/>
      </c>
      <c r="M3358" s="27" t="str">
        <f aca="false">IF(OR(G3358="",G3358="?"),"",IFERROR(INDEX(Pubs!$D$2:$D$3001,MATCH(G3358,Pubs!$A$2:$A$3001,0))&amp;"",""))</f>
        <v/>
      </c>
      <c r="N3358" s="27" t="n">
        <f aca="false">N(N3357)+IF(AND(A3358&lt;&gt;"",OR(Recherche!$C$4="",A3358=Recherche!$C$4),OR(Recherche!$C$5="",B3358&amp;""=Recherche!$C$5&amp;""),OR(Recherche!$C$6="",IFERROR(YEAR(L3358),0)=Recherche!$C$6),OR(Recherche!$C$7="",ISNUMBER(SEARCH(Recherche!$C$7,H3358))),OR(Recherche!$C$8="",J3358=Recherche!$C$8),OR(Recherche!$C$9="",I3358=Recherche!$C$9),OR(Recherche!$C$10="",G3358&amp;""=Recherche!$C$10&amp;""),OR(Recherche!$C$11="",E3358=Recherche!$C$11),OR(Recherche!$C$12="",ISNUMBER(SEARCH(Recherche!$C$12,M3358&amp;" "&amp;F3358)))),1,0)</f>
        <v>8</v>
      </c>
    </row>
    <row r="3359" customFormat="false" ht="15" hidden="false" customHeight="false" outlineLevel="0" collapsed="false">
      <c r="A3359" s="19"/>
      <c r="B3359" s="19"/>
      <c r="C3359" s="19"/>
      <c r="D3359" s="19"/>
      <c r="E3359" s="22"/>
      <c r="F3359" s="19"/>
      <c r="G3359" s="26" t="str">
        <f aca="false">IF(D3359="","",IFERROR(VALUE(LEFT(D3359,FIND(" |",D3359&amp;" |")-1)),"?"))</f>
        <v/>
      </c>
      <c r="H3359" s="27" t="str">
        <f aca="false">IF(G3359="","",IF(G3359="?","⚠ pub inconnue",IFERROR(INDEX(Pubs!$B$2:$B$3001,MATCH(G3359,Pubs!$A$2:$A$3001,0))&amp;"","⚠ pub inconnue")))</f>
        <v/>
      </c>
      <c r="I3359" s="27" t="str">
        <f aca="false">IF(OR(G3359="",G3359="?"),"",IFERROR(INDEX(Pubs!$C$2:$C$3001,MATCH(G3359,Pubs!$A$2:$A$3001,0))&amp;"",""))</f>
        <v/>
      </c>
      <c r="J3359" s="27" t="str">
        <f aca="false">IF(OR(G3359="",G3359="?"),"",IFERROR(INDEX(Pubs!$G$2:$G$3001,MATCH(G3359,Pubs!$A$2:$A$3001,0))&amp;"",""))</f>
        <v/>
      </c>
      <c r="K3359" s="28" t="str">
        <f aca="false">IF(OR(G3359="",G3359="?"),"",IFERROR(INDEX(Pubs!$E$2:$E$3001,MATCH(G3359,Pubs!$A$2:$A$3001,0)),""))</f>
        <v/>
      </c>
      <c r="L3359" s="29" t="str">
        <f aca="false">IF(A3359="","",IFERROR(1/(1/INDEX(Numéros!$C$2:$C$3001,MATCH(A3359&amp;"|"&amp;B3359,Numéros!$F$2:$F$3001,0))),""))</f>
        <v/>
      </c>
      <c r="M3359" s="27" t="str">
        <f aca="false">IF(OR(G3359="",G3359="?"),"",IFERROR(INDEX(Pubs!$D$2:$D$3001,MATCH(G3359,Pubs!$A$2:$A$3001,0))&amp;"",""))</f>
        <v/>
      </c>
      <c r="N3359" s="27" t="n">
        <f aca="false">N(N3358)+IF(AND(A3359&lt;&gt;"",OR(Recherche!$C$4="",A3359=Recherche!$C$4),OR(Recherche!$C$5="",B3359&amp;""=Recherche!$C$5&amp;""),OR(Recherche!$C$6="",IFERROR(YEAR(L3359),0)=Recherche!$C$6),OR(Recherche!$C$7="",ISNUMBER(SEARCH(Recherche!$C$7,H3359))),OR(Recherche!$C$8="",J3359=Recherche!$C$8),OR(Recherche!$C$9="",I3359=Recherche!$C$9),OR(Recherche!$C$10="",G3359&amp;""=Recherche!$C$10&amp;""),OR(Recherche!$C$11="",E3359=Recherche!$C$11),OR(Recherche!$C$12="",ISNUMBER(SEARCH(Recherche!$C$12,M3359&amp;" "&amp;F3359)))),1,0)</f>
        <v>8</v>
      </c>
    </row>
    <row r="3360" customFormat="false" ht="15" hidden="false" customHeight="false" outlineLevel="0" collapsed="false">
      <c r="A3360" s="19"/>
      <c r="B3360" s="19"/>
      <c r="C3360" s="19"/>
      <c r="D3360" s="19"/>
      <c r="E3360" s="22"/>
      <c r="F3360" s="19"/>
      <c r="G3360" s="26" t="str">
        <f aca="false">IF(D3360="","",IFERROR(VALUE(LEFT(D3360,FIND(" |",D3360&amp;" |")-1)),"?"))</f>
        <v/>
      </c>
      <c r="H3360" s="27" t="str">
        <f aca="false">IF(G3360="","",IF(G3360="?","⚠ pub inconnue",IFERROR(INDEX(Pubs!$B$2:$B$3001,MATCH(G3360,Pubs!$A$2:$A$3001,0))&amp;"","⚠ pub inconnue")))</f>
        <v/>
      </c>
      <c r="I3360" s="27" t="str">
        <f aca="false">IF(OR(G3360="",G3360="?"),"",IFERROR(INDEX(Pubs!$C$2:$C$3001,MATCH(G3360,Pubs!$A$2:$A$3001,0))&amp;"",""))</f>
        <v/>
      </c>
      <c r="J3360" s="27" t="str">
        <f aca="false">IF(OR(G3360="",G3360="?"),"",IFERROR(INDEX(Pubs!$G$2:$G$3001,MATCH(G3360,Pubs!$A$2:$A$3001,0))&amp;"",""))</f>
        <v/>
      </c>
      <c r="K3360" s="28" t="str">
        <f aca="false">IF(OR(G3360="",G3360="?"),"",IFERROR(INDEX(Pubs!$E$2:$E$3001,MATCH(G3360,Pubs!$A$2:$A$3001,0)),""))</f>
        <v/>
      </c>
      <c r="L3360" s="29" t="str">
        <f aca="false">IF(A3360="","",IFERROR(1/(1/INDEX(Numéros!$C$2:$C$3001,MATCH(A3360&amp;"|"&amp;B3360,Numéros!$F$2:$F$3001,0))),""))</f>
        <v/>
      </c>
      <c r="M3360" s="27" t="str">
        <f aca="false">IF(OR(G3360="",G3360="?"),"",IFERROR(INDEX(Pubs!$D$2:$D$3001,MATCH(G3360,Pubs!$A$2:$A$3001,0))&amp;"",""))</f>
        <v/>
      </c>
      <c r="N3360" s="27" t="n">
        <f aca="false">N(N3359)+IF(AND(A3360&lt;&gt;"",OR(Recherche!$C$4="",A3360=Recherche!$C$4),OR(Recherche!$C$5="",B3360&amp;""=Recherche!$C$5&amp;""),OR(Recherche!$C$6="",IFERROR(YEAR(L3360),0)=Recherche!$C$6),OR(Recherche!$C$7="",ISNUMBER(SEARCH(Recherche!$C$7,H3360))),OR(Recherche!$C$8="",J3360=Recherche!$C$8),OR(Recherche!$C$9="",I3360=Recherche!$C$9),OR(Recherche!$C$10="",G3360&amp;""=Recherche!$C$10&amp;""),OR(Recherche!$C$11="",E3360=Recherche!$C$11),OR(Recherche!$C$12="",ISNUMBER(SEARCH(Recherche!$C$12,M3360&amp;" "&amp;F3360)))),1,0)</f>
        <v>8</v>
      </c>
    </row>
    <row r="3361" customFormat="false" ht="15" hidden="false" customHeight="false" outlineLevel="0" collapsed="false">
      <c r="A3361" s="19"/>
      <c r="B3361" s="19"/>
      <c r="C3361" s="19"/>
      <c r="D3361" s="19"/>
      <c r="E3361" s="22"/>
      <c r="F3361" s="19"/>
      <c r="G3361" s="26" t="str">
        <f aca="false">IF(D3361="","",IFERROR(VALUE(LEFT(D3361,FIND(" |",D3361&amp;" |")-1)),"?"))</f>
        <v/>
      </c>
      <c r="H3361" s="27" t="str">
        <f aca="false">IF(G3361="","",IF(G3361="?","⚠ pub inconnue",IFERROR(INDEX(Pubs!$B$2:$B$3001,MATCH(G3361,Pubs!$A$2:$A$3001,0))&amp;"","⚠ pub inconnue")))</f>
        <v/>
      </c>
      <c r="I3361" s="27" t="str">
        <f aca="false">IF(OR(G3361="",G3361="?"),"",IFERROR(INDEX(Pubs!$C$2:$C$3001,MATCH(G3361,Pubs!$A$2:$A$3001,0))&amp;"",""))</f>
        <v/>
      </c>
      <c r="J3361" s="27" t="str">
        <f aca="false">IF(OR(G3361="",G3361="?"),"",IFERROR(INDEX(Pubs!$G$2:$G$3001,MATCH(G3361,Pubs!$A$2:$A$3001,0))&amp;"",""))</f>
        <v/>
      </c>
      <c r="K3361" s="28" t="str">
        <f aca="false">IF(OR(G3361="",G3361="?"),"",IFERROR(INDEX(Pubs!$E$2:$E$3001,MATCH(G3361,Pubs!$A$2:$A$3001,0)),""))</f>
        <v/>
      </c>
      <c r="L3361" s="29" t="str">
        <f aca="false">IF(A3361="","",IFERROR(1/(1/INDEX(Numéros!$C$2:$C$3001,MATCH(A3361&amp;"|"&amp;B3361,Numéros!$F$2:$F$3001,0))),""))</f>
        <v/>
      </c>
      <c r="M3361" s="27" t="str">
        <f aca="false">IF(OR(G3361="",G3361="?"),"",IFERROR(INDEX(Pubs!$D$2:$D$3001,MATCH(G3361,Pubs!$A$2:$A$3001,0))&amp;"",""))</f>
        <v/>
      </c>
      <c r="N3361" s="27" t="n">
        <f aca="false">N(N3360)+IF(AND(A3361&lt;&gt;"",OR(Recherche!$C$4="",A3361=Recherche!$C$4),OR(Recherche!$C$5="",B3361&amp;""=Recherche!$C$5&amp;""),OR(Recherche!$C$6="",IFERROR(YEAR(L3361),0)=Recherche!$C$6),OR(Recherche!$C$7="",ISNUMBER(SEARCH(Recherche!$C$7,H3361))),OR(Recherche!$C$8="",J3361=Recherche!$C$8),OR(Recherche!$C$9="",I3361=Recherche!$C$9),OR(Recherche!$C$10="",G3361&amp;""=Recherche!$C$10&amp;""),OR(Recherche!$C$11="",E3361=Recherche!$C$11),OR(Recherche!$C$12="",ISNUMBER(SEARCH(Recherche!$C$12,M3361&amp;" "&amp;F3361)))),1,0)</f>
        <v>8</v>
      </c>
    </row>
    <row r="3362" customFormat="false" ht="15" hidden="false" customHeight="false" outlineLevel="0" collapsed="false">
      <c r="A3362" s="19"/>
      <c r="B3362" s="19"/>
      <c r="C3362" s="19"/>
      <c r="D3362" s="19"/>
      <c r="E3362" s="22"/>
      <c r="F3362" s="19"/>
      <c r="G3362" s="26" t="str">
        <f aca="false">IF(D3362="","",IFERROR(VALUE(LEFT(D3362,FIND(" |",D3362&amp;" |")-1)),"?"))</f>
        <v/>
      </c>
      <c r="H3362" s="27" t="str">
        <f aca="false">IF(G3362="","",IF(G3362="?","⚠ pub inconnue",IFERROR(INDEX(Pubs!$B$2:$B$3001,MATCH(G3362,Pubs!$A$2:$A$3001,0))&amp;"","⚠ pub inconnue")))</f>
        <v/>
      </c>
      <c r="I3362" s="27" t="str">
        <f aca="false">IF(OR(G3362="",G3362="?"),"",IFERROR(INDEX(Pubs!$C$2:$C$3001,MATCH(G3362,Pubs!$A$2:$A$3001,0))&amp;"",""))</f>
        <v/>
      </c>
      <c r="J3362" s="27" t="str">
        <f aca="false">IF(OR(G3362="",G3362="?"),"",IFERROR(INDEX(Pubs!$G$2:$G$3001,MATCH(G3362,Pubs!$A$2:$A$3001,0))&amp;"",""))</f>
        <v/>
      </c>
      <c r="K3362" s="28" t="str">
        <f aca="false">IF(OR(G3362="",G3362="?"),"",IFERROR(INDEX(Pubs!$E$2:$E$3001,MATCH(G3362,Pubs!$A$2:$A$3001,0)),""))</f>
        <v/>
      </c>
      <c r="L3362" s="29" t="str">
        <f aca="false">IF(A3362="","",IFERROR(1/(1/INDEX(Numéros!$C$2:$C$3001,MATCH(A3362&amp;"|"&amp;B3362,Numéros!$F$2:$F$3001,0))),""))</f>
        <v/>
      </c>
      <c r="M3362" s="27" t="str">
        <f aca="false">IF(OR(G3362="",G3362="?"),"",IFERROR(INDEX(Pubs!$D$2:$D$3001,MATCH(G3362,Pubs!$A$2:$A$3001,0))&amp;"",""))</f>
        <v/>
      </c>
      <c r="N3362" s="27" t="n">
        <f aca="false">N(N3361)+IF(AND(A3362&lt;&gt;"",OR(Recherche!$C$4="",A3362=Recherche!$C$4),OR(Recherche!$C$5="",B3362&amp;""=Recherche!$C$5&amp;""),OR(Recherche!$C$6="",IFERROR(YEAR(L3362),0)=Recherche!$C$6),OR(Recherche!$C$7="",ISNUMBER(SEARCH(Recherche!$C$7,H3362))),OR(Recherche!$C$8="",J3362=Recherche!$C$8),OR(Recherche!$C$9="",I3362=Recherche!$C$9),OR(Recherche!$C$10="",G3362&amp;""=Recherche!$C$10&amp;""),OR(Recherche!$C$11="",E3362=Recherche!$C$11),OR(Recherche!$C$12="",ISNUMBER(SEARCH(Recherche!$C$12,M3362&amp;" "&amp;F3362)))),1,0)</f>
        <v>8</v>
      </c>
    </row>
    <row r="3363" customFormat="false" ht="15" hidden="false" customHeight="false" outlineLevel="0" collapsed="false">
      <c r="A3363" s="19"/>
      <c r="B3363" s="19"/>
      <c r="C3363" s="19"/>
      <c r="D3363" s="19"/>
      <c r="E3363" s="22"/>
      <c r="F3363" s="19"/>
      <c r="G3363" s="26" t="str">
        <f aca="false">IF(D3363="","",IFERROR(VALUE(LEFT(D3363,FIND(" |",D3363&amp;" |")-1)),"?"))</f>
        <v/>
      </c>
      <c r="H3363" s="27" t="str">
        <f aca="false">IF(G3363="","",IF(G3363="?","⚠ pub inconnue",IFERROR(INDEX(Pubs!$B$2:$B$3001,MATCH(G3363,Pubs!$A$2:$A$3001,0))&amp;"","⚠ pub inconnue")))</f>
        <v/>
      </c>
      <c r="I3363" s="27" t="str">
        <f aca="false">IF(OR(G3363="",G3363="?"),"",IFERROR(INDEX(Pubs!$C$2:$C$3001,MATCH(G3363,Pubs!$A$2:$A$3001,0))&amp;"",""))</f>
        <v/>
      </c>
      <c r="J3363" s="27" t="str">
        <f aca="false">IF(OR(G3363="",G3363="?"),"",IFERROR(INDEX(Pubs!$G$2:$G$3001,MATCH(G3363,Pubs!$A$2:$A$3001,0))&amp;"",""))</f>
        <v/>
      </c>
      <c r="K3363" s="28" t="str">
        <f aca="false">IF(OR(G3363="",G3363="?"),"",IFERROR(INDEX(Pubs!$E$2:$E$3001,MATCH(G3363,Pubs!$A$2:$A$3001,0)),""))</f>
        <v/>
      </c>
      <c r="L3363" s="29" t="str">
        <f aca="false">IF(A3363="","",IFERROR(1/(1/INDEX(Numéros!$C$2:$C$3001,MATCH(A3363&amp;"|"&amp;B3363,Numéros!$F$2:$F$3001,0))),""))</f>
        <v/>
      </c>
      <c r="M3363" s="27" t="str">
        <f aca="false">IF(OR(G3363="",G3363="?"),"",IFERROR(INDEX(Pubs!$D$2:$D$3001,MATCH(G3363,Pubs!$A$2:$A$3001,0))&amp;"",""))</f>
        <v/>
      </c>
      <c r="N3363" s="27" t="n">
        <f aca="false">N(N3362)+IF(AND(A3363&lt;&gt;"",OR(Recherche!$C$4="",A3363=Recherche!$C$4),OR(Recherche!$C$5="",B3363&amp;""=Recherche!$C$5&amp;""),OR(Recherche!$C$6="",IFERROR(YEAR(L3363),0)=Recherche!$C$6),OR(Recherche!$C$7="",ISNUMBER(SEARCH(Recherche!$C$7,H3363))),OR(Recherche!$C$8="",J3363=Recherche!$C$8),OR(Recherche!$C$9="",I3363=Recherche!$C$9),OR(Recherche!$C$10="",G3363&amp;""=Recherche!$C$10&amp;""),OR(Recherche!$C$11="",E3363=Recherche!$C$11),OR(Recherche!$C$12="",ISNUMBER(SEARCH(Recherche!$C$12,M3363&amp;" "&amp;F3363)))),1,0)</f>
        <v>8</v>
      </c>
    </row>
    <row r="3364" customFormat="false" ht="15" hidden="false" customHeight="false" outlineLevel="0" collapsed="false">
      <c r="A3364" s="19"/>
      <c r="B3364" s="19"/>
      <c r="C3364" s="19"/>
      <c r="D3364" s="19"/>
      <c r="E3364" s="22"/>
      <c r="F3364" s="19"/>
      <c r="G3364" s="26" t="str">
        <f aca="false">IF(D3364="","",IFERROR(VALUE(LEFT(D3364,FIND(" |",D3364&amp;" |")-1)),"?"))</f>
        <v/>
      </c>
      <c r="H3364" s="27" t="str">
        <f aca="false">IF(G3364="","",IF(G3364="?","⚠ pub inconnue",IFERROR(INDEX(Pubs!$B$2:$B$3001,MATCH(G3364,Pubs!$A$2:$A$3001,0))&amp;"","⚠ pub inconnue")))</f>
        <v/>
      </c>
      <c r="I3364" s="27" t="str">
        <f aca="false">IF(OR(G3364="",G3364="?"),"",IFERROR(INDEX(Pubs!$C$2:$C$3001,MATCH(G3364,Pubs!$A$2:$A$3001,0))&amp;"",""))</f>
        <v/>
      </c>
      <c r="J3364" s="27" t="str">
        <f aca="false">IF(OR(G3364="",G3364="?"),"",IFERROR(INDEX(Pubs!$G$2:$G$3001,MATCH(G3364,Pubs!$A$2:$A$3001,0))&amp;"",""))</f>
        <v/>
      </c>
      <c r="K3364" s="28" t="str">
        <f aca="false">IF(OR(G3364="",G3364="?"),"",IFERROR(INDEX(Pubs!$E$2:$E$3001,MATCH(G3364,Pubs!$A$2:$A$3001,0)),""))</f>
        <v/>
      </c>
      <c r="L3364" s="29" t="str">
        <f aca="false">IF(A3364="","",IFERROR(1/(1/INDEX(Numéros!$C$2:$C$3001,MATCH(A3364&amp;"|"&amp;B3364,Numéros!$F$2:$F$3001,0))),""))</f>
        <v/>
      </c>
      <c r="M3364" s="27" t="str">
        <f aca="false">IF(OR(G3364="",G3364="?"),"",IFERROR(INDEX(Pubs!$D$2:$D$3001,MATCH(G3364,Pubs!$A$2:$A$3001,0))&amp;"",""))</f>
        <v/>
      </c>
      <c r="N3364" s="27" t="n">
        <f aca="false">N(N3363)+IF(AND(A3364&lt;&gt;"",OR(Recherche!$C$4="",A3364=Recherche!$C$4),OR(Recherche!$C$5="",B3364&amp;""=Recherche!$C$5&amp;""),OR(Recherche!$C$6="",IFERROR(YEAR(L3364),0)=Recherche!$C$6),OR(Recherche!$C$7="",ISNUMBER(SEARCH(Recherche!$C$7,H3364))),OR(Recherche!$C$8="",J3364=Recherche!$C$8),OR(Recherche!$C$9="",I3364=Recherche!$C$9),OR(Recherche!$C$10="",G3364&amp;""=Recherche!$C$10&amp;""),OR(Recherche!$C$11="",E3364=Recherche!$C$11),OR(Recherche!$C$12="",ISNUMBER(SEARCH(Recherche!$C$12,M3364&amp;" "&amp;F3364)))),1,0)</f>
        <v>8</v>
      </c>
    </row>
    <row r="3365" customFormat="false" ht="15" hidden="false" customHeight="false" outlineLevel="0" collapsed="false">
      <c r="A3365" s="19"/>
      <c r="B3365" s="19"/>
      <c r="C3365" s="19"/>
      <c r="D3365" s="19"/>
      <c r="E3365" s="22"/>
      <c r="F3365" s="19"/>
      <c r="G3365" s="26" t="str">
        <f aca="false">IF(D3365="","",IFERROR(VALUE(LEFT(D3365,FIND(" |",D3365&amp;" |")-1)),"?"))</f>
        <v/>
      </c>
      <c r="H3365" s="27" t="str">
        <f aca="false">IF(G3365="","",IF(G3365="?","⚠ pub inconnue",IFERROR(INDEX(Pubs!$B$2:$B$3001,MATCH(G3365,Pubs!$A$2:$A$3001,0))&amp;"","⚠ pub inconnue")))</f>
        <v/>
      </c>
      <c r="I3365" s="27" t="str">
        <f aca="false">IF(OR(G3365="",G3365="?"),"",IFERROR(INDEX(Pubs!$C$2:$C$3001,MATCH(G3365,Pubs!$A$2:$A$3001,0))&amp;"",""))</f>
        <v/>
      </c>
      <c r="J3365" s="27" t="str">
        <f aca="false">IF(OR(G3365="",G3365="?"),"",IFERROR(INDEX(Pubs!$G$2:$G$3001,MATCH(G3365,Pubs!$A$2:$A$3001,0))&amp;"",""))</f>
        <v/>
      </c>
      <c r="K3365" s="28" t="str">
        <f aca="false">IF(OR(G3365="",G3365="?"),"",IFERROR(INDEX(Pubs!$E$2:$E$3001,MATCH(G3365,Pubs!$A$2:$A$3001,0)),""))</f>
        <v/>
      </c>
      <c r="L3365" s="29" t="str">
        <f aca="false">IF(A3365="","",IFERROR(1/(1/INDEX(Numéros!$C$2:$C$3001,MATCH(A3365&amp;"|"&amp;B3365,Numéros!$F$2:$F$3001,0))),""))</f>
        <v/>
      </c>
      <c r="M3365" s="27" t="str">
        <f aca="false">IF(OR(G3365="",G3365="?"),"",IFERROR(INDEX(Pubs!$D$2:$D$3001,MATCH(G3365,Pubs!$A$2:$A$3001,0))&amp;"",""))</f>
        <v/>
      </c>
      <c r="N3365" s="27" t="n">
        <f aca="false">N(N3364)+IF(AND(A3365&lt;&gt;"",OR(Recherche!$C$4="",A3365=Recherche!$C$4),OR(Recherche!$C$5="",B3365&amp;""=Recherche!$C$5&amp;""),OR(Recherche!$C$6="",IFERROR(YEAR(L3365),0)=Recherche!$C$6),OR(Recherche!$C$7="",ISNUMBER(SEARCH(Recherche!$C$7,H3365))),OR(Recherche!$C$8="",J3365=Recherche!$C$8),OR(Recherche!$C$9="",I3365=Recherche!$C$9),OR(Recherche!$C$10="",G3365&amp;""=Recherche!$C$10&amp;""),OR(Recherche!$C$11="",E3365=Recherche!$C$11),OR(Recherche!$C$12="",ISNUMBER(SEARCH(Recherche!$C$12,M3365&amp;" "&amp;F3365)))),1,0)</f>
        <v>8</v>
      </c>
    </row>
    <row r="3366" customFormat="false" ht="15" hidden="false" customHeight="false" outlineLevel="0" collapsed="false">
      <c r="A3366" s="19"/>
      <c r="B3366" s="19"/>
      <c r="C3366" s="19"/>
      <c r="D3366" s="19"/>
      <c r="E3366" s="22"/>
      <c r="F3366" s="19"/>
      <c r="G3366" s="26" t="str">
        <f aca="false">IF(D3366="","",IFERROR(VALUE(LEFT(D3366,FIND(" |",D3366&amp;" |")-1)),"?"))</f>
        <v/>
      </c>
      <c r="H3366" s="27" t="str">
        <f aca="false">IF(G3366="","",IF(G3366="?","⚠ pub inconnue",IFERROR(INDEX(Pubs!$B$2:$B$3001,MATCH(G3366,Pubs!$A$2:$A$3001,0))&amp;"","⚠ pub inconnue")))</f>
        <v/>
      </c>
      <c r="I3366" s="27" t="str">
        <f aca="false">IF(OR(G3366="",G3366="?"),"",IFERROR(INDEX(Pubs!$C$2:$C$3001,MATCH(G3366,Pubs!$A$2:$A$3001,0))&amp;"",""))</f>
        <v/>
      </c>
      <c r="J3366" s="27" t="str">
        <f aca="false">IF(OR(G3366="",G3366="?"),"",IFERROR(INDEX(Pubs!$G$2:$G$3001,MATCH(G3366,Pubs!$A$2:$A$3001,0))&amp;"",""))</f>
        <v/>
      </c>
      <c r="K3366" s="28" t="str">
        <f aca="false">IF(OR(G3366="",G3366="?"),"",IFERROR(INDEX(Pubs!$E$2:$E$3001,MATCH(G3366,Pubs!$A$2:$A$3001,0)),""))</f>
        <v/>
      </c>
      <c r="L3366" s="29" t="str">
        <f aca="false">IF(A3366="","",IFERROR(1/(1/INDEX(Numéros!$C$2:$C$3001,MATCH(A3366&amp;"|"&amp;B3366,Numéros!$F$2:$F$3001,0))),""))</f>
        <v/>
      </c>
      <c r="M3366" s="27" t="str">
        <f aca="false">IF(OR(G3366="",G3366="?"),"",IFERROR(INDEX(Pubs!$D$2:$D$3001,MATCH(G3366,Pubs!$A$2:$A$3001,0))&amp;"",""))</f>
        <v/>
      </c>
      <c r="N3366" s="27" t="n">
        <f aca="false">N(N3365)+IF(AND(A3366&lt;&gt;"",OR(Recherche!$C$4="",A3366=Recherche!$C$4),OR(Recherche!$C$5="",B3366&amp;""=Recherche!$C$5&amp;""),OR(Recherche!$C$6="",IFERROR(YEAR(L3366),0)=Recherche!$C$6),OR(Recherche!$C$7="",ISNUMBER(SEARCH(Recherche!$C$7,H3366))),OR(Recherche!$C$8="",J3366=Recherche!$C$8),OR(Recherche!$C$9="",I3366=Recherche!$C$9),OR(Recherche!$C$10="",G3366&amp;""=Recherche!$C$10&amp;""),OR(Recherche!$C$11="",E3366=Recherche!$C$11),OR(Recherche!$C$12="",ISNUMBER(SEARCH(Recherche!$C$12,M3366&amp;" "&amp;F3366)))),1,0)</f>
        <v>8</v>
      </c>
    </row>
    <row r="3367" customFormat="false" ht="15" hidden="false" customHeight="false" outlineLevel="0" collapsed="false">
      <c r="A3367" s="19"/>
      <c r="B3367" s="19"/>
      <c r="C3367" s="19"/>
      <c r="D3367" s="19"/>
      <c r="E3367" s="22"/>
      <c r="F3367" s="19"/>
      <c r="G3367" s="26" t="str">
        <f aca="false">IF(D3367="","",IFERROR(VALUE(LEFT(D3367,FIND(" |",D3367&amp;" |")-1)),"?"))</f>
        <v/>
      </c>
      <c r="H3367" s="27" t="str">
        <f aca="false">IF(G3367="","",IF(G3367="?","⚠ pub inconnue",IFERROR(INDEX(Pubs!$B$2:$B$3001,MATCH(G3367,Pubs!$A$2:$A$3001,0))&amp;"","⚠ pub inconnue")))</f>
        <v/>
      </c>
      <c r="I3367" s="27" t="str">
        <f aca="false">IF(OR(G3367="",G3367="?"),"",IFERROR(INDEX(Pubs!$C$2:$C$3001,MATCH(G3367,Pubs!$A$2:$A$3001,0))&amp;"",""))</f>
        <v/>
      </c>
      <c r="J3367" s="27" t="str">
        <f aca="false">IF(OR(G3367="",G3367="?"),"",IFERROR(INDEX(Pubs!$G$2:$G$3001,MATCH(G3367,Pubs!$A$2:$A$3001,0))&amp;"",""))</f>
        <v/>
      </c>
      <c r="K3367" s="28" t="str">
        <f aca="false">IF(OR(G3367="",G3367="?"),"",IFERROR(INDEX(Pubs!$E$2:$E$3001,MATCH(G3367,Pubs!$A$2:$A$3001,0)),""))</f>
        <v/>
      </c>
      <c r="L3367" s="29" t="str">
        <f aca="false">IF(A3367="","",IFERROR(1/(1/INDEX(Numéros!$C$2:$C$3001,MATCH(A3367&amp;"|"&amp;B3367,Numéros!$F$2:$F$3001,0))),""))</f>
        <v/>
      </c>
      <c r="M3367" s="27" t="str">
        <f aca="false">IF(OR(G3367="",G3367="?"),"",IFERROR(INDEX(Pubs!$D$2:$D$3001,MATCH(G3367,Pubs!$A$2:$A$3001,0))&amp;"",""))</f>
        <v/>
      </c>
      <c r="N3367" s="27" t="n">
        <f aca="false">N(N3366)+IF(AND(A3367&lt;&gt;"",OR(Recherche!$C$4="",A3367=Recherche!$C$4),OR(Recherche!$C$5="",B3367&amp;""=Recherche!$C$5&amp;""),OR(Recherche!$C$6="",IFERROR(YEAR(L3367),0)=Recherche!$C$6),OR(Recherche!$C$7="",ISNUMBER(SEARCH(Recherche!$C$7,H3367))),OR(Recherche!$C$8="",J3367=Recherche!$C$8),OR(Recherche!$C$9="",I3367=Recherche!$C$9),OR(Recherche!$C$10="",G3367&amp;""=Recherche!$C$10&amp;""),OR(Recherche!$C$11="",E3367=Recherche!$C$11),OR(Recherche!$C$12="",ISNUMBER(SEARCH(Recherche!$C$12,M3367&amp;" "&amp;F3367)))),1,0)</f>
        <v>8</v>
      </c>
    </row>
    <row r="3368" customFormat="false" ht="15" hidden="false" customHeight="false" outlineLevel="0" collapsed="false">
      <c r="A3368" s="19"/>
      <c r="B3368" s="19"/>
      <c r="C3368" s="19"/>
      <c r="D3368" s="19"/>
      <c r="E3368" s="22"/>
      <c r="F3368" s="19"/>
      <c r="G3368" s="26" t="str">
        <f aca="false">IF(D3368="","",IFERROR(VALUE(LEFT(D3368,FIND(" |",D3368&amp;" |")-1)),"?"))</f>
        <v/>
      </c>
      <c r="H3368" s="27" t="str">
        <f aca="false">IF(G3368="","",IF(G3368="?","⚠ pub inconnue",IFERROR(INDEX(Pubs!$B$2:$B$3001,MATCH(G3368,Pubs!$A$2:$A$3001,0))&amp;"","⚠ pub inconnue")))</f>
        <v/>
      </c>
      <c r="I3368" s="27" t="str">
        <f aca="false">IF(OR(G3368="",G3368="?"),"",IFERROR(INDEX(Pubs!$C$2:$C$3001,MATCH(G3368,Pubs!$A$2:$A$3001,0))&amp;"",""))</f>
        <v/>
      </c>
      <c r="J3368" s="27" t="str">
        <f aca="false">IF(OR(G3368="",G3368="?"),"",IFERROR(INDEX(Pubs!$G$2:$G$3001,MATCH(G3368,Pubs!$A$2:$A$3001,0))&amp;"",""))</f>
        <v/>
      </c>
      <c r="K3368" s="28" t="str">
        <f aca="false">IF(OR(G3368="",G3368="?"),"",IFERROR(INDEX(Pubs!$E$2:$E$3001,MATCH(G3368,Pubs!$A$2:$A$3001,0)),""))</f>
        <v/>
      </c>
      <c r="L3368" s="29" t="str">
        <f aca="false">IF(A3368="","",IFERROR(1/(1/INDEX(Numéros!$C$2:$C$3001,MATCH(A3368&amp;"|"&amp;B3368,Numéros!$F$2:$F$3001,0))),""))</f>
        <v/>
      </c>
      <c r="M3368" s="27" t="str">
        <f aca="false">IF(OR(G3368="",G3368="?"),"",IFERROR(INDEX(Pubs!$D$2:$D$3001,MATCH(G3368,Pubs!$A$2:$A$3001,0))&amp;"",""))</f>
        <v/>
      </c>
      <c r="N3368" s="27" t="n">
        <f aca="false">N(N3367)+IF(AND(A3368&lt;&gt;"",OR(Recherche!$C$4="",A3368=Recherche!$C$4),OR(Recherche!$C$5="",B3368&amp;""=Recherche!$C$5&amp;""),OR(Recherche!$C$6="",IFERROR(YEAR(L3368),0)=Recherche!$C$6),OR(Recherche!$C$7="",ISNUMBER(SEARCH(Recherche!$C$7,H3368))),OR(Recherche!$C$8="",J3368=Recherche!$C$8),OR(Recherche!$C$9="",I3368=Recherche!$C$9),OR(Recherche!$C$10="",G3368&amp;""=Recherche!$C$10&amp;""),OR(Recherche!$C$11="",E3368=Recherche!$C$11),OR(Recherche!$C$12="",ISNUMBER(SEARCH(Recherche!$C$12,M3368&amp;" "&amp;F3368)))),1,0)</f>
        <v>8</v>
      </c>
    </row>
    <row r="3369" customFormat="false" ht="15" hidden="false" customHeight="false" outlineLevel="0" collapsed="false">
      <c r="A3369" s="19"/>
      <c r="B3369" s="19"/>
      <c r="C3369" s="19"/>
      <c r="D3369" s="19"/>
      <c r="E3369" s="22"/>
      <c r="F3369" s="19"/>
      <c r="G3369" s="26" t="str">
        <f aca="false">IF(D3369="","",IFERROR(VALUE(LEFT(D3369,FIND(" |",D3369&amp;" |")-1)),"?"))</f>
        <v/>
      </c>
      <c r="H3369" s="27" t="str">
        <f aca="false">IF(G3369="","",IF(G3369="?","⚠ pub inconnue",IFERROR(INDEX(Pubs!$B$2:$B$3001,MATCH(G3369,Pubs!$A$2:$A$3001,0))&amp;"","⚠ pub inconnue")))</f>
        <v/>
      </c>
      <c r="I3369" s="27" t="str">
        <f aca="false">IF(OR(G3369="",G3369="?"),"",IFERROR(INDEX(Pubs!$C$2:$C$3001,MATCH(G3369,Pubs!$A$2:$A$3001,0))&amp;"",""))</f>
        <v/>
      </c>
      <c r="J3369" s="27" t="str">
        <f aca="false">IF(OR(G3369="",G3369="?"),"",IFERROR(INDEX(Pubs!$G$2:$G$3001,MATCH(G3369,Pubs!$A$2:$A$3001,0))&amp;"",""))</f>
        <v/>
      </c>
      <c r="K3369" s="28" t="str">
        <f aca="false">IF(OR(G3369="",G3369="?"),"",IFERROR(INDEX(Pubs!$E$2:$E$3001,MATCH(G3369,Pubs!$A$2:$A$3001,0)),""))</f>
        <v/>
      </c>
      <c r="L3369" s="29" t="str">
        <f aca="false">IF(A3369="","",IFERROR(1/(1/INDEX(Numéros!$C$2:$C$3001,MATCH(A3369&amp;"|"&amp;B3369,Numéros!$F$2:$F$3001,0))),""))</f>
        <v/>
      </c>
      <c r="M3369" s="27" t="str">
        <f aca="false">IF(OR(G3369="",G3369="?"),"",IFERROR(INDEX(Pubs!$D$2:$D$3001,MATCH(G3369,Pubs!$A$2:$A$3001,0))&amp;"",""))</f>
        <v/>
      </c>
      <c r="N3369" s="27" t="n">
        <f aca="false">N(N3368)+IF(AND(A3369&lt;&gt;"",OR(Recherche!$C$4="",A3369=Recherche!$C$4),OR(Recherche!$C$5="",B3369&amp;""=Recherche!$C$5&amp;""),OR(Recherche!$C$6="",IFERROR(YEAR(L3369),0)=Recherche!$C$6),OR(Recherche!$C$7="",ISNUMBER(SEARCH(Recherche!$C$7,H3369))),OR(Recherche!$C$8="",J3369=Recherche!$C$8),OR(Recherche!$C$9="",I3369=Recherche!$C$9),OR(Recherche!$C$10="",G3369&amp;""=Recherche!$C$10&amp;""),OR(Recherche!$C$11="",E3369=Recherche!$C$11),OR(Recherche!$C$12="",ISNUMBER(SEARCH(Recherche!$C$12,M3369&amp;" "&amp;F3369)))),1,0)</f>
        <v>8</v>
      </c>
    </row>
    <row r="3370" customFormat="false" ht="15" hidden="false" customHeight="false" outlineLevel="0" collapsed="false">
      <c r="A3370" s="19"/>
      <c r="B3370" s="19"/>
      <c r="C3370" s="19"/>
      <c r="D3370" s="19"/>
      <c r="E3370" s="22"/>
      <c r="F3370" s="19"/>
      <c r="G3370" s="26" t="str">
        <f aca="false">IF(D3370="","",IFERROR(VALUE(LEFT(D3370,FIND(" |",D3370&amp;" |")-1)),"?"))</f>
        <v/>
      </c>
      <c r="H3370" s="27" t="str">
        <f aca="false">IF(G3370="","",IF(G3370="?","⚠ pub inconnue",IFERROR(INDEX(Pubs!$B$2:$B$3001,MATCH(G3370,Pubs!$A$2:$A$3001,0))&amp;"","⚠ pub inconnue")))</f>
        <v/>
      </c>
      <c r="I3370" s="27" t="str">
        <f aca="false">IF(OR(G3370="",G3370="?"),"",IFERROR(INDEX(Pubs!$C$2:$C$3001,MATCH(G3370,Pubs!$A$2:$A$3001,0))&amp;"",""))</f>
        <v/>
      </c>
      <c r="J3370" s="27" t="str">
        <f aca="false">IF(OR(G3370="",G3370="?"),"",IFERROR(INDEX(Pubs!$G$2:$G$3001,MATCH(G3370,Pubs!$A$2:$A$3001,0))&amp;"",""))</f>
        <v/>
      </c>
      <c r="K3370" s="28" t="str">
        <f aca="false">IF(OR(G3370="",G3370="?"),"",IFERROR(INDEX(Pubs!$E$2:$E$3001,MATCH(G3370,Pubs!$A$2:$A$3001,0)),""))</f>
        <v/>
      </c>
      <c r="L3370" s="29" t="str">
        <f aca="false">IF(A3370="","",IFERROR(1/(1/INDEX(Numéros!$C$2:$C$3001,MATCH(A3370&amp;"|"&amp;B3370,Numéros!$F$2:$F$3001,0))),""))</f>
        <v/>
      </c>
      <c r="M3370" s="27" t="str">
        <f aca="false">IF(OR(G3370="",G3370="?"),"",IFERROR(INDEX(Pubs!$D$2:$D$3001,MATCH(G3370,Pubs!$A$2:$A$3001,0))&amp;"",""))</f>
        <v/>
      </c>
      <c r="N3370" s="27" t="n">
        <f aca="false">N(N3369)+IF(AND(A3370&lt;&gt;"",OR(Recherche!$C$4="",A3370=Recherche!$C$4),OR(Recherche!$C$5="",B3370&amp;""=Recherche!$C$5&amp;""),OR(Recherche!$C$6="",IFERROR(YEAR(L3370),0)=Recherche!$C$6),OR(Recherche!$C$7="",ISNUMBER(SEARCH(Recherche!$C$7,H3370))),OR(Recherche!$C$8="",J3370=Recherche!$C$8),OR(Recherche!$C$9="",I3370=Recherche!$C$9),OR(Recherche!$C$10="",G3370&amp;""=Recherche!$C$10&amp;""),OR(Recherche!$C$11="",E3370=Recherche!$C$11),OR(Recherche!$C$12="",ISNUMBER(SEARCH(Recherche!$C$12,M3370&amp;" "&amp;F3370)))),1,0)</f>
        <v>8</v>
      </c>
    </row>
    <row r="3371" customFormat="false" ht="15" hidden="false" customHeight="false" outlineLevel="0" collapsed="false">
      <c r="A3371" s="19"/>
      <c r="B3371" s="19"/>
      <c r="C3371" s="19"/>
      <c r="D3371" s="19"/>
      <c r="E3371" s="22"/>
      <c r="F3371" s="19"/>
      <c r="G3371" s="26" t="str">
        <f aca="false">IF(D3371="","",IFERROR(VALUE(LEFT(D3371,FIND(" |",D3371&amp;" |")-1)),"?"))</f>
        <v/>
      </c>
      <c r="H3371" s="27" t="str">
        <f aca="false">IF(G3371="","",IF(G3371="?","⚠ pub inconnue",IFERROR(INDEX(Pubs!$B$2:$B$3001,MATCH(G3371,Pubs!$A$2:$A$3001,0))&amp;"","⚠ pub inconnue")))</f>
        <v/>
      </c>
      <c r="I3371" s="27" t="str">
        <f aca="false">IF(OR(G3371="",G3371="?"),"",IFERROR(INDEX(Pubs!$C$2:$C$3001,MATCH(G3371,Pubs!$A$2:$A$3001,0))&amp;"",""))</f>
        <v/>
      </c>
      <c r="J3371" s="27" t="str">
        <f aca="false">IF(OR(G3371="",G3371="?"),"",IFERROR(INDEX(Pubs!$G$2:$G$3001,MATCH(G3371,Pubs!$A$2:$A$3001,0))&amp;"",""))</f>
        <v/>
      </c>
      <c r="K3371" s="28" t="str">
        <f aca="false">IF(OR(G3371="",G3371="?"),"",IFERROR(INDEX(Pubs!$E$2:$E$3001,MATCH(G3371,Pubs!$A$2:$A$3001,0)),""))</f>
        <v/>
      </c>
      <c r="L3371" s="29" t="str">
        <f aca="false">IF(A3371="","",IFERROR(1/(1/INDEX(Numéros!$C$2:$C$3001,MATCH(A3371&amp;"|"&amp;B3371,Numéros!$F$2:$F$3001,0))),""))</f>
        <v/>
      </c>
      <c r="M3371" s="27" t="str">
        <f aca="false">IF(OR(G3371="",G3371="?"),"",IFERROR(INDEX(Pubs!$D$2:$D$3001,MATCH(G3371,Pubs!$A$2:$A$3001,0))&amp;"",""))</f>
        <v/>
      </c>
      <c r="N3371" s="27" t="n">
        <f aca="false">N(N3370)+IF(AND(A3371&lt;&gt;"",OR(Recherche!$C$4="",A3371=Recherche!$C$4),OR(Recherche!$C$5="",B3371&amp;""=Recherche!$C$5&amp;""),OR(Recherche!$C$6="",IFERROR(YEAR(L3371),0)=Recherche!$C$6),OR(Recherche!$C$7="",ISNUMBER(SEARCH(Recherche!$C$7,H3371))),OR(Recherche!$C$8="",J3371=Recherche!$C$8),OR(Recherche!$C$9="",I3371=Recherche!$C$9),OR(Recherche!$C$10="",G3371&amp;""=Recherche!$C$10&amp;""),OR(Recherche!$C$11="",E3371=Recherche!$C$11),OR(Recherche!$C$12="",ISNUMBER(SEARCH(Recherche!$C$12,M3371&amp;" "&amp;F3371)))),1,0)</f>
        <v>8</v>
      </c>
    </row>
    <row r="3372" customFormat="false" ht="15" hidden="false" customHeight="false" outlineLevel="0" collapsed="false">
      <c r="A3372" s="19"/>
      <c r="B3372" s="19"/>
      <c r="C3372" s="19"/>
      <c r="D3372" s="19"/>
      <c r="E3372" s="22"/>
      <c r="F3372" s="19"/>
      <c r="G3372" s="26" t="str">
        <f aca="false">IF(D3372="","",IFERROR(VALUE(LEFT(D3372,FIND(" |",D3372&amp;" |")-1)),"?"))</f>
        <v/>
      </c>
      <c r="H3372" s="27" t="str">
        <f aca="false">IF(G3372="","",IF(G3372="?","⚠ pub inconnue",IFERROR(INDEX(Pubs!$B$2:$B$3001,MATCH(G3372,Pubs!$A$2:$A$3001,0))&amp;"","⚠ pub inconnue")))</f>
        <v/>
      </c>
      <c r="I3372" s="27" t="str">
        <f aca="false">IF(OR(G3372="",G3372="?"),"",IFERROR(INDEX(Pubs!$C$2:$C$3001,MATCH(G3372,Pubs!$A$2:$A$3001,0))&amp;"",""))</f>
        <v/>
      </c>
      <c r="J3372" s="27" t="str">
        <f aca="false">IF(OR(G3372="",G3372="?"),"",IFERROR(INDEX(Pubs!$G$2:$G$3001,MATCH(G3372,Pubs!$A$2:$A$3001,0))&amp;"",""))</f>
        <v/>
      </c>
      <c r="K3372" s="28" t="str">
        <f aca="false">IF(OR(G3372="",G3372="?"),"",IFERROR(INDEX(Pubs!$E$2:$E$3001,MATCH(G3372,Pubs!$A$2:$A$3001,0)),""))</f>
        <v/>
      </c>
      <c r="L3372" s="29" t="str">
        <f aca="false">IF(A3372="","",IFERROR(1/(1/INDEX(Numéros!$C$2:$C$3001,MATCH(A3372&amp;"|"&amp;B3372,Numéros!$F$2:$F$3001,0))),""))</f>
        <v/>
      </c>
      <c r="M3372" s="27" t="str">
        <f aca="false">IF(OR(G3372="",G3372="?"),"",IFERROR(INDEX(Pubs!$D$2:$D$3001,MATCH(G3372,Pubs!$A$2:$A$3001,0))&amp;"",""))</f>
        <v/>
      </c>
      <c r="N3372" s="27" t="n">
        <f aca="false">N(N3371)+IF(AND(A3372&lt;&gt;"",OR(Recherche!$C$4="",A3372=Recherche!$C$4),OR(Recherche!$C$5="",B3372&amp;""=Recherche!$C$5&amp;""),OR(Recherche!$C$6="",IFERROR(YEAR(L3372),0)=Recherche!$C$6),OR(Recherche!$C$7="",ISNUMBER(SEARCH(Recherche!$C$7,H3372))),OR(Recherche!$C$8="",J3372=Recherche!$C$8),OR(Recherche!$C$9="",I3372=Recherche!$C$9),OR(Recherche!$C$10="",G3372&amp;""=Recherche!$C$10&amp;""),OR(Recherche!$C$11="",E3372=Recherche!$C$11),OR(Recherche!$C$12="",ISNUMBER(SEARCH(Recherche!$C$12,M3372&amp;" "&amp;F3372)))),1,0)</f>
        <v>8</v>
      </c>
    </row>
    <row r="3373" customFormat="false" ht="15" hidden="false" customHeight="false" outlineLevel="0" collapsed="false">
      <c r="A3373" s="19"/>
      <c r="B3373" s="19"/>
      <c r="C3373" s="19"/>
      <c r="D3373" s="19"/>
      <c r="E3373" s="22"/>
      <c r="F3373" s="19"/>
      <c r="G3373" s="26" t="str">
        <f aca="false">IF(D3373="","",IFERROR(VALUE(LEFT(D3373,FIND(" |",D3373&amp;" |")-1)),"?"))</f>
        <v/>
      </c>
      <c r="H3373" s="27" t="str">
        <f aca="false">IF(G3373="","",IF(G3373="?","⚠ pub inconnue",IFERROR(INDEX(Pubs!$B$2:$B$3001,MATCH(G3373,Pubs!$A$2:$A$3001,0))&amp;"","⚠ pub inconnue")))</f>
        <v/>
      </c>
      <c r="I3373" s="27" t="str">
        <f aca="false">IF(OR(G3373="",G3373="?"),"",IFERROR(INDEX(Pubs!$C$2:$C$3001,MATCH(G3373,Pubs!$A$2:$A$3001,0))&amp;"",""))</f>
        <v/>
      </c>
      <c r="J3373" s="27" t="str">
        <f aca="false">IF(OR(G3373="",G3373="?"),"",IFERROR(INDEX(Pubs!$G$2:$G$3001,MATCH(G3373,Pubs!$A$2:$A$3001,0))&amp;"",""))</f>
        <v/>
      </c>
      <c r="K3373" s="28" t="str">
        <f aca="false">IF(OR(G3373="",G3373="?"),"",IFERROR(INDEX(Pubs!$E$2:$E$3001,MATCH(G3373,Pubs!$A$2:$A$3001,0)),""))</f>
        <v/>
      </c>
      <c r="L3373" s="29" t="str">
        <f aca="false">IF(A3373="","",IFERROR(1/(1/INDEX(Numéros!$C$2:$C$3001,MATCH(A3373&amp;"|"&amp;B3373,Numéros!$F$2:$F$3001,0))),""))</f>
        <v/>
      </c>
      <c r="M3373" s="27" t="str">
        <f aca="false">IF(OR(G3373="",G3373="?"),"",IFERROR(INDEX(Pubs!$D$2:$D$3001,MATCH(G3373,Pubs!$A$2:$A$3001,0))&amp;"",""))</f>
        <v/>
      </c>
      <c r="N3373" s="27" t="n">
        <f aca="false">N(N3372)+IF(AND(A3373&lt;&gt;"",OR(Recherche!$C$4="",A3373=Recherche!$C$4),OR(Recherche!$C$5="",B3373&amp;""=Recherche!$C$5&amp;""),OR(Recherche!$C$6="",IFERROR(YEAR(L3373),0)=Recherche!$C$6),OR(Recherche!$C$7="",ISNUMBER(SEARCH(Recherche!$C$7,H3373))),OR(Recherche!$C$8="",J3373=Recherche!$C$8),OR(Recherche!$C$9="",I3373=Recherche!$C$9),OR(Recherche!$C$10="",G3373&amp;""=Recherche!$C$10&amp;""),OR(Recherche!$C$11="",E3373=Recherche!$C$11),OR(Recherche!$C$12="",ISNUMBER(SEARCH(Recherche!$C$12,M3373&amp;" "&amp;F3373)))),1,0)</f>
        <v>8</v>
      </c>
    </row>
    <row r="3374" customFormat="false" ht="15" hidden="false" customHeight="false" outlineLevel="0" collapsed="false">
      <c r="A3374" s="19"/>
      <c r="B3374" s="19"/>
      <c r="C3374" s="19"/>
      <c r="D3374" s="19"/>
      <c r="E3374" s="22"/>
      <c r="F3374" s="19"/>
      <c r="G3374" s="26" t="str">
        <f aca="false">IF(D3374="","",IFERROR(VALUE(LEFT(D3374,FIND(" |",D3374&amp;" |")-1)),"?"))</f>
        <v/>
      </c>
      <c r="H3374" s="27" t="str">
        <f aca="false">IF(G3374="","",IF(G3374="?","⚠ pub inconnue",IFERROR(INDEX(Pubs!$B$2:$B$3001,MATCH(G3374,Pubs!$A$2:$A$3001,0))&amp;"","⚠ pub inconnue")))</f>
        <v/>
      </c>
      <c r="I3374" s="27" t="str">
        <f aca="false">IF(OR(G3374="",G3374="?"),"",IFERROR(INDEX(Pubs!$C$2:$C$3001,MATCH(G3374,Pubs!$A$2:$A$3001,0))&amp;"",""))</f>
        <v/>
      </c>
      <c r="J3374" s="27" t="str">
        <f aca="false">IF(OR(G3374="",G3374="?"),"",IFERROR(INDEX(Pubs!$G$2:$G$3001,MATCH(G3374,Pubs!$A$2:$A$3001,0))&amp;"",""))</f>
        <v/>
      </c>
      <c r="K3374" s="28" t="str">
        <f aca="false">IF(OR(G3374="",G3374="?"),"",IFERROR(INDEX(Pubs!$E$2:$E$3001,MATCH(G3374,Pubs!$A$2:$A$3001,0)),""))</f>
        <v/>
      </c>
      <c r="L3374" s="29" t="str">
        <f aca="false">IF(A3374="","",IFERROR(1/(1/INDEX(Numéros!$C$2:$C$3001,MATCH(A3374&amp;"|"&amp;B3374,Numéros!$F$2:$F$3001,0))),""))</f>
        <v/>
      </c>
      <c r="M3374" s="27" t="str">
        <f aca="false">IF(OR(G3374="",G3374="?"),"",IFERROR(INDEX(Pubs!$D$2:$D$3001,MATCH(G3374,Pubs!$A$2:$A$3001,0))&amp;"",""))</f>
        <v/>
      </c>
      <c r="N3374" s="27" t="n">
        <f aca="false">N(N3373)+IF(AND(A3374&lt;&gt;"",OR(Recherche!$C$4="",A3374=Recherche!$C$4),OR(Recherche!$C$5="",B3374&amp;""=Recherche!$C$5&amp;""),OR(Recherche!$C$6="",IFERROR(YEAR(L3374),0)=Recherche!$C$6),OR(Recherche!$C$7="",ISNUMBER(SEARCH(Recherche!$C$7,H3374))),OR(Recherche!$C$8="",J3374=Recherche!$C$8),OR(Recherche!$C$9="",I3374=Recherche!$C$9),OR(Recherche!$C$10="",G3374&amp;""=Recherche!$C$10&amp;""),OR(Recherche!$C$11="",E3374=Recherche!$C$11),OR(Recherche!$C$12="",ISNUMBER(SEARCH(Recherche!$C$12,M3374&amp;" "&amp;F3374)))),1,0)</f>
        <v>8</v>
      </c>
    </row>
    <row r="3375" customFormat="false" ht="15" hidden="false" customHeight="false" outlineLevel="0" collapsed="false">
      <c r="A3375" s="19"/>
      <c r="B3375" s="19"/>
      <c r="C3375" s="19"/>
      <c r="D3375" s="19"/>
      <c r="E3375" s="22"/>
      <c r="F3375" s="19"/>
      <c r="G3375" s="26" t="str">
        <f aca="false">IF(D3375="","",IFERROR(VALUE(LEFT(D3375,FIND(" |",D3375&amp;" |")-1)),"?"))</f>
        <v/>
      </c>
      <c r="H3375" s="27" t="str">
        <f aca="false">IF(G3375="","",IF(G3375="?","⚠ pub inconnue",IFERROR(INDEX(Pubs!$B$2:$B$3001,MATCH(G3375,Pubs!$A$2:$A$3001,0))&amp;"","⚠ pub inconnue")))</f>
        <v/>
      </c>
      <c r="I3375" s="27" t="str">
        <f aca="false">IF(OR(G3375="",G3375="?"),"",IFERROR(INDEX(Pubs!$C$2:$C$3001,MATCH(G3375,Pubs!$A$2:$A$3001,0))&amp;"",""))</f>
        <v/>
      </c>
      <c r="J3375" s="27" t="str">
        <f aca="false">IF(OR(G3375="",G3375="?"),"",IFERROR(INDEX(Pubs!$G$2:$G$3001,MATCH(G3375,Pubs!$A$2:$A$3001,0))&amp;"",""))</f>
        <v/>
      </c>
      <c r="K3375" s="28" t="str">
        <f aca="false">IF(OR(G3375="",G3375="?"),"",IFERROR(INDEX(Pubs!$E$2:$E$3001,MATCH(G3375,Pubs!$A$2:$A$3001,0)),""))</f>
        <v/>
      </c>
      <c r="L3375" s="29" t="str">
        <f aca="false">IF(A3375="","",IFERROR(1/(1/INDEX(Numéros!$C$2:$C$3001,MATCH(A3375&amp;"|"&amp;B3375,Numéros!$F$2:$F$3001,0))),""))</f>
        <v/>
      </c>
      <c r="M3375" s="27" t="str">
        <f aca="false">IF(OR(G3375="",G3375="?"),"",IFERROR(INDEX(Pubs!$D$2:$D$3001,MATCH(G3375,Pubs!$A$2:$A$3001,0))&amp;"",""))</f>
        <v/>
      </c>
      <c r="N3375" s="27" t="n">
        <f aca="false">N(N3374)+IF(AND(A3375&lt;&gt;"",OR(Recherche!$C$4="",A3375=Recherche!$C$4),OR(Recherche!$C$5="",B3375&amp;""=Recherche!$C$5&amp;""),OR(Recherche!$C$6="",IFERROR(YEAR(L3375),0)=Recherche!$C$6),OR(Recherche!$C$7="",ISNUMBER(SEARCH(Recherche!$C$7,H3375))),OR(Recherche!$C$8="",J3375=Recherche!$C$8),OR(Recherche!$C$9="",I3375=Recherche!$C$9),OR(Recherche!$C$10="",G3375&amp;""=Recherche!$C$10&amp;""),OR(Recherche!$C$11="",E3375=Recherche!$C$11),OR(Recherche!$C$12="",ISNUMBER(SEARCH(Recherche!$C$12,M3375&amp;" "&amp;F3375)))),1,0)</f>
        <v>8</v>
      </c>
    </row>
    <row r="3376" customFormat="false" ht="15" hidden="false" customHeight="false" outlineLevel="0" collapsed="false">
      <c r="A3376" s="19"/>
      <c r="B3376" s="19"/>
      <c r="C3376" s="19"/>
      <c r="D3376" s="19"/>
      <c r="E3376" s="22"/>
      <c r="F3376" s="19"/>
      <c r="G3376" s="26" t="str">
        <f aca="false">IF(D3376="","",IFERROR(VALUE(LEFT(D3376,FIND(" |",D3376&amp;" |")-1)),"?"))</f>
        <v/>
      </c>
      <c r="H3376" s="27" t="str">
        <f aca="false">IF(G3376="","",IF(G3376="?","⚠ pub inconnue",IFERROR(INDEX(Pubs!$B$2:$B$3001,MATCH(G3376,Pubs!$A$2:$A$3001,0))&amp;"","⚠ pub inconnue")))</f>
        <v/>
      </c>
      <c r="I3376" s="27" t="str">
        <f aca="false">IF(OR(G3376="",G3376="?"),"",IFERROR(INDEX(Pubs!$C$2:$C$3001,MATCH(G3376,Pubs!$A$2:$A$3001,0))&amp;"",""))</f>
        <v/>
      </c>
      <c r="J3376" s="27" t="str">
        <f aca="false">IF(OR(G3376="",G3376="?"),"",IFERROR(INDEX(Pubs!$G$2:$G$3001,MATCH(G3376,Pubs!$A$2:$A$3001,0))&amp;"",""))</f>
        <v/>
      </c>
      <c r="K3376" s="28" t="str">
        <f aca="false">IF(OR(G3376="",G3376="?"),"",IFERROR(INDEX(Pubs!$E$2:$E$3001,MATCH(G3376,Pubs!$A$2:$A$3001,0)),""))</f>
        <v/>
      </c>
      <c r="L3376" s="29" t="str">
        <f aca="false">IF(A3376="","",IFERROR(1/(1/INDEX(Numéros!$C$2:$C$3001,MATCH(A3376&amp;"|"&amp;B3376,Numéros!$F$2:$F$3001,0))),""))</f>
        <v/>
      </c>
      <c r="M3376" s="27" t="str">
        <f aca="false">IF(OR(G3376="",G3376="?"),"",IFERROR(INDEX(Pubs!$D$2:$D$3001,MATCH(G3376,Pubs!$A$2:$A$3001,0))&amp;"",""))</f>
        <v/>
      </c>
      <c r="N3376" s="27" t="n">
        <f aca="false">N(N3375)+IF(AND(A3376&lt;&gt;"",OR(Recherche!$C$4="",A3376=Recherche!$C$4),OR(Recherche!$C$5="",B3376&amp;""=Recherche!$C$5&amp;""),OR(Recherche!$C$6="",IFERROR(YEAR(L3376),0)=Recherche!$C$6),OR(Recherche!$C$7="",ISNUMBER(SEARCH(Recherche!$C$7,H3376))),OR(Recherche!$C$8="",J3376=Recherche!$C$8),OR(Recherche!$C$9="",I3376=Recherche!$C$9),OR(Recherche!$C$10="",G3376&amp;""=Recherche!$C$10&amp;""),OR(Recherche!$C$11="",E3376=Recherche!$C$11),OR(Recherche!$C$12="",ISNUMBER(SEARCH(Recherche!$C$12,M3376&amp;" "&amp;F3376)))),1,0)</f>
        <v>8</v>
      </c>
    </row>
    <row r="3377" customFormat="false" ht="15" hidden="false" customHeight="false" outlineLevel="0" collapsed="false">
      <c r="A3377" s="19"/>
      <c r="B3377" s="19"/>
      <c r="C3377" s="19"/>
      <c r="D3377" s="19"/>
      <c r="E3377" s="22"/>
      <c r="F3377" s="19"/>
      <c r="G3377" s="26" t="str">
        <f aca="false">IF(D3377="","",IFERROR(VALUE(LEFT(D3377,FIND(" |",D3377&amp;" |")-1)),"?"))</f>
        <v/>
      </c>
      <c r="H3377" s="27" t="str">
        <f aca="false">IF(G3377="","",IF(G3377="?","⚠ pub inconnue",IFERROR(INDEX(Pubs!$B$2:$B$3001,MATCH(G3377,Pubs!$A$2:$A$3001,0))&amp;"","⚠ pub inconnue")))</f>
        <v/>
      </c>
      <c r="I3377" s="27" t="str">
        <f aca="false">IF(OR(G3377="",G3377="?"),"",IFERROR(INDEX(Pubs!$C$2:$C$3001,MATCH(G3377,Pubs!$A$2:$A$3001,0))&amp;"",""))</f>
        <v/>
      </c>
      <c r="J3377" s="27" t="str">
        <f aca="false">IF(OR(G3377="",G3377="?"),"",IFERROR(INDEX(Pubs!$G$2:$G$3001,MATCH(G3377,Pubs!$A$2:$A$3001,0))&amp;"",""))</f>
        <v/>
      </c>
      <c r="K3377" s="28" t="str">
        <f aca="false">IF(OR(G3377="",G3377="?"),"",IFERROR(INDEX(Pubs!$E$2:$E$3001,MATCH(G3377,Pubs!$A$2:$A$3001,0)),""))</f>
        <v/>
      </c>
      <c r="L3377" s="29" t="str">
        <f aca="false">IF(A3377="","",IFERROR(1/(1/INDEX(Numéros!$C$2:$C$3001,MATCH(A3377&amp;"|"&amp;B3377,Numéros!$F$2:$F$3001,0))),""))</f>
        <v/>
      </c>
      <c r="M3377" s="27" t="str">
        <f aca="false">IF(OR(G3377="",G3377="?"),"",IFERROR(INDEX(Pubs!$D$2:$D$3001,MATCH(G3377,Pubs!$A$2:$A$3001,0))&amp;"",""))</f>
        <v/>
      </c>
      <c r="N3377" s="27" t="n">
        <f aca="false">N(N3376)+IF(AND(A3377&lt;&gt;"",OR(Recherche!$C$4="",A3377=Recherche!$C$4),OR(Recherche!$C$5="",B3377&amp;""=Recherche!$C$5&amp;""),OR(Recherche!$C$6="",IFERROR(YEAR(L3377),0)=Recherche!$C$6),OR(Recherche!$C$7="",ISNUMBER(SEARCH(Recherche!$C$7,H3377))),OR(Recherche!$C$8="",J3377=Recherche!$C$8),OR(Recherche!$C$9="",I3377=Recherche!$C$9),OR(Recherche!$C$10="",G3377&amp;""=Recherche!$C$10&amp;""),OR(Recherche!$C$11="",E3377=Recherche!$C$11),OR(Recherche!$C$12="",ISNUMBER(SEARCH(Recherche!$C$12,M3377&amp;" "&amp;F3377)))),1,0)</f>
        <v>8</v>
      </c>
    </row>
    <row r="3378" customFormat="false" ht="15" hidden="false" customHeight="false" outlineLevel="0" collapsed="false">
      <c r="A3378" s="19"/>
      <c r="B3378" s="19"/>
      <c r="C3378" s="19"/>
      <c r="D3378" s="19"/>
      <c r="E3378" s="22"/>
      <c r="F3378" s="19"/>
      <c r="G3378" s="26" t="str">
        <f aca="false">IF(D3378="","",IFERROR(VALUE(LEFT(D3378,FIND(" |",D3378&amp;" |")-1)),"?"))</f>
        <v/>
      </c>
      <c r="H3378" s="27" t="str">
        <f aca="false">IF(G3378="","",IF(G3378="?","⚠ pub inconnue",IFERROR(INDEX(Pubs!$B$2:$B$3001,MATCH(G3378,Pubs!$A$2:$A$3001,0))&amp;"","⚠ pub inconnue")))</f>
        <v/>
      </c>
      <c r="I3378" s="27" t="str">
        <f aca="false">IF(OR(G3378="",G3378="?"),"",IFERROR(INDEX(Pubs!$C$2:$C$3001,MATCH(G3378,Pubs!$A$2:$A$3001,0))&amp;"",""))</f>
        <v/>
      </c>
      <c r="J3378" s="27" t="str">
        <f aca="false">IF(OR(G3378="",G3378="?"),"",IFERROR(INDEX(Pubs!$G$2:$G$3001,MATCH(G3378,Pubs!$A$2:$A$3001,0))&amp;"",""))</f>
        <v/>
      </c>
      <c r="K3378" s="28" t="str">
        <f aca="false">IF(OR(G3378="",G3378="?"),"",IFERROR(INDEX(Pubs!$E$2:$E$3001,MATCH(G3378,Pubs!$A$2:$A$3001,0)),""))</f>
        <v/>
      </c>
      <c r="L3378" s="29" t="str">
        <f aca="false">IF(A3378="","",IFERROR(1/(1/INDEX(Numéros!$C$2:$C$3001,MATCH(A3378&amp;"|"&amp;B3378,Numéros!$F$2:$F$3001,0))),""))</f>
        <v/>
      </c>
      <c r="M3378" s="27" t="str">
        <f aca="false">IF(OR(G3378="",G3378="?"),"",IFERROR(INDEX(Pubs!$D$2:$D$3001,MATCH(G3378,Pubs!$A$2:$A$3001,0))&amp;"",""))</f>
        <v/>
      </c>
      <c r="N3378" s="27" t="n">
        <f aca="false">N(N3377)+IF(AND(A3378&lt;&gt;"",OR(Recherche!$C$4="",A3378=Recherche!$C$4),OR(Recherche!$C$5="",B3378&amp;""=Recherche!$C$5&amp;""),OR(Recherche!$C$6="",IFERROR(YEAR(L3378),0)=Recherche!$C$6),OR(Recherche!$C$7="",ISNUMBER(SEARCH(Recherche!$C$7,H3378))),OR(Recherche!$C$8="",J3378=Recherche!$C$8),OR(Recherche!$C$9="",I3378=Recherche!$C$9),OR(Recherche!$C$10="",G3378&amp;""=Recherche!$C$10&amp;""),OR(Recherche!$C$11="",E3378=Recherche!$C$11),OR(Recherche!$C$12="",ISNUMBER(SEARCH(Recherche!$C$12,M3378&amp;" "&amp;F3378)))),1,0)</f>
        <v>8</v>
      </c>
    </row>
    <row r="3379" customFormat="false" ht="15" hidden="false" customHeight="false" outlineLevel="0" collapsed="false">
      <c r="A3379" s="19"/>
      <c r="B3379" s="19"/>
      <c r="C3379" s="19"/>
      <c r="D3379" s="19"/>
      <c r="E3379" s="22"/>
      <c r="F3379" s="19"/>
      <c r="G3379" s="26" t="str">
        <f aca="false">IF(D3379="","",IFERROR(VALUE(LEFT(D3379,FIND(" |",D3379&amp;" |")-1)),"?"))</f>
        <v/>
      </c>
      <c r="H3379" s="27" t="str">
        <f aca="false">IF(G3379="","",IF(G3379="?","⚠ pub inconnue",IFERROR(INDEX(Pubs!$B$2:$B$3001,MATCH(G3379,Pubs!$A$2:$A$3001,0))&amp;"","⚠ pub inconnue")))</f>
        <v/>
      </c>
      <c r="I3379" s="27" t="str">
        <f aca="false">IF(OR(G3379="",G3379="?"),"",IFERROR(INDEX(Pubs!$C$2:$C$3001,MATCH(G3379,Pubs!$A$2:$A$3001,0))&amp;"",""))</f>
        <v/>
      </c>
      <c r="J3379" s="27" t="str">
        <f aca="false">IF(OR(G3379="",G3379="?"),"",IFERROR(INDEX(Pubs!$G$2:$G$3001,MATCH(G3379,Pubs!$A$2:$A$3001,0))&amp;"",""))</f>
        <v/>
      </c>
      <c r="K3379" s="28" t="str">
        <f aca="false">IF(OR(G3379="",G3379="?"),"",IFERROR(INDEX(Pubs!$E$2:$E$3001,MATCH(G3379,Pubs!$A$2:$A$3001,0)),""))</f>
        <v/>
      </c>
      <c r="L3379" s="29" t="str">
        <f aca="false">IF(A3379="","",IFERROR(1/(1/INDEX(Numéros!$C$2:$C$3001,MATCH(A3379&amp;"|"&amp;B3379,Numéros!$F$2:$F$3001,0))),""))</f>
        <v/>
      </c>
      <c r="M3379" s="27" t="str">
        <f aca="false">IF(OR(G3379="",G3379="?"),"",IFERROR(INDEX(Pubs!$D$2:$D$3001,MATCH(G3379,Pubs!$A$2:$A$3001,0))&amp;"",""))</f>
        <v/>
      </c>
      <c r="N3379" s="27" t="n">
        <f aca="false">N(N3378)+IF(AND(A3379&lt;&gt;"",OR(Recherche!$C$4="",A3379=Recherche!$C$4),OR(Recherche!$C$5="",B3379&amp;""=Recherche!$C$5&amp;""),OR(Recherche!$C$6="",IFERROR(YEAR(L3379),0)=Recherche!$C$6),OR(Recherche!$C$7="",ISNUMBER(SEARCH(Recherche!$C$7,H3379))),OR(Recherche!$C$8="",J3379=Recherche!$C$8),OR(Recherche!$C$9="",I3379=Recherche!$C$9),OR(Recherche!$C$10="",G3379&amp;""=Recherche!$C$10&amp;""),OR(Recherche!$C$11="",E3379=Recherche!$C$11),OR(Recherche!$C$12="",ISNUMBER(SEARCH(Recherche!$C$12,M3379&amp;" "&amp;F3379)))),1,0)</f>
        <v>8</v>
      </c>
    </row>
    <row r="3380" customFormat="false" ht="15" hidden="false" customHeight="false" outlineLevel="0" collapsed="false">
      <c r="A3380" s="19"/>
      <c r="B3380" s="19"/>
      <c r="C3380" s="19"/>
      <c r="D3380" s="19"/>
      <c r="E3380" s="22"/>
      <c r="F3380" s="19"/>
      <c r="G3380" s="26" t="str">
        <f aca="false">IF(D3380="","",IFERROR(VALUE(LEFT(D3380,FIND(" |",D3380&amp;" |")-1)),"?"))</f>
        <v/>
      </c>
      <c r="H3380" s="27" t="str">
        <f aca="false">IF(G3380="","",IF(G3380="?","⚠ pub inconnue",IFERROR(INDEX(Pubs!$B$2:$B$3001,MATCH(G3380,Pubs!$A$2:$A$3001,0))&amp;"","⚠ pub inconnue")))</f>
        <v/>
      </c>
      <c r="I3380" s="27" t="str">
        <f aca="false">IF(OR(G3380="",G3380="?"),"",IFERROR(INDEX(Pubs!$C$2:$C$3001,MATCH(G3380,Pubs!$A$2:$A$3001,0))&amp;"",""))</f>
        <v/>
      </c>
      <c r="J3380" s="27" t="str">
        <f aca="false">IF(OR(G3380="",G3380="?"),"",IFERROR(INDEX(Pubs!$G$2:$G$3001,MATCH(G3380,Pubs!$A$2:$A$3001,0))&amp;"",""))</f>
        <v/>
      </c>
      <c r="K3380" s="28" t="str">
        <f aca="false">IF(OR(G3380="",G3380="?"),"",IFERROR(INDEX(Pubs!$E$2:$E$3001,MATCH(G3380,Pubs!$A$2:$A$3001,0)),""))</f>
        <v/>
      </c>
      <c r="L3380" s="29" t="str">
        <f aca="false">IF(A3380="","",IFERROR(1/(1/INDEX(Numéros!$C$2:$C$3001,MATCH(A3380&amp;"|"&amp;B3380,Numéros!$F$2:$F$3001,0))),""))</f>
        <v/>
      </c>
      <c r="M3380" s="27" t="str">
        <f aca="false">IF(OR(G3380="",G3380="?"),"",IFERROR(INDEX(Pubs!$D$2:$D$3001,MATCH(G3380,Pubs!$A$2:$A$3001,0))&amp;"",""))</f>
        <v/>
      </c>
      <c r="N3380" s="27" t="n">
        <f aca="false">N(N3379)+IF(AND(A3380&lt;&gt;"",OR(Recherche!$C$4="",A3380=Recherche!$C$4),OR(Recherche!$C$5="",B3380&amp;""=Recherche!$C$5&amp;""),OR(Recherche!$C$6="",IFERROR(YEAR(L3380),0)=Recherche!$C$6),OR(Recherche!$C$7="",ISNUMBER(SEARCH(Recherche!$C$7,H3380))),OR(Recherche!$C$8="",J3380=Recherche!$C$8),OR(Recherche!$C$9="",I3380=Recherche!$C$9),OR(Recherche!$C$10="",G3380&amp;""=Recherche!$C$10&amp;""),OR(Recherche!$C$11="",E3380=Recherche!$C$11),OR(Recherche!$C$12="",ISNUMBER(SEARCH(Recherche!$C$12,M3380&amp;" "&amp;F3380)))),1,0)</f>
        <v>8</v>
      </c>
    </row>
    <row r="3381" customFormat="false" ht="15" hidden="false" customHeight="false" outlineLevel="0" collapsed="false">
      <c r="A3381" s="19"/>
      <c r="B3381" s="19"/>
      <c r="C3381" s="19"/>
      <c r="D3381" s="19"/>
      <c r="E3381" s="22"/>
      <c r="F3381" s="19"/>
      <c r="G3381" s="26" t="str">
        <f aca="false">IF(D3381="","",IFERROR(VALUE(LEFT(D3381,FIND(" |",D3381&amp;" |")-1)),"?"))</f>
        <v/>
      </c>
      <c r="H3381" s="27" t="str">
        <f aca="false">IF(G3381="","",IF(G3381="?","⚠ pub inconnue",IFERROR(INDEX(Pubs!$B$2:$B$3001,MATCH(G3381,Pubs!$A$2:$A$3001,0))&amp;"","⚠ pub inconnue")))</f>
        <v/>
      </c>
      <c r="I3381" s="27" t="str">
        <f aca="false">IF(OR(G3381="",G3381="?"),"",IFERROR(INDEX(Pubs!$C$2:$C$3001,MATCH(G3381,Pubs!$A$2:$A$3001,0))&amp;"",""))</f>
        <v/>
      </c>
      <c r="J3381" s="27" t="str">
        <f aca="false">IF(OR(G3381="",G3381="?"),"",IFERROR(INDEX(Pubs!$G$2:$G$3001,MATCH(G3381,Pubs!$A$2:$A$3001,0))&amp;"",""))</f>
        <v/>
      </c>
      <c r="K3381" s="28" t="str">
        <f aca="false">IF(OR(G3381="",G3381="?"),"",IFERROR(INDEX(Pubs!$E$2:$E$3001,MATCH(G3381,Pubs!$A$2:$A$3001,0)),""))</f>
        <v/>
      </c>
      <c r="L3381" s="29" t="str">
        <f aca="false">IF(A3381="","",IFERROR(1/(1/INDEX(Numéros!$C$2:$C$3001,MATCH(A3381&amp;"|"&amp;B3381,Numéros!$F$2:$F$3001,0))),""))</f>
        <v/>
      </c>
      <c r="M3381" s="27" t="str">
        <f aca="false">IF(OR(G3381="",G3381="?"),"",IFERROR(INDEX(Pubs!$D$2:$D$3001,MATCH(G3381,Pubs!$A$2:$A$3001,0))&amp;"",""))</f>
        <v/>
      </c>
      <c r="N3381" s="27" t="n">
        <f aca="false">N(N3380)+IF(AND(A3381&lt;&gt;"",OR(Recherche!$C$4="",A3381=Recherche!$C$4),OR(Recherche!$C$5="",B3381&amp;""=Recherche!$C$5&amp;""),OR(Recherche!$C$6="",IFERROR(YEAR(L3381),0)=Recherche!$C$6),OR(Recherche!$C$7="",ISNUMBER(SEARCH(Recherche!$C$7,H3381))),OR(Recherche!$C$8="",J3381=Recherche!$C$8),OR(Recherche!$C$9="",I3381=Recherche!$C$9),OR(Recherche!$C$10="",G3381&amp;""=Recherche!$C$10&amp;""),OR(Recherche!$C$11="",E3381=Recherche!$C$11),OR(Recherche!$C$12="",ISNUMBER(SEARCH(Recherche!$C$12,M3381&amp;" "&amp;F3381)))),1,0)</f>
        <v>8</v>
      </c>
    </row>
    <row r="3382" customFormat="false" ht="15" hidden="false" customHeight="false" outlineLevel="0" collapsed="false">
      <c r="A3382" s="19"/>
      <c r="B3382" s="19"/>
      <c r="C3382" s="19"/>
      <c r="D3382" s="19"/>
      <c r="E3382" s="22"/>
      <c r="F3382" s="19"/>
      <c r="G3382" s="26" t="str">
        <f aca="false">IF(D3382="","",IFERROR(VALUE(LEFT(D3382,FIND(" |",D3382&amp;" |")-1)),"?"))</f>
        <v/>
      </c>
      <c r="H3382" s="27" t="str">
        <f aca="false">IF(G3382="","",IF(G3382="?","⚠ pub inconnue",IFERROR(INDEX(Pubs!$B$2:$B$3001,MATCH(G3382,Pubs!$A$2:$A$3001,0))&amp;"","⚠ pub inconnue")))</f>
        <v/>
      </c>
      <c r="I3382" s="27" t="str">
        <f aca="false">IF(OR(G3382="",G3382="?"),"",IFERROR(INDEX(Pubs!$C$2:$C$3001,MATCH(G3382,Pubs!$A$2:$A$3001,0))&amp;"",""))</f>
        <v/>
      </c>
      <c r="J3382" s="27" t="str">
        <f aca="false">IF(OR(G3382="",G3382="?"),"",IFERROR(INDEX(Pubs!$G$2:$G$3001,MATCH(G3382,Pubs!$A$2:$A$3001,0))&amp;"",""))</f>
        <v/>
      </c>
      <c r="K3382" s="28" t="str">
        <f aca="false">IF(OR(G3382="",G3382="?"),"",IFERROR(INDEX(Pubs!$E$2:$E$3001,MATCH(G3382,Pubs!$A$2:$A$3001,0)),""))</f>
        <v/>
      </c>
      <c r="L3382" s="29" t="str">
        <f aca="false">IF(A3382="","",IFERROR(1/(1/INDEX(Numéros!$C$2:$C$3001,MATCH(A3382&amp;"|"&amp;B3382,Numéros!$F$2:$F$3001,0))),""))</f>
        <v/>
      </c>
      <c r="M3382" s="27" t="str">
        <f aca="false">IF(OR(G3382="",G3382="?"),"",IFERROR(INDEX(Pubs!$D$2:$D$3001,MATCH(G3382,Pubs!$A$2:$A$3001,0))&amp;"",""))</f>
        <v/>
      </c>
      <c r="N3382" s="27" t="n">
        <f aca="false">N(N3381)+IF(AND(A3382&lt;&gt;"",OR(Recherche!$C$4="",A3382=Recherche!$C$4),OR(Recherche!$C$5="",B3382&amp;""=Recherche!$C$5&amp;""),OR(Recherche!$C$6="",IFERROR(YEAR(L3382),0)=Recherche!$C$6),OR(Recherche!$C$7="",ISNUMBER(SEARCH(Recherche!$C$7,H3382))),OR(Recherche!$C$8="",J3382=Recherche!$C$8),OR(Recherche!$C$9="",I3382=Recherche!$C$9),OR(Recherche!$C$10="",G3382&amp;""=Recherche!$C$10&amp;""),OR(Recherche!$C$11="",E3382=Recherche!$C$11),OR(Recherche!$C$12="",ISNUMBER(SEARCH(Recherche!$C$12,M3382&amp;" "&amp;F3382)))),1,0)</f>
        <v>8</v>
      </c>
    </row>
    <row r="3383" customFormat="false" ht="15" hidden="false" customHeight="false" outlineLevel="0" collapsed="false">
      <c r="A3383" s="19"/>
      <c r="B3383" s="19"/>
      <c r="C3383" s="19"/>
      <c r="D3383" s="19"/>
      <c r="E3383" s="22"/>
      <c r="F3383" s="19"/>
      <c r="G3383" s="26" t="str">
        <f aca="false">IF(D3383="","",IFERROR(VALUE(LEFT(D3383,FIND(" |",D3383&amp;" |")-1)),"?"))</f>
        <v/>
      </c>
      <c r="H3383" s="27" t="str">
        <f aca="false">IF(G3383="","",IF(G3383="?","⚠ pub inconnue",IFERROR(INDEX(Pubs!$B$2:$B$3001,MATCH(G3383,Pubs!$A$2:$A$3001,0))&amp;"","⚠ pub inconnue")))</f>
        <v/>
      </c>
      <c r="I3383" s="27" t="str">
        <f aca="false">IF(OR(G3383="",G3383="?"),"",IFERROR(INDEX(Pubs!$C$2:$C$3001,MATCH(G3383,Pubs!$A$2:$A$3001,0))&amp;"",""))</f>
        <v/>
      </c>
      <c r="J3383" s="27" t="str">
        <f aca="false">IF(OR(G3383="",G3383="?"),"",IFERROR(INDEX(Pubs!$G$2:$G$3001,MATCH(G3383,Pubs!$A$2:$A$3001,0))&amp;"",""))</f>
        <v/>
      </c>
      <c r="K3383" s="28" t="str">
        <f aca="false">IF(OR(G3383="",G3383="?"),"",IFERROR(INDEX(Pubs!$E$2:$E$3001,MATCH(G3383,Pubs!$A$2:$A$3001,0)),""))</f>
        <v/>
      </c>
      <c r="L3383" s="29" t="str">
        <f aca="false">IF(A3383="","",IFERROR(1/(1/INDEX(Numéros!$C$2:$C$3001,MATCH(A3383&amp;"|"&amp;B3383,Numéros!$F$2:$F$3001,0))),""))</f>
        <v/>
      </c>
      <c r="M3383" s="27" t="str">
        <f aca="false">IF(OR(G3383="",G3383="?"),"",IFERROR(INDEX(Pubs!$D$2:$D$3001,MATCH(G3383,Pubs!$A$2:$A$3001,0))&amp;"",""))</f>
        <v/>
      </c>
      <c r="N3383" s="27" t="n">
        <f aca="false">N(N3382)+IF(AND(A3383&lt;&gt;"",OR(Recherche!$C$4="",A3383=Recherche!$C$4),OR(Recherche!$C$5="",B3383&amp;""=Recherche!$C$5&amp;""),OR(Recherche!$C$6="",IFERROR(YEAR(L3383),0)=Recherche!$C$6),OR(Recherche!$C$7="",ISNUMBER(SEARCH(Recherche!$C$7,H3383))),OR(Recherche!$C$8="",J3383=Recherche!$C$8),OR(Recherche!$C$9="",I3383=Recherche!$C$9),OR(Recherche!$C$10="",G3383&amp;""=Recherche!$C$10&amp;""),OR(Recherche!$C$11="",E3383=Recherche!$C$11),OR(Recherche!$C$12="",ISNUMBER(SEARCH(Recherche!$C$12,M3383&amp;" "&amp;F3383)))),1,0)</f>
        <v>8</v>
      </c>
    </row>
    <row r="3384" customFormat="false" ht="15" hidden="false" customHeight="false" outlineLevel="0" collapsed="false">
      <c r="A3384" s="19"/>
      <c r="B3384" s="19"/>
      <c r="C3384" s="19"/>
      <c r="D3384" s="19"/>
      <c r="E3384" s="22"/>
      <c r="F3384" s="19"/>
      <c r="G3384" s="26" t="str">
        <f aca="false">IF(D3384="","",IFERROR(VALUE(LEFT(D3384,FIND(" |",D3384&amp;" |")-1)),"?"))</f>
        <v/>
      </c>
      <c r="H3384" s="27" t="str">
        <f aca="false">IF(G3384="","",IF(G3384="?","⚠ pub inconnue",IFERROR(INDEX(Pubs!$B$2:$B$3001,MATCH(G3384,Pubs!$A$2:$A$3001,0))&amp;"","⚠ pub inconnue")))</f>
        <v/>
      </c>
      <c r="I3384" s="27" t="str">
        <f aca="false">IF(OR(G3384="",G3384="?"),"",IFERROR(INDEX(Pubs!$C$2:$C$3001,MATCH(G3384,Pubs!$A$2:$A$3001,0))&amp;"",""))</f>
        <v/>
      </c>
      <c r="J3384" s="27" t="str">
        <f aca="false">IF(OR(G3384="",G3384="?"),"",IFERROR(INDEX(Pubs!$G$2:$G$3001,MATCH(G3384,Pubs!$A$2:$A$3001,0))&amp;"",""))</f>
        <v/>
      </c>
      <c r="K3384" s="28" t="str">
        <f aca="false">IF(OR(G3384="",G3384="?"),"",IFERROR(INDEX(Pubs!$E$2:$E$3001,MATCH(G3384,Pubs!$A$2:$A$3001,0)),""))</f>
        <v/>
      </c>
      <c r="L3384" s="29" t="str">
        <f aca="false">IF(A3384="","",IFERROR(1/(1/INDEX(Numéros!$C$2:$C$3001,MATCH(A3384&amp;"|"&amp;B3384,Numéros!$F$2:$F$3001,0))),""))</f>
        <v/>
      </c>
      <c r="M3384" s="27" t="str">
        <f aca="false">IF(OR(G3384="",G3384="?"),"",IFERROR(INDEX(Pubs!$D$2:$D$3001,MATCH(G3384,Pubs!$A$2:$A$3001,0))&amp;"",""))</f>
        <v/>
      </c>
      <c r="N3384" s="27" t="n">
        <f aca="false">N(N3383)+IF(AND(A3384&lt;&gt;"",OR(Recherche!$C$4="",A3384=Recherche!$C$4),OR(Recherche!$C$5="",B3384&amp;""=Recherche!$C$5&amp;""),OR(Recherche!$C$6="",IFERROR(YEAR(L3384),0)=Recherche!$C$6),OR(Recherche!$C$7="",ISNUMBER(SEARCH(Recherche!$C$7,H3384))),OR(Recherche!$C$8="",J3384=Recherche!$C$8),OR(Recherche!$C$9="",I3384=Recherche!$C$9),OR(Recherche!$C$10="",G3384&amp;""=Recherche!$C$10&amp;""),OR(Recherche!$C$11="",E3384=Recherche!$C$11),OR(Recherche!$C$12="",ISNUMBER(SEARCH(Recherche!$C$12,M3384&amp;" "&amp;F3384)))),1,0)</f>
        <v>8</v>
      </c>
    </row>
    <row r="3385" customFormat="false" ht="15" hidden="false" customHeight="false" outlineLevel="0" collapsed="false">
      <c r="A3385" s="19"/>
      <c r="B3385" s="19"/>
      <c r="C3385" s="19"/>
      <c r="D3385" s="19"/>
      <c r="E3385" s="22"/>
      <c r="F3385" s="19"/>
      <c r="G3385" s="26" t="str">
        <f aca="false">IF(D3385="","",IFERROR(VALUE(LEFT(D3385,FIND(" |",D3385&amp;" |")-1)),"?"))</f>
        <v/>
      </c>
      <c r="H3385" s="27" t="str">
        <f aca="false">IF(G3385="","",IF(G3385="?","⚠ pub inconnue",IFERROR(INDEX(Pubs!$B$2:$B$3001,MATCH(G3385,Pubs!$A$2:$A$3001,0))&amp;"","⚠ pub inconnue")))</f>
        <v/>
      </c>
      <c r="I3385" s="27" t="str">
        <f aca="false">IF(OR(G3385="",G3385="?"),"",IFERROR(INDEX(Pubs!$C$2:$C$3001,MATCH(G3385,Pubs!$A$2:$A$3001,0))&amp;"",""))</f>
        <v/>
      </c>
      <c r="J3385" s="27" t="str">
        <f aca="false">IF(OR(G3385="",G3385="?"),"",IFERROR(INDEX(Pubs!$G$2:$G$3001,MATCH(G3385,Pubs!$A$2:$A$3001,0))&amp;"",""))</f>
        <v/>
      </c>
      <c r="K3385" s="28" t="str">
        <f aca="false">IF(OR(G3385="",G3385="?"),"",IFERROR(INDEX(Pubs!$E$2:$E$3001,MATCH(G3385,Pubs!$A$2:$A$3001,0)),""))</f>
        <v/>
      </c>
      <c r="L3385" s="29" t="str">
        <f aca="false">IF(A3385="","",IFERROR(1/(1/INDEX(Numéros!$C$2:$C$3001,MATCH(A3385&amp;"|"&amp;B3385,Numéros!$F$2:$F$3001,0))),""))</f>
        <v/>
      </c>
      <c r="M3385" s="27" t="str">
        <f aca="false">IF(OR(G3385="",G3385="?"),"",IFERROR(INDEX(Pubs!$D$2:$D$3001,MATCH(G3385,Pubs!$A$2:$A$3001,0))&amp;"",""))</f>
        <v/>
      </c>
      <c r="N3385" s="27" t="n">
        <f aca="false">N(N3384)+IF(AND(A3385&lt;&gt;"",OR(Recherche!$C$4="",A3385=Recherche!$C$4),OR(Recherche!$C$5="",B3385&amp;""=Recherche!$C$5&amp;""),OR(Recherche!$C$6="",IFERROR(YEAR(L3385),0)=Recherche!$C$6),OR(Recherche!$C$7="",ISNUMBER(SEARCH(Recherche!$C$7,H3385))),OR(Recherche!$C$8="",J3385=Recherche!$C$8),OR(Recherche!$C$9="",I3385=Recherche!$C$9),OR(Recherche!$C$10="",G3385&amp;""=Recherche!$C$10&amp;""),OR(Recherche!$C$11="",E3385=Recherche!$C$11),OR(Recherche!$C$12="",ISNUMBER(SEARCH(Recherche!$C$12,M3385&amp;" "&amp;F3385)))),1,0)</f>
        <v>8</v>
      </c>
    </row>
    <row r="3386" customFormat="false" ht="15" hidden="false" customHeight="false" outlineLevel="0" collapsed="false">
      <c r="A3386" s="19"/>
      <c r="B3386" s="19"/>
      <c r="C3386" s="19"/>
      <c r="D3386" s="19"/>
      <c r="E3386" s="22"/>
      <c r="F3386" s="19"/>
      <c r="G3386" s="26" t="str">
        <f aca="false">IF(D3386="","",IFERROR(VALUE(LEFT(D3386,FIND(" |",D3386&amp;" |")-1)),"?"))</f>
        <v/>
      </c>
      <c r="H3386" s="27" t="str">
        <f aca="false">IF(G3386="","",IF(G3386="?","⚠ pub inconnue",IFERROR(INDEX(Pubs!$B$2:$B$3001,MATCH(G3386,Pubs!$A$2:$A$3001,0))&amp;"","⚠ pub inconnue")))</f>
        <v/>
      </c>
      <c r="I3386" s="27" t="str">
        <f aca="false">IF(OR(G3386="",G3386="?"),"",IFERROR(INDEX(Pubs!$C$2:$C$3001,MATCH(G3386,Pubs!$A$2:$A$3001,0))&amp;"",""))</f>
        <v/>
      </c>
      <c r="J3386" s="27" t="str">
        <f aca="false">IF(OR(G3386="",G3386="?"),"",IFERROR(INDEX(Pubs!$G$2:$G$3001,MATCH(G3386,Pubs!$A$2:$A$3001,0))&amp;"",""))</f>
        <v/>
      </c>
      <c r="K3386" s="28" t="str">
        <f aca="false">IF(OR(G3386="",G3386="?"),"",IFERROR(INDEX(Pubs!$E$2:$E$3001,MATCH(G3386,Pubs!$A$2:$A$3001,0)),""))</f>
        <v/>
      </c>
      <c r="L3386" s="29" t="str">
        <f aca="false">IF(A3386="","",IFERROR(1/(1/INDEX(Numéros!$C$2:$C$3001,MATCH(A3386&amp;"|"&amp;B3386,Numéros!$F$2:$F$3001,0))),""))</f>
        <v/>
      </c>
      <c r="M3386" s="27" t="str">
        <f aca="false">IF(OR(G3386="",G3386="?"),"",IFERROR(INDEX(Pubs!$D$2:$D$3001,MATCH(G3386,Pubs!$A$2:$A$3001,0))&amp;"",""))</f>
        <v/>
      </c>
      <c r="N3386" s="27" t="n">
        <f aca="false">N(N3385)+IF(AND(A3386&lt;&gt;"",OR(Recherche!$C$4="",A3386=Recherche!$C$4),OR(Recherche!$C$5="",B3386&amp;""=Recherche!$C$5&amp;""),OR(Recherche!$C$6="",IFERROR(YEAR(L3386),0)=Recherche!$C$6),OR(Recherche!$C$7="",ISNUMBER(SEARCH(Recherche!$C$7,H3386))),OR(Recherche!$C$8="",J3386=Recherche!$C$8),OR(Recherche!$C$9="",I3386=Recherche!$C$9),OR(Recherche!$C$10="",G3386&amp;""=Recherche!$C$10&amp;""),OR(Recherche!$C$11="",E3386=Recherche!$C$11),OR(Recherche!$C$12="",ISNUMBER(SEARCH(Recherche!$C$12,M3386&amp;" "&amp;F3386)))),1,0)</f>
        <v>8</v>
      </c>
    </row>
    <row r="3387" customFormat="false" ht="15" hidden="false" customHeight="false" outlineLevel="0" collapsed="false">
      <c r="A3387" s="19"/>
      <c r="B3387" s="19"/>
      <c r="C3387" s="19"/>
      <c r="D3387" s="19"/>
      <c r="E3387" s="22"/>
      <c r="F3387" s="19"/>
      <c r="G3387" s="26" t="str">
        <f aca="false">IF(D3387="","",IFERROR(VALUE(LEFT(D3387,FIND(" |",D3387&amp;" |")-1)),"?"))</f>
        <v/>
      </c>
      <c r="H3387" s="27" t="str">
        <f aca="false">IF(G3387="","",IF(G3387="?","⚠ pub inconnue",IFERROR(INDEX(Pubs!$B$2:$B$3001,MATCH(G3387,Pubs!$A$2:$A$3001,0))&amp;"","⚠ pub inconnue")))</f>
        <v/>
      </c>
      <c r="I3387" s="27" t="str">
        <f aca="false">IF(OR(G3387="",G3387="?"),"",IFERROR(INDEX(Pubs!$C$2:$C$3001,MATCH(G3387,Pubs!$A$2:$A$3001,0))&amp;"",""))</f>
        <v/>
      </c>
      <c r="J3387" s="27" t="str">
        <f aca="false">IF(OR(G3387="",G3387="?"),"",IFERROR(INDEX(Pubs!$G$2:$G$3001,MATCH(G3387,Pubs!$A$2:$A$3001,0))&amp;"",""))</f>
        <v/>
      </c>
      <c r="K3387" s="28" t="str">
        <f aca="false">IF(OR(G3387="",G3387="?"),"",IFERROR(INDEX(Pubs!$E$2:$E$3001,MATCH(G3387,Pubs!$A$2:$A$3001,0)),""))</f>
        <v/>
      </c>
      <c r="L3387" s="29" t="str">
        <f aca="false">IF(A3387="","",IFERROR(1/(1/INDEX(Numéros!$C$2:$C$3001,MATCH(A3387&amp;"|"&amp;B3387,Numéros!$F$2:$F$3001,0))),""))</f>
        <v/>
      </c>
      <c r="M3387" s="27" t="str">
        <f aca="false">IF(OR(G3387="",G3387="?"),"",IFERROR(INDEX(Pubs!$D$2:$D$3001,MATCH(G3387,Pubs!$A$2:$A$3001,0))&amp;"",""))</f>
        <v/>
      </c>
      <c r="N3387" s="27" t="n">
        <f aca="false">N(N3386)+IF(AND(A3387&lt;&gt;"",OR(Recherche!$C$4="",A3387=Recherche!$C$4),OR(Recherche!$C$5="",B3387&amp;""=Recherche!$C$5&amp;""),OR(Recherche!$C$6="",IFERROR(YEAR(L3387),0)=Recherche!$C$6),OR(Recherche!$C$7="",ISNUMBER(SEARCH(Recherche!$C$7,H3387))),OR(Recherche!$C$8="",J3387=Recherche!$C$8),OR(Recherche!$C$9="",I3387=Recherche!$C$9),OR(Recherche!$C$10="",G3387&amp;""=Recherche!$C$10&amp;""),OR(Recherche!$C$11="",E3387=Recherche!$C$11),OR(Recherche!$C$12="",ISNUMBER(SEARCH(Recherche!$C$12,M3387&amp;" "&amp;F3387)))),1,0)</f>
        <v>8</v>
      </c>
    </row>
    <row r="3388" customFormat="false" ht="15" hidden="false" customHeight="false" outlineLevel="0" collapsed="false">
      <c r="A3388" s="19"/>
      <c r="B3388" s="19"/>
      <c r="C3388" s="19"/>
      <c r="D3388" s="19"/>
      <c r="E3388" s="22"/>
      <c r="F3388" s="19"/>
      <c r="G3388" s="26" t="str">
        <f aca="false">IF(D3388="","",IFERROR(VALUE(LEFT(D3388,FIND(" |",D3388&amp;" |")-1)),"?"))</f>
        <v/>
      </c>
      <c r="H3388" s="27" t="str">
        <f aca="false">IF(G3388="","",IF(G3388="?","⚠ pub inconnue",IFERROR(INDEX(Pubs!$B$2:$B$3001,MATCH(G3388,Pubs!$A$2:$A$3001,0))&amp;"","⚠ pub inconnue")))</f>
        <v/>
      </c>
      <c r="I3388" s="27" t="str">
        <f aca="false">IF(OR(G3388="",G3388="?"),"",IFERROR(INDEX(Pubs!$C$2:$C$3001,MATCH(G3388,Pubs!$A$2:$A$3001,0))&amp;"",""))</f>
        <v/>
      </c>
      <c r="J3388" s="27" t="str">
        <f aca="false">IF(OR(G3388="",G3388="?"),"",IFERROR(INDEX(Pubs!$G$2:$G$3001,MATCH(G3388,Pubs!$A$2:$A$3001,0))&amp;"",""))</f>
        <v/>
      </c>
      <c r="K3388" s="28" t="str">
        <f aca="false">IF(OR(G3388="",G3388="?"),"",IFERROR(INDEX(Pubs!$E$2:$E$3001,MATCH(G3388,Pubs!$A$2:$A$3001,0)),""))</f>
        <v/>
      </c>
      <c r="L3388" s="29" t="str">
        <f aca="false">IF(A3388="","",IFERROR(1/(1/INDEX(Numéros!$C$2:$C$3001,MATCH(A3388&amp;"|"&amp;B3388,Numéros!$F$2:$F$3001,0))),""))</f>
        <v/>
      </c>
      <c r="M3388" s="27" t="str">
        <f aca="false">IF(OR(G3388="",G3388="?"),"",IFERROR(INDEX(Pubs!$D$2:$D$3001,MATCH(G3388,Pubs!$A$2:$A$3001,0))&amp;"",""))</f>
        <v/>
      </c>
      <c r="N3388" s="27" t="n">
        <f aca="false">N(N3387)+IF(AND(A3388&lt;&gt;"",OR(Recherche!$C$4="",A3388=Recherche!$C$4),OR(Recherche!$C$5="",B3388&amp;""=Recherche!$C$5&amp;""),OR(Recherche!$C$6="",IFERROR(YEAR(L3388),0)=Recherche!$C$6),OR(Recherche!$C$7="",ISNUMBER(SEARCH(Recherche!$C$7,H3388))),OR(Recherche!$C$8="",J3388=Recherche!$C$8),OR(Recherche!$C$9="",I3388=Recherche!$C$9),OR(Recherche!$C$10="",G3388&amp;""=Recherche!$C$10&amp;""),OR(Recherche!$C$11="",E3388=Recherche!$C$11),OR(Recherche!$C$12="",ISNUMBER(SEARCH(Recherche!$C$12,M3388&amp;" "&amp;F3388)))),1,0)</f>
        <v>8</v>
      </c>
    </row>
    <row r="3389" customFormat="false" ht="15" hidden="false" customHeight="false" outlineLevel="0" collapsed="false">
      <c r="A3389" s="19"/>
      <c r="B3389" s="19"/>
      <c r="C3389" s="19"/>
      <c r="D3389" s="19"/>
      <c r="E3389" s="22"/>
      <c r="F3389" s="19"/>
      <c r="G3389" s="26" t="str">
        <f aca="false">IF(D3389="","",IFERROR(VALUE(LEFT(D3389,FIND(" |",D3389&amp;" |")-1)),"?"))</f>
        <v/>
      </c>
      <c r="H3389" s="27" t="str">
        <f aca="false">IF(G3389="","",IF(G3389="?","⚠ pub inconnue",IFERROR(INDEX(Pubs!$B$2:$B$3001,MATCH(G3389,Pubs!$A$2:$A$3001,0))&amp;"","⚠ pub inconnue")))</f>
        <v/>
      </c>
      <c r="I3389" s="27" t="str">
        <f aca="false">IF(OR(G3389="",G3389="?"),"",IFERROR(INDEX(Pubs!$C$2:$C$3001,MATCH(G3389,Pubs!$A$2:$A$3001,0))&amp;"",""))</f>
        <v/>
      </c>
      <c r="J3389" s="27" t="str">
        <f aca="false">IF(OR(G3389="",G3389="?"),"",IFERROR(INDEX(Pubs!$G$2:$G$3001,MATCH(G3389,Pubs!$A$2:$A$3001,0))&amp;"",""))</f>
        <v/>
      </c>
      <c r="K3389" s="28" t="str">
        <f aca="false">IF(OR(G3389="",G3389="?"),"",IFERROR(INDEX(Pubs!$E$2:$E$3001,MATCH(G3389,Pubs!$A$2:$A$3001,0)),""))</f>
        <v/>
      </c>
      <c r="L3389" s="29" t="str">
        <f aca="false">IF(A3389="","",IFERROR(1/(1/INDEX(Numéros!$C$2:$C$3001,MATCH(A3389&amp;"|"&amp;B3389,Numéros!$F$2:$F$3001,0))),""))</f>
        <v/>
      </c>
      <c r="M3389" s="27" t="str">
        <f aca="false">IF(OR(G3389="",G3389="?"),"",IFERROR(INDEX(Pubs!$D$2:$D$3001,MATCH(G3389,Pubs!$A$2:$A$3001,0))&amp;"",""))</f>
        <v/>
      </c>
      <c r="N3389" s="27" t="n">
        <f aca="false">N(N3388)+IF(AND(A3389&lt;&gt;"",OR(Recherche!$C$4="",A3389=Recherche!$C$4),OR(Recherche!$C$5="",B3389&amp;""=Recherche!$C$5&amp;""),OR(Recherche!$C$6="",IFERROR(YEAR(L3389),0)=Recherche!$C$6),OR(Recherche!$C$7="",ISNUMBER(SEARCH(Recherche!$C$7,H3389))),OR(Recherche!$C$8="",J3389=Recherche!$C$8),OR(Recherche!$C$9="",I3389=Recherche!$C$9),OR(Recherche!$C$10="",G3389&amp;""=Recherche!$C$10&amp;""),OR(Recherche!$C$11="",E3389=Recherche!$C$11),OR(Recherche!$C$12="",ISNUMBER(SEARCH(Recherche!$C$12,M3389&amp;" "&amp;F3389)))),1,0)</f>
        <v>8</v>
      </c>
    </row>
    <row r="3390" customFormat="false" ht="15" hidden="false" customHeight="false" outlineLevel="0" collapsed="false">
      <c r="A3390" s="19"/>
      <c r="B3390" s="19"/>
      <c r="C3390" s="19"/>
      <c r="D3390" s="19"/>
      <c r="E3390" s="22"/>
      <c r="F3390" s="19"/>
      <c r="G3390" s="26" t="str">
        <f aca="false">IF(D3390="","",IFERROR(VALUE(LEFT(D3390,FIND(" |",D3390&amp;" |")-1)),"?"))</f>
        <v/>
      </c>
      <c r="H3390" s="27" t="str">
        <f aca="false">IF(G3390="","",IF(G3390="?","⚠ pub inconnue",IFERROR(INDEX(Pubs!$B$2:$B$3001,MATCH(G3390,Pubs!$A$2:$A$3001,0))&amp;"","⚠ pub inconnue")))</f>
        <v/>
      </c>
      <c r="I3390" s="27" t="str">
        <f aca="false">IF(OR(G3390="",G3390="?"),"",IFERROR(INDEX(Pubs!$C$2:$C$3001,MATCH(G3390,Pubs!$A$2:$A$3001,0))&amp;"",""))</f>
        <v/>
      </c>
      <c r="J3390" s="27" t="str">
        <f aca="false">IF(OR(G3390="",G3390="?"),"",IFERROR(INDEX(Pubs!$G$2:$G$3001,MATCH(G3390,Pubs!$A$2:$A$3001,0))&amp;"",""))</f>
        <v/>
      </c>
      <c r="K3390" s="28" t="str">
        <f aca="false">IF(OR(G3390="",G3390="?"),"",IFERROR(INDEX(Pubs!$E$2:$E$3001,MATCH(G3390,Pubs!$A$2:$A$3001,0)),""))</f>
        <v/>
      </c>
      <c r="L3390" s="29" t="str">
        <f aca="false">IF(A3390="","",IFERROR(1/(1/INDEX(Numéros!$C$2:$C$3001,MATCH(A3390&amp;"|"&amp;B3390,Numéros!$F$2:$F$3001,0))),""))</f>
        <v/>
      </c>
      <c r="M3390" s="27" t="str">
        <f aca="false">IF(OR(G3390="",G3390="?"),"",IFERROR(INDEX(Pubs!$D$2:$D$3001,MATCH(G3390,Pubs!$A$2:$A$3001,0))&amp;"",""))</f>
        <v/>
      </c>
      <c r="N3390" s="27" t="n">
        <f aca="false">N(N3389)+IF(AND(A3390&lt;&gt;"",OR(Recherche!$C$4="",A3390=Recherche!$C$4),OR(Recherche!$C$5="",B3390&amp;""=Recherche!$C$5&amp;""),OR(Recherche!$C$6="",IFERROR(YEAR(L3390),0)=Recherche!$C$6),OR(Recherche!$C$7="",ISNUMBER(SEARCH(Recherche!$C$7,H3390))),OR(Recherche!$C$8="",J3390=Recherche!$C$8),OR(Recherche!$C$9="",I3390=Recherche!$C$9),OR(Recherche!$C$10="",G3390&amp;""=Recherche!$C$10&amp;""),OR(Recherche!$C$11="",E3390=Recherche!$C$11),OR(Recherche!$C$12="",ISNUMBER(SEARCH(Recherche!$C$12,M3390&amp;" "&amp;F3390)))),1,0)</f>
        <v>8</v>
      </c>
    </row>
    <row r="3391" customFormat="false" ht="15" hidden="false" customHeight="false" outlineLevel="0" collapsed="false">
      <c r="A3391" s="19"/>
      <c r="B3391" s="19"/>
      <c r="C3391" s="19"/>
      <c r="D3391" s="19"/>
      <c r="E3391" s="22"/>
      <c r="F3391" s="19"/>
      <c r="G3391" s="26" t="str">
        <f aca="false">IF(D3391="","",IFERROR(VALUE(LEFT(D3391,FIND(" |",D3391&amp;" |")-1)),"?"))</f>
        <v/>
      </c>
      <c r="H3391" s="27" t="str">
        <f aca="false">IF(G3391="","",IF(G3391="?","⚠ pub inconnue",IFERROR(INDEX(Pubs!$B$2:$B$3001,MATCH(G3391,Pubs!$A$2:$A$3001,0))&amp;"","⚠ pub inconnue")))</f>
        <v/>
      </c>
      <c r="I3391" s="27" t="str">
        <f aca="false">IF(OR(G3391="",G3391="?"),"",IFERROR(INDEX(Pubs!$C$2:$C$3001,MATCH(G3391,Pubs!$A$2:$A$3001,0))&amp;"",""))</f>
        <v/>
      </c>
      <c r="J3391" s="27" t="str">
        <f aca="false">IF(OR(G3391="",G3391="?"),"",IFERROR(INDEX(Pubs!$G$2:$G$3001,MATCH(G3391,Pubs!$A$2:$A$3001,0))&amp;"",""))</f>
        <v/>
      </c>
      <c r="K3391" s="28" t="str">
        <f aca="false">IF(OR(G3391="",G3391="?"),"",IFERROR(INDEX(Pubs!$E$2:$E$3001,MATCH(G3391,Pubs!$A$2:$A$3001,0)),""))</f>
        <v/>
      </c>
      <c r="L3391" s="29" t="str">
        <f aca="false">IF(A3391="","",IFERROR(1/(1/INDEX(Numéros!$C$2:$C$3001,MATCH(A3391&amp;"|"&amp;B3391,Numéros!$F$2:$F$3001,0))),""))</f>
        <v/>
      </c>
      <c r="M3391" s="27" t="str">
        <f aca="false">IF(OR(G3391="",G3391="?"),"",IFERROR(INDEX(Pubs!$D$2:$D$3001,MATCH(G3391,Pubs!$A$2:$A$3001,0))&amp;"",""))</f>
        <v/>
      </c>
      <c r="N3391" s="27" t="n">
        <f aca="false">N(N3390)+IF(AND(A3391&lt;&gt;"",OR(Recherche!$C$4="",A3391=Recherche!$C$4),OR(Recherche!$C$5="",B3391&amp;""=Recherche!$C$5&amp;""),OR(Recherche!$C$6="",IFERROR(YEAR(L3391),0)=Recherche!$C$6),OR(Recherche!$C$7="",ISNUMBER(SEARCH(Recherche!$C$7,H3391))),OR(Recherche!$C$8="",J3391=Recherche!$C$8),OR(Recherche!$C$9="",I3391=Recherche!$C$9),OR(Recherche!$C$10="",G3391&amp;""=Recherche!$C$10&amp;""),OR(Recherche!$C$11="",E3391=Recherche!$C$11),OR(Recherche!$C$12="",ISNUMBER(SEARCH(Recherche!$C$12,M3391&amp;" "&amp;F3391)))),1,0)</f>
        <v>8</v>
      </c>
    </row>
    <row r="3392" customFormat="false" ht="15" hidden="false" customHeight="false" outlineLevel="0" collapsed="false">
      <c r="A3392" s="19"/>
      <c r="B3392" s="19"/>
      <c r="C3392" s="19"/>
      <c r="D3392" s="19"/>
      <c r="E3392" s="22"/>
      <c r="F3392" s="19"/>
      <c r="G3392" s="26" t="str">
        <f aca="false">IF(D3392="","",IFERROR(VALUE(LEFT(D3392,FIND(" |",D3392&amp;" |")-1)),"?"))</f>
        <v/>
      </c>
      <c r="H3392" s="27" t="str">
        <f aca="false">IF(G3392="","",IF(G3392="?","⚠ pub inconnue",IFERROR(INDEX(Pubs!$B$2:$B$3001,MATCH(G3392,Pubs!$A$2:$A$3001,0))&amp;"","⚠ pub inconnue")))</f>
        <v/>
      </c>
      <c r="I3392" s="27" t="str">
        <f aca="false">IF(OR(G3392="",G3392="?"),"",IFERROR(INDEX(Pubs!$C$2:$C$3001,MATCH(G3392,Pubs!$A$2:$A$3001,0))&amp;"",""))</f>
        <v/>
      </c>
      <c r="J3392" s="27" t="str">
        <f aca="false">IF(OR(G3392="",G3392="?"),"",IFERROR(INDEX(Pubs!$G$2:$G$3001,MATCH(G3392,Pubs!$A$2:$A$3001,0))&amp;"",""))</f>
        <v/>
      </c>
      <c r="K3392" s="28" t="str">
        <f aca="false">IF(OR(G3392="",G3392="?"),"",IFERROR(INDEX(Pubs!$E$2:$E$3001,MATCH(G3392,Pubs!$A$2:$A$3001,0)),""))</f>
        <v/>
      </c>
      <c r="L3392" s="29" t="str">
        <f aca="false">IF(A3392="","",IFERROR(1/(1/INDEX(Numéros!$C$2:$C$3001,MATCH(A3392&amp;"|"&amp;B3392,Numéros!$F$2:$F$3001,0))),""))</f>
        <v/>
      </c>
      <c r="M3392" s="27" t="str">
        <f aca="false">IF(OR(G3392="",G3392="?"),"",IFERROR(INDEX(Pubs!$D$2:$D$3001,MATCH(G3392,Pubs!$A$2:$A$3001,0))&amp;"",""))</f>
        <v/>
      </c>
      <c r="N3392" s="27" t="n">
        <f aca="false">N(N3391)+IF(AND(A3392&lt;&gt;"",OR(Recherche!$C$4="",A3392=Recherche!$C$4),OR(Recherche!$C$5="",B3392&amp;""=Recherche!$C$5&amp;""),OR(Recherche!$C$6="",IFERROR(YEAR(L3392),0)=Recherche!$C$6),OR(Recherche!$C$7="",ISNUMBER(SEARCH(Recherche!$C$7,H3392))),OR(Recherche!$C$8="",J3392=Recherche!$C$8),OR(Recherche!$C$9="",I3392=Recherche!$C$9),OR(Recherche!$C$10="",G3392&amp;""=Recherche!$C$10&amp;""),OR(Recherche!$C$11="",E3392=Recherche!$C$11),OR(Recherche!$C$12="",ISNUMBER(SEARCH(Recherche!$C$12,M3392&amp;" "&amp;F3392)))),1,0)</f>
        <v>8</v>
      </c>
    </row>
    <row r="3393" customFormat="false" ht="15" hidden="false" customHeight="false" outlineLevel="0" collapsed="false">
      <c r="A3393" s="19"/>
      <c r="B3393" s="19"/>
      <c r="C3393" s="19"/>
      <c r="D3393" s="19"/>
      <c r="E3393" s="22"/>
      <c r="F3393" s="19"/>
      <c r="G3393" s="26" t="str">
        <f aca="false">IF(D3393="","",IFERROR(VALUE(LEFT(D3393,FIND(" |",D3393&amp;" |")-1)),"?"))</f>
        <v/>
      </c>
      <c r="H3393" s="27" t="str">
        <f aca="false">IF(G3393="","",IF(G3393="?","⚠ pub inconnue",IFERROR(INDEX(Pubs!$B$2:$B$3001,MATCH(G3393,Pubs!$A$2:$A$3001,0))&amp;"","⚠ pub inconnue")))</f>
        <v/>
      </c>
      <c r="I3393" s="27" t="str">
        <f aca="false">IF(OR(G3393="",G3393="?"),"",IFERROR(INDEX(Pubs!$C$2:$C$3001,MATCH(G3393,Pubs!$A$2:$A$3001,0))&amp;"",""))</f>
        <v/>
      </c>
      <c r="J3393" s="27" t="str">
        <f aca="false">IF(OR(G3393="",G3393="?"),"",IFERROR(INDEX(Pubs!$G$2:$G$3001,MATCH(G3393,Pubs!$A$2:$A$3001,0))&amp;"",""))</f>
        <v/>
      </c>
      <c r="K3393" s="28" t="str">
        <f aca="false">IF(OR(G3393="",G3393="?"),"",IFERROR(INDEX(Pubs!$E$2:$E$3001,MATCH(G3393,Pubs!$A$2:$A$3001,0)),""))</f>
        <v/>
      </c>
      <c r="L3393" s="29" t="str">
        <f aca="false">IF(A3393="","",IFERROR(1/(1/INDEX(Numéros!$C$2:$C$3001,MATCH(A3393&amp;"|"&amp;B3393,Numéros!$F$2:$F$3001,0))),""))</f>
        <v/>
      </c>
      <c r="M3393" s="27" t="str">
        <f aca="false">IF(OR(G3393="",G3393="?"),"",IFERROR(INDEX(Pubs!$D$2:$D$3001,MATCH(G3393,Pubs!$A$2:$A$3001,0))&amp;"",""))</f>
        <v/>
      </c>
      <c r="N3393" s="27" t="n">
        <f aca="false">N(N3392)+IF(AND(A3393&lt;&gt;"",OR(Recherche!$C$4="",A3393=Recherche!$C$4),OR(Recherche!$C$5="",B3393&amp;""=Recherche!$C$5&amp;""),OR(Recherche!$C$6="",IFERROR(YEAR(L3393),0)=Recherche!$C$6),OR(Recherche!$C$7="",ISNUMBER(SEARCH(Recherche!$C$7,H3393))),OR(Recherche!$C$8="",J3393=Recherche!$C$8),OR(Recherche!$C$9="",I3393=Recherche!$C$9),OR(Recherche!$C$10="",G3393&amp;""=Recherche!$C$10&amp;""),OR(Recherche!$C$11="",E3393=Recherche!$C$11),OR(Recherche!$C$12="",ISNUMBER(SEARCH(Recherche!$C$12,M3393&amp;" "&amp;F3393)))),1,0)</f>
        <v>8</v>
      </c>
    </row>
    <row r="3394" customFormat="false" ht="15" hidden="false" customHeight="false" outlineLevel="0" collapsed="false">
      <c r="A3394" s="19"/>
      <c r="B3394" s="19"/>
      <c r="C3394" s="19"/>
      <c r="D3394" s="19"/>
      <c r="E3394" s="22"/>
      <c r="F3394" s="19"/>
      <c r="G3394" s="26" t="str">
        <f aca="false">IF(D3394="","",IFERROR(VALUE(LEFT(D3394,FIND(" |",D3394&amp;" |")-1)),"?"))</f>
        <v/>
      </c>
      <c r="H3394" s="27" t="str">
        <f aca="false">IF(G3394="","",IF(G3394="?","⚠ pub inconnue",IFERROR(INDEX(Pubs!$B$2:$B$3001,MATCH(G3394,Pubs!$A$2:$A$3001,0))&amp;"","⚠ pub inconnue")))</f>
        <v/>
      </c>
      <c r="I3394" s="27" t="str">
        <f aca="false">IF(OR(G3394="",G3394="?"),"",IFERROR(INDEX(Pubs!$C$2:$C$3001,MATCH(G3394,Pubs!$A$2:$A$3001,0))&amp;"",""))</f>
        <v/>
      </c>
      <c r="J3394" s="27" t="str">
        <f aca="false">IF(OR(G3394="",G3394="?"),"",IFERROR(INDEX(Pubs!$G$2:$G$3001,MATCH(G3394,Pubs!$A$2:$A$3001,0))&amp;"",""))</f>
        <v/>
      </c>
      <c r="K3394" s="28" t="str">
        <f aca="false">IF(OR(G3394="",G3394="?"),"",IFERROR(INDEX(Pubs!$E$2:$E$3001,MATCH(G3394,Pubs!$A$2:$A$3001,0)),""))</f>
        <v/>
      </c>
      <c r="L3394" s="29" t="str">
        <f aca="false">IF(A3394="","",IFERROR(1/(1/INDEX(Numéros!$C$2:$C$3001,MATCH(A3394&amp;"|"&amp;B3394,Numéros!$F$2:$F$3001,0))),""))</f>
        <v/>
      </c>
      <c r="M3394" s="27" t="str">
        <f aca="false">IF(OR(G3394="",G3394="?"),"",IFERROR(INDEX(Pubs!$D$2:$D$3001,MATCH(G3394,Pubs!$A$2:$A$3001,0))&amp;"",""))</f>
        <v/>
      </c>
      <c r="N3394" s="27" t="n">
        <f aca="false">N(N3393)+IF(AND(A3394&lt;&gt;"",OR(Recherche!$C$4="",A3394=Recherche!$C$4),OR(Recherche!$C$5="",B3394&amp;""=Recherche!$C$5&amp;""),OR(Recherche!$C$6="",IFERROR(YEAR(L3394),0)=Recherche!$C$6),OR(Recherche!$C$7="",ISNUMBER(SEARCH(Recherche!$C$7,H3394))),OR(Recherche!$C$8="",J3394=Recherche!$C$8),OR(Recherche!$C$9="",I3394=Recherche!$C$9),OR(Recherche!$C$10="",G3394&amp;""=Recherche!$C$10&amp;""),OR(Recherche!$C$11="",E3394=Recherche!$C$11),OR(Recherche!$C$12="",ISNUMBER(SEARCH(Recherche!$C$12,M3394&amp;" "&amp;F3394)))),1,0)</f>
        <v>8</v>
      </c>
    </row>
    <row r="3395" customFormat="false" ht="15" hidden="false" customHeight="false" outlineLevel="0" collapsed="false">
      <c r="A3395" s="19"/>
      <c r="B3395" s="19"/>
      <c r="C3395" s="19"/>
      <c r="D3395" s="19"/>
      <c r="E3395" s="22"/>
      <c r="F3395" s="19"/>
      <c r="G3395" s="26" t="str">
        <f aca="false">IF(D3395="","",IFERROR(VALUE(LEFT(D3395,FIND(" |",D3395&amp;" |")-1)),"?"))</f>
        <v/>
      </c>
      <c r="H3395" s="27" t="str">
        <f aca="false">IF(G3395="","",IF(G3395="?","⚠ pub inconnue",IFERROR(INDEX(Pubs!$B$2:$B$3001,MATCH(G3395,Pubs!$A$2:$A$3001,0))&amp;"","⚠ pub inconnue")))</f>
        <v/>
      </c>
      <c r="I3395" s="27" t="str">
        <f aca="false">IF(OR(G3395="",G3395="?"),"",IFERROR(INDEX(Pubs!$C$2:$C$3001,MATCH(G3395,Pubs!$A$2:$A$3001,0))&amp;"",""))</f>
        <v/>
      </c>
      <c r="J3395" s="27" t="str">
        <f aca="false">IF(OR(G3395="",G3395="?"),"",IFERROR(INDEX(Pubs!$G$2:$G$3001,MATCH(G3395,Pubs!$A$2:$A$3001,0))&amp;"",""))</f>
        <v/>
      </c>
      <c r="K3395" s="28" t="str">
        <f aca="false">IF(OR(G3395="",G3395="?"),"",IFERROR(INDEX(Pubs!$E$2:$E$3001,MATCH(G3395,Pubs!$A$2:$A$3001,0)),""))</f>
        <v/>
      </c>
      <c r="L3395" s="29" t="str">
        <f aca="false">IF(A3395="","",IFERROR(1/(1/INDEX(Numéros!$C$2:$C$3001,MATCH(A3395&amp;"|"&amp;B3395,Numéros!$F$2:$F$3001,0))),""))</f>
        <v/>
      </c>
      <c r="M3395" s="27" t="str">
        <f aca="false">IF(OR(G3395="",G3395="?"),"",IFERROR(INDEX(Pubs!$D$2:$D$3001,MATCH(G3395,Pubs!$A$2:$A$3001,0))&amp;"",""))</f>
        <v/>
      </c>
      <c r="N3395" s="27" t="n">
        <f aca="false">N(N3394)+IF(AND(A3395&lt;&gt;"",OR(Recherche!$C$4="",A3395=Recherche!$C$4),OR(Recherche!$C$5="",B3395&amp;""=Recherche!$C$5&amp;""),OR(Recherche!$C$6="",IFERROR(YEAR(L3395),0)=Recherche!$C$6),OR(Recherche!$C$7="",ISNUMBER(SEARCH(Recherche!$C$7,H3395))),OR(Recherche!$C$8="",J3395=Recherche!$C$8),OR(Recherche!$C$9="",I3395=Recherche!$C$9),OR(Recherche!$C$10="",G3395&amp;""=Recherche!$C$10&amp;""),OR(Recherche!$C$11="",E3395=Recherche!$C$11),OR(Recherche!$C$12="",ISNUMBER(SEARCH(Recherche!$C$12,M3395&amp;" "&amp;F3395)))),1,0)</f>
        <v>8</v>
      </c>
    </row>
    <row r="3396" customFormat="false" ht="15" hidden="false" customHeight="false" outlineLevel="0" collapsed="false">
      <c r="A3396" s="19"/>
      <c r="B3396" s="19"/>
      <c r="C3396" s="19"/>
      <c r="D3396" s="19"/>
      <c r="E3396" s="22"/>
      <c r="F3396" s="19"/>
      <c r="G3396" s="26" t="str">
        <f aca="false">IF(D3396="","",IFERROR(VALUE(LEFT(D3396,FIND(" |",D3396&amp;" |")-1)),"?"))</f>
        <v/>
      </c>
      <c r="H3396" s="27" t="str">
        <f aca="false">IF(G3396="","",IF(G3396="?","⚠ pub inconnue",IFERROR(INDEX(Pubs!$B$2:$B$3001,MATCH(G3396,Pubs!$A$2:$A$3001,0))&amp;"","⚠ pub inconnue")))</f>
        <v/>
      </c>
      <c r="I3396" s="27" t="str">
        <f aca="false">IF(OR(G3396="",G3396="?"),"",IFERROR(INDEX(Pubs!$C$2:$C$3001,MATCH(G3396,Pubs!$A$2:$A$3001,0))&amp;"",""))</f>
        <v/>
      </c>
      <c r="J3396" s="27" t="str">
        <f aca="false">IF(OR(G3396="",G3396="?"),"",IFERROR(INDEX(Pubs!$G$2:$G$3001,MATCH(G3396,Pubs!$A$2:$A$3001,0))&amp;"",""))</f>
        <v/>
      </c>
      <c r="K3396" s="28" t="str">
        <f aca="false">IF(OR(G3396="",G3396="?"),"",IFERROR(INDEX(Pubs!$E$2:$E$3001,MATCH(G3396,Pubs!$A$2:$A$3001,0)),""))</f>
        <v/>
      </c>
      <c r="L3396" s="29" t="str">
        <f aca="false">IF(A3396="","",IFERROR(1/(1/INDEX(Numéros!$C$2:$C$3001,MATCH(A3396&amp;"|"&amp;B3396,Numéros!$F$2:$F$3001,0))),""))</f>
        <v/>
      </c>
      <c r="M3396" s="27" t="str">
        <f aca="false">IF(OR(G3396="",G3396="?"),"",IFERROR(INDEX(Pubs!$D$2:$D$3001,MATCH(G3396,Pubs!$A$2:$A$3001,0))&amp;"",""))</f>
        <v/>
      </c>
      <c r="N3396" s="27" t="n">
        <f aca="false">N(N3395)+IF(AND(A3396&lt;&gt;"",OR(Recherche!$C$4="",A3396=Recherche!$C$4),OR(Recherche!$C$5="",B3396&amp;""=Recherche!$C$5&amp;""),OR(Recherche!$C$6="",IFERROR(YEAR(L3396),0)=Recherche!$C$6),OR(Recherche!$C$7="",ISNUMBER(SEARCH(Recherche!$C$7,H3396))),OR(Recherche!$C$8="",J3396=Recherche!$C$8),OR(Recherche!$C$9="",I3396=Recherche!$C$9),OR(Recherche!$C$10="",G3396&amp;""=Recherche!$C$10&amp;""),OR(Recherche!$C$11="",E3396=Recherche!$C$11),OR(Recherche!$C$12="",ISNUMBER(SEARCH(Recherche!$C$12,M3396&amp;" "&amp;F3396)))),1,0)</f>
        <v>8</v>
      </c>
    </row>
    <row r="3397" customFormat="false" ht="15" hidden="false" customHeight="false" outlineLevel="0" collapsed="false">
      <c r="A3397" s="19"/>
      <c r="B3397" s="19"/>
      <c r="C3397" s="19"/>
      <c r="D3397" s="19"/>
      <c r="E3397" s="22"/>
      <c r="F3397" s="19"/>
      <c r="G3397" s="26" t="str">
        <f aca="false">IF(D3397="","",IFERROR(VALUE(LEFT(D3397,FIND(" |",D3397&amp;" |")-1)),"?"))</f>
        <v/>
      </c>
      <c r="H3397" s="27" t="str">
        <f aca="false">IF(G3397="","",IF(G3397="?","⚠ pub inconnue",IFERROR(INDEX(Pubs!$B$2:$B$3001,MATCH(G3397,Pubs!$A$2:$A$3001,0))&amp;"","⚠ pub inconnue")))</f>
        <v/>
      </c>
      <c r="I3397" s="27" t="str">
        <f aca="false">IF(OR(G3397="",G3397="?"),"",IFERROR(INDEX(Pubs!$C$2:$C$3001,MATCH(G3397,Pubs!$A$2:$A$3001,0))&amp;"",""))</f>
        <v/>
      </c>
      <c r="J3397" s="27" t="str">
        <f aca="false">IF(OR(G3397="",G3397="?"),"",IFERROR(INDEX(Pubs!$G$2:$G$3001,MATCH(G3397,Pubs!$A$2:$A$3001,0))&amp;"",""))</f>
        <v/>
      </c>
      <c r="K3397" s="28" t="str">
        <f aca="false">IF(OR(G3397="",G3397="?"),"",IFERROR(INDEX(Pubs!$E$2:$E$3001,MATCH(G3397,Pubs!$A$2:$A$3001,0)),""))</f>
        <v/>
      </c>
      <c r="L3397" s="29" t="str">
        <f aca="false">IF(A3397="","",IFERROR(1/(1/INDEX(Numéros!$C$2:$C$3001,MATCH(A3397&amp;"|"&amp;B3397,Numéros!$F$2:$F$3001,0))),""))</f>
        <v/>
      </c>
      <c r="M3397" s="27" t="str">
        <f aca="false">IF(OR(G3397="",G3397="?"),"",IFERROR(INDEX(Pubs!$D$2:$D$3001,MATCH(G3397,Pubs!$A$2:$A$3001,0))&amp;"",""))</f>
        <v/>
      </c>
      <c r="N3397" s="27" t="n">
        <f aca="false">N(N3396)+IF(AND(A3397&lt;&gt;"",OR(Recherche!$C$4="",A3397=Recherche!$C$4),OR(Recherche!$C$5="",B3397&amp;""=Recherche!$C$5&amp;""),OR(Recherche!$C$6="",IFERROR(YEAR(L3397),0)=Recherche!$C$6),OR(Recherche!$C$7="",ISNUMBER(SEARCH(Recherche!$C$7,H3397))),OR(Recherche!$C$8="",J3397=Recherche!$C$8),OR(Recherche!$C$9="",I3397=Recherche!$C$9),OR(Recherche!$C$10="",G3397&amp;""=Recherche!$C$10&amp;""),OR(Recherche!$C$11="",E3397=Recherche!$C$11),OR(Recherche!$C$12="",ISNUMBER(SEARCH(Recherche!$C$12,M3397&amp;" "&amp;F3397)))),1,0)</f>
        <v>8</v>
      </c>
    </row>
    <row r="3398" customFormat="false" ht="15" hidden="false" customHeight="false" outlineLevel="0" collapsed="false">
      <c r="A3398" s="19"/>
      <c r="B3398" s="19"/>
      <c r="C3398" s="19"/>
      <c r="D3398" s="19"/>
      <c r="E3398" s="22"/>
      <c r="F3398" s="19"/>
      <c r="G3398" s="26" t="str">
        <f aca="false">IF(D3398="","",IFERROR(VALUE(LEFT(D3398,FIND(" |",D3398&amp;" |")-1)),"?"))</f>
        <v/>
      </c>
      <c r="H3398" s="27" t="str">
        <f aca="false">IF(G3398="","",IF(G3398="?","⚠ pub inconnue",IFERROR(INDEX(Pubs!$B$2:$B$3001,MATCH(G3398,Pubs!$A$2:$A$3001,0))&amp;"","⚠ pub inconnue")))</f>
        <v/>
      </c>
      <c r="I3398" s="27" t="str">
        <f aca="false">IF(OR(G3398="",G3398="?"),"",IFERROR(INDEX(Pubs!$C$2:$C$3001,MATCH(G3398,Pubs!$A$2:$A$3001,0))&amp;"",""))</f>
        <v/>
      </c>
      <c r="J3398" s="27" t="str">
        <f aca="false">IF(OR(G3398="",G3398="?"),"",IFERROR(INDEX(Pubs!$G$2:$G$3001,MATCH(G3398,Pubs!$A$2:$A$3001,0))&amp;"",""))</f>
        <v/>
      </c>
      <c r="K3398" s="28" t="str">
        <f aca="false">IF(OR(G3398="",G3398="?"),"",IFERROR(INDEX(Pubs!$E$2:$E$3001,MATCH(G3398,Pubs!$A$2:$A$3001,0)),""))</f>
        <v/>
      </c>
      <c r="L3398" s="29" t="str">
        <f aca="false">IF(A3398="","",IFERROR(1/(1/INDEX(Numéros!$C$2:$C$3001,MATCH(A3398&amp;"|"&amp;B3398,Numéros!$F$2:$F$3001,0))),""))</f>
        <v/>
      </c>
      <c r="M3398" s="27" t="str">
        <f aca="false">IF(OR(G3398="",G3398="?"),"",IFERROR(INDEX(Pubs!$D$2:$D$3001,MATCH(G3398,Pubs!$A$2:$A$3001,0))&amp;"",""))</f>
        <v/>
      </c>
      <c r="N3398" s="27" t="n">
        <f aca="false">N(N3397)+IF(AND(A3398&lt;&gt;"",OR(Recherche!$C$4="",A3398=Recherche!$C$4),OR(Recherche!$C$5="",B3398&amp;""=Recherche!$C$5&amp;""),OR(Recherche!$C$6="",IFERROR(YEAR(L3398),0)=Recherche!$C$6),OR(Recherche!$C$7="",ISNUMBER(SEARCH(Recherche!$C$7,H3398))),OR(Recherche!$C$8="",J3398=Recherche!$C$8),OR(Recherche!$C$9="",I3398=Recherche!$C$9),OR(Recherche!$C$10="",G3398&amp;""=Recherche!$C$10&amp;""),OR(Recherche!$C$11="",E3398=Recherche!$C$11),OR(Recherche!$C$12="",ISNUMBER(SEARCH(Recherche!$C$12,M3398&amp;" "&amp;F3398)))),1,0)</f>
        <v>8</v>
      </c>
    </row>
    <row r="3399" customFormat="false" ht="15" hidden="false" customHeight="false" outlineLevel="0" collapsed="false">
      <c r="A3399" s="19"/>
      <c r="B3399" s="19"/>
      <c r="C3399" s="19"/>
      <c r="D3399" s="19"/>
      <c r="E3399" s="22"/>
      <c r="F3399" s="19"/>
      <c r="G3399" s="26" t="str">
        <f aca="false">IF(D3399="","",IFERROR(VALUE(LEFT(D3399,FIND(" |",D3399&amp;" |")-1)),"?"))</f>
        <v/>
      </c>
      <c r="H3399" s="27" t="str">
        <f aca="false">IF(G3399="","",IF(G3399="?","⚠ pub inconnue",IFERROR(INDEX(Pubs!$B$2:$B$3001,MATCH(G3399,Pubs!$A$2:$A$3001,0))&amp;"","⚠ pub inconnue")))</f>
        <v/>
      </c>
      <c r="I3399" s="27" t="str">
        <f aca="false">IF(OR(G3399="",G3399="?"),"",IFERROR(INDEX(Pubs!$C$2:$C$3001,MATCH(G3399,Pubs!$A$2:$A$3001,0))&amp;"",""))</f>
        <v/>
      </c>
      <c r="J3399" s="27" t="str">
        <f aca="false">IF(OR(G3399="",G3399="?"),"",IFERROR(INDEX(Pubs!$G$2:$G$3001,MATCH(G3399,Pubs!$A$2:$A$3001,0))&amp;"",""))</f>
        <v/>
      </c>
      <c r="K3399" s="28" t="str">
        <f aca="false">IF(OR(G3399="",G3399="?"),"",IFERROR(INDEX(Pubs!$E$2:$E$3001,MATCH(G3399,Pubs!$A$2:$A$3001,0)),""))</f>
        <v/>
      </c>
      <c r="L3399" s="29" t="str">
        <f aca="false">IF(A3399="","",IFERROR(1/(1/INDEX(Numéros!$C$2:$C$3001,MATCH(A3399&amp;"|"&amp;B3399,Numéros!$F$2:$F$3001,0))),""))</f>
        <v/>
      </c>
      <c r="M3399" s="27" t="str">
        <f aca="false">IF(OR(G3399="",G3399="?"),"",IFERROR(INDEX(Pubs!$D$2:$D$3001,MATCH(G3399,Pubs!$A$2:$A$3001,0))&amp;"",""))</f>
        <v/>
      </c>
      <c r="N3399" s="27" t="n">
        <f aca="false">N(N3398)+IF(AND(A3399&lt;&gt;"",OR(Recherche!$C$4="",A3399=Recherche!$C$4),OR(Recherche!$C$5="",B3399&amp;""=Recherche!$C$5&amp;""),OR(Recherche!$C$6="",IFERROR(YEAR(L3399),0)=Recherche!$C$6),OR(Recherche!$C$7="",ISNUMBER(SEARCH(Recherche!$C$7,H3399))),OR(Recherche!$C$8="",J3399=Recherche!$C$8),OR(Recherche!$C$9="",I3399=Recherche!$C$9),OR(Recherche!$C$10="",G3399&amp;""=Recherche!$C$10&amp;""),OR(Recherche!$C$11="",E3399=Recherche!$C$11),OR(Recherche!$C$12="",ISNUMBER(SEARCH(Recherche!$C$12,M3399&amp;" "&amp;F3399)))),1,0)</f>
        <v>8</v>
      </c>
    </row>
    <row r="3400" customFormat="false" ht="15" hidden="false" customHeight="false" outlineLevel="0" collapsed="false">
      <c r="A3400" s="19"/>
      <c r="B3400" s="19"/>
      <c r="C3400" s="19"/>
      <c r="D3400" s="19"/>
      <c r="E3400" s="22"/>
      <c r="F3400" s="19"/>
      <c r="G3400" s="26" t="str">
        <f aca="false">IF(D3400="","",IFERROR(VALUE(LEFT(D3400,FIND(" |",D3400&amp;" |")-1)),"?"))</f>
        <v/>
      </c>
      <c r="H3400" s="27" t="str">
        <f aca="false">IF(G3400="","",IF(G3400="?","⚠ pub inconnue",IFERROR(INDEX(Pubs!$B$2:$B$3001,MATCH(G3400,Pubs!$A$2:$A$3001,0))&amp;"","⚠ pub inconnue")))</f>
        <v/>
      </c>
      <c r="I3400" s="27" t="str">
        <f aca="false">IF(OR(G3400="",G3400="?"),"",IFERROR(INDEX(Pubs!$C$2:$C$3001,MATCH(G3400,Pubs!$A$2:$A$3001,0))&amp;"",""))</f>
        <v/>
      </c>
      <c r="J3400" s="27" t="str">
        <f aca="false">IF(OR(G3400="",G3400="?"),"",IFERROR(INDEX(Pubs!$G$2:$G$3001,MATCH(G3400,Pubs!$A$2:$A$3001,0))&amp;"",""))</f>
        <v/>
      </c>
      <c r="K3400" s="28" t="str">
        <f aca="false">IF(OR(G3400="",G3400="?"),"",IFERROR(INDEX(Pubs!$E$2:$E$3001,MATCH(G3400,Pubs!$A$2:$A$3001,0)),""))</f>
        <v/>
      </c>
      <c r="L3400" s="29" t="str">
        <f aca="false">IF(A3400="","",IFERROR(1/(1/INDEX(Numéros!$C$2:$C$3001,MATCH(A3400&amp;"|"&amp;B3400,Numéros!$F$2:$F$3001,0))),""))</f>
        <v/>
      </c>
      <c r="M3400" s="27" t="str">
        <f aca="false">IF(OR(G3400="",G3400="?"),"",IFERROR(INDEX(Pubs!$D$2:$D$3001,MATCH(G3400,Pubs!$A$2:$A$3001,0))&amp;"",""))</f>
        <v/>
      </c>
      <c r="N3400" s="27" t="n">
        <f aca="false">N(N3399)+IF(AND(A3400&lt;&gt;"",OR(Recherche!$C$4="",A3400=Recherche!$C$4),OR(Recherche!$C$5="",B3400&amp;""=Recherche!$C$5&amp;""),OR(Recherche!$C$6="",IFERROR(YEAR(L3400),0)=Recherche!$C$6),OR(Recherche!$C$7="",ISNUMBER(SEARCH(Recherche!$C$7,H3400))),OR(Recherche!$C$8="",J3400=Recherche!$C$8),OR(Recherche!$C$9="",I3400=Recherche!$C$9),OR(Recherche!$C$10="",G3400&amp;""=Recherche!$C$10&amp;""),OR(Recherche!$C$11="",E3400=Recherche!$C$11),OR(Recherche!$C$12="",ISNUMBER(SEARCH(Recherche!$C$12,M3400&amp;" "&amp;F3400)))),1,0)</f>
        <v>8</v>
      </c>
    </row>
    <row r="3401" customFormat="false" ht="15" hidden="false" customHeight="false" outlineLevel="0" collapsed="false">
      <c r="A3401" s="19"/>
      <c r="B3401" s="19"/>
      <c r="C3401" s="19"/>
      <c r="D3401" s="19"/>
      <c r="E3401" s="22"/>
      <c r="F3401" s="19"/>
      <c r="G3401" s="26" t="str">
        <f aca="false">IF(D3401="","",IFERROR(VALUE(LEFT(D3401,FIND(" |",D3401&amp;" |")-1)),"?"))</f>
        <v/>
      </c>
      <c r="H3401" s="27" t="str">
        <f aca="false">IF(G3401="","",IF(G3401="?","⚠ pub inconnue",IFERROR(INDEX(Pubs!$B$2:$B$3001,MATCH(G3401,Pubs!$A$2:$A$3001,0))&amp;"","⚠ pub inconnue")))</f>
        <v/>
      </c>
      <c r="I3401" s="27" t="str">
        <f aca="false">IF(OR(G3401="",G3401="?"),"",IFERROR(INDEX(Pubs!$C$2:$C$3001,MATCH(G3401,Pubs!$A$2:$A$3001,0))&amp;"",""))</f>
        <v/>
      </c>
      <c r="J3401" s="27" t="str">
        <f aca="false">IF(OR(G3401="",G3401="?"),"",IFERROR(INDEX(Pubs!$G$2:$G$3001,MATCH(G3401,Pubs!$A$2:$A$3001,0))&amp;"",""))</f>
        <v/>
      </c>
      <c r="K3401" s="28" t="str">
        <f aca="false">IF(OR(G3401="",G3401="?"),"",IFERROR(INDEX(Pubs!$E$2:$E$3001,MATCH(G3401,Pubs!$A$2:$A$3001,0)),""))</f>
        <v/>
      </c>
      <c r="L3401" s="29" t="str">
        <f aca="false">IF(A3401="","",IFERROR(1/(1/INDEX(Numéros!$C$2:$C$3001,MATCH(A3401&amp;"|"&amp;B3401,Numéros!$F$2:$F$3001,0))),""))</f>
        <v/>
      </c>
      <c r="M3401" s="27" t="str">
        <f aca="false">IF(OR(G3401="",G3401="?"),"",IFERROR(INDEX(Pubs!$D$2:$D$3001,MATCH(G3401,Pubs!$A$2:$A$3001,0))&amp;"",""))</f>
        <v/>
      </c>
      <c r="N3401" s="27" t="n">
        <f aca="false">N(N3400)+IF(AND(A3401&lt;&gt;"",OR(Recherche!$C$4="",A3401=Recherche!$C$4),OR(Recherche!$C$5="",B3401&amp;""=Recherche!$C$5&amp;""),OR(Recherche!$C$6="",IFERROR(YEAR(L3401),0)=Recherche!$C$6),OR(Recherche!$C$7="",ISNUMBER(SEARCH(Recherche!$C$7,H3401))),OR(Recherche!$C$8="",J3401=Recherche!$C$8),OR(Recherche!$C$9="",I3401=Recherche!$C$9),OR(Recherche!$C$10="",G3401&amp;""=Recherche!$C$10&amp;""),OR(Recherche!$C$11="",E3401=Recherche!$C$11),OR(Recherche!$C$12="",ISNUMBER(SEARCH(Recherche!$C$12,M3401&amp;" "&amp;F3401)))),1,0)</f>
        <v>8</v>
      </c>
    </row>
    <row r="3402" customFormat="false" ht="15" hidden="false" customHeight="false" outlineLevel="0" collapsed="false">
      <c r="A3402" s="19"/>
      <c r="B3402" s="19"/>
      <c r="C3402" s="19"/>
      <c r="D3402" s="19"/>
      <c r="E3402" s="22"/>
      <c r="F3402" s="19"/>
      <c r="G3402" s="26" t="str">
        <f aca="false">IF(D3402="","",IFERROR(VALUE(LEFT(D3402,FIND(" |",D3402&amp;" |")-1)),"?"))</f>
        <v/>
      </c>
      <c r="H3402" s="27" t="str">
        <f aca="false">IF(G3402="","",IF(G3402="?","⚠ pub inconnue",IFERROR(INDEX(Pubs!$B$2:$B$3001,MATCH(G3402,Pubs!$A$2:$A$3001,0))&amp;"","⚠ pub inconnue")))</f>
        <v/>
      </c>
      <c r="I3402" s="27" t="str">
        <f aca="false">IF(OR(G3402="",G3402="?"),"",IFERROR(INDEX(Pubs!$C$2:$C$3001,MATCH(G3402,Pubs!$A$2:$A$3001,0))&amp;"",""))</f>
        <v/>
      </c>
      <c r="J3402" s="27" t="str">
        <f aca="false">IF(OR(G3402="",G3402="?"),"",IFERROR(INDEX(Pubs!$G$2:$G$3001,MATCH(G3402,Pubs!$A$2:$A$3001,0))&amp;"",""))</f>
        <v/>
      </c>
      <c r="K3402" s="28" t="str">
        <f aca="false">IF(OR(G3402="",G3402="?"),"",IFERROR(INDEX(Pubs!$E$2:$E$3001,MATCH(G3402,Pubs!$A$2:$A$3001,0)),""))</f>
        <v/>
      </c>
      <c r="L3402" s="29" t="str">
        <f aca="false">IF(A3402="","",IFERROR(1/(1/INDEX(Numéros!$C$2:$C$3001,MATCH(A3402&amp;"|"&amp;B3402,Numéros!$F$2:$F$3001,0))),""))</f>
        <v/>
      </c>
      <c r="M3402" s="27" t="str">
        <f aca="false">IF(OR(G3402="",G3402="?"),"",IFERROR(INDEX(Pubs!$D$2:$D$3001,MATCH(G3402,Pubs!$A$2:$A$3001,0))&amp;"",""))</f>
        <v/>
      </c>
      <c r="N3402" s="27" t="n">
        <f aca="false">N(N3401)+IF(AND(A3402&lt;&gt;"",OR(Recherche!$C$4="",A3402=Recherche!$C$4),OR(Recherche!$C$5="",B3402&amp;""=Recherche!$C$5&amp;""),OR(Recherche!$C$6="",IFERROR(YEAR(L3402),0)=Recherche!$C$6),OR(Recherche!$C$7="",ISNUMBER(SEARCH(Recherche!$C$7,H3402))),OR(Recherche!$C$8="",J3402=Recherche!$C$8),OR(Recherche!$C$9="",I3402=Recherche!$C$9),OR(Recherche!$C$10="",G3402&amp;""=Recherche!$C$10&amp;""),OR(Recherche!$C$11="",E3402=Recherche!$C$11),OR(Recherche!$C$12="",ISNUMBER(SEARCH(Recherche!$C$12,M3402&amp;" "&amp;F3402)))),1,0)</f>
        <v>8</v>
      </c>
    </row>
    <row r="3403" customFormat="false" ht="15" hidden="false" customHeight="false" outlineLevel="0" collapsed="false">
      <c r="A3403" s="19"/>
      <c r="B3403" s="19"/>
      <c r="C3403" s="19"/>
      <c r="D3403" s="19"/>
      <c r="E3403" s="22"/>
      <c r="F3403" s="19"/>
      <c r="G3403" s="26" t="str">
        <f aca="false">IF(D3403="","",IFERROR(VALUE(LEFT(D3403,FIND(" |",D3403&amp;" |")-1)),"?"))</f>
        <v/>
      </c>
      <c r="H3403" s="27" t="str">
        <f aca="false">IF(G3403="","",IF(G3403="?","⚠ pub inconnue",IFERROR(INDEX(Pubs!$B$2:$B$3001,MATCH(G3403,Pubs!$A$2:$A$3001,0))&amp;"","⚠ pub inconnue")))</f>
        <v/>
      </c>
      <c r="I3403" s="27" t="str">
        <f aca="false">IF(OR(G3403="",G3403="?"),"",IFERROR(INDEX(Pubs!$C$2:$C$3001,MATCH(G3403,Pubs!$A$2:$A$3001,0))&amp;"",""))</f>
        <v/>
      </c>
      <c r="J3403" s="27" t="str">
        <f aca="false">IF(OR(G3403="",G3403="?"),"",IFERROR(INDEX(Pubs!$G$2:$G$3001,MATCH(G3403,Pubs!$A$2:$A$3001,0))&amp;"",""))</f>
        <v/>
      </c>
      <c r="K3403" s="28" t="str">
        <f aca="false">IF(OR(G3403="",G3403="?"),"",IFERROR(INDEX(Pubs!$E$2:$E$3001,MATCH(G3403,Pubs!$A$2:$A$3001,0)),""))</f>
        <v/>
      </c>
      <c r="L3403" s="29" t="str">
        <f aca="false">IF(A3403="","",IFERROR(1/(1/INDEX(Numéros!$C$2:$C$3001,MATCH(A3403&amp;"|"&amp;B3403,Numéros!$F$2:$F$3001,0))),""))</f>
        <v/>
      </c>
      <c r="M3403" s="27" t="str">
        <f aca="false">IF(OR(G3403="",G3403="?"),"",IFERROR(INDEX(Pubs!$D$2:$D$3001,MATCH(G3403,Pubs!$A$2:$A$3001,0))&amp;"",""))</f>
        <v/>
      </c>
      <c r="N3403" s="27" t="n">
        <f aca="false">N(N3402)+IF(AND(A3403&lt;&gt;"",OR(Recherche!$C$4="",A3403=Recherche!$C$4),OR(Recherche!$C$5="",B3403&amp;""=Recherche!$C$5&amp;""),OR(Recherche!$C$6="",IFERROR(YEAR(L3403),0)=Recherche!$C$6),OR(Recherche!$C$7="",ISNUMBER(SEARCH(Recherche!$C$7,H3403))),OR(Recherche!$C$8="",J3403=Recherche!$C$8),OR(Recherche!$C$9="",I3403=Recherche!$C$9),OR(Recherche!$C$10="",G3403&amp;""=Recherche!$C$10&amp;""),OR(Recherche!$C$11="",E3403=Recherche!$C$11),OR(Recherche!$C$12="",ISNUMBER(SEARCH(Recherche!$C$12,M3403&amp;" "&amp;F3403)))),1,0)</f>
        <v>8</v>
      </c>
    </row>
    <row r="3404" customFormat="false" ht="15" hidden="false" customHeight="false" outlineLevel="0" collapsed="false">
      <c r="A3404" s="19"/>
      <c r="B3404" s="19"/>
      <c r="C3404" s="19"/>
      <c r="D3404" s="19"/>
      <c r="E3404" s="22"/>
      <c r="F3404" s="19"/>
      <c r="G3404" s="26" t="str">
        <f aca="false">IF(D3404="","",IFERROR(VALUE(LEFT(D3404,FIND(" |",D3404&amp;" |")-1)),"?"))</f>
        <v/>
      </c>
      <c r="H3404" s="27" t="str">
        <f aca="false">IF(G3404="","",IF(G3404="?","⚠ pub inconnue",IFERROR(INDEX(Pubs!$B$2:$B$3001,MATCH(G3404,Pubs!$A$2:$A$3001,0))&amp;"","⚠ pub inconnue")))</f>
        <v/>
      </c>
      <c r="I3404" s="27" t="str">
        <f aca="false">IF(OR(G3404="",G3404="?"),"",IFERROR(INDEX(Pubs!$C$2:$C$3001,MATCH(G3404,Pubs!$A$2:$A$3001,0))&amp;"",""))</f>
        <v/>
      </c>
      <c r="J3404" s="27" t="str">
        <f aca="false">IF(OR(G3404="",G3404="?"),"",IFERROR(INDEX(Pubs!$G$2:$G$3001,MATCH(G3404,Pubs!$A$2:$A$3001,0))&amp;"",""))</f>
        <v/>
      </c>
      <c r="K3404" s="28" t="str">
        <f aca="false">IF(OR(G3404="",G3404="?"),"",IFERROR(INDEX(Pubs!$E$2:$E$3001,MATCH(G3404,Pubs!$A$2:$A$3001,0)),""))</f>
        <v/>
      </c>
      <c r="L3404" s="29" t="str">
        <f aca="false">IF(A3404="","",IFERROR(1/(1/INDEX(Numéros!$C$2:$C$3001,MATCH(A3404&amp;"|"&amp;B3404,Numéros!$F$2:$F$3001,0))),""))</f>
        <v/>
      </c>
      <c r="M3404" s="27" t="str">
        <f aca="false">IF(OR(G3404="",G3404="?"),"",IFERROR(INDEX(Pubs!$D$2:$D$3001,MATCH(G3404,Pubs!$A$2:$A$3001,0))&amp;"",""))</f>
        <v/>
      </c>
      <c r="N3404" s="27" t="n">
        <f aca="false">N(N3403)+IF(AND(A3404&lt;&gt;"",OR(Recherche!$C$4="",A3404=Recherche!$C$4),OR(Recherche!$C$5="",B3404&amp;""=Recherche!$C$5&amp;""),OR(Recherche!$C$6="",IFERROR(YEAR(L3404),0)=Recherche!$C$6),OR(Recherche!$C$7="",ISNUMBER(SEARCH(Recherche!$C$7,H3404))),OR(Recherche!$C$8="",J3404=Recherche!$C$8),OR(Recherche!$C$9="",I3404=Recherche!$C$9),OR(Recherche!$C$10="",G3404&amp;""=Recherche!$C$10&amp;""),OR(Recherche!$C$11="",E3404=Recherche!$C$11),OR(Recherche!$C$12="",ISNUMBER(SEARCH(Recherche!$C$12,M3404&amp;" "&amp;F3404)))),1,0)</f>
        <v>8</v>
      </c>
    </row>
    <row r="3405" customFormat="false" ht="15" hidden="false" customHeight="false" outlineLevel="0" collapsed="false">
      <c r="A3405" s="19"/>
      <c r="B3405" s="19"/>
      <c r="C3405" s="19"/>
      <c r="D3405" s="19"/>
      <c r="E3405" s="22"/>
      <c r="F3405" s="19"/>
      <c r="G3405" s="26" t="str">
        <f aca="false">IF(D3405="","",IFERROR(VALUE(LEFT(D3405,FIND(" |",D3405&amp;" |")-1)),"?"))</f>
        <v/>
      </c>
      <c r="H3405" s="27" t="str">
        <f aca="false">IF(G3405="","",IF(G3405="?","⚠ pub inconnue",IFERROR(INDEX(Pubs!$B$2:$B$3001,MATCH(G3405,Pubs!$A$2:$A$3001,0))&amp;"","⚠ pub inconnue")))</f>
        <v/>
      </c>
      <c r="I3405" s="27" t="str">
        <f aca="false">IF(OR(G3405="",G3405="?"),"",IFERROR(INDEX(Pubs!$C$2:$C$3001,MATCH(G3405,Pubs!$A$2:$A$3001,0))&amp;"",""))</f>
        <v/>
      </c>
      <c r="J3405" s="27" t="str">
        <f aca="false">IF(OR(G3405="",G3405="?"),"",IFERROR(INDEX(Pubs!$G$2:$G$3001,MATCH(G3405,Pubs!$A$2:$A$3001,0))&amp;"",""))</f>
        <v/>
      </c>
      <c r="K3405" s="28" t="str">
        <f aca="false">IF(OR(G3405="",G3405="?"),"",IFERROR(INDEX(Pubs!$E$2:$E$3001,MATCH(G3405,Pubs!$A$2:$A$3001,0)),""))</f>
        <v/>
      </c>
      <c r="L3405" s="29" t="str">
        <f aca="false">IF(A3405="","",IFERROR(1/(1/INDEX(Numéros!$C$2:$C$3001,MATCH(A3405&amp;"|"&amp;B3405,Numéros!$F$2:$F$3001,0))),""))</f>
        <v/>
      </c>
      <c r="M3405" s="27" t="str">
        <f aca="false">IF(OR(G3405="",G3405="?"),"",IFERROR(INDEX(Pubs!$D$2:$D$3001,MATCH(G3405,Pubs!$A$2:$A$3001,0))&amp;"",""))</f>
        <v/>
      </c>
      <c r="N3405" s="27" t="n">
        <f aca="false">N(N3404)+IF(AND(A3405&lt;&gt;"",OR(Recherche!$C$4="",A3405=Recherche!$C$4),OR(Recherche!$C$5="",B3405&amp;""=Recherche!$C$5&amp;""),OR(Recherche!$C$6="",IFERROR(YEAR(L3405),0)=Recherche!$C$6),OR(Recherche!$C$7="",ISNUMBER(SEARCH(Recherche!$C$7,H3405))),OR(Recherche!$C$8="",J3405=Recherche!$C$8),OR(Recherche!$C$9="",I3405=Recherche!$C$9),OR(Recherche!$C$10="",G3405&amp;""=Recherche!$C$10&amp;""),OR(Recherche!$C$11="",E3405=Recherche!$C$11),OR(Recherche!$C$12="",ISNUMBER(SEARCH(Recherche!$C$12,M3405&amp;" "&amp;F3405)))),1,0)</f>
        <v>8</v>
      </c>
    </row>
    <row r="3406" customFormat="false" ht="15" hidden="false" customHeight="false" outlineLevel="0" collapsed="false">
      <c r="A3406" s="19"/>
      <c r="B3406" s="19"/>
      <c r="C3406" s="19"/>
      <c r="D3406" s="19"/>
      <c r="E3406" s="22"/>
      <c r="F3406" s="19"/>
      <c r="G3406" s="26" t="str">
        <f aca="false">IF(D3406="","",IFERROR(VALUE(LEFT(D3406,FIND(" |",D3406&amp;" |")-1)),"?"))</f>
        <v/>
      </c>
      <c r="H3406" s="27" t="str">
        <f aca="false">IF(G3406="","",IF(G3406="?","⚠ pub inconnue",IFERROR(INDEX(Pubs!$B$2:$B$3001,MATCH(G3406,Pubs!$A$2:$A$3001,0))&amp;"","⚠ pub inconnue")))</f>
        <v/>
      </c>
      <c r="I3406" s="27" t="str">
        <f aca="false">IF(OR(G3406="",G3406="?"),"",IFERROR(INDEX(Pubs!$C$2:$C$3001,MATCH(G3406,Pubs!$A$2:$A$3001,0))&amp;"",""))</f>
        <v/>
      </c>
      <c r="J3406" s="27" t="str">
        <f aca="false">IF(OR(G3406="",G3406="?"),"",IFERROR(INDEX(Pubs!$G$2:$G$3001,MATCH(G3406,Pubs!$A$2:$A$3001,0))&amp;"",""))</f>
        <v/>
      </c>
      <c r="K3406" s="28" t="str">
        <f aca="false">IF(OR(G3406="",G3406="?"),"",IFERROR(INDEX(Pubs!$E$2:$E$3001,MATCH(G3406,Pubs!$A$2:$A$3001,0)),""))</f>
        <v/>
      </c>
      <c r="L3406" s="29" t="str">
        <f aca="false">IF(A3406="","",IFERROR(1/(1/INDEX(Numéros!$C$2:$C$3001,MATCH(A3406&amp;"|"&amp;B3406,Numéros!$F$2:$F$3001,0))),""))</f>
        <v/>
      </c>
      <c r="M3406" s="27" t="str">
        <f aca="false">IF(OR(G3406="",G3406="?"),"",IFERROR(INDEX(Pubs!$D$2:$D$3001,MATCH(G3406,Pubs!$A$2:$A$3001,0))&amp;"",""))</f>
        <v/>
      </c>
      <c r="N3406" s="27" t="n">
        <f aca="false">N(N3405)+IF(AND(A3406&lt;&gt;"",OR(Recherche!$C$4="",A3406=Recherche!$C$4),OR(Recherche!$C$5="",B3406&amp;""=Recherche!$C$5&amp;""),OR(Recherche!$C$6="",IFERROR(YEAR(L3406),0)=Recherche!$C$6),OR(Recherche!$C$7="",ISNUMBER(SEARCH(Recherche!$C$7,H3406))),OR(Recherche!$C$8="",J3406=Recherche!$C$8),OR(Recherche!$C$9="",I3406=Recherche!$C$9),OR(Recherche!$C$10="",G3406&amp;""=Recherche!$C$10&amp;""),OR(Recherche!$C$11="",E3406=Recherche!$C$11),OR(Recherche!$C$12="",ISNUMBER(SEARCH(Recherche!$C$12,M3406&amp;" "&amp;F3406)))),1,0)</f>
        <v>8</v>
      </c>
    </row>
    <row r="3407" customFormat="false" ht="15" hidden="false" customHeight="false" outlineLevel="0" collapsed="false">
      <c r="A3407" s="19"/>
      <c r="B3407" s="19"/>
      <c r="C3407" s="19"/>
      <c r="D3407" s="19"/>
      <c r="E3407" s="22"/>
      <c r="F3407" s="19"/>
      <c r="G3407" s="26" t="str">
        <f aca="false">IF(D3407="","",IFERROR(VALUE(LEFT(D3407,FIND(" |",D3407&amp;" |")-1)),"?"))</f>
        <v/>
      </c>
      <c r="H3407" s="27" t="str">
        <f aca="false">IF(G3407="","",IF(G3407="?","⚠ pub inconnue",IFERROR(INDEX(Pubs!$B$2:$B$3001,MATCH(G3407,Pubs!$A$2:$A$3001,0))&amp;"","⚠ pub inconnue")))</f>
        <v/>
      </c>
      <c r="I3407" s="27" t="str">
        <f aca="false">IF(OR(G3407="",G3407="?"),"",IFERROR(INDEX(Pubs!$C$2:$C$3001,MATCH(G3407,Pubs!$A$2:$A$3001,0))&amp;"",""))</f>
        <v/>
      </c>
      <c r="J3407" s="27" t="str">
        <f aca="false">IF(OR(G3407="",G3407="?"),"",IFERROR(INDEX(Pubs!$G$2:$G$3001,MATCH(G3407,Pubs!$A$2:$A$3001,0))&amp;"",""))</f>
        <v/>
      </c>
      <c r="K3407" s="28" t="str">
        <f aca="false">IF(OR(G3407="",G3407="?"),"",IFERROR(INDEX(Pubs!$E$2:$E$3001,MATCH(G3407,Pubs!$A$2:$A$3001,0)),""))</f>
        <v/>
      </c>
      <c r="L3407" s="29" t="str">
        <f aca="false">IF(A3407="","",IFERROR(1/(1/INDEX(Numéros!$C$2:$C$3001,MATCH(A3407&amp;"|"&amp;B3407,Numéros!$F$2:$F$3001,0))),""))</f>
        <v/>
      </c>
      <c r="M3407" s="27" t="str">
        <f aca="false">IF(OR(G3407="",G3407="?"),"",IFERROR(INDEX(Pubs!$D$2:$D$3001,MATCH(G3407,Pubs!$A$2:$A$3001,0))&amp;"",""))</f>
        <v/>
      </c>
      <c r="N3407" s="27" t="n">
        <f aca="false">N(N3406)+IF(AND(A3407&lt;&gt;"",OR(Recherche!$C$4="",A3407=Recherche!$C$4),OR(Recherche!$C$5="",B3407&amp;""=Recherche!$C$5&amp;""),OR(Recherche!$C$6="",IFERROR(YEAR(L3407),0)=Recherche!$C$6),OR(Recherche!$C$7="",ISNUMBER(SEARCH(Recherche!$C$7,H3407))),OR(Recherche!$C$8="",J3407=Recherche!$C$8),OR(Recherche!$C$9="",I3407=Recherche!$C$9),OR(Recherche!$C$10="",G3407&amp;""=Recherche!$C$10&amp;""),OR(Recherche!$C$11="",E3407=Recherche!$C$11),OR(Recherche!$C$12="",ISNUMBER(SEARCH(Recherche!$C$12,M3407&amp;" "&amp;F3407)))),1,0)</f>
        <v>8</v>
      </c>
    </row>
    <row r="3408" customFormat="false" ht="15" hidden="false" customHeight="false" outlineLevel="0" collapsed="false">
      <c r="A3408" s="19"/>
      <c r="B3408" s="19"/>
      <c r="C3408" s="19"/>
      <c r="D3408" s="19"/>
      <c r="E3408" s="22"/>
      <c r="F3408" s="19"/>
      <c r="G3408" s="26" t="str">
        <f aca="false">IF(D3408="","",IFERROR(VALUE(LEFT(D3408,FIND(" |",D3408&amp;" |")-1)),"?"))</f>
        <v/>
      </c>
      <c r="H3408" s="27" t="str">
        <f aca="false">IF(G3408="","",IF(G3408="?","⚠ pub inconnue",IFERROR(INDEX(Pubs!$B$2:$B$3001,MATCH(G3408,Pubs!$A$2:$A$3001,0))&amp;"","⚠ pub inconnue")))</f>
        <v/>
      </c>
      <c r="I3408" s="27" t="str">
        <f aca="false">IF(OR(G3408="",G3408="?"),"",IFERROR(INDEX(Pubs!$C$2:$C$3001,MATCH(G3408,Pubs!$A$2:$A$3001,0))&amp;"",""))</f>
        <v/>
      </c>
      <c r="J3408" s="27" t="str">
        <f aca="false">IF(OR(G3408="",G3408="?"),"",IFERROR(INDEX(Pubs!$G$2:$G$3001,MATCH(G3408,Pubs!$A$2:$A$3001,0))&amp;"",""))</f>
        <v/>
      </c>
      <c r="K3408" s="28" t="str">
        <f aca="false">IF(OR(G3408="",G3408="?"),"",IFERROR(INDEX(Pubs!$E$2:$E$3001,MATCH(G3408,Pubs!$A$2:$A$3001,0)),""))</f>
        <v/>
      </c>
      <c r="L3408" s="29" t="str">
        <f aca="false">IF(A3408="","",IFERROR(1/(1/INDEX(Numéros!$C$2:$C$3001,MATCH(A3408&amp;"|"&amp;B3408,Numéros!$F$2:$F$3001,0))),""))</f>
        <v/>
      </c>
      <c r="M3408" s="27" t="str">
        <f aca="false">IF(OR(G3408="",G3408="?"),"",IFERROR(INDEX(Pubs!$D$2:$D$3001,MATCH(G3408,Pubs!$A$2:$A$3001,0))&amp;"",""))</f>
        <v/>
      </c>
      <c r="N3408" s="27" t="n">
        <f aca="false">N(N3407)+IF(AND(A3408&lt;&gt;"",OR(Recherche!$C$4="",A3408=Recherche!$C$4),OR(Recherche!$C$5="",B3408&amp;""=Recherche!$C$5&amp;""),OR(Recherche!$C$6="",IFERROR(YEAR(L3408),0)=Recherche!$C$6),OR(Recherche!$C$7="",ISNUMBER(SEARCH(Recherche!$C$7,H3408))),OR(Recherche!$C$8="",J3408=Recherche!$C$8),OR(Recherche!$C$9="",I3408=Recherche!$C$9),OR(Recherche!$C$10="",G3408&amp;""=Recherche!$C$10&amp;""),OR(Recherche!$C$11="",E3408=Recherche!$C$11),OR(Recherche!$C$12="",ISNUMBER(SEARCH(Recherche!$C$12,M3408&amp;" "&amp;F3408)))),1,0)</f>
        <v>8</v>
      </c>
    </row>
    <row r="3409" customFormat="false" ht="15" hidden="false" customHeight="false" outlineLevel="0" collapsed="false">
      <c r="A3409" s="19"/>
      <c r="B3409" s="19"/>
      <c r="C3409" s="19"/>
      <c r="D3409" s="19"/>
      <c r="E3409" s="22"/>
      <c r="F3409" s="19"/>
      <c r="G3409" s="26" t="str">
        <f aca="false">IF(D3409="","",IFERROR(VALUE(LEFT(D3409,FIND(" |",D3409&amp;" |")-1)),"?"))</f>
        <v/>
      </c>
      <c r="H3409" s="27" t="str">
        <f aca="false">IF(G3409="","",IF(G3409="?","⚠ pub inconnue",IFERROR(INDEX(Pubs!$B$2:$B$3001,MATCH(G3409,Pubs!$A$2:$A$3001,0))&amp;"","⚠ pub inconnue")))</f>
        <v/>
      </c>
      <c r="I3409" s="27" t="str">
        <f aca="false">IF(OR(G3409="",G3409="?"),"",IFERROR(INDEX(Pubs!$C$2:$C$3001,MATCH(G3409,Pubs!$A$2:$A$3001,0))&amp;"",""))</f>
        <v/>
      </c>
      <c r="J3409" s="27" t="str">
        <f aca="false">IF(OR(G3409="",G3409="?"),"",IFERROR(INDEX(Pubs!$G$2:$G$3001,MATCH(G3409,Pubs!$A$2:$A$3001,0))&amp;"",""))</f>
        <v/>
      </c>
      <c r="K3409" s="28" t="str">
        <f aca="false">IF(OR(G3409="",G3409="?"),"",IFERROR(INDEX(Pubs!$E$2:$E$3001,MATCH(G3409,Pubs!$A$2:$A$3001,0)),""))</f>
        <v/>
      </c>
      <c r="L3409" s="29" t="str">
        <f aca="false">IF(A3409="","",IFERROR(1/(1/INDEX(Numéros!$C$2:$C$3001,MATCH(A3409&amp;"|"&amp;B3409,Numéros!$F$2:$F$3001,0))),""))</f>
        <v/>
      </c>
      <c r="M3409" s="27" t="str">
        <f aca="false">IF(OR(G3409="",G3409="?"),"",IFERROR(INDEX(Pubs!$D$2:$D$3001,MATCH(G3409,Pubs!$A$2:$A$3001,0))&amp;"",""))</f>
        <v/>
      </c>
      <c r="N3409" s="27" t="n">
        <f aca="false">N(N3408)+IF(AND(A3409&lt;&gt;"",OR(Recherche!$C$4="",A3409=Recherche!$C$4),OR(Recherche!$C$5="",B3409&amp;""=Recherche!$C$5&amp;""),OR(Recherche!$C$6="",IFERROR(YEAR(L3409),0)=Recherche!$C$6),OR(Recherche!$C$7="",ISNUMBER(SEARCH(Recherche!$C$7,H3409))),OR(Recherche!$C$8="",J3409=Recherche!$C$8),OR(Recherche!$C$9="",I3409=Recherche!$C$9),OR(Recherche!$C$10="",G3409&amp;""=Recherche!$C$10&amp;""),OR(Recherche!$C$11="",E3409=Recherche!$C$11),OR(Recherche!$C$12="",ISNUMBER(SEARCH(Recherche!$C$12,M3409&amp;" "&amp;F3409)))),1,0)</f>
        <v>8</v>
      </c>
    </row>
    <row r="3410" customFormat="false" ht="15" hidden="false" customHeight="false" outlineLevel="0" collapsed="false">
      <c r="A3410" s="19"/>
      <c r="B3410" s="19"/>
      <c r="C3410" s="19"/>
      <c r="D3410" s="19"/>
      <c r="E3410" s="22"/>
      <c r="F3410" s="19"/>
      <c r="G3410" s="26" t="str">
        <f aca="false">IF(D3410="","",IFERROR(VALUE(LEFT(D3410,FIND(" |",D3410&amp;" |")-1)),"?"))</f>
        <v/>
      </c>
      <c r="H3410" s="27" t="str">
        <f aca="false">IF(G3410="","",IF(G3410="?","⚠ pub inconnue",IFERROR(INDEX(Pubs!$B$2:$B$3001,MATCH(G3410,Pubs!$A$2:$A$3001,0))&amp;"","⚠ pub inconnue")))</f>
        <v/>
      </c>
      <c r="I3410" s="27" t="str">
        <f aca="false">IF(OR(G3410="",G3410="?"),"",IFERROR(INDEX(Pubs!$C$2:$C$3001,MATCH(G3410,Pubs!$A$2:$A$3001,0))&amp;"",""))</f>
        <v/>
      </c>
      <c r="J3410" s="27" t="str">
        <f aca="false">IF(OR(G3410="",G3410="?"),"",IFERROR(INDEX(Pubs!$G$2:$G$3001,MATCH(G3410,Pubs!$A$2:$A$3001,0))&amp;"",""))</f>
        <v/>
      </c>
      <c r="K3410" s="28" t="str">
        <f aca="false">IF(OR(G3410="",G3410="?"),"",IFERROR(INDEX(Pubs!$E$2:$E$3001,MATCH(G3410,Pubs!$A$2:$A$3001,0)),""))</f>
        <v/>
      </c>
      <c r="L3410" s="29" t="str">
        <f aca="false">IF(A3410="","",IFERROR(1/(1/INDEX(Numéros!$C$2:$C$3001,MATCH(A3410&amp;"|"&amp;B3410,Numéros!$F$2:$F$3001,0))),""))</f>
        <v/>
      </c>
      <c r="M3410" s="27" t="str">
        <f aca="false">IF(OR(G3410="",G3410="?"),"",IFERROR(INDEX(Pubs!$D$2:$D$3001,MATCH(G3410,Pubs!$A$2:$A$3001,0))&amp;"",""))</f>
        <v/>
      </c>
      <c r="N3410" s="27" t="n">
        <f aca="false">N(N3409)+IF(AND(A3410&lt;&gt;"",OR(Recherche!$C$4="",A3410=Recherche!$C$4),OR(Recherche!$C$5="",B3410&amp;""=Recherche!$C$5&amp;""),OR(Recherche!$C$6="",IFERROR(YEAR(L3410),0)=Recherche!$C$6),OR(Recherche!$C$7="",ISNUMBER(SEARCH(Recherche!$C$7,H3410))),OR(Recherche!$C$8="",J3410=Recherche!$C$8),OR(Recherche!$C$9="",I3410=Recherche!$C$9),OR(Recherche!$C$10="",G3410&amp;""=Recherche!$C$10&amp;""),OR(Recherche!$C$11="",E3410=Recherche!$C$11),OR(Recherche!$C$12="",ISNUMBER(SEARCH(Recherche!$C$12,M3410&amp;" "&amp;F3410)))),1,0)</f>
        <v>8</v>
      </c>
    </row>
    <row r="3411" customFormat="false" ht="15" hidden="false" customHeight="false" outlineLevel="0" collapsed="false">
      <c r="A3411" s="19"/>
      <c r="B3411" s="19"/>
      <c r="C3411" s="19"/>
      <c r="D3411" s="19"/>
      <c r="E3411" s="22"/>
      <c r="F3411" s="19"/>
      <c r="G3411" s="26" t="str">
        <f aca="false">IF(D3411="","",IFERROR(VALUE(LEFT(D3411,FIND(" |",D3411&amp;" |")-1)),"?"))</f>
        <v/>
      </c>
      <c r="H3411" s="27" t="str">
        <f aca="false">IF(G3411="","",IF(G3411="?","⚠ pub inconnue",IFERROR(INDEX(Pubs!$B$2:$B$3001,MATCH(G3411,Pubs!$A$2:$A$3001,0))&amp;"","⚠ pub inconnue")))</f>
        <v/>
      </c>
      <c r="I3411" s="27" t="str">
        <f aca="false">IF(OR(G3411="",G3411="?"),"",IFERROR(INDEX(Pubs!$C$2:$C$3001,MATCH(G3411,Pubs!$A$2:$A$3001,0))&amp;"",""))</f>
        <v/>
      </c>
      <c r="J3411" s="27" t="str">
        <f aca="false">IF(OR(G3411="",G3411="?"),"",IFERROR(INDEX(Pubs!$G$2:$G$3001,MATCH(G3411,Pubs!$A$2:$A$3001,0))&amp;"",""))</f>
        <v/>
      </c>
      <c r="K3411" s="28" t="str">
        <f aca="false">IF(OR(G3411="",G3411="?"),"",IFERROR(INDEX(Pubs!$E$2:$E$3001,MATCH(G3411,Pubs!$A$2:$A$3001,0)),""))</f>
        <v/>
      </c>
      <c r="L3411" s="29" t="str">
        <f aca="false">IF(A3411="","",IFERROR(1/(1/INDEX(Numéros!$C$2:$C$3001,MATCH(A3411&amp;"|"&amp;B3411,Numéros!$F$2:$F$3001,0))),""))</f>
        <v/>
      </c>
      <c r="M3411" s="27" t="str">
        <f aca="false">IF(OR(G3411="",G3411="?"),"",IFERROR(INDEX(Pubs!$D$2:$D$3001,MATCH(G3411,Pubs!$A$2:$A$3001,0))&amp;"",""))</f>
        <v/>
      </c>
      <c r="N3411" s="27" t="n">
        <f aca="false">N(N3410)+IF(AND(A3411&lt;&gt;"",OR(Recherche!$C$4="",A3411=Recherche!$C$4),OR(Recherche!$C$5="",B3411&amp;""=Recherche!$C$5&amp;""),OR(Recherche!$C$6="",IFERROR(YEAR(L3411),0)=Recherche!$C$6),OR(Recherche!$C$7="",ISNUMBER(SEARCH(Recherche!$C$7,H3411))),OR(Recherche!$C$8="",J3411=Recherche!$C$8),OR(Recherche!$C$9="",I3411=Recherche!$C$9),OR(Recherche!$C$10="",G3411&amp;""=Recherche!$C$10&amp;""),OR(Recherche!$C$11="",E3411=Recherche!$C$11),OR(Recherche!$C$12="",ISNUMBER(SEARCH(Recherche!$C$12,M3411&amp;" "&amp;F3411)))),1,0)</f>
        <v>8</v>
      </c>
    </row>
    <row r="3412" customFormat="false" ht="15" hidden="false" customHeight="false" outlineLevel="0" collapsed="false">
      <c r="A3412" s="19"/>
      <c r="B3412" s="19"/>
      <c r="C3412" s="19"/>
      <c r="D3412" s="19"/>
      <c r="E3412" s="22"/>
      <c r="F3412" s="19"/>
      <c r="G3412" s="26" t="str">
        <f aca="false">IF(D3412="","",IFERROR(VALUE(LEFT(D3412,FIND(" |",D3412&amp;" |")-1)),"?"))</f>
        <v/>
      </c>
      <c r="H3412" s="27" t="str">
        <f aca="false">IF(G3412="","",IF(G3412="?","⚠ pub inconnue",IFERROR(INDEX(Pubs!$B$2:$B$3001,MATCH(G3412,Pubs!$A$2:$A$3001,0))&amp;"","⚠ pub inconnue")))</f>
        <v/>
      </c>
      <c r="I3412" s="27" t="str">
        <f aca="false">IF(OR(G3412="",G3412="?"),"",IFERROR(INDEX(Pubs!$C$2:$C$3001,MATCH(G3412,Pubs!$A$2:$A$3001,0))&amp;"",""))</f>
        <v/>
      </c>
      <c r="J3412" s="27" t="str">
        <f aca="false">IF(OR(G3412="",G3412="?"),"",IFERROR(INDEX(Pubs!$G$2:$G$3001,MATCH(G3412,Pubs!$A$2:$A$3001,0))&amp;"",""))</f>
        <v/>
      </c>
      <c r="K3412" s="28" t="str">
        <f aca="false">IF(OR(G3412="",G3412="?"),"",IFERROR(INDEX(Pubs!$E$2:$E$3001,MATCH(G3412,Pubs!$A$2:$A$3001,0)),""))</f>
        <v/>
      </c>
      <c r="L3412" s="29" t="str">
        <f aca="false">IF(A3412="","",IFERROR(1/(1/INDEX(Numéros!$C$2:$C$3001,MATCH(A3412&amp;"|"&amp;B3412,Numéros!$F$2:$F$3001,0))),""))</f>
        <v/>
      </c>
      <c r="M3412" s="27" t="str">
        <f aca="false">IF(OR(G3412="",G3412="?"),"",IFERROR(INDEX(Pubs!$D$2:$D$3001,MATCH(G3412,Pubs!$A$2:$A$3001,0))&amp;"",""))</f>
        <v/>
      </c>
      <c r="N3412" s="27" t="n">
        <f aca="false">N(N3411)+IF(AND(A3412&lt;&gt;"",OR(Recherche!$C$4="",A3412=Recherche!$C$4),OR(Recherche!$C$5="",B3412&amp;""=Recherche!$C$5&amp;""),OR(Recherche!$C$6="",IFERROR(YEAR(L3412),0)=Recherche!$C$6),OR(Recherche!$C$7="",ISNUMBER(SEARCH(Recherche!$C$7,H3412))),OR(Recherche!$C$8="",J3412=Recherche!$C$8),OR(Recherche!$C$9="",I3412=Recherche!$C$9),OR(Recherche!$C$10="",G3412&amp;""=Recherche!$C$10&amp;""),OR(Recherche!$C$11="",E3412=Recherche!$C$11),OR(Recherche!$C$12="",ISNUMBER(SEARCH(Recherche!$C$12,M3412&amp;" "&amp;F3412)))),1,0)</f>
        <v>8</v>
      </c>
    </row>
    <row r="3413" customFormat="false" ht="15" hidden="false" customHeight="false" outlineLevel="0" collapsed="false">
      <c r="A3413" s="19"/>
      <c r="B3413" s="19"/>
      <c r="C3413" s="19"/>
      <c r="D3413" s="19"/>
      <c r="E3413" s="22"/>
      <c r="F3413" s="19"/>
      <c r="G3413" s="26" t="str">
        <f aca="false">IF(D3413="","",IFERROR(VALUE(LEFT(D3413,FIND(" |",D3413&amp;" |")-1)),"?"))</f>
        <v/>
      </c>
      <c r="H3413" s="27" t="str">
        <f aca="false">IF(G3413="","",IF(G3413="?","⚠ pub inconnue",IFERROR(INDEX(Pubs!$B$2:$B$3001,MATCH(G3413,Pubs!$A$2:$A$3001,0))&amp;"","⚠ pub inconnue")))</f>
        <v/>
      </c>
      <c r="I3413" s="27" t="str">
        <f aca="false">IF(OR(G3413="",G3413="?"),"",IFERROR(INDEX(Pubs!$C$2:$C$3001,MATCH(G3413,Pubs!$A$2:$A$3001,0))&amp;"",""))</f>
        <v/>
      </c>
      <c r="J3413" s="27" t="str">
        <f aca="false">IF(OR(G3413="",G3413="?"),"",IFERROR(INDEX(Pubs!$G$2:$G$3001,MATCH(G3413,Pubs!$A$2:$A$3001,0))&amp;"",""))</f>
        <v/>
      </c>
      <c r="K3413" s="28" t="str">
        <f aca="false">IF(OR(G3413="",G3413="?"),"",IFERROR(INDEX(Pubs!$E$2:$E$3001,MATCH(G3413,Pubs!$A$2:$A$3001,0)),""))</f>
        <v/>
      </c>
      <c r="L3413" s="29" t="str">
        <f aca="false">IF(A3413="","",IFERROR(1/(1/INDEX(Numéros!$C$2:$C$3001,MATCH(A3413&amp;"|"&amp;B3413,Numéros!$F$2:$F$3001,0))),""))</f>
        <v/>
      </c>
      <c r="M3413" s="27" t="str">
        <f aca="false">IF(OR(G3413="",G3413="?"),"",IFERROR(INDEX(Pubs!$D$2:$D$3001,MATCH(G3413,Pubs!$A$2:$A$3001,0))&amp;"",""))</f>
        <v/>
      </c>
      <c r="N3413" s="27" t="n">
        <f aca="false">N(N3412)+IF(AND(A3413&lt;&gt;"",OR(Recherche!$C$4="",A3413=Recherche!$C$4),OR(Recherche!$C$5="",B3413&amp;""=Recherche!$C$5&amp;""),OR(Recherche!$C$6="",IFERROR(YEAR(L3413),0)=Recherche!$C$6),OR(Recherche!$C$7="",ISNUMBER(SEARCH(Recherche!$C$7,H3413))),OR(Recherche!$C$8="",J3413=Recherche!$C$8),OR(Recherche!$C$9="",I3413=Recherche!$C$9),OR(Recherche!$C$10="",G3413&amp;""=Recherche!$C$10&amp;""),OR(Recherche!$C$11="",E3413=Recherche!$C$11),OR(Recherche!$C$12="",ISNUMBER(SEARCH(Recherche!$C$12,M3413&amp;" "&amp;F3413)))),1,0)</f>
        <v>8</v>
      </c>
    </row>
    <row r="3414" customFormat="false" ht="15" hidden="false" customHeight="false" outlineLevel="0" collapsed="false">
      <c r="A3414" s="19"/>
      <c r="B3414" s="19"/>
      <c r="C3414" s="19"/>
      <c r="D3414" s="19"/>
      <c r="E3414" s="22"/>
      <c r="F3414" s="19"/>
      <c r="G3414" s="26" t="str">
        <f aca="false">IF(D3414="","",IFERROR(VALUE(LEFT(D3414,FIND(" |",D3414&amp;" |")-1)),"?"))</f>
        <v/>
      </c>
      <c r="H3414" s="27" t="str">
        <f aca="false">IF(G3414="","",IF(G3414="?","⚠ pub inconnue",IFERROR(INDEX(Pubs!$B$2:$B$3001,MATCH(G3414,Pubs!$A$2:$A$3001,0))&amp;"","⚠ pub inconnue")))</f>
        <v/>
      </c>
      <c r="I3414" s="27" t="str">
        <f aca="false">IF(OR(G3414="",G3414="?"),"",IFERROR(INDEX(Pubs!$C$2:$C$3001,MATCH(G3414,Pubs!$A$2:$A$3001,0))&amp;"",""))</f>
        <v/>
      </c>
      <c r="J3414" s="27" t="str">
        <f aca="false">IF(OR(G3414="",G3414="?"),"",IFERROR(INDEX(Pubs!$G$2:$G$3001,MATCH(G3414,Pubs!$A$2:$A$3001,0))&amp;"",""))</f>
        <v/>
      </c>
      <c r="K3414" s="28" t="str">
        <f aca="false">IF(OR(G3414="",G3414="?"),"",IFERROR(INDEX(Pubs!$E$2:$E$3001,MATCH(G3414,Pubs!$A$2:$A$3001,0)),""))</f>
        <v/>
      </c>
      <c r="L3414" s="29" t="str">
        <f aca="false">IF(A3414="","",IFERROR(1/(1/INDEX(Numéros!$C$2:$C$3001,MATCH(A3414&amp;"|"&amp;B3414,Numéros!$F$2:$F$3001,0))),""))</f>
        <v/>
      </c>
      <c r="M3414" s="27" t="str">
        <f aca="false">IF(OR(G3414="",G3414="?"),"",IFERROR(INDEX(Pubs!$D$2:$D$3001,MATCH(G3414,Pubs!$A$2:$A$3001,0))&amp;"",""))</f>
        <v/>
      </c>
      <c r="N3414" s="27" t="n">
        <f aca="false">N(N3413)+IF(AND(A3414&lt;&gt;"",OR(Recherche!$C$4="",A3414=Recherche!$C$4),OR(Recherche!$C$5="",B3414&amp;""=Recherche!$C$5&amp;""),OR(Recherche!$C$6="",IFERROR(YEAR(L3414),0)=Recherche!$C$6),OR(Recherche!$C$7="",ISNUMBER(SEARCH(Recherche!$C$7,H3414))),OR(Recherche!$C$8="",J3414=Recherche!$C$8),OR(Recherche!$C$9="",I3414=Recherche!$C$9),OR(Recherche!$C$10="",G3414&amp;""=Recherche!$C$10&amp;""),OR(Recherche!$C$11="",E3414=Recherche!$C$11),OR(Recherche!$C$12="",ISNUMBER(SEARCH(Recherche!$C$12,M3414&amp;" "&amp;F3414)))),1,0)</f>
        <v>8</v>
      </c>
    </row>
    <row r="3415" customFormat="false" ht="15" hidden="false" customHeight="false" outlineLevel="0" collapsed="false">
      <c r="A3415" s="19"/>
      <c r="B3415" s="19"/>
      <c r="C3415" s="19"/>
      <c r="D3415" s="19"/>
      <c r="E3415" s="22"/>
      <c r="F3415" s="19"/>
      <c r="G3415" s="26" t="str">
        <f aca="false">IF(D3415="","",IFERROR(VALUE(LEFT(D3415,FIND(" |",D3415&amp;" |")-1)),"?"))</f>
        <v/>
      </c>
      <c r="H3415" s="27" t="str">
        <f aca="false">IF(G3415="","",IF(G3415="?","⚠ pub inconnue",IFERROR(INDEX(Pubs!$B$2:$B$3001,MATCH(G3415,Pubs!$A$2:$A$3001,0))&amp;"","⚠ pub inconnue")))</f>
        <v/>
      </c>
      <c r="I3415" s="27" t="str">
        <f aca="false">IF(OR(G3415="",G3415="?"),"",IFERROR(INDEX(Pubs!$C$2:$C$3001,MATCH(G3415,Pubs!$A$2:$A$3001,0))&amp;"",""))</f>
        <v/>
      </c>
      <c r="J3415" s="27" t="str">
        <f aca="false">IF(OR(G3415="",G3415="?"),"",IFERROR(INDEX(Pubs!$G$2:$G$3001,MATCH(G3415,Pubs!$A$2:$A$3001,0))&amp;"",""))</f>
        <v/>
      </c>
      <c r="K3415" s="28" t="str">
        <f aca="false">IF(OR(G3415="",G3415="?"),"",IFERROR(INDEX(Pubs!$E$2:$E$3001,MATCH(G3415,Pubs!$A$2:$A$3001,0)),""))</f>
        <v/>
      </c>
      <c r="L3415" s="29" t="str">
        <f aca="false">IF(A3415="","",IFERROR(1/(1/INDEX(Numéros!$C$2:$C$3001,MATCH(A3415&amp;"|"&amp;B3415,Numéros!$F$2:$F$3001,0))),""))</f>
        <v/>
      </c>
      <c r="M3415" s="27" t="str">
        <f aca="false">IF(OR(G3415="",G3415="?"),"",IFERROR(INDEX(Pubs!$D$2:$D$3001,MATCH(G3415,Pubs!$A$2:$A$3001,0))&amp;"",""))</f>
        <v/>
      </c>
      <c r="N3415" s="27" t="n">
        <f aca="false">N(N3414)+IF(AND(A3415&lt;&gt;"",OR(Recherche!$C$4="",A3415=Recherche!$C$4),OR(Recherche!$C$5="",B3415&amp;""=Recherche!$C$5&amp;""),OR(Recherche!$C$6="",IFERROR(YEAR(L3415),0)=Recherche!$C$6),OR(Recherche!$C$7="",ISNUMBER(SEARCH(Recherche!$C$7,H3415))),OR(Recherche!$C$8="",J3415=Recherche!$C$8),OR(Recherche!$C$9="",I3415=Recherche!$C$9),OR(Recherche!$C$10="",G3415&amp;""=Recherche!$C$10&amp;""),OR(Recherche!$C$11="",E3415=Recherche!$C$11),OR(Recherche!$C$12="",ISNUMBER(SEARCH(Recherche!$C$12,M3415&amp;" "&amp;F3415)))),1,0)</f>
        <v>8</v>
      </c>
    </row>
    <row r="3416" customFormat="false" ht="15" hidden="false" customHeight="false" outlineLevel="0" collapsed="false">
      <c r="A3416" s="19"/>
      <c r="B3416" s="19"/>
      <c r="C3416" s="19"/>
      <c r="D3416" s="19"/>
      <c r="E3416" s="22"/>
      <c r="F3416" s="19"/>
      <c r="G3416" s="26" t="str">
        <f aca="false">IF(D3416="","",IFERROR(VALUE(LEFT(D3416,FIND(" |",D3416&amp;" |")-1)),"?"))</f>
        <v/>
      </c>
      <c r="H3416" s="27" t="str">
        <f aca="false">IF(G3416="","",IF(G3416="?","⚠ pub inconnue",IFERROR(INDEX(Pubs!$B$2:$B$3001,MATCH(G3416,Pubs!$A$2:$A$3001,0))&amp;"","⚠ pub inconnue")))</f>
        <v/>
      </c>
      <c r="I3416" s="27" t="str">
        <f aca="false">IF(OR(G3416="",G3416="?"),"",IFERROR(INDEX(Pubs!$C$2:$C$3001,MATCH(G3416,Pubs!$A$2:$A$3001,0))&amp;"",""))</f>
        <v/>
      </c>
      <c r="J3416" s="27" t="str">
        <f aca="false">IF(OR(G3416="",G3416="?"),"",IFERROR(INDEX(Pubs!$G$2:$G$3001,MATCH(G3416,Pubs!$A$2:$A$3001,0))&amp;"",""))</f>
        <v/>
      </c>
      <c r="K3416" s="28" t="str">
        <f aca="false">IF(OR(G3416="",G3416="?"),"",IFERROR(INDEX(Pubs!$E$2:$E$3001,MATCH(G3416,Pubs!$A$2:$A$3001,0)),""))</f>
        <v/>
      </c>
      <c r="L3416" s="29" t="str">
        <f aca="false">IF(A3416="","",IFERROR(1/(1/INDEX(Numéros!$C$2:$C$3001,MATCH(A3416&amp;"|"&amp;B3416,Numéros!$F$2:$F$3001,0))),""))</f>
        <v/>
      </c>
      <c r="M3416" s="27" t="str">
        <f aca="false">IF(OR(G3416="",G3416="?"),"",IFERROR(INDEX(Pubs!$D$2:$D$3001,MATCH(G3416,Pubs!$A$2:$A$3001,0))&amp;"",""))</f>
        <v/>
      </c>
      <c r="N3416" s="27" t="n">
        <f aca="false">N(N3415)+IF(AND(A3416&lt;&gt;"",OR(Recherche!$C$4="",A3416=Recherche!$C$4),OR(Recherche!$C$5="",B3416&amp;""=Recherche!$C$5&amp;""),OR(Recherche!$C$6="",IFERROR(YEAR(L3416),0)=Recherche!$C$6),OR(Recherche!$C$7="",ISNUMBER(SEARCH(Recherche!$C$7,H3416))),OR(Recherche!$C$8="",J3416=Recherche!$C$8),OR(Recherche!$C$9="",I3416=Recherche!$C$9),OR(Recherche!$C$10="",G3416&amp;""=Recherche!$C$10&amp;""),OR(Recherche!$C$11="",E3416=Recherche!$C$11),OR(Recherche!$C$12="",ISNUMBER(SEARCH(Recherche!$C$12,M3416&amp;" "&amp;F3416)))),1,0)</f>
        <v>8</v>
      </c>
    </row>
    <row r="3417" customFormat="false" ht="15" hidden="false" customHeight="false" outlineLevel="0" collapsed="false">
      <c r="A3417" s="19"/>
      <c r="B3417" s="19"/>
      <c r="C3417" s="19"/>
      <c r="D3417" s="19"/>
      <c r="E3417" s="22"/>
      <c r="F3417" s="19"/>
      <c r="G3417" s="26" t="str">
        <f aca="false">IF(D3417="","",IFERROR(VALUE(LEFT(D3417,FIND(" |",D3417&amp;" |")-1)),"?"))</f>
        <v/>
      </c>
      <c r="H3417" s="27" t="str">
        <f aca="false">IF(G3417="","",IF(G3417="?","⚠ pub inconnue",IFERROR(INDEX(Pubs!$B$2:$B$3001,MATCH(G3417,Pubs!$A$2:$A$3001,0))&amp;"","⚠ pub inconnue")))</f>
        <v/>
      </c>
      <c r="I3417" s="27" t="str">
        <f aca="false">IF(OR(G3417="",G3417="?"),"",IFERROR(INDEX(Pubs!$C$2:$C$3001,MATCH(G3417,Pubs!$A$2:$A$3001,0))&amp;"",""))</f>
        <v/>
      </c>
      <c r="J3417" s="27" t="str">
        <f aca="false">IF(OR(G3417="",G3417="?"),"",IFERROR(INDEX(Pubs!$G$2:$G$3001,MATCH(G3417,Pubs!$A$2:$A$3001,0))&amp;"",""))</f>
        <v/>
      </c>
      <c r="K3417" s="28" t="str">
        <f aca="false">IF(OR(G3417="",G3417="?"),"",IFERROR(INDEX(Pubs!$E$2:$E$3001,MATCH(G3417,Pubs!$A$2:$A$3001,0)),""))</f>
        <v/>
      </c>
      <c r="L3417" s="29" t="str">
        <f aca="false">IF(A3417="","",IFERROR(1/(1/INDEX(Numéros!$C$2:$C$3001,MATCH(A3417&amp;"|"&amp;B3417,Numéros!$F$2:$F$3001,0))),""))</f>
        <v/>
      </c>
      <c r="M3417" s="27" t="str">
        <f aca="false">IF(OR(G3417="",G3417="?"),"",IFERROR(INDEX(Pubs!$D$2:$D$3001,MATCH(G3417,Pubs!$A$2:$A$3001,0))&amp;"",""))</f>
        <v/>
      </c>
      <c r="N3417" s="27" t="n">
        <f aca="false">N(N3416)+IF(AND(A3417&lt;&gt;"",OR(Recherche!$C$4="",A3417=Recherche!$C$4),OR(Recherche!$C$5="",B3417&amp;""=Recherche!$C$5&amp;""),OR(Recherche!$C$6="",IFERROR(YEAR(L3417),0)=Recherche!$C$6),OR(Recherche!$C$7="",ISNUMBER(SEARCH(Recherche!$C$7,H3417))),OR(Recherche!$C$8="",J3417=Recherche!$C$8),OR(Recherche!$C$9="",I3417=Recherche!$C$9),OR(Recherche!$C$10="",G3417&amp;""=Recherche!$C$10&amp;""),OR(Recherche!$C$11="",E3417=Recherche!$C$11),OR(Recherche!$C$12="",ISNUMBER(SEARCH(Recherche!$C$12,M3417&amp;" "&amp;F3417)))),1,0)</f>
        <v>8</v>
      </c>
    </row>
    <row r="3418" customFormat="false" ht="15" hidden="false" customHeight="false" outlineLevel="0" collapsed="false">
      <c r="A3418" s="19"/>
      <c r="B3418" s="19"/>
      <c r="C3418" s="19"/>
      <c r="D3418" s="19"/>
      <c r="E3418" s="22"/>
      <c r="F3418" s="19"/>
      <c r="G3418" s="26" t="str">
        <f aca="false">IF(D3418="","",IFERROR(VALUE(LEFT(D3418,FIND(" |",D3418&amp;" |")-1)),"?"))</f>
        <v/>
      </c>
      <c r="H3418" s="27" t="str">
        <f aca="false">IF(G3418="","",IF(G3418="?","⚠ pub inconnue",IFERROR(INDEX(Pubs!$B$2:$B$3001,MATCH(G3418,Pubs!$A$2:$A$3001,0))&amp;"","⚠ pub inconnue")))</f>
        <v/>
      </c>
      <c r="I3418" s="27" t="str">
        <f aca="false">IF(OR(G3418="",G3418="?"),"",IFERROR(INDEX(Pubs!$C$2:$C$3001,MATCH(G3418,Pubs!$A$2:$A$3001,0))&amp;"",""))</f>
        <v/>
      </c>
      <c r="J3418" s="27" t="str">
        <f aca="false">IF(OR(G3418="",G3418="?"),"",IFERROR(INDEX(Pubs!$G$2:$G$3001,MATCH(G3418,Pubs!$A$2:$A$3001,0))&amp;"",""))</f>
        <v/>
      </c>
      <c r="K3418" s="28" t="str">
        <f aca="false">IF(OR(G3418="",G3418="?"),"",IFERROR(INDEX(Pubs!$E$2:$E$3001,MATCH(G3418,Pubs!$A$2:$A$3001,0)),""))</f>
        <v/>
      </c>
      <c r="L3418" s="29" t="str">
        <f aca="false">IF(A3418="","",IFERROR(1/(1/INDEX(Numéros!$C$2:$C$3001,MATCH(A3418&amp;"|"&amp;B3418,Numéros!$F$2:$F$3001,0))),""))</f>
        <v/>
      </c>
      <c r="M3418" s="27" t="str">
        <f aca="false">IF(OR(G3418="",G3418="?"),"",IFERROR(INDEX(Pubs!$D$2:$D$3001,MATCH(G3418,Pubs!$A$2:$A$3001,0))&amp;"",""))</f>
        <v/>
      </c>
      <c r="N3418" s="27" t="n">
        <f aca="false">N(N3417)+IF(AND(A3418&lt;&gt;"",OR(Recherche!$C$4="",A3418=Recherche!$C$4),OR(Recherche!$C$5="",B3418&amp;""=Recherche!$C$5&amp;""),OR(Recherche!$C$6="",IFERROR(YEAR(L3418),0)=Recherche!$C$6),OR(Recherche!$C$7="",ISNUMBER(SEARCH(Recherche!$C$7,H3418))),OR(Recherche!$C$8="",J3418=Recherche!$C$8),OR(Recherche!$C$9="",I3418=Recherche!$C$9),OR(Recherche!$C$10="",G3418&amp;""=Recherche!$C$10&amp;""),OR(Recherche!$C$11="",E3418=Recherche!$C$11),OR(Recherche!$C$12="",ISNUMBER(SEARCH(Recherche!$C$12,M3418&amp;" "&amp;F3418)))),1,0)</f>
        <v>8</v>
      </c>
    </row>
    <row r="3419" customFormat="false" ht="15" hidden="false" customHeight="false" outlineLevel="0" collapsed="false">
      <c r="A3419" s="19"/>
      <c r="B3419" s="19"/>
      <c r="C3419" s="19"/>
      <c r="D3419" s="19"/>
      <c r="E3419" s="22"/>
      <c r="F3419" s="19"/>
      <c r="G3419" s="26" t="str">
        <f aca="false">IF(D3419="","",IFERROR(VALUE(LEFT(D3419,FIND(" |",D3419&amp;" |")-1)),"?"))</f>
        <v/>
      </c>
      <c r="H3419" s="27" t="str">
        <f aca="false">IF(G3419="","",IF(G3419="?","⚠ pub inconnue",IFERROR(INDEX(Pubs!$B$2:$B$3001,MATCH(G3419,Pubs!$A$2:$A$3001,0))&amp;"","⚠ pub inconnue")))</f>
        <v/>
      </c>
      <c r="I3419" s="27" t="str">
        <f aca="false">IF(OR(G3419="",G3419="?"),"",IFERROR(INDEX(Pubs!$C$2:$C$3001,MATCH(G3419,Pubs!$A$2:$A$3001,0))&amp;"",""))</f>
        <v/>
      </c>
      <c r="J3419" s="27" t="str">
        <f aca="false">IF(OR(G3419="",G3419="?"),"",IFERROR(INDEX(Pubs!$G$2:$G$3001,MATCH(G3419,Pubs!$A$2:$A$3001,0))&amp;"",""))</f>
        <v/>
      </c>
      <c r="K3419" s="28" t="str">
        <f aca="false">IF(OR(G3419="",G3419="?"),"",IFERROR(INDEX(Pubs!$E$2:$E$3001,MATCH(G3419,Pubs!$A$2:$A$3001,0)),""))</f>
        <v/>
      </c>
      <c r="L3419" s="29" t="str">
        <f aca="false">IF(A3419="","",IFERROR(1/(1/INDEX(Numéros!$C$2:$C$3001,MATCH(A3419&amp;"|"&amp;B3419,Numéros!$F$2:$F$3001,0))),""))</f>
        <v/>
      </c>
      <c r="M3419" s="27" t="str">
        <f aca="false">IF(OR(G3419="",G3419="?"),"",IFERROR(INDEX(Pubs!$D$2:$D$3001,MATCH(G3419,Pubs!$A$2:$A$3001,0))&amp;"",""))</f>
        <v/>
      </c>
      <c r="N3419" s="27" t="n">
        <f aca="false">N(N3418)+IF(AND(A3419&lt;&gt;"",OR(Recherche!$C$4="",A3419=Recherche!$C$4),OR(Recherche!$C$5="",B3419&amp;""=Recherche!$C$5&amp;""),OR(Recherche!$C$6="",IFERROR(YEAR(L3419),0)=Recherche!$C$6),OR(Recherche!$C$7="",ISNUMBER(SEARCH(Recherche!$C$7,H3419))),OR(Recherche!$C$8="",J3419=Recherche!$C$8),OR(Recherche!$C$9="",I3419=Recherche!$C$9),OR(Recherche!$C$10="",G3419&amp;""=Recherche!$C$10&amp;""),OR(Recherche!$C$11="",E3419=Recherche!$C$11),OR(Recherche!$C$12="",ISNUMBER(SEARCH(Recherche!$C$12,M3419&amp;" "&amp;F3419)))),1,0)</f>
        <v>8</v>
      </c>
    </row>
    <row r="3420" customFormat="false" ht="15" hidden="false" customHeight="false" outlineLevel="0" collapsed="false">
      <c r="A3420" s="19"/>
      <c r="B3420" s="19"/>
      <c r="C3420" s="19"/>
      <c r="D3420" s="19"/>
      <c r="E3420" s="22"/>
      <c r="F3420" s="19"/>
      <c r="G3420" s="26" t="str">
        <f aca="false">IF(D3420="","",IFERROR(VALUE(LEFT(D3420,FIND(" |",D3420&amp;" |")-1)),"?"))</f>
        <v/>
      </c>
      <c r="H3420" s="27" t="str">
        <f aca="false">IF(G3420="","",IF(G3420="?","⚠ pub inconnue",IFERROR(INDEX(Pubs!$B$2:$B$3001,MATCH(G3420,Pubs!$A$2:$A$3001,0))&amp;"","⚠ pub inconnue")))</f>
        <v/>
      </c>
      <c r="I3420" s="27" t="str">
        <f aca="false">IF(OR(G3420="",G3420="?"),"",IFERROR(INDEX(Pubs!$C$2:$C$3001,MATCH(G3420,Pubs!$A$2:$A$3001,0))&amp;"",""))</f>
        <v/>
      </c>
      <c r="J3420" s="27" t="str">
        <f aca="false">IF(OR(G3420="",G3420="?"),"",IFERROR(INDEX(Pubs!$G$2:$G$3001,MATCH(G3420,Pubs!$A$2:$A$3001,0))&amp;"",""))</f>
        <v/>
      </c>
      <c r="K3420" s="28" t="str">
        <f aca="false">IF(OR(G3420="",G3420="?"),"",IFERROR(INDEX(Pubs!$E$2:$E$3001,MATCH(G3420,Pubs!$A$2:$A$3001,0)),""))</f>
        <v/>
      </c>
      <c r="L3420" s="29" t="str">
        <f aca="false">IF(A3420="","",IFERROR(1/(1/INDEX(Numéros!$C$2:$C$3001,MATCH(A3420&amp;"|"&amp;B3420,Numéros!$F$2:$F$3001,0))),""))</f>
        <v/>
      </c>
      <c r="M3420" s="27" t="str">
        <f aca="false">IF(OR(G3420="",G3420="?"),"",IFERROR(INDEX(Pubs!$D$2:$D$3001,MATCH(G3420,Pubs!$A$2:$A$3001,0))&amp;"",""))</f>
        <v/>
      </c>
      <c r="N3420" s="27" t="n">
        <f aca="false">N(N3419)+IF(AND(A3420&lt;&gt;"",OR(Recherche!$C$4="",A3420=Recherche!$C$4),OR(Recherche!$C$5="",B3420&amp;""=Recherche!$C$5&amp;""),OR(Recherche!$C$6="",IFERROR(YEAR(L3420),0)=Recherche!$C$6),OR(Recherche!$C$7="",ISNUMBER(SEARCH(Recherche!$C$7,H3420))),OR(Recherche!$C$8="",J3420=Recherche!$C$8),OR(Recherche!$C$9="",I3420=Recherche!$C$9),OR(Recherche!$C$10="",G3420&amp;""=Recherche!$C$10&amp;""),OR(Recherche!$C$11="",E3420=Recherche!$C$11),OR(Recherche!$C$12="",ISNUMBER(SEARCH(Recherche!$C$12,M3420&amp;" "&amp;F3420)))),1,0)</f>
        <v>8</v>
      </c>
    </row>
    <row r="3421" customFormat="false" ht="15" hidden="false" customHeight="false" outlineLevel="0" collapsed="false">
      <c r="A3421" s="19"/>
      <c r="B3421" s="19"/>
      <c r="C3421" s="19"/>
      <c r="D3421" s="19"/>
      <c r="E3421" s="22"/>
      <c r="F3421" s="19"/>
      <c r="G3421" s="26" t="str">
        <f aca="false">IF(D3421="","",IFERROR(VALUE(LEFT(D3421,FIND(" |",D3421&amp;" |")-1)),"?"))</f>
        <v/>
      </c>
      <c r="H3421" s="27" t="str">
        <f aca="false">IF(G3421="","",IF(G3421="?","⚠ pub inconnue",IFERROR(INDEX(Pubs!$B$2:$B$3001,MATCH(G3421,Pubs!$A$2:$A$3001,0))&amp;"","⚠ pub inconnue")))</f>
        <v/>
      </c>
      <c r="I3421" s="27" t="str">
        <f aca="false">IF(OR(G3421="",G3421="?"),"",IFERROR(INDEX(Pubs!$C$2:$C$3001,MATCH(G3421,Pubs!$A$2:$A$3001,0))&amp;"",""))</f>
        <v/>
      </c>
      <c r="J3421" s="27" t="str">
        <f aca="false">IF(OR(G3421="",G3421="?"),"",IFERROR(INDEX(Pubs!$G$2:$G$3001,MATCH(G3421,Pubs!$A$2:$A$3001,0))&amp;"",""))</f>
        <v/>
      </c>
      <c r="K3421" s="28" t="str">
        <f aca="false">IF(OR(G3421="",G3421="?"),"",IFERROR(INDEX(Pubs!$E$2:$E$3001,MATCH(G3421,Pubs!$A$2:$A$3001,0)),""))</f>
        <v/>
      </c>
      <c r="L3421" s="29" t="str">
        <f aca="false">IF(A3421="","",IFERROR(1/(1/INDEX(Numéros!$C$2:$C$3001,MATCH(A3421&amp;"|"&amp;B3421,Numéros!$F$2:$F$3001,0))),""))</f>
        <v/>
      </c>
      <c r="M3421" s="27" t="str">
        <f aca="false">IF(OR(G3421="",G3421="?"),"",IFERROR(INDEX(Pubs!$D$2:$D$3001,MATCH(G3421,Pubs!$A$2:$A$3001,0))&amp;"",""))</f>
        <v/>
      </c>
      <c r="N3421" s="27" t="n">
        <f aca="false">N(N3420)+IF(AND(A3421&lt;&gt;"",OR(Recherche!$C$4="",A3421=Recherche!$C$4),OR(Recherche!$C$5="",B3421&amp;""=Recherche!$C$5&amp;""),OR(Recherche!$C$6="",IFERROR(YEAR(L3421),0)=Recherche!$C$6),OR(Recherche!$C$7="",ISNUMBER(SEARCH(Recherche!$C$7,H3421))),OR(Recherche!$C$8="",J3421=Recherche!$C$8),OR(Recherche!$C$9="",I3421=Recherche!$C$9),OR(Recherche!$C$10="",G3421&amp;""=Recherche!$C$10&amp;""),OR(Recherche!$C$11="",E3421=Recherche!$C$11),OR(Recherche!$C$12="",ISNUMBER(SEARCH(Recherche!$C$12,M3421&amp;" "&amp;F3421)))),1,0)</f>
        <v>8</v>
      </c>
    </row>
    <row r="3422" customFormat="false" ht="15" hidden="false" customHeight="false" outlineLevel="0" collapsed="false">
      <c r="A3422" s="19"/>
      <c r="B3422" s="19"/>
      <c r="C3422" s="19"/>
      <c r="D3422" s="19"/>
      <c r="E3422" s="22"/>
      <c r="F3422" s="19"/>
      <c r="G3422" s="26" t="str">
        <f aca="false">IF(D3422="","",IFERROR(VALUE(LEFT(D3422,FIND(" |",D3422&amp;" |")-1)),"?"))</f>
        <v/>
      </c>
      <c r="H3422" s="27" t="str">
        <f aca="false">IF(G3422="","",IF(G3422="?","⚠ pub inconnue",IFERROR(INDEX(Pubs!$B$2:$B$3001,MATCH(G3422,Pubs!$A$2:$A$3001,0))&amp;"","⚠ pub inconnue")))</f>
        <v/>
      </c>
      <c r="I3422" s="27" t="str">
        <f aca="false">IF(OR(G3422="",G3422="?"),"",IFERROR(INDEX(Pubs!$C$2:$C$3001,MATCH(G3422,Pubs!$A$2:$A$3001,0))&amp;"",""))</f>
        <v/>
      </c>
      <c r="J3422" s="27" t="str">
        <f aca="false">IF(OR(G3422="",G3422="?"),"",IFERROR(INDEX(Pubs!$G$2:$G$3001,MATCH(G3422,Pubs!$A$2:$A$3001,0))&amp;"",""))</f>
        <v/>
      </c>
      <c r="K3422" s="28" t="str">
        <f aca="false">IF(OR(G3422="",G3422="?"),"",IFERROR(INDEX(Pubs!$E$2:$E$3001,MATCH(G3422,Pubs!$A$2:$A$3001,0)),""))</f>
        <v/>
      </c>
      <c r="L3422" s="29" t="str">
        <f aca="false">IF(A3422="","",IFERROR(1/(1/INDEX(Numéros!$C$2:$C$3001,MATCH(A3422&amp;"|"&amp;B3422,Numéros!$F$2:$F$3001,0))),""))</f>
        <v/>
      </c>
      <c r="M3422" s="27" t="str">
        <f aca="false">IF(OR(G3422="",G3422="?"),"",IFERROR(INDEX(Pubs!$D$2:$D$3001,MATCH(G3422,Pubs!$A$2:$A$3001,0))&amp;"",""))</f>
        <v/>
      </c>
      <c r="N3422" s="27" t="n">
        <f aca="false">N(N3421)+IF(AND(A3422&lt;&gt;"",OR(Recherche!$C$4="",A3422=Recherche!$C$4),OR(Recherche!$C$5="",B3422&amp;""=Recherche!$C$5&amp;""),OR(Recherche!$C$6="",IFERROR(YEAR(L3422),0)=Recherche!$C$6),OR(Recherche!$C$7="",ISNUMBER(SEARCH(Recherche!$C$7,H3422))),OR(Recherche!$C$8="",J3422=Recherche!$C$8),OR(Recherche!$C$9="",I3422=Recherche!$C$9),OR(Recherche!$C$10="",G3422&amp;""=Recherche!$C$10&amp;""),OR(Recherche!$C$11="",E3422=Recherche!$C$11),OR(Recherche!$C$12="",ISNUMBER(SEARCH(Recherche!$C$12,M3422&amp;" "&amp;F3422)))),1,0)</f>
        <v>8</v>
      </c>
    </row>
    <row r="3423" customFormat="false" ht="15" hidden="false" customHeight="false" outlineLevel="0" collapsed="false">
      <c r="A3423" s="19"/>
      <c r="B3423" s="19"/>
      <c r="C3423" s="19"/>
      <c r="D3423" s="19"/>
      <c r="E3423" s="22"/>
      <c r="F3423" s="19"/>
      <c r="G3423" s="26" t="str">
        <f aca="false">IF(D3423="","",IFERROR(VALUE(LEFT(D3423,FIND(" |",D3423&amp;" |")-1)),"?"))</f>
        <v/>
      </c>
      <c r="H3423" s="27" t="str">
        <f aca="false">IF(G3423="","",IF(G3423="?","⚠ pub inconnue",IFERROR(INDEX(Pubs!$B$2:$B$3001,MATCH(G3423,Pubs!$A$2:$A$3001,0))&amp;"","⚠ pub inconnue")))</f>
        <v/>
      </c>
      <c r="I3423" s="27" t="str">
        <f aca="false">IF(OR(G3423="",G3423="?"),"",IFERROR(INDEX(Pubs!$C$2:$C$3001,MATCH(G3423,Pubs!$A$2:$A$3001,0))&amp;"",""))</f>
        <v/>
      </c>
      <c r="J3423" s="27" t="str">
        <f aca="false">IF(OR(G3423="",G3423="?"),"",IFERROR(INDEX(Pubs!$G$2:$G$3001,MATCH(G3423,Pubs!$A$2:$A$3001,0))&amp;"",""))</f>
        <v/>
      </c>
      <c r="K3423" s="28" t="str">
        <f aca="false">IF(OR(G3423="",G3423="?"),"",IFERROR(INDEX(Pubs!$E$2:$E$3001,MATCH(G3423,Pubs!$A$2:$A$3001,0)),""))</f>
        <v/>
      </c>
      <c r="L3423" s="29" t="str">
        <f aca="false">IF(A3423="","",IFERROR(1/(1/INDEX(Numéros!$C$2:$C$3001,MATCH(A3423&amp;"|"&amp;B3423,Numéros!$F$2:$F$3001,0))),""))</f>
        <v/>
      </c>
      <c r="M3423" s="27" t="str">
        <f aca="false">IF(OR(G3423="",G3423="?"),"",IFERROR(INDEX(Pubs!$D$2:$D$3001,MATCH(G3423,Pubs!$A$2:$A$3001,0))&amp;"",""))</f>
        <v/>
      </c>
      <c r="N3423" s="27" t="n">
        <f aca="false">N(N3422)+IF(AND(A3423&lt;&gt;"",OR(Recherche!$C$4="",A3423=Recherche!$C$4),OR(Recherche!$C$5="",B3423&amp;""=Recherche!$C$5&amp;""),OR(Recherche!$C$6="",IFERROR(YEAR(L3423),0)=Recherche!$C$6),OR(Recherche!$C$7="",ISNUMBER(SEARCH(Recherche!$C$7,H3423))),OR(Recherche!$C$8="",J3423=Recherche!$C$8),OR(Recherche!$C$9="",I3423=Recherche!$C$9),OR(Recherche!$C$10="",G3423&amp;""=Recherche!$C$10&amp;""),OR(Recherche!$C$11="",E3423=Recherche!$C$11),OR(Recherche!$C$12="",ISNUMBER(SEARCH(Recherche!$C$12,M3423&amp;" "&amp;F3423)))),1,0)</f>
        <v>8</v>
      </c>
    </row>
    <row r="3424" customFormat="false" ht="15" hidden="false" customHeight="false" outlineLevel="0" collapsed="false">
      <c r="A3424" s="19"/>
      <c r="B3424" s="19"/>
      <c r="C3424" s="19"/>
      <c r="D3424" s="19"/>
      <c r="E3424" s="22"/>
      <c r="F3424" s="19"/>
      <c r="G3424" s="26" t="str">
        <f aca="false">IF(D3424="","",IFERROR(VALUE(LEFT(D3424,FIND(" |",D3424&amp;" |")-1)),"?"))</f>
        <v/>
      </c>
      <c r="H3424" s="27" t="str">
        <f aca="false">IF(G3424="","",IF(G3424="?","⚠ pub inconnue",IFERROR(INDEX(Pubs!$B$2:$B$3001,MATCH(G3424,Pubs!$A$2:$A$3001,0))&amp;"","⚠ pub inconnue")))</f>
        <v/>
      </c>
      <c r="I3424" s="27" t="str">
        <f aca="false">IF(OR(G3424="",G3424="?"),"",IFERROR(INDEX(Pubs!$C$2:$C$3001,MATCH(G3424,Pubs!$A$2:$A$3001,0))&amp;"",""))</f>
        <v/>
      </c>
      <c r="J3424" s="27" t="str">
        <f aca="false">IF(OR(G3424="",G3424="?"),"",IFERROR(INDEX(Pubs!$G$2:$G$3001,MATCH(G3424,Pubs!$A$2:$A$3001,0))&amp;"",""))</f>
        <v/>
      </c>
      <c r="K3424" s="28" t="str">
        <f aca="false">IF(OR(G3424="",G3424="?"),"",IFERROR(INDEX(Pubs!$E$2:$E$3001,MATCH(G3424,Pubs!$A$2:$A$3001,0)),""))</f>
        <v/>
      </c>
      <c r="L3424" s="29" t="str">
        <f aca="false">IF(A3424="","",IFERROR(1/(1/INDEX(Numéros!$C$2:$C$3001,MATCH(A3424&amp;"|"&amp;B3424,Numéros!$F$2:$F$3001,0))),""))</f>
        <v/>
      </c>
      <c r="M3424" s="27" t="str">
        <f aca="false">IF(OR(G3424="",G3424="?"),"",IFERROR(INDEX(Pubs!$D$2:$D$3001,MATCH(G3424,Pubs!$A$2:$A$3001,0))&amp;"",""))</f>
        <v/>
      </c>
      <c r="N3424" s="27" t="n">
        <f aca="false">N(N3423)+IF(AND(A3424&lt;&gt;"",OR(Recherche!$C$4="",A3424=Recherche!$C$4),OR(Recherche!$C$5="",B3424&amp;""=Recherche!$C$5&amp;""),OR(Recherche!$C$6="",IFERROR(YEAR(L3424),0)=Recherche!$C$6),OR(Recherche!$C$7="",ISNUMBER(SEARCH(Recherche!$C$7,H3424))),OR(Recherche!$C$8="",J3424=Recherche!$C$8),OR(Recherche!$C$9="",I3424=Recherche!$C$9),OR(Recherche!$C$10="",G3424&amp;""=Recherche!$C$10&amp;""),OR(Recherche!$C$11="",E3424=Recherche!$C$11),OR(Recherche!$C$12="",ISNUMBER(SEARCH(Recherche!$C$12,M3424&amp;" "&amp;F3424)))),1,0)</f>
        <v>8</v>
      </c>
    </row>
    <row r="3425" customFormat="false" ht="15" hidden="false" customHeight="false" outlineLevel="0" collapsed="false">
      <c r="A3425" s="19"/>
      <c r="B3425" s="19"/>
      <c r="C3425" s="19"/>
      <c r="D3425" s="19"/>
      <c r="E3425" s="22"/>
      <c r="F3425" s="19"/>
      <c r="G3425" s="26" t="str">
        <f aca="false">IF(D3425="","",IFERROR(VALUE(LEFT(D3425,FIND(" |",D3425&amp;" |")-1)),"?"))</f>
        <v/>
      </c>
      <c r="H3425" s="27" t="str">
        <f aca="false">IF(G3425="","",IF(G3425="?","⚠ pub inconnue",IFERROR(INDEX(Pubs!$B$2:$B$3001,MATCH(G3425,Pubs!$A$2:$A$3001,0))&amp;"","⚠ pub inconnue")))</f>
        <v/>
      </c>
      <c r="I3425" s="27" t="str">
        <f aca="false">IF(OR(G3425="",G3425="?"),"",IFERROR(INDEX(Pubs!$C$2:$C$3001,MATCH(G3425,Pubs!$A$2:$A$3001,0))&amp;"",""))</f>
        <v/>
      </c>
      <c r="J3425" s="27" t="str">
        <f aca="false">IF(OR(G3425="",G3425="?"),"",IFERROR(INDEX(Pubs!$G$2:$G$3001,MATCH(G3425,Pubs!$A$2:$A$3001,0))&amp;"",""))</f>
        <v/>
      </c>
      <c r="K3425" s="28" t="str">
        <f aca="false">IF(OR(G3425="",G3425="?"),"",IFERROR(INDEX(Pubs!$E$2:$E$3001,MATCH(G3425,Pubs!$A$2:$A$3001,0)),""))</f>
        <v/>
      </c>
      <c r="L3425" s="29" t="str">
        <f aca="false">IF(A3425="","",IFERROR(1/(1/INDEX(Numéros!$C$2:$C$3001,MATCH(A3425&amp;"|"&amp;B3425,Numéros!$F$2:$F$3001,0))),""))</f>
        <v/>
      </c>
      <c r="M3425" s="27" t="str">
        <f aca="false">IF(OR(G3425="",G3425="?"),"",IFERROR(INDEX(Pubs!$D$2:$D$3001,MATCH(G3425,Pubs!$A$2:$A$3001,0))&amp;"",""))</f>
        <v/>
      </c>
      <c r="N3425" s="27" t="n">
        <f aca="false">N(N3424)+IF(AND(A3425&lt;&gt;"",OR(Recherche!$C$4="",A3425=Recherche!$C$4),OR(Recherche!$C$5="",B3425&amp;""=Recherche!$C$5&amp;""),OR(Recherche!$C$6="",IFERROR(YEAR(L3425),0)=Recherche!$C$6),OR(Recherche!$C$7="",ISNUMBER(SEARCH(Recherche!$C$7,H3425))),OR(Recherche!$C$8="",J3425=Recherche!$C$8),OR(Recherche!$C$9="",I3425=Recherche!$C$9),OR(Recherche!$C$10="",G3425&amp;""=Recherche!$C$10&amp;""),OR(Recherche!$C$11="",E3425=Recherche!$C$11),OR(Recherche!$C$12="",ISNUMBER(SEARCH(Recherche!$C$12,M3425&amp;" "&amp;F3425)))),1,0)</f>
        <v>8</v>
      </c>
    </row>
    <row r="3426" customFormat="false" ht="15" hidden="false" customHeight="false" outlineLevel="0" collapsed="false">
      <c r="A3426" s="19"/>
      <c r="B3426" s="19"/>
      <c r="C3426" s="19"/>
      <c r="D3426" s="19"/>
      <c r="E3426" s="22"/>
      <c r="F3426" s="19"/>
      <c r="G3426" s="26" t="str">
        <f aca="false">IF(D3426="","",IFERROR(VALUE(LEFT(D3426,FIND(" |",D3426&amp;" |")-1)),"?"))</f>
        <v/>
      </c>
      <c r="H3426" s="27" t="str">
        <f aca="false">IF(G3426="","",IF(G3426="?","⚠ pub inconnue",IFERROR(INDEX(Pubs!$B$2:$B$3001,MATCH(G3426,Pubs!$A$2:$A$3001,0))&amp;"","⚠ pub inconnue")))</f>
        <v/>
      </c>
      <c r="I3426" s="27" t="str">
        <f aca="false">IF(OR(G3426="",G3426="?"),"",IFERROR(INDEX(Pubs!$C$2:$C$3001,MATCH(G3426,Pubs!$A$2:$A$3001,0))&amp;"",""))</f>
        <v/>
      </c>
      <c r="J3426" s="27" t="str">
        <f aca="false">IF(OR(G3426="",G3426="?"),"",IFERROR(INDEX(Pubs!$G$2:$G$3001,MATCH(G3426,Pubs!$A$2:$A$3001,0))&amp;"",""))</f>
        <v/>
      </c>
      <c r="K3426" s="28" t="str">
        <f aca="false">IF(OR(G3426="",G3426="?"),"",IFERROR(INDEX(Pubs!$E$2:$E$3001,MATCH(G3426,Pubs!$A$2:$A$3001,0)),""))</f>
        <v/>
      </c>
      <c r="L3426" s="29" t="str">
        <f aca="false">IF(A3426="","",IFERROR(1/(1/INDEX(Numéros!$C$2:$C$3001,MATCH(A3426&amp;"|"&amp;B3426,Numéros!$F$2:$F$3001,0))),""))</f>
        <v/>
      </c>
      <c r="M3426" s="27" t="str">
        <f aca="false">IF(OR(G3426="",G3426="?"),"",IFERROR(INDEX(Pubs!$D$2:$D$3001,MATCH(G3426,Pubs!$A$2:$A$3001,0))&amp;"",""))</f>
        <v/>
      </c>
      <c r="N3426" s="27" t="n">
        <f aca="false">N(N3425)+IF(AND(A3426&lt;&gt;"",OR(Recherche!$C$4="",A3426=Recherche!$C$4),OR(Recherche!$C$5="",B3426&amp;""=Recherche!$C$5&amp;""),OR(Recherche!$C$6="",IFERROR(YEAR(L3426),0)=Recherche!$C$6),OR(Recherche!$C$7="",ISNUMBER(SEARCH(Recherche!$C$7,H3426))),OR(Recherche!$C$8="",J3426=Recherche!$C$8),OR(Recherche!$C$9="",I3426=Recherche!$C$9),OR(Recherche!$C$10="",G3426&amp;""=Recherche!$C$10&amp;""),OR(Recherche!$C$11="",E3426=Recherche!$C$11),OR(Recherche!$C$12="",ISNUMBER(SEARCH(Recherche!$C$12,M3426&amp;" "&amp;F3426)))),1,0)</f>
        <v>8</v>
      </c>
    </row>
    <row r="3427" customFormat="false" ht="15" hidden="false" customHeight="false" outlineLevel="0" collapsed="false">
      <c r="A3427" s="19"/>
      <c r="B3427" s="19"/>
      <c r="C3427" s="19"/>
      <c r="D3427" s="19"/>
      <c r="E3427" s="22"/>
      <c r="F3427" s="19"/>
      <c r="G3427" s="26" t="str">
        <f aca="false">IF(D3427="","",IFERROR(VALUE(LEFT(D3427,FIND(" |",D3427&amp;" |")-1)),"?"))</f>
        <v/>
      </c>
      <c r="H3427" s="27" t="str">
        <f aca="false">IF(G3427="","",IF(G3427="?","⚠ pub inconnue",IFERROR(INDEX(Pubs!$B$2:$B$3001,MATCH(G3427,Pubs!$A$2:$A$3001,0))&amp;"","⚠ pub inconnue")))</f>
        <v/>
      </c>
      <c r="I3427" s="27" t="str">
        <f aca="false">IF(OR(G3427="",G3427="?"),"",IFERROR(INDEX(Pubs!$C$2:$C$3001,MATCH(G3427,Pubs!$A$2:$A$3001,0))&amp;"",""))</f>
        <v/>
      </c>
      <c r="J3427" s="27" t="str">
        <f aca="false">IF(OR(G3427="",G3427="?"),"",IFERROR(INDEX(Pubs!$G$2:$G$3001,MATCH(G3427,Pubs!$A$2:$A$3001,0))&amp;"",""))</f>
        <v/>
      </c>
      <c r="K3427" s="28" t="str">
        <f aca="false">IF(OR(G3427="",G3427="?"),"",IFERROR(INDEX(Pubs!$E$2:$E$3001,MATCH(G3427,Pubs!$A$2:$A$3001,0)),""))</f>
        <v/>
      </c>
      <c r="L3427" s="29" t="str">
        <f aca="false">IF(A3427="","",IFERROR(1/(1/INDEX(Numéros!$C$2:$C$3001,MATCH(A3427&amp;"|"&amp;B3427,Numéros!$F$2:$F$3001,0))),""))</f>
        <v/>
      </c>
      <c r="M3427" s="27" t="str">
        <f aca="false">IF(OR(G3427="",G3427="?"),"",IFERROR(INDEX(Pubs!$D$2:$D$3001,MATCH(G3427,Pubs!$A$2:$A$3001,0))&amp;"",""))</f>
        <v/>
      </c>
      <c r="N3427" s="27" t="n">
        <f aca="false">N(N3426)+IF(AND(A3427&lt;&gt;"",OR(Recherche!$C$4="",A3427=Recherche!$C$4),OR(Recherche!$C$5="",B3427&amp;""=Recherche!$C$5&amp;""),OR(Recherche!$C$6="",IFERROR(YEAR(L3427),0)=Recherche!$C$6),OR(Recherche!$C$7="",ISNUMBER(SEARCH(Recherche!$C$7,H3427))),OR(Recherche!$C$8="",J3427=Recherche!$C$8),OR(Recherche!$C$9="",I3427=Recherche!$C$9),OR(Recherche!$C$10="",G3427&amp;""=Recherche!$C$10&amp;""),OR(Recherche!$C$11="",E3427=Recherche!$C$11),OR(Recherche!$C$12="",ISNUMBER(SEARCH(Recherche!$C$12,M3427&amp;" "&amp;F3427)))),1,0)</f>
        <v>8</v>
      </c>
    </row>
    <row r="3428" customFormat="false" ht="15" hidden="false" customHeight="false" outlineLevel="0" collapsed="false">
      <c r="A3428" s="19"/>
      <c r="B3428" s="19"/>
      <c r="C3428" s="19"/>
      <c r="D3428" s="19"/>
      <c r="E3428" s="22"/>
      <c r="F3428" s="19"/>
      <c r="G3428" s="26" t="str">
        <f aca="false">IF(D3428="","",IFERROR(VALUE(LEFT(D3428,FIND(" |",D3428&amp;" |")-1)),"?"))</f>
        <v/>
      </c>
      <c r="H3428" s="27" t="str">
        <f aca="false">IF(G3428="","",IF(G3428="?","⚠ pub inconnue",IFERROR(INDEX(Pubs!$B$2:$B$3001,MATCH(G3428,Pubs!$A$2:$A$3001,0))&amp;"","⚠ pub inconnue")))</f>
        <v/>
      </c>
      <c r="I3428" s="27" t="str">
        <f aca="false">IF(OR(G3428="",G3428="?"),"",IFERROR(INDEX(Pubs!$C$2:$C$3001,MATCH(G3428,Pubs!$A$2:$A$3001,0))&amp;"",""))</f>
        <v/>
      </c>
      <c r="J3428" s="27" t="str">
        <f aca="false">IF(OR(G3428="",G3428="?"),"",IFERROR(INDEX(Pubs!$G$2:$G$3001,MATCH(G3428,Pubs!$A$2:$A$3001,0))&amp;"",""))</f>
        <v/>
      </c>
      <c r="K3428" s="28" t="str">
        <f aca="false">IF(OR(G3428="",G3428="?"),"",IFERROR(INDEX(Pubs!$E$2:$E$3001,MATCH(G3428,Pubs!$A$2:$A$3001,0)),""))</f>
        <v/>
      </c>
      <c r="L3428" s="29" t="str">
        <f aca="false">IF(A3428="","",IFERROR(1/(1/INDEX(Numéros!$C$2:$C$3001,MATCH(A3428&amp;"|"&amp;B3428,Numéros!$F$2:$F$3001,0))),""))</f>
        <v/>
      </c>
      <c r="M3428" s="27" t="str">
        <f aca="false">IF(OR(G3428="",G3428="?"),"",IFERROR(INDEX(Pubs!$D$2:$D$3001,MATCH(G3428,Pubs!$A$2:$A$3001,0))&amp;"",""))</f>
        <v/>
      </c>
      <c r="N3428" s="27" t="n">
        <f aca="false">N(N3427)+IF(AND(A3428&lt;&gt;"",OR(Recherche!$C$4="",A3428=Recherche!$C$4),OR(Recherche!$C$5="",B3428&amp;""=Recherche!$C$5&amp;""),OR(Recherche!$C$6="",IFERROR(YEAR(L3428),0)=Recherche!$C$6),OR(Recherche!$C$7="",ISNUMBER(SEARCH(Recherche!$C$7,H3428))),OR(Recherche!$C$8="",J3428=Recherche!$C$8),OR(Recherche!$C$9="",I3428=Recherche!$C$9),OR(Recherche!$C$10="",G3428&amp;""=Recherche!$C$10&amp;""),OR(Recherche!$C$11="",E3428=Recherche!$C$11),OR(Recherche!$C$12="",ISNUMBER(SEARCH(Recherche!$C$12,M3428&amp;" "&amp;F3428)))),1,0)</f>
        <v>8</v>
      </c>
    </row>
    <row r="3429" customFormat="false" ht="15" hidden="false" customHeight="false" outlineLevel="0" collapsed="false">
      <c r="A3429" s="19"/>
      <c r="B3429" s="19"/>
      <c r="C3429" s="19"/>
      <c r="D3429" s="19"/>
      <c r="E3429" s="22"/>
      <c r="F3429" s="19"/>
      <c r="G3429" s="26" t="str">
        <f aca="false">IF(D3429="","",IFERROR(VALUE(LEFT(D3429,FIND(" |",D3429&amp;" |")-1)),"?"))</f>
        <v/>
      </c>
      <c r="H3429" s="27" t="str">
        <f aca="false">IF(G3429="","",IF(G3429="?","⚠ pub inconnue",IFERROR(INDEX(Pubs!$B$2:$B$3001,MATCH(G3429,Pubs!$A$2:$A$3001,0))&amp;"","⚠ pub inconnue")))</f>
        <v/>
      </c>
      <c r="I3429" s="27" t="str">
        <f aca="false">IF(OR(G3429="",G3429="?"),"",IFERROR(INDEX(Pubs!$C$2:$C$3001,MATCH(G3429,Pubs!$A$2:$A$3001,0))&amp;"",""))</f>
        <v/>
      </c>
      <c r="J3429" s="27" t="str">
        <f aca="false">IF(OR(G3429="",G3429="?"),"",IFERROR(INDEX(Pubs!$G$2:$G$3001,MATCH(G3429,Pubs!$A$2:$A$3001,0))&amp;"",""))</f>
        <v/>
      </c>
      <c r="K3429" s="28" t="str">
        <f aca="false">IF(OR(G3429="",G3429="?"),"",IFERROR(INDEX(Pubs!$E$2:$E$3001,MATCH(G3429,Pubs!$A$2:$A$3001,0)),""))</f>
        <v/>
      </c>
      <c r="L3429" s="29" t="str">
        <f aca="false">IF(A3429="","",IFERROR(1/(1/INDEX(Numéros!$C$2:$C$3001,MATCH(A3429&amp;"|"&amp;B3429,Numéros!$F$2:$F$3001,0))),""))</f>
        <v/>
      </c>
      <c r="M3429" s="27" t="str">
        <f aca="false">IF(OR(G3429="",G3429="?"),"",IFERROR(INDEX(Pubs!$D$2:$D$3001,MATCH(G3429,Pubs!$A$2:$A$3001,0))&amp;"",""))</f>
        <v/>
      </c>
      <c r="N3429" s="27" t="n">
        <f aca="false">N(N3428)+IF(AND(A3429&lt;&gt;"",OR(Recherche!$C$4="",A3429=Recherche!$C$4),OR(Recherche!$C$5="",B3429&amp;""=Recherche!$C$5&amp;""),OR(Recherche!$C$6="",IFERROR(YEAR(L3429),0)=Recherche!$C$6),OR(Recherche!$C$7="",ISNUMBER(SEARCH(Recherche!$C$7,H3429))),OR(Recherche!$C$8="",J3429=Recherche!$C$8),OR(Recherche!$C$9="",I3429=Recherche!$C$9),OR(Recherche!$C$10="",G3429&amp;""=Recherche!$C$10&amp;""),OR(Recherche!$C$11="",E3429=Recherche!$C$11),OR(Recherche!$C$12="",ISNUMBER(SEARCH(Recherche!$C$12,M3429&amp;" "&amp;F3429)))),1,0)</f>
        <v>8</v>
      </c>
    </row>
    <row r="3430" customFormat="false" ht="15" hidden="false" customHeight="false" outlineLevel="0" collapsed="false">
      <c r="A3430" s="19"/>
      <c r="B3430" s="19"/>
      <c r="C3430" s="19"/>
      <c r="D3430" s="19"/>
      <c r="E3430" s="22"/>
      <c r="F3430" s="19"/>
      <c r="G3430" s="26" t="str">
        <f aca="false">IF(D3430="","",IFERROR(VALUE(LEFT(D3430,FIND(" |",D3430&amp;" |")-1)),"?"))</f>
        <v/>
      </c>
      <c r="H3430" s="27" t="str">
        <f aca="false">IF(G3430="","",IF(G3430="?","⚠ pub inconnue",IFERROR(INDEX(Pubs!$B$2:$B$3001,MATCH(G3430,Pubs!$A$2:$A$3001,0))&amp;"","⚠ pub inconnue")))</f>
        <v/>
      </c>
      <c r="I3430" s="27" t="str">
        <f aca="false">IF(OR(G3430="",G3430="?"),"",IFERROR(INDEX(Pubs!$C$2:$C$3001,MATCH(G3430,Pubs!$A$2:$A$3001,0))&amp;"",""))</f>
        <v/>
      </c>
      <c r="J3430" s="27" t="str">
        <f aca="false">IF(OR(G3430="",G3430="?"),"",IFERROR(INDEX(Pubs!$G$2:$G$3001,MATCH(G3430,Pubs!$A$2:$A$3001,0))&amp;"",""))</f>
        <v/>
      </c>
      <c r="K3430" s="28" t="str">
        <f aca="false">IF(OR(G3430="",G3430="?"),"",IFERROR(INDEX(Pubs!$E$2:$E$3001,MATCH(G3430,Pubs!$A$2:$A$3001,0)),""))</f>
        <v/>
      </c>
      <c r="L3430" s="29" t="str">
        <f aca="false">IF(A3430="","",IFERROR(1/(1/INDEX(Numéros!$C$2:$C$3001,MATCH(A3430&amp;"|"&amp;B3430,Numéros!$F$2:$F$3001,0))),""))</f>
        <v/>
      </c>
      <c r="M3430" s="27" t="str">
        <f aca="false">IF(OR(G3430="",G3430="?"),"",IFERROR(INDEX(Pubs!$D$2:$D$3001,MATCH(G3430,Pubs!$A$2:$A$3001,0))&amp;"",""))</f>
        <v/>
      </c>
      <c r="N3430" s="27" t="n">
        <f aca="false">N(N3429)+IF(AND(A3430&lt;&gt;"",OR(Recherche!$C$4="",A3430=Recherche!$C$4),OR(Recherche!$C$5="",B3430&amp;""=Recherche!$C$5&amp;""),OR(Recherche!$C$6="",IFERROR(YEAR(L3430),0)=Recherche!$C$6),OR(Recherche!$C$7="",ISNUMBER(SEARCH(Recherche!$C$7,H3430))),OR(Recherche!$C$8="",J3430=Recherche!$C$8),OR(Recherche!$C$9="",I3430=Recherche!$C$9),OR(Recherche!$C$10="",G3430&amp;""=Recherche!$C$10&amp;""),OR(Recherche!$C$11="",E3430=Recherche!$C$11),OR(Recherche!$C$12="",ISNUMBER(SEARCH(Recherche!$C$12,M3430&amp;" "&amp;F3430)))),1,0)</f>
        <v>8</v>
      </c>
    </row>
    <row r="3431" customFormat="false" ht="15" hidden="false" customHeight="false" outlineLevel="0" collapsed="false">
      <c r="A3431" s="19"/>
      <c r="B3431" s="19"/>
      <c r="C3431" s="19"/>
      <c r="D3431" s="19"/>
      <c r="E3431" s="22"/>
      <c r="F3431" s="19"/>
      <c r="G3431" s="26" t="str">
        <f aca="false">IF(D3431="","",IFERROR(VALUE(LEFT(D3431,FIND(" |",D3431&amp;" |")-1)),"?"))</f>
        <v/>
      </c>
      <c r="H3431" s="27" t="str">
        <f aca="false">IF(G3431="","",IF(G3431="?","⚠ pub inconnue",IFERROR(INDEX(Pubs!$B$2:$B$3001,MATCH(G3431,Pubs!$A$2:$A$3001,0))&amp;"","⚠ pub inconnue")))</f>
        <v/>
      </c>
      <c r="I3431" s="27" t="str">
        <f aca="false">IF(OR(G3431="",G3431="?"),"",IFERROR(INDEX(Pubs!$C$2:$C$3001,MATCH(G3431,Pubs!$A$2:$A$3001,0))&amp;"",""))</f>
        <v/>
      </c>
      <c r="J3431" s="27" t="str">
        <f aca="false">IF(OR(G3431="",G3431="?"),"",IFERROR(INDEX(Pubs!$G$2:$G$3001,MATCH(G3431,Pubs!$A$2:$A$3001,0))&amp;"",""))</f>
        <v/>
      </c>
      <c r="K3431" s="28" t="str">
        <f aca="false">IF(OR(G3431="",G3431="?"),"",IFERROR(INDEX(Pubs!$E$2:$E$3001,MATCH(G3431,Pubs!$A$2:$A$3001,0)),""))</f>
        <v/>
      </c>
      <c r="L3431" s="29" t="str">
        <f aca="false">IF(A3431="","",IFERROR(1/(1/INDEX(Numéros!$C$2:$C$3001,MATCH(A3431&amp;"|"&amp;B3431,Numéros!$F$2:$F$3001,0))),""))</f>
        <v/>
      </c>
      <c r="M3431" s="27" t="str">
        <f aca="false">IF(OR(G3431="",G3431="?"),"",IFERROR(INDEX(Pubs!$D$2:$D$3001,MATCH(G3431,Pubs!$A$2:$A$3001,0))&amp;"",""))</f>
        <v/>
      </c>
      <c r="N3431" s="27" t="n">
        <f aca="false">N(N3430)+IF(AND(A3431&lt;&gt;"",OR(Recherche!$C$4="",A3431=Recherche!$C$4),OR(Recherche!$C$5="",B3431&amp;""=Recherche!$C$5&amp;""),OR(Recherche!$C$6="",IFERROR(YEAR(L3431),0)=Recherche!$C$6),OR(Recherche!$C$7="",ISNUMBER(SEARCH(Recherche!$C$7,H3431))),OR(Recherche!$C$8="",J3431=Recherche!$C$8),OR(Recherche!$C$9="",I3431=Recherche!$C$9),OR(Recherche!$C$10="",G3431&amp;""=Recherche!$C$10&amp;""),OR(Recherche!$C$11="",E3431=Recherche!$C$11),OR(Recherche!$C$12="",ISNUMBER(SEARCH(Recherche!$C$12,M3431&amp;" "&amp;F3431)))),1,0)</f>
        <v>8</v>
      </c>
    </row>
    <row r="3432" customFormat="false" ht="15" hidden="false" customHeight="false" outlineLevel="0" collapsed="false">
      <c r="A3432" s="19"/>
      <c r="B3432" s="19"/>
      <c r="C3432" s="19"/>
      <c r="D3432" s="19"/>
      <c r="E3432" s="22"/>
      <c r="F3432" s="19"/>
      <c r="G3432" s="26" t="str">
        <f aca="false">IF(D3432="","",IFERROR(VALUE(LEFT(D3432,FIND(" |",D3432&amp;" |")-1)),"?"))</f>
        <v/>
      </c>
      <c r="H3432" s="27" t="str">
        <f aca="false">IF(G3432="","",IF(G3432="?","⚠ pub inconnue",IFERROR(INDEX(Pubs!$B$2:$B$3001,MATCH(G3432,Pubs!$A$2:$A$3001,0))&amp;"","⚠ pub inconnue")))</f>
        <v/>
      </c>
      <c r="I3432" s="27" t="str">
        <f aca="false">IF(OR(G3432="",G3432="?"),"",IFERROR(INDEX(Pubs!$C$2:$C$3001,MATCH(G3432,Pubs!$A$2:$A$3001,0))&amp;"",""))</f>
        <v/>
      </c>
      <c r="J3432" s="27" t="str">
        <f aca="false">IF(OR(G3432="",G3432="?"),"",IFERROR(INDEX(Pubs!$G$2:$G$3001,MATCH(G3432,Pubs!$A$2:$A$3001,0))&amp;"",""))</f>
        <v/>
      </c>
      <c r="K3432" s="28" t="str">
        <f aca="false">IF(OR(G3432="",G3432="?"),"",IFERROR(INDEX(Pubs!$E$2:$E$3001,MATCH(G3432,Pubs!$A$2:$A$3001,0)),""))</f>
        <v/>
      </c>
      <c r="L3432" s="29" t="str">
        <f aca="false">IF(A3432="","",IFERROR(1/(1/INDEX(Numéros!$C$2:$C$3001,MATCH(A3432&amp;"|"&amp;B3432,Numéros!$F$2:$F$3001,0))),""))</f>
        <v/>
      </c>
      <c r="M3432" s="27" t="str">
        <f aca="false">IF(OR(G3432="",G3432="?"),"",IFERROR(INDEX(Pubs!$D$2:$D$3001,MATCH(G3432,Pubs!$A$2:$A$3001,0))&amp;"",""))</f>
        <v/>
      </c>
      <c r="N3432" s="27" t="n">
        <f aca="false">N(N3431)+IF(AND(A3432&lt;&gt;"",OR(Recherche!$C$4="",A3432=Recherche!$C$4),OR(Recherche!$C$5="",B3432&amp;""=Recherche!$C$5&amp;""),OR(Recherche!$C$6="",IFERROR(YEAR(L3432),0)=Recherche!$C$6),OR(Recherche!$C$7="",ISNUMBER(SEARCH(Recherche!$C$7,H3432))),OR(Recherche!$C$8="",J3432=Recherche!$C$8),OR(Recherche!$C$9="",I3432=Recherche!$C$9),OR(Recherche!$C$10="",G3432&amp;""=Recherche!$C$10&amp;""),OR(Recherche!$C$11="",E3432=Recherche!$C$11),OR(Recherche!$C$12="",ISNUMBER(SEARCH(Recherche!$C$12,M3432&amp;" "&amp;F3432)))),1,0)</f>
        <v>8</v>
      </c>
    </row>
    <row r="3433" customFormat="false" ht="15" hidden="false" customHeight="false" outlineLevel="0" collapsed="false">
      <c r="A3433" s="19"/>
      <c r="B3433" s="19"/>
      <c r="C3433" s="19"/>
      <c r="D3433" s="19"/>
      <c r="E3433" s="22"/>
      <c r="F3433" s="19"/>
      <c r="G3433" s="26" t="str">
        <f aca="false">IF(D3433="","",IFERROR(VALUE(LEFT(D3433,FIND(" |",D3433&amp;" |")-1)),"?"))</f>
        <v/>
      </c>
      <c r="H3433" s="27" t="str">
        <f aca="false">IF(G3433="","",IF(G3433="?","⚠ pub inconnue",IFERROR(INDEX(Pubs!$B$2:$B$3001,MATCH(G3433,Pubs!$A$2:$A$3001,0))&amp;"","⚠ pub inconnue")))</f>
        <v/>
      </c>
      <c r="I3433" s="27" t="str">
        <f aca="false">IF(OR(G3433="",G3433="?"),"",IFERROR(INDEX(Pubs!$C$2:$C$3001,MATCH(G3433,Pubs!$A$2:$A$3001,0))&amp;"",""))</f>
        <v/>
      </c>
      <c r="J3433" s="27" t="str">
        <f aca="false">IF(OR(G3433="",G3433="?"),"",IFERROR(INDEX(Pubs!$G$2:$G$3001,MATCH(G3433,Pubs!$A$2:$A$3001,0))&amp;"",""))</f>
        <v/>
      </c>
      <c r="K3433" s="28" t="str">
        <f aca="false">IF(OR(G3433="",G3433="?"),"",IFERROR(INDEX(Pubs!$E$2:$E$3001,MATCH(G3433,Pubs!$A$2:$A$3001,0)),""))</f>
        <v/>
      </c>
      <c r="L3433" s="29" t="str">
        <f aca="false">IF(A3433="","",IFERROR(1/(1/INDEX(Numéros!$C$2:$C$3001,MATCH(A3433&amp;"|"&amp;B3433,Numéros!$F$2:$F$3001,0))),""))</f>
        <v/>
      </c>
      <c r="M3433" s="27" t="str">
        <f aca="false">IF(OR(G3433="",G3433="?"),"",IFERROR(INDEX(Pubs!$D$2:$D$3001,MATCH(G3433,Pubs!$A$2:$A$3001,0))&amp;"",""))</f>
        <v/>
      </c>
      <c r="N3433" s="27" t="n">
        <f aca="false">N(N3432)+IF(AND(A3433&lt;&gt;"",OR(Recherche!$C$4="",A3433=Recherche!$C$4),OR(Recherche!$C$5="",B3433&amp;""=Recherche!$C$5&amp;""),OR(Recherche!$C$6="",IFERROR(YEAR(L3433),0)=Recherche!$C$6),OR(Recherche!$C$7="",ISNUMBER(SEARCH(Recherche!$C$7,H3433))),OR(Recherche!$C$8="",J3433=Recherche!$C$8),OR(Recherche!$C$9="",I3433=Recherche!$C$9),OR(Recherche!$C$10="",G3433&amp;""=Recherche!$C$10&amp;""),OR(Recherche!$C$11="",E3433=Recherche!$C$11),OR(Recherche!$C$12="",ISNUMBER(SEARCH(Recherche!$C$12,M3433&amp;" "&amp;F3433)))),1,0)</f>
        <v>8</v>
      </c>
    </row>
    <row r="3434" customFormat="false" ht="15" hidden="false" customHeight="false" outlineLevel="0" collapsed="false">
      <c r="A3434" s="19"/>
      <c r="B3434" s="19"/>
      <c r="C3434" s="19"/>
      <c r="D3434" s="19"/>
      <c r="E3434" s="22"/>
      <c r="F3434" s="19"/>
      <c r="G3434" s="26" t="str">
        <f aca="false">IF(D3434="","",IFERROR(VALUE(LEFT(D3434,FIND(" |",D3434&amp;" |")-1)),"?"))</f>
        <v/>
      </c>
      <c r="H3434" s="27" t="str">
        <f aca="false">IF(G3434="","",IF(G3434="?","⚠ pub inconnue",IFERROR(INDEX(Pubs!$B$2:$B$3001,MATCH(G3434,Pubs!$A$2:$A$3001,0))&amp;"","⚠ pub inconnue")))</f>
        <v/>
      </c>
      <c r="I3434" s="27" t="str">
        <f aca="false">IF(OR(G3434="",G3434="?"),"",IFERROR(INDEX(Pubs!$C$2:$C$3001,MATCH(G3434,Pubs!$A$2:$A$3001,0))&amp;"",""))</f>
        <v/>
      </c>
      <c r="J3434" s="27" t="str">
        <f aca="false">IF(OR(G3434="",G3434="?"),"",IFERROR(INDEX(Pubs!$G$2:$G$3001,MATCH(G3434,Pubs!$A$2:$A$3001,0))&amp;"",""))</f>
        <v/>
      </c>
      <c r="K3434" s="28" t="str">
        <f aca="false">IF(OR(G3434="",G3434="?"),"",IFERROR(INDEX(Pubs!$E$2:$E$3001,MATCH(G3434,Pubs!$A$2:$A$3001,0)),""))</f>
        <v/>
      </c>
      <c r="L3434" s="29" t="str">
        <f aca="false">IF(A3434="","",IFERROR(1/(1/INDEX(Numéros!$C$2:$C$3001,MATCH(A3434&amp;"|"&amp;B3434,Numéros!$F$2:$F$3001,0))),""))</f>
        <v/>
      </c>
      <c r="M3434" s="27" t="str">
        <f aca="false">IF(OR(G3434="",G3434="?"),"",IFERROR(INDEX(Pubs!$D$2:$D$3001,MATCH(G3434,Pubs!$A$2:$A$3001,0))&amp;"",""))</f>
        <v/>
      </c>
      <c r="N3434" s="27" t="n">
        <f aca="false">N(N3433)+IF(AND(A3434&lt;&gt;"",OR(Recherche!$C$4="",A3434=Recherche!$C$4),OR(Recherche!$C$5="",B3434&amp;""=Recherche!$C$5&amp;""),OR(Recherche!$C$6="",IFERROR(YEAR(L3434),0)=Recherche!$C$6),OR(Recherche!$C$7="",ISNUMBER(SEARCH(Recherche!$C$7,H3434))),OR(Recherche!$C$8="",J3434=Recherche!$C$8),OR(Recherche!$C$9="",I3434=Recherche!$C$9),OR(Recherche!$C$10="",G3434&amp;""=Recherche!$C$10&amp;""),OR(Recherche!$C$11="",E3434=Recherche!$C$11),OR(Recherche!$C$12="",ISNUMBER(SEARCH(Recherche!$C$12,M3434&amp;" "&amp;F3434)))),1,0)</f>
        <v>8</v>
      </c>
    </row>
    <row r="3435" customFormat="false" ht="15" hidden="false" customHeight="false" outlineLevel="0" collapsed="false">
      <c r="A3435" s="19"/>
      <c r="B3435" s="19"/>
      <c r="C3435" s="19"/>
      <c r="D3435" s="19"/>
      <c r="E3435" s="22"/>
      <c r="F3435" s="19"/>
      <c r="G3435" s="26" t="str">
        <f aca="false">IF(D3435="","",IFERROR(VALUE(LEFT(D3435,FIND(" |",D3435&amp;" |")-1)),"?"))</f>
        <v/>
      </c>
      <c r="H3435" s="27" t="str">
        <f aca="false">IF(G3435="","",IF(G3435="?","⚠ pub inconnue",IFERROR(INDEX(Pubs!$B$2:$B$3001,MATCH(G3435,Pubs!$A$2:$A$3001,0))&amp;"","⚠ pub inconnue")))</f>
        <v/>
      </c>
      <c r="I3435" s="27" t="str">
        <f aca="false">IF(OR(G3435="",G3435="?"),"",IFERROR(INDEX(Pubs!$C$2:$C$3001,MATCH(G3435,Pubs!$A$2:$A$3001,0))&amp;"",""))</f>
        <v/>
      </c>
      <c r="J3435" s="27" t="str">
        <f aca="false">IF(OR(G3435="",G3435="?"),"",IFERROR(INDEX(Pubs!$G$2:$G$3001,MATCH(G3435,Pubs!$A$2:$A$3001,0))&amp;"",""))</f>
        <v/>
      </c>
      <c r="K3435" s="28" t="str">
        <f aca="false">IF(OR(G3435="",G3435="?"),"",IFERROR(INDEX(Pubs!$E$2:$E$3001,MATCH(G3435,Pubs!$A$2:$A$3001,0)),""))</f>
        <v/>
      </c>
      <c r="L3435" s="29" t="str">
        <f aca="false">IF(A3435="","",IFERROR(1/(1/INDEX(Numéros!$C$2:$C$3001,MATCH(A3435&amp;"|"&amp;B3435,Numéros!$F$2:$F$3001,0))),""))</f>
        <v/>
      </c>
      <c r="M3435" s="27" t="str">
        <f aca="false">IF(OR(G3435="",G3435="?"),"",IFERROR(INDEX(Pubs!$D$2:$D$3001,MATCH(G3435,Pubs!$A$2:$A$3001,0))&amp;"",""))</f>
        <v/>
      </c>
      <c r="N3435" s="27" t="n">
        <f aca="false">N(N3434)+IF(AND(A3435&lt;&gt;"",OR(Recherche!$C$4="",A3435=Recherche!$C$4),OR(Recherche!$C$5="",B3435&amp;""=Recherche!$C$5&amp;""),OR(Recherche!$C$6="",IFERROR(YEAR(L3435),0)=Recherche!$C$6),OR(Recherche!$C$7="",ISNUMBER(SEARCH(Recherche!$C$7,H3435))),OR(Recherche!$C$8="",J3435=Recherche!$C$8),OR(Recherche!$C$9="",I3435=Recherche!$C$9),OR(Recherche!$C$10="",G3435&amp;""=Recherche!$C$10&amp;""),OR(Recherche!$C$11="",E3435=Recherche!$C$11),OR(Recherche!$C$12="",ISNUMBER(SEARCH(Recherche!$C$12,M3435&amp;" "&amp;F3435)))),1,0)</f>
        <v>8</v>
      </c>
    </row>
    <row r="3436" customFormat="false" ht="15" hidden="false" customHeight="false" outlineLevel="0" collapsed="false">
      <c r="A3436" s="19"/>
      <c r="B3436" s="19"/>
      <c r="C3436" s="19"/>
      <c r="D3436" s="19"/>
      <c r="E3436" s="22"/>
      <c r="F3436" s="19"/>
      <c r="G3436" s="26" t="str">
        <f aca="false">IF(D3436="","",IFERROR(VALUE(LEFT(D3436,FIND(" |",D3436&amp;" |")-1)),"?"))</f>
        <v/>
      </c>
      <c r="H3436" s="27" t="str">
        <f aca="false">IF(G3436="","",IF(G3436="?","⚠ pub inconnue",IFERROR(INDEX(Pubs!$B$2:$B$3001,MATCH(G3436,Pubs!$A$2:$A$3001,0))&amp;"","⚠ pub inconnue")))</f>
        <v/>
      </c>
      <c r="I3436" s="27" t="str">
        <f aca="false">IF(OR(G3436="",G3436="?"),"",IFERROR(INDEX(Pubs!$C$2:$C$3001,MATCH(G3436,Pubs!$A$2:$A$3001,0))&amp;"",""))</f>
        <v/>
      </c>
      <c r="J3436" s="27" t="str">
        <f aca="false">IF(OR(G3436="",G3436="?"),"",IFERROR(INDEX(Pubs!$G$2:$G$3001,MATCH(G3436,Pubs!$A$2:$A$3001,0))&amp;"",""))</f>
        <v/>
      </c>
      <c r="K3436" s="28" t="str">
        <f aca="false">IF(OR(G3436="",G3436="?"),"",IFERROR(INDEX(Pubs!$E$2:$E$3001,MATCH(G3436,Pubs!$A$2:$A$3001,0)),""))</f>
        <v/>
      </c>
      <c r="L3436" s="29" t="str">
        <f aca="false">IF(A3436="","",IFERROR(1/(1/INDEX(Numéros!$C$2:$C$3001,MATCH(A3436&amp;"|"&amp;B3436,Numéros!$F$2:$F$3001,0))),""))</f>
        <v/>
      </c>
      <c r="M3436" s="27" t="str">
        <f aca="false">IF(OR(G3436="",G3436="?"),"",IFERROR(INDEX(Pubs!$D$2:$D$3001,MATCH(G3436,Pubs!$A$2:$A$3001,0))&amp;"",""))</f>
        <v/>
      </c>
      <c r="N3436" s="27" t="n">
        <f aca="false">N(N3435)+IF(AND(A3436&lt;&gt;"",OR(Recherche!$C$4="",A3436=Recherche!$C$4),OR(Recherche!$C$5="",B3436&amp;""=Recherche!$C$5&amp;""),OR(Recherche!$C$6="",IFERROR(YEAR(L3436),0)=Recherche!$C$6),OR(Recherche!$C$7="",ISNUMBER(SEARCH(Recherche!$C$7,H3436))),OR(Recherche!$C$8="",J3436=Recherche!$C$8),OR(Recherche!$C$9="",I3436=Recherche!$C$9),OR(Recherche!$C$10="",G3436&amp;""=Recherche!$C$10&amp;""),OR(Recherche!$C$11="",E3436=Recherche!$C$11),OR(Recherche!$C$12="",ISNUMBER(SEARCH(Recherche!$C$12,M3436&amp;" "&amp;F3436)))),1,0)</f>
        <v>8</v>
      </c>
    </row>
    <row r="3437" customFormat="false" ht="15" hidden="false" customHeight="false" outlineLevel="0" collapsed="false">
      <c r="A3437" s="19"/>
      <c r="B3437" s="19"/>
      <c r="C3437" s="19"/>
      <c r="D3437" s="19"/>
      <c r="E3437" s="22"/>
      <c r="F3437" s="19"/>
      <c r="G3437" s="26" t="str">
        <f aca="false">IF(D3437="","",IFERROR(VALUE(LEFT(D3437,FIND(" |",D3437&amp;" |")-1)),"?"))</f>
        <v/>
      </c>
      <c r="H3437" s="27" t="str">
        <f aca="false">IF(G3437="","",IF(G3437="?","⚠ pub inconnue",IFERROR(INDEX(Pubs!$B$2:$B$3001,MATCH(G3437,Pubs!$A$2:$A$3001,0))&amp;"","⚠ pub inconnue")))</f>
        <v/>
      </c>
      <c r="I3437" s="27" t="str">
        <f aca="false">IF(OR(G3437="",G3437="?"),"",IFERROR(INDEX(Pubs!$C$2:$C$3001,MATCH(G3437,Pubs!$A$2:$A$3001,0))&amp;"",""))</f>
        <v/>
      </c>
      <c r="J3437" s="27" t="str">
        <f aca="false">IF(OR(G3437="",G3437="?"),"",IFERROR(INDEX(Pubs!$G$2:$G$3001,MATCH(G3437,Pubs!$A$2:$A$3001,0))&amp;"",""))</f>
        <v/>
      </c>
      <c r="K3437" s="28" t="str">
        <f aca="false">IF(OR(G3437="",G3437="?"),"",IFERROR(INDEX(Pubs!$E$2:$E$3001,MATCH(G3437,Pubs!$A$2:$A$3001,0)),""))</f>
        <v/>
      </c>
      <c r="L3437" s="29" t="str">
        <f aca="false">IF(A3437="","",IFERROR(1/(1/INDEX(Numéros!$C$2:$C$3001,MATCH(A3437&amp;"|"&amp;B3437,Numéros!$F$2:$F$3001,0))),""))</f>
        <v/>
      </c>
      <c r="M3437" s="27" t="str">
        <f aca="false">IF(OR(G3437="",G3437="?"),"",IFERROR(INDEX(Pubs!$D$2:$D$3001,MATCH(G3437,Pubs!$A$2:$A$3001,0))&amp;"",""))</f>
        <v/>
      </c>
      <c r="N3437" s="27" t="n">
        <f aca="false">N(N3436)+IF(AND(A3437&lt;&gt;"",OR(Recherche!$C$4="",A3437=Recherche!$C$4),OR(Recherche!$C$5="",B3437&amp;""=Recherche!$C$5&amp;""),OR(Recherche!$C$6="",IFERROR(YEAR(L3437),0)=Recherche!$C$6),OR(Recherche!$C$7="",ISNUMBER(SEARCH(Recherche!$C$7,H3437))),OR(Recherche!$C$8="",J3437=Recherche!$C$8),OR(Recherche!$C$9="",I3437=Recherche!$C$9),OR(Recherche!$C$10="",G3437&amp;""=Recherche!$C$10&amp;""),OR(Recherche!$C$11="",E3437=Recherche!$C$11),OR(Recherche!$C$12="",ISNUMBER(SEARCH(Recherche!$C$12,M3437&amp;" "&amp;F3437)))),1,0)</f>
        <v>8</v>
      </c>
    </row>
    <row r="3438" customFormat="false" ht="15" hidden="false" customHeight="false" outlineLevel="0" collapsed="false">
      <c r="A3438" s="19"/>
      <c r="B3438" s="19"/>
      <c r="C3438" s="19"/>
      <c r="D3438" s="19"/>
      <c r="E3438" s="22"/>
      <c r="F3438" s="19"/>
      <c r="G3438" s="26" t="str">
        <f aca="false">IF(D3438="","",IFERROR(VALUE(LEFT(D3438,FIND(" |",D3438&amp;" |")-1)),"?"))</f>
        <v/>
      </c>
      <c r="H3438" s="27" t="str">
        <f aca="false">IF(G3438="","",IF(G3438="?","⚠ pub inconnue",IFERROR(INDEX(Pubs!$B$2:$B$3001,MATCH(G3438,Pubs!$A$2:$A$3001,0))&amp;"","⚠ pub inconnue")))</f>
        <v/>
      </c>
      <c r="I3438" s="27" t="str">
        <f aca="false">IF(OR(G3438="",G3438="?"),"",IFERROR(INDEX(Pubs!$C$2:$C$3001,MATCH(G3438,Pubs!$A$2:$A$3001,0))&amp;"",""))</f>
        <v/>
      </c>
      <c r="J3438" s="27" t="str">
        <f aca="false">IF(OR(G3438="",G3438="?"),"",IFERROR(INDEX(Pubs!$G$2:$G$3001,MATCH(G3438,Pubs!$A$2:$A$3001,0))&amp;"",""))</f>
        <v/>
      </c>
      <c r="K3438" s="28" t="str">
        <f aca="false">IF(OR(G3438="",G3438="?"),"",IFERROR(INDEX(Pubs!$E$2:$E$3001,MATCH(G3438,Pubs!$A$2:$A$3001,0)),""))</f>
        <v/>
      </c>
      <c r="L3438" s="29" t="str">
        <f aca="false">IF(A3438="","",IFERROR(1/(1/INDEX(Numéros!$C$2:$C$3001,MATCH(A3438&amp;"|"&amp;B3438,Numéros!$F$2:$F$3001,0))),""))</f>
        <v/>
      </c>
      <c r="M3438" s="27" t="str">
        <f aca="false">IF(OR(G3438="",G3438="?"),"",IFERROR(INDEX(Pubs!$D$2:$D$3001,MATCH(G3438,Pubs!$A$2:$A$3001,0))&amp;"",""))</f>
        <v/>
      </c>
      <c r="N3438" s="27" t="n">
        <f aca="false">N(N3437)+IF(AND(A3438&lt;&gt;"",OR(Recherche!$C$4="",A3438=Recherche!$C$4),OR(Recherche!$C$5="",B3438&amp;""=Recherche!$C$5&amp;""),OR(Recherche!$C$6="",IFERROR(YEAR(L3438),0)=Recherche!$C$6),OR(Recherche!$C$7="",ISNUMBER(SEARCH(Recherche!$C$7,H3438))),OR(Recherche!$C$8="",J3438=Recherche!$C$8),OR(Recherche!$C$9="",I3438=Recherche!$C$9),OR(Recherche!$C$10="",G3438&amp;""=Recherche!$C$10&amp;""),OR(Recherche!$C$11="",E3438=Recherche!$C$11),OR(Recherche!$C$12="",ISNUMBER(SEARCH(Recherche!$C$12,M3438&amp;" "&amp;F3438)))),1,0)</f>
        <v>8</v>
      </c>
    </row>
    <row r="3439" customFormat="false" ht="15" hidden="false" customHeight="false" outlineLevel="0" collapsed="false">
      <c r="A3439" s="19"/>
      <c r="B3439" s="19"/>
      <c r="C3439" s="19"/>
      <c r="D3439" s="19"/>
      <c r="E3439" s="22"/>
      <c r="F3439" s="19"/>
      <c r="G3439" s="26" t="str">
        <f aca="false">IF(D3439="","",IFERROR(VALUE(LEFT(D3439,FIND(" |",D3439&amp;" |")-1)),"?"))</f>
        <v/>
      </c>
      <c r="H3439" s="27" t="str">
        <f aca="false">IF(G3439="","",IF(G3439="?","⚠ pub inconnue",IFERROR(INDEX(Pubs!$B$2:$B$3001,MATCH(G3439,Pubs!$A$2:$A$3001,0))&amp;"","⚠ pub inconnue")))</f>
        <v/>
      </c>
      <c r="I3439" s="27" t="str">
        <f aca="false">IF(OR(G3439="",G3439="?"),"",IFERROR(INDEX(Pubs!$C$2:$C$3001,MATCH(G3439,Pubs!$A$2:$A$3001,0))&amp;"",""))</f>
        <v/>
      </c>
      <c r="J3439" s="27" t="str">
        <f aca="false">IF(OR(G3439="",G3439="?"),"",IFERROR(INDEX(Pubs!$G$2:$G$3001,MATCH(G3439,Pubs!$A$2:$A$3001,0))&amp;"",""))</f>
        <v/>
      </c>
      <c r="K3439" s="28" t="str">
        <f aca="false">IF(OR(G3439="",G3439="?"),"",IFERROR(INDEX(Pubs!$E$2:$E$3001,MATCH(G3439,Pubs!$A$2:$A$3001,0)),""))</f>
        <v/>
      </c>
      <c r="L3439" s="29" t="str">
        <f aca="false">IF(A3439="","",IFERROR(1/(1/INDEX(Numéros!$C$2:$C$3001,MATCH(A3439&amp;"|"&amp;B3439,Numéros!$F$2:$F$3001,0))),""))</f>
        <v/>
      </c>
      <c r="M3439" s="27" t="str">
        <f aca="false">IF(OR(G3439="",G3439="?"),"",IFERROR(INDEX(Pubs!$D$2:$D$3001,MATCH(G3439,Pubs!$A$2:$A$3001,0))&amp;"",""))</f>
        <v/>
      </c>
      <c r="N3439" s="27" t="n">
        <f aca="false">N(N3438)+IF(AND(A3439&lt;&gt;"",OR(Recherche!$C$4="",A3439=Recherche!$C$4),OR(Recherche!$C$5="",B3439&amp;""=Recherche!$C$5&amp;""),OR(Recherche!$C$6="",IFERROR(YEAR(L3439),0)=Recherche!$C$6),OR(Recherche!$C$7="",ISNUMBER(SEARCH(Recherche!$C$7,H3439))),OR(Recherche!$C$8="",J3439=Recherche!$C$8),OR(Recherche!$C$9="",I3439=Recherche!$C$9),OR(Recherche!$C$10="",G3439&amp;""=Recherche!$C$10&amp;""),OR(Recherche!$C$11="",E3439=Recherche!$C$11),OR(Recherche!$C$12="",ISNUMBER(SEARCH(Recherche!$C$12,M3439&amp;" "&amp;F3439)))),1,0)</f>
        <v>8</v>
      </c>
    </row>
    <row r="3440" customFormat="false" ht="15" hidden="false" customHeight="false" outlineLevel="0" collapsed="false">
      <c r="A3440" s="19"/>
      <c r="B3440" s="19"/>
      <c r="C3440" s="19"/>
      <c r="D3440" s="19"/>
      <c r="E3440" s="22"/>
      <c r="F3440" s="19"/>
      <c r="G3440" s="26" t="str">
        <f aca="false">IF(D3440="","",IFERROR(VALUE(LEFT(D3440,FIND(" |",D3440&amp;" |")-1)),"?"))</f>
        <v/>
      </c>
      <c r="H3440" s="27" t="str">
        <f aca="false">IF(G3440="","",IF(G3440="?","⚠ pub inconnue",IFERROR(INDEX(Pubs!$B$2:$B$3001,MATCH(G3440,Pubs!$A$2:$A$3001,0))&amp;"","⚠ pub inconnue")))</f>
        <v/>
      </c>
      <c r="I3440" s="27" t="str">
        <f aca="false">IF(OR(G3440="",G3440="?"),"",IFERROR(INDEX(Pubs!$C$2:$C$3001,MATCH(G3440,Pubs!$A$2:$A$3001,0))&amp;"",""))</f>
        <v/>
      </c>
      <c r="J3440" s="27" t="str">
        <f aca="false">IF(OR(G3440="",G3440="?"),"",IFERROR(INDEX(Pubs!$G$2:$G$3001,MATCH(G3440,Pubs!$A$2:$A$3001,0))&amp;"",""))</f>
        <v/>
      </c>
      <c r="K3440" s="28" t="str">
        <f aca="false">IF(OR(G3440="",G3440="?"),"",IFERROR(INDEX(Pubs!$E$2:$E$3001,MATCH(G3440,Pubs!$A$2:$A$3001,0)),""))</f>
        <v/>
      </c>
      <c r="L3440" s="29" t="str">
        <f aca="false">IF(A3440="","",IFERROR(1/(1/INDEX(Numéros!$C$2:$C$3001,MATCH(A3440&amp;"|"&amp;B3440,Numéros!$F$2:$F$3001,0))),""))</f>
        <v/>
      </c>
      <c r="M3440" s="27" t="str">
        <f aca="false">IF(OR(G3440="",G3440="?"),"",IFERROR(INDEX(Pubs!$D$2:$D$3001,MATCH(G3440,Pubs!$A$2:$A$3001,0))&amp;"",""))</f>
        <v/>
      </c>
      <c r="N3440" s="27" t="n">
        <f aca="false">N(N3439)+IF(AND(A3440&lt;&gt;"",OR(Recherche!$C$4="",A3440=Recherche!$C$4),OR(Recherche!$C$5="",B3440&amp;""=Recherche!$C$5&amp;""),OR(Recherche!$C$6="",IFERROR(YEAR(L3440),0)=Recherche!$C$6),OR(Recherche!$C$7="",ISNUMBER(SEARCH(Recherche!$C$7,H3440))),OR(Recherche!$C$8="",J3440=Recherche!$C$8),OR(Recherche!$C$9="",I3440=Recherche!$C$9),OR(Recherche!$C$10="",G3440&amp;""=Recherche!$C$10&amp;""),OR(Recherche!$C$11="",E3440=Recherche!$C$11),OR(Recherche!$C$12="",ISNUMBER(SEARCH(Recherche!$C$12,M3440&amp;" "&amp;F3440)))),1,0)</f>
        <v>8</v>
      </c>
    </row>
    <row r="3441" customFormat="false" ht="15" hidden="false" customHeight="false" outlineLevel="0" collapsed="false">
      <c r="A3441" s="19"/>
      <c r="B3441" s="19"/>
      <c r="C3441" s="19"/>
      <c r="D3441" s="19"/>
      <c r="E3441" s="22"/>
      <c r="F3441" s="19"/>
      <c r="G3441" s="26" t="str">
        <f aca="false">IF(D3441="","",IFERROR(VALUE(LEFT(D3441,FIND(" |",D3441&amp;" |")-1)),"?"))</f>
        <v/>
      </c>
      <c r="H3441" s="27" t="str">
        <f aca="false">IF(G3441="","",IF(G3441="?","⚠ pub inconnue",IFERROR(INDEX(Pubs!$B$2:$B$3001,MATCH(G3441,Pubs!$A$2:$A$3001,0))&amp;"","⚠ pub inconnue")))</f>
        <v/>
      </c>
      <c r="I3441" s="27" t="str">
        <f aca="false">IF(OR(G3441="",G3441="?"),"",IFERROR(INDEX(Pubs!$C$2:$C$3001,MATCH(G3441,Pubs!$A$2:$A$3001,0))&amp;"",""))</f>
        <v/>
      </c>
      <c r="J3441" s="27" t="str">
        <f aca="false">IF(OR(G3441="",G3441="?"),"",IFERROR(INDEX(Pubs!$G$2:$G$3001,MATCH(G3441,Pubs!$A$2:$A$3001,0))&amp;"",""))</f>
        <v/>
      </c>
      <c r="K3441" s="28" t="str">
        <f aca="false">IF(OR(G3441="",G3441="?"),"",IFERROR(INDEX(Pubs!$E$2:$E$3001,MATCH(G3441,Pubs!$A$2:$A$3001,0)),""))</f>
        <v/>
      </c>
      <c r="L3441" s="29" t="str">
        <f aca="false">IF(A3441="","",IFERROR(1/(1/INDEX(Numéros!$C$2:$C$3001,MATCH(A3441&amp;"|"&amp;B3441,Numéros!$F$2:$F$3001,0))),""))</f>
        <v/>
      </c>
      <c r="M3441" s="27" t="str">
        <f aca="false">IF(OR(G3441="",G3441="?"),"",IFERROR(INDEX(Pubs!$D$2:$D$3001,MATCH(G3441,Pubs!$A$2:$A$3001,0))&amp;"",""))</f>
        <v/>
      </c>
      <c r="N3441" s="27" t="n">
        <f aca="false">N(N3440)+IF(AND(A3441&lt;&gt;"",OR(Recherche!$C$4="",A3441=Recherche!$C$4),OR(Recherche!$C$5="",B3441&amp;""=Recherche!$C$5&amp;""),OR(Recherche!$C$6="",IFERROR(YEAR(L3441),0)=Recherche!$C$6),OR(Recherche!$C$7="",ISNUMBER(SEARCH(Recherche!$C$7,H3441))),OR(Recherche!$C$8="",J3441=Recherche!$C$8),OR(Recherche!$C$9="",I3441=Recherche!$C$9),OR(Recherche!$C$10="",G3441&amp;""=Recherche!$C$10&amp;""),OR(Recherche!$C$11="",E3441=Recherche!$C$11),OR(Recherche!$C$12="",ISNUMBER(SEARCH(Recherche!$C$12,M3441&amp;" "&amp;F3441)))),1,0)</f>
        <v>8</v>
      </c>
    </row>
    <row r="3442" customFormat="false" ht="15" hidden="false" customHeight="false" outlineLevel="0" collapsed="false">
      <c r="A3442" s="19"/>
      <c r="B3442" s="19"/>
      <c r="C3442" s="19"/>
      <c r="D3442" s="19"/>
      <c r="E3442" s="22"/>
      <c r="F3442" s="19"/>
      <c r="G3442" s="26" t="str">
        <f aca="false">IF(D3442="","",IFERROR(VALUE(LEFT(D3442,FIND(" |",D3442&amp;" |")-1)),"?"))</f>
        <v/>
      </c>
      <c r="H3442" s="27" t="str">
        <f aca="false">IF(G3442="","",IF(G3442="?","⚠ pub inconnue",IFERROR(INDEX(Pubs!$B$2:$B$3001,MATCH(G3442,Pubs!$A$2:$A$3001,0))&amp;"","⚠ pub inconnue")))</f>
        <v/>
      </c>
      <c r="I3442" s="27" t="str">
        <f aca="false">IF(OR(G3442="",G3442="?"),"",IFERROR(INDEX(Pubs!$C$2:$C$3001,MATCH(G3442,Pubs!$A$2:$A$3001,0))&amp;"",""))</f>
        <v/>
      </c>
      <c r="J3442" s="27" t="str">
        <f aca="false">IF(OR(G3442="",G3442="?"),"",IFERROR(INDEX(Pubs!$G$2:$G$3001,MATCH(G3442,Pubs!$A$2:$A$3001,0))&amp;"",""))</f>
        <v/>
      </c>
      <c r="K3442" s="28" t="str">
        <f aca="false">IF(OR(G3442="",G3442="?"),"",IFERROR(INDEX(Pubs!$E$2:$E$3001,MATCH(G3442,Pubs!$A$2:$A$3001,0)),""))</f>
        <v/>
      </c>
      <c r="L3442" s="29" t="str">
        <f aca="false">IF(A3442="","",IFERROR(1/(1/INDEX(Numéros!$C$2:$C$3001,MATCH(A3442&amp;"|"&amp;B3442,Numéros!$F$2:$F$3001,0))),""))</f>
        <v/>
      </c>
      <c r="M3442" s="27" t="str">
        <f aca="false">IF(OR(G3442="",G3442="?"),"",IFERROR(INDEX(Pubs!$D$2:$D$3001,MATCH(G3442,Pubs!$A$2:$A$3001,0))&amp;"",""))</f>
        <v/>
      </c>
      <c r="N3442" s="27" t="n">
        <f aca="false">N(N3441)+IF(AND(A3442&lt;&gt;"",OR(Recherche!$C$4="",A3442=Recherche!$C$4),OR(Recherche!$C$5="",B3442&amp;""=Recherche!$C$5&amp;""),OR(Recherche!$C$6="",IFERROR(YEAR(L3442),0)=Recherche!$C$6),OR(Recherche!$C$7="",ISNUMBER(SEARCH(Recherche!$C$7,H3442))),OR(Recherche!$C$8="",J3442=Recherche!$C$8),OR(Recherche!$C$9="",I3442=Recherche!$C$9),OR(Recherche!$C$10="",G3442&amp;""=Recherche!$C$10&amp;""),OR(Recherche!$C$11="",E3442=Recherche!$C$11),OR(Recherche!$C$12="",ISNUMBER(SEARCH(Recherche!$C$12,M3442&amp;" "&amp;F3442)))),1,0)</f>
        <v>8</v>
      </c>
    </row>
    <row r="3443" customFormat="false" ht="15" hidden="false" customHeight="false" outlineLevel="0" collapsed="false">
      <c r="A3443" s="19"/>
      <c r="B3443" s="19"/>
      <c r="C3443" s="19"/>
      <c r="D3443" s="19"/>
      <c r="E3443" s="22"/>
      <c r="F3443" s="19"/>
      <c r="G3443" s="26" t="str">
        <f aca="false">IF(D3443="","",IFERROR(VALUE(LEFT(D3443,FIND(" |",D3443&amp;" |")-1)),"?"))</f>
        <v/>
      </c>
      <c r="H3443" s="27" t="str">
        <f aca="false">IF(G3443="","",IF(G3443="?","⚠ pub inconnue",IFERROR(INDEX(Pubs!$B$2:$B$3001,MATCH(G3443,Pubs!$A$2:$A$3001,0))&amp;"","⚠ pub inconnue")))</f>
        <v/>
      </c>
      <c r="I3443" s="27" t="str">
        <f aca="false">IF(OR(G3443="",G3443="?"),"",IFERROR(INDEX(Pubs!$C$2:$C$3001,MATCH(G3443,Pubs!$A$2:$A$3001,0))&amp;"",""))</f>
        <v/>
      </c>
      <c r="J3443" s="27" t="str">
        <f aca="false">IF(OR(G3443="",G3443="?"),"",IFERROR(INDEX(Pubs!$G$2:$G$3001,MATCH(G3443,Pubs!$A$2:$A$3001,0))&amp;"",""))</f>
        <v/>
      </c>
      <c r="K3443" s="28" t="str">
        <f aca="false">IF(OR(G3443="",G3443="?"),"",IFERROR(INDEX(Pubs!$E$2:$E$3001,MATCH(G3443,Pubs!$A$2:$A$3001,0)),""))</f>
        <v/>
      </c>
      <c r="L3443" s="29" t="str">
        <f aca="false">IF(A3443="","",IFERROR(1/(1/INDEX(Numéros!$C$2:$C$3001,MATCH(A3443&amp;"|"&amp;B3443,Numéros!$F$2:$F$3001,0))),""))</f>
        <v/>
      </c>
      <c r="M3443" s="27" t="str">
        <f aca="false">IF(OR(G3443="",G3443="?"),"",IFERROR(INDEX(Pubs!$D$2:$D$3001,MATCH(G3443,Pubs!$A$2:$A$3001,0))&amp;"",""))</f>
        <v/>
      </c>
      <c r="N3443" s="27" t="n">
        <f aca="false">N(N3442)+IF(AND(A3443&lt;&gt;"",OR(Recherche!$C$4="",A3443=Recherche!$C$4),OR(Recherche!$C$5="",B3443&amp;""=Recherche!$C$5&amp;""),OR(Recherche!$C$6="",IFERROR(YEAR(L3443),0)=Recherche!$C$6),OR(Recherche!$C$7="",ISNUMBER(SEARCH(Recherche!$C$7,H3443))),OR(Recherche!$C$8="",J3443=Recherche!$C$8),OR(Recherche!$C$9="",I3443=Recherche!$C$9),OR(Recherche!$C$10="",G3443&amp;""=Recherche!$C$10&amp;""),OR(Recherche!$C$11="",E3443=Recherche!$C$11),OR(Recherche!$C$12="",ISNUMBER(SEARCH(Recherche!$C$12,M3443&amp;" "&amp;F3443)))),1,0)</f>
        <v>8</v>
      </c>
    </row>
    <row r="3444" customFormat="false" ht="15" hidden="false" customHeight="false" outlineLevel="0" collapsed="false">
      <c r="A3444" s="19"/>
      <c r="B3444" s="19"/>
      <c r="C3444" s="19"/>
      <c r="D3444" s="19"/>
      <c r="E3444" s="22"/>
      <c r="F3444" s="19"/>
      <c r="G3444" s="26" t="str">
        <f aca="false">IF(D3444="","",IFERROR(VALUE(LEFT(D3444,FIND(" |",D3444&amp;" |")-1)),"?"))</f>
        <v/>
      </c>
      <c r="H3444" s="27" t="str">
        <f aca="false">IF(G3444="","",IF(G3444="?","⚠ pub inconnue",IFERROR(INDEX(Pubs!$B$2:$B$3001,MATCH(G3444,Pubs!$A$2:$A$3001,0))&amp;"","⚠ pub inconnue")))</f>
        <v/>
      </c>
      <c r="I3444" s="27" t="str">
        <f aca="false">IF(OR(G3444="",G3444="?"),"",IFERROR(INDEX(Pubs!$C$2:$C$3001,MATCH(G3444,Pubs!$A$2:$A$3001,0))&amp;"",""))</f>
        <v/>
      </c>
      <c r="J3444" s="27" t="str">
        <f aca="false">IF(OR(G3444="",G3444="?"),"",IFERROR(INDEX(Pubs!$G$2:$G$3001,MATCH(G3444,Pubs!$A$2:$A$3001,0))&amp;"",""))</f>
        <v/>
      </c>
      <c r="K3444" s="28" t="str">
        <f aca="false">IF(OR(G3444="",G3444="?"),"",IFERROR(INDEX(Pubs!$E$2:$E$3001,MATCH(G3444,Pubs!$A$2:$A$3001,0)),""))</f>
        <v/>
      </c>
      <c r="L3444" s="29" t="str">
        <f aca="false">IF(A3444="","",IFERROR(1/(1/INDEX(Numéros!$C$2:$C$3001,MATCH(A3444&amp;"|"&amp;B3444,Numéros!$F$2:$F$3001,0))),""))</f>
        <v/>
      </c>
      <c r="M3444" s="27" t="str">
        <f aca="false">IF(OR(G3444="",G3444="?"),"",IFERROR(INDEX(Pubs!$D$2:$D$3001,MATCH(G3444,Pubs!$A$2:$A$3001,0))&amp;"",""))</f>
        <v/>
      </c>
      <c r="N3444" s="27" t="n">
        <f aca="false">N(N3443)+IF(AND(A3444&lt;&gt;"",OR(Recherche!$C$4="",A3444=Recherche!$C$4),OR(Recherche!$C$5="",B3444&amp;""=Recherche!$C$5&amp;""),OR(Recherche!$C$6="",IFERROR(YEAR(L3444),0)=Recherche!$C$6),OR(Recherche!$C$7="",ISNUMBER(SEARCH(Recherche!$C$7,H3444))),OR(Recherche!$C$8="",J3444=Recherche!$C$8),OR(Recherche!$C$9="",I3444=Recherche!$C$9),OR(Recherche!$C$10="",G3444&amp;""=Recherche!$C$10&amp;""),OR(Recherche!$C$11="",E3444=Recherche!$C$11),OR(Recherche!$C$12="",ISNUMBER(SEARCH(Recherche!$C$12,M3444&amp;" "&amp;F3444)))),1,0)</f>
        <v>8</v>
      </c>
    </row>
    <row r="3445" customFormat="false" ht="15" hidden="false" customHeight="false" outlineLevel="0" collapsed="false">
      <c r="A3445" s="19"/>
      <c r="B3445" s="19"/>
      <c r="C3445" s="19"/>
      <c r="D3445" s="19"/>
      <c r="E3445" s="22"/>
      <c r="F3445" s="19"/>
      <c r="G3445" s="26" t="str">
        <f aca="false">IF(D3445="","",IFERROR(VALUE(LEFT(D3445,FIND(" |",D3445&amp;" |")-1)),"?"))</f>
        <v/>
      </c>
      <c r="H3445" s="27" t="str">
        <f aca="false">IF(G3445="","",IF(G3445="?","⚠ pub inconnue",IFERROR(INDEX(Pubs!$B$2:$B$3001,MATCH(G3445,Pubs!$A$2:$A$3001,0))&amp;"","⚠ pub inconnue")))</f>
        <v/>
      </c>
      <c r="I3445" s="27" t="str">
        <f aca="false">IF(OR(G3445="",G3445="?"),"",IFERROR(INDEX(Pubs!$C$2:$C$3001,MATCH(G3445,Pubs!$A$2:$A$3001,0))&amp;"",""))</f>
        <v/>
      </c>
      <c r="J3445" s="27" t="str">
        <f aca="false">IF(OR(G3445="",G3445="?"),"",IFERROR(INDEX(Pubs!$G$2:$G$3001,MATCH(G3445,Pubs!$A$2:$A$3001,0))&amp;"",""))</f>
        <v/>
      </c>
      <c r="K3445" s="28" t="str">
        <f aca="false">IF(OR(G3445="",G3445="?"),"",IFERROR(INDEX(Pubs!$E$2:$E$3001,MATCH(G3445,Pubs!$A$2:$A$3001,0)),""))</f>
        <v/>
      </c>
      <c r="L3445" s="29" t="str">
        <f aca="false">IF(A3445="","",IFERROR(1/(1/INDEX(Numéros!$C$2:$C$3001,MATCH(A3445&amp;"|"&amp;B3445,Numéros!$F$2:$F$3001,0))),""))</f>
        <v/>
      </c>
      <c r="M3445" s="27" t="str">
        <f aca="false">IF(OR(G3445="",G3445="?"),"",IFERROR(INDEX(Pubs!$D$2:$D$3001,MATCH(G3445,Pubs!$A$2:$A$3001,0))&amp;"",""))</f>
        <v/>
      </c>
      <c r="N3445" s="27" t="n">
        <f aca="false">N(N3444)+IF(AND(A3445&lt;&gt;"",OR(Recherche!$C$4="",A3445=Recherche!$C$4),OR(Recherche!$C$5="",B3445&amp;""=Recherche!$C$5&amp;""),OR(Recherche!$C$6="",IFERROR(YEAR(L3445),0)=Recherche!$C$6),OR(Recherche!$C$7="",ISNUMBER(SEARCH(Recherche!$C$7,H3445))),OR(Recherche!$C$8="",J3445=Recherche!$C$8),OR(Recherche!$C$9="",I3445=Recherche!$C$9),OR(Recherche!$C$10="",G3445&amp;""=Recherche!$C$10&amp;""),OR(Recherche!$C$11="",E3445=Recherche!$C$11),OR(Recherche!$C$12="",ISNUMBER(SEARCH(Recherche!$C$12,M3445&amp;" "&amp;F3445)))),1,0)</f>
        <v>8</v>
      </c>
    </row>
    <row r="3446" customFormat="false" ht="15" hidden="false" customHeight="false" outlineLevel="0" collapsed="false">
      <c r="A3446" s="19"/>
      <c r="B3446" s="19"/>
      <c r="C3446" s="19"/>
      <c r="D3446" s="19"/>
      <c r="E3446" s="22"/>
      <c r="F3446" s="19"/>
      <c r="G3446" s="26" t="str">
        <f aca="false">IF(D3446="","",IFERROR(VALUE(LEFT(D3446,FIND(" |",D3446&amp;" |")-1)),"?"))</f>
        <v/>
      </c>
      <c r="H3446" s="27" t="str">
        <f aca="false">IF(G3446="","",IF(G3446="?","⚠ pub inconnue",IFERROR(INDEX(Pubs!$B$2:$B$3001,MATCH(G3446,Pubs!$A$2:$A$3001,0))&amp;"","⚠ pub inconnue")))</f>
        <v/>
      </c>
      <c r="I3446" s="27" t="str">
        <f aca="false">IF(OR(G3446="",G3446="?"),"",IFERROR(INDEX(Pubs!$C$2:$C$3001,MATCH(G3446,Pubs!$A$2:$A$3001,0))&amp;"",""))</f>
        <v/>
      </c>
      <c r="J3446" s="27" t="str">
        <f aca="false">IF(OR(G3446="",G3446="?"),"",IFERROR(INDEX(Pubs!$G$2:$G$3001,MATCH(G3446,Pubs!$A$2:$A$3001,0))&amp;"",""))</f>
        <v/>
      </c>
      <c r="K3446" s="28" t="str">
        <f aca="false">IF(OR(G3446="",G3446="?"),"",IFERROR(INDEX(Pubs!$E$2:$E$3001,MATCH(G3446,Pubs!$A$2:$A$3001,0)),""))</f>
        <v/>
      </c>
      <c r="L3446" s="29" t="str">
        <f aca="false">IF(A3446="","",IFERROR(1/(1/INDEX(Numéros!$C$2:$C$3001,MATCH(A3446&amp;"|"&amp;B3446,Numéros!$F$2:$F$3001,0))),""))</f>
        <v/>
      </c>
      <c r="M3446" s="27" t="str">
        <f aca="false">IF(OR(G3446="",G3446="?"),"",IFERROR(INDEX(Pubs!$D$2:$D$3001,MATCH(G3446,Pubs!$A$2:$A$3001,0))&amp;"",""))</f>
        <v/>
      </c>
      <c r="N3446" s="27" t="n">
        <f aca="false">N(N3445)+IF(AND(A3446&lt;&gt;"",OR(Recherche!$C$4="",A3446=Recherche!$C$4),OR(Recherche!$C$5="",B3446&amp;""=Recherche!$C$5&amp;""),OR(Recherche!$C$6="",IFERROR(YEAR(L3446),0)=Recherche!$C$6),OR(Recherche!$C$7="",ISNUMBER(SEARCH(Recherche!$C$7,H3446))),OR(Recherche!$C$8="",J3446=Recherche!$C$8),OR(Recherche!$C$9="",I3446=Recherche!$C$9),OR(Recherche!$C$10="",G3446&amp;""=Recherche!$C$10&amp;""),OR(Recherche!$C$11="",E3446=Recherche!$C$11),OR(Recherche!$C$12="",ISNUMBER(SEARCH(Recherche!$C$12,M3446&amp;" "&amp;F3446)))),1,0)</f>
        <v>8</v>
      </c>
    </row>
    <row r="3447" customFormat="false" ht="15" hidden="false" customHeight="false" outlineLevel="0" collapsed="false">
      <c r="A3447" s="19"/>
      <c r="B3447" s="19"/>
      <c r="C3447" s="19"/>
      <c r="D3447" s="19"/>
      <c r="E3447" s="22"/>
      <c r="F3447" s="19"/>
      <c r="G3447" s="26" t="str">
        <f aca="false">IF(D3447="","",IFERROR(VALUE(LEFT(D3447,FIND(" |",D3447&amp;" |")-1)),"?"))</f>
        <v/>
      </c>
      <c r="H3447" s="27" t="str">
        <f aca="false">IF(G3447="","",IF(G3447="?","⚠ pub inconnue",IFERROR(INDEX(Pubs!$B$2:$B$3001,MATCH(G3447,Pubs!$A$2:$A$3001,0))&amp;"","⚠ pub inconnue")))</f>
        <v/>
      </c>
      <c r="I3447" s="27" t="str">
        <f aca="false">IF(OR(G3447="",G3447="?"),"",IFERROR(INDEX(Pubs!$C$2:$C$3001,MATCH(G3447,Pubs!$A$2:$A$3001,0))&amp;"",""))</f>
        <v/>
      </c>
      <c r="J3447" s="27" t="str">
        <f aca="false">IF(OR(G3447="",G3447="?"),"",IFERROR(INDEX(Pubs!$G$2:$G$3001,MATCH(G3447,Pubs!$A$2:$A$3001,0))&amp;"",""))</f>
        <v/>
      </c>
      <c r="K3447" s="28" t="str">
        <f aca="false">IF(OR(G3447="",G3447="?"),"",IFERROR(INDEX(Pubs!$E$2:$E$3001,MATCH(G3447,Pubs!$A$2:$A$3001,0)),""))</f>
        <v/>
      </c>
      <c r="L3447" s="29" t="str">
        <f aca="false">IF(A3447="","",IFERROR(1/(1/INDEX(Numéros!$C$2:$C$3001,MATCH(A3447&amp;"|"&amp;B3447,Numéros!$F$2:$F$3001,0))),""))</f>
        <v/>
      </c>
      <c r="M3447" s="27" t="str">
        <f aca="false">IF(OR(G3447="",G3447="?"),"",IFERROR(INDEX(Pubs!$D$2:$D$3001,MATCH(G3447,Pubs!$A$2:$A$3001,0))&amp;"",""))</f>
        <v/>
      </c>
      <c r="N3447" s="27" t="n">
        <f aca="false">N(N3446)+IF(AND(A3447&lt;&gt;"",OR(Recherche!$C$4="",A3447=Recherche!$C$4),OR(Recherche!$C$5="",B3447&amp;""=Recherche!$C$5&amp;""),OR(Recherche!$C$6="",IFERROR(YEAR(L3447),0)=Recherche!$C$6),OR(Recherche!$C$7="",ISNUMBER(SEARCH(Recherche!$C$7,H3447))),OR(Recherche!$C$8="",J3447=Recherche!$C$8),OR(Recherche!$C$9="",I3447=Recherche!$C$9),OR(Recherche!$C$10="",G3447&amp;""=Recherche!$C$10&amp;""),OR(Recherche!$C$11="",E3447=Recherche!$C$11),OR(Recherche!$C$12="",ISNUMBER(SEARCH(Recherche!$C$12,M3447&amp;" "&amp;F3447)))),1,0)</f>
        <v>8</v>
      </c>
    </row>
    <row r="3448" customFormat="false" ht="15" hidden="false" customHeight="false" outlineLevel="0" collapsed="false">
      <c r="A3448" s="19"/>
      <c r="B3448" s="19"/>
      <c r="C3448" s="19"/>
      <c r="D3448" s="19"/>
      <c r="E3448" s="22"/>
      <c r="F3448" s="19"/>
      <c r="G3448" s="26" t="str">
        <f aca="false">IF(D3448="","",IFERROR(VALUE(LEFT(D3448,FIND(" |",D3448&amp;" |")-1)),"?"))</f>
        <v/>
      </c>
      <c r="H3448" s="27" t="str">
        <f aca="false">IF(G3448="","",IF(G3448="?","⚠ pub inconnue",IFERROR(INDEX(Pubs!$B$2:$B$3001,MATCH(G3448,Pubs!$A$2:$A$3001,0))&amp;"","⚠ pub inconnue")))</f>
        <v/>
      </c>
      <c r="I3448" s="27" t="str">
        <f aca="false">IF(OR(G3448="",G3448="?"),"",IFERROR(INDEX(Pubs!$C$2:$C$3001,MATCH(G3448,Pubs!$A$2:$A$3001,0))&amp;"",""))</f>
        <v/>
      </c>
      <c r="J3448" s="27" t="str">
        <f aca="false">IF(OR(G3448="",G3448="?"),"",IFERROR(INDEX(Pubs!$G$2:$G$3001,MATCH(G3448,Pubs!$A$2:$A$3001,0))&amp;"",""))</f>
        <v/>
      </c>
      <c r="K3448" s="28" t="str">
        <f aca="false">IF(OR(G3448="",G3448="?"),"",IFERROR(INDEX(Pubs!$E$2:$E$3001,MATCH(G3448,Pubs!$A$2:$A$3001,0)),""))</f>
        <v/>
      </c>
      <c r="L3448" s="29" t="str">
        <f aca="false">IF(A3448="","",IFERROR(1/(1/INDEX(Numéros!$C$2:$C$3001,MATCH(A3448&amp;"|"&amp;B3448,Numéros!$F$2:$F$3001,0))),""))</f>
        <v/>
      </c>
      <c r="M3448" s="27" t="str">
        <f aca="false">IF(OR(G3448="",G3448="?"),"",IFERROR(INDEX(Pubs!$D$2:$D$3001,MATCH(G3448,Pubs!$A$2:$A$3001,0))&amp;"",""))</f>
        <v/>
      </c>
      <c r="N3448" s="27" t="n">
        <f aca="false">N(N3447)+IF(AND(A3448&lt;&gt;"",OR(Recherche!$C$4="",A3448=Recherche!$C$4),OR(Recherche!$C$5="",B3448&amp;""=Recherche!$C$5&amp;""),OR(Recherche!$C$6="",IFERROR(YEAR(L3448),0)=Recherche!$C$6),OR(Recherche!$C$7="",ISNUMBER(SEARCH(Recherche!$C$7,H3448))),OR(Recherche!$C$8="",J3448=Recherche!$C$8),OR(Recherche!$C$9="",I3448=Recherche!$C$9),OR(Recherche!$C$10="",G3448&amp;""=Recherche!$C$10&amp;""),OR(Recherche!$C$11="",E3448=Recherche!$C$11),OR(Recherche!$C$12="",ISNUMBER(SEARCH(Recherche!$C$12,M3448&amp;" "&amp;F3448)))),1,0)</f>
        <v>8</v>
      </c>
    </row>
    <row r="3449" customFormat="false" ht="15" hidden="false" customHeight="false" outlineLevel="0" collapsed="false">
      <c r="A3449" s="19"/>
      <c r="B3449" s="19"/>
      <c r="C3449" s="19"/>
      <c r="D3449" s="19"/>
      <c r="E3449" s="22"/>
      <c r="F3449" s="19"/>
      <c r="G3449" s="26" t="str">
        <f aca="false">IF(D3449="","",IFERROR(VALUE(LEFT(D3449,FIND(" |",D3449&amp;" |")-1)),"?"))</f>
        <v/>
      </c>
      <c r="H3449" s="27" t="str">
        <f aca="false">IF(G3449="","",IF(G3449="?","⚠ pub inconnue",IFERROR(INDEX(Pubs!$B$2:$B$3001,MATCH(G3449,Pubs!$A$2:$A$3001,0))&amp;"","⚠ pub inconnue")))</f>
        <v/>
      </c>
      <c r="I3449" s="27" t="str">
        <f aca="false">IF(OR(G3449="",G3449="?"),"",IFERROR(INDEX(Pubs!$C$2:$C$3001,MATCH(G3449,Pubs!$A$2:$A$3001,0))&amp;"",""))</f>
        <v/>
      </c>
      <c r="J3449" s="27" t="str">
        <f aca="false">IF(OR(G3449="",G3449="?"),"",IFERROR(INDEX(Pubs!$G$2:$G$3001,MATCH(G3449,Pubs!$A$2:$A$3001,0))&amp;"",""))</f>
        <v/>
      </c>
      <c r="K3449" s="28" t="str">
        <f aca="false">IF(OR(G3449="",G3449="?"),"",IFERROR(INDEX(Pubs!$E$2:$E$3001,MATCH(G3449,Pubs!$A$2:$A$3001,0)),""))</f>
        <v/>
      </c>
      <c r="L3449" s="29" t="str">
        <f aca="false">IF(A3449="","",IFERROR(1/(1/INDEX(Numéros!$C$2:$C$3001,MATCH(A3449&amp;"|"&amp;B3449,Numéros!$F$2:$F$3001,0))),""))</f>
        <v/>
      </c>
      <c r="M3449" s="27" t="str">
        <f aca="false">IF(OR(G3449="",G3449="?"),"",IFERROR(INDEX(Pubs!$D$2:$D$3001,MATCH(G3449,Pubs!$A$2:$A$3001,0))&amp;"",""))</f>
        <v/>
      </c>
      <c r="N3449" s="27" t="n">
        <f aca="false">N(N3448)+IF(AND(A3449&lt;&gt;"",OR(Recherche!$C$4="",A3449=Recherche!$C$4),OR(Recherche!$C$5="",B3449&amp;""=Recherche!$C$5&amp;""),OR(Recherche!$C$6="",IFERROR(YEAR(L3449),0)=Recherche!$C$6),OR(Recherche!$C$7="",ISNUMBER(SEARCH(Recherche!$C$7,H3449))),OR(Recherche!$C$8="",J3449=Recherche!$C$8),OR(Recherche!$C$9="",I3449=Recherche!$C$9),OR(Recherche!$C$10="",G3449&amp;""=Recherche!$C$10&amp;""),OR(Recherche!$C$11="",E3449=Recherche!$C$11),OR(Recherche!$C$12="",ISNUMBER(SEARCH(Recherche!$C$12,M3449&amp;" "&amp;F3449)))),1,0)</f>
        <v>8</v>
      </c>
    </row>
    <row r="3450" customFormat="false" ht="15" hidden="false" customHeight="false" outlineLevel="0" collapsed="false">
      <c r="A3450" s="19"/>
      <c r="B3450" s="19"/>
      <c r="C3450" s="19"/>
      <c r="D3450" s="19"/>
      <c r="E3450" s="22"/>
      <c r="F3450" s="19"/>
      <c r="G3450" s="26" t="str">
        <f aca="false">IF(D3450="","",IFERROR(VALUE(LEFT(D3450,FIND(" |",D3450&amp;" |")-1)),"?"))</f>
        <v/>
      </c>
      <c r="H3450" s="27" t="str">
        <f aca="false">IF(G3450="","",IF(G3450="?","⚠ pub inconnue",IFERROR(INDEX(Pubs!$B$2:$B$3001,MATCH(G3450,Pubs!$A$2:$A$3001,0))&amp;"","⚠ pub inconnue")))</f>
        <v/>
      </c>
      <c r="I3450" s="27" t="str">
        <f aca="false">IF(OR(G3450="",G3450="?"),"",IFERROR(INDEX(Pubs!$C$2:$C$3001,MATCH(G3450,Pubs!$A$2:$A$3001,0))&amp;"",""))</f>
        <v/>
      </c>
      <c r="J3450" s="27" t="str">
        <f aca="false">IF(OR(G3450="",G3450="?"),"",IFERROR(INDEX(Pubs!$G$2:$G$3001,MATCH(G3450,Pubs!$A$2:$A$3001,0))&amp;"",""))</f>
        <v/>
      </c>
      <c r="K3450" s="28" t="str">
        <f aca="false">IF(OR(G3450="",G3450="?"),"",IFERROR(INDEX(Pubs!$E$2:$E$3001,MATCH(G3450,Pubs!$A$2:$A$3001,0)),""))</f>
        <v/>
      </c>
      <c r="L3450" s="29" t="str">
        <f aca="false">IF(A3450="","",IFERROR(1/(1/INDEX(Numéros!$C$2:$C$3001,MATCH(A3450&amp;"|"&amp;B3450,Numéros!$F$2:$F$3001,0))),""))</f>
        <v/>
      </c>
      <c r="M3450" s="27" t="str">
        <f aca="false">IF(OR(G3450="",G3450="?"),"",IFERROR(INDEX(Pubs!$D$2:$D$3001,MATCH(G3450,Pubs!$A$2:$A$3001,0))&amp;"",""))</f>
        <v/>
      </c>
      <c r="N3450" s="27" t="n">
        <f aca="false">N(N3449)+IF(AND(A3450&lt;&gt;"",OR(Recherche!$C$4="",A3450=Recherche!$C$4),OR(Recherche!$C$5="",B3450&amp;""=Recherche!$C$5&amp;""),OR(Recherche!$C$6="",IFERROR(YEAR(L3450),0)=Recherche!$C$6),OR(Recherche!$C$7="",ISNUMBER(SEARCH(Recherche!$C$7,H3450))),OR(Recherche!$C$8="",J3450=Recherche!$C$8),OR(Recherche!$C$9="",I3450=Recherche!$C$9),OR(Recherche!$C$10="",G3450&amp;""=Recherche!$C$10&amp;""),OR(Recherche!$C$11="",E3450=Recherche!$C$11),OR(Recherche!$C$12="",ISNUMBER(SEARCH(Recherche!$C$12,M3450&amp;" "&amp;F3450)))),1,0)</f>
        <v>8</v>
      </c>
    </row>
    <row r="3451" customFormat="false" ht="15" hidden="false" customHeight="false" outlineLevel="0" collapsed="false">
      <c r="A3451" s="19"/>
      <c r="B3451" s="19"/>
      <c r="C3451" s="19"/>
      <c r="D3451" s="19"/>
      <c r="E3451" s="22"/>
      <c r="F3451" s="19"/>
      <c r="G3451" s="26" t="str">
        <f aca="false">IF(D3451="","",IFERROR(VALUE(LEFT(D3451,FIND(" |",D3451&amp;" |")-1)),"?"))</f>
        <v/>
      </c>
      <c r="H3451" s="27" t="str">
        <f aca="false">IF(G3451="","",IF(G3451="?","⚠ pub inconnue",IFERROR(INDEX(Pubs!$B$2:$B$3001,MATCH(G3451,Pubs!$A$2:$A$3001,0))&amp;"","⚠ pub inconnue")))</f>
        <v/>
      </c>
      <c r="I3451" s="27" t="str">
        <f aca="false">IF(OR(G3451="",G3451="?"),"",IFERROR(INDEX(Pubs!$C$2:$C$3001,MATCH(G3451,Pubs!$A$2:$A$3001,0))&amp;"",""))</f>
        <v/>
      </c>
      <c r="J3451" s="27" t="str">
        <f aca="false">IF(OR(G3451="",G3451="?"),"",IFERROR(INDEX(Pubs!$G$2:$G$3001,MATCH(G3451,Pubs!$A$2:$A$3001,0))&amp;"",""))</f>
        <v/>
      </c>
      <c r="K3451" s="28" t="str">
        <f aca="false">IF(OR(G3451="",G3451="?"),"",IFERROR(INDEX(Pubs!$E$2:$E$3001,MATCH(G3451,Pubs!$A$2:$A$3001,0)),""))</f>
        <v/>
      </c>
      <c r="L3451" s="29" t="str">
        <f aca="false">IF(A3451="","",IFERROR(1/(1/INDEX(Numéros!$C$2:$C$3001,MATCH(A3451&amp;"|"&amp;B3451,Numéros!$F$2:$F$3001,0))),""))</f>
        <v/>
      </c>
      <c r="M3451" s="27" t="str">
        <f aca="false">IF(OR(G3451="",G3451="?"),"",IFERROR(INDEX(Pubs!$D$2:$D$3001,MATCH(G3451,Pubs!$A$2:$A$3001,0))&amp;"",""))</f>
        <v/>
      </c>
      <c r="N3451" s="27" t="n">
        <f aca="false">N(N3450)+IF(AND(A3451&lt;&gt;"",OR(Recherche!$C$4="",A3451=Recherche!$C$4),OR(Recherche!$C$5="",B3451&amp;""=Recherche!$C$5&amp;""),OR(Recherche!$C$6="",IFERROR(YEAR(L3451),0)=Recherche!$C$6),OR(Recherche!$C$7="",ISNUMBER(SEARCH(Recherche!$C$7,H3451))),OR(Recherche!$C$8="",J3451=Recherche!$C$8),OR(Recherche!$C$9="",I3451=Recherche!$C$9),OR(Recherche!$C$10="",G3451&amp;""=Recherche!$C$10&amp;""),OR(Recherche!$C$11="",E3451=Recherche!$C$11),OR(Recherche!$C$12="",ISNUMBER(SEARCH(Recherche!$C$12,M3451&amp;" "&amp;F3451)))),1,0)</f>
        <v>8</v>
      </c>
    </row>
    <row r="3452" customFormat="false" ht="15" hidden="false" customHeight="false" outlineLevel="0" collapsed="false">
      <c r="A3452" s="19"/>
      <c r="B3452" s="19"/>
      <c r="C3452" s="19"/>
      <c r="D3452" s="19"/>
      <c r="E3452" s="22"/>
      <c r="F3452" s="19"/>
      <c r="G3452" s="26" t="str">
        <f aca="false">IF(D3452="","",IFERROR(VALUE(LEFT(D3452,FIND(" |",D3452&amp;" |")-1)),"?"))</f>
        <v/>
      </c>
      <c r="H3452" s="27" t="str">
        <f aca="false">IF(G3452="","",IF(G3452="?","⚠ pub inconnue",IFERROR(INDEX(Pubs!$B$2:$B$3001,MATCH(G3452,Pubs!$A$2:$A$3001,0))&amp;"","⚠ pub inconnue")))</f>
        <v/>
      </c>
      <c r="I3452" s="27" t="str">
        <f aca="false">IF(OR(G3452="",G3452="?"),"",IFERROR(INDEX(Pubs!$C$2:$C$3001,MATCH(G3452,Pubs!$A$2:$A$3001,0))&amp;"",""))</f>
        <v/>
      </c>
      <c r="J3452" s="27" t="str">
        <f aca="false">IF(OR(G3452="",G3452="?"),"",IFERROR(INDEX(Pubs!$G$2:$G$3001,MATCH(G3452,Pubs!$A$2:$A$3001,0))&amp;"",""))</f>
        <v/>
      </c>
      <c r="K3452" s="28" t="str">
        <f aca="false">IF(OR(G3452="",G3452="?"),"",IFERROR(INDEX(Pubs!$E$2:$E$3001,MATCH(G3452,Pubs!$A$2:$A$3001,0)),""))</f>
        <v/>
      </c>
      <c r="L3452" s="29" t="str">
        <f aca="false">IF(A3452="","",IFERROR(1/(1/INDEX(Numéros!$C$2:$C$3001,MATCH(A3452&amp;"|"&amp;B3452,Numéros!$F$2:$F$3001,0))),""))</f>
        <v/>
      </c>
      <c r="M3452" s="27" t="str">
        <f aca="false">IF(OR(G3452="",G3452="?"),"",IFERROR(INDEX(Pubs!$D$2:$D$3001,MATCH(G3452,Pubs!$A$2:$A$3001,0))&amp;"",""))</f>
        <v/>
      </c>
      <c r="N3452" s="27" t="n">
        <f aca="false">N(N3451)+IF(AND(A3452&lt;&gt;"",OR(Recherche!$C$4="",A3452=Recherche!$C$4),OR(Recherche!$C$5="",B3452&amp;""=Recherche!$C$5&amp;""),OR(Recherche!$C$6="",IFERROR(YEAR(L3452),0)=Recherche!$C$6),OR(Recherche!$C$7="",ISNUMBER(SEARCH(Recherche!$C$7,H3452))),OR(Recherche!$C$8="",J3452=Recherche!$C$8),OR(Recherche!$C$9="",I3452=Recherche!$C$9),OR(Recherche!$C$10="",G3452&amp;""=Recherche!$C$10&amp;""),OR(Recherche!$C$11="",E3452=Recherche!$C$11),OR(Recherche!$C$12="",ISNUMBER(SEARCH(Recherche!$C$12,M3452&amp;" "&amp;F3452)))),1,0)</f>
        <v>8</v>
      </c>
    </row>
    <row r="3453" customFormat="false" ht="15" hidden="false" customHeight="false" outlineLevel="0" collapsed="false">
      <c r="A3453" s="19"/>
      <c r="B3453" s="19"/>
      <c r="C3453" s="19"/>
      <c r="D3453" s="19"/>
      <c r="E3453" s="22"/>
      <c r="F3453" s="19"/>
      <c r="G3453" s="26" t="str">
        <f aca="false">IF(D3453="","",IFERROR(VALUE(LEFT(D3453,FIND(" |",D3453&amp;" |")-1)),"?"))</f>
        <v/>
      </c>
      <c r="H3453" s="27" t="str">
        <f aca="false">IF(G3453="","",IF(G3453="?","⚠ pub inconnue",IFERROR(INDEX(Pubs!$B$2:$B$3001,MATCH(G3453,Pubs!$A$2:$A$3001,0))&amp;"","⚠ pub inconnue")))</f>
        <v/>
      </c>
      <c r="I3453" s="27" t="str">
        <f aca="false">IF(OR(G3453="",G3453="?"),"",IFERROR(INDEX(Pubs!$C$2:$C$3001,MATCH(G3453,Pubs!$A$2:$A$3001,0))&amp;"",""))</f>
        <v/>
      </c>
      <c r="J3453" s="27" t="str">
        <f aca="false">IF(OR(G3453="",G3453="?"),"",IFERROR(INDEX(Pubs!$G$2:$G$3001,MATCH(G3453,Pubs!$A$2:$A$3001,0))&amp;"",""))</f>
        <v/>
      </c>
      <c r="K3453" s="28" t="str">
        <f aca="false">IF(OR(G3453="",G3453="?"),"",IFERROR(INDEX(Pubs!$E$2:$E$3001,MATCH(G3453,Pubs!$A$2:$A$3001,0)),""))</f>
        <v/>
      </c>
      <c r="L3453" s="29" t="str">
        <f aca="false">IF(A3453="","",IFERROR(1/(1/INDEX(Numéros!$C$2:$C$3001,MATCH(A3453&amp;"|"&amp;B3453,Numéros!$F$2:$F$3001,0))),""))</f>
        <v/>
      </c>
      <c r="M3453" s="27" t="str">
        <f aca="false">IF(OR(G3453="",G3453="?"),"",IFERROR(INDEX(Pubs!$D$2:$D$3001,MATCH(G3453,Pubs!$A$2:$A$3001,0))&amp;"",""))</f>
        <v/>
      </c>
      <c r="N3453" s="27" t="n">
        <f aca="false">N(N3452)+IF(AND(A3453&lt;&gt;"",OR(Recherche!$C$4="",A3453=Recherche!$C$4),OR(Recherche!$C$5="",B3453&amp;""=Recherche!$C$5&amp;""),OR(Recherche!$C$6="",IFERROR(YEAR(L3453),0)=Recherche!$C$6),OR(Recherche!$C$7="",ISNUMBER(SEARCH(Recherche!$C$7,H3453))),OR(Recherche!$C$8="",J3453=Recherche!$C$8),OR(Recherche!$C$9="",I3453=Recherche!$C$9),OR(Recherche!$C$10="",G3453&amp;""=Recherche!$C$10&amp;""),OR(Recherche!$C$11="",E3453=Recherche!$C$11),OR(Recherche!$C$12="",ISNUMBER(SEARCH(Recherche!$C$12,M3453&amp;" "&amp;F3453)))),1,0)</f>
        <v>8</v>
      </c>
    </row>
    <row r="3454" customFormat="false" ht="15" hidden="false" customHeight="false" outlineLevel="0" collapsed="false">
      <c r="A3454" s="19"/>
      <c r="B3454" s="19"/>
      <c r="C3454" s="19"/>
      <c r="D3454" s="19"/>
      <c r="E3454" s="22"/>
      <c r="F3454" s="19"/>
      <c r="G3454" s="26" t="str">
        <f aca="false">IF(D3454="","",IFERROR(VALUE(LEFT(D3454,FIND(" |",D3454&amp;" |")-1)),"?"))</f>
        <v/>
      </c>
      <c r="H3454" s="27" t="str">
        <f aca="false">IF(G3454="","",IF(G3454="?","⚠ pub inconnue",IFERROR(INDEX(Pubs!$B$2:$B$3001,MATCH(G3454,Pubs!$A$2:$A$3001,0))&amp;"","⚠ pub inconnue")))</f>
        <v/>
      </c>
      <c r="I3454" s="27" t="str">
        <f aca="false">IF(OR(G3454="",G3454="?"),"",IFERROR(INDEX(Pubs!$C$2:$C$3001,MATCH(G3454,Pubs!$A$2:$A$3001,0))&amp;"",""))</f>
        <v/>
      </c>
      <c r="J3454" s="27" t="str">
        <f aca="false">IF(OR(G3454="",G3454="?"),"",IFERROR(INDEX(Pubs!$G$2:$G$3001,MATCH(G3454,Pubs!$A$2:$A$3001,0))&amp;"",""))</f>
        <v/>
      </c>
      <c r="K3454" s="28" t="str">
        <f aca="false">IF(OR(G3454="",G3454="?"),"",IFERROR(INDEX(Pubs!$E$2:$E$3001,MATCH(G3454,Pubs!$A$2:$A$3001,0)),""))</f>
        <v/>
      </c>
      <c r="L3454" s="29" t="str">
        <f aca="false">IF(A3454="","",IFERROR(1/(1/INDEX(Numéros!$C$2:$C$3001,MATCH(A3454&amp;"|"&amp;B3454,Numéros!$F$2:$F$3001,0))),""))</f>
        <v/>
      </c>
      <c r="M3454" s="27" t="str">
        <f aca="false">IF(OR(G3454="",G3454="?"),"",IFERROR(INDEX(Pubs!$D$2:$D$3001,MATCH(G3454,Pubs!$A$2:$A$3001,0))&amp;"",""))</f>
        <v/>
      </c>
      <c r="N3454" s="27" t="n">
        <f aca="false">N(N3453)+IF(AND(A3454&lt;&gt;"",OR(Recherche!$C$4="",A3454=Recherche!$C$4),OR(Recherche!$C$5="",B3454&amp;""=Recherche!$C$5&amp;""),OR(Recherche!$C$6="",IFERROR(YEAR(L3454),0)=Recherche!$C$6),OR(Recherche!$C$7="",ISNUMBER(SEARCH(Recherche!$C$7,H3454))),OR(Recherche!$C$8="",J3454=Recherche!$C$8),OR(Recherche!$C$9="",I3454=Recherche!$C$9),OR(Recherche!$C$10="",G3454&amp;""=Recherche!$C$10&amp;""),OR(Recherche!$C$11="",E3454=Recherche!$C$11),OR(Recherche!$C$12="",ISNUMBER(SEARCH(Recherche!$C$12,M3454&amp;" "&amp;F3454)))),1,0)</f>
        <v>8</v>
      </c>
    </row>
    <row r="3455" customFormat="false" ht="15" hidden="false" customHeight="false" outlineLevel="0" collapsed="false">
      <c r="A3455" s="19"/>
      <c r="B3455" s="19"/>
      <c r="C3455" s="19"/>
      <c r="D3455" s="19"/>
      <c r="E3455" s="22"/>
      <c r="F3455" s="19"/>
      <c r="G3455" s="26" t="str">
        <f aca="false">IF(D3455="","",IFERROR(VALUE(LEFT(D3455,FIND(" |",D3455&amp;" |")-1)),"?"))</f>
        <v/>
      </c>
      <c r="H3455" s="27" t="str">
        <f aca="false">IF(G3455="","",IF(G3455="?","⚠ pub inconnue",IFERROR(INDEX(Pubs!$B$2:$B$3001,MATCH(G3455,Pubs!$A$2:$A$3001,0))&amp;"","⚠ pub inconnue")))</f>
        <v/>
      </c>
      <c r="I3455" s="27" t="str">
        <f aca="false">IF(OR(G3455="",G3455="?"),"",IFERROR(INDEX(Pubs!$C$2:$C$3001,MATCH(G3455,Pubs!$A$2:$A$3001,0))&amp;"",""))</f>
        <v/>
      </c>
      <c r="J3455" s="27" t="str">
        <f aca="false">IF(OR(G3455="",G3455="?"),"",IFERROR(INDEX(Pubs!$G$2:$G$3001,MATCH(G3455,Pubs!$A$2:$A$3001,0))&amp;"",""))</f>
        <v/>
      </c>
      <c r="K3455" s="28" t="str">
        <f aca="false">IF(OR(G3455="",G3455="?"),"",IFERROR(INDEX(Pubs!$E$2:$E$3001,MATCH(G3455,Pubs!$A$2:$A$3001,0)),""))</f>
        <v/>
      </c>
      <c r="L3455" s="29" t="str">
        <f aca="false">IF(A3455="","",IFERROR(1/(1/INDEX(Numéros!$C$2:$C$3001,MATCH(A3455&amp;"|"&amp;B3455,Numéros!$F$2:$F$3001,0))),""))</f>
        <v/>
      </c>
      <c r="M3455" s="27" t="str">
        <f aca="false">IF(OR(G3455="",G3455="?"),"",IFERROR(INDEX(Pubs!$D$2:$D$3001,MATCH(G3455,Pubs!$A$2:$A$3001,0))&amp;"",""))</f>
        <v/>
      </c>
      <c r="N3455" s="27" t="n">
        <f aca="false">N(N3454)+IF(AND(A3455&lt;&gt;"",OR(Recherche!$C$4="",A3455=Recherche!$C$4),OR(Recherche!$C$5="",B3455&amp;""=Recherche!$C$5&amp;""),OR(Recherche!$C$6="",IFERROR(YEAR(L3455),0)=Recherche!$C$6),OR(Recherche!$C$7="",ISNUMBER(SEARCH(Recherche!$C$7,H3455))),OR(Recherche!$C$8="",J3455=Recherche!$C$8),OR(Recherche!$C$9="",I3455=Recherche!$C$9),OR(Recherche!$C$10="",G3455&amp;""=Recherche!$C$10&amp;""),OR(Recherche!$C$11="",E3455=Recherche!$C$11),OR(Recherche!$C$12="",ISNUMBER(SEARCH(Recherche!$C$12,M3455&amp;" "&amp;F3455)))),1,0)</f>
        <v>8</v>
      </c>
    </row>
    <row r="3456" customFormat="false" ht="15" hidden="false" customHeight="false" outlineLevel="0" collapsed="false">
      <c r="A3456" s="19"/>
      <c r="B3456" s="19"/>
      <c r="C3456" s="19"/>
      <c r="D3456" s="19"/>
      <c r="E3456" s="22"/>
      <c r="F3456" s="19"/>
      <c r="G3456" s="26" t="str">
        <f aca="false">IF(D3456="","",IFERROR(VALUE(LEFT(D3456,FIND(" |",D3456&amp;" |")-1)),"?"))</f>
        <v/>
      </c>
      <c r="H3456" s="27" t="str">
        <f aca="false">IF(G3456="","",IF(G3456="?","⚠ pub inconnue",IFERROR(INDEX(Pubs!$B$2:$B$3001,MATCH(G3456,Pubs!$A$2:$A$3001,0))&amp;"","⚠ pub inconnue")))</f>
        <v/>
      </c>
      <c r="I3456" s="27" t="str">
        <f aca="false">IF(OR(G3456="",G3456="?"),"",IFERROR(INDEX(Pubs!$C$2:$C$3001,MATCH(G3456,Pubs!$A$2:$A$3001,0))&amp;"",""))</f>
        <v/>
      </c>
      <c r="J3456" s="27" t="str">
        <f aca="false">IF(OR(G3456="",G3456="?"),"",IFERROR(INDEX(Pubs!$G$2:$G$3001,MATCH(G3456,Pubs!$A$2:$A$3001,0))&amp;"",""))</f>
        <v/>
      </c>
      <c r="K3456" s="28" t="str">
        <f aca="false">IF(OR(G3456="",G3456="?"),"",IFERROR(INDEX(Pubs!$E$2:$E$3001,MATCH(G3456,Pubs!$A$2:$A$3001,0)),""))</f>
        <v/>
      </c>
      <c r="L3456" s="29" t="str">
        <f aca="false">IF(A3456="","",IFERROR(1/(1/INDEX(Numéros!$C$2:$C$3001,MATCH(A3456&amp;"|"&amp;B3456,Numéros!$F$2:$F$3001,0))),""))</f>
        <v/>
      </c>
      <c r="M3456" s="27" t="str">
        <f aca="false">IF(OR(G3456="",G3456="?"),"",IFERROR(INDEX(Pubs!$D$2:$D$3001,MATCH(G3456,Pubs!$A$2:$A$3001,0))&amp;"",""))</f>
        <v/>
      </c>
      <c r="N3456" s="27" t="n">
        <f aca="false">N(N3455)+IF(AND(A3456&lt;&gt;"",OR(Recherche!$C$4="",A3456=Recherche!$C$4),OR(Recherche!$C$5="",B3456&amp;""=Recherche!$C$5&amp;""),OR(Recherche!$C$6="",IFERROR(YEAR(L3456),0)=Recherche!$C$6),OR(Recherche!$C$7="",ISNUMBER(SEARCH(Recherche!$C$7,H3456))),OR(Recherche!$C$8="",J3456=Recherche!$C$8),OR(Recherche!$C$9="",I3456=Recherche!$C$9),OR(Recherche!$C$10="",G3456&amp;""=Recherche!$C$10&amp;""),OR(Recherche!$C$11="",E3456=Recherche!$C$11),OR(Recherche!$C$12="",ISNUMBER(SEARCH(Recherche!$C$12,M3456&amp;" "&amp;F3456)))),1,0)</f>
        <v>8</v>
      </c>
    </row>
    <row r="3457" customFormat="false" ht="15" hidden="false" customHeight="false" outlineLevel="0" collapsed="false">
      <c r="A3457" s="19"/>
      <c r="B3457" s="19"/>
      <c r="C3457" s="19"/>
      <c r="D3457" s="19"/>
      <c r="E3457" s="22"/>
      <c r="F3457" s="19"/>
      <c r="G3457" s="26" t="str">
        <f aca="false">IF(D3457="","",IFERROR(VALUE(LEFT(D3457,FIND(" |",D3457&amp;" |")-1)),"?"))</f>
        <v/>
      </c>
      <c r="H3457" s="27" t="str">
        <f aca="false">IF(G3457="","",IF(G3457="?","⚠ pub inconnue",IFERROR(INDEX(Pubs!$B$2:$B$3001,MATCH(G3457,Pubs!$A$2:$A$3001,0))&amp;"","⚠ pub inconnue")))</f>
        <v/>
      </c>
      <c r="I3457" s="27" t="str">
        <f aca="false">IF(OR(G3457="",G3457="?"),"",IFERROR(INDEX(Pubs!$C$2:$C$3001,MATCH(G3457,Pubs!$A$2:$A$3001,0))&amp;"",""))</f>
        <v/>
      </c>
      <c r="J3457" s="27" t="str">
        <f aca="false">IF(OR(G3457="",G3457="?"),"",IFERROR(INDEX(Pubs!$G$2:$G$3001,MATCH(G3457,Pubs!$A$2:$A$3001,0))&amp;"",""))</f>
        <v/>
      </c>
      <c r="K3457" s="28" t="str">
        <f aca="false">IF(OR(G3457="",G3457="?"),"",IFERROR(INDEX(Pubs!$E$2:$E$3001,MATCH(G3457,Pubs!$A$2:$A$3001,0)),""))</f>
        <v/>
      </c>
      <c r="L3457" s="29" t="str">
        <f aca="false">IF(A3457="","",IFERROR(1/(1/INDEX(Numéros!$C$2:$C$3001,MATCH(A3457&amp;"|"&amp;B3457,Numéros!$F$2:$F$3001,0))),""))</f>
        <v/>
      </c>
      <c r="M3457" s="27" t="str">
        <f aca="false">IF(OR(G3457="",G3457="?"),"",IFERROR(INDEX(Pubs!$D$2:$D$3001,MATCH(G3457,Pubs!$A$2:$A$3001,0))&amp;"",""))</f>
        <v/>
      </c>
      <c r="N3457" s="27" t="n">
        <f aca="false">N(N3456)+IF(AND(A3457&lt;&gt;"",OR(Recherche!$C$4="",A3457=Recherche!$C$4),OR(Recherche!$C$5="",B3457&amp;""=Recherche!$C$5&amp;""),OR(Recherche!$C$6="",IFERROR(YEAR(L3457),0)=Recherche!$C$6),OR(Recherche!$C$7="",ISNUMBER(SEARCH(Recherche!$C$7,H3457))),OR(Recherche!$C$8="",J3457=Recherche!$C$8),OR(Recherche!$C$9="",I3457=Recherche!$C$9),OR(Recherche!$C$10="",G3457&amp;""=Recherche!$C$10&amp;""),OR(Recherche!$C$11="",E3457=Recherche!$C$11),OR(Recherche!$C$12="",ISNUMBER(SEARCH(Recherche!$C$12,M3457&amp;" "&amp;F3457)))),1,0)</f>
        <v>8</v>
      </c>
    </row>
    <row r="3458" customFormat="false" ht="15" hidden="false" customHeight="false" outlineLevel="0" collapsed="false">
      <c r="A3458" s="19"/>
      <c r="B3458" s="19"/>
      <c r="C3458" s="19"/>
      <c r="D3458" s="19"/>
      <c r="E3458" s="22"/>
      <c r="F3458" s="19"/>
      <c r="G3458" s="26" t="str">
        <f aca="false">IF(D3458="","",IFERROR(VALUE(LEFT(D3458,FIND(" |",D3458&amp;" |")-1)),"?"))</f>
        <v/>
      </c>
      <c r="H3458" s="27" t="str">
        <f aca="false">IF(G3458="","",IF(G3458="?","⚠ pub inconnue",IFERROR(INDEX(Pubs!$B$2:$B$3001,MATCH(G3458,Pubs!$A$2:$A$3001,0))&amp;"","⚠ pub inconnue")))</f>
        <v/>
      </c>
      <c r="I3458" s="27" t="str">
        <f aca="false">IF(OR(G3458="",G3458="?"),"",IFERROR(INDEX(Pubs!$C$2:$C$3001,MATCH(G3458,Pubs!$A$2:$A$3001,0))&amp;"",""))</f>
        <v/>
      </c>
      <c r="J3458" s="27" t="str">
        <f aca="false">IF(OR(G3458="",G3458="?"),"",IFERROR(INDEX(Pubs!$G$2:$G$3001,MATCH(G3458,Pubs!$A$2:$A$3001,0))&amp;"",""))</f>
        <v/>
      </c>
      <c r="K3458" s="28" t="str">
        <f aca="false">IF(OR(G3458="",G3458="?"),"",IFERROR(INDEX(Pubs!$E$2:$E$3001,MATCH(G3458,Pubs!$A$2:$A$3001,0)),""))</f>
        <v/>
      </c>
      <c r="L3458" s="29" t="str">
        <f aca="false">IF(A3458="","",IFERROR(1/(1/INDEX(Numéros!$C$2:$C$3001,MATCH(A3458&amp;"|"&amp;B3458,Numéros!$F$2:$F$3001,0))),""))</f>
        <v/>
      </c>
      <c r="M3458" s="27" t="str">
        <f aca="false">IF(OR(G3458="",G3458="?"),"",IFERROR(INDEX(Pubs!$D$2:$D$3001,MATCH(G3458,Pubs!$A$2:$A$3001,0))&amp;"",""))</f>
        <v/>
      </c>
      <c r="N3458" s="27" t="n">
        <f aca="false">N(N3457)+IF(AND(A3458&lt;&gt;"",OR(Recherche!$C$4="",A3458=Recherche!$C$4),OR(Recherche!$C$5="",B3458&amp;""=Recherche!$C$5&amp;""),OR(Recherche!$C$6="",IFERROR(YEAR(L3458),0)=Recherche!$C$6),OR(Recherche!$C$7="",ISNUMBER(SEARCH(Recherche!$C$7,H3458))),OR(Recherche!$C$8="",J3458=Recherche!$C$8),OR(Recherche!$C$9="",I3458=Recherche!$C$9),OR(Recherche!$C$10="",G3458&amp;""=Recherche!$C$10&amp;""),OR(Recherche!$C$11="",E3458=Recherche!$C$11),OR(Recherche!$C$12="",ISNUMBER(SEARCH(Recherche!$C$12,M3458&amp;" "&amp;F3458)))),1,0)</f>
        <v>8</v>
      </c>
    </row>
    <row r="3459" customFormat="false" ht="15" hidden="false" customHeight="false" outlineLevel="0" collapsed="false">
      <c r="A3459" s="19"/>
      <c r="B3459" s="19"/>
      <c r="C3459" s="19"/>
      <c r="D3459" s="19"/>
      <c r="E3459" s="22"/>
      <c r="F3459" s="19"/>
      <c r="G3459" s="26" t="str">
        <f aca="false">IF(D3459="","",IFERROR(VALUE(LEFT(D3459,FIND(" |",D3459&amp;" |")-1)),"?"))</f>
        <v/>
      </c>
      <c r="H3459" s="27" t="str">
        <f aca="false">IF(G3459="","",IF(G3459="?","⚠ pub inconnue",IFERROR(INDEX(Pubs!$B$2:$B$3001,MATCH(G3459,Pubs!$A$2:$A$3001,0))&amp;"","⚠ pub inconnue")))</f>
        <v/>
      </c>
      <c r="I3459" s="27" t="str">
        <f aca="false">IF(OR(G3459="",G3459="?"),"",IFERROR(INDEX(Pubs!$C$2:$C$3001,MATCH(G3459,Pubs!$A$2:$A$3001,0))&amp;"",""))</f>
        <v/>
      </c>
      <c r="J3459" s="27" t="str">
        <f aca="false">IF(OR(G3459="",G3459="?"),"",IFERROR(INDEX(Pubs!$G$2:$G$3001,MATCH(G3459,Pubs!$A$2:$A$3001,0))&amp;"",""))</f>
        <v/>
      </c>
      <c r="K3459" s="28" t="str">
        <f aca="false">IF(OR(G3459="",G3459="?"),"",IFERROR(INDEX(Pubs!$E$2:$E$3001,MATCH(G3459,Pubs!$A$2:$A$3001,0)),""))</f>
        <v/>
      </c>
      <c r="L3459" s="29" t="str">
        <f aca="false">IF(A3459="","",IFERROR(1/(1/INDEX(Numéros!$C$2:$C$3001,MATCH(A3459&amp;"|"&amp;B3459,Numéros!$F$2:$F$3001,0))),""))</f>
        <v/>
      </c>
      <c r="M3459" s="27" t="str">
        <f aca="false">IF(OR(G3459="",G3459="?"),"",IFERROR(INDEX(Pubs!$D$2:$D$3001,MATCH(G3459,Pubs!$A$2:$A$3001,0))&amp;"",""))</f>
        <v/>
      </c>
      <c r="N3459" s="27" t="n">
        <f aca="false">N(N3458)+IF(AND(A3459&lt;&gt;"",OR(Recherche!$C$4="",A3459=Recherche!$C$4),OR(Recherche!$C$5="",B3459&amp;""=Recherche!$C$5&amp;""),OR(Recherche!$C$6="",IFERROR(YEAR(L3459),0)=Recherche!$C$6),OR(Recherche!$C$7="",ISNUMBER(SEARCH(Recherche!$C$7,H3459))),OR(Recherche!$C$8="",J3459=Recherche!$C$8),OR(Recherche!$C$9="",I3459=Recherche!$C$9),OR(Recherche!$C$10="",G3459&amp;""=Recherche!$C$10&amp;""),OR(Recherche!$C$11="",E3459=Recherche!$C$11),OR(Recherche!$C$12="",ISNUMBER(SEARCH(Recherche!$C$12,M3459&amp;" "&amp;F3459)))),1,0)</f>
        <v>8</v>
      </c>
    </row>
    <row r="3460" customFormat="false" ht="15" hidden="false" customHeight="false" outlineLevel="0" collapsed="false">
      <c r="A3460" s="19"/>
      <c r="B3460" s="19"/>
      <c r="C3460" s="19"/>
      <c r="D3460" s="19"/>
      <c r="E3460" s="22"/>
      <c r="F3460" s="19"/>
      <c r="G3460" s="26" t="str">
        <f aca="false">IF(D3460="","",IFERROR(VALUE(LEFT(D3460,FIND(" |",D3460&amp;" |")-1)),"?"))</f>
        <v/>
      </c>
      <c r="H3460" s="27" t="str">
        <f aca="false">IF(G3460="","",IF(G3460="?","⚠ pub inconnue",IFERROR(INDEX(Pubs!$B$2:$B$3001,MATCH(G3460,Pubs!$A$2:$A$3001,0))&amp;"","⚠ pub inconnue")))</f>
        <v/>
      </c>
      <c r="I3460" s="27" t="str">
        <f aca="false">IF(OR(G3460="",G3460="?"),"",IFERROR(INDEX(Pubs!$C$2:$C$3001,MATCH(G3460,Pubs!$A$2:$A$3001,0))&amp;"",""))</f>
        <v/>
      </c>
      <c r="J3460" s="27" t="str">
        <f aca="false">IF(OR(G3460="",G3460="?"),"",IFERROR(INDEX(Pubs!$G$2:$G$3001,MATCH(G3460,Pubs!$A$2:$A$3001,0))&amp;"",""))</f>
        <v/>
      </c>
      <c r="K3460" s="28" t="str">
        <f aca="false">IF(OR(G3460="",G3460="?"),"",IFERROR(INDEX(Pubs!$E$2:$E$3001,MATCH(G3460,Pubs!$A$2:$A$3001,0)),""))</f>
        <v/>
      </c>
      <c r="L3460" s="29" t="str">
        <f aca="false">IF(A3460="","",IFERROR(1/(1/INDEX(Numéros!$C$2:$C$3001,MATCH(A3460&amp;"|"&amp;B3460,Numéros!$F$2:$F$3001,0))),""))</f>
        <v/>
      </c>
      <c r="M3460" s="27" t="str">
        <f aca="false">IF(OR(G3460="",G3460="?"),"",IFERROR(INDEX(Pubs!$D$2:$D$3001,MATCH(G3460,Pubs!$A$2:$A$3001,0))&amp;"",""))</f>
        <v/>
      </c>
      <c r="N3460" s="27" t="n">
        <f aca="false">N(N3459)+IF(AND(A3460&lt;&gt;"",OR(Recherche!$C$4="",A3460=Recherche!$C$4),OR(Recherche!$C$5="",B3460&amp;""=Recherche!$C$5&amp;""),OR(Recherche!$C$6="",IFERROR(YEAR(L3460),0)=Recherche!$C$6),OR(Recherche!$C$7="",ISNUMBER(SEARCH(Recherche!$C$7,H3460))),OR(Recherche!$C$8="",J3460=Recherche!$C$8),OR(Recherche!$C$9="",I3460=Recherche!$C$9),OR(Recherche!$C$10="",G3460&amp;""=Recherche!$C$10&amp;""),OR(Recherche!$C$11="",E3460=Recherche!$C$11),OR(Recherche!$C$12="",ISNUMBER(SEARCH(Recherche!$C$12,M3460&amp;" "&amp;F3460)))),1,0)</f>
        <v>8</v>
      </c>
    </row>
    <row r="3461" customFormat="false" ht="15" hidden="false" customHeight="false" outlineLevel="0" collapsed="false">
      <c r="A3461" s="19"/>
      <c r="B3461" s="19"/>
      <c r="C3461" s="19"/>
      <c r="D3461" s="19"/>
      <c r="E3461" s="22"/>
      <c r="F3461" s="19"/>
      <c r="G3461" s="26" t="str">
        <f aca="false">IF(D3461="","",IFERROR(VALUE(LEFT(D3461,FIND(" |",D3461&amp;" |")-1)),"?"))</f>
        <v/>
      </c>
      <c r="H3461" s="27" t="str">
        <f aca="false">IF(G3461="","",IF(G3461="?","⚠ pub inconnue",IFERROR(INDEX(Pubs!$B$2:$B$3001,MATCH(G3461,Pubs!$A$2:$A$3001,0))&amp;"","⚠ pub inconnue")))</f>
        <v/>
      </c>
      <c r="I3461" s="27" t="str">
        <f aca="false">IF(OR(G3461="",G3461="?"),"",IFERROR(INDEX(Pubs!$C$2:$C$3001,MATCH(G3461,Pubs!$A$2:$A$3001,0))&amp;"",""))</f>
        <v/>
      </c>
      <c r="J3461" s="27" t="str">
        <f aca="false">IF(OR(G3461="",G3461="?"),"",IFERROR(INDEX(Pubs!$G$2:$G$3001,MATCH(G3461,Pubs!$A$2:$A$3001,0))&amp;"",""))</f>
        <v/>
      </c>
      <c r="K3461" s="28" t="str">
        <f aca="false">IF(OR(G3461="",G3461="?"),"",IFERROR(INDEX(Pubs!$E$2:$E$3001,MATCH(G3461,Pubs!$A$2:$A$3001,0)),""))</f>
        <v/>
      </c>
      <c r="L3461" s="29" t="str">
        <f aca="false">IF(A3461="","",IFERROR(1/(1/INDEX(Numéros!$C$2:$C$3001,MATCH(A3461&amp;"|"&amp;B3461,Numéros!$F$2:$F$3001,0))),""))</f>
        <v/>
      </c>
      <c r="M3461" s="27" t="str">
        <f aca="false">IF(OR(G3461="",G3461="?"),"",IFERROR(INDEX(Pubs!$D$2:$D$3001,MATCH(G3461,Pubs!$A$2:$A$3001,0))&amp;"",""))</f>
        <v/>
      </c>
      <c r="N3461" s="27" t="n">
        <f aca="false">N(N3460)+IF(AND(A3461&lt;&gt;"",OR(Recherche!$C$4="",A3461=Recherche!$C$4),OR(Recherche!$C$5="",B3461&amp;""=Recherche!$C$5&amp;""),OR(Recherche!$C$6="",IFERROR(YEAR(L3461),0)=Recherche!$C$6),OR(Recherche!$C$7="",ISNUMBER(SEARCH(Recherche!$C$7,H3461))),OR(Recherche!$C$8="",J3461=Recherche!$C$8),OR(Recherche!$C$9="",I3461=Recherche!$C$9),OR(Recherche!$C$10="",G3461&amp;""=Recherche!$C$10&amp;""),OR(Recherche!$C$11="",E3461=Recherche!$C$11),OR(Recherche!$C$12="",ISNUMBER(SEARCH(Recherche!$C$12,M3461&amp;" "&amp;F3461)))),1,0)</f>
        <v>8</v>
      </c>
    </row>
    <row r="3462" customFormat="false" ht="15" hidden="false" customHeight="false" outlineLevel="0" collapsed="false">
      <c r="A3462" s="19"/>
      <c r="B3462" s="19"/>
      <c r="C3462" s="19"/>
      <c r="D3462" s="19"/>
      <c r="E3462" s="22"/>
      <c r="F3462" s="19"/>
      <c r="G3462" s="26" t="str">
        <f aca="false">IF(D3462="","",IFERROR(VALUE(LEFT(D3462,FIND(" |",D3462&amp;" |")-1)),"?"))</f>
        <v/>
      </c>
      <c r="H3462" s="27" t="str">
        <f aca="false">IF(G3462="","",IF(G3462="?","⚠ pub inconnue",IFERROR(INDEX(Pubs!$B$2:$B$3001,MATCH(G3462,Pubs!$A$2:$A$3001,0))&amp;"","⚠ pub inconnue")))</f>
        <v/>
      </c>
      <c r="I3462" s="27" t="str">
        <f aca="false">IF(OR(G3462="",G3462="?"),"",IFERROR(INDEX(Pubs!$C$2:$C$3001,MATCH(G3462,Pubs!$A$2:$A$3001,0))&amp;"",""))</f>
        <v/>
      </c>
      <c r="J3462" s="27" t="str">
        <f aca="false">IF(OR(G3462="",G3462="?"),"",IFERROR(INDEX(Pubs!$G$2:$G$3001,MATCH(G3462,Pubs!$A$2:$A$3001,0))&amp;"",""))</f>
        <v/>
      </c>
      <c r="K3462" s="28" t="str">
        <f aca="false">IF(OR(G3462="",G3462="?"),"",IFERROR(INDEX(Pubs!$E$2:$E$3001,MATCH(G3462,Pubs!$A$2:$A$3001,0)),""))</f>
        <v/>
      </c>
      <c r="L3462" s="29" t="str">
        <f aca="false">IF(A3462="","",IFERROR(1/(1/INDEX(Numéros!$C$2:$C$3001,MATCH(A3462&amp;"|"&amp;B3462,Numéros!$F$2:$F$3001,0))),""))</f>
        <v/>
      </c>
      <c r="M3462" s="27" t="str">
        <f aca="false">IF(OR(G3462="",G3462="?"),"",IFERROR(INDEX(Pubs!$D$2:$D$3001,MATCH(G3462,Pubs!$A$2:$A$3001,0))&amp;"",""))</f>
        <v/>
      </c>
      <c r="N3462" s="27" t="n">
        <f aca="false">N(N3461)+IF(AND(A3462&lt;&gt;"",OR(Recherche!$C$4="",A3462=Recherche!$C$4),OR(Recherche!$C$5="",B3462&amp;""=Recherche!$C$5&amp;""),OR(Recherche!$C$6="",IFERROR(YEAR(L3462),0)=Recherche!$C$6),OR(Recherche!$C$7="",ISNUMBER(SEARCH(Recherche!$C$7,H3462))),OR(Recherche!$C$8="",J3462=Recherche!$C$8),OR(Recherche!$C$9="",I3462=Recherche!$C$9),OR(Recherche!$C$10="",G3462&amp;""=Recherche!$C$10&amp;""),OR(Recherche!$C$11="",E3462=Recherche!$C$11),OR(Recherche!$C$12="",ISNUMBER(SEARCH(Recherche!$C$12,M3462&amp;" "&amp;F3462)))),1,0)</f>
        <v>8</v>
      </c>
    </row>
    <row r="3463" customFormat="false" ht="15" hidden="false" customHeight="false" outlineLevel="0" collapsed="false">
      <c r="A3463" s="19"/>
      <c r="B3463" s="19"/>
      <c r="C3463" s="19"/>
      <c r="D3463" s="19"/>
      <c r="E3463" s="22"/>
      <c r="F3463" s="19"/>
      <c r="G3463" s="26" t="str">
        <f aca="false">IF(D3463="","",IFERROR(VALUE(LEFT(D3463,FIND(" |",D3463&amp;" |")-1)),"?"))</f>
        <v/>
      </c>
      <c r="H3463" s="27" t="str">
        <f aca="false">IF(G3463="","",IF(G3463="?","⚠ pub inconnue",IFERROR(INDEX(Pubs!$B$2:$B$3001,MATCH(G3463,Pubs!$A$2:$A$3001,0))&amp;"","⚠ pub inconnue")))</f>
        <v/>
      </c>
      <c r="I3463" s="27" t="str">
        <f aca="false">IF(OR(G3463="",G3463="?"),"",IFERROR(INDEX(Pubs!$C$2:$C$3001,MATCH(G3463,Pubs!$A$2:$A$3001,0))&amp;"",""))</f>
        <v/>
      </c>
      <c r="J3463" s="27" t="str">
        <f aca="false">IF(OR(G3463="",G3463="?"),"",IFERROR(INDEX(Pubs!$G$2:$G$3001,MATCH(G3463,Pubs!$A$2:$A$3001,0))&amp;"",""))</f>
        <v/>
      </c>
      <c r="K3463" s="28" t="str">
        <f aca="false">IF(OR(G3463="",G3463="?"),"",IFERROR(INDEX(Pubs!$E$2:$E$3001,MATCH(G3463,Pubs!$A$2:$A$3001,0)),""))</f>
        <v/>
      </c>
      <c r="L3463" s="29" t="str">
        <f aca="false">IF(A3463="","",IFERROR(1/(1/INDEX(Numéros!$C$2:$C$3001,MATCH(A3463&amp;"|"&amp;B3463,Numéros!$F$2:$F$3001,0))),""))</f>
        <v/>
      </c>
      <c r="M3463" s="27" t="str">
        <f aca="false">IF(OR(G3463="",G3463="?"),"",IFERROR(INDEX(Pubs!$D$2:$D$3001,MATCH(G3463,Pubs!$A$2:$A$3001,0))&amp;"",""))</f>
        <v/>
      </c>
      <c r="N3463" s="27" t="n">
        <f aca="false">N(N3462)+IF(AND(A3463&lt;&gt;"",OR(Recherche!$C$4="",A3463=Recherche!$C$4),OR(Recherche!$C$5="",B3463&amp;""=Recherche!$C$5&amp;""),OR(Recherche!$C$6="",IFERROR(YEAR(L3463),0)=Recherche!$C$6),OR(Recherche!$C$7="",ISNUMBER(SEARCH(Recherche!$C$7,H3463))),OR(Recherche!$C$8="",J3463=Recherche!$C$8),OR(Recherche!$C$9="",I3463=Recherche!$C$9),OR(Recherche!$C$10="",G3463&amp;""=Recherche!$C$10&amp;""),OR(Recherche!$C$11="",E3463=Recherche!$C$11),OR(Recherche!$C$12="",ISNUMBER(SEARCH(Recherche!$C$12,M3463&amp;" "&amp;F3463)))),1,0)</f>
        <v>8</v>
      </c>
    </row>
    <row r="3464" customFormat="false" ht="15" hidden="false" customHeight="false" outlineLevel="0" collapsed="false">
      <c r="A3464" s="19"/>
      <c r="B3464" s="19"/>
      <c r="C3464" s="19"/>
      <c r="D3464" s="19"/>
      <c r="E3464" s="22"/>
      <c r="F3464" s="19"/>
      <c r="G3464" s="26" t="str">
        <f aca="false">IF(D3464="","",IFERROR(VALUE(LEFT(D3464,FIND(" |",D3464&amp;" |")-1)),"?"))</f>
        <v/>
      </c>
      <c r="H3464" s="27" t="str">
        <f aca="false">IF(G3464="","",IF(G3464="?","⚠ pub inconnue",IFERROR(INDEX(Pubs!$B$2:$B$3001,MATCH(G3464,Pubs!$A$2:$A$3001,0))&amp;"","⚠ pub inconnue")))</f>
        <v/>
      </c>
      <c r="I3464" s="27" t="str">
        <f aca="false">IF(OR(G3464="",G3464="?"),"",IFERROR(INDEX(Pubs!$C$2:$C$3001,MATCH(G3464,Pubs!$A$2:$A$3001,0))&amp;"",""))</f>
        <v/>
      </c>
      <c r="J3464" s="27" t="str">
        <f aca="false">IF(OR(G3464="",G3464="?"),"",IFERROR(INDEX(Pubs!$G$2:$G$3001,MATCH(G3464,Pubs!$A$2:$A$3001,0))&amp;"",""))</f>
        <v/>
      </c>
      <c r="K3464" s="28" t="str">
        <f aca="false">IF(OR(G3464="",G3464="?"),"",IFERROR(INDEX(Pubs!$E$2:$E$3001,MATCH(G3464,Pubs!$A$2:$A$3001,0)),""))</f>
        <v/>
      </c>
      <c r="L3464" s="29" t="str">
        <f aca="false">IF(A3464="","",IFERROR(1/(1/INDEX(Numéros!$C$2:$C$3001,MATCH(A3464&amp;"|"&amp;B3464,Numéros!$F$2:$F$3001,0))),""))</f>
        <v/>
      </c>
      <c r="M3464" s="27" t="str">
        <f aca="false">IF(OR(G3464="",G3464="?"),"",IFERROR(INDEX(Pubs!$D$2:$D$3001,MATCH(G3464,Pubs!$A$2:$A$3001,0))&amp;"",""))</f>
        <v/>
      </c>
      <c r="N3464" s="27" t="n">
        <f aca="false">N(N3463)+IF(AND(A3464&lt;&gt;"",OR(Recherche!$C$4="",A3464=Recherche!$C$4),OR(Recherche!$C$5="",B3464&amp;""=Recherche!$C$5&amp;""),OR(Recherche!$C$6="",IFERROR(YEAR(L3464),0)=Recherche!$C$6),OR(Recherche!$C$7="",ISNUMBER(SEARCH(Recherche!$C$7,H3464))),OR(Recherche!$C$8="",J3464=Recherche!$C$8),OR(Recherche!$C$9="",I3464=Recherche!$C$9),OR(Recherche!$C$10="",G3464&amp;""=Recherche!$C$10&amp;""),OR(Recherche!$C$11="",E3464=Recherche!$C$11),OR(Recherche!$C$12="",ISNUMBER(SEARCH(Recherche!$C$12,M3464&amp;" "&amp;F3464)))),1,0)</f>
        <v>8</v>
      </c>
    </row>
    <row r="3465" customFormat="false" ht="15" hidden="false" customHeight="false" outlineLevel="0" collapsed="false">
      <c r="A3465" s="19"/>
      <c r="B3465" s="19"/>
      <c r="C3465" s="19"/>
      <c r="D3465" s="19"/>
      <c r="E3465" s="22"/>
      <c r="F3465" s="19"/>
      <c r="G3465" s="26" t="str">
        <f aca="false">IF(D3465="","",IFERROR(VALUE(LEFT(D3465,FIND(" |",D3465&amp;" |")-1)),"?"))</f>
        <v/>
      </c>
      <c r="H3465" s="27" t="str">
        <f aca="false">IF(G3465="","",IF(G3465="?","⚠ pub inconnue",IFERROR(INDEX(Pubs!$B$2:$B$3001,MATCH(G3465,Pubs!$A$2:$A$3001,0))&amp;"","⚠ pub inconnue")))</f>
        <v/>
      </c>
      <c r="I3465" s="27" t="str">
        <f aca="false">IF(OR(G3465="",G3465="?"),"",IFERROR(INDEX(Pubs!$C$2:$C$3001,MATCH(G3465,Pubs!$A$2:$A$3001,0))&amp;"",""))</f>
        <v/>
      </c>
      <c r="J3465" s="27" t="str">
        <f aca="false">IF(OR(G3465="",G3465="?"),"",IFERROR(INDEX(Pubs!$G$2:$G$3001,MATCH(G3465,Pubs!$A$2:$A$3001,0))&amp;"",""))</f>
        <v/>
      </c>
      <c r="K3465" s="28" t="str">
        <f aca="false">IF(OR(G3465="",G3465="?"),"",IFERROR(INDEX(Pubs!$E$2:$E$3001,MATCH(G3465,Pubs!$A$2:$A$3001,0)),""))</f>
        <v/>
      </c>
      <c r="L3465" s="29" t="str">
        <f aca="false">IF(A3465="","",IFERROR(1/(1/INDEX(Numéros!$C$2:$C$3001,MATCH(A3465&amp;"|"&amp;B3465,Numéros!$F$2:$F$3001,0))),""))</f>
        <v/>
      </c>
      <c r="M3465" s="27" t="str">
        <f aca="false">IF(OR(G3465="",G3465="?"),"",IFERROR(INDEX(Pubs!$D$2:$D$3001,MATCH(G3465,Pubs!$A$2:$A$3001,0))&amp;"",""))</f>
        <v/>
      </c>
      <c r="N3465" s="27" t="n">
        <f aca="false">N(N3464)+IF(AND(A3465&lt;&gt;"",OR(Recherche!$C$4="",A3465=Recherche!$C$4),OR(Recherche!$C$5="",B3465&amp;""=Recherche!$C$5&amp;""),OR(Recherche!$C$6="",IFERROR(YEAR(L3465),0)=Recherche!$C$6),OR(Recherche!$C$7="",ISNUMBER(SEARCH(Recherche!$C$7,H3465))),OR(Recherche!$C$8="",J3465=Recherche!$C$8),OR(Recherche!$C$9="",I3465=Recherche!$C$9),OR(Recherche!$C$10="",G3465&amp;""=Recherche!$C$10&amp;""),OR(Recherche!$C$11="",E3465=Recherche!$C$11),OR(Recherche!$C$12="",ISNUMBER(SEARCH(Recherche!$C$12,M3465&amp;" "&amp;F3465)))),1,0)</f>
        <v>8</v>
      </c>
    </row>
    <row r="3466" customFormat="false" ht="15" hidden="false" customHeight="false" outlineLevel="0" collapsed="false">
      <c r="A3466" s="19"/>
      <c r="B3466" s="19"/>
      <c r="C3466" s="19"/>
      <c r="D3466" s="19"/>
      <c r="E3466" s="22"/>
      <c r="F3466" s="19"/>
      <c r="G3466" s="26" t="str">
        <f aca="false">IF(D3466="","",IFERROR(VALUE(LEFT(D3466,FIND(" |",D3466&amp;" |")-1)),"?"))</f>
        <v/>
      </c>
      <c r="H3466" s="27" t="str">
        <f aca="false">IF(G3466="","",IF(G3466="?","⚠ pub inconnue",IFERROR(INDEX(Pubs!$B$2:$B$3001,MATCH(G3466,Pubs!$A$2:$A$3001,0))&amp;"","⚠ pub inconnue")))</f>
        <v/>
      </c>
      <c r="I3466" s="27" t="str">
        <f aca="false">IF(OR(G3466="",G3466="?"),"",IFERROR(INDEX(Pubs!$C$2:$C$3001,MATCH(G3466,Pubs!$A$2:$A$3001,0))&amp;"",""))</f>
        <v/>
      </c>
      <c r="J3466" s="27" t="str">
        <f aca="false">IF(OR(G3466="",G3466="?"),"",IFERROR(INDEX(Pubs!$G$2:$G$3001,MATCH(G3466,Pubs!$A$2:$A$3001,0))&amp;"",""))</f>
        <v/>
      </c>
      <c r="K3466" s="28" t="str">
        <f aca="false">IF(OR(G3466="",G3466="?"),"",IFERROR(INDEX(Pubs!$E$2:$E$3001,MATCH(G3466,Pubs!$A$2:$A$3001,0)),""))</f>
        <v/>
      </c>
      <c r="L3466" s="29" t="str">
        <f aca="false">IF(A3466="","",IFERROR(1/(1/INDEX(Numéros!$C$2:$C$3001,MATCH(A3466&amp;"|"&amp;B3466,Numéros!$F$2:$F$3001,0))),""))</f>
        <v/>
      </c>
      <c r="M3466" s="27" t="str">
        <f aca="false">IF(OR(G3466="",G3466="?"),"",IFERROR(INDEX(Pubs!$D$2:$D$3001,MATCH(G3466,Pubs!$A$2:$A$3001,0))&amp;"",""))</f>
        <v/>
      </c>
      <c r="N3466" s="27" t="n">
        <f aca="false">N(N3465)+IF(AND(A3466&lt;&gt;"",OR(Recherche!$C$4="",A3466=Recherche!$C$4),OR(Recherche!$C$5="",B3466&amp;""=Recherche!$C$5&amp;""),OR(Recherche!$C$6="",IFERROR(YEAR(L3466),0)=Recherche!$C$6),OR(Recherche!$C$7="",ISNUMBER(SEARCH(Recherche!$C$7,H3466))),OR(Recherche!$C$8="",J3466=Recherche!$C$8),OR(Recherche!$C$9="",I3466=Recherche!$C$9),OR(Recherche!$C$10="",G3466&amp;""=Recherche!$C$10&amp;""),OR(Recherche!$C$11="",E3466=Recherche!$C$11),OR(Recherche!$C$12="",ISNUMBER(SEARCH(Recherche!$C$12,M3466&amp;" "&amp;F3466)))),1,0)</f>
        <v>8</v>
      </c>
    </row>
    <row r="3467" customFormat="false" ht="15" hidden="false" customHeight="false" outlineLevel="0" collapsed="false">
      <c r="A3467" s="19"/>
      <c r="B3467" s="19"/>
      <c r="C3467" s="19"/>
      <c r="D3467" s="19"/>
      <c r="E3467" s="22"/>
      <c r="F3467" s="19"/>
      <c r="G3467" s="26" t="str">
        <f aca="false">IF(D3467="","",IFERROR(VALUE(LEFT(D3467,FIND(" |",D3467&amp;" |")-1)),"?"))</f>
        <v/>
      </c>
      <c r="H3467" s="27" t="str">
        <f aca="false">IF(G3467="","",IF(G3467="?","⚠ pub inconnue",IFERROR(INDEX(Pubs!$B$2:$B$3001,MATCH(G3467,Pubs!$A$2:$A$3001,0))&amp;"","⚠ pub inconnue")))</f>
        <v/>
      </c>
      <c r="I3467" s="27" t="str">
        <f aca="false">IF(OR(G3467="",G3467="?"),"",IFERROR(INDEX(Pubs!$C$2:$C$3001,MATCH(G3467,Pubs!$A$2:$A$3001,0))&amp;"",""))</f>
        <v/>
      </c>
      <c r="J3467" s="27" t="str">
        <f aca="false">IF(OR(G3467="",G3467="?"),"",IFERROR(INDEX(Pubs!$G$2:$G$3001,MATCH(G3467,Pubs!$A$2:$A$3001,0))&amp;"",""))</f>
        <v/>
      </c>
      <c r="K3467" s="28" t="str">
        <f aca="false">IF(OR(G3467="",G3467="?"),"",IFERROR(INDEX(Pubs!$E$2:$E$3001,MATCH(G3467,Pubs!$A$2:$A$3001,0)),""))</f>
        <v/>
      </c>
      <c r="L3467" s="29" t="str">
        <f aca="false">IF(A3467="","",IFERROR(1/(1/INDEX(Numéros!$C$2:$C$3001,MATCH(A3467&amp;"|"&amp;B3467,Numéros!$F$2:$F$3001,0))),""))</f>
        <v/>
      </c>
      <c r="M3467" s="27" t="str">
        <f aca="false">IF(OR(G3467="",G3467="?"),"",IFERROR(INDEX(Pubs!$D$2:$D$3001,MATCH(G3467,Pubs!$A$2:$A$3001,0))&amp;"",""))</f>
        <v/>
      </c>
      <c r="N3467" s="27" t="n">
        <f aca="false">N(N3466)+IF(AND(A3467&lt;&gt;"",OR(Recherche!$C$4="",A3467=Recherche!$C$4),OR(Recherche!$C$5="",B3467&amp;""=Recherche!$C$5&amp;""),OR(Recherche!$C$6="",IFERROR(YEAR(L3467),0)=Recherche!$C$6),OR(Recherche!$C$7="",ISNUMBER(SEARCH(Recherche!$C$7,H3467))),OR(Recherche!$C$8="",J3467=Recherche!$C$8),OR(Recherche!$C$9="",I3467=Recherche!$C$9),OR(Recherche!$C$10="",G3467&amp;""=Recherche!$C$10&amp;""),OR(Recherche!$C$11="",E3467=Recherche!$C$11),OR(Recherche!$C$12="",ISNUMBER(SEARCH(Recherche!$C$12,M3467&amp;" "&amp;F3467)))),1,0)</f>
        <v>8</v>
      </c>
    </row>
    <row r="3468" customFormat="false" ht="15" hidden="false" customHeight="false" outlineLevel="0" collapsed="false">
      <c r="A3468" s="19"/>
      <c r="B3468" s="19"/>
      <c r="C3468" s="19"/>
      <c r="D3468" s="19"/>
      <c r="E3468" s="22"/>
      <c r="F3468" s="19"/>
      <c r="G3468" s="26" t="str">
        <f aca="false">IF(D3468="","",IFERROR(VALUE(LEFT(D3468,FIND(" |",D3468&amp;" |")-1)),"?"))</f>
        <v/>
      </c>
      <c r="H3468" s="27" t="str">
        <f aca="false">IF(G3468="","",IF(G3468="?","⚠ pub inconnue",IFERROR(INDEX(Pubs!$B$2:$B$3001,MATCH(G3468,Pubs!$A$2:$A$3001,0))&amp;"","⚠ pub inconnue")))</f>
        <v/>
      </c>
      <c r="I3468" s="27" t="str">
        <f aca="false">IF(OR(G3468="",G3468="?"),"",IFERROR(INDEX(Pubs!$C$2:$C$3001,MATCH(G3468,Pubs!$A$2:$A$3001,0))&amp;"",""))</f>
        <v/>
      </c>
      <c r="J3468" s="27" t="str">
        <f aca="false">IF(OR(G3468="",G3468="?"),"",IFERROR(INDEX(Pubs!$G$2:$G$3001,MATCH(G3468,Pubs!$A$2:$A$3001,0))&amp;"",""))</f>
        <v/>
      </c>
      <c r="K3468" s="28" t="str">
        <f aca="false">IF(OR(G3468="",G3468="?"),"",IFERROR(INDEX(Pubs!$E$2:$E$3001,MATCH(G3468,Pubs!$A$2:$A$3001,0)),""))</f>
        <v/>
      </c>
      <c r="L3468" s="29" t="str">
        <f aca="false">IF(A3468="","",IFERROR(1/(1/INDEX(Numéros!$C$2:$C$3001,MATCH(A3468&amp;"|"&amp;B3468,Numéros!$F$2:$F$3001,0))),""))</f>
        <v/>
      </c>
      <c r="M3468" s="27" t="str">
        <f aca="false">IF(OR(G3468="",G3468="?"),"",IFERROR(INDEX(Pubs!$D$2:$D$3001,MATCH(G3468,Pubs!$A$2:$A$3001,0))&amp;"",""))</f>
        <v/>
      </c>
      <c r="N3468" s="27" t="n">
        <f aca="false">N(N3467)+IF(AND(A3468&lt;&gt;"",OR(Recherche!$C$4="",A3468=Recherche!$C$4),OR(Recherche!$C$5="",B3468&amp;""=Recherche!$C$5&amp;""),OR(Recherche!$C$6="",IFERROR(YEAR(L3468),0)=Recherche!$C$6),OR(Recherche!$C$7="",ISNUMBER(SEARCH(Recherche!$C$7,H3468))),OR(Recherche!$C$8="",J3468=Recherche!$C$8),OR(Recherche!$C$9="",I3468=Recherche!$C$9),OR(Recherche!$C$10="",G3468&amp;""=Recherche!$C$10&amp;""),OR(Recherche!$C$11="",E3468=Recherche!$C$11),OR(Recherche!$C$12="",ISNUMBER(SEARCH(Recherche!$C$12,M3468&amp;" "&amp;F3468)))),1,0)</f>
        <v>8</v>
      </c>
    </row>
    <row r="3469" customFormat="false" ht="15" hidden="false" customHeight="false" outlineLevel="0" collapsed="false">
      <c r="A3469" s="19"/>
      <c r="B3469" s="19"/>
      <c r="C3469" s="19"/>
      <c r="D3469" s="19"/>
      <c r="E3469" s="22"/>
      <c r="F3469" s="19"/>
      <c r="G3469" s="26" t="str">
        <f aca="false">IF(D3469="","",IFERROR(VALUE(LEFT(D3469,FIND(" |",D3469&amp;" |")-1)),"?"))</f>
        <v/>
      </c>
      <c r="H3469" s="27" t="str">
        <f aca="false">IF(G3469="","",IF(G3469="?","⚠ pub inconnue",IFERROR(INDEX(Pubs!$B$2:$B$3001,MATCH(G3469,Pubs!$A$2:$A$3001,0))&amp;"","⚠ pub inconnue")))</f>
        <v/>
      </c>
      <c r="I3469" s="27" t="str">
        <f aca="false">IF(OR(G3469="",G3469="?"),"",IFERROR(INDEX(Pubs!$C$2:$C$3001,MATCH(G3469,Pubs!$A$2:$A$3001,0))&amp;"",""))</f>
        <v/>
      </c>
      <c r="J3469" s="27" t="str">
        <f aca="false">IF(OR(G3469="",G3469="?"),"",IFERROR(INDEX(Pubs!$G$2:$G$3001,MATCH(G3469,Pubs!$A$2:$A$3001,0))&amp;"",""))</f>
        <v/>
      </c>
      <c r="K3469" s="28" t="str">
        <f aca="false">IF(OR(G3469="",G3469="?"),"",IFERROR(INDEX(Pubs!$E$2:$E$3001,MATCH(G3469,Pubs!$A$2:$A$3001,0)),""))</f>
        <v/>
      </c>
      <c r="L3469" s="29" t="str">
        <f aca="false">IF(A3469="","",IFERROR(1/(1/INDEX(Numéros!$C$2:$C$3001,MATCH(A3469&amp;"|"&amp;B3469,Numéros!$F$2:$F$3001,0))),""))</f>
        <v/>
      </c>
      <c r="M3469" s="27" t="str">
        <f aca="false">IF(OR(G3469="",G3469="?"),"",IFERROR(INDEX(Pubs!$D$2:$D$3001,MATCH(G3469,Pubs!$A$2:$A$3001,0))&amp;"",""))</f>
        <v/>
      </c>
      <c r="N3469" s="27" t="n">
        <f aca="false">N(N3468)+IF(AND(A3469&lt;&gt;"",OR(Recherche!$C$4="",A3469=Recherche!$C$4),OR(Recherche!$C$5="",B3469&amp;""=Recherche!$C$5&amp;""),OR(Recherche!$C$6="",IFERROR(YEAR(L3469),0)=Recherche!$C$6),OR(Recherche!$C$7="",ISNUMBER(SEARCH(Recherche!$C$7,H3469))),OR(Recherche!$C$8="",J3469=Recherche!$C$8),OR(Recherche!$C$9="",I3469=Recherche!$C$9),OR(Recherche!$C$10="",G3469&amp;""=Recherche!$C$10&amp;""),OR(Recherche!$C$11="",E3469=Recherche!$C$11),OR(Recherche!$C$12="",ISNUMBER(SEARCH(Recherche!$C$12,M3469&amp;" "&amp;F3469)))),1,0)</f>
        <v>8</v>
      </c>
    </row>
    <row r="3470" customFormat="false" ht="15" hidden="false" customHeight="false" outlineLevel="0" collapsed="false">
      <c r="A3470" s="19"/>
      <c r="B3470" s="19"/>
      <c r="C3470" s="19"/>
      <c r="D3470" s="19"/>
      <c r="E3470" s="22"/>
      <c r="F3470" s="19"/>
      <c r="G3470" s="26" t="str">
        <f aca="false">IF(D3470="","",IFERROR(VALUE(LEFT(D3470,FIND(" |",D3470&amp;" |")-1)),"?"))</f>
        <v/>
      </c>
      <c r="H3470" s="27" t="str">
        <f aca="false">IF(G3470="","",IF(G3470="?","⚠ pub inconnue",IFERROR(INDEX(Pubs!$B$2:$B$3001,MATCH(G3470,Pubs!$A$2:$A$3001,0))&amp;"","⚠ pub inconnue")))</f>
        <v/>
      </c>
      <c r="I3470" s="27" t="str">
        <f aca="false">IF(OR(G3470="",G3470="?"),"",IFERROR(INDEX(Pubs!$C$2:$C$3001,MATCH(G3470,Pubs!$A$2:$A$3001,0))&amp;"",""))</f>
        <v/>
      </c>
      <c r="J3470" s="27" t="str">
        <f aca="false">IF(OR(G3470="",G3470="?"),"",IFERROR(INDEX(Pubs!$G$2:$G$3001,MATCH(G3470,Pubs!$A$2:$A$3001,0))&amp;"",""))</f>
        <v/>
      </c>
      <c r="K3470" s="28" t="str">
        <f aca="false">IF(OR(G3470="",G3470="?"),"",IFERROR(INDEX(Pubs!$E$2:$E$3001,MATCH(G3470,Pubs!$A$2:$A$3001,0)),""))</f>
        <v/>
      </c>
      <c r="L3470" s="29" t="str">
        <f aca="false">IF(A3470="","",IFERROR(1/(1/INDEX(Numéros!$C$2:$C$3001,MATCH(A3470&amp;"|"&amp;B3470,Numéros!$F$2:$F$3001,0))),""))</f>
        <v/>
      </c>
      <c r="M3470" s="27" t="str">
        <f aca="false">IF(OR(G3470="",G3470="?"),"",IFERROR(INDEX(Pubs!$D$2:$D$3001,MATCH(G3470,Pubs!$A$2:$A$3001,0))&amp;"",""))</f>
        <v/>
      </c>
      <c r="N3470" s="27" t="n">
        <f aca="false">N(N3469)+IF(AND(A3470&lt;&gt;"",OR(Recherche!$C$4="",A3470=Recherche!$C$4),OR(Recherche!$C$5="",B3470&amp;""=Recherche!$C$5&amp;""),OR(Recherche!$C$6="",IFERROR(YEAR(L3470),0)=Recherche!$C$6),OR(Recherche!$C$7="",ISNUMBER(SEARCH(Recherche!$C$7,H3470))),OR(Recherche!$C$8="",J3470=Recherche!$C$8),OR(Recherche!$C$9="",I3470=Recherche!$C$9),OR(Recherche!$C$10="",G3470&amp;""=Recherche!$C$10&amp;""),OR(Recherche!$C$11="",E3470=Recherche!$C$11),OR(Recherche!$C$12="",ISNUMBER(SEARCH(Recherche!$C$12,M3470&amp;" "&amp;F3470)))),1,0)</f>
        <v>8</v>
      </c>
    </row>
    <row r="3471" customFormat="false" ht="15" hidden="false" customHeight="false" outlineLevel="0" collapsed="false">
      <c r="A3471" s="19"/>
      <c r="B3471" s="19"/>
      <c r="C3471" s="19"/>
      <c r="D3471" s="19"/>
      <c r="E3471" s="22"/>
      <c r="F3471" s="19"/>
      <c r="G3471" s="26" t="str">
        <f aca="false">IF(D3471="","",IFERROR(VALUE(LEFT(D3471,FIND(" |",D3471&amp;" |")-1)),"?"))</f>
        <v/>
      </c>
      <c r="H3471" s="27" t="str">
        <f aca="false">IF(G3471="","",IF(G3471="?","⚠ pub inconnue",IFERROR(INDEX(Pubs!$B$2:$B$3001,MATCH(G3471,Pubs!$A$2:$A$3001,0))&amp;"","⚠ pub inconnue")))</f>
        <v/>
      </c>
      <c r="I3471" s="27" t="str">
        <f aca="false">IF(OR(G3471="",G3471="?"),"",IFERROR(INDEX(Pubs!$C$2:$C$3001,MATCH(G3471,Pubs!$A$2:$A$3001,0))&amp;"",""))</f>
        <v/>
      </c>
      <c r="J3471" s="27" t="str">
        <f aca="false">IF(OR(G3471="",G3471="?"),"",IFERROR(INDEX(Pubs!$G$2:$G$3001,MATCH(G3471,Pubs!$A$2:$A$3001,0))&amp;"",""))</f>
        <v/>
      </c>
      <c r="K3471" s="28" t="str">
        <f aca="false">IF(OR(G3471="",G3471="?"),"",IFERROR(INDEX(Pubs!$E$2:$E$3001,MATCH(G3471,Pubs!$A$2:$A$3001,0)),""))</f>
        <v/>
      </c>
      <c r="L3471" s="29" t="str">
        <f aca="false">IF(A3471="","",IFERROR(1/(1/INDEX(Numéros!$C$2:$C$3001,MATCH(A3471&amp;"|"&amp;B3471,Numéros!$F$2:$F$3001,0))),""))</f>
        <v/>
      </c>
      <c r="M3471" s="27" t="str">
        <f aca="false">IF(OR(G3471="",G3471="?"),"",IFERROR(INDEX(Pubs!$D$2:$D$3001,MATCH(G3471,Pubs!$A$2:$A$3001,0))&amp;"",""))</f>
        <v/>
      </c>
      <c r="N3471" s="27" t="n">
        <f aca="false">N(N3470)+IF(AND(A3471&lt;&gt;"",OR(Recherche!$C$4="",A3471=Recherche!$C$4),OR(Recherche!$C$5="",B3471&amp;""=Recherche!$C$5&amp;""),OR(Recherche!$C$6="",IFERROR(YEAR(L3471),0)=Recherche!$C$6),OR(Recherche!$C$7="",ISNUMBER(SEARCH(Recherche!$C$7,H3471))),OR(Recherche!$C$8="",J3471=Recherche!$C$8),OR(Recherche!$C$9="",I3471=Recherche!$C$9),OR(Recherche!$C$10="",G3471&amp;""=Recherche!$C$10&amp;""),OR(Recherche!$C$11="",E3471=Recherche!$C$11),OR(Recherche!$C$12="",ISNUMBER(SEARCH(Recherche!$C$12,M3471&amp;" "&amp;F3471)))),1,0)</f>
        <v>8</v>
      </c>
    </row>
    <row r="3472" customFormat="false" ht="15" hidden="false" customHeight="false" outlineLevel="0" collapsed="false">
      <c r="A3472" s="19"/>
      <c r="B3472" s="19"/>
      <c r="C3472" s="19"/>
      <c r="D3472" s="19"/>
      <c r="E3472" s="22"/>
      <c r="F3472" s="19"/>
      <c r="G3472" s="26" t="str">
        <f aca="false">IF(D3472="","",IFERROR(VALUE(LEFT(D3472,FIND(" |",D3472&amp;" |")-1)),"?"))</f>
        <v/>
      </c>
      <c r="H3472" s="27" t="str">
        <f aca="false">IF(G3472="","",IF(G3472="?","⚠ pub inconnue",IFERROR(INDEX(Pubs!$B$2:$B$3001,MATCH(G3472,Pubs!$A$2:$A$3001,0))&amp;"","⚠ pub inconnue")))</f>
        <v/>
      </c>
      <c r="I3472" s="27" t="str">
        <f aca="false">IF(OR(G3472="",G3472="?"),"",IFERROR(INDEX(Pubs!$C$2:$C$3001,MATCH(G3472,Pubs!$A$2:$A$3001,0))&amp;"",""))</f>
        <v/>
      </c>
      <c r="J3472" s="27" t="str">
        <f aca="false">IF(OR(G3472="",G3472="?"),"",IFERROR(INDEX(Pubs!$G$2:$G$3001,MATCH(G3472,Pubs!$A$2:$A$3001,0))&amp;"",""))</f>
        <v/>
      </c>
      <c r="K3472" s="28" t="str">
        <f aca="false">IF(OR(G3472="",G3472="?"),"",IFERROR(INDEX(Pubs!$E$2:$E$3001,MATCH(G3472,Pubs!$A$2:$A$3001,0)),""))</f>
        <v/>
      </c>
      <c r="L3472" s="29" t="str">
        <f aca="false">IF(A3472="","",IFERROR(1/(1/INDEX(Numéros!$C$2:$C$3001,MATCH(A3472&amp;"|"&amp;B3472,Numéros!$F$2:$F$3001,0))),""))</f>
        <v/>
      </c>
      <c r="M3472" s="27" t="str">
        <f aca="false">IF(OR(G3472="",G3472="?"),"",IFERROR(INDEX(Pubs!$D$2:$D$3001,MATCH(G3472,Pubs!$A$2:$A$3001,0))&amp;"",""))</f>
        <v/>
      </c>
      <c r="N3472" s="27" t="n">
        <f aca="false">N(N3471)+IF(AND(A3472&lt;&gt;"",OR(Recherche!$C$4="",A3472=Recherche!$C$4),OR(Recherche!$C$5="",B3472&amp;""=Recherche!$C$5&amp;""),OR(Recherche!$C$6="",IFERROR(YEAR(L3472),0)=Recherche!$C$6),OR(Recherche!$C$7="",ISNUMBER(SEARCH(Recherche!$C$7,H3472))),OR(Recherche!$C$8="",J3472=Recherche!$C$8),OR(Recherche!$C$9="",I3472=Recherche!$C$9),OR(Recherche!$C$10="",G3472&amp;""=Recherche!$C$10&amp;""),OR(Recherche!$C$11="",E3472=Recherche!$C$11),OR(Recherche!$C$12="",ISNUMBER(SEARCH(Recherche!$C$12,M3472&amp;" "&amp;F3472)))),1,0)</f>
        <v>8</v>
      </c>
    </row>
    <row r="3473" customFormat="false" ht="15" hidden="false" customHeight="false" outlineLevel="0" collapsed="false">
      <c r="A3473" s="19"/>
      <c r="B3473" s="19"/>
      <c r="C3473" s="19"/>
      <c r="D3473" s="19"/>
      <c r="E3473" s="22"/>
      <c r="F3473" s="19"/>
      <c r="G3473" s="26" t="str">
        <f aca="false">IF(D3473="","",IFERROR(VALUE(LEFT(D3473,FIND(" |",D3473&amp;" |")-1)),"?"))</f>
        <v/>
      </c>
      <c r="H3473" s="27" t="str">
        <f aca="false">IF(G3473="","",IF(G3473="?","⚠ pub inconnue",IFERROR(INDEX(Pubs!$B$2:$B$3001,MATCH(G3473,Pubs!$A$2:$A$3001,0))&amp;"","⚠ pub inconnue")))</f>
        <v/>
      </c>
      <c r="I3473" s="27" t="str">
        <f aca="false">IF(OR(G3473="",G3473="?"),"",IFERROR(INDEX(Pubs!$C$2:$C$3001,MATCH(G3473,Pubs!$A$2:$A$3001,0))&amp;"",""))</f>
        <v/>
      </c>
      <c r="J3473" s="27" t="str">
        <f aca="false">IF(OR(G3473="",G3473="?"),"",IFERROR(INDEX(Pubs!$G$2:$G$3001,MATCH(G3473,Pubs!$A$2:$A$3001,0))&amp;"",""))</f>
        <v/>
      </c>
      <c r="K3473" s="28" t="str">
        <f aca="false">IF(OR(G3473="",G3473="?"),"",IFERROR(INDEX(Pubs!$E$2:$E$3001,MATCH(G3473,Pubs!$A$2:$A$3001,0)),""))</f>
        <v/>
      </c>
      <c r="L3473" s="29" t="str">
        <f aca="false">IF(A3473="","",IFERROR(1/(1/INDEX(Numéros!$C$2:$C$3001,MATCH(A3473&amp;"|"&amp;B3473,Numéros!$F$2:$F$3001,0))),""))</f>
        <v/>
      </c>
      <c r="M3473" s="27" t="str">
        <f aca="false">IF(OR(G3473="",G3473="?"),"",IFERROR(INDEX(Pubs!$D$2:$D$3001,MATCH(G3473,Pubs!$A$2:$A$3001,0))&amp;"",""))</f>
        <v/>
      </c>
      <c r="N3473" s="27" t="n">
        <f aca="false">N(N3472)+IF(AND(A3473&lt;&gt;"",OR(Recherche!$C$4="",A3473=Recherche!$C$4),OR(Recherche!$C$5="",B3473&amp;""=Recherche!$C$5&amp;""),OR(Recherche!$C$6="",IFERROR(YEAR(L3473),0)=Recherche!$C$6),OR(Recherche!$C$7="",ISNUMBER(SEARCH(Recherche!$C$7,H3473))),OR(Recherche!$C$8="",J3473=Recherche!$C$8),OR(Recherche!$C$9="",I3473=Recherche!$C$9),OR(Recherche!$C$10="",G3473&amp;""=Recherche!$C$10&amp;""),OR(Recherche!$C$11="",E3473=Recherche!$C$11),OR(Recherche!$C$12="",ISNUMBER(SEARCH(Recherche!$C$12,M3473&amp;" "&amp;F3473)))),1,0)</f>
        <v>8</v>
      </c>
    </row>
    <row r="3474" customFormat="false" ht="15" hidden="false" customHeight="false" outlineLevel="0" collapsed="false">
      <c r="A3474" s="19"/>
      <c r="B3474" s="19"/>
      <c r="C3474" s="19"/>
      <c r="D3474" s="19"/>
      <c r="E3474" s="22"/>
      <c r="F3474" s="19"/>
      <c r="G3474" s="26" t="str">
        <f aca="false">IF(D3474="","",IFERROR(VALUE(LEFT(D3474,FIND(" |",D3474&amp;" |")-1)),"?"))</f>
        <v/>
      </c>
      <c r="H3474" s="27" t="str">
        <f aca="false">IF(G3474="","",IF(G3474="?","⚠ pub inconnue",IFERROR(INDEX(Pubs!$B$2:$B$3001,MATCH(G3474,Pubs!$A$2:$A$3001,0))&amp;"","⚠ pub inconnue")))</f>
        <v/>
      </c>
      <c r="I3474" s="27" t="str">
        <f aca="false">IF(OR(G3474="",G3474="?"),"",IFERROR(INDEX(Pubs!$C$2:$C$3001,MATCH(G3474,Pubs!$A$2:$A$3001,0))&amp;"",""))</f>
        <v/>
      </c>
      <c r="J3474" s="27" t="str">
        <f aca="false">IF(OR(G3474="",G3474="?"),"",IFERROR(INDEX(Pubs!$G$2:$G$3001,MATCH(G3474,Pubs!$A$2:$A$3001,0))&amp;"",""))</f>
        <v/>
      </c>
      <c r="K3474" s="28" t="str">
        <f aca="false">IF(OR(G3474="",G3474="?"),"",IFERROR(INDEX(Pubs!$E$2:$E$3001,MATCH(G3474,Pubs!$A$2:$A$3001,0)),""))</f>
        <v/>
      </c>
      <c r="L3474" s="29" t="str">
        <f aca="false">IF(A3474="","",IFERROR(1/(1/INDEX(Numéros!$C$2:$C$3001,MATCH(A3474&amp;"|"&amp;B3474,Numéros!$F$2:$F$3001,0))),""))</f>
        <v/>
      </c>
      <c r="M3474" s="27" t="str">
        <f aca="false">IF(OR(G3474="",G3474="?"),"",IFERROR(INDEX(Pubs!$D$2:$D$3001,MATCH(G3474,Pubs!$A$2:$A$3001,0))&amp;"",""))</f>
        <v/>
      </c>
      <c r="N3474" s="27" t="n">
        <f aca="false">N(N3473)+IF(AND(A3474&lt;&gt;"",OR(Recherche!$C$4="",A3474=Recherche!$C$4),OR(Recherche!$C$5="",B3474&amp;""=Recherche!$C$5&amp;""),OR(Recherche!$C$6="",IFERROR(YEAR(L3474),0)=Recherche!$C$6),OR(Recherche!$C$7="",ISNUMBER(SEARCH(Recherche!$C$7,H3474))),OR(Recherche!$C$8="",J3474=Recherche!$C$8),OR(Recherche!$C$9="",I3474=Recherche!$C$9),OR(Recherche!$C$10="",G3474&amp;""=Recherche!$C$10&amp;""),OR(Recherche!$C$11="",E3474=Recherche!$C$11),OR(Recherche!$C$12="",ISNUMBER(SEARCH(Recherche!$C$12,M3474&amp;" "&amp;F3474)))),1,0)</f>
        <v>8</v>
      </c>
    </row>
    <row r="3475" customFormat="false" ht="15" hidden="false" customHeight="false" outlineLevel="0" collapsed="false">
      <c r="A3475" s="19"/>
      <c r="B3475" s="19"/>
      <c r="C3475" s="19"/>
      <c r="D3475" s="19"/>
      <c r="E3475" s="22"/>
      <c r="F3475" s="19"/>
      <c r="G3475" s="26" t="str">
        <f aca="false">IF(D3475="","",IFERROR(VALUE(LEFT(D3475,FIND(" |",D3475&amp;" |")-1)),"?"))</f>
        <v/>
      </c>
      <c r="H3475" s="27" t="str">
        <f aca="false">IF(G3475="","",IF(G3475="?","⚠ pub inconnue",IFERROR(INDEX(Pubs!$B$2:$B$3001,MATCH(G3475,Pubs!$A$2:$A$3001,0))&amp;"","⚠ pub inconnue")))</f>
        <v/>
      </c>
      <c r="I3475" s="27" t="str">
        <f aca="false">IF(OR(G3475="",G3475="?"),"",IFERROR(INDEX(Pubs!$C$2:$C$3001,MATCH(G3475,Pubs!$A$2:$A$3001,0))&amp;"",""))</f>
        <v/>
      </c>
      <c r="J3475" s="27" t="str">
        <f aca="false">IF(OR(G3475="",G3475="?"),"",IFERROR(INDEX(Pubs!$G$2:$G$3001,MATCH(G3475,Pubs!$A$2:$A$3001,0))&amp;"",""))</f>
        <v/>
      </c>
      <c r="K3475" s="28" t="str">
        <f aca="false">IF(OR(G3475="",G3475="?"),"",IFERROR(INDEX(Pubs!$E$2:$E$3001,MATCH(G3475,Pubs!$A$2:$A$3001,0)),""))</f>
        <v/>
      </c>
      <c r="L3475" s="29" t="str">
        <f aca="false">IF(A3475="","",IFERROR(1/(1/INDEX(Numéros!$C$2:$C$3001,MATCH(A3475&amp;"|"&amp;B3475,Numéros!$F$2:$F$3001,0))),""))</f>
        <v/>
      </c>
      <c r="M3475" s="27" t="str">
        <f aca="false">IF(OR(G3475="",G3475="?"),"",IFERROR(INDEX(Pubs!$D$2:$D$3001,MATCH(G3475,Pubs!$A$2:$A$3001,0))&amp;"",""))</f>
        <v/>
      </c>
      <c r="N3475" s="27" t="n">
        <f aca="false">N(N3474)+IF(AND(A3475&lt;&gt;"",OR(Recherche!$C$4="",A3475=Recherche!$C$4),OR(Recherche!$C$5="",B3475&amp;""=Recherche!$C$5&amp;""),OR(Recherche!$C$6="",IFERROR(YEAR(L3475),0)=Recherche!$C$6),OR(Recherche!$C$7="",ISNUMBER(SEARCH(Recherche!$C$7,H3475))),OR(Recherche!$C$8="",J3475=Recherche!$C$8),OR(Recherche!$C$9="",I3475=Recherche!$C$9),OR(Recherche!$C$10="",G3475&amp;""=Recherche!$C$10&amp;""),OR(Recherche!$C$11="",E3475=Recherche!$C$11),OR(Recherche!$C$12="",ISNUMBER(SEARCH(Recherche!$C$12,M3475&amp;" "&amp;F3475)))),1,0)</f>
        <v>8</v>
      </c>
    </row>
    <row r="3476" customFormat="false" ht="15" hidden="false" customHeight="false" outlineLevel="0" collapsed="false">
      <c r="A3476" s="19"/>
      <c r="B3476" s="19"/>
      <c r="C3476" s="19"/>
      <c r="D3476" s="19"/>
      <c r="E3476" s="22"/>
      <c r="F3476" s="19"/>
      <c r="G3476" s="26" t="str">
        <f aca="false">IF(D3476="","",IFERROR(VALUE(LEFT(D3476,FIND(" |",D3476&amp;" |")-1)),"?"))</f>
        <v/>
      </c>
      <c r="H3476" s="27" t="str">
        <f aca="false">IF(G3476="","",IF(G3476="?","⚠ pub inconnue",IFERROR(INDEX(Pubs!$B$2:$B$3001,MATCH(G3476,Pubs!$A$2:$A$3001,0))&amp;"","⚠ pub inconnue")))</f>
        <v/>
      </c>
      <c r="I3476" s="27" t="str">
        <f aca="false">IF(OR(G3476="",G3476="?"),"",IFERROR(INDEX(Pubs!$C$2:$C$3001,MATCH(G3476,Pubs!$A$2:$A$3001,0))&amp;"",""))</f>
        <v/>
      </c>
      <c r="J3476" s="27" t="str">
        <f aca="false">IF(OR(G3476="",G3476="?"),"",IFERROR(INDEX(Pubs!$G$2:$G$3001,MATCH(G3476,Pubs!$A$2:$A$3001,0))&amp;"",""))</f>
        <v/>
      </c>
      <c r="K3476" s="28" t="str">
        <f aca="false">IF(OR(G3476="",G3476="?"),"",IFERROR(INDEX(Pubs!$E$2:$E$3001,MATCH(G3476,Pubs!$A$2:$A$3001,0)),""))</f>
        <v/>
      </c>
      <c r="L3476" s="29" t="str">
        <f aca="false">IF(A3476="","",IFERROR(1/(1/INDEX(Numéros!$C$2:$C$3001,MATCH(A3476&amp;"|"&amp;B3476,Numéros!$F$2:$F$3001,0))),""))</f>
        <v/>
      </c>
      <c r="M3476" s="27" t="str">
        <f aca="false">IF(OR(G3476="",G3476="?"),"",IFERROR(INDEX(Pubs!$D$2:$D$3001,MATCH(G3476,Pubs!$A$2:$A$3001,0))&amp;"",""))</f>
        <v/>
      </c>
      <c r="N3476" s="27" t="n">
        <f aca="false">N(N3475)+IF(AND(A3476&lt;&gt;"",OR(Recherche!$C$4="",A3476=Recherche!$C$4),OR(Recherche!$C$5="",B3476&amp;""=Recherche!$C$5&amp;""),OR(Recherche!$C$6="",IFERROR(YEAR(L3476),0)=Recherche!$C$6),OR(Recherche!$C$7="",ISNUMBER(SEARCH(Recherche!$C$7,H3476))),OR(Recherche!$C$8="",J3476=Recherche!$C$8),OR(Recherche!$C$9="",I3476=Recherche!$C$9),OR(Recherche!$C$10="",G3476&amp;""=Recherche!$C$10&amp;""),OR(Recherche!$C$11="",E3476=Recherche!$C$11),OR(Recherche!$C$12="",ISNUMBER(SEARCH(Recherche!$C$12,M3476&amp;" "&amp;F3476)))),1,0)</f>
        <v>8</v>
      </c>
    </row>
    <row r="3477" customFormat="false" ht="15" hidden="false" customHeight="false" outlineLevel="0" collapsed="false">
      <c r="A3477" s="19"/>
      <c r="B3477" s="19"/>
      <c r="C3477" s="19"/>
      <c r="D3477" s="19"/>
      <c r="E3477" s="22"/>
      <c r="F3477" s="19"/>
      <c r="G3477" s="26" t="str">
        <f aca="false">IF(D3477="","",IFERROR(VALUE(LEFT(D3477,FIND(" |",D3477&amp;" |")-1)),"?"))</f>
        <v/>
      </c>
      <c r="H3477" s="27" t="str">
        <f aca="false">IF(G3477="","",IF(G3477="?","⚠ pub inconnue",IFERROR(INDEX(Pubs!$B$2:$B$3001,MATCH(G3477,Pubs!$A$2:$A$3001,0))&amp;"","⚠ pub inconnue")))</f>
        <v/>
      </c>
      <c r="I3477" s="27" t="str">
        <f aca="false">IF(OR(G3477="",G3477="?"),"",IFERROR(INDEX(Pubs!$C$2:$C$3001,MATCH(G3477,Pubs!$A$2:$A$3001,0))&amp;"",""))</f>
        <v/>
      </c>
      <c r="J3477" s="27" t="str">
        <f aca="false">IF(OR(G3477="",G3477="?"),"",IFERROR(INDEX(Pubs!$G$2:$G$3001,MATCH(G3477,Pubs!$A$2:$A$3001,0))&amp;"",""))</f>
        <v/>
      </c>
      <c r="K3477" s="28" t="str">
        <f aca="false">IF(OR(G3477="",G3477="?"),"",IFERROR(INDEX(Pubs!$E$2:$E$3001,MATCH(G3477,Pubs!$A$2:$A$3001,0)),""))</f>
        <v/>
      </c>
      <c r="L3477" s="29" t="str">
        <f aca="false">IF(A3477="","",IFERROR(1/(1/INDEX(Numéros!$C$2:$C$3001,MATCH(A3477&amp;"|"&amp;B3477,Numéros!$F$2:$F$3001,0))),""))</f>
        <v/>
      </c>
      <c r="M3477" s="27" t="str">
        <f aca="false">IF(OR(G3477="",G3477="?"),"",IFERROR(INDEX(Pubs!$D$2:$D$3001,MATCH(G3477,Pubs!$A$2:$A$3001,0))&amp;"",""))</f>
        <v/>
      </c>
      <c r="N3477" s="27" t="n">
        <f aca="false">N(N3476)+IF(AND(A3477&lt;&gt;"",OR(Recherche!$C$4="",A3477=Recherche!$C$4),OR(Recherche!$C$5="",B3477&amp;""=Recherche!$C$5&amp;""),OR(Recherche!$C$6="",IFERROR(YEAR(L3477),0)=Recherche!$C$6),OR(Recherche!$C$7="",ISNUMBER(SEARCH(Recherche!$C$7,H3477))),OR(Recherche!$C$8="",J3477=Recherche!$C$8),OR(Recherche!$C$9="",I3477=Recherche!$C$9),OR(Recherche!$C$10="",G3477&amp;""=Recherche!$C$10&amp;""),OR(Recherche!$C$11="",E3477=Recherche!$C$11),OR(Recherche!$C$12="",ISNUMBER(SEARCH(Recherche!$C$12,M3477&amp;" "&amp;F3477)))),1,0)</f>
        <v>8</v>
      </c>
    </row>
    <row r="3478" customFormat="false" ht="15" hidden="false" customHeight="false" outlineLevel="0" collapsed="false">
      <c r="A3478" s="19"/>
      <c r="B3478" s="19"/>
      <c r="C3478" s="19"/>
      <c r="D3478" s="19"/>
      <c r="E3478" s="22"/>
      <c r="F3478" s="19"/>
      <c r="G3478" s="26" t="str">
        <f aca="false">IF(D3478="","",IFERROR(VALUE(LEFT(D3478,FIND(" |",D3478&amp;" |")-1)),"?"))</f>
        <v/>
      </c>
      <c r="H3478" s="27" t="str">
        <f aca="false">IF(G3478="","",IF(G3478="?","⚠ pub inconnue",IFERROR(INDEX(Pubs!$B$2:$B$3001,MATCH(G3478,Pubs!$A$2:$A$3001,0))&amp;"","⚠ pub inconnue")))</f>
        <v/>
      </c>
      <c r="I3478" s="27" t="str">
        <f aca="false">IF(OR(G3478="",G3478="?"),"",IFERROR(INDEX(Pubs!$C$2:$C$3001,MATCH(G3478,Pubs!$A$2:$A$3001,0))&amp;"",""))</f>
        <v/>
      </c>
      <c r="J3478" s="27" t="str">
        <f aca="false">IF(OR(G3478="",G3478="?"),"",IFERROR(INDEX(Pubs!$G$2:$G$3001,MATCH(G3478,Pubs!$A$2:$A$3001,0))&amp;"",""))</f>
        <v/>
      </c>
      <c r="K3478" s="28" t="str">
        <f aca="false">IF(OR(G3478="",G3478="?"),"",IFERROR(INDEX(Pubs!$E$2:$E$3001,MATCH(G3478,Pubs!$A$2:$A$3001,0)),""))</f>
        <v/>
      </c>
      <c r="L3478" s="29" t="str">
        <f aca="false">IF(A3478="","",IFERROR(1/(1/INDEX(Numéros!$C$2:$C$3001,MATCH(A3478&amp;"|"&amp;B3478,Numéros!$F$2:$F$3001,0))),""))</f>
        <v/>
      </c>
      <c r="M3478" s="27" t="str">
        <f aca="false">IF(OR(G3478="",G3478="?"),"",IFERROR(INDEX(Pubs!$D$2:$D$3001,MATCH(G3478,Pubs!$A$2:$A$3001,0))&amp;"",""))</f>
        <v/>
      </c>
      <c r="N3478" s="27" t="n">
        <f aca="false">N(N3477)+IF(AND(A3478&lt;&gt;"",OR(Recherche!$C$4="",A3478=Recherche!$C$4),OR(Recherche!$C$5="",B3478&amp;""=Recherche!$C$5&amp;""),OR(Recherche!$C$6="",IFERROR(YEAR(L3478),0)=Recherche!$C$6),OR(Recherche!$C$7="",ISNUMBER(SEARCH(Recherche!$C$7,H3478))),OR(Recherche!$C$8="",J3478=Recherche!$C$8),OR(Recherche!$C$9="",I3478=Recherche!$C$9),OR(Recherche!$C$10="",G3478&amp;""=Recherche!$C$10&amp;""),OR(Recherche!$C$11="",E3478=Recherche!$C$11),OR(Recherche!$C$12="",ISNUMBER(SEARCH(Recherche!$C$12,M3478&amp;" "&amp;F3478)))),1,0)</f>
        <v>8</v>
      </c>
    </row>
    <row r="3479" customFormat="false" ht="15" hidden="false" customHeight="false" outlineLevel="0" collapsed="false">
      <c r="A3479" s="19"/>
      <c r="B3479" s="19"/>
      <c r="C3479" s="19"/>
      <c r="D3479" s="19"/>
      <c r="E3479" s="22"/>
      <c r="F3479" s="19"/>
      <c r="G3479" s="26" t="str">
        <f aca="false">IF(D3479="","",IFERROR(VALUE(LEFT(D3479,FIND(" |",D3479&amp;" |")-1)),"?"))</f>
        <v/>
      </c>
      <c r="H3479" s="27" t="str">
        <f aca="false">IF(G3479="","",IF(G3479="?","⚠ pub inconnue",IFERROR(INDEX(Pubs!$B$2:$B$3001,MATCH(G3479,Pubs!$A$2:$A$3001,0))&amp;"","⚠ pub inconnue")))</f>
        <v/>
      </c>
      <c r="I3479" s="27" t="str">
        <f aca="false">IF(OR(G3479="",G3479="?"),"",IFERROR(INDEX(Pubs!$C$2:$C$3001,MATCH(G3479,Pubs!$A$2:$A$3001,0))&amp;"",""))</f>
        <v/>
      </c>
      <c r="J3479" s="27" t="str">
        <f aca="false">IF(OR(G3479="",G3479="?"),"",IFERROR(INDEX(Pubs!$G$2:$G$3001,MATCH(G3479,Pubs!$A$2:$A$3001,0))&amp;"",""))</f>
        <v/>
      </c>
      <c r="K3479" s="28" t="str">
        <f aca="false">IF(OR(G3479="",G3479="?"),"",IFERROR(INDEX(Pubs!$E$2:$E$3001,MATCH(G3479,Pubs!$A$2:$A$3001,0)),""))</f>
        <v/>
      </c>
      <c r="L3479" s="29" t="str">
        <f aca="false">IF(A3479="","",IFERROR(1/(1/INDEX(Numéros!$C$2:$C$3001,MATCH(A3479&amp;"|"&amp;B3479,Numéros!$F$2:$F$3001,0))),""))</f>
        <v/>
      </c>
      <c r="M3479" s="27" t="str">
        <f aca="false">IF(OR(G3479="",G3479="?"),"",IFERROR(INDEX(Pubs!$D$2:$D$3001,MATCH(G3479,Pubs!$A$2:$A$3001,0))&amp;"",""))</f>
        <v/>
      </c>
      <c r="N3479" s="27" t="n">
        <f aca="false">N(N3478)+IF(AND(A3479&lt;&gt;"",OR(Recherche!$C$4="",A3479=Recherche!$C$4),OR(Recherche!$C$5="",B3479&amp;""=Recherche!$C$5&amp;""),OR(Recherche!$C$6="",IFERROR(YEAR(L3479),0)=Recherche!$C$6),OR(Recherche!$C$7="",ISNUMBER(SEARCH(Recherche!$C$7,H3479))),OR(Recherche!$C$8="",J3479=Recherche!$C$8),OR(Recherche!$C$9="",I3479=Recherche!$C$9),OR(Recherche!$C$10="",G3479&amp;""=Recherche!$C$10&amp;""),OR(Recherche!$C$11="",E3479=Recherche!$C$11),OR(Recherche!$C$12="",ISNUMBER(SEARCH(Recherche!$C$12,M3479&amp;" "&amp;F3479)))),1,0)</f>
        <v>8</v>
      </c>
    </row>
    <row r="3480" customFormat="false" ht="15" hidden="false" customHeight="false" outlineLevel="0" collapsed="false">
      <c r="A3480" s="19"/>
      <c r="B3480" s="19"/>
      <c r="C3480" s="19"/>
      <c r="D3480" s="19"/>
      <c r="E3480" s="22"/>
      <c r="F3480" s="19"/>
      <c r="G3480" s="26" t="str">
        <f aca="false">IF(D3480="","",IFERROR(VALUE(LEFT(D3480,FIND(" |",D3480&amp;" |")-1)),"?"))</f>
        <v/>
      </c>
      <c r="H3480" s="27" t="str">
        <f aca="false">IF(G3480="","",IF(G3480="?","⚠ pub inconnue",IFERROR(INDEX(Pubs!$B$2:$B$3001,MATCH(G3480,Pubs!$A$2:$A$3001,0))&amp;"","⚠ pub inconnue")))</f>
        <v/>
      </c>
      <c r="I3480" s="27" t="str">
        <f aca="false">IF(OR(G3480="",G3480="?"),"",IFERROR(INDEX(Pubs!$C$2:$C$3001,MATCH(G3480,Pubs!$A$2:$A$3001,0))&amp;"",""))</f>
        <v/>
      </c>
      <c r="J3480" s="27" t="str">
        <f aca="false">IF(OR(G3480="",G3480="?"),"",IFERROR(INDEX(Pubs!$G$2:$G$3001,MATCH(G3480,Pubs!$A$2:$A$3001,0))&amp;"",""))</f>
        <v/>
      </c>
      <c r="K3480" s="28" t="str">
        <f aca="false">IF(OR(G3480="",G3480="?"),"",IFERROR(INDEX(Pubs!$E$2:$E$3001,MATCH(G3480,Pubs!$A$2:$A$3001,0)),""))</f>
        <v/>
      </c>
      <c r="L3480" s="29" t="str">
        <f aca="false">IF(A3480="","",IFERROR(1/(1/INDEX(Numéros!$C$2:$C$3001,MATCH(A3480&amp;"|"&amp;B3480,Numéros!$F$2:$F$3001,0))),""))</f>
        <v/>
      </c>
      <c r="M3480" s="27" t="str">
        <f aca="false">IF(OR(G3480="",G3480="?"),"",IFERROR(INDEX(Pubs!$D$2:$D$3001,MATCH(G3480,Pubs!$A$2:$A$3001,0))&amp;"",""))</f>
        <v/>
      </c>
      <c r="N3480" s="27" t="n">
        <f aca="false">N(N3479)+IF(AND(A3480&lt;&gt;"",OR(Recherche!$C$4="",A3480=Recherche!$C$4),OR(Recherche!$C$5="",B3480&amp;""=Recherche!$C$5&amp;""),OR(Recherche!$C$6="",IFERROR(YEAR(L3480),0)=Recherche!$C$6),OR(Recherche!$C$7="",ISNUMBER(SEARCH(Recherche!$C$7,H3480))),OR(Recherche!$C$8="",J3480=Recherche!$C$8),OR(Recherche!$C$9="",I3480=Recherche!$C$9),OR(Recherche!$C$10="",G3480&amp;""=Recherche!$C$10&amp;""),OR(Recherche!$C$11="",E3480=Recherche!$C$11),OR(Recherche!$C$12="",ISNUMBER(SEARCH(Recherche!$C$12,M3480&amp;" "&amp;F3480)))),1,0)</f>
        <v>8</v>
      </c>
    </row>
    <row r="3481" customFormat="false" ht="15" hidden="false" customHeight="false" outlineLevel="0" collapsed="false">
      <c r="A3481" s="19"/>
      <c r="B3481" s="19"/>
      <c r="C3481" s="19"/>
      <c r="D3481" s="19"/>
      <c r="E3481" s="22"/>
      <c r="F3481" s="19"/>
      <c r="G3481" s="26" t="str">
        <f aca="false">IF(D3481="","",IFERROR(VALUE(LEFT(D3481,FIND(" |",D3481&amp;" |")-1)),"?"))</f>
        <v/>
      </c>
      <c r="H3481" s="27" t="str">
        <f aca="false">IF(G3481="","",IF(G3481="?","⚠ pub inconnue",IFERROR(INDEX(Pubs!$B$2:$B$3001,MATCH(G3481,Pubs!$A$2:$A$3001,0))&amp;"","⚠ pub inconnue")))</f>
        <v/>
      </c>
      <c r="I3481" s="27" t="str">
        <f aca="false">IF(OR(G3481="",G3481="?"),"",IFERROR(INDEX(Pubs!$C$2:$C$3001,MATCH(G3481,Pubs!$A$2:$A$3001,0))&amp;"",""))</f>
        <v/>
      </c>
      <c r="J3481" s="27" t="str">
        <f aca="false">IF(OR(G3481="",G3481="?"),"",IFERROR(INDEX(Pubs!$G$2:$G$3001,MATCH(G3481,Pubs!$A$2:$A$3001,0))&amp;"",""))</f>
        <v/>
      </c>
      <c r="K3481" s="28" t="str">
        <f aca="false">IF(OR(G3481="",G3481="?"),"",IFERROR(INDEX(Pubs!$E$2:$E$3001,MATCH(G3481,Pubs!$A$2:$A$3001,0)),""))</f>
        <v/>
      </c>
      <c r="L3481" s="29" t="str">
        <f aca="false">IF(A3481="","",IFERROR(1/(1/INDEX(Numéros!$C$2:$C$3001,MATCH(A3481&amp;"|"&amp;B3481,Numéros!$F$2:$F$3001,0))),""))</f>
        <v/>
      </c>
      <c r="M3481" s="27" t="str">
        <f aca="false">IF(OR(G3481="",G3481="?"),"",IFERROR(INDEX(Pubs!$D$2:$D$3001,MATCH(G3481,Pubs!$A$2:$A$3001,0))&amp;"",""))</f>
        <v/>
      </c>
      <c r="N3481" s="27" t="n">
        <f aca="false">N(N3480)+IF(AND(A3481&lt;&gt;"",OR(Recherche!$C$4="",A3481=Recherche!$C$4),OR(Recherche!$C$5="",B3481&amp;""=Recherche!$C$5&amp;""),OR(Recherche!$C$6="",IFERROR(YEAR(L3481),0)=Recherche!$C$6),OR(Recherche!$C$7="",ISNUMBER(SEARCH(Recherche!$C$7,H3481))),OR(Recherche!$C$8="",J3481=Recherche!$C$8),OR(Recherche!$C$9="",I3481=Recherche!$C$9),OR(Recherche!$C$10="",G3481&amp;""=Recherche!$C$10&amp;""),OR(Recherche!$C$11="",E3481=Recherche!$C$11),OR(Recherche!$C$12="",ISNUMBER(SEARCH(Recherche!$C$12,M3481&amp;" "&amp;F3481)))),1,0)</f>
        <v>8</v>
      </c>
    </row>
    <row r="3482" customFormat="false" ht="15" hidden="false" customHeight="false" outlineLevel="0" collapsed="false">
      <c r="A3482" s="19"/>
      <c r="B3482" s="19"/>
      <c r="C3482" s="19"/>
      <c r="D3482" s="19"/>
      <c r="E3482" s="22"/>
      <c r="F3482" s="19"/>
      <c r="G3482" s="26" t="str">
        <f aca="false">IF(D3482="","",IFERROR(VALUE(LEFT(D3482,FIND(" |",D3482&amp;" |")-1)),"?"))</f>
        <v/>
      </c>
      <c r="H3482" s="27" t="str">
        <f aca="false">IF(G3482="","",IF(G3482="?","⚠ pub inconnue",IFERROR(INDEX(Pubs!$B$2:$B$3001,MATCH(G3482,Pubs!$A$2:$A$3001,0))&amp;"","⚠ pub inconnue")))</f>
        <v/>
      </c>
      <c r="I3482" s="27" t="str">
        <f aca="false">IF(OR(G3482="",G3482="?"),"",IFERROR(INDEX(Pubs!$C$2:$C$3001,MATCH(G3482,Pubs!$A$2:$A$3001,0))&amp;"",""))</f>
        <v/>
      </c>
      <c r="J3482" s="27" t="str">
        <f aca="false">IF(OR(G3482="",G3482="?"),"",IFERROR(INDEX(Pubs!$G$2:$G$3001,MATCH(G3482,Pubs!$A$2:$A$3001,0))&amp;"",""))</f>
        <v/>
      </c>
      <c r="K3482" s="28" t="str">
        <f aca="false">IF(OR(G3482="",G3482="?"),"",IFERROR(INDEX(Pubs!$E$2:$E$3001,MATCH(G3482,Pubs!$A$2:$A$3001,0)),""))</f>
        <v/>
      </c>
      <c r="L3482" s="29" t="str">
        <f aca="false">IF(A3482="","",IFERROR(1/(1/INDEX(Numéros!$C$2:$C$3001,MATCH(A3482&amp;"|"&amp;B3482,Numéros!$F$2:$F$3001,0))),""))</f>
        <v/>
      </c>
      <c r="M3482" s="27" t="str">
        <f aca="false">IF(OR(G3482="",G3482="?"),"",IFERROR(INDEX(Pubs!$D$2:$D$3001,MATCH(G3482,Pubs!$A$2:$A$3001,0))&amp;"",""))</f>
        <v/>
      </c>
      <c r="N3482" s="27" t="n">
        <f aca="false">N(N3481)+IF(AND(A3482&lt;&gt;"",OR(Recherche!$C$4="",A3482=Recherche!$C$4),OR(Recherche!$C$5="",B3482&amp;""=Recherche!$C$5&amp;""),OR(Recherche!$C$6="",IFERROR(YEAR(L3482),0)=Recherche!$C$6),OR(Recherche!$C$7="",ISNUMBER(SEARCH(Recherche!$C$7,H3482))),OR(Recherche!$C$8="",J3482=Recherche!$C$8),OR(Recherche!$C$9="",I3482=Recherche!$C$9),OR(Recherche!$C$10="",G3482&amp;""=Recherche!$C$10&amp;""),OR(Recherche!$C$11="",E3482=Recherche!$C$11),OR(Recherche!$C$12="",ISNUMBER(SEARCH(Recherche!$C$12,M3482&amp;" "&amp;F3482)))),1,0)</f>
        <v>8</v>
      </c>
    </row>
    <row r="3483" customFormat="false" ht="15" hidden="false" customHeight="false" outlineLevel="0" collapsed="false">
      <c r="A3483" s="19"/>
      <c r="B3483" s="19"/>
      <c r="C3483" s="19"/>
      <c r="D3483" s="19"/>
      <c r="E3483" s="22"/>
      <c r="F3483" s="19"/>
      <c r="G3483" s="26" t="str">
        <f aca="false">IF(D3483="","",IFERROR(VALUE(LEFT(D3483,FIND(" |",D3483&amp;" |")-1)),"?"))</f>
        <v/>
      </c>
      <c r="H3483" s="27" t="str">
        <f aca="false">IF(G3483="","",IF(G3483="?","⚠ pub inconnue",IFERROR(INDEX(Pubs!$B$2:$B$3001,MATCH(G3483,Pubs!$A$2:$A$3001,0))&amp;"","⚠ pub inconnue")))</f>
        <v/>
      </c>
      <c r="I3483" s="27" t="str">
        <f aca="false">IF(OR(G3483="",G3483="?"),"",IFERROR(INDEX(Pubs!$C$2:$C$3001,MATCH(G3483,Pubs!$A$2:$A$3001,0))&amp;"",""))</f>
        <v/>
      </c>
      <c r="J3483" s="27" t="str">
        <f aca="false">IF(OR(G3483="",G3483="?"),"",IFERROR(INDEX(Pubs!$G$2:$G$3001,MATCH(G3483,Pubs!$A$2:$A$3001,0))&amp;"",""))</f>
        <v/>
      </c>
      <c r="K3483" s="28" t="str">
        <f aca="false">IF(OR(G3483="",G3483="?"),"",IFERROR(INDEX(Pubs!$E$2:$E$3001,MATCH(G3483,Pubs!$A$2:$A$3001,0)),""))</f>
        <v/>
      </c>
      <c r="L3483" s="29" t="str">
        <f aca="false">IF(A3483="","",IFERROR(1/(1/INDEX(Numéros!$C$2:$C$3001,MATCH(A3483&amp;"|"&amp;B3483,Numéros!$F$2:$F$3001,0))),""))</f>
        <v/>
      </c>
      <c r="M3483" s="27" t="str">
        <f aca="false">IF(OR(G3483="",G3483="?"),"",IFERROR(INDEX(Pubs!$D$2:$D$3001,MATCH(G3483,Pubs!$A$2:$A$3001,0))&amp;"",""))</f>
        <v/>
      </c>
      <c r="N3483" s="27" t="n">
        <f aca="false">N(N3482)+IF(AND(A3483&lt;&gt;"",OR(Recherche!$C$4="",A3483=Recherche!$C$4),OR(Recherche!$C$5="",B3483&amp;""=Recherche!$C$5&amp;""),OR(Recherche!$C$6="",IFERROR(YEAR(L3483),0)=Recherche!$C$6),OR(Recherche!$C$7="",ISNUMBER(SEARCH(Recherche!$C$7,H3483))),OR(Recherche!$C$8="",J3483=Recherche!$C$8),OR(Recherche!$C$9="",I3483=Recherche!$C$9),OR(Recherche!$C$10="",G3483&amp;""=Recherche!$C$10&amp;""),OR(Recherche!$C$11="",E3483=Recherche!$C$11),OR(Recherche!$C$12="",ISNUMBER(SEARCH(Recherche!$C$12,M3483&amp;" "&amp;F3483)))),1,0)</f>
        <v>8</v>
      </c>
    </row>
    <row r="3484" customFormat="false" ht="15" hidden="false" customHeight="false" outlineLevel="0" collapsed="false">
      <c r="A3484" s="19"/>
      <c r="B3484" s="19"/>
      <c r="C3484" s="19"/>
      <c r="D3484" s="19"/>
      <c r="E3484" s="22"/>
      <c r="F3484" s="19"/>
      <c r="G3484" s="26" t="str">
        <f aca="false">IF(D3484="","",IFERROR(VALUE(LEFT(D3484,FIND(" |",D3484&amp;" |")-1)),"?"))</f>
        <v/>
      </c>
      <c r="H3484" s="27" t="str">
        <f aca="false">IF(G3484="","",IF(G3484="?","⚠ pub inconnue",IFERROR(INDEX(Pubs!$B$2:$B$3001,MATCH(G3484,Pubs!$A$2:$A$3001,0))&amp;"","⚠ pub inconnue")))</f>
        <v/>
      </c>
      <c r="I3484" s="27" t="str">
        <f aca="false">IF(OR(G3484="",G3484="?"),"",IFERROR(INDEX(Pubs!$C$2:$C$3001,MATCH(G3484,Pubs!$A$2:$A$3001,0))&amp;"",""))</f>
        <v/>
      </c>
      <c r="J3484" s="27" t="str">
        <f aca="false">IF(OR(G3484="",G3484="?"),"",IFERROR(INDEX(Pubs!$G$2:$G$3001,MATCH(G3484,Pubs!$A$2:$A$3001,0))&amp;"",""))</f>
        <v/>
      </c>
      <c r="K3484" s="28" t="str">
        <f aca="false">IF(OR(G3484="",G3484="?"),"",IFERROR(INDEX(Pubs!$E$2:$E$3001,MATCH(G3484,Pubs!$A$2:$A$3001,0)),""))</f>
        <v/>
      </c>
      <c r="L3484" s="29" t="str">
        <f aca="false">IF(A3484="","",IFERROR(1/(1/INDEX(Numéros!$C$2:$C$3001,MATCH(A3484&amp;"|"&amp;B3484,Numéros!$F$2:$F$3001,0))),""))</f>
        <v/>
      </c>
      <c r="M3484" s="27" t="str">
        <f aca="false">IF(OR(G3484="",G3484="?"),"",IFERROR(INDEX(Pubs!$D$2:$D$3001,MATCH(G3484,Pubs!$A$2:$A$3001,0))&amp;"",""))</f>
        <v/>
      </c>
      <c r="N3484" s="27" t="n">
        <f aca="false">N(N3483)+IF(AND(A3484&lt;&gt;"",OR(Recherche!$C$4="",A3484=Recherche!$C$4),OR(Recherche!$C$5="",B3484&amp;""=Recherche!$C$5&amp;""),OR(Recherche!$C$6="",IFERROR(YEAR(L3484),0)=Recherche!$C$6),OR(Recherche!$C$7="",ISNUMBER(SEARCH(Recherche!$C$7,H3484))),OR(Recherche!$C$8="",J3484=Recherche!$C$8),OR(Recherche!$C$9="",I3484=Recherche!$C$9),OR(Recherche!$C$10="",G3484&amp;""=Recherche!$C$10&amp;""),OR(Recherche!$C$11="",E3484=Recherche!$C$11),OR(Recherche!$C$12="",ISNUMBER(SEARCH(Recherche!$C$12,M3484&amp;" "&amp;F3484)))),1,0)</f>
        <v>8</v>
      </c>
    </row>
    <row r="3485" customFormat="false" ht="15" hidden="false" customHeight="false" outlineLevel="0" collapsed="false">
      <c r="A3485" s="19"/>
      <c r="B3485" s="19"/>
      <c r="C3485" s="19"/>
      <c r="D3485" s="19"/>
      <c r="E3485" s="22"/>
      <c r="F3485" s="19"/>
      <c r="G3485" s="26" t="str">
        <f aca="false">IF(D3485="","",IFERROR(VALUE(LEFT(D3485,FIND(" |",D3485&amp;" |")-1)),"?"))</f>
        <v/>
      </c>
      <c r="H3485" s="27" t="str">
        <f aca="false">IF(G3485="","",IF(G3485="?","⚠ pub inconnue",IFERROR(INDEX(Pubs!$B$2:$B$3001,MATCH(G3485,Pubs!$A$2:$A$3001,0))&amp;"","⚠ pub inconnue")))</f>
        <v/>
      </c>
      <c r="I3485" s="27" t="str">
        <f aca="false">IF(OR(G3485="",G3485="?"),"",IFERROR(INDEX(Pubs!$C$2:$C$3001,MATCH(G3485,Pubs!$A$2:$A$3001,0))&amp;"",""))</f>
        <v/>
      </c>
      <c r="J3485" s="27" t="str">
        <f aca="false">IF(OR(G3485="",G3485="?"),"",IFERROR(INDEX(Pubs!$G$2:$G$3001,MATCH(G3485,Pubs!$A$2:$A$3001,0))&amp;"",""))</f>
        <v/>
      </c>
      <c r="K3485" s="28" t="str">
        <f aca="false">IF(OR(G3485="",G3485="?"),"",IFERROR(INDEX(Pubs!$E$2:$E$3001,MATCH(G3485,Pubs!$A$2:$A$3001,0)),""))</f>
        <v/>
      </c>
      <c r="L3485" s="29" t="str">
        <f aca="false">IF(A3485="","",IFERROR(1/(1/INDEX(Numéros!$C$2:$C$3001,MATCH(A3485&amp;"|"&amp;B3485,Numéros!$F$2:$F$3001,0))),""))</f>
        <v/>
      </c>
      <c r="M3485" s="27" t="str">
        <f aca="false">IF(OR(G3485="",G3485="?"),"",IFERROR(INDEX(Pubs!$D$2:$D$3001,MATCH(G3485,Pubs!$A$2:$A$3001,0))&amp;"",""))</f>
        <v/>
      </c>
      <c r="N3485" s="27" t="n">
        <f aca="false">N(N3484)+IF(AND(A3485&lt;&gt;"",OR(Recherche!$C$4="",A3485=Recherche!$C$4),OR(Recherche!$C$5="",B3485&amp;""=Recherche!$C$5&amp;""),OR(Recherche!$C$6="",IFERROR(YEAR(L3485),0)=Recherche!$C$6),OR(Recherche!$C$7="",ISNUMBER(SEARCH(Recherche!$C$7,H3485))),OR(Recherche!$C$8="",J3485=Recherche!$C$8),OR(Recherche!$C$9="",I3485=Recherche!$C$9),OR(Recherche!$C$10="",G3485&amp;""=Recherche!$C$10&amp;""),OR(Recherche!$C$11="",E3485=Recherche!$C$11),OR(Recherche!$C$12="",ISNUMBER(SEARCH(Recherche!$C$12,M3485&amp;" "&amp;F3485)))),1,0)</f>
        <v>8</v>
      </c>
    </row>
    <row r="3486" customFormat="false" ht="15" hidden="false" customHeight="false" outlineLevel="0" collapsed="false">
      <c r="A3486" s="19"/>
      <c r="B3486" s="19"/>
      <c r="C3486" s="19"/>
      <c r="D3486" s="19"/>
      <c r="E3486" s="22"/>
      <c r="F3486" s="19"/>
      <c r="G3486" s="26" t="str">
        <f aca="false">IF(D3486="","",IFERROR(VALUE(LEFT(D3486,FIND(" |",D3486&amp;" |")-1)),"?"))</f>
        <v/>
      </c>
      <c r="H3486" s="27" t="str">
        <f aca="false">IF(G3486="","",IF(G3486="?","⚠ pub inconnue",IFERROR(INDEX(Pubs!$B$2:$B$3001,MATCH(G3486,Pubs!$A$2:$A$3001,0))&amp;"","⚠ pub inconnue")))</f>
        <v/>
      </c>
      <c r="I3486" s="27" t="str">
        <f aca="false">IF(OR(G3486="",G3486="?"),"",IFERROR(INDEX(Pubs!$C$2:$C$3001,MATCH(G3486,Pubs!$A$2:$A$3001,0))&amp;"",""))</f>
        <v/>
      </c>
      <c r="J3486" s="27" t="str">
        <f aca="false">IF(OR(G3486="",G3486="?"),"",IFERROR(INDEX(Pubs!$G$2:$G$3001,MATCH(G3486,Pubs!$A$2:$A$3001,0))&amp;"",""))</f>
        <v/>
      </c>
      <c r="K3486" s="28" t="str">
        <f aca="false">IF(OR(G3486="",G3486="?"),"",IFERROR(INDEX(Pubs!$E$2:$E$3001,MATCH(G3486,Pubs!$A$2:$A$3001,0)),""))</f>
        <v/>
      </c>
      <c r="L3486" s="29" t="str">
        <f aca="false">IF(A3486="","",IFERROR(1/(1/INDEX(Numéros!$C$2:$C$3001,MATCH(A3486&amp;"|"&amp;B3486,Numéros!$F$2:$F$3001,0))),""))</f>
        <v/>
      </c>
      <c r="M3486" s="27" t="str">
        <f aca="false">IF(OR(G3486="",G3486="?"),"",IFERROR(INDEX(Pubs!$D$2:$D$3001,MATCH(G3486,Pubs!$A$2:$A$3001,0))&amp;"",""))</f>
        <v/>
      </c>
      <c r="N3486" s="27" t="n">
        <f aca="false">N(N3485)+IF(AND(A3486&lt;&gt;"",OR(Recherche!$C$4="",A3486=Recherche!$C$4),OR(Recherche!$C$5="",B3486&amp;""=Recherche!$C$5&amp;""),OR(Recherche!$C$6="",IFERROR(YEAR(L3486),0)=Recherche!$C$6),OR(Recherche!$C$7="",ISNUMBER(SEARCH(Recherche!$C$7,H3486))),OR(Recherche!$C$8="",J3486=Recherche!$C$8),OR(Recherche!$C$9="",I3486=Recherche!$C$9),OR(Recherche!$C$10="",G3486&amp;""=Recherche!$C$10&amp;""),OR(Recherche!$C$11="",E3486=Recherche!$C$11),OR(Recherche!$C$12="",ISNUMBER(SEARCH(Recherche!$C$12,M3486&amp;" "&amp;F3486)))),1,0)</f>
        <v>8</v>
      </c>
    </row>
    <row r="3487" customFormat="false" ht="15" hidden="false" customHeight="false" outlineLevel="0" collapsed="false">
      <c r="A3487" s="19"/>
      <c r="B3487" s="19"/>
      <c r="C3487" s="19"/>
      <c r="D3487" s="19"/>
      <c r="E3487" s="22"/>
      <c r="F3487" s="19"/>
      <c r="G3487" s="26" t="str">
        <f aca="false">IF(D3487="","",IFERROR(VALUE(LEFT(D3487,FIND(" |",D3487&amp;" |")-1)),"?"))</f>
        <v/>
      </c>
      <c r="H3487" s="27" t="str">
        <f aca="false">IF(G3487="","",IF(G3487="?","⚠ pub inconnue",IFERROR(INDEX(Pubs!$B$2:$B$3001,MATCH(G3487,Pubs!$A$2:$A$3001,0))&amp;"","⚠ pub inconnue")))</f>
        <v/>
      </c>
      <c r="I3487" s="27" t="str">
        <f aca="false">IF(OR(G3487="",G3487="?"),"",IFERROR(INDEX(Pubs!$C$2:$C$3001,MATCH(G3487,Pubs!$A$2:$A$3001,0))&amp;"",""))</f>
        <v/>
      </c>
      <c r="J3487" s="27" t="str">
        <f aca="false">IF(OR(G3487="",G3487="?"),"",IFERROR(INDEX(Pubs!$G$2:$G$3001,MATCH(G3487,Pubs!$A$2:$A$3001,0))&amp;"",""))</f>
        <v/>
      </c>
      <c r="K3487" s="28" t="str">
        <f aca="false">IF(OR(G3487="",G3487="?"),"",IFERROR(INDEX(Pubs!$E$2:$E$3001,MATCH(G3487,Pubs!$A$2:$A$3001,0)),""))</f>
        <v/>
      </c>
      <c r="L3487" s="29" t="str">
        <f aca="false">IF(A3487="","",IFERROR(1/(1/INDEX(Numéros!$C$2:$C$3001,MATCH(A3487&amp;"|"&amp;B3487,Numéros!$F$2:$F$3001,0))),""))</f>
        <v/>
      </c>
      <c r="M3487" s="27" t="str">
        <f aca="false">IF(OR(G3487="",G3487="?"),"",IFERROR(INDEX(Pubs!$D$2:$D$3001,MATCH(G3487,Pubs!$A$2:$A$3001,0))&amp;"",""))</f>
        <v/>
      </c>
      <c r="N3487" s="27" t="n">
        <f aca="false">N(N3486)+IF(AND(A3487&lt;&gt;"",OR(Recherche!$C$4="",A3487=Recherche!$C$4),OR(Recherche!$C$5="",B3487&amp;""=Recherche!$C$5&amp;""),OR(Recherche!$C$6="",IFERROR(YEAR(L3487),0)=Recherche!$C$6),OR(Recherche!$C$7="",ISNUMBER(SEARCH(Recherche!$C$7,H3487))),OR(Recherche!$C$8="",J3487=Recherche!$C$8),OR(Recherche!$C$9="",I3487=Recherche!$C$9),OR(Recherche!$C$10="",G3487&amp;""=Recherche!$C$10&amp;""),OR(Recherche!$C$11="",E3487=Recherche!$C$11),OR(Recherche!$C$12="",ISNUMBER(SEARCH(Recherche!$C$12,M3487&amp;" "&amp;F3487)))),1,0)</f>
        <v>8</v>
      </c>
    </row>
    <row r="3488" customFormat="false" ht="15" hidden="false" customHeight="false" outlineLevel="0" collapsed="false">
      <c r="A3488" s="19"/>
      <c r="B3488" s="19"/>
      <c r="C3488" s="19"/>
      <c r="D3488" s="19"/>
      <c r="E3488" s="22"/>
      <c r="F3488" s="19"/>
      <c r="G3488" s="26" t="str">
        <f aca="false">IF(D3488="","",IFERROR(VALUE(LEFT(D3488,FIND(" |",D3488&amp;" |")-1)),"?"))</f>
        <v/>
      </c>
      <c r="H3488" s="27" t="str">
        <f aca="false">IF(G3488="","",IF(G3488="?","⚠ pub inconnue",IFERROR(INDEX(Pubs!$B$2:$B$3001,MATCH(G3488,Pubs!$A$2:$A$3001,0))&amp;"","⚠ pub inconnue")))</f>
        <v/>
      </c>
      <c r="I3488" s="27" t="str">
        <f aca="false">IF(OR(G3488="",G3488="?"),"",IFERROR(INDEX(Pubs!$C$2:$C$3001,MATCH(G3488,Pubs!$A$2:$A$3001,0))&amp;"",""))</f>
        <v/>
      </c>
      <c r="J3488" s="27" t="str">
        <f aca="false">IF(OR(G3488="",G3488="?"),"",IFERROR(INDEX(Pubs!$G$2:$G$3001,MATCH(G3488,Pubs!$A$2:$A$3001,0))&amp;"",""))</f>
        <v/>
      </c>
      <c r="K3488" s="28" t="str">
        <f aca="false">IF(OR(G3488="",G3488="?"),"",IFERROR(INDEX(Pubs!$E$2:$E$3001,MATCH(G3488,Pubs!$A$2:$A$3001,0)),""))</f>
        <v/>
      </c>
      <c r="L3488" s="29" t="str">
        <f aca="false">IF(A3488="","",IFERROR(1/(1/INDEX(Numéros!$C$2:$C$3001,MATCH(A3488&amp;"|"&amp;B3488,Numéros!$F$2:$F$3001,0))),""))</f>
        <v/>
      </c>
      <c r="M3488" s="27" t="str">
        <f aca="false">IF(OR(G3488="",G3488="?"),"",IFERROR(INDEX(Pubs!$D$2:$D$3001,MATCH(G3488,Pubs!$A$2:$A$3001,0))&amp;"",""))</f>
        <v/>
      </c>
      <c r="N3488" s="27" t="n">
        <f aca="false">N(N3487)+IF(AND(A3488&lt;&gt;"",OR(Recherche!$C$4="",A3488=Recherche!$C$4),OR(Recherche!$C$5="",B3488&amp;""=Recherche!$C$5&amp;""),OR(Recherche!$C$6="",IFERROR(YEAR(L3488),0)=Recherche!$C$6),OR(Recherche!$C$7="",ISNUMBER(SEARCH(Recherche!$C$7,H3488))),OR(Recherche!$C$8="",J3488=Recherche!$C$8),OR(Recherche!$C$9="",I3488=Recherche!$C$9),OR(Recherche!$C$10="",G3488&amp;""=Recherche!$C$10&amp;""),OR(Recherche!$C$11="",E3488=Recherche!$C$11),OR(Recherche!$C$12="",ISNUMBER(SEARCH(Recherche!$C$12,M3488&amp;" "&amp;F3488)))),1,0)</f>
        <v>8</v>
      </c>
    </row>
    <row r="3489" customFormat="false" ht="15" hidden="false" customHeight="false" outlineLevel="0" collapsed="false">
      <c r="A3489" s="19"/>
      <c r="B3489" s="19"/>
      <c r="C3489" s="19"/>
      <c r="D3489" s="19"/>
      <c r="E3489" s="22"/>
      <c r="F3489" s="19"/>
      <c r="G3489" s="26" t="str">
        <f aca="false">IF(D3489="","",IFERROR(VALUE(LEFT(D3489,FIND(" |",D3489&amp;" |")-1)),"?"))</f>
        <v/>
      </c>
      <c r="H3489" s="27" t="str">
        <f aca="false">IF(G3489="","",IF(G3489="?","⚠ pub inconnue",IFERROR(INDEX(Pubs!$B$2:$B$3001,MATCH(G3489,Pubs!$A$2:$A$3001,0))&amp;"","⚠ pub inconnue")))</f>
        <v/>
      </c>
      <c r="I3489" s="27" t="str">
        <f aca="false">IF(OR(G3489="",G3489="?"),"",IFERROR(INDEX(Pubs!$C$2:$C$3001,MATCH(G3489,Pubs!$A$2:$A$3001,0))&amp;"",""))</f>
        <v/>
      </c>
      <c r="J3489" s="27" t="str">
        <f aca="false">IF(OR(G3489="",G3489="?"),"",IFERROR(INDEX(Pubs!$G$2:$G$3001,MATCH(G3489,Pubs!$A$2:$A$3001,0))&amp;"",""))</f>
        <v/>
      </c>
      <c r="K3489" s="28" t="str">
        <f aca="false">IF(OR(G3489="",G3489="?"),"",IFERROR(INDEX(Pubs!$E$2:$E$3001,MATCH(G3489,Pubs!$A$2:$A$3001,0)),""))</f>
        <v/>
      </c>
      <c r="L3489" s="29" t="str">
        <f aca="false">IF(A3489="","",IFERROR(1/(1/INDEX(Numéros!$C$2:$C$3001,MATCH(A3489&amp;"|"&amp;B3489,Numéros!$F$2:$F$3001,0))),""))</f>
        <v/>
      </c>
      <c r="M3489" s="27" t="str">
        <f aca="false">IF(OR(G3489="",G3489="?"),"",IFERROR(INDEX(Pubs!$D$2:$D$3001,MATCH(G3489,Pubs!$A$2:$A$3001,0))&amp;"",""))</f>
        <v/>
      </c>
      <c r="N3489" s="27" t="n">
        <f aca="false">N(N3488)+IF(AND(A3489&lt;&gt;"",OR(Recherche!$C$4="",A3489=Recherche!$C$4),OR(Recherche!$C$5="",B3489&amp;""=Recherche!$C$5&amp;""),OR(Recherche!$C$6="",IFERROR(YEAR(L3489),0)=Recherche!$C$6),OR(Recherche!$C$7="",ISNUMBER(SEARCH(Recherche!$C$7,H3489))),OR(Recherche!$C$8="",J3489=Recherche!$C$8),OR(Recherche!$C$9="",I3489=Recherche!$C$9),OR(Recherche!$C$10="",G3489&amp;""=Recherche!$C$10&amp;""),OR(Recherche!$C$11="",E3489=Recherche!$C$11),OR(Recherche!$C$12="",ISNUMBER(SEARCH(Recherche!$C$12,M3489&amp;" "&amp;F3489)))),1,0)</f>
        <v>8</v>
      </c>
    </row>
    <row r="3490" customFormat="false" ht="15" hidden="false" customHeight="false" outlineLevel="0" collapsed="false">
      <c r="A3490" s="19"/>
      <c r="B3490" s="19"/>
      <c r="C3490" s="19"/>
      <c r="D3490" s="19"/>
      <c r="E3490" s="22"/>
      <c r="F3490" s="19"/>
      <c r="G3490" s="26" t="str">
        <f aca="false">IF(D3490="","",IFERROR(VALUE(LEFT(D3490,FIND(" |",D3490&amp;" |")-1)),"?"))</f>
        <v/>
      </c>
      <c r="H3490" s="27" t="str">
        <f aca="false">IF(G3490="","",IF(G3490="?","⚠ pub inconnue",IFERROR(INDEX(Pubs!$B$2:$B$3001,MATCH(G3490,Pubs!$A$2:$A$3001,0))&amp;"","⚠ pub inconnue")))</f>
        <v/>
      </c>
      <c r="I3490" s="27" t="str">
        <f aca="false">IF(OR(G3490="",G3490="?"),"",IFERROR(INDEX(Pubs!$C$2:$C$3001,MATCH(G3490,Pubs!$A$2:$A$3001,0))&amp;"",""))</f>
        <v/>
      </c>
      <c r="J3490" s="27" t="str">
        <f aca="false">IF(OR(G3490="",G3490="?"),"",IFERROR(INDEX(Pubs!$G$2:$G$3001,MATCH(G3490,Pubs!$A$2:$A$3001,0))&amp;"",""))</f>
        <v/>
      </c>
      <c r="K3490" s="28" t="str">
        <f aca="false">IF(OR(G3490="",G3490="?"),"",IFERROR(INDEX(Pubs!$E$2:$E$3001,MATCH(G3490,Pubs!$A$2:$A$3001,0)),""))</f>
        <v/>
      </c>
      <c r="L3490" s="29" t="str">
        <f aca="false">IF(A3490="","",IFERROR(1/(1/INDEX(Numéros!$C$2:$C$3001,MATCH(A3490&amp;"|"&amp;B3490,Numéros!$F$2:$F$3001,0))),""))</f>
        <v/>
      </c>
      <c r="M3490" s="27" t="str">
        <f aca="false">IF(OR(G3490="",G3490="?"),"",IFERROR(INDEX(Pubs!$D$2:$D$3001,MATCH(G3490,Pubs!$A$2:$A$3001,0))&amp;"",""))</f>
        <v/>
      </c>
      <c r="N3490" s="27" t="n">
        <f aca="false">N(N3489)+IF(AND(A3490&lt;&gt;"",OR(Recherche!$C$4="",A3490=Recherche!$C$4),OR(Recherche!$C$5="",B3490&amp;""=Recherche!$C$5&amp;""),OR(Recherche!$C$6="",IFERROR(YEAR(L3490),0)=Recherche!$C$6),OR(Recherche!$C$7="",ISNUMBER(SEARCH(Recherche!$C$7,H3490))),OR(Recherche!$C$8="",J3490=Recherche!$C$8),OR(Recherche!$C$9="",I3490=Recherche!$C$9),OR(Recherche!$C$10="",G3490&amp;""=Recherche!$C$10&amp;""),OR(Recherche!$C$11="",E3490=Recherche!$C$11),OR(Recherche!$C$12="",ISNUMBER(SEARCH(Recherche!$C$12,M3490&amp;" "&amp;F3490)))),1,0)</f>
        <v>8</v>
      </c>
    </row>
    <row r="3491" customFormat="false" ht="15" hidden="false" customHeight="false" outlineLevel="0" collapsed="false">
      <c r="A3491" s="19"/>
      <c r="B3491" s="19"/>
      <c r="C3491" s="19"/>
      <c r="D3491" s="19"/>
      <c r="E3491" s="22"/>
      <c r="F3491" s="19"/>
      <c r="G3491" s="26" t="str">
        <f aca="false">IF(D3491="","",IFERROR(VALUE(LEFT(D3491,FIND(" |",D3491&amp;" |")-1)),"?"))</f>
        <v/>
      </c>
      <c r="H3491" s="27" t="str">
        <f aca="false">IF(G3491="","",IF(G3491="?","⚠ pub inconnue",IFERROR(INDEX(Pubs!$B$2:$B$3001,MATCH(G3491,Pubs!$A$2:$A$3001,0))&amp;"","⚠ pub inconnue")))</f>
        <v/>
      </c>
      <c r="I3491" s="27" t="str">
        <f aca="false">IF(OR(G3491="",G3491="?"),"",IFERROR(INDEX(Pubs!$C$2:$C$3001,MATCH(G3491,Pubs!$A$2:$A$3001,0))&amp;"",""))</f>
        <v/>
      </c>
      <c r="J3491" s="27" t="str">
        <f aca="false">IF(OR(G3491="",G3491="?"),"",IFERROR(INDEX(Pubs!$G$2:$G$3001,MATCH(G3491,Pubs!$A$2:$A$3001,0))&amp;"",""))</f>
        <v/>
      </c>
      <c r="K3491" s="28" t="str">
        <f aca="false">IF(OR(G3491="",G3491="?"),"",IFERROR(INDEX(Pubs!$E$2:$E$3001,MATCH(G3491,Pubs!$A$2:$A$3001,0)),""))</f>
        <v/>
      </c>
      <c r="L3491" s="29" t="str">
        <f aca="false">IF(A3491="","",IFERROR(1/(1/INDEX(Numéros!$C$2:$C$3001,MATCH(A3491&amp;"|"&amp;B3491,Numéros!$F$2:$F$3001,0))),""))</f>
        <v/>
      </c>
      <c r="M3491" s="27" t="str">
        <f aca="false">IF(OR(G3491="",G3491="?"),"",IFERROR(INDEX(Pubs!$D$2:$D$3001,MATCH(G3491,Pubs!$A$2:$A$3001,0))&amp;"",""))</f>
        <v/>
      </c>
      <c r="N3491" s="27" t="n">
        <f aca="false">N(N3490)+IF(AND(A3491&lt;&gt;"",OR(Recherche!$C$4="",A3491=Recherche!$C$4),OR(Recherche!$C$5="",B3491&amp;""=Recherche!$C$5&amp;""),OR(Recherche!$C$6="",IFERROR(YEAR(L3491),0)=Recherche!$C$6),OR(Recherche!$C$7="",ISNUMBER(SEARCH(Recherche!$C$7,H3491))),OR(Recherche!$C$8="",J3491=Recherche!$C$8),OR(Recherche!$C$9="",I3491=Recherche!$C$9),OR(Recherche!$C$10="",G3491&amp;""=Recherche!$C$10&amp;""),OR(Recherche!$C$11="",E3491=Recherche!$C$11),OR(Recherche!$C$12="",ISNUMBER(SEARCH(Recherche!$C$12,M3491&amp;" "&amp;F3491)))),1,0)</f>
        <v>8</v>
      </c>
    </row>
    <row r="3492" customFormat="false" ht="15" hidden="false" customHeight="false" outlineLevel="0" collapsed="false">
      <c r="A3492" s="19"/>
      <c r="B3492" s="19"/>
      <c r="C3492" s="19"/>
      <c r="D3492" s="19"/>
      <c r="E3492" s="22"/>
      <c r="F3492" s="19"/>
      <c r="G3492" s="26" t="str">
        <f aca="false">IF(D3492="","",IFERROR(VALUE(LEFT(D3492,FIND(" |",D3492&amp;" |")-1)),"?"))</f>
        <v/>
      </c>
      <c r="H3492" s="27" t="str">
        <f aca="false">IF(G3492="","",IF(G3492="?","⚠ pub inconnue",IFERROR(INDEX(Pubs!$B$2:$B$3001,MATCH(G3492,Pubs!$A$2:$A$3001,0))&amp;"","⚠ pub inconnue")))</f>
        <v/>
      </c>
      <c r="I3492" s="27" t="str">
        <f aca="false">IF(OR(G3492="",G3492="?"),"",IFERROR(INDEX(Pubs!$C$2:$C$3001,MATCH(G3492,Pubs!$A$2:$A$3001,0))&amp;"",""))</f>
        <v/>
      </c>
      <c r="J3492" s="27" t="str">
        <f aca="false">IF(OR(G3492="",G3492="?"),"",IFERROR(INDEX(Pubs!$G$2:$G$3001,MATCH(G3492,Pubs!$A$2:$A$3001,0))&amp;"",""))</f>
        <v/>
      </c>
      <c r="K3492" s="28" t="str">
        <f aca="false">IF(OR(G3492="",G3492="?"),"",IFERROR(INDEX(Pubs!$E$2:$E$3001,MATCH(G3492,Pubs!$A$2:$A$3001,0)),""))</f>
        <v/>
      </c>
      <c r="L3492" s="29" t="str">
        <f aca="false">IF(A3492="","",IFERROR(1/(1/INDEX(Numéros!$C$2:$C$3001,MATCH(A3492&amp;"|"&amp;B3492,Numéros!$F$2:$F$3001,0))),""))</f>
        <v/>
      </c>
      <c r="M3492" s="27" t="str">
        <f aca="false">IF(OR(G3492="",G3492="?"),"",IFERROR(INDEX(Pubs!$D$2:$D$3001,MATCH(G3492,Pubs!$A$2:$A$3001,0))&amp;"",""))</f>
        <v/>
      </c>
      <c r="N3492" s="27" t="n">
        <f aca="false">N(N3491)+IF(AND(A3492&lt;&gt;"",OR(Recherche!$C$4="",A3492=Recherche!$C$4),OR(Recherche!$C$5="",B3492&amp;""=Recherche!$C$5&amp;""),OR(Recherche!$C$6="",IFERROR(YEAR(L3492),0)=Recherche!$C$6),OR(Recherche!$C$7="",ISNUMBER(SEARCH(Recherche!$C$7,H3492))),OR(Recherche!$C$8="",J3492=Recherche!$C$8),OR(Recherche!$C$9="",I3492=Recherche!$C$9),OR(Recherche!$C$10="",G3492&amp;""=Recherche!$C$10&amp;""),OR(Recherche!$C$11="",E3492=Recherche!$C$11),OR(Recherche!$C$12="",ISNUMBER(SEARCH(Recherche!$C$12,M3492&amp;" "&amp;F3492)))),1,0)</f>
        <v>8</v>
      </c>
    </row>
    <row r="3493" customFormat="false" ht="15" hidden="false" customHeight="false" outlineLevel="0" collapsed="false">
      <c r="A3493" s="19"/>
      <c r="B3493" s="19"/>
      <c r="C3493" s="19"/>
      <c r="D3493" s="19"/>
      <c r="E3493" s="22"/>
      <c r="F3493" s="19"/>
      <c r="G3493" s="26" t="str">
        <f aca="false">IF(D3493="","",IFERROR(VALUE(LEFT(D3493,FIND(" |",D3493&amp;" |")-1)),"?"))</f>
        <v/>
      </c>
      <c r="H3493" s="27" t="str">
        <f aca="false">IF(G3493="","",IF(G3493="?","⚠ pub inconnue",IFERROR(INDEX(Pubs!$B$2:$B$3001,MATCH(G3493,Pubs!$A$2:$A$3001,0))&amp;"","⚠ pub inconnue")))</f>
        <v/>
      </c>
      <c r="I3493" s="27" t="str">
        <f aca="false">IF(OR(G3493="",G3493="?"),"",IFERROR(INDEX(Pubs!$C$2:$C$3001,MATCH(G3493,Pubs!$A$2:$A$3001,0))&amp;"",""))</f>
        <v/>
      </c>
      <c r="J3493" s="27" t="str">
        <f aca="false">IF(OR(G3493="",G3493="?"),"",IFERROR(INDEX(Pubs!$G$2:$G$3001,MATCH(G3493,Pubs!$A$2:$A$3001,0))&amp;"",""))</f>
        <v/>
      </c>
      <c r="K3493" s="28" t="str">
        <f aca="false">IF(OR(G3493="",G3493="?"),"",IFERROR(INDEX(Pubs!$E$2:$E$3001,MATCH(G3493,Pubs!$A$2:$A$3001,0)),""))</f>
        <v/>
      </c>
      <c r="L3493" s="29" t="str">
        <f aca="false">IF(A3493="","",IFERROR(1/(1/INDEX(Numéros!$C$2:$C$3001,MATCH(A3493&amp;"|"&amp;B3493,Numéros!$F$2:$F$3001,0))),""))</f>
        <v/>
      </c>
      <c r="M3493" s="27" t="str">
        <f aca="false">IF(OR(G3493="",G3493="?"),"",IFERROR(INDEX(Pubs!$D$2:$D$3001,MATCH(G3493,Pubs!$A$2:$A$3001,0))&amp;"",""))</f>
        <v/>
      </c>
      <c r="N3493" s="27" t="n">
        <f aca="false">N(N3492)+IF(AND(A3493&lt;&gt;"",OR(Recherche!$C$4="",A3493=Recherche!$C$4),OR(Recherche!$C$5="",B3493&amp;""=Recherche!$C$5&amp;""),OR(Recherche!$C$6="",IFERROR(YEAR(L3493),0)=Recherche!$C$6),OR(Recherche!$C$7="",ISNUMBER(SEARCH(Recherche!$C$7,H3493))),OR(Recherche!$C$8="",J3493=Recherche!$C$8),OR(Recherche!$C$9="",I3493=Recherche!$C$9),OR(Recherche!$C$10="",G3493&amp;""=Recherche!$C$10&amp;""),OR(Recherche!$C$11="",E3493=Recherche!$C$11),OR(Recherche!$C$12="",ISNUMBER(SEARCH(Recherche!$C$12,M3493&amp;" "&amp;F3493)))),1,0)</f>
        <v>8</v>
      </c>
    </row>
    <row r="3494" customFormat="false" ht="15" hidden="false" customHeight="false" outlineLevel="0" collapsed="false">
      <c r="A3494" s="19"/>
      <c r="B3494" s="19"/>
      <c r="C3494" s="19"/>
      <c r="D3494" s="19"/>
      <c r="E3494" s="22"/>
      <c r="F3494" s="19"/>
      <c r="G3494" s="26" t="str">
        <f aca="false">IF(D3494="","",IFERROR(VALUE(LEFT(D3494,FIND(" |",D3494&amp;" |")-1)),"?"))</f>
        <v/>
      </c>
      <c r="H3494" s="27" t="str">
        <f aca="false">IF(G3494="","",IF(G3494="?","⚠ pub inconnue",IFERROR(INDEX(Pubs!$B$2:$B$3001,MATCH(G3494,Pubs!$A$2:$A$3001,0))&amp;"","⚠ pub inconnue")))</f>
        <v/>
      </c>
      <c r="I3494" s="27" t="str">
        <f aca="false">IF(OR(G3494="",G3494="?"),"",IFERROR(INDEX(Pubs!$C$2:$C$3001,MATCH(G3494,Pubs!$A$2:$A$3001,0))&amp;"",""))</f>
        <v/>
      </c>
      <c r="J3494" s="27" t="str">
        <f aca="false">IF(OR(G3494="",G3494="?"),"",IFERROR(INDEX(Pubs!$G$2:$G$3001,MATCH(G3494,Pubs!$A$2:$A$3001,0))&amp;"",""))</f>
        <v/>
      </c>
      <c r="K3494" s="28" t="str">
        <f aca="false">IF(OR(G3494="",G3494="?"),"",IFERROR(INDEX(Pubs!$E$2:$E$3001,MATCH(G3494,Pubs!$A$2:$A$3001,0)),""))</f>
        <v/>
      </c>
      <c r="L3494" s="29" t="str">
        <f aca="false">IF(A3494="","",IFERROR(1/(1/INDEX(Numéros!$C$2:$C$3001,MATCH(A3494&amp;"|"&amp;B3494,Numéros!$F$2:$F$3001,0))),""))</f>
        <v/>
      </c>
      <c r="M3494" s="27" t="str">
        <f aca="false">IF(OR(G3494="",G3494="?"),"",IFERROR(INDEX(Pubs!$D$2:$D$3001,MATCH(G3494,Pubs!$A$2:$A$3001,0))&amp;"",""))</f>
        <v/>
      </c>
      <c r="N3494" s="27" t="n">
        <f aca="false">N(N3493)+IF(AND(A3494&lt;&gt;"",OR(Recherche!$C$4="",A3494=Recherche!$C$4),OR(Recherche!$C$5="",B3494&amp;""=Recherche!$C$5&amp;""),OR(Recherche!$C$6="",IFERROR(YEAR(L3494),0)=Recherche!$C$6),OR(Recherche!$C$7="",ISNUMBER(SEARCH(Recherche!$C$7,H3494))),OR(Recherche!$C$8="",J3494=Recherche!$C$8),OR(Recherche!$C$9="",I3494=Recherche!$C$9),OR(Recherche!$C$10="",G3494&amp;""=Recherche!$C$10&amp;""),OR(Recherche!$C$11="",E3494=Recherche!$C$11),OR(Recherche!$C$12="",ISNUMBER(SEARCH(Recherche!$C$12,M3494&amp;" "&amp;F3494)))),1,0)</f>
        <v>8</v>
      </c>
    </row>
    <row r="3495" customFormat="false" ht="15" hidden="false" customHeight="false" outlineLevel="0" collapsed="false">
      <c r="A3495" s="19"/>
      <c r="B3495" s="19"/>
      <c r="C3495" s="19"/>
      <c r="D3495" s="19"/>
      <c r="E3495" s="22"/>
      <c r="F3495" s="19"/>
      <c r="G3495" s="26" t="str">
        <f aca="false">IF(D3495="","",IFERROR(VALUE(LEFT(D3495,FIND(" |",D3495&amp;" |")-1)),"?"))</f>
        <v/>
      </c>
      <c r="H3495" s="27" t="str">
        <f aca="false">IF(G3495="","",IF(G3495="?","⚠ pub inconnue",IFERROR(INDEX(Pubs!$B$2:$B$3001,MATCH(G3495,Pubs!$A$2:$A$3001,0))&amp;"","⚠ pub inconnue")))</f>
        <v/>
      </c>
      <c r="I3495" s="27" t="str">
        <f aca="false">IF(OR(G3495="",G3495="?"),"",IFERROR(INDEX(Pubs!$C$2:$C$3001,MATCH(G3495,Pubs!$A$2:$A$3001,0))&amp;"",""))</f>
        <v/>
      </c>
      <c r="J3495" s="27" t="str">
        <f aca="false">IF(OR(G3495="",G3495="?"),"",IFERROR(INDEX(Pubs!$G$2:$G$3001,MATCH(G3495,Pubs!$A$2:$A$3001,0))&amp;"",""))</f>
        <v/>
      </c>
      <c r="K3495" s="28" t="str">
        <f aca="false">IF(OR(G3495="",G3495="?"),"",IFERROR(INDEX(Pubs!$E$2:$E$3001,MATCH(G3495,Pubs!$A$2:$A$3001,0)),""))</f>
        <v/>
      </c>
      <c r="L3495" s="29" t="str">
        <f aca="false">IF(A3495="","",IFERROR(1/(1/INDEX(Numéros!$C$2:$C$3001,MATCH(A3495&amp;"|"&amp;B3495,Numéros!$F$2:$F$3001,0))),""))</f>
        <v/>
      </c>
      <c r="M3495" s="27" t="str">
        <f aca="false">IF(OR(G3495="",G3495="?"),"",IFERROR(INDEX(Pubs!$D$2:$D$3001,MATCH(G3495,Pubs!$A$2:$A$3001,0))&amp;"",""))</f>
        <v/>
      </c>
      <c r="N3495" s="27" t="n">
        <f aca="false">N(N3494)+IF(AND(A3495&lt;&gt;"",OR(Recherche!$C$4="",A3495=Recherche!$C$4),OR(Recherche!$C$5="",B3495&amp;""=Recherche!$C$5&amp;""),OR(Recherche!$C$6="",IFERROR(YEAR(L3495),0)=Recherche!$C$6),OR(Recherche!$C$7="",ISNUMBER(SEARCH(Recherche!$C$7,H3495))),OR(Recherche!$C$8="",J3495=Recherche!$C$8),OR(Recherche!$C$9="",I3495=Recherche!$C$9),OR(Recherche!$C$10="",G3495&amp;""=Recherche!$C$10&amp;""),OR(Recherche!$C$11="",E3495=Recherche!$C$11),OR(Recherche!$C$12="",ISNUMBER(SEARCH(Recherche!$C$12,M3495&amp;" "&amp;F3495)))),1,0)</f>
        <v>8</v>
      </c>
    </row>
    <row r="3496" customFormat="false" ht="15" hidden="false" customHeight="false" outlineLevel="0" collapsed="false">
      <c r="A3496" s="19"/>
      <c r="B3496" s="19"/>
      <c r="C3496" s="19"/>
      <c r="D3496" s="19"/>
      <c r="E3496" s="22"/>
      <c r="F3496" s="19"/>
      <c r="G3496" s="26" t="str">
        <f aca="false">IF(D3496="","",IFERROR(VALUE(LEFT(D3496,FIND(" |",D3496&amp;" |")-1)),"?"))</f>
        <v/>
      </c>
      <c r="H3496" s="27" t="str">
        <f aca="false">IF(G3496="","",IF(G3496="?","⚠ pub inconnue",IFERROR(INDEX(Pubs!$B$2:$B$3001,MATCH(G3496,Pubs!$A$2:$A$3001,0))&amp;"","⚠ pub inconnue")))</f>
        <v/>
      </c>
      <c r="I3496" s="27" t="str">
        <f aca="false">IF(OR(G3496="",G3496="?"),"",IFERROR(INDEX(Pubs!$C$2:$C$3001,MATCH(G3496,Pubs!$A$2:$A$3001,0))&amp;"",""))</f>
        <v/>
      </c>
      <c r="J3496" s="27" t="str">
        <f aca="false">IF(OR(G3496="",G3496="?"),"",IFERROR(INDEX(Pubs!$G$2:$G$3001,MATCH(G3496,Pubs!$A$2:$A$3001,0))&amp;"",""))</f>
        <v/>
      </c>
      <c r="K3496" s="28" t="str">
        <f aca="false">IF(OR(G3496="",G3496="?"),"",IFERROR(INDEX(Pubs!$E$2:$E$3001,MATCH(G3496,Pubs!$A$2:$A$3001,0)),""))</f>
        <v/>
      </c>
      <c r="L3496" s="29" t="str">
        <f aca="false">IF(A3496="","",IFERROR(1/(1/INDEX(Numéros!$C$2:$C$3001,MATCH(A3496&amp;"|"&amp;B3496,Numéros!$F$2:$F$3001,0))),""))</f>
        <v/>
      </c>
      <c r="M3496" s="27" t="str">
        <f aca="false">IF(OR(G3496="",G3496="?"),"",IFERROR(INDEX(Pubs!$D$2:$D$3001,MATCH(G3496,Pubs!$A$2:$A$3001,0))&amp;"",""))</f>
        <v/>
      </c>
      <c r="N3496" s="27" t="n">
        <f aca="false">N(N3495)+IF(AND(A3496&lt;&gt;"",OR(Recherche!$C$4="",A3496=Recherche!$C$4),OR(Recherche!$C$5="",B3496&amp;""=Recherche!$C$5&amp;""),OR(Recherche!$C$6="",IFERROR(YEAR(L3496),0)=Recherche!$C$6),OR(Recherche!$C$7="",ISNUMBER(SEARCH(Recherche!$C$7,H3496))),OR(Recherche!$C$8="",J3496=Recherche!$C$8),OR(Recherche!$C$9="",I3496=Recherche!$C$9),OR(Recherche!$C$10="",G3496&amp;""=Recherche!$C$10&amp;""),OR(Recherche!$C$11="",E3496=Recherche!$C$11),OR(Recherche!$C$12="",ISNUMBER(SEARCH(Recherche!$C$12,M3496&amp;" "&amp;F3496)))),1,0)</f>
        <v>8</v>
      </c>
    </row>
    <row r="3497" customFormat="false" ht="15" hidden="false" customHeight="false" outlineLevel="0" collapsed="false">
      <c r="A3497" s="19"/>
      <c r="B3497" s="19"/>
      <c r="C3497" s="19"/>
      <c r="D3497" s="19"/>
      <c r="E3497" s="22"/>
      <c r="F3497" s="19"/>
      <c r="G3497" s="26" t="str">
        <f aca="false">IF(D3497="","",IFERROR(VALUE(LEFT(D3497,FIND(" |",D3497&amp;" |")-1)),"?"))</f>
        <v/>
      </c>
      <c r="H3497" s="27" t="str">
        <f aca="false">IF(G3497="","",IF(G3497="?","⚠ pub inconnue",IFERROR(INDEX(Pubs!$B$2:$B$3001,MATCH(G3497,Pubs!$A$2:$A$3001,0))&amp;"","⚠ pub inconnue")))</f>
        <v/>
      </c>
      <c r="I3497" s="27" t="str">
        <f aca="false">IF(OR(G3497="",G3497="?"),"",IFERROR(INDEX(Pubs!$C$2:$C$3001,MATCH(G3497,Pubs!$A$2:$A$3001,0))&amp;"",""))</f>
        <v/>
      </c>
      <c r="J3497" s="27" t="str">
        <f aca="false">IF(OR(G3497="",G3497="?"),"",IFERROR(INDEX(Pubs!$G$2:$G$3001,MATCH(G3497,Pubs!$A$2:$A$3001,0))&amp;"",""))</f>
        <v/>
      </c>
      <c r="K3497" s="28" t="str">
        <f aca="false">IF(OR(G3497="",G3497="?"),"",IFERROR(INDEX(Pubs!$E$2:$E$3001,MATCH(G3497,Pubs!$A$2:$A$3001,0)),""))</f>
        <v/>
      </c>
      <c r="L3497" s="29" t="str">
        <f aca="false">IF(A3497="","",IFERROR(1/(1/INDEX(Numéros!$C$2:$C$3001,MATCH(A3497&amp;"|"&amp;B3497,Numéros!$F$2:$F$3001,0))),""))</f>
        <v/>
      </c>
      <c r="M3497" s="27" t="str">
        <f aca="false">IF(OR(G3497="",G3497="?"),"",IFERROR(INDEX(Pubs!$D$2:$D$3001,MATCH(G3497,Pubs!$A$2:$A$3001,0))&amp;"",""))</f>
        <v/>
      </c>
      <c r="N3497" s="27" t="n">
        <f aca="false">N(N3496)+IF(AND(A3497&lt;&gt;"",OR(Recherche!$C$4="",A3497=Recherche!$C$4),OR(Recherche!$C$5="",B3497&amp;""=Recherche!$C$5&amp;""),OR(Recherche!$C$6="",IFERROR(YEAR(L3497),0)=Recherche!$C$6),OR(Recherche!$C$7="",ISNUMBER(SEARCH(Recherche!$C$7,H3497))),OR(Recherche!$C$8="",J3497=Recherche!$C$8),OR(Recherche!$C$9="",I3497=Recherche!$C$9),OR(Recherche!$C$10="",G3497&amp;""=Recherche!$C$10&amp;""),OR(Recherche!$C$11="",E3497=Recherche!$C$11),OR(Recherche!$C$12="",ISNUMBER(SEARCH(Recherche!$C$12,M3497&amp;" "&amp;F3497)))),1,0)</f>
        <v>8</v>
      </c>
    </row>
    <row r="3498" customFormat="false" ht="15" hidden="false" customHeight="false" outlineLevel="0" collapsed="false">
      <c r="A3498" s="19"/>
      <c r="B3498" s="19"/>
      <c r="C3498" s="19"/>
      <c r="D3498" s="19"/>
      <c r="E3498" s="22"/>
      <c r="F3498" s="19"/>
      <c r="G3498" s="26" t="str">
        <f aca="false">IF(D3498="","",IFERROR(VALUE(LEFT(D3498,FIND(" |",D3498&amp;" |")-1)),"?"))</f>
        <v/>
      </c>
      <c r="H3498" s="27" t="str">
        <f aca="false">IF(G3498="","",IF(G3498="?","⚠ pub inconnue",IFERROR(INDEX(Pubs!$B$2:$B$3001,MATCH(G3498,Pubs!$A$2:$A$3001,0))&amp;"","⚠ pub inconnue")))</f>
        <v/>
      </c>
      <c r="I3498" s="27" t="str">
        <f aca="false">IF(OR(G3498="",G3498="?"),"",IFERROR(INDEX(Pubs!$C$2:$C$3001,MATCH(G3498,Pubs!$A$2:$A$3001,0))&amp;"",""))</f>
        <v/>
      </c>
      <c r="J3498" s="27" t="str">
        <f aca="false">IF(OR(G3498="",G3498="?"),"",IFERROR(INDEX(Pubs!$G$2:$G$3001,MATCH(G3498,Pubs!$A$2:$A$3001,0))&amp;"",""))</f>
        <v/>
      </c>
      <c r="K3498" s="28" t="str">
        <f aca="false">IF(OR(G3498="",G3498="?"),"",IFERROR(INDEX(Pubs!$E$2:$E$3001,MATCH(G3498,Pubs!$A$2:$A$3001,0)),""))</f>
        <v/>
      </c>
      <c r="L3498" s="29" t="str">
        <f aca="false">IF(A3498="","",IFERROR(1/(1/INDEX(Numéros!$C$2:$C$3001,MATCH(A3498&amp;"|"&amp;B3498,Numéros!$F$2:$F$3001,0))),""))</f>
        <v/>
      </c>
      <c r="M3498" s="27" t="str">
        <f aca="false">IF(OR(G3498="",G3498="?"),"",IFERROR(INDEX(Pubs!$D$2:$D$3001,MATCH(G3498,Pubs!$A$2:$A$3001,0))&amp;"",""))</f>
        <v/>
      </c>
      <c r="N3498" s="27" t="n">
        <f aca="false">N(N3497)+IF(AND(A3498&lt;&gt;"",OR(Recherche!$C$4="",A3498=Recherche!$C$4),OR(Recherche!$C$5="",B3498&amp;""=Recherche!$C$5&amp;""),OR(Recherche!$C$6="",IFERROR(YEAR(L3498),0)=Recherche!$C$6),OR(Recherche!$C$7="",ISNUMBER(SEARCH(Recherche!$C$7,H3498))),OR(Recherche!$C$8="",J3498=Recherche!$C$8),OR(Recherche!$C$9="",I3498=Recherche!$C$9),OR(Recherche!$C$10="",G3498&amp;""=Recherche!$C$10&amp;""),OR(Recherche!$C$11="",E3498=Recherche!$C$11),OR(Recherche!$C$12="",ISNUMBER(SEARCH(Recherche!$C$12,M3498&amp;" "&amp;F3498)))),1,0)</f>
        <v>8</v>
      </c>
    </row>
    <row r="3499" customFormat="false" ht="15" hidden="false" customHeight="false" outlineLevel="0" collapsed="false">
      <c r="A3499" s="19"/>
      <c r="B3499" s="19"/>
      <c r="C3499" s="19"/>
      <c r="D3499" s="19"/>
      <c r="E3499" s="22"/>
      <c r="F3499" s="19"/>
      <c r="G3499" s="26" t="str">
        <f aca="false">IF(D3499="","",IFERROR(VALUE(LEFT(D3499,FIND(" |",D3499&amp;" |")-1)),"?"))</f>
        <v/>
      </c>
      <c r="H3499" s="27" t="str">
        <f aca="false">IF(G3499="","",IF(G3499="?","⚠ pub inconnue",IFERROR(INDEX(Pubs!$B$2:$B$3001,MATCH(G3499,Pubs!$A$2:$A$3001,0))&amp;"","⚠ pub inconnue")))</f>
        <v/>
      </c>
      <c r="I3499" s="27" t="str">
        <f aca="false">IF(OR(G3499="",G3499="?"),"",IFERROR(INDEX(Pubs!$C$2:$C$3001,MATCH(G3499,Pubs!$A$2:$A$3001,0))&amp;"",""))</f>
        <v/>
      </c>
      <c r="J3499" s="27" t="str">
        <f aca="false">IF(OR(G3499="",G3499="?"),"",IFERROR(INDEX(Pubs!$G$2:$G$3001,MATCH(G3499,Pubs!$A$2:$A$3001,0))&amp;"",""))</f>
        <v/>
      </c>
      <c r="K3499" s="28" t="str">
        <f aca="false">IF(OR(G3499="",G3499="?"),"",IFERROR(INDEX(Pubs!$E$2:$E$3001,MATCH(G3499,Pubs!$A$2:$A$3001,0)),""))</f>
        <v/>
      </c>
      <c r="L3499" s="29" t="str">
        <f aca="false">IF(A3499="","",IFERROR(1/(1/INDEX(Numéros!$C$2:$C$3001,MATCH(A3499&amp;"|"&amp;B3499,Numéros!$F$2:$F$3001,0))),""))</f>
        <v/>
      </c>
      <c r="M3499" s="27" t="str">
        <f aca="false">IF(OR(G3499="",G3499="?"),"",IFERROR(INDEX(Pubs!$D$2:$D$3001,MATCH(G3499,Pubs!$A$2:$A$3001,0))&amp;"",""))</f>
        <v/>
      </c>
      <c r="N3499" s="27" t="n">
        <f aca="false">N(N3498)+IF(AND(A3499&lt;&gt;"",OR(Recherche!$C$4="",A3499=Recherche!$C$4),OR(Recherche!$C$5="",B3499&amp;""=Recherche!$C$5&amp;""),OR(Recherche!$C$6="",IFERROR(YEAR(L3499),0)=Recherche!$C$6),OR(Recherche!$C$7="",ISNUMBER(SEARCH(Recherche!$C$7,H3499))),OR(Recherche!$C$8="",J3499=Recherche!$C$8),OR(Recherche!$C$9="",I3499=Recherche!$C$9),OR(Recherche!$C$10="",G3499&amp;""=Recherche!$C$10&amp;""),OR(Recherche!$C$11="",E3499=Recherche!$C$11),OR(Recherche!$C$12="",ISNUMBER(SEARCH(Recherche!$C$12,M3499&amp;" "&amp;F3499)))),1,0)</f>
        <v>8</v>
      </c>
    </row>
    <row r="3500" customFormat="false" ht="15" hidden="false" customHeight="false" outlineLevel="0" collapsed="false">
      <c r="A3500" s="19"/>
      <c r="B3500" s="19"/>
      <c r="C3500" s="19"/>
      <c r="D3500" s="19"/>
      <c r="E3500" s="22"/>
      <c r="F3500" s="19"/>
      <c r="G3500" s="26" t="str">
        <f aca="false">IF(D3500="","",IFERROR(VALUE(LEFT(D3500,FIND(" |",D3500&amp;" |")-1)),"?"))</f>
        <v/>
      </c>
      <c r="H3500" s="27" t="str">
        <f aca="false">IF(G3500="","",IF(G3500="?","⚠ pub inconnue",IFERROR(INDEX(Pubs!$B$2:$B$3001,MATCH(G3500,Pubs!$A$2:$A$3001,0))&amp;"","⚠ pub inconnue")))</f>
        <v/>
      </c>
      <c r="I3500" s="27" t="str">
        <f aca="false">IF(OR(G3500="",G3500="?"),"",IFERROR(INDEX(Pubs!$C$2:$C$3001,MATCH(G3500,Pubs!$A$2:$A$3001,0))&amp;"",""))</f>
        <v/>
      </c>
      <c r="J3500" s="27" t="str">
        <f aca="false">IF(OR(G3500="",G3500="?"),"",IFERROR(INDEX(Pubs!$G$2:$G$3001,MATCH(G3500,Pubs!$A$2:$A$3001,0))&amp;"",""))</f>
        <v/>
      </c>
      <c r="K3500" s="28" t="str">
        <f aca="false">IF(OR(G3500="",G3500="?"),"",IFERROR(INDEX(Pubs!$E$2:$E$3001,MATCH(G3500,Pubs!$A$2:$A$3001,0)),""))</f>
        <v/>
      </c>
      <c r="L3500" s="29" t="str">
        <f aca="false">IF(A3500="","",IFERROR(1/(1/INDEX(Numéros!$C$2:$C$3001,MATCH(A3500&amp;"|"&amp;B3500,Numéros!$F$2:$F$3001,0))),""))</f>
        <v/>
      </c>
      <c r="M3500" s="27" t="str">
        <f aca="false">IF(OR(G3500="",G3500="?"),"",IFERROR(INDEX(Pubs!$D$2:$D$3001,MATCH(G3500,Pubs!$A$2:$A$3001,0))&amp;"",""))</f>
        <v/>
      </c>
      <c r="N3500" s="27" t="n">
        <f aca="false">N(N3499)+IF(AND(A3500&lt;&gt;"",OR(Recherche!$C$4="",A3500=Recherche!$C$4),OR(Recherche!$C$5="",B3500&amp;""=Recherche!$C$5&amp;""),OR(Recherche!$C$6="",IFERROR(YEAR(L3500),0)=Recherche!$C$6),OR(Recherche!$C$7="",ISNUMBER(SEARCH(Recherche!$C$7,H3500))),OR(Recherche!$C$8="",J3500=Recherche!$C$8),OR(Recherche!$C$9="",I3500=Recherche!$C$9),OR(Recherche!$C$10="",G3500&amp;""=Recherche!$C$10&amp;""),OR(Recherche!$C$11="",E3500=Recherche!$C$11),OR(Recherche!$C$12="",ISNUMBER(SEARCH(Recherche!$C$12,M3500&amp;" "&amp;F3500)))),1,0)</f>
        <v>8</v>
      </c>
    </row>
    <row r="3501" customFormat="false" ht="15" hidden="false" customHeight="false" outlineLevel="0" collapsed="false">
      <c r="A3501" s="19"/>
      <c r="B3501" s="19"/>
      <c r="C3501" s="19"/>
      <c r="D3501" s="19"/>
      <c r="E3501" s="22"/>
      <c r="F3501" s="19"/>
      <c r="G3501" s="26" t="str">
        <f aca="false">IF(D3501="","",IFERROR(VALUE(LEFT(D3501,FIND(" |",D3501&amp;" |")-1)),"?"))</f>
        <v/>
      </c>
      <c r="H3501" s="27" t="str">
        <f aca="false">IF(G3501="","",IF(G3501="?","⚠ pub inconnue",IFERROR(INDEX(Pubs!$B$2:$B$3001,MATCH(G3501,Pubs!$A$2:$A$3001,0))&amp;"","⚠ pub inconnue")))</f>
        <v/>
      </c>
      <c r="I3501" s="27" t="str">
        <f aca="false">IF(OR(G3501="",G3501="?"),"",IFERROR(INDEX(Pubs!$C$2:$C$3001,MATCH(G3501,Pubs!$A$2:$A$3001,0))&amp;"",""))</f>
        <v/>
      </c>
      <c r="J3501" s="27" t="str">
        <f aca="false">IF(OR(G3501="",G3501="?"),"",IFERROR(INDEX(Pubs!$G$2:$G$3001,MATCH(G3501,Pubs!$A$2:$A$3001,0))&amp;"",""))</f>
        <v/>
      </c>
      <c r="K3501" s="28" t="str">
        <f aca="false">IF(OR(G3501="",G3501="?"),"",IFERROR(INDEX(Pubs!$E$2:$E$3001,MATCH(G3501,Pubs!$A$2:$A$3001,0)),""))</f>
        <v/>
      </c>
      <c r="L3501" s="29" t="str">
        <f aca="false">IF(A3501="","",IFERROR(1/(1/INDEX(Numéros!$C$2:$C$3001,MATCH(A3501&amp;"|"&amp;B3501,Numéros!$F$2:$F$3001,0))),""))</f>
        <v/>
      </c>
      <c r="M3501" s="27" t="str">
        <f aca="false">IF(OR(G3501="",G3501="?"),"",IFERROR(INDEX(Pubs!$D$2:$D$3001,MATCH(G3501,Pubs!$A$2:$A$3001,0))&amp;"",""))</f>
        <v/>
      </c>
      <c r="N3501" s="27" t="n">
        <f aca="false">N(N3500)+IF(AND(A3501&lt;&gt;"",OR(Recherche!$C$4="",A3501=Recherche!$C$4),OR(Recherche!$C$5="",B3501&amp;""=Recherche!$C$5&amp;""),OR(Recherche!$C$6="",IFERROR(YEAR(L3501),0)=Recherche!$C$6),OR(Recherche!$C$7="",ISNUMBER(SEARCH(Recherche!$C$7,H3501))),OR(Recherche!$C$8="",J3501=Recherche!$C$8),OR(Recherche!$C$9="",I3501=Recherche!$C$9),OR(Recherche!$C$10="",G3501&amp;""=Recherche!$C$10&amp;""),OR(Recherche!$C$11="",E3501=Recherche!$C$11),OR(Recherche!$C$12="",ISNUMBER(SEARCH(Recherche!$C$12,M3501&amp;" "&amp;F3501)))),1,0)</f>
        <v>8</v>
      </c>
    </row>
    <row r="3502" customFormat="false" ht="15" hidden="false" customHeight="false" outlineLevel="0" collapsed="false">
      <c r="A3502" s="19"/>
      <c r="B3502" s="19"/>
      <c r="C3502" s="19"/>
      <c r="D3502" s="19"/>
      <c r="E3502" s="22"/>
      <c r="F3502" s="19"/>
      <c r="G3502" s="26" t="str">
        <f aca="false">IF(D3502="","",IFERROR(VALUE(LEFT(D3502,FIND(" |",D3502&amp;" |")-1)),"?"))</f>
        <v/>
      </c>
      <c r="H3502" s="27" t="str">
        <f aca="false">IF(G3502="","",IF(G3502="?","⚠ pub inconnue",IFERROR(INDEX(Pubs!$B$2:$B$3001,MATCH(G3502,Pubs!$A$2:$A$3001,0))&amp;"","⚠ pub inconnue")))</f>
        <v/>
      </c>
      <c r="I3502" s="27" t="str">
        <f aca="false">IF(OR(G3502="",G3502="?"),"",IFERROR(INDEX(Pubs!$C$2:$C$3001,MATCH(G3502,Pubs!$A$2:$A$3001,0))&amp;"",""))</f>
        <v/>
      </c>
      <c r="J3502" s="27" t="str">
        <f aca="false">IF(OR(G3502="",G3502="?"),"",IFERROR(INDEX(Pubs!$G$2:$G$3001,MATCH(G3502,Pubs!$A$2:$A$3001,0))&amp;"",""))</f>
        <v/>
      </c>
      <c r="K3502" s="28" t="str">
        <f aca="false">IF(OR(G3502="",G3502="?"),"",IFERROR(INDEX(Pubs!$E$2:$E$3001,MATCH(G3502,Pubs!$A$2:$A$3001,0)),""))</f>
        <v/>
      </c>
      <c r="L3502" s="29" t="str">
        <f aca="false">IF(A3502="","",IFERROR(1/(1/INDEX(Numéros!$C$2:$C$3001,MATCH(A3502&amp;"|"&amp;B3502,Numéros!$F$2:$F$3001,0))),""))</f>
        <v/>
      </c>
      <c r="M3502" s="27" t="str">
        <f aca="false">IF(OR(G3502="",G3502="?"),"",IFERROR(INDEX(Pubs!$D$2:$D$3001,MATCH(G3502,Pubs!$A$2:$A$3001,0))&amp;"",""))</f>
        <v/>
      </c>
      <c r="N3502" s="27" t="n">
        <f aca="false">N(N3501)+IF(AND(A3502&lt;&gt;"",OR(Recherche!$C$4="",A3502=Recherche!$C$4),OR(Recherche!$C$5="",B3502&amp;""=Recherche!$C$5&amp;""),OR(Recherche!$C$6="",IFERROR(YEAR(L3502),0)=Recherche!$C$6),OR(Recherche!$C$7="",ISNUMBER(SEARCH(Recherche!$C$7,H3502))),OR(Recherche!$C$8="",J3502=Recherche!$C$8),OR(Recherche!$C$9="",I3502=Recherche!$C$9),OR(Recherche!$C$10="",G3502&amp;""=Recherche!$C$10&amp;""),OR(Recherche!$C$11="",E3502=Recherche!$C$11),OR(Recherche!$C$12="",ISNUMBER(SEARCH(Recherche!$C$12,M3502&amp;" "&amp;F3502)))),1,0)</f>
        <v>8</v>
      </c>
    </row>
    <row r="3503" customFormat="false" ht="15" hidden="false" customHeight="false" outlineLevel="0" collapsed="false">
      <c r="A3503" s="19"/>
      <c r="B3503" s="19"/>
      <c r="C3503" s="19"/>
      <c r="D3503" s="19"/>
      <c r="E3503" s="22"/>
      <c r="F3503" s="19"/>
      <c r="G3503" s="26" t="str">
        <f aca="false">IF(D3503="","",IFERROR(VALUE(LEFT(D3503,FIND(" |",D3503&amp;" |")-1)),"?"))</f>
        <v/>
      </c>
      <c r="H3503" s="27" t="str">
        <f aca="false">IF(G3503="","",IF(G3503="?","⚠ pub inconnue",IFERROR(INDEX(Pubs!$B$2:$B$3001,MATCH(G3503,Pubs!$A$2:$A$3001,0))&amp;"","⚠ pub inconnue")))</f>
        <v/>
      </c>
      <c r="I3503" s="27" t="str">
        <f aca="false">IF(OR(G3503="",G3503="?"),"",IFERROR(INDEX(Pubs!$C$2:$C$3001,MATCH(G3503,Pubs!$A$2:$A$3001,0))&amp;"",""))</f>
        <v/>
      </c>
      <c r="J3503" s="27" t="str">
        <f aca="false">IF(OR(G3503="",G3503="?"),"",IFERROR(INDEX(Pubs!$G$2:$G$3001,MATCH(G3503,Pubs!$A$2:$A$3001,0))&amp;"",""))</f>
        <v/>
      </c>
      <c r="K3503" s="28" t="str">
        <f aca="false">IF(OR(G3503="",G3503="?"),"",IFERROR(INDEX(Pubs!$E$2:$E$3001,MATCH(G3503,Pubs!$A$2:$A$3001,0)),""))</f>
        <v/>
      </c>
      <c r="L3503" s="29" t="str">
        <f aca="false">IF(A3503="","",IFERROR(1/(1/INDEX(Numéros!$C$2:$C$3001,MATCH(A3503&amp;"|"&amp;B3503,Numéros!$F$2:$F$3001,0))),""))</f>
        <v/>
      </c>
      <c r="M3503" s="27" t="str">
        <f aca="false">IF(OR(G3503="",G3503="?"),"",IFERROR(INDEX(Pubs!$D$2:$D$3001,MATCH(G3503,Pubs!$A$2:$A$3001,0))&amp;"",""))</f>
        <v/>
      </c>
      <c r="N3503" s="27" t="n">
        <f aca="false">N(N3502)+IF(AND(A3503&lt;&gt;"",OR(Recherche!$C$4="",A3503=Recherche!$C$4),OR(Recherche!$C$5="",B3503&amp;""=Recherche!$C$5&amp;""),OR(Recherche!$C$6="",IFERROR(YEAR(L3503),0)=Recherche!$C$6),OR(Recherche!$C$7="",ISNUMBER(SEARCH(Recherche!$C$7,H3503))),OR(Recherche!$C$8="",J3503=Recherche!$C$8),OR(Recherche!$C$9="",I3503=Recherche!$C$9),OR(Recherche!$C$10="",G3503&amp;""=Recherche!$C$10&amp;""),OR(Recherche!$C$11="",E3503=Recherche!$C$11),OR(Recherche!$C$12="",ISNUMBER(SEARCH(Recherche!$C$12,M3503&amp;" "&amp;F3503)))),1,0)</f>
        <v>8</v>
      </c>
    </row>
    <row r="3504" customFormat="false" ht="15" hidden="false" customHeight="false" outlineLevel="0" collapsed="false">
      <c r="A3504" s="19"/>
      <c r="B3504" s="19"/>
      <c r="C3504" s="19"/>
      <c r="D3504" s="19"/>
      <c r="E3504" s="22"/>
      <c r="F3504" s="19"/>
      <c r="G3504" s="26" t="str">
        <f aca="false">IF(D3504="","",IFERROR(VALUE(LEFT(D3504,FIND(" |",D3504&amp;" |")-1)),"?"))</f>
        <v/>
      </c>
      <c r="H3504" s="27" t="str">
        <f aca="false">IF(G3504="","",IF(G3504="?","⚠ pub inconnue",IFERROR(INDEX(Pubs!$B$2:$B$3001,MATCH(G3504,Pubs!$A$2:$A$3001,0))&amp;"","⚠ pub inconnue")))</f>
        <v/>
      </c>
      <c r="I3504" s="27" t="str">
        <f aca="false">IF(OR(G3504="",G3504="?"),"",IFERROR(INDEX(Pubs!$C$2:$C$3001,MATCH(G3504,Pubs!$A$2:$A$3001,0))&amp;"",""))</f>
        <v/>
      </c>
      <c r="J3504" s="27" t="str">
        <f aca="false">IF(OR(G3504="",G3504="?"),"",IFERROR(INDEX(Pubs!$G$2:$G$3001,MATCH(G3504,Pubs!$A$2:$A$3001,0))&amp;"",""))</f>
        <v/>
      </c>
      <c r="K3504" s="28" t="str">
        <f aca="false">IF(OR(G3504="",G3504="?"),"",IFERROR(INDEX(Pubs!$E$2:$E$3001,MATCH(G3504,Pubs!$A$2:$A$3001,0)),""))</f>
        <v/>
      </c>
      <c r="L3504" s="29" t="str">
        <f aca="false">IF(A3504="","",IFERROR(1/(1/INDEX(Numéros!$C$2:$C$3001,MATCH(A3504&amp;"|"&amp;B3504,Numéros!$F$2:$F$3001,0))),""))</f>
        <v/>
      </c>
      <c r="M3504" s="27" t="str">
        <f aca="false">IF(OR(G3504="",G3504="?"),"",IFERROR(INDEX(Pubs!$D$2:$D$3001,MATCH(G3504,Pubs!$A$2:$A$3001,0))&amp;"",""))</f>
        <v/>
      </c>
      <c r="N3504" s="27" t="n">
        <f aca="false">N(N3503)+IF(AND(A3504&lt;&gt;"",OR(Recherche!$C$4="",A3504=Recherche!$C$4),OR(Recherche!$C$5="",B3504&amp;""=Recherche!$C$5&amp;""),OR(Recherche!$C$6="",IFERROR(YEAR(L3504),0)=Recherche!$C$6),OR(Recherche!$C$7="",ISNUMBER(SEARCH(Recherche!$C$7,H3504))),OR(Recherche!$C$8="",J3504=Recherche!$C$8),OR(Recherche!$C$9="",I3504=Recherche!$C$9),OR(Recherche!$C$10="",G3504&amp;""=Recherche!$C$10&amp;""),OR(Recherche!$C$11="",E3504=Recherche!$C$11),OR(Recherche!$C$12="",ISNUMBER(SEARCH(Recherche!$C$12,M3504&amp;" "&amp;F3504)))),1,0)</f>
        <v>8</v>
      </c>
    </row>
    <row r="3505" customFormat="false" ht="15" hidden="false" customHeight="false" outlineLevel="0" collapsed="false">
      <c r="A3505" s="19"/>
      <c r="B3505" s="19"/>
      <c r="C3505" s="19"/>
      <c r="D3505" s="19"/>
      <c r="E3505" s="22"/>
      <c r="F3505" s="19"/>
      <c r="G3505" s="26" t="str">
        <f aca="false">IF(D3505="","",IFERROR(VALUE(LEFT(D3505,FIND(" |",D3505&amp;" |")-1)),"?"))</f>
        <v/>
      </c>
      <c r="H3505" s="27" t="str">
        <f aca="false">IF(G3505="","",IF(G3505="?","⚠ pub inconnue",IFERROR(INDEX(Pubs!$B$2:$B$3001,MATCH(G3505,Pubs!$A$2:$A$3001,0))&amp;"","⚠ pub inconnue")))</f>
        <v/>
      </c>
      <c r="I3505" s="27" t="str">
        <f aca="false">IF(OR(G3505="",G3505="?"),"",IFERROR(INDEX(Pubs!$C$2:$C$3001,MATCH(G3505,Pubs!$A$2:$A$3001,0))&amp;"",""))</f>
        <v/>
      </c>
      <c r="J3505" s="27" t="str">
        <f aca="false">IF(OR(G3505="",G3505="?"),"",IFERROR(INDEX(Pubs!$G$2:$G$3001,MATCH(G3505,Pubs!$A$2:$A$3001,0))&amp;"",""))</f>
        <v/>
      </c>
      <c r="K3505" s="28" t="str">
        <f aca="false">IF(OR(G3505="",G3505="?"),"",IFERROR(INDEX(Pubs!$E$2:$E$3001,MATCH(G3505,Pubs!$A$2:$A$3001,0)),""))</f>
        <v/>
      </c>
      <c r="L3505" s="29" t="str">
        <f aca="false">IF(A3505="","",IFERROR(1/(1/INDEX(Numéros!$C$2:$C$3001,MATCH(A3505&amp;"|"&amp;B3505,Numéros!$F$2:$F$3001,0))),""))</f>
        <v/>
      </c>
      <c r="M3505" s="27" t="str">
        <f aca="false">IF(OR(G3505="",G3505="?"),"",IFERROR(INDEX(Pubs!$D$2:$D$3001,MATCH(G3505,Pubs!$A$2:$A$3001,0))&amp;"",""))</f>
        <v/>
      </c>
      <c r="N3505" s="27" t="n">
        <f aca="false">N(N3504)+IF(AND(A3505&lt;&gt;"",OR(Recherche!$C$4="",A3505=Recherche!$C$4),OR(Recherche!$C$5="",B3505&amp;""=Recherche!$C$5&amp;""),OR(Recherche!$C$6="",IFERROR(YEAR(L3505),0)=Recherche!$C$6),OR(Recherche!$C$7="",ISNUMBER(SEARCH(Recherche!$C$7,H3505))),OR(Recherche!$C$8="",J3505=Recherche!$C$8),OR(Recherche!$C$9="",I3505=Recherche!$C$9),OR(Recherche!$C$10="",G3505&amp;""=Recherche!$C$10&amp;""),OR(Recherche!$C$11="",E3505=Recherche!$C$11),OR(Recherche!$C$12="",ISNUMBER(SEARCH(Recherche!$C$12,M3505&amp;" "&amp;F3505)))),1,0)</f>
        <v>8</v>
      </c>
    </row>
    <row r="3506" customFormat="false" ht="15" hidden="false" customHeight="false" outlineLevel="0" collapsed="false">
      <c r="A3506" s="19"/>
      <c r="B3506" s="19"/>
      <c r="C3506" s="19"/>
      <c r="D3506" s="19"/>
      <c r="E3506" s="22"/>
      <c r="F3506" s="19"/>
      <c r="G3506" s="26" t="str">
        <f aca="false">IF(D3506="","",IFERROR(VALUE(LEFT(D3506,FIND(" |",D3506&amp;" |")-1)),"?"))</f>
        <v/>
      </c>
      <c r="H3506" s="27" t="str">
        <f aca="false">IF(G3506="","",IF(G3506="?","⚠ pub inconnue",IFERROR(INDEX(Pubs!$B$2:$B$3001,MATCH(G3506,Pubs!$A$2:$A$3001,0))&amp;"","⚠ pub inconnue")))</f>
        <v/>
      </c>
      <c r="I3506" s="27" t="str">
        <f aca="false">IF(OR(G3506="",G3506="?"),"",IFERROR(INDEX(Pubs!$C$2:$C$3001,MATCH(G3506,Pubs!$A$2:$A$3001,0))&amp;"",""))</f>
        <v/>
      </c>
      <c r="J3506" s="27" t="str">
        <f aca="false">IF(OR(G3506="",G3506="?"),"",IFERROR(INDEX(Pubs!$G$2:$G$3001,MATCH(G3506,Pubs!$A$2:$A$3001,0))&amp;"",""))</f>
        <v/>
      </c>
      <c r="K3506" s="28" t="str">
        <f aca="false">IF(OR(G3506="",G3506="?"),"",IFERROR(INDEX(Pubs!$E$2:$E$3001,MATCH(G3506,Pubs!$A$2:$A$3001,0)),""))</f>
        <v/>
      </c>
      <c r="L3506" s="29" t="str">
        <f aca="false">IF(A3506="","",IFERROR(1/(1/INDEX(Numéros!$C$2:$C$3001,MATCH(A3506&amp;"|"&amp;B3506,Numéros!$F$2:$F$3001,0))),""))</f>
        <v/>
      </c>
      <c r="M3506" s="27" t="str">
        <f aca="false">IF(OR(G3506="",G3506="?"),"",IFERROR(INDEX(Pubs!$D$2:$D$3001,MATCH(G3506,Pubs!$A$2:$A$3001,0))&amp;"",""))</f>
        <v/>
      </c>
      <c r="N3506" s="27" t="n">
        <f aca="false">N(N3505)+IF(AND(A3506&lt;&gt;"",OR(Recherche!$C$4="",A3506=Recherche!$C$4),OR(Recherche!$C$5="",B3506&amp;""=Recherche!$C$5&amp;""),OR(Recherche!$C$6="",IFERROR(YEAR(L3506),0)=Recherche!$C$6),OR(Recherche!$C$7="",ISNUMBER(SEARCH(Recherche!$C$7,H3506))),OR(Recherche!$C$8="",J3506=Recherche!$C$8),OR(Recherche!$C$9="",I3506=Recherche!$C$9),OR(Recherche!$C$10="",G3506&amp;""=Recherche!$C$10&amp;""),OR(Recherche!$C$11="",E3506=Recherche!$C$11),OR(Recherche!$C$12="",ISNUMBER(SEARCH(Recherche!$C$12,M3506&amp;" "&amp;F3506)))),1,0)</f>
        <v>8</v>
      </c>
    </row>
    <row r="3507" customFormat="false" ht="15" hidden="false" customHeight="false" outlineLevel="0" collapsed="false">
      <c r="A3507" s="19"/>
      <c r="B3507" s="19"/>
      <c r="C3507" s="19"/>
      <c r="D3507" s="19"/>
      <c r="E3507" s="22"/>
      <c r="F3507" s="19"/>
      <c r="G3507" s="26" t="str">
        <f aca="false">IF(D3507="","",IFERROR(VALUE(LEFT(D3507,FIND(" |",D3507&amp;" |")-1)),"?"))</f>
        <v/>
      </c>
      <c r="H3507" s="27" t="str">
        <f aca="false">IF(G3507="","",IF(G3507="?","⚠ pub inconnue",IFERROR(INDEX(Pubs!$B$2:$B$3001,MATCH(G3507,Pubs!$A$2:$A$3001,0))&amp;"","⚠ pub inconnue")))</f>
        <v/>
      </c>
      <c r="I3507" s="27" t="str">
        <f aca="false">IF(OR(G3507="",G3507="?"),"",IFERROR(INDEX(Pubs!$C$2:$C$3001,MATCH(G3507,Pubs!$A$2:$A$3001,0))&amp;"",""))</f>
        <v/>
      </c>
      <c r="J3507" s="27" t="str">
        <f aca="false">IF(OR(G3507="",G3507="?"),"",IFERROR(INDEX(Pubs!$G$2:$G$3001,MATCH(G3507,Pubs!$A$2:$A$3001,0))&amp;"",""))</f>
        <v/>
      </c>
      <c r="K3507" s="28" t="str">
        <f aca="false">IF(OR(G3507="",G3507="?"),"",IFERROR(INDEX(Pubs!$E$2:$E$3001,MATCH(G3507,Pubs!$A$2:$A$3001,0)),""))</f>
        <v/>
      </c>
      <c r="L3507" s="29" t="str">
        <f aca="false">IF(A3507="","",IFERROR(1/(1/INDEX(Numéros!$C$2:$C$3001,MATCH(A3507&amp;"|"&amp;B3507,Numéros!$F$2:$F$3001,0))),""))</f>
        <v/>
      </c>
      <c r="M3507" s="27" t="str">
        <f aca="false">IF(OR(G3507="",G3507="?"),"",IFERROR(INDEX(Pubs!$D$2:$D$3001,MATCH(G3507,Pubs!$A$2:$A$3001,0))&amp;"",""))</f>
        <v/>
      </c>
      <c r="N3507" s="27" t="n">
        <f aca="false">N(N3506)+IF(AND(A3507&lt;&gt;"",OR(Recherche!$C$4="",A3507=Recherche!$C$4),OR(Recherche!$C$5="",B3507&amp;""=Recherche!$C$5&amp;""),OR(Recherche!$C$6="",IFERROR(YEAR(L3507),0)=Recherche!$C$6),OR(Recherche!$C$7="",ISNUMBER(SEARCH(Recherche!$C$7,H3507))),OR(Recherche!$C$8="",J3507=Recherche!$C$8),OR(Recherche!$C$9="",I3507=Recherche!$C$9),OR(Recherche!$C$10="",G3507&amp;""=Recherche!$C$10&amp;""),OR(Recherche!$C$11="",E3507=Recherche!$C$11),OR(Recherche!$C$12="",ISNUMBER(SEARCH(Recherche!$C$12,M3507&amp;" "&amp;F3507)))),1,0)</f>
        <v>8</v>
      </c>
    </row>
    <row r="3508" customFormat="false" ht="15" hidden="false" customHeight="false" outlineLevel="0" collapsed="false">
      <c r="A3508" s="19"/>
      <c r="B3508" s="19"/>
      <c r="C3508" s="19"/>
      <c r="D3508" s="19"/>
      <c r="E3508" s="22"/>
      <c r="F3508" s="19"/>
      <c r="G3508" s="26" t="str">
        <f aca="false">IF(D3508="","",IFERROR(VALUE(LEFT(D3508,FIND(" |",D3508&amp;" |")-1)),"?"))</f>
        <v/>
      </c>
      <c r="H3508" s="27" t="str">
        <f aca="false">IF(G3508="","",IF(G3508="?","⚠ pub inconnue",IFERROR(INDEX(Pubs!$B$2:$B$3001,MATCH(G3508,Pubs!$A$2:$A$3001,0))&amp;"","⚠ pub inconnue")))</f>
        <v/>
      </c>
      <c r="I3508" s="27" t="str">
        <f aca="false">IF(OR(G3508="",G3508="?"),"",IFERROR(INDEX(Pubs!$C$2:$C$3001,MATCH(G3508,Pubs!$A$2:$A$3001,0))&amp;"",""))</f>
        <v/>
      </c>
      <c r="J3508" s="27" t="str">
        <f aca="false">IF(OR(G3508="",G3508="?"),"",IFERROR(INDEX(Pubs!$G$2:$G$3001,MATCH(G3508,Pubs!$A$2:$A$3001,0))&amp;"",""))</f>
        <v/>
      </c>
      <c r="K3508" s="28" t="str">
        <f aca="false">IF(OR(G3508="",G3508="?"),"",IFERROR(INDEX(Pubs!$E$2:$E$3001,MATCH(G3508,Pubs!$A$2:$A$3001,0)),""))</f>
        <v/>
      </c>
      <c r="L3508" s="29" t="str">
        <f aca="false">IF(A3508="","",IFERROR(1/(1/INDEX(Numéros!$C$2:$C$3001,MATCH(A3508&amp;"|"&amp;B3508,Numéros!$F$2:$F$3001,0))),""))</f>
        <v/>
      </c>
      <c r="M3508" s="27" t="str">
        <f aca="false">IF(OR(G3508="",G3508="?"),"",IFERROR(INDEX(Pubs!$D$2:$D$3001,MATCH(G3508,Pubs!$A$2:$A$3001,0))&amp;"",""))</f>
        <v/>
      </c>
      <c r="N3508" s="27" t="n">
        <f aca="false">N(N3507)+IF(AND(A3508&lt;&gt;"",OR(Recherche!$C$4="",A3508=Recherche!$C$4),OR(Recherche!$C$5="",B3508&amp;""=Recherche!$C$5&amp;""),OR(Recherche!$C$6="",IFERROR(YEAR(L3508),0)=Recherche!$C$6),OR(Recherche!$C$7="",ISNUMBER(SEARCH(Recherche!$C$7,H3508))),OR(Recherche!$C$8="",J3508=Recherche!$C$8),OR(Recherche!$C$9="",I3508=Recherche!$C$9),OR(Recherche!$C$10="",G3508&amp;""=Recherche!$C$10&amp;""),OR(Recherche!$C$11="",E3508=Recherche!$C$11),OR(Recherche!$C$12="",ISNUMBER(SEARCH(Recherche!$C$12,M3508&amp;" "&amp;F3508)))),1,0)</f>
        <v>8</v>
      </c>
    </row>
    <row r="3509" customFormat="false" ht="15" hidden="false" customHeight="false" outlineLevel="0" collapsed="false">
      <c r="A3509" s="19"/>
      <c r="B3509" s="19"/>
      <c r="C3509" s="19"/>
      <c r="D3509" s="19"/>
      <c r="E3509" s="22"/>
      <c r="F3509" s="19"/>
      <c r="G3509" s="26" t="str">
        <f aca="false">IF(D3509="","",IFERROR(VALUE(LEFT(D3509,FIND(" |",D3509&amp;" |")-1)),"?"))</f>
        <v/>
      </c>
      <c r="H3509" s="27" t="str">
        <f aca="false">IF(G3509="","",IF(G3509="?","⚠ pub inconnue",IFERROR(INDEX(Pubs!$B$2:$B$3001,MATCH(G3509,Pubs!$A$2:$A$3001,0))&amp;"","⚠ pub inconnue")))</f>
        <v/>
      </c>
      <c r="I3509" s="27" t="str">
        <f aca="false">IF(OR(G3509="",G3509="?"),"",IFERROR(INDEX(Pubs!$C$2:$C$3001,MATCH(G3509,Pubs!$A$2:$A$3001,0))&amp;"",""))</f>
        <v/>
      </c>
      <c r="J3509" s="27" t="str">
        <f aca="false">IF(OR(G3509="",G3509="?"),"",IFERROR(INDEX(Pubs!$G$2:$G$3001,MATCH(G3509,Pubs!$A$2:$A$3001,0))&amp;"",""))</f>
        <v/>
      </c>
      <c r="K3509" s="28" t="str">
        <f aca="false">IF(OR(G3509="",G3509="?"),"",IFERROR(INDEX(Pubs!$E$2:$E$3001,MATCH(G3509,Pubs!$A$2:$A$3001,0)),""))</f>
        <v/>
      </c>
      <c r="L3509" s="29" t="str">
        <f aca="false">IF(A3509="","",IFERROR(1/(1/INDEX(Numéros!$C$2:$C$3001,MATCH(A3509&amp;"|"&amp;B3509,Numéros!$F$2:$F$3001,0))),""))</f>
        <v/>
      </c>
      <c r="M3509" s="27" t="str">
        <f aca="false">IF(OR(G3509="",G3509="?"),"",IFERROR(INDEX(Pubs!$D$2:$D$3001,MATCH(G3509,Pubs!$A$2:$A$3001,0))&amp;"",""))</f>
        <v/>
      </c>
      <c r="N3509" s="27" t="n">
        <f aca="false">N(N3508)+IF(AND(A3509&lt;&gt;"",OR(Recherche!$C$4="",A3509=Recherche!$C$4),OR(Recherche!$C$5="",B3509&amp;""=Recherche!$C$5&amp;""),OR(Recherche!$C$6="",IFERROR(YEAR(L3509),0)=Recherche!$C$6),OR(Recherche!$C$7="",ISNUMBER(SEARCH(Recherche!$C$7,H3509))),OR(Recherche!$C$8="",J3509=Recherche!$C$8),OR(Recherche!$C$9="",I3509=Recherche!$C$9),OR(Recherche!$C$10="",G3509&amp;""=Recherche!$C$10&amp;""),OR(Recherche!$C$11="",E3509=Recherche!$C$11),OR(Recherche!$C$12="",ISNUMBER(SEARCH(Recherche!$C$12,M3509&amp;" "&amp;F3509)))),1,0)</f>
        <v>8</v>
      </c>
    </row>
    <row r="3510" customFormat="false" ht="15" hidden="false" customHeight="false" outlineLevel="0" collapsed="false">
      <c r="A3510" s="19"/>
      <c r="B3510" s="19"/>
      <c r="C3510" s="19"/>
      <c r="D3510" s="19"/>
      <c r="E3510" s="22"/>
      <c r="F3510" s="19"/>
      <c r="G3510" s="26" t="str">
        <f aca="false">IF(D3510="","",IFERROR(VALUE(LEFT(D3510,FIND(" |",D3510&amp;" |")-1)),"?"))</f>
        <v/>
      </c>
      <c r="H3510" s="27" t="str">
        <f aca="false">IF(G3510="","",IF(G3510="?","⚠ pub inconnue",IFERROR(INDEX(Pubs!$B$2:$B$3001,MATCH(G3510,Pubs!$A$2:$A$3001,0))&amp;"","⚠ pub inconnue")))</f>
        <v/>
      </c>
      <c r="I3510" s="27" t="str">
        <f aca="false">IF(OR(G3510="",G3510="?"),"",IFERROR(INDEX(Pubs!$C$2:$C$3001,MATCH(G3510,Pubs!$A$2:$A$3001,0))&amp;"",""))</f>
        <v/>
      </c>
      <c r="J3510" s="27" t="str">
        <f aca="false">IF(OR(G3510="",G3510="?"),"",IFERROR(INDEX(Pubs!$G$2:$G$3001,MATCH(G3510,Pubs!$A$2:$A$3001,0))&amp;"",""))</f>
        <v/>
      </c>
      <c r="K3510" s="28" t="str">
        <f aca="false">IF(OR(G3510="",G3510="?"),"",IFERROR(INDEX(Pubs!$E$2:$E$3001,MATCH(G3510,Pubs!$A$2:$A$3001,0)),""))</f>
        <v/>
      </c>
      <c r="L3510" s="29" t="str">
        <f aca="false">IF(A3510="","",IFERROR(1/(1/INDEX(Numéros!$C$2:$C$3001,MATCH(A3510&amp;"|"&amp;B3510,Numéros!$F$2:$F$3001,0))),""))</f>
        <v/>
      </c>
      <c r="M3510" s="27" t="str">
        <f aca="false">IF(OR(G3510="",G3510="?"),"",IFERROR(INDEX(Pubs!$D$2:$D$3001,MATCH(G3510,Pubs!$A$2:$A$3001,0))&amp;"",""))</f>
        <v/>
      </c>
      <c r="N3510" s="27" t="n">
        <f aca="false">N(N3509)+IF(AND(A3510&lt;&gt;"",OR(Recherche!$C$4="",A3510=Recherche!$C$4),OR(Recherche!$C$5="",B3510&amp;""=Recherche!$C$5&amp;""),OR(Recherche!$C$6="",IFERROR(YEAR(L3510),0)=Recherche!$C$6),OR(Recherche!$C$7="",ISNUMBER(SEARCH(Recherche!$C$7,H3510))),OR(Recherche!$C$8="",J3510=Recherche!$C$8),OR(Recherche!$C$9="",I3510=Recherche!$C$9),OR(Recherche!$C$10="",G3510&amp;""=Recherche!$C$10&amp;""),OR(Recherche!$C$11="",E3510=Recherche!$C$11),OR(Recherche!$C$12="",ISNUMBER(SEARCH(Recherche!$C$12,M3510&amp;" "&amp;F3510)))),1,0)</f>
        <v>8</v>
      </c>
    </row>
    <row r="3511" customFormat="false" ht="15" hidden="false" customHeight="false" outlineLevel="0" collapsed="false">
      <c r="A3511" s="19"/>
      <c r="B3511" s="19"/>
      <c r="C3511" s="19"/>
      <c r="D3511" s="19"/>
      <c r="E3511" s="22"/>
      <c r="F3511" s="19"/>
      <c r="G3511" s="26" t="str">
        <f aca="false">IF(D3511="","",IFERROR(VALUE(LEFT(D3511,FIND(" |",D3511&amp;" |")-1)),"?"))</f>
        <v/>
      </c>
      <c r="H3511" s="27" t="str">
        <f aca="false">IF(G3511="","",IF(G3511="?","⚠ pub inconnue",IFERROR(INDEX(Pubs!$B$2:$B$3001,MATCH(G3511,Pubs!$A$2:$A$3001,0))&amp;"","⚠ pub inconnue")))</f>
        <v/>
      </c>
      <c r="I3511" s="27" t="str">
        <f aca="false">IF(OR(G3511="",G3511="?"),"",IFERROR(INDEX(Pubs!$C$2:$C$3001,MATCH(G3511,Pubs!$A$2:$A$3001,0))&amp;"",""))</f>
        <v/>
      </c>
      <c r="J3511" s="27" t="str">
        <f aca="false">IF(OR(G3511="",G3511="?"),"",IFERROR(INDEX(Pubs!$G$2:$G$3001,MATCH(G3511,Pubs!$A$2:$A$3001,0))&amp;"",""))</f>
        <v/>
      </c>
      <c r="K3511" s="28" t="str">
        <f aca="false">IF(OR(G3511="",G3511="?"),"",IFERROR(INDEX(Pubs!$E$2:$E$3001,MATCH(G3511,Pubs!$A$2:$A$3001,0)),""))</f>
        <v/>
      </c>
      <c r="L3511" s="29" t="str">
        <f aca="false">IF(A3511="","",IFERROR(1/(1/INDEX(Numéros!$C$2:$C$3001,MATCH(A3511&amp;"|"&amp;B3511,Numéros!$F$2:$F$3001,0))),""))</f>
        <v/>
      </c>
      <c r="M3511" s="27" t="str">
        <f aca="false">IF(OR(G3511="",G3511="?"),"",IFERROR(INDEX(Pubs!$D$2:$D$3001,MATCH(G3511,Pubs!$A$2:$A$3001,0))&amp;"",""))</f>
        <v/>
      </c>
      <c r="N3511" s="27" t="n">
        <f aca="false">N(N3510)+IF(AND(A3511&lt;&gt;"",OR(Recherche!$C$4="",A3511=Recherche!$C$4),OR(Recherche!$C$5="",B3511&amp;""=Recherche!$C$5&amp;""),OR(Recherche!$C$6="",IFERROR(YEAR(L3511),0)=Recherche!$C$6),OR(Recherche!$C$7="",ISNUMBER(SEARCH(Recherche!$C$7,H3511))),OR(Recherche!$C$8="",J3511=Recherche!$C$8),OR(Recherche!$C$9="",I3511=Recherche!$C$9),OR(Recherche!$C$10="",G3511&amp;""=Recherche!$C$10&amp;""),OR(Recherche!$C$11="",E3511=Recherche!$C$11),OR(Recherche!$C$12="",ISNUMBER(SEARCH(Recherche!$C$12,M3511&amp;" "&amp;F3511)))),1,0)</f>
        <v>8</v>
      </c>
    </row>
    <row r="3512" customFormat="false" ht="15" hidden="false" customHeight="false" outlineLevel="0" collapsed="false">
      <c r="A3512" s="19"/>
      <c r="B3512" s="19"/>
      <c r="C3512" s="19"/>
      <c r="D3512" s="19"/>
      <c r="E3512" s="22"/>
      <c r="F3512" s="19"/>
      <c r="G3512" s="26" t="str">
        <f aca="false">IF(D3512="","",IFERROR(VALUE(LEFT(D3512,FIND(" |",D3512&amp;" |")-1)),"?"))</f>
        <v/>
      </c>
      <c r="H3512" s="27" t="str">
        <f aca="false">IF(G3512="","",IF(G3512="?","⚠ pub inconnue",IFERROR(INDEX(Pubs!$B$2:$B$3001,MATCH(G3512,Pubs!$A$2:$A$3001,0))&amp;"","⚠ pub inconnue")))</f>
        <v/>
      </c>
      <c r="I3512" s="27" t="str">
        <f aca="false">IF(OR(G3512="",G3512="?"),"",IFERROR(INDEX(Pubs!$C$2:$C$3001,MATCH(G3512,Pubs!$A$2:$A$3001,0))&amp;"",""))</f>
        <v/>
      </c>
      <c r="J3512" s="27" t="str">
        <f aca="false">IF(OR(G3512="",G3512="?"),"",IFERROR(INDEX(Pubs!$G$2:$G$3001,MATCH(G3512,Pubs!$A$2:$A$3001,0))&amp;"",""))</f>
        <v/>
      </c>
      <c r="K3512" s="28" t="str">
        <f aca="false">IF(OR(G3512="",G3512="?"),"",IFERROR(INDEX(Pubs!$E$2:$E$3001,MATCH(G3512,Pubs!$A$2:$A$3001,0)),""))</f>
        <v/>
      </c>
      <c r="L3512" s="29" t="str">
        <f aca="false">IF(A3512="","",IFERROR(1/(1/INDEX(Numéros!$C$2:$C$3001,MATCH(A3512&amp;"|"&amp;B3512,Numéros!$F$2:$F$3001,0))),""))</f>
        <v/>
      </c>
      <c r="M3512" s="27" t="str">
        <f aca="false">IF(OR(G3512="",G3512="?"),"",IFERROR(INDEX(Pubs!$D$2:$D$3001,MATCH(G3512,Pubs!$A$2:$A$3001,0))&amp;"",""))</f>
        <v/>
      </c>
      <c r="N3512" s="27" t="n">
        <f aca="false">N(N3511)+IF(AND(A3512&lt;&gt;"",OR(Recherche!$C$4="",A3512=Recherche!$C$4),OR(Recherche!$C$5="",B3512&amp;""=Recherche!$C$5&amp;""),OR(Recherche!$C$6="",IFERROR(YEAR(L3512),0)=Recherche!$C$6),OR(Recherche!$C$7="",ISNUMBER(SEARCH(Recherche!$C$7,H3512))),OR(Recherche!$C$8="",J3512=Recherche!$C$8),OR(Recherche!$C$9="",I3512=Recherche!$C$9),OR(Recherche!$C$10="",G3512&amp;""=Recherche!$C$10&amp;""),OR(Recherche!$C$11="",E3512=Recherche!$C$11),OR(Recherche!$C$12="",ISNUMBER(SEARCH(Recherche!$C$12,M3512&amp;" "&amp;F3512)))),1,0)</f>
        <v>8</v>
      </c>
    </row>
    <row r="3513" customFormat="false" ht="15" hidden="false" customHeight="false" outlineLevel="0" collapsed="false">
      <c r="A3513" s="19"/>
      <c r="B3513" s="19"/>
      <c r="C3513" s="19"/>
      <c r="D3513" s="19"/>
      <c r="E3513" s="22"/>
      <c r="F3513" s="19"/>
      <c r="G3513" s="26" t="str">
        <f aca="false">IF(D3513="","",IFERROR(VALUE(LEFT(D3513,FIND(" |",D3513&amp;" |")-1)),"?"))</f>
        <v/>
      </c>
      <c r="H3513" s="27" t="str">
        <f aca="false">IF(G3513="","",IF(G3513="?","⚠ pub inconnue",IFERROR(INDEX(Pubs!$B$2:$B$3001,MATCH(G3513,Pubs!$A$2:$A$3001,0))&amp;"","⚠ pub inconnue")))</f>
        <v/>
      </c>
      <c r="I3513" s="27" t="str">
        <f aca="false">IF(OR(G3513="",G3513="?"),"",IFERROR(INDEX(Pubs!$C$2:$C$3001,MATCH(G3513,Pubs!$A$2:$A$3001,0))&amp;"",""))</f>
        <v/>
      </c>
      <c r="J3513" s="27" t="str">
        <f aca="false">IF(OR(G3513="",G3513="?"),"",IFERROR(INDEX(Pubs!$G$2:$G$3001,MATCH(G3513,Pubs!$A$2:$A$3001,0))&amp;"",""))</f>
        <v/>
      </c>
      <c r="K3513" s="28" t="str">
        <f aca="false">IF(OR(G3513="",G3513="?"),"",IFERROR(INDEX(Pubs!$E$2:$E$3001,MATCH(G3513,Pubs!$A$2:$A$3001,0)),""))</f>
        <v/>
      </c>
      <c r="L3513" s="29" t="str">
        <f aca="false">IF(A3513="","",IFERROR(1/(1/INDEX(Numéros!$C$2:$C$3001,MATCH(A3513&amp;"|"&amp;B3513,Numéros!$F$2:$F$3001,0))),""))</f>
        <v/>
      </c>
      <c r="M3513" s="27" t="str">
        <f aca="false">IF(OR(G3513="",G3513="?"),"",IFERROR(INDEX(Pubs!$D$2:$D$3001,MATCH(G3513,Pubs!$A$2:$A$3001,0))&amp;"",""))</f>
        <v/>
      </c>
      <c r="N3513" s="27" t="n">
        <f aca="false">N(N3512)+IF(AND(A3513&lt;&gt;"",OR(Recherche!$C$4="",A3513=Recherche!$C$4),OR(Recherche!$C$5="",B3513&amp;""=Recherche!$C$5&amp;""),OR(Recherche!$C$6="",IFERROR(YEAR(L3513),0)=Recherche!$C$6),OR(Recherche!$C$7="",ISNUMBER(SEARCH(Recherche!$C$7,H3513))),OR(Recherche!$C$8="",J3513=Recherche!$C$8),OR(Recherche!$C$9="",I3513=Recherche!$C$9),OR(Recherche!$C$10="",G3513&amp;""=Recherche!$C$10&amp;""),OR(Recherche!$C$11="",E3513=Recherche!$C$11),OR(Recherche!$C$12="",ISNUMBER(SEARCH(Recherche!$C$12,M3513&amp;" "&amp;F3513)))),1,0)</f>
        <v>8</v>
      </c>
    </row>
    <row r="3514" customFormat="false" ht="15" hidden="false" customHeight="false" outlineLevel="0" collapsed="false">
      <c r="A3514" s="19"/>
      <c r="B3514" s="19"/>
      <c r="C3514" s="19"/>
      <c r="D3514" s="19"/>
      <c r="E3514" s="22"/>
      <c r="F3514" s="19"/>
      <c r="G3514" s="26" t="str">
        <f aca="false">IF(D3514="","",IFERROR(VALUE(LEFT(D3514,FIND(" |",D3514&amp;" |")-1)),"?"))</f>
        <v/>
      </c>
      <c r="H3514" s="27" t="str">
        <f aca="false">IF(G3514="","",IF(G3514="?","⚠ pub inconnue",IFERROR(INDEX(Pubs!$B$2:$B$3001,MATCH(G3514,Pubs!$A$2:$A$3001,0))&amp;"","⚠ pub inconnue")))</f>
        <v/>
      </c>
      <c r="I3514" s="27" t="str">
        <f aca="false">IF(OR(G3514="",G3514="?"),"",IFERROR(INDEX(Pubs!$C$2:$C$3001,MATCH(G3514,Pubs!$A$2:$A$3001,0))&amp;"",""))</f>
        <v/>
      </c>
      <c r="J3514" s="27" t="str">
        <f aca="false">IF(OR(G3514="",G3514="?"),"",IFERROR(INDEX(Pubs!$G$2:$G$3001,MATCH(G3514,Pubs!$A$2:$A$3001,0))&amp;"",""))</f>
        <v/>
      </c>
      <c r="K3514" s="28" t="str">
        <f aca="false">IF(OR(G3514="",G3514="?"),"",IFERROR(INDEX(Pubs!$E$2:$E$3001,MATCH(G3514,Pubs!$A$2:$A$3001,0)),""))</f>
        <v/>
      </c>
      <c r="L3514" s="29" t="str">
        <f aca="false">IF(A3514="","",IFERROR(1/(1/INDEX(Numéros!$C$2:$C$3001,MATCH(A3514&amp;"|"&amp;B3514,Numéros!$F$2:$F$3001,0))),""))</f>
        <v/>
      </c>
      <c r="M3514" s="27" t="str">
        <f aca="false">IF(OR(G3514="",G3514="?"),"",IFERROR(INDEX(Pubs!$D$2:$D$3001,MATCH(G3514,Pubs!$A$2:$A$3001,0))&amp;"",""))</f>
        <v/>
      </c>
      <c r="N3514" s="27" t="n">
        <f aca="false">N(N3513)+IF(AND(A3514&lt;&gt;"",OR(Recherche!$C$4="",A3514=Recherche!$C$4),OR(Recherche!$C$5="",B3514&amp;""=Recherche!$C$5&amp;""),OR(Recherche!$C$6="",IFERROR(YEAR(L3514),0)=Recherche!$C$6),OR(Recherche!$C$7="",ISNUMBER(SEARCH(Recherche!$C$7,H3514))),OR(Recherche!$C$8="",J3514=Recherche!$C$8),OR(Recherche!$C$9="",I3514=Recherche!$C$9),OR(Recherche!$C$10="",G3514&amp;""=Recherche!$C$10&amp;""),OR(Recherche!$C$11="",E3514=Recherche!$C$11),OR(Recherche!$C$12="",ISNUMBER(SEARCH(Recherche!$C$12,M3514&amp;" "&amp;F3514)))),1,0)</f>
        <v>8</v>
      </c>
    </row>
    <row r="3515" customFormat="false" ht="15" hidden="false" customHeight="false" outlineLevel="0" collapsed="false">
      <c r="A3515" s="19"/>
      <c r="B3515" s="19"/>
      <c r="C3515" s="19"/>
      <c r="D3515" s="19"/>
      <c r="E3515" s="22"/>
      <c r="F3515" s="19"/>
      <c r="G3515" s="26" t="str">
        <f aca="false">IF(D3515="","",IFERROR(VALUE(LEFT(D3515,FIND(" |",D3515&amp;" |")-1)),"?"))</f>
        <v/>
      </c>
      <c r="H3515" s="27" t="str">
        <f aca="false">IF(G3515="","",IF(G3515="?","⚠ pub inconnue",IFERROR(INDEX(Pubs!$B$2:$B$3001,MATCH(G3515,Pubs!$A$2:$A$3001,0))&amp;"","⚠ pub inconnue")))</f>
        <v/>
      </c>
      <c r="I3515" s="27" t="str">
        <f aca="false">IF(OR(G3515="",G3515="?"),"",IFERROR(INDEX(Pubs!$C$2:$C$3001,MATCH(G3515,Pubs!$A$2:$A$3001,0))&amp;"",""))</f>
        <v/>
      </c>
      <c r="J3515" s="27" t="str">
        <f aca="false">IF(OR(G3515="",G3515="?"),"",IFERROR(INDEX(Pubs!$G$2:$G$3001,MATCH(G3515,Pubs!$A$2:$A$3001,0))&amp;"",""))</f>
        <v/>
      </c>
      <c r="K3515" s="28" t="str">
        <f aca="false">IF(OR(G3515="",G3515="?"),"",IFERROR(INDEX(Pubs!$E$2:$E$3001,MATCH(G3515,Pubs!$A$2:$A$3001,0)),""))</f>
        <v/>
      </c>
      <c r="L3515" s="29" t="str">
        <f aca="false">IF(A3515="","",IFERROR(1/(1/INDEX(Numéros!$C$2:$C$3001,MATCH(A3515&amp;"|"&amp;B3515,Numéros!$F$2:$F$3001,0))),""))</f>
        <v/>
      </c>
      <c r="M3515" s="27" t="str">
        <f aca="false">IF(OR(G3515="",G3515="?"),"",IFERROR(INDEX(Pubs!$D$2:$D$3001,MATCH(G3515,Pubs!$A$2:$A$3001,0))&amp;"",""))</f>
        <v/>
      </c>
      <c r="N3515" s="27" t="n">
        <f aca="false">N(N3514)+IF(AND(A3515&lt;&gt;"",OR(Recherche!$C$4="",A3515=Recherche!$C$4),OR(Recherche!$C$5="",B3515&amp;""=Recherche!$C$5&amp;""),OR(Recherche!$C$6="",IFERROR(YEAR(L3515),0)=Recherche!$C$6),OR(Recherche!$C$7="",ISNUMBER(SEARCH(Recherche!$C$7,H3515))),OR(Recherche!$C$8="",J3515=Recherche!$C$8),OR(Recherche!$C$9="",I3515=Recherche!$C$9),OR(Recherche!$C$10="",G3515&amp;""=Recherche!$C$10&amp;""),OR(Recherche!$C$11="",E3515=Recherche!$C$11),OR(Recherche!$C$12="",ISNUMBER(SEARCH(Recherche!$C$12,M3515&amp;" "&amp;F3515)))),1,0)</f>
        <v>8</v>
      </c>
    </row>
    <row r="3516" customFormat="false" ht="15" hidden="false" customHeight="false" outlineLevel="0" collapsed="false">
      <c r="A3516" s="19"/>
      <c r="B3516" s="19"/>
      <c r="C3516" s="19"/>
      <c r="D3516" s="19"/>
      <c r="E3516" s="22"/>
      <c r="F3516" s="19"/>
      <c r="G3516" s="26" t="str">
        <f aca="false">IF(D3516="","",IFERROR(VALUE(LEFT(D3516,FIND(" |",D3516&amp;" |")-1)),"?"))</f>
        <v/>
      </c>
      <c r="H3516" s="27" t="str">
        <f aca="false">IF(G3516="","",IF(G3516="?","⚠ pub inconnue",IFERROR(INDEX(Pubs!$B$2:$B$3001,MATCH(G3516,Pubs!$A$2:$A$3001,0))&amp;"","⚠ pub inconnue")))</f>
        <v/>
      </c>
      <c r="I3516" s="27" t="str">
        <f aca="false">IF(OR(G3516="",G3516="?"),"",IFERROR(INDEX(Pubs!$C$2:$C$3001,MATCH(G3516,Pubs!$A$2:$A$3001,0))&amp;"",""))</f>
        <v/>
      </c>
      <c r="J3516" s="27" t="str">
        <f aca="false">IF(OR(G3516="",G3516="?"),"",IFERROR(INDEX(Pubs!$G$2:$G$3001,MATCH(G3516,Pubs!$A$2:$A$3001,0))&amp;"",""))</f>
        <v/>
      </c>
      <c r="K3516" s="28" t="str">
        <f aca="false">IF(OR(G3516="",G3516="?"),"",IFERROR(INDEX(Pubs!$E$2:$E$3001,MATCH(G3516,Pubs!$A$2:$A$3001,0)),""))</f>
        <v/>
      </c>
      <c r="L3516" s="29" t="str">
        <f aca="false">IF(A3516="","",IFERROR(1/(1/INDEX(Numéros!$C$2:$C$3001,MATCH(A3516&amp;"|"&amp;B3516,Numéros!$F$2:$F$3001,0))),""))</f>
        <v/>
      </c>
      <c r="M3516" s="27" t="str">
        <f aca="false">IF(OR(G3516="",G3516="?"),"",IFERROR(INDEX(Pubs!$D$2:$D$3001,MATCH(G3516,Pubs!$A$2:$A$3001,0))&amp;"",""))</f>
        <v/>
      </c>
      <c r="N3516" s="27" t="n">
        <f aca="false">N(N3515)+IF(AND(A3516&lt;&gt;"",OR(Recherche!$C$4="",A3516=Recherche!$C$4),OR(Recherche!$C$5="",B3516&amp;""=Recherche!$C$5&amp;""),OR(Recherche!$C$6="",IFERROR(YEAR(L3516),0)=Recherche!$C$6),OR(Recherche!$C$7="",ISNUMBER(SEARCH(Recherche!$C$7,H3516))),OR(Recherche!$C$8="",J3516=Recherche!$C$8),OR(Recherche!$C$9="",I3516=Recherche!$C$9),OR(Recherche!$C$10="",G3516&amp;""=Recherche!$C$10&amp;""),OR(Recherche!$C$11="",E3516=Recherche!$C$11),OR(Recherche!$C$12="",ISNUMBER(SEARCH(Recherche!$C$12,M3516&amp;" "&amp;F3516)))),1,0)</f>
        <v>8</v>
      </c>
    </row>
    <row r="3517" customFormat="false" ht="15" hidden="false" customHeight="false" outlineLevel="0" collapsed="false">
      <c r="A3517" s="19"/>
      <c r="B3517" s="19"/>
      <c r="C3517" s="19"/>
      <c r="D3517" s="19"/>
      <c r="E3517" s="22"/>
      <c r="F3517" s="19"/>
      <c r="G3517" s="26" t="str">
        <f aca="false">IF(D3517="","",IFERROR(VALUE(LEFT(D3517,FIND(" |",D3517&amp;" |")-1)),"?"))</f>
        <v/>
      </c>
      <c r="H3517" s="27" t="str">
        <f aca="false">IF(G3517="","",IF(G3517="?","⚠ pub inconnue",IFERROR(INDEX(Pubs!$B$2:$B$3001,MATCH(G3517,Pubs!$A$2:$A$3001,0))&amp;"","⚠ pub inconnue")))</f>
        <v/>
      </c>
      <c r="I3517" s="27" t="str">
        <f aca="false">IF(OR(G3517="",G3517="?"),"",IFERROR(INDEX(Pubs!$C$2:$C$3001,MATCH(G3517,Pubs!$A$2:$A$3001,0))&amp;"",""))</f>
        <v/>
      </c>
      <c r="J3517" s="27" t="str">
        <f aca="false">IF(OR(G3517="",G3517="?"),"",IFERROR(INDEX(Pubs!$G$2:$G$3001,MATCH(G3517,Pubs!$A$2:$A$3001,0))&amp;"",""))</f>
        <v/>
      </c>
      <c r="K3517" s="28" t="str">
        <f aca="false">IF(OR(G3517="",G3517="?"),"",IFERROR(INDEX(Pubs!$E$2:$E$3001,MATCH(G3517,Pubs!$A$2:$A$3001,0)),""))</f>
        <v/>
      </c>
      <c r="L3517" s="29" t="str">
        <f aca="false">IF(A3517="","",IFERROR(1/(1/INDEX(Numéros!$C$2:$C$3001,MATCH(A3517&amp;"|"&amp;B3517,Numéros!$F$2:$F$3001,0))),""))</f>
        <v/>
      </c>
      <c r="M3517" s="27" t="str">
        <f aca="false">IF(OR(G3517="",G3517="?"),"",IFERROR(INDEX(Pubs!$D$2:$D$3001,MATCH(G3517,Pubs!$A$2:$A$3001,0))&amp;"",""))</f>
        <v/>
      </c>
      <c r="N3517" s="27" t="n">
        <f aca="false">N(N3516)+IF(AND(A3517&lt;&gt;"",OR(Recherche!$C$4="",A3517=Recherche!$C$4),OR(Recherche!$C$5="",B3517&amp;""=Recherche!$C$5&amp;""),OR(Recherche!$C$6="",IFERROR(YEAR(L3517),0)=Recherche!$C$6),OR(Recherche!$C$7="",ISNUMBER(SEARCH(Recherche!$C$7,H3517))),OR(Recherche!$C$8="",J3517=Recherche!$C$8),OR(Recherche!$C$9="",I3517=Recherche!$C$9),OR(Recherche!$C$10="",G3517&amp;""=Recherche!$C$10&amp;""),OR(Recherche!$C$11="",E3517=Recherche!$C$11),OR(Recherche!$C$12="",ISNUMBER(SEARCH(Recherche!$C$12,M3517&amp;" "&amp;F3517)))),1,0)</f>
        <v>8</v>
      </c>
    </row>
    <row r="3518" customFormat="false" ht="15" hidden="false" customHeight="false" outlineLevel="0" collapsed="false">
      <c r="A3518" s="19"/>
      <c r="B3518" s="19"/>
      <c r="C3518" s="19"/>
      <c r="D3518" s="19"/>
      <c r="E3518" s="22"/>
      <c r="F3518" s="19"/>
      <c r="G3518" s="26" t="str">
        <f aca="false">IF(D3518="","",IFERROR(VALUE(LEFT(D3518,FIND(" |",D3518&amp;" |")-1)),"?"))</f>
        <v/>
      </c>
      <c r="H3518" s="27" t="str">
        <f aca="false">IF(G3518="","",IF(G3518="?","⚠ pub inconnue",IFERROR(INDEX(Pubs!$B$2:$B$3001,MATCH(G3518,Pubs!$A$2:$A$3001,0))&amp;"","⚠ pub inconnue")))</f>
        <v/>
      </c>
      <c r="I3518" s="27" t="str">
        <f aca="false">IF(OR(G3518="",G3518="?"),"",IFERROR(INDEX(Pubs!$C$2:$C$3001,MATCH(G3518,Pubs!$A$2:$A$3001,0))&amp;"",""))</f>
        <v/>
      </c>
      <c r="J3518" s="27" t="str">
        <f aca="false">IF(OR(G3518="",G3518="?"),"",IFERROR(INDEX(Pubs!$G$2:$G$3001,MATCH(G3518,Pubs!$A$2:$A$3001,0))&amp;"",""))</f>
        <v/>
      </c>
      <c r="K3518" s="28" t="str">
        <f aca="false">IF(OR(G3518="",G3518="?"),"",IFERROR(INDEX(Pubs!$E$2:$E$3001,MATCH(G3518,Pubs!$A$2:$A$3001,0)),""))</f>
        <v/>
      </c>
      <c r="L3518" s="29" t="str">
        <f aca="false">IF(A3518="","",IFERROR(1/(1/INDEX(Numéros!$C$2:$C$3001,MATCH(A3518&amp;"|"&amp;B3518,Numéros!$F$2:$F$3001,0))),""))</f>
        <v/>
      </c>
      <c r="M3518" s="27" t="str">
        <f aca="false">IF(OR(G3518="",G3518="?"),"",IFERROR(INDEX(Pubs!$D$2:$D$3001,MATCH(G3518,Pubs!$A$2:$A$3001,0))&amp;"",""))</f>
        <v/>
      </c>
      <c r="N3518" s="27" t="n">
        <f aca="false">N(N3517)+IF(AND(A3518&lt;&gt;"",OR(Recherche!$C$4="",A3518=Recherche!$C$4),OR(Recherche!$C$5="",B3518&amp;""=Recherche!$C$5&amp;""),OR(Recherche!$C$6="",IFERROR(YEAR(L3518),0)=Recherche!$C$6),OR(Recherche!$C$7="",ISNUMBER(SEARCH(Recherche!$C$7,H3518))),OR(Recherche!$C$8="",J3518=Recherche!$C$8),OR(Recherche!$C$9="",I3518=Recherche!$C$9),OR(Recherche!$C$10="",G3518&amp;""=Recherche!$C$10&amp;""),OR(Recherche!$C$11="",E3518=Recherche!$C$11),OR(Recherche!$C$12="",ISNUMBER(SEARCH(Recherche!$C$12,M3518&amp;" "&amp;F3518)))),1,0)</f>
        <v>8</v>
      </c>
    </row>
    <row r="3519" customFormat="false" ht="15" hidden="false" customHeight="false" outlineLevel="0" collapsed="false">
      <c r="A3519" s="19"/>
      <c r="B3519" s="19"/>
      <c r="C3519" s="19"/>
      <c r="D3519" s="19"/>
      <c r="E3519" s="22"/>
      <c r="F3519" s="19"/>
      <c r="G3519" s="26" t="str">
        <f aca="false">IF(D3519="","",IFERROR(VALUE(LEFT(D3519,FIND(" |",D3519&amp;" |")-1)),"?"))</f>
        <v/>
      </c>
      <c r="H3519" s="27" t="str">
        <f aca="false">IF(G3519="","",IF(G3519="?","⚠ pub inconnue",IFERROR(INDEX(Pubs!$B$2:$B$3001,MATCH(G3519,Pubs!$A$2:$A$3001,0))&amp;"","⚠ pub inconnue")))</f>
        <v/>
      </c>
      <c r="I3519" s="27" t="str">
        <f aca="false">IF(OR(G3519="",G3519="?"),"",IFERROR(INDEX(Pubs!$C$2:$C$3001,MATCH(G3519,Pubs!$A$2:$A$3001,0))&amp;"",""))</f>
        <v/>
      </c>
      <c r="J3519" s="27" t="str">
        <f aca="false">IF(OR(G3519="",G3519="?"),"",IFERROR(INDEX(Pubs!$G$2:$G$3001,MATCH(G3519,Pubs!$A$2:$A$3001,0))&amp;"",""))</f>
        <v/>
      </c>
      <c r="K3519" s="28" t="str">
        <f aca="false">IF(OR(G3519="",G3519="?"),"",IFERROR(INDEX(Pubs!$E$2:$E$3001,MATCH(G3519,Pubs!$A$2:$A$3001,0)),""))</f>
        <v/>
      </c>
      <c r="L3519" s="29" t="str">
        <f aca="false">IF(A3519="","",IFERROR(1/(1/INDEX(Numéros!$C$2:$C$3001,MATCH(A3519&amp;"|"&amp;B3519,Numéros!$F$2:$F$3001,0))),""))</f>
        <v/>
      </c>
      <c r="M3519" s="27" t="str">
        <f aca="false">IF(OR(G3519="",G3519="?"),"",IFERROR(INDEX(Pubs!$D$2:$D$3001,MATCH(G3519,Pubs!$A$2:$A$3001,0))&amp;"",""))</f>
        <v/>
      </c>
      <c r="N3519" s="27" t="n">
        <f aca="false">N(N3518)+IF(AND(A3519&lt;&gt;"",OR(Recherche!$C$4="",A3519=Recherche!$C$4),OR(Recherche!$C$5="",B3519&amp;""=Recherche!$C$5&amp;""),OR(Recherche!$C$6="",IFERROR(YEAR(L3519),0)=Recherche!$C$6),OR(Recherche!$C$7="",ISNUMBER(SEARCH(Recherche!$C$7,H3519))),OR(Recherche!$C$8="",J3519=Recherche!$C$8),OR(Recherche!$C$9="",I3519=Recherche!$C$9),OR(Recherche!$C$10="",G3519&amp;""=Recherche!$C$10&amp;""),OR(Recherche!$C$11="",E3519=Recherche!$C$11),OR(Recherche!$C$12="",ISNUMBER(SEARCH(Recherche!$C$12,M3519&amp;" "&amp;F3519)))),1,0)</f>
        <v>8</v>
      </c>
    </row>
    <row r="3520" customFormat="false" ht="15" hidden="false" customHeight="false" outlineLevel="0" collapsed="false">
      <c r="A3520" s="19"/>
      <c r="B3520" s="19"/>
      <c r="C3520" s="19"/>
      <c r="D3520" s="19"/>
      <c r="E3520" s="22"/>
      <c r="F3520" s="19"/>
      <c r="G3520" s="26" t="str">
        <f aca="false">IF(D3520="","",IFERROR(VALUE(LEFT(D3520,FIND(" |",D3520&amp;" |")-1)),"?"))</f>
        <v/>
      </c>
      <c r="H3520" s="27" t="str">
        <f aca="false">IF(G3520="","",IF(G3520="?","⚠ pub inconnue",IFERROR(INDEX(Pubs!$B$2:$B$3001,MATCH(G3520,Pubs!$A$2:$A$3001,0))&amp;"","⚠ pub inconnue")))</f>
        <v/>
      </c>
      <c r="I3520" s="27" t="str">
        <f aca="false">IF(OR(G3520="",G3520="?"),"",IFERROR(INDEX(Pubs!$C$2:$C$3001,MATCH(G3520,Pubs!$A$2:$A$3001,0))&amp;"",""))</f>
        <v/>
      </c>
      <c r="J3520" s="27" t="str">
        <f aca="false">IF(OR(G3520="",G3520="?"),"",IFERROR(INDEX(Pubs!$G$2:$G$3001,MATCH(G3520,Pubs!$A$2:$A$3001,0))&amp;"",""))</f>
        <v/>
      </c>
      <c r="K3520" s="28" t="str">
        <f aca="false">IF(OR(G3520="",G3520="?"),"",IFERROR(INDEX(Pubs!$E$2:$E$3001,MATCH(G3520,Pubs!$A$2:$A$3001,0)),""))</f>
        <v/>
      </c>
      <c r="L3520" s="29" t="str">
        <f aca="false">IF(A3520="","",IFERROR(1/(1/INDEX(Numéros!$C$2:$C$3001,MATCH(A3520&amp;"|"&amp;B3520,Numéros!$F$2:$F$3001,0))),""))</f>
        <v/>
      </c>
      <c r="M3520" s="27" t="str">
        <f aca="false">IF(OR(G3520="",G3520="?"),"",IFERROR(INDEX(Pubs!$D$2:$D$3001,MATCH(G3520,Pubs!$A$2:$A$3001,0))&amp;"",""))</f>
        <v/>
      </c>
      <c r="N3520" s="27" t="n">
        <f aca="false">N(N3519)+IF(AND(A3520&lt;&gt;"",OR(Recherche!$C$4="",A3520=Recherche!$C$4),OR(Recherche!$C$5="",B3520&amp;""=Recherche!$C$5&amp;""),OR(Recherche!$C$6="",IFERROR(YEAR(L3520),0)=Recherche!$C$6),OR(Recherche!$C$7="",ISNUMBER(SEARCH(Recherche!$C$7,H3520))),OR(Recherche!$C$8="",J3520=Recherche!$C$8),OR(Recherche!$C$9="",I3520=Recherche!$C$9),OR(Recherche!$C$10="",G3520&amp;""=Recherche!$C$10&amp;""),OR(Recherche!$C$11="",E3520=Recherche!$C$11),OR(Recherche!$C$12="",ISNUMBER(SEARCH(Recherche!$C$12,M3520&amp;" "&amp;F3520)))),1,0)</f>
        <v>8</v>
      </c>
    </row>
    <row r="3521" customFormat="false" ht="15" hidden="false" customHeight="false" outlineLevel="0" collapsed="false">
      <c r="A3521" s="19"/>
      <c r="B3521" s="19"/>
      <c r="C3521" s="19"/>
      <c r="D3521" s="19"/>
      <c r="E3521" s="22"/>
      <c r="F3521" s="19"/>
      <c r="G3521" s="26" t="str">
        <f aca="false">IF(D3521="","",IFERROR(VALUE(LEFT(D3521,FIND(" |",D3521&amp;" |")-1)),"?"))</f>
        <v/>
      </c>
      <c r="H3521" s="27" t="str">
        <f aca="false">IF(G3521="","",IF(G3521="?","⚠ pub inconnue",IFERROR(INDEX(Pubs!$B$2:$B$3001,MATCH(G3521,Pubs!$A$2:$A$3001,0))&amp;"","⚠ pub inconnue")))</f>
        <v/>
      </c>
      <c r="I3521" s="27" t="str">
        <f aca="false">IF(OR(G3521="",G3521="?"),"",IFERROR(INDEX(Pubs!$C$2:$C$3001,MATCH(G3521,Pubs!$A$2:$A$3001,0))&amp;"",""))</f>
        <v/>
      </c>
      <c r="J3521" s="27" t="str">
        <f aca="false">IF(OR(G3521="",G3521="?"),"",IFERROR(INDEX(Pubs!$G$2:$G$3001,MATCH(G3521,Pubs!$A$2:$A$3001,0))&amp;"",""))</f>
        <v/>
      </c>
      <c r="K3521" s="28" t="str">
        <f aca="false">IF(OR(G3521="",G3521="?"),"",IFERROR(INDEX(Pubs!$E$2:$E$3001,MATCH(G3521,Pubs!$A$2:$A$3001,0)),""))</f>
        <v/>
      </c>
      <c r="L3521" s="29" t="str">
        <f aca="false">IF(A3521="","",IFERROR(1/(1/INDEX(Numéros!$C$2:$C$3001,MATCH(A3521&amp;"|"&amp;B3521,Numéros!$F$2:$F$3001,0))),""))</f>
        <v/>
      </c>
      <c r="M3521" s="27" t="str">
        <f aca="false">IF(OR(G3521="",G3521="?"),"",IFERROR(INDEX(Pubs!$D$2:$D$3001,MATCH(G3521,Pubs!$A$2:$A$3001,0))&amp;"",""))</f>
        <v/>
      </c>
      <c r="N3521" s="27" t="n">
        <f aca="false">N(N3520)+IF(AND(A3521&lt;&gt;"",OR(Recherche!$C$4="",A3521=Recherche!$C$4),OR(Recherche!$C$5="",B3521&amp;""=Recherche!$C$5&amp;""),OR(Recherche!$C$6="",IFERROR(YEAR(L3521),0)=Recherche!$C$6),OR(Recherche!$C$7="",ISNUMBER(SEARCH(Recherche!$C$7,H3521))),OR(Recherche!$C$8="",J3521=Recherche!$C$8),OR(Recherche!$C$9="",I3521=Recherche!$C$9),OR(Recherche!$C$10="",G3521&amp;""=Recherche!$C$10&amp;""),OR(Recherche!$C$11="",E3521=Recherche!$C$11),OR(Recherche!$C$12="",ISNUMBER(SEARCH(Recherche!$C$12,M3521&amp;" "&amp;F3521)))),1,0)</f>
        <v>8</v>
      </c>
    </row>
    <row r="3522" customFormat="false" ht="15" hidden="false" customHeight="false" outlineLevel="0" collapsed="false">
      <c r="A3522" s="19"/>
      <c r="B3522" s="19"/>
      <c r="C3522" s="19"/>
      <c r="D3522" s="19"/>
      <c r="E3522" s="22"/>
      <c r="F3522" s="19"/>
      <c r="G3522" s="26" t="str">
        <f aca="false">IF(D3522="","",IFERROR(VALUE(LEFT(D3522,FIND(" |",D3522&amp;" |")-1)),"?"))</f>
        <v/>
      </c>
      <c r="H3522" s="27" t="str">
        <f aca="false">IF(G3522="","",IF(G3522="?","⚠ pub inconnue",IFERROR(INDEX(Pubs!$B$2:$B$3001,MATCH(G3522,Pubs!$A$2:$A$3001,0))&amp;"","⚠ pub inconnue")))</f>
        <v/>
      </c>
      <c r="I3522" s="27" t="str">
        <f aca="false">IF(OR(G3522="",G3522="?"),"",IFERROR(INDEX(Pubs!$C$2:$C$3001,MATCH(G3522,Pubs!$A$2:$A$3001,0))&amp;"",""))</f>
        <v/>
      </c>
      <c r="J3522" s="27" t="str">
        <f aca="false">IF(OR(G3522="",G3522="?"),"",IFERROR(INDEX(Pubs!$G$2:$G$3001,MATCH(G3522,Pubs!$A$2:$A$3001,0))&amp;"",""))</f>
        <v/>
      </c>
      <c r="K3522" s="28" t="str">
        <f aca="false">IF(OR(G3522="",G3522="?"),"",IFERROR(INDEX(Pubs!$E$2:$E$3001,MATCH(G3522,Pubs!$A$2:$A$3001,0)),""))</f>
        <v/>
      </c>
      <c r="L3522" s="29" t="str">
        <f aca="false">IF(A3522="","",IFERROR(1/(1/INDEX(Numéros!$C$2:$C$3001,MATCH(A3522&amp;"|"&amp;B3522,Numéros!$F$2:$F$3001,0))),""))</f>
        <v/>
      </c>
      <c r="M3522" s="27" t="str">
        <f aca="false">IF(OR(G3522="",G3522="?"),"",IFERROR(INDEX(Pubs!$D$2:$D$3001,MATCH(G3522,Pubs!$A$2:$A$3001,0))&amp;"",""))</f>
        <v/>
      </c>
      <c r="N3522" s="27" t="n">
        <f aca="false">N(N3521)+IF(AND(A3522&lt;&gt;"",OR(Recherche!$C$4="",A3522=Recherche!$C$4),OR(Recherche!$C$5="",B3522&amp;""=Recherche!$C$5&amp;""),OR(Recherche!$C$6="",IFERROR(YEAR(L3522),0)=Recherche!$C$6),OR(Recherche!$C$7="",ISNUMBER(SEARCH(Recherche!$C$7,H3522))),OR(Recherche!$C$8="",J3522=Recherche!$C$8),OR(Recherche!$C$9="",I3522=Recherche!$C$9),OR(Recherche!$C$10="",G3522&amp;""=Recherche!$C$10&amp;""),OR(Recherche!$C$11="",E3522=Recherche!$C$11),OR(Recherche!$C$12="",ISNUMBER(SEARCH(Recherche!$C$12,M3522&amp;" "&amp;F3522)))),1,0)</f>
        <v>8</v>
      </c>
    </row>
    <row r="3523" customFormat="false" ht="15" hidden="false" customHeight="false" outlineLevel="0" collapsed="false">
      <c r="A3523" s="19"/>
      <c r="B3523" s="19"/>
      <c r="C3523" s="19"/>
      <c r="D3523" s="19"/>
      <c r="E3523" s="22"/>
      <c r="F3523" s="19"/>
      <c r="G3523" s="26" t="str">
        <f aca="false">IF(D3523="","",IFERROR(VALUE(LEFT(D3523,FIND(" |",D3523&amp;" |")-1)),"?"))</f>
        <v/>
      </c>
      <c r="H3523" s="27" t="str">
        <f aca="false">IF(G3523="","",IF(G3523="?","⚠ pub inconnue",IFERROR(INDEX(Pubs!$B$2:$B$3001,MATCH(G3523,Pubs!$A$2:$A$3001,0))&amp;"","⚠ pub inconnue")))</f>
        <v/>
      </c>
      <c r="I3523" s="27" t="str">
        <f aca="false">IF(OR(G3523="",G3523="?"),"",IFERROR(INDEX(Pubs!$C$2:$C$3001,MATCH(G3523,Pubs!$A$2:$A$3001,0))&amp;"",""))</f>
        <v/>
      </c>
      <c r="J3523" s="27" t="str">
        <f aca="false">IF(OR(G3523="",G3523="?"),"",IFERROR(INDEX(Pubs!$G$2:$G$3001,MATCH(G3523,Pubs!$A$2:$A$3001,0))&amp;"",""))</f>
        <v/>
      </c>
      <c r="K3523" s="28" t="str">
        <f aca="false">IF(OR(G3523="",G3523="?"),"",IFERROR(INDEX(Pubs!$E$2:$E$3001,MATCH(G3523,Pubs!$A$2:$A$3001,0)),""))</f>
        <v/>
      </c>
      <c r="L3523" s="29" t="str">
        <f aca="false">IF(A3523="","",IFERROR(1/(1/INDEX(Numéros!$C$2:$C$3001,MATCH(A3523&amp;"|"&amp;B3523,Numéros!$F$2:$F$3001,0))),""))</f>
        <v/>
      </c>
      <c r="M3523" s="27" t="str">
        <f aca="false">IF(OR(G3523="",G3523="?"),"",IFERROR(INDEX(Pubs!$D$2:$D$3001,MATCH(G3523,Pubs!$A$2:$A$3001,0))&amp;"",""))</f>
        <v/>
      </c>
      <c r="N3523" s="27" t="n">
        <f aca="false">N(N3522)+IF(AND(A3523&lt;&gt;"",OR(Recherche!$C$4="",A3523=Recherche!$C$4),OR(Recherche!$C$5="",B3523&amp;""=Recherche!$C$5&amp;""),OR(Recherche!$C$6="",IFERROR(YEAR(L3523),0)=Recherche!$C$6),OR(Recherche!$C$7="",ISNUMBER(SEARCH(Recherche!$C$7,H3523))),OR(Recherche!$C$8="",J3523=Recherche!$C$8),OR(Recherche!$C$9="",I3523=Recherche!$C$9),OR(Recherche!$C$10="",G3523&amp;""=Recherche!$C$10&amp;""),OR(Recherche!$C$11="",E3523=Recherche!$C$11),OR(Recherche!$C$12="",ISNUMBER(SEARCH(Recherche!$C$12,M3523&amp;" "&amp;F3523)))),1,0)</f>
        <v>8</v>
      </c>
    </row>
    <row r="3524" customFormat="false" ht="15" hidden="false" customHeight="false" outlineLevel="0" collapsed="false">
      <c r="A3524" s="19"/>
      <c r="B3524" s="19"/>
      <c r="C3524" s="19"/>
      <c r="D3524" s="19"/>
      <c r="E3524" s="22"/>
      <c r="F3524" s="19"/>
      <c r="G3524" s="26" t="str">
        <f aca="false">IF(D3524="","",IFERROR(VALUE(LEFT(D3524,FIND(" |",D3524&amp;" |")-1)),"?"))</f>
        <v/>
      </c>
      <c r="H3524" s="27" t="str">
        <f aca="false">IF(G3524="","",IF(G3524="?","⚠ pub inconnue",IFERROR(INDEX(Pubs!$B$2:$B$3001,MATCH(G3524,Pubs!$A$2:$A$3001,0))&amp;"","⚠ pub inconnue")))</f>
        <v/>
      </c>
      <c r="I3524" s="27" t="str">
        <f aca="false">IF(OR(G3524="",G3524="?"),"",IFERROR(INDEX(Pubs!$C$2:$C$3001,MATCH(G3524,Pubs!$A$2:$A$3001,0))&amp;"",""))</f>
        <v/>
      </c>
      <c r="J3524" s="27" t="str">
        <f aca="false">IF(OR(G3524="",G3524="?"),"",IFERROR(INDEX(Pubs!$G$2:$G$3001,MATCH(G3524,Pubs!$A$2:$A$3001,0))&amp;"",""))</f>
        <v/>
      </c>
      <c r="K3524" s="28" t="str">
        <f aca="false">IF(OR(G3524="",G3524="?"),"",IFERROR(INDEX(Pubs!$E$2:$E$3001,MATCH(G3524,Pubs!$A$2:$A$3001,0)),""))</f>
        <v/>
      </c>
      <c r="L3524" s="29" t="str">
        <f aca="false">IF(A3524="","",IFERROR(1/(1/INDEX(Numéros!$C$2:$C$3001,MATCH(A3524&amp;"|"&amp;B3524,Numéros!$F$2:$F$3001,0))),""))</f>
        <v/>
      </c>
      <c r="M3524" s="27" t="str">
        <f aca="false">IF(OR(G3524="",G3524="?"),"",IFERROR(INDEX(Pubs!$D$2:$D$3001,MATCH(G3524,Pubs!$A$2:$A$3001,0))&amp;"",""))</f>
        <v/>
      </c>
      <c r="N3524" s="27" t="n">
        <f aca="false">N(N3523)+IF(AND(A3524&lt;&gt;"",OR(Recherche!$C$4="",A3524=Recherche!$C$4),OR(Recherche!$C$5="",B3524&amp;""=Recherche!$C$5&amp;""),OR(Recherche!$C$6="",IFERROR(YEAR(L3524),0)=Recherche!$C$6),OR(Recherche!$C$7="",ISNUMBER(SEARCH(Recherche!$C$7,H3524))),OR(Recherche!$C$8="",J3524=Recherche!$C$8),OR(Recherche!$C$9="",I3524=Recherche!$C$9),OR(Recherche!$C$10="",G3524&amp;""=Recherche!$C$10&amp;""),OR(Recherche!$C$11="",E3524=Recherche!$C$11),OR(Recherche!$C$12="",ISNUMBER(SEARCH(Recherche!$C$12,M3524&amp;" "&amp;F3524)))),1,0)</f>
        <v>8</v>
      </c>
    </row>
    <row r="3525" customFormat="false" ht="15" hidden="false" customHeight="false" outlineLevel="0" collapsed="false">
      <c r="A3525" s="19"/>
      <c r="B3525" s="19"/>
      <c r="C3525" s="19"/>
      <c r="D3525" s="19"/>
      <c r="E3525" s="22"/>
      <c r="F3525" s="19"/>
      <c r="G3525" s="26" t="str">
        <f aca="false">IF(D3525="","",IFERROR(VALUE(LEFT(D3525,FIND(" |",D3525&amp;" |")-1)),"?"))</f>
        <v/>
      </c>
      <c r="H3525" s="27" t="str">
        <f aca="false">IF(G3525="","",IF(G3525="?","⚠ pub inconnue",IFERROR(INDEX(Pubs!$B$2:$B$3001,MATCH(G3525,Pubs!$A$2:$A$3001,0))&amp;"","⚠ pub inconnue")))</f>
        <v/>
      </c>
      <c r="I3525" s="27" t="str">
        <f aca="false">IF(OR(G3525="",G3525="?"),"",IFERROR(INDEX(Pubs!$C$2:$C$3001,MATCH(G3525,Pubs!$A$2:$A$3001,0))&amp;"",""))</f>
        <v/>
      </c>
      <c r="J3525" s="27" t="str">
        <f aca="false">IF(OR(G3525="",G3525="?"),"",IFERROR(INDEX(Pubs!$G$2:$G$3001,MATCH(G3525,Pubs!$A$2:$A$3001,0))&amp;"",""))</f>
        <v/>
      </c>
      <c r="K3525" s="28" t="str">
        <f aca="false">IF(OR(G3525="",G3525="?"),"",IFERROR(INDEX(Pubs!$E$2:$E$3001,MATCH(G3525,Pubs!$A$2:$A$3001,0)),""))</f>
        <v/>
      </c>
      <c r="L3525" s="29" t="str">
        <f aca="false">IF(A3525="","",IFERROR(1/(1/INDEX(Numéros!$C$2:$C$3001,MATCH(A3525&amp;"|"&amp;B3525,Numéros!$F$2:$F$3001,0))),""))</f>
        <v/>
      </c>
      <c r="M3525" s="27" t="str">
        <f aca="false">IF(OR(G3525="",G3525="?"),"",IFERROR(INDEX(Pubs!$D$2:$D$3001,MATCH(G3525,Pubs!$A$2:$A$3001,0))&amp;"",""))</f>
        <v/>
      </c>
      <c r="N3525" s="27" t="n">
        <f aca="false">N(N3524)+IF(AND(A3525&lt;&gt;"",OR(Recherche!$C$4="",A3525=Recherche!$C$4),OR(Recherche!$C$5="",B3525&amp;""=Recherche!$C$5&amp;""),OR(Recherche!$C$6="",IFERROR(YEAR(L3525),0)=Recherche!$C$6),OR(Recherche!$C$7="",ISNUMBER(SEARCH(Recherche!$C$7,H3525))),OR(Recherche!$C$8="",J3525=Recherche!$C$8),OR(Recherche!$C$9="",I3525=Recherche!$C$9),OR(Recherche!$C$10="",G3525&amp;""=Recherche!$C$10&amp;""),OR(Recherche!$C$11="",E3525=Recherche!$C$11),OR(Recherche!$C$12="",ISNUMBER(SEARCH(Recherche!$C$12,M3525&amp;" "&amp;F3525)))),1,0)</f>
        <v>8</v>
      </c>
    </row>
    <row r="3526" customFormat="false" ht="15" hidden="false" customHeight="false" outlineLevel="0" collapsed="false">
      <c r="A3526" s="19"/>
      <c r="B3526" s="19"/>
      <c r="C3526" s="19"/>
      <c r="D3526" s="19"/>
      <c r="E3526" s="22"/>
      <c r="F3526" s="19"/>
      <c r="G3526" s="26" t="str">
        <f aca="false">IF(D3526="","",IFERROR(VALUE(LEFT(D3526,FIND(" |",D3526&amp;" |")-1)),"?"))</f>
        <v/>
      </c>
      <c r="H3526" s="27" t="str">
        <f aca="false">IF(G3526="","",IF(G3526="?","⚠ pub inconnue",IFERROR(INDEX(Pubs!$B$2:$B$3001,MATCH(G3526,Pubs!$A$2:$A$3001,0))&amp;"","⚠ pub inconnue")))</f>
        <v/>
      </c>
      <c r="I3526" s="27" t="str">
        <f aca="false">IF(OR(G3526="",G3526="?"),"",IFERROR(INDEX(Pubs!$C$2:$C$3001,MATCH(G3526,Pubs!$A$2:$A$3001,0))&amp;"",""))</f>
        <v/>
      </c>
      <c r="J3526" s="27" t="str">
        <f aca="false">IF(OR(G3526="",G3526="?"),"",IFERROR(INDEX(Pubs!$G$2:$G$3001,MATCH(G3526,Pubs!$A$2:$A$3001,0))&amp;"",""))</f>
        <v/>
      </c>
      <c r="K3526" s="28" t="str">
        <f aca="false">IF(OR(G3526="",G3526="?"),"",IFERROR(INDEX(Pubs!$E$2:$E$3001,MATCH(G3526,Pubs!$A$2:$A$3001,0)),""))</f>
        <v/>
      </c>
      <c r="L3526" s="29" t="str">
        <f aca="false">IF(A3526="","",IFERROR(1/(1/INDEX(Numéros!$C$2:$C$3001,MATCH(A3526&amp;"|"&amp;B3526,Numéros!$F$2:$F$3001,0))),""))</f>
        <v/>
      </c>
      <c r="M3526" s="27" t="str">
        <f aca="false">IF(OR(G3526="",G3526="?"),"",IFERROR(INDEX(Pubs!$D$2:$D$3001,MATCH(G3526,Pubs!$A$2:$A$3001,0))&amp;"",""))</f>
        <v/>
      </c>
      <c r="N3526" s="27" t="n">
        <f aca="false">N(N3525)+IF(AND(A3526&lt;&gt;"",OR(Recherche!$C$4="",A3526=Recherche!$C$4),OR(Recherche!$C$5="",B3526&amp;""=Recherche!$C$5&amp;""),OR(Recherche!$C$6="",IFERROR(YEAR(L3526),0)=Recherche!$C$6),OR(Recherche!$C$7="",ISNUMBER(SEARCH(Recherche!$C$7,H3526))),OR(Recherche!$C$8="",J3526=Recherche!$C$8),OR(Recherche!$C$9="",I3526=Recherche!$C$9),OR(Recherche!$C$10="",G3526&amp;""=Recherche!$C$10&amp;""),OR(Recherche!$C$11="",E3526=Recherche!$C$11),OR(Recherche!$C$12="",ISNUMBER(SEARCH(Recherche!$C$12,M3526&amp;" "&amp;F3526)))),1,0)</f>
        <v>8</v>
      </c>
    </row>
    <row r="3527" customFormat="false" ht="15" hidden="false" customHeight="false" outlineLevel="0" collapsed="false">
      <c r="A3527" s="19"/>
      <c r="B3527" s="19"/>
      <c r="C3527" s="19"/>
      <c r="D3527" s="19"/>
      <c r="E3527" s="22"/>
      <c r="F3527" s="19"/>
      <c r="G3527" s="26" t="str">
        <f aca="false">IF(D3527="","",IFERROR(VALUE(LEFT(D3527,FIND(" |",D3527&amp;" |")-1)),"?"))</f>
        <v/>
      </c>
      <c r="H3527" s="27" t="str">
        <f aca="false">IF(G3527="","",IF(G3527="?","⚠ pub inconnue",IFERROR(INDEX(Pubs!$B$2:$B$3001,MATCH(G3527,Pubs!$A$2:$A$3001,0))&amp;"","⚠ pub inconnue")))</f>
        <v/>
      </c>
      <c r="I3527" s="27" t="str">
        <f aca="false">IF(OR(G3527="",G3527="?"),"",IFERROR(INDEX(Pubs!$C$2:$C$3001,MATCH(G3527,Pubs!$A$2:$A$3001,0))&amp;"",""))</f>
        <v/>
      </c>
      <c r="J3527" s="27" t="str">
        <f aca="false">IF(OR(G3527="",G3527="?"),"",IFERROR(INDEX(Pubs!$G$2:$G$3001,MATCH(G3527,Pubs!$A$2:$A$3001,0))&amp;"",""))</f>
        <v/>
      </c>
      <c r="K3527" s="28" t="str">
        <f aca="false">IF(OR(G3527="",G3527="?"),"",IFERROR(INDEX(Pubs!$E$2:$E$3001,MATCH(G3527,Pubs!$A$2:$A$3001,0)),""))</f>
        <v/>
      </c>
      <c r="L3527" s="29" t="str">
        <f aca="false">IF(A3527="","",IFERROR(1/(1/INDEX(Numéros!$C$2:$C$3001,MATCH(A3527&amp;"|"&amp;B3527,Numéros!$F$2:$F$3001,0))),""))</f>
        <v/>
      </c>
      <c r="M3527" s="27" t="str">
        <f aca="false">IF(OR(G3527="",G3527="?"),"",IFERROR(INDEX(Pubs!$D$2:$D$3001,MATCH(G3527,Pubs!$A$2:$A$3001,0))&amp;"",""))</f>
        <v/>
      </c>
      <c r="N3527" s="27" t="n">
        <f aca="false">N(N3526)+IF(AND(A3527&lt;&gt;"",OR(Recherche!$C$4="",A3527=Recherche!$C$4),OR(Recherche!$C$5="",B3527&amp;""=Recherche!$C$5&amp;""),OR(Recherche!$C$6="",IFERROR(YEAR(L3527),0)=Recherche!$C$6),OR(Recherche!$C$7="",ISNUMBER(SEARCH(Recherche!$C$7,H3527))),OR(Recherche!$C$8="",J3527=Recherche!$C$8),OR(Recherche!$C$9="",I3527=Recherche!$C$9),OR(Recherche!$C$10="",G3527&amp;""=Recherche!$C$10&amp;""),OR(Recherche!$C$11="",E3527=Recherche!$C$11),OR(Recherche!$C$12="",ISNUMBER(SEARCH(Recherche!$C$12,M3527&amp;" "&amp;F3527)))),1,0)</f>
        <v>8</v>
      </c>
    </row>
    <row r="3528" customFormat="false" ht="15" hidden="false" customHeight="false" outlineLevel="0" collapsed="false">
      <c r="A3528" s="19"/>
      <c r="B3528" s="19"/>
      <c r="C3528" s="19"/>
      <c r="D3528" s="19"/>
      <c r="E3528" s="22"/>
      <c r="F3528" s="19"/>
      <c r="G3528" s="26" t="str">
        <f aca="false">IF(D3528="","",IFERROR(VALUE(LEFT(D3528,FIND(" |",D3528&amp;" |")-1)),"?"))</f>
        <v/>
      </c>
      <c r="H3528" s="27" t="str">
        <f aca="false">IF(G3528="","",IF(G3528="?","⚠ pub inconnue",IFERROR(INDEX(Pubs!$B$2:$B$3001,MATCH(G3528,Pubs!$A$2:$A$3001,0))&amp;"","⚠ pub inconnue")))</f>
        <v/>
      </c>
      <c r="I3528" s="27" t="str">
        <f aca="false">IF(OR(G3528="",G3528="?"),"",IFERROR(INDEX(Pubs!$C$2:$C$3001,MATCH(G3528,Pubs!$A$2:$A$3001,0))&amp;"",""))</f>
        <v/>
      </c>
      <c r="J3528" s="27" t="str">
        <f aca="false">IF(OR(G3528="",G3528="?"),"",IFERROR(INDEX(Pubs!$G$2:$G$3001,MATCH(G3528,Pubs!$A$2:$A$3001,0))&amp;"",""))</f>
        <v/>
      </c>
      <c r="K3528" s="28" t="str">
        <f aca="false">IF(OR(G3528="",G3528="?"),"",IFERROR(INDEX(Pubs!$E$2:$E$3001,MATCH(G3528,Pubs!$A$2:$A$3001,0)),""))</f>
        <v/>
      </c>
      <c r="L3528" s="29" t="str">
        <f aca="false">IF(A3528="","",IFERROR(1/(1/INDEX(Numéros!$C$2:$C$3001,MATCH(A3528&amp;"|"&amp;B3528,Numéros!$F$2:$F$3001,0))),""))</f>
        <v/>
      </c>
      <c r="M3528" s="27" t="str">
        <f aca="false">IF(OR(G3528="",G3528="?"),"",IFERROR(INDEX(Pubs!$D$2:$D$3001,MATCH(G3528,Pubs!$A$2:$A$3001,0))&amp;"",""))</f>
        <v/>
      </c>
      <c r="N3528" s="27" t="n">
        <f aca="false">N(N3527)+IF(AND(A3528&lt;&gt;"",OR(Recherche!$C$4="",A3528=Recherche!$C$4),OR(Recherche!$C$5="",B3528&amp;""=Recherche!$C$5&amp;""),OR(Recherche!$C$6="",IFERROR(YEAR(L3528),0)=Recherche!$C$6),OR(Recherche!$C$7="",ISNUMBER(SEARCH(Recherche!$C$7,H3528))),OR(Recherche!$C$8="",J3528=Recherche!$C$8),OR(Recherche!$C$9="",I3528=Recherche!$C$9),OR(Recherche!$C$10="",G3528&amp;""=Recherche!$C$10&amp;""),OR(Recherche!$C$11="",E3528=Recherche!$C$11),OR(Recherche!$C$12="",ISNUMBER(SEARCH(Recherche!$C$12,M3528&amp;" "&amp;F3528)))),1,0)</f>
        <v>8</v>
      </c>
    </row>
    <row r="3529" customFormat="false" ht="15" hidden="false" customHeight="false" outlineLevel="0" collapsed="false">
      <c r="A3529" s="19"/>
      <c r="B3529" s="19"/>
      <c r="C3529" s="19"/>
      <c r="D3529" s="19"/>
      <c r="E3529" s="22"/>
      <c r="F3529" s="19"/>
      <c r="G3529" s="26" t="str">
        <f aca="false">IF(D3529="","",IFERROR(VALUE(LEFT(D3529,FIND(" |",D3529&amp;" |")-1)),"?"))</f>
        <v/>
      </c>
      <c r="H3529" s="27" t="str">
        <f aca="false">IF(G3529="","",IF(G3529="?","⚠ pub inconnue",IFERROR(INDEX(Pubs!$B$2:$B$3001,MATCH(G3529,Pubs!$A$2:$A$3001,0))&amp;"","⚠ pub inconnue")))</f>
        <v/>
      </c>
      <c r="I3529" s="27" t="str">
        <f aca="false">IF(OR(G3529="",G3529="?"),"",IFERROR(INDEX(Pubs!$C$2:$C$3001,MATCH(G3529,Pubs!$A$2:$A$3001,0))&amp;"",""))</f>
        <v/>
      </c>
      <c r="J3529" s="27" t="str">
        <f aca="false">IF(OR(G3529="",G3529="?"),"",IFERROR(INDEX(Pubs!$G$2:$G$3001,MATCH(G3529,Pubs!$A$2:$A$3001,0))&amp;"",""))</f>
        <v/>
      </c>
      <c r="K3529" s="28" t="str">
        <f aca="false">IF(OR(G3529="",G3529="?"),"",IFERROR(INDEX(Pubs!$E$2:$E$3001,MATCH(G3529,Pubs!$A$2:$A$3001,0)),""))</f>
        <v/>
      </c>
      <c r="L3529" s="29" t="str">
        <f aca="false">IF(A3529="","",IFERROR(1/(1/INDEX(Numéros!$C$2:$C$3001,MATCH(A3529&amp;"|"&amp;B3529,Numéros!$F$2:$F$3001,0))),""))</f>
        <v/>
      </c>
      <c r="M3529" s="27" t="str">
        <f aca="false">IF(OR(G3529="",G3529="?"),"",IFERROR(INDEX(Pubs!$D$2:$D$3001,MATCH(G3529,Pubs!$A$2:$A$3001,0))&amp;"",""))</f>
        <v/>
      </c>
      <c r="N3529" s="27" t="n">
        <f aca="false">N(N3528)+IF(AND(A3529&lt;&gt;"",OR(Recherche!$C$4="",A3529=Recherche!$C$4),OR(Recherche!$C$5="",B3529&amp;""=Recherche!$C$5&amp;""),OR(Recherche!$C$6="",IFERROR(YEAR(L3529),0)=Recherche!$C$6),OR(Recherche!$C$7="",ISNUMBER(SEARCH(Recherche!$C$7,H3529))),OR(Recherche!$C$8="",J3529=Recherche!$C$8),OR(Recherche!$C$9="",I3529=Recherche!$C$9),OR(Recherche!$C$10="",G3529&amp;""=Recherche!$C$10&amp;""),OR(Recherche!$C$11="",E3529=Recherche!$C$11),OR(Recherche!$C$12="",ISNUMBER(SEARCH(Recherche!$C$12,M3529&amp;" "&amp;F3529)))),1,0)</f>
        <v>8</v>
      </c>
    </row>
    <row r="3530" customFormat="false" ht="15" hidden="false" customHeight="false" outlineLevel="0" collapsed="false">
      <c r="A3530" s="19"/>
      <c r="B3530" s="19"/>
      <c r="C3530" s="19"/>
      <c r="D3530" s="19"/>
      <c r="E3530" s="22"/>
      <c r="F3530" s="19"/>
      <c r="G3530" s="26" t="str">
        <f aca="false">IF(D3530="","",IFERROR(VALUE(LEFT(D3530,FIND(" |",D3530&amp;" |")-1)),"?"))</f>
        <v/>
      </c>
      <c r="H3530" s="27" t="str">
        <f aca="false">IF(G3530="","",IF(G3530="?","⚠ pub inconnue",IFERROR(INDEX(Pubs!$B$2:$B$3001,MATCH(G3530,Pubs!$A$2:$A$3001,0))&amp;"","⚠ pub inconnue")))</f>
        <v/>
      </c>
      <c r="I3530" s="27" t="str">
        <f aca="false">IF(OR(G3530="",G3530="?"),"",IFERROR(INDEX(Pubs!$C$2:$C$3001,MATCH(G3530,Pubs!$A$2:$A$3001,0))&amp;"",""))</f>
        <v/>
      </c>
      <c r="J3530" s="27" t="str">
        <f aca="false">IF(OR(G3530="",G3530="?"),"",IFERROR(INDEX(Pubs!$G$2:$G$3001,MATCH(G3530,Pubs!$A$2:$A$3001,0))&amp;"",""))</f>
        <v/>
      </c>
      <c r="K3530" s="28" t="str">
        <f aca="false">IF(OR(G3530="",G3530="?"),"",IFERROR(INDEX(Pubs!$E$2:$E$3001,MATCH(G3530,Pubs!$A$2:$A$3001,0)),""))</f>
        <v/>
      </c>
      <c r="L3530" s="29" t="str">
        <f aca="false">IF(A3530="","",IFERROR(1/(1/INDEX(Numéros!$C$2:$C$3001,MATCH(A3530&amp;"|"&amp;B3530,Numéros!$F$2:$F$3001,0))),""))</f>
        <v/>
      </c>
      <c r="M3530" s="27" t="str">
        <f aca="false">IF(OR(G3530="",G3530="?"),"",IFERROR(INDEX(Pubs!$D$2:$D$3001,MATCH(G3530,Pubs!$A$2:$A$3001,0))&amp;"",""))</f>
        <v/>
      </c>
      <c r="N3530" s="27" t="n">
        <f aca="false">N(N3529)+IF(AND(A3530&lt;&gt;"",OR(Recherche!$C$4="",A3530=Recherche!$C$4),OR(Recherche!$C$5="",B3530&amp;""=Recherche!$C$5&amp;""),OR(Recherche!$C$6="",IFERROR(YEAR(L3530),0)=Recherche!$C$6),OR(Recherche!$C$7="",ISNUMBER(SEARCH(Recherche!$C$7,H3530))),OR(Recherche!$C$8="",J3530=Recherche!$C$8),OR(Recherche!$C$9="",I3530=Recherche!$C$9),OR(Recherche!$C$10="",G3530&amp;""=Recherche!$C$10&amp;""),OR(Recherche!$C$11="",E3530=Recherche!$C$11),OR(Recherche!$C$12="",ISNUMBER(SEARCH(Recherche!$C$12,M3530&amp;" "&amp;F3530)))),1,0)</f>
        <v>8</v>
      </c>
    </row>
    <row r="3531" customFormat="false" ht="15" hidden="false" customHeight="false" outlineLevel="0" collapsed="false">
      <c r="A3531" s="19"/>
      <c r="B3531" s="19"/>
      <c r="C3531" s="19"/>
      <c r="D3531" s="19"/>
      <c r="E3531" s="22"/>
      <c r="F3531" s="19"/>
      <c r="G3531" s="26" t="str">
        <f aca="false">IF(D3531="","",IFERROR(VALUE(LEFT(D3531,FIND(" |",D3531&amp;" |")-1)),"?"))</f>
        <v/>
      </c>
      <c r="H3531" s="27" t="str">
        <f aca="false">IF(G3531="","",IF(G3531="?","⚠ pub inconnue",IFERROR(INDEX(Pubs!$B$2:$B$3001,MATCH(G3531,Pubs!$A$2:$A$3001,0))&amp;"","⚠ pub inconnue")))</f>
        <v/>
      </c>
      <c r="I3531" s="27" t="str">
        <f aca="false">IF(OR(G3531="",G3531="?"),"",IFERROR(INDEX(Pubs!$C$2:$C$3001,MATCH(G3531,Pubs!$A$2:$A$3001,0))&amp;"",""))</f>
        <v/>
      </c>
      <c r="J3531" s="27" t="str">
        <f aca="false">IF(OR(G3531="",G3531="?"),"",IFERROR(INDEX(Pubs!$G$2:$G$3001,MATCH(G3531,Pubs!$A$2:$A$3001,0))&amp;"",""))</f>
        <v/>
      </c>
      <c r="K3531" s="28" t="str">
        <f aca="false">IF(OR(G3531="",G3531="?"),"",IFERROR(INDEX(Pubs!$E$2:$E$3001,MATCH(G3531,Pubs!$A$2:$A$3001,0)),""))</f>
        <v/>
      </c>
      <c r="L3531" s="29" t="str">
        <f aca="false">IF(A3531="","",IFERROR(1/(1/INDEX(Numéros!$C$2:$C$3001,MATCH(A3531&amp;"|"&amp;B3531,Numéros!$F$2:$F$3001,0))),""))</f>
        <v/>
      </c>
      <c r="M3531" s="27" t="str">
        <f aca="false">IF(OR(G3531="",G3531="?"),"",IFERROR(INDEX(Pubs!$D$2:$D$3001,MATCH(G3531,Pubs!$A$2:$A$3001,0))&amp;"",""))</f>
        <v/>
      </c>
      <c r="N3531" s="27" t="n">
        <f aca="false">N(N3530)+IF(AND(A3531&lt;&gt;"",OR(Recherche!$C$4="",A3531=Recherche!$C$4),OR(Recherche!$C$5="",B3531&amp;""=Recherche!$C$5&amp;""),OR(Recherche!$C$6="",IFERROR(YEAR(L3531),0)=Recherche!$C$6),OR(Recherche!$C$7="",ISNUMBER(SEARCH(Recherche!$C$7,H3531))),OR(Recherche!$C$8="",J3531=Recherche!$C$8),OR(Recherche!$C$9="",I3531=Recherche!$C$9),OR(Recherche!$C$10="",G3531&amp;""=Recherche!$C$10&amp;""),OR(Recherche!$C$11="",E3531=Recherche!$C$11),OR(Recherche!$C$12="",ISNUMBER(SEARCH(Recherche!$C$12,M3531&amp;" "&amp;F3531)))),1,0)</f>
        <v>8</v>
      </c>
    </row>
    <row r="3532" customFormat="false" ht="15" hidden="false" customHeight="false" outlineLevel="0" collapsed="false">
      <c r="A3532" s="19"/>
      <c r="B3532" s="19"/>
      <c r="C3532" s="19"/>
      <c r="D3532" s="19"/>
      <c r="E3532" s="22"/>
      <c r="F3532" s="19"/>
      <c r="G3532" s="26" t="str">
        <f aca="false">IF(D3532="","",IFERROR(VALUE(LEFT(D3532,FIND(" |",D3532&amp;" |")-1)),"?"))</f>
        <v/>
      </c>
      <c r="H3532" s="27" t="str">
        <f aca="false">IF(G3532="","",IF(G3532="?","⚠ pub inconnue",IFERROR(INDEX(Pubs!$B$2:$B$3001,MATCH(G3532,Pubs!$A$2:$A$3001,0))&amp;"","⚠ pub inconnue")))</f>
        <v/>
      </c>
      <c r="I3532" s="27" t="str">
        <f aca="false">IF(OR(G3532="",G3532="?"),"",IFERROR(INDEX(Pubs!$C$2:$C$3001,MATCH(G3532,Pubs!$A$2:$A$3001,0))&amp;"",""))</f>
        <v/>
      </c>
      <c r="J3532" s="27" t="str">
        <f aca="false">IF(OR(G3532="",G3532="?"),"",IFERROR(INDEX(Pubs!$G$2:$G$3001,MATCH(G3532,Pubs!$A$2:$A$3001,0))&amp;"",""))</f>
        <v/>
      </c>
      <c r="K3532" s="28" t="str">
        <f aca="false">IF(OR(G3532="",G3532="?"),"",IFERROR(INDEX(Pubs!$E$2:$E$3001,MATCH(G3532,Pubs!$A$2:$A$3001,0)),""))</f>
        <v/>
      </c>
      <c r="L3532" s="29" t="str">
        <f aca="false">IF(A3532="","",IFERROR(1/(1/INDEX(Numéros!$C$2:$C$3001,MATCH(A3532&amp;"|"&amp;B3532,Numéros!$F$2:$F$3001,0))),""))</f>
        <v/>
      </c>
      <c r="M3532" s="27" t="str">
        <f aca="false">IF(OR(G3532="",G3532="?"),"",IFERROR(INDEX(Pubs!$D$2:$D$3001,MATCH(G3532,Pubs!$A$2:$A$3001,0))&amp;"",""))</f>
        <v/>
      </c>
      <c r="N3532" s="27" t="n">
        <f aca="false">N(N3531)+IF(AND(A3532&lt;&gt;"",OR(Recherche!$C$4="",A3532=Recherche!$C$4),OR(Recherche!$C$5="",B3532&amp;""=Recherche!$C$5&amp;""),OR(Recherche!$C$6="",IFERROR(YEAR(L3532),0)=Recherche!$C$6),OR(Recherche!$C$7="",ISNUMBER(SEARCH(Recherche!$C$7,H3532))),OR(Recherche!$C$8="",J3532=Recherche!$C$8),OR(Recherche!$C$9="",I3532=Recherche!$C$9),OR(Recherche!$C$10="",G3532&amp;""=Recherche!$C$10&amp;""),OR(Recherche!$C$11="",E3532=Recherche!$C$11),OR(Recherche!$C$12="",ISNUMBER(SEARCH(Recherche!$C$12,M3532&amp;" "&amp;F3532)))),1,0)</f>
        <v>8</v>
      </c>
    </row>
    <row r="3533" customFormat="false" ht="15" hidden="false" customHeight="false" outlineLevel="0" collapsed="false">
      <c r="A3533" s="19"/>
      <c r="B3533" s="19"/>
      <c r="C3533" s="19"/>
      <c r="D3533" s="19"/>
      <c r="E3533" s="22"/>
      <c r="F3533" s="19"/>
      <c r="G3533" s="26" t="str">
        <f aca="false">IF(D3533="","",IFERROR(VALUE(LEFT(D3533,FIND(" |",D3533&amp;" |")-1)),"?"))</f>
        <v/>
      </c>
      <c r="H3533" s="27" t="str">
        <f aca="false">IF(G3533="","",IF(G3533="?","⚠ pub inconnue",IFERROR(INDEX(Pubs!$B$2:$B$3001,MATCH(G3533,Pubs!$A$2:$A$3001,0))&amp;"","⚠ pub inconnue")))</f>
        <v/>
      </c>
      <c r="I3533" s="27" t="str">
        <f aca="false">IF(OR(G3533="",G3533="?"),"",IFERROR(INDEX(Pubs!$C$2:$C$3001,MATCH(G3533,Pubs!$A$2:$A$3001,0))&amp;"",""))</f>
        <v/>
      </c>
      <c r="J3533" s="27" t="str">
        <f aca="false">IF(OR(G3533="",G3533="?"),"",IFERROR(INDEX(Pubs!$G$2:$G$3001,MATCH(G3533,Pubs!$A$2:$A$3001,0))&amp;"",""))</f>
        <v/>
      </c>
      <c r="K3533" s="28" t="str">
        <f aca="false">IF(OR(G3533="",G3533="?"),"",IFERROR(INDEX(Pubs!$E$2:$E$3001,MATCH(G3533,Pubs!$A$2:$A$3001,0)),""))</f>
        <v/>
      </c>
      <c r="L3533" s="29" t="str">
        <f aca="false">IF(A3533="","",IFERROR(1/(1/INDEX(Numéros!$C$2:$C$3001,MATCH(A3533&amp;"|"&amp;B3533,Numéros!$F$2:$F$3001,0))),""))</f>
        <v/>
      </c>
      <c r="M3533" s="27" t="str">
        <f aca="false">IF(OR(G3533="",G3533="?"),"",IFERROR(INDEX(Pubs!$D$2:$D$3001,MATCH(G3533,Pubs!$A$2:$A$3001,0))&amp;"",""))</f>
        <v/>
      </c>
      <c r="N3533" s="27" t="n">
        <f aca="false">N(N3532)+IF(AND(A3533&lt;&gt;"",OR(Recherche!$C$4="",A3533=Recherche!$C$4),OR(Recherche!$C$5="",B3533&amp;""=Recherche!$C$5&amp;""),OR(Recherche!$C$6="",IFERROR(YEAR(L3533),0)=Recherche!$C$6),OR(Recherche!$C$7="",ISNUMBER(SEARCH(Recherche!$C$7,H3533))),OR(Recherche!$C$8="",J3533=Recherche!$C$8),OR(Recherche!$C$9="",I3533=Recherche!$C$9),OR(Recherche!$C$10="",G3533&amp;""=Recherche!$C$10&amp;""),OR(Recherche!$C$11="",E3533=Recherche!$C$11),OR(Recherche!$C$12="",ISNUMBER(SEARCH(Recherche!$C$12,M3533&amp;" "&amp;F3533)))),1,0)</f>
        <v>8</v>
      </c>
    </row>
    <row r="3534" customFormat="false" ht="15" hidden="false" customHeight="false" outlineLevel="0" collapsed="false">
      <c r="A3534" s="19"/>
      <c r="B3534" s="19"/>
      <c r="C3534" s="19"/>
      <c r="D3534" s="19"/>
      <c r="E3534" s="22"/>
      <c r="F3534" s="19"/>
      <c r="G3534" s="26" t="str">
        <f aca="false">IF(D3534="","",IFERROR(VALUE(LEFT(D3534,FIND(" |",D3534&amp;" |")-1)),"?"))</f>
        <v/>
      </c>
      <c r="H3534" s="27" t="str">
        <f aca="false">IF(G3534="","",IF(G3534="?","⚠ pub inconnue",IFERROR(INDEX(Pubs!$B$2:$B$3001,MATCH(G3534,Pubs!$A$2:$A$3001,0))&amp;"","⚠ pub inconnue")))</f>
        <v/>
      </c>
      <c r="I3534" s="27" t="str">
        <f aca="false">IF(OR(G3534="",G3534="?"),"",IFERROR(INDEX(Pubs!$C$2:$C$3001,MATCH(G3534,Pubs!$A$2:$A$3001,0))&amp;"",""))</f>
        <v/>
      </c>
      <c r="J3534" s="27" t="str">
        <f aca="false">IF(OR(G3534="",G3534="?"),"",IFERROR(INDEX(Pubs!$G$2:$G$3001,MATCH(G3534,Pubs!$A$2:$A$3001,0))&amp;"",""))</f>
        <v/>
      </c>
      <c r="K3534" s="28" t="str">
        <f aca="false">IF(OR(G3534="",G3534="?"),"",IFERROR(INDEX(Pubs!$E$2:$E$3001,MATCH(G3534,Pubs!$A$2:$A$3001,0)),""))</f>
        <v/>
      </c>
      <c r="L3534" s="29" t="str">
        <f aca="false">IF(A3534="","",IFERROR(1/(1/INDEX(Numéros!$C$2:$C$3001,MATCH(A3534&amp;"|"&amp;B3534,Numéros!$F$2:$F$3001,0))),""))</f>
        <v/>
      </c>
      <c r="M3534" s="27" t="str">
        <f aca="false">IF(OR(G3534="",G3534="?"),"",IFERROR(INDEX(Pubs!$D$2:$D$3001,MATCH(G3534,Pubs!$A$2:$A$3001,0))&amp;"",""))</f>
        <v/>
      </c>
      <c r="N3534" s="27" t="n">
        <f aca="false">N(N3533)+IF(AND(A3534&lt;&gt;"",OR(Recherche!$C$4="",A3534=Recherche!$C$4),OR(Recherche!$C$5="",B3534&amp;""=Recherche!$C$5&amp;""),OR(Recherche!$C$6="",IFERROR(YEAR(L3534),0)=Recherche!$C$6),OR(Recherche!$C$7="",ISNUMBER(SEARCH(Recherche!$C$7,H3534))),OR(Recherche!$C$8="",J3534=Recherche!$C$8),OR(Recherche!$C$9="",I3534=Recherche!$C$9),OR(Recherche!$C$10="",G3534&amp;""=Recherche!$C$10&amp;""),OR(Recherche!$C$11="",E3534=Recherche!$C$11),OR(Recherche!$C$12="",ISNUMBER(SEARCH(Recherche!$C$12,M3534&amp;" "&amp;F3534)))),1,0)</f>
        <v>8</v>
      </c>
    </row>
    <row r="3535" customFormat="false" ht="15" hidden="false" customHeight="false" outlineLevel="0" collapsed="false">
      <c r="A3535" s="19"/>
      <c r="B3535" s="19"/>
      <c r="C3535" s="19"/>
      <c r="D3535" s="19"/>
      <c r="E3535" s="22"/>
      <c r="F3535" s="19"/>
      <c r="G3535" s="26" t="str">
        <f aca="false">IF(D3535="","",IFERROR(VALUE(LEFT(D3535,FIND(" |",D3535&amp;" |")-1)),"?"))</f>
        <v/>
      </c>
      <c r="H3535" s="27" t="str">
        <f aca="false">IF(G3535="","",IF(G3535="?","⚠ pub inconnue",IFERROR(INDEX(Pubs!$B$2:$B$3001,MATCH(G3535,Pubs!$A$2:$A$3001,0))&amp;"","⚠ pub inconnue")))</f>
        <v/>
      </c>
      <c r="I3535" s="27" t="str">
        <f aca="false">IF(OR(G3535="",G3535="?"),"",IFERROR(INDEX(Pubs!$C$2:$C$3001,MATCH(G3535,Pubs!$A$2:$A$3001,0))&amp;"",""))</f>
        <v/>
      </c>
      <c r="J3535" s="27" t="str">
        <f aca="false">IF(OR(G3535="",G3535="?"),"",IFERROR(INDEX(Pubs!$G$2:$G$3001,MATCH(G3535,Pubs!$A$2:$A$3001,0))&amp;"",""))</f>
        <v/>
      </c>
      <c r="K3535" s="28" t="str">
        <f aca="false">IF(OR(G3535="",G3535="?"),"",IFERROR(INDEX(Pubs!$E$2:$E$3001,MATCH(G3535,Pubs!$A$2:$A$3001,0)),""))</f>
        <v/>
      </c>
      <c r="L3535" s="29" t="str">
        <f aca="false">IF(A3535="","",IFERROR(1/(1/INDEX(Numéros!$C$2:$C$3001,MATCH(A3535&amp;"|"&amp;B3535,Numéros!$F$2:$F$3001,0))),""))</f>
        <v/>
      </c>
      <c r="M3535" s="27" t="str">
        <f aca="false">IF(OR(G3535="",G3535="?"),"",IFERROR(INDEX(Pubs!$D$2:$D$3001,MATCH(G3535,Pubs!$A$2:$A$3001,0))&amp;"",""))</f>
        <v/>
      </c>
      <c r="N3535" s="27" t="n">
        <f aca="false">N(N3534)+IF(AND(A3535&lt;&gt;"",OR(Recherche!$C$4="",A3535=Recherche!$C$4),OR(Recherche!$C$5="",B3535&amp;""=Recherche!$C$5&amp;""),OR(Recherche!$C$6="",IFERROR(YEAR(L3535),0)=Recherche!$C$6),OR(Recherche!$C$7="",ISNUMBER(SEARCH(Recherche!$C$7,H3535))),OR(Recherche!$C$8="",J3535=Recherche!$C$8),OR(Recherche!$C$9="",I3535=Recherche!$C$9),OR(Recherche!$C$10="",G3535&amp;""=Recherche!$C$10&amp;""),OR(Recherche!$C$11="",E3535=Recherche!$C$11),OR(Recherche!$C$12="",ISNUMBER(SEARCH(Recherche!$C$12,M3535&amp;" "&amp;F3535)))),1,0)</f>
        <v>8</v>
      </c>
    </row>
    <row r="3536" customFormat="false" ht="15" hidden="false" customHeight="false" outlineLevel="0" collapsed="false">
      <c r="A3536" s="19"/>
      <c r="B3536" s="19"/>
      <c r="C3536" s="19"/>
      <c r="D3536" s="19"/>
      <c r="E3536" s="22"/>
      <c r="F3536" s="19"/>
      <c r="G3536" s="26" t="str">
        <f aca="false">IF(D3536="","",IFERROR(VALUE(LEFT(D3536,FIND(" |",D3536&amp;" |")-1)),"?"))</f>
        <v/>
      </c>
      <c r="H3536" s="27" t="str">
        <f aca="false">IF(G3536="","",IF(G3536="?","⚠ pub inconnue",IFERROR(INDEX(Pubs!$B$2:$B$3001,MATCH(G3536,Pubs!$A$2:$A$3001,0))&amp;"","⚠ pub inconnue")))</f>
        <v/>
      </c>
      <c r="I3536" s="27" t="str">
        <f aca="false">IF(OR(G3536="",G3536="?"),"",IFERROR(INDEX(Pubs!$C$2:$C$3001,MATCH(G3536,Pubs!$A$2:$A$3001,0))&amp;"",""))</f>
        <v/>
      </c>
      <c r="J3536" s="27" t="str">
        <f aca="false">IF(OR(G3536="",G3536="?"),"",IFERROR(INDEX(Pubs!$G$2:$G$3001,MATCH(G3536,Pubs!$A$2:$A$3001,0))&amp;"",""))</f>
        <v/>
      </c>
      <c r="K3536" s="28" t="str">
        <f aca="false">IF(OR(G3536="",G3536="?"),"",IFERROR(INDEX(Pubs!$E$2:$E$3001,MATCH(G3536,Pubs!$A$2:$A$3001,0)),""))</f>
        <v/>
      </c>
      <c r="L3536" s="29" t="str">
        <f aca="false">IF(A3536="","",IFERROR(1/(1/INDEX(Numéros!$C$2:$C$3001,MATCH(A3536&amp;"|"&amp;B3536,Numéros!$F$2:$F$3001,0))),""))</f>
        <v/>
      </c>
      <c r="M3536" s="27" t="str">
        <f aca="false">IF(OR(G3536="",G3536="?"),"",IFERROR(INDEX(Pubs!$D$2:$D$3001,MATCH(G3536,Pubs!$A$2:$A$3001,0))&amp;"",""))</f>
        <v/>
      </c>
      <c r="N3536" s="27" t="n">
        <f aca="false">N(N3535)+IF(AND(A3536&lt;&gt;"",OR(Recherche!$C$4="",A3536=Recherche!$C$4),OR(Recherche!$C$5="",B3536&amp;""=Recherche!$C$5&amp;""),OR(Recherche!$C$6="",IFERROR(YEAR(L3536),0)=Recherche!$C$6),OR(Recherche!$C$7="",ISNUMBER(SEARCH(Recherche!$C$7,H3536))),OR(Recherche!$C$8="",J3536=Recherche!$C$8),OR(Recherche!$C$9="",I3536=Recherche!$C$9),OR(Recherche!$C$10="",G3536&amp;""=Recherche!$C$10&amp;""),OR(Recherche!$C$11="",E3536=Recherche!$C$11),OR(Recherche!$C$12="",ISNUMBER(SEARCH(Recherche!$C$12,M3536&amp;" "&amp;F3536)))),1,0)</f>
        <v>8</v>
      </c>
    </row>
    <row r="3537" customFormat="false" ht="15" hidden="false" customHeight="false" outlineLevel="0" collapsed="false">
      <c r="A3537" s="19"/>
      <c r="B3537" s="19"/>
      <c r="C3537" s="19"/>
      <c r="D3537" s="19"/>
      <c r="E3537" s="22"/>
      <c r="F3537" s="19"/>
      <c r="G3537" s="26" t="str">
        <f aca="false">IF(D3537="","",IFERROR(VALUE(LEFT(D3537,FIND(" |",D3537&amp;" |")-1)),"?"))</f>
        <v/>
      </c>
      <c r="H3537" s="27" t="str">
        <f aca="false">IF(G3537="","",IF(G3537="?","⚠ pub inconnue",IFERROR(INDEX(Pubs!$B$2:$B$3001,MATCH(G3537,Pubs!$A$2:$A$3001,0))&amp;"","⚠ pub inconnue")))</f>
        <v/>
      </c>
      <c r="I3537" s="27" t="str">
        <f aca="false">IF(OR(G3537="",G3537="?"),"",IFERROR(INDEX(Pubs!$C$2:$C$3001,MATCH(G3537,Pubs!$A$2:$A$3001,0))&amp;"",""))</f>
        <v/>
      </c>
      <c r="J3537" s="27" t="str">
        <f aca="false">IF(OR(G3537="",G3537="?"),"",IFERROR(INDEX(Pubs!$G$2:$G$3001,MATCH(G3537,Pubs!$A$2:$A$3001,0))&amp;"",""))</f>
        <v/>
      </c>
      <c r="K3537" s="28" t="str">
        <f aca="false">IF(OR(G3537="",G3537="?"),"",IFERROR(INDEX(Pubs!$E$2:$E$3001,MATCH(G3537,Pubs!$A$2:$A$3001,0)),""))</f>
        <v/>
      </c>
      <c r="L3537" s="29" t="str">
        <f aca="false">IF(A3537="","",IFERROR(1/(1/INDEX(Numéros!$C$2:$C$3001,MATCH(A3537&amp;"|"&amp;B3537,Numéros!$F$2:$F$3001,0))),""))</f>
        <v/>
      </c>
      <c r="M3537" s="27" t="str">
        <f aca="false">IF(OR(G3537="",G3537="?"),"",IFERROR(INDEX(Pubs!$D$2:$D$3001,MATCH(G3537,Pubs!$A$2:$A$3001,0))&amp;"",""))</f>
        <v/>
      </c>
      <c r="N3537" s="27" t="n">
        <f aca="false">N(N3536)+IF(AND(A3537&lt;&gt;"",OR(Recherche!$C$4="",A3537=Recherche!$C$4),OR(Recherche!$C$5="",B3537&amp;""=Recherche!$C$5&amp;""),OR(Recherche!$C$6="",IFERROR(YEAR(L3537),0)=Recherche!$C$6),OR(Recherche!$C$7="",ISNUMBER(SEARCH(Recherche!$C$7,H3537))),OR(Recherche!$C$8="",J3537=Recherche!$C$8),OR(Recherche!$C$9="",I3537=Recherche!$C$9),OR(Recherche!$C$10="",G3537&amp;""=Recherche!$C$10&amp;""),OR(Recherche!$C$11="",E3537=Recherche!$C$11),OR(Recherche!$C$12="",ISNUMBER(SEARCH(Recherche!$C$12,M3537&amp;" "&amp;F3537)))),1,0)</f>
        <v>8</v>
      </c>
    </row>
    <row r="3538" customFormat="false" ht="15" hidden="false" customHeight="false" outlineLevel="0" collapsed="false">
      <c r="A3538" s="19"/>
      <c r="B3538" s="19"/>
      <c r="C3538" s="19"/>
      <c r="D3538" s="19"/>
      <c r="E3538" s="22"/>
      <c r="F3538" s="19"/>
      <c r="G3538" s="26" t="str">
        <f aca="false">IF(D3538="","",IFERROR(VALUE(LEFT(D3538,FIND(" |",D3538&amp;" |")-1)),"?"))</f>
        <v/>
      </c>
      <c r="H3538" s="27" t="str">
        <f aca="false">IF(G3538="","",IF(G3538="?","⚠ pub inconnue",IFERROR(INDEX(Pubs!$B$2:$B$3001,MATCH(G3538,Pubs!$A$2:$A$3001,0))&amp;"","⚠ pub inconnue")))</f>
        <v/>
      </c>
      <c r="I3538" s="27" t="str">
        <f aca="false">IF(OR(G3538="",G3538="?"),"",IFERROR(INDEX(Pubs!$C$2:$C$3001,MATCH(G3538,Pubs!$A$2:$A$3001,0))&amp;"",""))</f>
        <v/>
      </c>
      <c r="J3538" s="27" t="str">
        <f aca="false">IF(OR(G3538="",G3538="?"),"",IFERROR(INDEX(Pubs!$G$2:$G$3001,MATCH(G3538,Pubs!$A$2:$A$3001,0))&amp;"",""))</f>
        <v/>
      </c>
      <c r="K3538" s="28" t="str">
        <f aca="false">IF(OR(G3538="",G3538="?"),"",IFERROR(INDEX(Pubs!$E$2:$E$3001,MATCH(G3538,Pubs!$A$2:$A$3001,0)),""))</f>
        <v/>
      </c>
      <c r="L3538" s="29" t="str">
        <f aca="false">IF(A3538="","",IFERROR(1/(1/INDEX(Numéros!$C$2:$C$3001,MATCH(A3538&amp;"|"&amp;B3538,Numéros!$F$2:$F$3001,0))),""))</f>
        <v/>
      </c>
      <c r="M3538" s="27" t="str">
        <f aca="false">IF(OR(G3538="",G3538="?"),"",IFERROR(INDEX(Pubs!$D$2:$D$3001,MATCH(G3538,Pubs!$A$2:$A$3001,0))&amp;"",""))</f>
        <v/>
      </c>
      <c r="N3538" s="27" t="n">
        <f aca="false">N(N3537)+IF(AND(A3538&lt;&gt;"",OR(Recherche!$C$4="",A3538=Recherche!$C$4),OR(Recherche!$C$5="",B3538&amp;""=Recherche!$C$5&amp;""),OR(Recherche!$C$6="",IFERROR(YEAR(L3538),0)=Recherche!$C$6),OR(Recherche!$C$7="",ISNUMBER(SEARCH(Recherche!$C$7,H3538))),OR(Recherche!$C$8="",J3538=Recherche!$C$8),OR(Recherche!$C$9="",I3538=Recherche!$C$9),OR(Recherche!$C$10="",G3538&amp;""=Recherche!$C$10&amp;""),OR(Recherche!$C$11="",E3538=Recherche!$C$11),OR(Recherche!$C$12="",ISNUMBER(SEARCH(Recherche!$C$12,M3538&amp;" "&amp;F3538)))),1,0)</f>
        <v>8</v>
      </c>
    </row>
    <row r="3539" customFormat="false" ht="15" hidden="false" customHeight="false" outlineLevel="0" collapsed="false">
      <c r="A3539" s="19"/>
      <c r="B3539" s="19"/>
      <c r="C3539" s="19"/>
      <c r="D3539" s="19"/>
      <c r="E3539" s="22"/>
      <c r="F3539" s="19"/>
      <c r="G3539" s="26" t="str">
        <f aca="false">IF(D3539="","",IFERROR(VALUE(LEFT(D3539,FIND(" |",D3539&amp;" |")-1)),"?"))</f>
        <v/>
      </c>
      <c r="H3539" s="27" t="str">
        <f aca="false">IF(G3539="","",IF(G3539="?","⚠ pub inconnue",IFERROR(INDEX(Pubs!$B$2:$B$3001,MATCH(G3539,Pubs!$A$2:$A$3001,0))&amp;"","⚠ pub inconnue")))</f>
        <v/>
      </c>
      <c r="I3539" s="27" t="str">
        <f aca="false">IF(OR(G3539="",G3539="?"),"",IFERROR(INDEX(Pubs!$C$2:$C$3001,MATCH(G3539,Pubs!$A$2:$A$3001,0))&amp;"",""))</f>
        <v/>
      </c>
      <c r="J3539" s="27" t="str">
        <f aca="false">IF(OR(G3539="",G3539="?"),"",IFERROR(INDEX(Pubs!$G$2:$G$3001,MATCH(G3539,Pubs!$A$2:$A$3001,0))&amp;"",""))</f>
        <v/>
      </c>
      <c r="K3539" s="28" t="str">
        <f aca="false">IF(OR(G3539="",G3539="?"),"",IFERROR(INDEX(Pubs!$E$2:$E$3001,MATCH(G3539,Pubs!$A$2:$A$3001,0)),""))</f>
        <v/>
      </c>
      <c r="L3539" s="29" t="str">
        <f aca="false">IF(A3539="","",IFERROR(1/(1/INDEX(Numéros!$C$2:$C$3001,MATCH(A3539&amp;"|"&amp;B3539,Numéros!$F$2:$F$3001,0))),""))</f>
        <v/>
      </c>
      <c r="M3539" s="27" t="str">
        <f aca="false">IF(OR(G3539="",G3539="?"),"",IFERROR(INDEX(Pubs!$D$2:$D$3001,MATCH(G3539,Pubs!$A$2:$A$3001,0))&amp;"",""))</f>
        <v/>
      </c>
      <c r="N3539" s="27" t="n">
        <f aca="false">N(N3538)+IF(AND(A3539&lt;&gt;"",OR(Recherche!$C$4="",A3539=Recherche!$C$4),OR(Recherche!$C$5="",B3539&amp;""=Recherche!$C$5&amp;""),OR(Recherche!$C$6="",IFERROR(YEAR(L3539),0)=Recherche!$C$6),OR(Recherche!$C$7="",ISNUMBER(SEARCH(Recherche!$C$7,H3539))),OR(Recherche!$C$8="",J3539=Recherche!$C$8),OR(Recherche!$C$9="",I3539=Recherche!$C$9),OR(Recherche!$C$10="",G3539&amp;""=Recherche!$C$10&amp;""),OR(Recherche!$C$11="",E3539=Recherche!$C$11),OR(Recherche!$C$12="",ISNUMBER(SEARCH(Recherche!$C$12,M3539&amp;" "&amp;F3539)))),1,0)</f>
        <v>8</v>
      </c>
    </row>
    <row r="3540" customFormat="false" ht="15" hidden="false" customHeight="false" outlineLevel="0" collapsed="false">
      <c r="A3540" s="19"/>
      <c r="B3540" s="19"/>
      <c r="C3540" s="19"/>
      <c r="D3540" s="19"/>
      <c r="E3540" s="22"/>
      <c r="F3540" s="19"/>
      <c r="G3540" s="26" t="str">
        <f aca="false">IF(D3540="","",IFERROR(VALUE(LEFT(D3540,FIND(" |",D3540&amp;" |")-1)),"?"))</f>
        <v/>
      </c>
      <c r="H3540" s="27" t="str">
        <f aca="false">IF(G3540="","",IF(G3540="?","⚠ pub inconnue",IFERROR(INDEX(Pubs!$B$2:$B$3001,MATCH(G3540,Pubs!$A$2:$A$3001,0))&amp;"","⚠ pub inconnue")))</f>
        <v/>
      </c>
      <c r="I3540" s="27" t="str">
        <f aca="false">IF(OR(G3540="",G3540="?"),"",IFERROR(INDEX(Pubs!$C$2:$C$3001,MATCH(G3540,Pubs!$A$2:$A$3001,0))&amp;"",""))</f>
        <v/>
      </c>
      <c r="J3540" s="27" t="str">
        <f aca="false">IF(OR(G3540="",G3540="?"),"",IFERROR(INDEX(Pubs!$G$2:$G$3001,MATCH(G3540,Pubs!$A$2:$A$3001,0))&amp;"",""))</f>
        <v/>
      </c>
      <c r="K3540" s="28" t="str">
        <f aca="false">IF(OR(G3540="",G3540="?"),"",IFERROR(INDEX(Pubs!$E$2:$E$3001,MATCH(G3540,Pubs!$A$2:$A$3001,0)),""))</f>
        <v/>
      </c>
      <c r="L3540" s="29" t="str">
        <f aca="false">IF(A3540="","",IFERROR(1/(1/INDEX(Numéros!$C$2:$C$3001,MATCH(A3540&amp;"|"&amp;B3540,Numéros!$F$2:$F$3001,0))),""))</f>
        <v/>
      </c>
      <c r="M3540" s="27" t="str">
        <f aca="false">IF(OR(G3540="",G3540="?"),"",IFERROR(INDEX(Pubs!$D$2:$D$3001,MATCH(G3540,Pubs!$A$2:$A$3001,0))&amp;"",""))</f>
        <v/>
      </c>
      <c r="N3540" s="27" t="n">
        <f aca="false">N(N3539)+IF(AND(A3540&lt;&gt;"",OR(Recherche!$C$4="",A3540=Recherche!$C$4),OR(Recherche!$C$5="",B3540&amp;""=Recherche!$C$5&amp;""),OR(Recherche!$C$6="",IFERROR(YEAR(L3540),0)=Recherche!$C$6),OR(Recherche!$C$7="",ISNUMBER(SEARCH(Recherche!$C$7,H3540))),OR(Recherche!$C$8="",J3540=Recherche!$C$8),OR(Recherche!$C$9="",I3540=Recherche!$C$9),OR(Recherche!$C$10="",G3540&amp;""=Recherche!$C$10&amp;""),OR(Recherche!$C$11="",E3540=Recherche!$C$11),OR(Recherche!$C$12="",ISNUMBER(SEARCH(Recherche!$C$12,M3540&amp;" "&amp;F3540)))),1,0)</f>
        <v>8</v>
      </c>
    </row>
    <row r="3541" customFormat="false" ht="15" hidden="false" customHeight="false" outlineLevel="0" collapsed="false">
      <c r="A3541" s="19"/>
      <c r="B3541" s="19"/>
      <c r="C3541" s="19"/>
      <c r="D3541" s="19"/>
      <c r="E3541" s="22"/>
      <c r="F3541" s="19"/>
      <c r="G3541" s="26" t="str">
        <f aca="false">IF(D3541="","",IFERROR(VALUE(LEFT(D3541,FIND(" |",D3541&amp;" |")-1)),"?"))</f>
        <v/>
      </c>
      <c r="H3541" s="27" t="str">
        <f aca="false">IF(G3541="","",IF(G3541="?","⚠ pub inconnue",IFERROR(INDEX(Pubs!$B$2:$B$3001,MATCH(G3541,Pubs!$A$2:$A$3001,0))&amp;"","⚠ pub inconnue")))</f>
        <v/>
      </c>
      <c r="I3541" s="27" t="str">
        <f aca="false">IF(OR(G3541="",G3541="?"),"",IFERROR(INDEX(Pubs!$C$2:$C$3001,MATCH(G3541,Pubs!$A$2:$A$3001,0))&amp;"",""))</f>
        <v/>
      </c>
      <c r="J3541" s="27" t="str">
        <f aca="false">IF(OR(G3541="",G3541="?"),"",IFERROR(INDEX(Pubs!$G$2:$G$3001,MATCH(G3541,Pubs!$A$2:$A$3001,0))&amp;"",""))</f>
        <v/>
      </c>
      <c r="K3541" s="28" t="str">
        <f aca="false">IF(OR(G3541="",G3541="?"),"",IFERROR(INDEX(Pubs!$E$2:$E$3001,MATCH(G3541,Pubs!$A$2:$A$3001,0)),""))</f>
        <v/>
      </c>
      <c r="L3541" s="29" t="str">
        <f aca="false">IF(A3541="","",IFERROR(1/(1/INDEX(Numéros!$C$2:$C$3001,MATCH(A3541&amp;"|"&amp;B3541,Numéros!$F$2:$F$3001,0))),""))</f>
        <v/>
      </c>
      <c r="M3541" s="27" t="str">
        <f aca="false">IF(OR(G3541="",G3541="?"),"",IFERROR(INDEX(Pubs!$D$2:$D$3001,MATCH(G3541,Pubs!$A$2:$A$3001,0))&amp;"",""))</f>
        <v/>
      </c>
      <c r="N3541" s="27" t="n">
        <f aca="false">N(N3540)+IF(AND(A3541&lt;&gt;"",OR(Recherche!$C$4="",A3541=Recherche!$C$4),OR(Recherche!$C$5="",B3541&amp;""=Recherche!$C$5&amp;""),OR(Recherche!$C$6="",IFERROR(YEAR(L3541),0)=Recherche!$C$6),OR(Recherche!$C$7="",ISNUMBER(SEARCH(Recherche!$C$7,H3541))),OR(Recherche!$C$8="",J3541=Recherche!$C$8),OR(Recherche!$C$9="",I3541=Recherche!$C$9),OR(Recherche!$C$10="",G3541&amp;""=Recherche!$C$10&amp;""),OR(Recherche!$C$11="",E3541=Recherche!$C$11),OR(Recherche!$C$12="",ISNUMBER(SEARCH(Recherche!$C$12,M3541&amp;" "&amp;F3541)))),1,0)</f>
        <v>8</v>
      </c>
    </row>
    <row r="3542" customFormat="false" ht="15" hidden="false" customHeight="false" outlineLevel="0" collapsed="false">
      <c r="A3542" s="19"/>
      <c r="B3542" s="19"/>
      <c r="C3542" s="19"/>
      <c r="D3542" s="19"/>
      <c r="E3542" s="22"/>
      <c r="F3542" s="19"/>
      <c r="G3542" s="26" t="str">
        <f aca="false">IF(D3542="","",IFERROR(VALUE(LEFT(D3542,FIND(" |",D3542&amp;" |")-1)),"?"))</f>
        <v/>
      </c>
      <c r="H3542" s="27" t="str">
        <f aca="false">IF(G3542="","",IF(G3542="?","⚠ pub inconnue",IFERROR(INDEX(Pubs!$B$2:$B$3001,MATCH(G3542,Pubs!$A$2:$A$3001,0))&amp;"","⚠ pub inconnue")))</f>
        <v/>
      </c>
      <c r="I3542" s="27" t="str">
        <f aca="false">IF(OR(G3542="",G3542="?"),"",IFERROR(INDEX(Pubs!$C$2:$C$3001,MATCH(G3542,Pubs!$A$2:$A$3001,0))&amp;"",""))</f>
        <v/>
      </c>
      <c r="J3542" s="27" t="str">
        <f aca="false">IF(OR(G3542="",G3542="?"),"",IFERROR(INDEX(Pubs!$G$2:$G$3001,MATCH(G3542,Pubs!$A$2:$A$3001,0))&amp;"",""))</f>
        <v/>
      </c>
      <c r="K3542" s="28" t="str">
        <f aca="false">IF(OR(G3542="",G3542="?"),"",IFERROR(INDEX(Pubs!$E$2:$E$3001,MATCH(G3542,Pubs!$A$2:$A$3001,0)),""))</f>
        <v/>
      </c>
      <c r="L3542" s="29" t="str">
        <f aca="false">IF(A3542="","",IFERROR(1/(1/INDEX(Numéros!$C$2:$C$3001,MATCH(A3542&amp;"|"&amp;B3542,Numéros!$F$2:$F$3001,0))),""))</f>
        <v/>
      </c>
      <c r="M3542" s="27" t="str">
        <f aca="false">IF(OR(G3542="",G3542="?"),"",IFERROR(INDEX(Pubs!$D$2:$D$3001,MATCH(G3542,Pubs!$A$2:$A$3001,0))&amp;"",""))</f>
        <v/>
      </c>
      <c r="N3542" s="27" t="n">
        <f aca="false">N(N3541)+IF(AND(A3542&lt;&gt;"",OR(Recherche!$C$4="",A3542=Recherche!$C$4),OR(Recherche!$C$5="",B3542&amp;""=Recherche!$C$5&amp;""),OR(Recherche!$C$6="",IFERROR(YEAR(L3542),0)=Recherche!$C$6),OR(Recherche!$C$7="",ISNUMBER(SEARCH(Recherche!$C$7,H3542))),OR(Recherche!$C$8="",J3542=Recherche!$C$8),OR(Recherche!$C$9="",I3542=Recherche!$C$9),OR(Recherche!$C$10="",G3542&amp;""=Recherche!$C$10&amp;""),OR(Recherche!$C$11="",E3542=Recherche!$C$11),OR(Recherche!$C$12="",ISNUMBER(SEARCH(Recherche!$C$12,M3542&amp;" "&amp;F3542)))),1,0)</f>
        <v>8</v>
      </c>
    </row>
    <row r="3543" customFormat="false" ht="15" hidden="false" customHeight="false" outlineLevel="0" collapsed="false">
      <c r="A3543" s="19"/>
      <c r="B3543" s="19"/>
      <c r="C3543" s="19"/>
      <c r="D3543" s="19"/>
      <c r="E3543" s="22"/>
      <c r="F3543" s="19"/>
      <c r="G3543" s="26" t="str">
        <f aca="false">IF(D3543="","",IFERROR(VALUE(LEFT(D3543,FIND(" |",D3543&amp;" |")-1)),"?"))</f>
        <v/>
      </c>
      <c r="H3543" s="27" t="str">
        <f aca="false">IF(G3543="","",IF(G3543="?","⚠ pub inconnue",IFERROR(INDEX(Pubs!$B$2:$B$3001,MATCH(G3543,Pubs!$A$2:$A$3001,0))&amp;"","⚠ pub inconnue")))</f>
        <v/>
      </c>
      <c r="I3543" s="27" t="str">
        <f aca="false">IF(OR(G3543="",G3543="?"),"",IFERROR(INDEX(Pubs!$C$2:$C$3001,MATCH(G3543,Pubs!$A$2:$A$3001,0))&amp;"",""))</f>
        <v/>
      </c>
      <c r="J3543" s="27" t="str">
        <f aca="false">IF(OR(G3543="",G3543="?"),"",IFERROR(INDEX(Pubs!$G$2:$G$3001,MATCH(G3543,Pubs!$A$2:$A$3001,0))&amp;"",""))</f>
        <v/>
      </c>
      <c r="K3543" s="28" t="str">
        <f aca="false">IF(OR(G3543="",G3543="?"),"",IFERROR(INDEX(Pubs!$E$2:$E$3001,MATCH(G3543,Pubs!$A$2:$A$3001,0)),""))</f>
        <v/>
      </c>
      <c r="L3543" s="29" t="str">
        <f aca="false">IF(A3543="","",IFERROR(1/(1/INDEX(Numéros!$C$2:$C$3001,MATCH(A3543&amp;"|"&amp;B3543,Numéros!$F$2:$F$3001,0))),""))</f>
        <v/>
      </c>
      <c r="M3543" s="27" t="str">
        <f aca="false">IF(OR(G3543="",G3543="?"),"",IFERROR(INDEX(Pubs!$D$2:$D$3001,MATCH(G3543,Pubs!$A$2:$A$3001,0))&amp;"",""))</f>
        <v/>
      </c>
      <c r="N3543" s="27" t="n">
        <f aca="false">N(N3542)+IF(AND(A3543&lt;&gt;"",OR(Recherche!$C$4="",A3543=Recherche!$C$4),OR(Recherche!$C$5="",B3543&amp;""=Recherche!$C$5&amp;""),OR(Recherche!$C$6="",IFERROR(YEAR(L3543),0)=Recherche!$C$6),OR(Recherche!$C$7="",ISNUMBER(SEARCH(Recherche!$C$7,H3543))),OR(Recherche!$C$8="",J3543=Recherche!$C$8),OR(Recherche!$C$9="",I3543=Recherche!$C$9),OR(Recherche!$C$10="",G3543&amp;""=Recherche!$C$10&amp;""),OR(Recherche!$C$11="",E3543=Recherche!$C$11),OR(Recherche!$C$12="",ISNUMBER(SEARCH(Recherche!$C$12,M3543&amp;" "&amp;F3543)))),1,0)</f>
        <v>8</v>
      </c>
    </row>
    <row r="3544" customFormat="false" ht="15" hidden="false" customHeight="false" outlineLevel="0" collapsed="false">
      <c r="A3544" s="19"/>
      <c r="B3544" s="19"/>
      <c r="C3544" s="19"/>
      <c r="D3544" s="19"/>
      <c r="E3544" s="22"/>
      <c r="F3544" s="19"/>
      <c r="G3544" s="26" t="str">
        <f aca="false">IF(D3544="","",IFERROR(VALUE(LEFT(D3544,FIND(" |",D3544&amp;" |")-1)),"?"))</f>
        <v/>
      </c>
      <c r="H3544" s="27" t="str">
        <f aca="false">IF(G3544="","",IF(G3544="?","⚠ pub inconnue",IFERROR(INDEX(Pubs!$B$2:$B$3001,MATCH(G3544,Pubs!$A$2:$A$3001,0))&amp;"","⚠ pub inconnue")))</f>
        <v/>
      </c>
      <c r="I3544" s="27" t="str">
        <f aca="false">IF(OR(G3544="",G3544="?"),"",IFERROR(INDEX(Pubs!$C$2:$C$3001,MATCH(G3544,Pubs!$A$2:$A$3001,0))&amp;"",""))</f>
        <v/>
      </c>
      <c r="J3544" s="27" t="str">
        <f aca="false">IF(OR(G3544="",G3544="?"),"",IFERROR(INDEX(Pubs!$G$2:$G$3001,MATCH(G3544,Pubs!$A$2:$A$3001,0))&amp;"",""))</f>
        <v/>
      </c>
      <c r="K3544" s="28" t="str">
        <f aca="false">IF(OR(G3544="",G3544="?"),"",IFERROR(INDEX(Pubs!$E$2:$E$3001,MATCH(G3544,Pubs!$A$2:$A$3001,0)),""))</f>
        <v/>
      </c>
      <c r="L3544" s="29" t="str">
        <f aca="false">IF(A3544="","",IFERROR(1/(1/INDEX(Numéros!$C$2:$C$3001,MATCH(A3544&amp;"|"&amp;B3544,Numéros!$F$2:$F$3001,0))),""))</f>
        <v/>
      </c>
      <c r="M3544" s="27" t="str">
        <f aca="false">IF(OR(G3544="",G3544="?"),"",IFERROR(INDEX(Pubs!$D$2:$D$3001,MATCH(G3544,Pubs!$A$2:$A$3001,0))&amp;"",""))</f>
        <v/>
      </c>
      <c r="N3544" s="27" t="n">
        <f aca="false">N(N3543)+IF(AND(A3544&lt;&gt;"",OR(Recherche!$C$4="",A3544=Recherche!$C$4),OR(Recherche!$C$5="",B3544&amp;""=Recherche!$C$5&amp;""),OR(Recherche!$C$6="",IFERROR(YEAR(L3544),0)=Recherche!$C$6),OR(Recherche!$C$7="",ISNUMBER(SEARCH(Recherche!$C$7,H3544))),OR(Recherche!$C$8="",J3544=Recherche!$C$8),OR(Recherche!$C$9="",I3544=Recherche!$C$9),OR(Recherche!$C$10="",G3544&amp;""=Recherche!$C$10&amp;""),OR(Recherche!$C$11="",E3544=Recherche!$C$11),OR(Recherche!$C$12="",ISNUMBER(SEARCH(Recherche!$C$12,M3544&amp;" "&amp;F3544)))),1,0)</f>
        <v>8</v>
      </c>
    </row>
    <row r="3545" customFormat="false" ht="15" hidden="false" customHeight="false" outlineLevel="0" collapsed="false">
      <c r="A3545" s="19"/>
      <c r="B3545" s="19"/>
      <c r="C3545" s="19"/>
      <c r="D3545" s="19"/>
      <c r="E3545" s="22"/>
      <c r="F3545" s="19"/>
      <c r="G3545" s="26" t="str">
        <f aca="false">IF(D3545="","",IFERROR(VALUE(LEFT(D3545,FIND(" |",D3545&amp;" |")-1)),"?"))</f>
        <v/>
      </c>
      <c r="H3545" s="27" t="str">
        <f aca="false">IF(G3545="","",IF(G3545="?","⚠ pub inconnue",IFERROR(INDEX(Pubs!$B$2:$B$3001,MATCH(G3545,Pubs!$A$2:$A$3001,0))&amp;"","⚠ pub inconnue")))</f>
        <v/>
      </c>
      <c r="I3545" s="27" t="str">
        <f aca="false">IF(OR(G3545="",G3545="?"),"",IFERROR(INDEX(Pubs!$C$2:$C$3001,MATCH(G3545,Pubs!$A$2:$A$3001,0))&amp;"",""))</f>
        <v/>
      </c>
      <c r="J3545" s="27" t="str">
        <f aca="false">IF(OR(G3545="",G3545="?"),"",IFERROR(INDEX(Pubs!$G$2:$G$3001,MATCH(G3545,Pubs!$A$2:$A$3001,0))&amp;"",""))</f>
        <v/>
      </c>
      <c r="K3545" s="28" t="str">
        <f aca="false">IF(OR(G3545="",G3545="?"),"",IFERROR(INDEX(Pubs!$E$2:$E$3001,MATCH(G3545,Pubs!$A$2:$A$3001,0)),""))</f>
        <v/>
      </c>
      <c r="L3545" s="29" t="str">
        <f aca="false">IF(A3545="","",IFERROR(1/(1/INDEX(Numéros!$C$2:$C$3001,MATCH(A3545&amp;"|"&amp;B3545,Numéros!$F$2:$F$3001,0))),""))</f>
        <v/>
      </c>
      <c r="M3545" s="27" t="str">
        <f aca="false">IF(OR(G3545="",G3545="?"),"",IFERROR(INDEX(Pubs!$D$2:$D$3001,MATCH(G3545,Pubs!$A$2:$A$3001,0))&amp;"",""))</f>
        <v/>
      </c>
      <c r="N3545" s="27" t="n">
        <f aca="false">N(N3544)+IF(AND(A3545&lt;&gt;"",OR(Recherche!$C$4="",A3545=Recherche!$C$4),OR(Recherche!$C$5="",B3545&amp;""=Recherche!$C$5&amp;""),OR(Recherche!$C$6="",IFERROR(YEAR(L3545),0)=Recherche!$C$6),OR(Recherche!$C$7="",ISNUMBER(SEARCH(Recherche!$C$7,H3545))),OR(Recherche!$C$8="",J3545=Recherche!$C$8),OR(Recherche!$C$9="",I3545=Recherche!$C$9),OR(Recherche!$C$10="",G3545&amp;""=Recherche!$C$10&amp;""),OR(Recherche!$C$11="",E3545=Recherche!$C$11),OR(Recherche!$C$12="",ISNUMBER(SEARCH(Recherche!$C$12,M3545&amp;" "&amp;F3545)))),1,0)</f>
        <v>8</v>
      </c>
    </row>
    <row r="3546" customFormat="false" ht="15" hidden="false" customHeight="false" outlineLevel="0" collapsed="false">
      <c r="A3546" s="19"/>
      <c r="B3546" s="19"/>
      <c r="C3546" s="19"/>
      <c r="D3546" s="19"/>
      <c r="E3546" s="22"/>
      <c r="F3546" s="19"/>
      <c r="G3546" s="26" t="str">
        <f aca="false">IF(D3546="","",IFERROR(VALUE(LEFT(D3546,FIND(" |",D3546&amp;" |")-1)),"?"))</f>
        <v/>
      </c>
      <c r="H3546" s="27" t="str">
        <f aca="false">IF(G3546="","",IF(G3546="?","⚠ pub inconnue",IFERROR(INDEX(Pubs!$B$2:$B$3001,MATCH(G3546,Pubs!$A$2:$A$3001,0))&amp;"","⚠ pub inconnue")))</f>
        <v/>
      </c>
      <c r="I3546" s="27" t="str">
        <f aca="false">IF(OR(G3546="",G3546="?"),"",IFERROR(INDEX(Pubs!$C$2:$C$3001,MATCH(G3546,Pubs!$A$2:$A$3001,0))&amp;"",""))</f>
        <v/>
      </c>
      <c r="J3546" s="27" t="str">
        <f aca="false">IF(OR(G3546="",G3546="?"),"",IFERROR(INDEX(Pubs!$G$2:$G$3001,MATCH(G3546,Pubs!$A$2:$A$3001,0))&amp;"",""))</f>
        <v/>
      </c>
      <c r="K3546" s="28" t="str">
        <f aca="false">IF(OR(G3546="",G3546="?"),"",IFERROR(INDEX(Pubs!$E$2:$E$3001,MATCH(G3546,Pubs!$A$2:$A$3001,0)),""))</f>
        <v/>
      </c>
      <c r="L3546" s="29" t="str">
        <f aca="false">IF(A3546="","",IFERROR(1/(1/INDEX(Numéros!$C$2:$C$3001,MATCH(A3546&amp;"|"&amp;B3546,Numéros!$F$2:$F$3001,0))),""))</f>
        <v/>
      </c>
      <c r="M3546" s="27" t="str">
        <f aca="false">IF(OR(G3546="",G3546="?"),"",IFERROR(INDEX(Pubs!$D$2:$D$3001,MATCH(G3546,Pubs!$A$2:$A$3001,0))&amp;"",""))</f>
        <v/>
      </c>
      <c r="N3546" s="27" t="n">
        <f aca="false">N(N3545)+IF(AND(A3546&lt;&gt;"",OR(Recherche!$C$4="",A3546=Recherche!$C$4),OR(Recherche!$C$5="",B3546&amp;""=Recherche!$C$5&amp;""),OR(Recherche!$C$6="",IFERROR(YEAR(L3546),0)=Recherche!$C$6),OR(Recherche!$C$7="",ISNUMBER(SEARCH(Recherche!$C$7,H3546))),OR(Recherche!$C$8="",J3546=Recherche!$C$8),OR(Recherche!$C$9="",I3546=Recherche!$C$9),OR(Recherche!$C$10="",G3546&amp;""=Recherche!$C$10&amp;""),OR(Recherche!$C$11="",E3546=Recherche!$C$11),OR(Recherche!$C$12="",ISNUMBER(SEARCH(Recherche!$C$12,M3546&amp;" "&amp;F3546)))),1,0)</f>
        <v>8</v>
      </c>
    </row>
    <row r="3547" customFormat="false" ht="15" hidden="false" customHeight="false" outlineLevel="0" collapsed="false">
      <c r="A3547" s="19"/>
      <c r="B3547" s="19"/>
      <c r="C3547" s="19"/>
      <c r="D3547" s="19"/>
      <c r="E3547" s="22"/>
      <c r="F3547" s="19"/>
      <c r="G3547" s="26" t="str">
        <f aca="false">IF(D3547="","",IFERROR(VALUE(LEFT(D3547,FIND(" |",D3547&amp;" |")-1)),"?"))</f>
        <v/>
      </c>
      <c r="H3547" s="27" t="str">
        <f aca="false">IF(G3547="","",IF(G3547="?","⚠ pub inconnue",IFERROR(INDEX(Pubs!$B$2:$B$3001,MATCH(G3547,Pubs!$A$2:$A$3001,0))&amp;"","⚠ pub inconnue")))</f>
        <v/>
      </c>
      <c r="I3547" s="27" t="str">
        <f aca="false">IF(OR(G3547="",G3547="?"),"",IFERROR(INDEX(Pubs!$C$2:$C$3001,MATCH(G3547,Pubs!$A$2:$A$3001,0))&amp;"",""))</f>
        <v/>
      </c>
      <c r="J3547" s="27" t="str">
        <f aca="false">IF(OR(G3547="",G3547="?"),"",IFERROR(INDEX(Pubs!$G$2:$G$3001,MATCH(G3547,Pubs!$A$2:$A$3001,0))&amp;"",""))</f>
        <v/>
      </c>
      <c r="K3547" s="28" t="str">
        <f aca="false">IF(OR(G3547="",G3547="?"),"",IFERROR(INDEX(Pubs!$E$2:$E$3001,MATCH(G3547,Pubs!$A$2:$A$3001,0)),""))</f>
        <v/>
      </c>
      <c r="L3547" s="29" t="str">
        <f aca="false">IF(A3547="","",IFERROR(1/(1/INDEX(Numéros!$C$2:$C$3001,MATCH(A3547&amp;"|"&amp;B3547,Numéros!$F$2:$F$3001,0))),""))</f>
        <v/>
      </c>
      <c r="M3547" s="27" t="str">
        <f aca="false">IF(OR(G3547="",G3547="?"),"",IFERROR(INDEX(Pubs!$D$2:$D$3001,MATCH(G3547,Pubs!$A$2:$A$3001,0))&amp;"",""))</f>
        <v/>
      </c>
      <c r="N3547" s="27" t="n">
        <f aca="false">N(N3546)+IF(AND(A3547&lt;&gt;"",OR(Recherche!$C$4="",A3547=Recherche!$C$4),OR(Recherche!$C$5="",B3547&amp;""=Recherche!$C$5&amp;""),OR(Recherche!$C$6="",IFERROR(YEAR(L3547),0)=Recherche!$C$6),OR(Recherche!$C$7="",ISNUMBER(SEARCH(Recherche!$C$7,H3547))),OR(Recherche!$C$8="",J3547=Recherche!$C$8),OR(Recherche!$C$9="",I3547=Recherche!$C$9),OR(Recherche!$C$10="",G3547&amp;""=Recherche!$C$10&amp;""),OR(Recherche!$C$11="",E3547=Recherche!$C$11),OR(Recherche!$C$12="",ISNUMBER(SEARCH(Recherche!$C$12,M3547&amp;" "&amp;F3547)))),1,0)</f>
        <v>8</v>
      </c>
    </row>
    <row r="3548" customFormat="false" ht="15" hidden="false" customHeight="false" outlineLevel="0" collapsed="false">
      <c r="A3548" s="19"/>
      <c r="B3548" s="19"/>
      <c r="C3548" s="19"/>
      <c r="D3548" s="19"/>
      <c r="E3548" s="22"/>
      <c r="F3548" s="19"/>
      <c r="G3548" s="26" t="str">
        <f aca="false">IF(D3548="","",IFERROR(VALUE(LEFT(D3548,FIND(" |",D3548&amp;" |")-1)),"?"))</f>
        <v/>
      </c>
      <c r="H3548" s="27" t="str">
        <f aca="false">IF(G3548="","",IF(G3548="?","⚠ pub inconnue",IFERROR(INDEX(Pubs!$B$2:$B$3001,MATCH(G3548,Pubs!$A$2:$A$3001,0))&amp;"","⚠ pub inconnue")))</f>
        <v/>
      </c>
      <c r="I3548" s="27" t="str">
        <f aca="false">IF(OR(G3548="",G3548="?"),"",IFERROR(INDEX(Pubs!$C$2:$C$3001,MATCH(G3548,Pubs!$A$2:$A$3001,0))&amp;"",""))</f>
        <v/>
      </c>
      <c r="J3548" s="27" t="str">
        <f aca="false">IF(OR(G3548="",G3548="?"),"",IFERROR(INDEX(Pubs!$G$2:$G$3001,MATCH(G3548,Pubs!$A$2:$A$3001,0))&amp;"",""))</f>
        <v/>
      </c>
      <c r="K3548" s="28" t="str">
        <f aca="false">IF(OR(G3548="",G3548="?"),"",IFERROR(INDEX(Pubs!$E$2:$E$3001,MATCH(G3548,Pubs!$A$2:$A$3001,0)),""))</f>
        <v/>
      </c>
      <c r="L3548" s="29" t="str">
        <f aca="false">IF(A3548="","",IFERROR(1/(1/INDEX(Numéros!$C$2:$C$3001,MATCH(A3548&amp;"|"&amp;B3548,Numéros!$F$2:$F$3001,0))),""))</f>
        <v/>
      </c>
      <c r="M3548" s="27" t="str">
        <f aca="false">IF(OR(G3548="",G3548="?"),"",IFERROR(INDEX(Pubs!$D$2:$D$3001,MATCH(G3548,Pubs!$A$2:$A$3001,0))&amp;"",""))</f>
        <v/>
      </c>
      <c r="N3548" s="27" t="n">
        <f aca="false">N(N3547)+IF(AND(A3548&lt;&gt;"",OR(Recherche!$C$4="",A3548=Recherche!$C$4),OR(Recherche!$C$5="",B3548&amp;""=Recherche!$C$5&amp;""),OR(Recherche!$C$6="",IFERROR(YEAR(L3548),0)=Recherche!$C$6),OR(Recherche!$C$7="",ISNUMBER(SEARCH(Recherche!$C$7,H3548))),OR(Recherche!$C$8="",J3548=Recherche!$C$8),OR(Recherche!$C$9="",I3548=Recherche!$C$9),OR(Recherche!$C$10="",G3548&amp;""=Recherche!$C$10&amp;""),OR(Recherche!$C$11="",E3548=Recherche!$C$11),OR(Recherche!$C$12="",ISNUMBER(SEARCH(Recherche!$C$12,M3548&amp;" "&amp;F3548)))),1,0)</f>
        <v>8</v>
      </c>
    </row>
    <row r="3549" customFormat="false" ht="15" hidden="false" customHeight="false" outlineLevel="0" collapsed="false">
      <c r="A3549" s="19"/>
      <c r="B3549" s="19"/>
      <c r="C3549" s="19"/>
      <c r="D3549" s="19"/>
      <c r="E3549" s="22"/>
      <c r="F3549" s="19"/>
      <c r="G3549" s="26" t="str">
        <f aca="false">IF(D3549="","",IFERROR(VALUE(LEFT(D3549,FIND(" |",D3549&amp;" |")-1)),"?"))</f>
        <v/>
      </c>
      <c r="H3549" s="27" t="str">
        <f aca="false">IF(G3549="","",IF(G3549="?","⚠ pub inconnue",IFERROR(INDEX(Pubs!$B$2:$B$3001,MATCH(G3549,Pubs!$A$2:$A$3001,0))&amp;"","⚠ pub inconnue")))</f>
        <v/>
      </c>
      <c r="I3549" s="27" t="str">
        <f aca="false">IF(OR(G3549="",G3549="?"),"",IFERROR(INDEX(Pubs!$C$2:$C$3001,MATCH(G3549,Pubs!$A$2:$A$3001,0))&amp;"",""))</f>
        <v/>
      </c>
      <c r="J3549" s="27" t="str">
        <f aca="false">IF(OR(G3549="",G3549="?"),"",IFERROR(INDEX(Pubs!$G$2:$G$3001,MATCH(G3549,Pubs!$A$2:$A$3001,0))&amp;"",""))</f>
        <v/>
      </c>
      <c r="K3549" s="28" t="str">
        <f aca="false">IF(OR(G3549="",G3549="?"),"",IFERROR(INDEX(Pubs!$E$2:$E$3001,MATCH(G3549,Pubs!$A$2:$A$3001,0)),""))</f>
        <v/>
      </c>
      <c r="L3549" s="29" t="str">
        <f aca="false">IF(A3549="","",IFERROR(1/(1/INDEX(Numéros!$C$2:$C$3001,MATCH(A3549&amp;"|"&amp;B3549,Numéros!$F$2:$F$3001,0))),""))</f>
        <v/>
      </c>
      <c r="M3549" s="27" t="str">
        <f aca="false">IF(OR(G3549="",G3549="?"),"",IFERROR(INDEX(Pubs!$D$2:$D$3001,MATCH(G3549,Pubs!$A$2:$A$3001,0))&amp;"",""))</f>
        <v/>
      </c>
      <c r="N3549" s="27" t="n">
        <f aca="false">N(N3548)+IF(AND(A3549&lt;&gt;"",OR(Recherche!$C$4="",A3549=Recherche!$C$4),OR(Recherche!$C$5="",B3549&amp;""=Recherche!$C$5&amp;""),OR(Recherche!$C$6="",IFERROR(YEAR(L3549),0)=Recherche!$C$6),OR(Recherche!$C$7="",ISNUMBER(SEARCH(Recherche!$C$7,H3549))),OR(Recherche!$C$8="",J3549=Recherche!$C$8),OR(Recherche!$C$9="",I3549=Recherche!$C$9),OR(Recherche!$C$10="",G3549&amp;""=Recherche!$C$10&amp;""),OR(Recherche!$C$11="",E3549=Recherche!$C$11),OR(Recherche!$C$12="",ISNUMBER(SEARCH(Recherche!$C$12,M3549&amp;" "&amp;F3549)))),1,0)</f>
        <v>8</v>
      </c>
    </row>
    <row r="3550" customFormat="false" ht="15" hidden="false" customHeight="false" outlineLevel="0" collapsed="false">
      <c r="A3550" s="19"/>
      <c r="B3550" s="19"/>
      <c r="C3550" s="19"/>
      <c r="D3550" s="19"/>
      <c r="E3550" s="22"/>
      <c r="F3550" s="19"/>
      <c r="G3550" s="26" t="str">
        <f aca="false">IF(D3550="","",IFERROR(VALUE(LEFT(D3550,FIND(" |",D3550&amp;" |")-1)),"?"))</f>
        <v/>
      </c>
      <c r="H3550" s="27" t="str">
        <f aca="false">IF(G3550="","",IF(G3550="?","⚠ pub inconnue",IFERROR(INDEX(Pubs!$B$2:$B$3001,MATCH(G3550,Pubs!$A$2:$A$3001,0))&amp;"","⚠ pub inconnue")))</f>
        <v/>
      </c>
      <c r="I3550" s="27" t="str">
        <f aca="false">IF(OR(G3550="",G3550="?"),"",IFERROR(INDEX(Pubs!$C$2:$C$3001,MATCH(G3550,Pubs!$A$2:$A$3001,0))&amp;"",""))</f>
        <v/>
      </c>
      <c r="J3550" s="27" t="str">
        <f aca="false">IF(OR(G3550="",G3550="?"),"",IFERROR(INDEX(Pubs!$G$2:$G$3001,MATCH(G3550,Pubs!$A$2:$A$3001,0))&amp;"",""))</f>
        <v/>
      </c>
      <c r="K3550" s="28" t="str">
        <f aca="false">IF(OR(G3550="",G3550="?"),"",IFERROR(INDEX(Pubs!$E$2:$E$3001,MATCH(G3550,Pubs!$A$2:$A$3001,0)),""))</f>
        <v/>
      </c>
      <c r="L3550" s="29" t="str">
        <f aca="false">IF(A3550="","",IFERROR(1/(1/INDEX(Numéros!$C$2:$C$3001,MATCH(A3550&amp;"|"&amp;B3550,Numéros!$F$2:$F$3001,0))),""))</f>
        <v/>
      </c>
      <c r="M3550" s="27" t="str">
        <f aca="false">IF(OR(G3550="",G3550="?"),"",IFERROR(INDEX(Pubs!$D$2:$D$3001,MATCH(G3550,Pubs!$A$2:$A$3001,0))&amp;"",""))</f>
        <v/>
      </c>
      <c r="N3550" s="27" t="n">
        <f aca="false">N(N3549)+IF(AND(A3550&lt;&gt;"",OR(Recherche!$C$4="",A3550=Recherche!$C$4),OR(Recherche!$C$5="",B3550&amp;""=Recherche!$C$5&amp;""),OR(Recherche!$C$6="",IFERROR(YEAR(L3550),0)=Recherche!$C$6),OR(Recherche!$C$7="",ISNUMBER(SEARCH(Recherche!$C$7,H3550))),OR(Recherche!$C$8="",J3550=Recherche!$C$8),OR(Recherche!$C$9="",I3550=Recherche!$C$9),OR(Recherche!$C$10="",G3550&amp;""=Recherche!$C$10&amp;""),OR(Recherche!$C$11="",E3550=Recherche!$C$11),OR(Recherche!$C$12="",ISNUMBER(SEARCH(Recherche!$C$12,M3550&amp;" "&amp;F3550)))),1,0)</f>
        <v>8</v>
      </c>
    </row>
    <row r="3551" customFormat="false" ht="15" hidden="false" customHeight="false" outlineLevel="0" collapsed="false">
      <c r="A3551" s="19"/>
      <c r="B3551" s="19"/>
      <c r="C3551" s="19"/>
      <c r="D3551" s="19"/>
      <c r="E3551" s="22"/>
      <c r="F3551" s="19"/>
      <c r="G3551" s="26" t="str">
        <f aca="false">IF(D3551="","",IFERROR(VALUE(LEFT(D3551,FIND(" |",D3551&amp;" |")-1)),"?"))</f>
        <v/>
      </c>
      <c r="H3551" s="27" t="str">
        <f aca="false">IF(G3551="","",IF(G3551="?","⚠ pub inconnue",IFERROR(INDEX(Pubs!$B$2:$B$3001,MATCH(G3551,Pubs!$A$2:$A$3001,0))&amp;"","⚠ pub inconnue")))</f>
        <v/>
      </c>
      <c r="I3551" s="27" t="str">
        <f aca="false">IF(OR(G3551="",G3551="?"),"",IFERROR(INDEX(Pubs!$C$2:$C$3001,MATCH(G3551,Pubs!$A$2:$A$3001,0))&amp;"",""))</f>
        <v/>
      </c>
      <c r="J3551" s="27" t="str">
        <f aca="false">IF(OR(G3551="",G3551="?"),"",IFERROR(INDEX(Pubs!$G$2:$G$3001,MATCH(G3551,Pubs!$A$2:$A$3001,0))&amp;"",""))</f>
        <v/>
      </c>
      <c r="K3551" s="28" t="str">
        <f aca="false">IF(OR(G3551="",G3551="?"),"",IFERROR(INDEX(Pubs!$E$2:$E$3001,MATCH(G3551,Pubs!$A$2:$A$3001,0)),""))</f>
        <v/>
      </c>
      <c r="L3551" s="29" t="str">
        <f aca="false">IF(A3551="","",IFERROR(1/(1/INDEX(Numéros!$C$2:$C$3001,MATCH(A3551&amp;"|"&amp;B3551,Numéros!$F$2:$F$3001,0))),""))</f>
        <v/>
      </c>
      <c r="M3551" s="27" t="str">
        <f aca="false">IF(OR(G3551="",G3551="?"),"",IFERROR(INDEX(Pubs!$D$2:$D$3001,MATCH(G3551,Pubs!$A$2:$A$3001,0))&amp;"",""))</f>
        <v/>
      </c>
      <c r="N3551" s="27" t="n">
        <f aca="false">N(N3550)+IF(AND(A3551&lt;&gt;"",OR(Recherche!$C$4="",A3551=Recherche!$C$4),OR(Recherche!$C$5="",B3551&amp;""=Recherche!$C$5&amp;""),OR(Recherche!$C$6="",IFERROR(YEAR(L3551),0)=Recherche!$C$6),OR(Recherche!$C$7="",ISNUMBER(SEARCH(Recherche!$C$7,H3551))),OR(Recherche!$C$8="",J3551=Recherche!$C$8),OR(Recherche!$C$9="",I3551=Recherche!$C$9),OR(Recherche!$C$10="",G3551&amp;""=Recherche!$C$10&amp;""),OR(Recherche!$C$11="",E3551=Recherche!$C$11),OR(Recherche!$C$12="",ISNUMBER(SEARCH(Recherche!$C$12,M3551&amp;" "&amp;F3551)))),1,0)</f>
        <v>8</v>
      </c>
    </row>
    <row r="3552" customFormat="false" ht="15" hidden="false" customHeight="false" outlineLevel="0" collapsed="false">
      <c r="A3552" s="19"/>
      <c r="B3552" s="19"/>
      <c r="C3552" s="19"/>
      <c r="D3552" s="19"/>
      <c r="E3552" s="22"/>
      <c r="F3552" s="19"/>
      <c r="G3552" s="26" t="str">
        <f aca="false">IF(D3552="","",IFERROR(VALUE(LEFT(D3552,FIND(" |",D3552&amp;" |")-1)),"?"))</f>
        <v/>
      </c>
      <c r="H3552" s="27" t="str">
        <f aca="false">IF(G3552="","",IF(G3552="?","⚠ pub inconnue",IFERROR(INDEX(Pubs!$B$2:$B$3001,MATCH(G3552,Pubs!$A$2:$A$3001,0))&amp;"","⚠ pub inconnue")))</f>
        <v/>
      </c>
      <c r="I3552" s="27" t="str">
        <f aca="false">IF(OR(G3552="",G3552="?"),"",IFERROR(INDEX(Pubs!$C$2:$C$3001,MATCH(G3552,Pubs!$A$2:$A$3001,0))&amp;"",""))</f>
        <v/>
      </c>
      <c r="J3552" s="27" t="str">
        <f aca="false">IF(OR(G3552="",G3552="?"),"",IFERROR(INDEX(Pubs!$G$2:$G$3001,MATCH(G3552,Pubs!$A$2:$A$3001,0))&amp;"",""))</f>
        <v/>
      </c>
      <c r="K3552" s="28" t="str">
        <f aca="false">IF(OR(G3552="",G3552="?"),"",IFERROR(INDEX(Pubs!$E$2:$E$3001,MATCH(G3552,Pubs!$A$2:$A$3001,0)),""))</f>
        <v/>
      </c>
      <c r="L3552" s="29" t="str">
        <f aca="false">IF(A3552="","",IFERROR(1/(1/INDEX(Numéros!$C$2:$C$3001,MATCH(A3552&amp;"|"&amp;B3552,Numéros!$F$2:$F$3001,0))),""))</f>
        <v/>
      </c>
      <c r="M3552" s="27" t="str">
        <f aca="false">IF(OR(G3552="",G3552="?"),"",IFERROR(INDEX(Pubs!$D$2:$D$3001,MATCH(G3552,Pubs!$A$2:$A$3001,0))&amp;"",""))</f>
        <v/>
      </c>
      <c r="N3552" s="27" t="n">
        <f aca="false">N(N3551)+IF(AND(A3552&lt;&gt;"",OR(Recherche!$C$4="",A3552=Recherche!$C$4),OR(Recherche!$C$5="",B3552&amp;""=Recherche!$C$5&amp;""),OR(Recherche!$C$6="",IFERROR(YEAR(L3552),0)=Recherche!$C$6),OR(Recherche!$C$7="",ISNUMBER(SEARCH(Recherche!$C$7,H3552))),OR(Recherche!$C$8="",J3552=Recherche!$C$8),OR(Recherche!$C$9="",I3552=Recherche!$C$9),OR(Recherche!$C$10="",G3552&amp;""=Recherche!$C$10&amp;""),OR(Recherche!$C$11="",E3552=Recherche!$C$11),OR(Recherche!$C$12="",ISNUMBER(SEARCH(Recherche!$C$12,M3552&amp;" "&amp;F3552)))),1,0)</f>
        <v>8</v>
      </c>
    </row>
    <row r="3553" customFormat="false" ht="15" hidden="false" customHeight="false" outlineLevel="0" collapsed="false">
      <c r="A3553" s="19"/>
      <c r="B3553" s="19"/>
      <c r="C3553" s="19"/>
      <c r="D3553" s="19"/>
      <c r="E3553" s="22"/>
      <c r="F3553" s="19"/>
      <c r="G3553" s="26" t="str">
        <f aca="false">IF(D3553="","",IFERROR(VALUE(LEFT(D3553,FIND(" |",D3553&amp;" |")-1)),"?"))</f>
        <v/>
      </c>
      <c r="H3553" s="27" t="str">
        <f aca="false">IF(G3553="","",IF(G3553="?","⚠ pub inconnue",IFERROR(INDEX(Pubs!$B$2:$B$3001,MATCH(G3553,Pubs!$A$2:$A$3001,0))&amp;"","⚠ pub inconnue")))</f>
        <v/>
      </c>
      <c r="I3553" s="27" t="str">
        <f aca="false">IF(OR(G3553="",G3553="?"),"",IFERROR(INDEX(Pubs!$C$2:$C$3001,MATCH(G3553,Pubs!$A$2:$A$3001,0))&amp;"",""))</f>
        <v/>
      </c>
      <c r="J3553" s="27" t="str">
        <f aca="false">IF(OR(G3553="",G3553="?"),"",IFERROR(INDEX(Pubs!$G$2:$G$3001,MATCH(G3553,Pubs!$A$2:$A$3001,0))&amp;"",""))</f>
        <v/>
      </c>
      <c r="K3553" s="28" t="str">
        <f aca="false">IF(OR(G3553="",G3553="?"),"",IFERROR(INDEX(Pubs!$E$2:$E$3001,MATCH(G3553,Pubs!$A$2:$A$3001,0)),""))</f>
        <v/>
      </c>
      <c r="L3553" s="29" t="str">
        <f aca="false">IF(A3553="","",IFERROR(1/(1/INDEX(Numéros!$C$2:$C$3001,MATCH(A3553&amp;"|"&amp;B3553,Numéros!$F$2:$F$3001,0))),""))</f>
        <v/>
      </c>
      <c r="M3553" s="27" t="str">
        <f aca="false">IF(OR(G3553="",G3553="?"),"",IFERROR(INDEX(Pubs!$D$2:$D$3001,MATCH(G3553,Pubs!$A$2:$A$3001,0))&amp;"",""))</f>
        <v/>
      </c>
      <c r="N3553" s="27" t="n">
        <f aca="false">N(N3552)+IF(AND(A3553&lt;&gt;"",OR(Recherche!$C$4="",A3553=Recherche!$C$4),OR(Recherche!$C$5="",B3553&amp;""=Recherche!$C$5&amp;""),OR(Recherche!$C$6="",IFERROR(YEAR(L3553),0)=Recherche!$C$6),OR(Recherche!$C$7="",ISNUMBER(SEARCH(Recherche!$C$7,H3553))),OR(Recherche!$C$8="",J3553=Recherche!$C$8),OR(Recherche!$C$9="",I3553=Recherche!$C$9),OR(Recherche!$C$10="",G3553&amp;""=Recherche!$C$10&amp;""),OR(Recherche!$C$11="",E3553=Recherche!$C$11),OR(Recherche!$C$12="",ISNUMBER(SEARCH(Recherche!$C$12,M3553&amp;" "&amp;F3553)))),1,0)</f>
        <v>8</v>
      </c>
    </row>
    <row r="3554" customFormat="false" ht="15" hidden="false" customHeight="false" outlineLevel="0" collapsed="false">
      <c r="A3554" s="19"/>
      <c r="B3554" s="19"/>
      <c r="C3554" s="19"/>
      <c r="D3554" s="19"/>
      <c r="E3554" s="22"/>
      <c r="F3554" s="19"/>
      <c r="G3554" s="26" t="str">
        <f aca="false">IF(D3554="","",IFERROR(VALUE(LEFT(D3554,FIND(" |",D3554&amp;" |")-1)),"?"))</f>
        <v/>
      </c>
      <c r="H3554" s="27" t="str">
        <f aca="false">IF(G3554="","",IF(G3554="?","⚠ pub inconnue",IFERROR(INDEX(Pubs!$B$2:$B$3001,MATCH(G3554,Pubs!$A$2:$A$3001,0))&amp;"","⚠ pub inconnue")))</f>
        <v/>
      </c>
      <c r="I3554" s="27" t="str">
        <f aca="false">IF(OR(G3554="",G3554="?"),"",IFERROR(INDEX(Pubs!$C$2:$C$3001,MATCH(G3554,Pubs!$A$2:$A$3001,0))&amp;"",""))</f>
        <v/>
      </c>
      <c r="J3554" s="27" t="str">
        <f aca="false">IF(OR(G3554="",G3554="?"),"",IFERROR(INDEX(Pubs!$G$2:$G$3001,MATCH(G3554,Pubs!$A$2:$A$3001,0))&amp;"",""))</f>
        <v/>
      </c>
      <c r="K3554" s="28" t="str">
        <f aca="false">IF(OR(G3554="",G3554="?"),"",IFERROR(INDEX(Pubs!$E$2:$E$3001,MATCH(G3554,Pubs!$A$2:$A$3001,0)),""))</f>
        <v/>
      </c>
      <c r="L3554" s="29" t="str">
        <f aca="false">IF(A3554="","",IFERROR(1/(1/INDEX(Numéros!$C$2:$C$3001,MATCH(A3554&amp;"|"&amp;B3554,Numéros!$F$2:$F$3001,0))),""))</f>
        <v/>
      </c>
      <c r="M3554" s="27" t="str">
        <f aca="false">IF(OR(G3554="",G3554="?"),"",IFERROR(INDEX(Pubs!$D$2:$D$3001,MATCH(G3554,Pubs!$A$2:$A$3001,0))&amp;"",""))</f>
        <v/>
      </c>
      <c r="N3554" s="27" t="n">
        <f aca="false">N(N3553)+IF(AND(A3554&lt;&gt;"",OR(Recherche!$C$4="",A3554=Recherche!$C$4),OR(Recherche!$C$5="",B3554&amp;""=Recherche!$C$5&amp;""),OR(Recherche!$C$6="",IFERROR(YEAR(L3554),0)=Recherche!$C$6),OR(Recherche!$C$7="",ISNUMBER(SEARCH(Recherche!$C$7,H3554))),OR(Recherche!$C$8="",J3554=Recherche!$C$8),OR(Recherche!$C$9="",I3554=Recherche!$C$9),OR(Recherche!$C$10="",G3554&amp;""=Recherche!$C$10&amp;""),OR(Recherche!$C$11="",E3554=Recherche!$C$11),OR(Recherche!$C$12="",ISNUMBER(SEARCH(Recherche!$C$12,M3554&amp;" "&amp;F3554)))),1,0)</f>
        <v>8</v>
      </c>
    </row>
    <row r="3555" customFormat="false" ht="15" hidden="false" customHeight="false" outlineLevel="0" collapsed="false">
      <c r="A3555" s="19"/>
      <c r="B3555" s="19"/>
      <c r="C3555" s="19"/>
      <c r="D3555" s="19"/>
      <c r="E3555" s="22"/>
      <c r="F3555" s="19"/>
      <c r="G3555" s="26" t="str">
        <f aca="false">IF(D3555="","",IFERROR(VALUE(LEFT(D3555,FIND(" |",D3555&amp;" |")-1)),"?"))</f>
        <v/>
      </c>
      <c r="H3555" s="27" t="str">
        <f aca="false">IF(G3555="","",IF(G3555="?","⚠ pub inconnue",IFERROR(INDEX(Pubs!$B$2:$B$3001,MATCH(G3555,Pubs!$A$2:$A$3001,0))&amp;"","⚠ pub inconnue")))</f>
        <v/>
      </c>
      <c r="I3555" s="27" t="str">
        <f aca="false">IF(OR(G3555="",G3555="?"),"",IFERROR(INDEX(Pubs!$C$2:$C$3001,MATCH(G3555,Pubs!$A$2:$A$3001,0))&amp;"",""))</f>
        <v/>
      </c>
      <c r="J3555" s="27" t="str">
        <f aca="false">IF(OR(G3555="",G3555="?"),"",IFERROR(INDEX(Pubs!$G$2:$G$3001,MATCH(G3555,Pubs!$A$2:$A$3001,0))&amp;"",""))</f>
        <v/>
      </c>
      <c r="K3555" s="28" t="str">
        <f aca="false">IF(OR(G3555="",G3555="?"),"",IFERROR(INDEX(Pubs!$E$2:$E$3001,MATCH(G3555,Pubs!$A$2:$A$3001,0)),""))</f>
        <v/>
      </c>
      <c r="L3555" s="29" t="str">
        <f aca="false">IF(A3555="","",IFERROR(1/(1/INDEX(Numéros!$C$2:$C$3001,MATCH(A3555&amp;"|"&amp;B3555,Numéros!$F$2:$F$3001,0))),""))</f>
        <v/>
      </c>
      <c r="M3555" s="27" t="str">
        <f aca="false">IF(OR(G3555="",G3555="?"),"",IFERROR(INDEX(Pubs!$D$2:$D$3001,MATCH(G3555,Pubs!$A$2:$A$3001,0))&amp;"",""))</f>
        <v/>
      </c>
      <c r="N3555" s="27" t="n">
        <f aca="false">N(N3554)+IF(AND(A3555&lt;&gt;"",OR(Recherche!$C$4="",A3555=Recherche!$C$4),OR(Recherche!$C$5="",B3555&amp;""=Recherche!$C$5&amp;""),OR(Recherche!$C$6="",IFERROR(YEAR(L3555),0)=Recherche!$C$6),OR(Recherche!$C$7="",ISNUMBER(SEARCH(Recherche!$C$7,H3555))),OR(Recherche!$C$8="",J3555=Recherche!$C$8),OR(Recherche!$C$9="",I3555=Recherche!$C$9),OR(Recherche!$C$10="",G3555&amp;""=Recherche!$C$10&amp;""),OR(Recherche!$C$11="",E3555=Recherche!$C$11),OR(Recherche!$C$12="",ISNUMBER(SEARCH(Recherche!$C$12,M3555&amp;" "&amp;F3555)))),1,0)</f>
        <v>8</v>
      </c>
    </row>
    <row r="3556" customFormat="false" ht="15" hidden="false" customHeight="false" outlineLevel="0" collapsed="false">
      <c r="A3556" s="19"/>
      <c r="B3556" s="19"/>
      <c r="C3556" s="19"/>
      <c r="D3556" s="19"/>
      <c r="E3556" s="22"/>
      <c r="F3556" s="19"/>
      <c r="G3556" s="26" t="str">
        <f aca="false">IF(D3556="","",IFERROR(VALUE(LEFT(D3556,FIND(" |",D3556&amp;" |")-1)),"?"))</f>
        <v/>
      </c>
      <c r="H3556" s="27" t="str">
        <f aca="false">IF(G3556="","",IF(G3556="?","⚠ pub inconnue",IFERROR(INDEX(Pubs!$B$2:$B$3001,MATCH(G3556,Pubs!$A$2:$A$3001,0))&amp;"","⚠ pub inconnue")))</f>
        <v/>
      </c>
      <c r="I3556" s="27" t="str">
        <f aca="false">IF(OR(G3556="",G3556="?"),"",IFERROR(INDEX(Pubs!$C$2:$C$3001,MATCH(G3556,Pubs!$A$2:$A$3001,0))&amp;"",""))</f>
        <v/>
      </c>
      <c r="J3556" s="27" t="str">
        <f aca="false">IF(OR(G3556="",G3556="?"),"",IFERROR(INDEX(Pubs!$G$2:$G$3001,MATCH(G3556,Pubs!$A$2:$A$3001,0))&amp;"",""))</f>
        <v/>
      </c>
      <c r="K3556" s="28" t="str">
        <f aca="false">IF(OR(G3556="",G3556="?"),"",IFERROR(INDEX(Pubs!$E$2:$E$3001,MATCH(G3556,Pubs!$A$2:$A$3001,0)),""))</f>
        <v/>
      </c>
      <c r="L3556" s="29" t="str">
        <f aca="false">IF(A3556="","",IFERROR(1/(1/INDEX(Numéros!$C$2:$C$3001,MATCH(A3556&amp;"|"&amp;B3556,Numéros!$F$2:$F$3001,0))),""))</f>
        <v/>
      </c>
      <c r="M3556" s="27" t="str">
        <f aca="false">IF(OR(G3556="",G3556="?"),"",IFERROR(INDEX(Pubs!$D$2:$D$3001,MATCH(G3556,Pubs!$A$2:$A$3001,0))&amp;"",""))</f>
        <v/>
      </c>
      <c r="N3556" s="27" t="n">
        <f aca="false">N(N3555)+IF(AND(A3556&lt;&gt;"",OR(Recherche!$C$4="",A3556=Recherche!$C$4),OR(Recherche!$C$5="",B3556&amp;""=Recherche!$C$5&amp;""),OR(Recherche!$C$6="",IFERROR(YEAR(L3556),0)=Recherche!$C$6),OR(Recherche!$C$7="",ISNUMBER(SEARCH(Recherche!$C$7,H3556))),OR(Recherche!$C$8="",J3556=Recherche!$C$8),OR(Recherche!$C$9="",I3556=Recherche!$C$9),OR(Recherche!$C$10="",G3556&amp;""=Recherche!$C$10&amp;""),OR(Recherche!$C$11="",E3556=Recherche!$C$11),OR(Recherche!$C$12="",ISNUMBER(SEARCH(Recherche!$C$12,M3556&amp;" "&amp;F3556)))),1,0)</f>
        <v>8</v>
      </c>
    </row>
    <row r="3557" customFormat="false" ht="15" hidden="false" customHeight="false" outlineLevel="0" collapsed="false">
      <c r="A3557" s="19"/>
      <c r="B3557" s="19"/>
      <c r="C3557" s="19"/>
      <c r="D3557" s="19"/>
      <c r="E3557" s="22"/>
      <c r="F3557" s="19"/>
      <c r="G3557" s="26" t="str">
        <f aca="false">IF(D3557="","",IFERROR(VALUE(LEFT(D3557,FIND(" |",D3557&amp;" |")-1)),"?"))</f>
        <v/>
      </c>
      <c r="H3557" s="27" t="str">
        <f aca="false">IF(G3557="","",IF(G3557="?","⚠ pub inconnue",IFERROR(INDEX(Pubs!$B$2:$B$3001,MATCH(G3557,Pubs!$A$2:$A$3001,0))&amp;"","⚠ pub inconnue")))</f>
        <v/>
      </c>
      <c r="I3557" s="27" t="str">
        <f aca="false">IF(OR(G3557="",G3557="?"),"",IFERROR(INDEX(Pubs!$C$2:$C$3001,MATCH(G3557,Pubs!$A$2:$A$3001,0))&amp;"",""))</f>
        <v/>
      </c>
      <c r="J3557" s="27" t="str">
        <f aca="false">IF(OR(G3557="",G3557="?"),"",IFERROR(INDEX(Pubs!$G$2:$G$3001,MATCH(G3557,Pubs!$A$2:$A$3001,0))&amp;"",""))</f>
        <v/>
      </c>
      <c r="K3557" s="28" t="str">
        <f aca="false">IF(OR(G3557="",G3557="?"),"",IFERROR(INDEX(Pubs!$E$2:$E$3001,MATCH(G3557,Pubs!$A$2:$A$3001,0)),""))</f>
        <v/>
      </c>
      <c r="L3557" s="29" t="str">
        <f aca="false">IF(A3557="","",IFERROR(1/(1/INDEX(Numéros!$C$2:$C$3001,MATCH(A3557&amp;"|"&amp;B3557,Numéros!$F$2:$F$3001,0))),""))</f>
        <v/>
      </c>
      <c r="M3557" s="27" t="str">
        <f aca="false">IF(OR(G3557="",G3557="?"),"",IFERROR(INDEX(Pubs!$D$2:$D$3001,MATCH(G3557,Pubs!$A$2:$A$3001,0))&amp;"",""))</f>
        <v/>
      </c>
      <c r="N3557" s="27" t="n">
        <f aca="false">N(N3556)+IF(AND(A3557&lt;&gt;"",OR(Recherche!$C$4="",A3557=Recherche!$C$4),OR(Recherche!$C$5="",B3557&amp;""=Recherche!$C$5&amp;""),OR(Recherche!$C$6="",IFERROR(YEAR(L3557),0)=Recherche!$C$6),OR(Recherche!$C$7="",ISNUMBER(SEARCH(Recherche!$C$7,H3557))),OR(Recherche!$C$8="",J3557=Recherche!$C$8),OR(Recherche!$C$9="",I3557=Recherche!$C$9),OR(Recherche!$C$10="",G3557&amp;""=Recherche!$C$10&amp;""),OR(Recherche!$C$11="",E3557=Recherche!$C$11),OR(Recherche!$C$12="",ISNUMBER(SEARCH(Recherche!$C$12,M3557&amp;" "&amp;F3557)))),1,0)</f>
        <v>8</v>
      </c>
    </row>
    <row r="3558" customFormat="false" ht="15" hidden="false" customHeight="false" outlineLevel="0" collapsed="false">
      <c r="A3558" s="19"/>
      <c r="B3558" s="19"/>
      <c r="C3558" s="19"/>
      <c r="D3558" s="19"/>
      <c r="E3558" s="22"/>
      <c r="F3558" s="19"/>
      <c r="G3558" s="26" t="str">
        <f aca="false">IF(D3558="","",IFERROR(VALUE(LEFT(D3558,FIND(" |",D3558&amp;" |")-1)),"?"))</f>
        <v/>
      </c>
      <c r="H3558" s="27" t="str">
        <f aca="false">IF(G3558="","",IF(G3558="?","⚠ pub inconnue",IFERROR(INDEX(Pubs!$B$2:$B$3001,MATCH(G3558,Pubs!$A$2:$A$3001,0))&amp;"","⚠ pub inconnue")))</f>
        <v/>
      </c>
      <c r="I3558" s="27" t="str">
        <f aca="false">IF(OR(G3558="",G3558="?"),"",IFERROR(INDEX(Pubs!$C$2:$C$3001,MATCH(G3558,Pubs!$A$2:$A$3001,0))&amp;"",""))</f>
        <v/>
      </c>
      <c r="J3558" s="27" t="str">
        <f aca="false">IF(OR(G3558="",G3558="?"),"",IFERROR(INDEX(Pubs!$G$2:$G$3001,MATCH(G3558,Pubs!$A$2:$A$3001,0))&amp;"",""))</f>
        <v/>
      </c>
      <c r="K3558" s="28" t="str">
        <f aca="false">IF(OR(G3558="",G3558="?"),"",IFERROR(INDEX(Pubs!$E$2:$E$3001,MATCH(G3558,Pubs!$A$2:$A$3001,0)),""))</f>
        <v/>
      </c>
      <c r="L3558" s="29" t="str">
        <f aca="false">IF(A3558="","",IFERROR(1/(1/INDEX(Numéros!$C$2:$C$3001,MATCH(A3558&amp;"|"&amp;B3558,Numéros!$F$2:$F$3001,0))),""))</f>
        <v/>
      </c>
      <c r="M3558" s="27" t="str">
        <f aca="false">IF(OR(G3558="",G3558="?"),"",IFERROR(INDEX(Pubs!$D$2:$D$3001,MATCH(G3558,Pubs!$A$2:$A$3001,0))&amp;"",""))</f>
        <v/>
      </c>
      <c r="N3558" s="27" t="n">
        <f aca="false">N(N3557)+IF(AND(A3558&lt;&gt;"",OR(Recherche!$C$4="",A3558=Recherche!$C$4),OR(Recherche!$C$5="",B3558&amp;""=Recherche!$C$5&amp;""),OR(Recherche!$C$6="",IFERROR(YEAR(L3558),0)=Recherche!$C$6),OR(Recherche!$C$7="",ISNUMBER(SEARCH(Recherche!$C$7,H3558))),OR(Recherche!$C$8="",J3558=Recherche!$C$8),OR(Recherche!$C$9="",I3558=Recherche!$C$9),OR(Recherche!$C$10="",G3558&amp;""=Recherche!$C$10&amp;""),OR(Recherche!$C$11="",E3558=Recherche!$C$11),OR(Recherche!$C$12="",ISNUMBER(SEARCH(Recherche!$C$12,M3558&amp;" "&amp;F3558)))),1,0)</f>
        <v>8</v>
      </c>
    </row>
    <row r="3559" customFormat="false" ht="15" hidden="false" customHeight="false" outlineLevel="0" collapsed="false">
      <c r="A3559" s="19"/>
      <c r="B3559" s="19"/>
      <c r="C3559" s="19"/>
      <c r="D3559" s="19"/>
      <c r="E3559" s="22"/>
      <c r="F3559" s="19"/>
      <c r="G3559" s="26" t="str">
        <f aca="false">IF(D3559="","",IFERROR(VALUE(LEFT(D3559,FIND(" |",D3559&amp;" |")-1)),"?"))</f>
        <v/>
      </c>
      <c r="H3559" s="27" t="str">
        <f aca="false">IF(G3559="","",IF(G3559="?","⚠ pub inconnue",IFERROR(INDEX(Pubs!$B$2:$B$3001,MATCH(G3559,Pubs!$A$2:$A$3001,0))&amp;"","⚠ pub inconnue")))</f>
        <v/>
      </c>
      <c r="I3559" s="27" t="str">
        <f aca="false">IF(OR(G3559="",G3559="?"),"",IFERROR(INDEX(Pubs!$C$2:$C$3001,MATCH(G3559,Pubs!$A$2:$A$3001,0))&amp;"",""))</f>
        <v/>
      </c>
      <c r="J3559" s="27" t="str">
        <f aca="false">IF(OR(G3559="",G3559="?"),"",IFERROR(INDEX(Pubs!$G$2:$G$3001,MATCH(G3559,Pubs!$A$2:$A$3001,0))&amp;"",""))</f>
        <v/>
      </c>
      <c r="K3559" s="28" t="str">
        <f aca="false">IF(OR(G3559="",G3559="?"),"",IFERROR(INDEX(Pubs!$E$2:$E$3001,MATCH(G3559,Pubs!$A$2:$A$3001,0)),""))</f>
        <v/>
      </c>
      <c r="L3559" s="29" t="str">
        <f aca="false">IF(A3559="","",IFERROR(1/(1/INDEX(Numéros!$C$2:$C$3001,MATCH(A3559&amp;"|"&amp;B3559,Numéros!$F$2:$F$3001,0))),""))</f>
        <v/>
      </c>
      <c r="M3559" s="27" t="str">
        <f aca="false">IF(OR(G3559="",G3559="?"),"",IFERROR(INDEX(Pubs!$D$2:$D$3001,MATCH(G3559,Pubs!$A$2:$A$3001,0))&amp;"",""))</f>
        <v/>
      </c>
      <c r="N3559" s="27" t="n">
        <f aca="false">N(N3558)+IF(AND(A3559&lt;&gt;"",OR(Recherche!$C$4="",A3559=Recherche!$C$4),OR(Recherche!$C$5="",B3559&amp;""=Recherche!$C$5&amp;""),OR(Recherche!$C$6="",IFERROR(YEAR(L3559),0)=Recherche!$C$6),OR(Recherche!$C$7="",ISNUMBER(SEARCH(Recherche!$C$7,H3559))),OR(Recherche!$C$8="",J3559=Recherche!$C$8),OR(Recherche!$C$9="",I3559=Recherche!$C$9),OR(Recherche!$C$10="",G3559&amp;""=Recherche!$C$10&amp;""),OR(Recherche!$C$11="",E3559=Recherche!$C$11),OR(Recherche!$C$12="",ISNUMBER(SEARCH(Recherche!$C$12,M3559&amp;" "&amp;F3559)))),1,0)</f>
        <v>8</v>
      </c>
    </row>
    <row r="3560" customFormat="false" ht="15" hidden="false" customHeight="false" outlineLevel="0" collapsed="false">
      <c r="A3560" s="19"/>
      <c r="B3560" s="19"/>
      <c r="C3560" s="19"/>
      <c r="D3560" s="19"/>
      <c r="E3560" s="22"/>
      <c r="F3560" s="19"/>
      <c r="G3560" s="26" t="str">
        <f aca="false">IF(D3560="","",IFERROR(VALUE(LEFT(D3560,FIND(" |",D3560&amp;" |")-1)),"?"))</f>
        <v/>
      </c>
      <c r="H3560" s="27" t="str">
        <f aca="false">IF(G3560="","",IF(G3560="?","⚠ pub inconnue",IFERROR(INDEX(Pubs!$B$2:$B$3001,MATCH(G3560,Pubs!$A$2:$A$3001,0))&amp;"","⚠ pub inconnue")))</f>
        <v/>
      </c>
      <c r="I3560" s="27" t="str">
        <f aca="false">IF(OR(G3560="",G3560="?"),"",IFERROR(INDEX(Pubs!$C$2:$C$3001,MATCH(G3560,Pubs!$A$2:$A$3001,0))&amp;"",""))</f>
        <v/>
      </c>
      <c r="J3560" s="27" t="str">
        <f aca="false">IF(OR(G3560="",G3560="?"),"",IFERROR(INDEX(Pubs!$G$2:$G$3001,MATCH(G3560,Pubs!$A$2:$A$3001,0))&amp;"",""))</f>
        <v/>
      </c>
      <c r="K3560" s="28" t="str">
        <f aca="false">IF(OR(G3560="",G3560="?"),"",IFERROR(INDEX(Pubs!$E$2:$E$3001,MATCH(G3560,Pubs!$A$2:$A$3001,0)),""))</f>
        <v/>
      </c>
      <c r="L3560" s="29" t="str">
        <f aca="false">IF(A3560="","",IFERROR(1/(1/INDEX(Numéros!$C$2:$C$3001,MATCH(A3560&amp;"|"&amp;B3560,Numéros!$F$2:$F$3001,0))),""))</f>
        <v/>
      </c>
      <c r="M3560" s="27" t="str">
        <f aca="false">IF(OR(G3560="",G3560="?"),"",IFERROR(INDEX(Pubs!$D$2:$D$3001,MATCH(G3560,Pubs!$A$2:$A$3001,0))&amp;"",""))</f>
        <v/>
      </c>
      <c r="N3560" s="27" t="n">
        <f aca="false">N(N3559)+IF(AND(A3560&lt;&gt;"",OR(Recherche!$C$4="",A3560=Recherche!$C$4),OR(Recherche!$C$5="",B3560&amp;""=Recherche!$C$5&amp;""),OR(Recherche!$C$6="",IFERROR(YEAR(L3560),0)=Recherche!$C$6),OR(Recherche!$C$7="",ISNUMBER(SEARCH(Recherche!$C$7,H3560))),OR(Recherche!$C$8="",J3560=Recherche!$C$8),OR(Recherche!$C$9="",I3560=Recherche!$C$9),OR(Recherche!$C$10="",G3560&amp;""=Recherche!$C$10&amp;""),OR(Recherche!$C$11="",E3560=Recherche!$C$11),OR(Recherche!$C$12="",ISNUMBER(SEARCH(Recherche!$C$12,M3560&amp;" "&amp;F3560)))),1,0)</f>
        <v>8</v>
      </c>
    </row>
    <row r="3561" customFormat="false" ht="15" hidden="false" customHeight="false" outlineLevel="0" collapsed="false">
      <c r="A3561" s="19"/>
      <c r="B3561" s="19"/>
      <c r="C3561" s="19"/>
      <c r="D3561" s="19"/>
      <c r="E3561" s="22"/>
      <c r="F3561" s="19"/>
      <c r="G3561" s="26" t="str">
        <f aca="false">IF(D3561="","",IFERROR(VALUE(LEFT(D3561,FIND(" |",D3561&amp;" |")-1)),"?"))</f>
        <v/>
      </c>
      <c r="H3561" s="27" t="str">
        <f aca="false">IF(G3561="","",IF(G3561="?","⚠ pub inconnue",IFERROR(INDEX(Pubs!$B$2:$B$3001,MATCH(G3561,Pubs!$A$2:$A$3001,0))&amp;"","⚠ pub inconnue")))</f>
        <v/>
      </c>
      <c r="I3561" s="27" t="str">
        <f aca="false">IF(OR(G3561="",G3561="?"),"",IFERROR(INDEX(Pubs!$C$2:$C$3001,MATCH(G3561,Pubs!$A$2:$A$3001,0))&amp;"",""))</f>
        <v/>
      </c>
      <c r="J3561" s="27" t="str">
        <f aca="false">IF(OR(G3561="",G3561="?"),"",IFERROR(INDEX(Pubs!$G$2:$G$3001,MATCH(G3561,Pubs!$A$2:$A$3001,0))&amp;"",""))</f>
        <v/>
      </c>
      <c r="K3561" s="28" t="str">
        <f aca="false">IF(OR(G3561="",G3561="?"),"",IFERROR(INDEX(Pubs!$E$2:$E$3001,MATCH(G3561,Pubs!$A$2:$A$3001,0)),""))</f>
        <v/>
      </c>
      <c r="L3561" s="29" t="str">
        <f aca="false">IF(A3561="","",IFERROR(1/(1/INDEX(Numéros!$C$2:$C$3001,MATCH(A3561&amp;"|"&amp;B3561,Numéros!$F$2:$F$3001,0))),""))</f>
        <v/>
      </c>
      <c r="M3561" s="27" t="str">
        <f aca="false">IF(OR(G3561="",G3561="?"),"",IFERROR(INDEX(Pubs!$D$2:$D$3001,MATCH(G3561,Pubs!$A$2:$A$3001,0))&amp;"",""))</f>
        <v/>
      </c>
      <c r="N3561" s="27" t="n">
        <f aca="false">N(N3560)+IF(AND(A3561&lt;&gt;"",OR(Recherche!$C$4="",A3561=Recherche!$C$4),OR(Recherche!$C$5="",B3561&amp;""=Recherche!$C$5&amp;""),OR(Recherche!$C$6="",IFERROR(YEAR(L3561),0)=Recherche!$C$6),OR(Recherche!$C$7="",ISNUMBER(SEARCH(Recherche!$C$7,H3561))),OR(Recherche!$C$8="",J3561=Recherche!$C$8),OR(Recherche!$C$9="",I3561=Recherche!$C$9),OR(Recherche!$C$10="",G3561&amp;""=Recherche!$C$10&amp;""),OR(Recherche!$C$11="",E3561=Recherche!$C$11),OR(Recherche!$C$12="",ISNUMBER(SEARCH(Recherche!$C$12,M3561&amp;" "&amp;F3561)))),1,0)</f>
        <v>8</v>
      </c>
    </row>
    <row r="3562" customFormat="false" ht="15" hidden="false" customHeight="false" outlineLevel="0" collapsed="false">
      <c r="A3562" s="19"/>
      <c r="B3562" s="19"/>
      <c r="C3562" s="19"/>
      <c r="D3562" s="19"/>
      <c r="E3562" s="22"/>
      <c r="F3562" s="19"/>
      <c r="G3562" s="26" t="str">
        <f aca="false">IF(D3562="","",IFERROR(VALUE(LEFT(D3562,FIND(" |",D3562&amp;" |")-1)),"?"))</f>
        <v/>
      </c>
      <c r="H3562" s="27" t="str">
        <f aca="false">IF(G3562="","",IF(G3562="?","⚠ pub inconnue",IFERROR(INDEX(Pubs!$B$2:$B$3001,MATCH(G3562,Pubs!$A$2:$A$3001,0))&amp;"","⚠ pub inconnue")))</f>
        <v/>
      </c>
      <c r="I3562" s="27" t="str">
        <f aca="false">IF(OR(G3562="",G3562="?"),"",IFERROR(INDEX(Pubs!$C$2:$C$3001,MATCH(G3562,Pubs!$A$2:$A$3001,0))&amp;"",""))</f>
        <v/>
      </c>
      <c r="J3562" s="27" t="str">
        <f aca="false">IF(OR(G3562="",G3562="?"),"",IFERROR(INDEX(Pubs!$G$2:$G$3001,MATCH(G3562,Pubs!$A$2:$A$3001,0))&amp;"",""))</f>
        <v/>
      </c>
      <c r="K3562" s="28" t="str">
        <f aca="false">IF(OR(G3562="",G3562="?"),"",IFERROR(INDEX(Pubs!$E$2:$E$3001,MATCH(G3562,Pubs!$A$2:$A$3001,0)),""))</f>
        <v/>
      </c>
      <c r="L3562" s="29" t="str">
        <f aca="false">IF(A3562="","",IFERROR(1/(1/INDEX(Numéros!$C$2:$C$3001,MATCH(A3562&amp;"|"&amp;B3562,Numéros!$F$2:$F$3001,0))),""))</f>
        <v/>
      </c>
      <c r="M3562" s="27" t="str">
        <f aca="false">IF(OR(G3562="",G3562="?"),"",IFERROR(INDEX(Pubs!$D$2:$D$3001,MATCH(G3562,Pubs!$A$2:$A$3001,0))&amp;"",""))</f>
        <v/>
      </c>
      <c r="N3562" s="27" t="n">
        <f aca="false">N(N3561)+IF(AND(A3562&lt;&gt;"",OR(Recherche!$C$4="",A3562=Recherche!$C$4),OR(Recherche!$C$5="",B3562&amp;""=Recherche!$C$5&amp;""),OR(Recherche!$C$6="",IFERROR(YEAR(L3562),0)=Recherche!$C$6),OR(Recherche!$C$7="",ISNUMBER(SEARCH(Recherche!$C$7,H3562))),OR(Recherche!$C$8="",J3562=Recherche!$C$8),OR(Recherche!$C$9="",I3562=Recherche!$C$9),OR(Recherche!$C$10="",G3562&amp;""=Recherche!$C$10&amp;""),OR(Recherche!$C$11="",E3562=Recherche!$C$11),OR(Recherche!$C$12="",ISNUMBER(SEARCH(Recherche!$C$12,M3562&amp;" "&amp;F3562)))),1,0)</f>
        <v>8</v>
      </c>
    </row>
    <row r="3563" customFormat="false" ht="15" hidden="false" customHeight="false" outlineLevel="0" collapsed="false">
      <c r="A3563" s="19"/>
      <c r="B3563" s="19"/>
      <c r="C3563" s="19"/>
      <c r="D3563" s="19"/>
      <c r="E3563" s="22"/>
      <c r="F3563" s="19"/>
      <c r="G3563" s="26" t="str">
        <f aca="false">IF(D3563="","",IFERROR(VALUE(LEFT(D3563,FIND(" |",D3563&amp;" |")-1)),"?"))</f>
        <v/>
      </c>
      <c r="H3563" s="27" t="str">
        <f aca="false">IF(G3563="","",IF(G3563="?","⚠ pub inconnue",IFERROR(INDEX(Pubs!$B$2:$B$3001,MATCH(G3563,Pubs!$A$2:$A$3001,0))&amp;"","⚠ pub inconnue")))</f>
        <v/>
      </c>
      <c r="I3563" s="27" t="str">
        <f aca="false">IF(OR(G3563="",G3563="?"),"",IFERROR(INDEX(Pubs!$C$2:$C$3001,MATCH(G3563,Pubs!$A$2:$A$3001,0))&amp;"",""))</f>
        <v/>
      </c>
      <c r="J3563" s="27" t="str">
        <f aca="false">IF(OR(G3563="",G3563="?"),"",IFERROR(INDEX(Pubs!$G$2:$G$3001,MATCH(G3563,Pubs!$A$2:$A$3001,0))&amp;"",""))</f>
        <v/>
      </c>
      <c r="K3563" s="28" t="str">
        <f aca="false">IF(OR(G3563="",G3563="?"),"",IFERROR(INDEX(Pubs!$E$2:$E$3001,MATCH(G3563,Pubs!$A$2:$A$3001,0)),""))</f>
        <v/>
      </c>
      <c r="L3563" s="29" t="str">
        <f aca="false">IF(A3563="","",IFERROR(1/(1/INDEX(Numéros!$C$2:$C$3001,MATCH(A3563&amp;"|"&amp;B3563,Numéros!$F$2:$F$3001,0))),""))</f>
        <v/>
      </c>
      <c r="M3563" s="27" t="str">
        <f aca="false">IF(OR(G3563="",G3563="?"),"",IFERROR(INDEX(Pubs!$D$2:$D$3001,MATCH(G3563,Pubs!$A$2:$A$3001,0))&amp;"",""))</f>
        <v/>
      </c>
      <c r="N3563" s="27" t="n">
        <f aca="false">N(N3562)+IF(AND(A3563&lt;&gt;"",OR(Recherche!$C$4="",A3563=Recherche!$C$4),OR(Recherche!$C$5="",B3563&amp;""=Recherche!$C$5&amp;""),OR(Recherche!$C$6="",IFERROR(YEAR(L3563),0)=Recherche!$C$6),OR(Recherche!$C$7="",ISNUMBER(SEARCH(Recherche!$C$7,H3563))),OR(Recherche!$C$8="",J3563=Recherche!$C$8),OR(Recherche!$C$9="",I3563=Recherche!$C$9),OR(Recherche!$C$10="",G3563&amp;""=Recherche!$C$10&amp;""),OR(Recherche!$C$11="",E3563=Recherche!$C$11),OR(Recherche!$C$12="",ISNUMBER(SEARCH(Recherche!$C$12,M3563&amp;" "&amp;F3563)))),1,0)</f>
        <v>8</v>
      </c>
    </row>
    <row r="3564" customFormat="false" ht="15" hidden="false" customHeight="false" outlineLevel="0" collapsed="false">
      <c r="A3564" s="19"/>
      <c r="B3564" s="19"/>
      <c r="C3564" s="19"/>
      <c r="D3564" s="19"/>
      <c r="E3564" s="22"/>
      <c r="F3564" s="19"/>
      <c r="G3564" s="26" t="str">
        <f aca="false">IF(D3564="","",IFERROR(VALUE(LEFT(D3564,FIND(" |",D3564&amp;" |")-1)),"?"))</f>
        <v/>
      </c>
      <c r="H3564" s="27" t="str">
        <f aca="false">IF(G3564="","",IF(G3564="?","⚠ pub inconnue",IFERROR(INDEX(Pubs!$B$2:$B$3001,MATCH(G3564,Pubs!$A$2:$A$3001,0))&amp;"","⚠ pub inconnue")))</f>
        <v/>
      </c>
      <c r="I3564" s="27" t="str">
        <f aca="false">IF(OR(G3564="",G3564="?"),"",IFERROR(INDEX(Pubs!$C$2:$C$3001,MATCH(G3564,Pubs!$A$2:$A$3001,0))&amp;"",""))</f>
        <v/>
      </c>
      <c r="J3564" s="27" t="str">
        <f aca="false">IF(OR(G3564="",G3564="?"),"",IFERROR(INDEX(Pubs!$G$2:$G$3001,MATCH(G3564,Pubs!$A$2:$A$3001,0))&amp;"",""))</f>
        <v/>
      </c>
      <c r="K3564" s="28" t="str">
        <f aca="false">IF(OR(G3564="",G3564="?"),"",IFERROR(INDEX(Pubs!$E$2:$E$3001,MATCH(G3564,Pubs!$A$2:$A$3001,0)),""))</f>
        <v/>
      </c>
      <c r="L3564" s="29" t="str">
        <f aca="false">IF(A3564="","",IFERROR(1/(1/INDEX(Numéros!$C$2:$C$3001,MATCH(A3564&amp;"|"&amp;B3564,Numéros!$F$2:$F$3001,0))),""))</f>
        <v/>
      </c>
      <c r="M3564" s="27" t="str">
        <f aca="false">IF(OR(G3564="",G3564="?"),"",IFERROR(INDEX(Pubs!$D$2:$D$3001,MATCH(G3564,Pubs!$A$2:$A$3001,0))&amp;"",""))</f>
        <v/>
      </c>
      <c r="N3564" s="27" t="n">
        <f aca="false">N(N3563)+IF(AND(A3564&lt;&gt;"",OR(Recherche!$C$4="",A3564=Recherche!$C$4),OR(Recherche!$C$5="",B3564&amp;""=Recherche!$C$5&amp;""),OR(Recherche!$C$6="",IFERROR(YEAR(L3564),0)=Recherche!$C$6),OR(Recherche!$C$7="",ISNUMBER(SEARCH(Recherche!$C$7,H3564))),OR(Recherche!$C$8="",J3564=Recherche!$C$8),OR(Recherche!$C$9="",I3564=Recherche!$C$9),OR(Recherche!$C$10="",G3564&amp;""=Recherche!$C$10&amp;""),OR(Recherche!$C$11="",E3564=Recherche!$C$11),OR(Recherche!$C$12="",ISNUMBER(SEARCH(Recherche!$C$12,M3564&amp;" "&amp;F3564)))),1,0)</f>
        <v>8</v>
      </c>
    </row>
    <row r="3565" customFormat="false" ht="15" hidden="false" customHeight="false" outlineLevel="0" collapsed="false">
      <c r="A3565" s="19"/>
      <c r="B3565" s="19"/>
      <c r="C3565" s="19"/>
      <c r="D3565" s="19"/>
      <c r="E3565" s="22"/>
      <c r="F3565" s="19"/>
      <c r="G3565" s="26" t="str">
        <f aca="false">IF(D3565="","",IFERROR(VALUE(LEFT(D3565,FIND(" |",D3565&amp;" |")-1)),"?"))</f>
        <v/>
      </c>
      <c r="H3565" s="27" t="str">
        <f aca="false">IF(G3565="","",IF(G3565="?","⚠ pub inconnue",IFERROR(INDEX(Pubs!$B$2:$B$3001,MATCH(G3565,Pubs!$A$2:$A$3001,0))&amp;"","⚠ pub inconnue")))</f>
        <v/>
      </c>
      <c r="I3565" s="27" t="str">
        <f aca="false">IF(OR(G3565="",G3565="?"),"",IFERROR(INDEX(Pubs!$C$2:$C$3001,MATCH(G3565,Pubs!$A$2:$A$3001,0))&amp;"",""))</f>
        <v/>
      </c>
      <c r="J3565" s="27" t="str">
        <f aca="false">IF(OR(G3565="",G3565="?"),"",IFERROR(INDEX(Pubs!$G$2:$G$3001,MATCH(G3565,Pubs!$A$2:$A$3001,0))&amp;"",""))</f>
        <v/>
      </c>
      <c r="K3565" s="28" t="str">
        <f aca="false">IF(OR(G3565="",G3565="?"),"",IFERROR(INDEX(Pubs!$E$2:$E$3001,MATCH(G3565,Pubs!$A$2:$A$3001,0)),""))</f>
        <v/>
      </c>
      <c r="L3565" s="29" t="str">
        <f aca="false">IF(A3565="","",IFERROR(1/(1/INDEX(Numéros!$C$2:$C$3001,MATCH(A3565&amp;"|"&amp;B3565,Numéros!$F$2:$F$3001,0))),""))</f>
        <v/>
      </c>
      <c r="M3565" s="27" t="str">
        <f aca="false">IF(OR(G3565="",G3565="?"),"",IFERROR(INDEX(Pubs!$D$2:$D$3001,MATCH(G3565,Pubs!$A$2:$A$3001,0))&amp;"",""))</f>
        <v/>
      </c>
      <c r="N3565" s="27" t="n">
        <f aca="false">N(N3564)+IF(AND(A3565&lt;&gt;"",OR(Recherche!$C$4="",A3565=Recherche!$C$4),OR(Recherche!$C$5="",B3565&amp;""=Recherche!$C$5&amp;""),OR(Recherche!$C$6="",IFERROR(YEAR(L3565),0)=Recherche!$C$6),OR(Recherche!$C$7="",ISNUMBER(SEARCH(Recherche!$C$7,H3565))),OR(Recherche!$C$8="",J3565=Recherche!$C$8),OR(Recherche!$C$9="",I3565=Recherche!$C$9),OR(Recherche!$C$10="",G3565&amp;""=Recherche!$C$10&amp;""),OR(Recherche!$C$11="",E3565=Recherche!$C$11),OR(Recherche!$C$12="",ISNUMBER(SEARCH(Recherche!$C$12,M3565&amp;" "&amp;F3565)))),1,0)</f>
        <v>8</v>
      </c>
    </row>
    <row r="3566" customFormat="false" ht="15" hidden="false" customHeight="false" outlineLevel="0" collapsed="false">
      <c r="A3566" s="19"/>
      <c r="B3566" s="19"/>
      <c r="C3566" s="19"/>
      <c r="D3566" s="19"/>
      <c r="E3566" s="22"/>
      <c r="F3566" s="19"/>
      <c r="G3566" s="26" t="str">
        <f aca="false">IF(D3566="","",IFERROR(VALUE(LEFT(D3566,FIND(" |",D3566&amp;" |")-1)),"?"))</f>
        <v/>
      </c>
      <c r="H3566" s="27" t="str">
        <f aca="false">IF(G3566="","",IF(G3566="?","⚠ pub inconnue",IFERROR(INDEX(Pubs!$B$2:$B$3001,MATCH(G3566,Pubs!$A$2:$A$3001,0))&amp;"","⚠ pub inconnue")))</f>
        <v/>
      </c>
      <c r="I3566" s="27" t="str">
        <f aca="false">IF(OR(G3566="",G3566="?"),"",IFERROR(INDEX(Pubs!$C$2:$C$3001,MATCH(G3566,Pubs!$A$2:$A$3001,0))&amp;"",""))</f>
        <v/>
      </c>
      <c r="J3566" s="27" t="str">
        <f aca="false">IF(OR(G3566="",G3566="?"),"",IFERROR(INDEX(Pubs!$G$2:$G$3001,MATCH(G3566,Pubs!$A$2:$A$3001,0))&amp;"",""))</f>
        <v/>
      </c>
      <c r="K3566" s="28" t="str">
        <f aca="false">IF(OR(G3566="",G3566="?"),"",IFERROR(INDEX(Pubs!$E$2:$E$3001,MATCH(G3566,Pubs!$A$2:$A$3001,0)),""))</f>
        <v/>
      </c>
      <c r="L3566" s="29" t="str">
        <f aca="false">IF(A3566="","",IFERROR(1/(1/INDEX(Numéros!$C$2:$C$3001,MATCH(A3566&amp;"|"&amp;B3566,Numéros!$F$2:$F$3001,0))),""))</f>
        <v/>
      </c>
      <c r="M3566" s="27" t="str">
        <f aca="false">IF(OR(G3566="",G3566="?"),"",IFERROR(INDEX(Pubs!$D$2:$D$3001,MATCH(G3566,Pubs!$A$2:$A$3001,0))&amp;"",""))</f>
        <v/>
      </c>
      <c r="N3566" s="27" t="n">
        <f aca="false">N(N3565)+IF(AND(A3566&lt;&gt;"",OR(Recherche!$C$4="",A3566=Recherche!$C$4),OR(Recherche!$C$5="",B3566&amp;""=Recherche!$C$5&amp;""),OR(Recherche!$C$6="",IFERROR(YEAR(L3566),0)=Recherche!$C$6),OR(Recherche!$C$7="",ISNUMBER(SEARCH(Recherche!$C$7,H3566))),OR(Recherche!$C$8="",J3566=Recherche!$C$8),OR(Recherche!$C$9="",I3566=Recherche!$C$9),OR(Recherche!$C$10="",G3566&amp;""=Recherche!$C$10&amp;""),OR(Recherche!$C$11="",E3566=Recherche!$C$11),OR(Recherche!$C$12="",ISNUMBER(SEARCH(Recherche!$C$12,M3566&amp;" "&amp;F3566)))),1,0)</f>
        <v>8</v>
      </c>
    </row>
    <row r="3567" customFormat="false" ht="15" hidden="false" customHeight="false" outlineLevel="0" collapsed="false">
      <c r="A3567" s="19"/>
      <c r="B3567" s="19"/>
      <c r="C3567" s="19"/>
      <c r="D3567" s="19"/>
      <c r="E3567" s="22"/>
      <c r="F3567" s="19"/>
      <c r="G3567" s="26" t="str">
        <f aca="false">IF(D3567="","",IFERROR(VALUE(LEFT(D3567,FIND(" |",D3567&amp;" |")-1)),"?"))</f>
        <v/>
      </c>
      <c r="H3567" s="27" t="str">
        <f aca="false">IF(G3567="","",IF(G3567="?","⚠ pub inconnue",IFERROR(INDEX(Pubs!$B$2:$B$3001,MATCH(G3567,Pubs!$A$2:$A$3001,0))&amp;"","⚠ pub inconnue")))</f>
        <v/>
      </c>
      <c r="I3567" s="27" t="str">
        <f aca="false">IF(OR(G3567="",G3567="?"),"",IFERROR(INDEX(Pubs!$C$2:$C$3001,MATCH(G3567,Pubs!$A$2:$A$3001,0))&amp;"",""))</f>
        <v/>
      </c>
      <c r="J3567" s="27" t="str">
        <f aca="false">IF(OR(G3567="",G3567="?"),"",IFERROR(INDEX(Pubs!$G$2:$G$3001,MATCH(G3567,Pubs!$A$2:$A$3001,0))&amp;"",""))</f>
        <v/>
      </c>
      <c r="K3567" s="28" t="str">
        <f aca="false">IF(OR(G3567="",G3567="?"),"",IFERROR(INDEX(Pubs!$E$2:$E$3001,MATCH(G3567,Pubs!$A$2:$A$3001,0)),""))</f>
        <v/>
      </c>
      <c r="L3567" s="29" t="str">
        <f aca="false">IF(A3567="","",IFERROR(1/(1/INDEX(Numéros!$C$2:$C$3001,MATCH(A3567&amp;"|"&amp;B3567,Numéros!$F$2:$F$3001,0))),""))</f>
        <v/>
      </c>
      <c r="M3567" s="27" t="str">
        <f aca="false">IF(OR(G3567="",G3567="?"),"",IFERROR(INDEX(Pubs!$D$2:$D$3001,MATCH(G3567,Pubs!$A$2:$A$3001,0))&amp;"",""))</f>
        <v/>
      </c>
      <c r="N3567" s="27" t="n">
        <f aca="false">N(N3566)+IF(AND(A3567&lt;&gt;"",OR(Recherche!$C$4="",A3567=Recherche!$C$4),OR(Recherche!$C$5="",B3567&amp;""=Recherche!$C$5&amp;""),OR(Recherche!$C$6="",IFERROR(YEAR(L3567),0)=Recherche!$C$6),OR(Recherche!$C$7="",ISNUMBER(SEARCH(Recherche!$C$7,H3567))),OR(Recherche!$C$8="",J3567=Recherche!$C$8),OR(Recherche!$C$9="",I3567=Recherche!$C$9),OR(Recherche!$C$10="",G3567&amp;""=Recherche!$C$10&amp;""),OR(Recherche!$C$11="",E3567=Recherche!$C$11),OR(Recherche!$C$12="",ISNUMBER(SEARCH(Recherche!$C$12,M3567&amp;" "&amp;F3567)))),1,0)</f>
        <v>8</v>
      </c>
    </row>
    <row r="3568" customFormat="false" ht="15" hidden="false" customHeight="false" outlineLevel="0" collapsed="false">
      <c r="A3568" s="19"/>
      <c r="B3568" s="19"/>
      <c r="C3568" s="19"/>
      <c r="D3568" s="19"/>
      <c r="E3568" s="22"/>
      <c r="F3568" s="19"/>
      <c r="G3568" s="26" t="str">
        <f aca="false">IF(D3568="","",IFERROR(VALUE(LEFT(D3568,FIND(" |",D3568&amp;" |")-1)),"?"))</f>
        <v/>
      </c>
      <c r="H3568" s="27" t="str">
        <f aca="false">IF(G3568="","",IF(G3568="?","⚠ pub inconnue",IFERROR(INDEX(Pubs!$B$2:$B$3001,MATCH(G3568,Pubs!$A$2:$A$3001,0))&amp;"","⚠ pub inconnue")))</f>
        <v/>
      </c>
      <c r="I3568" s="27" t="str">
        <f aca="false">IF(OR(G3568="",G3568="?"),"",IFERROR(INDEX(Pubs!$C$2:$C$3001,MATCH(G3568,Pubs!$A$2:$A$3001,0))&amp;"",""))</f>
        <v/>
      </c>
      <c r="J3568" s="27" t="str">
        <f aca="false">IF(OR(G3568="",G3568="?"),"",IFERROR(INDEX(Pubs!$G$2:$G$3001,MATCH(G3568,Pubs!$A$2:$A$3001,0))&amp;"",""))</f>
        <v/>
      </c>
      <c r="K3568" s="28" t="str">
        <f aca="false">IF(OR(G3568="",G3568="?"),"",IFERROR(INDEX(Pubs!$E$2:$E$3001,MATCH(G3568,Pubs!$A$2:$A$3001,0)),""))</f>
        <v/>
      </c>
      <c r="L3568" s="29" t="str">
        <f aca="false">IF(A3568="","",IFERROR(1/(1/INDEX(Numéros!$C$2:$C$3001,MATCH(A3568&amp;"|"&amp;B3568,Numéros!$F$2:$F$3001,0))),""))</f>
        <v/>
      </c>
      <c r="M3568" s="27" t="str">
        <f aca="false">IF(OR(G3568="",G3568="?"),"",IFERROR(INDEX(Pubs!$D$2:$D$3001,MATCH(G3568,Pubs!$A$2:$A$3001,0))&amp;"",""))</f>
        <v/>
      </c>
      <c r="N3568" s="27" t="n">
        <f aca="false">N(N3567)+IF(AND(A3568&lt;&gt;"",OR(Recherche!$C$4="",A3568=Recherche!$C$4),OR(Recherche!$C$5="",B3568&amp;""=Recherche!$C$5&amp;""),OR(Recherche!$C$6="",IFERROR(YEAR(L3568),0)=Recherche!$C$6),OR(Recherche!$C$7="",ISNUMBER(SEARCH(Recherche!$C$7,H3568))),OR(Recherche!$C$8="",J3568=Recherche!$C$8),OR(Recherche!$C$9="",I3568=Recherche!$C$9),OR(Recherche!$C$10="",G3568&amp;""=Recherche!$C$10&amp;""),OR(Recherche!$C$11="",E3568=Recherche!$C$11),OR(Recherche!$C$12="",ISNUMBER(SEARCH(Recherche!$C$12,M3568&amp;" "&amp;F3568)))),1,0)</f>
        <v>8</v>
      </c>
    </row>
    <row r="3569" customFormat="false" ht="15" hidden="false" customHeight="false" outlineLevel="0" collapsed="false">
      <c r="A3569" s="19"/>
      <c r="B3569" s="19"/>
      <c r="C3569" s="19"/>
      <c r="D3569" s="19"/>
      <c r="E3569" s="22"/>
      <c r="F3569" s="19"/>
      <c r="G3569" s="26" t="str">
        <f aca="false">IF(D3569="","",IFERROR(VALUE(LEFT(D3569,FIND(" |",D3569&amp;" |")-1)),"?"))</f>
        <v/>
      </c>
      <c r="H3569" s="27" t="str">
        <f aca="false">IF(G3569="","",IF(G3569="?","⚠ pub inconnue",IFERROR(INDEX(Pubs!$B$2:$B$3001,MATCH(G3569,Pubs!$A$2:$A$3001,0))&amp;"","⚠ pub inconnue")))</f>
        <v/>
      </c>
      <c r="I3569" s="27" t="str">
        <f aca="false">IF(OR(G3569="",G3569="?"),"",IFERROR(INDEX(Pubs!$C$2:$C$3001,MATCH(G3569,Pubs!$A$2:$A$3001,0))&amp;"",""))</f>
        <v/>
      </c>
      <c r="J3569" s="27" t="str">
        <f aca="false">IF(OR(G3569="",G3569="?"),"",IFERROR(INDEX(Pubs!$G$2:$G$3001,MATCH(G3569,Pubs!$A$2:$A$3001,0))&amp;"",""))</f>
        <v/>
      </c>
      <c r="K3569" s="28" t="str">
        <f aca="false">IF(OR(G3569="",G3569="?"),"",IFERROR(INDEX(Pubs!$E$2:$E$3001,MATCH(G3569,Pubs!$A$2:$A$3001,0)),""))</f>
        <v/>
      </c>
      <c r="L3569" s="29" t="str">
        <f aca="false">IF(A3569="","",IFERROR(1/(1/INDEX(Numéros!$C$2:$C$3001,MATCH(A3569&amp;"|"&amp;B3569,Numéros!$F$2:$F$3001,0))),""))</f>
        <v/>
      </c>
      <c r="M3569" s="27" t="str">
        <f aca="false">IF(OR(G3569="",G3569="?"),"",IFERROR(INDEX(Pubs!$D$2:$D$3001,MATCH(G3569,Pubs!$A$2:$A$3001,0))&amp;"",""))</f>
        <v/>
      </c>
      <c r="N3569" s="27" t="n">
        <f aca="false">N(N3568)+IF(AND(A3569&lt;&gt;"",OR(Recherche!$C$4="",A3569=Recherche!$C$4),OR(Recherche!$C$5="",B3569&amp;""=Recherche!$C$5&amp;""),OR(Recherche!$C$6="",IFERROR(YEAR(L3569),0)=Recherche!$C$6),OR(Recherche!$C$7="",ISNUMBER(SEARCH(Recherche!$C$7,H3569))),OR(Recherche!$C$8="",J3569=Recherche!$C$8),OR(Recherche!$C$9="",I3569=Recherche!$C$9),OR(Recherche!$C$10="",G3569&amp;""=Recherche!$C$10&amp;""),OR(Recherche!$C$11="",E3569=Recherche!$C$11),OR(Recherche!$C$12="",ISNUMBER(SEARCH(Recherche!$C$12,M3569&amp;" "&amp;F3569)))),1,0)</f>
        <v>8</v>
      </c>
    </row>
    <row r="3570" customFormat="false" ht="15" hidden="false" customHeight="false" outlineLevel="0" collapsed="false">
      <c r="A3570" s="19"/>
      <c r="B3570" s="19"/>
      <c r="C3570" s="19"/>
      <c r="D3570" s="19"/>
      <c r="E3570" s="22"/>
      <c r="F3570" s="19"/>
      <c r="G3570" s="26" t="str">
        <f aca="false">IF(D3570="","",IFERROR(VALUE(LEFT(D3570,FIND(" |",D3570&amp;" |")-1)),"?"))</f>
        <v/>
      </c>
      <c r="H3570" s="27" t="str">
        <f aca="false">IF(G3570="","",IF(G3570="?","⚠ pub inconnue",IFERROR(INDEX(Pubs!$B$2:$B$3001,MATCH(G3570,Pubs!$A$2:$A$3001,0))&amp;"","⚠ pub inconnue")))</f>
        <v/>
      </c>
      <c r="I3570" s="27" t="str">
        <f aca="false">IF(OR(G3570="",G3570="?"),"",IFERROR(INDEX(Pubs!$C$2:$C$3001,MATCH(G3570,Pubs!$A$2:$A$3001,0))&amp;"",""))</f>
        <v/>
      </c>
      <c r="J3570" s="27" t="str">
        <f aca="false">IF(OR(G3570="",G3570="?"),"",IFERROR(INDEX(Pubs!$G$2:$G$3001,MATCH(G3570,Pubs!$A$2:$A$3001,0))&amp;"",""))</f>
        <v/>
      </c>
      <c r="K3570" s="28" t="str">
        <f aca="false">IF(OR(G3570="",G3570="?"),"",IFERROR(INDEX(Pubs!$E$2:$E$3001,MATCH(G3570,Pubs!$A$2:$A$3001,0)),""))</f>
        <v/>
      </c>
      <c r="L3570" s="29" t="str">
        <f aca="false">IF(A3570="","",IFERROR(1/(1/INDEX(Numéros!$C$2:$C$3001,MATCH(A3570&amp;"|"&amp;B3570,Numéros!$F$2:$F$3001,0))),""))</f>
        <v/>
      </c>
      <c r="M3570" s="27" t="str">
        <f aca="false">IF(OR(G3570="",G3570="?"),"",IFERROR(INDEX(Pubs!$D$2:$D$3001,MATCH(G3570,Pubs!$A$2:$A$3001,0))&amp;"",""))</f>
        <v/>
      </c>
      <c r="N3570" s="27" t="n">
        <f aca="false">N(N3569)+IF(AND(A3570&lt;&gt;"",OR(Recherche!$C$4="",A3570=Recherche!$C$4),OR(Recherche!$C$5="",B3570&amp;""=Recherche!$C$5&amp;""),OR(Recherche!$C$6="",IFERROR(YEAR(L3570),0)=Recherche!$C$6),OR(Recherche!$C$7="",ISNUMBER(SEARCH(Recherche!$C$7,H3570))),OR(Recherche!$C$8="",J3570=Recherche!$C$8),OR(Recherche!$C$9="",I3570=Recherche!$C$9),OR(Recherche!$C$10="",G3570&amp;""=Recherche!$C$10&amp;""),OR(Recherche!$C$11="",E3570=Recherche!$C$11),OR(Recherche!$C$12="",ISNUMBER(SEARCH(Recherche!$C$12,M3570&amp;" "&amp;F3570)))),1,0)</f>
        <v>8</v>
      </c>
    </row>
    <row r="3571" customFormat="false" ht="15" hidden="false" customHeight="false" outlineLevel="0" collapsed="false">
      <c r="A3571" s="19"/>
      <c r="B3571" s="19"/>
      <c r="C3571" s="19"/>
      <c r="D3571" s="19"/>
      <c r="E3571" s="22"/>
      <c r="F3571" s="19"/>
      <c r="G3571" s="26" t="str">
        <f aca="false">IF(D3571="","",IFERROR(VALUE(LEFT(D3571,FIND(" |",D3571&amp;" |")-1)),"?"))</f>
        <v/>
      </c>
      <c r="H3571" s="27" t="str">
        <f aca="false">IF(G3571="","",IF(G3571="?","⚠ pub inconnue",IFERROR(INDEX(Pubs!$B$2:$B$3001,MATCH(G3571,Pubs!$A$2:$A$3001,0))&amp;"","⚠ pub inconnue")))</f>
        <v/>
      </c>
      <c r="I3571" s="27" t="str">
        <f aca="false">IF(OR(G3571="",G3571="?"),"",IFERROR(INDEX(Pubs!$C$2:$C$3001,MATCH(G3571,Pubs!$A$2:$A$3001,0))&amp;"",""))</f>
        <v/>
      </c>
      <c r="J3571" s="27" t="str">
        <f aca="false">IF(OR(G3571="",G3571="?"),"",IFERROR(INDEX(Pubs!$G$2:$G$3001,MATCH(G3571,Pubs!$A$2:$A$3001,0))&amp;"",""))</f>
        <v/>
      </c>
      <c r="K3571" s="28" t="str">
        <f aca="false">IF(OR(G3571="",G3571="?"),"",IFERROR(INDEX(Pubs!$E$2:$E$3001,MATCH(G3571,Pubs!$A$2:$A$3001,0)),""))</f>
        <v/>
      </c>
      <c r="L3571" s="29" t="str">
        <f aca="false">IF(A3571="","",IFERROR(1/(1/INDEX(Numéros!$C$2:$C$3001,MATCH(A3571&amp;"|"&amp;B3571,Numéros!$F$2:$F$3001,0))),""))</f>
        <v/>
      </c>
      <c r="M3571" s="27" t="str">
        <f aca="false">IF(OR(G3571="",G3571="?"),"",IFERROR(INDEX(Pubs!$D$2:$D$3001,MATCH(G3571,Pubs!$A$2:$A$3001,0))&amp;"",""))</f>
        <v/>
      </c>
      <c r="N3571" s="27" t="n">
        <f aca="false">N(N3570)+IF(AND(A3571&lt;&gt;"",OR(Recherche!$C$4="",A3571=Recherche!$C$4),OR(Recherche!$C$5="",B3571&amp;""=Recherche!$C$5&amp;""),OR(Recherche!$C$6="",IFERROR(YEAR(L3571),0)=Recherche!$C$6),OR(Recherche!$C$7="",ISNUMBER(SEARCH(Recherche!$C$7,H3571))),OR(Recherche!$C$8="",J3571=Recherche!$C$8),OR(Recherche!$C$9="",I3571=Recherche!$C$9),OR(Recherche!$C$10="",G3571&amp;""=Recherche!$C$10&amp;""),OR(Recherche!$C$11="",E3571=Recherche!$C$11),OR(Recherche!$C$12="",ISNUMBER(SEARCH(Recherche!$C$12,M3571&amp;" "&amp;F3571)))),1,0)</f>
        <v>8</v>
      </c>
    </row>
    <row r="3572" customFormat="false" ht="15" hidden="false" customHeight="false" outlineLevel="0" collapsed="false">
      <c r="A3572" s="19"/>
      <c r="B3572" s="19"/>
      <c r="C3572" s="19"/>
      <c r="D3572" s="19"/>
      <c r="E3572" s="22"/>
      <c r="F3572" s="19"/>
      <c r="G3572" s="26" t="str">
        <f aca="false">IF(D3572="","",IFERROR(VALUE(LEFT(D3572,FIND(" |",D3572&amp;" |")-1)),"?"))</f>
        <v/>
      </c>
      <c r="H3572" s="27" t="str">
        <f aca="false">IF(G3572="","",IF(G3572="?","⚠ pub inconnue",IFERROR(INDEX(Pubs!$B$2:$B$3001,MATCH(G3572,Pubs!$A$2:$A$3001,0))&amp;"","⚠ pub inconnue")))</f>
        <v/>
      </c>
      <c r="I3572" s="27" t="str">
        <f aca="false">IF(OR(G3572="",G3572="?"),"",IFERROR(INDEX(Pubs!$C$2:$C$3001,MATCH(G3572,Pubs!$A$2:$A$3001,0))&amp;"",""))</f>
        <v/>
      </c>
      <c r="J3572" s="27" t="str">
        <f aca="false">IF(OR(G3572="",G3572="?"),"",IFERROR(INDEX(Pubs!$G$2:$G$3001,MATCH(G3572,Pubs!$A$2:$A$3001,0))&amp;"",""))</f>
        <v/>
      </c>
      <c r="K3572" s="28" t="str">
        <f aca="false">IF(OR(G3572="",G3572="?"),"",IFERROR(INDEX(Pubs!$E$2:$E$3001,MATCH(G3572,Pubs!$A$2:$A$3001,0)),""))</f>
        <v/>
      </c>
      <c r="L3572" s="29" t="str">
        <f aca="false">IF(A3572="","",IFERROR(1/(1/INDEX(Numéros!$C$2:$C$3001,MATCH(A3572&amp;"|"&amp;B3572,Numéros!$F$2:$F$3001,0))),""))</f>
        <v/>
      </c>
      <c r="M3572" s="27" t="str">
        <f aca="false">IF(OR(G3572="",G3572="?"),"",IFERROR(INDEX(Pubs!$D$2:$D$3001,MATCH(G3572,Pubs!$A$2:$A$3001,0))&amp;"",""))</f>
        <v/>
      </c>
      <c r="N3572" s="27" t="n">
        <f aca="false">N(N3571)+IF(AND(A3572&lt;&gt;"",OR(Recherche!$C$4="",A3572=Recherche!$C$4),OR(Recherche!$C$5="",B3572&amp;""=Recherche!$C$5&amp;""),OR(Recherche!$C$6="",IFERROR(YEAR(L3572),0)=Recherche!$C$6),OR(Recherche!$C$7="",ISNUMBER(SEARCH(Recherche!$C$7,H3572))),OR(Recherche!$C$8="",J3572=Recherche!$C$8),OR(Recherche!$C$9="",I3572=Recherche!$C$9),OR(Recherche!$C$10="",G3572&amp;""=Recherche!$C$10&amp;""),OR(Recherche!$C$11="",E3572=Recherche!$C$11),OR(Recherche!$C$12="",ISNUMBER(SEARCH(Recherche!$C$12,M3572&amp;" "&amp;F3572)))),1,0)</f>
        <v>8</v>
      </c>
    </row>
    <row r="3573" customFormat="false" ht="15" hidden="false" customHeight="false" outlineLevel="0" collapsed="false">
      <c r="A3573" s="19"/>
      <c r="B3573" s="19"/>
      <c r="C3573" s="19"/>
      <c r="D3573" s="19"/>
      <c r="E3573" s="22"/>
      <c r="F3573" s="19"/>
      <c r="G3573" s="26" t="str">
        <f aca="false">IF(D3573="","",IFERROR(VALUE(LEFT(D3573,FIND(" |",D3573&amp;" |")-1)),"?"))</f>
        <v/>
      </c>
      <c r="H3573" s="27" t="str">
        <f aca="false">IF(G3573="","",IF(G3573="?","⚠ pub inconnue",IFERROR(INDEX(Pubs!$B$2:$B$3001,MATCH(G3573,Pubs!$A$2:$A$3001,0))&amp;"","⚠ pub inconnue")))</f>
        <v/>
      </c>
      <c r="I3573" s="27" t="str">
        <f aca="false">IF(OR(G3573="",G3573="?"),"",IFERROR(INDEX(Pubs!$C$2:$C$3001,MATCH(G3573,Pubs!$A$2:$A$3001,0))&amp;"",""))</f>
        <v/>
      </c>
      <c r="J3573" s="27" t="str">
        <f aca="false">IF(OR(G3573="",G3573="?"),"",IFERROR(INDEX(Pubs!$G$2:$G$3001,MATCH(G3573,Pubs!$A$2:$A$3001,0))&amp;"",""))</f>
        <v/>
      </c>
      <c r="K3573" s="28" t="str">
        <f aca="false">IF(OR(G3573="",G3573="?"),"",IFERROR(INDEX(Pubs!$E$2:$E$3001,MATCH(G3573,Pubs!$A$2:$A$3001,0)),""))</f>
        <v/>
      </c>
      <c r="L3573" s="29" t="str">
        <f aca="false">IF(A3573="","",IFERROR(1/(1/INDEX(Numéros!$C$2:$C$3001,MATCH(A3573&amp;"|"&amp;B3573,Numéros!$F$2:$F$3001,0))),""))</f>
        <v/>
      </c>
      <c r="M3573" s="27" t="str">
        <f aca="false">IF(OR(G3573="",G3573="?"),"",IFERROR(INDEX(Pubs!$D$2:$D$3001,MATCH(G3573,Pubs!$A$2:$A$3001,0))&amp;"",""))</f>
        <v/>
      </c>
      <c r="N3573" s="27" t="n">
        <f aca="false">N(N3572)+IF(AND(A3573&lt;&gt;"",OR(Recherche!$C$4="",A3573=Recherche!$C$4),OR(Recherche!$C$5="",B3573&amp;""=Recherche!$C$5&amp;""),OR(Recherche!$C$6="",IFERROR(YEAR(L3573),0)=Recherche!$C$6),OR(Recherche!$C$7="",ISNUMBER(SEARCH(Recherche!$C$7,H3573))),OR(Recherche!$C$8="",J3573=Recherche!$C$8),OR(Recherche!$C$9="",I3573=Recherche!$C$9),OR(Recherche!$C$10="",G3573&amp;""=Recherche!$C$10&amp;""),OR(Recherche!$C$11="",E3573=Recherche!$C$11),OR(Recherche!$C$12="",ISNUMBER(SEARCH(Recherche!$C$12,M3573&amp;" "&amp;F3573)))),1,0)</f>
        <v>8</v>
      </c>
    </row>
    <row r="3574" customFormat="false" ht="15" hidden="false" customHeight="false" outlineLevel="0" collapsed="false">
      <c r="A3574" s="19"/>
      <c r="B3574" s="19"/>
      <c r="C3574" s="19"/>
      <c r="D3574" s="19"/>
      <c r="E3574" s="22"/>
      <c r="F3574" s="19"/>
      <c r="G3574" s="26" t="str">
        <f aca="false">IF(D3574="","",IFERROR(VALUE(LEFT(D3574,FIND(" |",D3574&amp;" |")-1)),"?"))</f>
        <v/>
      </c>
      <c r="H3574" s="27" t="str">
        <f aca="false">IF(G3574="","",IF(G3574="?","⚠ pub inconnue",IFERROR(INDEX(Pubs!$B$2:$B$3001,MATCH(G3574,Pubs!$A$2:$A$3001,0))&amp;"","⚠ pub inconnue")))</f>
        <v/>
      </c>
      <c r="I3574" s="27" t="str">
        <f aca="false">IF(OR(G3574="",G3574="?"),"",IFERROR(INDEX(Pubs!$C$2:$C$3001,MATCH(G3574,Pubs!$A$2:$A$3001,0))&amp;"",""))</f>
        <v/>
      </c>
      <c r="J3574" s="27" t="str">
        <f aca="false">IF(OR(G3574="",G3574="?"),"",IFERROR(INDEX(Pubs!$G$2:$G$3001,MATCH(G3574,Pubs!$A$2:$A$3001,0))&amp;"",""))</f>
        <v/>
      </c>
      <c r="K3574" s="28" t="str">
        <f aca="false">IF(OR(G3574="",G3574="?"),"",IFERROR(INDEX(Pubs!$E$2:$E$3001,MATCH(G3574,Pubs!$A$2:$A$3001,0)),""))</f>
        <v/>
      </c>
      <c r="L3574" s="29" t="str">
        <f aca="false">IF(A3574="","",IFERROR(1/(1/INDEX(Numéros!$C$2:$C$3001,MATCH(A3574&amp;"|"&amp;B3574,Numéros!$F$2:$F$3001,0))),""))</f>
        <v/>
      </c>
      <c r="M3574" s="27" t="str">
        <f aca="false">IF(OR(G3574="",G3574="?"),"",IFERROR(INDEX(Pubs!$D$2:$D$3001,MATCH(G3574,Pubs!$A$2:$A$3001,0))&amp;"",""))</f>
        <v/>
      </c>
      <c r="N3574" s="27" t="n">
        <f aca="false">N(N3573)+IF(AND(A3574&lt;&gt;"",OR(Recherche!$C$4="",A3574=Recherche!$C$4),OR(Recherche!$C$5="",B3574&amp;""=Recherche!$C$5&amp;""),OR(Recherche!$C$6="",IFERROR(YEAR(L3574),0)=Recherche!$C$6),OR(Recherche!$C$7="",ISNUMBER(SEARCH(Recherche!$C$7,H3574))),OR(Recherche!$C$8="",J3574=Recherche!$C$8),OR(Recherche!$C$9="",I3574=Recherche!$C$9),OR(Recherche!$C$10="",G3574&amp;""=Recherche!$C$10&amp;""),OR(Recherche!$C$11="",E3574=Recherche!$C$11),OR(Recherche!$C$12="",ISNUMBER(SEARCH(Recherche!$C$12,M3574&amp;" "&amp;F3574)))),1,0)</f>
        <v>8</v>
      </c>
    </row>
    <row r="3575" customFormat="false" ht="15" hidden="false" customHeight="false" outlineLevel="0" collapsed="false">
      <c r="A3575" s="19"/>
      <c r="B3575" s="19"/>
      <c r="C3575" s="19"/>
      <c r="D3575" s="19"/>
      <c r="E3575" s="22"/>
      <c r="F3575" s="19"/>
      <c r="G3575" s="26" t="str">
        <f aca="false">IF(D3575="","",IFERROR(VALUE(LEFT(D3575,FIND(" |",D3575&amp;" |")-1)),"?"))</f>
        <v/>
      </c>
      <c r="H3575" s="27" t="str">
        <f aca="false">IF(G3575="","",IF(G3575="?","⚠ pub inconnue",IFERROR(INDEX(Pubs!$B$2:$B$3001,MATCH(G3575,Pubs!$A$2:$A$3001,0))&amp;"","⚠ pub inconnue")))</f>
        <v/>
      </c>
      <c r="I3575" s="27" t="str">
        <f aca="false">IF(OR(G3575="",G3575="?"),"",IFERROR(INDEX(Pubs!$C$2:$C$3001,MATCH(G3575,Pubs!$A$2:$A$3001,0))&amp;"",""))</f>
        <v/>
      </c>
      <c r="J3575" s="27" t="str">
        <f aca="false">IF(OR(G3575="",G3575="?"),"",IFERROR(INDEX(Pubs!$G$2:$G$3001,MATCH(G3575,Pubs!$A$2:$A$3001,0))&amp;"",""))</f>
        <v/>
      </c>
      <c r="K3575" s="28" t="str">
        <f aca="false">IF(OR(G3575="",G3575="?"),"",IFERROR(INDEX(Pubs!$E$2:$E$3001,MATCH(G3575,Pubs!$A$2:$A$3001,0)),""))</f>
        <v/>
      </c>
      <c r="L3575" s="29" t="str">
        <f aca="false">IF(A3575="","",IFERROR(1/(1/INDEX(Numéros!$C$2:$C$3001,MATCH(A3575&amp;"|"&amp;B3575,Numéros!$F$2:$F$3001,0))),""))</f>
        <v/>
      </c>
      <c r="M3575" s="27" t="str">
        <f aca="false">IF(OR(G3575="",G3575="?"),"",IFERROR(INDEX(Pubs!$D$2:$D$3001,MATCH(G3575,Pubs!$A$2:$A$3001,0))&amp;"",""))</f>
        <v/>
      </c>
      <c r="N3575" s="27" t="n">
        <f aca="false">N(N3574)+IF(AND(A3575&lt;&gt;"",OR(Recherche!$C$4="",A3575=Recherche!$C$4),OR(Recherche!$C$5="",B3575&amp;""=Recherche!$C$5&amp;""),OR(Recherche!$C$6="",IFERROR(YEAR(L3575),0)=Recherche!$C$6),OR(Recherche!$C$7="",ISNUMBER(SEARCH(Recherche!$C$7,H3575))),OR(Recherche!$C$8="",J3575=Recherche!$C$8),OR(Recherche!$C$9="",I3575=Recherche!$C$9),OR(Recherche!$C$10="",G3575&amp;""=Recherche!$C$10&amp;""),OR(Recherche!$C$11="",E3575=Recherche!$C$11),OR(Recherche!$C$12="",ISNUMBER(SEARCH(Recherche!$C$12,M3575&amp;" "&amp;F3575)))),1,0)</f>
        <v>8</v>
      </c>
    </row>
    <row r="3576" customFormat="false" ht="15" hidden="false" customHeight="false" outlineLevel="0" collapsed="false">
      <c r="A3576" s="19"/>
      <c r="B3576" s="19"/>
      <c r="C3576" s="19"/>
      <c r="D3576" s="19"/>
      <c r="E3576" s="22"/>
      <c r="F3576" s="19"/>
      <c r="G3576" s="26" t="str">
        <f aca="false">IF(D3576="","",IFERROR(VALUE(LEFT(D3576,FIND(" |",D3576&amp;" |")-1)),"?"))</f>
        <v/>
      </c>
      <c r="H3576" s="27" t="str">
        <f aca="false">IF(G3576="","",IF(G3576="?","⚠ pub inconnue",IFERROR(INDEX(Pubs!$B$2:$B$3001,MATCH(G3576,Pubs!$A$2:$A$3001,0))&amp;"","⚠ pub inconnue")))</f>
        <v/>
      </c>
      <c r="I3576" s="27" t="str">
        <f aca="false">IF(OR(G3576="",G3576="?"),"",IFERROR(INDEX(Pubs!$C$2:$C$3001,MATCH(G3576,Pubs!$A$2:$A$3001,0))&amp;"",""))</f>
        <v/>
      </c>
      <c r="J3576" s="27" t="str">
        <f aca="false">IF(OR(G3576="",G3576="?"),"",IFERROR(INDEX(Pubs!$G$2:$G$3001,MATCH(G3576,Pubs!$A$2:$A$3001,0))&amp;"",""))</f>
        <v/>
      </c>
      <c r="K3576" s="28" t="str">
        <f aca="false">IF(OR(G3576="",G3576="?"),"",IFERROR(INDEX(Pubs!$E$2:$E$3001,MATCH(G3576,Pubs!$A$2:$A$3001,0)),""))</f>
        <v/>
      </c>
      <c r="L3576" s="29" t="str">
        <f aca="false">IF(A3576="","",IFERROR(1/(1/INDEX(Numéros!$C$2:$C$3001,MATCH(A3576&amp;"|"&amp;B3576,Numéros!$F$2:$F$3001,0))),""))</f>
        <v/>
      </c>
      <c r="M3576" s="27" t="str">
        <f aca="false">IF(OR(G3576="",G3576="?"),"",IFERROR(INDEX(Pubs!$D$2:$D$3001,MATCH(G3576,Pubs!$A$2:$A$3001,0))&amp;"",""))</f>
        <v/>
      </c>
      <c r="N3576" s="27" t="n">
        <f aca="false">N(N3575)+IF(AND(A3576&lt;&gt;"",OR(Recherche!$C$4="",A3576=Recherche!$C$4),OR(Recherche!$C$5="",B3576&amp;""=Recherche!$C$5&amp;""),OR(Recherche!$C$6="",IFERROR(YEAR(L3576),0)=Recherche!$C$6),OR(Recherche!$C$7="",ISNUMBER(SEARCH(Recherche!$C$7,H3576))),OR(Recherche!$C$8="",J3576=Recherche!$C$8),OR(Recherche!$C$9="",I3576=Recherche!$C$9),OR(Recherche!$C$10="",G3576&amp;""=Recherche!$C$10&amp;""),OR(Recherche!$C$11="",E3576=Recherche!$C$11),OR(Recherche!$C$12="",ISNUMBER(SEARCH(Recherche!$C$12,M3576&amp;" "&amp;F3576)))),1,0)</f>
        <v>8</v>
      </c>
    </row>
    <row r="3577" customFormat="false" ht="15" hidden="false" customHeight="false" outlineLevel="0" collapsed="false">
      <c r="A3577" s="19"/>
      <c r="B3577" s="19"/>
      <c r="C3577" s="19"/>
      <c r="D3577" s="19"/>
      <c r="E3577" s="22"/>
      <c r="F3577" s="19"/>
      <c r="G3577" s="26" t="str">
        <f aca="false">IF(D3577="","",IFERROR(VALUE(LEFT(D3577,FIND(" |",D3577&amp;" |")-1)),"?"))</f>
        <v/>
      </c>
      <c r="H3577" s="27" t="str">
        <f aca="false">IF(G3577="","",IF(G3577="?","⚠ pub inconnue",IFERROR(INDEX(Pubs!$B$2:$B$3001,MATCH(G3577,Pubs!$A$2:$A$3001,0))&amp;"","⚠ pub inconnue")))</f>
        <v/>
      </c>
      <c r="I3577" s="27" t="str">
        <f aca="false">IF(OR(G3577="",G3577="?"),"",IFERROR(INDEX(Pubs!$C$2:$C$3001,MATCH(G3577,Pubs!$A$2:$A$3001,0))&amp;"",""))</f>
        <v/>
      </c>
      <c r="J3577" s="27" t="str">
        <f aca="false">IF(OR(G3577="",G3577="?"),"",IFERROR(INDEX(Pubs!$G$2:$G$3001,MATCH(G3577,Pubs!$A$2:$A$3001,0))&amp;"",""))</f>
        <v/>
      </c>
      <c r="K3577" s="28" t="str">
        <f aca="false">IF(OR(G3577="",G3577="?"),"",IFERROR(INDEX(Pubs!$E$2:$E$3001,MATCH(G3577,Pubs!$A$2:$A$3001,0)),""))</f>
        <v/>
      </c>
      <c r="L3577" s="29" t="str">
        <f aca="false">IF(A3577="","",IFERROR(1/(1/INDEX(Numéros!$C$2:$C$3001,MATCH(A3577&amp;"|"&amp;B3577,Numéros!$F$2:$F$3001,0))),""))</f>
        <v/>
      </c>
      <c r="M3577" s="27" t="str">
        <f aca="false">IF(OR(G3577="",G3577="?"),"",IFERROR(INDEX(Pubs!$D$2:$D$3001,MATCH(G3577,Pubs!$A$2:$A$3001,0))&amp;"",""))</f>
        <v/>
      </c>
      <c r="N3577" s="27" t="n">
        <f aca="false">N(N3576)+IF(AND(A3577&lt;&gt;"",OR(Recherche!$C$4="",A3577=Recherche!$C$4),OR(Recherche!$C$5="",B3577&amp;""=Recherche!$C$5&amp;""),OR(Recherche!$C$6="",IFERROR(YEAR(L3577),0)=Recherche!$C$6),OR(Recherche!$C$7="",ISNUMBER(SEARCH(Recherche!$C$7,H3577))),OR(Recherche!$C$8="",J3577=Recherche!$C$8),OR(Recherche!$C$9="",I3577=Recherche!$C$9),OR(Recherche!$C$10="",G3577&amp;""=Recherche!$C$10&amp;""),OR(Recherche!$C$11="",E3577=Recherche!$C$11),OR(Recherche!$C$12="",ISNUMBER(SEARCH(Recherche!$C$12,M3577&amp;" "&amp;F3577)))),1,0)</f>
        <v>8</v>
      </c>
    </row>
    <row r="3578" customFormat="false" ht="15" hidden="false" customHeight="false" outlineLevel="0" collapsed="false">
      <c r="A3578" s="19"/>
      <c r="B3578" s="19"/>
      <c r="C3578" s="19"/>
      <c r="D3578" s="19"/>
      <c r="E3578" s="22"/>
      <c r="F3578" s="19"/>
      <c r="G3578" s="26" t="str">
        <f aca="false">IF(D3578="","",IFERROR(VALUE(LEFT(D3578,FIND(" |",D3578&amp;" |")-1)),"?"))</f>
        <v/>
      </c>
      <c r="H3578" s="27" t="str">
        <f aca="false">IF(G3578="","",IF(G3578="?","⚠ pub inconnue",IFERROR(INDEX(Pubs!$B$2:$B$3001,MATCH(G3578,Pubs!$A$2:$A$3001,0))&amp;"","⚠ pub inconnue")))</f>
        <v/>
      </c>
      <c r="I3578" s="27" t="str">
        <f aca="false">IF(OR(G3578="",G3578="?"),"",IFERROR(INDEX(Pubs!$C$2:$C$3001,MATCH(G3578,Pubs!$A$2:$A$3001,0))&amp;"",""))</f>
        <v/>
      </c>
      <c r="J3578" s="27" t="str">
        <f aca="false">IF(OR(G3578="",G3578="?"),"",IFERROR(INDEX(Pubs!$G$2:$G$3001,MATCH(G3578,Pubs!$A$2:$A$3001,0))&amp;"",""))</f>
        <v/>
      </c>
      <c r="K3578" s="28" t="str">
        <f aca="false">IF(OR(G3578="",G3578="?"),"",IFERROR(INDEX(Pubs!$E$2:$E$3001,MATCH(G3578,Pubs!$A$2:$A$3001,0)),""))</f>
        <v/>
      </c>
      <c r="L3578" s="29" t="str">
        <f aca="false">IF(A3578="","",IFERROR(1/(1/INDEX(Numéros!$C$2:$C$3001,MATCH(A3578&amp;"|"&amp;B3578,Numéros!$F$2:$F$3001,0))),""))</f>
        <v/>
      </c>
      <c r="M3578" s="27" t="str">
        <f aca="false">IF(OR(G3578="",G3578="?"),"",IFERROR(INDEX(Pubs!$D$2:$D$3001,MATCH(G3578,Pubs!$A$2:$A$3001,0))&amp;"",""))</f>
        <v/>
      </c>
      <c r="N3578" s="27" t="n">
        <f aca="false">N(N3577)+IF(AND(A3578&lt;&gt;"",OR(Recherche!$C$4="",A3578=Recherche!$C$4),OR(Recherche!$C$5="",B3578&amp;""=Recherche!$C$5&amp;""),OR(Recherche!$C$6="",IFERROR(YEAR(L3578),0)=Recherche!$C$6),OR(Recherche!$C$7="",ISNUMBER(SEARCH(Recherche!$C$7,H3578))),OR(Recherche!$C$8="",J3578=Recherche!$C$8),OR(Recherche!$C$9="",I3578=Recherche!$C$9),OR(Recherche!$C$10="",G3578&amp;""=Recherche!$C$10&amp;""),OR(Recherche!$C$11="",E3578=Recherche!$C$11),OR(Recherche!$C$12="",ISNUMBER(SEARCH(Recherche!$C$12,M3578&amp;" "&amp;F3578)))),1,0)</f>
        <v>8</v>
      </c>
    </row>
    <row r="3579" customFormat="false" ht="15" hidden="false" customHeight="false" outlineLevel="0" collapsed="false">
      <c r="A3579" s="19"/>
      <c r="B3579" s="19"/>
      <c r="C3579" s="19"/>
      <c r="D3579" s="19"/>
      <c r="E3579" s="22"/>
      <c r="F3579" s="19"/>
      <c r="G3579" s="26" t="str">
        <f aca="false">IF(D3579="","",IFERROR(VALUE(LEFT(D3579,FIND(" |",D3579&amp;" |")-1)),"?"))</f>
        <v/>
      </c>
      <c r="H3579" s="27" t="str">
        <f aca="false">IF(G3579="","",IF(G3579="?","⚠ pub inconnue",IFERROR(INDEX(Pubs!$B$2:$B$3001,MATCH(G3579,Pubs!$A$2:$A$3001,0))&amp;"","⚠ pub inconnue")))</f>
        <v/>
      </c>
      <c r="I3579" s="27" t="str">
        <f aca="false">IF(OR(G3579="",G3579="?"),"",IFERROR(INDEX(Pubs!$C$2:$C$3001,MATCH(G3579,Pubs!$A$2:$A$3001,0))&amp;"",""))</f>
        <v/>
      </c>
      <c r="J3579" s="27" t="str">
        <f aca="false">IF(OR(G3579="",G3579="?"),"",IFERROR(INDEX(Pubs!$G$2:$G$3001,MATCH(G3579,Pubs!$A$2:$A$3001,0))&amp;"",""))</f>
        <v/>
      </c>
      <c r="K3579" s="28" t="str">
        <f aca="false">IF(OR(G3579="",G3579="?"),"",IFERROR(INDEX(Pubs!$E$2:$E$3001,MATCH(G3579,Pubs!$A$2:$A$3001,0)),""))</f>
        <v/>
      </c>
      <c r="L3579" s="29" t="str">
        <f aca="false">IF(A3579="","",IFERROR(1/(1/INDEX(Numéros!$C$2:$C$3001,MATCH(A3579&amp;"|"&amp;B3579,Numéros!$F$2:$F$3001,0))),""))</f>
        <v/>
      </c>
      <c r="M3579" s="27" t="str">
        <f aca="false">IF(OR(G3579="",G3579="?"),"",IFERROR(INDEX(Pubs!$D$2:$D$3001,MATCH(G3579,Pubs!$A$2:$A$3001,0))&amp;"",""))</f>
        <v/>
      </c>
      <c r="N3579" s="27" t="n">
        <f aca="false">N(N3578)+IF(AND(A3579&lt;&gt;"",OR(Recherche!$C$4="",A3579=Recherche!$C$4),OR(Recherche!$C$5="",B3579&amp;""=Recherche!$C$5&amp;""),OR(Recherche!$C$6="",IFERROR(YEAR(L3579),0)=Recherche!$C$6),OR(Recherche!$C$7="",ISNUMBER(SEARCH(Recherche!$C$7,H3579))),OR(Recherche!$C$8="",J3579=Recherche!$C$8),OR(Recherche!$C$9="",I3579=Recherche!$C$9),OR(Recherche!$C$10="",G3579&amp;""=Recherche!$C$10&amp;""),OR(Recherche!$C$11="",E3579=Recherche!$C$11),OR(Recherche!$C$12="",ISNUMBER(SEARCH(Recherche!$C$12,M3579&amp;" "&amp;F3579)))),1,0)</f>
        <v>8</v>
      </c>
    </row>
    <row r="3580" customFormat="false" ht="15" hidden="false" customHeight="false" outlineLevel="0" collapsed="false">
      <c r="A3580" s="19"/>
      <c r="B3580" s="19"/>
      <c r="C3580" s="19"/>
      <c r="D3580" s="19"/>
      <c r="E3580" s="22"/>
      <c r="F3580" s="19"/>
      <c r="G3580" s="26" t="str">
        <f aca="false">IF(D3580="","",IFERROR(VALUE(LEFT(D3580,FIND(" |",D3580&amp;" |")-1)),"?"))</f>
        <v/>
      </c>
      <c r="H3580" s="27" t="str">
        <f aca="false">IF(G3580="","",IF(G3580="?","⚠ pub inconnue",IFERROR(INDEX(Pubs!$B$2:$B$3001,MATCH(G3580,Pubs!$A$2:$A$3001,0))&amp;"","⚠ pub inconnue")))</f>
        <v/>
      </c>
      <c r="I3580" s="27" t="str">
        <f aca="false">IF(OR(G3580="",G3580="?"),"",IFERROR(INDEX(Pubs!$C$2:$C$3001,MATCH(G3580,Pubs!$A$2:$A$3001,0))&amp;"",""))</f>
        <v/>
      </c>
      <c r="J3580" s="27" t="str">
        <f aca="false">IF(OR(G3580="",G3580="?"),"",IFERROR(INDEX(Pubs!$G$2:$G$3001,MATCH(G3580,Pubs!$A$2:$A$3001,0))&amp;"",""))</f>
        <v/>
      </c>
      <c r="K3580" s="28" t="str">
        <f aca="false">IF(OR(G3580="",G3580="?"),"",IFERROR(INDEX(Pubs!$E$2:$E$3001,MATCH(G3580,Pubs!$A$2:$A$3001,0)),""))</f>
        <v/>
      </c>
      <c r="L3580" s="29" t="str">
        <f aca="false">IF(A3580="","",IFERROR(1/(1/INDEX(Numéros!$C$2:$C$3001,MATCH(A3580&amp;"|"&amp;B3580,Numéros!$F$2:$F$3001,0))),""))</f>
        <v/>
      </c>
      <c r="M3580" s="27" t="str">
        <f aca="false">IF(OR(G3580="",G3580="?"),"",IFERROR(INDEX(Pubs!$D$2:$D$3001,MATCH(G3580,Pubs!$A$2:$A$3001,0))&amp;"",""))</f>
        <v/>
      </c>
      <c r="N3580" s="27" t="n">
        <f aca="false">N(N3579)+IF(AND(A3580&lt;&gt;"",OR(Recherche!$C$4="",A3580=Recherche!$C$4),OR(Recherche!$C$5="",B3580&amp;""=Recherche!$C$5&amp;""),OR(Recherche!$C$6="",IFERROR(YEAR(L3580),0)=Recherche!$C$6),OR(Recherche!$C$7="",ISNUMBER(SEARCH(Recherche!$C$7,H3580))),OR(Recherche!$C$8="",J3580=Recherche!$C$8),OR(Recherche!$C$9="",I3580=Recherche!$C$9),OR(Recherche!$C$10="",G3580&amp;""=Recherche!$C$10&amp;""),OR(Recherche!$C$11="",E3580=Recherche!$C$11),OR(Recherche!$C$12="",ISNUMBER(SEARCH(Recherche!$C$12,M3580&amp;" "&amp;F3580)))),1,0)</f>
        <v>8</v>
      </c>
    </row>
    <row r="3581" customFormat="false" ht="15" hidden="false" customHeight="false" outlineLevel="0" collapsed="false">
      <c r="A3581" s="19"/>
      <c r="B3581" s="19"/>
      <c r="C3581" s="19"/>
      <c r="D3581" s="19"/>
      <c r="E3581" s="22"/>
      <c r="F3581" s="19"/>
      <c r="G3581" s="26" t="str">
        <f aca="false">IF(D3581="","",IFERROR(VALUE(LEFT(D3581,FIND(" |",D3581&amp;" |")-1)),"?"))</f>
        <v/>
      </c>
      <c r="H3581" s="27" t="str">
        <f aca="false">IF(G3581="","",IF(G3581="?","⚠ pub inconnue",IFERROR(INDEX(Pubs!$B$2:$B$3001,MATCH(G3581,Pubs!$A$2:$A$3001,0))&amp;"","⚠ pub inconnue")))</f>
        <v/>
      </c>
      <c r="I3581" s="27" t="str">
        <f aca="false">IF(OR(G3581="",G3581="?"),"",IFERROR(INDEX(Pubs!$C$2:$C$3001,MATCH(G3581,Pubs!$A$2:$A$3001,0))&amp;"",""))</f>
        <v/>
      </c>
      <c r="J3581" s="27" t="str">
        <f aca="false">IF(OR(G3581="",G3581="?"),"",IFERROR(INDEX(Pubs!$G$2:$G$3001,MATCH(G3581,Pubs!$A$2:$A$3001,0))&amp;"",""))</f>
        <v/>
      </c>
      <c r="K3581" s="28" t="str">
        <f aca="false">IF(OR(G3581="",G3581="?"),"",IFERROR(INDEX(Pubs!$E$2:$E$3001,MATCH(G3581,Pubs!$A$2:$A$3001,0)),""))</f>
        <v/>
      </c>
      <c r="L3581" s="29" t="str">
        <f aca="false">IF(A3581="","",IFERROR(1/(1/INDEX(Numéros!$C$2:$C$3001,MATCH(A3581&amp;"|"&amp;B3581,Numéros!$F$2:$F$3001,0))),""))</f>
        <v/>
      </c>
      <c r="M3581" s="27" t="str">
        <f aca="false">IF(OR(G3581="",G3581="?"),"",IFERROR(INDEX(Pubs!$D$2:$D$3001,MATCH(G3581,Pubs!$A$2:$A$3001,0))&amp;"",""))</f>
        <v/>
      </c>
      <c r="N3581" s="27" t="n">
        <f aca="false">N(N3580)+IF(AND(A3581&lt;&gt;"",OR(Recherche!$C$4="",A3581=Recherche!$C$4),OR(Recherche!$C$5="",B3581&amp;""=Recherche!$C$5&amp;""),OR(Recherche!$C$6="",IFERROR(YEAR(L3581),0)=Recherche!$C$6),OR(Recherche!$C$7="",ISNUMBER(SEARCH(Recherche!$C$7,H3581))),OR(Recherche!$C$8="",J3581=Recherche!$C$8),OR(Recherche!$C$9="",I3581=Recherche!$C$9),OR(Recherche!$C$10="",G3581&amp;""=Recherche!$C$10&amp;""),OR(Recherche!$C$11="",E3581=Recherche!$C$11),OR(Recherche!$C$12="",ISNUMBER(SEARCH(Recherche!$C$12,M3581&amp;" "&amp;F3581)))),1,0)</f>
        <v>8</v>
      </c>
    </row>
    <row r="3582" customFormat="false" ht="15" hidden="false" customHeight="false" outlineLevel="0" collapsed="false">
      <c r="A3582" s="19"/>
      <c r="B3582" s="19"/>
      <c r="C3582" s="19"/>
      <c r="D3582" s="19"/>
      <c r="E3582" s="22"/>
      <c r="F3582" s="19"/>
      <c r="G3582" s="26" t="str">
        <f aca="false">IF(D3582="","",IFERROR(VALUE(LEFT(D3582,FIND(" |",D3582&amp;" |")-1)),"?"))</f>
        <v/>
      </c>
      <c r="H3582" s="27" t="str">
        <f aca="false">IF(G3582="","",IF(G3582="?","⚠ pub inconnue",IFERROR(INDEX(Pubs!$B$2:$B$3001,MATCH(G3582,Pubs!$A$2:$A$3001,0))&amp;"","⚠ pub inconnue")))</f>
        <v/>
      </c>
      <c r="I3582" s="27" t="str">
        <f aca="false">IF(OR(G3582="",G3582="?"),"",IFERROR(INDEX(Pubs!$C$2:$C$3001,MATCH(G3582,Pubs!$A$2:$A$3001,0))&amp;"",""))</f>
        <v/>
      </c>
      <c r="J3582" s="27" t="str">
        <f aca="false">IF(OR(G3582="",G3582="?"),"",IFERROR(INDEX(Pubs!$G$2:$G$3001,MATCH(G3582,Pubs!$A$2:$A$3001,0))&amp;"",""))</f>
        <v/>
      </c>
      <c r="K3582" s="28" t="str">
        <f aca="false">IF(OR(G3582="",G3582="?"),"",IFERROR(INDEX(Pubs!$E$2:$E$3001,MATCH(G3582,Pubs!$A$2:$A$3001,0)),""))</f>
        <v/>
      </c>
      <c r="L3582" s="29" t="str">
        <f aca="false">IF(A3582="","",IFERROR(1/(1/INDEX(Numéros!$C$2:$C$3001,MATCH(A3582&amp;"|"&amp;B3582,Numéros!$F$2:$F$3001,0))),""))</f>
        <v/>
      </c>
      <c r="M3582" s="27" t="str">
        <f aca="false">IF(OR(G3582="",G3582="?"),"",IFERROR(INDEX(Pubs!$D$2:$D$3001,MATCH(G3582,Pubs!$A$2:$A$3001,0))&amp;"",""))</f>
        <v/>
      </c>
      <c r="N3582" s="27" t="n">
        <f aca="false">N(N3581)+IF(AND(A3582&lt;&gt;"",OR(Recherche!$C$4="",A3582=Recherche!$C$4),OR(Recherche!$C$5="",B3582&amp;""=Recherche!$C$5&amp;""),OR(Recherche!$C$6="",IFERROR(YEAR(L3582),0)=Recherche!$C$6),OR(Recherche!$C$7="",ISNUMBER(SEARCH(Recherche!$C$7,H3582))),OR(Recherche!$C$8="",J3582=Recherche!$C$8),OR(Recherche!$C$9="",I3582=Recherche!$C$9),OR(Recherche!$C$10="",G3582&amp;""=Recherche!$C$10&amp;""),OR(Recherche!$C$11="",E3582=Recherche!$C$11),OR(Recherche!$C$12="",ISNUMBER(SEARCH(Recherche!$C$12,M3582&amp;" "&amp;F3582)))),1,0)</f>
        <v>8</v>
      </c>
    </row>
    <row r="3583" customFormat="false" ht="15" hidden="false" customHeight="false" outlineLevel="0" collapsed="false">
      <c r="A3583" s="19"/>
      <c r="B3583" s="19"/>
      <c r="C3583" s="19"/>
      <c r="D3583" s="19"/>
      <c r="E3583" s="22"/>
      <c r="F3583" s="19"/>
      <c r="G3583" s="26" t="str">
        <f aca="false">IF(D3583="","",IFERROR(VALUE(LEFT(D3583,FIND(" |",D3583&amp;" |")-1)),"?"))</f>
        <v/>
      </c>
      <c r="H3583" s="27" t="str">
        <f aca="false">IF(G3583="","",IF(G3583="?","⚠ pub inconnue",IFERROR(INDEX(Pubs!$B$2:$B$3001,MATCH(G3583,Pubs!$A$2:$A$3001,0))&amp;"","⚠ pub inconnue")))</f>
        <v/>
      </c>
      <c r="I3583" s="27" t="str">
        <f aca="false">IF(OR(G3583="",G3583="?"),"",IFERROR(INDEX(Pubs!$C$2:$C$3001,MATCH(G3583,Pubs!$A$2:$A$3001,0))&amp;"",""))</f>
        <v/>
      </c>
      <c r="J3583" s="27" t="str">
        <f aca="false">IF(OR(G3583="",G3583="?"),"",IFERROR(INDEX(Pubs!$G$2:$G$3001,MATCH(G3583,Pubs!$A$2:$A$3001,0))&amp;"",""))</f>
        <v/>
      </c>
      <c r="K3583" s="28" t="str">
        <f aca="false">IF(OR(G3583="",G3583="?"),"",IFERROR(INDEX(Pubs!$E$2:$E$3001,MATCH(G3583,Pubs!$A$2:$A$3001,0)),""))</f>
        <v/>
      </c>
      <c r="L3583" s="29" t="str">
        <f aca="false">IF(A3583="","",IFERROR(1/(1/INDEX(Numéros!$C$2:$C$3001,MATCH(A3583&amp;"|"&amp;B3583,Numéros!$F$2:$F$3001,0))),""))</f>
        <v/>
      </c>
      <c r="M3583" s="27" t="str">
        <f aca="false">IF(OR(G3583="",G3583="?"),"",IFERROR(INDEX(Pubs!$D$2:$D$3001,MATCH(G3583,Pubs!$A$2:$A$3001,0))&amp;"",""))</f>
        <v/>
      </c>
      <c r="N3583" s="27" t="n">
        <f aca="false">N(N3582)+IF(AND(A3583&lt;&gt;"",OR(Recherche!$C$4="",A3583=Recherche!$C$4),OR(Recherche!$C$5="",B3583&amp;""=Recherche!$C$5&amp;""),OR(Recherche!$C$6="",IFERROR(YEAR(L3583),0)=Recherche!$C$6),OR(Recherche!$C$7="",ISNUMBER(SEARCH(Recherche!$C$7,H3583))),OR(Recherche!$C$8="",J3583=Recherche!$C$8),OR(Recherche!$C$9="",I3583=Recherche!$C$9),OR(Recherche!$C$10="",G3583&amp;""=Recherche!$C$10&amp;""),OR(Recherche!$C$11="",E3583=Recherche!$C$11),OR(Recherche!$C$12="",ISNUMBER(SEARCH(Recherche!$C$12,M3583&amp;" "&amp;F3583)))),1,0)</f>
        <v>8</v>
      </c>
    </row>
    <row r="3584" customFormat="false" ht="15" hidden="false" customHeight="false" outlineLevel="0" collapsed="false">
      <c r="A3584" s="19"/>
      <c r="B3584" s="19"/>
      <c r="C3584" s="19"/>
      <c r="D3584" s="19"/>
      <c r="E3584" s="22"/>
      <c r="F3584" s="19"/>
      <c r="G3584" s="26" t="str">
        <f aca="false">IF(D3584="","",IFERROR(VALUE(LEFT(D3584,FIND(" |",D3584&amp;" |")-1)),"?"))</f>
        <v/>
      </c>
      <c r="H3584" s="27" t="str">
        <f aca="false">IF(G3584="","",IF(G3584="?","⚠ pub inconnue",IFERROR(INDEX(Pubs!$B$2:$B$3001,MATCH(G3584,Pubs!$A$2:$A$3001,0))&amp;"","⚠ pub inconnue")))</f>
        <v/>
      </c>
      <c r="I3584" s="27" t="str">
        <f aca="false">IF(OR(G3584="",G3584="?"),"",IFERROR(INDEX(Pubs!$C$2:$C$3001,MATCH(G3584,Pubs!$A$2:$A$3001,0))&amp;"",""))</f>
        <v/>
      </c>
      <c r="J3584" s="27" t="str">
        <f aca="false">IF(OR(G3584="",G3584="?"),"",IFERROR(INDEX(Pubs!$G$2:$G$3001,MATCH(G3584,Pubs!$A$2:$A$3001,0))&amp;"",""))</f>
        <v/>
      </c>
      <c r="K3584" s="28" t="str">
        <f aca="false">IF(OR(G3584="",G3584="?"),"",IFERROR(INDEX(Pubs!$E$2:$E$3001,MATCH(G3584,Pubs!$A$2:$A$3001,0)),""))</f>
        <v/>
      </c>
      <c r="L3584" s="29" t="str">
        <f aca="false">IF(A3584="","",IFERROR(1/(1/INDEX(Numéros!$C$2:$C$3001,MATCH(A3584&amp;"|"&amp;B3584,Numéros!$F$2:$F$3001,0))),""))</f>
        <v/>
      </c>
      <c r="M3584" s="27" t="str">
        <f aca="false">IF(OR(G3584="",G3584="?"),"",IFERROR(INDEX(Pubs!$D$2:$D$3001,MATCH(G3584,Pubs!$A$2:$A$3001,0))&amp;"",""))</f>
        <v/>
      </c>
      <c r="N3584" s="27" t="n">
        <f aca="false">N(N3583)+IF(AND(A3584&lt;&gt;"",OR(Recherche!$C$4="",A3584=Recherche!$C$4),OR(Recherche!$C$5="",B3584&amp;""=Recherche!$C$5&amp;""),OR(Recherche!$C$6="",IFERROR(YEAR(L3584),0)=Recherche!$C$6),OR(Recherche!$C$7="",ISNUMBER(SEARCH(Recherche!$C$7,H3584))),OR(Recherche!$C$8="",J3584=Recherche!$C$8),OR(Recherche!$C$9="",I3584=Recherche!$C$9),OR(Recherche!$C$10="",G3584&amp;""=Recherche!$C$10&amp;""),OR(Recherche!$C$11="",E3584=Recherche!$C$11),OR(Recherche!$C$12="",ISNUMBER(SEARCH(Recherche!$C$12,M3584&amp;" "&amp;F3584)))),1,0)</f>
        <v>8</v>
      </c>
    </row>
    <row r="3585" customFormat="false" ht="15" hidden="false" customHeight="false" outlineLevel="0" collapsed="false">
      <c r="A3585" s="19"/>
      <c r="B3585" s="19"/>
      <c r="C3585" s="19"/>
      <c r="D3585" s="19"/>
      <c r="E3585" s="22"/>
      <c r="F3585" s="19"/>
      <c r="G3585" s="26" t="str">
        <f aca="false">IF(D3585="","",IFERROR(VALUE(LEFT(D3585,FIND(" |",D3585&amp;" |")-1)),"?"))</f>
        <v/>
      </c>
      <c r="H3585" s="27" t="str">
        <f aca="false">IF(G3585="","",IF(G3585="?","⚠ pub inconnue",IFERROR(INDEX(Pubs!$B$2:$B$3001,MATCH(G3585,Pubs!$A$2:$A$3001,0))&amp;"","⚠ pub inconnue")))</f>
        <v/>
      </c>
      <c r="I3585" s="27" t="str">
        <f aca="false">IF(OR(G3585="",G3585="?"),"",IFERROR(INDEX(Pubs!$C$2:$C$3001,MATCH(G3585,Pubs!$A$2:$A$3001,0))&amp;"",""))</f>
        <v/>
      </c>
      <c r="J3585" s="27" t="str">
        <f aca="false">IF(OR(G3585="",G3585="?"),"",IFERROR(INDEX(Pubs!$G$2:$G$3001,MATCH(G3585,Pubs!$A$2:$A$3001,0))&amp;"",""))</f>
        <v/>
      </c>
      <c r="K3585" s="28" t="str">
        <f aca="false">IF(OR(G3585="",G3585="?"),"",IFERROR(INDEX(Pubs!$E$2:$E$3001,MATCH(G3585,Pubs!$A$2:$A$3001,0)),""))</f>
        <v/>
      </c>
      <c r="L3585" s="29" t="str">
        <f aca="false">IF(A3585="","",IFERROR(1/(1/INDEX(Numéros!$C$2:$C$3001,MATCH(A3585&amp;"|"&amp;B3585,Numéros!$F$2:$F$3001,0))),""))</f>
        <v/>
      </c>
      <c r="M3585" s="27" t="str">
        <f aca="false">IF(OR(G3585="",G3585="?"),"",IFERROR(INDEX(Pubs!$D$2:$D$3001,MATCH(G3585,Pubs!$A$2:$A$3001,0))&amp;"",""))</f>
        <v/>
      </c>
      <c r="N3585" s="27" t="n">
        <f aca="false">N(N3584)+IF(AND(A3585&lt;&gt;"",OR(Recherche!$C$4="",A3585=Recherche!$C$4),OR(Recherche!$C$5="",B3585&amp;""=Recherche!$C$5&amp;""),OR(Recherche!$C$6="",IFERROR(YEAR(L3585),0)=Recherche!$C$6),OR(Recherche!$C$7="",ISNUMBER(SEARCH(Recherche!$C$7,H3585))),OR(Recherche!$C$8="",J3585=Recherche!$C$8),OR(Recherche!$C$9="",I3585=Recherche!$C$9),OR(Recherche!$C$10="",G3585&amp;""=Recherche!$C$10&amp;""),OR(Recherche!$C$11="",E3585=Recherche!$C$11),OR(Recherche!$C$12="",ISNUMBER(SEARCH(Recherche!$C$12,M3585&amp;" "&amp;F3585)))),1,0)</f>
        <v>8</v>
      </c>
    </row>
    <row r="3586" customFormat="false" ht="15" hidden="false" customHeight="false" outlineLevel="0" collapsed="false">
      <c r="A3586" s="19"/>
      <c r="B3586" s="19"/>
      <c r="C3586" s="19"/>
      <c r="D3586" s="19"/>
      <c r="E3586" s="22"/>
      <c r="F3586" s="19"/>
      <c r="G3586" s="26" t="str">
        <f aca="false">IF(D3586="","",IFERROR(VALUE(LEFT(D3586,FIND(" |",D3586&amp;" |")-1)),"?"))</f>
        <v/>
      </c>
      <c r="H3586" s="27" t="str">
        <f aca="false">IF(G3586="","",IF(G3586="?","⚠ pub inconnue",IFERROR(INDEX(Pubs!$B$2:$B$3001,MATCH(G3586,Pubs!$A$2:$A$3001,0))&amp;"","⚠ pub inconnue")))</f>
        <v/>
      </c>
      <c r="I3586" s="27" t="str">
        <f aca="false">IF(OR(G3586="",G3586="?"),"",IFERROR(INDEX(Pubs!$C$2:$C$3001,MATCH(G3586,Pubs!$A$2:$A$3001,0))&amp;"",""))</f>
        <v/>
      </c>
      <c r="J3586" s="27" t="str">
        <f aca="false">IF(OR(G3586="",G3586="?"),"",IFERROR(INDEX(Pubs!$G$2:$G$3001,MATCH(G3586,Pubs!$A$2:$A$3001,0))&amp;"",""))</f>
        <v/>
      </c>
      <c r="K3586" s="28" t="str">
        <f aca="false">IF(OR(G3586="",G3586="?"),"",IFERROR(INDEX(Pubs!$E$2:$E$3001,MATCH(G3586,Pubs!$A$2:$A$3001,0)),""))</f>
        <v/>
      </c>
      <c r="L3586" s="29" t="str">
        <f aca="false">IF(A3586="","",IFERROR(1/(1/INDEX(Numéros!$C$2:$C$3001,MATCH(A3586&amp;"|"&amp;B3586,Numéros!$F$2:$F$3001,0))),""))</f>
        <v/>
      </c>
      <c r="M3586" s="27" t="str">
        <f aca="false">IF(OR(G3586="",G3586="?"),"",IFERROR(INDEX(Pubs!$D$2:$D$3001,MATCH(G3586,Pubs!$A$2:$A$3001,0))&amp;"",""))</f>
        <v/>
      </c>
      <c r="N3586" s="27" t="n">
        <f aca="false">N(N3585)+IF(AND(A3586&lt;&gt;"",OR(Recherche!$C$4="",A3586=Recherche!$C$4),OR(Recherche!$C$5="",B3586&amp;""=Recherche!$C$5&amp;""),OR(Recherche!$C$6="",IFERROR(YEAR(L3586),0)=Recherche!$C$6),OR(Recherche!$C$7="",ISNUMBER(SEARCH(Recherche!$C$7,H3586))),OR(Recherche!$C$8="",J3586=Recherche!$C$8),OR(Recherche!$C$9="",I3586=Recherche!$C$9),OR(Recherche!$C$10="",G3586&amp;""=Recherche!$C$10&amp;""),OR(Recherche!$C$11="",E3586=Recherche!$C$11),OR(Recherche!$C$12="",ISNUMBER(SEARCH(Recherche!$C$12,M3586&amp;" "&amp;F3586)))),1,0)</f>
        <v>8</v>
      </c>
    </row>
    <row r="3587" customFormat="false" ht="15" hidden="false" customHeight="false" outlineLevel="0" collapsed="false">
      <c r="A3587" s="19"/>
      <c r="B3587" s="19"/>
      <c r="C3587" s="19"/>
      <c r="D3587" s="19"/>
      <c r="E3587" s="22"/>
      <c r="F3587" s="19"/>
      <c r="G3587" s="26" t="str">
        <f aca="false">IF(D3587="","",IFERROR(VALUE(LEFT(D3587,FIND(" |",D3587&amp;" |")-1)),"?"))</f>
        <v/>
      </c>
      <c r="H3587" s="27" t="str">
        <f aca="false">IF(G3587="","",IF(G3587="?","⚠ pub inconnue",IFERROR(INDEX(Pubs!$B$2:$B$3001,MATCH(G3587,Pubs!$A$2:$A$3001,0))&amp;"","⚠ pub inconnue")))</f>
        <v/>
      </c>
      <c r="I3587" s="27" t="str">
        <f aca="false">IF(OR(G3587="",G3587="?"),"",IFERROR(INDEX(Pubs!$C$2:$C$3001,MATCH(G3587,Pubs!$A$2:$A$3001,0))&amp;"",""))</f>
        <v/>
      </c>
      <c r="J3587" s="27" t="str">
        <f aca="false">IF(OR(G3587="",G3587="?"),"",IFERROR(INDEX(Pubs!$G$2:$G$3001,MATCH(G3587,Pubs!$A$2:$A$3001,0))&amp;"",""))</f>
        <v/>
      </c>
      <c r="K3587" s="28" t="str">
        <f aca="false">IF(OR(G3587="",G3587="?"),"",IFERROR(INDEX(Pubs!$E$2:$E$3001,MATCH(G3587,Pubs!$A$2:$A$3001,0)),""))</f>
        <v/>
      </c>
      <c r="L3587" s="29" t="str">
        <f aca="false">IF(A3587="","",IFERROR(1/(1/INDEX(Numéros!$C$2:$C$3001,MATCH(A3587&amp;"|"&amp;B3587,Numéros!$F$2:$F$3001,0))),""))</f>
        <v/>
      </c>
      <c r="M3587" s="27" t="str">
        <f aca="false">IF(OR(G3587="",G3587="?"),"",IFERROR(INDEX(Pubs!$D$2:$D$3001,MATCH(G3587,Pubs!$A$2:$A$3001,0))&amp;"",""))</f>
        <v/>
      </c>
      <c r="N3587" s="27" t="n">
        <f aca="false">N(N3586)+IF(AND(A3587&lt;&gt;"",OR(Recherche!$C$4="",A3587=Recherche!$C$4),OR(Recherche!$C$5="",B3587&amp;""=Recherche!$C$5&amp;""),OR(Recherche!$C$6="",IFERROR(YEAR(L3587),0)=Recherche!$C$6),OR(Recherche!$C$7="",ISNUMBER(SEARCH(Recherche!$C$7,H3587))),OR(Recherche!$C$8="",J3587=Recherche!$C$8),OR(Recherche!$C$9="",I3587=Recherche!$C$9),OR(Recherche!$C$10="",G3587&amp;""=Recherche!$C$10&amp;""),OR(Recherche!$C$11="",E3587=Recherche!$C$11),OR(Recherche!$C$12="",ISNUMBER(SEARCH(Recherche!$C$12,M3587&amp;" "&amp;F3587)))),1,0)</f>
        <v>8</v>
      </c>
    </row>
    <row r="3588" customFormat="false" ht="15" hidden="false" customHeight="false" outlineLevel="0" collapsed="false">
      <c r="A3588" s="19"/>
      <c r="B3588" s="19"/>
      <c r="C3588" s="19"/>
      <c r="D3588" s="19"/>
      <c r="E3588" s="22"/>
      <c r="F3588" s="19"/>
      <c r="G3588" s="26" t="str">
        <f aca="false">IF(D3588="","",IFERROR(VALUE(LEFT(D3588,FIND(" |",D3588&amp;" |")-1)),"?"))</f>
        <v/>
      </c>
      <c r="H3588" s="27" t="str">
        <f aca="false">IF(G3588="","",IF(G3588="?","⚠ pub inconnue",IFERROR(INDEX(Pubs!$B$2:$B$3001,MATCH(G3588,Pubs!$A$2:$A$3001,0))&amp;"","⚠ pub inconnue")))</f>
        <v/>
      </c>
      <c r="I3588" s="27" t="str">
        <f aca="false">IF(OR(G3588="",G3588="?"),"",IFERROR(INDEX(Pubs!$C$2:$C$3001,MATCH(G3588,Pubs!$A$2:$A$3001,0))&amp;"",""))</f>
        <v/>
      </c>
      <c r="J3588" s="27" t="str">
        <f aca="false">IF(OR(G3588="",G3588="?"),"",IFERROR(INDEX(Pubs!$G$2:$G$3001,MATCH(G3588,Pubs!$A$2:$A$3001,0))&amp;"",""))</f>
        <v/>
      </c>
      <c r="K3588" s="28" t="str">
        <f aca="false">IF(OR(G3588="",G3588="?"),"",IFERROR(INDEX(Pubs!$E$2:$E$3001,MATCH(G3588,Pubs!$A$2:$A$3001,0)),""))</f>
        <v/>
      </c>
      <c r="L3588" s="29" t="str">
        <f aca="false">IF(A3588="","",IFERROR(1/(1/INDEX(Numéros!$C$2:$C$3001,MATCH(A3588&amp;"|"&amp;B3588,Numéros!$F$2:$F$3001,0))),""))</f>
        <v/>
      </c>
      <c r="M3588" s="27" t="str">
        <f aca="false">IF(OR(G3588="",G3588="?"),"",IFERROR(INDEX(Pubs!$D$2:$D$3001,MATCH(G3588,Pubs!$A$2:$A$3001,0))&amp;"",""))</f>
        <v/>
      </c>
      <c r="N3588" s="27" t="n">
        <f aca="false">N(N3587)+IF(AND(A3588&lt;&gt;"",OR(Recherche!$C$4="",A3588=Recherche!$C$4),OR(Recherche!$C$5="",B3588&amp;""=Recherche!$C$5&amp;""),OR(Recherche!$C$6="",IFERROR(YEAR(L3588),0)=Recherche!$C$6),OR(Recherche!$C$7="",ISNUMBER(SEARCH(Recherche!$C$7,H3588))),OR(Recherche!$C$8="",J3588=Recherche!$C$8),OR(Recherche!$C$9="",I3588=Recherche!$C$9),OR(Recherche!$C$10="",G3588&amp;""=Recherche!$C$10&amp;""),OR(Recherche!$C$11="",E3588=Recherche!$C$11),OR(Recherche!$C$12="",ISNUMBER(SEARCH(Recherche!$C$12,M3588&amp;" "&amp;F3588)))),1,0)</f>
        <v>8</v>
      </c>
    </row>
    <row r="3589" customFormat="false" ht="15" hidden="false" customHeight="false" outlineLevel="0" collapsed="false">
      <c r="A3589" s="19"/>
      <c r="B3589" s="19"/>
      <c r="C3589" s="19"/>
      <c r="D3589" s="19"/>
      <c r="E3589" s="22"/>
      <c r="F3589" s="19"/>
      <c r="G3589" s="26" t="str">
        <f aca="false">IF(D3589="","",IFERROR(VALUE(LEFT(D3589,FIND(" |",D3589&amp;" |")-1)),"?"))</f>
        <v/>
      </c>
      <c r="H3589" s="27" t="str">
        <f aca="false">IF(G3589="","",IF(G3589="?","⚠ pub inconnue",IFERROR(INDEX(Pubs!$B$2:$B$3001,MATCH(G3589,Pubs!$A$2:$A$3001,0))&amp;"","⚠ pub inconnue")))</f>
        <v/>
      </c>
      <c r="I3589" s="27" t="str">
        <f aca="false">IF(OR(G3589="",G3589="?"),"",IFERROR(INDEX(Pubs!$C$2:$C$3001,MATCH(G3589,Pubs!$A$2:$A$3001,0))&amp;"",""))</f>
        <v/>
      </c>
      <c r="J3589" s="27" t="str">
        <f aca="false">IF(OR(G3589="",G3589="?"),"",IFERROR(INDEX(Pubs!$G$2:$G$3001,MATCH(G3589,Pubs!$A$2:$A$3001,0))&amp;"",""))</f>
        <v/>
      </c>
      <c r="K3589" s="28" t="str">
        <f aca="false">IF(OR(G3589="",G3589="?"),"",IFERROR(INDEX(Pubs!$E$2:$E$3001,MATCH(G3589,Pubs!$A$2:$A$3001,0)),""))</f>
        <v/>
      </c>
      <c r="L3589" s="29" t="str">
        <f aca="false">IF(A3589="","",IFERROR(1/(1/INDEX(Numéros!$C$2:$C$3001,MATCH(A3589&amp;"|"&amp;B3589,Numéros!$F$2:$F$3001,0))),""))</f>
        <v/>
      </c>
      <c r="M3589" s="27" t="str">
        <f aca="false">IF(OR(G3589="",G3589="?"),"",IFERROR(INDEX(Pubs!$D$2:$D$3001,MATCH(G3589,Pubs!$A$2:$A$3001,0))&amp;"",""))</f>
        <v/>
      </c>
      <c r="N3589" s="27" t="n">
        <f aca="false">N(N3588)+IF(AND(A3589&lt;&gt;"",OR(Recherche!$C$4="",A3589=Recherche!$C$4),OR(Recherche!$C$5="",B3589&amp;""=Recherche!$C$5&amp;""),OR(Recherche!$C$6="",IFERROR(YEAR(L3589),0)=Recherche!$C$6),OR(Recherche!$C$7="",ISNUMBER(SEARCH(Recherche!$C$7,H3589))),OR(Recherche!$C$8="",J3589=Recherche!$C$8),OR(Recherche!$C$9="",I3589=Recherche!$C$9),OR(Recherche!$C$10="",G3589&amp;""=Recherche!$C$10&amp;""),OR(Recherche!$C$11="",E3589=Recherche!$C$11),OR(Recherche!$C$12="",ISNUMBER(SEARCH(Recherche!$C$12,M3589&amp;" "&amp;F3589)))),1,0)</f>
        <v>8</v>
      </c>
    </row>
    <row r="3590" customFormat="false" ht="15" hidden="false" customHeight="false" outlineLevel="0" collapsed="false">
      <c r="A3590" s="19"/>
      <c r="B3590" s="19"/>
      <c r="C3590" s="19"/>
      <c r="D3590" s="19"/>
      <c r="E3590" s="22"/>
      <c r="F3590" s="19"/>
      <c r="G3590" s="26" t="str">
        <f aca="false">IF(D3590="","",IFERROR(VALUE(LEFT(D3590,FIND(" |",D3590&amp;" |")-1)),"?"))</f>
        <v/>
      </c>
      <c r="H3590" s="27" t="str">
        <f aca="false">IF(G3590="","",IF(G3590="?","⚠ pub inconnue",IFERROR(INDEX(Pubs!$B$2:$B$3001,MATCH(G3590,Pubs!$A$2:$A$3001,0))&amp;"","⚠ pub inconnue")))</f>
        <v/>
      </c>
      <c r="I3590" s="27" t="str">
        <f aca="false">IF(OR(G3590="",G3590="?"),"",IFERROR(INDEX(Pubs!$C$2:$C$3001,MATCH(G3590,Pubs!$A$2:$A$3001,0))&amp;"",""))</f>
        <v/>
      </c>
      <c r="J3590" s="27" t="str">
        <f aca="false">IF(OR(G3590="",G3590="?"),"",IFERROR(INDEX(Pubs!$G$2:$G$3001,MATCH(G3590,Pubs!$A$2:$A$3001,0))&amp;"",""))</f>
        <v/>
      </c>
      <c r="K3590" s="28" t="str">
        <f aca="false">IF(OR(G3590="",G3590="?"),"",IFERROR(INDEX(Pubs!$E$2:$E$3001,MATCH(G3590,Pubs!$A$2:$A$3001,0)),""))</f>
        <v/>
      </c>
      <c r="L3590" s="29" t="str">
        <f aca="false">IF(A3590="","",IFERROR(1/(1/INDEX(Numéros!$C$2:$C$3001,MATCH(A3590&amp;"|"&amp;B3590,Numéros!$F$2:$F$3001,0))),""))</f>
        <v/>
      </c>
      <c r="M3590" s="27" t="str">
        <f aca="false">IF(OR(G3590="",G3590="?"),"",IFERROR(INDEX(Pubs!$D$2:$D$3001,MATCH(G3590,Pubs!$A$2:$A$3001,0))&amp;"",""))</f>
        <v/>
      </c>
      <c r="N3590" s="27" t="n">
        <f aca="false">N(N3589)+IF(AND(A3590&lt;&gt;"",OR(Recherche!$C$4="",A3590=Recherche!$C$4),OR(Recherche!$C$5="",B3590&amp;""=Recherche!$C$5&amp;""),OR(Recherche!$C$6="",IFERROR(YEAR(L3590),0)=Recherche!$C$6),OR(Recherche!$C$7="",ISNUMBER(SEARCH(Recherche!$C$7,H3590))),OR(Recherche!$C$8="",J3590=Recherche!$C$8),OR(Recherche!$C$9="",I3590=Recherche!$C$9),OR(Recherche!$C$10="",G3590&amp;""=Recherche!$C$10&amp;""),OR(Recherche!$C$11="",E3590=Recherche!$C$11),OR(Recherche!$C$12="",ISNUMBER(SEARCH(Recherche!$C$12,M3590&amp;" "&amp;F3590)))),1,0)</f>
        <v>8</v>
      </c>
    </row>
    <row r="3591" customFormat="false" ht="15" hidden="false" customHeight="false" outlineLevel="0" collapsed="false">
      <c r="A3591" s="19"/>
      <c r="B3591" s="19"/>
      <c r="C3591" s="19"/>
      <c r="D3591" s="19"/>
      <c r="E3591" s="22"/>
      <c r="F3591" s="19"/>
      <c r="G3591" s="26" t="str">
        <f aca="false">IF(D3591="","",IFERROR(VALUE(LEFT(D3591,FIND(" |",D3591&amp;" |")-1)),"?"))</f>
        <v/>
      </c>
      <c r="H3591" s="27" t="str">
        <f aca="false">IF(G3591="","",IF(G3591="?","⚠ pub inconnue",IFERROR(INDEX(Pubs!$B$2:$B$3001,MATCH(G3591,Pubs!$A$2:$A$3001,0))&amp;"","⚠ pub inconnue")))</f>
        <v/>
      </c>
      <c r="I3591" s="27" t="str">
        <f aca="false">IF(OR(G3591="",G3591="?"),"",IFERROR(INDEX(Pubs!$C$2:$C$3001,MATCH(G3591,Pubs!$A$2:$A$3001,0))&amp;"",""))</f>
        <v/>
      </c>
      <c r="J3591" s="27" t="str">
        <f aca="false">IF(OR(G3591="",G3591="?"),"",IFERROR(INDEX(Pubs!$G$2:$G$3001,MATCH(G3591,Pubs!$A$2:$A$3001,0))&amp;"",""))</f>
        <v/>
      </c>
      <c r="K3591" s="28" t="str">
        <f aca="false">IF(OR(G3591="",G3591="?"),"",IFERROR(INDEX(Pubs!$E$2:$E$3001,MATCH(G3591,Pubs!$A$2:$A$3001,0)),""))</f>
        <v/>
      </c>
      <c r="L3591" s="29" t="str">
        <f aca="false">IF(A3591="","",IFERROR(1/(1/INDEX(Numéros!$C$2:$C$3001,MATCH(A3591&amp;"|"&amp;B3591,Numéros!$F$2:$F$3001,0))),""))</f>
        <v/>
      </c>
      <c r="M3591" s="27" t="str">
        <f aca="false">IF(OR(G3591="",G3591="?"),"",IFERROR(INDEX(Pubs!$D$2:$D$3001,MATCH(G3591,Pubs!$A$2:$A$3001,0))&amp;"",""))</f>
        <v/>
      </c>
      <c r="N3591" s="27" t="n">
        <f aca="false">N(N3590)+IF(AND(A3591&lt;&gt;"",OR(Recherche!$C$4="",A3591=Recherche!$C$4),OR(Recherche!$C$5="",B3591&amp;""=Recherche!$C$5&amp;""),OR(Recherche!$C$6="",IFERROR(YEAR(L3591),0)=Recherche!$C$6),OR(Recherche!$C$7="",ISNUMBER(SEARCH(Recherche!$C$7,H3591))),OR(Recherche!$C$8="",J3591=Recherche!$C$8),OR(Recherche!$C$9="",I3591=Recherche!$C$9),OR(Recherche!$C$10="",G3591&amp;""=Recherche!$C$10&amp;""),OR(Recherche!$C$11="",E3591=Recherche!$C$11),OR(Recherche!$C$12="",ISNUMBER(SEARCH(Recherche!$C$12,M3591&amp;" "&amp;F3591)))),1,0)</f>
        <v>8</v>
      </c>
    </row>
    <row r="3592" customFormat="false" ht="15" hidden="false" customHeight="false" outlineLevel="0" collapsed="false">
      <c r="A3592" s="19"/>
      <c r="B3592" s="19"/>
      <c r="C3592" s="19"/>
      <c r="D3592" s="19"/>
      <c r="E3592" s="22"/>
      <c r="F3592" s="19"/>
      <c r="G3592" s="26" t="str">
        <f aca="false">IF(D3592="","",IFERROR(VALUE(LEFT(D3592,FIND(" |",D3592&amp;" |")-1)),"?"))</f>
        <v/>
      </c>
      <c r="H3592" s="27" t="str">
        <f aca="false">IF(G3592="","",IF(G3592="?","⚠ pub inconnue",IFERROR(INDEX(Pubs!$B$2:$B$3001,MATCH(G3592,Pubs!$A$2:$A$3001,0))&amp;"","⚠ pub inconnue")))</f>
        <v/>
      </c>
      <c r="I3592" s="27" t="str">
        <f aca="false">IF(OR(G3592="",G3592="?"),"",IFERROR(INDEX(Pubs!$C$2:$C$3001,MATCH(G3592,Pubs!$A$2:$A$3001,0))&amp;"",""))</f>
        <v/>
      </c>
      <c r="J3592" s="27" t="str">
        <f aca="false">IF(OR(G3592="",G3592="?"),"",IFERROR(INDEX(Pubs!$G$2:$G$3001,MATCH(G3592,Pubs!$A$2:$A$3001,0))&amp;"",""))</f>
        <v/>
      </c>
      <c r="K3592" s="28" t="str">
        <f aca="false">IF(OR(G3592="",G3592="?"),"",IFERROR(INDEX(Pubs!$E$2:$E$3001,MATCH(G3592,Pubs!$A$2:$A$3001,0)),""))</f>
        <v/>
      </c>
      <c r="L3592" s="29" t="str">
        <f aca="false">IF(A3592="","",IFERROR(1/(1/INDEX(Numéros!$C$2:$C$3001,MATCH(A3592&amp;"|"&amp;B3592,Numéros!$F$2:$F$3001,0))),""))</f>
        <v/>
      </c>
      <c r="M3592" s="27" t="str">
        <f aca="false">IF(OR(G3592="",G3592="?"),"",IFERROR(INDEX(Pubs!$D$2:$D$3001,MATCH(G3592,Pubs!$A$2:$A$3001,0))&amp;"",""))</f>
        <v/>
      </c>
      <c r="N3592" s="27" t="n">
        <f aca="false">N(N3591)+IF(AND(A3592&lt;&gt;"",OR(Recherche!$C$4="",A3592=Recherche!$C$4),OR(Recherche!$C$5="",B3592&amp;""=Recherche!$C$5&amp;""),OR(Recherche!$C$6="",IFERROR(YEAR(L3592),0)=Recherche!$C$6),OR(Recherche!$C$7="",ISNUMBER(SEARCH(Recherche!$C$7,H3592))),OR(Recherche!$C$8="",J3592=Recherche!$C$8),OR(Recherche!$C$9="",I3592=Recherche!$C$9),OR(Recherche!$C$10="",G3592&amp;""=Recherche!$C$10&amp;""),OR(Recherche!$C$11="",E3592=Recherche!$C$11),OR(Recherche!$C$12="",ISNUMBER(SEARCH(Recherche!$C$12,M3592&amp;" "&amp;F3592)))),1,0)</f>
        <v>8</v>
      </c>
    </row>
    <row r="3593" customFormat="false" ht="15" hidden="false" customHeight="false" outlineLevel="0" collapsed="false">
      <c r="A3593" s="19"/>
      <c r="B3593" s="19"/>
      <c r="C3593" s="19"/>
      <c r="D3593" s="19"/>
      <c r="E3593" s="22"/>
      <c r="F3593" s="19"/>
      <c r="G3593" s="26" t="str">
        <f aca="false">IF(D3593="","",IFERROR(VALUE(LEFT(D3593,FIND(" |",D3593&amp;" |")-1)),"?"))</f>
        <v/>
      </c>
      <c r="H3593" s="27" t="str">
        <f aca="false">IF(G3593="","",IF(G3593="?","⚠ pub inconnue",IFERROR(INDEX(Pubs!$B$2:$B$3001,MATCH(G3593,Pubs!$A$2:$A$3001,0))&amp;"","⚠ pub inconnue")))</f>
        <v/>
      </c>
      <c r="I3593" s="27" t="str">
        <f aca="false">IF(OR(G3593="",G3593="?"),"",IFERROR(INDEX(Pubs!$C$2:$C$3001,MATCH(G3593,Pubs!$A$2:$A$3001,0))&amp;"",""))</f>
        <v/>
      </c>
      <c r="J3593" s="27" t="str">
        <f aca="false">IF(OR(G3593="",G3593="?"),"",IFERROR(INDEX(Pubs!$G$2:$G$3001,MATCH(G3593,Pubs!$A$2:$A$3001,0))&amp;"",""))</f>
        <v/>
      </c>
      <c r="K3593" s="28" t="str">
        <f aca="false">IF(OR(G3593="",G3593="?"),"",IFERROR(INDEX(Pubs!$E$2:$E$3001,MATCH(G3593,Pubs!$A$2:$A$3001,0)),""))</f>
        <v/>
      </c>
      <c r="L3593" s="29" t="str">
        <f aca="false">IF(A3593="","",IFERROR(1/(1/INDEX(Numéros!$C$2:$C$3001,MATCH(A3593&amp;"|"&amp;B3593,Numéros!$F$2:$F$3001,0))),""))</f>
        <v/>
      </c>
      <c r="M3593" s="27" t="str">
        <f aca="false">IF(OR(G3593="",G3593="?"),"",IFERROR(INDEX(Pubs!$D$2:$D$3001,MATCH(G3593,Pubs!$A$2:$A$3001,0))&amp;"",""))</f>
        <v/>
      </c>
      <c r="N3593" s="27" t="n">
        <f aca="false">N(N3592)+IF(AND(A3593&lt;&gt;"",OR(Recherche!$C$4="",A3593=Recherche!$C$4),OR(Recherche!$C$5="",B3593&amp;""=Recherche!$C$5&amp;""),OR(Recherche!$C$6="",IFERROR(YEAR(L3593),0)=Recherche!$C$6),OR(Recherche!$C$7="",ISNUMBER(SEARCH(Recherche!$C$7,H3593))),OR(Recherche!$C$8="",J3593=Recherche!$C$8),OR(Recherche!$C$9="",I3593=Recherche!$C$9),OR(Recherche!$C$10="",G3593&amp;""=Recherche!$C$10&amp;""),OR(Recherche!$C$11="",E3593=Recherche!$C$11),OR(Recherche!$C$12="",ISNUMBER(SEARCH(Recherche!$C$12,M3593&amp;" "&amp;F3593)))),1,0)</f>
        <v>8</v>
      </c>
    </row>
    <row r="3594" customFormat="false" ht="15" hidden="false" customHeight="false" outlineLevel="0" collapsed="false">
      <c r="A3594" s="19"/>
      <c r="B3594" s="19"/>
      <c r="C3594" s="19"/>
      <c r="D3594" s="19"/>
      <c r="E3594" s="22"/>
      <c r="F3594" s="19"/>
      <c r="G3594" s="26" t="str">
        <f aca="false">IF(D3594="","",IFERROR(VALUE(LEFT(D3594,FIND(" |",D3594&amp;" |")-1)),"?"))</f>
        <v/>
      </c>
      <c r="H3594" s="27" t="str">
        <f aca="false">IF(G3594="","",IF(G3594="?","⚠ pub inconnue",IFERROR(INDEX(Pubs!$B$2:$B$3001,MATCH(G3594,Pubs!$A$2:$A$3001,0))&amp;"","⚠ pub inconnue")))</f>
        <v/>
      </c>
      <c r="I3594" s="27" t="str">
        <f aca="false">IF(OR(G3594="",G3594="?"),"",IFERROR(INDEX(Pubs!$C$2:$C$3001,MATCH(G3594,Pubs!$A$2:$A$3001,0))&amp;"",""))</f>
        <v/>
      </c>
      <c r="J3594" s="27" t="str">
        <f aca="false">IF(OR(G3594="",G3594="?"),"",IFERROR(INDEX(Pubs!$G$2:$G$3001,MATCH(G3594,Pubs!$A$2:$A$3001,0))&amp;"",""))</f>
        <v/>
      </c>
      <c r="K3594" s="28" t="str">
        <f aca="false">IF(OR(G3594="",G3594="?"),"",IFERROR(INDEX(Pubs!$E$2:$E$3001,MATCH(G3594,Pubs!$A$2:$A$3001,0)),""))</f>
        <v/>
      </c>
      <c r="L3594" s="29" t="str">
        <f aca="false">IF(A3594="","",IFERROR(1/(1/INDEX(Numéros!$C$2:$C$3001,MATCH(A3594&amp;"|"&amp;B3594,Numéros!$F$2:$F$3001,0))),""))</f>
        <v/>
      </c>
      <c r="M3594" s="27" t="str">
        <f aca="false">IF(OR(G3594="",G3594="?"),"",IFERROR(INDEX(Pubs!$D$2:$D$3001,MATCH(G3594,Pubs!$A$2:$A$3001,0))&amp;"",""))</f>
        <v/>
      </c>
      <c r="N3594" s="27" t="n">
        <f aca="false">N(N3593)+IF(AND(A3594&lt;&gt;"",OR(Recherche!$C$4="",A3594=Recherche!$C$4),OR(Recherche!$C$5="",B3594&amp;""=Recherche!$C$5&amp;""),OR(Recherche!$C$6="",IFERROR(YEAR(L3594),0)=Recherche!$C$6),OR(Recherche!$C$7="",ISNUMBER(SEARCH(Recherche!$C$7,H3594))),OR(Recherche!$C$8="",J3594=Recherche!$C$8),OR(Recherche!$C$9="",I3594=Recherche!$C$9),OR(Recherche!$C$10="",G3594&amp;""=Recherche!$C$10&amp;""),OR(Recherche!$C$11="",E3594=Recherche!$C$11),OR(Recherche!$C$12="",ISNUMBER(SEARCH(Recherche!$C$12,M3594&amp;" "&amp;F3594)))),1,0)</f>
        <v>8</v>
      </c>
    </row>
    <row r="3595" customFormat="false" ht="15" hidden="false" customHeight="false" outlineLevel="0" collapsed="false">
      <c r="A3595" s="19"/>
      <c r="B3595" s="19"/>
      <c r="C3595" s="19"/>
      <c r="D3595" s="19"/>
      <c r="E3595" s="22"/>
      <c r="F3595" s="19"/>
      <c r="G3595" s="26" t="str">
        <f aca="false">IF(D3595="","",IFERROR(VALUE(LEFT(D3595,FIND(" |",D3595&amp;" |")-1)),"?"))</f>
        <v/>
      </c>
      <c r="H3595" s="27" t="str">
        <f aca="false">IF(G3595="","",IF(G3595="?","⚠ pub inconnue",IFERROR(INDEX(Pubs!$B$2:$B$3001,MATCH(G3595,Pubs!$A$2:$A$3001,0))&amp;"","⚠ pub inconnue")))</f>
        <v/>
      </c>
      <c r="I3595" s="27" t="str">
        <f aca="false">IF(OR(G3595="",G3595="?"),"",IFERROR(INDEX(Pubs!$C$2:$C$3001,MATCH(G3595,Pubs!$A$2:$A$3001,0))&amp;"",""))</f>
        <v/>
      </c>
      <c r="J3595" s="27" t="str">
        <f aca="false">IF(OR(G3595="",G3595="?"),"",IFERROR(INDEX(Pubs!$G$2:$G$3001,MATCH(G3595,Pubs!$A$2:$A$3001,0))&amp;"",""))</f>
        <v/>
      </c>
      <c r="K3595" s="28" t="str">
        <f aca="false">IF(OR(G3595="",G3595="?"),"",IFERROR(INDEX(Pubs!$E$2:$E$3001,MATCH(G3595,Pubs!$A$2:$A$3001,0)),""))</f>
        <v/>
      </c>
      <c r="L3595" s="29" t="str">
        <f aca="false">IF(A3595="","",IFERROR(1/(1/INDEX(Numéros!$C$2:$C$3001,MATCH(A3595&amp;"|"&amp;B3595,Numéros!$F$2:$F$3001,0))),""))</f>
        <v/>
      </c>
      <c r="M3595" s="27" t="str">
        <f aca="false">IF(OR(G3595="",G3595="?"),"",IFERROR(INDEX(Pubs!$D$2:$D$3001,MATCH(G3595,Pubs!$A$2:$A$3001,0))&amp;"",""))</f>
        <v/>
      </c>
      <c r="N3595" s="27" t="n">
        <f aca="false">N(N3594)+IF(AND(A3595&lt;&gt;"",OR(Recherche!$C$4="",A3595=Recherche!$C$4),OR(Recherche!$C$5="",B3595&amp;""=Recherche!$C$5&amp;""),OR(Recherche!$C$6="",IFERROR(YEAR(L3595),0)=Recherche!$C$6),OR(Recherche!$C$7="",ISNUMBER(SEARCH(Recherche!$C$7,H3595))),OR(Recherche!$C$8="",J3595=Recherche!$C$8),OR(Recherche!$C$9="",I3595=Recherche!$C$9),OR(Recherche!$C$10="",G3595&amp;""=Recherche!$C$10&amp;""),OR(Recherche!$C$11="",E3595=Recherche!$C$11),OR(Recherche!$C$12="",ISNUMBER(SEARCH(Recherche!$C$12,M3595&amp;" "&amp;F3595)))),1,0)</f>
        <v>8</v>
      </c>
    </row>
    <row r="3596" customFormat="false" ht="15" hidden="false" customHeight="false" outlineLevel="0" collapsed="false">
      <c r="A3596" s="19"/>
      <c r="B3596" s="19"/>
      <c r="C3596" s="19"/>
      <c r="D3596" s="19"/>
      <c r="E3596" s="22"/>
      <c r="F3596" s="19"/>
      <c r="G3596" s="26" t="str">
        <f aca="false">IF(D3596="","",IFERROR(VALUE(LEFT(D3596,FIND(" |",D3596&amp;" |")-1)),"?"))</f>
        <v/>
      </c>
      <c r="H3596" s="27" t="str">
        <f aca="false">IF(G3596="","",IF(G3596="?","⚠ pub inconnue",IFERROR(INDEX(Pubs!$B$2:$B$3001,MATCH(G3596,Pubs!$A$2:$A$3001,0))&amp;"","⚠ pub inconnue")))</f>
        <v/>
      </c>
      <c r="I3596" s="27" t="str">
        <f aca="false">IF(OR(G3596="",G3596="?"),"",IFERROR(INDEX(Pubs!$C$2:$C$3001,MATCH(G3596,Pubs!$A$2:$A$3001,0))&amp;"",""))</f>
        <v/>
      </c>
      <c r="J3596" s="27" t="str">
        <f aca="false">IF(OR(G3596="",G3596="?"),"",IFERROR(INDEX(Pubs!$G$2:$G$3001,MATCH(G3596,Pubs!$A$2:$A$3001,0))&amp;"",""))</f>
        <v/>
      </c>
      <c r="K3596" s="28" t="str">
        <f aca="false">IF(OR(G3596="",G3596="?"),"",IFERROR(INDEX(Pubs!$E$2:$E$3001,MATCH(G3596,Pubs!$A$2:$A$3001,0)),""))</f>
        <v/>
      </c>
      <c r="L3596" s="29" t="str">
        <f aca="false">IF(A3596="","",IFERROR(1/(1/INDEX(Numéros!$C$2:$C$3001,MATCH(A3596&amp;"|"&amp;B3596,Numéros!$F$2:$F$3001,0))),""))</f>
        <v/>
      </c>
      <c r="M3596" s="27" t="str">
        <f aca="false">IF(OR(G3596="",G3596="?"),"",IFERROR(INDEX(Pubs!$D$2:$D$3001,MATCH(G3596,Pubs!$A$2:$A$3001,0))&amp;"",""))</f>
        <v/>
      </c>
      <c r="N3596" s="27" t="n">
        <f aca="false">N(N3595)+IF(AND(A3596&lt;&gt;"",OR(Recherche!$C$4="",A3596=Recherche!$C$4),OR(Recherche!$C$5="",B3596&amp;""=Recherche!$C$5&amp;""),OR(Recherche!$C$6="",IFERROR(YEAR(L3596),0)=Recherche!$C$6),OR(Recherche!$C$7="",ISNUMBER(SEARCH(Recherche!$C$7,H3596))),OR(Recherche!$C$8="",J3596=Recherche!$C$8),OR(Recherche!$C$9="",I3596=Recherche!$C$9),OR(Recherche!$C$10="",G3596&amp;""=Recherche!$C$10&amp;""),OR(Recherche!$C$11="",E3596=Recherche!$C$11),OR(Recherche!$C$12="",ISNUMBER(SEARCH(Recherche!$C$12,M3596&amp;" "&amp;F3596)))),1,0)</f>
        <v>8</v>
      </c>
    </row>
    <row r="3597" customFormat="false" ht="15" hidden="false" customHeight="false" outlineLevel="0" collapsed="false">
      <c r="A3597" s="19"/>
      <c r="B3597" s="19"/>
      <c r="C3597" s="19"/>
      <c r="D3597" s="19"/>
      <c r="E3597" s="22"/>
      <c r="F3597" s="19"/>
      <c r="G3597" s="26" t="str">
        <f aca="false">IF(D3597="","",IFERROR(VALUE(LEFT(D3597,FIND(" |",D3597&amp;" |")-1)),"?"))</f>
        <v/>
      </c>
      <c r="H3597" s="27" t="str">
        <f aca="false">IF(G3597="","",IF(G3597="?","⚠ pub inconnue",IFERROR(INDEX(Pubs!$B$2:$B$3001,MATCH(G3597,Pubs!$A$2:$A$3001,0))&amp;"","⚠ pub inconnue")))</f>
        <v/>
      </c>
      <c r="I3597" s="27" t="str">
        <f aca="false">IF(OR(G3597="",G3597="?"),"",IFERROR(INDEX(Pubs!$C$2:$C$3001,MATCH(G3597,Pubs!$A$2:$A$3001,0))&amp;"",""))</f>
        <v/>
      </c>
      <c r="J3597" s="27" t="str">
        <f aca="false">IF(OR(G3597="",G3597="?"),"",IFERROR(INDEX(Pubs!$G$2:$G$3001,MATCH(G3597,Pubs!$A$2:$A$3001,0))&amp;"",""))</f>
        <v/>
      </c>
      <c r="K3597" s="28" t="str">
        <f aca="false">IF(OR(G3597="",G3597="?"),"",IFERROR(INDEX(Pubs!$E$2:$E$3001,MATCH(G3597,Pubs!$A$2:$A$3001,0)),""))</f>
        <v/>
      </c>
      <c r="L3597" s="29" t="str">
        <f aca="false">IF(A3597="","",IFERROR(1/(1/INDEX(Numéros!$C$2:$C$3001,MATCH(A3597&amp;"|"&amp;B3597,Numéros!$F$2:$F$3001,0))),""))</f>
        <v/>
      </c>
      <c r="M3597" s="27" t="str">
        <f aca="false">IF(OR(G3597="",G3597="?"),"",IFERROR(INDEX(Pubs!$D$2:$D$3001,MATCH(G3597,Pubs!$A$2:$A$3001,0))&amp;"",""))</f>
        <v/>
      </c>
      <c r="N3597" s="27" t="n">
        <f aca="false">N(N3596)+IF(AND(A3597&lt;&gt;"",OR(Recherche!$C$4="",A3597=Recherche!$C$4),OR(Recherche!$C$5="",B3597&amp;""=Recherche!$C$5&amp;""),OR(Recherche!$C$6="",IFERROR(YEAR(L3597),0)=Recherche!$C$6),OR(Recherche!$C$7="",ISNUMBER(SEARCH(Recherche!$C$7,H3597))),OR(Recherche!$C$8="",J3597=Recherche!$C$8),OR(Recherche!$C$9="",I3597=Recherche!$C$9),OR(Recherche!$C$10="",G3597&amp;""=Recherche!$C$10&amp;""),OR(Recherche!$C$11="",E3597=Recherche!$C$11),OR(Recherche!$C$12="",ISNUMBER(SEARCH(Recherche!$C$12,M3597&amp;" "&amp;F3597)))),1,0)</f>
        <v>8</v>
      </c>
    </row>
    <row r="3598" customFormat="false" ht="15" hidden="false" customHeight="false" outlineLevel="0" collapsed="false">
      <c r="A3598" s="19"/>
      <c r="B3598" s="19"/>
      <c r="C3598" s="19"/>
      <c r="D3598" s="19"/>
      <c r="E3598" s="22"/>
      <c r="F3598" s="19"/>
      <c r="G3598" s="26" t="str">
        <f aca="false">IF(D3598="","",IFERROR(VALUE(LEFT(D3598,FIND(" |",D3598&amp;" |")-1)),"?"))</f>
        <v/>
      </c>
      <c r="H3598" s="27" t="str">
        <f aca="false">IF(G3598="","",IF(G3598="?","⚠ pub inconnue",IFERROR(INDEX(Pubs!$B$2:$B$3001,MATCH(G3598,Pubs!$A$2:$A$3001,0))&amp;"","⚠ pub inconnue")))</f>
        <v/>
      </c>
      <c r="I3598" s="27" t="str">
        <f aca="false">IF(OR(G3598="",G3598="?"),"",IFERROR(INDEX(Pubs!$C$2:$C$3001,MATCH(G3598,Pubs!$A$2:$A$3001,0))&amp;"",""))</f>
        <v/>
      </c>
      <c r="J3598" s="27" t="str">
        <f aca="false">IF(OR(G3598="",G3598="?"),"",IFERROR(INDEX(Pubs!$G$2:$G$3001,MATCH(G3598,Pubs!$A$2:$A$3001,0))&amp;"",""))</f>
        <v/>
      </c>
      <c r="K3598" s="28" t="str">
        <f aca="false">IF(OR(G3598="",G3598="?"),"",IFERROR(INDEX(Pubs!$E$2:$E$3001,MATCH(G3598,Pubs!$A$2:$A$3001,0)),""))</f>
        <v/>
      </c>
      <c r="L3598" s="29" t="str">
        <f aca="false">IF(A3598="","",IFERROR(1/(1/INDEX(Numéros!$C$2:$C$3001,MATCH(A3598&amp;"|"&amp;B3598,Numéros!$F$2:$F$3001,0))),""))</f>
        <v/>
      </c>
      <c r="M3598" s="27" t="str">
        <f aca="false">IF(OR(G3598="",G3598="?"),"",IFERROR(INDEX(Pubs!$D$2:$D$3001,MATCH(G3598,Pubs!$A$2:$A$3001,0))&amp;"",""))</f>
        <v/>
      </c>
      <c r="N3598" s="27" t="n">
        <f aca="false">N(N3597)+IF(AND(A3598&lt;&gt;"",OR(Recherche!$C$4="",A3598=Recherche!$C$4),OR(Recherche!$C$5="",B3598&amp;""=Recherche!$C$5&amp;""),OR(Recherche!$C$6="",IFERROR(YEAR(L3598),0)=Recherche!$C$6),OR(Recherche!$C$7="",ISNUMBER(SEARCH(Recherche!$C$7,H3598))),OR(Recherche!$C$8="",J3598=Recherche!$C$8),OR(Recherche!$C$9="",I3598=Recherche!$C$9),OR(Recherche!$C$10="",G3598&amp;""=Recherche!$C$10&amp;""),OR(Recherche!$C$11="",E3598=Recherche!$C$11),OR(Recherche!$C$12="",ISNUMBER(SEARCH(Recherche!$C$12,M3598&amp;" "&amp;F3598)))),1,0)</f>
        <v>8</v>
      </c>
    </row>
    <row r="3599" customFormat="false" ht="15" hidden="false" customHeight="false" outlineLevel="0" collapsed="false">
      <c r="A3599" s="19"/>
      <c r="B3599" s="19"/>
      <c r="C3599" s="19"/>
      <c r="D3599" s="19"/>
      <c r="E3599" s="22"/>
      <c r="F3599" s="19"/>
      <c r="G3599" s="26" t="str">
        <f aca="false">IF(D3599="","",IFERROR(VALUE(LEFT(D3599,FIND(" |",D3599&amp;" |")-1)),"?"))</f>
        <v/>
      </c>
      <c r="H3599" s="27" t="str">
        <f aca="false">IF(G3599="","",IF(G3599="?","⚠ pub inconnue",IFERROR(INDEX(Pubs!$B$2:$B$3001,MATCH(G3599,Pubs!$A$2:$A$3001,0))&amp;"","⚠ pub inconnue")))</f>
        <v/>
      </c>
      <c r="I3599" s="27" t="str">
        <f aca="false">IF(OR(G3599="",G3599="?"),"",IFERROR(INDEX(Pubs!$C$2:$C$3001,MATCH(G3599,Pubs!$A$2:$A$3001,0))&amp;"",""))</f>
        <v/>
      </c>
      <c r="J3599" s="27" t="str">
        <f aca="false">IF(OR(G3599="",G3599="?"),"",IFERROR(INDEX(Pubs!$G$2:$G$3001,MATCH(G3599,Pubs!$A$2:$A$3001,0))&amp;"",""))</f>
        <v/>
      </c>
      <c r="K3599" s="28" t="str">
        <f aca="false">IF(OR(G3599="",G3599="?"),"",IFERROR(INDEX(Pubs!$E$2:$E$3001,MATCH(G3599,Pubs!$A$2:$A$3001,0)),""))</f>
        <v/>
      </c>
      <c r="L3599" s="29" t="str">
        <f aca="false">IF(A3599="","",IFERROR(1/(1/INDEX(Numéros!$C$2:$C$3001,MATCH(A3599&amp;"|"&amp;B3599,Numéros!$F$2:$F$3001,0))),""))</f>
        <v/>
      </c>
      <c r="M3599" s="27" t="str">
        <f aca="false">IF(OR(G3599="",G3599="?"),"",IFERROR(INDEX(Pubs!$D$2:$D$3001,MATCH(G3599,Pubs!$A$2:$A$3001,0))&amp;"",""))</f>
        <v/>
      </c>
      <c r="N3599" s="27" t="n">
        <f aca="false">N(N3598)+IF(AND(A3599&lt;&gt;"",OR(Recherche!$C$4="",A3599=Recherche!$C$4),OR(Recherche!$C$5="",B3599&amp;""=Recherche!$C$5&amp;""),OR(Recherche!$C$6="",IFERROR(YEAR(L3599),0)=Recherche!$C$6),OR(Recherche!$C$7="",ISNUMBER(SEARCH(Recherche!$C$7,H3599))),OR(Recherche!$C$8="",J3599=Recherche!$C$8),OR(Recherche!$C$9="",I3599=Recherche!$C$9),OR(Recherche!$C$10="",G3599&amp;""=Recherche!$C$10&amp;""),OR(Recherche!$C$11="",E3599=Recherche!$C$11),OR(Recherche!$C$12="",ISNUMBER(SEARCH(Recherche!$C$12,M3599&amp;" "&amp;F3599)))),1,0)</f>
        <v>8</v>
      </c>
    </row>
    <row r="3600" customFormat="false" ht="15" hidden="false" customHeight="false" outlineLevel="0" collapsed="false">
      <c r="A3600" s="19"/>
      <c r="B3600" s="19"/>
      <c r="C3600" s="19"/>
      <c r="D3600" s="19"/>
      <c r="E3600" s="22"/>
      <c r="F3600" s="19"/>
      <c r="G3600" s="26" t="str">
        <f aca="false">IF(D3600="","",IFERROR(VALUE(LEFT(D3600,FIND(" |",D3600&amp;" |")-1)),"?"))</f>
        <v/>
      </c>
      <c r="H3600" s="27" t="str">
        <f aca="false">IF(G3600="","",IF(G3600="?","⚠ pub inconnue",IFERROR(INDEX(Pubs!$B$2:$B$3001,MATCH(G3600,Pubs!$A$2:$A$3001,0))&amp;"","⚠ pub inconnue")))</f>
        <v/>
      </c>
      <c r="I3600" s="27" t="str">
        <f aca="false">IF(OR(G3600="",G3600="?"),"",IFERROR(INDEX(Pubs!$C$2:$C$3001,MATCH(G3600,Pubs!$A$2:$A$3001,0))&amp;"",""))</f>
        <v/>
      </c>
      <c r="J3600" s="27" t="str">
        <f aca="false">IF(OR(G3600="",G3600="?"),"",IFERROR(INDEX(Pubs!$G$2:$G$3001,MATCH(G3600,Pubs!$A$2:$A$3001,0))&amp;"",""))</f>
        <v/>
      </c>
      <c r="K3600" s="28" t="str">
        <f aca="false">IF(OR(G3600="",G3600="?"),"",IFERROR(INDEX(Pubs!$E$2:$E$3001,MATCH(G3600,Pubs!$A$2:$A$3001,0)),""))</f>
        <v/>
      </c>
      <c r="L3600" s="29" t="str">
        <f aca="false">IF(A3600="","",IFERROR(1/(1/INDEX(Numéros!$C$2:$C$3001,MATCH(A3600&amp;"|"&amp;B3600,Numéros!$F$2:$F$3001,0))),""))</f>
        <v/>
      </c>
      <c r="M3600" s="27" t="str">
        <f aca="false">IF(OR(G3600="",G3600="?"),"",IFERROR(INDEX(Pubs!$D$2:$D$3001,MATCH(G3600,Pubs!$A$2:$A$3001,0))&amp;"",""))</f>
        <v/>
      </c>
      <c r="N3600" s="27" t="n">
        <f aca="false">N(N3599)+IF(AND(A3600&lt;&gt;"",OR(Recherche!$C$4="",A3600=Recherche!$C$4),OR(Recherche!$C$5="",B3600&amp;""=Recherche!$C$5&amp;""),OR(Recherche!$C$6="",IFERROR(YEAR(L3600),0)=Recherche!$C$6),OR(Recherche!$C$7="",ISNUMBER(SEARCH(Recherche!$C$7,H3600))),OR(Recherche!$C$8="",J3600=Recherche!$C$8),OR(Recherche!$C$9="",I3600=Recherche!$C$9),OR(Recherche!$C$10="",G3600&amp;""=Recherche!$C$10&amp;""),OR(Recherche!$C$11="",E3600=Recherche!$C$11),OR(Recherche!$C$12="",ISNUMBER(SEARCH(Recherche!$C$12,M3600&amp;" "&amp;F3600)))),1,0)</f>
        <v>8</v>
      </c>
    </row>
    <row r="3601" customFormat="false" ht="15" hidden="false" customHeight="false" outlineLevel="0" collapsed="false">
      <c r="A3601" s="19"/>
      <c r="B3601" s="19"/>
      <c r="C3601" s="19"/>
      <c r="D3601" s="19"/>
      <c r="E3601" s="22"/>
      <c r="F3601" s="19"/>
      <c r="G3601" s="26" t="str">
        <f aca="false">IF(D3601="","",IFERROR(VALUE(LEFT(D3601,FIND(" |",D3601&amp;" |")-1)),"?"))</f>
        <v/>
      </c>
      <c r="H3601" s="27" t="str">
        <f aca="false">IF(G3601="","",IF(G3601="?","⚠ pub inconnue",IFERROR(INDEX(Pubs!$B$2:$B$3001,MATCH(G3601,Pubs!$A$2:$A$3001,0))&amp;"","⚠ pub inconnue")))</f>
        <v/>
      </c>
      <c r="I3601" s="27" t="str">
        <f aca="false">IF(OR(G3601="",G3601="?"),"",IFERROR(INDEX(Pubs!$C$2:$C$3001,MATCH(G3601,Pubs!$A$2:$A$3001,0))&amp;"",""))</f>
        <v/>
      </c>
      <c r="J3601" s="27" t="str">
        <f aca="false">IF(OR(G3601="",G3601="?"),"",IFERROR(INDEX(Pubs!$G$2:$G$3001,MATCH(G3601,Pubs!$A$2:$A$3001,0))&amp;"",""))</f>
        <v/>
      </c>
      <c r="K3601" s="28" t="str">
        <f aca="false">IF(OR(G3601="",G3601="?"),"",IFERROR(INDEX(Pubs!$E$2:$E$3001,MATCH(G3601,Pubs!$A$2:$A$3001,0)),""))</f>
        <v/>
      </c>
      <c r="L3601" s="29" t="str">
        <f aca="false">IF(A3601="","",IFERROR(1/(1/INDEX(Numéros!$C$2:$C$3001,MATCH(A3601&amp;"|"&amp;B3601,Numéros!$F$2:$F$3001,0))),""))</f>
        <v/>
      </c>
      <c r="M3601" s="27" t="str">
        <f aca="false">IF(OR(G3601="",G3601="?"),"",IFERROR(INDEX(Pubs!$D$2:$D$3001,MATCH(G3601,Pubs!$A$2:$A$3001,0))&amp;"",""))</f>
        <v/>
      </c>
      <c r="N3601" s="27" t="n">
        <f aca="false">N(N3600)+IF(AND(A3601&lt;&gt;"",OR(Recherche!$C$4="",A3601=Recherche!$C$4),OR(Recherche!$C$5="",B3601&amp;""=Recherche!$C$5&amp;""),OR(Recherche!$C$6="",IFERROR(YEAR(L3601),0)=Recherche!$C$6),OR(Recherche!$C$7="",ISNUMBER(SEARCH(Recherche!$C$7,H3601))),OR(Recherche!$C$8="",J3601=Recherche!$C$8),OR(Recherche!$C$9="",I3601=Recherche!$C$9),OR(Recherche!$C$10="",G3601&amp;""=Recherche!$C$10&amp;""),OR(Recherche!$C$11="",E3601=Recherche!$C$11),OR(Recherche!$C$12="",ISNUMBER(SEARCH(Recherche!$C$12,M3601&amp;" "&amp;F3601)))),1,0)</f>
        <v>8</v>
      </c>
    </row>
    <row r="3602" customFormat="false" ht="15" hidden="false" customHeight="false" outlineLevel="0" collapsed="false">
      <c r="A3602" s="19"/>
      <c r="B3602" s="19"/>
      <c r="C3602" s="19"/>
      <c r="D3602" s="19"/>
      <c r="E3602" s="22"/>
      <c r="F3602" s="19"/>
      <c r="G3602" s="26" t="str">
        <f aca="false">IF(D3602="","",IFERROR(VALUE(LEFT(D3602,FIND(" |",D3602&amp;" |")-1)),"?"))</f>
        <v/>
      </c>
      <c r="H3602" s="27" t="str">
        <f aca="false">IF(G3602="","",IF(G3602="?","⚠ pub inconnue",IFERROR(INDEX(Pubs!$B$2:$B$3001,MATCH(G3602,Pubs!$A$2:$A$3001,0))&amp;"","⚠ pub inconnue")))</f>
        <v/>
      </c>
      <c r="I3602" s="27" t="str">
        <f aca="false">IF(OR(G3602="",G3602="?"),"",IFERROR(INDEX(Pubs!$C$2:$C$3001,MATCH(G3602,Pubs!$A$2:$A$3001,0))&amp;"",""))</f>
        <v/>
      </c>
      <c r="J3602" s="27" t="str">
        <f aca="false">IF(OR(G3602="",G3602="?"),"",IFERROR(INDEX(Pubs!$G$2:$G$3001,MATCH(G3602,Pubs!$A$2:$A$3001,0))&amp;"",""))</f>
        <v/>
      </c>
      <c r="K3602" s="28" t="str">
        <f aca="false">IF(OR(G3602="",G3602="?"),"",IFERROR(INDEX(Pubs!$E$2:$E$3001,MATCH(G3602,Pubs!$A$2:$A$3001,0)),""))</f>
        <v/>
      </c>
      <c r="L3602" s="29" t="str">
        <f aca="false">IF(A3602="","",IFERROR(1/(1/INDEX(Numéros!$C$2:$C$3001,MATCH(A3602&amp;"|"&amp;B3602,Numéros!$F$2:$F$3001,0))),""))</f>
        <v/>
      </c>
      <c r="M3602" s="27" t="str">
        <f aca="false">IF(OR(G3602="",G3602="?"),"",IFERROR(INDEX(Pubs!$D$2:$D$3001,MATCH(G3602,Pubs!$A$2:$A$3001,0))&amp;"",""))</f>
        <v/>
      </c>
      <c r="N3602" s="27" t="n">
        <f aca="false">N(N3601)+IF(AND(A3602&lt;&gt;"",OR(Recherche!$C$4="",A3602=Recherche!$C$4),OR(Recherche!$C$5="",B3602&amp;""=Recherche!$C$5&amp;""),OR(Recherche!$C$6="",IFERROR(YEAR(L3602),0)=Recherche!$C$6),OR(Recherche!$C$7="",ISNUMBER(SEARCH(Recherche!$C$7,H3602))),OR(Recherche!$C$8="",J3602=Recherche!$C$8),OR(Recherche!$C$9="",I3602=Recherche!$C$9),OR(Recherche!$C$10="",G3602&amp;""=Recherche!$C$10&amp;""),OR(Recherche!$C$11="",E3602=Recherche!$C$11),OR(Recherche!$C$12="",ISNUMBER(SEARCH(Recherche!$C$12,M3602&amp;" "&amp;F3602)))),1,0)</f>
        <v>8</v>
      </c>
    </row>
    <row r="3603" customFormat="false" ht="15" hidden="false" customHeight="false" outlineLevel="0" collapsed="false">
      <c r="A3603" s="19"/>
      <c r="B3603" s="19"/>
      <c r="C3603" s="19"/>
      <c r="D3603" s="19"/>
      <c r="E3603" s="22"/>
      <c r="F3603" s="19"/>
      <c r="G3603" s="26" t="str">
        <f aca="false">IF(D3603="","",IFERROR(VALUE(LEFT(D3603,FIND(" |",D3603&amp;" |")-1)),"?"))</f>
        <v/>
      </c>
      <c r="H3603" s="27" t="str">
        <f aca="false">IF(G3603="","",IF(G3603="?","⚠ pub inconnue",IFERROR(INDEX(Pubs!$B$2:$B$3001,MATCH(G3603,Pubs!$A$2:$A$3001,0))&amp;"","⚠ pub inconnue")))</f>
        <v/>
      </c>
      <c r="I3603" s="27" t="str">
        <f aca="false">IF(OR(G3603="",G3603="?"),"",IFERROR(INDEX(Pubs!$C$2:$C$3001,MATCH(G3603,Pubs!$A$2:$A$3001,0))&amp;"",""))</f>
        <v/>
      </c>
      <c r="J3603" s="27" t="str">
        <f aca="false">IF(OR(G3603="",G3603="?"),"",IFERROR(INDEX(Pubs!$G$2:$G$3001,MATCH(G3603,Pubs!$A$2:$A$3001,0))&amp;"",""))</f>
        <v/>
      </c>
      <c r="K3603" s="28" t="str">
        <f aca="false">IF(OR(G3603="",G3603="?"),"",IFERROR(INDEX(Pubs!$E$2:$E$3001,MATCH(G3603,Pubs!$A$2:$A$3001,0)),""))</f>
        <v/>
      </c>
      <c r="L3603" s="29" t="str">
        <f aca="false">IF(A3603="","",IFERROR(1/(1/INDEX(Numéros!$C$2:$C$3001,MATCH(A3603&amp;"|"&amp;B3603,Numéros!$F$2:$F$3001,0))),""))</f>
        <v/>
      </c>
      <c r="M3603" s="27" t="str">
        <f aca="false">IF(OR(G3603="",G3603="?"),"",IFERROR(INDEX(Pubs!$D$2:$D$3001,MATCH(G3603,Pubs!$A$2:$A$3001,0))&amp;"",""))</f>
        <v/>
      </c>
      <c r="N3603" s="27" t="n">
        <f aca="false">N(N3602)+IF(AND(A3603&lt;&gt;"",OR(Recherche!$C$4="",A3603=Recherche!$C$4),OR(Recherche!$C$5="",B3603&amp;""=Recherche!$C$5&amp;""),OR(Recherche!$C$6="",IFERROR(YEAR(L3603),0)=Recherche!$C$6),OR(Recherche!$C$7="",ISNUMBER(SEARCH(Recherche!$C$7,H3603))),OR(Recherche!$C$8="",J3603=Recherche!$C$8),OR(Recherche!$C$9="",I3603=Recherche!$C$9),OR(Recherche!$C$10="",G3603&amp;""=Recherche!$C$10&amp;""),OR(Recherche!$C$11="",E3603=Recherche!$C$11),OR(Recherche!$C$12="",ISNUMBER(SEARCH(Recherche!$C$12,M3603&amp;" "&amp;F3603)))),1,0)</f>
        <v>8</v>
      </c>
    </row>
    <row r="3604" customFormat="false" ht="15" hidden="false" customHeight="false" outlineLevel="0" collapsed="false">
      <c r="A3604" s="19"/>
      <c r="B3604" s="19"/>
      <c r="C3604" s="19"/>
      <c r="D3604" s="19"/>
      <c r="E3604" s="22"/>
      <c r="F3604" s="19"/>
      <c r="G3604" s="26" t="str">
        <f aca="false">IF(D3604="","",IFERROR(VALUE(LEFT(D3604,FIND(" |",D3604&amp;" |")-1)),"?"))</f>
        <v/>
      </c>
      <c r="H3604" s="27" t="str">
        <f aca="false">IF(G3604="","",IF(G3604="?","⚠ pub inconnue",IFERROR(INDEX(Pubs!$B$2:$B$3001,MATCH(G3604,Pubs!$A$2:$A$3001,0))&amp;"","⚠ pub inconnue")))</f>
        <v/>
      </c>
      <c r="I3604" s="27" t="str">
        <f aca="false">IF(OR(G3604="",G3604="?"),"",IFERROR(INDEX(Pubs!$C$2:$C$3001,MATCH(G3604,Pubs!$A$2:$A$3001,0))&amp;"",""))</f>
        <v/>
      </c>
      <c r="J3604" s="27" t="str">
        <f aca="false">IF(OR(G3604="",G3604="?"),"",IFERROR(INDEX(Pubs!$G$2:$G$3001,MATCH(G3604,Pubs!$A$2:$A$3001,0))&amp;"",""))</f>
        <v/>
      </c>
      <c r="K3604" s="28" t="str">
        <f aca="false">IF(OR(G3604="",G3604="?"),"",IFERROR(INDEX(Pubs!$E$2:$E$3001,MATCH(G3604,Pubs!$A$2:$A$3001,0)),""))</f>
        <v/>
      </c>
      <c r="L3604" s="29" t="str">
        <f aca="false">IF(A3604="","",IFERROR(1/(1/INDEX(Numéros!$C$2:$C$3001,MATCH(A3604&amp;"|"&amp;B3604,Numéros!$F$2:$F$3001,0))),""))</f>
        <v/>
      </c>
      <c r="M3604" s="27" t="str">
        <f aca="false">IF(OR(G3604="",G3604="?"),"",IFERROR(INDEX(Pubs!$D$2:$D$3001,MATCH(G3604,Pubs!$A$2:$A$3001,0))&amp;"",""))</f>
        <v/>
      </c>
      <c r="N3604" s="27" t="n">
        <f aca="false">N(N3603)+IF(AND(A3604&lt;&gt;"",OR(Recherche!$C$4="",A3604=Recherche!$C$4),OR(Recherche!$C$5="",B3604&amp;""=Recherche!$C$5&amp;""),OR(Recherche!$C$6="",IFERROR(YEAR(L3604),0)=Recherche!$C$6),OR(Recherche!$C$7="",ISNUMBER(SEARCH(Recherche!$C$7,H3604))),OR(Recherche!$C$8="",J3604=Recherche!$C$8),OR(Recherche!$C$9="",I3604=Recherche!$C$9),OR(Recherche!$C$10="",G3604&amp;""=Recherche!$C$10&amp;""),OR(Recherche!$C$11="",E3604=Recherche!$C$11),OR(Recherche!$C$12="",ISNUMBER(SEARCH(Recherche!$C$12,M3604&amp;" "&amp;F3604)))),1,0)</f>
        <v>8</v>
      </c>
    </row>
    <row r="3605" customFormat="false" ht="15" hidden="false" customHeight="false" outlineLevel="0" collapsed="false">
      <c r="A3605" s="19"/>
      <c r="B3605" s="19"/>
      <c r="C3605" s="19"/>
      <c r="D3605" s="19"/>
      <c r="E3605" s="22"/>
      <c r="F3605" s="19"/>
      <c r="G3605" s="26" t="str">
        <f aca="false">IF(D3605="","",IFERROR(VALUE(LEFT(D3605,FIND(" |",D3605&amp;" |")-1)),"?"))</f>
        <v/>
      </c>
      <c r="H3605" s="27" t="str">
        <f aca="false">IF(G3605="","",IF(G3605="?","⚠ pub inconnue",IFERROR(INDEX(Pubs!$B$2:$B$3001,MATCH(G3605,Pubs!$A$2:$A$3001,0))&amp;"","⚠ pub inconnue")))</f>
        <v/>
      </c>
      <c r="I3605" s="27" t="str">
        <f aca="false">IF(OR(G3605="",G3605="?"),"",IFERROR(INDEX(Pubs!$C$2:$C$3001,MATCH(G3605,Pubs!$A$2:$A$3001,0))&amp;"",""))</f>
        <v/>
      </c>
      <c r="J3605" s="27" t="str">
        <f aca="false">IF(OR(G3605="",G3605="?"),"",IFERROR(INDEX(Pubs!$G$2:$G$3001,MATCH(G3605,Pubs!$A$2:$A$3001,0))&amp;"",""))</f>
        <v/>
      </c>
      <c r="K3605" s="28" t="str">
        <f aca="false">IF(OR(G3605="",G3605="?"),"",IFERROR(INDEX(Pubs!$E$2:$E$3001,MATCH(G3605,Pubs!$A$2:$A$3001,0)),""))</f>
        <v/>
      </c>
      <c r="L3605" s="29" t="str">
        <f aca="false">IF(A3605="","",IFERROR(1/(1/INDEX(Numéros!$C$2:$C$3001,MATCH(A3605&amp;"|"&amp;B3605,Numéros!$F$2:$F$3001,0))),""))</f>
        <v/>
      </c>
      <c r="M3605" s="27" t="str">
        <f aca="false">IF(OR(G3605="",G3605="?"),"",IFERROR(INDEX(Pubs!$D$2:$D$3001,MATCH(G3605,Pubs!$A$2:$A$3001,0))&amp;"",""))</f>
        <v/>
      </c>
      <c r="N3605" s="27" t="n">
        <f aca="false">N(N3604)+IF(AND(A3605&lt;&gt;"",OR(Recherche!$C$4="",A3605=Recherche!$C$4),OR(Recherche!$C$5="",B3605&amp;""=Recherche!$C$5&amp;""),OR(Recherche!$C$6="",IFERROR(YEAR(L3605),0)=Recherche!$C$6),OR(Recherche!$C$7="",ISNUMBER(SEARCH(Recherche!$C$7,H3605))),OR(Recherche!$C$8="",J3605=Recherche!$C$8),OR(Recherche!$C$9="",I3605=Recherche!$C$9),OR(Recherche!$C$10="",G3605&amp;""=Recherche!$C$10&amp;""),OR(Recherche!$C$11="",E3605=Recherche!$C$11),OR(Recherche!$C$12="",ISNUMBER(SEARCH(Recherche!$C$12,M3605&amp;" "&amp;F3605)))),1,0)</f>
        <v>8</v>
      </c>
    </row>
    <row r="3606" customFormat="false" ht="15" hidden="false" customHeight="false" outlineLevel="0" collapsed="false">
      <c r="A3606" s="19"/>
      <c r="B3606" s="19"/>
      <c r="C3606" s="19"/>
      <c r="D3606" s="19"/>
      <c r="E3606" s="22"/>
      <c r="F3606" s="19"/>
      <c r="G3606" s="26" t="str">
        <f aca="false">IF(D3606="","",IFERROR(VALUE(LEFT(D3606,FIND(" |",D3606&amp;" |")-1)),"?"))</f>
        <v/>
      </c>
      <c r="H3606" s="27" t="str">
        <f aca="false">IF(G3606="","",IF(G3606="?","⚠ pub inconnue",IFERROR(INDEX(Pubs!$B$2:$B$3001,MATCH(G3606,Pubs!$A$2:$A$3001,0))&amp;"","⚠ pub inconnue")))</f>
        <v/>
      </c>
      <c r="I3606" s="27" t="str">
        <f aca="false">IF(OR(G3606="",G3606="?"),"",IFERROR(INDEX(Pubs!$C$2:$C$3001,MATCH(G3606,Pubs!$A$2:$A$3001,0))&amp;"",""))</f>
        <v/>
      </c>
      <c r="J3606" s="27" t="str">
        <f aca="false">IF(OR(G3606="",G3606="?"),"",IFERROR(INDEX(Pubs!$G$2:$G$3001,MATCH(G3606,Pubs!$A$2:$A$3001,0))&amp;"",""))</f>
        <v/>
      </c>
      <c r="K3606" s="28" t="str">
        <f aca="false">IF(OR(G3606="",G3606="?"),"",IFERROR(INDEX(Pubs!$E$2:$E$3001,MATCH(G3606,Pubs!$A$2:$A$3001,0)),""))</f>
        <v/>
      </c>
      <c r="L3606" s="29" t="str">
        <f aca="false">IF(A3606="","",IFERROR(1/(1/INDEX(Numéros!$C$2:$C$3001,MATCH(A3606&amp;"|"&amp;B3606,Numéros!$F$2:$F$3001,0))),""))</f>
        <v/>
      </c>
      <c r="M3606" s="27" t="str">
        <f aca="false">IF(OR(G3606="",G3606="?"),"",IFERROR(INDEX(Pubs!$D$2:$D$3001,MATCH(G3606,Pubs!$A$2:$A$3001,0))&amp;"",""))</f>
        <v/>
      </c>
      <c r="N3606" s="27" t="n">
        <f aca="false">N(N3605)+IF(AND(A3606&lt;&gt;"",OR(Recherche!$C$4="",A3606=Recherche!$C$4),OR(Recherche!$C$5="",B3606&amp;""=Recherche!$C$5&amp;""),OR(Recherche!$C$6="",IFERROR(YEAR(L3606),0)=Recherche!$C$6),OR(Recherche!$C$7="",ISNUMBER(SEARCH(Recherche!$C$7,H3606))),OR(Recherche!$C$8="",J3606=Recherche!$C$8),OR(Recherche!$C$9="",I3606=Recherche!$C$9),OR(Recherche!$C$10="",G3606&amp;""=Recherche!$C$10&amp;""),OR(Recherche!$C$11="",E3606=Recherche!$C$11),OR(Recherche!$C$12="",ISNUMBER(SEARCH(Recherche!$C$12,M3606&amp;" "&amp;F3606)))),1,0)</f>
        <v>8</v>
      </c>
    </row>
    <row r="3607" customFormat="false" ht="15" hidden="false" customHeight="false" outlineLevel="0" collapsed="false">
      <c r="A3607" s="19"/>
      <c r="B3607" s="19"/>
      <c r="C3607" s="19"/>
      <c r="D3607" s="19"/>
      <c r="E3607" s="22"/>
      <c r="F3607" s="19"/>
      <c r="G3607" s="26" t="str">
        <f aca="false">IF(D3607="","",IFERROR(VALUE(LEFT(D3607,FIND(" |",D3607&amp;" |")-1)),"?"))</f>
        <v/>
      </c>
      <c r="H3607" s="27" t="str">
        <f aca="false">IF(G3607="","",IF(G3607="?","⚠ pub inconnue",IFERROR(INDEX(Pubs!$B$2:$B$3001,MATCH(G3607,Pubs!$A$2:$A$3001,0))&amp;"","⚠ pub inconnue")))</f>
        <v/>
      </c>
      <c r="I3607" s="27" t="str">
        <f aca="false">IF(OR(G3607="",G3607="?"),"",IFERROR(INDEX(Pubs!$C$2:$C$3001,MATCH(G3607,Pubs!$A$2:$A$3001,0))&amp;"",""))</f>
        <v/>
      </c>
      <c r="J3607" s="27" t="str">
        <f aca="false">IF(OR(G3607="",G3607="?"),"",IFERROR(INDEX(Pubs!$G$2:$G$3001,MATCH(G3607,Pubs!$A$2:$A$3001,0))&amp;"",""))</f>
        <v/>
      </c>
      <c r="K3607" s="28" t="str">
        <f aca="false">IF(OR(G3607="",G3607="?"),"",IFERROR(INDEX(Pubs!$E$2:$E$3001,MATCH(G3607,Pubs!$A$2:$A$3001,0)),""))</f>
        <v/>
      </c>
      <c r="L3607" s="29" t="str">
        <f aca="false">IF(A3607="","",IFERROR(1/(1/INDEX(Numéros!$C$2:$C$3001,MATCH(A3607&amp;"|"&amp;B3607,Numéros!$F$2:$F$3001,0))),""))</f>
        <v/>
      </c>
      <c r="M3607" s="27" t="str">
        <f aca="false">IF(OR(G3607="",G3607="?"),"",IFERROR(INDEX(Pubs!$D$2:$D$3001,MATCH(G3607,Pubs!$A$2:$A$3001,0))&amp;"",""))</f>
        <v/>
      </c>
      <c r="N3607" s="27" t="n">
        <f aca="false">N(N3606)+IF(AND(A3607&lt;&gt;"",OR(Recherche!$C$4="",A3607=Recherche!$C$4),OR(Recherche!$C$5="",B3607&amp;""=Recherche!$C$5&amp;""),OR(Recherche!$C$6="",IFERROR(YEAR(L3607),0)=Recherche!$C$6),OR(Recherche!$C$7="",ISNUMBER(SEARCH(Recherche!$C$7,H3607))),OR(Recherche!$C$8="",J3607=Recherche!$C$8),OR(Recherche!$C$9="",I3607=Recherche!$C$9),OR(Recherche!$C$10="",G3607&amp;""=Recherche!$C$10&amp;""),OR(Recherche!$C$11="",E3607=Recherche!$C$11),OR(Recherche!$C$12="",ISNUMBER(SEARCH(Recherche!$C$12,M3607&amp;" "&amp;F3607)))),1,0)</f>
        <v>8</v>
      </c>
    </row>
    <row r="3608" customFormat="false" ht="15" hidden="false" customHeight="false" outlineLevel="0" collapsed="false">
      <c r="A3608" s="19"/>
      <c r="B3608" s="19"/>
      <c r="C3608" s="19"/>
      <c r="D3608" s="19"/>
      <c r="E3608" s="22"/>
      <c r="F3608" s="19"/>
      <c r="G3608" s="26" t="str">
        <f aca="false">IF(D3608="","",IFERROR(VALUE(LEFT(D3608,FIND(" |",D3608&amp;" |")-1)),"?"))</f>
        <v/>
      </c>
      <c r="H3608" s="27" t="str">
        <f aca="false">IF(G3608="","",IF(G3608="?","⚠ pub inconnue",IFERROR(INDEX(Pubs!$B$2:$B$3001,MATCH(G3608,Pubs!$A$2:$A$3001,0))&amp;"","⚠ pub inconnue")))</f>
        <v/>
      </c>
      <c r="I3608" s="27" t="str">
        <f aca="false">IF(OR(G3608="",G3608="?"),"",IFERROR(INDEX(Pubs!$C$2:$C$3001,MATCH(G3608,Pubs!$A$2:$A$3001,0))&amp;"",""))</f>
        <v/>
      </c>
      <c r="J3608" s="27" t="str">
        <f aca="false">IF(OR(G3608="",G3608="?"),"",IFERROR(INDEX(Pubs!$G$2:$G$3001,MATCH(G3608,Pubs!$A$2:$A$3001,0))&amp;"",""))</f>
        <v/>
      </c>
      <c r="K3608" s="28" t="str">
        <f aca="false">IF(OR(G3608="",G3608="?"),"",IFERROR(INDEX(Pubs!$E$2:$E$3001,MATCH(G3608,Pubs!$A$2:$A$3001,0)),""))</f>
        <v/>
      </c>
      <c r="L3608" s="29" t="str">
        <f aca="false">IF(A3608="","",IFERROR(1/(1/INDEX(Numéros!$C$2:$C$3001,MATCH(A3608&amp;"|"&amp;B3608,Numéros!$F$2:$F$3001,0))),""))</f>
        <v/>
      </c>
      <c r="M3608" s="27" t="str">
        <f aca="false">IF(OR(G3608="",G3608="?"),"",IFERROR(INDEX(Pubs!$D$2:$D$3001,MATCH(G3608,Pubs!$A$2:$A$3001,0))&amp;"",""))</f>
        <v/>
      </c>
      <c r="N3608" s="27" t="n">
        <f aca="false">N(N3607)+IF(AND(A3608&lt;&gt;"",OR(Recherche!$C$4="",A3608=Recherche!$C$4),OR(Recherche!$C$5="",B3608&amp;""=Recherche!$C$5&amp;""),OR(Recherche!$C$6="",IFERROR(YEAR(L3608),0)=Recherche!$C$6),OR(Recherche!$C$7="",ISNUMBER(SEARCH(Recherche!$C$7,H3608))),OR(Recherche!$C$8="",J3608=Recherche!$C$8),OR(Recherche!$C$9="",I3608=Recherche!$C$9),OR(Recherche!$C$10="",G3608&amp;""=Recherche!$C$10&amp;""),OR(Recherche!$C$11="",E3608=Recherche!$C$11),OR(Recherche!$C$12="",ISNUMBER(SEARCH(Recherche!$C$12,M3608&amp;" "&amp;F3608)))),1,0)</f>
        <v>8</v>
      </c>
    </row>
    <row r="3609" customFormat="false" ht="15" hidden="false" customHeight="false" outlineLevel="0" collapsed="false">
      <c r="A3609" s="19"/>
      <c r="B3609" s="19"/>
      <c r="C3609" s="19"/>
      <c r="D3609" s="19"/>
      <c r="E3609" s="22"/>
      <c r="F3609" s="19"/>
      <c r="G3609" s="26" t="str">
        <f aca="false">IF(D3609="","",IFERROR(VALUE(LEFT(D3609,FIND(" |",D3609&amp;" |")-1)),"?"))</f>
        <v/>
      </c>
      <c r="H3609" s="27" t="str">
        <f aca="false">IF(G3609="","",IF(G3609="?","⚠ pub inconnue",IFERROR(INDEX(Pubs!$B$2:$B$3001,MATCH(G3609,Pubs!$A$2:$A$3001,0))&amp;"","⚠ pub inconnue")))</f>
        <v/>
      </c>
      <c r="I3609" s="27" t="str">
        <f aca="false">IF(OR(G3609="",G3609="?"),"",IFERROR(INDEX(Pubs!$C$2:$C$3001,MATCH(G3609,Pubs!$A$2:$A$3001,0))&amp;"",""))</f>
        <v/>
      </c>
      <c r="J3609" s="27" t="str">
        <f aca="false">IF(OR(G3609="",G3609="?"),"",IFERROR(INDEX(Pubs!$G$2:$G$3001,MATCH(G3609,Pubs!$A$2:$A$3001,0))&amp;"",""))</f>
        <v/>
      </c>
      <c r="K3609" s="28" t="str">
        <f aca="false">IF(OR(G3609="",G3609="?"),"",IFERROR(INDEX(Pubs!$E$2:$E$3001,MATCH(G3609,Pubs!$A$2:$A$3001,0)),""))</f>
        <v/>
      </c>
      <c r="L3609" s="29" t="str">
        <f aca="false">IF(A3609="","",IFERROR(1/(1/INDEX(Numéros!$C$2:$C$3001,MATCH(A3609&amp;"|"&amp;B3609,Numéros!$F$2:$F$3001,0))),""))</f>
        <v/>
      </c>
      <c r="M3609" s="27" t="str">
        <f aca="false">IF(OR(G3609="",G3609="?"),"",IFERROR(INDEX(Pubs!$D$2:$D$3001,MATCH(G3609,Pubs!$A$2:$A$3001,0))&amp;"",""))</f>
        <v/>
      </c>
      <c r="N3609" s="27" t="n">
        <f aca="false">N(N3608)+IF(AND(A3609&lt;&gt;"",OR(Recherche!$C$4="",A3609=Recherche!$C$4),OR(Recherche!$C$5="",B3609&amp;""=Recherche!$C$5&amp;""),OR(Recherche!$C$6="",IFERROR(YEAR(L3609),0)=Recherche!$C$6),OR(Recherche!$C$7="",ISNUMBER(SEARCH(Recherche!$C$7,H3609))),OR(Recherche!$C$8="",J3609=Recherche!$C$8),OR(Recherche!$C$9="",I3609=Recherche!$C$9),OR(Recherche!$C$10="",G3609&amp;""=Recherche!$C$10&amp;""),OR(Recherche!$C$11="",E3609=Recherche!$C$11),OR(Recherche!$C$12="",ISNUMBER(SEARCH(Recherche!$C$12,M3609&amp;" "&amp;F3609)))),1,0)</f>
        <v>8</v>
      </c>
    </row>
    <row r="3610" customFormat="false" ht="15" hidden="false" customHeight="false" outlineLevel="0" collapsed="false">
      <c r="A3610" s="19"/>
      <c r="B3610" s="19"/>
      <c r="C3610" s="19"/>
      <c r="D3610" s="19"/>
      <c r="E3610" s="22"/>
      <c r="F3610" s="19"/>
      <c r="G3610" s="26" t="str">
        <f aca="false">IF(D3610="","",IFERROR(VALUE(LEFT(D3610,FIND(" |",D3610&amp;" |")-1)),"?"))</f>
        <v/>
      </c>
      <c r="H3610" s="27" t="str">
        <f aca="false">IF(G3610="","",IF(G3610="?","⚠ pub inconnue",IFERROR(INDEX(Pubs!$B$2:$B$3001,MATCH(G3610,Pubs!$A$2:$A$3001,0))&amp;"","⚠ pub inconnue")))</f>
        <v/>
      </c>
      <c r="I3610" s="27" t="str">
        <f aca="false">IF(OR(G3610="",G3610="?"),"",IFERROR(INDEX(Pubs!$C$2:$C$3001,MATCH(G3610,Pubs!$A$2:$A$3001,0))&amp;"",""))</f>
        <v/>
      </c>
      <c r="J3610" s="27" t="str">
        <f aca="false">IF(OR(G3610="",G3610="?"),"",IFERROR(INDEX(Pubs!$G$2:$G$3001,MATCH(G3610,Pubs!$A$2:$A$3001,0))&amp;"",""))</f>
        <v/>
      </c>
      <c r="K3610" s="28" t="str">
        <f aca="false">IF(OR(G3610="",G3610="?"),"",IFERROR(INDEX(Pubs!$E$2:$E$3001,MATCH(G3610,Pubs!$A$2:$A$3001,0)),""))</f>
        <v/>
      </c>
      <c r="L3610" s="29" t="str">
        <f aca="false">IF(A3610="","",IFERROR(1/(1/INDEX(Numéros!$C$2:$C$3001,MATCH(A3610&amp;"|"&amp;B3610,Numéros!$F$2:$F$3001,0))),""))</f>
        <v/>
      </c>
      <c r="M3610" s="27" t="str">
        <f aca="false">IF(OR(G3610="",G3610="?"),"",IFERROR(INDEX(Pubs!$D$2:$D$3001,MATCH(G3610,Pubs!$A$2:$A$3001,0))&amp;"",""))</f>
        <v/>
      </c>
      <c r="N3610" s="27" t="n">
        <f aca="false">N(N3609)+IF(AND(A3610&lt;&gt;"",OR(Recherche!$C$4="",A3610=Recherche!$C$4),OR(Recherche!$C$5="",B3610&amp;""=Recherche!$C$5&amp;""),OR(Recherche!$C$6="",IFERROR(YEAR(L3610),0)=Recherche!$C$6),OR(Recherche!$C$7="",ISNUMBER(SEARCH(Recherche!$C$7,H3610))),OR(Recherche!$C$8="",J3610=Recherche!$C$8),OR(Recherche!$C$9="",I3610=Recherche!$C$9),OR(Recherche!$C$10="",G3610&amp;""=Recherche!$C$10&amp;""),OR(Recherche!$C$11="",E3610=Recherche!$C$11),OR(Recherche!$C$12="",ISNUMBER(SEARCH(Recherche!$C$12,M3610&amp;" "&amp;F3610)))),1,0)</f>
        <v>8</v>
      </c>
    </row>
    <row r="3611" customFormat="false" ht="15" hidden="false" customHeight="false" outlineLevel="0" collapsed="false">
      <c r="A3611" s="19"/>
      <c r="B3611" s="19"/>
      <c r="C3611" s="19"/>
      <c r="D3611" s="19"/>
      <c r="E3611" s="22"/>
      <c r="F3611" s="19"/>
      <c r="G3611" s="26" t="str">
        <f aca="false">IF(D3611="","",IFERROR(VALUE(LEFT(D3611,FIND(" |",D3611&amp;" |")-1)),"?"))</f>
        <v/>
      </c>
      <c r="H3611" s="27" t="str">
        <f aca="false">IF(G3611="","",IF(G3611="?","⚠ pub inconnue",IFERROR(INDEX(Pubs!$B$2:$B$3001,MATCH(G3611,Pubs!$A$2:$A$3001,0))&amp;"","⚠ pub inconnue")))</f>
        <v/>
      </c>
      <c r="I3611" s="27" t="str">
        <f aca="false">IF(OR(G3611="",G3611="?"),"",IFERROR(INDEX(Pubs!$C$2:$C$3001,MATCH(G3611,Pubs!$A$2:$A$3001,0))&amp;"",""))</f>
        <v/>
      </c>
      <c r="J3611" s="27" t="str">
        <f aca="false">IF(OR(G3611="",G3611="?"),"",IFERROR(INDEX(Pubs!$G$2:$G$3001,MATCH(G3611,Pubs!$A$2:$A$3001,0))&amp;"",""))</f>
        <v/>
      </c>
      <c r="K3611" s="28" t="str">
        <f aca="false">IF(OR(G3611="",G3611="?"),"",IFERROR(INDEX(Pubs!$E$2:$E$3001,MATCH(G3611,Pubs!$A$2:$A$3001,0)),""))</f>
        <v/>
      </c>
      <c r="L3611" s="29" t="str">
        <f aca="false">IF(A3611="","",IFERROR(1/(1/INDEX(Numéros!$C$2:$C$3001,MATCH(A3611&amp;"|"&amp;B3611,Numéros!$F$2:$F$3001,0))),""))</f>
        <v/>
      </c>
      <c r="M3611" s="27" t="str">
        <f aca="false">IF(OR(G3611="",G3611="?"),"",IFERROR(INDEX(Pubs!$D$2:$D$3001,MATCH(G3611,Pubs!$A$2:$A$3001,0))&amp;"",""))</f>
        <v/>
      </c>
      <c r="N3611" s="27" t="n">
        <f aca="false">N(N3610)+IF(AND(A3611&lt;&gt;"",OR(Recherche!$C$4="",A3611=Recherche!$C$4),OR(Recherche!$C$5="",B3611&amp;""=Recherche!$C$5&amp;""),OR(Recherche!$C$6="",IFERROR(YEAR(L3611),0)=Recherche!$C$6),OR(Recherche!$C$7="",ISNUMBER(SEARCH(Recherche!$C$7,H3611))),OR(Recherche!$C$8="",J3611=Recherche!$C$8),OR(Recherche!$C$9="",I3611=Recherche!$C$9),OR(Recherche!$C$10="",G3611&amp;""=Recherche!$C$10&amp;""),OR(Recherche!$C$11="",E3611=Recherche!$C$11),OR(Recherche!$C$12="",ISNUMBER(SEARCH(Recherche!$C$12,M3611&amp;" "&amp;F3611)))),1,0)</f>
        <v>8</v>
      </c>
    </row>
    <row r="3612" customFormat="false" ht="15" hidden="false" customHeight="false" outlineLevel="0" collapsed="false">
      <c r="A3612" s="19"/>
      <c r="B3612" s="19"/>
      <c r="C3612" s="19"/>
      <c r="D3612" s="19"/>
      <c r="E3612" s="22"/>
      <c r="F3612" s="19"/>
      <c r="G3612" s="26" t="str">
        <f aca="false">IF(D3612="","",IFERROR(VALUE(LEFT(D3612,FIND(" |",D3612&amp;" |")-1)),"?"))</f>
        <v/>
      </c>
      <c r="H3612" s="27" t="str">
        <f aca="false">IF(G3612="","",IF(G3612="?","⚠ pub inconnue",IFERROR(INDEX(Pubs!$B$2:$B$3001,MATCH(G3612,Pubs!$A$2:$A$3001,0))&amp;"","⚠ pub inconnue")))</f>
        <v/>
      </c>
      <c r="I3612" s="27" t="str">
        <f aca="false">IF(OR(G3612="",G3612="?"),"",IFERROR(INDEX(Pubs!$C$2:$C$3001,MATCH(G3612,Pubs!$A$2:$A$3001,0))&amp;"",""))</f>
        <v/>
      </c>
      <c r="J3612" s="27" t="str">
        <f aca="false">IF(OR(G3612="",G3612="?"),"",IFERROR(INDEX(Pubs!$G$2:$G$3001,MATCH(G3612,Pubs!$A$2:$A$3001,0))&amp;"",""))</f>
        <v/>
      </c>
      <c r="K3612" s="28" t="str">
        <f aca="false">IF(OR(G3612="",G3612="?"),"",IFERROR(INDEX(Pubs!$E$2:$E$3001,MATCH(G3612,Pubs!$A$2:$A$3001,0)),""))</f>
        <v/>
      </c>
      <c r="L3612" s="29" t="str">
        <f aca="false">IF(A3612="","",IFERROR(1/(1/INDEX(Numéros!$C$2:$C$3001,MATCH(A3612&amp;"|"&amp;B3612,Numéros!$F$2:$F$3001,0))),""))</f>
        <v/>
      </c>
      <c r="M3612" s="27" t="str">
        <f aca="false">IF(OR(G3612="",G3612="?"),"",IFERROR(INDEX(Pubs!$D$2:$D$3001,MATCH(G3612,Pubs!$A$2:$A$3001,0))&amp;"",""))</f>
        <v/>
      </c>
      <c r="N3612" s="27" t="n">
        <f aca="false">N(N3611)+IF(AND(A3612&lt;&gt;"",OR(Recherche!$C$4="",A3612=Recherche!$C$4),OR(Recherche!$C$5="",B3612&amp;""=Recherche!$C$5&amp;""),OR(Recherche!$C$6="",IFERROR(YEAR(L3612),0)=Recherche!$C$6),OR(Recherche!$C$7="",ISNUMBER(SEARCH(Recherche!$C$7,H3612))),OR(Recherche!$C$8="",J3612=Recherche!$C$8),OR(Recherche!$C$9="",I3612=Recherche!$C$9),OR(Recherche!$C$10="",G3612&amp;""=Recherche!$C$10&amp;""),OR(Recherche!$C$11="",E3612=Recherche!$C$11),OR(Recherche!$C$12="",ISNUMBER(SEARCH(Recherche!$C$12,M3612&amp;" "&amp;F3612)))),1,0)</f>
        <v>8</v>
      </c>
    </row>
    <row r="3613" customFormat="false" ht="15" hidden="false" customHeight="false" outlineLevel="0" collapsed="false">
      <c r="A3613" s="19"/>
      <c r="B3613" s="19"/>
      <c r="C3613" s="19"/>
      <c r="D3613" s="19"/>
      <c r="E3613" s="22"/>
      <c r="F3613" s="19"/>
      <c r="G3613" s="26" t="str">
        <f aca="false">IF(D3613="","",IFERROR(VALUE(LEFT(D3613,FIND(" |",D3613&amp;" |")-1)),"?"))</f>
        <v/>
      </c>
      <c r="H3613" s="27" t="str">
        <f aca="false">IF(G3613="","",IF(G3613="?","⚠ pub inconnue",IFERROR(INDEX(Pubs!$B$2:$B$3001,MATCH(G3613,Pubs!$A$2:$A$3001,0))&amp;"","⚠ pub inconnue")))</f>
        <v/>
      </c>
      <c r="I3613" s="27" t="str">
        <f aca="false">IF(OR(G3613="",G3613="?"),"",IFERROR(INDEX(Pubs!$C$2:$C$3001,MATCH(G3613,Pubs!$A$2:$A$3001,0))&amp;"",""))</f>
        <v/>
      </c>
      <c r="J3613" s="27" t="str">
        <f aca="false">IF(OR(G3613="",G3613="?"),"",IFERROR(INDEX(Pubs!$G$2:$G$3001,MATCH(G3613,Pubs!$A$2:$A$3001,0))&amp;"",""))</f>
        <v/>
      </c>
      <c r="K3613" s="28" t="str">
        <f aca="false">IF(OR(G3613="",G3613="?"),"",IFERROR(INDEX(Pubs!$E$2:$E$3001,MATCH(G3613,Pubs!$A$2:$A$3001,0)),""))</f>
        <v/>
      </c>
      <c r="L3613" s="29" t="str">
        <f aca="false">IF(A3613="","",IFERROR(1/(1/INDEX(Numéros!$C$2:$C$3001,MATCH(A3613&amp;"|"&amp;B3613,Numéros!$F$2:$F$3001,0))),""))</f>
        <v/>
      </c>
      <c r="M3613" s="27" t="str">
        <f aca="false">IF(OR(G3613="",G3613="?"),"",IFERROR(INDEX(Pubs!$D$2:$D$3001,MATCH(G3613,Pubs!$A$2:$A$3001,0))&amp;"",""))</f>
        <v/>
      </c>
      <c r="N3613" s="27" t="n">
        <f aca="false">N(N3612)+IF(AND(A3613&lt;&gt;"",OR(Recherche!$C$4="",A3613=Recherche!$C$4),OR(Recherche!$C$5="",B3613&amp;""=Recherche!$C$5&amp;""),OR(Recherche!$C$6="",IFERROR(YEAR(L3613),0)=Recherche!$C$6),OR(Recherche!$C$7="",ISNUMBER(SEARCH(Recherche!$C$7,H3613))),OR(Recherche!$C$8="",J3613=Recherche!$C$8),OR(Recherche!$C$9="",I3613=Recherche!$C$9),OR(Recherche!$C$10="",G3613&amp;""=Recherche!$C$10&amp;""),OR(Recherche!$C$11="",E3613=Recherche!$C$11),OR(Recherche!$C$12="",ISNUMBER(SEARCH(Recherche!$C$12,M3613&amp;" "&amp;F3613)))),1,0)</f>
        <v>8</v>
      </c>
    </row>
    <row r="3614" customFormat="false" ht="15" hidden="false" customHeight="false" outlineLevel="0" collapsed="false">
      <c r="A3614" s="19"/>
      <c r="B3614" s="19"/>
      <c r="C3614" s="19"/>
      <c r="D3614" s="19"/>
      <c r="E3614" s="22"/>
      <c r="F3614" s="19"/>
      <c r="G3614" s="26" t="str">
        <f aca="false">IF(D3614="","",IFERROR(VALUE(LEFT(D3614,FIND(" |",D3614&amp;" |")-1)),"?"))</f>
        <v/>
      </c>
      <c r="H3614" s="27" t="str">
        <f aca="false">IF(G3614="","",IF(G3614="?","⚠ pub inconnue",IFERROR(INDEX(Pubs!$B$2:$B$3001,MATCH(G3614,Pubs!$A$2:$A$3001,0))&amp;"","⚠ pub inconnue")))</f>
        <v/>
      </c>
      <c r="I3614" s="27" t="str">
        <f aca="false">IF(OR(G3614="",G3614="?"),"",IFERROR(INDEX(Pubs!$C$2:$C$3001,MATCH(G3614,Pubs!$A$2:$A$3001,0))&amp;"",""))</f>
        <v/>
      </c>
      <c r="J3614" s="27" t="str">
        <f aca="false">IF(OR(G3614="",G3614="?"),"",IFERROR(INDEX(Pubs!$G$2:$G$3001,MATCH(G3614,Pubs!$A$2:$A$3001,0))&amp;"",""))</f>
        <v/>
      </c>
      <c r="K3614" s="28" t="str">
        <f aca="false">IF(OR(G3614="",G3614="?"),"",IFERROR(INDEX(Pubs!$E$2:$E$3001,MATCH(G3614,Pubs!$A$2:$A$3001,0)),""))</f>
        <v/>
      </c>
      <c r="L3614" s="29" t="str">
        <f aca="false">IF(A3614="","",IFERROR(1/(1/INDEX(Numéros!$C$2:$C$3001,MATCH(A3614&amp;"|"&amp;B3614,Numéros!$F$2:$F$3001,0))),""))</f>
        <v/>
      </c>
      <c r="M3614" s="27" t="str">
        <f aca="false">IF(OR(G3614="",G3614="?"),"",IFERROR(INDEX(Pubs!$D$2:$D$3001,MATCH(G3614,Pubs!$A$2:$A$3001,0))&amp;"",""))</f>
        <v/>
      </c>
      <c r="N3614" s="27" t="n">
        <f aca="false">N(N3613)+IF(AND(A3614&lt;&gt;"",OR(Recherche!$C$4="",A3614=Recherche!$C$4),OR(Recherche!$C$5="",B3614&amp;""=Recherche!$C$5&amp;""),OR(Recherche!$C$6="",IFERROR(YEAR(L3614),0)=Recherche!$C$6),OR(Recherche!$C$7="",ISNUMBER(SEARCH(Recherche!$C$7,H3614))),OR(Recherche!$C$8="",J3614=Recherche!$C$8),OR(Recherche!$C$9="",I3614=Recherche!$C$9),OR(Recherche!$C$10="",G3614&amp;""=Recherche!$C$10&amp;""),OR(Recherche!$C$11="",E3614=Recherche!$C$11),OR(Recherche!$C$12="",ISNUMBER(SEARCH(Recherche!$C$12,M3614&amp;" "&amp;F3614)))),1,0)</f>
        <v>8</v>
      </c>
    </row>
    <row r="3615" customFormat="false" ht="15" hidden="false" customHeight="false" outlineLevel="0" collapsed="false">
      <c r="A3615" s="19"/>
      <c r="B3615" s="19"/>
      <c r="C3615" s="19"/>
      <c r="D3615" s="19"/>
      <c r="E3615" s="22"/>
      <c r="F3615" s="19"/>
      <c r="G3615" s="26" t="str">
        <f aca="false">IF(D3615="","",IFERROR(VALUE(LEFT(D3615,FIND(" |",D3615&amp;" |")-1)),"?"))</f>
        <v/>
      </c>
      <c r="H3615" s="27" t="str">
        <f aca="false">IF(G3615="","",IF(G3615="?","⚠ pub inconnue",IFERROR(INDEX(Pubs!$B$2:$B$3001,MATCH(G3615,Pubs!$A$2:$A$3001,0))&amp;"","⚠ pub inconnue")))</f>
        <v/>
      </c>
      <c r="I3615" s="27" t="str">
        <f aca="false">IF(OR(G3615="",G3615="?"),"",IFERROR(INDEX(Pubs!$C$2:$C$3001,MATCH(G3615,Pubs!$A$2:$A$3001,0))&amp;"",""))</f>
        <v/>
      </c>
      <c r="J3615" s="27" t="str">
        <f aca="false">IF(OR(G3615="",G3615="?"),"",IFERROR(INDEX(Pubs!$G$2:$G$3001,MATCH(G3615,Pubs!$A$2:$A$3001,0))&amp;"",""))</f>
        <v/>
      </c>
      <c r="K3615" s="28" t="str">
        <f aca="false">IF(OR(G3615="",G3615="?"),"",IFERROR(INDEX(Pubs!$E$2:$E$3001,MATCH(G3615,Pubs!$A$2:$A$3001,0)),""))</f>
        <v/>
      </c>
      <c r="L3615" s="29" t="str">
        <f aca="false">IF(A3615="","",IFERROR(1/(1/INDEX(Numéros!$C$2:$C$3001,MATCH(A3615&amp;"|"&amp;B3615,Numéros!$F$2:$F$3001,0))),""))</f>
        <v/>
      </c>
      <c r="M3615" s="27" t="str">
        <f aca="false">IF(OR(G3615="",G3615="?"),"",IFERROR(INDEX(Pubs!$D$2:$D$3001,MATCH(G3615,Pubs!$A$2:$A$3001,0))&amp;"",""))</f>
        <v/>
      </c>
      <c r="N3615" s="27" t="n">
        <f aca="false">N(N3614)+IF(AND(A3615&lt;&gt;"",OR(Recherche!$C$4="",A3615=Recherche!$C$4),OR(Recherche!$C$5="",B3615&amp;""=Recherche!$C$5&amp;""),OR(Recherche!$C$6="",IFERROR(YEAR(L3615),0)=Recherche!$C$6),OR(Recherche!$C$7="",ISNUMBER(SEARCH(Recherche!$C$7,H3615))),OR(Recherche!$C$8="",J3615=Recherche!$C$8),OR(Recherche!$C$9="",I3615=Recherche!$C$9),OR(Recherche!$C$10="",G3615&amp;""=Recherche!$C$10&amp;""),OR(Recherche!$C$11="",E3615=Recherche!$C$11),OR(Recherche!$C$12="",ISNUMBER(SEARCH(Recherche!$C$12,M3615&amp;" "&amp;F3615)))),1,0)</f>
        <v>8</v>
      </c>
    </row>
    <row r="3616" customFormat="false" ht="15" hidden="false" customHeight="false" outlineLevel="0" collapsed="false">
      <c r="A3616" s="19"/>
      <c r="B3616" s="19"/>
      <c r="C3616" s="19"/>
      <c r="D3616" s="19"/>
      <c r="E3616" s="22"/>
      <c r="F3616" s="19"/>
      <c r="G3616" s="26" t="str">
        <f aca="false">IF(D3616="","",IFERROR(VALUE(LEFT(D3616,FIND(" |",D3616&amp;" |")-1)),"?"))</f>
        <v/>
      </c>
      <c r="H3616" s="27" t="str">
        <f aca="false">IF(G3616="","",IF(G3616="?","⚠ pub inconnue",IFERROR(INDEX(Pubs!$B$2:$B$3001,MATCH(G3616,Pubs!$A$2:$A$3001,0))&amp;"","⚠ pub inconnue")))</f>
        <v/>
      </c>
      <c r="I3616" s="27" t="str">
        <f aca="false">IF(OR(G3616="",G3616="?"),"",IFERROR(INDEX(Pubs!$C$2:$C$3001,MATCH(G3616,Pubs!$A$2:$A$3001,0))&amp;"",""))</f>
        <v/>
      </c>
      <c r="J3616" s="27" t="str">
        <f aca="false">IF(OR(G3616="",G3616="?"),"",IFERROR(INDEX(Pubs!$G$2:$G$3001,MATCH(G3616,Pubs!$A$2:$A$3001,0))&amp;"",""))</f>
        <v/>
      </c>
      <c r="K3616" s="28" t="str">
        <f aca="false">IF(OR(G3616="",G3616="?"),"",IFERROR(INDEX(Pubs!$E$2:$E$3001,MATCH(G3616,Pubs!$A$2:$A$3001,0)),""))</f>
        <v/>
      </c>
      <c r="L3616" s="29" t="str">
        <f aca="false">IF(A3616="","",IFERROR(1/(1/INDEX(Numéros!$C$2:$C$3001,MATCH(A3616&amp;"|"&amp;B3616,Numéros!$F$2:$F$3001,0))),""))</f>
        <v/>
      </c>
      <c r="M3616" s="27" t="str">
        <f aca="false">IF(OR(G3616="",G3616="?"),"",IFERROR(INDEX(Pubs!$D$2:$D$3001,MATCH(G3616,Pubs!$A$2:$A$3001,0))&amp;"",""))</f>
        <v/>
      </c>
      <c r="N3616" s="27" t="n">
        <f aca="false">N(N3615)+IF(AND(A3616&lt;&gt;"",OR(Recherche!$C$4="",A3616=Recherche!$C$4),OR(Recherche!$C$5="",B3616&amp;""=Recherche!$C$5&amp;""),OR(Recherche!$C$6="",IFERROR(YEAR(L3616),0)=Recherche!$C$6),OR(Recherche!$C$7="",ISNUMBER(SEARCH(Recherche!$C$7,H3616))),OR(Recherche!$C$8="",J3616=Recherche!$C$8),OR(Recherche!$C$9="",I3616=Recherche!$C$9),OR(Recherche!$C$10="",G3616&amp;""=Recherche!$C$10&amp;""),OR(Recherche!$C$11="",E3616=Recherche!$C$11),OR(Recherche!$C$12="",ISNUMBER(SEARCH(Recherche!$C$12,M3616&amp;" "&amp;F3616)))),1,0)</f>
        <v>8</v>
      </c>
    </row>
    <row r="3617" customFormat="false" ht="15" hidden="false" customHeight="false" outlineLevel="0" collapsed="false">
      <c r="A3617" s="19"/>
      <c r="B3617" s="19"/>
      <c r="C3617" s="19"/>
      <c r="D3617" s="19"/>
      <c r="E3617" s="22"/>
      <c r="F3617" s="19"/>
      <c r="G3617" s="26" t="str">
        <f aca="false">IF(D3617="","",IFERROR(VALUE(LEFT(D3617,FIND(" |",D3617&amp;" |")-1)),"?"))</f>
        <v/>
      </c>
      <c r="H3617" s="27" t="str">
        <f aca="false">IF(G3617="","",IF(G3617="?","⚠ pub inconnue",IFERROR(INDEX(Pubs!$B$2:$B$3001,MATCH(G3617,Pubs!$A$2:$A$3001,0))&amp;"","⚠ pub inconnue")))</f>
        <v/>
      </c>
      <c r="I3617" s="27" t="str">
        <f aca="false">IF(OR(G3617="",G3617="?"),"",IFERROR(INDEX(Pubs!$C$2:$C$3001,MATCH(G3617,Pubs!$A$2:$A$3001,0))&amp;"",""))</f>
        <v/>
      </c>
      <c r="J3617" s="27" t="str">
        <f aca="false">IF(OR(G3617="",G3617="?"),"",IFERROR(INDEX(Pubs!$G$2:$G$3001,MATCH(G3617,Pubs!$A$2:$A$3001,0))&amp;"",""))</f>
        <v/>
      </c>
      <c r="K3617" s="28" t="str">
        <f aca="false">IF(OR(G3617="",G3617="?"),"",IFERROR(INDEX(Pubs!$E$2:$E$3001,MATCH(G3617,Pubs!$A$2:$A$3001,0)),""))</f>
        <v/>
      </c>
      <c r="L3617" s="29" t="str">
        <f aca="false">IF(A3617="","",IFERROR(1/(1/INDEX(Numéros!$C$2:$C$3001,MATCH(A3617&amp;"|"&amp;B3617,Numéros!$F$2:$F$3001,0))),""))</f>
        <v/>
      </c>
      <c r="M3617" s="27" t="str">
        <f aca="false">IF(OR(G3617="",G3617="?"),"",IFERROR(INDEX(Pubs!$D$2:$D$3001,MATCH(G3617,Pubs!$A$2:$A$3001,0))&amp;"",""))</f>
        <v/>
      </c>
      <c r="N3617" s="27" t="n">
        <f aca="false">N(N3616)+IF(AND(A3617&lt;&gt;"",OR(Recherche!$C$4="",A3617=Recherche!$C$4),OR(Recherche!$C$5="",B3617&amp;""=Recherche!$C$5&amp;""),OR(Recherche!$C$6="",IFERROR(YEAR(L3617),0)=Recherche!$C$6),OR(Recherche!$C$7="",ISNUMBER(SEARCH(Recherche!$C$7,H3617))),OR(Recherche!$C$8="",J3617=Recherche!$C$8),OR(Recherche!$C$9="",I3617=Recherche!$C$9),OR(Recherche!$C$10="",G3617&amp;""=Recherche!$C$10&amp;""),OR(Recherche!$C$11="",E3617=Recherche!$C$11),OR(Recherche!$C$12="",ISNUMBER(SEARCH(Recherche!$C$12,M3617&amp;" "&amp;F3617)))),1,0)</f>
        <v>8</v>
      </c>
    </row>
    <row r="3618" customFormat="false" ht="15" hidden="false" customHeight="false" outlineLevel="0" collapsed="false">
      <c r="A3618" s="19"/>
      <c r="B3618" s="19"/>
      <c r="C3618" s="19"/>
      <c r="D3618" s="19"/>
      <c r="E3618" s="22"/>
      <c r="F3618" s="19"/>
      <c r="G3618" s="26" t="str">
        <f aca="false">IF(D3618="","",IFERROR(VALUE(LEFT(D3618,FIND(" |",D3618&amp;" |")-1)),"?"))</f>
        <v/>
      </c>
      <c r="H3618" s="27" t="str">
        <f aca="false">IF(G3618="","",IF(G3618="?","⚠ pub inconnue",IFERROR(INDEX(Pubs!$B$2:$B$3001,MATCH(G3618,Pubs!$A$2:$A$3001,0))&amp;"","⚠ pub inconnue")))</f>
        <v/>
      </c>
      <c r="I3618" s="27" t="str">
        <f aca="false">IF(OR(G3618="",G3618="?"),"",IFERROR(INDEX(Pubs!$C$2:$C$3001,MATCH(G3618,Pubs!$A$2:$A$3001,0))&amp;"",""))</f>
        <v/>
      </c>
      <c r="J3618" s="27" t="str">
        <f aca="false">IF(OR(G3618="",G3618="?"),"",IFERROR(INDEX(Pubs!$G$2:$G$3001,MATCH(G3618,Pubs!$A$2:$A$3001,0))&amp;"",""))</f>
        <v/>
      </c>
      <c r="K3618" s="28" t="str">
        <f aca="false">IF(OR(G3618="",G3618="?"),"",IFERROR(INDEX(Pubs!$E$2:$E$3001,MATCH(G3618,Pubs!$A$2:$A$3001,0)),""))</f>
        <v/>
      </c>
      <c r="L3618" s="29" t="str">
        <f aca="false">IF(A3618="","",IFERROR(1/(1/INDEX(Numéros!$C$2:$C$3001,MATCH(A3618&amp;"|"&amp;B3618,Numéros!$F$2:$F$3001,0))),""))</f>
        <v/>
      </c>
      <c r="M3618" s="27" t="str">
        <f aca="false">IF(OR(G3618="",G3618="?"),"",IFERROR(INDEX(Pubs!$D$2:$D$3001,MATCH(G3618,Pubs!$A$2:$A$3001,0))&amp;"",""))</f>
        <v/>
      </c>
      <c r="N3618" s="27" t="n">
        <f aca="false">N(N3617)+IF(AND(A3618&lt;&gt;"",OR(Recherche!$C$4="",A3618=Recherche!$C$4),OR(Recherche!$C$5="",B3618&amp;""=Recherche!$C$5&amp;""),OR(Recherche!$C$6="",IFERROR(YEAR(L3618),0)=Recherche!$C$6),OR(Recherche!$C$7="",ISNUMBER(SEARCH(Recherche!$C$7,H3618))),OR(Recherche!$C$8="",J3618=Recherche!$C$8),OR(Recherche!$C$9="",I3618=Recherche!$C$9),OR(Recherche!$C$10="",G3618&amp;""=Recherche!$C$10&amp;""),OR(Recherche!$C$11="",E3618=Recherche!$C$11),OR(Recherche!$C$12="",ISNUMBER(SEARCH(Recherche!$C$12,M3618&amp;" "&amp;F3618)))),1,0)</f>
        <v>8</v>
      </c>
    </row>
    <row r="3619" customFormat="false" ht="15" hidden="false" customHeight="false" outlineLevel="0" collapsed="false">
      <c r="A3619" s="19"/>
      <c r="B3619" s="19"/>
      <c r="C3619" s="19"/>
      <c r="D3619" s="19"/>
      <c r="E3619" s="22"/>
      <c r="F3619" s="19"/>
      <c r="G3619" s="26" t="str">
        <f aca="false">IF(D3619="","",IFERROR(VALUE(LEFT(D3619,FIND(" |",D3619&amp;" |")-1)),"?"))</f>
        <v/>
      </c>
      <c r="H3619" s="27" t="str">
        <f aca="false">IF(G3619="","",IF(G3619="?","⚠ pub inconnue",IFERROR(INDEX(Pubs!$B$2:$B$3001,MATCH(G3619,Pubs!$A$2:$A$3001,0))&amp;"","⚠ pub inconnue")))</f>
        <v/>
      </c>
      <c r="I3619" s="27" t="str">
        <f aca="false">IF(OR(G3619="",G3619="?"),"",IFERROR(INDEX(Pubs!$C$2:$C$3001,MATCH(G3619,Pubs!$A$2:$A$3001,0))&amp;"",""))</f>
        <v/>
      </c>
      <c r="J3619" s="27" t="str">
        <f aca="false">IF(OR(G3619="",G3619="?"),"",IFERROR(INDEX(Pubs!$G$2:$G$3001,MATCH(G3619,Pubs!$A$2:$A$3001,0))&amp;"",""))</f>
        <v/>
      </c>
      <c r="K3619" s="28" t="str">
        <f aca="false">IF(OR(G3619="",G3619="?"),"",IFERROR(INDEX(Pubs!$E$2:$E$3001,MATCH(G3619,Pubs!$A$2:$A$3001,0)),""))</f>
        <v/>
      </c>
      <c r="L3619" s="29" t="str">
        <f aca="false">IF(A3619="","",IFERROR(1/(1/INDEX(Numéros!$C$2:$C$3001,MATCH(A3619&amp;"|"&amp;B3619,Numéros!$F$2:$F$3001,0))),""))</f>
        <v/>
      </c>
      <c r="M3619" s="27" t="str">
        <f aca="false">IF(OR(G3619="",G3619="?"),"",IFERROR(INDEX(Pubs!$D$2:$D$3001,MATCH(G3619,Pubs!$A$2:$A$3001,0))&amp;"",""))</f>
        <v/>
      </c>
      <c r="N3619" s="27" t="n">
        <f aca="false">N(N3618)+IF(AND(A3619&lt;&gt;"",OR(Recherche!$C$4="",A3619=Recherche!$C$4),OR(Recherche!$C$5="",B3619&amp;""=Recherche!$C$5&amp;""),OR(Recherche!$C$6="",IFERROR(YEAR(L3619),0)=Recherche!$C$6),OR(Recherche!$C$7="",ISNUMBER(SEARCH(Recherche!$C$7,H3619))),OR(Recherche!$C$8="",J3619=Recherche!$C$8),OR(Recherche!$C$9="",I3619=Recherche!$C$9),OR(Recherche!$C$10="",G3619&amp;""=Recherche!$C$10&amp;""),OR(Recherche!$C$11="",E3619=Recherche!$C$11),OR(Recherche!$C$12="",ISNUMBER(SEARCH(Recherche!$C$12,M3619&amp;" "&amp;F3619)))),1,0)</f>
        <v>8</v>
      </c>
    </row>
    <row r="3620" customFormat="false" ht="15" hidden="false" customHeight="false" outlineLevel="0" collapsed="false">
      <c r="A3620" s="19"/>
      <c r="B3620" s="19"/>
      <c r="C3620" s="19"/>
      <c r="D3620" s="19"/>
      <c r="E3620" s="22"/>
      <c r="F3620" s="19"/>
      <c r="G3620" s="26" t="str">
        <f aca="false">IF(D3620="","",IFERROR(VALUE(LEFT(D3620,FIND(" |",D3620&amp;" |")-1)),"?"))</f>
        <v/>
      </c>
      <c r="H3620" s="27" t="str">
        <f aca="false">IF(G3620="","",IF(G3620="?","⚠ pub inconnue",IFERROR(INDEX(Pubs!$B$2:$B$3001,MATCH(G3620,Pubs!$A$2:$A$3001,0))&amp;"","⚠ pub inconnue")))</f>
        <v/>
      </c>
      <c r="I3620" s="27" t="str">
        <f aca="false">IF(OR(G3620="",G3620="?"),"",IFERROR(INDEX(Pubs!$C$2:$C$3001,MATCH(G3620,Pubs!$A$2:$A$3001,0))&amp;"",""))</f>
        <v/>
      </c>
      <c r="J3620" s="27" t="str">
        <f aca="false">IF(OR(G3620="",G3620="?"),"",IFERROR(INDEX(Pubs!$G$2:$G$3001,MATCH(G3620,Pubs!$A$2:$A$3001,0))&amp;"",""))</f>
        <v/>
      </c>
      <c r="K3620" s="28" t="str">
        <f aca="false">IF(OR(G3620="",G3620="?"),"",IFERROR(INDEX(Pubs!$E$2:$E$3001,MATCH(G3620,Pubs!$A$2:$A$3001,0)),""))</f>
        <v/>
      </c>
      <c r="L3620" s="29" t="str">
        <f aca="false">IF(A3620="","",IFERROR(1/(1/INDEX(Numéros!$C$2:$C$3001,MATCH(A3620&amp;"|"&amp;B3620,Numéros!$F$2:$F$3001,0))),""))</f>
        <v/>
      </c>
      <c r="M3620" s="27" t="str">
        <f aca="false">IF(OR(G3620="",G3620="?"),"",IFERROR(INDEX(Pubs!$D$2:$D$3001,MATCH(G3620,Pubs!$A$2:$A$3001,0))&amp;"",""))</f>
        <v/>
      </c>
      <c r="N3620" s="27" t="n">
        <f aca="false">N(N3619)+IF(AND(A3620&lt;&gt;"",OR(Recherche!$C$4="",A3620=Recherche!$C$4),OR(Recherche!$C$5="",B3620&amp;""=Recherche!$C$5&amp;""),OR(Recherche!$C$6="",IFERROR(YEAR(L3620),0)=Recherche!$C$6),OR(Recherche!$C$7="",ISNUMBER(SEARCH(Recherche!$C$7,H3620))),OR(Recherche!$C$8="",J3620=Recherche!$C$8),OR(Recherche!$C$9="",I3620=Recherche!$C$9),OR(Recherche!$C$10="",G3620&amp;""=Recherche!$C$10&amp;""),OR(Recherche!$C$11="",E3620=Recherche!$C$11),OR(Recherche!$C$12="",ISNUMBER(SEARCH(Recherche!$C$12,M3620&amp;" "&amp;F3620)))),1,0)</f>
        <v>8</v>
      </c>
    </row>
    <row r="3621" customFormat="false" ht="15" hidden="false" customHeight="false" outlineLevel="0" collapsed="false">
      <c r="A3621" s="19"/>
      <c r="B3621" s="19"/>
      <c r="C3621" s="19"/>
      <c r="D3621" s="19"/>
      <c r="E3621" s="22"/>
      <c r="F3621" s="19"/>
      <c r="G3621" s="26" t="str">
        <f aca="false">IF(D3621="","",IFERROR(VALUE(LEFT(D3621,FIND(" |",D3621&amp;" |")-1)),"?"))</f>
        <v/>
      </c>
      <c r="H3621" s="27" t="str">
        <f aca="false">IF(G3621="","",IF(G3621="?","⚠ pub inconnue",IFERROR(INDEX(Pubs!$B$2:$B$3001,MATCH(G3621,Pubs!$A$2:$A$3001,0))&amp;"","⚠ pub inconnue")))</f>
        <v/>
      </c>
      <c r="I3621" s="27" t="str">
        <f aca="false">IF(OR(G3621="",G3621="?"),"",IFERROR(INDEX(Pubs!$C$2:$C$3001,MATCH(G3621,Pubs!$A$2:$A$3001,0))&amp;"",""))</f>
        <v/>
      </c>
      <c r="J3621" s="27" t="str">
        <f aca="false">IF(OR(G3621="",G3621="?"),"",IFERROR(INDEX(Pubs!$G$2:$G$3001,MATCH(G3621,Pubs!$A$2:$A$3001,0))&amp;"",""))</f>
        <v/>
      </c>
      <c r="K3621" s="28" t="str">
        <f aca="false">IF(OR(G3621="",G3621="?"),"",IFERROR(INDEX(Pubs!$E$2:$E$3001,MATCH(G3621,Pubs!$A$2:$A$3001,0)),""))</f>
        <v/>
      </c>
      <c r="L3621" s="29" t="str">
        <f aca="false">IF(A3621="","",IFERROR(1/(1/INDEX(Numéros!$C$2:$C$3001,MATCH(A3621&amp;"|"&amp;B3621,Numéros!$F$2:$F$3001,0))),""))</f>
        <v/>
      </c>
      <c r="M3621" s="27" t="str">
        <f aca="false">IF(OR(G3621="",G3621="?"),"",IFERROR(INDEX(Pubs!$D$2:$D$3001,MATCH(G3621,Pubs!$A$2:$A$3001,0))&amp;"",""))</f>
        <v/>
      </c>
      <c r="N3621" s="27" t="n">
        <f aca="false">N(N3620)+IF(AND(A3621&lt;&gt;"",OR(Recherche!$C$4="",A3621=Recherche!$C$4),OR(Recherche!$C$5="",B3621&amp;""=Recherche!$C$5&amp;""),OR(Recherche!$C$6="",IFERROR(YEAR(L3621),0)=Recherche!$C$6),OR(Recherche!$C$7="",ISNUMBER(SEARCH(Recherche!$C$7,H3621))),OR(Recherche!$C$8="",J3621=Recherche!$C$8),OR(Recherche!$C$9="",I3621=Recherche!$C$9),OR(Recherche!$C$10="",G3621&amp;""=Recherche!$C$10&amp;""),OR(Recherche!$C$11="",E3621=Recherche!$C$11),OR(Recherche!$C$12="",ISNUMBER(SEARCH(Recherche!$C$12,M3621&amp;" "&amp;F3621)))),1,0)</f>
        <v>8</v>
      </c>
    </row>
    <row r="3622" customFormat="false" ht="15" hidden="false" customHeight="false" outlineLevel="0" collapsed="false">
      <c r="A3622" s="19"/>
      <c r="B3622" s="19"/>
      <c r="C3622" s="19"/>
      <c r="D3622" s="19"/>
      <c r="E3622" s="22"/>
      <c r="F3622" s="19"/>
      <c r="G3622" s="26" t="str">
        <f aca="false">IF(D3622="","",IFERROR(VALUE(LEFT(D3622,FIND(" |",D3622&amp;" |")-1)),"?"))</f>
        <v/>
      </c>
      <c r="H3622" s="27" t="str">
        <f aca="false">IF(G3622="","",IF(G3622="?","⚠ pub inconnue",IFERROR(INDEX(Pubs!$B$2:$B$3001,MATCH(G3622,Pubs!$A$2:$A$3001,0))&amp;"","⚠ pub inconnue")))</f>
        <v/>
      </c>
      <c r="I3622" s="27" t="str">
        <f aca="false">IF(OR(G3622="",G3622="?"),"",IFERROR(INDEX(Pubs!$C$2:$C$3001,MATCH(G3622,Pubs!$A$2:$A$3001,0))&amp;"",""))</f>
        <v/>
      </c>
      <c r="J3622" s="27" t="str">
        <f aca="false">IF(OR(G3622="",G3622="?"),"",IFERROR(INDEX(Pubs!$G$2:$G$3001,MATCH(G3622,Pubs!$A$2:$A$3001,0))&amp;"",""))</f>
        <v/>
      </c>
      <c r="K3622" s="28" t="str">
        <f aca="false">IF(OR(G3622="",G3622="?"),"",IFERROR(INDEX(Pubs!$E$2:$E$3001,MATCH(G3622,Pubs!$A$2:$A$3001,0)),""))</f>
        <v/>
      </c>
      <c r="L3622" s="29" t="str">
        <f aca="false">IF(A3622="","",IFERROR(1/(1/INDEX(Numéros!$C$2:$C$3001,MATCH(A3622&amp;"|"&amp;B3622,Numéros!$F$2:$F$3001,0))),""))</f>
        <v/>
      </c>
      <c r="M3622" s="27" t="str">
        <f aca="false">IF(OR(G3622="",G3622="?"),"",IFERROR(INDEX(Pubs!$D$2:$D$3001,MATCH(G3622,Pubs!$A$2:$A$3001,0))&amp;"",""))</f>
        <v/>
      </c>
      <c r="N3622" s="27" t="n">
        <f aca="false">N(N3621)+IF(AND(A3622&lt;&gt;"",OR(Recherche!$C$4="",A3622=Recherche!$C$4),OR(Recherche!$C$5="",B3622&amp;""=Recherche!$C$5&amp;""),OR(Recherche!$C$6="",IFERROR(YEAR(L3622),0)=Recherche!$C$6),OR(Recherche!$C$7="",ISNUMBER(SEARCH(Recherche!$C$7,H3622))),OR(Recherche!$C$8="",J3622=Recherche!$C$8),OR(Recherche!$C$9="",I3622=Recherche!$C$9),OR(Recherche!$C$10="",G3622&amp;""=Recherche!$C$10&amp;""),OR(Recherche!$C$11="",E3622=Recherche!$C$11),OR(Recherche!$C$12="",ISNUMBER(SEARCH(Recherche!$C$12,M3622&amp;" "&amp;F3622)))),1,0)</f>
        <v>8</v>
      </c>
    </row>
    <row r="3623" customFormat="false" ht="15" hidden="false" customHeight="false" outlineLevel="0" collapsed="false">
      <c r="A3623" s="19"/>
      <c r="B3623" s="19"/>
      <c r="C3623" s="19"/>
      <c r="D3623" s="19"/>
      <c r="E3623" s="22"/>
      <c r="F3623" s="19"/>
      <c r="G3623" s="26" t="str">
        <f aca="false">IF(D3623="","",IFERROR(VALUE(LEFT(D3623,FIND(" |",D3623&amp;" |")-1)),"?"))</f>
        <v/>
      </c>
      <c r="H3623" s="27" t="str">
        <f aca="false">IF(G3623="","",IF(G3623="?","⚠ pub inconnue",IFERROR(INDEX(Pubs!$B$2:$B$3001,MATCH(G3623,Pubs!$A$2:$A$3001,0))&amp;"","⚠ pub inconnue")))</f>
        <v/>
      </c>
      <c r="I3623" s="27" t="str">
        <f aca="false">IF(OR(G3623="",G3623="?"),"",IFERROR(INDEX(Pubs!$C$2:$C$3001,MATCH(G3623,Pubs!$A$2:$A$3001,0))&amp;"",""))</f>
        <v/>
      </c>
      <c r="J3623" s="27" t="str">
        <f aca="false">IF(OR(G3623="",G3623="?"),"",IFERROR(INDEX(Pubs!$G$2:$G$3001,MATCH(G3623,Pubs!$A$2:$A$3001,0))&amp;"",""))</f>
        <v/>
      </c>
      <c r="K3623" s="28" t="str">
        <f aca="false">IF(OR(G3623="",G3623="?"),"",IFERROR(INDEX(Pubs!$E$2:$E$3001,MATCH(G3623,Pubs!$A$2:$A$3001,0)),""))</f>
        <v/>
      </c>
      <c r="L3623" s="29" t="str">
        <f aca="false">IF(A3623="","",IFERROR(1/(1/INDEX(Numéros!$C$2:$C$3001,MATCH(A3623&amp;"|"&amp;B3623,Numéros!$F$2:$F$3001,0))),""))</f>
        <v/>
      </c>
      <c r="M3623" s="27" t="str">
        <f aca="false">IF(OR(G3623="",G3623="?"),"",IFERROR(INDEX(Pubs!$D$2:$D$3001,MATCH(G3623,Pubs!$A$2:$A$3001,0))&amp;"",""))</f>
        <v/>
      </c>
      <c r="N3623" s="27" t="n">
        <f aca="false">N(N3622)+IF(AND(A3623&lt;&gt;"",OR(Recherche!$C$4="",A3623=Recherche!$C$4),OR(Recherche!$C$5="",B3623&amp;""=Recherche!$C$5&amp;""),OR(Recherche!$C$6="",IFERROR(YEAR(L3623),0)=Recherche!$C$6),OR(Recherche!$C$7="",ISNUMBER(SEARCH(Recherche!$C$7,H3623))),OR(Recherche!$C$8="",J3623=Recherche!$C$8),OR(Recherche!$C$9="",I3623=Recherche!$C$9),OR(Recherche!$C$10="",G3623&amp;""=Recherche!$C$10&amp;""),OR(Recherche!$C$11="",E3623=Recherche!$C$11),OR(Recherche!$C$12="",ISNUMBER(SEARCH(Recherche!$C$12,M3623&amp;" "&amp;F3623)))),1,0)</f>
        <v>8</v>
      </c>
    </row>
    <row r="3624" customFormat="false" ht="15" hidden="false" customHeight="false" outlineLevel="0" collapsed="false">
      <c r="A3624" s="19"/>
      <c r="B3624" s="19"/>
      <c r="C3624" s="19"/>
      <c r="D3624" s="19"/>
      <c r="E3624" s="22"/>
      <c r="F3624" s="19"/>
      <c r="G3624" s="26" t="str">
        <f aca="false">IF(D3624="","",IFERROR(VALUE(LEFT(D3624,FIND(" |",D3624&amp;" |")-1)),"?"))</f>
        <v/>
      </c>
      <c r="H3624" s="27" t="str">
        <f aca="false">IF(G3624="","",IF(G3624="?","⚠ pub inconnue",IFERROR(INDEX(Pubs!$B$2:$B$3001,MATCH(G3624,Pubs!$A$2:$A$3001,0))&amp;"","⚠ pub inconnue")))</f>
        <v/>
      </c>
      <c r="I3624" s="27" t="str">
        <f aca="false">IF(OR(G3624="",G3624="?"),"",IFERROR(INDEX(Pubs!$C$2:$C$3001,MATCH(G3624,Pubs!$A$2:$A$3001,0))&amp;"",""))</f>
        <v/>
      </c>
      <c r="J3624" s="27" t="str">
        <f aca="false">IF(OR(G3624="",G3624="?"),"",IFERROR(INDEX(Pubs!$G$2:$G$3001,MATCH(G3624,Pubs!$A$2:$A$3001,0))&amp;"",""))</f>
        <v/>
      </c>
      <c r="K3624" s="28" t="str">
        <f aca="false">IF(OR(G3624="",G3624="?"),"",IFERROR(INDEX(Pubs!$E$2:$E$3001,MATCH(G3624,Pubs!$A$2:$A$3001,0)),""))</f>
        <v/>
      </c>
      <c r="L3624" s="29" t="str">
        <f aca="false">IF(A3624="","",IFERROR(1/(1/INDEX(Numéros!$C$2:$C$3001,MATCH(A3624&amp;"|"&amp;B3624,Numéros!$F$2:$F$3001,0))),""))</f>
        <v/>
      </c>
      <c r="M3624" s="27" t="str">
        <f aca="false">IF(OR(G3624="",G3624="?"),"",IFERROR(INDEX(Pubs!$D$2:$D$3001,MATCH(G3624,Pubs!$A$2:$A$3001,0))&amp;"",""))</f>
        <v/>
      </c>
      <c r="N3624" s="27" t="n">
        <f aca="false">N(N3623)+IF(AND(A3624&lt;&gt;"",OR(Recherche!$C$4="",A3624=Recherche!$C$4),OR(Recherche!$C$5="",B3624&amp;""=Recherche!$C$5&amp;""),OR(Recherche!$C$6="",IFERROR(YEAR(L3624),0)=Recherche!$C$6),OR(Recherche!$C$7="",ISNUMBER(SEARCH(Recherche!$C$7,H3624))),OR(Recherche!$C$8="",J3624=Recherche!$C$8),OR(Recherche!$C$9="",I3624=Recherche!$C$9),OR(Recherche!$C$10="",G3624&amp;""=Recherche!$C$10&amp;""),OR(Recherche!$C$11="",E3624=Recherche!$C$11),OR(Recherche!$C$12="",ISNUMBER(SEARCH(Recherche!$C$12,M3624&amp;" "&amp;F3624)))),1,0)</f>
        <v>8</v>
      </c>
    </row>
    <row r="3625" customFormat="false" ht="15" hidden="false" customHeight="false" outlineLevel="0" collapsed="false">
      <c r="A3625" s="19"/>
      <c r="B3625" s="19"/>
      <c r="C3625" s="19"/>
      <c r="D3625" s="19"/>
      <c r="E3625" s="22"/>
      <c r="F3625" s="19"/>
      <c r="G3625" s="26" t="str">
        <f aca="false">IF(D3625="","",IFERROR(VALUE(LEFT(D3625,FIND(" |",D3625&amp;" |")-1)),"?"))</f>
        <v/>
      </c>
      <c r="H3625" s="27" t="str">
        <f aca="false">IF(G3625="","",IF(G3625="?","⚠ pub inconnue",IFERROR(INDEX(Pubs!$B$2:$B$3001,MATCH(G3625,Pubs!$A$2:$A$3001,0))&amp;"","⚠ pub inconnue")))</f>
        <v/>
      </c>
      <c r="I3625" s="27" t="str">
        <f aca="false">IF(OR(G3625="",G3625="?"),"",IFERROR(INDEX(Pubs!$C$2:$C$3001,MATCH(G3625,Pubs!$A$2:$A$3001,0))&amp;"",""))</f>
        <v/>
      </c>
      <c r="J3625" s="27" t="str">
        <f aca="false">IF(OR(G3625="",G3625="?"),"",IFERROR(INDEX(Pubs!$G$2:$G$3001,MATCH(G3625,Pubs!$A$2:$A$3001,0))&amp;"",""))</f>
        <v/>
      </c>
      <c r="K3625" s="28" t="str">
        <f aca="false">IF(OR(G3625="",G3625="?"),"",IFERROR(INDEX(Pubs!$E$2:$E$3001,MATCH(G3625,Pubs!$A$2:$A$3001,0)),""))</f>
        <v/>
      </c>
      <c r="L3625" s="29" t="str">
        <f aca="false">IF(A3625="","",IFERROR(1/(1/INDEX(Numéros!$C$2:$C$3001,MATCH(A3625&amp;"|"&amp;B3625,Numéros!$F$2:$F$3001,0))),""))</f>
        <v/>
      </c>
      <c r="M3625" s="27" t="str">
        <f aca="false">IF(OR(G3625="",G3625="?"),"",IFERROR(INDEX(Pubs!$D$2:$D$3001,MATCH(G3625,Pubs!$A$2:$A$3001,0))&amp;"",""))</f>
        <v/>
      </c>
      <c r="N3625" s="27" t="n">
        <f aca="false">N(N3624)+IF(AND(A3625&lt;&gt;"",OR(Recherche!$C$4="",A3625=Recherche!$C$4),OR(Recherche!$C$5="",B3625&amp;""=Recherche!$C$5&amp;""),OR(Recherche!$C$6="",IFERROR(YEAR(L3625),0)=Recherche!$C$6),OR(Recherche!$C$7="",ISNUMBER(SEARCH(Recherche!$C$7,H3625))),OR(Recherche!$C$8="",J3625=Recherche!$C$8),OR(Recherche!$C$9="",I3625=Recherche!$C$9),OR(Recherche!$C$10="",G3625&amp;""=Recherche!$C$10&amp;""),OR(Recherche!$C$11="",E3625=Recherche!$C$11),OR(Recherche!$C$12="",ISNUMBER(SEARCH(Recherche!$C$12,M3625&amp;" "&amp;F3625)))),1,0)</f>
        <v>8</v>
      </c>
    </row>
    <row r="3626" customFormat="false" ht="15" hidden="false" customHeight="false" outlineLevel="0" collapsed="false">
      <c r="A3626" s="19"/>
      <c r="B3626" s="19"/>
      <c r="C3626" s="19"/>
      <c r="D3626" s="19"/>
      <c r="E3626" s="22"/>
      <c r="F3626" s="19"/>
      <c r="G3626" s="26" t="str">
        <f aca="false">IF(D3626="","",IFERROR(VALUE(LEFT(D3626,FIND(" |",D3626&amp;" |")-1)),"?"))</f>
        <v/>
      </c>
      <c r="H3626" s="27" t="str">
        <f aca="false">IF(G3626="","",IF(G3626="?","⚠ pub inconnue",IFERROR(INDEX(Pubs!$B$2:$B$3001,MATCH(G3626,Pubs!$A$2:$A$3001,0))&amp;"","⚠ pub inconnue")))</f>
        <v/>
      </c>
      <c r="I3626" s="27" t="str">
        <f aca="false">IF(OR(G3626="",G3626="?"),"",IFERROR(INDEX(Pubs!$C$2:$C$3001,MATCH(G3626,Pubs!$A$2:$A$3001,0))&amp;"",""))</f>
        <v/>
      </c>
      <c r="J3626" s="27" t="str">
        <f aca="false">IF(OR(G3626="",G3626="?"),"",IFERROR(INDEX(Pubs!$G$2:$G$3001,MATCH(G3626,Pubs!$A$2:$A$3001,0))&amp;"",""))</f>
        <v/>
      </c>
      <c r="K3626" s="28" t="str">
        <f aca="false">IF(OR(G3626="",G3626="?"),"",IFERROR(INDEX(Pubs!$E$2:$E$3001,MATCH(G3626,Pubs!$A$2:$A$3001,0)),""))</f>
        <v/>
      </c>
      <c r="L3626" s="29" t="str">
        <f aca="false">IF(A3626="","",IFERROR(1/(1/INDEX(Numéros!$C$2:$C$3001,MATCH(A3626&amp;"|"&amp;B3626,Numéros!$F$2:$F$3001,0))),""))</f>
        <v/>
      </c>
      <c r="M3626" s="27" t="str">
        <f aca="false">IF(OR(G3626="",G3626="?"),"",IFERROR(INDEX(Pubs!$D$2:$D$3001,MATCH(G3626,Pubs!$A$2:$A$3001,0))&amp;"",""))</f>
        <v/>
      </c>
      <c r="N3626" s="27" t="n">
        <f aca="false">N(N3625)+IF(AND(A3626&lt;&gt;"",OR(Recherche!$C$4="",A3626=Recherche!$C$4),OR(Recherche!$C$5="",B3626&amp;""=Recherche!$C$5&amp;""),OR(Recherche!$C$6="",IFERROR(YEAR(L3626),0)=Recherche!$C$6),OR(Recherche!$C$7="",ISNUMBER(SEARCH(Recherche!$C$7,H3626))),OR(Recherche!$C$8="",J3626=Recherche!$C$8),OR(Recherche!$C$9="",I3626=Recherche!$C$9),OR(Recherche!$C$10="",G3626&amp;""=Recherche!$C$10&amp;""),OR(Recherche!$C$11="",E3626=Recherche!$C$11),OR(Recherche!$C$12="",ISNUMBER(SEARCH(Recherche!$C$12,M3626&amp;" "&amp;F3626)))),1,0)</f>
        <v>8</v>
      </c>
    </row>
    <row r="3627" customFormat="false" ht="15" hidden="false" customHeight="false" outlineLevel="0" collapsed="false">
      <c r="A3627" s="19"/>
      <c r="B3627" s="19"/>
      <c r="C3627" s="19"/>
      <c r="D3627" s="19"/>
      <c r="E3627" s="22"/>
      <c r="F3627" s="19"/>
      <c r="G3627" s="26" t="str">
        <f aca="false">IF(D3627="","",IFERROR(VALUE(LEFT(D3627,FIND(" |",D3627&amp;" |")-1)),"?"))</f>
        <v/>
      </c>
      <c r="H3627" s="27" t="str">
        <f aca="false">IF(G3627="","",IF(G3627="?","⚠ pub inconnue",IFERROR(INDEX(Pubs!$B$2:$B$3001,MATCH(G3627,Pubs!$A$2:$A$3001,0))&amp;"","⚠ pub inconnue")))</f>
        <v/>
      </c>
      <c r="I3627" s="27" t="str">
        <f aca="false">IF(OR(G3627="",G3627="?"),"",IFERROR(INDEX(Pubs!$C$2:$C$3001,MATCH(G3627,Pubs!$A$2:$A$3001,0))&amp;"",""))</f>
        <v/>
      </c>
      <c r="J3627" s="27" t="str">
        <f aca="false">IF(OR(G3627="",G3627="?"),"",IFERROR(INDEX(Pubs!$G$2:$G$3001,MATCH(G3627,Pubs!$A$2:$A$3001,0))&amp;"",""))</f>
        <v/>
      </c>
      <c r="K3627" s="28" t="str">
        <f aca="false">IF(OR(G3627="",G3627="?"),"",IFERROR(INDEX(Pubs!$E$2:$E$3001,MATCH(G3627,Pubs!$A$2:$A$3001,0)),""))</f>
        <v/>
      </c>
      <c r="L3627" s="29" t="str">
        <f aca="false">IF(A3627="","",IFERROR(1/(1/INDEX(Numéros!$C$2:$C$3001,MATCH(A3627&amp;"|"&amp;B3627,Numéros!$F$2:$F$3001,0))),""))</f>
        <v/>
      </c>
      <c r="M3627" s="27" t="str">
        <f aca="false">IF(OR(G3627="",G3627="?"),"",IFERROR(INDEX(Pubs!$D$2:$D$3001,MATCH(G3627,Pubs!$A$2:$A$3001,0))&amp;"",""))</f>
        <v/>
      </c>
      <c r="N3627" s="27" t="n">
        <f aca="false">N(N3626)+IF(AND(A3627&lt;&gt;"",OR(Recherche!$C$4="",A3627=Recherche!$C$4),OR(Recherche!$C$5="",B3627&amp;""=Recherche!$C$5&amp;""),OR(Recherche!$C$6="",IFERROR(YEAR(L3627),0)=Recherche!$C$6),OR(Recherche!$C$7="",ISNUMBER(SEARCH(Recherche!$C$7,H3627))),OR(Recherche!$C$8="",J3627=Recherche!$C$8),OR(Recherche!$C$9="",I3627=Recherche!$C$9),OR(Recherche!$C$10="",G3627&amp;""=Recherche!$C$10&amp;""),OR(Recherche!$C$11="",E3627=Recherche!$C$11),OR(Recherche!$C$12="",ISNUMBER(SEARCH(Recherche!$C$12,M3627&amp;" "&amp;F3627)))),1,0)</f>
        <v>8</v>
      </c>
    </row>
    <row r="3628" customFormat="false" ht="15" hidden="false" customHeight="false" outlineLevel="0" collapsed="false">
      <c r="A3628" s="19"/>
      <c r="B3628" s="19"/>
      <c r="C3628" s="19"/>
      <c r="D3628" s="19"/>
      <c r="E3628" s="22"/>
      <c r="F3628" s="19"/>
      <c r="G3628" s="26" t="str">
        <f aca="false">IF(D3628="","",IFERROR(VALUE(LEFT(D3628,FIND(" |",D3628&amp;" |")-1)),"?"))</f>
        <v/>
      </c>
      <c r="H3628" s="27" t="str">
        <f aca="false">IF(G3628="","",IF(G3628="?","⚠ pub inconnue",IFERROR(INDEX(Pubs!$B$2:$B$3001,MATCH(G3628,Pubs!$A$2:$A$3001,0))&amp;"","⚠ pub inconnue")))</f>
        <v/>
      </c>
      <c r="I3628" s="27" t="str">
        <f aca="false">IF(OR(G3628="",G3628="?"),"",IFERROR(INDEX(Pubs!$C$2:$C$3001,MATCH(G3628,Pubs!$A$2:$A$3001,0))&amp;"",""))</f>
        <v/>
      </c>
      <c r="J3628" s="27" t="str">
        <f aca="false">IF(OR(G3628="",G3628="?"),"",IFERROR(INDEX(Pubs!$G$2:$G$3001,MATCH(G3628,Pubs!$A$2:$A$3001,0))&amp;"",""))</f>
        <v/>
      </c>
      <c r="K3628" s="28" t="str">
        <f aca="false">IF(OR(G3628="",G3628="?"),"",IFERROR(INDEX(Pubs!$E$2:$E$3001,MATCH(G3628,Pubs!$A$2:$A$3001,0)),""))</f>
        <v/>
      </c>
      <c r="L3628" s="29" t="str">
        <f aca="false">IF(A3628="","",IFERROR(1/(1/INDEX(Numéros!$C$2:$C$3001,MATCH(A3628&amp;"|"&amp;B3628,Numéros!$F$2:$F$3001,0))),""))</f>
        <v/>
      </c>
      <c r="M3628" s="27" t="str">
        <f aca="false">IF(OR(G3628="",G3628="?"),"",IFERROR(INDEX(Pubs!$D$2:$D$3001,MATCH(G3628,Pubs!$A$2:$A$3001,0))&amp;"",""))</f>
        <v/>
      </c>
      <c r="N3628" s="27" t="n">
        <f aca="false">N(N3627)+IF(AND(A3628&lt;&gt;"",OR(Recherche!$C$4="",A3628=Recherche!$C$4),OR(Recherche!$C$5="",B3628&amp;""=Recherche!$C$5&amp;""),OR(Recherche!$C$6="",IFERROR(YEAR(L3628),0)=Recherche!$C$6),OR(Recherche!$C$7="",ISNUMBER(SEARCH(Recherche!$C$7,H3628))),OR(Recherche!$C$8="",J3628=Recherche!$C$8),OR(Recherche!$C$9="",I3628=Recherche!$C$9),OR(Recherche!$C$10="",G3628&amp;""=Recherche!$C$10&amp;""),OR(Recherche!$C$11="",E3628=Recherche!$C$11),OR(Recherche!$C$12="",ISNUMBER(SEARCH(Recherche!$C$12,M3628&amp;" "&amp;F3628)))),1,0)</f>
        <v>8</v>
      </c>
    </row>
    <row r="3629" customFormat="false" ht="15" hidden="false" customHeight="false" outlineLevel="0" collapsed="false">
      <c r="A3629" s="19"/>
      <c r="B3629" s="19"/>
      <c r="C3629" s="19"/>
      <c r="D3629" s="19"/>
      <c r="E3629" s="22"/>
      <c r="F3629" s="19"/>
      <c r="G3629" s="26" t="str">
        <f aca="false">IF(D3629="","",IFERROR(VALUE(LEFT(D3629,FIND(" |",D3629&amp;" |")-1)),"?"))</f>
        <v/>
      </c>
      <c r="H3629" s="27" t="str">
        <f aca="false">IF(G3629="","",IF(G3629="?","⚠ pub inconnue",IFERROR(INDEX(Pubs!$B$2:$B$3001,MATCH(G3629,Pubs!$A$2:$A$3001,0))&amp;"","⚠ pub inconnue")))</f>
        <v/>
      </c>
      <c r="I3629" s="27" t="str">
        <f aca="false">IF(OR(G3629="",G3629="?"),"",IFERROR(INDEX(Pubs!$C$2:$C$3001,MATCH(G3629,Pubs!$A$2:$A$3001,0))&amp;"",""))</f>
        <v/>
      </c>
      <c r="J3629" s="27" t="str">
        <f aca="false">IF(OR(G3629="",G3629="?"),"",IFERROR(INDEX(Pubs!$G$2:$G$3001,MATCH(G3629,Pubs!$A$2:$A$3001,0))&amp;"",""))</f>
        <v/>
      </c>
      <c r="K3629" s="28" t="str">
        <f aca="false">IF(OR(G3629="",G3629="?"),"",IFERROR(INDEX(Pubs!$E$2:$E$3001,MATCH(G3629,Pubs!$A$2:$A$3001,0)),""))</f>
        <v/>
      </c>
      <c r="L3629" s="29" t="str">
        <f aca="false">IF(A3629="","",IFERROR(1/(1/INDEX(Numéros!$C$2:$C$3001,MATCH(A3629&amp;"|"&amp;B3629,Numéros!$F$2:$F$3001,0))),""))</f>
        <v/>
      </c>
      <c r="M3629" s="27" t="str">
        <f aca="false">IF(OR(G3629="",G3629="?"),"",IFERROR(INDEX(Pubs!$D$2:$D$3001,MATCH(G3629,Pubs!$A$2:$A$3001,0))&amp;"",""))</f>
        <v/>
      </c>
      <c r="N3629" s="27" t="n">
        <f aca="false">N(N3628)+IF(AND(A3629&lt;&gt;"",OR(Recherche!$C$4="",A3629=Recherche!$C$4),OR(Recherche!$C$5="",B3629&amp;""=Recherche!$C$5&amp;""),OR(Recherche!$C$6="",IFERROR(YEAR(L3629),0)=Recherche!$C$6),OR(Recherche!$C$7="",ISNUMBER(SEARCH(Recherche!$C$7,H3629))),OR(Recherche!$C$8="",J3629=Recherche!$C$8),OR(Recherche!$C$9="",I3629=Recherche!$C$9),OR(Recherche!$C$10="",G3629&amp;""=Recherche!$C$10&amp;""),OR(Recherche!$C$11="",E3629=Recherche!$C$11),OR(Recherche!$C$12="",ISNUMBER(SEARCH(Recherche!$C$12,M3629&amp;" "&amp;F3629)))),1,0)</f>
        <v>8</v>
      </c>
    </row>
    <row r="3630" customFormat="false" ht="15" hidden="false" customHeight="false" outlineLevel="0" collapsed="false">
      <c r="A3630" s="19"/>
      <c r="B3630" s="19"/>
      <c r="C3630" s="19"/>
      <c r="D3630" s="19"/>
      <c r="E3630" s="22"/>
      <c r="F3630" s="19"/>
      <c r="G3630" s="26" t="str">
        <f aca="false">IF(D3630="","",IFERROR(VALUE(LEFT(D3630,FIND(" |",D3630&amp;" |")-1)),"?"))</f>
        <v/>
      </c>
      <c r="H3630" s="27" t="str">
        <f aca="false">IF(G3630="","",IF(G3630="?","⚠ pub inconnue",IFERROR(INDEX(Pubs!$B$2:$B$3001,MATCH(G3630,Pubs!$A$2:$A$3001,0))&amp;"","⚠ pub inconnue")))</f>
        <v/>
      </c>
      <c r="I3630" s="27" t="str">
        <f aca="false">IF(OR(G3630="",G3630="?"),"",IFERROR(INDEX(Pubs!$C$2:$C$3001,MATCH(G3630,Pubs!$A$2:$A$3001,0))&amp;"",""))</f>
        <v/>
      </c>
      <c r="J3630" s="27" t="str">
        <f aca="false">IF(OR(G3630="",G3630="?"),"",IFERROR(INDEX(Pubs!$G$2:$G$3001,MATCH(G3630,Pubs!$A$2:$A$3001,0))&amp;"",""))</f>
        <v/>
      </c>
      <c r="K3630" s="28" t="str">
        <f aca="false">IF(OR(G3630="",G3630="?"),"",IFERROR(INDEX(Pubs!$E$2:$E$3001,MATCH(G3630,Pubs!$A$2:$A$3001,0)),""))</f>
        <v/>
      </c>
      <c r="L3630" s="29" t="str">
        <f aca="false">IF(A3630="","",IFERROR(1/(1/INDEX(Numéros!$C$2:$C$3001,MATCH(A3630&amp;"|"&amp;B3630,Numéros!$F$2:$F$3001,0))),""))</f>
        <v/>
      </c>
      <c r="M3630" s="27" t="str">
        <f aca="false">IF(OR(G3630="",G3630="?"),"",IFERROR(INDEX(Pubs!$D$2:$D$3001,MATCH(G3630,Pubs!$A$2:$A$3001,0))&amp;"",""))</f>
        <v/>
      </c>
      <c r="N3630" s="27" t="n">
        <f aca="false">N(N3629)+IF(AND(A3630&lt;&gt;"",OR(Recherche!$C$4="",A3630=Recherche!$C$4),OR(Recherche!$C$5="",B3630&amp;""=Recherche!$C$5&amp;""),OR(Recherche!$C$6="",IFERROR(YEAR(L3630),0)=Recherche!$C$6),OR(Recherche!$C$7="",ISNUMBER(SEARCH(Recherche!$C$7,H3630))),OR(Recherche!$C$8="",J3630=Recherche!$C$8),OR(Recherche!$C$9="",I3630=Recherche!$C$9),OR(Recherche!$C$10="",G3630&amp;""=Recherche!$C$10&amp;""),OR(Recherche!$C$11="",E3630=Recherche!$C$11),OR(Recherche!$C$12="",ISNUMBER(SEARCH(Recherche!$C$12,M3630&amp;" "&amp;F3630)))),1,0)</f>
        <v>8</v>
      </c>
    </row>
    <row r="3631" customFormat="false" ht="15" hidden="false" customHeight="false" outlineLevel="0" collapsed="false">
      <c r="A3631" s="19"/>
      <c r="B3631" s="19"/>
      <c r="C3631" s="19"/>
      <c r="D3631" s="19"/>
      <c r="E3631" s="22"/>
      <c r="F3631" s="19"/>
      <c r="G3631" s="26" t="str">
        <f aca="false">IF(D3631="","",IFERROR(VALUE(LEFT(D3631,FIND(" |",D3631&amp;" |")-1)),"?"))</f>
        <v/>
      </c>
      <c r="H3631" s="27" t="str">
        <f aca="false">IF(G3631="","",IF(G3631="?","⚠ pub inconnue",IFERROR(INDEX(Pubs!$B$2:$B$3001,MATCH(G3631,Pubs!$A$2:$A$3001,0))&amp;"","⚠ pub inconnue")))</f>
        <v/>
      </c>
      <c r="I3631" s="27" t="str">
        <f aca="false">IF(OR(G3631="",G3631="?"),"",IFERROR(INDEX(Pubs!$C$2:$C$3001,MATCH(G3631,Pubs!$A$2:$A$3001,0))&amp;"",""))</f>
        <v/>
      </c>
      <c r="J3631" s="27" t="str">
        <f aca="false">IF(OR(G3631="",G3631="?"),"",IFERROR(INDEX(Pubs!$G$2:$G$3001,MATCH(G3631,Pubs!$A$2:$A$3001,0))&amp;"",""))</f>
        <v/>
      </c>
      <c r="K3631" s="28" t="str">
        <f aca="false">IF(OR(G3631="",G3631="?"),"",IFERROR(INDEX(Pubs!$E$2:$E$3001,MATCH(G3631,Pubs!$A$2:$A$3001,0)),""))</f>
        <v/>
      </c>
      <c r="L3631" s="29" t="str">
        <f aca="false">IF(A3631="","",IFERROR(1/(1/INDEX(Numéros!$C$2:$C$3001,MATCH(A3631&amp;"|"&amp;B3631,Numéros!$F$2:$F$3001,0))),""))</f>
        <v/>
      </c>
      <c r="M3631" s="27" t="str">
        <f aca="false">IF(OR(G3631="",G3631="?"),"",IFERROR(INDEX(Pubs!$D$2:$D$3001,MATCH(G3631,Pubs!$A$2:$A$3001,0))&amp;"",""))</f>
        <v/>
      </c>
      <c r="N3631" s="27" t="n">
        <f aca="false">N(N3630)+IF(AND(A3631&lt;&gt;"",OR(Recherche!$C$4="",A3631=Recherche!$C$4),OR(Recherche!$C$5="",B3631&amp;""=Recherche!$C$5&amp;""),OR(Recherche!$C$6="",IFERROR(YEAR(L3631),0)=Recherche!$C$6),OR(Recherche!$C$7="",ISNUMBER(SEARCH(Recherche!$C$7,H3631))),OR(Recherche!$C$8="",J3631=Recherche!$C$8),OR(Recherche!$C$9="",I3631=Recherche!$C$9),OR(Recherche!$C$10="",G3631&amp;""=Recherche!$C$10&amp;""),OR(Recherche!$C$11="",E3631=Recherche!$C$11),OR(Recherche!$C$12="",ISNUMBER(SEARCH(Recherche!$C$12,M3631&amp;" "&amp;F3631)))),1,0)</f>
        <v>8</v>
      </c>
    </row>
    <row r="3632" customFormat="false" ht="15" hidden="false" customHeight="false" outlineLevel="0" collapsed="false">
      <c r="A3632" s="19"/>
      <c r="B3632" s="19"/>
      <c r="C3632" s="19"/>
      <c r="D3632" s="19"/>
      <c r="E3632" s="22"/>
      <c r="F3632" s="19"/>
      <c r="G3632" s="26" t="str">
        <f aca="false">IF(D3632="","",IFERROR(VALUE(LEFT(D3632,FIND(" |",D3632&amp;" |")-1)),"?"))</f>
        <v/>
      </c>
      <c r="H3632" s="27" t="str">
        <f aca="false">IF(G3632="","",IF(G3632="?","⚠ pub inconnue",IFERROR(INDEX(Pubs!$B$2:$B$3001,MATCH(G3632,Pubs!$A$2:$A$3001,0))&amp;"","⚠ pub inconnue")))</f>
        <v/>
      </c>
      <c r="I3632" s="27" t="str">
        <f aca="false">IF(OR(G3632="",G3632="?"),"",IFERROR(INDEX(Pubs!$C$2:$C$3001,MATCH(G3632,Pubs!$A$2:$A$3001,0))&amp;"",""))</f>
        <v/>
      </c>
      <c r="J3632" s="27" t="str">
        <f aca="false">IF(OR(G3632="",G3632="?"),"",IFERROR(INDEX(Pubs!$G$2:$G$3001,MATCH(G3632,Pubs!$A$2:$A$3001,0))&amp;"",""))</f>
        <v/>
      </c>
      <c r="K3632" s="28" t="str">
        <f aca="false">IF(OR(G3632="",G3632="?"),"",IFERROR(INDEX(Pubs!$E$2:$E$3001,MATCH(G3632,Pubs!$A$2:$A$3001,0)),""))</f>
        <v/>
      </c>
      <c r="L3632" s="29" t="str">
        <f aca="false">IF(A3632="","",IFERROR(1/(1/INDEX(Numéros!$C$2:$C$3001,MATCH(A3632&amp;"|"&amp;B3632,Numéros!$F$2:$F$3001,0))),""))</f>
        <v/>
      </c>
      <c r="M3632" s="27" t="str">
        <f aca="false">IF(OR(G3632="",G3632="?"),"",IFERROR(INDEX(Pubs!$D$2:$D$3001,MATCH(G3632,Pubs!$A$2:$A$3001,0))&amp;"",""))</f>
        <v/>
      </c>
      <c r="N3632" s="27" t="n">
        <f aca="false">N(N3631)+IF(AND(A3632&lt;&gt;"",OR(Recherche!$C$4="",A3632=Recherche!$C$4),OR(Recherche!$C$5="",B3632&amp;""=Recherche!$C$5&amp;""),OR(Recherche!$C$6="",IFERROR(YEAR(L3632),0)=Recherche!$C$6),OR(Recherche!$C$7="",ISNUMBER(SEARCH(Recherche!$C$7,H3632))),OR(Recherche!$C$8="",J3632=Recherche!$C$8),OR(Recherche!$C$9="",I3632=Recherche!$C$9),OR(Recherche!$C$10="",G3632&amp;""=Recherche!$C$10&amp;""),OR(Recherche!$C$11="",E3632=Recherche!$C$11),OR(Recherche!$C$12="",ISNUMBER(SEARCH(Recherche!$C$12,M3632&amp;" "&amp;F3632)))),1,0)</f>
        <v>8</v>
      </c>
    </row>
    <row r="3633" customFormat="false" ht="15" hidden="false" customHeight="false" outlineLevel="0" collapsed="false">
      <c r="A3633" s="19"/>
      <c r="B3633" s="19"/>
      <c r="C3633" s="19"/>
      <c r="D3633" s="19"/>
      <c r="E3633" s="22"/>
      <c r="F3633" s="19"/>
      <c r="G3633" s="26" t="str">
        <f aca="false">IF(D3633="","",IFERROR(VALUE(LEFT(D3633,FIND(" |",D3633&amp;" |")-1)),"?"))</f>
        <v/>
      </c>
      <c r="H3633" s="27" t="str">
        <f aca="false">IF(G3633="","",IF(G3633="?","⚠ pub inconnue",IFERROR(INDEX(Pubs!$B$2:$B$3001,MATCH(G3633,Pubs!$A$2:$A$3001,0))&amp;"","⚠ pub inconnue")))</f>
        <v/>
      </c>
      <c r="I3633" s="27" t="str">
        <f aca="false">IF(OR(G3633="",G3633="?"),"",IFERROR(INDEX(Pubs!$C$2:$C$3001,MATCH(G3633,Pubs!$A$2:$A$3001,0))&amp;"",""))</f>
        <v/>
      </c>
      <c r="J3633" s="27" t="str">
        <f aca="false">IF(OR(G3633="",G3633="?"),"",IFERROR(INDEX(Pubs!$G$2:$G$3001,MATCH(G3633,Pubs!$A$2:$A$3001,0))&amp;"",""))</f>
        <v/>
      </c>
      <c r="K3633" s="28" t="str">
        <f aca="false">IF(OR(G3633="",G3633="?"),"",IFERROR(INDEX(Pubs!$E$2:$E$3001,MATCH(G3633,Pubs!$A$2:$A$3001,0)),""))</f>
        <v/>
      </c>
      <c r="L3633" s="29" t="str">
        <f aca="false">IF(A3633="","",IFERROR(1/(1/INDEX(Numéros!$C$2:$C$3001,MATCH(A3633&amp;"|"&amp;B3633,Numéros!$F$2:$F$3001,0))),""))</f>
        <v/>
      </c>
      <c r="M3633" s="27" t="str">
        <f aca="false">IF(OR(G3633="",G3633="?"),"",IFERROR(INDEX(Pubs!$D$2:$D$3001,MATCH(G3633,Pubs!$A$2:$A$3001,0))&amp;"",""))</f>
        <v/>
      </c>
      <c r="N3633" s="27" t="n">
        <f aca="false">N(N3632)+IF(AND(A3633&lt;&gt;"",OR(Recherche!$C$4="",A3633=Recherche!$C$4),OR(Recherche!$C$5="",B3633&amp;""=Recherche!$C$5&amp;""),OR(Recherche!$C$6="",IFERROR(YEAR(L3633),0)=Recherche!$C$6),OR(Recherche!$C$7="",ISNUMBER(SEARCH(Recherche!$C$7,H3633))),OR(Recherche!$C$8="",J3633=Recherche!$C$8),OR(Recherche!$C$9="",I3633=Recherche!$C$9),OR(Recherche!$C$10="",G3633&amp;""=Recherche!$C$10&amp;""),OR(Recherche!$C$11="",E3633=Recherche!$C$11),OR(Recherche!$C$12="",ISNUMBER(SEARCH(Recherche!$C$12,M3633&amp;" "&amp;F3633)))),1,0)</f>
        <v>8</v>
      </c>
    </row>
    <row r="3634" customFormat="false" ht="15" hidden="false" customHeight="false" outlineLevel="0" collapsed="false">
      <c r="A3634" s="19"/>
      <c r="B3634" s="19"/>
      <c r="C3634" s="19"/>
      <c r="D3634" s="19"/>
      <c r="E3634" s="22"/>
      <c r="F3634" s="19"/>
      <c r="G3634" s="26" t="str">
        <f aca="false">IF(D3634="","",IFERROR(VALUE(LEFT(D3634,FIND(" |",D3634&amp;" |")-1)),"?"))</f>
        <v/>
      </c>
      <c r="H3634" s="27" t="str">
        <f aca="false">IF(G3634="","",IF(G3634="?","⚠ pub inconnue",IFERROR(INDEX(Pubs!$B$2:$B$3001,MATCH(G3634,Pubs!$A$2:$A$3001,0))&amp;"","⚠ pub inconnue")))</f>
        <v/>
      </c>
      <c r="I3634" s="27" t="str">
        <f aca="false">IF(OR(G3634="",G3634="?"),"",IFERROR(INDEX(Pubs!$C$2:$C$3001,MATCH(G3634,Pubs!$A$2:$A$3001,0))&amp;"",""))</f>
        <v/>
      </c>
      <c r="J3634" s="27" t="str">
        <f aca="false">IF(OR(G3634="",G3634="?"),"",IFERROR(INDEX(Pubs!$G$2:$G$3001,MATCH(G3634,Pubs!$A$2:$A$3001,0))&amp;"",""))</f>
        <v/>
      </c>
      <c r="K3634" s="28" t="str">
        <f aca="false">IF(OR(G3634="",G3634="?"),"",IFERROR(INDEX(Pubs!$E$2:$E$3001,MATCH(G3634,Pubs!$A$2:$A$3001,0)),""))</f>
        <v/>
      </c>
      <c r="L3634" s="29" t="str">
        <f aca="false">IF(A3634="","",IFERROR(1/(1/INDEX(Numéros!$C$2:$C$3001,MATCH(A3634&amp;"|"&amp;B3634,Numéros!$F$2:$F$3001,0))),""))</f>
        <v/>
      </c>
      <c r="M3634" s="27" t="str">
        <f aca="false">IF(OR(G3634="",G3634="?"),"",IFERROR(INDEX(Pubs!$D$2:$D$3001,MATCH(G3634,Pubs!$A$2:$A$3001,0))&amp;"",""))</f>
        <v/>
      </c>
      <c r="N3634" s="27" t="n">
        <f aca="false">N(N3633)+IF(AND(A3634&lt;&gt;"",OR(Recherche!$C$4="",A3634=Recherche!$C$4),OR(Recherche!$C$5="",B3634&amp;""=Recherche!$C$5&amp;""),OR(Recherche!$C$6="",IFERROR(YEAR(L3634),0)=Recherche!$C$6),OR(Recherche!$C$7="",ISNUMBER(SEARCH(Recherche!$C$7,H3634))),OR(Recherche!$C$8="",J3634=Recherche!$C$8),OR(Recherche!$C$9="",I3634=Recherche!$C$9),OR(Recherche!$C$10="",G3634&amp;""=Recherche!$C$10&amp;""),OR(Recherche!$C$11="",E3634=Recherche!$C$11),OR(Recherche!$C$12="",ISNUMBER(SEARCH(Recherche!$C$12,M3634&amp;" "&amp;F3634)))),1,0)</f>
        <v>8</v>
      </c>
    </row>
    <row r="3635" customFormat="false" ht="15" hidden="false" customHeight="false" outlineLevel="0" collapsed="false">
      <c r="A3635" s="19"/>
      <c r="B3635" s="19"/>
      <c r="C3635" s="19"/>
      <c r="D3635" s="19"/>
      <c r="E3635" s="22"/>
      <c r="F3635" s="19"/>
      <c r="G3635" s="26" t="str">
        <f aca="false">IF(D3635="","",IFERROR(VALUE(LEFT(D3635,FIND(" |",D3635&amp;" |")-1)),"?"))</f>
        <v/>
      </c>
      <c r="H3635" s="27" t="str">
        <f aca="false">IF(G3635="","",IF(G3635="?","⚠ pub inconnue",IFERROR(INDEX(Pubs!$B$2:$B$3001,MATCH(G3635,Pubs!$A$2:$A$3001,0))&amp;"","⚠ pub inconnue")))</f>
        <v/>
      </c>
      <c r="I3635" s="27" t="str">
        <f aca="false">IF(OR(G3635="",G3635="?"),"",IFERROR(INDEX(Pubs!$C$2:$C$3001,MATCH(G3635,Pubs!$A$2:$A$3001,0))&amp;"",""))</f>
        <v/>
      </c>
      <c r="J3635" s="27" t="str">
        <f aca="false">IF(OR(G3635="",G3635="?"),"",IFERROR(INDEX(Pubs!$G$2:$G$3001,MATCH(G3635,Pubs!$A$2:$A$3001,0))&amp;"",""))</f>
        <v/>
      </c>
      <c r="K3635" s="28" t="str">
        <f aca="false">IF(OR(G3635="",G3635="?"),"",IFERROR(INDEX(Pubs!$E$2:$E$3001,MATCH(G3635,Pubs!$A$2:$A$3001,0)),""))</f>
        <v/>
      </c>
      <c r="L3635" s="29" t="str">
        <f aca="false">IF(A3635="","",IFERROR(1/(1/INDEX(Numéros!$C$2:$C$3001,MATCH(A3635&amp;"|"&amp;B3635,Numéros!$F$2:$F$3001,0))),""))</f>
        <v/>
      </c>
      <c r="M3635" s="27" t="str">
        <f aca="false">IF(OR(G3635="",G3635="?"),"",IFERROR(INDEX(Pubs!$D$2:$D$3001,MATCH(G3635,Pubs!$A$2:$A$3001,0))&amp;"",""))</f>
        <v/>
      </c>
      <c r="N3635" s="27" t="n">
        <f aca="false">N(N3634)+IF(AND(A3635&lt;&gt;"",OR(Recherche!$C$4="",A3635=Recherche!$C$4),OR(Recherche!$C$5="",B3635&amp;""=Recherche!$C$5&amp;""),OR(Recherche!$C$6="",IFERROR(YEAR(L3635),0)=Recherche!$C$6),OR(Recherche!$C$7="",ISNUMBER(SEARCH(Recherche!$C$7,H3635))),OR(Recherche!$C$8="",J3635=Recherche!$C$8),OR(Recherche!$C$9="",I3635=Recherche!$C$9),OR(Recherche!$C$10="",G3635&amp;""=Recherche!$C$10&amp;""),OR(Recherche!$C$11="",E3635=Recherche!$C$11),OR(Recherche!$C$12="",ISNUMBER(SEARCH(Recherche!$C$12,M3635&amp;" "&amp;F3635)))),1,0)</f>
        <v>8</v>
      </c>
    </row>
    <row r="3636" customFormat="false" ht="15" hidden="false" customHeight="false" outlineLevel="0" collapsed="false">
      <c r="A3636" s="19"/>
      <c r="B3636" s="19"/>
      <c r="C3636" s="19"/>
      <c r="D3636" s="19"/>
      <c r="E3636" s="22"/>
      <c r="F3636" s="19"/>
      <c r="G3636" s="26" t="str">
        <f aca="false">IF(D3636="","",IFERROR(VALUE(LEFT(D3636,FIND(" |",D3636&amp;" |")-1)),"?"))</f>
        <v/>
      </c>
      <c r="H3636" s="27" t="str">
        <f aca="false">IF(G3636="","",IF(G3636="?","⚠ pub inconnue",IFERROR(INDEX(Pubs!$B$2:$B$3001,MATCH(G3636,Pubs!$A$2:$A$3001,0))&amp;"","⚠ pub inconnue")))</f>
        <v/>
      </c>
      <c r="I3636" s="27" t="str">
        <f aca="false">IF(OR(G3636="",G3636="?"),"",IFERROR(INDEX(Pubs!$C$2:$C$3001,MATCH(G3636,Pubs!$A$2:$A$3001,0))&amp;"",""))</f>
        <v/>
      </c>
      <c r="J3636" s="27" t="str">
        <f aca="false">IF(OR(G3636="",G3636="?"),"",IFERROR(INDEX(Pubs!$G$2:$G$3001,MATCH(G3636,Pubs!$A$2:$A$3001,0))&amp;"",""))</f>
        <v/>
      </c>
      <c r="K3636" s="28" t="str">
        <f aca="false">IF(OR(G3636="",G3636="?"),"",IFERROR(INDEX(Pubs!$E$2:$E$3001,MATCH(G3636,Pubs!$A$2:$A$3001,0)),""))</f>
        <v/>
      </c>
      <c r="L3636" s="29" t="str">
        <f aca="false">IF(A3636="","",IFERROR(1/(1/INDEX(Numéros!$C$2:$C$3001,MATCH(A3636&amp;"|"&amp;B3636,Numéros!$F$2:$F$3001,0))),""))</f>
        <v/>
      </c>
      <c r="M3636" s="27" t="str">
        <f aca="false">IF(OR(G3636="",G3636="?"),"",IFERROR(INDEX(Pubs!$D$2:$D$3001,MATCH(G3636,Pubs!$A$2:$A$3001,0))&amp;"",""))</f>
        <v/>
      </c>
      <c r="N3636" s="27" t="n">
        <f aca="false">N(N3635)+IF(AND(A3636&lt;&gt;"",OR(Recherche!$C$4="",A3636=Recherche!$C$4),OR(Recherche!$C$5="",B3636&amp;""=Recherche!$C$5&amp;""),OR(Recherche!$C$6="",IFERROR(YEAR(L3636),0)=Recherche!$C$6),OR(Recherche!$C$7="",ISNUMBER(SEARCH(Recherche!$C$7,H3636))),OR(Recherche!$C$8="",J3636=Recherche!$C$8),OR(Recherche!$C$9="",I3636=Recherche!$C$9),OR(Recherche!$C$10="",G3636&amp;""=Recherche!$C$10&amp;""),OR(Recherche!$C$11="",E3636=Recherche!$C$11),OR(Recherche!$C$12="",ISNUMBER(SEARCH(Recherche!$C$12,M3636&amp;" "&amp;F3636)))),1,0)</f>
        <v>8</v>
      </c>
    </row>
    <row r="3637" customFormat="false" ht="15" hidden="false" customHeight="false" outlineLevel="0" collapsed="false">
      <c r="A3637" s="19"/>
      <c r="B3637" s="19"/>
      <c r="C3637" s="19"/>
      <c r="D3637" s="19"/>
      <c r="E3637" s="22"/>
      <c r="F3637" s="19"/>
      <c r="G3637" s="26" t="str">
        <f aca="false">IF(D3637="","",IFERROR(VALUE(LEFT(D3637,FIND(" |",D3637&amp;" |")-1)),"?"))</f>
        <v/>
      </c>
      <c r="H3637" s="27" t="str">
        <f aca="false">IF(G3637="","",IF(G3637="?","⚠ pub inconnue",IFERROR(INDEX(Pubs!$B$2:$B$3001,MATCH(G3637,Pubs!$A$2:$A$3001,0))&amp;"","⚠ pub inconnue")))</f>
        <v/>
      </c>
      <c r="I3637" s="27" t="str">
        <f aca="false">IF(OR(G3637="",G3637="?"),"",IFERROR(INDEX(Pubs!$C$2:$C$3001,MATCH(G3637,Pubs!$A$2:$A$3001,0))&amp;"",""))</f>
        <v/>
      </c>
      <c r="J3637" s="27" t="str">
        <f aca="false">IF(OR(G3637="",G3637="?"),"",IFERROR(INDEX(Pubs!$G$2:$G$3001,MATCH(G3637,Pubs!$A$2:$A$3001,0))&amp;"",""))</f>
        <v/>
      </c>
      <c r="K3637" s="28" t="str">
        <f aca="false">IF(OR(G3637="",G3637="?"),"",IFERROR(INDEX(Pubs!$E$2:$E$3001,MATCH(G3637,Pubs!$A$2:$A$3001,0)),""))</f>
        <v/>
      </c>
      <c r="L3637" s="29" t="str">
        <f aca="false">IF(A3637="","",IFERROR(1/(1/INDEX(Numéros!$C$2:$C$3001,MATCH(A3637&amp;"|"&amp;B3637,Numéros!$F$2:$F$3001,0))),""))</f>
        <v/>
      </c>
      <c r="M3637" s="27" t="str">
        <f aca="false">IF(OR(G3637="",G3637="?"),"",IFERROR(INDEX(Pubs!$D$2:$D$3001,MATCH(G3637,Pubs!$A$2:$A$3001,0))&amp;"",""))</f>
        <v/>
      </c>
      <c r="N3637" s="27" t="n">
        <f aca="false">N(N3636)+IF(AND(A3637&lt;&gt;"",OR(Recherche!$C$4="",A3637=Recherche!$C$4),OR(Recherche!$C$5="",B3637&amp;""=Recherche!$C$5&amp;""),OR(Recherche!$C$6="",IFERROR(YEAR(L3637),0)=Recherche!$C$6),OR(Recherche!$C$7="",ISNUMBER(SEARCH(Recherche!$C$7,H3637))),OR(Recherche!$C$8="",J3637=Recherche!$C$8),OR(Recherche!$C$9="",I3637=Recherche!$C$9),OR(Recherche!$C$10="",G3637&amp;""=Recherche!$C$10&amp;""),OR(Recherche!$C$11="",E3637=Recherche!$C$11),OR(Recherche!$C$12="",ISNUMBER(SEARCH(Recherche!$C$12,M3637&amp;" "&amp;F3637)))),1,0)</f>
        <v>8</v>
      </c>
    </row>
    <row r="3638" customFormat="false" ht="15" hidden="false" customHeight="false" outlineLevel="0" collapsed="false">
      <c r="A3638" s="19"/>
      <c r="B3638" s="19"/>
      <c r="C3638" s="19"/>
      <c r="D3638" s="19"/>
      <c r="E3638" s="22"/>
      <c r="F3638" s="19"/>
      <c r="G3638" s="26" t="str">
        <f aca="false">IF(D3638="","",IFERROR(VALUE(LEFT(D3638,FIND(" |",D3638&amp;" |")-1)),"?"))</f>
        <v/>
      </c>
      <c r="H3638" s="27" t="str">
        <f aca="false">IF(G3638="","",IF(G3638="?","⚠ pub inconnue",IFERROR(INDEX(Pubs!$B$2:$B$3001,MATCH(G3638,Pubs!$A$2:$A$3001,0))&amp;"","⚠ pub inconnue")))</f>
        <v/>
      </c>
      <c r="I3638" s="27" t="str">
        <f aca="false">IF(OR(G3638="",G3638="?"),"",IFERROR(INDEX(Pubs!$C$2:$C$3001,MATCH(G3638,Pubs!$A$2:$A$3001,0))&amp;"",""))</f>
        <v/>
      </c>
      <c r="J3638" s="27" t="str">
        <f aca="false">IF(OR(G3638="",G3638="?"),"",IFERROR(INDEX(Pubs!$G$2:$G$3001,MATCH(G3638,Pubs!$A$2:$A$3001,0))&amp;"",""))</f>
        <v/>
      </c>
      <c r="K3638" s="28" t="str">
        <f aca="false">IF(OR(G3638="",G3638="?"),"",IFERROR(INDEX(Pubs!$E$2:$E$3001,MATCH(G3638,Pubs!$A$2:$A$3001,0)),""))</f>
        <v/>
      </c>
      <c r="L3638" s="29" t="str">
        <f aca="false">IF(A3638="","",IFERROR(1/(1/INDEX(Numéros!$C$2:$C$3001,MATCH(A3638&amp;"|"&amp;B3638,Numéros!$F$2:$F$3001,0))),""))</f>
        <v/>
      </c>
      <c r="M3638" s="27" t="str">
        <f aca="false">IF(OR(G3638="",G3638="?"),"",IFERROR(INDEX(Pubs!$D$2:$D$3001,MATCH(G3638,Pubs!$A$2:$A$3001,0))&amp;"",""))</f>
        <v/>
      </c>
      <c r="N3638" s="27" t="n">
        <f aca="false">N(N3637)+IF(AND(A3638&lt;&gt;"",OR(Recherche!$C$4="",A3638=Recherche!$C$4),OR(Recherche!$C$5="",B3638&amp;""=Recherche!$C$5&amp;""),OR(Recherche!$C$6="",IFERROR(YEAR(L3638),0)=Recherche!$C$6),OR(Recherche!$C$7="",ISNUMBER(SEARCH(Recherche!$C$7,H3638))),OR(Recherche!$C$8="",J3638=Recherche!$C$8),OR(Recherche!$C$9="",I3638=Recherche!$C$9),OR(Recherche!$C$10="",G3638&amp;""=Recherche!$C$10&amp;""),OR(Recherche!$C$11="",E3638=Recherche!$C$11),OR(Recherche!$C$12="",ISNUMBER(SEARCH(Recherche!$C$12,M3638&amp;" "&amp;F3638)))),1,0)</f>
        <v>8</v>
      </c>
    </row>
    <row r="3639" customFormat="false" ht="15" hidden="false" customHeight="false" outlineLevel="0" collapsed="false">
      <c r="A3639" s="19"/>
      <c r="B3639" s="19"/>
      <c r="C3639" s="19"/>
      <c r="D3639" s="19"/>
      <c r="E3639" s="22"/>
      <c r="F3639" s="19"/>
      <c r="G3639" s="26" t="str">
        <f aca="false">IF(D3639="","",IFERROR(VALUE(LEFT(D3639,FIND(" |",D3639&amp;" |")-1)),"?"))</f>
        <v/>
      </c>
      <c r="H3639" s="27" t="str">
        <f aca="false">IF(G3639="","",IF(G3639="?","⚠ pub inconnue",IFERROR(INDEX(Pubs!$B$2:$B$3001,MATCH(G3639,Pubs!$A$2:$A$3001,0))&amp;"","⚠ pub inconnue")))</f>
        <v/>
      </c>
      <c r="I3639" s="27" t="str">
        <f aca="false">IF(OR(G3639="",G3639="?"),"",IFERROR(INDEX(Pubs!$C$2:$C$3001,MATCH(G3639,Pubs!$A$2:$A$3001,0))&amp;"",""))</f>
        <v/>
      </c>
      <c r="J3639" s="27" t="str">
        <f aca="false">IF(OR(G3639="",G3639="?"),"",IFERROR(INDEX(Pubs!$G$2:$G$3001,MATCH(G3639,Pubs!$A$2:$A$3001,0))&amp;"",""))</f>
        <v/>
      </c>
      <c r="K3639" s="28" t="str">
        <f aca="false">IF(OR(G3639="",G3639="?"),"",IFERROR(INDEX(Pubs!$E$2:$E$3001,MATCH(G3639,Pubs!$A$2:$A$3001,0)),""))</f>
        <v/>
      </c>
      <c r="L3639" s="29" t="str">
        <f aca="false">IF(A3639="","",IFERROR(1/(1/INDEX(Numéros!$C$2:$C$3001,MATCH(A3639&amp;"|"&amp;B3639,Numéros!$F$2:$F$3001,0))),""))</f>
        <v/>
      </c>
      <c r="M3639" s="27" t="str">
        <f aca="false">IF(OR(G3639="",G3639="?"),"",IFERROR(INDEX(Pubs!$D$2:$D$3001,MATCH(G3639,Pubs!$A$2:$A$3001,0))&amp;"",""))</f>
        <v/>
      </c>
      <c r="N3639" s="27" t="n">
        <f aca="false">N(N3638)+IF(AND(A3639&lt;&gt;"",OR(Recherche!$C$4="",A3639=Recherche!$C$4),OR(Recherche!$C$5="",B3639&amp;""=Recherche!$C$5&amp;""),OR(Recherche!$C$6="",IFERROR(YEAR(L3639),0)=Recherche!$C$6),OR(Recherche!$C$7="",ISNUMBER(SEARCH(Recherche!$C$7,H3639))),OR(Recherche!$C$8="",J3639=Recherche!$C$8),OR(Recherche!$C$9="",I3639=Recherche!$C$9),OR(Recherche!$C$10="",G3639&amp;""=Recherche!$C$10&amp;""),OR(Recherche!$C$11="",E3639=Recherche!$C$11),OR(Recherche!$C$12="",ISNUMBER(SEARCH(Recherche!$C$12,M3639&amp;" "&amp;F3639)))),1,0)</f>
        <v>8</v>
      </c>
    </row>
    <row r="3640" customFormat="false" ht="15" hidden="false" customHeight="false" outlineLevel="0" collapsed="false">
      <c r="A3640" s="19"/>
      <c r="B3640" s="19"/>
      <c r="C3640" s="19"/>
      <c r="D3640" s="19"/>
      <c r="E3640" s="22"/>
      <c r="F3640" s="19"/>
      <c r="G3640" s="26" t="str">
        <f aca="false">IF(D3640="","",IFERROR(VALUE(LEFT(D3640,FIND(" |",D3640&amp;" |")-1)),"?"))</f>
        <v/>
      </c>
      <c r="H3640" s="27" t="str">
        <f aca="false">IF(G3640="","",IF(G3640="?","⚠ pub inconnue",IFERROR(INDEX(Pubs!$B$2:$B$3001,MATCH(G3640,Pubs!$A$2:$A$3001,0))&amp;"","⚠ pub inconnue")))</f>
        <v/>
      </c>
      <c r="I3640" s="27" t="str">
        <f aca="false">IF(OR(G3640="",G3640="?"),"",IFERROR(INDEX(Pubs!$C$2:$C$3001,MATCH(G3640,Pubs!$A$2:$A$3001,0))&amp;"",""))</f>
        <v/>
      </c>
      <c r="J3640" s="27" t="str">
        <f aca="false">IF(OR(G3640="",G3640="?"),"",IFERROR(INDEX(Pubs!$G$2:$G$3001,MATCH(G3640,Pubs!$A$2:$A$3001,0))&amp;"",""))</f>
        <v/>
      </c>
      <c r="K3640" s="28" t="str">
        <f aca="false">IF(OR(G3640="",G3640="?"),"",IFERROR(INDEX(Pubs!$E$2:$E$3001,MATCH(G3640,Pubs!$A$2:$A$3001,0)),""))</f>
        <v/>
      </c>
      <c r="L3640" s="29" t="str">
        <f aca="false">IF(A3640="","",IFERROR(1/(1/INDEX(Numéros!$C$2:$C$3001,MATCH(A3640&amp;"|"&amp;B3640,Numéros!$F$2:$F$3001,0))),""))</f>
        <v/>
      </c>
      <c r="M3640" s="27" t="str">
        <f aca="false">IF(OR(G3640="",G3640="?"),"",IFERROR(INDEX(Pubs!$D$2:$D$3001,MATCH(G3640,Pubs!$A$2:$A$3001,0))&amp;"",""))</f>
        <v/>
      </c>
      <c r="N3640" s="27" t="n">
        <f aca="false">N(N3639)+IF(AND(A3640&lt;&gt;"",OR(Recherche!$C$4="",A3640=Recherche!$C$4),OR(Recherche!$C$5="",B3640&amp;""=Recherche!$C$5&amp;""),OR(Recherche!$C$6="",IFERROR(YEAR(L3640),0)=Recherche!$C$6),OR(Recherche!$C$7="",ISNUMBER(SEARCH(Recherche!$C$7,H3640))),OR(Recherche!$C$8="",J3640=Recherche!$C$8),OR(Recherche!$C$9="",I3640=Recherche!$C$9),OR(Recherche!$C$10="",G3640&amp;""=Recherche!$C$10&amp;""),OR(Recherche!$C$11="",E3640=Recherche!$C$11),OR(Recherche!$C$12="",ISNUMBER(SEARCH(Recherche!$C$12,M3640&amp;" "&amp;F3640)))),1,0)</f>
        <v>8</v>
      </c>
    </row>
    <row r="3641" customFormat="false" ht="15" hidden="false" customHeight="false" outlineLevel="0" collapsed="false">
      <c r="A3641" s="19"/>
      <c r="B3641" s="19"/>
      <c r="C3641" s="19"/>
      <c r="D3641" s="19"/>
      <c r="E3641" s="22"/>
      <c r="F3641" s="19"/>
      <c r="G3641" s="26" t="str">
        <f aca="false">IF(D3641="","",IFERROR(VALUE(LEFT(D3641,FIND(" |",D3641&amp;" |")-1)),"?"))</f>
        <v/>
      </c>
      <c r="H3641" s="27" t="str">
        <f aca="false">IF(G3641="","",IF(G3641="?","⚠ pub inconnue",IFERROR(INDEX(Pubs!$B$2:$B$3001,MATCH(G3641,Pubs!$A$2:$A$3001,0))&amp;"","⚠ pub inconnue")))</f>
        <v/>
      </c>
      <c r="I3641" s="27" t="str">
        <f aca="false">IF(OR(G3641="",G3641="?"),"",IFERROR(INDEX(Pubs!$C$2:$C$3001,MATCH(G3641,Pubs!$A$2:$A$3001,0))&amp;"",""))</f>
        <v/>
      </c>
      <c r="J3641" s="27" t="str">
        <f aca="false">IF(OR(G3641="",G3641="?"),"",IFERROR(INDEX(Pubs!$G$2:$G$3001,MATCH(G3641,Pubs!$A$2:$A$3001,0))&amp;"",""))</f>
        <v/>
      </c>
      <c r="K3641" s="28" t="str">
        <f aca="false">IF(OR(G3641="",G3641="?"),"",IFERROR(INDEX(Pubs!$E$2:$E$3001,MATCH(G3641,Pubs!$A$2:$A$3001,0)),""))</f>
        <v/>
      </c>
      <c r="L3641" s="29" t="str">
        <f aca="false">IF(A3641="","",IFERROR(1/(1/INDEX(Numéros!$C$2:$C$3001,MATCH(A3641&amp;"|"&amp;B3641,Numéros!$F$2:$F$3001,0))),""))</f>
        <v/>
      </c>
      <c r="M3641" s="27" t="str">
        <f aca="false">IF(OR(G3641="",G3641="?"),"",IFERROR(INDEX(Pubs!$D$2:$D$3001,MATCH(G3641,Pubs!$A$2:$A$3001,0))&amp;"",""))</f>
        <v/>
      </c>
      <c r="N3641" s="27" t="n">
        <f aca="false">N(N3640)+IF(AND(A3641&lt;&gt;"",OR(Recherche!$C$4="",A3641=Recherche!$C$4),OR(Recherche!$C$5="",B3641&amp;""=Recherche!$C$5&amp;""),OR(Recherche!$C$6="",IFERROR(YEAR(L3641),0)=Recherche!$C$6),OR(Recherche!$C$7="",ISNUMBER(SEARCH(Recherche!$C$7,H3641))),OR(Recherche!$C$8="",J3641=Recherche!$C$8),OR(Recherche!$C$9="",I3641=Recherche!$C$9),OR(Recherche!$C$10="",G3641&amp;""=Recherche!$C$10&amp;""),OR(Recherche!$C$11="",E3641=Recherche!$C$11),OR(Recherche!$C$12="",ISNUMBER(SEARCH(Recherche!$C$12,M3641&amp;" "&amp;F3641)))),1,0)</f>
        <v>8</v>
      </c>
    </row>
    <row r="3642" customFormat="false" ht="15" hidden="false" customHeight="false" outlineLevel="0" collapsed="false">
      <c r="A3642" s="19"/>
      <c r="B3642" s="19"/>
      <c r="C3642" s="19"/>
      <c r="D3642" s="19"/>
      <c r="E3642" s="22"/>
      <c r="F3642" s="19"/>
      <c r="G3642" s="26" t="str">
        <f aca="false">IF(D3642="","",IFERROR(VALUE(LEFT(D3642,FIND(" |",D3642&amp;" |")-1)),"?"))</f>
        <v/>
      </c>
      <c r="H3642" s="27" t="str">
        <f aca="false">IF(G3642="","",IF(G3642="?","⚠ pub inconnue",IFERROR(INDEX(Pubs!$B$2:$B$3001,MATCH(G3642,Pubs!$A$2:$A$3001,0))&amp;"","⚠ pub inconnue")))</f>
        <v/>
      </c>
      <c r="I3642" s="27" t="str">
        <f aca="false">IF(OR(G3642="",G3642="?"),"",IFERROR(INDEX(Pubs!$C$2:$C$3001,MATCH(G3642,Pubs!$A$2:$A$3001,0))&amp;"",""))</f>
        <v/>
      </c>
      <c r="J3642" s="27" t="str">
        <f aca="false">IF(OR(G3642="",G3642="?"),"",IFERROR(INDEX(Pubs!$G$2:$G$3001,MATCH(G3642,Pubs!$A$2:$A$3001,0))&amp;"",""))</f>
        <v/>
      </c>
      <c r="K3642" s="28" t="str">
        <f aca="false">IF(OR(G3642="",G3642="?"),"",IFERROR(INDEX(Pubs!$E$2:$E$3001,MATCH(G3642,Pubs!$A$2:$A$3001,0)),""))</f>
        <v/>
      </c>
      <c r="L3642" s="29" t="str">
        <f aca="false">IF(A3642="","",IFERROR(1/(1/INDEX(Numéros!$C$2:$C$3001,MATCH(A3642&amp;"|"&amp;B3642,Numéros!$F$2:$F$3001,0))),""))</f>
        <v/>
      </c>
      <c r="M3642" s="27" t="str">
        <f aca="false">IF(OR(G3642="",G3642="?"),"",IFERROR(INDEX(Pubs!$D$2:$D$3001,MATCH(G3642,Pubs!$A$2:$A$3001,0))&amp;"",""))</f>
        <v/>
      </c>
      <c r="N3642" s="27" t="n">
        <f aca="false">N(N3641)+IF(AND(A3642&lt;&gt;"",OR(Recherche!$C$4="",A3642=Recherche!$C$4),OR(Recherche!$C$5="",B3642&amp;""=Recherche!$C$5&amp;""),OR(Recherche!$C$6="",IFERROR(YEAR(L3642),0)=Recherche!$C$6),OR(Recherche!$C$7="",ISNUMBER(SEARCH(Recherche!$C$7,H3642))),OR(Recherche!$C$8="",J3642=Recherche!$C$8),OR(Recherche!$C$9="",I3642=Recherche!$C$9),OR(Recherche!$C$10="",G3642&amp;""=Recherche!$C$10&amp;""),OR(Recherche!$C$11="",E3642=Recherche!$C$11),OR(Recherche!$C$12="",ISNUMBER(SEARCH(Recherche!$C$12,M3642&amp;" "&amp;F3642)))),1,0)</f>
        <v>8</v>
      </c>
    </row>
    <row r="3643" customFormat="false" ht="15" hidden="false" customHeight="false" outlineLevel="0" collapsed="false">
      <c r="A3643" s="19"/>
      <c r="B3643" s="19"/>
      <c r="C3643" s="19"/>
      <c r="D3643" s="19"/>
      <c r="E3643" s="22"/>
      <c r="F3643" s="19"/>
      <c r="G3643" s="26" t="str">
        <f aca="false">IF(D3643="","",IFERROR(VALUE(LEFT(D3643,FIND(" |",D3643&amp;" |")-1)),"?"))</f>
        <v/>
      </c>
      <c r="H3643" s="27" t="str">
        <f aca="false">IF(G3643="","",IF(G3643="?","⚠ pub inconnue",IFERROR(INDEX(Pubs!$B$2:$B$3001,MATCH(G3643,Pubs!$A$2:$A$3001,0))&amp;"","⚠ pub inconnue")))</f>
        <v/>
      </c>
      <c r="I3643" s="27" t="str">
        <f aca="false">IF(OR(G3643="",G3643="?"),"",IFERROR(INDEX(Pubs!$C$2:$C$3001,MATCH(G3643,Pubs!$A$2:$A$3001,0))&amp;"",""))</f>
        <v/>
      </c>
      <c r="J3643" s="27" t="str">
        <f aca="false">IF(OR(G3643="",G3643="?"),"",IFERROR(INDEX(Pubs!$G$2:$G$3001,MATCH(G3643,Pubs!$A$2:$A$3001,0))&amp;"",""))</f>
        <v/>
      </c>
      <c r="K3643" s="28" t="str">
        <f aca="false">IF(OR(G3643="",G3643="?"),"",IFERROR(INDEX(Pubs!$E$2:$E$3001,MATCH(G3643,Pubs!$A$2:$A$3001,0)),""))</f>
        <v/>
      </c>
      <c r="L3643" s="29" t="str">
        <f aca="false">IF(A3643="","",IFERROR(1/(1/INDEX(Numéros!$C$2:$C$3001,MATCH(A3643&amp;"|"&amp;B3643,Numéros!$F$2:$F$3001,0))),""))</f>
        <v/>
      </c>
      <c r="M3643" s="27" t="str">
        <f aca="false">IF(OR(G3643="",G3643="?"),"",IFERROR(INDEX(Pubs!$D$2:$D$3001,MATCH(G3643,Pubs!$A$2:$A$3001,0))&amp;"",""))</f>
        <v/>
      </c>
      <c r="N3643" s="27" t="n">
        <f aca="false">N(N3642)+IF(AND(A3643&lt;&gt;"",OR(Recherche!$C$4="",A3643=Recherche!$C$4),OR(Recherche!$C$5="",B3643&amp;""=Recherche!$C$5&amp;""),OR(Recherche!$C$6="",IFERROR(YEAR(L3643),0)=Recherche!$C$6),OR(Recherche!$C$7="",ISNUMBER(SEARCH(Recherche!$C$7,H3643))),OR(Recherche!$C$8="",J3643=Recherche!$C$8),OR(Recherche!$C$9="",I3643=Recherche!$C$9),OR(Recherche!$C$10="",G3643&amp;""=Recherche!$C$10&amp;""),OR(Recherche!$C$11="",E3643=Recherche!$C$11),OR(Recherche!$C$12="",ISNUMBER(SEARCH(Recherche!$C$12,M3643&amp;" "&amp;F3643)))),1,0)</f>
        <v>8</v>
      </c>
    </row>
    <row r="3644" customFormat="false" ht="15" hidden="false" customHeight="false" outlineLevel="0" collapsed="false">
      <c r="A3644" s="19"/>
      <c r="B3644" s="19"/>
      <c r="C3644" s="19"/>
      <c r="D3644" s="19"/>
      <c r="E3644" s="22"/>
      <c r="F3644" s="19"/>
      <c r="G3644" s="26" t="str">
        <f aca="false">IF(D3644="","",IFERROR(VALUE(LEFT(D3644,FIND(" |",D3644&amp;" |")-1)),"?"))</f>
        <v/>
      </c>
      <c r="H3644" s="27" t="str">
        <f aca="false">IF(G3644="","",IF(G3644="?","⚠ pub inconnue",IFERROR(INDEX(Pubs!$B$2:$B$3001,MATCH(G3644,Pubs!$A$2:$A$3001,0))&amp;"","⚠ pub inconnue")))</f>
        <v/>
      </c>
      <c r="I3644" s="27" t="str">
        <f aca="false">IF(OR(G3644="",G3644="?"),"",IFERROR(INDEX(Pubs!$C$2:$C$3001,MATCH(G3644,Pubs!$A$2:$A$3001,0))&amp;"",""))</f>
        <v/>
      </c>
      <c r="J3644" s="27" t="str">
        <f aca="false">IF(OR(G3644="",G3644="?"),"",IFERROR(INDEX(Pubs!$G$2:$G$3001,MATCH(G3644,Pubs!$A$2:$A$3001,0))&amp;"",""))</f>
        <v/>
      </c>
      <c r="K3644" s="28" t="str">
        <f aca="false">IF(OR(G3644="",G3644="?"),"",IFERROR(INDEX(Pubs!$E$2:$E$3001,MATCH(G3644,Pubs!$A$2:$A$3001,0)),""))</f>
        <v/>
      </c>
      <c r="L3644" s="29" t="str">
        <f aca="false">IF(A3644="","",IFERROR(1/(1/INDEX(Numéros!$C$2:$C$3001,MATCH(A3644&amp;"|"&amp;B3644,Numéros!$F$2:$F$3001,0))),""))</f>
        <v/>
      </c>
      <c r="M3644" s="27" t="str">
        <f aca="false">IF(OR(G3644="",G3644="?"),"",IFERROR(INDEX(Pubs!$D$2:$D$3001,MATCH(G3644,Pubs!$A$2:$A$3001,0))&amp;"",""))</f>
        <v/>
      </c>
      <c r="N3644" s="27" t="n">
        <f aca="false">N(N3643)+IF(AND(A3644&lt;&gt;"",OR(Recherche!$C$4="",A3644=Recherche!$C$4),OR(Recherche!$C$5="",B3644&amp;""=Recherche!$C$5&amp;""),OR(Recherche!$C$6="",IFERROR(YEAR(L3644),0)=Recherche!$C$6),OR(Recherche!$C$7="",ISNUMBER(SEARCH(Recherche!$C$7,H3644))),OR(Recherche!$C$8="",J3644=Recherche!$C$8),OR(Recherche!$C$9="",I3644=Recherche!$C$9),OR(Recherche!$C$10="",G3644&amp;""=Recherche!$C$10&amp;""),OR(Recherche!$C$11="",E3644=Recherche!$C$11),OR(Recherche!$C$12="",ISNUMBER(SEARCH(Recherche!$C$12,M3644&amp;" "&amp;F3644)))),1,0)</f>
        <v>8</v>
      </c>
    </row>
    <row r="3645" customFormat="false" ht="15" hidden="false" customHeight="false" outlineLevel="0" collapsed="false">
      <c r="A3645" s="19"/>
      <c r="B3645" s="19"/>
      <c r="C3645" s="19"/>
      <c r="D3645" s="19"/>
      <c r="E3645" s="22"/>
      <c r="F3645" s="19"/>
      <c r="G3645" s="26" t="str">
        <f aca="false">IF(D3645="","",IFERROR(VALUE(LEFT(D3645,FIND(" |",D3645&amp;" |")-1)),"?"))</f>
        <v/>
      </c>
      <c r="H3645" s="27" t="str">
        <f aca="false">IF(G3645="","",IF(G3645="?","⚠ pub inconnue",IFERROR(INDEX(Pubs!$B$2:$B$3001,MATCH(G3645,Pubs!$A$2:$A$3001,0))&amp;"","⚠ pub inconnue")))</f>
        <v/>
      </c>
      <c r="I3645" s="27" t="str">
        <f aca="false">IF(OR(G3645="",G3645="?"),"",IFERROR(INDEX(Pubs!$C$2:$C$3001,MATCH(G3645,Pubs!$A$2:$A$3001,0))&amp;"",""))</f>
        <v/>
      </c>
      <c r="J3645" s="27" t="str">
        <f aca="false">IF(OR(G3645="",G3645="?"),"",IFERROR(INDEX(Pubs!$G$2:$G$3001,MATCH(G3645,Pubs!$A$2:$A$3001,0))&amp;"",""))</f>
        <v/>
      </c>
      <c r="K3645" s="28" t="str">
        <f aca="false">IF(OR(G3645="",G3645="?"),"",IFERROR(INDEX(Pubs!$E$2:$E$3001,MATCH(G3645,Pubs!$A$2:$A$3001,0)),""))</f>
        <v/>
      </c>
      <c r="L3645" s="29" t="str">
        <f aca="false">IF(A3645="","",IFERROR(1/(1/INDEX(Numéros!$C$2:$C$3001,MATCH(A3645&amp;"|"&amp;B3645,Numéros!$F$2:$F$3001,0))),""))</f>
        <v/>
      </c>
      <c r="M3645" s="27" t="str">
        <f aca="false">IF(OR(G3645="",G3645="?"),"",IFERROR(INDEX(Pubs!$D$2:$D$3001,MATCH(G3645,Pubs!$A$2:$A$3001,0))&amp;"",""))</f>
        <v/>
      </c>
      <c r="N3645" s="27" t="n">
        <f aca="false">N(N3644)+IF(AND(A3645&lt;&gt;"",OR(Recherche!$C$4="",A3645=Recherche!$C$4),OR(Recherche!$C$5="",B3645&amp;""=Recherche!$C$5&amp;""),OR(Recherche!$C$6="",IFERROR(YEAR(L3645),0)=Recherche!$C$6),OR(Recherche!$C$7="",ISNUMBER(SEARCH(Recherche!$C$7,H3645))),OR(Recherche!$C$8="",J3645=Recherche!$C$8),OR(Recherche!$C$9="",I3645=Recherche!$C$9),OR(Recherche!$C$10="",G3645&amp;""=Recherche!$C$10&amp;""),OR(Recherche!$C$11="",E3645=Recherche!$C$11),OR(Recherche!$C$12="",ISNUMBER(SEARCH(Recherche!$C$12,M3645&amp;" "&amp;F3645)))),1,0)</f>
        <v>8</v>
      </c>
    </row>
    <row r="3646" customFormat="false" ht="15" hidden="false" customHeight="false" outlineLevel="0" collapsed="false">
      <c r="A3646" s="19"/>
      <c r="B3646" s="19"/>
      <c r="C3646" s="19"/>
      <c r="D3646" s="19"/>
      <c r="E3646" s="22"/>
      <c r="F3646" s="19"/>
      <c r="G3646" s="26" t="str">
        <f aca="false">IF(D3646="","",IFERROR(VALUE(LEFT(D3646,FIND(" |",D3646&amp;" |")-1)),"?"))</f>
        <v/>
      </c>
      <c r="H3646" s="27" t="str">
        <f aca="false">IF(G3646="","",IF(G3646="?","⚠ pub inconnue",IFERROR(INDEX(Pubs!$B$2:$B$3001,MATCH(G3646,Pubs!$A$2:$A$3001,0))&amp;"","⚠ pub inconnue")))</f>
        <v/>
      </c>
      <c r="I3646" s="27" t="str">
        <f aca="false">IF(OR(G3646="",G3646="?"),"",IFERROR(INDEX(Pubs!$C$2:$C$3001,MATCH(G3646,Pubs!$A$2:$A$3001,0))&amp;"",""))</f>
        <v/>
      </c>
      <c r="J3646" s="27" t="str">
        <f aca="false">IF(OR(G3646="",G3646="?"),"",IFERROR(INDEX(Pubs!$G$2:$G$3001,MATCH(G3646,Pubs!$A$2:$A$3001,0))&amp;"",""))</f>
        <v/>
      </c>
      <c r="K3646" s="28" t="str">
        <f aca="false">IF(OR(G3646="",G3646="?"),"",IFERROR(INDEX(Pubs!$E$2:$E$3001,MATCH(G3646,Pubs!$A$2:$A$3001,0)),""))</f>
        <v/>
      </c>
      <c r="L3646" s="29" t="str">
        <f aca="false">IF(A3646="","",IFERROR(1/(1/INDEX(Numéros!$C$2:$C$3001,MATCH(A3646&amp;"|"&amp;B3646,Numéros!$F$2:$F$3001,0))),""))</f>
        <v/>
      </c>
      <c r="M3646" s="27" t="str">
        <f aca="false">IF(OR(G3646="",G3646="?"),"",IFERROR(INDEX(Pubs!$D$2:$D$3001,MATCH(G3646,Pubs!$A$2:$A$3001,0))&amp;"",""))</f>
        <v/>
      </c>
      <c r="N3646" s="27" t="n">
        <f aca="false">N(N3645)+IF(AND(A3646&lt;&gt;"",OR(Recherche!$C$4="",A3646=Recherche!$C$4),OR(Recherche!$C$5="",B3646&amp;""=Recherche!$C$5&amp;""),OR(Recherche!$C$6="",IFERROR(YEAR(L3646),0)=Recherche!$C$6),OR(Recherche!$C$7="",ISNUMBER(SEARCH(Recherche!$C$7,H3646))),OR(Recherche!$C$8="",J3646=Recherche!$C$8),OR(Recherche!$C$9="",I3646=Recherche!$C$9),OR(Recherche!$C$10="",G3646&amp;""=Recherche!$C$10&amp;""),OR(Recherche!$C$11="",E3646=Recherche!$C$11),OR(Recherche!$C$12="",ISNUMBER(SEARCH(Recherche!$C$12,M3646&amp;" "&amp;F3646)))),1,0)</f>
        <v>8</v>
      </c>
    </row>
    <row r="3647" customFormat="false" ht="15" hidden="false" customHeight="false" outlineLevel="0" collapsed="false">
      <c r="A3647" s="19"/>
      <c r="B3647" s="19"/>
      <c r="C3647" s="19"/>
      <c r="D3647" s="19"/>
      <c r="E3647" s="22"/>
      <c r="F3647" s="19"/>
      <c r="G3647" s="26" t="str">
        <f aca="false">IF(D3647="","",IFERROR(VALUE(LEFT(D3647,FIND(" |",D3647&amp;" |")-1)),"?"))</f>
        <v/>
      </c>
      <c r="H3647" s="27" t="str">
        <f aca="false">IF(G3647="","",IF(G3647="?","⚠ pub inconnue",IFERROR(INDEX(Pubs!$B$2:$B$3001,MATCH(G3647,Pubs!$A$2:$A$3001,0))&amp;"","⚠ pub inconnue")))</f>
        <v/>
      </c>
      <c r="I3647" s="27" t="str">
        <f aca="false">IF(OR(G3647="",G3647="?"),"",IFERROR(INDEX(Pubs!$C$2:$C$3001,MATCH(G3647,Pubs!$A$2:$A$3001,0))&amp;"",""))</f>
        <v/>
      </c>
      <c r="J3647" s="27" t="str">
        <f aca="false">IF(OR(G3647="",G3647="?"),"",IFERROR(INDEX(Pubs!$G$2:$G$3001,MATCH(G3647,Pubs!$A$2:$A$3001,0))&amp;"",""))</f>
        <v/>
      </c>
      <c r="K3647" s="28" t="str">
        <f aca="false">IF(OR(G3647="",G3647="?"),"",IFERROR(INDEX(Pubs!$E$2:$E$3001,MATCH(G3647,Pubs!$A$2:$A$3001,0)),""))</f>
        <v/>
      </c>
      <c r="L3647" s="29" t="str">
        <f aca="false">IF(A3647="","",IFERROR(1/(1/INDEX(Numéros!$C$2:$C$3001,MATCH(A3647&amp;"|"&amp;B3647,Numéros!$F$2:$F$3001,0))),""))</f>
        <v/>
      </c>
      <c r="M3647" s="27" t="str">
        <f aca="false">IF(OR(G3647="",G3647="?"),"",IFERROR(INDEX(Pubs!$D$2:$D$3001,MATCH(G3647,Pubs!$A$2:$A$3001,0))&amp;"",""))</f>
        <v/>
      </c>
      <c r="N3647" s="27" t="n">
        <f aca="false">N(N3646)+IF(AND(A3647&lt;&gt;"",OR(Recherche!$C$4="",A3647=Recherche!$C$4),OR(Recherche!$C$5="",B3647&amp;""=Recherche!$C$5&amp;""),OR(Recherche!$C$6="",IFERROR(YEAR(L3647),0)=Recherche!$C$6),OR(Recherche!$C$7="",ISNUMBER(SEARCH(Recherche!$C$7,H3647))),OR(Recherche!$C$8="",J3647=Recherche!$C$8),OR(Recherche!$C$9="",I3647=Recherche!$C$9),OR(Recherche!$C$10="",G3647&amp;""=Recherche!$C$10&amp;""),OR(Recherche!$C$11="",E3647=Recherche!$C$11),OR(Recherche!$C$12="",ISNUMBER(SEARCH(Recherche!$C$12,M3647&amp;" "&amp;F3647)))),1,0)</f>
        <v>8</v>
      </c>
    </row>
    <row r="3648" customFormat="false" ht="15" hidden="false" customHeight="false" outlineLevel="0" collapsed="false">
      <c r="A3648" s="19"/>
      <c r="B3648" s="19"/>
      <c r="C3648" s="19"/>
      <c r="D3648" s="19"/>
      <c r="E3648" s="22"/>
      <c r="F3648" s="19"/>
      <c r="G3648" s="26" t="str">
        <f aca="false">IF(D3648="","",IFERROR(VALUE(LEFT(D3648,FIND(" |",D3648&amp;" |")-1)),"?"))</f>
        <v/>
      </c>
      <c r="H3648" s="27" t="str">
        <f aca="false">IF(G3648="","",IF(G3648="?","⚠ pub inconnue",IFERROR(INDEX(Pubs!$B$2:$B$3001,MATCH(G3648,Pubs!$A$2:$A$3001,0))&amp;"","⚠ pub inconnue")))</f>
        <v/>
      </c>
      <c r="I3648" s="27" t="str">
        <f aca="false">IF(OR(G3648="",G3648="?"),"",IFERROR(INDEX(Pubs!$C$2:$C$3001,MATCH(G3648,Pubs!$A$2:$A$3001,0))&amp;"",""))</f>
        <v/>
      </c>
      <c r="J3648" s="27" t="str">
        <f aca="false">IF(OR(G3648="",G3648="?"),"",IFERROR(INDEX(Pubs!$G$2:$G$3001,MATCH(G3648,Pubs!$A$2:$A$3001,0))&amp;"",""))</f>
        <v/>
      </c>
      <c r="K3648" s="28" t="str">
        <f aca="false">IF(OR(G3648="",G3648="?"),"",IFERROR(INDEX(Pubs!$E$2:$E$3001,MATCH(G3648,Pubs!$A$2:$A$3001,0)),""))</f>
        <v/>
      </c>
      <c r="L3648" s="29" t="str">
        <f aca="false">IF(A3648="","",IFERROR(1/(1/INDEX(Numéros!$C$2:$C$3001,MATCH(A3648&amp;"|"&amp;B3648,Numéros!$F$2:$F$3001,0))),""))</f>
        <v/>
      </c>
      <c r="M3648" s="27" t="str">
        <f aca="false">IF(OR(G3648="",G3648="?"),"",IFERROR(INDEX(Pubs!$D$2:$D$3001,MATCH(G3648,Pubs!$A$2:$A$3001,0))&amp;"",""))</f>
        <v/>
      </c>
      <c r="N3648" s="27" t="n">
        <f aca="false">N(N3647)+IF(AND(A3648&lt;&gt;"",OR(Recherche!$C$4="",A3648=Recherche!$C$4),OR(Recherche!$C$5="",B3648&amp;""=Recherche!$C$5&amp;""),OR(Recherche!$C$6="",IFERROR(YEAR(L3648),0)=Recherche!$C$6),OR(Recherche!$C$7="",ISNUMBER(SEARCH(Recherche!$C$7,H3648))),OR(Recherche!$C$8="",J3648=Recherche!$C$8),OR(Recherche!$C$9="",I3648=Recherche!$C$9),OR(Recherche!$C$10="",G3648&amp;""=Recherche!$C$10&amp;""),OR(Recherche!$C$11="",E3648=Recherche!$C$11),OR(Recherche!$C$12="",ISNUMBER(SEARCH(Recherche!$C$12,M3648&amp;" "&amp;F3648)))),1,0)</f>
        <v>8</v>
      </c>
    </row>
    <row r="3649" customFormat="false" ht="15" hidden="false" customHeight="false" outlineLevel="0" collapsed="false">
      <c r="A3649" s="19"/>
      <c r="B3649" s="19"/>
      <c r="C3649" s="19"/>
      <c r="D3649" s="19"/>
      <c r="E3649" s="22"/>
      <c r="F3649" s="19"/>
      <c r="G3649" s="26" t="str">
        <f aca="false">IF(D3649="","",IFERROR(VALUE(LEFT(D3649,FIND(" |",D3649&amp;" |")-1)),"?"))</f>
        <v/>
      </c>
      <c r="H3649" s="27" t="str">
        <f aca="false">IF(G3649="","",IF(G3649="?","⚠ pub inconnue",IFERROR(INDEX(Pubs!$B$2:$B$3001,MATCH(G3649,Pubs!$A$2:$A$3001,0))&amp;"","⚠ pub inconnue")))</f>
        <v/>
      </c>
      <c r="I3649" s="27" t="str">
        <f aca="false">IF(OR(G3649="",G3649="?"),"",IFERROR(INDEX(Pubs!$C$2:$C$3001,MATCH(G3649,Pubs!$A$2:$A$3001,0))&amp;"",""))</f>
        <v/>
      </c>
      <c r="J3649" s="27" t="str">
        <f aca="false">IF(OR(G3649="",G3649="?"),"",IFERROR(INDEX(Pubs!$G$2:$G$3001,MATCH(G3649,Pubs!$A$2:$A$3001,0))&amp;"",""))</f>
        <v/>
      </c>
      <c r="K3649" s="28" t="str">
        <f aca="false">IF(OR(G3649="",G3649="?"),"",IFERROR(INDEX(Pubs!$E$2:$E$3001,MATCH(G3649,Pubs!$A$2:$A$3001,0)),""))</f>
        <v/>
      </c>
      <c r="L3649" s="29" t="str">
        <f aca="false">IF(A3649="","",IFERROR(1/(1/INDEX(Numéros!$C$2:$C$3001,MATCH(A3649&amp;"|"&amp;B3649,Numéros!$F$2:$F$3001,0))),""))</f>
        <v/>
      </c>
      <c r="M3649" s="27" t="str">
        <f aca="false">IF(OR(G3649="",G3649="?"),"",IFERROR(INDEX(Pubs!$D$2:$D$3001,MATCH(G3649,Pubs!$A$2:$A$3001,0))&amp;"",""))</f>
        <v/>
      </c>
      <c r="N3649" s="27" t="n">
        <f aca="false">N(N3648)+IF(AND(A3649&lt;&gt;"",OR(Recherche!$C$4="",A3649=Recherche!$C$4),OR(Recherche!$C$5="",B3649&amp;""=Recherche!$C$5&amp;""),OR(Recherche!$C$6="",IFERROR(YEAR(L3649),0)=Recherche!$C$6),OR(Recherche!$C$7="",ISNUMBER(SEARCH(Recherche!$C$7,H3649))),OR(Recherche!$C$8="",J3649=Recherche!$C$8),OR(Recherche!$C$9="",I3649=Recherche!$C$9),OR(Recherche!$C$10="",G3649&amp;""=Recherche!$C$10&amp;""),OR(Recherche!$C$11="",E3649=Recherche!$C$11),OR(Recherche!$C$12="",ISNUMBER(SEARCH(Recherche!$C$12,M3649&amp;" "&amp;F3649)))),1,0)</f>
        <v>8</v>
      </c>
    </row>
    <row r="3650" customFormat="false" ht="15" hidden="false" customHeight="false" outlineLevel="0" collapsed="false">
      <c r="A3650" s="19"/>
      <c r="B3650" s="19"/>
      <c r="C3650" s="19"/>
      <c r="D3650" s="19"/>
      <c r="E3650" s="22"/>
      <c r="F3650" s="19"/>
      <c r="G3650" s="26" t="str">
        <f aca="false">IF(D3650="","",IFERROR(VALUE(LEFT(D3650,FIND(" |",D3650&amp;" |")-1)),"?"))</f>
        <v/>
      </c>
      <c r="H3650" s="27" t="str">
        <f aca="false">IF(G3650="","",IF(G3650="?","⚠ pub inconnue",IFERROR(INDEX(Pubs!$B$2:$B$3001,MATCH(G3650,Pubs!$A$2:$A$3001,0))&amp;"","⚠ pub inconnue")))</f>
        <v/>
      </c>
      <c r="I3650" s="27" t="str">
        <f aca="false">IF(OR(G3650="",G3650="?"),"",IFERROR(INDEX(Pubs!$C$2:$C$3001,MATCH(G3650,Pubs!$A$2:$A$3001,0))&amp;"",""))</f>
        <v/>
      </c>
      <c r="J3650" s="27" t="str">
        <f aca="false">IF(OR(G3650="",G3650="?"),"",IFERROR(INDEX(Pubs!$G$2:$G$3001,MATCH(G3650,Pubs!$A$2:$A$3001,0))&amp;"",""))</f>
        <v/>
      </c>
      <c r="K3650" s="28" t="str">
        <f aca="false">IF(OR(G3650="",G3650="?"),"",IFERROR(INDEX(Pubs!$E$2:$E$3001,MATCH(G3650,Pubs!$A$2:$A$3001,0)),""))</f>
        <v/>
      </c>
      <c r="L3650" s="29" t="str">
        <f aca="false">IF(A3650="","",IFERROR(1/(1/INDEX(Numéros!$C$2:$C$3001,MATCH(A3650&amp;"|"&amp;B3650,Numéros!$F$2:$F$3001,0))),""))</f>
        <v/>
      </c>
      <c r="M3650" s="27" t="str">
        <f aca="false">IF(OR(G3650="",G3650="?"),"",IFERROR(INDEX(Pubs!$D$2:$D$3001,MATCH(G3650,Pubs!$A$2:$A$3001,0))&amp;"",""))</f>
        <v/>
      </c>
      <c r="N3650" s="27" t="n">
        <f aca="false">N(N3649)+IF(AND(A3650&lt;&gt;"",OR(Recherche!$C$4="",A3650=Recherche!$C$4),OR(Recherche!$C$5="",B3650&amp;""=Recherche!$C$5&amp;""),OR(Recherche!$C$6="",IFERROR(YEAR(L3650),0)=Recherche!$C$6),OR(Recherche!$C$7="",ISNUMBER(SEARCH(Recherche!$C$7,H3650))),OR(Recherche!$C$8="",J3650=Recherche!$C$8),OR(Recherche!$C$9="",I3650=Recherche!$C$9),OR(Recherche!$C$10="",G3650&amp;""=Recherche!$C$10&amp;""),OR(Recherche!$C$11="",E3650=Recherche!$C$11),OR(Recherche!$C$12="",ISNUMBER(SEARCH(Recherche!$C$12,M3650&amp;" "&amp;F3650)))),1,0)</f>
        <v>8</v>
      </c>
    </row>
    <row r="3651" customFormat="false" ht="15" hidden="false" customHeight="false" outlineLevel="0" collapsed="false">
      <c r="A3651" s="19"/>
      <c r="B3651" s="19"/>
      <c r="C3651" s="19"/>
      <c r="D3651" s="19"/>
      <c r="E3651" s="22"/>
      <c r="F3651" s="19"/>
      <c r="G3651" s="26" t="str">
        <f aca="false">IF(D3651="","",IFERROR(VALUE(LEFT(D3651,FIND(" |",D3651&amp;" |")-1)),"?"))</f>
        <v/>
      </c>
      <c r="H3651" s="27" t="str">
        <f aca="false">IF(G3651="","",IF(G3651="?","⚠ pub inconnue",IFERROR(INDEX(Pubs!$B$2:$B$3001,MATCH(G3651,Pubs!$A$2:$A$3001,0))&amp;"","⚠ pub inconnue")))</f>
        <v/>
      </c>
      <c r="I3651" s="27" t="str">
        <f aca="false">IF(OR(G3651="",G3651="?"),"",IFERROR(INDEX(Pubs!$C$2:$C$3001,MATCH(G3651,Pubs!$A$2:$A$3001,0))&amp;"",""))</f>
        <v/>
      </c>
      <c r="J3651" s="27" t="str">
        <f aca="false">IF(OR(G3651="",G3651="?"),"",IFERROR(INDEX(Pubs!$G$2:$G$3001,MATCH(G3651,Pubs!$A$2:$A$3001,0))&amp;"",""))</f>
        <v/>
      </c>
      <c r="K3651" s="28" t="str">
        <f aca="false">IF(OR(G3651="",G3651="?"),"",IFERROR(INDEX(Pubs!$E$2:$E$3001,MATCH(G3651,Pubs!$A$2:$A$3001,0)),""))</f>
        <v/>
      </c>
      <c r="L3651" s="29" t="str">
        <f aca="false">IF(A3651="","",IFERROR(1/(1/INDEX(Numéros!$C$2:$C$3001,MATCH(A3651&amp;"|"&amp;B3651,Numéros!$F$2:$F$3001,0))),""))</f>
        <v/>
      </c>
      <c r="M3651" s="27" t="str">
        <f aca="false">IF(OR(G3651="",G3651="?"),"",IFERROR(INDEX(Pubs!$D$2:$D$3001,MATCH(G3651,Pubs!$A$2:$A$3001,0))&amp;"",""))</f>
        <v/>
      </c>
      <c r="N3651" s="27" t="n">
        <f aca="false">N(N3650)+IF(AND(A3651&lt;&gt;"",OR(Recherche!$C$4="",A3651=Recherche!$C$4),OR(Recherche!$C$5="",B3651&amp;""=Recherche!$C$5&amp;""),OR(Recherche!$C$6="",IFERROR(YEAR(L3651),0)=Recherche!$C$6),OR(Recherche!$C$7="",ISNUMBER(SEARCH(Recherche!$C$7,H3651))),OR(Recherche!$C$8="",J3651=Recherche!$C$8),OR(Recherche!$C$9="",I3651=Recherche!$C$9),OR(Recherche!$C$10="",G3651&amp;""=Recherche!$C$10&amp;""),OR(Recherche!$C$11="",E3651=Recherche!$C$11),OR(Recherche!$C$12="",ISNUMBER(SEARCH(Recherche!$C$12,M3651&amp;" "&amp;F3651)))),1,0)</f>
        <v>8</v>
      </c>
    </row>
    <row r="3652" customFormat="false" ht="15" hidden="false" customHeight="false" outlineLevel="0" collapsed="false">
      <c r="A3652" s="19"/>
      <c r="B3652" s="19"/>
      <c r="C3652" s="19"/>
      <c r="D3652" s="19"/>
      <c r="E3652" s="22"/>
      <c r="F3652" s="19"/>
      <c r="G3652" s="26" t="str">
        <f aca="false">IF(D3652="","",IFERROR(VALUE(LEFT(D3652,FIND(" |",D3652&amp;" |")-1)),"?"))</f>
        <v/>
      </c>
      <c r="H3652" s="27" t="str">
        <f aca="false">IF(G3652="","",IF(G3652="?","⚠ pub inconnue",IFERROR(INDEX(Pubs!$B$2:$B$3001,MATCH(G3652,Pubs!$A$2:$A$3001,0))&amp;"","⚠ pub inconnue")))</f>
        <v/>
      </c>
      <c r="I3652" s="27" t="str">
        <f aca="false">IF(OR(G3652="",G3652="?"),"",IFERROR(INDEX(Pubs!$C$2:$C$3001,MATCH(G3652,Pubs!$A$2:$A$3001,0))&amp;"",""))</f>
        <v/>
      </c>
      <c r="J3652" s="27" t="str">
        <f aca="false">IF(OR(G3652="",G3652="?"),"",IFERROR(INDEX(Pubs!$G$2:$G$3001,MATCH(G3652,Pubs!$A$2:$A$3001,0))&amp;"",""))</f>
        <v/>
      </c>
      <c r="K3652" s="28" t="str">
        <f aca="false">IF(OR(G3652="",G3652="?"),"",IFERROR(INDEX(Pubs!$E$2:$E$3001,MATCH(G3652,Pubs!$A$2:$A$3001,0)),""))</f>
        <v/>
      </c>
      <c r="L3652" s="29" t="str">
        <f aca="false">IF(A3652="","",IFERROR(1/(1/INDEX(Numéros!$C$2:$C$3001,MATCH(A3652&amp;"|"&amp;B3652,Numéros!$F$2:$F$3001,0))),""))</f>
        <v/>
      </c>
      <c r="M3652" s="27" t="str">
        <f aca="false">IF(OR(G3652="",G3652="?"),"",IFERROR(INDEX(Pubs!$D$2:$D$3001,MATCH(G3652,Pubs!$A$2:$A$3001,0))&amp;"",""))</f>
        <v/>
      </c>
      <c r="N3652" s="27" t="n">
        <f aca="false">N(N3651)+IF(AND(A3652&lt;&gt;"",OR(Recherche!$C$4="",A3652=Recherche!$C$4),OR(Recherche!$C$5="",B3652&amp;""=Recherche!$C$5&amp;""),OR(Recherche!$C$6="",IFERROR(YEAR(L3652),0)=Recherche!$C$6),OR(Recherche!$C$7="",ISNUMBER(SEARCH(Recherche!$C$7,H3652))),OR(Recherche!$C$8="",J3652=Recherche!$C$8),OR(Recherche!$C$9="",I3652=Recherche!$C$9),OR(Recherche!$C$10="",G3652&amp;""=Recherche!$C$10&amp;""),OR(Recherche!$C$11="",E3652=Recherche!$C$11),OR(Recherche!$C$12="",ISNUMBER(SEARCH(Recherche!$C$12,M3652&amp;" "&amp;F3652)))),1,0)</f>
        <v>8</v>
      </c>
    </row>
    <row r="3653" customFormat="false" ht="15" hidden="false" customHeight="false" outlineLevel="0" collapsed="false">
      <c r="A3653" s="19"/>
      <c r="B3653" s="19"/>
      <c r="C3653" s="19"/>
      <c r="D3653" s="19"/>
      <c r="E3653" s="22"/>
      <c r="F3653" s="19"/>
      <c r="G3653" s="26" t="str">
        <f aca="false">IF(D3653="","",IFERROR(VALUE(LEFT(D3653,FIND(" |",D3653&amp;" |")-1)),"?"))</f>
        <v/>
      </c>
      <c r="H3653" s="27" t="str">
        <f aca="false">IF(G3653="","",IF(G3653="?","⚠ pub inconnue",IFERROR(INDEX(Pubs!$B$2:$B$3001,MATCH(G3653,Pubs!$A$2:$A$3001,0))&amp;"","⚠ pub inconnue")))</f>
        <v/>
      </c>
      <c r="I3653" s="27" t="str">
        <f aca="false">IF(OR(G3653="",G3653="?"),"",IFERROR(INDEX(Pubs!$C$2:$C$3001,MATCH(G3653,Pubs!$A$2:$A$3001,0))&amp;"",""))</f>
        <v/>
      </c>
      <c r="J3653" s="27" t="str">
        <f aca="false">IF(OR(G3653="",G3653="?"),"",IFERROR(INDEX(Pubs!$G$2:$G$3001,MATCH(G3653,Pubs!$A$2:$A$3001,0))&amp;"",""))</f>
        <v/>
      </c>
      <c r="K3653" s="28" t="str">
        <f aca="false">IF(OR(G3653="",G3653="?"),"",IFERROR(INDEX(Pubs!$E$2:$E$3001,MATCH(G3653,Pubs!$A$2:$A$3001,0)),""))</f>
        <v/>
      </c>
      <c r="L3653" s="29" t="str">
        <f aca="false">IF(A3653="","",IFERROR(1/(1/INDEX(Numéros!$C$2:$C$3001,MATCH(A3653&amp;"|"&amp;B3653,Numéros!$F$2:$F$3001,0))),""))</f>
        <v/>
      </c>
      <c r="M3653" s="27" t="str">
        <f aca="false">IF(OR(G3653="",G3653="?"),"",IFERROR(INDEX(Pubs!$D$2:$D$3001,MATCH(G3653,Pubs!$A$2:$A$3001,0))&amp;"",""))</f>
        <v/>
      </c>
      <c r="N3653" s="27" t="n">
        <f aca="false">N(N3652)+IF(AND(A3653&lt;&gt;"",OR(Recherche!$C$4="",A3653=Recherche!$C$4),OR(Recherche!$C$5="",B3653&amp;""=Recherche!$C$5&amp;""),OR(Recherche!$C$6="",IFERROR(YEAR(L3653),0)=Recherche!$C$6),OR(Recherche!$C$7="",ISNUMBER(SEARCH(Recherche!$C$7,H3653))),OR(Recherche!$C$8="",J3653=Recherche!$C$8),OR(Recherche!$C$9="",I3653=Recherche!$C$9),OR(Recherche!$C$10="",G3653&amp;""=Recherche!$C$10&amp;""),OR(Recherche!$C$11="",E3653=Recherche!$C$11),OR(Recherche!$C$12="",ISNUMBER(SEARCH(Recherche!$C$12,M3653&amp;" "&amp;F3653)))),1,0)</f>
        <v>8</v>
      </c>
    </row>
    <row r="3654" customFormat="false" ht="15" hidden="false" customHeight="false" outlineLevel="0" collapsed="false">
      <c r="A3654" s="19"/>
      <c r="B3654" s="19"/>
      <c r="C3654" s="19"/>
      <c r="D3654" s="19"/>
      <c r="E3654" s="22"/>
      <c r="F3654" s="19"/>
      <c r="G3654" s="26" t="str">
        <f aca="false">IF(D3654="","",IFERROR(VALUE(LEFT(D3654,FIND(" |",D3654&amp;" |")-1)),"?"))</f>
        <v/>
      </c>
      <c r="H3654" s="27" t="str">
        <f aca="false">IF(G3654="","",IF(G3654="?","⚠ pub inconnue",IFERROR(INDEX(Pubs!$B$2:$B$3001,MATCH(G3654,Pubs!$A$2:$A$3001,0))&amp;"","⚠ pub inconnue")))</f>
        <v/>
      </c>
      <c r="I3654" s="27" t="str">
        <f aca="false">IF(OR(G3654="",G3654="?"),"",IFERROR(INDEX(Pubs!$C$2:$C$3001,MATCH(G3654,Pubs!$A$2:$A$3001,0))&amp;"",""))</f>
        <v/>
      </c>
      <c r="J3654" s="27" t="str">
        <f aca="false">IF(OR(G3654="",G3654="?"),"",IFERROR(INDEX(Pubs!$G$2:$G$3001,MATCH(G3654,Pubs!$A$2:$A$3001,0))&amp;"",""))</f>
        <v/>
      </c>
      <c r="K3654" s="28" t="str">
        <f aca="false">IF(OR(G3654="",G3654="?"),"",IFERROR(INDEX(Pubs!$E$2:$E$3001,MATCH(G3654,Pubs!$A$2:$A$3001,0)),""))</f>
        <v/>
      </c>
      <c r="L3654" s="29" t="str">
        <f aca="false">IF(A3654="","",IFERROR(1/(1/INDEX(Numéros!$C$2:$C$3001,MATCH(A3654&amp;"|"&amp;B3654,Numéros!$F$2:$F$3001,0))),""))</f>
        <v/>
      </c>
      <c r="M3654" s="27" t="str">
        <f aca="false">IF(OR(G3654="",G3654="?"),"",IFERROR(INDEX(Pubs!$D$2:$D$3001,MATCH(G3654,Pubs!$A$2:$A$3001,0))&amp;"",""))</f>
        <v/>
      </c>
      <c r="N3654" s="27" t="n">
        <f aca="false">N(N3653)+IF(AND(A3654&lt;&gt;"",OR(Recherche!$C$4="",A3654=Recherche!$C$4),OR(Recherche!$C$5="",B3654&amp;""=Recherche!$C$5&amp;""),OR(Recherche!$C$6="",IFERROR(YEAR(L3654),0)=Recherche!$C$6),OR(Recherche!$C$7="",ISNUMBER(SEARCH(Recherche!$C$7,H3654))),OR(Recherche!$C$8="",J3654=Recherche!$C$8),OR(Recherche!$C$9="",I3654=Recherche!$C$9),OR(Recherche!$C$10="",G3654&amp;""=Recherche!$C$10&amp;""),OR(Recherche!$C$11="",E3654=Recherche!$C$11),OR(Recherche!$C$12="",ISNUMBER(SEARCH(Recherche!$C$12,M3654&amp;" "&amp;F3654)))),1,0)</f>
        <v>8</v>
      </c>
    </row>
    <row r="3655" customFormat="false" ht="15" hidden="false" customHeight="false" outlineLevel="0" collapsed="false">
      <c r="A3655" s="19"/>
      <c r="B3655" s="19"/>
      <c r="C3655" s="19"/>
      <c r="D3655" s="19"/>
      <c r="E3655" s="22"/>
      <c r="F3655" s="19"/>
      <c r="G3655" s="26" t="str">
        <f aca="false">IF(D3655="","",IFERROR(VALUE(LEFT(D3655,FIND(" |",D3655&amp;" |")-1)),"?"))</f>
        <v/>
      </c>
      <c r="H3655" s="27" t="str">
        <f aca="false">IF(G3655="","",IF(G3655="?","⚠ pub inconnue",IFERROR(INDEX(Pubs!$B$2:$B$3001,MATCH(G3655,Pubs!$A$2:$A$3001,0))&amp;"","⚠ pub inconnue")))</f>
        <v/>
      </c>
      <c r="I3655" s="27" t="str">
        <f aca="false">IF(OR(G3655="",G3655="?"),"",IFERROR(INDEX(Pubs!$C$2:$C$3001,MATCH(G3655,Pubs!$A$2:$A$3001,0))&amp;"",""))</f>
        <v/>
      </c>
      <c r="J3655" s="27" t="str">
        <f aca="false">IF(OR(G3655="",G3655="?"),"",IFERROR(INDEX(Pubs!$G$2:$G$3001,MATCH(G3655,Pubs!$A$2:$A$3001,0))&amp;"",""))</f>
        <v/>
      </c>
      <c r="K3655" s="28" t="str">
        <f aca="false">IF(OR(G3655="",G3655="?"),"",IFERROR(INDEX(Pubs!$E$2:$E$3001,MATCH(G3655,Pubs!$A$2:$A$3001,0)),""))</f>
        <v/>
      </c>
      <c r="L3655" s="29" t="str">
        <f aca="false">IF(A3655="","",IFERROR(1/(1/INDEX(Numéros!$C$2:$C$3001,MATCH(A3655&amp;"|"&amp;B3655,Numéros!$F$2:$F$3001,0))),""))</f>
        <v/>
      </c>
      <c r="M3655" s="27" t="str">
        <f aca="false">IF(OR(G3655="",G3655="?"),"",IFERROR(INDEX(Pubs!$D$2:$D$3001,MATCH(G3655,Pubs!$A$2:$A$3001,0))&amp;"",""))</f>
        <v/>
      </c>
      <c r="N3655" s="27" t="n">
        <f aca="false">N(N3654)+IF(AND(A3655&lt;&gt;"",OR(Recherche!$C$4="",A3655=Recherche!$C$4),OR(Recherche!$C$5="",B3655&amp;""=Recherche!$C$5&amp;""),OR(Recherche!$C$6="",IFERROR(YEAR(L3655),0)=Recherche!$C$6),OR(Recherche!$C$7="",ISNUMBER(SEARCH(Recherche!$C$7,H3655))),OR(Recherche!$C$8="",J3655=Recherche!$C$8),OR(Recherche!$C$9="",I3655=Recherche!$C$9),OR(Recherche!$C$10="",G3655&amp;""=Recherche!$C$10&amp;""),OR(Recherche!$C$11="",E3655=Recherche!$C$11),OR(Recherche!$C$12="",ISNUMBER(SEARCH(Recherche!$C$12,M3655&amp;" "&amp;F3655)))),1,0)</f>
        <v>8</v>
      </c>
    </row>
    <row r="3656" customFormat="false" ht="15" hidden="false" customHeight="false" outlineLevel="0" collapsed="false">
      <c r="A3656" s="19"/>
      <c r="B3656" s="19"/>
      <c r="C3656" s="19"/>
      <c r="D3656" s="19"/>
      <c r="E3656" s="22"/>
      <c r="F3656" s="19"/>
      <c r="G3656" s="26" t="str">
        <f aca="false">IF(D3656="","",IFERROR(VALUE(LEFT(D3656,FIND(" |",D3656&amp;" |")-1)),"?"))</f>
        <v/>
      </c>
      <c r="H3656" s="27" t="str">
        <f aca="false">IF(G3656="","",IF(G3656="?","⚠ pub inconnue",IFERROR(INDEX(Pubs!$B$2:$B$3001,MATCH(G3656,Pubs!$A$2:$A$3001,0))&amp;"","⚠ pub inconnue")))</f>
        <v/>
      </c>
      <c r="I3656" s="27" t="str">
        <f aca="false">IF(OR(G3656="",G3656="?"),"",IFERROR(INDEX(Pubs!$C$2:$C$3001,MATCH(G3656,Pubs!$A$2:$A$3001,0))&amp;"",""))</f>
        <v/>
      </c>
      <c r="J3656" s="27" t="str">
        <f aca="false">IF(OR(G3656="",G3656="?"),"",IFERROR(INDEX(Pubs!$G$2:$G$3001,MATCH(G3656,Pubs!$A$2:$A$3001,0))&amp;"",""))</f>
        <v/>
      </c>
      <c r="K3656" s="28" t="str">
        <f aca="false">IF(OR(G3656="",G3656="?"),"",IFERROR(INDEX(Pubs!$E$2:$E$3001,MATCH(G3656,Pubs!$A$2:$A$3001,0)),""))</f>
        <v/>
      </c>
      <c r="L3656" s="29" t="str">
        <f aca="false">IF(A3656="","",IFERROR(1/(1/INDEX(Numéros!$C$2:$C$3001,MATCH(A3656&amp;"|"&amp;B3656,Numéros!$F$2:$F$3001,0))),""))</f>
        <v/>
      </c>
      <c r="M3656" s="27" t="str">
        <f aca="false">IF(OR(G3656="",G3656="?"),"",IFERROR(INDEX(Pubs!$D$2:$D$3001,MATCH(G3656,Pubs!$A$2:$A$3001,0))&amp;"",""))</f>
        <v/>
      </c>
      <c r="N3656" s="27" t="n">
        <f aca="false">N(N3655)+IF(AND(A3656&lt;&gt;"",OR(Recherche!$C$4="",A3656=Recherche!$C$4),OR(Recherche!$C$5="",B3656&amp;""=Recherche!$C$5&amp;""),OR(Recherche!$C$6="",IFERROR(YEAR(L3656),0)=Recherche!$C$6),OR(Recherche!$C$7="",ISNUMBER(SEARCH(Recherche!$C$7,H3656))),OR(Recherche!$C$8="",J3656=Recherche!$C$8),OR(Recherche!$C$9="",I3656=Recherche!$C$9),OR(Recherche!$C$10="",G3656&amp;""=Recherche!$C$10&amp;""),OR(Recherche!$C$11="",E3656=Recherche!$C$11),OR(Recherche!$C$12="",ISNUMBER(SEARCH(Recherche!$C$12,M3656&amp;" "&amp;F3656)))),1,0)</f>
        <v>8</v>
      </c>
    </row>
    <row r="3657" customFormat="false" ht="15" hidden="false" customHeight="false" outlineLevel="0" collapsed="false">
      <c r="A3657" s="19"/>
      <c r="B3657" s="19"/>
      <c r="C3657" s="19"/>
      <c r="D3657" s="19"/>
      <c r="E3657" s="22"/>
      <c r="F3657" s="19"/>
      <c r="G3657" s="26" t="str">
        <f aca="false">IF(D3657="","",IFERROR(VALUE(LEFT(D3657,FIND(" |",D3657&amp;" |")-1)),"?"))</f>
        <v/>
      </c>
      <c r="H3657" s="27" t="str">
        <f aca="false">IF(G3657="","",IF(G3657="?","⚠ pub inconnue",IFERROR(INDEX(Pubs!$B$2:$B$3001,MATCH(G3657,Pubs!$A$2:$A$3001,0))&amp;"","⚠ pub inconnue")))</f>
        <v/>
      </c>
      <c r="I3657" s="27" t="str">
        <f aca="false">IF(OR(G3657="",G3657="?"),"",IFERROR(INDEX(Pubs!$C$2:$C$3001,MATCH(G3657,Pubs!$A$2:$A$3001,0))&amp;"",""))</f>
        <v/>
      </c>
      <c r="J3657" s="27" t="str">
        <f aca="false">IF(OR(G3657="",G3657="?"),"",IFERROR(INDEX(Pubs!$G$2:$G$3001,MATCH(G3657,Pubs!$A$2:$A$3001,0))&amp;"",""))</f>
        <v/>
      </c>
      <c r="K3657" s="28" t="str">
        <f aca="false">IF(OR(G3657="",G3657="?"),"",IFERROR(INDEX(Pubs!$E$2:$E$3001,MATCH(G3657,Pubs!$A$2:$A$3001,0)),""))</f>
        <v/>
      </c>
      <c r="L3657" s="29" t="str">
        <f aca="false">IF(A3657="","",IFERROR(1/(1/INDEX(Numéros!$C$2:$C$3001,MATCH(A3657&amp;"|"&amp;B3657,Numéros!$F$2:$F$3001,0))),""))</f>
        <v/>
      </c>
      <c r="M3657" s="27" t="str">
        <f aca="false">IF(OR(G3657="",G3657="?"),"",IFERROR(INDEX(Pubs!$D$2:$D$3001,MATCH(G3657,Pubs!$A$2:$A$3001,0))&amp;"",""))</f>
        <v/>
      </c>
      <c r="N3657" s="27" t="n">
        <f aca="false">N(N3656)+IF(AND(A3657&lt;&gt;"",OR(Recherche!$C$4="",A3657=Recherche!$C$4),OR(Recherche!$C$5="",B3657&amp;""=Recherche!$C$5&amp;""),OR(Recherche!$C$6="",IFERROR(YEAR(L3657),0)=Recherche!$C$6),OR(Recherche!$C$7="",ISNUMBER(SEARCH(Recherche!$C$7,H3657))),OR(Recherche!$C$8="",J3657=Recherche!$C$8),OR(Recherche!$C$9="",I3657=Recherche!$C$9),OR(Recherche!$C$10="",G3657&amp;""=Recherche!$C$10&amp;""),OR(Recherche!$C$11="",E3657=Recherche!$C$11),OR(Recherche!$C$12="",ISNUMBER(SEARCH(Recherche!$C$12,M3657&amp;" "&amp;F3657)))),1,0)</f>
        <v>8</v>
      </c>
    </row>
    <row r="3658" customFormat="false" ht="15" hidden="false" customHeight="false" outlineLevel="0" collapsed="false">
      <c r="A3658" s="19"/>
      <c r="B3658" s="19"/>
      <c r="C3658" s="19"/>
      <c r="D3658" s="19"/>
      <c r="E3658" s="22"/>
      <c r="F3658" s="19"/>
      <c r="G3658" s="26" t="str">
        <f aca="false">IF(D3658="","",IFERROR(VALUE(LEFT(D3658,FIND(" |",D3658&amp;" |")-1)),"?"))</f>
        <v/>
      </c>
      <c r="H3658" s="27" t="str">
        <f aca="false">IF(G3658="","",IF(G3658="?","⚠ pub inconnue",IFERROR(INDEX(Pubs!$B$2:$B$3001,MATCH(G3658,Pubs!$A$2:$A$3001,0))&amp;"","⚠ pub inconnue")))</f>
        <v/>
      </c>
      <c r="I3658" s="27" t="str">
        <f aca="false">IF(OR(G3658="",G3658="?"),"",IFERROR(INDEX(Pubs!$C$2:$C$3001,MATCH(G3658,Pubs!$A$2:$A$3001,0))&amp;"",""))</f>
        <v/>
      </c>
      <c r="J3658" s="27" t="str">
        <f aca="false">IF(OR(G3658="",G3658="?"),"",IFERROR(INDEX(Pubs!$G$2:$G$3001,MATCH(G3658,Pubs!$A$2:$A$3001,0))&amp;"",""))</f>
        <v/>
      </c>
      <c r="K3658" s="28" t="str">
        <f aca="false">IF(OR(G3658="",G3658="?"),"",IFERROR(INDEX(Pubs!$E$2:$E$3001,MATCH(G3658,Pubs!$A$2:$A$3001,0)),""))</f>
        <v/>
      </c>
      <c r="L3658" s="29" t="str">
        <f aca="false">IF(A3658="","",IFERROR(1/(1/INDEX(Numéros!$C$2:$C$3001,MATCH(A3658&amp;"|"&amp;B3658,Numéros!$F$2:$F$3001,0))),""))</f>
        <v/>
      </c>
      <c r="M3658" s="27" t="str">
        <f aca="false">IF(OR(G3658="",G3658="?"),"",IFERROR(INDEX(Pubs!$D$2:$D$3001,MATCH(G3658,Pubs!$A$2:$A$3001,0))&amp;"",""))</f>
        <v/>
      </c>
      <c r="N3658" s="27" t="n">
        <f aca="false">N(N3657)+IF(AND(A3658&lt;&gt;"",OR(Recherche!$C$4="",A3658=Recherche!$C$4),OR(Recherche!$C$5="",B3658&amp;""=Recherche!$C$5&amp;""),OR(Recherche!$C$6="",IFERROR(YEAR(L3658),0)=Recherche!$C$6),OR(Recherche!$C$7="",ISNUMBER(SEARCH(Recherche!$C$7,H3658))),OR(Recherche!$C$8="",J3658=Recherche!$C$8),OR(Recherche!$C$9="",I3658=Recherche!$C$9),OR(Recherche!$C$10="",G3658&amp;""=Recherche!$C$10&amp;""),OR(Recherche!$C$11="",E3658=Recherche!$C$11),OR(Recherche!$C$12="",ISNUMBER(SEARCH(Recherche!$C$12,M3658&amp;" "&amp;F3658)))),1,0)</f>
        <v>8</v>
      </c>
    </row>
    <row r="3659" customFormat="false" ht="15" hidden="false" customHeight="false" outlineLevel="0" collapsed="false">
      <c r="A3659" s="19"/>
      <c r="B3659" s="19"/>
      <c r="C3659" s="19"/>
      <c r="D3659" s="19"/>
      <c r="E3659" s="22"/>
      <c r="F3659" s="19"/>
      <c r="G3659" s="26" t="str">
        <f aca="false">IF(D3659="","",IFERROR(VALUE(LEFT(D3659,FIND(" |",D3659&amp;" |")-1)),"?"))</f>
        <v/>
      </c>
      <c r="H3659" s="27" t="str">
        <f aca="false">IF(G3659="","",IF(G3659="?","⚠ pub inconnue",IFERROR(INDEX(Pubs!$B$2:$B$3001,MATCH(G3659,Pubs!$A$2:$A$3001,0))&amp;"","⚠ pub inconnue")))</f>
        <v/>
      </c>
      <c r="I3659" s="27" t="str">
        <f aca="false">IF(OR(G3659="",G3659="?"),"",IFERROR(INDEX(Pubs!$C$2:$C$3001,MATCH(G3659,Pubs!$A$2:$A$3001,0))&amp;"",""))</f>
        <v/>
      </c>
      <c r="J3659" s="27" t="str">
        <f aca="false">IF(OR(G3659="",G3659="?"),"",IFERROR(INDEX(Pubs!$G$2:$G$3001,MATCH(G3659,Pubs!$A$2:$A$3001,0))&amp;"",""))</f>
        <v/>
      </c>
      <c r="K3659" s="28" t="str">
        <f aca="false">IF(OR(G3659="",G3659="?"),"",IFERROR(INDEX(Pubs!$E$2:$E$3001,MATCH(G3659,Pubs!$A$2:$A$3001,0)),""))</f>
        <v/>
      </c>
      <c r="L3659" s="29" t="str">
        <f aca="false">IF(A3659="","",IFERROR(1/(1/INDEX(Numéros!$C$2:$C$3001,MATCH(A3659&amp;"|"&amp;B3659,Numéros!$F$2:$F$3001,0))),""))</f>
        <v/>
      </c>
      <c r="M3659" s="27" t="str">
        <f aca="false">IF(OR(G3659="",G3659="?"),"",IFERROR(INDEX(Pubs!$D$2:$D$3001,MATCH(G3659,Pubs!$A$2:$A$3001,0))&amp;"",""))</f>
        <v/>
      </c>
      <c r="N3659" s="27" t="n">
        <f aca="false">N(N3658)+IF(AND(A3659&lt;&gt;"",OR(Recherche!$C$4="",A3659=Recherche!$C$4),OR(Recherche!$C$5="",B3659&amp;""=Recherche!$C$5&amp;""),OR(Recherche!$C$6="",IFERROR(YEAR(L3659),0)=Recherche!$C$6),OR(Recherche!$C$7="",ISNUMBER(SEARCH(Recherche!$C$7,H3659))),OR(Recherche!$C$8="",J3659=Recherche!$C$8),OR(Recherche!$C$9="",I3659=Recherche!$C$9),OR(Recherche!$C$10="",G3659&amp;""=Recherche!$C$10&amp;""),OR(Recherche!$C$11="",E3659=Recherche!$C$11),OR(Recherche!$C$12="",ISNUMBER(SEARCH(Recherche!$C$12,M3659&amp;" "&amp;F3659)))),1,0)</f>
        <v>8</v>
      </c>
    </row>
    <row r="3660" customFormat="false" ht="15" hidden="false" customHeight="false" outlineLevel="0" collapsed="false">
      <c r="A3660" s="19"/>
      <c r="B3660" s="19"/>
      <c r="C3660" s="19"/>
      <c r="D3660" s="19"/>
      <c r="E3660" s="22"/>
      <c r="F3660" s="19"/>
      <c r="G3660" s="26" t="str">
        <f aca="false">IF(D3660="","",IFERROR(VALUE(LEFT(D3660,FIND(" |",D3660&amp;" |")-1)),"?"))</f>
        <v/>
      </c>
      <c r="H3660" s="27" t="str">
        <f aca="false">IF(G3660="","",IF(G3660="?","⚠ pub inconnue",IFERROR(INDEX(Pubs!$B$2:$B$3001,MATCH(G3660,Pubs!$A$2:$A$3001,0))&amp;"","⚠ pub inconnue")))</f>
        <v/>
      </c>
      <c r="I3660" s="27" t="str">
        <f aca="false">IF(OR(G3660="",G3660="?"),"",IFERROR(INDEX(Pubs!$C$2:$C$3001,MATCH(G3660,Pubs!$A$2:$A$3001,0))&amp;"",""))</f>
        <v/>
      </c>
      <c r="J3660" s="27" t="str">
        <f aca="false">IF(OR(G3660="",G3660="?"),"",IFERROR(INDEX(Pubs!$G$2:$G$3001,MATCH(G3660,Pubs!$A$2:$A$3001,0))&amp;"",""))</f>
        <v/>
      </c>
      <c r="K3660" s="28" t="str">
        <f aca="false">IF(OR(G3660="",G3660="?"),"",IFERROR(INDEX(Pubs!$E$2:$E$3001,MATCH(G3660,Pubs!$A$2:$A$3001,0)),""))</f>
        <v/>
      </c>
      <c r="L3660" s="29" t="str">
        <f aca="false">IF(A3660="","",IFERROR(1/(1/INDEX(Numéros!$C$2:$C$3001,MATCH(A3660&amp;"|"&amp;B3660,Numéros!$F$2:$F$3001,0))),""))</f>
        <v/>
      </c>
      <c r="M3660" s="27" t="str">
        <f aca="false">IF(OR(G3660="",G3660="?"),"",IFERROR(INDEX(Pubs!$D$2:$D$3001,MATCH(G3660,Pubs!$A$2:$A$3001,0))&amp;"",""))</f>
        <v/>
      </c>
      <c r="N3660" s="27" t="n">
        <f aca="false">N(N3659)+IF(AND(A3660&lt;&gt;"",OR(Recherche!$C$4="",A3660=Recherche!$C$4),OR(Recherche!$C$5="",B3660&amp;""=Recherche!$C$5&amp;""),OR(Recherche!$C$6="",IFERROR(YEAR(L3660),0)=Recherche!$C$6),OR(Recherche!$C$7="",ISNUMBER(SEARCH(Recherche!$C$7,H3660))),OR(Recherche!$C$8="",J3660=Recherche!$C$8),OR(Recherche!$C$9="",I3660=Recherche!$C$9),OR(Recherche!$C$10="",G3660&amp;""=Recherche!$C$10&amp;""),OR(Recherche!$C$11="",E3660=Recherche!$C$11),OR(Recherche!$C$12="",ISNUMBER(SEARCH(Recherche!$C$12,M3660&amp;" "&amp;F3660)))),1,0)</f>
        <v>8</v>
      </c>
    </row>
    <row r="3661" customFormat="false" ht="15" hidden="false" customHeight="false" outlineLevel="0" collapsed="false">
      <c r="A3661" s="19"/>
      <c r="B3661" s="19"/>
      <c r="C3661" s="19"/>
      <c r="D3661" s="19"/>
      <c r="E3661" s="22"/>
      <c r="F3661" s="19"/>
      <c r="G3661" s="26" t="str">
        <f aca="false">IF(D3661="","",IFERROR(VALUE(LEFT(D3661,FIND(" |",D3661&amp;" |")-1)),"?"))</f>
        <v/>
      </c>
      <c r="H3661" s="27" t="str">
        <f aca="false">IF(G3661="","",IF(G3661="?","⚠ pub inconnue",IFERROR(INDEX(Pubs!$B$2:$B$3001,MATCH(G3661,Pubs!$A$2:$A$3001,0))&amp;"","⚠ pub inconnue")))</f>
        <v/>
      </c>
      <c r="I3661" s="27" t="str">
        <f aca="false">IF(OR(G3661="",G3661="?"),"",IFERROR(INDEX(Pubs!$C$2:$C$3001,MATCH(G3661,Pubs!$A$2:$A$3001,0))&amp;"",""))</f>
        <v/>
      </c>
      <c r="J3661" s="27" t="str">
        <f aca="false">IF(OR(G3661="",G3661="?"),"",IFERROR(INDEX(Pubs!$G$2:$G$3001,MATCH(G3661,Pubs!$A$2:$A$3001,0))&amp;"",""))</f>
        <v/>
      </c>
      <c r="K3661" s="28" t="str">
        <f aca="false">IF(OR(G3661="",G3661="?"),"",IFERROR(INDEX(Pubs!$E$2:$E$3001,MATCH(G3661,Pubs!$A$2:$A$3001,0)),""))</f>
        <v/>
      </c>
      <c r="L3661" s="29" t="str">
        <f aca="false">IF(A3661="","",IFERROR(1/(1/INDEX(Numéros!$C$2:$C$3001,MATCH(A3661&amp;"|"&amp;B3661,Numéros!$F$2:$F$3001,0))),""))</f>
        <v/>
      </c>
      <c r="M3661" s="27" t="str">
        <f aca="false">IF(OR(G3661="",G3661="?"),"",IFERROR(INDEX(Pubs!$D$2:$D$3001,MATCH(G3661,Pubs!$A$2:$A$3001,0))&amp;"",""))</f>
        <v/>
      </c>
      <c r="N3661" s="27" t="n">
        <f aca="false">N(N3660)+IF(AND(A3661&lt;&gt;"",OR(Recherche!$C$4="",A3661=Recherche!$C$4),OR(Recherche!$C$5="",B3661&amp;""=Recherche!$C$5&amp;""),OR(Recherche!$C$6="",IFERROR(YEAR(L3661),0)=Recherche!$C$6),OR(Recherche!$C$7="",ISNUMBER(SEARCH(Recherche!$C$7,H3661))),OR(Recherche!$C$8="",J3661=Recherche!$C$8),OR(Recherche!$C$9="",I3661=Recherche!$C$9),OR(Recherche!$C$10="",G3661&amp;""=Recherche!$C$10&amp;""),OR(Recherche!$C$11="",E3661=Recherche!$C$11),OR(Recherche!$C$12="",ISNUMBER(SEARCH(Recherche!$C$12,M3661&amp;" "&amp;F3661)))),1,0)</f>
        <v>8</v>
      </c>
    </row>
    <row r="3662" customFormat="false" ht="15" hidden="false" customHeight="false" outlineLevel="0" collapsed="false">
      <c r="A3662" s="19"/>
      <c r="B3662" s="19"/>
      <c r="C3662" s="19"/>
      <c r="D3662" s="19"/>
      <c r="E3662" s="22"/>
      <c r="F3662" s="19"/>
      <c r="G3662" s="26" t="str">
        <f aca="false">IF(D3662="","",IFERROR(VALUE(LEFT(D3662,FIND(" |",D3662&amp;" |")-1)),"?"))</f>
        <v/>
      </c>
      <c r="H3662" s="27" t="str">
        <f aca="false">IF(G3662="","",IF(G3662="?","⚠ pub inconnue",IFERROR(INDEX(Pubs!$B$2:$B$3001,MATCH(G3662,Pubs!$A$2:$A$3001,0))&amp;"","⚠ pub inconnue")))</f>
        <v/>
      </c>
      <c r="I3662" s="27" t="str">
        <f aca="false">IF(OR(G3662="",G3662="?"),"",IFERROR(INDEX(Pubs!$C$2:$C$3001,MATCH(G3662,Pubs!$A$2:$A$3001,0))&amp;"",""))</f>
        <v/>
      </c>
      <c r="J3662" s="27" t="str">
        <f aca="false">IF(OR(G3662="",G3662="?"),"",IFERROR(INDEX(Pubs!$G$2:$G$3001,MATCH(G3662,Pubs!$A$2:$A$3001,0))&amp;"",""))</f>
        <v/>
      </c>
      <c r="K3662" s="28" t="str">
        <f aca="false">IF(OR(G3662="",G3662="?"),"",IFERROR(INDEX(Pubs!$E$2:$E$3001,MATCH(G3662,Pubs!$A$2:$A$3001,0)),""))</f>
        <v/>
      </c>
      <c r="L3662" s="29" t="str">
        <f aca="false">IF(A3662="","",IFERROR(1/(1/INDEX(Numéros!$C$2:$C$3001,MATCH(A3662&amp;"|"&amp;B3662,Numéros!$F$2:$F$3001,0))),""))</f>
        <v/>
      </c>
      <c r="M3662" s="27" t="str">
        <f aca="false">IF(OR(G3662="",G3662="?"),"",IFERROR(INDEX(Pubs!$D$2:$D$3001,MATCH(G3662,Pubs!$A$2:$A$3001,0))&amp;"",""))</f>
        <v/>
      </c>
      <c r="N3662" s="27" t="n">
        <f aca="false">N(N3661)+IF(AND(A3662&lt;&gt;"",OR(Recherche!$C$4="",A3662=Recherche!$C$4),OR(Recherche!$C$5="",B3662&amp;""=Recherche!$C$5&amp;""),OR(Recherche!$C$6="",IFERROR(YEAR(L3662),0)=Recherche!$C$6),OR(Recherche!$C$7="",ISNUMBER(SEARCH(Recherche!$C$7,H3662))),OR(Recherche!$C$8="",J3662=Recherche!$C$8),OR(Recherche!$C$9="",I3662=Recherche!$C$9),OR(Recherche!$C$10="",G3662&amp;""=Recherche!$C$10&amp;""),OR(Recherche!$C$11="",E3662=Recherche!$C$11),OR(Recherche!$C$12="",ISNUMBER(SEARCH(Recherche!$C$12,M3662&amp;" "&amp;F3662)))),1,0)</f>
        <v>8</v>
      </c>
    </row>
    <row r="3663" customFormat="false" ht="15" hidden="false" customHeight="false" outlineLevel="0" collapsed="false">
      <c r="A3663" s="19"/>
      <c r="B3663" s="19"/>
      <c r="C3663" s="19"/>
      <c r="D3663" s="19"/>
      <c r="E3663" s="22"/>
      <c r="F3663" s="19"/>
      <c r="G3663" s="26" t="str">
        <f aca="false">IF(D3663="","",IFERROR(VALUE(LEFT(D3663,FIND(" |",D3663&amp;" |")-1)),"?"))</f>
        <v/>
      </c>
      <c r="H3663" s="27" t="str">
        <f aca="false">IF(G3663="","",IF(G3663="?","⚠ pub inconnue",IFERROR(INDEX(Pubs!$B$2:$B$3001,MATCH(G3663,Pubs!$A$2:$A$3001,0))&amp;"","⚠ pub inconnue")))</f>
        <v/>
      </c>
      <c r="I3663" s="27" t="str">
        <f aca="false">IF(OR(G3663="",G3663="?"),"",IFERROR(INDEX(Pubs!$C$2:$C$3001,MATCH(G3663,Pubs!$A$2:$A$3001,0))&amp;"",""))</f>
        <v/>
      </c>
      <c r="J3663" s="27" t="str">
        <f aca="false">IF(OR(G3663="",G3663="?"),"",IFERROR(INDEX(Pubs!$G$2:$G$3001,MATCH(G3663,Pubs!$A$2:$A$3001,0))&amp;"",""))</f>
        <v/>
      </c>
      <c r="K3663" s="28" t="str">
        <f aca="false">IF(OR(G3663="",G3663="?"),"",IFERROR(INDEX(Pubs!$E$2:$E$3001,MATCH(G3663,Pubs!$A$2:$A$3001,0)),""))</f>
        <v/>
      </c>
      <c r="L3663" s="29" t="str">
        <f aca="false">IF(A3663="","",IFERROR(1/(1/INDEX(Numéros!$C$2:$C$3001,MATCH(A3663&amp;"|"&amp;B3663,Numéros!$F$2:$F$3001,0))),""))</f>
        <v/>
      </c>
      <c r="M3663" s="27" t="str">
        <f aca="false">IF(OR(G3663="",G3663="?"),"",IFERROR(INDEX(Pubs!$D$2:$D$3001,MATCH(G3663,Pubs!$A$2:$A$3001,0))&amp;"",""))</f>
        <v/>
      </c>
      <c r="N3663" s="27" t="n">
        <f aca="false">N(N3662)+IF(AND(A3663&lt;&gt;"",OR(Recherche!$C$4="",A3663=Recherche!$C$4),OR(Recherche!$C$5="",B3663&amp;""=Recherche!$C$5&amp;""),OR(Recherche!$C$6="",IFERROR(YEAR(L3663),0)=Recherche!$C$6),OR(Recherche!$C$7="",ISNUMBER(SEARCH(Recherche!$C$7,H3663))),OR(Recherche!$C$8="",J3663=Recherche!$C$8),OR(Recherche!$C$9="",I3663=Recherche!$C$9),OR(Recherche!$C$10="",G3663&amp;""=Recherche!$C$10&amp;""),OR(Recherche!$C$11="",E3663=Recherche!$C$11),OR(Recherche!$C$12="",ISNUMBER(SEARCH(Recherche!$C$12,M3663&amp;" "&amp;F3663)))),1,0)</f>
        <v>8</v>
      </c>
    </row>
    <row r="3664" customFormat="false" ht="15" hidden="false" customHeight="false" outlineLevel="0" collapsed="false">
      <c r="A3664" s="19"/>
      <c r="B3664" s="19"/>
      <c r="C3664" s="19"/>
      <c r="D3664" s="19"/>
      <c r="E3664" s="22"/>
      <c r="F3664" s="19"/>
      <c r="G3664" s="26" t="str">
        <f aca="false">IF(D3664="","",IFERROR(VALUE(LEFT(D3664,FIND(" |",D3664&amp;" |")-1)),"?"))</f>
        <v/>
      </c>
      <c r="H3664" s="27" t="str">
        <f aca="false">IF(G3664="","",IF(G3664="?","⚠ pub inconnue",IFERROR(INDEX(Pubs!$B$2:$B$3001,MATCH(G3664,Pubs!$A$2:$A$3001,0))&amp;"","⚠ pub inconnue")))</f>
        <v/>
      </c>
      <c r="I3664" s="27" t="str">
        <f aca="false">IF(OR(G3664="",G3664="?"),"",IFERROR(INDEX(Pubs!$C$2:$C$3001,MATCH(G3664,Pubs!$A$2:$A$3001,0))&amp;"",""))</f>
        <v/>
      </c>
      <c r="J3664" s="27" t="str">
        <f aca="false">IF(OR(G3664="",G3664="?"),"",IFERROR(INDEX(Pubs!$G$2:$G$3001,MATCH(G3664,Pubs!$A$2:$A$3001,0))&amp;"",""))</f>
        <v/>
      </c>
      <c r="K3664" s="28" t="str">
        <f aca="false">IF(OR(G3664="",G3664="?"),"",IFERROR(INDEX(Pubs!$E$2:$E$3001,MATCH(G3664,Pubs!$A$2:$A$3001,0)),""))</f>
        <v/>
      </c>
      <c r="L3664" s="29" t="str">
        <f aca="false">IF(A3664="","",IFERROR(1/(1/INDEX(Numéros!$C$2:$C$3001,MATCH(A3664&amp;"|"&amp;B3664,Numéros!$F$2:$F$3001,0))),""))</f>
        <v/>
      </c>
      <c r="M3664" s="27" t="str">
        <f aca="false">IF(OR(G3664="",G3664="?"),"",IFERROR(INDEX(Pubs!$D$2:$D$3001,MATCH(G3664,Pubs!$A$2:$A$3001,0))&amp;"",""))</f>
        <v/>
      </c>
      <c r="N3664" s="27" t="n">
        <f aca="false">N(N3663)+IF(AND(A3664&lt;&gt;"",OR(Recherche!$C$4="",A3664=Recherche!$C$4),OR(Recherche!$C$5="",B3664&amp;""=Recherche!$C$5&amp;""),OR(Recherche!$C$6="",IFERROR(YEAR(L3664),0)=Recherche!$C$6),OR(Recherche!$C$7="",ISNUMBER(SEARCH(Recherche!$C$7,H3664))),OR(Recherche!$C$8="",J3664=Recherche!$C$8),OR(Recherche!$C$9="",I3664=Recherche!$C$9),OR(Recherche!$C$10="",G3664&amp;""=Recherche!$C$10&amp;""),OR(Recherche!$C$11="",E3664=Recherche!$C$11),OR(Recherche!$C$12="",ISNUMBER(SEARCH(Recherche!$C$12,M3664&amp;" "&amp;F3664)))),1,0)</f>
        <v>8</v>
      </c>
    </row>
    <row r="3665" customFormat="false" ht="15" hidden="false" customHeight="false" outlineLevel="0" collapsed="false">
      <c r="A3665" s="19"/>
      <c r="B3665" s="19"/>
      <c r="C3665" s="19"/>
      <c r="D3665" s="19"/>
      <c r="E3665" s="22"/>
      <c r="F3665" s="19"/>
      <c r="G3665" s="26" t="str">
        <f aca="false">IF(D3665="","",IFERROR(VALUE(LEFT(D3665,FIND(" |",D3665&amp;" |")-1)),"?"))</f>
        <v/>
      </c>
      <c r="H3665" s="27" t="str">
        <f aca="false">IF(G3665="","",IF(G3665="?","⚠ pub inconnue",IFERROR(INDEX(Pubs!$B$2:$B$3001,MATCH(G3665,Pubs!$A$2:$A$3001,0))&amp;"","⚠ pub inconnue")))</f>
        <v/>
      </c>
      <c r="I3665" s="27" t="str">
        <f aca="false">IF(OR(G3665="",G3665="?"),"",IFERROR(INDEX(Pubs!$C$2:$C$3001,MATCH(G3665,Pubs!$A$2:$A$3001,0))&amp;"",""))</f>
        <v/>
      </c>
      <c r="J3665" s="27" t="str">
        <f aca="false">IF(OR(G3665="",G3665="?"),"",IFERROR(INDEX(Pubs!$G$2:$G$3001,MATCH(G3665,Pubs!$A$2:$A$3001,0))&amp;"",""))</f>
        <v/>
      </c>
      <c r="K3665" s="28" t="str">
        <f aca="false">IF(OR(G3665="",G3665="?"),"",IFERROR(INDEX(Pubs!$E$2:$E$3001,MATCH(G3665,Pubs!$A$2:$A$3001,0)),""))</f>
        <v/>
      </c>
      <c r="L3665" s="29" t="str">
        <f aca="false">IF(A3665="","",IFERROR(1/(1/INDEX(Numéros!$C$2:$C$3001,MATCH(A3665&amp;"|"&amp;B3665,Numéros!$F$2:$F$3001,0))),""))</f>
        <v/>
      </c>
      <c r="M3665" s="27" t="str">
        <f aca="false">IF(OR(G3665="",G3665="?"),"",IFERROR(INDEX(Pubs!$D$2:$D$3001,MATCH(G3665,Pubs!$A$2:$A$3001,0))&amp;"",""))</f>
        <v/>
      </c>
      <c r="N3665" s="27" t="n">
        <f aca="false">N(N3664)+IF(AND(A3665&lt;&gt;"",OR(Recherche!$C$4="",A3665=Recherche!$C$4),OR(Recherche!$C$5="",B3665&amp;""=Recherche!$C$5&amp;""),OR(Recherche!$C$6="",IFERROR(YEAR(L3665),0)=Recherche!$C$6),OR(Recherche!$C$7="",ISNUMBER(SEARCH(Recherche!$C$7,H3665))),OR(Recherche!$C$8="",J3665=Recherche!$C$8),OR(Recherche!$C$9="",I3665=Recherche!$C$9),OR(Recherche!$C$10="",G3665&amp;""=Recherche!$C$10&amp;""),OR(Recherche!$C$11="",E3665=Recherche!$C$11),OR(Recherche!$C$12="",ISNUMBER(SEARCH(Recherche!$C$12,M3665&amp;" "&amp;F3665)))),1,0)</f>
        <v>8</v>
      </c>
    </row>
    <row r="3666" customFormat="false" ht="15" hidden="false" customHeight="false" outlineLevel="0" collapsed="false">
      <c r="A3666" s="19"/>
      <c r="B3666" s="19"/>
      <c r="C3666" s="19"/>
      <c r="D3666" s="19"/>
      <c r="E3666" s="22"/>
      <c r="F3666" s="19"/>
      <c r="G3666" s="26" t="str">
        <f aca="false">IF(D3666="","",IFERROR(VALUE(LEFT(D3666,FIND(" |",D3666&amp;" |")-1)),"?"))</f>
        <v/>
      </c>
      <c r="H3666" s="27" t="str">
        <f aca="false">IF(G3666="","",IF(G3666="?","⚠ pub inconnue",IFERROR(INDEX(Pubs!$B$2:$B$3001,MATCH(G3666,Pubs!$A$2:$A$3001,0))&amp;"","⚠ pub inconnue")))</f>
        <v/>
      </c>
      <c r="I3666" s="27" t="str">
        <f aca="false">IF(OR(G3666="",G3666="?"),"",IFERROR(INDEX(Pubs!$C$2:$C$3001,MATCH(G3666,Pubs!$A$2:$A$3001,0))&amp;"",""))</f>
        <v/>
      </c>
      <c r="J3666" s="27" t="str">
        <f aca="false">IF(OR(G3666="",G3666="?"),"",IFERROR(INDEX(Pubs!$G$2:$G$3001,MATCH(G3666,Pubs!$A$2:$A$3001,0))&amp;"",""))</f>
        <v/>
      </c>
      <c r="K3666" s="28" t="str">
        <f aca="false">IF(OR(G3666="",G3666="?"),"",IFERROR(INDEX(Pubs!$E$2:$E$3001,MATCH(G3666,Pubs!$A$2:$A$3001,0)),""))</f>
        <v/>
      </c>
      <c r="L3666" s="29" t="str">
        <f aca="false">IF(A3666="","",IFERROR(1/(1/INDEX(Numéros!$C$2:$C$3001,MATCH(A3666&amp;"|"&amp;B3666,Numéros!$F$2:$F$3001,0))),""))</f>
        <v/>
      </c>
      <c r="M3666" s="27" t="str">
        <f aca="false">IF(OR(G3666="",G3666="?"),"",IFERROR(INDEX(Pubs!$D$2:$D$3001,MATCH(G3666,Pubs!$A$2:$A$3001,0))&amp;"",""))</f>
        <v/>
      </c>
      <c r="N3666" s="27" t="n">
        <f aca="false">N(N3665)+IF(AND(A3666&lt;&gt;"",OR(Recherche!$C$4="",A3666=Recherche!$C$4),OR(Recherche!$C$5="",B3666&amp;""=Recherche!$C$5&amp;""),OR(Recherche!$C$6="",IFERROR(YEAR(L3666),0)=Recherche!$C$6),OR(Recherche!$C$7="",ISNUMBER(SEARCH(Recherche!$C$7,H3666))),OR(Recherche!$C$8="",J3666=Recherche!$C$8),OR(Recherche!$C$9="",I3666=Recherche!$C$9),OR(Recherche!$C$10="",G3666&amp;""=Recherche!$C$10&amp;""),OR(Recherche!$C$11="",E3666=Recherche!$C$11),OR(Recherche!$C$12="",ISNUMBER(SEARCH(Recherche!$C$12,M3666&amp;" "&amp;F3666)))),1,0)</f>
        <v>8</v>
      </c>
    </row>
    <row r="3667" customFormat="false" ht="15" hidden="false" customHeight="false" outlineLevel="0" collapsed="false">
      <c r="A3667" s="19"/>
      <c r="B3667" s="19"/>
      <c r="C3667" s="19"/>
      <c r="D3667" s="19"/>
      <c r="E3667" s="22"/>
      <c r="F3667" s="19"/>
      <c r="G3667" s="26" t="str">
        <f aca="false">IF(D3667="","",IFERROR(VALUE(LEFT(D3667,FIND(" |",D3667&amp;" |")-1)),"?"))</f>
        <v/>
      </c>
      <c r="H3667" s="27" t="str">
        <f aca="false">IF(G3667="","",IF(G3667="?","⚠ pub inconnue",IFERROR(INDEX(Pubs!$B$2:$B$3001,MATCH(G3667,Pubs!$A$2:$A$3001,0))&amp;"","⚠ pub inconnue")))</f>
        <v/>
      </c>
      <c r="I3667" s="27" t="str">
        <f aca="false">IF(OR(G3667="",G3667="?"),"",IFERROR(INDEX(Pubs!$C$2:$C$3001,MATCH(G3667,Pubs!$A$2:$A$3001,0))&amp;"",""))</f>
        <v/>
      </c>
      <c r="J3667" s="27" t="str">
        <f aca="false">IF(OR(G3667="",G3667="?"),"",IFERROR(INDEX(Pubs!$G$2:$G$3001,MATCH(G3667,Pubs!$A$2:$A$3001,0))&amp;"",""))</f>
        <v/>
      </c>
      <c r="K3667" s="28" t="str">
        <f aca="false">IF(OR(G3667="",G3667="?"),"",IFERROR(INDEX(Pubs!$E$2:$E$3001,MATCH(G3667,Pubs!$A$2:$A$3001,0)),""))</f>
        <v/>
      </c>
      <c r="L3667" s="29" t="str">
        <f aca="false">IF(A3667="","",IFERROR(1/(1/INDEX(Numéros!$C$2:$C$3001,MATCH(A3667&amp;"|"&amp;B3667,Numéros!$F$2:$F$3001,0))),""))</f>
        <v/>
      </c>
      <c r="M3667" s="27" t="str">
        <f aca="false">IF(OR(G3667="",G3667="?"),"",IFERROR(INDEX(Pubs!$D$2:$D$3001,MATCH(G3667,Pubs!$A$2:$A$3001,0))&amp;"",""))</f>
        <v/>
      </c>
      <c r="N3667" s="27" t="n">
        <f aca="false">N(N3666)+IF(AND(A3667&lt;&gt;"",OR(Recherche!$C$4="",A3667=Recherche!$C$4),OR(Recherche!$C$5="",B3667&amp;""=Recherche!$C$5&amp;""),OR(Recherche!$C$6="",IFERROR(YEAR(L3667),0)=Recherche!$C$6),OR(Recherche!$C$7="",ISNUMBER(SEARCH(Recherche!$C$7,H3667))),OR(Recherche!$C$8="",J3667=Recherche!$C$8),OR(Recherche!$C$9="",I3667=Recherche!$C$9),OR(Recherche!$C$10="",G3667&amp;""=Recherche!$C$10&amp;""),OR(Recherche!$C$11="",E3667=Recherche!$C$11),OR(Recherche!$C$12="",ISNUMBER(SEARCH(Recherche!$C$12,M3667&amp;" "&amp;F3667)))),1,0)</f>
        <v>8</v>
      </c>
    </row>
    <row r="3668" customFormat="false" ht="15" hidden="false" customHeight="false" outlineLevel="0" collapsed="false">
      <c r="A3668" s="19"/>
      <c r="B3668" s="19"/>
      <c r="C3668" s="19"/>
      <c r="D3668" s="19"/>
      <c r="E3668" s="22"/>
      <c r="F3668" s="19"/>
      <c r="G3668" s="26" t="str">
        <f aca="false">IF(D3668="","",IFERROR(VALUE(LEFT(D3668,FIND(" |",D3668&amp;" |")-1)),"?"))</f>
        <v/>
      </c>
      <c r="H3668" s="27" t="str">
        <f aca="false">IF(G3668="","",IF(G3668="?","⚠ pub inconnue",IFERROR(INDEX(Pubs!$B$2:$B$3001,MATCH(G3668,Pubs!$A$2:$A$3001,0))&amp;"","⚠ pub inconnue")))</f>
        <v/>
      </c>
      <c r="I3668" s="27" t="str">
        <f aca="false">IF(OR(G3668="",G3668="?"),"",IFERROR(INDEX(Pubs!$C$2:$C$3001,MATCH(G3668,Pubs!$A$2:$A$3001,0))&amp;"",""))</f>
        <v/>
      </c>
      <c r="J3668" s="27" t="str">
        <f aca="false">IF(OR(G3668="",G3668="?"),"",IFERROR(INDEX(Pubs!$G$2:$G$3001,MATCH(G3668,Pubs!$A$2:$A$3001,0))&amp;"",""))</f>
        <v/>
      </c>
      <c r="K3668" s="28" t="str">
        <f aca="false">IF(OR(G3668="",G3668="?"),"",IFERROR(INDEX(Pubs!$E$2:$E$3001,MATCH(G3668,Pubs!$A$2:$A$3001,0)),""))</f>
        <v/>
      </c>
      <c r="L3668" s="29" t="str">
        <f aca="false">IF(A3668="","",IFERROR(1/(1/INDEX(Numéros!$C$2:$C$3001,MATCH(A3668&amp;"|"&amp;B3668,Numéros!$F$2:$F$3001,0))),""))</f>
        <v/>
      </c>
      <c r="M3668" s="27" t="str">
        <f aca="false">IF(OR(G3668="",G3668="?"),"",IFERROR(INDEX(Pubs!$D$2:$D$3001,MATCH(G3668,Pubs!$A$2:$A$3001,0))&amp;"",""))</f>
        <v/>
      </c>
      <c r="N3668" s="27" t="n">
        <f aca="false">N(N3667)+IF(AND(A3668&lt;&gt;"",OR(Recherche!$C$4="",A3668=Recherche!$C$4),OR(Recherche!$C$5="",B3668&amp;""=Recherche!$C$5&amp;""),OR(Recherche!$C$6="",IFERROR(YEAR(L3668),0)=Recherche!$C$6),OR(Recherche!$C$7="",ISNUMBER(SEARCH(Recherche!$C$7,H3668))),OR(Recherche!$C$8="",J3668=Recherche!$C$8),OR(Recherche!$C$9="",I3668=Recherche!$C$9),OR(Recherche!$C$10="",G3668&amp;""=Recherche!$C$10&amp;""),OR(Recherche!$C$11="",E3668=Recherche!$C$11),OR(Recherche!$C$12="",ISNUMBER(SEARCH(Recherche!$C$12,M3668&amp;" "&amp;F3668)))),1,0)</f>
        <v>8</v>
      </c>
    </row>
    <row r="3669" customFormat="false" ht="15" hidden="false" customHeight="false" outlineLevel="0" collapsed="false">
      <c r="A3669" s="19"/>
      <c r="B3669" s="19"/>
      <c r="C3669" s="19"/>
      <c r="D3669" s="19"/>
      <c r="E3669" s="22"/>
      <c r="F3669" s="19"/>
      <c r="G3669" s="26" t="str">
        <f aca="false">IF(D3669="","",IFERROR(VALUE(LEFT(D3669,FIND(" |",D3669&amp;" |")-1)),"?"))</f>
        <v/>
      </c>
      <c r="H3669" s="27" t="str">
        <f aca="false">IF(G3669="","",IF(G3669="?","⚠ pub inconnue",IFERROR(INDEX(Pubs!$B$2:$B$3001,MATCH(G3669,Pubs!$A$2:$A$3001,0))&amp;"","⚠ pub inconnue")))</f>
        <v/>
      </c>
      <c r="I3669" s="27" t="str">
        <f aca="false">IF(OR(G3669="",G3669="?"),"",IFERROR(INDEX(Pubs!$C$2:$C$3001,MATCH(G3669,Pubs!$A$2:$A$3001,0))&amp;"",""))</f>
        <v/>
      </c>
      <c r="J3669" s="27" t="str">
        <f aca="false">IF(OR(G3669="",G3669="?"),"",IFERROR(INDEX(Pubs!$G$2:$G$3001,MATCH(G3669,Pubs!$A$2:$A$3001,0))&amp;"",""))</f>
        <v/>
      </c>
      <c r="K3669" s="28" t="str">
        <f aca="false">IF(OR(G3669="",G3669="?"),"",IFERROR(INDEX(Pubs!$E$2:$E$3001,MATCH(G3669,Pubs!$A$2:$A$3001,0)),""))</f>
        <v/>
      </c>
      <c r="L3669" s="29" t="str">
        <f aca="false">IF(A3669="","",IFERROR(1/(1/INDEX(Numéros!$C$2:$C$3001,MATCH(A3669&amp;"|"&amp;B3669,Numéros!$F$2:$F$3001,0))),""))</f>
        <v/>
      </c>
      <c r="M3669" s="27" t="str">
        <f aca="false">IF(OR(G3669="",G3669="?"),"",IFERROR(INDEX(Pubs!$D$2:$D$3001,MATCH(G3669,Pubs!$A$2:$A$3001,0))&amp;"",""))</f>
        <v/>
      </c>
      <c r="N3669" s="27" t="n">
        <f aca="false">N(N3668)+IF(AND(A3669&lt;&gt;"",OR(Recherche!$C$4="",A3669=Recherche!$C$4),OR(Recherche!$C$5="",B3669&amp;""=Recherche!$C$5&amp;""),OR(Recherche!$C$6="",IFERROR(YEAR(L3669),0)=Recherche!$C$6),OR(Recherche!$C$7="",ISNUMBER(SEARCH(Recherche!$C$7,H3669))),OR(Recherche!$C$8="",J3669=Recherche!$C$8),OR(Recherche!$C$9="",I3669=Recherche!$C$9),OR(Recherche!$C$10="",G3669&amp;""=Recherche!$C$10&amp;""),OR(Recherche!$C$11="",E3669=Recherche!$C$11),OR(Recherche!$C$12="",ISNUMBER(SEARCH(Recherche!$C$12,M3669&amp;" "&amp;F3669)))),1,0)</f>
        <v>8</v>
      </c>
    </row>
    <row r="3670" customFormat="false" ht="15" hidden="false" customHeight="false" outlineLevel="0" collapsed="false">
      <c r="A3670" s="19"/>
      <c r="B3670" s="19"/>
      <c r="C3670" s="19"/>
      <c r="D3670" s="19"/>
      <c r="E3670" s="22"/>
      <c r="F3670" s="19"/>
      <c r="G3670" s="26" t="str">
        <f aca="false">IF(D3670="","",IFERROR(VALUE(LEFT(D3670,FIND(" |",D3670&amp;" |")-1)),"?"))</f>
        <v/>
      </c>
      <c r="H3670" s="27" t="str">
        <f aca="false">IF(G3670="","",IF(G3670="?","⚠ pub inconnue",IFERROR(INDEX(Pubs!$B$2:$B$3001,MATCH(G3670,Pubs!$A$2:$A$3001,0))&amp;"","⚠ pub inconnue")))</f>
        <v/>
      </c>
      <c r="I3670" s="27" t="str">
        <f aca="false">IF(OR(G3670="",G3670="?"),"",IFERROR(INDEX(Pubs!$C$2:$C$3001,MATCH(G3670,Pubs!$A$2:$A$3001,0))&amp;"",""))</f>
        <v/>
      </c>
      <c r="J3670" s="27" t="str">
        <f aca="false">IF(OR(G3670="",G3670="?"),"",IFERROR(INDEX(Pubs!$G$2:$G$3001,MATCH(G3670,Pubs!$A$2:$A$3001,0))&amp;"",""))</f>
        <v/>
      </c>
      <c r="K3670" s="28" t="str">
        <f aca="false">IF(OR(G3670="",G3670="?"),"",IFERROR(INDEX(Pubs!$E$2:$E$3001,MATCH(G3670,Pubs!$A$2:$A$3001,0)),""))</f>
        <v/>
      </c>
      <c r="L3670" s="29" t="str">
        <f aca="false">IF(A3670="","",IFERROR(1/(1/INDEX(Numéros!$C$2:$C$3001,MATCH(A3670&amp;"|"&amp;B3670,Numéros!$F$2:$F$3001,0))),""))</f>
        <v/>
      </c>
      <c r="M3670" s="27" t="str">
        <f aca="false">IF(OR(G3670="",G3670="?"),"",IFERROR(INDEX(Pubs!$D$2:$D$3001,MATCH(G3670,Pubs!$A$2:$A$3001,0))&amp;"",""))</f>
        <v/>
      </c>
      <c r="N3670" s="27" t="n">
        <f aca="false">N(N3669)+IF(AND(A3670&lt;&gt;"",OR(Recherche!$C$4="",A3670=Recherche!$C$4),OR(Recherche!$C$5="",B3670&amp;""=Recherche!$C$5&amp;""),OR(Recherche!$C$6="",IFERROR(YEAR(L3670),0)=Recherche!$C$6),OR(Recherche!$C$7="",ISNUMBER(SEARCH(Recherche!$C$7,H3670))),OR(Recherche!$C$8="",J3670=Recherche!$C$8),OR(Recherche!$C$9="",I3670=Recherche!$C$9),OR(Recherche!$C$10="",G3670&amp;""=Recherche!$C$10&amp;""),OR(Recherche!$C$11="",E3670=Recherche!$C$11),OR(Recherche!$C$12="",ISNUMBER(SEARCH(Recherche!$C$12,M3670&amp;" "&amp;F3670)))),1,0)</f>
        <v>8</v>
      </c>
    </row>
    <row r="3671" customFormat="false" ht="15" hidden="false" customHeight="false" outlineLevel="0" collapsed="false">
      <c r="A3671" s="19"/>
      <c r="B3671" s="19"/>
      <c r="C3671" s="19"/>
      <c r="D3671" s="19"/>
      <c r="E3671" s="22"/>
      <c r="F3671" s="19"/>
      <c r="G3671" s="26" t="str">
        <f aca="false">IF(D3671="","",IFERROR(VALUE(LEFT(D3671,FIND(" |",D3671&amp;" |")-1)),"?"))</f>
        <v/>
      </c>
      <c r="H3671" s="27" t="str">
        <f aca="false">IF(G3671="","",IF(G3671="?","⚠ pub inconnue",IFERROR(INDEX(Pubs!$B$2:$B$3001,MATCH(G3671,Pubs!$A$2:$A$3001,0))&amp;"","⚠ pub inconnue")))</f>
        <v/>
      </c>
      <c r="I3671" s="27" t="str">
        <f aca="false">IF(OR(G3671="",G3671="?"),"",IFERROR(INDEX(Pubs!$C$2:$C$3001,MATCH(G3671,Pubs!$A$2:$A$3001,0))&amp;"",""))</f>
        <v/>
      </c>
      <c r="J3671" s="27" t="str">
        <f aca="false">IF(OR(G3671="",G3671="?"),"",IFERROR(INDEX(Pubs!$G$2:$G$3001,MATCH(G3671,Pubs!$A$2:$A$3001,0))&amp;"",""))</f>
        <v/>
      </c>
      <c r="K3671" s="28" t="str">
        <f aca="false">IF(OR(G3671="",G3671="?"),"",IFERROR(INDEX(Pubs!$E$2:$E$3001,MATCH(G3671,Pubs!$A$2:$A$3001,0)),""))</f>
        <v/>
      </c>
      <c r="L3671" s="29" t="str">
        <f aca="false">IF(A3671="","",IFERROR(1/(1/INDEX(Numéros!$C$2:$C$3001,MATCH(A3671&amp;"|"&amp;B3671,Numéros!$F$2:$F$3001,0))),""))</f>
        <v/>
      </c>
      <c r="M3671" s="27" t="str">
        <f aca="false">IF(OR(G3671="",G3671="?"),"",IFERROR(INDEX(Pubs!$D$2:$D$3001,MATCH(G3671,Pubs!$A$2:$A$3001,0))&amp;"",""))</f>
        <v/>
      </c>
      <c r="N3671" s="27" t="n">
        <f aca="false">N(N3670)+IF(AND(A3671&lt;&gt;"",OR(Recherche!$C$4="",A3671=Recherche!$C$4),OR(Recherche!$C$5="",B3671&amp;""=Recherche!$C$5&amp;""),OR(Recherche!$C$6="",IFERROR(YEAR(L3671),0)=Recherche!$C$6),OR(Recherche!$C$7="",ISNUMBER(SEARCH(Recherche!$C$7,H3671))),OR(Recherche!$C$8="",J3671=Recherche!$C$8),OR(Recherche!$C$9="",I3671=Recherche!$C$9),OR(Recherche!$C$10="",G3671&amp;""=Recherche!$C$10&amp;""),OR(Recherche!$C$11="",E3671=Recherche!$C$11),OR(Recherche!$C$12="",ISNUMBER(SEARCH(Recherche!$C$12,M3671&amp;" "&amp;F3671)))),1,0)</f>
        <v>8</v>
      </c>
    </row>
    <row r="3672" customFormat="false" ht="15" hidden="false" customHeight="false" outlineLevel="0" collapsed="false">
      <c r="A3672" s="19"/>
      <c r="B3672" s="19"/>
      <c r="C3672" s="19"/>
      <c r="D3672" s="19"/>
      <c r="E3672" s="22"/>
      <c r="F3672" s="19"/>
      <c r="G3672" s="26" t="str">
        <f aca="false">IF(D3672="","",IFERROR(VALUE(LEFT(D3672,FIND(" |",D3672&amp;" |")-1)),"?"))</f>
        <v/>
      </c>
      <c r="H3672" s="27" t="str">
        <f aca="false">IF(G3672="","",IF(G3672="?","⚠ pub inconnue",IFERROR(INDEX(Pubs!$B$2:$B$3001,MATCH(G3672,Pubs!$A$2:$A$3001,0))&amp;"","⚠ pub inconnue")))</f>
        <v/>
      </c>
      <c r="I3672" s="27" t="str">
        <f aca="false">IF(OR(G3672="",G3672="?"),"",IFERROR(INDEX(Pubs!$C$2:$C$3001,MATCH(G3672,Pubs!$A$2:$A$3001,0))&amp;"",""))</f>
        <v/>
      </c>
      <c r="J3672" s="27" t="str">
        <f aca="false">IF(OR(G3672="",G3672="?"),"",IFERROR(INDEX(Pubs!$G$2:$G$3001,MATCH(G3672,Pubs!$A$2:$A$3001,0))&amp;"",""))</f>
        <v/>
      </c>
      <c r="K3672" s="28" t="str">
        <f aca="false">IF(OR(G3672="",G3672="?"),"",IFERROR(INDEX(Pubs!$E$2:$E$3001,MATCH(G3672,Pubs!$A$2:$A$3001,0)),""))</f>
        <v/>
      </c>
      <c r="L3672" s="29" t="str">
        <f aca="false">IF(A3672="","",IFERROR(1/(1/INDEX(Numéros!$C$2:$C$3001,MATCH(A3672&amp;"|"&amp;B3672,Numéros!$F$2:$F$3001,0))),""))</f>
        <v/>
      </c>
      <c r="M3672" s="27" t="str">
        <f aca="false">IF(OR(G3672="",G3672="?"),"",IFERROR(INDEX(Pubs!$D$2:$D$3001,MATCH(G3672,Pubs!$A$2:$A$3001,0))&amp;"",""))</f>
        <v/>
      </c>
      <c r="N3672" s="27" t="n">
        <f aca="false">N(N3671)+IF(AND(A3672&lt;&gt;"",OR(Recherche!$C$4="",A3672=Recherche!$C$4),OR(Recherche!$C$5="",B3672&amp;""=Recherche!$C$5&amp;""),OR(Recherche!$C$6="",IFERROR(YEAR(L3672),0)=Recherche!$C$6),OR(Recherche!$C$7="",ISNUMBER(SEARCH(Recherche!$C$7,H3672))),OR(Recherche!$C$8="",J3672=Recherche!$C$8),OR(Recherche!$C$9="",I3672=Recherche!$C$9),OR(Recherche!$C$10="",G3672&amp;""=Recherche!$C$10&amp;""),OR(Recherche!$C$11="",E3672=Recherche!$C$11),OR(Recherche!$C$12="",ISNUMBER(SEARCH(Recherche!$C$12,M3672&amp;" "&amp;F3672)))),1,0)</f>
        <v>8</v>
      </c>
    </row>
    <row r="3673" customFormat="false" ht="15" hidden="false" customHeight="false" outlineLevel="0" collapsed="false">
      <c r="A3673" s="19"/>
      <c r="B3673" s="19"/>
      <c r="C3673" s="19"/>
      <c r="D3673" s="19"/>
      <c r="E3673" s="22"/>
      <c r="F3673" s="19"/>
      <c r="G3673" s="26" t="str">
        <f aca="false">IF(D3673="","",IFERROR(VALUE(LEFT(D3673,FIND(" |",D3673&amp;" |")-1)),"?"))</f>
        <v/>
      </c>
      <c r="H3673" s="27" t="str">
        <f aca="false">IF(G3673="","",IF(G3673="?","⚠ pub inconnue",IFERROR(INDEX(Pubs!$B$2:$B$3001,MATCH(G3673,Pubs!$A$2:$A$3001,0))&amp;"","⚠ pub inconnue")))</f>
        <v/>
      </c>
      <c r="I3673" s="27" t="str">
        <f aca="false">IF(OR(G3673="",G3673="?"),"",IFERROR(INDEX(Pubs!$C$2:$C$3001,MATCH(G3673,Pubs!$A$2:$A$3001,0))&amp;"",""))</f>
        <v/>
      </c>
      <c r="J3673" s="27" t="str">
        <f aca="false">IF(OR(G3673="",G3673="?"),"",IFERROR(INDEX(Pubs!$G$2:$G$3001,MATCH(G3673,Pubs!$A$2:$A$3001,0))&amp;"",""))</f>
        <v/>
      </c>
      <c r="K3673" s="28" t="str">
        <f aca="false">IF(OR(G3673="",G3673="?"),"",IFERROR(INDEX(Pubs!$E$2:$E$3001,MATCH(G3673,Pubs!$A$2:$A$3001,0)),""))</f>
        <v/>
      </c>
      <c r="L3673" s="29" t="str">
        <f aca="false">IF(A3673="","",IFERROR(1/(1/INDEX(Numéros!$C$2:$C$3001,MATCH(A3673&amp;"|"&amp;B3673,Numéros!$F$2:$F$3001,0))),""))</f>
        <v/>
      </c>
      <c r="M3673" s="27" t="str">
        <f aca="false">IF(OR(G3673="",G3673="?"),"",IFERROR(INDEX(Pubs!$D$2:$D$3001,MATCH(G3673,Pubs!$A$2:$A$3001,0))&amp;"",""))</f>
        <v/>
      </c>
      <c r="N3673" s="27" t="n">
        <f aca="false">N(N3672)+IF(AND(A3673&lt;&gt;"",OR(Recherche!$C$4="",A3673=Recherche!$C$4),OR(Recherche!$C$5="",B3673&amp;""=Recherche!$C$5&amp;""),OR(Recherche!$C$6="",IFERROR(YEAR(L3673),0)=Recherche!$C$6),OR(Recherche!$C$7="",ISNUMBER(SEARCH(Recherche!$C$7,H3673))),OR(Recherche!$C$8="",J3673=Recherche!$C$8),OR(Recherche!$C$9="",I3673=Recherche!$C$9),OR(Recherche!$C$10="",G3673&amp;""=Recherche!$C$10&amp;""),OR(Recherche!$C$11="",E3673=Recherche!$C$11),OR(Recherche!$C$12="",ISNUMBER(SEARCH(Recherche!$C$12,M3673&amp;" "&amp;F3673)))),1,0)</f>
        <v>8</v>
      </c>
    </row>
    <row r="3674" customFormat="false" ht="15" hidden="false" customHeight="false" outlineLevel="0" collapsed="false">
      <c r="A3674" s="19"/>
      <c r="B3674" s="19"/>
      <c r="C3674" s="19"/>
      <c r="D3674" s="19"/>
      <c r="E3674" s="22"/>
      <c r="F3674" s="19"/>
      <c r="G3674" s="26" t="str">
        <f aca="false">IF(D3674="","",IFERROR(VALUE(LEFT(D3674,FIND(" |",D3674&amp;" |")-1)),"?"))</f>
        <v/>
      </c>
      <c r="H3674" s="27" t="str">
        <f aca="false">IF(G3674="","",IF(G3674="?","⚠ pub inconnue",IFERROR(INDEX(Pubs!$B$2:$B$3001,MATCH(G3674,Pubs!$A$2:$A$3001,0))&amp;"","⚠ pub inconnue")))</f>
        <v/>
      </c>
      <c r="I3674" s="27" t="str">
        <f aca="false">IF(OR(G3674="",G3674="?"),"",IFERROR(INDEX(Pubs!$C$2:$C$3001,MATCH(G3674,Pubs!$A$2:$A$3001,0))&amp;"",""))</f>
        <v/>
      </c>
      <c r="J3674" s="27" t="str">
        <f aca="false">IF(OR(G3674="",G3674="?"),"",IFERROR(INDEX(Pubs!$G$2:$G$3001,MATCH(G3674,Pubs!$A$2:$A$3001,0))&amp;"",""))</f>
        <v/>
      </c>
      <c r="K3674" s="28" t="str">
        <f aca="false">IF(OR(G3674="",G3674="?"),"",IFERROR(INDEX(Pubs!$E$2:$E$3001,MATCH(G3674,Pubs!$A$2:$A$3001,0)),""))</f>
        <v/>
      </c>
      <c r="L3674" s="29" t="str">
        <f aca="false">IF(A3674="","",IFERROR(1/(1/INDEX(Numéros!$C$2:$C$3001,MATCH(A3674&amp;"|"&amp;B3674,Numéros!$F$2:$F$3001,0))),""))</f>
        <v/>
      </c>
      <c r="M3674" s="27" t="str">
        <f aca="false">IF(OR(G3674="",G3674="?"),"",IFERROR(INDEX(Pubs!$D$2:$D$3001,MATCH(G3674,Pubs!$A$2:$A$3001,0))&amp;"",""))</f>
        <v/>
      </c>
      <c r="N3674" s="27" t="n">
        <f aca="false">N(N3673)+IF(AND(A3674&lt;&gt;"",OR(Recherche!$C$4="",A3674=Recherche!$C$4),OR(Recherche!$C$5="",B3674&amp;""=Recherche!$C$5&amp;""),OR(Recherche!$C$6="",IFERROR(YEAR(L3674),0)=Recherche!$C$6),OR(Recherche!$C$7="",ISNUMBER(SEARCH(Recherche!$C$7,H3674))),OR(Recherche!$C$8="",J3674=Recherche!$C$8),OR(Recherche!$C$9="",I3674=Recherche!$C$9),OR(Recherche!$C$10="",G3674&amp;""=Recherche!$C$10&amp;""),OR(Recherche!$C$11="",E3674=Recherche!$C$11),OR(Recherche!$C$12="",ISNUMBER(SEARCH(Recherche!$C$12,M3674&amp;" "&amp;F3674)))),1,0)</f>
        <v>8</v>
      </c>
    </row>
    <row r="3675" customFormat="false" ht="15" hidden="false" customHeight="false" outlineLevel="0" collapsed="false">
      <c r="A3675" s="19"/>
      <c r="B3675" s="19"/>
      <c r="C3675" s="19"/>
      <c r="D3675" s="19"/>
      <c r="E3675" s="22"/>
      <c r="F3675" s="19"/>
      <c r="G3675" s="26" t="str">
        <f aca="false">IF(D3675="","",IFERROR(VALUE(LEFT(D3675,FIND(" |",D3675&amp;" |")-1)),"?"))</f>
        <v/>
      </c>
      <c r="H3675" s="27" t="str">
        <f aca="false">IF(G3675="","",IF(G3675="?","⚠ pub inconnue",IFERROR(INDEX(Pubs!$B$2:$B$3001,MATCH(G3675,Pubs!$A$2:$A$3001,0))&amp;"","⚠ pub inconnue")))</f>
        <v/>
      </c>
      <c r="I3675" s="27" t="str">
        <f aca="false">IF(OR(G3675="",G3675="?"),"",IFERROR(INDEX(Pubs!$C$2:$C$3001,MATCH(G3675,Pubs!$A$2:$A$3001,0))&amp;"",""))</f>
        <v/>
      </c>
      <c r="J3675" s="27" t="str">
        <f aca="false">IF(OR(G3675="",G3675="?"),"",IFERROR(INDEX(Pubs!$G$2:$G$3001,MATCH(G3675,Pubs!$A$2:$A$3001,0))&amp;"",""))</f>
        <v/>
      </c>
      <c r="K3675" s="28" t="str">
        <f aca="false">IF(OR(G3675="",G3675="?"),"",IFERROR(INDEX(Pubs!$E$2:$E$3001,MATCH(G3675,Pubs!$A$2:$A$3001,0)),""))</f>
        <v/>
      </c>
      <c r="L3675" s="29" t="str">
        <f aca="false">IF(A3675="","",IFERROR(1/(1/INDEX(Numéros!$C$2:$C$3001,MATCH(A3675&amp;"|"&amp;B3675,Numéros!$F$2:$F$3001,0))),""))</f>
        <v/>
      </c>
      <c r="M3675" s="27" t="str">
        <f aca="false">IF(OR(G3675="",G3675="?"),"",IFERROR(INDEX(Pubs!$D$2:$D$3001,MATCH(G3675,Pubs!$A$2:$A$3001,0))&amp;"",""))</f>
        <v/>
      </c>
      <c r="N3675" s="27" t="n">
        <f aca="false">N(N3674)+IF(AND(A3675&lt;&gt;"",OR(Recherche!$C$4="",A3675=Recherche!$C$4),OR(Recherche!$C$5="",B3675&amp;""=Recherche!$C$5&amp;""),OR(Recherche!$C$6="",IFERROR(YEAR(L3675),0)=Recherche!$C$6),OR(Recherche!$C$7="",ISNUMBER(SEARCH(Recherche!$C$7,H3675))),OR(Recherche!$C$8="",J3675=Recherche!$C$8),OR(Recherche!$C$9="",I3675=Recherche!$C$9),OR(Recherche!$C$10="",G3675&amp;""=Recherche!$C$10&amp;""),OR(Recherche!$C$11="",E3675=Recherche!$C$11),OR(Recherche!$C$12="",ISNUMBER(SEARCH(Recherche!$C$12,M3675&amp;" "&amp;F3675)))),1,0)</f>
        <v>8</v>
      </c>
    </row>
    <row r="3676" customFormat="false" ht="15" hidden="false" customHeight="false" outlineLevel="0" collapsed="false">
      <c r="A3676" s="19"/>
      <c r="B3676" s="19"/>
      <c r="C3676" s="19"/>
      <c r="D3676" s="19"/>
      <c r="E3676" s="22"/>
      <c r="F3676" s="19"/>
      <c r="G3676" s="26" t="str">
        <f aca="false">IF(D3676="","",IFERROR(VALUE(LEFT(D3676,FIND(" |",D3676&amp;" |")-1)),"?"))</f>
        <v/>
      </c>
      <c r="H3676" s="27" t="str">
        <f aca="false">IF(G3676="","",IF(G3676="?","⚠ pub inconnue",IFERROR(INDEX(Pubs!$B$2:$B$3001,MATCH(G3676,Pubs!$A$2:$A$3001,0))&amp;"","⚠ pub inconnue")))</f>
        <v/>
      </c>
      <c r="I3676" s="27" t="str">
        <f aca="false">IF(OR(G3676="",G3676="?"),"",IFERROR(INDEX(Pubs!$C$2:$C$3001,MATCH(G3676,Pubs!$A$2:$A$3001,0))&amp;"",""))</f>
        <v/>
      </c>
      <c r="J3676" s="27" t="str">
        <f aca="false">IF(OR(G3676="",G3676="?"),"",IFERROR(INDEX(Pubs!$G$2:$G$3001,MATCH(G3676,Pubs!$A$2:$A$3001,0))&amp;"",""))</f>
        <v/>
      </c>
      <c r="K3676" s="28" t="str">
        <f aca="false">IF(OR(G3676="",G3676="?"),"",IFERROR(INDEX(Pubs!$E$2:$E$3001,MATCH(G3676,Pubs!$A$2:$A$3001,0)),""))</f>
        <v/>
      </c>
      <c r="L3676" s="29" t="str">
        <f aca="false">IF(A3676="","",IFERROR(1/(1/INDEX(Numéros!$C$2:$C$3001,MATCH(A3676&amp;"|"&amp;B3676,Numéros!$F$2:$F$3001,0))),""))</f>
        <v/>
      </c>
      <c r="M3676" s="27" t="str">
        <f aca="false">IF(OR(G3676="",G3676="?"),"",IFERROR(INDEX(Pubs!$D$2:$D$3001,MATCH(G3676,Pubs!$A$2:$A$3001,0))&amp;"",""))</f>
        <v/>
      </c>
      <c r="N3676" s="27" t="n">
        <f aca="false">N(N3675)+IF(AND(A3676&lt;&gt;"",OR(Recherche!$C$4="",A3676=Recherche!$C$4),OR(Recherche!$C$5="",B3676&amp;""=Recherche!$C$5&amp;""),OR(Recherche!$C$6="",IFERROR(YEAR(L3676),0)=Recherche!$C$6),OR(Recherche!$C$7="",ISNUMBER(SEARCH(Recherche!$C$7,H3676))),OR(Recherche!$C$8="",J3676=Recherche!$C$8),OR(Recherche!$C$9="",I3676=Recherche!$C$9),OR(Recherche!$C$10="",G3676&amp;""=Recherche!$C$10&amp;""),OR(Recherche!$C$11="",E3676=Recherche!$C$11),OR(Recherche!$C$12="",ISNUMBER(SEARCH(Recherche!$C$12,M3676&amp;" "&amp;F3676)))),1,0)</f>
        <v>8</v>
      </c>
    </row>
    <row r="3677" customFormat="false" ht="15" hidden="false" customHeight="false" outlineLevel="0" collapsed="false">
      <c r="A3677" s="19"/>
      <c r="B3677" s="19"/>
      <c r="C3677" s="19"/>
      <c r="D3677" s="19"/>
      <c r="E3677" s="22"/>
      <c r="F3677" s="19"/>
      <c r="G3677" s="26" t="str">
        <f aca="false">IF(D3677="","",IFERROR(VALUE(LEFT(D3677,FIND(" |",D3677&amp;" |")-1)),"?"))</f>
        <v/>
      </c>
      <c r="H3677" s="27" t="str">
        <f aca="false">IF(G3677="","",IF(G3677="?","⚠ pub inconnue",IFERROR(INDEX(Pubs!$B$2:$B$3001,MATCH(G3677,Pubs!$A$2:$A$3001,0))&amp;"","⚠ pub inconnue")))</f>
        <v/>
      </c>
      <c r="I3677" s="27" t="str">
        <f aca="false">IF(OR(G3677="",G3677="?"),"",IFERROR(INDEX(Pubs!$C$2:$C$3001,MATCH(G3677,Pubs!$A$2:$A$3001,0))&amp;"",""))</f>
        <v/>
      </c>
      <c r="J3677" s="27" t="str">
        <f aca="false">IF(OR(G3677="",G3677="?"),"",IFERROR(INDEX(Pubs!$G$2:$G$3001,MATCH(G3677,Pubs!$A$2:$A$3001,0))&amp;"",""))</f>
        <v/>
      </c>
      <c r="K3677" s="28" t="str">
        <f aca="false">IF(OR(G3677="",G3677="?"),"",IFERROR(INDEX(Pubs!$E$2:$E$3001,MATCH(G3677,Pubs!$A$2:$A$3001,0)),""))</f>
        <v/>
      </c>
      <c r="L3677" s="29" t="str">
        <f aca="false">IF(A3677="","",IFERROR(1/(1/INDEX(Numéros!$C$2:$C$3001,MATCH(A3677&amp;"|"&amp;B3677,Numéros!$F$2:$F$3001,0))),""))</f>
        <v/>
      </c>
      <c r="M3677" s="27" t="str">
        <f aca="false">IF(OR(G3677="",G3677="?"),"",IFERROR(INDEX(Pubs!$D$2:$D$3001,MATCH(G3677,Pubs!$A$2:$A$3001,0))&amp;"",""))</f>
        <v/>
      </c>
      <c r="N3677" s="27" t="n">
        <f aca="false">N(N3676)+IF(AND(A3677&lt;&gt;"",OR(Recherche!$C$4="",A3677=Recherche!$C$4),OR(Recherche!$C$5="",B3677&amp;""=Recherche!$C$5&amp;""),OR(Recherche!$C$6="",IFERROR(YEAR(L3677),0)=Recherche!$C$6),OR(Recherche!$C$7="",ISNUMBER(SEARCH(Recherche!$C$7,H3677))),OR(Recherche!$C$8="",J3677=Recherche!$C$8),OR(Recherche!$C$9="",I3677=Recherche!$C$9),OR(Recherche!$C$10="",G3677&amp;""=Recherche!$C$10&amp;""),OR(Recherche!$C$11="",E3677=Recherche!$C$11),OR(Recherche!$C$12="",ISNUMBER(SEARCH(Recherche!$C$12,M3677&amp;" "&amp;F3677)))),1,0)</f>
        <v>8</v>
      </c>
    </row>
    <row r="3678" customFormat="false" ht="15" hidden="false" customHeight="false" outlineLevel="0" collapsed="false">
      <c r="A3678" s="19"/>
      <c r="B3678" s="19"/>
      <c r="C3678" s="19"/>
      <c r="D3678" s="19"/>
      <c r="E3678" s="22"/>
      <c r="F3678" s="19"/>
      <c r="G3678" s="26" t="str">
        <f aca="false">IF(D3678="","",IFERROR(VALUE(LEFT(D3678,FIND(" |",D3678&amp;" |")-1)),"?"))</f>
        <v/>
      </c>
      <c r="H3678" s="27" t="str">
        <f aca="false">IF(G3678="","",IF(G3678="?","⚠ pub inconnue",IFERROR(INDEX(Pubs!$B$2:$B$3001,MATCH(G3678,Pubs!$A$2:$A$3001,0))&amp;"","⚠ pub inconnue")))</f>
        <v/>
      </c>
      <c r="I3678" s="27" t="str">
        <f aca="false">IF(OR(G3678="",G3678="?"),"",IFERROR(INDEX(Pubs!$C$2:$C$3001,MATCH(G3678,Pubs!$A$2:$A$3001,0))&amp;"",""))</f>
        <v/>
      </c>
      <c r="J3678" s="27" t="str">
        <f aca="false">IF(OR(G3678="",G3678="?"),"",IFERROR(INDEX(Pubs!$G$2:$G$3001,MATCH(G3678,Pubs!$A$2:$A$3001,0))&amp;"",""))</f>
        <v/>
      </c>
      <c r="K3678" s="28" t="str">
        <f aca="false">IF(OR(G3678="",G3678="?"),"",IFERROR(INDEX(Pubs!$E$2:$E$3001,MATCH(G3678,Pubs!$A$2:$A$3001,0)),""))</f>
        <v/>
      </c>
      <c r="L3678" s="29" t="str">
        <f aca="false">IF(A3678="","",IFERROR(1/(1/INDEX(Numéros!$C$2:$C$3001,MATCH(A3678&amp;"|"&amp;B3678,Numéros!$F$2:$F$3001,0))),""))</f>
        <v/>
      </c>
      <c r="M3678" s="27" t="str">
        <f aca="false">IF(OR(G3678="",G3678="?"),"",IFERROR(INDEX(Pubs!$D$2:$D$3001,MATCH(G3678,Pubs!$A$2:$A$3001,0))&amp;"",""))</f>
        <v/>
      </c>
      <c r="N3678" s="27" t="n">
        <f aca="false">N(N3677)+IF(AND(A3678&lt;&gt;"",OR(Recherche!$C$4="",A3678=Recherche!$C$4),OR(Recherche!$C$5="",B3678&amp;""=Recherche!$C$5&amp;""),OR(Recherche!$C$6="",IFERROR(YEAR(L3678),0)=Recherche!$C$6),OR(Recherche!$C$7="",ISNUMBER(SEARCH(Recherche!$C$7,H3678))),OR(Recherche!$C$8="",J3678=Recherche!$C$8),OR(Recherche!$C$9="",I3678=Recherche!$C$9),OR(Recherche!$C$10="",G3678&amp;""=Recherche!$C$10&amp;""),OR(Recherche!$C$11="",E3678=Recherche!$C$11),OR(Recherche!$C$12="",ISNUMBER(SEARCH(Recherche!$C$12,M3678&amp;" "&amp;F3678)))),1,0)</f>
        <v>8</v>
      </c>
    </row>
    <row r="3679" customFormat="false" ht="15" hidden="false" customHeight="false" outlineLevel="0" collapsed="false">
      <c r="A3679" s="19"/>
      <c r="B3679" s="19"/>
      <c r="C3679" s="19"/>
      <c r="D3679" s="19"/>
      <c r="E3679" s="22"/>
      <c r="F3679" s="19"/>
      <c r="G3679" s="26" t="str">
        <f aca="false">IF(D3679="","",IFERROR(VALUE(LEFT(D3679,FIND(" |",D3679&amp;" |")-1)),"?"))</f>
        <v/>
      </c>
      <c r="H3679" s="27" t="str">
        <f aca="false">IF(G3679="","",IF(G3679="?","⚠ pub inconnue",IFERROR(INDEX(Pubs!$B$2:$B$3001,MATCH(G3679,Pubs!$A$2:$A$3001,0))&amp;"","⚠ pub inconnue")))</f>
        <v/>
      </c>
      <c r="I3679" s="27" t="str">
        <f aca="false">IF(OR(G3679="",G3679="?"),"",IFERROR(INDEX(Pubs!$C$2:$C$3001,MATCH(G3679,Pubs!$A$2:$A$3001,0))&amp;"",""))</f>
        <v/>
      </c>
      <c r="J3679" s="27" t="str">
        <f aca="false">IF(OR(G3679="",G3679="?"),"",IFERROR(INDEX(Pubs!$G$2:$G$3001,MATCH(G3679,Pubs!$A$2:$A$3001,0))&amp;"",""))</f>
        <v/>
      </c>
      <c r="K3679" s="28" t="str">
        <f aca="false">IF(OR(G3679="",G3679="?"),"",IFERROR(INDEX(Pubs!$E$2:$E$3001,MATCH(G3679,Pubs!$A$2:$A$3001,0)),""))</f>
        <v/>
      </c>
      <c r="L3679" s="29" t="str">
        <f aca="false">IF(A3679="","",IFERROR(1/(1/INDEX(Numéros!$C$2:$C$3001,MATCH(A3679&amp;"|"&amp;B3679,Numéros!$F$2:$F$3001,0))),""))</f>
        <v/>
      </c>
      <c r="M3679" s="27" t="str">
        <f aca="false">IF(OR(G3679="",G3679="?"),"",IFERROR(INDEX(Pubs!$D$2:$D$3001,MATCH(G3679,Pubs!$A$2:$A$3001,0))&amp;"",""))</f>
        <v/>
      </c>
      <c r="N3679" s="27" t="n">
        <f aca="false">N(N3678)+IF(AND(A3679&lt;&gt;"",OR(Recherche!$C$4="",A3679=Recherche!$C$4),OR(Recherche!$C$5="",B3679&amp;""=Recherche!$C$5&amp;""),OR(Recherche!$C$6="",IFERROR(YEAR(L3679),0)=Recherche!$C$6),OR(Recherche!$C$7="",ISNUMBER(SEARCH(Recherche!$C$7,H3679))),OR(Recherche!$C$8="",J3679=Recherche!$C$8),OR(Recherche!$C$9="",I3679=Recherche!$C$9),OR(Recherche!$C$10="",G3679&amp;""=Recherche!$C$10&amp;""),OR(Recherche!$C$11="",E3679=Recherche!$C$11),OR(Recherche!$C$12="",ISNUMBER(SEARCH(Recherche!$C$12,M3679&amp;" "&amp;F3679)))),1,0)</f>
        <v>8</v>
      </c>
    </row>
    <row r="3680" customFormat="false" ht="15" hidden="false" customHeight="false" outlineLevel="0" collapsed="false">
      <c r="A3680" s="19"/>
      <c r="B3680" s="19"/>
      <c r="C3680" s="19"/>
      <c r="D3680" s="19"/>
      <c r="E3680" s="22"/>
      <c r="F3680" s="19"/>
      <c r="G3680" s="26" t="str">
        <f aca="false">IF(D3680="","",IFERROR(VALUE(LEFT(D3680,FIND(" |",D3680&amp;" |")-1)),"?"))</f>
        <v/>
      </c>
      <c r="H3680" s="27" t="str">
        <f aca="false">IF(G3680="","",IF(G3680="?","⚠ pub inconnue",IFERROR(INDEX(Pubs!$B$2:$B$3001,MATCH(G3680,Pubs!$A$2:$A$3001,0))&amp;"","⚠ pub inconnue")))</f>
        <v/>
      </c>
      <c r="I3680" s="27" t="str">
        <f aca="false">IF(OR(G3680="",G3680="?"),"",IFERROR(INDEX(Pubs!$C$2:$C$3001,MATCH(G3680,Pubs!$A$2:$A$3001,0))&amp;"",""))</f>
        <v/>
      </c>
      <c r="J3680" s="27" t="str">
        <f aca="false">IF(OR(G3680="",G3680="?"),"",IFERROR(INDEX(Pubs!$G$2:$G$3001,MATCH(G3680,Pubs!$A$2:$A$3001,0))&amp;"",""))</f>
        <v/>
      </c>
      <c r="K3680" s="28" t="str">
        <f aca="false">IF(OR(G3680="",G3680="?"),"",IFERROR(INDEX(Pubs!$E$2:$E$3001,MATCH(G3680,Pubs!$A$2:$A$3001,0)),""))</f>
        <v/>
      </c>
      <c r="L3680" s="29" t="str">
        <f aca="false">IF(A3680="","",IFERROR(1/(1/INDEX(Numéros!$C$2:$C$3001,MATCH(A3680&amp;"|"&amp;B3680,Numéros!$F$2:$F$3001,0))),""))</f>
        <v/>
      </c>
      <c r="M3680" s="27" t="str">
        <f aca="false">IF(OR(G3680="",G3680="?"),"",IFERROR(INDEX(Pubs!$D$2:$D$3001,MATCH(G3680,Pubs!$A$2:$A$3001,0))&amp;"",""))</f>
        <v/>
      </c>
      <c r="N3680" s="27" t="n">
        <f aca="false">N(N3679)+IF(AND(A3680&lt;&gt;"",OR(Recherche!$C$4="",A3680=Recherche!$C$4),OR(Recherche!$C$5="",B3680&amp;""=Recherche!$C$5&amp;""),OR(Recherche!$C$6="",IFERROR(YEAR(L3680),0)=Recherche!$C$6),OR(Recherche!$C$7="",ISNUMBER(SEARCH(Recherche!$C$7,H3680))),OR(Recherche!$C$8="",J3680=Recherche!$C$8),OR(Recherche!$C$9="",I3680=Recherche!$C$9),OR(Recherche!$C$10="",G3680&amp;""=Recherche!$C$10&amp;""),OR(Recherche!$C$11="",E3680=Recherche!$C$11),OR(Recherche!$C$12="",ISNUMBER(SEARCH(Recherche!$C$12,M3680&amp;" "&amp;F3680)))),1,0)</f>
        <v>8</v>
      </c>
    </row>
    <row r="3681" customFormat="false" ht="15" hidden="false" customHeight="false" outlineLevel="0" collapsed="false">
      <c r="A3681" s="19"/>
      <c r="B3681" s="19"/>
      <c r="C3681" s="19"/>
      <c r="D3681" s="19"/>
      <c r="E3681" s="22"/>
      <c r="F3681" s="19"/>
      <c r="G3681" s="26" t="str">
        <f aca="false">IF(D3681="","",IFERROR(VALUE(LEFT(D3681,FIND(" |",D3681&amp;" |")-1)),"?"))</f>
        <v/>
      </c>
      <c r="H3681" s="27" t="str">
        <f aca="false">IF(G3681="","",IF(G3681="?","⚠ pub inconnue",IFERROR(INDEX(Pubs!$B$2:$B$3001,MATCH(G3681,Pubs!$A$2:$A$3001,0))&amp;"","⚠ pub inconnue")))</f>
        <v/>
      </c>
      <c r="I3681" s="27" t="str">
        <f aca="false">IF(OR(G3681="",G3681="?"),"",IFERROR(INDEX(Pubs!$C$2:$C$3001,MATCH(G3681,Pubs!$A$2:$A$3001,0))&amp;"",""))</f>
        <v/>
      </c>
      <c r="J3681" s="27" t="str">
        <f aca="false">IF(OR(G3681="",G3681="?"),"",IFERROR(INDEX(Pubs!$G$2:$G$3001,MATCH(G3681,Pubs!$A$2:$A$3001,0))&amp;"",""))</f>
        <v/>
      </c>
      <c r="K3681" s="28" t="str">
        <f aca="false">IF(OR(G3681="",G3681="?"),"",IFERROR(INDEX(Pubs!$E$2:$E$3001,MATCH(G3681,Pubs!$A$2:$A$3001,0)),""))</f>
        <v/>
      </c>
      <c r="L3681" s="29" t="str">
        <f aca="false">IF(A3681="","",IFERROR(1/(1/INDEX(Numéros!$C$2:$C$3001,MATCH(A3681&amp;"|"&amp;B3681,Numéros!$F$2:$F$3001,0))),""))</f>
        <v/>
      </c>
      <c r="M3681" s="27" t="str">
        <f aca="false">IF(OR(G3681="",G3681="?"),"",IFERROR(INDEX(Pubs!$D$2:$D$3001,MATCH(G3681,Pubs!$A$2:$A$3001,0))&amp;"",""))</f>
        <v/>
      </c>
      <c r="N3681" s="27" t="n">
        <f aca="false">N(N3680)+IF(AND(A3681&lt;&gt;"",OR(Recherche!$C$4="",A3681=Recherche!$C$4),OR(Recherche!$C$5="",B3681&amp;""=Recherche!$C$5&amp;""),OR(Recherche!$C$6="",IFERROR(YEAR(L3681),0)=Recherche!$C$6),OR(Recherche!$C$7="",ISNUMBER(SEARCH(Recherche!$C$7,H3681))),OR(Recherche!$C$8="",J3681=Recherche!$C$8),OR(Recherche!$C$9="",I3681=Recherche!$C$9),OR(Recherche!$C$10="",G3681&amp;""=Recherche!$C$10&amp;""),OR(Recherche!$C$11="",E3681=Recherche!$C$11),OR(Recherche!$C$12="",ISNUMBER(SEARCH(Recherche!$C$12,M3681&amp;" "&amp;F3681)))),1,0)</f>
        <v>8</v>
      </c>
    </row>
    <row r="3682" customFormat="false" ht="15" hidden="false" customHeight="false" outlineLevel="0" collapsed="false">
      <c r="A3682" s="19"/>
      <c r="B3682" s="19"/>
      <c r="C3682" s="19"/>
      <c r="D3682" s="19"/>
      <c r="E3682" s="22"/>
      <c r="F3682" s="19"/>
      <c r="G3682" s="26" t="str">
        <f aca="false">IF(D3682="","",IFERROR(VALUE(LEFT(D3682,FIND(" |",D3682&amp;" |")-1)),"?"))</f>
        <v/>
      </c>
      <c r="H3682" s="27" t="str">
        <f aca="false">IF(G3682="","",IF(G3682="?","⚠ pub inconnue",IFERROR(INDEX(Pubs!$B$2:$B$3001,MATCH(G3682,Pubs!$A$2:$A$3001,0))&amp;"","⚠ pub inconnue")))</f>
        <v/>
      </c>
      <c r="I3682" s="27" t="str">
        <f aca="false">IF(OR(G3682="",G3682="?"),"",IFERROR(INDEX(Pubs!$C$2:$C$3001,MATCH(G3682,Pubs!$A$2:$A$3001,0))&amp;"",""))</f>
        <v/>
      </c>
      <c r="J3682" s="27" t="str">
        <f aca="false">IF(OR(G3682="",G3682="?"),"",IFERROR(INDEX(Pubs!$G$2:$G$3001,MATCH(G3682,Pubs!$A$2:$A$3001,0))&amp;"",""))</f>
        <v/>
      </c>
      <c r="K3682" s="28" t="str">
        <f aca="false">IF(OR(G3682="",G3682="?"),"",IFERROR(INDEX(Pubs!$E$2:$E$3001,MATCH(G3682,Pubs!$A$2:$A$3001,0)),""))</f>
        <v/>
      </c>
      <c r="L3682" s="29" t="str">
        <f aca="false">IF(A3682="","",IFERROR(1/(1/INDEX(Numéros!$C$2:$C$3001,MATCH(A3682&amp;"|"&amp;B3682,Numéros!$F$2:$F$3001,0))),""))</f>
        <v/>
      </c>
      <c r="M3682" s="27" t="str">
        <f aca="false">IF(OR(G3682="",G3682="?"),"",IFERROR(INDEX(Pubs!$D$2:$D$3001,MATCH(G3682,Pubs!$A$2:$A$3001,0))&amp;"",""))</f>
        <v/>
      </c>
      <c r="N3682" s="27" t="n">
        <f aca="false">N(N3681)+IF(AND(A3682&lt;&gt;"",OR(Recherche!$C$4="",A3682=Recherche!$C$4),OR(Recherche!$C$5="",B3682&amp;""=Recherche!$C$5&amp;""),OR(Recherche!$C$6="",IFERROR(YEAR(L3682),0)=Recherche!$C$6),OR(Recherche!$C$7="",ISNUMBER(SEARCH(Recherche!$C$7,H3682))),OR(Recherche!$C$8="",J3682=Recherche!$C$8),OR(Recherche!$C$9="",I3682=Recherche!$C$9),OR(Recherche!$C$10="",G3682&amp;""=Recherche!$C$10&amp;""),OR(Recherche!$C$11="",E3682=Recherche!$C$11),OR(Recherche!$C$12="",ISNUMBER(SEARCH(Recherche!$C$12,M3682&amp;" "&amp;F3682)))),1,0)</f>
        <v>8</v>
      </c>
    </row>
    <row r="3683" customFormat="false" ht="15" hidden="false" customHeight="false" outlineLevel="0" collapsed="false">
      <c r="A3683" s="19"/>
      <c r="B3683" s="19"/>
      <c r="C3683" s="19"/>
      <c r="D3683" s="19"/>
      <c r="E3683" s="22"/>
      <c r="F3683" s="19"/>
      <c r="G3683" s="26" t="str">
        <f aca="false">IF(D3683="","",IFERROR(VALUE(LEFT(D3683,FIND(" |",D3683&amp;" |")-1)),"?"))</f>
        <v/>
      </c>
      <c r="H3683" s="27" t="str">
        <f aca="false">IF(G3683="","",IF(G3683="?","⚠ pub inconnue",IFERROR(INDEX(Pubs!$B$2:$B$3001,MATCH(G3683,Pubs!$A$2:$A$3001,0))&amp;"","⚠ pub inconnue")))</f>
        <v/>
      </c>
      <c r="I3683" s="27" t="str">
        <f aca="false">IF(OR(G3683="",G3683="?"),"",IFERROR(INDEX(Pubs!$C$2:$C$3001,MATCH(G3683,Pubs!$A$2:$A$3001,0))&amp;"",""))</f>
        <v/>
      </c>
      <c r="J3683" s="27" t="str">
        <f aca="false">IF(OR(G3683="",G3683="?"),"",IFERROR(INDEX(Pubs!$G$2:$G$3001,MATCH(G3683,Pubs!$A$2:$A$3001,0))&amp;"",""))</f>
        <v/>
      </c>
      <c r="K3683" s="28" t="str">
        <f aca="false">IF(OR(G3683="",G3683="?"),"",IFERROR(INDEX(Pubs!$E$2:$E$3001,MATCH(G3683,Pubs!$A$2:$A$3001,0)),""))</f>
        <v/>
      </c>
      <c r="L3683" s="29" t="str">
        <f aca="false">IF(A3683="","",IFERROR(1/(1/INDEX(Numéros!$C$2:$C$3001,MATCH(A3683&amp;"|"&amp;B3683,Numéros!$F$2:$F$3001,0))),""))</f>
        <v/>
      </c>
      <c r="M3683" s="27" t="str">
        <f aca="false">IF(OR(G3683="",G3683="?"),"",IFERROR(INDEX(Pubs!$D$2:$D$3001,MATCH(G3683,Pubs!$A$2:$A$3001,0))&amp;"",""))</f>
        <v/>
      </c>
      <c r="N3683" s="27" t="n">
        <f aca="false">N(N3682)+IF(AND(A3683&lt;&gt;"",OR(Recherche!$C$4="",A3683=Recherche!$C$4),OR(Recherche!$C$5="",B3683&amp;""=Recherche!$C$5&amp;""),OR(Recherche!$C$6="",IFERROR(YEAR(L3683),0)=Recherche!$C$6),OR(Recherche!$C$7="",ISNUMBER(SEARCH(Recherche!$C$7,H3683))),OR(Recherche!$C$8="",J3683=Recherche!$C$8),OR(Recherche!$C$9="",I3683=Recherche!$C$9),OR(Recherche!$C$10="",G3683&amp;""=Recherche!$C$10&amp;""),OR(Recherche!$C$11="",E3683=Recherche!$C$11),OR(Recherche!$C$12="",ISNUMBER(SEARCH(Recherche!$C$12,M3683&amp;" "&amp;F3683)))),1,0)</f>
        <v>8</v>
      </c>
    </row>
    <row r="3684" customFormat="false" ht="15" hidden="false" customHeight="false" outlineLevel="0" collapsed="false">
      <c r="A3684" s="19"/>
      <c r="B3684" s="19"/>
      <c r="C3684" s="19"/>
      <c r="D3684" s="19"/>
      <c r="E3684" s="22"/>
      <c r="F3684" s="19"/>
      <c r="G3684" s="26" t="str">
        <f aca="false">IF(D3684="","",IFERROR(VALUE(LEFT(D3684,FIND(" |",D3684&amp;" |")-1)),"?"))</f>
        <v/>
      </c>
      <c r="H3684" s="27" t="str">
        <f aca="false">IF(G3684="","",IF(G3684="?","⚠ pub inconnue",IFERROR(INDEX(Pubs!$B$2:$B$3001,MATCH(G3684,Pubs!$A$2:$A$3001,0))&amp;"","⚠ pub inconnue")))</f>
        <v/>
      </c>
      <c r="I3684" s="27" t="str">
        <f aca="false">IF(OR(G3684="",G3684="?"),"",IFERROR(INDEX(Pubs!$C$2:$C$3001,MATCH(G3684,Pubs!$A$2:$A$3001,0))&amp;"",""))</f>
        <v/>
      </c>
      <c r="J3684" s="27" t="str">
        <f aca="false">IF(OR(G3684="",G3684="?"),"",IFERROR(INDEX(Pubs!$G$2:$G$3001,MATCH(G3684,Pubs!$A$2:$A$3001,0))&amp;"",""))</f>
        <v/>
      </c>
      <c r="K3684" s="28" t="str">
        <f aca="false">IF(OR(G3684="",G3684="?"),"",IFERROR(INDEX(Pubs!$E$2:$E$3001,MATCH(G3684,Pubs!$A$2:$A$3001,0)),""))</f>
        <v/>
      </c>
      <c r="L3684" s="29" t="str">
        <f aca="false">IF(A3684="","",IFERROR(1/(1/INDEX(Numéros!$C$2:$C$3001,MATCH(A3684&amp;"|"&amp;B3684,Numéros!$F$2:$F$3001,0))),""))</f>
        <v/>
      </c>
      <c r="M3684" s="27" t="str">
        <f aca="false">IF(OR(G3684="",G3684="?"),"",IFERROR(INDEX(Pubs!$D$2:$D$3001,MATCH(G3684,Pubs!$A$2:$A$3001,0))&amp;"",""))</f>
        <v/>
      </c>
      <c r="N3684" s="27" t="n">
        <f aca="false">N(N3683)+IF(AND(A3684&lt;&gt;"",OR(Recherche!$C$4="",A3684=Recherche!$C$4),OR(Recherche!$C$5="",B3684&amp;""=Recherche!$C$5&amp;""),OR(Recherche!$C$6="",IFERROR(YEAR(L3684),0)=Recherche!$C$6),OR(Recherche!$C$7="",ISNUMBER(SEARCH(Recherche!$C$7,H3684))),OR(Recherche!$C$8="",J3684=Recherche!$C$8),OR(Recherche!$C$9="",I3684=Recherche!$C$9),OR(Recherche!$C$10="",G3684&amp;""=Recherche!$C$10&amp;""),OR(Recherche!$C$11="",E3684=Recherche!$C$11),OR(Recherche!$C$12="",ISNUMBER(SEARCH(Recherche!$C$12,M3684&amp;" "&amp;F3684)))),1,0)</f>
        <v>8</v>
      </c>
    </row>
    <row r="3685" customFormat="false" ht="15" hidden="false" customHeight="false" outlineLevel="0" collapsed="false">
      <c r="A3685" s="19"/>
      <c r="B3685" s="19"/>
      <c r="C3685" s="19"/>
      <c r="D3685" s="19"/>
      <c r="E3685" s="22"/>
      <c r="F3685" s="19"/>
      <c r="G3685" s="26" t="str">
        <f aca="false">IF(D3685="","",IFERROR(VALUE(LEFT(D3685,FIND(" |",D3685&amp;" |")-1)),"?"))</f>
        <v/>
      </c>
      <c r="H3685" s="27" t="str">
        <f aca="false">IF(G3685="","",IF(G3685="?","⚠ pub inconnue",IFERROR(INDEX(Pubs!$B$2:$B$3001,MATCH(G3685,Pubs!$A$2:$A$3001,0))&amp;"","⚠ pub inconnue")))</f>
        <v/>
      </c>
      <c r="I3685" s="27" t="str">
        <f aca="false">IF(OR(G3685="",G3685="?"),"",IFERROR(INDEX(Pubs!$C$2:$C$3001,MATCH(G3685,Pubs!$A$2:$A$3001,0))&amp;"",""))</f>
        <v/>
      </c>
      <c r="J3685" s="27" t="str">
        <f aca="false">IF(OR(G3685="",G3685="?"),"",IFERROR(INDEX(Pubs!$G$2:$G$3001,MATCH(G3685,Pubs!$A$2:$A$3001,0))&amp;"",""))</f>
        <v/>
      </c>
      <c r="K3685" s="28" t="str">
        <f aca="false">IF(OR(G3685="",G3685="?"),"",IFERROR(INDEX(Pubs!$E$2:$E$3001,MATCH(G3685,Pubs!$A$2:$A$3001,0)),""))</f>
        <v/>
      </c>
      <c r="L3685" s="29" t="str">
        <f aca="false">IF(A3685="","",IFERROR(1/(1/INDEX(Numéros!$C$2:$C$3001,MATCH(A3685&amp;"|"&amp;B3685,Numéros!$F$2:$F$3001,0))),""))</f>
        <v/>
      </c>
      <c r="M3685" s="27" t="str">
        <f aca="false">IF(OR(G3685="",G3685="?"),"",IFERROR(INDEX(Pubs!$D$2:$D$3001,MATCH(G3685,Pubs!$A$2:$A$3001,0))&amp;"",""))</f>
        <v/>
      </c>
      <c r="N3685" s="27" t="n">
        <f aca="false">N(N3684)+IF(AND(A3685&lt;&gt;"",OR(Recherche!$C$4="",A3685=Recherche!$C$4),OR(Recherche!$C$5="",B3685&amp;""=Recherche!$C$5&amp;""),OR(Recherche!$C$6="",IFERROR(YEAR(L3685),0)=Recherche!$C$6),OR(Recherche!$C$7="",ISNUMBER(SEARCH(Recherche!$C$7,H3685))),OR(Recherche!$C$8="",J3685=Recherche!$C$8),OR(Recherche!$C$9="",I3685=Recherche!$C$9),OR(Recherche!$C$10="",G3685&amp;""=Recherche!$C$10&amp;""),OR(Recherche!$C$11="",E3685=Recherche!$C$11),OR(Recherche!$C$12="",ISNUMBER(SEARCH(Recherche!$C$12,M3685&amp;" "&amp;F3685)))),1,0)</f>
        <v>8</v>
      </c>
    </row>
    <row r="3686" customFormat="false" ht="15" hidden="false" customHeight="false" outlineLevel="0" collapsed="false">
      <c r="A3686" s="19"/>
      <c r="B3686" s="19"/>
      <c r="C3686" s="19"/>
      <c r="D3686" s="19"/>
      <c r="E3686" s="22"/>
      <c r="F3686" s="19"/>
      <c r="G3686" s="26" t="str">
        <f aca="false">IF(D3686="","",IFERROR(VALUE(LEFT(D3686,FIND(" |",D3686&amp;" |")-1)),"?"))</f>
        <v/>
      </c>
      <c r="H3686" s="27" t="str">
        <f aca="false">IF(G3686="","",IF(G3686="?","⚠ pub inconnue",IFERROR(INDEX(Pubs!$B$2:$B$3001,MATCH(G3686,Pubs!$A$2:$A$3001,0))&amp;"","⚠ pub inconnue")))</f>
        <v/>
      </c>
      <c r="I3686" s="27" t="str">
        <f aca="false">IF(OR(G3686="",G3686="?"),"",IFERROR(INDEX(Pubs!$C$2:$C$3001,MATCH(G3686,Pubs!$A$2:$A$3001,0))&amp;"",""))</f>
        <v/>
      </c>
      <c r="J3686" s="27" t="str">
        <f aca="false">IF(OR(G3686="",G3686="?"),"",IFERROR(INDEX(Pubs!$G$2:$G$3001,MATCH(G3686,Pubs!$A$2:$A$3001,0))&amp;"",""))</f>
        <v/>
      </c>
      <c r="K3686" s="28" t="str">
        <f aca="false">IF(OR(G3686="",G3686="?"),"",IFERROR(INDEX(Pubs!$E$2:$E$3001,MATCH(G3686,Pubs!$A$2:$A$3001,0)),""))</f>
        <v/>
      </c>
      <c r="L3686" s="29" t="str">
        <f aca="false">IF(A3686="","",IFERROR(1/(1/INDEX(Numéros!$C$2:$C$3001,MATCH(A3686&amp;"|"&amp;B3686,Numéros!$F$2:$F$3001,0))),""))</f>
        <v/>
      </c>
      <c r="M3686" s="27" t="str">
        <f aca="false">IF(OR(G3686="",G3686="?"),"",IFERROR(INDEX(Pubs!$D$2:$D$3001,MATCH(G3686,Pubs!$A$2:$A$3001,0))&amp;"",""))</f>
        <v/>
      </c>
      <c r="N3686" s="27" t="n">
        <f aca="false">N(N3685)+IF(AND(A3686&lt;&gt;"",OR(Recherche!$C$4="",A3686=Recherche!$C$4),OR(Recherche!$C$5="",B3686&amp;""=Recherche!$C$5&amp;""),OR(Recherche!$C$6="",IFERROR(YEAR(L3686),0)=Recherche!$C$6),OR(Recherche!$C$7="",ISNUMBER(SEARCH(Recherche!$C$7,H3686))),OR(Recherche!$C$8="",J3686=Recherche!$C$8),OR(Recherche!$C$9="",I3686=Recherche!$C$9),OR(Recherche!$C$10="",G3686&amp;""=Recherche!$C$10&amp;""),OR(Recherche!$C$11="",E3686=Recherche!$C$11),OR(Recherche!$C$12="",ISNUMBER(SEARCH(Recherche!$C$12,M3686&amp;" "&amp;F3686)))),1,0)</f>
        <v>8</v>
      </c>
    </row>
    <row r="3687" customFormat="false" ht="15" hidden="false" customHeight="false" outlineLevel="0" collapsed="false">
      <c r="A3687" s="19"/>
      <c r="B3687" s="19"/>
      <c r="C3687" s="19"/>
      <c r="D3687" s="19"/>
      <c r="E3687" s="22"/>
      <c r="F3687" s="19"/>
      <c r="G3687" s="26" t="str">
        <f aca="false">IF(D3687="","",IFERROR(VALUE(LEFT(D3687,FIND(" |",D3687&amp;" |")-1)),"?"))</f>
        <v/>
      </c>
      <c r="H3687" s="27" t="str">
        <f aca="false">IF(G3687="","",IF(G3687="?","⚠ pub inconnue",IFERROR(INDEX(Pubs!$B$2:$B$3001,MATCH(G3687,Pubs!$A$2:$A$3001,0))&amp;"","⚠ pub inconnue")))</f>
        <v/>
      </c>
      <c r="I3687" s="27" t="str">
        <f aca="false">IF(OR(G3687="",G3687="?"),"",IFERROR(INDEX(Pubs!$C$2:$C$3001,MATCH(G3687,Pubs!$A$2:$A$3001,0))&amp;"",""))</f>
        <v/>
      </c>
      <c r="J3687" s="27" t="str">
        <f aca="false">IF(OR(G3687="",G3687="?"),"",IFERROR(INDEX(Pubs!$G$2:$G$3001,MATCH(G3687,Pubs!$A$2:$A$3001,0))&amp;"",""))</f>
        <v/>
      </c>
      <c r="K3687" s="28" t="str">
        <f aca="false">IF(OR(G3687="",G3687="?"),"",IFERROR(INDEX(Pubs!$E$2:$E$3001,MATCH(G3687,Pubs!$A$2:$A$3001,0)),""))</f>
        <v/>
      </c>
      <c r="L3687" s="29" t="str">
        <f aca="false">IF(A3687="","",IFERROR(1/(1/INDEX(Numéros!$C$2:$C$3001,MATCH(A3687&amp;"|"&amp;B3687,Numéros!$F$2:$F$3001,0))),""))</f>
        <v/>
      </c>
      <c r="M3687" s="27" t="str">
        <f aca="false">IF(OR(G3687="",G3687="?"),"",IFERROR(INDEX(Pubs!$D$2:$D$3001,MATCH(G3687,Pubs!$A$2:$A$3001,0))&amp;"",""))</f>
        <v/>
      </c>
      <c r="N3687" s="27" t="n">
        <f aca="false">N(N3686)+IF(AND(A3687&lt;&gt;"",OR(Recherche!$C$4="",A3687=Recherche!$C$4),OR(Recherche!$C$5="",B3687&amp;""=Recherche!$C$5&amp;""),OR(Recherche!$C$6="",IFERROR(YEAR(L3687),0)=Recherche!$C$6),OR(Recherche!$C$7="",ISNUMBER(SEARCH(Recherche!$C$7,H3687))),OR(Recherche!$C$8="",J3687=Recherche!$C$8),OR(Recherche!$C$9="",I3687=Recherche!$C$9),OR(Recherche!$C$10="",G3687&amp;""=Recherche!$C$10&amp;""),OR(Recherche!$C$11="",E3687=Recherche!$C$11),OR(Recherche!$C$12="",ISNUMBER(SEARCH(Recherche!$C$12,M3687&amp;" "&amp;F3687)))),1,0)</f>
        <v>8</v>
      </c>
    </row>
    <row r="3688" customFormat="false" ht="15" hidden="false" customHeight="false" outlineLevel="0" collapsed="false">
      <c r="A3688" s="19"/>
      <c r="B3688" s="19"/>
      <c r="C3688" s="19"/>
      <c r="D3688" s="19"/>
      <c r="E3688" s="22"/>
      <c r="F3688" s="19"/>
      <c r="G3688" s="26" t="str">
        <f aca="false">IF(D3688="","",IFERROR(VALUE(LEFT(D3688,FIND(" |",D3688&amp;" |")-1)),"?"))</f>
        <v/>
      </c>
      <c r="H3688" s="27" t="str">
        <f aca="false">IF(G3688="","",IF(G3688="?","⚠ pub inconnue",IFERROR(INDEX(Pubs!$B$2:$B$3001,MATCH(G3688,Pubs!$A$2:$A$3001,0))&amp;"","⚠ pub inconnue")))</f>
        <v/>
      </c>
      <c r="I3688" s="27" t="str">
        <f aca="false">IF(OR(G3688="",G3688="?"),"",IFERROR(INDEX(Pubs!$C$2:$C$3001,MATCH(G3688,Pubs!$A$2:$A$3001,0))&amp;"",""))</f>
        <v/>
      </c>
      <c r="J3688" s="27" t="str">
        <f aca="false">IF(OR(G3688="",G3688="?"),"",IFERROR(INDEX(Pubs!$G$2:$G$3001,MATCH(G3688,Pubs!$A$2:$A$3001,0))&amp;"",""))</f>
        <v/>
      </c>
      <c r="K3688" s="28" t="str">
        <f aca="false">IF(OR(G3688="",G3688="?"),"",IFERROR(INDEX(Pubs!$E$2:$E$3001,MATCH(G3688,Pubs!$A$2:$A$3001,0)),""))</f>
        <v/>
      </c>
      <c r="L3688" s="29" t="str">
        <f aca="false">IF(A3688="","",IFERROR(1/(1/INDEX(Numéros!$C$2:$C$3001,MATCH(A3688&amp;"|"&amp;B3688,Numéros!$F$2:$F$3001,0))),""))</f>
        <v/>
      </c>
      <c r="M3688" s="27" t="str">
        <f aca="false">IF(OR(G3688="",G3688="?"),"",IFERROR(INDEX(Pubs!$D$2:$D$3001,MATCH(G3688,Pubs!$A$2:$A$3001,0))&amp;"",""))</f>
        <v/>
      </c>
      <c r="N3688" s="27" t="n">
        <f aca="false">N(N3687)+IF(AND(A3688&lt;&gt;"",OR(Recherche!$C$4="",A3688=Recherche!$C$4),OR(Recherche!$C$5="",B3688&amp;""=Recherche!$C$5&amp;""),OR(Recherche!$C$6="",IFERROR(YEAR(L3688),0)=Recherche!$C$6),OR(Recherche!$C$7="",ISNUMBER(SEARCH(Recherche!$C$7,H3688))),OR(Recherche!$C$8="",J3688=Recherche!$C$8),OR(Recherche!$C$9="",I3688=Recherche!$C$9),OR(Recherche!$C$10="",G3688&amp;""=Recherche!$C$10&amp;""),OR(Recherche!$C$11="",E3688=Recherche!$C$11),OR(Recherche!$C$12="",ISNUMBER(SEARCH(Recherche!$C$12,M3688&amp;" "&amp;F3688)))),1,0)</f>
        <v>8</v>
      </c>
    </row>
    <row r="3689" customFormat="false" ht="15" hidden="false" customHeight="false" outlineLevel="0" collapsed="false">
      <c r="A3689" s="19"/>
      <c r="B3689" s="19"/>
      <c r="C3689" s="19"/>
      <c r="D3689" s="19"/>
      <c r="E3689" s="22"/>
      <c r="F3689" s="19"/>
      <c r="G3689" s="26" t="str">
        <f aca="false">IF(D3689="","",IFERROR(VALUE(LEFT(D3689,FIND(" |",D3689&amp;" |")-1)),"?"))</f>
        <v/>
      </c>
      <c r="H3689" s="27" t="str">
        <f aca="false">IF(G3689="","",IF(G3689="?","⚠ pub inconnue",IFERROR(INDEX(Pubs!$B$2:$B$3001,MATCH(G3689,Pubs!$A$2:$A$3001,0))&amp;"","⚠ pub inconnue")))</f>
        <v/>
      </c>
      <c r="I3689" s="27" t="str">
        <f aca="false">IF(OR(G3689="",G3689="?"),"",IFERROR(INDEX(Pubs!$C$2:$C$3001,MATCH(G3689,Pubs!$A$2:$A$3001,0))&amp;"",""))</f>
        <v/>
      </c>
      <c r="J3689" s="27" t="str">
        <f aca="false">IF(OR(G3689="",G3689="?"),"",IFERROR(INDEX(Pubs!$G$2:$G$3001,MATCH(G3689,Pubs!$A$2:$A$3001,0))&amp;"",""))</f>
        <v/>
      </c>
      <c r="K3689" s="28" t="str">
        <f aca="false">IF(OR(G3689="",G3689="?"),"",IFERROR(INDEX(Pubs!$E$2:$E$3001,MATCH(G3689,Pubs!$A$2:$A$3001,0)),""))</f>
        <v/>
      </c>
      <c r="L3689" s="29" t="str">
        <f aca="false">IF(A3689="","",IFERROR(1/(1/INDEX(Numéros!$C$2:$C$3001,MATCH(A3689&amp;"|"&amp;B3689,Numéros!$F$2:$F$3001,0))),""))</f>
        <v/>
      </c>
      <c r="M3689" s="27" t="str">
        <f aca="false">IF(OR(G3689="",G3689="?"),"",IFERROR(INDEX(Pubs!$D$2:$D$3001,MATCH(G3689,Pubs!$A$2:$A$3001,0))&amp;"",""))</f>
        <v/>
      </c>
      <c r="N3689" s="27" t="n">
        <f aca="false">N(N3688)+IF(AND(A3689&lt;&gt;"",OR(Recherche!$C$4="",A3689=Recherche!$C$4),OR(Recherche!$C$5="",B3689&amp;""=Recherche!$C$5&amp;""),OR(Recherche!$C$6="",IFERROR(YEAR(L3689),0)=Recherche!$C$6),OR(Recherche!$C$7="",ISNUMBER(SEARCH(Recherche!$C$7,H3689))),OR(Recherche!$C$8="",J3689=Recherche!$C$8),OR(Recherche!$C$9="",I3689=Recherche!$C$9),OR(Recherche!$C$10="",G3689&amp;""=Recherche!$C$10&amp;""),OR(Recherche!$C$11="",E3689=Recherche!$C$11),OR(Recherche!$C$12="",ISNUMBER(SEARCH(Recherche!$C$12,M3689&amp;" "&amp;F3689)))),1,0)</f>
        <v>8</v>
      </c>
    </row>
    <row r="3690" customFormat="false" ht="15" hidden="false" customHeight="false" outlineLevel="0" collapsed="false">
      <c r="A3690" s="19"/>
      <c r="B3690" s="19"/>
      <c r="C3690" s="19"/>
      <c r="D3690" s="19"/>
      <c r="E3690" s="22"/>
      <c r="F3690" s="19"/>
      <c r="G3690" s="26" t="str">
        <f aca="false">IF(D3690="","",IFERROR(VALUE(LEFT(D3690,FIND(" |",D3690&amp;" |")-1)),"?"))</f>
        <v/>
      </c>
      <c r="H3690" s="27" t="str">
        <f aca="false">IF(G3690="","",IF(G3690="?","⚠ pub inconnue",IFERROR(INDEX(Pubs!$B$2:$B$3001,MATCH(G3690,Pubs!$A$2:$A$3001,0))&amp;"","⚠ pub inconnue")))</f>
        <v/>
      </c>
      <c r="I3690" s="27" t="str">
        <f aca="false">IF(OR(G3690="",G3690="?"),"",IFERROR(INDEX(Pubs!$C$2:$C$3001,MATCH(G3690,Pubs!$A$2:$A$3001,0))&amp;"",""))</f>
        <v/>
      </c>
      <c r="J3690" s="27" t="str">
        <f aca="false">IF(OR(G3690="",G3690="?"),"",IFERROR(INDEX(Pubs!$G$2:$G$3001,MATCH(G3690,Pubs!$A$2:$A$3001,0))&amp;"",""))</f>
        <v/>
      </c>
      <c r="K3690" s="28" t="str">
        <f aca="false">IF(OR(G3690="",G3690="?"),"",IFERROR(INDEX(Pubs!$E$2:$E$3001,MATCH(G3690,Pubs!$A$2:$A$3001,0)),""))</f>
        <v/>
      </c>
      <c r="L3690" s="29" t="str">
        <f aca="false">IF(A3690="","",IFERROR(1/(1/INDEX(Numéros!$C$2:$C$3001,MATCH(A3690&amp;"|"&amp;B3690,Numéros!$F$2:$F$3001,0))),""))</f>
        <v/>
      </c>
      <c r="M3690" s="27" t="str">
        <f aca="false">IF(OR(G3690="",G3690="?"),"",IFERROR(INDEX(Pubs!$D$2:$D$3001,MATCH(G3690,Pubs!$A$2:$A$3001,0))&amp;"",""))</f>
        <v/>
      </c>
      <c r="N3690" s="27" t="n">
        <f aca="false">N(N3689)+IF(AND(A3690&lt;&gt;"",OR(Recherche!$C$4="",A3690=Recherche!$C$4),OR(Recherche!$C$5="",B3690&amp;""=Recherche!$C$5&amp;""),OR(Recherche!$C$6="",IFERROR(YEAR(L3690),0)=Recherche!$C$6),OR(Recherche!$C$7="",ISNUMBER(SEARCH(Recherche!$C$7,H3690))),OR(Recherche!$C$8="",J3690=Recherche!$C$8),OR(Recherche!$C$9="",I3690=Recherche!$C$9),OR(Recherche!$C$10="",G3690&amp;""=Recherche!$C$10&amp;""),OR(Recherche!$C$11="",E3690=Recherche!$C$11),OR(Recherche!$C$12="",ISNUMBER(SEARCH(Recherche!$C$12,M3690&amp;" "&amp;F3690)))),1,0)</f>
        <v>8</v>
      </c>
    </row>
    <row r="3691" customFormat="false" ht="15" hidden="false" customHeight="false" outlineLevel="0" collapsed="false">
      <c r="A3691" s="19"/>
      <c r="B3691" s="19"/>
      <c r="C3691" s="19"/>
      <c r="D3691" s="19"/>
      <c r="E3691" s="22"/>
      <c r="F3691" s="19"/>
      <c r="G3691" s="26" t="str">
        <f aca="false">IF(D3691="","",IFERROR(VALUE(LEFT(D3691,FIND(" |",D3691&amp;" |")-1)),"?"))</f>
        <v/>
      </c>
      <c r="H3691" s="27" t="str">
        <f aca="false">IF(G3691="","",IF(G3691="?","⚠ pub inconnue",IFERROR(INDEX(Pubs!$B$2:$B$3001,MATCH(G3691,Pubs!$A$2:$A$3001,0))&amp;"","⚠ pub inconnue")))</f>
        <v/>
      </c>
      <c r="I3691" s="27" t="str">
        <f aca="false">IF(OR(G3691="",G3691="?"),"",IFERROR(INDEX(Pubs!$C$2:$C$3001,MATCH(G3691,Pubs!$A$2:$A$3001,0))&amp;"",""))</f>
        <v/>
      </c>
      <c r="J3691" s="27" t="str">
        <f aca="false">IF(OR(G3691="",G3691="?"),"",IFERROR(INDEX(Pubs!$G$2:$G$3001,MATCH(G3691,Pubs!$A$2:$A$3001,0))&amp;"",""))</f>
        <v/>
      </c>
      <c r="K3691" s="28" t="str">
        <f aca="false">IF(OR(G3691="",G3691="?"),"",IFERROR(INDEX(Pubs!$E$2:$E$3001,MATCH(G3691,Pubs!$A$2:$A$3001,0)),""))</f>
        <v/>
      </c>
      <c r="L3691" s="29" t="str">
        <f aca="false">IF(A3691="","",IFERROR(1/(1/INDEX(Numéros!$C$2:$C$3001,MATCH(A3691&amp;"|"&amp;B3691,Numéros!$F$2:$F$3001,0))),""))</f>
        <v/>
      </c>
      <c r="M3691" s="27" t="str">
        <f aca="false">IF(OR(G3691="",G3691="?"),"",IFERROR(INDEX(Pubs!$D$2:$D$3001,MATCH(G3691,Pubs!$A$2:$A$3001,0))&amp;"",""))</f>
        <v/>
      </c>
      <c r="N3691" s="27" t="n">
        <f aca="false">N(N3690)+IF(AND(A3691&lt;&gt;"",OR(Recherche!$C$4="",A3691=Recherche!$C$4),OR(Recherche!$C$5="",B3691&amp;""=Recherche!$C$5&amp;""),OR(Recherche!$C$6="",IFERROR(YEAR(L3691),0)=Recherche!$C$6),OR(Recherche!$C$7="",ISNUMBER(SEARCH(Recherche!$C$7,H3691))),OR(Recherche!$C$8="",J3691=Recherche!$C$8),OR(Recherche!$C$9="",I3691=Recherche!$C$9),OR(Recherche!$C$10="",G3691&amp;""=Recherche!$C$10&amp;""),OR(Recherche!$C$11="",E3691=Recherche!$C$11),OR(Recherche!$C$12="",ISNUMBER(SEARCH(Recherche!$C$12,M3691&amp;" "&amp;F3691)))),1,0)</f>
        <v>8</v>
      </c>
    </row>
    <row r="3692" customFormat="false" ht="15" hidden="false" customHeight="false" outlineLevel="0" collapsed="false">
      <c r="A3692" s="19"/>
      <c r="B3692" s="19"/>
      <c r="C3692" s="19"/>
      <c r="D3692" s="19"/>
      <c r="E3692" s="22"/>
      <c r="F3692" s="19"/>
      <c r="G3692" s="26" t="str">
        <f aca="false">IF(D3692="","",IFERROR(VALUE(LEFT(D3692,FIND(" |",D3692&amp;" |")-1)),"?"))</f>
        <v/>
      </c>
      <c r="H3692" s="27" t="str">
        <f aca="false">IF(G3692="","",IF(G3692="?","⚠ pub inconnue",IFERROR(INDEX(Pubs!$B$2:$B$3001,MATCH(G3692,Pubs!$A$2:$A$3001,0))&amp;"","⚠ pub inconnue")))</f>
        <v/>
      </c>
      <c r="I3692" s="27" t="str">
        <f aca="false">IF(OR(G3692="",G3692="?"),"",IFERROR(INDEX(Pubs!$C$2:$C$3001,MATCH(G3692,Pubs!$A$2:$A$3001,0))&amp;"",""))</f>
        <v/>
      </c>
      <c r="J3692" s="27" t="str">
        <f aca="false">IF(OR(G3692="",G3692="?"),"",IFERROR(INDEX(Pubs!$G$2:$G$3001,MATCH(G3692,Pubs!$A$2:$A$3001,0))&amp;"",""))</f>
        <v/>
      </c>
      <c r="K3692" s="28" t="str">
        <f aca="false">IF(OR(G3692="",G3692="?"),"",IFERROR(INDEX(Pubs!$E$2:$E$3001,MATCH(G3692,Pubs!$A$2:$A$3001,0)),""))</f>
        <v/>
      </c>
      <c r="L3692" s="29" t="str">
        <f aca="false">IF(A3692="","",IFERROR(1/(1/INDEX(Numéros!$C$2:$C$3001,MATCH(A3692&amp;"|"&amp;B3692,Numéros!$F$2:$F$3001,0))),""))</f>
        <v/>
      </c>
      <c r="M3692" s="27" t="str">
        <f aca="false">IF(OR(G3692="",G3692="?"),"",IFERROR(INDEX(Pubs!$D$2:$D$3001,MATCH(G3692,Pubs!$A$2:$A$3001,0))&amp;"",""))</f>
        <v/>
      </c>
      <c r="N3692" s="27" t="n">
        <f aca="false">N(N3691)+IF(AND(A3692&lt;&gt;"",OR(Recherche!$C$4="",A3692=Recherche!$C$4),OR(Recherche!$C$5="",B3692&amp;""=Recherche!$C$5&amp;""),OR(Recherche!$C$6="",IFERROR(YEAR(L3692),0)=Recherche!$C$6),OR(Recherche!$C$7="",ISNUMBER(SEARCH(Recherche!$C$7,H3692))),OR(Recherche!$C$8="",J3692=Recherche!$C$8),OR(Recherche!$C$9="",I3692=Recherche!$C$9),OR(Recherche!$C$10="",G3692&amp;""=Recherche!$C$10&amp;""),OR(Recherche!$C$11="",E3692=Recherche!$C$11),OR(Recherche!$C$12="",ISNUMBER(SEARCH(Recherche!$C$12,M3692&amp;" "&amp;F3692)))),1,0)</f>
        <v>8</v>
      </c>
    </row>
    <row r="3693" customFormat="false" ht="15" hidden="false" customHeight="false" outlineLevel="0" collapsed="false">
      <c r="A3693" s="19"/>
      <c r="B3693" s="19"/>
      <c r="C3693" s="19"/>
      <c r="D3693" s="19"/>
      <c r="E3693" s="22"/>
      <c r="F3693" s="19"/>
      <c r="G3693" s="26" t="str">
        <f aca="false">IF(D3693="","",IFERROR(VALUE(LEFT(D3693,FIND(" |",D3693&amp;" |")-1)),"?"))</f>
        <v/>
      </c>
      <c r="H3693" s="27" t="str">
        <f aca="false">IF(G3693="","",IF(G3693="?","⚠ pub inconnue",IFERROR(INDEX(Pubs!$B$2:$B$3001,MATCH(G3693,Pubs!$A$2:$A$3001,0))&amp;"","⚠ pub inconnue")))</f>
        <v/>
      </c>
      <c r="I3693" s="27" t="str">
        <f aca="false">IF(OR(G3693="",G3693="?"),"",IFERROR(INDEX(Pubs!$C$2:$C$3001,MATCH(G3693,Pubs!$A$2:$A$3001,0))&amp;"",""))</f>
        <v/>
      </c>
      <c r="J3693" s="27" t="str">
        <f aca="false">IF(OR(G3693="",G3693="?"),"",IFERROR(INDEX(Pubs!$G$2:$G$3001,MATCH(G3693,Pubs!$A$2:$A$3001,0))&amp;"",""))</f>
        <v/>
      </c>
      <c r="K3693" s="28" t="str">
        <f aca="false">IF(OR(G3693="",G3693="?"),"",IFERROR(INDEX(Pubs!$E$2:$E$3001,MATCH(G3693,Pubs!$A$2:$A$3001,0)),""))</f>
        <v/>
      </c>
      <c r="L3693" s="29" t="str">
        <f aca="false">IF(A3693="","",IFERROR(1/(1/INDEX(Numéros!$C$2:$C$3001,MATCH(A3693&amp;"|"&amp;B3693,Numéros!$F$2:$F$3001,0))),""))</f>
        <v/>
      </c>
      <c r="M3693" s="27" t="str">
        <f aca="false">IF(OR(G3693="",G3693="?"),"",IFERROR(INDEX(Pubs!$D$2:$D$3001,MATCH(G3693,Pubs!$A$2:$A$3001,0))&amp;"",""))</f>
        <v/>
      </c>
      <c r="N3693" s="27" t="n">
        <f aca="false">N(N3692)+IF(AND(A3693&lt;&gt;"",OR(Recherche!$C$4="",A3693=Recherche!$C$4),OR(Recherche!$C$5="",B3693&amp;""=Recherche!$C$5&amp;""),OR(Recherche!$C$6="",IFERROR(YEAR(L3693),0)=Recherche!$C$6),OR(Recherche!$C$7="",ISNUMBER(SEARCH(Recherche!$C$7,H3693))),OR(Recherche!$C$8="",J3693=Recherche!$C$8),OR(Recherche!$C$9="",I3693=Recherche!$C$9),OR(Recherche!$C$10="",G3693&amp;""=Recherche!$C$10&amp;""),OR(Recherche!$C$11="",E3693=Recherche!$C$11),OR(Recherche!$C$12="",ISNUMBER(SEARCH(Recherche!$C$12,M3693&amp;" "&amp;F3693)))),1,0)</f>
        <v>8</v>
      </c>
    </row>
    <row r="3694" customFormat="false" ht="15" hidden="false" customHeight="false" outlineLevel="0" collapsed="false">
      <c r="A3694" s="19"/>
      <c r="B3694" s="19"/>
      <c r="C3694" s="19"/>
      <c r="D3694" s="19"/>
      <c r="E3694" s="22"/>
      <c r="F3694" s="19"/>
      <c r="G3694" s="26" t="str">
        <f aca="false">IF(D3694="","",IFERROR(VALUE(LEFT(D3694,FIND(" |",D3694&amp;" |")-1)),"?"))</f>
        <v/>
      </c>
      <c r="H3694" s="27" t="str">
        <f aca="false">IF(G3694="","",IF(G3694="?","⚠ pub inconnue",IFERROR(INDEX(Pubs!$B$2:$B$3001,MATCH(G3694,Pubs!$A$2:$A$3001,0))&amp;"","⚠ pub inconnue")))</f>
        <v/>
      </c>
      <c r="I3694" s="27" t="str">
        <f aca="false">IF(OR(G3694="",G3694="?"),"",IFERROR(INDEX(Pubs!$C$2:$C$3001,MATCH(G3694,Pubs!$A$2:$A$3001,0))&amp;"",""))</f>
        <v/>
      </c>
      <c r="J3694" s="27" t="str">
        <f aca="false">IF(OR(G3694="",G3694="?"),"",IFERROR(INDEX(Pubs!$G$2:$G$3001,MATCH(G3694,Pubs!$A$2:$A$3001,0))&amp;"",""))</f>
        <v/>
      </c>
      <c r="K3694" s="28" t="str">
        <f aca="false">IF(OR(G3694="",G3694="?"),"",IFERROR(INDEX(Pubs!$E$2:$E$3001,MATCH(G3694,Pubs!$A$2:$A$3001,0)),""))</f>
        <v/>
      </c>
      <c r="L3694" s="29" t="str">
        <f aca="false">IF(A3694="","",IFERROR(1/(1/INDEX(Numéros!$C$2:$C$3001,MATCH(A3694&amp;"|"&amp;B3694,Numéros!$F$2:$F$3001,0))),""))</f>
        <v/>
      </c>
      <c r="M3694" s="27" t="str">
        <f aca="false">IF(OR(G3694="",G3694="?"),"",IFERROR(INDEX(Pubs!$D$2:$D$3001,MATCH(G3694,Pubs!$A$2:$A$3001,0))&amp;"",""))</f>
        <v/>
      </c>
      <c r="N3694" s="27" t="n">
        <f aca="false">N(N3693)+IF(AND(A3694&lt;&gt;"",OR(Recherche!$C$4="",A3694=Recherche!$C$4),OR(Recherche!$C$5="",B3694&amp;""=Recherche!$C$5&amp;""),OR(Recherche!$C$6="",IFERROR(YEAR(L3694),0)=Recherche!$C$6),OR(Recherche!$C$7="",ISNUMBER(SEARCH(Recherche!$C$7,H3694))),OR(Recherche!$C$8="",J3694=Recherche!$C$8),OR(Recherche!$C$9="",I3694=Recherche!$C$9),OR(Recherche!$C$10="",G3694&amp;""=Recherche!$C$10&amp;""),OR(Recherche!$C$11="",E3694=Recherche!$C$11),OR(Recherche!$C$12="",ISNUMBER(SEARCH(Recherche!$C$12,M3694&amp;" "&amp;F3694)))),1,0)</f>
        <v>8</v>
      </c>
    </row>
    <row r="3695" customFormat="false" ht="15" hidden="false" customHeight="false" outlineLevel="0" collapsed="false">
      <c r="A3695" s="19"/>
      <c r="B3695" s="19"/>
      <c r="C3695" s="19"/>
      <c r="D3695" s="19"/>
      <c r="E3695" s="22"/>
      <c r="F3695" s="19"/>
      <c r="G3695" s="26" t="str">
        <f aca="false">IF(D3695="","",IFERROR(VALUE(LEFT(D3695,FIND(" |",D3695&amp;" |")-1)),"?"))</f>
        <v/>
      </c>
      <c r="H3695" s="27" t="str">
        <f aca="false">IF(G3695="","",IF(G3695="?","⚠ pub inconnue",IFERROR(INDEX(Pubs!$B$2:$B$3001,MATCH(G3695,Pubs!$A$2:$A$3001,0))&amp;"","⚠ pub inconnue")))</f>
        <v/>
      </c>
      <c r="I3695" s="27" t="str">
        <f aca="false">IF(OR(G3695="",G3695="?"),"",IFERROR(INDEX(Pubs!$C$2:$C$3001,MATCH(G3695,Pubs!$A$2:$A$3001,0))&amp;"",""))</f>
        <v/>
      </c>
      <c r="J3695" s="27" t="str">
        <f aca="false">IF(OR(G3695="",G3695="?"),"",IFERROR(INDEX(Pubs!$G$2:$G$3001,MATCH(G3695,Pubs!$A$2:$A$3001,0))&amp;"",""))</f>
        <v/>
      </c>
      <c r="K3695" s="28" t="str">
        <f aca="false">IF(OR(G3695="",G3695="?"),"",IFERROR(INDEX(Pubs!$E$2:$E$3001,MATCH(G3695,Pubs!$A$2:$A$3001,0)),""))</f>
        <v/>
      </c>
      <c r="L3695" s="29" t="str">
        <f aca="false">IF(A3695="","",IFERROR(1/(1/INDEX(Numéros!$C$2:$C$3001,MATCH(A3695&amp;"|"&amp;B3695,Numéros!$F$2:$F$3001,0))),""))</f>
        <v/>
      </c>
      <c r="M3695" s="27" t="str">
        <f aca="false">IF(OR(G3695="",G3695="?"),"",IFERROR(INDEX(Pubs!$D$2:$D$3001,MATCH(G3695,Pubs!$A$2:$A$3001,0))&amp;"",""))</f>
        <v/>
      </c>
      <c r="N3695" s="27" t="n">
        <f aca="false">N(N3694)+IF(AND(A3695&lt;&gt;"",OR(Recherche!$C$4="",A3695=Recherche!$C$4),OR(Recherche!$C$5="",B3695&amp;""=Recherche!$C$5&amp;""),OR(Recherche!$C$6="",IFERROR(YEAR(L3695),0)=Recherche!$C$6),OR(Recherche!$C$7="",ISNUMBER(SEARCH(Recherche!$C$7,H3695))),OR(Recherche!$C$8="",J3695=Recherche!$C$8),OR(Recherche!$C$9="",I3695=Recherche!$C$9),OR(Recherche!$C$10="",G3695&amp;""=Recherche!$C$10&amp;""),OR(Recherche!$C$11="",E3695=Recherche!$C$11),OR(Recherche!$C$12="",ISNUMBER(SEARCH(Recherche!$C$12,M3695&amp;" "&amp;F3695)))),1,0)</f>
        <v>8</v>
      </c>
    </row>
    <row r="3696" customFormat="false" ht="15" hidden="false" customHeight="false" outlineLevel="0" collapsed="false">
      <c r="A3696" s="19"/>
      <c r="B3696" s="19"/>
      <c r="C3696" s="19"/>
      <c r="D3696" s="19"/>
      <c r="E3696" s="22"/>
      <c r="F3696" s="19"/>
      <c r="G3696" s="26" t="str">
        <f aca="false">IF(D3696="","",IFERROR(VALUE(LEFT(D3696,FIND(" |",D3696&amp;" |")-1)),"?"))</f>
        <v/>
      </c>
      <c r="H3696" s="27" t="str">
        <f aca="false">IF(G3696="","",IF(G3696="?","⚠ pub inconnue",IFERROR(INDEX(Pubs!$B$2:$B$3001,MATCH(G3696,Pubs!$A$2:$A$3001,0))&amp;"","⚠ pub inconnue")))</f>
        <v/>
      </c>
      <c r="I3696" s="27" t="str">
        <f aca="false">IF(OR(G3696="",G3696="?"),"",IFERROR(INDEX(Pubs!$C$2:$C$3001,MATCH(G3696,Pubs!$A$2:$A$3001,0))&amp;"",""))</f>
        <v/>
      </c>
      <c r="J3696" s="27" t="str">
        <f aca="false">IF(OR(G3696="",G3696="?"),"",IFERROR(INDEX(Pubs!$G$2:$G$3001,MATCH(G3696,Pubs!$A$2:$A$3001,0))&amp;"",""))</f>
        <v/>
      </c>
      <c r="K3696" s="28" t="str">
        <f aca="false">IF(OR(G3696="",G3696="?"),"",IFERROR(INDEX(Pubs!$E$2:$E$3001,MATCH(G3696,Pubs!$A$2:$A$3001,0)),""))</f>
        <v/>
      </c>
      <c r="L3696" s="29" t="str">
        <f aca="false">IF(A3696="","",IFERROR(1/(1/INDEX(Numéros!$C$2:$C$3001,MATCH(A3696&amp;"|"&amp;B3696,Numéros!$F$2:$F$3001,0))),""))</f>
        <v/>
      </c>
      <c r="M3696" s="27" t="str">
        <f aca="false">IF(OR(G3696="",G3696="?"),"",IFERROR(INDEX(Pubs!$D$2:$D$3001,MATCH(G3696,Pubs!$A$2:$A$3001,0))&amp;"",""))</f>
        <v/>
      </c>
      <c r="N3696" s="27" t="n">
        <f aca="false">N(N3695)+IF(AND(A3696&lt;&gt;"",OR(Recherche!$C$4="",A3696=Recherche!$C$4),OR(Recherche!$C$5="",B3696&amp;""=Recherche!$C$5&amp;""),OR(Recherche!$C$6="",IFERROR(YEAR(L3696),0)=Recherche!$C$6),OR(Recherche!$C$7="",ISNUMBER(SEARCH(Recherche!$C$7,H3696))),OR(Recherche!$C$8="",J3696=Recherche!$C$8),OR(Recherche!$C$9="",I3696=Recherche!$C$9),OR(Recherche!$C$10="",G3696&amp;""=Recherche!$C$10&amp;""),OR(Recherche!$C$11="",E3696=Recherche!$C$11),OR(Recherche!$C$12="",ISNUMBER(SEARCH(Recherche!$C$12,M3696&amp;" "&amp;F3696)))),1,0)</f>
        <v>8</v>
      </c>
    </row>
    <row r="3697" customFormat="false" ht="15" hidden="false" customHeight="false" outlineLevel="0" collapsed="false">
      <c r="A3697" s="19"/>
      <c r="B3697" s="19"/>
      <c r="C3697" s="19"/>
      <c r="D3697" s="19"/>
      <c r="E3697" s="22"/>
      <c r="F3697" s="19"/>
      <c r="G3697" s="26" t="str">
        <f aca="false">IF(D3697="","",IFERROR(VALUE(LEFT(D3697,FIND(" |",D3697&amp;" |")-1)),"?"))</f>
        <v/>
      </c>
      <c r="H3697" s="27" t="str">
        <f aca="false">IF(G3697="","",IF(G3697="?","⚠ pub inconnue",IFERROR(INDEX(Pubs!$B$2:$B$3001,MATCH(G3697,Pubs!$A$2:$A$3001,0))&amp;"","⚠ pub inconnue")))</f>
        <v/>
      </c>
      <c r="I3697" s="27" t="str">
        <f aca="false">IF(OR(G3697="",G3697="?"),"",IFERROR(INDEX(Pubs!$C$2:$C$3001,MATCH(G3697,Pubs!$A$2:$A$3001,0))&amp;"",""))</f>
        <v/>
      </c>
      <c r="J3697" s="27" t="str">
        <f aca="false">IF(OR(G3697="",G3697="?"),"",IFERROR(INDEX(Pubs!$G$2:$G$3001,MATCH(G3697,Pubs!$A$2:$A$3001,0))&amp;"",""))</f>
        <v/>
      </c>
      <c r="K3697" s="28" t="str">
        <f aca="false">IF(OR(G3697="",G3697="?"),"",IFERROR(INDEX(Pubs!$E$2:$E$3001,MATCH(G3697,Pubs!$A$2:$A$3001,0)),""))</f>
        <v/>
      </c>
      <c r="L3697" s="29" t="str">
        <f aca="false">IF(A3697="","",IFERROR(1/(1/INDEX(Numéros!$C$2:$C$3001,MATCH(A3697&amp;"|"&amp;B3697,Numéros!$F$2:$F$3001,0))),""))</f>
        <v/>
      </c>
      <c r="M3697" s="27" t="str">
        <f aca="false">IF(OR(G3697="",G3697="?"),"",IFERROR(INDEX(Pubs!$D$2:$D$3001,MATCH(G3697,Pubs!$A$2:$A$3001,0))&amp;"",""))</f>
        <v/>
      </c>
      <c r="N3697" s="27" t="n">
        <f aca="false">N(N3696)+IF(AND(A3697&lt;&gt;"",OR(Recherche!$C$4="",A3697=Recherche!$C$4),OR(Recherche!$C$5="",B3697&amp;""=Recherche!$C$5&amp;""),OR(Recherche!$C$6="",IFERROR(YEAR(L3697),0)=Recherche!$C$6),OR(Recherche!$C$7="",ISNUMBER(SEARCH(Recherche!$C$7,H3697))),OR(Recherche!$C$8="",J3697=Recherche!$C$8),OR(Recherche!$C$9="",I3697=Recherche!$C$9),OR(Recherche!$C$10="",G3697&amp;""=Recherche!$C$10&amp;""),OR(Recherche!$C$11="",E3697=Recherche!$C$11),OR(Recherche!$C$12="",ISNUMBER(SEARCH(Recherche!$C$12,M3697&amp;" "&amp;F3697)))),1,0)</f>
        <v>8</v>
      </c>
    </row>
    <row r="3698" customFormat="false" ht="15" hidden="false" customHeight="false" outlineLevel="0" collapsed="false">
      <c r="A3698" s="19"/>
      <c r="B3698" s="19"/>
      <c r="C3698" s="19"/>
      <c r="D3698" s="19"/>
      <c r="E3698" s="22"/>
      <c r="F3698" s="19"/>
      <c r="G3698" s="26" t="str">
        <f aca="false">IF(D3698="","",IFERROR(VALUE(LEFT(D3698,FIND(" |",D3698&amp;" |")-1)),"?"))</f>
        <v/>
      </c>
      <c r="H3698" s="27" t="str">
        <f aca="false">IF(G3698="","",IF(G3698="?","⚠ pub inconnue",IFERROR(INDEX(Pubs!$B$2:$B$3001,MATCH(G3698,Pubs!$A$2:$A$3001,0))&amp;"","⚠ pub inconnue")))</f>
        <v/>
      </c>
      <c r="I3698" s="27" t="str">
        <f aca="false">IF(OR(G3698="",G3698="?"),"",IFERROR(INDEX(Pubs!$C$2:$C$3001,MATCH(G3698,Pubs!$A$2:$A$3001,0))&amp;"",""))</f>
        <v/>
      </c>
      <c r="J3698" s="27" t="str">
        <f aca="false">IF(OR(G3698="",G3698="?"),"",IFERROR(INDEX(Pubs!$G$2:$G$3001,MATCH(G3698,Pubs!$A$2:$A$3001,0))&amp;"",""))</f>
        <v/>
      </c>
      <c r="K3698" s="28" t="str">
        <f aca="false">IF(OR(G3698="",G3698="?"),"",IFERROR(INDEX(Pubs!$E$2:$E$3001,MATCH(G3698,Pubs!$A$2:$A$3001,0)),""))</f>
        <v/>
      </c>
      <c r="L3698" s="29" t="str">
        <f aca="false">IF(A3698="","",IFERROR(1/(1/INDEX(Numéros!$C$2:$C$3001,MATCH(A3698&amp;"|"&amp;B3698,Numéros!$F$2:$F$3001,0))),""))</f>
        <v/>
      </c>
      <c r="M3698" s="27" t="str">
        <f aca="false">IF(OR(G3698="",G3698="?"),"",IFERROR(INDEX(Pubs!$D$2:$D$3001,MATCH(G3698,Pubs!$A$2:$A$3001,0))&amp;"",""))</f>
        <v/>
      </c>
      <c r="N3698" s="27" t="n">
        <f aca="false">N(N3697)+IF(AND(A3698&lt;&gt;"",OR(Recherche!$C$4="",A3698=Recherche!$C$4),OR(Recherche!$C$5="",B3698&amp;""=Recherche!$C$5&amp;""),OR(Recherche!$C$6="",IFERROR(YEAR(L3698),0)=Recherche!$C$6),OR(Recherche!$C$7="",ISNUMBER(SEARCH(Recherche!$C$7,H3698))),OR(Recherche!$C$8="",J3698=Recherche!$C$8),OR(Recherche!$C$9="",I3698=Recherche!$C$9),OR(Recherche!$C$10="",G3698&amp;""=Recherche!$C$10&amp;""),OR(Recherche!$C$11="",E3698=Recherche!$C$11),OR(Recherche!$C$12="",ISNUMBER(SEARCH(Recherche!$C$12,M3698&amp;" "&amp;F3698)))),1,0)</f>
        <v>8</v>
      </c>
    </row>
    <row r="3699" customFormat="false" ht="15" hidden="false" customHeight="false" outlineLevel="0" collapsed="false">
      <c r="A3699" s="19"/>
      <c r="B3699" s="19"/>
      <c r="C3699" s="19"/>
      <c r="D3699" s="19"/>
      <c r="E3699" s="22"/>
      <c r="F3699" s="19"/>
      <c r="G3699" s="26" t="str">
        <f aca="false">IF(D3699="","",IFERROR(VALUE(LEFT(D3699,FIND(" |",D3699&amp;" |")-1)),"?"))</f>
        <v/>
      </c>
      <c r="H3699" s="27" t="str">
        <f aca="false">IF(G3699="","",IF(G3699="?","⚠ pub inconnue",IFERROR(INDEX(Pubs!$B$2:$B$3001,MATCH(G3699,Pubs!$A$2:$A$3001,0))&amp;"","⚠ pub inconnue")))</f>
        <v/>
      </c>
      <c r="I3699" s="27" t="str">
        <f aca="false">IF(OR(G3699="",G3699="?"),"",IFERROR(INDEX(Pubs!$C$2:$C$3001,MATCH(G3699,Pubs!$A$2:$A$3001,0))&amp;"",""))</f>
        <v/>
      </c>
      <c r="J3699" s="27" t="str">
        <f aca="false">IF(OR(G3699="",G3699="?"),"",IFERROR(INDEX(Pubs!$G$2:$G$3001,MATCH(G3699,Pubs!$A$2:$A$3001,0))&amp;"",""))</f>
        <v/>
      </c>
      <c r="K3699" s="28" t="str">
        <f aca="false">IF(OR(G3699="",G3699="?"),"",IFERROR(INDEX(Pubs!$E$2:$E$3001,MATCH(G3699,Pubs!$A$2:$A$3001,0)),""))</f>
        <v/>
      </c>
      <c r="L3699" s="29" t="str">
        <f aca="false">IF(A3699="","",IFERROR(1/(1/INDEX(Numéros!$C$2:$C$3001,MATCH(A3699&amp;"|"&amp;B3699,Numéros!$F$2:$F$3001,0))),""))</f>
        <v/>
      </c>
      <c r="M3699" s="27" t="str">
        <f aca="false">IF(OR(G3699="",G3699="?"),"",IFERROR(INDEX(Pubs!$D$2:$D$3001,MATCH(G3699,Pubs!$A$2:$A$3001,0))&amp;"",""))</f>
        <v/>
      </c>
      <c r="N3699" s="27" t="n">
        <f aca="false">N(N3698)+IF(AND(A3699&lt;&gt;"",OR(Recherche!$C$4="",A3699=Recherche!$C$4),OR(Recherche!$C$5="",B3699&amp;""=Recherche!$C$5&amp;""),OR(Recherche!$C$6="",IFERROR(YEAR(L3699),0)=Recherche!$C$6),OR(Recherche!$C$7="",ISNUMBER(SEARCH(Recherche!$C$7,H3699))),OR(Recherche!$C$8="",J3699=Recherche!$C$8),OR(Recherche!$C$9="",I3699=Recherche!$C$9),OR(Recherche!$C$10="",G3699&amp;""=Recherche!$C$10&amp;""),OR(Recherche!$C$11="",E3699=Recherche!$C$11),OR(Recherche!$C$12="",ISNUMBER(SEARCH(Recherche!$C$12,M3699&amp;" "&amp;F3699)))),1,0)</f>
        <v>8</v>
      </c>
    </row>
    <row r="3700" customFormat="false" ht="15" hidden="false" customHeight="false" outlineLevel="0" collapsed="false">
      <c r="A3700" s="19"/>
      <c r="B3700" s="19"/>
      <c r="C3700" s="19"/>
      <c r="D3700" s="19"/>
      <c r="E3700" s="22"/>
      <c r="F3700" s="19"/>
      <c r="G3700" s="26" t="str">
        <f aca="false">IF(D3700="","",IFERROR(VALUE(LEFT(D3700,FIND(" |",D3700&amp;" |")-1)),"?"))</f>
        <v/>
      </c>
      <c r="H3700" s="27" t="str">
        <f aca="false">IF(G3700="","",IF(G3700="?","⚠ pub inconnue",IFERROR(INDEX(Pubs!$B$2:$B$3001,MATCH(G3700,Pubs!$A$2:$A$3001,0))&amp;"","⚠ pub inconnue")))</f>
        <v/>
      </c>
      <c r="I3700" s="27" t="str">
        <f aca="false">IF(OR(G3700="",G3700="?"),"",IFERROR(INDEX(Pubs!$C$2:$C$3001,MATCH(G3700,Pubs!$A$2:$A$3001,0))&amp;"",""))</f>
        <v/>
      </c>
      <c r="J3700" s="27" t="str">
        <f aca="false">IF(OR(G3700="",G3700="?"),"",IFERROR(INDEX(Pubs!$G$2:$G$3001,MATCH(G3700,Pubs!$A$2:$A$3001,0))&amp;"",""))</f>
        <v/>
      </c>
      <c r="K3700" s="28" t="str">
        <f aca="false">IF(OR(G3700="",G3700="?"),"",IFERROR(INDEX(Pubs!$E$2:$E$3001,MATCH(G3700,Pubs!$A$2:$A$3001,0)),""))</f>
        <v/>
      </c>
      <c r="L3700" s="29" t="str">
        <f aca="false">IF(A3700="","",IFERROR(1/(1/INDEX(Numéros!$C$2:$C$3001,MATCH(A3700&amp;"|"&amp;B3700,Numéros!$F$2:$F$3001,0))),""))</f>
        <v/>
      </c>
      <c r="M3700" s="27" t="str">
        <f aca="false">IF(OR(G3700="",G3700="?"),"",IFERROR(INDEX(Pubs!$D$2:$D$3001,MATCH(G3700,Pubs!$A$2:$A$3001,0))&amp;"",""))</f>
        <v/>
      </c>
      <c r="N3700" s="27" t="n">
        <f aca="false">N(N3699)+IF(AND(A3700&lt;&gt;"",OR(Recherche!$C$4="",A3700=Recherche!$C$4),OR(Recherche!$C$5="",B3700&amp;""=Recherche!$C$5&amp;""),OR(Recherche!$C$6="",IFERROR(YEAR(L3700),0)=Recherche!$C$6),OR(Recherche!$C$7="",ISNUMBER(SEARCH(Recherche!$C$7,H3700))),OR(Recherche!$C$8="",J3700=Recherche!$C$8),OR(Recherche!$C$9="",I3700=Recherche!$C$9),OR(Recherche!$C$10="",G3700&amp;""=Recherche!$C$10&amp;""),OR(Recherche!$C$11="",E3700=Recherche!$C$11),OR(Recherche!$C$12="",ISNUMBER(SEARCH(Recherche!$C$12,M3700&amp;" "&amp;F3700)))),1,0)</f>
        <v>8</v>
      </c>
    </row>
    <row r="3701" customFormat="false" ht="15" hidden="false" customHeight="false" outlineLevel="0" collapsed="false">
      <c r="A3701" s="19"/>
      <c r="B3701" s="19"/>
      <c r="C3701" s="19"/>
      <c r="D3701" s="19"/>
      <c r="E3701" s="22"/>
      <c r="F3701" s="19"/>
      <c r="G3701" s="26" t="str">
        <f aca="false">IF(D3701="","",IFERROR(VALUE(LEFT(D3701,FIND(" |",D3701&amp;" |")-1)),"?"))</f>
        <v/>
      </c>
      <c r="H3701" s="27" t="str">
        <f aca="false">IF(G3701="","",IF(G3701="?","⚠ pub inconnue",IFERROR(INDEX(Pubs!$B$2:$B$3001,MATCH(G3701,Pubs!$A$2:$A$3001,0))&amp;"","⚠ pub inconnue")))</f>
        <v/>
      </c>
      <c r="I3701" s="27" t="str">
        <f aca="false">IF(OR(G3701="",G3701="?"),"",IFERROR(INDEX(Pubs!$C$2:$C$3001,MATCH(G3701,Pubs!$A$2:$A$3001,0))&amp;"",""))</f>
        <v/>
      </c>
      <c r="J3701" s="27" t="str">
        <f aca="false">IF(OR(G3701="",G3701="?"),"",IFERROR(INDEX(Pubs!$G$2:$G$3001,MATCH(G3701,Pubs!$A$2:$A$3001,0))&amp;"",""))</f>
        <v/>
      </c>
      <c r="K3701" s="28" t="str">
        <f aca="false">IF(OR(G3701="",G3701="?"),"",IFERROR(INDEX(Pubs!$E$2:$E$3001,MATCH(G3701,Pubs!$A$2:$A$3001,0)),""))</f>
        <v/>
      </c>
      <c r="L3701" s="29" t="str">
        <f aca="false">IF(A3701="","",IFERROR(1/(1/INDEX(Numéros!$C$2:$C$3001,MATCH(A3701&amp;"|"&amp;B3701,Numéros!$F$2:$F$3001,0))),""))</f>
        <v/>
      </c>
      <c r="M3701" s="27" t="str">
        <f aca="false">IF(OR(G3701="",G3701="?"),"",IFERROR(INDEX(Pubs!$D$2:$D$3001,MATCH(G3701,Pubs!$A$2:$A$3001,0))&amp;"",""))</f>
        <v/>
      </c>
      <c r="N3701" s="27" t="n">
        <f aca="false">N(N3700)+IF(AND(A3701&lt;&gt;"",OR(Recherche!$C$4="",A3701=Recherche!$C$4),OR(Recherche!$C$5="",B3701&amp;""=Recherche!$C$5&amp;""),OR(Recherche!$C$6="",IFERROR(YEAR(L3701),0)=Recherche!$C$6),OR(Recherche!$C$7="",ISNUMBER(SEARCH(Recherche!$C$7,H3701))),OR(Recherche!$C$8="",J3701=Recherche!$C$8),OR(Recherche!$C$9="",I3701=Recherche!$C$9),OR(Recherche!$C$10="",G3701&amp;""=Recherche!$C$10&amp;""),OR(Recherche!$C$11="",E3701=Recherche!$C$11),OR(Recherche!$C$12="",ISNUMBER(SEARCH(Recherche!$C$12,M3701&amp;" "&amp;F3701)))),1,0)</f>
        <v>8</v>
      </c>
    </row>
    <row r="3702" customFormat="false" ht="15" hidden="false" customHeight="false" outlineLevel="0" collapsed="false">
      <c r="A3702" s="19"/>
      <c r="B3702" s="19"/>
      <c r="C3702" s="19"/>
      <c r="D3702" s="19"/>
      <c r="E3702" s="22"/>
      <c r="F3702" s="19"/>
      <c r="G3702" s="26" t="str">
        <f aca="false">IF(D3702="","",IFERROR(VALUE(LEFT(D3702,FIND(" |",D3702&amp;" |")-1)),"?"))</f>
        <v/>
      </c>
      <c r="H3702" s="27" t="str">
        <f aca="false">IF(G3702="","",IF(G3702="?","⚠ pub inconnue",IFERROR(INDEX(Pubs!$B$2:$B$3001,MATCH(G3702,Pubs!$A$2:$A$3001,0))&amp;"","⚠ pub inconnue")))</f>
        <v/>
      </c>
      <c r="I3702" s="27" t="str">
        <f aca="false">IF(OR(G3702="",G3702="?"),"",IFERROR(INDEX(Pubs!$C$2:$C$3001,MATCH(G3702,Pubs!$A$2:$A$3001,0))&amp;"",""))</f>
        <v/>
      </c>
      <c r="J3702" s="27" t="str">
        <f aca="false">IF(OR(G3702="",G3702="?"),"",IFERROR(INDEX(Pubs!$G$2:$G$3001,MATCH(G3702,Pubs!$A$2:$A$3001,0))&amp;"",""))</f>
        <v/>
      </c>
      <c r="K3702" s="28" t="str">
        <f aca="false">IF(OR(G3702="",G3702="?"),"",IFERROR(INDEX(Pubs!$E$2:$E$3001,MATCH(G3702,Pubs!$A$2:$A$3001,0)),""))</f>
        <v/>
      </c>
      <c r="L3702" s="29" t="str">
        <f aca="false">IF(A3702="","",IFERROR(1/(1/INDEX(Numéros!$C$2:$C$3001,MATCH(A3702&amp;"|"&amp;B3702,Numéros!$F$2:$F$3001,0))),""))</f>
        <v/>
      </c>
      <c r="M3702" s="27" t="str">
        <f aca="false">IF(OR(G3702="",G3702="?"),"",IFERROR(INDEX(Pubs!$D$2:$D$3001,MATCH(G3702,Pubs!$A$2:$A$3001,0))&amp;"",""))</f>
        <v/>
      </c>
      <c r="N3702" s="27" t="n">
        <f aca="false">N(N3701)+IF(AND(A3702&lt;&gt;"",OR(Recherche!$C$4="",A3702=Recherche!$C$4),OR(Recherche!$C$5="",B3702&amp;""=Recherche!$C$5&amp;""),OR(Recherche!$C$6="",IFERROR(YEAR(L3702),0)=Recherche!$C$6),OR(Recherche!$C$7="",ISNUMBER(SEARCH(Recherche!$C$7,H3702))),OR(Recherche!$C$8="",J3702=Recherche!$C$8),OR(Recherche!$C$9="",I3702=Recherche!$C$9),OR(Recherche!$C$10="",G3702&amp;""=Recherche!$C$10&amp;""),OR(Recherche!$C$11="",E3702=Recherche!$C$11),OR(Recherche!$C$12="",ISNUMBER(SEARCH(Recherche!$C$12,M3702&amp;" "&amp;F3702)))),1,0)</f>
        <v>8</v>
      </c>
    </row>
    <row r="3703" customFormat="false" ht="15" hidden="false" customHeight="false" outlineLevel="0" collapsed="false">
      <c r="A3703" s="19"/>
      <c r="B3703" s="19"/>
      <c r="C3703" s="19"/>
      <c r="D3703" s="19"/>
      <c r="E3703" s="22"/>
      <c r="F3703" s="19"/>
      <c r="G3703" s="26" t="str">
        <f aca="false">IF(D3703="","",IFERROR(VALUE(LEFT(D3703,FIND(" |",D3703&amp;" |")-1)),"?"))</f>
        <v/>
      </c>
      <c r="H3703" s="27" t="str">
        <f aca="false">IF(G3703="","",IF(G3703="?","⚠ pub inconnue",IFERROR(INDEX(Pubs!$B$2:$B$3001,MATCH(G3703,Pubs!$A$2:$A$3001,0))&amp;"","⚠ pub inconnue")))</f>
        <v/>
      </c>
      <c r="I3703" s="27" t="str">
        <f aca="false">IF(OR(G3703="",G3703="?"),"",IFERROR(INDEX(Pubs!$C$2:$C$3001,MATCH(G3703,Pubs!$A$2:$A$3001,0))&amp;"",""))</f>
        <v/>
      </c>
      <c r="J3703" s="27" t="str">
        <f aca="false">IF(OR(G3703="",G3703="?"),"",IFERROR(INDEX(Pubs!$G$2:$G$3001,MATCH(G3703,Pubs!$A$2:$A$3001,0))&amp;"",""))</f>
        <v/>
      </c>
      <c r="K3703" s="28" t="str">
        <f aca="false">IF(OR(G3703="",G3703="?"),"",IFERROR(INDEX(Pubs!$E$2:$E$3001,MATCH(G3703,Pubs!$A$2:$A$3001,0)),""))</f>
        <v/>
      </c>
      <c r="L3703" s="29" t="str">
        <f aca="false">IF(A3703="","",IFERROR(1/(1/INDEX(Numéros!$C$2:$C$3001,MATCH(A3703&amp;"|"&amp;B3703,Numéros!$F$2:$F$3001,0))),""))</f>
        <v/>
      </c>
      <c r="M3703" s="27" t="str">
        <f aca="false">IF(OR(G3703="",G3703="?"),"",IFERROR(INDEX(Pubs!$D$2:$D$3001,MATCH(G3703,Pubs!$A$2:$A$3001,0))&amp;"",""))</f>
        <v/>
      </c>
      <c r="N3703" s="27" t="n">
        <f aca="false">N(N3702)+IF(AND(A3703&lt;&gt;"",OR(Recherche!$C$4="",A3703=Recherche!$C$4),OR(Recherche!$C$5="",B3703&amp;""=Recherche!$C$5&amp;""),OR(Recherche!$C$6="",IFERROR(YEAR(L3703),0)=Recherche!$C$6),OR(Recherche!$C$7="",ISNUMBER(SEARCH(Recherche!$C$7,H3703))),OR(Recherche!$C$8="",J3703=Recherche!$C$8),OR(Recherche!$C$9="",I3703=Recherche!$C$9),OR(Recherche!$C$10="",G3703&amp;""=Recherche!$C$10&amp;""),OR(Recherche!$C$11="",E3703=Recherche!$C$11),OR(Recherche!$C$12="",ISNUMBER(SEARCH(Recherche!$C$12,M3703&amp;" "&amp;F3703)))),1,0)</f>
        <v>8</v>
      </c>
    </row>
    <row r="3704" customFormat="false" ht="15" hidden="false" customHeight="false" outlineLevel="0" collapsed="false">
      <c r="A3704" s="19"/>
      <c r="B3704" s="19"/>
      <c r="C3704" s="19"/>
      <c r="D3704" s="19"/>
      <c r="E3704" s="22"/>
      <c r="F3704" s="19"/>
      <c r="G3704" s="26" t="str">
        <f aca="false">IF(D3704="","",IFERROR(VALUE(LEFT(D3704,FIND(" |",D3704&amp;" |")-1)),"?"))</f>
        <v/>
      </c>
      <c r="H3704" s="27" t="str">
        <f aca="false">IF(G3704="","",IF(G3704="?","⚠ pub inconnue",IFERROR(INDEX(Pubs!$B$2:$B$3001,MATCH(G3704,Pubs!$A$2:$A$3001,0))&amp;"","⚠ pub inconnue")))</f>
        <v/>
      </c>
      <c r="I3704" s="27" t="str">
        <f aca="false">IF(OR(G3704="",G3704="?"),"",IFERROR(INDEX(Pubs!$C$2:$C$3001,MATCH(G3704,Pubs!$A$2:$A$3001,0))&amp;"",""))</f>
        <v/>
      </c>
      <c r="J3704" s="27" t="str">
        <f aca="false">IF(OR(G3704="",G3704="?"),"",IFERROR(INDEX(Pubs!$G$2:$G$3001,MATCH(G3704,Pubs!$A$2:$A$3001,0))&amp;"",""))</f>
        <v/>
      </c>
      <c r="K3704" s="28" t="str">
        <f aca="false">IF(OR(G3704="",G3704="?"),"",IFERROR(INDEX(Pubs!$E$2:$E$3001,MATCH(G3704,Pubs!$A$2:$A$3001,0)),""))</f>
        <v/>
      </c>
      <c r="L3704" s="29" t="str">
        <f aca="false">IF(A3704="","",IFERROR(1/(1/INDEX(Numéros!$C$2:$C$3001,MATCH(A3704&amp;"|"&amp;B3704,Numéros!$F$2:$F$3001,0))),""))</f>
        <v/>
      </c>
      <c r="M3704" s="27" t="str">
        <f aca="false">IF(OR(G3704="",G3704="?"),"",IFERROR(INDEX(Pubs!$D$2:$D$3001,MATCH(G3704,Pubs!$A$2:$A$3001,0))&amp;"",""))</f>
        <v/>
      </c>
      <c r="N3704" s="27" t="n">
        <f aca="false">N(N3703)+IF(AND(A3704&lt;&gt;"",OR(Recherche!$C$4="",A3704=Recherche!$C$4),OR(Recherche!$C$5="",B3704&amp;""=Recherche!$C$5&amp;""),OR(Recherche!$C$6="",IFERROR(YEAR(L3704),0)=Recherche!$C$6),OR(Recherche!$C$7="",ISNUMBER(SEARCH(Recherche!$C$7,H3704))),OR(Recherche!$C$8="",J3704=Recherche!$C$8),OR(Recherche!$C$9="",I3704=Recherche!$C$9),OR(Recherche!$C$10="",G3704&amp;""=Recherche!$C$10&amp;""),OR(Recherche!$C$11="",E3704=Recherche!$C$11),OR(Recherche!$C$12="",ISNUMBER(SEARCH(Recherche!$C$12,M3704&amp;" "&amp;F3704)))),1,0)</f>
        <v>8</v>
      </c>
    </row>
    <row r="3705" customFormat="false" ht="15" hidden="false" customHeight="false" outlineLevel="0" collapsed="false">
      <c r="A3705" s="19"/>
      <c r="B3705" s="19"/>
      <c r="C3705" s="19"/>
      <c r="D3705" s="19"/>
      <c r="E3705" s="22"/>
      <c r="F3705" s="19"/>
      <c r="G3705" s="26" t="str">
        <f aca="false">IF(D3705="","",IFERROR(VALUE(LEFT(D3705,FIND(" |",D3705&amp;" |")-1)),"?"))</f>
        <v/>
      </c>
      <c r="H3705" s="27" t="str">
        <f aca="false">IF(G3705="","",IF(G3705="?","⚠ pub inconnue",IFERROR(INDEX(Pubs!$B$2:$B$3001,MATCH(G3705,Pubs!$A$2:$A$3001,0))&amp;"","⚠ pub inconnue")))</f>
        <v/>
      </c>
      <c r="I3705" s="27" t="str">
        <f aca="false">IF(OR(G3705="",G3705="?"),"",IFERROR(INDEX(Pubs!$C$2:$C$3001,MATCH(G3705,Pubs!$A$2:$A$3001,0))&amp;"",""))</f>
        <v/>
      </c>
      <c r="J3705" s="27" t="str">
        <f aca="false">IF(OR(G3705="",G3705="?"),"",IFERROR(INDEX(Pubs!$G$2:$G$3001,MATCH(G3705,Pubs!$A$2:$A$3001,0))&amp;"",""))</f>
        <v/>
      </c>
      <c r="K3705" s="28" t="str">
        <f aca="false">IF(OR(G3705="",G3705="?"),"",IFERROR(INDEX(Pubs!$E$2:$E$3001,MATCH(G3705,Pubs!$A$2:$A$3001,0)),""))</f>
        <v/>
      </c>
      <c r="L3705" s="29" t="str">
        <f aca="false">IF(A3705="","",IFERROR(1/(1/INDEX(Numéros!$C$2:$C$3001,MATCH(A3705&amp;"|"&amp;B3705,Numéros!$F$2:$F$3001,0))),""))</f>
        <v/>
      </c>
      <c r="M3705" s="27" t="str">
        <f aca="false">IF(OR(G3705="",G3705="?"),"",IFERROR(INDEX(Pubs!$D$2:$D$3001,MATCH(G3705,Pubs!$A$2:$A$3001,0))&amp;"",""))</f>
        <v/>
      </c>
      <c r="N3705" s="27" t="n">
        <f aca="false">N(N3704)+IF(AND(A3705&lt;&gt;"",OR(Recherche!$C$4="",A3705=Recherche!$C$4),OR(Recherche!$C$5="",B3705&amp;""=Recherche!$C$5&amp;""),OR(Recherche!$C$6="",IFERROR(YEAR(L3705),0)=Recherche!$C$6),OR(Recherche!$C$7="",ISNUMBER(SEARCH(Recherche!$C$7,H3705))),OR(Recherche!$C$8="",J3705=Recherche!$C$8),OR(Recherche!$C$9="",I3705=Recherche!$C$9),OR(Recherche!$C$10="",G3705&amp;""=Recherche!$C$10&amp;""),OR(Recherche!$C$11="",E3705=Recherche!$C$11),OR(Recherche!$C$12="",ISNUMBER(SEARCH(Recherche!$C$12,M3705&amp;" "&amp;F3705)))),1,0)</f>
        <v>8</v>
      </c>
    </row>
    <row r="3706" customFormat="false" ht="15" hidden="false" customHeight="false" outlineLevel="0" collapsed="false">
      <c r="A3706" s="19"/>
      <c r="B3706" s="19"/>
      <c r="C3706" s="19"/>
      <c r="D3706" s="19"/>
      <c r="E3706" s="22"/>
      <c r="F3706" s="19"/>
      <c r="G3706" s="26" t="str">
        <f aca="false">IF(D3706="","",IFERROR(VALUE(LEFT(D3706,FIND(" |",D3706&amp;" |")-1)),"?"))</f>
        <v/>
      </c>
      <c r="H3706" s="27" t="str">
        <f aca="false">IF(G3706="","",IF(G3706="?","⚠ pub inconnue",IFERROR(INDEX(Pubs!$B$2:$B$3001,MATCH(G3706,Pubs!$A$2:$A$3001,0))&amp;"","⚠ pub inconnue")))</f>
        <v/>
      </c>
      <c r="I3706" s="27" t="str">
        <f aca="false">IF(OR(G3706="",G3706="?"),"",IFERROR(INDEX(Pubs!$C$2:$C$3001,MATCH(G3706,Pubs!$A$2:$A$3001,0))&amp;"",""))</f>
        <v/>
      </c>
      <c r="J3706" s="27" t="str">
        <f aca="false">IF(OR(G3706="",G3706="?"),"",IFERROR(INDEX(Pubs!$G$2:$G$3001,MATCH(G3706,Pubs!$A$2:$A$3001,0))&amp;"",""))</f>
        <v/>
      </c>
      <c r="K3706" s="28" t="str">
        <f aca="false">IF(OR(G3706="",G3706="?"),"",IFERROR(INDEX(Pubs!$E$2:$E$3001,MATCH(G3706,Pubs!$A$2:$A$3001,0)),""))</f>
        <v/>
      </c>
      <c r="L3706" s="29" t="str">
        <f aca="false">IF(A3706="","",IFERROR(1/(1/INDEX(Numéros!$C$2:$C$3001,MATCH(A3706&amp;"|"&amp;B3706,Numéros!$F$2:$F$3001,0))),""))</f>
        <v/>
      </c>
      <c r="M3706" s="27" t="str">
        <f aca="false">IF(OR(G3706="",G3706="?"),"",IFERROR(INDEX(Pubs!$D$2:$D$3001,MATCH(G3706,Pubs!$A$2:$A$3001,0))&amp;"",""))</f>
        <v/>
      </c>
      <c r="N3706" s="27" t="n">
        <f aca="false">N(N3705)+IF(AND(A3706&lt;&gt;"",OR(Recherche!$C$4="",A3706=Recherche!$C$4),OR(Recherche!$C$5="",B3706&amp;""=Recherche!$C$5&amp;""),OR(Recherche!$C$6="",IFERROR(YEAR(L3706),0)=Recherche!$C$6),OR(Recherche!$C$7="",ISNUMBER(SEARCH(Recherche!$C$7,H3706))),OR(Recherche!$C$8="",J3706=Recherche!$C$8),OR(Recherche!$C$9="",I3706=Recherche!$C$9),OR(Recherche!$C$10="",G3706&amp;""=Recherche!$C$10&amp;""),OR(Recherche!$C$11="",E3706=Recherche!$C$11),OR(Recherche!$C$12="",ISNUMBER(SEARCH(Recherche!$C$12,M3706&amp;" "&amp;F3706)))),1,0)</f>
        <v>8</v>
      </c>
    </row>
    <row r="3707" customFormat="false" ht="15" hidden="false" customHeight="false" outlineLevel="0" collapsed="false">
      <c r="A3707" s="19"/>
      <c r="B3707" s="19"/>
      <c r="C3707" s="19"/>
      <c r="D3707" s="19"/>
      <c r="E3707" s="22"/>
      <c r="F3707" s="19"/>
      <c r="G3707" s="26" t="str">
        <f aca="false">IF(D3707="","",IFERROR(VALUE(LEFT(D3707,FIND(" |",D3707&amp;" |")-1)),"?"))</f>
        <v/>
      </c>
      <c r="H3707" s="27" t="str">
        <f aca="false">IF(G3707="","",IF(G3707="?","⚠ pub inconnue",IFERROR(INDEX(Pubs!$B$2:$B$3001,MATCH(G3707,Pubs!$A$2:$A$3001,0))&amp;"","⚠ pub inconnue")))</f>
        <v/>
      </c>
      <c r="I3707" s="27" t="str">
        <f aca="false">IF(OR(G3707="",G3707="?"),"",IFERROR(INDEX(Pubs!$C$2:$C$3001,MATCH(G3707,Pubs!$A$2:$A$3001,0))&amp;"",""))</f>
        <v/>
      </c>
      <c r="J3707" s="27" t="str">
        <f aca="false">IF(OR(G3707="",G3707="?"),"",IFERROR(INDEX(Pubs!$G$2:$G$3001,MATCH(G3707,Pubs!$A$2:$A$3001,0))&amp;"",""))</f>
        <v/>
      </c>
      <c r="K3707" s="28" t="str">
        <f aca="false">IF(OR(G3707="",G3707="?"),"",IFERROR(INDEX(Pubs!$E$2:$E$3001,MATCH(G3707,Pubs!$A$2:$A$3001,0)),""))</f>
        <v/>
      </c>
      <c r="L3707" s="29" t="str">
        <f aca="false">IF(A3707="","",IFERROR(1/(1/INDEX(Numéros!$C$2:$C$3001,MATCH(A3707&amp;"|"&amp;B3707,Numéros!$F$2:$F$3001,0))),""))</f>
        <v/>
      </c>
      <c r="M3707" s="27" t="str">
        <f aca="false">IF(OR(G3707="",G3707="?"),"",IFERROR(INDEX(Pubs!$D$2:$D$3001,MATCH(G3707,Pubs!$A$2:$A$3001,0))&amp;"",""))</f>
        <v/>
      </c>
      <c r="N3707" s="27" t="n">
        <f aca="false">N(N3706)+IF(AND(A3707&lt;&gt;"",OR(Recherche!$C$4="",A3707=Recherche!$C$4),OR(Recherche!$C$5="",B3707&amp;""=Recherche!$C$5&amp;""),OR(Recherche!$C$6="",IFERROR(YEAR(L3707),0)=Recherche!$C$6),OR(Recherche!$C$7="",ISNUMBER(SEARCH(Recherche!$C$7,H3707))),OR(Recherche!$C$8="",J3707=Recherche!$C$8),OR(Recherche!$C$9="",I3707=Recherche!$C$9),OR(Recherche!$C$10="",G3707&amp;""=Recherche!$C$10&amp;""),OR(Recherche!$C$11="",E3707=Recherche!$C$11),OR(Recherche!$C$12="",ISNUMBER(SEARCH(Recherche!$C$12,M3707&amp;" "&amp;F3707)))),1,0)</f>
        <v>8</v>
      </c>
    </row>
    <row r="3708" customFormat="false" ht="15" hidden="false" customHeight="false" outlineLevel="0" collapsed="false">
      <c r="A3708" s="19"/>
      <c r="B3708" s="19"/>
      <c r="C3708" s="19"/>
      <c r="D3708" s="19"/>
      <c r="E3708" s="22"/>
      <c r="F3708" s="19"/>
      <c r="G3708" s="26" t="str">
        <f aca="false">IF(D3708="","",IFERROR(VALUE(LEFT(D3708,FIND(" |",D3708&amp;" |")-1)),"?"))</f>
        <v/>
      </c>
      <c r="H3708" s="27" t="str">
        <f aca="false">IF(G3708="","",IF(G3708="?","⚠ pub inconnue",IFERROR(INDEX(Pubs!$B$2:$B$3001,MATCH(G3708,Pubs!$A$2:$A$3001,0))&amp;"","⚠ pub inconnue")))</f>
        <v/>
      </c>
      <c r="I3708" s="27" t="str">
        <f aca="false">IF(OR(G3708="",G3708="?"),"",IFERROR(INDEX(Pubs!$C$2:$C$3001,MATCH(G3708,Pubs!$A$2:$A$3001,0))&amp;"",""))</f>
        <v/>
      </c>
      <c r="J3708" s="27" t="str">
        <f aca="false">IF(OR(G3708="",G3708="?"),"",IFERROR(INDEX(Pubs!$G$2:$G$3001,MATCH(G3708,Pubs!$A$2:$A$3001,0))&amp;"",""))</f>
        <v/>
      </c>
      <c r="K3708" s="28" t="str">
        <f aca="false">IF(OR(G3708="",G3708="?"),"",IFERROR(INDEX(Pubs!$E$2:$E$3001,MATCH(G3708,Pubs!$A$2:$A$3001,0)),""))</f>
        <v/>
      </c>
      <c r="L3708" s="29" t="str">
        <f aca="false">IF(A3708="","",IFERROR(1/(1/INDEX(Numéros!$C$2:$C$3001,MATCH(A3708&amp;"|"&amp;B3708,Numéros!$F$2:$F$3001,0))),""))</f>
        <v/>
      </c>
      <c r="M3708" s="27" t="str">
        <f aca="false">IF(OR(G3708="",G3708="?"),"",IFERROR(INDEX(Pubs!$D$2:$D$3001,MATCH(G3708,Pubs!$A$2:$A$3001,0))&amp;"",""))</f>
        <v/>
      </c>
      <c r="N3708" s="27" t="n">
        <f aca="false">N(N3707)+IF(AND(A3708&lt;&gt;"",OR(Recherche!$C$4="",A3708=Recherche!$C$4),OR(Recherche!$C$5="",B3708&amp;""=Recherche!$C$5&amp;""),OR(Recherche!$C$6="",IFERROR(YEAR(L3708),0)=Recherche!$C$6),OR(Recherche!$C$7="",ISNUMBER(SEARCH(Recherche!$C$7,H3708))),OR(Recherche!$C$8="",J3708=Recherche!$C$8),OR(Recherche!$C$9="",I3708=Recherche!$C$9),OR(Recherche!$C$10="",G3708&amp;""=Recherche!$C$10&amp;""),OR(Recherche!$C$11="",E3708=Recherche!$C$11),OR(Recherche!$C$12="",ISNUMBER(SEARCH(Recherche!$C$12,M3708&amp;" "&amp;F3708)))),1,0)</f>
        <v>8</v>
      </c>
    </row>
    <row r="3709" customFormat="false" ht="15" hidden="false" customHeight="false" outlineLevel="0" collapsed="false">
      <c r="A3709" s="19"/>
      <c r="B3709" s="19"/>
      <c r="C3709" s="19"/>
      <c r="D3709" s="19"/>
      <c r="E3709" s="22"/>
      <c r="F3709" s="19"/>
      <c r="G3709" s="26" t="str">
        <f aca="false">IF(D3709="","",IFERROR(VALUE(LEFT(D3709,FIND(" |",D3709&amp;" |")-1)),"?"))</f>
        <v/>
      </c>
      <c r="H3709" s="27" t="str">
        <f aca="false">IF(G3709="","",IF(G3709="?","⚠ pub inconnue",IFERROR(INDEX(Pubs!$B$2:$B$3001,MATCH(G3709,Pubs!$A$2:$A$3001,0))&amp;"","⚠ pub inconnue")))</f>
        <v/>
      </c>
      <c r="I3709" s="27" t="str">
        <f aca="false">IF(OR(G3709="",G3709="?"),"",IFERROR(INDEX(Pubs!$C$2:$C$3001,MATCH(G3709,Pubs!$A$2:$A$3001,0))&amp;"",""))</f>
        <v/>
      </c>
      <c r="J3709" s="27" t="str">
        <f aca="false">IF(OR(G3709="",G3709="?"),"",IFERROR(INDEX(Pubs!$G$2:$G$3001,MATCH(G3709,Pubs!$A$2:$A$3001,0))&amp;"",""))</f>
        <v/>
      </c>
      <c r="K3709" s="28" t="str">
        <f aca="false">IF(OR(G3709="",G3709="?"),"",IFERROR(INDEX(Pubs!$E$2:$E$3001,MATCH(G3709,Pubs!$A$2:$A$3001,0)),""))</f>
        <v/>
      </c>
      <c r="L3709" s="29" t="str">
        <f aca="false">IF(A3709="","",IFERROR(1/(1/INDEX(Numéros!$C$2:$C$3001,MATCH(A3709&amp;"|"&amp;B3709,Numéros!$F$2:$F$3001,0))),""))</f>
        <v/>
      </c>
      <c r="M3709" s="27" t="str">
        <f aca="false">IF(OR(G3709="",G3709="?"),"",IFERROR(INDEX(Pubs!$D$2:$D$3001,MATCH(G3709,Pubs!$A$2:$A$3001,0))&amp;"",""))</f>
        <v/>
      </c>
      <c r="N3709" s="27" t="n">
        <f aca="false">N(N3708)+IF(AND(A3709&lt;&gt;"",OR(Recherche!$C$4="",A3709=Recherche!$C$4),OR(Recherche!$C$5="",B3709&amp;""=Recherche!$C$5&amp;""),OR(Recherche!$C$6="",IFERROR(YEAR(L3709),0)=Recherche!$C$6),OR(Recherche!$C$7="",ISNUMBER(SEARCH(Recherche!$C$7,H3709))),OR(Recherche!$C$8="",J3709=Recherche!$C$8),OR(Recherche!$C$9="",I3709=Recherche!$C$9),OR(Recherche!$C$10="",G3709&amp;""=Recherche!$C$10&amp;""),OR(Recherche!$C$11="",E3709=Recherche!$C$11),OR(Recherche!$C$12="",ISNUMBER(SEARCH(Recherche!$C$12,M3709&amp;" "&amp;F3709)))),1,0)</f>
        <v>8</v>
      </c>
    </row>
    <row r="3710" customFormat="false" ht="15" hidden="false" customHeight="false" outlineLevel="0" collapsed="false">
      <c r="A3710" s="19"/>
      <c r="B3710" s="19"/>
      <c r="C3710" s="19"/>
      <c r="D3710" s="19"/>
      <c r="E3710" s="22"/>
      <c r="F3710" s="19"/>
      <c r="G3710" s="26" t="str">
        <f aca="false">IF(D3710="","",IFERROR(VALUE(LEFT(D3710,FIND(" |",D3710&amp;" |")-1)),"?"))</f>
        <v/>
      </c>
      <c r="H3710" s="27" t="str">
        <f aca="false">IF(G3710="","",IF(G3710="?","⚠ pub inconnue",IFERROR(INDEX(Pubs!$B$2:$B$3001,MATCH(G3710,Pubs!$A$2:$A$3001,0))&amp;"","⚠ pub inconnue")))</f>
        <v/>
      </c>
      <c r="I3710" s="27" t="str">
        <f aca="false">IF(OR(G3710="",G3710="?"),"",IFERROR(INDEX(Pubs!$C$2:$C$3001,MATCH(G3710,Pubs!$A$2:$A$3001,0))&amp;"",""))</f>
        <v/>
      </c>
      <c r="J3710" s="27" t="str">
        <f aca="false">IF(OR(G3710="",G3710="?"),"",IFERROR(INDEX(Pubs!$G$2:$G$3001,MATCH(G3710,Pubs!$A$2:$A$3001,0))&amp;"",""))</f>
        <v/>
      </c>
      <c r="K3710" s="28" t="str">
        <f aca="false">IF(OR(G3710="",G3710="?"),"",IFERROR(INDEX(Pubs!$E$2:$E$3001,MATCH(G3710,Pubs!$A$2:$A$3001,0)),""))</f>
        <v/>
      </c>
      <c r="L3710" s="29" t="str">
        <f aca="false">IF(A3710="","",IFERROR(1/(1/INDEX(Numéros!$C$2:$C$3001,MATCH(A3710&amp;"|"&amp;B3710,Numéros!$F$2:$F$3001,0))),""))</f>
        <v/>
      </c>
      <c r="M3710" s="27" t="str">
        <f aca="false">IF(OR(G3710="",G3710="?"),"",IFERROR(INDEX(Pubs!$D$2:$D$3001,MATCH(G3710,Pubs!$A$2:$A$3001,0))&amp;"",""))</f>
        <v/>
      </c>
      <c r="N3710" s="27" t="n">
        <f aca="false">N(N3709)+IF(AND(A3710&lt;&gt;"",OR(Recherche!$C$4="",A3710=Recherche!$C$4),OR(Recherche!$C$5="",B3710&amp;""=Recherche!$C$5&amp;""),OR(Recherche!$C$6="",IFERROR(YEAR(L3710),0)=Recherche!$C$6),OR(Recherche!$C$7="",ISNUMBER(SEARCH(Recherche!$C$7,H3710))),OR(Recherche!$C$8="",J3710=Recherche!$C$8),OR(Recherche!$C$9="",I3710=Recherche!$C$9),OR(Recherche!$C$10="",G3710&amp;""=Recherche!$C$10&amp;""),OR(Recherche!$C$11="",E3710=Recherche!$C$11),OR(Recherche!$C$12="",ISNUMBER(SEARCH(Recherche!$C$12,M3710&amp;" "&amp;F3710)))),1,0)</f>
        <v>8</v>
      </c>
    </row>
    <row r="3711" customFormat="false" ht="15" hidden="false" customHeight="false" outlineLevel="0" collapsed="false">
      <c r="A3711" s="19"/>
      <c r="B3711" s="19"/>
      <c r="C3711" s="19"/>
      <c r="D3711" s="19"/>
      <c r="E3711" s="22"/>
      <c r="F3711" s="19"/>
      <c r="G3711" s="26" t="str">
        <f aca="false">IF(D3711="","",IFERROR(VALUE(LEFT(D3711,FIND(" |",D3711&amp;" |")-1)),"?"))</f>
        <v/>
      </c>
      <c r="H3711" s="27" t="str">
        <f aca="false">IF(G3711="","",IF(G3711="?","⚠ pub inconnue",IFERROR(INDEX(Pubs!$B$2:$B$3001,MATCH(G3711,Pubs!$A$2:$A$3001,0))&amp;"","⚠ pub inconnue")))</f>
        <v/>
      </c>
      <c r="I3711" s="27" t="str">
        <f aca="false">IF(OR(G3711="",G3711="?"),"",IFERROR(INDEX(Pubs!$C$2:$C$3001,MATCH(G3711,Pubs!$A$2:$A$3001,0))&amp;"",""))</f>
        <v/>
      </c>
      <c r="J3711" s="27" t="str">
        <f aca="false">IF(OR(G3711="",G3711="?"),"",IFERROR(INDEX(Pubs!$G$2:$G$3001,MATCH(G3711,Pubs!$A$2:$A$3001,0))&amp;"",""))</f>
        <v/>
      </c>
      <c r="K3711" s="28" t="str">
        <f aca="false">IF(OR(G3711="",G3711="?"),"",IFERROR(INDEX(Pubs!$E$2:$E$3001,MATCH(G3711,Pubs!$A$2:$A$3001,0)),""))</f>
        <v/>
      </c>
      <c r="L3711" s="29" t="str">
        <f aca="false">IF(A3711="","",IFERROR(1/(1/INDEX(Numéros!$C$2:$C$3001,MATCH(A3711&amp;"|"&amp;B3711,Numéros!$F$2:$F$3001,0))),""))</f>
        <v/>
      </c>
      <c r="M3711" s="27" t="str">
        <f aca="false">IF(OR(G3711="",G3711="?"),"",IFERROR(INDEX(Pubs!$D$2:$D$3001,MATCH(G3711,Pubs!$A$2:$A$3001,0))&amp;"",""))</f>
        <v/>
      </c>
      <c r="N3711" s="27" t="n">
        <f aca="false">N(N3710)+IF(AND(A3711&lt;&gt;"",OR(Recherche!$C$4="",A3711=Recherche!$C$4),OR(Recherche!$C$5="",B3711&amp;""=Recherche!$C$5&amp;""),OR(Recherche!$C$6="",IFERROR(YEAR(L3711),0)=Recherche!$C$6),OR(Recherche!$C$7="",ISNUMBER(SEARCH(Recherche!$C$7,H3711))),OR(Recherche!$C$8="",J3711=Recherche!$C$8),OR(Recherche!$C$9="",I3711=Recherche!$C$9),OR(Recherche!$C$10="",G3711&amp;""=Recherche!$C$10&amp;""),OR(Recherche!$C$11="",E3711=Recherche!$C$11),OR(Recherche!$C$12="",ISNUMBER(SEARCH(Recherche!$C$12,M3711&amp;" "&amp;F3711)))),1,0)</f>
        <v>8</v>
      </c>
    </row>
    <row r="3712" customFormat="false" ht="15" hidden="false" customHeight="false" outlineLevel="0" collapsed="false">
      <c r="A3712" s="19"/>
      <c r="B3712" s="19"/>
      <c r="C3712" s="19"/>
      <c r="D3712" s="19"/>
      <c r="E3712" s="22"/>
      <c r="F3712" s="19"/>
      <c r="G3712" s="26" t="str">
        <f aca="false">IF(D3712="","",IFERROR(VALUE(LEFT(D3712,FIND(" |",D3712&amp;" |")-1)),"?"))</f>
        <v/>
      </c>
      <c r="H3712" s="27" t="str">
        <f aca="false">IF(G3712="","",IF(G3712="?","⚠ pub inconnue",IFERROR(INDEX(Pubs!$B$2:$B$3001,MATCH(G3712,Pubs!$A$2:$A$3001,0))&amp;"","⚠ pub inconnue")))</f>
        <v/>
      </c>
      <c r="I3712" s="27" t="str">
        <f aca="false">IF(OR(G3712="",G3712="?"),"",IFERROR(INDEX(Pubs!$C$2:$C$3001,MATCH(G3712,Pubs!$A$2:$A$3001,0))&amp;"",""))</f>
        <v/>
      </c>
      <c r="J3712" s="27" t="str">
        <f aca="false">IF(OR(G3712="",G3712="?"),"",IFERROR(INDEX(Pubs!$G$2:$G$3001,MATCH(G3712,Pubs!$A$2:$A$3001,0))&amp;"",""))</f>
        <v/>
      </c>
      <c r="K3712" s="28" t="str">
        <f aca="false">IF(OR(G3712="",G3712="?"),"",IFERROR(INDEX(Pubs!$E$2:$E$3001,MATCH(G3712,Pubs!$A$2:$A$3001,0)),""))</f>
        <v/>
      </c>
      <c r="L3712" s="29" t="str">
        <f aca="false">IF(A3712="","",IFERROR(1/(1/INDEX(Numéros!$C$2:$C$3001,MATCH(A3712&amp;"|"&amp;B3712,Numéros!$F$2:$F$3001,0))),""))</f>
        <v/>
      </c>
      <c r="M3712" s="27" t="str">
        <f aca="false">IF(OR(G3712="",G3712="?"),"",IFERROR(INDEX(Pubs!$D$2:$D$3001,MATCH(G3712,Pubs!$A$2:$A$3001,0))&amp;"",""))</f>
        <v/>
      </c>
      <c r="N3712" s="27" t="n">
        <f aca="false">N(N3711)+IF(AND(A3712&lt;&gt;"",OR(Recherche!$C$4="",A3712=Recherche!$C$4),OR(Recherche!$C$5="",B3712&amp;""=Recherche!$C$5&amp;""),OR(Recherche!$C$6="",IFERROR(YEAR(L3712),0)=Recherche!$C$6),OR(Recherche!$C$7="",ISNUMBER(SEARCH(Recherche!$C$7,H3712))),OR(Recherche!$C$8="",J3712=Recherche!$C$8),OR(Recherche!$C$9="",I3712=Recherche!$C$9),OR(Recherche!$C$10="",G3712&amp;""=Recherche!$C$10&amp;""),OR(Recherche!$C$11="",E3712=Recherche!$C$11),OR(Recherche!$C$12="",ISNUMBER(SEARCH(Recherche!$C$12,M3712&amp;" "&amp;F3712)))),1,0)</f>
        <v>8</v>
      </c>
    </row>
    <row r="3713" customFormat="false" ht="15" hidden="false" customHeight="false" outlineLevel="0" collapsed="false">
      <c r="A3713" s="19"/>
      <c r="B3713" s="19"/>
      <c r="C3713" s="19"/>
      <c r="D3713" s="19"/>
      <c r="E3713" s="22"/>
      <c r="F3713" s="19"/>
      <c r="G3713" s="26" t="str">
        <f aca="false">IF(D3713="","",IFERROR(VALUE(LEFT(D3713,FIND(" |",D3713&amp;" |")-1)),"?"))</f>
        <v/>
      </c>
      <c r="H3713" s="27" t="str">
        <f aca="false">IF(G3713="","",IF(G3713="?","⚠ pub inconnue",IFERROR(INDEX(Pubs!$B$2:$B$3001,MATCH(G3713,Pubs!$A$2:$A$3001,0))&amp;"","⚠ pub inconnue")))</f>
        <v/>
      </c>
      <c r="I3713" s="27" t="str">
        <f aca="false">IF(OR(G3713="",G3713="?"),"",IFERROR(INDEX(Pubs!$C$2:$C$3001,MATCH(G3713,Pubs!$A$2:$A$3001,0))&amp;"",""))</f>
        <v/>
      </c>
      <c r="J3713" s="27" t="str">
        <f aca="false">IF(OR(G3713="",G3713="?"),"",IFERROR(INDEX(Pubs!$G$2:$G$3001,MATCH(G3713,Pubs!$A$2:$A$3001,0))&amp;"",""))</f>
        <v/>
      </c>
      <c r="K3713" s="28" t="str">
        <f aca="false">IF(OR(G3713="",G3713="?"),"",IFERROR(INDEX(Pubs!$E$2:$E$3001,MATCH(G3713,Pubs!$A$2:$A$3001,0)),""))</f>
        <v/>
      </c>
      <c r="L3713" s="29" t="str">
        <f aca="false">IF(A3713="","",IFERROR(1/(1/INDEX(Numéros!$C$2:$C$3001,MATCH(A3713&amp;"|"&amp;B3713,Numéros!$F$2:$F$3001,0))),""))</f>
        <v/>
      </c>
      <c r="M3713" s="27" t="str">
        <f aca="false">IF(OR(G3713="",G3713="?"),"",IFERROR(INDEX(Pubs!$D$2:$D$3001,MATCH(G3713,Pubs!$A$2:$A$3001,0))&amp;"",""))</f>
        <v/>
      </c>
      <c r="N3713" s="27" t="n">
        <f aca="false">N(N3712)+IF(AND(A3713&lt;&gt;"",OR(Recherche!$C$4="",A3713=Recherche!$C$4),OR(Recherche!$C$5="",B3713&amp;""=Recherche!$C$5&amp;""),OR(Recherche!$C$6="",IFERROR(YEAR(L3713),0)=Recherche!$C$6),OR(Recherche!$C$7="",ISNUMBER(SEARCH(Recherche!$C$7,H3713))),OR(Recherche!$C$8="",J3713=Recherche!$C$8),OR(Recherche!$C$9="",I3713=Recherche!$C$9),OR(Recherche!$C$10="",G3713&amp;""=Recherche!$C$10&amp;""),OR(Recherche!$C$11="",E3713=Recherche!$C$11),OR(Recherche!$C$12="",ISNUMBER(SEARCH(Recherche!$C$12,M3713&amp;" "&amp;F3713)))),1,0)</f>
        <v>8</v>
      </c>
    </row>
    <row r="3714" customFormat="false" ht="15" hidden="false" customHeight="false" outlineLevel="0" collapsed="false">
      <c r="A3714" s="19"/>
      <c r="B3714" s="19"/>
      <c r="C3714" s="19"/>
      <c r="D3714" s="19"/>
      <c r="E3714" s="22"/>
      <c r="F3714" s="19"/>
      <c r="G3714" s="26" t="str">
        <f aca="false">IF(D3714="","",IFERROR(VALUE(LEFT(D3714,FIND(" |",D3714&amp;" |")-1)),"?"))</f>
        <v/>
      </c>
      <c r="H3714" s="27" t="str">
        <f aca="false">IF(G3714="","",IF(G3714="?","⚠ pub inconnue",IFERROR(INDEX(Pubs!$B$2:$B$3001,MATCH(G3714,Pubs!$A$2:$A$3001,0))&amp;"","⚠ pub inconnue")))</f>
        <v/>
      </c>
      <c r="I3714" s="27" t="str">
        <f aca="false">IF(OR(G3714="",G3714="?"),"",IFERROR(INDEX(Pubs!$C$2:$C$3001,MATCH(G3714,Pubs!$A$2:$A$3001,0))&amp;"",""))</f>
        <v/>
      </c>
      <c r="J3714" s="27" t="str">
        <f aca="false">IF(OR(G3714="",G3714="?"),"",IFERROR(INDEX(Pubs!$G$2:$G$3001,MATCH(G3714,Pubs!$A$2:$A$3001,0))&amp;"",""))</f>
        <v/>
      </c>
      <c r="K3714" s="28" t="str">
        <f aca="false">IF(OR(G3714="",G3714="?"),"",IFERROR(INDEX(Pubs!$E$2:$E$3001,MATCH(G3714,Pubs!$A$2:$A$3001,0)),""))</f>
        <v/>
      </c>
      <c r="L3714" s="29" t="str">
        <f aca="false">IF(A3714="","",IFERROR(1/(1/INDEX(Numéros!$C$2:$C$3001,MATCH(A3714&amp;"|"&amp;B3714,Numéros!$F$2:$F$3001,0))),""))</f>
        <v/>
      </c>
      <c r="M3714" s="27" t="str">
        <f aca="false">IF(OR(G3714="",G3714="?"),"",IFERROR(INDEX(Pubs!$D$2:$D$3001,MATCH(G3714,Pubs!$A$2:$A$3001,0))&amp;"",""))</f>
        <v/>
      </c>
      <c r="N3714" s="27" t="n">
        <f aca="false">N(N3713)+IF(AND(A3714&lt;&gt;"",OR(Recherche!$C$4="",A3714=Recherche!$C$4),OR(Recherche!$C$5="",B3714&amp;""=Recherche!$C$5&amp;""),OR(Recherche!$C$6="",IFERROR(YEAR(L3714),0)=Recherche!$C$6),OR(Recherche!$C$7="",ISNUMBER(SEARCH(Recherche!$C$7,H3714))),OR(Recherche!$C$8="",J3714=Recherche!$C$8),OR(Recherche!$C$9="",I3714=Recherche!$C$9),OR(Recherche!$C$10="",G3714&amp;""=Recherche!$C$10&amp;""),OR(Recherche!$C$11="",E3714=Recherche!$C$11),OR(Recherche!$C$12="",ISNUMBER(SEARCH(Recherche!$C$12,M3714&amp;" "&amp;F3714)))),1,0)</f>
        <v>8</v>
      </c>
    </row>
    <row r="3715" customFormat="false" ht="15" hidden="false" customHeight="false" outlineLevel="0" collapsed="false">
      <c r="A3715" s="19"/>
      <c r="B3715" s="19"/>
      <c r="C3715" s="19"/>
      <c r="D3715" s="19"/>
      <c r="E3715" s="22"/>
      <c r="F3715" s="19"/>
      <c r="G3715" s="26" t="str">
        <f aca="false">IF(D3715="","",IFERROR(VALUE(LEFT(D3715,FIND(" |",D3715&amp;" |")-1)),"?"))</f>
        <v/>
      </c>
      <c r="H3715" s="27" t="str">
        <f aca="false">IF(G3715="","",IF(G3715="?","⚠ pub inconnue",IFERROR(INDEX(Pubs!$B$2:$B$3001,MATCH(G3715,Pubs!$A$2:$A$3001,0))&amp;"","⚠ pub inconnue")))</f>
        <v/>
      </c>
      <c r="I3715" s="27" t="str">
        <f aca="false">IF(OR(G3715="",G3715="?"),"",IFERROR(INDEX(Pubs!$C$2:$C$3001,MATCH(G3715,Pubs!$A$2:$A$3001,0))&amp;"",""))</f>
        <v/>
      </c>
      <c r="J3715" s="27" t="str">
        <f aca="false">IF(OR(G3715="",G3715="?"),"",IFERROR(INDEX(Pubs!$G$2:$G$3001,MATCH(G3715,Pubs!$A$2:$A$3001,0))&amp;"",""))</f>
        <v/>
      </c>
      <c r="K3715" s="28" t="str">
        <f aca="false">IF(OR(G3715="",G3715="?"),"",IFERROR(INDEX(Pubs!$E$2:$E$3001,MATCH(G3715,Pubs!$A$2:$A$3001,0)),""))</f>
        <v/>
      </c>
      <c r="L3715" s="29" t="str">
        <f aca="false">IF(A3715="","",IFERROR(1/(1/INDEX(Numéros!$C$2:$C$3001,MATCH(A3715&amp;"|"&amp;B3715,Numéros!$F$2:$F$3001,0))),""))</f>
        <v/>
      </c>
      <c r="M3715" s="27" t="str">
        <f aca="false">IF(OR(G3715="",G3715="?"),"",IFERROR(INDEX(Pubs!$D$2:$D$3001,MATCH(G3715,Pubs!$A$2:$A$3001,0))&amp;"",""))</f>
        <v/>
      </c>
      <c r="N3715" s="27" t="n">
        <f aca="false">N(N3714)+IF(AND(A3715&lt;&gt;"",OR(Recherche!$C$4="",A3715=Recherche!$C$4),OR(Recherche!$C$5="",B3715&amp;""=Recherche!$C$5&amp;""),OR(Recherche!$C$6="",IFERROR(YEAR(L3715),0)=Recherche!$C$6),OR(Recherche!$C$7="",ISNUMBER(SEARCH(Recherche!$C$7,H3715))),OR(Recherche!$C$8="",J3715=Recherche!$C$8),OR(Recherche!$C$9="",I3715=Recherche!$C$9),OR(Recherche!$C$10="",G3715&amp;""=Recherche!$C$10&amp;""),OR(Recherche!$C$11="",E3715=Recherche!$C$11),OR(Recherche!$C$12="",ISNUMBER(SEARCH(Recherche!$C$12,M3715&amp;" "&amp;F3715)))),1,0)</f>
        <v>8</v>
      </c>
    </row>
    <row r="3716" customFormat="false" ht="15" hidden="false" customHeight="false" outlineLevel="0" collapsed="false">
      <c r="A3716" s="19"/>
      <c r="B3716" s="19"/>
      <c r="C3716" s="19"/>
      <c r="D3716" s="19"/>
      <c r="E3716" s="22"/>
      <c r="F3716" s="19"/>
      <c r="G3716" s="26" t="str">
        <f aca="false">IF(D3716="","",IFERROR(VALUE(LEFT(D3716,FIND(" |",D3716&amp;" |")-1)),"?"))</f>
        <v/>
      </c>
      <c r="H3716" s="27" t="str">
        <f aca="false">IF(G3716="","",IF(G3716="?","⚠ pub inconnue",IFERROR(INDEX(Pubs!$B$2:$B$3001,MATCH(G3716,Pubs!$A$2:$A$3001,0))&amp;"","⚠ pub inconnue")))</f>
        <v/>
      </c>
      <c r="I3716" s="27" t="str">
        <f aca="false">IF(OR(G3716="",G3716="?"),"",IFERROR(INDEX(Pubs!$C$2:$C$3001,MATCH(G3716,Pubs!$A$2:$A$3001,0))&amp;"",""))</f>
        <v/>
      </c>
      <c r="J3716" s="27" t="str">
        <f aca="false">IF(OR(G3716="",G3716="?"),"",IFERROR(INDEX(Pubs!$G$2:$G$3001,MATCH(G3716,Pubs!$A$2:$A$3001,0))&amp;"",""))</f>
        <v/>
      </c>
      <c r="K3716" s="28" t="str">
        <f aca="false">IF(OR(G3716="",G3716="?"),"",IFERROR(INDEX(Pubs!$E$2:$E$3001,MATCH(G3716,Pubs!$A$2:$A$3001,0)),""))</f>
        <v/>
      </c>
      <c r="L3716" s="29" t="str">
        <f aca="false">IF(A3716="","",IFERROR(1/(1/INDEX(Numéros!$C$2:$C$3001,MATCH(A3716&amp;"|"&amp;B3716,Numéros!$F$2:$F$3001,0))),""))</f>
        <v/>
      </c>
      <c r="M3716" s="27" t="str">
        <f aca="false">IF(OR(G3716="",G3716="?"),"",IFERROR(INDEX(Pubs!$D$2:$D$3001,MATCH(G3716,Pubs!$A$2:$A$3001,0))&amp;"",""))</f>
        <v/>
      </c>
      <c r="N3716" s="27" t="n">
        <f aca="false">N(N3715)+IF(AND(A3716&lt;&gt;"",OR(Recherche!$C$4="",A3716=Recherche!$C$4),OR(Recherche!$C$5="",B3716&amp;""=Recherche!$C$5&amp;""),OR(Recherche!$C$6="",IFERROR(YEAR(L3716),0)=Recherche!$C$6),OR(Recherche!$C$7="",ISNUMBER(SEARCH(Recherche!$C$7,H3716))),OR(Recherche!$C$8="",J3716=Recherche!$C$8),OR(Recherche!$C$9="",I3716=Recherche!$C$9),OR(Recherche!$C$10="",G3716&amp;""=Recherche!$C$10&amp;""),OR(Recherche!$C$11="",E3716=Recherche!$C$11),OR(Recherche!$C$12="",ISNUMBER(SEARCH(Recherche!$C$12,M3716&amp;" "&amp;F3716)))),1,0)</f>
        <v>8</v>
      </c>
    </row>
    <row r="3717" customFormat="false" ht="15" hidden="false" customHeight="false" outlineLevel="0" collapsed="false">
      <c r="A3717" s="19"/>
      <c r="B3717" s="19"/>
      <c r="C3717" s="19"/>
      <c r="D3717" s="19"/>
      <c r="E3717" s="22"/>
      <c r="F3717" s="19"/>
      <c r="G3717" s="26" t="str">
        <f aca="false">IF(D3717="","",IFERROR(VALUE(LEFT(D3717,FIND(" |",D3717&amp;" |")-1)),"?"))</f>
        <v/>
      </c>
      <c r="H3717" s="27" t="str">
        <f aca="false">IF(G3717="","",IF(G3717="?","⚠ pub inconnue",IFERROR(INDEX(Pubs!$B$2:$B$3001,MATCH(G3717,Pubs!$A$2:$A$3001,0))&amp;"","⚠ pub inconnue")))</f>
        <v/>
      </c>
      <c r="I3717" s="27" t="str">
        <f aca="false">IF(OR(G3717="",G3717="?"),"",IFERROR(INDEX(Pubs!$C$2:$C$3001,MATCH(G3717,Pubs!$A$2:$A$3001,0))&amp;"",""))</f>
        <v/>
      </c>
      <c r="J3717" s="27" t="str">
        <f aca="false">IF(OR(G3717="",G3717="?"),"",IFERROR(INDEX(Pubs!$G$2:$G$3001,MATCH(G3717,Pubs!$A$2:$A$3001,0))&amp;"",""))</f>
        <v/>
      </c>
      <c r="K3717" s="28" t="str">
        <f aca="false">IF(OR(G3717="",G3717="?"),"",IFERROR(INDEX(Pubs!$E$2:$E$3001,MATCH(G3717,Pubs!$A$2:$A$3001,0)),""))</f>
        <v/>
      </c>
      <c r="L3717" s="29" t="str">
        <f aca="false">IF(A3717="","",IFERROR(1/(1/INDEX(Numéros!$C$2:$C$3001,MATCH(A3717&amp;"|"&amp;B3717,Numéros!$F$2:$F$3001,0))),""))</f>
        <v/>
      </c>
      <c r="M3717" s="27" t="str">
        <f aca="false">IF(OR(G3717="",G3717="?"),"",IFERROR(INDEX(Pubs!$D$2:$D$3001,MATCH(G3717,Pubs!$A$2:$A$3001,0))&amp;"",""))</f>
        <v/>
      </c>
      <c r="N3717" s="27" t="n">
        <f aca="false">N(N3716)+IF(AND(A3717&lt;&gt;"",OR(Recherche!$C$4="",A3717=Recherche!$C$4),OR(Recherche!$C$5="",B3717&amp;""=Recherche!$C$5&amp;""),OR(Recherche!$C$6="",IFERROR(YEAR(L3717),0)=Recherche!$C$6),OR(Recherche!$C$7="",ISNUMBER(SEARCH(Recherche!$C$7,H3717))),OR(Recherche!$C$8="",J3717=Recherche!$C$8),OR(Recherche!$C$9="",I3717=Recherche!$C$9),OR(Recherche!$C$10="",G3717&amp;""=Recherche!$C$10&amp;""),OR(Recherche!$C$11="",E3717=Recherche!$C$11),OR(Recherche!$C$12="",ISNUMBER(SEARCH(Recherche!$C$12,M3717&amp;" "&amp;F3717)))),1,0)</f>
        <v>8</v>
      </c>
    </row>
    <row r="3718" customFormat="false" ht="15" hidden="false" customHeight="false" outlineLevel="0" collapsed="false">
      <c r="A3718" s="19"/>
      <c r="B3718" s="19"/>
      <c r="C3718" s="19"/>
      <c r="D3718" s="19"/>
      <c r="E3718" s="22"/>
      <c r="F3718" s="19"/>
      <c r="G3718" s="26" t="str">
        <f aca="false">IF(D3718="","",IFERROR(VALUE(LEFT(D3718,FIND(" |",D3718&amp;" |")-1)),"?"))</f>
        <v/>
      </c>
      <c r="H3718" s="27" t="str">
        <f aca="false">IF(G3718="","",IF(G3718="?","⚠ pub inconnue",IFERROR(INDEX(Pubs!$B$2:$B$3001,MATCH(G3718,Pubs!$A$2:$A$3001,0))&amp;"","⚠ pub inconnue")))</f>
        <v/>
      </c>
      <c r="I3718" s="27" t="str">
        <f aca="false">IF(OR(G3718="",G3718="?"),"",IFERROR(INDEX(Pubs!$C$2:$C$3001,MATCH(G3718,Pubs!$A$2:$A$3001,0))&amp;"",""))</f>
        <v/>
      </c>
      <c r="J3718" s="27" t="str">
        <f aca="false">IF(OR(G3718="",G3718="?"),"",IFERROR(INDEX(Pubs!$G$2:$G$3001,MATCH(G3718,Pubs!$A$2:$A$3001,0))&amp;"",""))</f>
        <v/>
      </c>
      <c r="K3718" s="28" t="str">
        <f aca="false">IF(OR(G3718="",G3718="?"),"",IFERROR(INDEX(Pubs!$E$2:$E$3001,MATCH(G3718,Pubs!$A$2:$A$3001,0)),""))</f>
        <v/>
      </c>
      <c r="L3718" s="29" t="str">
        <f aca="false">IF(A3718="","",IFERROR(1/(1/INDEX(Numéros!$C$2:$C$3001,MATCH(A3718&amp;"|"&amp;B3718,Numéros!$F$2:$F$3001,0))),""))</f>
        <v/>
      </c>
      <c r="M3718" s="27" t="str">
        <f aca="false">IF(OR(G3718="",G3718="?"),"",IFERROR(INDEX(Pubs!$D$2:$D$3001,MATCH(G3718,Pubs!$A$2:$A$3001,0))&amp;"",""))</f>
        <v/>
      </c>
      <c r="N3718" s="27" t="n">
        <f aca="false">N(N3717)+IF(AND(A3718&lt;&gt;"",OR(Recherche!$C$4="",A3718=Recherche!$C$4),OR(Recherche!$C$5="",B3718&amp;""=Recherche!$C$5&amp;""),OR(Recherche!$C$6="",IFERROR(YEAR(L3718),0)=Recherche!$C$6),OR(Recherche!$C$7="",ISNUMBER(SEARCH(Recherche!$C$7,H3718))),OR(Recherche!$C$8="",J3718=Recherche!$C$8),OR(Recherche!$C$9="",I3718=Recherche!$C$9),OR(Recherche!$C$10="",G3718&amp;""=Recherche!$C$10&amp;""),OR(Recherche!$C$11="",E3718=Recherche!$C$11),OR(Recherche!$C$12="",ISNUMBER(SEARCH(Recherche!$C$12,M3718&amp;" "&amp;F3718)))),1,0)</f>
        <v>8</v>
      </c>
    </row>
    <row r="3719" customFormat="false" ht="15" hidden="false" customHeight="false" outlineLevel="0" collapsed="false">
      <c r="A3719" s="19"/>
      <c r="B3719" s="19"/>
      <c r="C3719" s="19"/>
      <c r="D3719" s="19"/>
      <c r="E3719" s="22"/>
      <c r="F3719" s="19"/>
      <c r="G3719" s="26" t="str">
        <f aca="false">IF(D3719="","",IFERROR(VALUE(LEFT(D3719,FIND(" |",D3719&amp;" |")-1)),"?"))</f>
        <v/>
      </c>
      <c r="H3719" s="27" t="str">
        <f aca="false">IF(G3719="","",IF(G3719="?","⚠ pub inconnue",IFERROR(INDEX(Pubs!$B$2:$B$3001,MATCH(G3719,Pubs!$A$2:$A$3001,0))&amp;"","⚠ pub inconnue")))</f>
        <v/>
      </c>
      <c r="I3719" s="27" t="str">
        <f aca="false">IF(OR(G3719="",G3719="?"),"",IFERROR(INDEX(Pubs!$C$2:$C$3001,MATCH(G3719,Pubs!$A$2:$A$3001,0))&amp;"",""))</f>
        <v/>
      </c>
      <c r="J3719" s="27" t="str">
        <f aca="false">IF(OR(G3719="",G3719="?"),"",IFERROR(INDEX(Pubs!$G$2:$G$3001,MATCH(G3719,Pubs!$A$2:$A$3001,0))&amp;"",""))</f>
        <v/>
      </c>
      <c r="K3719" s="28" t="str">
        <f aca="false">IF(OR(G3719="",G3719="?"),"",IFERROR(INDEX(Pubs!$E$2:$E$3001,MATCH(G3719,Pubs!$A$2:$A$3001,0)),""))</f>
        <v/>
      </c>
      <c r="L3719" s="29" t="str">
        <f aca="false">IF(A3719="","",IFERROR(1/(1/INDEX(Numéros!$C$2:$C$3001,MATCH(A3719&amp;"|"&amp;B3719,Numéros!$F$2:$F$3001,0))),""))</f>
        <v/>
      </c>
      <c r="M3719" s="27" t="str">
        <f aca="false">IF(OR(G3719="",G3719="?"),"",IFERROR(INDEX(Pubs!$D$2:$D$3001,MATCH(G3719,Pubs!$A$2:$A$3001,0))&amp;"",""))</f>
        <v/>
      </c>
      <c r="N3719" s="27" t="n">
        <f aca="false">N(N3718)+IF(AND(A3719&lt;&gt;"",OR(Recherche!$C$4="",A3719=Recherche!$C$4),OR(Recherche!$C$5="",B3719&amp;""=Recherche!$C$5&amp;""),OR(Recherche!$C$6="",IFERROR(YEAR(L3719),0)=Recherche!$C$6),OR(Recherche!$C$7="",ISNUMBER(SEARCH(Recherche!$C$7,H3719))),OR(Recherche!$C$8="",J3719=Recherche!$C$8),OR(Recherche!$C$9="",I3719=Recherche!$C$9),OR(Recherche!$C$10="",G3719&amp;""=Recherche!$C$10&amp;""),OR(Recherche!$C$11="",E3719=Recherche!$C$11),OR(Recherche!$C$12="",ISNUMBER(SEARCH(Recherche!$C$12,M3719&amp;" "&amp;F3719)))),1,0)</f>
        <v>8</v>
      </c>
    </row>
    <row r="3720" customFormat="false" ht="15" hidden="false" customHeight="false" outlineLevel="0" collapsed="false">
      <c r="A3720" s="19"/>
      <c r="B3720" s="19"/>
      <c r="C3720" s="19"/>
      <c r="D3720" s="19"/>
      <c r="E3720" s="22"/>
      <c r="F3720" s="19"/>
      <c r="G3720" s="26" t="str">
        <f aca="false">IF(D3720="","",IFERROR(VALUE(LEFT(D3720,FIND(" |",D3720&amp;" |")-1)),"?"))</f>
        <v/>
      </c>
      <c r="H3720" s="27" t="str">
        <f aca="false">IF(G3720="","",IF(G3720="?","⚠ pub inconnue",IFERROR(INDEX(Pubs!$B$2:$B$3001,MATCH(G3720,Pubs!$A$2:$A$3001,0))&amp;"","⚠ pub inconnue")))</f>
        <v/>
      </c>
      <c r="I3720" s="27" t="str">
        <f aca="false">IF(OR(G3720="",G3720="?"),"",IFERROR(INDEX(Pubs!$C$2:$C$3001,MATCH(G3720,Pubs!$A$2:$A$3001,0))&amp;"",""))</f>
        <v/>
      </c>
      <c r="J3720" s="27" t="str">
        <f aca="false">IF(OR(G3720="",G3720="?"),"",IFERROR(INDEX(Pubs!$G$2:$G$3001,MATCH(G3720,Pubs!$A$2:$A$3001,0))&amp;"",""))</f>
        <v/>
      </c>
      <c r="K3720" s="28" t="str">
        <f aca="false">IF(OR(G3720="",G3720="?"),"",IFERROR(INDEX(Pubs!$E$2:$E$3001,MATCH(G3720,Pubs!$A$2:$A$3001,0)),""))</f>
        <v/>
      </c>
      <c r="L3720" s="29" t="str">
        <f aca="false">IF(A3720="","",IFERROR(1/(1/INDEX(Numéros!$C$2:$C$3001,MATCH(A3720&amp;"|"&amp;B3720,Numéros!$F$2:$F$3001,0))),""))</f>
        <v/>
      </c>
      <c r="M3720" s="27" t="str">
        <f aca="false">IF(OR(G3720="",G3720="?"),"",IFERROR(INDEX(Pubs!$D$2:$D$3001,MATCH(G3720,Pubs!$A$2:$A$3001,0))&amp;"",""))</f>
        <v/>
      </c>
      <c r="N3720" s="27" t="n">
        <f aca="false">N(N3719)+IF(AND(A3720&lt;&gt;"",OR(Recherche!$C$4="",A3720=Recherche!$C$4),OR(Recherche!$C$5="",B3720&amp;""=Recherche!$C$5&amp;""),OR(Recherche!$C$6="",IFERROR(YEAR(L3720),0)=Recherche!$C$6),OR(Recherche!$C$7="",ISNUMBER(SEARCH(Recherche!$C$7,H3720))),OR(Recherche!$C$8="",J3720=Recherche!$C$8),OR(Recherche!$C$9="",I3720=Recherche!$C$9),OR(Recherche!$C$10="",G3720&amp;""=Recherche!$C$10&amp;""),OR(Recherche!$C$11="",E3720=Recherche!$C$11),OR(Recherche!$C$12="",ISNUMBER(SEARCH(Recherche!$C$12,M3720&amp;" "&amp;F3720)))),1,0)</f>
        <v>8</v>
      </c>
    </row>
    <row r="3721" customFormat="false" ht="15" hidden="false" customHeight="false" outlineLevel="0" collapsed="false">
      <c r="A3721" s="19"/>
      <c r="B3721" s="19"/>
      <c r="C3721" s="19"/>
      <c r="D3721" s="19"/>
      <c r="E3721" s="22"/>
      <c r="F3721" s="19"/>
      <c r="G3721" s="26" t="str">
        <f aca="false">IF(D3721="","",IFERROR(VALUE(LEFT(D3721,FIND(" |",D3721&amp;" |")-1)),"?"))</f>
        <v/>
      </c>
      <c r="H3721" s="27" t="str">
        <f aca="false">IF(G3721="","",IF(G3721="?","⚠ pub inconnue",IFERROR(INDEX(Pubs!$B$2:$B$3001,MATCH(G3721,Pubs!$A$2:$A$3001,0))&amp;"","⚠ pub inconnue")))</f>
        <v/>
      </c>
      <c r="I3721" s="27" t="str">
        <f aca="false">IF(OR(G3721="",G3721="?"),"",IFERROR(INDEX(Pubs!$C$2:$C$3001,MATCH(G3721,Pubs!$A$2:$A$3001,0))&amp;"",""))</f>
        <v/>
      </c>
      <c r="J3721" s="27" t="str">
        <f aca="false">IF(OR(G3721="",G3721="?"),"",IFERROR(INDEX(Pubs!$G$2:$G$3001,MATCH(G3721,Pubs!$A$2:$A$3001,0))&amp;"",""))</f>
        <v/>
      </c>
      <c r="K3721" s="28" t="str">
        <f aca="false">IF(OR(G3721="",G3721="?"),"",IFERROR(INDEX(Pubs!$E$2:$E$3001,MATCH(G3721,Pubs!$A$2:$A$3001,0)),""))</f>
        <v/>
      </c>
      <c r="L3721" s="29" t="str">
        <f aca="false">IF(A3721="","",IFERROR(1/(1/INDEX(Numéros!$C$2:$C$3001,MATCH(A3721&amp;"|"&amp;B3721,Numéros!$F$2:$F$3001,0))),""))</f>
        <v/>
      </c>
      <c r="M3721" s="27" t="str">
        <f aca="false">IF(OR(G3721="",G3721="?"),"",IFERROR(INDEX(Pubs!$D$2:$D$3001,MATCH(G3721,Pubs!$A$2:$A$3001,0))&amp;"",""))</f>
        <v/>
      </c>
      <c r="N3721" s="27" t="n">
        <f aca="false">N(N3720)+IF(AND(A3721&lt;&gt;"",OR(Recherche!$C$4="",A3721=Recherche!$C$4),OR(Recherche!$C$5="",B3721&amp;""=Recherche!$C$5&amp;""),OR(Recherche!$C$6="",IFERROR(YEAR(L3721),0)=Recherche!$C$6),OR(Recherche!$C$7="",ISNUMBER(SEARCH(Recherche!$C$7,H3721))),OR(Recherche!$C$8="",J3721=Recherche!$C$8),OR(Recherche!$C$9="",I3721=Recherche!$C$9),OR(Recherche!$C$10="",G3721&amp;""=Recherche!$C$10&amp;""),OR(Recherche!$C$11="",E3721=Recherche!$C$11),OR(Recherche!$C$12="",ISNUMBER(SEARCH(Recherche!$C$12,M3721&amp;" "&amp;F3721)))),1,0)</f>
        <v>8</v>
      </c>
    </row>
    <row r="3722" customFormat="false" ht="15" hidden="false" customHeight="false" outlineLevel="0" collapsed="false">
      <c r="A3722" s="19"/>
      <c r="B3722" s="19"/>
      <c r="C3722" s="19"/>
      <c r="D3722" s="19"/>
      <c r="E3722" s="22"/>
      <c r="F3722" s="19"/>
      <c r="G3722" s="26" t="str">
        <f aca="false">IF(D3722="","",IFERROR(VALUE(LEFT(D3722,FIND(" |",D3722&amp;" |")-1)),"?"))</f>
        <v/>
      </c>
      <c r="H3722" s="27" t="str">
        <f aca="false">IF(G3722="","",IF(G3722="?","⚠ pub inconnue",IFERROR(INDEX(Pubs!$B$2:$B$3001,MATCH(G3722,Pubs!$A$2:$A$3001,0))&amp;"","⚠ pub inconnue")))</f>
        <v/>
      </c>
      <c r="I3722" s="27" t="str">
        <f aca="false">IF(OR(G3722="",G3722="?"),"",IFERROR(INDEX(Pubs!$C$2:$C$3001,MATCH(G3722,Pubs!$A$2:$A$3001,0))&amp;"",""))</f>
        <v/>
      </c>
      <c r="J3722" s="27" t="str">
        <f aca="false">IF(OR(G3722="",G3722="?"),"",IFERROR(INDEX(Pubs!$G$2:$G$3001,MATCH(G3722,Pubs!$A$2:$A$3001,0))&amp;"",""))</f>
        <v/>
      </c>
      <c r="K3722" s="28" t="str">
        <f aca="false">IF(OR(G3722="",G3722="?"),"",IFERROR(INDEX(Pubs!$E$2:$E$3001,MATCH(G3722,Pubs!$A$2:$A$3001,0)),""))</f>
        <v/>
      </c>
      <c r="L3722" s="29" t="str">
        <f aca="false">IF(A3722="","",IFERROR(1/(1/INDEX(Numéros!$C$2:$C$3001,MATCH(A3722&amp;"|"&amp;B3722,Numéros!$F$2:$F$3001,0))),""))</f>
        <v/>
      </c>
      <c r="M3722" s="27" t="str">
        <f aca="false">IF(OR(G3722="",G3722="?"),"",IFERROR(INDEX(Pubs!$D$2:$D$3001,MATCH(G3722,Pubs!$A$2:$A$3001,0))&amp;"",""))</f>
        <v/>
      </c>
      <c r="N3722" s="27" t="n">
        <f aca="false">N(N3721)+IF(AND(A3722&lt;&gt;"",OR(Recherche!$C$4="",A3722=Recherche!$C$4),OR(Recherche!$C$5="",B3722&amp;""=Recherche!$C$5&amp;""),OR(Recherche!$C$6="",IFERROR(YEAR(L3722),0)=Recherche!$C$6),OR(Recherche!$C$7="",ISNUMBER(SEARCH(Recherche!$C$7,H3722))),OR(Recherche!$C$8="",J3722=Recherche!$C$8),OR(Recherche!$C$9="",I3722=Recherche!$C$9),OR(Recherche!$C$10="",G3722&amp;""=Recherche!$C$10&amp;""),OR(Recherche!$C$11="",E3722=Recherche!$C$11),OR(Recherche!$C$12="",ISNUMBER(SEARCH(Recherche!$C$12,M3722&amp;" "&amp;F3722)))),1,0)</f>
        <v>8</v>
      </c>
    </row>
    <row r="3723" customFormat="false" ht="15" hidden="false" customHeight="false" outlineLevel="0" collapsed="false">
      <c r="A3723" s="19"/>
      <c r="B3723" s="19"/>
      <c r="C3723" s="19"/>
      <c r="D3723" s="19"/>
      <c r="E3723" s="22"/>
      <c r="F3723" s="19"/>
      <c r="G3723" s="26" t="str">
        <f aca="false">IF(D3723="","",IFERROR(VALUE(LEFT(D3723,FIND(" |",D3723&amp;" |")-1)),"?"))</f>
        <v/>
      </c>
      <c r="H3723" s="27" t="str">
        <f aca="false">IF(G3723="","",IF(G3723="?","⚠ pub inconnue",IFERROR(INDEX(Pubs!$B$2:$B$3001,MATCH(G3723,Pubs!$A$2:$A$3001,0))&amp;"","⚠ pub inconnue")))</f>
        <v/>
      </c>
      <c r="I3723" s="27" t="str">
        <f aca="false">IF(OR(G3723="",G3723="?"),"",IFERROR(INDEX(Pubs!$C$2:$C$3001,MATCH(G3723,Pubs!$A$2:$A$3001,0))&amp;"",""))</f>
        <v/>
      </c>
      <c r="J3723" s="27" t="str">
        <f aca="false">IF(OR(G3723="",G3723="?"),"",IFERROR(INDEX(Pubs!$G$2:$G$3001,MATCH(G3723,Pubs!$A$2:$A$3001,0))&amp;"",""))</f>
        <v/>
      </c>
      <c r="K3723" s="28" t="str">
        <f aca="false">IF(OR(G3723="",G3723="?"),"",IFERROR(INDEX(Pubs!$E$2:$E$3001,MATCH(G3723,Pubs!$A$2:$A$3001,0)),""))</f>
        <v/>
      </c>
      <c r="L3723" s="29" t="str">
        <f aca="false">IF(A3723="","",IFERROR(1/(1/INDEX(Numéros!$C$2:$C$3001,MATCH(A3723&amp;"|"&amp;B3723,Numéros!$F$2:$F$3001,0))),""))</f>
        <v/>
      </c>
      <c r="M3723" s="27" t="str">
        <f aca="false">IF(OR(G3723="",G3723="?"),"",IFERROR(INDEX(Pubs!$D$2:$D$3001,MATCH(G3723,Pubs!$A$2:$A$3001,0))&amp;"",""))</f>
        <v/>
      </c>
      <c r="N3723" s="27" t="n">
        <f aca="false">N(N3722)+IF(AND(A3723&lt;&gt;"",OR(Recherche!$C$4="",A3723=Recherche!$C$4),OR(Recherche!$C$5="",B3723&amp;""=Recherche!$C$5&amp;""),OR(Recherche!$C$6="",IFERROR(YEAR(L3723),0)=Recherche!$C$6),OR(Recherche!$C$7="",ISNUMBER(SEARCH(Recherche!$C$7,H3723))),OR(Recherche!$C$8="",J3723=Recherche!$C$8),OR(Recherche!$C$9="",I3723=Recherche!$C$9),OR(Recherche!$C$10="",G3723&amp;""=Recherche!$C$10&amp;""),OR(Recherche!$C$11="",E3723=Recherche!$C$11),OR(Recherche!$C$12="",ISNUMBER(SEARCH(Recherche!$C$12,M3723&amp;" "&amp;F3723)))),1,0)</f>
        <v>8</v>
      </c>
    </row>
    <row r="3724" customFormat="false" ht="15" hidden="false" customHeight="false" outlineLevel="0" collapsed="false">
      <c r="A3724" s="19"/>
      <c r="B3724" s="19"/>
      <c r="C3724" s="19"/>
      <c r="D3724" s="19"/>
      <c r="E3724" s="22"/>
      <c r="F3724" s="19"/>
      <c r="G3724" s="26" t="str">
        <f aca="false">IF(D3724="","",IFERROR(VALUE(LEFT(D3724,FIND(" |",D3724&amp;" |")-1)),"?"))</f>
        <v/>
      </c>
      <c r="H3724" s="27" t="str">
        <f aca="false">IF(G3724="","",IF(G3724="?","⚠ pub inconnue",IFERROR(INDEX(Pubs!$B$2:$B$3001,MATCH(G3724,Pubs!$A$2:$A$3001,0))&amp;"","⚠ pub inconnue")))</f>
        <v/>
      </c>
      <c r="I3724" s="27" t="str">
        <f aca="false">IF(OR(G3724="",G3724="?"),"",IFERROR(INDEX(Pubs!$C$2:$C$3001,MATCH(G3724,Pubs!$A$2:$A$3001,0))&amp;"",""))</f>
        <v/>
      </c>
      <c r="J3724" s="27" t="str">
        <f aca="false">IF(OR(G3724="",G3724="?"),"",IFERROR(INDEX(Pubs!$G$2:$G$3001,MATCH(G3724,Pubs!$A$2:$A$3001,0))&amp;"",""))</f>
        <v/>
      </c>
      <c r="K3724" s="28" t="str">
        <f aca="false">IF(OR(G3724="",G3724="?"),"",IFERROR(INDEX(Pubs!$E$2:$E$3001,MATCH(G3724,Pubs!$A$2:$A$3001,0)),""))</f>
        <v/>
      </c>
      <c r="L3724" s="29" t="str">
        <f aca="false">IF(A3724="","",IFERROR(1/(1/INDEX(Numéros!$C$2:$C$3001,MATCH(A3724&amp;"|"&amp;B3724,Numéros!$F$2:$F$3001,0))),""))</f>
        <v/>
      </c>
      <c r="M3724" s="27" t="str">
        <f aca="false">IF(OR(G3724="",G3724="?"),"",IFERROR(INDEX(Pubs!$D$2:$D$3001,MATCH(G3724,Pubs!$A$2:$A$3001,0))&amp;"",""))</f>
        <v/>
      </c>
      <c r="N3724" s="27" t="n">
        <f aca="false">N(N3723)+IF(AND(A3724&lt;&gt;"",OR(Recherche!$C$4="",A3724=Recherche!$C$4),OR(Recherche!$C$5="",B3724&amp;""=Recherche!$C$5&amp;""),OR(Recherche!$C$6="",IFERROR(YEAR(L3724),0)=Recherche!$C$6),OR(Recherche!$C$7="",ISNUMBER(SEARCH(Recherche!$C$7,H3724))),OR(Recherche!$C$8="",J3724=Recherche!$C$8),OR(Recherche!$C$9="",I3724=Recherche!$C$9),OR(Recherche!$C$10="",G3724&amp;""=Recherche!$C$10&amp;""),OR(Recherche!$C$11="",E3724=Recherche!$C$11),OR(Recherche!$C$12="",ISNUMBER(SEARCH(Recherche!$C$12,M3724&amp;" "&amp;F3724)))),1,0)</f>
        <v>8</v>
      </c>
    </row>
    <row r="3725" customFormat="false" ht="15" hidden="false" customHeight="false" outlineLevel="0" collapsed="false">
      <c r="A3725" s="19"/>
      <c r="B3725" s="19"/>
      <c r="C3725" s="19"/>
      <c r="D3725" s="19"/>
      <c r="E3725" s="22"/>
      <c r="F3725" s="19"/>
      <c r="G3725" s="26" t="str">
        <f aca="false">IF(D3725="","",IFERROR(VALUE(LEFT(D3725,FIND(" |",D3725&amp;" |")-1)),"?"))</f>
        <v/>
      </c>
      <c r="H3725" s="27" t="str">
        <f aca="false">IF(G3725="","",IF(G3725="?","⚠ pub inconnue",IFERROR(INDEX(Pubs!$B$2:$B$3001,MATCH(G3725,Pubs!$A$2:$A$3001,0))&amp;"","⚠ pub inconnue")))</f>
        <v/>
      </c>
      <c r="I3725" s="27" t="str">
        <f aca="false">IF(OR(G3725="",G3725="?"),"",IFERROR(INDEX(Pubs!$C$2:$C$3001,MATCH(G3725,Pubs!$A$2:$A$3001,0))&amp;"",""))</f>
        <v/>
      </c>
      <c r="J3725" s="27" t="str">
        <f aca="false">IF(OR(G3725="",G3725="?"),"",IFERROR(INDEX(Pubs!$G$2:$G$3001,MATCH(G3725,Pubs!$A$2:$A$3001,0))&amp;"",""))</f>
        <v/>
      </c>
      <c r="K3725" s="28" t="str">
        <f aca="false">IF(OR(G3725="",G3725="?"),"",IFERROR(INDEX(Pubs!$E$2:$E$3001,MATCH(G3725,Pubs!$A$2:$A$3001,0)),""))</f>
        <v/>
      </c>
      <c r="L3725" s="29" t="str">
        <f aca="false">IF(A3725="","",IFERROR(1/(1/INDEX(Numéros!$C$2:$C$3001,MATCH(A3725&amp;"|"&amp;B3725,Numéros!$F$2:$F$3001,0))),""))</f>
        <v/>
      </c>
      <c r="M3725" s="27" t="str">
        <f aca="false">IF(OR(G3725="",G3725="?"),"",IFERROR(INDEX(Pubs!$D$2:$D$3001,MATCH(G3725,Pubs!$A$2:$A$3001,0))&amp;"",""))</f>
        <v/>
      </c>
      <c r="N3725" s="27" t="n">
        <f aca="false">N(N3724)+IF(AND(A3725&lt;&gt;"",OR(Recherche!$C$4="",A3725=Recherche!$C$4),OR(Recherche!$C$5="",B3725&amp;""=Recherche!$C$5&amp;""),OR(Recherche!$C$6="",IFERROR(YEAR(L3725),0)=Recherche!$C$6),OR(Recherche!$C$7="",ISNUMBER(SEARCH(Recherche!$C$7,H3725))),OR(Recherche!$C$8="",J3725=Recherche!$C$8),OR(Recherche!$C$9="",I3725=Recherche!$C$9),OR(Recherche!$C$10="",G3725&amp;""=Recherche!$C$10&amp;""),OR(Recherche!$C$11="",E3725=Recherche!$C$11),OR(Recherche!$C$12="",ISNUMBER(SEARCH(Recherche!$C$12,M3725&amp;" "&amp;F3725)))),1,0)</f>
        <v>8</v>
      </c>
    </row>
    <row r="3726" customFormat="false" ht="15" hidden="false" customHeight="false" outlineLevel="0" collapsed="false">
      <c r="A3726" s="19"/>
      <c r="B3726" s="19"/>
      <c r="C3726" s="19"/>
      <c r="D3726" s="19"/>
      <c r="E3726" s="22"/>
      <c r="F3726" s="19"/>
      <c r="G3726" s="26" t="str">
        <f aca="false">IF(D3726="","",IFERROR(VALUE(LEFT(D3726,FIND(" |",D3726&amp;" |")-1)),"?"))</f>
        <v/>
      </c>
      <c r="H3726" s="27" t="str">
        <f aca="false">IF(G3726="","",IF(G3726="?","⚠ pub inconnue",IFERROR(INDEX(Pubs!$B$2:$B$3001,MATCH(G3726,Pubs!$A$2:$A$3001,0))&amp;"","⚠ pub inconnue")))</f>
        <v/>
      </c>
      <c r="I3726" s="27" t="str">
        <f aca="false">IF(OR(G3726="",G3726="?"),"",IFERROR(INDEX(Pubs!$C$2:$C$3001,MATCH(G3726,Pubs!$A$2:$A$3001,0))&amp;"",""))</f>
        <v/>
      </c>
      <c r="J3726" s="27" t="str">
        <f aca="false">IF(OR(G3726="",G3726="?"),"",IFERROR(INDEX(Pubs!$G$2:$G$3001,MATCH(G3726,Pubs!$A$2:$A$3001,0))&amp;"",""))</f>
        <v/>
      </c>
      <c r="K3726" s="28" t="str">
        <f aca="false">IF(OR(G3726="",G3726="?"),"",IFERROR(INDEX(Pubs!$E$2:$E$3001,MATCH(G3726,Pubs!$A$2:$A$3001,0)),""))</f>
        <v/>
      </c>
      <c r="L3726" s="29" t="str">
        <f aca="false">IF(A3726="","",IFERROR(1/(1/INDEX(Numéros!$C$2:$C$3001,MATCH(A3726&amp;"|"&amp;B3726,Numéros!$F$2:$F$3001,0))),""))</f>
        <v/>
      </c>
      <c r="M3726" s="27" t="str">
        <f aca="false">IF(OR(G3726="",G3726="?"),"",IFERROR(INDEX(Pubs!$D$2:$D$3001,MATCH(G3726,Pubs!$A$2:$A$3001,0))&amp;"",""))</f>
        <v/>
      </c>
      <c r="N3726" s="27" t="n">
        <f aca="false">N(N3725)+IF(AND(A3726&lt;&gt;"",OR(Recherche!$C$4="",A3726=Recherche!$C$4),OR(Recherche!$C$5="",B3726&amp;""=Recherche!$C$5&amp;""),OR(Recherche!$C$6="",IFERROR(YEAR(L3726),0)=Recherche!$C$6),OR(Recherche!$C$7="",ISNUMBER(SEARCH(Recherche!$C$7,H3726))),OR(Recherche!$C$8="",J3726=Recherche!$C$8),OR(Recherche!$C$9="",I3726=Recherche!$C$9),OR(Recherche!$C$10="",G3726&amp;""=Recherche!$C$10&amp;""),OR(Recherche!$C$11="",E3726=Recherche!$C$11),OR(Recherche!$C$12="",ISNUMBER(SEARCH(Recherche!$C$12,M3726&amp;" "&amp;F3726)))),1,0)</f>
        <v>8</v>
      </c>
    </row>
    <row r="3727" customFormat="false" ht="15" hidden="false" customHeight="false" outlineLevel="0" collapsed="false">
      <c r="A3727" s="19"/>
      <c r="B3727" s="19"/>
      <c r="C3727" s="19"/>
      <c r="D3727" s="19"/>
      <c r="E3727" s="22"/>
      <c r="F3727" s="19"/>
      <c r="G3727" s="26" t="str">
        <f aca="false">IF(D3727="","",IFERROR(VALUE(LEFT(D3727,FIND(" |",D3727&amp;" |")-1)),"?"))</f>
        <v/>
      </c>
      <c r="H3727" s="27" t="str">
        <f aca="false">IF(G3727="","",IF(G3727="?","⚠ pub inconnue",IFERROR(INDEX(Pubs!$B$2:$B$3001,MATCH(G3727,Pubs!$A$2:$A$3001,0))&amp;"","⚠ pub inconnue")))</f>
        <v/>
      </c>
      <c r="I3727" s="27" t="str">
        <f aca="false">IF(OR(G3727="",G3727="?"),"",IFERROR(INDEX(Pubs!$C$2:$C$3001,MATCH(G3727,Pubs!$A$2:$A$3001,0))&amp;"",""))</f>
        <v/>
      </c>
      <c r="J3727" s="27" t="str">
        <f aca="false">IF(OR(G3727="",G3727="?"),"",IFERROR(INDEX(Pubs!$G$2:$G$3001,MATCH(G3727,Pubs!$A$2:$A$3001,0))&amp;"",""))</f>
        <v/>
      </c>
      <c r="K3727" s="28" t="str">
        <f aca="false">IF(OR(G3727="",G3727="?"),"",IFERROR(INDEX(Pubs!$E$2:$E$3001,MATCH(G3727,Pubs!$A$2:$A$3001,0)),""))</f>
        <v/>
      </c>
      <c r="L3727" s="29" t="str">
        <f aca="false">IF(A3727="","",IFERROR(1/(1/INDEX(Numéros!$C$2:$C$3001,MATCH(A3727&amp;"|"&amp;B3727,Numéros!$F$2:$F$3001,0))),""))</f>
        <v/>
      </c>
      <c r="M3727" s="27" t="str">
        <f aca="false">IF(OR(G3727="",G3727="?"),"",IFERROR(INDEX(Pubs!$D$2:$D$3001,MATCH(G3727,Pubs!$A$2:$A$3001,0))&amp;"",""))</f>
        <v/>
      </c>
      <c r="N3727" s="27" t="n">
        <f aca="false">N(N3726)+IF(AND(A3727&lt;&gt;"",OR(Recherche!$C$4="",A3727=Recherche!$C$4),OR(Recherche!$C$5="",B3727&amp;""=Recherche!$C$5&amp;""),OR(Recherche!$C$6="",IFERROR(YEAR(L3727),0)=Recherche!$C$6),OR(Recherche!$C$7="",ISNUMBER(SEARCH(Recherche!$C$7,H3727))),OR(Recherche!$C$8="",J3727=Recherche!$C$8),OR(Recherche!$C$9="",I3727=Recherche!$C$9),OR(Recherche!$C$10="",G3727&amp;""=Recherche!$C$10&amp;""),OR(Recherche!$C$11="",E3727=Recherche!$C$11),OR(Recherche!$C$12="",ISNUMBER(SEARCH(Recherche!$C$12,M3727&amp;" "&amp;F3727)))),1,0)</f>
        <v>8</v>
      </c>
    </row>
    <row r="3728" customFormat="false" ht="15" hidden="false" customHeight="false" outlineLevel="0" collapsed="false">
      <c r="A3728" s="19"/>
      <c r="B3728" s="19"/>
      <c r="C3728" s="19"/>
      <c r="D3728" s="19"/>
      <c r="E3728" s="22"/>
      <c r="F3728" s="19"/>
      <c r="G3728" s="26" t="str">
        <f aca="false">IF(D3728="","",IFERROR(VALUE(LEFT(D3728,FIND(" |",D3728&amp;" |")-1)),"?"))</f>
        <v/>
      </c>
      <c r="H3728" s="27" t="str">
        <f aca="false">IF(G3728="","",IF(G3728="?","⚠ pub inconnue",IFERROR(INDEX(Pubs!$B$2:$B$3001,MATCH(G3728,Pubs!$A$2:$A$3001,0))&amp;"","⚠ pub inconnue")))</f>
        <v/>
      </c>
      <c r="I3728" s="27" t="str">
        <f aca="false">IF(OR(G3728="",G3728="?"),"",IFERROR(INDEX(Pubs!$C$2:$C$3001,MATCH(G3728,Pubs!$A$2:$A$3001,0))&amp;"",""))</f>
        <v/>
      </c>
      <c r="J3728" s="27" t="str">
        <f aca="false">IF(OR(G3728="",G3728="?"),"",IFERROR(INDEX(Pubs!$G$2:$G$3001,MATCH(G3728,Pubs!$A$2:$A$3001,0))&amp;"",""))</f>
        <v/>
      </c>
      <c r="K3728" s="28" t="str">
        <f aca="false">IF(OR(G3728="",G3728="?"),"",IFERROR(INDEX(Pubs!$E$2:$E$3001,MATCH(G3728,Pubs!$A$2:$A$3001,0)),""))</f>
        <v/>
      </c>
      <c r="L3728" s="29" t="str">
        <f aca="false">IF(A3728="","",IFERROR(1/(1/INDEX(Numéros!$C$2:$C$3001,MATCH(A3728&amp;"|"&amp;B3728,Numéros!$F$2:$F$3001,0))),""))</f>
        <v/>
      </c>
      <c r="M3728" s="27" t="str">
        <f aca="false">IF(OR(G3728="",G3728="?"),"",IFERROR(INDEX(Pubs!$D$2:$D$3001,MATCH(G3728,Pubs!$A$2:$A$3001,0))&amp;"",""))</f>
        <v/>
      </c>
      <c r="N3728" s="27" t="n">
        <f aca="false">N(N3727)+IF(AND(A3728&lt;&gt;"",OR(Recherche!$C$4="",A3728=Recherche!$C$4),OR(Recherche!$C$5="",B3728&amp;""=Recherche!$C$5&amp;""),OR(Recherche!$C$6="",IFERROR(YEAR(L3728),0)=Recherche!$C$6),OR(Recherche!$C$7="",ISNUMBER(SEARCH(Recherche!$C$7,H3728))),OR(Recherche!$C$8="",J3728=Recherche!$C$8),OR(Recherche!$C$9="",I3728=Recherche!$C$9),OR(Recherche!$C$10="",G3728&amp;""=Recherche!$C$10&amp;""),OR(Recherche!$C$11="",E3728=Recherche!$C$11),OR(Recherche!$C$12="",ISNUMBER(SEARCH(Recherche!$C$12,M3728&amp;" "&amp;F3728)))),1,0)</f>
        <v>8</v>
      </c>
    </row>
    <row r="3729" customFormat="false" ht="15" hidden="false" customHeight="false" outlineLevel="0" collapsed="false">
      <c r="A3729" s="19"/>
      <c r="B3729" s="19"/>
      <c r="C3729" s="19"/>
      <c r="D3729" s="19"/>
      <c r="E3729" s="22"/>
      <c r="F3729" s="19"/>
      <c r="G3729" s="26" t="str">
        <f aca="false">IF(D3729="","",IFERROR(VALUE(LEFT(D3729,FIND(" |",D3729&amp;" |")-1)),"?"))</f>
        <v/>
      </c>
      <c r="H3729" s="27" t="str">
        <f aca="false">IF(G3729="","",IF(G3729="?","⚠ pub inconnue",IFERROR(INDEX(Pubs!$B$2:$B$3001,MATCH(G3729,Pubs!$A$2:$A$3001,0))&amp;"","⚠ pub inconnue")))</f>
        <v/>
      </c>
      <c r="I3729" s="27" t="str">
        <f aca="false">IF(OR(G3729="",G3729="?"),"",IFERROR(INDEX(Pubs!$C$2:$C$3001,MATCH(G3729,Pubs!$A$2:$A$3001,0))&amp;"",""))</f>
        <v/>
      </c>
      <c r="J3729" s="27" t="str">
        <f aca="false">IF(OR(G3729="",G3729="?"),"",IFERROR(INDEX(Pubs!$G$2:$G$3001,MATCH(G3729,Pubs!$A$2:$A$3001,0))&amp;"",""))</f>
        <v/>
      </c>
      <c r="K3729" s="28" t="str">
        <f aca="false">IF(OR(G3729="",G3729="?"),"",IFERROR(INDEX(Pubs!$E$2:$E$3001,MATCH(G3729,Pubs!$A$2:$A$3001,0)),""))</f>
        <v/>
      </c>
      <c r="L3729" s="29" t="str">
        <f aca="false">IF(A3729="","",IFERROR(1/(1/INDEX(Numéros!$C$2:$C$3001,MATCH(A3729&amp;"|"&amp;B3729,Numéros!$F$2:$F$3001,0))),""))</f>
        <v/>
      </c>
      <c r="M3729" s="27" t="str">
        <f aca="false">IF(OR(G3729="",G3729="?"),"",IFERROR(INDEX(Pubs!$D$2:$D$3001,MATCH(G3729,Pubs!$A$2:$A$3001,0))&amp;"",""))</f>
        <v/>
      </c>
      <c r="N3729" s="27" t="n">
        <f aca="false">N(N3728)+IF(AND(A3729&lt;&gt;"",OR(Recherche!$C$4="",A3729=Recherche!$C$4),OR(Recherche!$C$5="",B3729&amp;""=Recherche!$C$5&amp;""),OR(Recherche!$C$6="",IFERROR(YEAR(L3729),0)=Recherche!$C$6),OR(Recherche!$C$7="",ISNUMBER(SEARCH(Recherche!$C$7,H3729))),OR(Recherche!$C$8="",J3729=Recherche!$C$8),OR(Recherche!$C$9="",I3729=Recherche!$C$9),OR(Recherche!$C$10="",G3729&amp;""=Recherche!$C$10&amp;""),OR(Recherche!$C$11="",E3729=Recherche!$C$11),OR(Recherche!$C$12="",ISNUMBER(SEARCH(Recherche!$C$12,M3729&amp;" "&amp;F3729)))),1,0)</f>
        <v>8</v>
      </c>
    </row>
    <row r="3730" customFormat="false" ht="15" hidden="false" customHeight="false" outlineLevel="0" collapsed="false">
      <c r="A3730" s="19"/>
      <c r="B3730" s="19"/>
      <c r="C3730" s="19"/>
      <c r="D3730" s="19"/>
      <c r="E3730" s="22"/>
      <c r="F3730" s="19"/>
      <c r="G3730" s="26" t="str">
        <f aca="false">IF(D3730="","",IFERROR(VALUE(LEFT(D3730,FIND(" |",D3730&amp;" |")-1)),"?"))</f>
        <v/>
      </c>
      <c r="H3730" s="27" t="str">
        <f aca="false">IF(G3730="","",IF(G3730="?","⚠ pub inconnue",IFERROR(INDEX(Pubs!$B$2:$B$3001,MATCH(G3730,Pubs!$A$2:$A$3001,0))&amp;"","⚠ pub inconnue")))</f>
        <v/>
      </c>
      <c r="I3730" s="27" t="str">
        <f aca="false">IF(OR(G3730="",G3730="?"),"",IFERROR(INDEX(Pubs!$C$2:$C$3001,MATCH(G3730,Pubs!$A$2:$A$3001,0))&amp;"",""))</f>
        <v/>
      </c>
      <c r="J3730" s="27" t="str">
        <f aca="false">IF(OR(G3730="",G3730="?"),"",IFERROR(INDEX(Pubs!$G$2:$G$3001,MATCH(G3730,Pubs!$A$2:$A$3001,0))&amp;"",""))</f>
        <v/>
      </c>
      <c r="K3730" s="28" t="str">
        <f aca="false">IF(OR(G3730="",G3730="?"),"",IFERROR(INDEX(Pubs!$E$2:$E$3001,MATCH(G3730,Pubs!$A$2:$A$3001,0)),""))</f>
        <v/>
      </c>
      <c r="L3730" s="29" t="str">
        <f aca="false">IF(A3730="","",IFERROR(1/(1/INDEX(Numéros!$C$2:$C$3001,MATCH(A3730&amp;"|"&amp;B3730,Numéros!$F$2:$F$3001,0))),""))</f>
        <v/>
      </c>
      <c r="M3730" s="27" t="str">
        <f aca="false">IF(OR(G3730="",G3730="?"),"",IFERROR(INDEX(Pubs!$D$2:$D$3001,MATCH(G3730,Pubs!$A$2:$A$3001,0))&amp;"",""))</f>
        <v/>
      </c>
      <c r="N3730" s="27" t="n">
        <f aca="false">N(N3729)+IF(AND(A3730&lt;&gt;"",OR(Recherche!$C$4="",A3730=Recherche!$C$4),OR(Recherche!$C$5="",B3730&amp;""=Recherche!$C$5&amp;""),OR(Recherche!$C$6="",IFERROR(YEAR(L3730),0)=Recherche!$C$6),OR(Recherche!$C$7="",ISNUMBER(SEARCH(Recherche!$C$7,H3730))),OR(Recherche!$C$8="",J3730=Recherche!$C$8),OR(Recherche!$C$9="",I3730=Recherche!$C$9),OR(Recherche!$C$10="",G3730&amp;""=Recherche!$C$10&amp;""),OR(Recherche!$C$11="",E3730=Recherche!$C$11),OR(Recherche!$C$12="",ISNUMBER(SEARCH(Recherche!$C$12,M3730&amp;" "&amp;F3730)))),1,0)</f>
        <v>8</v>
      </c>
    </row>
    <row r="3731" customFormat="false" ht="15" hidden="false" customHeight="false" outlineLevel="0" collapsed="false">
      <c r="A3731" s="19"/>
      <c r="B3731" s="19"/>
      <c r="C3731" s="19"/>
      <c r="D3731" s="19"/>
      <c r="E3731" s="22"/>
      <c r="F3731" s="19"/>
      <c r="G3731" s="26" t="str">
        <f aca="false">IF(D3731="","",IFERROR(VALUE(LEFT(D3731,FIND(" |",D3731&amp;" |")-1)),"?"))</f>
        <v/>
      </c>
      <c r="H3731" s="27" t="str">
        <f aca="false">IF(G3731="","",IF(G3731="?","⚠ pub inconnue",IFERROR(INDEX(Pubs!$B$2:$B$3001,MATCH(G3731,Pubs!$A$2:$A$3001,0))&amp;"","⚠ pub inconnue")))</f>
        <v/>
      </c>
      <c r="I3731" s="27" t="str">
        <f aca="false">IF(OR(G3731="",G3731="?"),"",IFERROR(INDEX(Pubs!$C$2:$C$3001,MATCH(G3731,Pubs!$A$2:$A$3001,0))&amp;"",""))</f>
        <v/>
      </c>
      <c r="J3731" s="27" t="str">
        <f aca="false">IF(OR(G3731="",G3731="?"),"",IFERROR(INDEX(Pubs!$G$2:$G$3001,MATCH(G3731,Pubs!$A$2:$A$3001,0))&amp;"",""))</f>
        <v/>
      </c>
      <c r="K3731" s="28" t="str">
        <f aca="false">IF(OR(G3731="",G3731="?"),"",IFERROR(INDEX(Pubs!$E$2:$E$3001,MATCH(G3731,Pubs!$A$2:$A$3001,0)),""))</f>
        <v/>
      </c>
      <c r="L3731" s="29" t="str">
        <f aca="false">IF(A3731="","",IFERROR(1/(1/INDEX(Numéros!$C$2:$C$3001,MATCH(A3731&amp;"|"&amp;B3731,Numéros!$F$2:$F$3001,0))),""))</f>
        <v/>
      </c>
      <c r="M3731" s="27" t="str">
        <f aca="false">IF(OR(G3731="",G3731="?"),"",IFERROR(INDEX(Pubs!$D$2:$D$3001,MATCH(G3731,Pubs!$A$2:$A$3001,0))&amp;"",""))</f>
        <v/>
      </c>
      <c r="N3731" s="27" t="n">
        <f aca="false">N(N3730)+IF(AND(A3731&lt;&gt;"",OR(Recherche!$C$4="",A3731=Recherche!$C$4),OR(Recherche!$C$5="",B3731&amp;""=Recherche!$C$5&amp;""),OR(Recherche!$C$6="",IFERROR(YEAR(L3731),0)=Recherche!$C$6),OR(Recherche!$C$7="",ISNUMBER(SEARCH(Recherche!$C$7,H3731))),OR(Recherche!$C$8="",J3731=Recherche!$C$8),OR(Recherche!$C$9="",I3731=Recherche!$C$9),OR(Recherche!$C$10="",G3731&amp;""=Recherche!$C$10&amp;""),OR(Recherche!$C$11="",E3731=Recherche!$C$11),OR(Recherche!$C$12="",ISNUMBER(SEARCH(Recherche!$C$12,M3731&amp;" "&amp;F3731)))),1,0)</f>
        <v>8</v>
      </c>
    </row>
    <row r="3732" customFormat="false" ht="15" hidden="false" customHeight="false" outlineLevel="0" collapsed="false">
      <c r="A3732" s="19"/>
      <c r="B3732" s="19"/>
      <c r="C3732" s="19"/>
      <c r="D3732" s="19"/>
      <c r="E3732" s="22"/>
      <c r="F3732" s="19"/>
      <c r="G3732" s="26" t="str">
        <f aca="false">IF(D3732="","",IFERROR(VALUE(LEFT(D3732,FIND(" |",D3732&amp;" |")-1)),"?"))</f>
        <v/>
      </c>
      <c r="H3732" s="27" t="str">
        <f aca="false">IF(G3732="","",IF(G3732="?","⚠ pub inconnue",IFERROR(INDEX(Pubs!$B$2:$B$3001,MATCH(G3732,Pubs!$A$2:$A$3001,0))&amp;"","⚠ pub inconnue")))</f>
        <v/>
      </c>
      <c r="I3732" s="27" t="str">
        <f aca="false">IF(OR(G3732="",G3732="?"),"",IFERROR(INDEX(Pubs!$C$2:$C$3001,MATCH(G3732,Pubs!$A$2:$A$3001,0))&amp;"",""))</f>
        <v/>
      </c>
      <c r="J3732" s="27" t="str">
        <f aca="false">IF(OR(G3732="",G3732="?"),"",IFERROR(INDEX(Pubs!$G$2:$G$3001,MATCH(G3732,Pubs!$A$2:$A$3001,0))&amp;"",""))</f>
        <v/>
      </c>
      <c r="K3732" s="28" t="str">
        <f aca="false">IF(OR(G3732="",G3732="?"),"",IFERROR(INDEX(Pubs!$E$2:$E$3001,MATCH(G3732,Pubs!$A$2:$A$3001,0)),""))</f>
        <v/>
      </c>
      <c r="L3732" s="29" t="str">
        <f aca="false">IF(A3732="","",IFERROR(1/(1/INDEX(Numéros!$C$2:$C$3001,MATCH(A3732&amp;"|"&amp;B3732,Numéros!$F$2:$F$3001,0))),""))</f>
        <v/>
      </c>
      <c r="M3732" s="27" t="str">
        <f aca="false">IF(OR(G3732="",G3732="?"),"",IFERROR(INDEX(Pubs!$D$2:$D$3001,MATCH(G3732,Pubs!$A$2:$A$3001,0))&amp;"",""))</f>
        <v/>
      </c>
      <c r="N3732" s="27" t="n">
        <f aca="false">N(N3731)+IF(AND(A3732&lt;&gt;"",OR(Recherche!$C$4="",A3732=Recherche!$C$4),OR(Recherche!$C$5="",B3732&amp;""=Recherche!$C$5&amp;""),OR(Recherche!$C$6="",IFERROR(YEAR(L3732),0)=Recherche!$C$6),OR(Recherche!$C$7="",ISNUMBER(SEARCH(Recherche!$C$7,H3732))),OR(Recherche!$C$8="",J3732=Recherche!$C$8),OR(Recherche!$C$9="",I3732=Recherche!$C$9),OR(Recherche!$C$10="",G3732&amp;""=Recherche!$C$10&amp;""),OR(Recherche!$C$11="",E3732=Recherche!$C$11),OR(Recherche!$C$12="",ISNUMBER(SEARCH(Recherche!$C$12,M3732&amp;" "&amp;F3732)))),1,0)</f>
        <v>8</v>
      </c>
    </row>
    <row r="3733" customFormat="false" ht="15" hidden="false" customHeight="false" outlineLevel="0" collapsed="false">
      <c r="A3733" s="19"/>
      <c r="B3733" s="19"/>
      <c r="C3733" s="19"/>
      <c r="D3733" s="19"/>
      <c r="E3733" s="22"/>
      <c r="F3733" s="19"/>
      <c r="G3733" s="26" t="str">
        <f aca="false">IF(D3733="","",IFERROR(VALUE(LEFT(D3733,FIND(" |",D3733&amp;" |")-1)),"?"))</f>
        <v/>
      </c>
      <c r="H3733" s="27" t="str">
        <f aca="false">IF(G3733="","",IF(G3733="?","⚠ pub inconnue",IFERROR(INDEX(Pubs!$B$2:$B$3001,MATCH(G3733,Pubs!$A$2:$A$3001,0))&amp;"","⚠ pub inconnue")))</f>
        <v/>
      </c>
      <c r="I3733" s="27" t="str">
        <f aca="false">IF(OR(G3733="",G3733="?"),"",IFERROR(INDEX(Pubs!$C$2:$C$3001,MATCH(G3733,Pubs!$A$2:$A$3001,0))&amp;"",""))</f>
        <v/>
      </c>
      <c r="J3733" s="27" t="str">
        <f aca="false">IF(OR(G3733="",G3733="?"),"",IFERROR(INDEX(Pubs!$G$2:$G$3001,MATCH(G3733,Pubs!$A$2:$A$3001,0))&amp;"",""))</f>
        <v/>
      </c>
      <c r="K3733" s="28" t="str">
        <f aca="false">IF(OR(G3733="",G3733="?"),"",IFERROR(INDEX(Pubs!$E$2:$E$3001,MATCH(G3733,Pubs!$A$2:$A$3001,0)),""))</f>
        <v/>
      </c>
      <c r="L3733" s="29" t="str">
        <f aca="false">IF(A3733="","",IFERROR(1/(1/INDEX(Numéros!$C$2:$C$3001,MATCH(A3733&amp;"|"&amp;B3733,Numéros!$F$2:$F$3001,0))),""))</f>
        <v/>
      </c>
      <c r="M3733" s="27" t="str">
        <f aca="false">IF(OR(G3733="",G3733="?"),"",IFERROR(INDEX(Pubs!$D$2:$D$3001,MATCH(G3733,Pubs!$A$2:$A$3001,0))&amp;"",""))</f>
        <v/>
      </c>
      <c r="N3733" s="27" t="n">
        <f aca="false">N(N3732)+IF(AND(A3733&lt;&gt;"",OR(Recherche!$C$4="",A3733=Recherche!$C$4),OR(Recherche!$C$5="",B3733&amp;""=Recherche!$C$5&amp;""),OR(Recherche!$C$6="",IFERROR(YEAR(L3733),0)=Recherche!$C$6),OR(Recherche!$C$7="",ISNUMBER(SEARCH(Recherche!$C$7,H3733))),OR(Recherche!$C$8="",J3733=Recherche!$C$8),OR(Recherche!$C$9="",I3733=Recherche!$C$9),OR(Recherche!$C$10="",G3733&amp;""=Recherche!$C$10&amp;""),OR(Recherche!$C$11="",E3733=Recherche!$C$11),OR(Recherche!$C$12="",ISNUMBER(SEARCH(Recherche!$C$12,M3733&amp;" "&amp;F3733)))),1,0)</f>
        <v>8</v>
      </c>
    </row>
    <row r="3734" customFormat="false" ht="15" hidden="false" customHeight="false" outlineLevel="0" collapsed="false">
      <c r="A3734" s="19"/>
      <c r="B3734" s="19"/>
      <c r="C3734" s="19"/>
      <c r="D3734" s="19"/>
      <c r="E3734" s="22"/>
      <c r="F3734" s="19"/>
      <c r="G3734" s="26" t="str">
        <f aca="false">IF(D3734="","",IFERROR(VALUE(LEFT(D3734,FIND(" |",D3734&amp;" |")-1)),"?"))</f>
        <v/>
      </c>
      <c r="H3734" s="27" t="str">
        <f aca="false">IF(G3734="","",IF(G3734="?","⚠ pub inconnue",IFERROR(INDEX(Pubs!$B$2:$B$3001,MATCH(G3734,Pubs!$A$2:$A$3001,0))&amp;"","⚠ pub inconnue")))</f>
        <v/>
      </c>
      <c r="I3734" s="27" t="str">
        <f aca="false">IF(OR(G3734="",G3734="?"),"",IFERROR(INDEX(Pubs!$C$2:$C$3001,MATCH(G3734,Pubs!$A$2:$A$3001,0))&amp;"",""))</f>
        <v/>
      </c>
      <c r="J3734" s="27" t="str">
        <f aca="false">IF(OR(G3734="",G3734="?"),"",IFERROR(INDEX(Pubs!$G$2:$G$3001,MATCH(G3734,Pubs!$A$2:$A$3001,0))&amp;"",""))</f>
        <v/>
      </c>
      <c r="K3734" s="28" t="str">
        <f aca="false">IF(OR(G3734="",G3734="?"),"",IFERROR(INDEX(Pubs!$E$2:$E$3001,MATCH(G3734,Pubs!$A$2:$A$3001,0)),""))</f>
        <v/>
      </c>
      <c r="L3734" s="29" t="str">
        <f aca="false">IF(A3734="","",IFERROR(1/(1/INDEX(Numéros!$C$2:$C$3001,MATCH(A3734&amp;"|"&amp;B3734,Numéros!$F$2:$F$3001,0))),""))</f>
        <v/>
      </c>
      <c r="M3734" s="27" t="str">
        <f aca="false">IF(OR(G3734="",G3734="?"),"",IFERROR(INDEX(Pubs!$D$2:$D$3001,MATCH(G3734,Pubs!$A$2:$A$3001,0))&amp;"",""))</f>
        <v/>
      </c>
      <c r="N3734" s="27" t="n">
        <f aca="false">N(N3733)+IF(AND(A3734&lt;&gt;"",OR(Recherche!$C$4="",A3734=Recherche!$C$4),OR(Recherche!$C$5="",B3734&amp;""=Recherche!$C$5&amp;""),OR(Recherche!$C$6="",IFERROR(YEAR(L3734),0)=Recherche!$C$6),OR(Recherche!$C$7="",ISNUMBER(SEARCH(Recherche!$C$7,H3734))),OR(Recherche!$C$8="",J3734=Recherche!$C$8),OR(Recherche!$C$9="",I3734=Recherche!$C$9),OR(Recherche!$C$10="",G3734&amp;""=Recherche!$C$10&amp;""),OR(Recherche!$C$11="",E3734=Recherche!$C$11),OR(Recherche!$C$12="",ISNUMBER(SEARCH(Recherche!$C$12,M3734&amp;" "&amp;F3734)))),1,0)</f>
        <v>8</v>
      </c>
    </row>
    <row r="3735" customFormat="false" ht="15" hidden="false" customHeight="false" outlineLevel="0" collapsed="false">
      <c r="A3735" s="19"/>
      <c r="B3735" s="19"/>
      <c r="C3735" s="19"/>
      <c r="D3735" s="19"/>
      <c r="E3735" s="22"/>
      <c r="F3735" s="19"/>
      <c r="G3735" s="26" t="str">
        <f aca="false">IF(D3735="","",IFERROR(VALUE(LEFT(D3735,FIND(" |",D3735&amp;" |")-1)),"?"))</f>
        <v/>
      </c>
      <c r="H3735" s="27" t="str">
        <f aca="false">IF(G3735="","",IF(G3735="?","⚠ pub inconnue",IFERROR(INDEX(Pubs!$B$2:$B$3001,MATCH(G3735,Pubs!$A$2:$A$3001,0))&amp;"","⚠ pub inconnue")))</f>
        <v/>
      </c>
      <c r="I3735" s="27" t="str">
        <f aca="false">IF(OR(G3735="",G3735="?"),"",IFERROR(INDEX(Pubs!$C$2:$C$3001,MATCH(G3735,Pubs!$A$2:$A$3001,0))&amp;"",""))</f>
        <v/>
      </c>
      <c r="J3735" s="27" t="str">
        <f aca="false">IF(OR(G3735="",G3735="?"),"",IFERROR(INDEX(Pubs!$G$2:$G$3001,MATCH(G3735,Pubs!$A$2:$A$3001,0))&amp;"",""))</f>
        <v/>
      </c>
      <c r="K3735" s="28" t="str">
        <f aca="false">IF(OR(G3735="",G3735="?"),"",IFERROR(INDEX(Pubs!$E$2:$E$3001,MATCH(G3735,Pubs!$A$2:$A$3001,0)),""))</f>
        <v/>
      </c>
      <c r="L3735" s="29" t="str">
        <f aca="false">IF(A3735="","",IFERROR(1/(1/INDEX(Numéros!$C$2:$C$3001,MATCH(A3735&amp;"|"&amp;B3735,Numéros!$F$2:$F$3001,0))),""))</f>
        <v/>
      </c>
      <c r="M3735" s="27" t="str">
        <f aca="false">IF(OR(G3735="",G3735="?"),"",IFERROR(INDEX(Pubs!$D$2:$D$3001,MATCH(G3735,Pubs!$A$2:$A$3001,0))&amp;"",""))</f>
        <v/>
      </c>
      <c r="N3735" s="27" t="n">
        <f aca="false">N(N3734)+IF(AND(A3735&lt;&gt;"",OR(Recherche!$C$4="",A3735=Recherche!$C$4),OR(Recherche!$C$5="",B3735&amp;""=Recherche!$C$5&amp;""),OR(Recherche!$C$6="",IFERROR(YEAR(L3735),0)=Recherche!$C$6),OR(Recherche!$C$7="",ISNUMBER(SEARCH(Recherche!$C$7,H3735))),OR(Recherche!$C$8="",J3735=Recherche!$C$8),OR(Recherche!$C$9="",I3735=Recherche!$C$9),OR(Recherche!$C$10="",G3735&amp;""=Recherche!$C$10&amp;""),OR(Recherche!$C$11="",E3735=Recherche!$C$11),OR(Recherche!$C$12="",ISNUMBER(SEARCH(Recherche!$C$12,M3735&amp;" "&amp;F3735)))),1,0)</f>
        <v>8</v>
      </c>
    </row>
    <row r="3736" customFormat="false" ht="15" hidden="false" customHeight="false" outlineLevel="0" collapsed="false">
      <c r="A3736" s="19"/>
      <c r="B3736" s="19"/>
      <c r="C3736" s="19"/>
      <c r="D3736" s="19"/>
      <c r="E3736" s="22"/>
      <c r="F3736" s="19"/>
      <c r="G3736" s="26" t="str">
        <f aca="false">IF(D3736="","",IFERROR(VALUE(LEFT(D3736,FIND(" |",D3736&amp;" |")-1)),"?"))</f>
        <v/>
      </c>
      <c r="H3736" s="27" t="str">
        <f aca="false">IF(G3736="","",IF(G3736="?","⚠ pub inconnue",IFERROR(INDEX(Pubs!$B$2:$B$3001,MATCH(G3736,Pubs!$A$2:$A$3001,0))&amp;"","⚠ pub inconnue")))</f>
        <v/>
      </c>
      <c r="I3736" s="27" t="str">
        <f aca="false">IF(OR(G3736="",G3736="?"),"",IFERROR(INDEX(Pubs!$C$2:$C$3001,MATCH(G3736,Pubs!$A$2:$A$3001,0))&amp;"",""))</f>
        <v/>
      </c>
      <c r="J3736" s="27" t="str">
        <f aca="false">IF(OR(G3736="",G3736="?"),"",IFERROR(INDEX(Pubs!$G$2:$G$3001,MATCH(G3736,Pubs!$A$2:$A$3001,0))&amp;"",""))</f>
        <v/>
      </c>
      <c r="K3736" s="28" t="str">
        <f aca="false">IF(OR(G3736="",G3736="?"),"",IFERROR(INDEX(Pubs!$E$2:$E$3001,MATCH(G3736,Pubs!$A$2:$A$3001,0)),""))</f>
        <v/>
      </c>
      <c r="L3736" s="29" t="str">
        <f aca="false">IF(A3736="","",IFERROR(1/(1/INDEX(Numéros!$C$2:$C$3001,MATCH(A3736&amp;"|"&amp;B3736,Numéros!$F$2:$F$3001,0))),""))</f>
        <v/>
      </c>
      <c r="M3736" s="27" t="str">
        <f aca="false">IF(OR(G3736="",G3736="?"),"",IFERROR(INDEX(Pubs!$D$2:$D$3001,MATCH(G3736,Pubs!$A$2:$A$3001,0))&amp;"",""))</f>
        <v/>
      </c>
      <c r="N3736" s="27" t="n">
        <f aca="false">N(N3735)+IF(AND(A3736&lt;&gt;"",OR(Recherche!$C$4="",A3736=Recherche!$C$4),OR(Recherche!$C$5="",B3736&amp;""=Recherche!$C$5&amp;""),OR(Recherche!$C$6="",IFERROR(YEAR(L3736),0)=Recherche!$C$6),OR(Recherche!$C$7="",ISNUMBER(SEARCH(Recherche!$C$7,H3736))),OR(Recherche!$C$8="",J3736=Recherche!$C$8),OR(Recherche!$C$9="",I3736=Recherche!$C$9),OR(Recherche!$C$10="",G3736&amp;""=Recherche!$C$10&amp;""),OR(Recherche!$C$11="",E3736=Recherche!$C$11),OR(Recherche!$C$12="",ISNUMBER(SEARCH(Recherche!$C$12,M3736&amp;" "&amp;F3736)))),1,0)</f>
        <v>8</v>
      </c>
    </row>
    <row r="3737" customFormat="false" ht="15" hidden="false" customHeight="false" outlineLevel="0" collapsed="false">
      <c r="A3737" s="19"/>
      <c r="B3737" s="19"/>
      <c r="C3737" s="19"/>
      <c r="D3737" s="19"/>
      <c r="E3737" s="22"/>
      <c r="F3737" s="19"/>
      <c r="G3737" s="26" t="str">
        <f aca="false">IF(D3737="","",IFERROR(VALUE(LEFT(D3737,FIND(" |",D3737&amp;" |")-1)),"?"))</f>
        <v/>
      </c>
      <c r="H3737" s="27" t="str">
        <f aca="false">IF(G3737="","",IF(G3737="?","⚠ pub inconnue",IFERROR(INDEX(Pubs!$B$2:$B$3001,MATCH(G3737,Pubs!$A$2:$A$3001,0))&amp;"","⚠ pub inconnue")))</f>
        <v/>
      </c>
      <c r="I3737" s="27" t="str">
        <f aca="false">IF(OR(G3737="",G3737="?"),"",IFERROR(INDEX(Pubs!$C$2:$C$3001,MATCH(G3737,Pubs!$A$2:$A$3001,0))&amp;"",""))</f>
        <v/>
      </c>
      <c r="J3737" s="27" t="str">
        <f aca="false">IF(OR(G3737="",G3737="?"),"",IFERROR(INDEX(Pubs!$G$2:$G$3001,MATCH(G3737,Pubs!$A$2:$A$3001,0))&amp;"",""))</f>
        <v/>
      </c>
      <c r="K3737" s="28" t="str">
        <f aca="false">IF(OR(G3737="",G3737="?"),"",IFERROR(INDEX(Pubs!$E$2:$E$3001,MATCH(G3737,Pubs!$A$2:$A$3001,0)),""))</f>
        <v/>
      </c>
      <c r="L3737" s="29" t="str">
        <f aca="false">IF(A3737="","",IFERROR(1/(1/INDEX(Numéros!$C$2:$C$3001,MATCH(A3737&amp;"|"&amp;B3737,Numéros!$F$2:$F$3001,0))),""))</f>
        <v/>
      </c>
      <c r="M3737" s="27" t="str">
        <f aca="false">IF(OR(G3737="",G3737="?"),"",IFERROR(INDEX(Pubs!$D$2:$D$3001,MATCH(G3737,Pubs!$A$2:$A$3001,0))&amp;"",""))</f>
        <v/>
      </c>
      <c r="N3737" s="27" t="n">
        <f aca="false">N(N3736)+IF(AND(A3737&lt;&gt;"",OR(Recherche!$C$4="",A3737=Recherche!$C$4),OR(Recherche!$C$5="",B3737&amp;""=Recherche!$C$5&amp;""),OR(Recherche!$C$6="",IFERROR(YEAR(L3737),0)=Recherche!$C$6),OR(Recherche!$C$7="",ISNUMBER(SEARCH(Recherche!$C$7,H3737))),OR(Recherche!$C$8="",J3737=Recherche!$C$8),OR(Recherche!$C$9="",I3737=Recherche!$C$9),OR(Recherche!$C$10="",G3737&amp;""=Recherche!$C$10&amp;""),OR(Recherche!$C$11="",E3737=Recherche!$C$11),OR(Recherche!$C$12="",ISNUMBER(SEARCH(Recherche!$C$12,M3737&amp;" "&amp;F3737)))),1,0)</f>
        <v>8</v>
      </c>
    </row>
    <row r="3738" customFormat="false" ht="15" hidden="false" customHeight="false" outlineLevel="0" collapsed="false">
      <c r="A3738" s="19"/>
      <c r="B3738" s="19"/>
      <c r="C3738" s="19"/>
      <c r="D3738" s="19"/>
      <c r="E3738" s="22"/>
      <c r="F3738" s="19"/>
      <c r="G3738" s="26" t="str">
        <f aca="false">IF(D3738="","",IFERROR(VALUE(LEFT(D3738,FIND(" |",D3738&amp;" |")-1)),"?"))</f>
        <v/>
      </c>
      <c r="H3738" s="27" t="str">
        <f aca="false">IF(G3738="","",IF(G3738="?","⚠ pub inconnue",IFERROR(INDEX(Pubs!$B$2:$B$3001,MATCH(G3738,Pubs!$A$2:$A$3001,0))&amp;"","⚠ pub inconnue")))</f>
        <v/>
      </c>
      <c r="I3738" s="27" t="str">
        <f aca="false">IF(OR(G3738="",G3738="?"),"",IFERROR(INDEX(Pubs!$C$2:$C$3001,MATCH(G3738,Pubs!$A$2:$A$3001,0))&amp;"",""))</f>
        <v/>
      </c>
      <c r="J3738" s="27" t="str">
        <f aca="false">IF(OR(G3738="",G3738="?"),"",IFERROR(INDEX(Pubs!$G$2:$G$3001,MATCH(G3738,Pubs!$A$2:$A$3001,0))&amp;"",""))</f>
        <v/>
      </c>
      <c r="K3738" s="28" t="str">
        <f aca="false">IF(OR(G3738="",G3738="?"),"",IFERROR(INDEX(Pubs!$E$2:$E$3001,MATCH(G3738,Pubs!$A$2:$A$3001,0)),""))</f>
        <v/>
      </c>
      <c r="L3738" s="29" t="str">
        <f aca="false">IF(A3738="","",IFERROR(1/(1/INDEX(Numéros!$C$2:$C$3001,MATCH(A3738&amp;"|"&amp;B3738,Numéros!$F$2:$F$3001,0))),""))</f>
        <v/>
      </c>
      <c r="M3738" s="27" t="str">
        <f aca="false">IF(OR(G3738="",G3738="?"),"",IFERROR(INDEX(Pubs!$D$2:$D$3001,MATCH(G3738,Pubs!$A$2:$A$3001,0))&amp;"",""))</f>
        <v/>
      </c>
      <c r="N3738" s="27" t="n">
        <f aca="false">N(N3737)+IF(AND(A3738&lt;&gt;"",OR(Recherche!$C$4="",A3738=Recherche!$C$4),OR(Recherche!$C$5="",B3738&amp;""=Recherche!$C$5&amp;""),OR(Recherche!$C$6="",IFERROR(YEAR(L3738),0)=Recherche!$C$6),OR(Recherche!$C$7="",ISNUMBER(SEARCH(Recherche!$C$7,H3738))),OR(Recherche!$C$8="",J3738=Recherche!$C$8),OR(Recherche!$C$9="",I3738=Recherche!$C$9),OR(Recherche!$C$10="",G3738&amp;""=Recherche!$C$10&amp;""),OR(Recherche!$C$11="",E3738=Recherche!$C$11),OR(Recherche!$C$12="",ISNUMBER(SEARCH(Recherche!$C$12,M3738&amp;" "&amp;F3738)))),1,0)</f>
        <v>8</v>
      </c>
    </row>
    <row r="3739" customFormat="false" ht="15" hidden="false" customHeight="false" outlineLevel="0" collapsed="false">
      <c r="A3739" s="19"/>
      <c r="B3739" s="19"/>
      <c r="C3739" s="19"/>
      <c r="D3739" s="19"/>
      <c r="E3739" s="22"/>
      <c r="F3739" s="19"/>
      <c r="G3739" s="26" t="str">
        <f aca="false">IF(D3739="","",IFERROR(VALUE(LEFT(D3739,FIND(" |",D3739&amp;" |")-1)),"?"))</f>
        <v/>
      </c>
      <c r="H3739" s="27" t="str">
        <f aca="false">IF(G3739="","",IF(G3739="?","⚠ pub inconnue",IFERROR(INDEX(Pubs!$B$2:$B$3001,MATCH(G3739,Pubs!$A$2:$A$3001,0))&amp;"","⚠ pub inconnue")))</f>
        <v/>
      </c>
      <c r="I3739" s="27" t="str">
        <f aca="false">IF(OR(G3739="",G3739="?"),"",IFERROR(INDEX(Pubs!$C$2:$C$3001,MATCH(G3739,Pubs!$A$2:$A$3001,0))&amp;"",""))</f>
        <v/>
      </c>
      <c r="J3739" s="27" t="str">
        <f aca="false">IF(OR(G3739="",G3739="?"),"",IFERROR(INDEX(Pubs!$G$2:$G$3001,MATCH(G3739,Pubs!$A$2:$A$3001,0))&amp;"",""))</f>
        <v/>
      </c>
      <c r="K3739" s="28" t="str">
        <f aca="false">IF(OR(G3739="",G3739="?"),"",IFERROR(INDEX(Pubs!$E$2:$E$3001,MATCH(G3739,Pubs!$A$2:$A$3001,0)),""))</f>
        <v/>
      </c>
      <c r="L3739" s="29" t="str">
        <f aca="false">IF(A3739="","",IFERROR(1/(1/INDEX(Numéros!$C$2:$C$3001,MATCH(A3739&amp;"|"&amp;B3739,Numéros!$F$2:$F$3001,0))),""))</f>
        <v/>
      </c>
      <c r="M3739" s="27" t="str">
        <f aca="false">IF(OR(G3739="",G3739="?"),"",IFERROR(INDEX(Pubs!$D$2:$D$3001,MATCH(G3739,Pubs!$A$2:$A$3001,0))&amp;"",""))</f>
        <v/>
      </c>
      <c r="N3739" s="27" t="n">
        <f aca="false">N(N3738)+IF(AND(A3739&lt;&gt;"",OR(Recherche!$C$4="",A3739=Recherche!$C$4),OR(Recherche!$C$5="",B3739&amp;""=Recherche!$C$5&amp;""),OR(Recherche!$C$6="",IFERROR(YEAR(L3739),0)=Recherche!$C$6),OR(Recherche!$C$7="",ISNUMBER(SEARCH(Recherche!$C$7,H3739))),OR(Recherche!$C$8="",J3739=Recherche!$C$8),OR(Recherche!$C$9="",I3739=Recherche!$C$9),OR(Recherche!$C$10="",G3739&amp;""=Recherche!$C$10&amp;""),OR(Recherche!$C$11="",E3739=Recherche!$C$11),OR(Recherche!$C$12="",ISNUMBER(SEARCH(Recherche!$C$12,M3739&amp;" "&amp;F3739)))),1,0)</f>
        <v>8</v>
      </c>
    </row>
    <row r="3740" customFormat="false" ht="15" hidden="false" customHeight="false" outlineLevel="0" collapsed="false">
      <c r="A3740" s="19"/>
      <c r="B3740" s="19"/>
      <c r="C3740" s="19"/>
      <c r="D3740" s="19"/>
      <c r="E3740" s="22"/>
      <c r="F3740" s="19"/>
      <c r="G3740" s="26" t="str">
        <f aca="false">IF(D3740="","",IFERROR(VALUE(LEFT(D3740,FIND(" |",D3740&amp;" |")-1)),"?"))</f>
        <v/>
      </c>
      <c r="H3740" s="27" t="str">
        <f aca="false">IF(G3740="","",IF(G3740="?","⚠ pub inconnue",IFERROR(INDEX(Pubs!$B$2:$B$3001,MATCH(G3740,Pubs!$A$2:$A$3001,0))&amp;"","⚠ pub inconnue")))</f>
        <v/>
      </c>
      <c r="I3740" s="27" t="str">
        <f aca="false">IF(OR(G3740="",G3740="?"),"",IFERROR(INDEX(Pubs!$C$2:$C$3001,MATCH(G3740,Pubs!$A$2:$A$3001,0))&amp;"",""))</f>
        <v/>
      </c>
      <c r="J3740" s="27" t="str">
        <f aca="false">IF(OR(G3740="",G3740="?"),"",IFERROR(INDEX(Pubs!$G$2:$G$3001,MATCH(G3740,Pubs!$A$2:$A$3001,0))&amp;"",""))</f>
        <v/>
      </c>
      <c r="K3740" s="28" t="str">
        <f aca="false">IF(OR(G3740="",G3740="?"),"",IFERROR(INDEX(Pubs!$E$2:$E$3001,MATCH(G3740,Pubs!$A$2:$A$3001,0)),""))</f>
        <v/>
      </c>
      <c r="L3740" s="29" t="str">
        <f aca="false">IF(A3740="","",IFERROR(1/(1/INDEX(Numéros!$C$2:$C$3001,MATCH(A3740&amp;"|"&amp;B3740,Numéros!$F$2:$F$3001,0))),""))</f>
        <v/>
      </c>
      <c r="M3740" s="27" t="str">
        <f aca="false">IF(OR(G3740="",G3740="?"),"",IFERROR(INDEX(Pubs!$D$2:$D$3001,MATCH(G3740,Pubs!$A$2:$A$3001,0))&amp;"",""))</f>
        <v/>
      </c>
      <c r="N3740" s="27" t="n">
        <f aca="false">N(N3739)+IF(AND(A3740&lt;&gt;"",OR(Recherche!$C$4="",A3740=Recherche!$C$4),OR(Recherche!$C$5="",B3740&amp;""=Recherche!$C$5&amp;""),OR(Recherche!$C$6="",IFERROR(YEAR(L3740),0)=Recherche!$C$6),OR(Recherche!$C$7="",ISNUMBER(SEARCH(Recherche!$C$7,H3740))),OR(Recherche!$C$8="",J3740=Recherche!$C$8),OR(Recherche!$C$9="",I3740=Recherche!$C$9),OR(Recherche!$C$10="",G3740&amp;""=Recherche!$C$10&amp;""),OR(Recherche!$C$11="",E3740=Recherche!$C$11),OR(Recherche!$C$12="",ISNUMBER(SEARCH(Recherche!$C$12,M3740&amp;" "&amp;F3740)))),1,0)</f>
        <v>8</v>
      </c>
    </row>
    <row r="3741" customFormat="false" ht="15" hidden="false" customHeight="false" outlineLevel="0" collapsed="false">
      <c r="A3741" s="19"/>
      <c r="B3741" s="19"/>
      <c r="C3741" s="19"/>
      <c r="D3741" s="19"/>
      <c r="E3741" s="22"/>
      <c r="F3741" s="19"/>
      <c r="G3741" s="26" t="str">
        <f aca="false">IF(D3741="","",IFERROR(VALUE(LEFT(D3741,FIND(" |",D3741&amp;" |")-1)),"?"))</f>
        <v/>
      </c>
      <c r="H3741" s="27" t="str">
        <f aca="false">IF(G3741="","",IF(G3741="?","⚠ pub inconnue",IFERROR(INDEX(Pubs!$B$2:$B$3001,MATCH(G3741,Pubs!$A$2:$A$3001,0))&amp;"","⚠ pub inconnue")))</f>
        <v/>
      </c>
      <c r="I3741" s="27" t="str">
        <f aca="false">IF(OR(G3741="",G3741="?"),"",IFERROR(INDEX(Pubs!$C$2:$C$3001,MATCH(G3741,Pubs!$A$2:$A$3001,0))&amp;"",""))</f>
        <v/>
      </c>
      <c r="J3741" s="27" t="str">
        <f aca="false">IF(OR(G3741="",G3741="?"),"",IFERROR(INDEX(Pubs!$G$2:$G$3001,MATCH(G3741,Pubs!$A$2:$A$3001,0))&amp;"",""))</f>
        <v/>
      </c>
      <c r="K3741" s="28" t="str">
        <f aca="false">IF(OR(G3741="",G3741="?"),"",IFERROR(INDEX(Pubs!$E$2:$E$3001,MATCH(G3741,Pubs!$A$2:$A$3001,0)),""))</f>
        <v/>
      </c>
      <c r="L3741" s="29" t="str">
        <f aca="false">IF(A3741="","",IFERROR(1/(1/INDEX(Numéros!$C$2:$C$3001,MATCH(A3741&amp;"|"&amp;B3741,Numéros!$F$2:$F$3001,0))),""))</f>
        <v/>
      </c>
      <c r="M3741" s="27" t="str">
        <f aca="false">IF(OR(G3741="",G3741="?"),"",IFERROR(INDEX(Pubs!$D$2:$D$3001,MATCH(G3741,Pubs!$A$2:$A$3001,0))&amp;"",""))</f>
        <v/>
      </c>
      <c r="N3741" s="27" t="n">
        <f aca="false">N(N3740)+IF(AND(A3741&lt;&gt;"",OR(Recherche!$C$4="",A3741=Recherche!$C$4),OR(Recherche!$C$5="",B3741&amp;""=Recherche!$C$5&amp;""),OR(Recherche!$C$6="",IFERROR(YEAR(L3741),0)=Recherche!$C$6),OR(Recherche!$C$7="",ISNUMBER(SEARCH(Recherche!$C$7,H3741))),OR(Recherche!$C$8="",J3741=Recherche!$C$8),OR(Recherche!$C$9="",I3741=Recherche!$C$9),OR(Recherche!$C$10="",G3741&amp;""=Recherche!$C$10&amp;""),OR(Recherche!$C$11="",E3741=Recherche!$C$11),OR(Recherche!$C$12="",ISNUMBER(SEARCH(Recherche!$C$12,M3741&amp;" "&amp;F3741)))),1,0)</f>
        <v>8</v>
      </c>
    </row>
    <row r="3742" customFormat="false" ht="15" hidden="false" customHeight="false" outlineLevel="0" collapsed="false">
      <c r="A3742" s="19"/>
      <c r="B3742" s="19"/>
      <c r="C3742" s="19"/>
      <c r="D3742" s="19"/>
      <c r="E3742" s="22"/>
      <c r="F3742" s="19"/>
      <c r="G3742" s="26" t="str">
        <f aca="false">IF(D3742="","",IFERROR(VALUE(LEFT(D3742,FIND(" |",D3742&amp;" |")-1)),"?"))</f>
        <v/>
      </c>
      <c r="H3742" s="27" t="str">
        <f aca="false">IF(G3742="","",IF(G3742="?","⚠ pub inconnue",IFERROR(INDEX(Pubs!$B$2:$B$3001,MATCH(G3742,Pubs!$A$2:$A$3001,0))&amp;"","⚠ pub inconnue")))</f>
        <v/>
      </c>
      <c r="I3742" s="27" t="str">
        <f aca="false">IF(OR(G3742="",G3742="?"),"",IFERROR(INDEX(Pubs!$C$2:$C$3001,MATCH(G3742,Pubs!$A$2:$A$3001,0))&amp;"",""))</f>
        <v/>
      </c>
      <c r="J3742" s="27" t="str">
        <f aca="false">IF(OR(G3742="",G3742="?"),"",IFERROR(INDEX(Pubs!$G$2:$G$3001,MATCH(G3742,Pubs!$A$2:$A$3001,0))&amp;"",""))</f>
        <v/>
      </c>
      <c r="K3742" s="28" t="str">
        <f aca="false">IF(OR(G3742="",G3742="?"),"",IFERROR(INDEX(Pubs!$E$2:$E$3001,MATCH(G3742,Pubs!$A$2:$A$3001,0)),""))</f>
        <v/>
      </c>
      <c r="L3742" s="29" t="str">
        <f aca="false">IF(A3742="","",IFERROR(1/(1/INDEX(Numéros!$C$2:$C$3001,MATCH(A3742&amp;"|"&amp;B3742,Numéros!$F$2:$F$3001,0))),""))</f>
        <v/>
      </c>
      <c r="M3742" s="27" t="str">
        <f aca="false">IF(OR(G3742="",G3742="?"),"",IFERROR(INDEX(Pubs!$D$2:$D$3001,MATCH(G3742,Pubs!$A$2:$A$3001,0))&amp;"",""))</f>
        <v/>
      </c>
      <c r="N3742" s="27" t="n">
        <f aca="false">N(N3741)+IF(AND(A3742&lt;&gt;"",OR(Recherche!$C$4="",A3742=Recherche!$C$4),OR(Recherche!$C$5="",B3742&amp;""=Recherche!$C$5&amp;""),OR(Recherche!$C$6="",IFERROR(YEAR(L3742),0)=Recherche!$C$6),OR(Recherche!$C$7="",ISNUMBER(SEARCH(Recherche!$C$7,H3742))),OR(Recherche!$C$8="",J3742=Recherche!$C$8),OR(Recherche!$C$9="",I3742=Recherche!$C$9),OR(Recherche!$C$10="",G3742&amp;""=Recherche!$C$10&amp;""),OR(Recherche!$C$11="",E3742=Recherche!$C$11),OR(Recherche!$C$12="",ISNUMBER(SEARCH(Recherche!$C$12,M3742&amp;" "&amp;F3742)))),1,0)</f>
        <v>8</v>
      </c>
    </row>
    <row r="3743" customFormat="false" ht="15" hidden="false" customHeight="false" outlineLevel="0" collapsed="false">
      <c r="A3743" s="19"/>
      <c r="B3743" s="19"/>
      <c r="C3743" s="19"/>
      <c r="D3743" s="19"/>
      <c r="E3743" s="22"/>
      <c r="F3743" s="19"/>
      <c r="G3743" s="26" t="str">
        <f aca="false">IF(D3743="","",IFERROR(VALUE(LEFT(D3743,FIND(" |",D3743&amp;" |")-1)),"?"))</f>
        <v/>
      </c>
      <c r="H3743" s="27" t="str">
        <f aca="false">IF(G3743="","",IF(G3743="?","⚠ pub inconnue",IFERROR(INDEX(Pubs!$B$2:$B$3001,MATCH(G3743,Pubs!$A$2:$A$3001,0))&amp;"","⚠ pub inconnue")))</f>
        <v/>
      </c>
      <c r="I3743" s="27" t="str">
        <f aca="false">IF(OR(G3743="",G3743="?"),"",IFERROR(INDEX(Pubs!$C$2:$C$3001,MATCH(G3743,Pubs!$A$2:$A$3001,0))&amp;"",""))</f>
        <v/>
      </c>
      <c r="J3743" s="27" t="str">
        <f aca="false">IF(OR(G3743="",G3743="?"),"",IFERROR(INDEX(Pubs!$G$2:$G$3001,MATCH(G3743,Pubs!$A$2:$A$3001,0))&amp;"",""))</f>
        <v/>
      </c>
      <c r="K3743" s="28" t="str">
        <f aca="false">IF(OR(G3743="",G3743="?"),"",IFERROR(INDEX(Pubs!$E$2:$E$3001,MATCH(G3743,Pubs!$A$2:$A$3001,0)),""))</f>
        <v/>
      </c>
      <c r="L3743" s="29" t="str">
        <f aca="false">IF(A3743="","",IFERROR(1/(1/INDEX(Numéros!$C$2:$C$3001,MATCH(A3743&amp;"|"&amp;B3743,Numéros!$F$2:$F$3001,0))),""))</f>
        <v/>
      </c>
      <c r="M3743" s="27" t="str">
        <f aca="false">IF(OR(G3743="",G3743="?"),"",IFERROR(INDEX(Pubs!$D$2:$D$3001,MATCH(G3743,Pubs!$A$2:$A$3001,0))&amp;"",""))</f>
        <v/>
      </c>
      <c r="N3743" s="27" t="n">
        <f aca="false">N(N3742)+IF(AND(A3743&lt;&gt;"",OR(Recherche!$C$4="",A3743=Recherche!$C$4),OR(Recherche!$C$5="",B3743&amp;""=Recherche!$C$5&amp;""),OR(Recherche!$C$6="",IFERROR(YEAR(L3743),0)=Recherche!$C$6),OR(Recherche!$C$7="",ISNUMBER(SEARCH(Recherche!$C$7,H3743))),OR(Recherche!$C$8="",J3743=Recherche!$C$8),OR(Recherche!$C$9="",I3743=Recherche!$C$9),OR(Recherche!$C$10="",G3743&amp;""=Recherche!$C$10&amp;""),OR(Recherche!$C$11="",E3743=Recherche!$C$11),OR(Recherche!$C$12="",ISNUMBER(SEARCH(Recherche!$C$12,M3743&amp;" "&amp;F3743)))),1,0)</f>
        <v>8</v>
      </c>
    </row>
    <row r="3744" customFormat="false" ht="15" hidden="false" customHeight="false" outlineLevel="0" collapsed="false">
      <c r="A3744" s="19"/>
      <c r="B3744" s="19"/>
      <c r="C3744" s="19"/>
      <c r="D3744" s="19"/>
      <c r="E3744" s="22"/>
      <c r="F3744" s="19"/>
      <c r="G3744" s="26" t="str">
        <f aca="false">IF(D3744="","",IFERROR(VALUE(LEFT(D3744,FIND(" |",D3744&amp;" |")-1)),"?"))</f>
        <v/>
      </c>
      <c r="H3744" s="27" t="str">
        <f aca="false">IF(G3744="","",IF(G3744="?","⚠ pub inconnue",IFERROR(INDEX(Pubs!$B$2:$B$3001,MATCH(G3744,Pubs!$A$2:$A$3001,0))&amp;"","⚠ pub inconnue")))</f>
        <v/>
      </c>
      <c r="I3744" s="27" t="str">
        <f aca="false">IF(OR(G3744="",G3744="?"),"",IFERROR(INDEX(Pubs!$C$2:$C$3001,MATCH(G3744,Pubs!$A$2:$A$3001,0))&amp;"",""))</f>
        <v/>
      </c>
      <c r="J3744" s="27" t="str">
        <f aca="false">IF(OR(G3744="",G3744="?"),"",IFERROR(INDEX(Pubs!$G$2:$G$3001,MATCH(G3744,Pubs!$A$2:$A$3001,0))&amp;"",""))</f>
        <v/>
      </c>
      <c r="K3744" s="28" t="str">
        <f aca="false">IF(OR(G3744="",G3744="?"),"",IFERROR(INDEX(Pubs!$E$2:$E$3001,MATCH(G3744,Pubs!$A$2:$A$3001,0)),""))</f>
        <v/>
      </c>
      <c r="L3744" s="29" t="str">
        <f aca="false">IF(A3744="","",IFERROR(1/(1/INDEX(Numéros!$C$2:$C$3001,MATCH(A3744&amp;"|"&amp;B3744,Numéros!$F$2:$F$3001,0))),""))</f>
        <v/>
      </c>
      <c r="M3744" s="27" t="str">
        <f aca="false">IF(OR(G3744="",G3744="?"),"",IFERROR(INDEX(Pubs!$D$2:$D$3001,MATCH(G3744,Pubs!$A$2:$A$3001,0))&amp;"",""))</f>
        <v/>
      </c>
      <c r="N3744" s="27" t="n">
        <f aca="false">N(N3743)+IF(AND(A3744&lt;&gt;"",OR(Recherche!$C$4="",A3744=Recherche!$C$4),OR(Recherche!$C$5="",B3744&amp;""=Recherche!$C$5&amp;""),OR(Recherche!$C$6="",IFERROR(YEAR(L3744),0)=Recherche!$C$6),OR(Recherche!$C$7="",ISNUMBER(SEARCH(Recherche!$C$7,H3744))),OR(Recherche!$C$8="",J3744=Recherche!$C$8),OR(Recherche!$C$9="",I3744=Recherche!$C$9),OR(Recherche!$C$10="",G3744&amp;""=Recherche!$C$10&amp;""),OR(Recherche!$C$11="",E3744=Recherche!$C$11),OR(Recherche!$C$12="",ISNUMBER(SEARCH(Recherche!$C$12,M3744&amp;" "&amp;F3744)))),1,0)</f>
        <v>8</v>
      </c>
    </row>
    <row r="3745" customFormat="false" ht="15" hidden="false" customHeight="false" outlineLevel="0" collapsed="false">
      <c r="A3745" s="19"/>
      <c r="B3745" s="19"/>
      <c r="C3745" s="19"/>
      <c r="D3745" s="19"/>
      <c r="E3745" s="22"/>
      <c r="F3745" s="19"/>
      <c r="G3745" s="26" t="str">
        <f aca="false">IF(D3745="","",IFERROR(VALUE(LEFT(D3745,FIND(" |",D3745&amp;" |")-1)),"?"))</f>
        <v/>
      </c>
      <c r="H3745" s="27" t="str">
        <f aca="false">IF(G3745="","",IF(G3745="?","⚠ pub inconnue",IFERROR(INDEX(Pubs!$B$2:$B$3001,MATCH(G3745,Pubs!$A$2:$A$3001,0))&amp;"","⚠ pub inconnue")))</f>
        <v/>
      </c>
      <c r="I3745" s="27" t="str">
        <f aca="false">IF(OR(G3745="",G3745="?"),"",IFERROR(INDEX(Pubs!$C$2:$C$3001,MATCH(G3745,Pubs!$A$2:$A$3001,0))&amp;"",""))</f>
        <v/>
      </c>
      <c r="J3745" s="27" t="str">
        <f aca="false">IF(OR(G3745="",G3745="?"),"",IFERROR(INDEX(Pubs!$G$2:$G$3001,MATCH(G3745,Pubs!$A$2:$A$3001,0))&amp;"",""))</f>
        <v/>
      </c>
      <c r="K3745" s="28" t="str">
        <f aca="false">IF(OR(G3745="",G3745="?"),"",IFERROR(INDEX(Pubs!$E$2:$E$3001,MATCH(G3745,Pubs!$A$2:$A$3001,0)),""))</f>
        <v/>
      </c>
      <c r="L3745" s="29" t="str">
        <f aca="false">IF(A3745="","",IFERROR(1/(1/INDEX(Numéros!$C$2:$C$3001,MATCH(A3745&amp;"|"&amp;B3745,Numéros!$F$2:$F$3001,0))),""))</f>
        <v/>
      </c>
      <c r="M3745" s="27" t="str">
        <f aca="false">IF(OR(G3745="",G3745="?"),"",IFERROR(INDEX(Pubs!$D$2:$D$3001,MATCH(G3745,Pubs!$A$2:$A$3001,0))&amp;"",""))</f>
        <v/>
      </c>
      <c r="N3745" s="27" t="n">
        <f aca="false">N(N3744)+IF(AND(A3745&lt;&gt;"",OR(Recherche!$C$4="",A3745=Recherche!$C$4),OR(Recherche!$C$5="",B3745&amp;""=Recherche!$C$5&amp;""),OR(Recherche!$C$6="",IFERROR(YEAR(L3745),0)=Recherche!$C$6),OR(Recherche!$C$7="",ISNUMBER(SEARCH(Recherche!$C$7,H3745))),OR(Recherche!$C$8="",J3745=Recherche!$C$8),OR(Recherche!$C$9="",I3745=Recherche!$C$9),OR(Recherche!$C$10="",G3745&amp;""=Recherche!$C$10&amp;""),OR(Recherche!$C$11="",E3745=Recherche!$C$11),OR(Recherche!$C$12="",ISNUMBER(SEARCH(Recherche!$C$12,M3745&amp;" "&amp;F3745)))),1,0)</f>
        <v>8</v>
      </c>
    </row>
    <row r="3746" customFormat="false" ht="15" hidden="false" customHeight="false" outlineLevel="0" collapsed="false">
      <c r="A3746" s="19"/>
      <c r="B3746" s="19"/>
      <c r="C3746" s="19"/>
      <c r="D3746" s="19"/>
      <c r="E3746" s="22"/>
      <c r="F3746" s="19"/>
      <c r="G3746" s="26" t="str">
        <f aca="false">IF(D3746="","",IFERROR(VALUE(LEFT(D3746,FIND(" |",D3746&amp;" |")-1)),"?"))</f>
        <v/>
      </c>
      <c r="H3746" s="27" t="str">
        <f aca="false">IF(G3746="","",IF(G3746="?","⚠ pub inconnue",IFERROR(INDEX(Pubs!$B$2:$B$3001,MATCH(G3746,Pubs!$A$2:$A$3001,0))&amp;"","⚠ pub inconnue")))</f>
        <v/>
      </c>
      <c r="I3746" s="27" t="str">
        <f aca="false">IF(OR(G3746="",G3746="?"),"",IFERROR(INDEX(Pubs!$C$2:$C$3001,MATCH(G3746,Pubs!$A$2:$A$3001,0))&amp;"",""))</f>
        <v/>
      </c>
      <c r="J3746" s="27" t="str">
        <f aca="false">IF(OR(G3746="",G3746="?"),"",IFERROR(INDEX(Pubs!$G$2:$G$3001,MATCH(G3746,Pubs!$A$2:$A$3001,0))&amp;"",""))</f>
        <v/>
      </c>
      <c r="K3746" s="28" t="str">
        <f aca="false">IF(OR(G3746="",G3746="?"),"",IFERROR(INDEX(Pubs!$E$2:$E$3001,MATCH(G3746,Pubs!$A$2:$A$3001,0)),""))</f>
        <v/>
      </c>
      <c r="L3746" s="29" t="str">
        <f aca="false">IF(A3746="","",IFERROR(1/(1/INDEX(Numéros!$C$2:$C$3001,MATCH(A3746&amp;"|"&amp;B3746,Numéros!$F$2:$F$3001,0))),""))</f>
        <v/>
      </c>
      <c r="M3746" s="27" t="str">
        <f aca="false">IF(OR(G3746="",G3746="?"),"",IFERROR(INDEX(Pubs!$D$2:$D$3001,MATCH(G3746,Pubs!$A$2:$A$3001,0))&amp;"",""))</f>
        <v/>
      </c>
      <c r="N3746" s="27" t="n">
        <f aca="false">N(N3745)+IF(AND(A3746&lt;&gt;"",OR(Recherche!$C$4="",A3746=Recherche!$C$4),OR(Recherche!$C$5="",B3746&amp;""=Recherche!$C$5&amp;""),OR(Recherche!$C$6="",IFERROR(YEAR(L3746),0)=Recherche!$C$6),OR(Recherche!$C$7="",ISNUMBER(SEARCH(Recherche!$C$7,H3746))),OR(Recherche!$C$8="",J3746=Recherche!$C$8),OR(Recherche!$C$9="",I3746=Recherche!$C$9),OR(Recherche!$C$10="",G3746&amp;""=Recherche!$C$10&amp;""),OR(Recherche!$C$11="",E3746=Recherche!$C$11),OR(Recherche!$C$12="",ISNUMBER(SEARCH(Recherche!$C$12,M3746&amp;" "&amp;F3746)))),1,0)</f>
        <v>8</v>
      </c>
    </row>
    <row r="3747" customFormat="false" ht="15" hidden="false" customHeight="false" outlineLevel="0" collapsed="false">
      <c r="A3747" s="19"/>
      <c r="B3747" s="19"/>
      <c r="C3747" s="19"/>
      <c r="D3747" s="19"/>
      <c r="E3747" s="22"/>
      <c r="F3747" s="19"/>
      <c r="G3747" s="26" t="str">
        <f aca="false">IF(D3747="","",IFERROR(VALUE(LEFT(D3747,FIND(" |",D3747&amp;" |")-1)),"?"))</f>
        <v/>
      </c>
      <c r="H3747" s="27" t="str">
        <f aca="false">IF(G3747="","",IF(G3747="?","⚠ pub inconnue",IFERROR(INDEX(Pubs!$B$2:$B$3001,MATCH(G3747,Pubs!$A$2:$A$3001,0))&amp;"","⚠ pub inconnue")))</f>
        <v/>
      </c>
      <c r="I3747" s="27" t="str">
        <f aca="false">IF(OR(G3747="",G3747="?"),"",IFERROR(INDEX(Pubs!$C$2:$C$3001,MATCH(G3747,Pubs!$A$2:$A$3001,0))&amp;"",""))</f>
        <v/>
      </c>
      <c r="J3747" s="27" t="str">
        <f aca="false">IF(OR(G3747="",G3747="?"),"",IFERROR(INDEX(Pubs!$G$2:$G$3001,MATCH(G3747,Pubs!$A$2:$A$3001,0))&amp;"",""))</f>
        <v/>
      </c>
      <c r="K3747" s="28" t="str">
        <f aca="false">IF(OR(G3747="",G3747="?"),"",IFERROR(INDEX(Pubs!$E$2:$E$3001,MATCH(G3747,Pubs!$A$2:$A$3001,0)),""))</f>
        <v/>
      </c>
      <c r="L3747" s="29" t="str">
        <f aca="false">IF(A3747="","",IFERROR(1/(1/INDEX(Numéros!$C$2:$C$3001,MATCH(A3747&amp;"|"&amp;B3747,Numéros!$F$2:$F$3001,0))),""))</f>
        <v/>
      </c>
      <c r="M3747" s="27" t="str">
        <f aca="false">IF(OR(G3747="",G3747="?"),"",IFERROR(INDEX(Pubs!$D$2:$D$3001,MATCH(G3747,Pubs!$A$2:$A$3001,0))&amp;"",""))</f>
        <v/>
      </c>
      <c r="N3747" s="27" t="n">
        <f aca="false">N(N3746)+IF(AND(A3747&lt;&gt;"",OR(Recherche!$C$4="",A3747=Recherche!$C$4),OR(Recherche!$C$5="",B3747&amp;""=Recherche!$C$5&amp;""),OR(Recherche!$C$6="",IFERROR(YEAR(L3747),0)=Recherche!$C$6),OR(Recherche!$C$7="",ISNUMBER(SEARCH(Recherche!$C$7,H3747))),OR(Recherche!$C$8="",J3747=Recherche!$C$8),OR(Recherche!$C$9="",I3747=Recherche!$C$9),OR(Recherche!$C$10="",G3747&amp;""=Recherche!$C$10&amp;""),OR(Recherche!$C$11="",E3747=Recherche!$C$11),OR(Recherche!$C$12="",ISNUMBER(SEARCH(Recherche!$C$12,M3747&amp;" "&amp;F3747)))),1,0)</f>
        <v>8</v>
      </c>
    </row>
    <row r="3748" customFormat="false" ht="15" hidden="false" customHeight="false" outlineLevel="0" collapsed="false">
      <c r="A3748" s="19"/>
      <c r="B3748" s="19"/>
      <c r="C3748" s="19"/>
      <c r="D3748" s="19"/>
      <c r="E3748" s="22"/>
      <c r="F3748" s="19"/>
      <c r="G3748" s="26" t="str">
        <f aca="false">IF(D3748="","",IFERROR(VALUE(LEFT(D3748,FIND(" |",D3748&amp;" |")-1)),"?"))</f>
        <v/>
      </c>
      <c r="H3748" s="27" t="str">
        <f aca="false">IF(G3748="","",IF(G3748="?","⚠ pub inconnue",IFERROR(INDEX(Pubs!$B$2:$B$3001,MATCH(G3748,Pubs!$A$2:$A$3001,0))&amp;"","⚠ pub inconnue")))</f>
        <v/>
      </c>
      <c r="I3748" s="27" t="str">
        <f aca="false">IF(OR(G3748="",G3748="?"),"",IFERROR(INDEX(Pubs!$C$2:$C$3001,MATCH(G3748,Pubs!$A$2:$A$3001,0))&amp;"",""))</f>
        <v/>
      </c>
      <c r="J3748" s="27" t="str">
        <f aca="false">IF(OR(G3748="",G3748="?"),"",IFERROR(INDEX(Pubs!$G$2:$G$3001,MATCH(G3748,Pubs!$A$2:$A$3001,0))&amp;"",""))</f>
        <v/>
      </c>
      <c r="K3748" s="28" t="str">
        <f aca="false">IF(OR(G3748="",G3748="?"),"",IFERROR(INDEX(Pubs!$E$2:$E$3001,MATCH(G3748,Pubs!$A$2:$A$3001,0)),""))</f>
        <v/>
      </c>
      <c r="L3748" s="29" t="str">
        <f aca="false">IF(A3748="","",IFERROR(1/(1/INDEX(Numéros!$C$2:$C$3001,MATCH(A3748&amp;"|"&amp;B3748,Numéros!$F$2:$F$3001,0))),""))</f>
        <v/>
      </c>
      <c r="M3748" s="27" t="str">
        <f aca="false">IF(OR(G3748="",G3748="?"),"",IFERROR(INDEX(Pubs!$D$2:$D$3001,MATCH(G3748,Pubs!$A$2:$A$3001,0))&amp;"",""))</f>
        <v/>
      </c>
      <c r="N3748" s="27" t="n">
        <f aca="false">N(N3747)+IF(AND(A3748&lt;&gt;"",OR(Recherche!$C$4="",A3748=Recherche!$C$4),OR(Recherche!$C$5="",B3748&amp;""=Recherche!$C$5&amp;""),OR(Recherche!$C$6="",IFERROR(YEAR(L3748),0)=Recherche!$C$6),OR(Recherche!$C$7="",ISNUMBER(SEARCH(Recherche!$C$7,H3748))),OR(Recherche!$C$8="",J3748=Recherche!$C$8),OR(Recherche!$C$9="",I3748=Recherche!$C$9),OR(Recherche!$C$10="",G3748&amp;""=Recherche!$C$10&amp;""),OR(Recherche!$C$11="",E3748=Recherche!$C$11),OR(Recherche!$C$12="",ISNUMBER(SEARCH(Recherche!$C$12,M3748&amp;" "&amp;F3748)))),1,0)</f>
        <v>8</v>
      </c>
    </row>
    <row r="3749" customFormat="false" ht="15" hidden="false" customHeight="false" outlineLevel="0" collapsed="false">
      <c r="A3749" s="19"/>
      <c r="B3749" s="19"/>
      <c r="C3749" s="19"/>
      <c r="D3749" s="19"/>
      <c r="E3749" s="22"/>
      <c r="F3749" s="19"/>
      <c r="G3749" s="26" t="str">
        <f aca="false">IF(D3749="","",IFERROR(VALUE(LEFT(D3749,FIND(" |",D3749&amp;" |")-1)),"?"))</f>
        <v/>
      </c>
      <c r="H3749" s="27" t="str">
        <f aca="false">IF(G3749="","",IF(G3749="?","⚠ pub inconnue",IFERROR(INDEX(Pubs!$B$2:$B$3001,MATCH(G3749,Pubs!$A$2:$A$3001,0))&amp;"","⚠ pub inconnue")))</f>
        <v/>
      </c>
      <c r="I3749" s="27" t="str">
        <f aca="false">IF(OR(G3749="",G3749="?"),"",IFERROR(INDEX(Pubs!$C$2:$C$3001,MATCH(G3749,Pubs!$A$2:$A$3001,0))&amp;"",""))</f>
        <v/>
      </c>
      <c r="J3749" s="27" t="str">
        <f aca="false">IF(OR(G3749="",G3749="?"),"",IFERROR(INDEX(Pubs!$G$2:$G$3001,MATCH(G3749,Pubs!$A$2:$A$3001,0))&amp;"",""))</f>
        <v/>
      </c>
      <c r="K3749" s="28" t="str">
        <f aca="false">IF(OR(G3749="",G3749="?"),"",IFERROR(INDEX(Pubs!$E$2:$E$3001,MATCH(G3749,Pubs!$A$2:$A$3001,0)),""))</f>
        <v/>
      </c>
      <c r="L3749" s="29" t="str">
        <f aca="false">IF(A3749="","",IFERROR(1/(1/INDEX(Numéros!$C$2:$C$3001,MATCH(A3749&amp;"|"&amp;B3749,Numéros!$F$2:$F$3001,0))),""))</f>
        <v/>
      </c>
      <c r="M3749" s="27" t="str">
        <f aca="false">IF(OR(G3749="",G3749="?"),"",IFERROR(INDEX(Pubs!$D$2:$D$3001,MATCH(G3749,Pubs!$A$2:$A$3001,0))&amp;"",""))</f>
        <v/>
      </c>
      <c r="N3749" s="27" t="n">
        <f aca="false">N(N3748)+IF(AND(A3749&lt;&gt;"",OR(Recherche!$C$4="",A3749=Recherche!$C$4),OR(Recherche!$C$5="",B3749&amp;""=Recherche!$C$5&amp;""),OR(Recherche!$C$6="",IFERROR(YEAR(L3749),0)=Recherche!$C$6),OR(Recherche!$C$7="",ISNUMBER(SEARCH(Recherche!$C$7,H3749))),OR(Recherche!$C$8="",J3749=Recherche!$C$8),OR(Recherche!$C$9="",I3749=Recherche!$C$9),OR(Recherche!$C$10="",G3749&amp;""=Recherche!$C$10&amp;""),OR(Recherche!$C$11="",E3749=Recherche!$C$11),OR(Recherche!$C$12="",ISNUMBER(SEARCH(Recherche!$C$12,M3749&amp;" "&amp;F3749)))),1,0)</f>
        <v>8</v>
      </c>
    </row>
    <row r="3750" customFormat="false" ht="15" hidden="false" customHeight="false" outlineLevel="0" collapsed="false">
      <c r="A3750" s="19"/>
      <c r="B3750" s="19"/>
      <c r="C3750" s="19"/>
      <c r="D3750" s="19"/>
      <c r="E3750" s="22"/>
      <c r="F3750" s="19"/>
      <c r="G3750" s="26" t="str">
        <f aca="false">IF(D3750="","",IFERROR(VALUE(LEFT(D3750,FIND(" |",D3750&amp;" |")-1)),"?"))</f>
        <v/>
      </c>
      <c r="H3750" s="27" t="str">
        <f aca="false">IF(G3750="","",IF(G3750="?","⚠ pub inconnue",IFERROR(INDEX(Pubs!$B$2:$B$3001,MATCH(G3750,Pubs!$A$2:$A$3001,0))&amp;"","⚠ pub inconnue")))</f>
        <v/>
      </c>
      <c r="I3750" s="27" t="str">
        <f aca="false">IF(OR(G3750="",G3750="?"),"",IFERROR(INDEX(Pubs!$C$2:$C$3001,MATCH(G3750,Pubs!$A$2:$A$3001,0))&amp;"",""))</f>
        <v/>
      </c>
      <c r="J3750" s="27" t="str">
        <f aca="false">IF(OR(G3750="",G3750="?"),"",IFERROR(INDEX(Pubs!$G$2:$G$3001,MATCH(G3750,Pubs!$A$2:$A$3001,0))&amp;"",""))</f>
        <v/>
      </c>
      <c r="K3750" s="28" t="str">
        <f aca="false">IF(OR(G3750="",G3750="?"),"",IFERROR(INDEX(Pubs!$E$2:$E$3001,MATCH(G3750,Pubs!$A$2:$A$3001,0)),""))</f>
        <v/>
      </c>
      <c r="L3750" s="29" t="str">
        <f aca="false">IF(A3750="","",IFERROR(1/(1/INDEX(Numéros!$C$2:$C$3001,MATCH(A3750&amp;"|"&amp;B3750,Numéros!$F$2:$F$3001,0))),""))</f>
        <v/>
      </c>
      <c r="M3750" s="27" t="str">
        <f aca="false">IF(OR(G3750="",G3750="?"),"",IFERROR(INDEX(Pubs!$D$2:$D$3001,MATCH(G3750,Pubs!$A$2:$A$3001,0))&amp;"",""))</f>
        <v/>
      </c>
      <c r="N3750" s="27" t="n">
        <f aca="false">N(N3749)+IF(AND(A3750&lt;&gt;"",OR(Recherche!$C$4="",A3750=Recherche!$C$4),OR(Recherche!$C$5="",B3750&amp;""=Recherche!$C$5&amp;""),OR(Recherche!$C$6="",IFERROR(YEAR(L3750),0)=Recherche!$C$6),OR(Recherche!$C$7="",ISNUMBER(SEARCH(Recherche!$C$7,H3750))),OR(Recherche!$C$8="",J3750=Recherche!$C$8),OR(Recherche!$C$9="",I3750=Recherche!$C$9),OR(Recherche!$C$10="",G3750&amp;""=Recherche!$C$10&amp;""),OR(Recherche!$C$11="",E3750=Recherche!$C$11),OR(Recherche!$C$12="",ISNUMBER(SEARCH(Recherche!$C$12,M3750&amp;" "&amp;F3750)))),1,0)</f>
        <v>8</v>
      </c>
    </row>
    <row r="3751" customFormat="false" ht="15" hidden="false" customHeight="false" outlineLevel="0" collapsed="false">
      <c r="A3751" s="19"/>
      <c r="B3751" s="19"/>
      <c r="C3751" s="19"/>
      <c r="D3751" s="19"/>
      <c r="E3751" s="22"/>
      <c r="F3751" s="19"/>
      <c r="G3751" s="26" t="str">
        <f aca="false">IF(D3751="","",IFERROR(VALUE(LEFT(D3751,FIND(" |",D3751&amp;" |")-1)),"?"))</f>
        <v/>
      </c>
      <c r="H3751" s="27" t="str">
        <f aca="false">IF(G3751="","",IF(G3751="?","⚠ pub inconnue",IFERROR(INDEX(Pubs!$B$2:$B$3001,MATCH(G3751,Pubs!$A$2:$A$3001,0))&amp;"","⚠ pub inconnue")))</f>
        <v/>
      </c>
      <c r="I3751" s="27" t="str">
        <f aca="false">IF(OR(G3751="",G3751="?"),"",IFERROR(INDEX(Pubs!$C$2:$C$3001,MATCH(G3751,Pubs!$A$2:$A$3001,0))&amp;"",""))</f>
        <v/>
      </c>
      <c r="J3751" s="27" t="str">
        <f aca="false">IF(OR(G3751="",G3751="?"),"",IFERROR(INDEX(Pubs!$G$2:$G$3001,MATCH(G3751,Pubs!$A$2:$A$3001,0))&amp;"",""))</f>
        <v/>
      </c>
      <c r="K3751" s="28" t="str">
        <f aca="false">IF(OR(G3751="",G3751="?"),"",IFERROR(INDEX(Pubs!$E$2:$E$3001,MATCH(G3751,Pubs!$A$2:$A$3001,0)),""))</f>
        <v/>
      </c>
      <c r="L3751" s="29" t="str">
        <f aca="false">IF(A3751="","",IFERROR(1/(1/INDEX(Numéros!$C$2:$C$3001,MATCH(A3751&amp;"|"&amp;B3751,Numéros!$F$2:$F$3001,0))),""))</f>
        <v/>
      </c>
      <c r="M3751" s="27" t="str">
        <f aca="false">IF(OR(G3751="",G3751="?"),"",IFERROR(INDEX(Pubs!$D$2:$D$3001,MATCH(G3751,Pubs!$A$2:$A$3001,0))&amp;"",""))</f>
        <v/>
      </c>
      <c r="N3751" s="27" t="n">
        <f aca="false">N(N3750)+IF(AND(A3751&lt;&gt;"",OR(Recherche!$C$4="",A3751=Recherche!$C$4),OR(Recherche!$C$5="",B3751&amp;""=Recherche!$C$5&amp;""),OR(Recherche!$C$6="",IFERROR(YEAR(L3751),0)=Recherche!$C$6),OR(Recherche!$C$7="",ISNUMBER(SEARCH(Recherche!$C$7,H3751))),OR(Recherche!$C$8="",J3751=Recherche!$C$8),OR(Recherche!$C$9="",I3751=Recherche!$C$9),OR(Recherche!$C$10="",G3751&amp;""=Recherche!$C$10&amp;""),OR(Recherche!$C$11="",E3751=Recherche!$C$11),OR(Recherche!$C$12="",ISNUMBER(SEARCH(Recherche!$C$12,M3751&amp;" "&amp;F3751)))),1,0)</f>
        <v>8</v>
      </c>
    </row>
    <row r="3752" customFormat="false" ht="15" hidden="false" customHeight="false" outlineLevel="0" collapsed="false">
      <c r="A3752" s="19"/>
      <c r="B3752" s="19"/>
      <c r="C3752" s="19"/>
      <c r="D3752" s="19"/>
      <c r="E3752" s="22"/>
      <c r="F3752" s="19"/>
      <c r="G3752" s="26" t="str">
        <f aca="false">IF(D3752="","",IFERROR(VALUE(LEFT(D3752,FIND(" |",D3752&amp;" |")-1)),"?"))</f>
        <v/>
      </c>
      <c r="H3752" s="27" t="str">
        <f aca="false">IF(G3752="","",IF(G3752="?","⚠ pub inconnue",IFERROR(INDEX(Pubs!$B$2:$B$3001,MATCH(G3752,Pubs!$A$2:$A$3001,0))&amp;"","⚠ pub inconnue")))</f>
        <v/>
      </c>
      <c r="I3752" s="27" t="str">
        <f aca="false">IF(OR(G3752="",G3752="?"),"",IFERROR(INDEX(Pubs!$C$2:$C$3001,MATCH(G3752,Pubs!$A$2:$A$3001,0))&amp;"",""))</f>
        <v/>
      </c>
      <c r="J3752" s="27" t="str">
        <f aca="false">IF(OR(G3752="",G3752="?"),"",IFERROR(INDEX(Pubs!$G$2:$G$3001,MATCH(G3752,Pubs!$A$2:$A$3001,0))&amp;"",""))</f>
        <v/>
      </c>
      <c r="K3752" s="28" t="str">
        <f aca="false">IF(OR(G3752="",G3752="?"),"",IFERROR(INDEX(Pubs!$E$2:$E$3001,MATCH(G3752,Pubs!$A$2:$A$3001,0)),""))</f>
        <v/>
      </c>
      <c r="L3752" s="29" t="str">
        <f aca="false">IF(A3752="","",IFERROR(1/(1/INDEX(Numéros!$C$2:$C$3001,MATCH(A3752&amp;"|"&amp;B3752,Numéros!$F$2:$F$3001,0))),""))</f>
        <v/>
      </c>
      <c r="M3752" s="27" t="str">
        <f aca="false">IF(OR(G3752="",G3752="?"),"",IFERROR(INDEX(Pubs!$D$2:$D$3001,MATCH(G3752,Pubs!$A$2:$A$3001,0))&amp;"",""))</f>
        <v/>
      </c>
      <c r="N3752" s="27" t="n">
        <f aca="false">N(N3751)+IF(AND(A3752&lt;&gt;"",OR(Recherche!$C$4="",A3752=Recherche!$C$4),OR(Recherche!$C$5="",B3752&amp;""=Recherche!$C$5&amp;""),OR(Recherche!$C$6="",IFERROR(YEAR(L3752),0)=Recherche!$C$6),OR(Recherche!$C$7="",ISNUMBER(SEARCH(Recherche!$C$7,H3752))),OR(Recherche!$C$8="",J3752=Recherche!$C$8),OR(Recherche!$C$9="",I3752=Recherche!$C$9),OR(Recherche!$C$10="",G3752&amp;""=Recherche!$C$10&amp;""),OR(Recherche!$C$11="",E3752=Recherche!$C$11),OR(Recherche!$C$12="",ISNUMBER(SEARCH(Recherche!$C$12,M3752&amp;" "&amp;F3752)))),1,0)</f>
        <v>8</v>
      </c>
    </row>
    <row r="3753" customFormat="false" ht="15" hidden="false" customHeight="false" outlineLevel="0" collapsed="false">
      <c r="A3753" s="19"/>
      <c r="B3753" s="19"/>
      <c r="C3753" s="19"/>
      <c r="D3753" s="19"/>
      <c r="E3753" s="22"/>
      <c r="F3753" s="19"/>
      <c r="G3753" s="26" t="str">
        <f aca="false">IF(D3753="","",IFERROR(VALUE(LEFT(D3753,FIND(" |",D3753&amp;" |")-1)),"?"))</f>
        <v/>
      </c>
      <c r="H3753" s="27" t="str">
        <f aca="false">IF(G3753="","",IF(G3753="?","⚠ pub inconnue",IFERROR(INDEX(Pubs!$B$2:$B$3001,MATCH(G3753,Pubs!$A$2:$A$3001,0))&amp;"","⚠ pub inconnue")))</f>
        <v/>
      </c>
      <c r="I3753" s="27" t="str">
        <f aca="false">IF(OR(G3753="",G3753="?"),"",IFERROR(INDEX(Pubs!$C$2:$C$3001,MATCH(G3753,Pubs!$A$2:$A$3001,0))&amp;"",""))</f>
        <v/>
      </c>
      <c r="J3753" s="27" t="str">
        <f aca="false">IF(OR(G3753="",G3753="?"),"",IFERROR(INDEX(Pubs!$G$2:$G$3001,MATCH(G3753,Pubs!$A$2:$A$3001,0))&amp;"",""))</f>
        <v/>
      </c>
      <c r="K3753" s="28" t="str">
        <f aca="false">IF(OR(G3753="",G3753="?"),"",IFERROR(INDEX(Pubs!$E$2:$E$3001,MATCH(G3753,Pubs!$A$2:$A$3001,0)),""))</f>
        <v/>
      </c>
      <c r="L3753" s="29" t="str">
        <f aca="false">IF(A3753="","",IFERROR(1/(1/INDEX(Numéros!$C$2:$C$3001,MATCH(A3753&amp;"|"&amp;B3753,Numéros!$F$2:$F$3001,0))),""))</f>
        <v/>
      </c>
      <c r="M3753" s="27" t="str">
        <f aca="false">IF(OR(G3753="",G3753="?"),"",IFERROR(INDEX(Pubs!$D$2:$D$3001,MATCH(G3753,Pubs!$A$2:$A$3001,0))&amp;"",""))</f>
        <v/>
      </c>
      <c r="N3753" s="27" t="n">
        <f aca="false">N(N3752)+IF(AND(A3753&lt;&gt;"",OR(Recherche!$C$4="",A3753=Recherche!$C$4),OR(Recherche!$C$5="",B3753&amp;""=Recherche!$C$5&amp;""),OR(Recherche!$C$6="",IFERROR(YEAR(L3753),0)=Recherche!$C$6),OR(Recherche!$C$7="",ISNUMBER(SEARCH(Recherche!$C$7,H3753))),OR(Recherche!$C$8="",J3753=Recherche!$C$8),OR(Recherche!$C$9="",I3753=Recherche!$C$9),OR(Recherche!$C$10="",G3753&amp;""=Recherche!$C$10&amp;""),OR(Recherche!$C$11="",E3753=Recherche!$C$11),OR(Recherche!$C$12="",ISNUMBER(SEARCH(Recherche!$C$12,M3753&amp;" "&amp;F3753)))),1,0)</f>
        <v>8</v>
      </c>
    </row>
    <row r="3754" customFormat="false" ht="15" hidden="false" customHeight="false" outlineLevel="0" collapsed="false">
      <c r="A3754" s="19"/>
      <c r="B3754" s="19"/>
      <c r="C3754" s="19"/>
      <c r="D3754" s="19"/>
      <c r="E3754" s="22"/>
      <c r="F3754" s="19"/>
      <c r="G3754" s="26" t="str">
        <f aca="false">IF(D3754="","",IFERROR(VALUE(LEFT(D3754,FIND(" |",D3754&amp;" |")-1)),"?"))</f>
        <v/>
      </c>
      <c r="H3754" s="27" t="str">
        <f aca="false">IF(G3754="","",IF(G3754="?","⚠ pub inconnue",IFERROR(INDEX(Pubs!$B$2:$B$3001,MATCH(G3754,Pubs!$A$2:$A$3001,0))&amp;"","⚠ pub inconnue")))</f>
        <v/>
      </c>
      <c r="I3754" s="27" t="str">
        <f aca="false">IF(OR(G3754="",G3754="?"),"",IFERROR(INDEX(Pubs!$C$2:$C$3001,MATCH(G3754,Pubs!$A$2:$A$3001,0))&amp;"",""))</f>
        <v/>
      </c>
      <c r="J3754" s="27" t="str">
        <f aca="false">IF(OR(G3754="",G3754="?"),"",IFERROR(INDEX(Pubs!$G$2:$G$3001,MATCH(G3754,Pubs!$A$2:$A$3001,0))&amp;"",""))</f>
        <v/>
      </c>
      <c r="K3754" s="28" t="str">
        <f aca="false">IF(OR(G3754="",G3754="?"),"",IFERROR(INDEX(Pubs!$E$2:$E$3001,MATCH(G3754,Pubs!$A$2:$A$3001,0)),""))</f>
        <v/>
      </c>
      <c r="L3754" s="29" t="str">
        <f aca="false">IF(A3754="","",IFERROR(1/(1/INDEX(Numéros!$C$2:$C$3001,MATCH(A3754&amp;"|"&amp;B3754,Numéros!$F$2:$F$3001,0))),""))</f>
        <v/>
      </c>
      <c r="M3754" s="27" t="str">
        <f aca="false">IF(OR(G3754="",G3754="?"),"",IFERROR(INDEX(Pubs!$D$2:$D$3001,MATCH(G3754,Pubs!$A$2:$A$3001,0))&amp;"",""))</f>
        <v/>
      </c>
      <c r="N3754" s="27" t="n">
        <f aca="false">N(N3753)+IF(AND(A3754&lt;&gt;"",OR(Recherche!$C$4="",A3754=Recherche!$C$4),OR(Recherche!$C$5="",B3754&amp;""=Recherche!$C$5&amp;""),OR(Recherche!$C$6="",IFERROR(YEAR(L3754),0)=Recherche!$C$6),OR(Recherche!$C$7="",ISNUMBER(SEARCH(Recherche!$C$7,H3754))),OR(Recherche!$C$8="",J3754=Recherche!$C$8),OR(Recherche!$C$9="",I3754=Recherche!$C$9),OR(Recherche!$C$10="",G3754&amp;""=Recherche!$C$10&amp;""),OR(Recherche!$C$11="",E3754=Recherche!$C$11),OR(Recherche!$C$12="",ISNUMBER(SEARCH(Recherche!$C$12,M3754&amp;" "&amp;F3754)))),1,0)</f>
        <v>8</v>
      </c>
    </row>
    <row r="3755" customFormat="false" ht="15" hidden="false" customHeight="false" outlineLevel="0" collapsed="false">
      <c r="A3755" s="19"/>
      <c r="B3755" s="19"/>
      <c r="C3755" s="19"/>
      <c r="D3755" s="19"/>
      <c r="E3755" s="22"/>
      <c r="F3755" s="19"/>
      <c r="G3755" s="26" t="str">
        <f aca="false">IF(D3755="","",IFERROR(VALUE(LEFT(D3755,FIND(" |",D3755&amp;" |")-1)),"?"))</f>
        <v/>
      </c>
      <c r="H3755" s="27" t="str">
        <f aca="false">IF(G3755="","",IF(G3755="?","⚠ pub inconnue",IFERROR(INDEX(Pubs!$B$2:$B$3001,MATCH(G3755,Pubs!$A$2:$A$3001,0))&amp;"","⚠ pub inconnue")))</f>
        <v/>
      </c>
      <c r="I3755" s="27" t="str">
        <f aca="false">IF(OR(G3755="",G3755="?"),"",IFERROR(INDEX(Pubs!$C$2:$C$3001,MATCH(G3755,Pubs!$A$2:$A$3001,0))&amp;"",""))</f>
        <v/>
      </c>
      <c r="J3755" s="27" t="str">
        <f aca="false">IF(OR(G3755="",G3755="?"),"",IFERROR(INDEX(Pubs!$G$2:$G$3001,MATCH(G3755,Pubs!$A$2:$A$3001,0))&amp;"",""))</f>
        <v/>
      </c>
      <c r="K3755" s="28" t="str">
        <f aca="false">IF(OR(G3755="",G3755="?"),"",IFERROR(INDEX(Pubs!$E$2:$E$3001,MATCH(G3755,Pubs!$A$2:$A$3001,0)),""))</f>
        <v/>
      </c>
      <c r="L3755" s="29" t="str">
        <f aca="false">IF(A3755="","",IFERROR(1/(1/INDEX(Numéros!$C$2:$C$3001,MATCH(A3755&amp;"|"&amp;B3755,Numéros!$F$2:$F$3001,0))),""))</f>
        <v/>
      </c>
      <c r="M3755" s="27" t="str">
        <f aca="false">IF(OR(G3755="",G3755="?"),"",IFERROR(INDEX(Pubs!$D$2:$D$3001,MATCH(G3755,Pubs!$A$2:$A$3001,0))&amp;"",""))</f>
        <v/>
      </c>
      <c r="N3755" s="27" t="n">
        <f aca="false">N(N3754)+IF(AND(A3755&lt;&gt;"",OR(Recherche!$C$4="",A3755=Recherche!$C$4),OR(Recherche!$C$5="",B3755&amp;""=Recherche!$C$5&amp;""),OR(Recherche!$C$6="",IFERROR(YEAR(L3755),0)=Recherche!$C$6),OR(Recherche!$C$7="",ISNUMBER(SEARCH(Recherche!$C$7,H3755))),OR(Recherche!$C$8="",J3755=Recherche!$C$8),OR(Recherche!$C$9="",I3755=Recherche!$C$9),OR(Recherche!$C$10="",G3755&amp;""=Recherche!$C$10&amp;""),OR(Recherche!$C$11="",E3755=Recherche!$C$11),OR(Recherche!$C$12="",ISNUMBER(SEARCH(Recherche!$C$12,M3755&amp;" "&amp;F3755)))),1,0)</f>
        <v>8</v>
      </c>
    </row>
    <row r="3756" customFormat="false" ht="15" hidden="false" customHeight="false" outlineLevel="0" collapsed="false">
      <c r="A3756" s="19"/>
      <c r="B3756" s="19"/>
      <c r="C3756" s="19"/>
      <c r="D3756" s="19"/>
      <c r="E3756" s="22"/>
      <c r="F3756" s="19"/>
      <c r="G3756" s="26" t="str">
        <f aca="false">IF(D3756="","",IFERROR(VALUE(LEFT(D3756,FIND(" |",D3756&amp;" |")-1)),"?"))</f>
        <v/>
      </c>
      <c r="H3756" s="27" t="str">
        <f aca="false">IF(G3756="","",IF(G3756="?","⚠ pub inconnue",IFERROR(INDEX(Pubs!$B$2:$B$3001,MATCH(G3756,Pubs!$A$2:$A$3001,0))&amp;"","⚠ pub inconnue")))</f>
        <v/>
      </c>
      <c r="I3756" s="27" t="str">
        <f aca="false">IF(OR(G3756="",G3756="?"),"",IFERROR(INDEX(Pubs!$C$2:$C$3001,MATCH(G3756,Pubs!$A$2:$A$3001,0))&amp;"",""))</f>
        <v/>
      </c>
      <c r="J3756" s="27" t="str">
        <f aca="false">IF(OR(G3756="",G3756="?"),"",IFERROR(INDEX(Pubs!$G$2:$G$3001,MATCH(G3756,Pubs!$A$2:$A$3001,0))&amp;"",""))</f>
        <v/>
      </c>
      <c r="K3756" s="28" t="str">
        <f aca="false">IF(OR(G3756="",G3756="?"),"",IFERROR(INDEX(Pubs!$E$2:$E$3001,MATCH(G3756,Pubs!$A$2:$A$3001,0)),""))</f>
        <v/>
      </c>
      <c r="L3756" s="29" t="str">
        <f aca="false">IF(A3756="","",IFERROR(1/(1/INDEX(Numéros!$C$2:$C$3001,MATCH(A3756&amp;"|"&amp;B3756,Numéros!$F$2:$F$3001,0))),""))</f>
        <v/>
      </c>
      <c r="M3756" s="27" t="str">
        <f aca="false">IF(OR(G3756="",G3756="?"),"",IFERROR(INDEX(Pubs!$D$2:$D$3001,MATCH(G3756,Pubs!$A$2:$A$3001,0))&amp;"",""))</f>
        <v/>
      </c>
      <c r="N3756" s="27" t="n">
        <f aca="false">N(N3755)+IF(AND(A3756&lt;&gt;"",OR(Recherche!$C$4="",A3756=Recherche!$C$4),OR(Recherche!$C$5="",B3756&amp;""=Recherche!$C$5&amp;""),OR(Recherche!$C$6="",IFERROR(YEAR(L3756),0)=Recherche!$C$6),OR(Recherche!$C$7="",ISNUMBER(SEARCH(Recherche!$C$7,H3756))),OR(Recherche!$C$8="",J3756=Recherche!$C$8),OR(Recherche!$C$9="",I3756=Recherche!$C$9),OR(Recherche!$C$10="",G3756&amp;""=Recherche!$C$10&amp;""),OR(Recherche!$C$11="",E3756=Recherche!$C$11),OR(Recherche!$C$12="",ISNUMBER(SEARCH(Recherche!$C$12,M3756&amp;" "&amp;F3756)))),1,0)</f>
        <v>8</v>
      </c>
    </row>
    <row r="3757" customFormat="false" ht="15" hidden="false" customHeight="false" outlineLevel="0" collapsed="false">
      <c r="A3757" s="19"/>
      <c r="B3757" s="19"/>
      <c r="C3757" s="19"/>
      <c r="D3757" s="19"/>
      <c r="E3757" s="22"/>
      <c r="F3757" s="19"/>
      <c r="G3757" s="26" t="str">
        <f aca="false">IF(D3757="","",IFERROR(VALUE(LEFT(D3757,FIND(" |",D3757&amp;" |")-1)),"?"))</f>
        <v/>
      </c>
      <c r="H3757" s="27" t="str">
        <f aca="false">IF(G3757="","",IF(G3757="?","⚠ pub inconnue",IFERROR(INDEX(Pubs!$B$2:$B$3001,MATCH(G3757,Pubs!$A$2:$A$3001,0))&amp;"","⚠ pub inconnue")))</f>
        <v/>
      </c>
      <c r="I3757" s="27" t="str">
        <f aca="false">IF(OR(G3757="",G3757="?"),"",IFERROR(INDEX(Pubs!$C$2:$C$3001,MATCH(G3757,Pubs!$A$2:$A$3001,0))&amp;"",""))</f>
        <v/>
      </c>
      <c r="J3757" s="27" t="str">
        <f aca="false">IF(OR(G3757="",G3757="?"),"",IFERROR(INDEX(Pubs!$G$2:$G$3001,MATCH(G3757,Pubs!$A$2:$A$3001,0))&amp;"",""))</f>
        <v/>
      </c>
      <c r="K3757" s="28" t="str">
        <f aca="false">IF(OR(G3757="",G3757="?"),"",IFERROR(INDEX(Pubs!$E$2:$E$3001,MATCH(G3757,Pubs!$A$2:$A$3001,0)),""))</f>
        <v/>
      </c>
      <c r="L3757" s="29" t="str">
        <f aca="false">IF(A3757="","",IFERROR(1/(1/INDEX(Numéros!$C$2:$C$3001,MATCH(A3757&amp;"|"&amp;B3757,Numéros!$F$2:$F$3001,0))),""))</f>
        <v/>
      </c>
      <c r="M3757" s="27" t="str">
        <f aca="false">IF(OR(G3757="",G3757="?"),"",IFERROR(INDEX(Pubs!$D$2:$D$3001,MATCH(G3757,Pubs!$A$2:$A$3001,0))&amp;"",""))</f>
        <v/>
      </c>
      <c r="N3757" s="27" t="n">
        <f aca="false">N(N3756)+IF(AND(A3757&lt;&gt;"",OR(Recherche!$C$4="",A3757=Recherche!$C$4),OR(Recherche!$C$5="",B3757&amp;""=Recherche!$C$5&amp;""),OR(Recherche!$C$6="",IFERROR(YEAR(L3757),0)=Recherche!$C$6),OR(Recherche!$C$7="",ISNUMBER(SEARCH(Recherche!$C$7,H3757))),OR(Recherche!$C$8="",J3757=Recherche!$C$8),OR(Recherche!$C$9="",I3757=Recherche!$C$9),OR(Recherche!$C$10="",G3757&amp;""=Recherche!$C$10&amp;""),OR(Recherche!$C$11="",E3757=Recherche!$C$11),OR(Recherche!$C$12="",ISNUMBER(SEARCH(Recherche!$C$12,M3757&amp;" "&amp;F3757)))),1,0)</f>
        <v>8</v>
      </c>
    </row>
    <row r="3758" customFormat="false" ht="15" hidden="false" customHeight="false" outlineLevel="0" collapsed="false">
      <c r="A3758" s="19"/>
      <c r="B3758" s="19"/>
      <c r="C3758" s="19"/>
      <c r="D3758" s="19"/>
      <c r="E3758" s="22"/>
      <c r="F3758" s="19"/>
      <c r="G3758" s="26" t="str">
        <f aca="false">IF(D3758="","",IFERROR(VALUE(LEFT(D3758,FIND(" |",D3758&amp;" |")-1)),"?"))</f>
        <v/>
      </c>
      <c r="H3758" s="27" t="str">
        <f aca="false">IF(G3758="","",IF(G3758="?","⚠ pub inconnue",IFERROR(INDEX(Pubs!$B$2:$B$3001,MATCH(G3758,Pubs!$A$2:$A$3001,0))&amp;"","⚠ pub inconnue")))</f>
        <v/>
      </c>
      <c r="I3758" s="27" t="str">
        <f aca="false">IF(OR(G3758="",G3758="?"),"",IFERROR(INDEX(Pubs!$C$2:$C$3001,MATCH(G3758,Pubs!$A$2:$A$3001,0))&amp;"",""))</f>
        <v/>
      </c>
      <c r="J3758" s="27" t="str">
        <f aca="false">IF(OR(G3758="",G3758="?"),"",IFERROR(INDEX(Pubs!$G$2:$G$3001,MATCH(G3758,Pubs!$A$2:$A$3001,0))&amp;"",""))</f>
        <v/>
      </c>
      <c r="K3758" s="28" t="str">
        <f aca="false">IF(OR(G3758="",G3758="?"),"",IFERROR(INDEX(Pubs!$E$2:$E$3001,MATCH(G3758,Pubs!$A$2:$A$3001,0)),""))</f>
        <v/>
      </c>
      <c r="L3758" s="29" t="str">
        <f aca="false">IF(A3758="","",IFERROR(1/(1/INDEX(Numéros!$C$2:$C$3001,MATCH(A3758&amp;"|"&amp;B3758,Numéros!$F$2:$F$3001,0))),""))</f>
        <v/>
      </c>
      <c r="M3758" s="27" t="str">
        <f aca="false">IF(OR(G3758="",G3758="?"),"",IFERROR(INDEX(Pubs!$D$2:$D$3001,MATCH(G3758,Pubs!$A$2:$A$3001,0))&amp;"",""))</f>
        <v/>
      </c>
      <c r="N3758" s="27" t="n">
        <f aca="false">N(N3757)+IF(AND(A3758&lt;&gt;"",OR(Recherche!$C$4="",A3758=Recherche!$C$4),OR(Recherche!$C$5="",B3758&amp;""=Recherche!$C$5&amp;""),OR(Recherche!$C$6="",IFERROR(YEAR(L3758),0)=Recherche!$C$6),OR(Recherche!$C$7="",ISNUMBER(SEARCH(Recherche!$C$7,H3758))),OR(Recherche!$C$8="",J3758=Recherche!$C$8),OR(Recherche!$C$9="",I3758=Recherche!$C$9),OR(Recherche!$C$10="",G3758&amp;""=Recherche!$C$10&amp;""),OR(Recherche!$C$11="",E3758=Recherche!$C$11),OR(Recherche!$C$12="",ISNUMBER(SEARCH(Recherche!$C$12,M3758&amp;" "&amp;F3758)))),1,0)</f>
        <v>8</v>
      </c>
    </row>
    <row r="3759" customFormat="false" ht="15" hidden="false" customHeight="false" outlineLevel="0" collapsed="false">
      <c r="A3759" s="19"/>
      <c r="B3759" s="19"/>
      <c r="C3759" s="19"/>
      <c r="D3759" s="19"/>
      <c r="E3759" s="22"/>
      <c r="F3759" s="19"/>
      <c r="G3759" s="26" t="str">
        <f aca="false">IF(D3759="","",IFERROR(VALUE(LEFT(D3759,FIND(" |",D3759&amp;" |")-1)),"?"))</f>
        <v/>
      </c>
      <c r="H3759" s="27" t="str">
        <f aca="false">IF(G3759="","",IF(G3759="?","⚠ pub inconnue",IFERROR(INDEX(Pubs!$B$2:$B$3001,MATCH(G3759,Pubs!$A$2:$A$3001,0))&amp;"","⚠ pub inconnue")))</f>
        <v/>
      </c>
      <c r="I3759" s="27" t="str">
        <f aca="false">IF(OR(G3759="",G3759="?"),"",IFERROR(INDEX(Pubs!$C$2:$C$3001,MATCH(G3759,Pubs!$A$2:$A$3001,0))&amp;"",""))</f>
        <v/>
      </c>
      <c r="J3759" s="27" t="str">
        <f aca="false">IF(OR(G3759="",G3759="?"),"",IFERROR(INDEX(Pubs!$G$2:$G$3001,MATCH(G3759,Pubs!$A$2:$A$3001,0))&amp;"",""))</f>
        <v/>
      </c>
      <c r="K3759" s="28" t="str">
        <f aca="false">IF(OR(G3759="",G3759="?"),"",IFERROR(INDEX(Pubs!$E$2:$E$3001,MATCH(G3759,Pubs!$A$2:$A$3001,0)),""))</f>
        <v/>
      </c>
      <c r="L3759" s="29" t="str">
        <f aca="false">IF(A3759="","",IFERROR(1/(1/INDEX(Numéros!$C$2:$C$3001,MATCH(A3759&amp;"|"&amp;B3759,Numéros!$F$2:$F$3001,0))),""))</f>
        <v/>
      </c>
      <c r="M3759" s="27" t="str">
        <f aca="false">IF(OR(G3759="",G3759="?"),"",IFERROR(INDEX(Pubs!$D$2:$D$3001,MATCH(G3759,Pubs!$A$2:$A$3001,0))&amp;"",""))</f>
        <v/>
      </c>
      <c r="N3759" s="27" t="n">
        <f aca="false">N(N3758)+IF(AND(A3759&lt;&gt;"",OR(Recherche!$C$4="",A3759=Recherche!$C$4),OR(Recherche!$C$5="",B3759&amp;""=Recherche!$C$5&amp;""),OR(Recherche!$C$6="",IFERROR(YEAR(L3759),0)=Recherche!$C$6),OR(Recherche!$C$7="",ISNUMBER(SEARCH(Recherche!$C$7,H3759))),OR(Recherche!$C$8="",J3759=Recherche!$C$8),OR(Recherche!$C$9="",I3759=Recherche!$C$9),OR(Recherche!$C$10="",G3759&amp;""=Recherche!$C$10&amp;""),OR(Recherche!$C$11="",E3759=Recherche!$C$11),OR(Recherche!$C$12="",ISNUMBER(SEARCH(Recherche!$C$12,M3759&amp;" "&amp;F3759)))),1,0)</f>
        <v>8</v>
      </c>
    </row>
    <row r="3760" customFormat="false" ht="15" hidden="false" customHeight="false" outlineLevel="0" collapsed="false">
      <c r="A3760" s="19"/>
      <c r="B3760" s="19"/>
      <c r="C3760" s="19"/>
      <c r="D3760" s="19"/>
      <c r="E3760" s="22"/>
      <c r="F3760" s="19"/>
      <c r="G3760" s="26" t="str">
        <f aca="false">IF(D3760="","",IFERROR(VALUE(LEFT(D3760,FIND(" |",D3760&amp;" |")-1)),"?"))</f>
        <v/>
      </c>
      <c r="H3760" s="27" t="str">
        <f aca="false">IF(G3760="","",IF(G3760="?","⚠ pub inconnue",IFERROR(INDEX(Pubs!$B$2:$B$3001,MATCH(G3760,Pubs!$A$2:$A$3001,0))&amp;"","⚠ pub inconnue")))</f>
        <v/>
      </c>
      <c r="I3760" s="27" t="str">
        <f aca="false">IF(OR(G3760="",G3760="?"),"",IFERROR(INDEX(Pubs!$C$2:$C$3001,MATCH(G3760,Pubs!$A$2:$A$3001,0))&amp;"",""))</f>
        <v/>
      </c>
      <c r="J3760" s="27" t="str">
        <f aca="false">IF(OR(G3760="",G3760="?"),"",IFERROR(INDEX(Pubs!$G$2:$G$3001,MATCH(G3760,Pubs!$A$2:$A$3001,0))&amp;"",""))</f>
        <v/>
      </c>
      <c r="K3760" s="28" t="str">
        <f aca="false">IF(OR(G3760="",G3760="?"),"",IFERROR(INDEX(Pubs!$E$2:$E$3001,MATCH(G3760,Pubs!$A$2:$A$3001,0)),""))</f>
        <v/>
      </c>
      <c r="L3760" s="29" t="str">
        <f aca="false">IF(A3760="","",IFERROR(1/(1/INDEX(Numéros!$C$2:$C$3001,MATCH(A3760&amp;"|"&amp;B3760,Numéros!$F$2:$F$3001,0))),""))</f>
        <v/>
      </c>
      <c r="M3760" s="27" t="str">
        <f aca="false">IF(OR(G3760="",G3760="?"),"",IFERROR(INDEX(Pubs!$D$2:$D$3001,MATCH(G3760,Pubs!$A$2:$A$3001,0))&amp;"",""))</f>
        <v/>
      </c>
      <c r="N3760" s="27" t="n">
        <f aca="false">N(N3759)+IF(AND(A3760&lt;&gt;"",OR(Recherche!$C$4="",A3760=Recherche!$C$4),OR(Recherche!$C$5="",B3760&amp;""=Recherche!$C$5&amp;""),OR(Recherche!$C$6="",IFERROR(YEAR(L3760),0)=Recherche!$C$6),OR(Recherche!$C$7="",ISNUMBER(SEARCH(Recherche!$C$7,H3760))),OR(Recherche!$C$8="",J3760=Recherche!$C$8),OR(Recherche!$C$9="",I3760=Recherche!$C$9),OR(Recherche!$C$10="",G3760&amp;""=Recherche!$C$10&amp;""),OR(Recherche!$C$11="",E3760=Recherche!$C$11),OR(Recherche!$C$12="",ISNUMBER(SEARCH(Recherche!$C$12,M3760&amp;" "&amp;F3760)))),1,0)</f>
        <v>8</v>
      </c>
    </row>
    <row r="3761" customFormat="false" ht="15" hidden="false" customHeight="false" outlineLevel="0" collapsed="false">
      <c r="A3761" s="19"/>
      <c r="B3761" s="19"/>
      <c r="C3761" s="19"/>
      <c r="D3761" s="19"/>
      <c r="E3761" s="22"/>
      <c r="F3761" s="19"/>
      <c r="G3761" s="26" t="str">
        <f aca="false">IF(D3761="","",IFERROR(VALUE(LEFT(D3761,FIND(" |",D3761&amp;" |")-1)),"?"))</f>
        <v/>
      </c>
      <c r="H3761" s="27" t="str">
        <f aca="false">IF(G3761="","",IF(G3761="?","⚠ pub inconnue",IFERROR(INDEX(Pubs!$B$2:$B$3001,MATCH(G3761,Pubs!$A$2:$A$3001,0))&amp;"","⚠ pub inconnue")))</f>
        <v/>
      </c>
      <c r="I3761" s="27" t="str">
        <f aca="false">IF(OR(G3761="",G3761="?"),"",IFERROR(INDEX(Pubs!$C$2:$C$3001,MATCH(G3761,Pubs!$A$2:$A$3001,0))&amp;"",""))</f>
        <v/>
      </c>
      <c r="J3761" s="27" t="str">
        <f aca="false">IF(OR(G3761="",G3761="?"),"",IFERROR(INDEX(Pubs!$G$2:$G$3001,MATCH(G3761,Pubs!$A$2:$A$3001,0))&amp;"",""))</f>
        <v/>
      </c>
      <c r="K3761" s="28" t="str">
        <f aca="false">IF(OR(G3761="",G3761="?"),"",IFERROR(INDEX(Pubs!$E$2:$E$3001,MATCH(G3761,Pubs!$A$2:$A$3001,0)),""))</f>
        <v/>
      </c>
      <c r="L3761" s="29" t="str">
        <f aca="false">IF(A3761="","",IFERROR(1/(1/INDEX(Numéros!$C$2:$C$3001,MATCH(A3761&amp;"|"&amp;B3761,Numéros!$F$2:$F$3001,0))),""))</f>
        <v/>
      </c>
      <c r="M3761" s="27" t="str">
        <f aca="false">IF(OR(G3761="",G3761="?"),"",IFERROR(INDEX(Pubs!$D$2:$D$3001,MATCH(G3761,Pubs!$A$2:$A$3001,0))&amp;"",""))</f>
        <v/>
      </c>
      <c r="N3761" s="27" t="n">
        <f aca="false">N(N3760)+IF(AND(A3761&lt;&gt;"",OR(Recherche!$C$4="",A3761=Recherche!$C$4),OR(Recherche!$C$5="",B3761&amp;""=Recherche!$C$5&amp;""),OR(Recherche!$C$6="",IFERROR(YEAR(L3761),0)=Recherche!$C$6),OR(Recherche!$C$7="",ISNUMBER(SEARCH(Recherche!$C$7,H3761))),OR(Recherche!$C$8="",J3761=Recherche!$C$8),OR(Recherche!$C$9="",I3761=Recherche!$C$9),OR(Recherche!$C$10="",G3761&amp;""=Recherche!$C$10&amp;""),OR(Recherche!$C$11="",E3761=Recherche!$C$11),OR(Recherche!$C$12="",ISNUMBER(SEARCH(Recherche!$C$12,M3761&amp;" "&amp;F3761)))),1,0)</f>
        <v>8</v>
      </c>
    </row>
    <row r="3762" customFormat="false" ht="15" hidden="false" customHeight="false" outlineLevel="0" collapsed="false">
      <c r="A3762" s="19"/>
      <c r="B3762" s="19"/>
      <c r="C3762" s="19"/>
      <c r="D3762" s="19"/>
      <c r="E3762" s="22"/>
      <c r="F3762" s="19"/>
      <c r="G3762" s="26" t="str">
        <f aca="false">IF(D3762="","",IFERROR(VALUE(LEFT(D3762,FIND(" |",D3762&amp;" |")-1)),"?"))</f>
        <v/>
      </c>
      <c r="H3762" s="27" t="str">
        <f aca="false">IF(G3762="","",IF(G3762="?","⚠ pub inconnue",IFERROR(INDEX(Pubs!$B$2:$B$3001,MATCH(G3762,Pubs!$A$2:$A$3001,0))&amp;"","⚠ pub inconnue")))</f>
        <v/>
      </c>
      <c r="I3762" s="27" t="str">
        <f aca="false">IF(OR(G3762="",G3762="?"),"",IFERROR(INDEX(Pubs!$C$2:$C$3001,MATCH(G3762,Pubs!$A$2:$A$3001,0))&amp;"",""))</f>
        <v/>
      </c>
      <c r="J3762" s="27" t="str">
        <f aca="false">IF(OR(G3762="",G3762="?"),"",IFERROR(INDEX(Pubs!$G$2:$G$3001,MATCH(G3762,Pubs!$A$2:$A$3001,0))&amp;"",""))</f>
        <v/>
      </c>
      <c r="K3762" s="28" t="str">
        <f aca="false">IF(OR(G3762="",G3762="?"),"",IFERROR(INDEX(Pubs!$E$2:$E$3001,MATCH(G3762,Pubs!$A$2:$A$3001,0)),""))</f>
        <v/>
      </c>
      <c r="L3762" s="29" t="str">
        <f aca="false">IF(A3762="","",IFERROR(1/(1/INDEX(Numéros!$C$2:$C$3001,MATCH(A3762&amp;"|"&amp;B3762,Numéros!$F$2:$F$3001,0))),""))</f>
        <v/>
      </c>
      <c r="M3762" s="27" t="str">
        <f aca="false">IF(OR(G3762="",G3762="?"),"",IFERROR(INDEX(Pubs!$D$2:$D$3001,MATCH(G3762,Pubs!$A$2:$A$3001,0))&amp;"",""))</f>
        <v/>
      </c>
      <c r="N3762" s="27" t="n">
        <f aca="false">N(N3761)+IF(AND(A3762&lt;&gt;"",OR(Recherche!$C$4="",A3762=Recherche!$C$4),OR(Recherche!$C$5="",B3762&amp;""=Recherche!$C$5&amp;""),OR(Recherche!$C$6="",IFERROR(YEAR(L3762),0)=Recherche!$C$6),OR(Recherche!$C$7="",ISNUMBER(SEARCH(Recherche!$C$7,H3762))),OR(Recherche!$C$8="",J3762=Recherche!$C$8),OR(Recherche!$C$9="",I3762=Recherche!$C$9),OR(Recherche!$C$10="",G3762&amp;""=Recherche!$C$10&amp;""),OR(Recherche!$C$11="",E3762=Recherche!$C$11),OR(Recherche!$C$12="",ISNUMBER(SEARCH(Recherche!$C$12,M3762&amp;" "&amp;F3762)))),1,0)</f>
        <v>8</v>
      </c>
    </row>
    <row r="3763" customFormat="false" ht="15" hidden="false" customHeight="false" outlineLevel="0" collapsed="false">
      <c r="A3763" s="19"/>
      <c r="B3763" s="19"/>
      <c r="C3763" s="19"/>
      <c r="D3763" s="19"/>
      <c r="E3763" s="22"/>
      <c r="F3763" s="19"/>
      <c r="G3763" s="26" t="str">
        <f aca="false">IF(D3763="","",IFERROR(VALUE(LEFT(D3763,FIND(" |",D3763&amp;" |")-1)),"?"))</f>
        <v/>
      </c>
      <c r="H3763" s="27" t="str">
        <f aca="false">IF(G3763="","",IF(G3763="?","⚠ pub inconnue",IFERROR(INDEX(Pubs!$B$2:$B$3001,MATCH(G3763,Pubs!$A$2:$A$3001,0))&amp;"","⚠ pub inconnue")))</f>
        <v/>
      </c>
      <c r="I3763" s="27" t="str">
        <f aca="false">IF(OR(G3763="",G3763="?"),"",IFERROR(INDEX(Pubs!$C$2:$C$3001,MATCH(G3763,Pubs!$A$2:$A$3001,0))&amp;"",""))</f>
        <v/>
      </c>
      <c r="J3763" s="27" t="str">
        <f aca="false">IF(OR(G3763="",G3763="?"),"",IFERROR(INDEX(Pubs!$G$2:$G$3001,MATCH(G3763,Pubs!$A$2:$A$3001,0))&amp;"",""))</f>
        <v/>
      </c>
      <c r="K3763" s="28" t="str">
        <f aca="false">IF(OR(G3763="",G3763="?"),"",IFERROR(INDEX(Pubs!$E$2:$E$3001,MATCH(G3763,Pubs!$A$2:$A$3001,0)),""))</f>
        <v/>
      </c>
      <c r="L3763" s="29" t="str">
        <f aca="false">IF(A3763="","",IFERROR(1/(1/INDEX(Numéros!$C$2:$C$3001,MATCH(A3763&amp;"|"&amp;B3763,Numéros!$F$2:$F$3001,0))),""))</f>
        <v/>
      </c>
      <c r="M3763" s="27" t="str">
        <f aca="false">IF(OR(G3763="",G3763="?"),"",IFERROR(INDEX(Pubs!$D$2:$D$3001,MATCH(G3763,Pubs!$A$2:$A$3001,0))&amp;"",""))</f>
        <v/>
      </c>
      <c r="N3763" s="27" t="n">
        <f aca="false">N(N3762)+IF(AND(A3763&lt;&gt;"",OR(Recherche!$C$4="",A3763=Recherche!$C$4),OR(Recherche!$C$5="",B3763&amp;""=Recherche!$C$5&amp;""),OR(Recherche!$C$6="",IFERROR(YEAR(L3763),0)=Recherche!$C$6),OR(Recherche!$C$7="",ISNUMBER(SEARCH(Recherche!$C$7,H3763))),OR(Recherche!$C$8="",J3763=Recherche!$C$8),OR(Recherche!$C$9="",I3763=Recherche!$C$9),OR(Recherche!$C$10="",G3763&amp;""=Recherche!$C$10&amp;""),OR(Recherche!$C$11="",E3763=Recherche!$C$11),OR(Recherche!$C$12="",ISNUMBER(SEARCH(Recherche!$C$12,M3763&amp;" "&amp;F3763)))),1,0)</f>
        <v>8</v>
      </c>
    </row>
    <row r="3764" customFormat="false" ht="15" hidden="false" customHeight="false" outlineLevel="0" collapsed="false">
      <c r="A3764" s="19"/>
      <c r="B3764" s="19"/>
      <c r="C3764" s="19"/>
      <c r="D3764" s="19"/>
      <c r="E3764" s="22"/>
      <c r="F3764" s="19"/>
      <c r="G3764" s="26" t="str">
        <f aca="false">IF(D3764="","",IFERROR(VALUE(LEFT(D3764,FIND(" |",D3764&amp;" |")-1)),"?"))</f>
        <v/>
      </c>
      <c r="H3764" s="27" t="str">
        <f aca="false">IF(G3764="","",IF(G3764="?","⚠ pub inconnue",IFERROR(INDEX(Pubs!$B$2:$B$3001,MATCH(G3764,Pubs!$A$2:$A$3001,0))&amp;"","⚠ pub inconnue")))</f>
        <v/>
      </c>
      <c r="I3764" s="27" t="str">
        <f aca="false">IF(OR(G3764="",G3764="?"),"",IFERROR(INDEX(Pubs!$C$2:$C$3001,MATCH(G3764,Pubs!$A$2:$A$3001,0))&amp;"",""))</f>
        <v/>
      </c>
      <c r="J3764" s="27" t="str">
        <f aca="false">IF(OR(G3764="",G3764="?"),"",IFERROR(INDEX(Pubs!$G$2:$G$3001,MATCH(G3764,Pubs!$A$2:$A$3001,0))&amp;"",""))</f>
        <v/>
      </c>
      <c r="K3764" s="28" t="str">
        <f aca="false">IF(OR(G3764="",G3764="?"),"",IFERROR(INDEX(Pubs!$E$2:$E$3001,MATCH(G3764,Pubs!$A$2:$A$3001,0)),""))</f>
        <v/>
      </c>
      <c r="L3764" s="29" t="str">
        <f aca="false">IF(A3764="","",IFERROR(1/(1/INDEX(Numéros!$C$2:$C$3001,MATCH(A3764&amp;"|"&amp;B3764,Numéros!$F$2:$F$3001,0))),""))</f>
        <v/>
      </c>
      <c r="M3764" s="27" t="str">
        <f aca="false">IF(OR(G3764="",G3764="?"),"",IFERROR(INDEX(Pubs!$D$2:$D$3001,MATCH(G3764,Pubs!$A$2:$A$3001,0))&amp;"",""))</f>
        <v/>
      </c>
      <c r="N3764" s="27" t="n">
        <f aca="false">N(N3763)+IF(AND(A3764&lt;&gt;"",OR(Recherche!$C$4="",A3764=Recherche!$C$4),OR(Recherche!$C$5="",B3764&amp;""=Recherche!$C$5&amp;""),OR(Recherche!$C$6="",IFERROR(YEAR(L3764),0)=Recherche!$C$6),OR(Recherche!$C$7="",ISNUMBER(SEARCH(Recherche!$C$7,H3764))),OR(Recherche!$C$8="",J3764=Recherche!$C$8),OR(Recherche!$C$9="",I3764=Recherche!$C$9),OR(Recherche!$C$10="",G3764&amp;""=Recherche!$C$10&amp;""),OR(Recherche!$C$11="",E3764=Recherche!$C$11),OR(Recherche!$C$12="",ISNUMBER(SEARCH(Recherche!$C$12,M3764&amp;" "&amp;F3764)))),1,0)</f>
        <v>8</v>
      </c>
    </row>
    <row r="3765" customFormat="false" ht="15" hidden="false" customHeight="false" outlineLevel="0" collapsed="false">
      <c r="A3765" s="19"/>
      <c r="B3765" s="19"/>
      <c r="C3765" s="19"/>
      <c r="D3765" s="19"/>
      <c r="E3765" s="22"/>
      <c r="F3765" s="19"/>
      <c r="G3765" s="26" t="str">
        <f aca="false">IF(D3765="","",IFERROR(VALUE(LEFT(D3765,FIND(" |",D3765&amp;" |")-1)),"?"))</f>
        <v/>
      </c>
      <c r="H3765" s="27" t="str">
        <f aca="false">IF(G3765="","",IF(G3765="?","⚠ pub inconnue",IFERROR(INDEX(Pubs!$B$2:$B$3001,MATCH(G3765,Pubs!$A$2:$A$3001,0))&amp;"","⚠ pub inconnue")))</f>
        <v/>
      </c>
      <c r="I3765" s="27" t="str">
        <f aca="false">IF(OR(G3765="",G3765="?"),"",IFERROR(INDEX(Pubs!$C$2:$C$3001,MATCH(G3765,Pubs!$A$2:$A$3001,0))&amp;"",""))</f>
        <v/>
      </c>
      <c r="J3765" s="27" t="str">
        <f aca="false">IF(OR(G3765="",G3765="?"),"",IFERROR(INDEX(Pubs!$G$2:$G$3001,MATCH(G3765,Pubs!$A$2:$A$3001,0))&amp;"",""))</f>
        <v/>
      </c>
      <c r="K3765" s="28" t="str">
        <f aca="false">IF(OR(G3765="",G3765="?"),"",IFERROR(INDEX(Pubs!$E$2:$E$3001,MATCH(G3765,Pubs!$A$2:$A$3001,0)),""))</f>
        <v/>
      </c>
      <c r="L3765" s="29" t="str">
        <f aca="false">IF(A3765="","",IFERROR(1/(1/INDEX(Numéros!$C$2:$C$3001,MATCH(A3765&amp;"|"&amp;B3765,Numéros!$F$2:$F$3001,0))),""))</f>
        <v/>
      </c>
      <c r="M3765" s="27" t="str">
        <f aca="false">IF(OR(G3765="",G3765="?"),"",IFERROR(INDEX(Pubs!$D$2:$D$3001,MATCH(G3765,Pubs!$A$2:$A$3001,0))&amp;"",""))</f>
        <v/>
      </c>
      <c r="N3765" s="27" t="n">
        <f aca="false">N(N3764)+IF(AND(A3765&lt;&gt;"",OR(Recherche!$C$4="",A3765=Recherche!$C$4),OR(Recherche!$C$5="",B3765&amp;""=Recherche!$C$5&amp;""),OR(Recherche!$C$6="",IFERROR(YEAR(L3765),0)=Recherche!$C$6),OR(Recherche!$C$7="",ISNUMBER(SEARCH(Recherche!$C$7,H3765))),OR(Recherche!$C$8="",J3765=Recherche!$C$8),OR(Recherche!$C$9="",I3765=Recherche!$C$9),OR(Recherche!$C$10="",G3765&amp;""=Recherche!$C$10&amp;""),OR(Recherche!$C$11="",E3765=Recherche!$C$11),OR(Recherche!$C$12="",ISNUMBER(SEARCH(Recherche!$C$12,M3765&amp;" "&amp;F3765)))),1,0)</f>
        <v>8</v>
      </c>
    </row>
    <row r="3766" customFormat="false" ht="15" hidden="false" customHeight="false" outlineLevel="0" collapsed="false">
      <c r="A3766" s="19"/>
      <c r="B3766" s="19"/>
      <c r="C3766" s="19"/>
      <c r="D3766" s="19"/>
      <c r="E3766" s="22"/>
      <c r="F3766" s="19"/>
      <c r="G3766" s="26" t="str">
        <f aca="false">IF(D3766="","",IFERROR(VALUE(LEFT(D3766,FIND(" |",D3766&amp;" |")-1)),"?"))</f>
        <v/>
      </c>
      <c r="H3766" s="27" t="str">
        <f aca="false">IF(G3766="","",IF(G3766="?","⚠ pub inconnue",IFERROR(INDEX(Pubs!$B$2:$B$3001,MATCH(G3766,Pubs!$A$2:$A$3001,0))&amp;"","⚠ pub inconnue")))</f>
        <v/>
      </c>
      <c r="I3766" s="27" t="str">
        <f aca="false">IF(OR(G3766="",G3766="?"),"",IFERROR(INDEX(Pubs!$C$2:$C$3001,MATCH(G3766,Pubs!$A$2:$A$3001,0))&amp;"",""))</f>
        <v/>
      </c>
      <c r="J3766" s="27" t="str">
        <f aca="false">IF(OR(G3766="",G3766="?"),"",IFERROR(INDEX(Pubs!$G$2:$G$3001,MATCH(G3766,Pubs!$A$2:$A$3001,0))&amp;"",""))</f>
        <v/>
      </c>
      <c r="K3766" s="28" t="str">
        <f aca="false">IF(OR(G3766="",G3766="?"),"",IFERROR(INDEX(Pubs!$E$2:$E$3001,MATCH(G3766,Pubs!$A$2:$A$3001,0)),""))</f>
        <v/>
      </c>
      <c r="L3766" s="29" t="str">
        <f aca="false">IF(A3766="","",IFERROR(1/(1/INDEX(Numéros!$C$2:$C$3001,MATCH(A3766&amp;"|"&amp;B3766,Numéros!$F$2:$F$3001,0))),""))</f>
        <v/>
      </c>
      <c r="M3766" s="27" t="str">
        <f aca="false">IF(OR(G3766="",G3766="?"),"",IFERROR(INDEX(Pubs!$D$2:$D$3001,MATCH(G3766,Pubs!$A$2:$A$3001,0))&amp;"",""))</f>
        <v/>
      </c>
      <c r="N3766" s="27" t="n">
        <f aca="false">N(N3765)+IF(AND(A3766&lt;&gt;"",OR(Recherche!$C$4="",A3766=Recherche!$C$4),OR(Recherche!$C$5="",B3766&amp;""=Recherche!$C$5&amp;""),OR(Recherche!$C$6="",IFERROR(YEAR(L3766),0)=Recherche!$C$6),OR(Recherche!$C$7="",ISNUMBER(SEARCH(Recherche!$C$7,H3766))),OR(Recherche!$C$8="",J3766=Recherche!$C$8),OR(Recherche!$C$9="",I3766=Recherche!$C$9),OR(Recherche!$C$10="",G3766&amp;""=Recherche!$C$10&amp;""),OR(Recherche!$C$11="",E3766=Recherche!$C$11),OR(Recherche!$C$12="",ISNUMBER(SEARCH(Recherche!$C$12,M3766&amp;" "&amp;F3766)))),1,0)</f>
        <v>8</v>
      </c>
    </row>
    <row r="3767" customFormat="false" ht="15" hidden="false" customHeight="false" outlineLevel="0" collapsed="false">
      <c r="A3767" s="19"/>
      <c r="B3767" s="19"/>
      <c r="C3767" s="19"/>
      <c r="D3767" s="19"/>
      <c r="E3767" s="22"/>
      <c r="F3767" s="19"/>
      <c r="G3767" s="26" t="str">
        <f aca="false">IF(D3767="","",IFERROR(VALUE(LEFT(D3767,FIND(" |",D3767&amp;" |")-1)),"?"))</f>
        <v/>
      </c>
      <c r="H3767" s="27" t="str">
        <f aca="false">IF(G3767="","",IF(G3767="?","⚠ pub inconnue",IFERROR(INDEX(Pubs!$B$2:$B$3001,MATCH(G3767,Pubs!$A$2:$A$3001,0))&amp;"","⚠ pub inconnue")))</f>
        <v/>
      </c>
      <c r="I3767" s="27" t="str">
        <f aca="false">IF(OR(G3767="",G3767="?"),"",IFERROR(INDEX(Pubs!$C$2:$C$3001,MATCH(G3767,Pubs!$A$2:$A$3001,0))&amp;"",""))</f>
        <v/>
      </c>
      <c r="J3767" s="27" t="str">
        <f aca="false">IF(OR(G3767="",G3767="?"),"",IFERROR(INDEX(Pubs!$G$2:$G$3001,MATCH(G3767,Pubs!$A$2:$A$3001,0))&amp;"",""))</f>
        <v/>
      </c>
      <c r="K3767" s="28" t="str">
        <f aca="false">IF(OR(G3767="",G3767="?"),"",IFERROR(INDEX(Pubs!$E$2:$E$3001,MATCH(G3767,Pubs!$A$2:$A$3001,0)),""))</f>
        <v/>
      </c>
      <c r="L3767" s="29" t="str">
        <f aca="false">IF(A3767="","",IFERROR(1/(1/INDEX(Numéros!$C$2:$C$3001,MATCH(A3767&amp;"|"&amp;B3767,Numéros!$F$2:$F$3001,0))),""))</f>
        <v/>
      </c>
      <c r="M3767" s="27" t="str">
        <f aca="false">IF(OR(G3767="",G3767="?"),"",IFERROR(INDEX(Pubs!$D$2:$D$3001,MATCH(G3767,Pubs!$A$2:$A$3001,0))&amp;"",""))</f>
        <v/>
      </c>
      <c r="N3767" s="27" t="n">
        <f aca="false">N(N3766)+IF(AND(A3767&lt;&gt;"",OR(Recherche!$C$4="",A3767=Recherche!$C$4),OR(Recherche!$C$5="",B3767&amp;""=Recherche!$C$5&amp;""),OR(Recherche!$C$6="",IFERROR(YEAR(L3767),0)=Recherche!$C$6),OR(Recherche!$C$7="",ISNUMBER(SEARCH(Recherche!$C$7,H3767))),OR(Recherche!$C$8="",J3767=Recherche!$C$8),OR(Recherche!$C$9="",I3767=Recherche!$C$9),OR(Recherche!$C$10="",G3767&amp;""=Recherche!$C$10&amp;""),OR(Recherche!$C$11="",E3767=Recherche!$C$11),OR(Recherche!$C$12="",ISNUMBER(SEARCH(Recherche!$C$12,M3767&amp;" "&amp;F3767)))),1,0)</f>
        <v>8</v>
      </c>
    </row>
    <row r="3768" customFormat="false" ht="15" hidden="false" customHeight="false" outlineLevel="0" collapsed="false">
      <c r="A3768" s="19"/>
      <c r="B3768" s="19"/>
      <c r="C3768" s="19"/>
      <c r="D3768" s="19"/>
      <c r="E3768" s="22"/>
      <c r="F3768" s="19"/>
      <c r="G3768" s="26" t="str">
        <f aca="false">IF(D3768="","",IFERROR(VALUE(LEFT(D3768,FIND(" |",D3768&amp;" |")-1)),"?"))</f>
        <v/>
      </c>
      <c r="H3768" s="27" t="str">
        <f aca="false">IF(G3768="","",IF(G3768="?","⚠ pub inconnue",IFERROR(INDEX(Pubs!$B$2:$B$3001,MATCH(G3768,Pubs!$A$2:$A$3001,0))&amp;"","⚠ pub inconnue")))</f>
        <v/>
      </c>
      <c r="I3768" s="27" t="str">
        <f aca="false">IF(OR(G3768="",G3768="?"),"",IFERROR(INDEX(Pubs!$C$2:$C$3001,MATCH(G3768,Pubs!$A$2:$A$3001,0))&amp;"",""))</f>
        <v/>
      </c>
      <c r="J3768" s="27" t="str">
        <f aca="false">IF(OR(G3768="",G3768="?"),"",IFERROR(INDEX(Pubs!$G$2:$G$3001,MATCH(G3768,Pubs!$A$2:$A$3001,0))&amp;"",""))</f>
        <v/>
      </c>
      <c r="K3768" s="28" t="str">
        <f aca="false">IF(OR(G3768="",G3768="?"),"",IFERROR(INDEX(Pubs!$E$2:$E$3001,MATCH(G3768,Pubs!$A$2:$A$3001,0)),""))</f>
        <v/>
      </c>
      <c r="L3768" s="29" t="str">
        <f aca="false">IF(A3768="","",IFERROR(1/(1/INDEX(Numéros!$C$2:$C$3001,MATCH(A3768&amp;"|"&amp;B3768,Numéros!$F$2:$F$3001,0))),""))</f>
        <v/>
      </c>
      <c r="M3768" s="27" t="str">
        <f aca="false">IF(OR(G3768="",G3768="?"),"",IFERROR(INDEX(Pubs!$D$2:$D$3001,MATCH(G3768,Pubs!$A$2:$A$3001,0))&amp;"",""))</f>
        <v/>
      </c>
      <c r="N3768" s="27" t="n">
        <f aca="false">N(N3767)+IF(AND(A3768&lt;&gt;"",OR(Recherche!$C$4="",A3768=Recherche!$C$4),OR(Recherche!$C$5="",B3768&amp;""=Recherche!$C$5&amp;""),OR(Recherche!$C$6="",IFERROR(YEAR(L3768),0)=Recherche!$C$6),OR(Recherche!$C$7="",ISNUMBER(SEARCH(Recherche!$C$7,H3768))),OR(Recherche!$C$8="",J3768=Recherche!$C$8),OR(Recherche!$C$9="",I3768=Recherche!$C$9),OR(Recherche!$C$10="",G3768&amp;""=Recherche!$C$10&amp;""),OR(Recherche!$C$11="",E3768=Recherche!$C$11),OR(Recherche!$C$12="",ISNUMBER(SEARCH(Recherche!$C$12,M3768&amp;" "&amp;F3768)))),1,0)</f>
        <v>8</v>
      </c>
    </row>
    <row r="3769" customFormat="false" ht="15" hidden="false" customHeight="false" outlineLevel="0" collapsed="false">
      <c r="A3769" s="19"/>
      <c r="B3769" s="19"/>
      <c r="C3769" s="19"/>
      <c r="D3769" s="19"/>
      <c r="E3769" s="22"/>
      <c r="F3769" s="19"/>
      <c r="G3769" s="26" t="str">
        <f aca="false">IF(D3769="","",IFERROR(VALUE(LEFT(D3769,FIND(" |",D3769&amp;" |")-1)),"?"))</f>
        <v/>
      </c>
      <c r="H3769" s="27" t="str">
        <f aca="false">IF(G3769="","",IF(G3769="?","⚠ pub inconnue",IFERROR(INDEX(Pubs!$B$2:$B$3001,MATCH(G3769,Pubs!$A$2:$A$3001,0))&amp;"","⚠ pub inconnue")))</f>
        <v/>
      </c>
      <c r="I3769" s="27" t="str">
        <f aca="false">IF(OR(G3769="",G3769="?"),"",IFERROR(INDEX(Pubs!$C$2:$C$3001,MATCH(G3769,Pubs!$A$2:$A$3001,0))&amp;"",""))</f>
        <v/>
      </c>
      <c r="J3769" s="27" t="str">
        <f aca="false">IF(OR(G3769="",G3769="?"),"",IFERROR(INDEX(Pubs!$G$2:$G$3001,MATCH(G3769,Pubs!$A$2:$A$3001,0))&amp;"",""))</f>
        <v/>
      </c>
      <c r="K3769" s="28" t="str">
        <f aca="false">IF(OR(G3769="",G3769="?"),"",IFERROR(INDEX(Pubs!$E$2:$E$3001,MATCH(G3769,Pubs!$A$2:$A$3001,0)),""))</f>
        <v/>
      </c>
      <c r="L3769" s="29" t="str">
        <f aca="false">IF(A3769="","",IFERROR(1/(1/INDEX(Numéros!$C$2:$C$3001,MATCH(A3769&amp;"|"&amp;B3769,Numéros!$F$2:$F$3001,0))),""))</f>
        <v/>
      </c>
      <c r="M3769" s="27" t="str">
        <f aca="false">IF(OR(G3769="",G3769="?"),"",IFERROR(INDEX(Pubs!$D$2:$D$3001,MATCH(G3769,Pubs!$A$2:$A$3001,0))&amp;"",""))</f>
        <v/>
      </c>
      <c r="N3769" s="27" t="n">
        <f aca="false">N(N3768)+IF(AND(A3769&lt;&gt;"",OR(Recherche!$C$4="",A3769=Recherche!$C$4),OR(Recherche!$C$5="",B3769&amp;""=Recherche!$C$5&amp;""),OR(Recherche!$C$6="",IFERROR(YEAR(L3769),0)=Recherche!$C$6),OR(Recherche!$C$7="",ISNUMBER(SEARCH(Recherche!$C$7,H3769))),OR(Recherche!$C$8="",J3769=Recherche!$C$8),OR(Recherche!$C$9="",I3769=Recherche!$C$9),OR(Recherche!$C$10="",G3769&amp;""=Recherche!$C$10&amp;""),OR(Recherche!$C$11="",E3769=Recherche!$C$11),OR(Recherche!$C$12="",ISNUMBER(SEARCH(Recherche!$C$12,M3769&amp;" "&amp;F3769)))),1,0)</f>
        <v>8</v>
      </c>
    </row>
    <row r="3770" customFormat="false" ht="15" hidden="false" customHeight="false" outlineLevel="0" collapsed="false">
      <c r="A3770" s="19"/>
      <c r="B3770" s="19"/>
      <c r="C3770" s="19"/>
      <c r="D3770" s="19"/>
      <c r="E3770" s="22"/>
      <c r="F3770" s="19"/>
      <c r="G3770" s="26" t="str">
        <f aca="false">IF(D3770="","",IFERROR(VALUE(LEFT(D3770,FIND(" |",D3770&amp;" |")-1)),"?"))</f>
        <v/>
      </c>
      <c r="H3770" s="27" t="str">
        <f aca="false">IF(G3770="","",IF(G3770="?","⚠ pub inconnue",IFERROR(INDEX(Pubs!$B$2:$B$3001,MATCH(G3770,Pubs!$A$2:$A$3001,0))&amp;"","⚠ pub inconnue")))</f>
        <v/>
      </c>
      <c r="I3770" s="27" t="str">
        <f aca="false">IF(OR(G3770="",G3770="?"),"",IFERROR(INDEX(Pubs!$C$2:$C$3001,MATCH(G3770,Pubs!$A$2:$A$3001,0))&amp;"",""))</f>
        <v/>
      </c>
      <c r="J3770" s="27" t="str">
        <f aca="false">IF(OR(G3770="",G3770="?"),"",IFERROR(INDEX(Pubs!$G$2:$G$3001,MATCH(G3770,Pubs!$A$2:$A$3001,0))&amp;"",""))</f>
        <v/>
      </c>
      <c r="K3770" s="28" t="str">
        <f aca="false">IF(OR(G3770="",G3770="?"),"",IFERROR(INDEX(Pubs!$E$2:$E$3001,MATCH(G3770,Pubs!$A$2:$A$3001,0)),""))</f>
        <v/>
      </c>
      <c r="L3770" s="29" t="str">
        <f aca="false">IF(A3770="","",IFERROR(1/(1/INDEX(Numéros!$C$2:$C$3001,MATCH(A3770&amp;"|"&amp;B3770,Numéros!$F$2:$F$3001,0))),""))</f>
        <v/>
      </c>
      <c r="M3770" s="27" t="str">
        <f aca="false">IF(OR(G3770="",G3770="?"),"",IFERROR(INDEX(Pubs!$D$2:$D$3001,MATCH(G3770,Pubs!$A$2:$A$3001,0))&amp;"",""))</f>
        <v/>
      </c>
      <c r="N3770" s="27" t="n">
        <f aca="false">N(N3769)+IF(AND(A3770&lt;&gt;"",OR(Recherche!$C$4="",A3770=Recherche!$C$4),OR(Recherche!$C$5="",B3770&amp;""=Recherche!$C$5&amp;""),OR(Recherche!$C$6="",IFERROR(YEAR(L3770),0)=Recherche!$C$6),OR(Recherche!$C$7="",ISNUMBER(SEARCH(Recherche!$C$7,H3770))),OR(Recherche!$C$8="",J3770=Recherche!$C$8),OR(Recherche!$C$9="",I3770=Recherche!$C$9),OR(Recherche!$C$10="",G3770&amp;""=Recherche!$C$10&amp;""),OR(Recherche!$C$11="",E3770=Recherche!$C$11),OR(Recherche!$C$12="",ISNUMBER(SEARCH(Recherche!$C$12,M3770&amp;" "&amp;F3770)))),1,0)</f>
        <v>8</v>
      </c>
    </row>
    <row r="3771" customFormat="false" ht="15" hidden="false" customHeight="false" outlineLevel="0" collapsed="false">
      <c r="A3771" s="19"/>
      <c r="B3771" s="19"/>
      <c r="C3771" s="19"/>
      <c r="D3771" s="19"/>
      <c r="E3771" s="22"/>
      <c r="F3771" s="19"/>
      <c r="G3771" s="26" t="str">
        <f aca="false">IF(D3771="","",IFERROR(VALUE(LEFT(D3771,FIND(" |",D3771&amp;" |")-1)),"?"))</f>
        <v/>
      </c>
      <c r="H3771" s="27" t="str">
        <f aca="false">IF(G3771="","",IF(G3771="?","⚠ pub inconnue",IFERROR(INDEX(Pubs!$B$2:$B$3001,MATCH(G3771,Pubs!$A$2:$A$3001,0))&amp;"","⚠ pub inconnue")))</f>
        <v/>
      </c>
      <c r="I3771" s="27" t="str">
        <f aca="false">IF(OR(G3771="",G3771="?"),"",IFERROR(INDEX(Pubs!$C$2:$C$3001,MATCH(G3771,Pubs!$A$2:$A$3001,0))&amp;"",""))</f>
        <v/>
      </c>
      <c r="J3771" s="27" t="str">
        <f aca="false">IF(OR(G3771="",G3771="?"),"",IFERROR(INDEX(Pubs!$G$2:$G$3001,MATCH(G3771,Pubs!$A$2:$A$3001,0))&amp;"",""))</f>
        <v/>
      </c>
      <c r="K3771" s="28" t="str">
        <f aca="false">IF(OR(G3771="",G3771="?"),"",IFERROR(INDEX(Pubs!$E$2:$E$3001,MATCH(G3771,Pubs!$A$2:$A$3001,0)),""))</f>
        <v/>
      </c>
      <c r="L3771" s="29" t="str">
        <f aca="false">IF(A3771="","",IFERROR(1/(1/INDEX(Numéros!$C$2:$C$3001,MATCH(A3771&amp;"|"&amp;B3771,Numéros!$F$2:$F$3001,0))),""))</f>
        <v/>
      </c>
      <c r="M3771" s="27" t="str">
        <f aca="false">IF(OR(G3771="",G3771="?"),"",IFERROR(INDEX(Pubs!$D$2:$D$3001,MATCH(G3771,Pubs!$A$2:$A$3001,0))&amp;"",""))</f>
        <v/>
      </c>
      <c r="N3771" s="27" t="n">
        <f aca="false">N(N3770)+IF(AND(A3771&lt;&gt;"",OR(Recherche!$C$4="",A3771=Recherche!$C$4),OR(Recherche!$C$5="",B3771&amp;""=Recherche!$C$5&amp;""),OR(Recherche!$C$6="",IFERROR(YEAR(L3771),0)=Recherche!$C$6),OR(Recherche!$C$7="",ISNUMBER(SEARCH(Recherche!$C$7,H3771))),OR(Recherche!$C$8="",J3771=Recherche!$C$8),OR(Recherche!$C$9="",I3771=Recherche!$C$9),OR(Recherche!$C$10="",G3771&amp;""=Recherche!$C$10&amp;""),OR(Recherche!$C$11="",E3771=Recherche!$C$11),OR(Recherche!$C$12="",ISNUMBER(SEARCH(Recherche!$C$12,M3771&amp;" "&amp;F3771)))),1,0)</f>
        <v>8</v>
      </c>
    </row>
    <row r="3772" customFormat="false" ht="15" hidden="false" customHeight="false" outlineLevel="0" collapsed="false">
      <c r="A3772" s="19"/>
      <c r="B3772" s="19"/>
      <c r="C3772" s="19"/>
      <c r="D3772" s="19"/>
      <c r="E3772" s="22"/>
      <c r="F3772" s="19"/>
      <c r="G3772" s="26" t="str">
        <f aca="false">IF(D3772="","",IFERROR(VALUE(LEFT(D3772,FIND(" |",D3772&amp;" |")-1)),"?"))</f>
        <v/>
      </c>
      <c r="H3772" s="27" t="str">
        <f aca="false">IF(G3772="","",IF(G3772="?","⚠ pub inconnue",IFERROR(INDEX(Pubs!$B$2:$B$3001,MATCH(G3772,Pubs!$A$2:$A$3001,0))&amp;"","⚠ pub inconnue")))</f>
        <v/>
      </c>
      <c r="I3772" s="27" t="str">
        <f aca="false">IF(OR(G3772="",G3772="?"),"",IFERROR(INDEX(Pubs!$C$2:$C$3001,MATCH(G3772,Pubs!$A$2:$A$3001,0))&amp;"",""))</f>
        <v/>
      </c>
      <c r="J3772" s="27" t="str">
        <f aca="false">IF(OR(G3772="",G3772="?"),"",IFERROR(INDEX(Pubs!$G$2:$G$3001,MATCH(G3772,Pubs!$A$2:$A$3001,0))&amp;"",""))</f>
        <v/>
      </c>
      <c r="K3772" s="28" t="str">
        <f aca="false">IF(OR(G3772="",G3772="?"),"",IFERROR(INDEX(Pubs!$E$2:$E$3001,MATCH(G3772,Pubs!$A$2:$A$3001,0)),""))</f>
        <v/>
      </c>
      <c r="L3772" s="29" t="str">
        <f aca="false">IF(A3772="","",IFERROR(1/(1/INDEX(Numéros!$C$2:$C$3001,MATCH(A3772&amp;"|"&amp;B3772,Numéros!$F$2:$F$3001,0))),""))</f>
        <v/>
      </c>
      <c r="M3772" s="27" t="str">
        <f aca="false">IF(OR(G3772="",G3772="?"),"",IFERROR(INDEX(Pubs!$D$2:$D$3001,MATCH(G3772,Pubs!$A$2:$A$3001,0))&amp;"",""))</f>
        <v/>
      </c>
      <c r="N3772" s="27" t="n">
        <f aca="false">N(N3771)+IF(AND(A3772&lt;&gt;"",OR(Recherche!$C$4="",A3772=Recherche!$C$4),OR(Recherche!$C$5="",B3772&amp;""=Recherche!$C$5&amp;""),OR(Recherche!$C$6="",IFERROR(YEAR(L3772),0)=Recherche!$C$6),OR(Recherche!$C$7="",ISNUMBER(SEARCH(Recherche!$C$7,H3772))),OR(Recherche!$C$8="",J3772=Recherche!$C$8),OR(Recherche!$C$9="",I3772=Recherche!$C$9),OR(Recherche!$C$10="",G3772&amp;""=Recherche!$C$10&amp;""),OR(Recherche!$C$11="",E3772=Recherche!$C$11),OR(Recherche!$C$12="",ISNUMBER(SEARCH(Recherche!$C$12,M3772&amp;" "&amp;F3772)))),1,0)</f>
        <v>8</v>
      </c>
    </row>
    <row r="3773" customFormat="false" ht="15" hidden="false" customHeight="false" outlineLevel="0" collapsed="false">
      <c r="A3773" s="19"/>
      <c r="B3773" s="19"/>
      <c r="C3773" s="19"/>
      <c r="D3773" s="19"/>
      <c r="E3773" s="22"/>
      <c r="F3773" s="19"/>
      <c r="G3773" s="26" t="str">
        <f aca="false">IF(D3773="","",IFERROR(VALUE(LEFT(D3773,FIND(" |",D3773&amp;" |")-1)),"?"))</f>
        <v/>
      </c>
      <c r="H3773" s="27" t="str">
        <f aca="false">IF(G3773="","",IF(G3773="?","⚠ pub inconnue",IFERROR(INDEX(Pubs!$B$2:$B$3001,MATCH(G3773,Pubs!$A$2:$A$3001,0))&amp;"","⚠ pub inconnue")))</f>
        <v/>
      </c>
      <c r="I3773" s="27" t="str">
        <f aca="false">IF(OR(G3773="",G3773="?"),"",IFERROR(INDEX(Pubs!$C$2:$C$3001,MATCH(G3773,Pubs!$A$2:$A$3001,0))&amp;"",""))</f>
        <v/>
      </c>
      <c r="J3773" s="27" t="str">
        <f aca="false">IF(OR(G3773="",G3773="?"),"",IFERROR(INDEX(Pubs!$G$2:$G$3001,MATCH(G3773,Pubs!$A$2:$A$3001,0))&amp;"",""))</f>
        <v/>
      </c>
      <c r="K3773" s="28" t="str">
        <f aca="false">IF(OR(G3773="",G3773="?"),"",IFERROR(INDEX(Pubs!$E$2:$E$3001,MATCH(G3773,Pubs!$A$2:$A$3001,0)),""))</f>
        <v/>
      </c>
      <c r="L3773" s="29" t="str">
        <f aca="false">IF(A3773="","",IFERROR(1/(1/INDEX(Numéros!$C$2:$C$3001,MATCH(A3773&amp;"|"&amp;B3773,Numéros!$F$2:$F$3001,0))),""))</f>
        <v/>
      </c>
      <c r="M3773" s="27" t="str">
        <f aca="false">IF(OR(G3773="",G3773="?"),"",IFERROR(INDEX(Pubs!$D$2:$D$3001,MATCH(G3773,Pubs!$A$2:$A$3001,0))&amp;"",""))</f>
        <v/>
      </c>
      <c r="N3773" s="27" t="n">
        <f aca="false">N(N3772)+IF(AND(A3773&lt;&gt;"",OR(Recherche!$C$4="",A3773=Recherche!$C$4),OR(Recherche!$C$5="",B3773&amp;""=Recherche!$C$5&amp;""),OR(Recherche!$C$6="",IFERROR(YEAR(L3773),0)=Recherche!$C$6),OR(Recherche!$C$7="",ISNUMBER(SEARCH(Recherche!$C$7,H3773))),OR(Recherche!$C$8="",J3773=Recherche!$C$8),OR(Recherche!$C$9="",I3773=Recherche!$C$9),OR(Recherche!$C$10="",G3773&amp;""=Recherche!$C$10&amp;""),OR(Recherche!$C$11="",E3773=Recherche!$C$11),OR(Recherche!$C$12="",ISNUMBER(SEARCH(Recherche!$C$12,M3773&amp;" "&amp;F3773)))),1,0)</f>
        <v>8</v>
      </c>
    </row>
    <row r="3774" customFormat="false" ht="15" hidden="false" customHeight="false" outlineLevel="0" collapsed="false">
      <c r="A3774" s="19"/>
      <c r="B3774" s="19"/>
      <c r="C3774" s="19"/>
      <c r="D3774" s="19"/>
      <c r="E3774" s="22"/>
      <c r="F3774" s="19"/>
      <c r="G3774" s="26" t="str">
        <f aca="false">IF(D3774="","",IFERROR(VALUE(LEFT(D3774,FIND(" |",D3774&amp;" |")-1)),"?"))</f>
        <v/>
      </c>
      <c r="H3774" s="27" t="str">
        <f aca="false">IF(G3774="","",IF(G3774="?","⚠ pub inconnue",IFERROR(INDEX(Pubs!$B$2:$B$3001,MATCH(G3774,Pubs!$A$2:$A$3001,0))&amp;"","⚠ pub inconnue")))</f>
        <v/>
      </c>
      <c r="I3774" s="27" t="str">
        <f aca="false">IF(OR(G3774="",G3774="?"),"",IFERROR(INDEX(Pubs!$C$2:$C$3001,MATCH(G3774,Pubs!$A$2:$A$3001,0))&amp;"",""))</f>
        <v/>
      </c>
      <c r="J3774" s="27" t="str">
        <f aca="false">IF(OR(G3774="",G3774="?"),"",IFERROR(INDEX(Pubs!$G$2:$G$3001,MATCH(G3774,Pubs!$A$2:$A$3001,0))&amp;"",""))</f>
        <v/>
      </c>
      <c r="K3774" s="28" t="str">
        <f aca="false">IF(OR(G3774="",G3774="?"),"",IFERROR(INDEX(Pubs!$E$2:$E$3001,MATCH(G3774,Pubs!$A$2:$A$3001,0)),""))</f>
        <v/>
      </c>
      <c r="L3774" s="29" t="str">
        <f aca="false">IF(A3774="","",IFERROR(1/(1/INDEX(Numéros!$C$2:$C$3001,MATCH(A3774&amp;"|"&amp;B3774,Numéros!$F$2:$F$3001,0))),""))</f>
        <v/>
      </c>
      <c r="M3774" s="27" t="str">
        <f aca="false">IF(OR(G3774="",G3774="?"),"",IFERROR(INDEX(Pubs!$D$2:$D$3001,MATCH(G3774,Pubs!$A$2:$A$3001,0))&amp;"",""))</f>
        <v/>
      </c>
      <c r="N3774" s="27" t="n">
        <f aca="false">N(N3773)+IF(AND(A3774&lt;&gt;"",OR(Recherche!$C$4="",A3774=Recherche!$C$4),OR(Recherche!$C$5="",B3774&amp;""=Recherche!$C$5&amp;""),OR(Recherche!$C$6="",IFERROR(YEAR(L3774),0)=Recherche!$C$6),OR(Recherche!$C$7="",ISNUMBER(SEARCH(Recherche!$C$7,H3774))),OR(Recherche!$C$8="",J3774=Recherche!$C$8),OR(Recherche!$C$9="",I3774=Recherche!$C$9),OR(Recherche!$C$10="",G3774&amp;""=Recherche!$C$10&amp;""),OR(Recherche!$C$11="",E3774=Recherche!$C$11),OR(Recherche!$C$12="",ISNUMBER(SEARCH(Recherche!$C$12,M3774&amp;" "&amp;F3774)))),1,0)</f>
        <v>8</v>
      </c>
    </row>
    <row r="3775" customFormat="false" ht="15" hidden="false" customHeight="false" outlineLevel="0" collapsed="false">
      <c r="A3775" s="19"/>
      <c r="B3775" s="19"/>
      <c r="C3775" s="19"/>
      <c r="D3775" s="19"/>
      <c r="E3775" s="22"/>
      <c r="F3775" s="19"/>
      <c r="G3775" s="26" t="str">
        <f aca="false">IF(D3775="","",IFERROR(VALUE(LEFT(D3775,FIND(" |",D3775&amp;" |")-1)),"?"))</f>
        <v/>
      </c>
      <c r="H3775" s="27" t="str">
        <f aca="false">IF(G3775="","",IF(G3775="?","⚠ pub inconnue",IFERROR(INDEX(Pubs!$B$2:$B$3001,MATCH(G3775,Pubs!$A$2:$A$3001,0))&amp;"","⚠ pub inconnue")))</f>
        <v/>
      </c>
      <c r="I3775" s="27" t="str">
        <f aca="false">IF(OR(G3775="",G3775="?"),"",IFERROR(INDEX(Pubs!$C$2:$C$3001,MATCH(G3775,Pubs!$A$2:$A$3001,0))&amp;"",""))</f>
        <v/>
      </c>
      <c r="J3775" s="27" t="str">
        <f aca="false">IF(OR(G3775="",G3775="?"),"",IFERROR(INDEX(Pubs!$G$2:$G$3001,MATCH(G3775,Pubs!$A$2:$A$3001,0))&amp;"",""))</f>
        <v/>
      </c>
      <c r="K3775" s="28" t="str">
        <f aca="false">IF(OR(G3775="",G3775="?"),"",IFERROR(INDEX(Pubs!$E$2:$E$3001,MATCH(G3775,Pubs!$A$2:$A$3001,0)),""))</f>
        <v/>
      </c>
      <c r="L3775" s="29" t="str">
        <f aca="false">IF(A3775="","",IFERROR(1/(1/INDEX(Numéros!$C$2:$C$3001,MATCH(A3775&amp;"|"&amp;B3775,Numéros!$F$2:$F$3001,0))),""))</f>
        <v/>
      </c>
      <c r="M3775" s="27" t="str">
        <f aca="false">IF(OR(G3775="",G3775="?"),"",IFERROR(INDEX(Pubs!$D$2:$D$3001,MATCH(G3775,Pubs!$A$2:$A$3001,0))&amp;"",""))</f>
        <v/>
      </c>
      <c r="N3775" s="27" t="n">
        <f aca="false">N(N3774)+IF(AND(A3775&lt;&gt;"",OR(Recherche!$C$4="",A3775=Recherche!$C$4),OR(Recherche!$C$5="",B3775&amp;""=Recherche!$C$5&amp;""),OR(Recherche!$C$6="",IFERROR(YEAR(L3775),0)=Recherche!$C$6),OR(Recherche!$C$7="",ISNUMBER(SEARCH(Recherche!$C$7,H3775))),OR(Recherche!$C$8="",J3775=Recherche!$C$8),OR(Recherche!$C$9="",I3775=Recherche!$C$9),OR(Recherche!$C$10="",G3775&amp;""=Recherche!$C$10&amp;""),OR(Recherche!$C$11="",E3775=Recherche!$C$11),OR(Recherche!$C$12="",ISNUMBER(SEARCH(Recherche!$C$12,M3775&amp;" "&amp;F3775)))),1,0)</f>
        <v>8</v>
      </c>
    </row>
    <row r="3776" customFormat="false" ht="15" hidden="false" customHeight="false" outlineLevel="0" collapsed="false">
      <c r="A3776" s="19"/>
      <c r="B3776" s="19"/>
      <c r="C3776" s="19"/>
      <c r="D3776" s="19"/>
      <c r="E3776" s="22"/>
      <c r="F3776" s="19"/>
      <c r="G3776" s="26" t="str">
        <f aca="false">IF(D3776="","",IFERROR(VALUE(LEFT(D3776,FIND(" |",D3776&amp;" |")-1)),"?"))</f>
        <v/>
      </c>
      <c r="H3776" s="27" t="str">
        <f aca="false">IF(G3776="","",IF(G3776="?","⚠ pub inconnue",IFERROR(INDEX(Pubs!$B$2:$B$3001,MATCH(G3776,Pubs!$A$2:$A$3001,0))&amp;"","⚠ pub inconnue")))</f>
        <v/>
      </c>
      <c r="I3776" s="27" t="str">
        <f aca="false">IF(OR(G3776="",G3776="?"),"",IFERROR(INDEX(Pubs!$C$2:$C$3001,MATCH(G3776,Pubs!$A$2:$A$3001,0))&amp;"",""))</f>
        <v/>
      </c>
      <c r="J3776" s="27" t="str">
        <f aca="false">IF(OR(G3776="",G3776="?"),"",IFERROR(INDEX(Pubs!$G$2:$G$3001,MATCH(G3776,Pubs!$A$2:$A$3001,0))&amp;"",""))</f>
        <v/>
      </c>
      <c r="K3776" s="28" t="str">
        <f aca="false">IF(OR(G3776="",G3776="?"),"",IFERROR(INDEX(Pubs!$E$2:$E$3001,MATCH(G3776,Pubs!$A$2:$A$3001,0)),""))</f>
        <v/>
      </c>
      <c r="L3776" s="29" t="str">
        <f aca="false">IF(A3776="","",IFERROR(1/(1/INDEX(Numéros!$C$2:$C$3001,MATCH(A3776&amp;"|"&amp;B3776,Numéros!$F$2:$F$3001,0))),""))</f>
        <v/>
      </c>
      <c r="M3776" s="27" t="str">
        <f aca="false">IF(OR(G3776="",G3776="?"),"",IFERROR(INDEX(Pubs!$D$2:$D$3001,MATCH(G3776,Pubs!$A$2:$A$3001,0))&amp;"",""))</f>
        <v/>
      </c>
      <c r="N3776" s="27" t="n">
        <f aca="false">N(N3775)+IF(AND(A3776&lt;&gt;"",OR(Recherche!$C$4="",A3776=Recherche!$C$4),OR(Recherche!$C$5="",B3776&amp;""=Recherche!$C$5&amp;""),OR(Recherche!$C$6="",IFERROR(YEAR(L3776),0)=Recherche!$C$6),OR(Recherche!$C$7="",ISNUMBER(SEARCH(Recherche!$C$7,H3776))),OR(Recherche!$C$8="",J3776=Recherche!$C$8),OR(Recherche!$C$9="",I3776=Recherche!$C$9),OR(Recherche!$C$10="",G3776&amp;""=Recherche!$C$10&amp;""),OR(Recherche!$C$11="",E3776=Recherche!$C$11),OR(Recherche!$C$12="",ISNUMBER(SEARCH(Recherche!$C$12,M3776&amp;" "&amp;F3776)))),1,0)</f>
        <v>8</v>
      </c>
    </row>
    <row r="3777" customFormat="false" ht="15" hidden="false" customHeight="false" outlineLevel="0" collapsed="false">
      <c r="A3777" s="19"/>
      <c r="B3777" s="19"/>
      <c r="C3777" s="19"/>
      <c r="D3777" s="19"/>
      <c r="E3777" s="22"/>
      <c r="F3777" s="19"/>
      <c r="G3777" s="26" t="str">
        <f aca="false">IF(D3777="","",IFERROR(VALUE(LEFT(D3777,FIND(" |",D3777&amp;" |")-1)),"?"))</f>
        <v/>
      </c>
      <c r="H3777" s="27" t="str">
        <f aca="false">IF(G3777="","",IF(G3777="?","⚠ pub inconnue",IFERROR(INDEX(Pubs!$B$2:$B$3001,MATCH(G3777,Pubs!$A$2:$A$3001,0))&amp;"","⚠ pub inconnue")))</f>
        <v/>
      </c>
      <c r="I3777" s="27" t="str">
        <f aca="false">IF(OR(G3777="",G3777="?"),"",IFERROR(INDEX(Pubs!$C$2:$C$3001,MATCH(G3777,Pubs!$A$2:$A$3001,0))&amp;"",""))</f>
        <v/>
      </c>
      <c r="J3777" s="27" t="str">
        <f aca="false">IF(OR(G3777="",G3777="?"),"",IFERROR(INDEX(Pubs!$G$2:$G$3001,MATCH(G3777,Pubs!$A$2:$A$3001,0))&amp;"",""))</f>
        <v/>
      </c>
      <c r="K3777" s="28" t="str">
        <f aca="false">IF(OR(G3777="",G3777="?"),"",IFERROR(INDEX(Pubs!$E$2:$E$3001,MATCH(G3777,Pubs!$A$2:$A$3001,0)),""))</f>
        <v/>
      </c>
      <c r="L3777" s="29" t="str">
        <f aca="false">IF(A3777="","",IFERROR(1/(1/INDEX(Numéros!$C$2:$C$3001,MATCH(A3777&amp;"|"&amp;B3777,Numéros!$F$2:$F$3001,0))),""))</f>
        <v/>
      </c>
      <c r="M3777" s="27" t="str">
        <f aca="false">IF(OR(G3777="",G3777="?"),"",IFERROR(INDEX(Pubs!$D$2:$D$3001,MATCH(G3777,Pubs!$A$2:$A$3001,0))&amp;"",""))</f>
        <v/>
      </c>
      <c r="N3777" s="27" t="n">
        <f aca="false">N(N3776)+IF(AND(A3777&lt;&gt;"",OR(Recherche!$C$4="",A3777=Recherche!$C$4),OR(Recherche!$C$5="",B3777&amp;""=Recherche!$C$5&amp;""),OR(Recherche!$C$6="",IFERROR(YEAR(L3777),0)=Recherche!$C$6),OR(Recherche!$C$7="",ISNUMBER(SEARCH(Recherche!$C$7,H3777))),OR(Recherche!$C$8="",J3777=Recherche!$C$8),OR(Recherche!$C$9="",I3777=Recherche!$C$9),OR(Recherche!$C$10="",G3777&amp;""=Recherche!$C$10&amp;""),OR(Recherche!$C$11="",E3777=Recherche!$C$11),OR(Recherche!$C$12="",ISNUMBER(SEARCH(Recherche!$C$12,M3777&amp;" "&amp;F3777)))),1,0)</f>
        <v>8</v>
      </c>
    </row>
    <row r="3778" customFormat="false" ht="15" hidden="false" customHeight="false" outlineLevel="0" collapsed="false">
      <c r="A3778" s="19"/>
      <c r="B3778" s="19"/>
      <c r="C3778" s="19"/>
      <c r="D3778" s="19"/>
      <c r="E3778" s="22"/>
      <c r="F3778" s="19"/>
      <c r="G3778" s="26" t="str">
        <f aca="false">IF(D3778="","",IFERROR(VALUE(LEFT(D3778,FIND(" |",D3778&amp;" |")-1)),"?"))</f>
        <v/>
      </c>
      <c r="H3778" s="27" t="str">
        <f aca="false">IF(G3778="","",IF(G3778="?","⚠ pub inconnue",IFERROR(INDEX(Pubs!$B$2:$B$3001,MATCH(G3778,Pubs!$A$2:$A$3001,0))&amp;"","⚠ pub inconnue")))</f>
        <v/>
      </c>
      <c r="I3778" s="27" t="str">
        <f aca="false">IF(OR(G3778="",G3778="?"),"",IFERROR(INDEX(Pubs!$C$2:$C$3001,MATCH(G3778,Pubs!$A$2:$A$3001,0))&amp;"",""))</f>
        <v/>
      </c>
      <c r="J3778" s="27" t="str">
        <f aca="false">IF(OR(G3778="",G3778="?"),"",IFERROR(INDEX(Pubs!$G$2:$G$3001,MATCH(G3778,Pubs!$A$2:$A$3001,0))&amp;"",""))</f>
        <v/>
      </c>
      <c r="K3778" s="28" t="str">
        <f aca="false">IF(OR(G3778="",G3778="?"),"",IFERROR(INDEX(Pubs!$E$2:$E$3001,MATCH(G3778,Pubs!$A$2:$A$3001,0)),""))</f>
        <v/>
      </c>
      <c r="L3778" s="29" t="str">
        <f aca="false">IF(A3778="","",IFERROR(1/(1/INDEX(Numéros!$C$2:$C$3001,MATCH(A3778&amp;"|"&amp;B3778,Numéros!$F$2:$F$3001,0))),""))</f>
        <v/>
      </c>
      <c r="M3778" s="27" t="str">
        <f aca="false">IF(OR(G3778="",G3778="?"),"",IFERROR(INDEX(Pubs!$D$2:$D$3001,MATCH(G3778,Pubs!$A$2:$A$3001,0))&amp;"",""))</f>
        <v/>
      </c>
      <c r="N3778" s="27" t="n">
        <f aca="false">N(N3777)+IF(AND(A3778&lt;&gt;"",OR(Recherche!$C$4="",A3778=Recherche!$C$4),OR(Recherche!$C$5="",B3778&amp;""=Recherche!$C$5&amp;""),OR(Recherche!$C$6="",IFERROR(YEAR(L3778),0)=Recherche!$C$6),OR(Recherche!$C$7="",ISNUMBER(SEARCH(Recherche!$C$7,H3778))),OR(Recherche!$C$8="",J3778=Recherche!$C$8),OR(Recherche!$C$9="",I3778=Recherche!$C$9),OR(Recherche!$C$10="",G3778&amp;""=Recherche!$C$10&amp;""),OR(Recherche!$C$11="",E3778=Recherche!$C$11),OR(Recherche!$C$12="",ISNUMBER(SEARCH(Recherche!$C$12,M3778&amp;" "&amp;F3778)))),1,0)</f>
        <v>8</v>
      </c>
    </row>
    <row r="3779" customFormat="false" ht="15" hidden="false" customHeight="false" outlineLevel="0" collapsed="false">
      <c r="A3779" s="19"/>
      <c r="B3779" s="19"/>
      <c r="C3779" s="19"/>
      <c r="D3779" s="19"/>
      <c r="E3779" s="22"/>
      <c r="F3779" s="19"/>
      <c r="G3779" s="26" t="str">
        <f aca="false">IF(D3779="","",IFERROR(VALUE(LEFT(D3779,FIND(" |",D3779&amp;" |")-1)),"?"))</f>
        <v/>
      </c>
      <c r="H3779" s="27" t="str">
        <f aca="false">IF(G3779="","",IF(G3779="?","⚠ pub inconnue",IFERROR(INDEX(Pubs!$B$2:$B$3001,MATCH(G3779,Pubs!$A$2:$A$3001,0))&amp;"","⚠ pub inconnue")))</f>
        <v/>
      </c>
      <c r="I3779" s="27" t="str">
        <f aca="false">IF(OR(G3779="",G3779="?"),"",IFERROR(INDEX(Pubs!$C$2:$C$3001,MATCH(G3779,Pubs!$A$2:$A$3001,0))&amp;"",""))</f>
        <v/>
      </c>
      <c r="J3779" s="27" t="str">
        <f aca="false">IF(OR(G3779="",G3779="?"),"",IFERROR(INDEX(Pubs!$G$2:$G$3001,MATCH(G3779,Pubs!$A$2:$A$3001,0))&amp;"",""))</f>
        <v/>
      </c>
      <c r="K3779" s="28" t="str">
        <f aca="false">IF(OR(G3779="",G3779="?"),"",IFERROR(INDEX(Pubs!$E$2:$E$3001,MATCH(G3779,Pubs!$A$2:$A$3001,0)),""))</f>
        <v/>
      </c>
      <c r="L3779" s="29" t="str">
        <f aca="false">IF(A3779="","",IFERROR(1/(1/INDEX(Numéros!$C$2:$C$3001,MATCH(A3779&amp;"|"&amp;B3779,Numéros!$F$2:$F$3001,0))),""))</f>
        <v/>
      </c>
      <c r="M3779" s="27" t="str">
        <f aca="false">IF(OR(G3779="",G3779="?"),"",IFERROR(INDEX(Pubs!$D$2:$D$3001,MATCH(G3779,Pubs!$A$2:$A$3001,0))&amp;"",""))</f>
        <v/>
      </c>
      <c r="N3779" s="27" t="n">
        <f aca="false">N(N3778)+IF(AND(A3779&lt;&gt;"",OR(Recherche!$C$4="",A3779=Recherche!$C$4),OR(Recherche!$C$5="",B3779&amp;""=Recherche!$C$5&amp;""),OR(Recherche!$C$6="",IFERROR(YEAR(L3779),0)=Recherche!$C$6),OR(Recherche!$C$7="",ISNUMBER(SEARCH(Recherche!$C$7,H3779))),OR(Recherche!$C$8="",J3779=Recherche!$C$8),OR(Recherche!$C$9="",I3779=Recherche!$C$9),OR(Recherche!$C$10="",G3779&amp;""=Recherche!$C$10&amp;""),OR(Recherche!$C$11="",E3779=Recherche!$C$11),OR(Recherche!$C$12="",ISNUMBER(SEARCH(Recherche!$C$12,M3779&amp;" "&amp;F3779)))),1,0)</f>
        <v>8</v>
      </c>
    </row>
    <row r="3780" customFormat="false" ht="15" hidden="false" customHeight="false" outlineLevel="0" collapsed="false">
      <c r="A3780" s="19"/>
      <c r="B3780" s="19"/>
      <c r="C3780" s="19"/>
      <c r="D3780" s="19"/>
      <c r="E3780" s="22"/>
      <c r="F3780" s="19"/>
      <c r="G3780" s="26" t="str">
        <f aca="false">IF(D3780="","",IFERROR(VALUE(LEFT(D3780,FIND(" |",D3780&amp;" |")-1)),"?"))</f>
        <v/>
      </c>
      <c r="H3780" s="27" t="str">
        <f aca="false">IF(G3780="","",IF(G3780="?","⚠ pub inconnue",IFERROR(INDEX(Pubs!$B$2:$B$3001,MATCH(G3780,Pubs!$A$2:$A$3001,0))&amp;"","⚠ pub inconnue")))</f>
        <v/>
      </c>
      <c r="I3780" s="27" t="str">
        <f aca="false">IF(OR(G3780="",G3780="?"),"",IFERROR(INDEX(Pubs!$C$2:$C$3001,MATCH(G3780,Pubs!$A$2:$A$3001,0))&amp;"",""))</f>
        <v/>
      </c>
      <c r="J3780" s="27" t="str">
        <f aca="false">IF(OR(G3780="",G3780="?"),"",IFERROR(INDEX(Pubs!$G$2:$G$3001,MATCH(G3780,Pubs!$A$2:$A$3001,0))&amp;"",""))</f>
        <v/>
      </c>
      <c r="K3780" s="28" t="str">
        <f aca="false">IF(OR(G3780="",G3780="?"),"",IFERROR(INDEX(Pubs!$E$2:$E$3001,MATCH(G3780,Pubs!$A$2:$A$3001,0)),""))</f>
        <v/>
      </c>
      <c r="L3780" s="29" t="str">
        <f aca="false">IF(A3780="","",IFERROR(1/(1/INDEX(Numéros!$C$2:$C$3001,MATCH(A3780&amp;"|"&amp;B3780,Numéros!$F$2:$F$3001,0))),""))</f>
        <v/>
      </c>
      <c r="M3780" s="27" t="str">
        <f aca="false">IF(OR(G3780="",G3780="?"),"",IFERROR(INDEX(Pubs!$D$2:$D$3001,MATCH(G3780,Pubs!$A$2:$A$3001,0))&amp;"",""))</f>
        <v/>
      </c>
      <c r="N3780" s="27" t="n">
        <f aca="false">N(N3779)+IF(AND(A3780&lt;&gt;"",OR(Recherche!$C$4="",A3780=Recherche!$C$4),OR(Recherche!$C$5="",B3780&amp;""=Recherche!$C$5&amp;""),OR(Recherche!$C$6="",IFERROR(YEAR(L3780),0)=Recherche!$C$6),OR(Recherche!$C$7="",ISNUMBER(SEARCH(Recherche!$C$7,H3780))),OR(Recherche!$C$8="",J3780=Recherche!$C$8),OR(Recherche!$C$9="",I3780=Recherche!$C$9),OR(Recherche!$C$10="",G3780&amp;""=Recherche!$C$10&amp;""),OR(Recherche!$C$11="",E3780=Recherche!$C$11),OR(Recherche!$C$12="",ISNUMBER(SEARCH(Recherche!$C$12,M3780&amp;" "&amp;F3780)))),1,0)</f>
        <v>8</v>
      </c>
    </row>
    <row r="3781" customFormat="false" ht="15" hidden="false" customHeight="false" outlineLevel="0" collapsed="false">
      <c r="A3781" s="19"/>
      <c r="B3781" s="19"/>
      <c r="C3781" s="19"/>
      <c r="D3781" s="19"/>
      <c r="E3781" s="22"/>
      <c r="F3781" s="19"/>
      <c r="G3781" s="26" t="str">
        <f aca="false">IF(D3781="","",IFERROR(VALUE(LEFT(D3781,FIND(" |",D3781&amp;" |")-1)),"?"))</f>
        <v/>
      </c>
      <c r="H3781" s="27" t="str">
        <f aca="false">IF(G3781="","",IF(G3781="?","⚠ pub inconnue",IFERROR(INDEX(Pubs!$B$2:$B$3001,MATCH(G3781,Pubs!$A$2:$A$3001,0))&amp;"","⚠ pub inconnue")))</f>
        <v/>
      </c>
      <c r="I3781" s="27" t="str">
        <f aca="false">IF(OR(G3781="",G3781="?"),"",IFERROR(INDEX(Pubs!$C$2:$C$3001,MATCH(G3781,Pubs!$A$2:$A$3001,0))&amp;"",""))</f>
        <v/>
      </c>
      <c r="J3781" s="27" t="str">
        <f aca="false">IF(OR(G3781="",G3781="?"),"",IFERROR(INDEX(Pubs!$G$2:$G$3001,MATCH(G3781,Pubs!$A$2:$A$3001,0))&amp;"",""))</f>
        <v/>
      </c>
      <c r="K3781" s="28" t="str">
        <f aca="false">IF(OR(G3781="",G3781="?"),"",IFERROR(INDEX(Pubs!$E$2:$E$3001,MATCH(G3781,Pubs!$A$2:$A$3001,0)),""))</f>
        <v/>
      </c>
      <c r="L3781" s="29" t="str">
        <f aca="false">IF(A3781="","",IFERROR(1/(1/INDEX(Numéros!$C$2:$C$3001,MATCH(A3781&amp;"|"&amp;B3781,Numéros!$F$2:$F$3001,0))),""))</f>
        <v/>
      </c>
      <c r="M3781" s="27" t="str">
        <f aca="false">IF(OR(G3781="",G3781="?"),"",IFERROR(INDEX(Pubs!$D$2:$D$3001,MATCH(G3781,Pubs!$A$2:$A$3001,0))&amp;"",""))</f>
        <v/>
      </c>
      <c r="N3781" s="27" t="n">
        <f aca="false">N(N3780)+IF(AND(A3781&lt;&gt;"",OR(Recherche!$C$4="",A3781=Recherche!$C$4),OR(Recherche!$C$5="",B3781&amp;""=Recherche!$C$5&amp;""),OR(Recherche!$C$6="",IFERROR(YEAR(L3781),0)=Recherche!$C$6),OR(Recherche!$C$7="",ISNUMBER(SEARCH(Recherche!$C$7,H3781))),OR(Recherche!$C$8="",J3781=Recherche!$C$8),OR(Recherche!$C$9="",I3781=Recherche!$C$9),OR(Recherche!$C$10="",G3781&amp;""=Recherche!$C$10&amp;""),OR(Recherche!$C$11="",E3781=Recherche!$C$11),OR(Recherche!$C$12="",ISNUMBER(SEARCH(Recherche!$C$12,M3781&amp;" "&amp;F3781)))),1,0)</f>
        <v>8</v>
      </c>
    </row>
    <row r="3782" customFormat="false" ht="15" hidden="false" customHeight="false" outlineLevel="0" collapsed="false">
      <c r="A3782" s="19"/>
      <c r="B3782" s="19"/>
      <c r="C3782" s="19"/>
      <c r="D3782" s="19"/>
      <c r="E3782" s="22"/>
      <c r="F3782" s="19"/>
      <c r="G3782" s="26" t="str">
        <f aca="false">IF(D3782="","",IFERROR(VALUE(LEFT(D3782,FIND(" |",D3782&amp;" |")-1)),"?"))</f>
        <v/>
      </c>
      <c r="H3782" s="27" t="str">
        <f aca="false">IF(G3782="","",IF(G3782="?","⚠ pub inconnue",IFERROR(INDEX(Pubs!$B$2:$B$3001,MATCH(G3782,Pubs!$A$2:$A$3001,0))&amp;"","⚠ pub inconnue")))</f>
        <v/>
      </c>
      <c r="I3782" s="27" t="str">
        <f aca="false">IF(OR(G3782="",G3782="?"),"",IFERROR(INDEX(Pubs!$C$2:$C$3001,MATCH(G3782,Pubs!$A$2:$A$3001,0))&amp;"",""))</f>
        <v/>
      </c>
      <c r="J3782" s="27" t="str">
        <f aca="false">IF(OR(G3782="",G3782="?"),"",IFERROR(INDEX(Pubs!$G$2:$G$3001,MATCH(G3782,Pubs!$A$2:$A$3001,0))&amp;"",""))</f>
        <v/>
      </c>
      <c r="K3782" s="28" t="str">
        <f aca="false">IF(OR(G3782="",G3782="?"),"",IFERROR(INDEX(Pubs!$E$2:$E$3001,MATCH(G3782,Pubs!$A$2:$A$3001,0)),""))</f>
        <v/>
      </c>
      <c r="L3782" s="29" t="str">
        <f aca="false">IF(A3782="","",IFERROR(1/(1/INDEX(Numéros!$C$2:$C$3001,MATCH(A3782&amp;"|"&amp;B3782,Numéros!$F$2:$F$3001,0))),""))</f>
        <v/>
      </c>
      <c r="M3782" s="27" t="str">
        <f aca="false">IF(OR(G3782="",G3782="?"),"",IFERROR(INDEX(Pubs!$D$2:$D$3001,MATCH(G3782,Pubs!$A$2:$A$3001,0))&amp;"",""))</f>
        <v/>
      </c>
      <c r="N3782" s="27" t="n">
        <f aca="false">N(N3781)+IF(AND(A3782&lt;&gt;"",OR(Recherche!$C$4="",A3782=Recherche!$C$4),OR(Recherche!$C$5="",B3782&amp;""=Recherche!$C$5&amp;""),OR(Recherche!$C$6="",IFERROR(YEAR(L3782),0)=Recherche!$C$6),OR(Recherche!$C$7="",ISNUMBER(SEARCH(Recherche!$C$7,H3782))),OR(Recherche!$C$8="",J3782=Recherche!$C$8),OR(Recherche!$C$9="",I3782=Recherche!$C$9),OR(Recherche!$C$10="",G3782&amp;""=Recherche!$C$10&amp;""),OR(Recherche!$C$11="",E3782=Recherche!$C$11),OR(Recherche!$C$12="",ISNUMBER(SEARCH(Recherche!$C$12,M3782&amp;" "&amp;F3782)))),1,0)</f>
        <v>8</v>
      </c>
    </row>
    <row r="3783" customFormat="false" ht="15" hidden="false" customHeight="false" outlineLevel="0" collapsed="false">
      <c r="A3783" s="19"/>
      <c r="B3783" s="19"/>
      <c r="C3783" s="19"/>
      <c r="D3783" s="19"/>
      <c r="E3783" s="22"/>
      <c r="F3783" s="19"/>
      <c r="G3783" s="26" t="str">
        <f aca="false">IF(D3783="","",IFERROR(VALUE(LEFT(D3783,FIND(" |",D3783&amp;" |")-1)),"?"))</f>
        <v/>
      </c>
      <c r="H3783" s="27" t="str">
        <f aca="false">IF(G3783="","",IF(G3783="?","⚠ pub inconnue",IFERROR(INDEX(Pubs!$B$2:$B$3001,MATCH(G3783,Pubs!$A$2:$A$3001,0))&amp;"","⚠ pub inconnue")))</f>
        <v/>
      </c>
      <c r="I3783" s="27" t="str">
        <f aca="false">IF(OR(G3783="",G3783="?"),"",IFERROR(INDEX(Pubs!$C$2:$C$3001,MATCH(G3783,Pubs!$A$2:$A$3001,0))&amp;"",""))</f>
        <v/>
      </c>
      <c r="J3783" s="27" t="str">
        <f aca="false">IF(OR(G3783="",G3783="?"),"",IFERROR(INDEX(Pubs!$G$2:$G$3001,MATCH(G3783,Pubs!$A$2:$A$3001,0))&amp;"",""))</f>
        <v/>
      </c>
      <c r="K3783" s="28" t="str">
        <f aca="false">IF(OR(G3783="",G3783="?"),"",IFERROR(INDEX(Pubs!$E$2:$E$3001,MATCH(G3783,Pubs!$A$2:$A$3001,0)),""))</f>
        <v/>
      </c>
      <c r="L3783" s="29" t="str">
        <f aca="false">IF(A3783="","",IFERROR(1/(1/INDEX(Numéros!$C$2:$C$3001,MATCH(A3783&amp;"|"&amp;B3783,Numéros!$F$2:$F$3001,0))),""))</f>
        <v/>
      </c>
      <c r="M3783" s="27" t="str">
        <f aca="false">IF(OR(G3783="",G3783="?"),"",IFERROR(INDEX(Pubs!$D$2:$D$3001,MATCH(G3783,Pubs!$A$2:$A$3001,0))&amp;"",""))</f>
        <v/>
      </c>
      <c r="N3783" s="27" t="n">
        <f aca="false">N(N3782)+IF(AND(A3783&lt;&gt;"",OR(Recherche!$C$4="",A3783=Recherche!$C$4),OR(Recherche!$C$5="",B3783&amp;""=Recherche!$C$5&amp;""),OR(Recherche!$C$6="",IFERROR(YEAR(L3783),0)=Recherche!$C$6),OR(Recherche!$C$7="",ISNUMBER(SEARCH(Recherche!$C$7,H3783))),OR(Recherche!$C$8="",J3783=Recherche!$C$8),OR(Recherche!$C$9="",I3783=Recherche!$C$9),OR(Recherche!$C$10="",G3783&amp;""=Recherche!$C$10&amp;""),OR(Recherche!$C$11="",E3783=Recherche!$C$11),OR(Recherche!$C$12="",ISNUMBER(SEARCH(Recherche!$C$12,M3783&amp;" "&amp;F3783)))),1,0)</f>
        <v>8</v>
      </c>
    </row>
    <row r="3784" customFormat="false" ht="15" hidden="false" customHeight="false" outlineLevel="0" collapsed="false">
      <c r="A3784" s="19"/>
      <c r="B3784" s="19"/>
      <c r="C3784" s="19"/>
      <c r="D3784" s="19"/>
      <c r="E3784" s="22"/>
      <c r="F3784" s="19"/>
      <c r="G3784" s="26" t="str">
        <f aca="false">IF(D3784="","",IFERROR(VALUE(LEFT(D3784,FIND(" |",D3784&amp;" |")-1)),"?"))</f>
        <v/>
      </c>
      <c r="H3784" s="27" t="str">
        <f aca="false">IF(G3784="","",IF(G3784="?","⚠ pub inconnue",IFERROR(INDEX(Pubs!$B$2:$B$3001,MATCH(G3784,Pubs!$A$2:$A$3001,0))&amp;"","⚠ pub inconnue")))</f>
        <v/>
      </c>
      <c r="I3784" s="27" t="str">
        <f aca="false">IF(OR(G3784="",G3784="?"),"",IFERROR(INDEX(Pubs!$C$2:$C$3001,MATCH(G3784,Pubs!$A$2:$A$3001,0))&amp;"",""))</f>
        <v/>
      </c>
      <c r="J3784" s="27" t="str">
        <f aca="false">IF(OR(G3784="",G3784="?"),"",IFERROR(INDEX(Pubs!$G$2:$G$3001,MATCH(G3784,Pubs!$A$2:$A$3001,0))&amp;"",""))</f>
        <v/>
      </c>
      <c r="K3784" s="28" t="str">
        <f aca="false">IF(OR(G3784="",G3784="?"),"",IFERROR(INDEX(Pubs!$E$2:$E$3001,MATCH(G3784,Pubs!$A$2:$A$3001,0)),""))</f>
        <v/>
      </c>
      <c r="L3784" s="29" t="str">
        <f aca="false">IF(A3784="","",IFERROR(1/(1/INDEX(Numéros!$C$2:$C$3001,MATCH(A3784&amp;"|"&amp;B3784,Numéros!$F$2:$F$3001,0))),""))</f>
        <v/>
      </c>
      <c r="M3784" s="27" t="str">
        <f aca="false">IF(OR(G3784="",G3784="?"),"",IFERROR(INDEX(Pubs!$D$2:$D$3001,MATCH(G3784,Pubs!$A$2:$A$3001,0))&amp;"",""))</f>
        <v/>
      </c>
      <c r="N3784" s="27" t="n">
        <f aca="false">N(N3783)+IF(AND(A3784&lt;&gt;"",OR(Recherche!$C$4="",A3784=Recherche!$C$4),OR(Recherche!$C$5="",B3784&amp;""=Recherche!$C$5&amp;""),OR(Recherche!$C$6="",IFERROR(YEAR(L3784),0)=Recherche!$C$6),OR(Recherche!$C$7="",ISNUMBER(SEARCH(Recherche!$C$7,H3784))),OR(Recherche!$C$8="",J3784=Recherche!$C$8),OR(Recherche!$C$9="",I3784=Recherche!$C$9),OR(Recherche!$C$10="",G3784&amp;""=Recherche!$C$10&amp;""),OR(Recherche!$C$11="",E3784=Recherche!$C$11),OR(Recherche!$C$12="",ISNUMBER(SEARCH(Recherche!$C$12,M3784&amp;" "&amp;F3784)))),1,0)</f>
        <v>8</v>
      </c>
    </row>
    <row r="3785" customFormat="false" ht="15" hidden="false" customHeight="false" outlineLevel="0" collapsed="false">
      <c r="A3785" s="19"/>
      <c r="B3785" s="19"/>
      <c r="C3785" s="19"/>
      <c r="D3785" s="19"/>
      <c r="E3785" s="22"/>
      <c r="F3785" s="19"/>
      <c r="G3785" s="26" t="str">
        <f aca="false">IF(D3785="","",IFERROR(VALUE(LEFT(D3785,FIND(" |",D3785&amp;" |")-1)),"?"))</f>
        <v/>
      </c>
      <c r="H3785" s="27" t="str">
        <f aca="false">IF(G3785="","",IF(G3785="?","⚠ pub inconnue",IFERROR(INDEX(Pubs!$B$2:$B$3001,MATCH(G3785,Pubs!$A$2:$A$3001,0))&amp;"","⚠ pub inconnue")))</f>
        <v/>
      </c>
      <c r="I3785" s="27" t="str">
        <f aca="false">IF(OR(G3785="",G3785="?"),"",IFERROR(INDEX(Pubs!$C$2:$C$3001,MATCH(G3785,Pubs!$A$2:$A$3001,0))&amp;"",""))</f>
        <v/>
      </c>
      <c r="J3785" s="27" t="str">
        <f aca="false">IF(OR(G3785="",G3785="?"),"",IFERROR(INDEX(Pubs!$G$2:$G$3001,MATCH(G3785,Pubs!$A$2:$A$3001,0))&amp;"",""))</f>
        <v/>
      </c>
      <c r="K3785" s="28" t="str">
        <f aca="false">IF(OR(G3785="",G3785="?"),"",IFERROR(INDEX(Pubs!$E$2:$E$3001,MATCH(G3785,Pubs!$A$2:$A$3001,0)),""))</f>
        <v/>
      </c>
      <c r="L3785" s="29" t="str">
        <f aca="false">IF(A3785="","",IFERROR(1/(1/INDEX(Numéros!$C$2:$C$3001,MATCH(A3785&amp;"|"&amp;B3785,Numéros!$F$2:$F$3001,0))),""))</f>
        <v/>
      </c>
      <c r="M3785" s="27" t="str">
        <f aca="false">IF(OR(G3785="",G3785="?"),"",IFERROR(INDEX(Pubs!$D$2:$D$3001,MATCH(G3785,Pubs!$A$2:$A$3001,0))&amp;"",""))</f>
        <v/>
      </c>
      <c r="N3785" s="27" t="n">
        <f aca="false">N(N3784)+IF(AND(A3785&lt;&gt;"",OR(Recherche!$C$4="",A3785=Recherche!$C$4),OR(Recherche!$C$5="",B3785&amp;""=Recherche!$C$5&amp;""),OR(Recherche!$C$6="",IFERROR(YEAR(L3785),0)=Recherche!$C$6),OR(Recherche!$C$7="",ISNUMBER(SEARCH(Recherche!$C$7,H3785))),OR(Recherche!$C$8="",J3785=Recherche!$C$8),OR(Recherche!$C$9="",I3785=Recherche!$C$9),OR(Recherche!$C$10="",G3785&amp;""=Recherche!$C$10&amp;""),OR(Recherche!$C$11="",E3785=Recherche!$C$11),OR(Recherche!$C$12="",ISNUMBER(SEARCH(Recherche!$C$12,M3785&amp;" "&amp;F3785)))),1,0)</f>
        <v>8</v>
      </c>
    </row>
    <row r="3786" customFormat="false" ht="15" hidden="false" customHeight="false" outlineLevel="0" collapsed="false">
      <c r="A3786" s="19"/>
      <c r="B3786" s="19"/>
      <c r="C3786" s="19"/>
      <c r="D3786" s="19"/>
      <c r="E3786" s="22"/>
      <c r="F3786" s="19"/>
      <c r="G3786" s="26" t="str">
        <f aca="false">IF(D3786="","",IFERROR(VALUE(LEFT(D3786,FIND(" |",D3786&amp;" |")-1)),"?"))</f>
        <v/>
      </c>
      <c r="H3786" s="27" t="str">
        <f aca="false">IF(G3786="","",IF(G3786="?","⚠ pub inconnue",IFERROR(INDEX(Pubs!$B$2:$B$3001,MATCH(G3786,Pubs!$A$2:$A$3001,0))&amp;"","⚠ pub inconnue")))</f>
        <v/>
      </c>
      <c r="I3786" s="27" t="str">
        <f aca="false">IF(OR(G3786="",G3786="?"),"",IFERROR(INDEX(Pubs!$C$2:$C$3001,MATCH(G3786,Pubs!$A$2:$A$3001,0))&amp;"",""))</f>
        <v/>
      </c>
      <c r="J3786" s="27" t="str">
        <f aca="false">IF(OR(G3786="",G3786="?"),"",IFERROR(INDEX(Pubs!$G$2:$G$3001,MATCH(G3786,Pubs!$A$2:$A$3001,0))&amp;"",""))</f>
        <v/>
      </c>
      <c r="K3786" s="28" t="str">
        <f aca="false">IF(OR(G3786="",G3786="?"),"",IFERROR(INDEX(Pubs!$E$2:$E$3001,MATCH(G3786,Pubs!$A$2:$A$3001,0)),""))</f>
        <v/>
      </c>
      <c r="L3786" s="29" t="str">
        <f aca="false">IF(A3786="","",IFERROR(1/(1/INDEX(Numéros!$C$2:$C$3001,MATCH(A3786&amp;"|"&amp;B3786,Numéros!$F$2:$F$3001,0))),""))</f>
        <v/>
      </c>
      <c r="M3786" s="27" t="str">
        <f aca="false">IF(OR(G3786="",G3786="?"),"",IFERROR(INDEX(Pubs!$D$2:$D$3001,MATCH(G3786,Pubs!$A$2:$A$3001,0))&amp;"",""))</f>
        <v/>
      </c>
      <c r="N3786" s="27" t="n">
        <f aca="false">N(N3785)+IF(AND(A3786&lt;&gt;"",OR(Recherche!$C$4="",A3786=Recherche!$C$4),OR(Recherche!$C$5="",B3786&amp;""=Recherche!$C$5&amp;""),OR(Recherche!$C$6="",IFERROR(YEAR(L3786),0)=Recherche!$C$6),OR(Recherche!$C$7="",ISNUMBER(SEARCH(Recherche!$C$7,H3786))),OR(Recherche!$C$8="",J3786=Recherche!$C$8),OR(Recherche!$C$9="",I3786=Recherche!$C$9),OR(Recherche!$C$10="",G3786&amp;""=Recherche!$C$10&amp;""),OR(Recherche!$C$11="",E3786=Recherche!$C$11),OR(Recherche!$C$12="",ISNUMBER(SEARCH(Recherche!$C$12,M3786&amp;" "&amp;F3786)))),1,0)</f>
        <v>8</v>
      </c>
    </row>
    <row r="3787" customFormat="false" ht="15" hidden="false" customHeight="false" outlineLevel="0" collapsed="false">
      <c r="A3787" s="19"/>
      <c r="B3787" s="19"/>
      <c r="C3787" s="19"/>
      <c r="D3787" s="19"/>
      <c r="E3787" s="22"/>
      <c r="F3787" s="19"/>
      <c r="G3787" s="26" t="str">
        <f aca="false">IF(D3787="","",IFERROR(VALUE(LEFT(D3787,FIND(" |",D3787&amp;" |")-1)),"?"))</f>
        <v/>
      </c>
      <c r="H3787" s="27" t="str">
        <f aca="false">IF(G3787="","",IF(G3787="?","⚠ pub inconnue",IFERROR(INDEX(Pubs!$B$2:$B$3001,MATCH(G3787,Pubs!$A$2:$A$3001,0))&amp;"","⚠ pub inconnue")))</f>
        <v/>
      </c>
      <c r="I3787" s="27" t="str">
        <f aca="false">IF(OR(G3787="",G3787="?"),"",IFERROR(INDEX(Pubs!$C$2:$C$3001,MATCH(G3787,Pubs!$A$2:$A$3001,0))&amp;"",""))</f>
        <v/>
      </c>
      <c r="J3787" s="27" t="str">
        <f aca="false">IF(OR(G3787="",G3787="?"),"",IFERROR(INDEX(Pubs!$G$2:$G$3001,MATCH(G3787,Pubs!$A$2:$A$3001,0))&amp;"",""))</f>
        <v/>
      </c>
      <c r="K3787" s="28" t="str">
        <f aca="false">IF(OR(G3787="",G3787="?"),"",IFERROR(INDEX(Pubs!$E$2:$E$3001,MATCH(G3787,Pubs!$A$2:$A$3001,0)),""))</f>
        <v/>
      </c>
      <c r="L3787" s="29" t="str">
        <f aca="false">IF(A3787="","",IFERROR(1/(1/INDEX(Numéros!$C$2:$C$3001,MATCH(A3787&amp;"|"&amp;B3787,Numéros!$F$2:$F$3001,0))),""))</f>
        <v/>
      </c>
      <c r="M3787" s="27" t="str">
        <f aca="false">IF(OR(G3787="",G3787="?"),"",IFERROR(INDEX(Pubs!$D$2:$D$3001,MATCH(G3787,Pubs!$A$2:$A$3001,0))&amp;"",""))</f>
        <v/>
      </c>
      <c r="N3787" s="27" t="n">
        <f aca="false">N(N3786)+IF(AND(A3787&lt;&gt;"",OR(Recherche!$C$4="",A3787=Recherche!$C$4),OR(Recherche!$C$5="",B3787&amp;""=Recherche!$C$5&amp;""),OR(Recherche!$C$6="",IFERROR(YEAR(L3787),0)=Recherche!$C$6),OR(Recherche!$C$7="",ISNUMBER(SEARCH(Recherche!$C$7,H3787))),OR(Recherche!$C$8="",J3787=Recherche!$C$8),OR(Recherche!$C$9="",I3787=Recherche!$C$9),OR(Recherche!$C$10="",G3787&amp;""=Recherche!$C$10&amp;""),OR(Recherche!$C$11="",E3787=Recherche!$C$11),OR(Recherche!$C$12="",ISNUMBER(SEARCH(Recherche!$C$12,M3787&amp;" "&amp;F3787)))),1,0)</f>
        <v>8</v>
      </c>
    </row>
    <row r="3788" customFormat="false" ht="15" hidden="false" customHeight="false" outlineLevel="0" collapsed="false">
      <c r="A3788" s="19"/>
      <c r="B3788" s="19"/>
      <c r="C3788" s="19"/>
      <c r="D3788" s="19"/>
      <c r="E3788" s="22"/>
      <c r="F3788" s="19"/>
      <c r="G3788" s="26" t="str">
        <f aca="false">IF(D3788="","",IFERROR(VALUE(LEFT(D3788,FIND(" |",D3788&amp;" |")-1)),"?"))</f>
        <v/>
      </c>
      <c r="H3788" s="27" t="str">
        <f aca="false">IF(G3788="","",IF(G3788="?","⚠ pub inconnue",IFERROR(INDEX(Pubs!$B$2:$B$3001,MATCH(G3788,Pubs!$A$2:$A$3001,0))&amp;"","⚠ pub inconnue")))</f>
        <v/>
      </c>
      <c r="I3788" s="27" t="str">
        <f aca="false">IF(OR(G3788="",G3788="?"),"",IFERROR(INDEX(Pubs!$C$2:$C$3001,MATCH(G3788,Pubs!$A$2:$A$3001,0))&amp;"",""))</f>
        <v/>
      </c>
      <c r="J3788" s="27" t="str">
        <f aca="false">IF(OR(G3788="",G3788="?"),"",IFERROR(INDEX(Pubs!$G$2:$G$3001,MATCH(G3788,Pubs!$A$2:$A$3001,0))&amp;"",""))</f>
        <v/>
      </c>
      <c r="K3788" s="28" t="str">
        <f aca="false">IF(OR(G3788="",G3788="?"),"",IFERROR(INDEX(Pubs!$E$2:$E$3001,MATCH(G3788,Pubs!$A$2:$A$3001,0)),""))</f>
        <v/>
      </c>
      <c r="L3788" s="29" t="str">
        <f aca="false">IF(A3788="","",IFERROR(1/(1/INDEX(Numéros!$C$2:$C$3001,MATCH(A3788&amp;"|"&amp;B3788,Numéros!$F$2:$F$3001,0))),""))</f>
        <v/>
      </c>
      <c r="M3788" s="27" t="str">
        <f aca="false">IF(OR(G3788="",G3788="?"),"",IFERROR(INDEX(Pubs!$D$2:$D$3001,MATCH(G3788,Pubs!$A$2:$A$3001,0))&amp;"",""))</f>
        <v/>
      </c>
      <c r="N3788" s="27" t="n">
        <f aca="false">N(N3787)+IF(AND(A3788&lt;&gt;"",OR(Recherche!$C$4="",A3788=Recherche!$C$4),OR(Recherche!$C$5="",B3788&amp;""=Recherche!$C$5&amp;""),OR(Recherche!$C$6="",IFERROR(YEAR(L3788),0)=Recherche!$C$6),OR(Recherche!$C$7="",ISNUMBER(SEARCH(Recherche!$C$7,H3788))),OR(Recherche!$C$8="",J3788=Recherche!$C$8),OR(Recherche!$C$9="",I3788=Recherche!$C$9),OR(Recherche!$C$10="",G3788&amp;""=Recherche!$C$10&amp;""),OR(Recherche!$C$11="",E3788=Recherche!$C$11),OR(Recherche!$C$12="",ISNUMBER(SEARCH(Recherche!$C$12,M3788&amp;" "&amp;F3788)))),1,0)</f>
        <v>8</v>
      </c>
    </row>
    <row r="3789" customFormat="false" ht="15" hidden="false" customHeight="false" outlineLevel="0" collapsed="false">
      <c r="A3789" s="19"/>
      <c r="B3789" s="19"/>
      <c r="C3789" s="19"/>
      <c r="D3789" s="19"/>
      <c r="E3789" s="22"/>
      <c r="F3789" s="19"/>
      <c r="G3789" s="26" t="str">
        <f aca="false">IF(D3789="","",IFERROR(VALUE(LEFT(D3789,FIND(" |",D3789&amp;" |")-1)),"?"))</f>
        <v/>
      </c>
      <c r="H3789" s="27" t="str">
        <f aca="false">IF(G3789="","",IF(G3789="?","⚠ pub inconnue",IFERROR(INDEX(Pubs!$B$2:$B$3001,MATCH(G3789,Pubs!$A$2:$A$3001,0))&amp;"","⚠ pub inconnue")))</f>
        <v/>
      </c>
      <c r="I3789" s="27" t="str">
        <f aca="false">IF(OR(G3789="",G3789="?"),"",IFERROR(INDEX(Pubs!$C$2:$C$3001,MATCH(G3789,Pubs!$A$2:$A$3001,0))&amp;"",""))</f>
        <v/>
      </c>
      <c r="J3789" s="27" t="str">
        <f aca="false">IF(OR(G3789="",G3789="?"),"",IFERROR(INDEX(Pubs!$G$2:$G$3001,MATCH(G3789,Pubs!$A$2:$A$3001,0))&amp;"",""))</f>
        <v/>
      </c>
      <c r="K3789" s="28" t="str">
        <f aca="false">IF(OR(G3789="",G3789="?"),"",IFERROR(INDEX(Pubs!$E$2:$E$3001,MATCH(G3789,Pubs!$A$2:$A$3001,0)),""))</f>
        <v/>
      </c>
      <c r="L3789" s="29" t="str">
        <f aca="false">IF(A3789="","",IFERROR(1/(1/INDEX(Numéros!$C$2:$C$3001,MATCH(A3789&amp;"|"&amp;B3789,Numéros!$F$2:$F$3001,0))),""))</f>
        <v/>
      </c>
      <c r="M3789" s="27" t="str">
        <f aca="false">IF(OR(G3789="",G3789="?"),"",IFERROR(INDEX(Pubs!$D$2:$D$3001,MATCH(G3789,Pubs!$A$2:$A$3001,0))&amp;"",""))</f>
        <v/>
      </c>
      <c r="N3789" s="27" t="n">
        <f aca="false">N(N3788)+IF(AND(A3789&lt;&gt;"",OR(Recherche!$C$4="",A3789=Recherche!$C$4),OR(Recherche!$C$5="",B3789&amp;""=Recherche!$C$5&amp;""),OR(Recherche!$C$6="",IFERROR(YEAR(L3789),0)=Recherche!$C$6),OR(Recherche!$C$7="",ISNUMBER(SEARCH(Recherche!$C$7,H3789))),OR(Recherche!$C$8="",J3789=Recherche!$C$8),OR(Recherche!$C$9="",I3789=Recherche!$C$9),OR(Recherche!$C$10="",G3789&amp;""=Recherche!$C$10&amp;""),OR(Recherche!$C$11="",E3789=Recherche!$C$11),OR(Recherche!$C$12="",ISNUMBER(SEARCH(Recherche!$C$12,M3789&amp;" "&amp;F3789)))),1,0)</f>
        <v>8</v>
      </c>
    </row>
    <row r="3790" customFormat="false" ht="15" hidden="false" customHeight="false" outlineLevel="0" collapsed="false">
      <c r="A3790" s="19"/>
      <c r="B3790" s="19"/>
      <c r="C3790" s="19"/>
      <c r="D3790" s="19"/>
      <c r="E3790" s="22"/>
      <c r="F3790" s="19"/>
      <c r="G3790" s="26" t="str">
        <f aca="false">IF(D3790="","",IFERROR(VALUE(LEFT(D3790,FIND(" |",D3790&amp;" |")-1)),"?"))</f>
        <v/>
      </c>
      <c r="H3790" s="27" t="str">
        <f aca="false">IF(G3790="","",IF(G3790="?","⚠ pub inconnue",IFERROR(INDEX(Pubs!$B$2:$B$3001,MATCH(G3790,Pubs!$A$2:$A$3001,0))&amp;"","⚠ pub inconnue")))</f>
        <v/>
      </c>
      <c r="I3790" s="27" t="str">
        <f aca="false">IF(OR(G3790="",G3790="?"),"",IFERROR(INDEX(Pubs!$C$2:$C$3001,MATCH(G3790,Pubs!$A$2:$A$3001,0))&amp;"",""))</f>
        <v/>
      </c>
      <c r="J3790" s="27" t="str">
        <f aca="false">IF(OR(G3790="",G3790="?"),"",IFERROR(INDEX(Pubs!$G$2:$G$3001,MATCH(G3790,Pubs!$A$2:$A$3001,0))&amp;"",""))</f>
        <v/>
      </c>
      <c r="K3790" s="28" t="str">
        <f aca="false">IF(OR(G3790="",G3790="?"),"",IFERROR(INDEX(Pubs!$E$2:$E$3001,MATCH(G3790,Pubs!$A$2:$A$3001,0)),""))</f>
        <v/>
      </c>
      <c r="L3790" s="29" t="str">
        <f aca="false">IF(A3790="","",IFERROR(1/(1/INDEX(Numéros!$C$2:$C$3001,MATCH(A3790&amp;"|"&amp;B3790,Numéros!$F$2:$F$3001,0))),""))</f>
        <v/>
      </c>
      <c r="M3790" s="27" t="str">
        <f aca="false">IF(OR(G3790="",G3790="?"),"",IFERROR(INDEX(Pubs!$D$2:$D$3001,MATCH(G3790,Pubs!$A$2:$A$3001,0))&amp;"",""))</f>
        <v/>
      </c>
      <c r="N3790" s="27" t="n">
        <f aca="false">N(N3789)+IF(AND(A3790&lt;&gt;"",OR(Recherche!$C$4="",A3790=Recherche!$C$4),OR(Recherche!$C$5="",B3790&amp;""=Recherche!$C$5&amp;""),OR(Recherche!$C$6="",IFERROR(YEAR(L3790),0)=Recherche!$C$6),OR(Recherche!$C$7="",ISNUMBER(SEARCH(Recherche!$C$7,H3790))),OR(Recherche!$C$8="",J3790=Recherche!$C$8),OR(Recherche!$C$9="",I3790=Recherche!$C$9),OR(Recherche!$C$10="",G3790&amp;""=Recherche!$C$10&amp;""),OR(Recherche!$C$11="",E3790=Recherche!$C$11),OR(Recherche!$C$12="",ISNUMBER(SEARCH(Recherche!$C$12,M3790&amp;" "&amp;F3790)))),1,0)</f>
        <v>8</v>
      </c>
    </row>
    <row r="3791" customFormat="false" ht="15" hidden="false" customHeight="false" outlineLevel="0" collapsed="false">
      <c r="A3791" s="19"/>
      <c r="B3791" s="19"/>
      <c r="C3791" s="19"/>
      <c r="D3791" s="19"/>
      <c r="E3791" s="22"/>
      <c r="F3791" s="19"/>
      <c r="G3791" s="26" t="str">
        <f aca="false">IF(D3791="","",IFERROR(VALUE(LEFT(D3791,FIND(" |",D3791&amp;" |")-1)),"?"))</f>
        <v/>
      </c>
      <c r="H3791" s="27" t="str">
        <f aca="false">IF(G3791="","",IF(G3791="?","⚠ pub inconnue",IFERROR(INDEX(Pubs!$B$2:$B$3001,MATCH(G3791,Pubs!$A$2:$A$3001,0))&amp;"","⚠ pub inconnue")))</f>
        <v/>
      </c>
      <c r="I3791" s="27" t="str">
        <f aca="false">IF(OR(G3791="",G3791="?"),"",IFERROR(INDEX(Pubs!$C$2:$C$3001,MATCH(G3791,Pubs!$A$2:$A$3001,0))&amp;"",""))</f>
        <v/>
      </c>
      <c r="J3791" s="27" t="str">
        <f aca="false">IF(OR(G3791="",G3791="?"),"",IFERROR(INDEX(Pubs!$G$2:$G$3001,MATCH(G3791,Pubs!$A$2:$A$3001,0))&amp;"",""))</f>
        <v/>
      </c>
      <c r="K3791" s="28" t="str">
        <f aca="false">IF(OR(G3791="",G3791="?"),"",IFERROR(INDEX(Pubs!$E$2:$E$3001,MATCH(G3791,Pubs!$A$2:$A$3001,0)),""))</f>
        <v/>
      </c>
      <c r="L3791" s="29" t="str">
        <f aca="false">IF(A3791="","",IFERROR(1/(1/INDEX(Numéros!$C$2:$C$3001,MATCH(A3791&amp;"|"&amp;B3791,Numéros!$F$2:$F$3001,0))),""))</f>
        <v/>
      </c>
      <c r="M3791" s="27" t="str">
        <f aca="false">IF(OR(G3791="",G3791="?"),"",IFERROR(INDEX(Pubs!$D$2:$D$3001,MATCH(G3791,Pubs!$A$2:$A$3001,0))&amp;"",""))</f>
        <v/>
      </c>
      <c r="N3791" s="27" t="n">
        <f aca="false">N(N3790)+IF(AND(A3791&lt;&gt;"",OR(Recherche!$C$4="",A3791=Recherche!$C$4),OR(Recherche!$C$5="",B3791&amp;""=Recherche!$C$5&amp;""),OR(Recherche!$C$6="",IFERROR(YEAR(L3791),0)=Recherche!$C$6),OR(Recherche!$C$7="",ISNUMBER(SEARCH(Recherche!$C$7,H3791))),OR(Recherche!$C$8="",J3791=Recherche!$C$8),OR(Recherche!$C$9="",I3791=Recherche!$C$9),OR(Recherche!$C$10="",G3791&amp;""=Recherche!$C$10&amp;""),OR(Recherche!$C$11="",E3791=Recherche!$C$11),OR(Recherche!$C$12="",ISNUMBER(SEARCH(Recherche!$C$12,M3791&amp;" "&amp;F3791)))),1,0)</f>
        <v>8</v>
      </c>
    </row>
    <row r="3792" customFormat="false" ht="15" hidden="false" customHeight="false" outlineLevel="0" collapsed="false">
      <c r="A3792" s="19"/>
      <c r="B3792" s="19"/>
      <c r="C3792" s="19"/>
      <c r="D3792" s="19"/>
      <c r="E3792" s="22"/>
      <c r="F3792" s="19"/>
      <c r="G3792" s="26" t="str">
        <f aca="false">IF(D3792="","",IFERROR(VALUE(LEFT(D3792,FIND(" |",D3792&amp;" |")-1)),"?"))</f>
        <v/>
      </c>
      <c r="H3792" s="27" t="str">
        <f aca="false">IF(G3792="","",IF(G3792="?","⚠ pub inconnue",IFERROR(INDEX(Pubs!$B$2:$B$3001,MATCH(G3792,Pubs!$A$2:$A$3001,0))&amp;"","⚠ pub inconnue")))</f>
        <v/>
      </c>
      <c r="I3792" s="27" t="str">
        <f aca="false">IF(OR(G3792="",G3792="?"),"",IFERROR(INDEX(Pubs!$C$2:$C$3001,MATCH(G3792,Pubs!$A$2:$A$3001,0))&amp;"",""))</f>
        <v/>
      </c>
      <c r="J3792" s="27" t="str">
        <f aca="false">IF(OR(G3792="",G3792="?"),"",IFERROR(INDEX(Pubs!$G$2:$G$3001,MATCH(G3792,Pubs!$A$2:$A$3001,0))&amp;"",""))</f>
        <v/>
      </c>
      <c r="K3792" s="28" t="str">
        <f aca="false">IF(OR(G3792="",G3792="?"),"",IFERROR(INDEX(Pubs!$E$2:$E$3001,MATCH(G3792,Pubs!$A$2:$A$3001,0)),""))</f>
        <v/>
      </c>
      <c r="L3792" s="29" t="str">
        <f aca="false">IF(A3792="","",IFERROR(1/(1/INDEX(Numéros!$C$2:$C$3001,MATCH(A3792&amp;"|"&amp;B3792,Numéros!$F$2:$F$3001,0))),""))</f>
        <v/>
      </c>
      <c r="M3792" s="27" t="str">
        <f aca="false">IF(OR(G3792="",G3792="?"),"",IFERROR(INDEX(Pubs!$D$2:$D$3001,MATCH(G3792,Pubs!$A$2:$A$3001,0))&amp;"",""))</f>
        <v/>
      </c>
      <c r="N3792" s="27" t="n">
        <f aca="false">N(N3791)+IF(AND(A3792&lt;&gt;"",OR(Recherche!$C$4="",A3792=Recherche!$C$4),OR(Recherche!$C$5="",B3792&amp;""=Recherche!$C$5&amp;""),OR(Recherche!$C$6="",IFERROR(YEAR(L3792),0)=Recherche!$C$6),OR(Recherche!$C$7="",ISNUMBER(SEARCH(Recherche!$C$7,H3792))),OR(Recherche!$C$8="",J3792=Recherche!$C$8),OR(Recherche!$C$9="",I3792=Recherche!$C$9),OR(Recherche!$C$10="",G3792&amp;""=Recherche!$C$10&amp;""),OR(Recherche!$C$11="",E3792=Recherche!$C$11),OR(Recherche!$C$12="",ISNUMBER(SEARCH(Recherche!$C$12,M3792&amp;" "&amp;F3792)))),1,0)</f>
        <v>8</v>
      </c>
    </row>
    <row r="3793" customFormat="false" ht="15" hidden="false" customHeight="false" outlineLevel="0" collapsed="false">
      <c r="A3793" s="19"/>
      <c r="B3793" s="19"/>
      <c r="C3793" s="19"/>
      <c r="D3793" s="19"/>
      <c r="E3793" s="22"/>
      <c r="F3793" s="19"/>
      <c r="G3793" s="26" t="str">
        <f aca="false">IF(D3793="","",IFERROR(VALUE(LEFT(D3793,FIND(" |",D3793&amp;" |")-1)),"?"))</f>
        <v/>
      </c>
      <c r="H3793" s="27" t="str">
        <f aca="false">IF(G3793="","",IF(G3793="?","⚠ pub inconnue",IFERROR(INDEX(Pubs!$B$2:$B$3001,MATCH(G3793,Pubs!$A$2:$A$3001,0))&amp;"","⚠ pub inconnue")))</f>
        <v/>
      </c>
      <c r="I3793" s="27" t="str">
        <f aca="false">IF(OR(G3793="",G3793="?"),"",IFERROR(INDEX(Pubs!$C$2:$C$3001,MATCH(G3793,Pubs!$A$2:$A$3001,0))&amp;"",""))</f>
        <v/>
      </c>
      <c r="J3793" s="27" t="str">
        <f aca="false">IF(OR(G3793="",G3793="?"),"",IFERROR(INDEX(Pubs!$G$2:$G$3001,MATCH(G3793,Pubs!$A$2:$A$3001,0))&amp;"",""))</f>
        <v/>
      </c>
      <c r="K3793" s="28" t="str">
        <f aca="false">IF(OR(G3793="",G3793="?"),"",IFERROR(INDEX(Pubs!$E$2:$E$3001,MATCH(G3793,Pubs!$A$2:$A$3001,0)),""))</f>
        <v/>
      </c>
      <c r="L3793" s="29" t="str">
        <f aca="false">IF(A3793="","",IFERROR(1/(1/INDEX(Numéros!$C$2:$C$3001,MATCH(A3793&amp;"|"&amp;B3793,Numéros!$F$2:$F$3001,0))),""))</f>
        <v/>
      </c>
      <c r="M3793" s="27" t="str">
        <f aca="false">IF(OR(G3793="",G3793="?"),"",IFERROR(INDEX(Pubs!$D$2:$D$3001,MATCH(G3793,Pubs!$A$2:$A$3001,0))&amp;"",""))</f>
        <v/>
      </c>
      <c r="N3793" s="27" t="n">
        <f aca="false">N(N3792)+IF(AND(A3793&lt;&gt;"",OR(Recherche!$C$4="",A3793=Recherche!$C$4),OR(Recherche!$C$5="",B3793&amp;""=Recherche!$C$5&amp;""),OR(Recherche!$C$6="",IFERROR(YEAR(L3793),0)=Recherche!$C$6),OR(Recherche!$C$7="",ISNUMBER(SEARCH(Recherche!$C$7,H3793))),OR(Recherche!$C$8="",J3793=Recherche!$C$8),OR(Recherche!$C$9="",I3793=Recherche!$C$9),OR(Recherche!$C$10="",G3793&amp;""=Recherche!$C$10&amp;""),OR(Recherche!$C$11="",E3793=Recherche!$C$11),OR(Recherche!$C$12="",ISNUMBER(SEARCH(Recherche!$C$12,M3793&amp;" "&amp;F3793)))),1,0)</f>
        <v>8</v>
      </c>
    </row>
    <row r="3794" customFormat="false" ht="15" hidden="false" customHeight="false" outlineLevel="0" collapsed="false">
      <c r="A3794" s="19"/>
      <c r="B3794" s="19"/>
      <c r="C3794" s="19"/>
      <c r="D3794" s="19"/>
      <c r="E3794" s="22"/>
      <c r="F3794" s="19"/>
      <c r="G3794" s="26" t="str">
        <f aca="false">IF(D3794="","",IFERROR(VALUE(LEFT(D3794,FIND(" |",D3794&amp;" |")-1)),"?"))</f>
        <v/>
      </c>
      <c r="H3794" s="27" t="str">
        <f aca="false">IF(G3794="","",IF(G3794="?","⚠ pub inconnue",IFERROR(INDEX(Pubs!$B$2:$B$3001,MATCH(G3794,Pubs!$A$2:$A$3001,0))&amp;"","⚠ pub inconnue")))</f>
        <v/>
      </c>
      <c r="I3794" s="27" t="str">
        <f aca="false">IF(OR(G3794="",G3794="?"),"",IFERROR(INDEX(Pubs!$C$2:$C$3001,MATCH(G3794,Pubs!$A$2:$A$3001,0))&amp;"",""))</f>
        <v/>
      </c>
      <c r="J3794" s="27" t="str">
        <f aca="false">IF(OR(G3794="",G3794="?"),"",IFERROR(INDEX(Pubs!$G$2:$G$3001,MATCH(G3794,Pubs!$A$2:$A$3001,0))&amp;"",""))</f>
        <v/>
      </c>
      <c r="K3794" s="28" t="str">
        <f aca="false">IF(OR(G3794="",G3794="?"),"",IFERROR(INDEX(Pubs!$E$2:$E$3001,MATCH(G3794,Pubs!$A$2:$A$3001,0)),""))</f>
        <v/>
      </c>
      <c r="L3794" s="29" t="str">
        <f aca="false">IF(A3794="","",IFERROR(1/(1/INDEX(Numéros!$C$2:$C$3001,MATCH(A3794&amp;"|"&amp;B3794,Numéros!$F$2:$F$3001,0))),""))</f>
        <v/>
      </c>
      <c r="M3794" s="27" t="str">
        <f aca="false">IF(OR(G3794="",G3794="?"),"",IFERROR(INDEX(Pubs!$D$2:$D$3001,MATCH(G3794,Pubs!$A$2:$A$3001,0))&amp;"",""))</f>
        <v/>
      </c>
      <c r="N3794" s="27" t="n">
        <f aca="false">N(N3793)+IF(AND(A3794&lt;&gt;"",OR(Recherche!$C$4="",A3794=Recherche!$C$4),OR(Recherche!$C$5="",B3794&amp;""=Recherche!$C$5&amp;""),OR(Recherche!$C$6="",IFERROR(YEAR(L3794),0)=Recherche!$C$6),OR(Recherche!$C$7="",ISNUMBER(SEARCH(Recherche!$C$7,H3794))),OR(Recherche!$C$8="",J3794=Recherche!$C$8),OR(Recherche!$C$9="",I3794=Recherche!$C$9),OR(Recherche!$C$10="",G3794&amp;""=Recherche!$C$10&amp;""),OR(Recherche!$C$11="",E3794=Recherche!$C$11),OR(Recherche!$C$12="",ISNUMBER(SEARCH(Recherche!$C$12,M3794&amp;" "&amp;F3794)))),1,0)</f>
        <v>8</v>
      </c>
    </row>
    <row r="3795" customFormat="false" ht="15" hidden="false" customHeight="false" outlineLevel="0" collapsed="false">
      <c r="A3795" s="19"/>
      <c r="B3795" s="19"/>
      <c r="C3795" s="19"/>
      <c r="D3795" s="19"/>
      <c r="E3795" s="22"/>
      <c r="F3795" s="19"/>
      <c r="G3795" s="26" t="str">
        <f aca="false">IF(D3795="","",IFERROR(VALUE(LEFT(D3795,FIND(" |",D3795&amp;" |")-1)),"?"))</f>
        <v/>
      </c>
      <c r="H3795" s="27" t="str">
        <f aca="false">IF(G3795="","",IF(G3795="?","⚠ pub inconnue",IFERROR(INDEX(Pubs!$B$2:$B$3001,MATCH(G3795,Pubs!$A$2:$A$3001,0))&amp;"","⚠ pub inconnue")))</f>
        <v/>
      </c>
      <c r="I3795" s="27" t="str">
        <f aca="false">IF(OR(G3795="",G3795="?"),"",IFERROR(INDEX(Pubs!$C$2:$C$3001,MATCH(G3795,Pubs!$A$2:$A$3001,0))&amp;"",""))</f>
        <v/>
      </c>
      <c r="J3795" s="27" t="str">
        <f aca="false">IF(OR(G3795="",G3795="?"),"",IFERROR(INDEX(Pubs!$G$2:$G$3001,MATCH(G3795,Pubs!$A$2:$A$3001,0))&amp;"",""))</f>
        <v/>
      </c>
      <c r="K3795" s="28" t="str">
        <f aca="false">IF(OR(G3795="",G3795="?"),"",IFERROR(INDEX(Pubs!$E$2:$E$3001,MATCH(G3795,Pubs!$A$2:$A$3001,0)),""))</f>
        <v/>
      </c>
      <c r="L3795" s="29" t="str">
        <f aca="false">IF(A3795="","",IFERROR(1/(1/INDEX(Numéros!$C$2:$C$3001,MATCH(A3795&amp;"|"&amp;B3795,Numéros!$F$2:$F$3001,0))),""))</f>
        <v/>
      </c>
      <c r="M3795" s="27" t="str">
        <f aca="false">IF(OR(G3795="",G3795="?"),"",IFERROR(INDEX(Pubs!$D$2:$D$3001,MATCH(G3795,Pubs!$A$2:$A$3001,0))&amp;"",""))</f>
        <v/>
      </c>
      <c r="N3795" s="27" t="n">
        <f aca="false">N(N3794)+IF(AND(A3795&lt;&gt;"",OR(Recherche!$C$4="",A3795=Recherche!$C$4),OR(Recherche!$C$5="",B3795&amp;""=Recherche!$C$5&amp;""),OR(Recherche!$C$6="",IFERROR(YEAR(L3795),0)=Recherche!$C$6),OR(Recherche!$C$7="",ISNUMBER(SEARCH(Recherche!$C$7,H3795))),OR(Recherche!$C$8="",J3795=Recherche!$C$8),OR(Recherche!$C$9="",I3795=Recherche!$C$9),OR(Recherche!$C$10="",G3795&amp;""=Recherche!$C$10&amp;""),OR(Recherche!$C$11="",E3795=Recherche!$C$11),OR(Recherche!$C$12="",ISNUMBER(SEARCH(Recherche!$C$12,M3795&amp;" "&amp;F3795)))),1,0)</f>
        <v>8</v>
      </c>
    </row>
    <row r="3796" customFormat="false" ht="15" hidden="false" customHeight="false" outlineLevel="0" collapsed="false">
      <c r="A3796" s="19"/>
      <c r="B3796" s="19"/>
      <c r="C3796" s="19"/>
      <c r="D3796" s="19"/>
      <c r="E3796" s="22"/>
      <c r="F3796" s="19"/>
      <c r="G3796" s="26" t="str">
        <f aca="false">IF(D3796="","",IFERROR(VALUE(LEFT(D3796,FIND(" |",D3796&amp;" |")-1)),"?"))</f>
        <v/>
      </c>
      <c r="H3796" s="27" t="str">
        <f aca="false">IF(G3796="","",IF(G3796="?","⚠ pub inconnue",IFERROR(INDEX(Pubs!$B$2:$B$3001,MATCH(G3796,Pubs!$A$2:$A$3001,0))&amp;"","⚠ pub inconnue")))</f>
        <v/>
      </c>
      <c r="I3796" s="27" t="str">
        <f aca="false">IF(OR(G3796="",G3796="?"),"",IFERROR(INDEX(Pubs!$C$2:$C$3001,MATCH(G3796,Pubs!$A$2:$A$3001,0))&amp;"",""))</f>
        <v/>
      </c>
      <c r="J3796" s="27" t="str">
        <f aca="false">IF(OR(G3796="",G3796="?"),"",IFERROR(INDEX(Pubs!$G$2:$G$3001,MATCH(G3796,Pubs!$A$2:$A$3001,0))&amp;"",""))</f>
        <v/>
      </c>
      <c r="K3796" s="28" t="str">
        <f aca="false">IF(OR(G3796="",G3796="?"),"",IFERROR(INDEX(Pubs!$E$2:$E$3001,MATCH(G3796,Pubs!$A$2:$A$3001,0)),""))</f>
        <v/>
      </c>
      <c r="L3796" s="29" t="str">
        <f aca="false">IF(A3796="","",IFERROR(1/(1/INDEX(Numéros!$C$2:$C$3001,MATCH(A3796&amp;"|"&amp;B3796,Numéros!$F$2:$F$3001,0))),""))</f>
        <v/>
      </c>
      <c r="M3796" s="27" t="str">
        <f aca="false">IF(OR(G3796="",G3796="?"),"",IFERROR(INDEX(Pubs!$D$2:$D$3001,MATCH(G3796,Pubs!$A$2:$A$3001,0))&amp;"",""))</f>
        <v/>
      </c>
      <c r="N3796" s="27" t="n">
        <f aca="false">N(N3795)+IF(AND(A3796&lt;&gt;"",OR(Recherche!$C$4="",A3796=Recherche!$C$4),OR(Recherche!$C$5="",B3796&amp;""=Recherche!$C$5&amp;""),OR(Recherche!$C$6="",IFERROR(YEAR(L3796),0)=Recherche!$C$6),OR(Recherche!$C$7="",ISNUMBER(SEARCH(Recherche!$C$7,H3796))),OR(Recherche!$C$8="",J3796=Recherche!$C$8),OR(Recherche!$C$9="",I3796=Recherche!$C$9),OR(Recherche!$C$10="",G3796&amp;""=Recherche!$C$10&amp;""),OR(Recherche!$C$11="",E3796=Recherche!$C$11),OR(Recherche!$C$12="",ISNUMBER(SEARCH(Recherche!$C$12,M3796&amp;" "&amp;F3796)))),1,0)</f>
        <v>8</v>
      </c>
    </row>
    <row r="3797" customFormat="false" ht="15" hidden="false" customHeight="false" outlineLevel="0" collapsed="false">
      <c r="A3797" s="19"/>
      <c r="B3797" s="19"/>
      <c r="C3797" s="19"/>
      <c r="D3797" s="19"/>
      <c r="E3797" s="22"/>
      <c r="F3797" s="19"/>
      <c r="G3797" s="26" t="str">
        <f aca="false">IF(D3797="","",IFERROR(VALUE(LEFT(D3797,FIND(" |",D3797&amp;" |")-1)),"?"))</f>
        <v/>
      </c>
      <c r="H3797" s="27" t="str">
        <f aca="false">IF(G3797="","",IF(G3797="?","⚠ pub inconnue",IFERROR(INDEX(Pubs!$B$2:$B$3001,MATCH(G3797,Pubs!$A$2:$A$3001,0))&amp;"","⚠ pub inconnue")))</f>
        <v/>
      </c>
      <c r="I3797" s="27" t="str">
        <f aca="false">IF(OR(G3797="",G3797="?"),"",IFERROR(INDEX(Pubs!$C$2:$C$3001,MATCH(G3797,Pubs!$A$2:$A$3001,0))&amp;"",""))</f>
        <v/>
      </c>
      <c r="J3797" s="27" t="str">
        <f aca="false">IF(OR(G3797="",G3797="?"),"",IFERROR(INDEX(Pubs!$G$2:$G$3001,MATCH(G3797,Pubs!$A$2:$A$3001,0))&amp;"",""))</f>
        <v/>
      </c>
      <c r="K3797" s="28" t="str">
        <f aca="false">IF(OR(G3797="",G3797="?"),"",IFERROR(INDEX(Pubs!$E$2:$E$3001,MATCH(G3797,Pubs!$A$2:$A$3001,0)),""))</f>
        <v/>
      </c>
      <c r="L3797" s="29" t="str">
        <f aca="false">IF(A3797="","",IFERROR(1/(1/INDEX(Numéros!$C$2:$C$3001,MATCH(A3797&amp;"|"&amp;B3797,Numéros!$F$2:$F$3001,0))),""))</f>
        <v/>
      </c>
      <c r="M3797" s="27" t="str">
        <f aca="false">IF(OR(G3797="",G3797="?"),"",IFERROR(INDEX(Pubs!$D$2:$D$3001,MATCH(G3797,Pubs!$A$2:$A$3001,0))&amp;"",""))</f>
        <v/>
      </c>
      <c r="N3797" s="27" t="n">
        <f aca="false">N(N3796)+IF(AND(A3797&lt;&gt;"",OR(Recherche!$C$4="",A3797=Recherche!$C$4),OR(Recherche!$C$5="",B3797&amp;""=Recherche!$C$5&amp;""),OR(Recherche!$C$6="",IFERROR(YEAR(L3797),0)=Recherche!$C$6),OR(Recherche!$C$7="",ISNUMBER(SEARCH(Recherche!$C$7,H3797))),OR(Recherche!$C$8="",J3797=Recherche!$C$8),OR(Recherche!$C$9="",I3797=Recherche!$C$9),OR(Recherche!$C$10="",G3797&amp;""=Recherche!$C$10&amp;""),OR(Recherche!$C$11="",E3797=Recherche!$C$11),OR(Recherche!$C$12="",ISNUMBER(SEARCH(Recherche!$C$12,M3797&amp;" "&amp;F3797)))),1,0)</f>
        <v>8</v>
      </c>
    </row>
    <row r="3798" customFormat="false" ht="15" hidden="false" customHeight="false" outlineLevel="0" collapsed="false">
      <c r="A3798" s="19"/>
      <c r="B3798" s="19"/>
      <c r="C3798" s="19"/>
      <c r="D3798" s="19"/>
      <c r="E3798" s="22"/>
      <c r="F3798" s="19"/>
      <c r="G3798" s="26" t="str">
        <f aca="false">IF(D3798="","",IFERROR(VALUE(LEFT(D3798,FIND(" |",D3798&amp;" |")-1)),"?"))</f>
        <v/>
      </c>
      <c r="H3798" s="27" t="str">
        <f aca="false">IF(G3798="","",IF(G3798="?","⚠ pub inconnue",IFERROR(INDEX(Pubs!$B$2:$B$3001,MATCH(G3798,Pubs!$A$2:$A$3001,0))&amp;"","⚠ pub inconnue")))</f>
        <v/>
      </c>
      <c r="I3798" s="27" t="str">
        <f aca="false">IF(OR(G3798="",G3798="?"),"",IFERROR(INDEX(Pubs!$C$2:$C$3001,MATCH(G3798,Pubs!$A$2:$A$3001,0))&amp;"",""))</f>
        <v/>
      </c>
      <c r="J3798" s="27" t="str">
        <f aca="false">IF(OR(G3798="",G3798="?"),"",IFERROR(INDEX(Pubs!$G$2:$G$3001,MATCH(G3798,Pubs!$A$2:$A$3001,0))&amp;"",""))</f>
        <v/>
      </c>
      <c r="K3798" s="28" t="str">
        <f aca="false">IF(OR(G3798="",G3798="?"),"",IFERROR(INDEX(Pubs!$E$2:$E$3001,MATCH(G3798,Pubs!$A$2:$A$3001,0)),""))</f>
        <v/>
      </c>
      <c r="L3798" s="29" t="str">
        <f aca="false">IF(A3798="","",IFERROR(1/(1/INDEX(Numéros!$C$2:$C$3001,MATCH(A3798&amp;"|"&amp;B3798,Numéros!$F$2:$F$3001,0))),""))</f>
        <v/>
      </c>
      <c r="M3798" s="27" t="str">
        <f aca="false">IF(OR(G3798="",G3798="?"),"",IFERROR(INDEX(Pubs!$D$2:$D$3001,MATCH(G3798,Pubs!$A$2:$A$3001,0))&amp;"",""))</f>
        <v/>
      </c>
      <c r="N3798" s="27" t="n">
        <f aca="false">N(N3797)+IF(AND(A3798&lt;&gt;"",OR(Recherche!$C$4="",A3798=Recherche!$C$4),OR(Recherche!$C$5="",B3798&amp;""=Recherche!$C$5&amp;""),OR(Recherche!$C$6="",IFERROR(YEAR(L3798),0)=Recherche!$C$6),OR(Recherche!$C$7="",ISNUMBER(SEARCH(Recherche!$C$7,H3798))),OR(Recherche!$C$8="",J3798=Recherche!$C$8),OR(Recherche!$C$9="",I3798=Recherche!$C$9),OR(Recherche!$C$10="",G3798&amp;""=Recherche!$C$10&amp;""),OR(Recherche!$C$11="",E3798=Recherche!$C$11),OR(Recherche!$C$12="",ISNUMBER(SEARCH(Recherche!$C$12,M3798&amp;" "&amp;F3798)))),1,0)</f>
        <v>8</v>
      </c>
    </row>
    <row r="3799" customFormat="false" ht="15" hidden="false" customHeight="false" outlineLevel="0" collapsed="false">
      <c r="A3799" s="19"/>
      <c r="B3799" s="19"/>
      <c r="C3799" s="19"/>
      <c r="D3799" s="19"/>
      <c r="E3799" s="22"/>
      <c r="F3799" s="19"/>
      <c r="G3799" s="26" t="str">
        <f aca="false">IF(D3799="","",IFERROR(VALUE(LEFT(D3799,FIND(" |",D3799&amp;" |")-1)),"?"))</f>
        <v/>
      </c>
      <c r="H3799" s="27" t="str">
        <f aca="false">IF(G3799="","",IF(G3799="?","⚠ pub inconnue",IFERROR(INDEX(Pubs!$B$2:$B$3001,MATCH(G3799,Pubs!$A$2:$A$3001,0))&amp;"","⚠ pub inconnue")))</f>
        <v/>
      </c>
      <c r="I3799" s="27" t="str">
        <f aca="false">IF(OR(G3799="",G3799="?"),"",IFERROR(INDEX(Pubs!$C$2:$C$3001,MATCH(G3799,Pubs!$A$2:$A$3001,0))&amp;"",""))</f>
        <v/>
      </c>
      <c r="J3799" s="27" t="str">
        <f aca="false">IF(OR(G3799="",G3799="?"),"",IFERROR(INDEX(Pubs!$G$2:$G$3001,MATCH(G3799,Pubs!$A$2:$A$3001,0))&amp;"",""))</f>
        <v/>
      </c>
      <c r="K3799" s="28" t="str">
        <f aca="false">IF(OR(G3799="",G3799="?"),"",IFERROR(INDEX(Pubs!$E$2:$E$3001,MATCH(G3799,Pubs!$A$2:$A$3001,0)),""))</f>
        <v/>
      </c>
      <c r="L3799" s="29" t="str">
        <f aca="false">IF(A3799="","",IFERROR(1/(1/INDEX(Numéros!$C$2:$C$3001,MATCH(A3799&amp;"|"&amp;B3799,Numéros!$F$2:$F$3001,0))),""))</f>
        <v/>
      </c>
      <c r="M3799" s="27" t="str">
        <f aca="false">IF(OR(G3799="",G3799="?"),"",IFERROR(INDEX(Pubs!$D$2:$D$3001,MATCH(G3799,Pubs!$A$2:$A$3001,0))&amp;"",""))</f>
        <v/>
      </c>
      <c r="N3799" s="27" t="n">
        <f aca="false">N(N3798)+IF(AND(A3799&lt;&gt;"",OR(Recherche!$C$4="",A3799=Recherche!$C$4),OR(Recherche!$C$5="",B3799&amp;""=Recherche!$C$5&amp;""),OR(Recherche!$C$6="",IFERROR(YEAR(L3799),0)=Recherche!$C$6),OR(Recherche!$C$7="",ISNUMBER(SEARCH(Recherche!$C$7,H3799))),OR(Recherche!$C$8="",J3799=Recherche!$C$8),OR(Recherche!$C$9="",I3799=Recherche!$C$9),OR(Recherche!$C$10="",G3799&amp;""=Recherche!$C$10&amp;""),OR(Recherche!$C$11="",E3799=Recherche!$C$11),OR(Recherche!$C$12="",ISNUMBER(SEARCH(Recherche!$C$12,M3799&amp;" "&amp;F3799)))),1,0)</f>
        <v>8</v>
      </c>
    </row>
    <row r="3800" customFormat="false" ht="15" hidden="false" customHeight="false" outlineLevel="0" collapsed="false">
      <c r="A3800" s="19"/>
      <c r="B3800" s="19"/>
      <c r="C3800" s="19"/>
      <c r="D3800" s="19"/>
      <c r="E3800" s="22"/>
      <c r="F3800" s="19"/>
      <c r="G3800" s="26" t="str">
        <f aca="false">IF(D3800="","",IFERROR(VALUE(LEFT(D3800,FIND(" |",D3800&amp;" |")-1)),"?"))</f>
        <v/>
      </c>
      <c r="H3800" s="27" t="str">
        <f aca="false">IF(G3800="","",IF(G3800="?","⚠ pub inconnue",IFERROR(INDEX(Pubs!$B$2:$B$3001,MATCH(G3800,Pubs!$A$2:$A$3001,0))&amp;"","⚠ pub inconnue")))</f>
        <v/>
      </c>
      <c r="I3800" s="27" t="str">
        <f aca="false">IF(OR(G3800="",G3800="?"),"",IFERROR(INDEX(Pubs!$C$2:$C$3001,MATCH(G3800,Pubs!$A$2:$A$3001,0))&amp;"",""))</f>
        <v/>
      </c>
      <c r="J3800" s="27" t="str">
        <f aca="false">IF(OR(G3800="",G3800="?"),"",IFERROR(INDEX(Pubs!$G$2:$G$3001,MATCH(G3800,Pubs!$A$2:$A$3001,0))&amp;"",""))</f>
        <v/>
      </c>
      <c r="K3800" s="28" t="str">
        <f aca="false">IF(OR(G3800="",G3800="?"),"",IFERROR(INDEX(Pubs!$E$2:$E$3001,MATCH(G3800,Pubs!$A$2:$A$3001,0)),""))</f>
        <v/>
      </c>
      <c r="L3800" s="29" t="str">
        <f aca="false">IF(A3800="","",IFERROR(1/(1/INDEX(Numéros!$C$2:$C$3001,MATCH(A3800&amp;"|"&amp;B3800,Numéros!$F$2:$F$3001,0))),""))</f>
        <v/>
      </c>
      <c r="M3800" s="27" t="str">
        <f aca="false">IF(OR(G3800="",G3800="?"),"",IFERROR(INDEX(Pubs!$D$2:$D$3001,MATCH(G3800,Pubs!$A$2:$A$3001,0))&amp;"",""))</f>
        <v/>
      </c>
      <c r="N3800" s="27" t="n">
        <f aca="false">N(N3799)+IF(AND(A3800&lt;&gt;"",OR(Recherche!$C$4="",A3800=Recherche!$C$4),OR(Recherche!$C$5="",B3800&amp;""=Recherche!$C$5&amp;""),OR(Recherche!$C$6="",IFERROR(YEAR(L3800),0)=Recherche!$C$6),OR(Recherche!$C$7="",ISNUMBER(SEARCH(Recherche!$C$7,H3800))),OR(Recherche!$C$8="",J3800=Recherche!$C$8),OR(Recherche!$C$9="",I3800=Recherche!$C$9),OR(Recherche!$C$10="",G3800&amp;""=Recherche!$C$10&amp;""),OR(Recherche!$C$11="",E3800=Recherche!$C$11),OR(Recherche!$C$12="",ISNUMBER(SEARCH(Recherche!$C$12,M3800&amp;" "&amp;F3800)))),1,0)</f>
        <v>8</v>
      </c>
    </row>
    <row r="3801" customFormat="false" ht="15" hidden="false" customHeight="false" outlineLevel="0" collapsed="false">
      <c r="A3801" s="19"/>
      <c r="B3801" s="19"/>
      <c r="C3801" s="19"/>
      <c r="D3801" s="19"/>
      <c r="E3801" s="22"/>
      <c r="F3801" s="19"/>
      <c r="G3801" s="26" t="str">
        <f aca="false">IF(D3801="","",IFERROR(VALUE(LEFT(D3801,FIND(" |",D3801&amp;" |")-1)),"?"))</f>
        <v/>
      </c>
      <c r="H3801" s="27" t="str">
        <f aca="false">IF(G3801="","",IF(G3801="?","⚠ pub inconnue",IFERROR(INDEX(Pubs!$B$2:$B$3001,MATCH(G3801,Pubs!$A$2:$A$3001,0))&amp;"","⚠ pub inconnue")))</f>
        <v/>
      </c>
      <c r="I3801" s="27" t="str">
        <f aca="false">IF(OR(G3801="",G3801="?"),"",IFERROR(INDEX(Pubs!$C$2:$C$3001,MATCH(G3801,Pubs!$A$2:$A$3001,0))&amp;"",""))</f>
        <v/>
      </c>
      <c r="J3801" s="27" t="str">
        <f aca="false">IF(OR(G3801="",G3801="?"),"",IFERROR(INDEX(Pubs!$G$2:$G$3001,MATCH(G3801,Pubs!$A$2:$A$3001,0))&amp;"",""))</f>
        <v/>
      </c>
      <c r="K3801" s="28" t="str">
        <f aca="false">IF(OR(G3801="",G3801="?"),"",IFERROR(INDEX(Pubs!$E$2:$E$3001,MATCH(G3801,Pubs!$A$2:$A$3001,0)),""))</f>
        <v/>
      </c>
      <c r="L3801" s="29" t="str">
        <f aca="false">IF(A3801="","",IFERROR(1/(1/INDEX(Numéros!$C$2:$C$3001,MATCH(A3801&amp;"|"&amp;B3801,Numéros!$F$2:$F$3001,0))),""))</f>
        <v/>
      </c>
      <c r="M3801" s="27" t="str">
        <f aca="false">IF(OR(G3801="",G3801="?"),"",IFERROR(INDEX(Pubs!$D$2:$D$3001,MATCH(G3801,Pubs!$A$2:$A$3001,0))&amp;"",""))</f>
        <v/>
      </c>
      <c r="N3801" s="27" t="n">
        <f aca="false">N(N3800)+IF(AND(A3801&lt;&gt;"",OR(Recherche!$C$4="",A3801=Recherche!$C$4),OR(Recherche!$C$5="",B3801&amp;""=Recherche!$C$5&amp;""),OR(Recherche!$C$6="",IFERROR(YEAR(L3801),0)=Recherche!$C$6),OR(Recherche!$C$7="",ISNUMBER(SEARCH(Recherche!$C$7,H3801))),OR(Recherche!$C$8="",J3801=Recherche!$C$8),OR(Recherche!$C$9="",I3801=Recherche!$C$9),OR(Recherche!$C$10="",G3801&amp;""=Recherche!$C$10&amp;""),OR(Recherche!$C$11="",E3801=Recherche!$C$11),OR(Recherche!$C$12="",ISNUMBER(SEARCH(Recherche!$C$12,M3801&amp;" "&amp;F3801)))),1,0)</f>
        <v>8</v>
      </c>
    </row>
    <row r="3802" customFormat="false" ht="15" hidden="false" customHeight="false" outlineLevel="0" collapsed="false">
      <c r="A3802" s="19"/>
      <c r="B3802" s="19"/>
      <c r="C3802" s="19"/>
      <c r="D3802" s="19"/>
      <c r="E3802" s="22"/>
      <c r="F3802" s="19"/>
      <c r="G3802" s="26" t="str">
        <f aca="false">IF(D3802="","",IFERROR(VALUE(LEFT(D3802,FIND(" |",D3802&amp;" |")-1)),"?"))</f>
        <v/>
      </c>
      <c r="H3802" s="27" t="str">
        <f aca="false">IF(G3802="","",IF(G3802="?","⚠ pub inconnue",IFERROR(INDEX(Pubs!$B$2:$B$3001,MATCH(G3802,Pubs!$A$2:$A$3001,0))&amp;"","⚠ pub inconnue")))</f>
        <v/>
      </c>
      <c r="I3802" s="27" t="str">
        <f aca="false">IF(OR(G3802="",G3802="?"),"",IFERROR(INDEX(Pubs!$C$2:$C$3001,MATCH(G3802,Pubs!$A$2:$A$3001,0))&amp;"",""))</f>
        <v/>
      </c>
      <c r="J3802" s="27" t="str">
        <f aca="false">IF(OR(G3802="",G3802="?"),"",IFERROR(INDEX(Pubs!$G$2:$G$3001,MATCH(G3802,Pubs!$A$2:$A$3001,0))&amp;"",""))</f>
        <v/>
      </c>
      <c r="K3802" s="28" t="str">
        <f aca="false">IF(OR(G3802="",G3802="?"),"",IFERROR(INDEX(Pubs!$E$2:$E$3001,MATCH(G3802,Pubs!$A$2:$A$3001,0)),""))</f>
        <v/>
      </c>
      <c r="L3802" s="29" t="str">
        <f aca="false">IF(A3802="","",IFERROR(1/(1/INDEX(Numéros!$C$2:$C$3001,MATCH(A3802&amp;"|"&amp;B3802,Numéros!$F$2:$F$3001,0))),""))</f>
        <v/>
      </c>
      <c r="M3802" s="27" t="str">
        <f aca="false">IF(OR(G3802="",G3802="?"),"",IFERROR(INDEX(Pubs!$D$2:$D$3001,MATCH(G3802,Pubs!$A$2:$A$3001,0))&amp;"",""))</f>
        <v/>
      </c>
      <c r="N3802" s="27" t="n">
        <f aca="false">N(N3801)+IF(AND(A3802&lt;&gt;"",OR(Recherche!$C$4="",A3802=Recherche!$C$4),OR(Recherche!$C$5="",B3802&amp;""=Recherche!$C$5&amp;""),OR(Recherche!$C$6="",IFERROR(YEAR(L3802),0)=Recherche!$C$6),OR(Recherche!$C$7="",ISNUMBER(SEARCH(Recherche!$C$7,H3802))),OR(Recherche!$C$8="",J3802=Recherche!$C$8),OR(Recherche!$C$9="",I3802=Recherche!$C$9),OR(Recherche!$C$10="",G3802&amp;""=Recherche!$C$10&amp;""),OR(Recherche!$C$11="",E3802=Recherche!$C$11),OR(Recherche!$C$12="",ISNUMBER(SEARCH(Recherche!$C$12,M3802&amp;" "&amp;F3802)))),1,0)</f>
        <v>8</v>
      </c>
    </row>
    <row r="3803" customFormat="false" ht="15" hidden="false" customHeight="false" outlineLevel="0" collapsed="false">
      <c r="A3803" s="19"/>
      <c r="B3803" s="19"/>
      <c r="C3803" s="19"/>
      <c r="D3803" s="19"/>
      <c r="E3803" s="22"/>
      <c r="F3803" s="19"/>
      <c r="G3803" s="26" t="str">
        <f aca="false">IF(D3803="","",IFERROR(VALUE(LEFT(D3803,FIND(" |",D3803&amp;" |")-1)),"?"))</f>
        <v/>
      </c>
      <c r="H3803" s="27" t="str">
        <f aca="false">IF(G3803="","",IF(G3803="?","⚠ pub inconnue",IFERROR(INDEX(Pubs!$B$2:$B$3001,MATCH(G3803,Pubs!$A$2:$A$3001,0))&amp;"","⚠ pub inconnue")))</f>
        <v/>
      </c>
      <c r="I3803" s="27" t="str">
        <f aca="false">IF(OR(G3803="",G3803="?"),"",IFERROR(INDEX(Pubs!$C$2:$C$3001,MATCH(G3803,Pubs!$A$2:$A$3001,0))&amp;"",""))</f>
        <v/>
      </c>
      <c r="J3803" s="27" t="str">
        <f aca="false">IF(OR(G3803="",G3803="?"),"",IFERROR(INDEX(Pubs!$G$2:$G$3001,MATCH(G3803,Pubs!$A$2:$A$3001,0))&amp;"",""))</f>
        <v/>
      </c>
      <c r="K3803" s="28" t="str">
        <f aca="false">IF(OR(G3803="",G3803="?"),"",IFERROR(INDEX(Pubs!$E$2:$E$3001,MATCH(G3803,Pubs!$A$2:$A$3001,0)),""))</f>
        <v/>
      </c>
      <c r="L3803" s="29" t="str">
        <f aca="false">IF(A3803="","",IFERROR(1/(1/INDEX(Numéros!$C$2:$C$3001,MATCH(A3803&amp;"|"&amp;B3803,Numéros!$F$2:$F$3001,0))),""))</f>
        <v/>
      </c>
      <c r="M3803" s="27" t="str">
        <f aca="false">IF(OR(G3803="",G3803="?"),"",IFERROR(INDEX(Pubs!$D$2:$D$3001,MATCH(G3803,Pubs!$A$2:$A$3001,0))&amp;"",""))</f>
        <v/>
      </c>
      <c r="N3803" s="27" t="n">
        <f aca="false">N(N3802)+IF(AND(A3803&lt;&gt;"",OR(Recherche!$C$4="",A3803=Recherche!$C$4),OR(Recherche!$C$5="",B3803&amp;""=Recherche!$C$5&amp;""),OR(Recherche!$C$6="",IFERROR(YEAR(L3803),0)=Recherche!$C$6),OR(Recherche!$C$7="",ISNUMBER(SEARCH(Recherche!$C$7,H3803))),OR(Recherche!$C$8="",J3803=Recherche!$C$8),OR(Recherche!$C$9="",I3803=Recherche!$C$9),OR(Recherche!$C$10="",G3803&amp;""=Recherche!$C$10&amp;""),OR(Recherche!$C$11="",E3803=Recherche!$C$11),OR(Recherche!$C$12="",ISNUMBER(SEARCH(Recherche!$C$12,M3803&amp;" "&amp;F3803)))),1,0)</f>
        <v>8</v>
      </c>
    </row>
    <row r="3804" customFormat="false" ht="15" hidden="false" customHeight="false" outlineLevel="0" collapsed="false">
      <c r="A3804" s="19"/>
      <c r="B3804" s="19"/>
      <c r="C3804" s="19"/>
      <c r="D3804" s="19"/>
      <c r="E3804" s="22"/>
      <c r="F3804" s="19"/>
      <c r="G3804" s="26" t="str">
        <f aca="false">IF(D3804="","",IFERROR(VALUE(LEFT(D3804,FIND(" |",D3804&amp;" |")-1)),"?"))</f>
        <v/>
      </c>
      <c r="H3804" s="27" t="str">
        <f aca="false">IF(G3804="","",IF(G3804="?","⚠ pub inconnue",IFERROR(INDEX(Pubs!$B$2:$B$3001,MATCH(G3804,Pubs!$A$2:$A$3001,0))&amp;"","⚠ pub inconnue")))</f>
        <v/>
      </c>
      <c r="I3804" s="27" t="str">
        <f aca="false">IF(OR(G3804="",G3804="?"),"",IFERROR(INDEX(Pubs!$C$2:$C$3001,MATCH(G3804,Pubs!$A$2:$A$3001,0))&amp;"",""))</f>
        <v/>
      </c>
      <c r="J3804" s="27" t="str">
        <f aca="false">IF(OR(G3804="",G3804="?"),"",IFERROR(INDEX(Pubs!$G$2:$G$3001,MATCH(G3804,Pubs!$A$2:$A$3001,0))&amp;"",""))</f>
        <v/>
      </c>
      <c r="K3804" s="28" t="str">
        <f aca="false">IF(OR(G3804="",G3804="?"),"",IFERROR(INDEX(Pubs!$E$2:$E$3001,MATCH(G3804,Pubs!$A$2:$A$3001,0)),""))</f>
        <v/>
      </c>
      <c r="L3804" s="29" t="str">
        <f aca="false">IF(A3804="","",IFERROR(1/(1/INDEX(Numéros!$C$2:$C$3001,MATCH(A3804&amp;"|"&amp;B3804,Numéros!$F$2:$F$3001,0))),""))</f>
        <v/>
      </c>
      <c r="M3804" s="27" t="str">
        <f aca="false">IF(OR(G3804="",G3804="?"),"",IFERROR(INDEX(Pubs!$D$2:$D$3001,MATCH(G3804,Pubs!$A$2:$A$3001,0))&amp;"",""))</f>
        <v/>
      </c>
      <c r="N3804" s="27" t="n">
        <f aca="false">N(N3803)+IF(AND(A3804&lt;&gt;"",OR(Recherche!$C$4="",A3804=Recherche!$C$4),OR(Recherche!$C$5="",B3804&amp;""=Recherche!$C$5&amp;""),OR(Recherche!$C$6="",IFERROR(YEAR(L3804),0)=Recherche!$C$6),OR(Recherche!$C$7="",ISNUMBER(SEARCH(Recherche!$C$7,H3804))),OR(Recherche!$C$8="",J3804=Recherche!$C$8),OR(Recherche!$C$9="",I3804=Recherche!$C$9),OR(Recherche!$C$10="",G3804&amp;""=Recherche!$C$10&amp;""),OR(Recherche!$C$11="",E3804=Recherche!$C$11),OR(Recherche!$C$12="",ISNUMBER(SEARCH(Recherche!$C$12,M3804&amp;" "&amp;F3804)))),1,0)</f>
        <v>8</v>
      </c>
    </row>
    <row r="3805" customFormat="false" ht="15" hidden="false" customHeight="false" outlineLevel="0" collapsed="false">
      <c r="A3805" s="19"/>
      <c r="B3805" s="19"/>
      <c r="C3805" s="19"/>
      <c r="D3805" s="19"/>
      <c r="E3805" s="22"/>
      <c r="F3805" s="19"/>
      <c r="G3805" s="26" t="str">
        <f aca="false">IF(D3805="","",IFERROR(VALUE(LEFT(D3805,FIND(" |",D3805&amp;" |")-1)),"?"))</f>
        <v/>
      </c>
      <c r="H3805" s="27" t="str">
        <f aca="false">IF(G3805="","",IF(G3805="?","⚠ pub inconnue",IFERROR(INDEX(Pubs!$B$2:$B$3001,MATCH(G3805,Pubs!$A$2:$A$3001,0))&amp;"","⚠ pub inconnue")))</f>
        <v/>
      </c>
      <c r="I3805" s="27" t="str">
        <f aca="false">IF(OR(G3805="",G3805="?"),"",IFERROR(INDEX(Pubs!$C$2:$C$3001,MATCH(G3805,Pubs!$A$2:$A$3001,0))&amp;"",""))</f>
        <v/>
      </c>
      <c r="J3805" s="27" t="str">
        <f aca="false">IF(OR(G3805="",G3805="?"),"",IFERROR(INDEX(Pubs!$G$2:$G$3001,MATCH(G3805,Pubs!$A$2:$A$3001,0))&amp;"",""))</f>
        <v/>
      </c>
      <c r="K3805" s="28" t="str">
        <f aca="false">IF(OR(G3805="",G3805="?"),"",IFERROR(INDEX(Pubs!$E$2:$E$3001,MATCH(G3805,Pubs!$A$2:$A$3001,0)),""))</f>
        <v/>
      </c>
      <c r="L3805" s="29" t="str">
        <f aca="false">IF(A3805="","",IFERROR(1/(1/INDEX(Numéros!$C$2:$C$3001,MATCH(A3805&amp;"|"&amp;B3805,Numéros!$F$2:$F$3001,0))),""))</f>
        <v/>
      </c>
      <c r="M3805" s="27" t="str">
        <f aca="false">IF(OR(G3805="",G3805="?"),"",IFERROR(INDEX(Pubs!$D$2:$D$3001,MATCH(G3805,Pubs!$A$2:$A$3001,0))&amp;"",""))</f>
        <v/>
      </c>
      <c r="N3805" s="27" t="n">
        <f aca="false">N(N3804)+IF(AND(A3805&lt;&gt;"",OR(Recherche!$C$4="",A3805=Recherche!$C$4),OR(Recherche!$C$5="",B3805&amp;""=Recherche!$C$5&amp;""),OR(Recherche!$C$6="",IFERROR(YEAR(L3805),0)=Recherche!$C$6),OR(Recherche!$C$7="",ISNUMBER(SEARCH(Recherche!$C$7,H3805))),OR(Recherche!$C$8="",J3805=Recherche!$C$8),OR(Recherche!$C$9="",I3805=Recherche!$C$9),OR(Recherche!$C$10="",G3805&amp;""=Recherche!$C$10&amp;""),OR(Recherche!$C$11="",E3805=Recherche!$C$11),OR(Recherche!$C$12="",ISNUMBER(SEARCH(Recherche!$C$12,M3805&amp;" "&amp;F3805)))),1,0)</f>
        <v>8</v>
      </c>
    </row>
    <row r="3806" customFormat="false" ht="15" hidden="false" customHeight="false" outlineLevel="0" collapsed="false">
      <c r="A3806" s="19"/>
      <c r="B3806" s="19"/>
      <c r="C3806" s="19"/>
      <c r="D3806" s="19"/>
      <c r="E3806" s="22"/>
      <c r="F3806" s="19"/>
      <c r="G3806" s="26" t="str">
        <f aca="false">IF(D3806="","",IFERROR(VALUE(LEFT(D3806,FIND(" |",D3806&amp;" |")-1)),"?"))</f>
        <v/>
      </c>
      <c r="H3806" s="27" t="str">
        <f aca="false">IF(G3806="","",IF(G3806="?","⚠ pub inconnue",IFERROR(INDEX(Pubs!$B$2:$B$3001,MATCH(G3806,Pubs!$A$2:$A$3001,0))&amp;"","⚠ pub inconnue")))</f>
        <v/>
      </c>
      <c r="I3806" s="27" t="str">
        <f aca="false">IF(OR(G3806="",G3806="?"),"",IFERROR(INDEX(Pubs!$C$2:$C$3001,MATCH(G3806,Pubs!$A$2:$A$3001,0))&amp;"",""))</f>
        <v/>
      </c>
      <c r="J3806" s="27" t="str">
        <f aca="false">IF(OR(G3806="",G3806="?"),"",IFERROR(INDEX(Pubs!$G$2:$G$3001,MATCH(G3806,Pubs!$A$2:$A$3001,0))&amp;"",""))</f>
        <v/>
      </c>
      <c r="K3806" s="28" t="str">
        <f aca="false">IF(OR(G3806="",G3806="?"),"",IFERROR(INDEX(Pubs!$E$2:$E$3001,MATCH(G3806,Pubs!$A$2:$A$3001,0)),""))</f>
        <v/>
      </c>
      <c r="L3806" s="29" t="str">
        <f aca="false">IF(A3806="","",IFERROR(1/(1/INDEX(Numéros!$C$2:$C$3001,MATCH(A3806&amp;"|"&amp;B3806,Numéros!$F$2:$F$3001,0))),""))</f>
        <v/>
      </c>
      <c r="M3806" s="27" t="str">
        <f aca="false">IF(OR(G3806="",G3806="?"),"",IFERROR(INDEX(Pubs!$D$2:$D$3001,MATCH(G3806,Pubs!$A$2:$A$3001,0))&amp;"",""))</f>
        <v/>
      </c>
      <c r="N3806" s="27" t="n">
        <f aca="false">N(N3805)+IF(AND(A3806&lt;&gt;"",OR(Recherche!$C$4="",A3806=Recherche!$C$4),OR(Recherche!$C$5="",B3806&amp;""=Recherche!$C$5&amp;""),OR(Recherche!$C$6="",IFERROR(YEAR(L3806),0)=Recherche!$C$6),OR(Recherche!$C$7="",ISNUMBER(SEARCH(Recherche!$C$7,H3806))),OR(Recherche!$C$8="",J3806=Recherche!$C$8),OR(Recherche!$C$9="",I3806=Recherche!$C$9),OR(Recherche!$C$10="",G3806&amp;""=Recherche!$C$10&amp;""),OR(Recherche!$C$11="",E3806=Recherche!$C$11),OR(Recherche!$C$12="",ISNUMBER(SEARCH(Recherche!$C$12,M3806&amp;" "&amp;F3806)))),1,0)</f>
        <v>8</v>
      </c>
    </row>
    <row r="3807" customFormat="false" ht="15" hidden="false" customHeight="false" outlineLevel="0" collapsed="false">
      <c r="A3807" s="19"/>
      <c r="B3807" s="19"/>
      <c r="C3807" s="19"/>
      <c r="D3807" s="19"/>
      <c r="E3807" s="22"/>
      <c r="F3807" s="19"/>
      <c r="G3807" s="26" t="str">
        <f aca="false">IF(D3807="","",IFERROR(VALUE(LEFT(D3807,FIND(" |",D3807&amp;" |")-1)),"?"))</f>
        <v/>
      </c>
      <c r="H3807" s="27" t="str">
        <f aca="false">IF(G3807="","",IF(G3807="?","⚠ pub inconnue",IFERROR(INDEX(Pubs!$B$2:$B$3001,MATCH(G3807,Pubs!$A$2:$A$3001,0))&amp;"","⚠ pub inconnue")))</f>
        <v/>
      </c>
      <c r="I3807" s="27" t="str">
        <f aca="false">IF(OR(G3807="",G3807="?"),"",IFERROR(INDEX(Pubs!$C$2:$C$3001,MATCH(G3807,Pubs!$A$2:$A$3001,0))&amp;"",""))</f>
        <v/>
      </c>
      <c r="J3807" s="27" t="str">
        <f aca="false">IF(OR(G3807="",G3807="?"),"",IFERROR(INDEX(Pubs!$G$2:$G$3001,MATCH(G3807,Pubs!$A$2:$A$3001,0))&amp;"",""))</f>
        <v/>
      </c>
      <c r="K3807" s="28" t="str">
        <f aca="false">IF(OR(G3807="",G3807="?"),"",IFERROR(INDEX(Pubs!$E$2:$E$3001,MATCH(G3807,Pubs!$A$2:$A$3001,0)),""))</f>
        <v/>
      </c>
      <c r="L3807" s="29" t="str">
        <f aca="false">IF(A3807="","",IFERROR(1/(1/INDEX(Numéros!$C$2:$C$3001,MATCH(A3807&amp;"|"&amp;B3807,Numéros!$F$2:$F$3001,0))),""))</f>
        <v/>
      </c>
      <c r="M3807" s="27" t="str">
        <f aca="false">IF(OR(G3807="",G3807="?"),"",IFERROR(INDEX(Pubs!$D$2:$D$3001,MATCH(G3807,Pubs!$A$2:$A$3001,0))&amp;"",""))</f>
        <v/>
      </c>
      <c r="N3807" s="27" t="n">
        <f aca="false">N(N3806)+IF(AND(A3807&lt;&gt;"",OR(Recherche!$C$4="",A3807=Recherche!$C$4),OR(Recherche!$C$5="",B3807&amp;""=Recherche!$C$5&amp;""),OR(Recherche!$C$6="",IFERROR(YEAR(L3807),0)=Recherche!$C$6),OR(Recherche!$C$7="",ISNUMBER(SEARCH(Recherche!$C$7,H3807))),OR(Recherche!$C$8="",J3807=Recherche!$C$8),OR(Recherche!$C$9="",I3807=Recherche!$C$9),OR(Recherche!$C$10="",G3807&amp;""=Recherche!$C$10&amp;""),OR(Recherche!$C$11="",E3807=Recherche!$C$11),OR(Recherche!$C$12="",ISNUMBER(SEARCH(Recherche!$C$12,M3807&amp;" "&amp;F3807)))),1,0)</f>
        <v>8</v>
      </c>
    </row>
    <row r="3808" customFormat="false" ht="15" hidden="false" customHeight="false" outlineLevel="0" collapsed="false">
      <c r="A3808" s="19"/>
      <c r="B3808" s="19"/>
      <c r="C3808" s="19"/>
      <c r="D3808" s="19"/>
      <c r="E3808" s="22"/>
      <c r="F3808" s="19"/>
      <c r="G3808" s="26" t="str">
        <f aca="false">IF(D3808="","",IFERROR(VALUE(LEFT(D3808,FIND(" |",D3808&amp;" |")-1)),"?"))</f>
        <v/>
      </c>
      <c r="H3808" s="27" t="str">
        <f aca="false">IF(G3808="","",IF(G3808="?","⚠ pub inconnue",IFERROR(INDEX(Pubs!$B$2:$B$3001,MATCH(G3808,Pubs!$A$2:$A$3001,0))&amp;"","⚠ pub inconnue")))</f>
        <v/>
      </c>
      <c r="I3808" s="27" t="str">
        <f aca="false">IF(OR(G3808="",G3808="?"),"",IFERROR(INDEX(Pubs!$C$2:$C$3001,MATCH(G3808,Pubs!$A$2:$A$3001,0))&amp;"",""))</f>
        <v/>
      </c>
      <c r="J3808" s="27" t="str">
        <f aca="false">IF(OR(G3808="",G3808="?"),"",IFERROR(INDEX(Pubs!$G$2:$G$3001,MATCH(G3808,Pubs!$A$2:$A$3001,0))&amp;"",""))</f>
        <v/>
      </c>
      <c r="K3808" s="28" t="str">
        <f aca="false">IF(OR(G3808="",G3808="?"),"",IFERROR(INDEX(Pubs!$E$2:$E$3001,MATCH(G3808,Pubs!$A$2:$A$3001,0)),""))</f>
        <v/>
      </c>
      <c r="L3808" s="29" t="str">
        <f aca="false">IF(A3808="","",IFERROR(1/(1/INDEX(Numéros!$C$2:$C$3001,MATCH(A3808&amp;"|"&amp;B3808,Numéros!$F$2:$F$3001,0))),""))</f>
        <v/>
      </c>
      <c r="M3808" s="27" t="str">
        <f aca="false">IF(OR(G3808="",G3808="?"),"",IFERROR(INDEX(Pubs!$D$2:$D$3001,MATCH(G3808,Pubs!$A$2:$A$3001,0))&amp;"",""))</f>
        <v/>
      </c>
      <c r="N3808" s="27" t="n">
        <f aca="false">N(N3807)+IF(AND(A3808&lt;&gt;"",OR(Recherche!$C$4="",A3808=Recherche!$C$4),OR(Recherche!$C$5="",B3808&amp;""=Recherche!$C$5&amp;""),OR(Recherche!$C$6="",IFERROR(YEAR(L3808),0)=Recherche!$C$6),OR(Recherche!$C$7="",ISNUMBER(SEARCH(Recherche!$C$7,H3808))),OR(Recherche!$C$8="",J3808=Recherche!$C$8),OR(Recherche!$C$9="",I3808=Recherche!$C$9),OR(Recherche!$C$10="",G3808&amp;""=Recherche!$C$10&amp;""),OR(Recherche!$C$11="",E3808=Recherche!$C$11),OR(Recherche!$C$12="",ISNUMBER(SEARCH(Recherche!$C$12,M3808&amp;" "&amp;F3808)))),1,0)</f>
        <v>8</v>
      </c>
    </row>
    <row r="3809" customFormat="false" ht="15" hidden="false" customHeight="false" outlineLevel="0" collapsed="false">
      <c r="A3809" s="19"/>
      <c r="B3809" s="19"/>
      <c r="C3809" s="19"/>
      <c r="D3809" s="19"/>
      <c r="E3809" s="22"/>
      <c r="F3809" s="19"/>
      <c r="G3809" s="26" t="str">
        <f aca="false">IF(D3809="","",IFERROR(VALUE(LEFT(D3809,FIND(" |",D3809&amp;" |")-1)),"?"))</f>
        <v/>
      </c>
      <c r="H3809" s="27" t="str">
        <f aca="false">IF(G3809="","",IF(G3809="?","⚠ pub inconnue",IFERROR(INDEX(Pubs!$B$2:$B$3001,MATCH(G3809,Pubs!$A$2:$A$3001,0))&amp;"","⚠ pub inconnue")))</f>
        <v/>
      </c>
      <c r="I3809" s="27" t="str">
        <f aca="false">IF(OR(G3809="",G3809="?"),"",IFERROR(INDEX(Pubs!$C$2:$C$3001,MATCH(G3809,Pubs!$A$2:$A$3001,0))&amp;"",""))</f>
        <v/>
      </c>
      <c r="J3809" s="27" t="str">
        <f aca="false">IF(OR(G3809="",G3809="?"),"",IFERROR(INDEX(Pubs!$G$2:$G$3001,MATCH(G3809,Pubs!$A$2:$A$3001,0))&amp;"",""))</f>
        <v/>
      </c>
      <c r="K3809" s="28" t="str">
        <f aca="false">IF(OR(G3809="",G3809="?"),"",IFERROR(INDEX(Pubs!$E$2:$E$3001,MATCH(G3809,Pubs!$A$2:$A$3001,0)),""))</f>
        <v/>
      </c>
      <c r="L3809" s="29" t="str">
        <f aca="false">IF(A3809="","",IFERROR(1/(1/INDEX(Numéros!$C$2:$C$3001,MATCH(A3809&amp;"|"&amp;B3809,Numéros!$F$2:$F$3001,0))),""))</f>
        <v/>
      </c>
      <c r="M3809" s="27" t="str">
        <f aca="false">IF(OR(G3809="",G3809="?"),"",IFERROR(INDEX(Pubs!$D$2:$D$3001,MATCH(G3809,Pubs!$A$2:$A$3001,0))&amp;"",""))</f>
        <v/>
      </c>
      <c r="N3809" s="27" t="n">
        <f aca="false">N(N3808)+IF(AND(A3809&lt;&gt;"",OR(Recherche!$C$4="",A3809=Recherche!$C$4),OR(Recherche!$C$5="",B3809&amp;""=Recherche!$C$5&amp;""),OR(Recherche!$C$6="",IFERROR(YEAR(L3809),0)=Recherche!$C$6),OR(Recherche!$C$7="",ISNUMBER(SEARCH(Recherche!$C$7,H3809))),OR(Recherche!$C$8="",J3809=Recherche!$C$8),OR(Recherche!$C$9="",I3809=Recherche!$C$9),OR(Recherche!$C$10="",G3809&amp;""=Recherche!$C$10&amp;""),OR(Recherche!$C$11="",E3809=Recherche!$C$11),OR(Recherche!$C$12="",ISNUMBER(SEARCH(Recherche!$C$12,M3809&amp;" "&amp;F3809)))),1,0)</f>
        <v>8</v>
      </c>
    </row>
    <row r="3810" customFormat="false" ht="15" hidden="false" customHeight="false" outlineLevel="0" collapsed="false">
      <c r="A3810" s="19"/>
      <c r="B3810" s="19"/>
      <c r="C3810" s="19"/>
      <c r="D3810" s="19"/>
      <c r="E3810" s="22"/>
      <c r="F3810" s="19"/>
      <c r="G3810" s="26" t="str">
        <f aca="false">IF(D3810="","",IFERROR(VALUE(LEFT(D3810,FIND(" |",D3810&amp;" |")-1)),"?"))</f>
        <v/>
      </c>
      <c r="H3810" s="27" t="str">
        <f aca="false">IF(G3810="","",IF(G3810="?","⚠ pub inconnue",IFERROR(INDEX(Pubs!$B$2:$B$3001,MATCH(G3810,Pubs!$A$2:$A$3001,0))&amp;"","⚠ pub inconnue")))</f>
        <v/>
      </c>
      <c r="I3810" s="27" t="str">
        <f aca="false">IF(OR(G3810="",G3810="?"),"",IFERROR(INDEX(Pubs!$C$2:$C$3001,MATCH(G3810,Pubs!$A$2:$A$3001,0))&amp;"",""))</f>
        <v/>
      </c>
      <c r="J3810" s="27" t="str">
        <f aca="false">IF(OR(G3810="",G3810="?"),"",IFERROR(INDEX(Pubs!$G$2:$G$3001,MATCH(G3810,Pubs!$A$2:$A$3001,0))&amp;"",""))</f>
        <v/>
      </c>
      <c r="K3810" s="28" t="str">
        <f aca="false">IF(OR(G3810="",G3810="?"),"",IFERROR(INDEX(Pubs!$E$2:$E$3001,MATCH(G3810,Pubs!$A$2:$A$3001,0)),""))</f>
        <v/>
      </c>
      <c r="L3810" s="29" t="str">
        <f aca="false">IF(A3810="","",IFERROR(1/(1/INDEX(Numéros!$C$2:$C$3001,MATCH(A3810&amp;"|"&amp;B3810,Numéros!$F$2:$F$3001,0))),""))</f>
        <v/>
      </c>
      <c r="M3810" s="27" t="str">
        <f aca="false">IF(OR(G3810="",G3810="?"),"",IFERROR(INDEX(Pubs!$D$2:$D$3001,MATCH(G3810,Pubs!$A$2:$A$3001,0))&amp;"",""))</f>
        <v/>
      </c>
      <c r="N3810" s="27" t="n">
        <f aca="false">N(N3809)+IF(AND(A3810&lt;&gt;"",OR(Recherche!$C$4="",A3810=Recherche!$C$4),OR(Recherche!$C$5="",B3810&amp;""=Recherche!$C$5&amp;""),OR(Recherche!$C$6="",IFERROR(YEAR(L3810),0)=Recherche!$C$6),OR(Recherche!$C$7="",ISNUMBER(SEARCH(Recherche!$C$7,H3810))),OR(Recherche!$C$8="",J3810=Recherche!$C$8),OR(Recherche!$C$9="",I3810=Recherche!$C$9),OR(Recherche!$C$10="",G3810&amp;""=Recherche!$C$10&amp;""),OR(Recherche!$C$11="",E3810=Recherche!$C$11),OR(Recherche!$C$12="",ISNUMBER(SEARCH(Recherche!$C$12,M3810&amp;" "&amp;F3810)))),1,0)</f>
        <v>8</v>
      </c>
    </row>
    <row r="3811" customFormat="false" ht="15" hidden="false" customHeight="false" outlineLevel="0" collapsed="false">
      <c r="A3811" s="19"/>
      <c r="B3811" s="19"/>
      <c r="C3811" s="19"/>
      <c r="D3811" s="19"/>
      <c r="E3811" s="22"/>
      <c r="F3811" s="19"/>
      <c r="G3811" s="26" t="str">
        <f aca="false">IF(D3811="","",IFERROR(VALUE(LEFT(D3811,FIND(" |",D3811&amp;" |")-1)),"?"))</f>
        <v/>
      </c>
      <c r="H3811" s="27" t="str">
        <f aca="false">IF(G3811="","",IF(G3811="?","⚠ pub inconnue",IFERROR(INDEX(Pubs!$B$2:$B$3001,MATCH(G3811,Pubs!$A$2:$A$3001,0))&amp;"","⚠ pub inconnue")))</f>
        <v/>
      </c>
      <c r="I3811" s="27" t="str">
        <f aca="false">IF(OR(G3811="",G3811="?"),"",IFERROR(INDEX(Pubs!$C$2:$C$3001,MATCH(G3811,Pubs!$A$2:$A$3001,0))&amp;"",""))</f>
        <v/>
      </c>
      <c r="J3811" s="27" t="str">
        <f aca="false">IF(OR(G3811="",G3811="?"),"",IFERROR(INDEX(Pubs!$G$2:$G$3001,MATCH(G3811,Pubs!$A$2:$A$3001,0))&amp;"",""))</f>
        <v/>
      </c>
      <c r="K3811" s="28" t="str">
        <f aca="false">IF(OR(G3811="",G3811="?"),"",IFERROR(INDEX(Pubs!$E$2:$E$3001,MATCH(G3811,Pubs!$A$2:$A$3001,0)),""))</f>
        <v/>
      </c>
      <c r="L3811" s="29" t="str">
        <f aca="false">IF(A3811="","",IFERROR(1/(1/INDEX(Numéros!$C$2:$C$3001,MATCH(A3811&amp;"|"&amp;B3811,Numéros!$F$2:$F$3001,0))),""))</f>
        <v/>
      </c>
      <c r="M3811" s="27" t="str">
        <f aca="false">IF(OR(G3811="",G3811="?"),"",IFERROR(INDEX(Pubs!$D$2:$D$3001,MATCH(G3811,Pubs!$A$2:$A$3001,0))&amp;"",""))</f>
        <v/>
      </c>
      <c r="N3811" s="27" t="n">
        <f aca="false">N(N3810)+IF(AND(A3811&lt;&gt;"",OR(Recherche!$C$4="",A3811=Recherche!$C$4),OR(Recherche!$C$5="",B3811&amp;""=Recherche!$C$5&amp;""),OR(Recherche!$C$6="",IFERROR(YEAR(L3811),0)=Recherche!$C$6),OR(Recherche!$C$7="",ISNUMBER(SEARCH(Recherche!$C$7,H3811))),OR(Recherche!$C$8="",J3811=Recherche!$C$8),OR(Recherche!$C$9="",I3811=Recherche!$C$9),OR(Recherche!$C$10="",G3811&amp;""=Recherche!$C$10&amp;""),OR(Recherche!$C$11="",E3811=Recherche!$C$11),OR(Recherche!$C$12="",ISNUMBER(SEARCH(Recherche!$C$12,M3811&amp;" "&amp;F3811)))),1,0)</f>
        <v>8</v>
      </c>
    </row>
    <row r="3812" customFormat="false" ht="15" hidden="false" customHeight="false" outlineLevel="0" collapsed="false">
      <c r="A3812" s="19"/>
      <c r="B3812" s="19"/>
      <c r="C3812" s="19"/>
      <c r="D3812" s="19"/>
      <c r="E3812" s="22"/>
      <c r="F3812" s="19"/>
      <c r="G3812" s="26" t="str">
        <f aca="false">IF(D3812="","",IFERROR(VALUE(LEFT(D3812,FIND(" |",D3812&amp;" |")-1)),"?"))</f>
        <v/>
      </c>
      <c r="H3812" s="27" t="str">
        <f aca="false">IF(G3812="","",IF(G3812="?","⚠ pub inconnue",IFERROR(INDEX(Pubs!$B$2:$B$3001,MATCH(G3812,Pubs!$A$2:$A$3001,0))&amp;"","⚠ pub inconnue")))</f>
        <v/>
      </c>
      <c r="I3812" s="27" t="str">
        <f aca="false">IF(OR(G3812="",G3812="?"),"",IFERROR(INDEX(Pubs!$C$2:$C$3001,MATCH(G3812,Pubs!$A$2:$A$3001,0))&amp;"",""))</f>
        <v/>
      </c>
      <c r="J3812" s="27" t="str">
        <f aca="false">IF(OR(G3812="",G3812="?"),"",IFERROR(INDEX(Pubs!$G$2:$G$3001,MATCH(G3812,Pubs!$A$2:$A$3001,0))&amp;"",""))</f>
        <v/>
      </c>
      <c r="K3812" s="28" t="str">
        <f aca="false">IF(OR(G3812="",G3812="?"),"",IFERROR(INDEX(Pubs!$E$2:$E$3001,MATCH(G3812,Pubs!$A$2:$A$3001,0)),""))</f>
        <v/>
      </c>
      <c r="L3812" s="29" t="str">
        <f aca="false">IF(A3812="","",IFERROR(1/(1/INDEX(Numéros!$C$2:$C$3001,MATCH(A3812&amp;"|"&amp;B3812,Numéros!$F$2:$F$3001,0))),""))</f>
        <v/>
      </c>
      <c r="M3812" s="27" t="str">
        <f aca="false">IF(OR(G3812="",G3812="?"),"",IFERROR(INDEX(Pubs!$D$2:$D$3001,MATCH(G3812,Pubs!$A$2:$A$3001,0))&amp;"",""))</f>
        <v/>
      </c>
      <c r="N3812" s="27" t="n">
        <f aca="false">N(N3811)+IF(AND(A3812&lt;&gt;"",OR(Recherche!$C$4="",A3812=Recherche!$C$4),OR(Recherche!$C$5="",B3812&amp;""=Recherche!$C$5&amp;""),OR(Recherche!$C$6="",IFERROR(YEAR(L3812),0)=Recherche!$C$6),OR(Recherche!$C$7="",ISNUMBER(SEARCH(Recherche!$C$7,H3812))),OR(Recherche!$C$8="",J3812=Recherche!$C$8),OR(Recherche!$C$9="",I3812=Recherche!$C$9),OR(Recherche!$C$10="",G3812&amp;""=Recherche!$C$10&amp;""),OR(Recherche!$C$11="",E3812=Recherche!$C$11),OR(Recherche!$C$12="",ISNUMBER(SEARCH(Recherche!$C$12,M3812&amp;" "&amp;F3812)))),1,0)</f>
        <v>8</v>
      </c>
    </row>
    <row r="3813" customFormat="false" ht="15" hidden="false" customHeight="false" outlineLevel="0" collapsed="false">
      <c r="A3813" s="19"/>
      <c r="B3813" s="19"/>
      <c r="C3813" s="19"/>
      <c r="D3813" s="19"/>
      <c r="E3813" s="22"/>
      <c r="F3813" s="19"/>
      <c r="G3813" s="26" t="str">
        <f aca="false">IF(D3813="","",IFERROR(VALUE(LEFT(D3813,FIND(" |",D3813&amp;" |")-1)),"?"))</f>
        <v/>
      </c>
      <c r="H3813" s="27" t="str">
        <f aca="false">IF(G3813="","",IF(G3813="?","⚠ pub inconnue",IFERROR(INDEX(Pubs!$B$2:$B$3001,MATCH(G3813,Pubs!$A$2:$A$3001,0))&amp;"","⚠ pub inconnue")))</f>
        <v/>
      </c>
      <c r="I3813" s="27" t="str">
        <f aca="false">IF(OR(G3813="",G3813="?"),"",IFERROR(INDEX(Pubs!$C$2:$C$3001,MATCH(G3813,Pubs!$A$2:$A$3001,0))&amp;"",""))</f>
        <v/>
      </c>
      <c r="J3813" s="27" t="str">
        <f aca="false">IF(OR(G3813="",G3813="?"),"",IFERROR(INDEX(Pubs!$G$2:$G$3001,MATCH(G3813,Pubs!$A$2:$A$3001,0))&amp;"",""))</f>
        <v/>
      </c>
      <c r="K3813" s="28" t="str">
        <f aca="false">IF(OR(G3813="",G3813="?"),"",IFERROR(INDEX(Pubs!$E$2:$E$3001,MATCH(G3813,Pubs!$A$2:$A$3001,0)),""))</f>
        <v/>
      </c>
      <c r="L3813" s="29" t="str">
        <f aca="false">IF(A3813="","",IFERROR(1/(1/INDEX(Numéros!$C$2:$C$3001,MATCH(A3813&amp;"|"&amp;B3813,Numéros!$F$2:$F$3001,0))),""))</f>
        <v/>
      </c>
      <c r="M3813" s="27" t="str">
        <f aca="false">IF(OR(G3813="",G3813="?"),"",IFERROR(INDEX(Pubs!$D$2:$D$3001,MATCH(G3813,Pubs!$A$2:$A$3001,0))&amp;"",""))</f>
        <v/>
      </c>
      <c r="N3813" s="27" t="n">
        <f aca="false">N(N3812)+IF(AND(A3813&lt;&gt;"",OR(Recherche!$C$4="",A3813=Recherche!$C$4),OR(Recherche!$C$5="",B3813&amp;""=Recherche!$C$5&amp;""),OR(Recherche!$C$6="",IFERROR(YEAR(L3813),0)=Recherche!$C$6),OR(Recherche!$C$7="",ISNUMBER(SEARCH(Recherche!$C$7,H3813))),OR(Recherche!$C$8="",J3813=Recherche!$C$8),OR(Recherche!$C$9="",I3813=Recherche!$C$9),OR(Recherche!$C$10="",G3813&amp;""=Recherche!$C$10&amp;""),OR(Recherche!$C$11="",E3813=Recherche!$C$11),OR(Recherche!$C$12="",ISNUMBER(SEARCH(Recherche!$C$12,M3813&amp;" "&amp;F3813)))),1,0)</f>
        <v>8</v>
      </c>
    </row>
    <row r="3814" customFormat="false" ht="15" hidden="false" customHeight="false" outlineLevel="0" collapsed="false">
      <c r="A3814" s="19"/>
      <c r="B3814" s="19"/>
      <c r="C3814" s="19"/>
      <c r="D3814" s="19"/>
      <c r="E3814" s="22"/>
      <c r="F3814" s="19"/>
      <c r="G3814" s="26" t="str">
        <f aca="false">IF(D3814="","",IFERROR(VALUE(LEFT(D3814,FIND(" |",D3814&amp;" |")-1)),"?"))</f>
        <v/>
      </c>
      <c r="H3814" s="27" t="str">
        <f aca="false">IF(G3814="","",IF(G3814="?","⚠ pub inconnue",IFERROR(INDEX(Pubs!$B$2:$B$3001,MATCH(G3814,Pubs!$A$2:$A$3001,0))&amp;"","⚠ pub inconnue")))</f>
        <v/>
      </c>
      <c r="I3814" s="27" t="str">
        <f aca="false">IF(OR(G3814="",G3814="?"),"",IFERROR(INDEX(Pubs!$C$2:$C$3001,MATCH(G3814,Pubs!$A$2:$A$3001,0))&amp;"",""))</f>
        <v/>
      </c>
      <c r="J3814" s="27" t="str">
        <f aca="false">IF(OR(G3814="",G3814="?"),"",IFERROR(INDEX(Pubs!$G$2:$G$3001,MATCH(G3814,Pubs!$A$2:$A$3001,0))&amp;"",""))</f>
        <v/>
      </c>
      <c r="K3814" s="28" t="str">
        <f aca="false">IF(OR(G3814="",G3814="?"),"",IFERROR(INDEX(Pubs!$E$2:$E$3001,MATCH(G3814,Pubs!$A$2:$A$3001,0)),""))</f>
        <v/>
      </c>
      <c r="L3814" s="29" t="str">
        <f aca="false">IF(A3814="","",IFERROR(1/(1/INDEX(Numéros!$C$2:$C$3001,MATCH(A3814&amp;"|"&amp;B3814,Numéros!$F$2:$F$3001,0))),""))</f>
        <v/>
      </c>
      <c r="M3814" s="27" t="str">
        <f aca="false">IF(OR(G3814="",G3814="?"),"",IFERROR(INDEX(Pubs!$D$2:$D$3001,MATCH(G3814,Pubs!$A$2:$A$3001,0))&amp;"",""))</f>
        <v/>
      </c>
      <c r="N3814" s="27" t="n">
        <f aca="false">N(N3813)+IF(AND(A3814&lt;&gt;"",OR(Recherche!$C$4="",A3814=Recherche!$C$4),OR(Recherche!$C$5="",B3814&amp;""=Recherche!$C$5&amp;""),OR(Recherche!$C$6="",IFERROR(YEAR(L3814),0)=Recherche!$C$6),OR(Recherche!$C$7="",ISNUMBER(SEARCH(Recherche!$C$7,H3814))),OR(Recherche!$C$8="",J3814=Recherche!$C$8),OR(Recherche!$C$9="",I3814=Recherche!$C$9),OR(Recherche!$C$10="",G3814&amp;""=Recherche!$C$10&amp;""),OR(Recherche!$C$11="",E3814=Recherche!$C$11),OR(Recherche!$C$12="",ISNUMBER(SEARCH(Recherche!$C$12,M3814&amp;" "&amp;F3814)))),1,0)</f>
        <v>8</v>
      </c>
    </row>
    <row r="3815" customFormat="false" ht="15" hidden="false" customHeight="false" outlineLevel="0" collapsed="false">
      <c r="A3815" s="19"/>
      <c r="B3815" s="19"/>
      <c r="C3815" s="19"/>
      <c r="D3815" s="19"/>
      <c r="E3815" s="22"/>
      <c r="F3815" s="19"/>
      <c r="G3815" s="26" t="str">
        <f aca="false">IF(D3815="","",IFERROR(VALUE(LEFT(D3815,FIND(" |",D3815&amp;" |")-1)),"?"))</f>
        <v/>
      </c>
      <c r="H3815" s="27" t="str">
        <f aca="false">IF(G3815="","",IF(G3815="?","⚠ pub inconnue",IFERROR(INDEX(Pubs!$B$2:$B$3001,MATCH(G3815,Pubs!$A$2:$A$3001,0))&amp;"","⚠ pub inconnue")))</f>
        <v/>
      </c>
      <c r="I3815" s="27" t="str">
        <f aca="false">IF(OR(G3815="",G3815="?"),"",IFERROR(INDEX(Pubs!$C$2:$C$3001,MATCH(G3815,Pubs!$A$2:$A$3001,0))&amp;"",""))</f>
        <v/>
      </c>
      <c r="J3815" s="27" t="str">
        <f aca="false">IF(OR(G3815="",G3815="?"),"",IFERROR(INDEX(Pubs!$G$2:$G$3001,MATCH(G3815,Pubs!$A$2:$A$3001,0))&amp;"",""))</f>
        <v/>
      </c>
      <c r="K3815" s="28" t="str">
        <f aca="false">IF(OR(G3815="",G3815="?"),"",IFERROR(INDEX(Pubs!$E$2:$E$3001,MATCH(G3815,Pubs!$A$2:$A$3001,0)),""))</f>
        <v/>
      </c>
      <c r="L3815" s="29" t="str">
        <f aca="false">IF(A3815="","",IFERROR(1/(1/INDEX(Numéros!$C$2:$C$3001,MATCH(A3815&amp;"|"&amp;B3815,Numéros!$F$2:$F$3001,0))),""))</f>
        <v/>
      </c>
      <c r="M3815" s="27" t="str">
        <f aca="false">IF(OR(G3815="",G3815="?"),"",IFERROR(INDEX(Pubs!$D$2:$D$3001,MATCH(G3815,Pubs!$A$2:$A$3001,0))&amp;"",""))</f>
        <v/>
      </c>
      <c r="N3815" s="27" t="n">
        <f aca="false">N(N3814)+IF(AND(A3815&lt;&gt;"",OR(Recherche!$C$4="",A3815=Recherche!$C$4),OR(Recherche!$C$5="",B3815&amp;""=Recherche!$C$5&amp;""),OR(Recherche!$C$6="",IFERROR(YEAR(L3815),0)=Recherche!$C$6),OR(Recherche!$C$7="",ISNUMBER(SEARCH(Recherche!$C$7,H3815))),OR(Recherche!$C$8="",J3815=Recherche!$C$8),OR(Recherche!$C$9="",I3815=Recherche!$C$9),OR(Recherche!$C$10="",G3815&amp;""=Recherche!$C$10&amp;""),OR(Recherche!$C$11="",E3815=Recherche!$C$11),OR(Recherche!$C$12="",ISNUMBER(SEARCH(Recherche!$C$12,M3815&amp;" "&amp;F3815)))),1,0)</f>
        <v>8</v>
      </c>
    </row>
    <row r="3816" customFormat="false" ht="15" hidden="false" customHeight="false" outlineLevel="0" collapsed="false">
      <c r="A3816" s="19"/>
      <c r="B3816" s="19"/>
      <c r="C3816" s="19"/>
      <c r="D3816" s="19"/>
      <c r="E3816" s="22"/>
      <c r="F3816" s="19"/>
      <c r="G3816" s="26" t="str">
        <f aca="false">IF(D3816="","",IFERROR(VALUE(LEFT(D3816,FIND(" |",D3816&amp;" |")-1)),"?"))</f>
        <v/>
      </c>
      <c r="H3816" s="27" t="str">
        <f aca="false">IF(G3816="","",IF(G3816="?","⚠ pub inconnue",IFERROR(INDEX(Pubs!$B$2:$B$3001,MATCH(G3816,Pubs!$A$2:$A$3001,0))&amp;"","⚠ pub inconnue")))</f>
        <v/>
      </c>
      <c r="I3816" s="27" t="str">
        <f aca="false">IF(OR(G3816="",G3816="?"),"",IFERROR(INDEX(Pubs!$C$2:$C$3001,MATCH(G3816,Pubs!$A$2:$A$3001,0))&amp;"",""))</f>
        <v/>
      </c>
      <c r="J3816" s="27" t="str">
        <f aca="false">IF(OR(G3816="",G3816="?"),"",IFERROR(INDEX(Pubs!$G$2:$G$3001,MATCH(G3816,Pubs!$A$2:$A$3001,0))&amp;"",""))</f>
        <v/>
      </c>
      <c r="K3816" s="28" t="str">
        <f aca="false">IF(OR(G3816="",G3816="?"),"",IFERROR(INDEX(Pubs!$E$2:$E$3001,MATCH(G3816,Pubs!$A$2:$A$3001,0)),""))</f>
        <v/>
      </c>
      <c r="L3816" s="29" t="str">
        <f aca="false">IF(A3816="","",IFERROR(1/(1/INDEX(Numéros!$C$2:$C$3001,MATCH(A3816&amp;"|"&amp;B3816,Numéros!$F$2:$F$3001,0))),""))</f>
        <v/>
      </c>
      <c r="M3816" s="27" t="str">
        <f aca="false">IF(OR(G3816="",G3816="?"),"",IFERROR(INDEX(Pubs!$D$2:$D$3001,MATCH(G3816,Pubs!$A$2:$A$3001,0))&amp;"",""))</f>
        <v/>
      </c>
      <c r="N3816" s="27" t="n">
        <f aca="false">N(N3815)+IF(AND(A3816&lt;&gt;"",OR(Recherche!$C$4="",A3816=Recherche!$C$4),OR(Recherche!$C$5="",B3816&amp;""=Recherche!$C$5&amp;""),OR(Recherche!$C$6="",IFERROR(YEAR(L3816),0)=Recherche!$C$6),OR(Recherche!$C$7="",ISNUMBER(SEARCH(Recherche!$C$7,H3816))),OR(Recherche!$C$8="",J3816=Recherche!$C$8),OR(Recherche!$C$9="",I3816=Recherche!$C$9),OR(Recherche!$C$10="",G3816&amp;""=Recherche!$C$10&amp;""),OR(Recherche!$C$11="",E3816=Recherche!$C$11),OR(Recherche!$C$12="",ISNUMBER(SEARCH(Recherche!$C$12,M3816&amp;" "&amp;F3816)))),1,0)</f>
        <v>8</v>
      </c>
    </row>
    <row r="3817" customFormat="false" ht="15" hidden="false" customHeight="false" outlineLevel="0" collapsed="false">
      <c r="A3817" s="19"/>
      <c r="B3817" s="19"/>
      <c r="C3817" s="19"/>
      <c r="D3817" s="19"/>
      <c r="E3817" s="22"/>
      <c r="F3817" s="19"/>
      <c r="G3817" s="26" t="str">
        <f aca="false">IF(D3817="","",IFERROR(VALUE(LEFT(D3817,FIND(" |",D3817&amp;" |")-1)),"?"))</f>
        <v/>
      </c>
      <c r="H3817" s="27" t="str">
        <f aca="false">IF(G3817="","",IF(G3817="?","⚠ pub inconnue",IFERROR(INDEX(Pubs!$B$2:$B$3001,MATCH(G3817,Pubs!$A$2:$A$3001,0))&amp;"","⚠ pub inconnue")))</f>
        <v/>
      </c>
      <c r="I3817" s="27" t="str">
        <f aca="false">IF(OR(G3817="",G3817="?"),"",IFERROR(INDEX(Pubs!$C$2:$C$3001,MATCH(G3817,Pubs!$A$2:$A$3001,0))&amp;"",""))</f>
        <v/>
      </c>
      <c r="J3817" s="27" t="str">
        <f aca="false">IF(OR(G3817="",G3817="?"),"",IFERROR(INDEX(Pubs!$G$2:$G$3001,MATCH(G3817,Pubs!$A$2:$A$3001,0))&amp;"",""))</f>
        <v/>
      </c>
      <c r="K3817" s="28" t="str">
        <f aca="false">IF(OR(G3817="",G3817="?"),"",IFERROR(INDEX(Pubs!$E$2:$E$3001,MATCH(G3817,Pubs!$A$2:$A$3001,0)),""))</f>
        <v/>
      </c>
      <c r="L3817" s="29" t="str">
        <f aca="false">IF(A3817="","",IFERROR(1/(1/INDEX(Numéros!$C$2:$C$3001,MATCH(A3817&amp;"|"&amp;B3817,Numéros!$F$2:$F$3001,0))),""))</f>
        <v/>
      </c>
      <c r="M3817" s="27" t="str">
        <f aca="false">IF(OR(G3817="",G3817="?"),"",IFERROR(INDEX(Pubs!$D$2:$D$3001,MATCH(G3817,Pubs!$A$2:$A$3001,0))&amp;"",""))</f>
        <v/>
      </c>
      <c r="N3817" s="27" t="n">
        <f aca="false">N(N3816)+IF(AND(A3817&lt;&gt;"",OR(Recherche!$C$4="",A3817=Recherche!$C$4),OR(Recherche!$C$5="",B3817&amp;""=Recherche!$C$5&amp;""),OR(Recherche!$C$6="",IFERROR(YEAR(L3817),0)=Recherche!$C$6),OR(Recherche!$C$7="",ISNUMBER(SEARCH(Recherche!$C$7,H3817))),OR(Recherche!$C$8="",J3817=Recherche!$C$8),OR(Recherche!$C$9="",I3817=Recherche!$C$9),OR(Recherche!$C$10="",G3817&amp;""=Recherche!$C$10&amp;""),OR(Recherche!$C$11="",E3817=Recherche!$C$11),OR(Recherche!$C$12="",ISNUMBER(SEARCH(Recherche!$C$12,M3817&amp;" "&amp;F3817)))),1,0)</f>
        <v>8</v>
      </c>
    </row>
    <row r="3818" customFormat="false" ht="15" hidden="false" customHeight="false" outlineLevel="0" collapsed="false">
      <c r="A3818" s="19"/>
      <c r="B3818" s="19"/>
      <c r="C3818" s="19"/>
      <c r="D3818" s="19"/>
      <c r="E3818" s="22"/>
      <c r="F3818" s="19"/>
      <c r="G3818" s="26" t="str">
        <f aca="false">IF(D3818="","",IFERROR(VALUE(LEFT(D3818,FIND(" |",D3818&amp;" |")-1)),"?"))</f>
        <v/>
      </c>
      <c r="H3818" s="27" t="str">
        <f aca="false">IF(G3818="","",IF(G3818="?","⚠ pub inconnue",IFERROR(INDEX(Pubs!$B$2:$B$3001,MATCH(G3818,Pubs!$A$2:$A$3001,0))&amp;"","⚠ pub inconnue")))</f>
        <v/>
      </c>
      <c r="I3818" s="27" t="str">
        <f aca="false">IF(OR(G3818="",G3818="?"),"",IFERROR(INDEX(Pubs!$C$2:$C$3001,MATCH(G3818,Pubs!$A$2:$A$3001,0))&amp;"",""))</f>
        <v/>
      </c>
      <c r="J3818" s="27" t="str">
        <f aca="false">IF(OR(G3818="",G3818="?"),"",IFERROR(INDEX(Pubs!$G$2:$G$3001,MATCH(G3818,Pubs!$A$2:$A$3001,0))&amp;"",""))</f>
        <v/>
      </c>
      <c r="K3818" s="28" t="str">
        <f aca="false">IF(OR(G3818="",G3818="?"),"",IFERROR(INDEX(Pubs!$E$2:$E$3001,MATCH(G3818,Pubs!$A$2:$A$3001,0)),""))</f>
        <v/>
      </c>
      <c r="L3818" s="29" t="str">
        <f aca="false">IF(A3818="","",IFERROR(1/(1/INDEX(Numéros!$C$2:$C$3001,MATCH(A3818&amp;"|"&amp;B3818,Numéros!$F$2:$F$3001,0))),""))</f>
        <v/>
      </c>
      <c r="M3818" s="27" t="str">
        <f aca="false">IF(OR(G3818="",G3818="?"),"",IFERROR(INDEX(Pubs!$D$2:$D$3001,MATCH(G3818,Pubs!$A$2:$A$3001,0))&amp;"",""))</f>
        <v/>
      </c>
      <c r="N3818" s="27" t="n">
        <f aca="false">N(N3817)+IF(AND(A3818&lt;&gt;"",OR(Recherche!$C$4="",A3818=Recherche!$C$4),OR(Recherche!$C$5="",B3818&amp;""=Recherche!$C$5&amp;""),OR(Recherche!$C$6="",IFERROR(YEAR(L3818),0)=Recherche!$C$6),OR(Recherche!$C$7="",ISNUMBER(SEARCH(Recherche!$C$7,H3818))),OR(Recherche!$C$8="",J3818=Recherche!$C$8),OR(Recherche!$C$9="",I3818=Recherche!$C$9),OR(Recherche!$C$10="",G3818&amp;""=Recherche!$C$10&amp;""),OR(Recherche!$C$11="",E3818=Recherche!$C$11),OR(Recherche!$C$12="",ISNUMBER(SEARCH(Recherche!$C$12,M3818&amp;" "&amp;F3818)))),1,0)</f>
        <v>8</v>
      </c>
    </row>
    <row r="3819" customFormat="false" ht="15" hidden="false" customHeight="false" outlineLevel="0" collapsed="false">
      <c r="A3819" s="19"/>
      <c r="B3819" s="19"/>
      <c r="C3819" s="19"/>
      <c r="D3819" s="19"/>
      <c r="E3819" s="22"/>
      <c r="F3819" s="19"/>
      <c r="G3819" s="26" t="str">
        <f aca="false">IF(D3819="","",IFERROR(VALUE(LEFT(D3819,FIND(" |",D3819&amp;" |")-1)),"?"))</f>
        <v/>
      </c>
      <c r="H3819" s="27" t="str">
        <f aca="false">IF(G3819="","",IF(G3819="?","⚠ pub inconnue",IFERROR(INDEX(Pubs!$B$2:$B$3001,MATCH(G3819,Pubs!$A$2:$A$3001,0))&amp;"","⚠ pub inconnue")))</f>
        <v/>
      </c>
      <c r="I3819" s="27" t="str">
        <f aca="false">IF(OR(G3819="",G3819="?"),"",IFERROR(INDEX(Pubs!$C$2:$C$3001,MATCH(G3819,Pubs!$A$2:$A$3001,0))&amp;"",""))</f>
        <v/>
      </c>
      <c r="J3819" s="27" t="str">
        <f aca="false">IF(OR(G3819="",G3819="?"),"",IFERROR(INDEX(Pubs!$G$2:$G$3001,MATCH(G3819,Pubs!$A$2:$A$3001,0))&amp;"",""))</f>
        <v/>
      </c>
      <c r="K3819" s="28" t="str">
        <f aca="false">IF(OR(G3819="",G3819="?"),"",IFERROR(INDEX(Pubs!$E$2:$E$3001,MATCH(G3819,Pubs!$A$2:$A$3001,0)),""))</f>
        <v/>
      </c>
      <c r="L3819" s="29" t="str">
        <f aca="false">IF(A3819="","",IFERROR(1/(1/INDEX(Numéros!$C$2:$C$3001,MATCH(A3819&amp;"|"&amp;B3819,Numéros!$F$2:$F$3001,0))),""))</f>
        <v/>
      </c>
      <c r="M3819" s="27" t="str">
        <f aca="false">IF(OR(G3819="",G3819="?"),"",IFERROR(INDEX(Pubs!$D$2:$D$3001,MATCH(G3819,Pubs!$A$2:$A$3001,0))&amp;"",""))</f>
        <v/>
      </c>
      <c r="N3819" s="27" t="n">
        <f aca="false">N(N3818)+IF(AND(A3819&lt;&gt;"",OR(Recherche!$C$4="",A3819=Recherche!$C$4),OR(Recherche!$C$5="",B3819&amp;""=Recherche!$C$5&amp;""),OR(Recherche!$C$6="",IFERROR(YEAR(L3819),0)=Recherche!$C$6),OR(Recherche!$C$7="",ISNUMBER(SEARCH(Recherche!$C$7,H3819))),OR(Recherche!$C$8="",J3819=Recherche!$C$8),OR(Recherche!$C$9="",I3819=Recherche!$C$9),OR(Recherche!$C$10="",G3819&amp;""=Recherche!$C$10&amp;""),OR(Recherche!$C$11="",E3819=Recherche!$C$11),OR(Recherche!$C$12="",ISNUMBER(SEARCH(Recherche!$C$12,M3819&amp;" "&amp;F3819)))),1,0)</f>
        <v>8</v>
      </c>
    </row>
    <row r="3820" customFormat="false" ht="15" hidden="false" customHeight="false" outlineLevel="0" collapsed="false">
      <c r="A3820" s="19"/>
      <c r="B3820" s="19"/>
      <c r="C3820" s="19"/>
      <c r="D3820" s="19"/>
      <c r="E3820" s="22"/>
      <c r="F3820" s="19"/>
      <c r="G3820" s="26" t="str">
        <f aca="false">IF(D3820="","",IFERROR(VALUE(LEFT(D3820,FIND(" |",D3820&amp;" |")-1)),"?"))</f>
        <v/>
      </c>
      <c r="H3820" s="27" t="str">
        <f aca="false">IF(G3820="","",IF(G3820="?","⚠ pub inconnue",IFERROR(INDEX(Pubs!$B$2:$B$3001,MATCH(G3820,Pubs!$A$2:$A$3001,0))&amp;"","⚠ pub inconnue")))</f>
        <v/>
      </c>
      <c r="I3820" s="27" t="str">
        <f aca="false">IF(OR(G3820="",G3820="?"),"",IFERROR(INDEX(Pubs!$C$2:$C$3001,MATCH(G3820,Pubs!$A$2:$A$3001,0))&amp;"",""))</f>
        <v/>
      </c>
      <c r="J3820" s="27" t="str">
        <f aca="false">IF(OR(G3820="",G3820="?"),"",IFERROR(INDEX(Pubs!$G$2:$G$3001,MATCH(G3820,Pubs!$A$2:$A$3001,0))&amp;"",""))</f>
        <v/>
      </c>
      <c r="K3820" s="28" t="str">
        <f aca="false">IF(OR(G3820="",G3820="?"),"",IFERROR(INDEX(Pubs!$E$2:$E$3001,MATCH(G3820,Pubs!$A$2:$A$3001,0)),""))</f>
        <v/>
      </c>
      <c r="L3820" s="29" t="str">
        <f aca="false">IF(A3820="","",IFERROR(1/(1/INDEX(Numéros!$C$2:$C$3001,MATCH(A3820&amp;"|"&amp;B3820,Numéros!$F$2:$F$3001,0))),""))</f>
        <v/>
      </c>
      <c r="M3820" s="27" t="str">
        <f aca="false">IF(OR(G3820="",G3820="?"),"",IFERROR(INDEX(Pubs!$D$2:$D$3001,MATCH(G3820,Pubs!$A$2:$A$3001,0))&amp;"",""))</f>
        <v/>
      </c>
      <c r="N3820" s="27" t="n">
        <f aca="false">N(N3819)+IF(AND(A3820&lt;&gt;"",OR(Recherche!$C$4="",A3820=Recherche!$C$4),OR(Recherche!$C$5="",B3820&amp;""=Recherche!$C$5&amp;""),OR(Recherche!$C$6="",IFERROR(YEAR(L3820),0)=Recherche!$C$6),OR(Recherche!$C$7="",ISNUMBER(SEARCH(Recherche!$C$7,H3820))),OR(Recherche!$C$8="",J3820=Recherche!$C$8),OR(Recherche!$C$9="",I3820=Recherche!$C$9),OR(Recherche!$C$10="",G3820&amp;""=Recherche!$C$10&amp;""),OR(Recherche!$C$11="",E3820=Recherche!$C$11),OR(Recherche!$C$12="",ISNUMBER(SEARCH(Recherche!$C$12,M3820&amp;" "&amp;F3820)))),1,0)</f>
        <v>8</v>
      </c>
    </row>
    <row r="3821" customFormat="false" ht="15" hidden="false" customHeight="false" outlineLevel="0" collapsed="false">
      <c r="A3821" s="19"/>
      <c r="B3821" s="19"/>
      <c r="C3821" s="19"/>
      <c r="D3821" s="19"/>
      <c r="E3821" s="22"/>
      <c r="F3821" s="19"/>
      <c r="G3821" s="26" t="str">
        <f aca="false">IF(D3821="","",IFERROR(VALUE(LEFT(D3821,FIND(" |",D3821&amp;" |")-1)),"?"))</f>
        <v/>
      </c>
      <c r="H3821" s="27" t="str">
        <f aca="false">IF(G3821="","",IF(G3821="?","⚠ pub inconnue",IFERROR(INDEX(Pubs!$B$2:$B$3001,MATCH(G3821,Pubs!$A$2:$A$3001,0))&amp;"","⚠ pub inconnue")))</f>
        <v/>
      </c>
      <c r="I3821" s="27" t="str">
        <f aca="false">IF(OR(G3821="",G3821="?"),"",IFERROR(INDEX(Pubs!$C$2:$C$3001,MATCH(G3821,Pubs!$A$2:$A$3001,0))&amp;"",""))</f>
        <v/>
      </c>
      <c r="J3821" s="27" t="str">
        <f aca="false">IF(OR(G3821="",G3821="?"),"",IFERROR(INDEX(Pubs!$G$2:$G$3001,MATCH(G3821,Pubs!$A$2:$A$3001,0))&amp;"",""))</f>
        <v/>
      </c>
      <c r="K3821" s="28" t="str">
        <f aca="false">IF(OR(G3821="",G3821="?"),"",IFERROR(INDEX(Pubs!$E$2:$E$3001,MATCH(G3821,Pubs!$A$2:$A$3001,0)),""))</f>
        <v/>
      </c>
      <c r="L3821" s="29" t="str">
        <f aca="false">IF(A3821="","",IFERROR(1/(1/INDEX(Numéros!$C$2:$C$3001,MATCH(A3821&amp;"|"&amp;B3821,Numéros!$F$2:$F$3001,0))),""))</f>
        <v/>
      </c>
      <c r="M3821" s="27" t="str">
        <f aca="false">IF(OR(G3821="",G3821="?"),"",IFERROR(INDEX(Pubs!$D$2:$D$3001,MATCH(G3821,Pubs!$A$2:$A$3001,0))&amp;"",""))</f>
        <v/>
      </c>
      <c r="N3821" s="27" t="n">
        <f aca="false">N(N3820)+IF(AND(A3821&lt;&gt;"",OR(Recherche!$C$4="",A3821=Recherche!$C$4),OR(Recherche!$C$5="",B3821&amp;""=Recherche!$C$5&amp;""),OR(Recherche!$C$6="",IFERROR(YEAR(L3821),0)=Recherche!$C$6),OR(Recherche!$C$7="",ISNUMBER(SEARCH(Recherche!$C$7,H3821))),OR(Recherche!$C$8="",J3821=Recherche!$C$8),OR(Recherche!$C$9="",I3821=Recherche!$C$9),OR(Recherche!$C$10="",G3821&amp;""=Recherche!$C$10&amp;""),OR(Recherche!$C$11="",E3821=Recherche!$C$11),OR(Recherche!$C$12="",ISNUMBER(SEARCH(Recherche!$C$12,M3821&amp;" "&amp;F3821)))),1,0)</f>
        <v>8</v>
      </c>
    </row>
    <row r="3822" customFormat="false" ht="15" hidden="false" customHeight="false" outlineLevel="0" collapsed="false">
      <c r="A3822" s="19"/>
      <c r="B3822" s="19"/>
      <c r="C3822" s="19"/>
      <c r="D3822" s="19"/>
      <c r="E3822" s="22"/>
      <c r="F3822" s="19"/>
      <c r="G3822" s="26" t="str">
        <f aca="false">IF(D3822="","",IFERROR(VALUE(LEFT(D3822,FIND(" |",D3822&amp;" |")-1)),"?"))</f>
        <v/>
      </c>
      <c r="H3822" s="27" t="str">
        <f aca="false">IF(G3822="","",IF(G3822="?","⚠ pub inconnue",IFERROR(INDEX(Pubs!$B$2:$B$3001,MATCH(G3822,Pubs!$A$2:$A$3001,0))&amp;"","⚠ pub inconnue")))</f>
        <v/>
      </c>
      <c r="I3822" s="27" t="str">
        <f aca="false">IF(OR(G3822="",G3822="?"),"",IFERROR(INDEX(Pubs!$C$2:$C$3001,MATCH(G3822,Pubs!$A$2:$A$3001,0))&amp;"",""))</f>
        <v/>
      </c>
      <c r="J3822" s="27" t="str">
        <f aca="false">IF(OR(G3822="",G3822="?"),"",IFERROR(INDEX(Pubs!$G$2:$G$3001,MATCH(G3822,Pubs!$A$2:$A$3001,0))&amp;"",""))</f>
        <v/>
      </c>
      <c r="K3822" s="28" t="str">
        <f aca="false">IF(OR(G3822="",G3822="?"),"",IFERROR(INDEX(Pubs!$E$2:$E$3001,MATCH(G3822,Pubs!$A$2:$A$3001,0)),""))</f>
        <v/>
      </c>
      <c r="L3822" s="29" t="str">
        <f aca="false">IF(A3822="","",IFERROR(1/(1/INDEX(Numéros!$C$2:$C$3001,MATCH(A3822&amp;"|"&amp;B3822,Numéros!$F$2:$F$3001,0))),""))</f>
        <v/>
      </c>
      <c r="M3822" s="27" t="str">
        <f aca="false">IF(OR(G3822="",G3822="?"),"",IFERROR(INDEX(Pubs!$D$2:$D$3001,MATCH(G3822,Pubs!$A$2:$A$3001,0))&amp;"",""))</f>
        <v/>
      </c>
      <c r="N3822" s="27" t="n">
        <f aca="false">N(N3821)+IF(AND(A3822&lt;&gt;"",OR(Recherche!$C$4="",A3822=Recherche!$C$4),OR(Recherche!$C$5="",B3822&amp;""=Recherche!$C$5&amp;""),OR(Recherche!$C$6="",IFERROR(YEAR(L3822),0)=Recherche!$C$6),OR(Recherche!$C$7="",ISNUMBER(SEARCH(Recherche!$C$7,H3822))),OR(Recherche!$C$8="",J3822=Recherche!$C$8),OR(Recherche!$C$9="",I3822=Recherche!$C$9),OR(Recherche!$C$10="",G3822&amp;""=Recherche!$C$10&amp;""),OR(Recherche!$C$11="",E3822=Recherche!$C$11),OR(Recherche!$C$12="",ISNUMBER(SEARCH(Recherche!$C$12,M3822&amp;" "&amp;F3822)))),1,0)</f>
        <v>8</v>
      </c>
    </row>
    <row r="3823" customFormat="false" ht="15" hidden="false" customHeight="false" outlineLevel="0" collapsed="false">
      <c r="A3823" s="19"/>
      <c r="B3823" s="19"/>
      <c r="C3823" s="19"/>
      <c r="D3823" s="19"/>
      <c r="E3823" s="22"/>
      <c r="F3823" s="19"/>
      <c r="G3823" s="26" t="str">
        <f aca="false">IF(D3823="","",IFERROR(VALUE(LEFT(D3823,FIND(" |",D3823&amp;" |")-1)),"?"))</f>
        <v/>
      </c>
      <c r="H3823" s="27" t="str">
        <f aca="false">IF(G3823="","",IF(G3823="?","⚠ pub inconnue",IFERROR(INDEX(Pubs!$B$2:$B$3001,MATCH(G3823,Pubs!$A$2:$A$3001,0))&amp;"","⚠ pub inconnue")))</f>
        <v/>
      </c>
      <c r="I3823" s="27" t="str">
        <f aca="false">IF(OR(G3823="",G3823="?"),"",IFERROR(INDEX(Pubs!$C$2:$C$3001,MATCH(G3823,Pubs!$A$2:$A$3001,0))&amp;"",""))</f>
        <v/>
      </c>
      <c r="J3823" s="27" t="str">
        <f aca="false">IF(OR(G3823="",G3823="?"),"",IFERROR(INDEX(Pubs!$G$2:$G$3001,MATCH(G3823,Pubs!$A$2:$A$3001,0))&amp;"",""))</f>
        <v/>
      </c>
      <c r="K3823" s="28" t="str">
        <f aca="false">IF(OR(G3823="",G3823="?"),"",IFERROR(INDEX(Pubs!$E$2:$E$3001,MATCH(G3823,Pubs!$A$2:$A$3001,0)),""))</f>
        <v/>
      </c>
      <c r="L3823" s="29" t="str">
        <f aca="false">IF(A3823="","",IFERROR(1/(1/INDEX(Numéros!$C$2:$C$3001,MATCH(A3823&amp;"|"&amp;B3823,Numéros!$F$2:$F$3001,0))),""))</f>
        <v/>
      </c>
      <c r="M3823" s="27" t="str">
        <f aca="false">IF(OR(G3823="",G3823="?"),"",IFERROR(INDEX(Pubs!$D$2:$D$3001,MATCH(G3823,Pubs!$A$2:$A$3001,0))&amp;"",""))</f>
        <v/>
      </c>
      <c r="N3823" s="27" t="n">
        <f aca="false">N(N3822)+IF(AND(A3823&lt;&gt;"",OR(Recherche!$C$4="",A3823=Recherche!$C$4),OR(Recherche!$C$5="",B3823&amp;""=Recherche!$C$5&amp;""),OR(Recherche!$C$6="",IFERROR(YEAR(L3823),0)=Recherche!$C$6),OR(Recherche!$C$7="",ISNUMBER(SEARCH(Recherche!$C$7,H3823))),OR(Recherche!$C$8="",J3823=Recherche!$C$8),OR(Recherche!$C$9="",I3823=Recherche!$C$9),OR(Recherche!$C$10="",G3823&amp;""=Recherche!$C$10&amp;""),OR(Recherche!$C$11="",E3823=Recherche!$C$11),OR(Recherche!$C$12="",ISNUMBER(SEARCH(Recherche!$C$12,M3823&amp;" "&amp;F3823)))),1,0)</f>
        <v>8</v>
      </c>
    </row>
    <row r="3824" customFormat="false" ht="15" hidden="false" customHeight="false" outlineLevel="0" collapsed="false">
      <c r="A3824" s="19"/>
      <c r="B3824" s="19"/>
      <c r="C3824" s="19"/>
      <c r="D3824" s="19"/>
      <c r="E3824" s="22"/>
      <c r="F3824" s="19"/>
      <c r="G3824" s="26" t="str">
        <f aca="false">IF(D3824="","",IFERROR(VALUE(LEFT(D3824,FIND(" |",D3824&amp;" |")-1)),"?"))</f>
        <v/>
      </c>
      <c r="H3824" s="27" t="str">
        <f aca="false">IF(G3824="","",IF(G3824="?","⚠ pub inconnue",IFERROR(INDEX(Pubs!$B$2:$B$3001,MATCH(G3824,Pubs!$A$2:$A$3001,0))&amp;"","⚠ pub inconnue")))</f>
        <v/>
      </c>
      <c r="I3824" s="27" t="str">
        <f aca="false">IF(OR(G3824="",G3824="?"),"",IFERROR(INDEX(Pubs!$C$2:$C$3001,MATCH(G3824,Pubs!$A$2:$A$3001,0))&amp;"",""))</f>
        <v/>
      </c>
      <c r="J3824" s="27" t="str">
        <f aca="false">IF(OR(G3824="",G3824="?"),"",IFERROR(INDEX(Pubs!$G$2:$G$3001,MATCH(G3824,Pubs!$A$2:$A$3001,0))&amp;"",""))</f>
        <v/>
      </c>
      <c r="K3824" s="28" t="str">
        <f aca="false">IF(OR(G3824="",G3824="?"),"",IFERROR(INDEX(Pubs!$E$2:$E$3001,MATCH(G3824,Pubs!$A$2:$A$3001,0)),""))</f>
        <v/>
      </c>
      <c r="L3824" s="29" t="str">
        <f aca="false">IF(A3824="","",IFERROR(1/(1/INDEX(Numéros!$C$2:$C$3001,MATCH(A3824&amp;"|"&amp;B3824,Numéros!$F$2:$F$3001,0))),""))</f>
        <v/>
      </c>
      <c r="M3824" s="27" t="str">
        <f aca="false">IF(OR(G3824="",G3824="?"),"",IFERROR(INDEX(Pubs!$D$2:$D$3001,MATCH(G3824,Pubs!$A$2:$A$3001,0))&amp;"",""))</f>
        <v/>
      </c>
      <c r="N3824" s="27" t="n">
        <f aca="false">N(N3823)+IF(AND(A3824&lt;&gt;"",OR(Recherche!$C$4="",A3824=Recherche!$C$4),OR(Recherche!$C$5="",B3824&amp;""=Recherche!$C$5&amp;""),OR(Recherche!$C$6="",IFERROR(YEAR(L3824),0)=Recherche!$C$6),OR(Recherche!$C$7="",ISNUMBER(SEARCH(Recherche!$C$7,H3824))),OR(Recherche!$C$8="",J3824=Recherche!$C$8),OR(Recherche!$C$9="",I3824=Recherche!$C$9),OR(Recherche!$C$10="",G3824&amp;""=Recherche!$C$10&amp;""),OR(Recherche!$C$11="",E3824=Recherche!$C$11),OR(Recherche!$C$12="",ISNUMBER(SEARCH(Recherche!$C$12,M3824&amp;" "&amp;F3824)))),1,0)</f>
        <v>8</v>
      </c>
    </row>
    <row r="3825" customFormat="false" ht="15" hidden="false" customHeight="false" outlineLevel="0" collapsed="false">
      <c r="A3825" s="19"/>
      <c r="B3825" s="19"/>
      <c r="C3825" s="19"/>
      <c r="D3825" s="19"/>
      <c r="E3825" s="22"/>
      <c r="F3825" s="19"/>
      <c r="G3825" s="26" t="str">
        <f aca="false">IF(D3825="","",IFERROR(VALUE(LEFT(D3825,FIND(" |",D3825&amp;" |")-1)),"?"))</f>
        <v/>
      </c>
      <c r="H3825" s="27" t="str">
        <f aca="false">IF(G3825="","",IF(G3825="?","⚠ pub inconnue",IFERROR(INDEX(Pubs!$B$2:$B$3001,MATCH(G3825,Pubs!$A$2:$A$3001,0))&amp;"","⚠ pub inconnue")))</f>
        <v/>
      </c>
      <c r="I3825" s="27" t="str">
        <f aca="false">IF(OR(G3825="",G3825="?"),"",IFERROR(INDEX(Pubs!$C$2:$C$3001,MATCH(G3825,Pubs!$A$2:$A$3001,0))&amp;"",""))</f>
        <v/>
      </c>
      <c r="J3825" s="27" t="str">
        <f aca="false">IF(OR(G3825="",G3825="?"),"",IFERROR(INDEX(Pubs!$G$2:$G$3001,MATCH(G3825,Pubs!$A$2:$A$3001,0))&amp;"",""))</f>
        <v/>
      </c>
      <c r="K3825" s="28" t="str">
        <f aca="false">IF(OR(G3825="",G3825="?"),"",IFERROR(INDEX(Pubs!$E$2:$E$3001,MATCH(G3825,Pubs!$A$2:$A$3001,0)),""))</f>
        <v/>
      </c>
      <c r="L3825" s="29" t="str">
        <f aca="false">IF(A3825="","",IFERROR(1/(1/INDEX(Numéros!$C$2:$C$3001,MATCH(A3825&amp;"|"&amp;B3825,Numéros!$F$2:$F$3001,0))),""))</f>
        <v/>
      </c>
      <c r="M3825" s="27" t="str">
        <f aca="false">IF(OR(G3825="",G3825="?"),"",IFERROR(INDEX(Pubs!$D$2:$D$3001,MATCH(G3825,Pubs!$A$2:$A$3001,0))&amp;"",""))</f>
        <v/>
      </c>
      <c r="N3825" s="27" t="n">
        <f aca="false">N(N3824)+IF(AND(A3825&lt;&gt;"",OR(Recherche!$C$4="",A3825=Recherche!$C$4),OR(Recherche!$C$5="",B3825&amp;""=Recherche!$C$5&amp;""),OR(Recherche!$C$6="",IFERROR(YEAR(L3825),0)=Recherche!$C$6),OR(Recherche!$C$7="",ISNUMBER(SEARCH(Recherche!$C$7,H3825))),OR(Recherche!$C$8="",J3825=Recherche!$C$8),OR(Recherche!$C$9="",I3825=Recherche!$C$9),OR(Recherche!$C$10="",G3825&amp;""=Recherche!$C$10&amp;""),OR(Recherche!$C$11="",E3825=Recherche!$C$11),OR(Recherche!$C$12="",ISNUMBER(SEARCH(Recherche!$C$12,M3825&amp;" "&amp;F3825)))),1,0)</f>
        <v>8</v>
      </c>
    </row>
    <row r="3826" customFormat="false" ht="15" hidden="false" customHeight="false" outlineLevel="0" collapsed="false">
      <c r="A3826" s="19"/>
      <c r="B3826" s="19"/>
      <c r="C3826" s="19"/>
      <c r="D3826" s="19"/>
      <c r="E3826" s="22"/>
      <c r="F3826" s="19"/>
      <c r="G3826" s="26" t="str">
        <f aca="false">IF(D3826="","",IFERROR(VALUE(LEFT(D3826,FIND(" |",D3826&amp;" |")-1)),"?"))</f>
        <v/>
      </c>
      <c r="H3826" s="27" t="str">
        <f aca="false">IF(G3826="","",IF(G3826="?","⚠ pub inconnue",IFERROR(INDEX(Pubs!$B$2:$B$3001,MATCH(G3826,Pubs!$A$2:$A$3001,0))&amp;"","⚠ pub inconnue")))</f>
        <v/>
      </c>
      <c r="I3826" s="27" t="str">
        <f aca="false">IF(OR(G3826="",G3826="?"),"",IFERROR(INDEX(Pubs!$C$2:$C$3001,MATCH(G3826,Pubs!$A$2:$A$3001,0))&amp;"",""))</f>
        <v/>
      </c>
      <c r="J3826" s="27" t="str">
        <f aca="false">IF(OR(G3826="",G3826="?"),"",IFERROR(INDEX(Pubs!$G$2:$G$3001,MATCH(G3826,Pubs!$A$2:$A$3001,0))&amp;"",""))</f>
        <v/>
      </c>
      <c r="K3826" s="28" t="str">
        <f aca="false">IF(OR(G3826="",G3826="?"),"",IFERROR(INDEX(Pubs!$E$2:$E$3001,MATCH(G3826,Pubs!$A$2:$A$3001,0)),""))</f>
        <v/>
      </c>
      <c r="L3826" s="29" t="str">
        <f aca="false">IF(A3826="","",IFERROR(1/(1/INDEX(Numéros!$C$2:$C$3001,MATCH(A3826&amp;"|"&amp;B3826,Numéros!$F$2:$F$3001,0))),""))</f>
        <v/>
      </c>
      <c r="M3826" s="27" t="str">
        <f aca="false">IF(OR(G3826="",G3826="?"),"",IFERROR(INDEX(Pubs!$D$2:$D$3001,MATCH(G3826,Pubs!$A$2:$A$3001,0))&amp;"",""))</f>
        <v/>
      </c>
      <c r="N3826" s="27" t="n">
        <f aca="false">N(N3825)+IF(AND(A3826&lt;&gt;"",OR(Recherche!$C$4="",A3826=Recherche!$C$4),OR(Recherche!$C$5="",B3826&amp;""=Recherche!$C$5&amp;""),OR(Recherche!$C$6="",IFERROR(YEAR(L3826),0)=Recherche!$C$6),OR(Recherche!$C$7="",ISNUMBER(SEARCH(Recherche!$C$7,H3826))),OR(Recherche!$C$8="",J3826=Recherche!$C$8),OR(Recherche!$C$9="",I3826=Recherche!$C$9),OR(Recherche!$C$10="",G3826&amp;""=Recherche!$C$10&amp;""),OR(Recherche!$C$11="",E3826=Recherche!$C$11),OR(Recherche!$C$12="",ISNUMBER(SEARCH(Recherche!$C$12,M3826&amp;" "&amp;F3826)))),1,0)</f>
        <v>8</v>
      </c>
    </row>
    <row r="3827" customFormat="false" ht="15" hidden="false" customHeight="false" outlineLevel="0" collapsed="false">
      <c r="A3827" s="19"/>
      <c r="B3827" s="19"/>
      <c r="C3827" s="19"/>
      <c r="D3827" s="19"/>
      <c r="E3827" s="22"/>
      <c r="F3827" s="19"/>
      <c r="G3827" s="26" t="str">
        <f aca="false">IF(D3827="","",IFERROR(VALUE(LEFT(D3827,FIND(" |",D3827&amp;" |")-1)),"?"))</f>
        <v/>
      </c>
      <c r="H3827" s="27" t="str">
        <f aca="false">IF(G3827="","",IF(G3827="?","⚠ pub inconnue",IFERROR(INDEX(Pubs!$B$2:$B$3001,MATCH(G3827,Pubs!$A$2:$A$3001,0))&amp;"","⚠ pub inconnue")))</f>
        <v/>
      </c>
      <c r="I3827" s="27" t="str">
        <f aca="false">IF(OR(G3827="",G3827="?"),"",IFERROR(INDEX(Pubs!$C$2:$C$3001,MATCH(G3827,Pubs!$A$2:$A$3001,0))&amp;"",""))</f>
        <v/>
      </c>
      <c r="J3827" s="27" t="str">
        <f aca="false">IF(OR(G3827="",G3827="?"),"",IFERROR(INDEX(Pubs!$G$2:$G$3001,MATCH(G3827,Pubs!$A$2:$A$3001,0))&amp;"",""))</f>
        <v/>
      </c>
      <c r="K3827" s="28" t="str">
        <f aca="false">IF(OR(G3827="",G3827="?"),"",IFERROR(INDEX(Pubs!$E$2:$E$3001,MATCH(G3827,Pubs!$A$2:$A$3001,0)),""))</f>
        <v/>
      </c>
      <c r="L3827" s="29" t="str">
        <f aca="false">IF(A3827="","",IFERROR(1/(1/INDEX(Numéros!$C$2:$C$3001,MATCH(A3827&amp;"|"&amp;B3827,Numéros!$F$2:$F$3001,0))),""))</f>
        <v/>
      </c>
      <c r="M3827" s="27" t="str">
        <f aca="false">IF(OR(G3827="",G3827="?"),"",IFERROR(INDEX(Pubs!$D$2:$D$3001,MATCH(G3827,Pubs!$A$2:$A$3001,0))&amp;"",""))</f>
        <v/>
      </c>
      <c r="N3827" s="27" t="n">
        <f aca="false">N(N3826)+IF(AND(A3827&lt;&gt;"",OR(Recherche!$C$4="",A3827=Recherche!$C$4),OR(Recherche!$C$5="",B3827&amp;""=Recherche!$C$5&amp;""),OR(Recherche!$C$6="",IFERROR(YEAR(L3827),0)=Recherche!$C$6),OR(Recherche!$C$7="",ISNUMBER(SEARCH(Recherche!$C$7,H3827))),OR(Recherche!$C$8="",J3827=Recherche!$C$8),OR(Recherche!$C$9="",I3827=Recherche!$C$9),OR(Recherche!$C$10="",G3827&amp;""=Recherche!$C$10&amp;""),OR(Recherche!$C$11="",E3827=Recherche!$C$11),OR(Recherche!$C$12="",ISNUMBER(SEARCH(Recherche!$C$12,M3827&amp;" "&amp;F3827)))),1,0)</f>
        <v>8</v>
      </c>
    </row>
    <row r="3828" customFormat="false" ht="15" hidden="false" customHeight="false" outlineLevel="0" collapsed="false">
      <c r="A3828" s="19"/>
      <c r="B3828" s="19"/>
      <c r="C3828" s="19"/>
      <c r="D3828" s="19"/>
      <c r="E3828" s="22"/>
      <c r="F3828" s="19"/>
      <c r="G3828" s="26" t="str">
        <f aca="false">IF(D3828="","",IFERROR(VALUE(LEFT(D3828,FIND(" |",D3828&amp;" |")-1)),"?"))</f>
        <v/>
      </c>
      <c r="H3828" s="27" t="str">
        <f aca="false">IF(G3828="","",IF(G3828="?","⚠ pub inconnue",IFERROR(INDEX(Pubs!$B$2:$B$3001,MATCH(G3828,Pubs!$A$2:$A$3001,0))&amp;"","⚠ pub inconnue")))</f>
        <v/>
      </c>
      <c r="I3828" s="27" t="str">
        <f aca="false">IF(OR(G3828="",G3828="?"),"",IFERROR(INDEX(Pubs!$C$2:$C$3001,MATCH(G3828,Pubs!$A$2:$A$3001,0))&amp;"",""))</f>
        <v/>
      </c>
      <c r="J3828" s="27" t="str">
        <f aca="false">IF(OR(G3828="",G3828="?"),"",IFERROR(INDEX(Pubs!$G$2:$G$3001,MATCH(G3828,Pubs!$A$2:$A$3001,0))&amp;"",""))</f>
        <v/>
      </c>
      <c r="K3828" s="28" t="str">
        <f aca="false">IF(OR(G3828="",G3828="?"),"",IFERROR(INDEX(Pubs!$E$2:$E$3001,MATCH(G3828,Pubs!$A$2:$A$3001,0)),""))</f>
        <v/>
      </c>
      <c r="L3828" s="29" t="str">
        <f aca="false">IF(A3828="","",IFERROR(1/(1/INDEX(Numéros!$C$2:$C$3001,MATCH(A3828&amp;"|"&amp;B3828,Numéros!$F$2:$F$3001,0))),""))</f>
        <v/>
      </c>
      <c r="M3828" s="27" t="str">
        <f aca="false">IF(OR(G3828="",G3828="?"),"",IFERROR(INDEX(Pubs!$D$2:$D$3001,MATCH(G3828,Pubs!$A$2:$A$3001,0))&amp;"",""))</f>
        <v/>
      </c>
      <c r="N3828" s="27" t="n">
        <f aca="false">N(N3827)+IF(AND(A3828&lt;&gt;"",OR(Recherche!$C$4="",A3828=Recherche!$C$4),OR(Recherche!$C$5="",B3828&amp;""=Recherche!$C$5&amp;""),OR(Recherche!$C$6="",IFERROR(YEAR(L3828),0)=Recherche!$C$6),OR(Recherche!$C$7="",ISNUMBER(SEARCH(Recherche!$C$7,H3828))),OR(Recherche!$C$8="",J3828=Recherche!$C$8),OR(Recherche!$C$9="",I3828=Recherche!$C$9),OR(Recherche!$C$10="",G3828&amp;""=Recherche!$C$10&amp;""),OR(Recherche!$C$11="",E3828=Recherche!$C$11),OR(Recherche!$C$12="",ISNUMBER(SEARCH(Recherche!$C$12,M3828&amp;" "&amp;F3828)))),1,0)</f>
        <v>8</v>
      </c>
    </row>
    <row r="3829" customFormat="false" ht="15" hidden="false" customHeight="false" outlineLevel="0" collapsed="false">
      <c r="A3829" s="19"/>
      <c r="B3829" s="19"/>
      <c r="C3829" s="19"/>
      <c r="D3829" s="19"/>
      <c r="E3829" s="22"/>
      <c r="F3829" s="19"/>
      <c r="G3829" s="26" t="str">
        <f aca="false">IF(D3829="","",IFERROR(VALUE(LEFT(D3829,FIND(" |",D3829&amp;" |")-1)),"?"))</f>
        <v/>
      </c>
      <c r="H3829" s="27" t="str">
        <f aca="false">IF(G3829="","",IF(G3829="?","⚠ pub inconnue",IFERROR(INDEX(Pubs!$B$2:$B$3001,MATCH(G3829,Pubs!$A$2:$A$3001,0))&amp;"","⚠ pub inconnue")))</f>
        <v/>
      </c>
      <c r="I3829" s="27" t="str">
        <f aca="false">IF(OR(G3829="",G3829="?"),"",IFERROR(INDEX(Pubs!$C$2:$C$3001,MATCH(G3829,Pubs!$A$2:$A$3001,0))&amp;"",""))</f>
        <v/>
      </c>
      <c r="J3829" s="27" t="str">
        <f aca="false">IF(OR(G3829="",G3829="?"),"",IFERROR(INDEX(Pubs!$G$2:$G$3001,MATCH(G3829,Pubs!$A$2:$A$3001,0))&amp;"",""))</f>
        <v/>
      </c>
      <c r="K3829" s="28" t="str">
        <f aca="false">IF(OR(G3829="",G3829="?"),"",IFERROR(INDEX(Pubs!$E$2:$E$3001,MATCH(G3829,Pubs!$A$2:$A$3001,0)),""))</f>
        <v/>
      </c>
      <c r="L3829" s="29" t="str">
        <f aca="false">IF(A3829="","",IFERROR(1/(1/INDEX(Numéros!$C$2:$C$3001,MATCH(A3829&amp;"|"&amp;B3829,Numéros!$F$2:$F$3001,0))),""))</f>
        <v/>
      </c>
      <c r="M3829" s="27" t="str">
        <f aca="false">IF(OR(G3829="",G3829="?"),"",IFERROR(INDEX(Pubs!$D$2:$D$3001,MATCH(G3829,Pubs!$A$2:$A$3001,0))&amp;"",""))</f>
        <v/>
      </c>
      <c r="N3829" s="27" t="n">
        <f aca="false">N(N3828)+IF(AND(A3829&lt;&gt;"",OR(Recherche!$C$4="",A3829=Recherche!$C$4),OR(Recherche!$C$5="",B3829&amp;""=Recherche!$C$5&amp;""),OR(Recherche!$C$6="",IFERROR(YEAR(L3829),0)=Recherche!$C$6),OR(Recherche!$C$7="",ISNUMBER(SEARCH(Recherche!$C$7,H3829))),OR(Recherche!$C$8="",J3829=Recherche!$C$8),OR(Recherche!$C$9="",I3829=Recherche!$C$9),OR(Recherche!$C$10="",G3829&amp;""=Recherche!$C$10&amp;""),OR(Recherche!$C$11="",E3829=Recherche!$C$11),OR(Recherche!$C$12="",ISNUMBER(SEARCH(Recherche!$C$12,M3829&amp;" "&amp;F3829)))),1,0)</f>
        <v>8</v>
      </c>
    </row>
    <row r="3830" customFormat="false" ht="15" hidden="false" customHeight="false" outlineLevel="0" collapsed="false">
      <c r="A3830" s="19"/>
      <c r="B3830" s="19"/>
      <c r="C3830" s="19"/>
      <c r="D3830" s="19"/>
      <c r="E3830" s="22"/>
      <c r="F3830" s="19"/>
      <c r="G3830" s="26" t="str">
        <f aca="false">IF(D3830="","",IFERROR(VALUE(LEFT(D3830,FIND(" |",D3830&amp;" |")-1)),"?"))</f>
        <v/>
      </c>
      <c r="H3830" s="27" t="str">
        <f aca="false">IF(G3830="","",IF(G3830="?","⚠ pub inconnue",IFERROR(INDEX(Pubs!$B$2:$B$3001,MATCH(G3830,Pubs!$A$2:$A$3001,0))&amp;"","⚠ pub inconnue")))</f>
        <v/>
      </c>
      <c r="I3830" s="27" t="str">
        <f aca="false">IF(OR(G3830="",G3830="?"),"",IFERROR(INDEX(Pubs!$C$2:$C$3001,MATCH(G3830,Pubs!$A$2:$A$3001,0))&amp;"",""))</f>
        <v/>
      </c>
      <c r="J3830" s="27" t="str">
        <f aca="false">IF(OR(G3830="",G3830="?"),"",IFERROR(INDEX(Pubs!$G$2:$G$3001,MATCH(G3830,Pubs!$A$2:$A$3001,0))&amp;"",""))</f>
        <v/>
      </c>
      <c r="K3830" s="28" t="str">
        <f aca="false">IF(OR(G3830="",G3830="?"),"",IFERROR(INDEX(Pubs!$E$2:$E$3001,MATCH(G3830,Pubs!$A$2:$A$3001,0)),""))</f>
        <v/>
      </c>
      <c r="L3830" s="29" t="str">
        <f aca="false">IF(A3830="","",IFERROR(1/(1/INDEX(Numéros!$C$2:$C$3001,MATCH(A3830&amp;"|"&amp;B3830,Numéros!$F$2:$F$3001,0))),""))</f>
        <v/>
      </c>
      <c r="M3830" s="27" t="str">
        <f aca="false">IF(OR(G3830="",G3830="?"),"",IFERROR(INDEX(Pubs!$D$2:$D$3001,MATCH(G3830,Pubs!$A$2:$A$3001,0))&amp;"",""))</f>
        <v/>
      </c>
      <c r="N3830" s="27" t="n">
        <f aca="false">N(N3829)+IF(AND(A3830&lt;&gt;"",OR(Recherche!$C$4="",A3830=Recherche!$C$4),OR(Recherche!$C$5="",B3830&amp;""=Recherche!$C$5&amp;""),OR(Recherche!$C$6="",IFERROR(YEAR(L3830),0)=Recherche!$C$6),OR(Recherche!$C$7="",ISNUMBER(SEARCH(Recherche!$C$7,H3830))),OR(Recherche!$C$8="",J3830=Recherche!$C$8),OR(Recherche!$C$9="",I3830=Recherche!$C$9),OR(Recherche!$C$10="",G3830&amp;""=Recherche!$C$10&amp;""),OR(Recherche!$C$11="",E3830=Recherche!$C$11),OR(Recherche!$C$12="",ISNUMBER(SEARCH(Recherche!$C$12,M3830&amp;" "&amp;F3830)))),1,0)</f>
        <v>8</v>
      </c>
    </row>
    <row r="3831" customFormat="false" ht="15" hidden="false" customHeight="false" outlineLevel="0" collapsed="false">
      <c r="A3831" s="19"/>
      <c r="B3831" s="19"/>
      <c r="C3831" s="19"/>
      <c r="D3831" s="19"/>
      <c r="E3831" s="22"/>
      <c r="F3831" s="19"/>
      <c r="G3831" s="26" t="str">
        <f aca="false">IF(D3831="","",IFERROR(VALUE(LEFT(D3831,FIND(" |",D3831&amp;" |")-1)),"?"))</f>
        <v/>
      </c>
      <c r="H3831" s="27" t="str">
        <f aca="false">IF(G3831="","",IF(G3831="?","⚠ pub inconnue",IFERROR(INDEX(Pubs!$B$2:$B$3001,MATCH(G3831,Pubs!$A$2:$A$3001,0))&amp;"","⚠ pub inconnue")))</f>
        <v/>
      </c>
      <c r="I3831" s="27" t="str">
        <f aca="false">IF(OR(G3831="",G3831="?"),"",IFERROR(INDEX(Pubs!$C$2:$C$3001,MATCH(G3831,Pubs!$A$2:$A$3001,0))&amp;"",""))</f>
        <v/>
      </c>
      <c r="J3831" s="27" t="str">
        <f aca="false">IF(OR(G3831="",G3831="?"),"",IFERROR(INDEX(Pubs!$G$2:$G$3001,MATCH(G3831,Pubs!$A$2:$A$3001,0))&amp;"",""))</f>
        <v/>
      </c>
      <c r="K3831" s="28" t="str">
        <f aca="false">IF(OR(G3831="",G3831="?"),"",IFERROR(INDEX(Pubs!$E$2:$E$3001,MATCH(G3831,Pubs!$A$2:$A$3001,0)),""))</f>
        <v/>
      </c>
      <c r="L3831" s="29" t="str">
        <f aca="false">IF(A3831="","",IFERROR(1/(1/INDEX(Numéros!$C$2:$C$3001,MATCH(A3831&amp;"|"&amp;B3831,Numéros!$F$2:$F$3001,0))),""))</f>
        <v/>
      </c>
      <c r="M3831" s="27" t="str">
        <f aca="false">IF(OR(G3831="",G3831="?"),"",IFERROR(INDEX(Pubs!$D$2:$D$3001,MATCH(G3831,Pubs!$A$2:$A$3001,0))&amp;"",""))</f>
        <v/>
      </c>
      <c r="N3831" s="27" t="n">
        <f aca="false">N(N3830)+IF(AND(A3831&lt;&gt;"",OR(Recherche!$C$4="",A3831=Recherche!$C$4),OR(Recherche!$C$5="",B3831&amp;""=Recherche!$C$5&amp;""),OR(Recherche!$C$6="",IFERROR(YEAR(L3831),0)=Recherche!$C$6),OR(Recherche!$C$7="",ISNUMBER(SEARCH(Recherche!$C$7,H3831))),OR(Recherche!$C$8="",J3831=Recherche!$C$8),OR(Recherche!$C$9="",I3831=Recherche!$C$9),OR(Recherche!$C$10="",G3831&amp;""=Recherche!$C$10&amp;""),OR(Recherche!$C$11="",E3831=Recherche!$C$11),OR(Recherche!$C$12="",ISNUMBER(SEARCH(Recherche!$C$12,M3831&amp;" "&amp;F3831)))),1,0)</f>
        <v>8</v>
      </c>
    </row>
    <row r="3832" customFormat="false" ht="15" hidden="false" customHeight="false" outlineLevel="0" collapsed="false">
      <c r="A3832" s="19"/>
      <c r="B3832" s="19"/>
      <c r="C3832" s="19"/>
      <c r="D3832" s="19"/>
      <c r="E3832" s="22"/>
      <c r="F3832" s="19"/>
      <c r="G3832" s="26" t="str">
        <f aca="false">IF(D3832="","",IFERROR(VALUE(LEFT(D3832,FIND(" |",D3832&amp;" |")-1)),"?"))</f>
        <v/>
      </c>
      <c r="H3832" s="27" t="str">
        <f aca="false">IF(G3832="","",IF(G3832="?","⚠ pub inconnue",IFERROR(INDEX(Pubs!$B$2:$B$3001,MATCH(G3832,Pubs!$A$2:$A$3001,0))&amp;"","⚠ pub inconnue")))</f>
        <v/>
      </c>
      <c r="I3832" s="27" t="str">
        <f aca="false">IF(OR(G3832="",G3832="?"),"",IFERROR(INDEX(Pubs!$C$2:$C$3001,MATCH(G3832,Pubs!$A$2:$A$3001,0))&amp;"",""))</f>
        <v/>
      </c>
      <c r="J3832" s="27" t="str">
        <f aca="false">IF(OR(G3832="",G3832="?"),"",IFERROR(INDEX(Pubs!$G$2:$G$3001,MATCH(G3832,Pubs!$A$2:$A$3001,0))&amp;"",""))</f>
        <v/>
      </c>
      <c r="K3832" s="28" t="str">
        <f aca="false">IF(OR(G3832="",G3832="?"),"",IFERROR(INDEX(Pubs!$E$2:$E$3001,MATCH(G3832,Pubs!$A$2:$A$3001,0)),""))</f>
        <v/>
      </c>
      <c r="L3832" s="29" t="str">
        <f aca="false">IF(A3832="","",IFERROR(1/(1/INDEX(Numéros!$C$2:$C$3001,MATCH(A3832&amp;"|"&amp;B3832,Numéros!$F$2:$F$3001,0))),""))</f>
        <v/>
      </c>
      <c r="M3832" s="27" t="str">
        <f aca="false">IF(OR(G3832="",G3832="?"),"",IFERROR(INDEX(Pubs!$D$2:$D$3001,MATCH(G3832,Pubs!$A$2:$A$3001,0))&amp;"",""))</f>
        <v/>
      </c>
      <c r="N3832" s="27" t="n">
        <f aca="false">N(N3831)+IF(AND(A3832&lt;&gt;"",OR(Recherche!$C$4="",A3832=Recherche!$C$4),OR(Recherche!$C$5="",B3832&amp;""=Recherche!$C$5&amp;""),OR(Recherche!$C$6="",IFERROR(YEAR(L3832),0)=Recherche!$C$6),OR(Recherche!$C$7="",ISNUMBER(SEARCH(Recherche!$C$7,H3832))),OR(Recherche!$C$8="",J3832=Recherche!$C$8),OR(Recherche!$C$9="",I3832=Recherche!$C$9),OR(Recherche!$C$10="",G3832&amp;""=Recherche!$C$10&amp;""),OR(Recherche!$C$11="",E3832=Recherche!$C$11),OR(Recherche!$C$12="",ISNUMBER(SEARCH(Recherche!$C$12,M3832&amp;" "&amp;F3832)))),1,0)</f>
        <v>8</v>
      </c>
    </row>
    <row r="3833" customFormat="false" ht="15" hidden="false" customHeight="false" outlineLevel="0" collapsed="false">
      <c r="A3833" s="19"/>
      <c r="B3833" s="19"/>
      <c r="C3833" s="19"/>
      <c r="D3833" s="19"/>
      <c r="E3833" s="22"/>
      <c r="F3833" s="19"/>
      <c r="G3833" s="26" t="str">
        <f aca="false">IF(D3833="","",IFERROR(VALUE(LEFT(D3833,FIND(" |",D3833&amp;" |")-1)),"?"))</f>
        <v/>
      </c>
      <c r="H3833" s="27" t="str">
        <f aca="false">IF(G3833="","",IF(G3833="?","⚠ pub inconnue",IFERROR(INDEX(Pubs!$B$2:$B$3001,MATCH(G3833,Pubs!$A$2:$A$3001,0))&amp;"","⚠ pub inconnue")))</f>
        <v/>
      </c>
      <c r="I3833" s="27" t="str">
        <f aca="false">IF(OR(G3833="",G3833="?"),"",IFERROR(INDEX(Pubs!$C$2:$C$3001,MATCH(G3833,Pubs!$A$2:$A$3001,0))&amp;"",""))</f>
        <v/>
      </c>
      <c r="J3833" s="27" t="str">
        <f aca="false">IF(OR(G3833="",G3833="?"),"",IFERROR(INDEX(Pubs!$G$2:$G$3001,MATCH(G3833,Pubs!$A$2:$A$3001,0))&amp;"",""))</f>
        <v/>
      </c>
      <c r="K3833" s="28" t="str">
        <f aca="false">IF(OR(G3833="",G3833="?"),"",IFERROR(INDEX(Pubs!$E$2:$E$3001,MATCH(G3833,Pubs!$A$2:$A$3001,0)),""))</f>
        <v/>
      </c>
      <c r="L3833" s="29" t="str">
        <f aca="false">IF(A3833="","",IFERROR(1/(1/INDEX(Numéros!$C$2:$C$3001,MATCH(A3833&amp;"|"&amp;B3833,Numéros!$F$2:$F$3001,0))),""))</f>
        <v/>
      </c>
      <c r="M3833" s="27" t="str">
        <f aca="false">IF(OR(G3833="",G3833="?"),"",IFERROR(INDEX(Pubs!$D$2:$D$3001,MATCH(G3833,Pubs!$A$2:$A$3001,0))&amp;"",""))</f>
        <v/>
      </c>
      <c r="N3833" s="27" t="n">
        <f aca="false">N(N3832)+IF(AND(A3833&lt;&gt;"",OR(Recherche!$C$4="",A3833=Recherche!$C$4),OR(Recherche!$C$5="",B3833&amp;""=Recherche!$C$5&amp;""),OR(Recherche!$C$6="",IFERROR(YEAR(L3833),0)=Recherche!$C$6),OR(Recherche!$C$7="",ISNUMBER(SEARCH(Recherche!$C$7,H3833))),OR(Recherche!$C$8="",J3833=Recherche!$C$8),OR(Recherche!$C$9="",I3833=Recherche!$C$9),OR(Recherche!$C$10="",G3833&amp;""=Recherche!$C$10&amp;""),OR(Recherche!$C$11="",E3833=Recherche!$C$11),OR(Recherche!$C$12="",ISNUMBER(SEARCH(Recherche!$C$12,M3833&amp;" "&amp;F3833)))),1,0)</f>
        <v>8</v>
      </c>
    </row>
    <row r="3834" customFormat="false" ht="15" hidden="false" customHeight="false" outlineLevel="0" collapsed="false">
      <c r="A3834" s="19"/>
      <c r="B3834" s="19"/>
      <c r="C3834" s="19"/>
      <c r="D3834" s="19"/>
      <c r="E3834" s="22"/>
      <c r="F3834" s="19"/>
      <c r="G3834" s="26" t="str">
        <f aca="false">IF(D3834="","",IFERROR(VALUE(LEFT(D3834,FIND(" |",D3834&amp;" |")-1)),"?"))</f>
        <v/>
      </c>
      <c r="H3834" s="27" t="str">
        <f aca="false">IF(G3834="","",IF(G3834="?","⚠ pub inconnue",IFERROR(INDEX(Pubs!$B$2:$B$3001,MATCH(G3834,Pubs!$A$2:$A$3001,0))&amp;"","⚠ pub inconnue")))</f>
        <v/>
      </c>
      <c r="I3834" s="27" t="str">
        <f aca="false">IF(OR(G3834="",G3834="?"),"",IFERROR(INDEX(Pubs!$C$2:$C$3001,MATCH(G3834,Pubs!$A$2:$A$3001,0))&amp;"",""))</f>
        <v/>
      </c>
      <c r="J3834" s="27" t="str">
        <f aca="false">IF(OR(G3834="",G3834="?"),"",IFERROR(INDEX(Pubs!$G$2:$G$3001,MATCH(G3834,Pubs!$A$2:$A$3001,0))&amp;"",""))</f>
        <v/>
      </c>
      <c r="K3834" s="28" t="str">
        <f aca="false">IF(OR(G3834="",G3834="?"),"",IFERROR(INDEX(Pubs!$E$2:$E$3001,MATCH(G3834,Pubs!$A$2:$A$3001,0)),""))</f>
        <v/>
      </c>
      <c r="L3834" s="29" t="str">
        <f aca="false">IF(A3834="","",IFERROR(1/(1/INDEX(Numéros!$C$2:$C$3001,MATCH(A3834&amp;"|"&amp;B3834,Numéros!$F$2:$F$3001,0))),""))</f>
        <v/>
      </c>
      <c r="M3834" s="27" t="str">
        <f aca="false">IF(OR(G3834="",G3834="?"),"",IFERROR(INDEX(Pubs!$D$2:$D$3001,MATCH(G3834,Pubs!$A$2:$A$3001,0))&amp;"",""))</f>
        <v/>
      </c>
      <c r="N3834" s="27" t="n">
        <f aca="false">N(N3833)+IF(AND(A3834&lt;&gt;"",OR(Recherche!$C$4="",A3834=Recherche!$C$4),OR(Recherche!$C$5="",B3834&amp;""=Recherche!$C$5&amp;""),OR(Recherche!$C$6="",IFERROR(YEAR(L3834),0)=Recherche!$C$6),OR(Recherche!$C$7="",ISNUMBER(SEARCH(Recherche!$C$7,H3834))),OR(Recherche!$C$8="",J3834=Recherche!$C$8),OR(Recherche!$C$9="",I3834=Recherche!$C$9),OR(Recherche!$C$10="",G3834&amp;""=Recherche!$C$10&amp;""),OR(Recherche!$C$11="",E3834=Recherche!$C$11),OR(Recherche!$C$12="",ISNUMBER(SEARCH(Recherche!$C$12,M3834&amp;" "&amp;F3834)))),1,0)</f>
        <v>8</v>
      </c>
    </row>
    <row r="3835" customFormat="false" ht="15" hidden="false" customHeight="false" outlineLevel="0" collapsed="false">
      <c r="A3835" s="19"/>
      <c r="B3835" s="19"/>
      <c r="C3835" s="19"/>
      <c r="D3835" s="19"/>
      <c r="E3835" s="22"/>
      <c r="F3835" s="19"/>
      <c r="G3835" s="26" t="str">
        <f aca="false">IF(D3835="","",IFERROR(VALUE(LEFT(D3835,FIND(" |",D3835&amp;" |")-1)),"?"))</f>
        <v/>
      </c>
      <c r="H3835" s="27" t="str">
        <f aca="false">IF(G3835="","",IF(G3835="?","⚠ pub inconnue",IFERROR(INDEX(Pubs!$B$2:$B$3001,MATCH(G3835,Pubs!$A$2:$A$3001,0))&amp;"","⚠ pub inconnue")))</f>
        <v/>
      </c>
      <c r="I3835" s="27" t="str">
        <f aca="false">IF(OR(G3835="",G3835="?"),"",IFERROR(INDEX(Pubs!$C$2:$C$3001,MATCH(G3835,Pubs!$A$2:$A$3001,0))&amp;"",""))</f>
        <v/>
      </c>
      <c r="J3835" s="27" t="str">
        <f aca="false">IF(OR(G3835="",G3835="?"),"",IFERROR(INDEX(Pubs!$G$2:$G$3001,MATCH(G3835,Pubs!$A$2:$A$3001,0))&amp;"",""))</f>
        <v/>
      </c>
      <c r="K3835" s="28" t="str">
        <f aca="false">IF(OR(G3835="",G3835="?"),"",IFERROR(INDEX(Pubs!$E$2:$E$3001,MATCH(G3835,Pubs!$A$2:$A$3001,0)),""))</f>
        <v/>
      </c>
      <c r="L3835" s="29" t="str">
        <f aca="false">IF(A3835="","",IFERROR(1/(1/INDEX(Numéros!$C$2:$C$3001,MATCH(A3835&amp;"|"&amp;B3835,Numéros!$F$2:$F$3001,0))),""))</f>
        <v/>
      </c>
      <c r="M3835" s="27" t="str">
        <f aca="false">IF(OR(G3835="",G3835="?"),"",IFERROR(INDEX(Pubs!$D$2:$D$3001,MATCH(G3835,Pubs!$A$2:$A$3001,0))&amp;"",""))</f>
        <v/>
      </c>
      <c r="N3835" s="27" t="n">
        <f aca="false">N(N3834)+IF(AND(A3835&lt;&gt;"",OR(Recherche!$C$4="",A3835=Recherche!$C$4),OR(Recherche!$C$5="",B3835&amp;""=Recherche!$C$5&amp;""),OR(Recherche!$C$6="",IFERROR(YEAR(L3835),0)=Recherche!$C$6),OR(Recherche!$C$7="",ISNUMBER(SEARCH(Recherche!$C$7,H3835))),OR(Recherche!$C$8="",J3835=Recherche!$C$8),OR(Recherche!$C$9="",I3835=Recherche!$C$9),OR(Recherche!$C$10="",G3835&amp;""=Recherche!$C$10&amp;""),OR(Recherche!$C$11="",E3835=Recherche!$C$11),OR(Recherche!$C$12="",ISNUMBER(SEARCH(Recherche!$C$12,M3835&amp;" "&amp;F3835)))),1,0)</f>
        <v>8</v>
      </c>
    </row>
    <row r="3836" customFormat="false" ht="15" hidden="false" customHeight="false" outlineLevel="0" collapsed="false">
      <c r="A3836" s="19"/>
      <c r="B3836" s="19"/>
      <c r="C3836" s="19"/>
      <c r="D3836" s="19"/>
      <c r="E3836" s="22"/>
      <c r="F3836" s="19"/>
      <c r="G3836" s="26" t="str">
        <f aca="false">IF(D3836="","",IFERROR(VALUE(LEFT(D3836,FIND(" |",D3836&amp;" |")-1)),"?"))</f>
        <v/>
      </c>
      <c r="H3836" s="27" t="str">
        <f aca="false">IF(G3836="","",IF(G3836="?","⚠ pub inconnue",IFERROR(INDEX(Pubs!$B$2:$B$3001,MATCH(G3836,Pubs!$A$2:$A$3001,0))&amp;"","⚠ pub inconnue")))</f>
        <v/>
      </c>
      <c r="I3836" s="27" t="str">
        <f aca="false">IF(OR(G3836="",G3836="?"),"",IFERROR(INDEX(Pubs!$C$2:$C$3001,MATCH(G3836,Pubs!$A$2:$A$3001,0))&amp;"",""))</f>
        <v/>
      </c>
      <c r="J3836" s="27" t="str">
        <f aca="false">IF(OR(G3836="",G3836="?"),"",IFERROR(INDEX(Pubs!$G$2:$G$3001,MATCH(G3836,Pubs!$A$2:$A$3001,0))&amp;"",""))</f>
        <v/>
      </c>
      <c r="K3836" s="28" t="str">
        <f aca="false">IF(OR(G3836="",G3836="?"),"",IFERROR(INDEX(Pubs!$E$2:$E$3001,MATCH(G3836,Pubs!$A$2:$A$3001,0)),""))</f>
        <v/>
      </c>
      <c r="L3836" s="29" t="str">
        <f aca="false">IF(A3836="","",IFERROR(1/(1/INDEX(Numéros!$C$2:$C$3001,MATCH(A3836&amp;"|"&amp;B3836,Numéros!$F$2:$F$3001,0))),""))</f>
        <v/>
      </c>
      <c r="M3836" s="27" t="str">
        <f aca="false">IF(OR(G3836="",G3836="?"),"",IFERROR(INDEX(Pubs!$D$2:$D$3001,MATCH(G3836,Pubs!$A$2:$A$3001,0))&amp;"",""))</f>
        <v/>
      </c>
      <c r="N3836" s="27" t="n">
        <f aca="false">N(N3835)+IF(AND(A3836&lt;&gt;"",OR(Recherche!$C$4="",A3836=Recherche!$C$4),OR(Recherche!$C$5="",B3836&amp;""=Recherche!$C$5&amp;""),OR(Recherche!$C$6="",IFERROR(YEAR(L3836),0)=Recherche!$C$6),OR(Recherche!$C$7="",ISNUMBER(SEARCH(Recherche!$C$7,H3836))),OR(Recherche!$C$8="",J3836=Recherche!$C$8),OR(Recherche!$C$9="",I3836=Recherche!$C$9),OR(Recherche!$C$10="",G3836&amp;""=Recherche!$C$10&amp;""),OR(Recherche!$C$11="",E3836=Recherche!$C$11),OR(Recherche!$C$12="",ISNUMBER(SEARCH(Recherche!$C$12,M3836&amp;" "&amp;F3836)))),1,0)</f>
        <v>8</v>
      </c>
    </row>
    <row r="3837" customFormat="false" ht="15" hidden="false" customHeight="false" outlineLevel="0" collapsed="false">
      <c r="A3837" s="19"/>
      <c r="B3837" s="19"/>
      <c r="C3837" s="19"/>
      <c r="D3837" s="19"/>
      <c r="E3837" s="22"/>
      <c r="F3837" s="19"/>
      <c r="G3837" s="26" t="str">
        <f aca="false">IF(D3837="","",IFERROR(VALUE(LEFT(D3837,FIND(" |",D3837&amp;" |")-1)),"?"))</f>
        <v/>
      </c>
      <c r="H3837" s="27" t="str">
        <f aca="false">IF(G3837="","",IF(G3837="?","⚠ pub inconnue",IFERROR(INDEX(Pubs!$B$2:$B$3001,MATCH(G3837,Pubs!$A$2:$A$3001,0))&amp;"","⚠ pub inconnue")))</f>
        <v/>
      </c>
      <c r="I3837" s="27" t="str">
        <f aca="false">IF(OR(G3837="",G3837="?"),"",IFERROR(INDEX(Pubs!$C$2:$C$3001,MATCH(G3837,Pubs!$A$2:$A$3001,0))&amp;"",""))</f>
        <v/>
      </c>
      <c r="J3837" s="27" t="str">
        <f aca="false">IF(OR(G3837="",G3837="?"),"",IFERROR(INDEX(Pubs!$G$2:$G$3001,MATCH(G3837,Pubs!$A$2:$A$3001,0))&amp;"",""))</f>
        <v/>
      </c>
      <c r="K3837" s="28" t="str">
        <f aca="false">IF(OR(G3837="",G3837="?"),"",IFERROR(INDEX(Pubs!$E$2:$E$3001,MATCH(G3837,Pubs!$A$2:$A$3001,0)),""))</f>
        <v/>
      </c>
      <c r="L3837" s="29" t="str">
        <f aca="false">IF(A3837="","",IFERROR(1/(1/INDEX(Numéros!$C$2:$C$3001,MATCH(A3837&amp;"|"&amp;B3837,Numéros!$F$2:$F$3001,0))),""))</f>
        <v/>
      </c>
      <c r="M3837" s="27" t="str">
        <f aca="false">IF(OR(G3837="",G3837="?"),"",IFERROR(INDEX(Pubs!$D$2:$D$3001,MATCH(G3837,Pubs!$A$2:$A$3001,0))&amp;"",""))</f>
        <v/>
      </c>
      <c r="N3837" s="27" t="n">
        <f aca="false">N(N3836)+IF(AND(A3837&lt;&gt;"",OR(Recherche!$C$4="",A3837=Recherche!$C$4),OR(Recherche!$C$5="",B3837&amp;""=Recherche!$C$5&amp;""),OR(Recherche!$C$6="",IFERROR(YEAR(L3837),0)=Recherche!$C$6),OR(Recherche!$C$7="",ISNUMBER(SEARCH(Recherche!$C$7,H3837))),OR(Recherche!$C$8="",J3837=Recherche!$C$8),OR(Recherche!$C$9="",I3837=Recherche!$C$9),OR(Recherche!$C$10="",G3837&amp;""=Recherche!$C$10&amp;""),OR(Recherche!$C$11="",E3837=Recherche!$C$11),OR(Recherche!$C$12="",ISNUMBER(SEARCH(Recherche!$C$12,M3837&amp;" "&amp;F3837)))),1,0)</f>
        <v>8</v>
      </c>
    </row>
    <row r="3838" customFormat="false" ht="15" hidden="false" customHeight="false" outlineLevel="0" collapsed="false">
      <c r="A3838" s="19"/>
      <c r="B3838" s="19"/>
      <c r="C3838" s="19"/>
      <c r="D3838" s="19"/>
      <c r="E3838" s="22"/>
      <c r="F3838" s="19"/>
      <c r="G3838" s="26" t="str">
        <f aca="false">IF(D3838="","",IFERROR(VALUE(LEFT(D3838,FIND(" |",D3838&amp;" |")-1)),"?"))</f>
        <v/>
      </c>
      <c r="H3838" s="27" t="str">
        <f aca="false">IF(G3838="","",IF(G3838="?","⚠ pub inconnue",IFERROR(INDEX(Pubs!$B$2:$B$3001,MATCH(G3838,Pubs!$A$2:$A$3001,0))&amp;"","⚠ pub inconnue")))</f>
        <v/>
      </c>
      <c r="I3838" s="27" t="str">
        <f aca="false">IF(OR(G3838="",G3838="?"),"",IFERROR(INDEX(Pubs!$C$2:$C$3001,MATCH(G3838,Pubs!$A$2:$A$3001,0))&amp;"",""))</f>
        <v/>
      </c>
      <c r="J3838" s="27" t="str">
        <f aca="false">IF(OR(G3838="",G3838="?"),"",IFERROR(INDEX(Pubs!$G$2:$G$3001,MATCH(G3838,Pubs!$A$2:$A$3001,0))&amp;"",""))</f>
        <v/>
      </c>
      <c r="K3838" s="28" t="str">
        <f aca="false">IF(OR(G3838="",G3838="?"),"",IFERROR(INDEX(Pubs!$E$2:$E$3001,MATCH(G3838,Pubs!$A$2:$A$3001,0)),""))</f>
        <v/>
      </c>
      <c r="L3838" s="29" t="str">
        <f aca="false">IF(A3838="","",IFERROR(1/(1/INDEX(Numéros!$C$2:$C$3001,MATCH(A3838&amp;"|"&amp;B3838,Numéros!$F$2:$F$3001,0))),""))</f>
        <v/>
      </c>
      <c r="M3838" s="27" t="str">
        <f aca="false">IF(OR(G3838="",G3838="?"),"",IFERROR(INDEX(Pubs!$D$2:$D$3001,MATCH(G3838,Pubs!$A$2:$A$3001,0))&amp;"",""))</f>
        <v/>
      </c>
      <c r="N3838" s="27" t="n">
        <f aca="false">N(N3837)+IF(AND(A3838&lt;&gt;"",OR(Recherche!$C$4="",A3838=Recherche!$C$4),OR(Recherche!$C$5="",B3838&amp;""=Recherche!$C$5&amp;""),OR(Recherche!$C$6="",IFERROR(YEAR(L3838),0)=Recherche!$C$6),OR(Recherche!$C$7="",ISNUMBER(SEARCH(Recherche!$C$7,H3838))),OR(Recherche!$C$8="",J3838=Recherche!$C$8),OR(Recherche!$C$9="",I3838=Recherche!$C$9),OR(Recherche!$C$10="",G3838&amp;""=Recherche!$C$10&amp;""),OR(Recherche!$C$11="",E3838=Recherche!$C$11),OR(Recherche!$C$12="",ISNUMBER(SEARCH(Recherche!$C$12,M3838&amp;" "&amp;F3838)))),1,0)</f>
        <v>8</v>
      </c>
    </row>
    <row r="3839" customFormat="false" ht="15" hidden="false" customHeight="false" outlineLevel="0" collapsed="false">
      <c r="A3839" s="19"/>
      <c r="B3839" s="19"/>
      <c r="C3839" s="19"/>
      <c r="D3839" s="19"/>
      <c r="E3839" s="22"/>
      <c r="F3839" s="19"/>
      <c r="G3839" s="26" t="str">
        <f aca="false">IF(D3839="","",IFERROR(VALUE(LEFT(D3839,FIND(" |",D3839&amp;" |")-1)),"?"))</f>
        <v/>
      </c>
      <c r="H3839" s="27" t="str">
        <f aca="false">IF(G3839="","",IF(G3839="?","⚠ pub inconnue",IFERROR(INDEX(Pubs!$B$2:$B$3001,MATCH(G3839,Pubs!$A$2:$A$3001,0))&amp;"","⚠ pub inconnue")))</f>
        <v/>
      </c>
      <c r="I3839" s="27" t="str">
        <f aca="false">IF(OR(G3839="",G3839="?"),"",IFERROR(INDEX(Pubs!$C$2:$C$3001,MATCH(G3839,Pubs!$A$2:$A$3001,0))&amp;"",""))</f>
        <v/>
      </c>
      <c r="J3839" s="27" t="str">
        <f aca="false">IF(OR(G3839="",G3839="?"),"",IFERROR(INDEX(Pubs!$G$2:$G$3001,MATCH(G3839,Pubs!$A$2:$A$3001,0))&amp;"",""))</f>
        <v/>
      </c>
      <c r="K3839" s="28" t="str">
        <f aca="false">IF(OR(G3839="",G3839="?"),"",IFERROR(INDEX(Pubs!$E$2:$E$3001,MATCH(G3839,Pubs!$A$2:$A$3001,0)),""))</f>
        <v/>
      </c>
      <c r="L3839" s="29" t="str">
        <f aca="false">IF(A3839="","",IFERROR(1/(1/INDEX(Numéros!$C$2:$C$3001,MATCH(A3839&amp;"|"&amp;B3839,Numéros!$F$2:$F$3001,0))),""))</f>
        <v/>
      </c>
      <c r="M3839" s="27" t="str">
        <f aca="false">IF(OR(G3839="",G3839="?"),"",IFERROR(INDEX(Pubs!$D$2:$D$3001,MATCH(G3839,Pubs!$A$2:$A$3001,0))&amp;"",""))</f>
        <v/>
      </c>
      <c r="N3839" s="27" t="n">
        <f aca="false">N(N3838)+IF(AND(A3839&lt;&gt;"",OR(Recherche!$C$4="",A3839=Recherche!$C$4),OR(Recherche!$C$5="",B3839&amp;""=Recherche!$C$5&amp;""),OR(Recherche!$C$6="",IFERROR(YEAR(L3839),0)=Recherche!$C$6),OR(Recherche!$C$7="",ISNUMBER(SEARCH(Recherche!$C$7,H3839))),OR(Recherche!$C$8="",J3839=Recherche!$C$8),OR(Recherche!$C$9="",I3839=Recherche!$C$9),OR(Recherche!$C$10="",G3839&amp;""=Recherche!$C$10&amp;""),OR(Recherche!$C$11="",E3839=Recherche!$C$11),OR(Recherche!$C$12="",ISNUMBER(SEARCH(Recherche!$C$12,M3839&amp;" "&amp;F3839)))),1,0)</f>
        <v>8</v>
      </c>
    </row>
    <row r="3840" customFormat="false" ht="15" hidden="false" customHeight="false" outlineLevel="0" collapsed="false">
      <c r="A3840" s="19"/>
      <c r="B3840" s="19"/>
      <c r="C3840" s="19"/>
      <c r="D3840" s="19"/>
      <c r="E3840" s="22"/>
      <c r="F3840" s="19"/>
      <c r="G3840" s="26" t="str">
        <f aca="false">IF(D3840="","",IFERROR(VALUE(LEFT(D3840,FIND(" |",D3840&amp;" |")-1)),"?"))</f>
        <v/>
      </c>
      <c r="H3840" s="27" t="str">
        <f aca="false">IF(G3840="","",IF(G3840="?","⚠ pub inconnue",IFERROR(INDEX(Pubs!$B$2:$B$3001,MATCH(G3840,Pubs!$A$2:$A$3001,0))&amp;"","⚠ pub inconnue")))</f>
        <v/>
      </c>
      <c r="I3840" s="27" t="str">
        <f aca="false">IF(OR(G3840="",G3840="?"),"",IFERROR(INDEX(Pubs!$C$2:$C$3001,MATCH(G3840,Pubs!$A$2:$A$3001,0))&amp;"",""))</f>
        <v/>
      </c>
      <c r="J3840" s="27" t="str">
        <f aca="false">IF(OR(G3840="",G3840="?"),"",IFERROR(INDEX(Pubs!$G$2:$G$3001,MATCH(G3840,Pubs!$A$2:$A$3001,0))&amp;"",""))</f>
        <v/>
      </c>
      <c r="K3840" s="28" t="str">
        <f aca="false">IF(OR(G3840="",G3840="?"),"",IFERROR(INDEX(Pubs!$E$2:$E$3001,MATCH(G3840,Pubs!$A$2:$A$3001,0)),""))</f>
        <v/>
      </c>
      <c r="L3840" s="29" t="str">
        <f aca="false">IF(A3840="","",IFERROR(1/(1/INDEX(Numéros!$C$2:$C$3001,MATCH(A3840&amp;"|"&amp;B3840,Numéros!$F$2:$F$3001,0))),""))</f>
        <v/>
      </c>
      <c r="M3840" s="27" t="str">
        <f aca="false">IF(OR(G3840="",G3840="?"),"",IFERROR(INDEX(Pubs!$D$2:$D$3001,MATCH(G3840,Pubs!$A$2:$A$3001,0))&amp;"",""))</f>
        <v/>
      </c>
      <c r="N3840" s="27" t="n">
        <f aca="false">N(N3839)+IF(AND(A3840&lt;&gt;"",OR(Recherche!$C$4="",A3840=Recherche!$C$4),OR(Recherche!$C$5="",B3840&amp;""=Recherche!$C$5&amp;""),OR(Recherche!$C$6="",IFERROR(YEAR(L3840),0)=Recherche!$C$6),OR(Recherche!$C$7="",ISNUMBER(SEARCH(Recherche!$C$7,H3840))),OR(Recherche!$C$8="",J3840=Recherche!$C$8),OR(Recherche!$C$9="",I3840=Recherche!$C$9),OR(Recherche!$C$10="",G3840&amp;""=Recherche!$C$10&amp;""),OR(Recherche!$C$11="",E3840=Recherche!$C$11),OR(Recherche!$C$12="",ISNUMBER(SEARCH(Recherche!$C$12,M3840&amp;" "&amp;F3840)))),1,0)</f>
        <v>8</v>
      </c>
    </row>
    <row r="3841" customFormat="false" ht="15" hidden="false" customHeight="false" outlineLevel="0" collapsed="false">
      <c r="A3841" s="19"/>
      <c r="B3841" s="19"/>
      <c r="C3841" s="19"/>
      <c r="D3841" s="19"/>
      <c r="E3841" s="22"/>
      <c r="F3841" s="19"/>
      <c r="G3841" s="26" t="str">
        <f aca="false">IF(D3841="","",IFERROR(VALUE(LEFT(D3841,FIND(" |",D3841&amp;" |")-1)),"?"))</f>
        <v/>
      </c>
      <c r="H3841" s="27" t="str">
        <f aca="false">IF(G3841="","",IF(G3841="?","⚠ pub inconnue",IFERROR(INDEX(Pubs!$B$2:$B$3001,MATCH(G3841,Pubs!$A$2:$A$3001,0))&amp;"","⚠ pub inconnue")))</f>
        <v/>
      </c>
      <c r="I3841" s="27" t="str">
        <f aca="false">IF(OR(G3841="",G3841="?"),"",IFERROR(INDEX(Pubs!$C$2:$C$3001,MATCH(G3841,Pubs!$A$2:$A$3001,0))&amp;"",""))</f>
        <v/>
      </c>
      <c r="J3841" s="27" t="str">
        <f aca="false">IF(OR(G3841="",G3841="?"),"",IFERROR(INDEX(Pubs!$G$2:$G$3001,MATCH(G3841,Pubs!$A$2:$A$3001,0))&amp;"",""))</f>
        <v/>
      </c>
      <c r="K3841" s="28" t="str">
        <f aca="false">IF(OR(G3841="",G3841="?"),"",IFERROR(INDEX(Pubs!$E$2:$E$3001,MATCH(G3841,Pubs!$A$2:$A$3001,0)),""))</f>
        <v/>
      </c>
      <c r="L3841" s="29" t="str">
        <f aca="false">IF(A3841="","",IFERROR(1/(1/INDEX(Numéros!$C$2:$C$3001,MATCH(A3841&amp;"|"&amp;B3841,Numéros!$F$2:$F$3001,0))),""))</f>
        <v/>
      </c>
      <c r="M3841" s="27" t="str">
        <f aca="false">IF(OR(G3841="",G3841="?"),"",IFERROR(INDEX(Pubs!$D$2:$D$3001,MATCH(G3841,Pubs!$A$2:$A$3001,0))&amp;"",""))</f>
        <v/>
      </c>
      <c r="N3841" s="27" t="n">
        <f aca="false">N(N3840)+IF(AND(A3841&lt;&gt;"",OR(Recherche!$C$4="",A3841=Recherche!$C$4),OR(Recherche!$C$5="",B3841&amp;""=Recherche!$C$5&amp;""),OR(Recherche!$C$6="",IFERROR(YEAR(L3841),0)=Recherche!$C$6),OR(Recherche!$C$7="",ISNUMBER(SEARCH(Recherche!$C$7,H3841))),OR(Recherche!$C$8="",J3841=Recherche!$C$8),OR(Recherche!$C$9="",I3841=Recherche!$C$9),OR(Recherche!$C$10="",G3841&amp;""=Recherche!$C$10&amp;""),OR(Recherche!$C$11="",E3841=Recherche!$C$11),OR(Recherche!$C$12="",ISNUMBER(SEARCH(Recherche!$C$12,M3841&amp;" "&amp;F3841)))),1,0)</f>
        <v>8</v>
      </c>
    </row>
    <row r="3842" customFormat="false" ht="15" hidden="false" customHeight="false" outlineLevel="0" collapsed="false">
      <c r="A3842" s="19"/>
      <c r="B3842" s="19"/>
      <c r="C3842" s="19"/>
      <c r="D3842" s="19"/>
      <c r="E3842" s="22"/>
      <c r="F3842" s="19"/>
      <c r="G3842" s="26" t="str">
        <f aca="false">IF(D3842="","",IFERROR(VALUE(LEFT(D3842,FIND(" |",D3842&amp;" |")-1)),"?"))</f>
        <v/>
      </c>
      <c r="H3842" s="27" t="str">
        <f aca="false">IF(G3842="","",IF(G3842="?","⚠ pub inconnue",IFERROR(INDEX(Pubs!$B$2:$B$3001,MATCH(G3842,Pubs!$A$2:$A$3001,0))&amp;"","⚠ pub inconnue")))</f>
        <v/>
      </c>
      <c r="I3842" s="27" t="str">
        <f aca="false">IF(OR(G3842="",G3842="?"),"",IFERROR(INDEX(Pubs!$C$2:$C$3001,MATCH(G3842,Pubs!$A$2:$A$3001,0))&amp;"",""))</f>
        <v/>
      </c>
      <c r="J3842" s="27" t="str">
        <f aca="false">IF(OR(G3842="",G3842="?"),"",IFERROR(INDEX(Pubs!$G$2:$G$3001,MATCH(G3842,Pubs!$A$2:$A$3001,0))&amp;"",""))</f>
        <v/>
      </c>
      <c r="K3842" s="28" t="str">
        <f aca="false">IF(OR(G3842="",G3842="?"),"",IFERROR(INDEX(Pubs!$E$2:$E$3001,MATCH(G3842,Pubs!$A$2:$A$3001,0)),""))</f>
        <v/>
      </c>
      <c r="L3842" s="29" t="str">
        <f aca="false">IF(A3842="","",IFERROR(1/(1/INDEX(Numéros!$C$2:$C$3001,MATCH(A3842&amp;"|"&amp;B3842,Numéros!$F$2:$F$3001,0))),""))</f>
        <v/>
      </c>
      <c r="M3842" s="27" t="str">
        <f aca="false">IF(OR(G3842="",G3842="?"),"",IFERROR(INDEX(Pubs!$D$2:$D$3001,MATCH(G3842,Pubs!$A$2:$A$3001,0))&amp;"",""))</f>
        <v/>
      </c>
      <c r="N3842" s="27" t="n">
        <f aca="false">N(N3841)+IF(AND(A3842&lt;&gt;"",OR(Recherche!$C$4="",A3842=Recherche!$C$4),OR(Recherche!$C$5="",B3842&amp;""=Recherche!$C$5&amp;""),OR(Recherche!$C$6="",IFERROR(YEAR(L3842),0)=Recherche!$C$6),OR(Recherche!$C$7="",ISNUMBER(SEARCH(Recherche!$C$7,H3842))),OR(Recherche!$C$8="",J3842=Recherche!$C$8),OR(Recherche!$C$9="",I3842=Recherche!$C$9),OR(Recherche!$C$10="",G3842&amp;""=Recherche!$C$10&amp;""),OR(Recherche!$C$11="",E3842=Recherche!$C$11),OR(Recherche!$C$12="",ISNUMBER(SEARCH(Recherche!$C$12,M3842&amp;" "&amp;F3842)))),1,0)</f>
        <v>8</v>
      </c>
    </row>
    <row r="3843" customFormat="false" ht="15" hidden="false" customHeight="false" outlineLevel="0" collapsed="false">
      <c r="A3843" s="19"/>
      <c r="B3843" s="19"/>
      <c r="C3843" s="19"/>
      <c r="D3843" s="19"/>
      <c r="E3843" s="22"/>
      <c r="F3843" s="19"/>
      <c r="G3843" s="26" t="str">
        <f aca="false">IF(D3843="","",IFERROR(VALUE(LEFT(D3843,FIND(" |",D3843&amp;" |")-1)),"?"))</f>
        <v/>
      </c>
      <c r="H3843" s="27" t="str">
        <f aca="false">IF(G3843="","",IF(G3843="?","⚠ pub inconnue",IFERROR(INDEX(Pubs!$B$2:$B$3001,MATCH(G3843,Pubs!$A$2:$A$3001,0))&amp;"","⚠ pub inconnue")))</f>
        <v/>
      </c>
      <c r="I3843" s="27" t="str">
        <f aca="false">IF(OR(G3843="",G3843="?"),"",IFERROR(INDEX(Pubs!$C$2:$C$3001,MATCH(G3843,Pubs!$A$2:$A$3001,0))&amp;"",""))</f>
        <v/>
      </c>
      <c r="J3843" s="27" t="str">
        <f aca="false">IF(OR(G3843="",G3843="?"),"",IFERROR(INDEX(Pubs!$G$2:$G$3001,MATCH(G3843,Pubs!$A$2:$A$3001,0))&amp;"",""))</f>
        <v/>
      </c>
      <c r="K3843" s="28" t="str">
        <f aca="false">IF(OR(G3843="",G3843="?"),"",IFERROR(INDEX(Pubs!$E$2:$E$3001,MATCH(G3843,Pubs!$A$2:$A$3001,0)),""))</f>
        <v/>
      </c>
      <c r="L3843" s="29" t="str">
        <f aca="false">IF(A3843="","",IFERROR(1/(1/INDEX(Numéros!$C$2:$C$3001,MATCH(A3843&amp;"|"&amp;B3843,Numéros!$F$2:$F$3001,0))),""))</f>
        <v/>
      </c>
      <c r="M3843" s="27" t="str">
        <f aca="false">IF(OR(G3843="",G3843="?"),"",IFERROR(INDEX(Pubs!$D$2:$D$3001,MATCH(G3843,Pubs!$A$2:$A$3001,0))&amp;"",""))</f>
        <v/>
      </c>
      <c r="N3843" s="27" t="n">
        <f aca="false">N(N3842)+IF(AND(A3843&lt;&gt;"",OR(Recherche!$C$4="",A3843=Recherche!$C$4),OR(Recherche!$C$5="",B3843&amp;""=Recherche!$C$5&amp;""),OR(Recherche!$C$6="",IFERROR(YEAR(L3843),0)=Recherche!$C$6),OR(Recherche!$C$7="",ISNUMBER(SEARCH(Recherche!$C$7,H3843))),OR(Recherche!$C$8="",J3843=Recherche!$C$8),OR(Recherche!$C$9="",I3843=Recherche!$C$9),OR(Recherche!$C$10="",G3843&amp;""=Recherche!$C$10&amp;""),OR(Recherche!$C$11="",E3843=Recherche!$C$11),OR(Recherche!$C$12="",ISNUMBER(SEARCH(Recherche!$C$12,M3843&amp;" "&amp;F3843)))),1,0)</f>
        <v>8</v>
      </c>
    </row>
    <row r="3844" customFormat="false" ht="15" hidden="false" customHeight="false" outlineLevel="0" collapsed="false">
      <c r="A3844" s="19"/>
      <c r="B3844" s="19"/>
      <c r="C3844" s="19"/>
      <c r="D3844" s="19"/>
      <c r="E3844" s="22"/>
      <c r="F3844" s="19"/>
      <c r="G3844" s="26" t="str">
        <f aca="false">IF(D3844="","",IFERROR(VALUE(LEFT(D3844,FIND(" |",D3844&amp;" |")-1)),"?"))</f>
        <v/>
      </c>
      <c r="H3844" s="27" t="str">
        <f aca="false">IF(G3844="","",IF(G3844="?","⚠ pub inconnue",IFERROR(INDEX(Pubs!$B$2:$B$3001,MATCH(G3844,Pubs!$A$2:$A$3001,0))&amp;"","⚠ pub inconnue")))</f>
        <v/>
      </c>
      <c r="I3844" s="27" t="str">
        <f aca="false">IF(OR(G3844="",G3844="?"),"",IFERROR(INDEX(Pubs!$C$2:$C$3001,MATCH(G3844,Pubs!$A$2:$A$3001,0))&amp;"",""))</f>
        <v/>
      </c>
      <c r="J3844" s="27" t="str">
        <f aca="false">IF(OR(G3844="",G3844="?"),"",IFERROR(INDEX(Pubs!$G$2:$G$3001,MATCH(G3844,Pubs!$A$2:$A$3001,0))&amp;"",""))</f>
        <v/>
      </c>
      <c r="K3844" s="28" t="str">
        <f aca="false">IF(OR(G3844="",G3844="?"),"",IFERROR(INDEX(Pubs!$E$2:$E$3001,MATCH(G3844,Pubs!$A$2:$A$3001,0)),""))</f>
        <v/>
      </c>
      <c r="L3844" s="29" t="str">
        <f aca="false">IF(A3844="","",IFERROR(1/(1/INDEX(Numéros!$C$2:$C$3001,MATCH(A3844&amp;"|"&amp;B3844,Numéros!$F$2:$F$3001,0))),""))</f>
        <v/>
      </c>
      <c r="M3844" s="27" t="str">
        <f aca="false">IF(OR(G3844="",G3844="?"),"",IFERROR(INDEX(Pubs!$D$2:$D$3001,MATCH(G3844,Pubs!$A$2:$A$3001,0))&amp;"",""))</f>
        <v/>
      </c>
      <c r="N3844" s="27" t="n">
        <f aca="false">N(N3843)+IF(AND(A3844&lt;&gt;"",OR(Recherche!$C$4="",A3844=Recherche!$C$4),OR(Recherche!$C$5="",B3844&amp;""=Recherche!$C$5&amp;""),OR(Recherche!$C$6="",IFERROR(YEAR(L3844),0)=Recherche!$C$6),OR(Recherche!$C$7="",ISNUMBER(SEARCH(Recherche!$C$7,H3844))),OR(Recherche!$C$8="",J3844=Recherche!$C$8),OR(Recherche!$C$9="",I3844=Recherche!$C$9),OR(Recherche!$C$10="",G3844&amp;""=Recherche!$C$10&amp;""),OR(Recherche!$C$11="",E3844=Recherche!$C$11),OR(Recherche!$C$12="",ISNUMBER(SEARCH(Recherche!$C$12,M3844&amp;" "&amp;F3844)))),1,0)</f>
        <v>8</v>
      </c>
    </row>
    <row r="3845" customFormat="false" ht="15" hidden="false" customHeight="false" outlineLevel="0" collapsed="false">
      <c r="A3845" s="19"/>
      <c r="B3845" s="19"/>
      <c r="C3845" s="19"/>
      <c r="D3845" s="19"/>
      <c r="E3845" s="22"/>
      <c r="F3845" s="19"/>
      <c r="G3845" s="26" t="str">
        <f aca="false">IF(D3845="","",IFERROR(VALUE(LEFT(D3845,FIND(" |",D3845&amp;" |")-1)),"?"))</f>
        <v/>
      </c>
      <c r="H3845" s="27" t="str">
        <f aca="false">IF(G3845="","",IF(G3845="?","⚠ pub inconnue",IFERROR(INDEX(Pubs!$B$2:$B$3001,MATCH(G3845,Pubs!$A$2:$A$3001,0))&amp;"","⚠ pub inconnue")))</f>
        <v/>
      </c>
      <c r="I3845" s="27" t="str">
        <f aca="false">IF(OR(G3845="",G3845="?"),"",IFERROR(INDEX(Pubs!$C$2:$C$3001,MATCH(G3845,Pubs!$A$2:$A$3001,0))&amp;"",""))</f>
        <v/>
      </c>
      <c r="J3845" s="27" t="str">
        <f aca="false">IF(OR(G3845="",G3845="?"),"",IFERROR(INDEX(Pubs!$G$2:$G$3001,MATCH(G3845,Pubs!$A$2:$A$3001,0))&amp;"",""))</f>
        <v/>
      </c>
      <c r="K3845" s="28" t="str">
        <f aca="false">IF(OR(G3845="",G3845="?"),"",IFERROR(INDEX(Pubs!$E$2:$E$3001,MATCH(G3845,Pubs!$A$2:$A$3001,0)),""))</f>
        <v/>
      </c>
      <c r="L3845" s="29" t="str">
        <f aca="false">IF(A3845="","",IFERROR(1/(1/INDEX(Numéros!$C$2:$C$3001,MATCH(A3845&amp;"|"&amp;B3845,Numéros!$F$2:$F$3001,0))),""))</f>
        <v/>
      </c>
      <c r="M3845" s="27" t="str">
        <f aca="false">IF(OR(G3845="",G3845="?"),"",IFERROR(INDEX(Pubs!$D$2:$D$3001,MATCH(G3845,Pubs!$A$2:$A$3001,0))&amp;"",""))</f>
        <v/>
      </c>
      <c r="N3845" s="27" t="n">
        <f aca="false">N(N3844)+IF(AND(A3845&lt;&gt;"",OR(Recherche!$C$4="",A3845=Recherche!$C$4),OR(Recherche!$C$5="",B3845&amp;""=Recherche!$C$5&amp;""),OR(Recherche!$C$6="",IFERROR(YEAR(L3845),0)=Recherche!$C$6),OR(Recherche!$C$7="",ISNUMBER(SEARCH(Recherche!$C$7,H3845))),OR(Recherche!$C$8="",J3845=Recherche!$C$8),OR(Recherche!$C$9="",I3845=Recherche!$C$9),OR(Recherche!$C$10="",G3845&amp;""=Recherche!$C$10&amp;""),OR(Recherche!$C$11="",E3845=Recherche!$C$11),OR(Recherche!$C$12="",ISNUMBER(SEARCH(Recherche!$C$12,M3845&amp;" "&amp;F3845)))),1,0)</f>
        <v>8</v>
      </c>
    </row>
    <row r="3846" customFormat="false" ht="15" hidden="false" customHeight="false" outlineLevel="0" collapsed="false">
      <c r="A3846" s="19"/>
      <c r="B3846" s="19"/>
      <c r="C3846" s="19"/>
      <c r="D3846" s="19"/>
      <c r="E3846" s="22"/>
      <c r="F3846" s="19"/>
      <c r="G3846" s="26" t="str">
        <f aca="false">IF(D3846="","",IFERROR(VALUE(LEFT(D3846,FIND(" |",D3846&amp;" |")-1)),"?"))</f>
        <v/>
      </c>
      <c r="H3846" s="27" t="str">
        <f aca="false">IF(G3846="","",IF(G3846="?","⚠ pub inconnue",IFERROR(INDEX(Pubs!$B$2:$B$3001,MATCH(G3846,Pubs!$A$2:$A$3001,0))&amp;"","⚠ pub inconnue")))</f>
        <v/>
      </c>
      <c r="I3846" s="27" t="str">
        <f aca="false">IF(OR(G3846="",G3846="?"),"",IFERROR(INDEX(Pubs!$C$2:$C$3001,MATCH(G3846,Pubs!$A$2:$A$3001,0))&amp;"",""))</f>
        <v/>
      </c>
      <c r="J3846" s="27" t="str">
        <f aca="false">IF(OR(G3846="",G3846="?"),"",IFERROR(INDEX(Pubs!$G$2:$G$3001,MATCH(G3846,Pubs!$A$2:$A$3001,0))&amp;"",""))</f>
        <v/>
      </c>
      <c r="K3846" s="28" t="str">
        <f aca="false">IF(OR(G3846="",G3846="?"),"",IFERROR(INDEX(Pubs!$E$2:$E$3001,MATCH(G3846,Pubs!$A$2:$A$3001,0)),""))</f>
        <v/>
      </c>
      <c r="L3846" s="29" t="str">
        <f aca="false">IF(A3846="","",IFERROR(1/(1/INDEX(Numéros!$C$2:$C$3001,MATCH(A3846&amp;"|"&amp;B3846,Numéros!$F$2:$F$3001,0))),""))</f>
        <v/>
      </c>
      <c r="M3846" s="27" t="str">
        <f aca="false">IF(OR(G3846="",G3846="?"),"",IFERROR(INDEX(Pubs!$D$2:$D$3001,MATCH(G3846,Pubs!$A$2:$A$3001,0))&amp;"",""))</f>
        <v/>
      </c>
      <c r="N3846" s="27" t="n">
        <f aca="false">N(N3845)+IF(AND(A3846&lt;&gt;"",OR(Recherche!$C$4="",A3846=Recherche!$C$4),OR(Recherche!$C$5="",B3846&amp;""=Recherche!$C$5&amp;""),OR(Recherche!$C$6="",IFERROR(YEAR(L3846),0)=Recherche!$C$6),OR(Recherche!$C$7="",ISNUMBER(SEARCH(Recherche!$C$7,H3846))),OR(Recherche!$C$8="",J3846=Recherche!$C$8),OR(Recherche!$C$9="",I3846=Recherche!$C$9),OR(Recherche!$C$10="",G3846&amp;""=Recherche!$C$10&amp;""),OR(Recherche!$C$11="",E3846=Recherche!$C$11),OR(Recherche!$C$12="",ISNUMBER(SEARCH(Recherche!$C$12,M3846&amp;" "&amp;F3846)))),1,0)</f>
        <v>8</v>
      </c>
    </row>
    <row r="3847" customFormat="false" ht="15" hidden="false" customHeight="false" outlineLevel="0" collapsed="false">
      <c r="A3847" s="19"/>
      <c r="B3847" s="19"/>
      <c r="C3847" s="19"/>
      <c r="D3847" s="19"/>
      <c r="E3847" s="22"/>
      <c r="F3847" s="19"/>
      <c r="G3847" s="26" t="str">
        <f aca="false">IF(D3847="","",IFERROR(VALUE(LEFT(D3847,FIND(" |",D3847&amp;" |")-1)),"?"))</f>
        <v/>
      </c>
      <c r="H3847" s="27" t="str">
        <f aca="false">IF(G3847="","",IF(G3847="?","⚠ pub inconnue",IFERROR(INDEX(Pubs!$B$2:$B$3001,MATCH(G3847,Pubs!$A$2:$A$3001,0))&amp;"","⚠ pub inconnue")))</f>
        <v/>
      </c>
      <c r="I3847" s="27" t="str">
        <f aca="false">IF(OR(G3847="",G3847="?"),"",IFERROR(INDEX(Pubs!$C$2:$C$3001,MATCH(G3847,Pubs!$A$2:$A$3001,0))&amp;"",""))</f>
        <v/>
      </c>
      <c r="J3847" s="27" t="str">
        <f aca="false">IF(OR(G3847="",G3847="?"),"",IFERROR(INDEX(Pubs!$G$2:$G$3001,MATCH(G3847,Pubs!$A$2:$A$3001,0))&amp;"",""))</f>
        <v/>
      </c>
      <c r="K3847" s="28" t="str">
        <f aca="false">IF(OR(G3847="",G3847="?"),"",IFERROR(INDEX(Pubs!$E$2:$E$3001,MATCH(G3847,Pubs!$A$2:$A$3001,0)),""))</f>
        <v/>
      </c>
      <c r="L3847" s="29" t="str">
        <f aca="false">IF(A3847="","",IFERROR(1/(1/INDEX(Numéros!$C$2:$C$3001,MATCH(A3847&amp;"|"&amp;B3847,Numéros!$F$2:$F$3001,0))),""))</f>
        <v/>
      </c>
      <c r="M3847" s="27" t="str">
        <f aca="false">IF(OR(G3847="",G3847="?"),"",IFERROR(INDEX(Pubs!$D$2:$D$3001,MATCH(G3847,Pubs!$A$2:$A$3001,0))&amp;"",""))</f>
        <v/>
      </c>
      <c r="N3847" s="27" t="n">
        <f aca="false">N(N3846)+IF(AND(A3847&lt;&gt;"",OR(Recherche!$C$4="",A3847=Recherche!$C$4),OR(Recherche!$C$5="",B3847&amp;""=Recherche!$C$5&amp;""),OR(Recherche!$C$6="",IFERROR(YEAR(L3847),0)=Recherche!$C$6),OR(Recherche!$C$7="",ISNUMBER(SEARCH(Recherche!$C$7,H3847))),OR(Recherche!$C$8="",J3847=Recherche!$C$8),OR(Recherche!$C$9="",I3847=Recherche!$C$9),OR(Recherche!$C$10="",G3847&amp;""=Recherche!$C$10&amp;""),OR(Recherche!$C$11="",E3847=Recherche!$C$11),OR(Recherche!$C$12="",ISNUMBER(SEARCH(Recherche!$C$12,M3847&amp;" "&amp;F3847)))),1,0)</f>
        <v>8</v>
      </c>
    </row>
    <row r="3848" customFormat="false" ht="15" hidden="false" customHeight="false" outlineLevel="0" collapsed="false">
      <c r="A3848" s="19"/>
      <c r="B3848" s="19"/>
      <c r="C3848" s="19"/>
      <c r="D3848" s="19"/>
      <c r="E3848" s="22"/>
      <c r="F3848" s="19"/>
      <c r="G3848" s="26" t="str">
        <f aca="false">IF(D3848="","",IFERROR(VALUE(LEFT(D3848,FIND(" |",D3848&amp;" |")-1)),"?"))</f>
        <v/>
      </c>
      <c r="H3848" s="27" t="str">
        <f aca="false">IF(G3848="","",IF(G3848="?","⚠ pub inconnue",IFERROR(INDEX(Pubs!$B$2:$B$3001,MATCH(G3848,Pubs!$A$2:$A$3001,0))&amp;"","⚠ pub inconnue")))</f>
        <v/>
      </c>
      <c r="I3848" s="27" t="str">
        <f aca="false">IF(OR(G3848="",G3848="?"),"",IFERROR(INDEX(Pubs!$C$2:$C$3001,MATCH(G3848,Pubs!$A$2:$A$3001,0))&amp;"",""))</f>
        <v/>
      </c>
      <c r="J3848" s="27" t="str">
        <f aca="false">IF(OR(G3848="",G3848="?"),"",IFERROR(INDEX(Pubs!$G$2:$G$3001,MATCH(G3848,Pubs!$A$2:$A$3001,0))&amp;"",""))</f>
        <v/>
      </c>
      <c r="K3848" s="28" t="str">
        <f aca="false">IF(OR(G3848="",G3848="?"),"",IFERROR(INDEX(Pubs!$E$2:$E$3001,MATCH(G3848,Pubs!$A$2:$A$3001,0)),""))</f>
        <v/>
      </c>
      <c r="L3848" s="29" t="str">
        <f aca="false">IF(A3848="","",IFERROR(1/(1/INDEX(Numéros!$C$2:$C$3001,MATCH(A3848&amp;"|"&amp;B3848,Numéros!$F$2:$F$3001,0))),""))</f>
        <v/>
      </c>
      <c r="M3848" s="27" t="str">
        <f aca="false">IF(OR(G3848="",G3848="?"),"",IFERROR(INDEX(Pubs!$D$2:$D$3001,MATCH(G3848,Pubs!$A$2:$A$3001,0))&amp;"",""))</f>
        <v/>
      </c>
      <c r="N3848" s="27" t="n">
        <f aca="false">N(N3847)+IF(AND(A3848&lt;&gt;"",OR(Recherche!$C$4="",A3848=Recherche!$C$4),OR(Recherche!$C$5="",B3848&amp;""=Recherche!$C$5&amp;""),OR(Recherche!$C$6="",IFERROR(YEAR(L3848),0)=Recherche!$C$6),OR(Recherche!$C$7="",ISNUMBER(SEARCH(Recherche!$C$7,H3848))),OR(Recherche!$C$8="",J3848=Recherche!$C$8),OR(Recherche!$C$9="",I3848=Recherche!$C$9),OR(Recherche!$C$10="",G3848&amp;""=Recherche!$C$10&amp;""),OR(Recherche!$C$11="",E3848=Recherche!$C$11),OR(Recherche!$C$12="",ISNUMBER(SEARCH(Recherche!$C$12,M3848&amp;" "&amp;F3848)))),1,0)</f>
        <v>8</v>
      </c>
    </row>
    <row r="3849" customFormat="false" ht="15" hidden="false" customHeight="false" outlineLevel="0" collapsed="false">
      <c r="A3849" s="19"/>
      <c r="B3849" s="19"/>
      <c r="C3849" s="19"/>
      <c r="D3849" s="19"/>
      <c r="E3849" s="22"/>
      <c r="F3849" s="19"/>
      <c r="G3849" s="26" t="str">
        <f aca="false">IF(D3849="","",IFERROR(VALUE(LEFT(D3849,FIND(" |",D3849&amp;" |")-1)),"?"))</f>
        <v/>
      </c>
      <c r="H3849" s="27" t="str">
        <f aca="false">IF(G3849="","",IF(G3849="?","⚠ pub inconnue",IFERROR(INDEX(Pubs!$B$2:$B$3001,MATCH(G3849,Pubs!$A$2:$A$3001,0))&amp;"","⚠ pub inconnue")))</f>
        <v/>
      </c>
      <c r="I3849" s="27" t="str">
        <f aca="false">IF(OR(G3849="",G3849="?"),"",IFERROR(INDEX(Pubs!$C$2:$C$3001,MATCH(G3849,Pubs!$A$2:$A$3001,0))&amp;"",""))</f>
        <v/>
      </c>
      <c r="J3849" s="27" t="str">
        <f aca="false">IF(OR(G3849="",G3849="?"),"",IFERROR(INDEX(Pubs!$G$2:$G$3001,MATCH(G3849,Pubs!$A$2:$A$3001,0))&amp;"",""))</f>
        <v/>
      </c>
      <c r="K3849" s="28" t="str">
        <f aca="false">IF(OR(G3849="",G3849="?"),"",IFERROR(INDEX(Pubs!$E$2:$E$3001,MATCH(G3849,Pubs!$A$2:$A$3001,0)),""))</f>
        <v/>
      </c>
      <c r="L3849" s="29" t="str">
        <f aca="false">IF(A3849="","",IFERROR(1/(1/INDEX(Numéros!$C$2:$C$3001,MATCH(A3849&amp;"|"&amp;B3849,Numéros!$F$2:$F$3001,0))),""))</f>
        <v/>
      </c>
      <c r="M3849" s="27" t="str">
        <f aca="false">IF(OR(G3849="",G3849="?"),"",IFERROR(INDEX(Pubs!$D$2:$D$3001,MATCH(G3849,Pubs!$A$2:$A$3001,0))&amp;"",""))</f>
        <v/>
      </c>
      <c r="N3849" s="27" t="n">
        <f aca="false">N(N3848)+IF(AND(A3849&lt;&gt;"",OR(Recherche!$C$4="",A3849=Recherche!$C$4),OR(Recherche!$C$5="",B3849&amp;""=Recherche!$C$5&amp;""),OR(Recherche!$C$6="",IFERROR(YEAR(L3849),0)=Recherche!$C$6),OR(Recherche!$C$7="",ISNUMBER(SEARCH(Recherche!$C$7,H3849))),OR(Recherche!$C$8="",J3849=Recherche!$C$8),OR(Recherche!$C$9="",I3849=Recherche!$C$9),OR(Recherche!$C$10="",G3849&amp;""=Recherche!$C$10&amp;""),OR(Recherche!$C$11="",E3849=Recherche!$C$11),OR(Recherche!$C$12="",ISNUMBER(SEARCH(Recherche!$C$12,M3849&amp;" "&amp;F3849)))),1,0)</f>
        <v>8</v>
      </c>
    </row>
    <row r="3850" customFormat="false" ht="15" hidden="false" customHeight="false" outlineLevel="0" collapsed="false">
      <c r="A3850" s="19"/>
      <c r="B3850" s="19"/>
      <c r="C3850" s="19"/>
      <c r="D3850" s="19"/>
      <c r="E3850" s="22"/>
      <c r="F3850" s="19"/>
      <c r="G3850" s="26" t="str">
        <f aca="false">IF(D3850="","",IFERROR(VALUE(LEFT(D3850,FIND(" |",D3850&amp;" |")-1)),"?"))</f>
        <v/>
      </c>
      <c r="H3850" s="27" t="str">
        <f aca="false">IF(G3850="","",IF(G3850="?","⚠ pub inconnue",IFERROR(INDEX(Pubs!$B$2:$B$3001,MATCH(G3850,Pubs!$A$2:$A$3001,0))&amp;"","⚠ pub inconnue")))</f>
        <v/>
      </c>
      <c r="I3850" s="27" t="str">
        <f aca="false">IF(OR(G3850="",G3850="?"),"",IFERROR(INDEX(Pubs!$C$2:$C$3001,MATCH(G3850,Pubs!$A$2:$A$3001,0))&amp;"",""))</f>
        <v/>
      </c>
      <c r="J3850" s="27" t="str">
        <f aca="false">IF(OR(G3850="",G3850="?"),"",IFERROR(INDEX(Pubs!$G$2:$G$3001,MATCH(G3850,Pubs!$A$2:$A$3001,0))&amp;"",""))</f>
        <v/>
      </c>
      <c r="K3850" s="28" t="str">
        <f aca="false">IF(OR(G3850="",G3850="?"),"",IFERROR(INDEX(Pubs!$E$2:$E$3001,MATCH(G3850,Pubs!$A$2:$A$3001,0)),""))</f>
        <v/>
      </c>
      <c r="L3850" s="29" t="str">
        <f aca="false">IF(A3850="","",IFERROR(1/(1/INDEX(Numéros!$C$2:$C$3001,MATCH(A3850&amp;"|"&amp;B3850,Numéros!$F$2:$F$3001,0))),""))</f>
        <v/>
      </c>
      <c r="M3850" s="27" t="str">
        <f aca="false">IF(OR(G3850="",G3850="?"),"",IFERROR(INDEX(Pubs!$D$2:$D$3001,MATCH(G3850,Pubs!$A$2:$A$3001,0))&amp;"",""))</f>
        <v/>
      </c>
      <c r="N3850" s="27" t="n">
        <f aca="false">N(N3849)+IF(AND(A3850&lt;&gt;"",OR(Recherche!$C$4="",A3850=Recherche!$C$4),OR(Recherche!$C$5="",B3850&amp;""=Recherche!$C$5&amp;""),OR(Recherche!$C$6="",IFERROR(YEAR(L3850),0)=Recherche!$C$6),OR(Recherche!$C$7="",ISNUMBER(SEARCH(Recherche!$C$7,H3850))),OR(Recherche!$C$8="",J3850=Recherche!$C$8),OR(Recherche!$C$9="",I3850=Recherche!$C$9),OR(Recherche!$C$10="",G3850&amp;""=Recherche!$C$10&amp;""),OR(Recherche!$C$11="",E3850=Recherche!$C$11),OR(Recherche!$C$12="",ISNUMBER(SEARCH(Recherche!$C$12,M3850&amp;" "&amp;F3850)))),1,0)</f>
        <v>8</v>
      </c>
    </row>
    <row r="3851" customFormat="false" ht="15" hidden="false" customHeight="false" outlineLevel="0" collapsed="false">
      <c r="A3851" s="19"/>
      <c r="B3851" s="19"/>
      <c r="C3851" s="19"/>
      <c r="D3851" s="19"/>
      <c r="E3851" s="22"/>
      <c r="F3851" s="19"/>
      <c r="G3851" s="26" t="str">
        <f aca="false">IF(D3851="","",IFERROR(VALUE(LEFT(D3851,FIND(" |",D3851&amp;" |")-1)),"?"))</f>
        <v/>
      </c>
      <c r="H3851" s="27" t="str">
        <f aca="false">IF(G3851="","",IF(G3851="?","⚠ pub inconnue",IFERROR(INDEX(Pubs!$B$2:$B$3001,MATCH(G3851,Pubs!$A$2:$A$3001,0))&amp;"","⚠ pub inconnue")))</f>
        <v/>
      </c>
      <c r="I3851" s="27" t="str">
        <f aca="false">IF(OR(G3851="",G3851="?"),"",IFERROR(INDEX(Pubs!$C$2:$C$3001,MATCH(G3851,Pubs!$A$2:$A$3001,0))&amp;"",""))</f>
        <v/>
      </c>
      <c r="J3851" s="27" t="str">
        <f aca="false">IF(OR(G3851="",G3851="?"),"",IFERROR(INDEX(Pubs!$G$2:$G$3001,MATCH(G3851,Pubs!$A$2:$A$3001,0))&amp;"",""))</f>
        <v/>
      </c>
      <c r="K3851" s="28" t="str">
        <f aca="false">IF(OR(G3851="",G3851="?"),"",IFERROR(INDEX(Pubs!$E$2:$E$3001,MATCH(G3851,Pubs!$A$2:$A$3001,0)),""))</f>
        <v/>
      </c>
      <c r="L3851" s="29" t="str">
        <f aca="false">IF(A3851="","",IFERROR(1/(1/INDEX(Numéros!$C$2:$C$3001,MATCH(A3851&amp;"|"&amp;B3851,Numéros!$F$2:$F$3001,0))),""))</f>
        <v/>
      </c>
      <c r="M3851" s="27" t="str">
        <f aca="false">IF(OR(G3851="",G3851="?"),"",IFERROR(INDEX(Pubs!$D$2:$D$3001,MATCH(G3851,Pubs!$A$2:$A$3001,0))&amp;"",""))</f>
        <v/>
      </c>
      <c r="N3851" s="27" t="n">
        <f aca="false">N(N3850)+IF(AND(A3851&lt;&gt;"",OR(Recherche!$C$4="",A3851=Recherche!$C$4),OR(Recherche!$C$5="",B3851&amp;""=Recherche!$C$5&amp;""),OR(Recherche!$C$6="",IFERROR(YEAR(L3851),0)=Recherche!$C$6),OR(Recherche!$C$7="",ISNUMBER(SEARCH(Recherche!$C$7,H3851))),OR(Recherche!$C$8="",J3851=Recherche!$C$8),OR(Recherche!$C$9="",I3851=Recherche!$C$9),OR(Recherche!$C$10="",G3851&amp;""=Recherche!$C$10&amp;""),OR(Recherche!$C$11="",E3851=Recherche!$C$11),OR(Recherche!$C$12="",ISNUMBER(SEARCH(Recherche!$C$12,M3851&amp;" "&amp;F3851)))),1,0)</f>
        <v>8</v>
      </c>
    </row>
    <row r="3852" customFormat="false" ht="15" hidden="false" customHeight="false" outlineLevel="0" collapsed="false">
      <c r="A3852" s="19"/>
      <c r="B3852" s="19"/>
      <c r="C3852" s="19"/>
      <c r="D3852" s="19"/>
      <c r="E3852" s="22"/>
      <c r="F3852" s="19"/>
      <c r="G3852" s="26" t="str">
        <f aca="false">IF(D3852="","",IFERROR(VALUE(LEFT(D3852,FIND(" |",D3852&amp;" |")-1)),"?"))</f>
        <v/>
      </c>
      <c r="H3852" s="27" t="str">
        <f aca="false">IF(G3852="","",IF(G3852="?","⚠ pub inconnue",IFERROR(INDEX(Pubs!$B$2:$B$3001,MATCH(G3852,Pubs!$A$2:$A$3001,0))&amp;"","⚠ pub inconnue")))</f>
        <v/>
      </c>
      <c r="I3852" s="27" t="str">
        <f aca="false">IF(OR(G3852="",G3852="?"),"",IFERROR(INDEX(Pubs!$C$2:$C$3001,MATCH(G3852,Pubs!$A$2:$A$3001,0))&amp;"",""))</f>
        <v/>
      </c>
      <c r="J3852" s="27" t="str">
        <f aca="false">IF(OR(G3852="",G3852="?"),"",IFERROR(INDEX(Pubs!$G$2:$G$3001,MATCH(G3852,Pubs!$A$2:$A$3001,0))&amp;"",""))</f>
        <v/>
      </c>
      <c r="K3852" s="28" t="str">
        <f aca="false">IF(OR(G3852="",G3852="?"),"",IFERROR(INDEX(Pubs!$E$2:$E$3001,MATCH(G3852,Pubs!$A$2:$A$3001,0)),""))</f>
        <v/>
      </c>
      <c r="L3852" s="29" t="str">
        <f aca="false">IF(A3852="","",IFERROR(1/(1/INDEX(Numéros!$C$2:$C$3001,MATCH(A3852&amp;"|"&amp;B3852,Numéros!$F$2:$F$3001,0))),""))</f>
        <v/>
      </c>
      <c r="M3852" s="27" t="str">
        <f aca="false">IF(OR(G3852="",G3852="?"),"",IFERROR(INDEX(Pubs!$D$2:$D$3001,MATCH(G3852,Pubs!$A$2:$A$3001,0))&amp;"",""))</f>
        <v/>
      </c>
      <c r="N3852" s="27" t="n">
        <f aca="false">N(N3851)+IF(AND(A3852&lt;&gt;"",OR(Recherche!$C$4="",A3852=Recherche!$C$4),OR(Recherche!$C$5="",B3852&amp;""=Recherche!$C$5&amp;""),OR(Recherche!$C$6="",IFERROR(YEAR(L3852),0)=Recherche!$C$6),OR(Recherche!$C$7="",ISNUMBER(SEARCH(Recherche!$C$7,H3852))),OR(Recherche!$C$8="",J3852=Recherche!$C$8),OR(Recherche!$C$9="",I3852=Recherche!$C$9),OR(Recherche!$C$10="",G3852&amp;""=Recherche!$C$10&amp;""),OR(Recherche!$C$11="",E3852=Recherche!$C$11),OR(Recherche!$C$12="",ISNUMBER(SEARCH(Recherche!$C$12,M3852&amp;" "&amp;F3852)))),1,0)</f>
        <v>8</v>
      </c>
    </row>
    <row r="3853" customFormat="false" ht="15" hidden="false" customHeight="false" outlineLevel="0" collapsed="false">
      <c r="A3853" s="19"/>
      <c r="B3853" s="19"/>
      <c r="C3853" s="19"/>
      <c r="D3853" s="19"/>
      <c r="E3853" s="22"/>
      <c r="F3853" s="19"/>
      <c r="G3853" s="26" t="str">
        <f aca="false">IF(D3853="","",IFERROR(VALUE(LEFT(D3853,FIND(" |",D3853&amp;" |")-1)),"?"))</f>
        <v/>
      </c>
      <c r="H3853" s="27" t="str">
        <f aca="false">IF(G3853="","",IF(G3853="?","⚠ pub inconnue",IFERROR(INDEX(Pubs!$B$2:$B$3001,MATCH(G3853,Pubs!$A$2:$A$3001,0))&amp;"","⚠ pub inconnue")))</f>
        <v/>
      </c>
      <c r="I3853" s="27" t="str">
        <f aca="false">IF(OR(G3853="",G3853="?"),"",IFERROR(INDEX(Pubs!$C$2:$C$3001,MATCH(G3853,Pubs!$A$2:$A$3001,0))&amp;"",""))</f>
        <v/>
      </c>
      <c r="J3853" s="27" t="str">
        <f aca="false">IF(OR(G3853="",G3853="?"),"",IFERROR(INDEX(Pubs!$G$2:$G$3001,MATCH(G3853,Pubs!$A$2:$A$3001,0))&amp;"",""))</f>
        <v/>
      </c>
      <c r="K3853" s="28" t="str">
        <f aca="false">IF(OR(G3853="",G3853="?"),"",IFERROR(INDEX(Pubs!$E$2:$E$3001,MATCH(G3853,Pubs!$A$2:$A$3001,0)),""))</f>
        <v/>
      </c>
      <c r="L3853" s="29" t="str">
        <f aca="false">IF(A3853="","",IFERROR(1/(1/INDEX(Numéros!$C$2:$C$3001,MATCH(A3853&amp;"|"&amp;B3853,Numéros!$F$2:$F$3001,0))),""))</f>
        <v/>
      </c>
      <c r="M3853" s="27" t="str">
        <f aca="false">IF(OR(G3853="",G3853="?"),"",IFERROR(INDEX(Pubs!$D$2:$D$3001,MATCH(G3853,Pubs!$A$2:$A$3001,0))&amp;"",""))</f>
        <v/>
      </c>
      <c r="N3853" s="27" t="n">
        <f aca="false">N(N3852)+IF(AND(A3853&lt;&gt;"",OR(Recherche!$C$4="",A3853=Recherche!$C$4),OR(Recherche!$C$5="",B3853&amp;""=Recherche!$C$5&amp;""),OR(Recherche!$C$6="",IFERROR(YEAR(L3853),0)=Recherche!$C$6),OR(Recherche!$C$7="",ISNUMBER(SEARCH(Recherche!$C$7,H3853))),OR(Recherche!$C$8="",J3853=Recherche!$C$8),OR(Recherche!$C$9="",I3853=Recherche!$C$9),OR(Recherche!$C$10="",G3853&amp;""=Recherche!$C$10&amp;""),OR(Recherche!$C$11="",E3853=Recherche!$C$11),OR(Recherche!$C$12="",ISNUMBER(SEARCH(Recherche!$C$12,M3853&amp;" "&amp;F3853)))),1,0)</f>
        <v>8</v>
      </c>
    </row>
    <row r="3854" customFormat="false" ht="15" hidden="false" customHeight="false" outlineLevel="0" collapsed="false">
      <c r="A3854" s="19"/>
      <c r="B3854" s="19"/>
      <c r="C3854" s="19"/>
      <c r="D3854" s="19"/>
      <c r="E3854" s="22"/>
      <c r="F3854" s="19"/>
      <c r="G3854" s="26" t="str">
        <f aca="false">IF(D3854="","",IFERROR(VALUE(LEFT(D3854,FIND(" |",D3854&amp;" |")-1)),"?"))</f>
        <v/>
      </c>
      <c r="H3854" s="27" t="str">
        <f aca="false">IF(G3854="","",IF(G3854="?","⚠ pub inconnue",IFERROR(INDEX(Pubs!$B$2:$B$3001,MATCH(G3854,Pubs!$A$2:$A$3001,0))&amp;"","⚠ pub inconnue")))</f>
        <v/>
      </c>
      <c r="I3854" s="27" t="str">
        <f aca="false">IF(OR(G3854="",G3854="?"),"",IFERROR(INDEX(Pubs!$C$2:$C$3001,MATCH(G3854,Pubs!$A$2:$A$3001,0))&amp;"",""))</f>
        <v/>
      </c>
      <c r="J3854" s="27" t="str">
        <f aca="false">IF(OR(G3854="",G3854="?"),"",IFERROR(INDEX(Pubs!$G$2:$G$3001,MATCH(G3854,Pubs!$A$2:$A$3001,0))&amp;"",""))</f>
        <v/>
      </c>
      <c r="K3854" s="28" t="str">
        <f aca="false">IF(OR(G3854="",G3854="?"),"",IFERROR(INDEX(Pubs!$E$2:$E$3001,MATCH(G3854,Pubs!$A$2:$A$3001,0)),""))</f>
        <v/>
      </c>
      <c r="L3854" s="29" t="str">
        <f aca="false">IF(A3854="","",IFERROR(1/(1/INDEX(Numéros!$C$2:$C$3001,MATCH(A3854&amp;"|"&amp;B3854,Numéros!$F$2:$F$3001,0))),""))</f>
        <v/>
      </c>
      <c r="M3854" s="27" t="str">
        <f aca="false">IF(OR(G3854="",G3854="?"),"",IFERROR(INDEX(Pubs!$D$2:$D$3001,MATCH(G3854,Pubs!$A$2:$A$3001,0))&amp;"",""))</f>
        <v/>
      </c>
      <c r="N3854" s="27" t="n">
        <f aca="false">N(N3853)+IF(AND(A3854&lt;&gt;"",OR(Recherche!$C$4="",A3854=Recherche!$C$4),OR(Recherche!$C$5="",B3854&amp;""=Recherche!$C$5&amp;""),OR(Recherche!$C$6="",IFERROR(YEAR(L3854),0)=Recherche!$C$6),OR(Recherche!$C$7="",ISNUMBER(SEARCH(Recherche!$C$7,H3854))),OR(Recherche!$C$8="",J3854=Recherche!$C$8),OR(Recherche!$C$9="",I3854=Recherche!$C$9),OR(Recherche!$C$10="",G3854&amp;""=Recherche!$C$10&amp;""),OR(Recherche!$C$11="",E3854=Recherche!$C$11),OR(Recherche!$C$12="",ISNUMBER(SEARCH(Recherche!$C$12,M3854&amp;" "&amp;F3854)))),1,0)</f>
        <v>8</v>
      </c>
    </row>
    <row r="3855" customFormat="false" ht="15" hidden="false" customHeight="false" outlineLevel="0" collapsed="false">
      <c r="A3855" s="19"/>
      <c r="B3855" s="19"/>
      <c r="C3855" s="19"/>
      <c r="D3855" s="19"/>
      <c r="E3855" s="22"/>
      <c r="F3855" s="19"/>
      <c r="G3855" s="26" t="str">
        <f aca="false">IF(D3855="","",IFERROR(VALUE(LEFT(D3855,FIND(" |",D3855&amp;" |")-1)),"?"))</f>
        <v/>
      </c>
      <c r="H3855" s="27" t="str">
        <f aca="false">IF(G3855="","",IF(G3855="?","⚠ pub inconnue",IFERROR(INDEX(Pubs!$B$2:$B$3001,MATCH(G3855,Pubs!$A$2:$A$3001,0))&amp;"","⚠ pub inconnue")))</f>
        <v/>
      </c>
      <c r="I3855" s="27" t="str">
        <f aca="false">IF(OR(G3855="",G3855="?"),"",IFERROR(INDEX(Pubs!$C$2:$C$3001,MATCH(G3855,Pubs!$A$2:$A$3001,0))&amp;"",""))</f>
        <v/>
      </c>
      <c r="J3855" s="27" t="str">
        <f aca="false">IF(OR(G3855="",G3855="?"),"",IFERROR(INDEX(Pubs!$G$2:$G$3001,MATCH(G3855,Pubs!$A$2:$A$3001,0))&amp;"",""))</f>
        <v/>
      </c>
      <c r="K3855" s="28" t="str">
        <f aca="false">IF(OR(G3855="",G3855="?"),"",IFERROR(INDEX(Pubs!$E$2:$E$3001,MATCH(G3855,Pubs!$A$2:$A$3001,0)),""))</f>
        <v/>
      </c>
      <c r="L3855" s="29" t="str">
        <f aca="false">IF(A3855="","",IFERROR(1/(1/INDEX(Numéros!$C$2:$C$3001,MATCH(A3855&amp;"|"&amp;B3855,Numéros!$F$2:$F$3001,0))),""))</f>
        <v/>
      </c>
      <c r="M3855" s="27" t="str">
        <f aca="false">IF(OR(G3855="",G3855="?"),"",IFERROR(INDEX(Pubs!$D$2:$D$3001,MATCH(G3855,Pubs!$A$2:$A$3001,0))&amp;"",""))</f>
        <v/>
      </c>
      <c r="N3855" s="27" t="n">
        <f aca="false">N(N3854)+IF(AND(A3855&lt;&gt;"",OR(Recherche!$C$4="",A3855=Recherche!$C$4),OR(Recherche!$C$5="",B3855&amp;""=Recherche!$C$5&amp;""),OR(Recherche!$C$6="",IFERROR(YEAR(L3855),0)=Recherche!$C$6),OR(Recherche!$C$7="",ISNUMBER(SEARCH(Recherche!$C$7,H3855))),OR(Recherche!$C$8="",J3855=Recherche!$C$8),OR(Recherche!$C$9="",I3855=Recherche!$C$9),OR(Recherche!$C$10="",G3855&amp;""=Recherche!$C$10&amp;""),OR(Recherche!$C$11="",E3855=Recherche!$C$11),OR(Recherche!$C$12="",ISNUMBER(SEARCH(Recherche!$C$12,M3855&amp;" "&amp;F3855)))),1,0)</f>
        <v>8</v>
      </c>
    </row>
    <row r="3856" customFormat="false" ht="15" hidden="false" customHeight="false" outlineLevel="0" collapsed="false">
      <c r="A3856" s="19"/>
      <c r="B3856" s="19"/>
      <c r="C3856" s="19"/>
      <c r="D3856" s="19"/>
      <c r="E3856" s="22"/>
      <c r="F3856" s="19"/>
      <c r="G3856" s="26" t="str">
        <f aca="false">IF(D3856="","",IFERROR(VALUE(LEFT(D3856,FIND(" |",D3856&amp;" |")-1)),"?"))</f>
        <v/>
      </c>
      <c r="H3856" s="27" t="str">
        <f aca="false">IF(G3856="","",IF(G3856="?","⚠ pub inconnue",IFERROR(INDEX(Pubs!$B$2:$B$3001,MATCH(G3856,Pubs!$A$2:$A$3001,0))&amp;"","⚠ pub inconnue")))</f>
        <v/>
      </c>
      <c r="I3856" s="27" t="str">
        <f aca="false">IF(OR(G3856="",G3856="?"),"",IFERROR(INDEX(Pubs!$C$2:$C$3001,MATCH(G3856,Pubs!$A$2:$A$3001,0))&amp;"",""))</f>
        <v/>
      </c>
      <c r="J3856" s="27" t="str">
        <f aca="false">IF(OR(G3856="",G3856="?"),"",IFERROR(INDEX(Pubs!$G$2:$G$3001,MATCH(G3856,Pubs!$A$2:$A$3001,0))&amp;"",""))</f>
        <v/>
      </c>
      <c r="K3856" s="28" t="str">
        <f aca="false">IF(OR(G3856="",G3856="?"),"",IFERROR(INDEX(Pubs!$E$2:$E$3001,MATCH(G3856,Pubs!$A$2:$A$3001,0)),""))</f>
        <v/>
      </c>
      <c r="L3856" s="29" t="str">
        <f aca="false">IF(A3856="","",IFERROR(1/(1/INDEX(Numéros!$C$2:$C$3001,MATCH(A3856&amp;"|"&amp;B3856,Numéros!$F$2:$F$3001,0))),""))</f>
        <v/>
      </c>
      <c r="M3856" s="27" t="str">
        <f aca="false">IF(OR(G3856="",G3856="?"),"",IFERROR(INDEX(Pubs!$D$2:$D$3001,MATCH(G3856,Pubs!$A$2:$A$3001,0))&amp;"",""))</f>
        <v/>
      </c>
      <c r="N3856" s="27" t="n">
        <f aca="false">N(N3855)+IF(AND(A3856&lt;&gt;"",OR(Recherche!$C$4="",A3856=Recherche!$C$4),OR(Recherche!$C$5="",B3856&amp;""=Recherche!$C$5&amp;""),OR(Recherche!$C$6="",IFERROR(YEAR(L3856),0)=Recherche!$C$6),OR(Recherche!$C$7="",ISNUMBER(SEARCH(Recherche!$C$7,H3856))),OR(Recherche!$C$8="",J3856=Recherche!$C$8),OR(Recherche!$C$9="",I3856=Recherche!$C$9),OR(Recherche!$C$10="",G3856&amp;""=Recherche!$C$10&amp;""),OR(Recherche!$C$11="",E3856=Recherche!$C$11),OR(Recherche!$C$12="",ISNUMBER(SEARCH(Recherche!$C$12,M3856&amp;" "&amp;F3856)))),1,0)</f>
        <v>8</v>
      </c>
    </row>
    <row r="3857" customFormat="false" ht="15" hidden="false" customHeight="false" outlineLevel="0" collapsed="false">
      <c r="A3857" s="19"/>
      <c r="B3857" s="19"/>
      <c r="C3857" s="19"/>
      <c r="D3857" s="19"/>
      <c r="E3857" s="22"/>
      <c r="F3857" s="19"/>
      <c r="G3857" s="26" t="str">
        <f aca="false">IF(D3857="","",IFERROR(VALUE(LEFT(D3857,FIND(" |",D3857&amp;" |")-1)),"?"))</f>
        <v/>
      </c>
      <c r="H3857" s="27" t="str">
        <f aca="false">IF(G3857="","",IF(G3857="?","⚠ pub inconnue",IFERROR(INDEX(Pubs!$B$2:$B$3001,MATCH(G3857,Pubs!$A$2:$A$3001,0))&amp;"","⚠ pub inconnue")))</f>
        <v/>
      </c>
      <c r="I3857" s="27" t="str">
        <f aca="false">IF(OR(G3857="",G3857="?"),"",IFERROR(INDEX(Pubs!$C$2:$C$3001,MATCH(G3857,Pubs!$A$2:$A$3001,0))&amp;"",""))</f>
        <v/>
      </c>
      <c r="J3857" s="27" t="str">
        <f aca="false">IF(OR(G3857="",G3857="?"),"",IFERROR(INDEX(Pubs!$G$2:$G$3001,MATCH(G3857,Pubs!$A$2:$A$3001,0))&amp;"",""))</f>
        <v/>
      </c>
      <c r="K3857" s="28" t="str">
        <f aca="false">IF(OR(G3857="",G3857="?"),"",IFERROR(INDEX(Pubs!$E$2:$E$3001,MATCH(G3857,Pubs!$A$2:$A$3001,0)),""))</f>
        <v/>
      </c>
      <c r="L3857" s="29" t="str">
        <f aca="false">IF(A3857="","",IFERROR(1/(1/INDEX(Numéros!$C$2:$C$3001,MATCH(A3857&amp;"|"&amp;B3857,Numéros!$F$2:$F$3001,0))),""))</f>
        <v/>
      </c>
      <c r="M3857" s="27" t="str">
        <f aca="false">IF(OR(G3857="",G3857="?"),"",IFERROR(INDEX(Pubs!$D$2:$D$3001,MATCH(G3857,Pubs!$A$2:$A$3001,0))&amp;"",""))</f>
        <v/>
      </c>
      <c r="N3857" s="27" t="n">
        <f aca="false">N(N3856)+IF(AND(A3857&lt;&gt;"",OR(Recherche!$C$4="",A3857=Recherche!$C$4),OR(Recherche!$C$5="",B3857&amp;""=Recherche!$C$5&amp;""),OR(Recherche!$C$6="",IFERROR(YEAR(L3857),0)=Recherche!$C$6),OR(Recherche!$C$7="",ISNUMBER(SEARCH(Recherche!$C$7,H3857))),OR(Recherche!$C$8="",J3857=Recherche!$C$8),OR(Recherche!$C$9="",I3857=Recherche!$C$9),OR(Recherche!$C$10="",G3857&amp;""=Recherche!$C$10&amp;""),OR(Recherche!$C$11="",E3857=Recherche!$C$11),OR(Recherche!$C$12="",ISNUMBER(SEARCH(Recherche!$C$12,M3857&amp;" "&amp;F3857)))),1,0)</f>
        <v>8</v>
      </c>
    </row>
    <row r="3858" customFormat="false" ht="15" hidden="false" customHeight="false" outlineLevel="0" collapsed="false">
      <c r="A3858" s="19"/>
      <c r="B3858" s="19"/>
      <c r="C3858" s="19"/>
      <c r="D3858" s="19"/>
      <c r="E3858" s="22"/>
      <c r="F3858" s="19"/>
      <c r="G3858" s="26" t="str">
        <f aca="false">IF(D3858="","",IFERROR(VALUE(LEFT(D3858,FIND(" |",D3858&amp;" |")-1)),"?"))</f>
        <v/>
      </c>
      <c r="H3858" s="27" t="str">
        <f aca="false">IF(G3858="","",IF(G3858="?","⚠ pub inconnue",IFERROR(INDEX(Pubs!$B$2:$B$3001,MATCH(G3858,Pubs!$A$2:$A$3001,0))&amp;"","⚠ pub inconnue")))</f>
        <v/>
      </c>
      <c r="I3858" s="27" t="str">
        <f aca="false">IF(OR(G3858="",G3858="?"),"",IFERROR(INDEX(Pubs!$C$2:$C$3001,MATCH(G3858,Pubs!$A$2:$A$3001,0))&amp;"",""))</f>
        <v/>
      </c>
      <c r="J3858" s="27" t="str">
        <f aca="false">IF(OR(G3858="",G3858="?"),"",IFERROR(INDEX(Pubs!$G$2:$G$3001,MATCH(G3858,Pubs!$A$2:$A$3001,0))&amp;"",""))</f>
        <v/>
      </c>
      <c r="K3858" s="28" t="str">
        <f aca="false">IF(OR(G3858="",G3858="?"),"",IFERROR(INDEX(Pubs!$E$2:$E$3001,MATCH(G3858,Pubs!$A$2:$A$3001,0)),""))</f>
        <v/>
      </c>
      <c r="L3858" s="29" t="str">
        <f aca="false">IF(A3858="","",IFERROR(1/(1/INDEX(Numéros!$C$2:$C$3001,MATCH(A3858&amp;"|"&amp;B3858,Numéros!$F$2:$F$3001,0))),""))</f>
        <v/>
      </c>
      <c r="M3858" s="27" t="str">
        <f aca="false">IF(OR(G3858="",G3858="?"),"",IFERROR(INDEX(Pubs!$D$2:$D$3001,MATCH(G3858,Pubs!$A$2:$A$3001,0))&amp;"",""))</f>
        <v/>
      </c>
      <c r="N3858" s="27" t="n">
        <f aca="false">N(N3857)+IF(AND(A3858&lt;&gt;"",OR(Recherche!$C$4="",A3858=Recherche!$C$4),OR(Recherche!$C$5="",B3858&amp;""=Recherche!$C$5&amp;""),OR(Recherche!$C$6="",IFERROR(YEAR(L3858),0)=Recherche!$C$6),OR(Recherche!$C$7="",ISNUMBER(SEARCH(Recherche!$C$7,H3858))),OR(Recherche!$C$8="",J3858=Recherche!$C$8),OR(Recherche!$C$9="",I3858=Recherche!$C$9),OR(Recherche!$C$10="",G3858&amp;""=Recherche!$C$10&amp;""),OR(Recherche!$C$11="",E3858=Recherche!$C$11),OR(Recherche!$C$12="",ISNUMBER(SEARCH(Recherche!$C$12,M3858&amp;" "&amp;F3858)))),1,0)</f>
        <v>8</v>
      </c>
    </row>
    <row r="3859" customFormat="false" ht="15" hidden="false" customHeight="false" outlineLevel="0" collapsed="false">
      <c r="A3859" s="19"/>
      <c r="B3859" s="19"/>
      <c r="C3859" s="19"/>
      <c r="D3859" s="19"/>
      <c r="E3859" s="22"/>
      <c r="F3859" s="19"/>
      <c r="G3859" s="26" t="str">
        <f aca="false">IF(D3859="","",IFERROR(VALUE(LEFT(D3859,FIND(" |",D3859&amp;" |")-1)),"?"))</f>
        <v/>
      </c>
      <c r="H3859" s="27" t="str">
        <f aca="false">IF(G3859="","",IF(G3859="?","⚠ pub inconnue",IFERROR(INDEX(Pubs!$B$2:$B$3001,MATCH(G3859,Pubs!$A$2:$A$3001,0))&amp;"","⚠ pub inconnue")))</f>
        <v/>
      </c>
      <c r="I3859" s="27" t="str">
        <f aca="false">IF(OR(G3859="",G3859="?"),"",IFERROR(INDEX(Pubs!$C$2:$C$3001,MATCH(G3859,Pubs!$A$2:$A$3001,0))&amp;"",""))</f>
        <v/>
      </c>
      <c r="J3859" s="27" t="str">
        <f aca="false">IF(OR(G3859="",G3859="?"),"",IFERROR(INDEX(Pubs!$G$2:$G$3001,MATCH(G3859,Pubs!$A$2:$A$3001,0))&amp;"",""))</f>
        <v/>
      </c>
      <c r="K3859" s="28" t="str">
        <f aca="false">IF(OR(G3859="",G3859="?"),"",IFERROR(INDEX(Pubs!$E$2:$E$3001,MATCH(G3859,Pubs!$A$2:$A$3001,0)),""))</f>
        <v/>
      </c>
      <c r="L3859" s="29" t="str">
        <f aca="false">IF(A3859="","",IFERROR(1/(1/INDEX(Numéros!$C$2:$C$3001,MATCH(A3859&amp;"|"&amp;B3859,Numéros!$F$2:$F$3001,0))),""))</f>
        <v/>
      </c>
      <c r="M3859" s="27" t="str">
        <f aca="false">IF(OR(G3859="",G3859="?"),"",IFERROR(INDEX(Pubs!$D$2:$D$3001,MATCH(G3859,Pubs!$A$2:$A$3001,0))&amp;"",""))</f>
        <v/>
      </c>
      <c r="N3859" s="27" t="n">
        <f aca="false">N(N3858)+IF(AND(A3859&lt;&gt;"",OR(Recherche!$C$4="",A3859=Recherche!$C$4),OR(Recherche!$C$5="",B3859&amp;""=Recherche!$C$5&amp;""),OR(Recherche!$C$6="",IFERROR(YEAR(L3859),0)=Recherche!$C$6),OR(Recherche!$C$7="",ISNUMBER(SEARCH(Recherche!$C$7,H3859))),OR(Recherche!$C$8="",J3859=Recherche!$C$8),OR(Recherche!$C$9="",I3859=Recherche!$C$9),OR(Recherche!$C$10="",G3859&amp;""=Recherche!$C$10&amp;""),OR(Recherche!$C$11="",E3859=Recherche!$C$11),OR(Recherche!$C$12="",ISNUMBER(SEARCH(Recherche!$C$12,M3859&amp;" "&amp;F3859)))),1,0)</f>
        <v>8</v>
      </c>
    </row>
    <row r="3860" customFormat="false" ht="15" hidden="false" customHeight="false" outlineLevel="0" collapsed="false">
      <c r="A3860" s="19"/>
      <c r="B3860" s="19"/>
      <c r="C3860" s="19"/>
      <c r="D3860" s="19"/>
      <c r="E3860" s="22"/>
      <c r="F3860" s="19"/>
      <c r="G3860" s="26" t="str">
        <f aca="false">IF(D3860="","",IFERROR(VALUE(LEFT(D3860,FIND(" |",D3860&amp;" |")-1)),"?"))</f>
        <v/>
      </c>
      <c r="H3860" s="27" t="str">
        <f aca="false">IF(G3860="","",IF(G3860="?","⚠ pub inconnue",IFERROR(INDEX(Pubs!$B$2:$B$3001,MATCH(G3860,Pubs!$A$2:$A$3001,0))&amp;"","⚠ pub inconnue")))</f>
        <v/>
      </c>
      <c r="I3860" s="27" t="str">
        <f aca="false">IF(OR(G3860="",G3860="?"),"",IFERROR(INDEX(Pubs!$C$2:$C$3001,MATCH(G3860,Pubs!$A$2:$A$3001,0))&amp;"",""))</f>
        <v/>
      </c>
      <c r="J3860" s="27" t="str">
        <f aca="false">IF(OR(G3860="",G3860="?"),"",IFERROR(INDEX(Pubs!$G$2:$G$3001,MATCH(G3860,Pubs!$A$2:$A$3001,0))&amp;"",""))</f>
        <v/>
      </c>
      <c r="K3860" s="28" t="str">
        <f aca="false">IF(OR(G3860="",G3860="?"),"",IFERROR(INDEX(Pubs!$E$2:$E$3001,MATCH(G3860,Pubs!$A$2:$A$3001,0)),""))</f>
        <v/>
      </c>
      <c r="L3860" s="29" t="str">
        <f aca="false">IF(A3860="","",IFERROR(1/(1/INDEX(Numéros!$C$2:$C$3001,MATCH(A3860&amp;"|"&amp;B3860,Numéros!$F$2:$F$3001,0))),""))</f>
        <v/>
      </c>
      <c r="M3860" s="27" t="str">
        <f aca="false">IF(OR(G3860="",G3860="?"),"",IFERROR(INDEX(Pubs!$D$2:$D$3001,MATCH(G3860,Pubs!$A$2:$A$3001,0))&amp;"",""))</f>
        <v/>
      </c>
      <c r="N3860" s="27" t="n">
        <f aca="false">N(N3859)+IF(AND(A3860&lt;&gt;"",OR(Recherche!$C$4="",A3860=Recherche!$C$4),OR(Recherche!$C$5="",B3860&amp;""=Recherche!$C$5&amp;""),OR(Recherche!$C$6="",IFERROR(YEAR(L3860),0)=Recherche!$C$6),OR(Recherche!$C$7="",ISNUMBER(SEARCH(Recherche!$C$7,H3860))),OR(Recherche!$C$8="",J3860=Recherche!$C$8),OR(Recherche!$C$9="",I3860=Recherche!$C$9),OR(Recherche!$C$10="",G3860&amp;""=Recherche!$C$10&amp;""),OR(Recherche!$C$11="",E3860=Recherche!$C$11),OR(Recherche!$C$12="",ISNUMBER(SEARCH(Recherche!$C$12,M3860&amp;" "&amp;F3860)))),1,0)</f>
        <v>8</v>
      </c>
    </row>
    <row r="3861" customFormat="false" ht="15" hidden="false" customHeight="false" outlineLevel="0" collapsed="false">
      <c r="A3861" s="19"/>
      <c r="B3861" s="19"/>
      <c r="C3861" s="19"/>
      <c r="D3861" s="19"/>
      <c r="E3861" s="22"/>
      <c r="F3861" s="19"/>
      <c r="G3861" s="26" t="str">
        <f aca="false">IF(D3861="","",IFERROR(VALUE(LEFT(D3861,FIND(" |",D3861&amp;" |")-1)),"?"))</f>
        <v/>
      </c>
      <c r="H3861" s="27" t="str">
        <f aca="false">IF(G3861="","",IF(G3861="?","⚠ pub inconnue",IFERROR(INDEX(Pubs!$B$2:$B$3001,MATCH(G3861,Pubs!$A$2:$A$3001,0))&amp;"","⚠ pub inconnue")))</f>
        <v/>
      </c>
      <c r="I3861" s="27" t="str">
        <f aca="false">IF(OR(G3861="",G3861="?"),"",IFERROR(INDEX(Pubs!$C$2:$C$3001,MATCH(G3861,Pubs!$A$2:$A$3001,0))&amp;"",""))</f>
        <v/>
      </c>
      <c r="J3861" s="27" t="str">
        <f aca="false">IF(OR(G3861="",G3861="?"),"",IFERROR(INDEX(Pubs!$G$2:$G$3001,MATCH(G3861,Pubs!$A$2:$A$3001,0))&amp;"",""))</f>
        <v/>
      </c>
      <c r="K3861" s="28" t="str">
        <f aca="false">IF(OR(G3861="",G3861="?"),"",IFERROR(INDEX(Pubs!$E$2:$E$3001,MATCH(G3861,Pubs!$A$2:$A$3001,0)),""))</f>
        <v/>
      </c>
      <c r="L3861" s="29" t="str">
        <f aca="false">IF(A3861="","",IFERROR(1/(1/INDEX(Numéros!$C$2:$C$3001,MATCH(A3861&amp;"|"&amp;B3861,Numéros!$F$2:$F$3001,0))),""))</f>
        <v/>
      </c>
      <c r="M3861" s="27" t="str">
        <f aca="false">IF(OR(G3861="",G3861="?"),"",IFERROR(INDEX(Pubs!$D$2:$D$3001,MATCH(G3861,Pubs!$A$2:$A$3001,0))&amp;"",""))</f>
        <v/>
      </c>
      <c r="N3861" s="27" t="n">
        <f aca="false">N(N3860)+IF(AND(A3861&lt;&gt;"",OR(Recherche!$C$4="",A3861=Recherche!$C$4),OR(Recherche!$C$5="",B3861&amp;""=Recherche!$C$5&amp;""),OR(Recherche!$C$6="",IFERROR(YEAR(L3861),0)=Recherche!$C$6),OR(Recherche!$C$7="",ISNUMBER(SEARCH(Recherche!$C$7,H3861))),OR(Recherche!$C$8="",J3861=Recherche!$C$8),OR(Recherche!$C$9="",I3861=Recherche!$C$9),OR(Recherche!$C$10="",G3861&amp;""=Recherche!$C$10&amp;""),OR(Recherche!$C$11="",E3861=Recherche!$C$11),OR(Recherche!$C$12="",ISNUMBER(SEARCH(Recherche!$C$12,M3861&amp;" "&amp;F3861)))),1,0)</f>
        <v>8</v>
      </c>
    </row>
    <row r="3862" customFormat="false" ht="15" hidden="false" customHeight="false" outlineLevel="0" collapsed="false">
      <c r="A3862" s="19"/>
      <c r="B3862" s="19"/>
      <c r="C3862" s="19"/>
      <c r="D3862" s="19"/>
      <c r="E3862" s="22"/>
      <c r="F3862" s="19"/>
      <c r="G3862" s="26" t="str">
        <f aca="false">IF(D3862="","",IFERROR(VALUE(LEFT(D3862,FIND(" |",D3862&amp;" |")-1)),"?"))</f>
        <v/>
      </c>
      <c r="H3862" s="27" t="str">
        <f aca="false">IF(G3862="","",IF(G3862="?","⚠ pub inconnue",IFERROR(INDEX(Pubs!$B$2:$B$3001,MATCH(G3862,Pubs!$A$2:$A$3001,0))&amp;"","⚠ pub inconnue")))</f>
        <v/>
      </c>
      <c r="I3862" s="27" t="str">
        <f aca="false">IF(OR(G3862="",G3862="?"),"",IFERROR(INDEX(Pubs!$C$2:$C$3001,MATCH(G3862,Pubs!$A$2:$A$3001,0))&amp;"",""))</f>
        <v/>
      </c>
      <c r="J3862" s="27" t="str">
        <f aca="false">IF(OR(G3862="",G3862="?"),"",IFERROR(INDEX(Pubs!$G$2:$G$3001,MATCH(G3862,Pubs!$A$2:$A$3001,0))&amp;"",""))</f>
        <v/>
      </c>
      <c r="K3862" s="28" t="str">
        <f aca="false">IF(OR(G3862="",G3862="?"),"",IFERROR(INDEX(Pubs!$E$2:$E$3001,MATCH(G3862,Pubs!$A$2:$A$3001,0)),""))</f>
        <v/>
      </c>
      <c r="L3862" s="29" t="str">
        <f aca="false">IF(A3862="","",IFERROR(1/(1/INDEX(Numéros!$C$2:$C$3001,MATCH(A3862&amp;"|"&amp;B3862,Numéros!$F$2:$F$3001,0))),""))</f>
        <v/>
      </c>
      <c r="M3862" s="27" t="str">
        <f aca="false">IF(OR(G3862="",G3862="?"),"",IFERROR(INDEX(Pubs!$D$2:$D$3001,MATCH(G3862,Pubs!$A$2:$A$3001,0))&amp;"",""))</f>
        <v/>
      </c>
      <c r="N3862" s="27" t="n">
        <f aca="false">N(N3861)+IF(AND(A3862&lt;&gt;"",OR(Recherche!$C$4="",A3862=Recherche!$C$4),OR(Recherche!$C$5="",B3862&amp;""=Recherche!$C$5&amp;""),OR(Recherche!$C$6="",IFERROR(YEAR(L3862),0)=Recherche!$C$6),OR(Recherche!$C$7="",ISNUMBER(SEARCH(Recherche!$C$7,H3862))),OR(Recherche!$C$8="",J3862=Recherche!$C$8),OR(Recherche!$C$9="",I3862=Recherche!$C$9),OR(Recherche!$C$10="",G3862&amp;""=Recherche!$C$10&amp;""),OR(Recherche!$C$11="",E3862=Recherche!$C$11),OR(Recherche!$C$12="",ISNUMBER(SEARCH(Recherche!$C$12,M3862&amp;" "&amp;F3862)))),1,0)</f>
        <v>8</v>
      </c>
    </row>
    <row r="3863" customFormat="false" ht="15" hidden="false" customHeight="false" outlineLevel="0" collapsed="false">
      <c r="A3863" s="19"/>
      <c r="B3863" s="19"/>
      <c r="C3863" s="19"/>
      <c r="D3863" s="19"/>
      <c r="E3863" s="22"/>
      <c r="F3863" s="19"/>
      <c r="G3863" s="26" t="str">
        <f aca="false">IF(D3863="","",IFERROR(VALUE(LEFT(D3863,FIND(" |",D3863&amp;" |")-1)),"?"))</f>
        <v/>
      </c>
      <c r="H3863" s="27" t="str">
        <f aca="false">IF(G3863="","",IF(G3863="?","⚠ pub inconnue",IFERROR(INDEX(Pubs!$B$2:$B$3001,MATCH(G3863,Pubs!$A$2:$A$3001,0))&amp;"","⚠ pub inconnue")))</f>
        <v/>
      </c>
      <c r="I3863" s="27" t="str">
        <f aca="false">IF(OR(G3863="",G3863="?"),"",IFERROR(INDEX(Pubs!$C$2:$C$3001,MATCH(G3863,Pubs!$A$2:$A$3001,0))&amp;"",""))</f>
        <v/>
      </c>
      <c r="J3863" s="27" t="str">
        <f aca="false">IF(OR(G3863="",G3863="?"),"",IFERROR(INDEX(Pubs!$G$2:$G$3001,MATCH(G3863,Pubs!$A$2:$A$3001,0))&amp;"",""))</f>
        <v/>
      </c>
      <c r="K3863" s="28" t="str">
        <f aca="false">IF(OR(G3863="",G3863="?"),"",IFERROR(INDEX(Pubs!$E$2:$E$3001,MATCH(G3863,Pubs!$A$2:$A$3001,0)),""))</f>
        <v/>
      </c>
      <c r="L3863" s="29" t="str">
        <f aca="false">IF(A3863="","",IFERROR(1/(1/INDEX(Numéros!$C$2:$C$3001,MATCH(A3863&amp;"|"&amp;B3863,Numéros!$F$2:$F$3001,0))),""))</f>
        <v/>
      </c>
      <c r="M3863" s="27" t="str">
        <f aca="false">IF(OR(G3863="",G3863="?"),"",IFERROR(INDEX(Pubs!$D$2:$D$3001,MATCH(G3863,Pubs!$A$2:$A$3001,0))&amp;"",""))</f>
        <v/>
      </c>
      <c r="N3863" s="27" t="n">
        <f aca="false">N(N3862)+IF(AND(A3863&lt;&gt;"",OR(Recherche!$C$4="",A3863=Recherche!$C$4),OR(Recherche!$C$5="",B3863&amp;""=Recherche!$C$5&amp;""),OR(Recherche!$C$6="",IFERROR(YEAR(L3863),0)=Recherche!$C$6),OR(Recherche!$C$7="",ISNUMBER(SEARCH(Recherche!$C$7,H3863))),OR(Recherche!$C$8="",J3863=Recherche!$C$8),OR(Recherche!$C$9="",I3863=Recherche!$C$9),OR(Recherche!$C$10="",G3863&amp;""=Recherche!$C$10&amp;""),OR(Recherche!$C$11="",E3863=Recherche!$C$11),OR(Recherche!$C$12="",ISNUMBER(SEARCH(Recherche!$C$12,M3863&amp;" "&amp;F3863)))),1,0)</f>
        <v>8</v>
      </c>
    </row>
    <row r="3864" customFormat="false" ht="15" hidden="false" customHeight="false" outlineLevel="0" collapsed="false">
      <c r="A3864" s="19"/>
      <c r="B3864" s="19"/>
      <c r="C3864" s="19"/>
      <c r="D3864" s="19"/>
      <c r="E3864" s="22"/>
      <c r="F3864" s="19"/>
      <c r="G3864" s="26" t="str">
        <f aca="false">IF(D3864="","",IFERROR(VALUE(LEFT(D3864,FIND(" |",D3864&amp;" |")-1)),"?"))</f>
        <v/>
      </c>
      <c r="H3864" s="27" t="str">
        <f aca="false">IF(G3864="","",IF(G3864="?","⚠ pub inconnue",IFERROR(INDEX(Pubs!$B$2:$B$3001,MATCH(G3864,Pubs!$A$2:$A$3001,0))&amp;"","⚠ pub inconnue")))</f>
        <v/>
      </c>
      <c r="I3864" s="27" t="str">
        <f aca="false">IF(OR(G3864="",G3864="?"),"",IFERROR(INDEX(Pubs!$C$2:$C$3001,MATCH(G3864,Pubs!$A$2:$A$3001,0))&amp;"",""))</f>
        <v/>
      </c>
      <c r="J3864" s="27" t="str">
        <f aca="false">IF(OR(G3864="",G3864="?"),"",IFERROR(INDEX(Pubs!$G$2:$G$3001,MATCH(G3864,Pubs!$A$2:$A$3001,0))&amp;"",""))</f>
        <v/>
      </c>
      <c r="K3864" s="28" t="str">
        <f aca="false">IF(OR(G3864="",G3864="?"),"",IFERROR(INDEX(Pubs!$E$2:$E$3001,MATCH(G3864,Pubs!$A$2:$A$3001,0)),""))</f>
        <v/>
      </c>
      <c r="L3864" s="29" t="str">
        <f aca="false">IF(A3864="","",IFERROR(1/(1/INDEX(Numéros!$C$2:$C$3001,MATCH(A3864&amp;"|"&amp;B3864,Numéros!$F$2:$F$3001,0))),""))</f>
        <v/>
      </c>
      <c r="M3864" s="27" t="str">
        <f aca="false">IF(OR(G3864="",G3864="?"),"",IFERROR(INDEX(Pubs!$D$2:$D$3001,MATCH(G3864,Pubs!$A$2:$A$3001,0))&amp;"",""))</f>
        <v/>
      </c>
      <c r="N3864" s="27" t="n">
        <f aca="false">N(N3863)+IF(AND(A3864&lt;&gt;"",OR(Recherche!$C$4="",A3864=Recherche!$C$4),OR(Recherche!$C$5="",B3864&amp;""=Recherche!$C$5&amp;""),OR(Recherche!$C$6="",IFERROR(YEAR(L3864),0)=Recherche!$C$6),OR(Recherche!$C$7="",ISNUMBER(SEARCH(Recherche!$C$7,H3864))),OR(Recherche!$C$8="",J3864=Recherche!$C$8),OR(Recherche!$C$9="",I3864=Recherche!$C$9),OR(Recherche!$C$10="",G3864&amp;""=Recherche!$C$10&amp;""),OR(Recherche!$C$11="",E3864=Recherche!$C$11),OR(Recherche!$C$12="",ISNUMBER(SEARCH(Recherche!$C$12,M3864&amp;" "&amp;F3864)))),1,0)</f>
        <v>8</v>
      </c>
    </row>
    <row r="3865" customFormat="false" ht="15" hidden="false" customHeight="false" outlineLevel="0" collapsed="false">
      <c r="A3865" s="19"/>
      <c r="B3865" s="19"/>
      <c r="C3865" s="19"/>
      <c r="D3865" s="19"/>
      <c r="E3865" s="22"/>
      <c r="F3865" s="19"/>
      <c r="G3865" s="26" t="str">
        <f aca="false">IF(D3865="","",IFERROR(VALUE(LEFT(D3865,FIND(" |",D3865&amp;" |")-1)),"?"))</f>
        <v/>
      </c>
      <c r="H3865" s="27" t="str">
        <f aca="false">IF(G3865="","",IF(G3865="?","⚠ pub inconnue",IFERROR(INDEX(Pubs!$B$2:$B$3001,MATCH(G3865,Pubs!$A$2:$A$3001,0))&amp;"","⚠ pub inconnue")))</f>
        <v/>
      </c>
      <c r="I3865" s="27" t="str">
        <f aca="false">IF(OR(G3865="",G3865="?"),"",IFERROR(INDEX(Pubs!$C$2:$C$3001,MATCH(G3865,Pubs!$A$2:$A$3001,0))&amp;"",""))</f>
        <v/>
      </c>
      <c r="J3865" s="27" t="str">
        <f aca="false">IF(OR(G3865="",G3865="?"),"",IFERROR(INDEX(Pubs!$G$2:$G$3001,MATCH(G3865,Pubs!$A$2:$A$3001,0))&amp;"",""))</f>
        <v/>
      </c>
      <c r="K3865" s="28" t="str">
        <f aca="false">IF(OR(G3865="",G3865="?"),"",IFERROR(INDEX(Pubs!$E$2:$E$3001,MATCH(G3865,Pubs!$A$2:$A$3001,0)),""))</f>
        <v/>
      </c>
      <c r="L3865" s="29" t="str">
        <f aca="false">IF(A3865="","",IFERROR(1/(1/INDEX(Numéros!$C$2:$C$3001,MATCH(A3865&amp;"|"&amp;B3865,Numéros!$F$2:$F$3001,0))),""))</f>
        <v/>
      </c>
      <c r="M3865" s="27" t="str">
        <f aca="false">IF(OR(G3865="",G3865="?"),"",IFERROR(INDEX(Pubs!$D$2:$D$3001,MATCH(G3865,Pubs!$A$2:$A$3001,0))&amp;"",""))</f>
        <v/>
      </c>
      <c r="N3865" s="27" t="n">
        <f aca="false">N(N3864)+IF(AND(A3865&lt;&gt;"",OR(Recherche!$C$4="",A3865=Recherche!$C$4),OR(Recherche!$C$5="",B3865&amp;""=Recherche!$C$5&amp;""),OR(Recherche!$C$6="",IFERROR(YEAR(L3865),0)=Recherche!$C$6),OR(Recherche!$C$7="",ISNUMBER(SEARCH(Recherche!$C$7,H3865))),OR(Recherche!$C$8="",J3865=Recherche!$C$8),OR(Recherche!$C$9="",I3865=Recherche!$C$9),OR(Recherche!$C$10="",G3865&amp;""=Recherche!$C$10&amp;""),OR(Recherche!$C$11="",E3865=Recherche!$C$11),OR(Recherche!$C$12="",ISNUMBER(SEARCH(Recherche!$C$12,M3865&amp;" "&amp;F3865)))),1,0)</f>
        <v>8</v>
      </c>
    </row>
    <row r="3866" customFormat="false" ht="15" hidden="false" customHeight="false" outlineLevel="0" collapsed="false">
      <c r="A3866" s="19"/>
      <c r="B3866" s="19"/>
      <c r="C3866" s="19"/>
      <c r="D3866" s="19"/>
      <c r="E3866" s="22"/>
      <c r="F3866" s="19"/>
      <c r="G3866" s="26" t="str">
        <f aca="false">IF(D3866="","",IFERROR(VALUE(LEFT(D3866,FIND(" |",D3866&amp;" |")-1)),"?"))</f>
        <v/>
      </c>
      <c r="H3866" s="27" t="str">
        <f aca="false">IF(G3866="","",IF(G3866="?","⚠ pub inconnue",IFERROR(INDEX(Pubs!$B$2:$B$3001,MATCH(G3866,Pubs!$A$2:$A$3001,0))&amp;"","⚠ pub inconnue")))</f>
        <v/>
      </c>
      <c r="I3866" s="27" t="str">
        <f aca="false">IF(OR(G3866="",G3866="?"),"",IFERROR(INDEX(Pubs!$C$2:$C$3001,MATCH(G3866,Pubs!$A$2:$A$3001,0))&amp;"",""))</f>
        <v/>
      </c>
      <c r="J3866" s="27" t="str">
        <f aca="false">IF(OR(G3866="",G3866="?"),"",IFERROR(INDEX(Pubs!$G$2:$G$3001,MATCH(G3866,Pubs!$A$2:$A$3001,0))&amp;"",""))</f>
        <v/>
      </c>
      <c r="K3866" s="28" t="str">
        <f aca="false">IF(OR(G3866="",G3866="?"),"",IFERROR(INDEX(Pubs!$E$2:$E$3001,MATCH(G3866,Pubs!$A$2:$A$3001,0)),""))</f>
        <v/>
      </c>
      <c r="L3866" s="29" t="str">
        <f aca="false">IF(A3866="","",IFERROR(1/(1/INDEX(Numéros!$C$2:$C$3001,MATCH(A3866&amp;"|"&amp;B3866,Numéros!$F$2:$F$3001,0))),""))</f>
        <v/>
      </c>
      <c r="M3866" s="27" t="str">
        <f aca="false">IF(OR(G3866="",G3866="?"),"",IFERROR(INDEX(Pubs!$D$2:$D$3001,MATCH(G3866,Pubs!$A$2:$A$3001,0))&amp;"",""))</f>
        <v/>
      </c>
      <c r="N3866" s="27" t="n">
        <f aca="false">N(N3865)+IF(AND(A3866&lt;&gt;"",OR(Recherche!$C$4="",A3866=Recherche!$C$4),OR(Recherche!$C$5="",B3866&amp;""=Recherche!$C$5&amp;""),OR(Recherche!$C$6="",IFERROR(YEAR(L3866),0)=Recherche!$C$6),OR(Recherche!$C$7="",ISNUMBER(SEARCH(Recherche!$C$7,H3866))),OR(Recherche!$C$8="",J3866=Recherche!$C$8),OR(Recherche!$C$9="",I3866=Recherche!$C$9),OR(Recherche!$C$10="",G3866&amp;""=Recherche!$C$10&amp;""),OR(Recherche!$C$11="",E3866=Recherche!$C$11),OR(Recherche!$C$12="",ISNUMBER(SEARCH(Recherche!$C$12,M3866&amp;" "&amp;F3866)))),1,0)</f>
        <v>8</v>
      </c>
    </row>
    <row r="3867" customFormat="false" ht="15" hidden="false" customHeight="false" outlineLevel="0" collapsed="false">
      <c r="A3867" s="19"/>
      <c r="B3867" s="19"/>
      <c r="C3867" s="19"/>
      <c r="D3867" s="19"/>
      <c r="E3867" s="22"/>
      <c r="F3867" s="19"/>
      <c r="G3867" s="26" t="str">
        <f aca="false">IF(D3867="","",IFERROR(VALUE(LEFT(D3867,FIND(" |",D3867&amp;" |")-1)),"?"))</f>
        <v/>
      </c>
      <c r="H3867" s="27" t="str">
        <f aca="false">IF(G3867="","",IF(G3867="?","⚠ pub inconnue",IFERROR(INDEX(Pubs!$B$2:$B$3001,MATCH(G3867,Pubs!$A$2:$A$3001,0))&amp;"","⚠ pub inconnue")))</f>
        <v/>
      </c>
      <c r="I3867" s="27" t="str">
        <f aca="false">IF(OR(G3867="",G3867="?"),"",IFERROR(INDEX(Pubs!$C$2:$C$3001,MATCH(G3867,Pubs!$A$2:$A$3001,0))&amp;"",""))</f>
        <v/>
      </c>
      <c r="J3867" s="27" t="str">
        <f aca="false">IF(OR(G3867="",G3867="?"),"",IFERROR(INDEX(Pubs!$G$2:$G$3001,MATCH(G3867,Pubs!$A$2:$A$3001,0))&amp;"",""))</f>
        <v/>
      </c>
      <c r="K3867" s="28" t="str">
        <f aca="false">IF(OR(G3867="",G3867="?"),"",IFERROR(INDEX(Pubs!$E$2:$E$3001,MATCH(G3867,Pubs!$A$2:$A$3001,0)),""))</f>
        <v/>
      </c>
      <c r="L3867" s="29" t="str">
        <f aca="false">IF(A3867="","",IFERROR(1/(1/INDEX(Numéros!$C$2:$C$3001,MATCH(A3867&amp;"|"&amp;B3867,Numéros!$F$2:$F$3001,0))),""))</f>
        <v/>
      </c>
      <c r="M3867" s="27" t="str">
        <f aca="false">IF(OR(G3867="",G3867="?"),"",IFERROR(INDEX(Pubs!$D$2:$D$3001,MATCH(G3867,Pubs!$A$2:$A$3001,0))&amp;"",""))</f>
        <v/>
      </c>
      <c r="N3867" s="27" t="n">
        <f aca="false">N(N3866)+IF(AND(A3867&lt;&gt;"",OR(Recherche!$C$4="",A3867=Recherche!$C$4),OR(Recherche!$C$5="",B3867&amp;""=Recherche!$C$5&amp;""),OR(Recherche!$C$6="",IFERROR(YEAR(L3867),0)=Recherche!$C$6),OR(Recherche!$C$7="",ISNUMBER(SEARCH(Recherche!$C$7,H3867))),OR(Recherche!$C$8="",J3867=Recherche!$C$8),OR(Recherche!$C$9="",I3867=Recherche!$C$9),OR(Recherche!$C$10="",G3867&amp;""=Recherche!$C$10&amp;""),OR(Recherche!$C$11="",E3867=Recherche!$C$11),OR(Recherche!$C$12="",ISNUMBER(SEARCH(Recherche!$C$12,M3867&amp;" "&amp;F3867)))),1,0)</f>
        <v>8</v>
      </c>
    </row>
    <row r="3868" customFormat="false" ht="15" hidden="false" customHeight="false" outlineLevel="0" collapsed="false">
      <c r="A3868" s="19"/>
      <c r="B3868" s="19"/>
      <c r="C3868" s="19"/>
      <c r="D3868" s="19"/>
      <c r="E3868" s="22"/>
      <c r="F3868" s="19"/>
      <c r="G3868" s="26" t="str">
        <f aca="false">IF(D3868="","",IFERROR(VALUE(LEFT(D3868,FIND(" |",D3868&amp;" |")-1)),"?"))</f>
        <v/>
      </c>
      <c r="H3868" s="27" t="str">
        <f aca="false">IF(G3868="","",IF(G3868="?","⚠ pub inconnue",IFERROR(INDEX(Pubs!$B$2:$B$3001,MATCH(G3868,Pubs!$A$2:$A$3001,0))&amp;"","⚠ pub inconnue")))</f>
        <v/>
      </c>
      <c r="I3868" s="27" t="str">
        <f aca="false">IF(OR(G3868="",G3868="?"),"",IFERROR(INDEX(Pubs!$C$2:$C$3001,MATCH(G3868,Pubs!$A$2:$A$3001,0))&amp;"",""))</f>
        <v/>
      </c>
      <c r="J3868" s="27" t="str">
        <f aca="false">IF(OR(G3868="",G3868="?"),"",IFERROR(INDEX(Pubs!$G$2:$G$3001,MATCH(G3868,Pubs!$A$2:$A$3001,0))&amp;"",""))</f>
        <v/>
      </c>
      <c r="K3868" s="28" t="str">
        <f aca="false">IF(OR(G3868="",G3868="?"),"",IFERROR(INDEX(Pubs!$E$2:$E$3001,MATCH(G3868,Pubs!$A$2:$A$3001,0)),""))</f>
        <v/>
      </c>
      <c r="L3868" s="29" t="str">
        <f aca="false">IF(A3868="","",IFERROR(1/(1/INDEX(Numéros!$C$2:$C$3001,MATCH(A3868&amp;"|"&amp;B3868,Numéros!$F$2:$F$3001,0))),""))</f>
        <v/>
      </c>
      <c r="M3868" s="27" t="str">
        <f aca="false">IF(OR(G3868="",G3868="?"),"",IFERROR(INDEX(Pubs!$D$2:$D$3001,MATCH(G3868,Pubs!$A$2:$A$3001,0))&amp;"",""))</f>
        <v/>
      </c>
      <c r="N3868" s="27" t="n">
        <f aca="false">N(N3867)+IF(AND(A3868&lt;&gt;"",OR(Recherche!$C$4="",A3868=Recherche!$C$4),OR(Recherche!$C$5="",B3868&amp;""=Recherche!$C$5&amp;""),OR(Recherche!$C$6="",IFERROR(YEAR(L3868),0)=Recherche!$C$6),OR(Recherche!$C$7="",ISNUMBER(SEARCH(Recherche!$C$7,H3868))),OR(Recherche!$C$8="",J3868=Recherche!$C$8),OR(Recherche!$C$9="",I3868=Recherche!$C$9),OR(Recherche!$C$10="",G3868&amp;""=Recherche!$C$10&amp;""),OR(Recherche!$C$11="",E3868=Recherche!$C$11),OR(Recherche!$C$12="",ISNUMBER(SEARCH(Recherche!$C$12,M3868&amp;" "&amp;F3868)))),1,0)</f>
        <v>8</v>
      </c>
    </row>
    <row r="3869" customFormat="false" ht="15" hidden="false" customHeight="false" outlineLevel="0" collapsed="false">
      <c r="A3869" s="19"/>
      <c r="B3869" s="19"/>
      <c r="C3869" s="19"/>
      <c r="D3869" s="19"/>
      <c r="E3869" s="22"/>
      <c r="F3869" s="19"/>
      <c r="G3869" s="26" t="str">
        <f aca="false">IF(D3869="","",IFERROR(VALUE(LEFT(D3869,FIND(" |",D3869&amp;" |")-1)),"?"))</f>
        <v/>
      </c>
      <c r="H3869" s="27" t="str">
        <f aca="false">IF(G3869="","",IF(G3869="?","⚠ pub inconnue",IFERROR(INDEX(Pubs!$B$2:$B$3001,MATCH(G3869,Pubs!$A$2:$A$3001,0))&amp;"","⚠ pub inconnue")))</f>
        <v/>
      </c>
      <c r="I3869" s="27" t="str">
        <f aca="false">IF(OR(G3869="",G3869="?"),"",IFERROR(INDEX(Pubs!$C$2:$C$3001,MATCH(G3869,Pubs!$A$2:$A$3001,0))&amp;"",""))</f>
        <v/>
      </c>
      <c r="J3869" s="27" t="str">
        <f aca="false">IF(OR(G3869="",G3869="?"),"",IFERROR(INDEX(Pubs!$G$2:$G$3001,MATCH(G3869,Pubs!$A$2:$A$3001,0))&amp;"",""))</f>
        <v/>
      </c>
      <c r="K3869" s="28" t="str">
        <f aca="false">IF(OR(G3869="",G3869="?"),"",IFERROR(INDEX(Pubs!$E$2:$E$3001,MATCH(G3869,Pubs!$A$2:$A$3001,0)),""))</f>
        <v/>
      </c>
      <c r="L3869" s="29" t="str">
        <f aca="false">IF(A3869="","",IFERROR(1/(1/INDEX(Numéros!$C$2:$C$3001,MATCH(A3869&amp;"|"&amp;B3869,Numéros!$F$2:$F$3001,0))),""))</f>
        <v/>
      </c>
      <c r="M3869" s="27" t="str">
        <f aca="false">IF(OR(G3869="",G3869="?"),"",IFERROR(INDEX(Pubs!$D$2:$D$3001,MATCH(G3869,Pubs!$A$2:$A$3001,0))&amp;"",""))</f>
        <v/>
      </c>
      <c r="N3869" s="27" t="n">
        <f aca="false">N(N3868)+IF(AND(A3869&lt;&gt;"",OR(Recherche!$C$4="",A3869=Recherche!$C$4),OR(Recherche!$C$5="",B3869&amp;""=Recherche!$C$5&amp;""),OR(Recherche!$C$6="",IFERROR(YEAR(L3869),0)=Recherche!$C$6),OR(Recherche!$C$7="",ISNUMBER(SEARCH(Recherche!$C$7,H3869))),OR(Recherche!$C$8="",J3869=Recherche!$C$8),OR(Recherche!$C$9="",I3869=Recherche!$C$9),OR(Recherche!$C$10="",G3869&amp;""=Recherche!$C$10&amp;""),OR(Recherche!$C$11="",E3869=Recherche!$C$11),OR(Recherche!$C$12="",ISNUMBER(SEARCH(Recherche!$C$12,M3869&amp;" "&amp;F3869)))),1,0)</f>
        <v>8</v>
      </c>
    </row>
    <row r="3870" customFormat="false" ht="15" hidden="false" customHeight="false" outlineLevel="0" collapsed="false">
      <c r="A3870" s="19"/>
      <c r="B3870" s="19"/>
      <c r="C3870" s="19"/>
      <c r="D3870" s="19"/>
      <c r="E3870" s="22"/>
      <c r="F3870" s="19"/>
      <c r="G3870" s="26" t="str">
        <f aca="false">IF(D3870="","",IFERROR(VALUE(LEFT(D3870,FIND(" |",D3870&amp;" |")-1)),"?"))</f>
        <v/>
      </c>
      <c r="H3870" s="27" t="str">
        <f aca="false">IF(G3870="","",IF(G3870="?","⚠ pub inconnue",IFERROR(INDEX(Pubs!$B$2:$B$3001,MATCH(G3870,Pubs!$A$2:$A$3001,0))&amp;"","⚠ pub inconnue")))</f>
        <v/>
      </c>
      <c r="I3870" s="27" t="str">
        <f aca="false">IF(OR(G3870="",G3870="?"),"",IFERROR(INDEX(Pubs!$C$2:$C$3001,MATCH(G3870,Pubs!$A$2:$A$3001,0))&amp;"",""))</f>
        <v/>
      </c>
      <c r="J3870" s="27" t="str">
        <f aca="false">IF(OR(G3870="",G3870="?"),"",IFERROR(INDEX(Pubs!$G$2:$G$3001,MATCH(G3870,Pubs!$A$2:$A$3001,0))&amp;"",""))</f>
        <v/>
      </c>
      <c r="K3870" s="28" t="str">
        <f aca="false">IF(OR(G3870="",G3870="?"),"",IFERROR(INDEX(Pubs!$E$2:$E$3001,MATCH(G3870,Pubs!$A$2:$A$3001,0)),""))</f>
        <v/>
      </c>
      <c r="L3870" s="29" t="str">
        <f aca="false">IF(A3870="","",IFERROR(1/(1/INDEX(Numéros!$C$2:$C$3001,MATCH(A3870&amp;"|"&amp;B3870,Numéros!$F$2:$F$3001,0))),""))</f>
        <v/>
      </c>
      <c r="M3870" s="27" t="str">
        <f aca="false">IF(OR(G3870="",G3870="?"),"",IFERROR(INDEX(Pubs!$D$2:$D$3001,MATCH(G3870,Pubs!$A$2:$A$3001,0))&amp;"",""))</f>
        <v/>
      </c>
      <c r="N3870" s="27" t="n">
        <f aca="false">N(N3869)+IF(AND(A3870&lt;&gt;"",OR(Recherche!$C$4="",A3870=Recherche!$C$4),OR(Recherche!$C$5="",B3870&amp;""=Recherche!$C$5&amp;""),OR(Recherche!$C$6="",IFERROR(YEAR(L3870),0)=Recherche!$C$6),OR(Recherche!$C$7="",ISNUMBER(SEARCH(Recherche!$C$7,H3870))),OR(Recherche!$C$8="",J3870=Recherche!$C$8),OR(Recherche!$C$9="",I3870=Recherche!$C$9),OR(Recherche!$C$10="",G3870&amp;""=Recherche!$C$10&amp;""),OR(Recherche!$C$11="",E3870=Recherche!$C$11),OR(Recherche!$C$12="",ISNUMBER(SEARCH(Recherche!$C$12,M3870&amp;" "&amp;F3870)))),1,0)</f>
        <v>8</v>
      </c>
    </row>
    <row r="3871" customFormat="false" ht="15" hidden="false" customHeight="false" outlineLevel="0" collapsed="false">
      <c r="A3871" s="19"/>
      <c r="B3871" s="19"/>
      <c r="C3871" s="19"/>
      <c r="D3871" s="19"/>
      <c r="E3871" s="22"/>
      <c r="F3871" s="19"/>
      <c r="G3871" s="26" t="str">
        <f aca="false">IF(D3871="","",IFERROR(VALUE(LEFT(D3871,FIND(" |",D3871&amp;" |")-1)),"?"))</f>
        <v/>
      </c>
      <c r="H3871" s="27" t="str">
        <f aca="false">IF(G3871="","",IF(G3871="?","⚠ pub inconnue",IFERROR(INDEX(Pubs!$B$2:$B$3001,MATCH(G3871,Pubs!$A$2:$A$3001,0))&amp;"","⚠ pub inconnue")))</f>
        <v/>
      </c>
      <c r="I3871" s="27" t="str">
        <f aca="false">IF(OR(G3871="",G3871="?"),"",IFERROR(INDEX(Pubs!$C$2:$C$3001,MATCH(G3871,Pubs!$A$2:$A$3001,0))&amp;"",""))</f>
        <v/>
      </c>
      <c r="J3871" s="27" t="str">
        <f aca="false">IF(OR(G3871="",G3871="?"),"",IFERROR(INDEX(Pubs!$G$2:$G$3001,MATCH(G3871,Pubs!$A$2:$A$3001,0))&amp;"",""))</f>
        <v/>
      </c>
      <c r="K3871" s="28" t="str">
        <f aca="false">IF(OR(G3871="",G3871="?"),"",IFERROR(INDEX(Pubs!$E$2:$E$3001,MATCH(G3871,Pubs!$A$2:$A$3001,0)),""))</f>
        <v/>
      </c>
      <c r="L3871" s="29" t="str">
        <f aca="false">IF(A3871="","",IFERROR(1/(1/INDEX(Numéros!$C$2:$C$3001,MATCH(A3871&amp;"|"&amp;B3871,Numéros!$F$2:$F$3001,0))),""))</f>
        <v/>
      </c>
      <c r="M3871" s="27" t="str">
        <f aca="false">IF(OR(G3871="",G3871="?"),"",IFERROR(INDEX(Pubs!$D$2:$D$3001,MATCH(G3871,Pubs!$A$2:$A$3001,0))&amp;"",""))</f>
        <v/>
      </c>
      <c r="N3871" s="27" t="n">
        <f aca="false">N(N3870)+IF(AND(A3871&lt;&gt;"",OR(Recherche!$C$4="",A3871=Recherche!$C$4),OR(Recherche!$C$5="",B3871&amp;""=Recherche!$C$5&amp;""),OR(Recherche!$C$6="",IFERROR(YEAR(L3871),0)=Recherche!$C$6),OR(Recherche!$C$7="",ISNUMBER(SEARCH(Recherche!$C$7,H3871))),OR(Recherche!$C$8="",J3871=Recherche!$C$8),OR(Recherche!$C$9="",I3871=Recherche!$C$9),OR(Recherche!$C$10="",G3871&amp;""=Recherche!$C$10&amp;""),OR(Recherche!$C$11="",E3871=Recherche!$C$11),OR(Recherche!$C$12="",ISNUMBER(SEARCH(Recherche!$C$12,M3871&amp;" "&amp;F3871)))),1,0)</f>
        <v>8</v>
      </c>
    </row>
    <row r="3872" customFormat="false" ht="15" hidden="false" customHeight="false" outlineLevel="0" collapsed="false">
      <c r="A3872" s="19"/>
      <c r="B3872" s="19"/>
      <c r="C3872" s="19"/>
      <c r="D3872" s="19"/>
      <c r="E3872" s="22"/>
      <c r="F3872" s="19"/>
      <c r="G3872" s="26" t="str">
        <f aca="false">IF(D3872="","",IFERROR(VALUE(LEFT(D3872,FIND(" |",D3872&amp;" |")-1)),"?"))</f>
        <v/>
      </c>
      <c r="H3872" s="27" t="str">
        <f aca="false">IF(G3872="","",IF(G3872="?","⚠ pub inconnue",IFERROR(INDEX(Pubs!$B$2:$B$3001,MATCH(G3872,Pubs!$A$2:$A$3001,0))&amp;"","⚠ pub inconnue")))</f>
        <v/>
      </c>
      <c r="I3872" s="27" t="str">
        <f aca="false">IF(OR(G3872="",G3872="?"),"",IFERROR(INDEX(Pubs!$C$2:$C$3001,MATCH(G3872,Pubs!$A$2:$A$3001,0))&amp;"",""))</f>
        <v/>
      </c>
      <c r="J3872" s="27" t="str">
        <f aca="false">IF(OR(G3872="",G3872="?"),"",IFERROR(INDEX(Pubs!$G$2:$G$3001,MATCH(G3872,Pubs!$A$2:$A$3001,0))&amp;"",""))</f>
        <v/>
      </c>
      <c r="K3872" s="28" t="str">
        <f aca="false">IF(OR(G3872="",G3872="?"),"",IFERROR(INDEX(Pubs!$E$2:$E$3001,MATCH(G3872,Pubs!$A$2:$A$3001,0)),""))</f>
        <v/>
      </c>
      <c r="L3872" s="29" t="str">
        <f aca="false">IF(A3872="","",IFERROR(1/(1/INDEX(Numéros!$C$2:$C$3001,MATCH(A3872&amp;"|"&amp;B3872,Numéros!$F$2:$F$3001,0))),""))</f>
        <v/>
      </c>
      <c r="M3872" s="27" t="str">
        <f aca="false">IF(OR(G3872="",G3872="?"),"",IFERROR(INDEX(Pubs!$D$2:$D$3001,MATCH(G3872,Pubs!$A$2:$A$3001,0))&amp;"",""))</f>
        <v/>
      </c>
      <c r="N3872" s="27" t="n">
        <f aca="false">N(N3871)+IF(AND(A3872&lt;&gt;"",OR(Recherche!$C$4="",A3872=Recherche!$C$4),OR(Recherche!$C$5="",B3872&amp;""=Recherche!$C$5&amp;""),OR(Recherche!$C$6="",IFERROR(YEAR(L3872),0)=Recherche!$C$6),OR(Recherche!$C$7="",ISNUMBER(SEARCH(Recherche!$C$7,H3872))),OR(Recherche!$C$8="",J3872=Recherche!$C$8),OR(Recherche!$C$9="",I3872=Recherche!$C$9),OR(Recherche!$C$10="",G3872&amp;""=Recherche!$C$10&amp;""),OR(Recherche!$C$11="",E3872=Recherche!$C$11),OR(Recherche!$C$12="",ISNUMBER(SEARCH(Recherche!$C$12,M3872&amp;" "&amp;F3872)))),1,0)</f>
        <v>8</v>
      </c>
    </row>
    <row r="3873" customFormat="false" ht="15" hidden="false" customHeight="false" outlineLevel="0" collapsed="false">
      <c r="A3873" s="19"/>
      <c r="B3873" s="19"/>
      <c r="C3873" s="19"/>
      <c r="D3873" s="19"/>
      <c r="E3873" s="22"/>
      <c r="F3873" s="19"/>
      <c r="G3873" s="26" t="str">
        <f aca="false">IF(D3873="","",IFERROR(VALUE(LEFT(D3873,FIND(" |",D3873&amp;" |")-1)),"?"))</f>
        <v/>
      </c>
      <c r="H3873" s="27" t="str">
        <f aca="false">IF(G3873="","",IF(G3873="?","⚠ pub inconnue",IFERROR(INDEX(Pubs!$B$2:$B$3001,MATCH(G3873,Pubs!$A$2:$A$3001,0))&amp;"","⚠ pub inconnue")))</f>
        <v/>
      </c>
      <c r="I3873" s="27" t="str">
        <f aca="false">IF(OR(G3873="",G3873="?"),"",IFERROR(INDEX(Pubs!$C$2:$C$3001,MATCH(G3873,Pubs!$A$2:$A$3001,0))&amp;"",""))</f>
        <v/>
      </c>
      <c r="J3873" s="27" t="str">
        <f aca="false">IF(OR(G3873="",G3873="?"),"",IFERROR(INDEX(Pubs!$G$2:$G$3001,MATCH(G3873,Pubs!$A$2:$A$3001,0))&amp;"",""))</f>
        <v/>
      </c>
      <c r="K3873" s="28" t="str">
        <f aca="false">IF(OR(G3873="",G3873="?"),"",IFERROR(INDEX(Pubs!$E$2:$E$3001,MATCH(G3873,Pubs!$A$2:$A$3001,0)),""))</f>
        <v/>
      </c>
      <c r="L3873" s="29" t="str">
        <f aca="false">IF(A3873="","",IFERROR(1/(1/INDEX(Numéros!$C$2:$C$3001,MATCH(A3873&amp;"|"&amp;B3873,Numéros!$F$2:$F$3001,0))),""))</f>
        <v/>
      </c>
      <c r="M3873" s="27" t="str">
        <f aca="false">IF(OR(G3873="",G3873="?"),"",IFERROR(INDEX(Pubs!$D$2:$D$3001,MATCH(G3873,Pubs!$A$2:$A$3001,0))&amp;"",""))</f>
        <v/>
      </c>
      <c r="N3873" s="27" t="n">
        <f aca="false">N(N3872)+IF(AND(A3873&lt;&gt;"",OR(Recherche!$C$4="",A3873=Recherche!$C$4),OR(Recherche!$C$5="",B3873&amp;""=Recherche!$C$5&amp;""),OR(Recherche!$C$6="",IFERROR(YEAR(L3873),0)=Recherche!$C$6),OR(Recherche!$C$7="",ISNUMBER(SEARCH(Recherche!$C$7,H3873))),OR(Recherche!$C$8="",J3873=Recherche!$C$8),OR(Recherche!$C$9="",I3873=Recherche!$C$9),OR(Recherche!$C$10="",G3873&amp;""=Recherche!$C$10&amp;""),OR(Recherche!$C$11="",E3873=Recherche!$C$11),OR(Recherche!$C$12="",ISNUMBER(SEARCH(Recherche!$C$12,M3873&amp;" "&amp;F3873)))),1,0)</f>
        <v>8</v>
      </c>
    </row>
    <row r="3874" customFormat="false" ht="15" hidden="false" customHeight="false" outlineLevel="0" collapsed="false">
      <c r="A3874" s="19"/>
      <c r="B3874" s="19"/>
      <c r="C3874" s="19"/>
      <c r="D3874" s="19"/>
      <c r="E3874" s="22"/>
      <c r="F3874" s="19"/>
      <c r="G3874" s="26" t="str">
        <f aca="false">IF(D3874="","",IFERROR(VALUE(LEFT(D3874,FIND(" |",D3874&amp;" |")-1)),"?"))</f>
        <v/>
      </c>
      <c r="H3874" s="27" t="str">
        <f aca="false">IF(G3874="","",IF(G3874="?","⚠ pub inconnue",IFERROR(INDEX(Pubs!$B$2:$B$3001,MATCH(G3874,Pubs!$A$2:$A$3001,0))&amp;"","⚠ pub inconnue")))</f>
        <v/>
      </c>
      <c r="I3874" s="27" t="str">
        <f aca="false">IF(OR(G3874="",G3874="?"),"",IFERROR(INDEX(Pubs!$C$2:$C$3001,MATCH(G3874,Pubs!$A$2:$A$3001,0))&amp;"",""))</f>
        <v/>
      </c>
      <c r="J3874" s="27" t="str">
        <f aca="false">IF(OR(G3874="",G3874="?"),"",IFERROR(INDEX(Pubs!$G$2:$G$3001,MATCH(G3874,Pubs!$A$2:$A$3001,0))&amp;"",""))</f>
        <v/>
      </c>
      <c r="K3874" s="28" t="str">
        <f aca="false">IF(OR(G3874="",G3874="?"),"",IFERROR(INDEX(Pubs!$E$2:$E$3001,MATCH(G3874,Pubs!$A$2:$A$3001,0)),""))</f>
        <v/>
      </c>
      <c r="L3874" s="29" t="str">
        <f aca="false">IF(A3874="","",IFERROR(1/(1/INDEX(Numéros!$C$2:$C$3001,MATCH(A3874&amp;"|"&amp;B3874,Numéros!$F$2:$F$3001,0))),""))</f>
        <v/>
      </c>
      <c r="M3874" s="27" t="str">
        <f aca="false">IF(OR(G3874="",G3874="?"),"",IFERROR(INDEX(Pubs!$D$2:$D$3001,MATCH(G3874,Pubs!$A$2:$A$3001,0))&amp;"",""))</f>
        <v/>
      </c>
      <c r="N3874" s="27" t="n">
        <f aca="false">N(N3873)+IF(AND(A3874&lt;&gt;"",OR(Recherche!$C$4="",A3874=Recherche!$C$4),OR(Recherche!$C$5="",B3874&amp;""=Recherche!$C$5&amp;""),OR(Recherche!$C$6="",IFERROR(YEAR(L3874),0)=Recherche!$C$6),OR(Recherche!$C$7="",ISNUMBER(SEARCH(Recherche!$C$7,H3874))),OR(Recherche!$C$8="",J3874=Recherche!$C$8),OR(Recherche!$C$9="",I3874=Recherche!$C$9),OR(Recherche!$C$10="",G3874&amp;""=Recherche!$C$10&amp;""),OR(Recherche!$C$11="",E3874=Recherche!$C$11),OR(Recherche!$C$12="",ISNUMBER(SEARCH(Recherche!$C$12,M3874&amp;" "&amp;F3874)))),1,0)</f>
        <v>8</v>
      </c>
    </row>
    <row r="3875" customFormat="false" ht="15" hidden="false" customHeight="false" outlineLevel="0" collapsed="false">
      <c r="A3875" s="19"/>
      <c r="B3875" s="19"/>
      <c r="C3875" s="19"/>
      <c r="D3875" s="19"/>
      <c r="E3875" s="22"/>
      <c r="F3875" s="19"/>
      <c r="G3875" s="26" t="str">
        <f aca="false">IF(D3875="","",IFERROR(VALUE(LEFT(D3875,FIND(" |",D3875&amp;" |")-1)),"?"))</f>
        <v/>
      </c>
      <c r="H3875" s="27" t="str">
        <f aca="false">IF(G3875="","",IF(G3875="?","⚠ pub inconnue",IFERROR(INDEX(Pubs!$B$2:$B$3001,MATCH(G3875,Pubs!$A$2:$A$3001,0))&amp;"","⚠ pub inconnue")))</f>
        <v/>
      </c>
      <c r="I3875" s="27" t="str">
        <f aca="false">IF(OR(G3875="",G3875="?"),"",IFERROR(INDEX(Pubs!$C$2:$C$3001,MATCH(G3875,Pubs!$A$2:$A$3001,0))&amp;"",""))</f>
        <v/>
      </c>
      <c r="J3875" s="27" t="str">
        <f aca="false">IF(OR(G3875="",G3875="?"),"",IFERROR(INDEX(Pubs!$G$2:$G$3001,MATCH(G3875,Pubs!$A$2:$A$3001,0))&amp;"",""))</f>
        <v/>
      </c>
      <c r="K3875" s="28" t="str">
        <f aca="false">IF(OR(G3875="",G3875="?"),"",IFERROR(INDEX(Pubs!$E$2:$E$3001,MATCH(G3875,Pubs!$A$2:$A$3001,0)),""))</f>
        <v/>
      </c>
      <c r="L3875" s="29" t="str">
        <f aca="false">IF(A3875="","",IFERROR(1/(1/INDEX(Numéros!$C$2:$C$3001,MATCH(A3875&amp;"|"&amp;B3875,Numéros!$F$2:$F$3001,0))),""))</f>
        <v/>
      </c>
      <c r="M3875" s="27" t="str">
        <f aca="false">IF(OR(G3875="",G3875="?"),"",IFERROR(INDEX(Pubs!$D$2:$D$3001,MATCH(G3875,Pubs!$A$2:$A$3001,0))&amp;"",""))</f>
        <v/>
      </c>
      <c r="N3875" s="27" t="n">
        <f aca="false">N(N3874)+IF(AND(A3875&lt;&gt;"",OR(Recherche!$C$4="",A3875=Recherche!$C$4),OR(Recherche!$C$5="",B3875&amp;""=Recherche!$C$5&amp;""),OR(Recherche!$C$6="",IFERROR(YEAR(L3875),0)=Recherche!$C$6),OR(Recherche!$C$7="",ISNUMBER(SEARCH(Recherche!$C$7,H3875))),OR(Recherche!$C$8="",J3875=Recherche!$C$8),OR(Recherche!$C$9="",I3875=Recherche!$C$9),OR(Recherche!$C$10="",G3875&amp;""=Recherche!$C$10&amp;""),OR(Recherche!$C$11="",E3875=Recherche!$C$11),OR(Recherche!$C$12="",ISNUMBER(SEARCH(Recherche!$C$12,M3875&amp;" "&amp;F3875)))),1,0)</f>
        <v>8</v>
      </c>
    </row>
    <row r="3876" customFormat="false" ht="15" hidden="false" customHeight="false" outlineLevel="0" collapsed="false">
      <c r="A3876" s="19"/>
      <c r="B3876" s="19"/>
      <c r="C3876" s="19"/>
      <c r="D3876" s="19"/>
      <c r="E3876" s="22"/>
      <c r="F3876" s="19"/>
      <c r="G3876" s="26" t="str">
        <f aca="false">IF(D3876="","",IFERROR(VALUE(LEFT(D3876,FIND(" |",D3876&amp;" |")-1)),"?"))</f>
        <v/>
      </c>
      <c r="H3876" s="27" t="str">
        <f aca="false">IF(G3876="","",IF(G3876="?","⚠ pub inconnue",IFERROR(INDEX(Pubs!$B$2:$B$3001,MATCH(G3876,Pubs!$A$2:$A$3001,0))&amp;"","⚠ pub inconnue")))</f>
        <v/>
      </c>
      <c r="I3876" s="27" t="str">
        <f aca="false">IF(OR(G3876="",G3876="?"),"",IFERROR(INDEX(Pubs!$C$2:$C$3001,MATCH(G3876,Pubs!$A$2:$A$3001,0))&amp;"",""))</f>
        <v/>
      </c>
      <c r="J3876" s="27" t="str">
        <f aca="false">IF(OR(G3876="",G3876="?"),"",IFERROR(INDEX(Pubs!$G$2:$G$3001,MATCH(G3876,Pubs!$A$2:$A$3001,0))&amp;"",""))</f>
        <v/>
      </c>
      <c r="K3876" s="28" t="str">
        <f aca="false">IF(OR(G3876="",G3876="?"),"",IFERROR(INDEX(Pubs!$E$2:$E$3001,MATCH(G3876,Pubs!$A$2:$A$3001,0)),""))</f>
        <v/>
      </c>
      <c r="L3876" s="29" t="str">
        <f aca="false">IF(A3876="","",IFERROR(1/(1/INDEX(Numéros!$C$2:$C$3001,MATCH(A3876&amp;"|"&amp;B3876,Numéros!$F$2:$F$3001,0))),""))</f>
        <v/>
      </c>
      <c r="M3876" s="27" t="str">
        <f aca="false">IF(OR(G3876="",G3876="?"),"",IFERROR(INDEX(Pubs!$D$2:$D$3001,MATCH(G3876,Pubs!$A$2:$A$3001,0))&amp;"",""))</f>
        <v/>
      </c>
      <c r="N3876" s="27" t="n">
        <f aca="false">N(N3875)+IF(AND(A3876&lt;&gt;"",OR(Recherche!$C$4="",A3876=Recherche!$C$4),OR(Recherche!$C$5="",B3876&amp;""=Recherche!$C$5&amp;""),OR(Recherche!$C$6="",IFERROR(YEAR(L3876),0)=Recherche!$C$6),OR(Recherche!$C$7="",ISNUMBER(SEARCH(Recherche!$C$7,H3876))),OR(Recherche!$C$8="",J3876=Recherche!$C$8),OR(Recherche!$C$9="",I3876=Recherche!$C$9),OR(Recherche!$C$10="",G3876&amp;""=Recherche!$C$10&amp;""),OR(Recherche!$C$11="",E3876=Recherche!$C$11),OR(Recherche!$C$12="",ISNUMBER(SEARCH(Recherche!$C$12,M3876&amp;" "&amp;F3876)))),1,0)</f>
        <v>8</v>
      </c>
    </row>
    <row r="3877" customFormat="false" ht="15" hidden="false" customHeight="false" outlineLevel="0" collapsed="false">
      <c r="A3877" s="19"/>
      <c r="B3877" s="19"/>
      <c r="C3877" s="19"/>
      <c r="D3877" s="19"/>
      <c r="E3877" s="22"/>
      <c r="F3877" s="19"/>
      <c r="G3877" s="26" t="str">
        <f aca="false">IF(D3877="","",IFERROR(VALUE(LEFT(D3877,FIND(" |",D3877&amp;" |")-1)),"?"))</f>
        <v/>
      </c>
      <c r="H3877" s="27" t="str">
        <f aca="false">IF(G3877="","",IF(G3877="?","⚠ pub inconnue",IFERROR(INDEX(Pubs!$B$2:$B$3001,MATCH(G3877,Pubs!$A$2:$A$3001,0))&amp;"","⚠ pub inconnue")))</f>
        <v/>
      </c>
      <c r="I3877" s="27" t="str">
        <f aca="false">IF(OR(G3877="",G3877="?"),"",IFERROR(INDEX(Pubs!$C$2:$C$3001,MATCH(G3877,Pubs!$A$2:$A$3001,0))&amp;"",""))</f>
        <v/>
      </c>
      <c r="J3877" s="27" t="str">
        <f aca="false">IF(OR(G3877="",G3877="?"),"",IFERROR(INDEX(Pubs!$G$2:$G$3001,MATCH(G3877,Pubs!$A$2:$A$3001,0))&amp;"",""))</f>
        <v/>
      </c>
      <c r="K3877" s="28" t="str">
        <f aca="false">IF(OR(G3877="",G3877="?"),"",IFERROR(INDEX(Pubs!$E$2:$E$3001,MATCH(G3877,Pubs!$A$2:$A$3001,0)),""))</f>
        <v/>
      </c>
      <c r="L3877" s="29" t="str">
        <f aca="false">IF(A3877="","",IFERROR(1/(1/INDEX(Numéros!$C$2:$C$3001,MATCH(A3877&amp;"|"&amp;B3877,Numéros!$F$2:$F$3001,0))),""))</f>
        <v/>
      </c>
      <c r="M3877" s="27" t="str">
        <f aca="false">IF(OR(G3877="",G3877="?"),"",IFERROR(INDEX(Pubs!$D$2:$D$3001,MATCH(G3877,Pubs!$A$2:$A$3001,0))&amp;"",""))</f>
        <v/>
      </c>
      <c r="N3877" s="27" t="n">
        <f aca="false">N(N3876)+IF(AND(A3877&lt;&gt;"",OR(Recherche!$C$4="",A3877=Recherche!$C$4),OR(Recherche!$C$5="",B3877&amp;""=Recherche!$C$5&amp;""),OR(Recherche!$C$6="",IFERROR(YEAR(L3877),0)=Recherche!$C$6),OR(Recherche!$C$7="",ISNUMBER(SEARCH(Recherche!$C$7,H3877))),OR(Recherche!$C$8="",J3877=Recherche!$C$8),OR(Recherche!$C$9="",I3877=Recherche!$C$9),OR(Recherche!$C$10="",G3877&amp;""=Recherche!$C$10&amp;""),OR(Recherche!$C$11="",E3877=Recherche!$C$11),OR(Recherche!$C$12="",ISNUMBER(SEARCH(Recherche!$C$12,M3877&amp;" "&amp;F3877)))),1,0)</f>
        <v>8</v>
      </c>
    </row>
    <row r="3878" customFormat="false" ht="15" hidden="false" customHeight="false" outlineLevel="0" collapsed="false">
      <c r="A3878" s="19"/>
      <c r="B3878" s="19"/>
      <c r="C3878" s="19"/>
      <c r="D3878" s="19"/>
      <c r="E3878" s="22"/>
      <c r="F3878" s="19"/>
      <c r="G3878" s="26" t="str">
        <f aca="false">IF(D3878="","",IFERROR(VALUE(LEFT(D3878,FIND(" |",D3878&amp;" |")-1)),"?"))</f>
        <v/>
      </c>
      <c r="H3878" s="27" t="str">
        <f aca="false">IF(G3878="","",IF(G3878="?","⚠ pub inconnue",IFERROR(INDEX(Pubs!$B$2:$B$3001,MATCH(G3878,Pubs!$A$2:$A$3001,0))&amp;"","⚠ pub inconnue")))</f>
        <v/>
      </c>
      <c r="I3878" s="27" t="str">
        <f aca="false">IF(OR(G3878="",G3878="?"),"",IFERROR(INDEX(Pubs!$C$2:$C$3001,MATCH(G3878,Pubs!$A$2:$A$3001,0))&amp;"",""))</f>
        <v/>
      </c>
      <c r="J3878" s="27" t="str">
        <f aca="false">IF(OR(G3878="",G3878="?"),"",IFERROR(INDEX(Pubs!$G$2:$G$3001,MATCH(G3878,Pubs!$A$2:$A$3001,0))&amp;"",""))</f>
        <v/>
      </c>
      <c r="K3878" s="28" t="str">
        <f aca="false">IF(OR(G3878="",G3878="?"),"",IFERROR(INDEX(Pubs!$E$2:$E$3001,MATCH(G3878,Pubs!$A$2:$A$3001,0)),""))</f>
        <v/>
      </c>
      <c r="L3878" s="29" t="str">
        <f aca="false">IF(A3878="","",IFERROR(1/(1/INDEX(Numéros!$C$2:$C$3001,MATCH(A3878&amp;"|"&amp;B3878,Numéros!$F$2:$F$3001,0))),""))</f>
        <v/>
      </c>
      <c r="M3878" s="27" t="str">
        <f aca="false">IF(OR(G3878="",G3878="?"),"",IFERROR(INDEX(Pubs!$D$2:$D$3001,MATCH(G3878,Pubs!$A$2:$A$3001,0))&amp;"",""))</f>
        <v/>
      </c>
      <c r="N3878" s="27" t="n">
        <f aca="false">N(N3877)+IF(AND(A3878&lt;&gt;"",OR(Recherche!$C$4="",A3878=Recherche!$C$4),OR(Recherche!$C$5="",B3878&amp;""=Recherche!$C$5&amp;""),OR(Recherche!$C$6="",IFERROR(YEAR(L3878),0)=Recherche!$C$6),OR(Recherche!$C$7="",ISNUMBER(SEARCH(Recherche!$C$7,H3878))),OR(Recherche!$C$8="",J3878=Recherche!$C$8),OR(Recherche!$C$9="",I3878=Recherche!$C$9),OR(Recherche!$C$10="",G3878&amp;""=Recherche!$C$10&amp;""),OR(Recherche!$C$11="",E3878=Recherche!$C$11),OR(Recherche!$C$12="",ISNUMBER(SEARCH(Recherche!$C$12,M3878&amp;" "&amp;F3878)))),1,0)</f>
        <v>8</v>
      </c>
    </row>
    <row r="3879" customFormat="false" ht="15" hidden="false" customHeight="false" outlineLevel="0" collapsed="false">
      <c r="A3879" s="19"/>
      <c r="B3879" s="19"/>
      <c r="C3879" s="19"/>
      <c r="D3879" s="19"/>
      <c r="E3879" s="22"/>
      <c r="F3879" s="19"/>
      <c r="G3879" s="26" t="str">
        <f aca="false">IF(D3879="","",IFERROR(VALUE(LEFT(D3879,FIND(" |",D3879&amp;" |")-1)),"?"))</f>
        <v/>
      </c>
      <c r="H3879" s="27" t="str">
        <f aca="false">IF(G3879="","",IF(G3879="?","⚠ pub inconnue",IFERROR(INDEX(Pubs!$B$2:$B$3001,MATCH(G3879,Pubs!$A$2:$A$3001,0))&amp;"","⚠ pub inconnue")))</f>
        <v/>
      </c>
      <c r="I3879" s="27" t="str">
        <f aca="false">IF(OR(G3879="",G3879="?"),"",IFERROR(INDEX(Pubs!$C$2:$C$3001,MATCH(G3879,Pubs!$A$2:$A$3001,0))&amp;"",""))</f>
        <v/>
      </c>
      <c r="J3879" s="27" t="str">
        <f aca="false">IF(OR(G3879="",G3879="?"),"",IFERROR(INDEX(Pubs!$G$2:$G$3001,MATCH(G3879,Pubs!$A$2:$A$3001,0))&amp;"",""))</f>
        <v/>
      </c>
      <c r="K3879" s="28" t="str">
        <f aca="false">IF(OR(G3879="",G3879="?"),"",IFERROR(INDEX(Pubs!$E$2:$E$3001,MATCH(G3879,Pubs!$A$2:$A$3001,0)),""))</f>
        <v/>
      </c>
      <c r="L3879" s="29" t="str">
        <f aca="false">IF(A3879="","",IFERROR(1/(1/INDEX(Numéros!$C$2:$C$3001,MATCH(A3879&amp;"|"&amp;B3879,Numéros!$F$2:$F$3001,0))),""))</f>
        <v/>
      </c>
      <c r="M3879" s="27" t="str">
        <f aca="false">IF(OR(G3879="",G3879="?"),"",IFERROR(INDEX(Pubs!$D$2:$D$3001,MATCH(G3879,Pubs!$A$2:$A$3001,0))&amp;"",""))</f>
        <v/>
      </c>
      <c r="N3879" s="27" t="n">
        <f aca="false">N(N3878)+IF(AND(A3879&lt;&gt;"",OR(Recherche!$C$4="",A3879=Recherche!$C$4),OR(Recherche!$C$5="",B3879&amp;""=Recherche!$C$5&amp;""),OR(Recherche!$C$6="",IFERROR(YEAR(L3879),0)=Recherche!$C$6),OR(Recherche!$C$7="",ISNUMBER(SEARCH(Recherche!$C$7,H3879))),OR(Recherche!$C$8="",J3879=Recherche!$C$8),OR(Recherche!$C$9="",I3879=Recherche!$C$9),OR(Recherche!$C$10="",G3879&amp;""=Recherche!$C$10&amp;""),OR(Recherche!$C$11="",E3879=Recherche!$C$11),OR(Recherche!$C$12="",ISNUMBER(SEARCH(Recherche!$C$12,M3879&amp;" "&amp;F3879)))),1,0)</f>
        <v>8</v>
      </c>
    </row>
    <row r="3880" customFormat="false" ht="15" hidden="false" customHeight="false" outlineLevel="0" collapsed="false">
      <c r="A3880" s="19"/>
      <c r="B3880" s="19"/>
      <c r="C3880" s="19"/>
      <c r="D3880" s="19"/>
      <c r="E3880" s="22"/>
      <c r="F3880" s="19"/>
      <c r="G3880" s="26" t="str">
        <f aca="false">IF(D3880="","",IFERROR(VALUE(LEFT(D3880,FIND(" |",D3880&amp;" |")-1)),"?"))</f>
        <v/>
      </c>
      <c r="H3880" s="27" t="str">
        <f aca="false">IF(G3880="","",IF(G3880="?","⚠ pub inconnue",IFERROR(INDEX(Pubs!$B$2:$B$3001,MATCH(G3880,Pubs!$A$2:$A$3001,0))&amp;"","⚠ pub inconnue")))</f>
        <v/>
      </c>
      <c r="I3880" s="27" t="str">
        <f aca="false">IF(OR(G3880="",G3880="?"),"",IFERROR(INDEX(Pubs!$C$2:$C$3001,MATCH(G3880,Pubs!$A$2:$A$3001,0))&amp;"",""))</f>
        <v/>
      </c>
      <c r="J3880" s="27" t="str">
        <f aca="false">IF(OR(G3880="",G3880="?"),"",IFERROR(INDEX(Pubs!$G$2:$G$3001,MATCH(G3880,Pubs!$A$2:$A$3001,0))&amp;"",""))</f>
        <v/>
      </c>
      <c r="K3880" s="28" t="str">
        <f aca="false">IF(OR(G3880="",G3880="?"),"",IFERROR(INDEX(Pubs!$E$2:$E$3001,MATCH(G3880,Pubs!$A$2:$A$3001,0)),""))</f>
        <v/>
      </c>
      <c r="L3880" s="29" t="str">
        <f aca="false">IF(A3880="","",IFERROR(1/(1/INDEX(Numéros!$C$2:$C$3001,MATCH(A3880&amp;"|"&amp;B3880,Numéros!$F$2:$F$3001,0))),""))</f>
        <v/>
      </c>
      <c r="M3880" s="27" t="str">
        <f aca="false">IF(OR(G3880="",G3880="?"),"",IFERROR(INDEX(Pubs!$D$2:$D$3001,MATCH(G3880,Pubs!$A$2:$A$3001,0))&amp;"",""))</f>
        <v/>
      </c>
      <c r="N3880" s="27" t="n">
        <f aca="false">N(N3879)+IF(AND(A3880&lt;&gt;"",OR(Recherche!$C$4="",A3880=Recherche!$C$4),OR(Recherche!$C$5="",B3880&amp;""=Recherche!$C$5&amp;""),OR(Recherche!$C$6="",IFERROR(YEAR(L3880),0)=Recherche!$C$6),OR(Recherche!$C$7="",ISNUMBER(SEARCH(Recherche!$C$7,H3880))),OR(Recherche!$C$8="",J3880=Recherche!$C$8),OR(Recherche!$C$9="",I3880=Recherche!$C$9),OR(Recherche!$C$10="",G3880&amp;""=Recherche!$C$10&amp;""),OR(Recherche!$C$11="",E3880=Recherche!$C$11),OR(Recherche!$C$12="",ISNUMBER(SEARCH(Recherche!$C$12,M3880&amp;" "&amp;F3880)))),1,0)</f>
        <v>8</v>
      </c>
    </row>
    <row r="3881" customFormat="false" ht="15" hidden="false" customHeight="false" outlineLevel="0" collapsed="false">
      <c r="A3881" s="19"/>
      <c r="B3881" s="19"/>
      <c r="C3881" s="19"/>
      <c r="D3881" s="19"/>
      <c r="E3881" s="22"/>
      <c r="F3881" s="19"/>
      <c r="G3881" s="26" t="str">
        <f aca="false">IF(D3881="","",IFERROR(VALUE(LEFT(D3881,FIND(" |",D3881&amp;" |")-1)),"?"))</f>
        <v/>
      </c>
      <c r="H3881" s="27" t="str">
        <f aca="false">IF(G3881="","",IF(G3881="?","⚠ pub inconnue",IFERROR(INDEX(Pubs!$B$2:$B$3001,MATCH(G3881,Pubs!$A$2:$A$3001,0))&amp;"","⚠ pub inconnue")))</f>
        <v/>
      </c>
      <c r="I3881" s="27" t="str">
        <f aca="false">IF(OR(G3881="",G3881="?"),"",IFERROR(INDEX(Pubs!$C$2:$C$3001,MATCH(G3881,Pubs!$A$2:$A$3001,0))&amp;"",""))</f>
        <v/>
      </c>
      <c r="J3881" s="27" t="str">
        <f aca="false">IF(OR(G3881="",G3881="?"),"",IFERROR(INDEX(Pubs!$G$2:$G$3001,MATCH(G3881,Pubs!$A$2:$A$3001,0))&amp;"",""))</f>
        <v/>
      </c>
      <c r="K3881" s="28" t="str">
        <f aca="false">IF(OR(G3881="",G3881="?"),"",IFERROR(INDEX(Pubs!$E$2:$E$3001,MATCH(G3881,Pubs!$A$2:$A$3001,0)),""))</f>
        <v/>
      </c>
      <c r="L3881" s="29" t="str">
        <f aca="false">IF(A3881="","",IFERROR(1/(1/INDEX(Numéros!$C$2:$C$3001,MATCH(A3881&amp;"|"&amp;B3881,Numéros!$F$2:$F$3001,0))),""))</f>
        <v/>
      </c>
      <c r="M3881" s="27" t="str">
        <f aca="false">IF(OR(G3881="",G3881="?"),"",IFERROR(INDEX(Pubs!$D$2:$D$3001,MATCH(G3881,Pubs!$A$2:$A$3001,0))&amp;"",""))</f>
        <v/>
      </c>
      <c r="N3881" s="27" t="n">
        <f aca="false">N(N3880)+IF(AND(A3881&lt;&gt;"",OR(Recherche!$C$4="",A3881=Recherche!$C$4),OR(Recherche!$C$5="",B3881&amp;""=Recherche!$C$5&amp;""),OR(Recherche!$C$6="",IFERROR(YEAR(L3881),0)=Recherche!$C$6),OR(Recherche!$C$7="",ISNUMBER(SEARCH(Recherche!$C$7,H3881))),OR(Recherche!$C$8="",J3881=Recherche!$C$8),OR(Recherche!$C$9="",I3881=Recherche!$C$9),OR(Recherche!$C$10="",G3881&amp;""=Recherche!$C$10&amp;""),OR(Recherche!$C$11="",E3881=Recherche!$C$11),OR(Recherche!$C$12="",ISNUMBER(SEARCH(Recherche!$C$12,M3881&amp;" "&amp;F3881)))),1,0)</f>
        <v>8</v>
      </c>
    </row>
    <row r="3882" customFormat="false" ht="15" hidden="false" customHeight="false" outlineLevel="0" collapsed="false">
      <c r="A3882" s="19"/>
      <c r="B3882" s="19"/>
      <c r="C3882" s="19"/>
      <c r="D3882" s="19"/>
      <c r="E3882" s="22"/>
      <c r="F3882" s="19"/>
      <c r="G3882" s="26" t="str">
        <f aca="false">IF(D3882="","",IFERROR(VALUE(LEFT(D3882,FIND(" |",D3882&amp;" |")-1)),"?"))</f>
        <v/>
      </c>
      <c r="H3882" s="27" t="str">
        <f aca="false">IF(G3882="","",IF(G3882="?","⚠ pub inconnue",IFERROR(INDEX(Pubs!$B$2:$B$3001,MATCH(G3882,Pubs!$A$2:$A$3001,0))&amp;"","⚠ pub inconnue")))</f>
        <v/>
      </c>
      <c r="I3882" s="27" t="str">
        <f aca="false">IF(OR(G3882="",G3882="?"),"",IFERROR(INDEX(Pubs!$C$2:$C$3001,MATCH(G3882,Pubs!$A$2:$A$3001,0))&amp;"",""))</f>
        <v/>
      </c>
      <c r="J3882" s="27" t="str">
        <f aca="false">IF(OR(G3882="",G3882="?"),"",IFERROR(INDEX(Pubs!$G$2:$G$3001,MATCH(G3882,Pubs!$A$2:$A$3001,0))&amp;"",""))</f>
        <v/>
      </c>
      <c r="K3882" s="28" t="str">
        <f aca="false">IF(OR(G3882="",G3882="?"),"",IFERROR(INDEX(Pubs!$E$2:$E$3001,MATCH(G3882,Pubs!$A$2:$A$3001,0)),""))</f>
        <v/>
      </c>
      <c r="L3882" s="29" t="str">
        <f aca="false">IF(A3882="","",IFERROR(1/(1/INDEX(Numéros!$C$2:$C$3001,MATCH(A3882&amp;"|"&amp;B3882,Numéros!$F$2:$F$3001,0))),""))</f>
        <v/>
      </c>
      <c r="M3882" s="27" t="str">
        <f aca="false">IF(OR(G3882="",G3882="?"),"",IFERROR(INDEX(Pubs!$D$2:$D$3001,MATCH(G3882,Pubs!$A$2:$A$3001,0))&amp;"",""))</f>
        <v/>
      </c>
      <c r="N3882" s="27" t="n">
        <f aca="false">N(N3881)+IF(AND(A3882&lt;&gt;"",OR(Recherche!$C$4="",A3882=Recherche!$C$4),OR(Recherche!$C$5="",B3882&amp;""=Recherche!$C$5&amp;""),OR(Recherche!$C$6="",IFERROR(YEAR(L3882),0)=Recherche!$C$6),OR(Recherche!$C$7="",ISNUMBER(SEARCH(Recherche!$C$7,H3882))),OR(Recherche!$C$8="",J3882=Recherche!$C$8),OR(Recherche!$C$9="",I3882=Recherche!$C$9),OR(Recherche!$C$10="",G3882&amp;""=Recherche!$C$10&amp;""),OR(Recherche!$C$11="",E3882=Recherche!$C$11),OR(Recherche!$C$12="",ISNUMBER(SEARCH(Recherche!$C$12,M3882&amp;" "&amp;F3882)))),1,0)</f>
        <v>8</v>
      </c>
    </row>
    <row r="3883" customFormat="false" ht="15" hidden="false" customHeight="false" outlineLevel="0" collapsed="false">
      <c r="A3883" s="19"/>
      <c r="B3883" s="19"/>
      <c r="C3883" s="19"/>
      <c r="D3883" s="19"/>
      <c r="E3883" s="22"/>
      <c r="F3883" s="19"/>
      <c r="G3883" s="26" t="str">
        <f aca="false">IF(D3883="","",IFERROR(VALUE(LEFT(D3883,FIND(" |",D3883&amp;" |")-1)),"?"))</f>
        <v/>
      </c>
      <c r="H3883" s="27" t="str">
        <f aca="false">IF(G3883="","",IF(G3883="?","⚠ pub inconnue",IFERROR(INDEX(Pubs!$B$2:$B$3001,MATCH(G3883,Pubs!$A$2:$A$3001,0))&amp;"","⚠ pub inconnue")))</f>
        <v/>
      </c>
      <c r="I3883" s="27" t="str">
        <f aca="false">IF(OR(G3883="",G3883="?"),"",IFERROR(INDEX(Pubs!$C$2:$C$3001,MATCH(G3883,Pubs!$A$2:$A$3001,0))&amp;"",""))</f>
        <v/>
      </c>
      <c r="J3883" s="27" t="str">
        <f aca="false">IF(OR(G3883="",G3883="?"),"",IFERROR(INDEX(Pubs!$G$2:$G$3001,MATCH(G3883,Pubs!$A$2:$A$3001,0))&amp;"",""))</f>
        <v/>
      </c>
      <c r="K3883" s="28" t="str">
        <f aca="false">IF(OR(G3883="",G3883="?"),"",IFERROR(INDEX(Pubs!$E$2:$E$3001,MATCH(G3883,Pubs!$A$2:$A$3001,0)),""))</f>
        <v/>
      </c>
      <c r="L3883" s="29" t="str">
        <f aca="false">IF(A3883="","",IFERROR(1/(1/INDEX(Numéros!$C$2:$C$3001,MATCH(A3883&amp;"|"&amp;B3883,Numéros!$F$2:$F$3001,0))),""))</f>
        <v/>
      </c>
      <c r="M3883" s="27" t="str">
        <f aca="false">IF(OR(G3883="",G3883="?"),"",IFERROR(INDEX(Pubs!$D$2:$D$3001,MATCH(G3883,Pubs!$A$2:$A$3001,0))&amp;"",""))</f>
        <v/>
      </c>
      <c r="N3883" s="27" t="n">
        <f aca="false">N(N3882)+IF(AND(A3883&lt;&gt;"",OR(Recherche!$C$4="",A3883=Recherche!$C$4),OR(Recherche!$C$5="",B3883&amp;""=Recherche!$C$5&amp;""),OR(Recherche!$C$6="",IFERROR(YEAR(L3883),0)=Recherche!$C$6),OR(Recherche!$C$7="",ISNUMBER(SEARCH(Recherche!$C$7,H3883))),OR(Recherche!$C$8="",J3883=Recherche!$C$8),OR(Recherche!$C$9="",I3883=Recherche!$C$9),OR(Recherche!$C$10="",G3883&amp;""=Recherche!$C$10&amp;""),OR(Recherche!$C$11="",E3883=Recherche!$C$11),OR(Recherche!$C$12="",ISNUMBER(SEARCH(Recherche!$C$12,M3883&amp;" "&amp;F3883)))),1,0)</f>
        <v>8</v>
      </c>
    </row>
    <row r="3884" customFormat="false" ht="15" hidden="false" customHeight="false" outlineLevel="0" collapsed="false">
      <c r="A3884" s="19"/>
      <c r="B3884" s="19"/>
      <c r="C3884" s="19"/>
      <c r="D3884" s="19"/>
      <c r="E3884" s="22"/>
      <c r="F3884" s="19"/>
      <c r="G3884" s="26" t="str">
        <f aca="false">IF(D3884="","",IFERROR(VALUE(LEFT(D3884,FIND(" |",D3884&amp;" |")-1)),"?"))</f>
        <v/>
      </c>
      <c r="H3884" s="27" t="str">
        <f aca="false">IF(G3884="","",IF(G3884="?","⚠ pub inconnue",IFERROR(INDEX(Pubs!$B$2:$B$3001,MATCH(G3884,Pubs!$A$2:$A$3001,0))&amp;"","⚠ pub inconnue")))</f>
        <v/>
      </c>
      <c r="I3884" s="27" t="str">
        <f aca="false">IF(OR(G3884="",G3884="?"),"",IFERROR(INDEX(Pubs!$C$2:$C$3001,MATCH(G3884,Pubs!$A$2:$A$3001,0))&amp;"",""))</f>
        <v/>
      </c>
      <c r="J3884" s="27" t="str">
        <f aca="false">IF(OR(G3884="",G3884="?"),"",IFERROR(INDEX(Pubs!$G$2:$G$3001,MATCH(G3884,Pubs!$A$2:$A$3001,0))&amp;"",""))</f>
        <v/>
      </c>
      <c r="K3884" s="28" t="str">
        <f aca="false">IF(OR(G3884="",G3884="?"),"",IFERROR(INDEX(Pubs!$E$2:$E$3001,MATCH(G3884,Pubs!$A$2:$A$3001,0)),""))</f>
        <v/>
      </c>
      <c r="L3884" s="29" t="str">
        <f aca="false">IF(A3884="","",IFERROR(1/(1/INDEX(Numéros!$C$2:$C$3001,MATCH(A3884&amp;"|"&amp;B3884,Numéros!$F$2:$F$3001,0))),""))</f>
        <v/>
      </c>
      <c r="M3884" s="27" t="str">
        <f aca="false">IF(OR(G3884="",G3884="?"),"",IFERROR(INDEX(Pubs!$D$2:$D$3001,MATCH(G3884,Pubs!$A$2:$A$3001,0))&amp;"",""))</f>
        <v/>
      </c>
      <c r="N3884" s="27" t="n">
        <f aca="false">N(N3883)+IF(AND(A3884&lt;&gt;"",OR(Recherche!$C$4="",A3884=Recherche!$C$4),OR(Recherche!$C$5="",B3884&amp;""=Recherche!$C$5&amp;""),OR(Recherche!$C$6="",IFERROR(YEAR(L3884),0)=Recherche!$C$6),OR(Recherche!$C$7="",ISNUMBER(SEARCH(Recherche!$C$7,H3884))),OR(Recherche!$C$8="",J3884=Recherche!$C$8),OR(Recherche!$C$9="",I3884=Recherche!$C$9),OR(Recherche!$C$10="",G3884&amp;""=Recherche!$C$10&amp;""),OR(Recherche!$C$11="",E3884=Recherche!$C$11),OR(Recherche!$C$12="",ISNUMBER(SEARCH(Recherche!$C$12,M3884&amp;" "&amp;F3884)))),1,0)</f>
        <v>8</v>
      </c>
    </row>
    <row r="3885" customFormat="false" ht="15" hidden="false" customHeight="false" outlineLevel="0" collapsed="false">
      <c r="A3885" s="19"/>
      <c r="B3885" s="19"/>
      <c r="C3885" s="19"/>
      <c r="D3885" s="19"/>
      <c r="E3885" s="22"/>
      <c r="F3885" s="19"/>
      <c r="G3885" s="26" t="str">
        <f aca="false">IF(D3885="","",IFERROR(VALUE(LEFT(D3885,FIND(" |",D3885&amp;" |")-1)),"?"))</f>
        <v/>
      </c>
      <c r="H3885" s="27" t="str">
        <f aca="false">IF(G3885="","",IF(G3885="?","⚠ pub inconnue",IFERROR(INDEX(Pubs!$B$2:$B$3001,MATCH(G3885,Pubs!$A$2:$A$3001,0))&amp;"","⚠ pub inconnue")))</f>
        <v/>
      </c>
      <c r="I3885" s="27" t="str">
        <f aca="false">IF(OR(G3885="",G3885="?"),"",IFERROR(INDEX(Pubs!$C$2:$C$3001,MATCH(G3885,Pubs!$A$2:$A$3001,0))&amp;"",""))</f>
        <v/>
      </c>
      <c r="J3885" s="27" t="str">
        <f aca="false">IF(OR(G3885="",G3885="?"),"",IFERROR(INDEX(Pubs!$G$2:$G$3001,MATCH(G3885,Pubs!$A$2:$A$3001,0))&amp;"",""))</f>
        <v/>
      </c>
      <c r="K3885" s="28" t="str">
        <f aca="false">IF(OR(G3885="",G3885="?"),"",IFERROR(INDEX(Pubs!$E$2:$E$3001,MATCH(G3885,Pubs!$A$2:$A$3001,0)),""))</f>
        <v/>
      </c>
      <c r="L3885" s="29" t="str">
        <f aca="false">IF(A3885="","",IFERROR(1/(1/INDEX(Numéros!$C$2:$C$3001,MATCH(A3885&amp;"|"&amp;B3885,Numéros!$F$2:$F$3001,0))),""))</f>
        <v/>
      </c>
      <c r="M3885" s="27" t="str">
        <f aca="false">IF(OR(G3885="",G3885="?"),"",IFERROR(INDEX(Pubs!$D$2:$D$3001,MATCH(G3885,Pubs!$A$2:$A$3001,0))&amp;"",""))</f>
        <v/>
      </c>
      <c r="N3885" s="27" t="n">
        <f aca="false">N(N3884)+IF(AND(A3885&lt;&gt;"",OR(Recherche!$C$4="",A3885=Recherche!$C$4),OR(Recherche!$C$5="",B3885&amp;""=Recherche!$C$5&amp;""),OR(Recherche!$C$6="",IFERROR(YEAR(L3885),0)=Recherche!$C$6),OR(Recherche!$C$7="",ISNUMBER(SEARCH(Recherche!$C$7,H3885))),OR(Recherche!$C$8="",J3885=Recherche!$C$8),OR(Recherche!$C$9="",I3885=Recherche!$C$9),OR(Recherche!$C$10="",G3885&amp;""=Recherche!$C$10&amp;""),OR(Recherche!$C$11="",E3885=Recherche!$C$11),OR(Recherche!$C$12="",ISNUMBER(SEARCH(Recherche!$C$12,M3885&amp;" "&amp;F3885)))),1,0)</f>
        <v>8</v>
      </c>
    </row>
    <row r="3886" customFormat="false" ht="15" hidden="false" customHeight="false" outlineLevel="0" collapsed="false">
      <c r="A3886" s="19"/>
      <c r="B3886" s="19"/>
      <c r="C3886" s="19"/>
      <c r="D3886" s="19"/>
      <c r="E3886" s="22"/>
      <c r="F3886" s="19"/>
      <c r="G3886" s="26" t="str">
        <f aca="false">IF(D3886="","",IFERROR(VALUE(LEFT(D3886,FIND(" |",D3886&amp;" |")-1)),"?"))</f>
        <v/>
      </c>
      <c r="H3886" s="27" t="str">
        <f aca="false">IF(G3886="","",IF(G3886="?","⚠ pub inconnue",IFERROR(INDEX(Pubs!$B$2:$B$3001,MATCH(G3886,Pubs!$A$2:$A$3001,0))&amp;"","⚠ pub inconnue")))</f>
        <v/>
      </c>
      <c r="I3886" s="27" t="str">
        <f aca="false">IF(OR(G3886="",G3886="?"),"",IFERROR(INDEX(Pubs!$C$2:$C$3001,MATCH(G3886,Pubs!$A$2:$A$3001,0))&amp;"",""))</f>
        <v/>
      </c>
      <c r="J3886" s="27" t="str">
        <f aca="false">IF(OR(G3886="",G3886="?"),"",IFERROR(INDEX(Pubs!$G$2:$G$3001,MATCH(G3886,Pubs!$A$2:$A$3001,0))&amp;"",""))</f>
        <v/>
      </c>
      <c r="K3886" s="28" t="str">
        <f aca="false">IF(OR(G3886="",G3886="?"),"",IFERROR(INDEX(Pubs!$E$2:$E$3001,MATCH(G3886,Pubs!$A$2:$A$3001,0)),""))</f>
        <v/>
      </c>
      <c r="L3886" s="29" t="str">
        <f aca="false">IF(A3886="","",IFERROR(1/(1/INDEX(Numéros!$C$2:$C$3001,MATCH(A3886&amp;"|"&amp;B3886,Numéros!$F$2:$F$3001,0))),""))</f>
        <v/>
      </c>
      <c r="M3886" s="27" t="str">
        <f aca="false">IF(OR(G3886="",G3886="?"),"",IFERROR(INDEX(Pubs!$D$2:$D$3001,MATCH(G3886,Pubs!$A$2:$A$3001,0))&amp;"",""))</f>
        <v/>
      </c>
      <c r="N3886" s="27" t="n">
        <f aca="false">N(N3885)+IF(AND(A3886&lt;&gt;"",OR(Recherche!$C$4="",A3886=Recherche!$C$4),OR(Recherche!$C$5="",B3886&amp;""=Recherche!$C$5&amp;""),OR(Recherche!$C$6="",IFERROR(YEAR(L3886),0)=Recherche!$C$6),OR(Recherche!$C$7="",ISNUMBER(SEARCH(Recherche!$C$7,H3886))),OR(Recherche!$C$8="",J3886=Recherche!$C$8),OR(Recherche!$C$9="",I3886=Recherche!$C$9),OR(Recherche!$C$10="",G3886&amp;""=Recherche!$C$10&amp;""),OR(Recherche!$C$11="",E3886=Recherche!$C$11),OR(Recherche!$C$12="",ISNUMBER(SEARCH(Recherche!$C$12,M3886&amp;" "&amp;F3886)))),1,0)</f>
        <v>8</v>
      </c>
    </row>
    <row r="3887" customFormat="false" ht="15" hidden="false" customHeight="false" outlineLevel="0" collapsed="false">
      <c r="A3887" s="19"/>
      <c r="B3887" s="19"/>
      <c r="C3887" s="19"/>
      <c r="D3887" s="19"/>
      <c r="E3887" s="22"/>
      <c r="F3887" s="19"/>
      <c r="G3887" s="26" t="str">
        <f aca="false">IF(D3887="","",IFERROR(VALUE(LEFT(D3887,FIND(" |",D3887&amp;" |")-1)),"?"))</f>
        <v/>
      </c>
      <c r="H3887" s="27" t="str">
        <f aca="false">IF(G3887="","",IF(G3887="?","⚠ pub inconnue",IFERROR(INDEX(Pubs!$B$2:$B$3001,MATCH(G3887,Pubs!$A$2:$A$3001,0))&amp;"","⚠ pub inconnue")))</f>
        <v/>
      </c>
      <c r="I3887" s="27" t="str">
        <f aca="false">IF(OR(G3887="",G3887="?"),"",IFERROR(INDEX(Pubs!$C$2:$C$3001,MATCH(G3887,Pubs!$A$2:$A$3001,0))&amp;"",""))</f>
        <v/>
      </c>
      <c r="J3887" s="27" t="str">
        <f aca="false">IF(OR(G3887="",G3887="?"),"",IFERROR(INDEX(Pubs!$G$2:$G$3001,MATCH(G3887,Pubs!$A$2:$A$3001,0))&amp;"",""))</f>
        <v/>
      </c>
      <c r="K3887" s="28" t="str">
        <f aca="false">IF(OR(G3887="",G3887="?"),"",IFERROR(INDEX(Pubs!$E$2:$E$3001,MATCH(G3887,Pubs!$A$2:$A$3001,0)),""))</f>
        <v/>
      </c>
      <c r="L3887" s="29" t="str">
        <f aca="false">IF(A3887="","",IFERROR(1/(1/INDEX(Numéros!$C$2:$C$3001,MATCH(A3887&amp;"|"&amp;B3887,Numéros!$F$2:$F$3001,0))),""))</f>
        <v/>
      </c>
      <c r="M3887" s="27" t="str">
        <f aca="false">IF(OR(G3887="",G3887="?"),"",IFERROR(INDEX(Pubs!$D$2:$D$3001,MATCH(G3887,Pubs!$A$2:$A$3001,0))&amp;"",""))</f>
        <v/>
      </c>
      <c r="N3887" s="27" t="n">
        <f aca="false">N(N3886)+IF(AND(A3887&lt;&gt;"",OR(Recherche!$C$4="",A3887=Recherche!$C$4),OR(Recherche!$C$5="",B3887&amp;""=Recherche!$C$5&amp;""),OR(Recherche!$C$6="",IFERROR(YEAR(L3887),0)=Recherche!$C$6),OR(Recherche!$C$7="",ISNUMBER(SEARCH(Recherche!$C$7,H3887))),OR(Recherche!$C$8="",J3887=Recherche!$C$8),OR(Recherche!$C$9="",I3887=Recherche!$C$9),OR(Recherche!$C$10="",G3887&amp;""=Recherche!$C$10&amp;""),OR(Recherche!$C$11="",E3887=Recherche!$C$11),OR(Recherche!$C$12="",ISNUMBER(SEARCH(Recherche!$C$12,M3887&amp;" "&amp;F3887)))),1,0)</f>
        <v>8</v>
      </c>
    </row>
    <row r="3888" customFormat="false" ht="15" hidden="false" customHeight="false" outlineLevel="0" collapsed="false">
      <c r="A3888" s="19"/>
      <c r="B3888" s="19"/>
      <c r="C3888" s="19"/>
      <c r="D3888" s="19"/>
      <c r="E3888" s="22"/>
      <c r="F3888" s="19"/>
      <c r="G3888" s="26" t="str">
        <f aca="false">IF(D3888="","",IFERROR(VALUE(LEFT(D3888,FIND(" |",D3888&amp;" |")-1)),"?"))</f>
        <v/>
      </c>
      <c r="H3888" s="27" t="str">
        <f aca="false">IF(G3888="","",IF(G3888="?","⚠ pub inconnue",IFERROR(INDEX(Pubs!$B$2:$B$3001,MATCH(G3888,Pubs!$A$2:$A$3001,0))&amp;"","⚠ pub inconnue")))</f>
        <v/>
      </c>
      <c r="I3888" s="27" t="str">
        <f aca="false">IF(OR(G3888="",G3888="?"),"",IFERROR(INDEX(Pubs!$C$2:$C$3001,MATCH(G3888,Pubs!$A$2:$A$3001,0))&amp;"",""))</f>
        <v/>
      </c>
      <c r="J3888" s="27" t="str">
        <f aca="false">IF(OR(G3888="",G3888="?"),"",IFERROR(INDEX(Pubs!$G$2:$G$3001,MATCH(G3888,Pubs!$A$2:$A$3001,0))&amp;"",""))</f>
        <v/>
      </c>
      <c r="K3888" s="28" t="str">
        <f aca="false">IF(OR(G3888="",G3888="?"),"",IFERROR(INDEX(Pubs!$E$2:$E$3001,MATCH(G3888,Pubs!$A$2:$A$3001,0)),""))</f>
        <v/>
      </c>
      <c r="L3888" s="29" t="str">
        <f aca="false">IF(A3888="","",IFERROR(1/(1/INDEX(Numéros!$C$2:$C$3001,MATCH(A3888&amp;"|"&amp;B3888,Numéros!$F$2:$F$3001,0))),""))</f>
        <v/>
      </c>
      <c r="M3888" s="27" t="str">
        <f aca="false">IF(OR(G3888="",G3888="?"),"",IFERROR(INDEX(Pubs!$D$2:$D$3001,MATCH(G3888,Pubs!$A$2:$A$3001,0))&amp;"",""))</f>
        <v/>
      </c>
      <c r="N3888" s="27" t="n">
        <f aca="false">N(N3887)+IF(AND(A3888&lt;&gt;"",OR(Recherche!$C$4="",A3888=Recherche!$C$4),OR(Recherche!$C$5="",B3888&amp;""=Recherche!$C$5&amp;""),OR(Recherche!$C$6="",IFERROR(YEAR(L3888),0)=Recherche!$C$6),OR(Recherche!$C$7="",ISNUMBER(SEARCH(Recherche!$C$7,H3888))),OR(Recherche!$C$8="",J3888=Recherche!$C$8),OR(Recherche!$C$9="",I3888=Recherche!$C$9),OR(Recherche!$C$10="",G3888&amp;""=Recherche!$C$10&amp;""),OR(Recherche!$C$11="",E3888=Recherche!$C$11),OR(Recherche!$C$12="",ISNUMBER(SEARCH(Recherche!$C$12,M3888&amp;" "&amp;F3888)))),1,0)</f>
        <v>8</v>
      </c>
    </row>
    <row r="3889" customFormat="false" ht="15" hidden="false" customHeight="false" outlineLevel="0" collapsed="false">
      <c r="A3889" s="19"/>
      <c r="B3889" s="19"/>
      <c r="C3889" s="19"/>
      <c r="D3889" s="19"/>
      <c r="E3889" s="22"/>
      <c r="F3889" s="19"/>
      <c r="G3889" s="26" t="str">
        <f aca="false">IF(D3889="","",IFERROR(VALUE(LEFT(D3889,FIND(" |",D3889&amp;" |")-1)),"?"))</f>
        <v/>
      </c>
      <c r="H3889" s="27" t="str">
        <f aca="false">IF(G3889="","",IF(G3889="?","⚠ pub inconnue",IFERROR(INDEX(Pubs!$B$2:$B$3001,MATCH(G3889,Pubs!$A$2:$A$3001,0))&amp;"","⚠ pub inconnue")))</f>
        <v/>
      </c>
      <c r="I3889" s="27" t="str">
        <f aca="false">IF(OR(G3889="",G3889="?"),"",IFERROR(INDEX(Pubs!$C$2:$C$3001,MATCH(G3889,Pubs!$A$2:$A$3001,0))&amp;"",""))</f>
        <v/>
      </c>
      <c r="J3889" s="27" t="str">
        <f aca="false">IF(OR(G3889="",G3889="?"),"",IFERROR(INDEX(Pubs!$G$2:$G$3001,MATCH(G3889,Pubs!$A$2:$A$3001,0))&amp;"",""))</f>
        <v/>
      </c>
      <c r="K3889" s="28" t="str">
        <f aca="false">IF(OR(G3889="",G3889="?"),"",IFERROR(INDEX(Pubs!$E$2:$E$3001,MATCH(G3889,Pubs!$A$2:$A$3001,0)),""))</f>
        <v/>
      </c>
      <c r="L3889" s="29" t="str">
        <f aca="false">IF(A3889="","",IFERROR(1/(1/INDEX(Numéros!$C$2:$C$3001,MATCH(A3889&amp;"|"&amp;B3889,Numéros!$F$2:$F$3001,0))),""))</f>
        <v/>
      </c>
      <c r="M3889" s="27" t="str">
        <f aca="false">IF(OR(G3889="",G3889="?"),"",IFERROR(INDEX(Pubs!$D$2:$D$3001,MATCH(G3889,Pubs!$A$2:$A$3001,0))&amp;"",""))</f>
        <v/>
      </c>
      <c r="N3889" s="27" t="n">
        <f aca="false">N(N3888)+IF(AND(A3889&lt;&gt;"",OR(Recherche!$C$4="",A3889=Recherche!$C$4),OR(Recherche!$C$5="",B3889&amp;""=Recherche!$C$5&amp;""),OR(Recherche!$C$6="",IFERROR(YEAR(L3889),0)=Recherche!$C$6),OR(Recherche!$C$7="",ISNUMBER(SEARCH(Recherche!$C$7,H3889))),OR(Recherche!$C$8="",J3889=Recherche!$C$8),OR(Recherche!$C$9="",I3889=Recherche!$C$9),OR(Recherche!$C$10="",G3889&amp;""=Recherche!$C$10&amp;""),OR(Recherche!$C$11="",E3889=Recherche!$C$11),OR(Recherche!$C$12="",ISNUMBER(SEARCH(Recherche!$C$12,M3889&amp;" "&amp;F3889)))),1,0)</f>
        <v>8</v>
      </c>
    </row>
    <row r="3890" customFormat="false" ht="15" hidden="false" customHeight="false" outlineLevel="0" collapsed="false">
      <c r="A3890" s="19"/>
      <c r="B3890" s="19"/>
      <c r="C3890" s="19"/>
      <c r="D3890" s="19"/>
      <c r="E3890" s="22"/>
      <c r="F3890" s="19"/>
      <c r="G3890" s="26" t="str">
        <f aca="false">IF(D3890="","",IFERROR(VALUE(LEFT(D3890,FIND(" |",D3890&amp;" |")-1)),"?"))</f>
        <v/>
      </c>
      <c r="H3890" s="27" t="str">
        <f aca="false">IF(G3890="","",IF(G3890="?","⚠ pub inconnue",IFERROR(INDEX(Pubs!$B$2:$B$3001,MATCH(G3890,Pubs!$A$2:$A$3001,0))&amp;"","⚠ pub inconnue")))</f>
        <v/>
      </c>
      <c r="I3890" s="27" t="str">
        <f aca="false">IF(OR(G3890="",G3890="?"),"",IFERROR(INDEX(Pubs!$C$2:$C$3001,MATCH(G3890,Pubs!$A$2:$A$3001,0))&amp;"",""))</f>
        <v/>
      </c>
      <c r="J3890" s="27" t="str">
        <f aca="false">IF(OR(G3890="",G3890="?"),"",IFERROR(INDEX(Pubs!$G$2:$G$3001,MATCH(G3890,Pubs!$A$2:$A$3001,0))&amp;"",""))</f>
        <v/>
      </c>
      <c r="K3890" s="28" t="str">
        <f aca="false">IF(OR(G3890="",G3890="?"),"",IFERROR(INDEX(Pubs!$E$2:$E$3001,MATCH(G3890,Pubs!$A$2:$A$3001,0)),""))</f>
        <v/>
      </c>
      <c r="L3890" s="29" t="str">
        <f aca="false">IF(A3890="","",IFERROR(1/(1/INDEX(Numéros!$C$2:$C$3001,MATCH(A3890&amp;"|"&amp;B3890,Numéros!$F$2:$F$3001,0))),""))</f>
        <v/>
      </c>
      <c r="M3890" s="27" t="str">
        <f aca="false">IF(OR(G3890="",G3890="?"),"",IFERROR(INDEX(Pubs!$D$2:$D$3001,MATCH(G3890,Pubs!$A$2:$A$3001,0))&amp;"",""))</f>
        <v/>
      </c>
      <c r="N3890" s="27" t="n">
        <f aca="false">N(N3889)+IF(AND(A3890&lt;&gt;"",OR(Recherche!$C$4="",A3890=Recherche!$C$4),OR(Recherche!$C$5="",B3890&amp;""=Recherche!$C$5&amp;""),OR(Recherche!$C$6="",IFERROR(YEAR(L3890),0)=Recherche!$C$6),OR(Recherche!$C$7="",ISNUMBER(SEARCH(Recherche!$C$7,H3890))),OR(Recherche!$C$8="",J3890=Recherche!$C$8),OR(Recherche!$C$9="",I3890=Recherche!$C$9),OR(Recherche!$C$10="",G3890&amp;""=Recherche!$C$10&amp;""),OR(Recherche!$C$11="",E3890=Recherche!$C$11),OR(Recherche!$C$12="",ISNUMBER(SEARCH(Recherche!$C$12,M3890&amp;" "&amp;F3890)))),1,0)</f>
        <v>8</v>
      </c>
    </row>
    <row r="3891" customFormat="false" ht="15" hidden="false" customHeight="false" outlineLevel="0" collapsed="false">
      <c r="A3891" s="19"/>
      <c r="B3891" s="19"/>
      <c r="C3891" s="19"/>
      <c r="D3891" s="19"/>
      <c r="E3891" s="22"/>
      <c r="F3891" s="19"/>
      <c r="G3891" s="26" t="str">
        <f aca="false">IF(D3891="","",IFERROR(VALUE(LEFT(D3891,FIND(" |",D3891&amp;" |")-1)),"?"))</f>
        <v/>
      </c>
      <c r="H3891" s="27" t="str">
        <f aca="false">IF(G3891="","",IF(G3891="?","⚠ pub inconnue",IFERROR(INDEX(Pubs!$B$2:$B$3001,MATCH(G3891,Pubs!$A$2:$A$3001,0))&amp;"","⚠ pub inconnue")))</f>
        <v/>
      </c>
      <c r="I3891" s="27" t="str">
        <f aca="false">IF(OR(G3891="",G3891="?"),"",IFERROR(INDEX(Pubs!$C$2:$C$3001,MATCH(G3891,Pubs!$A$2:$A$3001,0))&amp;"",""))</f>
        <v/>
      </c>
      <c r="J3891" s="27" t="str">
        <f aca="false">IF(OR(G3891="",G3891="?"),"",IFERROR(INDEX(Pubs!$G$2:$G$3001,MATCH(G3891,Pubs!$A$2:$A$3001,0))&amp;"",""))</f>
        <v/>
      </c>
      <c r="K3891" s="28" t="str">
        <f aca="false">IF(OR(G3891="",G3891="?"),"",IFERROR(INDEX(Pubs!$E$2:$E$3001,MATCH(G3891,Pubs!$A$2:$A$3001,0)),""))</f>
        <v/>
      </c>
      <c r="L3891" s="29" t="str">
        <f aca="false">IF(A3891="","",IFERROR(1/(1/INDEX(Numéros!$C$2:$C$3001,MATCH(A3891&amp;"|"&amp;B3891,Numéros!$F$2:$F$3001,0))),""))</f>
        <v/>
      </c>
      <c r="M3891" s="27" t="str">
        <f aca="false">IF(OR(G3891="",G3891="?"),"",IFERROR(INDEX(Pubs!$D$2:$D$3001,MATCH(G3891,Pubs!$A$2:$A$3001,0))&amp;"",""))</f>
        <v/>
      </c>
      <c r="N3891" s="27" t="n">
        <f aca="false">N(N3890)+IF(AND(A3891&lt;&gt;"",OR(Recherche!$C$4="",A3891=Recherche!$C$4),OR(Recherche!$C$5="",B3891&amp;""=Recherche!$C$5&amp;""),OR(Recherche!$C$6="",IFERROR(YEAR(L3891),0)=Recherche!$C$6),OR(Recherche!$C$7="",ISNUMBER(SEARCH(Recherche!$C$7,H3891))),OR(Recherche!$C$8="",J3891=Recherche!$C$8),OR(Recherche!$C$9="",I3891=Recherche!$C$9),OR(Recherche!$C$10="",G3891&amp;""=Recherche!$C$10&amp;""),OR(Recherche!$C$11="",E3891=Recherche!$C$11),OR(Recherche!$C$12="",ISNUMBER(SEARCH(Recherche!$C$12,M3891&amp;" "&amp;F3891)))),1,0)</f>
        <v>8</v>
      </c>
    </row>
    <row r="3892" customFormat="false" ht="15" hidden="false" customHeight="false" outlineLevel="0" collapsed="false">
      <c r="A3892" s="19"/>
      <c r="B3892" s="19"/>
      <c r="C3892" s="19"/>
      <c r="D3892" s="19"/>
      <c r="E3892" s="22"/>
      <c r="F3892" s="19"/>
      <c r="G3892" s="26" t="str">
        <f aca="false">IF(D3892="","",IFERROR(VALUE(LEFT(D3892,FIND(" |",D3892&amp;" |")-1)),"?"))</f>
        <v/>
      </c>
      <c r="H3892" s="27" t="str">
        <f aca="false">IF(G3892="","",IF(G3892="?","⚠ pub inconnue",IFERROR(INDEX(Pubs!$B$2:$B$3001,MATCH(G3892,Pubs!$A$2:$A$3001,0))&amp;"","⚠ pub inconnue")))</f>
        <v/>
      </c>
      <c r="I3892" s="27" t="str">
        <f aca="false">IF(OR(G3892="",G3892="?"),"",IFERROR(INDEX(Pubs!$C$2:$C$3001,MATCH(G3892,Pubs!$A$2:$A$3001,0))&amp;"",""))</f>
        <v/>
      </c>
      <c r="J3892" s="27" t="str">
        <f aca="false">IF(OR(G3892="",G3892="?"),"",IFERROR(INDEX(Pubs!$G$2:$G$3001,MATCH(G3892,Pubs!$A$2:$A$3001,0))&amp;"",""))</f>
        <v/>
      </c>
      <c r="K3892" s="28" t="str">
        <f aca="false">IF(OR(G3892="",G3892="?"),"",IFERROR(INDEX(Pubs!$E$2:$E$3001,MATCH(G3892,Pubs!$A$2:$A$3001,0)),""))</f>
        <v/>
      </c>
      <c r="L3892" s="29" t="str">
        <f aca="false">IF(A3892="","",IFERROR(1/(1/INDEX(Numéros!$C$2:$C$3001,MATCH(A3892&amp;"|"&amp;B3892,Numéros!$F$2:$F$3001,0))),""))</f>
        <v/>
      </c>
      <c r="M3892" s="27" t="str">
        <f aca="false">IF(OR(G3892="",G3892="?"),"",IFERROR(INDEX(Pubs!$D$2:$D$3001,MATCH(G3892,Pubs!$A$2:$A$3001,0))&amp;"",""))</f>
        <v/>
      </c>
      <c r="N3892" s="27" t="n">
        <f aca="false">N(N3891)+IF(AND(A3892&lt;&gt;"",OR(Recherche!$C$4="",A3892=Recherche!$C$4),OR(Recherche!$C$5="",B3892&amp;""=Recherche!$C$5&amp;""),OR(Recherche!$C$6="",IFERROR(YEAR(L3892),0)=Recherche!$C$6),OR(Recherche!$C$7="",ISNUMBER(SEARCH(Recherche!$C$7,H3892))),OR(Recherche!$C$8="",J3892=Recherche!$C$8),OR(Recherche!$C$9="",I3892=Recherche!$C$9),OR(Recherche!$C$10="",G3892&amp;""=Recherche!$C$10&amp;""),OR(Recherche!$C$11="",E3892=Recherche!$C$11),OR(Recherche!$C$12="",ISNUMBER(SEARCH(Recherche!$C$12,M3892&amp;" "&amp;F3892)))),1,0)</f>
        <v>8</v>
      </c>
    </row>
    <row r="3893" customFormat="false" ht="15" hidden="false" customHeight="false" outlineLevel="0" collapsed="false">
      <c r="A3893" s="19"/>
      <c r="B3893" s="19"/>
      <c r="C3893" s="19"/>
      <c r="D3893" s="19"/>
      <c r="E3893" s="22"/>
      <c r="F3893" s="19"/>
      <c r="G3893" s="26" t="str">
        <f aca="false">IF(D3893="","",IFERROR(VALUE(LEFT(D3893,FIND(" |",D3893&amp;" |")-1)),"?"))</f>
        <v/>
      </c>
      <c r="H3893" s="27" t="str">
        <f aca="false">IF(G3893="","",IF(G3893="?","⚠ pub inconnue",IFERROR(INDEX(Pubs!$B$2:$B$3001,MATCH(G3893,Pubs!$A$2:$A$3001,0))&amp;"","⚠ pub inconnue")))</f>
        <v/>
      </c>
      <c r="I3893" s="27" t="str">
        <f aca="false">IF(OR(G3893="",G3893="?"),"",IFERROR(INDEX(Pubs!$C$2:$C$3001,MATCH(G3893,Pubs!$A$2:$A$3001,0))&amp;"",""))</f>
        <v/>
      </c>
      <c r="J3893" s="27" t="str">
        <f aca="false">IF(OR(G3893="",G3893="?"),"",IFERROR(INDEX(Pubs!$G$2:$G$3001,MATCH(G3893,Pubs!$A$2:$A$3001,0))&amp;"",""))</f>
        <v/>
      </c>
      <c r="K3893" s="28" t="str">
        <f aca="false">IF(OR(G3893="",G3893="?"),"",IFERROR(INDEX(Pubs!$E$2:$E$3001,MATCH(G3893,Pubs!$A$2:$A$3001,0)),""))</f>
        <v/>
      </c>
      <c r="L3893" s="29" t="str">
        <f aca="false">IF(A3893="","",IFERROR(1/(1/INDEX(Numéros!$C$2:$C$3001,MATCH(A3893&amp;"|"&amp;B3893,Numéros!$F$2:$F$3001,0))),""))</f>
        <v/>
      </c>
      <c r="M3893" s="27" t="str">
        <f aca="false">IF(OR(G3893="",G3893="?"),"",IFERROR(INDEX(Pubs!$D$2:$D$3001,MATCH(G3893,Pubs!$A$2:$A$3001,0))&amp;"",""))</f>
        <v/>
      </c>
      <c r="N3893" s="27" t="n">
        <f aca="false">N(N3892)+IF(AND(A3893&lt;&gt;"",OR(Recherche!$C$4="",A3893=Recherche!$C$4),OR(Recherche!$C$5="",B3893&amp;""=Recherche!$C$5&amp;""),OR(Recherche!$C$6="",IFERROR(YEAR(L3893),0)=Recherche!$C$6),OR(Recherche!$C$7="",ISNUMBER(SEARCH(Recherche!$C$7,H3893))),OR(Recherche!$C$8="",J3893=Recherche!$C$8),OR(Recherche!$C$9="",I3893=Recherche!$C$9),OR(Recherche!$C$10="",G3893&amp;""=Recherche!$C$10&amp;""),OR(Recherche!$C$11="",E3893=Recherche!$C$11),OR(Recherche!$C$12="",ISNUMBER(SEARCH(Recherche!$C$12,M3893&amp;" "&amp;F3893)))),1,0)</f>
        <v>8</v>
      </c>
    </row>
    <row r="3894" customFormat="false" ht="15" hidden="false" customHeight="false" outlineLevel="0" collapsed="false">
      <c r="A3894" s="19"/>
      <c r="B3894" s="19"/>
      <c r="C3894" s="19"/>
      <c r="D3894" s="19"/>
      <c r="E3894" s="22"/>
      <c r="F3894" s="19"/>
      <c r="G3894" s="26" t="str">
        <f aca="false">IF(D3894="","",IFERROR(VALUE(LEFT(D3894,FIND(" |",D3894&amp;" |")-1)),"?"))</f>
        <v/>
      </c>
      <c r="H3894" s="27" t="str">
        <f aca="false">IF(G3894="","",IF(G3894="?","⚠ pub inconnue",IFERROR(INDEX(Pubs!$B$2:$B$3001,MATCH(G3894,Pubs!$A$2:$A$3001,0))&amp;"","⚠ pub inconnue")))</f>
        <v/>
      </c>
      <c r="I3894" s="27" t="str">
        <f aca="false">IF(OR(G3894="",G3894="?"),"",IFERROR(INDEX(Pubs!$C$2:$C$3001,MATCH(G3894,Pubs!$A$2:$A$3001,0))&amp;"",""))</f>
        <v/>
      </c>
      <c r="J3894" s="27" t="str">
        <f aca="false">IF(OR(G3894="",G3894="?"),"",IFERROR(INDEX(Pubs!$G$2:$G$3001,MATCH(G3894,Pubs!$A$2:$A$3001,0))&amp;"",""))</f>
        <v/>
      </c>
      <c r="K3894" s="28" t="str">
        <f aca="false">IF(OR(G3894="",G3894="?"),"",IFERROR(INDEX(Pubs!$E$2:$E$3001,MATCH(G3894,Pubs!$A$2:$A$3001,0)),""))</f>
        <v/>
      </c>
      <c r="L3894" s="29" t="str">
        <f aca="false">IF(A3894="","",IFERROR(1/(1/INDEX(Numéros!$C$2:$C$3001,MATCH(A3894&amp;"|"&amp;B3894,Numéros!$F$2:$F$3001,0))),""))</f>
        <v/>
      </c>
      <c r="M3894" s="27" t="str">
        <f aca="false">IF(OR(G3894="",G3894="?"),"",IFERROR(INDEX(Pubs!$D$2:$D$3001,MATCH(G3894,Pubs!$A$2:$A$3001,0))&amp;"",""))</f>
        <v/>
      </c>
      <c r="N3894" s="27" t="n">
        <f aca="false">N(N3893)+IF(AND(A3894&lt;&gt;"",OR(Recherche!$C$4="",A3894=Recherche!$C$4),OR(Recherche!$C$5="",B3894&amp;""=Recherche!$C$5&amp;""),OR(Recherche!$C$6="",IFERROR(YEAR(L3894),0)=Recherche!$C$6),OR(Recherche!$C$7="",ISNUMBER(SEARCH(Recherche!$C$7,H3894))),OR(Recherche!$C$8="",J3894=Recherche!$C$8),OR(Recherche!$C$9="",I3894=Recherche!$C$9),OR(Recherche!$C$10="",G3894&amp;""=Recherche!$C$10&amp;""),OR(Recherche!$C$11="",E3894=Recherche!$C$11),OR(Recherche!$C$12="",ISNUMBER(SEARCH(Recherche!$C$12,M3894&amp;" "&amp;F3894)))),1,0)</f>
        <v>8</v>
      </c>
    </row>
    <row r="3895" customFormat="false" ht="15" hidden="false" customHeight="false" outlineLevel="0" collapsed="false">
      <c r="A3895" s="19"/>
      <c r="B3895" s="19"/>
      <c r="C3895" s="19"/>
      <c r="D3895" s="19"/>
      <c r="E3895" s="22"/>
      <c r="F3895" s="19"/>
      <c r="G3895" s="26" t="str">
        <f aca="false">IF(D3895="","",IFERROR(VALUE(LEFT(D3895,FIND(" |",D3895&amp;" |")-1)),"?"))</f>
        <v/>
      </c>
      <c r="H3895" s="27" t="str">
        <f aca="false">IF(G3895="","",IF(G3895="?","⚠ pub inconnue",IFERROR(INDEX(Pubs!$B$2:$B$3001,MATCH(G3895,Pubs!$A$2:$A$3001,0))&amp;"","⚠ pub inconnue")))</f>
        <v/>
      </c>
      <c r="I3895" s="27" t="str">
        <f aca="false">IF(OR(G3895="",G3895="?"),"",IFERROR(INDEX(Pubs!$C$2:$C$3001,MATCH(G3895,Pubs!$A$2:$A$3001,0))&amp;"",""))</f>
        <v/>
      </c>
      <c r="J3895" s="27" t="str">
        <f aca="false">IF(OR(G3895="",G3895="?"),"",IFERROR(INDEX(Pubs!$G$2:$G$3001,MATCH(G3895,Pubs!$A$2:$A$3001,0))&amp;"",""))</f>
        <v/>
      </c>
      <c r="K3895" s="28" t="str">
        <f aca="false">IF(OR(G3895="",G3895="?"),"",IFERROR(INDEX(Pubs!$E$2:$E$3001,MATCH(G3895,Pubs!$A$2:$A$3001,0)),""))</f>
        <v/>
      </c>
      <c r="L3895" s="29" t="str">
        <f aca="false">IF(A3895="","",IFERROR(1/(1/INDEX(Numéros!$C$2:$C$3001,MATCH(A3895&amp;"|"&amp;B3895,Numéros!$F$2:$F$3001,0))),""))</f>
        <v/>
      </c>
      <c r="M3895" s="27" t="str">
        <f aca="false">IF(OR(G3895="",G3895="?"),"",IFERROR(INDEX(Pubs!$D$2:$D$3001,MATCH(G3895,Pubs!$A$2:$A$3001,0))&amp;"",""))</f>
        <v/>
      </c>
      <c r="N3895" s="27" t="n">
        <f aca="false">N(N3894)+IF(AND(A3895&lt;&gt;"",OR(Recherche!$C$4="",A3895=Recherche!$C$4),OR(Recherche!$C$5="",B3895&amp;""=Recherche!$C$5&amp;""),OR(Recherche!$C$6="",IFERROR(YEAR(L3895),0)=Recherche!$C$6),OR(Recherche!$C$7="",ISNUMBER(SEARCH(Recherche!$C$7,H3895))),OR(Recherche!$C$8="",J3895=Recherche!$C$8),OR(Recherche!$C$9="",I3895=Recherche!$C$9),OR(Recherche!$C$10="",G3895&amp;""=Recherche!$C$10&amp;""),OR(Recherche!$C$11="",E3895=Recherche!$C$11),OR(Recherche!$C$12="",ISNUMBER(SEARCH(Recherche!$C$12,M3895&amp;" "&amp;F3895)))),1,0)</f>
        <v>8</v>
      </c>
    </row>
    <row r="3896" customFormat="false" ht="15" hidden="false" customHeight="false" outlineLevel="0" collapsed="false">
      <c r="A3896" s="19"/>
      <c r="B3896" s="19"/>
      <c r="C3896" s="19"/>
      <c r="D3896" s="19"/>
      <c r="E3896" s="22"/>
      <c r="F3896" s="19"/>
      <c r="G3896" s="26" t="str">
        <f aca="false">IF(D3896="","",IFERROR(VALUE(LEFT(D3896,FIND(" |",D3896&amp;" |")-1)),"?"))</f>
        <v/>
      </c>
      <c r="H3896" s="27" t="str">
        <f aca="false">IF(G3896="","",IF(G3896="?","⚠ pub inconnue",IFERROR(INDEX(Pubs!$B$2:$B$3001,MATCH(G3896,Pubs!$A$2:$A$3001,0))&amp;"","⚠ pub inconnue")))</f>
        <v/>
      </c>
      <c r="I3896" s="27" t="str">
        <f aca="false">IF(OR(G3896="",G3896="?"),"",IFERROR(INDEX(Pubs!$C$2:$C$3001,MATCH(G3896,Pubs!$A$2:$A$3001,0))&amp;"",""))</f>
        <v/>
      </c>
      <c r="J3896" s="27" t="str">
        <f aca="false">IF(OR(G3896="",G3896="?"),"",IFERROR(INDEX(Pubs!$G$2:$G$3001,MATCH(G3896,Pubs!$A$2:$A$3001,0))&amp;"",""))</f>
        <v/>
      </c>
      <c r="K3896" s="28" t="str">
        <f aca="false">IF(OR(G3896="",G3896="?"),"",IFERROR(INDEX(Pubs!$E$2:$E$3001,MATCH(G3896,Pubs!$A$2:$A$3001,0)),""))</f>
        <v/>
      </c>
      <c r="L3896" s="29" t="str">
        <f aca="false">IF(A3896="","",IFERROR(1/(1/INDEX(Numéros!$C$2:$C$3001,MATCH(A3896&amp;"|"&amp;B3896,Numéros!$F$2:$F$3001,0))),""))</f>
        <v/>
      </c>
      <c r="M3896" s="27" t="str">
        <f aca="false">IF(OR(G3896="",G3896="?"),"",IFERROR(INDEX(Pubs!$D$2:$D$3001,MATCH(G3896,Pubs!$A$2:$A$3001,0))&amp;"",""))</f>
        <v/>
      </c>
      <c r="N3896" s="27" t="n">
        <f aca="false">N(N3895)+IF(AND(A3896&lt;&gt;"",OR(Recherche!$C$4="",A3896=Recherche!$C$4),OR(Recherche!$C$5="",B3896&amp;""=Recherche!$C$5&amp;""),OR(Recherche!$C$6="",IFERROR(YEAR(L3896),0)=Recherche!$C$6),OR(Recherche!$C$7="",ISNUMBER(SEARCH(Recherche!$C$7,H3896))),OR(Recherche!$C$8="",J3896=Recherche!$C$8),OR(Recherche!$C$9="",I3896=Recherche!$C$9),OR(Recherche!$C$10="",G3896&amp;""=Recherche!$C$10&amp;""),OR(Recherche!$C$11="",E3896=Recherche!$C$11),OR(Recherche!$C$12="",ISNUMBER(SEARCH(Recherche!$C$12,M3896&amp;" "&amp;F3896)))),1,0)</f>
        <v>8</v>
      </c>
    </row>
    <row r="3897" customFormat="false" ht="15" hidden="false" customHeight="false" outlineLevel="0" collapsed="false">
      <c r="A3897" s="19"/>
      <c r="B3897" s="19"/>
      <c r="C3897" s="19"/>
      <c r="D3897" s="19"/>
      <c r="E3897" s="22"/>
      <c r="F3897" s="19"/>
      <c r="G3897" s="26" t="str">
        <f aca="false">IF(D3897="","",IFERROR(VALUE(LEFT(D3897,FIND(" |",D3897&amp;" |")-1)),"?"))</f>
        <v/>
      </c>
      <c r="H3897" s="27" t="str">
        <f aca="false">IF(G3897="","",IF(G3897="?","⚠ pub inconnue",IFERROR(INDEX(Pubs!$B$2:$B$3001,MATCH(G3897,Pubs!$A$2:$A$3001,0))&amp;"","⚠ pub inconnue")))</f>
        <v/>
      </c>
      <c r="I3897" s="27" t="str">
        <f aca="false">IF(OR(G3897="",G3897="?"),"",IFERROR(INDEX(Pubs!$C$2:$C$3001,MATCH(G3897,Pubs!$A$2:$A$3001,0))&amp;"",""))</f>
        <v/>
      </c>
      <c r="J3897" s="27" t="str">
        <f aca="false">IF(OR(G3897="",G3897="?"),"",IFERROR(INDEX(Pubs!$G$2:$G$3001,MATCH(G3897,Pubs!$A$2:$A$3001,0))&amp;"",""))</f>
        <v/>
      </c>
      <c r="K3897" s="28" t="str">
        <f aca="false">IF(OR(G3897="",G3897="?"),"",IFERROR(INDEX(Pubs!$E$2:$E$3001,MATCH(G3897,Pubs!$A$2:$A$3001,0)),""))</f>
        <v/>
      </c>
      <c r="L3897" s="29" t="str">
        <f aca="false">IF(A3897="","",IFERROR(1/(1/INDEX(Numéros!$C$2:$C$3001,MATCH(A3897&amp;"|"&amp;B3897,Numéros!$F$2:$F$3001,0))),""))</f>
        <v/>
      </c>
      <c r="M3897" s="27" t="str">
        <f aca="false">IF(OR(G3897="",G3897="?"),"",IFERROR(INDEX(Pubs!$D$2:$D$3001,MATCH(G3897,Pubs!$A$2:$A$3001,0))&amp;"",""))</f>
        <v/>
      </c>
      <c r="N3897" s="27" t="n">
        <f aca="false">N(N3896)+IF(AND(A3897&lt;&gt;"",OR(Recherche!$C$4="",A3897=Recherche!$C$4),OR(Recherche!$C$5="",B3897&amp;""=Recherche!$C$5&amp;""),OR(Recherche!$C$6="",IFERROR(YEAR(L3897),0)=Recherche!$C$6),OR(Recherche!$C$7="",ISNUMBER(SEARCH(Recherche!$C$7,H3897))),OR(Recherche!$C$8="",J3897=Recherche!$C$8),OR(Recherche!$C$9="",I3897=Recherche!$C$9),OR(Recherche!$C$10="",G3897&amp;""=Recherche!$C$10&amp;""),OR(Recherche!$C$11="",E3897=Recherche!$C$11),OR(Recherche!$C$12="",ISNUMBER(SEARCH(Recherche!$C$12,M3897&amp;" "&amp;F3897)))),1,0)</f>
        <v>8</v>
      </c>
    </row>
    <row r="3898" customFormat="false" ht="15" hidden="false" customHeight="false" outlineLevel="0" collapsed="false">
      <c r="A3898" s="19"/>
      <c r="B3898" s="19"/>
      <c r="C3898" s="19"/>
      <c r="D3898" s="19"/>
      <c r="E3898" s="22"/>
      <c r="F3898" s="19"/>
      <c r="G3898" s="26" t="str">
        <f aca="false">IF(D3898="","",IFERROR(VALUE(LEFT(D3898,FIND(" |",D3898&amp;" |")-1)),"?"))</f>
        <v/>
      </c>
      <c r="H3898" s="27" t="str">
        <f aca="false">IF(G3898="","",IF(G3898="?","⚠ pub inconnue",IFERROR(INDEX(Pubs!$B$2:$B$3001,MATCH(G3898,Pubs!$A$2:$A$3001,0))&amp;"","⚠ pub inconnue")))</f>
        <v/>
      </c>
      <c r="I3898" s="27" t="str">
        <f aca="false">IF(OR(G3898="",G3898="?"),"",IFERROR(INDEX(Pubs!$C$2:$C$3001,MATCH(G3898,Pubs!$A$2:$A$3001,0))&amp;"",""))</f>
        <v/>
      </c>
      <c r="J3898" s="27" t="str">
        <f aca="false">IF(OR(G3898="",G3898="?"),"",IFERROR(INDEX(Pubs!$G$2:$G$3001,MATCH(G3898,Pubs!$A$2:$A$3001,0))&amp;"",""))</f>
        <v/>
      </c>
      <c r="K3898" s="28" t="str">
        <f aca="false">IF(OR(G3898="",G3898="?"),"",IFERROR(INDEX(Pubs!$E$2:$E$3001,MATCH(G3898,Pubs!$A$2:$A$3001,0)),""))</f>
        <v/>
      </c>
      <c r="L3898" s="29" t="str">
        <f aca="false">IF(A3898="","",IFERROR(1/(1/INDEX(Numéros!$C$2:$C$3001,MATCH(A3898&amp;"|"&amp;B3898,Numéros!$F$2:$F$3001,0))),""))</f>
        <v/>
      </c>
      <c r="M3898" s="27" t="str">
        <f aca="false">IF(OR(G3898="",G3898="?"),"",IFERROR(INDEX(Pubs!$D$2:$D$3001,MATCH(G3898,Pubs!$A$2:$A$3001,0))&amp;"",""))</f>
        <v/>
      </c>
      <c r="N3898" s="27" t="n">
        <f aca="false">N(N3897)+IF(AND(A3898&lt;&gt;"",OR(Recherche!$C$4="",A3898=Recherche!$C$4),OR(Recherche!$C$5="",B3898&amp;""=Recherche!$C$5&amp;""),OR(Recherche!$C$6="",IFERROR(YEAR(L3898),0)=Recherche!$C$6),OR(Recherche!$C$7="",ISNUMBER(SEARCH(Recherche!$C$7,H3898))),OR(Recherche!$C$8="",J3898=Recherche!$C$8),OR(Recherche!$C$9="",I3898=Recherche!$C$9),OR(Recherche!$C$10="",G3898&amp;""=Recherche!$C$10&amp;""),OR(Recherche!$C$11="",E3898=Recherche!$C$11),OR(Recherche!$C$12="",ISNUMBER(SEARCH(Recherche!$C$12,M3898&amp;" "&amp;F3898)))),1,0)</f>
        <v>8</v>
      </c>
    </row>
    <row r="3899" customFormat="false" ht="15" hidden="false" customHeight="false" outlineLevel="0" collapsed="false">
      <c r="A3899" s="19"/>
      <c r="B3899" s="19"/>
      <c r="C3899" s="19"/>
      <c r="D3899" s="19"/>
      <c r="E3899" s="22"/>
      <c r="F3899" s="19"/>
      <c r="G3899" s="26" t="str">
        <f aca="false">IF(D3899="","",IFERROR(VALUE(LEFT(D3899,FIND(" |",D3899&amp;" |")-1)),"?"))</f>
        <v/>
      </c>
      <c r="H3899" s="27" t="str">
        <f aca="false">IF(G3899="","",IF(G3899="?","⚠ pub inconnue",IFERROR(INDEX(Pubs!$B$2:$B$3001,MATCH(G3899,Pubs!$A$2:$A$3001,0))&amp;"","⚠ pub inconnue")))</f>
        <v/>
      </c>
      <c r="I3899" s="27" t="str">
        <f aca="false">IF(OR(G3899="",G3899="?"),"",IFERROR(INDEX(Pubs!$C$2:$C$3001,MATCH(G3899,Pubs!$A$2:$A$3001,0))&amp;"",""))</f>
        <v/>
      </c>
      <c r="J3899" s="27" t="str">
        <f aca="false">IF(OR(G3899="",G3899="?"),"",IFERROR(INDEX(Pubs!$G$2:$G$3001,MATCH(G3899,Pubs!$A$2:$A$3001,0))&amp;"",""))</f>
        <v/>
      </c>
      <c r="K3899" s="28" t="str">
        <f aca="false">IF(OR(G3899="",G3899="?"),"",IFERROR(INDEX(Pubs!$E$2:$E$3001,MATCH(G3899,Pubs!$A$2:$A$3001,0)),""))</f>
        <v/>
      </c>
      <c r="L3899" s="29" t="str">
        <f aca="false">IF(A3899="","",IFERROR(1/(1/INDEX(Numéros!$C$2:$C$3001,MATCH(A3899&amp;"|"&amp;B3899,Numéros!$F$2:$F$3001,0))),""))</f>
        <v/>
      </c>
      <c r="M3899" s="27" t="str">
        <f aca="false">IF(OR(G3899="",G3899="?"),"",IFERROR(INDEX(Pubs!$D$2:$D$3001,MATCH(G3899,Pubs!$A$2:$A$3001,0))&amp;"",""))</f>
        <v/>
      </c>
      <c r="N3899" s="27" t="n">
        <f aca="false">N(N3898)+IF(AND(A3899&lt;&gt;"",OR(Recherche!$C$4="",A3899=Recherche!$C$4),OR(Recherche!$C$5="",B3899&amp;""=Recherche!$C$5&amp;""),OR(Recherche!$C$6="",IFERROR(YEAR(L3899),0)=Recherche!$C$6),OR(Recherche!$C$7="",ISNUMBER(SEARCH(Recherche!$C$7,H3899))),OR(Recherche!$C$8="",J3899=Recherche!$C$8),OR(Recherche!$C$9="",I3899=Recherche!$C$9),OR(Recherche!$C$10="",G3899&amp;""=Recherche!$C$10&amp;""),OR(Recherche!$C$11="",E3899=Recherche!$C$11),OR(Recherche!$C$12="",ISNUMBER(SEARCH(Recherche!$C$12,M3899&amp;" "&amp;F3899)))),1,0)</f>
        <v>8</v>
      </c>
    </row>
    <row r="3900" customFormat="false" ht="15" hidden="false" customHeight="false" outlineLevel="0" collapsed="false">
      <c r="A3900" s="19"/>
      <c r="B3900" s="19"/>
      <c r="C3900" s="19"/>
      <c r="D3900" s="19"/>
      <c r="E3900" s="22"/>
      <c r="F3900" s="19"/>
      <c r="G3900" s="26" t="str">
        <f aca="false">IF(D3900="","",IFERROR(VALUE(LEFT(D3900,FIND(" |",D3900&amp;" |")-1)),"?"))</f>
        <v/>
      </c>
      <c r="H3900" s="27" t="str">
        <f aca="false">IF(G3900="","",IF(G3900="?","⚠ pub inconnue",IFERROR(INDEX(Pubs!$B$2:$B$3001,MATCH(G3900,Pubs!$A$2:$A$3001,0))&amp;"","⚠ pub inconnue")))</f>
        <v/>
      </c>
      <c r="I3900" s="27" t="str">
        <f aca="false">IF(OR(G3900="",G3900="?"),"",IFERROR(INDEX(Pubs!$C$2:$C$3001,MATCH(G3900,Pubs!$A$2:$A$3001,0))&amp;"",""))</f>
        <v/>
      </c>
      <c r="J3900" s="27" t="str">
        <f aca="false">IF(OR(G3900="",G3900="?"),"",IFERROR(INDEX(Pubs!$G$2:$G$3001,MATCH(G3900,Pubs!$A$2:$A$3001,0))&amp;"",""))</f>
        <v/>
      </c>
      <c r="K3900" s="28" t="str">
        <f aca="false">IF(OR(G3900="",G3900="?"),"",IFERROR(INDEX(Pubs!$E$2:$E$3001,MATCH(G3900,Pubs!$A$2:$A$3001,0)),""))</f>
        <v/>
      </c>
      <c r="L3900" s="29" t="str">
        <f aca="false">IF(A3900="","",IFERROR(1/(1/INDEX(Numéros!$C$2:$C$3001,MATCH(A3900&amp;"|"&amp;B3900,Numéros!$F$2:$F$3001,0))),""))</f>
        <v/>
      </c>
      <c r="M3900" s="27" t="str">
        <f aca="false">IF(OR(G3900="",G3900="?"),"",IFERROR(INDEX(Pubs!$D$2:$D$3001,MATCH(G3900,Pubs!$A$2:$A$3001,0))&amp;"",""))</f>
        <v/>
      </c>
      <c r="N3900" s="27" t="n">
        <f aca="false">N(N3899)+IF(AND(A3900&lt;&gt;"",OR(Recherche!$C$4="",A3900=Recherche!$C$4),OR(Recherche!$C$5="",B3900&amp;""=Recherche!$C$5&amp;""),OR(Recherche!$C$6="",IFERROR(YEAR(L3900),0)=Recherche!$C$6),OR(Recherche!$C$7="",ISNUMBER(SEARCH(Recherche!$C$7,H3900))),OR(Recherche!$C$8="",J3900=Recherche!$C$8),OR(Recherche!$C$9="",I3900=Recherche!$C$9),OR(Recherche!$C$10="",G3900&amp;""=Recherche!$C$10&amp;""),OR(Recherche!$C$11="",E3900=Recherche!$C$11),OR(Recherche!$C$12="",ISNUMBER(SEARCH(Recherche!$C$12,M3900&amp;" "&amp;F3900)))),1,0)</f>
        <v>8</v>
      </c>
    </row>
    <row r="3901" customFormat="false" ht="15" hidden="false" customHeight="false" outlineLevel="0" collapsed="false">
      <c r="A3901" s="19"/>
      <c r="B3901" s="19"/>
      <c r="C3901" s="19"/>
      <c r="D3901" s="19"/>
      <c r="E3901" s="22"/>
      <c r="F3901" s="19"/>
      <c r="G3901" s="26" t="str">
        <f aca="false">IF(D3901="","",IFERROR(VALUE(LEFT(D3901,FIND(" |",D3901&amp;" |")-1)),"?"))</f>
        <v/>
      </c>
      <c r="H3901" s="27" t="str">
        <f aca="false">IF(G3901="","",IF(G3901="?","⚠ pub inconnue",IFERROR(INDEX(Pubs!$B$2:$B$3001,MATCH(G3901,Pubs!$A$2:$A$3001,0))&amp;"","⚠ pub inconnue")))</f>
        <v/>
      </c>
      <c r="I3901" s="27" t="str">
        <f aca="false">IF(OR(G3901="",G3901="?"),"",IFERROR(INDEX(Pubs!$C$2:$C$3001,MATCH(G3901,Pubs!$A$2:$A$3001,0))&amp;"",""))</f>
        <v/>
      </c>
      <c r="J3901" s="27" t="str">
        <f aca="false">IF(OR(G3901="",G3901="?"),"",IFERROR(INDEX(Pubs!$G$2:$G$3001,MATCH(G3901,Pubs!$A$2:$A$3001,0))&amp;"",""))</f>
        <v/>
      </c>
      <c r="K3901" s="28" t="str">
        <f aca="false">IF(OR(G3901="",G3901="?"),"",IFERROR(INDEX(Pubs!$E$2:$E$3001,MATCH(G3901,Pubs!$A$2:$A$3001,0)),""))</f>
        <v/>
      </c>
      <c r="L3901" s="29" t="str">
        <f aca="false">IF(A3901="","",IFERROR(1/(1/INDEX(Numéros!$C$2:$C$3001,MATCH(A3901&amp;"|"&amp;B3901,Numéros!$F$2:$F$3001,0))),""))</f>
        <v/>
      </c>
      <c r="M3901" s="27" t="str">
        <f aca="false">IF(OR(G3901="",G3901="?"),"",IFERROR(INDEX(Pubs!$D$2:$D$3001,MATCH(G3901,Pubs!$A$2:$A$3001,0))&amp;"",""))</f>
        <v/>
      </c>
      <c r="N3901" s="27" t="n">
        <f aca="false">N(N3900)+IF(AND(A3901&lt;&gt;"",OR(Recherche!$C$4="",A3901=Recherche!$C$4),OR(Recherche!$C$5="",B3901&amp;""=Recherche!$C$5&amp;""),OR(Recherche!$C$6="",IFERROR(YEAR(L3901),0)=Recherche!$C$6),OR(Recherche!$C$7="",ISNUMBER(SEARCH(Recherche!$C$7,H3901))),OR(Recherche!$C$8="",J3901=Recherche!$C$8),OR(Recherche!$C$9="",I3901=Recherche!$C$9),OR(Recherche!$C$10="",G3901&amp;""=Recherche!$C$10&amp;""),OR(Recherche!$C$11="",E3901=Recherche!$C$11),OR(Recherche!$C$12="",ISNUMBER(SEARCH(Recherche!$C$12,M3901&amp;" "&amp;F3901)))),1,0)</f>
        <v>8</v>
      </c>
    </row>
    <row r="3902" customFormat="false" ht="15" hidden="false" customHeight="false" outlineLevel="0" collapsed="false">
      <c r="A3902" s="19"/>
      <c r="B3902" s="19"/>
      <c r="C3902" s="19"/>
      <c r="D3902" s="19"/>
      <c r="E3902" s="22"/>
      <c r="F3902" s="19"/>
      <c r="G3902" s="26" t="str">
        <f aca="false">IF(D3902="","",IFERROR(VALUE(LEFT(D3902,FIND(" |",D3902&amp;" |")-1)),"?"))</f>
        <v/>
      </c>
      <c r="H3902" s="27" t="str">
        <f aca="false">IF(G3902="","",IF(G3902="?","⚠ pub inconnue",IFERROR(INDEX(Pubs!$B$2:$B$3001,MATCH(G3902,Pubs!$A$2:$A$3001,0))&amp;"","⚠ pub inconnue")))</f>
        <v/>
      </c>
      <c r="I3902" s="27" t="str">
        <f aca="false">IF(OR(G3902="",G3902="?"),"",IFERROR(INDEX(Pubs!$C$2:$C$3001,MATCH(G3902,Pubs!$A$2:$A$3001,0))&amp;"",""))</f>
        <v/>
      </c>
      <c r="J3902" s="27" t="str">
        <f aca="false">IF(OR(G3902="",G3902="?"),"",IFERROR(INDEX(Pubs!$G$2:$G$3001,MATCH(G3902,Pubs!$A$2:$A$3001,0))&amp;"",""))</f>
        <v/>
      </c>
      <c r="K3902" s="28" t="str">
        <f aca="false">IF(OR(G3902="",G3902="?"),"",IFERROR(INDEX(Pubs!$E$2:$E$3001,MATCH(G3902,Pubs!$A$2:$A$3001,0)),""))</f>
        <v/>
      </c>
      <c r="L3902" s="29" t="str">
        <f aca="false">IF(A3902="","",IFERROR(1/(1/INDEX(Numéros!$C$2:$C$3001,MATCH(A3902&amp;"|"&amp;B3902,Numéros!$F$2:$F$3001,0))),""))</f>
        <v/>
      </c>
      <c r="M3902" s="27" t="str">
        <f aca="false">IF(OR(G3902="",G3902="?"),"",IFERROR(INDEX(Pubs!$D$2:$D$3001,MATCH(G3902,Pubs!$A$2:$A$3001,0))&amp;"",""))</f>
        <v/>
      </c>
      <c r="N3902" s="27" t="n">
        <f aca="false">N(N3901)+IF(AND(A3902&lt;&gt;"",OR(Recherche!$C$4="",A3902=Recherche!$C$4),OR(Recherche!$C$5="",B3902&amp;""=Recherche!$C$5&amp;""),OR(Recherche!$C$6="",IFERROR(YEAR(L3902),0)=Recherche!$C$6),OR(Recherche!$C$7="",ISNUMBER(SEARCH(Recherche!$C$7,H3902))),OR(Recherche!$C$8="",J3902=Recherche!$C$8),OR(Recherche!$C$9="",I3902=Recherche!$C$9),OR(Recherche!$C$10="",G3902&amp;""=Recherche!$C$10&amp;""),OR(Recherche!$C$11="",E3902=Recherche!$C$11),OR(Recherche!$C$12="",ISNUMBER(SEARCH(Recherche!$C$12,M3902&amp;" "&amp;F3902)))),1,0)</f>
        <v>8</v>
      </c>
    </row>
    <row r="3903" customFormat="false" ht="15" hidden="false" customHeight="false" outlineLevel="0" collapsed="false">
      <c r="A3903" s="19"/>
      <c r="B3903" s="19"/>
      <c r="C3903" s="19"/>
      <c r="D3903" s="19"/>
      <c r="E3903" s="22"/>
      <c r="F3903" s="19"/>
      <c r="G3903" s="26" t="str">
        <f aca="false">IF(D3903="","",IFERROR(VALUE(LEFT(D3903,FIND(" |",D3903&amp;" |")-1)),"?"))</f>
        <v/>
      </c>
      <c r="H3903" s="27" t="str">
        <f aca="false">IF(G3903="","",IF(G3903="?","⚠ pub inconnue",IFERROR(INDEX(Pubs!$B$2:$B$3001,MATCH(G3903,Pubs!$A$2:$A$3001,0))&amp;"","⚠ pub inconnue")))</f>
        <v/>
      </c>
      <c r="I3903" s="27" t="str">
        <f aca="false">IF(OR(G3903="",G3903="?"),"",IFERROR(INDEX(Pubs!$C$2:$C$3001,MATCH(G3903,Pubs!$A$2:$A$3001,0))&amp;"",""))</f>
        <v/>
      </c>
      <c r="J3903" s="27" t="str">
        <f aca="false">IF(OR(G3903="",G3903="?"),"",IFERROR(INDEX(Pubs!$G$2:$G$3001,MATCH(G3903,Pubs!$A$2:$A$3001,0))&amp;"",""))</f>
        <v/>
      </c>
      <c r="K3903" s="28" t="str">
        <f aca="false">IF(OR(G3903="",G3903="?"),"",IFERROR(INDEX(Pubs!$E$2:$E$3001,MATCH(G3903,Pubs!$A$2:$A$3001,0)),""))</f>
        <v/>
      </c>
      <c r="L3903" s="29" t="str">
        <f aca="false">IF(A3903="","",IFERROR(1/(1/INDEX(Numéros!$C$2:$C$3001,MATCH(A3903&amp;"|"&amp;B3903,Numéros!$F$2:$F$3001,0))),""))</f>
        <v/>
      </c>
      <c r="M3903" s="27" t="str">
        <f aca="false">IF(OR(G3903="",G3903="?"),"",IFERROR(INDEX(Pubs!$D$2:$D$3001,MATCH(G3903,Pubs!$A$2:$A$3001,0))&amp;"",""))</f>
        <v/>
      </c>
      <c r="N3903" s="27" t="n">
        <f aca="false">N(N3902)+IF(AND(A3903&lt;&gt;"",OR(Recherche!$C$4="",A3903=Recherche!$C$4),OR(Recherche!$C$5="",B3903&amp;""=Recherche!$C$5&amp;""),OR(Recherche!$C$6="",IFERROR(YEAR(L3903),0)=Recherche!$C$6),OR(Recherche!$C$7="",ISNUMBER(SEARCH(Recherche!$C$7,H3903))),OR(Recherche!$C$8="",J3903=Recherche!$C$8),OR(Recherche!$C$9="",I3903=Recherche!$C$9),OR(Recherche!$C$10="",G3903&amp;""=Recherche!$C$10&amp;""),OR(Recherche!$C$11="",E3903=Recherche!$C$11),OR(Recherche!$C$12="",ISNUMBER(SEARCH(Recherche!$C$12,M3903&amp;" "&amp;F3903)))),1,0)</f>
        <v>8</v>
      </c>
    </row>
    <row r="3904" customFormat="false" ht="15" hidden="false" customHeight="false" outlineLevel="0" collapsed="false">
      <c r="A3904" s="19"/>
      <c r="B3904" s="19"/>
      <c r="C3904" s="19"/>
      <c r="D3904" s="19"/>
      <c r="E3904" s="22"/>
      <c r="F3904" s="19"/>
      <c r="G3904" s="26" t="str">
        <f aca="false">IF(D3904="","",IFERROR(VALUE(LEFT(D3904,FIND(" |",D3904&amp;" |")-1)),"?"))</f>
        <v/>
      </c>
      <c r="H3904" s="27" t="str">
        <f aca="false">IF(G3904="","",IF(G3904="?","⚠ pub inconnue",IFERROR(INDEX(Pubs!$B$2:$B$3001,MATCH(G3904,Pubs!$A$2:$A$3001,0))&amp;"","⚠ pub inconnue")))</f>
        <v/>
      </c>
      <c r="I3904" s="27" t="str">
        <f aca="false">IF(OR(G3904="",G3904="?"),"",IFERROR(INDEX(Pubs!$C$2:$C$3001,MATCH(G3904,Pubs!$A$2:$A$3001,0))&amp;"",""))</f>
        <v/>
      </c>
      <c r="J3904" s="27" t="str">
        <f aca="false">IF(OR(G3904="",G3904="?"),"",IFERROR(INDEX(Pubs!$G$2:$G$3001,MATCH(G3904,Pubs!$A$2:$A$3001,0))&amp;"",""))</f>
        <v/>
      </c>
      <c r="K3904" s="28" t="str">
        <f aca="false">IF(OR(G3904="",G3904="?"),"",IFERROR(INDEX(Pubs!$E$2:$E$3001,MATCH(G3904,Pubs!$A$2:$A$3001,0)),""))</f>
        <v/>
      </c>
      <c r="L3904" s="29" t="str">
        <f aca="false">IF(A3904="","",IFERROR(1/(1/INDEX(Numéros!$C$2:$C$3001,MATCH(A3904&amp;"|"&amp;B3904,Numéros!$F$2:$F$3001,0))),""))</f>
        <v/>
      </c>
      <c r="M3904" s="27" t="str">
        <f aca="false">IF(OR(G3904="",G3904="?"),"",IFERROR(INDEX(Pubs!$D$2:$D$3001,MATCH(G3904,Pubs!$A$2:$A$3001,0))&amp;"",""))</f>
        <v/>
      </c>
      <c r="N3904" s="27" t="n">
        <f aca="false">N(N3903)+IF(AND(A3904&lt;&gt;"",OR(Recherche!$C$4="",A3904=Recherche!$C$4),OR(Recherche!$C$5="",B3904&amp;""=Recherche!$C$5&amp;""),OR(Recherche!$C$6="",IFERROR(YEAR(L3904),0)=Recherche!$C$6),OR(Recherche!$C$7="",ISNUMBER(SEARCH(Recherche!$C$7,H3904))),OR(Recherche!$C$8="",J3904=Recherche!$C$8),OR(Recherche!$C$9="",I3904=Recherche!$C$9),OR(Recherche!$C$10="",G3904&amp;""=Recherche!$C$10&amp;""),OR(Recherche!$C$11="",E3904=Recherche!$C$11),OR(Recherche!$C$12="",ISNUMBER(SEARCH(Recherche!$C$12,M3904&amp;" "&amp;F3904)))),1,0)</f>
        <v>8</v>
      </c>
    </row>
    <row r="3905" customFormat="false" ht="15" hidden="false" customHeight="false" outlineLevel="0" collapsed="false">
      <c r="A3905" s="19"/>
      <c r="B3905" s="19"/>
      <c r="C3905" s="19"/>
      <c r="D3905" s="19"/>
      <c r="E3905" s="22"/>
      <c r="F3905" s="19"/>
      <c r="G3905" s="26" t="str">
        <f aca="false">IF(D3905="","",IFERROR(VALUE(LEFT(D3905,FIND(" |",D3905&amp;" |")-1)),"?"))</f>
        <v/>
      </c>
      <c r="H3905" s="27" t="str">
        <f aca="false">IF(G3905="","",IF(G3905="?","⚠ pub inconnue",IFERROR(INDEX(Pubs!$B$2:$B$3001,MATCH(G3905,Pubs!$A$2:$A$3001,0))&amp;"","⚠ pub inconnue")))</f>
        <v/>
      </c>
      <c r="I3905" s="27" t="str">
        <f aca="false">IF(OR(G3905="",G3905="?"),"",IFERROR(INDEX(Pubs!$C$2:$C$3001,MATCH(G3905,Pubs!$A$2:$A$3001,0))&amp;"",""))</f>
        <v/>
      </c>
      <c r="J3905" s="27" t="str">
        <f aca="false">IF(OR(G3905="",G3905="?"),"",IFERROR(INDEX(Pubs!$G$2:$G$3001,MATCH(G3905,Pubs!$A$2:$A$3001,0))&amp;"",""))</f>
        <v/>
      </c>
      <c r="K3905" s="28" t="str">
        <f aca="false">IF(OR(G3905="",G3905="?"),"",IFERROR(INDEX(Pubs!$E$2:$E$3001,MATCH(G3905,Pubs!$A$2:$A$3001,0)),""))</f>
        <v/>
      </c>
      <c r="L3905" s="29" t="str">
        <f aca="false">IF(A3905="","",IFERROR(1/(1/INDEX(Numéros!$C$2:$C$3001,MATCH(A3905&amp;"|"&amp;B3905,Numéros!$F$2:$F$3001,0))),""))</f>
        <v/>
      </c>
      <c r="M3905" s="27" t="str">
        <f aca="false">IF(OR(G3905="",G3905="?"),"",IFERROR(INDEX(Pubs!$D$2:$D$3001,MATCH(G3905,Pubs!$A$2:$A$3001,0))&amp;"",""))</f>
        <v/>
      </c>
      <c r="N3905" s="27" t="n">
        <f aca="false">N(N3904)+IF(AND(A3905&lt;&gt;"",OR(Recherche!$C$4="",A3905=Recherche!$C$4),OR(Recherche!$C$5="",B3905&amp;""=Recherche!$C$5&amp;""),OR(Recherche!$C$6="",IFERROR(YEAR(L3905),0)=Recherche!$C$6),OR(Recherche!$C$7="",ISNUMBER(SEARCH(Recherche!$C$7,H3905))),OR(Recherche!$C$8="",J3905=Recherche!$C$8),OR(Recherche!$C$9="",I3905=Recherche!$C$9),OR(Recherche!$C$10="",G3905&amp;""=Recherche!$C$10&amp;""),OR(Recherche!$C$11="",E3905=Recherche!$C$11),OR(Recherche!$C$12="",ISNUMBER(SEARCH(Recherche!$C$12,M3905&amp;" "&amp;F3905)))),1,0)</f>
        <v>8</v>
      </c>
    </row>
    <row r="3906" customFormat="false" ht="15" hidden="false" customHeight="false" outlineLevel="0" collapsed="false">
      <c r="A3906" s="19"/>
      <c r="B3906" s="19"/>
      <c r="C3906" s="19"/>
      <c r="D3906" s="19"/>
      <c r="E3906" s="22"/>
      <c r="F3906" s="19"/>
      <c r="G3906" s="26" t="str">
        <f aca="false">IF(D3906="","",IFERROR(VALUE(LEFT(D3906,FIND(" |",D3906&amp;" |")-1)),"?"))</f>
        <v/>
      </c>
      <c r="H3906" s="27" t="str">
        <f aca="false">IF(G3906="","",IF(G3906="?","⚠ pub inconnue",IFERROR(INDEX(Pubs!$B$2:$B$3001,MATCH(G3906,Pubs!$A$2:$A$3001,0))&amp;"","⚠ pub inconnue")))</f>
        <v/>
      </c>
      <c r="I3906" s="27" t="str">
        <f aca="false">IF(OR(G3906="",G3906="?"),"",IFERROR(INDEX(Pubs!$C$2:$C$3001,MATCH(G3906,Pubs!$A$2:$A$3001,0))&amp;"",""))</f>
        <v/>
      </c>
      <c r="J3906" s="27" t="str">
        <f aca="false">IF(OR(G3906="",G3906="?"),"",IFERROR(INDEX(Pubs!$G$2:$G$3001,MATCH(G3906,Pubs!$A$2:$A$3001,0))&amp;"",""))</f>
        <v/>
      </c>
      <c r="K3906" s="28" t="str">
        <f aca="false">IF(OR(G3906="",G3906="?"),"",IFERROR(INDEX(Pubs!$E$2:$E$3001,MATCH(G3906,Pubs!$A$2:$A$3001,0)),""))</f>
        <v/>
      </c>
      <c r="L3906" s="29" t="str">
        <f aca="false">IF(A3906="","",IFERROR(1/(1/INDEX(Numéros!$C$2:$C$3001,MATCH(A3906&amp;"|"&amp;B3906,Numéros!$F$2:$F$3001,0))),""))</f>
        <v/>
      </c>
      <c r="M3906" s="27" t="str">
        <f aca="false">IF(OR(G3906="",G3906="?"),"",IFERROR(INDEX(Pubs!$D$2:$D$3001,MATCH(G3906,Pubs!$A$2:$A$3001,0))&amp;"",""))</f>
        <v/>
      </c>
      <c r="N3906" s="27" t="n">
        <f aca="false">N(N3905)+IF(AND(A3906&lt;&gt;"",OR(Recherche!$C$4="",A3906=Recherche!$C$4),OR(Recherche!$C$5="",B3906&amp;""=Recherche!$C$5&amp;""),OR(Recherche!$C$6="",IFERROR(YEAR(L3906),0)=Recherche!$C$6),OR(Recherche!$C$7="",ISNUMBER(SEARCH(Recherche!$C$7,H3906))),OR(Recherche!$C$8="",J3906=Recherche!$C$8),OR(Recherche!$C$9="",I3906=Recherche!$C$9),OR(Recherche!$C$10="",G3906&amp;""=Recherche!$C$10&amp;""),OR(Recherche!$C$11="",E3906=Recherche!$C$11),OR(Recherche!$C$12="",ISNUMBER(SEARCH(Recherche!$C$12,M3906&amp;" "&amp;F3906)))),1,0)</f>
        <v>8</v>
      </c>
    </row>
    <row r="3907" customFormat="false" ht="15" hidden="false" customHeight="false" outlineLevel="0" collapsed="false">
      <c r="A3907" s="19"/>
      <c r="B3907" s="19"/>
      <c r="C3907" s="19"/>
      <c r="D3907" s="19"/>
      <c r="E3907" s="22"/>
      <c r="F3907" s="19"/>
      <c r="G3907" s="26" t="str">
        <f aca="false">IF(D3907="","",IFERROR(VALUE(LEFT(D3907,FIND(" |",D3907&amp;" |")-1)),"?"))</f>
        <v/>
      </c>
      <c r="H3907" s="27" t="str">
        <f aca="false">IF(G3907="","",IF(G3907="?","⚠ pub inconnue",IFERROR(INDEX(Pubs!$B$2:$B$3001,MATCH(G3907,Pubs!$A$2:$A$3001,0))&amp;"","⚠ pub inconnue")))</f>
        <v/>
      </c>
      <c r="I3907" s="27" t="str">
        <f aca="false">IF(OR(G3907="",G3907="?"),"",IFERROR(INDEX(Pubs!$C$2:$C$3001,MATCH(G3907,Pubs!$A$2:$A$3001,0))&amp;"",""))</f>
        <v/>
      </c>
      <c r="J3907" s="27" t="str">
        <f aca="false">IF(OR(G3907="",G3907="?"),"",IFERROR(INDEX(Pubs!$G$2:$G$3001,MATCH(G3907,Pubs!$A$2:$A$3001,0))&amp;"",""))</f>
        <v/>
      </c>
      <c r="K3907" s="28" t="str">
        <f aca="false">IF(OR(G3907="",G3907="?"),"",IFERROR(INDEX(Pubs!$E$2:$E$3001,MATCH(G3907,Pubs!$A$2:$A$3001,0)),""))</f>
        <v/>
      </c>
      <c r="L3907" s="29" t="str">
        <f aca="false">IF(A3907="","",IFERROR(1/(1/INDEX(Numéros!$C$2:$C$3001,MATCH(A3907&amp;"|"&amp;B3907,Numéros!$F$2:$F$3001,0))),""))</f>
        <v/>
      </c>
      <c r="M3907" s="27" t="str">
        <f aca="false">IF(OR(G3907="",G3907="?"),"",IFERROR(INDEX(Pubs!$D$2:$D$3001,MATCH(G3907,Pubs!$A$2:$A$3001,0))&amp;"",""))</f>
        <v/>
      </c>
      <c r="N3907" s="27" t="n">
        <f aca="false">N(N3906)+IF(AND(A3907&lt;&gt;"",OR(Recherche!$C$4="",A3907=Recherche!$C$4),OR(Recherche!$C$5="",B3907&amp;""=Recherche!$C$5&amp;""),OR(Recherche!$C$6="",IFERROR(YEAR(L3907),0)=Recherche!$C$6),OR(Recherche!$C$7="",ISNUMBER(SEARCH(Recherche!$C$7,H3907))),OR(Recherche!$C$8="",J3907=Recherche!$C$8),OR(Recherche!$C$9="",I3907=Recherche!$C$9),OR(Recherche!$C$10="",G3907&amp;""=Recherche!$C$10&amp;""),OR(Recherche!$C$11="",E3907=Recherche!$C$11),OR(Recherche!$C$12="",ISNUMBER(SEARCH(Recherche!$C$12,M3907&amp;" "&amp;F3907)))),1,0)</f>
        <v>8</v>
      </c>
    </row>
    <row r="3908" customFormat="false" ht="15" hidden="false" customHeight="false" outlineLevel="0" collapsed="false">
      <c r="A3908" s="19"/>
      <c r="B3908" s="19"/>
      <c r="C3908" s="19"/>
      <c r="D3908" s="19"/>
      <c r="E3908" s="22"/>
      <c r="F3908" s="19"/>
      <c r="G3908" s="26" t="str">
        <f aca="false">IF(D3908="","",IFERROR(VALUE(LEFT(D3908,FIND(" |",D3908&amp;" |")-1)),"?"))</f>
        <v/>
      </c>
      <c r="H3908" s="27" t="str">
        <f aca="false">IF(G3908="","",IF(G3908="?","⚠ pub inconnue",IFERROR(INDEX(Pubs!$B$2:$B$3001,MATCH(G3908,Pubs!$A$2:$A$3001,0))&amp;"","⚠ pub inconnue")))</f>
        <v/>
      </c>
      <c r="I3908" s="27" t="str">
        <f aca="false">IF(OR(G3908="",G3908="?"),"",IFERROR(INDEX(Pubs!$C$2:$C$3001,MATCH(G3908,Pubs!$A$2:$A$3001,0))&amp;"",""))</f>
        <v/>
      </c>
      <c r="J3908" s="27" t="str">
        <f aca="false">IF(OR(G3908="",G3908="?"),"",IFERROR(INDEX(Pubs!$G$2:$G$3001,MATCH(G3908,Pubs!$A$2:$A$3001,0))&amp;"",""))</f>
        <v/>
      </c>
      <c r="K3908" s="28" t="str">
        <f aca="false">IF(OR(G3908="",G3908="?"),"",IFERROR(INDEX(Pubs!$E$2:$E$3001,MATCH(G3908,Pubs!$A$2:$A$3001,0)),""))</f>
        <v/>
      </c>
      <c r="L3908" s="29" t="str">
        <f aca="false">IF(A3908="","",IFERROR(1/(1/INDEX(Numéros!$C$2:$C$3001,MATCH(A3908&amp;"|"&amp;B3908,Numéros!$F$2:$F$3001,0))),""))</f>
        <v/>
      </c>
      <c r="M3908" s="27" t="str">
        <f aca="false">IF(OR(G3908="",G3908="?"),"",IFERROR(INDEX(Pubs!$D$2:$D$3001,MATCH(G3908,Pubs!$A$2:$A$3001,0))&amp;"",""))</f>
        <v/>
      </c>
      <c r="N3908" s="27" t="n">
        <f aca="false">N(N3907)+IF(AND(A3908&lt;&gt;"",OR(Recherche!$C$4="",A3908=Recherche!$C$4),OR(Recherche!$C$5="",B3908&amp;""=Recherche!$C$5&amp;""),OR(Recherche!$C$6="",IFERROR(YEAR(L3908),0)=Recherche!$C$6),OR(Recherche!$C$7="",ISNUMBER(SEARCH(Recherche!$C$7,H3908))),OR(Recherche!$C$8="",J3908=Recherche!$C$8),OR(Recherche!$C$9="",I3908=Recherche!$C$9),OR(Recherche!$C$10="",G3908&amp;""=Recherche!$C$10&amp;""),OR(Recherche!$C$11="",E3908=Recherche!$C$11),OR(Recherche!$C$12="",ISNUMBER(SEARCH(Recherche!$C$12,M3908&amp;" "&amp;F3908)))),1,0)</f>
        <v>8</v>
      </c>
    </row>
    <row r="3909" customFormat="false" ht="15" hidden="false" customHeight="false" outlineLevel="0" collapsed="false">
      <c r="A3909" s="19"/>
      <c r="B3909" s="19"/>
      <c r="C3909" s="19"/>
      <c r="D3909" s="19"/>
      <c r="E3909" s="22"/>
      <c r="F3909" s="19"/>
      <c r="G3909" s="26" t="str">
        <f aca="false">IF(D3909="","",IFERROR(VALUE(LEFT(D3909,FIND(" |",D3909&amp;" |")-1)),"?"))</f>
        <v/>
      </c>
      <c r="H3909" s="27" t="str">
        <f aca="false">IF(G3909="","",IF(G3909="?","⚠ pub inconnue",IFERROR(INDEX(Pubs!$B$2:$B$3001,MATCH(G3909,Pubs!$A$2:$A$3001,0))&amp;"","⚠ pub inconnue")))</f>
        <v/>
      </c>
      <c r="I3909" s="27" t="str">
        <f aca="false">IF(OR(G3909="",G3909="?"),"",IFERROR(INDEX(Pubs!$C$2:$C$3001,MATCH(G3909,Pubs!$A$2:$A$3001,0))&amp;"",""))</f>
        <v/>
      </c>
      <c r="J3909" s="27" t="str">
        <f aca="false">IF(OR(G3909="",G3909="?"),"",IFERROR(INDEX(Pubs!$G$2:$G$3001,MATCH(G3909,Pubs!$A$2:$A$3001,0))&amp;"",""))</f>
        <v/>
      </c>
      <c r="K3909" s="28" t="str">
        <f aca="false">IF(OR(G3909="",G3909="?"),"",IFERROR(INDEX(Pubs!$E$2:$E$3001,MATCH(G3909,Pubs!$A$2:$A$3001,0)),""))</f>
        <v/>
      </c>
      <c r="L3909" s="29" t="str">
        <f aca="false">IF(A3909="","",IFERROR(1/(1/INDEX(Numéros!$C$2:$C$3001,MATCH(A3909&amp;"|"&amp;B3909,Numéros!$F$2:$F$3001,0))),""))</f>
        <v/>
      </c>
      <c r="M3909" s="27" t="str">
        <f aca="false">IF(OR(G3909="",G3909="?"),"",IFERROR(INDEX(Pubs!$D$2:$D$3001,MATCH(G3909,Pubs!$A$2:$A$3001,0))&amp;"",""))</f>
        <v/>
      </c>
      <c r="N3909" s="27" t="n">
        <f aca="false">N(N3908)+IF(AND(A3909&lt;&gt;"",OR(Recherche!$C$4="",A3909=Recherche!$C$4),OR(Recherche!$C$5="",B3909&amp;""=Recherche!$C$5&amp;""),OR(Recherche!$C$6="",IFERROR(YEAR(L3909),0)=Recherche!$C$6),OR(Recherche!$C$7="",ISNUMBER(SEARCH(Recherche!$C$7,H3909))),OR(Recherche!$C$8="",J3909=Recherche!$C$8),OR(Recherche!$C$9="",I3909=Recherche!$C$9),OR(Recherche!$C$10="",G3909&amp;""=Recherche!$C$10&amp;""),OR(Recherche!$C$11="",E3909=Recherche!$C$11),OR(Recherche!$C$12="",ISNUMBER(SEARCH(Recherche!$C$12,M3909&amp;" "&amp;F3909)))),1,0)</f>
        <v>8</v>
      </c>
    </row>
    <row r="3910" customFormat="false" ht="15" hidden="false" customHeight="false" outlineLevel="0" collapsed="false">
      <c r="A3910" s="19"/>
      <c r="B3910" s="19"/>
      <c r="C3910" s="19"/>
      <c r="D3910" s="19"/>
      <c r="E3910" s="22"/>
      <c r="F3910" s="19"/>
      <c r="G3910" s="26" t="str">
        <f aca="false">IF(D3910="","",IFERROR(VALUE(LEFT(D3910,FIND(" |",D3910&amp;" |")-1)),"?"))</f>
        <v/>
      </c>
      <c r="H3910" s="27" t="str">
        <f aca="false">IF(G3910="","",IF(G3910="?","⚠ pub inconnue",IFERROR(INDEX(Pubs!$B$2:$B$3001,MATCH(G3910,Pubs!$A$2:$A$3001,0))&amp;"","⚠ pub inconnue")))</f>
        <v/>
      </c>
      <c r="I3910" s="27" t="str">
        <f aca="false">IF(OR(G3910="",G3910="?"),"",IFERROR(INDEX(Pubs!$C$2:$C$3001,MATCH(G3910,Pubs!$A$2:$A$3001,0))&amp;"",""))</f>
        <v/>
      </c>
      <c r="J3910" s="27" t="str">
        <f aca="false">IF(OR(G3910="",G3910="?"),"",IFERROR(INDEX(Pubs!$G$2:$G$3001,MATCH(G3910,Pubs!$A$2:$A$3001,0))&amp;"",""))</f>
        <v/>
      </c>
      <c r="K3910" s="28" t="str">
        <f aca="false">IF(OR(G3910="",G3910="?"),"",IFERROR(INDEX(Pubs!$E$2:$E$3001,MATCH(G3910,Pubs!$A$2:$A$3001,0)),""))</f>
        <v/>
      </c>
      <c r="L3910" s="29" t="str">
        <f aca="false">IF(A3910="","",IFERROR(1/(1/INDEX(Numéros!$C$2:$C$3001,MATCH(A3910&amp;"|"&amp;B3910,Numéros!$F$2:$F$3001,0))),""))</f>
        <v/>
      </c>
      <c r="M3910" s="27" t="str">
        <f aca="false">IF(OR(G3910="",G3910="?"),"",IFERROR(INDEX(Pubs!$D$2:$D$3001,MATCH(G3910,Pubs!$A$2:$A$3001,0))&amp;"",""))</f>
        <v/>
      </c>
      <c r="N3910" s="27" t="n">
        <f aca="false">N(N3909)+IF(AND(A3910&lt;&gt;"",OR(Recherche!$C$4="",A3910=Recherche!$C$4),OR(Recherche!$C$5="",B3910&amp;""=Recherche!$C$5&amp;""),OR(Recherche!$C$6="",IFERROR(YEAR(L3910),0)=Recherche!$C$6),OR(Recherche!$C$7="",ISNUMBER(SEARCH(Recherche!$C$7,H3910))),OR(Recherche!$C$8="",J3910=Recherche!$C$8),OR(Recherche!$C$9="",I3910=Recherche!$C$9),OR(Recherche!$C$10="",G3910&amp;""=Recherche!$C$10&amp;""),OR(Recherche!$C$11="",E3910=Recherche!$C$11),OR(Recherche!$C$12="",ISNUMBER(SEARCH(Recherche!$C$12,M3910&amp;" "&amp;F3910)))),1,0)</f>
        <v>8</v>
      </c>
    </row>
    <row r="3911" customFormat="false" ht="15" hidden="false" customHeight="false" outlineLevel="0" collapsed="false">
      <c r="A3911" s="19"/>
      <c r="B3911" s="19"/>
      <c r="C3911" s="19"/>
      <c r="D3911" s="19"/>
      <c r="E3911" s="22"/>
      <c r="F3911" s="19"/>
      <c r="G3911" s="26" t="str">
        <f aca="false">IF(D3911="","",IFERROR(VALUE(LEFT(D3911,FIND(" |",D3911&amp;" |")-1)),"?"))</f>
        <v/>
      </c>
      <c r="H3911" s="27" t="str">
        <f aca="false">IF(G3911="","",IF(G3911="?","⚠ pub inconnue",IFERROR(INDEX(Pubs!$B$2:$B$3001,MATCH(G3911,Pubs!$A$2:$A$3001,0))&amp;"","⚠ pub inconnue")))</f>
        <v/>
      </c>
      <c r="I3911" s="27" t="str">
        <f aca="false">IF(OR(G3911="",G3911="?"),"",IFERROR(INDEX(Pubs!$C$2:$C$3001,MATCH(G3911,Pubs!$A$2:$A$3001,0))&amp;"",""))</f>
        <v/>
      </c>
      <c r="J3911" s="27" t="str">
        <f aca="false">IF(OR(G3911="",G3911="?"),"",IFERROR(INDEX(Pubs!$G$2:$G$3001,MATCH(G3911,Pubs!$A$2:$A$3001,0))&amp;"",""))</f>
        <v/>
      </c>
      <c r="K3911" s="28" t="str">
        <f aca="false">IF(OR(G3911="",G3911="?"),"",IFERROR(INDEX(Pubs!$E$2:$E$3001,MATCH(G3911,Pubs!$A$2:$A$3001,0)),""))</f>
        <v/>
      </c>
      <c r="L3911" s="29" t="str">
        <f aca="false">IF(A3911="","",IFERROR(1/(1/INDEX(Numéros!$C$2:$C$3001,MATCH(A3911&amp;"|"&amp;B3911,Numéros!$F$2:$F$3001,0))),""))</f>
        <v/>
      </c>
      <c r="M3911" s="27" t="str">
        <f aca="false">IF(OR(G3911="",G3911="?"),"",IFERROR(INDEX(Pubs!$D$2:$D$3001,MATCH(G3911,Pubs!$A$2:$A$3001,0))&amp;"",""))</f>
        <v/>
      </c>
      <c r="N3911" s="27" t="n">
        <f aca="false">N(N3910)+IF(AND(A3911&lt;&gt;"",OR(Recherche!$C$4="",A3911=Recherche!$C$4),OR(Recherche!$C$5="",B3911&amp;""=Recherche!$C$5&amp;""),OR(Recherche!$C$6="",IFERROR(YEAR(L3911),0)=Recherche!$C$6),OR(Recherche!$C$7="",ISNUMBER(SEARCH(Recherche!$C$7,H3911))),OR(Recherche!$C$8="",J3911=Recherche!$C$8),OR(Recherche!$C$9="",I3911=Recherche!$C$9),OR(Recherche!$C$10="",G3911&amp;""=Recherche!$C$10&amp;""),OR(Recherche!$C$11="",E3911=Recherche!$C$11),OR(Recherche!$C$12="",ISNUMBER(SEARCH(Recherche!$C$12,M3911&amp;" "&amp;F3911)))),1,0)</f>
        <v>8</v>
      </c>
    </row>
    <row r="3912" customFormat="false" ht="15" hidden="false" customHeight="false" outlineLevel="0" collapsed="false">
      <c r="A3912" s="19"/>
      <c r="B3912" s="19"/>
      <c r="C3912" s="19"/>
      <c r="D3912" s="19"/>
      <c r="E3912" s="22"/>
      <c r="F3912" s="19"/>
      <c r="G3912" s="26" t="str">
        <f aca="false">IF(D3912="","",IFERROR(VALUE(LEFT(D3912,FIND(" |",D3912&amp;" |")-1)),"?"))</f>
        <v/>
      </c>
      <c r="H3912" s="27" t="str">
        <f aca="false">IF(G3912="","",IF(G3912="?","⚠ pub inconnue",IFERROR(INDEX(Pubs!$B$2:$B$3001,MATCH(G3912,Pubs!$A$2:$A$3001,0))&amp;"","⚠ pub inconnue")))</f>
        <v/>
      </c>
      <c r="I3912" s="27" t="str">
        <f aca="false">IF(OR(G3912="",G3912="?"),"",IFERROR(INDEX(Pubs!$C$2:$C$3001,MATCH(G3912,Pubs!$A$2:$A$3001,0))&amp;"",""))</f>
        <v/>
      </c>
      <c r="J3912" s="27" t="str">
        <f aca="false">IF(OR(G3912="",G3912="?"),"",IFERROR(INDEX(Pubs!$G$2:$G$3001,MATCH(G3912,Pubs!$A$2:$A$3001,0))&amp;"",""))</f>
        <v/>
      </c>
      <c r="K3912" s="28" t="str">
        <f aca="false">IF(OR(G3912="",G3912="?"),"",IFERROR(INDEX(Pubs!$E$2:$E$3001,MATCH(G3912,Pubs!$A$2:$A$3001,0)),""))</f>
        <v/>
      </c>
      <c r="L3912" s="29" t="str">
        <f aca="false">IF(A3912="","",IFERROR(1/(1/INDEX(Numéros!$C$2:$C$3001,MATCH(A3912&amp;"|"&amp;B3912,Numéros!$F$2:$F$3001,0))),""))</f>
        <v/>
      </c>
      <c r="M3912" s="27" t="str">
        <f aca="false">IF(OR(G3912="",G3912="?"),"",IFERROR(INDEX(Pubs!$D$2:$D$3001,MATCH(G3912,Pubs!$A$2:$A$3001,0))&amp;"",""))</f>
        <v/>
      </c>
      <c r="N3912" s="27" t="n">
        <f aca="false">N(N3911)+IF(AND(A3912&lt;&gt;"",OR(Recherche!$C$4="",A3912=Recherche!$C$4),OR(Recherche!$C$5="",B3912&amp;""=Recherche!$C$5&amp;""),OR(Recherche!$C$6="",IFERROR(YEAR(L3912),0)=Recherche!$C$6),OR(Recherche!$C$7="",ISNUMBER(SEARCH(Recherche!$C$7,H3912))),OR(Recherche!$C$8="",J3912=Recherche!$C$8),OR(Recherche!$C$9="",I3912=Recherche!$C$9),OR(Recherche!$C$10="",G3912&amp;""=Recherche!$C$10&amp;""),OR(Recherche!$C$11="",E3912=Recherche!$C$11),OR(Recherche!$C$12="",ISNUMBER(SEARCH(Recherche!$C$12,M3912&amp;" "&amp;F3912)))),1,0)</f>
        <v>8</v>
      </c>
    </row>
    <row r="3913" customFormat="false" ht="15" hidden="false" customHeight="false" outlineLevel="0" collapsed="false">
      <c r="A3913" s="19"/>
      <c r="B3913" s="19"/>
      <c r="C3913" s="19"/>
      <c r="D3913" s="19"/>
      <c r="E3913" s="22"/>
      <c r="F3913" s="19"/>
      <c r="G3913" s="26" t="str">
        <f aca="false">IF(D3913="","",IFERROR(VALUE(LEFT(D3913,FIND(" |",D3913&amp;" |")-1)),"?"))</f>
        <v/>
      </c>
      <c r="H3913" s="27" t="str">
        <f aca="false">IF(G3913="","",IF(G3913="?","⚠ pub inconnue",IFERROR(INDEX(Pubs!$B$2:$B$3001,MATCH(G3913,Pubs!$A$2:$A$3001,0))&amp;"","⚠ pub inconnue")))</f>
        <v/>
      </c>
      <c r="I3913" s="27" t="str">
        <f aca="false">IF(OR(G3913="",G3913="?"),"",IFERROR(INDEX(Pubs!$C$2:$C$3001,MATCH(G3913,Pubs!$A$2:$A$3001,0))&amp;"",""))</f>
        <v/>
      </c>
      <c r="J3913" s="27" t="str">
        <f aca="false">IF(OR(G3913="",G3913="?"),"",IFERROR(INDEX(Pubs!$G$2:$G$3001,MATCH(G3913,Pubs!$A$2:$A$3001,0))&amp;"",""))</f>
        <v/>
      </c>
      <c r="K3913" s="28" t="str">
        <f aca="false">IF(OR(G3913="",G3913="?"),"",IFERROR(INDEX(Pubs!$E$2:$E$3001,MATCH(G3913,Pubs!$A$2:$A$3001,0)),""))</f>
        <v/>
      </c>
      <c r="L3913" s="29" t="str">
        <f aca="false">IF(A3913="","",IFERROR(1/(1/INDEX(Numéros!$C$2:$C$3001,MATCH(A3913&amp;"|"&amp;B3913,Numéros!$F$2:$F$3001,0))),""))</f>
        <v/>
      </c>
      <c r="M3913" s="27" t="str">
        <f aca="false">IF(OR(G3913="",G3913="?"),"",IFERROR(INDEX(Pubs!$D$2:$D$3001,MATCH(G3913,Pubs!$A$2:$A$3001,0))&amp;"",""))</f>
        <v/>
      </c>
      <c r="N3913" s="27" t="n">
        <f aca="false">N(N3912)+IF(AND(A3913&lt;&gt;"",OR(Recherche!$C$4="",A3913=Recherche!$C$4),OR(Recherche!$C$5="",B3913&amp;""=Recherche!$C$5&amp;""),OR(Recherche!$C$6="",IFERROR(YEAR(L3913),0)=Recherche!$C$6),OR(Recherche!$C$7="",ISNUMBER(SEARCH(Recherche!$C$7,H3913))),OR(Recherche!$C$8="",J3913=Recherche!$C$8),OR(Recherche!$C$9="",I3913=Recherche!$C$9),OR(Recherche!$C$10="",G3913&amp;""=Recherche!$C$10&amp;""),OR(Recherche!$C$11="",E3913=Recherche!$C$11),OR(Recherche!$C$12="",ISNUMBER(SEARCH(Recherche!$C$12,M3913&amp;" "&amp;F3913)))),1,0)</f>
        <v>8</v>
      </c>
    </row>
    <row r="3914" customFormat="false" ht="15" hidden="false" customHeight="false" outlineLevel="0" collapsed="false">
      <c r="A3914" s="19"/>
      <c r="B3914" s="19"/>
      <c r="C3914" s="19"/>
      <c r="D3914" s="19"/>
      <c r="E3914" s="22"/>
      <c r="F3914" s="19"/>
      <c r="G3914" s="26" t="str">
        <f aca="false">IF(D3914="","",IFERROR(VALUE(LEFT(D3914,FIND(" |",D3914&amp;" |")-1)),"?"))</f>
        <v/>
      </c>
      <c r="H3914" s="27" t="str">
        <f aca="false">IF(G3914="","",IF(G3914="?","⚠ pub inconnue",IFERROR(INDEX(Pubs!$B$2:$B$3001,MATCH(G3914,Pubs!$A$2:$A$3001,0))&amp;"","⚠ pub inconnue")))</f>
        <v/>
      </c>
      <c r="I3914" s="27" t="str">
        <f aca="false">IF(OR(G3914="",G3914="?"),"",IFERROR(INDEX(Pubs!$C$2:$C$3001,MATCH(G3914,Pubs!$A$2:$A$3001,0))&amp;"",""))</f>
        <v/>
      </c>
      <c r="J3914" s="27" t="str">
        <f aca="false">IF(OR(G3914="",G3914="?"),"",IFERROR(INDEX(Pubs!$G$2:$G$3001,MATCH(G3914,Pubs!$A$2:$A$3001,0))&amp;"",""))</f>
        <v/>
      </c>
      <c r="K3914" s="28" t="str">
        <f aca="false">IF(OR(G3914="",G3914="?"),"",IFERROR(INDEX(Pubs!$E$2:$E$3001,MATCH(G3914,Pubs!$A$2:$A$3001,0)),""))</f>
        <v/>
      </c>
      <c r="L3914" s="29" t="str">
        <f aca="false">IF(A3914="","",IFERROR(1/(1/INDEX(Numéros!$C$2:$C$3001,MATCH(A3914&amp;"|"&amp;B3914,Numéros!$F$2:$F$3001,0))),""))</f>
        <v/>
      </c>
      <c r="M3914" s="27" t="str">
        <f aca="false">IF(OR(G3914="",G3914="?"),"",IFERROR(INDEX(Pubs!$D$2:$D$3001,MATCH(G3914,Pubs!$A$2:$A$3001,0))&amp;"",""))</f>
        <v/>
      </c>
      <c r="N3914" s="27" t="n">
        <f aca="false">N(N3913)+IF(AND(A3914&lt;&gt;"",OR(Recherche!$C$4="",A3914=Recherche!$C$4),OR(Recherche!$C$5="",B3914&amp;""=Recherche!$C$5&amp;""),OR(Recherche!$C$6="",IFERROR(YEAR(L3914),0)=Recherche!$C$6),OR(Recherche!$C$7="",ISNUMBER(SEARCH(Recherche!$C$7,H3914))),OR(Recherche!$C$8="",J3914=Recherche!$C$8),OR(Recherche!$C$9="",I3914=Recherche!$C$9),OR(Recherche!$C$10="",G3914&amp;""=Recherche!$C$10&amp;""),OR(Recherche!$C$11="",E3914=Recherche!$C$11),OR(Recherche!$C$12="",ISNUMBER(SEARCH(Recherche!$C$12,M3914&amp;" "&amp;F3914)))),1,0)</f>
        <v>8</v>
      </c>
    </row>
    <row r="3915" customFormat="false" ht="15" hidden="false" customHeight="false" outlineLevel="0" collapsed="false">
      <c r="A3915" s="19"/>
      <c r="B3915" s="19"/>
      <c r="C3915" s="19"/>
      <c r="D3915" s="19"/>
      <c r="E3915" s="22"/>
      <c r="F3915" s="19"/>
      <c r="G3915" s="26" t="str">
        <f aca="false">IF(D3915="","",IFERROR(VALUE(LEFT(D3915,FIND(" |",D3915&amp;" |")-1)),"?"))</f>
        <v/>
      </c>
      <c r="H3915" s="27" t="str">
        <f aca="false">IF(G3915="","",IF(G3915="?","⚠ pub inconnue",IFERROR(INDEX(Pubs!$B$2:$B$3001,MATCH(G3915,Pubs!$A$2:$A$3001,0))&amp;"","⚠ pub inconnue")))</f>
        <v/>
      </c>
      <c r="I3915" s="27" t="str">
        <f aca="false">IF(OR(G3915="",G3915="?"),"",IFERROR(INDEX(Pubs!$C$2:$C$3001,MATCH(G3915,Pubs!$A$2:$A$3001,0))&amp;"",""))</f>
        <v/>
      </c>
      <c r="J3915" s="27" t="str">
        <f aca="false">IF(OR(G3915="",G3915="?"),"",IFERROR(INDEX(Pubs!$G$2:$G$3001,MATCH(G3915,Pubs!$A$2:$A$3001,0))&amp;"",""))</f>
        <v/>
      </c>
      <c r="K3915" s="28" t="str">
        <f aca="false">IF(OR(G3915="",G3915="?"),"",IFERROR(INDEX(Pubs!$E$2:$E$3001,MATCH(G3915,Pubs!$A$2:$A$3001,0)),""))</f>
        <v/>
      </c>
      <c r="L3915" s="29" t="str">
        <f aca="false">IF(A3915="","",IFERROR(1/(1/INDEX(Numéros!$C$2:$C$3001,MATCH(A3915&amp;"|"&amp;B3915,Numéros!$F$2:$F$3001,0))),""))</f>
        <v/>
      </c>
      <c r="M3915" s="27" t="str">
        <f aca="false">IF(OR(G3915="",G3915="?"),"",IFERROR(INDEX(Pubs!$D$2:$D$3001,MATCH(G3915,Pubs!$A$2:$A$3001,0))&amp;"",""))</f>
        <v/>
      </c>
      <c r="N3915" s="27" t="n">
        <f aca="false">N(N3914)+IF(AND(A3915&lt;&gt;"",OR(Recherche!$C$4="",A3915=Recherche!$C$4),OR(Recherche!$C$5="",B3915&amp;""=Recherche!$C$5&amp;""),OR(Recherche!$C$6="",IFERROR(YEAR(L3915),0)=Recherche!$C$6),OR(Recherche!$C$7="",ISNUMBER(SEARCH(Recherche!$C$7,H3915))),OR(Recherche!$C$8="",J3915=Recherche!$C$8),OR(Recherche!$C$9="",I3915=Recherche!$C$9),OR(Recherche!$C$10="",G3915&amp;""=Recherche!$C$10&amp;""),OR(Recherche!$C$11="",E3915=Recherche!$C$11),OR(Recherche!$C$12="",ISNUMBER(SEARCH(Recherche!$C$12,M3915&amp;" "&amp;F3915)))),1,0)</f>
        <v>8</v>
      </c>
    </row>
    <row r="3916" customFormat="false" ht="15" hidden="false" customHeight="false" outlineLevel="0" collapsed="false">
      <c r="A3916" s="19"/>
      <c r="B3916" s="19"/>
      <c r="C3916" s="19"/>
      <c r="D3916" s="19"/>
      <c r="E3916" s="22"/>
      <c r="F3916" s="19"/>
      <c r="G3916" s="26" t="str">
        <f aca="false">IF(D3916="","",IFERROR(VALUE(LEFT(D3916,FIND(" |",D3916&amp;" |")-1)),"?"))</f>
        <v/>
      </c>
      <c r="H3916" s="27" t="str">
        <f aca="false">IF(G3916="","",IF(G3916="?","⚠ pub inconnue",IFERROR(INDEX(Pubs!$B$2:$B$3001,MATCH(G3916,Pubs!$A$2:$A$3001,0))&amp;"","⚠ pub inconnue")))</f>
        <v/>
      </c>
      <c r="I3916" s="27" t="str">
        <f aca="false">IF(OR(G3916="",G3916="?"),"",IFERROR(INDEX(Pubs!$C$2:$C$3001,MATCH(G3916,Pubs!$A$2:$A$3001,0))&amp;"",""))</f>
        <v/>
      </c>
      <c r="J3916" s="27" t="str">
        <f aca="false">IF(OR(G3916="",G3916="?"),"",IFERROR(INDEX(Pubs!$G$2:$G$3001,MATCH(G3916,Pubs!$A$2:$A$3001,0))&amp;"",""))</f>
        <v/>
      </c>
      <c r="K3916" s="28" t="str">
        <f aca="false">IF(OR(G3916="",G3916="?"),"",IFERROR(INDEX(Pubs!$E$2:$E$3001,MATCH(G3916,Pubs!$A$2:$A$3001,0)),""))</f>
        <v/>
      </c>
      <c r="L3916" s="29" t="str">
        <f aca="false">IF(A3916="","",IFERROR(1/(1/INDEX(Numéros!$C$2:$C$3001,MATCH(A3916&amp;"|"&amp;B3916,Numéros!$F$2:$F$3001,0))),""))</f>
        <v/>
      </c>
      <c r="M3916" s="27" t="str">
        <f aca="false">IF(OR(G3916="",G3916="?"),"",IFERROR(INDEX(Pubs!$D$2:$D$3001,MATCH(G3916,Pubs!$A$2:$A$3001,0))&amp;"",""))</f>
        <v/>
      </c>
      <c r="N3916" s="27" t="n">
        <f aca="false">N(N3915)+IF(AND(A3916&lt;&gt;"",OR(Recherche!$C$4="",A3916=Recherche!$C$4),OR(Recherche!$C$5="",B3916&amp;""=Recherche!$C$5&amp;""),OR(Recherche!$C$6="",IFERROR(YEAR(L3916),0)=Recherche!$C$6),OR(Recherche!$C$7="",ISNUMBER(SEARCH(Recherche!$C$7,H3916))),OR(Recherche!$C$8="",J3916=Recherche!$C$8),OR(Recherche!$C$9="",I3916=Recherche!$C$9),OR(Recherche!$C$10="",G3916&amp;""=Recherche!$C$10&amp;""),OR(Recherche!$C$11="",E3916=Recherche!$C$11),OR(Recherche!$C$12="",ISNUMBER(SEARCH(Recherche!$C$12,M3916&amp;" "&amp;F3916)))),1,0)</f>
        <v>8</v>
      </c>
    </row>
    <row r="3917" customFormat="false" ht="15" hidden="false" customHeight="false" outlineLevel="0" collapsed="false">
      <c r="A3917" s="19"/>
      <c r="B3917" s="19"/>
      <c r="C3917" s="19"/>
      <c r="D3917" s="19"/>
      <c r="E3917" s="22"/>
      <c r="F3917" s="19"/>
      <c r="G3917" s="26" t="str">
        <f aca="false">IF(D3917="","",IFERROR(VALUE(LEFT(D3917,FIND(" |",D3917&amp;" |")-1)),"?"))</f>
        <v/>
      </c>
      <c r="H3917" s="27" t="str">
        <f aca="false">IF(G3917="","",IF(G3917="?","⚠ pub inconnue",IFERROR(INDEX(Pubs!$B$2:$B$3001,MATCH(G3917,Pubs!$A$2:$A$3001,0))&amp;"","⚠ pub inconnue")))</f>
        <v/>
      </c>
      <c r="I3917" s="27" t="str">
        <f aca="false">IF(OR(G3917="",G3917="?"),"",IFERROR(INDEX(Pubs!$C$2:$C$3001,MATCH(G3917,Pubs!$A$2:$A$3001,0))&amp;"",""))</f>
        <v/>
      </c>
      <c r="J3917" s="27" t="str">
        <f aca="false">IF(OR(G3917="",G3917="?"),"",IFERROR(INDEX(Pubs!$G$2:$G$3001,MATCH(G3917,Pubs!$A$2:$A$3001,0))&amp;"",""))</f>
        <v/>
      </c>
      <c r="K3917" s="28" t="str">
        <f aca="false">IF(OR(G3917="",G3917="?"),"",IFERROR(INDEX(Pubs!$E$2:$E$3001,MATCH(G3917,Pubs!$A$2:$A$3001,0)),""))</f>
        <v/>
      </c>
      <c r="L3917" s="29" t="str">
        <f aca="false">IF(A3917="","",IFERROR(1/(1/INDEX(Numéros!$C$2:$C$3001,MATCH(A3917&amp;"|"&amp;B3917,Numéros!$F$2:$F$3001,0))),""))</f>
        <v/>
      </c>
      <c r="M3917" s="27" t="str">
        <f aca="false">IF(OR(G3917="",G3917="?"),"",IFERROR(INDEX(Pubs!$D$2:$D$3001,MATCH(G3917,Pubs!$A$2:$A$3001,0))&amp;"",""))</f>
        <v/>
      </c>
      <c r="N3917" s="27" t="n">
        <f aca="false">N(N3916)+IF(AND(A3917&lt;&gt;"",OR(Recherche!$C$4="",A3917=Recherche!$C$4),OR(Recherche!$C$5="",B3917&amp;""=Recherche!$C$5&amp;""),OR(Recherche!$C$6="",IFERROR(YEAR(L3917),0)=Recherche!$C$6),OR(Recherche!$C$7="",ISNUMBER(SEARCH(Recherche!$C$7,H3917))),OR(Recherche!$C$8="",J3917=Recherche!$C$8),OR(Recherche!$C$9="",I3917=Recherche!$C$9),OR(Recherche!$C$10="",G3917&amp;""=Recherche!$C$10&amp;""),OR(Recherche!$C$11="",E3917=Recherche!$C$11),OR(Recherche!$C$12="",ISNUMBER(SEARCH(Recherche!$C$12,M3917&amp;" "&amp;F3917)))),1,0)</f>
        <v>8</v>
      </c>
    </row>
    <row r="3918" customFormat="false" ht="15" hidden="false" customHeight="false" outlineLevel="0" collapsed="false">
      <c r="A3918" s="19"/>
      <c r="B3918" s="19"/>
      <c r="C3918" s="19"/>
      <c r="D3918" s="19"/>
      <c r="E3918" s="22"/>
      <c r="F3918" s="19"/>
      <c r="G3918" s="26" t="str">
        <f aca="false">IF(D3918="","",IFERROR(VALUE(LEFT(D3918,FIND(" |",D3918&amp;" |")-1)),"?"))</f>
        <v/>
      </c>
      <c r="H3918" s="27" t="str">
        <f aca="false">IF(G3918="","",IF(G3918="?","⚠ pub inconnue",IFERROR(INDEX(Pubs!$B$2:$B$3001,MATCH(G3918,Pubs!$A$2:$A$3001,0))&amp;"","⚠ pub inconnue")))</f>
        <v/>
      </c>
      <c r="I3918" s="27" t="str">
        <f aca="false">IF(OR(G3918="",G3918="?"),"",IFERROR(INDEX(Pubs!$C$2:$C$3001,MATCH(G3918,Pubs!$A$2:$A$3001,0))&amp;"",""))</f>
        <v/>
      </c>
      <c r="J3918" s="27" t="str">
        <f aca="false">IF(OR(G3918="",G3918="?"),"",IFERROR(INDEX(Pubs!$G$2:$G$3001,MATCH(G3918,Pubs!$A$2:$A$3001,0))&amp;"",""))</f>
        <v/>
      </c>
      <c r="K3918" s="28" t="str">
        <f aca="false">IF(OR(G3918="",G3918="?"),"",IFERROR(INDEX(Pubs!$E$2:$E$3001,MATCH(G3918,Pubs!$A$2:$A$3001,0)),""))</f>
        <v/>
      </c>
      <c r="L3918" s="29" t="str">
        <f aca="false">IF(A3918="","",IFERROR(1/(1/INDEX(Numéros!$C$2:$C$3001,MATCH(A3918&amp;"|"&amp;B3918,Numéros!$F$2:$F$3001,0))),""))</f>
        <v/>
      </c>
      <c r="M3918" s="27" t="str">
        <f aca="false">IF(OR(G3918="",G3918="?"),"",IFERROR(INDEX(Pubs!$D$2:$D$3001,MATCH(G3918,Pubs!$A$2:$A$3001,0))&amp;"",""))</f>
        <v/>
      </c>
      <c r="N3918" s="27" t="n">
        <f aca="false">N(N3917)+IF(AND(A3918&lt;&gt;"",OR(Recherche!$C$4="",A3918=Recherche!$C$4),OR(Recherche!$C$5="",B3918&amp;""=Recherche!$C$5&amp;""),OR(Recherche!$C$6="",IFERROR(YEAR(L3918),0)=Recherche!$C$6),OR(Recherche!$C$7="",ISNUMBER(SEARCH(Recherche!$C$7,H3918))),OR(Recherche!$C$8="",J3918=Recherche!$C$8),OR(Recherche!$C$9="",I3918=Recherche!$C$9),OR(Recherche!$C$10="",G3918&amp;""=Recherche!$C$10&amp;""),OR(Recherche!$C$11="",E3918=Recherche!$C$11),OR(Recherche!$C$12="",ISNUMBER(SEARCH(Recherche!$C$12,M3918&amp;" "&amp;F3918)))),1,0)</f>
        <v>8</v>
      </c>
    </row>
    <row r="3919" customFormat="false" ht="15" hidden="false" customHeight="false" outlineLevel="0" collapsed="false">
      <c r="A3919" s="19"/>
      <c r="B3919" s="19"/>
      <c r="C3919" s="19"/>
      <c r="D3919" s="19"/>
      <c r="E3919" s="22"/>
      <c r="F3919" s="19"/>
      <c r="G3919" s="26" t="str">
        <f aca="false">IF(D3919="","",IFERROR(VALUE(LEFT(D3919,FIND(" |",D3919&amp;" |")-1)),"?"))</f>
        <v/>
      </c>
      <c r="H3919" s="27" t="str">
        <f aca="false">IF(G3919="","",IF(G3919="?","⚠ pub inconnue",IFERROR(INDEX(Pubs!$B$2:$B$3001,MATCH(G3919,Pubs!$A$2:$A$3001,0))&amp;"","⚠ pub inconnue")))</f>
        <v/>
      </c>
      <c r="I3919" s="27" t="str">
        <f aca="false">IF(OR(G3919="",G3919="?"),"",IFERROR(INDEX(Pubs!$C$2:$C$3001,MATCH(G3919,Pubs!$A$2:$A$3001,0))&amp;"",""))</f>
        <v/>
      </c>
      <c r="J3919" s="27" t="str">
        <f aca="false">IF(OR(G3919="",G3919="?"),"",IFERROR(INDEX(Pubs!$G$2:$G$3001,MATCH(G3919,Pubs!$A$2:$A$3001,0))&amp;"",""))</f>
        <v/>
      </c>
      <c r="K3919" s="28" t="str">
        <f aca="false">IF(OR(G3919="",G3919="?"),"",IFERROR(INDEX(Pubs!$E$2:$E$3001,MATCH(G3919,Pubs!$A$2:$A$3001,0)),""))</f>
        <v/>
      </c>
      <c r="L3919" s="29" t="str">
        <f aca="false">IF(A3919="","",IFERROR(1/(1/INDEX(Numéros!$C$2:$C$3001,MATCH(A3919&amp;"|"&amp;B3919,Numéros!$F$2:$F$3001,0))),""))</f>
        <v/>
      </c>
      <c r="M3919" s="27" t="str">
        <f aca="false">IF(OR(G3919="",G3919="?"),"",IFERROR(INDEX(Pubs!$D$2:$D$3001,MATCH(G3919,Pubs!$A$2:$A$3001,0))&amp;"",""))</f>
        <v/>
      </c>
      <c r="N3919" s="27" t="n">
        <f aca="false">N(N3918)+IF(AND(A3919&lt;&gt;"",OR(Recherche!$C$4="",A3919=Recherche!$C$4),OR(Recherche!$C$5="",B3919&amp;""=Recherche!$C$5&amp;""),OR(Recherche!$C$6="",IFERROR(YEAR(L3919),0)=Recherche!$C$6),OR(Recherche!$C$7="",ISNUMBER(SEARCH(Recherche!$C$7,H3919))),OR(Recherche!$C$8="",J3919=Recherche!$C$8),OR(Recherche!$C$9="",I3919=Recherche!$C$9),OR(Recherche!$C$10="",G3919&amp;""=Recherche!$C$10&amp;""),OR(Recherche!$C$11="",E3919=Recherche!$C$11),OR(Recherche!$C$12="",ISNUMBER(SEARCH(Recherche!$C$12,M3919&amp;" "&amp;F3919)))),1,0)</f>
        <v>8</v>
      </c>
    </row>
    <row r="3920" customFormat="false" ht="15" hidden="false" customHeight="false" outlineLevel="0" collapsed="false">
      <c r="A3920" s="19"/>
      <c r="B3920" s="19"/>
      <c r="C3920" s="19"/>
      <c r="D3920" s="19"/>
      <c r="E3920" s="22"/>
      <c r="F3920" s="19"/>
      <c r="G3920" s="26" t="str">
        <f aca="false">IF(D3920="","",IFERROR(VALUE(LEFT(D3920,FIND(" |",D3920&amp;" |")-1)),"?"))</f>
        <v/>
      </c>
      <c r="H3920" s="27" t="str">
        <f aca="false">IF(G3920="","",IF(G3920="?","⚠ pub inconnue",IFERROR(INDEX(Pubs!$B$2:$B$3001,MATCH(G3920,Pubs!$A$2:$A$3001,0))&amp;"","⚠ pub inconnue")))</f>
        <v/>
      </c>
      <c r="I3920" s="27" t="str">
        <f aca="false">IF(OR(G3920="",G3920="?"),"",IFERROR(INDEX(Pubs!$C$2:$C$3001,MATCH(G3920,Pubs!$A$2:$A$3001,0))&amp;"",""))</f>
        <v/>
      </c>
      <c r="J3920" s="27" t="str">
        <f aca="false">IF(OR(G3920="",G3920="?"),"",IFERROR(INDEX(Pubs!$G$2:$G$3001,MATCH(G3920,Pubs!$A$2:$A$3001,0))&amp;"",""))</f>
        <v/>
      </c>
      <c r="K3920" s="28" t="str">
        <f aca="false">IF(OR(G3920="",G3920="?"),"",IFERROR(INDEX(Pubs!$E$2:$E$3001,MATCH(G3920,Pubs!$A$2:$A$3001,0)),""))</f>
        <v/>
      </c>
      <c r="L3920" s="29" t="str">
        <f aca="false">IF(A3920="","",IFERROR(1/(1/INDEX(Numéros!$C$2:$C$3001,MATCH(A3920&amp;"|"&amp;B3920,Numéros!$F$2:$F$3001,0))),""))</f>
        <v/>
      </c>
      <c r="M3920" s="27" t="str">
        <f aca="false">IF(OR(G3920="",G3920="?"),"",IFERROR(INDEX(Pubs!$D$2:$D$3001,MATCH(G3920,Pubs!$A$2:$A$3001,0))&amp;"",""))</f>
        <v/>
      </c>
      <c r="N3920" s="27" t="n">
        <f aca="false">N(N3919)+IF(AND(A3920&lt;&gt;"",OR(Recherche!$C$4="",A3920=Recherche!$C$4),OR(Recherche!$C$5="",B3920&amp;""=Recherche!$C$5&amp;""),OR(Recherche!$C$6="",IFERROR(YEAR(L3920),0)=Recherche!$C$6),OR(Recherche!$C$7="",ISNUMBER(SEARCH(Recherche!$C$7,H3920))),OR(Recherche!$C$8="",J3920=Recherche!$C$8),OR(Recherche!$C$9="",I3920=Recherche!$C$9),OR(Recherche!$C$10="",G3920&amp;""=Recherche!$C$10&amp;""),OR(Recherche!$C$11="",E3920=Recherche!$C$11),OR(Recherche!$C$12="",ISNUMBER(SEARCH(Recherche!$C$12,M3920&amp;" "&amp;F3920)))),1,0)</f>
        <v>8</v>
      </c>
    </row>
    <row r="3921" customFormat="false" ht="15" hidden="false" customHeight="false" outlineLevel="0" collapsed="false">
      <c r="A3921" s="19"/>
      <c r="B3921" s="19"/>
      <c r="C3921" s="19"/>
      <c r="D3921" s="19"/>
      <c r="E3921" s="22"/>
      <c r="F3921" s="19"/>
      <c r="G3921" s="26" t="str">
        <f aca="false">IF(D3921="","",IFERROR(VALUE(LEFT(D3921,FIND(" |",D3921&amp;" |")-1)),"?"))</f>
        <v/>
      </c>
      <c r="H3921" s="27" t="str">
        <f aca="false">IF(G3921="","",IF(G3921="?","⚠ pub inconnue",IFERROR(INDEX(Pubs!$B$2:$B$3001,MATCH(G3921,Pubs!$A$2:$A$3001,0))&amp;"","⚠ pub inconnue")))</f>
        <v/>
      </c>
      <c r="I3921" s="27" t="str">
        <f aca="false">IF(OR(G3921="",G3921="?"),"",IFERROR(INDEX(Pubs!$C$2:$C$3001,MATCH(G3921,Pubs!$A$2:$A$3001,0))&amp;"",""))</f>
        <v/>
      </c>
      <c r="J3921" s="27" t="str">
        <f aca="false">IF(OR(G3921="",G3921="?"),"",IFERROR(INDEX(Pubs!$G$2:$G$3001,MATCH(G3921,Pubs!$A$2:$A$3001,0))&amp;"",""))</f>
        <v/>
      </c>
      <c r="K3921" s="28" t="str">
        <f aca="false">IF(OR(G3921="",G3921="?"),"",IFERROR(INDEX(Pubs!$E$2:$E$3001,MATCH(G3921,Pubs!$A$2:$A$3001,0)),""))</f>
        <v/>
      </c>
      <c r="L3921" s="29" t="str">
        <f aca="false">IF(A3921="","",IFERROR(1/(1/INDEX(Numéros!$C$2:$C$3001,MATCH(A3921&amp;"|"&amp;B3921,Numéros!$F$2:$F$3001,0))),""))</f>
        <v/>
      </c>
      <c r="M3921" s="27" t="str">
        <f aca="false">IF(OR(G3921="",G3921="?"),"",IFERROR(INDEX(Pubs!$D$2:$D$3001,MATCH(G3921,Pubs!$A$2:$A$3001,0))&amp;"",""))</f>
        <v/>
      </c>
      <c r="N3921" s="27" t="n">
        <f aca="false">N(N3920)+IF(AND(A3921&lt;&gt;"",OR(Recherche!$C$4="",A3921=Recherche!$C$4),OR(Recherche!$C$5="",B3921&amp;""=Recherche!$C$5&amp;""),OR(Recherche!$C$6="",IFERROR(YEAR(L3921),0)=Recherche!$C$6),OR(Recherche!$C$7="",ISNUMBER(SEARCH(Recherche!$C$7,H3921))),OR(Recherche!$C$8="",J3921=Recherche!$C$8),OR(Recherche!$C$9="",I3921=Recherche!$C$9),OR(Recherche!$C$10="",G3921&amp;""=Recherche!$C$10&amp;""),OR(Recherche!$C$11="",E3921=Recherche!$C$11),OR(Recherche!$C$12="",ISNUMBER(SEARCH(Recherche!$C$12,M3921&amp;" "&amp;F3921)))),1,0)</f>
        <v>8</v>
      </c>
    </row>
    <row r="3922" customFormat="false" ht="15" hidden="false" customHeight="false" outlineLevel="0" collapsed="false">
      <c r="A3922" s="19"/>
      <c r="B3922" s="19"/>
      <c r="C3922" s="19"/>
      <c r="D3922" s="19"/>
      <c r="E3922" s="22"/>
      <c r="F3922" s="19"/>
      <c r="G3922" s="26" t="str">
        <f aca="false">IF(D3922="","",IFERROR(VALUE(LEFT(D3922,FIND(" |",D3922&amp;" |")-1)),"?"))</f>
        <v/>
      </c>
      <c r="H3922" s="27" t="str">
        <f aca="false">IF(G3922="","",IF(G3922="?","⚠ pub inconnue",IFERROR(INDEX(Pubs!$B$2:$B$3001,MATCH(G3922,Pubs!$A$2:$A$3001,0))&amp;"","⚠ pub inconnue")))</f>
        <v/>
      </c>
      <c r="I3922" s="27" t="str">
        <f aca="false">IF(OR(G3922="",G3922="?"),"",IFERROR(INDEX(Pubs!$C$2:$C$3001,MATCH(G3922,Pubs!$A$2:$A$3001,0))&amp;"",""))</f>
        <v/>
      </c>
      <c r="J3922" s="27" t="str">
        <f aca="false">IF(OR(G3922="",G3922="?"),"",IFERROR(INDEX(Pubs!$G$2:$G$3001,MATCH(G3922,Pubs!$A$2:$A$3001,0))&amp;"",""))</f>
        <v/>
      </c>
      <c r="K3922" s="28" t="str">
        <f aca="false">IF(OR(G3922="",G3922="?"),"",IFERROR(INDEX(Pubs!$E$2:$E$3001,MATCH(G3922,Pubs!$A$2:$A$3001,0)),""))</f>
        <v/>
      </c>
      <c r="L3922" s="29" t="str">
        <f aca="false">IF(A3922="","",IFERROR(1/(1/INDEX(Numéros!$C$2:$C$3001,MATCH(A3922&amp;"|"&amp;B3922,Numéros!$F$2:$F$3001,0))),""))</f>
        <v/>
      </c>
      <c r="M3922" s="27" t="str">
        <f aca="false">IF(OR(G3922="",G3922="?"),"",IFERROR(INDEX(Pubs!$D$2:$D$3001,MATCH(G3922,Pubs!$A$2:$A$3001,0))&amp;"",""))</f>
        <v/>
      </c>
      <c r="N3922" s="27" t="n">
        <f aca="false">N(N3921)+IF(AND(A3922&lt;&gt;"",OR(Recherche!$C$4="",A3922=Recherche!$C$4),OR(Recherche!$C$5="",B3922&amp;""=Recherche!$C$5&amp;""),OR(Recherche!$C$6="",IFERROR(YEAR(L3922),0)=Recherche!$C$6),OR(Recherche!$C$7="",ISNUMBER(SEARCH(Recherche!$C$7,H3922))),OR(Recherche!$C$8="",J3922=Recherche!$C$8),OR(Recherche!$C$9="",I3922=Recherche!$C$9),OR(Recherche!$C$10="",G3922&amp;""=Recherche!$C$10&amp;""),OR(Recherche!$C$11="",E3922=Recherche!$C$11),OR(Recherche!$C$12="",ISNUMBER(SEARCH(Recherche!$C$12,M3922&amp;" "&amp;F3922)))),1,0)</f>
        <v>8</v>
      </c>
    </row>
    <row r="3923" customFormat="false" ht="15" hidden="false" customHeight="false" outlineLevel="0" collapsed="false">
      <c r="A3923" s="19"/>
      <c r="B3923" s="19"/>
      <c r="C3923" s="19"/>
      <c r="D3923" s="19"/>
      <c r="E3923" s="22"/>
      <c r="F3923" s="19"/>
      <c r="G3923" s="26" t="str">
        <f aca="false">IF(D3923="","",IFERROR(VALUE(LEFT(D3923,FIND(" |",D3923&amp;" |")-1)),"?"))</f>
        <v/>
      </c>
      <c r="H3923" s="27" t="str">
        <f aca="false">IF(G3923="","",IF(G3923="?","⚠ pub inconnue",IFERROR(INDEX(Pubs!$B$2:$B$3001,MATCH(G3923,Pubs!$A$2:$A$3001,0))&amp;"","⚠ pub inconnue")))</f>
        <v/>
      </c>
      <c r="I3923" s="27" t="str">
        <f aca="false">IF(OR(G3923="",G3923="?"),"",IFERROR(INDEX(Pubs!$C$2:$C$3001,MATCH(G3923,Pubs!$A$2:$A$3001,0))&amp;"",""))</f>
        <v/>
      </c>
      <c r="J3923" s="27" t="str">
        <f aca="false">IF(OR(G3923="",G3923="?"),"",IFERROR(INDEX(Pubs!$G$2:$G$3001,MATCH(G3923,Pubs!$A$2:$A$3001,0))&amp;"",""))</f>
        <v/>
      </c>
      <c r="K3923" s="28" t="str">
        <f aca="false">IF(OR(G3923="",G3923="?"),"",IFERROR(INDEX(Pubs!$E$2:$E$3001,MATCH(G3923,Pubs!$A$2:$A$3001,0)),""))</f>
        <v/>
      </c>
      <c r="L3923" s="29" t="str">
        <f aca="false">IF(A3923="","",IFERROR(1/(1/INDEX(Numéros!$C$2:$C$3001,MATCH(A3923&amp;"|"&amp;B3923,Numéros!$F$2:$F$3001,0))),""))</f>
        <v/>
      </c>
      <c r="M3923" s="27" t="str">
        <f aca="false">IF(OR(G3923="",G3923="?"),"",IFERROR(INDEX(Pubs!$D$2:$D$3001,MATCH(G3923,Pubs!$A$2:$A$3001,0))&amp;"",""))</f>
        <v/>
      </c>
      <c r="N3923" s="27" t="n">
        <f aca="false">N(N3922)+IF(AND(A3923&lt;&gt;"",OR(Recherche!$C$4="",A3923=Recherche!$C$4),OR(Recherche!$C$5="",B3923&amp;""=Recherche!$C$5&amp;""),OR(Recherche!$C$6="",IFERROR(YEAR(L3923),0)=Recherche!$C$6),OR(Recherche!$C$7="",ISNUMBER(SEARCH(Recherche!$C$7,H3923))),OR(Recherche!$C$8="",J3923=Recherche!$C$8),OR(Recherche!$C$9="",I3923=Recherche!$C$9),OR(Recherche!$C$10="",G3923&amp;""=Recherche!$C$10&amp;""),OR(Recherche!$C$11="",E3923=Recherche!$C$11),OR(Recherche!$C$12="",ISNUMBER(SEARCH(Recherche!$C$12,M3923&amp;" "&amp;F3923)))),1,0)</f>
        <v>8</v>
      </c>
    </row>
    <row r="3924" customFormat="false" ht="15" hidden="false" customHeight="false" outlineLevel="0" collapsed="false">
      <c r="A3924" s="19"/>
      <c r="B3924" s="19"/>
      <c r="C3924" s="19"/>
      <c r="D3924" s="19"/>
      <c r="E3924" s="22"/>
      <c r="F3924" s="19"/>
      <c r="G3924" s="26" t="str">
        <f aca="false">IF(D3924="","",IFERROR(VALUE(LEFT(D3924,FIND(" |",D3924&amp;" |")-1)),"?"))</f>
        <v/>
      </c>
      <c r="H3924" s="27" t="str">
        <f aca="false">IF(G3924="","",IF(G3924="?","⚠ pub inconnue",IFERROR(INDEX(Pubs!$B$2:$B$3001,MATCH(G3924,Pubs!$A$2:$A$3001,0))&amp;"","⚠ pub inconnue")))</f>
        <v/>
      </c>
      <c r="I3924" s="27" t="str">
        <f aca="false">IF(OR(G3924="",G3924="?"),"",IFERROR(INDEX(Pubs!$C$2:$C$3001,MATCH(G3924,Pubs!$A$2:$A$3001,0))&amp;"",""))</f>
        <v/>
      </c>
      <c r="J3924" s="27" t="str">
        <f aca="false">IF(OR(G3924="",G3924="?"),"",IFERROR(INDEX(Pubs!$G$2:$G$3001,MATCH(G3924,Pubs!$A$2:$A$3001,0))&amp;"",""))</f>
        <v/>
      </c>
      <c r="K3924" s="28" t="str">
        <f aca="false">IF(OR(G3924="",G3924="?"),"",IFERROR(INDEX(Pubs!$E$2:$E$3001,MATCH(G3924,Pubs!$A$2:$A$3001,0)),""))</f>
        <v/>
      </c>
      <c r="L3924" s="29" t="str">
        <f aca="false">IF(A3924="","",IFERROR(1/(1/INDEX(Numéros!$C$2:$C$3001,MATCH(A3924&amp;"|"&amp;B3924,Numéros!$F$2:$F$3001,0))),""))</f>
        <v/>
      </c>
      <c r="M3924" s="27" t="str">
        <f aca="false">IF(OR(G3924="",G3924="?"),"",IFERROR(INDEX(Pubs!$D$2:$D$3001,MATCH(G3924,Pubs!$A$2:$A$3001,0))&amp;"",""))</f>
        <v/>
      </c>
      <c r="N3924" s="27" t="n">
        <f aca="false">N(N3923)+IF(AND(A3924&lt;&gt;"",OR(Recherche!$C$4="",A3924=Recherche!$C$4),OR(Recherche!$C$5="",B3924&amp;""=Recherche!$C$5&amp;""),OR(Recherche!$C$6="",IFERROR(YEAR(L3924),0)=Recherche!$C$6),OR(Recherche!$C$7="",ISNUMBER(SEARCH(Recherche!$C$7,H3924))),OR(Recherche!$C$8="",J3924=Recherche!$C$8),OR(Recherche!$C$9="",I3924=Recherche!$C$9),OR(Recherche!$C$10="",G3924&amp;""=Recherche!$C$10&amp;""),OR(Recherche!$C$11="",E3924=Recherche!$C$11),OR(Recherche!$C$12="",ISNUMBER(SEARCH(Recherche!$C$12,M3924&amp;" "&amp;F3924)))),1,0)</f>
        <v>8</v>
      </c>
    </row>
    <row r="3925" customFormat="false" ht="15" hidden="false" customHeight="false" outlineLevel="0" collapsed="false">
      <c r="A3925" s="19"/>
      <c r="B3925" s="19"/>
      <c r="C3925" s="19"/>
      <c r="D3925" s="19"/>
      <c r="E3925" s="22"/>
      <c r="F3925" s="19"/>
      <c r="G3925" s="26" t="str">
        <f aca="false">IF(D3925="","",IFERROR(VALUE(LEFT(D3925,FIND(" |",D3925&amp;" |")-1)),"?"))</f>
        <v/>
      </c>
      <c r="H3925" s="27" t="str">
        <f aca="false">IF(G3925="","",IF(G3925="?","⚠ pub inconnue",IFERROR(INDEX(Pubs!$B$2:$B$3001,MATCH(G3925,Pubs!$A$2:$A$3001,0))&amp;"","⚠ pub inconnue")))</f>
        <v/>
      </c>
      <c r="I3925" s="27" t="str">
        <f aca="false">IF(OR(G3925="",G3925="?"),"",IFERROR(INDEX(Pubs!$C$2:$C$3001,MATCH(G3925,Pubs!$A$2:$A$3001,0))&amp;"",""))</f>
        <v/>
      </c>
      <c r="J3925" s="27" t="str">
        <f aca="false">IF(OR(G3925="",G3925="?"),"",IFERROR(INDEX(Pubs!$G$2:$G$3001,MATCH(G3925,Pubs!$A$2:$A$3001,0))&amp;"",""))</f>
        <v/>
      </c>
      <c r="K3925" s="28" t="str">
        <f aca="false">IF(OR(G3925="",G3925="?"),"",IFERROR(INDEX(Pubs!$E$2:$E$3001,MATCH(G3925,Pubs!$A$2:$A$3001,0)),""))</f>
        <v/>
      </c>
      <c r="L3925" s="29" t="str">
        <f aca="false">IF(A3925="","",IFERROR(1/(1/INDEX(Numéros!$C$2:$C$3001,MATCH(A3925&amp;"|"&amp;B3925,Numéros!$F$2:$F$3001,0))),""))</f>
        <v/>
      </c>
      <c r="M3925" s="27" t="str">
        <f aca="false">IF(OR(G3925="",G3925="?"),"",IFERROR(INDEX(Pubs!$D$2:$D$3001,MATCH(G3925,Pubs!$A$2:$A$3001,0))&amp;"",""))</f>
        <v/>
      </c>
      <c r="N3925" s="27" t="n">
        <f aca="false">N(N3924)+IF(AND(A3925&lt;&gt;"",OR(Recherche!$C$4="",A3925=Recherche!$C$4),OR(Recherche!$C$5="",B3925&amp;""=Recherche!$C$5&amp;""),OR(Recherche!$C$6="",IFERROR(YEAR(L3925),0)=Recherche!$C$6),OR(Recherche!$C$7="",ISNUMBER(SEARCH(Recherche!$C$7,H3925))),OR(Recherche!$C$8="",J3925=Recherche!$C$8),OR(Recherche!$C$9="",I3925=Recherche!$C$9),OR(Recherche!$C$10="",G3925&amp;""=Recherche!$C$10&amp;""),OR(Recherche!$C$11="",E3925=Recherche!$C$11),OR(Recherche!$C$12="",ISNUMBER(SEARCH(Recherche!$C$12,M3925&amp;" "&amp;F3925)))),1,0)</f>
        <v>8</v>
      </c>
    </row>
    <row r="3926" customFormat="false" ht="15" hidden="false" customHeight="false" outlineLevel="0" collapsed="false">
      <c r="A3926" s="19"/>
      <c r="B3926" s="19"/>
      <c r="C3926" s="19"/>
      <c r="D3926" s="19"/>
      <c r="E3926" s="22"/>
      <c r="F3926" s="19"/>
      <c r="G3926" s="26" t="str">
        <f aca="false">IF(D3926="","",IFERROR(VALUE(LEFT(D3926,FIND(" |",D3926&amp;" |")-1)),"?"))</f>
        <v/>
      </c>
      <c r="H3926" s="27" t="str">
        <f aca="false">IF(G3926="","",IF(G3926="?","⚠ pub inconnue",IFERROR(INDEX(Pubs!$B$2:$B$3001,MATCH(G3926,Pubs!$A$2:$A$3001,0))&amp;"","⚠ pub inconnue")))</f>
        <v/>
      </c>
      <c r="I3926" s="27" t="str">
        <f aca="false">IF(OR(G3926="",G3926="?"),"",IFERROR(INDEX(Pubs!$C$2:$C$3001,MATCH(G3926,Pubs!$A$2:$A$3001,0))&amp;"",""))</f>
        <v/>
      </c>
      <c r="J3926" s="27" t="str">
        <f aca="false">IF(OR(G3926="",G3926="?"),"",IFERROR(INDEX(Pubs!$G$2:$G$3001,MATCH(G3926,Pubs!$A$2:$A$3001,0))&amp;"",""))</f>
        <v/>
      </c>
      <c r="K3926" s="28" t="str">
        <f aca="false">IF(OR(G3926="",G3926="?"),"",IFERROR(INDEX(Pubs!$E$2:$E$3001,MATCH(G3926,Pubs!$A$2:$A$3001,0)),""))</f>
        <v/>
      </c>
      <c r="L3926" s="29" t="str">
        <f aca="false">IF(A3926="","",IFERROR(1/(1/INDEX(Numéros!$C$2:$C$3001,MATCH(A3926&amp;"|"&amp;B3926,Numéros!$F$2:$F$3001,0))),""))</f>
        <v/>
      </c>
      <c r="M3926" s="27" t="str">
        <f aca="false">IF(OR(G3926="",G3926="?"),"",IFERROR(INDEX(Pubs!$D$2:$D$3001,MATCH(G3926,Pubs!$A$2:$A$3001,0))&amp;"",""))</f>
        <v/>
      </c>
      <c r="N3926" s="27" t="n">
        <f aca="false">N(N3925)+IF(AND(A3926&lt;&gt;"",OR(Recherche!$C$4="",A3926=Recherche!$C$4),OR(Recherche!$C$5="",B3926&amp;""=Recherche!$C$5&amp;""),OR(Recherche!$C$6="",IFERROR(YEAR(L3926),0)=Recherche!$C$6),OR(Recherche!$C$7="",ISNUMBER(SEARCH(Recherche!$C$7,H3926))),OR(Recherche!$C$8="",J3926=Recherche!$C$8),OR(Recherche!$C$9="",I3926=Recherche!$C$9),OR(Recherche!$C$10="",G3926&amp;""=Recherche!$C$10&amp;""),OR(Recherche!$C$11="",E3926=Recherche!$C$11),OR(Recherche!$C$12="",ISNUMBER(SEARCH(Recherche!$C$12,M3926&amp;" "&amp;F3926)))),1,0)</f>
        <v>8</v>
      </c>
    </row>
    <row r="3927" customFormat="false" ht="15" hidden="false" customHeight="false" outlineLevel="0" collapsed="false">
      <c r="A3927" s="19"/>
      <c r="B3927" s="19"/>
      <c r="C3927" s="19"/>
      <c r="D3927" s="19"/>
      <c r="E3927" s="22"/>
      <c r="F3927" s="19"/>
      <c r="G3927" s="26" t="str">
        <f aca="false">IF(D3927="","",IFERROR(VALUE(LEFT(D3927,FIND(" |",D3927&amp;" |")-1)),"?"))</f>
        <v/>
      </c>
      <c r="H3927" s="27" t="str">
        <f aca="false">IF(G3927="","",IF(G3927="?","⚠ pub inconnue",IFERROR(INDEX(Pubs!$B$2:$B$3001,MATCH(G3927,Pubs!$A$2:$A$3001,0))&amp;"","⚠ pub inconnue")))</f>
        <v/>
      </c>
      <c r="I3927" s="27" t="str">
        <f aca="false">IF(OR(G3927="",G3927="?"),"",IFERROR(INDEX(Pubs!$C$2:$C$3001,MATCH(G3927,Pubs!$A$2:$A$3001,0))&amp;"",""))</f>
        <v/>
      </c>
      <c r="J3927" s="27" t="str">
        <f aca="false">IF(OR(G3927="",G3927="?"),"",IFERROR(INDEX(Pubs!$G$2:$G$3001,MATCH(G3927,Pubs!$A$2:$A$3001,0))&amp;"",""))</f>
        <v/>
      </c>
      <c r="K3927" s="28" t="str">
        <f aca="false">IF(OR(G3927="",G3927="?"),"",IFERROR(INDEX(Pubs!$E$2:$E$3001,MATCH(G3927,Pubs!$A$2:$A$3001,0)),""))</f>
        <v/>
      </c>
      <c r="L3927" s="29" t="str">
        <f aca="false">IF(A3927="","",IFERROR(1/(1/INDEX(Numéros!$C$2:$C$3001,MATCH(A3927&amp;"|"&amp;B3927,Numéros!$F$2:$F$3001,0))),""))</f>
        <v/>
      </c>
      <c r="M3927" s="27" t="str">
        <f aca="false">IF(OR(G3927="",G3927="?"),"",IFERROR(INDEX(Pubs!$D$2:$D$3001,MATCH(G3927,Pubs!$A$2:$A$3001,0))&amp;"",""))</f>
        <v/>
      </c>
      <c r="N3927" s="27" t="n">
        <f aca="false">N(N3926)+IF(AND(A3927&lt;&gt;"",OR(Recherche!$C$4="",A3927=Recherche!$C$4),OR(Recherche!$C$5="",B3927&amp;""=Recherche!$C$5&amp;""),OR(Recherche!$C$6="",IFERROR(YEAR(L3927),0)=Recherche!$C$6),OR(Recherche!$C$7="",ISNUMBER(SEARCH(Recherche!$C$7,H3927))),OR(Recherche!$C$8="",J3927=Recherche!$C$8),OR(Recherche!$C$9="",I3927=Recherche!$C$9),OR(Recherche!$C$10="",G3927&amp;""=Recherche!$C$10&amp;""),OR(Recherche!$C$11="",E3927=Recherche!$C$11),OR(Recherche!$C$12="",ISNUMBER(SEARCH(Recherche!$C$12,M3927&amp;" "&amp;F3927)))),1,0)</f>
        <v>8</v>
      </c>
    </row>
    <row r="3928" customFormat="false" ht="15" hidden="false" customHeight="false" outlineLevel="0" collapsed="false">
      <c r="A3928" s="19"/>
      <c r="B3928" s="19"/>
      <c r="C3928" s="19"/>
      <c r="D3928" s="19"/>
      <c r="E3928" s="22"/>
      <c r="F3928" s="19"/>
      <c r="G3928" s="26" t="str">
        <f aca="false">IF(D3928="","",IFERROR(VALUE(LEFT(D3928,FIND(" |",D3928&amp;" |")-1)),"?"))</f>
        <v/>
      </c>
      <c r="H3928" s="27" t="str">
        <f aca="false">IF(G3928="","",IF(G3928="?","⚠ pub inconnue",IFERROR(INDEX(Pubs!$B$2:$B$3001,MATCH(G3928,Pubs!$A$2:$A$3001,0))&amp;"","⚠ pub inconnue")))</f>
        <v/>
      </c>
      <c r="I3928" s="27" t="str">
        <f aca="false">IF(OR(G3928="",G3928="?"),"",IFERROR(INDEX(Pubs!$C$2:$C$3001,MATCH(G3928,Pubs!$A$2:$A$3001,0))&amp;"",""))</f>
        <v/>
      </c>
      <c r="J3928" s="27" t="str">
        <f aca="false">IF(OR(G3928="",G3928="?"),"",IFERROR(INDEX(Pubs!$G$2:$G$3001,MATCH(G3928,Pubs!$A$2:$A$3001,0))&amp;"",""))</f>
        <v/>
      </c>
      <c r="K3928" s="28" t="str">
        <f aca="false">IF(OR(G3928="",G3928="?"),"",IFERROR(INDEX(Pubs!$E$2:$E$3001,MATCH(G3928,Pubs!$A$2:$A$3001,0)),""))</f>
        <v/>
      </c>
      <c r="L3928" s="29" t="str">
        <f aca="false">IF(A3928="","",IFERROR(1/(1/INDEX(Numéros!$C$2:$C$3001,MATCH(A3928&amp;"|"&amp;B3928,Numéros!$F$2:$F$3001,0))),""))</f>
        <v/>
      </c>
      <c r="M3928" s="27" t="str">
        <f aca="false">IF(OR(G3928="",G3928="?"),"",IFERROR(INDEX(Pubs!$D$2:$D$3001,MATCH(G3928,Pubs!$A$2:$A$3001,0))&amp;"",""))</f>
        <v/>
      </c>
      <c r="N3928" s="27" t="n">
        <f aca="false">N(N3927)+IF(AND(A3928&lt;&gt;"",OR(Recherche!$C$4="",A3928=Recherche!$C$4),OR(Recherche!$C$5="",B3928&amp;""=Recherche!$C$5&amp;""),OR(Recherche!$C$6="",IFERROR(YEAR(L3928),0)=Recherche!$C$6),OR(Recherche!$C$7="",ISNUMBER(SEARCH(Recherche!$C$7,H3928))),OR(Recherche!$C$8="",J3928=Recherche!$C$8),OR(Recherche!$C$9="",I3928=Recherche!$C$9),OR(Recherche!$C$10="",G3928&amp;""=Recherche!$C$10&amp;""),OR(Recherche!$C$11="",E3928=Recherche!$C$11),OR(Recherche!$C$12="",ISNUMBER(SEARCH(Recherche!$C$12,M3928&amp;" "&amp;F3928)))),1,0)</f>
        <v>8</v>
      </c>
    </row>
    <row r="3929" customFormat="false" ht="15" hidden="false" customHeight="false" outlineLevel="0" collapsed="false">
      <c r="A3929" s="19"/>
      <c r="B3929" s="19"/>
      <c r="C3929" s="19"/>
      <c r="D3929" s="19"/>
      <c r="E3929" s="22"/>
      <c r="F3929" s="19"/>
      <c r="G3929" s="26" t="str">
        <f aca="false">IF(D3929="","",IFERROR(VALUE(LEFT(D3929,FIND(" |",D3929&amp;" |")-1)),"?"))</f>
        <v/>
      </c>
      <c r="H3929" s="27" t="str">
        <f aca="false">IF(G3929="","",IF(G3929="?","⚠ pub inconnue",IFERROR(INDEX(Pubs!$B$2:$B$3001,MATCH(G3929,Pubs!$A$2:$A$3001,0))&amp;"","⚠ pub inconnue")))</f>
        <v/>
      </c>
      <c r="I3929" s="27" t="str">
        <f aca="false">IF(OR(G3929="",G3929="?"),"",IFERROR(INDEX(Pubs!$C$2:$C$3001,MATCH(G3929,Pubs!$A$2:$A$3001,0))&amp;"",""))</f>
        <v/>
      </c>
      <c r="J3929" s="27" t="str">
        <f aca="false">IF(OR(G3929="",G3929="?"),"",IFERROR(INDEX(Pubs!$G$2:$G$3001,MATCH(G3929,Pubs!$A$2:$A$3001,0))&amp;"",""))</f>
        <v/>
      </c>
      <c r="K3929" s="28" t="str">
        <f aca="false">IF(OR(G3929="",G3929="?"),"",IFERROR(INDEX(Pubs!$E$2:$E$3001,MATCH(G3929,Pubs!$A$2:$A$3001,0)),""))</f>
        <v/>
      </c>
      <c r="L3929" s="29" t="str">
        <f aca="false">IF(A3929="","",IFERROR(1/(1/INDEX(Numéros!$C$2:$C$3001,MATCH(A3929&amp;"|"&amp;B3929,Numéros!$F$2:$F$3001,0))),""))</f>
        <v/>
      </c>
      <c r="M3929" s="27" t="str">
        <f aca="false">IF(OR(G3929="",G3929="?"),"",IFERROR(INDEX(Pubs!$D$2:$D$3001,MATCH(G3929,Pubs!$A$2:$A$3001,0))&amp;"",""))</f>
        <v/>
      </c>
      <c r="N3929" s="27" t="n">
        <f aca="false">N(N3928)+IF(AND(A3929&lt;&gt;"",OR(Recherche!$C$4="",A3929=Recherche!$C$4),OR(Recherche!$C$5="",B3929&amp;""=Recherche!$C$5&amp;""),OR(Recherche!$C$6="",IFERROR(YEAR(L3929),0)=Recherche!$C$6),OR(Recherche!$C$7="",ISNUMBER(SEARCH(Recherche!$C$7,H3929))),OR(Recherche!$C$8="",J3929=Recherche!$C$8),OR(Recherche!$C$9="",I3929=Recherche!$C$9),OR(Recherche!$C$10="",G3929&amp;""=Recherche!$C$10&amp;""),OR(Recherche!$C$11="",E3929=Recherche!$C$11),OR(Recherche!$C$12="",ISNUMBER(SEARCH(Recherche!$C$12,M3929&amp;" "&amp;F3929)))),1,0)</f>
        <v>8</v>
      </c>
    </row>
    <row r="3930" customFormat="false" ht="15" hidden="false" customHeight="false" outlineLevel="0" collapsed="false">
      <c r="A3930" s="19"/>
      <c r="B3930" s="19"/>
      <c r="C3930" s="19"/>
      <c r="D3930" s="19"/>
      <c r="E3930" s="22"/>
      <c r="F3930" s="19"/>
      <c r="G3930" s="26" t="str">
        <f aca="false">IF(D3930="","",IFERROR(VALUE(LEFT(D3930,FIND(" |",D3930&amp;" |")-1)),"?"))</f>
        <v/>
      </c>
      <c r="H3930" s="27" t="str">
        <f aca="false">IF(G3930="","",IF(G3930="?","⚠ pub inconnue",IFERROR(INDEX(Pubs!$B$2:$B$3001,MATCH(G3930,Pubs!$A$2:$A$3001,0))&amp;"","⚠ pub inconnue")))</f>
        <v/>
      </c>
      <c r="I3930" s="27" t="str">
        <f aca="false">IF(OR(G3930="",G3930="?"),"",IFERROR(INDEX(Pubs!$C$2:$C$3001,MATCH(G3930,Pubs!$A$2:$A$3001,0))&amp;"",""))</f>
        <v/>
      </c>
      <c r="J3930" s="27" t="str">
        <f aca="false">IF(OR(G3930="",G3930="?"),"",IFERROR(INDEX(Pubs!$G$2:$G$3001,MATCH(G3930,Pubs!$A$2:$A$3001,0))&amp;"",""))</f>
        <v/>
      </c>
      <c r="K3930" s="28" t="str">
        <f aca="false">IF(OR(G3930="",G3930="?"),"",IFERROR(INDEX(Pubs!$E$2:$E$3001,MATCH(G3930,Pubs!$A$2:$A$3001,0)),""))</f>
        <v/>
      </c>
      <c r="L3930" s="29" t="str">
        <f aca="false">IF(A3930="","",IFERROR(1/(1/INDEX(Numéros!$C$2:$C$3001,MATCH(A3930&amp;"|"&amp;B3930,Numéros!$F$2:$F$3001,0))),""))</f>
        <v/>
      </c>
      <c r="M3930" s="27" t="str">
        <f aca="false">IF(OR(G3930="",G3930="?"),"",IFERROR(INDEX(Pubs!$D$2:$D$3001,MATCH(G3930,Pubs!$A$2:$A$3001,0))&amp;"",""))</f>
        <v/>
      </c>
      <c r="N3930" s="27" t="n">
        <f aca="false">N(N3929)+IF(AND(A3930&lt;&gt;"",OR(Recherche!$C$4="",A3930=Recherche!$C$4),OR(Recherche!$C$5="",B3930&amp;""=Recherche!$C$5&amp;""),OR(Recherche!$C$6="",IFERROR(YEAR(L3930),0)=Recherche!$C$6),OR(Recherche!$C$7="",ISNUMBER(SEARCH(Recherche!$C$7,H3930))),OR(Recherche!$C$8="",J3930=Recherche!$C$8),OR(Recherche!$C$9="",I3930=Recherche!$C$9),OR(Recherche!$C$10="",G3930&amp;""=Recherche!$C$10&amp;""),OR(Recherche!$C$11="",E3930=Recherche!$C$11),OR(Recherche!$C$12="",ISNUMBER(SEARCH(Recherche!$C$12,M3930&amp;" "&amp;F3930)))),1,0)</f>
        <v>8</v>
      </c>
    </row>
    <row r="3931" customFormat="false" ht="15" hidden="false" customHeight="false" outlineLevel="0" collapsed="false">
      <c r="A3931" s="19"/>
      <c r="B3931" s="19"/>
      <c r="C3931" s="19"/>
      <c r="D3931" s="19"/>
      <c r="E3931" s="22"/>
      <c r="F3931" s="19"/>
      <c r="G3931" s="26" t="str">
        <f aca="false">IF(D3931="","",IFERROR(VALUE(LEFT(D3931,FIND(" |",D3931&amp;" |")-1)),"?"))</f>
        <v/>
      </c>
      <c r="H3931" s="27" t="str">
        <f aca="false">IF(G3931="","",IF(G3931="?","⚠ pub inconnue",IFERROR(INDEX(Pubs!$B$2:$B$3001,MATCH(G3931,Pubs!$A$2:$A$3001,0))&amp;"","⚠ pub inconnue")))</f>
        <v/>
      </c>
      <c r="I3931" s="27" t="str">
        <f aca="false">IF(OR(G3931="",G3931="?"),"",IFERROR(INDEX(Pubs!$C$2:$C$3001,MATCH(G3931,Pubs!$A$2:$A$3001,0))&amp;"",""))</f>
        <v/>
      </c>
      <c r="J3931" s="27" t="str">
        <f aca="false">IF(OR(G3931="",G3931="?"),"",IFERROR(INDEX(Pubs!$G$2:$G$3001,MATCH(G3931,Pubs!$A$2:$A$3001,0))&amp;"",""))</f>
        <v/>
      </c>
      <c r="K3931" s="28" t="str">
        <f aca="false">IF(OR(G3931="",G3931="?"),"",IFERROR(INDEX(Pubs!$E$2:$E$3001,MATCH(G3931,Pubs!$A$2:$A$3001,0)),""))</f>
        <v/>
      </c>
      <c r="L3931" s="29" t="str">
        <f aca="false">IF(A3931="","",IFERROR(1/(1/INDEX(Numéros!$C$2:$C$3001,MATCH(A3931&amp;"|"&amp;B3931,Numéros!$F$2:$F$3001,0))),""))</f>
        <v/>
      </c>
      <c r="M3931" s="27" t="str">
        <f aca="false">IF(OR(G3931="",G3931="?"),"",IFERROR(INDEX(Pubs!$D$2:$D$3001,MATCH(G3931,Pubs!$A$2:$A$3001,0))&amp;"",""))</f>
        <v/>
      </c>
      <c r="N3931" s="27" t="n">
        <f aca="false">N(N3930)+IF(AND(A3931&lt;&gt;"",OR(Recherche!$C$4="",A3931=Recherche!$C$4),OR(Recherche!$C$5="",B3931&amp;""=Recherche!$C$5&amp;""),OR(Recherche!$C$6="",IFERROR(YEAR(L3931),0)=Recherche!$C$6),OR(Recherche!$C$7="",ISNUMBER(SEARCH(Recherche!$C$7,H3931))),OR(Recherche!$C$8="",J3931=Recherche!$C$8),OR(Recherche!$C$9="",I3931=Recherche!$C$9),OR(Recherche!$C$10="",G3931&amp;""=Recherche!$C$10&amp;""),OR(Recherche!$C$11="",E3931=Recherche!$C$11),OR(Recherche!$C$12="",ISNUMBER(SEARCH(Recherche!$C$12,M3931&amp;" "&amp;F3931)))),1,0)</f>
        <v>8</v>
      </c>
    </row>
    <row r="3932" customFormat="false" ht="15" hidden="false" customHeight="false" outlineLevel="0" collapsed="false">
      <c r="A3932" s="19"/>
      <c r="B3932" s="19"/>
      <c r="C3932" s="19"/>
      <c r="D3932" s="19"/>
      <c r="E3932" s="22"/>
      <c r="F3932" s="19"/>
      <c r="G3932" s="26" t="str">
        <f aca="false">IF(D3932="","",IFERROR(VALUE(LEFT(D3932,FIND(" |",D3932&amp;" |")-1)),"?"))</f>
        <v/>
      </c>
      <c r="H3932" s="27" t="str">
        <f aca="false">IF(G3932="","",IF(G3932="?","⚠ pub inconnue",IFERROR(INDEX(Pubs!$B$2:$B$3001,MATCH(G3932,Pubs!$A$2:$A$3001,0))&amp;"","⚠ pub inconnue")))</f>
        <v/>
      </c>
      <c r="I3932" s="27" t="str">
        <f aca="false">IF(OR(G3932="",G3932="?"),"",IFERROR(INDEX(Pubs!$C$2:$C$3001,MATCH(G3932,Pubs!$A$2:$A$3001,0))&amp;"",""))</f>
        <v/>
      </c>
      <c r="J3932" s="27" t="str">
        <f aca="false">IF(OR(G3932="",G3932="?"),"",IFERROR(INDEX(Pubs!$G$2:$G$3001,MATCH(G3932,Pubs!$A$2:$A$3001,0))&amp;"",""))</f>
        <v/>
      </c>
      <c r="K3932" s="28" t="str">
        <f aca="false">IF(OR(G3932="",G3932="?"),"",IFERROR(INDEX(Pubs!$E$2:$E$3001,MATCH(G3932,Pubs!$A$2:$A$3001,0)),""))</f>
        <v/>
      </c>
      <c r="L3932" s="29" t="str">
        <f aca="false">IF(A3932="","",IFERROR(1/(1/INDEX(Numéros!$C$2:$C$3001,MATCH(A3932&amp;"|"&amp;B3932,Numéros!$F$2:$F$3001,0))),""))</f>
        <v/>
      </c>
      <c r="M3932" s="27" t="str">
        <f aca="false">IF(OR(G3932="",G3932="?"),"",IFERROR(INDEX(Pubs!$D$2:$D$3001,MATCH(G3932,Pubs!$A$2:$A$3001,0))&amp;"",""))</f>
        <v/>
      </c>
      <c r="N3932" s="27" t="n">
        <f aca="false">N(N3931)+IF(AND(A3932&lt;&gt;"",OR(Recherche!$C$4="",A3932=Recherche!$C$4),OR(Recherche!$C$5="",B3932&amp;""=Recherche!$C$5&amp;""),OR(Recherche!$C$6="",IFERROR(YEAR(L3932),0)=Recherche!$C$6),OR(Recherche!$C$7="",ISNUMBER(SEARCH(Recherche!$C$7,H3932))),OR(Recherche!$C$8="",J3932=Recherche!$C$8),OR(Recherche!$C$9="",I3932=Recherche!$C$9),OR(Recherche!$C$10="",G3932&amp;""=Recherche!$C$10&amp;""),OR(Recherche!$C$11="",E3932=Recherche!$C$11),OR(Recherche!$C$12="",ISNUMBER(SEARCH(Recherche!$C$12,M3932&amp;" "&amp;F3932)))),1,0)</f>
        <v>8</v>
      </c>
    </row>
    <row r="3933" customFormat="false" ht="15" hidden="false" customHeight="false" outlineLevel="0" collapsed="false">
      <c r="A3933" s="19"/>
      <c r="B3933" s="19"/>
      <c r="C3933" s="19"/>
      <c r="D3933" s="19"/>
      <c r="E3933" s="22"/>
      <c r="F3933" s="19"/>
      <c r="G3933" s="26" t="str">
        <f aca="false">IF(D3933="","",IFERROR(VALUE(LEFT(D3933,FIND(" |",D3933&amp;" |")-1)),"?"))</f>
        <v/>
      </c>
      <c r="H3933" s="27" t="str">
        <f aca="false">IF(G3933="","",IF(G3933="?","⚠ pub inconnue",IFERROR(INDEX(Pubs!$B$2:$B$3001,MATCH(G3933,Pubs!$A$2:$A$3001,0))&amp;"","⚠ pub inconnue")))</f>
        <v/>
      </c>
      <c r="I3933" s="27" t="str">
        <f aca="false">IF(OR(G3933="",G3933="?"),"",IFERROR(INDEX(Pubs!$C$2:$C$3001,MATCH(G3933,Pubs!$A$2:$A$3001,0))&amp;"",""))</f>
        <v/>
      </c>
      <c r="J3933" s="27" t="str">
        <f aca="false">IF(OR(G3933="",G3933="?"),"",IFERROR(INDEX(Pubs!$G$2:$G$3001,MATCH(G3933,Pubs!$A$2:$A$3001,0))&amp;"",""))</f>
        <v/>
      </c>
      <c r="K3933" s="28" t="str">
        <f aca="false">IF(OR(G3933="",G3933="?"),"",IFERROR(INDEX(Pubs!$E$2:$E$3001,MATCH(G3933,Pubs!$A$2:$A$3001,0)),""))</f>
        <v/>
      </c>
      <c r="L3933" s="29" t="str">
        <f aca="false">IF(A3933="","",IFERROR(1/(1/INDEX(Numéros!$C$2:$C$3001,MATCH(A3933&amp;"|"&amp;B3933,Numéros!$F$2:$F$3001,0))),""))</f>
        <v/>
      </c>
      <c r="M3933" s="27" t="str">
        <f aca="false">IF(OR(G3933="",G3933="?"),"",IFERROR(INDEX(Pubs!$D$2:$D$3001,MATCH(G3933,Pubs!$A$2:$A$3001,0))&amp;"",""))</f>
        <v/>
      </c>
      <c r="N3933" s="27" t="n">
        <f aca="false">N(N3932)+IF(AND(A3933&lt;&gt;"",OR(Recherche!$C$4="",A3933=Recherche!$C$4),OR(Recherche!$C$5="",B3933&amp;""=Recherche!$C$5&amp;""),OR(Recherche!$C$6="",IFERROR(YEAR(L3933),0)=Recherche!$C$6),OR(Recherche!$C$7="",ISNUMBER(SEARCH(Recherche!$C$7,H3933))),OR(Recherche!$C$8="",J3933=Recherche!$C$8),OR(Recherche!$C$9="",I3933=Recherche!$C$9),OR(Recherche!$C$10="",G3933&amp;""=Recherche!$C$10&amp;""),OR(Recherche!$C$11="",E3933=Recherche!$C$11),OR(Recherche!$C$12="",ISNUMBER(SEARCH(Recherche!$C$12,M3933&amp;" "&amp;F3933)))),1,0)</f>
        <v>8</v>
      </c>
    </row>
    <row r="3934" customFormat="false" ht="15" hidden="false" customHeight="false" outlineLevel="0" collapsed="false">
      <c r="A3934" s="19"/>
      <c r="B3934" s="19"/>
      <c r="C3934" s="19"/>
      <c r="D3934" s="19"/>
      <c r="E3934" s="22"/>
      <c r="F3934" s="19"/>
      <c r="G3934" s="26" t="str">
        <f aca="false">IF(D3934="","",IFERROR(VALUE(LEFT(D3934,FIND(" |",D3934&amp;" |")-1)),"?"))</f>
        <v/>
      </c>
      <c r="H3934" s="27" t="str">
        <f aca="false">IF(G3934="","",IF(G3934="?","⚠ pub inconnue",IFERROR(INDEX(Pubs!$B$2:$B$3001,MATCH(G3934,Pubs!$A$2:$A$3001,0))&amp;"","⚠ pub inconnue")))</f>
        <v/>
      </c>
      <c r="I3934" s="27" t="str">
        <f aca="false">IF(OR(G3934="",G3934="?"),"",IFERROR(INDEX(Pubs!$C$2:$C$3001,MATCH(G3934,Pubs!$A$2:$A$3001,0))&amp;"",""))</f>
        <v/>
      </c>
      <c r="J3934" s="27" t="str">
        <f aca="false">IF(OR(G3934="",G3934="?"),"",IFERROR(INDEX(Pubs!$G$2:$G$3001,MATCH(G3934,Pubs!$A$2:$A$3001,0))&amp;"",""))</f>
        <v/>
      </c>
      <c r="K3934" s="28" t="str">
        <f aca="false">IF(OR(G3934="",G3934="?"),"",IFERROR(INDEX(Pubs!$E$2:$E$3001,MATCH(G3934,Pubs!$A$2:$A$3001,0)),""))</f>
        <v/>
      </c>
      <c r="L3934" s="29" t="str">
        <f aca="false">IF(A3934="","",IFERROR(1/(1/INDEX(Numéros!$C$2:$C$3001,MATCH(A3934&amp;"|"&amp;B3934,Numéros!$F$2:$F$3001,0))),""))</f>
        <v/>
      </c>
      <c r="M3934" s="27" t="str">
        <f aca="false">IF(OR(G3934="",G3934="?"),"",IFERROR(INDEX(Pubs!$D$2:$D$3001,MATCH(G3934,Pubs!$A$2:$A$3001,0))&amp;"",""))</f>
        <v/>
      </c>
      <c r="N3934" s="27" t="n">
        <f aca="false">N(N3933)+IF(AND(A3934&lt;&gt;"",OR(Recherche!$C$4="",A3934=Recherche!$C$4),OR(Recherche!$C$5="",B3934&amp;""=Recherche!$C$5&amp;""),OR(Recherche!$C$6="",IFERROR(YEAR(L3934),0)=Recherche!$C$6),OR(Recherche!$C$7="",ISNUMBER(SEARCH(Recherche!$C$7,H3934))),OR(Recherche!$C$8="",J3934=Recherche!$C$8),OR(Recherche!$C$9="",I3934=Recherche!$C$9),OR(Recherche!$C$10="",G3934&amp;""=Recherche!$C$10&amp;""),OR(Recherche!$C$11="",E3934=Recherche!$C$11),OR(Recherche!$C$12="",ISNUMBER(SEARCH(Recherche!$C$12,M3934&amp;" "&amp;F3934)))),1,0)</f>
        <v>8</v>
      </c>
    </row>
    <row r="3935" customFormat="false" ht="15" hidden="false" customHeight="false" outlineLevel="0" collapsed="false">
      <c r="A3935" s="19"/>
      <c r="B3935" s="19"/>
      <c r="C3935" s="19"/>
      <c r="D3935" s="19"/>
      <c r="E3935" s="22"/>
      <c r="F3935" s="19"/>
      <c r="G3935" s="26" t="str">
        <f aca="false">IF(D3935="","",IFERROR(VALUE(LEFT(D3935,FIND(" |",D3935&amp;" |")-1)),"?"))</f>
        <v/>
      </c>
      <c r="H3935" s="27" t="str">
        <f aca="false">IF(G3935="","",IF(G3935="?","⚠ pub inconnue",IFERROR(INDEX(Pubs!$B$2:$B$3001,MATCH(G3935,Pubs!$A$2:$A$3001,0))&amp;"","⚠ pub inconnue")))</f>
        <v/>
      </c>
      <c r="I3935" s="27" t="str">
        <f aca="false">IF(OR(G3935="",G3935="?"),"",IFERROR(INDEX(Pubs!$C$2:$C$3001,MATCH(G3935,Pubs!$A$2:$A$3001,0))&amp;"",""))</f>
        <v/>
      </c>
      <c r="J3935" s="27" t="str">
        <f aca="false">IF(OR(G3935="",G3935="?"),"",IFERROR(INDEX(Pubs!$G$2:$G$3001,MATCH(G3935,Pubs!$A$2:$A$3001,0))&amp;"",""))</f>
        <v/>
      </c>
      <c r="K3935" s="28" t="str">
        <f aca="false">IF(OR(G3935="",G3935="?"),"",IFERROR(INDEX(Pubs!$E$2:$E$3001,MATCH(G3935,Pubs!$A$2:$A$3001,0)),""))</f>
        <v/>
      </c>
      <c r="L3935" s="29" t="str">
        <f aca="false">IF(A3935="","",IFERROR(1/(1/INDEX(Numéros!$C$2:$C$3001,MATCH(A3935&amp;"|"&amp;B3935,Numéros!$F$2:$F$3001,0))),""))</f>
        <v/>
      </c>
      <c r="M3935" s="27" t="str">
        <f aca="false">IF(OR(G3935="",G3935="?"),"",IFERROR(INDEX(Pubs!$D$2:$D$3001,MATCH(G3935,Pubs!$A$2:$A$3001,0))&amp;"",""))</f>
        <v/>
      </c>
      <c r="N3935" s="27" t="n">
        <f aca="false">N(N3934)+IF(AND(A3935&lt;&gt;"",OR(Recherche!$C$4="",A3935=Recherche!$C$4),OR(Recherche!$C$5="",B3935&amp;""=Recherche!$C$5&amp;""),OR(Recherche!$C$6="",IFERROR(YEAR(L3935),0)=Recherche!$C$6),OR(Recherche!$C$7="",ISNUMBER(SEARCH(Recherche!$C$7,H3935))),OR(Recherche!$C$8="",J3935=Recherche!$C$8),OR(Recherche!$C$9="",I3935=Recherche!$C$9),OR(Recherche!$C$10="",G3935&amp;""=Recherche!$C$10&amp;""),OR(Recherche!$C$11="",E3935=Recherche!$C$11),OR(Recherche!$C$12="",ISNUMBER(SEARCH(Recherche!$C$12,M3935&amp;" "&amp;F3935)))),1,0)</f>
        <v>8</v>
      </c>
    </row>
    <row r="3936" customFormat="false" ht="15" hidden="false" customHeight="false" outlineLevel="0" collapsed="false">
      <c r="A3936" s="19"/>
      <c r="B3936" s="19"/>
      <c r="C3936" s="19"/>
      <c r="D3936" s="19"/>
      <c r="E3936" s="22"/>
      <c r="F3936" s="19"/>
      <c r="G3936" s="26" t="str">
        <f aca="false">IF(D3936="","",IFERROR(VALUE(LEFT(D3936,FIND(" |",D3936&amp;" |")-1)),"?"))</f>
        <v/>
      </c>
      <c r="H3936" s="27" t="str">
        <f aca="false">IF(G3936="","",IF(G3936="?","⚠ pub inconnue",IFERROR(INDEX(Pubs!$B$2:$B$3001,MATCH(G3936,Pubs!$A$2:$A$3001,0))&amp;"","⚠ pub inconnue")))</f>
        <v/>
      </c>
      <c r="I3936" s="27" t="str">
        <f aca="false">IF(OR(G3936="",G3936="?"),"",IFERROR(INDEX(Pubs!$C$2:$C$3001,MATCH(G3936,Pubs!$A$2:$A$3001,0))&amp;"",""))</f>
        <v/>
      </c>
      <c r="J3936" s="27" t="str">
        <f aca="false">IF(OR(G3936="",G3936="?"),"",IFERROR(INDEX(Pubs!$G$2:$G$3001,MATCH(G3936,Pubs!$A$2:$A$3001,0))&amp;"",""))</f>
        <v/>
      </c>
      <c r="K3936" s="28" t="str">
        <f aca="false">IF(OR(G3936="",G3936="?"),"",IFERROR(INDEX(Pubs!$E$2:$E$3001,MATCH(G3936,Pubs!$A$2:$A$3001,0)),""))</f>
        <v/>
      </c>
      <c r="L3936" s="29" t="str">
        <f aca="false">IF(A3936="","",IFERROR(1/(1/INDEX(Numéros!$C$2:$C$3001,MATCH(A3936&amp;"|"&amp;B3936,Numéros!$F$2:$F$3001,0))),""))</f>
        <v/>
      </c>
      <c r="M3936" s="27" t="str">
        <f aca="false">IF(OR(G3936="",G3936="?"),"",IFERROR(INDEX(Pubs!$D$2:$D$3001,MATCH(G3936,Pubs!$A$2:$A$3001,0))&amp;"",""))</f>
        <v/>
      </c>
      <c r="N3936" s="27" t="n">
        <f aca="false">N(N3935)+IF(AND(A3936&lt;&gt;"",OR(Recherche!$C$4="",A3936=Recherche!$C$4),OR(Recherche!$C$5="",B3936&amp;""=Recherche!$C$5&amp;""),OR(Recherche!$C$6="",IFERROR(YEAR(L3936),0)=Recherche!$C$6),OR(Recherche!$C$7="",ISNUMBER(SEARCH(Recherche!$C$7,H3936))),OR(Recherche!$C$8="",J3936=Recherche!$C$8),OR(Recherche!$C$9="",I3936=Recherche!$C$9),OR(Recherche!$C$10="",G3936&amp;""=Recherche!$C$10&amp;""),OR(Recherche!$C$11="",E3936=Recherche!$C$11),OR(Recherche!$C$12="",ISNUMBER(SEARCH(Recherche!$C$12,M3936&amp;" "&amp;F3936)))),1,0)</f>
        <v>8</v>
      </c>
    </row>
    <row r="3937" customFormat="false" ht="15" hidden="false" customHeight="false" outlineLevel="0" collapsed="false">
      <c r="A3937" s="19"/>
      <c r="B3937" s="19"/>
      <c r="C3937" s="19"/>
      <c r="D3937" s="19"/>
      <c r="E3937" s="22"/>
      <c r="F3937" s="19"/>
      <c r="G3937" s="26" t="str">
        <f aca="false">IF(D3937="","",IFERROR(VALUE(LEFT(D3937,FIND(" |",D3937&amp;" |")-1)),"?"))</f>
        <v/>
      </c>
      <c r="H3937" s="27" t="str">
        <f aca="false">IF(G3937="","",IF(G3937="?","⚠ pub inconnue",IFERROR(INDEX(Pubs!$B$2:$B$3001,MATCH(G3937,Pubs!$A$2:$A$3001,0))&amp;"","⚠ pub inconnue")))</f>
        <v/>
      </c>
      <c r="I3937" s="27" t="str">
        <f aca="false">IF(OR(G3937="",G3937="?"),"",IFERROR(INDEX(Pubs!$C$2:$C$3001,MATCH(G3937,Pubs!$A$2:$A$3001,0))&amp;"",""))</f>
        <v/>
      </c>
      <c r="J3937" s="27" t="str">
        <f aca="false">IF(OR(G3937="",G3937="?"),"",IFERROR(INDEX(Pubs!$G$2:$G$3001,MATCH(G3937,Pubs!$A$2:$A$3001,0))&amp;"",""))</f>
        <v/>
      </c>
      <c r="K3937" s="28" t="str">
        <f aca="false">IF(OR(G3937="",G3937="?"),"",IFERROR(INDEX(Pubs!$E$2:$E$3001,MATCH(G3937,Pubs!$A$2:$A$3001,0)),""))</f>
        <v/>
      </c>
      <c r="L3937" s="29" t="str">
        <f aca="false">IF(A3937="","",IFERROR(1/(1/INDEX(Numéros!$C$2:$C$3001,MATCH(A3937&amp;"|"&amp;B3937,Numéros!$F$2:$F$3001,0))),""))</f>
        <v/>
      </c>
      <c r="M3937" s="27" t="str">
        <f aca="false">IF(OR(G3937="",G3937="?"),"",IFERROR(INDEX(Pubs!$D$2:$D$3001,MATCH(G3937,Pubs!$A$2:$A$3001,0))&amp;"",""))</f>
        <v/>
      </c>
      <c r="N3937" s="27" t="n">
        <f aca="false">N(N3936)+IF(AND(A3937&lt;&gt;"",OR(Recherche!$C$4="",A3937=Recherche!$C$4),OR(Recherche!$C$5="",B3937&amp;""=Recherche!$C$5&amp;""),OR(Recherche!$C$6="",IFERROR(YEAR(L3937),0)=Recherche!$C$6),OR(Recherche!$C$7="",ISNUMBER(SEARCH(Recherche!$C$7,H3937))),OR(Recherche!$C$8="",J3937=Recherche!$C$8),OR(Recherche!$C$9="",I3937=Recherche!$C$9),OR(Recherche!$C$10="",G3937&amp;""=Recherche!$C$10&amp;""),OR(Recherche!$C$11="",E3937=Recherche!$C$11),OR(Recherche!$C$12="",ISNUMBER(SEARCH(Recherche!$C$12,M3937&amp;" "&amp;F3937)))),1,0)</f>
        <v>8</v>
      </c>
    </row>
    <row r="3938" customFormat="false" ht="15" hidden="false" customHeight="false" outlineLevel="0" collapsed="false">
      <c r="A3938" s="19"/>
      <c r="B3938" s="19"/>
      <c r="C3938" s="19"/>
      <c r="D3938" s="19"/>
      <c r="E3938" s="22"/>
      <c r="F3938" s="19"/>
      <c r="G3938" s="26" t="str">
        <f aca="false">IF(D3938="","",IFERROR(VALUE(LEFT(D3938,FIND(" |",D3938&amp;" |")-1)),"?"))</f>
        <v/>
      </c>
      <c r="H3938" s="27" t="str">
        <f aca="false">IF(G3938="","",IF(G3938="?","⚠ pub inconnue",IFERROR(INDEX(Pubs!$B$2:$B$3001,MATCH(G3938,Pubs!$A$2:$A$3001,0))&amp;"","⚠ pub inconnue")))</f>
        <v/>
      </c>
      <c r="I3938" s="27" t="str">
        <f aca="false">IF(OR(G3938="",G3938="?"),"",IFERROR(INDEX(Pubs!$C$2:$C$3001,MATCH(G3938,Pubs!$A$2:$A$3001,0))&amp;"",""))</f>
        <v/>
      </c>
      <c r="J3938" s="27" t="str">
        <f aca="false">IF(OR(G3938="",G3938="?"),"",IFERROR(INDEX(Pubs!$G$2:$G$3001,MATCH(G3938,Pubs!$A$2:$A$3001,0))&amp;"",""))</f>
        <v/>
      </c>
      <c r="K3938" s="28" t="str">
        <f aca="false">IF(OR(G3938="",G3938="?"),"",IFERROR(INDEX(Pubs!$E$2:$E$3001,MATCH(G3938,Pubs!$A$2:$A$3001,0)),""))</f>
        <v/>
      </c>
      <c r="L3938" s="29" t="str">
        <f aca="false">IF(A3938="","",IFERROR(1/(1/INDEX(Numéros!$C$2:$C$3001,MATCH(A3938&amp;"|"&amp;B3938,Numéros!$F$2:$F$3001,0))),""))</f>
        <v/>
      </c>
      <c r="M3938" s="27" t="str">
        <f aca="false">IF(OR(G3938="",G3938="?"),"",IFERROR(INDEX(Pubs!$D$2:$D$3001,MATCH(G3938,Pubs!$A$2:$A$3001,0))&amp;"",""))</f>
        <v/>
      </c>
      <c r="N3938" s="27" t="n">
        <f aca="false">N(N3937)+IF(AND(A3938&lt;&gt;"",OR(Recherche!$C$4="",A3938=Recherche!$C$4),OR(Recherche!$C$5="",B3938&amp;""=Recherche!$C$5&amp;""),OR(Recherche!$C$6="",IFERROR(YEAR(L3938),0)=Recherche!$C$6),OR(Recherche!$C$7="",ISNUMBER(SEARCH(Recherche!$C$7,H3938))),OR(Recherche!$C$8="",J3938=Recherche!$C$8),OR(Recherche!$C$9="",I3938=Recherche!$C$9),OR(Recherche!$C$10="",G3938&amp;""=Recherche!$C$10&amp;""),OR(Recherche!$C$11="",E3938=Recherche!$C$11),OR(Recherche!$C$12="",ISNUMBER(SEARCH(Recherche!$C$12,M3938&amp;" "&amp;F3938)))),1,0)</f>
        <v>8</v>
      </c>
    </row>
    <row r="3939" customFormat="false" ht="15" hidden="false" customHeight="false" outlineLevel="0" collapsed="false">
      <c r="A3939" s="19"/>
      <c r="B3939" s="19"/>
      <c r="C3939" s="19"/>
      <c r="D3939" s="19"/>
      <c r="E3939" s="22"/>
      <c r="F3939" s="19"/>
      <c r="G3939" s="26" t="str">
        <f aca="false">IF(D3939="","",IFERROR(VALUE(LEFT(D3939,FIND(" |",D3939&amp;" |")-1)),"?"))</f>
        <v/>
      </c>
      <c r="H3939" s="27" t="str">
        <f aca="false">IF(G3939="","",IF(G3939="?","⚠ pub inconnue",IFERROR(INDEX(Pubs!$B$2:$B$3001,MATCH(G3939,Pubs!$A$2:$A$3001,0))&amp;"","⚠ pub inconnue")))</f>
        <v/>
      </c>
      <c r="I3939" s="27" t="str">
        <f aca="false">IF(OR(G3939="",G3939="?"),"",IFERROR(INDEX(Pubs!$C$2:$C$3001,MATCH(G3939,Pubs!$A$2:$A$3001,0))&amp;"",""))</f>
        <v/>
      </c>
      <c r="J3939" s="27" t="str">
        <f aca="false">IF(OR(G3939="",G3939="?"),"",IFERROR(INDEX(Pubs!$G$2:$G$3001,MATCH(G3939,Pubs!$A$2:$A$3001,0))&amp;"",""))</f>
        <v/>
      </c>
      <c r="K3939" s="28" t="str">
        <f aca="false">IF(OR(G3939="",G3939="?"),"",IFERROR(INDEX(Pubs!$E$2:$E$3001,MATCH(G3939,Pubs!$A$2:$A$3001,0)),""))</f>
        <v/>
      </c>
      <c r="L3939" s="29" t="str">
        <f aca="false">IF(A3939="","",IFERROR(1/(1/INDEX(Numéros!$C$2:$C$3001,MATCH(A3939&amp;"|"&amp;B3939,Numéros!$F$2:$F$3001,0))),""))</f>
        <v/>
      </c>
      <c r="M3939" s="27" t="str">
        <f aca="false">IF(OR(G3939="",G3939="?"),"",IFERROR(INDEX(Pubs!$D$2:$D$3001,MATCH(G3939,Pubs!$A$2:$A$3001,0))&amp;"",""))</f>
        <v/>
      </c>
      <c r="N3939" s="27" t="n">
        <f aca="false">N(N3938)+IF(AND(A3939&lt;&gt;"",OR(Recherche!$C$4="",A3939=Recherche!$C$4),OR(Recherche!$C$5="",B3939&amp;""=Recherche!$C$5&amp;""),OR(Recherche!$C$6="",IFERROR(YEAR(L3939),0)=Recherche!$C$6),OR(Recherche!$C$7="",ISNUMBER(SEARCH(Recherche!$C$7,H3939))),OR(Recherche!$C$8="",J3939=Recherche!$C$8),OR(Recherche!$C$9="",I3939=Recherche!$C$9),OR(Recherche!$C$10="",G3939&amp;""=Recherche!$C$10&amp;""),OR(Recherche!$C$11="",E3939=Recherche!$C$11),OR(Recherche!$C$12="",ISNUMBER(SEARCH(Recherche!$C$12,M3939&amp;" "&amp;F3939)))),1,0)</f>
        <v>8</v>
      </c>
    </row>
    <row r="3940" customFormat="false" ht="15" hidden="false" customHeight="false" outlineLevel="0" collapsed="false">
      <c r="A3940" s="19"/>
      <c r="B3940" s="19"/>
      <c r="C3940" s="19"/>
      <c r="D3940" s="19"/>
      <c r="E3940" s="22"/>
      <c r="F3940" s="19"/>
      <c r="G3940" s="26" t="str">
        <f aca="false">IF(D3940="","",IFERROR(VALUE(LEFT(D3940,FIND(" |",D3940&amp;" |")-1)),"?"))</f>
        <v/>
      </c>
      <c r="H3940" s="27" t="str">
        <f aca="false">IF(G3940="","",IF(G3940="?","⚠ pub inconnue",IFERROR(INDEX(Pubs!$B$2:$B$3001,MATCH(G3940,Pubs!$A$2:$A$3001,0))&amp;"","⚠ pub inconnue")))</f>
        <v/>
      </c>
      <c r="I3940" s="27" t="str">
        <f aca="false">IF(OR(G3940="",G3940="?"),"",IFERROR(INDEX(Pubs!$C$2:$C$3001,MATCH(G3940,Pubs!$A$2:$A$3001,0))&amp;"",""))</f>
        <v/>
      </c>
      <c r="J3940" s="27" t="str">
        <f aca="false">IF(OR(G3940="",G3940="?"),"",IFERROR(INDEX(Pubs!$G$2:$G$3001,MATCH(G3940,Pubs!$A$2:$A$3001,0))&amp;"",""))</f>
        <v/>
      </c>
      <c r="K3940" s="28" t="str">
        <f aca="false">IF(OR(G3940="",G3940="?"),"",IFERROR(INDEX(Pubs!$E$2:$E$3001,MATCH(G3940,Pubs!$A$2:$A$3001,0)),""))</f>
        <v/>
      </c>
      <c r="L3940" s="29" t="str">
        <f aca="false">IF(A3940="","",IFERROR(1/(1/INDEX(Numéros!$C$2:$C$3001,MATCH(A3940&amp;"|"&amp;B3940,Numéros!$F$2:$F$3001,0))),""))</f>
        <v/>
      </c>
      <c r="M3940" s="27" t="str">
        <f aca="false">IF(OR(G3940="",G3940="?"),"",IFERROR(INDEX(Pubs!$D$2:$D$3001,MATCH(G3940,Pubs!$A$2:$A$3001,0))&amp;"",""))</f>
        <v/>
      </c>
      <c r="N3940" s="27" t="n">
        <f aca="false">N(N3939)+IF(AND(A3940&lt;&gt;"",OR(Recherche!$C$4="",A3940=Recherche!$C$4),OR(Recherche!$C$5="",B3940&amp;""=Recherche!$C$5&amp;""),OR(Recherche!$C$6="",IFERROR(YEAR(L3940),0)=Recherche!$C$6),OR(Recherche!$C$7="",ISNUMBER(SEARCH(Recherche!$C$7,H3940))),OR(Recherche!$C$8="",J3940=Recherche!$C$8),OR(Recherche!$C$9="",I3940=Recherche!$C$9),OR(Recherche!$C$10="",G3940&amp;""=Recherche!$C$10&amp;""),OR(Recherche!$C$11="",E3940=Recherche!$C$11),OR(Recherche!$C$12="",ISNUMBER(SEARCH(Recherche!$C$12,M3940&amp;" "&amp;F3940)))),1,0)</f>
        <v>8</v>
      </c>
    </row>
    <row r="3941" customFormat="false" ht="15" hidden="false" customHeight="false" outlineLevel="0" collapsed="false">
      <c r="A3941" s="19"/>
      <c r="B3941" s="19"/>
      <c r="C3941" s="19"/>
      <c r="D3941" s="19"/>
      <c r="E3941" s="22"/>
      <c r="F3941" s="19"/>
      <c r="G3941" s="26" t="str">
        <f aca="false">IF(D3941="","",IFERROR(VALUE(LEFT(D3941,FIND(" |",D3941&amp;" |")-1)),"?"))</f>
        <v/>
      </c>
      <c r="H3941" s="27" t="str">
        <f aca="false">IF(G3941="","",IF(G3941="?","⚠ pub inconnue",IFERROR(INDEX(Pubs!$B$2:$B$3001,MATCH(G3941,Pubs!$A$2:$A$3001,0))&amp;"","⚠ pub inconnue")))</f>
        <v/>
      </c>
      <c r="I3941" s="27" t="str">
        <f aca="false">IF(OR(G3941="",G3941="?"),"",IFERROR(INDEX(Pubs!$C$2:$C$3001,MATCH(G3941,Pubs!$A$2:$A$3001,0))&amp;"",""))</f>
        <v/>
      </c>
      <c r="J3941" s="27" t="str">
        <f aca="false">IF(OR(G3941="",G3941="?"),"",IFERROR(INDEX(Pubs!$G$2:$G$3001,MATCH(G3941,Pubs!$A$2:$A$3001,0))&amp;"",""))</f>
        <v/>
      </c>
      <c r="K3941" s="28" t="str">
        <f aca="false">IF(OR(G3941="",G3941="?"),"",IFERROR(INDEX(Pubs!$E$2:$E$3001,MATCH(G3941,Pubs!$A$2:$A$3001,0)),""))</f>
        <v/>
      </c>
      <c r="L3941" s="29" t="str">
        <f aca="false">IF(A3941="","",IFERROR(1/(1/INDEX(Numéros!$C$2:$C$3001,MATCH(A3941&amp;"|"&amp;B3941,Numéros!$F$2:$F$3001,0))),""))</f>
        <v/>
      </c>
      <c r="M3941" s="27" t="str">
        <f aca="false">IF(OR(G3941="",G3941="?"),"",IFERROR(INDEX(Pubs!$D$2:$D$3001,MATCH(G3941,Pubs!$A$2:$A$3001,0))&amp;"",""))</f>
        <v/>
      </c>
      <c r="N3941" s="27" t="n">
        <f aca="false">N(N3940)+IF(AND(A3941&lt;&gt;"",OR(Recherche!$C$4="",A3941=Recherche!$C$4),OR(Recherche!$C$5="",B3941&amp;""=Recherche!$C$5&amp;""),OR(Recherche!$C$6="",IFERROR(YEAR(L3941),0)=Recherche!$C$6),OR(Recherche!$C$7="",ISNUMBER(SEARCH(Recherche!$C$7,H3941))),OR(Recherche!$C$8="",J3941=Recherche!$C$8),OR(Recherche!$C$9="",I3941=Recherche!$C$9),OR(Recherche!$C$10="",G3941&amp;""=Recherche!$C$10&amp;""),OR(Recherche!$C$11="",E3941=Recherche!$C$11),OR(Recherche!$C$12="",ISNUMBER(SEARCH(Recherche!$C$12,M3941&amp;" "&amp;F3941)))),1,0)</f>
        <v>8</v>
      </c>
    </row>
    <row r="3942" customFormat="false" ht="15" hidden="false" customHeight="false" outlineLevel="0" collapsed="false">
      <c r="A3942" s="19"/>
      <c r="B3942" s="19"/>
      <c r="C3942" s="19"/>
      <c r="D3942" s="19"/>
      <c r="E3942" s="22"/>
      <c r="F3942" s="19"/>
      <c r="G3942" s="26" t="str">
        <f aca="false">IF(D3942="","",IFERROR(VALUE(LEFT(D3942,FIND(" |",D3942&amp;" |")-1)),"?"))</f>
        <v/>
      </c>
      <c r="H3942" s="27" t="str">
        <f aca="false">IF(G3942="","",IF(G3942="?","⚠ pub inconnue",IFERROR(INDEX(Pubs!$B$2:$B$3001,MATCH(G3942,Pubs!$A$2:$A$3001,0))&amp;"","⚠ pub inconnue")))</f>
        <v/>
      </c>
      <c r="I3942" s="27" t="str">
        <f aca="false">IF(OR(G3942="",G3942="?"),"",IFERROR(INDEX(Pubs!$C$2:$C$3001,MATCH(G3942,Pubs!$A$2:$A$3001,0))&amp;"",""))</f>
        <v/>
      </c>
      <c r="J3942" s="27" t="str">
        <f aca="false">IF(OR(G3942="",G3942="?"),"",IFERROR(INDEX(Pubs!$G$2:$G$3001,MATCH(G3942,Pubs!$A$2:$A$3001,0))&amp;"",""))</f>
        <v/>
      </c>
      <c r="K3942" s="28" t="str">
        <f aca="false">IF(OR(G3942="",G3942="?"),"",IFERROR(INDEX(Pubs!$E$2:$E$3001,MATCH(G3942,Pubs!$A$2:$A$3001,0)),""))</f>
        <v/>
      </c>
      <c r="L3942" s="29" t="str">
        <f aca="false">IF(A3942="","",IFERROR(1/(1/INDEX(Numéros!$C$2:$C$3001,MATCH(A3942&amp;"|"&amp;B3942,Numéros!$F$2:$F$3001,0))),""))</f>
        <v/>
      </c>
      <c r="M3942" s="27" t="str">
        <f aca="false">IF(OR(G3942="",G3942="?"),"",IFERROR(INDEX(Pubs!$D$2:$D$3001,MATCH(G3942,Pubs!$A$2:$A$3001,0))&amp;"",""))</f>
        <v/>
      </c>
      <c r="N3942" s="27" t="n">
        <f aca="false">N(N3941)+IF(AND(A3942&lt;&gt;"",OR(Recherche!$C$4="",A3942=Recherche!$C$4),OR(Recherche!$C$5="",B3942&amp;""=Recherche!$C$5&amp;""),OR(Recherche!$C$6="",IFERROR(YEAR(L3942),0)=Recherche!$C$6),OR(Recherche!$C$7="",ISNUMBER(SEARCH(Recherche!$C$7,H3942))),OR(Recherche!$C$8="",J3942=Recherche!$C$8),OR(Recherche!$C$9="",I3942=Recherche!$C$9),OR(Recherche!$C$10="",G3942&amp;""=Recherche!$C$10&amp;""),OR(Recherche!$C$11="",E3942=Recherche!$C$11),OR(Recherche!$C$12="",ISNUMBER(SEARCH(Recherche!$C$12,M3942&amp;" "&amp;F3942)))),1,0)</f>
        <v>8</v>
      </c>
    </row>
    <row r="3943" customFormat="false" ht="15" hidden="false" customHeight="false" outlineLevel="0" collapsed="false">
      <c r="A3943" s="19"/>
      <c r="B3943" s="19"/>
      <c r="C3943" s="19"/>
      <c r="D3943" s="19"/>
      <c r="E3943" s="22"/>
      <c r="F3943" s="19"/>
      <c r="G3943" s="26" t="str">
        <f aca="false">IF(D3943="","",IFERROR(VALUE(LEFT(D3943,FIND(" |",D3943&amp;" |")-1)),"?"))</f>
        <v/>
      </c>
      <c r="H3943" s="27" t="str">
        <f aca="false">IF(G3943="","",IF(G3943="?","⚠ pub inconnue",IFERROR(INDEX(Pubs!$B$2:$B$3001,MATCH(G3943,Pubs!$A$2:$A$3001,0))&amp;"","⚠ pub inconnue")))</f>
        <v/>
      </c>
      <c r="I3943" s="27" t="str">
        <f aca="false">IF(OR(G3943="",G3943="?"),"",IFERROR(INDEX(Pubs!$C$2:$C$3001,MATCH(G3943,Pubs!$A$2:$A$3001,0))&amp;"",""))</f>
        <v/>
      </c>
      <c r="J3943" s="27" t="str">
        <f aca="false">IF(OR(G3943="",G3943="?"),"",IFERROR(INDEX(Pubs!$G$2:$G$3001,MATCH(G3943,Pubs!$A$2:$A$3001,0))&amp;"",""))</f>
        <v/>
      </c>
      <c r="K3943" s="28" t="str">
        <f aca="false">IF(OR(G3943="",G3943="?"),"",IFERROR(INDEX(Pubs!$E$2:$E$3001,MATCH(G3943,Pubs!$A$2:$A$3001,0)),""))</f>
        <v/>
      </c>
      <c r="L3943" s="29" t="str">
        <f aca="false">IF(A3943="","",IFERROR(1/(1/INDEX(Numéros!$C$2:$C$3001,MATCH(A3943&amp;"|"&amp;B3943,Numéros!$F$2:$F$3001,0))),""))</f>
        <v/>
      </c>
      <c r="M3943" s="27" t="str">
        <f aca="false">IF(OR(G3943="",G3943="?"),"",IFERROR(INDEX(Pubs!$D$2:$D$3001,MATCH(G3943,Pubs!$A$2:$A$3001,0))&amp;"",""))</f>
        <v/>
      </c>
      <c r="N3943" s="27" t="n">
        <f aca="false">N(N3942)+IF(AND(A3943&lt;&gt;"",OR(Recherche!$C$4="",A3943=Recherche!$C$4),OR(Recherche!$C$5="",B3943&amp;""=Recherche!$C$5&amp;""),OR(Recherche!$C$6="",IFERROR(YEAR(L3943),0)=Recherche!$C$6),OR(Recherche!$C$7="",ISNUMBER(SEARCH(Recherche!$C$7,H3943))),OR(Recherche!$C$8="",J3943=Recherche!$C$8),OR(Recherche!$C$9="",I3943=Recherche!$C$9),OR(Recherche!$C$10="",G3943&amp;""=Recherche!$C$10&amp;""),OR(Recherche!$C$11="",E3943=Recherche!$C$11),OR(Recherche!$C$12="",ISNUMBER(SEARCH(Recherche!$C$12,M3943&amp;" "&amp;F3943)))),1,0)</f>
        <v>8</v>
      </c>
    </row>
    <row r="3944" customFormat="false" ht="15" hidden="false" customHeight="false" outlineLevel="0" collapsed="false">
      <c r="A3944" s="19"/>
      <c r="B3944" s="19"/>
      <c r="C3944" s="19"/>
      <c r="D3944" s="19"/>
      <c r="E3944" s="22"/>
      <c r="F3944" s="19"/>
      <c r="G3944" s="26" t="str">
        <f aca="false">IF(D3944="","",IFERROR(VALUE(LEFT(D3944,FIND(" |",D3944&amp;" |")-1)),"?"))</f>
        <v/>
      </c>
      <c r="H3944" s="27" t="str">
        <f aca="false">IF(G3944="","",IF(G3944="?","⚠ pub inconnue",IFERROR(INDEX(Pubs!$B$2:$B$3001,MATCH(G3944,Pubs!$A$2:$A$3001,0))&amp;"","⚠ pub inconnue")))</f>
        <v/>
      </c>
      <c r="I3944" s="27" t="str">
        <f aca="false">IF(OR(G3944="",G3944="?"),"",IFERROR(INDEX(Pubs!$C$2:$C$3001,MATCH(G3944,Pubs!$A$2:$A$3001,0))&amp;"",""))</f>
        <v/>
      </c>
      <c r="J3944" s="27" t="str">
        <f aca="false">IF(OR(G3944="",G3944="?"),"",IFERROR(INDEX(Pubs!$G$2:$G$3001,MATCH(G3944,Pubs!$A$2:$A$3001,0))&amp;"",""))</f>
        <v/>
      </c>
      <c r="K3944" s="28" t="str">
        <f aca="false">IF(OR(G3944="",G3944="?"),"",IFERROR(INDEX(Pubs!$E$2:$E$3001,MATCH(G3944,Pubs!$A$2:$A$3001,0)),""))</f>
        <v/>
      </c>
      <c r="L3944" s="29" t="str">
        <f aca="false">IF(A3944="","",IFERROR(1/(1/INDEX(Numéros!$C$2:$C$3001,MATCH(A3944&amp;"|"&amp;B3944,Numéros!$F$2:$F$3001,0))),""))</f>
        <v/>
      </c>
      <c r="M3944" s="27" t="str">
        <f aca="false">IF(OR(G3944="",G3944="?"),"",IFERROR(INDEX(Pubs!$D$2:$D$3001,MATCH(G3944,Pubs!$A$2:$A$3001,0))&amp;"",""))</f>
        <v/>
      </c>
      <c r="N3944" s="27" t="n">
        <f aca="false">N(N3943)+IF(AND(A3944&lt;&gt;"",OR(Recherche!$C$4="",A3944=Recherche!$C$4),OR(Recherche!$C$5="",B3944&amp;""=Recherche!$C$5&amp;""),OR(Recherche!$C$6="",IFERROR(YEAR(L3944),0)=Recherche!$C$6),OR(Recherche!$C$7="",ISNUMBER(SEARCH(Recherche!$C$7,H3944))),OR(Recherche!$C$8="",J3944=Recherche!$C$8),OR(Recherche!$C$9="",I3944=Recherche!$C$9),OR(Recherche!$C$10="",G3944&amp;""=Recherche!$C$10&amp;""),OR(Recherche!$C$11="",E3944=Recherche!$C$11),OR(Recherche!$C$12="",ISNUMBER(SEARCH(Recherche!$C$12,M3944&amp;" "&amp;F3944)))),1,0)</f>
        <v>8</v>
      </c>
    </row>
    <row r="3945" customFormat="false" ht="15" hidden="false" customHeight="false" outlineLevel="0" collapsed="false">
      <c r="A3945" s="19"/>
      <c r="B3945" s="19"/>
      <c r="C3945" s="19"/>
      <c r="D3945" s="19"/>
      <c r="E3945" s="22"/>
      <c r="F3945" s="19"/>
      <c r="G3945" s="26" t="str">
        <f aca="false">IF(D3945="","",IFERROR(VALUE(LEFT(D3945,FIND(" |",D3945&amp;" |")-1)),"?"))</f>
        <v/>
      </c>
      <c r="H3945" s="27" t="str">
        <f aca="false">IF(G3945="","",IF(G3945="?","⚠ pub inconnue",IFERROR(INDEX(Pubs!$B$2:$B$3001,MATCH(G3945,Pubs!$A$2:$A$3001,0))&amp;"","⚠ pub inconnue")))</f>
        <v/>
      </c>
      <c r="I3945" s="27" t="str">
        <f aca="false">IF(OR(G3945="",G3945="?"),"",IFERROR(INDEX(Pubs!$C$2:$C$3001,MATCH(G3945,Pubs!$A$2:$A$3001,0))&amp;"",""))</f>
        <v/>
      </c>
      <c r="J3945" s="27" t="str">
        <f aca="false">IF(OR(G3945="",G3945="?"),"",IFERROR(INDEX(Pubs!$G$2:$G$3001,MATCH(G3945,Pubs!$A$2:$A$3001,0))&amp;"",""))</f>
        <v/>
      </c>
      <c r="K3945" s="28" t="str">
        <f aca="false">IF(OR(G3945="",G3945="?"),"",IFERROR(INDEX(Pubs!$E$2:$E$3001,MATCH(G3945,Pubs!$A$2:$A$3001,0)),""))</f>
        <v/>
      </c>
      <c r="L3945" s="29" t="str">
        <f aca="false">IF(A3945="","",IFERROR(1/(1/INDEX(Numéros!$C$2:$C$3001,MATCH(A3945&amp;"|"&amp;B3945,Numéros!$F$2:$F$3001,0))),""))</f>
        <v/>
      </c>
      <c r="M3945" s="27" t="str">
        <f aca="false">IF(OR(G3945="",G3945="?"),"",IFERROR(INDEX(Pubs!$D$2:$D$3001,MATCH(G3945,Pubs!$A$2:$A$3001,0))&amp;"",""))</f>
        <v/>
      </c>
      <c r="N3945" s="27" t="n">
        <f aca="false">N(N3944)+IF(AND(A3945&lt;&gt;"",OR(Recherche!$C$4="",A3945=Recherche!$C$4),OR(Recherche!$C$5="",B3945&amp;""=Recherche!$C$5&amp;""),OR(Recherche!$C$6="",IFERROR(YEAR(L3945),0)=Recherche!$C$6),OR(Recherche!$C$7="",ISNUMBER(SEARCH(Recherche!$C$7,H3945))),OR(Recherche!$C$8="",J3945=Recherche!$C$8),OR(Recherche!$C$9="",I3945=Recherche!$C$9),OR(Recherche!$C$10="",G3945&amp;""=Recherche!$C$10&amp;""),OR(Recherche!$C$11="",E3945=Recherche!$C$11),OR(Recherche!$C$12="",ISNUMBER(SEARCH(Recherche!$C$12,M3945&amp;" "&amp;F3945)))),1,0)</f>
        <v>8</v>
      </c>
    </row>
    <row r="3946" customFormat="false" ht="15" hidden="false" customHeight="false" outlineLevel="0" collapsed="false">
      <c r="A3946" s="19"/>
      <c r="B3946" s="19"/>
      <c r="C3946" s="19"/>
      <c r="D3946" s="19"/>
      <c r="E3946" s="22"/>
      <c r="F3946" s="19"/>
      <c r="G3946" s="26" t="str">
        <f aca="false">IF(D3946="","",IFERROR(VALUE(LEFT(D3946,FIND(" |",D3946&amp;" |")-1)),"?"))</f>
        <v/>
      </c>
      <c r="H3946" s="27" t="str">
        <f aca="false">IF(G3946="","",IF(G3946="?","⚠ pub inconnue",IFERROR(INDEX(Pubs!$B$2:$B$3001,MATCH(G3946,Pubs!$A$2:$A$3001,0))&amp;"","⚠ pub inconnue")))</f>
        <v/>
      </c>
      <c r="I3946" s="27" t="str">
        <f aca="false">IF(OR(G3946="",G3946="?"),"",IFERROR(INDEX(Pubs!$C$2:$C$3001,MATCH(G3946,Pubs!$A$2:$A$3001,0))&amp;"",""))</f>
        <v/>
      </c>
      <c r="J3946" s="27" t="str">
        <f aca="false">IF(OR(G3946="",G3946="?"),"",IFERROR(INDEX(Pubs!$G$2:$G$3001,MATCH(G3946,Pubs!$A$2:$A$3001,0))&amp;"",""))</f>
        <v/>
      </c>
      <c r="K3946" s="28" t="str">
        <f aca="false">IF(OR(G3946="",G3946="?"),"",IFERROR(INDEX(Pubs!$E$2:$E$3001,MATCH(G3946,Pubs!$A$2:$A$3001,0)),""))</f>
        <v/>
      </c>
      <c r="L3946" s="29" t="str">
        <f aca="false">IF(A3946="","",IFERROR(1/(1/INDEX(Numéros!$C$2:$C$3001,MATCH(A3946&amp;"|"&amp;B3946,Numéros!$F$2:$F$3001,0))),""))</f>
        <v/>
      </c>
      <c r="M3946" s="27" t="str">
        <f aca="false">IF(OR(G3946="",G3946="?"),"",IFERROR(INDEX(Pubs!$D$2:$D$3001,MATCH(G3946,Pubs!$A$2:$A$3001,0))&amp;"",""))</f>
        <v/>
      </c>
      <c r="N3946" s="27" t="n">
        <f aca="false">N(N3945)+IF(AND(A3946&lt;&gt;"",OR(Recherche!$C$4="",A3946=Recherche!$C$4),OR(Recherche!$C$5="",B3946&amp;""=Recherche!$C$5&amp;""),OR(Recherche!$C$6="",IFERROR(YEAR(L3946),0)=Recherche!$C$6),OR(Recherche!$C$7="",ISNUMBER(SEARCH(Recherche!$C$7,H3946))),OR(Recherche!$C$8="",J3946=Recherche!$C$8),OR(Recherche!$C$9="",I3946=Recherche!$C$9),OR(Recherche!$C$10="",G3946&amp;""=Recherche!$C$10&amp;""),OR(Recherche!$C$11="",E3946=Recherche!$C$11),OR(Recherche!$C$12="",ISNUMBER(SEARCH(Recherche!$C$12,M3946&amp;" "&amp;F3946)))),1,0)</f>
        <v>8</v>
      </c>
    </row>
    <row r="3947" customFormat="false" ht="15" hidden="false" customHeight="false" outlineLevel="0" collapsed="false">
      <c r="A3947" s="19"/>
      <c r="B3947" s="19"/>
      <c r="C3947" s="19"/>
      <c r="D3947" s="19"/>
      <c r="E3947" s="22"/>
      <c r="F3947" s="19"/>
      <c r="G3947" s="26" t="str">
        <f aca="false">IF(D3947="","",IFERROR(VALUE(LEFT(D3947,FIND(" |",D3947&amp;" |")-1)),"?"))</f>
        <v/>
      </c>
      <c r="H3947" s="27" t="str">
        <f aca="false">IF(G3947="","",IF(G3947="?","⚠ pub inconnue",IFERROR(INDEX(Pubs!$B$2:$B$3001,MATCH(G3947,Pubs!$A$2:$A$3001,0))&amp;"","⚠ pub inconnue")))</f>
        <v/>
      </c>
      <c r="I3947" s="27" t="str">
        <f aca="false">IF(OR(G3947="",G3947="?"),"",IFERROR(INDEX(Pubs!$C$2:$C$3001,MATCH(G3947,Pubs!$A$2:$A$3001,0))&amp;"",""))</f>
        <v/>
      </c>
      <c r="J3947" s="27" t="str">
        <f aca="false">IF(OR(G3947="",G3947="?"),"",IFERROR(INDEX(Pubs!$G$2:$G$3001,MATCH(G3947,Pubs!$A$2:$A$3001,0))&amp;"",""))</f>
        <v/>
      </c>
      <c r="K3947" s="28" t="str">
        <f aca="false">IF(OR(G3947="",G3947="?"),"",IFERROR(INDEX(Pubs!$E$2:$E$3001,MATCH(G3947,Pubs!$A$2:$A$3001,0)),""))</f>
        <v/>
      </c>
      <c r="L3947" s="29" t="str">
        <f aca="false">IF(A3947="","",IFERROR(1/(1/INDEX(Numéros!$C$2:$C$3001,MATCH(A3947&amp;"|"&amp;B3947,Numéros!$F$2:$F$3001,0))),""))</f>
        <v/>
      </c>
      <c r="M3947" s="27" t="str">
        <f aca="false">IF(OR(G3947="",G3947="?"),"",IFERROR(INDEX(Pubs!$D$2:$D$3001,MATCH(G3947,Pubs!$A$2:$A$3001,0))&amp;"",""))</f>
        <v/>
      </c>
      <c r="N3947" s="27" t="n">
        <f aca="false">N(N3946)+IF(AND(A3947&lt;&gt;"",OR(Recherche!$C$4="",A3947=Recherche!$C$4),OR(Recherche!$C$5="",B3947&amp;""=Recherche!$C$5&amp;""),OR(Recherche!$C$6="",IFERROR(YEAR(L3947),0)=Recherche!$C$6),OR(Recherche!$C$7="",ISNUMBER(SEARCH(Recherche!$C$7,H3947))),OR(Recherche!$C$8="",J3947=Recherche!$C$8),OR(Recherche!$C$9="",I3947=Recherche!$C$9),OR(Recherche!$C$10="",G3947&amp;""=Recherche!$C$10&amp;""),OR(Recherche!$C$11="",E3947=Recherche!$C$11),OR(Recherche!$C$12="",ISNUMBER(SEARCH(Recherche!$C$12,M3947&amp;" "&amp;F3947)))),1,0)</f>
        <v>8</v>
      </c>
    </row>
    <row r="3948" customFormat="false" ht="15" hidden="false" customHeight="false" outlineLevel="0" collapsed="false">
      <c r="A3948" s="19"/>
      <c r="B3948" s="19"/>
      <c r="C3948" s="19"/>
      <c r="D3948" s="19"/>
      <c r="E3948" s="22"/>
      <c r="F3948" s="19"/>
      <c r="G3948" s="26" t="str">
        <f aca="false">IF(D3948="","",IFERROR(VALUE(LEFT(D3948,FIND(" |",D3948&amp;" |")-1)),"?"))</f>
        <v/>
      </c>
      <c r="H3948" s="27" t="str">
        <f aca="false">IF(G3948="","",IF(G3948="?","⚠ pub inconnue",IFERROR(INDEX(Pubs!$B$2:$B$3001,MATCH(G3948,Pubs!$A$2:$A$3001,0))&amp;"","⚠ pub inconnue")))</f>
        <v/>
      </c>
      <c r="I3948" s="27" t="str">
        <f aca="false">IF(OR(G3948="",G3948="?"),"",IFERROR(INDEX(Pubs!$C$2:$C$3001,MATCH(G3948,Pubs!$A$2:$A$3001,0))&amp;"",""))</f>
        <v/>
      </c>
      <c r="J3948" s="27" t="str">
        <f aca="false">IF(OR(G3948="",G3948="?"),"",IFERROR(INDEX(Pubs!$G$2:$G$3001,MATCH(G3948,Pubs!$A$2:$A$3001,0))&amp;"",""))</f>
        <v/>
      </c>
      <c r="K3948" s="28" t="str">
        <f aca="false">IF(OR(G3948="",G3948="?"),"",IFERROR(INDEX(Pubs!$E$2:$E$3001,MATCH(G3948,Pubs!$A$2:$A$3001,0)),""))</f>
        <v/>
      </c>
      <c r="L3948" s="29" t="str">
        <f aca="false">IF(A3948="","",IFERROR(1/(1/INDEX(Numéros!$C$2:$C$3001,MATCH(A3948&amp;"|"&amp;B3948,Numéros!$F$2:$F$3001,0))),""))</f>
        <v/>
      </c>
      <c r="M3948" s="27" t="str">
        <f aca="false">IF(OR(G3948="",G3948="?"),"",IFERROR(INDEX(Pubs!$D$2:$D$3001,MATCH(G3948,Pubs!$A$2:$A$3001,0))&amp;"",""))</f>
        <v/>
      </c>
      <c r="N3948" s="27" t="n">
        <f aca="false">N(N3947)+IF(AND(A3948&lt;&gt;"",OR(Recherche!$C$4="",A3948=Recherche!$C$4),OR(Recherche!$C$5="",B3948&amp;""=Recherche!$C$5&amp;""),OR(Recherche!$C$6="",IFERROR(YEAR(L3948),0)=Recherche!$C$6),OR(Recherche!$C$7="",ISNUMBER(SEARCH(Recherche!$C$7,H3948))),OR(Recherche!$C$8="",J3948=Recherche!$C$8),OR(Recherche!$C$9="",I3948=Recherche!$C$9),OR(Recherche!$C$10="",G3948&amp;""=Recherche!$C$10&amp;""),OR(Recherche!$C$11="",E3948=Recherche!$C$11),OR(Recherche!$C$12="",ISNUMBER(SEARCH(Recherche!$C$12,M3948&amp;" "&amp;F3948)))),1,0)</f>
        <v>8</v>
      </c>
    </row>
    <row r="3949" customFormat="false" ht="15" hidden="false" customHeight="false" outlineLevel="0" collapsed="false">
      <c r="A3949" s="19"/>
      <c r="B3949" s="19"/>
      <c r="C3949" s="19"/>
      <c r="D3949" s="19"/>
      <c r="E3949" s="22"/>
      <c r="F3949" s="19"/>
      <c r="G3949" s="26" t="str">
        <f aca="false">IF(D3949="","",IFERROR(VALUE(LEFT(D3949,FIND(" |",D3949&amp;" |")-1)),"?"))</f>
        <v/>
      </c>
      <c r="H3949" s="27" t="str">
        <f aca="false">IF(G3949="","",IF(G3949="?","⚠ pub inconnue",IFERROR(INDEX(Pubs!$B$2:$B$3001,MATCH(G3949,Pubs!$A$2:$A$3001,0))&amp;"","⚠ pub inconnue")))</f>
        <v/>
      </c>
      <c r="I3949" s="27" t="str">
        <f aca="false">IF(OR(G3949="",G3949="?"),"",IFERROR(INDEX(Pubs!$C$2:$C$3001,MATCH(G3949,Pubs!$A$2:$A$3001,0))&amp;"",""))</f>
        <v/>
      </c>
      <c r="J3949" s="27" t="str">
        <f aca="false">IF(OR(G3949="",G3949="?"),"",IFERROR(INDEX(Pubs!$G$2:$G$3001,MATCH(G3949,Pubs!$A$2:$A$3001,0))&amp;"",""))</f>
        <v/>
      </c>
      <c r="K3949" s="28" t="str">
        <f aca="false">IF(OR(G3949="",G3949="?"),"",IFERROR(INDEX(Pubs!$E$2:$E$3001,MATCH(G3949,Pubs!$A$2:$A$3001,0)),""))</f>
        <v/>
      </c>
      <c r="L3949" s="29" t="str">
        <f aca="false">IF(A3949="","",IFERROR(1/(1/INDEX(Numéros!$C$2:$C$3001,MATCH(A3949&amp;"|"&amp;B3949,Numéros!$F$2:$F$3001,0))),""))</f>
        <v/>
      </c>
      <c r="M3949" s="27" t="str">
        <f aca="false">IF(OR(G3949="",G3949="?"),"",IFERROR(INDEX(Pubs!$D$2:$D$3001,MATCH(G3949,Pubs!$A$2:$A$3001,0))&amp;"",""))</f>
        <v/>
      </c>
      <c r="N3949" s="27" t="n">
        <f aca="false">N(N3948)+IF(AND(A3949&lt;&gt;"",OR(Recherche!$C$4="",A3949=Recherche!$C$4),OR(Recherche!$C$5="",B3949&amp;""=Recherche!$C$5&amp;""),OR(Recherche!$C$6="",IFERROR(YEAR(L3949),0)=Recherche!$C$6),OR(Recherche!$C$7="",ISNUMBER(SEARCH(Recherche!$C$7,H3949))),OR(Recherche!$C$8="",J3949=Recherche!$C$8),OR(Recherche!$C$9="",I3949=Recherche!$C$9),OR(Recherche!$C$10="",G3949&amp;""=Recherche!$C$10&amp;""),OR(Recherche!$C$11="",E3949=Recherche!$C$11),OR(Recherche!$C$12="",ISNUMBER(SEARCH(Recherche!$C$12,M3949&amp;" "&amp;F3949)))),1,0)</f>
        <v>8</v>
      </c>
    </row>
    <row r="3950" customFormat="false" ht="15" hidden="false" customHeight="false" outlineLevel="0" collapsed="false">
      <c r="A3950" s="19"/>
      <c r="B3950" s="19"/>
      <c r="C3950" s="19"/>
      <c r="D3950" s="19"/>
      <c r="E3950" s="22"/>
      <c r="F3950" s="19"/>
      <c r="G3950" s="26" t="str">
        <f aca="false">IF(D3950="","",IFERROR(VALUE(LEFT(D3950,FIND(" |",D3950&amp;" |")-1)),"?"))</f>
        <v/>
      </c>
      <c r="H3950" s="27" t="str">
        <f aca="false">IF(G3950="","",IF(G3950="?","⚠ pub inconnue",IFERROR(INDEX(Pubs!$B$2:$B$3001,MATCH(G3950,Pubs!$A$2:$A$3001,0))&amp;"","⚠ pub inconnue")))</f>
        <v/>
      </c>
      <c r="I3950" s="27" t="str">
        <f aca="false">IF(OR(G3950="",G3950="?"),"",IFERROR(INDEX(Pubs!$C$2:$C$3001,MATCH(G3950,Pubs!$A$2:$A$3001,0))&amp;"",""))</f>
        <v/>
      </c>
      <c r="J3950" s="27" t="str">
        <f aca="false">IF(OR(G3950="",G3950="?"),"",IFERROR(INDEX(Pubs!$G$2:$G$3001,MATCH(G3950,Pubs!$A$2:$A$3001,0))&amp;"",""))</f>
        <v/>
      </c>
      <c r="K3950" s="28" t="str">
        <f aca="false">IF(OR(G3950="",G3950="?"),"",IFERROR(INDEX(Pubs!$E$2:$E$3001,MATCH(G3950,Pubs!$A$2:$A$3001,0)),""))</f>
        <v/>
      </c>
      <c r="L3950" s="29" t="str">
        <f aca="false">IF(A3950="","",IFERROR(1/(1/INDEX(Numéros!$C$2:$C$3001,MATCH(A3950&amp;"|"&amp;B3950,Numéros!$F$2:$F$3001,0))),""))</f>
        <v/>
      </c>
      <c r="M3950" s="27" t="str">
        <f aca="false">IF(OR(G3950="",G3950="?"),"",IFERROR(INDEX(Pubs!$D$2:$D$3001,MATCH(G3950,Pubs!$A$2:$A$3001,0))&amp;"",""))</f>
        <v/>
      </c>
      <c r="N3950" s="27" t="n">
        <f aca="false">N(N3949)+IF(AND(A3950&lt;&gt;"",OR(Recherche!$C$4="",A3950=Recherche!$C$4),OR(Recherche!$C$5="",B3950&amp;""=Recherche!$C$5&amp;""),OR(Recherche!$C$6="",IFERROR(YEAR(L3950),0)=Recherche!$C$6),OR(Recherche!$C$7="",ISNUMBER(SEARCH(Recherche!$C$7,H3950))),OR(Recherche!$C$8="",J3950=Recherche!$C$8),OR(Recherche!$C$9="",I3950=Recherche!$C$9),OR(Recherche!$C$10="",G3950&amp;""=Recherche!$C$10&amp;""),OR(Recherche!$C$11="",E3950=Recherche!$C$11),OR(Recherche!$C$12="",ISNUMBER(SEARCH(Recherche!$C$12,M3950&amp;" "&amp;F3950)))),1,0)</f>
        <v>8</v>
      </c>
    </row>
    <row r="3951" customFormat="false" ht="15" hidden="false" customHeight="false" outlineLevel="0" collapsed="false">
      <c r="A3951" s="19"/>
      <c r="B3951" s="19"/>
      <c r="C3951" s="19"/>
      <c r="D3951" s="19"/>
      <c r="E3951" s="22"/>
      <c r="F3951" s="19"/>
      <c r="G3951" s="26" t="str">
        <f aca="false">IF(D3951="","",IFERROR(VALUE(LEFT(D3951,FIND(" |",D3951&amp;" |")-1)),"?"))</f>
        <v/>
      </c>
      <c r="H3951" s="27" t="str">
        <f aca="false">IF(G3951="","",IF(G3951="?","⚠ pub inconnue",IFERROR(INDEX(Pubs!$B$2:$B$3001,MATCH(G3951,Pubs!$A$2:$A$3001,0))&amp;"","⚠ pub inconnue")))</f>
        <v/>
      </c>
      <c r="I3951" s="27" t="str">
        <f aca="false">IF(OR(G3951="",G3951="?"),"",IFERROR(INDEX(Pubs!$C$2:$C$3001,MATCH(G3951,Pubs!$A$2:$A$3001,0))&amp;"",""))</f>
        <v/>
      </c>
      <c r="J3951" s="27" t="str">
        <f aca="false">IF(OR(G3951="",G3951="?"),"",IFERROR(INDEX(Pubs!$G$2:$G$3001,MATCH(G3951,Pubs!$A$2:$A$3001,0))&amp;"",""))</f>
        <v/>
      </c>
      <c r="K3951" s="28" t="str">
        <f aca="false">IF(OR(G3951="",G3951="?"),"",IFERROR(INDEX(Pubs!$E$2:$E$3001,MATCH(G3951,Pubs!$A$2:$A$3001,0)),""))</f>
        <v/>
      </c>
      <c r="L3951" s="29" t="str">
        <f aca="false">IF(A3951="","",IFERROR(1/(1/INDEX(Numéros!$C$2:$C$3001,MATCH(A3951&amp;"|"&amp;B3951,Numéros!$F$2:$F$3001,0))),""))</f>
        <v/>
      </c>
      <c r="M3951" s="27" t="str">
        <f aca="false">IF(OR(G3951="",G3951="?"),"",IFERROR(INDEX(Pubs!$D$2:$D$3001,MATCH(G3951,Pubs!$A$2:$A$3001,0))&amp;"",""))</f>
        <v/>
      </c>
      <c r="N3951" s="27" t="n">
        <f aca="false">N(N3950)+IF(AND(A3951&lt;&gt;"",OR(Recherche!$C$4="",A3951=Recherche!$C$4),OR(Recherche!$C$5="",B3951&amp;""=Recherche!$C$5&amp;""),OR(Recherche!$C$6="",IFERROR(YEAR(L3951),0)=Recherche!$C$6),OR(Recherche!$C$7="",ISNUMBER(SEARCH(Recherche!$C$7,H3951))),OR(Recherche!$C$8="",J3951=Recherche!$C$8),OR(Recherche!$C$9="",I3951=Recherche!$C$9),OR(Recherche!$C$10="",G3951&amp;""=Recherche!$C$10&amp;""),OR(Recherche!$C$11="",E3951=Recherche!$C$11),OR(Recherche!$C$12="",ISNUMBER(SEARCH(Recherche!$C$12,M3951&amp;" "&amp;F3951)))),1,0)</f>
        <v>8</v>
      </c>
    </row>
    <row r="3952" customFormat="false" ht="15" hidden="false" customHeight="false" outlineLevel="0" collapsed="false">
      <c r="A3952" s="19"/>
      <c r="B3952" s="19"/>
      <c r="C3952" s="19"/>
      <c r="D3952" s="19"/>
      <c r="E3952" s="22"/>
      <c r="F3952" s="19"/>
      <c r="G3952" s="26" t="str">
        <f aca="false">IF(D3952="","",IFERROR(VALUE(LEFT(D3952,FIND(" |",D3952&amp;" |")-1)),"?"))</f>
        <v/>
      </c>
      <c r="H3952" s="27" t="str">
        <f aca="false">IF(G3952="","",IF(G3952="?","⚠ pub inconnue",IFERROR(INDEX(Pubs!$B$2:$B$3001,MATCH(G3952,Pubs!$A$2:$A$3001,0))&amp;"","⚠ pub inconnue")))</f>
        <v/>
      </c>
      <c r="I3952" s="27" t="str">
        <f aca="false">IF(OR(G3952="",G3952="?"),"",IFERROR(INDEX(Pubs!$C$2:$C$3001,MATCH(G3952,Pubs!$A$2:$A$3001,0))&amp;"",""))</f>
        <v/>
      </c>
      <c r="J3952" s="27" t="str">
        <f aca="false">IF(OR(G3952="",G3952="?"),"",IFERROR(INDEX(Pubs!$G$2:$G$3001,MATCH(G3952,Pubs!$A$2:$A$3001,0))&amp;"",""))</f>
        <v/>
      </c>
      <c r="K3952" s="28" t="str">
        <f aca="false">IF(OR(G3952="",G3952="?"),"",IFERROR(INDEX(Pubs!$E$2:$E$3001,MATCH(G3952,Pubs!$A$2:$A$3001,0)),""))</f>
        <v/>
      </c>
      <c r="L3952" s="29" t="str">
        <f aca="false">IF(A3952="","",IFERROR(1/(1/INDEX(Numéros!$C$2:$C$3001,MATCH(A3952&amp;"|"&amp;B3952,Numéros!$F$2:$F$3001,0))),""))</f>
        <v/>
      </c>
      <c r="M3952" s="27" t="str">
        <f aca="false">IF(OR(G3952="",G3952="?"),"",IFERROR(INDEX(Pubs!$D$2:$D$3001,MATCH(G3952,Pubs!$A$2:$A$3001,0))&amp;"",""))</f>
        <v/>
      </c>
      <c r="N3952" s="27" t="n">
        <f aca="false">N(N3951)+IF(AND(A3952&lt;&gt;"",OR(Recherche!$C$4="",A3952=Recherche!$C$4),OR(Recherche!$C$5="",B3952&amp;""=Recherche!$C$5&amp;""),OR(Recherche!$C$6="",IFERROR(YEAR(L3952),0)=Recherche!$C$6),OR(Recherche!$C$7="",ISNUMBER(SEARCH(Recherche!$C$7,H3952))),OR(Recherche!$C$8="",J3952=Recherche!$C$8),OR(Recherche!$C$9="",I3952=Recherche!$C$9),OR(Recherche!$C$10="",G3952&amp;""=Recherche!$C$10&amp;""),OR(Recherche!$C$11="",E3952=Recherche!$C$11),OR(Recherche!$C$12="",ISNUMBER(SEARCH(Recherche!$C$12,M3952&amp;" "&amp;F3952)))),1,0)</f>
        <v>8</v>
      </c>
    </row>
    <row r="3953" customFormat="false" ht="15" hidden="false" customHeight="false" outlineLevel="0" collapsed="false">
      <c r="A3953" s="19"/>
      <c r="B3953" s="19"/>
      <c r="C3953" s="19"/>
      <c r="D3953" s="19"/>
      <c r="E3953" s="22"/>
      <c r="F3953" s="19"/>
      <c r="G3953" s="26" t="str">
        <f aca="false">IF(D3953="","",IFERROR(VALUE(LEFT(D3953,FIND(" |",D3953&amp;" |")-1)),"?"))</f>
        <v/>
      </c>
      <c r="H3953" s="27" t="str">
        <f aca="false">IF(G3953="","",IF(G3953="?","⚠ pub inconnue",IFERROR(INDEX(Pubs!$B$2:$B$3001,MATCH(G3953,Pubs!$A$2:$A$3001,0))&amp;"","⚠ pub inconnue")))</f>
        <v/>
      </c>
      <c r="I3953" s="27" t="str">
        <f aca="false">IF(OR(G3953="",G3953="?"),"",IFERROR(INDEX(Pubs!$C$2:$C$3001,MATCH(G3953,Pubs!$A$2:$A$3001,0))&amp;"",""))</f>
        <v/>
      </c>
      <c r="J3953" s="27" t="str">
        <f aca="false">IF(OR(G3953="",G3953="?"),"",IFERROR(INDEX(Pubs!$G$2:$G$3001,MATCH(G3953,Pubs!$A$2:$A$3001,0))&amp;"",""))</f>
        <v/>
      </c>
      <c r="K3953" s="28" t="str">
        <f aca="false">IF(OR(G3953="",G3953="?"),"",IFERROR(INDEX(Pubs!$E$2:$E$3001,MATCH(G3953,Pubs!$A$2:$A$3001,0)),""))</f>
        <v/>
      </c>
      <c r="L3953" s="29" t="str">
        <f aca="false">IF(A3953="","",IFERROR(1/(1/INDEX(Numéros!$C$2:$C$3001,MATCH(A3953&amp;"|"&amp;B3953,Numéros!$F$2:$F$3001,0))),""))</f>
        <v/>
      </c>
      <c r="M3953" s="27" t="str">
        <f aca="false">IF(OR(G3953="",G3953="?"),"",IFERROR(INDEX(Pubs!$D$2:$D$3001,MATCH(G3953,Pubs!$A$2:$A$3001,0))&amp;"",""))</f>
        <v/>
      </c>
      <c r="N3953" s="27" t="n">
        <f aca="false">N(N3952)+IF(AND(A3953&lt;&gt;"",OR(Recherche!$C$4="",A3953=Recherche!$C$4),OR(Recherche!$C$5="",B3953&amp;""=Recherche!$C$5&amp;""),OR(Recherche!$C$6="",IFERROR(YEAR(L3953),0)=Recherche!$C$6),OR(Recherche!$C$7="",ISNUMBER(SEARCH(Recherche!$C$7,H3953))),OR(Recherche!$C$8="",J3953=Recherche!$C$8),OR(Recherche!$C$9="",I3953=Recherche!$C$9),OR(Recherche!$C$10="",G3953&amp;""=Recherche!$C$10&amp;""),OR(Recherche!$C$11="",E3953=Recherche!$C$11),OR(Recherche!$C$12="",ISNUMBER(SEARCH(Recherche!$C$12,M3953&amp;" "&amp;F3953)))),1,0)</f>
        <v>8</v>
      </c>
    </row>
    <row r="3954" customFormat="false" ht="15" hidden="false" customHeight="false" outlineLevel="0" collapsed="false">
      <c r="A3954" s="19"/>
      <c r="B3954" s="19"/>
      <c r="C3954" s="19"/>
      <c r="D3954" s="19"/>
      <c r="E3954" s="22"/>
      <c r="F3954" s="19"/>
      <c r="G3954" s="26" t="str">
        <f aca="false">IF(D3954="","",IFERROR(VALUE(LEFT(D3954,FIND(" |",D3954&amp;" |")-1)),"?"))</f>
        <v/>
      </c>
      <c r="H3954" s="27" t="str">
        <f aca="false">IF(G3954="","",IF(G3954="?","⚠ pub inconnue",IFERROR(INDEX(Pubs!$B$2:$B$3001,MATCH(G3954,Pubs!$A$2:$A$3001,0))&amp;"","⚠ pub inconnue")))</f>
        <v/>
      </c>
      <c r="I3954" s="27" t="str">
        <f aca="false">IF(OR(G3954="",G3954="?"),"",IFERROR(INDEX(Pubs!$C$2:$C$3001,MATCH(G3954,Pubs!$A$2:$A$3001,0))&amp;"",""))</f>
        <v/>
      </c>
      <c r="J3954" s="27" t="str">
        <f aca="false">IF(OR(G3954="",G3954="?"),"",IFERROR(INDEX(Pubs!$G$2:$G$3001,MATCH(G3954,Pubs!$A$2:$A$3001,0))&amp;"",""))</f>
        <v/>
      </c>
      <c r="K3954" s="28" t="str">
        <f aca="false">IF(OR(G3954="",G3954="?"),"",IFERROR(INDEX(Pubs!$E$2:$E$3001,MATCH(G3954,Pubs!$A$2:$A$3001,0)),""))</f>
        <v/>
      </c>
      <c r="L3954" s="29" t="str">
        <f aca="false">IF(A3954="","",IFERROR(1/(1/INDEX(Numéros!$C$2:$C$3001,MATCH(A3954&amp;"|"&amp;B3954,Numéros!$F$2:$F$3001,0))),""))</f>
        <v/>
      </c>
      <c r="M3954" s="27" t="str">
        <f aca="false">IF(OR(G3954="",G3954="?"),"",IFERROR(INDEX(Pubs!$D$2:$D$3001,MATCH(G3954,Pubs!$A$2:$A$3001,0))&amp;"",""))</f>
        <v/>
      </c>
      <c r="N3954" s="27" t="n">
        <f aca="false">N(N3953)+IF(AND(A3954&lt;&gt;"",OR(Recherche!$C$4="",A3954=Recherche!$C$4),OR(Recherche!$C$5="",B3954&amp;""=Recherche!$C$5&amp;""),OR(Recherche!$C$6="",IFERROR(YEAR(L3954),0)=Recherche!$C$6),OR(Recherche!$C$7="",ISNUMBER(SEARCH(Recherche!$C$7,H3954))),OR(Recherche!$C$8="",J3954=Recherche!$C$8),OR(Recherche!$C$9="",I3954=Recherche!$C$9),OR(Recherche!$C$10="",G3954&amp;""=Recherche!$C$10&amp;""),OR(Recherche!$C$11="",E3954=Recherche!$C$11),OR(Recherche!$C$12="",ISNUMBER(SEARCH(Recherche!$C$12,M3954&amp;" "&amp;F3954)))),1,0)</f>
        <v>8</v>
      </c>
    </row>
    <row r="3955" customFormat="false" ht="15" hidden="false" customHeight="false" outlineLevel="0" collapsed="false">
      <c r="A3955" s="19"/>
      <c r="B3955" s="19"/>
      <c r="C3955" s="19"/>
      <c r="D3955" s="19"/>
      <c r="E3955" s="22"/>
      <c r="F3955" s="19"/>
      <c r="G3955" s="26" t="str">
        <f aca="false">IF(D3955="","",IFERROR(VALUE(LEFT(D3955,FIND(" |",D3955&amp;" |")-1)),"?"))</f>
        <v/>
      </c>
      <c r="H3955" s="27" t="str">
        <f aca="false">IF(G3955="","",IF(G3955="?","⚠ pub inconnue",IFERROR(INDEX(Pubs!$B$2:$B$3001,MATCH(G3955,Pubs!$A$2:$A$3001,0))&amp;"","⚠ pub inconnue")))</f>
        <v/>
      </c>
      <c r="I3955" s="27" t="str">
        <f aca="false">IF(OR(G3955="",G3955="?"),"",IFERROR(INDEX(Pubs!$C$2:$C$3001,MATCH(G3955,Pubs!$A$2:$A$3001,0))&amp;"",""))</f>
        <v/>
      </c>
      <c r="J3955" s="27" t="str">
        <f aca="false">IF(OR(G3955="",G3955="?"),"",IFERROR(INDEX(Pubs!$G$2:$G$3001,MATCH(G3955,Pubs!$A$2:$A$3001,0))&amp;"",""))</f>
        <v/>
      </c>
      <c r="K3955" s="28" t="str">
        <f aca="false">IF(OR(G3955="",G3955="?"),"",IFERROR(INDEX(Pubs!$E$2:$E$3001,MATCH(G3955,Pubs!$A$2:$A$3001,0)),""))</f>
        <v/>
      </c>
      <c r="L3955" s="29" t="str">
        <f aca="false">IF(A3955="","",IFERROR(1/(1/INDEX(Numéros!$C$2:$C$3001,MATCH(A3955&amp;"|"&amp;B3955,Numéros!$F$2:$F$3001,0))),""))</f>
        <v/>
      </c>
      <c r="M3955" s="27" t="str">
        <f aca="false">IF(OR(G3955="",G3955="?"),"",IFERROR(INDEX(Pubs!$D$2:$D$3001,MATCH(G3955,Pubs!$A$2:$A$3001,0))&amp;"",""))</f>
        <v/>
      </c>
      <c r="N3955" s="27" t="n">
        <f aca="false">N(N3954)+IF(AND(A3955&lt;&gt;"",OR(Recherche!$C$4="",A3955=Recherche!$C$4),OR(Recherche!$C$5="",B3955&amp;""=Recherche!$C$5&amp;""),OR(Recherche!$C$6="",IFERROR(YEAR(L3955),0)=Recherche!$C$6),OR(Recherche!$C$7="",ISNUMBER(SEARCH(Recherche!$C$7,H3955))),OR(Recherche!$C$8="",J3955=Recherche!$C$8),OR(Recherche!$C$9="",I3955=Recherche!$C$9),OR(Recherche!$C$10="",G3955&amp;""=Recherche!$C$10&amp;""),OR(Recherche!$C$11="",E3955=Recherche!$C$11),OR(Recherche!$C$12="",ISNUMBER(SEARCH(Recherche!$C$12,M3955&amp;" "&amp;F3955)))),1,0)</f>
        <v>8</v>
      </c>
    </row>
    <row r="3956" customFormat="false" ht="15" hidden="false" customHeight="false" outlineLevel="0" collapsed="false">
      <c r="A3956" s="19"/>
      <c r="B3956" s="19"/>
      <c r="C3956" s="19"/>
      <c r="D3956" s="19"/>
      <c r="E3956" s="22"/>
      <c r="F3956" s="19"/>
      <c r="G3956" s="26" t="str">
        <f aca="false">IF(D3956="","",IFERROR(VALUE(LEFT(D3956,FIND(" |",D3956&amp;" |")-1)),"?"))</f>
        <v/>
      </c>
      <c r="H3956" s="27" t="str">
        <f aca="false">IF(G3956="","",IF(G3956="?","⚠ pub inconnue",IFERROR(INDEX(Pubs!$B$2:$B$3001,MATCH(G3956,Pubs!$A$2:$A$3001,0))&amp;"","⚠ pub inconnue")))</f>
        <v/>
      </c>
      <c r="I3956" s="27" t="str">
        <f aca="false">IF(OR(G3956="",G3956="?"),"",IFERROR(INDEX(Pubs!$C$2:$C$3001,MATCH(G3956,Pubs!$A$2:$A$3001,0))&amp;"",""))</f>
        <v/>
      </c>
      <c r="J3956" s="27" t="str">
        <f aca="false">IF(OR(G3956="",G3956="?"),"",IFERROR(INDEX(Pubs!$G$2:$G$3001,MATCH(G3956,Pubs!$A$2:$A$3001,0))&amp;"",""))</f>
        <v/>
      </c>
      <c r="K3956" s="28" t="str">
        <f aca="false">IF(OR(G3956="",G3956="?"),"",IFERROR(INDEX(Pubs!$E$2:$E$3001,MATCH(G3956,Pubs!$A$2:$A$3001,0)),""))</f>
        <v/>
      </c>
      <c r="L3956" s="29" t="str">
        <f aca="false">IF(A3956="","",IFERROR(1/(1/INDEX(Numéros!$C$2:$C$3001,MATCH(A3956&amp;"|"&amp;B3956,Numéros!$F$2:$F$3001,0))),""))</f>
        <v/>
      </c>
      <c r="M3956" s="27" t="str">
        <f aca="false">IF(OR(G3956="",G3956="?"),"",IFERROR(INDEX(Pubs!$D$2:$D$3001,MATCH(G3956,Pubs!$A$2:$A$3001,0))&amp;"",""))</f>
        <v/>
      </c>
      <c r="N3956" s="27" t="n">
        <f aca="false">N(N3955)+IF(AND(A3956&lt;&gt;"",OR(Recherche!$C$4="",A3956=Recherche!$C$4),OR(Recherche!$C$5="",B3956&amp;""=Recherche!$C$5&amp;""),OR(Recherche!$C$6="",IFERROR(YEAR(L3956),0)=Recherche!$C$6),OR(Recherche!$C$7="",ISNUMBER(SEARCH(Recherche!$C$7,H3956))),OR(Recherche!$C$8="",J3956=Recherche!$C$8),OR(Recherche!$C$9="",I3956=Recherche!$C$9),OR(Recherche!$C$10="",G3956&amp;""=Recherche!$C$10&amp;""),OR(Recherche!$C$11="",E3956=Recherche!$C$11),OR(Recherche!$C$12="",ISNUMBER(SEARCH(Recherche!$C$12,M3956&amp;" "&amp;F3956)))),1,0)</f>
        <v>8</v>
      </c>
    </row>
    <row r="3957" customFormat="false" ht="15" hidden="false" customHeight="false" outlineLevel="0" collapsed="false">
      <c r="A3957" s="19"/>
      <c r="B3957" s="19"/>
      <c r="C3957" s="19"/>
      <c r="D3957" s="19"/>
      <c r="E3957" s="22"/>
      <c r="F3957" s="19"/>
      <c r="G3957" s="26" t="str">
        <f aca="false">IF(D3957="","",IFERROR(VALUE(LEFT(D3957,FIND(" |",D3957&amp;" |")-1)),"?"))</f>
        <v/>
      </c>
      <c r="H3957" s="27" t="str">
        <f aca="false">IF(G3957="","",IF(G3957="?","⚠ pub inconnue",IFERROR(INDEX(Pubs!$B$2:$B$3001,MATCH(G3957,Pubs!$A$2:$A$3001,0))&amp;"","⚠ pub inconnue")))</f>
        <v/>
      </c>
      <c r="I3957" s="27" t="str">
        <f aca="false">IF(OR(G3957="",G3957="?"),"",IFERROR(INDEX(Pubs!$C$2:$C$3001,MATCH(G3957,Pubs!$A$2:$A$3001,0))&amp;"",""))</f>
        <v/>
      </c>
      <c r="J3957" s="27" t="str">
        <f aca="false">IF(OR(G3957="",G3957="?"),"",IFERROR(INDEX(Pubs!$G$2:$G$3001,MATCH(G3957,Pubs!$A$2:$A$3001,0))&amp;"",""))</f>
        <v/>
      </c>
      <c r="K3957" s="28" t="str">
        <f aca="false">IF(OR(G3957="",G3957="?"),"",IFERROR(INDEX(Pubs!$E$2:$E$3001,MATCH(G3957,Pubs!$A$2:$A$3001,0)),""))</f>
        <v/>
      </c>
      <c r="L3957" s="29" t="str">
        <f aca="false">IF(A3957="","",IFERROR(1/(1/INDEX(Numéros!$C$2:$C$3001,MATCH(A3957&amp;"|"&amp;B3957,Numéros!$F$2:$F$3001,0))),""))</f>
        <v/>
      </c>
      <c r="M3957" s="27" t="str">
        <f aca="false">IF(OR(G3957="",G3957="?"),"",IFERROR(INDEX(Pubs!$D$2:$D$3001,MATCH(G3957,Pubs!$A$2:$A$3001,0))&amp;"",""))</f>
        <v/>
      </c>
      <c r="N3957" s="27" t="n">
        <f aca="false">N(N3956)+IF(AND(A3957&lt;&gt;"",OR(Recherche!$C$4="",A3957=Recherche!$C$4),OR(Recherche!$C$5="",B3957&amp;""=Recherche!$C$5&amp;""),OR(Recherche!$C$6="",IFERROR(YEAR(L3957),0)=Recherche!$C$6),OR(Recherche!$C$7="",ISNUMBER(SEARCH(Recherche!$C$7,H3957))),OR(Recherche!$C$8="",J3957=Recherche!$C$8),OR(Recherche!$C$9="",I3957=Recherche!$C$9),OR(Recherche!$C$10="",G3957&amp;""=Recherche!$C$10&amp;""),OR(Recherche!$C$11="",E3957=Recherche!$C$11),OR(Recherche!$C$12="",ISNUMBER(SEARCH(Recherche!$C$12,M3957&amp;" "&amp;F3957)))),1,0)</f>
        <v>8</v>
      </c>
    </row>
    <row r="3958" customFormat="false" ht="15" hidden="false" customHeight="false" outlineLevel="0" collapsed="false">
      <c r="A3958" s="19"/>
      <c r="B3958" s="19"/>
      <c r="C3958" s="19"/>
      <c r="D3958" s="19"/>
      <c r="E3958" s="22"/>
      <c r="F3958" s="19"/>
      <c r="G3958" s="26" t="str">
        <f aca="false">IF(D3958="","",IFERROR(VALUE(LEFT(D3958,FIND(" |",D3958&amp;" |")-1)),"?"))</f>
        <v/>
      </c>
      <c r="H3958" s="27" t="str">
        <f aca="false">IF(G3958="","",IF(G3958="?","⚠ pub inconnue",IFERROR(INDEX(Pubs!$B$2:$B$3001,MATCH(G3958,Pubs!$A$2:$A$3001,0))&amp;"","⚠ pub inconnue")))</f>
        <v/>
      </c>
      <c r="I3958" s="27" t="str">
        <f aca="false">IF(OR(G3958="",G3958="?"),"",IFERROR(INDEX(Pubs!$C$2:$C$3001,MATCH(G3958,Pubs!$A$2:$A$3001,0))&amp;"",""))</f>
        <v/>
      </c>
      <c r="J3958" s="27" t="str">
        <f aca="false">IF(OR(G3958="",G3958="?"),"",IFERROR(INDEX(Pubs!$G$2:$G$3001,MATCH(G3958,Pubs!$A$2:$A$3001,0))&amp;"",""))</f>
        <v/>
      </c>
      <c r="K3958" s="28" t="str">
        <f aca="false">IF(OR(G3958="",G3958="?"),"",IFERROR(INDEX(Pubs!$E$2:$E$3001,MATCH(G3958,Pubs!$A$2:$A$3001,0)),""))</f>
        <v/>
      </c>
      <c r="L3958" s="29" t="str">
        <f aca="false">IF(A3958="","",IFERROR(1/(1/INDEX(Numéros!$C$2:$C$3001,MATCH(A3958&amp;"|"&amp;B3958,Numéros!$F$2:$F$3001,0))),""))</f>
        <v/>
      </c>
      <c r="M3958" s="27" t="str">
        <f aca="false">IF(OR(G3958="",G3958="?"),"",IFERROR(INDEX(Pubs!$D$2:$D$3001,MATCH(G3958,Pubs!$A$2:$A$3001,0))&amp;"",""))</f>
        <v/>
      </c>
      <c r="N3958" s="27" t="n">
        <f aca="false">N(N3957)+IF(AND(A3958&lt;&gt;"",OR(Recherche!$C$4="",A3958=Recherche!$C$4),OR(Recherche!$C$5="",B3958&amp;""=Recherche!$C$5&amp;""),OR(Recherche!$C$6="",IFERROR(YEAR(L3958),0)=Recherche!$C$6),OR(Recherche!$C$7="",ISNUMBER(SEARCH(Recherche!$C$7,H3958))),OR(Recherche!$C$8="",J3958=Recherche!$C$8),OR(Recherche!$C$9="",I3958=Recherche!$C$9),OR(Recherche!$C$10="",G3958&amp;""=Recherche!$C$10&amp;""),OR(Recherche!$C$11="",E3958=Recherche!$C$11),OR(Recherche!$C$12="",ISNUMBER(SEARCH(Recherche!$C$12,M3958&amp;" "&amp;F3958)))),1,0)</f>
        <v>8</v>
      </c>
    </row>
    <row r="3959" customFormat="false" ht="15" hidden="false" customHeight="false" outlineLevel="0" collapsed="false">
      <c r="A3959" s="19"/>
      <c r="B3959" s="19"/>
      <c r="C3959" s="19"/>
      <c r="D3959" s="19"/>
      <c r="E3959" s="22"/>
      <c r="F3959" s="19"/>
      <c r="G3959" s="26" t="str">
        <f aca="false">IF(D3959="","",IFERROR(VALUE(LEFT(D3959,FIND(" |",D3959&amp;" |")-1)),"?"))</f>
        <v/>
      </c>
      <c r="H3959" s="27" t="str">
        <f aca="false">IF(G3959="","",IF(G3959="?","⚠ pub inconnue",IFERROR(INDEX(Pubs!$B$2:$B$3001,MATCH(G3959,Pubs!$A$2:$A$3001,0))&amp;"","⚠ pub inconnue")))</f>
        <v/>
      </c>
      <c r="I3959" s="27" t="str">
        <f aca="false">IF(OR(G3959="",G3959="?"),"",IFERROR(INDEX(Pubs!$C$2:$C$3001,MATCH(G3959,Pubs!$A$2:$A$3001,0))&amp;"",""))</f>
        <v/>
      </c>
      <c r="J3959" s="27" t="str">
        <f aca="false">IF(OR(G3959="",G3959="?"),"",IFERROR(INDEX(Pubs!$G$2:$G$3001,MATCH(G3959,Pubs!$A$2:$A$3001,0))&amp;"",""))</f>
        <v/>
      </c>
      <c r="K3959" s="28" t="str">
        <f aca="false">IF(OR(G3959="",G3959="?"),"",IFERROR(INDEX(Pubs!$E$2:$E$3001,MATCH(G3959,Pubs!$A$2:$A$3001,0)),""))</f>
        <v/>
      </c>
      <c r="L3959" s="29" t="str">
        <f aca="false">IF(A3959="","",IFERROR(1/(1/INDEX(Numéros!$C$2:$C$3001,MATCH(A3959&amp;"|"&amp;B3959,Numéros!$F$2:$F$3001,0))),""))</f>
        <v/>
      </c>
      <c r="M3959" s="27" t="str">
        <f aca="false">IF(OR(G3959="",G3959="?"),"",IFERROR(INDEX(Pubs!$D$2:$D$3001,MATCH(G3959,Pubs!$A$2:$A$3001,0))&amp;"",""))</f>
        <v/>
      </c>
      <c r="N3959" s="27" t="n">
        <f aca="false">N(N3958)+IF(AND(A3959&lt;&gt;"",OR(Recherche!$C$4="",A3959=Recherche!$C$4),OR(Recherche!$C$5="",B3959&amp;""=Recherche!$C$5&amp;""),OR(Recherche!$C$6="",IFERROR(YEAR(L3959),0)=Recherche!$C$6),OR(Recherche!$C$7="",ISNUMBER(SEARCH(Recherche!$C$7,H3959))),OR(Recherche!$C$8="",J3959=Recherche!$C$8),OR(Recherche!$C$9="",I3959=Recherche!$C$9),OR(Recherche!$C$10="",G3959&amp;""=Recherche!$C$10&amp;""),OR(Recherche!$C$11="",E3959=Recherche!$C$11),OR(Recherche!$C$12="",ISNUMBER(SEARCH(Recherche!$C$12,M3959&amp;" "&amp;F3959)))),1,0)</f>
        <v>8</v>
      </c>
    </row>
    <row r="3960" customFormat="false" ht="15" hidden="false" customHeight="false" outlineLevel="0" collapsed="false">
      <c r="A3960" s="19"/>
      <c r="B3960" s="19"/>
      <c r="C3960" s="19"/>
      <c r="D3960" s="19"/>
      <c r="E3960" s="22"/>
      <c r="F3960" s="19"/>
      <c r="G3960" s="26" t="str">
        <f aca="false">IF(D3960="","",IFERROR(VALUE(LEFT(D3960,FIND(" |",D3960&amp;" |")-1)),"?"))</f>
        <v/>
      </c>
      <c r="H3960" s="27" t="str">
        <f aca="false">IF(G3960="","",IF(G3960="?","⚠ pub inconnue",IFERROR(INDEX(Pubs!$B$2:$B$3001,MATCH(G3960,Pubs!$A$2:$A$3001,0))&amp;"","⚠ pub inconnue")))</f>
        <v/>
      </c>
      <c r="I3960" s="27" t="str">
        <f aca="false">IF(OR(G3960="",G3960="?"),"",IFERROR(INDEX(Pubs!$C$2:$C$3001,MATCH(G3960,Pubs!$A$2:$A$3001,0))&amp;"",""))</f>
        <v/>
      </c>
      <c r="J3960" s="27" t="str">
        <f aca="false">IF(OR(G3960="",G3960="?"),"",IFERROR(INDEX(Pubs!$G$2:$G$3001,MATCH(G3960,Pubs!$A$2:$A$3001,0))&amp;"",""))</f>
        <v/>
      </c>
      <c r="K3960" s="28" t="str">
        <f aca="false">IF(OR(G3960="",G3960="?"),"",IFERROR(INDEX(Pubs!$E$2:$E$3001,MATCH(G3960,Pubs!$A$2:$A$3001,0)),""))</f>
        <v/>
      </c>
      <c r="L3960" s="29" t="str">
        <f aca="false">IF(A3960="","",IFERROR(1/(1/INDEX(Numéros!$C$2:$C$3001,MATCH(A3960&amp;"|"&amp;B3960,Numéros!$F$2:$F$3001,0))),""))</f>
        <v/>
      </c>
      <c r="M3960" s="27" t="str">
        <f aca="false">IF(OR(G3960="",G3960="?"),"",IFERROR(INDEX(Pubs!$D$2:$D$3001,MATCH(G3960,Pubs!$A$2:$A$3001,0))&amp;"",""))</f>
        <v/>
      </c>
      <c r="N3960" s="27" t="n">
        <f aca="false">N(N3959)+IF(AND(A3960&lt;&gt;"",OR(Recherche!$C$4="",A3960=Recherche!$C$4),OR(Recherche!$C$5="",B3960&amp;""=Recherche!$C$5&amp;""),OR(Recherche!$C$6="",IFERROR(YEAR(L3960),0)=Recherche!$C$6),OR(Recherche!$C$7="",ISNUMBER(SEARCH(Recherche!$C$7,H3960))),OR(Recherche!$C$8="",J3960=Recherche!$C$8),OR(Recherche!$C$9="",I3960=Recherche!$C$9),OR(Recherche!$C$10="",G3960&amp;""=Recherche!$C$10&amp;""),OR(Recherche!$C$11="",E3960=Recherche!$C$11),OR(Recherche!$C$12="",ISNUMBER(SEARCH(Recherche!$C$12,M3960&amp;" "&amp;F3960)))),1,0)</f>
        <v>8</v>
      </c>
    </row>
    <row r="3961" customFormat="false" ht="15" hidden="false" customHeight="false" outlineLevel="0" collapsed="false">
      <c r="A3961" s="19"/>
      <c r="B3961" s="19"/>
      <c r="C3961" s="19"/>
      <c r="D3961" s="19"/>
      <c r="E3961" s="22"/>
      <c r="F3961" s="19"/>
      <c r="G3961" s="26" t="str">
        <f aca="false">IF(D3961="","",IFERROR(VALUE(LEFT(D3961,FIND(" |",D3961&amp;" |")-1)),"?"))</f>
        <v/>
      </c>
      <c r="H3961" s="27" t="str">
        <f aca="false">IF(G3961="","",IF(G3961="?","⚠ pub inconnue",IFERROR(INDEX(Pubs!$B$2:$B$3001,MATCH(G3961,Pubs!$A$2:$A$3001,0))&amp;"","⚠ pub inconnue")))</f>
        <v/>
      </c>
      <c r="I3961" s="27" t="str">
        <f aca="false">IF(OR(G3961="",G3961="?"),"",IFERROR(INDEX(Pubs!$C$2:$C$3001,MATCH(G3961,Pubs!$A$2:$A$3001,0))&amp;"",""))</f>
        <v/>
      </c>
      <c r="J3961" s="27" t="str">
        <f aca="false">IF(OR(G3961="",G3961="?"),"",IFERROR(INDEX(Pubs!$G$2:$G$3001,MATCH(G3961,Pubs!$A$2:$A$3001,0))&amp;"",""))</f>
        <v/>
      </c>
      <c r="K3961" s="28" t="str">
        <f aca="false">IF(OR(G3961="",G3961="?"),"",IFERROR(INDEX(Pubs!$E$2:$E$3001,MATCH(G3961,Pubs!$A$2:$A$3001,0)),""))</f>
        <v/>
      </c>
      <c r="L3961" s="29" t="str">
        <f aca="false">IF(A3961="","",IFERROR(1/(1/INDEX(Numéros!$C$2:$C$3001,MATCH(A3961&amp;"|"&amp;B3961,Numéros!$F$2:$F$3001,0))),""))</f>
        <v/>
      </c>
      <c r="M3961" s="27" t="str">
        <f aca="false">IF(OR(G3961="",G3961="?"),"",IFERROR(INDEX(Pubs!$D$2:$D$3001,MATCH(G3961,Pubs!$A$2:$A$3001,0))&amp;"",""))</f>
        <v/>
      </c>
      <c r="N3961" s="27" t="n">
        <f aca="false">N(N3960)+IF(AND(A3961&lt;&gt;"",OR(Recherche!$C$4="",A3961=Recherche!$C$4),OR(Recherche!$C$5="",B3961&amp;""=Recherche!$C$5&amp;""),OR(Recherche!$C$6="",IFERROR(YEAR(L3961),0)=Recherche!$C$6),OR(Recherche!$C$7="",ISNUMBER(SEARCH(Recherche!$C$7,H3961))),OR(Recherche!$C$8="",J3961=Recherche!$C$8),OR(Recherche!$C$9="",I3961=Recherche!$C$9),OR(Recherche!$C$10="",G3961&amp;""=Recherche!$C$10&amp;""),OR(Recherche!$C$11="",E3961=Recherche!$C$11),OR(Recherche!$C$12="",ISNUMBER(SEARCH(Recherche!$C$12,M3961&amp;" "&amp;F3961)))),1,0)</f>
        <v>8</v>
      </c>
    </row>
    <row r="3962" customFormat="false" ht="15" hidden="false" customHeight="false" outlineLevel="0" collapsed="false">
      <c r="A3962" s="19"/>
      <c r="B3962" s="19"/>
      <c r="C3962" s="19"/>
      <c r="D3962" s="19"/>
      <c r="E3962" s="22"/>
      <c r="F3962" s="19"/>
      <c r="G3962" s="26" t="str">
        <f aca="false">IF(D3962="","",IFERROR(VALUE(LEFT(D3962,FIND(" |",D3962&amp;" |")-1)),"?"))</f>
        <v/>
      </c>
      <c r="H3962" s="27" t="str">
        <f aca="false">IF(G3962="","",IF(G3962="?","⚠ pub inconnue",IFERROR(INDEX(Pubs!$B$2:$B$3001,MATCH(G3962,Pubs!$A$2:$A$3001,0))&amp;"","⚠ pub inconnue")))</f>
        <v/>
      </c>
      <c r="I3962" s="27" t="str">
        <f aca="false">IF(OR(G3962="",G3962="?"),"",IFERROR(INDEX(Pubs!$C$2:$C$3001,MATCH(G3962,Pubs!$A$2:$A$3001,0))&amp;"",""))</f>
        <v/>
      </c>
      <c r="J3962" s="27" t="str">
        <f aca="false">IF(OR(G3962="",G3962="?"),"",IFERROR(INDEX(Pubs!$G$2:$G$3001,MATCH(G3962,Pubs!$A$2:$A$3001,0))&amp;"",""))</f>
        <v/>
      </c>
      <c r="K3962" s="28" t="str">
        <f aca="false">IF(OR(G3962="",G3962="?"),"",IFERROR(INDEX(Pubs!$E$2:$E$3001,MATCH(G3962,Pubs!$A$2:$A$3001,0)),""))</f>
        <v/>
      </c>
      <c r="L3962" s="29" t="str">
        <f aca="false">IF(A3962="","",IFERROR(1/(1/INDEX(Numéros!$C$2:$C$3001,MATCH(A3962&amp;"|"&amp;B3962,Numéros!$F$2:$F$3001,0))),""))</f>
        <v/>
      </c>
      <c r="M3962" s="27" t="str">
        <f aca="false">IF(OR(G3962="",G3962="?"),"",IFERROR(INDEX(Pubs!$D$2:$D$3001,MATCH(G3962,Pubs!$A$2:$A$3001,0))&amp;"",""))</f>
        <v/>
      </c>
      <c r="N3962" s="27" t="n">
        <f aca="false">N(N3961)+IF(AND(A3962&lt;&gt;"",OR(Recherche!$C$4="",A3962=Recherche!$C$4),OR(Recherche!$C$5="",B3962&amp;""=Recherche!$C$5&amp;""),OR(Recherche!$C$6="",IFERROR(YEAR(L3962),0)=Recherche!$C$6),OR(Recherche!$C$7="",ISNUMBER(SEARCH(Recherche!$C$7,H3962))),OR(Recherche!$C$8="",J3962=Recherche!$C$8),OR(Recherche!$C$9="",I3962=Recherche!$C$9),OR(Recherche!$C$10="",G3962&amp;""=Recherche!$C$10&amp;""),OR(Recherche!$C$11="",E3962=Recherche!$C$11),OR(Recherche!$C$12="",ISNUMBER(SEARCH(Recherche!$C$12,M3962&amp;" "&amp;F3962)))),1,0)</f>
        <v>8</v>
      </c>
    </row>
    <row r="3963" customFormat="false" ht="15" hidden="false" customHeight="false" outlineLevel="0" collapsed="false">
      <c r="A3963" s="19"/>
      <c r="B3963" s="19"/>
      <c r="C3963" s="19"/>
      <c r="D3963" s="19"/>
      <c r="E3963" s="22"/>
      <c r="F3963" s="19"/>
      <c r="G3963" s="26" t="str">
        <f aca="false">IF(D3963="","",IFERROR(VALUE(LEFT(D3963,FIND(" |",D3963&amp;" |")-1)),"?"))</f>
        <v/>
      </c>
      <c r="H3963" s="27" t="str">
        <f aca="false">IF(G3963="","",IF(G3963="?","⚠ pub inconnue",IFERROR(INDEX(Pubs!$B$2:$B$3001,MATCH(G3963,Pubs!$A$2:$A$3001,0))&amp;"","⚠ pub inconnue")))</f>
        <v/>
      </c>
      <c r="I3963" s="27" t="str">
        <f aca="false">IF(OR(G3963="",G3963="?"),"",IFERROR(INDEX(Pubs!$C$2:$C$3001,MATCH(G3963,Pubs!$A$2:$A$3001,0))&amp;"",""))</f>
        <v/>
      </c>
      <c r="J3963" s="27" t="str">
        <f aca="false">IF(OR(G3963="",G3963="?"),"",IFERROR(INDEX(Pubs!$G$2:$G$3001,MATCH(G3963,Pubs!$A$2:$A$3001,0))&amp;"",""))</f>
        <v/>
      </c>
      <c r="K3963" s="28" t="str">
        <f aca="false">IF(OR(G3963="",G3963="?"),"",IFERROR(INDEX(Pubs!$E$2:$E$3001,MATCH(G3963,Pubs!$A$2:$A$3001,0)),""))</f>
        <v/>
      </c>
      <c r="L3963" s="29" t="str">
        <f aca="false">IF(A3963="","",IFERROR(1/(1/INDEX(Numéros!$C$2:$C$3001,MATCH(A3963&amp;"|"&amp;B3963,Numéros!$F$2:$F$3001,0))),""))</f>
        <v/>
      </c>
      <c r="M3963" s="27" t="str">
        <f aca="false">IF(OR(G3963="",G3963="?"),"",IFERROR(INDEX(Pubs!$D$2:$D$3001,MATCH(G3963,Pubs!$A$2:$A$3001,0))&amp;"",""))</f>
        <v/>
      </c>
      <c r="N3963" s="27" t="n">
        <f aca="false">N(N3962)+IF(AND(A3963&lt;&gt;"",OR(Recherche!$C$4="",A3963=Recherche!$C$4),OR(Recherche!$C$5="",B3963&amp;""=Recherche!$C$5&amp;""),OR(Recherche!$C$6="",IFERROR(YEAR(L3963),0)=Recherche!$C$6),OR(Recherche!$C$7="",ISNUMBER(SEARCH(Recherche!$C$7,H3963))),OR(Recherche!$C$8="",J3963=Recherche!$C$8),OR(Recherche!$C$9="",I3963=Recherche!$C$9),OR(Recherche!$C$10="",G3963&amp;""=Recherche!$C$10&amp;""),OR(Recherche!$C$11="",E3963=Recherche!$C$11),OR(Recherche!$C$12="",ISNUMBER(SEARCH(Recherche!$C$12,M3963&amp;" "&amp;F3963)))),1,0)</f>
        <v>8</v>
      </c>
    </row>
    <row r="3964" customFormat="false" ht="15" hidden="false" customHeight="false" outlineLevel="0" collapsed="false">
      <c r="A3964" s="19"/>
      <c r="B3964" s="19"/>
      <c r="C3964" s="19"/>
      <c r="D3964" s="19"/>
      <c r="E3964" s="22"/>
      <c r="F3964" s="19"/>
      <c r="G3964" s="26" t="str">
        <f aca="false">IF(D3964="","",IFERROR(VALUE(LEFT(D3964,FIND(" |",D3964&amp;" |")-1)),"?"))</f>
        <v/>
      </c>
      <c r="H3964" s="27" t="str">
        <f aca="false">IF(G3964="","",IF(G3964="?","⚠ pub inconnue",IFERROR(INDEX(Pubs!$B$2:$B$3001,MATCH(G3964,Pubs!$A$2:$A$3001,0))&amp;"","⚠ pub inconnue")))</f>
        <v/>
      </c>
      <c r="I3964" s="27" t="str">
        <f aca="false">IF(OR(G3964="",G3964="?"),"",IFERROR(INDEX(Pubs!$C$2:$C$3001,MATCH(G3964,Pubs!$A$2:$A$3001,0))&amp;"",""))</f>
        <v/>
      </c>
      <c r="J3964" s="27" t="str">
        <f aca="false">IF(OR(G3964="",G3964="?"),"",IFERROR(INDEX(Pubs!$G$2:$G$3001,MATCH(G3964,Pubs!$A$2:$A$3001,0))&amp;"",""))</f>
        <v/>
      </c>
      <c r="K3964" s="28" t="str">
        <f aca="false">IF(OR(G3964="",G3964="?"),"",IFERROR(INDEX(Pubs!$E$2:$E$3001,MATCH(G3964,Pubs!$A$2:$A$3001,0)),""))</f>
        <v/>
      </c>
      <c r="L3964" s="29" t="str">
        <f aca="false">IF(A3964="","",IFERROR(1/(1/INDEX(Numéros!$C$2:$C$3001,MATCH(A3964&amp;"|"&amp;B3964,Numéros!$F$2:$F$3001,0))),""))</f>
        <v/>
      </c>
      <c r="M3964" s="27" t="str">
        <f aca="false">IF(OR(G3964="",G3964="?"),"",IFERROR(INDEX(Pubs!$D$2:$D$3001,MATCH(G3964,Pubs!$A$2:$A$3001,0))&amp;"",""))</f>
        <v/>
      </c>
      <c r="N3964" s="27" t="n">
        <f aca="false">N(N3963)+IF(AND(A3964&lt;&gt;"",OR(Recherche!$C$4="",A3964=Recherche!$C$4),OR(Recherche!$C$5="",B3964&amp;""=Recherche!$C$5&amp;""),OR(Recherche!$C$6="",IFERROR(YEAR(L3964),0)=Recherche!$C$6),OR(Recherche!$C$7="",ISNUMBER(SEARCH(Recherche!$C$7,H3964))),OR(Recherche!$C$8="",J3964=Recherche!$C$8),OR(Recherche!$C$9="",I3964=Recherche!$C$9),OR(Recherche!$C$10="",G3964&amp;""=Recherche!$C$10&amp;""),OR(Recherche!$C$11="",E3964=Recherche!$C$11),OR(Recherche!$C$12="",ISNUMBER(SEARCH(Recherche!$C$12,M3964&amp;" "&amp;F3964)))),1,0)</f>
        <v>8</v>
      </c>
    </row>
    <row r="3965" customFormat="false" ht="15" hidden="false" customHeight="false" outlineLevel="0" collapsed="false">
      <c r="A3965" s="19"/>
      <c r="B3965" s="19"/>
      <c r="C3965" s="19"/>
      <c r="D3965" s="19"/>
      <c r="E3965" s="22"/>
      <c r="F3965" s="19"/>
      <c r="G3965" s="26" t="str">
        <f aca="false">IF(D3965="","",IFERROR(VALUE(LEFT(D3965,FIND(" |",D3965&amp;" |")-1)),"?"))</f>
        <v/>
      </c>
      <c r="H3965" s="27" t="str">
        <f aca="false">IF(G3965="","",IF(G3965="?","⚠ pub inconnue",IFERROR(INDEX(Pubs!$B$2:$B$3001,MATCH(G3965,Pubs!$A$2:$A$3001,0))&amp;"","⚠ pub inconnue")))</f>
        <v/>
      </c>
      <c r="I3965" s="27" t="str">
        <f aca="false">IF(OR(G3965="",G3965="?"),"",IFERROR(INDEX(Pubs!$C$2:$C$3001,MATCH(G3965,Pubs!$A$2:$A$3001,0))&amp;"",""))</f>
        <v/>
      </c>
      <c r="J3965" s="27" t="str">
        <f aca="false">IF(OR(G3965="",G3965="?"),"",IFERROR(INDEX(Pubs!$G$2:$G$3001,MATCH(G3965,Pubs!$A$2:$A$3001,0))&amp;"",""))</f>
        <v/>
      </c>
      <c r="K3965" s="28" t="str">
        <f aca="false">IF(OR(G3965="",G3965="?"),"",IFERROR(INDEX(Pubs!$E$2:$E$3001,MATCH(G3965,Pubs!$A$2:$A$3001,0)),""))</f>
        <v/>
      </c>
      <c r="L3965" s="29" t="str">
        <f aca="false">IF(A3965="","",IFERROR(1/(1/INDEX(Numéros!$C$2:$C$3001,MATCH(A3965&amp;"|"&amp;B3965,Numéros!$F$2:$F$3001,0))),""))</f>
        <v/>
      </c>
      <c r="M3965" s="27" t="str">
        <f aca="false">IF(OR(G3965="",G3965="?"),"",IFERROR(INDEX(Pubs!$D$2:$D$3001,MATCH(G3965,Pubs!$A$2:$A$3001,0))&amp;"",""))</f>
        <v/>
      </c>
      <c r="N3965" s="27" t="n">
        <f aca="false">N(N3964)+IF(AND(A3965&lt;&gt;"",OR(Recherche!$C$4="",A3965=Recherche!$C$4),OR(Recherche!$C$5="",B3965&amp;""=Recherche!$C$5&amp;""),OR(Recherche!$C$6="",IFERROR(YEAR(L3965),0)=Recherche!$C$6),OR(Recherche!$C$7="",ISNUMBER(SEARCH(Recherche!$C$7,H3965))),OR(Recherche!$C$8="",J3965=Recherche!$C$8),OR(Recherche!$C$9="",I3965=Recherche!$C$9),OR(Recherche!$C$10="",G3965&amp;""=Recherche!$C$10&amp;""),OR(Recherche!$C$11="",E3965=Recherche!$C$11),OR(Recherche!$C$12="",ISNUMBER(SEARCH(Recherche!$C$12,M3965&amp;" "&amp;F3965)))),1,0)</f>
        <v>8</v>
      </c>
    </row>
    <row r="3966" customFormat="false" ht="15" hidden="false" customHeight="false" outlineLevel="0" collapsed="false">
      <c r="A3966" s="19"/>
      <c r="B3966" s="19"/>
      <c r="C3966" s="19"/>
      <c r="D3966" s="19"/>
      <c r="E3966" s="22"/>
      <c r="F3966" s="19"/>
      <c r="G3966" s="26" t="str">
        <f aca="false">IF(D3966="","",IFERROR(VALUE(LEFT(D3966,FIND(" |",D3966&amp;" |")-1)),"?"))</f>
        <v/>
      </c>
      <c r="H3966" s="27" t="str">
        <f aca="false">IF(G3966="","",IF(G3966="?","⚠ pub inconnue",IFERROR(INDEX(Pubs!$B$2:$B$3001,MATCH(G3966,Pubs!$A$2:$A$3001,0))&amp;"","⚠ pub inconnue")))</f>
        <v/>
      </c>
      <c r="I3966" s="27" t="str">
        <f aca="false">IF(OR(G3966="",G3966="?"),"",IFERROR(INDEX(Pubs!$C$2:$C$3001,MATCH(G3966,Pubs!$A$2:$A$3001,0))&amp;"",""))</f>
        <v/>
      </c>
      <c r="J3966" s="27" t="str">
        <f aca="false">IF(OR(G3966="",G3966="?"),"",IFERROR(INDEX(Pubs!$G$2:$G$3001,MATCH(G3966,Pubs!$A$2:$A$3001,0))&amp;"",""))</f>
        <v/>
      </c>
      <c r="K3966" s="28" t="str">
        <f aca="false">IF(OR(G3966="",G3966="?"),"",IFERROR(INDEX(Pubs!$E$2:$E$3001,MATCH(G3966,Pubs!$A$2:$A$3001,0)),""))</f>
        <v/>
      </c>
      <c r="L3966" s="29" t="str">
        <f aca="false">IF(A3966="","",IFERROR(1/(1/INDEX(Numéros!$C$2:$C$3001,MATCH(A3966&amp;"|"&amp;B3966,Numéros!$F$2:$F$3001,0))),""))</f>
        <v/>
      </c>
      <c r="M3966" s="27" t="str">
        <f aca="false">IF(OR(G3966="",G3966="?"),"",IFERROR(INDEX(Pubs!$D$2:$D$3001,MATCH(G3966,Pubs!$A$2:$A$3001,0))&amp;"",""))</f>
        <v/>
      </c>
      <c r="N3966" s="27" t="n">
        <f aca="false">N(N3965)+IF(AND(A3966&lt;&gt;"",OR(Recherche!$C$4="",A3966=Recherche!$C$4),OR(Recherche!$C$5="",B3966&amp;""=Recherche!$C$5&amp;""),OR(Recherche!$C$6="",IFERROR(YEAR(L3966),0)=Recherche!$C$6),OR(Recherche!$C$7="",ISNUMBER(SEARCH(Recherche!$C$7,H3966))),OR(Recherche!$C$8="",J3966=Recherche!$C$8),OR(Recherche!$C$9="",I3966=Recherche!$C$9),OR(Recherche!$C$10="",G3966&amp;""=Recherche!$C$10&amp;""),OR(Recherche!$C$11="",E3966=Recherche!$C$11),OR(Recherche!$C$12="",ISNUMBER(SEARCH(Recherche!$C$12,M3966&amp;" "&amp;F3966)))),1,0)</f>
        <v>8</v>
      </c>
    </row>
    <row r="3967" customFormat="false" ht="15" hidden="false" customHeight="false" outlineLevel="0" collapsed="false">
      <c r="A3967" s="19"/>
      <c r="B3967" s="19"/>
      <c r="C3967" s="19"/>
      <c r="D3967" s="19"/>
      <c r="E3967" s="22"/>
      <c r="F3967" s="19"/>
      <c r="G3967" s="26" t="str">
        <f aca="false">IF(D3967="","",IFERROR(VALUE(LEFT(D3967,FIND(" |",D3967&amp;" |")-1)),"?"))</f>
        <v/>
      </c>
      <c r="H3967" s="27" t="str">
        <f aca="false">IF(G3967="","",IF(G3967="?","⚠ pub inconnue",IFERROR(INDEX(Pubs!$B$2:$B$3001,MATCH(G3967,Pubs!$A$2:$A$3001,0))&amp;"","⚠ pub inconnue")))</f>
        <v/>
      </c>
      <c r="I3967" s="27" t="str">
        <f aca="false">IF(OR(G3967="",G3967="?"),"",IFERROR(INDEX(Pubs!$C$2:$C$3001,MATCH(G3967,Pubs!$A$2:$A$3001,0))&amp;"",""))</f>
        <v/>
      </c>
      <c r="J3967" s="27" t="str">
        <f aca="false">IF(OR(G3967="",G3967="?"),"",IFERROR(INDEX(Pubs!$G$2:$G$3001,MATCH(G3967,Pubs!$A$2:$A$3001,0))&amp;"",""))</f>
        <v/>
      </c>
      <c r="K3967" s="28" t="str">
        <f aca="false">IF(OR(G3967="",G3967="?"),"",IFERROR(INDEX(Pubs!$E$2:$E$3001,MATCH(G3967,Pubs!$A$2:$A$3001,0)),""))</f>
        <v/>
      </c>
      <c r="L3967" s="29" t="str">
        <f aca="false">IF(A3967="","",IFERROR(1/(1/INDEX(Numéros!$C$2:$C$3001,MATCH(A3967&amp;"|"&amp;B3967,Numéros!$F$2:$F$3001,0))),""))</f>
        <v/>
      </c>
      <c r="M3967" s="27" t="str">
        <f aca="false">IF(OR(G3967="",G3967="?"),"",IFERROR(INDEX(Pubs!$D$2:$D$3001,MATCH(G3967,Pubs!$A$2:$A$3001,0))&amp;"",""))</f>
        <v/>
      </c>
      <c r="N3967" s="27" t="n">
        <f aca="false">N(N3966)+IF(AND(A3967&lt;&gt;"",OR(Recherche!$C$4="",A3967=Recherche!$C$4),OR(Recherche!$C$5="",B3967&amp;""=Recherche!$C$5&amp;""),OR(Recherche!$C$6="",IFERROR(YEAR(L3967),0)=Recherche!$C$6),OR(Recherche!$C$7="",ISNUMBER(SEARCH(Recherche!$C$7,H3967))),OR(Recherche!$C$8="",J3967=Recherche!$C$8),OR(Recherche!$C$9="",I3967=Recherche!$C$9),OR(Recherche!$C$10="",G3967&amp;""=Recherche!$C$10&amp;""),OR(Recherche!$C$11="",E3967=Recherche!$C$11),OR(Recherche!$C$12="",ISNUMBER(SEARCH(Recherche!$C$12,M3967&amp;" "&amp;F3967)))),1,0)</f>
        <v>8</v>
      </c>
    </row>
    <row r="3968" customFormat="false" ht="15" hidden="false" customHeight="false" outlineLevel="0" collapsed="false">
      <c r="A3968" s="19"/>
      <c r="B3968" s="19"/>
      <c r="C3968" s="19"/>
      <c r="D3968" s="19"/>
      <c r="E3968" s="22"/>
      <c r="F3968" s="19"/>
      <c r="G3968" s="26" t="str">
        <f aca="false">IF(D3968="","",IFERROR(VALUE(LEFT(D3968,FIND(" |",D3968&amp;" |")-1)),"?"))</f>
        <v/>
      </c>
      <c r="H3968" s="27" t="str">
        <f aca="false">IF(G3968="","",IF(G3968="?","⚠ pub inconnue",IFERROR(INDEX(Pubs!$B$2:$B$3001,MATCH(G3968,Pubs!$A$2:$A$3001,0))&amp;"","⚠ pub inconnue")))</f>
        <v/>
      </c>
      <c r="I3968" s="27" t="str">
        <f aca="false">IF(OR(G3968="",G3968="?"),"",IFERROR(INDEX(Pubs!$C$2:$C$3001,MATCH(G3968,Pubs!$A$2:$A$3001,0))&amp;"",""))</f>
        <v/>
      </c>
      <c r="J3968" s="27" t="str">
        <f aca="false">IF(OR(G3968="",G3968="?"),"",IFERROR(INDEX(Pubs!$G$2:$G$3001,MATCH(G3968,Pubs!$A$2:$A$3001,0))&amp;"",""))</f>
        <v/>
      </c>
      <c r="K3968" s="28" t="str">
        <f aca="false">IF(OR(G3968="",G3968="?"),"",IFERROR(INDEX(Pubs!$E$2:$E$3001,MATCH(G3968,Pubs!$A$2:$A$3001,0)),""))</f>
        <v/>
      </c>
      <c r="L3968" s="29" t="str">
        <f aca="false">IF(A3968="","",IFERROR(1/(1/INDEX(Numéros!$C$2:$C$3001,MATCH(A3968&amp;"|"&amp;B3968,Numéros!$F$2:$F$3001,0))),""))</f>
        <v/>
      </c>
      <c r="M3968" s="27" t="str">
        <f aca="false">IF(OR(G3968="",G3968="?"),"",IFERROR(INDEX(Pubs!$D$2:$D$3001,MATCH(G3968,Pubs!$A$2:$A$3001,0))&amp;"",""))</f>
        <v/>
      </c>
      <c r="N3968" s="27" t="n">
        <f aca="false">N(N3967)+IF(AND(A3968&lt;&gt;"",OR(Recherche!$C$4="",A3968=Recherche!$C$4),OR(Recherche!$C$5="",B3968&amp;""=Recherche!$C$5&amp;""),OR(Recherche!$C$6="",IFERROR(YEAR(L3968),0)=Recherche!$C$6),OR(Recherche!$C$7="",ISNUMBER(SEARCH(Recherche!$C$7,H3968))),OR(Recherche!$C$8="",J3968=Recherche!$C$8),OR(Recherche!$C$9="",I3968=Recherche!$C$9),OR(Recherche!$C$10="",G3968&amp;""=Recherche!$C$10&amp;""),OR(Recherche!$C$11="",E3968=Recherche!$C$11),OR(Recherche!$C$12="",ISNUMBER(SEARCH(Recherche!$C$12,M3968&amp;" "&amp;F3968)))),1,0)</f>
        <v>8</v>
      </c>
    </row>
    <row r="3969" customFormat="false" ht="15" hidden="false" customHeight="false" outlineLevel="0" collapsed="false">
      <c r="A3969" s="19"/>
      <c r="B3969" s="19"/>
      <c r="C3969" s="19"/>
      <c r="D3969" s="19"/>
      <c r="E3969" s="22"/>
      <c r="F3969" s="19"/>
      <c r="G3969" s="26" t="str">
        <f aca="false">IF(D3969="","",IFERROR(VALUE(LEFT(D3969,FIND(" |",D3969&amp;" |")-1)),"?"))</f>
        <v/>
      </c>
      <c r="H3969" s="27" t="str">
        <f aca="false">IF(G3969="","",IF(G3969="?","⚠ pub inconnue",IFERROR(INDEX(Pubs!$B$2:$B$3001,MATCH(G3969,Pubs!$A$2:$A$3001,0))&amp;"","⚠ pub inconnue")))</f>
        <v/>
      </c>
      <c r="I3969" s="27" t="str">
        <f aca="false">IF(OR(G3969="",G3969="?"),"",IFERROR(INDEX(Pubs!$C$2:$C$3001,MATCH(G3969,Pubs!$A$2:$A$3001,0))&amp;"",""))</f>
        <v/>
      </c>
      <c r="J3969" s="27" t="str">
        <f aca="false">IF(OR(G3969="",G3969="?"),"",IFERROR(INDEX(Pubs!$G$2:$G$3001,MATCH(G3969,Pubs!$A$2:$A$3001,0))&amp;"",""))</f>
        <v/>
      </c>
      <c r="K3969" s="28" t="str">
        <f aca="false">IF(OR(G3969="",G3969="?"),"",IFERROR(INDEX(Pubs!$E$2:$E$3001,MATCH(G3969,Pubs!$A$2:$A$3001,0)),""))</f>
        <v/>
      </c>
      <c r="L3969" s="29" t="str">
        <f aca="false">IF(A3969="","",IFERROR(1/(1/INDEX(Numéros!$C$2:$C$3001,MATCH(A3969&amp;"|"&amp;B3969,Numéros!$F$2:$F$3001,0))),""))</f>
        <v/>
      </c>
      <c r="M3969" s="27" t="str">
        <f aca="false">IF(OR(G3969="",G3969="?"),"",IFERROR(INDEX(Pubs!$D$2:$D$3001,MATCH(G3969,Pubs!$A$2:$A$3001,0))&amp;"",""))</f>
        <v/>
      </c>
      <c r="N3969" s="27" t="n">
        <f aca="false">N(N3968)+IF(AND(A3969&lt;&gt;"",OR(Recherche!$C$4="",A3969=Recherche!$C$4),OR(Recherche!$C$5="",B3969&amp;""=Recherche!$C$5&amp;""),OR(Recherche!$C$6="",IFERROR(YEAR(L3969),0)=Recherche!$C$6),OR(Recherche!$C$7="",ISNUMBER(SEARCH(Recherche!$C$7,H3969))),OR(Recherche!$C$8="",J3969=Recherche!$C$8),OR(Recherche!$C$9="",I3969=Recherche!$C$9),OR(Recherche!$C$10="",G3969&amp;""=Recherche!$C$10&amp;""),OR(Recherche!$C$11="",E3969=Recherche!$C$11),OR(Recherche!$C$12="",ISNUMBER(SEARCH(Recherche!$C$12,M3969&amp;" "&amp;F3969)))),1,0)</f>
        <v>8</v>
      </c>
    </row>
    <row r="3970" customFormat="false" ht="15" hidden="false" customHeight="false" outlineLevel="0" collapsed="false">
      <c r="A3970" s="19"/>
      <c r="B3970" s="19"/>
      <c r="C3970" s="19"/>
      <c r="D3970" s="19"/>
      <c r="E3970" s="22"/>
      <c r="F3970" s="19"/>
      <c r="G3970" s="26" t="str">
        <f aca="false">IF(D3970="","",IFERROR(VALUE(LEFT(D3970,FIND(" |",D3970&amp;" |")-1)),"?"))</f>
        <v/>
      </c>
      <c r="H3970" s="27" t="str">
        <f aca="false">IF(G3970="","",IF(G3970="?","⚠ pub inconnue",IFERROR(INDEX(Pubs!$B$2:$B$3001,MATCH(G3970,Pubs!$A$2:$A$3001,0))&amp;"","⚠ pub inconnue")))</f>
        <v/>
      </c>
      <c r="I3970" s="27" t="str">
        <f aca="false">IF(OR(G3970="",G3970="?"),"",IFERROR(INDEX(Pubs!$C$2:$C$3001,MATCH(G3970,Pubs!$A$2:$A$3001,0))&amp;"",""))</f>
        <v/>
      </c>
      <c r="J3970" s="27" t="str">
        <f aca="false">IF(OR(G3970="",G3970="?"),"",IFERROR(INDEX(Pubs!$G$2:$G$3001,MATCH(G3970,Pubs!$A$2:$A$3001,0))&amp;"",""))</f>
        <v/>
      </c>
      <c r="K3970" s="28" t="str">
        <f aca="false">IF(OR(G3970="",G3970="?"),"",IFERROR(INDEX(Pubs!$E$2:$E$3001,MATCH(G3970,Pubs!$A$2:$A$3001,0)),""))</f>
        <v/>
      </c>
      <c r="L3970" s="29" t="str">
        <f aca="false">IF(A3970="","",IFERROR(1/(1/INDEX(Numéros!$C$2:$C$3001,MATCH(A3970&amp;"|"&amp;B3970,Numéros!$F$2:$F$3001,0))),""))</f>
        <v/>
      </c>
      <c r="M3970" s="27" t="str">
        <f aca="false">IF(OR(G3970="",G3970="?"),"",IFERROR(INDEX(Pubs!$D$2:$D$3001,MATCH(G3970,Pubs!$A$2:$A$3001,0))&amp;"",""))</f>
        <v/>
      </c>
      <c r="N3970" s="27" t="n">
        <f aca="false">N(N3969)+IF(AND(A3970&lt;&gt;"",OR(Recherche!$C$4="",A3970=Recherche!$C$4),OR(Recherche!$C$5="",B3970&amp;""=Recherche!$C$5&amp;""),OR(Recherche!$C$6="",IFERROR(YEAR(L3970),0)=Recherche!$C$6),OR(Recherche!$C$7="",ISNUMBER(SEARCH(Recherche!$C$7,H3970))),OR(Recherche!$C$8="",J3970=Recherche!$C$8),OR(Recherche!$C$9="",I3970=Recherche!$C$9),OR(Recherche!$C$10="",G3970&amp;""=Recherche!$C$10&amp;""),OR(Recherche!$C$11="",E3970=Recherche!$C$11),OR(Recherche!$C$12="",ISNUMBER(SEARCH(Recherche!$C$12,M3970&amp;" "&amp;F3970)))),1,0)</f>
        <v>8</v>
      </c>
    </row>
    <row r="3971" customFormat="false" ht="15" hidden="false" customHeight="false" outlineLevel="0" collapsed="false">
      <c r="A3971" s="19"/>
      <c r="B3971" s="19"/>
      <c r="C3971" s="19"/>
      <c r="D3971" s="19"/>
      <c r="E3971" s="22"/>
      <c r="F3971" s="19"/>
      <c r="G3971" s="26" t="str">
        <f aca="false">IF(D3971="","",IFERROR(VALUE(LEFT(D3971,FIND(" |",D3971&amp;" |")-1)),"?"))</f>
        <v/>
      </c>
      <c r="H3971" s="27" t="str">
        <f aca="false">IF(G3971="","",IF(G3971="?","⚠ pub inconnue",IFERROR(INDEX(Pubs!$B$2:$B$3001,MATCH(G3971,Pubs!$A$2:$A$3001,0))&amp;"","⚠ pub inconnue")))</f>
        <v/>
      </c>
      <c r="I3971" s="27" t="str">
        <f aca="false">IF(OR(G3971="",G3971="?"),"",IFERROR(INDEX(Pubs!$C$2:$C$3001,MATCH(G3971,Pubs!$A$2:$A$3001,0))&amp;"",""))</f>
        <v/>
      </c>
      <c r="J3971" s="27" t="str">
        <f aca="false">IF(OR(G3971="",G3971="?"),"",IFERROR(INDEX(Pubs!$G$2:$G$3001,MATCH(G3971,Pubs!$A$2:$A$3001,0))&amp;"",""))</f>
        <v/>
      </c>
      <c r="K3971" s="28" t="str">
        <f aca="false">IF(OR(G3971="",G3971="?"),"",IFERROR(INDEX(Pubs!$E$2:$E$3001,MATCH(G3971,Pubs!$A$2:$A$3001,0)),""))</f>
        <v/>
      </c>
      <c r="L3971" s="29" t="str">
        <f aca="false">IF(A3971="","",IFERROR(1/(1/INDEX(Numéros!$C$2:$C$3001,MATCH(A3971&amp;"|"&amp;B3971,Numéros!$F$2:$F$3001,0))),""))</f>
        <v/>
      </c>
      <c r="M3971" s="27" t="str">
        <f aca="false">IF(OR(G3971="",G3971="?"),"",IFERROR(INDEX(Pubs!$D$2:$D$3001,MATCH(G3971,Pubs!$A$2:$A$3001,0))&amp;"",""))</f>
        <v/>
      </c>
      <c r="N3971" s="27" t="n">
        <f aca="false">N(N3970)+IF(AND(A3971&lt;&gt;"",OR(Recherche!$C$4="",A3971=Recherche!$C$4),OR(Recherche!$C$5="",B3971&amp;""=Recherche!$C$5&amp;""),OR(Recherche!$C$6="",IFERROR(YEAR(L3971),0)=Recherche!$C$6),OR(Recherche!$C$7="",ISNUMBER(SEARCH(Recherche!$C$7,H3971))),OR(Recherche!$C$8="",J3971=Recherche!$C$8),OR(Recherche!$C$9="",I3971=Recherche!$C$9),OR(Recherche!$C$10="",G3971&amp;""=Recherche!$C$10&amp;""),OR(Recherche!$C$11="",E3971=Recherche!$C$11),OR(Recherche!$C$12="",ISNUMBER(SEARCH(Recherche!$C$12,M3971&amp;" "&amp;F3971)))),1,0)</f>
        <v>8</v>
      </c>
    </row>
    <row r="3972" customFormat="false" ht="15" hidden="false" customHeight="false" outlineLevel="0" collapsed="false">
      <c r="A3972" s="19"/>
      <c r="B3972" s="19"/>
      <c r="C3972" s="19"/>
      <c r="D3972" s="19"/>
      <c r="E3972" s="22"/>
      <c r="F3972" s="19"/>
      <c r="G3972" s="26" t="str">
        <f aca="false">IF(D3972="","",IFERROR(VALUE(LEFT(D3972,FIND(" |",D3972&amp;" |")-1)),"?"))</f>
        <v/>
      </c>
      <c r="H3972" s="27" t="str">
        <f aca="false">IF(G3972="","",IF(G3972="?","⚠ pub inconnue",IFERROR(INDEX(Pubs!$B$2:$B$3001,MATCH(G3972,Pubs!$A$2:$A$3001,0))&amp;"","⚠ pub inconnue")))</f>
        <v/>
      </c>
      <c r="I3972" s="27" t="str">
        <f aca="false">IF(OR(G3972="",G3972="?"),"",IFERROR(INDEX(Pubs!$C$2:$C$3001,MATCH(G3972,Pubs!$A$2:$A$3001,0))&amp;"",""))</f>
        <v/>
      </c>
      <c r="J3972" s="27" t="str">
        <f aca="false">IF(OR(G3972="",G3972="?"),"",IFERROR(INDEX(Pubs!$G$2:$G$3001,MATCH(G3972,Pubs!$A$2:$A$3001,0))&amp;"",""))</f>
        <v/>
      </c>
      <c r="K3972" s="28" t="str">
        <f aca="false">IF(OR(G3972="",G3972="?"),"",IFERROR(INDEX(Pubs!$E$2:$E$3001,MATCH(G3972,Pubs!$A$2:$A$3001,0)),""))</f>
        <v/>
      </c>
      <c r="L3972" s="29" t="str">
        <f aca="false">IF(A3972="","",IFERROR(1/(1/INDEX(Numéros!$C$2:$C$3001,MATCH(A3972&amp;"|"&amp;B3972,Numéros!$F$2:$F$3001,0))),""))</f>
        <v/>
      </c>
      <c r="M3972" s="27" t="str">
        <f aca="false">IF(OR(G3972="",G3972="?"),"",IFERROR(INDEX(Pubs!$D$2:$D$3001,MATCH(G3972,Pubs!$A$2:$A$3001,0))&amp;"",""))</f>
        <v/>
      </c>
      <c r="N3972" s="27" t="n">
        <f aca="false">N(N3971)+IF(AND(A3972&lt;&gt;"",OR(Recherche!$C$4="",A3972=Recherche!$C$4),OR(Recherche!$C$5="",B3972&amp;""=Recherche!$C$5&amp;""),OR(Recherche!$C$6="",IFERROR(YEAR(L3972),0)=Recherche!$C$6),OR(Recherche!$C$7="",ISNUMBER(SEARCH(Recherche!$C$7,H3972))),OR(Recherche!$C$8="",J3972=Recherche!$C$8),OR(Recherche!$C$9="",I3972=Recherche!$C$9),OR(Recherche!$C$10="",G3972&amp;""=Recherche!$C$10&amp;""),OR(Recherche!$C$11="",E3972=Recherche!$C$11),OR(Recherche!$C$12="",ISNUMBER(SEARCH(Recherche!$C$12,M3972&amp;" "&amp;F3972)))),1,0)</f>
        <v>8</v>
      </c>
    </row>
    <row r="3973" customFormat="false" ht="15" hidden="false" customHeight="false" outlineLevel="0" collapsed="false">
      <c r="A3973" s="19"/>
      <c r="B3973" s="19"/>
      <c r="C3973" s="19"/>
      <c r="D3973" s="19"/>
      <c r="E3973" s="22"/>
      <c r="F3973" s="19"/>
      <c r="G3973" s="26" t="str">
        <f aca="false">IF(D3973="","",IFERROR(VALUE(LEFT(D3973,FIND(" |",D3973&amp;" |")-1)),"?"))</f>
        <v/>
      </c>
      <c r="H3973" s="27" t="str">
        <f aca="false">IF(G3973="","",IF(G3973="?","⚠ pub inconnue",IFERROR(INDEX(Pubs!$B$2:$B$3001,MATCH(G3973,Pubs!$A$2:$A$3001,0))&amp;"","⚠ pub inconnue")))</f>
        <v/>
      </c>
      <c r="I3973" s="27" t="str">
        <f aca="false">IF(OR(G3973="",G3973="?"),"",IFERROR(INDEX(Pubs!$C$2:$C$3001,MATCH(G3973,Pubs!$A$2:$A$3001,0))&amp;"",""))</f>
        <v/>
      </c>
      <c r="J3973" s="27" t="str">
        <f aca="false">IF(OR(G3973="",G3973="?"),"",IFERROR(INDEX(Pubs!$G$2:$G$3001,MATCH(G3973,Pubs!$A$2:$A$3001,0))&amp;"",""))</f>
        <v/>
      </c>
      <c r="K3973" s="28" t="str">
        <f aca="false">IF(OR(G3973="",G3973="?"),"",IFERROR(INDEX(Pubs!$E$2:$E$3001,MATCH(G3973,Pubs!$A$2:$A$3001,0)),""))</f>
        <v/>
      </c>
      <c r="L3973" s="29" t="str">
        <f aca="false">IF(A3973="","",IFERROR(1/(1/INDEX(Numéros!$C$2:$C$3001,MATCH(A3973&amp;"|"&amp;B3973,Numéros!$F$2:$F$3001,0))),""))</f>
        <v/>
      </c>
      <c r="M3973" s="27" t="str">
        <f aca="false">IF(OR(G3973="",G3973="?"),"",IFERROR(INDEX(Pubs!$D$2:$D$3001,MATCH(G3973,Pubs!$A$2:$A$3001,0))&amp;"",""))</f>
        <v/>
      </c>
      <c r="N3973" s="27" t="n">
        <f aca="false">N(N3972)+IF(AND(A3973&lt;&gt;"",OR(Recherche!$C$4="",A3973=Recherche!$C$4),OR(Recherche!$C$5="",B3973&amp;""=Recherche!$C$5&amp;""),OR(Recherche!$C$6="",IFERROR(YEAR(L3973),0)=Recherche!$C$6),OR(Recherche!$C$7="",ISNUMBER(SEARCH(Recherche!$C$7,H3973))),OR(Recherche!$C$8="",J3973=Recherche!$C$8),OR(Recherche!$C$9="",I3973=Recherche!$C$9),OR(Recherche!$C$10="",G3973&amp;""=Recherche!$C$10&amp;""),OR(Recherche!$C$11="",E3973=Recherche!$C$11),OR(Recherche!$C$12="",ISNUMBER(SEARCH(Recherche!$C$12,M3973&amp;" "&amp;F3973)))),1,0)</f>
        <v>8</v>
      </c>
    </row>
    <row r="3974" customFormat="false" ht="15" hidden="false" customHeight="false" outlineLevel="0" collapsed="false">
      <c r="A3974" s="19"/>
      <c r="B3974" s="19"/>
      <c r="C3974" s="19"/>
      <c r="D3974" s="19"/>
      <c r="E3974" s="22"/>
      <c r="F3974" s="19"/>
      <c r="G3974" s="26" t="str">
        <f aca="false">IF(D3974="","",IFERROR(VALUE(LEFT(D3974,FIND(" |",D3974&amp;" |")-1)),"?"))</f>
        <v/>
      </c>
      <c r="H3974" s="27" t="str">
        <f aca="false">IF(G3974="","",IF(G3974="?","⚠ pub inconnue",IFERROR(INDEX(Pubs!$B$2:$B$3001,MATCH(G3974,Pubs!$A$2:$A$3001,0))&amp;"","⚠ pub inconnue")))</f>
        <v/>
      </c>
      <c r="I3974" s="27" t="str">
        <f aca="false">IF(OR(G3974="",G3974="?"),"",IFERROR(INDEX(Pubs!$C$2:$C$3001,MATCH(G3974,Pubs!$A$2:$A$3001,0))&amp;"",""))</f>
        <v/>
      </c>
      <c r="J3974" s="27" t="str">
        <f aca="false">IF(OR(G3974="",G3974="?"),"",IFERROR(INDEX(Pubs!$G$2:$G$3001,MATCH(G3974,Pubs!$A$2:$A$3001,0))&amp;"",""))</f>
        <v/>
      </c>
      <c r="K3974" s="28" t="str">
        <f aca="false">IF(OR(G3974="",G3974="?"),"",IFERROR(INDEX(Pubs!$E$2:$E$3001,MATCH(G3974,Pubs!$A$2:$A$3001,0)),""))</f>
        <v/>
      </c>
      <c r="L3974" s="29" t="str">
        <f aca="false">IF(A3974="","",IFERROR(1/(1/INDEX(Numéros!$C$2:$C$3001,MATCH(A3974&amp;"|"&amp;B3974,Numéros!$F$2:$F$3001,0))),""))</f>
        <v/>
      </c>
      <c r="M3974" s="27" t="str">
        <f aca="false">IF(OR(G3974="",G3974="?"),"",IFERROR(INDEX(Pubs!$D$2:$D$3001,MATCH(G3974,Pubs!$A$2:$A$3001,0))&amp;"",""))</f>
        <v/>
      </c>
      <c r="N3974" s="27" t="n">
        <f aca="false">N(N3973)+IF(AND(A3974&lt;&gt;"",OR(Recherche!$C$4="",A3974=Recherche!$C$4),OR(Recherche!$C$5="",B3974&amp;""=Recherche!$C$5&amp;""),OR(Recherche!$C$6="",IFERROR(YEAR(L3974),0)=Recherche!$C$6),OR(Recherche!$C$7="",ISNUMBER(SEARCH(Recherche!$C$7,H3974))),OR(Recherche!$C$8="",J3974=Recherche!$C$8),OR(Recherche!$C$9="",I3974=Recherche!$C$9),OR(Recherche!$C$10="",G3974&amp;""=Recherche!$C$10&amp;""),OR(Recherche!$C$11="",E3974=Recherche!$C$11),OR(Recherche!$C$12="",ISNUMBER(SEARCH(Recherche!$C$12,M3974&amp;" "&amp;F3974)))),1,0)</f>
        <v>8</v>
      </c>
    </row>
    <row r="3975" customFormat="false" ht="15" hidden="false" customHeight="false" outlineLevel="0" collapsed="false">
      <c r="A3975" s="19"/>
      <c r="B3975" s="19"/>
      <c r="C3975" s="19"/>
      <c r="D3975" s="19"/>
      <c r="E3975" s="22"/>
      <c r="F3975" s="19"/>
      <c r="G3975" s="26" t="str">
        <f aca="false">IF(D3975="","",IFERROR(VALUE(LEFT(D3975,FIND(" |",D3975&amp;" |")-1)),"?"))</f>
        <v/>
      </c>
      <c r="H3975" s="27" t="str">
        <f aca="false">IF(G3975="","",IF(G3975="?","⚠ pub inconnue",IFERROR(INDEX(Pubs!$B$2:$B$3001,MATCH(G3975,Pubs!$A$2:$A$3001,0))&amp;"","⚠ pub inconnue")))</f>
        <v/>
      </c>
      <c r="I3975" s="27" t="str">
        <f aca="false">IF(OR(G3975="",G3975="?"),"",IFERROR(INDEX(Pubs!$C$2:$C$3001,MATCH(G3975,Pubs!$A$2:$A$3001,0))&amp;"",""))</f>
        <v/>
      </c>
      <c r="J3975" s="27" t="str">
        <f aca="false">IF(OR(G3975="",G3975="?"),"",IFERROR(INDEX(Pubs!$G$2:$G$3001,MATCH(G3975,Pubs!$A$2:$A$3001,0))&amp;"",""))</f>
        <v/>
      </c>
      <c r="K3975" s="28" t="str">
        <f aca="false">IF(OR(G3975="",G3975="?"),"",IFERROR(INDEX(Pubs!$E$2:$E$3001,MATCH(G3975,Pubs!$A$2:$A$3001,0)),""))</f>
        <v/>
      </c>
      <c r="L3975" s="29" t="str">
        <f aca="false">IF(A3975="","",IFERROR(1/(1/INDEX(Numéros!$C$2:$C$3001,MATCH(A3975&amp;"|"&amp;B3975,Numéros!$F$2:$F$3001,0))),""))</f>
        <v/>
      </c>
      <c r="M3975" s="27" t="str">
        <f aca="false">IF(OR(G3975="",G3975="?"),"",IFERROR(INDEX(Pubs!$D$2:$D$3001,MATCH(G3975,Pubs!$A$2:$A$3001,0))&amp;"",""))</f>
        <v/>
      </c>
      <c r="N3975" s="27" t="n">
        <f aca="false">N(N3974)+IF(AND(A3975&lt;&gt;"",OR(Recherche!$C$4="",A3975=Recherche!$C$4),OR(Recherche!$C$5="",B3975&amp;""=Recherche!$C$5&amp;""),OR(Recherche!$C$6="",IFERROR(YEAR(L3975),0)=Recherche!$C$6),OR(Recherche!$C$7="",ISNUMBER(SEARCH(Recherche!$C$7,H3975))),OR(Recherche!$C$8="",J3975=Recherche!$C$8),OR(Recherche!$C$9="",I3975=Recherche!$C$9),OR(Recherche!$C$10="",G3975&amp;""=Recherche!$C$10&amp;""),OR(Recherche!$C$11="",E3975=Recherche!$C$11),OR(Recherche!$C$12="",ISNUMBER(SEARCH(Recherche!$C$12,M3975&amp;" "&amp;F3975)))),1,0)</f>
        <v>8</v>
      </c>
    </row>
    <row r="3976" customFormat="false" ht="15" hidden="false" customHeight="false" outlineLevel="0" collapsed="false">
      <c r="A3976" s="19"/>
      <c r="B3976" s="19"/>
      <c r="C3976" s="19"/>
      <c r="D3976" s="19"/>
      <c r="E3976" s="22"/>
      <c r="F3976" s="19"/>
      <c r="G3976" s="26" t="str">
        <f aca="false">IF(D3976="","",IFERROR(VALUE(LEFT(D3976,FIND(" |",D3976&amp;" |")-1)),"?"))</f>
        <v/>
      </c>
      <c r="H3976" s="27" t="str">
        <f aca="false">IF(G3976="","",IF(G3976="?","⚠ pub inconnue",IFERROR(INDEX(Pubs!$B$2:$B$3001,MATCH(G3976,Pubs!$A$2:$A$3001,0))&amp;"","⚠ pub inconnue")))</f>
        <v/>
      </c>
      <c r="I3976" s="27" t="str">
        <f aca="false">IF(OR(G3976="",G3976="?"),"",IFERROR(INDEX(Pubs!$C$2:$C$3001,MATCH(G3976,Pubs!$A$2:$A$3001,0))&amp;"",""))</f>
        <v/>
      </c>
      <c r="J3976" s="27" t="str">
        <f aca="false">IF(OR(G3976="",G3976="?"),"",IFERROR(INDEX(Pubs!$G$2:$G$3001,MATCH(G3976,Pubs!$A$2:$A$3001,0))&amp;"",""))</f>
        <v/>
      </c>
      <c r="K3976" s="28" t="str">
        <f aca="false">IF(OR(G3976="",G3976="?"),"",IFERROR(INDEX(Pubs!$E$2:$E$3001,MATCH(G3976,Pubs!$A$2:$A$3001,0)),""))</f>
        <v/>
      </c>
      <c r="L3976" s="29" t="str">
        <f aca="false">IF(A3976="","",IFERROR(1/(1/INDEX(Numéros!$C$2:$C$3001,MATCH(A3976&amp;"|"&amp;B3976,Numéros!$F$2:$F$3001,0))),""))</f>
        <v/>
      </c>
      <c r="M3976" s="27" t="str">
        <f aca="false">IF(OR(G3976="",G3976="?"),"",IFERROR(INDEX(Pubs!$D$2:$D$3001,MATCH(G3976,Pubs!$A$2:$A$3001,0))&amp;"",""))</f>
        <v/>
      </c>
      <c r="N3976" s="27" t="n">
        <f aca="false">N(N3975)+IF(AND(A3976&lt;&gt;"",OR(Recherche!$C$4="",A3976=Recherche!$C$4),OR(Recherche!$C$5="",B3976&amp;""=Recherche!$C$5&amp;""),OR(Recherche!$C$6="",IFERROR(YEAR(L3976),0)=Recherche!$C$6),OR(Recherche!$C$7="",ISNUMBER(SEARCH(Recherche!$C$7,H3976))),OR(Recherche!$C$8="",J3976=Recherche!$C$8),OR(Recherche!$C$9="",I3976=Recherche!$C$9),OR(Recherche!$C$10="",G3976&amp;""=Recherche!$C$10&amp;""),OR(Recherche!$C$11="",E3976=Recherche!$C$11),OR(Recherche!$C$12="",ISNUMBER(SEARCH(Recherche!$C$12,M3976&amp;" "&amp;F3976)))),1,0)</f>
        <v>8</v>
      </c>
    </row>
    <row r="3977" customFormat="false" ht="15" hidden="false" customHeight="false" outlineLevel="0" collapsed="false">
      <c r="A3977" s="19"/>
      <c r="B3977" s="19"/>
      <c r="C3977" s="19"/>
      <c r="D3977" s="19"/>
      <c r="E3977" s="22"/>
      <c r="F3977" s="19"/>
      <c r="G3977" s="26" t="str">
        <f aca="false">IF(D3977="","",IFERROR(VALUE(LEFT(D3977,FIND(" |",D3977&amp;" |")-1)),"?"))</f>
        <v/>
      </c>
      <c r="H3977" s="27" t="str">
        <f aca="false">IF(G3977="","",IF(G3977="?","⚠ pub inconnue",IFERROR(INDEX(Pubs!$B$2:$B$3001,MATCH(G3977,Pubs!$A$2:$A$3001,0))&amp;"","⚠ pub inconnue")))</f>
        <v/>
      </c>
      <c r="I3977" s="27" t="str">
        <f aca="false">IF(OR(G3977="",G3977="?"),"",IFERROR(INDEX(Pubs!$C$2:$C$3001,MATCH(G3977,Pubs!$A$2:$A$3001,0))&amp;"",""))</f>
        <v/>
      </c>
      <c r="J3977" s="27" t="str">
        <f aca="false">IF(OR(G3977="",G3977="?"),"",IFERROR(INDEX(Pubs!$G$2:$G$3001,MATCH(G3977,Pubs!$A$2:$A$3001,0))&amp;"",""))</f>
        <v/>
      </c>
      <c r="K3977" s="28" t="str">
        <f aca="false">IF(OR(G3977="",G3977="?"),"",IFERROR(INDEX(Pubs!$E$2:$E$3001,MATCH(G3977,Pubs!$A$2:$A$3001,0)),""))</f>
        <v/>
      </c>
      <c r="L3977" s="29" t="str">
        <f aca="false">IF(A3977="","",IFERROR(1/(1/INDEX(Numéros!$C$2:$C$3001,MATCH(A3977&amp;"|"&amp;B3977,Numéros!$F$2:$F$3001,0))),""))</f>
        <v/>
      </c>
      <c r="M3977" s="27" t="str">
        <f aca="false">IF(OR(G3977="",G3977="?"),"",IFERROR(INDEX(Pubs!$D$2:$D$3001,MATCH(G3977,Pubs!$A$2:$A$3001,0))&amp;"",""))</f>
        <v/>
      </c>
      <c r="N3977" s="27" t="n">
        <f aca="false">N(N3976)+IF(AND(A3977&lt;&gt;"",OR(Recherche!$C$4="",A3977=Recherche!$C$4),OR(Recherche!$C$5="",B3977&amp;""=Recherche!$C$5&amp;""),OR(Recherche!$C$6="",IFERROR(YEAR(L3977),0)=Recherche!$C$6),OR(Recherche!$C$7="",ISNUMBER(SEARCH(Recherche!$C$7,H3977))),OR(Recherche!$C$8="",J3977=Recherche!$C$8),OR(Recherche!$C$9="",I3977=Recherche!$C$9),OR(Recherche!$C$10="",G3977&amp;""=Recherche!$C$10&amp;""),OR(Recherche!$C$11="",E3977=Recherche!$C$11),OR(Recherche!$C$12="",ISNUMBER(SEARCH(Recherche!$C$12,M3977&amp;" "&amp;F3977)))),1,0)</f>
        <v>8</v>
      </c>
    </row>
    <row r="3978" customFormat="false" ht="15" hidden="false" customHeight="false" outlineLevel="0" collapsed="false">
      <c r="A3978" s="19"/>
      <c r="B3978" s="19"/>
      <c r="C3978" s="19"/>
      <c r="D3978" s="19"/>
      <c r="E3978" s="22"/>
      <c r="F3978" s="19"/>
      <c r="G3978" s="26" t="str">
        <f aca="false">IF(D3978="","",IFERROR(VALUE(LEFT(D3978,FIND(" |",D3978&amp;" |")-1)),"?"))</f>
        <v/>
      </c>
      <c r="H3978" s="27" t="str">
        <f aca="false">IF(G3978="","",IF(G3978="?","⚠ pub inconnue",IFERROR(INDEX(Pubs!$B$2:$B$3001,MATCH(G3978,Pubs!$A$2:$A$3001,0))&amp;"","⚠ pub inconnue")))</f>
        <v/>
      </c>
      <c r="I3978" s="27" t="str">
        <f aca="false">IF(OR(G3978="",G3978="?"),"",IFERROR(INDEX(Pubs!$C$2:$C$3001,MATCH(G3978,Pubs!$A$2:$A$3001,0))&amp;"",""))</f>
        <v/>
      </c>
      <c r="J3978" s="27" t="str">
        <f aca="false">IF(OR(G3978="",G3978="?"),"",IFERROR(INDEX(Pubs!$G$2:$G$3001,MATCH(G3978,Pubs!$A$2:$A$3001,0))&amp;"",""))</f>
        <v/>
      </c>
      <c r="K3978" s="28" t="str">
        <f aca="false">IF(OR(G3978="",G3978="?"),"",IFERROR(INDEX(Pubs!$E$2:$E$3001,MATCH(G3978,Pubs!$A$2:$A$3001,0)),""))</f>
        <v/>
      </c>
      <c r="L3978" s="29" t="str">
        <f aca="false">IF(A3978="","",IFERROR(1/(1/INDEX(Numéros!$C$2:$C$3001,MATCH(A3978&amp;"|"&amp;B3978,Numéros!$F$2:$F$3001,0))),""))</f>
        <v/>
      </c>
      <c r="M3978" s="27" t="str">
        <f aca="false">IF(OR(G3978="",G3978="?"),"",IFERROR(INDEX(Pubs!$D$2:$D$3001,MATCH(G3978,Pubs!$A$2:$A$3001,0))&amp;"",""))</f>
        <v/>
      </c>
      <c r="N3978" s="27" t="n">
        <f aca="false">N(N3977)+IF(AND(A3978&lt;&gt;"",OR(Recherche!$C$4="",A3978=Recherche!$C$4),OR(Recherche!$C$5="",B3978&amp;""=Recherche!$C$5&amp;""),OR(Recherche!$C$6="",IFERROR(YEAR(L3978),0)=Recherche!$C$6),OR(Recherche!$C$7="",ISNUMBER(SEARCH(Recherche!$C$7,H3978))),OR(Recherche!$C$8="",J3978=Recherche!$C$8),OR(Recherche!$C$9="",I3978=Recherche!$C$9),OR(Recherche!$C$10="",G3978&amp;""=Recherche!$C$10&amp;""),OR(Recherche!$C$11="",E3978=Recherche!$C$11),OR(Recherche!$C$12="",ISNUMBER(SEARCH(Recherche!$C$12,M3978&amp;" "&amp;F3978)))),1,0)</f>
        <v>8</v>
      </c>
    </row>
    <row r="3979" customFormat="false" ht="15" hidden="false" customHeight="false" outlineLevel="0" collapsed="false">
      <c r="A3979" s="19"/>
      <c r="B3979" s="19"/>
      <c r="C3979" s="19"/>
      <c r="D3979" s="19"/>
      <c r="E3979" s="22"/>
      <c r="F3979" s="19"/>
      <c r="G3979" s="26" t="str">
        <f aca="false">IF(D3979="","",IFERROR(VALUE(LEFT(D3979,FIND(" |",D3979&amp;" |")-1)),"?"))</f>
        <v/>
      </c>
      <c r="H3979" s="27" t="str">
        <f aca="false">IF(G3979="","",IF(G3979="?","⚠ pub inconnue",IFERROR(INDEX(Pubs!$B$2:$B$3001,MATCH(G3979,Pubs!$A$2:$A$3001,0))&amp;"","⚠ pub inconnue")))</f>
        <v/>
      </c>
      <c r="I3979" s="27" t="str">
        <f aca="false">IF(OR(G3979="",G3979="?"),"",IFERROR(INDEX(Pubs!$C$2:$C$3001,MATCH(G3979,Pubs!$A$2:$A$3001,0))&amp;"",""))</f>
        <v/>
      </c>
      <c r="J3979" s="27" t="str">
        <f aca="false">IF(OR(G3979="",G3979="?"),"",IFERROR(INDEX(Pubs!$G$2:$G$3001,MATCH(G3979,Pubs!$A$2:$A$3001,0))&amp;"",""))</f>
        <v/>
      </c>
      <c r="K3979" s="28" t="str">
        <f aca="false">IF(OR(G3979="",G3979="?"),"",IFERROR(INDEX(Pubs!$E$2:$E$3001,MATCH(G3979,Pubs!$A$2:$A$3001,0)),""))</f>
        <v/>
      </c>
      <c r="L3979" s="29" t="str">
        <f aca="false">IF(A3979="","",IFERROR(1/(1/INDEX(Numéros!$C$2:$C$3001,MATCH(A3979&amp;"|"&amp;B3979,Numéros!$F$2:$F$3001,0))),""))</f>
        <v/>
      </c>
      <c r="M3979" s="27" t="str">
        <f aca="false">IF(OR(G3979="",G3979="?"),"",IFERROR(INDEX(Pubs!$D$2:$D$3001,MATCH(G3979,Pubs!$A$2:$A$3001,0))&amp;"",""))</f>
        <v/>
      </c>
      <c r="N3979" s="27" t="n">
        <f aca="false">N(N3978)+IF(AND(A3979&lt;&gt;"",OR(Recherche!$C$4="",A3979=Recherche!$C$4),OR(Recherche!$C$5="",B3979&amp;""=Recherche!$C$5&amp;""),OR(Recherche!$C$6="",IFERROR(YEAR(L3979),0)=Recherche!$C$6),OR(Recherche!$C$7="",ISNUMBER(SEARCH(Recherche!$C$7,H3979))),OR(Recherche!$C$8="",J3979=Recherche!$C$8),OR(Recherche!$C$9="",I3979=Recherche!$C$9),OR(Recherche!$C$10="",G3979&amp;""=Recherche!$C$10&amp;""),OR(Recherche!$C$11="",E3979=Recherche!$C$11),OR(Recherche!$C$12="",ISNUMBER(SEARCH(Recherche!$C$12,M3979&amp;" "&amp;F3979)))),1,0)</f>
        <v>8</v>
      </c>
    </row>
    <row r="3980" customFormat="false" ht="15" hidden="false" customHeight="false" outlineLevel="0" collapsed="false">
      <c r="A3980" s="19"/>
      <c r="B3980" s="19"/>
      <c r="C3980" s="19"/>
      <c r="D3980" s="19"/>
      <c r="E3980" s="22"/>
      <c r="F3980" s="19"/>
      <c r="G3980" s="26" t="str">
        <f aca="false">IF(D3980="","",IFERROR(VALUE(LEFT(D3980,FIND(" |",D3980&amp;" |")-1)),"?"))</f>
        <v/>
      </c>
      <c r="H3980" s="27" t="str">
        <f aca="false">IF(G3980="","",IF(G3980="?","⚠ pub inconnue",IFERROR(INDEX(Pubs!$B$2:$B$3001,MATCH(G3980,Pubs!$A$2:$A$3001,0))&amp;"","⚠ pub inconnue")))</f>
        <v/>
      </c>
      <c r="I3980" s="27" t="str">
        <f aca="false">IF(OR(G3980="",G3980="?"),"",IFERROR(INDEX(Pubs!$C$2:$C$3001,MATCH(G3980,Pubs!$A$2:$A$3001,0))&amp;"",""))</f>
        <v/>
      </c>
      <c r="J3980" s="27" t="str">
        <f aca="false">IF(OR(G3980="",G3980="?"),"",IFERROR(INDEX(Pubs!$G$2:$G$3001,MATCH(G3980,Pubs!$A$2:$A$3001,0))&amp;"",""))</f>
        <v/>
      </c>
      <c r="K3980" s="28" t="str">
        <f aca="false">IF(OR(G3980="",G3980="?"),"",IFERROR(INDEX(Pubs!$E$2:$E$3001,MATCH(G3980,Pubs!$A$2:$A$3001,0)),""))</f>
        <v/>
      </c>
      <c r="L3980" s="29" t="str">
        <f aca="false">IF(A3980="","",IFERROR(1/(1/INDEX(Numéros!$C$2:$C$3001,MATCH(A3980&amp;"|"&amp;B3980,Numéros!$F$2:$F$3001,0))),""))</f>
        <v/>
      </c>
      <c r="M3980" s="27" t="str">
        <f aca="false">IF(OR(G3980="",G3980="?"),"",IFERROR(INDEX(Pubs!$D$2:$D$3001,MATCH(G3980,Pubs!$A$2:$A$3001,0))&amp;"",""))</f>
        <v/>
      </c>
      <c r="N3980" s="27" t="n">
        <f aca="false">N(N3979)+IF(AND(A3980&lt;&gt;"",OR(Recherche!$C$4="",A3980=Recherche!$C$4),OR(Recherche!$C$5="",B3980&amp;""=Recherche!$C$5&amp;""),OR(Recherche!$C$6="",IFERROR(YEAR(L3980),0)=Recherche!$C$6),OR(Recherche!$C$7="",ISNUMBER(SEARCH(Recherche!$C$7,H3980))),OR(Recherche!$C$8="",J3980=Recherche!$C$8),OR(Recherche!$C$9="",I3980=Recherche!$C$9),OR(Recherche!$C$10="",G3980&amp;""=Recherche!$C$10&amp;""),OR(Recherche!$C$11="",E3980=Recherche!$C$11),OR(Recherche!$C$12="",ISNUMBER(SEARCH(Recherche!$C$12,M3980&amp;" "&amp;F3980)))),1,0)</f>
        <v>8</v>
      </c>
    </row>
    <row r="3981" customFormat="false" ht="15" hidden="false" customHeight="false" outlineLevel="0" collapsed="false">
      <c r="A3981" s="19"/>
      <c r="B3981" s="19"/>
      <c r="C3981" s="19"/>
      <c r="D3981" s="19"/>
      <c r="E3981" s="22"/>
      <c r="F3981" s="19"/>
      <c r="G3981" s="26" t="str">
        <f aca="false">IF(D3981="","",IFERROR(VALUE(LEFT(D3981,FIND(" |",D3981&amp;" |")-1)),"?"))</f>
        <v/>
      </c>
      <c r="H3981" s="27" t="str">
        <f aca="false">IF(G3981="","",IF(G3981="?","⚠ pub inconnue",IFERROR(INDEX(Pubs!$B$2:$B$3001,MATCH(G3981,Pubs!$A$2:$A$3001,0))&amp;"","⚠ pub inconnue")))</f>
        <v/>
      </c>
      <c r="I3981" s="27" t="str">
        <f aca="false">IF(OR(G3981="",G3981="?"),"",IFERROR(INDEX(Pubs!$C$2:$C$3001,MATCH(G3981,Pubs!$A$2:$A$3001,0))&amp;"",""))</f>
        <v/>
      </c>
      <c r="J3981" s="27" t="str">
        <f aca="false">IF(OR(G3981="",G3981="?"),"",IFERROR(INDEX(Pubs!$G$2:$G$3001,MATCH(G3981,Pubs!$A$2:$A$3001,0))&amp;"",""))</f>
        <v/>
      </c>
      <c r="K3981" s="28" t="str">
        <f aca="false">IF(OR(G3981="",G3981="?"),"",IFERROR(INDEX(Pubs!$E$2:$E$3001,MATCH(G3981,Pubs!$A$2:$A$3001,0)),""))</f>
        <v/>
      </c>
      <c r="L3981" s="29" t="str">
        <f aca="false">IF(A3981="","",IFERROR(1/(1/INDEX(Numéros!$C$2:$C$3001,MATCH(A3981&amp;"|"&amp;B3981,Numéros!$F$2:$F$3001,0))),""))</f>
        <v/>
      </c>
      <c r="M3981" s="27" t="str">
        <f aca="false">IF(OR(G3981="",G3981="?"),"",IFERROR(INDEX(Pubs!$D$2:$D$3001,MATCH(G3981,Pubs!$A$2:$A$3001,0))&amp;"",""))</f>
        <v/>
      </c>
      <c r="N3981" s="27" t="n">
        <f aca="false">N(N3980)+IF(AND(A3981&lt;&gt;"",OR(Recherche!$C$4="",A3981=Recherche!$C$4),OR(Recherche!$C$5="",B3981&amp;""=Recherche!$C$5&amp;""),OR(Recherche!$C$6="",IFERROR(YEAR(L3981),0)=Recherche!$C$6),OR(Recherche!$C$7="",ISNUMBER(SEARCH(Recherche!$C$7,H3981))),OR(Recherche!$C$8="",J3981=Recherche!$C$8),OR(Recherche!$C$9="",I3981=Recherche!$C$9),OR(Recherche!$C$10="",G3981&amp;""=Recherche!$C$10&amp;""),OR(Recherche!$C$11="",E3981=Recherche!$C$11),OR(Recherche!$C$12="",ISNUMBER(SEARCH(Recherche!$C$12,M3981&amp;" "&amp;F3981)))),1,0)</f>
        <v>8</v>
      </c>
    </row>
    <row r="3982" customFormat="false" ht="15" hidden="false" customHeight="false" outlineLevel="0" collapsed="false">
      <c r="A3982" s="19"/>
      <c r="B3982" s="19"/>
      <c r="C3982" s="19"/>
      <c r="D3982" s="19"/>
      <c r="E3982" s="22"/>
      <c r="F3982" s="19"/>
      <c r="G3982" s="26" t="str">
        <f aca="false">IF(D3982="","",IFERROR(VALUE(LEFT(D3982,FIND(" |",D3982&amp;" |")-1)),"?"))</f>
        <v/>
      </c>
      <c r="H3982" s="27" t="str">
        <f aca="false">IF(G3982="","",IF(G3982="?","⚠ pub inconnue",IFERROR(INDEX(Pubs!$B$2:$B$3001,MATCH(G3982,Pubs!$A$2:$A$3001,0))&amp;"","⚠ pub inconnue")))</f>
        <v/>
      </c>
      <c r="I3982" s="27" t="str">
        <f aca="false">IF(OR(G3982="",G3982="?"),"",IFERROR(INDEX(Pubs!$C$2:$C$3001,MATCH(G3982,Pubs!$A$2:$A$3001,0))&amp;"",""))</f>
        <v/>
      </c>
      <c r="J3982" s="27" t="str">
        <f aca="false">IF(OR(G3982="",G3982="?"),"",IFERROR(INDEX(Pubs!$G$2:$G$3001,MATCH(G3982,Pubs!$A$2:$A$3001,0))&amp;"",""))</f>
        <v/>
      </c>
      <c r="K3982" s="28" t="str">
        <f aca="false">IF(OR(G3982="",G3982="?"),"",IFERROR(INDEX(Pubs!$E$2:$E$3001,MATCH(G3982,Pubs!$A$2:$A$3001,0)),""))</f>
        <v/>
      </c>
      <c r="L3982" s="29" t="str">
        <f aca="false">IF(A3982="","",IFERROR(1/(1/INDEX(Numéros!$C$2:$C$3001,MATCH(A3982&amp;"|"&amp;B3982,Numéros!$F$2:$F$3001,0))),""))</f>
        <v/>
      </c>
      <c r="M3982" s="27" t="str">
        <f aca="false">IF(OR(G3982="",G3982="?"),"",IFERROR(INDEX(Pubs!$D$2:$D$3001,MATCH(G3982,Pubs!$A$2:$A$3001,0))&amp;"",""))</f>
        <v/>
      </c>
      <c r="N3982" s="27" t="n">
        <f aca="false">N(N3981)+IF(AND(A3982&lt;&gt;"",OR(Recherche!$C$4="",A3982=Recherche!$C$4),OR(Recherche!$C$5="",B3982&amp;""=Recherche!$C$5&amp;""),OR(Recherche!$C$6="",IFERROR(YEAR(L3982),0)=Recherche!$C$6),OR(Recherche!$C$7="",ISNUMBER(SEARCH(Recherche!$C$7,H3982))),OR(Recherche!$C$8="",J3982=Recherche!$C$8),OR(Recherche!$C$9="",I3982=Recherche!$C$9),OR(Recherche!$C$10="",G3982&amp;""=Recherche!$C$10&amp;""),OR(Recherche!$C$11="",E3982=Recherche!$C$11),OR(Recherche!$C$12="",ISNUMBER(SEARCH(Recherche!$C$12,M3982&amp;" "&amp;F3982)))),1,0)</f>
        <v>8</v>
      </c>
    </row>
    <row r="3983" customFormat="false" ht="15" hidden="false" customHeight="false" outlineLevel="0" collapsed="false">
      <c r="A3983" s="19"/>
      <c r="B3983" s="19"/>
      <c r="C3983" s="19"/>
      <c r="D3983" s="19"/>
      <c r="E3983" s="22"/>
      <c r="F3983" s="19"/>
      <c r="G3983" s="26" t="str">
        <f aca="false">IF(D3983="","",IFERROR(VALUE(LEFT(D3983,FIND(" |",D3983&amp;" |")-1)),"?"))</f>
        <v/>
      </c>
      <c r="H3983" s="27" t="str">
        <f aca="false">IF(G3983="","",IF(G3983="?","⚠ pub inconnue",IFERROR(INDEX(Pubs!$B$2:$B$3001,MATCH(G3983,Pubs!$A$2:$A$3001,0))&amp;"","⚠ pub inconnue")))</f>
        <v/>
      </c>
      <c r="I3983" s="27" t="str">
        <f aca="false">IF(OR(G3983="",G3983="?"),"",IFERROR(INDEX(Pubs!$C$2:$C$3001,MATCH(G3983,Pubs!$A$2:$A$3001,0))&amp;"",""))</f>
        <v/>
      </c>
      <c r="J3983" s="27" t="str">
        <f aca="false">IF(OR(G3983="",G3983="?"),"",IFERROR(INDEX(Pubs!$G$2:$G$3001,MATCH(G3983,Pubs!$A$2:$A$3001,0))&amp;"",""))</f>
        <v/>
      </c>
      <c r="K3983" s="28" t="str">
        <f aca="false">IF(OR(G3983="",G3983="?"),"",IFERROR(INDEX(Pubs!$E$2:$E$3001,MATCH(G3983,Pubs!$A$2:$A$3001,0)),""))</f>
        <v/>
      </c>
      <c r="L3983" s="29" t="str">
        <f aca="false">IF(A3983="","",IFERROR(1/(1/INDEX(Numéros!$C$2:$C$3001,MATCH(A3983&amp;"|"&amp;B3983,Numéros!$F$2:$F$3001,0))),""))</f>
        <v/>
      </c>
      <c r="M3983" s="27" t="str">
        <f aca="false">IF(OR(G3983="",G3983="?"),"",IFERROR(INDEX(Pubs!$D$2:$D$3001,MATCH(G3983,Pubs!$A$2:$A$3001,0))&amp;"",""))</f>
        <v/>
      </c>
      <c r="N3983" s="27" t="n">
        <f aca="false">N(N3982)+IF(AND(A3983&lt;&gt;"",OR(Recherche!$C$4="",A3983=Recherche!$C$4),OR(Recherche!$C$5="",B3983&amp;""=Recherche!$C$5&amp;""),OR(Recherche!$C$6="",IFERROR(YEAR(L3983),0)=Recherche!$C$6),OR(Recherche!$C$7="",ISNUMBER(SEARCH(Recherche!$C$7,H3983))),OR(Recherche!$C$8="",J3983=Recherche!$C$8),OR(Recherche!$C$9="",I3983=Recherche!$C$9),OR(Recherche!$C$10="",G3983&amp;""=Recherche!$C$10&amp;""),OR(Recherche!$C$11="",E3983=Recherche!$C$11),OR(Recherche!$C$12="",ISNUMBER(SEARCH(Recherche!$C$12,M3983&amp;" "&amp;F3983)))),1,0)</f>
        <v>8</v>
      </c>
    </row>
    <row r="3984" customFormat="false" ht="15" hidden="false" customHeight="false" outlineLevel="0" collapsed="false">
      <c r="A3984" s="19"/>
      <c r="B3984" s="19"/>
      <c r="C3984" s="19"/>
      <c r="D3984" s="19"/>
      <c r="E3984" s="22"/>
      <c r="F3984" s="19"/>
      <c r="G3984" s="26" t="str">
        <f aca="false">IF(D3984="","",IFERROR(VALUE(LEFT(D3984,FIND(" |",D3984&amp;" |")-1)),"?"))</f>
        <v/>
      </c>
      <c r="H3984" s="27" t="str">
        <f aca="false">IF(G3984="","",IF(G3984="?","⚠ pub inconnue",IFERROR(INDEX(Pubs!$B$2:$B$3001,MATCH(G3984,Pubs!$A$2:$A$3001,0))&amp;"","⚠ pub inconnue")))</f>
        <v/>
      </c>
      <c r="I3984" s="27" t="str">
        <f aca="false">IF(OR(G3984="",G3984="?"),"",IFERROR(INDEX(Pubs!$C$2:$C$3001,MATCH(G3984,Pubs!$A$2:$A$3001,0))&amp;"",""))</f>
        <v/>
      </c>
      <c r="J3984" s="27" t="str">
        <f aca="false">IF(OR(G3984="",G3984="?"),"",IFERROR(INDEX(Pubs!$G$2:$G$3001,MATCH(G3984,Pubs!$A$2:$A$3001,0))&amp;"",""))</f>
        <v/>
      </c>
      <c r="K3984" s="28" t="str">
        <f aca="false">IF(OR(G3984="",G3984="?"),"",IFERROR(INDEX(Pubs!$E$2:$E$3001,MATCH(G3984,Pubs!$A$2:$A$3001,0)),""))</f>
        <v/>
      </c>
      <c r="L3984" s="29" t="str">
        <f aca="false">IF(A3984="","",IFERROR(1/(1/INDEX(Numéros!$C$2:$C$3001,MATCH(A3984&amp;"|"&amp;B3984,Numéros!$F$2:$F$3001,0))),""))</f>
        <v/>
      </c>
      <c r="M3984" s="27" t="str">
        <f aca="false">IF(OR(G3984="",G3984="?"),"",IFERROR(INDEX(Pubs!$D$2:$D$3001,MATCH(G3984,Pubs!$A$2:$A$3001,0))&amp;"",""))</f>
        <v/>
      </c>
      <c r="N3984" s="27" t="n">
        <f aca="false">N(N3983)+IF(AND(A3984&lt;&gt;"",OR(Recherche!$C$4="",A3984=Recherche!$C$4),OR(Recherche!$C$5="",B3984&amp;""=Recherche!$C$5&amp;""),OR(Recherche!$C$6="",IFERROR(YEAR(L3984),0)=Recherche!$C$6),OR(Recherche!$C$7="",ISNUMBER(SEARCH(Recherche!$C$7,H3984))),OR(Recherche!$C$8="",J3984=Recherche!$C$8),OR(Recherche!$C$9="",I3984=Recherche!$C$9),OR(Recherche!$C$10="",G3984&amp;""=Recherche!$C$10&amp;""),OR(Recherche!$C$11="",E3984=Recherche!$C$11),OR(Recherche!$C$12="",ISNUMBER(SEARCH(Recherche!$C$12,M3984&amp;" "&amp;F3984)))),1,0)</f>
        <v>8</v>
      </c>
    </row>
    <row r="3985" customFormat="false" ht="15" hidden="false" customHeight="false" outlineLevel="0" collapsed="false">
      <c r="A3985" s="19"/>
      <c r="B3985" s="19"/>
      <c r="C3985" s="19"/>
      <c r="D3985" s="19"/>
      <c r="E3985" s="22"/>
      <c r="F3985" s="19"/>
      <c r="G3985" s="26" t="str">
        <f aca="false">IF(D3985="","",IFERROR(VALUE(LEFT(D3985,FIND(" |",D3985&amp;" |")-1)),"?"))</f>
        <v/>
      </c>
      <c r="H3985" s="27" t="str">
        <f aca="false">IF(G3985="","",IF(G3985="?","⚠ pub inconnue",IFERROR(INDEX(Pubs!$B$2:$B$3001,MATCH(G3985,Pubs!$A$2:$A$3001,0))&amp;"","⚠ pub inconnue")))</f>
        <v/>
      </c>
      <c r="I3985" s="27" t="str">
        <f aca="false">IF(OR(G3985="",G3985="?"),"",IFERROR(INDEX(Pubs!$C$2:$C$3001,MATCH(G3985,Pubs!$A$2:$A$3001,0))&amp;"",""))</f>
        <v/>
      </c>
      <c r="J3985" s="27" t="str">
        <f aca="false">IF(OR(G3985="",G3985="?"),"",IFERROR(INDEX(Pubs!$G$2:$G$3001,MATCH(G3985,Pubs!$A$2:$A$3001,0))&amp;"",""))</f>
        <v/>
      </c>
      <c r="K3985" s="28" t="str">
        <f aca="false">IF(OR(G3985="",G3985="?"),"",IFERROR(INDEX(Pubs!$E$2:$E$3001,MATCH(G3985,Pubs!$A$2:$A$3001,0)),""))</f>
        <v/>
      </c>
      <c r="L3985" s="29" t="str">
        <f aca="false">IF(A3985="","",IFERROR(1/(1/INDEX(Numéros!$C$2:$C$3001,MATCH(A3985&amp;"|"&amp;B3985,Numéros!$F$2:$F$3001,0))),""))</f>
        <v/>
      </c>
      <c r="M3985" s="27" t="str">
        <f aca="false">IF(OR(G3985="",G3985="?"),"",IFERROR(INDEX(Pubs!$D$2:$D$3001,MATCH(G3985,Pubs!$A$2:$A$3001,0))&amp;"",""))</f>
        <v/>
      </c>
      <c r="N3985" s="27" t="n">
        <f aca="false">N(N3984)+IF(AND(A3985&lt;&gt;"",OR(Recherche!$C$4="",A3985=Recherche!$C$4),OR(Recherche!$C$5="",B3985&amp;""=Recherche!$C$5&amp;""),OR(Recherche!$C$6="",IFERROR(YEAR(L3985),0)=Recherche!$C$6),OR(Recherche!$C$7="",ISNUMBER(SEARCH(Recherche!$C$7,H3985))),OR(Recherche!$C$8="",J3985=Recherche!$C$8),OR(Recherche!$C$9="",I3985=Recherche!$C$9),OR(Recherche!$C$10="",G3985&amp;""=Recherche!$C$10&amp;""),OR(Recherche!$C$11="",E3985=Recherche!$C$11),OR(Recherche!$C$12="",ISNUMBER(SEARCH(Recherche!$C$12,M3985&amp;" "&amp;F3985)))),1,0)</f>
        <v>8</v>
      </c>
    </row>
    <row r="3986" customFormat="false" ht="15" hidden="false" customHeight="false" outlineLevel="0" collapsed="false">
      <c r="A3986" s="19"/>
      <c r="B3986" s="19"/>
      <c r="C3986" s="19"/>
      <c r="D3986" s="19"/>
      <c r="E3986" s="22"/>
      <c r="F3986" s="19"/>
      <c r="G3986" s="26" t="str">
        <f aca="false">IF(D3986="","",IFERROR(VALUE(LEFT(D3986,FIND(" |",D3986&amp;" |")-1)),"?"))</f>
        <v/>
      </c>
      <c r="H3986" s="27" t="str">
        <f aca="false">IF(G3986="","",IF(G3986="?","⚠ pub inconnue",IFERROR(INDEX(Pubs!$B$2:$B$3001,MATCH(G3986,Pubs!$A$2:$A$3001,0))&amp;"","⚠ pub inconnue")))</f>
        <v/>
      </c>
      <c r="I3986" s="27" t="str">
        <f aca="false">IF(OR(G3986="",G3986="?"),"",IFERROR(INDEX(Pubs!$C$2:$C$3001,MATCH(G3986,Pubs!$A$2:$A$3001,0))&amp;"",""))</f>
        <v/>
      </c>
      <c r="J3986" s="27" t="str">
        <f aca="false">IF(OR(G3986="",G3986="?"),"",IFERROR(INDEX(Pubs!$G$2:$G$3001,MATCH(G3986,Pubs!$A$2:$A$3001,0))&amp;"",""))</f>
        <v/>
      </c>
      <c r="K3986" s="28" t="str">
        <f aca="false">IF(OR(G3986="",G3986="?"),"",IFERROR(INDEX(Pubs!$E$2:$E$3001,MATCH(G3986,Pubs!$A$2:$A$3001,0)),""))</f>
        <v/>
      </c>
      <c r="L3986" s="29" t="str">
        <f aca="false">IF(A3986="","",IFERROR(1/(1/INDEX(Numéros!$C$2:$C$3001,MATCH(A3986&amp;"|"&amp;B3986,Numéros!$F$2:$F$3001,0))),""))</f>
        <v/>
      </c>
      <c r="M3986" s="27" t="str">
        <f aca="false">IF(OR(G3986="",G3986="?"),"",IFERROR(INDEX(Pubs!$D$2:$D$3001,MATCH(G3986,Pubs!$A$2:$A$3001,0))&amp;"",""))</f>
        <v/>
      </c>
      <c r="N3986" s="27" t="n">
        <f aca="false">N(N3985)+IF(AND(A3986&lt;&gt;"",OR(Recherche!$C$4="",A3986=Recherche!$C$4),OR(Recherche!$C$5="",B3986&amp;""=Recherche!$C$5&amp;""),OR(Recherche!$C$6="",IFERROR(YEAR(L3986),0)=Recherche!$C$6),OR(Recherche!$C$7="",ISNUMBER(SEARCH(Recherche!$C$7,H3986))),OR(Recherche!$C$8="",J3986=Recherche!$C$8),OR(Recherche!$C$9="",I3986=Recherche!$C$9),OR(Recherche!$C$10="",G3986&amp;""=Recherche!$C$10&amp;""),OR(Recherche!$C$11="",E3986=Recherche!$C$11),OR(Recherche!$C$12="",ISNUMBER(SEARCH(Recherche!$C$12,M3986&amp;" "&amp;F3986)))),1,0)</f>
        <v>8</v>
      </c>
    </row>
    <row r="3987" customFormat="false" ht="15" hidden="false" customHeight="false" outlineLevel="0" collapsed="false">
      <c r="A3987" s="19"/>
      <c r="B3987" s="19"/>
      <c r="C3987" s="19"/>
      <c r="D3987" s="19"/>
      <c r="E3987" s="22"/>
      <c r="F3987" s="19"/>
      <c r="G3987" s="26" t="str">
        <f aca="false">IF(D3987="","",IFERROR(VALUE(LEFT(D3987,FIND(" |",D3987&amp;" |")-1)),"?"))</f>
        <v/>
      </c>
      <c r="H3987" s="27" t="str">
        <f aca="false">IF(G3987="","",IF(G3987="?","⚠ pub inconnue",IFERROR(INDEX(Pubs!$B$2:$B$3001,MATCH(G3987,Pubs!$A$2:$A$3001,0))&amp;"","⚠ pub inconnue")))</f>
        <v/>
      </c>
      <c r="I3987" s="27" t="str">
        <f aca="false">IF(OR(G3987="",G3987="?"),"",IFERROR(INDEX(Pubs!$C$2:$C$3001,MATCH(G3987,Pubs!$A$2:$A$3001,0))&amp;"",""))</f>
        <v/>
      </c>
      <c r="J3987" s="27" t="str">
        <f aca="false">IF(OR(G3987="",G3987="?"),"",IFERROR(INDEX(Pubs!$G$2:$G$3001,MATCH(G3987,Pubs!$A$2:$A$3001,0))&amp;"",""))</f>
        <v/>
      </c>
      <c r="K3987" s="28" t="str">
        <f aca="false">IF(OR(G3987="",G3987="?"),"",IFERROR(INDEX(Pubs!$E$2:$E$3001,MATCH(G3987,Pubs!$A$2:$A$3001,0)),""))</f>
        <v/>
      </c>
      <c r="L3987" s="29" t="str">
        <f aca="false">IF(A3987="","",IFERROR(1/(1/INDEX(Numéros!$C$2:$C$3001,MATCH(A3987&amp;"|"&amp;B3987,Numéros!$F$2:$F$3001,0))),""))</f>
        <v/>
      </c>
      <c r="M3987" s="27" t="str">
        <f aca="false">IF(OR(G3987="",G3987="?"),"",IFERROR(INDEX(Pubs!$D$2:$D$3001,MATCH(G3987,Pubs!$A$2:$A$3001,0))&amp;"",""))</f>
        <v/>
      </c>
      <c r="N3987" s="27" t="n">
        <f aca="false">N(N3986)+IF(AND(A3987&lt;&gt;"",OR(Recherche!$C$4="",A3987=Recherche!$C$4),OR(Recherche!$C$5="",B3987&amp;""=Recherche!$C$5&amp;""),OR(Recherche!$C$6="",IFERROR(YEAR(L3987),0)=Recherche!$C$6),OR(Recherche!$C$7="",ISNUMBER(SEARCH(Recherche!$C$7,H3987))),OR(Recherche!$C$8="",J3987=Recherche!$C$8),OR(Recherche!$C$9="",I3987=Recherche!$C$9),OR(Recherche!$C$10="",G3987&amp;""=Recherche!$C$10&amp;""),OR(Recherche!$C$11="",E3987=Recherche!$C$11),OR(Recherche!$C$12="",ISNUMBER(SEARCH(Recherche!$C$12,M3987&amp;" "&amp;F3987)))),1,0)</f>
        <v>8</v>
      </c>
    </row>
    <row r="3988" customFormat="false" ht="15" hidden="false" customHeight="false" outlineLevel="0" collapsed="false">
      <c r="A3988" s="19"/>
      <c r="B3988" s="19"/>
      <c r="C3988" s="19"/>
      <c r="D3988" s="19"/>
      <c r="E3988" s="22"/>
      <c r="F3988" s="19"/>
      <c r="G3988" s="26" t="str">
        <f aca="false">IF(D3988="","",IFERROR(VALUE(LEFT(D3988,FIND(" |",D3988&amp;" |")-1)),"?"))</f>
        <v/>
      </c>
      <c r="H3988" s="27" t="str">
        <f aca="false">IF(G3988="","",IF(G3988="?","⚠ pub inconnue",IFERROR(INDEX(Pubs!$B$2:$B$3001,MATCH(G3988,Pubs!$A$2:$A$3001,0))&amp;"","⚠ pub inconnue")))</f>
        <v/>
      </c>
      <c r="I3988" s="27" t="str">
        <f aca="false">IF(OR(G3988="",G3988="?"),"",IFERROR(INDEX(Pubs!$C$2:$C$3001,MATCH(G3988,Pubs!$A$2:$A$3001,0))&amp;"",""))</f>
        <v/>
      </c>
      <c r="J3988" s="27" t="str">
        <f aca="false">IF(OR(G3988="",G3988="?"),"",IFERROR(INDEX(Pubs!$G$2:$G$3001,MATCH(G3988,Pubs!$A$2:$A$3001,0))&amp;"",""))</f>
        <v/>
      </c>
      <c r="K3988" s="28" t="str">
        <f aca="false">IF(OR(G3988="",G3988="?"),"",IFERROR(INDEX(Pubs!$E$2:$E$3001,MATCH(G3988,Pubs!$A$2:$A$3001,0)),""))</f>
        <v/>
      </c>
      <c r="L3988" s="29" t="str">
        <f aca="false">IF(A3988="","",IFERROR(1/(1/INDEX(Numéros!$C$2:$C$3001,MATCH(A3988&amp;"|"&amp;B3988,Numéros!$F$2:$F$3001,0))),""))</f>
        <v/>
      </c>
      <c r="M3988" s="27" t="str">
        <f aca="false">IF(OR(G3988="",G3988="?"),"",IFERROR(INDEX(Pubs!$D$2:$D$3001,MATCH(G3988,Pubs!$A$2:$A$3001,0))&amp;"",""))</f>
        <v/>
      </c>
      <c r="N3988" s="27" t="n">
        <f aca="false">N(N3987)+IF(AND(A3988&lt;&gt;"",OR(Recherche!$C$4="",A3988=Recherche!$C$4),OR(Recherche!$C$5="",B3988&amp;""=Recherche!$C$5&amp;""),OR(Recherche!$C$6="",IFERROR(YEAR(L3988),0)=Recherche!$C$6),OR(Recherche!$C$7="",ISNUMBER(SEARCH(Recherche!$C$7,H3988))),OR(Recherche!$C$8="",J3988=Recherche!$C$8),OR(Recherche!$C$9="",I3988=Recherche!$C$9),OR(Recherche!$C$10="",G3988&amp;""=Recherche!$C$10&amp;""),OR(Recherche!$C$11="",E3988=Recherche!$C$11),OR(Recherche!$C$12="",ISNUMBER(SEARCH(Recherche!$C$12,M3988&amp;" "&amp;F3988)))),1,0)</f>
        <v>8</v>
      </c>
    </row>
    <row r="3989" customFormat="false" ht="15" hidden="false" customHeight="false" outlineLevel="0" collapsed="false">
      <c r="A3989" s="19"/>
      <c r="B3989" s="19"/>
      <c r="C3989" s="19"/>
      <c r="D3989" s="19"/>
      <c r="E3989" s="22"/>
      <c r="F3989" s="19"/>
      <c r="G3989" s="26" t="str">
        <f aca="false">IF(D3989="","",IFERROR(VALUE(LEFT(D3989,FIND(" |",D3989&amp;" |")-1)),"?"))</f>
        <v/>
      </c>
      <c r="H3989" s="27" t="str">
        <f aca="false">IF(G3989="","",IF(G3989="?","⚠ pub inconnue",IFERROR(INDEX(Pubs!$B$2:$B$3001,MATCH(G3989,Pubs!$A$2:$A$3001,0))&amp;"","⚠ pub inconnue")))</f>
        <v/>
      </c>
      <c r="I3989" s="27" t="str">
        <f aca="false">IF(OR(G3989="",G3989="?"),"",IFERROR(INDEX(Pubs!$C$2:$C$3001,MATCH(G3989,Pubs!$A$2:$A$3001,0))&amp;"",""))</f>
        <v/>
      </c>
      <c r="J3989" s="27" t="str">
        <f aca="false">IF(OR(G3989="",G3989="?"),"",IFERROR(INDEX(Pubs!$G$2:$G$3001,MATCH(G3989,Pubs!$A$2:$A$3001,0))&amp;"",""))</f>
        <v/>
      </c>
      <c r="K3989" s="28" t="str">
        <f aca="false">IF(OR(G3989="",G3989="?"),"",IFERROR(INDEX(Pubs!$E$2:$E$3001,MATCH(G3989,Pubs!$A$2:$A$3001,0)),""))</f>
        <v/>
      </c>
      <c r="L3989" s="29" t="str">
        <f aca="false">IF(A3989="","",IFERROR(1/(1/INDEX(Numéros!$C$2:$C$3001,MATCH(A3989&amp;"|"&amp;B3989,Numéros!$F$2:$F$3001,0))),""))</f>
        <v/>
      </c>
      <c r="M3989" s="27" t="str">
        <f aca="false">IF(OR(G3989="",G3989="?"),"",IFERROR(INDEX(Pubs!$D$2:$D$3001,MATCH(G3989,Pubs!$A$2:$A$3001,0))&amp;"",""))</f>
        <v/>
      </c>
      <c r="N3989" s="27" t="n">
        <f aca="false">N(N3988)+IF(AND(A3989&lt;&gt;"",OR(Recherche!$C$4="",A3989=Recherche!$C$4),OR(Recherche!$C$5="",B3989&amp;""=Recherche!$C$5&amp;""),OR(Recherche!$C$6="",IFERROR(YEAR(L3989),0)=Recherche!$C$6),OR(Recherche!$C$7="",ISNUMBER(SEARCH(Recherche!$C$7,H3989))),OR(Recherche!$C$8="",J3989=Recherche!$C$8),OR(Recherche!$C$9="",I3989=Recherche!$C$9),OR(Recherche!$C$10="",G3989&amp;""=Recherche!$C$10&amp;""),OR(Recherche!$C$11="",E3989=Recherche!$C$11),OR(Recherche!$C$12="",ISNUMBER(SEARCH(Recherche!$C$12,M3989&amp;" "&amp;F3989)))),1,0)</f>
        <v>8</v>
      </c>
    </row>
    <row r="3990" customFormat="false" ht="15" hidden="false" customHeight="false" outlineLevel="0" collapsed="false">
      <c r="A3990" s="19"/>
      <c r="B3990" s="19"/>
      <c r="C3990" s="19"/>
      <c r="D3990" s="19"/>
      <c r="E3990" s="22"/>
      <c r="F3990" s="19"/>
      <c r="G3990" s="26" t="str">
        <f aca="false">IF(D3990="","",IFERROR(VALUE(LEFT(D3990,FIND(" |",D3990&amp;" |")-1)),"?"))</f>
        <v/>
      </c>
      <c r="H3990" s="27" t="str">
        <f aca="false">IF(G3990="","",IF(G3990="?","⚠ pub inconnue",IFERROR(INDEX(Pubs!$B$2:$B$3001,MATCH(G3990,Pubs!$A$2:$A$3001,0))&amp;"","⚠ pub inconnue")))</f>
        <v/>
      </c>
      <c r="I3990" s="27" t="str">
        <f aca="false">IF(OR(G3990="",G3990="?"),"",IFERROR(INDEX(Pubs!$C$2:$C$3001,MATCH(G3990,Pubs!$A$2:$A$3001,0))&amp;"",""))</f>
        <v/>
      </c>
      <c r="J3990" s="27" t="str">
        <f aca="false">IF(OR(G3990="",G3990="?"),"",IFERROR(INDEX(Pubs!$G$2:$G$3001,MATCH(G3990,Pubs!$A$2:$A$3001,0))&amp;"",""))</f>
        <v/>
      </c>
      <c r="K3990" s="28" t="str">
        <f aca="false">IF(OR(G3990="",G3990="?"),"",IFERROR(INDEX(Pubs!$E$2:$E$3001,MATCH(G3990,Pubs!$A$2:$A$3001,0)),""))</f>
        <v/>
      </c>
      <c r="L3990" s="29" t="str">
        <f aca="false">IF(A3990="","",IFERROR(1/(1/INDEX(Numéros!$C$2:$C$3001,MATCH(A3990&amp;"|"&amp;B3990,Numéros!$F$2:$F$3001,0))),""))</f>
        <v/>
      </c>
      <c r="M3990" s="27" t="str">
        <f aca="false">IF(OR(G3990="",G3990="?"),"",IFERROR(INDEX(Pubs!$D$2:$D$3001,MATCH(G3990,Pubs!$A$2:$A$3001,0))&amp;"",""))</f>
        <v/>
      </c>
      <c r="N3990" s="27" t="n">
        <f aca="false">N(N3989)+IF(AND(A3990&lt;&gt;"",OR(Recherche!$C$4="",A3990=Recherche!$C$4),OR(Recherche!$C$5="",B3990&amp;""=Recherche!$C$5&amp;""),OR(Recherche!$C$6="",IFERROR(YEAR(L3990),0)=Recherche!$C$6),OR(Recherche!$C$7="",ISNUMBER(SEARCH(Recherche!$C$7,H3990))),OR(Recherche!$C$8="",J3990=Recherche!$C$8),OR(Recherche!$C$9="",I3990=Recherche!$C$9),OR(Recherche!$C$10="",G3990&amp;""=Recherche!$C$10&amp;""),OR(Recherche!$C$11="",E3990=Recherche!$C$11),OR(Recherche!$C$12="",ISNUMBER(SEARCH(Recherche!$C$12,M3990&amp;" "&amp;F3990)))),1,0)</f>
        <v>8</v>
      </c>
    </row>
    <row r="3991" customFormat="false" ht="15" hidden="false" customHeight="false" outlineLevel="0" collapsed="false">
      <c r="A3991" s="19"/>
      <c r="B3991" s="19"/>
      <c r="C3991" s="19"/>
      <c r="D3991" s="19"/>
      <c r="E3991" s="22"/>
      <c r="F3991" s="19"/>
      <c r="G3991" s="26" t="str">
        <f aca="false">IF(D3991="","",IFERROR(VALUE(LEFT(D3991,FIND(" |",D3991&amp;" |")-1)),"?"))</f>
        <v/>
      </c>
      <c r="H3991" s="27" t="str">
        <f aca="false">IF(G3991="","",IF(G3991="?","⚠ pub inconnue",IFERROR(INDEX(Pubs!$B$2:$B$3001,MATCH(G3991,Pubs!$A$2:$A$3001,0))&amp;"","⚠ pub inconnue")))</f>
        <v/>
      </c>
      <c r="I3991" s="27" t="str">
        <f aca="false">IF(OR(G3991="",G3991="?"),"",IFERROR(INDEX(Pubs!$C$2:$C$3001,MATCH(G3991,Pubs!$A$2:$A$3001,0))&amp;"",""))</f>
        <v/>
      </c>
      <c r="J3991" s="27" t="str">
        <f aca="false">IF(OR(G3991="",G3991="?"),"",IFERROR(INDEX(Pubs!$G$2:$G$3001,MATCH(G3991,Pubs!$A$2:$A$3001,0))&amp;"",""))</f>
        <v/>
      </c>
      <c r="K3991" s="28" t="str">
        <f aca="false">IF(OR(G3991="",G3991="?"),"",IFERROR(INDEX(Pubs!$E$2:$E$3001,MATCH(G3991,Pubs!$A$2:$A$3001,0)),""))</f>
        <v/>
      </c>
      <c r="L3991" s="29" t="str">
        <f aca="false">IF(A3991="","",IFERROR(1/(1/INDEX(Numéros!$C$2:$C$3001,MATCH(A3991&amp;"|"&amp;B3991,Numéros!$F$2:$F$3001,0))),""))</f>
        <v/>
      </c>
      <c r="M3991" s="27" t="str">
        <f aca="false">IF(OR(G3991="",G3991="?"),"",IFERROR(INDEX(Pubs!$D$2:$D$3001,MATCH(G3991,Pubs!$A$2:$A$3001,0))&amp;"",""))</f>
        <v/>
      </c>
      <c r="N3991" s="27" t="n">
        <f aca="false">N(N3990)+IF(AND(A3991&lt;&gt;"",OR(Recherche!$C$4="",A3991=Recherche!$C$4),OR(Recherche!$C$5="",B3991&amp;""=Recherche!$C$5&amp;""),OR(Recherche!$C$6="",IFERROR(YEAR(L3991),0)=Recherche!$C$6),OR(Recherche!$C$7="",ISNUMBER(SEARCH(Recherche!$C$7,H3991))),OR(Recherche!$C$8="",J3991=Recherche!$C$8),OR(Recherche!$C$9="",I3991=Recherche!$C$9),OR(Recherche!$C$10="",G3991&amp;""=Recherche!$C$10&amp;""),OR(Recherche!$C$11="",E3991=Recherche!$C$11),OR(Recherche!$C$12="",ISNUMBER(SEARCH(Recherche!$C$12,M3991&amp;" "&amp;F3991)))),1,0)</f>
        <v>8</v>
      </c>
    </row>
    <row r="3992" customFormat="false" ht="15" hidden="false" customHeight="false" outlineLevel="0" collapsed="false">
      <c r="A3992" s="19"/>
      <c r="B3992" s="19"/>
      <c r="C3992" s="19"/>
      <c r="D3992" s="19"/>
      <c r="E3992" s="22"/>
      <c r="F3992" s="19"/>
      <c r="G3992" s="26" t="str">
        <f aca="false">IF(D3992="","",IFERROR(VALUE(LEFT(D3992,FIND(" |",D3992&amp;" |")-1)),"?"))</f>
        <v/>
      </c>
      <c r="H3992" s="27" t="str">
        <f aca="false">IF(G3992="","",IF(G3992="?","⚠ pub inconnue",IFERROR(INDEX(Pubs!$B$2:$B$3001,MATCH(G3992,Pubs!$A$2:$A$3001,0))&amp;"","⚠ pub inconnue")))</f>
        <v/>
      </c>
      <c r="I3992" s="27" t="str">
        <f aca="false">IF(OR(G3992="",G3992="?"),"",IFERROR(INDEX(Pubs!$C$2:$C$3001,MATCH(G3992,Pubs!$A$2:$A$3001,0))&amp;"",""))</f>
        <v/>
      </c>
      <c r="J3992" s="27" t="str">
        <f aca="false">IF(OR(G3992="",G3992="?"),"",IFERROR(INDEX(Pubs!$G$2:$G$3001,MATCH(G3992,Pubs!$A$2:$A$3001,0))&amp;"",""))</f>
        <v/>
      </c>
      <c r="K3992" s="28" t="str">
        <f aca="false">IF(OR(G3992="",G3992="?"),"",IFERROR(INDEX(Pubs!$E$2:$E$3001,MATCH(G3992,Pubs!$A$2:$A$3001,0)),""))</f>
        <v/>
      </c>
      <c r="L3992" s="29" t="str">
        <f aca="false">IF(A3992="","",IFERROR(1/(1/INDEX(Numéros!$C$2:$C$3001,MATCH(A3992&amp;"|"&amp;B3992,Numéros!$F$2:$F$3001,0))),""))</f>
        <v/>
      </c>
      <c r="M3992" s="27" t="str">
        <f aca="false">IF(OR(G3992="",G3992="?"),"",IFERROR(INDEX(Pubs!$D$2:$D$3001,MATCH(G3992,Pubs!$A$2:$A$3001,0))&amp;"",""))</f>
        <v/>
      </c>
      <c r="N3992" s="27" t="n">
        <f aca="false">N(N3991)+IF(AND(A3992&lt;&gt;"",OR(Recherche!$C$4="",A3992=Recherche!$C$4),OR(Recherche!$C$5="",B3992&amp;""=Recherche!$C$5&amp;""),OR(Recherche!$C$6="",IFERROR(YEAR(L3992),0)=Recherche!$C$6),OR(Recherche!$C$7="",ISNUMBER(SEARCH(Recherche!$C$7,H3992))),OR(Recherche!$C$8="",J3992=Recherche!$C$8),OR(Recherche!$C$9="",I3992=Recherche!$C$9),OR(Recherche!$C$10="",G3992&amp;""=Recherche!$C$10&amp;""),OR(Recherche!$C$11="",E3992=Recherche!$C$11),OR(Recherche!$C$12="",ISNUMBER(SEARCH(Recherche!$C$12,M3992&amp;" "&amp;F3992)))),1,0)</f>
        <v>8</v>
      </c>
    </row>
    <row r="3993" customFormat="false" ht="15" hidden="false" customHeight="false" outlineLevel="0" collapsed="false">
      <c r="A3993" s="19"/>
      <c r="B3993" s="19"/>
      <c r="C3993" s="19"/>
      <c r="D3993" s="19"/>
      <c r="E3993" s="22"/>
      <c r="F3993" s="19"/>
      <c r="G3993" s="26" t="str">
        <f aca="false">IF(D3993="","",IFERROR(VALUE(LEFT(D3993,FIND(" |",D3993&amp;" |")-1)),"?"))</f>
        <v/>
      </c>
      <c r="H3993" s="27" t="str">
        <f aca="false">IF(G3993="","",IF(G3993="?","⚠ pub inconnue",IFERROR(INDEX(Pubs!$B$2:$B$3001,MATCH(G3993,Pubs!$A$2:$A$3001,0))&amp;"","⚠ pub inconnue")))</f>
        <v/>
      </c>
      <c r="I3993" s="27" t="str">
        <f aca="false">IF(OR(G3993="",G3993="?"),"",IFERROR(INDEX(Pubs!$C$2:$C$3001,MATCH(G3993,Pubs!$A$2:$A$3001,0))&amp;"",""))</f>
        <v/>
      </c>
      <c r="J3993" s="27" t="str">
        <f aca="false">IF(OR(G3993="",G3993="?"),"",IFERROR(INDEX(Pubs!$G$2:$G$3001,MATCH(G3993,Pubs!$A$2:$A$3001,0))&amp;"",""))</f>
        <v/>
      </c>
      <c r="K3993" s="28" t="str">
        <f aca="false">IF(OR(G3993="",G3993="?"),"",IFERROR(INDEX(Pubs!$E$2:$E$3001,MATCH(G3993,Pubs!$A$2:$A$3001,0)),""))</f>
        <v/>
      </c>
      <c r="L3993" s="29" t="str">
        <f aca="false">IF(A3993="","",IFERROR(1/(1/INDEX(Numéros!$C$2:$C$3001,MATCH(A3993&amp;"|"&amp;B3993,Numéros!$F$2:$F$3001,0))),""))</f>
        <v/>
      </c>
      <c r="M3993" s="27" t="str">
        <f aca="false">IF(OR(G3993="",G3993="?"),"",IFERROR(INDEX(Pubs!$D$2:$D$3001,MATCH(G3993,Pubs!$A$2:$A$3001,0))&amp;"",""))</f>
        <v/>
      </c>
      <c r="N3993" s="27" t="n">
        <f aca="false">N(N3992)+IF(AND(A3993&lt;&gt;"",OR(Recherche!$C$4="",A3993=Recherche!$C$4),OR(Recherche!$C$5="",B3993&amp;""=Recherche!$C$5&amp;""),OR(Recherche!$C$6="",IFERROR(YEAR(L3993),0)=Recherche!$C$6),OR(Recherche!$C$7="",ISNUMBER(SEARCH(Recherche!$C$7,H3993))),OR(Recherche!$C$8="",J3993=Recherche!$C$8),OR(Recherche!$C$9="",I3993=Recherche!$C$9),OR(Recherche!$C$10="",G3993&amp;""=Recherche!$C$10&amp;""),OR(Recherche!$C$11="",E3993=Recherche!$C$11),OR(Recherche!$C$12="",ISNUMBER(SEARCH(Recherche!$C$12,M3993&amp;" "&amp;F3993)))),1,0)</f>
        <v>8</v>
      </c>
    </row>
    <row r="3994" customFormat="false" ht="15" hidden="false" customHeight="false" outlineLevel="0" collapsed="false">
      <c r="A3994" s="19"/>
      <c r="B3994" s="19"/>
      <c r="C3994" s="19"/>
      <c r="D3994" s="19"/>
      <c r="E3994" s="22"/>
      <c r="F3994" s="19"/>
      <c r="G3994" s="26" t="str">
        <f aca="false">IF(D3994="","",IFERROR(VALUE(LEFT(D3994,FIND(" |",D3994&amp;" |")-1)),"?"))</f>
        <v/>
      </c>
      <c r="H3994" s="27" t="str">
        <f aca="false">IF(G3994="","",IF(G3994="?","⚠ pub inconnue",IFERROR(INDEX(Pubs!$B$2:$B$3001,MATCH(G3994,Pubs!$A$2:$A$3001,0))&amp;"","⚠ pub inconnue")))</f>
        <v/>
      </c>
      <c r="I3994" s="27" t="str">
        <f aca="false">IF(OR(G3994="",G3994="?"),"",IFERROR(INDEX(Pubs!$C$2:$C$3001,MATCH(G3994,Pubs!$A$2:$A$3001,0))&amp;"",""))</f>
        <v/>
      </c>
      <c r="J3994" s="27" t="str">
        <f aca="false">IF(OR(G3994="",G3994="?"),"",IFERROR(INDEX(Pubs!$G$2:$G$3001,MATCH(G3994,Pubs!$A$2:$A$3001,0))&amp;"",""))</f>
        <v/>
      </c>
      <c r="K3994" s="28" t="str">
        <f aca="false">IF(OR(G3994="",G3994="?"),"",IFERROR(INDEX(Pubs!$E$2:$E$3001,MATCH(G3994,Pubs!$A$2:$A$3001,0)),""))</f>
        <v/>
      </c>
      <c r="L3994" s="29" t="str">
        <f aca="false">IF(A3994="","",IFERROR(1/(1/INDEX(Numéros!$C$2:$C$3001,MATCH(A3994&amp;"|"&amp;B3994,Numéros!$F$2:$F$3001,0))),""))</f>
        <v/>
      </c>
      <c r="M3994" s="27" t="str">
        <f aca="false">IF(OR(G3994="",G3994="?"),"",IFERROR(INDEX(Pubs!$D$2:$D$3001,MATCH(G3994,Pubs!$A$2:$A$3001,0))&amp;"",""))</f>
        <v/>
      </c>
      <c r="N3994" s="27" t="n">
        <f aca="false">N(N3993)+IF(AND(A3994&lt;&gt;"",OR(Recherche!$C$4="",A3994=Recherche!$C$4),OR(Recherche!$C$5="",B3994&amp;""=Recherche!$C$5&amp;""),OR(Recherche!$C$6="",IFERROR(YEAR(L3994),0)=Recherche!$C$6),OR(Recherche!$C$7="",ISNUMBER(SEARCH(Recherche!$C$7,H3994))),OR(Recherche!$C$8="",J3994=Recherche!$C$8),OR(Recherche!$C$9="",I3994=Recherche!$C$9),OR(Recherche!$C$10="",G3994&amp;""=Recherche!$C$10&amp;""),OR(Recherche!$C$11="",E3994=Recherche!$C$11),OR(Recherche!$C$12="",ISNUMBER(SEARCH(Recherche!$C$12,M3994&amp;" "&amp;F3994)))),1,0)</f>
        <v>8</v>
      </c>
    </row>
    <row r="3995" customFormat="false" ht="15" hidden="false" customHeight="false" outlineLevel="0" collapsed="false">
      <c r="A3995" s="19"/>
      <c r="B3995" s="19"/>
      <c r="C3995" s="19"/>
      <c r="D3995" s="19"/>
      <c r="E3995" s="22"/>
      <c r="F3995" s="19"/>
      <c r="G3995" s="26" t="str">
        <f aca="false">IF(D3995="","",IFERROR(VALUE(LEFT(D3995,FIND(" |",D3995&amp;" |")-1)),"?"))</f>
        <v/>
      </c>
      <c r="H3995" s="27" t="str">
        <f aca="false">IF(G3995="","",IF(G3995="?","⚠ pub inconnue",IFERROR(INDEX(Pubs!$B$2:$B$3001,MATCH(G3995,Pubs!$A$2:$A$3001,0))&amp;"","⚠ pub inconnue")))</f>
        <v/>
      </c>
      <c r="I3995" s="27" t="str">
        <f aca="false">IF(OR(G3995="",G3995="?"),"",IFERROR(INDEX(Pubs!$C$2:$C$3001,MATCH(G3995,Pubs!$A$2:$A$3001,0))&amp;"",""))</f>
        <v/>
      </c>
      <c r="J3995" s="27" t="str">
        <f aca="false">IF(OR(G3995="",G3995="?"),"",IFERROR(INDEX(Pubs!$G$2:$G$3001,MATCH(G3995,Pubs!$A$2:$A$3001,0))&amp;"",""))</f>
        <v/>
      </c>
      <c r="K3995" s="28" t="str">
        <f aca="false">IF(OR(G3995="",G3995="?"),"",IFERROR(INDEX(Pubs!$E$2:$E$3001,MATCH(G3995,Pubs!$A$2:$A$3001,0)),""))</f>
        <v/>
      </c>
      <c r="L3995" s="29" t="str">
        <f aca="false">IF(A3995="","",IFERROR(1/(1/INDEX(Numéros!$C$2:$C$3001,MATCH(A3995&amp;"|"&amp;B3995,Numéros!$F$2:$F$3001,0))),""))</f>
        <v/>
      </c>
      <c r="M3995" s="27" t="str">
        <f aca="false">IF(OR(G3995="",G3995="?"),"",IFERROR(INDEX(Pubs!$D$2:$D$3001,MATCH(G3995,Pubs!$A$2:$A$3001,0))&amp;"",""))</f>
        <v/>
      </c>
      <c r="N3995" s="27" t="n">
        <f aca="false">N(N3994)+IF(AND(A3995&lt;&gt;"",OR(Recherche!$C$4="",A3995=Recherche!$C$4),OR(Recherche!$C$5="",B3995&amp;""=Recherche!$C$5&amp;""),OR(Recherche!$C$6="",IFERROR(YEAR(L3995),0)=Recherche!$C$6),OR(Recherche!$C$7="",ISNUMBER(SEARCH(Recherche!$C$7,H3995))),OR(Recherche!$C$8="",J3995=Recherche!$C$8),OR(Recherche!$C$9="",I3995=Recherche!$C$9),OR(Recherche!$C$10="",G3995&amp;""=Recherche!$C$10&amp;""),OR(Recherche!$C$11="",E3995=Recherche!$C$11),OR(Recherche!$C$12="",ISNUMBER(SEARCH(Recherche!$C$12,M3995&amp;" "&amp;F3995)))),1,0)</f>
        <v>8</v>
      </c>
    </row>
    <row r="3996" customFormat="false" ht="15" hidden="false" customHeight="false" outlineLevel="0" collapsed="false">
      <c r="A3996" s="19"/>
      <c r="B3996" s="19"/>
      <c r="C3996" s="19"/>
      <c r="D3996" s="19"/>
      <c r="E3996" s="22"/>
      <c r="F3996" s="19"/>
      <c r="G3996" s="26" t="str">
        <f aca="false">IF(D3996="","",IFERROR(VALUE(LEFT(D3996,FIND(" |",D3996&amp;" |")-1)),"?"))</f>
        <v/>
      </c>
      <c r="H3996" s="27" t="str">
        <f aca="false">IF(G3996="","",IF(G3996="?","⚠ pub inconnue",IFERROR(INDEX(Pubs!$B$2:$B$3001,MATCH(G3996,Pubs!$A$2:$A$3001,0))&amp;"","⚠ pub inconnue")))</f>
        <v/>
      </c>
      <c r="I3996" s="27" t="str">
        <f aca="false">IF(OR(G3996="",G3996="?"),"",IFERROR(INDEX(Pubs!$C$2:$C$3001,MATCH(G3996,Pubs!$A$2:$A$3001,0))&amp;"",""))</f>
        <v/>
      </c>
      <c r="J3996" s="27" t="str">
        <f aca="false">IF(OR(G3996="",G3996="?"),"",IFERROR(INDEX(Pubs!$G$2:$G$3001,MATCH(G3996,Pubs!$A$2:$A$3001,0))&amp;"",""))</f>
        <v/>
      </c>
      <c r="K3996" s="28" t="str">
        <f aca="false">IF(OR(G3996="",G3996="?"),"",IFERROR(INDEX(Pubs!$E$2:$E$3001,MATCH(G3996,Pubs!$A$2:$A$3001,0)),""))</f>
        <v/>
      </c>
      <c r="L3996" s="29" t="str">
        <f aca="false">IF(A3996="","",IFERROR(1/(1/INDEX(Numéros!$C$2:$C$3001,MATCH(A3996&amp;"|"&amp;B3996,Numéros!$F$2:$F$3001,0))),""))</f>
        <v/>
      </c>
      <c r="M3996" s="27" t="str">
        <f aca="false">IF(OR(G3996="",G3996="?"),"",IFERROR(INDEX(Pubs!$D$2:$D$3001,MATCH(G3996,Pubs!$A$2:$A$3001,0))&amp;"",""))</f>
        <v/>
      </c>
      <c r="N3996" s="27" t="n">
        <f aca="false">N(N3995)+IF(AND(A3996&lt;&gt;"",OR(Recherche!$C$4="",A3996=Recherche!$C$4),OR(Recherche!$C$5="",B3996&amp;""=Recherche!$C$5&amp;""),OR(Recherche!$C$6="",IFERROR(YEAR(L3996),0)=Recherche!$C$6),OR(Recherche!$C$7="",ISNUMBER(SEARCH(Recherche!$C$7,H3996))),OR(Recherche!$C$8="",J3996=Recherche!$C$8),OR(Recherche!$C$9="",I3996=Recherche!$C$9),OR(Recherche!$C$10="",G3996&amp;""=Recherche!$C$10&amp;""),OR(Recherche!$C$11="",E3996=Recherche!$C$11),OR(Recherche!$C$12="",ISNUMBER(SEARCH(Recherche!$C$12,M3996&amp;" "&amp;F3996)))),1,0)</f>
        <v>8</v>
      </c>
    </row>
    <row r="3997" customFormat="false" ht="15" hidden="false" customHeight="false" outlineLevel="0" collapsed="false">
      <c r="A3997" s="19"/>
      <c r="B3997" s="19"/>
      <c r="C3997" s="19"/>
      <c r="D3997" s="19"/>
      <c r="E3997" s="22"/>
      <c r="F3997" s="19"/>
      <c r="G3997" s="26" t="str">
        <f aca="false">IF(D3997="","",IFERROR(VALUE(LEFT(D3997,FIND(" |",D3997&amp;" |")-1)),"?"))</f>
        <v/>
      </c>
      <c r="H3997" s="27" t="str">
        <f aca="false">IF(G3997="","",IF(G3997="?","⚠ pub inconnue",IFERROR(INDEX(Pubs!$B$2:$B$3001,MATCH(G3997,Pubs!$A$2:$A$3001,0))&amp;"","⚠ pub inconnue")))</f>
        <v/>
      </c>
      <c r="I3997" s="27" t="str">
        <f aca="false">IF(OR(G3997="",G3997="?"),"",IFERROR(INDEX(Pubs!$C$2:$C$3001,MATCH(G3997,Pubs!$A$2:$A$3001,0))&amp;"",""))</f>
        <v/>
      </c>
      <c r="J3997" s="27" t="str">
        <f aca="false">IF(OR(G3997="",G3997="?"),"",IFERROR(INDEX(Pubs!$G$2:$G$3001,MATCH(G3997,Pubs!$A$2:$A$3001,0))&amp;"",""))</f>
        <v/>
      </c>
      <c r="K3997" s="28" t="str">
        <f aca="false">IF(OR(G3997="",G3997="?"),"",IFERROR(INDEX(Pubs!$E$2:$E$3001,MATCH(G3997,Pubs!$A$2:$A$3001,0)),""))</f>
        <v/>
      </c>
      <c r="L3997" s="29" t="str">
        <f aca="false">IF(A3997="","",IFERROR(1/(1/INDEX(Numéros!$C$2:$C$3001,MATCH(A3997&amp;"|"&amp;B3997,Numéros!$F$2:$F$3001,0))),""))</f>
        <v/>
      </c>
      <c r="M3997" s="27" t="str">
        <f aca="false">IF(OR(G3997="",G3997="?"),"",IFERROR(INDEX(Pubs!$D$2:$D$3001,MATCH(G3997,Pubs!$A$2:$A$3001,0))&amp;"",""))</f>
        <v/>
      </c>
      <c r="N3997" s="27" t="n">
        <f aca="false">N(N3996)+IF(AND(A3997&lt;&gt;"",OR(Recherche!$C$4="",A3997=Recherche!$C$4),OR(Recherche!$C$5="",B3997&amp;""=Recherche!$C$5&amp;""),OR(Recherche!$C$6="",IFERROR(YEAR(L3997),0)=Recherche!$C$6),OR(Recherche!$C$7="",ISNUMBER(SEARCH(Recherche!$C$7,H3997))),OR(Recherche!$C$8="",J3997=Recherche!$C$8),OR(Recherche!$C$9="",I3997=Recherche!$C$9),OR(Recherche!$C$10="",G3997&amp;""=Recherche!$C$10&amp;""),OR(Recherche!$C$11="",E3997=Recherche!$C$11),OR(Recherche!$C$12="",ISNUMBER(SEARCH(Recherche!$C$12,M3997&amp;" "&amp;F3997)))),1,0)</f>
        <v>8</v>
      </c>
    </row>
    <row r="3998" customFormat="false" ht="15" hidden="false" customHeight="false" outlineLevel="0" collapsed="false">
      <c r="A3998" s="19"/>
      <c r="B3998" s="19"/>
      <c r="C3998" s="19"/>
      <c r="D3998" s="19"/>
      <c r="E3998" s="22"/>
      <c r="F3998" s="19"/>
      <c r="G3998" s="26" t="str">
        <f aca="false">IF(D3998="","",IFERROR(VALUE(LEFT(D3998,FIND(" |",D3998&amp;" |")-1)),"?"))</f>
        <v/>
      </c>
      <c r="H3998" s="27" t="str">
        <f aca="false">IF(G3998="","",IF(G3998="?","⚠ pub inconnue",IFERROR(INDEX(Pubs!$B$2:$B$3001,MATCH(G3998,Pubs!$A$2:$A$3001,0))&amp;"","⚠ pub inconnue")))</f>
        <v/>
      </c>
      <c r="I3998" s="27" t="str">
        <f aca="false">IF(OR(G3998="",G3998="?"),"",IFERROR(INDEX(Pubs!$C$2:$C$3001,MATCH(G3998,Pubs!$A$2:$A$3001,0))&amp;"",""))</f>
        <v/>
      </c>
      <c r="J3998" s="27" t="str">
        <f aca="false">IF(OR(G3998="",G3998="?"),"",IFERROR(INDEX(Pubs!$G$2:$G$3001,MATCH(G3998,Pubs!$A$2:$A$3001,0))&amp;"",""))</f>
        <v/>
      </c>
      <c r="K3998" s="28" t="str">
        <f aca="false">IF(OR(G3998="",G3998="?"),"",IFERROR(INDEX(Pubs!$E$2:$E$3001,MATCH(G3998,Pubs!$A$2:$A$3001,0)),""))</f>
        <v/>
      </c>
      <c r="L3998" s="29" t="str">
        <f aca="false">IF(A3998="","",IFERROR(1/(1/INDEX(Numéros!$C$2:$C$3001,MATCH(A3998&amp;"|"&amp;B3998,Numéros!$F$2:$F$3001,0))),""))</f>
        <v/>
      </c>
      <c r="M3998" s="27" t="str">
        <f aca="false">IF(OR(G3998="",G3998="?"),"",IFERROR(INDEX(Pubs!$D$2:$D$3001,MATCH(G3998,Pubs!$A$2:$A$3001,0))&amp;"",""))</f>
        <v/>
      </c>
      <c r="N3998" s="27" t="n">
        <f aca="false">N(N3997)+IF(AND(A3998&lt;&gt;"",OR(Recherche!$C$4="",A3998=Recherche!$C$4),OR(Recherche!$C$5="",B3998&amp;""=Recherche!$C$5&amp;""),OR(Recherche!$C$6="",IFERROR(YEAR(L3998),0)=Recherche!$C$6),OR(Recherche!$C$7="",ISNUMBER(SEARCH(Recherche!$C$7,H3998))),OR(Recherche!$C$8="",J3998=Recherche!$C$8),OR(Recherche!$C$9="",I3998=Recherche!$C$9),OR(Recherche!$C$10="",G3998&amp;""=Recherche!$C$10&amp;""),OR(Recherche!$C$11="",E3998=Recherche!$C$11),OR(Recherche!$C$12="",ISNUMBER(SEARCH(Recherche!$C$12,M3998&amp;" "&amp;F3998)))),1,0)</f>
        <v>8</v>
      </c>
    </row>
    <row r="3999" customFormat="false" ht="15" hidden="false" customHeight="false" outlineLevel="0" collapsed="false">
      <c r="A3999" s="19"/>
      <c r="B3999" s="19"/>
      <c r="C3999" s="19"/>
      <c r="D3999" s="19"/>
      <c r="E3999" s="22"/>
      <c r="F3999" s="19"/>
      <c r="G3999" s="26" t="str">
        <f aca="false">IF(D3999="","",IFERROR(VALUE(LEFT(D3999,FIND(" |",D3999&amp;" |")-1)),"?"))</f>
        <v/>
      </c>
      <c r="H3999" s="27" t="str">
        <f aca="false">IF(G3999="","",IF(G3999="?","⚠ pub inconnue",IFERROR(INDEX(Pubs!$B$2:$B$3001,MATCH(G3999,Pubs!$A$2:$A$3001,0))&amp;"","⚠ pub inconnue")))</f>
        <v/>
      </c>
      <c r="I3999" s="27" t="str">
        <f aca="false">IF(OR(G3999="",G3999="?"),"",IFERROR(INDEX(Pubs!$C$2:$C$3001,MATCH(G3999,Pubs!$A$2:$A$3001,0))&amp;"",""))</f>
        <v/>
      </c>
      <c r="J3999" s="27" t="str">
        <f aca="false">IF(OR(G3999="",G3999="?"),"",IFERROR(INDEX(Pubs!$G$2:$G$3001,MATCH(G3999,Pubs!$A$2:$A$3001,0))&amp;"",""))</f>
        <v/>
      </c>
      <c r="K3999" s="28" t="str">
        <f aca="false">IF(OR(G3999="",G3999="?"),"",IFERROR(INDEX(Pubs!$E$2:$E$3001,MATCH(G3999,Pubs!$A$2:$A$3001,0)),""))</f>
        <v/>
      </c>
      <c r="L3999" s="29" t="str">
        <f aca="false">IF(A3999="","",IFERROR(1/(1/INDEX(Numéros!$C$2:$C$3001,MATCH(A3999&amp;"|"&amp;B3999,Numéros!$F$2:$F$3001,0))),""))</f>
        <v/>
      </c>
      <c r="M3999" s="27" t="str">
        <f aca="false">IF(OR(G3999="",G3999="?"),"",IFERROR(INDEX(Pubs!$D$2:$D$3001,MATCH(G3999,Pubs!$A$2:$A$3001,0))&amp;"",""))</f>
        <v/>
      </c>
      <c r="N3999" s="27" t="n">
        <f aca="false">N(N3998)+IF(AND(A3999&lt;&gt;"",OR(Recherche!$C$4="",A3999=Recherche!$C$4),OR(Recherche!$C$5="",B3999&amp;""=Recherche!$C$5&amp;""),OR(Recherche!$C$6="",IFERROR(YEAR(L3999),0)=Recherche!$C$6),OR(Recherche!$C$7="",ISNUMBER(SEARCH(Recherche!$C$7,H3999))),OR(Recherche!$C$8="",J3999=Recherche!$C$8),OR(Recherche!$C$9="",I3999=Recherche!$C$9),OR(Recherche!$C$10="",G3999&amp;""=Recherche!$C$10&amp;""),OR(Recherche!$C$11="",E3999=Recherche!$C$11),OR(Recherche!$C$12="",ISNUMBER(SEARCH(Recherche!$C$12,M3999&amp;" "&amp;F3999)))),1,0)</f>
        <v>8</v>
      </c>
    </row>
    <row r="4000" customFormat="false" ht="15" hidden="false" customHeight="false" outlineLevel="0" collapsed="false">
      <c r="A4000" s="19"/>
      <c r="B4000" s="19"/>
      <c r="C4000" s="19"/>
      <c r="D4000" s="19"/>
      <c r="E4000" s="22"/>
      <c r="F4000" s="19"/>
      <c r="G4000" s="26" t="str">
        <f aca="false">IF(D4000="","",IFERROR(VALUE(LEFT(D4000,FIND(" |",D4000&amp;" |")-1)),"?"))</f>
        <v/>
      </c>
      <c r="H4000" s="27" t="str">
        <f aca="false">IF(G4000="","",IF(G4000="?","⚠ pub inconnue",IFERROR(INDEX(Pubs!$B$2:$B$3001,MATCH(G4000,Pubs!$A$2:$A$3001,0))&amp;"","⚠ pub inconnue")))</f>
        <v/>
      </c>
      <c r="I4000" s="27" t="str">
        <f aca="false">IF(OR(G4000="",G4000="?"),"",IFERROR(INDEX(Pubs!$C$2:$C$3001,MATCH(G4000,Pubs!$A$2:$A$3001,0))&amp;"",""))</f>
        <v/>
      </c>
      <c r="J4000" s="27" t="str">
        <f aca="false">IF(OR(G4000="",G4000="?"),"",IFERROR(INDEX(Pubs!$G$2:$G$3001,MATCH(G4000,Pubs!$A$2:$A$3001,0))&amp;"",""))</f>
        <v/>
      </c>
      <c r="K4000" s="28" t="str">
        <f aca="false">IF(OR(G4000="",G4000="?"),"",IFERROR(INDEX(Pubs!$E$2:$E$3001,MATCH(G4000,Pubs!$A$2:$A$3001,0)),""))</f>
        <v/>
      </c>
      <c r="L4000" s="29" t="str">
        <f aca="false">IF(A4000="","",IFERROR(1/(1/INDEX(Numéros!$C$2:$C$3001,MATCH(A4000&amp;"|"&amp;B4000,Numéros!$F$2:$F$3001,0))),""))</f>
        <v/>
      </c>
      <c r="M4000" s="27" t="str">
        <f aca="false">IF(OR(G4000="",G4000="?"),"",IFERROR(INDEX(Pubs!$D$2:$D$3001,MATCH(G4000,Pubs!$A$2:$A$3001,0))&amp;"",""))</f>
        <v/>
      </c>
      <c r="N4000" s="27" t="n">
        <f aca="false">N(N3999)+IF(AND(A4000&lt;&gt;"",OR(Recherche!$C$4="",A4000=Recherche!$C$4),OR(Recherche!$C$5="",B4000&amp;""=Recherche!$C$5&amp;""),OR(Recherche!$C$6="",IFERROR(YEAR(L4000),0)=Recherche!$C$6),OR(Recherche!$C$7="",ISNUMBER(SEARCH(Recherche!$C$7,H4000))),OR(Recherche!$C$8="",J4000=Recherche!$C$8),OR(Recherche!$C$9="",I4000=Recherche!$C$9),OR(Recherche!$C$10="",G4000&amp;""=Recherche!$C$10&amp;""),OR(Recherche!$C$11="",E4000=Recherche!$C$11),OR(Recherche!$C$12="",ISNUMBER(SEARCH(Recherche!$C$12,M4000&amp;" "&amp;F4000)))),1,0)</f>
        <v>8</v>
      </c>
    </row>
    <row r="4001" customFormat="false" ht="15" hidden="false" customHeight="false" outlineLevel="0" collapsed="false">
      <c r="A4001" s="19"/>
      <c r="B4001" s="19"/>
      <c r="C4001" s="19"/>
      <c r="D4001" s="19"/>
      <c r="E4001" s="22"/>
      <c r="F4001" s="19"/>
      <c r="G4001" s="26" t="str">
        <f aca="false">IF(D4001="","",IFERROR(VALUE(LEFT(D4001,FIND(" |",D4001&amp;" |")-1)),"?"))</f>
        <v/>
      </c>
      <c r="H4001" s="27" t="str">
        <f aca="false">IF(G4001="","",IF(G4001="?","⚠ pub inconnue",IFERROR(INDEX(Pubs!$B$2:$B$3001,MATCH(G4001,Pubs!$A$2:$A$3001,0))&amp;"","⚠ pub inconnue")))</f>
        <v/>
      </c>
      <c r="I4001" s="27" t="str">
        <f aca="false">IF(OR(G4001="",G4001="?"),"",IFERROR(INDEX(Pubs!$C$2:$C$3001,MATCH(G4001,Pubs!$A$2:$A$3001,0))&amp;"",""))</f>
        <v/>
      </c>
      <c r="J4001" s="27" t="str">
        <f aca="false">IF(OR(G4001="",G4001="?"),"",IFERROR(INDEX(Pubs!$G$2:$G$3001,MATCH(G4001,Pubs!$A$2:$A$3001,0))&amp;"",""))</f>
        <v/>
      </c>
      <c r="K4001" s="28" t="str">
        <f aca="false">IF(OR(G4001="",G4001="?"),"",IFERROR(INDEX(Pubs!$E$2:$E$3001,MATCH(G4001,Pubs!$A$2:$A$3001,0)),""))</f>
        <v/>
      </c>
      <c r="L4001" s="29" t="str">
        <f aca="false">IF(A4001="","",IFERROR(1/(1/INDEX(Numéros!$C$2:$C$3001,MATCH(A4001&amp;"|"&amp;B4001,Numéros!$F$2:$F$3001,0))),""))</f>
        <v/>
      </c>
      <c r="M4001" s="27" t="str">
        <f aca="false">IF(OR(G4001="",G4001="?"),"",IFERROR(INDEX(Pubs!$D$2:$D$3001,MATCH(G4001,Pubs!$A$2:$A$3001,0))&amp;"",""))</f>
        <v/>
      </c>
      <c r="N4001" s="27" t="n">
        <f aca="false">N(N4000)+IF(AND(A4001&lt;&gt;"",OR(Recherche!$C$4="",A4001=Recherche!$C$4),OR(Recherche!$C$5="",B4001&amp;""=Recherche!$C$5&amp;""),OR(Recherche!$C$6="",IFERROR(YEAR(L4001),0)=Recherche!$C$6),OR(Recherche!$C$7="",ISNUMBER(SEARCH(Recherche!$C$7,H4001))),OR(Recherche!$C$8="",J4001=Recherche!$C$8),OR(Recherche!$C$9="",I4001=Recherche!$C$9),OR(Recherche!$C$10="",G4001&amp;""=Recherche!$C$10&amp;""),OR(Recherche!$C$11="",E4001=Recherche!$C$11),OR(Recherche!$C$12="",ISNUMBER(SEARCH(Recherche!$C$12,M4001&amp;" "&amp;F4001)))),1,0)</f>
        <v>8</v>
      </c>
    </row>
    <row r="4002" customFormat="false" ht="15" hidden="false" customHeight="false" outlineLevel="0" collapsed="false">
      <c r="A4002" s="19"/>
      <c r="B4002" s="19"/>
      <c r="C4002" s="19"/>
      <c r="D4002" s="19"/>
      <c r="E4002" s="22"/>
      <c r="F4002" s="19"/>
      <c r="G4002" s="26" t="str">
        <f aca="false">IF(D4002="","",IFERROR(VALUE(LEFT(D4002,FIND(" |",D4002&amp;" |")-1)),"?"))</f>
        <v/>
      </c>
      <c r="H4002" s="27" t="str">
        <f aca="false">IF(G4002="","",IF(G4002="?","⚠ pub inconnue",IFERROR(INDEX(Pubs!$B$2:$B$3001,MATCH(G4002,Pubs!$A$2:$A$3001,0))&amp;"","⚠ pub inconnue")))</f>
        <v/>
      </c>
      <c r="I4002" s="27" t="str">
        <f aca="false">IF(OR(G4002="",G4002="?"),"",IFERROR(INDEX(Pubs!$C$2:$C$3001,MATCH(G4002,Pubs!$A$2:$A$3001,0))&amp;"",""))</f>
        <v/>
      </c>
      <c r="J4002" s="27" t="str">
        <f aca="false">IF(OR(G4002="",G4002="?"),"",IFERROR(INDEX(Pubs!$G$2:$G$3001,MATCH(G4002,Pubs!$A$2:$A$3001,0))&amp;"",""))</f>
        <v/>
      </c>
      <c r="K4002" s="28" t="str">
        <f aca="false">IF(OR(G4002="",G4002="?"),"",IFERROR(INDEX(Pubs!$E$2:$E$3001,MATCH(G4002,Pubs!$A$2:$A$3001,0)),""))</f>
        <v/>
      </c>
      <c r="L4002" s="29" t="str">
        <f aca="false">IF(A4002="","",IFERROR(1/(1/INDEX(Numéros!$C$2:$C$3001,MATCH(A4002&amp;"|"&amp;B4002,Numéros!$F$2:$F$3001,0))),""))</f>
        <v/>
      </c>
      <c r="M4002" s="27" t="str">
        <f aca="false">IF(OR(G4002="",G4002="?"),"",IFERROR(INDEX(Pubs!$D$2:$D$3001,MATCH(G4002,Pubs!$A$2:$A$3001,0))&amp;"",""))</f>
        <v/>
      </c>
      <c r="N4002" s="27" t="n">
        <f aca="false">N(N4001)+IF(AND(A4002&lt;&gt;"",OR(Recherche!$C$4="",A4002=Recherche!$C$4),OR(Recherche!$C$5="",B4002&amp;""=Recherche!$C$5&amp;""),OR(Recherche!$C$6="",IFERROR(YEAR(L4002),0)=Recherche!$C$6),OR(Recherche!$C$7="",ISNUMBER(SEARCH(Recherche!$C$7,H4002))),OR(Recherche!$C$8="",J4002=Recherche!$C$8),OR(Recherche!$C$9="",I4002=Recherche!$C$9),OR(Recherche!$C$10="",G4002&amp;""=Recherche!$C$10&amp;""),OR(Recherche!$C$11="",E4002=Recherche!$C$11),OR(Recherche!$C$12="",ISNUMBER(SEARCH(Recherche!$C$12,M4002&amp;" "&amp;F4002)))),1,0)</f>
        <v>8</v>
      </c>
    </row>
    <row r="4003" customFormat="false" ht="15" hidden="false" customHeight="false" outlineLevel="0" collapsed="false">
      <c r="A4003" s="19"/>
      <c r="B4003" s="19"/>
      <c r="C4003" s="19"/>
      <c r="D4003" s="19"/>
      <c r="E4003" s="22"/>
      <c r="F4003" s="19"/>
      <c r="G4003" s="26" t="str">
        <f aca="false">IF(D4003="","",IFERROR(VALUE(LEFT(D4003,FIND(" |",D4003&amp;" |")-1)),"?"))</f>
        <v/>
      </c>
      <c r="H4003" s="27" t="str">
        <f aca="false">IF(G4003="","",IF(G4003="?","⚠ pub inconnue",IFERROR(INDEX(Pubs!$B$2:$B$3001,MATCH(G4003,Pubs!$A$2:$A$3001,0))&amp;"","⚠ pub inconnue")))</f>
        <v/>
      </c>
      <c r="I4003" s="27" t="str">
        <f aca="false">IF(OR(G4003="",G4003="?"),"",IFERROR(INDEX(Pubs!$C$2:$C$3001,MATCH(G4003,Pubs!$A$2:$A$3001,0))&amp;"",""))</f>
        <v/>
      </c>
      <c r="J4003" s="27" t="str">
        <f aca="false">IF(OR(G4003="",G4003="?"),"",IFERROR(INDEX(Pubs!$G$2:$G$3001,MATCH(G4003,Pubs!$A$2:$A$3001,0))&amp;"",""))</f>
        <v/>
      </c>
      <c r="K4003" s="28" t="str">
        <f aca="false">IF(OR(G4003="",G4003="?"),"",IFERROR(INDEX(Pubs!$E$2:$E$3001,MATCH(G4003,Pubs!$A$2:$A$3001,0)),""))</f>
        <v/>
      </c>
      <c r="L4003" s="29" t="str">
        <f aca="false">IF(A4003="","",IFERROR(1/(1/INDEX(Numéros!$C$2:$C$3001,MATCH(A4003&amp;"|"&amp;B4003,Numéros!$F$2:$F$3001,0))),""))</f>
        <v/>
      </c>
      <c r="M4003" s="27" t="str">
        <f aca="false">IF(OR(G4003="",G4003="?"),"",IFERROR(INDEX(Pubs!$D$2:$D$3001,MATCH(G4003,Pubs!$A$2:$A$3001,0))&amp;"",""))</f>
        <v/>
      </c>
      <c r="N4003" s="27" t="n">
        <f aca="false">N(N4002)+IF(AND(A4003&lt;&gt;"",OR(Recherche!$C$4="",A4003=Recherche!$C$4),OR(Recherche!$C$5="",B4003&amp;""=Recherche!$C$5&amp;""),OR(Recherche!$C$6="",IFERROR(YEAR(L4003),0)=Recherche!$C$6),OR(Recherche!$C$7="",ISNUMBER(SEARCH(Recherche!$C$7,H4003))),OR(Recherche!$C$8="",J4003=Recherche!$C$8),OR(Recherche!$C$9="",I4003=Recherche!$C$9),OR(Recherche!$C$10="",G4003&amp;""=Recherche!$C$10&amp;""),OR(Recherche!$C$11="",E4003=Recherche!$C$11),OR(Recherche!$C$12="",ISNUMBER(SEARCH(Recherche!$C$12,M4003&amp;" "&amp;F4003)))),1,0)</f>
        <v>8</v>
      </c>
    </row>
    <row r="4004" customFormat="false" ht="15" hidden="false" customHeight="false" outlineLevel="0" collapsed="false">
      <c r="A4004" s="19"/>
      <c r="B4004" s="19"/>
      <c r="C4004" s="19"/>
      <c r="D4004" s="19"/>
      <c r="E4004" s="22"/>
      <c r="F4004" s="19"/>
      <c r="G4004" s="26" t="str">
        <f aca="false">IF(D4004="","",IFERROR(VALUE(LEFT(D4004,FIND(" |",D4004&amp;" |")-1)),"?"))</f>
        <v/>
      </c>
      <c r="H4004" s="27" t="str">
        <f aca="false">IF(G4004="","",IF(G4004="?","⚠ pub inconnue",IFERROR(INDEX(Pubs!$B$2:$B$3001,MATCH(G4004,Pubs!$A$2:$A$3001,0))&amp;"","⚠ pub inconnue")))</f>
        <v/>
      </c>
      <c r="I4004" s="27" t="str">
        <f aca="false">IF(OR(G4004="",G4004="?"),"",IFERROR(INDEX(Pubs!$C$2:$C$3001,MATCH(G4004,Pubs!$A$2:$A$3001,0))&amp;"",""))</f>
        <v/>
      </c>
      <c r="J4004" s="27" t="str">
        <f aca="false">IF(OR(G4004="",G4004="?"),"",IFERROR(INDEX(Pubs!$G$2:$G$3001,MATCH(G4004,Pubs!$A$2:$A$3001,0))&amp;"",""))</f>
        <v/>
      </c>
      <c r="K4004" s="28" t="str">
        <f aca="false">IF(OR(G4004="",G4004="?"),"",IFERROR(INDEX(Pubs!$E$2:$E$3001,MATCH(G4004,Pubs!$A$2:$A$3001,0)),""))</f>
        <v/>
      </c>
      <c r="L4004" s="29" t="str">
        <f aca="false">IF(A4004="","",IFERROR(1/(1/INDEX(Numéros!$C$2:$C$3001,MATCH(A4004&amp;"|"&amp;B4004,Numéros!$F$2:$F$3001,0))),""))</f>
        <v/>
      </c>
      <c r="M4004" s="27" t="str">
        <f aca="false">IF(OR(G4004="",G4004="?"),"",IFERROR(INDEX(Pubs!$D$2:$D$3001,MATCH(G4004,Pubs!$A$2:$A$3001,0))&amp;"",""))</f>
        <v/>
      </c>
      <c r="N4004" s="27" t="n">
        <f aca="false">N(N4003)+IF(AND(A4004&lt;&gt;"",OR(Recherche!$C$4="",A4004=Recherche!$C$4),OR(Recherche!$C$5="",B4004&amp;""=Recherche!$C$5&amp;""),OR(Recherche!$C$6="",IFERROR(YEAR(L4004),0)=Recherche!$C$6),OR(Recherche!$C$7="",ISNUMBER(SEARCH(Recherche!$C$7,H4004))),OR(Recherche!$C$8="",J4004=Recherche!$C$8),OR(Recherche!$C$9="",I4004=Recherche!$C$9),OR(Recherche!$C$10="",G4004&amp;""=Recherche!$C$10&amp;""),OR(Recherche!$C$11="",E4004=Recherche!$C$11),OR(Recherche!$C$12="",ISNUMBER(SEARCH(Recherche!$C$12,M4004&amp;" "&amp;F4004)))),1,0)</f>
        <v>8</v>
      </c>
    </row>
    <row r="4005" customFormat="false" ht="15" hidden="false" customHeight="false" outlineLevel="0" collapsed="false">
      <c r="A4005" s="19"/>
      <c r="B4005" s="19"/>
      <c r="C4005" s="19"/>
      <c r="D4005" s="19"/>
      <c r="E4005" s="22"/>
      <c r="F4005" s="19"/>
      <c r="G4005" s="26" t="str">
        <f aca="false">IF(D4005="","",IFERROR(VALUE(LEFT(D4005,FIND(" |",D4005&amp;" |")-1)),"?"))</f>
        <v/>
      </c>
      <c r="H4005" s="27" t="str">
        <f aca="false">IF(G4005="","",IF(G4005="?","⚠ pub inconnue",IFERROR(INDEX(Pubs!$B$2:$B$3001,MATCH(G4005,Pubs!$A$2:$A$3001,0))&amp;"","⚠ pub inconnue")))</f>
        <v/>
      </c>
      <c r="I4005" s="27" t="str">
        <f aca="false">IF(OR(G4005="",G4005="?"),"",IFERROR(INDEX(Pubs!$C$2:$C$3001,MATCH(G4005,Pubs!$A$2:$A$3001,0))&amp;"",""))</f>
        <v/>
      </c>
      <c r="J4005" s="27" t="str">
        <f aca="false">IF(OR(G4005="",G4005="?"),"",IFERROR(INDEX(Pubs!$G$2:$G$3001,MATCH(G4005,Pubs!$A$2:$A$3001,0))&amp;"",""))</f>
        <v/>
      </c>
      <c r="K4005" s="28" t="str">
        <f aca="false">IF(OR(G4005="",G4005="?"),"",IFERROR(INDEX(Pubs!$E$2:$E$3001,MATCH(G4005,Pubs!$A$2:$A$3001,0)),""))</f>
        <v/>
      </c>
      <c r="L4005" s="29" t="str">
        <f aca="false">IF(A4005="","",IFERROR(1/(1/INDEX(Numéros!$C$2:$C$3001,MATCH(A4005&amp;"|"&amp;B4005,Numéros!$F$2:$F$3001,0))),""))</f>
        <v/>
      </c>
      <c r="M4005" s="27" t="str">
        <f aca="false">IF(OR(G4005="",G4005="?"),"",IFERROR(INDEX(Pubs!$D$2:$D$3001,MATCH(G4005,Pubs!$A$2:$A$3001,0))&amp;"",""))</f>
        <v/>
      </c>
      <c r="N4005" s="27" t="n">
        <f aca="false">N(N4004)+IF(AND(A4005&lt;&gt;"",OR(Recherche!$C$4="",A4005=Recherche!$C$4),OR(Recherche!$C$5="",B4005&amp;""=Recherche!$C$5&amp;""),OR(Recherche!$C$6="",IFERROR(YEAR(L4005),0)=Recherche!$C$6),OR(Recherche!$C$7="",ISNUMBER(SEARCH(Recherche!$C$7,H4005))),OR(Recherche!$C$8="",J4005=Recherche!$C$8),OR(Recherche!$C$9="",I4005=Recherche!$C$9),OR(Recherche!$C$10="",G4005&amp;""=Recherche!$C$10&amp;""),OR(Recherche!$C$11="",E4005=Recherche!$C$11),OR(Recherche!$C$12="",ISNUMBER(SEARCH(Recherche!$C$12,M4005&amp;" "&amp;F4005)))),1,0)</f>
        <v>8</v>
      </c>
    </row>
    <row r="4006" customFormat="false" ht="15" hidden="false" customHeight="false" outlineLevel="0" collapsed="false">
      <c r="A4006" s="19"/>
      <c r="B4006" s="19"/>
      <c r="C4006" s="19"/>
      <c r="D4006" s="19"/>
      <c r="E4006" s="22"/>
      <c r="F4006" s="19"/>
      <c r="G4006" s="26" t="str">
        <f aca="false">IF(D4006="","",IFERROR(VALUE(LEFT(D4006,FIND(" |",D4006&amp;" |")-1)),"?"))</f>
        <v/>
      </c>
      <c r="H4006" s="27" t="str">
        <f aca="false">IF(G4006="","",IF(G4006="?","⚠ pub inconnue",IFERROR(INDEX(Pubs!$B$2:$B$3001,MATCH(G4006,Pubs!$A$2:$A$3001,0))&amp;"","⚠ pub inconnue")))</f>
        <v/>
      </c>
      <c r="I4006" s="27" t="str">
        <f aca="false">IF(OR(G4006="",G4006="?"),"",IFERROR(INDEX(Pubs!$C$2:$C$3001,MATCH(G4006,Pubs!$A$2:$A$3001,0))&amp;"",""))</f>
        <v/>
      </c>
      <c r="J4006" s="27" t="str">
        <f aca="false">IF(OR(G4006="",G4006="?"),"",IFERROR(INDEX(Pubs!$G$2:$G$3001,MATCH(G4006,Pubs!$A$2:$A$3001,0))&amp;"",""))</f>
        <v/>
      </c>
      <c r="K4006" s="28" t="str">
        <f aca="false">IF(OR(G4006="",G4006="?"),"",IFERROR(INDEX(Pubs!$E$2:$E$3001,MATCH(G4006,Pubs!$A$2:$A$3001,0)),""))</f>
        <v/>
      </c>
      <c r="L4006" s="29" t="str">
        <f aca="false">IF(A4006="","",IFERROR(1/(1/INDEX(Numéros!$C$2:$C$3001,MATCH(A4006&amp;"|"&amp;B4006,Numéros!$F$2:$F$3001,0))),""))</f>
        <v/>
      </c>
      <c r="M4006" s="27" t="str">
        <f aca="false">IF(OR(G4006="",G4006="?"),"",IFERROR(INDEX(Pubs!$D$2:$D$3001,MATCH(G4006,Pubs!$A$2:$A$3001,0))&amp;"",""))</f>
        <v/>
      </c>
      <c r="N4006" s="27" t="n">
        <f aca="false">N(N4005)+IF(AND(A4006&lt;&gt;"",OR(Recherche!$C$4="",A4006=Recherche!$C$4),OR(Recherche!$C$5="",B4006&amp;""=Recherche!$C$5&amp;""),OR(Recherche!$C$6="",IFERROR(YEAR(L4006),0)=Recherche!$C$6),OR(Recherche!$C$7="",ISNUMBER(SEARCH(Recherche!$C$7,H4006))),OR(Recherche!$C$8="",J4006=Recherche!$C$8),OR(Recherche!$C$9="",I4006=Recherche!$C$9),OR(Recherche!$C$10="",G4006&amp;""=Recherche!$C$10&amp;""),OR(Recherche!$C$11="",E4006=Recherche!$C$11),OR(Recherche!$C$12="",ISNUMBER(SEARCH(Recherche!$C$12,M4006&amp;" "&amp;F4006)))),1,0)</f>
        <v>8</v>
      </c>
    </row>
    <row r="4007" customFormat="false" ht="15" hidden="false" customHeight="false" outlineLevel="0" collapsed="false">
      <c r="A4007" s="19"/>
      <c r="B4007" s="19"/>
      <c r="C4007" s="19"/>
      <c r="D4007" s="19"/>
      <c r="E4007" s="22"/>
      <c r="F4007" s="19"/>
      <c r="G4007" s="26" t="str">
        <f aca="false">IF(D4007="","",IFERROR(VALUE(LEFT(D4007,FIND(" |",D4007&amp;" |")-1)),"?"))</f>
        <v/>
      </c>
      <c r="H4007" s="27" t="str">
        <f aca="false">IF(G4007="","",IF(G4007="?","⚠ pub inconnue",IFERROR(INDEX(Pubs!$B$2:$B$3001,MATCH(G4007,Pubs!$A$2:$A$3001,0))&amp;"","⚠ pub inconnue")))</f>
        <v/>
      </c>
      <c r="I4007" s="27" t="str">
        <f aca="false">IF(OR(G4007="",G4007="?"),"",IFERROR(INDEX(Pubs!$C$2:$C$3001,MATCH(G4007,Pubs!$A$2:$A$3001,0))&amp;"",""))</f>
        <v/>
      </c>
      <c r="J4007" s="27" t="str">
        <f aca="false">IF(OR(G4007="",G4007="?"),"",IFERROR(INDEX(Pubs!$G$2:$G$3001,MATCH(G4007,Pubs!$A$2:$A$3001,0))&amp;"",""))</f>
        <v/>
      </c>
      <c r="K4007" s="28" t="str">
        <f aca="false">IF(OR(G4007="",G4007="?"),"",IFERROR(INDEX(Pubs!$E$2:$E$3001,MATCH(G4007,Pubs!$A$2:$A$3001,0)),""))</f>
        <v/>
      </c>
      <c r="L4007" s="29" t="str">
        <f aca="false">IF(A4007="","",IFERROR(1/(1/INDEX(Numéros!$C$2:$C$3001,MATCH(A4007&amp;"|"&amp;B4007,Numéros!$F$2:$F$3001,0))),""))</f>
        <v/>
      </c>
      <c r="M4007" s="27" t="str">
        <f aca="false">IF(OR(G4007="",G4007="?"),"",IFERROR(INDEX(Pubs!$D$2:$D$3001,MATCH(G4007,Pubs!$A$2:$A$3001,0))&amp;"",""))</f>
        <v/>
      </c>
      <c r="N4007" s="27" t="n">
        <f aca="false">N(N4006)+IF(AND(A4007&lt;&gt;"",OR(Recherche!$C$4="",A4007=Recherche!$C$4),OR(Recherche!$C$5="",B4007&amp;""=Recherche!$C$5&amp;""),OR(Recherche!$C$6="",IFERROR(YEAR(L4007),0)=Recherche!$C$6),OR(Recherche!$C$7="",ISNUMBER(SEARCH(Recherche!$C$7,H4007))),OR(Recherche!$C$8="",J4007=Recherche!$C$8),OR(Recherche!$C$9="",I4007=Recherche!$C$9),OR(Recherche!$C$10="",G4007&amp;""=Recherche!$C$10&amp;""),OR(Recherche!$C$11="",E4007=Recherche!$C$11),OR(Recherche!$C$12="",ISNUMBER(SEARCH(Recherche!$C$12,M4007&amp;" "&amp;F4007)))),1,0)</f>
        <v>8</v>
      </c>
    </row>
    <row r="4008" customFormat="false" ht="15" hidden="false" customHeight="false" outlineLevel="0" collapsed="false">
      <c r="A4008" s="19"/>
      <c r="B4008" s="19"/>
      <c r="C4008" s="19"/>
      <c r="D4008" s="19"/>
      <c r="E4008" s="22"/>
      <c r="F4008" s="19"/>
      <c r="G4008" s="26" t="str">
        <f aca="false">IF(D4008="","",IFERROR(VALUE(LEFT(D4008,FIND(" |",D4008&amp;" |")-1)),"?"))</f>
        <v/>
      </c>
      <c r="H4008" s="27" t="str">
        <f aca="false">IF(G4008="","",IF(G4008="?","⚠ pub inconnue",IFERROR(INDEX(Pubs!$B$2:$B$3001,MATCH(G4008,Pubs!$A$2:$A$3001,0))&amp;"","⚠ pub inconnue")))</f>
        <v/>
      </c>
      <c r="I4008" s="27" t="str">
        <f aca="false">IF(OR(G4008="",G4008="?"),"",IFERROR(INDEX(Pubs!$C$2:$C$3001,MATCH(G4008,Pubs!$A$2:$A$3001,0))&amp;"",""))</f>
        <v/>
      </c>
      <c r="J4008" s="27" t="str">
        <f aca="false">IF(OR(G4008="",G4008="?"),"",IFERROR(INDEX(Pubs!$G$2:$G$3001,MATCH(G4008,Pubs!$A$2:$A$3001,0))&amp;"",""))</f>
        <v/>
      </c>
      <c r="K4008" s="28" t="str">
        <f aca="false">IF(OR(G4008="",G4008="?"),"",IFERROR(INDEX(Pubs!$E$2:$E$3001,MATCH(G4008,Pubs!$A$2:$A$3001,0)),""))</f>
        <v/>
      </c>
      <c r="L4008" s="29" t="str">
        <f aca="false">IF(A4008="","",IFERROR(1/(1/INDEX(Numéros!$C$2:$C$3001,MATCH(A4008&amp;"|"&amp;B4008,Numéros!$F$2:$F$3001,0))),""))</f>
        <v/>
      </c>
      <c r="M4008" s="27" t="str">
        <f aca="false">IF(OR(G4008="",G4008="?"),"",IFERROR(INDEX(Pubs!$D$2:$D$3001,MATCH(G4008,Pubs!$A$2:$A$3001,0))&amp;"",""))</f>
        <v/>
      </c>
      <c r="N4008" s="27" t="n">
        <f aca="false">N(N4007)+IF(AND(A4008&lt;&gt;"",OR(Recherche!$C$4="",A4008=Recherche!$C$4),OR(Recherche!$C$5="",B4008&amp;""=Recherche!$C$5&amp;""),OR(Recherche!$C$6="",IFERROR(YEAR(L4008),0)=Recherche!$C$6),OR(Recherche!$C$7="",ISNUMBER(SEARCH(Recherche!$C$7,H4008))),OR(Recherche!$C$8="",J4008=Recherche!$C$8),OR(Recherche!$C$9="",I4008=Recherche!$C$9),OR(Recherche!$C$10="",G4008&amp;""=Recherche!$C$10&amp;""),OR(Recherche!$C$11="",E4008=Recherche!$C$11),OR(Recherche!$C$12="",ISNUMBER(SEARCH(Recherche!$C$12,M4008&amp;" "&amp;F4008)))),1,0)</f>
        <v>8</v>
      </c>
    </row>
    <row r="4009" customFormat="false" ht="15" hidden="false" customHeight="false" outlineLevel="0" collapsed="false">
      <c r="A4009" s="19"/>
      <c r="B4009" s="19"/>
      <c r="C4009" s="19"/>
      <c r="D4009" s="19"/>
      <c r="E4009" s="22"/>
      <c r="F4009" s="19"/>
      <c r="G4009" s="26" t="str">
        <f aca="false">IF(D4009="","",IFERROR(VALUE(LEFT(D4009,FIND(" |",D4009&amp;" |")-1)),"?"))</f>
        <v/>
      </c>
      <c r="H4009" s="27" t="str">
        <f aca="false">IF(G4009="","",IF(G4009="?","⚠ pub inconnue",IFERROR(INDEX(Pubs!$B$2:$B$3001,MATCH(G4009,Pubs!$A$2:$A$3001,0))&amp;"","⚠ pub inconnue")))</f>
        <v/>
      </c>
      <c r="I4009" s="27" t="str">
        <f aca="false">IF(OR(G4009="",G4009="?"),"",IFERROR(INDEX(Pubs!$C$2:$C$3001,MATCH(G4009,Pubs!$A$2:$A$3001,0))&amp;"",""))</f>
        <v/>
      </c>
      <c r="J4009" s="27" t="str">
        <f aca="false">IF(OR(G4009="",G4009="?"),"",IFERROR(INDEX(Pubs!$G$2:$G$3001,MATCH(G4009,Pubs!$A$2:$A$3001,0))&amp;"",""))</f>
        <v/>
      </c>
      <c r="K4009" s="28" t="str">
        <f aca="false">IF(OR(G4009="",G4009="?"),"",IFERROR(INDEX(Pubs!$E$2:$E$3001,MATCH(G4009,Pubs!$A$2:$A$3001,0)),""))</f>
        <v/>
      </c>
      <c r="L4009" s="29" t="str">
        <f aca="false">IF(A4009="","",IFERROR(1/(1/INDEX(Numéros!$C$2:$C$3001,MATCH(A4009&amp;"|"&amp;B4009,Numéros!$F$2:$F$3001,0))),""))</f>
        <v/>
      </c>
      <c r="M4009" s="27" t="str">
        <f aca="false">IF(OR(G4009="",G4009="?"),"",IFERROR(INDEX(Pubs!$D$2:$D$3001,MATCH(G4009,Pubs!$A$2:$A$3001,0))&amp;"",""))</f>
        <v/>
      </c>
      <c r="N4009" s="27" t="n">
        <f aca="false">N(N4008)+IF(AND(A4009&lt;&gt;"",OR(Recherche!$C$4="",A4009=Recherche!$C$4),OR(Recherche!$C$5="",B4009&amp;""=Recherche!$C$5&amp;""),OR(Recherche!$C$6="",IFERROR(YEAR(L4009),0)=Recherche!$C$6),OR(Recherche!$C$7="",ISNUMBER(SEARCH(Recherche!$C$7,H4009))),OR(Recherche!$C$8="",J4009=Recherche!$C$8),OR(Recherche!$C$9="",I4009=Recherche!$C$9),OR(Recherche!$C$10="",G4009&amp;""=Recherche!$C$10&amp;""),OR(Recherche!$C$11="",E4009=Recherche!$C$11),OR(Recherche!$C$12="",ISNUMBER(SEARCH(Recherche!$C$12,M4009&amp;" "&amp;F4009)))),1,0)</f>
        <v>8</v>
      </c>
    </row>
    <row r="4010" customFormat="false" ht="15" hidden="false" customHeight="false" outlineLevel="0" collapsed="false">
      <c r="A4010" s="19"/>
      <c r="B4010" s="19"/>
      <c r="C4010" s="19"/>
      <c r="D4010" s="19"/>
      <c r="E4010" s="22"/>
      <c r="F4010" s="19"/>
      <c r="G4010" s="26" t="str">
        <f aca="false">IF(D4010="","",IFERROR(VALUE(LEFT(D4010,FIND(" |",D4010&amp;" |")-1)),"?"))</f>
        <v/>
      </c>
      <c r="H4010" s="27" t="str">
        <f aca="false">IF(G4010="","",IF(G4010="?","⚠ pub inconnue",IFERROR(INDEX(Pubs!$B$2:$B$3001,MATCH(G4010,Pubs!$A$2:$A$3001,0))&amp;"","⚠ pub inconnue")))</f>
        <v/>
      </c>
      <c r="I4010" s="27" t="str">
        <f aca="false">IF(OR(G4010="",G4010="?"),"",IFERROR(INDEX(Pubs!$C$2:$C$3001,MATCH(G4010,Pubs!$A$2:$A$3001,0))&amp;"",""))</f>
        <v/>
      </c>
      <c r="J4010" s="27" t="str">
        <f aca="false">IF(OR(G4010="",G4010="?"),"",IFERROR(INDEX(Pubs!$G$2:$G$3001,MATCH(G4010,Pubs!$A$2:$A$3001,0))&amp;"",""))</f>
        <v/>
      </c>
      <c r="K4010" s="28" t="str">
        <f aca="false">IF(OR(G4010="",G4010="?"),"",IFERROR(INDEX(Pubs!$E$2:$E$3001,MATCH(G4010,Pubs!$A$2:$A$3001,0)),""))</f>
        <v/>
      </c>
      <c r="L4010" s="29" t="str">
        <f aca="false">IF(A4010="","",IFERROR(1/(1/INDEX(Numéros!$C$2:$C$3001,MATCH(A4010&amp;"|"&amp;B4010,Numéros!$F$2:$F$3001,0))),""))</f>
        <v/>
      </c>
      <c r="M4010" s="27" t="str">
        <f aca="false">IF(OR(G4010="",G4010="?"),"",IFERROR(INDEX(Pubs!$D$2:$D$3001,MATCH(G4010,Pubs!$A$2:$A$3001,0))&amp;"",""))</f>
        <v/>
      </c>
      <c r="N4010" s="27" t="n">
        <f aca="false">N(N4009)+IF(AND(A4010&lt;&gt;"",OR(Recherche!$C$4="",A4010=Recherche!$C$4),OR(Recherche!$C$5="",B4010&amp;""=Recherche!$C$5&amp;""),OR(Recherche!$C$6="",IFERROR(YEAR(L4010),0)=Recherche!$C$6),OR(Recherche!$C$7="",ISNUMBER(SEARCH(Recherche!$C$7,H4010))),OR(Recherche!$C$8="",J4010=Recherche!$C$8),OR(Recherche!$C$9="",I4010=Recherche!$C$9),OR(Recherche!$C$10="",G4010&amp;""=Recherche!$C$10&amp;""),OR(Recherche!$C$11="",E4010=Recherche!$C$11),OR(Recherche!$C$12="",ISNUMBER(SEARCH(Recherche!$C$12,M4010&amp;" "&amp;F4010)))),1,0)</f>
        <v>8</v>
      </c>
    </row>
    <row r="4011" customFormat="false" ht="15" hidden="false" customHeight="false" outlineLevel="0" collapsed="false">
      <c r="A4011" s="19"/>
      <c r="B4011" s="19"/>
      <c r="C4011" s="19"/>
      <c r="D4011" s="19"/>
      <c r="E4011" s="22"/>
      <c r="F4011" s="19"/>
      <c r="G4011" s="26" t="str">
        <f aca="false">IF(D4011="","",IFERROR(VALUE(LEFT(D4011,FIND(" |",D4011&amp;" |")-1)),"?"))</f>
        <v/>
      </c>
      <c r="H4011" s="27" t="str">
        <f aca="false">IF(G4011="","",IF(G4011="?","⚠ pub inconnue",IFERROR(INDEX(Pubs!$B$2:$B$3001,MATCH(G4011,Pubs!$A$2:$A$3001,0))&amp;"","⚠ pub inconnue")))</f>
        <v/>
      </c>
      <c r="I4011" s="27" t="str">
        <f aca="false">IF(OR(G4011="",G4011="?"),"",IFERROR(INDEX(Pubs!$C$2:$C$3001,MATCH(G4011,Pubs!$A$2:$A$3001,0))&amp;"",""))</f>
        <v/>
      </c>
      <c r="J4011" s="27" t="str">
        <f aca="false">IF(OR(G4011="",G4011="?"),"",IFERROR(INDEX(Pubs!$G$2:$G$3001,MATCH(G4011,Pubs!$A$2:$A$3001,0))&amp;"",""))</f>
        <v/>
      </c>
      <c r="K4011" s="28" t="str">
        <f aca="false">IF(OR(G4011="",G4011="?"),"",IFERROR(INDEX(Pubs!$E$2:$E$3001,MATCH(G4011,Pubs!$A$2:$A$3001,0)),""))</f>
        <v/>
      </c>
      <c r="L4011" s="29" t="str">
        <f aca="false">IF(A4011="","",IFERROR(1/(1/INDEX(Numéros!$C$2:$C$3001,MATCH(A4011&amp;"|"&amp;B4011,Numéros!$F$2:$F$3001,0))),""))</f>
        <v/>
      </c>
      <c r="M4011" s="27" t="str">
        <f aca="false">IF(OR(G4011="",G4011="?"),"",IFERROR(INDEX(Pubs!$D$2:$D$3001,MATCH(G4011,Pubs!$A$2:$A$3001,0))&amp;"",""))</f>
        <v/>
      </c>
      <c r="N4011" s="27" t="n">
        <f aca="false">N(N4010)+IF(AND(A4011&lt;&gt;"",OR(Recherche!$C$4="",A4011=Recherche!$C$4),OR(Recherche!$C$5="",B4011&amp;""=Recherche!$C$5&amp;""),OR(Recherche!$C$6="",IFERROR(YEAR(L4011),0)=Recherche!$C$6),OR(Recherche!$C$7="",ISNUMBER(SEARCH(Recherche!$C$7,H4011))),OR(Recherche!$C$8="",J4011=Recherche!$C$8),OR(Recherche!$C$9="",I4011=Recherche!$C$9),OR(Recherche!$C$10="",G4011&amp;""=Recherche!$C$10&amp;""),OR(Recherche!$C$11="",E4011=Recherche!$C$11),OR(Recherche!$C$12="",ISNUMBER(SEARCH(Recherche!$C$12,M4011&amp;" "&amp;F4011)))),1,0)</f>
        <v>8</v>
      </c>
    </row>
    <row r="4012" customFormat="false" ht="15" hidden="false" customHeight="false" outlineLevel="0" collapsed="false">
      <c r="A4012" s="19"/>
      <c r="B4012" s="19"/>
      <c r="C4012" s="19"/>
      <c r="D4012" s="19"/>
      <c r="E4012" s="22"/>
      <c r="F4012" s="19"/>
      <c r="G4012" s="26" t="str">
        <f aca="false">IF(D4012="","",IFERROR(VALUE(LEFT(D4012,FIND(" |",D4012&amp;" |")-1)),"?"))</f>
        <v/>
      </c>
      <c r="H4012" s="27" t="str">
        <f aca="false">IF(G4012="","",IF(G4012="?","⚠ pub inconnue",IFERROR(INDEX(Pubs!$B$2:$B$3001,MATCH(G4012,Pubs!$A$2:$A$3001,0))&amp;"","⚠ pub inconnue")))</f>
        <v/>
      </c>
      <c r="I4012" s="27" t="str">
        <f aca="false">IF(OR(G4012="",G4012="?"),"",IFERROR(INDEX(Pubs!$C$2:$C$3001,MATCH(G4012,Pubs!$A$2:$A$3001,0))&amp;"",""))</f>
        <v/>
      </c>
      <c r="J4012" s="27" t="str">
        <f aca="false">IF(OR(G4012="",G4012="?"),"",IFERROR(INDEX(Pubs!$G$2:$G$3001,MATCH(G4012,Pubs!$A$2:$A$3001,0))&amp;"",""))</f>
        <v/>
      </c>
      <c r="K4012" s="28" t="str">
        <f aca="false">IF(OR(G4012="",G4012="?"),"",IFERROR(INDEX(Pubs!$E$2:$E$3001,MATCH(G4012,Pubs!$A$2:$A$3001,0)),""))</f>
        <v/>
      </c>
      <c r="L4012" s="29" t="str">
        <f aca="false">IF(A4012="","",IFERROR(1/(1/INDEX(Numéros!$C$2:$C$3001,MATCH(A4012&amp;"|"&amp;B4012,Numéros!$F$2:$F$3001,0))),""))</f>
        <v/>
      </c>
      <c r="M4012" s="27" t="str">
        <f aca="false">IF(OR(G4012="",G4012="?"),"",IFERROR(INDEX(Pubs!$D$2:$D$3001,MATCH(G4012,Pubs!$A$2:$A$3001,0))&amp;"",""))</f>
        <v/>
      </c>
      <c r="N4012" s="27" t="n">
        <f aca="false">N(N4011)+IF(AND(A4012&lt;&gt;"",OR(Recherche!$C$4="",A4012=Recherche!$C$4),OR(Recherche!$C$5="",B4012&amp;""=Recherche!$C$5&amp;""),OR(Recherche!$C$6="",IFERROR(YEAR(L4012),0)=Recherche!$C$6),OR(Recherche!$C$7="",ISNUMBER(SEARCH(Recherche!$C$7,H4012))),OR(Recherche!$C$8="",J4012=Recherche!$C$8),OR(Recherche!$C$9="",I4012=Recherche!$C$9),OR(Recherche!$C$10="",G4012&amp;""=Recherche!$C$10&amp;""),OR(Recherche!$C$11="",E4012=Recherche!$C$11),OR(Recherche!$C$12="",ISNUMBER(SEARCH(Recherche!$C$12,M4012&amp;" "&amp;F4012)))),1,0)</f>
        <v>8</v>
      </c>
    </row>
    <row r="4013" customFormat="false" ht="15" hidden="false" customHeight="false" outlineLevel="0" collapsed="false">
      <c r="A4013" s="19"/>
      <c r="B4013" s="19"/>
      <c r="C4013" s="19"/>
      <c r="D4013" s="19"/>
      <c r="E4013" s="22"/>
      <c r="F4013" s="19"/>
      <c r="G4013" s="26" t="str">
        <f aca="false">IF(D4013="","",IFERROR(VALUE(LEFT(D4013,FIND(" |",D4013&amp;" |")-1)),"?"))</f>
        <v/>
      </c>
      <c r="H4013" s="27" t="str">
        <f aca="false">IF(G4013="","",IF(G4013="?","⚠ pub inconnue",IFERROR(INDEX(Pubs!$B$2:$B$3001,MATCH(G4013,Pubs!$A$2:$A$3001,0))&amp;"","⚠ pub inconnue")))</f>
        <v/>
      </c>
      <c r="I4013" s="27" t="str">
        <f aca="false">IF(OR(G4013="",G4013="?"),"",IFERROR(INDEX(Pubs!$C$2:$C$3001,MATCH(G4013,Pubs!$A$2:$A$3001,0))&amp;"",""))</f>
        <v/>
      </c>
      <c r="J4013" s="27" t="str">
        <f aca="false">IF(OR(G4013="",G4013="?"),"",IFERROR(INDEX(Pubs!$G$2:$G$3001,MATCH(G4013,Pubs!$A$2:$A$3001,0))&amp;"",""))</f>
        <v/>
      </c>
      <c r="K4013" s="28" t="str">
        <f aca="false">IF(OR(G4013="",G4013="?"),"",IFERROR(INDEX(Pubs!$E$2:$E$3001,MATCH(G4013,Pubs!$A$2:$A$3001,0)),""))</f>
        <v/>
      </c>
      <c r="L4013" s="29" t="str">
        <f aca="false">IF(A4013="","",IFERROR(1/(1/INDEX(Numéros!$C$2:$C$3001,MATCH(A4013&amp;"|"&amp;B4013,Numéros!$F$2:$F$3001,0))),""))</f>
        <v/>
      </c>
      <c r="M4013" s="27" t="str">
        <f aca="false">IF(OR(G4013="",G4013="?"),"",IFERROR(INDEX(Pubs!$D$2:$D$3001,MATCH(G4013,Pubs!$A$2:$A$3001,0))&amp;"",""))</f>
        <v/>
      </c>
      <c r="N4013" s="27" t="n">
        <f aca="false">N(N4012)+IF(AND(A4013&lt;&gt;"",OR(Recherche!$C$4="",A4013=Recherche!$C$4),OR(Recherche!$C$5="",B4013&amp;""=Recherche!$C$5&amp;""),OR(Recherche!$C$6="",IFERROR(YEAR(L4013),0)=Recherche!$C$6),OR(Recherche!$C$7="",ISNUMBER(SEARCH(Recherche!$C$7,H4013))),OR(Recherche!$C$8="",J4013=Recherche!$C$8),OR(Recherche!$C$9="",I4013=Recherche!$C$9),OR(Recherche!$C$10="",G4013&amp;""=Recherche!$C$10&amp;""),OR(Recherche!$C$11="",E4013=Recherche!$C$11),OR(Recherche!$C$12="",ISNUMBER(SEARCH(Recherche!$C$12,M4013&amp;" "&amp;F4013)))),1,0)</f>
        <v>8</v>
      </c>
    </row>
    <row r="4014" customFormat="false" ht="15" hidden="false" customHeight="false" outlineLevel="0" collapsed="false">
      <c r="A4014" s="19"/>
      <c r="B4014" s="19"/>
      <c r="C4014" s="19"/>
      <c r="D4014" s="19"/>
      <c r="E4014" s="22"/>
      <c r="F4014" s="19"/>
      <c r="G4014" s="26" t="str">
        <f aca="false">IF(D4014="","",IFERROR(VALUE(LEFT(D4014,FIND(" |",D4014&amp;" |")-1)),"?"))</f>
        <v/>
      </c>
      <c r="H4014" s="27" t="str">
        <f aca="false">IF(G4014="","",IF(G4014="?","⚠ pub inconnue",IFERROR(INDEX(Pubs!$B$2:$B$3001,MATCH(G4014,Pubs!$A$2:$A$3001,0))&amp;"","⚠ pub inconnue")))</f>
        <v/>
      </c>
      <c r="I4014" s="27" t="str">
        <f aca="false">IF(OR(G4014="",G4014="?"),"",IFERROR(INDEX(Pubs!$C$2:$C$3001,MATCH(G4014,Pubs!$A$2:$A$3001,0))&amp;"",""))</f>
        <v/>
      </c>
      <c r="J4014" s="27" t="str">
        <f aca="false">IF(OR(G4014="",G4014="?"),"",IFERROR(INDEX(Pubs!$G$2:$G$3001,MATCH(G4014,Pubs!$A$2:$A$3001,0))&amp;"",""))</f>
        <v/>
      </c>
      <c r="K4014" s="28" t="str">
        <f aca="false">IF(OR(G4014="",G4014="?"),"",IFERROR(INDEX(Pubs!$E$2:$E$3001,MATCH(G4014,Pubs!$A$2:$A$3001,0)),""))</f>
        <v/>
      </c>
      <c r="L4014" s="29" t="str">
        <f aca="false">IF(A4014="","",IFERROR(1/(1/INDEX(Numéros!$C$2:$C$3001,MATCH(A4014&amp;"|"&amp;B4014,Numéros!$F$2:$F$3001,0))),""))</f>
        <v/>
      </c>
      <c r="M4014" s="27" t="str">
        <f aca="false">IF(OR(G4014="",G4014="?"),"",IFERROR(INDEX(Pubs!$D$2:$D$3001,MATCH(G4014,Pubs!$A$2:$A$3001,0))&amp;"",""))</f>
        <v/>
      </c>
      <c r="N4014" s="27" t="n">
        <f aca="false">N(N4013)+IF(AND(A4014&lt;&gt;"",OR(Recherche!$C$4="",A4014=Recherche!$C$4),OR(Recherche!$C$5="",B4014&amp;""=Recherche!$C$5&amp;""),OR(Recherche!$C$6="",IFERROR(YEAR(L4014),0)=Recherche!$C$6),OR(Recherche!$C$7="",ISNUMBER(SEARCH(Recherche!$C$7,H4014))),OR(Recherche!$C$8="",J4014=Recherche!$C$8),OR(Recherche!$C$9="",I4014=Recherche!$C$9),OR(Recherche!$C$10="",G4014&amp;""=Recherche!$C$10&amp;""),OR(Recherche!$C$11="",E4014=Recherche!$C$11),OR(Recherche!$C$12="",ISNUMBER(SEARCH(Recherche!$C$12,M4014&amp;" "&amp;F4014)))),1,0)</f>
        <v>8</v>
      </c>
    </row>
    <row r="4015" customFormat="false" ht="15" hidden="false" customHeight="false" outlineLevel="0" collapsed="false">
      <c r="A4015" s="19"/>
      <c r="B4015" s="19"/>
      <c r="C4015" s="19"/>
      <c r="D4015" s="19"/>
      <c r="E4015" s="22"/>
      <c r="F4015" s="19"/>
      <c r="G4015" s="26" t="str">
        <f aca="false">IF(D4015="","",IFERROR(VALUE(LEFT(D4015,FIND(" |",D4015&amp;" |")-1)),"?"))</f>
        <v/>
      </c>
      <c r="H4015" s="27" t="str">
        <f aca="false">IF(G4015="","",IF(G4015="?","⚠ pub inconnue",IFERROR(INDEX(Pubs!$B$2:$B$3001,MATCH(G4015,Pubs!$A$2:$A$3001,0))&amp;"","⚠ pub inconnue")))</f>
        <v/>
      </c>
      <c r="I4015" s="27" t="str">
        <f aca="false">IF(OR(G4015="",G4015="?"),"",IFERROR(INDEX(Pubs!$C$2:$C$3001,MATCH(G4015,Pubs!$A$2:$A$3001,0))&amp;"",""))</f>
        <v/>
      </c>
      <c r="J4015" s="27" t="str">
        <f aca="false">IF(OR(G4015="",G4015="?"),"",IFERROR(INDEX(Pubs!$G$2:$G$3001,MATCH(G4015,Pubs!$A$2:$A$3001,0))&amp;"",""))</f>
        <v/>
      </c>
      <c r="K4015" s="28" t="str">
        <f aca="false">IF(OR(G4015="",G4015="?"),"",IFERROR(INDEX(Pubs!$E$2:$E$3001,MATCH(G4015,Pubs!$A$2:$A$3001,0)),""))</f>
        <v/>
      </c>
      <c r="L4015" s="29" t="str">
        <f aca="false">IF(A4015="","",IFERROR(1/(1/INDEX(Numéros!$C$2:$C$3001,MATCH(A4015&amp;"|"&amp;B4015,Numéros!$F$2:$F$3001,0))),""))</f>
        <v/>
      </c>
      <c r="M4015" s="27" t="str">
        <f aca="false">IF(OR(G4015="",G4015="?"),"",IFERROR(INDEX(Pubs!$D$2:$D$3001,MATCH(G4015,Pubs!$A$2:$A$3001,0))&amp;"",""))</f>
        <v/>
      </c>
      <c r="N4015" s="27" t="n">
        <f aca="false">N(N4014)+IF(AND(A4015&lt;&gt;"",OR(Recherche!$C$4="",A4015=Recherche!$C$4),OR(Recherche!$C$5="",B4015&amp;""=Recherche!$C$5&amp;""),OR(Recherche!$C$6="",IFERROR(YEAR(L4015),0)=Recherche!$C$6),OR(Recherche!$C$7="",ISNUMBER(SEARCH(Recherche!$C$7,H4015))),OR(Recherche!$C$8="",J4015=Recherche!$C$8),OR(Recherche!$C$9="",I4015=Recherche!$C$9),OR(Recherche!$C$10="",G4015&amp;""=Recherche!$C$10&amp;""),OR(Recherche!$C$11="",E4015=Recherche!$C$11),OR(Recherche!$C$12="",ISNUMBER(SEARCH(Recherche!$C$12,M4015&amp;" "&amp;F4015)))),1,0)</f>
        <v>8</v>
      </c>
    </row>
    <row r="4016" customFormat="false" ht="15" hidden="false" customHeight="false" outlineLevel="0" collapsed="false">
      <c r="A4016" s="19"/>
      <c r="B4016" s="19"/>
      <c r="C4016" s="19"/>
      <c r="D4016" s="19"/>
      <c r="E4016" s="22"/>
      <c r="F4016" s="19"/>
      <c r="G4016" s="26" t="str">
        <f aca="false">IF(D4016="","",IFERROR(VALUE(LEFT(D4016,FIND(" |",D4016&amp;" |")-1)),"?"))</f>
        <v/>
      </c>
      <c r="H4016" s="27" t="str">
        <f aca="false">IF(G4016="","",IF(G4016="?","⚠ pub inconnue",IFERROR(INDEX(Pubs!$B$2:$B$3001,MATCH(G4016,Pubs!$A$2:$A$3001,0))&amp;"","⚠ pub inconnue")))</f>
        <v/>
      </c>
      <c r="I4016" s="27" t="str">
        <f aca="false">IF(OR(G4016="",G4016="?"),"",IFERROR(INDEX(Pubs!$C$2:$C$3001,MATCH(G4016,Pubs!$A$2:$A$3001,0))&amp;"",""))</f>
        <v/>
      </c>
      <c r="J4016" s="27" t="str">
        <f aca="false">IF(OR(G4016="",G4016="?"),"",IFERROR(INDEX(Pubs!$G$2:$G$3001,MATCH(G4016,Pubs!$A$2:$A$3001,0))&amp;"",""))</f>
        <v/>
      </c>
      <c r="K4016" s="28" t="str">
        <f aca="false">IF(OR(G4016="",G4016="?"),"",IFERROR(INDEX(Pubs!$E$2:$E$3001,MATCH(G4016,Pubs!$A$2:$A$3001,0)),""))</f>
        <v/>
      </c>
      <c r="L4016" s="29" t="str">
        <f aca="false">IF(A4016="","",IFERROR(1/(1/INDEX(Numéros!$C$2:$C$3001,MATCH(A4016&amp;"|"&amp;B4016,Numéros!$F$2:$F$3001,0))),""))</f>
        <v/>
      </c>
      <c r="M4016" s="27" t="str">
        <f aca="false">IF(OR(G4016="",G4016="?"),"",IFERROR(INDEX(Pubs!$D$2:$D$3001,MATCH(G4016,Pubs!$A$2:$A$3001,0))&amp;"",""))</f>
        <v/>
      </c>
      <c r="N4016" s="27" t="n">
        <f aca="false">N(N4015)+IF(AND(A4016&lt;&gt;"",OR(Recherche!$C$4="",A4016=Recherche!$C$4),OR(Recherche!$C$5="",B4016&amp;""=Recherche!$C$5&amp;""),OR(Recherche!$C$6="",IFERROR(YEAR(L4016),0)=Recherche!$C$6),OR(Recherche!$C$7="",ISNUMBER(SEARCH(Recherche!$C$7,H4016))),OR(Recherche!$C$8="",J4016=Recherche!$C$8),OR(Recherche!$C$9="",I4016=Recherche!$C$9),OR(Recherche!$C$10="",G4016&amp;""=Recherche!$C$10&amp;""),OR(Recherche!$C$11="",E4016=Recherche!$C$11),OR(Recherche!$C$12="",ISNUMBER(SEARCH(Recherche!$C$12,M4016&amp;" "&amp;F4016)))),1,0)</f>
        <v>8</v>
      </c>
    </row>
    <row r="4017" customFormat="false" ht="15" hidden="false" customHeight="false" outlineLevel="0" collapsed="false">
      <c r="A4017" s="19"/>
      <c r="B4017" s="19"/>
      <c r="C4017" s="19"/>
      <c r="D4017" s="19"/>
      <c r="E4017" s="22"/>
      <c r="F4017" s="19"/>
      <c r="G4017" s="26" t="str">
        <f aca="false">IF(D4017="","",IFERROR(VALUE(LEFT(D4017,FIND(" |",D4017&amp;" |")-1)),"?"))</f>
        <v/>
      </c>
      <c r="H4017" s="27" t="str">
        <f aca="false">IF(G4017="","",IF(G4017="?","⚠ pub inconnue",IFERROR(INDEX(Pubs!$B$2:$B$3001,MATCH(G4017,Pubs!$A$2:$A$3001,0))&amp;"","⚠ pub inconnue")))</f>
        <v/>
      </c>
      <c r="I4017" s="27" t="str">
        <f aca="false">IF(OR(G4017="",G4017="?"),"",IFERROR(INDEX(Pubs!$C$2:$C$3001,MATCH(G4017,Pubs!$A$2:$A$3001,0))&amp;"",""))</f>
        <v/>
      </c>
      <c r="J4017" s="27" t="str">
        <f aca="false">IF(OR(G4017="",G4017="?"),"",IFERROR(INDEX(Pubs!$G$2:$G$3001,MATCH(G4017,Pubs!$A$2:$A$3001,0))&amp;"",""))</f>
        <v/>
      </c>
      <c r="K4017" s="28" t="str">
        <f aca="false">IF(OR(G4017="",G4017="?"),"",IFERROR(INDEX(Pubs!$E$2:$E$3001,MATCH(G4017,Pubs!$A$2:$A$3001,0)),""))</f>
        <v/>
      </c>
      <c r="L4017" s="29" t="str">
        <f aca="false">IF(A4017="","",IFERROR(1/(1/INDEX(Numéros!$C$2:$C$3001,MATCH(A4017&amp;"|"&amp;B4017,Numéros!$F$2:$F$3001,0))),""))</f>
        <v/>
      </c>
      <c r="M4017" s="27" t="str">
        <f aca="false">IF(OR(G4017="",G4017="?"),"",IFERROR(INDEX(Pubs!$D$2:$D$3001,MATCH(G4017,Pubs!$A$2:$A$3001,0))&amp;"",""))</f>
        <v/>
      </c>
      <c r="N4017" s="27" t="n">
        <f aca="false">N(N4016)+IF(AND(A4017&lt;&gt;"",OR(Recherche!$C$4="",A4017=Recherche!$C$4),OR(Recherche!$C$5="",B4017&amp;""=Recherche!$C$5&amp;""),OR(Recherche!$C$6="",IFERROR(YEAR(L4017),0)=Recherche!$C$6),OR(Recherche!$C$7="",ISNUMBER(SEARCH(Recherche!$C$7,H4017))),OR(Recherche!$C$8="",J4017=Recherche!$C$8),OR(Recherche!$C$9="",I4017=Recherche!$C$9),OR(Recherche!$C$10="",G4017&amp;""=Recherche!$C$10&amp;""),OR(Recherche!$C$11="",E4017=Recherche!$C$11),OR(Recherche!$C$12="",ISNUMBER(SEARCH(Recherche!$C$12,M4017&amp;" "&amp;F4017)))),1,0)</f>
        <v>8</v>
      </c>
    </row>
    <row r="4018" customFormat="false" ht="15" hidden="false" customHeight="false" outlineLevel="0" collapsed="false">
      <c r="A4018" s="19"/>
      <c r="B4018" s="19"/>
      <c r="C4018" s="19"/>
      <c r="D4018" s="19"/>
      <c r="E4018" s="22"/>
      <c r="F4018" s="19"/>
      <c r="G4018" s="26" t="str">
        <f aca="false">IF(D4018="","",IFERROR(VALUE(LEFT(D4018,FIND(" |",D4018&amp;" |")-1)),"?"))</f>
        <v/>
      </c>
      <c r="H4018" s="27" t="str">
        <f aca="false">IF(G4018="","",IF(G4018="?","⚠ pub inconnue",IFERROR(INDEX(Pubs!$B$2:$B$3001,MATCH(G4018,Pubs!$A$2:$A$3001,0))&amp;"","⚠ pub inconnue")))</f>
        <v/>
      </c>
      <c r="I4018" s="27" t="str">
        <f aca="false">IF(OR(G4018="",G4018="?"),"",IFERROR(INDEX(Pubs!$C$2:$C$3001,MATCH(G4018,Pubs!$A$2:$A$3001,0))&amp;"",""))</f>
        <v/>
      </c>
      <c r="J4018" s="27" t="str">
        <f aca="false">IF(OR(G4018="",G4018="?"),"",IFERROR(INDEX(Pubs!$G$2:$G$3001,MATCH(G4018,Pubs!$A$2:$A$3001,0))&amp;"",""))</f>
        <v/>
      </c>
      <c r="K4018" s="28" t="str">
        <f aca="false">IF(OR(G4018="",G4018="?"),"",IFERROR(INDEX(Pubs!$E$2:$E$3001,MATCH(G4018,Pubs!$A$2:$A$3001,0)),""))</f>
        <v/>
      </c>
      <c r="L4018" s="29" t="str">
        <f aca="false">IF(A4018="","",IFERROR(1/(1/INDEX(Numéros!$C$2:$C$3001,MATCH(A4018&amp;"|"&amp;B4018,Numéros!$F$2:$F$3001,0))),""))</f>
        <v/>
      </c>
      <c r="M4018" s="27" t="str">
        <f aca="false">IF(OR(G4018="",G4018="?"),"",IFERROR(INDEX(Pubs!$D$2:$D$3001,MATCH(G4018,Pubs!$A$2:$A$3001,0))&amp;"",""))</f>
        <v/>
      </c>
      <c r="N4018" s="27" t="n">
        <f aca="false">N(N4017)+IF(AND(A4018&lt;&gt;"",OR(Recherche!$C$4="",A4018=Recherche!$C$4),OR(Recherche!$C$5="",B4018&amp;""=Recherche!$C$5&amp;""),OR(Recherche!$C$6="",IFERROR(YEAR(L4018),0)=Recherche!$C$6),OR(Recherche!$C$7="",ISNUMBER(SEARCH(Recherche!$C$7,H4018))),OR(Recherche!$C$8="",J4018=Recherche!$C$8),OR(Recherche!$C$9="",I4018=Recherche!$C$9),OR(Recherche!$C$10="",G4018&amp;""=Recherche!$C$10&amp;""),OR(Recherche!$C$11="",E4018=Recherche!$C$11),OR(Recherche!$C$12="",ISNUMBER(SEARCH(Recherche!$C$12,M4018&amp;" "&amp;F4018)))),1,0)</f>
        <v>8</v>
      </c>
    </row>
    <row r="4019" customFormat="false" ht="15" hidden="false" customHeight="false" outlineLevel="0" collapsed="false">
      <c r="A4019" s="19"/>
      <c r="B4019" s="19"/>
      <c r="C4019" s="19"/>
      <c r="D4019" s="19"/>
      <c r="E4019" s="22"/>
      <c r="F4019" s="19"/>
      <c r="G4019" s="26" t="str">
        <f aca="false">IF(D4019="","",IFERROR(VALUE(LEFT(D4019,FIND(" |",D4019&amp;" |")-1)),"?"))</f>
        <v/>
      </c>
      <c r="H4019" s="27" t="str">
        <f aca="false">IF(G4019="","",IF(G4019="?","⚠ pub inconnue",IFERROR(INDEX(Pubs!$B$2:$B$3001,MATCH(G4019,Pubs!$A$2:$A$3001,0))&amp;"","⚠ pub inconnue")))</f>
        <v/>
      </c>
      <c r="I4019" s="27" t="str">
        <f aca="false">IF(OR(G4019="",G4019="?"),"",IFERROR(INDEX(Pubs!$C$2:$C$3001,MATCH(G4019,Pubs!$A$2:$A$3001,0))&amp;"",""))</f>
        <v/>
      </c>
      <c r="J4019" s="27" t="str">
        <f aca="false">IF(OR(G4019="",G4019="?"),"",IFERROR(INDEX(Pubs!$G$2:$G$3001,MATCH(G4019,Pubs!$A$2:$A$3001,0))&amp;"",""))</f>
        <v/>
      </c>
      <c r="K4019" s="28" t="str">
        <f aca="false">IF(OR(G4019="",G4019="?"),"",IFERROR(INDEX(Pubs!$E$2:$E$3001,MATCH(G4019,Pubs!$A$2:$A$3001,0)),""))</f>
        <v/>
      </c>
      <c r="L4019" s="29" t="str">
        <f aca="false">IF(A4019="","",IFERROR(1/(1/INDEX(Numéros!$C$2:$C$3001,MATCH(A4019&amp;"|"&amp;B4019,Numéros!$F$2:$F$3001,0))),""))</f>
        <v/>
      </c>
      <c r="M4019" s="27" t="str">
        <f aca="false">IF(OR(G4019="",G4019="?"),"",IFERROR(INDEX(Pubs!$D$2:$D$3001,MATCH(G4019,Pubs!$A$2:$A$3001,0))&amp;"",""))</f>
        <v/>
      </c>
      <c r="N4019" s="27" t="n">
        <f aca="false">N(N4018)+IF(AND(A4019&lt;&gt;"",OR(Recherche!$C$4="",A4019=Recherche!$C$4),OR(Recherche!$C$5="",B4019&amp;""=Recherche!$C$5&amp;""),OR(Recherche!$C$6="",IFERROR(YEAR(L4019),0)=Recherche!$C$6),OR(Recherche!$C$7="",ISNUMBER(SEARCH(Recherche!$C$7,H4019))),OR(Recherche!$C$8="",J4019=Recherche!$C$8),OR(Recherche!$C$9="",I4019=Recherche!$C$9),OR(Recherche!$C$10="",G4019&amp;""=Recherche!$C$10&amp;""),OR(Recherche!$C$11="",E4019=Recherche!$C$11),OR(Recherche!$C$12="",ISNUMBER(SEARCH(Recherche!$C$12,M4019&amp;" "&amp;F4019)))),1,0)</f>
        <v>8</v>
      </c>
    </row>
    <row r="4020" customFormat="false" ht="15" hidden="false" customHeight="false" outlineLevel="0" collapsed="false">
      <c r="A4020" s="19"/>
      <c r="B4020" s="19"/>
      <c r="C4020" s="19"/>
      <c r="D4020" s="19"/>
      <c r="E4020" s="22"/>
      <c r="F4020" s="19"/>
      <c r="G4020" s="26" t="str">
        <f aca="false">IF(D4020="","",IFERROR(VALUE(LEFT(D4020,FIND(" |",D4020&amp;" |")-1)),"?"))</f>
        <v/>
      </c>
      <c r="H4020" s="27" t="str">
        <f aca="false">IF(G4020="","",IF(G4020="?","⚠ pub inconnue",IFERROR(INDEX(Pubs!$B$2:$B$3001,MATCH(G4020,Pubs!$A$2:$A$3001,0))&amp;"","⚠ pub inconnue")))</f>
        <v/>
      </c>
      <c r="I4020" s="27" t="str">
        <f aca="false">IF(OR(G4020="",G4020="?"),"",IFERROR(INDEX(Pubs!$C$2:$C$3001,MATCH(G4020,Pubs!$A$2:$A$3001,0))&amp;"",""))</f>
        <v/>
      </c>
      <c r="J4020" s="27" t="str">
        <f aca="false">IF(OR(G4020="",G4020="?"),"",IFERROR(INDEX(Pubs!$G$2:$G$3001,MATCH(G4020,Pubs!$A$2:$A$3001,0))&amp;"",""))</f>
        <v/>
      </c>
      <c r="K4020" s="28" t="str">
        <f aca="false">IF(OR(G4020="",G4020="?"),"",IFERROR(INDEX(Pubs!$E$2:$E$3001,MATCH(G4020,Pubs!$A$2:$A$3001,0)),""))</f>
        <v/>
      </c>
      <c r="L4020" s="29" t="str">
        <f aca="false">IF(A4020="","",IFERROR(1/(1/INDEX(Numéros!$C$2:$C$3001,MATCH(A4020&amp;"|"&amp;B4020,Numéros!$F$2:$F$3001,0))),""))</f>
        <v/>
      </c>
      <c r="M4020" s="27" t="str">
        <f aca="false">IF(OR(G4020="",G4020="?"),"",IFERROR(INDEX(Pubs!$D$2:$D$3001,MATCH(G4020,Pubs!$A$2:$A$3001,0))&amp;"",""))</f>
        <v/>
      </c>
      <c r="N4020" s="27" t="n">
        <f aca="false">N(N4019)+IF(AND(A4020&lt;&gt;"",OR(Recherche!$C$4="",A4020=Recherche!$C$4),OR(Recherche!$C$5="",B4020&amp;""=Recherche!$C$5&amp;""),OR(Recherche!$C$6="",IFERROR(YEAR(L4020),0)=Recherche!$C$6),OR(Recherche!$C$7="",ISNUMBER(SEARCH(Recherche!$C$7,H4020))),OR(Recherche!$C$8="",J4020=Recherche!$C$8),OR(Recherche!$C$9="",I4020=Recherche!$C$9),OR(Recherche!$C$10="",G4020&amp;""=Recherche!$C$10&amp;""),OR(Recherche!$C$11="",E4020=Recherche!$C$11),OR(Recherche!$C$12="",ISNUMBER(SEARCH(Recherche!$C$12,M4020&amp;" "&amp;F4020)))),1,0)</f>
        <v>8</v>
      </c>
    </row>
    <row r="4021" customFormat="false" ht="15" hidden="false" customHeight="false" outlineLevel="0" collapsed="false">
      <c r="A4021" s="19"/>
      <c r="B4021" s="19"/>
      <c r="C4021" s="19"/>
      <c r="D4021" s="19"/>
      <c r="E4021" s="22"/>
      <c r="F4021" s="19"/>
      <c r="G4021" s="26" t="str">
        <f aca="false">IF(D4021="","",IFERROR(VALUE(LEFT(D4021,FIND(" |",D4021&amp;" |")-1)),"?"))</f>
        <v/>
      </c>
      <c r="H4021" s="27" t="str">
        <f aca="false">IF(G4021="","",IF(G4021="?","⚠ pub inconnue",IFERROR(INDEX(Pubs!$B$2:$B$3001,MATCH(G4021,Pubs!$A$2:$A$3001,0))&amp;"","⚠ pub inconnue")))</f>
        <v/>
      </c>
      <c r="I4021" s="27" t="str">
        <f aca="false">IF(OR(G4021="",G4021="?"),"",IFERROR(INDEX(Pubs!$C$2:$C$3001,MATCH(G4021,Pubs!$A$2:$A$3001,0))&amp;"",""))</f>
        <v/>
      </c>
      <c r="J4021" s="27" t="str">
        <f aca="false">IF(OR(G4021="",G4021="?"),"",IFERROR(INDEX(Pubs!$G$2:$G$3001,MATCH(G4021,Pubs!$A$2:$A$3001,0))&amp;"",""))</f>
        <v/>
      </c>
      <c r="K4021" s="28" t="str">
        <f aca="false">IF(OR(G4021="",G4021="?"),"",IFERROR(INDEX(Pubs!$E$2:$E$3001,MATCH(G4021,Pubs!$A$2:$A$3001,0)),""))</f>
        <v/>
      </c>
      <c r="L4021" s="29" t="str">
        <f aca="false">IF(A4021="","",IFERROR(1/(1/INDEX(Numéros!$C$2:$C$3001,MATCH(A4021&amp;"|"&amp;B4021,Numéros!$F$2:$F$3001,0))),""))</f>
        <v/>
      </c>
      <c r="M4021" s="27" t="str">
        <f aca="false">IF(OR(G4021="",G4021="?"),"",IFERROR(INDEX(Pubs!$D$2:$D$3001,MATCH(G4021,Pubs!$A$2:$A$3001,0))&amp;"",""))</f>
        <v/>
      </c>
      <c r="N4021" s="27" t="n">
        <f aca="false">N(N4020)+IF(AND(A4021&lt;&gt;"",OR(Recherche!$C$4="",A4021=Recherche!$C$4),OR(Recherche!$C$5="",B4021&amp;""=Recherche!$C$5&amp;""),OR(Recherche!$C$6="",IFERROR(YEAR(L4021),0)=Recherche!$C$6),OR(Recherche!$C$7="",ISNUMBER(SEARCH(Recherche!$C$7,H4021))),OR(Recherche!$C$8="",J4021=Recherche!$C$8),OR(Recherche!$C$9="",I4021=Recherche!$C$9),OR(Recherche!$C$10="",G4021&amp;""=Recherche!$C$10&amp;""),OR(Recherche!$C$11="",E4021=Recherche!$C$11),OR(Recherche!$C$12="",ISNUMBER(SEARCH(Recherche!$C$12,M4021&amp;" "&amp;F4021)))),1,0)</f>
        <v>8</v>
      </c>
    </row>
    <row r="4022" customFormat="false" ht="15" hidden="false" customHeight="false" outlineLevel="0" collapsed="false">
      <c r="A4022" s="19"/>
      <c r="B4022" s="19"/>
      <c r="C4022" s="19"/>
      <c r="D4022" s="19"/>
      <c r="E4022" s="22"/>
      <c r="F4022" s="19"/>
      <c r="G4022" s="26" t="str">
        <f aca="false">IF(D4022="","",IFERROR(VALUE(LEFT(D4022,FIND(" |",D4022&amp;" |")-1)),"?"))</f>
        <v/>
      </c>
      <c r="H4022" s="27" t="str">
        <f aca="false">IF(G4022="","",IF(G4022="?","⚠ pub inconnue",IFERROR(INDEX(Pubs!$B$2:$B$3001,MATCH(G4022,Pubs!$A$2:$A$3001,0))&amp;"","⚠ pub inconnue")))</f>
        <v/>
      </c>
      <c r="I4022" s="27" t="str">
        <f aca="false">IF(OR(G4022="",G4022="?"),"",IFERROR(INDEX(Pubs!$C$2:$C$3001,MATCH(G4022,Pubs!$A$2:$A$3001,0))&amp;"",""))</f>
        <v/>
      </c>
      <c r="J4022" s="27" t="str">
        <f aca="false">IF(OR(G4022="",G4022="?"),"",IFERROR(INDEX(Pubs!$G$2:$G$3001,MATCH(G4022,Pubs!$A$2:$A$3001,0))&amp;"",""))</f>
        <v/>
      </c>
      <c r="K4022" s="28" t="str">
        <f aca="false">IF(OR(G4022="",G4022="?"),"",IFERROR(INDEX(Pubs!$E$2:$E$3001,MATCH(G4022,Pubs!$A$2:$A$3001,0)),""))</f>
        <v/>
      </c>
      <c r="L4022" s="29" t="str">
        <f aca="false">IF(A4022="","",IFERROR(1/(1/INDEX(Numéros!$C$2:$C$3001,MATCH(A4022&amp;"|"&amp;B4022,Numéros!$F$2:$F$3001,0))),""))</f>
        <v/>
      </c>
      <c r="M4022" s="27" t="str">
        <f aca="false">IF(OR(G4022="",G4022="?"),"",IFERROR(INDEX(Pubs!$D$2:$D$3001,MATCH(G4022,Pubs!$A$2:$A$3001,0))&amp;"",""))</f>
        <v/>
      </c>
      <c r="N4022" s="27" t="n">
        <f aca="false">N(N4021)+IF(AND(A4022&lt;&gt;"",OR(Recherche!$C$4="",A4022=Recherche!$C$4),OR(Recherche!$C$5="",B4022&amp;""=Recherche!$C$5&amp;""),OR(Recherche!$C$6="",IFERROR(YEAR(L4022),0)=Recherche!$C$6),OR(Recherche!$C$7="",ISNUMBER(SEARCH(Recherche!$C$7,H4022))),OR(Recherche!$C$8="",J4022=Recherche!$C$8),OR(Recherche!$C$9="",I4022=Recherche!$C$9),OR(Recherche!$C$10="",G4022&amp;""=Recherche!$C$10&amp;""),OR(Recherche!$C$11="",E4022=Recherche!$C$11),OR(Recherche!$C$12="",ISNUMBER(SEARCH(Recherche!$C$12,M4022&amp;" "&amp;F4022)))),1,0)</f>
        <v>8</v>
      </c>
    </row>
    <row r="4023" customFormat="false" ht="15" hidden="false" customHeight="false" outlineLevel="0" collapsed="false">
      <c r="A4023" s="19"/>
      <c r="B4023" s="19"/>
      <c r="C4023" s="19"/>
      <c r="D4023" s="19"/>
      <c r="E4023" s="22"/>
      <c r="F4023" s="19"/>
      <c r="G4023" s="26" t="str">
        <f aca="false">IF(D4023="","",IFERROR(VALUE(LEFT(D4023,FIND(" |",D4023&amp;" |")-1)),"?"))</f>
        <v/>
      </c>
      <c r="H4023" s="27" t="str">
        <f aca="false">IF(G4023="","",IF(G4023="?","⚠ pub inconnue",IFERROR(INDEX(Pubs!$B$2:$B$3001,MATCH(G4023,Pubs!$A$2:$A$3001,0))&amp;"","⚠ pub inconnue")))</f>
        <v/>
      </c>
      <c r="I4023" s="27" t="str">
        <f aca="false">IF(OR(G4023="",G4023="?"),"",IFERROR(INDEX(Pubs!$C$2:$C$3001,MATCH(G4023,Pubs!$A$2:$A$3001,0))&amp;"",""))</f>
        <v/>
      </c>
      <c r="J4023" s="27" t="str">
        <f aca="false">IF(OR(G4023="",G4023="?"),"",IFERROR(INDEX(Pubs!$G$2:$G$3001,MATCH(G4023,Pubs!$A$2:$A$3001,0))&amp;"",""))</f>
        <v/>
      </c>
      <c r="K4023" s="28" t="str">
        <f aca="false">IF(OR(G4023="",G4023="?"),"",IFERROR(INDEX(Pubs!$E$2:$E$3001,MATCH(G4023,Pubs!$A$2:$A$3001,0)),""))</f>
        <v/>
      </c>
      <c r="L4023" s="29" t="str">
        <f aca="false">IF(A4023="","",IFERROR(1/(1/INDEX(Numéros!$C$2:$C$3001,MATCH(A4023&amp;"|"&amp;B4023,Numéros!$F$2:$F$3001,0))),""))</f>
        <v/>
      </c>
      <c r="M4023" s="27" t="str">
        <f aca="false">IF(OR(G4023="",G4023="?"),"",IFERROR(INDEX(Pubs!$D$2:$D$3001,MATCH(G4023,Pubs!$A$2:$A$3001,0))&amp;"",""))</f>
        <v/>
      </c>
      <c r="N4023" s="27" t="n">
        <f aca="false">N(N4022)+IF(AND(A4023&lt;&gt;"",OR(Recherche!$C$4="",A4023=Recherche!$C$4),OR(Recherche!$C$5="",B4023&amp;""=Recherche!$C$5&amp;""),OR(Recherche!$C$6="",IFERROR(YEAR(L4023),0)=Recherche!$C$6),OR(Recherche!$C$7="",ISNUMBER(SEARCH(Recherche!$C$7,H4023))),OR(Recherche!$C$8="",J4023=Recherche!$C$8),OR(Recherche!$C$9="",I4023=Recherche!$C$9),OR(Recherche!$C$10="",G4023&amp;""=Recherche!$C$10&amp;""),OR(Recherche!$C$11="",E4023=Recherche!$C$11),OR(Recherche!$C$12="",ISNUMBER(SEARCH(Recherche!$C$12,M4023&amp;" "&amp;F4023)))),1,0)</f>
        <v>8</v>
      </c>
    </row>
    <row r="4024" customFormat="false" ht="15" hidden="false" customHeight="false" outlineLevel="0" collapsed="false">
      <c r="A4024" s="19"/>
      <c r="B4024" s="19"/>
      <c r="C4024" s="19"/>
      <c r="D4024" s="19"/>
      <c r="E4024" s="22"/>
      <c r="F4024" s="19"/>
      <c r="G4024" s="26" t="str">
        <f aca="false">IF(D4024="","",IFERROR(VALUE(LEFT(D4024,FIND(" |",D4024&amp;" |")-1)),"?"))</f>
        <v/>
      </c>
      <c r="H4024" s="27" t="str">
        <f aca="false">IF(G4024="","",IF(G4024="?","⚠ pub inconnue",IFERROR(INDEX(Pubs!$B$2:$B$3001,MATCH(G4024,Pubs!$A$2:$A$3001,0))&amp;"","⚠ pub inconnue")))</f>
        <v/>
      </c>
      <c r="I4024" s="27" t="str">
        <f aca="false">IF(OR(G4024="",G4024="?"),"",IFERROR(INDEX(Pubs!$C$2:$C$3001,MATCH(G4024,Pubs!$A$2:$A$3001,0))&amp;"",""))</f>
        <v/>
      </c>
      <c r="J4024" s="27" t="str">
        <f aca="false">IF(OR(G4024="",G4024="?"),"",IFERROR(INDEX(Pubs!$G$2:$G$3001,MATCH(G4024,Pubs!$A$2:$A$3001,0))&amp;"",""))</f>
        <v/>
      </c>
      <c r="K4024" s="28" t="str">
        <f aca="false">IF(OR(G4024="",G4024="?"),"",IFERROR(INDEX(Pubs!$E$2:$E$3001,MATCH(G4024,Pubs!$A$2:$A$3001,0)),""))</f>
        <v/>
      </c>
      <c r="L4024" s="29" t="str">
        <f aca="false">IF(A4024="","",IFERROR(1/(1/INDEX(Numéros!$C$2:$C$3001,MATCH(A4024&amp;"|"&amp;B4024,Numéros!$F$2:$F$3001,0))),""))</f>
        <v/>
      </c>
      <c r="M4024" s="27" t="str">
        <f aca="false">IF(OR(G4024="",G4024="?"),"",IFERROR(INDEX(Pubs!$D$2:$D$3001,MATCH(G4024,Pubs!$A$2:$A$3001,0))&amp;"",""))</f>
        <v/>
      </c>
      <c r="N4024" s="27" t="n">
        <f aca="false">N(N4023)+IF(AND(A4024&lt;&gt;"",OR(Recherche!$C$4="",A4024=Recherche!$C$4),OR(Recherche!$C$5="",B4024&amp;""=Recherche!$C$5&amp;""),OR(Recherche!$C$6="",IFERROR(YEAR(L4024),0)=Recherche!$C$6),OR(Recherche!$C$7="",ISNUMBER(SEARCH(Recherche!$C$7,H4024))),OR(Recherche!$C$8="",J4024=Recherche!$C$8),OR(Recherche!$C$9="",I4024=Recherche!$C$9),OR(Recherche!$C$10="",G4024&amp;""=Recherche!$C$10&amp;""),OR(Recherche!$C$11="",E4024=Recherche!$C$11),OR(Recherche!$C$12="",ISNUMBER(SEARCH(Recherche!$C$12,M4024&amp;" "&amp;F4024)))),1,0)</f>
        <v>8</v>
      </c>
    </row>
    <row r="4025" customFormat="false" ht="15" hidden="false" customHeight="false" outlineLevel="0" collapsed="false">
      <c r="A4025" s="19"/>
      <c r="B4025" s="19"/>
      <c r="C4025" s="19"/>
      <c r="D4025" s="19"/>
      <c r="E4025" s="22"/>
      <c r="F4025" s="19"/>
      <c r="G4025" s="26" t="str">
        <f aca="false">IF(D4025="","",IFERROR(VALUE(LEFT(D4025,FIND(" |",D4025&amp;" |")-1)),"?"))</f>
        <v/>
      </c>
      <c r="H4025" s="27" t="str">
        <f aca="false">IF(G4025="","",IF(G4025="?","⚠ pub inconnue",IFERROR(INDEX(Pubs!$B$2:$B$3001,MATCH(G4025,Pubs!$A$2:$A$3001,0))&amp;"","⚠ pub inconnue")))</f>
        <v/>
      </c>
      <c r="I4025" s="27" t="str">
        <f aca="false">IF(OR(G4025="",G4025="?"),"",IFERROR(INDEX(Pubs!$C$2:$C$3001,MATCH(G4025,Pubs!$A$2:$A$3001,0))&amp;"",""))</f>
        <v/>
      </c>
      <c r="J4025" s="27" t="str">
        <f aca="false">IF(OR(G4025="",G4025="?"),"",IFERROR(INDEX(Pubs!$G$2:$G$3001,MATCH(G4025,Pubs!$A$2:$A$3001,0))&amp;"",""))</f>
        <v/>
      </c>
      <c r="K4025" s="28" t="str">
        <f aca="false">IF(OR(G4025="",G4025="?"),"",IFERROR(INDEX(Pubs!$E$2:$E$3001,MATCH(G4025,Pubs!$A$2:$A$3001,0)),""))</f>
        <v/>
      </c>
      <c r="L4025" s="29" t="str">
        <f aca="false">IF(A4025="","",IFERROR(1/(1/INDEX(Numéros!$C$2:$C$3001,MATCH(A4025&amp;"|"&amp;B4025,Numéros!$F$2:$F$3001,0))),""))</f>
        <v/>
      </c>
      <c r="M4025" s="27" t="str">
        <f aca="false">IF(OR(G4025="",G4025="?"),"",IFERROR(INDEX(Pubs!$D$2:$D$3001,MATCH(G4025,Pubs!$A$2:$A$3001,0))&amp;"",""))</f>
        <v/>
      </c>
      <c r="N4025" s="27" t="n">
        <f aca="false">N(N4024)+IF(AND(A4025&lt;&gt;"",OR(Recherche!$C$4="",A4025=Recherche!$C$4),OR(Recherche!$C$5="",B4025&amp;""=Recherche!$C$5&amp;""),OR(Recherche!$C$6="",IFERROR(YEAR(L4025),0)=Recherche!$C$6),OR(Recherche!$C$7="",ISNUMBER(SEARCH(Recherche!$C$7,H4025))),OR(Recherche!$C$8="",J4025=Recherche!$C$8),OR(Recherche!$C$9="",I4025=Recherche!$C$9),OR(Recherche!$C$10="",G4025&amp;""=Recherche!$C$10&amp;""),OR(Recherche!$C$11="",E4025=Recherche!$C$11),OR(Recherche!$C$12="",ISNUMBER(SEARCH(Recherche!$C$12,M4025&amp;" "&amp;F4025)))),1,0)</f>
        <v>8</v>
      </c>
    </row>
    <row r="4026" customFormat="false" ht="15" hidden="false" customHeight="false" outlineLevel="0" collapsed="false">
      <c r="A4026" s="19"/>
      <c r="B4026" s="19"/>
      <c r="C4026" s="19"/>
      <c r="D4026" s="19"/>
      <c r="E4026" s="22"/>
      <c r="F4026" s="19"/>
      <c r="G4026" s="26" t="str">
        <f aca="false">IF(D4026="","",IFERROR(VALUE(LEFT(D4026,FIND(" |",D4026&amp;" |")-1)),"?"))</f>
        <v/>
      </c>
      <c r="H4026" s="27" t="str">
        <f aca="false">IF(G4026="","",IF(G4026="?","⚠ pub inconnue",IFERROR(INDEX(Pubs!$B$2:$B$3001,MATCH(G4026,Pubs!$A$2:$A$3001,0))&amp;"","⚠ pub inconnue")))</f>
        <v/>
      </c>
      <c r="I4026" s="27" t="str">
        <f aca="false">IF(OR(G4026="",G4026="?"),"",IFERROR(INDEX(Pubs!$C$2:$C$3001,MATCH(G4026,Pubs!$A$2:$A$3001,0))&amp;"",""))</f>
        <v/>
      </c>
      <c r="J4026" s="27" t="str">
        <f aca="false">IF(OR(G4026="",G4026="?"),"",IFERROR(INDEX(Pubs!$G$2:$G$3001,MATCH(G4026,Pubs!$A$2:$A$3001,0))&amp;"",""))</f>
        <v/>
      </c>
      <c r="K4026" s="28" t="str">
        <f aca="false">IF(OR(G4026="",G4026="?"),"",IFERROR(INDEX(Pubs!$E$2:$E$3001,MATCH(G4026,Pubs!$A$2:$A$3001,0)),""))</f>
        <v/>
      </c>
      <c r="L4026" s="29" t="str">
        <f aca="false">IF(A4026="","",IFERROR(1/(1/INDEX(Numéros!$C$2:$C$3001,MATCH(A4026&amp;"|"&amp;B4026,Numéros!$F$2:$F$3001,0))),""))</f>
        <v/>
      </c>
      <c r="M4026" s="27" t="str">
        <f aca="false">IF(OR(G4026="",G4026="?"),"",IFERROR(INDEX(Pubs!$D$2:$D$3001,MATCH(G4026,Pubs!$A$2:$A$3001,0))&amp;"",""))</f>
        <v/>
      </c>
      <c r="N4026" s="27" t="n">
        <f aca="false">N(N4025)+IF(AND(A4026&lt;&gt;"",OR(Recherche!$C$4="",A4026=Recherche!$C$4),OR(Recherche!$C$5="",B4026&amp;""=Recherche!$C$5&amp;""),OR(Recherche!$C$6="",IFERROR(YEAR(L4026),0)=Recherche!$C$6),OR(Recherche!$C$7="",ISNUMBER(SEARCH(Recherche!$C$7,H4026))),OR(Recherche!$C$8="",J4026=Recherche!$C$8),OR(Recherche!$C$9="",I4026=Recherche!$C$9),OR(Recherche!$C$10="",G4026&amp;""=Recherche!$C$10&amp;""),OR(Recherche!$C$11="",E4026=Recherche!$C$11),OR(Recherche!$C$12="",ISNUMBER(SEARCH(Recherche!$C$12,M4026&amp;" "&amp;F4026)))),1,0)</f>
        <v>8</v>
      </c>
    </row>
    <row r="4027" customFormat="false" ht="15" hidden="false" customHeight="false" outlineLevel="0" collapsed="false">
      <c r="A4027" s="19"/>
      <c r="B4027" s="19"/>
      <c r="C4027" s="19"/>
      <c r="D4027" s="19"/>
      <c r="E4027" s="22"/>
      <c r="F4027" s="19"/>
      <c r="G4027" s="26" t="str">
        <f aca="false">IF(D4027="","",IFERROR(VALUE(LEFT(D4027,FIND(" |",D4027&amp;" |")-1)),"?"))</f>
        <v/>
      </c>
      <c r="H4027" s="27" t="str">
        <f aca="false">IF(G4027="","",IF(G4027="?","⚠ pub inconnue",IFERROR(INDEX(Pubs!$B$2:$B$3001,MATCH(G4027,Pubs!$A$2:$A$3001,0))&amp;"","⚠ pub inconnue")))</f>
        <v/>
      </c>
      <c r="I4027" s="27" t="str">
        <f aca="false">IF(OR(G4027="",G4027="?"),"",IFERROR(INDEX(Pubs!$C$2:$C$3001,MATCH(G4027,Pubs!$A$2:$A$3001,0))&amp;"",""))</f>
        <v/>
      </c>
      <c r="J4027" s="27" t="str">
        <f aca="false">IF(OR(G4027="",G4027="?"),"",IFERROR(INDEX(Pubs!$G$2:$G$3001,MATCH(G4027,Pubs!$A$2:$A$3001,0))&amp;"",""))</f>
        <v/>
      </c>
      <c r="K4027" s="28" t="str">
        <f aca="false">IF(OR(G4027="",G4027="?"),"",IFERROR(INDEX(Pubs!$E$2:$E$3001,MATCH(G4027,Pubs!$A$2:$A$3001,0)),""))</f>
        <v/>
      </c>
      <c r="L4027" s="29" t="str">
        <f aca="false">IF(A4027="","",IFERROR(1/(1/INDEX(Numéros!$C$2:$C$3001,MATCH(A4027&amp;"|"&amp;B4027,Numéros!$F$2:$F$3001,0))),""))</f>
        <v/>
      </c>
      <c r="M4027" s="27" t="str">
        <f aca="false">IF(OR(G4027="",G4027="?"),"",IFERROR(INDEX(Pubs!$D$2:$D$3001,MATCH(G4027,Pubs!$A$2:$A$3001,0))&amp;"",""))</f>
        <v/>
      </c>
      <c r="N4027" s="27" t="n">
        <f aca="false">N(N4026)+IF(AND(A4027&lt;&gt;"",OR(Recherche!$C$4="",A4027=Recherche!$C$4),OR(Recherche!$C$5="",B4027&amp;""=Recherche!$C$5&amp;""),OR(Recherche!$C$6="",IFERROR(YEAR(L4027),0)=Recherche!$C$6),OR(Recherche!$C$7="",ISNUMBER(SEARCH(Recherche!$C$7,H4027))),OR(Recherche!$C$8="",J4027=Recherche!$C$8),OR(Recherche!$C$9="",I4027=Recherche!$C$9),OR(Recherche!$C$10="",G4027&amp;""=Recherche!$C$10&amp;""),OR(Recherche!$C$11="",E4027=Recherche!$C$11),OR(Recherche!$C$12="",ISNUMBER(SEARCH(Recherche!$C$12,M4027&amp;" "&amp;F4027)))),1,0)</f>
        <v>8</v>
      </c>
    </row>
    <row r="4028" customFormat="false" ht="15" hidden="false" customHeight="false" outlineLevel="0" collapsed="false">
      <c r="A4028" s="19"/>
      <c r="B4028" s="19"/>
      <c r="C4028" s="19"/>
      <c r="D4028" s="19"/>
      <c r="E4028" s="22"/>
      <c r="F4028" s="19"/>
      <c r="G4028" s="26" t="str">
        <f aca="false">IF(D4028="","",IFERROR(VALUE(LEFT(D4028,FIND(" |",D4028&amp;" |")-1)),"?"))</f>
        <v/>
      </c>
      <c r="H4028" s="27" t="str">
        <f aca="false">IF(G4028="","",IF(G4028="?","⚠ pub inconnue",IFERROR(INDEX(Pubs!$B$2:$B$3001,MATCH(G4028,Pubs!$A$2:$A$3001,0))&amp;"","⚠ pub inconnue")))</f>
        <v/>
      </c>
      <c r="I4028" s="27" t="str">
        <f aca="false">IF(OR(G4028="",G4028="?"),"",IFERROR(INDEX(Pubs!$C$2:$C$3001,MATCH(G4028,Pubs!$A$2:$A$3001,0))&amp;"",""))</f>
        <v/>
      </c>
      <c r="J4028" s="27" t="str">
        <f aca="false">IF(OR(G4028="",G4028="?"),"",IFERROR(INDEX(Pubs!$G$2:$G$3001,MATCH(G4028,Pubs!$A$2:$A$3001,0))&amp;"",""))</f>
        <v/>
      </c>
      <c r="K4028" s="28" t="str">
        <f aca="false">IF(OR(G4028="",G4028="?"),"",IFERROR(INDEX(Pubs!$E$2:$E$3001,MATCH(G4028,Pubs!$A$2:$A$3001,0)),""))</f>
        <v/>
      </c>
      <c r="L4028" s="29" t="str">
        <f aca="false">IF(A4028="","",IFERROR(1/(1/INDEX(Numéros!$C$2:$C$3001,MATCH(A4028&amp;"|"&amp;B4028,Numéros!$F$2:$F$3001,0))),""))</f>
        <v/>
      </c>
      <c r="M4028" s="27" t="str">
        <f aca="false">IF(OR(G4028="",G4028="?"),"",IFERROR(INDEX(Pubs!$D$2:$D$3001,MATCH(G4028,Pubs!$A$2:$A$3001,0))&amp;"",""))</f>
        <v/>
      </c>
      <c r="N4028" s="27" t="n">
        <f aca="false">N(N4027)+IF(AND(A4028&lt;&gt;"",OR(Recherche!$C$4="",A4028=Recherche!$C$4),OR(Recherche!$C$5="",B4028&amp;""=Recherche!$C$5&amp;""),OR(Recherche!$C$6="",IFERROR(YEAR(L4028),0)=Recherche!$C$6),OR(Recherche!$C$7="",ISNUMBER(SEARCH(Recherche!$C$7,H4028))),OR(Recherche!$C$8="",J4028=Recherche!$C$8),OR(Recherche!$C$9="",I4028=Recherche!$C$9),OR(Recherche!$C$10="",G4028&amp;""=Recherche!$C$10&amp;""),OR(Recherche!$C$11="",E4028=Recherche!$C$11),OR(Recherche!$C$12="",ISNUMBER(SEARCH(Recherche!$C$12,M4028&amp;" "&amp;F4028)))),1,0)</f>
        <v>8</v>
      </c>
    </row>
    <row r="4029" customFormat="false" ht="15" hidden="false" customHeight="false" outlineLevel="0" collapsed="false">
      <c r="A4029" s="19"/>
      <c r="B4029" s="19"/>
      <c r="C4029" s="19"/>
      <c r="D4029" s="19"/>
      <c r="E4029" s="22"/>
      <c r="F4029" s="19"/>
      <c r="G4029" s="26" t="str">
        <f aca="false">IF(D4029="","",IFERROR(VALUE(LEFT(D4029,FIND(" |",D4029&amp;" |")-1)),"?"))</f>
        <v/>
      </c>
      <c r="H4029" s="27" t="str">
        <f aca="false">IF(G4029="","",IF(G4029="?","⚠ pub inconnue",IFERROR(INDEX(Pubs!$B$2:$B$3001,MATCH(G4029,Pubs!$A$2:$A$3001,0))&amp;"","⚠ pub inconnue")))</f>
        <v/>
      </c>
      <c r="I4029" s="27" t="str">
        <f aca="false">IF(OR(G4029="",G4029="?"),"",IFERROR(INDEX(Pubs!$C$2:$C$3001,MATCH(G4029,Pubs!$A$2:$A$3001,0))&amp;"",""))</f>
        <v/>
      </c>
      <c r="J4029" s="27" t="str">
        <f aca="false">IF(OR(G4029="",G4029="?"),"",IFERROR(INDEX(Pubs!$G$2:$G$3001,MATCH(G4029,Pubs!$A$2:$A$3001,0))&amp;"",""))</f>
        <v/>
      </c>
      <c r="K4029" s="28" t="str">
        <f aca="false">IF(OR(G4029="",G4029="?"),"",IFERROR(INDEX(Pubs!$E$2:$E$3001,MATCH(G4029,Pubs!$A$2:$A$3001,0)),""))</f>
        <v/>
      </c>
      <c r="L4029" s="29" t="str">
        <f aca="false">IF(A4029="","",IFERROR(1/(1/INDEX(Numéros!$C$2:$C$3001,MATCH(A4029&amp;"|"&amp;B4029,Numéros!$F$2:$F$3001,0))),""))</f>
        <v/>
      </c>
      <c r="M4029" s="27" t="str">
        <f aca="false">IF(OR(G4029="",G4029="?"),"",IFERROR(INDEX(Pubs!$D$2:$D$3001,MATCH(G4029,Pubs!$A$2:$A$3001,0))&amp;"",""))</f>
        <v/>
      </c>
      <c r="N4029" s="27" t="n">
        <f aca="false">N(N4028)+IF(AND(A4029&lt;&gt;"",OR(Recherche!$C$4="",A4029=Recherche!$C$4),OR(Recherche!$C$5="",B4029&amp;""=Recherche!$C$5&amp;""),OR(Recherche!$C$6="",IFERROR(YEAR(L4029),0)=Recherche!$C$6),OR(Recherche!$C$7="",ISNUMBER(SEARCH(Recherche!$C$7,H4029))),OR(Recherche!$C$8="",J4029=Recherche!$C$8),OR(Recherche!$C$9="",I4029=Recherche!$C$9),OR(Recherche!$C$10="",G4029&amp;""=Recherche!$C$10&amp;""),OR(Recherche!$C$11="",E4029=Recherche!$C$11),OR(Recherche!$C$12="",ISNUMBER(SEARCH(Recherche!$C$12,M4029&amp;" "&amp;F4029)))),1,0)</f>
        <v>8</v>
      </c>
    </row>
    <row r="4030" customFormat="false" ht="15" hidden="false" customHeight="false" outlineLevel="0" collapsed="false">
      <c r="A4030" s="19"/>
      <c r="B4030" s="19"/>
      <c r="C4030" s="19"/>
      <c r="D4030" s="19"/>
      <c r="E4030" s="22"/>
      <c r="F4030" s="19"/>
      <c r="G4030" s="26" t="str">
        <f aca="false">IF(D4030="","",IFERROR(VALUE(LEFT(D4030,FIND(" |",D4030&amp;" |")-1)),"?"))</f>
        <v/>
      </c>
      <c r="H4030" s="27" t="str">
        <f aca="false">IF(G4030="","",IF(G4030="?","⚠ pub inconnue",IFERROR(INDEX(Pubs!$B$2:$B$3001,MATCH(G4030,Pubs!$A$2:$A$3001,0))&amp;"","⚠ pub inconnue")))</f>
        <v/>
      </c>
      <c r="I4030" s="27" t="str">
        <f aca="false">IF(OR(G4030="",G4030="?"),"",IFERROR(INDEX(Pubs!$C$2:$C$3001,MATCH(G4030,Pubs!$A$2:$A$3001,0))&amp;"",""))</f>
        <v/>
      </c>
      <c r="J4030" s="27" t="str">
        <f aca="false">IF(OR(G4030="",G4030="?"),"",IFERROR(INDEX(Pubs!$G$2:$G$3001,MATCH(G4030,Pubs!$A$2:$A$3001,0))&amp;"",""))</f>
        <v/>
      </c>
      <c r="K4030" s="28" t="str">
        <f aca="false">IF(OR(G4030="",G4030="?"),"",IFERROR(INDEX(Pubs!$E$2:$E$3001,MATCH(G4030,Pubs!$A$2:$A$3001,0)),""))</f>
        <v/>
      </c>
      <c r="L4030" s="29" t="str">
        <f aca="false">IF(A4030="","",IFERROR(1/(1/INDEX(Numéros!$C$2:$C$3001,MATCH(A4030&amp;"|"&amp;B4030,Numéros!$F$2:$F$3001,0))),""))</f>
        <v/>
      </c>
      <c r="M4030" s="27" t="str">
        <f aca="false">IF(OR(G4030="",G4030="?"),"",IFERROR(INDEX(Pubs!$D$2:$D$3001,MATCH(G4030,Pubs!$A$2:$A$3001,0))&amp;"",""))</f>
        <v/>
      </c>
      <c r="N4030" s="27" t="n">
        <f aca="false">N(N4029)+IF(AND(A4030&lt;&gt;"",OR(Recherche!$C$4="",A4030=Recherche!$C$4),OR(Recherche!$C$5="",B4030&amp;""=Recherche!$C$5&amp;""),OR(Recherche!$C$6="",IFERROR(YEAR(L4030),0)=Recherche!$C$6),OR(Recherche!$C$7="",ISNUMBER(SEARCH(Recherche!$C$7,H4030))),OR(Recherche!$C$8="",J4030=Recherche!$C$8),OR(Recherche!$C$9="",I4030=Recherche!$C$9),OR(Recherche!$C$10="",G4030&amp;""=Recherche!$C$10&amp;""),OR(Recherche!$C$11="",E4030=Recherche!$C$11),OR(Recherche!$C$12="",ISNUMBER(SEARCH(Recherche!$C$12,M4030&amp;" "&amp;F4030)))),1,0)</f>
        <v>8</v>
      </c>
    </row>
    <row r="4031" customFormat="false" ht="15" hidden="false" customHeight="false" outlineLevel="0" collapsed="false">
      <c r="A4031" s="19"/>
      <c r="B4031" s="19"/>
      <c r="C4031" s="19"/>
      <c r="D4031" s="19"/>
      <c r="E4031" s="22"/>
      <c r="F4031" s="19"/>
      <c r="G4031" s="26" t="str">
        <f aca="false">IF(D4031="","",IFERROR(VALUE(LEFT(D4031,FIND(" |",D4031&amp;" |")-1)),"?"))</f>
        <v/>
      </c>
      <c r="H4031" s="27" t="str">
        <f aca="false">IF(G4031="","",IF(G4031="?","⚠ pub inconnue",IFERROR(INDEX(Pubs!$B$2:$B$3001,MATCH(G4031,Pubs!$A$2:$A$3001,0))&amp;"","⚠ pub inconnue")))</f>
        <v/>
      </c>
      <c r="I4031" s="27" t="str">
        <f aca="false">IF(OR(G4031="",G4031="?"),"",IFERROR(INDEX(Pubs!$C$2:$C$3001,MATCH(G4031,Pubs!$A$2:$A$3001,0))&amp;"",""))</f>
        <v/>
      </c>
      <c r="J4031" s="27" t="str">
        <f aca="false">IF(OR(G4031="",G4031="?"),"",IFERROR(INDEX(Pubs!$G$2:$G$3001,MATCH(G4031,Pubs!$A$2:$A$3001,0))&amp;"",""))</f>
        <v/>
      </c>
      <c r="K4031" s="28" t="str">
        <f aca="false">IF(OR(G4031="",G4031="?"),"",IFERROR(INDEX(Pubs!$E$2:$E$3001,MATCH(G4031,Pubs!$A$2:$A$3001,0)),""))</f>
        <v/>
      </c>
      <c r="L4031" s="29" t="str">
        <f aca="false">IF(A4031="","",IFERROR(1/(1/INDEX(Numéros!$C$2:$C$3001,MATCH(A4031&amp;"|"&amp;B4031,Numéros!$F$2:$F$3001,0))),""))</f>
        <v/>
      </c>
      <c r="M4031" s="27" t="str">
        <f aca="false">IF(OR(G4031="",G4031="?"),"",IFERROR(INDEX(Pubs!$D$2:$D$3001,MATCH(G4031,Pubs!$A$2:$A$3001,0))&amp;"",""))</f>
        <v/>
      </c>
      <c r="N4031" s="27" t="n">
        <f aca="false">N(N4030)+IF(AND(A4031&lt;&gt;"",OR(Recherche!$C$4="",A4031=Recherche!$C$4),OR(Recherche!$C$5="",B4031&amp;""=Recherche!$C$5&amp;""),OR(Recherche!$C$6="",IFERROR(YEAR(L4031),0)=Recherche!$C$6),OR(Recherche!$C$7="",ISNUMBER(SEARCH(Recherche!$C$7,H4031))),OR(Recherche!$C$8="",J4031=Recherche!$C$8),OR(Recherche!$C$9="",I4031=Recherche!$C$9),OR(Recherche!$C$10="",G4031&amp;""=Recherche!$C$10&amp;""),OR(Recherche!$C$11="",E4031=Recherche!$C$11),OR(Recherche!$C$12="",ISNUMBER(SEARCH(Recherche!$C$12,M4031&amp;" "&amp;F4031)))),1,0)</f>
        <v>8</v>
      </c>
    </row>
    <row r="4032" customFormat="false" ht="15" hidden="false" customHeight="false" outlineLevel="0" collapsed="false">
      <c r="A4032" s="19"/>
      <c r="B4032" s="19"/>
      <c r="C4032" s="19"/>
      <c r="D4032" s="19"/>
      <c r="E4032" s="22"/>
      <c r="F4032" s="19"/>
      <c r="G4032" s="26" t="str">
        <f aca="false">IF(D4032="","",IFERROR(VALUE(LEFT(D4032,FIND(" |",D4032&amp;" |")-1)),"?"))</f>
        <v/>
      </c>
      <c r="H4032" s="27" t="str">
        <f aca="false">IF(G4032="","",IF(G4032="?","⚠ pub inconnue",IFERROR(INDEX(Pubs!$B$2:$B$3001,MATCH(G4032,Pubs!$A$2:$A$3001,0))&amp;"","⚠ pub inconnue")))</f>
        <v/>
      </c>
      <c r="I4032" s="27" t="str">
        <f aca="false">IF(OR(G4032="",G4032="?"),"",IFERROR(INDEX(Pubs!$C$2:$C$3001,MATCH(G4032,Pubs!$A$2:$A$3001,0))&amp;"",""))</f>
        <v/>
      </c>
      <c r="J4032" s="27" t="str">
        <f aca="false">IF(OR(G4032="",G4032="?"),"",IFERROR(INDEX(Pubs!$G$2:$G$3001,MATCH(G4032,Pubs!$A$2:$A$3001,0))&amp;"",""))</f>
        <v/>
      </c>
      <c r="K4032" s="28" t="str">
        <f aca="false">IF(OR(G4032="",G4032="?"),"",IFERROR(INDEX(Pubs!$E$2:$E$3001,MATCH(G4032,Pubs!$A$2:$A$3001,0)),""))</f>
        <v/>
      </c>
      <c r="L4032" s="29" t="str">
        <f aca="false">IF(A4032="","",IFERROR(1/(1/INDEX(Numéros!$C$2:$C$3001,MATCH(A4032&amp;"|"&amp;B4032,Numéros!$F$2:$F$3001,0))),""))</f>
        <v/>
      </c>
      <c r="M4032" s="27" t="str">
        <f aca="false">IF(OR(G4032="",G4032="?"),"",IFERROR(INDEX(Pubs!$D$2:$D$3001,MATCH(G4032,Pubs!$A$2:$A$3001,0))&amp;"",""))</f>
        <v/>
      </c>
      <c r="N4032" s="27" t="n">
        <f aca="false">N(N4031)+IF(AND(A4032&lt;&gt;"",OR(Recherche!$C$4="",A4032=Recherche!$C$4),OR(Recherche!$C$5="",B4032&amp;""=Recherche!$C$5&amp;""),OR(Recherche!$C$6="",IFERROR(YEAR(L4032),0)=Recherche!$C$6),OR(Recherche!$C$7="",ISNUMBER(SEARCH(Recherche!$C$7,H4032))),OR(Recherche!$C$8="",J4032=Recherche!$C$8),OR(Recherche!$C$9="",I4032=Recherche!$C$9),OR(Recherche!$C$10="",G4032&amp;""=Recherche!$C$10&amp;""),OR(Recherche!$C$11="",E4032=Recherche!$C$11),OR(Recherche!$C$12="",ISNUMBER(SEARCH(Recherche!$C$12,M4032&amp;" "&amp;F4032)))),1,0)</f>
        <v>8</v>
      </c>
    </row>
    <row r="4033" customFormat="false" ht="15" hidden="false" customHeight="false" outlineLevel="0" collapsed="false">
      <c r="A4033" s="19"/>
      <c r="B4033" s="19"/>
      <c r="C4033" s="19"/>
      <c r="D4033" s="19"/>
      <c r="E4033" s="22"/>
      <c r="F4033" s="19"/>
      <c r="G4033" s="26" t="str">
        <f aca="false">IF(D4033="","",IFERROR(VALUE(LEFT(D4033,FIND(" |",D4033&amp;" |")-1)),"?"))</f>
        <v/>
      </c>
      <c r="H4033" s="27" t="str">
        <f aca="false">IF(G4033="","",IF(G4033="?","⚠ pub inconnue",IFERROR(INDEX(Pubs!$B$2:$B$3001,MATCH(G4033,Pubs!$A$2:$A$3001,0))&amp;"","⚠ pub inconnue")))</f>
        <v/>
      </c>
      <c r="I4033" s="27" t="str">
        <f aca="false">IF(OR(G4033="",G4033="?"),"",IFERROR(INDEX(Pubs!$C$2:$C$3001,MATCH(G4033,Pubs!$A$2:$A$3001,0))&amp;"",""))</f>
        <v/>
      </c>
      <c r="J4033" s="27" t="str">
        <f aca="false">IF(OR(G4033="",G4033="?"),"",IFERROR(INDEX(Pubs!$G$2:$G$3001,MATCH(G4033,Pubs!$A$2:$A$3001,0))&amp;"",""))</f>
        <v/>
      </c>
      <c r="K4033" s="28" t="str">
        <f aca="false">IF(OR(G4033="",G4033="?"),"",IFERROR(INDEX(Pubs!$E$2:$E$3001,MATCH(G4033,Pubs!$A$2:$A$3001,0)),""))</f>
        <v/>
      </c>
      <c r="L4033" s="29" t="str">
        <f aca="false">IF(A4033="","",IFERROR(1/(1/INDEX(Numéros!$C$2:$C$3001,MATCH(A4033&amp;"|"&amp;B4033,Numéros!$F$2:$F$3001,0))),""))</f>
        <v/>
      </c>
      <c r="M4033" s="27" t="str">
        <f aca="false">IF(OR(G4033="",G4033="?"),"",IFERROR(INDEX(Pubs!$D$2:$D$3001,MATCH(G4033,Pubs!$A$2:$A$3001,0))&amp;"",""))</f>
        <v/>
      </c>
      <c r="N4033" s="27" t="n">
        <f aca="false">N(N4032)+IF(AND(A4033&lt;&gt;"",OR(Recherche!$C$4="",A4033=Recherche!$C$4),OR(Recherche!$C$5="",B4033&amp;""=Recherche!$C$5&amp;""),OR(Recherche!$C$6="",IFERROR(YEAR(L4033),0)=Recherche!$C$6),OR(Recherche!$C$7="",ISNUMBER(SEARCH(Recherche!$C$7,H4033))),OR(Recherche!$C$8="",J4033=Recherche!$C$8),OR(Recherche!$C$9="",I4033=Recherche!$C$9),OR(Recherche!$C$10="",G4033&amp;""=Recherche!$C$10&amp;""),OR(Recherche!$C$11="",E4033=Recherche!$C$11),OR(Recherche!$C$12="",ISNUMBER(SEARCH(Recherche!$C$12,M4033&amp;" "&amp;F4033)))),1,0)</f>
        <v>8</v>
      </c>
    </row>
    <row r="4034" customFormat="false" ht="15" hidden="false" customHeight="false" outlineLevel="0" collapsed="false">
      <c r="A4034" s="19"/>
      <c r="B4034" s="19"/>
      <c r="C4034" s="19"/>
      <c r="D4034" s="19"/>
      <c r="E4034" s="22"/>
      <c r="F4034" s="19"/>
      <c r="G4034" s="26" t="str">
        <f aca="false">IF(D4034="","",IFERROR(VALUE(LEFT(D4034,FIND(" |",D4034&amp;" |")-1)),"?"))</f>
        <v/>
      </c>
      <c r="H4034" s="27" t="str">
        <f aca="false">IF(G4034="","",IF(G4034="?","⚠ pub inconnue",IFERROR(INDEX(Pubs!$B$2:$B$3001,MATCH(G4034,Pubs!$A$2:$A$3001,0))&amp;"","⚠ pub inconnue")))</f>
        <v/>
      </c>
      <c r="I4034" s="27" t="str">
        <f aca="false">IF(OR(G4034="",G4034="?"),"",IFERROR(INDEX(Pubs!$C$2:$C$3001,MATCH(G4034,Pubs!$A$2:$A$3001,0))&amp;"",""))</f>
        <v/>
      </c>
      <c r="J4034" s="27" t="str">
        <f aca="false">IF(OR(G4034="",G4034="?"),"",IFERROR(INDEX(Pubs!$G$2:$G$3001,MATCH(G4034,Pubs!$A$2:$A$3001,0))&amp;"",""))</f>
        <v/>
      </c>
      <c r="K4034" s="28" t="str">
        <f aca="false">IF(OR(G4034="",G4034="?"),"",IFERROR(INDEX(Pubs!$E$2:$E$3001,MATCH(G4034,Pubs!$A$2:$A$3001,0)),""))</f>
        <v/>
      </c>
      <c r="L4034" s="29" t="str">
        <f aca="false">IF(A4034="","",IFERROR(1/(1/INDEX(Numéros!$C$2:$C$3001,MATCH(A4034&amp;"|"&amp;B4034,Numéros!$F$2:$F$3001,0))),""))</f>
        <v/>
      </c>
      <c r="M4034" s="27" t="str">
        <f aca="false">IF(OR(G4034="",G4034="?"),"",IFERROR(INDEX(Pubs!$D$2:$D$3001,MATCH(G4034,Pubs!$A$2:$A$3001,0))&amp;"",""))</f>
        <v/>
      </c>
      <c r="N4034" s="27" t="n">
        <f aca="false">N(N4033)+IF(AND(A4034&lt;&gt;"",OR(Recherche!$C$4="",A4034=Recherche!$C$4),OR(Recherche!$C$5="",B4034&amp;""=Recherche!$C$5&amp;""),OR(Recherche!$C$6="",IFERROR(YEAR(L4034),0)=Recherche!$C$6),OR(Recherche!$C$7="",ISNUMBER(SEARCH(Recherche!$C$7,H4034))),OR(Recherche!$C$8="",J4034=Recherche!$C$8),OR(Recherche!$C$9="",I4034=Recherche!$C$9),OR(Recherche!$C$10="",G4034&amp;""=Recherche!$C$10&amp;""),OR(Recherche!$C$11="",E4034=Recherche!$C$11),OR(Recherche!$C$12="",ISNUMBER(SEARCH(Recherche!$C$12,M4034&amp;" "&amp;F4034)))),1,0)</f>
        <v>8</v>
      </c>
    </row>
    <row r="4035" customFormat="false" ht="15" hidden="false" customHeight="false" outlineLevel="0" collapsed="false">
      <c r="A4035" s="19"/>
      <c r="B4035" s="19"/>
      <c r="C4035" s="19"/>
      <c r="D4035" s="19"/>
      <c r="E4035" s="22"/>
      <c r="F4035" s="19"/>
      <c r="G4035" s="26" t="str">
        <f aca="false">IF(D4035="","",IFERROR(VALUE(LEFT(D4035,FIND(" |",D4035&amp;" |")-1)),"?"))</f>
        <v/>
      </c>
      <c r="H4035" s="27" t="str">
        <f aca="false">IF(G4035="","",IF(G4035="?","⚠ pub inconnue",IFERROR(INDEX(Pubs!$B$2:$B$3001,MATCH(G4035,Pubs!$A$2:$A$3001,0))&amp;"","⚠ pub inconnue")))</f>
        <v/>
      </c>
      <c r="I4035" s="27" t="str">
        <f aca="false">IF(OR(G4035="",G4035="?"),"",IFERROR(INDEX(Pubs!$C$2:$C$3001,MATCH(G4035,Pubs!$A$2:$A$3001,0))&amp;"",""))</f>
        <v/>
      </c>
      <c r="J4035" s="27" t="str">
        <f aca="false">IF(OR(G4035="",G4035="?"),"",IFERROR(INDEX(Pubs!$G$2:$G$3001,MATCH(G4035,Pubs!$A$2:$A$3001,0))&amp;"",""))</f>
        <v/>
      </c>
      <c r="K4035" s="28" t="str">
        <f aca="false">IF(OR(G4035="",G4035="?"),"",IFERROR(INDEX(Pubs!$E$2:$E$3001,MATCH(G4035,Pubs!$A$2:$A$3001,0)),""))</f>
        <v/>
      </c>
      <c r="L4035" s="29" t="str">
        <f aca="false">IF(A4035="","",IFERROR(1/(1/INDEX(Numéros!$C$2:$C$3001,MATCH(A4035&amp;"|"&amp;B4035,Numéros!$F$2:$F$3001,0))),""))</f>
        <v/>
      </c>
      <c r="M4035" s="27" t="str">
        <f aca="false">IF(OR(G4035="",G4035="?"),"",IFERROR(INDEX(Pubs!$D$2:$D$3001,MATCH(G4035,Pubs!$A$2:$A$3001,0))&amp;"",""))</f>
        <v/>
      </c>
      <c r="N4035" s="27" t="n">
        <f aca="false">N(N4034)+IF(AND(A4035&lt;&gt;"",OR(Recherche!$C$4="",A4035=Recherche!$C$4),OR(Recherche!$C$5="",B4035&amp;""=Recherche!$C$5&amp;""),OR(Recherche!$C$6="",IFERROR(YEAR(L4035),0)=Recherche!$C$6),OR(Recherche!$C$7="",ISNUMBER(SEARCH(Recherche!$C$7,H4035))),OR(Recherche!$C$8="",J4035=Recherche!$C$8),OR(Recherche!$C$9="",I4035=Recherche!$C$9),OR(Recherche!$C$10="",G4035&amp;""=Recherche!$C$10&amp;""),OR(Recherche!$C$11="",E4035=Recherche!$C$11),OR(Recherche!$C$12="",ISNUMBER(SEARCH(Recherche!$C$12,M4035&amp;" "&amp;F4035)))),1,0)</f>
        <v>8</v>
      </c>
    </row>
    <row r="4036" customFormat="false" ht="15" hidden="false" customHeight="false" outlineLevel="0" collapsed="false">
      <c r="A4036" s="19"/>
      <c r="B4036" s="19"/>
      <c r="C4036" s="19"/>
      <c r="D4036" s="19"/>
      <c r="E4036" s="22"/>
      <c r="F4036" s="19"/>
      <c r="G4036" s="26" t="str">
        <f aca="false">IF(D4036="","",IFERROR(VALUE(LEFT(D4036,FIND(" |",D4036&amp;" |")-1)),"?"))</f>
        <v/>
      </c>
      <c r="H4036" s="27" t="str">
        <f aca="false">IF(G4036="","",IF(G4036="?","⚠ pub inconnue",IFERROR(INDEX(Pubs!$B$2:$B$3001,MATCH(G4036,Pubs!$A$2:$A$3001,0))&amp;"","⚠ pub inconnue")))</f>
        <v/>
      </c>
      <c r="I4036" s="27" t="str">
        <f aca="false">IF(OR(G4036="",G4036="?"),"",IFERROR(INDEX(Pubs!$C$2:$C$3001,MATCH(G4036,Pubs!$A$2:$A$3001,0))&amp;"",""))</f>
        <v/>
      </c>
      <c r="J4036" s="27" t="str">
        <f aca="false">IF(OR(G4036="",G4036="?"),"",IFERROR(INDEX(Pubs!$G$2:$G$3001,MATCH(G4036,Pubs!$A$2:$A$3001,0))&amp;"",""))</f>
        <v/>
      </c>
      <c r="K4036" s="28" t="str">
        <f aca="false">IF(OR(G4036="",G4036="?"),"",IFERROR(INDEX(Pubs!$E$2:$E$3001,MATCH(G4036,Pubs!$A$2:$A$3001,0)),""))</f>
        <v/>
      </c>
      <c r="L4036" s="29" t="str">
        <f aca="false">IF(A4036="","",IFERROR(1/(1/INDEX(Numéros!$C$2:$C$3001,MATCH(A4036&amp;"|"&amp;B4036,Numéros!$F$2:$F$3001,0))),""))</f>
        <v/>
      </c>
      <c r="M4036" s="27" t="str">
        <f aca="false">IF(OR(G4036="",G4036="?"),"",IFERROR(INDEX(Pubs!$D$2:$D$3001,MATCH(G4036,Pubs!$A$2:$A$3001,0))&amp;"",""))</f>
        <v/>
      </c>
      <c r="N4036" s="27" t="n">
        <f aca="false">N(N4035)+IF(AND(A4036&lt;&gt;"",OR(Recherche!$C$4="",A4036=Recherche!$C$4),OR(Recherche!$C$5="",B4036&amp;""=Recherche!$C$5&amp;""),OR(Recherche!$C$6="",IFERROR(YEAR(L4036),0)=Recherche!$C$6),OR(Recherche!$C$7="",ISNUMBER(SEARCH(Recherche!$C$7,H4036))),OR(Recherche!$C$8="",J4036=Recherche!$C$8),OR(Recherche!$C$9="",I4036=Recherche!$C$9),OR(Recherche!$C$10="",G4036&amp;""=Recherche!$C$10&amp;""),OR(Recherche!$C$11="",E4036=Recherche!$C$11),OR(Recherche!$C$12="",ISNUMBER(SEARCH(Recherche!$C$12,M4036&amp;" "&amp;F4036)))),1,0)</f>
        <v>8</v>
      </c>
    </row>
    <row r="4037" customFormat="false" ht="15" hidden="false" customHeight="false" outlineLevel="0" collapsed="false">
      <c r="A4037" s="19"/>
      <c r="B4037" s="19"/>
      <c r="C4037" s="19"/>
      <c r="D4037" s="19"/>
      <c r="E4037" s="22"/>
      <c r="F4037" s="19"/>
      <c r="G4037" s="26" t="str">
        <f aca="false">IF(D4037="","",IFERROR(VALUE(LEFT(D4037,FIND(" |",D4037&amp;" |")-1)),"?"))</f>
        <v/>
      </c>
      <c r="H4037" s="27" t="str">
        <f aca="false">IF(G4037="","",IF(G4037="?","⚠ pub inconnue",IFERROR(INDEX(Pubs!$B$2:$B$3001,MATCH(G4037,Pubs!$A$2:$A$3001,0))&amp;"","⚠ pub inconnue")))</f>
        <v/>
      </c>
      <c r="I4037" s="27" t="str">
        <f aca="false">IF(OR(G4037="",G4037="?"),"",IFERROR(INDEX(Pubs!$C$2:$C$3001,MATCH(G4037,Pubs!$A$2:$A$3001,0))&amp;"",""))</f>
        <v/>
      </c>
      <c r="J4037" s="27" t="str">
        <f aca="false">IF(OR(G4037="",G4037="?"),"",IFERROR(INDEX(Pubs!$G$2:$G$3001,MATCH(G4037,Pubs!$A$2:$A$3001,0))&amp;"",""))</f>
        <v/>
      </c>
      <c r="K4037" s="28" t="str">
        <f aca="false">IF(OR(G4037="",G4037="?"),"",IFERROR(INDEX(Pubs!$E$2:$E$3001,MATCH(G4037,Pubs!$A$2:$A$3001,0)),""))</f>
        <v/>
      </c>
      <c r="L4037" s="29" t="str">
        <f aca="false">IF(A4037="","",IFERROR(1/(1/INDEX(Numéros!$C$2:$C$3001,MATCH(A4037&amp;"|"&amp;B4037,Numéros!$F$2:$F$3001,0))),""))</f>
        <v/>
      </c>
      <c r="M4037" s="27" t="str">
        <f aca="false">IF(OR(G4037="",G4037="?"),"",IFERROR(INDEX(Pubs!$D$2:$D$3001,MATCH(G4037,Pubs!$A$2:$A$3001,0))&amp;"",""))</f>
        <v/>
      </c>
      <c r="N4037" s="27" t="n">
        <f aca="false">N(N4036)+IF(AND(A4037&lt;&gt;"",OR(Recherche!$C$4="",A4037=Recherche!$C$4),OR(Recherche!$C$5="",B4037&amp;""=Recherche!$C$5&amp;""),OR(Recherche!$C$6="",IFERROR(YEAR(L4037),0)=Recherche!$C$6),OR(Recherche!$C$7="",ISNUMBER(SEARCH(Recherche!$C$7,H4037))),OR(Recherche!$C$8="",J4037=Recherche!$C$8),OR(Recherche!$C$9="",I4037=Recherche!$C$9),OR(Recherche!$C$10="",G4037&amp;""=Recherche!$C$10&amp;""),OR(Recherche!$C$11="",E4037=Recherche!$C$11),OR(Recherche!$C$12="",ISNUMBER(SEARCH(Recherche!$C$12,M4037&amp;" "&amp;F4037)))),1,0)</f>
        <v>8</v>
      </c>
    </row>
    <row r="4038" customFormat="false" ht="15" hidden="false" customHeight="false" outlineLevel="0" collapsed="false">
      <c r="A4038" s="19"/>
      <c r="B4038" s="19"/>
      <c r="C4038" s="19"/>
      <c r="D4038" s="19"/>
      <c r="E4038" s="22"/>
      <c r="F4038" s="19"/>
      <c r="G4038" s="26" t="str">
        <f aca="false">IF(D4038="","",IFERROR(VALUE(LEFT(D4038,FIND(" |",D4038&amp;" |")-1)),"?"))</f>
        <v/>
      </c>
      <c r="H4038" s="27" t="str">
        <f aca="false">IF(G4038="","",IF(G4038="?","⚠ pub inconnue",IFERROR(INDEX(Pubs!$B$2:$B$3001,MATCH(G4038,Pubs!$A$2:$A$3001,0))&amp;"","⚠ pub inconnue")))</f>
        <v/>
      </c>
      <c r="I4038" s="27" t="str">
        <f aca="false">IF(OR(G4038="",G4038="?"),"",IFERROR(INDEX(Pubs!$C$2:$C$3001,MATCH(G4038,Pubs!$A$2:$A$3001,0))&amp;"",""))</f>
        <v/>
      </c>
      <c r="J4038" s="27" t="str">
        <f aca="false">IF(OR(G4038="",G4038="?"),"",IFERROR(INDEX(Pubs!$G$2:$G$3001,MATCH(G4038,Pubs!$A$2:$A$3001,0))&amp;"",""))</f>
        <v/>
      </c>
      <c r="K4038" s="28" t="str">
        <f aca="false">IF(OR(G4038="",G4038="?"),"",IFERROR(INDEX(Pubs!$E$2:$E$3001,MATCH(G4038,Pubs!$A$2:$A$3001,0)),""))</f>
        <v/>
      </c>
      <c r="L4038" s="29" t="str">
        <f aca="false">IF(A4038="","",IFERROR(1/(1/INDEX(Numéros!$C$2:$C$3001,MATCH(A4038&amp;"|"&amp;B4038,Numéros!$F$2:$F$3001,0))),""))</f>
        <v/>
      </c>
      <c r="M4038" s="27" t="str">
        <f aca="false">IF(OR(G4038="",G4038="?"),"",IFERROR(INDEX(Pubs!$D$2:$D$3001,MATCH(G4038,Pubs!$A$2:$A$3001,0))&amp;"",""))</f>
        <v/>
      </c>
      <c r="N4038" s="27" t="n">
        <f aca="false">N(N4037)+IF(AND(A4038&lt;&gt;"",OR(Recherche!$C$4="",A4038=Recherche!$C$4),OR(Recherche!$C$5="",B4038&amp;""=Recherche!$C$5&amp;""),OR(Recherche!$C$6="",IFERROR(YEAR(L4038),0)=Recherche!$C$6),OR(Recherche!$C$7="",ISNUMBER(SEARCH(Recherche!$C$7,H4038))),OR(Recherche!$C$8="",J4038=Recherche!$C$8),OR(Recherche!$C$9="",I4038=Recherche!$C$9),OR(Recherche!$C$10="",G4038&amp;""=Recherche!$C$10&amp;""),OR(Recherche!$C$11="",E4038=Recherche!$C$11),OR(Recherche!$C$12="",ISNUMBER(SEARCH(Recherche!$C$12,M4038&amp;" "&amp;F4038)))),1,0)</f>
        <v>8</v>
      </c>
    </row>
    <row r="4039" customFormat="false" ht="15" hidden="false" customHeight="false" outlineLevel="0" collapsed="false">
      <c r="A4039" s="19"/>
      <c r="B4039" s="19"/>
      <c r="C4039" s="19"/>
      <c r="D4039" s="19"/>
      <c r="E4039" s="22"/>
      <c r="F4039" s="19"/>
      <c r="G4039" s="26" t="str">
        <f aca="false">IF(D4039="","",IFERROR(VALUE(LEFT(D4039,FIND(" |",D4039&amp;" |")-1)),"?"))</f>
        <v/>
      </c>
      <c r="H4039" s="27" t="str">
        <f aca="false">IF(G4039="","",IF(G4039="?","⚠ pub inconnue",IFERROR(INDEX(Pubs!$B$2:$B$3001,MATCH(G4039,Pubs!$A$2:$A$3001,0))&amp;"","⚠ pub inconnue")))</f>
        <v/>
      </c>
      <c r="I4039" s="27" t="str">
        <f aca="false">IF(OR(G4039="",G4039="?"),"",IFERROR(INDEX(Pubs!$C$2:$C$3001,MATCH(G4039,Pubs!$A$2:$A$3001,0))&amp;"",""))</f>
        <v/>
      </c>
      <c r="J4039" s="27" t="str">
        <f aca="false">IF(OR(G4039="",G4039="?"),"",IFERROR(INDEX(Pubs!$G$2:$G$3001,MATCH(G4039,Pubs!$A$2:$A$3001,0))&amp;"",""))</f>
        <v/>
      </c>
      <c r="K4039" s="28" t="str">
        <f aca="false">IF(OR(G4039="",G4039="?"),"",IFERROR(INDEX(Pubs!$E$2:$E$3001,MATCH(G4039,Pubs!$A$2:$A$3001,0)),""))</f>
        <v/>
      </c>
      <c r="L4039" s="29" t="str">
        <f aca="false">IF(A4039="","",IFERROR(1/(1/INDEX(Numéros!$C$2:$C$3001,MATCH(A4039&amp;"|"&amp;B4039,Numéros!$F$2:$F$3001,0))),""))</f>
        <v/>
      </c>
      <c r="M4039" s="27" t="str">
        <f aca="false">IF(OR(G4039="",G4039="?"),"",IFERROR(INDEX(Pubs!$D$2:$D$3001,MATCH(G4039,Pubs!$A$2:$A$3001,0))&amp;"",""))</f>
        <v/>
      </c>
      <c r="N4039" s="27" t="n">
        <f aca="false">N(N4038)+IF(AND(A4039&lt;&gt;"",OR(Recherche!$C$4="",A4039=Recherche!$C$4),OR(Recherche!$C$5="",B4039&amp;""=Recherche!$C$5&amp;""),OR(Recherche!$C$6="",IFERROR(YEAR(L4039),0)=Recherche!$C$6),OR(Recherche!$C$7="",ISNUMBER(SEARCH(Recherche!$C$7,H4039))),OR(Recherche!$C$8="",J4039=Recherche!$C$8),OR(Recherche!$C$9="",I4039=Recherche!$C$9),OR(Recherche!$C$10="",G4039&amp;""=Recherche!$C$10&amp;""),OR(Recherche!$C$11="",E4039=Recherche!$C$11),OR(Recherche!$C$12="",ISNUMBER(SEARCH(Recherche!$C$12,M4039&amp;" "&amp;F4039)))),1,0)</f>
        <v>8</v>
      </c>
    </row>
    <row r="4040" customFormat="false" ht="15" hidden="false" customHeight="false" outlineLevel="0" collapsed="false">
      <c r="A4040" s="19"/>
      <c r="B4040" s="19"/>
      <c r="C4040" s="19"/>
      <c r="D4040" s="19"/>
      <c r="E4040" s="22"/>
      <c r="F4040" s="19"/>
      <c r="G4040" s="26" t="str">
        <f aca="false">IF(D4040="","",IFERROR(VALUE(LEFT(D4040,FIND(" |",D4040&amp;" |")-1)),"?"))</f>
        <v/>
      </c>
      <c r="H4040" s="27" t="str">
        <f aca="false">IF(G4040="","",IF(G4040="?","⚠ pub inconnue",IFERROR(INDEX(Pubs!$B$2:$B$3001,MATCH(G4040,Pubs!$A$2:$A$3001,0))&amp;"","⚠ pub inconnue")))</f>
        <v/>
      </c>
      <c r="I4040" s="27" t="str">
        <f aca="false">IF(OR(G4040="",G4040="?"),"",IFERROR(INDEX(Pubs!$C$2:$C$3001,MATCH(G4040,Pubs!$A$2:$A$3001,0))&amp;"",""))</f>
        <v/>
      </c>
      <c r="J4040" s="27" t="str">
        <f aca="false">IF(OR(G4040="",G4040="?"),"",IFERROR(INDEX(Pubs!$G$2:$G$3001,MATCH(G4040,Pubs!$A$2:$A$3001,0))&amp;"",""))</f>
        <v/>
      </c>
      <c r="K4040" s="28" t="str">
        <f aca="false">IF(OR(G4040="",G4040="?"),"",IFERROR(INDEX(Pubs!$E$2:$E$3001,MATCH(G4040,Pubs!$A$2:$A$3001,0)),""))</f>
        <v/>
      </c>
      <c r="L4040" s="29" t="str">
        <f aca="false">IF(A4040="","",IFERROR(1/(1/INDEX(Numéros!$C$2:$C$3001,MATCH(A4040&amp;"|"&amp;B4040,Numéros!$F$2:$F$3001,0))),""))</f>
        <v/>
      </c>
      <c r="M4040" s="27" t="str">
        <f aca="false">IF(OR(G4040="",G4040="?"),"",IFERROR(INDEX(Pubs!$D$2:$D$3001,MATCH(G4040,Pubs!$A$2:$A$3001,0))&amp;"",""))</f>
        <v/>
      </c>
      <c r="N4040" s="27" t="n">
        <f aca="false">N(N4039)+IF(AND(A4040&lt;&gt;"",OR(Recherche!$C$4="",A4040=Recherche!$C$4),OR(Recherche!$C$5="",B4040&amp;""=Recherche!$C$5&amp;""),OR(Recherche!$C$6="",IFERROR(YEAR(L4040),0)=Recherche!$C$6),OR(Recherche!$C$7="",ISNUMBER(SEARCH(Recherche!$C$7,H4040))),OR(Recherche!$C$8="",J4040=Recherche!$C$8),OR(Recherche!$C$9="",I4040=Recherche!$C$9),OR(Recherche!$C$10="",G4040&amp;""=Recherche!$C$10&amp;""),OR(Recherche!$C$11="",E4040=Recherche!$C$11),OR(Recherche!$C$12="",ISNUMBER(SEARCH(Recherche!$C$12,M4040&amp;" "&amp;F4040)))),1,0)</f>
        <v>8</v>
      </c>
    </row>
    <row r="4041" customFormat="false" ht="15" hidden="false" customHeight="false" outlineLevel="0" collapsed="false">
      <c r="A4041" s="19"/>
      <c r="B4041" s="19"/>
      <c r="C4041" s="19"/>
      <c r="D4041" s="19"/>
      <c r="E4041" s="22"/>
      <c r="F4041" s="19"/>
      <c r="G4041" s="26" t="str">
        <f aca="false">IF(D4041="","",IFERROR(VALUE(LEFT(D4041,FIND(" |",D4041&amp;" |")-1)),"?"))</f>
        <v/>
      </c>
      <c r="H4041" s="27" t="str">
        <f aca="false">IF(G4041="","",IF(G4041="?","⚠ pub inconnue",IFERROR(INDEX(Pubs!$B$2:$B$3001,MATCH(G4041,Pubs!$A$2:$A$3001,0))&amp;"","⚠ pub inconnue")))</f>
        <v/>
      </c>
      <c r="I4041" s="27" t="str">
        <f aca="false">IF(OR(G4041="",G4041="?"),"",IFERROR(INDEX(Pubs!$C$2:$C$3001,MATCH(G4041,Pubs!$A$2:$A$3001,0))&amp;"",""))</f>
        <v/>
      </c>
      <c r="J4041" s="27" t="str">
        <f aca="false">IF(OR(G4041="",G4041="?"),"",IFERROR(INDEX(Pubs!$G$2:$G$3001,MATCH(G4041,Pubs!$A$2:$A$3001,0))&amp;"",""))</f>
        <v/>
      </c>
      <c r="K4041" s="28" t="str">
        <f aca="false">IF(OR(G4041="",G4041="?"),"",IFERROR(INDEX(Pubs!$E$2:$E$3001,MATCH(G4041,Pubs!$A$2:$A$3001,0)),""))</f>
        <v/>
      </c>
      <c r="L4041" s="29" t="str">
        <f aca="false">IF(A4041="","",IFERROR(1/(1/INDEX(Numéros!$C$2:$C$3001,MATCH(A4041&amp;"|"&amp;B4041,Numéros!$F$2:$F$3001,0))),""))</f>
        <v/>
      </c>
      <c r="M4041" s="27" t="str">
        <f aca="false">IF(OR(G4041="",G4041="?"),"",IFERROR(INDEX(Pubs!$D$2:$D$3001,MATCH(G4041,Pubs!$A$2:$A$3001,0))&amp;"",""))</f>
        <v/>
      </c>
      <c r="N4041" s="27" t="n">
        <f aca="false">N(N4040)+IF(AND(A4041&lt;&gt;"",OR(Recherche!$C$4="",A4041=Recherche!$C$4),OR(Recherche!$C$5="",B4041&amp;""=Recherche!$C$5&amp;""),OR(Recherche!$C$6="",IFERROR(YEAR(L4041),0)=Recherche!$C$6),OR(Recherche!$C$7="",ISNUMBER(SEARCH(Recherche!$C$7,H4041))),OR(Recherche!$C$8="",J4041=Recherche!$C$8),OR(Recherche!$C$9="",I4041=Recherche!$C$9),OR(Recherche!$C$10="",G4041&amp;""=Recherche!$C$10&amp;""),OR(Recherche!$C$11="",E4041=Recherche!$C$11),OR(Recherche!$C$12="",ISNUMBER(SEARCH(Recherche!$C$12,M4041&amp;" "&amp;F4041)))),1,0)</f>
        <v>8</v>
      </c>
    </row>
    <row r="4042" customFormat="false" ht="15" hidden="false" customHeight="false" outlineLevel="0" collapsed="false">
      <c r="A4042" s="19"/>
      <c r="B4042" s="19"/>
      <c r="C4042" s="19"/>
      <c r="D4042" s="19"/>
      <c r="E4042" s="22"/>
      <c r="F4042" s="19"/>
      <c r="G4042" s="26" t="str">
        <f aca="false">IF(D4042="","",IFERROR(VALUE(LEFT(D4042,FIND(" |",D4042&amp;" |")-1)),"?"))</f>
        <v/>
      </c>
      <c r="H4042" s="27" t="str">
        <f aca="false">IF(G4042="","",IF(G4042="?","⚠ pub inconnue",IFERROR(INDEX(Pubs!$B$2:$B$3001,MATCH(G4042,Pubs!$A$2:$A$3001,0))&amp;"","⚠ pub inconnue")))</f>
        <v/>
      </c>
      <c r="I4042" s="27" t="str">
        <f aca="false">IF(OR(G4042="",G4042="?"),"",IFERROR(INDEX(Pubs!$C$2:$C$3001,MATCH(G4042,Pubs!$A$2:$A$3001,0))&amp;"",""))</f>
        <v/>
      </c>
      <c r="J4042" s="27" t="str">
        <f aca="false">IF(OR(G4042="",G4042="?"),"",IFERROR(INDEX(Pubs!$G$2:$G$3001,MATCH(G4042,Pubs!$A$2:$A$3001,0))&amp;"",""))</f>
        <v/>
      </c>
      <c r="K4042" s="28" t="str">
        <f aca="false">IF(OR(G4042="",G4042="?"),"",IFERROR(INDEX(Pubs!$E$2:$E$3001,MATCH(G4042,Pubs!$A$2:$A$3001,0)),""))</f>
        <v/>
      </c>
      <c r="L4042" s="29" t="str">
        <f aca="false">IF(A4042="","",IFERROR(1/(1/INDEX(Numéros!$C$2:$C$3001,MATCH(A4042&amp;"|"&amp;B4042,Numéros!$F$2:$F$3001,0))),""))</f>
        <v/>
      </c>
      <c r="M4042" s="27" t="str">
        <f aca="false">IF(OR(G4042="",G4042="?"),"",IFERROR(INDEX(Pubs!$D$2:$D$3001,MATCH(G4042,Pubs!$A$2:$A$3001,0))&amp;"",""))</f>
        <v/>
      </c>
      <c r="N4042" s="27" t="n">
        <f aca="false">N(N4041)+IF(AND(A4042&lt;&gt;"",OR(Recherche!$C$4="",A4042=Recherche!$C$4),OR(Recherche!$C$5="",B4042&amp;""=Recherche!$C$5&amp;""),OR(Recherche!$C$6="",IFERROR(YEAR(L4042),0)=Recherche!$C$6),OR(Recherche!$C$7="",ISNUMBER(SEARCH(Recherche!$C$7,H4042))),OR(Recherche!$C$8="",J4042=Recherche!$C$8),OR(Recherche!$C$9="",I4042=Recherche!$C$9),OR(Recherche!$C$10="",G4042&amp;""=Recherche!$C$10&amp;""),OR(Recherche!$C$11="",E4042=Recherche!$C$11),OR(Recherche!$C$12="",ISNUMBER(SEARCH(Recherche!$C$12,M4042&amp;" "&amp;F4042)))),1,0)</f>
        <v>8</v>
      </c>
    </row>
    <row r="4043" customFormat="false" ht="15" hidden="false" customHeight="false" outlineLevel="0" collapsed="false">
      <c r="A4043" s="19"/>
      <c r="B4043" s="19"/>
      <c r="C4043" s="19"/>
      <c r="D4043" s="19"/>
      <c r="E4043" s="22"/>
      <c r="F4043" s="19"/>
      <c r="G4043" s="26" t="str">
        <f aca="false">IF(D4043="","",IFERROR(VALUE(LEFT(D4043,FIND(" |",D4043&amp;" |")-1)),"?"))</f>
        <v/>
      </c>
      <c r="H4043" s="27" t="str">
        <f aca="false">IF(G4043="","",IF(G4043="?","⚠ pub inconnue",IFERROR(INDEX(Pubs!$B$2:$B$3001,MATCH(G4043,Pubs!$A$2:$A$3001,0))&amp;"","⚠ pub inconnue")))</f>
        <v/>
      </c>
      <c r="I4043" s="27" t="str">
        <f aca="false">IF(OR(G4043="",G4043="?"),"",IFERROR(INDEX(Pubs!$C$2:$C$3001,MATCH(G4043,Pubs!$A$2:$A$3001,0))&amp;"",""))</f>
        <v/>
      </c>
      <c r="J4043" s="27" t="str">
        <f aca="false">IF(OR(G4043="",G4043="?"),"",IFERROR(INDEX(Pubs!$G$2:$G$3001,MATCH(G4043,Pubs!$A$2:$A$3001,0))&amp;"",""))</f>
        <v/>
      </c>
      <c r="K4043" s="28" t="str">
        <f aca="false">IF(OR(G4043="",G4043="?"),"",IFERROR(INDEX(Pubs!$E$2:$E$3001,MATCH(G4043,Pubs!$A$2:$A$3001,0)),""))</f>
        <v/>
      </c>
      <c r="L4043" s="29" t="str">
        <f aca="false">IF(A4043="","",IFERROR(1/(1/INDEX(Numéros!$C$2:$C$3001,MATCH(A4043&amp;"|"&amp;B4043,Numéros!$F$2:$F$3001,0))),""))</f>
        <v/>
      </c>
      <c r="M4043" s="27" t="str">
        <f aca="false">IF(OR(G4043="",G4043="?"),"",IFERROR(INDEX(Pubs!$D$2:$D$3001,MATCH(G4043,Pubs!$A$2:$A$3001,0))&amp;"",""))</f>
        <v/>
      </c>
      <c r="N4043" s="27" t="n">
        <f aca="false">N(N4042)+IF(AND(A4043&lt;&gt;"",OR(Recherche!$C$4="",A4043=Recherche!$C$4),OR(Recherche!$C$5="",B4043&amp;""=Recherche!$C$5&amp;""),OR(Recherche!$C$6="",IFERROR(YEAR(L4043),0)=Recherche!$C$6),OR(Recherche!$C$7="",ISNUMBER(SEARCH(Recherche!$C$7,H4043))),OR(Recherche!$C$8="",J4043=Recherche!$C$8),OR(Recherche!$C$9="",I4043=Recherche!$C$9),OR(Recherche!$C$10="",G4043&amp;""=Recherche!$C$10&amp;""),OR(Recherche!$C$11="",E4043=Recherche!$C$11),OR(Recherche!$C$12="",ISNUMBER(SEARCH(Recherche!$C$12,M4043&amp;" "&amp;F4043)))),1,0)</f>
        <v>8</v>
      </c>
    </row>
    <row r="4044" customFormat="false" ht="15" hidden="false" customHeight="false" outlineLevel="0" collapsed="false">
      <c r="A4044" s="19"/>
      <c r="B4044" s="19"/>
      <c r="C4044" s="19"/>
      <c r="D4044" s="19"/>
      <c r="E4044" s="22"/>
      <c r="F4044" s="19"/>
      <c r="G4044" s="26" t="str">
        <f aca="false">IF(D4044="","",IFERROR(VALUE(LEFT(D4044,FIND(" |",D4044&amp;" |")-1)),"?"))</f>
        <v/>
      </c>
      <c r="H4044" s="27" t="str">
        <f aca="false">IF(G4044="","",IF(G4044="?","⚠ pub inconnue",IFERROR(INDEX(Pubs!$B$2:$B$3001,MATCH(G4044,Pubs!$A$2:$A$3001,0))&amp;"","⚠ pub inconnue")))</f>
        <v/>
      </c>
      <c r="I4044" s="27" t="str">
        <f aca="false">IF(OR(G4044="",G4044="?"),"",IFERROR(INDEX(Pubs!$C$2:$C$3001,MATCH(G4044,Pubs!$A$2:$A$3001,0))&amp;"",""))</f>
        <v/>
      </c>
      <c r="J4044" s="27" t="str">
        <f aca="false">IF(OR(G4044="",G4044="?"),"",IFERROR(INDEX(Pubs!$G$2:$G$3001,MATCH(G4044,Pubs!$A$2:$A$3001,0))&amp;"",""))</f>
        <v/>
      </c>
      <c r="K4044" s="28" t="str">
        <f aca="false">IF(OR(G4044="",G4044="?"),"",IFERROR(INDEX(Pubs!$E$2:$E$3001,MATCH(G4044,Pubs!$A$2:$A$3001,0)),""))</f>
        <v/>
      </c>
      <c r="L4044" s="29" t="str">
        <f aca="false">IF(A4044="","",IFERROR(1/(1/INDEX(Numéros!$C$2:$C$3001,MATCH(A4044&amp;"|"&amp;B4044,Numéros!$F$2:$F$3001,0))),""))</f>
        <v/>
      </c>
      <c r="M4044" s="27" t="str">
        <f aca="false">IF(OR(G4044="",G4044="?"),"",IFERROR(INDEX(Pubs!$D$2:$D$3001,MATCH(G4044,Pubs!$A$2:$A$3001,0))&amp;"",""))</f>
        <v/>
      </c>
      <c r="N4044" s="27" t="n">
        <f aca="false">N(N4043)+IF(AND(A4044&lt;&gt;"",OR(Recherche!$C$4="",A4044=Recherche!$C$4),OR(Recherche!$C$5="",B4044&amp;""=Recherche!$C$5&amp;""),OR(Recherche!$C$6="",IFERROR(YEAR(L4044),0)=Recherche!$C$6),OR(Recherche!$C$7="",ISNUMBER(SEARCH(Recherche!$C$7,H4044))),OR(Recherche!$C$8="",J4044=Recherche!$C$8),OR(Recherche!$C$9="",I4044=Recherche!$C$9),OR(Recherche!$C$10="",G4044&amp;""=Recherche!$C$10&amp;""),OR(Recherche!$C$11="",E4044=Recherche!$C$11),OR(Recherche!$C$12="",ISNUMBER(SEARCH(Recherche!$C$12,M4044&amp;" "&amp;F4044)))),1,0)</f>
        <v>8</v>
      </c>
    </row>
    <row r="4045" customFormat="false" ht="15" hidden="false" customHeight="false" outlineLevel="0" collapsed="false">
      <c r="A4045" s="19"/>
      <c r="B4045" s="19"/>
      <c r="C4045" s="19"/>
      <c r="D4045" s="19"/>
      <c r="E4045" s="22"/>
      <c r="F4045" s="19"/>
      <c r="G4045" s="26" t="str">
        <f aca="false">IF(D4045="","",IFERROR(VALUE(LEFT(D4045,FIND(" |",D4045&amp;" |")-1)),"?"))</f>
        <v/>
      </c>
      <c r="H4045" s="27" t="str">
        <f aca="false">IF(G4045="","",IF(G4045="?","⚠ pub inconnue",IFERROR(INDEX(Pubs!$B$2:$B$3001,MATCH(G4045,Pubs!$A$2:$A$3001,0))&amp;"","⚠ pub inconnue")))</f>
        <v/>
      </c>
      <c r="I4045" s="27" t="str">
        <f aca="false">IF(OR(G4045="",G4045="?"),"",IFERROR(INDEX(Pubs!$C$2:$C$3001,MATCH(G4045,Pubs!$A$2:$A$3001,0))&amp;"",""))</f>
        <v/>
      </c>
      <c r="J4045" s="27" t="str">
        <f aca="false">IF(OR(G4045="",G4045="?"),"",IFERROR(INDEX(Pubs!$G$2:$G$3001,MATCH(G4045,Pubs!$A$2:$A$3001,0))&amp;"",""))</f>
        <v/>
      </c>
      <c r="K4045" s="28" t="str">
        <f aca="false">IF(OR(G4045="",G4045="?"),"",IFERROR(INDEX(Pubs!$E$2:$E$3001,MATCH(G4045,Pubs!$A$2:$A$3001,0)),""))</f>
        <v/>
      </c>
      <c r="L4045" s="29" t="str">
        <f aca="false">IF(A4045="","",IFERROR(1/(1/INDEX(Numéros!$C$2:$C$3001,MATCH(A4045&amp;"|"&amp;B4045,Numéros!$F$2:$F$3001,0))),""))</f>
        <v/>
      </c>
      <c r="M4045" s="27" t="str">
        <f aca="false">IF(OR(G4045="",G4045="?"),"",IFERROR(INDEX(Pubs!$D$2:$D$3001,MATCH(G4045,Pubs!$A$2:$A$3001,0))&amp;"",""))</f>
        <v/>
      </c>
      <c r="N4045" s="27" t="n">
        <f aca="false">N(N4044)+IF(AND(A4045&lt;&gt;"",OR(Recherche!$C$4="",A4045=Recherche!$C$4),OR(Recherche!$C$5="",B4045&amp;""=Recherche!$C$5&amp;""),OR(Recherche!$C$6="",IFERROR(YEAR(L4045),0)=Recherche!$C$6),OR(Recherche!$C$7="",ISNUMBER(SEARCH(Recherche!$C$7,H4045))),OR(Recherche!$C$8="",J4045=Recherche!$C$8),OR(Recherche!$C$9="",I4045=Recherche!$C$9),OR(Recherche!$C$10="",G4045&amp;""=Recherche!$C$10&amp;""),OR(Recherche!$C$11="",E4045=Recherche!$C$11),OR(Recherche!$C$12="",ISNUMBER(SEARCH(Recherche!$C$12,M4045&amp;" "&amp;F4045)))),1,0)</f>
        <v>8</v>
      </c>
    </row>
    <row r="4046" customFormat="false" ht="15" hidden="false" customHeight="false" outlineLevel="0" collapsed="false">
      <c r="A4046" s="19"/>
      <c r="B4046" s="19"/>
      <c r="C4046" s="19"/>
      <c r="D4046" s="19"/>
      <c r="E4046" s="22"/>
      <c r="F4046" s="19"/>
      <c r="G4046" s="26" t="str">
        <f aca="false">IF(D4046="","",IFERROR(VALUE(LEFT(D4046,FIND(" |",D4046&amp;" |")-1)),"?"))</f>
        <v/>
      </c>
      <c r="H4046" s="27" t="str">
        <f aca="false">IF(G4046="","",IF(G4046="?","⚠ pub inconnue",IFERROR(INDEX(Pubs!$B$2:$B$3001,MATCH(G4046,Pubs!$A$2:$A$3001,0))&amp;"","⚠ pub inconnue")))</f>
        <v/>
      </c>
      <c r="I4046" s="27" t="str">
        <f aca="false">IF(OR(G4046="",G4046="?"),"",IFERROR(INDEX(Pubs!$C$2:$C$3001,MATCH(G4046,Pubs!$A$2:$A$3001,0))&amp;"",""))</f>
        <v/>
      </c>
      <c r="J4046" s="27" t="str">
        <f aca="false">IF(OR(G4046="",G4046="?"),"",IFERROR(INDEX(Pubs!$G$2:$G$3001,MATCH(G4046,Pubs!$A$2:$A$3001,0))&amp;"",""))</f>
        <v/>
      </c>
      <c r="K4046" s="28" t="str">
        <f aca="false">IF(OR(G4046="",G4046="?"),"",IFERROR(INDEX(Pubs!$E$2:$E$3001,MATCH(G4046,Pubs!$A$2:$A$3001,0)),""))</f>
        <v/>
      </c>
      <c r="L4046" s="29" t="str">
        <f aca="false">IF(A4046="","",IFERROR(1/(1/INDEX(Numéros!$C$2:$C$3001,MATCH(A4046&amp;"|"&amp;B4046,Numéros!$F$2:$F$3001,0))),""))</f>
        <v/>
      </c>
      <c r="M4046" s="27" t="str">
        <f aca="false">IF(OR(G4046="",G4046="?"),"",IFERROR(INDEX(Pubs!$D$2:$D$3001,MATCH(G4046,Pubs!$A$2:$A$3001,0))&amp;"",""))</f>
        <v/>
      </c>
      <c r="N4046" s="27" t="n">
        <f aca="false">N(N4045)+IF(AND(A4046&lt;&gt;"",OR(Recherche!$C$4="",A4046=Recherche!$C$4),OR(Recherche!$C$5="",B4046&amp;""=Recherche!$C$5&amp;""),OR(Recherche!$C$6="",IFERROR(YEAR(L4046),0)=Recherche!$C$6),OR(Recherche!$C$7="",ISNUMBER(SEARCH(Recherche!$C$7,H4046))),OR(Recherche!$C$8="",J4046=Recherche!$C$8),OR(Recherche!$C$9="",I4046=Recherche!$C$9),OR(Recherche!$C$10="",G4046&amp;""=Recherche!$C$10&amp;""),OR(Recherche!$C$11="",E4046=Recherche!$C$11),OR(Recherche!$C$12="",ISNUMBER(SEARCH(Recherche!$C$12,M4046&amp;" "&amp;F4046)))),1,0)</f>
        <v>8</v>
      </c>
    </row>
    <row r="4047" customFormat="false" ht="15" hidden="false" customHeight="false" outlineLevel="0" collapsed="false">
      <c r="A4047" s="19"/>
      <c r="B4047" s="19"/>
      <c r="C4047" s="19"/>
      <c r="D4047" s="19"/>
      <c r="E4047" s="22"/>
      <c r="F4047" s="19"/>
      <c r="G4047" s="26" t="str">
        <f aca="false">IF(D4047="","",IFERROR(VALUE(LEFT(D4047,FIND(" |",D4047&amp;" |")-1)),"?"))</f>
        <v/>
      </c>
      <c r="H4047" s="27" t="str">
        <f aca="false">IF(G4047="","",IF(G4047="?","⚠ pub inconnue",IFERROR(INDEX(Pubs!$B$2:$B$3001,MATCH(G4047,Pubs!$A$2:$A$3001,0))&amp;"","⚠ pub inconnue")))</f>
        <v/>
      </c>
      <c r="I4047" s="27" t="str">
        <f aca="false">IF(OR(G4047="",G4047="?"),"",IFERROR(INDEX(Pubs!$C$2:$C$3001,MATCH(G4047,Pubs!$A$2:$A$3001,0))&amp;"",""))</f>
        <v/>
      </c>
      <c r="J4047" s="27" t="str">
        <f aca="false">IF(OR(G4047="",G4047="?"),"",IFERROR(INDEX(Pubs!$G$2:$G$3001,MATCH(G4047,Pubs!$A$2:$A$3001,0))&amp;"",""))</f>
        <v/>
      </c>
      <c r="K4047" s="28" t="str">
        <f aca="false">IF(OR(G4047="",G4047="?"),"",IFERROR(INDEX(Pubs!$E$2:$E$3001,MATCH(G4047,Pubs!$A$2:$A$3001,0)),""))</f>
        <v/>
      </c>
      <c r="L4047" s="29" t="str">
        <f aca="false">IF(A4047="","",IFERROR(1/(1/INDEX(Numéros!$C$2:$C$3001,MATCH(A4047&amp;"|"&amp;B4047,Numéros!$F$2:$F$3001,0))),""))</f>
        <v/>
      </c>
      <c r="M4047" s="27" t="str">
        <f aca="false">IF(OR(G4047="",G4047="?"),"",IFERROR(INDEX(Pubs!$D$2:$D$3001,MATCH(G4047,Pubs!$A$2:$A$3001,0))&amp;"",""))</f>
        <v/>
      </c>
      <c r="N4047" s="27" t="n">
        <f aca="false">N(N4046)+IF(AND(A4047&lt;&gt;"",OR(Recherche!$C$4="",A4047=Recherche!$C$4),OR(Recherche!$C$5="",B4047&amp;""=Recherche!$C$5&amp;""),OR(Recherche!$C$6="",IFERROR(YEAR(L4047),0)=Recherche!$C$6),OR(Recherche!$C$7="",ISNUMBER(SEARCH(Recherche!$C$7,H4047))),OR(Recherche!$C$8="",J4047=Recherche!$C$8),OR(Recherche!$C$9="",I4047=Recherche!$C$9),OR(Recherche!$C$10="",G4047&amp;""=Recherche!$C$10&amp;""),OR(Recherche!$C$11="",E4047=Recherche!$C$11),OR(Recherche!$C$12="",ISNUMBER(SEARCH(Recherche!$C$12,M4047&amp;" "&amp;F4047)))),1,0)</f>
        <v>8</v>
      </c>
    </row>
    <row r="4048" customFormat="false" ht="15" hidden="false" customHeight="false" outlineLevel="0" collapsed="false">
      <c r="A4048" s="19"/>
      <c r="B4048" s="19"/>
      <c r="C4048" s="19"/>
      <c r="D4048" s="19"/>
      <c r="E4048" s="22"/>
      <c r="F4048" s="19"/>
      <c r="G4048" s="26" t="str">
        <f aca="false">IF(D4048="","",IFERROR(VALUE(LEFT(D4048,FIND(" |",D4048&amp;" |")-1)),"?"))</f>
        <v/>
      </c>
      <c r="H4048" s="27" t="str">
        <f aca="false">IF(G4048="","",IF(G4048="?","⚠ pub inconnue",IFERROR(INDEX(Pubs!$B$2:$B$3001,MATCH(G4048,Pubs!$A$2:$A$3001,0))&amp;"","⚠ pub inconnue")))</f>
        <v/>
      </c>
      <c r="I4048" s="27" t="str">
        <f aca="false">IF(OR(G4048="",G4048="?"),"",IFERROR(INDEX(Pubs!$C$2:$C$3001,MATCH(G4048,Pubs!$A$2:$A$3001,0))&amp;"",""))</f>
        <v/>
      </c>
      <c r="J4048" s="27" t="str">
        <f aca="false">IF(OR(G4048="",G4048="?"),"",IFERROR(INDEX(Pubs!$G$2:$G$3001,MATCH(G4048,Pubs!$A$2:$A$3001,0))&amp;"",""))</f>
        <v/>
      </c>
      <c r="K4048" s="28" t="str">
        <f aca="false">IF(OR(G4048="",G4048="?"),"",IFERROR(INDEX(Pubs!$E$2:$E$3001,MATCH(G4048,Pubs!$A$2:$A$3001,0)),""))</f>
        <v/>
      </c>
      <c r="L4048" s="29" t="str">
        <f aca="false">IF(A4048="","",IFERROR(1/(1/INDEX(Numéros!$C$2:$C$3001,MATCH(A4048&amp;"|"&amp;B4048,Numéros!$F$2:$F$3001,0))),""))</f>
        <v/>
      </c>
      <c r="M4048" s="27" t="str">
        <f aca="false">IF(OR(G4048="",G4048="?"),"",IFERROR(INDEX(Pubs!$D$2:$D$3001,MATCH(G4048,Pubs!$A$2:$A$3001,0))&amp;"",""))</f>
        <v/>
      </c>
      <c r="N4048" s="27" t="n">
        <f aca="false">N(N4047)+IF(AND(A4048&lt;&gt;"",OR(Recherche!$C$4="",A4048=Recherche!$C$4),OR(Recherche!$C$5="",B4048&amp;""=Recherche!$C$5&amp;""),OR(Recherche!$C$6="",IFERROR(YEAR(L4048),0)=Recherche!$C$6),OR(Recherche!$C$7="",ISNUMBER(SEARCH(Recherche!$C$7,H4048))),OR(Recherche!$C$8="",J4048=Recherche!$C$8),OR(Recherche!$C$9="",I4048=Recherche!$C$9),OR(Recherche!$C$10="",G4048&amp;""=Recherche!$C$10&amp;""),OR(Recherche!$C$11="",E4048=Recherche!$C$11),OR(Recherche!$C$12="",ISNUMBER(SEARCH(Recherche!$C$12,M4048&amp;" "&amp;F4048)))),1,0)</f>
        <v>8</v>
      </c>
    </row>
    <row r="4049" customFormat="false" ht="15" hidden="false" customHeight="false" outlineLevel="0" collapsed="false">
      <c r="A4049" s="19"/>
      <c r="B4049" s="19"/>
      <c r="C4049" s="19"/>
      <c r="D4049" s="19"/>
      <c r="E4049" s="22"/>
      <c r="F4049" s="19"/>
      <c r="G4049" s="26" t="str">
        <f aca="false">IF(D4049="","",IFERROR(VALUE(LEFT(D4049,FIND(" |",D4049&amp;" |")-1)),"?"))</f>
        <v/>
      </c>
      <c r="H4049" s="27" t="str">
        <f aca="false">IF(G4049="","",IF(G4049="?","⚠ pub inconnue",IFERROR(INDEX(Pubs!$B$2:$B$3001,MATCH(G4049,Pubs!$A$2:$A$3001,0))&amp;"","⚠ pub inconnue")))</f>
        <v/>
      </c>
      <c r="I4049" s="27" t="str">
        <f aca="false">IF(OR(G4049="",G4049="?"),"",IFERROR(INDEX(Pubs!$C$2:$C$3001,MATCH(G4049,Pubs!$A$2:$A$3001,0))&amp;"",""))</f>
        <v/>
      </c>
      <c r="J4049" s="27" t="str">
        <f aca="false">IF(OR(G4049="",G4049="?"),"",IFERROR(INDEX(Pubs!$G$2:$G$3001,MATCH(G4049,Pubs!$A$2:$A$3001,0))&amp;"",""))</f>
        <v/>
      </c>
      <c r="K4049" s="28" t="str">
        <f aca="false">IF(OR(G4049="",G4049="?"),"",IFERROR(INDEX(Pubs!$E$2:$E$3001,MATCH(G4049,Pubs!$A$2:$A$3001,0)),""))</f>
        <v/>
      </c>
      <c r="L4049" s="29" t="str">
        <f aca="false">IF(A4049="","",IFERROR(1/(1/INDEX(Numéros!$C$2:$C$3001,MATCH(A4049&amp;"|"&amp;B4049,Numéros!$F$2:$F$3001,0))),""))</f>
        <v/>
      </c>
      <c r="M4049" s="27" t="str">
        <f aca="false">IF(OR(G4049="",G4049="?"),"",IFERROR(INDEX(Pubs!$D$2:$D$3001,MATCH(G4049,Pubs!$A$2:$A$3001,0))&amp;"",""))</f>
        <v/>
      </c>
      <c r="N4049" s="27" t="n">
        <f aca="false">N(N4048)+IF(AND(A4049&lt;&gt;"",OR(Recherche!$C$4="",A4049=Recherche!$C$4),OR(Recherche!$C$5="",B4049&amp;""=Recherche!$C$5&amp;""),OR(Recherche!$C$6="",IFERROR(YEAR(L4049),0)=Recherche!$C$6),OR(Recherche!$C$7="",ISNUMBER(SEARCH(Recherche!$C$7,H4049))),OR(Recherche!$C$8="",J4049=Recherche!$C$8),OR(Recherche!$C$9="",I4049=Recherche!$C$9),OR(Recherche!$C$10="",G4049&amp;""=Recherche!$C$10&amp;""),OR(Recherche!$C$11="",E4049=Recherche!$C$11),OR(Recherche!$C$12="",ISNUMBER(SEARCH(Recherche!$C$12,M4049&amp;" "&amp;F4049)))),1,0)</f>
        <v>8</v>
      </c>
    </row>
    <row r="4050" customFormat="false" ht="15" hidden="false" customHeight="false" outlineLevel="0" collapsed="false">
      <c r="A4050" s="19"/>
      <c r="B4050" s="19"/>
      <c r="C4050" s="19"/>
      <c r="D4050" s="19"/>
      <c r="E4050" s="22"/>
      <c r="F4050" s="19"/>
      <c r="G4050" s="26" t="str">
        <f aca="false">IF(D4050="","",IFERROR(VALUE(LEFT(D4050,FIND(" |",D4050&amp;" |")-1)),"?"))</f>
        <v/>
      </c>
      <c r="H4050" s="27" t="str">
        <f aca="false">IF(G4050="","",IF(G4050="?","⚠ pub inconnue",IFERROR(INDEX(Pubs!$B$2:$B$3001,MATCH(G4050,Pubs!$A$2:$A$3001,0))&amp;"","⚠ pub inconnue")))</f>
        <v/>
      </c>
      <c r="I4050" s="27" t="str">
        <f aca="false">IF(OR(G4050="",G4050="?"),"",IFERROR(INDEX(Pubs!$C$2:$C$3001,MATCH(G4050,Pubs!$A$2:$A$3001,0))&amp;"",""))</f>
        <v/>
      </c>
      <c r="J4050" s="27" t="str">
        <f aca="false">IF(OR(G4050="",G4050="?"),"",IFERROR(INDEX(Pubs!$G$2:$G$3001,MATCH(G4050,Pubs!$A$2:$A$3001,0))&amp;"",""))</f>
        <v/>
      </c>
      <c r="K4050" s="28" t="str">
        <f aca="false">IF(OR(G4050="",G4050="?"),"",IFERROR(INDEX(Pubs!$E$2:$E$3001,MATCH(G4050,Pubs!$A$2:$A$3001,0)),""))</f>
        <v/>
      </c>
      <c r="L4050" s="29" t="str">
        <f aca="false">IF(A4050="","",IFERROR(1/(1/INDEX(Numéros!$C$2:$C$3001,MATCH(A4050&amp;"|"&amp;B4050,Numéros!$F$2:$F$3001,0))),""))</f>
        <v/>
      </c>
      <c r="M4050" s="27" t="str">
        <f aca="false">IF(OR(G4050="",G4050="?"),"",IFERROR(INDEX(Pubs!$D$2:$D$3001,MATCH(G4050,Pubs!$A$2:$A$3001,0))&amp;"",""))</f>
        <v/>
      </c>
      <c r="N4050" s="27" t="n">
        <f aca="false">N(N4049)+IF(AND(A4050&lt;&gt;"",OR(Recherche!$C$4="",A4050=Recherche!$C$4),OR(Recherche!$C$5="",B4050&amp;""=Recherche!$C$5&amp;""),OR(Recherche!$C$6="",IFERROR(YEAR(L4050),0)=Recherche!$C$6),OR(Recherche!$C$7="",ISNUMBER(SEARCH(Recherche!$C$7,H4050))),OR(Recherche!$C$8="",J4050=Recherche!$C$8),OR(Recherche!$C$9="",I4050=Recherche!$C$9),OR(Recherche!$C$10="",G4050&amp;""=Recherche!$C$10&amp;""),OR(Recherche!$C$11="",E4050=Recherche!$C$11),OR(Recherche!$C$12="",ISNUMBER(SEARCH(Recherche!$C$12,M4050&amp;" "&amp;F4050)))),1,0)</f>
        <v>8</v>
      </c>
    </row>
    <row r="4051" customFormat="false" ht="15" hidden="false" customHeight="false" outlineLevel="0" collapsed="false">
      <c r="A4051" s="19"/>
      <c r="B4051" s="19"/>
      <c r="C4051" s="19"/>
      <c r="D4051" s="19"/>
      <c r="E4051" s="22"/>
      <c r="F4051" s="19"/>
      <c r="G4051" s="26" t="str">
        <f aca="false">IF(D4051="","",IFERROR(VALUE(LEFT(D4051,FIND(" |",D4051&amp;" |")-1)),"?"))</f>
        <v/>
      </c>
      <c r="H4051" s="27" t="str">
        <f aca="false">IF(G4051="","",IF(G4051="?","⚠ pub inconnue",IFERROR(INDEX(Pubs!$B$2:$B$3001,MATCH(G4051,Pubs!$A$2:$A$3001,0))&amp;"","⚠ pub inconnue")))</f>
        <v/>
      </c>
      <c r="I4051" s="27" t="str">
        <f aca="false">IF(OR(G4051="",G4051="?"),"",IFERROR(INDEX(Pubs!$C$2:$C$3001,MATCH(G4051,Pubs!$A$2:$A$3001,0))&amp;"",""))</f>
        <v/>
      </c>
      <c r="J4051" s="27" t="str">
        <f aca="false">IF(OR(G4051="",G4051="?"),"",IFERROR(INDEX(Pubs!$G$2:$G$3001,MATCH(G4051,Pubs!$A$2:$A$3001,0))&amp;"",""))</f>
        <v/>
      </c>
      <c r="K4051" s="28" t="str">
        <f aca="false">IF(OR(G4051="",G4051="?"),"",IFERROR(INDEX(Pubs!$E$2:$E$3001,MATCH(G4051,Pubs!$A$2:$A$3001,0)),""))</f>
        <v/>
      </c>
      <c r="L4051" s="29" t="str">
        <f aca="false">IF(A4051="","",IFERROR(1/(1/INDEX(Numéros!$C$2:$C$3001,MATCH(A4051&amp;"|"&amp;B4051,Numéros!$F$2:$F$3001,0))),""))</f>
        <v/>
      </c>
      <c r="M4051" s="27" t="str">
        <f aca="false">IF(OR(G4051="",G4051="?"),"",IFERROR(INDEX(Pubs!$D$2:$D$3001,MATCH(G4051,Pubs!$A$2:$A$3001,0))&amp;"",""))</f>
        <v/>
      </c>
      <c r="N4051" s="27" t="n">
        <f aca="false">N(N4050)+IF(AND(A4051&lt;&gt;"",OR(Recherche!$C$4="",A4051=Recherche!$C$4),OR(Recherche!$C$5="",B4051&amp;""=Recherche!$C$5&amp;""),OR(Recherche!$C$6="",IFERROR(YEAR(L4051),0)=Recherche!$C$6),OR(Recherche!$C$7="",ISNUMBER(SEARCH(Recherche!$C$7,H4051))),OR(Recherche!$C$8="",J4051=Recherche!$C$8),OR(Recherche!$C$9="",I4051=Recherche!$C$9),OR(Recherche!$C$10="",G4051&amp;""=Recherche!$C$10&amp;""),OR(Recherche!$C$11="",E4051=Recherche!$C$11),OR(Recherche!$C$12="",ISNUMBER(SEARCH(Recherche!$C$12,M4051&amp;" "&amp;F4051)))),1,0)</f>
        <v>8</v>
      </c>
    </row>
    <row r="4052" customFormat="false" ht="15" hidden="false" customHeight="false" outlineLevel="0" collapsed="false">
      <c r="A4052" s="19"/>
      <c r="B4052" s="19"/>
      <c r="C4052" s="19"/>
      <c r="D4052" s="19"/>
      <c r="E4052" s="22"/>
      <c r="F4052" s="19"/>
      <c r="G4052" s="26" t="str">
        <f aca="false">IF(D4052="","",IFERROR(VALUE(LEFT(D4052,FIND(" |",D4052&amp;" |")-1)),"?"))</f>
        <v/>
      </c>
      <c r="H4052" s="27" t="str">
        <f aca="false">IF(G4052="","",IF(G4052="?","⚠ pub inconnue",IFERROR(INDEX(Pubs!$B$2:$B$3001,MATCH(G4052,Pubs!$A$2:$A$3001,0))&amp;"","⚠ pub inconnue")))</f>
        <v/>
      </c>
      <c r="I4052" s="27" t="str">
        <f aca="false">IF(OR(G4052="",G4052="?"),"",IFERROR(INDEX(Pubs!$C$2:$C$3001,MATCH(G4052,Pubs!$A$2:$A$3001,0))&amp;"",""))</f>
        <v/>
      </c>
      <c r="J4052" s="27" t="str">
        <f aca="false">IF(OR(G4052="",G4052="?"),"",IFERROR(INDEX(Pubs!$G$2:$G$3001,MATCH(G4052,Pubs!$A$2:$A$3001,0))&amp;"",""))</f>
        <v/>
      </c>
      <c r="K4052" s="28" t="str">
        <f aca="false">IF(OR(G4052="",G4052="?"),"",IFERROR(INDEX(Pubs!$E$2:$E$3001,MATCH(G4052,Pubs!$A$2:$A$3001,0)),""))</f>
        <v/>
      </c>
      <c r="L4052" s="29" t="str">
        <f aca="false">IF(A4052="","",IFERROR(1/(1/INDEX(Numéros!$C$2:$C$3001,MATCH(A4052&amp;"|"&amp;B4052,Numéros!$F$2:$F$3001,0))),""))</f>
        <v/>
      </c>
      <c r="M4052" s="27" t="str">
        <f aca="false">IF(OR(G4052="",G4052="?"),"",IFERROR(INDEX(Pubs!$D$2:$D$3001,MATCH(G4052,Pubs!$A$2:$A$3001,0))&amp;"",""))</f>
        <v/>
      </c>
      <c r="N4052" s="27" t="n">
        <f aca="false">N(N4051)+IF(AND(A4052&lt;&gt;"",OR(Recherche!$C$4="",A4052=Recherche!$C$4),OR(Recherche!$C$5="",B4052&amp;""=Recherche!$C$5&amp;""),OR(Recherche!$C$6="",IFERROR(YEAR(L4052),0)=Recherche!$C$6),OR(Recherche!$C$7="",ISNUMBER(SEARCH(Recherche!$C$7,H4052))),OR(Recherche!$C$8="",J4052=Recherche!$C$8),OR(Recherche!$C$9="",I4052=Recherche!$C$9),OR(Recherche!$C$10="",G4052&amp;""=Recherche!$C$10&amp;""),OR(Recherche!$C$11="",E4052=Recherche!$C$11),OR(Recherche!$C$12="",ISNUMBER(SEARCH(Recherche!$C$12,M4052&amp;" "&amp;F4052)))),1,0)</f>
        <v>8</v>
      </c>
    </row>
    <row r="4053" customFormat="false" ht="15" hidden="false" customHeight="false" outlineLevel="0" collapsed="false">
      <c r="A4053" s="19"/>
      <c r="B4053" s="19"/>
      <c r="C4053" s="19"/>
      <c r="D4053" s="19"/>
      <c r="E4053" s="22"/>
      <c r="F4053" s="19"/>
      <c r="G4053" s="26" t="str">
        <f aca="false">IF(D4053="","",IFERROR(VALUE(LEFT(D4053,FIND(" |",D4053&amp;" |")-1)),"?"))</f>
        <v/>
      </c>
      <c r="H4053" s="27" t="str">
        <f aca="false">IF(G4053="","",IF(G4053="?","⚠ pub inconnue",IFERROR(INDEX(Pubs!$B$2:$B$3001,MATCH(G4053,Pubs!$A$2:$A$3001,0))&amp;"","⚠ pub inconnue")))</f>
        <v/>
      </c>
      <c r="I4053" s="27" t="str">
        <f aca="false">IF(OR(G4053="",G4053="?"),"",IFERROR(INDEX(Pubs!$C$2:$C$3001,MATCH(G4053,Pubs!$A$2:$A$3001,0))&amp;"",""))</f>
        <v/>
      </c>
      <c r="J4053" s="27" t="str">
        <f aca="false">IF(OR(G4053="",G4053="?"),"",IFERROR(INDEX(Pubs!$G$2:$G$3001,MATCH(G4053,Pubs!$A$2:$A$3001,0))&amp;"",""))</f>
        <v/>
      </c>
      <c r="K4053" s="28" t="str">
        <f aca="false">IF(OR(G4053="",G4053="?"),"",IFERROR(INDEX(Pubs!$E$2:$E$3001,MATCH(G4053,Pubs!$A$2:$A$3001,0)),""))</f>
        <v/>
      </c>
      <c r="L4053" s="29" t="str">
        <f aca="false">IF(A4053="","",IFERROR(1/(1/INDEX(Numéros!$C$2:$C$3001,MATCH(A4053&amp;"|"&amp;B4053,Numéros!$F$2:$F$3001,0))),""))</f>
        <v/>
      </c>
      <c r="M4053" s="27" t="str">
        <f aca="false">IF(OR(G4053="",G4053="?"),"",IFERROR(INDEX(Pubs!$D$2:$D$3001,MATCH(G4053,Pubs!$A$2:$A$3001,0))&amp;"",""))</f>
        <v/>
      </c>
      <c r="N4053" s="27" t="n">
        <f aca="false">N(N4052)+IF(AND(A4053&lt;&gt;"",OR(Recherche!$C$4="",A4053=Recherche!$C$4),OR(Recherche!$C$5="",B4053&amp;""=Recherche!$C$5&amp;""),OR(Recherche!$C$6="",IFERROR(YEAR(L4053),0)=Recherche!$C$6),OR(Recherche!$C$7="",ISNUMBER(SEARCH(Recherche!$C$7,H4053))),OR(Recherche!$C$8="",J4053=Recherche!$C$8),OR(Recherche!$C$9="",I4053=Recherche!$C$9),OR(Recherche!$C$10="",G4053&amp;""=Recherche!$C$10&amp;""),OR(Recherche!$C$11="",E4053=Recherche!$C$11),OR(Recherche!$C$12="",ISNUMBER(SEARCH(Recherche!$C$12,M4053&amp;" "&amp;F4053)))),1,0)</f>
        <v>8</v>
      </c>
    </row>
    <row r="4054" customFormat="false" ht="15" hidden="false" customHeight="false" outlineLevel="0" collapsed="false">
      <c r="A4054" s="19"/>
      <c r="B4054" s="19"/>
      <c r="C4054" s="19"/>
      <c r="D4054" s="19"/>
      <c r="E4054" s="22"/>
      <c r="F4054" s="19"/>
      <c r="G4054" s="26" t="str">
        <f aca="false">IF(D4054="","",IFERROR(VALUE(LEFT(D4054,FIND(" |",D4054&amp;" |")-1)),"?"))</f>
        <v/>
      </c>
      <c r="H4054" s="27" t="str">
        <f aca="false">IF(G4054="","",IF(G4054="?","⚠ pub inconnue",IFERROR(INDEX(Pubs!$B$2:$B$3001,MATCH(G4054,Pubs!$A$2:$A$3001,0))&amp;"","⚠ pub inconnue")))</f>
        <v/>
      </c>
      <c r="I4054" s="27" t="str">
        <f aca="false">IF(OR(G4054="",G4054="?"),"",IFERROR(INDEX(Pubs!$C$2:$C$3001,MATCH(G4054,Pubs!$A$2:$A$3001,0))&amp;"",""))</f>
        <v/>
      </c>
      <c r="J4054" s="27" t="str">
        <f aca="false">IF(OR(G4054="",G4054="?"),"",IFERROR(INDEX(Pubs!$G$2:$G$3001,MATCH(G4054,Pubs!$A$2:$A$3001,0))&amp;"",""))</f>
        <v/>
      </c>
      <c r="K4054" s="28" t="str">
        <f aca="false">IF(OR(G4054="",G4054="?"),"",IFERROR(INDEX(Pubs!$E$2:$E$3001,MATCH(G4054,Pubs!$A$2:$A$3001,0)),""))</f>
        <v/>
      </c>
      <c r="L4054" s="29" t="str">
        <f aca="false">IF(A4054="","",IFERROR(1/(1/INDEX(Numéros!$C$2:$C$3001,MATCH(A4054&amp;"|"&amp;B4054,Numéros!$F$2:$F$3001,0))),""))</f>
        <v/>
      </c>
      <c r="M4054" s="27" t="str">
        <f aca="false">IF(OR(G4054="",G4054="?"),"",IFERROR(INDEX(Pubs!$D$2:$D$3001,MATCH(G4054,Pubs!$A$2:$A$3001,0))&amp;"",""))</f>
        <v/>
      </c>
      <c r="N4054" s="27" t="n">
        <f aca="false">N(N4053)+IF(AND(A4054&lt;&gt;"",OR(Recherche!$C$4="",A4054=Recherche!$C$4),OR(Recherche!$C$5="",B4054&amp;""=Recherche!$C$5&amp;""),OR(Recherche!$C$6="",IFERROR(YEAR(L4054),0)=Recherche!$C$6),OR(Recherche!$C$7="",ISNUMBER(SEARCH(Recherche!$C$7,H4054))),OR(Recherche!$C$8="",J4054=Recherche!$C$8),OR(Recherche!$C$9="",I4054=Recherche!$C$9),OR(Recherche!$C$10="",G4054&amp;""=Recherche!$C$10&amp;""),OR(Recherche!$C$11="",E4054=Recherche!$C$11),OR(Recherche!$C$12="",ISNUMBER(SEARCH(Recherche!$C$12,M4054&amp;" "&amp;F4054)))),1,0)</f>
        <v>8</v>
      </c>
    </row>
    <row r="4055" customFormat="false" ht="15" hidden="false" customHeight="false" outlineLevel="0" collapsed="false">
      <c r="A4055" s="19"/>
      <c r="B4055" s="19"/>
      <c r="C4055" s="19"/>
      <c r="D4055" s="19"/>
      <c r="E4055" s="22"/>
      <c r="F4055" s="19"/>
      <c r="G4055" s="26" t="str">
        <f aca="false">IF(D4055="","",IFERROR(VALUE(LEFT(D4055,FIND(" |",D4055&amp;" |")-1)),"?"))</f>
        <v/>
      </c>
      <c r="H4055" s="27" t="str">
        <f aca="false">IF(G4055="","",IF(G4055="?","⚠ pub inconnue",IFERROR(INDEX(Pubs!$B$2:$B$3001,MATCH(G4055,Pubs!$A$2:$A$3001,0))&amp;"","⚠ pub inconnue")))</f>
        <v/>
      </c>
      <c r="I4055" s="27" t="str">
        <f aca="false">IF(OR(G4055="",G4055="?"),"",IFERROR(INDEX(Pubs!$C$2:$C$3001,MATCH(G4055,Pubs!$A$2:$A$3001,0))&amp;"",""))</f>
        <v/>
      </c>
      <c r="J4055" s="27" t="str">
        <f aca="false">IF(OR(G4055="",G4055="?"),"",IFERROR(INDEX(Pubs!$G$2:$G$3001,MATCH(G4055,Pubs!$A$2:$A$3001,0))&amp;"",""))</f>
        <v/>
      </c>
      <c r="K4055" s="28" t="str">
        <f aca="false">IF(OR(G4055="",G4055="?"),"",IFERROR(INDEX(Pubs!$E$2:$E$3001,MATCH(G4055,Pubs!$A$2:$A$3001,0)),""))</f>
        <v/>
      </c>
      <c r="L4055" s="29" t="str">
        <f aca="false">IF(A4055="","",IFERROR(1/(1/INDEX(Numéros!$C$2:$C$3001,MATCH(A4055&amp;"|"&amp;B4055,Numéros!$F$2:$F$3001,0))),""))</f>
        <v/>
      </c>
      <c r="M4055" s="27" t="str">
        <f aca="false">IF(OR(G4055="",G4055="?"),"",IFERROR(INDEX(Pubs!$D$2:$D$3001,MATCH(G4055,Pubs!$A$2:$A$3001,0))&amp;"",""))</f>
        <v/>
      </c>
      <c r="N4055" s="27" t="n">
        <f aca="false">N(N4054)+IF(AND(A4055&lt;&gt;"",OR(Recherche!$C$4="",A4055=Recherche!$C$4),OR(Recherche!$C$5="",B4055&amp;""=Recherche!$C$5&amp;""),OR(Recherche!$C$6="",IFERROR(YEAR(L4055),0)=Recherche!$C$6),OR(Recherche!$C$7="",ISNUMBER(SEARCH(Recherche!$C$7,H4055))),OR(Recherche!$C$8="",J4055=Recherche!$C$8),OR(Recherche!$C$9="",I4055=Recherche!$C$9),OR(Recherche!$C$10="",G4055&amp;""=Recherche!$C$10&amp;""),OR(Recherche!$C$11="",E4055=Recherche!$C$11),OR(Recherche!$C$12="",ISNUMBER(SEARCH(Recherche!$C$12,M4055&amp;" "&amp;F4055)))),1,0)</f>
        <v>8</v>
      </c>
    </row>
    <row r="4056" customFormat="false" ht="15" hidden="false" customHeight="false" outlineLevel="0" collapsed="false">
      <c r="A4056" s="19"/>
      <c r="B4056" s="19"/>
      <c r="C4056" s="19"/>
      <c r="D4056" s="19"/>
      <c r="E4056" s="22"/>
      <c r="F4056" s="19"/>
      <c r="G4056" s="26" t="str">
        <f aca="false">IF(D4056="","",IFERROR(VALUE(LEFT(D4056,FIND(" |",D4056&amp;" |")-1)),"?"))</f>
        <v/>
      </c>
      <c r="H4056" s="27" t="str">
        <f aca="false">IF(G4056="","",IF(G4056="?","⚠ pub inconnue",IFERROR(INDEX(Pubs!$B$2:$B$3001,MATCH(G4056,Pubs!$A$2:$A$3001,0))&amp;"","⚠ pub inconnue")))</f>
        <v/>
      </c>
      <c r="I4056" s="27" t="str">
        <f aca="false">IF(OR(G4056="",G4056="?"),"",IFERROR(INDEX(Pubs!$C$2:$C$3001,MATCH(G4056,Pubs!$A$2:$A$3001,0))&amp;"",""))</f>
        <v/>
      </c>
      <c r="J4056" s="27" t="str">
        <f aca="false">IF(OR(G4056="",G4056="?"),"",IFERROR(INDEX(Pubs!$G$2:$G$3001,MATCH(G4056,Pubs!$A$2:$A$3001,0))&amp;"",""))</f>
        <v/>
      </c>
      <c r="K4056" s="28" t="str">
        <f aca="false">IF(OR(G4056="",G4056="?"),"",IFERROR(INDEX(Pubs!$E$2:$E$3001,MATCH(G4056,Pubs!$A$2:$A$3001,0)),""))</f>
        <v/>
      </c>
      <c r="L4056" s="29" t="str">
        <f aca="false">IF(A4056="","",IFERROR(1/(1/INDEX(Numéros!$C$2:$C$3001,MATCH(A4056&amp;"|"&amp;B4056,Numéros!$F$2:$F$3001,0))),""))</f>
        <v/>
      </c>
      <c r="M4056" s="27" t="str">
        <f aca="false">IF(OR(G4056="",G4056="?"),"",IFERROR(INDEX(Pubs!$D$2:$D$3001,MATCH(G4056,Pubs!$A$2:$A$3001,0))&amp;"",""))</f>
        <v/>
      </c>
      <c r="N4056" s="27" t="n">
        <f aca="false">N(N4055)+IF(AND(A4056&lt;&gt;"",OR(Recherche!$C$4="",A4056=Recherche!$C$4),OR(Recherche!$C$5="",B4056&amp;""=Recherche!$C$5&amp;""),OR(Recherche!$C$6="",IFERROR(YEAR(L4056),0)=Recherche!$C$6),OR(Recherche!$C$7="",ISNUMBER(SEARCH(Recherche!$C$7,H4056))),OR(Recherche!$C$8="",J4056=Recherche!$C$8),OR(Recherche!$C$9="",I4056=Recherche!$C$9),OR(Recherche!$C$10="",G4056&amp;""=Recherche!$C$10&amp;""),OR(Recherche!$C$11="",E4056=Recherche!$C$11),OR(Recherche!$C$12="",ISNUMBER(SEARCH(Recherche!$C$12,M4056&amp;" "&amp;F4056)))),1,0)</f>
        <v>8</v>
      </c>
    </row>
    <row r="4057" customFormat="false" ht="15" hidden="false" customHeight="false" outlineLevel="0" collapsed="false">
      <c r="A4057" s="19"/>
      <c r="B4057" s="19"/>
      <c r="C4057" s="19"/>
      <c r="D4057" s="19"/>
      <c r="E4057" s="22"/>
      <c r="F4057" s="19"/>
      <c r="G4057" s="26" t="str">
        <f aca="false">IF(D4057="","",IFERROR(VALUE(LEFT(D4057,FIND(" |",D4057&amp;" |")-1)),"?"))</f>
        <v/>
      </c>
      <c r="H4057" s="27" t="str">
        <f aca="false">IF(G4057="","",IF(G4057="?","⚠ pub inconnue",IFERROR(INDEX(Pubs!$B$2:$B$3001,MATCH(G4057,Pubs!$A$2:$A$3001,0))&amp;"","⚠ pub inconnue")))</f>
        <v/>
      </c>
      <c r="I4057" s="27" t="str">
        <f aca="false">IF(OR(G4057="",G4057="?"),"",IFERROR(INDEX(Pubs!$C$2:$C$3001,MATCH(G4057,Pubs!$A$2:$A$3001,0))&amp;"",""))</f>
        <v/>
      </c>
      <c r="J4057" s="27" t="str">
        <f aca="false">IF(OR(G4057="",G4057="?"),"",IFERROR(INDEX(Pubs!$G$2:$G$3001,MATCH(G4057,Pubs!$A$2:$A$3001,0))&amp;"",""))</f>
        <v/>
      </c>
      <c r="K4057" s="28" t="str">
        <f aca="false">IF(OR(G4057="",G4057="?"),"",IFERROR(INDEX(Pubs!$E$2:$E$3001,MATCH(G4057,Pubs!$A$2:$A$3001,0)),""))</f>
        <v/>
      </c>
      <c r="L4057" s="29" t="str">
        <f aca="false">IF(A4057="","",IFERROR(1/(1/INDEX(Numéros!$C$2:$C$3001,MATCH(A4057&amp;"|"&amp;B4057,Numéros!$F$2:$F$3001,0))),""))</f>
        <v/>
      </c>
      <c r="M4057" s="27" t="str">
        <f aca="false">IF(OR(G4057="",G4057="?"),"",IFERROR(INDEX(Pubs!$D$2:$D$3001,MATCH(G4057,Pubs!$A$2:$A$3001,0))&amp;"",""))</f>
        <v/>
      </c>
      <c r="N4057" s="27" t="n">
        <f aca="false">N(N4056)+IF(AND(A4057&lt;&gt;"",OR(Recherche!$C$4="",A4057=Recherche!$C$4),OR(Recherche!$C$5="",B4057&amp;""=Recherche!$C$5&amp;""),OR(Recherche!$C$6="",IFERROR(YEAR(L4057),0)=Recherche!$C$6),OR(Recherche!$C$7="",ISNUMBER(SEARCH(Recherche!$C$7,H4057))),OR(Recherche!$C$8="",J4057=Recherche!$C$8),OR(Recherche!$C$9="",I4057=Recherche!$C$9),OR(Recherche!$C$10="",G4057&amp;""=Recherche!$C$10&amp;""),OR(Recherche!$C$11="",E4057=Recherche!$C$11),OR(Recherche!$C$12="",ISNUMBER(SEARCH(Recherche!$C$12,M4057&amp;" "&amp;F4057)))),1,0)</f>
        <v>8</v>
      </c>
    </row>
    <row r="4058" customFormat="false" ht="15" hidden="false" customHeight="false" outlineLevel="0" collapsed="false">
      <c r="A4058" s="19"/>
      <c r="B4058" s="19"/>
      <c r="C4058" s="19"/>
      <c r="D4058" s="19"/>
      <c r="E4058" s="22"/>
      <c r="F4058" s="19"/>
      <c r="G4058" s="26" t="str">
        <f aca="false">IF(D4058="","",IFERROR(VALUE(LEFT(D4058,FIND(" |",D4058&amp;" |")-1)),"?"))</f>
        <v/>
      </c>
      <c r="H4058" s="27" t="str">
        <f aca="false">IF(G4058="","",IF(G4058="?","⚠ pub inconnue",IFERROR(INDEX(Pubs!$B$2:$B$3001,MATCH(G4058,Pubs!$A$2:$A$3001,0))&amp;"","⚠ pub inconnue")))</f>
        <v/>
      </c>
      <c r="I4058" s="27" t="str">
        <f aca="false">IF(OR(G4058="",G4058="?"),"",IFERROR(INDEX(Pubs!$C$2:$C$3001,MATCH(G4058,Pubs!$A$2:$A$3001,0))&amp;"",""))</f>
        <v/>
      </c>
      <c r="J4058" s="27" t="str">
        <f aca="false">IF(OR(G4058="",G4058="?"),"",IFERROR(INDEX(Pubs!$G$2:$G$3001,MATCH(G4058,Pubs!$A$2:$A$3001,0))&amp;"",""))</f>
        <v/>
      </c>
      <c r="K4058" s="28" t="str">
        <f aca="false">IF(OR(G4058="",G4058="?"),"",IFERROR(INDEX(Pubs!$E$2:$E$3001,MATCH(G4058,Pubs!$A$2:$A$3001,0)),""))</f>
        <v/>
      </c>
      <c r="L4058" s="29" t="str">
        <f aca="false">IF(A4058="","",IFERROR(1/(1/INDEX(Numéros!$C$2:$C$3001,MATCH(A4058&amp;"|"&amp;B4058,Numéros!$F$2:$F$3001,0))),""))</f>
        <v/>
      </c>
      <c r="M4058" s="27" t="str">
        <f aca="false">IF(OR(G4058="",G4058="?"),"",IFERROR(INDEX(Pubs!$D$2:$D$3001,MATCH(G4058,Pubs!$A$2:$A$3001,0))&amp;"",""))</f>
        <v/>
      </c>
      <c r="N4058" s="27" t="n">
        <f aca="false">N(N4057)+IF(AND(A4058&lt;&gt;"",OR(Recherche!$C$4="",A4058=Recherche!$C$4),OR(Recherche!$C$5="",B4058&amp;""=Recherche!$C$5&amp;""),OR(Recherche!$C$6="",IFERROR(YEAR(L4058),0)=Recherche!$C$6),OR(Recherche!$C$7="",ISNUMBER(SEARCH(Recherche!$C$7,H4058))),OR(Recherche!$C$8="",J4058=Recherche!$C$8),OR(Recherche!$C$9="",I4058=Recherche!$C$9),OR(Recherche!$C$10="",G4058&amp;""=Recherche!$C$10&amp;""),OR(Recherche!$C$11="",E4058=Recherche!$C$11),OR(Recherche!$C$12="",ISNUMBER(SEARCH(Recherche!$C$12,M4058&amp;" "&amp;F4058)))),1,0)</f>
        <v>8</v>
      </c>
    </row>
    <row r="4059" customFormat="false" ht="15" hidden="false" customHeight="false" outlineLevel="0" collapsed="false">
      <c r="A4059" s="19"/>
      <c r="B4059" s="19"/>
      <c r="C4059" s="19"/>
      <c r="D4059" s="19"/>
      <c r="E4059" s="22"/>
      <c r="F4059" s="19"/>
      <c r="G4059" s="26" t="str">
        <f aca="false">IF(D4059="","",IFERROR(VALUE(LEFT(D4059,FIND(" |",D4059&amp;" |")-1)),"?"))</f>
        <v/>
      </c>
      <c r="H4059" s="27" t="str">
        <f aca="false">IF(G4059="","",IF(G4059="?","⚠ pub inconnue",IFERROR(INDEX(Pubs!$B$2:$B$3001,MATCH(G4059,Pubs!$A$2:$A$3001,0))&amp;"","⚠ pub inconnue")))</f>
        <v/>
      </c>
      <c r="I4059" s="27" t="str">
        <f aca="false">IF(OR(G4059="",G4059="?"),"",IFERROR(INDEX(Pubs!$C$2:$C$3001,MATCH(G4059,Pubs!$A$2:$A$3001,0))&amp;"",""))</f>
        <v/>
      </c>
      <c r="J4059" s="27" t="str">
        <f aca="false">IF(OR(G4059="",G4059="?"),"",IFERROR(INDEX(Pubs!$G$2:$G$3001,MATCH(G4059,Pubs!$A$2:$A$3001,0))&amp;"",""))</f>
        <v/>
      </c>
      <c r="K4059" s="28" t="str">
        <f aca="false">IF(OR(G4059="",G4059="?"),"",IFERROR(INDEX(Pubs!$E$2:$E$3001,MATCH(G4059,Pubs!$A$2:$A$3001,0)),""))</f>
        <v/>
      </c>
      <c r="L4059" s="29" t="str">
        <f aca="false">IF(A4059="","",IFERROR(1/(1/INDEX(Numéros!$C$2:$C$3001,MATCH(A4059&amp;"|"&amp;B4059,Numéros!$F$2:$F$3001,0))),""))</f>
        <v/>
      </c>
      <c r="M4059" s="27" t="str">
        <f aca="false">IF(OR(G4059="",G4059="?"),"",IFERROR(INDEX(Pubs!$D$2:$D$3001,MATCH(G4059,Pubs!$A$2:$A$3001,0))&amp;"",""))</f>
        <v/>
      </c>
      <c r="N4059" s="27" t="n">
        <f aca="false">N(N4058)+IF(AND(A4059&lt;&gt;"",OR(Recherche!$C$4="",A4059=Recherche!$C$4),OR(Recherche!$C$5="",B4059&amp;""=Recherche!$C$5&amp;""),OR(Recherche!$C$6="",IFERROR(YEAR(L4059),0)=Recherche!$C$6),OR(Recherche!$C$7="",ISNUMBER(SEARCH(Recherche!$C$7,H4059))),OR(Recherche!$C$8="",J4059=Recherche!$C$8),OR(Recherche!$C$9="",I4059=Recherche!$C$9),OR(Recherche!$C$10="",G4059&amp;""=Recherche!$C$10&amp;""),OR(Recherche!$C$11="",E4059=Recherche!$C$11),OR(Recherche!$C$12="",ISNUMBER(SEARCH(Recherche!$C$12,M4059&amp;" "&amp;F4059)))),1,0)</f>
        <v>8</v>
      </c>
    </row>
    <row r="4060" customFormat="false" ht="15" hidden="false" customHeight="false" outlineLevel="0" collapsed="false">
      <c r="A4060" s="19"/>
      <c r="B4060" s="19"/>
      <c r="C4060" s="19"/>
      <c r="D4060" s="19"/>
      <c r="E4060" s="22"/>
      <c r="F4060" s="19"/>
      <c r="G4060" s="26" t="str">
        <f aca="false">IF(D4060="","",IFERROR(VALUE(LEFT(D4060,FIND(" |",D4060&amp;" |")-1)),"?"))</f>
        <v/>
      </c>
      <c r="H4060" s="27" t="str">
        <f aca="false">IF(G4060="","",IF(G4060="?","⚠ pub inconnue",IFERROR(INDEX(Pubs!$B$2:$B$3001,MATCH(G4060,Pubs!$A$2:$A$3001,0))&amp;"","⚠ pub inconnue")))</f>
        <v/>
      </c>
      <c r="I4060" s="27" t="str">
        <f aca="false">IF(OR(G4060="",G4060="?"),"",IFERROR(INDEX(Pubs!$C$2:$C$3001,MATCH(G4060,Pubs!$A$2:$A$3001,0))&amp;"",""))</f>
        <v/>
      </c>
      <c r="J4060" s="27" t="str">
        <f aca="false">IF(OR(G4060="",G4060="?"),"",IFERROR(INDEX(Pubs!$G$2:$G$3001,MATCH(G4060,Pubs!$A$2:$A$3001,0))&amp;"",""))</f>
        <v/>
      </c>
      <c r="K4060" s="28" t="str">
        <f aca="false">IF(OR(G4060="",G4060="?"),"",IFERROR(INDEX(Pubs!$E$2:$E$3001,MATCH(G4060,Pubs!$A$2:$A$3001,0)),""))</f>
        <v/>
      </c>
      <c r="L4060" s="29" t="str">
        <f aca="false">IF(A4060="","",IFERROR(1/(1/INDEX(Numéros!$C$2:$C$3001,MATCH(A4060&amp;"|"&amp;B4060,Numéros!$F$2:$F$3001,0))),""))</f>
        <v/>
      </c>
      <c r="M4060" s="27" t="str">
        <f aca="false">IF(OR(G4060="",G4060="?"),"",IFERROR(INDEX(Pubs!$D$2:$D$3001,MATCH(G4060,Pubs!$A$2:$A$3001,0))&amp;"",""))</f>
        <v/>
      </c>
      <c r="N4060" s="27" t="n">
        <f aca="false">N(N4059)+IF(AND(A4060&lt;&gt;"",OR(Recherche!$C$4="",A4060=Recherche!$C$4),OR(Recherche!$C$5="",B4060&amp;""=Recherche!$C$5&amp;""),OR(Recherche!$C$6="",IFERROR(YEAR(L4060),0)=Recherche!$C$6),OR(Recherche!$C$7="",ISNUMBER(SEARCH(Recherche!$C$7,H4060))),OR(Recherche!$C$8="",J4060=Recherche!$C$8),OR(Recherche!$C$9="",I4060=Recherche!$C$9),OR(Recherche!$C$10="",G4060&amp;""=Recherche!$C$10&amp;""),OR(Recherche!$C$11="",E4060=Recherche!$C$11),OR(Recherche!$C$12="",ISNUMBER(SEARCH(Recherche!$C$12,M4060&amp;" "&amp;F4060)))),1,0)</f>
        <v>8</v>
      </c>
    </row>
    <row r="4061" customFormat="false" ht="15" hidden="false" customHeight="false" outlineLevel="0" collapsed="false">
      <c r="A4061" s="19"/>
      <c r="B4061" s="19"/>
      <c r="C4061" s="19"/>
      <c r="D4061" s="19"/>
      <c r="E4061" s="22"/>
      <c r="F4061" s="19"/>
      <c r="G4061" s="26" t="str">
        <f aca="false">IF(D4061="","",IFERROR(VALUE(LEFT(D4061,FIND(" |",D4061&amp;" |")-1)),"?"))</f>
        <v/>
      </c>
      <c r="H4061" s="27" t="str">
        <f aca="false">IF(G4061="","",IF(G4061="?","⚠ pub inconnue",IFERROR(INDEX(Pubs!$B$2:$B$3001,MATCH(G4061,Pubs!$A$2:$A$3001,0))&amp;"","⚠ pub inconnue")))</f>
        <v/>
      </c>
      <c r="I4061" s="27" t="str">
        <f aca="false">IF(OR(G4061="",G4061="?"),"",IFERROR(INDEX(Pubs!$C$2:$C$3001,MATCH(G4061,Pubs!$A$2:$A$3001,0))&amp;"",""))</f>
        <v/>
      </c>
      <c r="J4061" s="27" t="str">
        <f aca="false">IF(OR(G4061="",G4061="?"),"",IFERROR(INDEX(Pubs!$G$2:$G$3001,MATCH(G4061,Pubs!$A$2:$A$3001,0))&amp;"",""))</f>
        <v/>
      </c>
      <c r="K4061" s="28" t="str">
        <f aca="false">IF(OR(G4061="",G4061="?"),"",IFERROR(INDEX(Pubs!$E$2:$E$3001,MATCH(G4061,Pubs!$A$2:$A$3001,0)),""))</f>
        <v/>
      </c>
      <c r="L4061" s="29" t="str">
        <f aca="false">IF(A4061="","",IFERROR(1/(1/INDEX(Numéros!$C$2:$C$3001,MATCH(A4061&amp;"|"&amp;B4061,Numéros!$F$2:$F$3001,0))),""))</f>
        <v/>
      </c>
      <c r="M4061" s="27" t="str">
        <f aca="false">IF(OR(G4061="",G4061="?"),"",IFERROR(INDEX(Pubs!$D$2:$D$3001,MATCH(G4061,Pubs!$A$2:$A$3001,0))&amp;"",""))</f>
        <v/>
      </c>
      <c r="N4061" s="27" t="n">
        <f aca="false">N(N4060)+IF(AND(A4061&lt;&gt;"",OR(Recherche!$C$4="",A4061=Recherche!$C$4),OR(Recherche!$C$5="",B4061&amp;""=Recherche!$C$5&amp;""),OR(Recherche!$C$6="",IFERROR(YEAR(L4061),0)=Recherche!$C$6),OR(Recherche!$C$7="",ISNUMBER(SEARCH(Recherche!$C$7,H4061))),OR(Recherche!$C$8="",J4061=Recherche!$C$8),OR(Recherche!$C$9="",I4061=Recherche!$C$9),OR(Recherche!$C$10="",G4061&amp;""=Recherche!$C$10&amp;""),OR(Recherche!$C$11="",E4061=Recherche!$C$11),OR(Recherche!$C$12="",ISNUMBER(SEARCH(Recherche!$C$12,M4061&amp;" "&amp;F4061)))),1,0)</f>
        <v>8</v>
      </c>
    </row>
    <row r="4062" customFormat="false" ht="15" hidden="false" customHeight="false" outlineLevel="0" collapsed="false">
      <c r="A4062" s="19"/>
      <c r="B4062" s="19"/>
      <c r="C4062" s="19"/>
      <c r="D4062" s="19"/>
      <c r="E4062" s="22"/>
      <c r="F4062" s="19"/>
      <c r="G4062" s="26" t="str">
        <f aca="false">IF(D4062="","",IFERROR(VALUE(LEFT(D4062,FIND(" |",D4062&amp;" |")-1)),"?"))</f>
        <v/>
      </c>
      <c r="H4062" s="27" t="str">
        <f aca="false">IF(G4062="","",IF(G4062="?","⚠ pub inconnue",IFERROR(INDEX(Pubs!$B$2:$B$3001,MATCH(G4062,Pubs!$A$2:$A$3001,0))&amp;"","⚠ pub inconnue")))</f>
        <v/>
      </c>
      <c r="I4062" s="27" t="str">
        <f aca="false">IF(OR(G4062="",G4062="?"),"",IFERROR(INDEX(Pubs!$C$2:$C$3001,MATCH(G4062,Pubs!$A$2:$A$3001,0))&amp;"",""))</f>
        <v/>
      </c>
      <c r="J4062" s="27" t="str">
        <f aca="false">IF(OR(G4062="",G4062="?"),"",IFERROR(INDEX(Pubs!$G$2:$G$3001,MATCH(G4062,Pubs!$A$2:$A$3001,0))&amp;"",""))</f>
        <v/>
      </c>
      <c r="K4062" s="28" t="str">
        <f aca="false">IF(OR(G4062="",G4062="?"),"",IFERROR(INDEX(Pubs!$E$2:$E$3001,MATCH(G4062,Pubs!$A$2:$A$3001,0)),""))</f>
        <v/>
      </c>
      <c r="L4062" s="29" t="str">
        <f aca="false">IF(A4062="","",IFERROR(1/(1/INDEX(Numéros!$C$2:$C$3001,MATCH(A4062&amp;"|"&amp;B4062,Numéros!$F$2:$F$3001,0))),""))</f>
        <v/>
      </c>
      <c r="M4062" s="27" t="str">
        <f aca="false">IF(OR(G4062="",G4062="?"),"",IFERROR(INDEX(Pubs!$D$2:$D$3001,MATCH(G4062,Pubs!$A$2:$A$3001,0))&amp;"",""))</f>
        <v/>
      </c>
      <c r="N4062" s="27" t="n">
        <f aca="false">N(N4061)+IF(AND(A4062&lt;&gt;"",OR(Recherche!$C$4="",A4062=Recherche!$C$4),OR(Recherche!$C$5="",B4062&amp;""=Recherche!$C$5&amp;""),OR(Recherche!$C$6="",IFERROR(YEAR(L4062),0)=Recherche!$C$6),OR(Recherche!$C$7="",ISNUMBER(SEARCH(Recherche!$C$7,H4062))),OR(Recherche!$C$8="",J4062=Recherche!$C$8),OR(Recherche!$C$9="",I4062=Recherche!$C$9),OR(Recherche!$C$10="",G4062&amp;""=Recherche!$C$10&amp;""),OR(Recherche!$C$11="",E4062=Recherche!$C$11),OR(Recherche!$C$12="",ISNUMBER(SEARCH(Recherche!$C$12,M4062&amp;" "&amp;F4062)))),1,0)</f>
        <v>8</v>
      </c>
    </row>
    <row r="4063" customFormat="false" ht="15" hidden="false" customHeight="false" outlineLevel="0" collapsed="false">
      <c r="A4063" s="19"/>
      <c r="B4063" s="19"/>
      <c r="C4063" s="19"/>
      <c r="D4063" s="19"/>
      <c r="E4063" s="22"/>
      <c r="F4063" s="19"/>
      <c r="G4063" s="26" t="str">
        <f aca="false">IF(D4063="","",IFERROR(VALUE(LEFT(D4063,FIND(" |",D4063&amp;" |")-1)),"?"))</f>
        <v/>
      </c>
      <c r="H4063" s="27" t="str">
        <f aca="false">IF(G4063="","",IF(G4063="?","⚠ pub inconnue",IFERROR(INDEX(Pubs!$B$2:$B$3001,MATCH(G4063,Pubs!$A$2:$A$3001,0))&amp;"","⚠ pub inconnue")))</f>
        <v/>
      </c>
      <c r="I4063" s="27" t="str">
        <f aca="false">IF(OR(G4063="",G4063="?"),"",IFERROR(INDEX(Pubs!$C$2:$C$3001,MATCH(G4063,Pubs!$A$2:$A$3001,0))&amp;"",""))</f>
        <v/>
      </c>
      <c r="J4063" s="27" t="str">
        <f aca="false">IF(OR(G4063="",G4063="?"),"",IFERROR(INDEX(Pubs!$G$2:$G$3001,MATCH(G4063,Pubs!$A$2:$A$3001,0))&amp;"",""))</f>
        <v/>
      </c>
      <c r="K4063" s="28" t="str">
        <f aca="false">IF(OR(G4063="",G4063="?"),"",IFERROR(INDEX(Pubs!$E$2:$E$3001,MATCH(G4063,Pubs!$A$2:$A$3001,0)),""))</f>
        <v/>
      </c>
      <c r="L4063" s="29" t="str">
        <f aca="false">IF(A4063="","",IFERROR(1/(1/INDEX(Numéros!$C$2:$C$3001,MATCH(A4063&amp;"|"&amp;B4063,Numéros!$F$2:$F$3001,0))),""))</f>
        <v/>
      </c>
      <c r="M4063" s="27" t="str">
        <f aca="false">IF(OR(G4063="",G4063="?"),"",IFERROR(INDEX(Pubs!$D$2:$D$3001,MATCH(G4063,Pubs!$A$2:$A$3001,0))&amp;"",""))</f>
        <v/>
      </c>
      <c r="N4063" s="27" t="n">
        <f aca="false">N(N4062)+IF(AND(A4063&lt;&gt;"",OR(Recherche!$C$4="",A4063=Recherche!$C$4),OR(Recherche!$C$5="",B4063&amp;""=Recherche!$C$5&amp;""),OR(Recherche!$C$6="",IFERROR(YEAR(L4063),0)=Recherche!$C$6),OR(Recherche!$C$7="",ISNUMBER(SEARCH(Recherche!$C$7,H4063))),OR(Recherche!$C$8="",J4063=Recherche!$C$8),OR(Recherche!$C$9="",I4063=Recherche!$C$9),OR(Recherche!$C$10="",G4063&amp;""=Recherche!$C$10&amp;""),OR(Recherche!$C$11="",E4063=Recherche!$C$11),OR(Recherche!$C$12="",ISNUMBER(SEARCH(Recherche!$C$12,M4063&amp;" "&amp;F4063)))),1,0)</f>
        <v>8</v>
      </c>
    </row>
    <row r="4064" customFormat="false" ht="15" hidden="false" customHeight="false" outlineLevel="0" collapsed="false">
      <c r="A4064" s="19"/>
      <c r="B4064" s="19"/>
      <c r="C4064" s="19"/>
      <c r="D4064" s="19"/>
      <c r="E4064" s="22"/>
      <c r="F4064" s="19"/>
      <c r="G4064" s="26" t="str">
        <f aca="false">IF(D4064="","",IFERROR(VALUE(LEFT(D4064,FIND(" |",D4064&amp;" |")-1)),"?"))</f>
        <v/>
      </c>
      <c r="H4064" s="27" t="str">
        <f aca="false">IF(G4064="","",IF(G4064="?","⚠ pub inconnue",IFERROR(INDEX(Pubs!$B$2:$B$3001,MATCH(G4064,Pubs!$A$2:$A$3001,0))&amp;"","⚠ pub inconnue")))</f>
        <v/>
      </c>
      <c r="I4064" s="27" t="str">
        <f aca="false">IF(OR(G4064="",G4064="?"),"",IFERROR(INDEX(Pubs!$C$2:$C$3001,MATCH(G4064,Pubs!$A$2:$A$3001,0))&amp;"",""))</f>
        <v/>
      </c>
      <c r="J4064" s="27" t="str">
        <f aca="false">IF(OR(G4064="",G4064="?"),"",IFERROR(INDEX(Pubs!$G$2:$G$3001,MATCH(G4064,Pubs!$A$2:$A$3001,0))&amp;"",""))</f>
        <v/>
      </c>
      <c r="K4064" s="28" t="str">
        <f aca="false">IF(OR(G4064="",G4064="?"),"",IFERROR(INDEX(Pubs!$E$2:$E$3001,MATCH(G4064,Pubs!$A$2:$A$3001,0)),""))</f>
        <v/>
      </c>
      <c r="L4064" s="29" t="str">
        <f aca="false">IF(A4064="","",IFERROR(1/(1/INDEX(Numéros!$C$2:$C$3001,MATCH(A4064&amp;"|"&amp;B4064,Numéros!$F$2:$F$3001,0))),""))</f>
        <v/>
      </c>
      <c r="M4064" s="27" t="str">
        <f aca="false">IF(OR(G4064="",G4064="?"),"",IFERROR(INDEX(Pubs!$D$2:$D$3001,MATCH(G4064,Pubs!$A$2:$A$3001,0))&amp;"",""))</f>
        <v/>
      </c>
      <c r="N4064" s="27" t="n">
        <f aca="false">N(N4063)+IF(AND(A4064&lt;&gt;"",OR(Recherche!$C$4="",A4064=Recherche!$C$4),OR(Recherche!$C$5="",B4064&amp;""=Recherche!$C$5&amp;""),OR(Recherche!$C$6="",IFERROR(YEAR(L4064),0)=Recherche!$C$6),OR(Recherche!$C$7="",ISNUMBER(SEARCH(Recherche!$C$7,H4064))),OR(Recherche!$C$8="",J4064=Recherche!$C$8),OR(Recherche!$C$9="",I4064=Recherche!$C$9),OR(Recherche!$C$10="",G4064&amp;""=Recherche!$C$10&amp;""),OR(Recherche!$C$11="",E4064=Recherche!$C$11),OR(Recherche!$C$12="",ISNUMBER(SEARCH(Recherche!$C$12,M4064&amp;" "&amp;F4064)))),1,0)</f>
        <v>8</v>
      </c>
    </row>
    <row r="4065" customFormat="false" ht="15" hidden="false" customHeight="false" outlineLevel="0" collapsed="false">
      <c r="A4065" s="19"/>
      <c r="B4065" s="19"/>
      <c r="C4065" s="19"/>
      <c r="D4065" s="19"/>
      <c r="E4065" s="22"/>
      <c r="F4065" s="19"/>
      <c r="G4065" s="26" t="str">
        <f aca="false">IF(D4065="","",IFERROR(VALUE(LEFT(D4065,FIND(" |",D4065&amp;" |")-1)),"?"))</f>
        <v/>
      </c>
      <c r="H4065" s="27" t="str">
        <f aca="false">IF(G4065="","",IF(G4065="?","⚠ pub inconnue",IFERROR(INDEX(Pubs!$B$2:$B$3001,MATCH(G4065,Pubs!$A$2:$A$3001,0))&amp;"","⚠ pub inconnue")))</f>
        <v/>
      </c>
      <c r="I4065" s="27" t="str">
        <f aca="false">IF(OR(G4065="",G4065="?"),"",IFERROR(INDEX(Pubs!$C$2:$C$3001,MATCH(G4065,Pubs!$A$2:$A$3001,0))&amp;"",""))</f>
        <v/>
      </c>
      <c r="J4065" s="27" t="str">
        <f aca="false">IF(OR(G4065="",G4065="?"),"",IFERROR(INDEX(Pubs!$G$2:$G$3001,MATCH(G4065,Pubs!$A$2:$A$3001,0))&amp;"",""))</f>
        <v/>
      </c>
      <c r="K4065" s="28" t="str">
        <f aca="false">IF(OR(G4065="",G4065="?"),"",IFERROR(INDEX(Pubs!$E$2:$E$3001,MATCH(G4065,Pubs!$A$2:$A$3001,0)),""))</f>
        <v/>
      </c>
      <c r="L4065" s="29" t="str">
        <f aca="false">IF(A4065="","",IFERROR(1/(1/INDEX(Numéros!$C$2:$C$3001,MATCH(A4065&amp;"|"&amp;B4065,Numéros!$F$2:$F$3001,0))),""))</f>
        <v/>
      </c>
      <c r="M4065" s="27" t="str">
        <f aca="false">IF(OR(G4065="",G4065="?"),"",IFERROR(INDEX(Pubs!$D$2:$D$3001,MATCH(G4065,Pubs!$A$2:$A$3001,0))&amp;"",""))</f>
        <v/>
      </c>
      <c r="N4065" s="27" t="n">
        <f aca="false">N(N4064)+IF(AND(A4065&lt;&gt;"",OR(Recherche!$C$4="",A4065=Recherche!$C$4),OR(Recherche!$C$5="",B4065&amp;""=Recherche!$C$5&amp;""),OR(Recherche!$C$6="",IFERROR(YEAR(L4065),0)=Recherche!$C$6),OR(Recherche!$C$7="",ISNUMBER(SEARCH(Recherche!$C$7,H4065))),OR(Recherche!$C$8="",J4065=Recherche!$C$8),OR(Recherche!$C$9="",I4065=Recherche!$C$9),OR(Recherche!$C$10="",G4065&amp;""=Recherche!$C$10&amp;""),OR(Recherche!$C$11="",E4065=Recherche!$C$11),OR(Recherche!$C$12="",ISNUMBER(SEARCH(Recherche!$C$12,M4065&amp;" "&amp;F4065)))),1,0)</f>
        <v>8</v>
      </c>
    </row>
    <row r="4066" customFormat="false" ht="15" hidden="false" customHeight="false" outlineLevel="0" collapsed="false">
      <c r="A4066" s="19"/>
      <c r="B4066" s="19"/>
      <c r="C4066" s="19"/>
      <c r="D4066" s="19"/>
      <c r="E4066" s="22"/>
      <c r="F4066" s="19"/>
      <c r="G4066" s="26" t="str">
        <f aca="false">IF(D4066="","",IFERROR(VALUE(LEFT(D4066,FIND(" |",D4066&amp;" |")-1)),"?"))</f>
        <v/>
      </c>
      <c r="H4066" s="27" t="str">
        <f aca="false">IF(G4066="","",IF(G4066="?","⚠ pub inconnue",IFERROR(INDEX(Pubs!$B$2:$B$3001,MATCH(G4066,Pubs!$A$2:$A$3001,0))&amp;"","⚠ pub inconnue")))</f>
        <v/>
      </c>
      <c r="I4066" s="27" t="str">
        <f aca="false">IF(OR(G4066="",G4066="?"),"",IFERROR(INDEX(Pubs!$C$2:$C$3001,MATCH(G4066,Pubs!$A$2:$A$3001,0))&amp;"",""))</f>
        <v/>
      </c>
      <c r="J4066" s="27" t="str">
        <f aca="false">IF(OR(G4066="",G4066="?"),"",IFERROR(INDEX(Pubs!$G$2:$G$3001,MATCH(G4066,Pubs!$A$2:$A$3001,0))&amp;"",""))</f>
        <v/>
      </c>
      <c r="K4066" s="28" t="str">
        <f aca="false">IF(OR(G4066="",G4066="?"),"",IFERROR(INDEX(Pubs!$E$2:$E$3001,MATCH(G4066,Pubs!$A$2:$A$3001,0)),""))</f>
        <v/>
      </c>
      <c r="L4066" s="29" t="str">
        <f aca="false">IF(A4066="","",IFERROR(1/(1/INDEX(Numéros!$C$2:$C$3001,MATCH(A4066&amp;"|"&amp;B4066,Numéros!$F$2:$F$3001,0))),""))</f>
        <v/>
      </c>
      <c r="M4066" s="27" t="str">
        <f aca="false">IF(OR(G4066="",G4066="?"),"",IFERROR(INDEX(Pubs!$D$2:$D$3001,MATCH(G4066,Pubs!$A$2:$A$3001,0))&amp;"",""))</f>
        <v/>
      </c>
      <c r="N4066" s="27" t="n">
        <f aca="false">N(N4065)+IF(AND(A4066&lt;&gt;"",OR(Recherche!$C$4="",A4066=Recherche!$C$4),OR(Recherche!$C$5="",B4066&amp;""=Recherche!$C$5&amp;""),OR(Recherche!$C$6="",IFERROR(YEAR(L4066),0)=Recherche!$C$6),OR(Recherche!$C$7="",ISNUMBER(SEARCH(Recherche!$C$7,H4066))),OR(Recherche!$C$8="",J4066=Recherche!$C$8),OR(Recherche!$C$9="",I4066=Recherche!$C$9),OR(Recherche!$C$10="",G4066&amp;""=Recherche!$C$10&amp;""),OR(Recherche!$C$11="",E4066=Recherche!$C$11),OR(Recherche!$C$12="",ISNUMBER(SEARCH(Recherche!$C$12,M4066&amp;" "&amp;F4066)))),1,0)</f>
        <v>8</v>
      </c>
    </row>
    <row r="4067" customFormat="false" ht="15" hidden="false" customHeight="false" outlineLevel="0" collapsed="false">
      <c r="A4067" s="19"/>
      <c r="B4067" s="19"/>
      <c r="C4067" s="19"/>
      <c r="D4067" s="19"/>
      <c r="E4067" s="22"/>
      <c r="F4067" s="19"/>
      <c r="G4067" s="26" t="str">
        <f aca="false">IF(D4067="","",IFERROR(VALUE(LEFT(D4067,FIND(" |",D4067&amp;" |")-1)),"?"))</f>
        <v/>
      </c>
      <c r="H4067" s="27" t="str">
        <f aca="false">IF(G4067="","",IF(G4067="?","⚠ pub inconnue",IFERROR(INDEX(Pubs!$B$2:$B$3001,MATCH(G4067,Pubs!$A$2:$A$3001,0))&amp;"","⚠ pub inconnue")))</f>
        <v/>
      </c>
      <c r="I4067" s="27" t="str">
        <f aca="false">IF(OR(G4067="",G4067="?"),"",IFERROR(INDEX(Pubs!$C$2:$C$3001,MATCH(G4067,Pubs!$A$2:$A$3001,0))&amp;"",""))</f>
        <v/>
      </c>
      <c r="J4067" s="27" t="str">
        <f aca="false">IF(OR(G4067="",G4067="?"),"",IFERROR(INDEX(Pubs!$G$2:$G$3001,MATCH(G4067,Pubs!$A$2:$A$3001,0))&amp;"",""))</f>
        <v/>
      </c>
      <c r="K4067" s="28" t="str">
        <f aca="false">IF(OR(G4067="",G4067="?"),"",IFERROR(INDEX(Pubs!$E$2:$E$3001,MATCH(G4067,Pubs!$A$2:$A$3001,0)),""))</f>
        <v/>
      </c>
      <c r="L4067" s="29" t="str">
        <f aca="false">IF(A4067="","",IFERROR(1/(1/INDEX(Numéros!$C$2:$C$3001,MATCH(A4067&amp;"|"&amp;B4067,Numéros!$F$2:$F$3001,0))),""))</f>
        <v/>
      </c>
      <c r="M4067" s="27" t="str">
        <f aca="false">IF(OR(G4067="",G4067="?"),"",IFERROR(INDEX(Pubs!$D$2:$D$3001,MATCH(G4067,Pubs!$A$2:$A$3001,0))&amp;"",""))</f>
        <v/>
      </c>
      <c r="N4067" s="27" t="n">
        <f aca="false">N(N4066)+IF(AND(A4067&lt;&gt;"",OR(Recherche!$C$4="",A4067=Recherche!$C$4),OR(Recherche!$C$5="",B4067&amp;""=Recherche!$C$5&amp;""),OR(Recherche!$C$6="",IFERROR(YEAR(L4067),0)=Recherche!$C$6),OR(Recherche!$C$7="",ISNUMBER(SEARCH(Recherche!$C$7,H4067))),OR(Recherche!$C$8="",J4067=Recherche!$C$8),OR(Recherche!$C$9="",I4067=Recherche!$C$9),OR(Recherche!$C$10="",G4067&amp;""=Recherche!$C$10&amp;""),OR(Recherche!$C$11="",E4067=Recherche!$C$11),OR(Recherche!$C$12="",ISNUMBER(SEARCH(Recherche!$C$12,M4067&amp;" "&amp;F4067)))),1,0)</f>
        <v>8</v>
      </c>
    </row>
    <row r="4068" customFormat="false" ht="15" hidden="false" customHeight="false" outlineLevel="0" collapsed="false">
      <c r="A4068" s="19"/>
      <c r="B4068" s="19"/>
      <c r="C4068" s="19"/>
      <c r="D4068" s="19"/>
      <c r="E4068" s="22"/>
      <c r="F4068" s="19"/>
      <c r="G4068" s="26" t="str">
        <f aca="false">IF(D4068="","",IFERROR(VALUE(LEFT(D4068,FIND(" |",D4068&amp;" |")-1)),"?"))</f>
        <v/>
      </c>
      <c r="H4068" s="27" t="str">
        <f aca="false">IF(G4068="","",IF(G4068="?","⚠ pub inconnue",IFERROR(INDEX(Pubs!$B$2:$B$3001,MATCH(G4068,Pubs!$A$2:$A$3001,0))&amp;"","⚠ pub inconnue")))</f>
        <v/>
      </c>
      <c r="I4068" s="27" t="str">
        <f aca="false">IF(OR(G4068="",G4068="?"),"",IFERROR(INDEX(Pubs!$C$2:$C$3001,MATCH(G4068,Pubs!$A$2:$A$3001,0))&amp;"",""))</f>
        <v/>
      </c>
      <c r="J4068" s="27" t="str">
        <f aca="false">IF(OR(G4068="",G4068="?"),"",IFERROR(INDEX(Pubs!$G$2:$G$3001,MATCH(G4068,Pubs!$A$2:$A$3001,0))&amp;"",""))</f>
        <v/>
      </c>
      <c r="K4068" s="28" t="str">
        <f aca="false">IF(OR(G4068="",G4068="?"),"",IFERROR(INDEX(Pubs!$E$2:$E$3001,MATCH(G4068,Pubs!$A$2:$A$3001,0)),""))</f>
        <v/>
      </c>
      <c r="L4068" s="29" t="str">
        <f aca="false">IF(A4068="","",IFERROR(1/(1/INDEX(Numéros!$C$2:$C$3001,MATCH(A4068&amp;"|"&amp;B4068,Numéros!$F$2:$F$3001,0))),""))</f>
        <v/>
      </c>
      <c r="M4068" s="27" t="str">
        <f aca="false">IF(OR(G4068="",G4068="?"),"",IFERROR(INDEX(Pubs!$D$2:$D$3001,MATCH(G4068,Pubs!$A$2:$A$3001,0))&amp;"",""))</f>
        <v/>
      </c>
      <c r="N4068" s="27" t="n">
        <f aca="false">N(N4067)+IF(AND(A4068&lt;&gt;"",OR(Recherche!$C$4="",A4068=Recherche!$C$4),OR(Recherche!$C$5="",B4068&amp;""=Recherche!$C$5&amp;""),OR(Recherche!$C$6="",IFERROR(YEAR(L4068),0)=Recherche!$C$6),OR(Recherche!$C$7="",ISNUMBER(SEARCH(Recherche!$C$7,H4068))),OR(Recherche!$C$8="",J4068=Recherche!$C$8),OR(Recherche!$C$9="",I4068=Recherche!$C$9),OR(Recherche!$C$10="",G4068&amp;""=Recherche!$C$10&amp;""),OR(Recherche!$C$11="",E4068=Recherche!$C$11),OR(Recherche!$C$12="",ISNUMBER(SEARCH(Recherche!$C$12,M4068&amp;" "&amp;F4068)))),1,0)</f>
        <v>8</v>
      </c>
    </row>
    <row r="4069" customFormat="false" ht="15" hidden="false" customHeight="false" outlineLevel="0" collapsed="false">
      <c r="A4069" s="19"/>
      <c r="B4069" s="19"/>
      <c r="C4069" s="19"/>
      <c r="D4069" s="19"/>
      <c r="E4069" s="22"/>
      <c r="F4069" s="19"/>
      <c r="G4069" s="26" t="str">
        <f aca="false">IF(D4069="","",IFERROR(VALUE(LEFT(D4069,FIND(" |",D4069&amp;" |")-1)),"?"))</f>
        <v/>
      </c>
      <c r="H4069" s="27" t="str">
        <f aca="false">IF(G4069="","",IF(G4069="?","⚠ pub inconnue",IFERROR(INDEX(Pubs!$B$2:$B$3001,MATCH(G4069,Pubs!$A$2:$A$3001,0))&amp;"","⚠ pub inconnue")))</f>
        <v/>
      </c>
      <c r="I4069" s="27" t="str">
        <f aca="false">IF(OR(G4069="",G4069="?"),"",IFERROR(INDEX(Pubs!$C$2:$C$3001,MATCH(G4069,Pubs!$A$2:$A$3001,0))&amp;"",""))</f>
        <v/>
      </c>
      <c r="J4069" s="27" t="str">
        <f aca="false">IF(OR(G4069="",G4069="?"),"",IFERROR(INDEX(Pubs!$G$2:$G$3001,MATCH(G4069,Pubs!$A$2:$A$3001,0))&amp;"",""))</f>
        <v/>
      </c>
      <c r="K4069" s="28" t="str">
        <f aca="false">IF(OR(G4069="",G4069="?"),"",IFERROR(INDEX(Pubs!$E$2:$E$3001,MATCH(G4069,Pubs!$A$2:$A$3001,0)),""))</f>
        <v/>
      </c>
      <c r="L4069" s="29" t="str">
        <f aca="false">IF(A4069="","",IFERROR(1/(1/INDEX(Numéros!$C$2:$C$3001,MATCH(A4069&amp;"|"&amp;B4069,Numéros!$F$2:$F$3001,0))),""))</f>
        <v/>
      </c>
      <c r="M4069" s="27" t="str">
        <f aca="false">IF(OR(G4069="",G4069="?"),"",IFERROR(INDEX(Pubs!$D$2:$D$3001,MATCH(G4069,Pubs!$A$2:$A$3001,0))&amp;"",""))</f>
        <v/>
      </c>
      <c r="N4069" s="27" t="n">
        <f aca="false">N(N4068)+IF(AND(A4069&lt;&gt;"",OR(Recherche!$C$4="",A4069=Recherche!$C$4),OR(Recherche!$C$5="",B4069&amp;""=Recherche!$C$5&amp;""),OR(Recherche!$C$6="",IFERROR(YEAR(L4069),0)=Recherche!$C$6),OR(Recherche!$C$7="",ISNUMBER(SEARCH(Recherche!$C$7,H4069))),OR(Recherche!$C$8="",J4069=Recherche!$C$8),OR(Recherche!$C$9="",I4069=Recherche!$C$9),OR(Recherche!$C$10="",G4069&amp;""=Recherche!$C$10&amp;""),OR(Recherche!$C$11="",E4069=Recherche!$C$11),OR(Recherche!$C$12="",ISNUMBER(SEARCH(Recherche!$C$12,M4069&amp;" "&amp;F4069)))),1,0)</f>
        <v>8</v>
      </c>
    </row>
    <row r="4070" customFormat="false" ht="15" hidden="false" customHeight="false" outlineLevel="0" collapsed="false">
      <c r="A4070" s="19"/>
      <c r="B4070" s="19"/>
      <c r="C4070" s="19"/>
      <c r="D4070" s="19"/>
      <c r="E4070" s="22"/>
      <c r="F4070" s="19"/>
      <c r="G4070" s="26" t="str">
        <f aca="false">IF(D4070="","",IFERROR(VALUE(LEFT(D4070,FIND(" |",D4070&amp;" |")-1)),"?"))</f>
        <v/>
      </c>
      <c r="H4070" s="27" t="str">
        <f aca="false">IF(G4070="","",IF(G4070="?","⚠ pub inconnue",IFERROR(INDEX(Pubs!$B$2:$B$3001,MATCH(G4070,Pubs!$A$2:$A$3001,0))&amp;"","⚠ pub inconnue")))</f>
        <v/>
      </c>
      <c r="I4070" s="27" t="str">
        <f aca="false">IF(OR(G4070="",G4070="?"),"",IFERROR(INDEX(Pubs!$C$2:$C$3001,MATCH(G4070,Pubs!$A$2:$A$3001,0))&amp;"",""))</f>
        <v/>
      </c>
      <c r="J4070" s="27" t="str">
        <f aca="false">IF(OR(G4070="",G4070="?"),"",IFERROR(INDEX(Pubs!$G$2:$G$3001,MATCH(G4070,Pubs!$A$2:$A$3001,0))&amp;"",""))</f>
        <v/>
      </c>
      <c r="K4070" s="28" t="str">
        <f aca="false">IF(OR(G4070="",G4070="?"),"",IFERROR(INDEX(Pubs!$E$2:$E$3001,MATCH(G4070,Pubs!$A$2:$A$3001,0)),""))</f>
        <v/>
      </c>
      <c r="L4070" s="29" t="str">
        <f aca="false">IF(A4070="","",IFERROR(1/(1/INDEX(Numéros!$C$2:$C$3001,MATCH(A4070&amp;"|"&amp;B4070,Numéros!$F$2:$F$3001,0))),""))</f>
        <v/>
      </c>
      <c r="M4070" s="27" t="str">
        <f aca="false">IF(OR(G4070="",G4070="?"),"",IFERROR(INDEX(Pubs!$D$2:$D$3001,MATCH(G4070,Pubs!$A$2:$A$3001,0))&amp;"",""))</f>
        <v/>
      </c>
      <c r="N4070" s="27" t="n">
        <f aca="false">N(N4069)+IF(AND(A4070&lt;&gt;"",OR(Recherche!$C$4="",A4070=Recherche!$C$4),OR(Recherche!$C$5="",B4070&amp;""=Recherche!$C$5&amp;""),OR(Recherche!$C$6="",IFERROR(YEAR(L4070),0)=Recherche!$C$6),OR(Recherche!$C$7="",ISNUMBER(SEARCH(Recherche!$C$7,H4070))),OR(Recherche!$C$8="",J4070=Recherche!$C$8),OR(Recherche!$C$9="",I4070=Recherche!$C$9),OR(Recherche!$C$10="",G4070&amp;""=Recherche!$C$10&amp;""),OR(Recherche!$C$11="",E4070=Recherche!$C$11),OR(Recherche!$C$12="",ISNUMBER(SEARCH(Recherche!$C$12,M4070&amp;" "&amp;F4070)))),1,0)</f>
        <v>8</v>
      </c>
    </row>
    <row r="4071" customFormat="false" ht="15" hidden="false" customHeight="false" outlineLevel="0" collapsed="false">
      <c r="A4071" s="19"/>
      <c r="B4071" s="19"/>
      <c r="C4071" s="19"/>
      <c r="D4071" s="19"/>
      <c r="E4071" s="22"/>
      <c r="F4071" s="19"/>
      <c r="G4071" s="26" t="str">
        <f aca="false">IF(D4071="","",IFERROR(VALUE(LEFT(D4071,FIND(" |",D4071&amp;" |")-1)),"?"))</f>
        <v/>
      </c>
      <c r="H4071" s="27" t="str">
        <f aca="false">IF(G4071="","",IF(G4071="?","⚠ pub inconnue",IFERROR(INDEX(Pubs!$B$2:$B$3001,MATCH(G4071,Pubs!$A$2:$A$3001,0))&amp;"","⚠ pub inconnue")))</f>
        <v/>
      </c>
      <c r="I4071" s="27" t="str">
        <f aca="false">IF(OR(G4071="",G4071="?"),"",IFERROR(INDEX(Pubs!$C$2:$C$3001,MATCH(G4071,Pubs!$A$2:$A$3001,0))&amp;"",""))</f>
        <v/>
      </c>
      <c r="J4071" s="27" t="str">
        <f aca="false">IF(OR(G4071="",G4071="?"),"",IFERROR(INDEX(Pubs!$G$2:$G$3001,MATCH(G4071,Pubs!$A$2:$A$3001,0))&amp;"",""))</f>
        <v/>
      </c>
      <c r="K4071" s="28" t="str">
        <f aca="false">IF(OR(G4071="",G4071="?"),"",IFERROR(INDEX(Pubs!$E$2:$E$3001,MATCH(G4071,Pubs!$A$2:$A$3001,0)),""))</f>
        <v/>
      </c>
      <c r="L4071" s="29" t="str">
        <f aca="false">IF(A4071="","",IFERROR(1/(1/INDEX(Numéros!$C$2:$C$3001,MATCH(A4071&amp;"|"&amp;B4071,Numéros!$F$2:$F$3001,0))),""))</f>
        <v/>
      </c>
      <c r="M4071" s="27" t="str">
        <f aca="false">IF(OR(G4071="",G4071="?"),"",IFERROR(INDEX(Pubs!$D$2:$D$3001,MATCH(G4071,Pubs!$A$2:$A$3001,0))&amp;"",""))</f>
        <v/>
      </c>
      <c r="N4071" s="27" t="n">
        <f aca="false">N(N4070)+IF(AND(A4071&lt;&gt;"",OR(Recherche!$C$4="",A4071=Recherche!$C$4),OR(Recherche!$C$5="",B4071&amp;""=Recherche!$C$5&amp;""),OR(Recherche!$C$6="",IFERROR(YEAR(L4071),0)=Recherche!$C$6),OR(Recherche!$C$7="",ISNUMBER(SEARCH(Recherche!$C$7,H4071))),OR(Recherche!$C$8="",J4071=Recherche!$C$8),OR(Recherche!$C$9="",I4071=Recherche!$C$9),OR(Recherche!$C$10="",G4071&amp;""=Recherche!$C$10&amp;""),OR(Recherche!$C$11="",E4071=Recherche!$C$11),OR(Recherche!$C$12="",ISNUMBER(SEARCH(Recherche!$C$12,M4071&amp;" "&amp;F4071)))),1,0)</f>
        <v>8</v>
      </c>
    </row>
    <row r="4072" customFormat="false" ht="15" hidden="false" customHeight="false" outlineLevel="0" collapsed="false">
      <c r="A4072" s="19"/>
      <c r="B4072" s="19"/>
      <c r="C4072" s="19"/>
      <c r="D4072" s="19"/>
      <c r="E4072" s="22"/>
      <c r="F4072" s="19"/>
      <c r="G4072" s="26" t="str">
        <f aca="false">IF(D4072="","",IFERROR(VALUE(LEFT(D4072,FIND(" |",D4072&amp;" |")-1)),"?"))</f>
        <v/>
      </c>
      <c r="H4072" s="27" t="str">
        <f aca="false">IF(G4072="","",IF(G4072="?","⚠ pub inconnue",IFERROR(INDEX(Pubs!$B$2:$B$3001,MATCH(G4072,Pubs!$A$2:$A$3001,0))&amp;"","⚠ pub inconnue")))</f>
        <v/>
      </c>
      <c r="I4072" s="27" t="str">
        <f aca="false">IF(OR(G4072="",G4072="?"),"",IFERROR(INDEX(Pubs!$C$2:$C$3001,MATCH(G4072,Pubs!$A$2:$A$3001,0))&amp;"",""))</f>
        <v/>
      </c>
      <c r="J4072" s="27" t="str">
        <f aca="false">IF(OR(G4072="",G4072="?"),"",IFERROR(INDEX(Pubs!$G$2:$G$3001,MATCH(G4072,Pubs!$A$2:$A$3001,0))&amp;"",""))</f>
        <v/>
      </c>
      <c r="K4072" s="28" t="str">
        <f aca="false">IF(OR(G4072="",G4072="?"),"",IFERROR(INDEX(Pubs!$E$2:$E$3001,MATCH(G4072,Pubs!$A$2:$A$3001,0)),""))</f>
        <v/>
      </c>
      <c r="L4072" s="29" t="str">
        <f aca="false">IF(A4072="","",IFERROR(1/(1/INDEX(Numéros!$C$2:$C$3001,MATCH(A4072&amp;"|"&amp;B4072,Numéros!$F$2:$F$3001,0))),""))</f>
        <v/>
      </c>
      <c r="M4072" s="27" t="str">
        <f aca="false">IF(OR(G4072="",G4072="?"),"",IFERROR(INDEX(Pubs!$D$2:$D$3001,MATCH(G4072,Pubs!$A$2:$A$3001,0))&amp;"",""))</f>
        <v/>
      </c>
      <c r="N4072" s="27" t="n">
        <f aca="false">N(N4071)+IF(AND(A4072&lt;&gt;"",OR(Recherche!$C$4="",A4072=Recherche!$C$4),OR(Recherche!$C$5="",B4072&amp;""=Recherche!$C$5&amp;""),OR(Recherche!$C$6="",IFERROR(YEAR(L4072),0)=Recherche!$C$6),OR(Recherche!$C$7="",ISNUMBER(SEARCH(Recherche!$C$7,H4072))),OR(Recherche!$C$8="",J4072=Recherche!$C$8),OR(Recherche!$C$9="",I4072=Recherche!$C$9),OR(Recherche!$C$10="",G4072&amp;""=Recherche!$C$10&amp;""),OR(Recherche!$C$11="",E4072=Recherche!$C$11),OR(Recherche!$C$12="",ISNUMBER(SEARCH(Recherche!$C$12,M4072&amp;" "&amp;F4072)))),1,0)</f>
        <v>8</v>
      </c>
    </row>
    <row r="4073" customFormat="false" ht="15" hidden="false" customHeight="false" outlineLevel="0" collapsed="false">
      <c r="A4073" s="19"/>
      <c r="B4073" s="19"/>
      <c r="C4073" s="19"/>
      <c r="D4073" s="19"/>
      <c r="E4073" s="22"/>
      <c r="F4073" s="19"/>
      <c r="G4073" s="26" t="str">
        <f aca="false">IF(D4073="","",IFERROR(VALUE(LEFT(D4073,FIND(" |",D4073&amp;" |")-1)),"?"))</f>
        <v/>
      </c>
      <c r="H4073" s="27" t="str">
        <f aca="false">IF(G4073="","",IF(G4073="?","⚠ pub inconnue",IFERROR(INDEX(Pubs!$B$2:$B$3001,MATCH(G4073,Pubs!$A$2:$A$3001,0))&amp;"","⚠ pub inconnue")))</f>
        <v/>
      </c>
      <c r="I4073" s="27" t="str">
        <f aca="false">IF(OR(G4073="",G4073="?"),"",IFERROR(INDEX(Pubs!$C$2:$C$3001,MATCH(G4073,Pubs!$A$2:$A$3001,0))&amp;"",""))</f>
        <v/>
      </c>
      <c r="J4073" s="27" t="str">
        <f aca="false">IF(OR(G4073="",G4073="?"),"",IFERROR(INDEX(Pubs!$G$2:$G$3001,MATCH(G4073,Pubs!$A$2:$A$3001,0))&amp;"",""))</f>
        <v/>
      </c>
      <c r="K4073" s="28" t="str">
        <f aca="false">IF(OR(G4073="",G4073="?"),"",IFERROR(INDEX(Pubs!$E$2:$E$3001,MATCH(G4073,Pubs!$A$2:$A$3001,0)),""))</f>
        <v/>
      </c>
      <c r="L4073" s="29" t="str">
        <f aca="false">IF(A4073="","",IFERROR(1/(1/INDEX(Numéros!$C$2:$C$3001,MATCH(A4073&amp;"|"&amp;B4073,Numéros!$F$2:$F$3001,0))),""))</f>
        <v/>
      </c>
      <c r="M4073" s="27" t="str">
        <f aca="false">IF(OR(G4073="",G4073="?"),"",IFERROR(INDEX(Pubs!$D$2:$D$3001,MATCH(G4073,Pubs!$A$2:$A$3001,0))&amp;"",""))</f>
        <v/>
      </c>
      <c r="N4073" s="27" t="n">
        <f aca="false">N(N4072)+IF(AND(A4073&lt;&gt;"",OR(Recherche!$C$4="",A4073=Recherche!$C$4),OR(Recherche!$C$5="",B4073&amp;""=Recherche!$C$5&amp;""),OR(Recherche!$C$6="",IFERROR(YEAR(L4073),0)=Recherche!$C$6),OR(Recherche!$C$7="",ISNUMBER(SEARCH(Recherche!$C$7,H4073))),OR(Recherche!$C$8="",J4073=Recherche!$C$8),OR(Recherche!$C$9="",I4073=Recherche!$C$9),OR(Recherche!$C$10="",G4073&amp;""=Recherche!$C$10&amp;""),OR(Recherche!$C$11="",E4073=Recherche!$C$11),OR(Recherche!$C$12="",ISNUMBER(SEARCH(Recherche!$C$12,M4073&amp;" "&amp;F4073)))),1,0)</f>
        <v>8</v>
      </c>
    </row>
    <row r="4074" customFormat="false" ht="15" hidden="false" customHeight="false" outlineLevel="0" collapsed="false">
      <c r="A4074" s="19"/>
      <c r="B4074" s="19"/>
      <c r="C4074" s="19"/>
      <c r="D4074" s="19"/>
      <c r="E4074" s="22"/>
      <c r="F4074" s="19"/>
      <c r="G4074" s="26" t="str">
        <f aca="false">IF(D4074="","",IFERROR(VALUE(LEFT(D4074,FIND(" |",D4074&amp;" |")-1)),"?"))</f>
        <v/>
      </c>
      <c r="H4074" s="27" t="str">
        <f aca="false">IF(G4074="","",IF(G4074="?","⚠ pub inconnue",IFERROR(INDEX(Pubs!$B$2:$B$3001,MATCH(G4074,Pubs!$A$2:$A$3001,0))&amp;"","⚠ pub inconnue")))</f>
        <v/>
      </c>
      <c r="I4074" s="27" t="str">
        <f aca="false">IF(OR(G4074="",G4074="?"),"",IFERROR(INDEX(Pubs!$C$2:$C$3001,MATCH(G4074,Pubs!$A$2:$A$3001,0))&amp;"",""))</f>
        <v/>
      </c>
      <c r="J4074" s="27" t="str">
        <f aca="false">IF(OR(G4074="",G4074="?"),"",IFERROR(INDEX(Pubs!$G$2:$G$3001,MATCH(G4074,Pubs!$A$2:$A$3001,0))&amp;"",""))</f>
        <v/>
      </c>
      <c r="K4074" s="28" t="str">
        <f aca="false">IF(OR(G4074="",G4074="?"),"",IFERROR(INDEX(Pubs!$E$2:$E$3001,MATCH(G4074,Pubs!$A$2:$A$3001,0)),""))</f>
        <v/>
      </c>
      <c r="L4074" s="29" t="str">
        <f aca="false">IF(A4074="","",IFERROR(1/(1/INDEX(Numéros!$C$2:$C$3001,MATCH(A4074&amp;"|"&amp;B4074,Numéros!$F$2:$F$3001,0))),""))</f>
        <v/>
      </c>
      <c r="M4074" s="27" t="str">
        <f aca="false">IF(OR(G4074="",G4074="?"),"",IFERROR(INDEX(Pubs!$D$2:$D$3001,MATCH(G4074,Pubs!$A$2:$A$3001,0))&amp;"",""))</f>
        <v/>
      </c>
      <c r="N4074" s="27" t="n">
        <f aca="false">N(N4073)+IF(AND(A4074&lt;&gt;"",OR(Recherche!$C$4="",A4074=Recherche!$C$4),OR(Recherche!$C$5="",B4074&amp;""=Recherche!$C$5&amp;""),OR(Recherche!$C$6="",IFERROR(YEAR(L4074),0)=Recherche!$C$6),OR(Recherche!$C$7="",ISNUMBER(SEARCH(Recherche!$C$7,H4074))),OR(Recherche!$C$8="",J4074=Recherche!$C$8),OR(Recherche!$C$9="",I4074=Recherche!$C$9),OR(Recherche!$C$10="",G4074&amp;""=Recherche!$C$10&amp;""),OR(Recherche!$C$11="",E4074=Recherche!$C$11),OR(Recherche!$C$12="",ISNUMBER(SEARCH(Recherche!$C$12,M4074&amp;" "&amp;F4074)))),1,0)</f>
        <v>8</v>
      </c>
    </row>
    <row r="4075" customFormat="false" ht="15" hidden="false" customHeight="false" outlineLevel="0" collapsed="false">
      <c r="A4075" s="19"/>
      <c r="B4075" s="19"/>
      <c r="C4075" s="19"/>
      <c r="D4075" s="19"/>
      <c r="E4075" s="22"/>
      <c r="F4075" s="19"/>
      <c r="G4075" s="26" t="str">
        <f aca="false">IF(D4075="","",IFERROR(VALUE(LEFT(D4075,FIND(" |",D4075&amp;" |")-1)),"?"))</f>
        <v/>
      </c>
      <c r="H4075" s="27" t="str">
        <f aca="false">IF(G4075="","",IF(G4075="?","⚠ pub inconnue",IFERROR(INDEX(Pubs!$B$2:$B$3001,MATCH(G4075,Pubs!$A$2:$A$3001,0))&amp;"","⚠ pub inconnue")))</f>
        <v/>
      </c>
      <c r="I4075" s="27" t="str">
        <f aca="false">IF(OR(G4075="",G4075="?"),"",IFERROR(INDEX(Pubs!$C$2:$C$3001,MATCH(G4075,Pubs!$A$2:$A$3001,0))&amp;"",""))</f>
        <v/>
      </c>
      <c r="J4075" s="27" t="str">
        <f aca="false">IF(OR(G4075="",G4075="?"),"",IFERROR(INDEX(Pubs!$G$2:$G$3001,MATCH(G4075,Pubs!$A$2:$A$3001,0))&amp;"",""))</f>
        <v/>
      </c>
      <c r="K4075" s="28" t="str">
        <f aca="false">IF(OR(G4075="",G4075="?"),"",IFERROR(INDEX(Pubs!$E$2:$E$3001,MATCH(G4075,Pubs!$A$2:$A$3001,0)),""))</f>
        <v/>
      </c>
      <c r="L4075" s="29" t="str">
        <f aca="false">IF(A4075="","",IFERROR(1/(1/INDEX(Numéros!$C$2:$C$3001,MATCH(A4075&amp;"|"&amp;B4075,Numéros!$F$2:$F$3001,0))),""))</f>
        <v/>
      </c>
      <c r="M4075" s="27" t="str">
        <f aca="false">IF(OR(G4075="",G4075="?"),"",IFERROR(INDEX(Pubs!$D$2:$D$3001,MATCH(G4075,Pubs!$A$2:$A$3001,0))&amp;"",""))</f>
        <v/>
      </c>
      <c r="N4075" s="27" t="n">
        <f aca="false">N(N4074)+IF(AND(A4075&lt;&gt;"",OR(Recherche!$C$4="",A4075=Recherche!$C$4),OR(Recherche!$C$5="",B4075&amp;""=Recherche!$C$5&amp;""),OR(Recherche!$C$6="",IFERROR(YEAR(L4075),0)=Recherche!$C$6),OR(Recherche!$C$7="",ISNUMBER(SEARCH(Recherche!$C$7,H4075))),OR(Recherche!$C$8="",J4075=Recherche!$C$8),OR(Recherche!$C$9="",I4075=Recherche!$C$9),OR(Recherche!$C$10="",G4075&amp;""=Recherche!$C$10&amp;""),OR(Recherche!$C$11="",E4075=Recherche!$C$11),OR(Recherche!$C$12="",ISNUMBER(SEARCH(Recherche!$C$12,M4075&amp;" "&amp;F4075)))),1,0)</f>
        <v>8</v>
      </c>
    </row>
    <row r="4076" customFormat="false" ht="15" hidden="false" customHeight="false" outlineLevel="0" collapsed="false">
      <c r="A4076" s="19"/>
      <c r="B4076" s="19"/>
      <c r="C4076" s="19"/>
      <c r="D4076" s="19"/>
      <c r="E4076" s="22"/>
      <c r="F4076" s="19"/>
      <c r="G4076" s="26" t="str">
        <f aca="false">IF(D4076="","",IFERROR(VALUE(LEFT(D4076,FIND(" |",D4076&amp;" |")-1)),"?"))</f>
        <v/>
      </c>
      <c r="H4076" s="27" t="str">
        <f aca="false">IF(G4076="","",IF(G4076="?","⚠ pub inconnue",IFERROR(INDEX(Pubs!$B$2:$B$3001,MATCH(G4076,Pubs!$A$2:$A$3001,0))&amp;"","⚠ pub inconnue")))</f>
        <v/>
      </c>
      <c r="I4076" s="27" t="str">
        <f aca="false">IF(OR(G4076="",G4076="?"),"",IFERROR(INDEX(Pubs!$C$2:$C$3001,MATCH(G4076,Pubs!$A$2:$A$3001,0))&amp;"",""))</f>
        <v/>
      </c>
      <c r="J4076" s="27" t="str">
        <f aca="false">IF(OR(G4076="",G4076="?"),"",IFERROR(INDEX(Pubs!$G$2:$G$3001,MATCH(G4076,Pubs!$A$2:$A$3001,0))&amp;"",""))</f>
        <v/>
      </c>
      <c r="K4076" s="28" t="str">
        <f aca="false">IF(OR(G4076="",G4076="?"),"",IFERROR(INDEX(Pubs!$E$2:$E$3001,MATCH(G4076,Pubs!$A$2:$A$3001,0)),""))</f>
        <v/>
      </c>
      <c r="L4076" s="29" t="str">
        <f aca="false">IF(A4076="","",IFERROR(1/(1/INDEX(Numéros!$C$2:$C$3001,MATCH(A4076&amp;"|"&amp;B4076,Numéros!$F$2:$F$3001,0))),""))</f>
        <v/>
      </c>
      <c r="M4076" s="27" t="str">
        <f aca="false">IF(OR(G4076="",G4076="?"),"",IFERROR(INDEX(Pubs!$D$2:$D$3001,MATCH(G4076,Pubs!$A$2:$A$3001,0))&amp;"",""))</f>
        <v/>
      </c>
      <c r="N4076" s="27" t="n">
        <f aca="false">N(N4075)+IF(AND(A4076&lt;&gt;"",OR(Recherche!$C$4="",A4076=Recherche!$C$4),OR(Recherche!$C$5="",B4076&amp;""=Recherche!$C$5&amp;""),OR(Recherche!$C$6="",IFERROR(YEAR(L4076),0)=Recherche!$C$6),OR(Recherche!$C$7="",ISNUMBER(SEARCH(Recherche!$C$7,H4076))),OR(Recherche!$C$8="",J4076=Recherche!$C$8),OR(Recherche!$C$9="",I4076=Recherche!$C$9),OR(Recherche!$C$10="",G4076&amp;""=Recherche!$C$10&amp;""),OR(Recherche!$C$11="",E4076=Recherche!$C$11),OR(Recherche!$C$12="",ISNUMBER(SEARCH(Recherche!$C$12,M4076&amp;" "&amp;F4076)))),1,0)</f>
        <v>8</v>
      </c>
    </row>
    <row r="4077" customFormat="false" ht="15" hidden="false" customHeight="false" outlineLevel="0" collapsed="false">
      <c r="A4077" s="19"/>
      <c r="B4077" s="19"/>
      <c r="C4077" s="19"/>
      <c r="D4077" s="19"/>
      <c r="E4077" s="22"/>
      <c r="F4077" s="19"/>
      <c r="G4077" s="26" t="str">
        <f aca="false">IF(D4077="","",IFERROR(VALUE(LEFT(D4077,FIND(" |",D4077&amp;" |")-1)),"?"))</f>
        <v/>
      </c>
      <c r="H4077" s="27" t="str">
        <f aca="false">IF(G4077="","",IF(G4077="?","⚠ pub inconnue",IFERROR(INDEX(Pubs!$B$2:$B$3001,MATCH(G4077,Pubs!$A$2:$A$3001,0))&amp;"","⚠ pub inconnue")))</f>
        <v/>
      </c>
      <c r="I4077" s="27" t="str">
        <f aca="false">IF(OR(G4077="",G4077="?"),"",IFERROR(INDEX(Pubs!$C$2:$C$3001,MATCH(G4077,Pubs!$A$2:$A$3001,0))&amp;"",""))</f>
        <v/>
      </c>
      <c r="J4077" s="27" t="str">
        <f aca="false">IF(OR(G4077="",G4077="?"),"",IFERROR(INDEX(Pubs!$G$2:$G$3001,MATCH(G4077,Pubs!$A$2:$A$3001,0))&amp;"",""))</f>
        <v/>
      </c>
      <c r="K4077" s="28" t="str">
        <f aca="false">IF(OR(G4077="",G4077="?"),"",IFERROR(INDEX(Pubs!$E$2:$E$3001,MATCH(G4077,Pubs!$A$2:$A$3001,0)),""))</f>
        <v/>
      </c>
      <c r="L4077" s="29" t="str">
        <f aca="false">IF(A4077="","",IFERROR(1/(1/INDEX(Numéros!$C$2:$C$3001,MATCH(A4077&amp;"|"&amp;B4077,Numéros!$F$2:$F$3001,0))),""))</f>
        <v/>
      </c>
      <c r="M4077" s="27" t="str">
        <f aca="false">IF(OR(G4077="",G4077="?"),"",IFERROR(INDEX(Pubs!$D$2:$D$3001,MATCH(G4077,Pubs!$A$2:$A$3001,0))&amp;"",""))</f>
        <v/>
      </c>
      <c r="N4077" s="27" t="n">
        <f aca="false">N(N4076)+IF(AND(A4077&lt;&gt;"",OR(Recherche!$C$4="",A4077=Recherche!$C$4),OR(Recherche!$C$5="",B4077&amp;""=Recherche!$C$5&amp;""),OR(Recherche!$C$6="",IFERROR(YEAR(L4077),0)=Recherche!$C$6),OR(Recherche!$C$7="",ISNUMBER(SEARCH(Recherche!$C$7,H4077))),OR(Recherche!$C$8="",J4077=Recherche!$C$8),OR(Recherche!$C$9="",I4077=Recherche!$C$9),OR(Recherche!$C$10="",G4077&amp;""=Recherche!$C$10&amp;""),OR(Recherche!$C$11="",E4077=Recherche!$C$11),OR(Recherche!$C$12="",ISNUMBER(SEARCH(Recherche!$C$12,M4077&amp;" "&amp;F4077)))),1,0)</f>
        <v>8</v>
      </c>
    </row>
    <row r="4078" customFormat="false" ht="15" hidden="false" customHeight="false" outlineLevel="0" collapsed="false">
      <c r="A4078" s="19"/>
      <c r="B4078" s="19"/>
      <c r="C4078" s="19"/>
      <c r="D4078" s="19"/>
      <c r="E4078" s="22"/>
      <c r="F4078" s="19"/>
      <c r="G4078" s="26" t="str">
        <f aca="false">IF(D4078="","",IFERROR(VALUE(LEFT(D4078,FIND(" |",D4078&amp;" |")-1)),"?"))</f>
        <v/>
      </c>
      <c r="H4078" s="27" t="str">
        <f aca="false">IF(G4078="","",IF(G4078="?","⚠ pub inconnue",IFERROR(INDEX(Pubs!$B$2:$B$3001,MATCH(G4078,Pubs!$A$2:$A$3001,0))&amp;"","⚠ pub inconnue")))</f>
        <v/>
      </c>
      <c r="I4078" s="27" t="str">
        <f aca="false">IF(OR(G4078="",G4078="?"),"",IFERROR(INDEX(Pubs!$C$2:$C$3001,MATCH(G4078,Pubs!$A$2:$A$3001,0))&amp;"",""))</f>
        <v/>
      </c>
      <c r="J4078" s="27" t="str">
        <f aca="false">IF(OR(G4078="",G4078="?"),"",IFERROR(INDEX(Pubs!$G$2:$G$3001,MATCH(G4078,Pubs!$A$2:$A$3001,0))&amp;"",""))</f>
        <v/>
      </c>
      <c r="K4078" s="28" t="str">
        <f aca="false">IF(OR(G4078="",G4078="?"),"",IFERROR(INDEX(Pubs!$E$2:$E$3001,MATCH(G4078,Pubs!$A$2:$A$3001,0)),""))</f>
        <v/>
      </c>
      <c r="L4078" s="29" t="str">
        <f aca="false">IF(A4078="","",IFERROR(1/(1/INDEX(Numéros!$C$2:$C$3001,MATCH(A4078&amp;"|"&amp;B4078,Numéros!$F$2:$F$3001,0))),""))</f>
        <v/>
      </c>
      <c r="M4078" s="27" t="str">
        <f aca="false">IF(OR(G4078="",G4078="?"),"",IFERROR(INDEX(Pubs!$D$2:$D$3001,MATCH(G4078,Pubs!$A$2:$A$3001,0))&amp;"",""))</f>
        <v/>
      </c>
      <c r="N4078" s="27" t="n">
        <f aca="false">N(N4077)+IF(AND(A4078&lt;&gt;"",OR(Recherche!$C$4="",A4078=Recherche!$C$4),OR(Recherche!$C$5="",B4078&amp;""=Recherche!$C$5&amp;""),OR(Recherche!$C$6="",IFERROR(YEAR(L4078),0)=Recherche!$C$6),OR(Recherche!$C$7="",ISNUMBER(SEARCH(Recherche!$C$7,H4078))),OR(Recherche!$C$8="",J4078=Recherche!$C$8),OR(Recherche!$C$9="",I4078=Recherche!$C$9),OR(Recherche!$C$10="",G4078&amp;""=Recherche!$C$10&amp;""),OR(Recherche!$C$11="",E4078=Recherche!$C$11),OR(Recherche!$C$12="",ISNUMBER(SEARCH(Recherche!$C$12,M4078&amp;" "&amp;F4078)))),1,0)</f>
        <v>8</v>
      </c>
    </row>
    <row r="4079" customFormat="false" ht="15" hidden="false" customHeight="false" outlineLevel="0" collapsed="false">
      <c r="A4079" s="19"/>
      <c r="B4079" s="19"/>
      <c r="C4079" s="19"/>
      <c r="D4079" s="19"/>
      <c r="E4079" s="22"/>
      <c r="F4079" s="19"/>
      <c r="G4079" s="26" t="str">
        <f aca="false">IF(D4079="","",IFERROR(VALUE(LEFT(D4079,FIND(" |",D4079&amp;" |")-1)),"?"))</f>
        <v/>
      </c>
      <c r="H4079" s="27" t="str">
        <f aca="false">IF(G4079="","",IF(G4079="?","⚠ pub inconnue",IFERROR(INDEX(Pubs!$B$2:$B$3001,MATCH(G4079,Pubs!$A$2:$A$3001,0))&amp;"","⚠ pub inconnue")))</f>
        <v/>
      </c>
      <c r="I4079" s="27" t="str">
        <f aca="false">IF(OR(G4079="",G4079="?"),"",IFERROR(INDEX(Pubs!$C$2:$C$3001,MATCH(G4079,Pubs!$A$2:$A$3001,0))&amp;"",""))</f>
        <v/>
      </c>
      <c r="J4079" s="27" t="str">
        <f aca="false">IF(OR(G4079="",G4079="?"),"",IFERROR(INDEX(Pubs!$G$2:$G$3001,MATCH(G4079,Pubs!$A$2:$A$3001,0))&amp;"",""))</f>
        <v/>
      </c>
      <c r="K4079" s="28" t="str">
        <f aca="false">IF(OR(G4079="",G4079="?"),"",IFERROR(INDEX(Pubs!$E$2:$E$3001,MATCH(G4079,Pubs!$A$2:$A$3001,0)),""))</f>
        <v/>
      </c>
      <c r="L4079" s="29" t="str">
        <f aca="false">IF(A4079="","",IFERROR(1/(1/INDEX(Numéros!$C$2:$C$3001,MATCH(A4079&amp;"|"&amp;B4079,Numéros!$F$2:$F$3001,0))),""))</f>
        <v/>
      </c>
      <c r="M4079" s="27" t="str">
        <f aca="false">IF(OR(G4079="",G4079="?"),"",IFERROR(INDEX(Pubs!$D$2:$D$3001,MATCH(G4079,Pubs!$A$2:$A$3001,0))&amp;"",""))</f>
        <v/>
      </c>
      <c r="N4079" s="27" t="n">
        <f aca="false">N(N4078)+IF(AND(A4079&lt;&gt;"",OR(Recherche!$C$4="",A4079=Recherche!$C$4),OR(Recherche!$C$5="",B4079&amp;""=Recherche!$C$5&amp;""),OR(Recherche!$C$6="",IFERROR(YEAR(L4079),0)=Recherche!$C$6),OR(Recherche!$C$7="",ISNUMBER(SEARCH(Recherche!$C$7,H4079))),OR(Recherche!$C$8="",J4079=Recherche!$C$8),OR(Recherche!$C$9="",I4079=Recherche!$C$9),OR(Recherche!$C$10="",G4079&amp;""=Recherche!$C$10&amp;""),OR(Recherche!$C$11="",E4079=Recherche!$C$11),OR(Recherche!$C$12="",ISNUMBER(SEARCH(Recherche!$C$12,M4079&amp;" "&amp;F4079)))),1,0)</f>
        <v>8</v>
      </c>
    </row>
    <row r="4080" customFormat="false" ht="15" hidden="false" customHeight="false" outlineLevel="0" collapsed="false">
      <c r="A4080" s="19"/>
      <c r="B4080" s="19"/>
      <c r="C4080" s="19"/>
      <c r="D4080" s="19"/>
      <c r="E4080" s="22"/>
      <c r="F4080" s="19"/>
      <c r="G4080" s="26" t="str">
        <f aca="false">IF(D4080="","",IFERROR(VALUE(LEFT(D4080,FIND(" |",D4080&amp;" |")-1)),"?"))</f>
        <v/>
      </c>
      <c r="H4080" s="27" t="str">
        <f aca="false">IF(G4080="","",IF(G4080="?","⚠ pub inconnue",IFERROR(INDEX(Pubs!$B$2:$B$3001,MATCH(G4080,Pubs!$A$2:$A$3001,0))&amp;"","⚠ pub inconnue")))</f>
        <v/>
      </c>
      <c r="I4080" s="27" t="str">
        <f aca="false">IF(OR(G4080="",G4080="?"),"",IFERROR(INDEX(Pubs!$C$2:$C$3001,MATCH(G4080,Pubs!$A$2:$A$3001,0))&amp;"",""))</f>
        <v/>
      </c>
      <c r="J4080" s="27" t="str">
        <f aca="false">IF(OR(G4080="",G4080="?"),"",IFERROR(INDEX(Pubs!$G$2:$G$3001,MATCH(G4080,Pubs!$A$2:$A$3001,0))&amp;"",""))</f>
        <v/>
      </c>
      <c r="K4080" s="28" t="str">
        <f aca="false">IF(OR(G4080="",G4080="?"),"",IFERROR(INDEX(Pubs!$E$2:$E$3001,MATCH(G4080,Pubs!$A$2:$A$3001,0)),""))</f>
        <v/>
      </c>
      <c r="L4080" s="29" t="str">
        <f aca="false">IF(A4080="","",IFERROR(1/(1/INDEX(Numéros!$C$2:$C$3001,MATCH(A4080&amp;"|"&amp;B4080,Numéros!$F$2:$F$3001,0))),""))</f>
        <v/>
      </c>
      <c r="M4080" s="27" t="str">
        <f aca="false">IF(OR(G4080="",G4080="?"),"",IFERROR(INDEX(Pubs!$D$2:$D$3001,MATCH(G4080,Pubs!$A$2:$A$3001,0))&amp;"",""))</f>
        <v/>
      </c>
      <c r="N4080" s="27" t="n">
        <f aca="false">N(N4079)+IF(AND(A4080&lt;&gt;"",OR(Recherche!$C$4="",A4080=Recherche!$C$4),OR(Recherche!$C$5="",B4080&amp;""=Recherche!$C$5&amp;""),OR(Recherche!$C$6="",IFERROR(YEAR(L4080),0)=Recherche!$C$6),OR(Recherche!$C$7="",ISNUMBER(SEARCH(Recherche!$C$7,H4080))),OR(Recherche!$C$8="",J4080=Recherche!$C$8),OR(Recherche!$C$9="",I4080=Recherche!$C$9),OR(Recherche!$C$10="",G4080&amp;""=Recherche!$C$10&amp;""),OR(Recherche!$C$11="",E4080=Recherche!$C$11),OR(Recherche!$C$12="",ISNUMBER(SEARCH(Recherche!$C$12,M4080&amp;" "&amp;F4080)))),1,0)</f>
        <v>8</v>
      </c>
    </row>
    <row r="4081" customFormat="false" ht="15" hidden="false" customHeight="false" outlineLevel="0" collapsed="false">
      <c r="A4081" s="19"/>
      <c r="B4081" s="19"/>
      <c r="C4081" s="19"/>
      <c r="D4081" s="19"/>
      <c r="E4081" s="22"/>
      <c r="F4081" s="19"/>
      <c r="G4081" s="26" t="str">
        <f aca="false">IF(D4081="","",IFERROR(VALUE(LEFT(D4081,FIND(" |",D4081&amp;" |")-1)),"?"))</f>
        <v/>
      </c>
      <c r="H4081" s="27" t="str">
        <f aca="false">IF(G4081="","",IF(G4081="?","⚠ pub inconnue",IFERROR(INDEX(Pubs!$B$2:$B$3001,MATCH(G4081,Pubs!$A$2:$A$3001,0))&amp;"","⚠ pub inconnue")))</f>
        <v/>
      </c>
      <c r="I4081" s="27" t="str">
        <f aca="false">IF(OR(G4081="",G4081="?"),"",IFERROR(INDEX(Pubs!$C$2:$C$3001,MATCH(G4081,Pubs!$A$2:$A$3001,0))&amp;"",""))</f>
        <v/>
      </c>
      <c r="J4081" s="27" t="str">
        <f aca="false">IF(OR(G4081="",G4081="?"),"",IFERROR(INDEX(Pubs!$G$2:$G$3001,MATCH(G4081,Pubs!$A$2:$A$3001,0))&amp;"",""))</f>
        <v/>
      </c>
      <c r="K4081" s="28" t="str">
        <f aca="false">IF(OR(G4081="",G4081="?"),"",IFERROR(INDEX(Pubs!$E$2:$E$3001,MATCH(G4081,Pubs!$A$2:$A$3001,0)),""))</f>
        <v/>
      </c>
      <c r="L4081" s="29" t="str">
        <f aca="false">IF(A4081="","",IFERROR(1/(1/INDEX(Numéros!$C$2:$C$3001,MATCH(A4081&amp;"|"&amp;B4081,Numéros!$F$2:$F$3001,0))),""))</f>
        <v/>
      </c>
      <c r="M4081" s="27" t="str">
        <f aca="false">IF(OR(G4081="",G4081="?"),"",IFERROR(INDEX(Pubs!$D$2:$D$3001,MATCH(G4081,Pubs!$A$2:$A$3001,0))&amp;"",""))</f>
        <v/>
      </c>
      <c r="N4081" s="27" t="n">
        <f aca="false">N(N4080)+IF(AND(A4081&lt;&gt;"",OR(Recherche!$C$4="",A4081=Recherche!$C$4),OR(Recherche!$C$5="",B4081&amp;""=Recherche!$C$5&amp;""),OR(Recherche!$C$6="",IFERROR(YEAR(L4081),0)=Recherche!$C$6),OR(Recherche!$C$7="",ISNUMBER(SEARCH(Recherche!$C$7,H4081))),OR(Recherche!$C$8="",J4081=Recherche!$C$8),OR(Recherche!$C$9="",I4081=Recherche!$C$9),OR(Recherche!$C$10="",G4081&amp;""=Recherche!$C$10&amp;""),OR(Recherche!$C$11="",E4081=Recherche!$C$11),OR(Recherche!$C$12="",ISNUMBER(SEARCH(Recherche!$C$12,M4081&amp;" "&amp;F4081)))),1,0)</f>
        <v>8</v>
      </c>
    </row>
    <row r="4082" customFormat="false" ht="15" hidden="false" customHeight="false" outlineLevel="0" collapsed="false">
      <c r="A4082" s="19"/>
      <c r="B4082" s="19"/>
      <c r="C4082" s="19"/>
      <c r="D4082" s="19"/>
      <c r="E4082" s="22"/>
      <c r="F4082" s="19"/>
      <c r="G4082" s="26" t="str">
        <f aca="false">IF(D4082="","",IFERROR(VALUE(LEFT(D4082,FIND(" |",D4082&amp;" |")-1)),"?"))</f>
        <v/>
      </c>
      <c r="H4082" s="27" t="str">
        <f aca="false">IF(G4082="","",IF(G4082="?","⚠ pub inconnue",IFERROR(INDEX(Pubs!$B$2:$B$3001,MATCH(G4082,Pubs!$A$2:$A$3001,0))&amp;"","⚠ pub inconnue")))</f>
        <v/>
      </c>
      <c r="I4082" s="27" t="str">
        <f aca="false">IF(OR(G4082="",G4082="?"),"",IFERROR(INDEX(Pubs!$C$2:$C$3001,MATCH(G4082,Pubs!$A$2:$A$3001,0))&amp;"",""))</f>
        <v/>
      </c>
      <c r="J4082" s="27" t="str">
        <f aca="false">IF(OR(G4082="",G4082="?"),"",IFERROR(INDEX(Pubs!$G$2:$G$3001,MATCH(G4082,Pubs!$A$2:$A$3001,0))&amp;"",""))</f>
        <v/>
      </c>
      <c r="K4082" s="28" t="str">
        <f aca="false">IF(OR(G4082="",G4082="?"),"",IFERROR(INDEX(Pubs!$E$2:$E$3001,MATCH(G4082,Pubs!$A$2:$A$3001,0)),""))</f>
        <v/>
      </c>
      <c r="L4082" s="29" t="str">
        <f aca="false">IF(A4082="","",IFERROR(1/(1/INDEX(Numéros!$C$2:$C$3001,MATCH(A4082&amp;"|"&amp;B4082,Numéros!$F$2:$F$3001,0))),""))</f>
        <v/>
      </c>
      <c r="M4082" s="27" t="str">
        <f aca="false">IF(OR(G4082="",G4082="?"),"",IFERROR(INDEX(Pubs!$D$2:$D$3001,MATCH(G4082,Pubs!$A$2:$A$3001,0))&amp;"",""))</f>
        <v/>
      </c>
      <c r="N4082" s="27" t="n">
        <f aca="false">N(N4081)+IF(AND(A4082&lt;&gt;"",OR(Recherche!$C$4="",A4082=Recherche!$C$4),OR(Recherche!$C$5="",B4082&amp;""=Recherche!$C$5&amp;""),OR(Recherche!$C$6="",IFERROR(YEAR(L4082),0)=Recherche!$C$6),OR(Recherche!$C$7="",ISNUMBER(SEARCH(Recherche!$C$7,H4082))),OR(Recherche!$C$8="",J4082=Recherche!$C$8),OR(Recherche!$C$9="",I4082=Recherche!$C$9),OR(Recherche!$C$10="",G4082&amp;""=Recherche!$C$10&amp;""),OR(Recherche!$C$11="",E4082=Recherche!$C$11),OR(Recherche!$C$12="",ISNUMBER(SEARCH(Recherche!$C$12,M4082&amp;" "&amp;F4082)))),1,0)</f>
        <v>8</v>
      </c>
    </row>
    <row r="4083" customFormat="false" ht="15" hidden="false" customHeight="false" outlineLevel="0" collapsed="false">
      <c r="A4083" s="19"/>
      <c r="B4083" s="19"/>
      <c r="C4083" s="19"/>
      <c r="D4083" s="19"/>
      <c r="E4083" s="22"/>
      <c r="F4083" s="19"/>
      <c r="G4083" s="26" t="str">
        <f aca="false">IF(D4083="","",IFERROR(VALUE(LEFT(D4083,FIND(" |",D4083&amp;" |")-1)),"?"))</f>
        <v/>
      </c>
      <c r="H4083" s="27" t="str">
        <f aca="false">IF(G4083="","",IF(G4083="?","⚠ pub inconnue",IFERROR(INDEX(Pubs!$B$2:$B$3001,MATCH(G4083,Pubs!$A$2:$A$3001,0))&amp;"","⚠ pub inconnue")))</f>
        <v/>
      </c>
      <c r="I4083" s="27" t="str">
        <f aca="false">IF(OR(G4083="",G4083="?"),"",IFERROR(INDEX(Pubs!$C$2:$C$3001,MATCH(G4083,Pubs!$A$2:$A$3001,0))&amp;"",""))</f>
        <v/>
      </c>
      <c r="J4083" s="27" t="str">
        <f aca="false">IF(OR(G4083="",G4083="?"),"",IFERROR(INDEX(Pubs!$G$2:$G$3001,MATCH(G4083,Pubs!$A$2:$A$3001,0))&amp;"",""))</f>
        <v/>
      </c>
      <c r="K4083" s="28" t="str">
        <f aca="false">IF(OR(G4083="",G4083="?"),"",IFERROR(INDEX(Pubs!$E$2:$E$3001,MATCH(G4083,Pubs!$A$2:$A$3001,0)),""))</f>
        <v/>
      </c>
      <c r="L4083" s="29" t="str">
        <f aca="false">IF(A4083="","",IFERROR(1/(1/INDEX(Numéros!$C$2:$C$3001,MATCH(A4083&amp;"|"&amp;B4083,Numéros!$F$2:$F$3001,0))),""))</f>
        <v/>
      </c>
      <c r="M4083" s="27" t="str">
        <f aca="false">IF(OR(G4083="",G4083="?"),"",IFERROR(INDEX(Pubs!$D$2:$D$3001,MATCH(G4083,Pubs!$A$2:$A$3001,0))&amp;"",""))</f>
        <v/>
      </c>
      <c r="N4083" s="27" t="n">
        <f aca="false">N(N4082)+IF(AND(A4083&lt;&gt;"",OR(Recherche!$C$4="",A4083=Recherche!$C$4),OR(Recherche!$C$5="",B4083&amp;""=Recherche!$C$5&amp;""),OR(Recherche!$C$6="",IFERROR(YEAR(L4083),0)=Recherche!$C$6),OR(Recherche!$C$7="",ISNUMBER(SEARCH(Recherche!$C$7,H4083))),OR(Recherche!$C$8="",J4083=Recherche!$C$8),OR(Recherche!$C$9="",I4083=Recherche!$C$9),OR(Recherche!$C$10="",G4083&amp;""=Recherche!$C$10&amp;""),OR(Recherche!$C$11="",E4083=Recherche!$C$11),OR(Recherche!$C$12="",ISNUMBER(SEARCH(Recherche!$C$12,M4083&amp;" "&amp;F4083)))),1,0)</f>
        <v>8</v>
      </c>
    </row>
    <row r="4084" customFormat="false" ht="15" hidden="false" customHeight="false" outlineLevel="0" collapsed="false">
      <c r="A4084" s="19"/>
      <c r="B4084" s="19"/>
      <c r="C4084" s="19"/>
      <c r="D4084" s="19"/>
      <c r="E4084" s="22"/>
      <c r="F4084" s="19"/>
      <c r="G4084" s="26" t="str">
        <f aca="false">IF(D4084="","",IFERROR(VALUE(LEFT(D4084,FIND(" |",D4084&amp;" |")-1)),"?"))</f>
        <v/>
      </c>
      <c r="H4084" s="27" t="str">
        <f aca="false">IF(G4084="","",IF(G4084="?","⚠ pub inconnue",IFERROR(INDEX(Pubs!$B$2:$B$3001,MATCH(G4084,Pubs!$A$2:$A$3001,0))&amp;"","⚠ pub inconnue")))</f>
        <v/>
      </c>
      <c r="I4084" s="27" t="str">
        <f aca="false">IF(OR(G4084="",G4084="?"),"",IFERROR(INDEX(Pubs!$C$2:$C$3001,MATCH(G4084,Pubs!$A$2:$A$3001,0))&amp;"",""))</f>
        <v/>
      </c>
      <c r="J4084" s="27" t="str">
        <f aca="false">IF(OR(G4084="",G4084="?"),"",IFERROR(INDEX(Pubs!$G$2:$G$3001,MATCH(G4084,Pubs!$A$2:$A$3001,0))&amp;"",""))</f>
        <v/>
      </c>
      <c r="K4084" s="28" t="str">
        <f aca="false">IF(OR(G4084="",G4084="?"),"",IFERROR(INDEX(Pubs!$E$2:$E$3001,MATCH(G4084,Pubs!$A$2:$A$3001,0)),""))</f>
        <v/>
      </c>
      <c r="L4084" s="29" t="str">
        <f aca="false">IF(A4084="","",IFERROR(1/(1/INDEX(Numéros!$C$2:$C$3001,MATCH(A4084&amp;"|"&amp;B4084,Numéros!$F$2:$F$3001,0))),""))</f>
        <v/>
      </c>
      <c r="M4084" s="27" t="str">
        <f aca="false">IF(OR(G4084="",G4084="?"),"",IFERROR(INDEX(Pubs!$D$2:$D$3001,MATCH(G4084,Pubs!$A$2:$A$3001,0))&amp;"",""))</f>
        <v/>
      </c>
      <c r="N4084" s="27" t="n">
        <f aca="false">N(N4083)+IF(AND(A4084&lt;&gt;"",OR(Recherche!$C$4="",A4084=Recherche!$C$4),OR(Recherche!$C$5="",B4084&amp;""=Recherche!$C$5&amp;""),OR(Recherche!$C$6="",IFERROR(YEAR(L4084),0)=Recherche!$C$6),OR(Recherche!$C$7="",ISNUMBER(SEARCH(Recherche!$C$7,H4084))),OR(Recherche!$C$8="",J4084=Recherche!$C$8),OR(Recherche!$C$9="",I4084=Recherche!$C$9),OR(Recherche!$C$10="",G4084&amp;""=Recherche!$C$10&amp;""),OR(Recherche!$C$11="",E4084=Recherche!$C$11),OR(Recherche!$C$12="",ISNUMBER(SEARCH(Recherche!$C$12,M4084&amp;" "&amp;F4084)))),1,0)</f>
        <v>8</v>
      </c>
    </row>
    <row r="4085" customFormat="false" ht="15" hidden="false" customHeight="false" outlineLevel="0" collapsed="false">
      <c r="A4085" s="19"/>
      <c r="B4085" s="19"/>
      <c r="C4085" s="19"/>
      <c r="D4085" s="19"/>
      <c r="E4085" s="22"/>
      <c r="F4085" s="19"/>
      <c r="G4085" s="26" t="str">
        <f aca="false">IF(D4085="","",IFERROR(VALUE(LEFT(D4085,FIND(" |",D4085&amp;" |")-1)),"?"))</f>
        <v/>
      </c>
      <c r="H4085" s="27" t="str">
        <f aca="false">IF(G4085="","",IF(G4085="?","⚠ pub inconnue",IFERROR(INDEX(Pubs!$B$2:$B$3001,MATCH(G4085,Pubs!$A$2:$A$3001,0))&amp;"","⚠ pub inconnue")))</f>
        <v/>
      </c>
      <c r="I4085" s="27" t="str">
        <f aca="false">IF(OR(G4085="",G4085="?"),"",IFERROR(INDEX(Pubs!$C$2:$C$3001,MATCH(G4085,Pubs!$A$2:$A$3001,0))&amp;"",""))</f>
        <v/>
      </c>
      <c r="J4085" s="27" t="str">
        <f aca="false">IF(OR(G4085="",G4085="?"),"",IFERROR(INDEX(Pubs!$G$2:$G$3001,MATCH(G4085,Pubs!$A$2:$A$3001,0))&amp;"",""))</f>
        <v/>
      </c>
      <c r="K4085" s="28" t="str">
        <f aca="false">IF(OR(G4085="",G4085="?"),"",IFERROR(INDEX(Pubs!$E$2:$E$3001,MATCH(G4085,Pubs!$A$2:$A$3001,0)),""))</f>
        <v/>
      </c>
      <c r="L4085" s="29" t="str">
        <f aca="false">IF(A4085="","",IFERROR(1/(1/INDEX(Numéros!$C$2:$C$3001,MATCH(A4085&amp;"|"&amp;B4085,Numéros!$F$2:$F$3001,0))),""))</f>
        <v/>
      </c>
      <c r="M4085" s="27" t="str">
        <f aca="false">IF(OR(G4085="",G4085="?"),"",IFERROR(INDEX(Pubs!$D$2:$D$3001,MATCH(G4085,Pubs!$A$2:$A$3001,0))&amp;"",""))</f>
        <v/>
      </c>
      <c r="N4085" s="27" t="n">
        <f aca="false">N(N4084)+IF(AND(A4085&lt;&gt;"",OR(Recherche!$C$4="",A4085=Recherche!$C$4),OR(Recherche!$C$5="",B4085&amp;""=Recherche!$C$5&amp;""),OR(Recherche!$C$6="",IFERROR(YEAR(L4085),0)=Recherche!$C$6),OR(Recherche!$C$7="",ISNUMBER(SEARCH(Recherche!$C$7,H4085))),OR(Recherche!$C$8="",J4085=Recherche!$C$8),OR(Recherche!$C$9="",I4085=Recherche!$C$9),OR(Recherche!$C$10="",G4085&amp;""=Recherche!$C$10&amp;""),OR(Recherche!$C$11="",E4085=Recherche!$C$11),OR(Recherche!$C$12="",ISNUMBER(SEARCH(Recherche!$C$12,M4085&amp;" "&amp;F4085)))),1,0)</f>
        <v>8</v>
      </c>
    </row>
    <row r="4086" customFormat="false" ht="15" hidden="false" customHeight="false" outlineLevel="0" collapsed="false">
      <c r="A4086" s="19"/>
      <c r="B4086" s="19"/>
      <c r="C4086" s="19"/>
      <c r="D4086" s="19"/>
      <c r="E4086" s="22"/>
      <c r="F4086" s="19"/>
      <c r="G4086" s="26" t="str">
        <f aca="false">IF(D4086="","",IFERROR(VALUE(LEFT(D4086,FIND(" |",D4086&amp;" |")-1)),"?"))</f>
        <v/>
      </c>
      <c r="H4086" s="27" t="str">
        <f aca="false">IF(G4086="","",IF(G4086="?","⚠ pub inconnue",IFERROR(INDEX(Pubs!$B$2:$B$3001,MATCH(G4086,Pubs!$A$2:$A$3001,0))&amp;"","⚠ pub inconnue")))</f>
        <v/>
      </c>
      <c r="I4086" s="27" t="str">
        <f aca="false">IF(OR(G4086="",G4086="?"),"",IFERROR(INDEX(Pubs!$C$2:$C$3001,MATCH(G4086,Pubs!$A$2:$A$3001,0))&amp;"",""))</f>
        <v/>
      </c>
      <c r="J4086" s="27" t="str">
        <f aca="false">IF(OR(G4086="",G4086="?"),"",IFERROR(INDEX(Pubs!$G$2:$G$3001,MATCH(G4086,Pubs!$A$2:$A$3001,0))&amp;"",""))</f>
        <v/>
      </c>
      <c r="K4086" s="28" t="str">
        <f aca="false">IF(OR(G4086="",G4086="?"),"",IFERROR(INDEX(Pubs!$E$2:$E$3001,MATCH(G4086,Pubs!$A$2:$A$3001,0)),""))</f>
        <v/>
      </c>
      <c r="L4086" s="29" t="str">
        <f aca="false">IF(A4086="","",IFERROR(1/(1/INDEX(Numéros!$C$2:$C$3001,MATCH(A4086&amp;"|"&amp;B4086,Numéros!$F$2:$F$3001,0))),""))</f>
        <v/>
      </c>
      <c r="M4086" s="27" t="str">
        <f aca="false">IF(OR(G4086="",G4086="?"),"",IFERROR(INDEX(Pubs!$D$2:$D$3001,MATCH(G4086,Pubs!$A$2:$A$3001,0))&amp;"",""))</f>
        <v/>
      </c>
      <c r="N4086" s="27" t="n">
        <f aca="false">N(N4085)+IF(AND(A4086&lt;&gt;"",OR(Recherche!$C$4="",A4086=Recherche!$C$4),OR(Recherche!$C$5="",B4086&amp;""=Recherche!$C$5&amp;""),OR(Recherche!$C$6="",IFERROR(YEAR(L4086),0)=Recherche!$C$6),OR(Recherche!$C$7="",ISNUMBER(SEARCH(Recherche!$C$7,H4086))),OR(Recherche!$C$8="",J4086=Recherche!$C$8),OR(Recherche!$C$9="",I4086=Recherche!$C$9),OR(Recherche!$C$10="",G4086&amp;""=Recherche!$C$10&amp;""),OR(Recherche!$C$11="",E4086=Recherche!$C$11),OR(Recherche!$C$12="",ISNUMBER(SEARCH(Recherche!$C$12,M4086&amp;" "&amp;F4086)))),1,0)</f>
        <v>8</v>
      </c>
    </row>
    <row r="4087" customFormat="false" ht="15" hidden="false" customHeight="false" outlineLevel="0" collapsed="false">
      <c r="A4087" s="19"/>
      <c r="B4087" s="19"/>
      <c r="C4087" s="19"/>
      <c r="D4087" s="19"/>
      <c r="E4087" s="22"/>
      <c r="F4087" s="19"/>
      <c r="G4087" s="26" t="str">
        <f aca="false">IF(D4087="","",IFERROR(VALUE(LEFT(D4087,FIND(" |",D4087&amp;" |")-1)),"?"))</f>
        <v/>
      </c>
      <c r="H4087" s="27" t="str">
        <f aca="false">IF(G4087="","",IF(G4087="?","⚠ pub inconnue",IFERROR(INDEX(Pubs!$B$2:$B$3001,MATCH(G4087,Pubs!$A$2:$A$3001,0))&amp;"","⚠ pub inconnue")))</f>
        <v/>
      </c>
      <c r="I4087" s="27" t="str">
        <f aca="false">IF(OR(G4087="",G4087="?"),"",IFERROR(INDEX(Pubs!$C$2:$C$3001,MATCH(G4087,Pubs!$A$2:$A$3001,0))&amp;"",""))</f>
        <v/>
      </c>
      <c r="J4087" s="27" t="str">
        <f aca="false">IF(OR(G4087="",G4087="?"),"",IFERROR(INDEX(Pubs!$G$2:$G$3001,MATCH(G4087,Pubs!$A$2:$A$3001,0))&amp;"",""))</f>
        <v/>
      </c>
      <c r="K4087" s="28" t="str">
        <f aca="false">IF(OR(G4087="",G4087="?"),"",IFERROR(INDEX(Pubs!$E$2:$E$3001,MATCH(G4087,Pubs!$A$2:$A$3001,0)),""))</f>
        <v/>
      </c>
      <c r="L4087" s="29" t="str">
        <f aca="false">IF(A4087="","",IFERROR(1/(1/INDEX(Numéros!$C$2:$C$3001,MATCH(A4087&amp;"|"&amp;B4087,Numéros!$F$2:$F$3001,0))),""))</f>
        <v/>
      </c>
      <c r="M4087" s="27" t="str">
        <f aca="false">IF(OR(G4087="",G4087="?"),"",IFERROR(INDEX(Pubs!$D$2:$D$3001,MATCH(G4087,Pubs!$A$2:$A$3001,0))&amp;"",""))</f>
        <v/>
      </c>
      <c r="N4087" s="27" t="n">
        <f aca="false">N(N4086)+IF(AND(A4087&lt;&gt;"",OR(Recherche!$C$4="",A4087=Recherche!$C$4),OR(Recherche!$C$5="",B4087&amp;""=Recherche!$C$5&amp;""),OR(Recherche!$C$6="",IFERROR(YEAR(L4087),0)=Recherche!$C$6),OR(Recherche!$C$7="",ISNUMBER(SEARCH(Recherche!$C$7,H4087))),OR(Recherche!$C$8="",J4087=Recherche!$C$8),OR(Recherche!$C$9="",I4087=Recherche!$C$9),OR(Recherche!$C$10="",G4087&amp;""=Recherche!$C$10&amp;""),OR(Recherche!$C$11="",E4087=Recherche!$C$11),OR(Recherche!$C$12="",ISNUMBER(SEARCH(Recherche!$C$12,M4087&amp;" "&amp;F4087)))),1,0)</f>
        <v>8</v>
      </c>
    </row>
    <row r="4088" customFormat="false" ht="15" hidden="false" customHeight="false" outlineLevel="0" collapsed="false">
      <c r="A4088" s="19"/>
      <c r="B4088" s="19"/>
      <c r="C4088" s="19"/>
      <c r="D4088" s="19"/>
      <c r="E4088" s="22"/>
      <c r="F4088" s="19"/>
      <c r="G4088" s="26" t="str">
        <f aca="false">IF(D4088="","",IFERROR(VALUE(LEFT(D4088,FIND(" |",D4088&amp;" |")-1)),"?"))</f>
        <v/>
      </c>
      <c r="H4088" s="27" t="str">
        <f aca="false">IF(G4088="","",IF(G4088="?","⚠ pub inconnue",IFERROR(INDEX(Pubs!$B$2:$B$3001,MATCH(G4088,Pubs!$A$2:$A$3001,0))&amp;"","⚠ pub inconnue")))</f>
        <v/>
      </c>
      <c r="I4088" s="27" t="str">
        <f aca="false">IF(OR(G4088="",G4088="?"),"",IFERROR(INDEX(Pubs!$C$2:$C$3001,MATCH(G4088,Pubs!$A$2:$A$3001,0))&amp;"",""))</f>
        <v/>
      </c>
      <c r="J4088" s="27" t="str">
        <f aca="false">IF(OR(G4088="",G4088="?"),"",IFERROR(INDEX(Pubs!$G$2:$G$3001,MATCH(G4088,Pubs!$A$2:$A$3001,0))&amp;"",""))</f>
        <v/>
      </c>
      <c r="K4088" s="28" t="str">
        <f aca="false">IF(OR(G4088="",G4088="?"),"",IFERROR(INDEX(Pubs!$E$2:$E$3001,MATCH(G4088,Pubs!$A$2:$A$3001,0)),""))</f>
        <v/>
      </c>
      <c r="L4088" s="29" t="str">
        <f aca="false">IF(A4088="","",IFERROR(1/(1/INDEX(Numéros!$C$2:$C$3001,MATCH(A4088&amp;"|"&amp;B4088,Numéros!$F$2:$F$3001,0))),""))</f>
        <v/>
      </c>
      <c r="M4088" s="27" t="str">
        <f aca="false">IF(OR(G4088="",G4088="?"),"",IFERROR(INDEX(Pubs!$D$2:$D$3001,MATCH(G4088,Pubs!$A$2:$A$3001,0))&amp;"",""))</f>
        <v/>
      </c>
      <c r="N4088" s="27" t="n">
        <f aca="false">N(N4087)+IF(AND(A4088&lt;&gt;"",OR(Recherche!$C$4="",A4088=Recherche!$C$4),OR(Recherche!$C$5="",B4088&amp;""=Recherche!$C$5&amp;""),OR(Recherche!$C$6="",IFERROR(YEAR(L4088),0)=Recherche!$C$6),OR(Recherche!$C$7="",ISNUMBER(SEARCH(Recherche!$C$7,H4088))),OR(Recherche!$C$8="",J4088=Recherche!$C$8),OR(Recherche!$C$9="",I4088=Recherche!$C$9),OR(Recherche!$C$10="",G4088&amp;""=Recherche!$C$10&amp;""),OR(Recherche!$C$11="",E4088=Recherche!$C$11),OR(Recherche!$C$12="",ISNUMBER(SEARCH(Recherche!$C$12,M4088&amp;" "&amp;F4088)))),1,0)</f>
        <v>8</v>
      </c>
    </row>
    <row r="4089" customFormat="false" ht="15" hidden="false" customHeight="false" outlineLevel="0" collapsed="false">
      <c r="A4089" s="19"/>
      <c r="B4089" s="19"/>
      <c r="C4089" s="19"/>
      <c r="D4089" s="19"/>
      <c r="E4089" s="22"/>
      <c r="F4089" s="19"/>
      <c r="G4089" s="26" t="str">
        <f aca="false">IF(D4089="","",IFERROR(VALUE(LEFT(D4089,FIND(" |",D4089&amp;" |")-1)),"?"))</f>
        <v/>
      </c>
      <c r="H4089" s="27" t="str">
        <f aca="false">IF(G4089="","",IF(G4089="?","⚠ pub inconnue",IFERROR(INDEX(Pubs!$B$2:$B$3001,MATCH(G4089,Pubs!$A$2:$A$3001,0))&amp;"","⚠ pub inconnue")))</f>
        <v/>
      </c>
      <c r="I4089" s="27" t="str">
        <f aca="false">IF(OR(G4089="",G4089="?"),"",IFERROR(INDEX(Pubs!$C$2:$C$3001,MATCH(G4089,Pubs!$A$2:$A$3001,0))&amp;"",""))</f>
        <v/>
      </c>
      <c r="J4089" s="27" t="str">
        <f aca="false">IF(OR(G4089="",G4089="?"),"",IFERROR(INDEX(Pubs!$G$2:$G$3001,MATCH(G4089,Pubs!$A$2:$A$3001,0))&amp;"",""))</f>
        <v/>
      </c>
      <c r="K4089" s="28" t="str">
        <f aca="false">IF(OR(G4089="",G4089="?"),"",IFERROR(INDEX(Pubs!$E$2:$E$3001,MATCH(G4089,Pubs!$A$2:$A$3001,0)),""))</f>
        <v/>
      </c>
      <c r="L4089" s="29" t="str">
        <f aca="false">IF(A4089="","",IFERROR(1/(1/INDEX(Numéros!$C$2:$C$3001,MATCH(A4089&amp;"|"&amp;B4089,Numéros!$F$2:$F$3001,0))),""))</f>
        <v/>
      </c>
      <c r="M4089" s="27" t="str">
        <f aca="false">IF(OR(G4089="",G4089="?"),"",IFERROR(INDEX(Pubs!$D$2:$D$3001,MATCH(G4089,Pubs!$A$2:$A$3001,0))&amp;"",""))</f>
        <v/>
      </c>
      <c r="N4089" s="27" t="n">
        <f aca="false">N(N4088)+IF(AND(A4089&lt;&gt;"",OR(Recherche!$C$4="",A4089=Recherche!$C$4),OR(Recherche!$C$5="",B4089&amp;""=Recherche!$C$5&amp;""),OR(Recherche!$C$6="",IFERROR(YEAR(L4089),0)=Recherche!$C$6),OR(Recherche!$C$7="",ISNUMBER(SEARCH(Recherche!$C$7,H4089))),OR(Recherche!$C$8="",J4089=Recherche!$C$8),OR(Recherche!$C$9="",I4089=Recherche!$C$9),OR(Recherche!$C$10="",G4089&amp;""=Recherche!$C$10&amp;""),OR(Recherche!$C$11="",E4089=Recherche!$C$11),OR(Recherche!$C$12="",ISNUMBER(SEARCH(Recherche!$C$12,M4089&amp;" "&amp;F4089)))),1,0)</f>
        <v>8</v>
      </c>
    </row>
    <row r="4090" customFormat="false" ht="15" hidden="false" customHeight="false" outlineLevel="0" collapsed="false">
      <c r="A4090" s="19"/>
      <c r="B4090" s="19"/>
      <c r="C4090" s="19"/>
      <c r="D4090" s="19"/>
      <c r="E4090" s="22"/>
      <c r="F4090" s="19"/>
      <c r="G4090" s="26" t="str">
        <f aca="false">IF(D4090="","",IFERROR(VALUE(LEFT(D4090,FIND(" |",D4090&amp;" |")-1)),"?"))</f>
        <v/>
      </c>
      <c r="H4090" s="27" t="str">
        <f aca="false">IF(G4090="","",IF(G4090="?","⚠ pub inconnue",IFERROR(INDEX(Pubs!$B$2:$B$3001,MATCH(G4090,Pubs!$A$2:$A$3001,0))&amp;"","⚠ pub inconnue")))</f>
        <v/>
      </c>
      <c r="I4090" s="27" t="str">
        <f aca="false">IF(OR(G4090="",G4090="?"),"",IFERROR(INDEX(Pubs!$C$2:$C$3001,MATCH(G4090,Pubs!$A$2:$A$3001,0))&amp;"",""))</f>
        <v/>
      </c>
      <c r="J4090" s="27" t="str">
        <f aca="false">IF(OR(G4090="",G4090="?"),"",IFERROR(INDEX(Pubs!$G$2:$G$3001,MATCH(G4090,Pubs!$A$2:$A$3001,0))&amp;"",""))</f>
        <v/>
      </c>
      <c r="K4090" s="28" t="str">
        <f aca="false">IF(OR(G4090="",G4090="?"),"",IFERROR(INDEX(Pubs!$E$2:$E$3001,MATCH(G4090,Pubs!$A$2:$A$3001,0)),""))</f>
        <v/>
      </c>
      <c r="L4090" s="29" t="str">
        <f aca="false">IF(A4090="","",IFERROR(1/(1/INDEX(Numéros!$C$2:$C$3001,MATCH(A4090&amp;"|"&amp;B4090,Numéros!$F$2:$F$3001,0))),""))</f>
        <v/>
      </c>
      <c r="M4090" s="27" t="str">
        <f aca="false">IF(OR(G4090="",G4090="?"),"",IFERROR(INDEX(Pubs!$D$2:$D$3001,MATCH(G4090,Pubs!$A$2:$A$3001,0))&amp;"",""))</f>
        <v/>
      </c>
      <c r="N4090" s="27" t="n">
        <f aca="false">N(N4089)+IF(AND(A4090&lt;&gt;"",OR(Recherche!$C$4="",A4090=Recherche!$C$4),OR(Recherche!$C$5="",B4090&amp;""=Recherche!$C$5&amp;""),OR(Recherche!$C$6="",IFERROR(YEAR(L4090),0)=Recherche!$C$6),OR(Recherche!$C$7="",ISNUMBER(SEARCH(Recherche!$C$7,H4090))),OR(Recherche!$C$8="",J4090=Recherche!$C$8),OR(Recherche!$C$9="",I4090=Recherche!$C$9),OR(Recherche!$C$10="",G4090&amp;""=Recherche!$C$10&amp;""),OR(Recherche!$C$11="",E4090=Recherche!$C$11),OR(Recherche!$C$12="",ISNUMBER(SEARCH(Recherche!$C$12,M4090&amp;" "&amp;F4090)))),1,0)</f>
        <v>8</v>
      </c>
    </row>
    <row r="4091" customFormat="false" ht="15" hidden="false" customHeight="false" outlineLevel="0" collapsed="false">
      <c r="A4091" s="19"/>
      <c r="B4091" s="19"/>
      <c r="C4091" s="19"/>
      <c r="D4091" s="19"/>
      <c r="E4091" s="22"/>
      <c r="F4091" s="19"/>
      <c r="G4091" s="26" t="str">
        <f aca="false">IF(D4091="","",IFERROR(VALUE(LEFT(D4091,FIND(" |",D4091&amp;" |")-1)),"?"))</f>
        <v/>
      </c>
      <c r="H4091" s="27" t="str">
        <f aca="false">IF(G4091="","",IF(G4091="?","⚠ pub inconnue",IFERROR(INDEX(Pubs!$B$2:$B$3001,MATCH(G4091,Pubs!$A$2:$A$3001,0))&amp;"","⚠ pub inconnue")))</f>
        <v/>
      </c>
      <c r="I4091" s="27" t="str">
        <f aca="false">IF(OR(G4091="",G4091="?"),"",IFERROR(INDEX(Pubs!$C$2:$C$3001,MATCH(G4091,Pubs!$A$2:$A$3001,0))&amp;"",""))</f>
        <v/>
      </c>
      <c r="J4091" s="27" t="str">
        <f aca="false">IF(OR(G4091="",G4091="?"),"",IFERROR(INDEX(Pubs!$G$2:$G$3001,MATCH(G4091,Pubs!$A$2:$A$3001,0))&amp;"",""))</f>
        <v/>
      </c>
      <c r="K4091" s="28" t="str">
        <f aca="false">IF(OR(G4091="",G4091="?"),"",IFERROR(INDEX(Pubs!$E$2:$E$3001,MATCH(G4091,Pubs!$A$2:$A$3001,0)),""))</f>
        <v/>
      </c>
      <c r="L4091" s="29" t="str">
        <f aca="false">IF(A4091="","",IFERROR(1/(1/INDEX(Numéros!$C$2:$C$3001,MATCH(A4091&amp;"|"&amp;B4091,Numéros!$F$2:$F$3001,0))),""))</f>
        <v/>
      </c>
      <c r="M4091" s="27" t="str">
        <f aca="false">IF(OR(G4091="",G4091="?"),"",IFERROR(INDEX(Pubs!$D$2:$D$3001,MATCH(G4091,Pubs!$A$2:$A$3001,0))&amp;"",""))</f>
        <v/>
      </c>
      <c r="N4091" s="27" t="n">
        <f aca="false">N(N4090)+IF(AND(A4091&lt;&gt;"",OR(Recherche!$C$4="",A4091=Recherche!$C$4),OR(Recherche!$C$5="",B4091&amp;""=Recherche!$C$5&amp;""),OR(Recherche!$C$6="",IFERROR(YEAR(L4091),0)=Recherche!$C$6),OR(Recherche!$C$7="",ISNUMBER(SEARCH(Recherche!$C$7,H4091))),OR(Recherche!$C$8="",J4091=Recherche!$C$8),OR(Recherche!$C$9="",I4091=Recherche!$C$9),OR(Recherche!$C$10="",G4091&amp;""=Recherche!$C$10&amp;""),OR(Recherche!$C$11="",E4091=Recherche!$C$11),OR(Recherche!$C$12="",ISNUMBER(SEARCH(Recherche!$C$12,M4091&amp;" "&amp;F4091)))),1,0)</f>
        <v>8</v>
      </c>
    </row>
    <row r="4092" customFormat="false" ht="15" hidden="false" customHeight="false" outlineLevel="0" collapsed="false">
      <c r="A4092" s="19"/>
      <c r="B4092" s="19"/>
      <c r="C4092" s="19"/>
      <c r="D4092" s="19"/>
      <c r="E4092" s="22"/>
      <c r="F4092" s="19"/>
      <c r="G4092" s="26" t="str">
        <f aca="false">IF(D4092="","",IFERROR(VALUE(LEFT(D4092,FIND(" |",D4092&amp;" |")-1)),"?"))</f>
        <v/>
      </c>
      <c r="H4092" s="27" t="str">
        <f aca="false">IF(G4092="","",IF(G4092="?","⚠ pub inconnue",IFERROR(INDEX(Pubs!$B$2:$B$3001,MATCH(G4092,Pubs!$A$2:$A$3001,0))&amp;"","⚠ pub inconnue")))</f>
        <v/>
      </c>
      <c r="I4092" s="27" t="str">
        <f aca="false">IF(OR(G4092="",G4092="?"),"",IFERROR(INDEX(Pubs!$C$2:$C$3001,MATCH(G4092,Pubs!$A$2:$A$3001,0))&amp;"",""))</f>
        <v/>
      </c>
      <c r="J4092" s="27" t="str">
        <f aca="false">IF(OR(G4092="",G4092="?"),"",IFERROR(INDEX(Pubs!$G$2:$G$3001,MATCH(G4092,Pubs!$A$2:$A$3001,0))&amp;"",""))</f>
        <v/>
      </c>
      <c r="K4092" s="28" t="str">
        <f aca="false">IF(OR(G4092="",G4092="?"),"",IFERROR(INDEX(Pubs!$E$2:$E$3001,MATCH(G4092,Pubs!$A$2:$A$3001,0)),""))</f>
        <v/>
      </c>
      <c r="L4092" s="29" t="str">
        <f aca="false">IF(A4092="","",IFERROR(1/(1/INDEX(Numéros!$C$2:$C$3001,MATCH(A4092&amp;"|"&amp;B4092,Numéros!$F$2:$F$3001,0))),""))</f>
        <v/>
      </c>
      <c r="M4092" s="27" t="str">
        <f aca="false">IF(OR(G4092="",G4092="?"),"",IFERROR(INDEX(Pubs!$D$2:$D$3001,MATCH(G4092,Pubs!$A$2:$A$3001,0))&amp;"",""))</f>
        <v/>
      </c>
      <c r="N4092" s="27" t="n">
        <f aca="false">N(N4091)+IF(AND(A4092&lt;&gt;"",OR(Recherche!$C$4="",A4092=Recherche!$C$4),OR(Recherche!$C$5="",B4092&amp;""=Recherche!$C$5&amp;""),OR(Recherche!$C$6="",IFERROR(YEAR(L4092),0)=Recherche!$C$6),OR(Recherche!$C$7="",ISNUMBER(SEARCH(Recherche!$C$7,H4092))),OR(Recherche!$C$8="",J4092=Recherche!$C$8),OR(Recherche!$C$9="",I4092=Recherche!$C$9),OR(Recherche!$C$10="",G4092&amp;""=Recherche!$C$10&amp;""),OR(Recherche!$C$11="",E4092=Recherche!$C$11),OR(Recherche!$C$12="",ISNUMBER(SEARCH(Recherche!$C$12,M4092&amp;" "&amp;F4092)))),1,0)</f>
        <v>8</v>
      </c>
    </row>
    <row r="4093" customFormat="false" ht="15" hidden="false" customHeight="false" outlineLevel="0" collapsed="false">
      <c r="A4093" s="19"/>
      <c r="B4093" s="19"/>
      <c r="C4093" s="19"/>
      <c r="D4093" s="19"/>
      <c r="E4093" s="22"/>
      <c r="F4093" s="19"/>
      <c r="G4093" s="26" t="str">
        <f aca="false">IF(D4093="","",IFERROR(VALUE(LEFT(D4093,FIND(" |",D4093&amp;" |")-1)),"?"))</f>
        <v/>
      </c>
      <c r="H4093" s="27" t="str">
        <f aca="false">IF(G4093="","",IF(G4093="?","⚠ pub inconnue",IFERROR(INDEX(Pubs!$B$2:$B$3001,MATCH(G4093,Pubs!$A$2:$A$3001,0))&amp;"","⚠ pub inconnue")))</f>
        <v/>
      </c>
      <c r="I4093" s="27" t="str">
        <f aca="false">IF(OR(G4093="",G4093="?"),"",IFERROR(INDEX(Pubs!$C$2:$C$3001,MATCH(G4093,Pubs!$A$2:$A$3001,0))&amp;"",""))</f>
        <v/>
      </c>
      <c r="J4093" s="27" t="str">
        <f aca="false">IF(OR(G4093="",G4093="?"),"",IFERROR(INDEX(Pubs!$G$2:$G$3001,MATCH(G4093,Pubs!$A$2:$A$3001,0))&amp;"",""))</f>
        <v/>
      </c>
      <c r="K4093" s="28" t="str">
        <f aca="false">IF(OR(G4093="",G4093="?"),"",IFERROR(INDEX(Pubs!$E$2:$E$3001,MATCH(G4093,Pubs!$A$2:$A$3001,0)),""))</f>
        <v/>
      </c>
      <c r="L4093" s="29" t="str">
        <f aca="false">IF(A4093="","",IFERROR(1/(1/INDEX(Numéros!$C$2:$C$3001,MATCH(A4093&amp;"|"&amp;B4093,Numéros!$F$2:$F$3001,0))),""))</f>
        <v/>
      </c>
      <c r="M4093" s="27" t="str">
        <f aca="false">IF(OR(G4093="",G4093="?"),"",IFERROR(INDEX(Pubs!$D$2:$D$3001,MATCH(G4093,Pubs!$A$2:$A$3001,0))&amp;"",""))</f>
        <v/>
      </c>
      <c r="N4093" s="27" t="n">
        <f aca="false">N(N4092)+IF(AND(A4093&lt;&gt;"",OR(Recherche!$C$4="",A4093=Recherche!$C$4),OR(Recherche!$C$5="",B4093&amp;""=Recherche!$C$5&amp;""),OR(Recherche!$C$6="",IFERROR(YEAR(L4093),0)=Recherche!$C$6),OR(Recherche!$C$7="",ISNUMBER(SEARCH(Recherche!$C$7,H4093))),OR(Recherche!$C$8="",J4093=Recherche!$C$8),OR(Recherche!$C$9="",I4093=Recherche!$C$9),OR(Recherche!$C$10="",G4093&amp;""=Recherche!$C$10&amp;""),OR(Recherche!$C$11="",E4093=Recherche!$C$11),OR(Recherche!$C$12="",ISNUMBER(SEARCH(Recherche!$C$12,M4093&amp;" "&amp;F4093)))),1,0)</f>
        <v>8</v>
      </c>
    </row>
    <row r="4094" customFormat="false" ht="15" hidden="false" customHeight="false" outlineLevel="0" collapsed="false">
      <c r="A4094" s="19"/>
      <c r="B4094" s="19"/>
      <c r="C4094" s="19"/>
      <c r="D4094" s="19"/>
      <c r="E4094" s="22"/>
      <c r="F4094" s="19"/>
      <c r="G4094" s="26" t="str">
        <f aca="false">IF(D4094="","",IFERROR(VALUE(LEFT(D4094,FIND(" |",D4094&amp;" |")-1)),"?"))</f>
        <v/>
      </c>
      <c r="H4094" s="27" t="str">
        <f aca="false">IF(G4094="","",IF(G4094="?","⚠ pub inconnue",IFERROR(INDEX(Pubs!$B$2:$B$3001,MATCH(G4094,Pubs!$A$2:$A$3001,0))&amp;"","⚠ pub inconnue")))</f>
        <v/>
      </c>
      <c r="I4094" s="27" t="str">
        <f aca="false">IF(OR(G4094="",G4094="?"),"",IFERROR(INDEX(Pubs!$C$2:$C$3001,MATCH(G4094,Pubs!$A$2:$A$3001,0))&amp;"",""))</f>
        <v/>
      </c>
      <c r="J4094" s="27" t="str">
        <f aca="false">IF(OR(G4094="",G4094="?"),"",IFERROR(INDEX(Pubs!$G$2:$G$3001,MATCH(G4094,Pubs!$A$2:$A$3001,0))&amp;"",""))</f>
        <v/>
      </c>
      <c r="K4094" s="28" t="str">
        <f aca="false">IF(OR(G4094="",G4094="?"),"",IFERROR(INDEX(Pubs!$E$2:$E$3001,MATCH(G4094,Pubs!$A$2:$A$3001,0)),""))</f>
        <v/>
      </c>
      <c r="L4094" s="29" t="str">
        <f aca="false">IF(A4094="","",IFERROR(1/(1/INDEX(Numéros!$C$2:$C$3001,MATCH(A4094&amp;"|"&amp;B4094,Numéros!$F$2:$F$3001,0))),""))</f>
        <v/>
      </c>
      <c r="M4094" s="27" t="str">
        <f aca="false">IF(OR(G4094="",G4094="?"),"",IFERROR(INDEX(Pubs!$D$2:$D$3001,MATCH(G4094,Pubs!$A$2:$A$3001,0))&amp;"",""))</f>
        <v/>
      </c>
      <c r="N4094" s="27" t="n">
        <f aca="false">N(N4093)+IF(AND(A4094&lt;&gt;"",OR(Recherche!$C$4="",A4094=Recherche!$C$4),OR(Recherche!$C$5="",B4094&amp;""=Recherche!$C$5&amp;""),OR(Recherche!$C$6="",IFERROR(YEAR(L4094),0)=Recherche!$C$6),OR(Recherche!$C$7="",ISNUMBER(SEARCH(Recherche!$C$7,H4094))),OR(Recherche!$C$8="",J4094=Recherche!$C$8),OR(Recherche!$C$9="",I4094=Recherche!$C$9),OR(Recherche!$C$10="",G4094&amp;""=Recherche!$C$10&amp;""),OR(Recherche!$C$11="",E4094=Recherche!$C$11),OR(Recherche!$C$12="",ISNUMBER(SEARCH(Recherche!$C$12,M4094&amp;" "&amp;F4094)))),1,0)</f>
        <v>8</v>
      </c>
    </row>
    <row r="4095" customFormat="false" ht="15" hidden="false" customHeight="false" outlineLevel="0" collapsed="false">
      <c r="A4095" s="19"/>
      <c r="B4095" s="19"/>
      <c r="C4095" s="19"/>
      <c r="D4095" s="19"/>
      <c r="E4095" s="22"/>
      <c r="F4095" s="19"/>
      <c r="G4095" s="26" t="str">
        <f aca="false">IF(D4095="","",IFERROR(VALUE(LEFT(D4095,FIND(" |",D4095&amp;" |")-1)),"?"))</f>
        <v/>
      </c>
      <c r="H4095" s="27" t="str">
        <f aca="false">IF(G4095="","",IF(G4095="?","⚠ pub inconnue",IFERROR(INDEX(Pubs!$B$2:$B$3001,MATCH(G4095,Pubs!$A$2:$A$3001,0))&amp;"","⚠ pub inconnue")))</f>
        <v/>
      </c>
      <c r="I4095" s="27" t="str">
        <f aca="false">IF(OR(G4095="",G4095="?"),"",IFERROR(INDEX(Pubs!$C$2:$C$3001,MATCH(G4095,Pubs!$A$2:$A$3001,0))&amp;"",""))</f>
        <v/>
      </c>
      <c r="J4095" s="27" t="str">
        <f aca="false">IF(OR(G4095="",G4095="?"),"",IFERROR(INDEX(Pubs!$G$2:$G$3001,MATCH(G4095,Pubs!$A$2:$A$3001,0))&amp;"",""))</f>
        <v/>
      </c>
      <c r="K4095" s="28" t="str">
        <f aca="false">IF(OR(G4095="",G4095="?"),"",IFERROR(INDEX(Pubs!$E$2:$E$3001,MATCH(G4095,Pubs!$A$2:$A$3001,0)),""))</f>
        <v/>
      </c>
      <c r="L4095" s="29" t="str">
        <f aca="false">IF(A4095="","",IFERROR(1/(1/INDEX(Numéros!$C$2:$C$3001,MATCH(A4095&amp;"|"&amp;B4095,Numéros!$F$2:$F$3001,0))),""))</f>
        <v/>
      </c>
      <c r="M4095" s="27" t="str">
        <f aca="false">IF(OR(G4095="",G4095="?"),"",IFERROR(INDEX(Pubs!$D$2:$D$3001,MATCH(G4095,Pubs!$A$2:$A$3001,0))&amp;"",""))</f>
        <v/>
      </c>
      <c r="N4095" s="27" t="n">
        <f aca="false">N(N4094)+IF(AND(A4095&lt;&gt;"",OR(Recherche!$C$4="",A4095=Recherche!$C$4),OR(Recherche!$C$5="",B4095&amp;""=Recherche!$C$5&amp;""),OR(Recherche!$C$6="",IFERROR(YEAR(L4095),0)=Recherche!$C$6),OR(Recherche!$C$7="",ISNUMBER(SEARCH(Recherche!$C$7,H4095))),OR(Recherche!$C$8="",J4095=Recherche!$C$8),OR(Recherche!$C$9="",I4095=Recherche!$C$9),OR(Recherche!$C$10="",G4095&amp;""=Recherche!$C$10&amp;""),OR(Recherche!$C$11="",E4095=Recherche!$C$11),OR(Recherche!$C$12="",ISNUMBER(SEARCH(Recherche!$C$12,M4095&amp;" "&amp;F4095)))),1,0)</f>
        <v>8</v>
      </c>
    </row>
    <row r="4096" customFormat="false" ht="15" hidden="false" customHeight="false" outlineLevel="0" collapsed="false">
      <c r="A4096" s="19"/>
      <c r="B4096" s="19"/>
      <c r="C4096" s="19"/>
      <c r="D4096" s="19"/>
      <c r="E4096" s="22"/>
      <c r="F4096" s="19"/>
      <c r="G4096" s="26" t="str">
        <f aca="false">IF(D4096="","",IFERROR(VALUE(LEFT(D4096,FIND(" |",D4096&amp;" |")-1)),"?"))</f>
        <v/>
      </c>
      <c r="H4096" s="27" t="str">
        <f aca="false">IF(G4096="","",IF(G4096="?","⚠ pub inconnue",IFERROR(INDEX(Pubs!$B$2:$B$3001,MATCH(G4096,Pubs!$A$2:$A$3001,0))&amp;"","⚠ pub inconnue")))</f>
        <v/>
      </c>
      <c r="I4096" s="27" t="str">
        <f aca="false">IF(OR(G4096="",G4096="?"),"",IFERROR(INDEX(Pubs!$C$2:$C$3001,MATCH(G4096,Pubs!$A$2:$A$3001,0))&amp;"",""))</f>
        <v/>
      </c>
      <c r="J4096" s="27" t="str">
        <f aca="false">IF(OR(G4096="",G4096="?"),"",IFERROR(INDEX(Pubs!$G$2:$G$3001,MATCH(G4096,Pubs!$A$2:$A$3001,0))&amp;"",""))</f>
        <v/>
      </c>
      <c r="K4096" s="28" t="str">
        <f aca="false">IF(OR(G4096="",G4096="?"),"",IFERROR(INDEX(Pubs!$E$2:$E$3001,MATCH(G4096,Pubs!$A$2:$A$3001,0)),""))</f>
        <v/>
      </c>
      <c r="L4096" s="29" t="str">
        <f aca="false">IF(A4096="","",IFERROR(1/(1/INDEX(Numéros!$C$2:$C$3001,MATCH(A4096&amp;"|"&amp;B4096,Numéros!$F$2:$F$3001,0))),""))</f>
        <v/>
      </c>
      <c r="M4096" s="27" t="str">
        <f aca="false">IF(OR(G4096="",G4096="?"),"",IFERROR(INDEX(Pubs!$D$2:$D$3001,MATCH(G4096,Pubs!$A$2:$A$3001,0))&amp;"",""))</f>
        <v/>
      </c>
      <c r="N4096" s="27" t="n">
        <f aca="false">N(N4095)+IF(AND(A4096&lt;&gt;"",OR(Recherche!$C$4="",A4096=Recherche!$C$4),OR(Recherche!$C$5="",B4096&amp;""=Recherche!$C$5&amp;""),OR(Recherche!$C$6="",IFERROR(YEAR(L4096),0)=Recherche!$C$6),OR(Recherche!$C$7="",ISNUMBER(SEARCH(Recherche!$C$7,H4096))),OR(Recherche!$C$8="",J4096=Recherche!$C$8),OR(Recherche!$C$9="",I4096=Recherche!$C$9),OR(Recherche!$C$10="",G4096&amp;""=Recherche!$C$10&amp;""),OR(Recherche!$C$11="",E4096=Recherche!$C$11),OR(Recherche!$C$12="",ISNUMBER(SEARCH(Recherche!$C$12,M4096&amp;" "&amp;F4096)))),1,0)</f>
        <v>8</v>
      </c>
    </row>
    <row r="4097" customFormat="false" ht="15" hidden="false" customHeight="false" outlineLevel="0" collapsed="false">
      <c r="A4097" s="19"/>
      <c r="B4097" s="19"/>
      <c r="C4097" s="19"/>
      <c r="D4097" s="19"/>
      <c r="E4097" s="22"/>
      <c r="F4097" s="19"/>
      <c r="G4097" s="26" t="str">
        <f aca="false">IF(D4097="","",IFERROR(VALUE(LEFT(D4097,FIND(" |",D4097&amp;" |")-1)),"?"))</f>
        <v/>
      </c>
      <c r="H4097" s="27" t="str">
        <f aca="false">IF(G4097="","",IF(G4097="?","⚠ pub inconnue",IFERROR(INDEX(Pubs!$B$2:$B$3001,MATCH(G4097,Pubs!$A$2:$A$3001,0))&amp;"","⚠ pub inconnue")))</f>
        <v/>
      </c>
      <c r="I4097" s="27" t="str">
        <f aca="false">IF(OR(G4097="",G4097="?"),"",IFERROR(INDEX(Pubs!$C$2:$C$3001,MATCH(G4097,Pubs!$A$2:$A$3001,0))&amp;"",""))</f>
        <v/>
      </c>
      <c r="J4097" s="27" t="str">
        <f aca="false">IF(OR(G4097="",G4097="?"),"",IFERROR(INDEX(Pubs!$G$2:$G$3001,MATCH(G4097,Pubs!$A$2:$A$3001,0))&amp;"",""))</f>
        <v/>
      </c>
      <c r="K4097" s="28" t="str">
        <f aca="false">IF(OR(G4097="",G4097="?"),"",IFERROR(INDEX(Pubs!$E$2:$E$3001,MATCH(G4097,Pubs!$A$2:$A$3001,0)),""))</f>
        <v/>
      </c>
      <c r="L4097" s="29" t="str">
        <f aca="false">IF(A4097="","",IFERROR(1/(1/INDEX(Numéros!$C$2:$C$3001,MATCH(A4097&amp;"|"&amp;B4097,Numéros!$F$2:$F$3001,0))),""))</f>
        <v/>
      </c>
      <c r="M4097" s="27" t="str">
        <f aca="false">IF(OR(G4097="",G4097="?"),"",IFERROR(INDEX(Pubs!$D$2:$D$3001,MATCH(G4097,Pubs!$A$2:$A$3001,0))&amp;"",""))</f>
        <v/>
      </c>
      <c r="N4097" s="27" t="n">
        <f aca="false">N(N4096)+IF(AND(A4097&lt;&gt;"",OR(Recherche!$C$4="",A4097=Recherche!$C$4),OR(Recherche!$C$5="",B4097&amp;""=Recherche!$C$5&amp;""),OR(Recherche!$C$6="",IFERROR(YEAR(L4097),0)=Recherche!$C$6),OR(Recherche!$C$7="",ISNUMBER(SEARCH(Recherche!$C$7,H4097))),OR(Recherche!$C$8="",J4097=Recherche!$C$8),OR(Recherche!$C$9="",I4097=Recherche!$C$9),OR(Recherche!$C$10="",G4097&amp;""=Recherche!$C$10&amp;""),OR(Recherche!$C$11="",E4097=Recherche!$C$11),OR(Recherche!$C$12="",ISNUMBER(SEARCH(Recherche!$C$12,M4097&amp;" "&amp;F4097)))),1,0)</f>
        <v>8</v>
      </c>
    </row>
    <row r="4098" customFormat="false" ht="15" hidden="false" customHeight="false" outlineLevel="0" collapsed="false">
      <c r="A4098" s="19"/>
      <c r="B4098" s="19"/>
      <c r="C4098" s="19"/>
      <c r="D4098" s="19"/>
      <c r="E4098" s="22"/>
      <c r="F4098" s="19"/>
      <c r="G4098" s="26" t="str">
        <f aca="false">IF(D4098="","",IFERROR(VALUE(LEFT(D4098,FIND(" |",D4098&amp;" |")-1)),"?"))</f>
        <v/>
      </c>
      <c r="H4098" s="27" t="str">
        <f aca="false">IF(G4098="","",IF(G4098="?","⚠ pub inconnue",IFERROR(INDEX(Pubs!$B$2:$B$3001,MATCH(G4098,Pubs!$A$2:$A$3001,0))&amp;"","⚠ pub inconnue")))</f>
        <v/>
      </c>
      <c r="I4098" s="27" t="str">
        <f aca="false">IF(OR(G4098="",G4098="?"),"",IFERROR(INDEX(Pubs!$C$2:$C$3001,MATCH(G4098,Pubs!$A$2:$A$3001,0))&amp;"",""))</f>
        <v/>
      </c>
      <c r="J4098" s="27" t="str">
        <f aca="false">IF(OR(G4098="",G4098="?"),"",IFERROR(INDEX(Pubs!$G$2:$G$3001,MATCH(G4098,Pubs!$A$2:$A$3001,0))&amp;"",""))</f>
        <v/>
      </c>
      <c r="K4098" s="28" t="str">
        <f aca="false">IF(OR(G4098="",G4098="?"),"",IFERROR(INDEX(Pubs!$E$2:$E$3001,MATCH(G4098,Pubs!$A$2:$A$3001,0)),""))</f>
        <v/>
      </c>
      <c r="L4098" s="29" t="str">
        <f aca="false">IF(A4098="","",IFERROR(1/(1/INDEX(Numéros!$C$2:$C$3001,MATCH(A4098&amp;"|"&amp;B4098,Numéros!$F$2:$F$3001,0))),""))</f>
        <v/>
      </c>
      <c r="M4098" s="27" t="str">
        <f aca="false">IF(OR(G4098="",G4098="?"),"",IFERROR(INDEX(Pubs!$D$2:$D$3001,MATCH(G4098,Pubs!$A$2:$A$3001,0))&amp;"",""))</f>
        <v/>
      </c>
      <c r="N4098" s="27" t="n">
        <f aca="false">N(N4097)+IF(AND(A4098&lt;&gt;"",OR(Recherche!$C$4="",A4098=Recherche!$C$4),OR(Recherche!$C$5="",B4098&amp;""=Recherche!$C$5&amp;""),OR(Recherche!$C$6="",IFERROR(YEAR(L4098),0)=Recherche!$C$6),OR(Recherche!$C$7="",ISNUMBER(SEARCH(Recherche!$C$7,H4098))),OR(Recherche!$C$8="",J4098=Recherche!$C$8),OR(Recherche!$C$9="",I4098=Recherche!$C$9),OR(Recherche!$C$10="",G4098&amp;""=Recherche!$C$10&amp;""),OR(Recherche!$C$11="",E4098=Recherche!$C$11),OR(Recherche!$C$12="",ISNUMBER(SEARCH(Recherche!$C$12,M4098&amp;" "&amp;F4098)))),1,0)</f>
        <v>8</v>
      </c>
    </row>
    <row r="4099" customFormat="false" ht="15" hidden="false" customHeight="false" outlineLevel="0" collapsed="false">
      <c r="A4099" s="19"/>
      <c r="B4099" s="19"/>
      <c r="C4099" s="19"/>
      <c r="D4099" s="19"/>
      <c r="E4099" s="22"/>
      <c r="F4099" s="19"/>
      <c r="G4099" s="26" t="str">
        <f aca="false">IF(D4099="","",IFERROR(VALUE(LEFT(D4099,FIND(" |",D4099&amp;" |")-1)),"?"))</f>
        <v/>
      </c>
      <c r="H4099" s="27" t="str">
        <f aca="false">IF(G4099="","",IF(G4099="?","⚠ pub inconnue",IFERROR(INDEX(Pubs!$B$2:$B$3001,MATCH(G4099,Pubs!$A$2:$A$3001,0))&amp;"","⚠ pub inconnue")))</f>
        <v/>
      </c>
      <c r="I4099" s="27" t="str">
        <f aca="false">IF(OR(G4099="",G4099="?"),"",IFERROR(INDEX(Pubs!$C$2:$C$3001,MATCH(G4099,Pubs!$A$2:$A$3001,0))&amp;"",""))</f>
        <v/>
      </c>
      <c r="J4099" s="27" t="str">
        <f aca="false">IF(OR(G4099="",G4099="?"),"",IFERROR(INDEX(Pubs!$G$2:$G$3001,MATCH(G4099,Pubs!$A$2:$A$3001,0))&amp;"",""))</f>
        <v/>
      </c>
      <c r="K4099" s="28" t="str">
        <f aca="false">IF(OR(G4099="",G4099="?"),"",IFERROR(INDEX(Pubs!$E$2:$E$3001,MATCH(G4099,Pubs!$A$2:$A$3001,0)),""))</f>
        <v/>
      </c>
      <c r="L4099" s="29" t="str">
        <f aca="false">IF(A4099="","",IFERROR(1/(1/INDEX(Numéros!$C$2:$C$3001,MATCH(A4099&amp;"|"&amp;B4099,Numéros!$F$2:$F$3001,0))),""))</f>
        <v/>
      </c>
      <c r="M4099" s="27" t="str">
        <f aca="false">IF(OR(G4099="",G4099="?"),"",IFERROR(INDEX(Pubs!$D$2:$D$3001,MATCH(G4099,Pubs!$A$2:$A$3001,0))&amp;"",""))</f>
        <v/>
      </c>
      <c r="N4099" s="27" t="n">
        <f aca="false">N(N4098)+IF(AND(A4099&lt;&gt;"",OR(Recherche!$C$4="",A4099=Recherche!$C$4),OR(Recherche!$C$5="",B4099&amp;""=Recherche!$C$5&amp;""),OR(Recherche!$C$6="",IFERROR(YEAR(L4099),0)=Recherche!$C$6),OR(Recherche!$C$7="",ISNUMBER(SEARCH(Recherche!$C$7,H4099))),OR(Recherche!$C$8="",J4099=Recherche!$C$8),OR(Recherche!$C$9="",I4099=Recherche!$C$9),OR(Recherche!$C$10="",G4099&amp;""=Recherche!$C$10&amp;""),OR(Recherche!$C$11="",E4099=Recherche!$C$11),OR(Recherche!$C$12="",ISNUMBER(SEARCH(Recherche!$C$12,M4099&amp;" "&amp;F4099)))),1,0)</f>
        <v>8</v>
      </c>
    </row>
    <row r="4100" customFormat="false" ht="15" hidden="false" customHeight="false" outlineLevel="0" collapsed="false">
      <c r="A4100" s="19"/>
      <c r="B4100" s="19"/>
      <c r="C4100" s="19"/>
      <c r="D4100" s="19"/>
      <c r="E4100" s="22"/>
      <c r="F4100" s="19"/>
      <c r="G4100" s="26" t="str">
        <f aca="false">IF(D4100="","",IFERROR(VALUE(LEFT(D4100,FIND(" |",D4100&amp;" |")-1)),"?"))</f>
        <v/>
      </c>
      <c r="H4100" s="27" t="str">
        <f aca="false">IF(G4100="","",IF(G4100="?","⚠ pub inconnue",IFERROR(INDEX(Pubs!$B$2:$B$3001,MATCH(G4100,Pubs!$A$2:$A$3001,0))&amp;"","⚠ pub inconnue")))</f>
        <v/>
      </c>
      <c r="I4100" s="27" t="str">
        <f aca="false">IF(OR(G4100="",G4100="?"),"",IFERROR(INDEX(Pubs!$C$2:$C$3001,MATCH(G4100,Pubs!$A$2:$A$3001,0))&amp;"",""))</f>
        <v/>
      </c>
      <c r="J4100" s="27" t="str">
        <f aca="false">IF(OR(G4100="",G4100="?"),"",IFERROR(INDEX(Pubs!$G$2:$G$3001,MATCH(G4100,Pubs!$A$2:$A$3001,0))&amp;"",""))</f>
        <v/>
      </c>
      <c r="K4100" s="28" t="str">
        <f aca="false">IF(OR(G4100="",G4100="?"),"",IFERROR(INDEX(Pubs!$E$2:$E$3001,MATCH(G4100,Pubs!$A$2:$A$3001,0)),""))</f>
        <v/>
      </c>
      <c r="L4100" s="29" t="str">
        <f aca="false">IF(A4100="","",IFERROR(1/(1/INDEX(Numéros!$C$2:$C$3001,MATCH(A4100&amp;"|"&amp;B4100,Numéros!$F$2:$F$3001,0))),""))</f>
        <v/>
      </c>
      <c r="M4100" s="27" t="str">
        <f aca="false">IF(OR(G4100="",G4100="?"),"",IFERROR(INDEX(Pubs!$D$2:$D$3001,MATCH(G4100,Pubs!$A$2:$A$3001,0))&amp;"",""))</f>
        <v/>
      </c>
      <c r="N4100" s="27" t="n">
        <f aca="false">N(N4099)+IF(AND(A4100&lt;&gt;"",OR(Recherche!$C$4="",A4100=Recherche!$C$4),OR(Recherche!$C$5="",B4100&amp;""=Recherche!$C$5&amp;""),OR(Recherche!$C$6="",IFERROR(YEAR(L4100),0)=Recherche!$C$6),OR(Recherche!$C$7="",ISNUMBER(SEARCH(Recherche!$C$7,H4100))),OR(Recherche!$C$8="",J4100=Recherche!$C$8),OR(Recherche!$C$9="",I4100=Recherche!$C$9),OR(Recherche!$C$10="",G4100&amp;""=Recherche!$C$10&amp;""),OR(Recherche!$C$11="",E4100=Recherche!$C$11),OR(Recherche!$C$12="",ISNUMBER(SEARCH(Recherche!$C$12,M4100&amp;" "&amp;F4100)))),1,0)</f>
        <v>8</v>
      </c>
    </row>
    <row r="4101" customFormat="false" ht="15" hidden="false" customHeight="false" outlineLevel="0" collapsed="false">
      <c r="A4101" s="19"/>
      <c r="B4101" s="19"/>
      <c r="C4101" s="19"/>
      <c r="D4101" s="19"/>
      <c r="E4101" s="22"/>
      <c r="F4101" s="19"/>
      <c r="G4101" s="26" t="str">
        <f aca="false">IF(D4101="","",IFERROR(VALUE(LEFT(D4101,FIND(" |",D4101&amp;" |")-1)),"?"))</f>
        <v/>
      </c>
      <c r="H4101" s="27" t="str">
        <f aca="false">IF(G4101="","",IF(G4101="?","⚠ pub inconnue",IFERROR(INDEX(Pubs!$B$2:$B$3001,MATCH(G4101,Pubs!$A$2:$A$3001,0))&amp;"","⚠ pub inconnue")))</f>
        <v/>
      </c>
      <c r="I4101" s="27" t="str">
        <f aca="false">IF(OR(G4101="",G4101="?"),"",IFERROR(INDEX(Pubs!$C$2:$C$3001,MATCH(G4101,Pubs!$A$2:$A$3001,0))&amp;"",""))</f>
        <v/>
      </c>
      <c r="J4101" s="27" t="str">
        <f aca="false">IF(OR(G4101="",G4101="?"),"",IFERROR(INDEX(Pubs!$G$2:$G$3001,MATCH(G4101,Pubs!$A$2:$A$3001,0))&amp;"",""))</f>
        <v/>
      </c>
      <c r="K4101" s="28" t="str">
        <f aca="false">IF(OR(G4101="",G4101="?"),"",IFERROR(INDEX(Pubs!$E$2:$E$3001,MATCH(G4101,Pubs!$A$2:$A$3001,0)),""))</f>
        <v/>
      </c>
      <c r="L4101" s="29" t="str">
        <f aca="false">IF(A4101="","",IFERROR(1/(1/INDEX(Numéros!$C$2:$C$3001,MATCH(A4101&amp;"|"&amp;B4101,Numéros!$F$2:$F$3001,0))),""))</f>
        <v/>
      </c>
      <c r="M4101" s="27" t="str">
        <f aca="false">IF(OR(G4101="",G4101="?"),"",IFERROR(INDEX(Pubs!$D$2:$D$3001,MATCH(G4101,Pubs!$A$2:$A$3001,0))&amp;"",""))</f>
        <v/>
      </c>
      <c r="N4101" s="27" t="n">
        <f aca="false">N(N4100)+IF(AND(A4101&lt;&gt;"",OR(Recherche!$C$4="",A4101=Recherche!$C$4),OR(Recherche!$C$5="",B4101&amp;""=Recherche!$C$5&amp;""),OR(Recherche!$C$6="",IFERROR(YEAR(L4101),0)=Recherche!$C$6),OR(Recherche!$C$7="",ISNUMBER(SEARCH(Recherche!$C$7,H4101))),OR(Recherche!$C$8="",J4101=Recherche!$C$8),OR(Recherche!$C$9="",I4101=Recherche!$C$9),OR(Recherche!$C$10="",G4101&amp;""=Recherche!$C$10&amp;""),OR(Recherche!$C$11="",E4101=Recherche!$C$11),OR(Recherche!$C$12="",ISNUMBER(SEARCH(Recherche!$C$12,M4101&amp;" "&amp;F4101)))),1,0)</f>
        <v>8</v>
      </c>
    </row>
    <row r="4102" customFormat="false" ht="15" hidden="false" customHeight="false" outlineLevel="0" collapsed="false">
      <c r="A4102" s="19"/>
      <c r="B4102" s="19"/>
      <c r="C4102" s="19"/>
      <c r="D4102" s="19"/>
      <c r="E4102" s="22"/>
      <c r="F4102" s="19"/>
      <c r="G4102" s="26" t="str">
        <f aca="false">IF(D4102="","",IFERROR(VALUE(LEFT(D4102,FIND(" |",D4102&amp;" |")-1)),"?"))</f>
        <v/>
      </c>
      <c r="H4102" s="27" t="str">
        <f aca="false">IF(G4102="","",IF(G4102="?","⚠ pub inconnue",IFERROR(INDEX(Pubs!$B$2:$B$3001,MATCH(G4102,Pubs!$A$2:$A$3001,0))&amp;"","⚠ pub inconnue")))</f>
        <v/>
      </c>
      <c r="I4102" s="27" t="str">
        <f aca="false">IF(OR(G4102="",G4102="?"),"",IFERROR(INDEX(Pubs!$C$2:$C$3001,MATCH(G4102,Pubs!$A$2:$A$3001,0))&amp;"",""))</f>
        <v/>
      </c>
      <c r="J4102" s="27" t="str">
        <f aca="false">IF(OR(G4102="",G4102="?"),"",IFERROR(INDEX(Pubs!$G$2:$G$3001,MATCH(G4102,Pubs!$A$2:$A$3001,0))&amp;"",""))</f>
        <v/>
      </c>
      <c r="K4102" s="28" t="str">
        <f aca="false">IF(OR(G4102="",G4102="?"),"",IFERROR(INDEX(Pubs!$E$2:$E$3001,MATCH(G4102,Pubs!$A$2:$A$3001,0)),""))</f>
        <v/>
      </c>
      <c r="L4102" s="29" t="str">
        <f aca="false">IF(A4102="","",IFERROR(1/(1/INDEX(Numéros!$C$2:$C$3001,MATCH(A4102&amp;"|"&amp;B4102,Numéros!$F$2:$F$3001,0))),""))</f>
        <v/>
      </c>
      <c r="M4102" s="27" t="str">
        <f aca="false">IF(OR(G4102="",G4102="?"),"",IFERROR(INDEX(Pubs!$D$2:$D$3001,MATCH(G4102,Pubs!$A$2:$A$3001,0))&amp;"",""))</f>
        <v/>
      </c>
      <c r="N4102" s="27" t="n">
        <f aca="false">N(N4101)+IF(AND(A4102&lt;&gt;"",OR(Recherche!$C$4="",A4102=Recherche!$C$4),OR(Recherche!$C$5="",B4102&amp;""=Recherche!$C$5&amp;""),OR(Recherche!$C$6="",IFERROR(YEAR(L4102),0)=Recherche!$C$6),OR(Recherche!$C$7="",ISNUMBER(SEARCH(Recherche!$C$7,H4102))),OR(Recherche!$C$8="",J4102=Recherche!$C$8),OR(Recherche!$C$9="",I4102=Recherche!$C$9),OR(Recherche!$C$10="",G4102&amp;""=Recherche!$C$10&amp;""),OR(Recherche!$C$11="",E4102=Recherche!$C$11),OR(Recherche!$C$12="",ISNUMBER(SEARCH(Recherche!$C$12,M4102&amp;" "&amp;F4102)))),1,0)</f>
        <v>8</v>
      </c>
    </row>
    <row r="4103" customFormat="false" ht="15" hidden="false" customHeight="false" outlineLevel="0" collapsed="false">
      <c r="A4103" s="19"/>
      <c r="B4103" s="19"/>
      <c r="C4103" s="19"/>
      <c r="D4103" s="19"/>
      <c r="E4103" s="22"/>
      <c r="F4103" s="19"/>
      <c r="G4103" s="26" t="str">
        <f aca="false">IF(D4103="","",IFERROR(VALUE(LEFT(D4103,FIND(" |",D4103&amp;" |")-1)),"?"))</f>
        <v/>
      </c>
      <c r="H4103" s="27" t="str">
        <f aca="false">IF(G4103="","",IF(G4103="?","⚠ pub inconnue",IFERROR(INDEX(Pubs!$B$2:$B$3001,MATCH(G4103,Pubs!$A$2:$A$3001,0))&amp;"","⚠ pub inconnue")))</f>
        <v/>
      </c>
      <c r="I4103" s="27" t="str">
        <f aca="false">IF(OR(G4103="",G4103="?"),"",IFERROR(INDEX(Pubs!$C$2:$C$3001,MATCH(G4103,Pubs!$A$2:$A$3001,0))&amp;"",""))</f>
        <v/>
      </c>
      <c r="J4103" s="27" t="str">
        <f aca="false">IF(OR(G4103="",G4103="?"),"",IFERROR(INDEX(Pubs!$G$2:$G$3001,MATCH(G4103,Pubs!$A$2:$A$3001,0))&amp;"",""))</f>
        <v/>
      </c>
      <c r="K4103" s="28" t="str">
        <f aca="false">IF(OR(G4103="",G4103="?"),"",IFERROR(INDEX(Pubs!$E$2:$E$3001,MATCH(G4103,Pubs!$A$2:$A$3001,0)),""))</f>
        <v/>
      </c>
      <c r="L4103" s="29" t="str">
        <f aca="false">IF(A4103="","",IFERROR(1/(1/INDEX(Numéros!$C$2:$C$3001,MATCH(A4103&amp;"|"&amp;B4103,Numéros!$F$2:$F$3001,0))),""))</f>
        <v/>
      </c>
      <c r="M4103" s="27" t="str">
        <f aca="false">IF(OR(G4103="",G4103="?"),"",IFERROR(INDEX(Pubs!$D$2:$D$3001,MATCH(G4103,Pubs!$A$2:$A$3001,0))&amp;"",""))</f>
        <v/>
      </c>
      <c r="N4103" s="27" t="n">
        <f aca="false">N(N4102)+IF(AND(A4103&lt;&gt;"",OR(Recherche!$C$4="",A4103=Recherche!$C$4),OR(Recherche!$C$5="",B4103&amp;""=Recherche!$C$5&amp;""),OR(Recherche!$C$6="",IFERROR(YEAR(L4103),0)=Recherche!$C$6),OR(Recherche!$C$7="",ISNUMBER(SEARCH(Recherche!$C$7,H4103))),OR(Recherche!$C$8="",J4103=Recherche!$C$8),OR(Recherche!$C$9="",I4103=Recherche!$C$9),OR(Recherche!$C$10="",G4103&amp;""=Recherche!$C$10&amp;""),OR(Recherche!$C$11="",E4103=Recherche!$C$11),OR(Recherche!$C$12="",ISNUMBER(SEARCH(Recherche!$C$12,M4103&amp;" "&amp;F4103)))),1,0)</f>
        <v>8</v>
      </c>
    </row>
    <row r="4104" customFormat="false" ht="15" hidden="false" customHeight="false" outlineLevel="0" collapsed="false">
      <c r="A4104" s="19"/>
      <c r="B4104" s="19"/>
      <c r="C4104" s="19"/>
      <c r="D4104" s="19"/>
      <c r="E4104" s="22"/>
      <c r="F4104" s="19"/>
      <c r="G4104" s="26" t="str">
        <f aca="false">IF(D4104="","",IFERROR(VALUE(LEFT(D4104,FIND(" |",D4104&amp;" |")-1)),"?"))</f>
        <v/>
      </c>
      <c r="H4104" s="27" t="str">
        <f aca="false">IF(G4104="","",IF(G4104="?","⚠ pub inconnue",IFERROR(INDEX(Pubs!$B$2:$B$3001,MATCH(G4104,Pubs!$A$2:$A$3001,0))&amp;"","⚠ pub inconnue")))</f>
        <v/>
      </c>
      <c r="I4104" s="27" t="str">
        <f aca="false">IF(OR(G4104="",G4104="?"),"",IFERROR(INDEX(Pubs!$C$2:$C$3001,MATCH(G4104,Pubs!$A$2:$A$3001,0))&amp;"",""))</f>
        <v/>
      </c>
      <c r="J4104" s="27" t="str">
        <f aca="false">IF(OR(G4104="",G4104="?"),"",IFERROR(INDEX(Pubs!$G$2:$G$3001,MATCH(G4104,Pubs!$A$2:$A$3001,0))&amp;"",""))</f>
        <v/>
      </c>
      <c r="K4104" s="28" t="str">
        <f aca="false">IF(OR(G4104="",G4104="?"),"",IFERROR(INDEX(Pubs!$E$2:$E$3001,MATCH(G4104,Pubs!$A$2:$A$3001,0)),""))</f>
        <v/>
      </c>
      <c r="L4104" s="29" t="str">
        <f aca="false">IF(A4104="","",IFERROR(1/(1/INDEX(Numéros!$C$2:$C$3001,MATCH(A4104&amp;"|"&amp;B4104,Numéros!$F$2:$F$3001,0))),""))</f>
        <v/>
      </c>
      <c r="M4104" s="27" t="str">
        <f aca="false">IF(OR(G4104="",G4104="?"),"",IFERROR(INDEX(Pubs!$D$2:$D$3001,MATCH(G4104,Pubs!$A$2:$A$3001,0))&amp;"",""))</f>
        <v/>
      </c>
      <c r="N4104" s="27" t="n">
        <f aca="false">N(N4103)+IF(AND(A4104&lt;&gt;"",OR(Recherche!$C$4="",A4104=Recherche!$C$4),OR(Recherche!$C$5="",B4104&amp;""=Recherche!$C$5&amp;""),OR(Recherche!$C$6="",IFERROR(YEAR(L4104),0)=Recherche!$C$6),OR(Recherche!$C$7="",ISNUMBER(SEARCH(Recherche!$C$7,H4104))),OR(Recherche!$C$8="",J4104=Recherche!$C$8),OR(Recherche!$C$9="",I4104=Recherche!$C$9),OR(Recherche!$C$10="",G4104&amp;""=Recherche!$C$10&amp;""),OR(Recherche!$C$11="",E4104=Recherche!$C$11),OR(Recherche!$C$12="",ISNUMBER(SEARCH(Recherche!$C$12,M4104&amp;" "&amp;F4104)))),1,0)</f>
        <v>8</v>
      </c>
    </row>
    <row r="4105" customFormat="false" ht="15" hidden="false" customHeight="false" outlineLevel="0" collapsed="false">
      <c r="A4105" s="19"/>
      <c r="B4105" s="19"/>
      <c r="C4105" s="19"/>
      <c r="D4105" s="19"/>
      <c r="E4105" s="22"/>
      <c r="F4105" s="19"/>
      <c r="G4105" s="26" t="str">
        <f aca="false">IF(D4105="","",IFERROR(VALUE(LEFT(D4105,FIND(" |",D4105&amp;" |")-1)),"?"))</f>
        <v/>
      </c>
      <c r="H4105" s="27" t="str">
        <f aca="false">IF(G4105="","",IF(G4105="?","⚠ pub inconnue",IFERROR(INDEX(Pubs!$B$2:$B$3001,MATCH(G4105,Pubs!$A$2:$A$3001,0))&amp;"","⚠ pub inconnue")))</f>
        <v/>
      </c>
      <c r="I4105" s="27" t="str">
        <f aca="false">IF(OR(G4105="",G4105="?"),"",IFERROR(INDEX(Pubs!$C$2:$C$3001,MATCH(G4105,Pubs!$A$2:$A$3001,0))&amp;"",""))</f>
        <v/>
      </c>
      <c r="J4105" s="27" t="str">
        <f aca="false">IF(OR(G4105="",G4105="?"),"",IFERROR(INDEX(Pubs!$G$2:$G$3001,MATCH(G4105,Pubs!$A$2:$A$3001,0))&amp;"",""))</f>
        <v/>
      </c>
      <c r="K4105" s="28" t="str">
        <f aca="false">IF(OR(G4105="",G4105="?"),"",IFERROR(INDEX(Pubs!$E$2:$E$3001,MATCH(G4105,Pubs!$A$2:$A$3001,0)),""))</f>
        <v/>
      </c>
      <c r="L4105" s="29" t="str">
        <f aca="false">IF(A4105="","",IFERROR(1/(1/INDEX(Numéros!$C$2:$C$3001,MATCH(A4105&amp;"|"&amp;B4105,Numéros!$F$2:$F$3001,0))),""))</f>
        <v/>
      </c>
      <c r="M4105" s="27" t="str">
        <f aca="false">IF(OR(G4105="",G4105="?"),"",IFERROR(INDEX(Pubs!$D$2:$D$3001,MATCH(G4105,Pubs!$A$2:$A$3001,0))&amp;"",""))</f>
        <v/>
      </c>
      <c r="N4105" s="27" t="n">
        <f aca="false">N(N4104)+IF(AND(A4105&lt;&gt;"",OR(Recherche!$C$4="",A4105=Recherche!$C$4),OR(Recherche!$C$5="",B4105&amp;""=Recherche!$C$5&amp;""),OR(Recherche!$C$6="",IFERROR(YEAR(L4105),0)=Recherche!$C$6),OR(Recherche!$C$7="",ISNUMBER(SEARCH(Recherche!$C$7,H4105))),OR(Recherche!$C$8="",J4105=Recherche!$C$8),OR(Recherche!$C$9="",I4105=Recherche!$C$9),OR(Recherche!$C$10="",G4105&amp;""=Recherche!$C$10&amp;""),OR(Recherche!$C$11="",E4105=Recherche!$C$11),OR(Recherche!$C$12="",ISNUMBER(SEARCH(Recherche!$C$12,M4105&amp;" "&amp;F4105)))),1,0)</f>
        <v>8</v>
      </c>
    </row>
    <row r="4106" customFormat="false" ht="15" hidden="false" customHeight="false" outlineLevel="0" collapsed="false">
      <c r="A4106" s="19"/>
      <c r="B4106" s="19"/>
      <c r="C4106" s="19"/>
      <c r="D4106" s="19"/>
      <c r="E4106" s="22"/>
      <c r="F4106" s="19"/>
      <c r="G4106" s="26" t="str">
        <f aca="false">IF(D4106="","",IFERROR(VALUE(LEFT(D4106,FIND(" |",D4106&amp;" |")-1)),"?"))</f>
        <v/>
      </c>
      <c r="H4106" s="27" t="str">
        <f aca="false">IF(G4106="","",IF(G4106="?","⚠ pub inconnue",IFERROR(INDEX(Pubs!$B$2:$B$3001,MATCH(G4106,Pubs!$A$2:$A$3001,0))&amp;"","⚠ pub inconnue")))</f>
        <v/>
      </c>
      <c r="I4106" s="27" t="str">
        <f aca="false">IF(OR(G4106="",G4106="?"),"",IFERROR(INDEX(Pubs!$C$2:$C$3001,MATCH(G4106,Pubs!$A$2:$A$3001,0))&amp;"",""))</f>
        <v/>
      </c>
      <c r="J4106" s="27" t="str">
        <f aca="false">IF(OR(G4106="",G4106="?"),"",IFERROR(INDEX(Pubs!$G$2:$G$3001,MATCH(G4106,Pubs!$A$2:$A$3001,0))&amp;"",""))</f>
        <v/>
      </c>
      <c r="K4106" s="28" t="str">
        <f aca="false">IF(OR(G4106="",G4106="?"),"",IFERROR(INDEX(Pubs!$E$2:$E$3001,MATCH(G4106,Pubs!$A$2:$A$3001,0)),""))</f>
        <v/>
      </c>
      <c r="L4106" s="29" t="str">
        <f aca="false">IF(A4106="","",IFERROR(1/(1/INDEX(Numéros!$C$2:$C$3001,MATCH(A4106&amp;"|"&amp;B4106,Numéros!$F$2:$F$3001,0))),""))</f>
        <v/>
      </c>
      <c r="M4106" s="27" t="str">
        <f aca="false">IF(OR(G4106="",G4106="?"),"",IFERROR(INDEX(Pubs!$D$2:$D$3001,MATCH(G4106,Pubs!$A$2:$A$3001,0))&amp;"",""))</f>
        <v/>
      </c>
      <c r="N4106" s="27" t="n">
        <f aca="false">N(N4105)+IF(AND(A4106&lt;&gt;"",OR(Recherche!$C$4="",A4106=Recherche!$C$4),OR(Recherche!$C$5="",B4106&amp;""=Recherche!$C$5&amp;""),OR(Recherche!$C$6="",IFERROR(YEAR(L4106),0)=Recherche!$C$6),OR(Recherche!$C$7="",ISNUMBER(SEARCH(Recherche!$C$7,H4106))),OR(Recherche!$C$8="",J4106=Recherche!$C$8),OR(Recherche!$C$9="",I4106=Recherche!$C$9),OR(Recherche!$C$10="",G4106&amp;""=Recherche!$C$10&amp;""),OR(Recherche!$C$11="",E4106=Recherche!$C$11),OR(Recherche!$C$12="",ISNUMBER(SEARCH(Recherche!$C$12,M4106&amp;" "&amp;F4106)))),1,0)</f>
        <v>8</v>
      </c>
    </row>
    <row r="4107" customFormat="false" ht="15" hidden="false" customHeight="false" outlineLevel="0" collapsed="false">
      <c r="A4107" s="19"/>
      <c r="B4107" s="19"/>
      <c r="C4107" s="19"/>
      <c r="D4107" s="19"/>
      <c r="E4107" s="22"/>
      <c r="F4107" s="19"/>
      <c r="G4107" s="26" t="str">
        <f aca="false">IF(D4107="","",IFERROR(VALUE(LEFT(D4107,FIND(" |",D4107&amp;" |")-1)),"?"))</f>
        <v/>
      </c>
      <c r="H4107" s="27" t="str">
        <f aca="false">IF(G4107="","",IF(G4107="?","⚠ pub inconnue",IFERROR(INDEX(Pubs!$B$2:$B$3001,MATCH(G4107,Pubs!$A$2:$A$3001,0))&amp;"","⚠ pub inconnue")))</f>
        <v/>
      </c>
      <c r="I4107" s="27" t="str">
        <f aca="false">IF(OR(G4107="",G4107="?"),"",IFERROR(INDEX(Pubs!$C$2:$C$3001,MATCH(G4107,Pubs!$A$2:$A$3001,0))&amp;"",""))</f>
        <v/>
      </c>
      <c r="J4107" s="27" t="str">
        <f aca="false">IF(OR(G4107="",G4107="?"),"",IFERROR(INDEX(Pubs!$G$2:$G$3001,MATCH(G4107,Pubs!$A$2:$A$3001,0))&amp;"",""))</f>
        <v/>
      </c>
      <c r="K4107" s="28" t="str">
        <f aca="false">IF(OR(G4107="",G4107="?"),"",IFERROR(INDEX(Pubs!$E$2:$E$3001,MATCH(G4107,Pubs!$A$2:$A$3001,0)),""))</f>
        <v/>
      </c>
      <c r="L4107" s="29" t="str">
        <f aca="false">IF(A4107="","",IFERROR(1/(1/INDEX(Numéros!$C$2:$C$3001,MATCH(A4107&amp;"|"&amp;B4107,Numéros!$F$2:$F$3001,0))),""))</f>
        <v/>
      </c>
      <c r="M4107" s="27" t="str">
        <f aca="false">IF(OR(G4107="",G4107="?"),"",IFERROR(INDEX(Pubs!$D$2:$D$3001,MATCH(G4107,Pubs!$A$2:$A$3001,0))&amp;"",""))</f>
        <v/>
      </c>
      <c r="N4107" s="27" t="n">
        <f aca="false">N(N4106)+IF(AND(A4107&lt;&gt;"",OR(Recherche!$C$4="",A4107=Recherche!$C$4),OR(Recherche!$C$5="",B4107&amp;""=Recherche!$C$5&amp;""),OR(Recherche!$C$6="",IFERROR(YEAR(L4107),0)=Recherche!$C$6),OR(Recherche!$C$7="",ISNUMBER(SEARCH(Recherche!$C$7,H4107))),OR(Recherche!$C$8="",J4107=Recherche!$C$8),OR(Recherche!$C$9="",I4107=Recherche!$C$9),OR(Recherche!$C$10="",G4107&amp;""=Recherche!$C$10&amp;""),OR(Recherche!$C$11="",E4107=Recherche!$C$11),OR(Recherche!$C$12="",ISNUMBER(SEARCH(Recherche!$C$12,M4107&amp;" "&amp;F4107)))),1,0)</f>
        <v>8</v>
      </c>
    </row>
    <row r="4108" customFormat="false" ht="15" hidden="false" customHeight="false" outlineLevel="0" collapsed="false">
      <c r="A4108" s="19"/>
      <c r="B4108" s="19"/>
      <c r="C4108" s="19"/>
      <c r="D4108" s="19"/>
      <c r="E4108" s="22"/>
      <c r="F4108" s="19"/>
      <c r="G4108" s="26" t="str">
        <f aca="false">IF(D4108="","",IFERROR(VALUE(LEFT(D4108,FIND(" |",D4108&amp;" |")-1)),"?"))</f>
        <v/>
      </c>
      <c r="H4108" s="27" t="str">
        <f aca="false">IF(G4108="","",IF(G4108="?","⚠ pub inconnue",IFERROR(INDEX(Pubs!$B$2:$B$3001,MATCH(G4108,Pubs!$A$2:$A$3001,0))&amp;"","⚠ pub inconnue")))</f>
        <v/>
      </c>
      <c r="I4108" s="27" t="str">
        <f aca="false">IF(OR(G4108="",G4108="?"),"",IFERROR(INDEX(Pubs!$C$2:$C$3001,MATCH(G4108,Pubs!$A$2:$A$3001,0))&amp;"",""))</f>
        <v/>
      </c>
      <c r="J4108" s="27" t="str">
        <f aca="false">IF(OR(G4108="",G4108="?"),"",IFERROR(INDEX(Pubs!$G$2:$G$3001,MATCH(G4108,Pubs!$A$2:$A$3001,0))&amp;"",""))</f>
        <v/>
      </c>
      <c r="K4108" s="28" t="str">
        <f aca="false">IF(OR(G4108="",G4108="?"),"",IFERROR(INDEX(Pubs!$E$2:$E$3001,MATCH(G4108,Pubs!$A$2:$A$3001,0)),""))</f>
        <v/>
      </c>
      <c r="L4108" s="29" t="str">
        <f aca="false">IF(A4108="","",IFERROR(1/(1/INDEX(Numéros!$C$2:$C$3001,MATCH(A4108&amp;"|"&amp;B4108,Numéros!$F$2:$F$3001,0))),""))</f>
        <v/>
      </c>
      <c r="M4108" s="27" t="str">
        <f aca="false">IF(OR(G4108="",G4108="?"),"",IFERROR(INDEX(Pubs!$D$2:$D$3001,MATCH(G4108,Pubs!$A$2:$A$3001,0))&amp;"",""))</f>
        <v/>
      </c>
      <c r="N4108" s="27" t="n">
        <f aca="false">N(N4107)+IF(AND(A4108&lt;&gt;"",OR(Recherche!$C$4="",A4108=Recherche!$C$4),OR(Recherche!$C$5="",B4108&amp;""=Recherche!$C$5&amp;""),OR(Recherche!$C$6="",IFERROR(YEAR(L4108),0)=Recherche!$C$6),OR(Recherche!$C$7="",ISNUMBER(SEARCH(Recherche!$C$7,H4108))),OR(Recherche!$C$8="",J4108=Recherche!$C$8),OR(Recherche!$C$9="",I4108=Recherche!$C$9),OR(Recherche!$C$10="",G4108&amp;""=Recherche!$C$10&amp;""),OR(Recherche!$C$11="",E4108=Recherche!$C$11),OR(Recherche!$C$12="",ISNUMBER(SEARCH(Recherche!$C$12,M4108&amp;" "&amp;F4108)))),1,0)</f>
        <v>8</v>
      </c>
    </row>
    <row r="4109" customFormat="false" ht="15" hidden="false" customHeight="false" outlineLevel="0" collapsed="false">
      <c r="A4109" s="19"/>
      <c r="B4109" s="19"/>
      <c r="C4109" s="19"/>
      <c r="D4109" s="19"/>
      <c r="E4109" s="22"/>
      <c r="F4109" s="19"/>
      <c r="G4109" s="26" t="str">
        <f aca="false">IF(D4109="","",IFERROR(VALUE(LEFT(D4109,FIND(" |",D4109&amp;" |")-1)),"?"))</f>
        <v/>
      </c>
      <c r="H4109" s="27" t="str">
        <f aca="false">IF(G4109="","",IF(G4109="?","⚠ pub inconnue",IFERROR(INDEX(Pubs!$B$2:$B$3001,MATCH(G4109,Pubs!$A$2:$A$3001,0))&amp;"","⚠ pub inconnue")))</f>
        <v/>
      </c>
      <c r="I4109" s="27" t="str">
        <f aca="false">IF(OR(G4109="",G4109="?"),"",IFERROR(INDEX(Pubs!$C$2:$C$3001,MATCH(G4109,Pubs!$A$2:$A$3001,0))&amp;"",""))</f>
        <v/>
      </c>
      <c r="J4109" s="27" t="str">
        <f aca="false">IF(OR(G4109="",G4109="?"),"",IFERROR(INDEX(Pubs!$G$2:$G$3001,MATCH(G4109,Pubs!$A$2:$A$3001,0))&amp;"",""))</f>
        <v/>
      </c>
      <c r="K4109" s="28" t="str">
        <f aca="false">IF(OR(G4109="",G4109="?"),"",IFERROR(INDEX(Pubs!$E$2:$E$3001,MATCH(G4109,Pubs!$A$2:$A$3001,0)),""))</f>
        <v/>
      </c>
      <c r="L4109" s="29" t="str">
        <f aca="false">IF(A4109="","",IFERROR(1/(1/INDEX(Numéros!$C$2:$C$3001,MATCH(A4109&amp;"|"&amp;B4109,Numéros!$F$2:$F$3001,0))),""))</f>
        <v/>
      </c>
      <c r="M4109" s="27" t="str">
        <f aca="false">IF(OR(G4109="",G4109="?"),"",IFERROR(INDEX(Pubs!$D$2:$D$3001,MATCH(G4109,Pubs!$A$2:$A$3001,0))&amp;"",""))</f>
        <v/>
      </c>
      <c r="N4109" s="27" t="n">
        <f aca="false">N(N4108)+IF(AND(A4109&lt;&gt;"",OR(Recherche!$C$4="",A4109=Recherche!$C$4),OR(Recherche!$C$5="",B4109&amp;""=Recherche!$C$5&amp;""),OR(Recherche!$C$6="",IFERROR(YEAR(L4109),0)=Recherche!$C$6),OR(Recherche!$C$7="",ISNUMBER(SEARCH(Recherche!$C$7,H4109))),OR(Recherche!$C$8="",J4109=Recherche!$C$8),OR(Recherche!$C$9="",I4109=Recherche!$C$9),OR(Recherche!$C$10="",G4109&amp;""=Recherche!$C$10&amp;""),OR(Recherche!$C$11="",E4109=Recherche!$C$11),OR(Recherche!$C$12="",ISNUMBER(SEARCH(Recherche!$C$12,M4109&amp;" "&amp;F4109)))),1,0)</f>
        <v>8</v>
      </c>
    </row>
    <row r="4110" customFormat="false" ht="15" hidden="false" customHeight="false" outlineLevel="0" collapsed="false">
      <c r="A4110" s="19"/>
      <c r="B4110" s="19"/>
      <c r="C4110" s="19"/>
      <c r="D4110" s="19"/>
      <c r="E4110" s="22"/>
      <c r="F4110" s="19"/>
      <c r="G4110" s="26" t="str">
        <f aca="false">IF(D4110="","",IFERROR(VALUE(LEFT(D4110,FIND(" |",D4110&amp;" |")-1)),"?"))</f>
        <v/>
      </c>
      <c r="H4110" s="27" t="str">
        <f aca="false">IF(G4110="","",IF(G4110="?","⚠ pub inconnue",IFERROR(INDEX(Pubs!$B$2:$B$3001,MATCH(G4110,Pubs!$A$2:$A$3001,0))&amp;"","⚠ pub inconnue")))</f>
        <v/>
      </c>
      <c r="I4110" s="27" t="str">
        <f aca="false">IF(OR(G4110="",G4110="?"),"",IFERROR(INDEX(Pubs!$C$2:$C$3001,MATCH(G4110,Pubs!$A$2:$A$3001,0))&amp;"",""))</f>
        <v/>
      </c>
      <c r="J4110" s="27" t="str">
        <f aca="false">IF(OR(G4110="",G4110="?"),"",IFERROR(INDEX(Pubs!$G$2:$G$3001,MATCH(G4110,Pubs!$A$2:$A$3001,0))&amp;"",""))</f>
        <v/>
      </c>
      <c r="K4110" s="28" t="str">
        <f aca="false">IF(OR(G4110="",G4110="?"),"",IFERROR(INDEX(Pubs!$E$2:$E$3001,MATCH(G4110,Pubs!$A$2:$A$3001,0)),""))</f>
        <v/>
      </c>
      <c r="L4110" s="29" t="str">
        <f aca="false">IF(A4110="","",IFERROR(1/(1/INDEX(Numéros!$C$2:$C$3001,MATCH(A4110&amp;"|"&amp;B4110,Numéros!$F$2:$F$3001,0))),""))</f>
        <v/>
      </c>
      <c r="M4110" s="27" t="str">
        <f aca="false">IF(OR(G4110="",G4110="?"),"",IFERROR(INDEX(Pubs!$D$2:$D$3001,MATCH(G4110,Pubs!$A$2:$A$3001,0))&amp;"",""))</f>
        <v/>
      </c>
      <c r="N4110" s="27" t="n">
        <f aca="false">N(N4109)+IF(AND(A4110&lt;&gt;"",OR(Recherche!$C$4="",A4110=Recherche!$C$4),OR(Recherche!$C$5="",B4110&amp;""=Recherche!$C$5&amp;""),OR(Recherche!$C$6="",IFERROR(YEAR(L4110),0)=Recherche!$C$6),OR(Recherche!$C$7="",ISNUMBER(SEARCH(Recherche!$C$7,H4110))),OR(Recherche!$C$8="",J4110=Recherche!$C$8),OR(Recherche!$C$9="",I4110=Recherche!$C$9),OR(Recherche!$C$10="",G4110&amp;""=Recherche!$C$10&amp;""),OR(Recherche!$C$11="",E4110=Recherche!$C$11),OR(Recherche!$C$12="",ISNUMBER(SEARCH(Recherche!$C$12,M4110&amp;" "&amp;F4110)))),1,0)</f>
        <v>8</v>
      </c>
    </row>
    <row r="4111" customFormat="false" ht="15" hidden="false" customHeight="false" outlineLevel="0" collapsed="false">
      <c r="A4111" s="19"/>
      <c r="B4111" s="19"/>
      <c r="C4111" s="19"/>
      <c r="D4111" s="19"/>
      <c r="E4111" s="22"/>
      <c r="F4111" s="19"/>
      <c r="G4111" s="26" t="str">
        <f aca="false">IF(D4111="","",IFERROR(VALUE(LEFT(D4111,FIND(" |",D4111&amp;" |")-1)),"?"))</f>
        <v/>
      </c>
      <c r="H4111" s="27" t="str">
        <f aca="false">IF(G4111="","",IF(G4111="?","⚠ pub inconnue",IFERROR(INDEX(Pubs!$B$2:$B$3001,MATCH(G4111,Pubs!$A$2:$A$3001,0))&amp;"","⚠ pub inconnue")))</f>
        <v/>
      </c>
      <c r="I4111" s="27" t="str">
        <f aca="false">IF(OR(G4111="",G4111="?"),"",IFERROR(INDEX(Pubs!$C$2:$C$3001,MATCH(G4111,Pubs!$A$2:$A$3001,0))&amp;"",""))</f>
        <v/>
      </c>
      <c r="J4111" s="27" t="str">
        <f aca="false">IF(OR(G4111="",G4111="?"),"",IFERROR(INDEX(Pubs!$G$2:$G$3001,MATCH(G4111,Pubs!$A$2:$A$3001,0))&amp;"",""))</f>
        <v/>
      </c>
      <c r="K4111" s="28" t="str">
        <f aca="false">IF(OR(G4111="",G4111="?"),"",IFERROR(INDEX(Pubs!$E$2:$E$3001,MATCH(G4111,Pubs!$A$2:$A$3001,0)),""))</f>
        <v/>
      </c>
      <c r="L4111" s="29" t="str">
        <f aca="false">IF(A4111="","",IFERROR(1/(1/INDEX(Numéros!$C$2:$C$3001,MATCH(A4111&amp;"|"&amp;B4111,Numéros!$F$2:$F$3001,0))),""))</f>
        <v/>
      </c>
      <c r="M4111" s="27" t="str">
        <f aca="false">IF(OR(G4111="",G4111="?"),"",IFERROR(INDEX(Pubs!$D$2:$D$3001,MATCH(G4111,Pubs!$A$2:$A$3001,0))&amp;"",""))</f>
        <v/>
      </c>
      <c r="N4111" s="27" t="n">
        <f aca="false">N(N4110)+IF(AND(A4111&lt;&gt;"",OR(Recherche!$C$4="",A4111=Recherche!$C$4),OR(Recherche!$C$5="",B4111&amp;""=Recherche!$C$5&amp;""),OR(Recherche!$C$6="",IFERROR(YEAR(L4111),0)=Recherche!$C$6),OR(Recherche!$C$7="",ISNUMBER(SEARCH(Recherche!$C$7,H4111))),OR(Recherche!$C$8="",J4111=Recherche!$C$8),OR(Recherche!$C$9="",I4111=Recherche!$C$9),OR(Recherche!$C$10="",G4111&amp;""=Recherche!$C$10&amp;""),OR(Recherche!$C$11="",E4111=Recherche!$C$11),OR(Recherche!$C$12="",ISNUMBER(SEARCH(Recherche!$C$12,M4111&amp;" "&amp;F4111)))),1,0)</f>
        <v>8</v>
      </c>
    </row>
    <row r="4112" customFormat="false" ht="15" hidden="false" customHeight="false" outlineLevel="0" collapsed="false">
      <c r="A4112" s="19"/>
      <c r="B4112" s="19"/>
      <c r="C4112" s="19"/>
      <c r="D4112" s="19"/>
      <c r="E4112" s="22"/>
      <c r="F4112" s="19"/>
      <c r="G4112" s="26" t="str">
        <f aca="false">IF(D4112="","",IFERROR(VALUE(LEFT(D4112,FIND(" |",D4112&amp;" |")-1)),"?"))</f>
        <v/>
      </c>
      <c r="H4112" s="27" t="str">
        <f aca="false">IF(G4112="","",IF(G4112="?","⚠ pub inconnue",IFERROR(INDEX(Pubs!$B$2:$B$3001,MATCH(G4112,Pubs!$A$2:$A$3001,0))&amp;"","⚠ pub inconnue")))</f>
        <v/>
      </c>
      <c r="I4112" s="27" t="str">
        <f aca="false">IF(OR(G4112="",G4112="?"),"",IFERROR(INDEX(Pubs!$C$2:$C$3001,MATCH(G4112,Pubs!$A$2:$A$3001,0))&amp;"",""))</f>
        <v/>
      </c>
      <c r="J4112" s="27" t="str">
        <f aca="false">IF(OR(G4112="",G4112="?"),"",IFERROR(INDEX(Pubs!$G$2:$G$3001,MATCH(G4112,Pubs!$A$2:$A$3001,0))&amp;"",""))</f>
        <v/>
      </c>
      <c r="K4112" s="28" t="str">
        <f aca="false">IF(OR(G4112="",G4112="?"),"",IFERROR(INDEX(Pubs!$E$2:$E$3001,MATCH(G4112,Pubs!$A$2:$A$3001,0)),""))</f>
        <v/>
      </c>
      <c r="L4112" s="29" t="str">
        <f aca="false">IF(A4112="","",IFERROR(1/(1/INDEX(Numéros!$C$2:$C$3001,MATCH(A4112&amp;"|"&amp;B4112,Numéros!$F$2:$F$3001,0))),""))</f>
        <v/>
      </c>
      <c r="M4112" s="27" t="str">
        <f aca="false">IF(OR(G4112="",G4112="?"),"",IFERROR(INDEX(Pubs!$D$2:$D$3001,MATCH(G4112,Pubs!$A$2:$A$3001,0))&amp;"",""))</f>
        <v/>
      </c>
      <c r="N4112" s="27" t="n">
        <f aca="false">N(N4111)+IF(AND(A4112&lt;&gt;"",OR(Recherche!$C$4="",A4112=Recherche!$C$4),OR(Recherche!$C$5="",B4112&amp;""=Recherche!$C$5&amp;""),OR(Recherche!$C$6="",IFERROR(YEAR(L4112),0)=Recherche!$C$6),OR(Recherche!$C$7="",ISNUMBER(SEARCH(Recherche!$C$7,H4112))),OR(Recherche!$C$8="",J4112=Recherche!$C$8),OR(Recherche!$C$9="",I4112=Recherche!$C$9),OR(Recherche!$C$10="",G4112&amp;""=Recherche!$C$10&amp;""),OR(Recherche!$C$11="",E4112=Recherche!$C$11),OR(Recherche!$C$12="",ISNUMBER(SEARCH(Recherche!$C$12,M4112&amp;" "&amp;F4112)))),1,0)</f>
        <v>8</v>
      </c>
    </row>
    <row r="4113" customFormat="false" ht="15" hidden="false" customHeight="false" outlineLevel="0" collapsed="false">
      <c r="A4113" s="19"/>
      <c r="B4113" s="19"/>
      <c r="C4113" s="19"/>
      <c r="D4113" s="19"/>
      <c r="E4113" s="22"/>
      <c r="F4113" s="19"/>
      <c r="G4113" s="26" t="str">
        <f aca="false">IF(D4113="","",IFERROR(VALUE(LEFT(D4113,FIND(" |",D4113&amp;" |")-1)),"?"))</f>
        <v/>
      </c>
      <c r="H4113" s="27" t="str">
        <f aca="false">IF(G4113="","",IF(G4113="?","⚠ pub inconnue",IFERROR(INDEX(Pubs!$B$2:$B$3001,MATCH(G4113,Pubs!$A$2:$A$3001,0))&amp;"","⚠ pub inconnue")))</f>
        <v/>
      </c>
      <c r="I4113" s="27" t="str">
        <f aca="false">IF(OR(G4113="",G4113="?"),"",IFERROR(INDEX(Pubs!$C$2:$C$3001,MATCH(G4113,Pubs!$A$2:$A$3001,0))&amp;"",""))</f>
        <v/>
      </c>
      <c r="J4113" s="27" t="str">
        <f aca="false">IF(OR(G4113="",G4113="?"),"",IFERROR(INDEX(Pubs!$G$2:$G$3001,MATCH(G4113,Pubs!$A$2:$A$3001,0))&amp;"",""))</f>
        <v/>
      </c>
      <c r="K4113" s="28" t="str">
        <f aca="false">IF(OR(G4113="",G4113="?"),"",IFERROR(INDEX(Pubs!$E$2:$E$3001,MATCH(G4113,Pubs!$A$2:$A$3001,0)),""))</f>
        <v/>
      </c>
      <c r="L4113" s="29" t="str">
        <f aca="false">IF(A4113="","",IFERROR(1/(1/INDEX(Numéros!$C$2:$C$3001,MATCH(A4113&amp;"|"&amp;B4113,Numéros!$F$2:$F$3001,0))),""))</f>
        <v/>
      </c>
      <c r="M4113" s="27" t="str">
        <f aca="false">IF(OR(G4113="",G4113="?"),"",IFERROR(INDEX(Pubs!$D$2:$D$3001,MATCH(G4113,Pubs!$A$2:$A$3001,0))&amp;"",""))</f>
        <v/>
      </c>
      <c r="N4113" s="27" t="n">
        <f aca="false">N(N4112)+IF(AND(A4113&lt;&gt;"",OR(Recherche!$C$4="",A4113=Recherche!$C$4),OR(Recherche!$C$5="",B4113&amp;""=Recherche!$C$5&amp;""),OR(Recherche!$C$6="",IFERROR(YEAR(L4113),0)=Recherche!$C$6),OR(Recherche!$C$7="",ISNUMBER(SEARCH(Recherche!$C$7,H4113))),OR(Recherche!$C$8="",J4113=Recherche!$C$8),OR(Recherche!$C$9="",I4113=Recherche!$C$9),OR(Recherche!$C$10="",G4113&amp;""=Recherche!$C$10&amp;""),OR(Recherche!$C$11="",E4113=Recherche!$C$11),OR(Recherche!$C$12="",ISNUMBER(SEARCH(Recherche!$C$12,M4113&amp;" "&amp;F4113)))),1,0)</f>
        <v>8</v>
      </c>
    </row>
    <row r="4114" customFormat="false" ht="15" hidden="false" customHeight="false" outlineLevel="0" collapsed="false">
      <c r="A4114" s="19"/>
      <c r="B4114" s="19"/>
      <c r="C4114" s="19"/>
      <c r="D4114" s="19"/>
      <c r="E4114" s="22"/>
      <c r="F4114" s="19"/>
      <c r="G4114" s="26" t="str">
        <f aca="false">IF(D4114="","",IFERROR(VALUE(LEFT(D4114,FIND(" |",D4114&amp;" |")-1)),"?"))</f>
        <v/>
      </c>
      <c r="H4114" s="27" t="str">
        <f aca="false">IF(G4114="","",IF(G4114="?","⚠ pub inconnue",IFERROR(INDEX(Pubs!$B$2:$B$3001,MATCH(G4114,Pubs!$A$2:$A$3001,0))&amp;"","⚠ pub inconnue")))</f>
        <v/>
      </c>
      <c r="I4114" s="27" t="str">
        <f aca="false">IF(OR(G4114="",G4114="?"),"",IFERROR(INDEX(Pubs!$C$2:$C$3001,MATCH(G4114,Pubs!$A$2:$A$3001,0))&amp;"",""))</f>
        <v/>
      </c>
      <c r="J4114" s="27" t="str">
        <f aca="false">IF(OR(G4114="",G4114="?"),"",IFERROR(INDEX(Pubs!$G$2:$G$3001,MATCH(G4114,Pubs!$A$2:$A$3001,0))&amp;"",""))</f>
        <v/>
      </c>
      <c r="K4114" s="28" t="str">
        <f aca="false">IF(OR(G4114="",G4114="?"),"",IFERROR(INDEX(Pubs!$E$2:$E$3001,MATCH(G4114,Pubs!$A$2:$A$3001,0)),""))</f>
        <v/>
      </c>
      <c r="L4114" s="29" t="str">
        <f aca="false">IF(A4114="","",IFERROR(1/(1/INDEX(Numéros!$C$2:$C$3001,MATCH(A4114&amp;"|"&amp;B4114,Numéros!$F$2:$F$3001,0))),""))</f>
        <v/>
      </c>
      <c r="M4114" s="27" t="str">
        <f aca="false">IF(OR(G4114="",G4114="?"),"",IFERROR(INDEX(Pubs!$D$2:$D$3001,MATCH(G4114,Pubs!$A$2:$A$3001,0))&amp;"",""))</f>
        <v/>
      </c>
      <c r="N4114" s="27" t="n">
        <f aca="false">N(N4113)+IF(AND(A4114&lt;&gt;"",OR(Recherche!$C$4="",A4114=Recherche!$C$4),OR(Recherche!$C$5="",B4114&amp;""=Recherche!$C$5&amp;""),OR(Recherche!$C$6="",IFERROR(YEAR(L4114),0)=Recherche!$C$6),OR(Recherche!$C$7="",ISNUMBER(SEARCH(Recherche!$C$7,H4114))),OR(Recherche!$C$8="",J4114=Recherche!$C$8),OR(Recherche!$C$9="",I4114=Recherche!$C$9),OR(Recherche!$C$10="",G4114&amp;""=Recherche!$C$10&amp;""),OR(Recherche!$C$11="",E4114=Recherche!$C$11),OR(Recherche!$C$12="",ISNUMBER(SEARCH(Recherche!$C$12,M4114&amp;" "&amp;F4114)))),1,0)</f>
        <v>8</v>
      </c>
    </row>
    <row r="4115" customFormat="false" ht="15" hidden="false" customHeight="false" outlineLevel="0" collapsed="false">
      <c r="A4115" s="19"/>
      <c r="B4115" s="19"/>
      <c r="C4115" s="19"/>
      <c r="D4115" s="19"/>
      <c r="E4115" s="22"/>
      <c r="F4115" s="19"/>
      <c r="G4115" s="26" t="str">
        <f aca="false">IF(D4115="","",IFERROR(VALUE(LEFT(D4115,FIND(" |",D4115&amp;" |")-1)),"?"))</f>
        <v/>
      </c>
      <c r="H4115" s="27" t="str">
        <f aca="false">IF(G4115="","",IF(G4115="?","⚠ pub inconnue",IFERROR(INDEX(Pubs!$B$2:$B$3001,MATCH(G4115,Pubs!$A$2:$A$3001,0))&amp;"","⚠ pub inconnue")))</f>
        <v/>
      </c>
      <c r="I4115" s="27" t="str">
        <f aca="false">IF(OR(G4115="",G4115="?"),"",IFERROR(INDEX(Pubs!$C$2:$C$3001,MATCH(G4115,Pubs!$A$2:$A$3001,0))&amp;"",""))</f>
        <v/>
      </c>
      <c r="J4115" s="27" t="str">
        <f aca="false">IF(OR(G4115="",G4115="?"),"",IFERROR(INDEX(Pubs!$G$2:$G$3001,MATCH(G4115,Pubs!$A$2:$A$3001,0))&amp;"",""))</f>
        <v/>
      </c>
      <c r="K4115" s="28" t="str">
        <f aca="false">IF(OR(G4115="",G4115="?"),"",IFERROR(INDEX(Pubs!$E$2:$E$3001,MATCH(G4115,Pubs!$A$2:$A$3001,0)),""))</f>
        <v/>
      </c>
      <c r="L4115" s="29" t="str">
        <f aca="false">IF(A4115="","",IFERROR(1/(1/INDEX(Numéros!$C$2:$C$3001,MATCH(A4115&amp;"|"&amp;B4115,Numéros!$F$2:$F$3001,0))),""))</f>
        <v/>
      </c>
      <c r="M4115" s="27" t="str">
        <f aca="false">IF(OR(G4115="",G4115="?"),"",IFERROR(INDEX(Pubs!$D$2:$D$3001,MATCH(G4115,Pubs!$A$2:$A$3001,0))&amp;"",""))</f>
        <v/>
      </c>
      <c r="N4115" s="27" t="n">
        <f aca="false">N(N4114)+IF(AND(A4115&lt;&gt;"",OR(Recherche!$C$4="",A4115=Recherche!$C$4),OR(Recherche!$C$5="",B4115&amp;""=Recherche!$C$5&amp;""),OR(Recherche!$C$6="",IFERROR(YEAR(L4115),0)=Recherche!$C$6),OR(Recherche!$C$7="",ISNUMBER(SEARCH(Recherche!$C$7,H4115))),OR(Recherche!$C$8="",J4115=Recherche!$C$8),OR(Recherche!$C$9="",I4115=Recherche!$C$9),OR(Recherche!$C$10="",G4115&amp;""=Recherche!$C$10&amp;""),OR(Recherche!$C$11="",E4115=Recherche!$C$11),OR(Recherche!$C$12="",ISNUMBER(SEARCH(Recherche!$C$12,M4115&amp;" "&amp;F4115)))),1,0)</f>
        <v>8</v>
      </c>
    </row>
    <row r="4116" customFormat="false" ht="15" hidden="false" customHeight="false" outlineLevel="0" collapsed="false">
      <c r="A4116" s="19"/>
      <c r="B4116" s="19"/>
      <c r="C4116" s="19"/>
      <c r="D4116" s="19"/>
      <c r="E4116" s="22"/>
      <c r="F4116" s="19"/>
      <c r="G4116" s="26" t="str">
        <f aca="false">IF(D4116="","",IFERROR(VALUE(LEFT(D4116,FIND(" |",D4116&amp;" |")-1)),"?"))</f>
        <v/>
      </c>
      <c r="H4116" s="27" t="str">
        <f aca="false">IF(G4116="","",IF(G4116="?","⚠ pub inconnue",IFERROR(INDEX(Pubs!$B$2:$B$3001,MATCH(G4116,Pubs!$A$2:$A$3001,0))&amp;"","⚠ pub inconnue")))</f>
        <v/>
      </c>
      <c r="I4116" s="27" t="str">
        <f aca="false">IF(OR(G4116="",G4116="?"),"",IFERROR(INDEX(Pubs!$C$2:$C$3001,MATCH(G4116,Pubs!$A$2:$A$3001,0))&amp;"",""))</f>
        <v/>
      </c>
      <c r="J4116" s="27" t="str">
        <f aca="false">IF(OR(G4116="",G4116="?"),"",IFERROR(INDEX(Pubs!$G$2:$G$3001,MATCH(G4116,Pubs!$A$2:$A$3001,0))&amp;"",""))</f>
        <v/>
      </c>
      <c r="K4116" s="28" t="str">
        <f aca="false">IF(OR(G4116="",G4116="?"),"",IFERROR(INDEX(Pubs!$E$2:$E$3001,MATCH(G4116,Pubs!$A$2:$A$3001,0)),""))</f>
        <v/>
      </c>
      <c r="L4116" s="29" t="str">
        <f aca="false">IF(A4116="","",IFERROR(1/(1/INDEX(Numéros!$C$2:$C$3001,MATCH(A4116&amp;"|"&amp;B4116,Numéros!$F$2:$F$3001,0))),""))</f>
        <v/>
      </c>
      <c r="M4116" s="27" t="str">
        <f aca="false">IF(OR(G4116="",G4116="?"),"",IFERROR(INDEX(Pubs!$D$2:$D$3001,MATCH(G4116,Pubs!$A$2:$A$3001,0))&amp;"",""))</f>
        <v/>
      </c>
      <c r="N4116" s="27" t="n">
        <f aca="false">N(N4115)+IF(AND(A4116&lt;&gt;"",OR(Recherche!$C$4="",A4116=Recherche!$C$4),OR(Recherche!$C$5="",B4116&amp;""=Recherche!$C$5&amp;""),OR(Recherche!$C$6="",IFERROR(YEAR(L4116),0)=Recherche!$C$6),OR(Recherche!$C$7="",ISNUMBER(SEARCH(Recherche!$C$7,H4116))),OR(Recherche!$C$8="",J4116=Recherche!$C$8),OR(Recherche!$C$9="",I4116=Recherche!$C$9),OR(Recherche!$C$10="",G4116&amp;""=Recherche!$C$10&amp;""),OR(Recherche!$C$11="",E4116=Recherche!$C$11),OR(Recherche!$C$12="",ISNUMBER(SEARCH(Recherche!$C$12,M4116&amp;" "&amp;F4116)))),1,0)</f>
        <v>8</v>
      </c>
    </row>
    <row r="4117" customFormat="false" ht="15" hidden="false" customHeight="false" outlineLevel="0" collapsed="false">
      <c r="A4117" s="19"/>
      <c r="B4117" s="19"/>
      <c r="C4117" s="19"/>
      <c r="D4117" s="19"/>
      <c r="E4117" s="22"/>
      <c r="F4117" s="19"/>
      <c r="G4117" s="26" t="str">
        <f aca="false">IF(D4117="","",IFERROR(VALUE(LEFT(D4117,FIND(" |",D4117&amp;" |")-1)),"?"))</f>
        <v/>
      </c>
      <c r="H4117" s="27" t="str">
        <f aca="false">IF(G4117="","",IF(G4117="?","⚠ pub inconnue",IFERROR(INDEX(Pubs!$B$2:$B$3001,MATCH(G4117,Pubs!$A$2:$A$3001,0))&amp;"","⚠ pub inconnue")))</f>
        <v/>
      </c>
      <c r="I4117" s="27" t="str">
        <f aca="false">IF(OR(G4117="",G4117="?"),"",IFERROR(INDEX(Pubs!$C$2:$C$3001,MATCH(G4117,Pubs!$A$2:$A$3001,0))&amp;"",""))</f>
        <v/>
      </c>
      <c r="J4117" s="27" t="str">
        <f aca="false">IF(OR(G4117="",G4117="?"),"",IFERROR(INDEX(Pubs!$G$2:$G$3001,MATCH(G4117,Pubs!$A$2:$A$3001,0))&amp;"",""))</f>
        <v/>
      </c>
      <c r="K4117" s="28" t="str">
        <f aca="false">IF(OR(G4117="",G4117="?"),"",IFERROR(INDEX(Pubs!$E$2:$E$3001,MATCH(G4117,Pubs!$A$2:$A$3001,0)),""))</f>
        <v/>
      </c>
      <c r="L4117" s="29" t="str">
        <f aca="false">IF(A4117="","",IFERROR(1/(1/INDEX(Numéros!$C$2:$C$3001,MATCH(A4117&amp;"|"&amp;B4117,Numéros!$F$2:$F$3001,0))),""))</f>
        <v/>
      </c>
      <c r="M4117" s="27" t="str">
        <f aca="false">IF(OR(G4117="",G4117="?"),"",IFERROR(INDEX(Pubs!$D$2:$D$3001,MATCH(G4117,Pubs!$A$2:$A$3001,0))&amp;"",""))</f>
        <v/>
      </c>
      <c r="N4117" s="27" t="n">
        <f aca="false">N(N4116)+IF(AND(A4117&lt;&gt;"",OR(Recherche!$C$4="",A4117=Recherche!$C$4),OR(Recherche!$C$5="",B4117&amp;""=Recherche!$C$5&amp;""),OR(Recherche!$C$6="",IFERROR(YEAR(L4117),0)=Recherche!$C$6),OR(Recherche!$C$7="",ISNUMBER(SEARCH(Recherche!$C$7,H4117))),OR(Recherche!$C$8="",J4117=Recherche!$C$8),OR(Recherche!$C$9="",I4117=Recherche!$C$9),OR(Recherche!$C$10="",G4117&amp;""=Recherche!$C$10&amp;""),OR(Recherche!$C$11="",E4117=Recherche!$C$11),OR(Recherche!$C$12="",ISNUMBER(SEARCH(Recherche!$C$12,M4117&amp;" "&amp;F4117)))),1,0)</f>
        <v>8</v>
      </c>
    </row>
    <row r="4118" customFormat="false" ht="15" hidden="false" customHeight="false" outlineLevel="0" collapsed="false">
      <c r="A4118" s="19"/>
      <c r="B4118" s="19"/>
      <c r="C4118" s="19"/>
      <c r="D4118" s="19"/>
      <c r="E4118" s="22"/>
      <c r="F4118" s="19"/>
      <c r="G4118" s="26" t="str">
        <f aca="false">IF(D4118="","",IFERROR(VALUE(LEFT(D4118,FIND(" |",D4118&amp;" |")-1)),"?"))</f>
        <v/>
      </c>
      <c r="H4118" s="27" t="str">
        <f aca="false">IF(G4118="","",IF(G4118="?","⚠ pub inconnue",IFERROR(INDEX(Pubs!$B$2:$B$3001,MATCH(G4118,Pubs!$A$2:$A$3001,0))&amp;"","⚠ pub inconnue")))</f>
        <v/>
      </c>
      <c r="I4118" s="27" t="str">
        <f aca="false">IF(OR(G4118="",G4118="?"),"",IFERROR(INDEX(Pubs!$C$2:$C$3001,MATCH(G4118,Pubs!$A$2:$A$3001,0))&amp;"",""))</f>
        <v/>
      </c>
      <c r="J4118" s="27" t="str">
        <f aca="false">IF(OR(G4118="",G4118="?"),"",IFERROR(INDEX(Pubs!$G$2:$G$3001,MATCH(G4118,Pubs!$A$2:$A$3001,0))&amp;"",""))</f>
        <v/>
      </c>
      <c r="K4118" s="28" t="str">
        <f aca="false">IF(OR(G4118="",G4118="?"),"",IFERROR(INDEX(Pubs!$E$2:$E$3001,MATCH(G4118,Pubs!$A$2:$A$3001,0)),""))</f>
        <v/>
      </c>
      <c r="L4118" s="29" t="str">
        <f aca="false">IF(A4118="","",IFERROR(1/(1/INDEX(Numéros!$C$2:$C$3001,MATCH(A4118&amp;"|"&amp;B4118,Numéros!$F$2:$F$3001,0))),""))</f>
        <v/>
      </c>
      <c r="M4118" s="27" t="str">
        <f aca="false">IF(OR(G4118="",G4118="?"),"",IFERROR(INDEX(Pubs!$D$2:$D$3001,MATCH(G4118,Pubs!$A$2:$A$3001,0))&amp;"",""))</f>
        <v/>
      </c>
      <c r="N4118" s="27" t="n">
        <f aca="false">N(N4117)+IF(AND(A4118&lt;&gt;"",OR(Recherche!$C$4="",A4118=Recherche!$C$4),OR(Recherche!$C$5="",B4118&amp;""=Recherche!$C$5&amp;""),OR(Recherche!$C$6="",IFERROR(YEAR(L4118),0)=Recherche!$C$6),OR(Recherche!$C$7="",ISNUMBER(SEARCH(Recherche!$C$7,H4118))),OR(Recherche!$C$8="",J4118=Recherche!$C$8),OR(Recherche!$C$9="",I4118=Recherche!$C$9),OR(Recherche!$C$10="",G4118&amp;""=Recherche!$C$10&amp;""),OR(Recherche!$C$11="",E4118=Recherche!$C$11),OR(Recherche!$C$12="",ISNUMBER(SEARCH(Recherche!$C$12,M4118&amp;" "&amp;F4118)))),1,0)</f>
        <v>8</v>
      </c>
    </row>
    <row r="4119" customFormat="false" ht="15" hidden="false" customHeight="false" outlineLevel="0" collapsed="false">
      <c r="A4119" s="19"/>
      <c r="B4119" s="19"/>
      <c r="C4119" s="19"/>
      <c r="D4119" s="19"/>
      <c r="E4119" s="22"/>
      <c r="F4119" s="19"/>
      <c r="G4119" s="26" t="str">
        <f aca="false">IF(D4119="","",IFERROR(VALUE(LEFT(D4119,FIND(" |",D4119&amp;" |")-1)),"?"))</f>
        <v/>
      </c>
      <c r="H4119" s="27" t="str">
        <f aca="false">IF(G4119="","",IF(G4119="?","⚠ pub inconnue",IFERROR(INDEX(Pubs!$B$2:$B$3001,MATCH(G4119,Pubs!$A$2:$A$3001,0))&amp;"","⚠ pub inconnue")))</f>
        <v/>
      </c>
      <c r="I4119" s="27" t="str">
        <f aca="false">IF(OR(G4119="",G4119="?"),"",IFERROR(INDEX(Pubs!$C$2:$C$3001,MATCH(G4119,Pubs!$A$2:$A$3001,0))&amp;"",""))</f>
        <v/>
      </c>
      <c r="J4119" s="27" t="str">
        <f aca="false">IF(OR(G4119="",G4119="?"),"",IFERROR(INDEX(Pubs!$G$2:$G$3001,MATCH(G4119,Pubs!$A$2:$A$3001,0))&amp;"",""))</f>
        <v/>
      </c>
      <c r="K4119" s="28" t="str">
        <f aca="false">IF(OR(G4119="",G4119="?"),"",IFERROR(INDEX(Pubs!$E$2:$E$3001,MATCH(G4119,Pubs!$A$2:$A$3001,0)),""))</f>
        <v/>
      </c>
      <c r="L4119" s="29" t="str">
        <f aca="false">IF(A4119="","",IFERROR(1/(1/INDEX(Numéros!$C$2:$C$3001,MATCH(A4119&amp;"|"&amp;B4119,Numéros!$F$2:$F$3001,0))),""))</f>
        <v/>
      </c>
      <c r="M4119" s="27" t="str">
        <f aca="false">IF(OR(G4119="",G4119="?"),"",IFERROR(INDEX(Pubs!$D$2:$D$3001,MATCH(G4119,Pubs!$A$2:$A$3001,0))&amp;"",""))</f>
        <v/>
      </c>
      <c r="N4119" s="27" t="n">
        <f aca="false">N(N4118)+IF(AND(A4119&lt;&gt;"",OR(Recherche!$C$4="",A4119=Recherche!$C$4),OR(Recherche!$C$5="",B4119&amp;""=Recherche!$C$5&amp;""),OR(Recherche!$C$6="",IFERROR(YEAR(L4119),0)=Recherche!$C$6),OR(Recherche!$C$7="",ISNUMBER(SEARCH(Recherche!$C$7,H4119))),OR(Recherche!$C$8="",J4119=Recherche!$C$8),OR(Recherche!$C$9="",I4119=Recherche!$C$9),OR(Recherche!$C$10="",G4119&amp;""=Recherche!$C$10&amp;""),OR(Recherche!$C$11="",E4119=Recherche!$C$11),OR(Recherche!$C$12="",ISNUMBER(SEARCH(Recherche!$C$12,M4119&amp;" "&amp;F4119)))),1,0)</f>
        <v>8</v>
      </c>
    </row>
    <row r="4120" customFormat="false" ht="15" hidden="false" customHeight="false" outlineLevel="0" collapsed="false">
      <c r="A4120" s="19"/>
      <c r="B4120" s="19"/>
      <c r="C4120" s="19"/>
      <c r="D4120" s="19"/>
      <c r="E4120" s="22"/>
      <c r="F4120" s="19"/>
      <c r="G4120" s="26" t="str">
        <f aca="false">IF(D4120="","",IFERROR(VALUE(LEFT(D4120,FIND(" |",D4120&amp;" |")-1)),"?"))</f>
        <v/>
      </c>
      <c r="H4120" s="27" t="str">
        <f aca="false">IF(G4120="","",IF(G4120="?","⚠ pub inconnue",IFERROR(INDEX(Pubs!$B$2:$B$3001,MATCH(G4120,Pubs!$A$2:$A$3001,0))&amp;"","⚠ pub inconnue")))</f>
        <v/>
      </c>
      <c r="I4120" s="27" t="str">
        <f aca="false">IF(OR(G4120="",G4120="?"),"",IFERROR(INDEX(Pubs!$C$2:$C$3001,MATCH(G4120,Pubs!$A$2:$A$3001,0))&amp;"",""))</f>
        <v/>
      </c>
      <c r="J4120" s="27" t="str">
        <f aca="false">IF(OR(G4120="",G4120="?"),"",IFERROR(INDEX(Pubs!$G$2:$G$3001,MATCH(G4120,Pubs!$A$2:$A$3001,0))&amp;"",""))</f>
        <v/>
      </c>
      <c r="K4120" s="28" t="str">
        <f aca="false">IF(OR(G4120="",G4120="?"),"",IFERROR(INDEX(Pubs!$E$2:$E$3001,MATCH(G4120,Pubs!$A$2:$A$3001,0)),""))</f>
        <v/>
      </c>
      <c r="L4120" s="29" t="str">
        <f aca="false">IF(A4120="","",IFERROR(1/(1/INDEX(Numéros!$C$2:$C$3001,MATCH(A4120&amp;"|"&amp;B4120,Numéros!$F$2:$F$3001,0))),""))</f>
        <v/>
      </c>
      <c r="M4120" s="27" t="str">
        <f aca="false">IF(OR(G4120="",G4120="?"),"",IFERROR(INDEX(Pubs!$D$2:$D$3001,MATCH(G4120,Pubs!$A$2:$A$3001,0))&amp;"",""))</f>
        <v/>
      </c>
      <c r="N4120" s="27" t="n">
        <f aca="false">N(N4119)+IF(AND(A4120&lt;&gt;"",OR(Recherche!$C$4="",A4120=Recherche!$C$4),OR(Recherche!$C$5="",B4120&amp;""=Recherche!$C$5&amp;""),OR(Recherche!$C$6="",IFERROR(YEAR(L4120),0)=Recherche!$C$6),OR(Recherche!$C$7="",ISNUMBER(SEARCH(Recherche!$C$7,H4120))),OR(Recherche!$C$8="",J4120=Recherche!$C$8),OR(Recherche!$C$9="",I4120=Recherche!$C$9),OR(Recherche!$C$10="",G4120&amp;""=Recherche!$C$10&amp;""),OR(Recherche!$C$11="",E4120=Recherche!$C$11),OR(Recherche!$C$12="",ISNUMBER(SEARCH(Recherche!$C$12,M4120&amp;" "&amp;F4120)))),1,0)</f>
        <v>8</v>
      </c>
    </row>
    <row r="4121" customFormat="false" ht="15" hidden="false" customHeight="false" outlineLevel="0" collapsed="false">
      <c r="A4121" s="19"/>
      <c r="B4121" s="19"/>
      <c r="C4121" s="19"/>
      <c r="D4121" s="19"/>
      <c r="E4121" s="22"/>
      <c r="F4121" s="19"/>
      <c r="G4121" s="26" t="str">
        <f aca="false">IF(D4121="","",IFERROR(VALUE(LEFT(D4121,FIND(" |",D4121&amp;" |")-1)),"?"))</f>
        <v/>
      </c>
      <c r="H4121" s="27" t="str">
        <f aca="false">IF(G4121="","",IF(G4121="?","⚠ pub inconnue",IFERROR(INDEX(Pubs!$B$2:$B$3001,MATCH(G4121,Pubs!$A$2:$A$3001,0))&amp;"","⚠ pub inconnue")))</f>
        <v/>
      </c>
      <c r="I4121" s="27" t="str">
        <f aca="false">IF(OR(G4121="",G4121="?"),"",IFERROR(INDEX(Pubs!$C$2:$C$3001,MATCH(G4121,Pubs!$A$2:$A$3001,0))&amp;"",""))</f>
        <v/>
      </c>
      <c r="J4121" s="27" t="str">
        <f aca="false">IF(OR(G4121="",G4121="?"),"",IFERROR(INDEX(Pubs!$G$2:$G$3001,MATCH(G4121,Pubs!$A$2:$A$3001,0))&amp;"",""))</f>
        <v/>
      </c>
      <c r="K4121" s="28" t="str">
        <f aca="false">IF(OR(G4121="",G4121="?"),"",IFERROR(INDEX(Pubs!$E$2:$E$3001,MATCH(G4121,Pubs!$A$2:$A$3001,0)),""))</f>
        <v/>
      </c>
      <c r="L4121" s="29" t="str">
        <f aca="false">IF(A4121="","",IFERROR(1/(1/INDEX(Numéros!$C$2:$C$3001,MATCH(A4121&amp;"|"&amp;B4121,Numéros!$F$2:$F$3001,0))),""))</f>
        <v/>
      </c>
      <c r="M4121" s="27" t="str">
        <f aca="false">IF(OR(G4121="",G4121="?"),"",IFERROR(INDEX(Pubs!$D$2:$D$3001,MATCH(G4121,Pubs!$A$2:$A$3001,0))&amp;"",""))</f>
        <v/>
      </c>
      <c r="N4121" s="27" t="n">
        <f aca="false">N(N4120)+IF(AND(A4121&lt;&gt;"",OR(Recherche!$C$4="",A4121=Recherche!$C$4),OR(Recherche!$C$5="",B4121&amp;""=Recherche!$C$5&amp;""),OR(Recherche!$C$6="",IFERROR(YEAR(L4121),0)=Recherche!$C$6),OR(Recherche!$C$7="",ISNUMBER(SEARCH(Recherche!$C$7,H4121))),OR(Recherche!$C$8="",J4121=Recherche!$C$8),OR(Recherche!$C$9="",I4121=Recherche!$C$9),OR(Recherche!$C$10="",G4121&amp;""=Recherche!$C$10&amp;""),OR(Recherche!$C$11="",E4121=Recherche!$C$11),OR(Recherche!$C$12="",ISNUMBER(SEARCH(Recherche!$C$12,M4121&amp;" "&amp;F4121)))),1,0)</f>
        <v>8</v>
      </c>
    </row>
    <row r="4122" customFormat="false" ht="15" hidden="false" customHeight="false" outlineLevel="0" collapsed="false">
      <c r="A4122" s="19"/>
      <c r="B4122" s="19"/>
      <c r="C4122" s="19"/>
      <c r="D4122" s="19"/>
      <c r="E4122" s="22"/>
      <c r="F4122" s="19"/>
      <c r="G4122" s="26" t="str">
        <f aca="false">IF(D4122="","",IFERROR(VALUE(LEFT(D4122,FIND(" |",D4122&amp;" |")-1)),"?"))</f>
        <v/>
      </c>
      <c r="H4122" s="27" t="str">
        <f aca="false">IF(G4122="","",IF(G4122="?","⚠ pub inconnue",IFERROR(INDEX(Pubs!$B$2:$B$3001,MATCH(G4122,Pubs!$A$2:$A$3001,0))&amp;"","⚠ pub inconnue")))</f>
        <v/>
      </c>
      <c r="I4122" s="27" t="str">
        <f aca="false">IF(OR(G4122="",G4122="?"),"",IFERROR(INDEX(Pubs!$C$2:$C$3001,MATCH(G4122,Pubs!$A$2:$A$3001,0))&amp;"",""))</f>
        <v/>
      </c>
      <c r="J4122" s="27" t="str">
        <f aca="false">IF(OR(G4122="",G4122="?"),"",IFERROR(INDEX(Pubs!$G$2:$G$3001,MATCH(G4122,Pubs!$A$2:$A$3001,0))&amp;"",""))</f>
        <v/>
      </c>
      <c r="K4122" s="28" t="str">
        <f aca="false">IF(OR(G4122="",G4122="?"),"",IFERROR(INDEX(Pubs!$E$2:$E$3001,MATCH(G4122,Pubs!$A$2:$A$3001,0)),""))</f>
        <v/>
      </c>
      <c r="L4122" s="29" t="str">
        <f aca="false">IF(A4122="","",IFERROR(1/(1/INDEX(Numéros!$C$2:$C$3001,MATCH(A4122&amp;"|"&amp;B4122,Numéros!$F$2:$F$3001,0))),""))</f>
        <v/>
      </c>
      <c r="M4122" s="27" t="str">
        <f aca="false">IF(OR(G4122="",G4122="?"),"",IFERROR(INDEX(Pubs!$D$2:$D$3001,MATCH(G4122,Pubs!$A$2:$A$3001,0))&amp;"",""))</f>
        <v/>
      </c>
      <c r="N4122" s="27" t="n">
        <f aca="false">N(N4121)+IF(AND(A4122&lt;&gt;"",OR(Recherche!$C$4="",A4122=Recherche!$C$4),OR(Recherche!$C$5="",B4122&amp;""=Recherche!$C$5&amp;""),OR(Recherche!$C$6="",IFERROR(YEAR(L4122),0)=Recherche!$C$6),OR(Recherche!$C$7="",ISNUMBER(SEARCH(Recherche!$C$7,H4122))),OR(Recherche!$C$8="",J4122=Recherche!$C$8),OR(Recherche!$C$9="",I4122=Recherche!$C$9),OR(Recherche!$C$10="",G4122&amp;""=Recherche!$C$10&amp;""),OR(Recherche!$C$11="",E4122=Recherche!$C$11),OR(Recherche!$C$12="",ISNUMBER(SEARCH(Recherche!$C$12,M4122&amp;" "&amp;F4122)))),1,0)</f>
        <v>8</v>
      </c>
    </row>
    <row r="4123" customFormat="false" ht="15" hidden="false" customHeight="false" outlineLevel="0" collapsed="false">
      <c r="A4123" s="19"/>
      <c r="B4123" s="19"/>
      <c r="C4123" s="19"/>
      <c r="D4123" s="19"/>
      <c r="E4123" s="22"/>
      <c r="F4123" s="19"/>
      <c r="G4123" s="26" t="str">
        <f aca="false">IF(D4123="","",IFERROR(VALUE(LEFT(D4123,FIND(" |",D4123&amp;" |")-1)),"?"))</f>
        <v/>
      </c>
      <c r="H4123" s="27" t="str">
        <f aca="false">IF(G4123="","",IF(G4123="?","⚠ pub inconnue",IFERROR(INDEX(Pubs!$B$2:$B$3001,MATCH(G4123,Pubs!$A$2:$A$3001,0))&amp;"","⚠ pub inconnue")))</f>
        <v/>
      </c>
      <c r="I4123" s="27" t="str">
        <f aca="false">IF(OR(G4123="",G4123="?"),"",IFERROR(INDEX(Pubs!$C$2:$C$3001,MATCH(G4123,Pubs!$A$2:$A$3001,0))&amp;"",""))</f>
        <v/>
      </c>
      <c r="J4123" s="27" t="str">
        <f aca="false">IF(OR(G4123="",G4123="?"),"",IFERROR(INDEX(Pubs!$G$2:$G$3001,MATCH(G4123,Pubs!$A$2:$A$3001,0))&amp;"",""))</f>
        <v/>
      </c>
      <c r="K4123" s="28" t="str">
        <f aca="false">IF(OR(G4123="",G4123="?"),"",IFERROR(INDEX(Pubs!$E$2:$E$3001,MATCH(G4123,Pubs!$A$2:$A$3001,0)),""))</f>
        <v/>
      </c>
      <c r="L4123" s="29" t="str">
        <f aca="false">IF(A4123="","",IFERROR(1/(1/INDEX(Numéros!$C$2:$C$3001,MATCH(A4123&amp;"|"&amp;B4123,Numéros!$F$2:$F$3001,0))),""))</f>
        <v/>
      </c>
      <c r="M4123" s="27" t="str">
        <f aca="false">IF(OR(G4123="",G4123="?"),"",IFERROR(INDEX(Pubs!$D$2:$D$3001,MATCH(G4123,Pubs!$A$2:$A$3001,0))&amp;"",""))</f>
        <v/>
      </c>
      <c r="N4123" s="27" t="n">
        <f aca="false">N(N4122)+IF(AND(A4123&lt;&gt;"",OR(Recherche!$C$4="",A4123=Recherche!$C$4),OR(Recherche!$C$5="",B4123&amp;""=Recherche!$C$5&amp;""),OR(Recherche!$C$6="",IFERROR(YEAR(L4123),0)=Recherche!$C$6),OR(Recherche!$C$7="",ISNUMBER(SEARCH(Recherche!$C$7,H4123))),OR(Recherche!$C$8="",J4123=Recherche!$C$8),OR(Recherche!$C$9="",I4123=Recherche!$C$9),OR(Recherche!$C$10="",G4123&amp;""=Recherche!$C$10&amp;""),OR(Recherche!$C$11="",E4123=Recherche!$C$11),OR(Recherche!$C$12="",ISNUMBER(SEARCH(Recherche!$C$12,M4123&amp;" "&amp;F4123)))),1,0)</f>
        <v>8</v>
      </c>
    </row>
    <row r="4124" customFormat="false" ht="15" hidden="false" customHeight="false" outlineLevel="0" collapsed="false">
      <c r="A4124" s="19"/>
      <c r="B4124" s="19"/>
      <c r="C4124" s="19"/>
      <c r="D4124" s="19"/>
      <c r="E4124" s="22"/>
      <c r="F4124" s="19"/>
      <c r="G4124" s="26" t="str">
        <f aca="false">IF(D4124="","",IFERROR(VALUE(LEFT(D4124,FIND(" |",D4124&amp;" |")-1)),"?"))</f>
        <v/>
      </c>
      <c r="H4124" s="27" t="str">
        <f aca="false">IF(G4124="","",IF(G4124="?","⚠ pub inconnue",IFERROR(INDEX(Pubs!$B$2:$B$3001,MATCH(G4124,Pubs!$A$2:$A$3001,0))&amp;"","⚠ pub inconnue")))</f>
        <v/>
      </c>
      <c r="I4124" s="27" t="str">
        <f aca="false">IF(OR(G4124="",G4124="?"),"",IFERROR(INDEX(Pubs!$C$2:$C$3001,MATCH(G4124,Pubs!$A$2:$A$3001,0))&amp;"",""))</f>
        <v/>
      </c>
      <c r="J4124" s="27" t="str">
        <f aca="false">IF(OR(G4124="",G4124="?"),"",IFERROR(INDEX(Pubs!$G$2:$G$3001,MATCH(G4124,Pubs!$A$2:$A$3001,0))&amp;"",""))</f>
        <v/>
      </c>
      <c r="K4124" s="28" t="str">
        <f aca="false">IF(OR(G4124="",G4124="?"),"",IFERROR(INDEX(Pubs!$E$2:$E$3001,MATCH(G4124,Pubs!$A$2:$A$3001,0)),""))</f>
        <v/>
      </c>
      <c r="L4124" s="29" t="str">
        <f aca="false">IF(A4124="","",IFERROR(1/(1/INDEX(Numéros!$C$2:$C$3001,MATCH(A4124&amp;"|"&amp;B4124,Numéros!$F$2:$F$3001,0))),""))</f>
        <v/>
      </c>
      <c r="M4124" s="27" t="str">
        <f aca="false">IF(OR(G4124="",G4124="?"),"",IFERROR(INDEX(Pubs!$D$2:$D$3001,MATCH(G4124,Pubs!$A$2:$A$3001,0))&amp;"",""))</f>
        <v/>
      </c>
      <c r="N4124" s="27" t="n">
        <f aca="false">N(N4123)+IF(AND(A4124&lt;&gt;"",OR(Recherche!$C$4="",A4124=Recherche!$C$4),OR(Recherche!$C$5="",B4124&amp;""=Recherche!$C$5&amp;""),OR(Recherche!$C$6="",IFERROR(YEAR(L4124),0)=Recherche!$C$6),OR(Recherche!$C$7="",ISNUMBER(SEARCH(Recherche!$C$7,H4124))),OR(Recherche!$C$8="",J4124=Recherche!$C$8),OR(Recherche!$C$9="",I4124=Recherche!$C$9),OR(Recherche!$C$10="",G4124&amp;""=Recherche!$C$10&amp;""),OR(Recherche!$C$11="",E4124=Recherche!$C$11),OR(Recherche!$C$12="",ISNUMBER(SEARCH(Recherche!$C$12,M4124&amp;" "&amp;F4124)))),1,0)</f>
        <v>8</v>
      </c>
    </row>
    <row r="4125" customFormat="false" ht="15" hidden="false" customHeight="false" outlineLevel="0" collapsed="false">
      <c r="A4125" s="19"/>
      <c r="B4125" s="19"/>
      <c r="C4125" s="19"/>
      <c r="D4125" s="19"/>
      <c r="E4125" s="22"/>
      <c r="F4125" s="19"/>
      <c r="G4125" s="26" t="str">
        <f aca="false">IF(D4125="","",IFERROR(VALUE(LEFT(D4125,FIND(" |",D4125&amp;" |")-1)),"?"))</f>
        <v/>
      </c>
      <c r="H4125" s="27" t="str">
        <f aca="false">IF(G4125="","",IF(G4125="?","⚠ pub inconnue",IFERROR(INDEX(Pubs!$B$2:$B$3001,MATCH(G4125,Pubs!$A$2:$A$3001,0))&amp;"","⚠ pub inconnue")))</f>
        <v/>
      </c>
      <c r="I4125" s="27" t="str">
        <f aca="false">IF(OR(G4125="",G4125="?"),"",IFERROR(INDEX(Pubs!$C$2:$C$3001,MATCH(G4125,Pubs!$A$2:$A$3001,0))&amp;"",""))</f>
        <v/>
      </c>
      <c r="J4125" s="27" t="str">
        <f aca="false">IF(OR(G4125="",G4125="?"),"",IFERROR(INDEX(Pubs!$G$2:$G$3001,MATCH(G4125,Pubs!$A$2:$A$3001,0))&amp;"",""))</f>
        <v/>
      </c>
      <c r="K4125" s="28" t="str">
        <f aca="false">IF(OR(G4125="",G4125="?"),"",IFERROR(INDEX(Pubs!$E$2:$E$3001,MATCH(G4125,Pubs!$A$2:$A$3001,0)),""))</f>
        <v/>
      </c>
      <c r="L4125" s="29" t="str">
        <f aca="false">IF(A4125="","",IFERROR(1/(1/INDEX(Numéros!$C$2:$C$3001,MATCH(A4125&amp;"|"&amp;B4125,Numéros!$F$2:$F$3001,0))),""))</f>
        <v/>
      </c>
      <c r="M4125" s="27" t="str">
        <f aca="false">IF(OR(G4125="",G4125="?"),"",IFERROR(INDEX(Pubs!$D$2:$D$3001,MATCH(G4125,Pubs!$A$2:$A$3001,0))&amp;"",""))</f>
        <v/>
      </c>
      <c r="N4125" s="27" t="n">
        <f aca="false">N(N4124)+IF(AND(A4125&lt;&gt;"",OR(Recherche!$C$4="",A4125=Recherche!$C$4),OR(Recherche!$C$5="",B4125&amp;""=Recherche!$C$5&amp;""),OR(Recherche!$C$6="",IFERROR(YEAR(L4125),0)=Recherche!$C$6),OR(Recherche!$C$7="",ISNUMBER(SEARCH(Recherche!$C$7,H4125))),OR(Recherche!$C$8="",J4125=Recherche!$C$8),OR(Recherche!$C$9="",I4125=Recherche!$C$9),OR(Recherche!$C$10="",G4125&amp;""=Recherche!$C$10&amp;""),OR(Recherche!$C$11="",E4125=Recherche!$C$11),OR(Recherche!$C$12="",ISNUMBER(SEARCH(Recherche!$C$12,M4125&amp;" "&amp;F4125)))),1,0)</f>
        <v>8</v>
      </c>
    </row>
    <row r="4126" customFormat="false" ht="15" hidden="false" customHeight="false" outlineLevel="0" collapsed="false">
      <c r="A4126" s="19"/>
      <c r="B4126" s="19"/>
      <c r="C4126" s="19"/>
      <c r="D4126" s="19"/>
      <c r="E4126" s="22"/>
      <c r="F4126" s="19"/>
      <c r="G4126" s="26" t="str">
        <f aca="false">IF(D4126="","",IFERROR(VALUE(LEFT(D4126,FIND(" |",D4126&amp;" |")-1)),"?"))</f>
        <v/>
      </c>
      <c r="H4126" s="27" t="str">
        <f aca="false">IF(G4126="","",IF(G4126="?","⚠ pub inconnue",IFERROR(INDEX(Pubs!$B$2:$B$3001,MATCH(G4126,Pubs!$A$2:$A$3001,0))&amp;"","⚠ pub inconnue")))</f>
        <v/>
      </c>
      <c r="I4126" s="27" t="str">
        <f aca="false">IF(OR(G4126="",G4126="?"),"",IFERROR(INDEX(Pubs!$C$2:$C$3001,MATCH(G4126,Pubs!$A$2:$A$3001,0))&amp;"",""))</f>
        <v/>
      </c>
      <c r="J4126" s="27" t="str">
        <f aca="false">IF(OR(G4126="",G4126="?"),"",IFERROR(INDEX(Pubs!$G$2:$G$3001,MATCH(G4126,Pubs!$A$2:$A$3001,0))&amp;"",""))</f>
        <v/>
      </c>
      <c r="K4126" s="28" t="str">
        <f aca="false">IF(OR(G4126="",G4126="?"),"",IFERROR(INDEX(Pubs!$E$2:$E$3001,MATCH(G4126,Pubs!$A$2:$A$3001,0)),""))</f>
        <v/>
      </c>
      <c r="L4126" s="29" t="str">
        <f aca="false">IF(A4126="","",IFERROR(1/(1/INDEX(Numéros!$C$2:$C$3001,MATCH(A4126&amp;"|"&amp;B4126,Numéros!$F$2:$F$3001,0))),""))</f>
        <v/>
      </c>
      <c r="M4126" s="27" t="str">
        <f aca="false">IF(OR(G4126="",G4126="?"),"",IFERROR(INDEX(Pubs!$D$2:$D$3001,MATCH(G4126,Pubs!$A$2:$A$3001,0))&amp;"",""))</f>
        <v/>
      </c>
      <c r="N4126" s="27" t="n">
        <f aca="false">N(N4125)+IF(AND(A4126&lt;&gt;"",OR(Recherche!$C$4="",A4126=Recherche!$C$4),OR(Recherche!$C$5="",B4126&amp;""=Recherche!$C$5&amp;""),OR(Recherche!$C$6="",IFERROR(YEAR(L4126),0)=Recherche!$C$6),OR(Recherche!$C$7="",ISNUMBER(SEARCH(Recherche!$C$7,H4126))),OR(Recherche!$C$8="",J4126=Recherche!$C$8),OR(Recherche!$C$9="",I4126=Recherche!$C$9),OR(Recherche!$C$10="",G4126&amp;""=Recherche!$C$10&amp;""),OR(Recherche!$C$11="",E4126=Recherche!$C$11),OR(Recherche!$C$12="",ISNUMBER(SEARCH(Recherche!$C$12,M4126&amp;" "&amp;F4126)))),1,0)</f>
        <v>8</v>
      </c>
    </row>
    <row r="4127" customFormat="false" ht="15" hidden="false" customHeight="false" outlineLevel="0" collapsed="false">
      <c r="A4127" s="19"/>
      <c r="B4127" s="19"/>
      <c r="C4127" s="19"/>
      <c r="D4127" s="19"/>
      <c r="E4127" s="22"/>
      <c r="F4127" s="19"/>
      <c r="G4127" s="26" t="str">
        <f aca="false">IF(D4127="","",IFERROR(VALUE(LEFT(D4127,FIND(" |",D4127&amp;" |")-1)),"?"))</f>
        <v/>
      </c>
      <c r="H4127" s="27" t="str">
        <f aca="false">IF(G4127="","",IF(G4127="?","⚠ pub inconnue",IFERROR(INDEX(Pubs!$B$2:$B$3001,MATCH(G4127,Pubs!$A$2:$A$3001,0))&amp;"","⚠ pub inconnue")))</f>
        <v/>
      </c>
      <c r="I4127" s="27" t="str">
        <f aca="false">IF(OR(G4127="",G4127="?"),"",IFERROR(INDEX(Pubs!$C$2:$C$3001,MATCH(G4127,Pubs!$A$2:$A$3001,0))&amp;"",""))</f>
        <v/>
      </c>
      <c r="J4127" s="27" t="str">
        <f aca="false">IF(OR(G4127="",G4127="?"),"",IFERROR(INDEX(Pubs!$G$2:$G$3001,MATCH(G4127,Pubs!$A$2:$A$3001,0))&amp;"",""))</f>
        <v/>
      </c>
      <c r="K4127" s="28" t="str">
        <f aca="false">IF(OR(G4127="",G4127="?"),"",IFERROR(INDEX(Pubs!$E$2:$E$3001,MATCH(G4127,Pubs!$A$2:$A$3001,0)),""))</f>
        <v/>
      </c>
      <c r="L4127" s="29" t="str">
        <f aca="false">IF(A4127="","",IFERROR(1/(1/INDEX(Numéros!$C$2:$C$3001,MATCH(A4127&amp;"|"&amp;B4127,Numéros!$F$2:$F$3001,0))),""))</f>
        <v/>
      </c>
      <c r="M4127" s="27" t="str">
        <f aca="false">IF(OR(G4127="",G4127="?"),"",IFERROR(INDEX(Pubs!$D$2:$D$3001,MATCH(G4127,Pubs!$A$2:$A$3001,0))&amp;"",""))</f>
        <v/>
      </c>
      <c r="N4127" s="27" t="n">
        <f aca="false">N(N4126)+IF(AND(A4127&lt;&gt;"",OR(Recherche!$C$4="",A4127=Recherche!$C$4),OR(Recherche!$C$5="",B4127&amp;""=Recherche!$C$5&amp;""),OR(Recherche!$C$6="",IFERROR(YEAR(L4127),0)=Recherche!$C$6),OR(Recherche!$C$7="",ISNUMBER(SEARCH(Recherche!$C$7,H4127))),OR(Recherche!$C$8="",J4127=Recherche!$C$8),OR(Recherche!$C$9="",I4127=Recherche!$C$9),OR(Recherche!$C$10="",G4127&amp;""=Recherche!$C$10&amp;""),OR(Recherche!$C$11="",E4127=Recherche!$C$11),OR(Recherche!$C$12="",ISNUMBER(SEARCH(Recherche!$C$12,M4127&amp;" "&amp;F4127)))),1,0)</f>
        <v>8</v>
      </c>
    </row>
    <row r="4128" customFormat="false" ht="15" hidden="false" customHeight="false" outlineLevel="0" collapsed="false">
      <c r="A4128" s="19"/>
      <c r="B4128" s="19"/>
      <c r="C4128" s="19"/>
      <c r="D4128" s="19"/>
      <c r="E4128" s="22"/>
      <c r="F4128" s="19"/>
      <c r="G4128" s="26" t="str">
        <f aca="false">IF(D4128="","",IFERROR(VALUE(LEFT(D4128,FIND(" |",D4128&amp;" |")-1)),"?"))</f>
        <v/>
      </c>
      <c r="H4128" s="27" t="str">
        <f aca="false">IF(G4128="","",IF(G4128="?","⚠ pub inconnue",IFERROR(INDEX(Pubs!$B$2:$B$3001,MATCH(G4128,Pubs!$A$2:$A$3001,0))&amp;"","⚠ pub inconnue")))</f>
        <v/>
      </c>
      <c r="I4128" s="27" t="str">
        <f aca="false">IF(OR(G4128="",G4128="?"),"",IFERROR(INDEX(Pubs!$C$2:$C$3001,MATCH(G4128,Pubs!$A$2:$A$3001,0))&amp;"",""))</f>
        <v/>
      </c>
      <c r="J4128" s="27" t="str">
        <f aca="false">IF(OR(G4128="",G4128="?"),"",IFERROR(INDEX(Pubs!$G$2:$G$3001,MATCH(G4128,Pubs!$A$2:$A$3001,0))&amp;"",""))</f>
        <v/>
      </c>
      <c r="K4128" s="28" t="str">
        <f aca="false">IF(OR(G4128="",G4128="?"),"",IFERROR(INDEX(Pubs!$E$2:$E$3001,MATCH(G4128,Pubs!$A$2:$A$3001,0)),""))</f>
        <v/>
      </c>
      <c r="L4128" s="29" t="str">
        <f aca="false">IF(A4128="","",IFERROR(1/(1/INDEX(Numéros!$C$2:$C$3001,MATCH(A4128&amp;"|"&amp;B4128,Numéros!$F$2:$F$3001,0))),""))</f>
        <v/>
      </c>
      <c r="M4128" s="27" t="str">
        <f aca="false">IF(OR(G4128="",G4128="?"),"",IFERROR(INDEX(Pubs!$D$2:$D$3001,MATCH(G4128,Pubs!$A$2:$A$3001,0))&amp;"",""))</f>
        <v/>
      </c>
      <c r="N4128" s="27" t="n">
        <f aca="false">N(N4127)+IF(AND(A4128&lt;&gt;"",OR(Recherche!$C$4="",A4128=Recherche!$C$4),OR(Recherche!$C$5="",B4128&amp;""=Recherche!$C$5&amp;""),OR(Recherche!$C$6="",IFERROR(YEAR(L4128),0)=Recherche!$C$6),OR(Recherche!$C$7="",ISNUMBER(SEARCH(Recherche!$C$7,H4128))),OR(Recherche!$C$8="",J4128=Recherche!$C$8),OR(Recherche!$C$9="",I4128=Recherche!$C$9),OR(Recherche!$C$10="",G4128&amp;""=Recherche!$C$10&amp;""),OR(Recherche!$C$11="",E4128=Recherche!$C$11),OR(Recherche!$C$12="",ISNUMBER(SEARCH(Recherche!$C$12,M4128&amp;" "&amp;F4128)))),1,0)</f>
        <v>8</v>
      </c>
    </row>
    <row r="4129" customFormat="false" ht="15" hidden="false" customHeight="false" outlineLevel="0" collapsed="false">
      <c r="A4129" s="19"/>
      <c r="B4129" s="19"/>
      <c r="C4129" s="19"/>
      <c r="D4129" s="19"/>
      <c r="E4129" s="22"/>
      <c r="F4129" s="19"/>
      <c r="G4129" s="26" t="str">
        <f aca="false">IF(D4129="","",IFERROR(VALUE(LEFT(D4129,FIND(" |",D4129&amp;" |")-1)),"?"))</f>
        <v/>
      </c>
      <c r="H4129" s="27" t="str">
        <f aca="false">IF(G4129="","",IF(G4129="?","⚠ pub inconnue",IFERROR(INDEX(Pubs!$B$2:$B$3001,MATCH(G4129,Pubs!$A$2:$A$3001,0))&amp;"","⚠ pub inconnue")))</f>
        <v/>
      </c>
      <c r="I4129" s="27" t="str">
        <f aca="false">IF(OR(G4129="",G4129="?"),"",IFERROR(INDEX(Pubs!$C$2:$C$3001,MATCH(G4129,Pubs!$A$2:$A$3001,0))&amp;"",""))</f>
        <v/>
      </c>
      <c r="J4129" s="27" t="str">
        <f aca="false">IF(OR(G4129="",G4129="?"),"",IFERROR(INDEX(Pubs!$G$2:$G$3001,MATCH(G4129,Pubs!$A$2:$A$3001,0))&amp;"",""))</f>
        <v/>
      </c>
      <c r="K4129" s="28" t="str">
        <f aca="false">IF(OR(G4129="",G4129="?"),"",IFERROR(INDEX(Pubs!$E$2:$E$3001,MATCH(G4129,Pubs!$A$2:$A$3001,0)),""))</f>
        <v/>
      </c>
      <c r="L4129" s="29" t="str">
        <f aca="false">IF(A4129="","",IFERROR(1/(1/INDEX(Numéros!$C$2:$C$3001,MATCH(A4129&amp;"|"&amp;B4129,Numéros!$F$2:$F$3001,0))),""))</f>
        <v/>
      </c>
      <c r="M4129" s="27" t="str">
        <f aca="false">IF(OR(G4129="",G4129="?"),"",IFERROR(INDEX(Pubs!$D$2:$D$3001,MATCH(G4129,Pubs!$A$2:$A$3001,0))&amp;"",""))</f>
        <v/>
      </c>
      <c r="N4129" s="27" t="n">
        <f aca="false">N(N4128)+IF(AND(A4129&lt;&gt;"",OR(Recherche!$C$4="",A4129=Recherche!$C$4),OR(Recherche!$C$5="",B4129&amp;""=Recherche!$C$5&amp;""),OR(Recherche!$C$6="",IFERROR(YEAR(L4129),0)=Recherche!$C$6),OR(Recherche!$C$7="",ISNUMBER(SEARCH(Recherche!$C$7,H4129))),OR(Recherche!$C$8="",J4129=Recherche!$C$8),OR(Recherche!$C$9="",I4129=Recherche!$C$9),OR(Recherche!$C$10="",G4129&amp;""=Recherche!$C$10&amp;""),OR(Recherche!$C$11="",E4129=Recherche!$C$11),OR(Recherche!$C$12="",ISNUMBER(SEARCH(Recherche!$C$12,M4129&amp;" "&amp;F4129)))),1,0)</f>
        <v>8</v>
      </c>
    </row>
    <row r="4130" customFormat="false" ht="15" hidden="false" customHeight="false" outlineLevel="0" collapsed="false">
      <c r="A4130" s="19"/>
      <c r="B4130" s="19"/>
      <c r="C4130" s="19"/>
      <c r="D4130" s="19"/>
      <c r="E4130" s="22"/>
      <c r="F4130" s="19"/>
      <c r="G4130" s="26" t="str">
        <f aca="false">IF(D4130="","",IFERROR(VALUE(LEFT(D4130,FIND(" |",D4130&amp;" |")-1)),"?"))</f>
        <v/>
      </c>
      <c r="H4130" s="27" t="str">
        <f aca="false">IF(G4130="","",IF(G4130="?","⚠ pub inconnue",IFERROR(INDEX(Pubs!$B$2:$B$3001,MATCH(G4130,Pubs!$A$2:$A$3001,0))&amp;"","⚠ pub inconnue")))</f>
        <v/>
      </c>
      <c r="I4130" s="27" t="str">
        <f aca="false">IF(OR(G4130="",G4130="?"),"",IFERROR(INDEX(Pubs!$C$2:$C$3001,MATCH(G4130,Pubs!$A$2:$A$3001,0))&amp;"",""))</f>
        <v/>
      </c>
      <c r="J4130" s="27" t="str">
        <f aca="false">IF(OR(G4130="",G4130="?"),"",IFERROR(INDEX(Pubs!$G$2:$G$3001,MATCH(G4130,Pubs!$A$2:$A$3001,0))&amp;"",""))</f>
        <v/>
      </c>
      <c r="K4130" s="28" t="str">
        <f aca="false">IF(OR(G4130="",G4130="?"),"",IFERROR(INDEX(Pubs!$E$2:$E$3001,MATCH(G4130,Pubs!$A$2:$A$3001,0)),""))</f>
        <v/>
      </c>
      <c r="L4130" s="29" t="str">
        <f aca="false">IF(A4130="","",IFERROR(1/(1/INDEX(Numéros!$C$2:$C$3001,MATCH(A4130&amp;"|"&amp;B4130,Numéros!$F$2:$F$3001,0))),""))</f>
        <v/>
      </c>
      <c r="M4130" s="27" t="str">
        <f aca="false">IF(OR(G4130="",G4130="?"),"",IFERROR(INDEX(Pubs!$D$2:$D$3001,MATCH(G4130,Pubs!$A$2:$A$3001,0))&amp;"",""))</f>
        <v/>
      </c>
      <c r="N4130" s="27" t="n">
        <f aca="false">N(N4129)+IF(AND(A4130&lt;&gt;"",OR(Recherche!$C$4="",A4130=Recherche!$C$4),OR(Recherche!$C$5="",B4130&amp;""=Recherche!$C$5&amp;""),OR(Recherche!$C$6="",IFERROR(YEAR(L4130),0)=Recherche!$C$6),OR(Recherche!$C$7="",ISNUMBER(SEARCH(Recherche!$C$7,H4130))),OR(Recherche!$C$8="",J4130=Recherche!$C$8),OR(Recherche!$C$9="",I4130=Recherche!$C$9),OR(Recherche!$C$10="",G4130&amp;""=Recherche!$C$10&amp;""),OR(Recherche!$C$11="",E4130=Recherche!$C$11),OR(Recherche!$C$12="",ISNUMBER(SEARCH(Recherche!$C$12,M4130&amp;" "&amp;F4130)))),1,0)</f>
        <v>8</v>
      </c>
    </row>
    <row r="4131" customFormat="false" ht="15" hidden="false" customHeight="false" outlineLevel="0" collapsed="false">
      <c r="A4131" s="19"/>
      <c r="B4131" s="19"/>
      <c r="C4131" s="19"/>
      <c r="D4131" s="19"/>
      <c r="E4131" s="22"/>
      <c r="F4131" s="19"/>
      <c r="G4131" s="26" t="str">
        <f aca="false">IF(D4131="","",IFERROR(VALUE(LEFT(D4131,FIND(" |",D4131&amp;" |")-1)),"?"))</f>
        <v/>
      </c>
      <c r="H4131" s="27" t="str">
        <f aca="false">IF(G4131="","",IF(G4131="?","⚠ pub inconnue",IFERROR(INDEX(Pubs!$B$2:$B$3001,MATCH(G4131,Pubs!$A$2:$A$3001,0))&amp;"","⚠ pub inconnue")))</f>
        <v/>
      </c>
      <c r="I4131" s="27" t="str">
        <f aca="false">IF(OR(G4131="",G4131="?"),"",IFERROR(INDEX(Pubs!$C$2:$C$3001,MATCH(G4131,Pubs!$A$2:$A$3001,0))&amp;"",""))</f>
        <v/>
      </c>
      <c r="J4131" s="27" t="str">
        <f aca="false">IF(OR(G4131="",G4131="?"),"",IFERROR(INDEX(Pubs!$G$2:$G$3001,MATCH(G4131,Pubs!$A$2:$A$3001,0))&amp;"",""))</f>
        <v/>
      </c>
      <c r="K4131" s="28" t="str">
        <f aca="false">IF(OR(G4131="",G4131="?"),"",IFERROR(INDEX(Pubs!$E$2:$E$3001,MATCH(G4131,Pubs!$A$2:$A$3001,0)),""))</f>
        <v/>
      </c>
      <c r="L4131" s="29" t="str">
        <f aca="false">IF(A4131="","",IFERROR(1/(1/INDEX(Numéros!$C$2:$C$3001,MATCH(A4131&amp;"|"&amp;B4131,Numéros!$F$2:$F$3001,0))),""))</f>
        <v/>
      </c>
      <c r="M4131" s="27" t="str">
        <f aca="false">IF(OR(G4131="",G4131="?"),"",IFERROR(INDEX(Pubs!$D$2:$D$3001,MATCH(G4131,Pubs!$A$2:$A$3001,0))&amp;"",""))</f>
        <v/>
      </c>
      <c r="N4131" s="27" t="n">
        <f aca="false">N(N4130)+IF(AND(A4131&lt;&gt;"",OR(Recherche!$C$4="",A4131=Recherche!$C$4),OR(Recherche!$C$5="",B4131&amp;""=Recherche!$C$5&amp;""),OR(Recherche!$C$6="",IFERROR(YEAR(L4131),0)=Recherche!$C$6),OR(Recherche!$C$7="",ISNUMBER(SEARCH(Recherche!$C$7,H4131))),OR(Recherche!$C$8="",J4131=Recherche!$C$8),OR(Recherche!$C$9="",I4131=Recherche!$C$9),OR(Recherche!$C$10="",G4131&amp;""=Recherche!$C$10&amp;""),OR(Recherche!$C$11="",E4131=Recherche!$C$11),OR(Recherche!$C$12="",ISNUMBER(SEARCH(Recherche!$C$12,M4131&amp;" "&amp;F4131)))),1,0)</f>
        <v>8</v>
      </c>
    </row>
    <row r="4132" customFormat="false" ht="15" hidden="false" customHeight="false" outlineLevel="0" collapsed="false">
      <c r="A4132" s="19"/>
      <c r="B4132" s="19"/>
      <c r="C4132" s="19"/>
      <c r="D4132" s="19"/>
      <c r="E4132" s="22"/>
      <c r="F4132" s="19"/>
      <c r="G4132" s="26" t="str">
        <f aca="false">IF(D4132="","",IFERROR(VALUE(LEFT(D4132,FIND(" |",D4132&amp;" |")-1)),"?"))</f>
        <v/>
      </c>
      <c r="H4132" s="27" t="str">
        <f aca="false">IF(G4132="","",IF(G4132="?","⚠ pub inconnue",IFERROR(INDEX(Pubs!$B$2:$B$3001,MATCH(G4132,Pubs!$A$2:$A$3001,0))&amp;"","⚠ pub inconnue")))</f>
        <v/>
      </c>
      <c r="I4132" s="27" t="str">
        <f aca="false">IF(OR(G4132="",G4132="?"),"",IFERROR(INDEX(Pubs!$C$2:$C$3001,MATCH(G4132,Pubs!$A$2:$A$3001,0))&amp;"",""))</f>
        <v/>
      </c>
      <c r="J4132" s="27" t="str">
        <f aca="false">IF(OR(G4132="",G4132="?"),"",IFERROR(INDEX(Pubs!$G$2:$G$3001,MATCH(G4132,Pubs!$A$2:$A$3001,0))&amp;"",""))</f>
        <v/>
      </c>
      <c r="K4132" s="28" t="str">
        <f aca="false">IF(OR(G4132="",G4132="?"),"",IFERROR(INDEX(Pubs!$E$2:$E$3001,MATCH(G4132,Pubs!$A$2:$A$3001,0)),""))</f>
        <v/>
      </c>
      <c r="L4132" s="29" t="str">
        <f aca="false">IF(A4132="","",IFERROR(1/(1/INDEX(Numéros!$C$2:$C$3001,MATCH(A4132&amp;"|"&amp;B4132,Numéros!$F$2:$F$3001,0))),""))</f>
        <v/>
      </c>
      <c r="M4132" s="27" t="str">
        <f aca="false">IF(OR(G4132="",G4132="?"),"",IFERROR(INDEX(Pubs!$D$2:$D$3001,MATCH(G4132,Pubs!$A$2:$A$3001,0))&amp;"",""))</f>
        <v/>
      </c>
      <c r="N4132" s="27" t="n">
        <f aca="false">N(N4131)+IF(AND(A4132&lt;&gt;"",OR(Recherche!$C$4="",A4132=Recherche!$C$4),OR(Recherche!$C$5="",B4132&amp;""=Recherche!$C$5&amp;""),OR(Recherche!$C$6="",IFERROR(YEAR(L4132),0)=Recherche!$C$6),OR(Recherche!$C$7="",ISNUMBER(SEARCH(Recherche!$C$7,H4132))),OR(Recherche!$C$8="",J4132=Recherche!$C$8),OR(Recherche!$C$9="",I4132=Recherche!$C$9),OR(Recherche!$C$10="",G4132&amp;""=Recherche!$C$10&amp;""),OR(Recherche!$C$11="",E4132=Recherche!$C$11),OR(Recherche!$C$12="",ISNUMBER(SEARCH(Recherche!$C$12,M4132&amp;" "&amp;F4132)))),1,0)</f>
        <v>8</v>
      </c>
    </row>
    <row r="4133" customFormat="false" ht="15" hidden="false" customHeight="false" outlineLevel="0" collapsed="false">
      <c r="A4133" s="19"/>
      <c r="B4133" s="19"/>
      <c r="C4133" s="19"/>
      <c r="D4133" s="19"/>
      <c r="E4133" s="22"/>
      <c r="F4133" s="19"/>
      <c r="G4133" s="26" t="str">
        <f aca="false">IF(D4133="","",IFERROR(VALUE(LEFT(D4133,FIND(" |",D4133&amp;" |")-1)),"?"))</f>
        <v/>
      </c>
      <c r="H4133" s="27" t="str">
        <f aca="false">IF(G4133="","",IF(G4133="?","⚠ pub inconnue",IFERROR(INDEX(Pubs!$B$2:$B$3001,MATCH(G4133,Pubs!$A$2:$A$3001,0))&amp;"","⚠ pub inconnue")))</f>
        <v/>
      </c>
      <c r="I4133" s="27" t="str">
        <f aca="false">IF(OR(G4133="",G4133="?"),"",IFERROR(INDEX(Pubs!$C$2:$C$3001,MATCH(G4133,Pubs!$A$2:$A$3001,0))&amp;"",""))</f>
        <v/>
      </c>
      <c r="J4133" s="27" t="str">
        <f aca="false">IF(OR(G4133="",G4133="?"),"",IFERROR(INDEX(Pubs!$G$2:$G$3001,MATCH(G4133,Pubs!$A$2:$A$3001,0))&amp;"",""))</f>
        <v/>
      </c>
      <c r="K4133" s="28" t="str">
        <f aca="false">IF(OR(G4133="",G4133="?"),"",IFERROR(INDEX(Pubs!$E$2:$E$3001,MATCH(G4133,Pubs!$A$2:$A$3001,0)),""))</f>
        <v/>
      </c>
      <c r="L4133" s="29" t="str">
        <f aca="false">IF(A4133="","",IFERROR(1/(1/INDEX(Numéros!$C$2:$C$3001,MATCH(A4133&amp;"|"&amp;B4133,Numéros!$F$2:$F$3001,0))),""))</f>
        <v/>
      </c>
      <c r="M4133" s="27" t="str">
        <f aca="false">IF(OR(G4133="",G4133="?"),"",IFERROR(INDEX(Pubs!$D$2:$D$3001,MATCH(G4133,Pubs!$A$2:$A$3001,0))&amp;"",""))</f>
        <v/>
      </c>
      <c r="N4133" s="27" t="n">
        <f aca="false">N(N4132)+IF(AND(A4133&lt;&gt;"",OR(Recherche!$C$4="",A4133=Recherche!$C$4),OR(Recherche!$C$5="",B4133&amp;""=Recherche!$C$5&amp;""),OR(Recherche!$C$6="",IFERROR(YEAR(L4133),0)=Recherche!$C$6),OR(Recherche!$C$7="",ISNUMBER(SEARCH(Recherche!$C$7,H4133))),OR(Recherche!$C$8="",J4133=Recherche!$C$8),OR(Recherche!$C$9="",I4133=Recherche!$C$9),OR(Recherche!$C$10="",G4133&amp;""=Recherche!$C$10&amp;""),OR(Recherche!$C$11="",E4133=Recherche!$C$11),OR(Recherche!$C$12="",ISNUMBER(SEARCH(Recherche!$C$12,M4133&amp;" "&amp;F4133)))),1,0)</f>
        <v>8</v>
      </c>
    </row>
    <row r="4134" customFormat="false" ht="15" hidden="false" customHeight="false" outlineLevel="0" collapsed="false">
      <c r="A4134" s="19"/>
      <c r="B4134" s="19"/>
      <c r="C4134" s="19"/>
      <c r="D4134" s="19"/>
      <c r="E4134" s="22"/>
      <c r="F4134" s="19"/>
      <c r="G4134" s="26" t="str">
        <f aca="false">IF(D4134="","",IFERROR(VALUE(LEFT(D4134,FIND(" |",D4134&amp;" |")-1)),"?"))</f>
        <v/>
      </c>
      <c r="H4134" s="27" t="str">
        <f aca="false">IF(G4134="","",IF(G4134="?","⚠ pub inconnue",IFERROR(INDEX(Pubs!$B$2:$B$3001,MATCH(G4134,Pubs!$A$2:$A$3001,0))&amp;"","⚠ pub inconnue")))</f>
        <v/>
      </c>
      <c r="I4134" s="27" t="str">
        <f aca="false">IF(OR(G4134="",G4134="?"),"",IFERROR(INDEX(Pubs!$C$2:$C$3001,MATCH(G4134,Pubs!$A$2:$A$3001,0))&amp;"",""))</f>
        <v/>
      </c>
      <c r="J4134" s="27" t="str">
        <f aca="false">IF(OR(G4134="",G4134="?"),"",IFERROR(INDEX(Pubs!$G$2:$G$3001,MATCH(G4134,Pubs!$A$2:$A$3001,0))&amp;"",""))</f>
        <v/>
      </c>
      <c r="K4134" s="28" t="str">
        <f aca="false">IF(OR(G4134="",G4134="?"),"",IFERROR(INDEX(Pubs!$E$2:$E$3001,MATCH(G4134,Pubs!$A$2:$A$3001,0)),""))</f>
        <v/>
      </c>
      <c r="L4134" s="29" t="str">
        <f aca="false">IF(A4134="","",IFERROR(1/(1/INDEX(Numéros!$C$2:$C$3001,MATCH(A4134&amp;"|"&amp;B4134,Numéros!$F$2:$F$3001,0))),""))</f>
        <v/>
      </c>
      <c r="M4134" s="27" t="str">
        <f aca="false">IF(OR(G4134="",G4134="?"),"",IFERROR(INDEX(Pubs!$D$2:$D$3001,MATCH(G4134,Pubs!$A$2:$A$3001,0))&amp;"",""))</f>
        <v/>
      </c>
      <c r="N4134" s="27" t="n">
        <f aca="false">N(N4133)+IF(AND(A4134&lt;&gt;"",OR(Recherche!$C$4="",A4134=Recherche!$C$4),OR(Recherche!$C$5="",B4134&amp;""=Recherche!$C$5&amp;""),OR(Recherche!$C$6="",IFERROR(YEAR(L4134),0)=Recherche!$C$6),OR(Recherche!$C$7="",ISNUMBER(SEARCH(Recherche!$C$7,H4134))),OR(Recherche!$C$8="",J4134=Recherche!$C$8),OR(Recherche!$C$9="",I4134=Recherche!$C$9),OR(Recherche!$C$10="",G4134&amp;""=Recherche!$C$10&amp;""),OR(Recherche!$C$11="",E4134=Recherche!$C$11),OR(Recherche!$C$12="",ISNUMBER(SEARCH(Recherche!$C$12,M4134&amp;" "&amp;F4134)))),1,0)</f>
        <v>8</v>
      </c>
    </row>
    <row r="4135" customFormat="false" ht="15" hidden="false" customHeight="false" outlineLevel="0" collapsed="false">
      <c r="A4135" s="19"/>
      <c r="B4135" s="19"/>
      <c r="C4135" s="19"/>
      <c r="D4135" s="19"/>
      <c r="E4135" s="22"/>
      <c r="F4135" s="19"/>
      <c r="G4135" s="26" t="str">
        <f aca="false">IF(D4135="","",IFERROR(VALUE(LEFT(D4135,FIND(" |",D4135&amp;" |")-1)),"?"))</f>
        <v/>
      </c>
      <c r="H4135" s="27" t="str">
        <f aca="false">IF(G4135="","",IF(G4135="?","⚠ pub inconnue",IFERROR(INDEX(Pubs!$B$2:$B$3001,MATCH(G4135,Pubs!$A$2:$A$3001,0))&amp;"","⚠ pub inconnue")))</f>
        <v/>
      </c>
      <c r="I4135" s="27" t="str">
        <f aca="false">IF(OR(G4135="",G4135="?"),"",IFERROR(INDEX(Pubs!$C$2:$C$3001,MATCH(G4135,Pubs!$A$2:$A$3001,0))&amp;"",""))</f>
        <v/>
      </c>
      <c r="J4135" s="27" t="str">
        <f aca="false">IF(OR(G4135="",G4135="?"),"",IFERROR(INDEX(Pubs!$G$2:$G$3001,MATCH(G4135,Pubs!$A$2:$A$3001,0))&amp;"",""))</f>
        <v/>
      </c>
      <c r="K4135" s="28" t="str">
        <f aca="false">IF(OR(G4135="",G4135="?"),"",IFERROR(INDEX(Pubs!$E$2:$E$3001,MATCH(G4135,Pubs!$A$2:$A$3001,0)),""))</f>
        <v/>
      </c>
      <c r="L4135" s="29" t="str">
        <f aca="false">IF(A4135="","",IFERROR(1/(1/INDEX(Numéros!$C$2:$C$3001,MATCH(A4135&amp;"|"&amp;B4135,Numéros!$F$2:$F$3001,0))),""))</f>
        <v/>
      </c>
      <c r="M4135" s="27" t="str">
        <f aca="false">IF(OR(G4135="",G4135="?"),"",IFERROR(INDEX(Pubs!$D$2:$D$3001,MATCH(G4135,Pubs!$A$2:$A$3001,0))&amp;"",""))</f>
        <v/>
      </c>
      <c r="N4135" s="27" t="n">
        <f aca="false">N(N4134)+IF(AND(A4135&lt;&gt;"",OR(Recherche!$C$4="",A4135=Recherche!$C$4),OR(Recherche!$C$5="",B4135&amp;""=Recherche!$C$5&amp;""),OR(Recherche!$C$6="",IFERROR(YEAR(L4135),0)=Recherche!$C$6),OR(Recherche!$C$7="",ISNUMBER(SEARCH(Recherche!$C$7,H4135))),OR(Recherche!$C$8="",J4135=Recherche!$C$8),OR(Recherche!$C$9="",I4135=Recherche!$C$9),OR(Recherche!$C$10="",G4135&amp;""=Recherche!$C$10&amp;""),OR(Recherche!$C$11="",E4135=Recherche!$C$11),OR(Recherche!$C$12="",ISNUMBER(SEARCH(Recherche!$C$12,M4135&amp;" "&amp;F4135)))),1,0)</f>
        <v>8</v>
      </c>
    </row>
    <row r="4136" customFormat="false" ht="15" hidden="false" customHeight="false" outlineLevel="0" collapsed="false">
      <c r="A4136" s="19"/>
      <c r="B4136" s="19"/>
      <c r="C4136" s="19"/>
      <c r="D4136" s="19"/>
      <c r="E4136" s="22"/>
      <c r="F4136" s="19"/>
      <c r="G4136" s="26" t="str">
        <f aca="false">IF(D4136="","",IFERROR(VALUE(LEFT(D4136,FIND(" |",D4136&amp;" |")-1)),"?"))</f>
        <v/>
      </c>
      <c r="H4136" s="27" t="str">
        <f aca="false">IF(G4136="","",IF(G4136="?","⚠ pub inconnue",IFERROR(INDEX(Pubs!$B$2:$B$3001,MATCH(G4136,Pubs!$A$2:$A$3001,0))&amp;"","⚠ pub inconnue")))</f>
        <v/>
      </c>
      <c r="I4136" s="27" t="str">
        <f aca="false">IF(OR(G4136="",G4136="?"),"",IFERROR(INDEX(Pubs!$C$2:$C$3001,MATCH(G4136,Pubs!$A$2:$A$3001,0))&amp;"",""))</f>
        <v/>
      </c>
      <c r="J4136" s="27" t="str">
        <f aca="false">IF(OR(G4136="",G4136="?"),"",IFERROR(INDEX(Pubs!$G$2:$G$3001,MATCH(G4136,Pubs!$A$2:$A$3001,0))&amp;"",""))</f>
        <v/>
      </c>
      <c r="K4136" s="28" t="str">
        <f aca="false">IF(OR(G4136="",G4136="?"),"",IFERROR(INDEX(Pubs!$E$2:$E$3001,MATCH(G4136,Pubs!$A$2:$A$3001,0)),""))</f>
        <v/>
      </c>
      <c r="L4136" s="29" t="str">
        <f aca="false">IF(A4136="","",IFERROR(1/(1/INDEX(Numéros!$C$2:$C$3001,MATCH(A4136&amp;"|"&amp;B4136,Numéros!$F$2:$F$3001,0))),""))</f>
        <v/>
      </c>
      <c r="M4136" s="27" t="str">
        <f aca="false">IF(OR(G4136="",G4136="?"),"",IFERROR(INDEX(Pubs!$D$2:$D$3001,MATCH(G4136,Pubs!$A$2:$A$3001,0))&amp;"",""))</f>
        <v/>
      </c>
      <c r="N4136" s="27" t="n">
        <f aca="false">N(N4135)+IF(AND(A4136&lt;&gt;"",OR(Recherche!$C$4="",A4136=Recherche!$C$4),OR(Recherche!$C$5="",B4136&amp;""=Recherche!$C$5&amp;""),OR(Recherche!$C$6="",IFERROR(YEAR(L4136),0)=Recherche!$C$6),OR(Recherche!$C$7="",ISNUMBER(SEARCH(Recherche!$C$7,H4136))),OR(Recherche!$C$8="",J4136=Recherche!$C$8),OR(Recherche!$C$9="",I4136=Recherche!$C$9),OR(Recherche!$C$10="",G4136&amp;""=Recherche!$C$10&amp;""),OR(Recherche!$C$11="",E4136=Recherche!$C$11),OR(Recherche!$C$12="",ISNUMBER(SEARCH(Recherche!$C$12,M4136&amp;" "&amp;F4136)))),1,0)</f>
        <v>8</v>
      </c>
    </row>
    <row r="4137" customFormat="false" ht="15" hidden="false" customHeight="false" outlineLevel="0" collapsed="false">
      <c r="A4137" s="19"/>
      <c r="B4137" s="19"/>
      <c r="C4137" s="19"/>
      <c r="D4137" s="19"/>
      <c r="E4137" s="22"/>
      <c r="F4137" s="19"/>
      <c r="G4137" s="26" t="str">
        <f aca="false">IF(D4137="","",IFERROR(VALUE(LEFT(D4137,FIND(" |",D4137&amp;" |")-1)),"?"))</f>
        <v/>
      </c>
      <c r="H4137" s="27" t="str">
        <f aca="false">IF(G4137="","",IF(G4137="?","⚠ pub inconnue",IFERROR(INDEX(Pubs!$B$2:$B$3001,MATCH(G4137,Pubs!$A$2:$A$3001,0))&amp;"","⚠ pub inconnue")))</f>
        <v/>
      </c>
      <c r="I4137" s="27" t="str">
        <f aca="false">IF(OR(G4137="",G4137="?"),"",IFERROR(INDEX(Pubs!$C$2:$C$3001,MATCH(G4137,Pubs!$A$2:$A$3001,0))&amp;"",""))</f>
        <v/>
      </c>
      <c r="J4137" s="27" t="str">
        <f aca="false">IF(OR(G4137="",G4137="?"),"",IFERROR(INDEX(Pubs!$G$2:$G$3001,MATCH(G4137,Pubs!$A$2:$A$3001,0))&amp;"",""))</f>
        <v/>
      </c>
      <c r="K4137" s="28" t="str">
        <f aca="false">IF(OR(G4137="",G4137="?"),"",IFERROR(INDEX(Pubs!$E$2:$E$3001,MATCH(G4137,Pubs!$A$2:$A$3001,0)),""))</f>
        <v/>
      </c>
      <c r="L4137" s="29" t="str">
        <f aca="false">IF(A4137="","",IFERROR(1/(1/INDEX(Numéros!$C$2:$C$3001,MATCH(A4137&amp;"|"&amp;B4137,Numéros!$F$2:$F$3001,0))),""))</f>
        <v/>
      </c>
      <c r="M4137" s="27" t="str">
        <f aca="false">IF(OR(G4137="",G4137="?"),"",IFERROR(INDEX(Pubs!$D$2:$D$3001,MATCH(G4137,Pubs!$A$2:$A$3001,0))&amp;"",""))</f>
        <v/>
      </c>
      <c r="N4137" s="27" t="n">
        <f aca="false">N(N4136)+IF(AND(A4137&lt;&gt;"",OR(Recherche!$C$4="",A4137=Recherche!$C$4),OR(Recherche!$C$5="",B4137&amp;""=Recherche!$C$5&amp;""),OR(Recherche!$C$6="",IFERROR(YEAR(L4137),0)=Recherche!$C$6),OR(Recherche!$C$7="",ISNUMBER(SEARCH(Recherche!$C$7,H4137))),OR(Recherche!$C$8="",J4137=Recherche!$C$8),OR(Recherche!$C$9="",I4137=Recherche!$C$9),OR(Recherche!$C$10="",G4137&amp;""=Recherche!$C$10&amp;""),OR(Recherche!$C$11="",E4137=Recherche!$C$11),OR(Recherche!$C$12="",ISNUMBER(SEARCH(Recherche!$C$12,M4137&amp;" "&amp;F4137)))),1,0)</f>
        <v>8</v>
      </c>
    </row>
    <row r="4138" customFormat="false" ht="15" hidden="false" customHeight="false" outlineLevel="0" collapsed="false">
      <c r="A4138" s="19"/>
      <c r="B4138" s="19"/>
      <c r="C4138" s="19"/>
      <c r="D4138" s="19"/>
      <c r="E4138" s="22"/>
      <c r="F4138" s="19"/>
      <c r="G4138" s="26" t="str">
        <f aca="false">IF(D4138="","",IFERROR(VALUE(LEFT(D4138,FIND(" |",D4138&amp;" |")-1)),"?"))</f>
        <v/>
      </c>
      <c r="H4138" s="27" t="str">
        <f aca="false">IF(G4138="","",IF(G4138="?","⚠ pub inconnue",IFERROR(INDEX(Pubs!$B$2:$B$3001,MATCH(G4138,Pubs!$A$2:$A$3001,0))&amp;"","⚠ pub inconnue")))</f>
        <v/>
      </c>
      <c r="I4138" s="27" t="str">
        <f aca="false">IF(OR(G4138="",G4138="?"),"",IFERROR(INDEX(Pubs!$C$2:$C$3001,MATCH(G4138,Pubs!$A$2:$A$3001,0))&amp;"",""))</f>
        <v/>
      </c>
      <c r="J4138" s="27" t="str">
        <f aca="false">IF(OR(G4138="",G4138="?"),"",IFERROR(INDEX(Pubs!$G$2:$G$3001,MATCH(G4138,Pubs!$A$2:$A$3001,0))&amp;"",""))</f>
        <v/>
      </c>
      <c r="K4138" s="28" t="str">
        <f aca="false">IF(OR(G4138="",G4138="?"),"",IFERROR(INDEX(Pubs!$E$2:$E$3001,MATCH(G4138,Pubs!$A$2:$A$3001,0)),""))</f>
        <v/>
      </c>
      <c r="L4138" s="29" t="str">
        <f aca="false">IF(A4138="","",IFERROR(1/(1/INDEX(Numéros!$C$2:$C$3001,MATCH(A4138&amp;"|"&amp;B4138,Numéros!$F$2:$F$3001,0))),""))</f>
        <v/>
      </c>
      <c r="M4138" s="27" t="str">
        <f aca="false">IF(OR(G4138="",G4138="?"),"",IFERROR(INDEX(Pubs!$D$2:$D$3001,MATCH(G4138,Pubs!$A$2:$A$3001,0))&amp;"",""))</f>
        <v/>
      </c>
      <c r="N4138" s="27" t="n">
        <f aca="false">N(N4137)+IF(AND(A4138&lt;&gt;"",OR(Recherche!$C$4="",A4138=Recherche!$C$4),OR(Recherche!$C$5="",B4138&amp;""=Recherche!$C$5&amp;""),OR(Recherche!$C$6="",IFERROR(YEAR(L4138),0)=Recherche!$C$6),OR(Recherche!$C$7="",ISNUMBER(SEARCH(Recherche!$C$7,H4138))),OR(Recherche!$C$8="",J4138=Recherche!$C$8),OR(Recherche!$C$9="",I4138=Recherche!$C$9),OR(Recherche!$C$10="",G4138&amp;""=Recherche!$C$10&amp;""),OR(Recherche!$C$11="",E4138=Recherche!$C$11),OR(Recherche!$C$12="",ISNUMBER(SEARCH(Recherche!$C$12,M4138&amp;" "&amp;F4138)))),1,0)</f>
        <v>8</v>
      </c>
    </row>
    <row r="4139" customFormat="false" ht="15" hidden="false" customHeight="false" outlineLevel="0" collapsed="false">
      <c r="A4139" s="19"/>
      <c r="B4139" s="19"/>
      <c r="C4139" s="19"/>
      <c r="D4139" s="19"/>
      <c r="E4139" s="22"/>
      <c r="F4139" s="19"/>
      <c r="G4139" s="26" t="str">
        <f aca="false">IF(D4139="","",IFERROR(VALUE(LEFT(D4139,FIND(" |",D4139&amp;" |")-1)),"?"))</f>
        <v/>
      </c>
      <c r="H4139" s="27" t="str">
        <f aca="false">IF(G4139="","",IF(G4139="?","⚠ pub inconnue",IFERROR(INDEX(Pubs!$B$2:$B$3001,MATCH(G4139,Pubs!$A$2:$A$3001,0))&amp;"","⚠ pub inconnue")))</f>
        <v/>
      </c>
      <c r="I4139" s="27" t="str">
        <f aca="false">IF(OR(G4139="",G4139="?"),"",IFERROR(INDEX(Pubs!$C$2:$C$3001,MATCH(G4139,Pubs!$A$2:$A$3001,0))&amp;"",""))</f>
        <v/>
      </c>
      <c r="J4139" s="27" t="str">
        <f aca="false">IF(OR(G4139="",G4139="?"),"",IFERROR(INDEX(Pubs!$G$2:$G$3001,MATCH(G4139,Pubs!$A$2:$A$3001,0))&amp;"",""))</f>
        <v/>
      </c>
      <c r="K4139" s="28" t="str">
        <f aca="false">IF(OR(G4139="",G4139="?"),"",IFERROR(INDEX(Pubs!$E$2:$E$3001,MATCH(G4139,Pubs!$A$2:$A$3001,0)),""))</f>
        <v/>
      </c>
      <c r="L4139" s="29" t="str">
        <f aca="false">IF(A4139="","",IFERROR(1/(1/INDEX(Numéros!$C$2:$C$3001,MATCH(A4139&amp;"|"&amp;B4139,Numéros!$F$2:$F$3001,0))),""))</f>
        <v/>
      </c>
      <c r="M4139" s="27" t="str">
        <f aca="false">IF(OR(G4139="",G4139="?"),"",IFERROR(INDEX(Pubs!$D$2:$D$3001,MATCH(G4139,Pubs!$A$2:$A$3001,0))&amp;"",""))</f>
        <v/>
      </c>
      <c r="N4139" s="27" t="n">
        <f aca="false">N(N4138)+IF(AND(A4139&lt;&gt;"",OR(Recherche!$C$4="",A4139=Recherche!$C$4),OR(Recherche!$C$5="",B4139&amp;""=Recherche!$C$5&amp;""),OR(Recherche!$C$6="",IFERROR(YEAR(L4139),0)=Recherche!$C$6),OR(Recherche!$C$7="",ISNUMBER(SEARCH(Recherche!$C$7,H4139))),OR(Recherche!$C$8="",J4139=Recherche!$C$8),OR(Recherche!$C$9="",I4139=Recherche!$C$9),OR(Recherche!$C$10="",G4139&amp;""=Recherche!$C$10&amp;""),OR(Recherche!$C$11="",E4139=Recherche!$C$11),OR(Recherche!$C$12="",ISNUMBER(SEARCH(Recherche!$C$12,M4139&amp;" "&amp;F4139)))),1,0)</f>
        <v>8</v>
      </c>
    </row>
    <row r="4140" customFormat="false" ht="15" hidden="false" customHeight="false" outlineLevel="0" collapsed="false">
      <c r="A4140" s="19"/>
      <c r="B4140" s="19"/>
      <c r="C4140" s="19"/>
      <c r="D4140" s="19"/>
      <c r="E4140" s="22"/>
      <c r="F4140" s="19"/>
      <c r="G4140" s="26" t="str">
        <f aca="false">IF(D4140="","",IFERROR(VALUE(LEFT(D4140,FIND(" |",D4140&amp;" |")-1)),"?"))</f>
        <v/>
      </c>
      <c r="H4140" s="27" t="str">
        <f aca="false">IF(G4140="","",IF(G4140="?","⚠ pub inconnue",IFERROR(INDEX(Pubs!$B$2:$B$3001,MATCH(G4140,Pubs!$A$2:$A$3001,0))&amp;"","⚠ pub inconnue")))</f>
        <v/>
      </c>
      <c r="I4140" s="27" t="str">
        <f aca="false">IF(OR(G4140="",G4140="?"),"",IFERROR(INDEX(Pubs!$C$2:$C$3001,MATCH(G4140,Pubs!$A$2:$A$3001,0))&amp;"",""))</f>
        <v/>
      </c>
      <c r="J4140" s="27" t="str">
        <f aca="false">IF(OR(G4140="",G4140="?"),"",IFERROR(INDEX(Pubs!$G$2:$G$3001,MATCH(G4140,Pubs!$A$2:$A$3001,0))&amp;"",""))</f>
        <v/>
      </c>
      <c r="K4140" s="28" t="str">
        <f aca="false">IF(OR(G4140="",G4140="?"),"",IFERROR(INDEX(Pubs!$E$2:$E$3001,MATCH(G4140,Pubs!$A$2:$A$3001,0)),""))</f>
        <v/>
      </c>
      <c r="L4140" s="29" t="str">
        <f aca="false">IF(A4140="","",IFERROR(1/(1/INDEX(Numéros!$C$2:$C$3001,MATCH(A4140&amp;"|"&amp;B4140,Numéros!$F$2:$F$3001,0))),""))</f>
        <v/>
      </c>
      <c r="M4140" s="27" t="str">
        <f aca="false">IF(OR(G4140="",G4140="?"),"",IFERROR(INDEX(Pubs!$D$2:$D$3001,MATCH(G4140,Pubs!$A$2:$A$3001,0))&amp;"",""))</f>
        <v/>
      </c>
      <c r="N4140" s="27" t="n">
        <f aca="false">N(N4139)+IF(AND(A4140&lt;&gt;"",OR(Recherche!$C$4="",A4140=Recherche!$C$4),OR(Recherche!$C$5="",B4140&amp;""=Recherche!$C$5&amp;""),OR(Recherche!$C$6="",IFERROR(YEAR(L4140),0)=Recherche!$C$6),OR(Recherche!$C$7="",ISNUMBER(SEARCH(Recherche!$C$7,H4140))),OR(Recherche!$C$8="",J4140=Recherche!$C$8),OR(Recherche!$C$9="",I4140=Recherche!$C$9),OR(Recherche!$C$10="",G4140&amp;""=Recherche!$C$10&amp;""),OR(Recherche!$C$11="",E4140=Recherche!$C$11),OR(Recherche!$C$12="",ISNUMBER(SEARCH(Recherche!$C$12,M4140&amp;" "&amp;F4140)))),1,0)</f>
        <v>8</v>
      </c>
    </row>
    <row r="4141" customFormat="false" ht="15" hidden="false" customHeight="false" outlineLevel="0" collapsed="false">
      <c r="A4141" s="19"/>
      <c r="B4141" s="19"/>
      <c r="C4141" s="19"/>
      <c r="D4141" s="19"/>
      <c r="E4141" s="22"/>
      <c r="F4141" s="19"/>
      <c r="G4141" s="26" t="str">
        <f aca="false">IF(D4141="","",IFERROR(VALUE(LEFT(D4141,FIND(" |",D4141&amp;" |")-1)),"?"))</f>
        <v/>
      </c>
      <c r="H4141" s="27" t="str">
        <f aca="false">IF(G4141="","",IF(G4141="?","⚠ pub inconnue",IFERROR(INDEX(Pubs!$B$2:$B$3001,MATCH(G4141,Pubs!$A$2:$A$3001,0))&amp;"","⚠ pub inconnue")))</f>
        <v/>
      </c>
      <c r="I4141" s="27" t="str">
        <f aca="false">IF(OR(G4141="",G4141="?"),"",IFERROR(INDEX(Pubs!$C$2:$C$3001,MATCH(G4141,Pubs!$A$2:$A$3001,0))&amp;"",""))</f>
        <v/>
      </c>
      <c r="J4141" s="27" t="str">
        <f aca="false">IF(OR(G4141="",G4141="?"),"",IFERROR(INDEX(Pubs!$G$2:$G$3001,MATCH(G4141,Pubs!$A$2:$A$3001,0))&amp;"",""))</f>
        <v/>
      </c>
      <c r="K4141" s="28" t="str">
        <f aca="false">IF(OR(G4141="",G4141="?"),"",IFERROR(INDEX(Pubs!$E$2:$E$3001,MATCH(G4141,Pubs!$A$2:$A$3001,0)),""))</f>
        <v/>
      </c>
      <c r="L4141" s="29" t="str">
        <f aca="false">IF(A4141="","",IFERROR(1/(1/INDEX(Numéros!$C$2:$C$3001,MATCH(A4141&amp;"|"&amp;B4141,Numéros!$F$2:$F$3001,0))),""))</f>
        <v/>
      </c>
      <c r="M4141" s="27" t="str">
        <f aca="false">IF(OR(G4141="",G4141="?"),"",IFERROR(INDEX(Pubs!$D$2:$D$3001,MATCH(G4141,Pubs!$A$2:$A$3001,0))&amp;"",""))</f>
        <v/>
      </c>
      <c r="N4141" s="27" t="n">
        <f aca="false">N(N4140)+IF(AND(A4141&lt;&gt;"",OR(Recherche!$C$4="",A4141=Recherche!$C$4),OR(Recherche!$C$5="",B4141&amp;""=Recherche!$C$5&amp;""),OR(Recherche!$C$6="",IFERROR(YEAR(L4141),0)=Recherche!$C$6),OR(Recherche!$C$7="",ISNUMBER(SEARCH(Recherche!$C$7,H4141))),OR(Recherche!$C$8="",J4141=Recherche!$C$8),OR(Recherche!$C$9="",I4141=Recherche!$C$9),OR(Recherche!$C$10="",G4141&amp;""=Recherche!$C$10&amp;""),OR(Recherche!$C$11="",E4141=Recherche!$C$11),OR(Recherche!$C$12="",ISNUMBER(SEARCH(Recherche!$C$12,M4141&amp;" "&amp;F4141)))),1,0)</f>
        <v>8</v>
      </c>
    </row>
    <row r="4142" customFormat="false" ht="15" hidden="false" customHeight="false" outlineLevel="0" collapsed="false">
      <c r="A4142" s="19"/>
      <c r="B4142" s="19"/>
      <c r="C4142" s="19"/>
      <c r="D4142" s="19"/>
      <c r="E4142" s="22"/>
      <c r="F4142" s="19"/>
      <c r="G4142" s="26" t="str">
        <f aca="false">IF(D4142="","",IFERROR(VALUE(LEFT(D4142,FIND(" |",D4142&amp;" |")-1)),"?"))</f>
        <v/>
      </c>
      <c r="H4142" s="27" t="str">
        <f aca="false">IF(G4142="","",IF(G4142="?","⚠ pub inconnue",IFERROR(INDEX(Pubs!$B$2:$B$3001,MATCH(G4142,Pubs!$A$2:$A$3001,0))&amp;"","⚠ pub inconnue")))</f>
        <v/>
      </c>
      <c r="I4142" s="27" t="str">
        <f aca="false">IF(OR(G4142="",G4142="?"),"",IFERROR(INDEX(Pubs!$C$2:$C$3001,MATCH(G4142,Pubs!$A$2:$A$3001,0))&amp;"",""))</f>
        <v/>
      </c>
      <c r="J4142" s="27" t="str">
        <f aca="false">IF(OR(G4142="",G4142="?"),"",IFERROR(INDEX(Pubs!$G$2:$G$3001,MATCH(G4142,Pubs!$A$2:$A$3001,0))&amp;"",""))</f>
        <v/>
      </c>
      <c r="K4142" s="28" t="str">
        <f aca="false">IF(OR(G4142="",G4142="?"),"",IFERROR(INDEX(Pubs!$E$2:$E$3001,MATCH(G4142,Pubs!$A$2:$A$3001,0)),""))</f>
        <v/>
      </c>
      <c r="L4142" s="29" t="str">
        <f aca="false">IF(A4142="","",IFERROR(1/(1/INDEX(Numéros!$C$2:$C$3001,MATCH(A4142&amp;"|"&amp;B4142,Numéros!$F$2:$F$3001,0))),""))</f>
        <v/>
      </c>
      <c r="M4142" s="27" t="str">
        <f aca="false">IF(OR(G4142="",G4142="?"),"",IFERROR(INDEX(Pubs!$D$2:$D$3001,MATCH(G4142,Pubs!$A$2:$A$3001,0))&amp;"",""))</f>
        <v/>
      </c>
      <c r="N4142" s="27" t="n">
        <f aca="false">N(N4141)+IF(AND(A4142&lt;&gt;"",OR(Recherche!$C$4="",A4142=Recherche!$C$4),OR(Recherche!$C$5="",B4142&amp;""=Recherche!$C$5&amp;""),OR(Recherche!$C$6="",IFERROR(YEAR(L4142),0)=Recherche!$C$6),OR(Recherche!$C$7="",ISNUMBER(SEARCH(Recherche!$C$7,H4142))),OR(Recherche!$C$8="",J4142=Recherche!$C$8),OR(Recherche!$C$9="",I4142=Recherche!$C$9),OR(Recherche!$C$10="",G4142&amp;""=Recherche!$C$10&amp;""),OR(Recherche!$C$11="",E4142=Recherche!$C$11),OR(Recherche!$C$12="",ISNUMBER(SEARCH(Recherche!$C$12,M4142&amp;" "&amp;F4142)))),1,0)</f>
        <v>8</v>
      </c>
    </row>
    <row r="4143" customFormat="false" ht="15" hidden="false" customHeight="false" outlineLevel="0" collapsed="false">
      <c r="A4143" s="19"/>
      <c r="B4143" s="19"/>
      <c r="C4143" s="19"/>
      <c r="D4143" s="19"/>
      <c r="E4143" s="22"/>
      <c r="F4143" s="19"/>
      <c r="G4143" s="26" t="str">
        <f aca="false">IF(D4143="","",IFERROR(VALUE(LEFT(D4143,FIND(" |",D4143&amp;" |")-1)),"?"))</f>
        <v/>
      </c>
      <c r="H4143" s="27" t="str">
        <f aca="false">IF(G4143="","",IF(G4143="?","⚠ pub inconnue",IFERROR(INDEX(Pubs!$B$2:$B$3001,MATCH(G4143,Pubs!$A$2:$A$3001,0))&amp;"","⚠ pub inconnue")))</f>
        <v/>
      </c>
      <c r="I4143" s="27" t="str">
        <f aca="false">IF(OR(G4143="",G4143="?"),"",IFERROR(INDEX(Pubs!$C$2:$C$3001,MATCH(G4143,Pubs!$A$2:$A$3001,0))&amp;"",""))</f>
        <v/>
      </c>
      <c r="J4143" s="27" t="str">
        <f aca="false">IF(OR(G4143="",G4143="?"),"",IFERROR(INDEX(Pubs!$G$2:$G$3001,MATCH(G4143,Pubs!$A$2:$A$3001,0))&amp;"",""))</f>
        <v/>
      </c>
      <c r="K4143" s="28" t="str">
        <f aca="false">IF(OR(G4143="",G4143="?"),"",IFERROR(INDEX(Pubs!$E$2:$E$3001,MATCH(G4143,Pubs!$A$2:$A$3001,0)),""))</f>
        <v/>
      </c>
      <c r="L4143" s="29" t="str">
        <f aca="false">IF(A4143="","",IFERROR(1/(1/INDEX(Numéros!$C$2:$C$3001,MATCH(A4143&amp;"|"&amp;B4143,Numéros!$F$2:$F$3001,0))),""))</f>
        <v/>
      </c>
      <c r="M4143" s="27" t="str">
        <f aca="false">IF(OR(G4143="",G4143="?"),"",IFERROR(INDEX(Pubs!$D$2:$D$3001,MATCH(G4143,Pubs!$A$2:$A$3001,0))&amp;"",""))</f>
        <v/>
      </c>
      <c r="N4143" s="27" t="n">
        <f aca="false">N(N4142)+IF(AND(A4143&lt;&gt;"",OR(Recherche!$C$4="",A4143=Recherche!$C$4),OR(Recherche!$C$5="",B4143&amp;""=Recherche!$C$5&amp;""),OR(Recherche!$C$6="",IFERROR(YEAR(L4143),0)=Recherche!$C$6),OR(Recherche!$C$7="",ISNUMBER(SEARCH(Recherche!$C$7,H4143))),OR(Recherche!$C$8="",J4143=Recherche!$C$8),OR(Recherche!$C$9="",I4143=Recherche!$C$9),OR(Recherche!$C$10="",G4143&amp;""=Recherche!$C$10&amp;""),OR(Recherche!$C$11="",E4143=Recherche!$C$11),OR(Recherche!$C$12="",ISNUMBER(SEARCH(Recherche!$C$12,M4143&amp;" "&amp;F4143)))),1,0)</f>
        <v>8</v>
      </c>
    </row>
    <row r="4144" customFormat="false" ht="15" hidden="false" customHeight="false" outlineLevel="0" collapsed="false">
      <c r="A4144" s="19"/>
      <c r="B4144" s="19"/>
      <c r="C4144" s="19"/>
      <c r="D4144" s="19"/>
      <c r="E4144" s="22"/>
      <c r="F4144" s="19"/>
      <c r="G4144" s="26" t="str">
        <f aca="false">IF(D4144="","",IFERROR(VALUE(LEFT(D4144,FIND(" |",D4144&amp;" |")-1)),"?"))</f>
        <v/>
      </c>
      <c r="H4144" s="27" t="str">
        <f aca="false">IF(G4144="","",IF(G4144="?","⚠ pub inconnue",IFERROR(INDEX(Pubs!$B$2:$B$3001,MATCH(G4144,Pubs!$A$2:$A$3001,0))&amp;"","⚠ pub inconnue")))</f>
        <v/>
      </c>
      <c r="I4144" s="27" t="str">
        <f aca="false">IF(OR(G4144="",G4144="?"),"",IFERROR(INDEX(Pubs!$C$2:$C$3001,MATCH(G4144,Pubs!$A$2:$A$3001,0))&amp;"",""))</f>
        <v/>
      </c>
      <c r="J4144" s="27" t="str">
        <f aca="false">IF(OR(G4144="",G4144="?"),"",IFERROR(INDEX(Pubs!$G$2:$G$3001,MATCH(G4144,Pubs!$A$2:$A$3001,0))&amp;"",""))</f>
        <v/>
      </c>
      <c r="K4144" s="28" t="str">
        <f aca="false">IF(OR(G4144="",G4144="?"),"",IFERROR(INDEX(Pubs!$E$2:$E$3001,MATCH(G4144,Pubs!$A$2:$A$3001,0)),""))</f>
        <v/>
      </c>
      <c r="L4144" s="29" t="str">
        <f aca="false">IF(A4144="","",IFERROR(1/(1/INDEX(Numéros!$C$2:$C$3001,MATCH(A4144&amp;"|"&amp;B4144,Numéros!$F$2:$F$3001,0))),""))</f>
        <v/>
      </c>
      <c r="M4144" s="27" t="str">
        <f aca="false">IF(OR(G4144="",G4144="?"),"",IFERROR(INDEX(Pubs!$D$2:$D$3001,MATCH(G4144,Pubs!$A$2:$A$3001,0))&amp;"",""))</f>
        <v/>
      </c>
      <c r="N4144" s="27" t="n">
        <f aca="false">N(N4143)+IF(AND(A4144&lt;&gt;"",OR(Recherche!$C$4="",A4144=Recherche!$C$4),OR(Recherche!$C$5="",B4144&amp;""=Recherche!$C$5&amp;""),OR(Recherche!$C$6="",IFERROR(YEAR(L4144),0)=Recherche!$C$6),OR(Recherche!$C$7="",ISNUMBER(SEARCH(Recherche!$C$7,H4144))),OR(Recherche!$C$8="",J4144=Recherche!$C$8),OR(Recherche!$C$9="",I4144=Recherche!$C$9),OR(Recherche!$C$10="",G4144&amp;""=Recherche!$C$10&amp;""),OR(Recherche!$C$11="",E4144=Recherche!$C$11),OR(Recherche!$C$12="",ISNUMBER(SEARCH(Recherche!$C$12,M4144&amp;" "&amp;F4144)))),1,0)</f>
        <v>8</v>
      </c>
    </row>
    <row r="4145" customFormat="false" ht="15" hidden="false" customHeight="false" outlineLevel="0" collapsed="false">
      <c r="A4145" s="19"/>
      <c r="B4145" s="19"/>
      <c r="C4145" s="19"/>
      <c r="D4145" s="19"/>
      <c r="E4145" s="22"/>
      <c r="F4145" s="19"/>
      <c r="G4145" s="26" t="str">
        <f aca="false">IF(D4145="","",IFERROR(VALUE(LEFT(D4145,FIND(" |",D4145&amp;" |")-1)),"?"))</f>
        <v/>
      </c>
      <c r="H4145" s="27" t="str">
        <f aca="false">IF(G4145="","",IF(G4145="?","⚠ pub inconnue",IFERROR(INDEX(Pubs!$B$2:$B$3001,MATCH(G4145,Pubs!$A$2:$A$3001,0))&amp;"","⚠ pub inconnue")))</f>
        <v/>
      </c>
      <c r="I4145" s="27" t="str">
        <f aca="false">IF(OR(G4145="",G4145="?"),"",IFERROR(INDEX(Pubs!$C$2:$C$3001,MATCH(G4145,Pubs!$A$2:$A$3001,0))&amp;"",""))</f>
        <v/>
      </c>
      <c r="J4145" s="27" t="str">
        <f aca="false">IF(OR(G4145="",G4145="?"),"",IFERROR(INDEX(Pubs!$G$2:$G$3001,MATCH(G4145,Pubs!$A$2:$A$3001,0))&amp;"",""))</f>
        <v/>
      </c>
      <c r="K4145" s="28" t="str">
        <f aca="false">IF(OR(G4145="",G4145="?"),"",IFERROR(INDEX(Pubs!$E$2:$E$3001,MATCH(G4145,Pubs!$A$2:$A$3001,0)),""))</f>
        <v/>
      </c>
      <c r="L4145" s="29" t="str">
        <f aca="false">IF(A4145="","",IFERROR(1/(1/INDEX(Numéros!$C$2:$C$3001,MATCH(A4145&amp;"|"&amp;B4145,Numéros!$F$2:$F$3001,0))),""))</f>
        <v/>
      </c>
      <c r="M4145" s="27" t="str">
        <f aca="false">IF(OR(G4145="",G4145="?"),"",IFERROR(INDEX(Pubs!$D$2:$D$3001,MATCH(G4145,Pubs!$A$2:$A$3001,0))&amp;"",""))</f>
        <v/>
      </c>
      <c r="N4145" s="27" t="n">
        <f aca="false">N(N4144)+IF(AND(A4145&lt;&gt;"",OR(Recherche!$C$4="",A4145=Recherche!$C$4),OR(Recherche!$C$5="",B4145&amp;""=Recherche!$C$5&amp;""),OR(Recherche!$C$6="",IFERROR(YEAR(L4145),0)=Recherche!$C$6),OR(Recherche!$C$7="",ISNUMBER(SEARCH(Recherche!$C$7,H4145))),OR(Recherche!$C$8="",J4145=Recherche!$C$8),OR(Recherche!$C$9="",I4145=Recherche!$C$9),OR(Recherche!$C$10="",G4145&amp;""=Recherche!$C$10&amp;""),OR(Recherche!$C$11="",E4145=Recherche!$C$11),OR(Recherche!$C$12="",ISNUMBER(SEARCH(Recherche!$C$12,M4145&amp;" "&amp;F4145)))),1,0)</f>
        <v>8</v>
      </c>
    </row>
    <row r="4146" customFormat="false" ht="15" hidden="false" customHeight="false" outlineLevel="0" collapsed="false">
      <c r="A4146" s="19"/>
      <c r="B4146" s="19"/>
      <c r="C4146" s="19"/>
      <c r="D4146" s="19"/>
      <c r="E4146" s="22"/>
      <c r="F4146" s="19"/>
      <c r="G4146" s="26" t="str">
        <f aca="false">IF(D4146="","",IFERROR(VALUE(LEFT(D4146,FIND(" |",D4146&amp;" |")-1)),"?"))</f>
        <v/>
      </c>
      <c r="H4146" s="27" t="str">
        <f aca="false">IF(G4146="","",IF(G4146="?","⚠ pub inconnue",IFERROR(INDEX(Pubs!$B$2:$B$3001,MATCH(G4146,Pubs!$A$2:$A$3001,0))&amp;"","⚠ pub inconnue")))</f>
        <v/>
      </c>
      <c r="I4146" s="27" t="str">
        <f aca="false">IF(OR(G4146="",G4146="?"),"",IFERROR(INDEX(Pubs!$C$2:$C$3001,MATCH(G4146,Pubs!$A$2:$A$3001,0))&amp;"",""))</f>
        <v/>
      </c>
      <c r="J4146" s="27" t="str">
        <f aca="false">IF(OR(G4146="",G4146="?"),"",IFERROR(INDEX(Pubs!$G$2:$G$3001,MATCH(G4146,Pubs!$A$2:$A$3001,0))&amp;"",""))</f>
        <v/>
      </c>
      <c r="K4146" s="28" t="str">
        <f aca="false">IF(OR(G4146="",G4146="?"),"",IFERROR(INDEX(Pubs!$E$2:$E$3001,MATCH(G4146,Pubs!$A$2:$A$3001,0)),""))</f>
        <v/>
      </c>
      <c r="L4146" s="29" t="str">
        <f aca="false">IF(A4146="","",IFERROR(1/(1/INDEX(Numéros!$C$2:$C$3001,MATCH(A4146&amp;"|"&amp;B4146,Numéros!$F$2:$F$3001,0))),""))</f>
        <v/>
      </c>
      <c r="M4146" s="27" t="str">
        <f aca="false">IF(OR(G4146="",G4146="?"),"",IFERROR(INDEX(Pubs!$D$2:$D$3001,MATCH(G4146,Pubs!$A$2:$A$3001,0))&amp;"",""))</f>
        <v/>
      </c>
      <c r="N4146" s="27" t="n">
        <f aca="false">N(N4145)+IF(AND(A4146&lt;&gt;"",OR(Recherche!$C$4="",A4146=Recherche!$C$4),OR(Recherche!$C$5="",B4146&amp;""=Recherche!$C$5&amp;""),OR(Recherche!$C$6="",IFERROR(YEAR(L4146),0)=Recherche!$C$6),OR(Recherche!$C$7="",ISNUMBER(SEARCH(Recherche!$C$7,H4146))),OR(Recherche!$C$8="",J4146=Recherche!$C$8),OR(Recherche!$C$9="",I4146=Recherche!$C$9),OR(Recherche!$C$10="",G4146&amp;""=Recherche!$C$10&amp;""),OR(Recherche!$C$11="",E4146=Recherche!$C$11),OR(Recherche!$C$12="",ISNUMBER(SEARCH(Recherche!$C$12,M4146&amp;" "&amp;F4146)))),1,0)</f>
        <v>8</v>
      </c>
    </row>
    <row r="4147" customFormat="false" ht="15" hidden="false" customHeight="false" outlineLevel="0" collapsed="false">
      <c r="A4147" s="19"/>
      <c r="B4147" s="19"/>
      <c r="C4147" s="19"/>
      <c r="D4147" s="19"/>
      <c r="E4147" s="22"/>
      <c r="F4147" s="19"/>
      <c r="G4147" s="26" t="str">
        <f aca="false">IF(D4147="","",IFERROR(VALUE(LEFT(D4147,FIND(" |",D4147&amp;" |")-1)),"?"))</f>
        <v/>
      </c>
      <c r="H4147" s="27" t="str">
        <f aca="false">IF(G4147="","",IF(G4147="?","⚠ pub inconnue",IFERROR(INDEX(Pubs!$B$2:$B$3001,MATCH(G4147,Pubs!$A$2:$A$3001,0))&amp;"","⚠ pub inconnue")))</f>
        <v/>
      </c>
      <c r="I4147" s="27" t="str">
        <f aca="false">IF(OR(G4147="",G4147="?"),"",IFERROR(INDEX(Pubs!$C$2:$C$3001,MATCH(G4147,Pubs!$A$2:$A$3001,0))&amp;"",""))</f>
        <v/>
      </c>
      <c r="J4147" s="27" t="str">
        <f aca="false">IF(OR(G4147="",G4147="?"),"",IFERROR(INDEX(Pubs!$G$2:$G$3001,MATCH(G4147,Pubs!$A$2:$A$3001,0))&amp;"",""))</f>
        <v/>
      </c>
      <c r="K4147" s="28" t="str">
        <f aca="false">IF(OR(G4147="",G4147="?"),"",IFERROR(INDEX(Pubs!$E$2:$E$3001,MATCH(G4147,Pubs!$A$2:$A$3001,0)),""))</f>
        <v/>
      </c>
      <c r="L4147" s="29" t="str">
        <f aca="false">IF(A4147="","",IFERROR(1/(1/INDEX(Numéros!$C$2:$C$3001,MATCH(A4147&amp;"|"&amp;B4147,Numéros!$F$2:$F$3001,0))),""))</f>
        <v/>
      </c>
      <c r="M4147" s="27" t="str">
        <f aca="false">IF(OR(G4147="",G4147="?"),"",IFERROR(INDEX(Pubs!$D$2:$D$3001,MATCH(G4147,Pubs!$A$2:$A$3001,0))&amp;"",""))</f>
        <v/>
      </c>
      <c r="N4147" s="27" t="n">
        <f aca="false">N(N4146)+IF(AND(A4147&lt;&gt;"",OR(Recherche!$C$4="",A4147=Recherche!$C$4),OR(Recherche!$C$5="",B4147&amp;""=Recherche!$C$5&amp;""),OR(Recherche!$C$6="",IFERROR(YEAR(L4147),0)=Recherche!$C$6),OR(Recherche!$C$7="",ISNUMBER(SEARCH(Recherche!$C$7,H4147))),OR(Recherche!$C$8="",J4147=Recherche!$C$8),OR(Recherche!$C$9="",I4147=Recherche!$C$9),OR(Recherche!$C$10="",G4147&amp;""=Recherche!$C$10&amp;""),OR(Recherche!$C$11="",E4147=Recherche!$C$11),OR(Recherche!$C$12="",ISNUMBER(SEARCH(Recherche!$C$12,M4147&amp;" "&amp;F4147)))),1,0)</f>
        <v>8</v>
      </c>
    </row>
    <row r="4148" customFormat="false" ht="15" hidden="false" customHeight="false" outlineLevel="0" collapsed="false">
      <c r="A4148" s="19"/>
      <c r="B4148" s="19"/>
      <c r="C4148" s="19"/>
      <c r="D4148" s="19"/>
      <c r="E4148" s="22"/>
      <c r="F4148" s="19"/>
      <c r="G4148" s="26" t="str">
        <f aca="false">IF(D4148="","",IFERROR(VALUE(LEFT(D4148,FIND(" |",D4148&amp;" |")-1)),"?"))</f>
        <v/>
      </c>
      <c r="H4148" s="27" t="str">
        <f aca="false">IF(G4148="","",IF(G4148="?","⚠ pub inconnue",IFERROR(INDEX(Pubs!$B$2:$B$3001,MATCH(G4148,Pubs!$A$2:$A$3001,0))&amp;"","⚠ pub inconnue")))</f>
        <v/>
      </c>
      <c r="I4148" s="27" t="str">
        <f aca="false">IF(OR(G4148="",G4148="?"),"",IFERROR(INDEX(Pubs!$C$2:$C$3001,MATCH(G4148,Pubs!$A$2:$A$3001,0))&amp;"",""))</f>
        <v/>
      </c>
      <c r="J4148" s="27" t="str">
        <f aca="false">IF(OR(G4148="",G4148="?"),"",IFERROR(INDEX(Pubs!$G$2:$G$3001,MATCH(G4148,Pubs!$A$2:$A$3001,0))&amp;"",""))</f>
        <v/>
      </c>
      <c r="K4148" s="28" t="str">
        <f aca="false">IF(OR(G4148="",G4148="?"),"",IFERROR(INDEX(Pubs!$E$2:$E$3001,MATCH(G4148,Pubs!$A$2:$A$3001,0)),""))</f>
        <v/>
      </c>
      <c r="L4148" s="29" t="str">
        <f aca="false">IF(A4148="","",IFERROR(1/(1/INDEX(Numéros!$C$2:$C$3001,MATCH(A4148&amp;"|"&amp;B4148,Numéros!$F$2:$F$3001,0))),""))</f>
        <v/>
      </c>
      <c r="M4148" s="27" t="str">
        <f aca="false">IF(OR(G4148="",G4148="?"),"",IFERROR(INDEX(Pubs!$D$2:$D$3001,MATCH(G4148,Pubs!$A$2:$A$3001,0))&amp;"",""))</f>
        <v/>
      </c>
      <c r="N4148" s="27" t="n">
        <f aca="false">N(N4147)+IF(AND(A4148&lt;&gt;"",OR(Recherche!$C$4="",A4148=Recherche!$C$4),OR(Recherche!$C$5="",B4148&amp;""=Recherche!$C$5&amp;""),OR(Recherche!$C$6="",IFERROR(YEAR(L4148),0)=Recherche!$C$6),OR(Recherche!$C$7="",ISNUMBER(SEARCH(Recherche!$C$7,H4148))),OR(Recherche!$C$8="",J4148=Recherche!$C$8),OR(Recherche!$C$9="",I4148=Recherche!$C$9),OR(Recherche!$C$10="",G4148&amp;""=Recherche!$C$10&amp;""),OR(Recherche!$C$11="",E4148=Recherche!$C$11),OR(Recherche!$C$12="",ISNUMBER(SEARCH(Recherche!$C$12,M4148&amp;" "&amp;F4148)))),1,0)</f>
        <v>8</v>
      </c>
    </row>
    <row r="4149" customFormat="false" ht="15" hidden="false" customHeight="false" outlineLevel="0" collapsed="false">
      <c r="A4149" s="19"/>
      <c r="B4149" s="19"/>
      <c r="C4149" s="19"/>
      <c r="D4149" s="19"/>
      <c r="E4149" s="22"/>
      <c r="F4149" s="19"/>
      <c r="G4149" s="26" t="str">
        <f aca="false">IF(D4149="","",IFERROR(VALUE(LEFT(D4149,FIND(" |",D4149&amp;" |")-1)),"?"))</f>
        <v/>
      </c>
      <c r="H4149" s="27" t="str">
        <f aca="false">IF(G4149="","",IF(G4149="?","⚠ pub inconnue",IFERROR(INDEX(Pubs!$B$2:$B$3001,MATCH(G4149,Pubs!$A$2:$A$3001,0))&amp;"","⚠ pub inconnue")))</f>
        <v/>
      </c>
      <c r="I4149" s="27" t="str">
        <f aca="false">IF(OR(G4149="",G4149="?"),"",IFERROR(INDEX(Pubs!$C$2:$C$3001,MATCH(G4149,Pubs!$A$2:$A$3001,0))&amp;"",""))</f>
        <v/>
      </c>
      <c r="J4149" s="27" t="str">
        <f aca="false">IF(OR(G4149="",G4149="?"),"",IFERROR(INDEX(Pubs!$G$2:$G$3001,MATCH(G4149,Pubs!$A$2:$A$3001,0))&amp;"",""))</f>
        <v/>
      </c>
      <c r="K4149" s="28" t="str">
        <f aca="false">IF(OR(G4149="",G4149="?"),"",IFERROR(INDEX(Pubs!$E$2:$E$3001,MATCH(G4149,Pubs!$A$2:$A$3001,0)),""))</f>
        <v/>
      </c>
      <c r="L4149" s="29" t="str">
        <f aca="false">IF(A4149="","",IFERROR(1/(1/INDEX(Numéros!$C$2:$C$3001,MATCH(A4149&amp;"|"&amp;B4149,Numéros!$F$2:$F$3001,0))),""))</f>
        <v/>
      </c>
      <c r="M4149" s="27" t="str">
        <f aca="false">IF(OR(G4149="",G4149="?"),"",IFERROR(INDEX(Pubs!$D$2:$D$3001,MATCH(G4149,Pubs!$A$2:$A$3001,0))&amp;"",""))</f>
        <v/>
      </c>
      <c r="N4149" s="27" t="n">
        <f aca="false">N(N4148)+IF(AND(A4149&lt;&gt;"",OR(Recherche!$C$4="",A4149=Recherche!$C$4),OR(Recherche!$C$5="",B4149&amp;""=Recherche!$C$5&amp;""),OR(Recherche!$C$6="",IFERROR(YEAR(L4149),0)=Recherche!$C$6),OR(Recherche!$C$7="",ISNUMBER(SEARCH(Recherche!$C$7,H4149))),OR(Recherche!$C$8="",J4149=Recherche!$C$8),OR(Recherche!$C$9="",I4149=Recherche!$C$9),OR(Recherche!$C$10="",G4149&amp;""=Recherche!$C$10&amp;""),OR(Recherche!$C$11="",E4149=Recherche!$C$11),OR(Recherche!$C$12="",ISNUMBER(SEARCH(Recherche!$C$12,M4149&amp;" "&amp;F4149)))),1,0)</f>
        <v>8</v>
      </c>
    </row>
    <row r="4150" customFormat="false" ht="15" hidden="false" customHeight="false" outlineLevel="0" collapsed="false">
      <c r="A4150" s="19"/>
      <c r="B4150" s="19"/>
      <c r="C4150" s="19"/>
      <c r="D4150" s="19"/>
      <c r="E4150" s="22"/>
      <c r="F4150" s="19"/>
      <c r="G4150" s="26" t="str">
        <f aca="false">IF(D4150="","",IFERROR(VALUE(LEFT(D4150,FIND(" |",D4150&amp;" |")-1)),"?"))</f>
        <v/>
      </c>
      <c r="H4150" s="27" t="str">
        <f aca="false">IF(G4150="","",IF(G4150="?","⚠ pub inconnue",IFERROR(INDEX(Pubs!$B$2:$B$3001,MATCH(G4150,Pubs!$A$2:$A$3001,0))&amp;"","⚠ pub inconnue")))</f>
        <v/>
      </c>
      <c r="I4150" s="27" t="str">
        <f aca="false">IF(OR(G4150="",G4150="?"),"",IFERROR(INDEX(Pubs!$C$2:$C$3001,MATCH(G4150,Pubs!$A$2:$A$3001,0))&amp;"",""))</f>
        <v/>
      </c>
      <c r="J4150" s="27" t="str">
        <f aca="false">IF(OR(G4150="",G4150="?"),"",IFERROR(INDEX(Pubs!$G$2:$G$3001,MATCH(G4150,Pubs!$A$2:$A$3001,0))&amp;"",""))</f>
        <v/>
      </c>
      <c r="K4150" s="28" t="str">
        <f aca="false">IF(OR(G4150="",G4150="?"),"",IFERROR(INDEX(Pubs!$E$2:$E$3001,MATCH(G4150,Pubs!$A$2:$A$3001,0)),""))</f>
        <v/>
      </c>
      <c r="L4150" s="29" t="str">
        <f aca="false">IF(A4150="","",IFERROR(1/(1/INDEX(Numéros!$C$2:$C$3001,MATCH(A4150&amp;"|"&amp;B4150,Numéros!$F$2:$F$3001,0))),""))</f>
        <v/>
      </c>
      <c r="M4150" s="27" t="str">
        <f aca="false">IF(OR(G4150="",G4150="?"),"",IFERROR(INDEX(Pubs!$D$2:$D$3001,MATCH(G4150,Pubs!$A$2:$A$3001,0))&amp;"",""))</f>
        <v/>
      </c>
      <c r="N4150" s="27" t="n">
        <f aca="false">N(N4149)+IF(AND(A4150&lt;&gt;"",OR(Recherche!$C$4="",A4150=Recherche!$C$4),OR(Recherche!$C$5="",B4150&amp;""=Recherche!$C$5&amp;""),OR(Recherche!$C$6="",IFERROR(YEAR(L4150),0)=Recherche!$C$6),OR(Recherche!$C$7="",ISNUMBER(SEARCH(Recherche!$C$7,H4150))),OR(Recherche!$C$8="",J4150=Recherche!$C$8),OR(Recherche!$C$9="",I4150=Recherche!$C$9),OR(Recherche!$C$10="",G4150&amp;""=Recherche!$C$10&amp;""),OR(Recherche!$C$11="",E4150=Recherche!$C$11),OR(Recherche!$C$12="",ISNUMBER(SEARCH(Recherche!$C$12,M4150&amp;" "&amp;F4150)))),1,0)</f>
        <v>8</v>
      </c>
    </row>
    <row r="4151" customFormat="false" ht="15" hidden="false" customHeight="false" outlineLevel="0" collapsed="false">
      <c r="A4151" s="19"/>
      <c r="B4151" s="19"/>
      <c r="C4151" s="19"/>
      <c r="D4151" s="19"/>
      <c r="E4151" s="22"/>
      <c r="F4151" s="19"/>
      <c r="G4151" s="26" t="str">
        <f aca="false">IF(D4151="","",IFERROR(VALUE(LEFT(D4151,FIND(" |",D4151&amp;" |")-1)),"?"))</f>
        <v/>
      </c>
      <c r="H4151" s="27" t="str">
        <f aca="false">IF(G4151="","",IF(G4151="?","⚠ pub inconnue",IFERROR(INDEX(Pubs!$B$2:$B$3001,MATCH(G4151,Pubs!$A$2:$A$3001,0))&amp;"","⚠ pub inconnue")))</f>
        <v/>
      </c>
      <c r="I4151" s="27" t="str">
        <f aca="false">IF(OR(G4151="",G4151="?"),"",IFERROR(INDEX(Pubs!$C$2:$C$3001,MATCH(G4151,Pubs!$A$2:$A$3001,0))&amp;"",""))</f>
        <v/>
      </c>
      <c r="J4151" s="27" t="str">
        <f aca="false">IF(OR(G4151="",G4151="?"),"",IFERROR(INDEX(Pubs!$G$2:$G$3001,MATCH(G4151,Pubs!$A$2:$A$3001,0))&amp;"",""))</f>
        <v/>
      </c>
      <c r="K4151" s="28" t="str">
        <f aca="false">IF(OR(G4151="",G4151="?"),"",IFERROR(INDEX(Pubs!$E$2:$E$3001,MATCH(G4151,Pubs!$A$2:$A$3001,0)),""))</f>
        <v/>
      </c>
      <c r="L4151" s="29" t="str">
        <f aca="false">IF(A4151="","",IFERROR(1/(1/INDEX(Numéros!$C$2:$C$3001,MATCH(A4151&amp;"|"&amp;B4151,Numéros!$F$2:$F$3001,0))),""))</f>
        <v/>
      </c>
      <c r="M4151" s="27" t="str">
        <f aca="false">IF(OR(G4151="",G4151="?"),"",IFERROR(INDEX(Pubs!$D$2:$D$3001,MATCH(G4151,Pubs!$A$2:$A$3001,0))&amp;"",""))</f>
        <v/>
      </c>
      <c r="N4151" s="27" t="n">
        <f aca="false">N(N4150)+IF(AND(A4151&lt;&gt;"",OR(Recherche!$C$4="",A4151=Recherche!$C$4),OR(Recherche!$C$5="",B4151&amp;""=Recherche!$C$5&amp;""),OR(Recherche!$C$6="",IFERROR(YEAR(L4151),0)=Recherche!$C$6),OR(Recherche!$C$7="",ISNUMBER(SEARCH(Recherche!$C$7,H4151))),OR(Recherche!$C$8="",J4151=Recherche!$C$8),OR(Recherche!$C$9="",I4151=Recherche!$C$9),OR(Recherche!$C$10="",G4151&amp;""=Recherche!$C$10&amp;""),OR(Recherche!$C$11="",E4151=Recherche!$C$11),OR(Recherche!$C$12="",ISNUMBER(SEARCH(Recherche!$C$12,M4151&amp;" "&amp;F4151)))),1,0)</f>
        <v>8</v>
      </c>
    </row>
    <row r="4152" customFormat="false" ht="15" hidden="false" customHeight="false" outlineLevel="0" collapsed="false">
      <c r="A4152" s="19"/>
      <c r="B4152" s="19"/>
      <c r="C4152" s="19"/>
      <c r="D4152" s="19"/>
      <c r="E4152" s="22"/>
      <c r="F4152" s="19"/>
      <c r="G4152" s="26" t="str">
        <f aca="false">IF(D4152="","",IFERROR(VALUE(LEFT(D4152,FIND(" |",D4152&amp;" |")-1)),"?"))</f>
        <v/>
      </c>
      <c r="H4152" s="27" t="str">
        <f aca="false">IF(G4152="","",IF(G4152="?","⚠ pub inconnue",IFERROR(INDEX(Pubs!$B$2:$B$3001,MATCH(G4152,Pubs!$A$2:$A$3001,0))&amp;"","⚠ pub inconnue")))</f>
        <v/>
      </c>
      <c r="I4152" s="27" t="str">
        <f aca="false">IF(OR(G4152="",G4152="?"),"",IFERROR(INDEX(Pubs!$C$2:$C$3001,MATCH(G4152,Pubs!$A$2:$A$3001,0))&amp;"",""))</f>
        <v/>
      </c>
      <c r="J4152" s="27" t="str">
        <f aca="false">IF(OR(G4152="",G4152="?"),"",IFERROR(INDEX(Pubs!$G$2:$G$3001,MATCH(G4152,Pubs!$A$2:$A$3001,0))&amp;"",""))</f>
        <v/>
      </c>
      <c r="K4152" s="28" t="str">
        <f aca="false">IF(OR(G4152="",G4152="?"),"",IFERROR(INDEX(Pubs!$E$2:$E$3001,MATCH(G4152,Pubs!$A$2:$A$3001,0)),""))</f>
        <v/>
      </c>
      <c r="L4152" s="29" t="str">
        <f aca="false">IF(A4152="","",IFERROR(1/(1/INDEX(Numéros!$C$2:$C$3001,MATCH(A4152&amp;"|"&amp;B4152,Numéros!$F$2:$F$3001,0))),""))</f>
        <v/>
      </c>
      <c r="M4152" s="27" t="str">
        <f aca="false">IF(OR(G4152="",G4152="?"),"",IFERROR(INDEX(Pubs!$D$2:$D$3001,MATCH(G4152,Pubs!$A$2:$A$3001,0))&amp;"",""))</f>
        <v/>
      </c>
      <c r="N4152" s="27" t="n">
        <f aca="false">N(N4151)+IF(AND(A4152&lt;&gt;"",OR(Recherche!$C$4="",A4152=Recherche!$C$4),OR(Recherche!$C$5="",B4152&amp;""=Recherche!$C$5&amp;""),OR(Recherche!$C$6="",IFERROR(YEAR(L4152),0)=Recherche!$C$6),OR(Recherche!$C$7="",ISNUMBER(SEARCH(Recherche!$C$7,H4152))),OR(Recherche!$C$8="",J4152=Recherche!$C$8),OR(Recherche!$C$9="",I4152=Recherche!$C$9),OR(Recherche!$C$10="",G4152&amp;""=Recherche!$C$10&amp;""),OR(Recherche!$C$11="",E4152=Recherche!$C$11),OR(Recherche!$C$12="",ISNUMBER(SEARCH(Recherche!$C$12,M4152&amp;" "&amp;F4152)))),1,0)</f>
        <v>8</v>
      </c>
    </row>
    <row r="4153" customFormat="false" ht="15" hidden="false" customHeight="false" outlineLevel="0" collapsed="false">
      <c r="A4153" s="19"/>
      <c r="B4153" s="19"/>
      <c r="C4153" s="19"/>
      <c r="D4153" s="19"/>
      <c r="E4153" s="22"/>
      <c r="F4153" s="19"/>
      <c r="G4153" s="26" t="str">
        <f aca="false">IF(D4153="","",IFERROR(VALUE(LEFT(D4153,FIND(" |",D4153&amp;" |")-1)),"?"))</f>
        <v/>
      </c>
      <c r="H4153" s="27" t="str">
        <f aca="false">IF(G4153="","",IF(G4153="?","⚠ pub inconnue",IFERROR(INDEX(Pubs!$B$2:$B$3001,MATCH(G4153,Pubs!$A$2:$A$3001,0))&amp;"","⚠ pub inconnue")))</f>
        <v/>
      </c>
      <c r="I4153" s="27" t="str">
        <f aca="false">IF(OR(G4153="",G4153="?"),"",IFERROR(INDEX(Pubs!$C$2:$C$3001,MATCH(G4153,Pubs!$A$2:$A$3001,0))&amp;"",""))</f>
        <v/>
      </c>
      <c r="J4153" s="27" t="str">
        <f aca="false">IF(OR(G4153="",G4153="?"),"",IFERROR(INDEX(Pubs!$G$2:$G$3001,MATCH(G4153,Pubs!$A$2:$A$3001,0))&amp;"",""))</f>
        <v/>
      </c>
      <c r="K4153" s="28" t="str">
        <f aca="false">IF(OR(G4153="",G4153="?"),"",IFERROR(INDEX(Pubs!$E$2:$E$3001,MATCH(G4153,Pubs!$A$2:$A$3001,0)),""))</f>
        <v/>
      </c>
      <c r="L4153" s="29" t="str">
        <f aca="false">IF(A4153="","",IFERROR(1/(1/INDEX(Numéros!$C$2:$C$3001,MATCH(A4153&amp;"|"&amp;B4153,Numéros!$F$2:$F$3001,0))),""))</f>
        <v/>
      </c>
      <c r="M4153" s="27" t="str">
        <f aca="false">IF(OR(G4153="",G4153="?"),"",IFERROR(INDEX(Pubs!$D$2:$D$3001,MATCH(G4153,Pubs!$A$2:$A$3001,0))&amp;"",""))</f>
        <v/>
      </c>
      <c r="N4153" s="27" t="n">
        <f aca="false">N(N4152)+IF(AND(A4153&lt;&gt;"",OR(Recherche!$C$4="",A4153=Recherche!$C$4),OR(Recherche!$C$5="",B4153&amp;""=Recherche!$C$5&amp;""),OR(Recherche!$C$6="",IFERROR(YEAR(L4153),0)=Recherche!$C$6),OR(Recherche!$C$7="",ISNUMBER(SEARCH(Recherche!$C$7,H4153))),OR(Recherche!$C$8="",J4153=Recherche!$C$8),OR(Recherche!$C$9="",I4153=Recherche!$C$9),OR(Recherche!$C$10="",G4153&amp;""=Recherche!$C$10&amp;""),OR(Recherche!$C$11="",E4153=Recherche!$C$11),OR(Recherche!$C$12="",ISNUMBER(SEARCH(Recherche!$C$12,M4153&amp;" "&amp;F4153)))),1,0)</f>
        <v>8</v>
      </c>
    </row>
    <row r="4154" customFormat="false" ht="15" hidden="false" customHeight="false" outlineLevel="0" collapsed="false">
      <c r="A4154" s="19"/>
      <c r="B4154" s="19"/>
      <c r="C4154" s="19"/>
      <c r="D4154" s="19"/>
      <c r="E4154" s="22"/>
      <c r="F4154" s="19"/>
      <c r="G4154" s="26" t="str">
        <f aca="false">IF(D4154="","",IFERROR(VALUE(LEFT(D4154,FIND(" |",D4154&amp;" |")-1)),"?"))</f>
        <v/>
      </c>
      <c r="H4154" s="27" t="str">
        <f aca="false">IF(G4154="","",IF(G4154="?","⚠ pub inconnue",IFERROR(INDEX(Pubs!$B$2:$B$3001,MATCH(G4154,Pubs!$A$2:$A$3001,0))&amp;"","⚠ pub inconnue")))</f>
        <v/>
      </c>
      <c r="I4154" s="27" t="str">
        <f aca="false">IF(OR(G4154="",G4154="?"),"",IFERROR(INDEX(Pubs!$C$2:$C$3001,MATCH(G4154,Pubs!$A$2:$A$3001,0))&amp;"",""))</f>
        <v/>
      </c>
      <c r="J4154" s="27" t="str">
        <f aca="false">IF(OR(G4154="",G4154="?"),"",IFERROR(INDEX(Pubs!$G$2:$G$3001,MATCH(G4154,Pubs!$A$2:$A$3001,0))&amp;"",""))</f>
        <v/>
      </c>
      <c r="K4154" s="28" t="str">
        <f aca="false">IF(OR(G4154="",G4154="?"),"",IFERROR(INDEX(Pubs!$E$2:$E$3001,MATCH(G4154,Pubs!$A$2:$A$3001,0)),""))</f>
        <v/>
      </c>
      <c r="L4154" s="29" t="str">
        <f aca="false">IF(A4154="","",IFERROR(1/(1/INDEX(Numéros!$C$2:$C$3001,MATCH(A4154&amp;"|"&amp;B4154,Numéros!$F$2:$F$3001,0))),""))</f>
        <v/>
      </c>
      <c r="M4154" s="27" t="str">
        <f aca="false">IF(OR(G4154="",G4154="?"),"",IFERROR(INDEX(Pubs!$D$2:$D$3001,MATCH(G4154,Pubs!$A$2:$A$3001,0))&amp;"",""))</f>
        <v/>
      </c>
      <c r="N4154" s="27" t="n">
        <f aca="false">N(N4153)+IF(AND(A4154&lt;&gt;"",OR(Recherche!$C$4="",A4154=Recherche!$C$4),OR(Recherche!$C$5="",B4154&amp;""=Recherche!$C$5&amp;""),OR(Recherche!$C$6="",IFERROR(YEAR(L4154),0)=Recherche!$C$6),OR(Recherche!$C$7="",ISNUMBER(SEARCH(Recherche!$C$7,H4154))),OR(Recherche!$C$8="",J4154=Recherche!$C$8),OR(Recherche!$C$9="",I4154=Recherche!$C$9),OR(Recherche!$C$10="",G4154&amp;""=Recherche!$C$10&amp;""),OR(Recherche!$C$11="",E4154=Recherche!$C$11),OR(Recherche!$C$12="",ISNUMBER(SEARCH(Recherche!$C$12,M4154&amp;" "&amp;F4154)))),1,0)</f>
        <v>8</v>
      </c>
    </row>
    <row r="4155" customFormat="false" ht="15" hidden="false" customHeight="false" outlineLevel="0" collapsed="false">
      <c r="A4155" s="19"/>
      <c r="B4155" s="19"/>
      <c r="C4155" s="19"/>
      <c r="D4155" s="19"/>
      <c r="E4155" s="22"/>
      <c r="F4155" s="19"/>
      <c r="G4155" s="26" t="str">
        <f aca="false">IF(D4155="","",IFERROR(VALUE(LEFT(D4155,FIND(" |",D4155&amp;" |")-1)),"?"))</f>
        <v/>
      </c>
      <c r="H4155" s="27" t="str">
        <f aca="false">IF(G4155="","",IF(G4155="?","⚠ pub inconnue",IFERROR(INDEX(Pubs!$B$2:$B$3001,MATCH(G4155,Pubs!$A$2:$A$3001,0))&amp;"","⚠ pub inconnue")))</f>
        <v/>
      </c>
      <c r="I4155" s="27" t="str">
        <f aca="false">IF(OR(G4155="",G4155="?"),"",IFERROR(INDEX(Pubs!$C$2:$C$3001,MATCH(G4155,Pubs!$A$2:$A$3001,0))&amp;"",""))</f>
        <v/>
      </c>
      <c r="J4155" s="27" t="str">
        <f aca="false">IF(OR(G4155="",G4155="?"),"",IFERROR(INDEX(Pubs!$G$2:$G$3001,MATCH(G4155,Pubs!$A$2:$A$3001,0))&amp;"",""))</f>
        <v/>
      </c>
      <c r="K4155" s="28" t="str">
        <f aca="false">IF(OR(G4155="",G4155="?"),"",IFERROR(INDEX(Pubs!$E$2:$E$3001,MATCH(G4155,Pubs!$A$2:$A$3001,0)),""))</f>
        <v/>
      </c>
      <c r="L4155" s="29" t="str">
        <f aca="false">IF(A4155="","",IFERROR(1/(1/INDEX(Numéros!$C$2:$C$3001,MATCH(A4155&amp;"|"&amp;B4155,Numéros!$F$2:$F$3001,0))),""))</f>
        <v/>
      </c>
      <c r="M4155" s="27" t="str">
        <f aca="false">IF(OR(G4155="",G4155="?"),"",IFERROR(INDEX(Pubs!$D$2:$D$3001,MATCH(G4155,Pubs!$A$2:$A$3001,0))&amp;"",""))</f>
        <v/>
      </c>
      <c r="N4155" s="27" t="n">
        <f aca="false">N(N4154)+IF(AND(A4155&lt;&gt;"",OR(Recherche!$C$4="",A4155=Recherche!$C$4),OR(Recherche!$C$5="",B4155&amp;""=Recherche!$C$5&amp;""),OR(Recherche!$C$6="",IFERROR(YEAR(L4155),0)=Recherche!$C$6),OR(Recherche!$C$7="",ISNUMBER(SEARCH(Recherche!$C$7,H4155))),OR(Recherche!$C$8="",J4155=Recherche!$C$8),OR(Recherche!$C$9="",I4155=Recherche!$C$9),OR(Recherche!$C$10="",G4155&amp;""=Recherche!$C$10&amp;""),OR(Recherche!$C$11="",E4155=Recherche!$C$11),OR(Recherche!$C$12="",ISNUMBER(SEARCH(Recherche!$C$12,M4155&amp;" "&amp;F4155)))),1,0)</f>
        <v>8</v>
      </c>
    </row>
    <row r="4156" customFormat="false" ht="15" hidden="false" customHeight="false" outlineLevel="0" collapsed="false">
      <c r="A4156" s="19"/>
      <c r="B4156" s="19"/>
      <c r="C4156" s="19"/>
      <c r="D4156" s="19"/>
      <c r="E4156" s="22"/>
      <c r="F4156" s="19"/>
      <c r="G4156" s="26" t="str">
        <f aca="false">IF(D4156="","",IFERROR(VALUE(LEFT(D4156,FIND(" |",D4156&amp;" |")-1)),"?"))</f>
        <v/>
      </c>
      <c r="H4156" s="27" t="str">
        <f aca="false">IF(G4156="","",IF(G4156="?","⚠ pub inconnue",IFERROR(INDEX(Pubs!$B$2:$B$3001,MATCH(G4156,Pubs!$A$2:$A$3001,0))&amp;"","⚠ pub inconnue")))</f>
        <v/>
      </c>
      <c r="I4156" s="27" t="str">
        <f aca="false">IF(OR(G4156="",G4156="?"),"",IFERROR(INDEX(Pubs!$C$2:$C$3001,MATCH(G4156,Pubs!$A$2:$A$3001,0))&amp;"",""))</f>
        <v/>
      </c>
      <c r="J4156" s="27" t="str">
        <f aca="false">IF(OR(G4156="",G4156="?"),"",IFERROR(INDEX(Pubs!$G$2:$G$3001,MATCH(G4156,Pubs!$A$2:$A$3001,0))&amp;"",""))</f>
        <v/>
      </c>
      <c r="K4156" s="28" t="str">
        <f aca="false">IF(OR(G4156="",G4156="?"),"",IFERROR(INDEX(Pubs!$E$2:$E$3001,MATCH(G4156,Pubs!$A$2:$A$3001,0)),""))</f>
        <v/>
      </c>
      <c r="L4156" s="29" t="str">
        <f aca="false">IF(A4156="","",IFERROR(1/(1/INDEX(Numéros!$C$2:$C$3001,MATCH(A4156&amp;"|"&amp;B4156,Numéros!$F$2:$F$3001,0))),""))</f>
        <v/>
      </c>
      <c r="M4156" s="27" t="str">
        <f aca="false">IF(OR(G4156="",G4156="?"),"",IFERROR(INDEX(Pubs!$D$2:$D$3001,MATCH(G4156,Pubs!$A$2:$A$3001,0))&amp;"",""))</f>
        <v/>
      </c>
      <c r="N4156" s="27" t="n">
        <f aca="false">N(N4155)+IF(AND(A4156&lt;&gt;"",OR(Recherche!$C$4="",A4156=Recherche!$C$4),OR(Recherche!$C$5="",B4156&amp;""=Recherche!$C$5&amp;""),OR(Recherche!$C$6="",IFERROR(YEAR(L4156),0)=Recherche!$C$6),OR(Recherche!$C$7="",ISNUMBER(SEARCH(Recherche!$C$7,H4156))),OR(Recherche!$C$8="",J4156=Recherche!$C$8),OR(Recherche!$C$9="",I4156=Recherche!$C$9),OR(Recherche!$C$10="",G4156&amp;""=Recherche!$C$10&amp;""),OR(Recherche!$C$11="",E4156=Recherche!$C$11),OR(Recherche!$C$12="",ISNUMBER(SEARCH(Recherche!$C$12,M4156&amp;" "&amp;F4156)))),1,0)</f>
        <v>8</v>
      </c>
    </row>
    <row r="4157" customFormat="false" ht="15" hidden="false" customHeight="false" outlineLevel="0" collapsed="false">
      <c r="A4157" s="19"/>
      <c r="B4157" s="19"/>
      <c r="C4157" s="19"/>
      <c r="D4157" s="19"/>
      <c r="E4157" s="22"/>
      <c r="F4157" s="19"/>
      <c r="G4157" s="26" t="str">
        <f aca="false">IF(D4157="","",IFERROR(VALUE(LEFT(D4157,FIND(" |",D4157&amp;" |")-1)),"?"))</f>
        <v/>
      </c>
      <c r="H4157" s="27" t="str">
        <f aca="false">IF(G4157="","",IF(G4157="?","⚠ pub inconnue",IFERROR(INDEX(Pubs!$B$2:$B$3001,MATCH(G4157,Pubs!$A$2:$A$3001,0))&amp;"","⚠ pub inconnue")))</f>
        <v/>
      </c>
      <c r="I4157" s="27" t="str">
        <f aca="false">IF(OR(G4157="",G4157="?"),"",IFERROR(INDEX(Pubs!$C$2:$C$3001,MATCH(G4157,Pubs!$A$2:$A$3001,0))&amp;"",""))</f>
        <v/>
      </c>
      <c r="J4157" s="27" t="str">
        <f aca="false">IF(OR(G4157="",G4157="?"),"",IFERROR(INDEX(Pubs!$G$2:$G$3001,MATCH(G4157,Pubs!$A$2:$A$3001,0))&amp;"",""))</f>
        <v/>
      </c>
      <c r="K4157" s="28" t="str">
        <f aca="false">IF(OR(G4157="",G4157="?"),"",IFERROR(INDEX(Pubs!$E$2:$E$3001,MATCH(G4157,Pubs!$A$2:$A$3001,0)),""))</f>
        <v/>
      </c>
      <c r="L4157" s="29" t="str">
        <f aca="false">IF(A4157="","",IFERROR(1/(1/INDEX(Numéros!$C$2:$C$3001,MATCH(A4157&amp;"|"&amp;B4157,Numéros!$F$2:$F$3001,0))),""))</f>
        <v/>
      </c>
      <c r="M4157" s="27" t="str">
        <f aca="false">IF(OR(G4157="",G4157="?"),"",IFERROR(INDEX(Pubs!$D$2:$D$3001,MATCH(G4157,Pubs!$A$2:$A$3001,0))&amp;"",""))</f>
        <v/>
      </c>
      <c r="N4157" s="27" t="n">
        <f aca="false">N(N4156)+IF(AND(A4157&lt;&gt;"",OR(Recherche!$C$4="",A4157=Recherche!$C$4),OR(Recherche!$C$5="",B4157&amp;""=Recherche!$C$5&amp;""),OR(Recherche!$C$6="",IFERROR(YEAR(L4157),0)=Recherche!$C$6),OR(Recherche!$C$7="",ISNUMBER(SEARCH(Recherche!$C$7,H4157))),OR(Recherche!$C$8="",J4157=Recherche!$C$8),OR(Recherche!$C$9="",I4157=Recherche!$C$9),OR(Recherche!$C$10="",G4157&amp;""=Recherche!$C$10&amp;""),OR(Recherche!$C$11="",E4157=Recherche!$C$11),OR(Recherche!$C$12="",ISNUMBER(SEARCH(Recherche!$C$12,M4157&amp;" "&amp;F4157)))),1,0)</f>
        <v>8</v>
      </c>
    </row>
    <row r="4158" customFormat="false" ht="15" hidden="false" customHeight="false" outlineLevel="0" collapsed="false">
      <c r="A4158" s="19"/>
      <c r="B4158" s="19"/>
      <c r="C4158" s="19"/>
      <c r="D4158" s="19"/>
      <c r="E4158" s="22"/>
      <c r="F4158" s="19"/>
      <c r="G4158" s="26" t="str">
        <f aca="false">IF(D4158="","",IFERROR(VALUE(LEFT(D4158,FIND(" |",D4158&amp;" |")-1)),"?"))</f>
        <v/>
      </c>
      <c r="H4158" s="27" t="str">
        <f aca="false">IF(G4158="","",IF(G4158="?","⚠ pub inconnue",IFERROR(INDEX(Pubs!$B$2:$B$3001,MATCH(G4158,Pubs!$A$2:$A$3001,0))&amp;"","⚠ pub inconnue")))</f>
        <v/>
      </c>
      <c r="I4158" s="27" t="str">
        <f aca="false">IF(OR(G4158="",G4158="?"),"",IFERROR(INDEX(Pubs!$C$2:$C$3001,MATCH(G4158,Pubs!$A$2:$A$3001,0))&amp;"",""))</f>
        <v/>
      </c>
      <c r="J4158" s="27" t="str">
        <f aca="false">IF(OR(G4158="",G4158="?"),"",IFERROR(INDEX(Pubs!$G$2:$G$3001,MATCH(G4158,Pubs!$A$2:$A$3001,0))&amp;"",""))</f>
        <v/>
      </c>
      <c r="K4158" s="28" t="str">
        <f aca="false">IF(OR(G4158="",G4158="?"),"",IFERROR(INDEX(Pubs!$E$2:$E$3001,MATCH(G4158,Pubs!$A$2:$A$3001,0)),""))</f>
        <v/>
      </c>
      <c r="L4158" s="29" t="str">
        <f aca="false">IF(A4158="","",IFERROR(1/(1/INDEX(Numéros!$C$2:$C$3001,MATCH(A4158&amp;"|"&amp;B4158,Numéros!$F$2:$F$3001,0))),""))</f>
        <v/>
      </c>
      <c r="M4158" s="27" t="str">
        <f aca="false">IF(OR(G4158="",G4158="?"),"",IFERROR(INDEX(Pubs!$D$2:$D$3001,MATCH(G4158,Pubs!$A$2:$A$3001,0))&amp;"",""))</f>
        <v/>
      </c>
      <c r="N4158" s="27" t="n">
        <f aca="false">N(N4157)+IF(AND(A4158&lt;&gt;"",OR(Recherche!$C$4="",A4158=Recherche!$C$4),OR(Recherche!$C$5="",B4158&amp;""=Recherche!$C$5&amp;""),OR(Recherche!$C$6="",IFERROR(YEAR(L4158),0)=Recherche!$C$6),OR(Recherche!$C$7="",ISNUMBER(SEARCH(Recherche!$C$7,H4158))),OR(Recherche!$C$8="",J4158=Recherche!$C$8),OR(Recherche!$C$9="",I4158=Recherche!$C$9),OR(Recherche!$C$10="",G4158&amp;""=Recherche!$C$10&amp;""),OR(Recherche!$C$11="",E4158=Recherche!$C$11),OR(Recherche!$C$12="",ISNUMBER(SEARCH(Recherche!$C$12,M4158&amp;" "&amp;F4158)))),1,0)</f>
        <v>8</v>
      </c>
    </row>
    <row r="4159" customFormat="false" ht="15" hidden="false" customHeight="false" outlineLevel="0" collapsed="false">
      <c r="A4159" s="19"/>
      <c r="B4159" s="19"/>
      <c r="C4159" s="19"/>
      <c r="D4159" s="19"/>
      <c r="E4159" s="22"/>
      <c r="F4159" s="19"/>
      <c r="G4159" s="26" t="str">
        <f aca="false">IF(D4159="","",IFERROR(VALUE(LEFT(D4159,FIND(" |",D4159&amp;" |")-1)),"?"))</f>
        <v/>
      </c>
      <c r="H4159" s="27" t="str">
        <f aca="false">IF(G4159="","",IF(G4159="?","⚠ pub inconnue",IFERROR(INDEX(Pubs!$B$2:$B$3001,MATCH(G4159,Pubs!$A$2:$A$3001,0))&amp;"","⚠ pub inconnue")))</f>
        <v/>
      </c>
      <c r="I4159" s="27" t="str">
        <f aca="false">IF(OR(G4159="",G4159="?"),"",IFERROR(INDEX(Pubs!$C$2:$C$3001,MATCH(G4159,Pubs!$A$2:$A$3001,0))&amp;"",""))</f>
        <v/>
      </c>
      <c r="J4159" s="27" t="str">
        <f aca="false">IF(OR(G4159="",G4159="?"),"",IFERROR(INDEX(Pubs!$G$2:$G$3001,MATCH(G4159,Pubs!$A$2:$A$3001,0))&amp;"",""))</f>
        <v/>
      </c>
      <c r="K4159" s="28" t="str">
        <f aca="false">IF(OR(G4159="",G4159="?"),"",IFERROR(INDEX(Pubs!$E$2:$E$3001,MATCH(G4159,Pubs!$A$2:$A$3001,0)),""))</f>
        <v/>
      </c>
      <c r="L4159" s="29" t="str">
        <f aca="false">IF(A4159="","",IFERROR(1/(1/INDEX(Numéros!$C$2:$C$3001,MATCH(A4159&amp;"|"&amp;B4159,Numéros!$F$2:$F$3001,0))),""))</f>
        <v/>
      </c>
      <c r="M4159" s="27" t="str">
        <f aca="false">IF(OR(G4159="",G4159="?"),"",IFERROR(INDEX(Pubs!$D$2:$D$3001,MATCH(G4159,Pubs!$A$2:$A$3001,0))&amp;"",""))</f>
        <v/>
      </c>
      <c r="N4159" s="27" t="n">
        <f aca="false">N(N4158)+IF(AND(A4159&lt;&gt;"",OR(Recherche!$C$4="",A4159=Recherche!$C$4),OR(Recherche!$C$5="",B4159&amp;""=Recherche!$C$5&amp;""),OR(Recherche!$C$6="",IFERROR(YEAR(L4159),0)=Recherche!$C$6),OR(Recherche!$C$7="",ISNUMBER(SEARCH(Recherche!$C$7,H4159))),OR(Recherche!$C$8="",J4159=Recherche!$C$8),OR(Recherche!$C$9="",I4159=Recherche!$C$9),OR(Recherche!$C$10="",G4159&amp;""=Recherche!$C$10&amp;""),OR(Recherche!$C$11="",E4159=Recherche!$C$11),OR(Recherche!$C$12="",ISNUMBER(SEARCH(Recherche!$C$12,M4159&amp;" "&amp;F4159)))),1,0)</f>
        <v>8</v>
      </c>
    </row>
    <row r="4160" customFormat="false" ht="15" hidden="false" customHeight="false" outlineLevel="0" collapsed="false">
      <c r="A4160" s="19"/>
      <c r="B4160" s="19"/>
      <c r="C4160" s="19"/>
      <c r="D4160" s="19"/>
      <c r="E4160" s="22"/>
      <c r="F4160" s="19"/>
      <c r="G4160" s="26" t="str">
        <f aca="false">IF(D4160="","",IFERROR(VALUE(LEFT(D4160,FIND(" |",D4160&amp;" |")-1)),"?"))</f>
        <v/>
      </c>
      <c r="H4160" s="27" t="str">
        <f aca="false">IF(G4160="","",IF(G4160="?","⚠ pub inconnue",IFERROR(INDEX(Pubs!$B$2:$B$3001,MATCH(G4160,Pubs!$A$2:$A$3001,0))&amp;"","⚠ pub inconnue")))</f>
        <v/>
      </c>
      <c r="I4160" s="27" t="str">
        <f aca="false">IF(OR(G4160="",G4160="?"),"",IFERROR(INDEX(Pubs!$C$2:$C$3001,MATCH(G4160,Pubs!$A$2:$A$3001,0))&amp;"",""))</f>
        <v/>
      </c>
      <c r="J4160" s="27" t="str">
        <f aca="false">IF(OR(G4160="",G4160="?"),"",IFERROR(INDEX(Pubs!$G$2:$G$3001,MATCH(G4160,Pubs!$A$2:$A$3001,0))&amp;"",""))</f>
        <v/>
      </c>
      <c r="K4160" s="28" t="str">
        <f aca="false">IF(OR(G4160="",G4160="?"),"",IFERROR(INDEX(Pubs!$E$2:$E$3001,MATCH(G4160,Pubs!$A$2:$A$3001,0)),""))</f>
        <v/>
      </c>
      <c r="L4160" s="29" t="str">
        <f aca="false">IF(A4160="","",IFERROR(1/(1/INDEX(Numéros!$C$2:$C$3001,MATCH(A4160&amp;"|"&amp;B4160,Numéros!$F$2:$F$3001,0))),""))</f>
        <v/>
      </c>
      <c r="M4160" s="27" t="str">
        <f aca="false">IF(OR(G4160="",G4160="?"),"",IFERROR(INDEX(Pubs!$D$2:$D$3001,MATCH(G4160,Pubs!$A$2:$A$3001,0))&amp;"",""))</f>
        <v/>
      </c>
      <c r="N4160" s="27" t="n">
        <f aca="false">N(N4159)+IF(AND(A4160&lt;&gt;"",OR(Recherche!$C$4="",A4160=Recherche!$C$4),OR(Recherche!$C$5="",B4160&amp;""=Recherche!$C$5&amp;""),OR(Recherche!$C$6="",IFERROR(YEAR(L4160),0)=Recherche!$C$6),OR(Recherche!$C$7="",ISNUMBER(SEARCH(Recherche!$C$7,H4160))),OR(Recherche!$C$8="",J4160=Recherche!$C$8),OR(Recherche!$C$9="",I4160=Recherche!$C$9),OR(Recherche!$C$10="",G4160&amp;""=Recherche!$C$10&amp;""),OR(Recherche!$C$11="",E4160=Recherche!$C$11),OR(Recherche!$C$12="",ISNUMBER(SEARCH(Recherche!$C$12,M4160&amp;" "&amp;F4160)))),1,0)</f>
        <v>8</v>
      </c>
    </row>
    <row r="4161" customFormat="false" ht="15" hidden="false" customHeight="false" outlineLevel="0" collapsed="false">
      <c r="A4161" s="19"/>
      <c r="B4161" s="19"/>
      <c r="C4161" s="19"/>
      <c r="D4161" s="19"/>
      <c r="E4161" s="22"/>
      <c r="F4161" s="19"/>
      <c r="G4161" s="26" t="str">
        <f aca="false">IF(D4161="","",IFERROR(VALUE(LEFT(D4161,FIND(" |",D4161&amp;" |")-1)),"?"))</f>
        <v/>
      </c>
      <c r="H4161" s="27" t="str">
        <f aca="false">IF(G4161="","",IF(G4161="?","⚠ pub inconnue",IFERROR(INDEX(Pubs!$B$2:$B$3001,MATCH(G4161,Pubs!$A$2:$A$3001,0))&amp;"","⚠ pub inconnue")))</f>
        <v/>
      </c>
      <c r="I4161" s="27" t="str">
        <f aca="false">IF(OR(G4161="",G4161="?"),"",IFERROR(INDEX(Pubs!$C$2:$C$3001,MATCH(G4161,Pubs!$A$2:$A$3001,0))&amp;"",""))</f>
        <v/>
      </c>
      <c r="J4161" s="27" t="str">
        <f aca="false">IF(OR(G4161="",G4161="?"),"",IFERROR(INDEX(Pubs!$G$2:$G$3001,MATCH(G4161,Pubs!$A$2:$A$3001,0))&amp;"",""))</f>
        <v/>
      </c>
      <c r="K4161" s="28" t="str">
        <f aca="false">IF(OR(G4161="",G4161="?"),"",IFERROR(INDEX(Pubs!$E$2:$E$3001,MATCH(G4161,Pubs!$A$2:$A$3001,0)),""))</f>
        <v/>
      </c>
      <c r="L4161" s="29" t="str">
        <f aca="false">IF(A4161="","",IFERROR(1/(1/INDEX(Numéros!$C$2:$C$3001,MATCH(A4161&amp;"|"&amp;B4161,Numéros!$F$2:$F$3001,0))),""))</f>
        <v/>
      </c>
      <c r="M4161" s="27" t="str">
        <f aca="false">IF(OR(G4161="",G4161="?"),"",IFERROR(INDEX(Pubs!$D$2:$D$3001,MATCH(G4161,Pubs!$A$2:$A$3001,0))&amp;"",""))</f>
        <v/>
      </c>
      <c r="N4161" s="27" t="n">
        <f aca="false">N(N4160)+IF(AND(A4161&lt;&gt;"",OR(Recherche!$C$4="",A4161=Recherche!$C$4),OR(Recherche!$C$5="",B4161&amp;""=Recherche!$C$5&amp;""),OR(Recherche!$C$6="",IFERROR(YEAR(L4161),0)=Recherche!$C$6),OR(Recherche!$C$7="",ISNUMBER(SEARCH(Recherche!$C$7,H4161))),OR(Recherche!$C$8="",J4161=Recherche!$C$8),OR(Recherche!$C$9="",I4161=Recherche!$C$9),OR(Recherche!$C$10="",G4161&amp;""=Recherche!$C$10&amp;""),OR(Recherche!$C$11="",E4161=Recherche!$C$11),OR(Recherche!$C$12="",ISNUMBER(SEARCH(Recherche!$C$12,M4161&amp;" "&amp;F4161)))),1,0)</f>
        <v>8</v>
      </c>
    </row>
    <row r="4162" customFormat="false" ht="15" hidden="false" customHeight="false" outlineLevel="0" collapsed="false">
      <c r="A4162" s="19"/>
      <c r="B4162" s="19"/>
      <c r="C4162" s="19"/>
      <c r="D4162" s="19"/>
      <c r="E4162" s="22"/>
      <c r="F4162" s="19"/>
      <c r="G4162" s="26" t="str">
        <f aca="false">IF(D4162="","",IFERROR(VALUE(LEFT(D4162,FIND(" |",D4162&amp;" |")-1)),"?"))</f>
        <v/>
      </c>
      <c r="H4162" s="27" t="str">
        <f aca="false">IF(G4162="","",IF(G4162="?","⚠ pub inconnue",IFERROR(INDEX(Pubs!$B$2:$B$3001,MATCH(G4162,Pubs!$A$2:$A$3001,0))&amp;"","⚠ pub inconnue")))</f>
        <v/>
      </c>
      <c r="I4162" s="27" t="str">
        <f aca="false">IF(OR(G4162="",G4162="?"),"",IFERROR(INDEX(Pubs!$C$2:$C$3001,MATCH(G4162,Pubs!$A$2:$A$3001,0))&amp;"",""))</f>
        <v/>
      </c>
      <c r="J4162" s="27" t="str">
        <f aca="false">IF(OR(G4162="",G4162="?"),"",IFERROR(INDEX(Pubs!$G$2:$G$3001,MATCH(G4162,Pubs!$A$2:$A$3001,0))&amp;"",""))</f>
        <v/>
      </c>
      <c r="K4162" s="28" t="str">
        <f aca="false">IF(OR(G4162="",G4162="?"),"",IFERROR(INDEX(Pubs!$E$2:$E$3001,MATCH(G4162,Pubs!$A$2:$A$3001,0)),""))</f>
        <v/>
      </c>
      <c r="L4162" s="29" t="str">
        <f aca="false">IF(A4162="","",IFERROR(1/(1/INDEX(Numéros!$C$2:$C$3001,MATCH(A4162&amp;"|"&amp;B4162,Numéros!$F$2:$F$3001,0))),""))</f>
        <v/>
      </c>
      <c r="M4162" s="27" t="str">
        <f aca="false">IF(OR(G4162="",G4162="?"),"",IFERROR(INDEX(Pubs!$D$2:$D$3001,MATCH(G4162,Pubs!$A$2:$A$3001,0))&amp;"",""))</f>
        <v/>
      </c>
      <c r="N4162" s="27" t="n">
        <f aca="false">N(N4161)+IF(AND(A4162&lt;&gt;"",OR(Recherche!$C$4="",A4162=Recherche!$C$4),OR(Recherche!$C$5="",B4162&amp;""=Recherche!$C$5&amp;""),OR(Recherche!$C$6="",IFERROR(YEAR(L4162),0)=Recherche!$C$6),OR(Recherche!$C$7="",ISNUMBER(SEARCH(Recherche!$C$7,H4162))),OR(Recherche!$C$8="",J4162=Recherche!$C$8),OR(Recherche!$C$9="",I4162=Recherche!$C$9),OR(Recherche!$C$10="",G4162&amp;""=Recherche!$C$10&amp;""),OR(Recherche!$C$11="",E4162=Recherche!$C$11),OR(Recherche!$C$12="",ISNUMBER(SEARCH(Recherche!$C$12,M4162&amp;" "&amp;F4162)))),1,0)</f>
        <v>8</v>
      </c>
    </row>
    <row r="4163" customFormat="false" ht="15" hidden="false" customHeight="false" outlineLevel="0" collapsed="false">
      <c r="A4163" s="19"/>
      <c r="B4163" s="19"/>
      <c r="C4163" s="19"/>
      <c r="D4163" s="19"/>
      <c r="E4163" s="22"/>
      <c r="F4163" s="19"/>
      <c r="G4163" s="26" t="str">
        <f aca="false">IF(D4163="","",IFERROR(VALUE(LEFT(D4163,FIND(" |",D4163&amp;" |")-1)),"?"))</f>
        <v/>
      </c>
      <c r="H4163" s="27" t="str">
        <f aca="false">IF(G4163="","",IF(G4163="?","⚠ pub inconnue",IFERROR(INDEX(Pubs!$B$2:$B$3001,MATCH(G4163,Pubs!$A$2:$A$3001,0))&amp;"","⚠ pub inconnue")))</f>
        <v/>
      </c>
      <c r="I4163" s="27" t="str">
        <f aca="false">IF(OR(G4163="",G4163="?"),"",IFERROR(INDEX(Pubs!$C$2:$C$3001,MATCH(G4163,Pubs!$A$2:$A$3001,0))&amp;"",""))</f>
        <v/>
      </c>
      <c r="J4163" s="27" t="str">
        <f aca="false">IF(OR(G4163="",G4163="?"),"",IFERROR(INDEX(Pubs!$G$2:$G$3001,MATCH(G4163,Pubs!$A$2:$A$3001,0))&amp;"",""))</f>
        <v/>
      </c>
      <c r="K4163" s="28" t="str">
        <f aca="false">IF(OR(G4163="",G4163="?"),"",IFERROR(INDEX(Pubs!$E$2:$E$3001,MATCH(G4163,Pubs!$A$2:$A$3001,0)),""))</f>
        <v/>
      </c>
      <c r="L4163" s="29" t="str">
        <f aca="false">IF(A4163="","",IFERROR(1/(1/INDEX(Numéros!$C$2:$C$3001,MATCH(A4163&amp;"|"&amp;B4163,Numéros!$F$2:$F$3001,0))),""))</f>
        <v/>
      </c>
      <c r="M4163" s="27" t="str">
        <f aca="false">IF(OR(G4163="",G4163="?"),"",IFERROR(INDEX(Pubs!$D$2:$D$3001,MATCH(G4163,Pubs!$A$2:$A$3001,0))&amp;"",""))</f>
        <v/>
      </c>
      <c r="N4163" s="27" t="n">
        <f aca="false">N(N4162)+IF(AND(A4163&lt;&gt;"",OR(Recherche!$C$4="",A4163=Recherche!$C$4),OR(Recherche!$C$5="",B4163&amp;""=Recherche!$C$5&amp;""),OR(Recherche!$C$6="",IFERROR(YEAR(L4163),0)=Recherche!$C$6),OR(Recherche!$C$7="",ISNUMBER(SEARCH(Recherche!$C$7,H4163))),OR(Recherche!$C$8="",J4163=Recherche!$C$8),OR(Recherche!$C$9="",I4163=Recherche!$C$9),OR(Recherche!$C$10="",G4163&amp;""=Recherche!$C$10&amp;""),OR(Recherche!$C$11="",E4163=Recherche!$C$11),OR(Recherche!$C$12="",ISNUMBER(SEARCH(Recherche!$C$12,M4163&amp;" "&amp;F4163)))),1,0)</f>
        <v>8</v>
      </c>
    </row>
    <row r="4164" customFormat="false" ht="15" hidden="false" customHeight="false" outlineLevel="0" collapsed="false">
      <c r="A4164" s="19"/>
      <c r="B4164" s="19"/>
      <c r="C4164" s="19"/>
      <c r="D4164" s="19"/>
      <c r="E4164" s="22"/>
      <c r="F4164" s="19"/>
      <c r="G4164" s="26" t="str">
        <f aca="false">IF(D4164="","",IFERROR(VALUE(LEFT(D4164,FIND(" |",D4164&amp;" |")-1)),"?"))</f>
        <v/>
      </c>
      <c r="H4164" s="27" t="str">
        <f aca="false">IF(G4164="","",IF(G4164="?","⚠ pub inconnue",IFERROR(INDEX(Pubs!$B$2:$B$3001,MATCH(G4164,Pubs!$A$2:$A$3001,0))&amp;"","⚠ pub inconnue")))</f>
        <v/>
      </c>
      <c r="I4164" s="27" t="str">
        <f aca="false">IF(OR(G4164="",G4164="?"),"",IFERROR(INDEX(Pubs!$C$2:$C$3001,MATCH(G4164,Pubs!$A$2:$A$3001,0))&amp;"",""))</f>
        <v/>
      </c>
      <c r="J4164" s="27" t="str">
        <f aca="false">IF(OR(G4164="",G4164="?"),"",IFERROR(INDEX(Pubs!$G$2:$G$3001,MATCH(G4164,Pubs!$A$2:$A$3001,0))&amp;"",""))</f>
        <v/>
      </c>
      <c r="K4164" s="28" t="str">
        <f aca="false">IF(OR(G4164="",G4164="?"),"",IFERROR(INDEX(Pubs!$E$2:$E$3001,MATCH(G4164,Pubs!$A$2:$A$3001,0)),""))</f>
        <v/>
      </c>
      <c r="L4164" s="29" t="str">
        <f aca="false">IF(A4164="","",IFERROR(1/(1/INDEX(Numéros!$C$2:$C$3001,MATCH(A4164&amp;"|"&amp;B4164,Numéros!$F$2:$F$3001,0))),""))</f>
        <v/>
      </c>
      <c r="M4164" s="27" t="str">
        <f aca="false">IF(OR(G4164="",G4164="?"),"",IFERROR(INDEX(Pubs!$D$2:$D$3001,MATCH(G4164,Pubs!$A$2:$A$3001,0))&amp;"",""))</f>
        <v/>
      </c>
      <c r="N4164" s="27" t="n">
        <f aca="false">N(N4163)+IF(AND(A4164&lt;&gt;"",OR(Recherche!$C$4="",A4164=Recherche!$C$4),OR(Recherche!$C$5="",B4164&amp;""=Recherche!$C$5&amp;""),OR(Recherche!$C$6="",IFERROR(YEAR(L4164),0)=Recherche!$C$6),OR(Recherche!$C$7="",ISNUMBER(SEARCH(Recherche!$C$7,H4164))),OR(Recherche!$C$8="",J4164=Recherche!$C$8),OR(Recherche!$C$9="",I4164=Recherche!$C$9),OR(Recherche!$C$10="",G4164&amp;""=Recherche!$C$10&amp;""),OR(Recherche!$C$11="",E4164=Recherche!$C$11),OR(Recherche!$C$12="",ISNUMBER(SEARCH(Recherche!$C$12,M4164&amp;" "&amp;F4164)))),1,0)</f>
        <v>8</v>
      </c>
    </row>
    <row r="4165" customFormat="false" ht="15" hidden="false" customHeight="false" outlineLevel="0" collapsed="false">
      <c r="A4165" s="19"/>
      <c r="B4165" s="19"/>
      <c r="C4165" s="19"/>
      <c r="D4165" s="19"/>
      <c r="E4165" s="22"/>
      <c r="F4165" s="19"/>
      <c r="G4165" s="26" t="str">
        <f aca="false">IF(D4165="","",IFERROR(VALUE(LEFT(D4165,FIND(" |",D4165&amp;" |")-1)),"?"))</f>
        <v/>
      </c>
      <c r="H4165" s="27" t="str">
        <f aca="false">IF(G4165="","",IF(G4165="?","⚠ pub inconnue",IFERROR(INDEX(Pubs!$B$2:$B$3001,MATCH(G4165,Pubs!$A$2:$A$3001,0))&amp;"","⚠ pub inconnue")))</f>
        <v/>
      </c>
      <c r="I4165" s="27" t="str">
        <f aca="false">IF(OR(G4165="",G4165="?"),"",IFERROR(INDEX(Pubs!$C$2:$C$3001,MATCH(G4165,Pubs!$A$2:$A$3001,0))&amp;"",""))</f>
        <v/>
      </c>
      <c r="J4165" s="27" t="str">
        <f aca="false">IF(OR(G4165="",G4165="?"),"",IFERROR(INDEX(Pubs!$G$2:$G$3001,MATCH(G4165,Pubs!$A$2:$A$3001,0))&amp;"",""))</f>
        <v/>
      </c>
      <c r="K4165" s="28" t="str">
        <f aca="false">IF(OR(G4165="",G4165="?"),"",IFERROR(INDEX(Pubs!$E$2:$E$3001,MATCH(G4165,Pubs!$A$2:$A$3001,0)),""))</f>
        <v/>
      </c>
      <c r="L4165" s="29" t="str">
        <f aca="false">IF(A4165="","",IFERROR(1/(1/INDEX(Numéros!$C$2:$C$3001,MATCH(A4165&amp;"|"&amp;B4165,Numéros!$F$2:$F$3001,0))),""))</f>
        <v/>
      </c>
      <c r="M4165" s="27" t="str">
        <f aca="false">IF(OR(G4165="",G4165="?"),"",IFERROR(INDEX(Pubs!$D$2:$D$3001,MATCH(G4165,Pubs!$A$2:$A$3001,0))&amp;"",""))</f>
        <v/>
      </c>
      <c r="N4165" s="27" t="n">
        <f aca="false">N(N4164)+IF(AND(A4165&lt;&gt;"",OR(Recherche!$C$4="",A4165=Recherche!$C$4),OR(Recherche!$C$5="",B4165&amp;""=Recherche!$C$5&amp;""),OR(Recherche!$C$6="",IFERROR(YEAR(L4165),0)=Recherche!$C$6),OR(Recherche!$C$7="",ISNUMBER(SEARCH(Recherche!$C$7,H4165))),OR(Recherche!$C$8="",J4165=Recherche!$C$8),OR(Recherche!$C$9="",I4165=Recherche!$C$9),OR(Recherche!$C$10="",G4165&amp;""=Recherche!$C$10&amp;""),OR(Recherche!$C$11="",E4165=Recherche!$C$11),OR(Recherche!$C$12="",ISNUMBER(SEARCH(Recherche!$C$12,M4165&amp;" "&amp;F4165)))),1,0)</f>
        <v>8</v>
      </c>
    </row>
    <row r="4166" customFormat="false" ht="15" hidden="false" customHeight="false" outlineLevel="0" collapsed="false">
      <c r="A4166" s="19"/>
      <c r="B4166" s="19"/>
      <c r="C4166" s="19"/>
      <c r="D4166" s="19"/>
      <c r="E4166" s="22"/>
      <c r="F4166" s="19"/>
      <c r="G4166" s="26" t="str">
        <f aca="false">IF(D4166="","",IFERROR(VALUE(LEFT(D4166,FIND(" |",D4166&amp;" |")-1)),"?"))</f>
        <v/>
      </c>
      <c r="H4166" s="27" t="str">
        <f aca="false">IF(G4166="","",IF(G4166="?","⚠ pub inconnue",IFERROR(INDEX(Pubs!$B$2:$B$3001,MATCH(G4166,Pubs!$A$2:$A$3001,0))&amp;"","⚠ pub inconnue")))</f>
        <v/>
      </c>
      <c r="I4166" s="27" t="str">
        <f aca="false">IF(OR(G4166="",G4166="?"),"",IFERROR(INDEX(Pubs!$C$2:$C$3001,MATCH(G4166,Pubs!$A$2:$A$3001,0))&amp;"",""))</f>
        <v/>
      </c>
      <c r="J4166" s="27" t="str">
        <f aca="false">IF(OR(G4166="",G4166="?"),"",IFERROR(INDEX(Pubs!$G$2:$G$3001,MATCH(G4166,Pubs!$A$2:$A$3001,0))&amp;"",""))</f>
        <v/>
      </c>
      <c r="K4166" s="28" t="str">
        <f aca="false">IF(OR(G4166="",G4166="?"),"",IFERROR(INDEX(Pubs!$E$2:$E$3001,MATCH(G4166,Pubs!$A$2:$A$3001,0)),""))</f>
        <v/>
      </c>
      <c r="L4166" s="29" t="str">
        <f aca="false">IF(A4166="","",IFERROR(1/(1/INDEX(Numéros!$C$2:$C$3001,MATCH(A4166&amp;"|"&amp;B4166,Numéros!$F$2:$F$3001,0))),""))</f>
        <v/>
      </c>
      <c r="M4166" s="27" t="str">
        <f aca="false">IF(OR(G4166="",G4166="?"),"",IFERROR(INDEX(Pubs!$D$2:$D$3001,MATCH(G4166,Pubs!$A$2:$A$3001,0))&amp;"",""))</f>
        <v/>
      </c>
      <c r="N4166" s="27" t="n">
        <f aca="false">N(N4165)+IF(AND(A4166&lt;&gt;"",OR(Recherche!$C$4="",A4166=Recherche!$C$4),OR(Recherche!$C$5="",B4166&amp;""=Recherche!$C$5&amp;""),OR(Recherche!$C$6="",IFERROR(YEAR(L4166),0)=Recherche!$C$6),OR(Recherche!$C$7="",ISNUMBER(SEARCH(Recherche!$C$7,H4166))),OR(Recherche!$C$8="",J4166=Recherche!$C$8),OR(Recherche!$C$9="",I4166=Recherche!$C$9),OR(Recherche!$C$10="",G4166&amp;""=Recherche!$C$10&amp;""),OR(Recherche!$C$11="",E4166=Recherche!$C$11),OR(Recherche!$C$12="",ISNUMBER(SEARCH(Recherche!$C$12,M4166&amp;" "&amp;F4166)))),1,0)</f>
        <v>8</v>
      </c>
    </row>
    <row r="4167" customFormat="false" ht="15" hidden="false" customHeight="false" outlineLevel="0" collapsed="false">
      <c r="A4167" s="19"/>
      <c r="B4167" s="19"/>
      <c r="C4167" s="19"/>
      <c r="D4167" s="19"/>
      <c r="E4167" s="22"/>
      <c r="F4167" s="19"/>
      <c r="G4167" s="26" t="str">
        <f aca="false">IF(D4167="","",IFERROR(VALUE(LEFT(D4167,FIND(" |",D4167&amp;" |")-1)),"?"))</f>
        <v/>
      </c>
      <c r="H4167" s="27" t="str">
        <f aca="false">IF(G4167="","",IF(G4167="?","⚠ pub inconnue",IFERROR(INDEX(Pubs!$B$2:$B$3001,MATCH(G4167,Pubs!$A$2:$A$3001,0))&amp;"","⚠ pub inconnue")))</f>
        <v/>
      </c>
      <c r="I4167" s="27" t="str">
        <f aca="false">IF(OR(G4167="",G4167="?"),"",IFERROR(INDEX(Pubs!$C$2:$C$3001,MATCH(G4167,Pubs!$A$2:$A$3001,0))&amp;"",""))</f>
        <v/>
      </c>
      <c r="J4167" s="27" t="str">
        <f aca="false">IF(OR(G4167="",G4167="?"),"",IFERROR(INDEX(Pubs!$G$2:$G$3001,MATCH(G4167,Pubs!$A$2:$A$3001,0))&amp;"",""))</f>
        <v/>
      </c>
      <c r="K4167" s="28" t="str">
        <f aca="false">IF(OR(G4167="",G4167="?"),"",IFERROR(INDEX(Pubs!$E$2:$E$3001,MATCH(G4167,Pubs!$A$2:$A$3001,0)),""))</f>
        <v/>
      </c>
      <c r="L4167" s="29" t="str">
        <f aca="false">IF(A4167="","",IFERROR(1/(1/INDEX(Numéros!$C$2:$C$3001,MATCH(A4167&amp;"|"&amp;B4167,Numéros!$F$2:$F$3001,0))),""))</f>
        <v/>
      </c>
      <c r="M4167" s="27" t="str">
        <f aca="false">IF(OR(G4167="",G4167="?"),"",IFERROR(INDEX(Pubs!$D$2:$D$3001,MATCH(G4167,Pubs!$A$2:$A$3001,0))&amp;"",""))</f>
        <v/>
      </c>
      <c r="N4167" s="27" t="n">
        <f aca="false">N(N4166)+IF(AND(A4167&lt;&gt;"",OR(Recherche!$C$4="",A4167=Recherche!$C$4),OR(Recherche!$C$5="",B4167&amp;""=Recherche!$C$5&amp;""),OR(Recherche!$C$6="",IFERROR(YEAR(L4167),0)=Recherche!$C$6),OR(Recherche!$C$7="",ISNUMBER(SEARCH(Recherche!$C$7,H4167))),OR(Recherche!$C$8="",J4167=Recherche!$C$8),OR(Recherche!$C$9="",I4167=Recherche!$C$9),OR(Recherche!$C$10="",G4167&amp;""=Recherche!$C$10&amp;""),OR(Recherche!$C$11="",E4167=Recherche!$C$11),OR(Recherche!$C$12="",ISNUMBER(SEARCH(Recherche!$C$12,M4167&amp;" "&amp;F4167)))),1,0)</f>
        <v>8</v>
      </c>
    </row>
    <row r="4168" customFormat="false" ht="15" hidden="false" customHeight="false" outlineLevel="0" collapsed="false">
      <c r="A4168" s="19"/>
      <c r="B4168" s="19"/>
      <c r="C4168" s="19"/>
      <c r="D4168" s="19"/>
      <c r="E4168" s="22"/>
      <c r="F4168" s="19"/>
      <c r="G4168" s="26" t="str">
        <f aca="false">IF(D4168="","",IFERROR(VALUE(LEFT(D4168,FIND(" |",D4168&amp;" |")-1)),"?"))</f>
        <v/>
      </c>
      <c r="H4168" s="27" t="str">
        <f aca="false">IF(G4168="","",IF(G4168="?","⚠ pub inconnue",IFERROR(INDEX(Pubs!$B$2:$B$3001,MATCH(G4168,Pubs!$A$2:$A$3001,0))&amp;"","⚠ pub inconnue")))</f>
        <v/>
      </c>
      <c r="I4168" s="27" t="str">
        <f aca="false">IF(OR(G4168="",G4168="?"),"",IFERROR(INDEX(Pubs!$C$2:$C$3001,MATCH(G4168,Pubs!$A$2:$A$3001,0))&amp;"",""))</f>
        <v/>
      </c>
      <c r="J4168" s="27" t="str">
        <f aca="false">IF(OR(G4168="",G4168="?"),"",IFERROR(INDEX(Pubs!$G$2:$G$3001,MATCH(G4168,Pubs!$A$2:$A$3001,0))&amp;"",""))</f>
        <v/>
      </c>
      <c r="K4168" s="28" t="str">
        <f aca="false">IF(OR(G4168="",G4168="?"),"",IFERROR(INDEX(Pubs!$E$2:$E$3001,MATCH(G4168,Pubs!$A$2:$A$3001,0)),""))</f>
        <v/>
      </c>
      <c r="L4168" s="29" t="str">
        <f aca="false">IF(A4168="","",IFERROR(1/(1/INDEX(Numéros!$C$2:$C$3001,MATCH(A4168&amp;"|"&amp;B4168,Numéros!$F$2:$F$3001,0))),""))</f>
        <v/>
      </c>
      <c r="M4168" s="27" t="str">
        <f aca="false">IF(OR(G4168="",G4168="?"),"",IFERROR(INDEX(Pubs!$D$2:$D$3001,MATCH(G4168,Pubs!$A$2:$A$3001,0))&amp;"",""))</f>
        <v/>
      </c>
      <c r="N4168" s="27" t="n">
        <f aca="false">N(N4167)+IF(AND(A4168&lt;&gt;"",OR(Recherche!$C$4="",A4168=Recherche!$C$4),OR(Recherche!$C$5="",B4168&amp;""=Recherche!$C$5&amp;""),OR(Recherche!$C$6="",IFERROR(YEAR(L4168),0)=Recherche!$C$6),OR(Recherche!$C$7="",ISNUMBER(SEARCH(Recherche!$C$7,H4168))),OR(Recherche!$C$8="",J4168=Recherche!$C$8),OR(Recherche!$C$9="",I4168=Recherche!$C$9),OR(Recherche!$C$10="",G4168&amp;""=Recherche!$C$10&amp;""),OR(Recherche!$C$11="",E4168=Recherche!$C$11),OR(Recherche!$C$12="",ISNUMBER(SEARCH(Recherche!$C$12,M4168&amp;" "&amp;F4168)))),1,0)</f>
        <v>8</v>
      </c>
    </row>
    <row r="4169" customFormat="false" ht="15" hidden="false" customHeight="false" outlineLevel="0" collapsed="false">
      <c r="A4169" s="19"/>
      <c r="B4169" s="19"/>
      <c r="C4169" s="19"/>
      <c r="D4169" s="19"/>
      <c r="E4169" s="22"/>
      <c r="F4169" s="19"/>
      <c r="G4169" s="26" t="str">
        <f aca="false">IF(D4169="","",IFERROR(VALUE(LEFT(D4169,FIND(" |",D4169&amp;" |")-1)),"?"))</f>
        <v/>
      </c>
      <c r="H4169" s="27" t="str">
        <f aca="false">IF(G4169="","",IF(G4169="?","⚠ pub inconnue",IFERROR(INDEX(Pubs!$B$2:$B$3001,MATCH(G4169,Pubs!$A$2:$A$3001,0))&amp;"","⚠ pub inconnue")))</f>
        <v/>
      </c>
      <c r="I4169" s="27" t="str">
        <f aca="false">IF(OR(G4169="",G4169="?"),"",IFERROR(INDEX(Pubs!$C$2:$C$3001,MATCH(G4169,Pubs!$A$2:$A$3001,0))&amp;"",""))</f>
        <v/>
      </c>
      <c r="J4169" s="27" t="str">
        <f aca="false">IF(OR(G4169="",G4169="?"),"",IFERROR(INDEX(Pubs!$G$2:$G$3001,MATCH(G4169,Pubs!$A$2:$A$3001,0))&amp;"",""))</f>
        <v/>
      </c>
      <c r="K4169" s="28" t="str">
        <f aca="false">IF(OR(G4169="",G4169="?"),"",IFERROR(INDEX(Pubs!$E$2:$E$3001,MATCH(G4169,Pubs!$A$2:$A$3001,0)),""))</f>
        <v/>
      </c>
      <c r="L4169" s="29" t="str">
        <f aca="false">IF(A4169="","",IFERROR(1/(1/INDEX(Numéros!$C$2:$C$3001,MATCH(A4169&amp;"|"&amp;B4169,Numéros!$F$2:$F$3001,0))),""))</f>
        <v/>
      </c>
      <c r="M4169" s="27" t="str">
        <f aca="false">IF(OR(G4169="",G4169="?"),"",IFERROR(INDEX(Pubs!$D$2:$D$3001,MATCH(G4169,Pubs!$A$2:$A$3001,0))&amp;"",""))</f>
        <v/>
      </c>
      <c r="N4169" s="27" t="n">
        <f aca="false">N(N4168)+IF(AND(A4169&lt;&gt;"",OR(Recherche!$C$4="",A4169=Recherche!$C$4),OR(Recherche!$C$5="",B4169&amp;""=Recherche!$C$5&amp;""),OR(Recherche!$C$6="",IFERROR(YEAR(L4169),0)=Recherche!$C$6),OR(Recherche!$C$7="",ISNUMBER(SEARCH(Recherche!$C$7,H4169))),OR(Recherche!$C$8="",J4169=Recherche!$C$8),OR(Recherche!$C$9="",I4169=Recherche!$C$9),OR(Recherche!$C$10="",G4169&amp;""=Recherche!$C$10&amp;""),OR(Recherche!$C$11="",E4169=Recherche!$C$11),OR(Recherche!$C$12="",ISNUMBER(SEARCH(Recherche!$C$12,M4169&amp;" "&amp;F4169)))),1,0)</f>
        <v>8</v>
      </c>
    </row>
    <row r="4170" customFormat="false" ht="15" hidden="false" customHeight="false" outlineLevel="0" collapsed="false">
      <c r="A4170" s="19"/>
      <c r="B4170" s="19"/>
      <c r="C4170" s="19"/>
      <c r="D4170" s="19"/>
      <c r="E4170" s="22"/>
      <c r="F4170" s="19"/>
      <c r="G4170" s="26" t="str">
        <f aca="false">IF(D4170="","",IFERROR(VALUE(LEFT(D4170,FIND(" |",D4170&amp;" |")-1)),"?"))</f>
        <v/>
      </c>
      <c r="H4170" s="27" t="str">
        <f aca="false">IF(G4170="","",IF(G4170="?","⚠ pub inconnue",IFERROR(INDEX(Pubs!$B$2:$B$3001,MATCH(G4170,Pubs!$A$2:$A$3001,0))&amp;"","⚠ pub inconnue")))</f>
        <v/>
      </c>
      <c r="I4170" s="27" t="str">
        <f aca="false">IF(OR(G4170="",G4170="?"),"",IFERROR(INDEX(Pubs!$C$2:$C$3001,MATCH(G4170,Pubs!$A$2:$A$3001,0))&amp;"",""))</f>
        <v/>
      </c>
      <c r="J4170" s="27" t="str">
        <f aca="false">IF(OR(G4170="",G4170="?"),"",IFERROR(INDEX(Pubs!$G$2:$G$3001,MATCH(G4170,Pubs!$A$2:$A$3001,0))&amp;"",""))</f>
        <v/>
      </c>
      <c r="K4170" s="28" t="str">
        <f aca="false">IF(OR(G4170="",G4170="?"),"",IFERROR(INDEX(Pubs!$E$2:$E$3001,MATCH(G4170,Pubs!$A$2:$A$3001,0)),""))</f>
        <v/>
      </c>
      <c r="L4170" s="29" t="str">
        <f aca="false">IF(A4170="","",IFERROR(1/(1/INDEX(Numéros!$C$2:$C$3001,MATCH(A4170&amp;"|"&amp;B4170,Numéros!$F$2:$F$3001,0))),""))</f>
        <v/>
      </c>
      <c r="M4170" s="27" t="str">
        <f aca="false">IF(OR(G4170="",G4170="?"),"",IFERROR(INDEX(Pubs!$D$2:$D$3001,MATCH(G4170,Pubs!$A$2:$A$3001,0))&amp;"",""))</f>
        <v/>
      </c>
      <c r="N4170" s="27" t="n">
        <f aca="false">N(N4169)+IF(AND(A4170&lt;&gt;"",OR(Recherche!$C$4="",A4170=Recherche!$C$4),OR(Recherche!$C$5="",B4170&amp;""=Recherche!$C$5&amp;""),OR(Recherche!$C$6="",IFERROR(YEAR(L4170),0)=Recherche!$C$6),OR(Recherche!$C$7="",ISNUMBER(SEARCH(Recherche!$C$7,H4170))),OR(Recherche!$C$8="",J4170=Recherche!$C$8),OR(Recherche!$C$9="",I4170=Recherche!$C$9),OR(Recherche!$C$10="",G4170&amp;""=Recherche!$C$10&amp;""),OR(Recherche!$C$11="",E4170=Recherche!$C$11),OR(Recherche!$C$12="",ISNUMBER(SEARCH(Recherche!$C$12,M4170&amp;" "&amp;F4170)))),1,0)</f>
        <v>8</v>
      </c>
    </row>
    <row r="4171" customFormat="false" ht="15" hidden="false" customHeight="false" outlineLevel="0" collapsed="false">
      <c r="A4171" s="19"/>
      <c r="B4171" s="19"/>
      <c r="C4171" s="19"/>
      <c r="D4171" s="19"/>
      <c r="E4171" s="22"/>
      <c r="F4171" s="19"/>
      <c r="G4171" s="26" t="str">
        <f aca="false">IF(D4171="","",IFERROR(VALUE(LEFT(D4171,FIND(" |",D4171&amp;" |")-1)),"?"))</f>
        <v/>
      </c>
      <c r="H4171" s="27" t="str">
        <f aca="false">IF(G4171="","",IF(G4171="?","⚠ pub inconnue",IFERROR(INDEX(Pubs!$B$2:$B$3001,MATCH(G4171,Pubs!$A$2:$A$3001,0))&amp;"","⚠ pub inconnue")))</f>
        <v/>
      </c>
      <c r="I4171" s="27" t="str">
        <f aca="false">IF(OR(G4171="",G4171="?"),"",IFERROR(INDEX(Pubs!$C$2:$C$3001,MATCH(G4171,Pubs!$A$2:$A$3001,0))&amp;"",""))</f>
        <v/>
      </c>
      <c r="J4171" s="27" t="str">
        <f aca="false">IF(OR(G4171="",G4171="?"),"",IFERROR(INDEX(Pubs!$G$2:$G$3001,MATCH(G4171,Pubs!$A$2:$A$3001,0))&amp;"",""))</f>
        <v/>
      </c>
      <c r="K4171" s="28" t="str">
        <f aca="false">IF(OR(G4171="",G4171="?"),"",IFERROR(INDEX(Pubs!$E$2:$E$3001,MATCH(G4171,Pubs!$A$2:$A$3001,0)),""))</f>
        <v/>
      </c>
      <c r="L4171" s="29" t="str">
        <f aca="false">IF(A4171="","",IFERROR(1/(1/INDEX(Numéros!$C$2:$C$3001,MATCH(A4171&amp;"|"&amp;B4171,Numéros!$F$2:$F$3001,0))),""))</f>
        <v/>
      </c>
      <c r="M4171" s="27" t="str">
        <f aca="false">IF(OR(G4171="",G4171="?"),"",IFERROR(INDEX(Pubs!$D$2:$D$3001,MATCH(G4171,Pubs!$A$2:$A$3001,0))&amp;"",""))</f>
        <v/>
      </c>
      <c r="N4171" s="27" t="n">
        <f aca="false">N(N4170)+IF(AND(A4171&lt;&gt;"",OR(Recherche!$C$4="",A4171=Recherche!$C$4),OR(Recherche!$C$5="",B4171&amp;""=Recherche!$C$5&amp;""),OR(Recherche!$C$6="",IFERROR(YEAR(L4171),0)=Recherche!$C$6),OR(Recherche!$C$7="",ISNUMBER(SEARCH(Recherche!$C$7,H4171))),OR(Recherche!$C$8="",J4171=Recherche!$C$8),OR(Recherche!$C$9="",I4171=Recherche!$C$9),OR(Recherche!$C$10="",G4171&amp;""=Recherche!$C$10&amp;""),OR(Recherche!$C$11="",E4171=Recherche!$C$11),OR(Recherche!$C$12="",ISNUMBER(SEARCH(Recherche!$C$12,M4171&amp;" "&amp;F4171)))),1,0)</f>
        <v>8</v>
      </c>
    </row>
    <row r="4172" customFormat="false" ht="15" hidden="false" customHeight="false" outlineLevel="0" collapsed="false">
      <c r="A4172" s="19"/>
      <c r="B4172" s="19"/>
      <c r="C4172" s="19"/>
      <c r="D4172" s="19"/>
      <c r="E4172" s="22"/>
      <c r="F4172" s="19"/>
      <c r="G4172" s="26" t="str">
        <f aca="false">IF(D4172="","",IFERROR(VALUE(LEFT(D4172,FIND(" |",D4172&amp;" |")-1)),"?"))</f>
        <v/>
      </c>
      <c r="H4172" s="27" t="str">
        <f aca="false">IF(G4172="","",IF(G4172="?","⚠ pub inconnue",IFERROR(INDEX(Pubs!$B$2:$B$3001,MATCH(G4172,Pubs!$A$2:$A$3001,0))&amp;"","⚠ pub inconnue")))</f>
        <v/>
      </c>
      <c r="I4172" s="27" t="str">
        <f aca="false">IF(OR(G4172="",G4172="?"),"",IFERROR(INDEX(Pubs!$C$2:$C$3001,MATCH(G4172,Pubs!$A$2:$A$3001,0))&amp;"",""))</f>
        <v/>
      </c>
      <c r="J4172" s="27" t="str">
        <f aca="false">IF(OR(G4172="",G4172="?"),"",IFERROR(INDEX(Pubs!$G$2:$G$3001,MATCH(G4172,Pubs!$A$2:$A$3001,0))&amp;"",""))</f>
        <v/>
      </c>
      <c r="K4172" s="28" t="str">
        <f aca="false">IF(OR(G4172="",G4172="?"),"",IFERROR(INDEX(Pubs!$E$2:$E$3001,MATCH(G4172,Pubs!$A$2:$A$3001,0)),""))</f>
        <v/>
      </c>
      <c r="L4172" s="29" t="str">
        <f aca="false">IF(A4172="","",IFERROR(1/(1/INDEX(Numéros!$C$2:$C$3001,MATCH(A4172&amp;"|"&amp;B4172,Numéros!$F$2:$F$3001,0))),""))</f>
        <v/>
      </c>
      <c r="M4172" s="27" t="str">
        <f aca="false">IF(OR(G4172="",G4172="?"),"",IFERROR(INDEX(Pubs!$D$2:$D$3001,MATCH(G4172,Pubs!$A$2:$A$3001,0))&amp;"",""))</f>
        <v/>
      </c>
      <c r="N4172" s="27" t="n">
        <f aca="false">N(N4171)+IF(AND(A4172&lt;&gt;"",OR(Recherche!$C$4="",A4172=Recherche!$C$4),OR(Recherche!$C$5="",B4172&amp;""=Recherche!$C$5&amp;""),OR(Recherche!$C$6="",IFERROR(YEAR(L4172),0)=Recherche!$C$6),OR(Recherche!$C$7="",ISNUMBER(SEARCH(Recherche!$C$7,H4172))),OR(Recherche!$C$8="",J4172=Recherche!$C$8),OR(Recherche!$C$9="",I4172=Recherche!$C$9),OR(Recherche!$C$10="",G4172&amp;""=Recherche!$C$10&amp;""),OR(Recherche!$C$11="",E4172=Recherche!$C$11),OR(Recherche!$C$12="",ISNUMBER(SEARCH(Recherche!$C$12,M4172&amp;" "&amp;F4172)))),1,0)</f>
        <v>8</v>
      </c>
    </row>
    <row r="4173" customFormat="false" ht="15" hidden="false" customHeight="false" outlineLevel="0" collapsed="false">
      <c r="A4173" s="19"/>
      <c r="B4173" s="19"/>
      <c r="C4173" s="19"/>
      <c r="D4173" s="19"/>
      <c r="E4173" s="22"/>
      <c r="F4173" s="19"/>
      <c r="G4173" s="26" t="str">
        <f aca="false">IF(D4173="","",IFERROR(VALUE(LEFT(D4173,FIND(" |",D4173&amp;" |")-1)),"?"))</f>
        <v/>
      </c>
      <c r="H4173" s="27" t="str">
        <f aca="false">IF(G4173="","",IF(G4173="?","⚠ pub inconnue",IFERROR(INDEX(Pubs!$B$2:$B$3001,MATCH(G4173,Pubs!$A$2:$A$3001,0))&amp;"","⚠ pub inconnue")))</f>
        <v/>
      </c>
      <c r="I4173" s="27" t="str">
        <f aca="false">IF(OR(G4173="",G4173="?"),"",IFERROR(INDEX(Pubs!$C$2:$C$3001,MATCH(G4173,Pubs!$A$2:$A$3001,0))&amp;"",""))</f>
        <v/>
      </c>
      <c r="J4173" s="27" t="str">
        <f aca="false">IF(OR(G4173="",G4173="?"),"",IFERROR(INDEX(Pubs!$G$2:$G$3001,MATCH(G4173,Pubs!$A$2:$A$3001,0))&amp;"",""))</f>
        <v/>
      </c>
      <c r="K4173" s="28" t="str">
        <f aca="false">IF(OR(G4173="",G4173="?"),"",IFERROR(INDEX(Pubs!$E$2:$E$3001,MATCH(G4173,Pubs!$A$2:$A$3001,0)),""))</f>
        <v/>
      </c>
      <c r="L4173" s="29" t="str">
        <f aca="false">IF(A4173="","",IFERROR(1/(1/INDEX(Numéros!$C$2:$C$3001,MATCH(A4173&amp;"|"&amp;B4173,Numéros!$F$2:$F$3001,0))),""))</f>
        <v/>
      </c>
      <c r="M4173" s="27" t="str">
        <f aca="false">IF(OR(G4173="",G4173="?"),"",IFERROR(INDEX(Pubs!$D$2:$D$3001,MATCH(G4173,Pubs!$A$2:$A$3001,0))&amp;"",""))</f>
        <v/>
      </c>
      <c r="N4173" s="27" t="n">
        <f aca="false">N(N4172)+IF(AND(A4173&lt;&gt;"",OR(Recherche!$C$4="",A4173=Recherche!$C$4),OR(Recherche!$C$5="",B4173&amp;""=Recherche!$C$5&amp;""),OR(Recherche!$C$6="",IFERROR(YEAR(L4173),0)=Recherche!$C$6),OR(Recherche!$C$7="",ISNUMBER(SEARCH(Recherche!$C$7,H4173))),OR(Recherche!$C$8="",J4173=Recherche!$C$8),OR(Recherche!$C$9="",I4173=Recherche!$C$9),OR(Recherche!$C$10="",G4173&amp;""=Recherche!$C$10&amp;""),OR(Recherche!$C$11="",E4173=Recherche!$C$11),OR(Recherche!$C$12="",ISNUMBER(SEARCH(Recherche!$C$12,M4173&amp;" "&amp;F4173)))),1,0)</f>
        <v>8</v>
      </c>
    </row>
    <row r="4174" customFormat="false" ht="15" hidden="false" customHeight="false" outlineLevel="0" collapsed="false">
      <c r="A4174" s="19"/>
      <c r="B4174" s="19"/>
      <c r="C4174" s="19"/>
      <c r="D4174" s="19"/>
      <c r="E4174" s="22"/>
      <c r="F4174" s="19"/>
      <c r="G4174" s="26" t="str">
        <f aca="false">IF(D4174="","",IFERROR(VALUE(LEFT(D4174,FIND(" |",D4174&amp;" |")-1)),"?"))</f>
        <v/>
      </c>
      <c r="H4174" s="27" t="str">
        <f aca="false">IF(G4174="","",IF(G4174="?","⚠ pub inconnue",IFERROR(INDEX(Pubs!$B$2:$B$3001,MATCH(G4174,Pubs!$A$2:$A$3001,0))&amp;"","⚠ pub inconnue")))</f>
        <v/>
      </c>
      <c r="I4174" s="27" t="str">
        <f aca="false">IF(OR(G4174="",G4174="?"),"",IFERROR(INDEX(Pubs!$C$2:$C$3001,MATCH(G4174,Pubs!$A$2:$A$3001,0))&amp;"",""))</f>
        <v/>
      </c>
      <c r="J4174" s="27" t="str">
        <f aca="false">IF(OR(G4174="",G4174="?"),"",IFERROR(INDEX(Pubs!$G$2:$G$3001,MATCH(G4174,Pubs!$A$2:$A$3001,0))&amp;"",""))</f>
        <v/>
      </c>
      <c r="K4174" s="28" t="str">
        <f aca="false">IF(OR(G4174="",G4174="?"),"",IFERROR(INDEX(Pubs!$E$2:$E$3001,MATCH(G4174,Pubs!$A$2:$A$3001,0)),""))</f>
        <v/>
      </c>
      <c r="L4174" s="29" t="str">
        <f aca="false">IF(A4174="","",IFERROR(1/(1/INDEX(Numéros!$C$2:$C$3001,MATCH(A4174&amp;"|"&amp;B4174,Numéros!$F$2:$F$3001,0))),""))</f>
        <v/>
      </c>
      <c r="M4174" s="27" t="str">
        <f aca="false">IF(OR(G4174="",G4174="?"),"",IFERROR(INDEX(Pubs!$D$2:$D$3001,MATCH(G4174,Pubs!$A$2:$A$3001,0))&amp;"",""))</f>
        <v/>
      </c>
      <c r="N4174" s="27" t="n">
        <f aca="false">N(N4173)+IF(AND(A4174&lt;&gt;"",OR(Recherche!$C$4="",A4174=Recherche!$C$4),OR(Recherche!$C$5="",B4174&amp;""=Recherche!$C$5&amp;""),OR(Recherche!$C$6="",IFERROR(YEAR(L4174),0)=Recherche!$C$6),OR(Recherche!$C$7="",ISNUMBER(SEARCH(Recherche!$C$7,H4174))),OR(Recherche!$C$8="",J4174=Recherche!$C$8),OR(Recherche!$C$9="",I4174=Recherche!$C$9),OR(Recherche!$C$10="",G4174&amp;""=Recherche!$C$10&amp;""),OR(Recherche!$C$11="",E4174=Recherche!$C$11),OR(Recherche!$C$12="",ISNUMBER(SEARCH(Recherche!$C$12,M4174&amp;" "&amp;F4174)))),1,0)</f>
        <v>8</v>
      </c>
    </row>
    <row r="4175" customFormat="false" ht="15" hidden="false" customHeight="false" outlineLevel="0" collapsed="false">
      <c r="A4175" s="19"/>
      <c r="B4175" s="19"/>
      <c r="C4175" s="19"/>
      <c r="D4175" s="19"/>
      <c r="E4175" s="22"/>
      <c r="F4175" s="19"/>
      <c r="G4175" s="26" t="str">
        <f aca="false">IF(D4175="","",IFERROR(VALUE(LEFT(D4175,FIND(" |",D4175&amp;" |")-1)),"?"))</f>
        <v/>
      </c>
      <c r="H4175" s="27" t="str">
        <f aca="false">IF(G4175="","",IF(G4175="?","⚠ pub inconnue",IFERROR(INDEX(Pubs!$B$2:$B$3001,MATCH(G4175,Pubs!$A$2:$A$3001,0))&amp;"","⚠ pub inconnue")))</f>
        <v/>
      </c>
      <c r="I4175" s="27" t="str">
        <f aca="false">IF(OR(G4175="",G4175="?"),"",IFERROR(INDEX(Pubs!$C$2:$C$3001,MATCH(G4175,Pubs!$A$2:$A$3001,0))&amp;"",""))</f>
        <v/>
      </c>
      <c r="J4175" s="27" t="str">
        <f aca="false">IF(OR(G4175="",G4175="?"),"",IFERROR(INDEX(Pubs!$G$2:$G$3001,MATCH(G4175,Pubs!$A$2:$A$3001,0))&amp;"",""))</f>
        <v/>
      </c>
      <c r="K4175" s="28" t="str">
        <f aca="false">IF(OR(G4175="",G4175="?"),"",IFERROR(INDEX(Pubs!$E$2:$E$3001,MATCH(G4175,Pubs!$A$2:$A$3001,0)),""))</f>
        <v/>
      </c>
      <c r="L4175" s="29" t="str">
        <f aca="false">IF(A4175="","",IFERROR(1/(1/INDEX(Numéros!$C$2:$C$3001,MATCH(A4175&amp;"|"&amp;B4175,Numéros!$F$2:$F$3001,0))),""))</f>
        <v/>
      </c>
      <c r="M4175" s="27" t="str">
        <f aca="false">IF(OR(G4175="",G4175="?"),"",IFERROR(INDEX(Pubs!$D$2:$D$3001,MATCH(G4175,Pubs!$A$2:$A$3001,0))&amp;"",""))</f>
        <v/>
      </c>
      <c r="N4175" s="27" t="n">
        <f aca="false">N(N4174)+IF(AND(A4175&lt;&gt;"",OR(Recherche!$C$4="",A4175=Recherche!$C$4),OR(Recherche!$C$5="",B4175&amp;""=Recherche!$C$5&amp;""),OR(Recherche!$C$6="",IFERROR(YEAR(L4175),0)=Recherche!$C$6),OR(Recherche!$C$7="",ISNUMBER(SEARCH(Recherche!$C$7,H4175))),OR(Recherche!$C$8="",J4175=Recherche!$C$8),OR(Recherche!$C$9="",I4175=Recherche!$C$9),OR(Recherche!$C$10="",G4175&amp;""=Recherche!$C$10&amp;""),OR(Recherche!$C$11="",E4175=Recherche!$C$11),OR(Recherche!$C$12="",ISNUMBER(SEARCH(Recherche!$C$12,M4175&amp;" "&amp;F4175)))),1,0)</f>
        <v>8</v>
      </c>
    </row>
    <row r="4176" customFormat="false" ht="15" hidden="false" customHeight="false" outlineLevel="0" collapsed="false">
      <c r="A4176" s="19"/>
      <c r="B4176" s="19"/>
      <c r="C4176" s="19"/>
      <c r="D4176" s="19"/>
      <c r="E4176" s="22"/>
      <c r="F4176" s="19"/>
      <c r="G4176" s="26" t="str">
        <f aca="false">IF(D4176="","",IFERROR(VALUE(LEFT(D4176,FIND(" |",D4176&amp;" |")-1)),"?"))</f>
        <v/>
      </c>
      <c r="H4176" s="27" t="str">
        <f aca="false">IF(G4176="","",IF(G4176="?","⚠ pub inconnue",IFERROR(INDEX(Pubs!$B$2:$B$3001,MATCH(G4176,Pubs!$A$2:$A$3001,0))&amp;"","⚠ pub inconnue")))</f>
        <v/>
      </c>
      <c r="I4176" s="27" t="str">
        <f aca="false">IF(OR(G4176="",G4176="?"),"",IFERROR(INDEX(Pubs!$C$2:$C$3001,MATCH(G4176,Pubs!$A$2:$A$3001,0))&amp;"",""))</f>
        <v/>
      </c>
      <c r="J4176" s="27" t="str">
        <f aca="false">IF(OR(G4176="",G4176="?"),"",IFERROR(INDEX(Pubs!$G$2:$G$3001,MATCH(G4176,Pubs!$A$2:$A$3001,0))&amp;"",""))</f>
        <v/>
      </c>
      <c r="K4176" s="28" t="str">
        <f aca="false">IF(OR(G4176="",G4176="?"),"",IFERROR(INDEX(Pubs!$E$2:$E$3001,MATCH(G4176,Pubs!$A$2:$A$3001,0)),""))</f>
        <v/>
      </c>
      <c r="L4176" s="29" t="str">
        <f aca="false">IF(A4176="","",IFERROR(1/(1/INDEX(Numéros!$C$2:$C$3001,MATCH(A4176&amp;"|"&amp;B4176,Numéros!$F$2:$F$3001,0))),""))</f>
        <v/>
      </c>
      <c r="M4176" s="27" t="str">
        <f aca="false">IF(OR(G4176="",G4176="?"),"",IFERROR(INDEX(Pubs!$D$2:$D$3001,MATCH(G4176,Pubs!$A$2:$A$3001,0))&amp;"",""))</f>
        <v/>
      </c>
      <c r="N4176" s="27" t="n">
        <f aca="false">N(N4175)+IF(AND(A4176&lt;&gt;"",OR(Recherche!$C$4="",A4176=Recherche!$C$4),OR(Recherche!$C$5="",B4176&amp;""=Recherche!$C$5&amp;""),OR(Recherche!$C$6="",IFERROR(YEAR(L4176),0)=Recherche!$C$6),OR(Recherche!$C$7="",ISNUMBER(SEARCH(Recherche!$C$7,H4176))),OR(Recherche!$C$8="",J4176=Recherche!$C$8),OR(Recherche!$C$9="",I4176=Recherche!$C$9),OR(Recherche!$C$10="",G4176&amp;""=Recherche!$C$10&amp;""),OR(Recherche!$C$11="",E4176=Recherche!$C$11),OR(Recherche!$C$12="",ISNUMBER(SEARCH(Recherche!$C$12,M4176&amp;" "&amp;F4176)))),1,0)</f>
        <v>8</v>
      </c>
    </row>
    <row r="4177" customFormat="false" ht="15" hidden="false" customHeight="false" outlineLevel="0" collapsed="false">
      <c r="A4177" s="19"/>
      <c r="B4177" s="19"/>
      <c r="C4177" s="19"/>
      <c r="D4177" s="19"/>
      <c r="E4177" s="22"/>
      <c r="F4177" s="19"/>
      <c r="G4177" s="26" t="str">
        <f aca="false">IF(D4177="","",IFERROR(VALUE(LEFT(D4177,FIND(" |",D4177&amp;" |")-1)),"?"))</f>
        <v/>
      </c>
      <c r="H4177" s="27" t="str">
        <f aca="false">IF(G4177="","",IF(G4177="?","⚠ pub inconnue",IFERROR(INDEX(Pubs!$B$2:$B$3001,MATCH(G4177,Pubs!$A$2:$A$3001,0))&amp;"","⚠ pub inconnue")))</f>
        <v/>
      </c>
      <c r="I4177" s="27" t="str">
        <f aca="false">IF(OR(G4177="",G4177="?"),"",IFERROR(INDEX(Pubs!$C$2:$C$3001,MATCH(G4177,Pubs!$A$2:$A$3001,0))&amp;"",""))</f>
        <v/>
      </c>
      <c r="J4177" s="27" t="str">
        <f aca="false">IF(OR(G4177="",G4177="?"),"",IFERROR(INDEX(Pubs!$G$2:$G$3001,MATCH(G4177,Pubs!$A$2:$A$3001,0))&amp;"",""))</f>
        <v/>
      </c>
      <c r="K4177" s="28" t="str">
        <f aca="false">IF(OR(G4177="",G4177="?"),"",IFERROR(INDEX(Pubs!$E$2:$E$3001,MATCH(G4177,Pubs!$A$2:$A$3001,0)),""))</f>
        <v/>
      </c>
      <c r="L4177" s="29" t="str">
        <f aca="false">IF(A4177="","",IFERROR(1/(1/INDEX(Numéros!$C$2:$C$3001,MATCH(A4177&amp;"|"&amp;B4177,Numéros!$F$2:$F$3001,0))),""))</f>
        <v/>
      </c>
      <c r="M4177" s="27" t="str">
        <f aca="false">IF(OR(G4177="",G4177="?"),"",IFERROR(INDEX(Pubs!$D$2:$D$3001,MATCH(G4177,Pubs!$A$2:$A$3001,0))&amp;"",""))</f>
        <v/>
      </c>
      <c r="N4177" s="27" t="n">
        <f aca="false">N(N4176)+IF(AND(A4177&lt;&gt;"",OR(Recherche!$C$4="",A4177=Recherche!$C$4),OR(Recherche!$C$5="",B4177&amp;""=Recherche!$C$5&amp;""),OR(Recherche!$C$6="",IFERROR(YEAR(L4177),0)=Recherche!$C$6),OR(Recherche!$C$7="",ISNUMBER(SEARCH(Recherche!$C$7,H4177))),OR(Recherche!$C$8="",J4177=Recherche!$C$8),OR(Recherche!$C$9="",I4177=Recherche!$C$9),OR(Recherche!$C$10="",G4177&amp;""=Recherche!$C$10&amp;""),OR(Recherche!$C$11="",E4177=Recherche!$C$11),OR(Recherche!$C$12="",ISNUMBER(SEARCH(Recherche!$C$12,M4177&amp;" "&amp;F4177)))),1,0)</f>
        <v>8</v>
      </c>
    </row>
    <row r="4178" customFormat="false" ht="15" hidden="false" customHeight="false" outlineLevel="0" collapsed="false">
      <c r="A4178" s="19"/>
      <c r="B4178" s="19"/>
      <c r="C4178" s="19"/>
      <c r="D4178" s="19"/>
      <c r="E4178" s="22"/>
      <c r="F4178" s="19"/>
      <c r="G4178" s="26" t="str">
        <f aca="false">IF(D4178="","",IFERROR(VALUE(LEFT(D4178,FIND(" |",D4178&amp;" |")-1)),"?"))</f>
        <v/>
      </c>
      <c r="H4178" s="27" t="str">
        <f aca="false">IF(G4178="","",IF(G4178="?","⚠ pub inconnue",IFERROR(INDEX(Pubs!$B$2:$B$3001,MATCH(G4178,Pubs!$A$2:$A$3001,0))&amp;"","⚠ pub inconnue")))</f>
        <v/>
      </c>
      <c r="I4178" s="27" t="str">
        <f aca="false">IF(OR(G4178="",G4178="?"),"",IFERROR(INDEX(Pubs!$C$2:$C$3001,MATCH(G4178,Pubs!$A$2:$A$3001,0))&amp;"",""))</f>
        <v/>
      </c>
      <c r="J4178" s="27" t="str">
        <f aca="false">IF(OR(G4178="",G4178="?"),"",IFERROR(INDEX(Pubs!$G$2:$G$3001,MATCH(G4178,Pubs!$A$2:$A$3001,0))&amp;"",""))</f>
        <v/>
      </c>
      <c r="K4178" s="28" t="str">
        <f aca="false">IF(OR(G4178="",G4178="?"),"",IFERROR(INDEX(Pubs!$E$2:$E$3001,MATCH(G4178,Pubs!$A$2:$A$3001,0)),""))</f>
        <v/>
      </c>
      <c r="L4178" s="29" t="str">
        <f aca="false">IF(A4178="","",IFERROR(1/(1/INDEX(Numéros!$C$2:$C$3001,MATCH(A4178&amp;"|"&amp;B4178,Numéros!$F$2:$F$3001,0))),""))</f>
        <v/>
      </c>
      <c r="M4178" s="27" t="str">
        <f aca="false">IF(OR(G4178="",G4178="?"),"",IFERROR(INDEX(Pubs!$D$2:$D$3001,MATCH(G4178,Pubs!$A$2:$A$3001,0))&amp;"",""))</f>
        <v/>
      </c>
      <c r="N4178" s="27" t="n">
        <f aca="false">N(N4177)+IF(AND(A4178&lt;&gt;"",OR(Recherche!$C$4="",A4178=Recherche!$C$4),OR(Recherche!$C$5="",B4178&amp;""=Recherche!$C$5&amp;""),OR(Recherche!$C$6="",IFERROR(YEAR(L4178),0)=Recherche!$C$6),OR(Recherche!$C$7="",ISNUMBER(SEARCH(Recherche!$C$7,H4178))),OR(Recherche!$C$8="",J4178=Recherche!$C$8),OR(Recherche!$C$9="",I4178=Recherche!$C$9),OR(Recherche!$C$10="",G4178&amp;""=Recherche!$C$10&amp;""),OR(Recherche!$C$11="",E4178=Recherche!$C$11),OR(Recherche!$C$12="",ISNUMBER(SEARCH(Recherche!$C$12,M4178&amp;" "&amp;F4178)))),1,0)</f>
        <v>8</v>
      </c>
    </row>
    <row r="4179" customFormat="false" ht="15" hidden="false" customHeight="false" outlineLevel="0" collapsed="false">
      <c r="A4179" s="19"/>
      <c r="B4179" s="19"/>
      <c r="C4179" s="19"/>
      <c r="D4179" s="19"/>
      <c r="E4179" s="22"/>
      <c r="F4179" s="19"/>
      <c r="G4179" s="26" t="str">
        <f aca="false">IF(D4179="","",IFERROR(VALUE(LEFT(D4179,FIND(" |",D4179&amp;" |")-1)),"?"))</f>
        <v/>
      </c>
      <c r="H4179" s="27" t="str">
        <f aca="false">IF(G4179="","",IF(G4179="?","⚠ pub inconnue",IFERROR(INDEX(Pubs!$B$2:$B$3001,MATCH(G4179,Pubs!$A$2:$A$3001,0))&amp;"","⚠ pub inconnue")))</f>
        <v/>
      </c>
      <c r="I4179" s="27" t="str">
        <f aca="false">IF(OR(G4179="",G4179="?"),"",IFERROR(INDEX(Pubs!$C$2:$C$3001,MATCH(G4179,Pubs!$A$2:$A$3001,0))&amp;"",""))</f>
        <v/>
      </c>
      <c r="J4179" s="27" t="str">
        <f aca="false">IF(OR(G4179="",G4179="?"),"",IFERROR(INDEX(Pubs!$G$2:$G$3001,MATCH(G4179,Pubs!$A$2:$A$3001,0))&amp;"",""))</f>
        <v/>
      </c>
      <c r="K4179" s="28" t="str">
        <f aca="false">IF(OR(G4179="",G4179="?"),"",IFERROR(INDEX(Pubs!$E$2:$E$3001,MATCH(G4179,Pubs!$A$2:$A$3001,0)),""))</f>
        <v/>
      </c>
      <c r="L4179" s="29" t="str">
        <f aca="false">IF(A4179="","",IFERROR(1/(1/INDEX(Numéros!$C$2:$C$3001,MATCH(A4179&amp;"|"&amp;B4179,Numéros!$F$2:$F$3001,0))),""))</f>
        <v/>
      </c>
      <c r="M4179" s="27" t="str">
        <f aca="false">IF(OR(G4179="",G4179="?"),"",IFERROR(INDEX(Pubs!$D$2:$D$3001,MATCH(G4179,Pubs!$A$2:$A$3001,0))&amp;"",""))</f>
        <v/>
      </c>
      <c r="N4179" s="27" t="n">
        <f aca="false">N(N4178)+IF(AND(A4179&lt;&gt;"",OR(Recherche!$C$4="",A4179=Recherche!$C$4),OR(Recherche!$C$5="",B4179&amp;""=Recherche!$C$5&amp;""),OR(Recherche!$C$6="",IFERROR(YEAR(L4179),0)=Recherche!$C$6),OR(Recherche!$C$7="",ISNUMBER(SEARCH(Recherche!$C$7,H4179))),OR(Recherche!$C$8="",J4179=Recherche!$C$8),OR(Recherche!$C$9="",I4179=Recherche!$C$9),OR(Recherche!$C$10="",G4179&amp;""=Recherche!$C$10&amp;""),OR(Recherche!$C$11="",E4179=Recherche!$C$11),OR(Recherche!$C$12="",ISNUMBER(SEARCH(Recherche!$C$12,M4179&amp;" "&amp;F4179)))),1,0)</f>
        <v>8</v>
      </c>
    </row>
    <row r="4180" customFormat="false" ht="15" hidden="false" customHeight="false" outlineLevel="0" collapsed="false">
      <c r="A4180" s="19"/>
      <c r="B4180" s="19"/>
      <c r="C4180" s="19"/>
      <c r="D4180" s="19"/>
      <c r="E4180" s="22"/>
      <c r="F4180" s="19"/>
      <c r="G4180" s="26" t="str">
        <f aca="false">IF(D4180="","",IFERROR(VALUE(LEFT(D4180,FIND(" |",D4180&amp;" |")-1)),"?"))</f>
        <v/>
      </c>
      <c r="H4180" s="27" t="str">
        <f aca="false">IF(G4180="","",IF(G4180="?","⚠ pub inconnue",IFERROR(INDEX(Pubs!$B$2:$B$3001,MATCH(G4180,Pubs!$A$2:$A$3001,0))&amp;"","⚠ pub inconnue")))</f>
        <v/>
      </c>
      <c r="I4180" s="27" t="str">
        <f aca="false">IF(OR(G4180="",G4180="?"),"",IFERROR(INDEX(Pubs!$C$2:$C$3001,MATCH(G4180,Pubs!$A$2:$A$3001,0))&amp;"",""))</f>
        <v/>
      </c>
      <c r="J4180" s="27" t="str">
        <f aca="false">IF(OR(G4180="",G4180="?"),"",IFERROR(INDEX(Pubs!$G$2:$G$3001,MATCH(G4180,Pubs!$A$2:$A$3001,0))&amp;"",""))</f>
        <v/>
      </c>
      <c r="K4180" s="28" t="str">
        <f aca="false">IF(OR(G4180="",G4180="?"),"",IFERROR(INDEX(Pubs!$E$2:$E$3001,MATCH(G4180,Pubs!$A$2:$A$3001,0)),""))</f>
        <v/>
      </c>
      <c r="L4180" s="29" t="str">
        <f aca="false">IF(A4180="","",IFERROR(1/(1/INDEX(Numéros!$C$2:$C$3001,MATCH(A4180&amp;"|"&amp;B4180,Numéros!$F$2:$F$3001,0))),""))</f>
        <v/>
      </c>
      <c r="M4180" s="27" t="str">
        <f aca="false">IF(OR(G4180="",G4180="?"),"",IFERROR(INDEX(Pubs!$D$2:$D$3001,MATCH(G4180,Pubs!$A$2:$A$3001,0))&amp;"",""))</f>
        <v/>
      </c>
      <c r="N4180" s="27" t="n">
        <f aca="false">N(N4179)+IF(AND(A4180&lt;&gt;"",OR(Recherche!$C$4="",A4180=Recherche!$C$4),OR(Recherche!$C$5="",B4180&amp;""=Recherche!$C$5&amp;""),OR(Recherche!$C$6="",IFERROR(YEAR(L4180),0)=Recherche!$C$6),OR(Recherche!$C$7="",ISNUMBER(SEARCH(Recherche!$C$7,H4180))),OR(Recherche!$C$8="",J4180=Recherche!$C$8),OR(Recherche!$C$9="",I4180=Recherche!$C$9),OR(Recherche!$C$10="",G4180&amp;""=Recherche!$C$10&amp;""),OR(Recherche!$C$11="",E4180=Recherche!$C$11),OR(Recherche!$C$12="",ISNUMBER(SEARCH(Recherche!$C$12,M4180&amp;" "&amp;F4180)))),1,0)</f>
        <v>8</v>
      </c>
    </row>
    <row r="4181" customFormat="false" ht="15" hidden="false" customHeight="false" outlineLevel="0" collapsed="false">
      <c r="A4181" s="19"/>
      <c r="B4181" s="19"/>
      <c r="C4181" s="19"/>
      <c r="D4181" s="19"/>
      <c r="E4181" s="22"/>
      <c r="F4181" s="19"/>
      <c r="G4181" s="26" t="str">
        <f aca="false">IF(D4181="","",IFERROR(VALUE(LEFT(D4181,FIND(" |",D4181&amp;" |")-1)),"?"))</f>
        <v/>
      </c>
      <c r="H4181" s="27" t="str">
        <f aca="false">IF(G4181="","",IF(G4181="?","⚠ pub inconnue",IFERROR(INDEX(Pubs!$B$2:$B$3001,MATCH(G4181,Pubs!$A$2:$A$3001,0))&amp;"","⚠ pub inconnue")))</f>
        <v/>
      </c>
      <c r="I4181" s="27" t="str">
        <f aca="false">IF(OR(G4181="",G4181="?"),"",IFERROR(INDEX(Pubs!$C$2:$C$3001,MATCH(G4181,Pubs!$A$2:$A$3001,0))&amp;"",""))</f>
        <v/>
      </c>
      <c r="J4181" s="27" t="str">
        <f aca="false">IF(OR(G4181="",G4181="?"),"",IFERROR(INDEX(Pubs!$G$2:$G$3001,MATCH(G4181,Pubs!$A$2:$A$3001,0))&amp;"",""))</f>
        <v/>
      </c>
      <c r="K4181" s="28" t="str">
        <f aca="false">IF(OR(G4181="",G4181="?"),"",IFERROR(INDEX(Pubs!$E$2:$E$3001,MATCH(G4181,Pubs!$A$2:$A$3001,0)),""))</f>
        <v/>
      </c>
      <c r="L4181" s="29" t="str">
        <f aca="false">IF(A4181="","",IFERROR(1/(1/INDEX(Numéros!$C$2:$C$3001,MATCH(A4181&amp;"|"&amp;B4181,Numéros!$F$2:$F$3001,0))),""))</f>
        <v/>
      </c>
      <c r="M4181" s="27" t="str">
        <f aca="false">IF(OR(G4181="",G4181="?"),"",IFERROR(INDEX(Pubs!$D$2:$D$3001,MATCH(G4181,Pubs!$A$2:$A$3001,0))&amp;"",""))</f>
        <v/>
      </c>
      <c r="N4181" s="27" t="n">
        <f aca="false">N(N4180)+IF(AND(A4181&lt;&gt;"",OR(Recherche!$C$4="",A4181=Recherche!$C$4),OR(Recherche!$C$5="",B4181&amp;""=Recherche!$C$5&amp;""),OR(Recherche!$C$6="",IFERROR(YEAR(L4181),0)=Recherche!$C$6),OR(Recherche!$C$7="",ISNUMBER(SEARCH(Recherche!$C$7,H4181))),OR(Recherche!$C$8="",J4181=Recherche!$C$8),OR(Recherche!$C$9="",I4181=Recherche!$C$9),OR(Recherche!$C$10="",G4181&amp;""=Recherche!$C$10&amp;""),OR(Recherche!$C$11="",E4181=Recherche!$C$11),OR(Recherche!$C$12="",ISNUMBER(SEARCH(Recherche!$C$12,M4181&amp;" "&amp;F4181)))),1,0)</f>
        <v>8</v>
      </c>
    </row>
    <row r="4182" customFormat="false" ht="15" hidden="false" customHeight="false" outlineLevel="0" collapsed="false">
      <c r="A4182" s="19"/>
      <c r="B4182" s="19"/>
      <c r="C4182" s="19"/>
      <c r="D4182" s="19"/>
      <c r="E4182" s="22"/>
      <c r="F4182" s="19"/>
      <c r="G4182" s="26" t="str">
        <f aca="false">IF(D4182="","",IFERROR(VALUE(LEFT(D4182,FIND(" |",D4182&amp;" |")-1)),"?"))</f>
        <v/>
      </c>
      <c r="H4182" s="27" t="str">
        <f aca="false">IF(G4182="","",IF(G4182="?","⚠ pub inconnue",IFERROR(INDEX(Pubs!$B$2:$B$3001,MATCH(G4182,Pubs!$A$2:$A$3001,0))&amp;"","⚠ pub inconnue")))</f>
        <v/>
      </c>
      <c r="I4182" s="27" t="str">
        <f aca="false">IF(OR(G4182="",G4182="?"),"",IFERROR(INDEX(Pubs!$C$2:$C$3001,MATCH(G4182,Pubs!$A$2:$A$3001,0))&amp;"",""))</f>
        <v/>
      </c>
      <c r="J4182" s="27" t="str">
        <f aca="false">IF(OR(G4182="",G4182="?"),"",IFERROR(INDEX(Pubs!$G$2:$G$3001,MATCH(G4182,Pubs!$A$2:$A$3001,0))&amp;"",""))</f>
        <v/>
      </c>
      <c r="K4182" s="28" t="str">
        <f aca="false">IF(OR(G4182="",G4182="?"),"",IFERROR(INDEX(Pubs!$E$2:$E$3001,MATCH(G4182,Pubs!$A$2:$A$3001,0)),""))</f>
        <v/>
      </c>
      <c r="L4182" s="29" t="str">
        <f aca="false">IF(A4182="","",IFERROR(1/(1/INDEX(Numéros!$C$2:$C$3001,MATCH(A4182&amp;"|"&amp;B4182,Numéros!$F$2:$F$3001,0))),""))</f>
        <v/>
      </c>
      <c r="M4182" s="27" t="str">
        <f aca="false">IF(OR(G4182="",G4182="?"),"",IFERROR(INDEX(Pubs!$D$2:$D$3001,MATCH(G4182,Pubs!$A$2:$A$3001,0))&amp;"",""))</f>
        <v/>
      </c>
      <c r="N4182" s="27" t="n">
        <f aca="false">N(N4181)+IF(AND(A4182&lt;&gt;"",OR(Recherche!$C$4="",A4182=Recherche!$C$4),OR(Recherche!$C$5="",B4182&amp;""=Recherche!$C$5&amp;""),OR(Recherche!$C$6="",IFERROR(YEAR(L4182),0)=Recherche!$C$6),OR(Recherche!$C$7="",ISNUMBER(SEARCH(Recherche!$C$7,H4182))),OR(Recherche!$C$8="",J4182=Recherche!$C$8),OR(Recherche!$C$9="",I4182=Recherche!$C$9),OR(Recherche!$C$10="",G4182&amp;""=Recherche!$C$10&amp;""),OR(Recherche!$C$11="",E4182=Recherche!$C$11),OR(Recherche!$C$12="",ISNUMBER(SEARCH(Recherche!$C$12,M4182&amp;" "&amp;F4182)))),1,0)</f>
        <v>8</v>
      </c>
    </row>
    <row r="4183" customFormat="false" ht="15" hidden="false" customHeight="false" outlineLevel="0" collapsed="false">
      <c r="A4183" s="19"/>
      <c r="B4183" s="19"/>
      <c r="C4183" s="19"/>
      <c r="D4183" s="19"/>
      <c r="E4183" s="22"/>
      <c r="F4183" s="19"/>
      <c r="G4183" s="26" t="str">
        <f aca="false">IF(D4183="","",IFERROR(VALUE(LEFT(D4183,FIND(" |",D4183&amp;" |")-1)),"?"))</f>
        <v/>
      </c>
      <c r="H4183" s="27" t="str">
        <f aca="false">IF(G4183="","",IF(G4183="?","⚠ pub inconnue",IFERROR(INDEX(Pubs!$B$2:$B$3001,MATCH(G4183,Pubs!$A$2:$A$3001,0))&amp;"","⚠ pub inconnue")))</f>
        <v/>
      </c>
      <c r="I4183" s="27" t="str">
        <f aca="false">IF(OR(G4183="",G4183="?"),"",IFERROR(INDEX(Pubs!$C$2:$C$3001,MATCH(G4183,Pubs!$A$2:$A$3001,0))&amp;"",""))</f>
        <v/>
      </c>
      <c r="J4183" s="27" t="str">
        <f aca="false">IF(OR(G4183="",G4183="?"),"",IFERROR(INDEX(Pubs!$G$2:$G$3001,MATCH(G4183,Pubs!$A$2:$A$3001,0))&amp;"",""))</f>
        <v/>
      </c>
      <c r="K4183" s="28" t="str">
        <f aca="false">IF(OR(G4183="",G4183="?"),"",IFERROR(INDEX(Pubs!$E$2:$E$3001,MATCH(G4183,Pubs!$A$2:$A$3001,0)),""))</f>
        <v/>
      </c>
      <c r="L4183" s="29" t="str">
        <f aca="false">IF(A4183="","",IFERROR(1/(1/INDEX(Numéros!$C$2:$C$3001,MATCH(A4183&amp;"|"&amp;B4183,Numéros!$F$2:$F$3001,0))),""))</f>
        <v/>
      </c>
      <c r="M4183" s="27" t="str">
        <f aca="false">IF(OR(G4183="",G4183="?"),"",IFERROR(INDEX(Pubs!$D$2:$D$3001,MATCH(G4183,Pubs!$A$2:$A$3001,0))&amp;"",""))</f>
        <v/>
      </c>
      <c r="N4183" s="27" t="n">
        <f aca="false">N(N4182)+IF(AND(A4183&lt;&gt;"",OR(Recherche!$C$4="",A4183=Recherche!$C$4),OR(Recherche!$C$5="",B4183&amp;""=Recherche!$C$5&amp;""),OR(Recherche!$C$6="",IFERROR(YEAR(L4183),0)=Recherche!$C$6),OR(Recherche!$C$7="",ISNUMBER(SEARCH(Recherche!$C$7,H4183))),OR(Recherche!$C$8="",J4183=Recherche!$C$8),OR(Recherche!$C$9="",I4183=Recherche!$C$9),OR(Recherche!$C$10="",G4183&amp;""=Recherche!$C$10&amp;""),OR(Recherche!$C$11="",E4183=Recherche!$C$11),OR(Recherche!$C$12="",ISNUMBER(SEARCH(Recherche!$C$12,M4183&amp;" "&amp;F4183)))),1,0)</f>
        <v>8</v>
      </c>
    </row>
    <row r="4184" customFormat="false" ht="15" hidden="false" customHeight="false" outlineLevel="0" collapsed="false">
      <c r="A4184" s="19"/>
      <c r="B4184" s="19"/>
      <c r="C4184" s="19"/>
      <c r="D4184" s="19"/>
      <c r="E4184" s="22"/>
      <c r="F4184" s="19"/>
      <c r="G4184" s="26" t="str">
        <f aca="false">IF(D4184="","",IFERROR(VALUE(LEFT(D4184,FIND(" |",D4184&amp;" |")-1)),"?"))</f>
        <v/>
      </c>
      <c r="H4184" s="27" t="str">
        <f aca="false">IF(G4184="","",IF(G4184="?","⚠ pub inconnue",IFERROR(INDEX(Pubs!$B$2:$B$3001,MATCH(G4184,Pubs!$A$2:$A$3001,0))&amp;"","⚠ pub inconnue")))</f>
        <v/>
      </c>
      <c r="I4184" s="27" t="str">
        <f aca="false">IF(OR(G4184="",G4184="?"),"",IFERROR(INDEX(Pubs!$C$2:$C$3001,MATCH(G4184,Pubs!$A$2:$A$3001,0))&amp;"",""))</f>
        <v/>
      </c>
      <c r="J4184" s="27" t="str">
        <f aca="false">IF(OR(G4184="",G4184="?"),"",IFERROR(INDEX(Pubs!$G$2:$G$3001,MATCH(G4184,Pubs!$A$2:$A$3001,0))&amp;"",""))</f>
        <v/>
      </c>
      <c r="K4184" s="28" t="str">
        <f aca="false">IF(OR(G4184="",G4184="?"),"",IFERROR(INDEX(Pubs!$E$2:$E$3001,MATCH(G4184,Pubs!$A$2:$A$3001,0)),""))</f>
        <v/>
      </c>
      <c r="L4184" s="29" t="str">
        <f aca="false">IF(A4184="","",IFERROR(1/(1/INDEX(Numéros!$C$2:$C$3001,MATCH(A4184&amp;"|"&amp;B4184,Numéros!$F$2:$F$3001,0))),""))</f>
        <v/>
      </c>
      <c r="M4184" s="27" t="str">
        <f aca="false">IF(OR(G4184="",G4184="?"),"",IFERROR(INDEX(Pubs!$D$2:$D$3001,MATCH(G4184,Pubs!$A$2:$A$3001,0))&amp;"",""))</f>
        <v/>
      </c>
      <c r="N4184" s="27" t="n">
        <f aca="false">N(N4183)+IF(AND(A4184&lt;&gt;"",OR(Recherche!$C$4="",A4184=Recherche!$C$4),OR(Recherche!$C$5="",B4184&amp;""=Recherche!$C$5&amp;""),OR(Recherche!$C$6="",IFERROR(YEAR(L4184),0)=Recherche!$C$6),OR(Recherche!$C$7="",ISNUMBER(SEARCH(Recherche!$C$7,H4184))),OR(Recherche!$C$8="",J4184=Recherche!$C$8),OR(Recherche!$C$9="",I4184=Recherche!$C$9),OR(Recherche!$C$10="",G4184&amp;""=Recherche!$C$10&amp;""),OR(Recherche!$C$11="",E4184=Recherche!$C$11),OR(Recherche!$C$12="",ISNUMBER(SEARCH(Recherche!$C$12,M4184&amp;" "&amp;F4184)))),1,0)</f>
        <v>8</v>
      </c>
    </row>
    <row r="4185" customFormat="false" ht="15" hidden="false" customHeight="false" outlineLevel="0" collapsed="false">
      <c r="A4185" s="19"/>
      <c r="B4185" s="19"/>
      <c r="C4185" s="19"/>
      <c r="D4185" s="19"/>
      <c r="E4185" s="22"/>
      <c r="F4185" s="19"/>
      <c r="G4185" s="26" t="str">
        <f aca="false">IF(D4185="","",IFERROR(VALUE(LEFT(D4185,FIND(" |",D4185&amp;" |")-1)),"?"))</f>
        <v/>
      </c>
      <c r="H4185" s="27" t="str">
        <f aca="false">IF(G4185="","",IF(G4185="?","⚠ pub inconnue",IFERROR(INDEX(Pubs!$B$2:$B$3001,MATCH(G4185,Pubs!$A$2:$A$3001,0))&amp;"","⚠ pub inconnue")))</f>
        <v/>
      </c>
      <c r="I4185" s="27" t="str">
        <f aca="false">IF(OR(G4185="",G4185="?"),"",IFERROR(INDEX(Pubs!$C$2:$C$3001,MATCH(G4185,Pubs!$A$2:$A$3001,0))&amp;"",""))</f>
        <v/>
      </c>
      <c r="J4185" s="27" t="str">
        <f aca="false">IF(OR(G4185="",G4185="?"),"",IFERROR(INDEX(Pubs!$G$2:$G$3001,MATCH(G4185,Pubs!$A$2:$A$3001,0))&amp;"",""))</f>
        <v/>
      </c>
      <c r="K4185" s="28" t="str">
        <f aca="false">IF(OR(G4185="",G4185="?"),"",IFERROR(INDEX(Pubs!$E$2:$E$3001,MATCH(G4185,Pubs!$A$2:$A$3001,0)),""))</f>
        <v/>
      </c>
      <c r="L4185" s="29" t="str">
        <f aca="false">IF(A4185="","",IFERROR(1/(1/INDEX(Numéros!$C$2:$C$3001,MATCH(A4185&amp;"|"&amp;B4185,Numéros!$F$2:$F$3001,0))),""))</f>
        <v/>
      </c>
      <c r="M4185" s="27" t="str">
        <f aca="false">IF(OR(G4185="",G4185="?"),"",IFERROR(INDEX(Pubs!$D$2:$D$3001,MATCH(G4185,Pubs!$A$2:$A$3001,0))&amp;"",""))</f>
        <v/>
      </c>
      <c r="N4185" s="27" t="n">
        <f aca="false">N(N4184)+IF(AND(A4185&lt;&gt;"",OR(Recherche!$C$4="",A4185=Recherche!$C$4),OR(Recherche!$C$5="",B4185&amp;""=Recherche!$C$5&amp;""),OR(Recherche!$C$6="",IFERROR(YEAR(L4185),0)=Recherche!$C$6),OR(Recherche!$C$7="",ISNUMBER(SEARCH(Recherche!$C$7,H4185))),OR(Recherche!$C$8="",J4185=Recherche!$C$8),OR(Recherche!$C$9="",I4185=Recherche!$C$9),OR(Recherche!$C$10="",G4185&amp;""=Recherche!$C$10&amp;""),OR(Recherche!$C$11="",E4185=Recherche!$C$11),OR(Recherche!$C$12="",ISNUMBER(SEARCH(Recherche!$C$12,M4185&amp;" "&amp;F4185)))),1,0)</f>
        <v>8</v>
      </c>
    </row>
    <row r="4186" customFormat="false" ht="15" hidden="false" customHeight="false" outlineLevel="0" collapsed="false">
      <c r="A4186" s="19"/>
      <c r="B4186" s="19"/>
      <c r="C4186" s="19"/>
      <c r="D4186" s="19"/>
      <c r="E4186" s="22"/>
      <c r="F4186" s="19"/>
      <c r="G4186" s="26" t="str">
        <f aca="false">IF(D4186="","",IFERROR(VALUE(LEFT(D4186,FIND(" |",D4186&amp;" |")-1)),"?"))</f>
        <v/>
      </c>
      <c r="H4186" s="27" t="str">
        <f aca="false">IF(G4186="","",IF(G4186="?","⚠ pub inconnue",IFERROR(INDEX(Pubs!$B$2:$B$3001,MATCH(G4186,Pubs!$A$2:$A$3001,0))&amp;"","⚠ pub inconnue")))</f>
        <v/>
      </c>
      <c r="I4186" s="27" t="str">
        <f aca="false">IF(OR(G4186="",G4186="?"),"",IFERROR(INDEX(Pubs!$C$2:$C$3001,MATCH(G4186,Pubs!$A$2:$A$3001,0))&amp;"",""))</f>
        <v/>
      </c>
      <c r="J4186" s="27" t="str">
        <f aca="false">IF(OR(G4186="",G4186="?"),"",IFERROR(INDEX(Pubs!$G$2:$G$3001,MATCH(G4186,Pubs!$A$2:$A$3001,0))&amp;"",""))</f>
        <v/>
      </c>
      <c r="K4186" s="28" t="str">
        <f aca="false">IF(OR(G4186="",G4186="?"),"",IFERROR(INDEX(Pubs!$E$2:$E$3001,MATCH(G4186,Pubs!$A$2:$A$3001,0)),""))</f>
        <v/>
      </c>
      <c r="L4186" s="29" t="str">
        <f aca="false">IF(A4186="","",IFERROR(1/(1/INDEX(Numéros!$C$2:$C$3001,MATCH(A4186&amp;"|"&amp;B4186,Numéros!$F$2:$F$3001,0))),""))</f>
        <v/>
      </c>
      <c r="M4186" s="27" t="str">
        <f aca="false">IF(OR(G4186="",G4186="?"),"",IFERROR(INDEX(Pubs!$D$2:$D$3001,MATCH(G4186,Pubs!$A$2:$A$3001,0))&amp;"",""))</f>
        <v/>
      </c>
      <c r="N4186" s="27" t="n">
        <f aca="false">N(N4185)+IF(AND(A4186&lt;&gt;"",OR(Recherche!$C$4="",A4186=Recherche!$C$4),OR(Recherche!$C$5="",B4186&amp;""=Recherche!$C$5&amp;""),OR(Recherche!$C$6="",IFERROR(YEAR(L4186),0)=Recherche!$C$6),OR(Recherche!$C$7="",ISNUMBER(SEARCH(Recherche!$C$7,H4186))),OR(Recherche!$C$8="",J4186=Recherche!$C$8),OR(Recherche!$C$9="",I4186=Recherche!$C$9),OR(Recherche!$C$10="",G4186&amp;""=Recherche!$C$10&amp;""),OR(Recherche!$C$11="",E4186=Recherche!$C$11),OR(Recherche!$C$12="",ISNUMBER(SEARCH(Recherche!$C$12,M4186&amp;" "&amp;F4186)))),1,0)</f>
        <v>8</v>
      </c>
    </row>
    <row r="4187" customFormat="false" ht="15" hidden="false" customHeight="false" outlineLevel="0" collapsed="false">
      <c r="A4187" s="19"/>
      <c r="B4187" s="19"/>
      <c r="C4187" s="19"/>
      <c r="D4187" s="19"/>
      <c r="E4187" s="22"/>
      <c r="F4187" s="19"/>
      <c r="G4187" s="26" t="str">
        <f aca="false">IF(D4187="","",IFERROR(VALUE(LEFT(D4187,FIND(" |",D4187&amp;" |")-1)),"?"))</f>
        <v/>
      </c>
      <c r="H4187" s="27" t="str">
        <f aca="false">IF(G4187="","",IF(G4187="?","⚠ pub inconnue",IFERROR(INDEX(Pubs!$B$2:$B$3001,MATCH(G4187,Pubs!$A$2:$A$3001,0))&amp;"","⚠ pub inconnue")))</f>
        <v/>
      </c>
      <c r="I4187" s="27" t="str">
        <f aca="false">IF(OR(G4187="",G4187="?"),"",IFERROR(INDEX(Pubs!$C$2:$C$3001,MATCH(G4187,Pubs!$A$2:$A$3001,0))&amp;"",""))</f>
        <v/>
      </c>
      <c r="J4187" s="27" t="str">
        <f aca="false">IF(OR(G4187="",G4187="?"),"",IFERROR(INDEX(Pubs!$G$2:$G$3001,MATCH(G4187,Pubs!$A$2:$A$3001,0))&amp;"",""))</f>
        <v/>
      </c>
      <c r="K4187" s="28" t="str">
        <f aca="false">IF(OR(G4187="",G4187="?"),"",IFERROR(INDEX(Pubs!$E$2:$E$3001,MATCH(G4187,Pubs!$A$2:$A$3001,0)),""))</f>
        <v/>
      </c>
      <c r="L4187" s="29" t="str">
        <f aca="false">IF(A4187="","",IFERROR(1/(1/INDEX(Numéros!$C$2:$C$3001,MATCH(A4187&amp;"|"&amp;B4187,Numéros!$F$2:$F$3001,0))),""))</f>
        <v/>
      </c>
      <c r="M4187" s="27" t="str">
        <f aca="false">IF(OR(G4187="",G4187="?"),"",IFERROR(INDEX(Pubs!$D$2:$D$3001,MATCH(G4187,Pubs!$A$2:$A$3001,0))&amp;"",""))</f>
        <v/>
      </c>
      <c r="N4187" s="27" t="n">
        <f aca="false">N(N4186)+IF(AND(A4187&lt;&gt;"",OR(Recherche!$C$4="",A4187=Recherche!$C$4),OR(Recherche!$C$5="",B4187&amp;""=Recherche!$C$5&amp;""),OR(Recherche!$C$6="",IFERROR(YEAR(L4187),0)=Recherche!$C$6),OR(Recherche!$C$7="",ISNUMBER(SEARCH(Recherche!$C$7,H4187))),OR(Recherche!$C$8="",J4187=Recherche!$C$8),OR(Recherche!$C$9="",I4187=Recherche!$C$9),OR(Recherche!$C$10="",G4187&amp;""=Recherche!$C$10&amp;""),OR(Recherche!$C$11="",E4187=Recherche!$C$11),OR(Recherche!$C$12="",ISNUMBER(SEARCH(Recherche!$C$12,M4187&amp;" "&amp;F4187)))),1,0)</f>
        <v>8</v>
      </c>
    </row>
    <row r="4188" customFormat="false" ht="15" hidden="false" customHeight="false" outlineLevel="0" collapsed="false">
      <c r="A4188" s="19"/>
      <c r="B4188" s="19"/>
      <c r="C4188" s="19"/>
      <c r="D4188" s="19"/>
      <c r="E4188" s="22"/>
      <c r="F4188" s="19"/>
      <c r="G4188" s="26" t="str">
        <f aca="false">IF(D4188="","",IFERROR(VALUE(LEFT(D4188,FIND(" |",D4188&amp;" |")-1)),"?"))</f>
        <v/>
      </c>
      <c r="H4188" s="27" t="str">
        <f aca="false">IF(G4188="","",IF(G4188="?","⚠ pub inconnue",IFERROR(INDEX(Pubs!$B$2:$B$3001,MATCH(G4188,Pubs!$A$2:$A$3001,0))&amp;"","⚠ pub inconnue")))</f>
        <v/>
      </c>
      <c r="I4188" s="27" t="str">
        <f aca="false">IF(OR(G4188="",G4188="?"),"",IFERROR(INDEX(Pubs!$C$2:$C$3001,MATCH(G4188,Pubs!$A$2:$A$3001,0))&amp;"",""))</f>
        <v/>
      </c>
      <c r="J4188" s="27" t="str">
        <f aca="false">IF(OR(G4188="",G4188="?"),"",IFERROR(INDEX(Pubs!$G$2:$G$3001,MATCH(G4188,Pubs!$A$2:$A$3001,0))&amp;"",""))</f>
        <v/>
      </c>
      <c r="K4188" s="28" t="str">
        <f aca="false">IF(OR(G4188="",G4188="?"),"",IFERROR(INDEX(Pubs!$E$2:$E$3001,MATCH(G4188,Pubs!$A$2:$A$3001,0)),""))</f>
        <v/>
      </c>
      <c r="L4188" s="29" t="str">
        <f aca="false">IF(A4188="","",IFERROR(1/(1/INDEX(Numéros!$C$2:$C$3001,MATCH(A4188&amp;"|"&amp;B4188,Numéros!$F$2:$F$3001,0))),""))</f>
        <v/>
      </c>
      <c r="M4188" s="27" t="str">
        <f aca="false">IF(OR(G4188="",G4188="?"),"",IFERROR(INDEX(Pubs!$D$2:$D$3001,MATCH(G4188,Pubs!$A$2:$A$3001,0))&amp;"",""))</f>
        <v/>
      </c>
      <c r="N4188" s="27" t="n">
        <f aca="false">N(N4187)+IF(AND(A4188&lt;&gt;"",OR(Recherche!$C$4="",A4188=Recherche!$C$4),OR(Recherche!$C$5="",B4188&amp;""=Recherche!$C$5&amp;""),OR(Recherche!$C$6="",IFERROR(YEAR(L4188),0)=Recherche!$C$6),OR(Recherche!$C$7="",ISNUMBER(SEARCH(Recherche!$C$7,H4188))),OR(Recherche!$C$8="",J4188=Recherche!$C$8),OR(Recherche!$C$9="",I4188=Recherche!$C$9),OR(Recherche!$C$10="",G4188&amp;""=Recherche!$C$10&amp;""),OR(Recherche!$C$11="",E4188=Recherche!$C$11),OR(Recherche!$C$12="",ISNUMBER(SEARCH(Recherche!$C$12,M4188&amp;" "&amp;F4188)))),1,0)</f>
        <v>8</v>
      </c>
    </row>
    <row r="4189" customFormat="false" ht="15" hidden="false" customHeight="false" outlineLevel="0" collapsed="false">
      <c r="A4189" s="19"/>
      <c r="B4189" s="19"/>
      <c r="C4189" s="19"/>
      <c r="D4189" s="19"/>
      <c r="E4189" s="22"/>
      <c r="F4189" s="19"/>
      <c r="G4189" s="26" t="str">
        <f aca="false">IF(D4189="","",IFERROR(VALUE(LEFT(D4189,FIND(" |",D4189&amp;" |")-1)),"?"))</f>
        <v/>
      </c>
      <c r="H4189" s="27" t="str">
        <f aca="false">IF(G4189="","",IF(G4189="?","⚠ pub inconnue",IFERROR(INDEX(Pubs!$B$2:$B$3001,MATCH(G4189,Pubs!$A$2:$A$3001,0))&amp;"","⚠ pub inconnue")))</f>
        <v/>
      </c>
      <c r="I4189" s="27" t="str">
        <f aca="false">IF(OR(G4189="",G4189="?"),"",IFERROR(INDEX(Pubs!$C$2:$C$3001,MATCH(G4189,Pubs!$A$2:$A$3001,0))&amp;"",""))</f>
        <v/>
      </c>
      <c r="J4189" s="27" t="str">
        <f aca="false">IF(OR(G4189="",G4189="?"),"",IFERROR(INDEX(Pubs!$G$2:$G$3001,MATCH(G4189,Pubs!$A$2:$A$3001,0))&amp;"",""))</f>
        <v/>
      </c>
      <c r="K4189" s="28" t="str">
        <f aca="false">IF(OR(G4189="",G4189="?"),"",IFERROR(INDEX(Pubs!$E$2:$E$3001,MATCH(G4189,Pubs!$A$2:$A$3001,0)),""))</f>
        <v/>
      </c>
      <c r="L4189" s="29" t="str">
        <f aca="false">IF(A4189="","",IFERROR(1/(1/INDEX(Numéros!$C$2:$C$3001,MATCH(A4189&amp;"|"&amp;B4189,Numéros!$F$2:$F$3001,0))),""))</f>
        <v/>
      </c>
      <c r="M4189" s="27" t="str">
        <f aca="false">IF(OR(G4189="",G4189="?"),"",IFERROR(INDEX(Pubs!$D$2:$D$3001,MATCH(G4189,Pubs!$A$2:$A$3001,0))&amp;"",""))</f>
        <v/>
      </c>
      <c r="N4189" s="27" t="n">
        <f aca="false">N(N4188)+IF(AND(A4189&lt;&gt;"",OR(Recherche!$C$4="",A4189=Recherche!$C$4),OR(Recherche!$C$5="",B4189&amp;""=Recherche!$C$5&amp;""),OR(Recherche!$C$6="",IFERROR(YEAR(L4189),0)=Recherche!$C$6),OR(Recherche!$C$7="",ISNUMBER(SEARCH(Recherche!$C$7,H4189))),OR(Recherche!$C$8="",J4189=Recherche!$C$8),OR(Recherche!$C$9="",I4189=Recherche!$C$9),OR(Recherche!$C$10="",G4189&amp;""=Recherche!$C$10&amp;""),OR(Recherche!$C$11="",E4189=Recherche!$C$11),OR(Recherche!$C$12="",ISNUMBER(SEARCH(Recherche!$C$12,M4189&amp;" "&amp;F4189)))),1,0)</f>
        <v>8</v>
      </c>
    </row>
    <row r="4190" customFormat="false" ht="15" hidden="false" customHeight="false" outlineLevel="0" collapsed="false">
      <c r="A4190" s="19"/>
      <c r="B4190" s="19"/>
      <c r="C4190" s="19"/>
      <c r="D4190" s="19"/>
      <c r="E4190" s="22"/>
      <c r="F4190" s="19"/>
      <c r="G4190" s="26" t="str">
        <f aca="false">IF(D4190="","",IFERROR(VALUE(LEFT(D4190,FIND(" |",D4190&amp;" |")-1)),"?"))</f>
        <v/>
      </c>
      <c r="H4190" s="27" t="str">
        <f aca="false">IF(G4190="","",IF(G4190="?","⚠ pub inconnue",IFERROR(INDEX(Pubs!$B$2:$B$3001,MATCH(G4190,Pubs!$A$2:$A$3001,0))&amp;"","⚠ pub inconnue")))</f>
        <v/>
      </c>
      <c r="I4190" s="27" t="str">
        <f aca="false">IF(OR(G4190="",G4190="?"),"",IFERROR(INDEX(Pubs!$C$2:$C$3001,MATCH(G4190,Pubs!$A$2:$A$3001,0))&amp;"",""))</f>
        <v/>
      </c>
      <c r="J4190" s="27" t="str">
        <f aca="false">IF(OR(G4190="",G4190="?"),"",IFERROR(INDEX(Pubs!$G$2:$G$3001,MATCH(G4190,Pubs!$A$2:$A$3001,0))&amp;"",""))</f>
        <v/>
      </c>
      <c r="K4190" s="28" t="str">
        <f aca="false">IF(OR(G4190="",G4190="?"),"",IFERROR(INDEX(Pubs!$E$2:$E$3001,MATCH(G4190,Pubs!$A$2:$A$3001,0)),""))</f>
        <v/>
      </c>
      <c r="L4190" s="29" t="str">
        <f aca="false">IF(A4190="","",IFERROR(1/(1/INDEX(Numéros!$C$2:$C$3001,MATCH(A4190&amp;"|"&amp;B4190,Numéros!$F$2:$F$3001,0))),""))</f>
        <v/>
      </c>
      <c r="M4190" s="27" t="str">
        <f aca="false">IF(OR(G4190="",G4190="?"),"",IFERROR(INDEX(Pubs!$D$2:$D$3001,MATCH(G4190,Pubs!$A$2:$A$3001,0))&amp;"",""))</f>
        <v/>
      </c>
      <c r="N4190" s="27" t="n">
        <f aca="false">N(N4189)+IF(AND(A4190&lt;&gt;"",OR(Recherche!$C$4="",A4190=Recherche!$C$4),OR(Recherche!$C$5="",B4190&amp;""=Recherche!$C$5&amp;""),OR(Recherche!$C$6="",IFERROR(YEAR(L4190),0)=Recherche!$C$6),OR(Recherche!$C$7="",ISNUMBER(SEARCH(Recherche!$C$7,H4190))),OR(Recherche!$C$8="",J4190=Recherche!$C$8),OR(Recherche!$C$9="",I4190=Recherche!$C$9),OR(Recherche!$C$10="",G4190&amp;""=Recherche!$C$10&amp;""),OR(Recherche!$C$11="",E4190=Recherche!$C$11),OR(Recherche!$C$12="",ISNUMBER(SEARCH(Recherche!$C$12,M4190&amp;" "&amp;F4190)))),1,0)</f>
        <v>8</v>
      </c>
    </row>
    <row r="4191" customFormat="false" ht="15" hidden="false" customHeight="false" outlineLevel="0" collapsed="false">
      <c r="A4191" s="19"/>
      <c r="B4191" s="19"/>
      <c r="C4191" s="19"/>
      <c r="D4191" s="19"/>
      <c r="E4191" s="22"/>
      <c r="F4191" s="19"/>
      <c r="G4191" s="26" t="str">
        <f aca="false">IF(D4191="","",IFERROR(VALUE(LEFT(D4191,FIND(" |",D4191&amp;" |")-1)),"?"))</f>
        <v/>
      </c>
      <c r="H4191" s="27" t="str">
        <f aca="false">IF(G4191="","",IF(G4191="?","⚠ pub inconnue",IFERROR(INDEX(Pubs!$B$2:$B$3001,MATCH(G4191,Pubs!$A$2:$A$3001,0))&amp;"","⚠ pub inconnue")))</f>
        <v/>
      </c>
      <c r="I4191" s="27" t="str">
        <f aca="false">IF(OR(G4191="",G4191="?"),"",IFERROR(INDEX(Pubs!$C$2:$C$3001,MATCH(G4191,Pubs!$A$2:$A$3001,0))&amp;"",""))</f>
        <v/>
      </c>
      <c r="J4191" s="27" t="str">
        <f aca="false">IF(OR(G4191="",G4191="?"),"",IFERROR(INDEX(Pubs!$G$2:$G$3001,MATCH(G4191,Pubs!$A$2:$A$3001,0))&amp;"",""))</f>
        <v/>
      </c>
      <c r="K4191" s="28" t="str">
        <f aca="false">IF(OR(G4191="",G4191="?"),"",IFERROR(INDEX(Pubs!$E$2:$E$3001,MATCH(G4191,Pubs!$A$2:$A$3001,0)),""))</f>
        <v/>
      </c>
      <c r="L4191" s="29" t="str">
        <f aca="false">IF(A4191="","",IFERROR(1/(1/INDEX(Numéros!$C$2:$C$3001,MATCH(A4191&amp;"|"&amp;B4191,Numéros!$F$2:$F$3001,0))),""))</f>
        <v/>
      </c>
      <c r="M4191" s="27" t="str">
        <f aca="false">IF(OR(G4191="",G4191="?"),"",IFERROR(INDEX(Pubs!$D$2:$D$3001,MATCH(G4191,Pubs!$A$2:$A$3001,0))&amp;"",""))</f>
        <v/>
      </c>
      <c r="N4191" s="27" t="n">
        <f aca="false">N(N4190)+IF(AND(A4191&lt;&gt;"",OR(Recherche!$C$4="",A4191=Recherche!$C$4),OR(Recherche!$C$5="",B4191&amp;""=Recherche!$C$5&amp;""),OR(Recherche!$C$6="",IFERROR(YEAR(L4191),0)=Recherche!$C$6),OR(Recherche!$C$7="",ISNUMBER(SEARCH(Recherche!$C$7,H4191))),OR(Recherche!$C$8="",J4191=Recherche!$C$8),OR(Recherche!$C$9="",I4191=Recherche!$C$9),OR(Recherche!$C$10="",G4191&amp;""=Recherche!$C$10&amp;""),OR(Recherche!$C$11="",E4191=Recherche!$C$11),OR(Recherche!$C$12="",ISNUMBER(SEARCH(Recherche!$C$12,M4191&amp;" "&amp;F4191)))),1,0)</f>
        <v>8</v>
      </c>
    </row>
    <row r="4192" customFormat="false" ht="15" hidden="false" customHeight="false" outlineLevel="0" collapsed="false">
      <c r="A4192" s="19"/>
      <c r="B4192" s="19"/>
      <c r="C4192" s="19"/>
      <c r="D4192" s="19"/>
      <c r="E4192" s="22"/>
      <c r="F4192" s="19"/>
      <c r="G4192" s="26" t="str">
        <f aca="false">IF(D4192="","",IFERROR(VALUE(LEFT(D4192,FIND(" |",D4192&amp;" |")-1)),"?"))</f>
        <v/>
      </c>
      <c r="H4192" s="27" t="str">
        <f aca="false">IF(G4192="","",IF(G4192="?","⚠ pub inconnue",IFERROR(INDEX(Pubs!$B$2:$B$3001,MATCH(G4192,Pubs!$A$2:$A$3001,0))&amp;"","⚠ pub inconnue")))</f>
        <v/>
      </c>
      <c r="I4192" s="27" t="str">
        <f aca="false">IF(OR(G4192="",G4192="?"),"",IFERROR(INDEX(Pubs!$C$2:$C$3001,MATCH(G4192,Pubs!$A$2:$A$3001,0))&amp;"",""))</f>
        <v/>
      </c>
      <c r="J4192" s="27" t="str">
        <f aca="false">IF(OR(G4192="",G4192="?"),"",IFERROR(INDEX(Pubs!$G$2:$G$3001,MATCH(G4192,Pubs!$A$2:$A$3001,0))&amp;"",""))</f>
        <v/>
      </c>
      <c r="K4192" s="28" t="str">
        <f aca="false">IF(OR(G4192="",G4192="?"),"",IFERROR(INDEX(Pubs!$E$2:$E$3001,MATCH(G4192,Pubs!$A$2:$A$3001,0)),""))</f>
        <v/>
      </c>
      <c r="L4192" s="29" t="str">
        <f aca="false">IF(A4192="","",IFERROR(1/(1/INDEX(Numéros!$C$2:$C$3001,MATCH(A4192&amp;"|"&amp;B4192,Numéros!$F$2:$F$3001,0))),""))</f>
        <v/>
      </c>
      <c r="M4192" s="27" t="str">
        <f aca="false">IF(OR(G4192="",G4192="?"),"",IFERROR(INDEX(Pubs!$D$2:$D$3001,MATCH(G4192,Pubs!$A$2:$A$3001,0))&amp;"",""))</f>
        <v/>
      </c>
      <c r="N4192" s="27" t="n">
        <f aca="false">N(N4191)+IF(AND(A4192&lt;&gt;"",OR(Recherche!$C$4="",A4192=Recherche!$C$4),OR(Recherche!$C$5="",B4192&amp;""=Recherche!$C$5&amp;""),OR(Recherche!$C$6="",IFERROR(YEAR(L4192),0)=Recherche!$C$6),OR(Recherche!$C$7="",ISNUMBER(SEARCH(Recherche!$C$7,H4192))),OR(Recherche!$C$8="",J4192=Recherche!$C$8),OR(Recherche!$C$9="",I4192=Recherche!$C$9),OR(Recherche!$C$10="",G4192&amp;""=Recherche!$C$10&amp;""),OR(Recherche!$C$11="",E4192=Recherche!$C$11),OR(Recherche!$C$12="",ISNUMBER(SEARCH(Recherche!$C$12,M4192&amp;" "&amp;F4192)))),1,0)</f>
        <v>8</v>
      </c>
    </row>
    <row r="4193" customFormat="false" ht="15" hidden="false" customHeight="false" outlineLevel="0" collapsed="false">
      <c r="A4193" s="19"/>
      <c r="B4193" s="19"/>
      <c r="C4193" s="19"/>
      <c r="D4193" s="19"/>
      <c r="E4193" s="22"/>
      <c r="F4193" s="19"/>
      <c r="G4193" s="26" t="str">
        <f aca="false">IF(D4193="","",IFERROR(VALUE(LEFT(D4193,FIND(" |",D4193&amp;" |")-1)),"?"))</f>
        <v/>
      </c>
      <c r="H4193" s="27" t="str">
        <f aca="false">IF(G4193="","",IF(G4193="?","⚠ pub inconnue",IFERROR(INDEX(Pubs!$B$2:$B$3001,MATCH(G4193,Pubs!$A$2:$A$3001,0))&amp;"","⚠ pub inconnue")))</f>
        <v/>
      </c>
      <c r="I4193" s="27" t="str">
        <f aca="false">IF(OR(G4193="",G4193="?"),"",IFERROR(INDEX(Pubs!$C$2:$C$3001,MATCH(G4193,Pubs!$A$2:$A$3001,0))&amp;"",""))</f>
        <v/>
      </c>
      <c r="J4193" s="27" t="str">
        <f aca="false">IF(OR(G4193="",G4193="?"),"",IFERROR(INDEX(Pubs!$G$2:$G$3001,MATCH(G4193,Pubs!$A$2:$A$3001,0))&amp;"",""))</f>
        <v/>
      </c>
      <c r="K4193" s="28" t="str">
        <f aca="false">IF(OR(G4193="",G4193="?"),"",IFERROR(INDEX(Pubs!$E$2:$E$3001,MATCH(G4193,Pubs!$A$2:$A$3001,0)),""))</f>
        <v/>
      </c>
      <c r="L4193" s="29" t="str">
        <f aca="false">IF(A4193="","",IFERROR(1/(1/INDEX(Numéros!$C$2:$C$3001,MATCH(A4193&amp;"|"&amp;B4193,Numéros!$F$2:$F$3001,0))),""))</f>
        <v/>
      </c>
      <c r="M4193" s="27" t="str">
        <f aca="false">IF(OR(G4193="",G4193="?"),"",IFERROR(INDEX(Pubs!$D$2:$D$3001,MATCH(G4193,Pubs!$A$2:$A$3001,0))&amp;"",""))</f>
        <v/>
      </c>
      <c r="N4193" s="27" t="n">
        <f aca="false">N(N4192)+IF(AND(A4193&lt;&gt;"",OR(Recherche!$C$4="",A4193=Recherche!$C$4),OR(Recherche!$C$5="",B4193&amp;""=Recherche!$C$5&amp;""),OR(Recherche!$C$6="",IFERROR(YEAR(L4193),0)=Recherche!$C$6),OR(Recherche!$C$7="",ISNUMBER(SEARCH(Recherche!$C$7,H4193))),OR(Recherche!$C$8="",J4193=Recherche!$C$8),OR(Recherche!$C$9="",I4193=Recherche!$C$9),OR(Recherche!$C$10="",G4193&amp;""=Recherche!$C$10&amp;""),OR(Recherche!$C$11="",E4193=Recherche!$C$11),OR(Recherche!$C$12="",ISNUMBER(SEARCH(Recherche!$C$12,M4193&amp;" "&amp;F4193)))),1,0)</f>
        <v>8</v>
      </c>
    </row>
    <row r="4194" customFormat="false" ht="15" hidden="false" customHeight="false" outlineLevel="0" collapsed="false">
      <c r="A4194" s="19"/>
      <c r="B4194" s="19"/>
      <c r="C4194" s="19"/>
      <c r="D4194" s="19"/>
      <c r="E4194" s="22"/>
      <c r="F4194" s="19"/>
      <c r="G4194" s="26" t="str">
        <f aca="false">IF(D4194="","",IFERROR(VALUE(LEFT(D4194,FIND(" |",D4194&amp;" |")-1)),"?"))</f>
        <v/>
      </c>
      <c r="H4194" s="27" t="str">
        <f aca="false">IF(G4194="","",IF(G4194="?","⚠ pub inconnue",IFERROR(INDEX(Pubs!$B$2:$B$3001,MATCH(G4194,Pubs!$A$2:$A$3001,0))&amp;"","⚠ pub inconnue")))</f>
        <v/>
      </c>
      <c r="I4194" s="27" t="str">
        <f aca="false">IF(OR(G4194="",G4194="?"),"",IFERROR(INDEX(Pubs!$C$2:$C$3001,MATCH(G4194,Pubs!$A$2:$A$3001,0))&amp;"",""))</f>
        <v/>
      </c>
      <c r="J4194" s="27" t="str">
        <f aca="false">IF(OR(G4194="",G4194="?"),"",IFERROR(INDEX(Pubs!$G$2:$G$3001,MATCH(G4194,Pubs!$A$2:$A$3001,0))&amp;"",""))</f>
        <v/>
      </c>
      <c r="K4194" s="28" t="str">
        <f aca="false">IF(OR(G4194="",G4194="?"),"",IFERROR(INDEX(Pubs!$E$2:$E$3001,MATCH(G4194,Pubs!$A$2:$A$3001,0)),""))</f>
        <v/>
      </c>
      <c r="L4194" s="29" t="str">
        <f aca="false">IF(A4194="","",IFERROR(1/(1/INDEX(Numéros!$C$2:$C$3001,MATCH(A4194&amp;"|"&amp;B4194,Numéros!$F$2:$F$3001,0))),""))</f>
        <v/>
      </c>
      <c r="M4194" s="27" t="str">
        <f aca="false">IF(OR(G4194="",G4194="?"),"",IFERROR(INDEX(Pubs!$D$2:$D$3001,MATCH(G4194,Pubs!$A$2:$A$3001,0))&amp;"",""))</f>
        <v/>
      </c>
      <c r="N4194" s="27" t="n">
        <f aca="false">N(N4193)+IF(AND(A4194&lt;&gt;"",OR(Recherche!$C$4="",A4194=Recherche!$C$4),OR(Recherche!$C$5="",B4194&amp;""=Recherche!$C$5&amp;""),OR(Recherche!$C$6="",IFERROR(YEAR(L4194),0)=Recherche!$C$6),OR(Recherche!$C$7="",ISNUMBER(SEARCH(Recherche!$C$7,H4194))),OR(Recherche!$C$8="",J4194=Recherche!$C$8),OR(Recherche!$C$9="",I4194=Recherche!$C$9),OR(Recherche!$C$10="",G4194&amp;""=Recherche!$C$10&amp;""),OR(Recherche!$C$11="",E4194=Recherche!$C$11),OR(Recherche!$C$12="",ISNUMBER(SEARCH(Recherche!$C$12,M4194&amp;" "&amp;F4194)))),1,0)</f>
        <v>8</v>
      </c>
    </row>
    <row r="4195" customFormat="false" ht="15" hidden="false" customHeight="false" outlineLevel="0" collapsed="false">
      <c r="A4195" s="19"/>
      <c r="B4195" s="19"/>
      <c r="C4195" s="19"/>
      <c r="D4195" s="19"/>
      <c r="E4195" s="22"/>
      <c r="F4195" s="19"/>
      <c r="G4195" s="26" t="str">
        <f aca="false">IF(D4195="","",IFERROR(VALUE(LEFT(D4195,FIND(" |",D4195&amp;" |")-1)),"?"))</f>
        <v/>
      </c>
      <c r="H4195" s="27" t="str">
        <f aca="false">IF(G4195="","",IF(G4195="?","⚠ pub inconnue",IFERROR(INDEX(Pubs!$B$2:$B$3001,MATCH(G4195,Pubs!$A$2:$A$3001,0))&amp;"","⚠ pub inconnue")))</f>
        <v/>
      </c>
      <c r="I4195" s="27" t="str">
        <f aca="false">IF(OR(G4195="",G4195="?"),"",IFERROR(INDEX(Pubs!$C$2:$C$3001,MATCH(G4195,Pubs!$A$2:$A$3001,0))&amp;"",""))</f>
        <v/>
      </c>
      <c r="J4195" s="27" t="str">
        <f aca="false">IF(OR(G4195="",G4195="?"),"",IFERROR(INDEX(Pubs!$G$2:$G$3001,MATCH(G4195,Pubs!$A$2:$A$3001,0))&amp;"",""))</f>
        <v/>
      </c>
      <c r="K4195" s="28" t="str">
        <f aca="false">IF(OR(G4195="",G4195="?"),"",IFERROR(INDEX(Pubs!$E$2:$E$3001,MATCH(G4195,Pubs!$A$2:$A$3001,0)),""))</f>
        <v/>
      </c>
      <c r="L4195" s="29" t="str">
        <f aca="false">IF(A4195="","",IFERROR(1/(1/INDEX(Numéros!$C$2:$C$3001,MATCH(A4195&amp;"|"&amp;B4195,Numéros!$F$2:$F$3001,0))),""))</f>
        <v/>
      </c>
      <c r="M4195" s="27" t="str">
        <f aca="false">IF(OR(G4195="",G4195="?"),"",IFERROR(INDEX(Pubs!$D$2:$D$3001,MATCH(G4195,Pubs!$A$2:$A$3001,0))&amp;"",""))</f>
        <v/>
      </c>
      <c r="N4195" s="27" t="n">
        <f aca="false">N(N4194)+IF(AND(A4195&lt;&gt;"",OR(Recherche!$C$4="",A4195=Recherche!$C$4),OR(Recherche!$C$5="",B4195&amp;""=Recherche!$C$5&amp;""),OR(Recherche!$C$6="",IFERROR(YEAR(L4195),0)=Recherche!$C$6),OR(Recherche!$C$7="",ISNUMBER(SEARCH(Recherche!$C$7,H4195))),OR(Recherche!$C$8="",J4195=Recherche!$C$8),OR(Recherche!$C$9="",I4195=Recherche!$C$9),OR(Recherche!$C$10="",G4195&amp;""=Recherche!$C$10&amp;""),OR(Recherche!$C$11="",E4195=Recherche!$C$11),OR(Recherche!$C$12="",ISNUMBER(SEARCH(Recherche!$C$12,M4195&amp;" "&amp;F4195)))),1,0)</f>
        <v>8</v>
      </c>
    </row>
    <row r="4196" customFormat="false" ht="15" hidden="false" customHeight="false" outlineLevel="0" collapsed="false">
      <c r="A4196" s="19"/>
      <c r="B4196" s="19"/>
      <c r="C4196" s="19"/>
      <c r="D4196" s="19"/>
      <c r="E4196" s="22"/>
      <c r="F4196" s="19"/>
      <c r="G4196" s="26" t="str">
        <f aca="false">IF(D4196="","",IFERROR(VALUE(LEFT(D4196,FIND(" |",D4196&amp;" |")-1)),"?"))</f>
        <v/>
      </c>
      <c r="H4196" s="27" t="str">
        <f aca="false">IF(G4196="","",IF(G4196="?","⚠ pub inconnue",IFERROR(INDEX(Pubs!$B$2:$B$3001,MATCH(G4196,Pubs!$A$2:$A$3001,0))&amp;"","⚠ pub inconnue")))</f>
        <v/>
      </c>
      <c r="I4196" s="27" t="str">
        <f aca="false">IF(OR(G4196="",G4196="?"),"",IFERROR(INDEX(Pubs!$C$2:$C$3001,MATCH(G4196,Pubs!$A$2:$A$3001,0))&amp;"",""))</f>
        <v/>
      </c>
      <c r="J4196" s="27" t="str">
        <f aca="false">IF(OR(G4196="",G4196="?"),"",IFERROR(INDEX(Pubs!$G$2:$G$3001,MATCH(G4196,Pubs!$A$2:$A$3001,0))&amp;"",""))</f>
        <v/>
      </c>
      <c r="K4196" s="28" t="str">
        <f aca="false">IF(OR(G4196="",G4196="?"),"",IFERROR(INDEX(Pubs!$E$2:$E$3001,MATCH(G4196,Pubs!$A$2:$A$3001,0)),""))</f>
        <v/>
      </c>
      <c r="L4196" s="29" t="str">
        <f aca="false">IF(A4196="","",IFERROR(1/(1/INDEX(Numéros!$C$2:$C$3001,MATCH(A4196&amp;"|"&amp;B4196,Numéros!$F$2:$F$3001,0))),""))</f>
        <v/>
      </c>
      <c r="M4196" s="27" t="str">
        <f aca="false">IF(OR(G4196="",G4196="?"),"",IFERROR(INDEX(Pubs!$D$2:$D$3001,MATCH(G4196,Pubs!$A$2:$A$3001,0))&amp;"",""))</f>
        <v/>
      </c>
      <c r="N4196" s="27" t="n">
        <f aca="false">N(N4195)+IF(AND(A4196&lt;&gt;"",OR(Recherche!$C$4="",A4196=Recherche!$C$4),OR(Recherche!$C$5="",B4196&amp;""=Recherche!$C$5&amp;""),OR(Recherche!$C$6="",IFERROR(YEAR(L4196),0)=Recherche!$C$6),OR(Recherche!$C$7="",ISNUMBER(SEARCH(Recherche!$C$7,H4196))),OR(Recherche!$C$8="",J4196=Recherche!$C$8),OR(Recherche!$C$9="",I4196=Recherche!$C$9),OR(Recherche!$C$10="",G4196&amp;""=Recherche!$C$10&amp;""),OR(Recherche!$C$11="",E4196=Recherche!$C$11),OR(Recherche!$C$12="",ISNUMBER(SEARCH(Recherche!$C$12,M4196&amp;" "&amp;F4196)))),1,0)</f>
        <v>8</v>
      </c>
    </row>
    <row r="4197" customFormat="false" ht="15" hidden="false" customHeight="false" outlineLevel="0" collapsed="false">
      <c r="A4197" s="19"/>
      <c r="B4197" s="19"/>
      <c r="C4197" s="19"/>
      <c r="D4197" s="19"/>
      <c r="E4197" s="22"/>
      <c r="F4197" s="19"/>
      <c r="G4197" s="26" t="str">
        <f aca="false">IF(D4197="","",IFERROR(VALUE(LEFT(D4197,FIND(" |",D4197&amp;" |")-1)),"?"))</f>
        <v/>
      </c>
      <c r="H4197" s="27" t="str">
        <f aca="false">IF(G4197="","",IF(G4197="?","⚠ pub inconnue",IFERROR(INDEX(Pubs!$B$2:$B$3001,MATCH(G4197,Pubs!$A$2:$A$3001,0))&amp;"","⚠ pub inconnue")))</f>
        <v/>
      </c>
      <c r="I4197" s="27" t="str">
        <f aca="false">IF(OR(G4197="",G4197="?"),"",IFERROR(INDEX(Pubs!$C$2:$C$3001,MATCH(G4197,Pubs!$A$2:$A$3001,0))&amp;"",""))</f>
        <v/>
      </c>
      <c r="J4197" s="27" t="str">
        <f aca="false">IF(OR(G4197="",G4197="?"),"",IFERROR(INDEX(Pubs!$G$2:$G$3001,MATCH(G4197,Pubs!$A$2:$A$3001,0))&amp;"",""))</f>
        <v/>
      </c>
      <c r="K4197" s="28" t="str">
        <f aca="false">IF(OR(G4197="",G4197="?"),"",IFERROR(INDEX(Pubs!$E$2:$E$3001,MATCH(G4197,Pubs!$A$2:$A$3001,0)),""))</f>
        <v/>
      </c>
      <c r="L4197" s="29" t="str">
        <f aca="false">IF(A4197="","",IFERROR(1/(1/INDEX(Numéros!$C$2:$C$3001,MATCH(A4197&amp;"|"&amp;B4197,Numéros!$F$2:$F$3001,0))),""))</f>
        <v/>
      </c>
      <c r="M4197" s="27" t="str">
        <f aca="false">IF(OR(G4197="",G4197="?"),"",IFERROR(INDEX(Pubs!$D$2:$D$3001,MATCH(G4197,Pubs!$A$2:$A$3001,0))&amp;"",""))</f>
        <v/>
      </c>
      <c r="N4197" s="27" t="n">
        <f aca="false">N(N4196)+IF(AND(A4197&lt;&gt;"",OR(Recherche!$C$4="",A4197=Recherche!$C$4),OR(Recherche!$C$5="",B4197&amp;""=Recherche!$C$5&amp;""),OR(Recherche!$C$6="",IFERROR(YEAR(L4197),0)=Recherche!$C$6),OR(Recherche!$C$7="",ISNUMBER(SEARCH(Recherche!$C$7,H4197))),OR(Recherche!$C$8="",J4197=Recherche!$C$8),OR(Recherche!$C$9="",I4197=Recherche!$C$9),OR(Recherche!$C$10="",G4197&amp;""=Recherche!$C$10&amp;""),OR(Recherche!$C$11="",E4197=Recherche!$C$11),OR(Recherche!$C$12="",ISNUMBER(SEARCH(Recherche!$C$12,M4197&amp;" "&amp;F4197)))),1,0)</f>
        <v>8</v>
      </c>
    </row>
    <row r="4198" customFormat="false" ht="15" hidden="false" customHeight="false" outlineLevel="0" collapsed="false">
      <c r="A4198" s="19"/>
      <c r="B4198" s="19"/>
      <c r="C4198" s="19"/>
      <c r="D4198" s="19"/>
      <c r="E4198" s="22"/>
      <c r="F4198" s="19"/>
      <c r="G4198" s="26" t="str">
        <f aca="false">IF(D4198="","",IFERROR(VALUE(LEFT(D4198,FIND(" |",D4198&amp;" |")-1)),"?"))</f>
        <v/>
      </c>
      <c r="H4198" s="27" t="str">
        <f aca="false">IF(G4198="","",IF(G4198="?","⚠ pub inconnue",IFERROR(INDEX(Pubs!$B$2:$B$3001,MATCH(G4198,Pubs!$A$2:$A$3001,0))&amp;"","⚠ pub inconnue")))</f>
        <v/>
      </c>
      <c r="I4198" s="27" t="str">
        <f aca="false">IF(OR(G4198="",G4198="?"),"",IFERROR(INDEX(Pubs!$C$2:$C$3001,MATCH(G4198,Pubs!$A$2:$A$3001,0))&amp;"",""))</f>
        <v/>
      </c>
      <c r="J4198" s="27" t="str">
        <f aca="false">IF(OR(G4198="",G4198="?"),"",IFERROR(INDEX(Pubs!$G$2:$G$3001,MATCH(G4198,Pubs!$A$2:$A$3001,0))&amp;"",""))</f>
        <v/>
      </c>
      <c r="K4198" s="28" t="str">
        <f aca="false">IF(OR(G4198="",G4198="?"),"",IFERROR(INDEX(Pubs!$E$2:$E$3001,MATCH(G4198,Pubs!$A$2:$A$3001,0)),""))</f>
        <v/>
      </c>
      <c r="L4198" s="29" t="str">
        <f aca="false">IF(A4198="","",IFERROR(1/(1/INDEX(Numéros!$C$2:$C$3001,MATCH(A4198&amp;"|"&amp;B4198,Numéros!$F$2:$F$3001,0))),""))</f>
        <v/>
      </c>
      <c r="M4198" s="27" t="str">
        <f aca="false">IF(OR(G4198="",G4198="?"),"",IFERROR(INDEX(Pubs!$D$2:$D$3001,MATCH(G4198,Pubs!$A$2:$A$3001,0))&amp;"",""))</f>
        <v/>
      </c>
      <c r="N4198" s="27" t="n">
        <f aca="false">N(N4197)+IF(AND(A4198&lt;&gt;"",OR(Recherche!$C$4="",A4198=Recherche!$C$4),OR(Recherche!$C$5="",B4198&amp;""=Recherche!$C$5&amp;""),OR(Recherche!$C$6="",IFERROR(YEAR(L4198),0)=Recherche!$C$6),OR(Recherche!$C$7="",ISNUMBER(SEARCH(Recherche!$C$7,H4198))),OR(Recherche!$C$8="",J4198=Recherche!$C$8),OR(Recherche!$C$9="",I4198=Recherche!$C$9),OR(Recherche!$C$10="",G4198&amp;""=Recherche!$C$10&amp;""),OR(Recherche!$C$11="",E4198=Recherche!$C$11),OR(Recherche!$C$12="",ISNUMBER(SEARCH(Recherche!$C$12,M4198&amp;" "&amp;F4198)))),1,0)</f>
        <v>8</v>
      </c>
    </row>
    <row r="4199" customFormat="false" ht="15" hidden="false" customHeight="false" outlineLevel="0" collapsed="false">
      <c r="A4199" s="19"/>
      <c r="B4199" s="19"/>
      <c r="C4199" s="19"/>
      <c r="D4199" s="19"/>
      <c r="E4199" s="22"/>
      <c r="F4199" s="19"/>
      <c r="G4199" s="26" t="str">
        <f aca="false">IF(D4199="","",IFERROR(VALUE(LEFT(D4199,FIND(" |",D4199&amp;" |")-1)),"?"))</f>
        <v/>
      </c>
      <c r="H4199" s="27" t="str">
        <f aca="false">IF(G4199="","",IF(G4199="?","⚠ pub inconnue",IFERROR(INDEX(Pubs!$B$2:$B$3001,MATCH(G4199,Pubs!$A$2:$A$3001,0))&amp;"","⚠ pub inconnue")))</f>
        <v/>
      </c>
      <c r="I4199" s="27" t="str">
        <f aca="false">IF(OR(G4199="",G4199="?"),"",IFERROR(INDEX(Pubs!$C$2:$C$3001,MATCH(G4199,Pubs!$A$2:$A$3001,0))&amp;"",""))</f>
        <v/>
      </c>
      <c r="J4199" s="27" t="str">
        <f aca="false">IF(OR(G4199="",G4199="?"),"",IFERROR(INDEX(Pubs!$G$2:$G$3001,MATCH(G4199,Pubs!$A$2:$A$3001,0))&amp;"",""))</f>
        <v/>
      </c>
      <c r="K4199" s="28" t="str">
        <f aca="false">IF(OR(G4199="",G4199="?"),"",IFERROR(INDEX(Pubs!$E$2:$E$3001,MATCH(G4199,Pubs!$A$2:$A$3001,0)),""))</f>
        <v/>
      </c>
      <c r="L4199" s="29" t="str">
        <f aca="false">IF(A4199="","",IFERROR(1/(1/INDEX(Numéros!$C$2:$C$3001,MATCH(A4199&amp;"|"&amp;B4199,Numéros!$F$2:$F$3001,0))),""))</f>
        <v/>
      </c>
      <c r="M4199" s="27" t="str">
        <f aca="false">IF(OR(G4199="",G4199="?"),"",IFERROR(INDEX(Pubs!$D$2:$D$3001,MATCH(G4199,Pubs!$A$2:$A$3001,0))&amp;"",""))</f>
        <v/>
      </c>
      <c r="N4199" s="27" t="n">
        <f aca="false">N(N4198)+IF(AND(A4199&lt;&gt;"",OR(Recherche!$C$4="",A4199=Recherche!$C$4),OR(Recherche!$C$5="",B4199&amp;""=Recherche!$C$5&amp;""),OR(Recherche!$C$6="",IFERROR(YEAR(L4199),0)=Recherche!$C$6),OR(Recherche!$C$7="",ISNUMBER(SEARCH(Recherche!$C$7,H4199))),OR(Recherche!$C$8="",J4199=Recherche!$C$8),OR(Recherche!$C$9="",I4199=Recherche!$C$9),OR(Recherche!$C$10="",G4199&amp;""=Recherche!$C$10&amp;""),OR(Recherche!$C$11="",E4199=Recherche!$C$11),OR(Recherche!$C$12="",ISNUMBER(SEARCH(Recherche!$C$12,M4199&amp;" "&amp;F4199)))),1,0)</f>
        <v>8</v>
      </c>
    </row>
    <row r="4200" customFormat="false" ht="15" hidden="false" customHeight="false" outlineLevel="0" collapsed="false">
      <c r="A4200" s="19"/>
      <c r="B4200" s="19"/>
      <c r="C4200" s="19"/>
      <c r="D4200" s="19"/>
      <c r="E4200" s="22"/>
      <c r="F4200" s="19"/>
      <c r="G4200" s="26" t="str">
        <f aca="false">IF(D4200="","",IFERROR(VALUE(LEFT(D4200,FIND(" |",D4200&amp;" |")-1)),"?"))</f>
        <v/>
      </c>
      <c r="H4200" s="27" t="str">
        <f aca="false">IF(G4200="","",IF(G4200="?","⚠ pub inconnue",IFERROR(INDEX(Pubs!$B$2:$B$3001,MATCH(G4200,Pubs!$A$2:$A$3001,0))&amp;"","⚠ pub inconnue")))</f>
        <v/>
      </c>
      <c r="I4200" s="27" t="str">
        <f aca="false">IF(OR(G4200="",G4200="?"),"",IFERROR(INDEX(Pubs!$C$2:$C$3001,MATCH(G4200,Pubs!$A$2:$A$3001,0))&amp;"",""))</f>
        <v/>
      </c>
      <c r="J4200" s="27" t="str">
        <f aca="false">IF(OR(G4200="",G4200="?"),"",IFERROR(INDEX(Pubs!$G$2:$G$3001,MATCH(G4200,Pubs!$A$2:$A$3001,0))&amp;"",""))</f>
        <v/>
      </c>
      <c r="K4200" s="28" t="str">
        <f aca="false">IF(OR(G4200="",G4200="?"),"",IFERROR(INDEX(Pubs!$E$2:$E$3001,MATCH(G4200,Pubs!$A$2:$A$3001,0)),""))</f>
        <v/>
      </c>
      <c r="L4200" s="29" t="str">
        <f aca="false">IF(A4200="","",IFERROR(1/(1/INDEX(Numéros!$C$2:$C$3001,MATCH(A4200&amp;"|"&amp;B4200,Numéros!$F$2:$F$3001,0))),""))</f>
        <v/>
      </c>
      <c r="M4200" s="27" t="str">
        <f aca="false">IF(OR(G4200="",G4200="?"),"",IFERROR(INDEX(Pubs!$D$2:$D$3001,MATCH(G4200,Pubs!$A$2:$A$3001,0))&amp;"",""))</f>
        <v/>
      </c>
      <c r="N4200" s="27" t="n">
        <f aca="false">N(N4199)+IF(AND(A4200&lt;&gt;"",OR(Recherche!$C$4="",A4200=Recherche!$C$4),OR(Recherche!$C$5="",B4200&amp;""=Recherche!$C$5&amp;""),OR(Recherche!$C$6="",IFERROR(YEAR(L4200),0)=Recherche!$C$6),OR(Recherche!$C$7="",ISNUMBER(SEARCH(Recherche!$C$7,H4200))),OR(Recherche!$C$8="",J4200=Recherche!$C$8),OR(Recherche!$C$9="",I4200=Recherche!$C$9),OR(Recherche!$C$10="",G4200&amp;""=Recherche!$C$10&amp;""),OR(Recherche!$C$11="",E4200=Recherche!$C$11),OR(Recherche!$C$12="",ISNUMBER(SEARCH(Recherche!$C$12,M4200&amp;" "&amp;F4200)))),1,0)</f>
        <v>8</v>
      </c>
    </row>
    <row r="4201" customFormat="false" ht="15" hidden="false" customHeight="false" outlineLevel="0" collapsed="false">
      <c r="A4201" s="19"/>
      <c r="B4201" s="19"/>
      <c r="C4201" s="19"/>
      <c r="D4201" s="19"/>
      <c r="E4201" s="22"/>
      <c r="F4201" s="19"/>
      <c r="G4201" s="26" t="str">
        <f aca="false">IF(D4201="","",IFERROR(VALUE(LEFT(D4201,FIND(" |",D4201&amp;" |")-1)),"?"))</f>
        <v/>
      </c>
      <c r="H4201" s="27" t="str">
        <f aca="false">IF(G4201="","",IF(G4201="?","⚠ pub inconnue",IFERROR(INDEX(Pubs!$B$2:$B$3001,MATCH(G4201,Pubs!$A$2:$A$3001,0))&amp;"","⚠ pub inconnue")))</f>
        <v/>
      </c>
      <c r="I4201" s="27" t="str">
        <f aca="false">IF(OR(G4201="",G4201="?"),"",IFERROR(INDEX(Pubs!$C$2:$C$3001,MATCH(G4201,Pubs!$A$2:$A$3001,0))&amp;"",""))</f>
        <v/>
      </c>
      <c r="J4201" s="27" t="str">
        <f aca="false">IF(OR(G4201="",G4201="?"),"",IFERROR(INDEX(Pubs!$G$2:$G$3001,MATCH(G4201,Pubs!$A$2:$A$3001,0))&amp;"",""))</f>
        <v/>
      </c>
      <c r="K4201" s="28" t="str">
        <f aca="false">IF(OR(G4201="",G4201="?"),"",IFERROR(INDEX(Pubs!$E$2:$E$3001,MATCH(G4201,Pubs!$A$2:$A$3001,0)),""))</f>
        <v/>
      </c>
      <c r="L4201" s="29" t="str">
        <f aca="false">IF(A4201="","",IFERROR(1/(1/INDEX(Numéros!$C$2:$C$3001,MATCH(A4201&amp;"|"&amp;B4201,Numéros!$F$2:$F$3001,0))),""))</f>
        <v/>
      </c>
      <c r="M4201" s="27" t="str">
        <f aca="false">IF(OR(G4201="",G4201="?"),"",IFERROR(INDEX(Pubs!$D$2:$D$3001,MATCH(G4201,Pubs!$A$2:$A$3001,0))&amp;"",""))</f>
        <v/>
      </c>
      <c r="N4201" s="27" t="n">
        <f aca="false">N(N4200)+IF(AND(A4201&lt;&gt;"",OR(Recherche!$C$4="",A4201=Recherche!$C$4),OR(Recherche!$C$5="",B4201&amp;""=Recherche!$C$5&amp;""),OR(Recherche!$C$6="",IFERROR(YEAR(L4201),0)=Recherche!$C$6),OR(Recherche!$C$7="",ISNUMBER(SEARCH(Recherche!$C$7,H4201))),OR(Recherche!$C$8="",J4201=Recherche!$C$8),OR(Recherche!$C$9="",I4201=Recherche!$C$9),OR(Recherche!$C$10="",G4201&amp;""=Recherche!$C$10&amp;""),OR(Recherche!$C$11="",E4201=Recherche!$C$11),OR(Recherche!$C$12="",ISNUMBER(SEARCH(Recherche!$C$12,M4201&amp;" "&amp;F4201)))),1,0)</f>
        <v>8</v>
      </c>
    </row>
    <row r="4202" customFormat="false" ht="15" hidden="false" customHeight="false" outlineLevel="0" collapsed="false">
      <c r="A4202" s="19"/>
      <c r="B4202" s="19"/>
      <c r="C4202" s="19"/>
      <c r="D4202" s="19"/>
      <c r="E4202" s="22"/>
      <c r="F4202" s="19"/>
      <c r="G4202" s="26" t="str">
        <f aca="false">IF(D4202="","",IFERROR(VALUE(LEFT(D4202,FIND(" |",D4202&amp;" |")-1)),"?"))</f>
        <v/>
      </c>
      <c r="H4202" s="27" t="str">
        <f aca="false">IF(G4202="","",IF(G4202="?","⚠ pub inconnue",IFERROR(INDEX(Pubs!$B$2:$B$3001,MATCH(G4202,Pubs!$A$2:$A$3001,0))&amp;"","⚠ pub inconnue")))</f>
        <v/>
      </c>
      <c r="I4202" s="27" t="str">
        <f aca="false">IF(OR(G4202="",G4202="?"),"",IFERROR(INDEX(Pubs!$C$2:$C$3001,MATCH(G4202,Pubs!$A$2:$A$3001,0))&amp;"",""))</f>
        <v/>
      </c>
      <c r="J4202" s="27" t="str">
        <f aca="false">IF(OR(G4202="",G4202="?"),"",IFERROR(INDEX(Pubs!$G$2:$G$3001,MATCH(G4202,Pubs!$A$2:$A$3001,0))&amp;"",""))</f>
        <v/>
      </c>
      <c r="K4202" s="28" t="str">
        <f aca="false">IF(OR(G4202="",G4202="?"),"",IFERROR(INDEX(Pubs!$E$2:$E$3001,MATCH(G4202,Pubs!$A$2:$A$3001,0)),""))</f>
        <v/>
      </c>
      <c r="L4202" s="29" t="str">
        <f aca="false">IF(A4202="","",IFERROR(1/(1/INDEX(Numéros!$C$2:$C$3001,MATCH(A4202&amp;"|"&amp;B4202,Numéros!$F$2:$F$3001,0))),""))</f>
        <v/>
      </c>
      <c r="M4202" s="27" t="str">
        <f aca="false">IF(OR(G4202="",G4202="?"),"",IFERROR(INDEX(Pubs!$D$2:$D$3001,MATCH(G4202,Pubs!$A$2:$A$3001,0))&amp;"",""))</f>
        <v/>
      </c>
      <c r="N4202" s="27" t="n">
        <f aca="false">N(N4201)+IF(AND(A4202&lt;&gt;"",OR(Recherche!$C$4="",A4202=Recherche!$C$4),OR(Recherche!$C$5="",B4202&amp;""=Recherche!$C$5&amp;""),OR(Recherche!$C$6="",IFERROR(YEAR(L4202),0)=Recherche!$C$6),OR(Recherche!$C$7="",ISNUMBER(SEARCH(Recherche!$C$7,H4202))),OR(Recherche!$C$8="",J4202=Recherche!$C$8),OR(Recherche!$C$9="",I4202=Recherche!$C$9),OR(Recherche!$C$10="",G4202&amp;""=Recherche!$C$10&amp;""),OR(Recherche!$C$11="",E4202=Recherche!$C$11),OR(Recherche!$C$12="",ISNUMBER(SEARCH(Recherche!$C$12,M4202&amp;" "&amp;F4202)))),1,0)</f>
        <v>8</v>
      </c>
    </row>
    <row r="4203" customFormat="false" ht="15" hidden="false" customHeight="false" outlineLevel="0" collapsed="false">
      <c r="A4203" s="19"/>
      <c r="B4203" s="19"/>
      <c r="C4203" s="19"/>
      <c r="D4203" s="19"/>
      <c r="E4203" s="22"/>
      <c r="F4203" s="19"/>
      <c r="G4203" s="26" t="str">
        <f aca="false">IF(D4203="","",IFERROR(VALUE(LEFT(D4203,FIND(" |",D4203&amp;" |")-1)),"?"))</f>
        <v/>
      </c>
      <c r="H4203" s="27" t="str">
        <f aca="false">IF(G4203="","",IF(G4203="?","⚠ pub inconnue",IFERROR(INDEX(Pubs!$B$2:$B$3001,MATCH(G4203,Pubs!$A$2:$A$3001,0))&amp;"","⚠ pub inconnue")))</f>
        <v/>
      </c>
      <c r="I4203" s="27" t="str">
        <f aca="false">IF(OR(G4203="",G4203="?"),"",IFERROR(INDEX(Pubs!$C$2:$C$3001,MATCH(G4203,Pubs!$A$2:$A$3001,0))&amp;"",""))</f>
        <v/>
      </c>
      <c r="J4203" s="27" t="str">
        <f aca="false">IF(OR(G4203="",G4203="?"),"",IFERROR(INDEX(Pubs!$G$2:$G$3001,MATCH(G4203,Pubs!$A$2:$A$3001,0))&amp;"",""))</f>
        <v/>
      </c>
      <c r="K4203" s="28" t="str">
        <f aca="false">IF(OR(G4203="",G4203="?"),"",IFERROR(INDEX(Pubs!$E$2:$E$3001,MATCH(G4203,Pubs!$A$2:$A$3001,0)),""))</f>
        <v/>
      </c>
      <c r="L4203" s="29" t="str">
        <f aca="false">IF(A4203="","",IFERROR(1/(1/INDEX(Numéros!$C$2:$C$3001,MATCH(A4203&amp;"|"&amp;B4203,Numéros!$F$2:$F$3001,0))),""))</f>
        <v/>
      </c>
      <c r="M4203" s="27" t="str">
        <f aca="false">IF(OR(G4203="",G4203="?"),"",IFERROR(INDEX(Pubs!$D$2:$D$3001,MATCH(G4203,Pubs!$A$2:$A$3001,0))&amp;"",""))</f>
        <v/>
      </c>
      <c r="N4203" s="27" t="n">
        <f aca="false">N(N4202)+IF(AND(A4203&lt;&gt;"",OR(Recherche!$C$4="",A4203=Recherche!$C$4),OR(Recherche!$C$5="",B4203&amp;""=Recherche!$C$5&amp;""),OR(Recherche!$C$6="",IFERROR(YEAR(L4203),0)=Recherche!$C$6),OR(Recherche!$C$7="",ISNUMBER(SEARCH(Recherche!$C$7,H4203))),OR(Recherche!$C$8="",J4203=Recherche!$C$8),OR(Recherche!$C$9="",I4203=Recherche!$C$9),OR(Recherche!$C$10="",G4203&amp;""=Recherche!$C$10&amp;""),OR(Recherche!$C$11="",E4203=Recherche!$C$11),OR(Recherche!$C$12="",ISNUMBER(SEARCH(Recherche!$C$12,M4203&amp;" "&amp;F4203)))),1,0)</f>
        <v>8</v>
      </c>
    </row>
    <row r="4204" customFormat="false" ht="15" hidden="false" customHeight="false" outlineLevel="0" collapsed="false">
      <c r="A4204" s="19"/>
      <c r="B4204" s="19"/>
      <c r="C4204" s="19"/>
      <c r="D4204" s="19"/>
      <c r="E4204" s="22"/>
      <c r="F4204" s="19"/>
      <c r="G4204" s="26" t="str">
        <f aca="false">IF(D4204="","",IFERROR(VALUE(LEFT(D4204,FIND(" |",D4204&amp;" |")-1)),"?"))</f>
        <v/>
      </c>
      <c r="H4204" s="27" t="str">
        <f aca="false">IF(G4204="","",IF(G4204="?","⚠ pub inconnue",IFERROR(INDEX(Pubs!$B$2:$B$3001,MATCH(G4204,Pubs!$A$2:$A$3001,0))&amp;"","⚠ pub inconnue")))</f>
        <v/>
      </c>
      <c r="I4204" s="27" t="str">
        <f aca="false">IF(OR(G4204="",G4204="?"),"",IFERROR(INDEX(Pubs!$C$2:$C$3001,MATCH(G4204,Pubs!$A$2:$A$3001,0))&amp;"",""))</f>
        <v/>
      </c>
      <c r="J4204" s="27" t="str">
        <f aca="false">IF(OR(G4204="",G4204="?"),"",IFERROR(INDEX(Pubs!$G$2:$G$3001,MATCH(G4204,Pubs!$A$2:$A$3001,0))&amp;"",""))</f>
        <v/>
      </c>
      <c r="K4204" s="28" t="str">
        <f aca="false">IF(OR(G4204="",G4204="?"),"",IFERROR(INDEX(Pubs!$E$2:$E$3001,MATCH(G4204,Pubs!$A$2:$A$3001,0)),""))</f>
        <v/>
      </c>
      <c r="L4204" s="29" t="str">
        <f aca="false">IF(A4204="","",IFERROR(1/(1/INDEX(Numéros!$C$2:$C$3001,MATCH(A4204&amp;"|"&amp;B4204,Numéros!$F$2:$F$3001,0))),""))</f>
        <v/>
      </c>
      <c r="M4204" s="27" t="str">
        <f aca="false">IF(OR(G4204="",G4204="?"),"",IFERROR(INDEX(Pubs!$D$2:$D$3001,MATCH(G4204,Pubs!$A$2:$A$3001,0))&amp;"",""))</f>
        <v/>
      </c>
      <c r="N4204" s="27" t="n">
        <f aca="false">N(N4203)+IF(AND(A4204&lt;&gt;"",OR(Recherche!$C$4="",A4204=Recherche!$C$4),OR(Recherche!$C$5="",B4204&amp;""=Recherche!$C$5&amp;""),OR(Recherche!$C$6="",IFERROR(YEAR(L4204),0)=Recherche!$C$6),OR(Recherche!$C$7="",ISNUMBER(SEARCH(Recherche!$C$7,H4204))),OR(Recherche!$C$8="",J4204=Recherche!$C$8),OR(Recherche!$C$9="",I4204=Recherche!$C$9),OR(Recherche!$C$10="",G4204&amp;""=Recherche!$C$10&amp;""),OR(Recherche!$C$11="",E4204=Recherche!$C$11),OR(Recherche!$C$12="",ISNUMBER(SEARCH(Recherche!$C$12,M4204&amp;" "&amp;F4204)))),1,0)</f>
        <v>8</v>
      </c>
    </row>
    <row r="4205" customFormat="false" ht="15" hidden="false" customHeight="false" outlineLevel="0" collapsed="false">
      <c r="A4205" s="19"/>
      <c r="B4205" s="19"/>
      <c r="C4205" s="19"/>
      <c r="D4205" s="19"/>
      <c r="E4205" s="22"/>
      <c r="F4205" s="19"/>
      <c r="G4205" s="26" t="str">
        <f aca="false">IF(D4205="","",IFERROR(VALUE(LEFT(D4205,FIND(" |",D4205&amp;" |")-1)),"?"))</f>
        <v/>
      </c>
      <c r="H4205" s="27" t="str">
        <f aca="false">IF(G4205="","",IF(G4205="?","⚠ pub inconnue",IFERROR(INDEX(Pubs!$B$2:$B$3001,MATCH(G4205,Pubs!$A$2:$A$3001,0))&amp;"","⚠ pub inconnue")))</f>
        <v/>
      </c>
      <c r="I4205" s="27" t="str">
        <f aca="false">IF(OR(G4205="",G4205="?"),"",IFERROR(INDEX(Pubs!$C$2:$C$3001,MATCH(G4205,Pubs!$A$2:$A$3001,0))&amp;"",""))</f>
        <v/>
      </c>
      <c r="J4205" s="27" t="str">
        <f aca="false">IF(OR(G4205="",G4205="?"),"",IFERROR(INDEX(Pubs!$G$2:$G$3001,MATCH(G4205,Pubs!$A$2:$A$3001,0))&amp;"",""))</f>
        <v/>
      </c>
      <c r="K4205" s="28" t="str">
        <f aca="false">IF(OR(G4205="",G4205="?"),"",IFERROR(INDEX(Pubs!$E$2:$E$3001,MATCH(G4205,Pubs!$A$2:$A$3001,0)),""))</f>
        <v/>
      </c>
      <c r="L4205" s="29" t="str">
        <f aca="false">IF(A4205="","",IFERROR(1/(1/INDEX(Numéros!$C$2:$C$3001,MATCH(A4205&amp;"|"&amp;B4205,Numéros!$F$2:$F$3001,0))),""))</f>
        <v/>
      </c>
      <c r="M4205" s="27" t="str">
        <f aca="false">IF(OR(G4205="",G4205="?"),"",IFERROR(INDEX(Pubs!$D$2:$D$3001,MATCH(G4205,Pubs!$A$2:$A$3001,0))&amp;"",""))</f>
        <v/>
      </c>
      <c r="N4205" s="27" t="n">
        <f aca="false">N(N4204)+IF(AND(A4205&lt;&gt;"",OR(Recherche!$C$4="",A4205=Recherche!$C$4),OR(Recherche!$C$5="",B4205&amp;""=Recherche!$C$5&amp;""),OR(Recherche!$C$6="",IFERROR(YEAR(L4205),0)=Recherche!$C$6),OR(Recherche!$C$7="",ISNUMBER(SEARCH(Recherche!$C$7,H4205))),OR(Recherche!$C$8="",J4205=Recherche!$C$8),OR(Recherche!$C$9="",I4205=Recherche!$C$9),OR(Recherche!$C$10="",G4205&amp;""=Recherche!$C$10&amp;""),OR(Recherche!$C$11="",E4205=Recherche!$C$11),OR(Recherche!$C$12="",ISNUMBER(SEARCH(Recherche!$C$12,M4205&amp;" "&amp;F4205)))),1,0)</f>
        <v>8</v>
      </c>
    </row>
    <row r="4206" customFormat="false" ht="15" hidden="false" customHeight="false" outlineLevel="0" collapsed="false">
      <c r="A4206" s="19"/>
      <c r="B4206" s="19"/>
      <c r="C4206" s="19"/>
      <c r="D4206" s="19"/>
      <c r="E4206" s="22"/>
      <c r="F4206" s="19"/>
      <c r="G4206" s="26" t="str">
        <f aca="false">IF(D4206="","",IFERROR(VALUE(LEFT(D4206,FIND(" |",D4206&amp;" |")-1)),"?"))</f>
        <v/>
      </c>
      <c r="H4206" s="27" t="str">
        <f aca="false">IF(G4206="","",IF(G4206="?","⚠ pub inconnue",IFERROR(INDEX(Pubs!$B$2:$B$3001,MATCH(G4206,Pubs!$A$2:$A$3001,0))&amp;"","⚠ pub inconnue")))</f>
        <v/>
      </c>
      <c r="I4206" s="27" t="str">
        <f aca="false">IF(OR(G4206="",G4206="?"),"",IFERROR(INDEX(Pubs!$C$2:$C$3001,MATCH(G4206,Pubs!$A$2:$A$3001,0))&amp;"",""))</f>
        <v/>
      </c>
      <c r="J4206" s="27" t="str">
        <f aca="false">IF(OR(G4206="",G4206="?"),"",IFERROR(INDEX(Pubs!$G$2:$G$3001,MATCH(G4206,Pubs!$A$2:$A$3001,0))&amp;"",""))</f>
        <v/>
      </c>
      <c r="K4206" s="28" t="str">
        <f aca="false">IF(OR(G4206="",G4206="?"),"",IFERROR(INDEX(Pubs!$E$2:$E$3001,MATCH(G4206,Pubs!$A$2:$A$3001,0)),""))</f>
        <v/>
      </c>
      <c r="L4206" s="29" t="str">
        <f aca="false">IF(A4206="","",IFERROR(1/(1/INDEX(Numéros!$C$2:$C$3001,MATCH(A4206&amp;"|"&amp;B4206,Numéros!$F$2:$F$3001,0))),""))</f>
        <v/>
      </c>
      <c r="M4206" s="27" t="str">
        <f aca="false">IF(OR(G4206="",G4206="?"),"",IFERROR(INDEX(Pubs!$D$2:$D$3001,MATCH(G4206,Pubs!$A$2:$A$3001,0))&amp;"",""))</f>
        <v/>
      </c>
      <c r="N4206" s="27" t="n">
        <f aca="false">N(N4205)+IF(AND(A4206&lt;&gt;"",OR(Recherche!$C$4="",A4206=Recherche!$C$4),OR(Recherche!$C$5="",B4206&amp;""=Recherche!$C$5&amp;""),OR(Recherche!$C$6="",IFERROR(YEAR(L4206),0)=Recherche!$C$6),OR(Recherche!$C$7="",ISNUMBER(SEARCH(Recherche!$C$7,H4206))),OR(Recherche!$C$8="",J4206=Recherche!$C$8),OR(Recherche!$C$9="",I4206=Recherche!$C$9),OR(Recherche!$C$10="",G4206&amp;""=Recherche!$C$10&amp;""),OR(Recherche!$C$11="",E4206=Recherche!$C$11),OR(Recherche!$C$12="",ISNUMBER(SEARCH(Recherche!$C$12,M4206&amp;" "&amp;F4206)))),1,0)</f>
        <v>8</v>
      </c>
    </row>
    <row r="4207" customFormat="false" ht="15" hidden="false" customHeight="false" outlineLevel="0" collapsed="false">
      <c r="A4207" s="19"/>
      <c r="B4207" s="19"/>
      <c r="C4207" s="19"/>
      <c r="D4207" s="19"/>
      <c r="E4207" s="22"/>
      <c r="F4207" s="19"/>
      <c r="G4207" s="26" t="str">
        <f aca="false">IF(D4207="","",IFERROR(VALUE(LEFT(D4207,FIND(" |",D4207&amp;" |")-1)),"?"))</f>
        <v/>
      </c>
      <c r="H4207" s="27" t="str">
        <f aca="false">IF(G4207="","",IF(G4207="?","⚠ pub inconnue",IFERROR(INDEX(Pubs!$B$2:$B$3001,MATCH(G4207,Pubs!$A$2:$A$3001,0))&amp;"","⚠ pub inconnue")))</f>
        <v/>
      </c>
      <c r="I4207" s="27" t="str">
        <f aca="false">IF(OR(G4207="",G4207="?"),"",IFERROR(INDEX(Pubs!$C$2:$C$3001,MATCH(G4207,Pubs!$A$2:$A$3001,0))&amp;"",""))</f>
        <v/>
      </c>
      <c r="J4207" s="27" t="str">
        <f aca="false">IF(OR(G4207="",G4207="?"),"",IFERROR(INDEX(Pubs!$G$2:$G$3001,MATCH(G4207,Pubs!$A$2:$A$3001,0))&amp;"",""))</f>
        <v/>
      </c>
      <c r="K4207" s="28" t="str">
        <f aca="false">IF(OR(G4207="",G4207="?"),"",IFERROR(INDEX(Pubs!$E$2:$E$3001,MATCH(G4207,Pubs!$A$2:$A$3001,0)),""))</f>
        <v/>
      </c>
      <c r="L4207" s="29" t="str">
        <f aca="false">IF(A4207="","",IFERROR(1/(1/INDEX(Numéros!$C$2:$C$3001,MATCH(A4207&amp;"|"&amp;B4207,Numéros!$F$2:$F$3001,0))),""))</f>
        <v/>
      </c>
      <c r="M4207" s="27" t="str">
        <f aca="false">IF(OR(G4207="",G4207="?"),"",IFERROR(INDEX(Pubs!$D$2:$D$3001,MATCH(G4207,Pubs!$A$2:$A$3001,0))&amp;"",""))</f>
        <v/>
      </c>
      <c r="N4207" s="27" t="n">
        <f aca="false">N(N4206)+IF(AND(A4207&lt;&gt;"",OR(Recherche!$C$4="",A4207=Recherche!$C$4),OR(Recherche!$C$5="",B4207&amp;""=Recherche!$C$5&amp;""),OR(Recherche!$C$6="",IFERROR(YEAR(L4207),0)=Recherche!$C$6),OR(Recherche!$C$7="",ISNUMBER(SEARCH(Recherche!$C$7,H4207))),OR(Recherche!$C$8="",J4207=Recherche!$C$8),OR(Recherche!$C$9="",I4207=Recherche!$C$9),OR(Recherche!$C$10="",G4207&amp;""=Recherche!$C$10&amp;""),OR(Recherche!$C$11="",E4207=Recherche!$C$11),OR(Recherche!$C$12="",ISNUMBER(SEARCH(Recherche!$C$12,M4207&amp;" "&amp;F4207)))),1,0)</f>
        <v>8</v>
      </c>
    </row>
    <row r="4208" customFormat="false" ht="15" hidden="false" customHeight="false" outlineLevel="0" collapsed="false">
      <c r="A4208" s="19"/>
      <c r="B4208" s="19"/>
      <c r="C4208" s="19"/>
      <c r="D4208" s="19"/>
      <c r="E4208" s="22"/>
      <c r="F4208" s="19"/>
      <c r="G4208" s="26" t="str">
        <f aca="false">IF(D4208="","",IFERROR(VALUE(LEFT(D4208,FIND(" |",D4208&amp;" |")-1)),"?"))</f>
        <v/>
      </c>
      <c r="H4208" s="27" t="str">
        <f aca="false">IF(G4208="","",IF(G4208="?","⚠ pub inconnue",IFERROR(INDEX(Pubs!$B$2:$B$3001,MATCH(G4208,Pubs!$A$2:$A$3001,0))&amp;"","⚠ pub inconnue")))</f>
        <v/>
      </c>
      <c r="I4208" s="27" t="str">
        <f aca="false">IF(OR(G4208="",G4208="?"),"",IFERROR(INDEX(Pubs!$C$2:$C$3001,MATCH(G4208,Pubs!$A$2:$A$3001,0))&amp;"",""))</f>
        <v/>
      </c>
      <c r="J4208" s="27" t="str">
        <f aca="false">IF(OR(G4208="",G4208="?"),"",IFERROR(INDEX(Pubs!$G$2:$G$3001,MATCH(G4208,Pubs!$A$2:$A$3001,0))&amp;"",""))</f>
        <v/>
      </c>
      <c r="K4208" s="28" t="str">
        <f aca="false">IF(OR(G4208="",G4208="?"),"",IFERROR(INDEX(Pubs!$E$2:$E$3001,MATCH(G4208,Pubs!$A$2:$A$3001,0)),""))</f>
        <v/>
      </c>
      <c r="L4208" s="29" t="str">
        <f aca="false">IF(A4208="","",IFERROR(1/(1/INDEX(Numéros!$C$2:$C$3001,MATCH(A4208&amp;"|"&amp;B4208,Numéros!$F$2:$F$3001,0))),""))</f>
        <v/>
      </c>
      <c r="M4208" s="27" t="str">
        <f aca="false">IF(OR(G4208="",G4208="?"),"",IFERROR(INDEX(Pubs!$D$2:$D$3001,MATCH(G4208,Pubs!$A$2:$A$3001,0))&amp;"",""))</f>
        <v/>
      </c>
      <c r="N4208" s="27" t="n">
        <f aca="false">N(N4207)+IF(AND(A4208&lt;&gt;"",OR(Recherche!$C$4="",A4208=Recherche!$C$4),OR(Recherche!$C$5="",B4208&amp;""=Recherche!$C$5&amp;""),OR(Recherche!$C$6="",IFERROR(YEAR(L4208),0)=Recherche!$C$6),OR(Recherche!$C$7="",ISNUMBER(SEARCH(Recherche!$C$7,H4208))),OR(Recherche!$C$8="",J4208=Recherche!$C$8),OR(Recherche!$C$9="",I4208=Recherche!$C$9),OR(Recherche!$C$10="",G4208&amp;""=Recherche!$C$10&amp;""),OR(Recherche!$C$11="",E4208=Recherche!$C$11),OR(Recherche!$C$12="",ISNUMBER(SEARCH(Recherche!$C$12,M4208&amp;" "&amp;F4208)))),1,0)</f>
        <v>8</v>
      </c>
    </row>
    <row r="4209" customFormat="false" ht="15" hidden="false" customHeight="false" outlineLevel="0" collapsed="false">
      <c r="A4209" s="19"/>
      <c r="B4209" s="19"/>
      <c r="C4209" s="19"/>
      <c r="D4209" s="19"/>
      <c r="E4209" s="22"/>
      <c r="F4209" s="19"/>
      <c r="G4209" s="26" t="str">
        <f aca="false">IF(D4209="","",IFERROR(VALUE(LEFT(D4209,FIND(" |",D4209&amp;" |")-1)),"?"))</f>
        <v/>
      </c>
      <c r="H4209" s="27" t="str">
        <f aca="false">IF(G4209="","",IF(G4209="?","⚠ pub inconnue",IFERROR(INDEX(Pubs!$B$2:$B$3001,MATCH(G4209,Pubs!$A$2:$A$3001,0))&amp;"","⚠ pub inconnue")))</f>
        <v/>
      </c>
      <c r="I4209" s="27" t="str">
        <f aca="false">IF(OR(G4209="",G4209="?"),"",IFERROR(INDEX(Pubs!$C$2:$C$3001,MATCH(G4209,Pubs!$A$2:$A$3001,0))&amp;"",""))</f>
        <v/>
      </c>
      <c r="J4209" s="27" t="str">
        <f aca="false">IF(OR(G4209="",G4209="?"),"",IFERROR(INDEX(Pubs!$G$2:$G$3001,MATCH(G4209,Pubs!$A$2:$A$3001,0))&amp;"",""))</f>
        <v/>
      </c>
      <c r="K4209" s="28" t="str">
        <f aca="false">IF(OR(G4209="",G4209="?"),"",IFERROR(INDEX(Pubs!$E$2:$E$3001,MATCH(G4209,Pubs!$A$2:$A$3001,0)),""))</f>
        <v/>
      </c>
      <c r="L4209" s="29" t="str">
        <f aca="false">IF(A4209="","",IFERROR(1/(1/INDEX(Numéros!$C$2:$C$3001,MATCH(A4209&amp;"|"&amp;B4209,Numéros!$F$2:$F$3001,0))),""))</f>
        <v/>
      </c>
      <c r="M4209" s="27" t="str">
        <f aca="false">IF(OR(G4209="",G4209="?"),"",IFERROR(INDEX(Pubs!$D$2:$D$3001,MATCH(G4209,Pubs!$A$2:$A$3001,0))&amp;"",""))</f>
        <v/>
      </c>
      <c r="N4209" s="27" t="n">
        <f aca="false">N(N4208)+IF(AND(A4209&lt;&gt;"",OR(Recherche!$C$4="",A4209=Recherche!$C$4),OR(Recherche!$C$5="",B4209&amp;""=Recherche!$C$5&amp;""),OR(Recherche!$C$6="",IFERROR(YEAR(L4209),0)=Recherche!$C$6),OR(Recherche!$C$7="",ISNUMBER(SEARCH(Recherche!$C$7,H4209))),OR(Recherche!$C$8="",J4209=Recherche!$C$8),OR(Recherche!$C$9="",I4209=Recherche!$C$9),OR(Recherche!$C$10="",G4209&amp;""=Recherche!$C$10&amp;""),OR(Recherche!$C$11="",E4209=Recherche!$C$11),OR(Recherche!$C$12="",ISNUMBER(SEARCH(Recherche!$C$12,M4209&amp;" "&amp;F4209)))),1,0)</f>
        <v>8</v>
      </c>
    </row>
    <row r="4210" customFormat="false" ht="15" hidden="false" customHeight="false" outlineLevel="0" collapsed="false">
      <c r="A4210" s="19"/>
      <c r="B4210" s="19"/>
      <c r="C4210" s="19"/>
      <c r="D4210" s="19"/>
      <c r="E4210" s="22"/>
      <c r="F4210" s="19"/>
      <c r="G4210" s="26" t="str">
        <f aca="false">IF(D4210="","",IFERROR(VALUE(LEFT(D4210,FIND(" |",D4210&amp;" |")-1)),"?"))</f>
        <v/>
      </c>
      <c r="H4210" s="27" t="str">
        <f aca="false">IF(G4210="","",IF(G4210="?","⚠ pub inconnue",IFERROR(INDEX(Pubs!$B$2:$B$3001,MATCH(G4210,Pubs!$A$2:$A$3001,0))&amp;"","⚠ pub inconnue")))</f>
        <v/>
      </c>
      <c r="I4210" s="27" t="str">
        <f aca="false">IF(OR(G4210="",G4210="?"),"",IFERROR(INDEX(Pubs!$C$2:$C$3001,MATCH(G4210,Pubs!$A$2:$A$3001,0))&amp;"",""))</f>
        <v/>
      </c>
      <c r="J4210" s="27" t="str">
        <f aca="false">IF(OR(G4210="",G4210="?"),"",IFERROR(INDEX(Pubs!$G$2:$G$3001,MATCH(G4210,Pubs!$A$2:$A$3001,0))&amp;"",""))</f>
        <v/>
      </c>
      <c r="K4210" s="28" t="str">
        <f aca="false">IF(OR(G4210="",G4210="?"),"",IFERROR(INDEX(Pubs!$E$2:$E$3001,MATCH(G4210,Pubs!$A$2:$A$3001,0)),""))</f>
        <v/>
      </c>
      <c r="L4210" s="29" t="str">
        <f aca="false">IF(A4210="","",IFERROR(1/(1/INDEX(Numéros!$C$2:$C$3001,MATCH(A4210&amp;"|"&amp;B4210,Numéros!$F$2:$F$3001,0))),""))</f>
        <v/>
      </c>
      <c r="M4210" s="27" t="str">
        <f aca="false">IF(OR(G4210="",G4210="?"),"",IFERROR(INDEX(Pubs!$D$2:$D$3001,MATCH(G4210,Pubs!$A$2:$A$3001,0))&amp;"",""))</f>
        <v/>
      </c>
      <c r="N4210" s="27" t="n">
        <f aca="false">N(N4209)+IF(AND(A4210&lt;&gt;"",OR(Recherche!$C$4="",A4210=Recherche!$C$4),OR(Recherche!$C$5="",B4210&amp;""=Recherche!$C$5&amp;""),OR(Recherche!$C$6="",IFERROR(YEAR(L4210),0)=Recherche!$C$6),OR(Recherche!$C$7="",ISNUMBER(SEARCH(Recherche!$C$7,H4210))),OR(Recherche!$C$8="",J4210=Recherche!$C$8),OR(Recherche!$C$9="",I4210=Recherche!$C$9),OR(Recherche!$C$10="",G4210&amp;""=Recherche!$C$10&amp;""),OR(Recherche!$C$11="",E4210=Recherche!$C$11),OR(Recherche!$C$12="",ISNUMBER(SEARCH(Recherche!$C$12,M4210&amp;" "&amp;F4210)))),1,0)</f>
        <v>8</v>
      </c>
    </row>
    <row r="4211" customFormat="false" ht="15" hidden="false" customHeight="false" outlineLevel="0" collapsed="false">
      <c r="A4211" s="19"/>
      <c r="B4211" s="19"/>
      <c r="C4211" s="19"/>
      <c r="D4211" s="19"/>
      <c r="E4211" s="22"/>
      <c r="F4211" s="19"/>
      <c r="G4211" s="26" t="str">
        <f aca="false">IF(D4211="","",IFERROR(VALUE(LEFT(D4211,FIND(" |",D4211&amp;" |")-1)),"?"))</f>
        <v/>
      </c>
      <c r="H4211" s="27" t="str">
        <f aca="false">IF(G4211="","",IF(G4211="?","⚠ pub inconnue",IFERROR(INDEX(Pubs!$B$2:$B$3001,MATCH(G4211,Pubs!$A$2:$A$3001,0))&amp;"","⚠ pub inconnue")))</f>
        <v/>
      </c>
      <c r="I4211" s="27" t="str">
        <f aca="false">IF(OR(G4211="",G4211="?"),"",IFERROR(INDEX(Pubs!$C$2:$C$3001,MATCH(G4211,Pubs!$A$2:$A$3001,0))&amp;"",""))</f>
        <v/>
      </c>
      <c r="J4211" s="27" t="str">
        <f aca="false">IF(OR(G4211="",G4211="?"),"",IFERROR(INDEX(Pubs!$G$2:$G$3001,MATCH(G4211,Pubs!$A$2:$A$3001,0))&amp;"",""))</f>
        <v/>
      </c>
      <c r="K4211" s="28" t="str">
        <f aca="false">IF(OR(G4211="",G4211="?"),"",IFERROR(INDEX(Pubs!$E$2:$E$3001,MATCH(G4211,Pubs!$A$2:$A$3001,0)),""))</f>
        <v/>
      </c>
      <c r="L4211" s="29" t="str">
        <f aca="false">IF(A4211="","",IFERROR(1/(1/INDEX(Numéros!$C$2:$C$3001,MATCH(A4211&amp;"|"&amp;B4211,Numéros!$F$2:$F$3001,0))),""))</f>
        <v/>
      </c>
      <c r="M4211" s="27" t="str">
        <f aca="false">IF(OR(G4211="",G4211="?"),"",IFERROR(INDEX(Pubs!$D$2:$D$3001,MATCH(G4211,Pubs!$A$2:$A$3001,0))&amp;"",""))</f>
        <v/>
      </c>
      <c r="N4211" s="27" t="n">
        <f aca="false">N(N4210)+IF(AND(A4211&lt;&gt;"",OR(Recherche!$C$4="",A4211=Recherche!$C$4),OR(Recherche!$C$5="",B4211&amp;""=Recherche!$C$5&amp;""),OR(Recherche!$C$6="",IFERROR(YEAR(L4211),0)=Recherche!$C$6),OR(Recherche!$C$7="",ISNUMBER(SEARCH(Recherche!$C$7,H4211))),OR(Recherche!$C$8="",J4211=Recherche!$C$8),OR(Recherche!$C$9="",I4211=Recherche!$C$9),OR(Recherche!$C$10="",G4211&amp;""=Recherche!$C$10&amp;""),OR(Recherche!$C$11="",E4211=Recherche!$C$11),OR(Recherche!$C$12="",ISNUMBER(SEARCH(Recherche!$C$12,M4211&amp;" "&amp;F4211)))),1,0)</f>
        <v>8</v>
      </c>
    </row>
    <row r="4212" customFormat="false" ht="15" hidden="false" customHeight="false" outlineLevel="0" collapsed="false">
      <c r="A4212" s="19"/>
      <c r="B4212" s="19"/>
      <c r="C4212" s="19"/>
      <c r="D4212" s="19"/>
      <c r="E4212" s="22"/>
      <c r="F4212" s="19"/>
      <c r="G4212" s="26" t="str">
        <f aca="false">IF(D4212="","",IFERROR(VALUE(LEFT(D4212,FIND(" |",D4212&amp;" |")-1)),"?"))</f>
        <v/>
      </c>
      <c r="H4212" s="27" t="str">
        <f aca="false">IF(G4212="","",IF(G4212="?","⚠ pub inconnue",IFERROR(INDEX(Pubs!$B$2:$B$3001,MATCH(G4212,Pubs!$A$2:$A$3001,0))&amp;"","⚠ pub inconnue")))</f>
        <v/>
      </c>
      <c r="I4212" s="27" t="str">
        <f aca="false">IF(OR(G4212="",G4212="?"),"",IFERROR(INDEX(Pubs!$C$2:$C$3001,MATCH(G4212,Pubs!$A$2:$A$3001,0))&amp;"",""))</f>
        <v/>
      </c>
      <c r="J4212" s="27" t="str">
        <f aca="false">IF(OR(G4212="",G4212="?"),"",IFERROR(INDEX(Pubs!$G$2:$G$3001,MATCH(G4212,Pubs!$A$2:$A$3001,0))&amp;"",""))</f>
        <v/>
      </c>
      <c r="K4212" s="28" t="str">
        <f aca="false">IF(OR(G4212="",G4212="?"),"",IFERROR(INDEX(Pubs!$E$2:$E$3001,MATCH(G4212,Pubs!$A$2:$A$3001,0)),""))</f>
        <v/>
      </c>
      <c r="L4212" s="29" t="str">
        <f aca="false">IF(A4212="","",IFERROR(1/(1/INDEX(Numéros!$C$2:$C$3001,MATCH(A4212&amp;"|"&amp;B4212,Numéros!$F$2:$F$3001,0))),""))</f>
        <v/>
      </c>
      <c r="M4212" s="27" t="str">
        <f aca="false">IF(OR(G4212="",G4212="?"),"",IFERROR(INDEX(Pubs!$D$2:$D$3001,MATCH(G4212,Pubs!$A$2:$A$3001,0))&amp;"",""))</f>
        <v/>
      </c>
      <c r="N4212" s="27" t="n">
        <f aca="false">N(N4211)+IF(AND(A4212&lt;&gt;"",OR(Recherche!$C$4="",A4212=Recherche!$C$4),OR(Recherche!$C$5="",B4212&amp;""=Recherche!$C$5&amp;""),OR(Recherche!$C$6="",IFERROR(YEAR(L4212),0)=Recherche!$C$6),OR(Recherche!$C$7="",ISNUMBER(SEARCH(Recherche!$C$7,H4212))),OR(Recherche!$C$8="",J4212=Recherche!$C$8),OR(Recherche!$C$9="",I4212=Recherche!$C$9),OR(Recherche!$C$10="",G4212&amp;""=Recherche!$C$10&amp;""),OR(Recherche!$C$11="",E4212=Recherche!$C$11),OR(Recherche!$C$12="",ISNUMBER(SEARCH(Recherche!$C$12,M4212&amp;" "&amp;F4212)))),1,0)</f>
        <v>8</v>
      </c>
    </row>
    <row r="4213" customFormat="false" ht="15" hidden="false" customHeight="false" outlineLevel="0" collapsed="false">
      <c r="A4213" s="19"/>
      <c r="B4213" s="19"/>
      <c r="C4213" s="19"/>
      <c r="D4213" s="19"/>
      <c r="E4213" s="22"/>
      <c r="F4213" s="19"/>
      <c r="G4213" s="26" t="str">
        <f aca="false">IF(D4213="","",IFERROR(VALUE(LEFT(D4213,FIND(" |",D4213&amp;" |")-1)),"?"))</f>
        <v/>
      </c>
      <c r="H4213" s="27" t="str">
        <f aca="false">IF(G4213="","",IF(G4213="?","⚠ pub inconnue",IFERROR(INDEX(Pubs!$B$2:$B$3001,MATCH(G4213,Pubs!$A$2:$A$3001,0))&amp;"","⚠ pub inconnue")))</f>
        <v/>
      </c>
      <c r="I4213" s="27" t="str">
        <f aca="false">IF(OR(G4213="",G4213="?"),"",IFERROR(INDEX(Pubs!$C$2:$C$3001,MATCH(G4213,Pubs!$A$2:$A$3001,0))&amp;"",""))</f>
        <v/>
      </c>
      <c r="J4213" s="27" t="str">
        <f aca="false">IF(OR(G4213="",G4213="?"),"",IFERROR(INDEX(Pubs!$G$2:$G$3001,MATCH(G4213,Pubs!$A$2:$A$3001,0))&amp;"",""))</f>
        <v/>
      </c>
      <c r="K4213" s="28" t="str">
        <f aca="false">IF(OR(G4213="",G4213="?"),"",IFERROR(INDEX(Pubs!$E$2:$E$3001,MATCH(G4213,Pubs!$A$2:$A$3001,0)),""))</f>
        <v/>
      </c>
      <c r="L4213" s="29" t="str">
        <f aca="false">IF(A4213="","",IFERROR(1/(1/INDEX(Numéros!$C$2:$C$3001,MATCH(A4213&amp;"|"&amp;B4213,Numéros!$F$2:$F$3001,0))),""))</f>
        <v/>
      </c>
      <c r="M4213" s="27" t="str">
        <f aca="false">IF(OR(G4213="",G4213="?"),"",IFERROR(INDEX(Pubs!$D$2:$D$3001,MATCH(G4213,Pubs!$A$2:$A$3001,0))&amp;"",""))</f>
        <v/>
      </c>
      <c r="N4213" s="27" t="n">
        <f aca="false">N(N4212)+IF(AND(A4213&lt;&gt;"",OR(Recherche!$C$4="",A4213=Recherche!$C$4),OR(Recherche!$C$5="",B4213&amp;""=Recherche!$C$5&amp;""),OR(Recherche!$C$6="",IFERROR(YEAR(L4213),0)=Recherche!$C$6),OR(Recherche!$C$7="",ISNUMBER(SEARCH(Recherche!$C$7,H4213))),OR(Recherche!$C$8="",J4213=Recherche!$C$8),OR(Recherche!$C$9="",I4213=Recherche!$C$9),OR(Recherche!$C$10="",G4213&amp;""=Recherche!$C$10&amp;""),OR(Recherche!$C$11="",E4213=Recherche!$C$11),OR(Recherche!$C$12="",ISNUMBER(SEARCH(Recherche!$C$12,M4213&amp;" "&amp;F4213)))),1,0)</f>
        <v>8</v>
      </c>
    </row>
    <row r="4214" customFormat="false" ht="15" hidden="false" customHeight="false" outlineLevel="0" collapsed="false">
      <c r="A4214" s="19"/>
      <c r="B4214" s="19"/>
      <c r="C4214" s="19"/>
      <c r="D4214" s="19"/>
      <c r="E4214" s="22"/>
      <c r="F4214" s="19"/>
      <c r="G4214" s="26" t="str">
        <f aca="false">IF(D4214="","",IFERROR(VALUE(LEFT(D4214,FIND(" |",D4214&amp;" |")-1)),"?"))</f>
        <v/>
      </c>
      <c r="H4214" s="27" t="str">
        <f aca="false">IF(G4214="","",IF(G4214="?","⚠ pub inconnue",IFERROR(INDEX(Pubs!$B$2:$B$3001,MATCH(G4214,Pubs!$A$2:$A$3001,0))&amp;"","⚠ pub inconnue")))</f>
        <v/>
      </c>
      <c r="I4214" s="27" t="str">
        <f aca="false">IF(OR(G4214="",G4214="?"),"",IFERROR(INDEX(Pubs!$C$2:$C$3001,MATCH(G4214,Pubs!$A$2:$A$3001,0))&amp;"",""))</f>
        <v/>
      </c>
      <c r="J4214" s="27" t="str">
        <f aca="false">IF(OR(G4214="",G4214="?"),"",IFERROR(INDEX(Pubs!$G$2:$G$3001,MATCH(G4214,Pubs!$A$2:$A$3001,0))&amp;"",""))</f>
        <v/>
      </c>
      <c r="K4214" s="28" t="str">
        <f aca="false">IF(OR(G4214="",G4214="?"),"",IFERROR(INDEX(Pubs!$E$2:$E$3001,MATCH(G4214,Pubs!$A$2:$A$3001,0)),""))</f>
        <v/>
      </c>
      <c r="L4214" s="29" t="str">
        <f aca="false">IF(A4214="","",IFERROR(1/(1/INDEX(Numéros!$C$2:$C$3001,MATCH(A4214&amp;"|"&amp;B4214,Numéros!$F$2:$F$3001,0))),""))</f>
        <v/>
      </c>
      <c r="M4214" s="27" t="str">
        <f aca="false">IF(OR(G4214="",G4214="?"),"",IFERROR(INDEX(Pubs!$D$2:$D$3001,MATCH(G4214,Pubs!$A$2:$A$3001,0))&amp;"",""))</f>
        <v/>
      </c>
      <c r="N4214" s="27" t="n">
        <f aca="false">N(N4213)+IF(AND(A4214&lt;&gt;"",OR(Recherche!$C$4="",A4214=Recherche!$C$4),OR(Recherche!$C$5="",B4214&amp;""=Recherche!$C$5&amp;""),OR(Recherche!$C$6="",IFERROR(YEAR(L4214),0)=Recherche!$C$6),OR(Recherche!$C$7="",ISNUMBER(SEARCH(Recherche!$C$7,H4214))),OR(Recherche!$C$8="",J4214=Recherche!$C$8),OR(Recherche!$C$9="",I4214=Recherche!$C$9),OR(Recherche!$C$10="",G4214&amp;""=Recherche!$C$10&amp;""),OR(Recherche!$C$11="",E4214=Recherche!$C$11),OR(Recherche!$C$12="",ISNUMBER(SEARCH(Recherche!$C$12,M4214&amp;" "&amp;F4214)))),1,0)</f>
        <v>8</v>
      </c>
    </row>
    <row r="4215" customFormat="false" ht="15" hidden="false" customHeight="false" outlineLevel="0" collapsed="false">
      <c r="A4215" s="19"/>
      <c r="B4215" s="19"/>
      <c r="C4215" s="19"/>
      <c r="D4215" s="19"/>
      <c r="E4215" s="22"/>
      <c r="F4215" s="19"/>
      <c r="G4215" s="26" t="str">
        <f aca="false">IF(D4215="","",IFERROR(VALUE(LEFT(D4215,FIND(" |",D4215&amp;" |")-1)),"?"))</f>
        <v/>
      </c>
      <c r="H4215" s="27" t="str">
        <f aca="false">IF(G4215="","",IF(G4215="?","⚠ pub inconnue",IFERROR(INDEX(Pubs!$B$2:$B$3001,MATCH(G4215,Pubs!$A$2:$A$3001,0))&amp;"","⚠ pub inconnue")))</f>
        <v/>
      </c>
      <c r="I4215" s="27" t="str">
        <f aca="false">IF(OR(G4215="",G4215="?"),"",IFERROR(INDEX(Pubs!$C$2:$C$3001,MATCH(G4215,Pubs!$A$2:$A$3001,0))&amp;"",""))</f>
        <v/>
      </c>
      <c r="J4215" s="27" t="str">
        <f aca="false">IF(OR(G4215="",G4215="?"),"",IFERROR(INDEX(Pubs!$G$2:$G$3001,MATCH(G4215,Pubs!$A$2:$A$3001,0))&amp;"",""))</f>
        <v/>
      </c>
      <c r="K4215" s="28" t="str">
        <f aca="false">IF(OR(G4215="",G4215="?"),"",IFERROR(INDEX(Pubs!$E$2:$E$3001,MATCH(G4215,Pubs!$A$2:$A$3001,0)),""))</f>
        <v/>
      </c>
      <c r="L4215" s="29" t="str">
        <f aca="false">IF(A4215="","",IFERROR(1/(1/INDEX(Numéros!$C$2:$C$3001,MATCH(A4215&amp;"|"&amp;B4215,Numéros!$F$2:$F$3001,0))),""))</f>
        <v/>
      </c>
      <c r="M4215" s="27" t="str">
        <f aca="false">IF(OR(G4215="",G4215="?"),"",IFERROR(INDEX(Pubs!$D$2:$D$3001,MATCH(G4215,Pubs!$A$2:$A$3001,0))&amp;"",""))</f>
        <v/>
      </c>
      <c r="N4215" s="27" t="n">
        <f aca="false">N(N4214)+IF(AND(A4215&lt;&gt;"",OR(Recherche!$C$4="",A4215=Recherche!$C$4),OR(Recherche!$C$5="",B4215&amp;""=Recherche!$C$5&amp;""),OR(Recherche!$C$6="",IFERROR(YEAR(L4215),0)=Recherche!$C$6),OR(Recherche!$C$7="",ISNUMBER(SEARCH(Recherche!$C$7,H4215))),OR(Recherche!$C$8="",J4215=Recherche!$C$8),OR(Recherche!$C$9="",I4215=Recherche!$C$9),OR(Recherche!$C$10="",G4215&amp;""=Recherche!$C$10&amp;""),OR(Recherche!$C$11="",E4215=Recherche!$C$11),OR(Recherche!$C$12="",ISNUMBER(SEARCH(Recherche!$C$12,M4215&amp;" "&amp;F4215)))),1,0)</f>
        <v>8</v>
      </c>
    </row>
    <row r="4216" customFormat="false" ht="15" hidden="false" customHeight="false" outlineLevel="0" collapsed="false">
      <c r="A4216" s="19"/>
      <c r="B4216" s="19"/>
      <c r="C4216" s="19"/>
      <c r="D4216" s="19"/>
      <c r="E4216" s="22"/>
      <c r="F4216" s="19"/>
      <c r="G4216" s="26" t="str">
        <f aca="false">IF(D4216="","",IFERROR(VALUE(LEFT(D4216,FIND(" |",D4216&amp;" |")-1)),"?"))</f>
        <v/>
      </c>
      <c r="H4216" s="27" t="str">
        <f aca="false">IF(G4216="","",IF(G4216="?","⚠ pub inconnue",IFERROR(INDEX(Pubs!$B$2:$B$3001,MATCH(G4216,Pubs!$A$2:$A$3001,0))&amp;"","⚠ pub inconnue")))</f>
        <v/>
      </c>
      <c r="I4216" s="27" t="str">
        <f aca="false">IF(OR(G4216="",G4216="?"),"",IFERROR(INDEX(Pubs!$C$2:$C$3001,MATCH(G4216,Pubs!$A$2:$A$3001,0))&amp;"",""))</f>
        <v/>
      </c>
      <c r="J4216" s="27" t="str">
        <f aca="false">IF(OR(G4216="",G4216="?"),"",IFERROR(INDEX(Pubs!$G$2:$G$3001,MATCH(G4216,Pubs!$A$2:$A$3001,0))&amp;"",""))</f>
        <v/>
      </c>
      <c r="K4216" s="28" t="str">
        <f aca="false">IF(OR(G4216="",G4216="?"),"",IFERROR(INDEX(Pubs!$E$2:$E$3001,MATCH(G4216,Pubs!$A$2:$A$3001,0)),""))</f>
        <v/>
      </c>
      <c r="L4216" s="29" t="str">
        <f aca="false">IF(A4216="","",IFERROR(1/(1/INDEX(Numéros!$C$2:$C$3001,MATCH(A4216&amp;"|"&amp;B4216,Numéros!$F$2:$F$3001,0))),""))</f>
        <v/>
      </c>
      <c r="M4216" s="27" t="str">
        <f aca="false">IF(OR(G4216="",G4216="?"),"",IFERROR(INDEX(Pubs!$D$2:$D$3001,MATCH(G4216,Pubs!$A$2:$A$3001,0))&amp;"",""))</f>
        <v/>
      </c>
      <c r="N4216" s="27" t="n">
        <f aca="false">N(N4215)+IF(AND(A4216&lt;&gt;"",OR(Recherche!$C$4="",A4216=Recherche!$C$4),OR(Recherche!$C$5="",B4216&amp;""=Recherche!$C$5&amp;""),OR(Recherche!$C$6="",IFERROR(YEAR(L4216),0)=Recherche!$C$6),OR(Recherche!$C$7="",ISNUMBER(SEARCH(Recherche!$C$7,H4216))),OR(Recherche!$C$8="",J4216=Recherche!$C$8),OR(Recherche!$C$9="",I4216=Recherche!$C$9),OR(Recherche!$C$10="",G4216&amp;""=Recherche!$C$10&amp;""),OR(Recherche!$C$11="",E4216=Recherche!$C$11),OR(Recherche!$C$12="",ISNUMBER(SEARCH(Recherche!$C$12,M4216&amp;" "&amp;F4216)))),1,0)</f>
        <v>8</v>
      </c>
    </row>
    <row r="4217" customFormat="false" ht="15" hidden="false" customHeight="false" outlineLevel="0" collapsed="false">
      <c r="A4217" s="19"/>
      <c r="B4217" s="19"/>
      <c r="C4217" s="19"/>
      <c r="D4217" s="19"/>
      <c r="E4217" s="22"/>
      <c r="F4217" s="19"/>
      <c r="G4217" s="26" t="str">
        <f aca="false">IF(D4217="","",IFERROR(VALUE(LEFT(D4217,FIND(" |",D4217&amp;" |")-1)),"?"))</f>
        <v/>
      </c>
      <c r="H4217" s="27" t="str">
        <f aca="false">IF(G4217="","",IF(G4217="?","⚠ pub inconnue",IFERROR(INDEX(Pubs!$B$2:$B$3001,MATCH(G4217,Pubs!$A$2:$A$3001,0))&amp;"","⚠ pub inconnue")))</f>
        <v/>
      </c>
      <c r="I4217" s="27" t="str">
        <f aca="false">IF(OR(G4217="",G4217="?"),"",IFERROR(INDEX(Pubs!$C$2:$C$3001,MATCH(G4217,Pubs!$A$2:$A$3001,0))&amp;"",""))</f>
        <v/>
      </c>
      <c r="J4217" s="27" t="str">
        <f aca="false">IF(OR(G4217="",G4217="?"),"",IFERROR(INDEX(Pubs!$G$2:$G$3001,MATCH(G4217,Pubs!$A$2:$A$3001,0))&amp;"",""))</f>
        <v/>
      </c>
      <c r="K4217" s="28" t="str">
        <f aca="false">IF(OR(G4217="",G4217="?"),"",IFERROR(INDEX(Pubs!$E$2:$E$3001,MATCH(G4217,Pubs!$A$2:$A$3001,0)),""))</f>
        <v/>
      </c>
      <c r="L4217" s="29" t="str">
        <f aca="false">IF(A4217="","",IFERROR(1/(1/INDEX(Numéros!$C$2:$C$3001,MATCH(A4217&amp;"|"&amp;B4217,Numéros!$F$2:$F$3001,0))),""))</f>
        <v/>
      </c>
      <c r="M4217" s="27" t="str">
        <f aca="false">IF(OR(G4217="",G4217="?"),"",IFERROR(INDEX(Pubs!$D$2:$D$3001,MATCH(G4217,Pubs!$A$2:$A$3001,0))&amp;"",""))</f>
        <v/>
      </c>
      <c r="N4217" s="27" t="n">
        <f aca="false">N(N4216)+IF(AND(A4217&lt;&gt;"",OR(Recherche!$C$4="",A4217=Recherche!$C$4),OR(Recherche!$C$5="",B4217&amp;""=Recherche!$C$5&amp;""),OR(Recherche!$C$6="",IFERROR(YEAR(L4217),0)=Recherche!$C$6),OR(Recherche!$C$7="",ISNUMBER(SEARCH(Recherche!$C$7,H4217))),OR(Recherche!$C$8="",J4217=Recherche!$C$8),OR(Recherche!$C$9="",I4217=Recherche!$C$9),OR(Recherche!$C$10="",G4217&amp;""=Recherche!$C$10&amp;""),OR(Recherche!$C$11="",E4217=Recherche!$C$11),OR(Recherche!$C$12="",ISNUMBER(SEARCH(Recherche!$C$12,M4217&amp;" "&amp;F4217)))),1,0)</f>
        <v>8</v>
      </c>
    </row>
    <row r="4218" customFormat="false" ht="15" hidden="false" customHeight="false" outlineLevel="0" collapsed="false">
      <c r="A4218" s="19"/>
      <c r="B4218" s="19"/>
      <c r="C4218" s="19"/>
      <c r="D4218" s="19"/>
      <c r="E4218" s="22"/>
      <c r="F4218" s="19"/>
      <c r="G4218" s="26" t="str">
        <f aca="false">IF(D4218="","",IFERROR(VALUE(LEFT(D4218,FIND(" |",D4218&amp;" |")-1)),"?"))</f>
        <v/>
      </c>
      <c r="H4218" s="27" t="str">
        <f aca="false">IF(G4218="","",IF(G4218="?","⚠ pub inconnue",IFERROR(INDEX(Pubs!$B$2:$B$3001,MATCH(G4218,Pubs!$A$2:$A$3001,0))&amp;"","⚠ pub inconnue")))</f>
        <v/>
      </c>
      <c r="I4218" s="27" t="str">
        <f aca="false">IF(OR(G4218="",G4218="?"),"",IFERROR(INDEX(Pubs!$C$2:$C$3001,MATCH(G4218,Pubs!$A$2:$A$3001,0))&amp;"",""))</f>
        <v/>
      </c>
      <c r="J4218" s="27" t="str">
        <f aca="false">IF(OR(G4218="",G4218="?"),"",IFERROR(INDEX(Pubs!$G$2:$G$3001,MATCH(G4218,Pubs!$A$2:$A$3001,0))&amp;"",""))</f>
        <v/>
      </c>
      <c r="K4218" s="28" t="str">
        <f aca="false">IF(OR(G4218="",G4218="?"),"",IFERROR(INDEX(Pubs!$E$2:$E$3001,MATCH(G4218,Pubs!$A$2:$A$3001,0)),""))</f>
        <v/>
      </c>
      <c r="L4218" s="29" t="str">
        <f aca="false">IF(A4218="","",IFERROR(1/(1/INDEX(Numéros!$C$2:$C$3001,MATCH(A4218&amp;"|"&amp;B4218,Numéros!$F$2:$F$3001,0))),""))</f>
        <v/>
      </c>
      <c r="M4218" s="27" t="str">
        <f aca="false">IF(OR(G4218="",G4218="?"),"",IFERROR(INDEX(Pubs!$D$2:$D$3001,MATCH(G4218,Pubs!$A$2:$A$3001,0))&amp;"",""))</f>
        <v/>
      </c>
      <c r="N4218" s="27" t="n">
        <f aca="false">N(N4217)+IF(AND(A4218&lt;&gt;"",OR(Recherche!$C$4="",A4218=Recherche!$C$4),OR(Recherche!$C$5="",B4218&amp;""=Recherche!$C$5&amp;""),OR(Recherche!$C$6="",IFERROR(YEAR(L4218),0)=Recherche!$C$6),OR(Recherche!$C$7="",ISNUMBER(SEARCH(Recherche!$C$7,H4218))),OR(Recherche!$C$8="",J4218=Recherche!$C$8),OR(Recherche!$C$9="",I4218=Recherche!$C$9),OR(Recherche!$C$10="",G4218&amp;""=Recherche!$C$10&amp;""),OR(Recherche!$C$11="",E4218=Recherche!$C$11),OR(Recherche!$C$12="",ISNUMBER(SEARCH(Recherche!$C$12,M4218&amp;" "&amp;F4218)))),1,0)</f>
        <v>8</v>
      </c>
    </row>
    <row r="4219" customFormat="false" ht="15" hidden="false" customHeight="false" outlineLevel="0" collapsed="false">
      <c r="A4219" s="19"/>
      <c r="B4219" s="19"/>
      <c r="C4219" s="19"/>
      <c r="D4219" s="19"/>
      <c r="E4219" s="22"/>
      <c r="F4219" s="19"/>
      <c r="G4219" s="26" t="str">
        <f aca="false">IF(D4219="","",IFERROR(VALUE(LEFT(D4219,FIND(" |",D4219&amp;" |")-1)),"?"))</f>
        <v/>
      </c>
      <c r="H4219" s="27" t="str">
        <f aca="false">IF(G4219="","",IF(G4219="?","⚠ pub inconnue",IFERROR(INDEX(Pubs!$B$2:$B$3001,MATCH(G4219,Pubs!$A$2:$A$3001,0))&amp;"","⚠ pub inconnue")))</f>
        <v/>
      </c>
      <c r="I4219" s="27" t="str">
        <f aca="false">IF(OR(G4219="",G4219="?"),"",IFERROR(INDEX(Pubs!$C$2:$C$3001,MATCH(G4219,Pubs!$A$2:$A$3001,0))&amp;"",""))</f>
        <v/>
      </c>
      <c r="J4219" s="27" t="str">
        <f aca="false">IF(OR(G4219="",G4219="?"),"",IFERROR(INDEX(Pubs!$G$2:$G$3001,MATCH(G4219,Pubs!$A$2:$A$3001,0))&amp;"",""))</f>
        <v/>
      </c>
      <c r="K4219" s="28" t="str">
        <f aca="false">IF(OR(G4219="",G4219="?"),"",IFERROR(INDEX(Pubs!$E$2:$E$3001,MATCH(G4219,Pubs!$A$2:$A$3001,0)),""))</f>
        <v/>
      </c>
      <c r="L4219" s="29" t="str">
        <f aca="false">IF(A4219="","",IFERROR(1/(1/INDEX(Numéros!$C$2:$C$3001,MATCH(A4219&amp;"|"&amp;B4219,Numéros!$F$2:$F$3001,0))),""))</f>
        <v/>
      </c>
      <c r="M4219" s="27" t="str">
        <f aca="false">IF(OR(G4219="",G4219="?"),"",IFERROR(INDEX(Pubs!$D$2:$D$3001,MATCH(G4219,Pubs!$A$2:$A$3001,0))&amp;"",""))</f>
        <v/>
      </c>
      <c r="N4219" s="27" t="n">
        <f aca="false">N(N4218)+IF(AND(A4219&lt;&gt;"",OR(Recherche!$C$4="",A4219=Recherche!$C$4),OR(Recherche!$C$5="",B4219&amp;""=Recherche!$C$5&amp;""),OR(Recherche!$C$6="",IFERROR(YEAR(L4219),0)=Recherche!$C$6),OR(Recherche!$C$7="",ISNUMBER(SEARCH(Recherche!$C$7,H4219))),OR(Recherche!$C$8="",J4219=Recherche!$C$8),OR(Recherche!$C$9="",I4219=Recherche!$C$9),OR(Recherche!$C$10="",G4219&amp;""=Recherche!$C$10&amp;""),OR(Recherche!$C$11="",E4219=Recherche!$C$11),OR(Recherche!$C$12="",ISNUMBER(SEARCH(Recherche!$C$12,M4219&amp;" "&amp;F4219)))),1,0)</f>
        <v>8</v>
      </c>
    </row>
    <row r="4220" customFormat="false" ht="15" hidden="false" customHeight="false" outlineLevel="0" collapsed="false">
      <c r="A4220" s="19"/>
      <c r="B4220" s="19"/>
      <c r="C4220" s="19"/>
      <c r="D4220" s="19"/>
      <c r="E4220" s="22"/>
      <c r="F4220" s="19"/>
      <c r="G4220" s="26" t="str">
        <f aca="false">IF(D4220="","",IFERROR(VALUE(LEFT(D4220,FIND(" |",D4220&amp;" |")-1)),"?"))</f>
        <v/>
      </c>
      <c r="H4220" s="27" t="str">
        <f aca="false">IF(G4220="","",IF(G4220="?","⚠ pub inconnue",IFERROR(INDEX(Pubs!$B$2:$B$3001,MATCH(G4220,Pubs!$A$2:$A$3001,0))&amp;"","⚠ pub inconnue")))</f>
        <v/>
      </c>
      <c r="I4220" s="27" t="str">
        <f aca="false">IF(OR(G4220="",G4220="?"),"",IFERROR(INDEX(Pubs!$C$2:$C$3001,MATCH(G4220,Pubs!$A$2:$A$3001,0))&amp;"",""))</f>
        <v/>
      </c>
      <c r="J4220" s="27" t="str">
        <f aca="false">IF(OR(G4220="",G4220="?"),"",IFERROR(INDEX(Pubs!$G$2:$G$3001,MATCH(G4220,Pubs!$A$2:$A$3001,0))&amp;"",""))</f>
        <v/>
      </c>
      <c r="K4220" s="28" t="str">
        <f aca="false">IF(OR(G4220="",G4220="?"),"",IFERROR(INDEX(Pubs!$E$2:$E$3001,MATCH(G4220,Pubs!$A$2:$A$3001,0)),""))</f>
        <v/>
      </c>
      <c r="L4220" s="29" t="str">
        <f aca="false">IF(A4220="","",IFERROR(1/(1/INDEX(Numéros!$C$2:$C$3001,MATCH(A4220&amp;"|"&amp;B4220,Numéros!$F$2:$F$3001,0))),""))</f>
        <v/>
      </c>
      <c r="M4220" s="27" t="str">
        <f aca="false">IF(OR(G4220="",G4220="?"),"",IFERROR(INDEX(Pubs!$D$2:$D$3001,MATCH(G4220,Pubs!$A$2:$A$3001,0))&amp;"",""))</f>
        <v/>
      </c>
      <c r="N4220" s="27" t="n">
        <f aca="false">N(N4219)+IF(AND(A4220&lt;&gt;"",OR(Recherche!$C$4="",A4220=Recherche!$C$4),OR(Recherche!$C$5="",B4220&amp;""=Recherche!$C$5&amp;""),OR(Recherche!$C$6="",IFERROR(YEAR(L4220),0)=Recherche!$C$6),OR(Recherche!$C$7="",ISNUMBER(SEARCH(Recherche!$C$7,H4220))),OR(Recherche!$C$8="",J4220=Recherche!$C$8),OR(Recherche!$C$9="",I4220=Recherche!$C$9),OR(Recherche!$C$10="",G4220&amp;""=Recherche!$C$10&amp;""),OR(Recherche!$C$11="",E4220=Recherche!$C$11),OR(Recherche!$C$12="",ISNUMBER(SEARCH(Recherche!$C$12,M4220&amp;" "&amp;F4220)))),1,0)</f>
        <v>8</v>
      </c>
    </row>
    <row r="4221" customFormat="false" ht="15" hidden="false" customHeight="false" outlineLevel="0" collapsed="false">
      <c r="A4221" s="19"/>
      <c r="B4221" s="19"/>
      <c r="C4221" s="19"/>
      <c r="D4221" s="19"/>
      <c r="E4221" s="22"/>
      <c r="F4221" s="19"/>
      <c r="G4221" s="26" t="str">
        <f aca="false">IF(D4221="","",IFERROR(VALUE(LEFT(D4221,FIND(" |",D4221&amp;" |")-1)),"?"))</f>
        <v/>
      </c>
      <c r="H4221" s="27" t="str">
        <f aca="false">IF(G4221="","",IF(G4221="?","⚠ pub inconnue",IFERROR(INDEX(Pubs!$B$2:$B$3001,MATCH(G4221,Pubs!$A$2:$A$3001,0))&amp;"","⚠ pub inconnue")))</f>
        <v/>
      </c>
      <c r="I4221" s="27" t="str">
        <f aca="false">IF(OR(G4221="",G4221="?"),"",IFERROR(INDEX(Pubs!$C$2:$C$3001,MATCH(G4221,Pubs!$A$2:$A$3001,0))&amp;"",""))</f>
        <v/>
      </c>
      <c r="J4221" s="27" t="str">
        <f aca="false">IF(OR(G4221="",G4221="?"),"",IFERROR(INDEX(Pubs!$G$2:$G$3001,MATCH(G4221,Pubs!$A$2:$A$3001,0))&amp;"",""))</f>
        <v/>
      </c>
      <c r="K4221" s="28" t="str">
        <f aca="false">IF(OR(G4221="",G4221="?"),"",IFERROR(INDEX(Pubs!$E$2:$E$3001,MATCH(G4221,Pubs!$A$2:$A$3001,0)),""))</f>
        <v/>
      </c>
      <c r="L4221" s="29" t="str">
        <f aca="false">IF(A4221="","",IFERROR(1/(1/INDEX(Numéros!$C$2:$C$3001,MATCH(A4221&amp;"|"&amp;B4221,Numéros!$F$2:$F$3001,0))),""))</f>
        <v/>
      </c>
      <c r="M4221" s="27" t="str">
        <f aca="false">IF(OR(G4221="",G4221="?"),"",IFERROR(INDEX(Pubs!$D$2:$D$3001,MATCH(G4221,Pubs!$A$2:$A$3001,0))&amp;"",""))</f>
        <v/>
      </c>
      <c r="N4221" s="27" t="n">
        <f aca="false">N(N4220)+IF(AND(A4221&lt;&gt;"",OR(Recherche!$C$4="",A4221=Recherche!$C$4),OR(Recherche!$C$5="",B4221&amp;""=Recherche!$C$5&amp;""),OR(Recherche!$C$6="",IFERROR(YEAR(L4221),0)=Recherche!$C$6),OR(Recherche!$C$7="",ISNUMBER(SEARCH(Recherche!$C$7,H4221))),OR(Recherche!$C$8="",J4221=Recherche!$C$8),OR(Recherche!$C$9="",I4221=Recherche!$C$9),OR(Recherche!$C$10="",G4221&amp;""=Recherche!$C$10&amp;""),OR(Recherche!$C$11="",E4221=Recherche!$C$11),OR(Recherche!$C$12="",ISNUMBER(SEARCH(Recherche!$C$12,M4221&amp;" "&amp;F4221)))),1,0)</f>
        <v>8</v>
      </c>
    </row>
    <row r="4222" customFormat="false" ht="15" hidden="false" customHeight="false" outlineLevel="0" collapsed="false">
      <c r="A4222" s="19"/>
      <c r="B4222" s="19"/>
      <c r="C4222" s="19"/>
      <c r="D4222" s="19"/>
      <c r="E4222" s="22"/>
      <c r="F4222" s="19"/>
      <c r="G4222" s="26" t="str">
        <f aca="false">IF(D4222="","",IFERROR(VALUE(LEFT(D4222,FIND(" |",D4222&amp;" |")-1)),"?"))</f>
        <v/>
      </c>
      <c r="H4222" s="27" t="str">
        <f aca="false">IF(G4222="","",IF(G4222="?","⚠ pub inconnue",IFERROR(INDEX(Pubs!$B$2:$B$3001,MATCH(G4222,Pubs!$A$2:$A$3001,0))&amp;"","⚠ pub inconnue")))</f>
        <v/>
      </c>
      <c r="I4222" s="27" t="str">
        <f aca="false">IF(OR(G4222="",G4222="?"),"",IFERROR(INDEX(Pubs!$C$2:$C$3001,MATCH(G4222,Pubs!$A$2:$A$3001,0))&amp;"",""))</f>
        <v/>
      </c>
      <c r="J4222" s="27" t="str">
        <f aca="false">IF(OR(G4222="",G4222="?"),"",IFERROR(INDEX(Pubs!$G$2:$G$3001,MATCH(G4222,Pubs!$A$2:$A$3001,0))&amp;"",""))</f>
        <v/>
      </c>
      <c r="K4222" s="28" t="str">
        <f aca="false">IF(OR(G4222="",G4222="?"),"",IFERROR(INDEX(Pubs!$E$2:$E$3001,MATCH(G4222,Pubs!$A$2:$A$3001,0)),""))</f>
        <v/>
      </c>
      <c r="L4222" s="29" t="str">
        <f aca="false">IF(A4222="","",IFERROR(1/(1/INDEX(Numéros!$C$2:$C$3001,MATCH(A4222&amp;"|"&amp;B4222,Numéros!$F$2:$F$3001,0))),""))</f>
        <v/>
      </c>
      <c r="M4222" s="27" t="str">
        <f aca="false">IF(OR(G4222="",G4222="?"),"",IFERROR(INDEX(Pubs!$D$2:$D$3001,MATCH(G4222,Pubs!$A$2:$A$3001,0))&amp;"",""))</f>
        <v/>
      </c>
      <c r="N4222" s="27" t="n">
        <f aca="false">N(N4221)+IF(AND(A4222&lt;&gt;"",OR(Recherche!$C$4="",A4222=Recherche!$C$4),OR(Recherche!$C$5="",B4222&amp;""=Recherche!$C$5&amp;""),OR(Recherche!$C$6="",IFERROR(YEAR(L4222),0)=Recherche!$C$6),OR(Recherche!$C$7="",ISNUMBER(SEARCH(Recherche!$C$7,H4222))),OR(Recherche!$C$8="",J4222=Recherche!$C$8),OR(Recherche!$C$9="",I4222=Recherche!$C$9),OR(Recherche!$C$10="",G4222&amp;""=Recherche!$C$10&amp;""),OR(Recherche!$C$11="",E4222=Recherche!$C$11),OR(Recherche!$C$12="",ISNUMBER(SEARCH(Recherche!$C$12,M4222&amp;" "&amp;F4222)))),1,0)</f>
        <v>8</v>
      </c>
    </row>
    <row r="4223" customFormat="false" ht="15" hidden="false" customHeight="false" outlineLevel="0" collapsed="false">
      <c r="A4223" s="19"/>
      <c r="B4223" s="19"/>
      <c r="C4223" s="19"/>
      <c r="D4223" s="19"/>
      <c r="E4223" s="22"/>
      <c r="F4223" s="19"/>
      <c r="G4223" s="26" t="str">
        <f aca="false">IF(D4223="","",IFERROR(VALUE(LEFT(D4223,FIND(" |",D4223&amp;" |")-1)),"?"))</f>
        <v/>
      </c>
      <c r="H4223" s="27" t="str">
        <f aca="false">IF(G4223="","",IF(G4223="?","⚠ pub inconnue",IFERROR(INDEX(Pubs!$B$2:$B$3001,MATCH(G4223,Pubs!$A$2:$A$3001,0))&amp;"","⚠ pub inconnue")))</f>
        <v/>
      </c>
      <c r="I4223" s="27" t="str">
        <f aca="false">IF(OR(G4223="",G4223="?"),"",IFERROR(INDEX(Pubs!$C$2:$C$3001,MATCH(G4223,Pubs!$A$2:$A$3001,0))&amp;"",""))</f>
        <v/>
      </c>
      <c r="J4223" s="27" t="str">
        <f aca="false">IF(OR(G4223="",G4223="?"),"",IFERROR(INDEX(Pubs!$G$2:$G$3001,MATCH(G4223,Pubs!$A$2:$A$3001,0))&amp;"",""))</f>
        <v/>
      </c>
      <c r="K4223" s="28" t="str">
        <f aca="false">IF(OR(G4223="",G4223="?"),"",IFERROR(INDEX(Pubs!$E$2:$E$3001,MATCH(G4223,Pubs!$A$2:$A$3001,0)),""))</f>
        <v/>
      </c>
      <c r="L4223" s="29" t="str">
        <f aca="false">IF(A4223="","",IFERROR(1/(1/INDEX(Numéros!$C$2:$C$3001,MATCH(A4223&amp;"|"&amp;B4223,Numéros!$F$2:$F$3001,0))),""))</f>
        <v/>
      </c>
      <c r="M4223" s="27" t="str">
        <f aca="false">IF(OR(G4223="",G4223="?"),"",IFERROR(INDEX(Pubs!$D$2:$D$3001,MATCH(G4223,Pubs!$A$2:$A$3001,0))&amp;"",""))</f>
        <v/>
      </c>
      <c r="N4223" s="27" t="n">
        <f aca="false">N(N4222)+IF(AND(A4223&lt;&gt;"",OR(Recherche!$C$4="",A4223=Recherche!$C$4),OR(Recherche!$C$5="",B4223&amp;""=Recherche!$C$5&amp;""),OR(Recherche!$C$6="",IFERROR(YEAR(L4223),0)=Recherche!$C$6),OR(Recherche!$C$7="",ISNUMBER(SEARCH(Recherche!$C$7,H4223))),OR(Recherche!$C$8="",J4223=Recherche!$C$8),OR(Recherche!$C$9="",I4223=Recherche!$C$9),OR(Recherche!$C$10="",G4223&amp;""=Recherche!$C$10&amp;""),OR(Recherche!$C$11="",E4223=Recherche!$C$11),OR(Recherche!$C$12="",ISNUMBER(SEARCH(Recherche!$C$12,M4223&amp;" "&amp;F4223)))),1,0)</f>
        <v>8</v>
      </c>
    </row>
    <row r="4224" customFormat="false" ht="15" hidden="false" customHeight="false" outlineLevel="0" collapsed="false">
      <c r="A4224" s="19"/>
      <c r="B4224" s="19"/>
      <c r="C4224" s="19"/>
      <c r="D4224" s="19"/>
      <c r="E4224" s="22"/>
      <c r="F4224" s="19"/>
      <c r="G4224" s="26" t="str">
        <f aca="false">IF(D4224="","",IFERROR(VALUE(LEFT(D4224,FIND(" |",D4224&amp;" |")-1)),"?"))</f>
        <v/>
      </c>
      <c r="H4224" s="27" t="str">
        <f aca="false">IF(G4224="","",IF(G4224="?","⚠ pub inconnue",IFERROR(INDEX(Pubs!$B$2:$B$3001,MATCH(G4224,Pubs!$A$2:$A$3001,0))&amp;"","⚠ pub inconnue")))</f>
        <v/>
      </c>
      <c r="I4224" s="27" t="str">
        <f aca="false">IF(OR(G4224="",G4224="?"),"",IFERROR(INDEX(Pubs!$C$2:$C$3001,MATCH(G4224,Pubs!$A$2:$A$3001,0))&amp;"",""))</f>
        <v/>
      </c>
      <c r="J4224" s="27" t="str">
        <f aca="false">IF(OR(G4224="",G4224="?"),"",IFERROR(INDEX(Pubs!$G$2:$G$3001,MATCH(G4224,Pubs!$A$2:$A$3001,0))&amp;"",""))</f>
        <v/>
      </c>
      <c r="K4224" s="28" t="str">
        <f aca="false">IF(OR(G4224="",G4224="?"),"",IFERROR(INDEX(Pubs!$E$2:$E$3001,MATCH(G4224,Pubs!$A$2:$A$3001,0)),""))</f>
        <v/>
      </c>
      <c r="L4224" s="29" t="str">
        <f aca="false">IF(A4224="","",IFERROR(1/(1/INDEX(Numéros!$C$2:$C$3001,MATCH(A4224&amp;"|"&amp;B4224,Numéros!$F$2:$F$3001,0))),""))</f>
        <v/>
      </c>
      <c r="M4224" s="27" t="str">
        <f aca="false">IF(OR(G4224="",G4224="?"),"",IFERROR(INDEX(Pubs!$D$2:$D$3001,MATCH(G4224,Pubs!$A$2:$A$3001,0))&amp;"",""))</f>
        <v/>
      </c>
      <c r="N4224" s="27" t="n">
        <f aca="false">N(N4223)+IF(AND(A4224&lt;&gt;"",OR(Recherche!$C$4="",A4224=Recherche!$C$4),OR(Recherche!$C$5="",B4224&amp;""=Recherche!$C$5&amp;""),OR(Recherche!$C$6="",IFERROR(YEAR(L4224),0)=Recherche!$C$6),OR(Recherche!$C$7="",ISNUMBER(SEARCH(Recherche!$C$7,H4224))),OR(Recherche!$C$8="",J4224=Recherche!$C$8),OR(Recherche!$C$9="",I4224=Recherche!$C$9),OR(Recherche!$C$10="",G4224&amp;""=Recherche!$C$10&amp;""),OR(Recherche!$C$11="",E4224=Recherche!$C$11),OR(Recherche!$C$12="",ISNUMBER(SEARCH(Recherche!$C$12,M4224&amp;" "&amp;F4224)))),1,0)</f>
        <v>8</v>
      </c>
    </row>
    <row r="4225" customFormat="false" ht="15" hidden="false" customHeight="false" outlineLevel="0" collapsed="false">
      <c r="A4225" s="19"/>
      <c r="B4225" s="19"/>
      <c r="C4225" s="19"/>
      <c r="D4225" s="19"/>
      <c r="E4225" s="22"/>
      <c r="F4225" s="19"/>
      <c r="G4225" s="26" t="str">
        <f aca="false">IF(D4225="","",IFERROR(VALUE(LEFT(D4225,FIND(" |",D4225&amp;" |")-1)),"?"))</f>
        <v/>
      </c>
      <c r="H4225" s="27" t="str">
        <f aca="false">IF(G4225="","",IF(G4225="?","⚠ pub inconnue",IFERROR(INDEX(Pubs!$B$2:$B$3001,MATCH(G4225,Pubs!$A$2:$A$3001,0))&amp;"","⚠ pub inconnue")))</f>
        <v/>
      </c>
      <c r="I4225" s="27" t="str">
        <f aca="false">IF(OR(G4225="",G4225="?"),"",IFERROR(INDEX(Pubs!$C$2:$C$3001,MATCH(G4225,Pubs!$A$2:$A$3001,0))&amp;"",""))</f>
        <v/>
      </c>
      <c r="J4225" s="27" t="str">
        <f aca="false">IF(OR(G4225="",G4225="?"),"",IFERROR(INDEX(Pubs!$G$2:$G$3001,MATCH(G4225,Pubs!$A$2:$A$3001,0))&amp;"",""))</f>
        <v/>
      </c>
      <c r="K4225" s="28" t="str">
        <f aca="false">IF(OR(G4225="",G4225="?"),"",IFERROR(INDEX(Pubs!$E$2:$E$3001,MATCH(G4225,Pubs!$A$2:$A$3001,0)),""))</f>
        <v/>
      </c>
      <c r="L4225" s="29" t="str">
        <f aca="false">IF(A4225="","",IFERROR(1/(1/INDEX(Numéros!$C$2:$C$3001,MATCH(A4225&amp;"|"&amp;B4225,Numéros!$F$2:$F$3001,0))),""))</f>
        <v/>
      </c>
      <c r="M4225" s="27" t="str">
        <f aca="false">IF(OR(G4225="",G4225="?"),"",IFERROR(INDEX(Pubs!$D$2:$D$3001,MATCH(G4225,Pubs!$A$2:$A$3001,0))&amp;"",""))</f>
        <v/>
      </c>
      <c r="N4225" s="27" t="n">
        <f aca="false">N(N4224)+IF(AND(A4225&lt;&gt;"",OR(Recherche!$C$4="",A4225=Recherche!$C$4),OR(Recherche!$C$5="",B4225&amp;""=Recherche!$C$5&amp;""),OR(Recherche!$C$6="",IFERROR(YEAR(L4225),0)=Recherche!$C$6),OR(Recherche!$C$7="",ISNUMBER(SEARCH(Recherche!$C$7,H4225))),OR(Recherche!$C$8="",J4225=Recherche!$C$8),OR(Recherche!$C$9="",I4225=Recherche!$C$9),OR(Recherche!$C$10="",G4225&amp;""=Recherche!$C$10&amp;""),OR(Recherche!$C$11="",E4225=Recherche!$C$11),OR(Recherche!$C$12="",ISNUMBER(SEARCH(Recherche!$C$12,M4225&amp;" "&amp;F4225)))),1,0)</f>
        <v>8</v>
      </c>
    </row>
    <row r="4226" customFormat="false" ht="15" hidden="false" customHeight="false" outlineLevel="0" collapsed="false">
      <c r="A4226" s="19"/>
      <c r="B4226" s="19"/>
      <c r="C4226" s="19"/>
      <c r="D4226" s="19"/>
      <c r="E4226" s="22"/>
      <c r="F4226" s="19"/>
      <c r="G4226" s="26" t="str">
        <f aca="false">IF(D4226="","",IFERROR(VALUE(LEFT(D4226,FIND(" |",D4226&amp;" |")-1)),"?"))</f>
        <v/>
      </c>
      <c r="H4226" s="27" t="str">
        <f aca="false">IF(G4226="","",IF(G4226="?","⚠ pub inconnue",IFERROR(INDEX(Pubs!$B$2:$B$3001,MATCH(G4226,Pubs!$A$2:$A$3001,0))&amp;"","⚠ pub inconnue")))</f>
        <v/>
      </c>
      <c r="I4226" s="27" t="str">
        <f aca="false">IF(OR(G4226="",G4226="?"),"",IFERROR(INDEX(Pubs!$C$2:$C$3001,MATCH(G4226,Pubs!$A$2:$A$3001,0))&amp;"",""))</f>
        <v/>
      </c>
      <c r="J4226" s="27" t="str">
        <f aca="false">IF(OR(G4226="",G4226="?"),"",IFERROR(INDEX(Pubs!$G$2:$G$3001,MATCH(G4226,Pubs!$A$2:$A$3001,0))&amp;"",""))</f>
        <v/>
      </c>
      <c r="K4226" s="28" t="str">
        <f aca="false">IF(OR(G4226="",G4226="?"),"",IFERROR(INDEX(Pubs!$E$2:$E$3001,MATCH(G4226,Pubs!$A$2:$A$3001,0)),""))</f>
        <v/>
      </c>
      <c r="L4226" s="29" t="str">
        <f aca="false">IF(A4226="","",IFERROR(1/(1/INDEX(Numéros!$C$2:$C$3001,MATCH(A4226&amp;"|"&amp;B4226,Numéros!$F$2:$F$3001,0))),""))</f>
        <v/>
      </c>
      <c r="M4226" s="27" t="str">
        <f aca="false">IF(OR(G4226="",G4226="?"),"",IFERROR(INDEX(Pubs!$D$2:$D$3001,MATCH(G4226,Pubs!$A$2:$A$3001,0))&amp;"",""))</f>
        <v/>
      </c>
      <c r="N4226" s="27" t="n">
        <f aca="false">N(N4225)+IF(AND(A4226&lt;&gt;"",OR(Recherche!$C$4="",A4226=Recherche!$C$4),OR(Recherche!$C$5="",B4226&amp;""=Recherche!$C$5&amp;""),OR(Recherche!$C$6="",IFERROR(YEAR(L4226),0)=Recherche!$C$6),OR(Recherche!$C$7="",ISNUMBER(SEARCH(Recherche!$C$7,H4226))),OR(Recherche!$C$8="",J4226=Recherche!$C$8),OR(Recherche!$C$9="",I4226=Recherche!$C$9),OR(Recherche!$C$10="",G4226&amp;""=Recherche!$C$10&amp;""),OR(Recherche!$C$11="",E4226=Recherche!$C$11),OR(Recherche!$C$12="",ISNUMBER(SEARCH(Recherche!$C$12,M4226&amp;" "&amp;F4226)))),1,0)</f>
        <v>8</v>
      </c>
    </row>
    <row r="4227" customFormat="false" ht="15" hidden="false" customHeight="false" outlineLevel="0" collapsed="false">
      <c r="A4227" s="19"/>
      <c r="B4227" s="19"/>
      <c r="C4227" s="19"/>
      <c r="D4227" s="19"/>
      <c r="E4227" s="22"/>
      <c r="F4227" s="19"/>
      <c r="G4227" s="26" t="str">
        <f aca="false">IF(D4227="","",IFERROR(VALUE(LEFT(D4227,FIND(" |",D4227&amp;" |")-1)),"?"))</f>
        <v/>
      </c>
      <c r="H4227" s="27" t="str">
        <f aca="false">IF(G4227="","",IF(G4227="?","⚠ pub inconnue",IFERROR(INDEX(Pubs!$B$2:$B$3001,MATCH(G4227,Pubs!$A$2:$A$3001,0))&amp;"","⚠ pub inconnue")))</f>
        <v/>
      </c>
      <c r="I4227" s="27" t="str">
        <f aca="false">IF(OR(G4227="",G4227="?"),"",IFERROR(INDEX(Pubs!$C$2:$C$3001,MATCH(G4227,Pubs!$A$2:$A$3001,0))&amp;"",""))</f>
        <v/>
      </c>
      <c r="J4227" s="27" t="str">
        <f aca="false">IF(OR(G4227="",G4227="?"),"",IFERROR(INDEX(Pubs!$G$2:$G$3001,MATCH(G4227,Pubs!$A$2:$A$3001,0))&amp;"",""))</f>
        <v/>
      </c>
      <c r="K4227" s="28" t="str">
        <f aca="false">IF(OR(G4227="",G4227="?"),"",IFERROR(INDEX(Pubs!$E$2:$E$3001,MATCH(G4227,Pubs!$A$2:$A$3001,0)),""))</f>
        <v/>
      </c>
      <c r="L4227" s="29" t="str">
        <f aca="false">IF(A4227="","",IFERROR(1/(1/INDEX(Numéros!$C$2:$C$3001,MATCH(A4227&amp;"|"&amp;B4227,Numéros!$F$2:$F$3001,0))),""))</f>
        <v/>
      </c>
      <c r="M4227" s="27" t="str">
        <f aca="false">IF(OR(G4227="",G4227="?"),"",IFERROR(INDEX(Pubs!$D$2:$D$3001,MATCH(G4227,Pubs!$A$2:$A$3001,0))&amp;"",""))</f>
        <v/>
      </c>
      <c r="N4227" s="27" t="n">
        <f aca="false">N(N4226)+IF(AND(A4227&lt;&gt;"",OR(Recherche!$C$4="",A4227=Recherche!$C$4),OR(Recherche!$C$5="",B4227&amp;""=Recherche!$C$5&amp;""),OR(Recherche!$C$6="",IFERROR(YEAR(L4227),0)=Recherche!$C$6),OR(Recherche!$C$7="",ISNUMBER(SEARCH(Recherche!$C$7,H4227))),OR(Recherche!$C$8="",J4227=Recherche!$C$8),OR(Recherche!$C$9="",I4227=Recherche!$C$9),OR(Recherche!$C$10="",G4227&amp;""=Recherche!$C$10&amp;""),OR(Recherche!$C$11="",E4227=Recherche!$C$11),OR(Recherche!$C$12="",ISNUMBER(SEARCH(Recherche!$C$12,M4227&amp;" "&amp;F4227)))),1,0)</f>
        <v>8</v>
      </c>
    </row>
    <row r="4228" customFormat="false" ht="15" hidden="false" customHeight="false" outlineLevel="0" collapsed="false">
      <c r="A4228" s="19"/>
      <c r="B4228" s="19"/>
      <c r="C4228" s="19"/>
      <c r="D4228" s="19"/>
      <c r="E4228" s="22"/>
      <c r="F4228" s="19"/>
      <c r="G4228" s="26" t="str">
        <f aca="false">IF(D4228="","",IFERROR(VALUE(LEFT(D4228,FIND(" |",D4228&amp;" |")-1)),"?"))</f>
        <v/>
      </c>
      <c r="H4228" s="27" t="str">
        <f aca="false">IF(G4228="","",IF(G4228="?","⚠ pub inconnue",IFERROR(INDEX(Pubs!$B$2:$B$3001,MATCH(G4228,Pubs!$A$2:$A$3001,0))&amp;"","⚠ pub inconnue")))</f>
        <v/>
      </c>
      <c r="I4228" s="27" t="str">
        <f aca="false">IF(OR(G4228="",G4228="?"),"",IFERROR(INDEX(Pubs!$C$2:$C$3001,MATCH(G4228,Pubs!$A$2:$A$3001,0))&amp;"",""))</f>
        <v/>
      </c>
      <c r="J4228" s="27" t="str">
        <f aca="false">IF(OR(G4228="",G4228="?"),"",IFERROR(INDEX(Pubs!$G$2:$G$3001,MATCH(G4228,Pubs!$A$2:$A$3001,0))&amp;"",""))</f>
        <v/>
      </c>
      <c r="K4228" s="28" t="str">
        <f aca="false">IF(OR(G4228="",G4228="?"),"",IFERROR(INDEX(Pubs!$E$2:$E$3001,MATCH(G4228,Pubs!$A$2:$A$3001,0)),""))</f>
        <v/>
      </c>
      <c r="L4228" s="29" t="str">
        <f aca="false">IF(A4228="","",IFERROR(1/(1/INDEX(Numéros!$C$2:$C$3001,MATCH(A4228&amp;"|"&amp;B4228,Numéros!$F$2:$F$3001,0))),""))</f>
        <v/>
      </c>
      <c r="M4228" s="27" t="str">
        <f aca="false">IF(OR(G4228="",G4228="?"),"",IFERROR(INDEX(Pubs!$D$2:$D$3001,MATCH(G4228,Pubs!$A$2:$A$3001,0))&amp;"",""))</f>
        <v/>
      </c>
      <c r="N4228" s="27" t="n">
        <f aca="false">N(N4227)+IF(AND(A4228&lt;&gt;"",OR(Recherche!$C$4="",A4228=Recherche!$C$4),OR(Recherche!$C$5="",B4228&amp;""=Recherche!$C$5&amp;""),OR(Recherche!$C$6="",IFERROR(YEAR(L4228),0)=Recherche!$C$6),OR(Recherche!$C$7="",ISNUMBER(SEARCH(Recherche!$C$7,H4228))),OR(Recherche!$C$8="",J4228=Recherche!$C$8),OR(Recherche!$C$9="",I4228=Recherche!$C$9),OR(Recherche!$C$10="",G4228&amp;""=Recherche!$C$10&amp;""),OR(Recherche!$C$11="",E4228=Recherche!$C$11),OR(Recherche!$C$12="",ISNUMBER(SEARCH(Recherche!$C$12,M4228&amp;" "&amp;F4228)))),1,0)</f>
        <v>8</v>
      </c>
    </row>
    <row r="4229" customFormat="false" ht="15" hidden="false" customHeight="false" outlineLevel="0" collapsed="false">
      <c r="A4229" s="19"/>
      <c r="B4229" s="19"/>
      <c r="C4229" s="19"/>
      <c r="D4229" s="19"/>
      <c r="E4229" s="22"/>
      <c r="F4229" s="19"/>
      <c r="G4229" s="26" t="str">
        <f aca="false">IF(D4229="","",IFERROR(VALUE(LEFT(D4229,FIND(" |",D4229&amp;" |")-1)),"?"))</f>
        <v/>
      </c>
      <c r="H4229" s="27" t="str">
        <f aca="false">IF(G4229="","",IF(G4229="?","⚠ pub inconnue",IFERROR(INDEX(Pubs!$B$2:$B$3001,MATCH(G4229,Pubs!$A$2:$A$3001,0))&amp;"","⚠ pub inconnue")))</f>
        <v/>
      </c>
      <c r="I4229" s="27" t="str">
        <f aca="false">IF(OR(G4229="",G4229="?"),"",IFERROR(INDEX(Pubs!$C$2:$C$3001,MATCH(G4229,Pubs!$A$2:$A$3001,0))&amp;"",""))</f>
        <v/>
      </c>
      <c r="J4229" s="27" t="str">
        <f aca="false">IF(OR(G4229="",G4229="?"),"",IFERROR(INDEX(Pubs!$G$2:$G$3001,MATCH(G4229,Pubs!$A$2:$A$3001,0))&amp;"",""))</f>
        <v/>
      </c>
      <c r="K4229" s="28" t="str">
        <f aca="false">IF(OR(G4229="",G4229="?"),"",IFERROR(INDEX(Pubs!$E$2:$E$3001,MATCH(G4229,Pubs!$A$2:$A$3001,0)),""))</f>
        <v/>
      </c>
      <c r="L4229" s="29" t="str">
        <f aca="false">IF(A4229="","",IFERROR(1/(1/INDEX(Numéros!$C$2:$C$3001,MATCH(A4229&amp;"|"&amp;B4229,Numéros!$F$2:$F$3001,0))),""))</f>
        <v/>
      </c>
      <c r="M4229" s="27" t="str">
        <f aca="false">IF(OR(G4229="",G4229="?"),"",IFERROR(INDEX(Pubs!$D$2:$D$3001,MATCH(G4229,Pubs!$A$2:$A$3001,0))&amp;"",""))</f>
        <v/>
      </c>
      <c r="N4229" s="27" t="n">
        <f aca="false">N(N4228)+IF(AND(A4229&lt;&gt;"",OR(Recherche!$C$4="",A4229=Recherche!$C$4),OR(Recherche!$C$5="",B4229&amp;""=Recherche!$C$5&amp;""),OR(Recherche!$C$6="",IFERROR(YEAR(L4229),0)=Recherche!$C$6),OR(Recherche!$C$7="",ISNUMBER(SEARCH(Recherche!$C$7,H4229))),OR(Recherche!$C$8="",J4229=Recherche!$C$8),OR(Recherche!$C$9="",I4229=Recherche!$C$9),OR(Recherche!$C$10="",G4229&amp;""=Recherche!$C$10&amp;""),OR(Recherche!$C$11="",E4229=Recherche!$C$11),OR(Recherche!$C$12="",ISNUMBER(SEARCH(Recherche!$C$12,M4229&amp;" "&amp;F4229)))),1,0)</f>
        <v>8</v>
      </c>
    </row>
    <row r="4230" customFormat="false" ht="15" hidden="false" customHeight="false" outlineLevel="0" collapsed="false">
      <c r="A4230" s="19"/>
      <c r="B4230" s="19"/>
      <c r="C4230" s="19"/>
      <c r="D4230" s="19"/>
      <c r="E4230" s="22"/>
      <c r="F4230" s="19"/>
      <c r="G4230" s="26" t="str">
        <f aca="false">IF(D4230="","",IFERROR(VALUE(LEFT(D4230,FIND(" |",D4230&amp;" |")-1)),"?"))</f>
        <v/>
      </c>
      <c r="H4230" s="27" t="str">
        <f aca="false">IF(G4230="","",IF(G4230="?","⚠ pub inconnue",IFERROR(INDEX(Pubs!$B$2:$B$3001,MATCH(G4230,Pubs!$A$2:$A$3001,0))&amp;"","⚠ pub inconnue")))</f>
        <v/>
      </c>
      <c r="I4230" s="27" t="str">
        <f aca="false">IF(OR(G4230="",G4230="?"),"",IFERROR(INDEX(Pubs!$C$2:$C$3001,MATCH(G4230,Pubs!$A$2:$A$3001,0))&amp;"",""))</f>
        <v/>
      </c>
      <c r="J4230" s="27" t="str">
        <f aca="false">IF(OR(G4230="",G4230="?"),"",IFERROR(INDEX(Pubs!$G$2:$G$3001,MATCH(G4230,Pubs!$A$2:$A$3001,0))&amp;"",""))</f>
        <v/>
      </c>
      <c r="K4230" s="28" t="str">
        <f aca="false">IF(OR(G4230="",G4230="?"),"",IFERROR(INDEX(Pubs!$E$2:$E$3001,MATCH(G4230,Pubs!$A$2:$A$3001,0)),""))</f>
        <v/>
      </c>
      <c r="L4230" s="29" t="str">
        <f aca="false">IF(A4230="","",IFERROR(1/(1/INDEX(Numéros!$C$2:$C$3001,MATCH(A4230&amp;"|"&amp;B4230,Numéros!$F$2:$F$3001,0))),""))</f>
        <v/>
      </c>
      <c r="M4230" s="27" t="str">
        <f aca="false">IF(OR(G4230="",G4230="?"),"",IFERROR(INDEX(Pubs!$D$2:$D$3001,MATCH(G4230,Pubs!$A$2:$A$3001,0))&amp;"",""))</f>
        <v/>
      </c>
      <c r="N4230" s="27" t="n">
        <f aca="false">N(N4229)+IF(AND(A4230&lt;&gt;"",OR(Recherche!$C$4="",A4230=Recherche!$C$4),OR(Recherche!$C$5="",B4230&amp;""=Recherche!$C$5&amp;""),OR(Recherche!$C$6="",IFERROR(YEAR(L4230),0)=Recherche!$C$6),OR(Recherche!$C$7="",ISNUMBER(SEARCH(Recherche!$C$7,H4230))),OR(Recherche!$C$8="",J4230=Recherche!$C$8),OR(Recherche!$C$9="",I4230=Recherche!$C$9),OR(Recherche!$C$10="",G4230&amp;""=Recherche!$C$10&amp;""),OR(Recherche!$C$11="",E4230=Recherche!$C$11),OR(Recherche!$C$12="",ISNUMBER(SEARCH(Recherche!$C$12,M4230&amp;" "&amp;F4230)))),1,0)</f>
        <v>8</v>
      </c>
    </row>
    <row r="4231" customFormat="false" ht="15" hidden="false" customHeight="false" outlineLevel="0" collapsed="false">
      <c r="A4231" s="19"/>
      <c r="B4231" s="19"/>
      <c r="C4231" s="19"/>
      <c r="D4231" s="19"/>
      <c r="E4231" s="22"/>
      <c r="F4231" s="19"/>
      <c r="G4231" s="26" t="str">
        <f aca="false">IF(D4231="","",IFERROR(VALUE(LEFT(D4231,FIND(" |",D4231&amp;" |")-1)),"?"))</f>
        <v/>
      </c>
      <c r="H4231" s="27" t="str">
        <f aca="false">IF(G4231="","",IF(G4231="?","⚠ pub inconnue",IFERROR(INDEX(Pubs!$B$2:$B$3001,MATCH(G4231,Pubs!$A$2:$A$3001,0))&amp;"","⚠ pub inconnue")))</f>
        <v/>
      </c>
      <c r="I4231" s="27" t="str">
        <f aca="false">IF(OR(G4231="",G4231="?"),"",IFERROR(INDEX(Pubs!$C$2:$C$3001,MATCH(G4231,Pubs!$A$2:$A$3001,0))&amp;"",""))</f>
        <v/>
      </c>
      <c r="J4231" s="27" t="str">
        <f aca="false">IF(OR(G4231="",G4231="?"),"",IFERROR(INDEX(Pubs!$G$2:$G$3001,MATCH(G4231,Pubs!$A$2:$A$3001,0))&amp;"",""))</f>
        <v/>
      </c>
      <c r="K4231" s="28" t="str">
        <f aca="false">IF(OR(G4231="",G4231="?"),"",IFERROR(INDEX(Pubs!$E$2:$E$3001,MATCH(G4231,Pubs!$A$2:$A$3001,0)),""))</f>
        <v/>
      </c>
      <c r="L4231" s="29" t="str">
        <f aca="false">IF(A4231="","",IFERROR(1/(1/INDEX(Numéros!$C$2:$C$3001,MATCH(A4231&amp;"|"&amp;B4231,Numéros!$F$2:$F$3001,0))),""))</f>
        <v/>
      </c>
      <c r="M4231" s="27" t="str">
        <f aca="false">IF(OR(G4231="",G4231="?"),"",IFERROR(INDEX(Pubs!$D$2:$D$3001,MATCH(G4231,Pubs!$A$2:$A$3001,0))&amp;"",""))</f>
        <v/>
      </c>
      <c r="N4231" s="27" t="n">
        <f aca="false">N(N4230)+IF(AND(A4231&lt;&gt;"",OR(Recherche!$C$4="",A4231=Recherche!$C$4),OR(Recherche!$C$5="",B4231&amp;""=Recherche!$C$5&amp;""),OR(Recherche!$C$6="",IFERROR(YEAR(L4231),0)=Recherche!$C$6),OR(Recherche!$C$7="",ISNUMBER(SEARCH(Recherche!$C$7,H4231))),OR(Recherche!$C$8="",J4231=Recherche!$C$8),OR(Recherche!$C$9="",I4231=Recherche!$C$9),OR(Recherche!$C$10="",G4231&amp;""=Recherche!$C$10&amp;""),OR(Recherche!$C$11="",E4231=Recherche!$C$11),OR(Recherche!$C$12="",ISNUMBER(SEARCH(Recherche!$C$12,M4231&amp;" "&amp;F4231)))),1,0)</f>
        <v>8</v>
      </c>
    </row>
    <row r="4232" customFormat="false" ht="15" hidden="false" customHeight="false" outlineLevel="0" collapsed="false">
      <c r="A4232" s="19"/>
      <c r="B4232" s="19"/>
      <c r="C4232" s="19"/>
      <c r="D4232" s="19"/>
      <c r="E4232" s="22"/>
      <c r="F4232" s="19"/>
      <c r="G4232" s="26" t="str">
        <f aca="false">IF(D4232="","",IFERROR(VALUE(LEFT(D4232,FIND(" |",D4232&amp;" |")-1)),"?"))</f>
        <v/>
      </c>
      <c r="H4232" s="27" t="str">
        <f aca="false">IF(G4232="","",IF(G4232="?","⚠ pub inconnue",IFERROR(INDEX(Pubs!$B$2:$B$3001,MATCH(G4232,Pubs!$A$2:$A$3001,0))&amp;"","⚠ pub inconnue")))</f>
        <v/>
      </c>
      <c r="I4232" s="27" t="str">
        <f aca="false">IF(OR(G4232="",G4232="?"),"",IFERROR(INDEX(Pubs!$C$2:$C$3001,MATCH(G4232,Pubs!$A$2:$A$3001,0))&amp;"",""))</f>
        <v/>
      </c>
      <c r="J4232" s="27" t="str">
        <f aca="false">IF(OR(G4232="",G4232="?"),"",IFERROR(INDEX(Pubs!$G$2:$G$3001,MATCH(G4232,Pubs!$A$2:$A$3001,0))&amp;"",""))</f>
        <v/>
      </c>
      <c r="K4232" s="28" t="str">
        <f aca="false">IF(OR(G4232="",G4232="?"),"",IFERROR(INDEX(Pubs!$E$2:$E$3001,MATCH(G4232,Pubs!$A$2:$A$3001,0)),""))</f>
        <v/>
      </c>
      <c r="L4232" s="29" t="str">
        <f aca="false">IF(A4232="","",IFERROR(1/(1/INDEX(Numéros!$C$2:$C$3001,MATCH(A4232&amp;"|"&amp;B4232,Numéros!$F$2:$F$3001,0))),""))</f>
        <v/>
      </c>
      <c r="M4232" s="27" t="str">
        <f aca="false">IF(OR(G4232="",G4232="?"),"",IFERROR(INDEX(Pubs!$D$2:$D$3001,MATCH(G4232,Pubs!$A$2:$A$3001,0))&amp;"",""))</f>
        <v/>
      </c>
      <c r="N4232" s="27" t="n">
        <f aca="false">N(N4231)+IF(AND(A4232&lt;&gt;"",OR(Recherche!$C$4="",A4232=Recherche!$C$4),OR(Recherche!$C$5="",B4232&amp;""=Recherche!$C$5&amp;""),OR(Recherche!$C$6="",IFERROR(YEAR(L4232),0)=Recherche!$C$6),OR(Recherche!$C$7="",ISNUMBER(SEARCH(Recherche!$C$7,H4232))),OR(Recherche!$C$8="",J4232=Recherche!$C$8),OR(Recherche!$C$9="",I4232=Recherche!$C$9),OR(Recherche!$C$10="",G4232&amp;""=Recherche!$C$10&amp;""),OR(Recherche!$C$11="",E4232=Recherche!$C$11),OR(Recherche!$C$12="",ISNUMBER(SEARCH(Recherche!$C$12,M4232&amp;" "&amp;F4232)))),1,0)</f>
        <v>8</v>
      </c>
    </row>
    <row r="4233" customFormat="false" ht="15" hidden="false" customHeight="false" outlineLevel="0" collapsed="false">
      <c r="A4233" s="19"/>
      <c r="B4233" s="19"/>
      <c r="C4233" s="19"/>
      <c r="D4233" s="19"/>
      <c r="E4233" s="22"/>
      <c r="F4233" s="19"/>
      <c r="G4233" s="26" t="str">
        <f aca="false">IF(D4233="","",IFERROR(VALUE(LEFT(D4233,FIND(" |",D4233&amp;" |")-1)),"?"))</f>
        <v/>
      </c>
      <c r="H4233" s="27" t="str">
        <f aca="false">IF(G4233="","",IF(G4233="?","⚠ pub inconnue",IFERROR(INDEX(Pubs!$B$2:$B$3001,MATCH(G4233,Pubs!$A$2:$A$3001,0))&amp;"","⚠ pub inconnue")))</f>
        <v/>
      </c>
      <c r="I4233" s="27" t="str">
        <f aca="false">IF(OR(G4233="",G4233="?"),"",IFERROR(INDEX(Pubs!$C$2:$C$3001,MATCH(G4233,Pubs!$A$2:$A$3001,0))&amp;"",""))</f>
        <v/>
      </c>
      <c r="J4233" s="27" t="str">
        <f aca="false">IF(OR(G4233="",G4233="?"),"",IFERROR(INDEX(Pubs!$G$2:$G$3001,MATCH(G4233,Pubs!$A$2:$A$3001,0))&amp;"",""))</f>
        <v/>
      </c>
      <c r="K4233" s="28" t="str">
        <f aca="false">IF(OR(G4233="",G4233="?"),"",IFERROR(INDEX(Pubs!$E$2:$E$3001,MATCH(G4233,Pubs!$A$2:$A$3001,0)),""))</f>
        <v/>
      </c>
      <c r="L4233" s="29" t="str">
        <f aca="false">IF(A4233="","",IFERROR(1/(1/INDEX(Numéros!$C$2:$C$3001,MATCH(A4233&amp;"|"&amp;B4233,Numéros!$F$2:$F$3001,0))),""))</f>
        <v/>
      </c>
      <c r="M4233" s="27" t="str">
        <f aca="false">IF(OR(G4233="",G4233="?"),"",IFERROR(INDEX(Pubs!$D$2:$D$3001,MATCH(G4233,Pubs!$A$2:$A$3001,0))&amp;"",""))</f>
        <v/>
      </c>
      <c r="N4233" s="27" t="n">
        <f aca="false">N(N4232)+IF(AND(A4233&lt;&gt;"",OR(Recherche!$C$4="",A4233=Recherche!$C$4),OR(Recherche!$C$5="",B4233&amp;""=Recherche!$C$5&amp;""),OR(Recherche!$C$6="",IFERROR(YEAR(L4233),0)=Recherche!$C$6),OR(Recherche!$C$7="",ISNUMBER(SEARCH(Recherche!$C$7,H4233))),OR(Recherche!$C$8="",J4233=Recherche!$C$8),OR(Recherche!$C$9="",I4233=Recherche!$C$9),OR(Recherche!$C$10="",G4233&amp;""=Recherche!$C$10&amp;""),OR(Recherche!$C$11="",E4233=Recherche!$C$11),OR(Recherche!$C$12="",ISNUMBER(SEARCH(Recherche!$C$12,M4233&amp;" "&amp;F4233)))),1,0)</f>
        <v>8</v>
      </c>
    </row>
    <row r="4234" customFormat="false" ht="15" hidden="false" customHeight="false" outlineLevel="0" collapsed="false">
      <c r="A4234" s="19"/>
      <c r="B4234" s="19"/>
      <c r="C4234" s="19"/>
      <c r="D4234" s="19"/>
      <c r="E4234" s="22"/>
      <c r="F4234" s="19"/>
      <c r="G4234" s="26" t="str">
        <f aca="false">IF(D4234="","",IFERROR(VALUE(LEFT(D4234,FIND(" |",D4234&amp;" |")-1)),"?"))</f>
        <v/>
      </c>
      <c r="H4234" s="27" t="str">
        <f aca="false">IF(G4234="","",IF(G4234="?","⚠ pub inconnue",IFERROR(INDEX(Pubs!$B$2:$B$3001,MATCH(G4234,Pubs!$A$2:$A$3001,0))&amp;"","⚠ pub inconnue")))</f>
        <v/>
      </c>
      <c r="I4234" s="27" t="str">
        <f aca="false">IF(OR(G4234="",G4234="?"),"",IFERROR(INDEX(Pubs!$C$2:$C$3001,MATCH(G4234,Pubs!$A$2:$A$3001,0))&amp;"",""))</f>
        <v/>
      </c>
      <c r="J4234" s="27" t="str">
        <f aca="false">IF(OR(G4234="",G4234="?"),"",IFERROR(INDEX(Pubs!$G$2:$G$3001,MATCH(G4234,Pubs!$A$2:$A$3001,0))&amp;"",""))</f>
        <v/>
      </c>
      <c r="K4234" s="28" t="str">
        <f aca="false">IF(OR(G4234="",G4234="?"),"",IFERROR(INDEX(Pubs!$E$2:$E$3001,MATCH(G4234,Pubs!$A$2:$A$3001,0)),""))</f>
        <v/>
      </c>
      <c r="L4234" s="29" t="str">
        <f aca="false">IF(A4234="","",IFERROR(1/(1/INDEX(Numéros!$C$2:$C$3001,MATCH(A4234&amp;"|"&amp;B4234,Numéros!$F$2:$F$3001,0))),""))</f>
        <v/>
      </c>
      <c r="M4234" s="27" t="str">
        <f aca="false">IF(OR(G4234="",G4234="?"),"",IFERROR(INDEX(Pubs!$D$2:$D$3001,MATCH(G4234,Pubs!$A$2:$A$3001,0))&amp;"",""))</f>
        <v/>
      </c>
      <c r="N4234" s="27" t="n">
        <f aca="false">N(N4233)+IF(AND(A4234&lt;&gt;"",OR(Recherche!$C$4="",A4234=Recherche!$C$4),OR(Recherche!$C$5="",B4234&amp;""=Recherche!$C$5&amp;""),OR(Recherche!$C$6="",IFERROR(YEAR(L4234),0)=Recherche!$C$6),OR(Recherche!$C$7="",ISNUMBER(SEARCH(Recherche!$C$7,H4234))),OR(Recherche!$C$8="",J4234=Recherche!$C$8),OR(Recherche!$C$9="",I4234=Recherche!$C$9),OR(Recherche!$C$10="",G4234&amp;""=Recherche!$C$10&amp;""),OR(Recherche!$C$11="",E4234=Recherche!$C$11),OR(Recherche!$C$12="",ISNUMBER(SEARCH(Recherche!$C$12,M4234&amp;" "&amp;F4234)))),1,0)</f>
        <v>8</v>
      </c>
    </row>
    <row r="4235" customFormat="false" ht="15" hidden="false" customHeight="false" outlineLevel="0" collapsed="false">
      <c r="A4235" s="19"/>
      <c r="B4235" s="19"/>
      <c r="C4235" s="19"/>
      <c r="D4235" s="19"/>
      <c r="E4235" s="22"/>
      <c r="F4235" s="19"/>
      <c r="G4235" s="26" t="str">
        <f aca="false">IF(D4235="","",IFERROR(VALUE(LEFT(D4235,FIND(" |",D4235&amp;" |")-1)),"?"))</f>
        <v/>
      </c>
      <c r="H4235" s="27" t="str">
        <f aca="false">IF(G4235="","",IF(G4235="?","⚠ pub inconnue",IFERROR(INDEX(Pubs!$B$2:$B$3001,MATCH(G4235,Pubs!$A$2:$A$3001,0))&amp;"","⚠ pub inconnue")))</f>
        <v/>
      </c>
      <c r="I4235" s="27" t="str">
        <f aca="false">IF(OR(G4235="",G4235="?"),"",IFERROR(INDEX(Pubs!$C$2:$C$3001,MATCH(G4235,Pubs!$A$2:$A$3001,0))&amp;"",""))</f>
        <v/>
      </c>
      <c r="J4235" s="27" t="str">
        <f aca="false">IF(OR(G4235="",G4235="?"),"",IFERROR(INDEX(Pubs!$G$2:$G$3001,MATCH(G4235,Pubs!$A$2:$A$3001,0))&amp;"",""))</f>
        <v/>
      </c>
      <c r="K4235" s="28" t="str">
        <f aca="false">IF(OR(G4235="",G4235="?"),"",IFERROR(INDEX(Pubs!$E$2:$E$3001,MATCH(G4235,Pubs!$A$2:$A$3001,0)),""))</f>
        <v/>
      </c>
      <c r="L4235" s="29" t="str">
        <f aca="false">IF(A4235="","",IFERROR(1/(1/INDEX(Numéros!$C$2:$C$3001,MATCH(A4235&amp;"|"&amp;B4235,Numéros!$F$2:$F$3001,0))),""))</f>
        <v/>
      </c>
      <c r="M4235" s="27" t="str">
        <f aca="false">IF(OR(G4235="",G4235="?"),"",IFERROR(INDEX(Pubs!$D$2:$D$3001,MATCH(G4235,Pubs!$A$2:$A$3001,0))&amp;"",""))</f>
        <v/>
      </c>
      <c r="N4235" s="27" t="n">
        <f aca="false">N(N4234)+IF(AND(A4235&lt;&gt;"",OR(Recherche!$C$4="",A4235=Recherche!$C$4),OR(Recherche!$C$5="",B4235&amp;""=Recherche!$C$5&amp;""),OR(Recherche!$C$6="",IFERROR(YEAR(L4235),0)=Recherche!$C$6),OR(Recherche!$C$7="",ISNUMBER(SEARCH(Recherche!$C$7,H4235))),OR(Recherche!$C$8="",J4235=Recherche!$C$8),OR(Recherche!$C$9="",I4235=Recherche!$C$9),OR(Recherche!$C$10="",G4235&amp;""=Recherche!$C$10&amp;""),OR(Recherche!$C$11="",E4235=Recherche!$C$11),OR(Recherche!$C$12="",ISNUMBER(SEARCH(Recherche!$C$12,M4235&amp;" "&amp;F4235)))),1,0)</f>
        <v>8</v>
      </c>
    </row>
    <row r="4236" customFormat="false" ht="15" hidden="false" customHeight="false" outlineLevel="0" collapsed="false">
      <c r="A4236" s="19"/>
      <c r="B4236" s="19"/>
      <c r="C4236" s="19"/>
      <c r="D4236" s="19"/>
      <c r="E4236" s="22"/>
      <c r="F4236" s="19"/>
      <c r="G4236" s="26" t="str">
        <f aca="false">IF(D4236="","",IFERROR(VALUE(LEFT(D4236,FIND(" |",D4236&amp;" |")-1)),"?"))</f>
        <v/>
      </c>
      <c r="H4236" s="27" t="str">
        <f aca="false">IF(G4236="","",IF(G4236="?","⚠ pub inconnue",IFERROR(INDEX(Pubs!$B$2:$B$3001,MATCH(G4236,Pubs!$A$2:$A$3001,0))&amp;"","⚠ pub inconnue")))</f>
        <v/>
      </c>
      <c r="I4236" s="27" t="str">
        <f aca="false">IF(OR(G4236="",G4236="?"),"",IFERROR(INDEX(Pubs!$C$2:$C$3001,MATCH(G4236,Pubs!$A$2:$A$3001,0))&amp;"",""))</f>
        <v/>
      </c>
      <c r="J4236" s="27" t="str">
        <f aca="false">IF(OR(G4236="",G4236="?"),"",IFERROR(INDEX(Pubs!$G$2:$G$3001,MATCH(G4236,Pubs!$A$2:$A$3001,0))&amp;"",""))</f>
        <v/>
      </c>
      <c r="K4236" s="28" t="str">
        <f aca="false">IF(OR(G4236="",G4236="?"),"",IFERROR(INDEX(Pubs!$E$2:$E$3001,MATCH(G4236,Pubs!$A$2:$A$3001,0)),""))</f>
        <v/>
      </c>
      <c r="L4236" s="29" t="str">
        <f aca="false">IF(A4236="","",IFERROR(1/(1/INDEX(Numéros!$C$2:$C$3001,MATCH(A4236&amp;"|"&amp;B4236,Numéros!$F$2:$F$3001,0))),""))</f>
        <v/>
      </c>
      <c r="M4236" s="27" t="str">
        <f aca="false">IF(OR(G4236="",G4236="?"),"",IFERROR(INDEX(Pubs!$D$2:$D$3001,MATCH(G4236,Pubs!$A$2:$A$3001,0))&amp;"",""))</f>
        <v/>
      </c>
      <c r="N4236" s="27" t="n">
        <f aca="false">N(N4235)+IF(AND(A4236&lt;&gt;"",OR(Recherche!$C$4="",A4236=Recherche!$C$4),OR(Recherche!$C$5="",B4236&amp;""=Recherche!$C$5&amp;""),OR(Recherche!$C$6="",IFERROR(YEAR(L4236),0)=Recherche!$C$6),OR(Recherche!$C$7="",ISNUMBER(SEARCH(Recherche!$C$7,H4236))),OR(Recherche!$C$8="",J4236=Recherche!$C$8),OR(Recherche!$C$9="",I4236=Recherche!$C$9),OR(Recherche!$C$10="",G4236&amp;""=Recherche!$C$10&amp;""),OR(Recherche!$C$11="",E4236=Recherche!$C$11),OR(Recherche!$C$12="",ISNUMBER(SEARCH(Recherche!$C$12,M4236&amp;" "&amp;F4236)))),1,0)</f>
        <v>8</v>
      </c>
    </row>
    <row r="4237" customFormat="false" ht="15" hidden="false" customHeight="false" outlineLevel="0" collapsed="false">
      <c r="A4237" s="19"/>
      <c r="B4237" s="19"/>
      <c r="C4237" s="19"/>
      <c r="D4237" s="19"/>
      <c r="E4237" s="22"/>
      <c r="F4237" s="19"/>
      <c r="G4237" s="26" t="str">
        <f aca="false">IF(D4237="","",IFERROR(VALUE(LEFT(D4237,FIND(" |",D4237&amp;" |")-1)),"?"))</f>
        <v/>
      </c>
      <c r="H4237" s="27" t="str">
        <f aca="false">IF(G4237="","",IF(G4237="?","⚠ pub inconnue",IFERROR(INDEX(Pubs!$B$2:$B$3001,MATCH(G4237,Pubs!$A$2:$A$3001,0))&amp;"","⚠ pub inconnue")))</f>
        <v/>
      </c>
      <c r="I4237" s="27" t="str">
        <f aca="false">IF(OR(G4237="",G4237="?"),"",IFERROR(INDEX(Pubs!$C$2:$C$3001,MATCH(G4237,Pubs!$A$2:$A$3001,0))&amp;"",""))</f>
        <v/>
      </c>
      <c r="J4237" s="27" t="str">
        <f aca="false">IF(OR(G4237="",G4237="?"),"",IFERROR(INDEX(Pubs!$G$2:$G$3001,MATCH(G4237,Pubs!$A$2:$A$3001,0))&amp;"",""))</f>
        <v/>
      </c>
      <c r="K4237" s="28" t="str">
        <f aca="false">IF(OR(G4237="",G4237="?"),"",IFERROR(INDEX(Pubs!$E$2:$E$3001,MATCH(G4237,Pubs!$A$2:$A$3001,0)),""))</f>
        <v/>
      </c>
      <c r="L4237" s="29" t="str">
        <f aca="false">IF(A4237="","",IFERROR(1/(1/INDEX(Numéros!$C$2:$C$3001,MATCH(A4237&amp;"|"&amp;B4237,Numéros!$F$2:$F$3001,0))),""))</f>
        <v/>
      </c>
      <c r="M4237" s="27" t="str">
        <f aca="false">IF(OR(G4237="",G4237="?"),"",IFERROR(INDEX(Pubs!$D$2:$D$3001,MATCH(G4237,Pubs!$A$2:$A$3001,0))&amp;"",""))</f>
        <v/>
      </c>
      <c r="N4237" s="27" t="n">
        <f aca="false">N(N4236)+IF(AND(A4237&lt;&gt;"",OR(Recherche!$C$4="",A4237=Recherche!$C$4),OR(Recherche!$C$5="",B4237&amp;""=Recherche!$C$5&amp;""),OR(Recherche!$C$6="",IFERROR(YEAR(L4237),0)=Recherche!$C$6),OR(Recherche!$C$7="",ISNUMBER(SEARCH(Recherche!$C$7,H4237))),OR(Recherche!$C$8="",J4237=Recherche!$C$8),OR(Recherche!$C$9="",I4237=Recherche!$C$9),OR(Recherche!$C$10="",G4237&amp;""=Recherche!$C$10&amp;""),OR(Recherche!$C$11="",E4237=Recherche!$C$11),OR(Recherche!$C$12="",ISNUMBER(SEARCH(Recherche!$C$12,M4237&amp;" "&amp;F4237)))),1,0)</f>
        <v>8</v>
      </c>
    </row>
    <row r="4238" customFormat="false" ht="15" hidden="false" customHeight="false" outlineLevel="0" collapsed="false">
      <c r="A4238" s="19"/>
      <c r="B4238" s="19"/>
      <c r="C4238" s="19"/>
      <c r="D4238" s="19"/>
      <c r="E4238" s="22"/>
      <c r="F4238" s="19"/>
      <c r="G4238" s="26" t="str">
        <f aca="false">IF(D4238="","",IFERROR(VALUE(LEFT(D4238,FIND(" |",D4238&amp;" |")-1)),"?"))</f>
        <v/>
      </c>
      <c r="H4238" s="27" t="str">
        <f aca="false">IF(G4238="","",IF(G4238="?","⚠ pub inconnue",IFERROR(INDEX(Pubs!$B$2:$B$3001,MATCH(G4238,Pubs!$A$2:$A$3001,0))&amp;"","⚠ pub inconnue")))</f>
        <v/>
      </c>
      <c r="I4238" s="27" t="str">
        <f aca="false">IF(OR(G4238="",G4238="?"),"",IFERROR(INDEX(Pubs!$C$2:$C$3001,MATCH(G4238,Pubs!$A$2:$A$3001,0))&amp;"",""))</f>
        <v/>
      </c>
      <c r="J4238" s="27" t="str">
        <f aca="false">IF(OR(G4238="",G4238="?"),"",IFERROR(INDEX(Pubs!$G$2:$G$3001,MATCH(G4238,Pubs!$A$2:$A$3001,0))&amp;"",""))</f>
        <v/>
      </c>
      <c r="K4238" s="28" t="str">
        <f aca="false">IF(OR(G4238="",G4238="?"),"",IFERROR(INDEX(Pubs!$E$2:$E$3001,MATCH(G4238,Pubs!$A$2:$A$3001,0)),""))</f>
        <v/>
      </c>
      <c r="L4238" s="29" t="str">
        <f aca="false">IF(A4238="","",IFERROR(1/(1/INDEX(Numéros!$C$2:$C$3001,MATCH(A4238&amp;"|"&amp;B4238,Numéros!$F$2:$F$3001,0))),""))</f>
        <v/>
      </c>
      <c r="M4238" s="27" t="str">
        <f aca="false">IF(OR(G4238="",G4238="?"),"",IFERROR(INDEX(Pubs!$D$2:$D$3001,MATCH(G4238,Pubs!$A$2:$A$3001,0))&amp;"",""))</f>
        <v/>
      </c>
      <c r="N4238" s="27" t="n">
        <f aca="false">N(N4237)+IF(AND(A4238&lt;&gt;"",OR(Recherche!$C$4="",A4238=Recherche!$C$4),OR(Recherche!$C$5="",B4238&amp;""=Recherche!$C$5&amp;""),OR(Recherche!$C$6="",IFERROR(YEAR(L4238),0)=Recherche!$C$6),OR(Recherche!$C$7="",ISNUMBER(SEARCH(Recherche!$C$7,H4238))),OR(Recherche!$C$8="",J4238=Recherche!$C$8),OR(Recherche!$C$9="",I4238=Recherche!$C$9),OR(Recherche!$C$10="",G4238&amp;""=Recherche!$C$10&amp;""),OR(Recherche!$C$11="",E4238=Recherche!$C$11),OR(Recherche!$C$12="",ISNUMBER(SEARCH(Recherche!$C$12,M4238&amp;" "&amp;F4238)))),1,0)</f>
        <v>8</v>
      </c>
    </row>
    <row r="4239" customFormat="false" ht="15" hidden="false" customHeight="false" outlineLevel="0" collapsed="false">
      <c r="A4239" s="19"/>
      <c r="B4239" s="19"/>
      <c r="C4239" s="19"/>
      <c r="D4239" s="19"/>
      <c r="E4239" s="22"/>
      <c r="F4239" s="19"/>
      <c r="G4239" s="26" t="str">
        <f aca="false">IF(D4239="","",IFERROR(VALUE(LEFT(D4239,FIND(" |",D4239&amp;" |")-1)),"?"))</f>
        <v/>
      </c>
      <c r="H4239" s="27" t="str">
        <f aca="false">IF(G4239="","",IF(G4239="?","⚠ pub inconnue",IFERROR(INDEX(Pubs!$B$2:$B$3001,MATCH(G4239,Pubs!$A$2:$A$3001,0))&amp;"","⚠ pub inconnue")))</f>
        <v/>
      </c>
      <c r="I4239" s="27" t="str">
        <f aca="false">IF(OR(G4239="",G4239="?"),"",IFERROR(INDEX(Pubs!$C$2:$C$3001,MATCH(G4239,Pubs!$A$2:$A$3001,0))&amp;"",""))</f>
        <v/>
      </c>
      <c r="J4239" s="27" t="str">
        <f aca="false">IF(OR(G4239="",G4239="?"),"",IFERROR(INDEX(Pubs!$G$2:$G$3001,MATCH(G4239,Pubs!$A$2:$A$3001,0))&amp;"",""))</f>
        <v/>
      </c>
      <c r="K4239" s="28" t="str">
        <f aca="false">IF(OR(G4239="",G4239="?"),"",IFERROR(INDEX(Pubs!$E$2:$E$3001,MATCH(G4239,Pubs!$A$2:$A$3001,0)),""))</f>
        <v/>
      </c>
      <c r="L4239" s="29" t="str">
        <f aca="false">IF(A4239="","",IFERROR(1/(1/INDEX(Numéros!$C$2:$C$3001,MATCH(A4239&amp;"|"&amp;B4239,Numéros!$F$2:$F$3001,0))),""))</f>
        <v/>
      </c>
      <c r="M4239" s="27" t="str">
        <f aca="false">IF(OR(G4239="",G4239="?"),"",IFERROR(INDEX(Pubs!$D$2:$D$3001,MATCH(G4239,Pubs!$A$2:$A$3001,0))&amp;"",""))</f>
        <v/>
      </c>
      <c r="N4239" s="27" t="n">
        <f aca="false">N(N4238)+IF(AND(A4239&lt;&gt;"",OR(Recherche!$C$4="",A4239=Recherche!$C$4),OR(Recherche!$C$5="",B4239&amp;""=Recherche!$C$5&amp;""),OR(Recherche!$C$6="",IFERROR(YEAR(L4239),0)=Recherche!$C$6),OR(Recherche!$C$7="",ISNUMBER(SEARCH(Recherche!$C$7,H4239))),OR(Recherche!$C$8="",J4239=Recherche!$C$8),OR(Recherche!$C$9="",I4239=Recherche!$C$9),OR(Recherche!$C$10="",G4239&amp;""=Recherche!$C$10&amp;""),OR(Recherche!$C$11="",E4239=Recherche!$C$11),OR(Recherche!$C$12="",ISNUMBER(SEARCH(Recherche!$C$12,M4239&amp;" "&amp;F4239)))),1,0)</f>
        <v>8</v>
      </c>
    </row>
    <row r="4240" customFormat="false" ht="15" hidden="false" customHeight="false" outlineLevel="0" collapsed="false">
      <c r="A4240" s="19"/>
      <c r="B4240" s="19"/>
      <c r="C4240" s="19"/>
      <c r="D4240" s="19"/>
      <c r="E4240" s="22"/>
      <c r="F4240" s="19"/>
      <c r="G4240" s="26" t="str">
        <f aca="false">IF(D4240="","",IFERROR(VALUE(LEFT(D4240,FIND(" |",D4240&amp;" |")-1)),"?"))</f>
        <v/>
      </c>
      <c r="H4240" s="27" t="str">
        <f aca="false">IF(G4240="","",IF(G4240="?","⚠ pub inconnue",IFERROR(INDEX(Pubs!$B$2:$B$3001,MATCH(G4240,Pubs!$A$2:$A$3001,0))&amp;"","⚠ pub inconnue")))</f>
        <v/>
      </c>
      <c r="I4240" s="27" t="str">
        <f aca="false">IF(OR(G4240="",G4240="?"),"",IFERROR(INDEX(Pubs!$C$2:$C$3001,MATCH(G4240,Pubs!$A$2:$A$3001,0))&amp;"",""))</f>
        <v/>
      </c>
      <c r="J4240" s="27" t="str">
        <f aca="false">IF(OR(G4240="",G4240="?"),"",IFERROR(INDEX(Pubs!$G$2:$G$3001,MATCH(G4240,Pubs!$A$2:$A$3001,0))&amp;"",""))</f>
        <v/>
      </c>
      <c r="K4240" s="28" t="str">
        <f aca="false">IF(OR(G4240="",G4240="?"),"",IFERROR(INDEX(Pubs!$E$2:$E$3001,MATCH(G4240,Pubs!$A$2:$A$3001,0)),""))</f>
        <v/>
      </c>
      <c r="L4240" s="29" t="str">
        <f aca="false">IF(A4240="","",IFERROR(1/(1/INDEX(Numéros!$C$2:$C$3001,MATCH(A4240&amp;"|"&amp;B4240,Numéros!$F$2:$F$3001,0))),""))</f>
        <v/>
      </c>
      <c r="M4240" s="27" t="str">
        <f aca="false">IF(OR(G4240="",G4240="?"),"",IFERROR(INDEX(Pubs!$D$2:$D$3001,MATCH(G4240,Pubs!$A$2:$A$3001,0))&amp;"",""))</f>
        <v/>
      </c>
      <c r="N4240" s="27" t="n">
        <f aca="false">N(N4239)+IF(AND(A4240&lt;&gt;"",OR(Recherche!$C$4="",A4240=Recherche!$C$4),OR(Recherche!$C$5="",B4240&amp;""=Recherche!$C$5&amp;""),OR(Recherche!$C$6="",IFERROR(YEAR(L4240),0)=Recherche!$C$6),OR(Recherche!$C$7="",ISNUMBER(SEARCH(Recherche!$C$7,H4240))),OR(Recherche!$C$8="",J4240=Recherche!$C$8),OR(Recherche!$C$9="",I4240=Recherche!$C$9),OR(Recherche!$C$10="",G4240&amp;""=Recherche!$C$10&amp;""),OR(Recherche!$C$11="",E4240=Recherche!$C$11),OR(Recherche!$C$12="",ISNUMBER(SEARCH(Recherche!$C$12,M4240&amp;" "&amp;F4240)))),1,0)</f>
        <v>8</v>
      </c>
    </row>
    <row r="4241" customFormat="false" ht="15" hidden="false" customHeight="false" outlineLevel="0" collapsed="false">
      <c r="A4241" s="19"/>
      <c r="B4241" s="19"/>
      <c r="C4241" s="19"/>
      <c r="D4241" s="19"/>
      <c r="E4241" s="22"/>
      <c r="F4241" s="19"/>
      <c r="G4241" s="26" t="str">
        <f aca="false">IF(D4241="","",IFERROR(VALUE(LEFT(D4241,FIND(" |",D4241&amp;" |")-1)),"?"))</f>
        <v/>
      </c>
      <c r="H4241" s="27" t="str">
        <f aca="false">IF(G4241="","",IF(G4241="?","⚠ pub inconnue",IFERROR(INDEX(Pubs!$B$2:$B$3001,MATCH(G4241,Pubs!$A$2:$A$3001,0))&amp;"","⚠ pub inconnue")))</f>
        <v/>
      </c>
      <c r="I4241" s="27" t="str">
        <f aca="false">IF(OR(G4241="",G4241="?"),"",IFERROR(INDEX(Pubs!$C$2:$C$3001,MATCH(G4241,Pubs!$A$2:$A$3001,0))&amp;"",""))</f>
        <v/>
      </c>
      <c r="J4241" s="27" t="str">
        <f aca="false">IF(OR(G4241="",G4241="?"),"",IFERROR(INDEX(Pubs!$G$2:$G$3001,MATCH(G4241,Pubs!$A$2:$A$3001,0))&amp;"",""))</f>
        <v/>
      </c>
      <c r="K4241" s="28" t="str">
        <f aca="false">IF(OR(G4241="",G4241="?"),"",IFERROR(INDEX(Pubs!$E$2:$E$3001,MATCH(G4241,Pubs!$A$2:$A$3001,0)),""))</f>
        <v/>
      </c>
      <c r="L4241" s="29" t="str">
        <f aca="false">IF(A4241="","",IFERROR(1/(1/INDEX(Numéros!$C$2:$C$3001,MATCH(A4241&amp;"|"&amp;B4241,Numéros!$F$2:$F$3001,0))),""))</f>
        <v/>
      </c>
      <c r="M4241" s="27" t="str">
        <f aca="false">IF(OR(G4241="",G4241="?"),"",IFERROR(INDEX(Pubs!$D$2:$D$3001,MATCH(G4241,Pubs!$A$2:$A$3001,0))&amp;"",""))</f>
        <v/>
      </c>
      <c r="N4241" s="27" t="n">
        <f aca="false">N(N4240)+IF(AND(A4241&lt;&gt;"",OR(Recherche!$C$4="",A4241=Recherche!$C$4),OR(Recherche!$C$5="",B4241&amp;""=Recherche!$C$5&amp;""),OR(Recherche!$C$6="",IFERROR(YEAR(L4241),0)=Recherche!$C$6),OR(Recherche!$C$7="",ISNUMBER(SEARCH(Recherche!$C$7,H4241))),OR(Recherche!$C$8="",J4241=Recherche!$C$8),OR(Recherche!$C$9="",I4241=Recherche!$C$9),OR(Recherche!$C$10="",G4241&amp;""=Recherche!$C$10&amp;""),OR(Recherche!$C$11="",E4241=Recherche!$C$11),OR(Recherche!$C$12="",ISNUMBER(SEARCH(Recherche!$C$12,M4241&amp;" "&amp;F4241)))),1,0)</f>
        <v>8</v>
      </c>
    </row>
    <row r="4242" customFormat="false" ht="15" hidden="false" customHeight="false" outlineLevel="0" collapsed="false">
      <c r="A4242" s="19"/>
      <c r="B4242" s="19"/>
      <c r="C4242" s="19"/>
      <c r="D4242" s="19"/>
      <c r="E4242" s="22"/>
      <c r="F4242" s="19"/>
      <c r="G4242" s="26" t="str">
        <f aca="false">IF(D4242="","",IFERROR(VALUE(LEFT(D4242,FIND(" |",D4242&amp;" |")-1)),"?"))</f>
        <v/>
      </c>
      <c r="H4242" s="27" t="str">
        <f aca="false">IF(G4242="","",IF(G4242="?","⚠ pub inconnue",IFERROR(INDEX(Pubs!$B$2:$B$3001,MATCH(G4242,Pubs!$A$2:$A$3001,0))&amp;"","⚠ pub inconnue")))</f>
        <v/>
      </c>
      <c r="I4242" s="27" t="str">
        <f aca="false">IF(OR(G4242="",G4242="?"),"",IFERROR(INDEX(Pubs!$C$2:$C$3001,MATCH(G4242,Pubs!$A$2:$A$3001,0))&amp;"",""))</f>
        <v/>
      </c>
      <c r="J4242" s="27" t="str">
        <f aca="false">IF(OR(G4242="",G4242="?"),"",IFERROR(INDEX(Pubs!$G$2:$G$3001,MATCH(G4242,Pubs!$A$2:$A$3001,0))&amp;"",""))</f>
        <v/>
      </c>
      <c r="K4242" s="28" t="str">
        <f aca="false">IF(OR(G4242="",G4242="?"),"",IFERROR(INDEX(Pubs!$E$2:$E$3001,MATCH(G4242,Pubs!$A$2:$A$3001,0)),""))</f>
        <v/>
      </c>
      <c r="L4242" s="29" t="str">
        <f aca="false">IF(A4242="","",IFERROR(1/(1/INDEX(Numéros!$C$2:$C$3001,MATCH(A4242&amp;"|"&amp;B4242,Numéros!$F$2:$F$3001,0))),""))</f>
        <v/>
      </c>
      <c r="M4242" s="27" t="str">
        <f aca="false">IF(OR(G4242="",G4242="?"),"",IFERROR(INDEX(Pubs!$D$2:$D$3001,MATCH(G4242,Pubs!$A$2:$A$3001,0))&amp;"",""))</f>
        <v/>
      </c>
      <c r="N4242" s="27" t="n">
        <f aca="false">N(N4241)+IF(AND(A4242&lt;&gt;"",OR(Recherche!$C$4="",A4242=Recherche!$C$4),OR(Recherche!$C$5="",B4242&amp;""=Recherche!$C$5&amp;""),OR(Recherche!$C$6="",IFERROR(YEAR(L4242),0)=Recherche!$C$6),OR(Recherche!$C$7="",ISNUMBER(SEARCH(Recherche!$C$7,H4242))),OR(Recherche!$C$8="",J4242=Recherche!$C$8),OR(Recherche!$C$9="",I4242=Recherche!$C$9),OR(Recherche!$C$10="",G4242&amp;""=Recherche!$C$10&amp;""),OR(Recherche!$C$11="",E4242=Recherche!$C$11),OR(Recherche!$C$12="",ISNUMBER(SEARCH(Recherche!$C$12,M4242&amp;" "&amp;F4242)))),1,0)</f>
        <v>8</v>
      </c>
    </row>
    <row r="4243" customFormat="false" ht="15" hidden="false" customHeight="false" outlineLevel="0" collapsed="false">
      <c r="A4243" s="19"/>
      <c r="B4243" s="19"/>
      <c r="C4243" s="19"/>
      <c r="D4243" s="19"/>
      <c r="E4243" s="22"/>
      <c r="F4243" s="19"/>
      <c r="G4243" s="26" t="str">
        <f aca="false">IF(D4243="","",IFERROR(VALUE(LEFT(D4243,FIND(" |",D4243&amp;" |")-1)),"?"))</f>
        <v/>
      </c>
      <c r="H4243" s="27" t="str">
        <f aca="false">IF(G4243="","",IF(G4243="?","⚠ pub inconnue",IFERROR(INDEX(Pubs!$B$2:$B$3001,MATCH(G4243,Pubs!$A$2:$A$3001,0))&amp;"","⚠ pub inconnue")))</f>
        <v/>
      </c>
      <c r="I4243" s="27" t="str">
        <f aca="false">IF(OR(G4243="",G4243="?"),"",IFERROR(INDEX(Pubs!$C$2:$C$3001,MATCH(G4243,Pubs!$A$2:$A$3001,0))&amp;"",""))</f>
        <v/>
      </c>
      <c r="J4243" s="27" t="str">
        <f aca="false">IF(OR(G4243="",G4243="?"),"",IFERROR(INDEX(Pubs!$G$2:$G$3001,MATCH(G4243,Pubs!$A$2:$A$3001,0))&amp;"",""))</f>
        <v/>
      </c>
      <c r="K4243" s="28" t="str">
        <f aca="false">IF(OR(G4243="",G4243="?"),"",IFERROR(INDEX(Pubs!$E$2:$E$3001,MATCH(G4243,Pubs!$A$2:$A$3001,0)),""))</f>
        <v/>
      </c>
      <c r="L4243" s="29" t="str">
        <f aca="false">IF(A4243="","",IFERROR(1/(1/INDEX(Numéros!$C$2:$C$3001,MATCH(A4243&amp;"|"&amp;B4243,Numéros!$F$2:$F$3001,0))),""))</f>
        <v/>
      </c>
      <c r="M4243" s="27" t="str">
        <f aca="false">IF(OR(G4243="",G4243="?"),"",IFERROR(INDEX(Pubs!$D$2:$D$3001,MATCH(G4243,Pubs!$A$2:$A$3001,0))&amp;"",""))</f>
        <v/>
      </c>
      <c r="N4243" s="27" t="n">
        <f aca="false">N(N4242)+IF(AND(A4243&lt;&gt;"",OR(Recherche!$C$4="",A4243=Recherche!$C$4),OR(Recherche!$C$5="",B4243&amp;""=Recherche!$C$5&amp;""),OR(Recherche!$C$6="",IFERROR(YEAR(L4243),0)=Recherche!$C$6),OR(Recherche!$C$7="",ISNUMBER(SEARCH(Recherche!$C$7,H4243))),OR(Recherche!$C$8="",J4243=Recherche!$C$8),OR(Recherche!$C$9="",I4243=Recherche!$C$9),OR(Recherche!$C$10="",G4243&amp;""=Recherche!$C$10&amp;""),OR(Recherche!$C$11="",E4243=Recherche!$C$11),OR(Recherche!$C$12="",ISNUMBER(SEARCH(Recherche!$C$12,M4243&amp;" "&amp;F4243)))),1,0)</f>
        <v>8</v>
      </c>
    </row>
    <row r="4244" customFormat="false" ht="15" hidden="false" customHeight="false" outlineLevel="0" collapsed="false">
      <c r="A4244" s="19"/>
      <c r="B4244" s="19"/>
      <c r="C4244" s="19"/>
      <c r="D4244" s="19"/>
      <c r="E4244" s="22"/>
      <c r="F4244" s="19"/>
      <c r="G4244" s="26" t="str">
        <f aca="false">IF(D4244="","",IFERROR(VALUE(LEFT(D4244,FIND(" |",D4244&amp;" |")-1)),"?"))</f>
        <v/>
      </c>
      <c r="H4244" s="27" t="str">
        <f aca="false">IF(G4244="","",IF(G4244="?","⚠ pub inconnue",IFERROR(INDEX(Pubs!$B$2:$B$3001,MATCH(G4244,Pubs!$A$2:$A$3001,0))&amp;"","⚠ pub inconnue")))</f>
        <v/>
      </c>
      <c r="I4244" s="27" t="str">
        <f aca="false">IF(OR(G4244="",G4244="?"),"",IFERROR(INDEX(Pubs!$C$2:$C$3001,MATCH(G4244,Pubs!$A$2:$A$3001,0))&amp;"",""))</f>
        <v/>
      </c>
      <c r="J4244" s="27" t="str">
        <f aca="false">IF(OR(G4244="",G4244="?"),"",IFERROR(INDEX(Pubs!$G$2:$G$3001,MATCH(G4244,Pubs!$A$2:$A$3001,0))&amp;"",""))</f>
        <v/>
      </c>
      <c r="K4244" s="28" t="str">
        <f aca="false">IF(OR(G4244="",G4244="?"),"",IFERROR(INDEX(Pubs!$E$2:$E$3001,MATCH(G4244,Pubs!$A$2:$A$3001,0)),""))</f>
        <v/>
      </c>
      <c r="L4244" s="29" t="str">
        <f aca="false">IF(A4244="","",IFERROR(1/(1/INDEX(Numéros!$C$2:$C$3001,MATCH(A4244&amp;"|"&amp;B4244,Numéros!$F$2:$F$3001,0))),""))</f>
        <v/>
      </c>
      <c r="M4244" s="27" t="str">
        <f aca="false">IF(OR(G4244="",G4244="?"),"",IFERROR(INDEX(Pubs!$D$2:$D$3001,MATCH(G4244,Pubs!$A$2:$A$3001,0))&amp;"",""))</f>
        <v/>
      </c>
      <c r="N4244" s="27" t="n">
        <f aca="false">N(N4243)+IF(AND(A4244&lt;&gt;"",OR(Recherche!$C$4="",A4244=Recherche!$C$4),OR(Recherche!$C$5="",B4244&amp;""=Recherche!$C$5&amp;""),OR(Recherche!$C$6="",IFERROR(YEAR(L4244),0)=Recherche!$C$6),OR(Recherche!$C$7="",ISNUMBER(SEARCH(Recherche!$C$7,H4244))),OR(Recherche!$C$8="",J4244=Recherche!$C$8),OR(Recherche!$C$9="",I4244=Recherche!$C$9),OR(Recherche!$C$10="",G4244&amp;""=Recherche!$C$10&amp;""),OR(Recherche!$C$11="",E4244=Recherche!$C$11),OR(Recherche!$C$12="",ISNUMBER(SEARCH(Recherche!$C$12,M4244&amp;" "&amp;F4244)))),1,0)</f>
        <v>8</v>
      </c>
    </row>
    <row r="4245" customFormat="false" ht="15" hidden="false" customHeight="false" outlineLevel="0" collapsed="false">
      <c r="A4245" s="19"/>
      <c r="B4245" s="19"/>
      <c r="C4245" s="19"/>
      <c r="D4245" s="19"/>
      <c r="E4245" s="22"/>
      <c r="F4245" s="19"/>
      <c r="G4245" s="26" t="str">
        <f aca="false">IF(D4245="","",IFERROR(VALUE(LEFT(D4245,FIND(" |",D4245&amp;" |")-1)),"?"))</f>
        <v/>
      </c>
      <c r="H4245" s="27" t="str">
        <f aca="false">IF(G4245="","",IF(G4245="?","⚠ pub inconnue",IFERROR(INDEX(Pubs!$B$2:$B$3001,MATCH(G4245,Pubs!$A$2:$A$3001,0))&amp;"","⚠ pub inconnue")))</f>
        <v/>
      </c>
      <c r="I4245" s="27" t="str">
        <f aca="false">IF(OR(G4245="",G4245="?"),"",IFERROR(INDEX(Pubs!$C$2:$C$3001,MATCH(G4245,Pubs!$A$2:$A$3001,0))&amp;"",""))</f>
        <v/>
      </c>
      <c r="J4245" s="27" t="str">
        <f aca="false">IF(OR(G4245="",G4245="?"),"",IFERROR(INDEX(Pubs!$G$2:$G$3001,MATCH(G4245,Pubs!$A$2:$A$3001,0))&amp;"",""))</f>
        <v/>
      </c>
      <c r="K4245" s="28" t="str">
        <f aca="false">IF(OR(G4245="",G4245="?"),"",IFERROR(INDEX(Pubs!$E$2:$E$3001,MATCH(G4245,Pubs!$A$2:$A$3001,0)),""))</f>
        <v/>
      </c>
      <c r="L4245" s="29" t="str">
        <f aca="false">IF(A4245="","",IFERROR(1/(1/INDEX(Numéros!$C$2:$C$3001,MATCH(A4245&amp;"|"&amp;B4245,Numéros!$F$2:$F$3001,0))),""))</f>
        <v/>
      </c>
      <c r="M4245" s="27" t="str">
        <f aca="false">IF(OR(G4245="",G4245="?"),"",IFERROR(INDEX(Pubs!$D$2:$D$3001,MATCH(G4245,Pubs!$A$2:$A$3001,0))&amp;"",""))</f>
        <v/>
      </c>
      <c r="N4245" s="27" t="n">
        <f aca="false">N(N4244)+IF(AND(A4245&lt;&gt;"",OR(Recherche!$C$4="",A4245=Recherche!$C$4),OR(Recherche!$C$5="",B4245&amp;""=Recherche!$C$5&amp;""),OR(Recherche!$C$6="",IFERROR(YEAR(L4245),0)=Recherche!$C$6),OR(Recherche!$C$7="",ISNUMBER(SEARCH(Recherche!$C$7,H4245))),OR(Recherche!$C$8="",J4245=Recherche!$C$8),OR(Recherche!$C$9="",I4245=Recherche!$C$9),OR(Recherche!$C$10="",G4245&amp;""=Recherche!$C$10&amp;""),OR(Recherche!$C$11="",E4245=Recherche!$C$11),OR(Recherche!$C$12="",ISNUMBER(SEARCH(Recherche!$C$12,M4245&amp;" "&amp;F4245)))),1,0)</f>
        <v>8</v>
      </c>
    </row>
    <row r="4246" customFormat="false" ht="15" hidden="false" customHeight="false" outlineLevel="0" collapsed="false">
      <c r="A4246" s="19"/>
      <c r="B4246" s="19"/>
      <c r="C4246" s="19"/>
      <c r="D4246" s="19"/>
      <c r="E4246" s="22"/>
      <c r="F4246" s="19"/>
      <c r="G4246" s="26" t="str">
        <f aca="false">IF(D4246="","",IFERROR(VALUE(LEFT(D4246,FIND(" |",D4246&amp;" |")-1)),"?"))</f>
        <v/>
      </c>
      <c r="H4246" s="27" t="str">
        <f aca="false">IF(G4246="","",IF(G4246="?","⚠ pub inconnue",IFERROR(INDEX(Pubs!$B$2:$B$3001,MATCH(G4246,Pubs!$A$2:$A$3001,0))&amp;"","⚠ pub inconnue")))</f>
        <v/>
      </c>
      <c r="I4246" s="27" t="str">
        <f aca="false">IF(OR(G4246="",G4246="?"),"",IFERROR(INDEX(Pubs!$C$2:$C$3001,MATCH(G4246,Pubs!$A$2:$A$3001,0))&amp;"",""))</f>
        <v/>
      </c>
      <c r="J4246" s="27" t="str">
        <f aca="false">IF(OR(G4246="",G4246="?"),"",IFERROR(INDEX(Pubs!$G$2:$G$3001,MATCH(G4246,Pubs!$A$2:$A$3001,0))&amp;"",""))</f>
        <v/>
      </c>
      <c r="K4246" s="28" t="str">
        <f aca="false">IF(OR(G4246="",G4246="?"),"",IFERROR(INDEX(Pubs!$E$2:$E$3001,MATCH(G4246,Pubs!$A$2:$A$3001,0)),""))</f>
        <v/>
      </c>
      <c r="L4246" s="29" t="str">
        <f aca="false">IF(A4246="","",IFERROR(1/(1/INDEX(Numéros!$C$2:$C$3001,MATCH(A4246&amp;"|"&amp;B4246,Numéros!$F$2:$F$3001,0))),""))</f>
        <v/>
      </c>
      <c r="M4246" s="27" t="str">
        <f aca="false">IF(OR(G4246="",G4246="?"),"",IFERROR(INDEX(Pubs!$D$2:$D$3001,MATCH(G4246,Pubs!$A$2:$A$3001,0))&amp;"",""))</f>
        <v/>
      </c>
      <c r="N4246" s="27" t="n">
        <f aca="false">N(N4245)+IF(AND(A4246&lt;&gt;"",OR(Recherche!$C$4="",A4246=Recherche!$C$4),OR(Recherche!$C$5="",B4246&amp;""=Recherche!$C$5&amp;""),OR(Recherche!$C$6="",IFERROR(YEAR(L4246),0)=Recherche!$C$6),OR(Recherche!$C$7="",ISNUMBER(SEARCH(Recherche!$C$7,H4246))),OR(Recherche!$C$8="",J4246=Recherche!$C$8),OR(Recherche!$C$9="",I4246=Recherche!$C$9),OR(Recherche!$C$10="",G4246&amp;""=Recherche!$C$10&amp;""),OR(Recherche!$C$11="",E4246=Recherche!$C$11),OR(Recherche!$C$12="",ISNUMBER(SEARCH(Recherche!$C$12,M4246&amp;" "&amp;F4246)))),1,0)</f>
        <v>8</v>
      </c>
    </row>
    <row r="4247" customFormat="false" ht="15" hidden="false" customHeight="false" outlineLevel="0" collapsed="false">
      <c r="A4247" s="19"/>
      <c r="B4247" s="19"/>
      <c r="C4247" s="19"/>
      <c r="D4247" s="19"/>
      <c r="E4247" s="22"/>
      <c r="F4247" s="19"/>
      <c r="G4247" s="26" t="str">
        <f aca="false">IF(D4247="","",IFERROR(VALUE(LEFT(D4247,FIND(" |",D4247&amp;" |")-1)),"?"))</f>
        <v/>
      </c>
      <c r="H4247" s="27" t="str">
        <f aca="false">IF(G4247="","",IF(G4247="?","⚠ pub inconnue",IFERROR(INDEX(Pubs!$B$2:$B$3001,MATCH(G4247,Pubs!$A$2:$A$3001,0))&amp;"","⚠ pub inconnue")))</f>
        <v/>
      </c>
      <c r="I4247" s="27" t="str">
        <f aca="false">IF(OR(G4247="",G4247="?"),"",IFERROR(INDEX(Pubs!$C$2:$C$3001,MATCH(G4247,Pubs!$A$2:$A$3001,0))&amp;"",""))</f>
        <v/>
      </c>
      <c r="J4247" s="27" t="str">
        <f aca="false">IF(OR(G4247="",G4247="?"),"",IFERROR(INDEX(Pubs!$G$2:$G$3001,MATCH(G4247,Pubs!$A$2:$A$3001,0))&amp;"",""))</f>
        <v/>
      </c>
      <c r="K4247" s="28" t="str">
        <f aca="false">IF(OR(G4247="",G4247="?"),"",IFERROR(INDEX(Pubs!$E$2:$E$3001,MATCH(G4247,Pubs!$A$2:$A$3001,0)),""))</f>
        <v/>
      </c>
      <c r="L4247" s="29" t="str">
        <f aca="false">IF(A4247="","",IFERROR(1/(1/INDEX(Numéros!$C$2:$C$3001,MATCH(A4247&amp;"|"&amp;B4247,Numéros!$F$2:$F$3001,0))),""))</f>
        <v/>
      </c>
      <c r="M4247" s="27" t="str">
        <f aca="false">IF(OR(G4247="",G4247="?"),"",IFERROR(INDEX(Pubs!$D$2:$D$3001,MATCH(G4247,Pubs!$A$2:$A$3001,0))&amp;"",""))</f>
        <v/>
      </c>
      <c r="N4247" s="27" t="n">
        <f aca="false">N(N4246)+IF(AND(A4247&lt;&gt;"",OR(Recherche!$C$4="",A4247=Recherche!$C$4),OR(Recherche!$C$5="",B4247&amp;""=Recherche!$C$5&amp;""),OR(Recherche!$C$6="",IFERROR(YEAR(L4247),0)=Recherche!$C$6),OR(Recherche!$C$7="",ISNUMBER(SEARCH(Recherche!$C$7,H4247))),OR(Recherche!$C$8="",J4247=Recherche!$C$8),OR(Recherche!$C$9="",I4247=Recherche!$C$9),OR(Recherche!$C$10="",G4247&amp;""=Recherche!$C$10&amp;""),OR(Recherche!$C$11="",E4247=Recherche!$C$11),OR(Recherche!$C$12="",ISNUMBER(SEARCH(Recherche!$C$12,M4247&amp;" "&amp;F4247)))),1,0)</f>
        <v>8</v>
      </c>
    </row>
    <row r="4248" customFormat="false" ht="15" hidden="false" customHeight="false" outlineLevel="0" collapsed="false">
      <c r="A4248" s="19"/>
      <c r="B4248" s="19"/>
      <c r="C4248" s="19"/>
      <c r="D4248" s="19"/>
      <c r="E4248" s="22"/>
      <c r="F4248" s="19"/>
      <c r="G4248" s="26" t="str">
        <f aca="false">IF(D4248="","",IFERROR(VALUE(LEFT(D4248,FIND(" |",D4248&amp;" |")-1)),"?"))</f>
        <v/>
      </c>
      <c r="H4248" s="27" t="str">
        <f aca="false">IF(G4248="","",IF(G4248="?","⚠ pub inconnue",IFERROR(INDEX(Pubs!$B$2:$B$3001,MATCH(G4248,Pubs!$A$2:$A$3001,0))&amp;"","⚠ pub inconnue")))</f>
        <v/>
      </c>
      <c r="I4248" s="27" t="str">
        <f aca="false">IF(OR(G4248="",G4248="?"),"",IFERROR(INDEX(Pubs!$C$2:$C$3001,MATCH(G4248,Pubs!$A$2:$A$3001,0))&amp;"",""))</f>
        <v/>
      </c>
      <c r="J4248" s="27" t="str">
        <f aca="false">IF(OR(G4248="",G4248="?"),"",IFERROR(INDEX(Pubs!$G$2:$G$3001,MATCH(G4248,Pubs!$A$2:$A$3001,0))&amp;"",""))</f>
        <v/>
      </c>
      <c r="K4248" s="28" t="str">
        <f aca="false">IF(OR(G4248="",G4248="?"),"",IFERROR(INDEX(Pubs!$E$2:$E$3001,MATCH(G4248,Pubs!$A$2:$A$3001,0)),""))</f>
        <v/>
      </c>
      <c r="L4248" s="29" t="str">
        <f aca="false">IF(A4248="","",IFERROR(1/(1/INDEX(Numéros!$C$2:$C$3001,MATCH(A4248&amp;"|"&amp;B4248,Numéros!$F$2:$F$3001,0))),""))</f>
        <v/>
      </c>
      <c r="M4248" s="27" t="str">
        <f aca="false">IF(OR(G4248="",G4248="?"),"",IFERROR(INDEX(Pubs!$D$2:$D$3001,MATCH(G4248,Pubs!$A$2:$A$3001,0))&amp;"",""))</f>
        <v/>
      </c>
      <c r="N4248" s="27" t="n">
        <f aca="false">N(N4247)+IF(AND(A4248&lt;&gt;"",OR(Recherche!$C$4="",A4248=Recherche!$C$4),OR(Recherche!$C$5="",B4248&amp;""=Recherche!$C$5&amp;""),OR(Recherche!$C$6="",IFERROR(YEAR(L4248),0)=Recherche!$C$6),OR(Recherche!$C$7="",ISNUMBER(SEARCH(Recherche!$C$7,H4248))),OR(Recherche!$C$8="",J4248=Recherche!$C$8),OR(Recherche!$C$9="",I4248=Recherche!$C$9),OR(Recherche!$C$10="",G4248&amp;""=Recherche!$C$10&amp;""),OR(Recherche!$C$11="",E4248=Recherche!$C$11),OR(Recherche!$C$12="",ISNUMBER(SEARCH(Recherche!$C$12,M4248&amp;" "&amp;F4248)))),1,0)</f>
        <v>8</v>
      </c>
    </row>
    <row r="4249" customFormat="false" ht="15" hidden="false" customHeight="false" outlineLevel="0" collapsed="false">
      <c r="A4249" s="19"/>
      <c r="B4249" s="19"/>
      <c r="C4249" s="19"/>
      <c r="D4249" s="19"/>
      <c r="E4249" s="22"/>
      <c r="F4249" s="19"/>
      <c r="G4249" s="26" t="str">
        <f aca="false">IF(D4249="","",IFERROR(VALUE(LEFT(D4249,FIND(" |",D4249&amp;" |")-1)),"?"))</f>
        <v/>
      </c>
      <c r="H4249" s="27" t="str">
        <f aca="false">IF(G4249="","",IF(G4249="?","⚠ pub inconnue",IFERROR(INDEX(Pubs!$B$2:$B$3001,MATCH(G4249,Pubs!$A$2:$A$3001,0))&amp;"","⚠ pub inconnue")))</f>
        <v/>
      </c>
      <c r="I4249" s="27" t="str">
        <f aca="false">IF(OR(G4249="",G4249="?"),"",IFERROR(INDEX(Pubs!$C$2:$C$3001,MATCH(G4249,Pubs!$A$2:$A$3001,0))&amp;"",""))</f>
        <v/>
      </c>
      <c r="J4249" s="27" t="str">
        <f aca="false">IF(OR(G4249="",G4249="?"),"",IFERROR(INDEX(Pubs!$G$2:$G$3001,MATCH(G4249,Pubs!$A$2:$A$3001,0))&amp;"",""))</f>
        <v/>
      </c>
      <c r="K4249" s="28" t="str">
        <f aca="false">IF(OR(G4249="",G4249="?"),"",IFERROR(INDEX(Pubs!$E$2:$E$3001,MATCH(G4249,Pubs!$A$2:$A$3001,0)),""))</f>
        <v/>
      </c>
      <c r="L4249" s="29" t="str">
        <f aca="false">IF(A4249="","",IFERROR(1/(1/INDEX(Numéros!$C$2:$C$3001,MATCH(A4249&amp;"|"&amp;B4249,Numéros!$F$2:$F$3001,0))),""))</f>
        <v/>
      </c>
      <c r="M4249" s="27" t="str">
        <f aca="false">IF(OR(G4249="",G4249="?"),"",IFERROR(INDEX(Pubs!$D$2:$D$3001,MATCH(G4249,Pubs!$A$2:$A$3001,0))&amp;"",""))</f>
        <v/>
      </c>
      <c r="N4249" s="27" t="n">
        <f aca="false">N(N4248)+IF(AND(A4249&lt;&gt;"",OR(Recherche!$C$4="",A4249=Recherche!$C$4),OR(Recherche!$C$5="",B4249&amp;""=Recherche!$C$5&amp;""),OR(Recherche!$C$6="",IFERROR(YEAR(L4249),0)=Recherche!$C$6),OR(Recherche!$C$7="",ISNUMBER(SEARCH(Recherche!$C$7,H4249))),OR(Recherche!$C$8="",J4249=Recherche!$C$8),OR(Recherche!$C$9="",I4249=Recherche!$C$9),OR(Recherche!$C$10="",G4249&amp;""=Recherche!$C$10&amp;""),OR(Recherche!$C$11="",E4249=Recherche!$C$11),OR(Recherche!$C$12="",ISNUMBER(SEARCH(Recherche!$C$12,M4249&amp;" "&amp;F4249)))),1,0)</f>
        <v>8</v>
      </c>
    </row>
    <row r="4250" customFormat="false" ht="15" hidden="false" customHeight="false" outlineLevel="0" collapsed="false">
      <c r="A4250" s="19"/>
      <c r="B4250" s="19"/>
      <c r="C4250" s="19"/>
      <c r="D4250" s="19"/>
      <c r="E4250" s="22"/>
      <c r="F4250" s="19"/>
      <c r="G4250" s="26" t="str">
        <f aca="false">IF(D4250="","",IFERROR(VALUE(LEFT(D4250,FIND(" |",D4250&amp;" |")-1)),"?"))</f>
        <v/>
      </c>
      <c r="H4250" s="27" t="str">
        <f aca="false">IF(G4250="","",IF(G4250="?","⚠ pub inconnue",IFERROR(INDEX(Pubs!$B$2:$B$3001,MATCH(G4250,Pubs!$A$2:$A$3001,0))&amp;"","⚠ pub inconnue")))</f>
        <v/>
      </c>
      <c r="I4250" s="27" t="str">
        <f aca="false">IF(OR(G4250="",G4250="?"),"",IFERROR(INDEX(Pubs!$C$2:$C$3001,MATCH(G4250,Pubs!$A$2:$A$3001,0))&amp;"",""))</f>
        <v/>
      </c>
      <c r="J4250" s="27" t="str">
        <f aca="false">IF(OR(G4250="",G4250="?"),"",IFERROR(INDEX(Pubs!$G$2:$G$3001,MATCH(G4250,Pubs!$A$2:$A$3001,0))&amp;"",""))</f>
        <v/>
      </c>
      <c r="K4250" s="28" t="str">
        <f aca="false">IF(OR(G4250="",G4250="?"),"",IFERROR(INDEX(Pubs!$E$2:$E$3001,MATCH(G4250,Pubs!$A$2:$A$3001,0)),""))</f>
        <v/>
      </c>
      <c r="L4250" s="29" t="str">
        <f aca="false">IF(A4250="","",IFERROR(1/(1/INDEX(Numéros!$C$2:$C$3001,MATCH(A4250&amp;"|"&amp;B4250,Numéros!$F$2:$F$3001,0))),""))</f>
        <v/>
      </c>
      <c r="M4250" s="27" t="str">
        <f aca="false">IF(OR(G4250="",G4250="?"),"",IFERROR(INDEX(Pubs!$D$2:$D$3001,MATCH(G4250,Pubs!$A$2:$A$3001,0))&amp;"",""))</f>
        <v/>
      </c>
      <c r="N4250" s="27" t="n">
        <f aca="false">N(N4249)+IF(AND(A4250&lt;&gt;"",OR(Recherche!$C$4="",A4250=Recherche!$C$4),OR(Recherche!$C$5="",B4250&amp;""=Recherche!$C$5&amp;""),OR(Recherche!$C$6="",IFERROR(YEAR(L4250),0)=Recherche!$C$6),OR(Recherche!$C$7="",ISNUMBER(SEARCH(Recherche!$C$7,H4250))),OR(Recherche!$C$8="",J4250=Recherche!$C$8),OR(Recherche!$C$9="",I4250=Recherche!$C$9),OR(Recherche!$C$10="",G4250&amp;""=Recherche!$C$10&amp;""),OR(Recherche!$C$11="",E4250=Recherche!$C$11),OR(Recherche!$C$12="",ISNUMBER(SEARCH(Recherche!$C$12,M4250&amp;" "&amp;F4250)))),1,0)</f>
        <v>8</v>
      </c>
    </row>
    <row r="4251" customFormat="false" ht="15" hidden="false" customHeight="false" outlineLevel="0" collapsed="false">
      <c r="A4251" s="19"/>
      <c r="B4251" s="19"/>
      <c r="C4251" s="19"/>
      <c r="D4251" s="19"/>
      <c r="E4251" s="22"/>
      <c r="F4251" s="19"/>
      <c r="G4251" s="26" t="str">
        <f aca="false">IF(D4251="","",IFERROR(VALUE(LEFT(D4251,FIND(" |",D4251&amp;" |")-1)),"?"))</f>
        <v/>
      </c>
      <c r="H4251" s="27" t="str">
        <f aca="false">IF(G4251="","",IF(G4251="?","⚠ pub inconnue",IFERROR(INDEX(Pubs!$B$2:$B$3001,MATCH(G4251,Pubs!$A$2:$A$3001,0))&amp;"","⚠ pub inconnue")))</f>
        <v/>
      </c>
      <c r="I4251" s="27" t="str">
        <f aca="false">IF(OR(G4251="",G4251="?"),"",IFERROR(INDEX(Pubs!$C$2:$C$3001,MATCH(G4251,Pubs!$A$2:$A$3001,0))&amp;"",""))</f>
        <v/>
      </c>
      <c r="J4251" s="27" t="str">
        <f aca="false">IF(OR(G4251="",G4251="?"),"",IFERROR(INDEX(Pubs!$G$2:$G$3001,MATCH(G4251,Pubs!$A$2:$A$3001,0))&amp;"",""))</f>
        <v/>
      </c>
      <c r="K4251" s="28" t="str">
        <f aca="false">IF(OR(G4251="",G4251="?"),"",IFERROR(INDEX(Pubs!$E$2:$E$3001,MATCH(G4251,Pubs!$A$2:$A$3001,0)),""))</f>
        <v/>
      </c>
      <c r="L4251" s="29" t="str">
        <f aca="false">IF(A4251="","",IFERROR(1/(1/INDEX(Numéros!$C$2:$C$3001,MATCH(A4251&amp;"|"&amp;B4251,Numéros!$F$2:$F$3001,0))),""))</f>
        <v/>
      </c>
      <c r="M4251" s="27" t="str">
        <f aca="false">IF(OR(G4251="",G4251="?"),"",IFERROR(INDEX(Pubs!$D$2:$D$3001,MATCH(G4251,Pubs!$A$2:$A$3001,0))&amp;"",""))</f>
        <v/>
      </c>
      <c r="N4251" s="27" t="n">
        <f aca="false">N(N4250)+IF(AND(A4251&lt;&gt;"",OR(Recherche!$C$4="",A4251=Recherche!$C$4),OR(Recherche!$C$5="",B4251&amp;""=Recherche!$C$5&amp;""),OR(Recherche!$C$6="",IFERROR(YEAR(L4251),0)=Recherche!$C$6),OR(Recherche!$C$7="",ISNUMBER(SEARCH(Recherche!$C$7,H4251))),OR(Recherche!$C$8="",J4251=Recherche!$C$8),OR(Recherche!$C$9="",I4251=Recherche!$C$9),OR(Recherche!$C$10="",G4251&amp;""=Recherche!$C$10&amp;""),OR(Recherche!$C$11="",E4251=Recherche!$C$11),OR(Recherche!$C$12="",ISNUMBER(SEARCH(Recherche!$C$12,M4251&amp;" "&amp;F4251)))),1,0)</f>
        <v>8</v>
      </c>
    </row>
    <row r="4252" customFormat="false" ht="15" hidden="false" customHeight="false" outlineLevel="0" collapsed="false">
      <c r="A4252" s="19"/>
      <c r="B4252" s="19"/>
      <c r="C4252" s="19"/>
      <c r="D4252" s="19"/>
      <c r="E4252" s="22"/>
      <c r="F4252" s="19"/>
      <c r="G4252" s="26" t="str">
        <f aca="false">IF(D4252="","",IFERROR(VALUE(LEFT(D4252,FIND(" |",D4252&amp;" |")-1)),"?"))</f>
        <v/>
      </c>
      <c r="H4252" s="27" t="str">
        <f aca="false">IF(G4252="","",IF(G4252="?","⚠ pub inconnue",IFERROR(INDEX(Pubs!$B$2:$B$3001,MATCH(G4252,Pubs!$A$2:$A$3001,0))&amp;"","⚠ pub inconnue")))</f>
        <v/>
      </c>
      <c r="I4252" s="27" t="str">
        <f aca="false">IF(OR(G4252="",G4252="?"),"",IFERROR(INDEX(Pubs!$C$2:$C$3001,MATCH(G4252,Pubs!$A$2:$A$3001,0))&amp;"",""))</f>
        <v/>
      </c>
      <c r="J4252" s="27" t="str">
        <f aca="false">IF(OR(G4252="",G4252="?"),"",IFERROR(INDEX(Pubs!$G$2:$G$3001,MATCH(G4252,Pubs!$A$2:$A$3001,0))&amp;"",""))</f>
        <v/>
      </c>
      <c r="K4252" s="28" t="str">
        <f aca="false">IF(OR(G4252="",G4252="?"),"",IFERROR(INDEX(Pubs!$E$2:$E$3001,MATCH(G4252,Pubs!$A$2:$A$3001,0)),""))</f>
        <v/>
      </c>
      <c r="L4252" s="29" t="str">
        <f aca="false">IF(A4252="","",IFERROR(1/(1/INDEX(Numéros!$C$2:$C$3001,MATCH(A4252&amp;"|"&amp;B4252,Numéros!$F$2:$F$3001,0))),""))</f>
        <v/>
      </c>
      <c r="M4252" s="27" t="str">
        <f aca="false">IF(OR(G4252="",G4252="?"),"",IFERROR(INDEX(Pubs!$D$2:$D$3001,MATCH(G4252,Pubs!$A$2:$A$3001,0))&amp;"",""))</f>
        <v/>
      </c>
      <c r="N4252" s="27" t="n">
        <f aca="false">N(N4251)+IF(AND(A4252&lt;&gt;"",OR(Recherche!$C$4="",A4252=Recherche!$C$4),OR(Recherche!$C$5="",B4252&amp;""=Recherche!$C$5&amp;""),OR(Recherche!$C$6="",IFERROR(YEAR(L4252),0)=Recherche!$C$6),OR(Recherche!$C$7="",ISNUMBER(SEARCH(Recherche!$C$7,H4252))),OR(Recherche!$C$8="",J4252=Recherche!$C$8),OR(Recherche!$C$9="",I4252=Recherche!$C$9),OR(Recherche!$C$10="",G4252&amp;""=Recherche!$C$10&amp;""),OR(Recherche!$C$11="",E4252=Recherche!$C$11),OR(Recherche!$C$12="",ISNUMBER(SEARCH(Recherche!$C$12,M4252&amp;" "&amp;F4252)))),1,0)</f>
        <v>8</v>
      </c>
    </row>
    <row r="4253" customFormat="false" ht="15" hidden="false" customHeight="false" outlineLevel="0" collapsed="false">
      <c r="A4253" s="19"/>
      <c r="B4253" s="19"/>
      <c r="C4253" s="19"/>
      <c r="D4253" s="19"/>
      <c r="E4253" s="22"/>
      <c r="F4253" s="19"/>
      <c r="G4253" s="26" t="str">
        <f aca="false">IF(D4253="","",IFERROR(VALUE(LEFT(D4253,FIND(" |",D4253&amp;" |")-1)),"?"))</f>
        <v/>
      </c>
      <c r="H4253" s="27" t="str">
        <f aca="false">IF(G4253="","",IF(G4253="?","⚠ pub inconnue",IFERROR(INDEX(Pubs!$B$2:$B$3001,MATCH(G4253,Pubs!$A$2:$A$3001,0))&amp;"","⚠ pub inconnue")))</f>
        <v/>
      </c>
      <c r="I4253" s="27" t="str">
        <f aca="false">IF(OR(G4253="",G4253="?"),"",IFERROR(INDEX(Pubs!$C$2:$C$3001,MATCH(G4253,Pubs!$A$2:$A$3001,0))&amp;"",""))</f>
        <v/>
      </c>
      <c r="J4253" s="27" t="str">
        <f aca="false">IF(OR(G4253="",G4253="?"),"",IFERROR(INDEX(Pubs!$G$2:$G$3001,MATCH(G4253,Pubs!$A$2:$A$3001,0))&amp;"",""))</f>
        <v/>
      </c>
      <c r="K4253" s="28" t="str">
        <f aca="false">IF(OR(G4253="",G4253="?"),"",IFERROR(INDEX(Pubs!$E$2:$E$3001,MATCH(G4253,Pubs!$A$2:$A$3001,0)),""))</f>
        <v/>
      </c>
      <c r="L4253" s="29" t="str">
        <f aca="false">IF(A4253="","",IFERROR(1/(1/INDEX(Numéros!$C$2:$C$3001,MATCH(A4253&amp;"|"&amp;B4253,Numéros!$F$2:$F$3001,0))),""))</f>
        <v/>
      </c>
      <c r="M4253" s="27" t="str">
        <f aca="false">IF(OR(G4253="",G4253="?"),"",IFERROR(INDEX(Pubs!$D$2:$D$3001,MATCH(G4253,Pubs!$A$2:$A$3001,0))&amp;"",""))</f>
        <v/>
      </c>
      <c r="N4253" s="27" t="n">
        <f aca="false">N(N4252)+IF(AND(A4253&lt;&gt;"",OR(Recherche!$C$4="",A4253=Recherche!$C$4),OR(Recherche!$C$5="",B4253&amp;""=Recherche!$C$5&amp;""),OR(Recherche!$C$6="",IFERROR(YEAR(L4253),0)=Recherche!$C$6),OR(Recherche!$C$7="",ISNUMBER(SEARCH(Recherche!$C$7,H4253))),OR(Recherche!$C$8="",J4253=Recherche!$C$8),OR(Recherche!$C$9="",I4253=Recherche!$C$9),OR(Recherche!$C$10="",G4253&amp;""=Recherche!$C$10&amp;""),OR(Recherche!$C$11="",E4253=Recherche!$C$11),OR(Recherche!$C$12="",ISNUMBER(SEARCH(Recherche!$C$12,M4253&amp;" "&amp;F4253)))),1,0)</f>
        <v>8</v>
      </c>
    </row>
    <row r="4254" customFormat="false" ht="15" hidden="false" customHeight="false" outlineLevel="0" collapsed="false">
      <c r="A4254" s="19"/>
      <c r="B4254" s="19"/>
      <c r="C4254" s="19"/>
      <c r="D4254" s="19"/>
      <c r="E4254" s="22"/>
      <c r="F4254" s="19"/>
      <c r="G4254" s="26" t="str">
        <f aca="false">IF(D4254="","",IFERROR(VALUE(LEFT(D4254,FIND(" |",D4254&amp;" |")-1)),"?"))</f>
        <v/>
      </c>
      <c r="H4254" s="27" t="str">
        <f aca="false">IF(G4254="","",IF(G4254="?","⚠ pub inconnue",IFERROR(INDEX(Pubs!$B$2:$B$3001,MATCH(G4254,Pubs!$A$2:$A$3001,0))&amp;"","⚠ pub inconnue")))</f>
        <v/>
      </c>
      <c r="I4254" s="27" t="str">
        <f aca="false">IF(OR(G4254="",G4254="?"),"",IFERROR(INDEX(Pubs!$C$2:$C$3001,MATCH(G4254,Pubs!$A$2:$A$3001,0))&amp;"",""))</f>
        <v/>
      </c>
      <c r="J4254" s="27" t="str">
        <f aca="false">IF(OR(G4254="",G4254="?"),"",IFERROR(INDEX(Pubs!$G$2:$G$3001,MATCH(G4254,Pubs!$A$2:$A$3001,0))&amp;"",""))</f>
        <v/>
      </c>
      <c r="K4254" s="28" t="str">
        <f aca="false">IF(OR(G4254="",G4254="?"),"",IFERROR(INDEX(Pubs!$E$2:$E$3001,MATCH(G4254,Pubs!$A$2:$A$3001,0)),""))</f>
        <v/>
      </c>
      <c r="L4254" s="29" t="str">
        <f aca="false">IF(A4254="","",IFERROR(1/(1/INDEX(Numéros!$C$2:$C$3001,MATCH(A4254&amp;"|"&amp;B4254,Numéros!$F$2:$F$3001,0))),""))</f>
        <v/>
      </c>
      <c r="M4254" s="27" t="str">
        <f aca="false">IF(OR(G4254="",G4254="?"),"",IFERROR(INDEX(Pubs!$D$2:$D$3001,MATCH(G4254,Pubs!$A$2:$A$3001,0))&amp;"",""))</f>
        <v/>
      </c>
      <c r="N4254" s="27" t="n">
        <f aca="false">N(N4253)+IF(AND(A4254&lt;&gt;"",OR(Recherche!$C$4="",A4254=Recherche!$C$4),OR(Recherche!$C$5="",B4254&amp;""=Recherche!$C$5&amp;""),OR(Recherche!$C$6="",IFERROR(YEAR(L4254),0)=Recherche!$C$6),OR(Recherche!$C$7="",ISNUMBER(SEARCH(Recherche!$C$7,H4254))),OR(Recherche!$C$8="",J4254=Recherche!$C$8),OR(Recherche!$C$9="",I4254=Recherche!$C$9),OR(Recherche!$C$10="",G4254&amp;""=Recherche!$C$10&amp;""),OR(Recherche!$C$11="",E4254=Recherche!$C$11),OR(Recherche!$C$12="",ISNUMBER(SEARCH(Recherche!$C$12,M4254&amp;" "&amp;F4254)))),1,0)</f>
        <v>8</v>
      </c>
    </row>
    <row r="4255" customFormat="false" ht="15" hidden="false" customHeight="false" outlineLevel="0" collapsed="false">
      <c r="A4255" s="19"/>
      <c r="B4255" s="19"/>
      <c r="C4255" s="19"/>
      <c r="D4255" s="19"/>
      <c r="E4255" s="22"/>
      <c r="F4255" s="19"/>
      <c r="G4255" s="26" t="str">
        <f aca="false">IF(D4255="","",IFERROR(VALUE(LEFT(D4255,FIND(" |",D4255&amp;" |")-1)),"?"))</f>
        <v/>
      </c>
      <c r="H4255" s="27" t="str">
        <f aca="false">IF(G4255="","",IF(G4255="?","⚠ pub inconnue",IFERROR(INDEX(Pubs!$B$2:$B$3001,MATCH(G4255,Pubs!$A$2:$A$3001,0))&amp;"","⚠ pub inconnue")))</f>
        <v/>
      </c>
      <c r="I4255" s="27" t="str">
        <f aca="false">IF(OR(G4255="",G4255="?"),"",IFERROR(INDEX(Pubs!$C$2:$C$3001,MATCH(G4255,Pubs!$A$2:$A$3001,0))&amp;"",""))</f>
        <v/>
      </c>
      <c r="J4255" s="27" t="str">
        <f aca="false">IF(OR(G4255="",G4255="?"),"",IFERROR(INDEX(Pubs!$G$2:$G$3001,MATCH(G4255,Pubs!$A$2:$A$3001,0))&amp;"",""))</f>
        <v/>
      </c>
      <c r="K4255" s="28" t="str">
        <f aca="false">IF(OR(G4255="",G4255="?"),"",IFERROR(INDEX(Pubs!$E$2:$E$3001,MATCH(G4255,Pubs!$A$2:$A$3001,0)),""))</f>
        <v/>
      </c>
      <c r="L4255" s="29" t="str">
        <f aca="false">IF(A4255="","",IFERROR(1/(1/INDEX(Numéros!$C$2:$C$3001,MATCH(A4255&amp;"|"&amp;B4255,Numéros!$F$2:$F$3001,0))),""))</f>
        <v/>
      </c>
      <c r="M4255" s="27" t="str">
        <f aca="false">IF(OR(G4255="",G4255="?"),"",IFERROR(INDEX(Pubs!$D$2:$D$3001,MATCH(G4255,Pubs!$A$2:$A$3001,0))&amp;"",""))</f>
        <v/>
      </c>
      <c r="N4255" s="27" t="n">
        <f aca="false">N(N4254)+IF(AND(A4255&lt;&gt;"",OR(Recherche!$C$4="",A4255=Recherche!$C$4),OR(Recherche!$C$5="",B4255&amp;""=Recherche!$C$5&amp;""),OR(Recherche!$C$6="",IFERROR(YEAR(L4255),0)=Recherche!$C$6),OR(Recherche!$C$7="",ISNUMBER(SEARCH(Recherche!$C$7,H4255))),OR(Recherche!$C$8="",J4255=Recherche!$C$8),OR(Recherche!$C$9="",I4255=Recherche!$C$9),OR(Recherche!$C$10="",G4255&amp;""=Recherche!$C$10&amp;""),OR(Recherche!$C$11="",E4255=Recherche!$C$11),OR(Recherche!$C$12="",ISNUMBER(SEARCH(Recherche!$C$12,M4255&amp;" "&amp;F4255)))),1,0)</f>
        <v>8</v>
      </c>
    </row>
    <row r="4256" customFormat="false" ht="15" hidden="false" customHeight="false" outlineLevel="0" collapsed="false">
      <c r="A4256" s="19"/>
      <c r="B4256" s="19"/>
      <c r="C4256" s="19"/>
      <c r="D4256" s="19"/>
      <c r="E4256" s="22"/>
      <c r="F4256" s="19"/>
      <c r="G4256" s="26" t="str">
        <f aca="false">IF(D4256="","",IFERROR(VALUE(LEFT(D4256,FIND(" |",D4256&amp;" |")-1)),"?"))</f>
        <v/>
      </c>
      <c r="H4256" s="27" t="str">
        <f aca="false">IF(G4256="","",IF(G4256="?","⚠ pub inconnue",IFERROR(INDEX(Pubs!$B$2:$B$3001,MATCH(G4256,Pubs!$A$2:$A$3001,0))&amp;"","⚠ pub inconnue")))</f>
        <v/>
      </c>
      <c r="I4256" s="27" t="str">
        <f aca="false">IF(OR(G4256="",G4256="?"),"",IFERROR(INDEX(Pubs!$C$2:$C$3001,MATCH(G4256,Pubs!$A$2:$A$3001,0))&amp;"",""))</f>
        <v/>
      </c>
      <c r="J4256" s="27" t="str">
        <f aca="false">IF(OR(G4256="",G4256="?"),"",IFERROR(INDEX(Pubs!$G$2:$G$3001,MATCH(G4256,Pubs!$A$2:$A$3001,0))&amp;"",""))</f>
        <v/>
      </c>
      <c r="K4256" s="28" t="str">
        <f aca="false">IF(OR(G4256="",G4256="?"),"",IFERROR(INDEX(Pubs!$E$2:$E$3001,MATCH(G4256,Pubs!$A$2:$A$3001,0)),""))</f>
        <v/>
      </c>
      <c r="L4256" s="29" t="str">
        <f aca="false">IF(A4256="","",IFERROR(1/(1/INDEX(Numéros!$C$2:$C$3001,MATCH(A4256&amp;"|"&amp;B4256,Numéros!$F$2:$F$3001,0))),""))</f>
        <v/>
      </c>
      <c r="M4256" s="27" t="str">
        <f aca="false">IF(OR(G4256="",G4256="?"),"",IFERROR(INDEX(Pubs!$D$2:$D$3001,MATCH(G4256,Pubs!$A$2:$A$3001,0))&amp;"",""))</f>
        <v/>
      </c>
      <c r="N4256" s="27" t="n">
        <f aca="false">N(N4255)+IF(AND(A4256&lt;&gt;"",OR(Recherche!$C$4="",A4256=Recherche!$C$4),OR(Recherche!$C$5="",B4256&amp;""=Recherche!$C$5&amp;""),OR(Recherche!$C$6="",IFERROR(YEAR(L4256),0)=Recherche!$C$6),OR(Recherche!$C$7="",ISNUMBER(SEARCH(Recherche!$C$7,H4256))),OR(Recherche!$C$8="",J4256=Recherche!$C$8),OR(Recherche!$C$9="",I4256=Recherche!$C$9),OR(Recherche!$C$10="",G4256&amp;""=Recherche!$C$10&amp;""),OR(Recherche!$C$11="",E4256=Recherche!$C$11),OR(Recherche!$C$12="",ISNUMBER(SEARCH(Recherche!$C$12,M4256&amp;" "&amp;F4256)))),1,0)</f>
        <v>8</v>
      </c>
    </row>
    <row r="4257" customFormat="false" ht="15" hidden="false" customHeight="false" outlineLevel="0" collapsed="false">
      <c r="A4257" s="19"/>
      <c r="B4257" s="19"/>
      <c r="C4257" s="19"/>
      <c r="D4257" s="19"/>
      <c r="E4257" s="22"/>
      <c r="F4257" s="19"/>
      <c r="G4257" s="26" t="str">
        <f aca="false">IF(D4257="","",IFERROR(VALUE(LEFT(D4257,FIND(" |",D4257&amp;" |")-1)),"?"))</f>
        <v/>
      </c>
      <c r="H4257" s="27" t="str">
        <f aca="false">IF(G4257="","",IF(G4257="?","⚠ pub inconnue",IFERROR(INDEX(Pubs!$B$2:$B$3001,MATCH(G4257,Pubs!$A$2:$A$3001,0))&amp;"","⚠ pub inconnue")))</f>
        <v/>
      </c>
      <c r="I4257" s="27" t="str">
        <f aca="false">IF(OR(G4257="",G4257="?"),"",IFERROR(INDEX(Pubs!$C$2:$C$3001,MATCH(G4257,Pubs!$A$2:$A$3001,0))&amp;"",""))</f>
        <v/>
      </c>
      <c r="J4257" s="27" t="str">
        <f aca="false">IF(OR(G4257="",G4257="?"),"",IFERROR(INDEX(Pubs!$G$2:$G$3001,MATCH(G4257,Pubs!$A$2:$A$3001,0))&amp;"",""))</f>
        <v/>
      </c>
      <c r="K4257" s="28" t="str">
        <f aca="false">IF(OR(G4257="",G4257="?"),"",IFERROR(INDEX(Pubs!$E$2:$E$3001,MATCH(G4257,Pubs!$A$2:$A$3001,0)),""))</f>
        <v/>
      </c>
      <c r="L4257" s="29" t="str">
        <f aca="false">IF(A4257="","",IFERROR(1/(1/INDEX(Numéros!$C$2:$C$3001,MATCH(A4257&amp;"|"&amp;B4257,Numéros!$F$2:$F$3001,0))),""))</f>
        <v/>
      </c>
      <c r="M4257" s="27" t="str">
        <f aca="false">IF(OR(G4257="",G4257="?"),"",IFERROR(INDEX(Pubs!$D$2:$D$3001,MATCH(G4257,Pubs!$A$2:$A$3001,0))&amp;"",""))</f>
        <v/>
      </c>
      <c r="N4257" s="27" t="n">
        <f aca="false">N(N4256)+IF(AND(A4257&lt;&gt;"",OR(Recherche!$C$4="",A4257=Recherche!$C$4),OR(Recherche!$C$5="",B4257&amp;""=Recherche!$C$5&amp;""),OR(Recherche!$C$6="",IFERROR(YEAR(L4257),0)=Recherche!$C$6),OR(Recherche!$C$7="",ISNUMBER(SEARCH(Recherche!$C$7,H4257))),OR(Recherche!$C$8="",J4257=Recherche!$C$8),OR(Recherche!$C$9="",I4257=Recherche!$C$9),OR(Recherche!$C$10="",G4257&amp;""=Recherche!$C$10&amp;""),OR(Recherche!$C$11="",E4257=Recherche!$C$11),OR(Recherche!$C$12="",ISNUMBER(SEARCH(Recherche!$C$12,M4257&amp;" "&amp;F4257)))),1,0)</f>
        <v>8</v>
      </c>
    </row>
    <row r="4258" customFormat="false" ht="15" hidden="false" customHeight="false" outlineLevel="0" collapsed="false">
      <c r="A4258" s="19"/>
      <c r="B4258" s="19"/>
      <c r="C4258" s="19"/>
      <c r="D4258" s="19"/>
      <c r="E4258" s="22"/>
      <c r="F4258" s="19"/>
      <c r="G4258" s="26" t="str">
        <f aca="false">IF(D4258="","",IFERROR(VALUE(LEFT(D4258,FIND(" |",D4258&amp;" |")-1)),"?"))</f>
        <v/>
      </c>
      <c r="H4258" s="27" t="str">
        <f aca="false">IF(G4258="","",IF(G4258="?","⚠ pub inconnue",IFERROR(INDEX(Pubs!$B$2:$B$3001,MATCH(G4258,Pubs!$A$2:$A$3001,0))&amp;"","⚠ pub inconnue")))</f>
        <v/>
      </c>
      <c r="I4258" s="27" t="str">
        <f aca="false">IF(OR(G4258="",G4258="?"),"",IFERROR(INDEX(Pubs!$C$2:$C$3001,MATCH(G4258,Pubs!$A$2:$A$3001,0))&amp;"",""))</f>
        <v/>
      </c>
      <c r="J4258" s="27" t="str">
        <f aca="false">IF(OR(G4258="",G4258="?"),"",IFERROR(INDEX(Pubs!$G$2:$G$3001,MATCH(G4258,Pubs!$A$2:$A$3001,0))&amp;"",""))</f>
        <v/>
      </c>
      <c r="K4258" s="28" t="str">
        <f aca="false">IF(OR(G4258="",G4258="?"),"",IFERROR(INDEX(Pubs!$E$2:$E$3001,MATCH(G4258,Pubs!$A$2:$A$3001,0)),""))</f>
        <v/>
      </c>
      <c r="L4258" s="29" t="str">
        <f aca="false">IF(A4258="","",IFERROR(1/(1/INDEX(Numéros!$C$2:$C$3001,MATCH(A4258&amp;"|"&amp;B4258,Numéros!$F$2:$F$3001,0))),""))</f>
        <v/>
      </c>
      <c r="M4258" s="27" t="str">
        <f aca="false">IF(OR(G4258="",G4258="?"),"",IFERROR(INDEX(Pubs!$D$2:$D$3001,MATCH(G4258,Pubs!$A$2:$A$3001,0))&amp;"",""))</f>
        <v/>
      </c>
      <c r="N4258" s="27" t="n">
        <f aca="false">N(N4257)+IF(AND(A4258&lt;&gt;"",OR(Recherche!$C$4="",A4258=Recherche!$C$4),OR(Recherche!$C$5="",B4258&amp;""=Recherche!$C$5&amp;""),OR(Recherche!$C$6="",IFERROR(YEAR(L4258),0)=Recherche!$C$6),OR(Recherche!$C$7="",ISNUMBER(SEARCH(Recherche!$C$7,H4258))),OR(Recherche!$C$8="",J4258=Recherche!$C$8),OR(Recherche!$C$9="",I4258=Recherche!$C$9),OR(Recherche!$C$10="",G4258&amp;""=Recherche!$C$10&amp;""),OR(Recherche!$C$11="",E4258=Recherche!$C$11),OR(Recherche!$C$12="",ISNUMBER(SEARCH(Recherche!$C$12,M4258&amp;" "&amp;F4258)))),1,0)</f>
        <v>8</v>
      </c>
    </row>
    <row r="4259" customFormat="false" ht="15" hidden="false" customHeight="false" outlineLevel="0" collapsed="false">
      <c r="A4259" s="19"/>
      <c r="B4259" s="19"/>
      <c r="C4259" s="19"/>
      <c r="D4259" s="19"/>
      <c r="E4259" s="22"/>
      <c r="F4259" s="19"/>
      <c r="G4259" s="26" t="str">
        <f aca="false">IF(D4259="","",IFERROR(VALUE(LEFT(D4259,FIND(" |",D4259&amp;" |")-1)),"?"))</f>
        <v/>
      </c>
      <c r="H4259" s="27" t="str">
        <f aca="false">IF(G4259="","",IF(G4259="?","⚠ pub inconnue",IFERROR(INDEX(Pubs!$B$2:$B$3001,MATCH(G4259,Pubs!$A$2:$A$3001,0))&amp;"","⚠ pub inconnue")))</f>
        <v/>
      </c>
      <c r="I4259" s="27" t="str">
        <f aca="false">IF(OR(G4259="",G4259="?"),"",IFERROR(INDEX(Pubs!$C$2:$C$3001,MATCH(G4259,Pubs!$A$2:$A$3001,0))&amp;"",""))</f>
        <v/>
      </c>
      <c r="J4259" s="27" t="str">
        <f aca="false">IF(OR(G4259="",G4259="?"),"",IFERROR(INDEX(Pubs!$G$2:$G$3001,MATCH(G4259,Pubs!$A$2:$A$3001,0))&amp;"",""))</f>
        <v/>
      </c>
      <c r="K4259" s="28" t="str">
        <f aca="false">IF(OR(G4259="",G4259="?"),"",IFERROR(INDEX(Pubs!$E$2:$E$3001,MATCH(G4259,Pubs!$A$2:$A$3001,0)),""))</f>
        <v/>
      </c>
      <c r="L4259" s="29" t="str">
        <f aca="false">IF(A4259="","",IFERROR(1/(1/INDEX(Numéros!$C$2:$C$3001,MATCH(A4259&amp;"|"&amp;B4259,Numéros!$F$2:$F$3001,0))),""))</f>
        <v/>
      </c>
      <c r="M4259" s="27" t="str">
        <f aca="false">IF(OR(G4259="",G4259="?"),"",IFERROR(INDEX(Pubs!$D$2:$D$3001,MATCH(G4259,Pubs!$A$2:$A$3001,0))&amp;"",""))</f>
        <v/>
      </c>
      <c r="N4259" s="27" t="n">
        <f aca="false">N(N4258)+IF(AND(A4259&lt;&gt;"",OR(Recherche!$C$4="",A4259=Recherche!$C$4),OR(Recherche!$C$5="",B4259&amp;""=Recherche!$C$5&amp;""),OR(Recherche!$C$6="",IFERROR(YEAR(L4259),0)=Recherche!$C$6),OR(Recherche!$C$7="",ISNUMBER(SEARCH(Recherche!$C$7,H4259))),OR(Recherche!$C$8="",J4259=Recherche!$C$8),OR(Recherche!$C$9="",I4259=Recherche!$C$9),OR(Recherche!$C$10="",G4259&amp;""=Recherche!$C$10&amp;""),OR(Recherche!$C$11="",E4259=Recherche!$C$11),OR(Recherche!$C$12="",ISNUMBER(SEARCH(Recherche!$C$12,M4259&amp;" "&amp;F4259)))),1,0)</f>
        <v>8</v>
      </c>
    </row>
    <row r="4260" customFormat="false" ht="15" hidden="false" customHeight="false" outlineLevel="0" collapsed="false">
      <c r="A4260" s="19"/>
      <c r="B4260" s="19"/>
      <c r="C4260" s="19"/>
      <c r="D4260" s="19"/>
      <c r="E4260" s="22"/>
      <c r="F4260" s="19"/>
      <c r="G4260" s="26" t="str">
        <f aca="false">IF(D4260="","",IFERROR(VALUE(LEFT(D4260,FIND(" |",D4260&amp;" |")-1)),"?"))</f>
        <v/>
      </c>
      <c r="H4260" s="27" t="str">
        <f aca="false">IF(G4260="","",IF(G4260="?","⚠ pub inconnue",IFERROR(INDEX(Pubs!$B$2:$B$3001,MATCH(G4260,Pubs!$A$2:$A$3001,0))&amp;"","⚠ pub inconnue")))</f>
        <v/>
      </c>
      <c r="I4260" s="27" t="str">
        <f aca="false">IF(OR(G4260="",G4260="?"),"",IFERROR(INDEX(Pubs!$C$2:$C$3001,MATCH(G4260,Pubs!$A$2:$A$3001,0))&amp;"",""))</f>
        <v/>
      </c>
      <c r="J4260" s="27" t="str">
        <f aca="false">IF(OR(G4260="",G4260="?"),"",IFERROR(INDEX(Pubs!$G$2:$G$3001,MATCH(G4260,Pubs!$A$2:$A$3001,0))&amp;"",""))</f>
        <v/>
      </c>
      <c r="K4260" s="28" t="str">
        <f aca="false">IF(OR(G4260="",G4260="?"),"",IFERROR(INDEX(Pubs!$E$2:$E$3001,MATCH(G4260,Pubs!$A$2:$A$3001,0)),""))</f>
        <v/>
      </c>
      <c r="L4260" s="29" t="str">
        <f aca="false">IF(A4260="","",IFERROR(1/(1/INDEX(Numéros!$C$2:$C$3001,MATCH(A4260&amp;"|"&amp;B4260,Numéros!$F$2:$F$3001,0))),""))</f>
        <v/>
      </c>
      <c r="M4260" s="27" t="str">
        <f aca="false">IF(OR(G4260="",G4260="?"),"",IFERROR(INDEX(Pubs!$D$2:$D$3001,MATCH(G4260,Pubs!$A$2:$A$3001,0))&amp;"",""))</f>
        <v/>
      </c>
      <c r="N4260" s="27" t="n">
        <f aca="false">N(N4259)+IF(AND(A4260&lt;&gt;"",OR(Recherche!$C$4="",A4260=Recherche!$C$4),OR(Recherche!$C$5="",B4260&amp;""=Recherche!$C$5&amp;""),OR(Recherche!$C$6="",IFERROR(YEAR(L4260),0)=Recherche!$C$6),OR(Recherche!$C$7="",ISNUMBER(SEARCH(Recherche!$C$7,H4260))),OR(Recherche!$C$8="",J4260=Recherche!$C$8),OR(Recherche!$C$9="",I4260=Recherche!$C$9),OR(Recherche!$C$10="",G4260&amp;""=Recherche!$C$10&amp;""),OR(Recherche!$C$11="",E4260=Recherche!$C$11),OR(Recherche!$C$12="",ISNUMBER(SEARCH(Recherche!$C$12,M4260&amp;" "&amp;F4260)))),1,0)</f>
        <v>8</v>
      </c>
    </row>
    <row r="4261" customFormat="false" ht="15" hidden="false" customHeight="false" outlineLevel="0" collapsed="false">
      <c r="A4261" s="19"/>
      <c r="B4261" s="19"/>
      <c r="C4261" s="19"/>
      <c r="D4261" s="19"/>
      <c r="E4261" s="22"/>
      <c r="F4261" s="19"/>
      <c r="G4261" s="26" t="str">
        <f aca="false">IF(D4261="","",IFERROR(VALUE(LEFT(D4261,FIND(" |",D4261&amp;" |")-1)),"?"))</f>
        <v/>
      </c>
      <c r="H4261" s="27" t="str">
        <f aca="false">IF(G4261="","",IF(G4261="?","⚠ pub inconnue",IFERROR(INDEX(Pubs!$B$2:$B$3001,MATCH(G4261,Pubs!$A$2:$A$3001,0))&amp;"","⚠ pub inconnue")))</f>
        <v/>
      </c>
      <c r="I4261" s="27" t="str">
        <f aca="false">IF(OR(G4261="",G4261="?"),"",IFERROR(INDEX(Pubs!$C$2:$C$3001,MATCH(G4261,Pubs!$A$2:$A$3001,0))&amp;"",""))</f>
        <v/>
      </c>
      <c r="J4261" s="27" t="str">
        <f aca="false">IF(OR(G4261="",G4261="?"),"",IFERROR(INDEX(Pubs!$G$2:$G$3001,MATCH(G4261,Pubs!$A$2:$A$3001,0))&amp;"",""))</f>
        <v/>
      </c>
      <c r="K4261" s="28" t="str">
        <f aca="false">IF(OR(G4261="",G4261="?"),"",IFERROR(INDEX(Pubs!$E$2:$E$3001,MATCH(G4261,Pubs!$A$2:$A$3001,0)),""))</f>
        <v/>
      </c>
      <c r="L4261" s="29" t="str">
        <f aca="false">IF(A4261="","",IFERROR(1/(1/INDEX(Numéros!$C$2:$C$3001,MATCH(A4261&amp;"|"&amp;B4261,Numéros!$F$2:$F$3001,0))),""))</f>
        <v/>
      </c>
      <c r="M4261" s="27" t="str">
        <f aca="false">IF(OR(G4261="",G4261="?"),"",IFERROR(INDEX(Pubs!$D$2:$D$3001,MATCH(G4261,Pubs!$A$2:$A$3001,0))&amp;"",""))</f>
        <v/>
      </c>
      <c r="N4261" s="27" t="n">
        <f aca="false">N(N4260)+IF(AND(A4261&lt;&gt;"",OR(Recherche!$C$4="",A4261=Recherche!$C$4),OR(Recherche!$C$5="",B4261&amp;""=Recherche!$C$5&amp;""),OR(Recherche!$C$6="",IFERROR(YEAR(L4261),0)=Recherche!$C$6),OR(Recherche!$C$7="",ISNUMBER(SEARCH(Recherche!$C$7,H4261))),OR(Recherche!$C$8="",J4261=Recherche!$C$8),OR(Recherche!$C$9="",I4261=Recherche!$C$9),OR(Recherche!$C$10="",G4261&amp;""=Recherche!$C$10&amp;""),OR(Recherche!$C$11="",E4261=Recherche!$C$11),OR(Recherche!$C$12="",ISNUMBER(SEARCH(Recherche!$C$12,M4261&amp;" "&amp;F4261)))),1,0)</f>
        <v>8</v>
      </c>
    </row>
    <row r="4262" customFormat="false" ht="15" hidden="false" customHeight="false" outlineLevel="0" collapsed="false">
      <c r="A4262" s="19"/>
      <c r="B4262" s="19"/>
      <c r="C4262" s="19"/>
      <c r="D4262" s="19"/>
      <c r="E4262" s="22"/>
      <c r="F4262" s="19"/>
      <c r="G4262" s="26" t="str">
        <f aca="false">IF(D4262="","",IFERROR(VALUE(LEFT(D4262,FIND(" |",D4262&amp;" |")-1)),"?"))</f>
        <v/>
      </c>
      <c r="H4262" s="27" t="str">
        <f aca="false">IF(G4262="","",IF(G4262="?","⚠ pub inconnue",IFERROR(INDEX(Pubs!$B$2:$B$3001,MATCH(G4262,Pubs!$A$2:$A$3001,0))&amp;"","⚠ pub inconnue")))</f>
        <v/>
      </c>
      <c r="I4262" s="27" t="str">
        <f aca="false">IF(OR(G4262="",G4262="?"),"",IFERROR(INDEX(Pubs!$C$2:$C$3001,MATCH(G4262,Pubs!$A$2:$A$3001,0))&amp;"",""))</f>
        <v/>
      </c>
      <c r="J4262" s="27" t="str">
        <f aca="false">IF(OR(G4262="",G4262="?"),"",IFERROR(INDEX(Pubs!$G$2:$G$3001,MATCH(G4262,Pubs!$A$2:$A$3001,0))&amp;"",""))</f>
        <v/>
      </c>
      <c r="K4262" s="28" t="str">
        <f aca="false">IF(OR(G4262="",G4262="?"),"",IFERROR(INDEX(Pubs!$E$2:$E$3001,MATCH(G4262,Pubs!$A$2:$A$3001,0)),""))</f>
        <v/>
      </c>
      <c r="L4262" s="29" t="str">
        <f aca="false">IF(A4262="","",IFERROR(1/(1/INDEX(Numéros!$C$2:$C$3001,MATCH(A4262&amp;"|"&amp;B4262,Numéros!$F$2:$F$3001,0))),""))</f>
        <v/>
      </c>
      <c r="M4262" s="27" t="str">
        <f aca="false">IF(OR(G4262="",G4262="?"),"",IFERROR(INDEX(Pubs!$D$2:$D$3001,MATCH(G4262,Pubs!$A$2:$A$3001,0))&amp;"",""))</f>
        <v/>
      </c>
      <c r="N4262" s="27" t="n">
        <f aca="false">N(N4261)+IF(AND(A4262&lt;&gt;"",OR(Recherche!$C$4="",A4262=Recherche!$C$4),OR(Recherche!$C$5="",B4262&amp;""=Recherche!$C$5&amp;""),OR(Recherche!$C$6="",IFERROR(YEAR(L4262),0)=Recherche!$C$6),OR(Recherche!$C$7="",ISNUMBER(SEARCH(Recherche!$C$7,H4262))),OR(Recherche!$C$8="",J4262=Recherche!$C$8),OR(Recherche!$C$9="",I4262=Recherche!$C$9),OR(Recherche!$C$10="",G4262&amp;""=Recherche!$C$10&amp;""),OR(Recherche!$C$11="",E4262=Recherche!$C$11),OR(Recherche!$C$12="",ISNUMBER(SEARCH(Recherche!$C$12,M4262&amp;" "&amp;F4262)))),1,0)</f>
        <v>8</v>
      </c>
    </row>
    <row r="4263" customFormat="false" ht="15" hidden="false" customHeight="false" outlineLevel="0" collapsed="false">
      <c r="A4263" s="19"/>
      <c r="B4263" s="19"/>
      <c r="C4263" s="19"/>
      <c r="D4263" s="19"/>
      <c r="E4263" s="22"/>
      <c r="F4263" s="19"/>
      <c r="G4263" s="26" t="str">
        <f aca="false">IF(D4263="","",IFERROR(VALUE(LEFT(D4263,FIND(" |",D4263&amp;" |")-1)),"?"))</f>
        <v/>
      </c>
      <c r="H4263" s="27" t="str">
        <f aca="false">IF(G4263="","",IF(G4263="?","⚠ pub inconnue",IFERROR(INDEX(Pubs!$B$2:$B$3001,MATCH(G4263,Pubs!$A$2:$A$3001,0))&amp;"","⚠ pub inconnue")))</f>
        <v/>
      </c>
      <c r="I4263" s="27" t="str">
        <f aca="false">IF(OR(G4263="",G4263="?"),"",IFERROR(INDEX(Pubs!$C$2:$C$3001,MATCH(G4263,Pubs!$A$2:$A$3001,0))&amp;"",""))</f>
        <v/>
      </c>
      <c r="J4263" s="27" t="str">
        <f aca="false">IF(OR(G4263="",G4263="?"),"",IFERROR(INDEX(Pubs!$G$2:$G$3001,MATCH(G4263,Pubs!$A$2:$A$3001,0))&amp;"",""))</f>
        <v/>
      </c>
      <c r="K4263" s="28" t="str">
        <f aca="false">IF(OR(G4263="",G4263="?"),"",IFERROR(INDEX(Pubs!$E$2:$E$3001,MATCH(G4263,Pubs!$A$2:$A$3001,0)),""))</f>
        <v/>
      </c>
      <c r="L4263" s="29" t="str">
        <f aca="false">IF(A4263="","",IFERROR(1/(1/INDEX(Numéros!$C$2:$C$3001,MATCH(A4263&amp;"|"&amp;B4263,Numéros!$F$2:$F$3001,0))),""))</f>
        <v/>
      </c>
      <c r="M4263" s="27" t="str">
        <f aca="false">IF(OR(G4263="",G4263="?"),"",IFERROR(INDEX(Pubs!$D$2:$D$3001,MATCH(G4263,Pubs!$A$2:$A$3001,0))&amp;"",""))</f>
        <v/>
      </c>
      <c r="N4263" s="27" t="n">
        <f aca="false">N(N4262)+IF(AND(A4263&lt;&gt;"",OR(Recherche!$C$4="",A4263=Recherche!$C$4),OR(Recherche!$C$5="",B4263&amp;""=Recherche!$C$5&amp;""),OR(Recherche!$C$6="",IFERROR(YEAR(L4263),0)=Recherche!$C$6),OR(Recherche!$C$7="",ISNUMBER(SEARCH(Recherche!$C$7,H4263))),OR(Recherche!$C$8="",J4263=Recherche!$C$8),OR(Recherche!$C$9="",I4263=Recherche!$C$9),OR(Recherche!$C$10="",G4263&amp;""=Recherche!$C$10&amp;""),OR(Recherche!$C$11="",E4263=Recherche!$C$11),OR(Recherche!$C$12="",ISNUMBER(SEARCH(Recherche!$C$12,M4263&amp;" "&amp;F4263)))),1,0)</f>
        <v>8</v>
      </c>
    </row>
    <row r="4264" customFormat="false" ht="15" hidden="false" customHeight="false" outlineLevel="0" collapsed="false">
      <c r="A4264" s="19"/>
      <c r="B4264" s="19"/>
      <c r="C4264" s="19"/>
      <c r="D4264" s="19"/>
      <c r="E4264" s="22"/>
      <c r="F4264" s="19"/>
      <c r="G4264" s="26" t="str">
        <f aca="false">IF(D4264="","",IFERROR(VALUE(LEFT(D4264,FIND(" |",D4264&amp;" |")-1)),"?"))</f>
        <v/>
      </c>
      <c r="H4264" s="27" t="str">
        <f aca="false">IF(G4264="","",IF(G4264="?","⚠ pub inconnue",IFERROR(INDEX(Pubs!$B$2:$B$3001,MATCH(G4264,Pubs!$A$2:$A$3001,0))&amp;"","⚠ pub inconnue")))</f>
        <v/>
      </c>
      <c r="I4264" s="27" t="str">
        <f aca="false">IF(OR(G4264="",G4264="?"),"",IFERROR(INDEX(Pubs!$C$2:$C$3001,MATCH(G4264,Pubs!$A$2:$A$3001,0))&amp;"",""))</f>
        <v/>
      </c>
      <c r="J4264" s="27" t="str">
        <f aca="false">IF(OR(G4264="",G4264="?"),"",IFERROR(INDEX(Pubs!$G$2:$G$3001,MATCH(G4264,Pubs!$A$2:$A$3001,0))&amp;"",""))</f>
        <v/>
      </c>
      <c r="K4264" s="28" t="str">
        <f aca="false">IF(OR(G4264="",G4264="?"),"",IFERROR(INDEX(Pubs!$E$2:$E$3001,MATCH(G4264,Pubs!$A$2:$A$3001,0)),""))</f>
        <v/>
      </c>
      <c r="L4264" s="29" t="str">
        <f aca="false">IF(A4264="","",IFERROR(1/(1/INDEX(Numéros!$C$2:$C$3001,MATCH(A4264&amp;"|"&amp;B4264,Numéros!$F$2:$F$3001,0))),""))</f>
        <v/>
      </c>
      <c r="M4264" s="27" t="str">
        <f aca="false">IF(OR(G4264="",G4264="?"),"",IFERROR(INDEX(Pubs!$D$2:$D$3001,MATCH(G4264,Pubs!$A$2:$A$3001,0))&amp;"",""))</f>
        <v/>
      </c>
      <c r="N4264" s="27" t="n">
        <f aca="false">N(N4263)+IF(AND(A4264&lt;&gt;"",OR(Recherche!$C$4="",A4264=Recherche!$C$4),OR(Recherche!$C$5="",B4264&amp;""=Recherche!$C$5&amp;""),OR(Recherche!$C$6="",IFERROR(YEAR(L4264),0)=Recherche!$C$6),OR(Recherche!$C$7="",ISNUMBER(SEARCH(Recherche!$C$7,H4264))),OR(Recherche!$C$8="",J4264=Recherche!$C$8),OR(Recherche!$C$9="",I4264=Recherche!$C$9),OR(Recherche!$C$10="",G4264&amp;""=Recherche!$C$10&amp;""),OR(Recherche!$C$11="",E4264=Recherche!$C$11),OR(Recherche!$C$12="",ISNUMBER(SEARCH(Recherche!$C$12,M4264&amp;" "&amp;F4264)))),1,0)</f>
        <v>8</v>
      </c>
    </row>
    <row r="4265" customFormat="false" ht="15" hidden="false" customHeight="false" outlineLevel="0" collapsed="false">
      <c r="A4265" s="19"/>
      <c r="B4265" s="19"/>
      <c r="C4265" s="19"/>
      <c r="D4265" s="19"/>
      <c r="E4265" s="22"/>
      <c r="F4265" s="19"/>
      <c r="G4265" s="26" t="str">
        <f aca="false">IF(D4265="","",IFERROR(VALUE(LEFT(D4265,FIND(" |",D4265&amp;" |")-1)),"?"))</f>
        <v/>
      </c>
      <c r="H4265" s="27" t="str">
        <f aca="false">IF(G4265="","",IF(G4265="?","⚠ pub inconnue",IFERROR(INDEX(Pubs!$B$2:$B$3001,MATCH(G4265,Pubs!$A$2:$A$3001,0))&amp;"","⚠ pub inconnue")))</f>
        <v/>
      </c>
      <c r="I4265" s="27" t="str">
        <f aca="false">IF(OR(G4265="",G4265="?"),"",IFERROR(INDEX(Pubs!$C$2:$C$3001,MATCH(G4265,Pubs!$A$2:$A$3001,0))&amp;"",""))</f>
        <v/>
      </c>
      <c r="J4265" s="27" t="str">
        <f aca="false">IF(OR(G4265="",G4265="?"),"",IFERROR(INDEX(Pubs!$G$2:$G$3001,MATCH(G4265,Pubs!$A$2:$A$3001,0))&amp;"",""))</f>
        <v/>
      </c>
      <c r="K4265" s="28" t="str">
        <f aca="false">IF(OR(G4265="",G4265="?"),"",IFERROR(INDEX(Pubs!$E$2:$E$3001,MATCH(G4265,Pubs!$A$2:$A$3001,0)),""))</f>
        <v/>
      </c>
      <c r="L4265" s="29" t="str">
        <f aca="false">IF(A4265="","",IFERROR(1/(1/INDEX(Numéros!$C$2:$C$3001,MATCH(A4265&amp;"|"&amp;B4265,Numéros!$F$2:$F$3001,0))),""))</f>
        <v/>
      </c>
      <c r="M4265" s="27" t="str">
        <f aca="false">IF(OR(G4265="",G4265="?"),"",IFERROR(INDEX(Pubs!$D$2:$D$3001,MATCH(G4265,Pubs!$A$2:$A$3001,0))&amp;"",""))</f>
        <v/>
      </c>
      <c r="N4265" s="27" t="n">
        <f aca="false">N(N4264)+IF(AND(A4265&lt;&gt;"",OR(Recherche!$C$4="",A4265=Recherche!$C$4),OR(Recherche!$C$5="",B4265&amp;""=Recherche!$C$5&amp;""),OR(Recherche!$C$6="",IFERROR(YEAR(L4265),0)=Recherche!$C$6),OR(Recherche!$C$7="",ISNUMBER(SEARCH(Recherche!$C$7,H4265))),OR(Recherche!$C$8="",J4265=Recherche!$C$8),OR(Recherche!$C$9="",I4265=Recherche!$C$9),OR(Recherche!$C$10="",G4265&amp;""=Recherche!$C$10&amp;""),OR(Recherche!$C$11="",E4265=Recherche!$C$11),OR(Recherche!$C$12="",ISNUMBER(SEARCH(Recherche!$C$12,M4265&amp;" "&amp;F4265)))),1,0)</f>
        <v>8</v>
      </c>
    </row>
    <row r="4266" customFormat="false" ht="15" hidden="false" customHeight="false" outlineLevel="0" collapsed="false">
      <c r="A4266" s="19"/>
      <c r="B4266" s="19"/>
      <c r="C4266" s="19"/>
      <c r="D4266" s="19"/>
      <c r="E4266" s="22"/>
      <c r="F4266" s="19"/>
      <c r="G4266" s="26" t="str">
        <f aca="false">IF(D4266="","",IFERROR(VALUE(LEFT(D4266,FIND(" |",D4266&amp;" |")-1)),"?"))</f>
        <v/>
      </c>
      <c r="H4266" s="27" t="str">
        <f aca="false">IF(G4266="","",IF(G4266="?","⚠ pub inconnue",IFERROR(INDEX(Pubs!$B$2:$B$3001,MATCH(G4266,Pubs!$A$2:$A$3001,0))&amp;"","⚠ pub inconnue")))</f>
        <v/>
      </c>
      <c r="I4266" s="27" t="str">
        <f aca="false">IF(OR(G4266="",G4266="?"),"",IFERROR(INDEX(Pubs!$C$2:$C$3001,MATCH(G4266,Pubs!$A$2:$A$3001,0))&amp;"",""))</f>
        <v/>
      </c>
      <c r="J4266" s="27" t="str">
        <f aca="false">IF(OR(G4266="",G4266="?"),"",IFERROR(INDEX(Pubs!$G$2:$G$3001,MATCH(G4266,Pubs!$A$2:$A$3001,0))&amp;"",""))</f>
        <v/>
      </c>
      <c r="K4266" s="28" t="str">
        <f aca="false">IF(OR(G4266="",G4266="?"),"",IFERROR(INDEX(Pubs!$E$2:$E$3001,MATCH(G4266,Pubs!$A$2:$A$3001,0)),""))</f>
        <v/>
      </c>
      <c r="L4266" s="29" t="str">
        <f aca="false">IF(A4266="","",IFERROR(1/(1/INDEX(Numéros!$C$2:$C$3001,MATCH(A4266&amp;"|"&amp;B4266,Numéros!$F$2:$F$3001,0))),""))</f>
        <v/>
      </c>
      <c r="M4266" s="27" t="str">
        <f aca="false">IF(OR(G4266="",G4266="?"),"",IFERROR(INDEX(Pubs!$D$2:$D$3001,MATCH(G4266,Pubs!$A$2:$A$3001,0))&amp;"",""))</f>
        <v/>
      </c>
      <c r="N4266" s="27" t="n">
        <f aca="false">N(N4265)+IF(AND(A4266&lt;&gt;"",OR(Recherche!$C$4="",A4266=Recherche!$C$4),OR(Recherche!$C$5="",B4266&amp;""=Recherche!$C$5&amp;""),OR(Recherche!$C$6="",IFERROR(YEAR(L4266),0)=Recherche!$C$6),OR(Recherche!$C$7="",ISNUMBER(SEARCH(Recherche!$C$7,H4266))),OR(Recherche!$C$8="",J4266=Recherche!$C$8),OR(Recherche!$C$9="",I4266=Recherche!$C$9),OR(Recherche!$C$10="",G4266&amp;""=Recherche!$C$10&amp;""),OR(Recherche!$C$11="",E4266=Recherche!$C$11),OR(Recherche!$C$12="",ISNUMBER(SEARCH(Recherche!$C$12,M4266&amp;" "&amp;F4266)))),1,0)</f>
        <v>8</v>
      </c>
    </row>
    <row r="4267" customFormat="false" ht="15" hidden="false" customHeight="false" outlineLevel="0" collapsed="false">
      <c r="A4267" s="19"/>
      <c r="B4267" s="19"/>
      <c r="C4267" s="19"/>
      <c r="D4267" s="19"/>
      <c r="E4267" s="22"/>
      <c r="F4267" s="19"/>
      <c r="G4267" s="26" t="str">
        <f aca="false">IF(D4267="","",IFERROR(VALUE(LEFT(D4267,FIND(" |",D4267&amp;" |")-1)),"?"))</f>
        <v/>
      </c>
      <c r="H4267" s="27" t="str">
        <f aca="false">IF(G4267="","",IF(G4267="?","⚠ pub inconnue",IFERROR(INDEX(Pubs!$B$2:$B$3001,MATCH(G4267,Pubs!$A$2:$A$3001,0))&amp;"","⚠ pub inconnue")))</f>
        <v/>
      </c>
      <c r="I4267" s="27" t="str">
        <f aca="false">IF(OR(G4267="",G4267="?"),"",IFERROR(INDEX(Pubs!$C$2:$C$3001,MATCH(G4267,Pubs!$A$2:$A$3001,0))&amp;"",""))</f>
        <v/>
      </c>
      <c r="J4267" s="27" t="str">
        <f aca="false">IF(OR(G4267="",G4267="?"),"",IFERROR(INDEX(Pubs!$G$2:$G$3001,MATCH(G4267,Pubs!$A$2:$A$3001,0))&amp;"",""))</f>
        <v/>
      </c>
      <c r="K4267" s="28" t="str">
        <f aca="false">IF(OR(G4267="",G4267="?"),"",IFERROR(INDEX(Pubs!$E$2:$E$3001,MATCH(G4267,Pubs!$A$2:$A$3001,0)),""))</f>
        <v/>
      </c>
      <c r="L4267" s="29" t="str">
        <f aca="false">IF(A4267="","",IFERROR(1/(1/INDEX(Numéros!$C$2:$C$3001,MATCH(A4267&amp;"|"&amp;B4267,Numéros!$F$2:$F$3001,0))),""))</f>
        <v/>
      </c>
      <c r="M4267" s="27" t="str">
        <f aca="false">IF(OR(G4267="",G4267="?"),"",IFERROR(INDEX(Pubs!$D$2:$D$3001,MATCH(G4267,Pubs!$A$2:$A$3001,0))&amp;"",""))</f>
        <v/>
      </c>
      <c r="N4267" s="27" t="n">
        <f aca="false">N(N4266)+IF(AND(A4267&lt;&gt;"",OR(Recherche!$C$4="",A4267=Recherche!$C$4),OR(Recherche!$C$5="",B4267&amp;""=Recherche!$C$5&amp;""),OR(Recherche!$C$6="",IFERROR(YEAR(L4267),0)=Recherche!$C$6),OR(Recherche!$C$7="",ISNUMBER(SEARCH(Recherche!$C$7,H4267))),OR(Recherche!$C$8="",J4267=Recherche!$C$8),OR(Recherche!$C$9="",I4267=Recherche!$C$9),OR(Recherche!$C$10="",G4267&amp;""=Recherche!$C$10&amp;""),OR(Recherche!$C$11="",E4267=Recherche!$C$11),OR(Recherche!$C$12="",ISNUMBER(SEARCH(Recherche!$C$12,M4267&amp;" "&amp;F4267)))),1,0)</f>
        <v>8</v>
      </c>
    </row>
    <row r="4268" customFormat="false" ht="15" hidden="false" customHeight="false" outlineLevel="0" collapsed="false">
      <c r="A4268" s="19"/>
      <c r="B4268" s="19"/>
      <c r="C4268" s="19"/>
      <c r="D4268" s="19"/>
      <c r="E4268" s="22"/>
      <c r="F4268" s="19"/>
      <c r="G4268" s="26" t="str">
        <f aca="false">IF(D4268="","",IFERROR(VALUE(LEFT(D4268,FIND(" |",D4268&amp;" |")-1)),"?"))</f>
        <v/>
      </c>
      <c r="H4268" s="27" t="str">
        <f aca="false">IF(G4268="","",IF(G4268="?","⚠ pub inconnue",IFERROR(INDEX(Pubs!$B$2:$B$3001,MATCH(G4268,Pubs!$A$2:$A$3001,0))&amp;"","⚠ pub inconnue")))</f>
        <v/>
      </c>
      <c r="I4268" s="27" t="str">
        <f aca="false">IF(OR(G4268="",G4268="?"),"",IFERROR(INDEX(Pubs!$C$2:$C$3001,MATCH(G4268,Pubs!$A$2:$A$3001,0))&amp;"",""))</f>
        <v/>
      </c>
      <c r="J4268" s="27" t="str">
        <f aca="false">IF(OR(G4268="",G4268="?"),"",IFERROR(INDEX(Pubs!$G$2:$G$3001,MATCH(G4268,Pubs!$A$2:$A$3001,0))&amp;"",""))</f>
        <v/>
      </c>
      <c r="K4268" s="28" t="str">
        <f aca="false">IF(OR(G4268="",G4268="?"),"",IFERROR(INDEX(Pubs!$E$2:$E$3001,MATCH(G4268,Pubs!$A$2:$A$3001,0)),""))</f>
        <v/>
      </c>
      <c r="L4268" s="29" t="str">
        <f aca="false">IF(A4268="","",IFERROR(1/(1/INDEX(Numéros!$C$2:$C$3001,MATCH(A4268&amp;"|"&amp;B4268,Numéros!$F$2:$F$3001,0))),""))</f>
        <v/>
      </c>
      <c r="M4268" s="27" t="str">
        <f aca="false">IF(OR(G4268="",G4268="?"),"",IFERROR(INDEX(Pubs!$D$2:$D$3001,MATCH(G4268,Pubs!$A$2:$A$3001,0))&amp;"",""))</f>
        <v/>
      </c>
      <c r="N4268" s="27" t="n">
        <f aca="false">N(N4267)+IF(AND(A4268&lt;&gt;"",OR(Recherche!$C$4="",A4268=Recherche!$C$4),OR(Recherche!$C$5="",B4268&amp;""=Recherche!$C$5&amp;""),OR(Recherche!$C$6="",IFERROR(YEAR(L4268),0)=Recherche!$C$6),OR(Recherche!$C$7="",ISNUMBER(SEARCH(Recherche!$C$7,H4268))),OR(Recherche!$C$8="",J4268=Recherche!$C$8),OR(Recherche!$C$9="",I4268=Recherche!$C$9),OR(Recherche!$C$10="",G4268&amp;""=Recherche!$C$10&amp;""),OR(Recherche!$C$11="",E4268=Recherche!$C$11),OR(Recherche!$C$12="",ISNUMBER(SEARCH(Recherche!$C$12,M4268&amp;" "&amp;F4268)))),1,0)</f>
        <v>8</v>
      </c>
    </row>
    <row r="4269" customFormat="false" ht="15" hidden="false" customHeight="false" outlineLevel="0" collapsed="false">
      <c r="A4269" s="19"/>
      <c r="B4269" s="19"/>
      <c r="C4269" s="19"/>
      <c r="D4269" s="19"/>
      <c r="E4269" s="22"/>
      <c r="F4269" s="19"/>
      <c r="G4269" s="26" t="str">
        <f aca="false">IF(D4269="","",IFERROR(VALUE(LEFT(D4269,FIND(" |",D4269&amp;" |")-1)),"?"))</f>
        <v/>
      </c>
      <c r="H4269" s="27" t="str">
        <f aca="false">IF(G4269="","",IF(G4269="?","⚠ pub inconnue",IFERROR(INDEX(Pubs!$B$2:$B$3001,MATCH(G4269,Pubs!$A$2:$A$3001,0))&amp;"","⚠ pub inconnue")))</f>
        <v/>
      </c>
      <c r="I4269" s="27" t="str">
        <f aca="false">IF(OR(G4269="",G4269="?"),"",IFERROR(INDEX(Pubs!$C$2:$C$3001,MATCH(G4269,Pubs!$A$2:$A$3001,0))&amp;"",""))</f>
        <v/>
      </c>
      <c r="J4269" s="27" t="str">
        <f aca="false">IF(OR(G4269="",G4269="?"),"",IFERROR(INDEX(Pubs!$G$2:$G$3001,MATCH(G4269,Pubs!$A$2:$A$3001,0))&amp;"",""))</f>
        <v/>
      </c>
      <c r="K4269" s="28" t="str">
        <f aca="false">IF(OR(G4269="",G4269="?"),"",IFERROR(INDEX(Pubs!$E$2:$E$3001,MATCH(G4269,Pubs!$A$2:$A$3001,0)),""))</f>
        <v/>
      </c>
      <c r="L4269" s="29" t="str">
        <f aca="false">IF(A4269="","",IFERROR(1/(1/INDEX(Numéros!$C$2:$C$3001,MATCH(A4269&amp;"|"&amp;B4269,Numéros!$F$2:$F$3001,0))),""))</f>
        <v/>
      </c>
      <c r="M4269" s="27" t="str">
        <f aca="false">IF(OR(G4269="",G4269="?"),"",IFERROR(INDEX(Pubs!$D$2:$D$3001,MATCH(G4269,Pubs!$A$2:$A$3001,0))&amp;"",""))</f>
        <v/>
      </c>
      <c r="N4269" s="27" t="n">
        <f aca="false">N(N4268)+IF(AND(A4269&lt;&gt;"",OR(Recherche!$C$4="",A4269=Recherche!$C$4),OR(Recherche!$C$5="",B4269&amp;""=Recherche!$C$5&amp;""),OR(Recherche!$C$6="",IFERROR(YEAR(L4269),0)=Recherche!$C$6),OR(Recherche!$C$7="",ISNUMBER(SEARCH(Recherche!$C$7,H4269))),OR(Recherche!$C$8="",J4269=Recherche!$C$8),OR(Recherche!$C$9="",I4269=Recherche!$C$9),OR(Recherche!$C$10="",G4269&amp;""=Recherche!$C$10&amp;""),OR(Recherche!$C$11="",E4269=Recherche!$C$11),OR(Recherche!$C$12="",ISNUMBER(SEARCH(Recherche!$C$12,M4269&amp;" "&amp;F4269)))),1,0)</f>
        <v>8</v>
      </c>
    </row>
    <row r="4270" customFormat="false" ht="15" hidden="false" customHeight="false" outlineLevel="0" collapsed="false">
      <c r="A4270" s="19"/>
      <c r="B4270" s="19"/>
      <c r="C4270" s="19"/>
      <c r="D4270" s="19"/>
      <c r="E4270" s="22"/>
      <c r="F4270" s="19"/>
      <c r="G4270" s="26" t="str">
        <f aca="false">IF(D4270="","",IFERROR(VALUE(LEFT(D4270,FIND(" |",D4270&amp;" |")-1)),"?"))</f>
        <v/>
      </c>
      <c r="H4270" s="27" t="str">
        <f aca="false">IF(G4270="","",IF(G4270="?","⚠ pub inconnue",IFERROR(INDEX(Pubs!$B$2:$B$3001,MATCH(G4270,Pubs!$A$2:$A$3001,0))&amp;"","⚠ pub inconnue")))</f>
        <v/>
      </c>
      <c r="I4270" s="27" t="str">
        <f aca="false">IF(OR(G4270="",G4270="?"),"",IFERROR(INDEX(Pubs!$C$2:$C$3001,MATCH(G4270,Pubs!$A$2:$A$3001,0))&amp;"",""))</f>
        <v/>
      </c>
      <c r="J4270" s="27" t="str">
        <f aca="false">IF(OR(G4270="",G4270="?"),"",IFERROR(INDEX(Pubs!$G$2:$G$3001,MATCH(G4270,Pubs!$A$2:$A$3001,0))&amp;"",""))</f>
        <v/>
      </c>
      <c r="K4270" s="28" t="str">
        <f aca="false">IF(OR(G4270="",G4270="?"),"",IFERROR(INDEX(Pubs!$E$2:$E$3001,MATCH(G4270,Pubs!$A$2:$A$3001,0)),""))</f>
        <v/>
      </c>
      <c r="L4270" s="29" t="str">
        <f aca="false">IF(A4270="","",IFERROR(1/(1/INDEX(Numéros!$C$2:$C$3001,MATCH(A4270&amp;"|"&amp;B4270,Numéros!$F$2:$F$3001,0))),""))</f>
        <v/>
      </c>
      <c r="M4270" s="27" t="str">
        <f aca="false">IF(OR(G4270="",G4270="?"),"",IFERROR(INDEX(Pubs!$D$2:$D$3001,MATCH(G4270,Pubs!$A$2:$A$3001,0))&amp;"",""))</f>
        <v/>
      </c>
      <c r="N4270" s="27" t="n">
        <f aca="false">N(N4269)+IF(AND(A4270&lt;&gt;"",OR(Recherche!$C$4="",A4270=Recherche!$C$4),OR(Recherche!$C$5="",B4270&amp;""=Recherche!$C$5&amp;""),OR(Recherche!$C$6="",IFERROR(YEAR(L4270),0)=Recherche!$C$6),OR(Recherche!$C$7="",ISNUMBER(SEARCH(Recherche!$C$7,H4270))),OR(Recherche!$C$8="",J4270=Recherche!$C$8),OR(Recherche!$C$9="",I4270=Recherche!$C$9),OR(Recherche!$C$10="",G4270&amp;""=Recherche!$C$10&amp;""),OR(Recherche!$C$11="",E4270=Recherche!$C$11),OR(Recherche!$C$12="",ISNUMBER(SEARCH(Recherche!$C$12,M4270&amp;" "&amp;F4270)))),1,0)</f>
        <v>8</v>
      </c>
    </row>
    <row r="4271" customFormat="false" ht="15" hidden="false" customHeight="false" outlineLevel="0" collapsed="false">
      <c r="A4271" s="19"/>
      <c r="B4271" s="19"/>
      <c r="C4271" s="19"/>
      <c r="D4271" s="19"/>
      <c r="E4271" s="22"/>
      <c r="F4271" s="19"/>
      <c r="G4271" s="26" t="str">
        <f aca="false">IF(D4271="","",IFERROR(VALUE(LEFT(D4271,FIND(" |",D4271&amp;" |")-1)),"?"))</f>
        <v/>
      </c>
      <c r="H4271" s="27" t="str">
        <f aca="false">IF(G4271="","",IF(G4271="?","⚠ pub inconnue",IFERROR(INDEX(Pubs!$B$2:$B$3001,MATCH(G4271,Pubs!$A$2:$A$3001,0))&amp;"","⚠ pub inconnue")))</f>
        <v/>
      </c>
      <c r="I4271" s="27" t="str">
        <f aca="false">IF(OR(G4271="",G4271="?"),"",IFERROR(INDEX(Pubs!$C$2:$C$3001,MATCH(G4271,Pubs!$A$2:$A$3001,0))&amp;"",""))</f>
        <v/>
      </c>
      <c r="J4271" s="27" t="str">
        <f aca="false">IF(OR(G4271="",G4271="?"),"",IFERROR(INDEX(Pubs!$G$2:$G$3001,MATCH(G4271,Pubs!$A$2:$A$3001,0))&amp;"",""))</f>
        <v/>
      </c>
      <c r="K4271" s="28" t="str">
        <f aca="false">IF(OR(G4271="",G4271="?"),"",IFERROR(INDEX(Pubs!$E$2:$E$3001,MATCH(G4271,Pubs!$A$2:$A$3001,0)),""))</f>
        <v/>
      </c>
      <c r="L4271" s="29" t="str">
        <f aca="false">IF(A4271="","",IFERROR(1/(1/INDEX(Numéros!$C$2:$C$3001,MATCH(A4271&amp;"|"&amp;B4271,Numéros!$F$2:$F$3001,0))),""))</f>
        <v/>
      </c>
      <c r="M4271" s="27" t="str">
        <f aca="false">IF(OR(G4271="",G4271="?"),"",IFERROR(INDEX(Pubs!$D$2:$D$3001,MATCH(G4271,Pubs!$A$2:$A$3001,0))&amp;"",""))</f>
        <v/>
      </c>
      <c r="N4271" s="27" t="n">
        <f aca="false">N(N4270)+IF(AND(A4271&lt;&gt;"",OR(Recherche!$C$4="",A4271=Recherche!$C$4),OR(Recherche!$C$5="",B4271&amp;""=Recherche!$C$5&amp;""),OR(Recherche!$C$6="",IFERROR(YEAR(L4271),0)=Recherche!$C$6),OR(Recherche!$C$7="",ISNUMBER(SEARCH(Recherche!$C$7,H4271))),OR(Recherche!$C$8="",J4271=Recherche!$C$8),OR(Recherche!$C$9="",I4271=Recherche!$C$9),OR(Recherche!$C$10="",G4271&amp;""=Recherche!$C$10&amp;""),OR(Recherche!$C$11="",E4271=Recherche!$C$11),OR(Recherche!$C$12="",ISNUMBER(SEARCH(Recherche!$C$12,M4271&amp;" "&amp;F4271)))),1,0)</f>
        <v>8</v>
      </c>
    </row>
    <row r="4272" customFormat="false" ht="15" hidden="false" customHeight="false" outlineLevel="0" collapsed="false">
      <c r="A4272" s="19"/>
      <c r="B4272" s="19"/>
      <c r="C4272" s="19"/>
      <c r="D4272" s="19"/>
      <c r="E4272" s="22"/>
      <c r="F4272" s="19"/>
      <c r="G4272" s="26" t="str">
        <f aca="false">IF(D4272="","",IFERROR(VALUE(LEFT(D4272,FIND(" |",D4272&amp;" |")-1)),"?"))</f>
        <v/>
      </c>
      <c r="H4272" s="27" t="str">
        <f aca="false">IF(G4272="","",IF(G4272="?","⚠ pub inconnue",IFERROR(INDEX(Pubs!$B$2:$B$3001,MATCH(G4272,Pubs!$A$2:$A$3001,0))&amp;"","⚠ pub inconnue")))</f>
        <v/>
      </c>
      <c r="I4272" s="27" t="str">
        <f aca="false">IF(OR(G4272="",G4272="?"),"",IFERROR(INDEX(Pubs!$C$2:$C$3001,MATCH(G4272,Pubs!$A$2:$A$3001,0))&amp;"",""))</f>
        <v/>
      </c>
      <c r="J4272" s="27" t="str">
        <f aca="false">IF(OR(G4272="",G4272="?"),"",IFERROR(INDEX(Pubs!$G$2:$G$3001,MATCH(G4272,Pubs!$A$2:$A$3001,0))&amp;"",""))</f>
        <v/>
      </c>
      <c r="K4272" s="28" t="str">
        <f aca="false">IF(OR(G4272="",G4272="?"),"",IFERROR(INDEX(Pubs!$E$2:$E$3001,MATCH(G4272,Pubs!$A$2:$A$3001,0)),""))</f>
        <v/>
      </c>
      <c r="L4272" s="29" t="str">
        <f aca="false">IF(A4272="","",IFERROR(1/(1/INDEX(Numéros!$C$2:$C$3001,MATCH(A4272&amp;"|"&amp;B4272,Numéros!$F$2:$F$3001,0))),""))</f>
        <v/>
      </c>
      <c r="M4272" s="27" t="str">
        <f aca="false">IF(OR(G4272="",G4272="?"),"",IFERROR(INDEX(Pubs!$D$2:$D$3001,MATCH(G4272,Pubs!$A$2:$A$3001,0))&amp;"",""))</f>
        <v/>
      </c>
      <c r="N4272" s="27" t="n">
        <f aca="false">N(N4271)+IF(AND(A4272&lt;&gt;"",OR(Recherche!$C$4="",A4272=Recherche!$C$4),OR(Recherche!$C$5="",B4272&amp;""=Recherche!$C$5&amp;""),OR(Recherche!$C$6="",IFERROR(YEAR(L4272),0)=Recherche!$C$6),OR(Recherche!$C$7="",ISNUMBER(SEARCH(Recherche!$C$7,H4272))),OR(Recherche!$C$8="",J4272=Recherche!$C$8),OR(Recherche!$C$9="",I4272=Recherche!$C$9),OR(Recherche!$C$10="",G4272&amp;""=Recherche!$C$10&amp;""),OR(Recherche!$C$11="",E4272=Recherche!$C$11),OR(Recherche!$C$12="",ISNUMBER(SEARCH(Recherche!$C$12,M4272&amp;" "&amp;F4272)))),1,0)</f>
        <v>8</v>
      </c>
    </row>
    <row r="4273" customFormat="false" ht="15" hidden="false" customHeight="false" outlineLevel="0" collapsed="false">
      <c r="A4273" s="19"/>
      <c r="B4273" s="19"/>
      <c r="C4273" s="19"/>
      <c r="D4273" s="19"/>
      <c r="E4273" s="22"/>
      <c r="F4273" s="19"/>
      <c r="G4273" s="26" t="str">
        <f aca="false">IF(D4273="","",IFERROR(VALUE(LEFT(D4273,FIND(" |",D4273&amp;" |")-1)),"?"))</f>
        <v/>
      </c>
      <c r="H4273" s="27" t="str">
        <f aca="false">IF(G4273="","",IF(G4273="?","⚠ pub inconnue",IFERROR(INDEX(Pubs!$B$2:$B$3001,MATCH(G4273,Pubs!$A$2:$A$3001,0))&amp;"","⚠ pub inconnue")))</f>
        <v/>
      </c>
      <c r="I4273" s="27" t="str">
        <f aca="false">IF(OR(G4273="",G4273="?"),"",IFERROR(INDEX(Pubs!$C$2:$C$3001,MATCH(G4273,Pubs!$A$2:$A$3001,0))&amp;"",""))</f>
        <v/>
      </c>
      <c r="J4273" s="27" t="str">
        <f aca="false">IF(OR(G4273="",G4273="?"),"",IFERROR(INDEX(Pubs!$G$2:$G$3001,MATCH(G4273,Pubs!$A$2:$A$3001,0))&amp;"",""))</f>
        <v/>
      </c>
      <c r="K4273" s="28" t="str">
        <f aca="false">IF(OR(G4273="",G4273="?"),"",IFERROR(INDEX(Pubs!$E$2:$E$3001,MATCH(G4273,Pubs!$A$2:$A$3001,0)),""))</f>
        <v/>
      </c>
      <c r="L4273" s="29" t="str">
        <f aca="false">IF(A4273="","",IFERROR(1/(1/INDEX(Numéros!$C$2:$C$3001,MATCH(A4273&amp;"|"&amp;B4273,Numéros!$F$2:$F$3001,0))),""))</f>
        <v/>
      </c>
      <c r="M4273" s="27" t="str">
        <f aca="false">IF(OR(G4273="",G4273="?"),"",IFERROR(INDEX(Pubs!$D$2:$D$3001,MATCH(G4273,Pubs!$A$2:$A$3001,0))&amp;"",""))</f>
        <v/>
      </c>
      <c r="N4273" s="27" t="n">
        <f aca="false">N(N4272)+IF(AND(A4273&lt;&gt;"",OR(Recherche!$C$4="",A4273=Recherche!$C$4),OR(Recherche!$C$5="",B4273&amp;""=Recherche!$C$5&amp;""),OR(Recherche!$C$6="",IFERROR(YEAR(L4273),0)=Recherche!$C$6),OR(Recherche!$C$7="",ISNUMBER(SEARCH(Recherche!$C$7,H4273))),OR(Recherche!$C$8="",J4273=Recherche!$C$8),OR(Recherche!$C$9="",I4273=Recherche!$C$9),OR(Recherche!$C$10="",G4273&amp;""=Recherche!$C$10&amp;""),OR(Recherche!$C$11="",E4273=Recherche!$C$11),OR(Recherche!$C$12="",ISNUMBER(SEARCH(Recherche!$C$12,M4273&amp;" "&amp;F4273)))),1,0)</f>
        <v>8</v>
      </c>
    </row>
    <row r="4274" customFormat="false" ht="15" hidden="false" customHeight="false" outlineLevel="0" collapsed="false">
      <c r="A4274" s="19"/>
      <c r="B4274" s="19"/>
      <c r="C4274" s="19"/>
      <c r="D4274" s="19"/>
      <c r="E4274" s="22"/>
      <c r="F4274" s="19"/>
      <c r="G4274" s="26" t="str">
        <f aca="false">IF(D4274="","",IFERROR(VALUE(LEFT(D4274,FIND(" |",D4274&amp;" |")-1)),"?"))</f>
        <v/>
      </c>
      <c r="H4274" s="27" t="str">
        <f aca="false">IF(G4274="","",IF(G4274="?","⚠ pub inconnue",IFERROR(INDEX(Pubs!$B$2:$B$3001,MATCH(G4274,Pubs!$A$2:$A$3001,0))&amp;"","⚠ pub inconnue")))</f>
        <v/>
      </c>
      <c r="I4274" s="27" t="str">
        <f aca="false">IF(OR(G4274="",G4274="?"),"",IFERROR(INDEX(Pubs!$C$2:$C$3001,MATCH(G4274,Pubs!$A$2:$A$3001,0))&amp;"",""))</f>
        <v/>
      </c>
      <c r="J4274" s="27" t="str">
        <f aca="false">IF(OR(G4274="",G4274="?"),"",IFERROR(INDEX(Pubs!$G$2:$G$3001,MATCH(G4274,Pubs!$A$2:$A$3001,0))&amp;"",""))</f>
        <v/>
      </c>
      <c r="K4274" s="28" t="str">
        <f aca="false">IF(OR(G4274="",G4274="?"),"",IFERROR(INDEX(Pubs!$E$2:$E$3001,MATCH(G4274,Pubs!$A$2:$A$3001,0)),""))</f>
        <v/>
      </c>
      <c r="L4274" s="29" t="str">
        <f aca="false">IF(A4274="","",IFERROR(1/(1/INDEX(Numéros!$C$2:$C$3001,MATCH(A4274&amp;"|"&amp;B4274,Numéros!$F$2:$F$3001,0))),""))</f>
        <v/>
      </c>
      <c r="M4274" s="27" t="str">
        <f aca="false">IF(OR(G4274="",G4274="?"),"",IFERROR(INDEX(Pubs!$D$2:$D$3001,MATCH(G4274,Pubs!$A$2:$A$3001,0))&amp;"",""))</f>
        <v/>
      </c>
      <c r="N4274" s="27" t="n">
        <f aca="false">N(N4273)+IF(AND(A4274&lt;&gt;"",OR(Recherche!$C$4="",A4274=Recherche!$C$4),OR(Recherche!$C$5="",B4274&amp;""=Recherche!$C$5&amp;""),OR(Recherche!$C$6="",IFERROR(YEAR(L4274),0)=Recherche!$C$6),OR(Recherche!$C$7="",ISNUMBER(SEARCH(Recherche!$C$7,H4274))),OR(Recherche!$C$8="",J4274=Recherche!$C$8),OR(Recherche!$C$9="",I4274=Recherche!$C$9),OR(Recherche!$C$10="",G4274&amp;""=Recherche!$C$10&amp;""),OR(Recherche!$C$11="",E4274=Recherche!$C$11),OR(Recherche!$C$12="",ISNUMBER(SEARCH(Recherche!$C$12,M4274&amp;" "&amp;F4274)))),1,0)</f>
        <v>8</v>
      </c>
    </row>
    <row r="4275" customFormat="false" ht="15" hidden="false" customHeight="false" outlineLevel="0" collapsed="false">
      <c r="A4275" s="19"/>
      <c r="B4275" s="19"/>
      <c r="C4275" s="19"/>
      <c r="D4275" s="19"/>
      <c r="E4275" s="22"/>
      <c r="F4275" s="19"/>
      <c r="G4275" s="26" t="str">
        <f aca="false">IF(D4275="","",IFERROR(VALUE(LEFT(D4275,FIND(" |",D4275&amp;" |")-1)),"?"))</f>
        <v/>
      </c>
      <c r="H4275" s="27" t="str">
        <f aca="false">IF(G4275="","",IF(G4275="?","⚠ pub inconnue",IFERROR(INDEX(Pubs!$B$2:$B$3001,MATCH(G4275,Pubs!$A$2:$A$3001,0))&amp;"","⚠ pub inconnue")))</f>
        <v/>
      </c>
      <c r="I4275" s="27" t="str">
        <f aca="false">IF(OR(G4275="",G4275="?"),"",IFERROR(INDEX(Pubs!$C$2:$C$3001,MATCH(G4275,Pubs!$A$2:$A$3001,0))&amp;"",""))</f>
        <v/>
      </c>
      <c r="J4275" s="27" t="str">
        <f aca="false">IF(OR(G4275="",G4275="?"),"",IFERROR(INDEX(Pubs!$G$2:$G$3001,MATCH(G4275,Pubs!$A$2:$A$3001,0))&amp;"",""))</f>
        <v/>
      </c>
      <c r="K4275" s="28" t="str">
        <f aca="false">IF(OR(G4275="",G4275="?"),"",IFERROR(INDEX(Pubs!$E$2:$E$3001,MATCH(G4275,Pubs!$A$2:$A$3001,0)),""))</f>
        <v/>
      </c>
      <c r="L4275" s="29" t="str">
        <f aca="false">IF(A4275="","",IFERROR(1/(1/INDEX(Numéros!$C$2:$C$3001,MATCH(A4275&amp;"|"&amp;B4275,Numéros!$F$2:$F$3001,0))),""))</f>
        <v/>
      </c>
      <c r="M4275" s="27" t="str">
        <f aca="false">IF(OR(G4275="",G4275="?"),"",IFERROR(INDEX(Pubs!$D$2:$D$3001,MATCH(G4275,Pubs!$A$2:$A$3001,0))&amp;"",""))</f>
        <v/>
      </c>
      <c r="N4275" s="27" t="n">
        <f aca="false">N(N4274)+IF(AND(A4275&lt;&gt;"",OR(Recherche!$C$4="",A4275=Recherche!$C$4),OR(Recherche!$C$5="",B4275&amp;""=Recherche!$C$5&amp;""),OR(Recherche!$C$6="",IFERROR(YEAR(L4275),0)=Recherche!$C$6),OR(Recherche!$C$7="",ISNUMBER(SEARCH(Recherche!$C$7,H4275))),OR(Recherche!$C$8="",J4275=Recherche!$C$8),OR(Recherche!$C$9="",I4275=Recherche!$C$9),OR(Recherche!$C$10="",G4275&amp;""=Recherche!$C$10&amp;""),OR(Recherche!$C$11="",E4275=Recherche!$C$11),OR(Recherche!$C$12="",ISNUMBER(SEARCH(Recherche!$C$12,M4275&amp;" "&amp;F4275)))),1,0)</f>
        <v>8</v>
      </c>
    </row>
    <row r="4276" customFormat="false" ht="15" hidden="false" customHeight="false" outlineLevel="0" collapsed="false">
      <c r="A4276" s="19"/>
      <c r="B4276" s="19"/>
      <c r="C4276" s="19"/>
      <c r="D4276" s="19"/>
      <c r="E4276" s="22"/>
      <c r="F4276" s="19"/>
      <c r="G4276" s="26" t="str">
        <f aca="false">IF(D4276="","",IFERROR(VALUE(LEFT(D4276,FIND(" |",D4276&amp;" |")-1)),"?"))</f>
        <v/>
      </c>
      <c r="H4276" s="27" t="str">
        <f aca="false">IF(G4276="","",IF(G4276="?","⚠ pub inconnue",IFERROR(INDEX(Pubs!$B$2:$B$3001,MATCH(G4276,Pubs!$A$2:$A$3001,0))&amp;"","⚠ pub inconnue")))</f>
        <v/>
      </c>
      <c r="I4276" s="27" t="str">
        <f aca="false">IF(OR(G4276="",G4276="?"),"",IFERROR(INDEX(Pubs!$C$2:$C$3001,MATCH(G4276,Pubs!$A$2:$A$3001,0))&amp;"",""))</f>
        <v/>
      </c>
      <c r="J4276" s="27" t="str">
        <f aca="false">IF(OR(G4276="",G4276="?"),"",IFERROR(INDEX(Pubs!$G$2:$G$3001,MATCH(G4276,Pubs!$A$2:$A$3001,0))&amp;"",""))</f>
        <v/>
      </c>
      <c r="K4276" s="28" t="str">
        <f aca="false">IF(OR(G4276="",G4276="?"),"",IFERROR(INDEX(Pubs!$E$2:$E$3001,MATCH(G4276,Pubs!$A$2:$A$3001,0)),""))</f>
        <v/>
      </c>
      <c r="L4276" s="29" t="str">
        <f aca="false">IF(A4276="","",IFERROR(1/(1/INDEX(Numéros!$C$2:$C$3001,MATCH(A4276&amp;"|"&amp;B4276,Numéros!$F$2:$F$3001,0))),""))</f>
        <v/>
      </c>
      <c r="M4276" s="27" t="str">
        <f aca="false">IF(OR(G4276="",G4276="?"),"",IFERROR(INDEX(Pubs!$D$2:$D$3001,MATCH(G4276,Pubs!$A$2:$A$3001,0))&amp;"",""))</f>
        <v/>
      </c>
      <c r="N4276" s="27" t="n">
        <f aca="false">N(N4275)+IF(AND(A4276&lt;&gt;"",OR(Recherche!$C$4="",A4276=Recherche!$C$4),OR(Recherche!$C$5="",B4276&amp;""=Recherche!$C$5&amp;""),OR(Recherche!$C$6="",IFERROR(YEAR(L4276),0)=Recherche!$C$6),OR(Recherche!$C$7="",ISNUMBER(SEARCH(Recherche!$C$7,H4276))),OR(Recherche!$C$8="",J4276=Recherche!$C$8),OR(Recherche!$C$9="",I4276=Recherche!$C$9),OR(Recherche!$C$10="",G4276&amp;""=Recherche!$C$10&amp;""),OR(Recherche!$C$11="",E4276=Recherche!$C$11),OR(Recherche!$C$12="",ISNUMBER(SEARCH(Recherche!$C$12,M4276&amp;" "&amp;F4276)))),1,0)</f>
        <v>8</v>
      </c>
    </row>
    <row r="4277" customFormat="false" ht="15" hidden="false" customHeight="false" outlineLevel="0" collapsed="false">
      <c r="A4277" s="19"/>
      <c r="B4277" s="19"/>
      <c r="C4277" s="19"/>
      <c r="D4277" s="19"/>
      <c r="E4277" s="22"/>
      <c r="F4277" s="19"/>
      <c r="G4277" s="26" t="str">
        <f aca="false">IF(D4277="","",IFERROR(VALUE(LEFT(D4277,FIND(" |",D4277&amp;" |")-1)),"?"))</f>
        <v/>
      </c>
      <c r="H4277" s="27" t="str">
        <f aca="false">IF(G4277="","",IF(G4277="?","⚠ pub inconnue",IFERROR(INDEX(Pubs!$B$2:$B$3001,MATCH(G4277,Pubs!$A$2:$A$3001,0))&amp;"","⚠ pub inconnue")))</f>
        <v/>
      </c>
      <c r="I4277" s="27" t="str">
        <f aca="false">IF(OR(G4277="",G4277="?"),"",IFERROR(INDEX(Pubs!$C$2:$C$3001,MATCH(G4277,Pubs!$A$2:$A$3001,0))&amp;"",""))</f>
        <v/>
      </c>
      <c r="J4277" s="27" t="str">
        <f aca="false">IF(OR(G4277="",G4277="?"),"",IFERROR(INDEX(Pubs!$G$2:$G$3001,MATCH(G4277,Pubs!$A$2:$A$3001,0))&amp;"",""))</f>
        <v/>
      </c>
      <c r="K4277" s="28" t="str">
        <f aca="false">IF(OR(G4277="",G4277="?"),"",IFERROR(INDEX(Pubs!$E$2:$E$3001,MATCH(G4277,Pubs!$A$2:$A$3001,0)),""))</f>
        <v/>
      </c>
      <c r="L4277" s="29" t="str">
        <f aca="false">IF(A4277="","",IFERROR(1/(1/INDEX(Numéros!$C$2:$C$3001,MATCH(A4277&amp;"|"&amp;B4277,Numéros!$F$2:$F$3001,0))),""))</f>
        <v/>
      </c>
      <c r="M4277" s="27" t="str">
        <f aca="false">IF(OR(G4277="",G4277="?"),"",IFERROR(INDEX(Pubs!$D$2:$D$3001,MATCH(G4277,Pubs!$A$2:$A$3001,0))&amp;"",""))</f>
        <v/>
      </c>
      <c r="N4277" s="27" t="n">
        <f aca="false">N(N4276)+IF(AND(A4277&lt;&gt;"",OR(Recherche!$C$4="",A4277=Recherche!$C$4),OR(Recherche!$C$5="",B4277&amp;""=Recherche!$C$5&amp;""),OR(Recherche!$C$6="",IFERROR(YEAR(L4277),0)=Recherche!$C$6),OR(Recherche!$C$7="",ISNUMBER(SEARCH(Recherche!$C$7,H4277))),OR(Recherche!$C$8="",J4277=Recherche!$C$8),OR(Recherche!$C$9="",I4277=Recherche!$C$9),OR(Recherche!$C$10="",G4277&amp;""=Recherche!$C$10&amp;""),OR(Recherche!$C$11="",E4277=Recherche!$C$11),OR(Recherche!$C$12="",ISNUMBER(SEARCH(Recherche!$C$12,M4277&amp;" "&amp;F4277)))),1,0)</f>
        <v>8</v>
      </c>
    </row>
    <row r="4278" customFormat="false" ht="15" hidden="false" customHeight="false" outlineLevel="0" collapsed="false">
      <c r="A4278" s="19"/>
      <c r="B4278" s="19"/>
      <c r="C4278" s="19"/>
      <c r="D4278" s="19"/>
      <c r="E4278" s="22"/>
      <c r="F4278" s="19"/>
      <c r="G4278" s="26" t="str">
        <f aca="false">IF(D4278="","",IFERROR(VALUE(LEFT(D4278,FIND(" |",D4278&amp;" |")-1)),"?"))</f>
        <v/>
      </c>
      <c r="H4278" s="27" t="str">
        <f aca="false">IF(G4278="","",IF(G4278="?","⚠ pub inconnue",IFERROR(INDEX(Pubs!$B$2:$B$3001,MATCH(G4278,Pubs!$A$2:$A$3001,0))&amp;"","⚠ pub inconnue")))</f>
        <v/>
      </c>
      <c r="I4278" s="27" t="str">
        <f aca="false">IF(OR(G4278="",G4278="?"),"",IFERROR(INDEX(Pubs!$C$2:$C$3001,MATCH(G4278,Pubs!$A$2:$A$3001,0))&amp;"",""))</f>
        <v/>
      </c>
      <c r="J4278" s="27" t="str">
        <f aca="false">IF(OR(G4278="",G4278="?"),"",IFERROR(INDEX(Pubs!$G$2:$G$3001,MATCH(G4278,Pubs!$A$2:$A$3001,0))&amp;"",""))</f>
        <v/>
      </c>
      <c r="K4278" s="28" t="str">
        <f aca="false">IF(OR(G4278="",G4278="?"),"",IFERROR(INDEX(Pubs!$E$2:$E$3001,MATCH(G4278,Pubs!$A$2:$A$3001,0)),""))</f>
        <v/>
      </c>
      <c r="L4278" s="29" t="str">
        <f aca="false">IF(A4278="","",IFERROR(1/(1/INDEX(Numéros!$C$2:$C$3001,MATCH(A4278&amp;"|"&amp;B4278,Numéros!$F$2:$F$3001,0))),""))</f>
        <v/>
      </c>
      <c r="M4278" s="27" t="str">
        <f aca="false">IF(OR(G4278="",G4278="?"),"",IFERROR(INDEX(Pubs!$D$2:$D$3001,MATCH(G4278,Pubs!$A$2:$A$3001,0))&amp;"",""))</f>
        <v/>
      </c>
      <c r="N4278" s="27" t="n">
        <f aca="false">N(N4277)+IF(AND(A4278&lt;&gt;"",OR(Recherche!$C$4="",A4278=Recherche!$C$4),OR(Recherche!$C$5="",B4278&amp;""=Recherche!$C$5&amp;""),OR(Recherche!$C$6="",IFERROR(YEAR(L4278),0)=Recherche!$C$6),OR(Recherche!$C$7="",ISNUMBER(SEARCH(Recherche!$C$7,H4278))),OR(Recherche!$C$8="",J4278=Recherche!$C$8),OR(Recherche!$C$9="",I4278=Recherche!$C$9),OR(Recherche!$C$10="",G4278&amp;""=Recherche!$C$10&amp;""),OR(Recherche!$C$11="",E4278=Recherche!$C$11),OR(Recherche!$C$12="",ISNUMBER(SEARCH(Recherche!$C$12,M4278&amp;" "&amp;F4278)))),1,0)</f>
        <v>8</v>
      </c>
    </row>
    <row r="4279" customFormat="false" ht="15" hidden="false" customHeight="false" outlineLevel="0" collapsed="false">
      <c r="A4279" s="19"/>
      <c r="B4279" s="19"/>
      <c r="C4279" s="19"/>
      <c r="D4279" s="19"/>
      <c r="E4279" s="22"/>
      <c r="F4279" s="19"/>
      <c r="G4279" s="26" t="str">
        <f aca="false">IF(D4279="","",IFERROR(VALUE(LEFT(D4279,FIND(" |",D4279&amp;" |")-1)),"?"))</f>
        <v/>
      </c>
      <c r="H4279" s="27" t="str">
        <f aca="false">IF(G4279="","",IF(G4279="?","⚠ pub inconnue",IFERROR(INDEX(Pubs!$B$2:$B$3001,MATCH(G4279,Pubs!$A$2:$A$3001,0))&amp;"","⚠ pub inconnue")))</f>
        <v/>
      </c>
      <c r="I4279" s="27" t="str">
        <f aca="false">IF(OR(G4279="",G4279="?"),"",IFERROR(INDEX(Pubs!$C$2:$C$3001,MATCH(G4279,Pubs!$A$2:$A$3001,0))&amp;"",""))</f>
        <v/>
      </c>
      <c r="J4279" s="27" t="str">
        <f aca="false">IF(OR(G4279="",G4279="?"),"",IFERROR(INDEX(Pubs!$G$2:$G$3001,MATCH(G4279,Pubs!$A$2:$A$3001,0))&amp;"",""))</f>
        <v/>
      </c>
      <c r="K4279" s="28" t="str">
        <f aca="false">IF(OR(G4279="",G4279="?"),"",IFERROR(INDEX(Pubs!$E$2:$E$3001,MATCH(G4279,Pubs!$A$2:$A$3001,0)),""))</f>
        <v/>
      </c>
      <c r="L4279" s="29" t="str">
        <f aca="false">IF(A4279="","",IFERROR(1/(1/INDEX(Numéros!$C$2:$C$3001,MATCH(A4279&amp;"|"&amp;B4279,Numéros!$F$2:$F$3001,0))),""))</f>
        <v/>
      </c>
      <c r="M4279" s="27" t="str">
        <f aca="false">IF(OR(G4279="",G4279="?"),"",IFERROR(INDEX(Pubs!$D$2:$D$3001,MATCH(G4279,Pubs!$A$2:$A$3001,0))&amp;"",""))</f>
        <v/>
      </c>
      <c r="N4279" s="27" t="n">
        <f aca="false">N(N4278)+IF(AND(A4279&lt;&gt;"",OR(Recherche!$C$4="",A4279=Recherche!$C$4),OR(Recherche!$C$5="",B4279&amp;""=Recherche!$C$5&amp;""),OR(Recherche!$C$6="",IFERROR(YEAR(L4279),0)=Recherche!$C$6),OR(Recherche!$C$7="",ISNUMBER(SEARCH(Recherche!$C$7,H4279))),OR(Recherche!$C$8="",J4279=Recherche!$C$8),OR(Recherche!$C$9="",I4279=Recherche!$C$9),OR(Recherche!$C$10="",G4279&amp;""=Recherche!$C$10&amp;""),OR(Recherche!$C$11="",E4279=Recherche!$C$11),OR(Recherche!$C$12="",ISNUMBER(SEARCH(Recherche!$C$12,M4279&amp;" "&amp;F4279)))),1,0)</f>
        <v>8</v>
      </c>
    </row>
    <row r="4280" customFormat="false" ht="15" hidden="false" customHeight="false" outlineLevel="0" collapsed="false">
      <c r="A4280" s="19"/>
      <c r="B4280" s="19"/>
      <c r="C4280" s="19"/>
      <c r="D4280" s="19"/>
      <c r="E4280" s="22"/>
      <c r="F4280" s="19"/>
      <c r="G4280" s="26" t="str">
        <f aca="false">IF(D4280="","",IFERROR(VALUE(LEFT(D4280,FIND(" |",D4280&amp;" |")-1)),"?"))</f>
        <v/>
      </c>
      <c r="H4280" s="27" t="str">
        <f aca="false">IF(G4280="","",IF(G4280="?","⚠ pub inconnue",IFERROR(INDEX(Pubs!$B$2:$B$3001,MATCH(G4280,Pubs!$A$2:$A$3001,0))&amp;"","⚠ pub inconnue")))</f>
        <v/>
      </c>
      <c r="I4280" s="27" t="str">
        <f aca="false">IF(OR(G4280="",G4280="?"),"",IFERROR(INDEX(Pubs!$C$2:$C$3001,MATCH(G4280,Pubs!$A$2:$A$3001,0))&amp;"",""))</f>
        <v/>
      </c>
      <c r="J4280" s="27" t="str">
        <f aca="false">IF(OR(G4280="",G4280="?"),"",IFERROR(INDEX(Pubs!$G$2:$G$3001,MATCH(G4280,Pubs!$A$2:$A$3001,0))&amp;"",""))</f>
        <v/>
      </c>
      <c r="K4280" s="28" t="str">
        <f aca="false">IF(OR(G4280="",G4280="?"),"",IFERROR(INDEX(Pubs!$E$2:$E$3001,MATCH(G4280,Pubs!$A$2:$A$3001,0)),""))</f>
        <v/>
      </c>
      <c r="L4280" s="29" t="str">
        <f aca="false">IF(A4280="","",IFERROR(1/(1/INDEX(Numéros!$C$2:$C$3001,MATCH(A4280&amp;"|"&amp;B4280,Numéros!$F$2:$F$3001,0))),""))</f>
        <v/>
      </c>
      <c r="M4280" s="27" t="str">
        <f aca="false">IF(OR(G4280="",G4280="?"),"",IFERROR(INDEX(Pubs!$D$2:$D$3001,MATCH(G4280,Pubs!$A$2:$A$3001,0))&amp;"",""))</f>
        <v/>
      </c>
      <c r="N4280" s="27" t="n">
        <f aca="false">N(N4279)+IF(AND(A4280&lt;&gt;"",OR(Recherche!$C$4="",A4280=Recherche!$C$4),OR(Recherche!$C$5="",B4280&amp;""=Recherche!$C$5&amp;""),OR(Recherche!$C$6="",IFERROR(YEAR(L4280),0)=Recherche!$C$6),OR(Recherche!$C$7="",ISNUMBER(SEARCH(Recherche!$C$7,H4280))),OR(Recherche!$C$8="",J4280=Recherche!$C$8),OR(Recherche!$C$9="",I4280=Recherche!$C$9),OR(Recherche!$C$10="",G4280&amp;""=Recherche!$C$10&amp;""),OR(Recherche!$C$11="",E4280=Recherche!$C$11),OR(Recherche!$C$12="",ISNUMBER(SEARCH(Recherche!$C$12,M4280&amp;" "&amp;F4280)))),1,0)</f>
        <v>8</v>
      </c>
    </row>
    <row r="4281" customFormat="false" ht="15" hidden="false" customHeight="false" outlineLevel="0" collapsed="false">
      <c r="A4281" s="19"/>
      <c r="B4281" s="19"/>
      <c r="C4281" s="19"/>
      <c r="D4281" s="19"/>
      <c r="E4281" s="22"/>
      <c r="F4281" s="19"/>
      <c r="G4281" s="26" t="str">
        <f aca="false">IF(D4281="","",IFERROR(VALUE(LEFT(D4281,FIND(" |",D4281&amp;" |")-1)),"?"))</f>
        <v/>
      </c>
      <c r="H4281" s="27" t="str">
        <f aca="false">IF(G4281="","",IF(G4281="?","⚠ pub inconnue",IFERROR(INDEX(Pubs!$B$2:$B$3001,MATCH(G4281,Pubs!$A$2:$A$3001,0))&amp;"","⚠ pub inconnue")))</f>
        <v/>
      </c>
      <c r="I4281" s="27" t="str">
        <f aca="false">IF(OR(G4281="",G4281="?"),"",IFERROR(INDEX(Pubs!$C$2:$C$3001,MATCH(G4281,Pubs!$A$2:$A$3001,0))&amp;"",""))</f>
        <v/>
      </c>
      <c r="J4281" s="27" t="str">
        <f aca="false">IF(OR(G4281="",G4281="?"),"",IFERROR(INDEX(Pubs!$G$2:$G$3001,MATCH(G4281,Pubs!$A$2:$A$3001,0))&amp;"",""))</f>
        <v/>
      </c>
      <c r="K4281" s="28" t="str">
        <f aca="false">IF(OR(G4281="",G4281="?"),"",IFERROR(INDEX(Pubs!$E$2:$E$3001,MATCH(G4281,Pubs!$A$2:$A$3001,0)),""))</f>
        <v/>
      </c>
      <c r="L4281" s="29" t="str">
        <f aca="false">IF(A4281="","",IFERROR(1/(1/INDEX(Numéros!$C$2:$C$3001,MATCH(A4281&amp;"|"&amp;B4281,Numéros!$F$2:$F$3001,0))),""))</f>
        <v/>
      </c>
      <c r="M4281" s="27" t="str">
        <f aca="false">IF(OR(G4281="",G4281="?"),"",IFERROR(INDEX(Pubs!$D$2:$D$3001,MATCH(G4281,Pubs!$A$2:$A$3001,0))&amp;"",""))</f>
        <v/>
      </c>
      <c r="N4281" s="27" t="n">
        <f aca="false">N(N4280)+IF(AND(A4281&lt;&gt;"",OR(Recherche!$C$4="",A4281=Recherche!$C$4),OR(Recherche!$C$5="",B4281&amp;""=Recherche!$C$5&amp;""),OR(Recherche!$C$6="",IFERROR(YEAR(L4281),0)=Recherche!$C$6),OR(Recherche!$C$7="",ISNUMBER(SEARCH(Recherche!$C$7,H4281))),OR(Recherche!$C$8="",J4281=Recherche!$C$8),OR(Recherche!$C$9="",I4281=Recherche!$C$9),OR(Recherche!$C$10="",G4281&amp;""=Recherche!$C$10&amp;""),OR(Recherche!$C$11="",E4281=Recherche!$C$11),OR(Recherche!$C$12="",ISNUMBER(SEARCH(Recherche!$C$12,M4281&amp;" "&amp;F4281)))),1,0)</f>
        <v>8</v>
      </c>
    </row>
    <row r="4282" customFormat="false" ht="15" hidden="false" customHeight="false" outlineLevel="0" collapsed="false">
      <c r="A4282" s="19"/>
      <c r="B4282" s="19"/>
      <c r="C4282" s="19"/>
      <c r="D4282" s="19"/>
      <c r="E4282" s="22"/>
      <c r="F4282" s="19"/>
      <c r="G4282" s="26" t="str">
        <f aca="false">IF(D4282="","",IFERROR(VALUE(LEFT(D4282,FIND(" |",D4282&amp;" |")-1)),"?"))</f>
        <v/>
      </c>
      <c r="H4282" s="27" t="str">
        <f aca="false">IF(G4282="","",IF(G4282="?","⚠ pub inconnue",IFERROR(INDEX(Pubs!$B$2:$B$3001,MATCH(G4282,Pubs!$A$2:$A$3001,0))&amp;"","⚠ pub inconnue")))</f>
        <v/>
      </c>
      <c r="I4282" s="27" t="str">
        <f aca="false">IF(OR(G4282="",G4282="?"),"",IFERROR(INDEX(Pubs!$C$2:$C$3001,MATCH(G4282,Pubs!$A$2:$A$3001,0))&amp;"",""))</f>
        <v/>
      </c>
      <c r="J4282" s="27" t="str">
        <f aca="false">IF(OR(G4282="",G4282="?"),"",IFERROR(INDEX(Pubs!$G$2:$G$3001,MATCH(G4282,Pubs!$A$2:$A$3001,0))&amp;"",""))</f>
        <v/>
      </c>
      <c r="K4282" s="28" t="str">
        <f aca="false">IF(OR(G4282="",G4282="?"),"",IFERROR(INDEX(Pubs!$E$2:$E$3001,MATCH(G4282,Pubs!$A$2:$A$3001,0)),""))</f>
        <v/>
      </c>
      <c r="L4282" s="29" t="str">
        <f aca="false">IF(A4282="","",IFERROR(1/(1/INDEX(Numéros!$C$2:$C$3001,MATCH(A4282&amp;"|"&amp;B4282,Numéros!$F$2:$F$3001,0))),""))</f>
        <v/>
      </c>
      <c r="M4282" s="27" t="str">
        <f aca="false">IF(OR(G4282="",G4282="?"),"",IFERROR(INDEX(Pubs!$D$2:$D$3001,MATCH(G4282,Pubs!$A$2:$A$3001,0))&amp;"",""))</f>
        <v/>
      </c>
      <c r="N4282" s="27" t="n">
        <f aca="false">N(N4281)+IF(AND(A4282&lt;&gt;"",OR(Recherche!$C$4="",A4282=Recherche!$C$4),OR(Recherche!$C$5="",B4282&amp;""=Recherche!$C$5&amp;""),OR(Recherche!$C$6="",IFERROR(YEAR(L4282),0)=Recherche!$C$6),OR(Recherche!$C$7="",ISNUMBER(SEARCH(Recherche!$C$7,H4282))),OR(Recherche!$C$8="",J4282=Recherche!$C$8),OR(Recherche!$C$9="",I4282=Recherche!$C$9),OR(Recherche!$C$10="",G4282&amp;""=Recherche!$C$10&amp;""),OR(Recherche!$C$11="",E4282=Recherche!$C$11),OR(Recherche!$C$12="",ISNUMBER(SEARCH(Recherche!$C$12,M4282&amp;" "&amp;F4282)))),1,0)</f>
        <v>8</v>
      </c>
    </row>
    <row r="4283" customFormat="false" ht="15" hidden="false" customHeight="false" outlineLevel="0" collapsed="false">
      <c r="A4283" s="19"/>
      <c r="B4283" s="19"/>
      <c r="C4283" s="19"/>
      <c r="D4283" s="19"/>
      <c r="E4283" s="22"/>
      <c r="F4283" s="19"/>
      <c r="G4283" s="26" t="str">
        <f aca="false">IF(D4283="","",IFERROR(VALUE(LEFT(D4283,FIND(" |",D4283&amp;" |")-1)),"?"))</f>
        <v/>
      </c>
      <c r="H4283" s="27" t="str">
        <f aca="false">IF(G4283="","",IF(G4283="?","⚠ pub inconnue",IFERROR(INDEX(Pubs!$B$2:$B$3001,MATCH(G4283,Pubs!$A$2:$A$3001,0))&amp;"","⚠ pub inconnue")))</f>
        <v/>
      </c>
      <c r="I4283" s="27" t="str">
        <f aca="false">IF(OR(G4283="",G4283="?"),"",IFERROR(INDEX(Pubs!$C$2:$C$3001,MATCH(G4283,Pubs!$A$2:$A$3001,0))&amp;"",""))</f>
        <v/>
      </c>
      <c r="J4283" s="27" t="str">
        <f aca="false">IF(OR(G4283="",G4283="?"),"",IFERROR(INDEX(Pubs!$G$2:$G$3001,MATCH(G4283,Pubs!$A$2:$A$3001,0))&amp;"",""))</f>
        <v/>
      </c>
      <c r="K4283" s="28" t="str">
        <f aca="false">IF(OR(G4283="",G4283="?"),"",IFERROR(INDEX(Pubs!$E$2:$E$3001,MATCH(G4283,Pubs!$A$2:$A$3001,0)),""))</f>
        <v/>
      </c>
      <c r="L4283" s="29" t="str">
        <f aca="false">IF(A4283="","",IFERROR(1/(1/INDEX(Numéros!$C$2:$C$3001,MATCH(A4283&amp;"|"&amp;B4283,Numéros!$F$2:$F$3001,0))),""))</f>
        <v/>
      </c>
      <c r="M4283" s="27" t="str">
        <f aca="false">IF(OR(G4283="",G4283="?"),"",IFERROR(INDEX(Pubs!$D$2:$D$3001,MATCH(G4283,Pubs!$A$2:$A$3001,0))&amp;"",""))</f>
        <v/>
      </c>
      <c r="N4283" s="27" t="n">
        <f aca="false">N(N4282)+IF(AND(A4283&lt;&gt;"",OR(Recherche!$C$4="",A4283=Recherche!$C$4),OR(Recherche!$C$5="",B4283&amp;""=Recherche!$C$5&amp;""),OR(Recherche!$C$6="",IFERROR(YEAR(L4283),0)=Recherche!$C$6),OR(Recherche!$C$7="",ISNUMBER(SEARCH(Recherche!$C$7,H4283))),OR(Recherche!$C$8="",J4283=Recherche!$C$8),OR(Recherche!$C$9="",I4283=Recherche!$C$9),OR(Recherche!$C$10="",G4283&amp;""=Recherche!$C$10&amp;""),OR(Recherche!$C$11="",E4283=Recherche!$C$11),OR(Recherche!$C$12="",ISNUMBER(SEARCH(Recherche!$C$12,M4283&amp;" "&amp;F4283)))),1,0)</f>
        <v>8</v>
      </c>
    </row>
    <row r="4284" customFormat="false" ht="15" hidden="false" customHeight="false" outlineLevel="0" collapsed="false">
      <c r="A4284" s="19"/>
      <c r="B4284" s="19"/>
      <c r="C4284" s="19"/>
      <c r="D4284" s="19"/>
      <c r="E4284" s="22"/>
      <c r="F4284" s="19"/>
      <c r="G4284" s="26" t="str">
        <f aca="false">IF(D4284="","",IFERROR(VALUE(LEFT(D4284,FIND(" |",D4284&amp;" |")-1)),"?"))</f>
        <v/>
      </c>
      <c r="H4284" s="27" t="str">
        <f aca="false">IF(G4284="","",IF(G4284="?","⚠ pub inconnue",IFERROR(INDEX(Pubs!$B$2:$B$3001,MATCH(G4284,Pubs!$A$2:$A$3001,0))&amp;"","⚠ pub inconnue")))</f>
        <v/>
      </c>
      <c r="I4284" s="27" t="str">
        <f aca="false">IF(OR(G4284="",G4284="?"),"",IFERROR(INDEX(Pubs!$C$2:$C$3001,MATCH(G4284,Pubs!$A$2:$A$3001,0))&amp;"",""))</f>
        <v/>
      </c>
      <c r="J4284" s="27" t="str">
        <f aca="false">IF(OR(G4284="",G4284="?"),"",IFERROR(INDEX(Pubs!$G$2:$G$3001,MATCH(G4284,Pubs!$A$2:$A$3001,0))&amp;"",""))</f>
        <v/>
      </c>
      <c r="K4284" s="28" t="str">
        <f aca="false">IF(OR(G4284="",G4284="?"),"",IFERROR(INDEX(Pubs!$E$2:$E$3001,MATCH(G4284,Pubs!$A$2:$A$3001,0)),""))</f>
        <v/>
      </c>
      <c r="L4284" s="29" t="str">
        <f aca="false">IF(A4284="","",IFERROR(1/(1/INDEX(Numéros!$C$2:$C$3001,MATCH(A4284&amp;"|"&amp;B4284,Numéros!$F$2:$F$3001,0))),""))</f>
        <v/>
      </c>
      <c r="M4284" s="27" t="str">
        <f aca="false">IF(OR(G4284="",G4284="?"),"",IFERROR(INDEX(Pubs!$D$2:$D$3001,MATCH(G4284,Pubs!$A$2:$A$3001,0))&amp;"",""))</f>
        <v/>
      </c>
      <c r="N4284" s="27" t="n">
        <f aca="false">N(N4283)+IF(AND(A4284&lt;&gt;"",OR(Recherche!$C$4="",A4284=Recherche!$C$4),OR(Recherche!$C$5="",B4284&amp;""=Recherche!$C$5&amp;""),OR(Recherche!$C$6="",IFERROR(YEAR(L4284),0)=Recherche!$C$6),OR(Recherche!$C$7="",ISNUMBER(SEARCH(Recherche!$C$7,H4284))),OR(Recherche!$C$8="",J4284=Recherche!$C$8),OR(Recherche!$C$9="",I4284=Recherche!$C$9),OR(Recherche!$C$10="",G4284&amp;""=Recherche!$C$10&amp;""),OR(Recherche!$C$11="",E4284=Recherche!$C$11),OR(Recherche!$C$12="",ISNUMBER(SEARCH(Recherche!$C$12,M4284&amp;" "&amp;F4284)))),1,0)</f>
        <v>8</v>
      </c>
    </row>
    <row r="4285" customFormat="false" ht="15" hidden="false" customHeight="false" outlineLevel="0" collapsed="false">
      <c r="A4285" s="19"/>
      <c r="B4285" s="19"/>
      <c r="C4285" s="19"/>
      <c r="D4285" s="19"/>
      <c r="E4285" s="22"/>
      <c r="F4285" s="19"/>
      <c r="G4285" s="26" t="str">
        <f aca="false">IF(D4285="","",IFERROR(VALUE(LEFT(D4285,FIND(" |",D4285&amp;" |")-1)),"?"))</f>
        <v/>
      </c>
      <c r="H4285" s="27" t="str">
        <f aca="false">IF(G4285="","",IF(G4285="?","⚠ pub inconnue",IFERROR(INDEX(Pubs!$B$2:$B$3001,MATCH(G4285,Pubs!$A$2:$A$3001,0))&amp;"","⚠ pub inconnue")))</f>
        <v/>
      </c>
      <c r="I4285" s="27" t="str">
        <f aca="false">IF(OR(G4285="",G4285="?"),"",IFERROR(INDEX(Pubs!$C$2:$C$3001,MATCH(G4285,Pubs!$A$2:$A$3001,0))&amp;"",""))</f>
        <v/>
      </c>
      <c r="J4285" s="27" t="str">
        <f aca="false">IF(OR(G4285="",G4285="?"),"",IFERROR(INDEX(Pubs!$G$2:$G$3001,MATCH(G4285,Pubs!$A$2:$A$3001,0))&amp;"",""))</f>
        <v/>
      </c>
      <c r="K4285" s="28" t="str">
        <f aca="false">IF(OR(G4285="",G4285="?"),"",IFERROR(INDEX(Pubs!$E$2:$E$3001,MATCH(G4285,Pubs!$A$2:$A$3001,0)),""))</f>
        <v/>
      </c>
      <c r="L4285" s="29" t="str">
        <f aca="false">IF(A4285="","",IFERROR(1/(1/INDEX(Numéros!$C$2:$C$3001,MATCH(A4285&amp;"|"&amp;B4285,Numéros!$F$2:$F$3001,0))),""))</f>
        <v/>
      </c>
      <c r="M4285" s="27" t="str">
        <f aca="false">IF(OR(G4285="",G4285="?"),"",IFERROR(INDEX(Pubs!$D$2:$D$3001,MATCH(G4285,Pubs!$A$2:$A$3001,0))&amp;"",""))</f>
        <v/>
      </c>
      <c r="N4285" s="27" t="n">
        <f aca="false">N(N4284)+IF(AND(A4285&lt;&gt;"",OR(Recherche!$C$4="",A4285=Recherche!$C$4),OR(Recherche!$C$5="",B4285&amp;""=Recherche!$C$5&amp;""),OR(Recherche!$C$6="",IFERROR(YEAR(L4285),0)=Recherche!$C$6),OR(Recherche!$C$7="",ISNUMBER(SEARCH(Recherche!$C$7,H4285))),OR(Recherche!$C$8="",J4285=Recherche!$C$8),OR(Recherche!$C$9="",I4285=Recherche!$C$9),OR(Recherche!$C$10="",G4285&amp;""=Recherche!$C$10&amp;""),OR(Recherche!$C$11="",E4285=Recherche!$C$11),OR(Recherche!$C$12="",ISNUMBER(SEARCH(Recherche!$C$12,M4285&amp;" "&amp;F4285)))),1,0)</f>
        <v>8</v>
      </c>
    </row>
    <row r="4286" customFormat="false" ht="15" hidden="false" customHeight="false" outlineLevel="0" collapsed="false">
      <c r="A4286" s="19"/>
      <c r="B4286" s="19"/>
      <c r="C4286" s="19"/>
      <c r="D4286" s="19"/>
      <c r="E4286" s="22"/>
      <c r="F4286" s="19"/>
      <c r="G4286" s="26" t="str">
        <f aca="false">IF(D4286="","",IFERROR(VALUE(LEFT(D4286,FIND(" |",D4286&amp;" |")-1)),"?"))</f>
        <v/>
      </c>
      <c r="H4286" s="27" t="str">
        <f aca="false">IF(G4286="","",IF(G4286="?","⚠ pub inconnue",IFERROR(INDEX(Pubs!$B$2:$B$3001,MATCH(G4286,Pubs!$A$2:$A$3001,0))&amp;"","⚠ pub inconnue")))</f>
        <v/>
      </c>
      <c r="I4286" s="27" t="str">
        <f aca="false">IF(OR(G4286="",G4286="?"),"",IFERROR(INDEX(Pubs!$C$2:$C$3001,MATCH(G4286,Pubs!$A$2:$A$3001,0))&amp;"",""))</f>
        <v/>
      </c>
      <c r="J4286" s="27" t="str">
        <f aca="false">IF(OR(G4286="",G4286="?"),"",IFERROR(INDEX(Pubs!$G$2:$G$3001,MATCH(G4286,Pubs!$A$2:$A$3001,0))&amp;"",""))</f>
        <v/>
      </c>
      <c r="K4286" s="28" t="str">
        <f aca="false">IF(OR(G4286="",G4286="?"),"",IFERROR(INDEX(Pubs!$E$2:$E$3001,MATCH(G4286,Pubs!$A$2:$A$3001,0)),""))</f>
        <v/>
      </c>
      <c r="L4286" s="29" t="str">
        <f aca="false">IF(A4286="","",IFERROR(1/(1/INDEX(Numéros!$C$2:$C$3001,MATCH(A4286&amp;"|"&amp;B4286,Numéros!$F$2:$F$3001,0))),""))</f>
        <v/>
      </c>
      <c r="M4286" s="27" t="str">
        <f aca="false">IF(OR(G4286="",G4286="?"),"",IFERROR(INDEX(Pubs!$D$2:$D$3001,MATCH(G4286,Pubs!$A$2:$A$3001,0))&amp;"",""))</f>
        <v/>
      </c>
      <c r="N4286" s="27" t="n">
        <f aca="false">N(N4285)+IF(AND(A4286&lt;&gt;"",OR(Recherche!$C$4="",A4286=Recherche!$C$4),OR(Recherche!$C$5="",B4286&amp;""=Recherche!$C$5&amp;""),OR(Recherche!$C$6="",IFERROR(YEAR(L4286),0)=Recherche!$C$6),OR(Recherche!$C$7="",ISNUMBER(SEARCH(Recherche!$C$7,H4286))),OR(Recherche!$C$8="",J4286=Recherche!$C$8),OR(Recherche!$C$9="",I4286=Recherche!$C$9),OR(Recherche!$C$10="",G4286&amp;""=Recherche!$C$10&amp;""),OR(Recherche!$C$11="",E4286=Recherche!$C$11),OR(Recherche!$C$12="",ISNUMBER(SEARCH(Recherche!$C$12,M4286&amp;" "&amp;F4286)))),1,0)</f>
        <v>8</v>
      </c>
    </row>
    <row r="4287" customFormat="false" ht="15" hidden="false" customHeight="false" outlineLevel="0" collapsed="false">
      <c r="A4287" s="19"/>
      <c r="B4287" s="19"/>
      <c r="C4287" s="19"/>
      <c r="D4287" s="19"/>
      <c r="E4287" s="22"/>
      <c r="F4287" s="19"/>
      <c r="G4287" s="26" t="str">
        <f aca="false">IF(D4287="","",IFERROR(VALUE(LEFT(D4287,FIND(" |",D4287&amp;" |")-1)),"?"))</f>
        <v/>
      </c>
      <c r="H4287" s="27" t="str">
        <f aca="false">IF(G4287="","",IF(G4287="?","⚠ pub inconnue",IFERROR(INDEX(Pubs!$B$2:$B$3001,MATCH(G4287,Pubs!$A$2:$A$3001,0))&amp;"","⚠ pub inconnue")))</f>
        <v/>
      </c>
      <c r="I4287" s="27" t="str">
        <f aca="false">IF(OR(G4287="",G4287="?"),"",IFERROR(INDEX(Pubs!$C$2:$C$3001,MATCH(G4287,Pubs!$A$2:$A$3001,0))&amp;"",""))</f>
        <v/>
      </c>
      <c r="J4287" s="27" t="str">
        <f aca="false">IF(OR(G4287="",G4287="?"),"",IFERROR(INDEX(Pubs!$G$2:$G$3001,MATCH(G4287,Pubs!$A$2:$A$3001,0))&amp;"",""))</f>
        <v/>
      </c>
      <c r="K4287" s="28" t="str">
        <f aca="false">IF(OR(G4287="",G4287="?"),"",IFERROR(INDEX(Pubs!$E$2:$E$3001,MATCH(G4287,Pubs!$A$2:$A$3001,0)),""))</f>
        <v/>
      </c>
      <c r="L4287" s="29" t="str">
        <f aca="false">IF(A4287="","",IFERROR(1/(1/INDEX(Numéros!$C$2:$C$3001,MATCH(A4287&amp;"|"&amp;B4287,Numéros!$F$2:$F$3001,0))),""))</f>
        <v/>
      </c>
      <c r="M4287" s="27" t="str">
        <f aca="false">IF(OR(G4287="",G4287="?"),"",IFERROR(INDEX(Pubs!$D$2:$D$3001,MATCH(G4287,Pubs!$A$2:$A$3001,0))&amp;"",""))</f>
        <v/>
      </c>
      <c r="N4287" s="27" t="n">
        <f aca="false">N(N4286)+IF(AND(A4287&lt;&gt;"",OR(Recherche!$C$4="",A4287=Recherche!$C$4),OR(Recherche!$C$5="",B4287&amp;""=Recherche!$C$5&amp;""),OR(Recherche!$C$6="",IFERROR(YEAR(L4287),0)=Recherche!$C$6),OR(Recherche!$C$7="",ISNUMBER(SEARCH(Recherche!$C$7,H4287))),OR(Recherche!$C$8="",J4287=Recherche!$C$8),OR(Recherche!$C$9="",I4287=Recherche!$C$9),OR(Recherche!$C$10="",G4287&amp;""=Recherche!$C$10&amp;""),OR(Recherche!$C$11="",E4287=Recherche!$C$11),OR(Recherche!$C$12="",ISNUMBER(SEARCH(Recherche!$C$12,M4287&amp;" "&amp;F4287)))),1,0)</f>
        <v>8</v>
      </c>
    </row>
    <row r="4288" customFormat="false" ht="15" hidden="false" customHeight="false" outlineLevel="0" collapsed="false">
      <c r="A4288" s="19"/>
      <c r="B4288" s="19"/>
      <c r="C4288" s="19"/>
      <c r="D4288" s="19"/>
      <c r="E4288" s="22"/>
      <c r="F4288" s="19"/>
      <c r="G4288" s="26" t="str">
        <f aca="false">IF(D4288="","",IFERROR(VALUE(LEFT(D4288,FIND(" |",D4288&amp;" |")-1)),"?"))</f>
        <v/>
      </c>
      <c r="H4288" s="27" t="str">
        <f aca="false">IF(G4288="","",IF(G4288="?","⚠ pub inconnue",IFERROR(INDEX(Pubs!$B$2:$B$3001,MATCH(G4288,Pubs!$A$2:$A$3001,0))&amp;"","⚠ pub inconnue")))</f>
        <v/>
      </c>
      <c r="I4288" s="27" t="str">
        <f aca="false">IF(OR(G4288="",G4288="?"),"",IFERROR(INDEX(Pubs!$C$2:$C$3001,MATCH(G4288,Pubs!$A$2:$A$3001,0))&amp;"",""))</f>
        <v/>
      </c>
      <c r="J4288" s="27" t="str">
        <f aca="false">IF(OR(G4288="",G4288="?"),"",IFERROR(INDEX(Pubs!$G$2:$G$3001,MATCH(G4288,Pubs!$A$2:$A$3001,0))&amp;"",""))</f>
        <v/>
      </c>
      <c r="K4288" s="28" t="str">
        <f aca="false">IF(OR(G4288="",G4288="?"),"",IFERROR(INDEX(Pubs!$E$2:$E$3001,MATCH(G4288,Pubs!$A$2:$A$3001,0)),""))</f>
        <v/>
      </c>
      <c r="L4288" s="29" t="str">
        <f aca="false">IF(A4288="","",IFERROR(1/(1/INDEX(Numéros!$C$2:$C$3001,MATCH(A4288&amp;"|"&amp;B4288,Numéros!$F$2:$F$3001,0))),""))</f>
        <v/>
      </c>
      <c r="M4288" s="27" t="str">
        <f aca="false">IF(OR(G4288="",G4288="?"),"",IFERROR(INDEX(Pubs!$D$2:$D$3001,MATCH(G4288,Pubs!$A$2:$A$3001,0))&amp;"",""))</f>
        <v/>
      </c>
      <c r="N4288" s="27" t="n">
        <f aca="false">N(N4287)+IF(AND(A4288&lt;&gt;"",OR(Recherche!$C$4="",A4288=Recherche!$C$4),OR(Recherche!$C$5="",B4288&amp;""=Recherche!$C$5&amp;""),OR(Recherche!$C$6="",IFERROR(YEAR(L4288),0)=Recherche!$C$6),OR(Recherche!$C$7="",ISNUMBER(SEARCH(Recherche!$C$7,H4288))),OR(Recherche!$C$8="",J4288=Recherche!$C$8),OR(Recherche!$C$9="",I4288=Recherche!$C$9),OR(Recherche!$C$10="",G4288&amp;""=Recherche!$C$10&amp;""),OR(Recherche!$C$11="",E4288=Recherche!$C$11),OR(Recherche!$C$12="",ISNUMBER(SEARCH(Recherche!$C$12,M4288&amp;" "&amp;F4288)))),1,0)</f>
        <v>8</v>
      </c>
    </row>
    <row r="4289" customFormat="false" ht="15" hidden="false" customHeight="false" outlineLevel="0" collapsed="false">
      <c r="A4289" s="19"/>
      <c r="B4289" s="19"/>
      <c r="C4289" s="19"/>
      <c r="D4289" s="19"/>
      <c r="E4289" s="22"/>
      <c r="F4289" s="19"/>
      <c r="G4289" s="26" t="str">
        <f aca="false">IF(D4289="","",IFERROR(VALUE(LEFT(D4289,FIND(" |",D4289&amp;" |")-1)),"?"))</f>
        <v/>
      </c>
      <c r="H4289" s="27" t="str">
        <f aca="false">IF(G4289="","",IF(G4289="?","⚠ pub inconnue",IFERROR(INDEX(Pubs!$B$2:$B$3001,MATCH(G4289,Pubs!$A$2:$A$3001,0))&amp;"","⚠ pub inconnue")))</f>
        <v/>
      </c>
      <c r="I4289" s="27" t="str">
        <f aca="false">IF(OR(G4289="",G4289="?"),"",IFERROR(INDEX(Pubs!$C$2:$C$3001,MATCH(G4289,Pubs!$A$2:$A$3001,0))&amp;"",""))</f>
        <v/>
      </c>
      <c r="J4289" s="27" t="str">
        <f aca="false">IF(OR(G4289="",G4289="?"),"",IFERROR(INDEX(Pubs!$G$2:$G$3001,MATCH(G4289,Pubs!$A$2:$A$3001,0))&amp;"",""))</f>
        <v/>
      </c>
      <c r="K4289" s="28" t="str">
        <f aca="false">IF(OR(G4289="",G4289="?"),"",IFERROR(INDEX(Pubs!$E$2:$E$3001,MATCH(G4289,Pubs!$A$2:$A$3001,0)),""))</f>
        <v/>
      </c>
      <c r="L4289" s="29" t="str">
        <f aca="false">IF(A4289="","",IFERROR(1/(1/INDEX(Numéros!$C$2:$C$3001,MATCH(A4289&amp;"|"&amp;B4289,Numéros!$F$2:$F$3001,0))),""))</f>
        <v/>
      </c>
      <c r="M4289" s="27" t="str">
        <f aca="false">IF(OR(G4289="",G4289="?"),"",IFERROR(INDEX(Pubs!$D$2:$D$3001,MATCH(G4289,Pubs!$A$2:$A$3001,0))&amp;"",""))</f>
        <v/>
      </c>
      <c r="N4289" s="27" t="n">
        <f aca="false">N(N4288)+IF(AND(A4289&lt;&gt;"",OR(Recherche!$C$4="",A4289=Recherche!$C$4),OR(Recherche!$C$5="",B4289&amp;""=Recherche!$C$5&amp;""),OR(Recherche!$C$6="",IFERROR(YEAR(L4289),0)=Recherche!$C$6),OR(Recherche!$C$7="",ISNUMBER(SEARCH(Recherche!$C$7,H4289))),OR(Recherche!$C$8="",J4289=Recherche!$C$8),OR(Recherche!$C$9="",I4289=Recherche!$C$9),OR(Recherche!$C$10="",G4289&amp;""=Recherche!$C$10&amp;""),OR(Recherche!$C$11="",E4289=Recherche!$C$11),OR(Recherche!$C$12="",ISNUMBER(SEARCH(Recherche!$C$12,M4289&amp;" "&amp;F4289)))),1,0)</f>
        <v>8</v>
      </c>
    </row>
    <row r="4290" customFormat="false" ht="15" hidden="false" customHeight="false" outlineLevel="0" collapsed="false">
      <c r="A4290" s="19"/>
      <c r="B4290" s="19"/>
      <c r="C4290" s="19"/>
      <c r="D4290" s="19"/>
      <c r="E4290" s="22"/>
      <c r="F4290" s="19"/>
      <c r="G4290" s="26" t="str">
        <f aca="false">IF(D4290="","",IFERROR(VALUE(LEFT(D4290,FIND(" |",D4290&amp;" |")-1)),"?"))</f>
        <v/>
      </c>
      <c r="H4290" s="27" t="str">
        <f aca="false">IF(G4290="","",IF(G4290="?","⚠ pub inconnue",IFERROR(INDEX(Pubs!$B$2:$B$3001,MATCH(G4290,Pubs!$A$2:$A$3001,0))&amp;"","⚠ pub inconnue")))</f>
        <v/>
      </c>
      <c r="I4290" s="27" t="str">
        <f aca="false">IF(OR(G4290="",G4290="?"),"",IFERROR(INDEX(Pubs!$C$2:$C$3001,MATCH(G4290,Pubs!$A$2:$A$3001,0))&amp;"",""))</f>
        <v/>
      </c>
      <c r="J4290" s="27" t="str">
        <f aca="false">IF(OR(G4290="",G4290="?"),"",IFERROR(INDEX(Pubs!$G$2:$G$3001,MATCH(G4290,Pubs!$A$2:$A$3001,0))&amp;"",""))</f>
        <v/>
      </c>
      <c r="K4290" s="28" t="str">
        <f aca="false">IF(OR(G4290="",G4290="?"),"",IFERROR(INDEX(Pubs!$E$2:$E$3001,MATCH(G4290,Pubs!$A$2:$A$3001,0)),""))</f>
        <v/>
      </c>
      <c r="L4290" s="29" t="str">
        <f aca="false">IF(A4290="","",IFERROR(1/(1/INDEX(Numéros!$C$2:$C$3001,MATCH(A4290&amp;"|"&amp;B4290,Numéros!$F$2:$F$3001,0))),""))</f>
        <v/>
      </c>
      <c r="M4290" s="27" t="str">
        <f aca="false">IF(OR(G4290="",G4290="?"),"",IFERROR(INDEX(Pubs!$D$2:$D$3001,MATCH(G4290,Pubs!$A$2:$A$3001,0))&amp;"",""))</f>
        <v/>
      </c>
      <c r="N4290" s="27" t="n">
        <f aca="false">N(N4289)+IF(AND(A4290&lt;&gt;"",OR(Recherche!$C$4="",A4290=Recherche!$C$4),OR(Recherche!$C$5="",B4290&amp;""=Recherche!$C$5&amp;""),OR(Recherche!$C$6="",IFERROR(YEAR(L4290),0)=Recherche!$C$6),OR(Recherche!$C$7="",ISNUMBER(SEARCH(Recherche!$C$7,H4290))),OR(Recherche!$C$8="",J4290=Recherche!$C$8),OR(Recherche!$C$9="",I4290=Recherche!$C$9),OR(Recherche!$C$10="",G4290&amp;""=Recherche!$C$10&amp;""),OR(Recherche!$C$11="",E4290=Recherche!$C$11),OR(Recherche!$C$12="",ISNUMBER(SEARCH(Recherche!$C$12,M4290&amp;" "&amp;F4290)))),1,0)</f>
        <v>8</v>
      </c>
    </row>
    <row r="4291" customFormat="false" ht="15" hidden="false" customHeight="false" outlineLevel="0" collapsed="false">
      <c r="A4291" s="19"/>
      <c r="B4291" s="19"/>
      <c r="C4291" s="19"/>
      <c r="D4291" s="19"/>
      <c r="E4291" s="22"/>
      <c r="F4291" s="19"/>
      <c r="G4291" s="26" t="str">
        <f aca="false">IF(D4291="","",IFERROR(VALUE(LEFT(D4291,FIND(" |",D4291&amp;" |")-1)),"?"))</f>
        <v/>
      </c>
      <c r="H4291" s="27" t="str">
        <f aca="false">IF(G4291="","",IF(G4291="?","⚠ pub inconnue",IFERROR(INDEX(Pubs!$B$2:$B$3001,MATCH(G4291,Pubs!$A$2:$A$3001,0))&amp;"","⚠ pub inconnue")))</f>
        <v/>
      </c>
      <c r="I4291" s="27" t="str">
        <f aca="false">IF(OR(G4291="",G4291="?"),"",IFERROR(INDEX(Pubs!$C$2:$C$3001,MATCH(G4291,Pubs!$A$2:$A$3001,0))&amp;"",""))</f>
        <v/>
      </c>
      <c r="J4291" s="27" t="str">
        <f aca="false">IF(OR(G4291="",G4291="?"),"",IFERROR(INDEX(Pubs!$G$2:$G$3001,MATCH(G4291,Pubs!$A$2:$A$3001,0))&amp;"",""))</f>
        <v/>
      </c>
      <c r="K4291" s="28" t="str">
        <f aca="false">IF(OR(G4291="",G4291="?"),"",IFERROR(INDEX(Pubs!$E$2:$E$3001,MATCH(G4291,Pubs!$A$2:$A$3001,0)),""))</f>
        <v/>
      </c>
      <c r="L4291" s="29" t="str">
        <f aca="false">IF(A4291="","",IFERROR(1/(1/INDEX(Numéros!$C$2:$C$3001,MATCH(A4291&amp;"|"&amp;B4291,Numéros!$F$2:$F$3001,0))),""))</f>
        <v/>
      </c>
      <c r="M4291" s="27" t="str">
        <f aca="false">IF(OR(G4291="",G4291="?"),"",IFERROR(INDEX(Pubs!$D$2:$D$3001,MATCH(G4291,Pubs!$A$2:$A$3001,0))&amp;"",""))</f>
        <v/>
      </c>
      <c r="N4291" s="27" t="n">
        <f aca="false">N(N4290)+IF(AND(A4291&lt;&gt;"",OR(Recherche!$C$4="",A4291=Recherche!$C$4),OR(Recherche!$C$5="",B4291&amp;""=Recherche!$C$5&amp;""),OR(Recherche!$C$6="",IFERROR(YEAR(L4291),0)=Recherche!$C$6),OR(Recherche!$C$7="",ISNUMBER(SEARCH(Recherche!$C$7,H4291))),OR(Recherche!$C$8="",J4291=Recherche!$C$8),OR(Recherche!$C$9="",I4291=Recherche!$C$9),OR(Recherche!$C$10="",G4291&amp;""=Recherche!$C$10&amp;""),OR(Recherche!$C$11="",E4291=Recherche!$C$11),OR(Recherche!$C$12="",ISNUMBER(SEARCH(Recherche!$C$12,M4291&amp;" "&amp;F4291)))),1,0)</f>
        <v>8</v>
      </c>
    </row>
    <row r="4292" customFormat="false" ht="15" hidden="false" customHeight="false" outlineLevel="0" collapsed="false">
      <c r="A4292" s="19"/>
      <c r="B4292" s="19"/>
      <c r="C4292" s="19"/>
      <c r="D4292" s="19"/>
      <c r="E4292" s="22"/>
      <c r="F4292" s="19"/>
      <c r="G4292" s="26" t="str">
        <f aca="false">IF(D4292="","",IFERROR(VALUE(LEFT(D4292,FIND(" |",D4292&amp;" |")-1)),"?"))</f>
        <v/>
      </c>
      <c r="H4292" s="27" t="str">
        <f aca="false">IF(G4292="","",IF(G4292="?","⚠ pub inconnue",IFERROR(INDEX(Pubs!$B$2:$B$3001,MATCH(G4292,Pubs!$A$2:$A$3001,0))&amp;"","⚠ pub inconnue")))</f>
        <v/>
      </c>
      <c r="I4292" s="27" t="str">
        <f aca="false">IF(OR(G4292="",G4292="?"),"",IFERROR(INDEX(Pubs!$C$2:$C$3001,MATCH(G4292,Pubs!$A$2:$A$3001,0))&amp;"",""))</f>
        <v/>
      </c>
      <c r="J4292" s="27" t="str">
        <f aca="false">IF(OR(G4292="",G4292="?"),"",IFERROR(INDEX(Pubs!$G$2:$G$3001,MATCH(G4292,Pubs!$A$2:$A$3001,0))&amp;"",""))</f>
        <v/>
      </c>
      <c r="K4292" s="28" t="str">
        <f aca="false">IF(OR(G4292="",G4292="?"),"",IFERROR(INDEX(Pubs!$E$2:$E$3001,MATCH(G4292,Pubs!$A$2:$A$3001,0)),""))</f>
        <v/>
      </c>
      <c r="L4292" s="29" t="str">
        <f aca="false">IF(A4292="","",IFERROR(1/(1/INDEX(Numéros!$C$2:$C$3001,MATCH(A4292&amp;"|"&amp;B4292,Numéros!$F$2:$F$3001,0))),""))</f>
        <v/>
      </c>
      <c r="M4292" s="27" t="str">
        <f aca="false">IF(OR(G4292="",G4292="?"),"",IFERROR(INDEX(Pubs!$D$2:$D$3001,MATCH(G4292,Pubs!$A$2:$A$3001,0))&amp;"",""))</f>
        <v/>
      </c>
      <c r="N4292" s="27" t="n">
        <f aca="false">N(N4291)+IF(AND(A4292&lt;&gt;"",OR(Recherche!$C$4="",A4292=Recherche!$C$4),OR(Recherche!$C$5="",B4292&amp;""=Recherche!$C$5&amp;""),OR(Recherche!$C$6="",IFERROR(YEAR(L4292),0)=Recherche!$C$6),OR(Recherche!$C$7="",ISNUMBER(SEARCH(Recherche!$C$7,H4292))),OR(Recherche!$C$8="",J4292=Recherche!$C$8),OR(Recherche!$C$9="",I4292=Recherche!$C$9),OR(Recherche!$C$10="",G4292&amp;""=Recherche!$C$10&amp;""),OR(Recherche!$C$11="",E4292=Recherche!$C$11),OR(Recherche!$C$12="",ISNUMBER(SEARCH(Recherche!$C$12,M4292&amp;" "&amp;F4292)))),1,0)</f>
        <v>8</v>
      </c>
    </row>
    <row r="4293" customFormat="false" ht="15" hidden="false" customHeight="false" outlineLevel="0" collapsed="false">
      <c r="A4293" s="19"/>
      <c r="B4293" s="19"/>
      <c r="C4293" s="19"/>
      <c r="D4293" s="19"/>
      <c r="E4293" s="22"/>
      <c r="F4293" s="19"/>
      <c r="G4293" s="26" t="str">
        <f aca="false">IF(D4293="","",IFERROR(VALUE(LEFT(D4293,FIND(" |",D4293&amp;" |")-1)),"?"))</f>
        <v/>
      </c>
      <c r="H4293" s="27" t="str">
        <f aca="false">IF(G4293="","",IF(G4293="?","⚠ pub inconnue",IFERROR(INDEX(Pubs!$B$2:$B$3001,MATCH(G4293,Pubs!$A$2:$A$3001,0))&amp;"","⚠ pub inconnue")))</f>
        <v/>
      </c>
      <c r="I4293" s="27" t="str">
        <f aca="false">IF(OR(G4293="",G4293="?"),"",IFERROR(INDEX(Pubs!$C$2:$C$3001,MATCH(G4293,Pubs!$A$2:$A$3001,0))&amp;"",""))</f>
        <v/>
      </c>
      <c r="J4293" s="27" t="str">
        <f aca="false">IF(OR(G4293="",G4293="?"),"",IFERROR(INDEX(Pubs!$G$2:$G$3001,MATCH(G4293,Pubs!$A$2:$A$3001,0))&amp;"",""))</f>
        <v/>
      </c>
      <c r="K4293" s="28" t="str">
        <f aca="false">IF(OR(G4293="",G4293="?"),"",IFERROR(INDEX(Pubs!$E$2:$E$3001,MATCH(G4293,Pubs!$A$2:$A$3001,0)),""))</f>
        <v/>
      </c>
      <c r="L4293" s="29" t="str">
        <f aca="false">IF(A4293="","",IFERROR(1/(1/INDEX(Numéros!$C$2:$C$3001,MATCH(A4293&amp;"|"&amp;B4293,Numéros!$F$2:$F$3001,0))),""))</f>
        <v/>
      </c>
      <c r="M4293" s="27" t="str">
        <f aca="false">IF(OR(G4293="",G4293="?"),"",IFERROR(INDEX(Pubs!$D$2:$D$3001,MATCH(G4293,Pubs!$A$2:$A$3001,0))&amp;"",""))</f>
        <v/>
      </c>
      <c r="N4293" s="27" t="n">
        <f aca="false">N(N4292)+IF(AND(A4293&lt;&gt;"",OR(Recherche!$C$4="",A4293=Recherche!$C$4),OR(Recherche!$C$5="",B4293&amp;""=Recherche!$C$5&amp;""),OR(Recherche!$C$6="",IFERROR(YEAR(L4293),0)=Recherche!$C$6),OR(Recherche!$C$7="",ISNUMBER(SEARCH(Recherche!$C$7,H4293))),OR(Recherche!$C$8="",J4293=Recherche!$C$8),OR(Recherche!$C$9="",I4293=Recherche!$C$9),OR(Recherche!$C$10="",G4293&amp;""=Recherche!$C$10&amp;""),OR(Recherche!$C$11="",E4293=Recherche!$C$11),OR(Recherche!$C$12="",ISNUMBER(SEARCH(Recherche!$C$12,M4293&amp;" "&amp;F4293)))),1,0)</f>
        <v>8</v>
      </c>
    </row>
    <row r="4294" customFormat="false" ht="15" hidden="false" customHeight="false" outlineLevel="0" collapsed="false">
      <c r="A4294" s="19"/>
      <c r="B4294" s="19"/>
      <c r="C4294" s="19"/>
      <c r="D4294" s="19"/>
      <c r="E4294" s="22"/>
      <c r="F4294" s="19"/>
      <c r="G4294" s="26" t="str">
        <f aca="false">IF(D4294="","",IFERROR(VALUE(LEFT(D4294,FIND(" |",D4294&amp;" |")-1)),"?"))</f>
        <v/>
      </c>
      <c r="H4294" s="27" t="str">
        <f aca="false">IF(G4294="","",IF(G4294="?","⚠ pub inconnue",IFERROR(INDEX(Pubs!$B$2:$B$3001,MATCH(G4294,Pubs!$A$2:$A$3001,0))&amp;"","⚠ pub inconnue")))</f>
        <v/>
      </c>
      <c r="I4294" s="27" t="str">
        <f aca="false">IF(OR(G4294="",G4294="?"),"",IFERROR(INDEX(Pubs!$C$2:$C$3001,MATCH(G4294,Pubs!$A$2:$A$3001,0))&amp;"",""))</f>
        <v/>
      </c>
      <c r="J4294" s="27" t="str">
        <f aca="false">IF(OR(G4294="",G4294="?"),"",IFERROR(INDEX(Pubs!$G$2:$G$3001,MATCH(G4294,Pubs!$A$2:$A$3001,0))&amp;"",""))</f>
        <v/>
      </c>
      <c r="K4294" s="28" t="str">
        <f aca="false">IF(OR(G4294="",G4294="?"),"",IFERROR(INDEX(Pubs!$E$2:$E$3001,MATCH(G4294,Pubs!$A$2:$A$3001,0)),""))</f>
        <v/>
      </c>
      <c r="L4294" s="29" t="str">
        <f aca="false">IF(A4294="","",IFERROR(1/(1/INDEX(Numéros!$C$2:$C$3001,MATCH(A4294&amp;"|"&amp;B4294,Numéros!$F$2:$F$3001,0))),""))</f>
        <v/>
      </c>
      <c r="M4294" s="27" t="str">
        <f aca="false">IF(OR(G4294="",G4294="?"),"",IFERROR(INDEX(Pubs!$D$2:$D$3001,MATCH(G4294,Pubs!$A$2:$A$3001,0))&amp;"",""))</f>
        <v/>
      </c>
      <c r="N4294" s="27" t="n">
        <f aca="false">N(N4293)+IF(AND(A4294&lt;&gt;"",OR(Recherche!$C$4="",A4294=Recherche!$C$4),OR(Recherche!$C$5="",B4294&amp;""=Recherche!$C$5&amp;""),OR(Recherche!$C$6="",IFERROR(YEAR(L4294),0)=Recherche!$C$6),OR(Recherche!$C$7="",ISNUMBER(SEARCH(Recherche!$C$7,H4294))),OR(Recherche!$C$8="",J4294=Recherche!$C$8),OR(Recherche!$C$9="",I4294=Recherche!$C$9),OR(Recherche!$C$10="",G4294&amp;""=Recherche!$C$10&amp;""),OR(Recherche!$C$11="",E4294=Recherche!$C$11),OR(Recherche!$C$12="",ISNUMBER(SEARCH(Recherche!$C$12,M4294&amp;" "&amp;F4294)))),1,0)</f>
        <v>8</v>
      </c>
    </row>
    <row r="4295" customFormat="false" ht="15" hidden="false" customHeight="false" outlineLevel="0" collapsed="false">
      <c r="A4295" s="19"/>
      <c r="B4295" s="19"/>
      <c r="C4295" s="19"/>
      <c r="D4295" s="19"/>
      <c r="E4295" s="22"/>
      <c r="F4295" s="19"/>
      <c r="G4295" s="26" t="str">
        <f aca="false">IF(D4295="","",IFERROR(VALUE(LEFT(D4295,FIND(" |",D4295&amp;" |")-1)),"?"))</f>
        <v/>
      </c>
      <c r="H4295" s="27" t="str">
        <f aca="false">IF(G4295="","",IF(G4295="?","⚠ pub inconnue",IFERROR(INDEX(Pubs!$B$2:$B$3001,MATCH(G4295,Pubs!$A$2:$A$3001,0))&amp;"","⚠ pub inconnue")))</f>
        <v/>
      </c>
      <c r="I4295" s="27" t="str">
        <f aca="false">IF(OR(G4295="",G4295="?"),"",IFERROR(INDEX(Pubs!$C$2:$C$3001,MATCH(G4295,Pubs!$A$2:$A$3001,0))&amp;"",""))</f>
        <v/>
      </c>
      <c r="J4295" s="27" t="str">
        <f aca="false">IF(OR(G4295="",G4295="?"),"",IFERROR(INDEX(Pubs!$G$2:$G$3001,MATCH(G4295,Pubs!$A$2:$A$3001,0))&amp;"",""))</f>
        <v/>
      </c>
      <c r="K4295" s="28" t="str">
        <f aca="false">IF(OR(G4295="",G4295="?"),"",IFERROR(INDEX(Pubs!$E$2:$E$3001,MATCH(G4295,Pubs!$A$2:$A$3001,0)),""))</f>
        <v/>
      </c>
      <c r="L4295" s="29" t="str">
        <f aca="false">IF(A4295="","",IFERROR(1/(1/INDEX(Numéros!$C$2:$C$3001,MATCH(A4295&amp;"|"&amp;B4295,Numéros!$F$2:$F$3001,0))),""))</f>
        <v/>
      </c>
      <c r="M4295" s="27" t="str">
        <f aca="false">IF(OR(G4295="",G4295="?"),"",IFERROR(INDEX(Pubs!$D$2:$D$3001,MATCH(G4295,Pubs!$A$2:$A$3001,0))&amp;"",""))</f>
        <v/>
      </c>
      <c r="N4295" s="27" t="n">
        <f aca="false">N(N4294)+IF(AND(A4295&lt;&gt;"",OR(Recherche!$C$4="",A4295=Recherche!$C$4),OR(Recherche!$C$5="",B4295&amp;""=Recherche!$C$5&amp;""),OR(Recherche!$C$6="",IFERROR(YEAR(L4295),0)=Recherche!$C$6),OR(Recherche!$C$7="",ISNUMBER(SEARCH(Recherche!$C$7,H4295))),OR(Recherche!$C$8="",J4295=Recherche!$C$8),OR(Recherche!$C$9="",I4295=Recherche!$C$9),OR(Recherche!$C$10="",G4295&amp;""=Recherche!$C$10&amp;""),OR(Recherche!$C$11="",E4295=Recherche!$C$11),OR(Recherche!$C$12="",ISNUMBER(SEARCH(Recherche!$C$12,M4295&amp;" "&amp;F4295)))),1,0)</f>
        <v>8</v>
      </c>
    </row>
    <row r="4296" customFormat="false" ht="15" hidden="false" customHeight="false" outlineLevel="0" collapsed="false">
      <c r="A4296" s="19"/>
      <c r="B4296" s="19"/>
      <c r="C4296" s="19"/>
      <c r="D4296" s="19"/>
      <c r="E4296" s="22"/>
      <c r="F4296" s="19"/>
      <c r="G4296" s="26" t="str">
        <f aca="false">IF(D4296="","",IFERROR(VALUE(LEFT(D4296,FIND(" |",D4296&amp;" |")-1)),"?"))</f>
        <v/>
      </c>
      <c r="H4296" s="27" t="str">
        <f aca="false">IF(G4296="","",IF(G4296="?","⚠ pub inconnue",IFERROR(INDEX(Pubs!$B$2:$B$3001,MATCH(G4296,Pubs!$A$2:$A$3001,0))&amp;"","⚠ pub inconnue")))</f>
        <v/>
      </c>
      <c r="I4296" s="27" t="str">
        <f aca="false">IF(OR(G4296="",G4296="?"),"",IFERROR(INDEX(Pubs!$C$2:$C$3001,MATCH(G4296,Pubs!$A$2:$A$3001,0))&amp;"",""))</f>
        <v/>
      </c>
      <c r="J4296" s="27" t="str">
        <f aca="false">IF(OR(G4296="",G4296="?"),"",IFERROR(INDEX(Pubs!$G$2:$G$3001,MATCH(G4296,Pubs!$A$2:$A$3001,0))&amp;"",""))</f>
        <v/>
      </c>
      <c r="K4296" s="28" t="str">
        <f aca="false">IF(OR(G4296="",G4296="?"),"",IFERROR(INDEX(Pubs!$E$2:$E$3001,MATCH(G4296,Pubs!$A$2:$A$3001,0)),""))</f>
        <v/>
      </c>
      <c r="L4296" s="29" t="str">
        <f aca="false">IF(A4296="","",IFERROR(1/(1/INDEX(Numéros!$C$2:$C$3001,MATCH(A4296&amp;"|"&amp;B4296,Numéros!$F$2:$F$3001,0))),""))</f>
        <v/>
      </c>
      <c r="M4296" s="27" t="str">
        <f aca="false">IF(OR(G4296="",G4296="?"),"",IFERROR(INDEX(Pubs!$D$2:$D$3001,MATCH(G4296,Pubs!$A$2:$A$3001,0))&amp;"",""))</f>
        <v/>
      </c>
      <c r="N4296" s="27" t="n">
        <f aca="false">N(N4295)+IF(AND(A4296&lt;&gt;"",OR(Recherche!$C$4="",A4296=Recherche!$C$4),OR(Recherche!$C$5="",B4296&amp;""=Recherche!$C$5&amp;""),OR(Recherche!$C$6="",IFERROR(YEAR(L4296),0)=Recherche!$C$6),OR(Recherche!$C$7="",ISNUMBER(SEARCH(Recherche!$C$7,H4296))),OR(Recherche!$C$8="",J4296=Recherche!$C$8),OR(Recherche!$C$9="",I4296=Recherche!$C$9),OR(Recherche!$C$10="",G4296&amp;""=Recherche!$C$10&amp;""),OR(Recherche!$C$11="",E4296=Recherche!$C$11),OR(Recherche!$C$12="",ISNUMBER(SEARCH(Recherche!$C$12,M4296&amp;" "&amp;F4296)))),1,0)</f>
        <v>8</v>
      </c>
    </row>
    <row r="4297" customFormat="false" ht="15" hidden="false" customHeight="false" outlineLevel="0" collapsed="false">
      <c r="A4297" s="19"/>
      <c r="B4297" s="19"/>
      <c r="C4297" s="19"/>
      <c r="D4297" s="19"/>
      <c r="E4297" s="22"/>
      <c r="F4297" s="19"/>
      <c r="G4297" s="26" t="str">
        <f aca="false">IF(D4297="","",IFERROR(VALUE(LEFT(D4297,FIND(" |",D4297&amp;" |")-1)),"?"))</f>
        <v/>
      </c>
      <c r="H4297" s="27" t="str">
        <f aca="false">IF(G4297="","",IF(G4297="?","⚠ pub inconnue",IFERROR(INDEX(Pubs!$B$2:$B$3001,MATCH(G4297,Pubs!$A$2:$A$3001,0))&amp;"","⚠ pub inconnue")))</f>
        <v/>
      </c>
      <c r="I4297" s="27" t="str">
        <f aca="false">IF(OR(G4297="",G4297="?"),"",IFERROR(INDEX(Pubs!$C$2:$C$3001,MATCH(G4297,Pubs!$A$2:$A$3001,0))&amp;"",""))</f>
        <v/>
      </c>
      <c r="J4297" s="27" t="str">
        <f aca="false">IF(OR(G4297="",G4297="?"),"",IFERROR(INDEX(Pubs!$G$2:$G$3001,MATCH(G4297,Pubs!$A$2:$A$3001,0))&amp;"",""))</f>
        <v/>
      </c>
      <c r="K4297" s="28" t="str">
        <f aca="false">IF(OR(G4297="",G4297="?"),"",IFERROR(INDEX(Pubs!$E$2:$E$3001,MATCH(G4297,Pubs!$A$2:$A$3001,0)),""))</f>
        <v/>
      </c>
      <c r="L4297" s="29" t="str">
        <f aca="false">IF(A4297="","",IFERROR(1/(1/INDEX(Numéros!$C$2:$C$3001,MATCH(A4297&amp;"|"&amp;B4297,Numéros!$F$2:$F$3001,0))),""))</f>
        <v/>
      </c>
      <c r="M4297" s="27" t="str">
        <f aca="false">IF(OR(G4297="",G4297="?"),"",IFERROR(INDEX(Pubs!$D$2:$D$3001,MATCH(G4297,Pubs!$A$2:$A$3001,0))&amp;"",""))</f>
        <v/>
      </c>
      <c r="N4297" s="27" t="n">
        <f aca="false">N(N4296)+IF(AND(A4297&lt;&gt;"",OR(Recherche!$C$4="",A4297=Recherche!$C$4),OR(Recherche!$C$5="",B4297&amp;""=Recherche!$C$5&amp;""),OR(Recherche!$C$6="",IFERROR(YEAR(L4297),0)=Recherche!$C$6),OR(Recherche!$C$7="",ISNUMBER(SEARCH(Recherche!$C$7,H4297))),OR(Recherche!$C$8="",J4297=Recherche!$C$8),OR(Recherche!$C$9="",I4297=Recherche!$C$9),OR(Recherche!$C$10="",G4297&amp;""=Recherche!$C$10&amp;""),OR(Recherche!$C$11="",E4297=Recherche!$C$11),OR(Recherche!$C$12="",ISNUMBER(SEARCH(Recherche!$C$12,M4297&amp;" "&amp;F4297)))),1,0)</f>
        <v>8</v>
      </c>
    </row>
    <row r="4298" customFormat="false" ht="15" hidden="false" customHeight="false" outlineLevel="0" collapsed="false">
      <c r="A4298" s="19"/>
      <c r="B4298" s="19"/>
      <c r="C4298" s="19"/>
      <c r="D4298" s="19"/>
      <c r="E4298" s="22"/>
      <c r="F4298" s="19"/>
      <c r="G4298" s="26" t="str">
        <f aca="false">IF(D4298="","",IFERROR(VALUE(LEFT(D4298,FIND(" |",D4298&amp;" |")-1)),"?"))</f>
        <v/>
      </c>
      <c r="H4298" s="27" t="str">
        <f aca="false">IF(G4298="","",IF(G4298="?","⚠ pub inconnue",IFERROR(INDEX(Pubs!$B$2:$B$3001,MATCH(G4298,Pubs!$A$2:$A$3001,0))&amp;"","⚠ pub inconnue")))</f>
        <v/>
      </c>
      <c r="I4298" s="27" t="str">
        <f aca="false">IF(OR(G4298="",G4298="?"),"",IFERROR(INDEX(Pubs!$C$2:$C$3001,MATCH(G4298,Pubs!$A$2:$A$3001,0))&amp;"",""))</f>
        <v/>
      </c>
      <c r="J4298" s="27" t="str">
        <f aca="false">IF(OR(G4298="",G4298="?"),"",IFERROR(INDEX(Pubs!$G$2:$G$3001,MATCH(G4298,Pubs!$A$2:$A$3001,0))&amp;"",""))</f>
        <v/>
      </c>
      <c r="K4298" s="28" t="str">
        <f aca="false">IF(OR(G4298="",G4298="?"),"",IFERROR(INDEX(Pubs!$E$2:$E$3001,MATCH(G4298,Pubs!$A$2:$A$3001,0)),""))</f>
        <v/>
      </c>
      <c r="L4298" s="29" t="str">
        <f aca="false">IF(A4298="","",IFERROR(1/(1/INDEX(Numéros!$C$2:$C$3001,MATCH(A4298&amp;"|"&amp;B4298,Numéros!$F$2:$F$3001,0))),""))</f>
        <v/>
      </c>
      <c r="M4298" s="27" t="str">
        <f aca="false">IF(OR(G4298="",G4298="?"),"",IFERROR(INDEX(Pubs!$D$2:$D$3001,MATCH(G4298,Pubs!$A$2:$A$3001,0))&amp;"",""))</f>
        <v/>
      </c>
      <c r="N4298" s="27" t="n">
        <f aca="false">N(N4297)+IF(AND(A4298&lt;&gt;"",OR(Recherche!$C$4="",A4298=Recherche!$C$4),OR(Recherche!$C$5="",B4298&amp;""=Recherche!$C$5&amp;""),OR(Recherche!$C$6="",IFERROR(YEAR(L4298),0)=Recherche!$C$6),OR(Recherche!$C$7="",ISNUMBER(SEARCH(Recherche!$C$7,H4298))),OR(Recherche!$C$8="",J4298=Recherche!$C$8),OR(Recherche!$C$9="",I4298=Recherche!$C$9),OR(Recherche!$C$10="",G4298&amp;""=Recherche!$C$10&amp;""),OR(Recherche!$C$11="",E4298=Recherche!$C$11),OR(Recherche!$C$12="",ISNUMBER(SEARCH(Recherche!$C$12,M4298&amp;" "&amp;F4298)))),1,0)</f>
        <v>8</v>
      </c>
    </row>
    <row r="4299" customFormat="false" ht="15" hidden="false" customHeight="false" outlineLevel="0" collapsed="false">
      <c r="A4299" s="19"/>
      <c r="B4299" s="19"/>
      <c r="C4299" s="19"/>
      <c r="D4299" s="19"/>
      <c r="E4299" s="22"/>
      <c r="F4299" s="19"/>
      <c r="G4299" s="26" t="str">
        <f aca="false">IF(D4299="","",IFERROR(VALUE(LEFT(D4299,FIND(" |",D4299&amp;" |")-1)),"?"))</f>
        <v/>
      </c>
      <c r="H4299" s="27" t="str">
        <f aca="false">IF(G4299="","",IF(G4299="?","⚠ pub inconnue",IFERROR(INDEX(Pubs!$B$2:$B$3001,MATCH(G4299,Pubs!$A$2:$A$3001,0))&amp;"","⚠ pub inconnue")))</f>
        <v/>
      </c>
      <c r="I4299" s="27" t="str">
        <f aca="false">IF(OR(G4299="",G4299="?"),"",IFERROR(INDEX(Pubs!$C$2:$C$3001,MATCH(G4299,Pubs!$A$2:$A$3001,0))&amp;"",""))</f>
        <v/>
      </c>
      <c r="J4299" s="27" t="str">
        <f aca="false">IF(OR(G4299="",G4299="?"),"",IFERROR(INDEX(Pubs!$G$2:$G$3001,MATCH(G4299,Pubs!$A$2:$A$3001,0))&amp;"",""))</f>
        <v/>
      </c>
      <c r="K4299" s="28" t="str">
        <f aca="false">IF(OR(G4299="",G4299="?"),"",IFERROR(INDEX(Pubs!$E$2:$E$3001,MATCH(G4299,Pubs!$A$2:$A$3001,0)),""))</f>
        <v/>
      </c>
      <c r="L4299" s="29" t="str">
        <f aca="false">IF(A4299="","",IFERROR(1/(1/INDEX(Numéros!$C$2:$C$3001,MATCH(A4299&amp;"|"&amp;B4299,Numéros!$F$2:$F$3001,0))),""))</f>
        <v/>
      </c>
      <c r="M4299" s="27" t="str">
        <f aca="false">IF(OR(G4299="",G4299="?"),"",IFERROR(INDEX(Pubs!$D$2:$D$3001,MATCH(G4299,Pubs!$A$2:$A$3001,0))&amp;"",""))</f>
        <v/>
      </c>
      <c r="N4299" s="27" t="n">
        <f aca="false">N(N4298)+IF(AND(A4299&lt;&gt;"",OR(Recherche!$C$4="",A4299=Recherche!$C$4),OR(Recherche!$C$5="",B4299&amp;""=Recherche!$C$5&amp;""),OR(Recherche!$C$6="",IFERROR(YEAR(L4299),0)=Recherche!$C$6),OR(Recherche!$C$7="",ISNUMBER(SEARCH(Recherche!$C$7,H4299))),OR(Recherche!$C$8="",J4299=Recherche!$C$8),OR(Recherche!$C$9="",I4299=Recherche!$C$9),OR(Recherche!$C$10="",G4299&amp;""=Recherche!$C$10&amp;""),OR(Recherche!$C$11="",E4299=Recherche!$C$11),OR(Recherche!$C$12="",ISNUMBER(SEARCH(Recherche!$C$12,M4299&amp;" "&amp;F4299)))),1,0)</f>
        <v>8</v>
      </c>
    </row>
    <row r="4300" customFormat="false" ht="15" hidden="false" customHeight="false" outlineLevel="0" collapsed="false">
      <c r="A4300" s="19"/>
      <c r="B4300" s="19"/>
      <c r="C4300" s="19"/>
      <c r="D4300" s="19"/>
      <c r="E4300" s="22"/>
      <c r="F4300" s="19"/>
      <c r="G4300" s="26" t="str">
        <f aca="false">IF(D4300="","",IFERROR(VALUE(LEFT(D4300,FIND(" |",D4300&amp;" |")-1)),"?"))</f>
        <v/>
      </c>
      <c r="H4300" s="27" t="str">
        <f aca="false">IF(G4300="","",IF(G4300="?","⚠ pub inconnue",IFERROR(INDEX(Pubs!$B$2:$B$3001,MATCH(G4300,Pubs!$A$2:$A$3001,0))&amp;"","⚠ pub inconnue")))</f>
        <v/>
      </c>
      <c r="I4300" s="27" t="str">
        <f aca="false">IF(OR(G4300="",G4300="?"),"",IFERROR(INDEX(Pubs!$C$2:$C$3001,MATCH(G4300,Pubs!$A$2:$A$3001,0))&amp;"",""))</f>
        <v/>
      </c>
      <c r="J4300" s="27" t="str">
        <f aca="false">IF(OR(G4300="",G4300="?"),"",IFERROR(INDEX(Pubs!$G$2:$G$3001,MATCH(G4300,Pubs!$A$2:$A$3001,0))&amp;"",""))</f>
        <v/>
      </c>
      <c r="K4300" s="28" t="str">
        <f aca="false">IF(OR(G4300="",G4300="?"),"",IFERROR(INDEX(Pubs!$E$2:$E$3001,MATCH(G4300,Pubs!$A$2:$A$3001,0)),""))</f>
        <v/>
      </c>
      <c r="L4300" s="29" t="str">
        <f aca="false">IF(A4300="","",IFERROR(1/(1/INDEX(Numéros!$C$2:$C$3001,MATCH(A4300&amp;"|"&amp;B4300,Numéros!$F$2:$F$3001,0))),""))</f>
        <v/>
      </c>
      <c r="M4300" s="27" t="str">
        <f aca="false">IF(OR(G4300="",G4300="?"),"",IFERROR(INDEX(Pubs!$D$2:$D$3001,MATCH(G4300,Pubs!$A$2:$A$3001,0))&amp;"",""))</f>
        <v/>
      </c>
      <c r="N4300" s="27" t="n">
        <f aca="false">N(N4299)+IF(AND(A4300&lt;&gt;"",OR(Recherche!$C$4="",A4300=Recherche!$C$4),OR(Recherche!$C$5="",B4300&amp;""=Recherche!$C$5&amp;""),OR(Recherche!$C$6="",IFERROR(YEAR(L4300),0)=Recherche!$C$6),OR(Recherche!$C$7="",ISNUMBER(SEARCH(Recherche!$C$7,H4300))),OR(Recherche!$C$8="",J4300=Recherche!$C$8),OR(Recherche!$C$9="",I4300=Recherche!$C$9),OR(Recherche!$C$10="",G4300&amp;""=Recherche!$C$10&amp;""),OR(Recherche!$C$11="",E4300=Recherche!$C$11),OR(Recherche!$C$12="",ISNUMBER(SEARCH(Recherche!$C$12,M4300&amp;" "&amp;F4300)))),1,0)</f>
        <v>8</v>
      </c>
    </row>
    <row r="4301" customFormat="false" ht="15" hidden="false" customHeight="false" outlineLevel="0" collapsed="false">
      <c r="A4301" s="19"/>
      <c r="B4301" s="19"/>
      <c r="C4301" s="19"/>
      <c r="D4301" s="19"/>
      <c r="E4301" s="22"/>
      <c r="F4301" s="19"/>
      <c r="G4301" s="26" t="str">
        <f aca="false">IF(D4301="","",IFERROR(VALUE(LEFT(D4301,FIND(" |",D4301&amp;" |")-1)),"?"))</f>
        <v/>
      </c>
      <c r="H4301" s="27" t="str">
        <f aca="false">IF(G4301="","",IF(G4301="?","⚠ pub inconnue",IFERROR(INDEX(Pubs!$B$2:$B$3001,MATCH(G4301,Pubs!$A$2:$A$3001,0))&amp;"","⚠ pub inconnue")))</f>
        <v/>
      </c>
      <c r="I4301" s="27" t="str">
        <f aca="false">IF(OR(G4301="",G4301="?"),"",IFERROR(INDEX(Pubs!$C$2:$C$3001,MATCH(G4301,Pubs!$A$2:$A$3001,0))&amp;"",""))</f>
        <v/>
      </c>
      <c r="J4301" s="27" t="str">
        <f aca="false">IF(OR(G4301="",G4301="?"),"",IFERROR(INDEX(Pubs!$G$2:$G$3001,MATCH(G4301,Pubs!$A$2:$A$3001,0))&amp;"",""))</f>
        <v/>
      </c>
      <c r="K4301" s="28" t="str">
        <f aca="false">IF(OR(G4301="",G4301="?"),"",IFERROR(INDEX(Pubs!$E$2:$E$3001,MATCH(G4301,Pubs!$A$2:$A$3001,0)),""))</f>
        <v/>
      </c>
      <c r="L4301" s="29" t="str">
        <f aca="false">IF(A4301="","",IFERROR(1/(1/INDEX(Numéros!$C$2:$C$3001,MATCH(A4301&amp;"|"&amp;B4301,Numéros!$F$2:$F$3001,0))),""))</f>
        <v/>
      </c>
      <c r="M4301" s="27" t="str">
        <f aca="false">IF(OR(G4301="",G4301="?"),"",IFERROR(INDEX(Pubs!$D$2:$D$3001,MATCH(G4301,Pubs!$A$2:$A$3001,0))&amp;"",""))</f>
        <v/>
      </c>
      <c r="N4301" s="27" t="n">
        <f aca="false">N(N4300)+IF(AND(A4301&lt;&gt;"",OR(Recherche!$C$4="",A4301=Recherche!$C$4),OR(Recherche!$C$5="",B4301&amp;""=Recherche!$C$5&amp;""),OR(Recherche!$C$6="",IFERROR(YEAR(L4301),0)=Recherche!$C$6),OR(Recherche!$C$7="",ISNUMBER(SEARCH(Recherche!$C$7,H4301))),OR(Recherche!$C$8="",J4301=Recherche!$C$8),OR(Recherche!$C$9="",I4301=Recherche!$C$9),OR(Recherche!$C$10="",G4301&amp;""=Recherche!$C$10&amp;""),OR(Recherche!$C$11="",E4301=Recherche!$C$11),OR(Recherche!$C$12="",ISNUMBER(SEARCH(Recherche!$C$12,M4301&amp;" "&amp;F4301)))),1,0)</f>
        <v>8</v>
      </c>
    </row>
    <row r="4302" customFormat="false" ht="15" hidden="false" customHeight="false" outlineLevel="0" collapsed="false">
      <c r="A4302" s="19"/>
      <c r="B4302" s="19"/>
      <c r="C4302" s="19"/>
      <c r="D4302" s="19"/>
      <c r="E4302" s="22"/>
      <c r="F4302" s="19"/>
      <c r="G4302" s="26" t="str">
        <f aca="false">IF(D4302="","",IFERROR(VALUE(LEFT(D4302,FIND(" |",D4302&amp;" |")-1)),"?"))</f>
        <v/>
      </c>
      <c r="H4302" s="27" t="str">
        <f aca="false">IF(G4302="","",IF(G4302="?","⚠ pub inconnue",IFERROR(INDEX(Pubs!$B$2:$B$3001,MATCH(G4302,Pubs!$A$2:$A$3001,0))&amp;"","⚠ pub inconnue")))</f>
        <v/>
      </c>
      <c r="I4302" s="27" t="str">
        <f aca="false">IF(OR(G4302="",G4302="?"),"",IFERROR(INDEX(Pubs!$C$2:$C$3001,MATCH(G4302,Pubs!$A$2:$A$3001,0))&amp;"",""))</f>
        <v/>
      </c>
      <c r="J4302" s="27" t="str">
        <f aca="false">IF(OR(G4302="",G4302="?"),"",IFERROR(INDEX(Pubs!$G$2:$G$3001,MATCH(G4302,Pubs!$A$2:$A$3001,0))&amp;"",""))</f>
        <v/>
      </c>
      <c r="K4302" s="28" t="str">
        <f aca="false">IF(OR(G4302="",G4302="?"),"",IFERROR(INDEX(Pubs!$E$2:$E$3001,MATCH(G4302,Pubs!$A$2:$A$3001,0)),""))</f>
        <v/>
      </c>
      <c r="L4302" s="29" t="str">
        <f aca="false">IF(A4302="","",IFERROR(1/(1/INDEX(Numéros!$C$2:$C$3001,MATCH(A4302&amp;"|"&amp;B4302,Numéros!$F$2:$F$3001,0))),""))</f>
        <v/>
      </c>
      <c r="M4302" s="27" t="str">
        <f aca="false">IF(OR(G4302="",G4302="?"),"",IFERROR(INDEX(Pubs!$D$2:$D$3001,MATCH(G4302,Pubs!$A$2:$A$3001,0))&amp;"",""))</f>
        <v/>
      </c>
      <c r="N4302" s="27" t="n">
        <f aca="false">N(N4301)+IF(AND(A4302&lt;&gt;"",OR(Recherche!$C$4="",A4302=Recherche!$C$4),OR(Recherche!$C$5="",B4302&amp;""=Recherche!$C$5&amp;""),OR(Recherche!$C$6="",IFERROR(YEAR(L4302),0)=Recherche!$C$6),OR(Recherche!$C$7="",ISNUMBER(SEARCH(Recherche!$C$7,H4302))),OR(Recherche!$C$8="",J4302=Recherche!$C$8),OR(Recherche!$C$9="",I4302=Recherche!$C$9),OR(Recherche!$C$10="",G4302&amp;""=Recherche!$C$10&amp;""),OR(Recherche!$C$11="",E4302=Recherche!$C$11),OR(Recherche!$C$12="",ISNUMBER(SEARCH(Recherche!$C$12,M4302&amp;" "&amp;F4302)))),1,0)</f>
        <v>8</v>
      </c>
    </row>
    <row r="4303" customFormat="false" ht="15" hidden="false" customHeight="false" outlineLevel="0" collapsed="false">
      <c r="A4303" s="19"/>
      <c r="B4303" s="19"/>
      <c r="C4303" s="19"/>
      <c r="D4303" s="19"/>
      <c r="E4303" s="22"/>
      <c r="F4303" s="19"/>
      <c r="G4303" s="26" t="str">
        <f aca="false">IF(D4303="","",IFERROR(VALUE(LEFT(D4303,FIND(" |",D4303&amp;" |")-1)),"?"))</f>
        <v/>
      </c>
      <c r="H4303" s="27" t="str">
        <f aca="false">IF(G4303="","",IF(G4303="?","⚠ pub inconnue",IFERROR(INDEX(Pubs!$B$2:$B$3001,MATCH(G4303,Pubs!$A$2:$A$3001,0))&amp;"","⚠ pub inconnue")))</f>
        <v/>
      </c>
      <c r="I4303" s="27" t="str">
        <f aca="false">IF(OR(G4303="",G4303="?"),"",IFERROR(INDEX(Pubs!$C$2:$C$3001,MATCH(G4303,Pubs!$A$2:$A$3001,0))&amp;"",""))</f>
        <v/>
      </c>
      <c r="J4303" s="27" t="str">
        <f aca="false">IF(OR(G4303="",G4303="?"),"",IFERROR(INDEX(Pubs!$G$2:$G$3001,MATCH(G4303,Pubs!$A$2:$A$3001,0))&amp;"",""))</f>
        <v/>
      </c>
      <c r="K4303" s="28" t="str">
        <f aca="false">IF(OR(G4303="",G4303="?"),"",IFERROR(INDEX(Pubs!$E$2:$E$3001,MATCH(G4303,Pubs!$A$2:$A$3001,0)),""))</f>
        <v/>
      </c>
      <c r="L4303" s="29" t="str">
        <f aca="false">IF(A4303="","",IFERROR(1/(1/INDEX(Numéros!$C$2:$C$3001,MATCH(A4303&amp;"|"&amp;B4303,Numéros!$F$2:$F$3001,0))),""))</f>
        <v/>
      </c>
      <c r="M4303" s="27" t="str">
        <f aca="false">IF(OR(G4303="",G4303="?"),"",IFERROR(INDEX(Pubs!$D$2:$D$3001,MATCH(G4303,Pubs!$A$2:$A$3001,0))&amp;"",""))</f>
        <v/>
      </c>
      <c r="N4303" s="27" t="n">
        <f aca="false">N(N4302)+IF(AND(A4303&lt;&gt;"",OR(Recherche!$C$4="",A4303=Recherche!$C$4),OR(Recherche!$C$5="",B4303&amp;""=Recherche!$C$5&amp;""),OR(Recherche!$C$6="",IFERROR(YEAR(L4303),0)=Recherche!$C$6),OR(Recherche!$C$7="",ISNUMBER(SEARCH(Recherche!$C$7,H4303))),OR(Recherche!$C$8="",J4303=Recherche!$C$8),OR(Recherche!$C$9="",I4303=Recherche!$C$9),OR(Recherche!$C$10="",G4303&amp;""=Recherche!$C$10&amp;""),OR(Recherche!$C$11="",E4303=Recherche!$C$11),OR(Recherche!$C$12="",ISNUMBER(SEARCH(Recherche!$C$12,M4303&amp;" "&amp;F4303)))),1,0)</f>
        <v>8</v>
      </c>
    </row>
    <row r="4304" customFormat="false" ht="15" hidden="false" customHeight="false" outlineLevel="0" collapsed="false">
      <c r="A4304" s="19"/>
      <c r="B4304" s="19"/>
      <c r="C4304" s="19"/>
      <c r="D4304" s="19"/>
      <c r="E4304" s="22"/>
      <c r="F4304" s="19"/>
      <c r="G4304" s="26" t="str">
        <f aca="false">IF(D4304="","",IFERROR(VALUE(LEFT(D4304,FIND(" |",D4304&amp;" |")-1)),"?"))</f>
        <v/>
      </c>
      <c r="H4304" s="27" t="str">
        <f aca="false">IF(G4304="","",IF(G4304="?","⚠ pub inconnue",IFERROR(INDEX(Pubs!$B$2:$B$3001,MATCH(G4304,Pubs!$A$2:$A$3001,0))&amp;"","⚠ pub inconnue")))</f>
        <v/>
      </c>
      <c r="I4304" s="27" t="str">
        <f aca="false">IF(OR(G4304="",G4304="?"),"",IFERROR(INDEX(Pubs!$C$2:$C$3001,MATCH(G4304,Pubs!$A$2:$A$3001,0))&amp;"",""))</f>
        <v/>
      </c>
      <c r="J4304" s="27" t="str">
        <f aca="false">IF(OR(G4304="",G4304="?"),"",IFERROR(INDEX(Pubs!$G$2:$G$3001,MATCH(G4304,Pubs!$A$2:$A$3001,0))&amp;"",""))</f>
        <v/>
      </c>
      <c r="K4304" s="28" t="str">
        <f aca="false">IF(OR(G4304="",G4304="?"),"",IFERROR(INDEX(Pubs!$E$2:$E$3001,MATCH(G4304,Pubs!$A$2:$A$3001,0)),""))</f>
        <v/>
      </c>
      <c r="L4304" s="29" t="str">
        <f aca="false">IF(A4304="","",IFERROR(1/(1/INDEX(Numéros!$C$2:$C$3001,MATCH(A4304&amp;"|"&amp;B4304,Numéros!$F$2:$F$3001,0))),""))</f>
        <v/>
      </c>
      <c r="M4304" s="27" t="str">
        <f aca="false">IF(OR(G4304="",G4304="?"),"",IFERROR(INDEX(Pubs!$D$2:$D$3001,MATCH(G4304,Pubs!$A$2:$A$3001,0))&amp;"",""))</f>
        <v/>
      </c>
      <c r="N4304" s="27" t="n">
        <f aca="false">N(N4303)+IF(AND(A4304&lt;&gt;"",OR(Recherche!$C$4="",A4304=Recherche!$C$4),OR(Recherche!$C$5="",B4304&amp;""=Recherche!$C$5&amp;""),OR(Recherche!$C$6="",IFERROR(YEAR(L4304),0)=Recherche!$C$6),OR(Recherche!$C$7="",ISNUMBER(SEARCH(Recherche!$C$7,H4304))),OR(Recherche!$C$8="",J4304=Recherche!$C$8),OR(Recherche!$C$9="",I4304=Recherche!$C$9),OR(Recherche!$C$10="",G4304&amp;""=Recherche!$C$10&amp;""),OR(Recherche!$C$11="",E4304=Recherche!$C$11),OR(Recherche!$C$12="",ISNUMBER(SEARCH(Recherche!$C$12,M4304&amp;" "&amp;F4304)))),1,0)</f>
        <v>8</v>
      </c>
    </row>
    <row r="4305" customFormat="false" ht="15" hidden="false" customHeight="false" outlineLevel="0" collapsed="false">
      <c r="A4305" s="19"/>
      <c r="B4305" s="19"/>
      <c r="C4305" s="19"/>
      <c r="D4305" s="19"/>
      <c r="E4305" s="22"/>
      <c r="F4305" s="19"/>
      <c r="G4305" s="26" t="str">
        <f aca="false">IF(D4305="","",IFERROR(VALUE(LEFT(D4305,FIND(" |",D4305&amp;" |")-1)),"?"))</f>
        <v/>
      </c>
      <c r="H4305" s="27" t="str">
        <f aca="false">IF(G4305="","",IF(G4305="?","⚠ pub inconnue",IFERROR(INDEX(Pubs!$B$2:$B$3001,MATCH(G4305,Pubs!$A$2:$A$3001,0))&amp;"","⚠ pub inconnue")))</f>
        <v/>
      </c>
      <c r="I4305" s="27" t="str">
        <f aca="false">IF(OR(G4305="",G4305="?"),"",IFERROR(INDEX(Pubs!$C$2:$C$3001,MATCH(G4305,Pubs!$A$2:$A$3001,0))&amp;"",""))</f>
        <v/>
      </c>
      <c r="J4305" s="27" t="str">
        <f aca="false">IF(OR(G4305="",G4305="?"),"",IFERROR(INDEX(Pubs!$G$2:$G$3001,MATCH(G4305,Pubs!$A$2:$A$3001,0))&amp;"",""))</f>
        <v/>
      </c>
      <c r="K4305" s="28" t="str">
        <f aca="false">IF(OR(G4305="",G4305="?"),"",IFERROR(INDEX(Pubs!$E$2:$E$3001,MATCH(G4305,Pubs!$A$2:$A$3001,0)),""))</f>
        <v/>
      </c>
      <c r="L4305" s="29" t="str">
        <f aca="false">IF(A4305="","",IFERROR(1/(1/INDEX(Numéros!$C$2:$C$3001,MATCH(A4305&amp;"|"&amp;B4305,Numéros!$F$2:$F$3001,0))),""))</f>
        <v/>
      </c>
      <c r="M4305" s="27" t="str">
        <f aca="false">IF(OR(G4305="",G4305="?"),"",IFERROR(INDEX(Pubs!$D$2:$D$3001,MATCH(G4305,Pubs!$A$2:$A$3001,0))&amp;"",""))</f>
        <v/>
      </c>
      <c r="N4305" s="27" t="n">
        <f aca="false">N(N4304)+IF(AND(A4305&lt;&gt;"",OR(Recherche!$C$4="",A4305=Recherche!$C$4),OR(Recherche!$C$5="",B4305&amp;""=Recherche!$C$5&amp;""),OR(Recherche!$C$6="",IFERROR(YEAR(L4305),0)=Recherche!$C$6),OR(Recherche!$C$7="",ISNUMBER(SEARCH(Recherche!$C$7,H4305))),OR(Recherche!$C$8="",J4305=Recherche!$C$8),OR(Recherche!$C$9="",I4305=Recherche!$C$9),OR(Recherche!$C$10="",G4305&amp;""=Recherche!$C$10&amp;""),OR(Recherche!$C$11="",E4305=Recherche!$C$11),OR(Recherche!$C$12="",ISNUMBER(SEARCH(Recherche!$C$12,M4305&amp;" "&amp;F4305)))),1,0)</f>
        <v>8</v>
      </c>
    </row>
    <row r="4306" customFormat="false" ht="15" hidden="false" customHeight="false" outlineLevel="0" collapsed="false">
      <c r="A4306" s="19"/>
      <c r="B4306" s="19"/>
      <c r="C4306" s="19"/>
      <c r="D4306" s="19"/>
      <c r="E4306" s="22"/>
      <c r="F4306" s="19"/>
      <c r="G4306" s="26" t="str">
        <f aca="false">IF(D4306="","",IFERROR(VALUE(LEFT(D4306,FIND(" |",D4306&amp;" |")-1)),"?"))</f>
        <v/>
      </c>
      <c r="H4306" s="27" t="str">
        <f aca="false">IF(G4306="","",IF(G4306="?","⚠ pub inconnue",IFERROR(INDEX(Pubs!$B$2:$B$3001,MATCH(G4306,Pubs!$A$2:$A$3001,0))&amp;"","⚠ pub inconnue")))</f>
        <v/>
      </c>
      <c r="I4306" s="27" t="str">
        <f aca="false">IF(OR(G4306="",G4306="?"),"",IFERROR(INDEX(Pubs!$C$2:$C$3001,MATCH(G4306,Pubs!$A$2:$A$3001,0))&amp;"",""))</f>
        <v/>
      </c>
      <c r="J4306" s="27" t="str">
        <f aca="false">IF(OR(G4306="",G4306="?"),"",IFERROR(INDEX(Pubs!$G$2:$G$3001,MATCH(G4306,Pubs!$A$2:$A$3001,0))&amp;"",""))</f>
        <v/>
      </c>
      <c r="K4306" s="28" t="str">
        <f aca="false">IF(OR(G4306="",G4306="?"),"",IFERROR(INDEX(Pubs!$E$2:$E$3001,MATCH(G4306,Pubs!$A$2:$A$3001,0)),""))</f>
        <v/>
      </c>
      <c r="L4306" s="29" t="str">
        <f aca="false">IF(A4306="","",IFERROR(1/(1/INDEX(Numéros!$C$2:$C$3001,MATCH(A4306&amp;"|"&amp;B4306,Numéros!$F$2:$F$3001,0))),""))</f>
        <v/>
      </c>
      <c r="M4306" s="27" t="str">
        <f aca="false">IF(OR(G4306="",G4306="?"),"",IFERROR(INDEX(Pubs!$D$2:$D$3001,MATCH(G4306,Pubs!$A$2:$A$3001,0))&amp;"",""))</f>
        <v/>
      </c>
      <c r="N4306" s="27" t="n">
        <f aca="false">N(N4305)+IF(AND(A4306&lt;&gt;"",OR(Recherche!$C$4="",A4306=Recherche!$C$4),OR(Recherche!$C$5="",B4306&amp;""=Recherche!$C$5&amp;""),OR(Recherche!$C$6="",IFERROR(YEAR(L4306),0)=Recherche!$C$6),OR(Recherche!$C$7="",ISNUMBER(SEARCH(Recherche!$C$7,H4306))),OR(Recherche!$C$8="",J4306=Recherche!$C$8),OR(Recherche!$C$9="",I4306=Recherche!$C$9),OR(Recherche!$C$10="",G4306&amp;""=Recherche!$C$10&amp;""),OR(Recherche!$C$11="",E4306=Recherche!$C$11),OR(Recherche!$C$12="",ISNUMBER(SEARCH(Recherche!$C$12,M4306&amp;" "&amp;F4306)))),1,0)</f>
        <v>8</v>
      </c>
    </row>
    <row r="4307" customFormat="false" ht="15" hidden="false" customHeight="false" outlineLevel="0" collapsed="false">
      <c r="A4307" s="19"/>
      <c r="B4307" s="19"/>
      <c r="C4307" s="19"/>
      <c r="D4307" s="19"/>
      <c r="E4307" s="22"/>
      <c r="F4307" s="19"/>
      <c r="G4307" s="26" t="str">
        <f aca="false">IF(D4307="","",IFERROR(VALUE(LEFT(D4307,FIND(" |",D4307&amp;" |")-1)),"?"))</f>
        <v/>
      </c>
      <c r="H4307" s="27" t="str">
        <f aca="false">IF(G4307="","",IF(G4307="?","⚠ pub inconnue",IFERROR(INDEX(Pubs!$B$2:$B$3001,MATCH(G4307,Pubs!$A$2:$A$3001,0))&amp;"","⚠ pub inconnue")))</f>
        <v/>
      </c>
      <c r="I4307" s="27" t="str">
        <f aca="false">IF(OR(G4307="",G4307="?"),"",IFERROR(INDEX(Pubs!$C$2:$C$3001,MATCH(G4307,Pubs!$A$2:$A$3001,0))&amp;"",""))</f>
        <v/>
      </c>
      <c r="J4307" s="27" t="str">
        <f aca="false">IF(OR(G4307="",G4307="?"),"",IFERROR(INDEX(Pubs!$G$2:$G$3001,MATCH(G4307,Pubs!$A$2:$A$3001,0))&amp;"",""))</f>
        <v/>
      </c>
      <c r="K4307" s="28" t="str">
        <f aca="false">IF(OR(G4307="",G4307="?"),"",IFERROR(INDEX(Pubs!$E$2:$E$3001,MATCH(G4307,Pubs!$A$2:$A$3001,0)),""))</f>
        <v/>
      </c>
      <c r="L4307" s="29" t="str">
        <f aca="false">IF(A4307="","",IFERROR(1/(1/INDEX(Numéros!$C$2:$C$3001,MATCH(A4307&amp;"|"&amp;B4307,Numéros!$F$2:$F$3001,0))),""))</f>
        <v/>
      </c>
      <c r="M4307" s="27" t="str">
        <f aca="false">IF(OR(G4307="",G4307="?"),"",IFERROR(INDEX(Pubs!$D$2:$D$3001,MATCH(G4307,Pubs!$A$2:$A$3001,0))&amp;"",""))</f>
        <v/>
      </c>
      <c r="N4307" s="27" t="n">
        <f aca="false">N(N4306)+IF(AND(A4307&lt;&gt;"",OR(Recherche!$C$4="",A4307=Recherche!$C$4),OR(Recherche!$C$5="",B4307&amp;""=Recherche!$C$5&amp;""),OR(Recherche!$C$6="",IFERROR(YEAR(L4307),0)=Recherche!$C$6),OR(Recherche!$C$7="",ISNUMBER(SEARCH(Recherche!$C$7,H4307))),OR(Recherche!$C$8="",J4307=Recherche!$C$8),OR(Recherche!$C$9="",I4307=Recherche!$C$9),OR(Recherche!$C$10="",G4307&amp;""=Recherche!$C$10&amp;""),OR(Recherche!$C$11="",E4307=Recherche!$C$11),OR(Recherche!$C$12="",ISNUMBER(SEARCH(Recherche!$C$12,M4307&amp;" "&amp;F4307)))),1,0)</f>
        <v>8</v>
      </c>
    </row>
    <row r="4308" customFormat="false" ht="15" hidden="false" customHeight="false" outlineLevel="0" collapsed="false">
      <c r="A4308" s="19"/>
      <c r="B4308" s="19"/>
      <c r="C4308" s="19"/>
      <c r="D4308" s="19"/>
      <c r="E4308" s="22"/>
      <c r="F4308" s="19"/>
      <c r="G4308" s="26" t="str">
        <f aca="false">IF(D4308="","",IFERROR(VALUE(LEFT(D4308,FIND(" |",D4308&amp;" |")-1)),"?"))</f>
        <v/>
      </c>
      <c r="H4308" s="27" t="str">
        <f aca="false">IF(G4308="","",IF(G4308="?","⚠ pub inconnue",IFERROR(INDEX(Pubs!$B$2:$B$3001,MATCH(G4308,Pubs!$A$2:$A$3001,0))&amp;"","⚠ pub inconnue")))</f>
        <v/>
      </c>
      <c r="I4308" s="27" t="str">
        <f aca="false">IF(OR(G4308="",G4308="?"),"",IFERROR(INDEX(Pubs!$C$2:$C$3001,MATCH(G4308,Pubs!$A$2:$A$3001,0))&amp;"",""))</f>
        <v/>
      </c>
      <c r="J4308" s="27" t="str">
        <f aca="false">IF(OR(G4308="",G4308="?"),"",IFERROR(INDEX(Pubs!$G$2:$G$3001,MATCH(G4308,Pubs!$A$2:$A$3001,0))&amp;"",""))</f>
        <v/>
      </c>
      <c r="K4308" s="28" t="str">
        <f aca="false">IF(OR(G4308="",G4308="?"),"",IFERROR(INDEX(Pubs!$E$2:$E$3001,MATCH(G4308,Pubs!$A$2:$A$3001,0)),""))</f>
        <v/>
      </c>
      <c r="L4308" s="29" t="str">
        <f aca="false">IF(A4308="","",IFERROR(1/(1/INDEX(Numéros!$C$2:$C$3001,MATCH(A4308&amp;"|"&amp;B4308,Numéros!$F$2:$F$3001,0))),""))</f>
        <v/>
      </c>
      <c r="M4308" s="27" t="str">
        <f aca="false">IF(OR(G4308="",G4308="?"),"",IFERROR(INDEX(Pubs!$D$2:$D$3001,MATCH(G4308,Pubs!$A$2:$A$3001,0))&amp;"",""))</f>
        <v/>
      </c>
      <c r="N4308" s="27" t="n">
        <f aca="false">N(N4307)+IF(AND(A4308&lt;&gt;"",OR(Recherche!$C$4="",A4308=Recherche!$C$4),OR(Recherche!$C$5="",B4308&amp;""=Recherche!$C$5&amp;""),OR(Recherche!$C$6="",IFERROR(YEAR(L4308),0)=Recherche!$C$6),OR(Recherche!$C$7="",ISNUMBER(SEARCH(Recherche!$C$7,H4308))),OR(Recherche!$C$8="",J4308=Recherche!$C$8),OR(Recherche!$C$9="",I4308=Recherche!$C$9),OR(Recherche!$C$10="",G4308&amp;""=Recherche!$C$10&amp;""),OR(Recherche!$C$11="",E4308=Recherche!$C$11),OR(Recherche!$C$12="",ISNUMBER(SEARCH(Recherche!$C$12,M4308&amp;" "&amp;F4308)))),1,0)</f>
        <v>8</v>
      </c>
    </row>
    <row r="4309" customFormat="false" ht="15" hidden="false" customHeight="false" outlineLevel="0" collapsed="false">
      <c r="A4309" s="19"/>
      <c r="B4309" s="19"/>
      <c r="C4309" s="19"/>
      <c r="D4309" s="19"/>
      <c r="E4309" s="22"/>
      <c r="F4309" s="19"/>
      <c r="G4309" s="26" t="str">
        <f aca="false">IF(D4309="","",IFERROR(VALUE(LEFT(D4309,FIND(" |",D4309&amp;" |")-1)),"?"))</f>
        <v/>
      </c>
      <c r="H4309" s="27" t="str">
        <f aca="false">IF(G4309="","",IF(G4309="?","⚠ pub inconnue",IFERROR(INDEX(Pubs!$B$2:$B$3001,MATCH(G4309,Pubs!$A$2:$A$3001,0))&amp;"","⚠ pub inconnue")))</f>
        <v/>
      </c>
      <c r="I4309" s="27" t="str">
        <f aca="false">IF(OR(G4309="",G4309="?"),"",IFERROR(INDEX(Pubs!$C$2:$C$3001,MATCH(G4309,Pubs!$A$2:$A$3001,0))&amp;"",""))</f>
        <v/>
      </c>
      <c r="J4309" s="27" t="str">
        <f aca="false">IF(OR(G4309="",G4309="?"),"",IFERROR(INDEX(Pubs!$G$2:$G$3001,MATCH(G4309,Pubs!$A$2:$A$3001,0))&amp;"",""))</f>
        <v/>
      </c>
      <c r="K4309" s="28" t="str">
        <f aca="false">IF(OR(G4309="",G4309="?"),"",IFERROR(INDEX(Pubs!$E$2:$E$3001,MATCH(G4309,Pubs!$A$2:$A$3001,0)),""))</f>
        <v/>
      </c>
      <c r="L4309" s="29" t="str">
        <f aca="false">IF(A4309="","",IFERROR(1/(1/INDEX(Numéros!$C$2:$C$3001,MATCH(A4309&amp;"|"&amp;B4309,Numéros!$F$2:$F$3001,0))),""))</f>
        <v/>
      </c>
      <c r="M4309" s="27" t="str">
        <f aca="false">IF(OR(G4309="",G4309="?"),"",IFERROR(INDEX(Pubs!$D$2:$D$3001,MATCH(G4309,Pubs!$A$2:$A$3001,0))&amp;"",""))</f>
        <v/>
      </c>
      <c r="N4309" s="27" t="n">
        <f aca="false">N(N4308)+IF(AND(A4309&lt;&gt;"",OR(Recherche!$C$4="",A4309=Recherche!$C$4),OR(Recherche!$C$5="",B4309&amp;""=Recherche!$C$5&amp;""),OR(Recherche!$C$6="",IFERROR(YEAR(L4309),0)=Recherche!$C$6),OR(Recherche!$C$7="",ISNUMBER(SEARCH(Recherche!$C$7,H4309))),OR(Recherche!$C$8="",J4309=Recherche!$C$8),OR(Recherche!$C$9="",I4309=Recherche!$C$9),OR(Recherche!$C$10="",G4309&amp;""=Recherche!$C$10&amp;""),OR(Recherche!$C$11="",E4309=Recherche!$C$11),OR(Recherche!$C$12="",ISNUMBER(SEARCH(Recherche!$C$12,M4309&amp;" "&amp;F4309)))),1,0)</f>
        <v>8</v>
      </c>
    </row>
    <row r="4310" customFormat="false" ht="15" hidden="false" customHeight="false" outlineLevel="0" collapsed="false">
      <c r="A4310" s="19"/>
      <c r="B4310" s="19"/>
      <c r="C4310" s="19"/>
      <c r="D4310" s="19"/>
      <c r="E4310" s="22"/>
      <c r="F4310" s="19"/>
      <c r="G4310" s="26" t="str">
        <f aca="false">IF(D4310="","",IFERROR(VALUE(LEFT(D4310,FIND(" |",D4310&amp;" |")-1)),"?"))</f>
        <v/>
      </c>
      <c r="H4310" s="27" t="str">
        <f aca="false">IF(G4310="","",IF(G4310="?","⚠ pub inconnue",IFERROR(INDEX(Pubs!$B$2:$B$3001,MATCH(G4310,Pubs!$A$2:$A$3001,0))&amp;"","⚠ pub inconnue")))</f>
        <v/>
      </c>
      <c r="I4310" s="27" t="str">
        <f aca="false">IF(OR(G4310="",G4310="?"),"",IFERROR(INDEX(Pubs!$C$2:$C$3001,MATCH(G4310,Pubs!$A$2:$A$3001,0))&amp;"",""))</f>
        <v/>
      </c>
      <c r="J4310" s="27" t="str">
        <f aca="false">IF(OR(G4310="",G4310="?"),"",IFERROR(INDEX(Pubs!$G$2:$G$3001,MATCH(G4310,Pubs!$A$2:$A$3001,0))&amp;"",""))</f>
        <v/>
      </c>
      <c r="K4310" s="28" t="str">
        <f aca="false">IF(OR(G4310="",G4310="?"),"",IFERROR(INDEX(Pubs!$E$2:$E$3001,MATCH(G4310,Pubs!$A$2:$A$3001,0)),""))</f>
        <v/>
      </c>
      <c r="L4310" s="29" t="str">
        <f aca="false">IF(A4310="","",IFERROR(1/(1/INDEX(Numéros!$C$2:$C$3001,MATCH(A4310&amp;"|"&amp;B4310,Numéros!$F$2:$F$3001,0))),""))</f>
        <v/>
      </c>
      <c r="M4310" s="27" t="str">
        <f aca="false">IF(OR(G4310="",G4310="?"),"",IFERROR(INDEX(Pubs!$D$2:$D$3001,MATCH(G4310,Pubs!$A$2:$A$3001,0))&amp;"",""))</f>
        <v/>
      </c>
      <c r="N4310" s="27" t="n">
        <f aca="false">N(N4309)+IF(AND(A4310&lt;&gt;"",OR(Recherche!$C$4="",A4310=Recherche!$C$4),OR(Recherche!$C$5="",B4310&amp;""=Recherche!$C$5&amp;""),OR(Recherche!$C$6="",IFERROR(YEAR(L4310),0)=Recherche!$C$6),OR(Recherche!$C$7="",ISNUMBER(SEARCH(Recherche!$C$7,H4310))),OR(Recherche!$C$8="",J4310=Recherche!$C$8),OR(Recherche!$C$9="",I4310=Recherche!$C$9),OR(Recherche!$C$10="",G4310&amp;""=Recherche!$C$10&amp;""),OR(Recherche!$C$11="",E4310=Recherche!$C$11),OR(Recherche!$C$12="",ISNUMBER(SEARCH(Recherche!$C$12,M4310&amp;" "&amp;F4310)))),1,0)</f>
        <v>8</v>
      </c>
    </row>
    <row r="4311" customFormat="false" ht="15" hidden="false" customHeight="false" outlineLevel="0" collapsed="false">
      <c r="A4311" s="19"/>
      <c r="B4311" s="19"/>
      <c r="C4311" s="19"/>
      <c r="D4311" s="19"/>
      <c r="E4311" s="22"/>
      <c r="F4311" s="19"/>
      <c r="G4311" s="26" t="str">
        <f aca="false">IF(D4311="","",IFERROR(VALUE(LEFT(D4311,FIND(" |",D4311&amp;" |")-1)),"?"))</f>
        <v/>
      </c>
      <c r="H4311" s="27" t="str">
        <f aca="false">IF(G4311="","",IF(G4311="?","⚠ pub inconnue",IFERROR(INDEX(Pubs!$B$2:$B$3001,MATCH(G4311,Pubs!$A$2:$A$3001,0))&amp;"","⚠ pub inconnue")))</f>
        <v/>
      </c>
      <c r="I4311" s="27" t="str">
        <f aca="false">IF(OR(G4311="",G4311="?"),"",IFERROR(INDEX(Pubs!$C$2:$C$3001,MATCH(G4311,Pubs!$A$2:$A$3001,0))&amp;"",""))</f>
        <v/>
      </c>
      <c r="J4311" s="27" t="str">
        <f aca="false">IF(OR(G4311="",G4311="?"),"",IFERROR(INDEX(Pubs!$G$2:$G$3001,MATCH(G4311,Pubs!$A$2:$A$3001,0))&amp;"",""))</f>
        <v/>
      </c>
      <c r="K4311" s="28" t="str">
        <f aca="false">IF(OR(G4311="",G4311="?"),"",IFERROR(INDEX(Pubs!$E$2:$E$3001,MATCH(G4311,Pubs!$A$2:$A$3001,0)),""))</f>
        <v/>
      </c>
      <c r="L4311" s="29" t="str">
        <f aca="false">IF(A4311="","",IFERROR(1/(1/INDEX(Numéros!$C$2:$C$3001,MATCH(A4311&amp;"|"&amp;B4311,Numéros!$F$2:$F$3001,0))),""))</f>
        <v/>
      </c>
      <c r="M4311" s="27" t="str">
        <f aca="false">IF(OR(G4311="",G4311="?"),"",IFERROR(INDEX(Pubs!$D$2:$D$3001,MATCH(G4311,Pubs!$A$2:$A$3001,0))&amp;"",""))</f>
        <v/>
      </c>
      <c r="N4311" s="27" t="n">
        <f aca="false">N(N4310)+IF(AND(A4311&lt;&gt;"",OR(Recherche!$C$4="",A4311=Recherche!$C$4),OR(Recherche!$C$5="",B4311&amp;""=Recherche!$C$5&amp;""),OR(Recherche!$C$6="",IFERROR(YEAR(L4311),0)=Recherche!$C$6),OR(Recherche!$C$7="",ISNUMBER(SEARCH(Recherche!$C$7,H4311))),OR(Recherche!$C$8="",J4311=Recherche!$C$8),OR(Recherche!$C$9="",I4311=Recherche!$C$9),OR(Recherche!$C$10="",G4311&amp;""=Recherche!$C$10&amp;""),OR(Recherche!$C$11="",E4311=Recherche!$C$11),OR(Recherche!$C$12="",ISNUMBER(SEARCH(Recherche!$C$12,M4311&amp;" "&amp;F4311)))),1,0)</f>
        <v>8</v>
      </c>
    </row>
    <row r="4312" customFormat="false" ht="15" hidden="false" customHeight="false" outlineLevel="0" collapsed="false">
      <c r="A4312" s="19"/>
      <c r="B4312" s="19"/>
      <c r="C4312" s="19"/>
      <c r="D4312" s="19"/>
      <c r="E4312" s="22"/>
      <c r="F4312" s="19"/>
      <c r="G4312" s="26" t="str">
        <f aca="false">IF(D4312="","",IFERROR(VALUE(LEFT(D4312,FIND(" |",D4312&amp;" |")-1)),"?"))</f>
        <v/>
      </c>
      <c r="H4312" s="27" t="str">
        <f aca="false">IF(G4312="","",IF(G4312="?","⚠ pub inconnue",IFERROR(INDEX(Pubs!$B$2:$B$3001,MATCH(G4312,Pubs!$A$2:$A$3001,0))&amp;"","⚠ pub inconnue")))</f>
        <v/>
      </c>
      <c r="I4312" s="27" t="str">
        <f aca="false">IF(OR(G4312="",G4312="?"),"",IFERROR(INDEX(Pubs!$C$2:$C$3001,MATCH(G4312,Pubs!$A$2:$A$3001,0))&amp;"",""))</f>
        <v/>
      </c>
      <c r="J4312" s="27" t="str">
        <f aca="false">IF(OR(G4312="",G4312="?"),"",IFERROR(INDEX(Pubs!$G$2:$G$3001,MATCH(G4312,Pubs!$A$2:$A$3001,0))&amp;"",""))</f>
        <v/>
      </c>
      <c r="K4312" s="28" t="str">
        <f aca="false">IF(OR(G4312="",G4312="?"),"",IFERROR(INDEX(Pubs!$E$2:$E$3001,MATCH(G4312,Pubs!$A$2:$A$3001,0)),""))</f>
        <v/>
      </c>
      <c r="L4312" s="29" t="str">
        <f aca="false">IF(A4312="","",IFERROR(1/(1/INDEX(Numéros!$C$2:$C$3001,MATCH(A4312&amp;"|"&amp;B4312,Numéros!$F$2:$F$3001,0))),""))</f>
        <v/>
      </c>
      <c r="M4312" s="27" t="str">
        <f aca="false">IF(OR(G4312="",G4312="?"),"",IFERROR(INDEX(Pubs!$D$2:$D$3001,MATCH(G4312,Pubs!$A$2:$A$3001,0))&amp;"",""))</f>
        <v/>
      </c>
      <c r="N4312" s="27" t="n">
        <f aca="false">N(N4311)+IF(AND(A4312&lt;&gt;"",OR(Recherche!$C$4="",A4312=Recherche!$C$4),OR(Recherche!$C$5="",B4312&amp;""=Recherche!$C$5&amp;""),OR(Recherche!$C$6="",IFERROR(YEAR(L4312),0)=Recherche!$C$6),OR(Recherche!$C$7="",ISNUMBER(SEARCH(Recherche!$C$7,H4312))),OR(Recherche!$C$8="",J4312=Recherche!$C$8),OR(Recherche!$C$9="",I4312=Recherche!$C$9),OR(Recherche!$C$10="",G4312&amp;""=Recherche!$C$10&amp;""),OR(Recherche!$C$11="",E4312=Recherche!$C$11),OR(Recherche!$C$12="",ISNUMBER(SEARCH(Recherche!$C$12,M4312&amp;" "&amp;F4312)))),1,0)</f>
        <v>8</v>
      </c>
    </row>
    <row r="4313" customFormat="false" ht="15" hidden="false" customHeight="false" outlineLevel="0" collapsed="false">
      <c r="A4313" s="19"/>
      <c r="B4313" s="19"/>
      <c r="C4313" s="19"/>
      <c r="D4313" s="19"/>
      <c r="E4313" s="22"/>
      <c r="F4313" s="19"/>
      <c r="G4313" s="26" t="str">
        <f aca="false">IF(D4313="","",IFERROR(VALUE(LEFT(D4313,FIND(" |",D4313&amp;" |")-1)),"?"))</f>
        <v/>
      </c>
      <c r="H4313" s="27" t="str">
        <f aca="false">IF(G4313="","",IF(G4313="?","⚠ pub inconnue",IFERROR(INDEX(Pubs!$B$2:$B$3001,MATCH(G4313,Pubs!$A$2:$A$3001,0))&amp;"","⚠ pub inconnue")))</f>
        <v/>
      </c>
      <c r="I4313" s="27" t="str">
        <f aca="false">IF(OR(G4313="",G4313="?"),"",IFERROR(INDEX(Pubs!$C$2:$C$3001,MATCH(G4313,Pubs!$A$2:$A$3001,0))&amp;"",""))</f>
        <v/>
      </c>
      <c r="J4313" s="27" t="str">
        <f aca="false">IF(OR(G4313="",G4313="?"),"",IFERROR(INDEX(Pubs!$G$2:$G$3001,MATCH(G4313,Pubs!$A$2:$A$3001,0))&amp;"",""))</f>
        <v/>
      </c>
      <c r="K4313" s="28" t="str">
        <f aca="false">IF(OR(G4313="",G4313="?"),"",IFERROR(INDEX(Pubs!$E$2:$E$3001,MATCH(G4313,Pubs!$A$2:$A$3001,0)),""))</f>
        <v/>
      </c>
      <c r="L4313" s="29" t="str">
        <f aca="false">IF(A4313="","",IFERROR(1/(1/INDEX(Numéros!$C$2:$C$3001,MATCH(A4313&amp;"|"&amp;B4313,Numéros!$F$2:$F$3001,0))),""))</f>
        <v/>
      </c>
      <c r="M4313" s="27" t="str">
        <f aca="false">IF(OR(G4313="",G4313="?"),"",IFERROR(INDEX(Pubs!$D$2:$D$3001,MATCH(G4313,Pubs!$A$2:$A$3001,0))&amp;"",""))</f>
        <v/>
      </c>
      <c r="N4313" s="27" t="n">
        <f aca="false">N(N4312)+IF(AND(A4313&lt;&gt;"",OR(Recherche!$C$4="",A4313=Recherche!$C$4),OR(Recherche!$C$5="",B4313&amp;""=Recherche!$C$5&amp;""),OR(Recherche!$C$6="",IFERROR(YEAR(L4313),0)=Recherche!$C$6),OR(Recherche!$C$7="",ISNUMBER(SEARCH(Recherche!$C$7,H4313))),OR(Recherche!$C$8="",J4313=Recherche!$C$8),OR(Recherche!$C$9="",I4313=Recherche!$C$9),OR(Recherche!$C$10="",G4313&amp;""=Recherche!$C$10&amp;""),OR(Recherche!$C$11="",E4313=Recherche!$C$11),OR(Recherche!$C$12="",ISNUMBER(SEARCH(Recherche!$C$12,M4313&amp;" "&amp;F4313)))),1,0)</f>
        <v>8</v>
      </c>
    </row>
    <row r="4314" customFormat="false" ht="15" hidden="false" customHeight="false" outlineLevel="0" collapsed="false">
      <c r="A4314" s="19"/>
      <c r="B4314" s="19"/>
      <c r="C4314" s="19"/>
      <c r="D4314" s="19"/>
      <c r="E4314" s="22"/>
      <c r="F4314" s="19"/>
      <c r="G4314" s="26" t="str">
        <f aca="false">IF(D4314="","",IFERROR(VALUE(LEFT(D4314,FIND(" |",D4314&amp;" |")-1)),"?"))</f>
        <v/>
      </c>
      <c r="H4314" s="27" t="str">
        <f aca="false">IF(G4314="","",IF(G4314="?","⚠ pub inconnue",IFERROR(INDEX(Pubs!$B$2:$B$3001,MATCH(G4314,Pubs!$A$2:$A$3001,0))&amp;"","⚠ pub inconnue")))</f>
        <v/>
      </c>
      <c r="I4314" s="27" t="str">
        <f aca="false">IF(OR(G4314="",G4314="?"),"",IFERROR(INDEX(Pubs!$C$2:$C$3001,MATCH(G4314,Pubs!$A$2:$A$3001,0))&amp;"",""))</f>
        <v/>
      </c>
      <c r="J4314" s="27" t="str">
        <f aca="false">IF(OR(G4314="",G4314="?"),"",IFERROR(INDEX(Pubs!$G$2:$G$3001,MATCH(G4314,Pubs!$A$2:$A$3001,0))&amp;"",""))</f>
        <v/>
      </c>
      <c r="K4314" s="28" t="str">
        <f aca="false">IF(OR(G4314="",G4314="?"),"",IFERROR(INDEX(Pubs!$E$2:$E$3001,MATCH(G4314,Pubs!$A$2:$A$3001,0)),""))</f>
        <v/>
      </c>
      <c r="L4314" s="29" t="str">
        <f aca="false">IF(A4314="","",IFERROR(1/(1/INDEX(Numéros!$C$2:$C$3001,MATCH(A4314&amp;"|"&amp;B4314,Numéros!$F$2:$F$3001,0))),""))</f>
        <v/>
      </c>
      <c r="M4314" s="27" t="str">
        <f aca="false">IF(OR(G4314="",G4314="?"),"",IFERROR(INDEX(Pubs!$D$2:$D$3001,MATCH(G4314,Pubs!$A$2:$A$3001,0))&amp;"",""))</f>
        <v/>
      </c>
      <c r="N4314" s="27" t="n">
        <f aca="false">N(N4313)+IF(AND(A4314&lt;&gt;"",OR(Recherche!$C$4="",A4314=Recherche!$C$4),OR(Recherche!$C$5="",B4314&amp;""=Recherche!$C$5&amp;""),OR(Recherche!$C$6="",IFERROR(YEAR(L4314),0)=Recherche!$C$6),OR(Recherche!$C$7="",ISNUMBER(SEARCH(Recherche!$C$7,H4314))),OR(Recherche!$C$8="",J4314=Recherche!$C$8),OR(Recherche!$C$9="",I4314=Recherche!$C$9),OR(Recherche!$C$10="",G4314&amp;""=Recherche!$C$10&amp;""),OR(Recherche!$C$11="",E4314=Recherche!$C$11),OR(Recherche!$C$12="",ISNUMBER(SEARCH(Recherche!$C$12,M4314&amp;" "&amp;F4314)))),1,0)</f>
        <v>8</v>
      </c>
    </row>
    <row r="4315" customFormat="false" ht="15" hidden="false" customHeight="false" outlineLevel="0" collapsed="false">
      <c r="A4315" s="19"/>
      <c r="B4315" s="19"/>
      <c r="C4315" s="19"/>
      <c r="D4315" s="19"/>
      <c r="E4315" s="22"/>
      <c r="F4315" s="19"/>
      <c r="G4315" s="26" t="str">
        <f aca="false">IF(D4315="","",IFERROR(VALUE(LEFT(D4315,FIND(" |",D4315&amp;" |")-1)),"?"))</f>
        <v/>
      </c>
      <c r="H4315" s="27" t="str">
        <f aca="false">IF(G4315="","",IF(G4315="?","⚠ pub inconnue",IFERROR(INDEX(Pubs!$B$2:$B$3001,MATCH(G4315,Pubs!$A$2:$A$3001,0))&amp;"","⚠ pub inconnue")))</f>
        <v/>
      </c>
      <c r="I4315" s="27" t="str">
        <f aca="false">IF(OR(G4315="",G4315="?"),"",IFERROR(INDEX(Pubs!$C$2:$C$3001,MATCH(G4315,Pubs!$A$2:$A$3001,0))&amp;"",""))</f>
        <v/>
      </c>
      <c r="J4315" s="27" t="str">
        <f aca="false">IF(OR(G4315="",G4315="?"),"",IFERROR(INDEX(Pubs!$G$2:$G$3001,MATCH(G4315,Pubs!$A$2:$A$3001,0))&amp;"",""))</f>
        <v/>
      </c>
      <c r="K4315" s="28" t="str">
        <f aca="false">IF(OR(G4315="",G4315="?"),"",IFERROR(INDEX(Pubs!$E$2:$E$3001,MATCH(G4315,Pubs!$A$2:$A$3001,0)),""))</f>
        <v/>
      </c>
      <c r="L4315" s="29" t="str">
        <f aca="false">IF(A4315="","",IFERROR(1/(1/INDEX(Numéros!$C$2:$C$3001,MATCH(A4315&amp;"|"&amp;B4315,Numéros!$F$2:$F$3001,0))),""))</f>
        <v/>
      </c>
      <c r="M4315" s="27" t="str">
        <f aca="false">IF(OR(G4315="",G4315="?"),"",IFERROR(INDEX(Pubs!$D$2:$D$3001,MATCH(G4315,Pubs!$A$2:$A$3001,0))&amp;"",""))</f>
        <v/>
      </c>
      <c r="N4315" s="27" t="n">
        <f aca="false">N(N4314)+IF(AND(A4315&lt;&gt;"",OR(Recherche!$C$4="",A4315=Recherche!$C$4),OR(Recherche!$C$5="",B4315&amp;""=Recherche!$C$5&amp;""),OR(Recherche!$C$6="",IFERROR(YEAR(L4315),0)=Recherche!$C$6),OR(Recherche!$C$7="",ISNUMBER(SEARCH(Recherche!$C$7,H4315))),OR(Recherche!$C$8="",J4315=Recherche!$C$8),OR(Recherche!$C$9="",I4315=Recherche!$C$9),OR(Recherche!$C$10="",G4315&amp;""=Recherche!$C$10&amp;""),OR(Recherche!$C$11="",E4315=Recherche!$C$11),OR(Recherche!$C$12="",ISNUMBER(SEARCH(Recherche!$C$12,M4315&amp;" "&amp;F4315)))),1,0)</f>
        <v>8</v>
      </c>
    </row>
    <row r="4316" customFormat="false" ht="15" hidden="false" customHeight="false" outlineLevel="0" collapsed="false">
      <c r="A4316" s="19"/>
      <c r="B4316" s="19"/>
      <c r="C4316" s="19"/>
      <c r="D4316" s="19"/>
      <c r="E4316" s="22"/>
      <c r="F4316" s="19"/>
      <c r="G4316" s="26" t="str">
        <f aca="false">IF(D4316="","",IFERROR(VALUE(LEFT(D4316,FIND(" |",D4316&amp;" |")-1)),"?"))</f>
        <v/>
      </c>
      <c r="H4316" s="27" t="str">
        <f aca="false">IF(G4316="","",IF(G4316="?","⚠ pub inconnue",IFERROR(INDEX(Pubs!$B$2:$B$3001,MATCH(G4316,Pubs!$A$2:$A$3001,0))&amp;"","⚠ pub inconnue")))</f>
        <v/>
      </c>
      <c r="I4316" s="27" t="str">
        <f aca="false">IF(OR(G4316="",G4316="?"),"",IFERROR(INDEX(Pubs!$C$2:$C$3001,MATCH(G4316,Pubs!$A$2:$A$3001,0))&amp;"",""))</f>
        <v/>
      </c>
      <c r="J4316" s="27" t="str">
        <f aca="false">IF(OR(G4316="",G4316="?"),"",IFERROR(INDEX(Pubs!$G$2:$G$3001,MATCH(G4316,Pubs!$A$2:$A$3001,0))&amp;"",""))</f>
        <v/>
      </c>
      <c r="K4316" s="28" t="str">
        <f aca="false">IF(OR(G4316="",G4316="?"),"",IFERROR(INDEX(Pubs!$E$2:$E$3001,MATCH(G4316,Pubs!$A$2:$A$3001,0)),""))</f>
        <v/>
      </c>
      <c r="L4316" s="29" t="str">
        <f aca="false">IF(A4316="","",IFERROR(1/(1/INDEX(Numéros!$C$2:$C$3001,MATCH(A4316&amp;"|"&amp;B4316,Numéros!$F$2:$F$3001,0))),""))</f>
        <v/>
      </c>
      <c r="M4316" s="27" t="str">
        <f aca="false">IF(OR(G4316="",G4316="?"),"",IFERROR(INDEX(Pubs!$D$2:$D$3001,MATCH(G4316,Pubs!$A$2:$A$3001,0))&amp;"",""))</f>
        <v/>
      </c>
      <c r="N4316" s="27" t="n">
        <f aca="false">N(N4315)+IF(AND(A4316&lt;&gt;"",OR(Recherche!$C$4="",A4316=Recherche!$C$4),OR(Recherche!$C$5="",B4316&amp;""=Recherche!$C$5&amp;""),OR(Recherche!$C$6="",IFERROR(YEAR(L4316),0)=Recherche!$C$6),OR(Recherche!$C$7="",ISNUMBER(SEARCH(Recherche!$C$7,H4316))),OR(Recherche!$C$8="",J4316=Recherche!$C$8),OR(Recherche!$C$9="",I4316=Recherche!$C$9),OR(Recherche!$C$10="",G4316&amp;""=Recherche!$C$10&amp;""),OR(Recherche!$C$11="",E4316=Recherche!$C$11),OR(Recherche!$C$12="",ISNUMBER(SEARCH(Recherche!$C$12,M4316&amp;" "&amp;F4316)))),1,0)</f>
        <v>8</v>
      </c>
    </row>
    <row r="4317" customFormat="false" ht="15" hidden="false" customHeight="false" outlineLevel="0" collapsed="false">
      <c r="A4317" s="19"/>
      <c r="B4317" s="19"/>
      <c r="C4317" s="19"/>
      <c r="D4317" s="19"/>
      <c r="E4317" s="22"/>
      <c r="F4317" s="19"/>
      <c r="G4317" s="26" t="str">
        <f aca="false">IF(D4317="","",IFERROR(VALUE(LEFT(D4317,FIND(" |",D4317&amp;" |")-1)),"?"))</f>
        <v/>
      </c>
      <c r="H4317" s="27" t="str">
        <f aca="false">IF(G4317="","",IF(G4317="?","⚠ pub inconnue",IFERROR(INDEX(Pubs!$B$2:$B$3001,MATCH(G4317,Pubs!$A$2:$A$3001,0))&amp;"","⚠ pub inconnue")))</f>
        <v/>
      </c>
      <c r="I4317" s="27" t="str">
        <f aca="false">IF(OR(G4317="",G4317="?"),"",IFERROR(INDEX(Pubs!$C$2:$C$3001,MATCH(G4317,Pubs!$A$2:$A$3001,0))&amp;"",""))</f>
        <v/>
      </c>
      <c r="J4317" s="27" t="str">
        <f aca="false">IF(OR(G4317="",G4317="?"),"",IFERROR(INDEX(Pubs!$G$2:$G$3001,MATCH(G4317,Pubs!$A$2:$A$3001,0))&amp;"",""))</f>
        <v/>
      </c>
      <c r="K4317" s="28" t="str">
        <f aca="false">IF(OR(G4317="",G4317="?"),"",IFERROR(INDEX(Pubs!$E$2:$E$3001,MATCH(G4317,Pubs!$A$2:$A$3001,0)),""))</f>
        <v/>
      </c>
      <c r="L4317" s="29" t="str">
        <f aca="false">IF(A4317="","",IFERROR(1/(1/INDEX(Numéros!$C$2:$C$3001,MATCH(A4317&amp;"|"&amp;B4317,Numéros!$F$2:$F$3001,0))),""))</f>
        <v/>
      </c>
      <c r="M4317" s="27" t="str">
        <f aca="false">IF(OR(G4317="",G4317="?"),"",IFERROR(INDEX(Pubs!$D$2:$D$3001,MATCH(G4317,Pubs!$A$2:$A$3001,0))&amp;"",""))</f>
        <v/>
      </c>
      <c r="N4317" s="27" t="n">
        <f aca="false">N(N4316)+IF(AND(A4317&lt;&gt;"",OR(Recherche!$C$4="",A4317=Recherche!$C$4),OR(Recherche!$C$5="",B4317&amp;""=Recherche!$C$5&amp;""),OR(Recherche!$C$6="",IFERROR(YEAR(L4317),0)=Recherche!$C$6),OR(Recherche!$C$7="",ISNUMBER(SEARCH(Recherche!$C$7,H4317))),OR(Recherche!$C$8="",J4317=Recherche!$C$8),OR(Recherche!$C$9="",I4317=Recherche!$C$9),OR(Recherche!$C$10="",G4317&amp;""=Recherche!$C$10&amp;""),OR(Recherche!$C$11="",E4317=Recherche!$C$11),OR(Recherche!$C$12="",ISNUMBER(SEARCH(Recherche!$C$12,M4317&amp;" "&amp;F4317)))),1,0)</f>
        <v>8</v>
      </c>
    </row>
    <row r="4318" customFormat="false" ht="15" hidden="false" customHeight="false" outlineLevel="0" collapsed="false">
      <c r="A4318" s="19"/>
      <c r="B4318" s="19"/>
      <c r="C4318" s="19"/>
      <c r="D4318" s="19"/>
      <c r="E4318" s="22"/>
      <c r="F4318" s="19"/>
      <c r="G4318" s="26" t="str">
        <f aca="false">IF(D4318="","",IFERROR(VALUE(LEFT(D4318,FIND(" |",D4318&amp;" |")-1)),"?"))</f>
        <v/>
      </c>
      <c r="H4318" s="27" t="str">
        <f aca="false">IF(G4318="","",IF(G4318="?","⚠ pub inconnue",IFERROR(INDEX(Pubs!$B$2:$B$3001,MATCH(G4318,Pubs!$A$2:$A$3001,0))&amp;"","⚠ pub inconnue")))</f>
        <v/>
      </c>
      <c r="I4318" s="27" t="str">
        <f aca="false">IF(OR(G4318="",G4318="?"),"",IFERROR(INDEX(Pubs!$C$2:$C$3001,MATCH(G4318,Pubs!$A$2:$A$3001,0))&amp;"",""))</f>
        <v/>
      </c>
      <c r="J4318" s="27" t="str">
        <f aca="false">IF(OR(G4318="",G4318="?"),"",IFERROR(INDEX(Pubs!$G$2:$G$3001,MATCH(G4318,Pubs!$A$2:$A$3001,0))&amp;"",""))</f>
        <v/>
      </c>
      <c r="K4318" s="28" t="str">
        <f aca="false">IF(OR(G4318="",G4318="?"),"",IFERROR(INDEX(Pubs!$E$2:$E$3001,MATCH(G4318,Pubs!$A$2:$A$3001,0)),""))</f>
        <v/>
      </c>
      <c r="L4318" s="29" t="str">
        <f aca="false">IF(A4318="","",IFERROR(1/(1/INDEX(Numéros!$C$2:$C$3001,MATCH(A4318&amp;"|"&amp;B4318,Numéros!$F$2:$F$3001,0))),""))</f>
        <v/>
      </c>
      <c r="M4318" s="27" t="str">
        <f aca="false">IF(OR(G4318="",G4318="?"),"",IFERROR(INDEX(Pubs!$D$2:$D$3001,MATCH(G4318,Pubs!$A$2:$A$3001,0))&amp;"",""))</f>
        <v/>
      </c>
      <c r="N4318" s="27" t="n">
        <f aca="false">N(N4317)+IF(AND(A4318&lt;&gt;"",OR(Recherche!$C$4="",A4318=Recherche!$C$4),OR(Recherche!$C$5="",B4318&amp;""=Recherche!$C$5&amp;""),OR(Recherche!$C$6="",IFERROR(YEAR(L4318),0)=Recherche!$C$6),OR(Recherche!$C$7="",ISNUMBER(SEARCH(Recherche!$C$7,H4318))),OR(Recherche!$C$8="",J4318=Recherche!$C$8),OR(Recherche!$C$9="",I4318=Recherche!$C$9),OR(Recherche!$C$10="",G4318&amp;""=Recherche!$C$10&amp;""),OR(Recherche!$C$11="",E4318=Recherche!$C$11),OR(Recherche!$C$12="",ISNUMBER(SEARCH(Recherche!$C$12,M4318&amp;" "&amp;F4318)))),1,0)</f>
        <v>8</v>
      </c>
    </row>
    <row r="4319" customFormat="false" ht="15" hidden="false" customHeight="false" outlineLevel="0" collapsed="false">
      <c r="A4319" s="19"/>
      <c r="B4319" s="19"/>
      <c r="C4319" s="19"/>
      <c r="D4319" s="19"/>
      <c r="E4319" s="22"/>
      <c r="F4319" s="19"/>
      <c r="G4319" s="26" t="str">
        <f aca="false">IF(D4319="","",IFERROR(VALUE(LEFT(D4319,FIND(" |",D4319&amp;" |")-1)),"?"))</f>
        <v/>
      </c>
      <c r="H4319" s="27" t="str">
        <f aca="false">IF(G4319="","",IF(G4319="?","⚠ pub inconnue",IFERROR(INDEX(Pubs!$B$2:$B$3001,MATCH(G4319,Pubs!$A$2:$A$3001,0))&amp;"","⚠ pub inconnue")))</f>
        <v/>
      </c>
      <c r="I4319" s="27" t="str">
        <f aca="false">IF(OR(G4319="",G4319="?"),"",IFERROR(INDEX(Pubs!$C$2:$C$3001,MATCH(G4319,Pubs!$A$2:$A$3001,0))&amp;"",""))</f>
        <v/>
      </c>
      <c r="J4319" s="27" t="str">
        <f aca="false">IF(OR(G4319="",G4319="?"),"",IFERROR(INDEX(Pubs!$G$2:$G$3001,MATCH(G4319,Pubs!$A$2:$A$3001,0))&amp;"",""))</f>
        <v/>
      </c>
      <c r="K4319" s="28" t="str">
        <f aca="false">IF(OR(G4319="",G4319="?"),"",IFERROR(INDEX(Pubs!$E$2:$E$3001,MATCH(G4319,Pubs!$A$2:$A$3001,0)),""))</f>
        <v/>
      </c>
      <c r="L4319" s="29" t="str">
        <f aca="false">IF(A4319="","",IFERROR(1/(1/INDEX(Numéros!$C$2:$C$3001,MATCH(A4319&amp;"|"&amp;B4319,Numéros!$F$2:$F$3001,0))),""))</f>
        <v/>
      </c>
      <c r="M4319" s="27" t="str">
        <f aca="false">IF(OR(G4319="",G4319="?"),"",IFERROR(INDEX(Pubs!$D$2:$D$3001,MATCH(G4319,Pubs!$A$2:$A$3001,0))&amp;"",""))</f>
        <v/>
      </c>
      <c r="N4319" s="27" t="n">
        <f aca="false">N(N4318)+IF(AND(A4319&lt;&gt;"",OR(Recherche!$C$4="",A4319=Recherche!$C$4),OR(Recherche!$C$5="",B4319&amp;""=Recherche!$C$5&amp;""),OR(Recherche!$C$6="",IFERROR(YEAR(L4319),0)=Recherche!$C$6),OR(Recherche!$C$7="",ISNUMBER(SEARCH(Recherche!$C$7,H4319))),OR(Recherche!$C$8="",J4319=Recherche!$C$8),OR(Recherche!$C$9="",I4319=Recherche!$C$9),OR(Recherche!$C$10="",G4319&amp;""=Recherche!$C$10&amp;""),OR(Recherche!$C$11="",E4319=Recherche!$C$11),OR(Recherche!$C$12="",ISNUMBER(SEARCH(Recherche!$C$12,M4319&amp;" "&amp;F4319)))),1,0)</f>
        <v>8</v>
      </c>
    </row>
    <row r="4320" customFormat="false" ht="15" hidden="false" customHeight="false" outlineLevel="0" collapsed="false">
      <c r="A4320" s="19"/>
      <c r="B4320" s="19"/>
      <c r="C4320" s="19"/>
      <c r="D4320" s="19"/>
      <c r="E4320" s="22"/>
      <c r="F4320" s="19"/>
      <c r="G4320" s="26" t="str">
        <f aca="false">IF(D4320="","",IFERROR(VALUE(LEFT(D4320,FIND(" |",D4320&amp;" |")-1)),"?"))</f>
        <v/>
      </c>
      <c r="H4320" s="27" t="str">
        <f aca="false">IF(G4320="","",IF(G4320="?","⚠ pub inconnue",IFERROR(INDEX(Pubs!$B$2:$B$3001,MATCH(G4320,Pubs!$A$2:$A$3001,0))&amp;"","⚠ pub inconnue")))</f>
        <v/>
      </c>
      <c r="I4320" s="27" t="str">
        <f aca="false">IF(OR(G4320="",G4320="?"),"",IFERROR(INDEX(Pubs!$C$2:$C$3001,MATCH(G4320,Pubs!$A$2:$A$3001,0))&amp;"",""))</f>
        <v/>
      </c>
      <c r="J4320" s="27" t="str">
        <f aca="false">IF(OR(G4320="",G4320="?"),"",IFERROR(INDEX(Pubs!$G$2:$G$3001,MATCH(G4320,Pubs!$A$2:$A$3001,0))&amp;"",""))</f>
        <v/>
      </c>
      <c r="K4320" s="28" t="str">
        <f aca="false">IF(OR(G4320="",G4320="?"),"",IFERROR(INDEX(Pubs!$E$2:$E$3001,MATCH(G4320,Pubs!$A$2:$A$3001,0)),""))</f>
        <v/>
      </c>
      <c r="L4320" s="29" t="str">
        <f aca="false">IF(A4320="","",IFERROR(1/(1/INDEX(Numéros!$C$2:$C$3001,MATCH(A4320&amp;"|"&amp;B4320,Numéros!$F$2:$F$3001,0))),""))</f>
        <v/>
      </c>
      <c r="M4320" s="27" t="str">
        <f aca="false">IF(OR(G4320="",G4320="?"),"",IFERROR(INDEX(Pubs!$D$2:$D$3001,MATCH(G4320,Pubs!$A$2:$A$3001,0))&amp;"",""))</f>
        <v/>
      </c>
      <c r="N4320" s="27" t="n">
        <f aca="false">N(N4319)+IF(AND(A4320&lt;&gt;"",OR(Recherche!$C$4="",A4320=Recherche!$C$4),OR(Recherche!$C$5="",B4320&amp;""=Recherche!$C$5&amp;""),OR(Recherche!$C$6="",IFERROR(YEAR(L4320),0)=Recherche!$C$6),OR(Recherche!$C$7="",ISNUMBER(SEARCH(Recherche!$C$7,H4320))),OR(Recherche!$C$8="",J4320=Recherche!$C$8),OR(Recherche!$C$9="",I4320=Recherche!$C$9),OR(Recherche!$C$10="",G4320&amp;""=Recherche!$C$10&amp;""),OR(Recherche!$C$11="",E4320=Recherche!$C$11),OR(Recherche!$C$12="",ISNUMBER(SEARCH(Recherche!$C$12,M4320&amp;" "&amp;F4320)))),1,0)</f>
        <v>8</v>
      </c>
    </row>
    <row r="4321" customFormat="false" ht="15" hidden="false" customHeight="false" outlineLevel="0" collapsed="false">
      <c r="A4321" s="19"/>
      <c r="B4321" s="19"/>
      <c r="C4321" s="19"/>
      <c r="D4321" s="19"/>
      <c r="E4321" s="22"/>
      <c r="F4321" s="19"/>
      <c r="G4321" s="26" t="str">
        <f aca="false">IF(D4321="","",IFERROR(VALUE(LEFT(D4321,FIND(" |",D4321&amp;" |")-1)),"?"))</f>
        <v/>
      </c>
      <c r="H4321" s="27" t="str">
        <f aca="false">IF(G4321="","",IF(G4321="?","⚠ pub inconnue",IFERROR(INDEX(Pubs!$B$2:$B$3001,MATCH(G4321,Pubs!$A$2:$A$3001,0))&amp;"","⚠ pub inconnue")))</f>
        <v/>
      </c>
      <c r="I4321" s="27" t="str">
        <f aca="false">IF(OR(G4321="",G4321="?"),"",IFERROR(INDEX(Pubs!$C$2:$C$3001,MATCH(G4321,Pubs!$A$2:$A$3001,0))&amp;"",""))</f>
        <v/>
      </c>
      <c r="J4321" s="27" t="str">
        <f aca="false">IF(OR(G4321="",G4321="?"),"",IFERROR(INDEX(Pubs!$G$2:$G$3001,MATCH(G4321,Pubs!$A$2:$A$3001,0))&amp;"",""))</f>
        <v/>
      </c>
      <c r="K4321" s="28" t="str">
        <f aca="false">IF(OR(G4321="",G4321="?"),"",IFERROR(INDEX(Pubs!$E$2:$E$3001,MATCH(G4321,Pubs!$A$2:$A$3001,0)),""))</f>
        <v/>
      </c>
      <c r="L4321" s="29" t="str">
        <f aca="false">IF(A4321="","",IFERROR(1/(1/INDEX(Numéros!$C$2:$C$3001,MATCH(A4321&amp;"|"&amp;B4321,Numéros!$F$2:$F$3001,0))),""))</f>
        <v/>
      </c>
      <c r="M4321" s="27" t="str">
        <f aca="false">IF(OR(G4321="",G4321="?"),"",IFERROR(INDEX(Pubs!$D$2:$D$3001,MATCH(G4321,Pubs!$A$2:$A$3001,0))&amp;"",""))</f>
        <v/>
      </c>
      <c r="N4321" s="27" t="n">
        <f aca="false">N(N4320)+IF(AND(A4321&lt;&gt;"",OR(Recherche!$C$4="",A4321=Recherche!$C$4),OR(Recherche!$C$5="",B4321&amp;""=Recherche!$C$5&amp;""),OR(Recherche!$C$6="",IFERROR(YEAR(L4321),0)=Recherche!$C$6),OR(Recherche!$C$7="",ISNUMBER(SEARCH(Recherche!$C$7,H4321))),OR(Recherche!$C$8="",J4321=Recherche!$C$8),OR(Recherche!$C$9="",I4321=Recherche!$C$9),OR(Recherche!$C$10="",G4321&amp;""=Recherche!$C$10&amp;""),OR(Recherche!$C$11="",E4321=Recherche!$C$11),OR(Recherche!$C$12="",ISNUMBER(SEARCH(Recherche!$C$12,M4321&amp;" "&amp;F4321)))),1,0)</f>
        <v>8</v>
      </c>
    </row>
    <row r="4322" customFormat="false" ht="15" hidden="false" customHeight="false" outlineLevel="0" collapsed="false">
      <c r="A4322" s="19"/>
      <c r="B4322" s="19"/>
      <c r="C4322" s="19"/>
      <c r="D4322" s="19"/>
      <c r="E4322" s="22"/>
      <c r="F4322" s="19"/>
      <c r="G4322" s="26" t="str">
        <f aca="false">IF(D4322="","",IFERROR(VALUE(LEFT(D4322,FIND(" |",D4322&amp;" |")-1)),"?"))</f>
        <v/>
      </c>
      <c r="H4322" s="27" t="str">
        <f aca="false">IF(G4322="","",IF(G4322="?","⚠ pub inconnue",IFERROR(INDEX(Pubs!$B$2:$B$3001,MATCH(G4322,Pubs!$A$2:$A$3001,0))&amp;"","⚠ pub inconnue")))</f>
        <v/>
      </c>
      <c r="I4322" s="27" t="str">
        <f aca="false">IF(OR(G4322="",G4322="?"),"",IFERROR(INDEX(Pubs!$C$2:$C$3001,MATCH(G4322,Pubs!$A$2:$A$3001,0))&amp;"",""))</f>
        <v/>
      </c>
      <c r="J4322" s="27" t="str">
        <f aca="false">IF(OR(G4322="",G4322="?"),"",IFERROR(INDEX(Pubs!$G$2:$G$3001,MATCH(G4322,Pubs!$A$2:$A$3001,0))&amp;"",""))</f>
        <v/>
      </c>
      <c r="K4322" s="28" t="str">
        <f aca="false">IF(OR(G4322="",G4322="?"),"",IFERROR(INDEX(Pubs!$E$2:$E$3001,MATCH(G4322,Pubs!$A$2:$A$3001,0)),""))</f>
        <v/>
      </c>
      <c r="L4322" s="29" t="str">
        <f aca="false">IF(A4322="","",IFERROR(1/(1/INDEX(Numéros!$C$2:$C$3001,MATCH(A4322&amp;"|"&amp;B4322,Numéros!$F$2:$F$3001,0))),""))</f>
        <v/>
      </c>
      <c r="M4322" s="27" t="str">
        <f aca="false">IF(OR(G4322="",G4322="?"),"",IFERROR(INDEX(Pubs!$D$2:$D$3001,MATCH(G4322,Pubs!$A$2:$A$3001,0))&amp;"",""))</f>
        <v/>
      </c>
      <c r="N4322" s="27" t="n">
        <f aca="false">N(N4321)+IF(AND(A4322&lt;&gt;"",OR(Recherche!$C$4="",A4322=Recherche!$C$4),OR(Recherche!$C$5="",B4322&amp;""=Recherche!$C$5&amp;""),OR(Recherche!$C$6="",IFERROR(YEAR(L4322),0)=Recherche!$C$6),OR(Recherche!$C$7="",ISNUMBER(SEARCH(Recherche!$C$7,H4322))),OR(Recherche!$C$8="",J4322=Recherche!$C$8),OR(Recherche!$C$9="",I4322=Recherche!$C$9),OR(Recherche!$C$10="",G4322&amp;""=Recherche!$C$10&amp;""),OR(Recherche!$C$11="",E4322=Recherche!$C$11),OR(Recherche!$C$12="",ISNUMBER(SEARCH(Recherche!$C$12,M4322&amp;" "&amp;F4322)))),1,0)</f>
        <v>8</v>
      </c>
    </row>
    <row r="4323" customFormat="false" ht="15" hidden="false" customHeight="false" outlineLevel="0" collapsed="false">
      <c r="A4323" s="19"/>
      <c r="B4323" s="19"/>
      <c r="C4323" s="19"/>
      <c r="D4323" s="19"/>
      <c r="E4323" s="22"/>
      <c r="F4323" s="19"/>
      <c r="G4323" s="26" t="str">
        <f aca="false">IF(D4323="","",IFERROR(VALUE(LEFT(D4323,FIND(" |",D4323&amp;" |")-1)),"?"))</f>
        <v/>
      </c>
      <c r="H4323" s="27" t="str">
        <f aca="false">IF(G4323="","",IF(G4323="?","⚠ pub inconnue",IFERROR(INDEX(Pubs!$B$2:$B$3001,MATCH(G4323,Pubs!$A$2:$A$3001,0))&amp;"","⚠ pub inconnue")))</f>
        <v/>
      </c>
      <c r="I4323" s="27" t="str">
        <f aca="false">IF(OR(G4323="",G4323="?"),"",IFERROR(INDEX(Pubs!$C$2:$C$3001,MATCH(G4323,Pubs!$A$2:$A$3001,0))&amp;"",""))</f>
        <v/>
      </c>
      <c r="J4323" s="27" t="str">
        <f aca="false">IF(OR(G4323="",G4323="?"),"",IFERROR(INDEX(Pubs!$G$2:$G$3001,MATCH(G4323,Pubs!$A$2:$A$3001,0))&amp;"",""))</f>
        <v/>
      </c>
      <c r="K4323" s="28" t="str">
        <f aca="false">IF(OR(G4323="",G4323="?"),"",IFERROR(INDEX(Pubs!$E$2:$E$3001,MATCH(G4323,Pubs!$A$2:$A$3001,0)),""))</f>
        <v/>
      </c>
      <c r="L4323" s="29" t="str">
        <f aca="false">IF(A4323="","",IFERROR(1/(1/INDEX(Numéros!$C$2:$C$3001,MATCH(A4323&amp;"|"&amp;B4323,Numéros!$F$2:$F$3001,0))),""))</f>
        <v/>
      </c>
      <c r="M4323" s="27" t="str">
        <f aca="false">IF(OR(G4323="",G4323="?"),"",IFERROR(INDEX(Pubs!$D$2:$D$3001,MATCH(G4323,Pubs!$A$2:$A$3001,0))&amp;"",""))</f>
        <v/>
      </c>
      <c r="N4323" s="27" t="n">
        <f aca="false">N(N4322)+IF(AND(A4323&lt;&gt;"",OR(Recherche!$C$4="",A4323=Recherche!$C$4),OR(Recherche!$C$5="",B4323&amp;""=Recherche!$C$5&amp;""),OR(Recherche!$C$6="",IFERROR(YEAR(L4323),0)=Recherche!$C$6),OR(Recherche!$C$7="",ISNUMBER(SEARCH(Recherche!$C$7,H4323))),OR(Recherche!$C$8="",J4323=Recherche!$C$8),OR(Recherche!$C$9="",I4323=Recherche!$C$9),OR(Recherche!$C$10="",G4323&amp;""=Recherche!$C$10&amp;""),OR(Recherche!$C$11="",E4323=Recherche!$C$11),OR(Recherche!$C$12="",ISNUMBER(SEARCH(Recherche!$C$12,M4323&amp;" "&amp;F4323)))),1,0)</f>
        <v>8</v>
      </c>
    </row>
    <row r="4324" customFormat="false" ht="15" hidden="false" customHeight="false" outlineLevel="0" collapsed="false">
      <c r="A4324" s="19"/>
      <c r="B4324" s="19"/>
      <c r="C4324" s="19"/>
      <c r="D4324" s="19"/>
      <c r="E4324" s="22"/>
      <c r="F4324" s="19"/>
      <c r="G4324" s="26" t="str">
        <f aca="false">IF(D4324="","",IFERROR(VALUE(LEFT(D4324,FIND(" |",D4324&amp;" |")-1)),"?"))</f>
        <v/>
      </c>
      <c r="H4324" s="27" t="str">
        <f aca="false">IF(G4324="","",IF(G4324="?","⚠ pub inconnue",IFERROR(INDEX(Pubs!$B$2:$B$3001,MATCH(G4324,Pubs!$A$2:$A$3001,0))&amp;"","⚠ pub inconnue")))</f>
        <v/>
      </c>
      <c r="I4324" s="27" t="str">
        <f aca="false">IF(OR(G4324="",G4324="?"),"",IFERROR(INDEX(Pubs!$C$2:$C$3001,MATCH(G4324,Pubs!$A$2:$A$3001,0))&amp;"",""))</f>
        <v/>
      </c>
      <c r="J4324" s="27" t="str">
        <f aca="false">IF(OR(G4324="",G4324="?"),"",IFERROR(INDEX(Pubs!$G$2:$G$3001,MATCH(G4324,Pubs!$A$2:$A$3001,0))&amp;"",""))</f>
        <v/>
      </c>
      <c r="K4324" s="28" t="str">
        <f aca="false">IF(OR(G4324="",G4324="?"),"",IFERROR(INDEX(Pubs!$E$2:$E$3001,MATCH(G4324,Pubs!$A$2:$A$3001,0)),""))</f>
        <v/>
      </c>
      <c r="L4324" s="29" t="str">
        <f aca="false">IF(A4324="","",IFERROR(1/(1/INDEX(Numéros!$C$2:$C$3001,MATCH(A4324&amp;"|"&amp;B4324,Numéros!$F$2:$F$3001,0))),""))</f>
        <v/>
      </c>
      <c r="M4324" s="27" t="str">
        <f aca="false">IF(OR(G4324="",G4324="?"),"",IFERROR(INDEX(Pubs!$D$2:$D$3001,MATCH(G4324,Pubs!$A$2:$A$3001,0))&amp;"",""))</f>
        <v/>
      </c>
      <c r="N4324" s="27" t="n">
        <f aca="false">N(N4323)+IF(AND(A4324&lt;&gt;"",OR(Recherche!$C$4="",A4324=Recherche!$C$4),OR(Recherche!$C$5="",B4324&amp;""=Recherche!$C$5&amp;""),OR(Recherche!$C$6="",IFERROR(YEAR(L4324),0)=Recherche!$C$6),OR(Recherche!$C$7="",ISNUMBER(SEARCH(Recherche!$C$7,H4324))),OR(Recherche!$C$8="",J4324=Recherche!$C$8),OR(Recherche!$C$9="",I4324=Recherche!$C$9),OR(Recherche!$C$10="",G4324&amp;""=Recherche!$C$10&amp;""),OR(Recherche!$C$11="",E4324=Recherche!$C$11),OR(Recherche!$C$12="",ISNUMBER(SEARCH(Recherche!$C$12,M4324&amp;" "&amp;F4324)))),1,0)</f>
        <v>8</v>
      </c>
    </row>
    <row r="4325" customFormat="false" ht="15" hidden="false" customHeight="false" outlineLevel="0" collapsed="false">
      <c r="A4325" s="19"/>
      <c r="B4325" s="19"/>
      <c r="C4325" s="19"/>
      <c r="D4325" s="19"/>
      <c r="E4325" s="22"/>
      <c r="F4325" s="19"/>
      <c r="G4325" s="26" t="str">
        <f aca="false">IF(D4325="","",IFERROR(VALUE(LEFT(D4325,FIND(" |",D4325&amp;" |")-1)),"?"))</f>
        <v/>
      </c>
      <c r="H4325" s="27" t="str">
        <f aca="false">IF(G4325="","",IF(G4325="?","⚠ pub inconnue",IFERROR(INDEX(Pubs!$B$2:$B$3001,MATCH(G4325,Pubs!$A$2:$A$3001,0))&amp;"","⚠ pub inconnue")))</f>
        <v/>
      </c>
      <c r="I4325" s="27" t="str">
        <f aca="false">IF(OR(G4325="",G4325="?"),"",IFERROR(INDEX(Pubs!$C$2:$C$3001,MATCH(G4325,Pubs!$A$2:$A$3001,0))&amp;"",""))</f>
        <v/>
      </c>
      <c r="J4325" s="27" t="str">
        <f aca="false">IF(OR(G4325="",G4325="?"),"",IFERROR(INDEX(Pubs!$G$2:$G$3001,MATCH(G4325,Pubs!$A$2:$A$3001,0))&amp;"",""))</f>
        <v/>
      </c>
      <c r="K4325" s="28" t="str">
        <f aca="false">IF(OR(G4325="",G4325="?"),"",IFERROR(INDEX(Pubs!$E$2:$E$3001,MATCH(G4325,Pubs!$A$2:$A$3001,0)),""))</f>
        <v/>
      </c>
      <c r="L4325" s="29" t="str">
        <f aca="false">IF(A4325="","",IFERROR(1/(1/INDEX(Numéros!$C$2:$C$3001,MATCH(A4325&amp;"|"&amp;B4325,Numéros!$F$2:$F$3001,0))),""))</f>
        <v/>
      </c>
      <c r="M4325" s="27" t="str">
        <f aca="false">IF(OR(G4325="",G4325="?"),"",IFERROR(INDEX(Pubs!$D$2:$D$3001,MATCH(G4325,Pubs!$A$2:$A$3001,0))&amp;"",""))</f>
        <v/>
      </c>
      <c r="N4325" s="27" t="n">
        <f aca="false">N(N4324)+IF(AND(A4325&lt;&gt;"",OR(Recherche!$C$4="",A4325=Recherche!$C$4),OR(Recherche!$C$5="",B4325&amp;""=Recherche!$C$5&amp;""),OR(Recherche!$C$6="",IFERROR(YEAR(L4325),0)=Recherche!$C$6),OR(Recherche!$C$7="",ISNUMBER(SEARCH(Recherche!$C$7,H4325))),OR(Recherche!$C$8="",J4325=Recherche!$C$8),OR(Recherche!$C$9="",I4325=Recherche!$C$9),OR(Recherche!$C$10="",G4325&amp;""=Recherche!$C$10&amp;""),OR(Recherche!$C$11="",E4325=Recherche!$C$11),OR(Recherche!$C$12="",ISNUMBER(SEARCH(Recherche!$C$12,M4325&amp;" "&amp;F4325)))),1,0)</f>
        <v>8</v>
      </c>
    </row>
    <row r="4326" customFormat="false" ht="15" hidden="false" customHeight="false" outlineLevel="0" collapsed="false">
      <c r="A4326" s="19"/>
      <c r="B4326" s="19"/>
      <c r="C4326" s="19"/>
      <c r="D4326" s="19"/>
      <c r="E4326" s="22"/>
      <c r="F4326" s="19"/>
      <c r="G4326" s="26" t="str">
        <f aca="false">IF(D4326="","",IFERROR(VALUE(LEFT(D4326,FIND(" |",D4326&amp;" |")-1)),"?"))</f>
        <v/>
      </c>
      <c r="H4326" s="27" t="str">
        <f aca="false">IF(G4326="","",IF(G4326="?","⚠ pub inconnue",IFERROR(INDEX(Pubs!$B$2:$B$3001,MATCH(G4326,Pubs!$A$2:$A$3001,0))&amp;"","⚠ pub inconnue")))</f>
        <v/>
      </c>
      <c r="I4326" s="27" t="str">
        <f aca="false">IF(OR(G4326="",G4326="?"),"",IFERROR(INDEX(Pubs!$C$2:$C$3001,MATCH(G4326,Pubs!$A$2:$A$3001,0))&amp;"",""))</f>
        <v/>
      </c>
      <c r="J4326" s="27" t="str">
        <f aca="false">IF(OR(G4326="",G4326="?"),"",IFERROR(INDEX(Pubs!$G$2:$G$3001,MATCH(G4326,Pubs!$A$2:$A$3001,0))&amp;"",""))</f>
        <v/>
      </c>
      <c r="K4326" s="28" t="str">
        <f aca="false">IF(OR(G4326="",G4326="?"),"",IFERROR(INDEX(Pubs!$E$2:$E$3001,MATCH(G4326,Pubs!$A$2:$A$3001,0)),""))</f>
        <v/>
      </c>
      <c r="L4326" s="29" t="str">
        <f aca="false">IF(A4326="","",IFERROR(1/(1/INDEX(Numéros!$C$2:$C$3001,MATCH(A4326&amp;"|"&amp;B4326,Numéros!$F$2:$F$3001,0))),""))</f>
        <v/>
      </c>
      <c r="M4326" s="27" t="str">
        <f aca="false">IF(OR(G4326="",G4326="?"),"",IFERROR(INDEX(Pubs!$D$2:$D$3001,MATCH(G4326,Pubs!$A$2:$A$3001,0))&amp;"",""))</f>
        <v/>
      </c>
      <c r="N4326" s="27" t="n">
        <f aca="false">N(N4325)+IF(AND(A4326&lt;&gt;"",OR(Recherche!$C$4="",A4326=Recherche!$C$4),OR(Recherche!$C$5="",B4326&amp;""=Recherche!$C$5&amp;""),OR(Recherche!$C$6="",IFERROR(YEAR(L4326),0)=Recherche!$C$6),OR(Recherche!$C$7="",ISNUMBER(SEARCH(Recherche!$C$7,H4326))),OR(Recherche!$C$8="",J4326=Recherche!$C$8),OR(Recherche!$C$9="",I4326=Recherche!$C$9),OR(Recherche!$C$10="",G4326&amp;""=Recherche!$C$10&amp;""),OR(Recherche!$C$11="",E4326=Recherche!$C$11),OR(Recherche!$C$12="",ISNUMBER(SEARCH(Recherche!$C$12,M4326&amp;" "&amp;F4326)))),1,0)</f>
        <v>8</v>
      </c>
    </row>
    <row r="4327" customFormat="false" ht="15" hidden="false" customHeight="false" outlineLevel="0" collapsed="false">
      <c r="A4327" s="19"/>
      <c r="B4327" s="19"/>
      <c r="C4327" s="19"/>
      <c r="D4327" s="19"/>
      <c r="E4327" s="22"/>
      <c r="F4327" s="19"/>
      <c r="G4327" s="26" t="str">
        <f aca="false">IF(D4327="","",IFERROR(VALUE(LEFT(D4327,FIND(" |",D4327&amp;" |")-1)),"?"))</f>
        <v/>
      </c>
      <c r="H4327" s="27" t="str">
        <f aca="false">IF(G4327="","",IF(G4327="?","⚠ pub inconnue",IFERROR(INDEX(Pubs!$B$2:$B$3001,MATCH(G4327,Pubs!$A$2:$A$3001,0))&amp;"","⚠ pub inconnue")))</f>
        <v/>
      </c>
      <c r="I4327" s="27" t="str">
        <f aca="false">IF(OR(G4327="",G4327="?"),"",IFERROR(INDEX(Pubs!$C$2:$C$3001,MATCH(G4327,Pubs!$A$2:$A$3001,0))&amp;"",""))</f>
        <v/>
      </c>
      <c r="J4327" s="27" t="str">
        <f aca="false">IF(OR(G4327="",G4327="?"),"",IFERROR(INDEX(Pubs!$G$2:$G$3001,MATCH(G4327,Pubs!$A$2:$A$3001,0))&amp;"",""))</f>
        <v/>
      </c>
      <c r="K4327" s="28" t="str">
        <f aca="false">IF(OR(G4327="",G4327="?"),"",IFERROR(INDEX(Pubs!$E$2:$E$3001,MATCH(G4327,Pubs!$A$2:$A$3001,0)),""))</f>
        <v/>
      </c>
      <c r="L4327" s="29" t="str">
        <f aca="false">IF(A4327="","",IFERROR(1/(1/INDEX(Numéros!$C$2:$C$3001,MATCH(A4327&amp;"|"&amp;B4327,Numéros!$F$2:$F$3001,0))),""))</f>
        <v/>
      </c>
      <c r="M4327" s="27" t="str">
        <f aca="false">IF(OR(G4327="",G4327="?"),"",IFERROR(INDEX(Pubs!$D$2:$D$3001,MATCH(G4327,Pubs!$A$2:$A$3001,0))&amp;"",""))</f>
        <v/>
      </c>
      <c r="N4327" s="27" t="n">
        <f aca="false">N(N4326)+IF(AND(A4327&lt;&gt;"",OR(Recherche!$C$4="",A4327=Recherche!$C$4),OR(Recherche!$C$5="",B4327&amp;""=Recherche!$C$5&amp;""),OR(Recherche!$C$6="",IFERROR(YEAR(L4327),0)=Recherche!$C$6),OR(Recherche!$C$7="",ISNUMBER(SEARCH(Recherche!$C$7,H4327))),OR(Recherche!$C$8="",J4327=Recherche!$C$8),OR(Recherche!$C$9="",I4327=Recherche!$C$9),OR(Recherche!$C$10="",G4327&amp;""=Recherche!$C$10&amp;""),OR(Recherche!$C$11="",E4327=Recherche!$C$11),OR(Recherche!$C$12="",ISNUMBER(SEARCH(Recherche!$C$12,M4327&amp;" "&amp;F4327)))),1,0)</f>
        <v>8</v>
      </c>
    </row>
    <row r="4328" customFormat="false" ht="15" hidden="false" customHeight="false" outlineLevel="0" collapsed="false">
      <c r="A4328" s="19"/>
      <c r="B4328" s="19"/>
      <c r="C4328" s="19"/>
      <c r="D4328" s="19"/>
      <c r="E4328" s="22"/>
      <c r="F4328" s="19"/>
      <c r="G4328" s="26" t="str">
        <f aca="false">IF(D4328="","",IFERROR(VALUE(LEFT(D4328,FIND(" |",D4328&amp;" |")-1)),"?"))</f>
        <v/>
      </c>
      <c r="H4328" s="27" t="str">
        <f aca="false">IF(G4328="","",IF(G4328="?","⚠ pub inconnue",IFERROR(INDEX(Pubs!$B$2:$B$3001,MATCH(G4328,Pubs!$A$2:$A$3001,0))&amp;"","⚠ pub inconnue")))</f>
        <v/>
      </c>
      <c r="I4328" s="27" t="str">
        <f aca="false">IF(OR(G4328="",G4328="?"),"",IFERROR(INDEX(Pubs!$C$2:$C$3001,MATCH(G4328,Pubs!$A$2:$A$3001,0))&amp;"",""))</f>
        <v/>
      </c>
      <c r="J4328" s="27" t="str">
        <f aca="false">IF(OR(G4328="",G4328="?"),"",IFERROR(INDEX(Pubs!$G$2:$G$3001,MATCH(G4328,Pubs!$A$2:$A$3001,0))&amp;"",""))</f>
        <v/>
      </c>
      <c r="K4328" s="28" t="str">
        <f aca="false">IF(OR(G4328="",G4328="?"),"",IFERROR(INDEX(Pubs!$E$2:$E$3001,MATCH(G4328,Pubs!$A$2:$A$3001,0)),""))</f>
        <v/>
      </c>
      <c r="L4328" s="29" t="str">
        <f aca="false">IF(A4328="","",IFERROR(1/(1/INDEX(Numéros!$C$2:$C$3001,MATCH(A4328&amp;"|"&amp;B4328,Numéros!$F$2:$F$3001,0))),""))</f>
        <v/>
      </c>
      <c r="M4328" s="27" t="str">
        <f aca="false">IF(OR(G4328="",G4328="?"),"",IFERROR(INDEX(Pubs!$D$2:$D$3001,MATCH(G4328,Pubs!$A$2:$A$3001,0))&amp;"",""))</f>
        <v/>
      </c>
      <c r="N4328" s="27" t="n">
        <f aca="false">N(N4327)+IF(AND(A4328&lt;&gt;"",OR(Recherche!$C$4="",A4328=Recherche!$C$4),OR(Recherche!$C$5="",B4328&amp;""=Recherche!$C$5&amp;""),OR(Recherche!$C$6="",IFERROR(YEAR(L4328),0)=Recherche!$C$6),OR(Recherche!$C$7="",ISNUMBER(SEARCH(Recherche!$C$7,H4328))),OR(Recherche!$C$8="",J4328=Recherche!$C$8),OR(Recherche!$C$9="",I4328=Recherche!$C$9),OR(Recherche!$C$10="",G4328&amp;""=Recherche!$C$10&amp;""),OR(Recherche!$C$11="",E4328=Recherche!$C$11),OR(Recherche!$C$12="",ISNUMBER(SEARCH(Recherche!$C$12,M4328&amp;" "&amp;F4328)))),1,0)</f>
        <v>8</v>
      </c>
    </row>
    <row r="4329" customFormat="false" ht="15" hidden="false" customHeight="false" outlineLevel="0" collapsed="false">
      <c r="A4329" s="19"/>
      <c r="B4329" s="19"/>
      <c r="C4329" s="19"/>
      <c r="D4329" s="19"/>
      <c r="E4329" s="22"/>
      <c r="F4329" s="19"/>
      <c r="G4329" s="26" t="str">
        <f aca="false">IF(D4329="","",IFERROR(VALUE(LEFT(D4329,FIND(" |",D4329&amp;" |")-1)),"?"))</f>
        <v/>
      </c>
      <c r="H4329" s="27" t="str">
        <f aca="false">IF(G4329="","",IF(G4329="?","⚠ pub inconnue",IFERROR(INDEX(Pubs!$B$2:$B$3001,MATCH(G4329,Pubs!$A$2:$A$3001,0))&amp;"","⚠ pub inconnue")))</f>
        <v/>
      </c>
      <c r="I4329" s="27" t="str">
        <f aca="false">IF(OR(G4329="",G4329="?"),"",IFERROR(INDEX(Pubs!$C$2:$C$3001,MATCH(G4329,Pubs!$A$2:$A$3001,0))&amp;"",""))</f>
        <v/>
      </c>
      <c r="J4329" s="27" t="str">
        <f aca="false">IF(OR(G4329="",G4329="?"),"",IFERROR(INDEX(Pubs!$G$2:$G$3001,MATCH(G4329,Pubs!$A$2:$A$3001,0))&amp;"",""))</f>
        <v/>
      </c>
      <c r="K4329" s="28" t="str">
        <f aca="false">IF(OR(G4329="",G4329="?"),"",IFERROR(INDEX(Pubs!$E$2:$E$3001,MATCH(G4329,Pubs!$A$2:$A$3001,0)),""))</f>
        <v/>
      </c>
      <c r="L4329" s="29" t="str">
        <f aca="false">IF(A4329="","",IFERROR(1/(1/INDEX(Numéros!$C$2:$C$3001,MATCH(A4329&amp;"|"&amp;B4329,Numéros!$F$2:$F$3001,0))),""))</f>
        <v/>
      </c>
      <c r="M4329" s="27" t="str">
        <f aca="false">IF(OR(G4329="",G4329="?"),"",IFERROR(INDEX(Pubs!$D$2:$D$3001,MATCH(G4329,Pubs!$A$2:$A$3001,0))&amp;"",""))</f>
        <v/>
      </c>
      <c r="N4329" s="27" t="n">
        <f aca="false">N(N4328)+IF(AND(A4329&lt;&gt;"",OR(Recherche!$C$4="",A4329=Recherche!$C$4),OR(Recherche!$C$5="",B4329&amp;""=Recherche!$C$5&amp;""),OR(Recherche!$C$6="",IFERROR(YEAR(L4329),0)=Recherche!$C$6),OR(Recherche!$C$7="",ISNUMBER(SEARCH(Recherche!$C$7,H4329))),OR(Recherche!$C$8="",J4329=Recherche!$C$8),OR(Recherche!$C$9="",I4329=Recherche!$C$9),OR(Recherche!$C$10="",G4329&amp;""=Recherche!$C$10&amp;""),OR(Recherche!$C$11="",E4329=Recherche!$C$11),OR(Recherche!$C$12="",ISNUMBER(SEARCH(Recherche!$C$12,M4329&amp;" "&amp;F4329)))),1,0)</f>
        <v>8</v>
      </c>
    </row>
    <row r="4330" customFormat="false" ht="15" hidden="false" customHeight="false" outlineLevel="0" collapsed="false">
      <c r="A4330" s="19"/>
      <c r="B4330" s="19"/>
      <c r="C4330" s="19"/>
      <c r="D4330" s="19"/>
      <c r="E4330" s="22"/>
      <c r="F4330" s="19"/>
      <c r="G4330" s="26" t="str">
        <f aca="false">IF(D4330="","",IFERROR(VALUE(LEFT(D4330,FIND(" |",D4330&amp;" |")-1)),"?"))</f>
        <v/>
      </c>
      <c r="H4330" s="27" t="str">
        <f aca="false">IF(G4330="","",IF(G4330="?","⚠ pub inconnue",IFERROR(INDEX(Pubs!$B$2:$B$3001,MATCH(G4330,Pubs!$A$2:$A$3001,0))&amp;"","⚠ pub inconnue")))</f>
        <v/>
      </c>
      <c r="I4330" s="27" t="str">
        <f aca="false">IF(OR(G4330="",G4330="?"),"",IFERROR(INDEX(Pubs!$C$2:$C$3001,MATCH(G4330,Pubs!$A$2:$A$3001,0))&amp;"",""))</f>
        <v/>
      </c>
      <c r="J4330" s="27" t="str">
        <f aca="false">IF(OR(G4330="",G4330="?"),"",IFERROR(INDEX(Pubs!$G$2:$G$3001,MATCH(G4330,Pubs!$A$2:$A$3001,0))&amp;"",""))</f>
        <v/>
      </c>
      <c r="K4330" s="28" t="str">
        <f aca="false">IF(OR(G4330="",G4330="?"),"",IFERROR(INDEX(Pubs!$E$2:$E$3001,MATCH(G4330,Pubs!$A$2:$A$3001,0)),""))</f>
        <v/>
      </c>
      <c r="L4330" s="29" t="str">
        <f aca="false">IF(A4330="","",IFERROR(1/(1/INDEX(Numéros!$C$2:$C$3001,MATCH(A4330&amp;"|"&amp;B4330,Numéros!$F$2:$F$3001,0))),""))</f>
        <v/>
      </c>
      <c r="M4330" s="27" t="str">
        <f aca="false">IF(OR(G4330="",G4330="?"),"",IFERROR(INDEX(Pubs!$D$2:$D$3001,MATCH(G4330,Pubs!$A$2:$A$3001,0))&amp;"",""))</f>
        <v/>
      </c>
      <c r="N4330" s="27" t="n">
        <f aca="false">N(N4329)+IF(AND(A4330&lt;&gt;"",OR(Recherche!$C$4="",A4330=Recherche!$C$4),OR(Recherche!$C$5="",B4330&amp;""=Recherche!$C$5&amp;""),OR(Recherche!$C$6="",IFERROR(YEAR(L4330),0)=Recherche!$C$6),OR(Recherche!$C$7="",ISNUMBER(SEARCH(Recherche!$C$7,H4330))),OR(Recherche!$C$8="",J4330=Recherche!$C$8),OR(Recherche!$C$9="",I4330=Recherche!$C$9),OR(Recherche!$C$10="",G4330&amp;""=Recherche!$C$10&amp;""),OR(Recherche!$C$11="",E4330=Recherche!$C$11),OR(Recherche!$C$12="",ISNUMBER(SEARCH(Recherche!$C$12,M4330&amp;" "&amp;F4330)))),1,0)</f>
        <v>8</v>
      </c>
    </row>
    <row r="4331" customFormat="false" ht="15" hidden="false" customHeight="false" outlineLevel="0" collapsed="false">
      <c r="A4331" s="19"/>
      <c r="B4331" s="19"/>
      <c r="C4331" s="19"/>
      <c r="D4331" s="19"/>
      <c r="E4331" s="22"/>
      <c r="F4331" s="19"/>
      <c r="G4331" s="26" t="str">
        <f aca="false">IF(D4331="","",IFERROR(VALUE(LEFT(D4331,FIND(" |",D4331&amp;" |")-1)),"?"))</f>
        <v/>
      </c>
      <c r="H4331" s="27" t="str">
        <f aca="false">IF(G4331="","",IF(G4331="?","⚠ pub inconnue",IFERROR(INDEX(Pubs!$B$2:$B$3001,MATCH(G4331,Pubs!$A$2:$A$3001,0))&amp;"","⚠ pub inconnue")))</f>
        <v/>
      </c>
      <c r="I4331" s="27" t="str">
        <f aca="false">IF(OR(G4331="",G4331="?"),"",IFERROR(INDEX(Pubs!$C$2:$C$3001,MATCH(G4331,Pubs!$A$2:$A$3001,0))&amp;"",""))</f>
        <v/>
      </c>
      <c r="J4331" s="27" t="str">
        <f aca="false">IF(OR(G4331="",G4331="?"),"",IFERROR(INDEX(Pubs!$G$2:$G$3001,MATCH(G4331,Pubs!$A$2:$A$3001,0))&amp;"",""))</f>
        <v/>
      </c>
      <c r="K4331" s="28" t="str">
        <f aca="false">IF(OR(G4331="",G4331="?"),"",IFERROR(INDEX(Pubs!$E$2:$E$3001,MATCH(G4331,Pubs!$A$2:$A$3001,0)),""))</f>
        <v/>
      </c>
      <c r="L4331" s="29" t="str">
        <f aca="false">IF(A4331="","",IFERROR(1/(1/INDEX(Numéros!$C$2:$C$3001,MATCH(A4331&amp;"|"&amp;B4331,Numéros!$F$2:$F$3001,0))),""))</f>
        <v/>
      </c>
      <c r="M4331" s="27" t="str">
        <f aca="false">IF(OR(G4331="",G4331="?"),"",IFERROR(INDEX(Pubs!$D$2:$D$3001,MATCH(G4331,Pubs!$A$2:$A$3001,0))&amp;"",""))</f>
        <v/>
      </c>
      <c r="N4331" s="27" t="n">
        <f aca="false">N(N4330)+IF(AND(A4331&lt;&gt;"",OR(Recherche!$C$4="",A4331=Recherche!$C$4),OR(Recherche!$C$5="",B4331&amp;""=Recherche!$C$5&amp;""),OR(Recherche!$C$6="",IFERROR(YEAR(L4331),0)=Recherche!$C$6),OR(Recherche!$C$7="",ISNUMBER(SEARCH(Recherche!$C$7,H4331))),OR(Recherche!$C$8="",J4331=Recherche!$C$8),OR(Recherche!$C$9="",I4331=Recherche!$C$9),OR(Recherche!$C$10="",G4331&amp;""=Recherche!$C$10&amp;""),OR(Recherche!$C$11="",E4331=Recherche!$C$11),OR(Recherche!$C$12="",ISNUMBER(SEARCH(Recherche!$C$12,M4331&amp;" "&amp;F4331)))),1,0)</f>
        <v>8</v>
      </c>
    </row>
    <row r="4332" customFormat="false" ht="15" hidden="false" customHeight="false" outlineLevel="0" collapsed="false">
      <c r="A4332" s="19"/>
      <c r="B4332" s="19"/>
      <c r="C4332" s="19"/>
      <c r="D4332" s="19"/>
      <c r="E4332" s="22"/>
      <c r="F4332" s="19"/>
      <c r="G4332" s="26" t="str">
        <f aca="false">IF(D4332="","",IFERROR(VALUE(LEFT(D4332,FIND(" |",D4332&amp;" |")-1)),"?"))</f>
        <v/>
      </c>
      <c r="H4332" s="27" t="str">
        <f aca="false">IF(G4332="","",IF(G4332="?","⚠ pub inconnue",IFERROR(INDEX(Pubs!$B$2:$B$3001,MATCH(G4332,Pubs!$A$2:$A$3001,0))&amp;"","⚠ pub inconnue")))</f>
        <v/>
      </c>
      <c r="I4332" s="27" t="str">
        <f aca="false">IF(OR(G4332="",G4332="?"),"",IFERROR(INDEX(Pubs!$C$2:$C$3001,MATCH(G4332,Pubs!$A$2:$A$3001,0))&amp;"",""))</f>
        <v/>
      </c>
      <c r="J4332" s="27" t="str">
        <f aca="false">IF(OR(G4332="",G4332="?"),"",IFERROR(INDEX(Pubs!$G$2:$G$3001,MATCH(G4332,Pubs!$A$2:$A$3001,0))&amp;"",""))</f>
        <v/>
      </c>
      <c r="K4332" s="28" t="str">
        <f aca="false">IF(OR(G4332="",G4332="?"),"",IFERROR(INDEX(Pubs!$E$2:$E$3001,MATCH(G4332,Pubs!$A$2:$A$3001,0)),""))</f>
        <v/>
      </c>
      <c r="L4332" s="29" t="str">
        <f aca="false">IF(A4332="","",IFERROR(1/(1/INDEX(Numéros!$C$2:$C$3001,MATCH(A4332&amp;"|"&amp;B4332,Numéros!$F$2:$F$3001,0))),""))</f>
        <v/>
      </c>
      <c r="M4332" s="27" t="str">
        <f aca="false">IF(OR(G4332="",G4332="?"),"",IFERROR(INDEX(Pubs!$D$2:$D$3001,MATCH(G4332,Pubs!$A$2:$A$3001,0))&amp;"",""))</f>
        <v/>
      </c>
      <c r="N4332" s="27" t="n">
        <f aca="false">N(N4331)+IF(AND(A4332&lt;&gt;"",OR(Recherche!$C$4="",A4332=Recherche!$C$4),OR(Recherche!$C$5="",B4332&amp;""=Recherche!$C$5&amp;""),OR(Recherche!$C$6="",IFERROR(YEAR(L4332),0)=Recherche!$C$6),OR(Recherche!$C$7="",ISNUMBER(SEARCH(Recherche!$C$7,H4332))),OR(Recherche!$C$8="",J4332=Recherche!$C$8),OR(Recherche!$C$9="",I4332=Recherche!$C$9),OR(Recherche!$C$10="",G4332&amp;""=Recherche!$C$10&amp;""),OR(Recherche!$C$11="",E4332=Recherche!$C$11),OR(Recherche!$C$12="",ISNUMBER(SEARCH(Recherche!$C$12,M4332&amp;" "&amp;F4332)))),1,0)</f>
        <v>8</v>
      </c>
    </row>
    <row r="4333" customFormat="false" ht="15" hidden="false" customHeight="false" outlineLevel="0" collapsed="false">
      <c r="A4333" s="19"/>
      <c r="B4333" s="19"/>
      <c r="C4333" s="19"/>
      <c r="D4333" s="19"/>
      <c r="E4333" s="22"/>
      <c r="F4333" s="19"/>
      <c r="G4333" s="26" t="str">
        <f aca="false">IF(D4333="","",IFERROR(VALUE(LEFT(D4333,FIND(" |",D4333&amp;" |")-1)),"?"))</f>
        <v/>
      </c>
      <c r="H4333" s="27" t="str">
        <f aca="false">IF(G4333="","",IF(G4333="?","⚠ pub inconnue",IFERROR(INDEX(Pubs!$B$2:$B$3001,MATCH(G4333,Pubs!$A$2:$A$3001,0))&amp;"","⚠ pub inconnue")))</f>
        <v/>
      </c>
      <c r="I4333" s="27" t="str">
        <f aca="false">IF(OR(G4333="",G4333="?"),"",IFERROR(INDEX(Pubs!$C$2:$C$3001,MATCH(G4333,Pubs!$A$2:$A$3001,0))&amp;"",""))</f>
        <v/>
      </c>
      <c r="J4333" s="27" t="str">
        <f aca="false">IF(OR(G4333="",G4333="?"),"",IFERROR(INDEX(Pubs!$G$2:$G$3001,MATCH(G4333,Pubs!$A$2:$A$3001,0))&amp;"",""))</f>
        <v/>
      </c>
      <c r="K4333" s="28" t="str">
        <f aca="false">IF(OR(G4333="",G4333="?"),"",IFERROR(INDEX(Pubs!$E$2:$E$3001,MATCH(G4333,Pubs!$A$2:$A$3001,0)),""))</f>
        <v/>
      </c>
      <c r="L4333" s="29" t="str">
        <f aca="false">IF(A4333="","",IFERROR(1/(1/INDEX(Numéros!$C$2:$C$3001,MATCH(A4333&amp;"|"&amp;B4333,Numéros!$F$2:$F$3001,0))),""))</f>
        <v/>
      </c>
      <c r="M4333" s="27" t="str">
        <f aca="false">IF(OR(G4333="",G4333="?"),"",IFERROR(INDEX(Pubs!$D$2:$D$3001,MATCH(G4333,Pubs!$A$2:$A$3001,0))&amp;"",""))</f>
        <v/>
      </c>
      <c r="N4333" s="27" t="n">
        <f aca="false">N(N4332)+IF(AND(A4333&lt;&gt;"",OR(Recherche!$C$4="",A4333=Recherche!$C$4),OR(Recherche!$C$5="",B4333&amp;""=Recherche!$C$5&amp;""),OR(Recherche!$C$6="",IFERROR(YEAR(L4333),0)=Recherche!$C$6),OR(Recherche!$C$7="",ISNUMBER(SEARCH(Recherche!$C$7,H4333))),OR(Recherche!$C$8="",J4333=Recherche!$C$8),OR(Recherche!$C$9="",I4333=Recherche!$C$9),OR(Recherche!$C$10="",G4333&amp;""=Recherche!$C$10&amp;""),OR(Recherche!$C$11="",E4333=Recherche!$C$11),OR(Recherche!$C$12="",ISNUMBER(SEARCH(Recherche!$C$12,M4333&amp;" "&amp;F4333)))),1,0)</f>
        <v>8</v>
      </c>
    </row>
    <row r="4334" customFormat="false" ht="15" hidden="false" customHeight="false" outlineLevel="0" collapsed="false">
      <c r="A4334" s="19"/>
      <c r="B4334" s="19"/>
      <c r="C4334" s="19"/>
      <c r="D4334" s="19"/>
      <c r="E4334" s="22"/>
      <c r="F4334" s="19"/>
      <c r="G4334" s="26" t="str">
        <f aca="false">IF(D4334="","",IFERROR(VALUE(LEFT(D4334,FIND(" |",D4334&amp;" |")-1)),"?"))</f>
        <v/>
      </c>
      <c r="H4334" s="27" t="str">
        <f aca="false">IF(G4334="","",IF(G4334="?","⚠ pub inconnue",IFERROR(INDEX(Pubs!$B$2:$B$3001,MATCH(G4334,Pubs!$A$2:$A$3001,0))&amp;"","⚠ pub inconnue")))</f>
        <v/>
      </c>
      <c r="I4334" s="27" t="str">
        <f aca="false">IF(OR(G4334="",G4334="?"),"",IFERROR(INDEX(Pubs!$C$2:$C$3001,MATCH(G4334,Pubs!$A$2:$A$3001,0))&amp;"",""))</f>
        <v/>
      </c>
      <c r="J4334" s="27" t="str">
        <f aca="false">IF(OR(G4334="",G4334="?"),"",IFERROR(INDEX(Pubs!$G$2:$G$3001,MATCH(G4334,Pubs!$A$2:$A$3001,0))&amp;"",""))</f>
        <v/>
      </c>
      <c r="K4334" s="28" t="str">
        <f aca="false">IF(OR(G4334="",G4334="?"),"",IFERROR(INDEX(Pubs!$E$2:$E$3001,MATCH(G4334,Pubs!$A$2:$A$3001,0)),""))</f>
        <v/>
      </c>
      <c r="L4334" s="29" t="str">
        <f aca="false">IF(A4334="","",IFERROR(1/(1/INDEX(Numéros!$C$2:$C$3001,MATCH(A4334&amp;"|"&amp;B4334,Numéros!$F$2:$F$3001,0))),""))</f>
        <v/>
      </c>
      <c r="M4334" s="27" t="str">
        <f aca="false">IF(OR(G4334="",G4334="?"),"",IFERROR(INDEX(Pubs!$D$2:$D$3001,MATCH(G4334,Pubs!$A$2:$A$3001,0))&amp;"",""))</f>
        <v/>
      </c>
      <c r="N4334" s="27" t="n">
        <f aca="false">N(N4333)+IF(AND(A4334&lt;&gt;"",OR(Recherche!$C$4="",A4334=Recherche!$C$4),OR(Recherche!$C$5="",B4334&amp;""=Recherche!$C$5&amp;""),OR(Recherche!$C$6="",IFERROR(YEAR(L4334),0)=Recherche!$C$6),OR(Recherche!$C$7="",ISNUMBER(SEARCH(Recherche!$C$7,H4334))),OR(Recherche!$C$8="",J4334=Recherche!$C$8),OR(Recherche!$C$9="",I4334=Recherche!$C$9),OR(Recherche!$C$10="",G4334&amp;""=Recherche!$C$10&amp;""),OR(Recherche!$C$11="",E4334=Recherche!$C$11),OR(Recherche!$C$12="",ISNUMBER(SEARCH(Recherche!$C$12,M4334&amp;" "&amp;F4334)))),1,0)</f>
        <v>8</v>
      </c>
    </row>
    <row r="4335" customFormat="false" ht="15" hidden="false" customHeight="false" outlineLevel="0" collapsed="false">
      <c r="A4335" s="19"/>
      <c r="B4335" s="19"/>
      <c r="C4335" s="19"/>
      <c r="D4335" s="19"/>
      <c r="E4335" s="22"/>
      <c r="F4335" s="19"/>
      <c r="G4335" s="26" t="str">
        <f aca="false">IF(D4335="","",IFERROR(VALUE(LEFT(D4335,FIND(" |",D4335&amp;" |")-1)),"?"))</f>
        <v/>
      </c>
      <c r="H4335" s="27" t="str">
        <f aca="false">IF(G4335="","",IF(G4335="?","⚠ pub inconnue",IFERROR(INDEX(Pubs!$B$2:$B$3001,MATCH(G4335,Pubs!$A$2:$A$3001,0))&amp;"","⚠ pub inconnue")))</f>
        <v/>
      </c>
      <c r="I4335" s="27" t="str">
        <f aca="false">IF(OR(G4335="",G4335="?"),"",IFERROR(INDEX(Pubs!$C$2:$C$3001,MATCH(G4335,Pubs!$A$2:$A$3001,0))&amp;"",""))</f>
        <v/>
      </c>
      <c r="J4335" s="27" t="str">
        <f aca="false">IF(OR(G4335="",G4335="?"),"",IFERROR(INDEX(Pubs!$G$2:$G$3001,MATCH(G4335,Pubs!$A$2:$A$3001,0))&amp;"",""))</f>
        <v/>
      </c>
      <c r="K4335" s="28" t="str">
        <f aca="false">IF(OR(G4335="",G4335="?"),"",IFERROR(INDEX(Pubs!$E$2:$E$3001,MATCH(G4335,Pubs!$A$2:$A$3001,0)),""))</f>
        <v/>
      </c>
      <c r="L4335" s="29" t="str">
        <f aca="false">IF(A4335="","",IFERROR(1/(1/INDEX(Numéros!$C$2:$C$3001,MATCH(A4335&amp;"|"&amp;B4335,Numéros!$F$2:$F$3001,0))),""))</f>
        <v/>
      </c>
      <c r="M4335" s="27" t="str">
        <f aca="false">IF(OR(G4335="",G4335="?"),"",IFERROR(INDEX(Pubs!$D$2:$D$3001,MATCH(G4335,Pubs!$A$2:$A$3001,0))&amp;"",""))</f>
        <v/>
      </c>
      <c r="N4335" s="27" t="n">
        <f aca="false">N(N4334)+IF(AND(A4335&lt;&gt;"",OR(Recherche!$C$4="",A4335=Recherche!$C$4),OR(Recherche!$C$5="",B4335&amp;""=Recherche!$C$5&amp;""),OR(Recherche!$C$6="",IFERROR(YEAR(L4335),0)=Recherche!$C$6),OR(Recherche!$C$7="",ISNUMBER(SEARCH(Recherche!$C$7,H4335))),OR(Recherche!$C$8="",J4335=Recherche!$C$8),OR(Recherche!$C$9="",I4335=Recherche!$C$9),OR(Recherche!$C$10="",G4335&amp;""=Recherche!$C$10&amp;""),OR(Recherche!$C$11="",E4335=Recherche!$C$11),OR(Recherche!$C$12="",ISNUMBER(SEARCH(Recherche!$C$12,M4335&amp;" "&amp;F4335)))),1,0)</f>
        <v>8</v>
      </c>
    </row>
    <row r="4336" customFormat="false" ht="15" hidden="false" customHeight="false" outlineLevel="0" collapsed="false">
      <c r="A4336" s="19"/>
      <c r="B4336" s="19"/>
      <c r="C4336" s="19"/>
      <c r="D4336" s="19"/>
      <c r="E4336" s="22"/>
      <c r="F4336" s="19"/>
      <c r="G4336" s="26" t="str">
        <f aca="false">IF(D4336="","",IFERROR(VALUE(LEFT(D4336,FIND(" |",D4336&amp;" |")-1)),"?"))</f>
        <v/>
      </c>
      <c r="H4336" s="27" t="str">
        <f aca="false">IF(G4336="","",IF(G4336="?","⚠ pub inconnue",IFERROR(INDEX(Pubs!$B$2:$B$3001,MATCH(G4336,Pubs!$A$2:$A$3001,0))&amp;"","⚠ pub inconnue")))</f>
        <v/>
      </c>
      <c r="I4336" s="27" t="str">
        <f aca="false">IF(OR(G4336="",G4336="?"),"",IFERROR(INDEX(Pubs!$C$2:$C$3001,MATCH(G4336,Pubs!$A$2:$A$3001,0))&amp;"",""))</f>
        <v/>
      </c>
      <c r="J4336" s="27" t="str">
        <f aca="false">IF(OR(G4336="",G4336="?"),"",IFERROR(INDEX(Pubs!$G$2:$G$3001,MATCH(G4336,Pubs!$A$2:$A$3001,0))&amp;"",""))</f>
        <v/>
      </c>
      <c r="K4336" s="28" t="str">
        <f aca="false">IF(OR(G4336="",G4336="?"),"",IFERROR(INDEX(Pubs!$E$2:$E$3001,MATCH(G4336,Pubs!$A$2:$A$3001,0)),""))</f>
        <v/>
      </c>
      <c r="L4336" s="29" t="str">
        <f aca="false">IF(A4336="","",IFERROR(1/(1/INDEX(Numéros!$C$2:$C$3001,MATCH(A4336&amp;"|"&amp;B4336,Numéros!$F$2:$F$3001,0))),""))</f>
        <v/>
      </c>
      <c r="M4336" s="27" t="str">
        <f aca="false">IF(OR(G4336="",G4336="?"),"",IFERROR(INDEX(Pubs!$D$2:$D$3001,MATCH(G4336,Pubs!$A$2:$A$3001,0))&amp;"",""))</f>
        <v/>
      </c>
      <c r="N4336" s="27" t="n">
        <f aca="false">N(N4335)+IF(AND(A4336&lt;&gt;"",OR(Recherche!$C$4="",A4336=Recherche!$C$4),OR(Recherche!$C$5="",B4336&amp;""=Recherche!$C$5&amp;""),OR(Recherche!$C$6="",IFERROR(YEAR(L4336),0)=Recherche!$C$6),OR(Recherche!$C$7="",ISNUMBER(SEARCH(Recherche!$C$7,H4336))),OR(Recherche!$C$8="",J4336=Recherche!$C$8),OR(Recherche!$C$9="",I4336=Recherche!$C$9),OR(Recherche!$C$10="",G4336&amp;""=Recherche!$C$10&amp;""),OR(Recherche!$C$11="",E4336=Recherche!$C$11),OR(Recherche!$C$12="",ISNUMBER(SEARCH(Recherche!$C$12,M4336&amp;" "&amp;F4336)))),1,0)</f>
        <v>8</v>
      </c>
    </row>
    <row r="4337" customFormat="false" ht="15" hidden="false" customHeight="false" outlineLevel="0" collapsed="false">
      <c r="A4337" s="19"/>
      <c r="B4337" s="19"/>
      <c r="C4337" s="19"/>
      <c r="D4337" s="19"/>
      <c r="E4337" s="22"/>
      <c r="F4337" s="19"/>
      <c r="G4337" s="26" t="str">
        <f aca="false">IF(D4337="","",IFERROR(VALUE(LEFT(D4337,FIND(" |",D4337&amp;" |")-1)),"?"))</f>
        <v/>
      </c>
      <c r="H4337" s="27" t="str">
        <f aca="false">IF(G4337="","",IF(G4337="?","⚠ pub inconnue",IFERROR(INDEX(Pubs!$B$2:$B$3001,MATCH(G4337,Pubs!$A$2:$A$3001,0))&amp;"","⚠ pub inconnue")))</f>
        <v/>
      </c>
      <c r="I4337" s="27" t="str">
        <f aca="false">IF(OR(G4337="",G4337="?"),"",IFERROR(INDEX(Pubs!$C$2:$C$3001,MATCH(G4337,Pubs!$A$2:$A$3001,0))&amp;"",""))</f>
        <v/>
      </c>
      <c r="J4337" s="27" t="str">
        <f aca="false">IF(OR(G4337="",G4337="?"),"",IFERROR(INDEX(Pubs!$G$2:$G$3001,MATCH(G4337,Pubs!$A$2:$A$3001,0))&amp;"",""))</f>
        <v/>
      </c>
      <c r="K4337" s="28" t="str">
        <f aca="false">IF(OR(G4337="",G4337="?"),"",IFERROR(INDEX(Pubs!$E$2:$E$3001,MATCH(G4337,Pubs!$A$2:$A$3001,0)),""))</f>
        <v/>
      </c>
      <c r="L4337" s="29" t="str">
        <f aca="false">IF(A4337="","",IFERROR(1/(1/INDEX(Numéros!$C$2:$C$3001,MATCH(A4337&amp;"|"&amp;B4337,Numéros!$F$2:$F$3001,0))),""))</f>
        <v/>
      </c>
      <c r="M4337" s="27" t="str">
        <f aca="false">IF(OR(G4337="",G4337="?"),"",IFERROR(INDEX(Pubs!$D$2:$D$3001,MATCH(G4337,Pubs!$A$2:$A$3001,0))&amp;"",""))</f>
        <v/>
      </c>
      <c r="N4337" s="27" t="n">
        <f aca="false">N(N4336)+IF(AND(A4337&lt;&gt;"",OR(Recherche!$C$4="",A4337=Recherche!$C$4),OR(Recherche!$C$5="",B4337&amp;""=Recherche!$C$5&amp;""),OR(Recherche!$C$6="",IFERROR(YEAR(L4337),0)=Recherche!$C$6),OR(Recherche!$C$7="",ISNUMBER(SEARCH(Recherche!$C$7,H4337))),OR(Recherche!$C$8="",J4337=Recherche!$C$8),OR(Recherche!$C$9="",I4337=Recherche!$C$9),OR(Recherche!$C$10="",G4337&amp;""=Recherche!$C$10&amp;""),OR(Recherche!$C$11="",E4337=Recherche!$C$11),OR(Recherche!$C$12="",ISNUMBER(SEARCH(Recherche!$C$12,M4337&amp;" "&amp;F4337)))),1,0)</f>
        <v>8</v>
      </c>
    </row>
    <row r="4338" customFormat="false" ht="15" hidden="false" customHeight="false" outlineLevel="0" collapsed="false">
      <c r="A4338" s="19"/>
      <c r="B4338" s="19"/>
      <c r="C4338" s="19"/>
      <c r="D4338" s="19"/>
      <c r="E4338" s="22"/>
      <c r="F4338" s="19"/>
      <c r="G4338" s="26" t="str">
        <f aca="false">IF(D4338="","",IFERROR(VALUE(LEFT(D4338,FIND(" |",D4338&amp;" |")-1)),"?"))</f>
        <v/>
      </c>
      <c r="H4338" s="27" t="str">
        <f aca="false">IF(G4338="","",IF(G4338="?","⚠ pub inconnue",IFERROR(INDEX(Pubs!$B$2:$B$3001,MATCH(G4338,Pubs!$A$2:$A$3001,0))&amp;"","⚠ pub inconnue")))</f>
        <v/>
      </c>
      <c r="I4338" s="27" t="str">
        <f aca="false">IF(OR(G4338="",G4338="?"),"",IFERROR(INDEX(Pubs!$C$2:$C$3001,MATCH(G4338,Pubs!$A$2:$A$3001,0))&amp;"",""))</f>
        <v/>
      </c>
      <c r="J4338" s="27" t="str">
        <f aca="false">IF(OR(G4338="",G4338="?"),"",IFERROR(INDEX(Pubs!$G$2:$G$3001,MATCH(G4338,Pubs!$A$2:$A$3001,0))&amp;"",""))</f>
        <v/>
      </c>
      <c r="K4338" s="28" t="str">
        <f aca="false">IF(OR(G4338="",G4338="?"),"",IFERROR(INDEX(Pubs!$E$2:$E$3001,MATCH(G4338,Pubs!$A$2:$A$3001,0)),""))</f>
        <v/>
      </c>
      <c r="L4338" s="29" t="str">
        <f aca="false">IF(A4338="","",IFERROR(1/(1/INDEX(Numéros!$C$2:$C$3001,MATCH(A4338&amp;"|"&amp;B4338,Numéros!$F$2:$F$3001,0))),""))</f>
        <v/>
      </c>
      <c r="M4338" s="27" t="str">
        <f aca="false">IF(OR(G4338="",G4338="?"),"",IFERROR(INDEX(Pubs!$D$2:$D$3001,MATCH(G4338,Pubs!$A$2:$A$3001,0))&amp;"",""))</f>
        <v/>
      </c>
      <c r="N4338" s="27" t="n">
        <f aca="false">N(N4337)+IF(AND(A4338&lt;&gt;"",OR(Recherche!$C$4="",A4338=Recherche!$C$4),OR(Recherche!$C$5="",B4338&amp;""=Recherche!$C$5&amp;""),OR(Recherche!$C$6="",IFERROR(YEAR(L4338),0)=Recherche!$C$6),OR(Recherche!$C$7="",ISNUMBER(SEARCH(Recherche!$C$7,H4338))),OR(Recherche!$C$8="",J4338=Recherche!$C$8),OR(Recherche!$C$9="",I4338=Recherche!$C$9),OR(Recherche!$C$10="",G4338&amp;""=Recherche!$C$10&amp;""),OR(Recherche!$C$11="",E4338=Recherche!$C$11),OR(Recherche!$C$12="",ISNUMBER(SEARCH(Recherche!$C$12,M4338&amp;" "&amp;F4338)))),1,0)</f>
        <v>8</v>
      </c>
    </row>
    <row r="4339" customFormat="false" ht="15" hidden="false" customHeight="false" outlineLevel="0" collapsed="false">
      <c r="A4339" s="19"/>
      <c r="B4339" s="19"/>
      <c r="C4339" s="19"/>
      <c r="D4339" s="19"/>
      <c r="E4339" s="22"/>
      <c r="F4339" s="19"/>
      <c r="G4339" s="26" t="str">
        <f aca="false">IF(D4339="","",IFERROR(VALUE(LEFT(D4339,FIND(" |",D4339&amp;" |")-1)),"?"))</f>
        <v/>
      </c>
      <c r="H4339" s="27" t="str">
        <f aca="false">IF(G4339="","",IF(G4339="?","⚠ pub inconnue",IFERROR(INDEX(Pubs!$B$2:$B$3001,MATCH(G4339,Pubs!$A$2:$A$3001,0))&amp;"","⚠ pub inconnue")))</f>
        <v/>
      </c>
      <c r="I4339" s="27" t="str">
        <f aca="false">IF(OR(G4339="",G4339="?"),"",IFERROR(INDEX(Pubs!$C$2:$C$3001,MATCH(G4339,Pubs!$A$2:$A$3001,0))&amp;"",""))</f>
        <v/>
      </c>
      <c r="J4339" s="27" t="str">
        <f aca="false">IF(OR(G4339="",G4339="?"),"",IFERROR(INDEX(Pubs!$G$2:$G$3001,MATCH(G4339,Pubs!$A$2:$A$3001,0))&amp;"",""))</f>
        <v/>
      </c>
      <c r="K4339" s="28" t="str">
        <f aca="false">IF(OR(G4339="",G4339="?"),"",IFERROR(INDEX(Pubs!$E$2:$E$3001,MATCH(G4339,Pubs!$A$2:$A$3001,0)),""))</f>
        <v/>
      </c>
      <c r="L4339" s="29" t="str">
        <f aca="false">IF(A4339="","",IFERROR(1/(1/INDEX(Numéros!$C$2:$C$3001,MATCH(A4339&amp;"|"&amp;B4339,Numéros!$F$2:$F$3001,0))),""))</f>
        <v/>
      </c>
      <c r="M4339" s="27" t="str">
        <f aca="false">IF(OR(G4339="",G4339="?"),"",IFERROR(INDEX(Pubs!$D$2:$D$3001,MATCH(G4339,Pubs!$A$2:$A$3001,0))&amp;"",""))</f>
        <v/>
      </c>
      <c r="N4339" s="27" t="n">
        <f aca="false">N(N4338)+IF(AND(A4339&lt;&gt;"",OR(Recherche!$C$4="",A4339=Recherche!$C$4),OR(Recherche!$C$5="",B4339&amp;""=Recherche!$C$5&amp;""),OR(Recherche!$C$6="",IFERROR(YEAR(L4339),0)=Recherche!$C$6),OR(Recherche!$C$7="",ISNUMBER(SEARCH(Recherche!$C$7,H4339))),OR(Recherche!$C$8="",J4339=Recherche!$C$8),OR(Recherche!$C$9="",I4339=Recherche!$C$9),OR(Recherche!$C$10="",G4339&amp;""=Recherche!$C$10&amp;""),OR(Recherche!$C$11="",E4339=Recherche!$C$11),OR(Recherche!$C$12="",ISNUMBER(SEARCH(Recherche!$C$12,M4339&amp;" "&amp;F4339)))),1,0)</f>
        <v>8</v>
      </c>
    </row>
    <row r="4340" customFormat="false" ht="15" hidden="false" customHeight="false" outlineLevel="0" collapsed="false">
      <c r="A4340" s="19"/>
      <c r="B4340" s="19"/>
      <c r="C4340" s="19"/>
      <c r="D4340" s="19"/>
      <c r="E4340" s="22"/>
      <c r="F4340" s="19"/>
      <c r="G4340" s="26" t="str">
        <f aca="false">IF(D4340="","",IFERROR(VALUE(LEFT(D4340,FIND(" |",D4340&amp;" |")-1)),"?"))</f>
        <v/>
      </c>
      <c r="H4340" s="27" t="str">
        <f aca="false">IF(G4340="","",IF(G4340="?","⚠ pub inconnue",IFERROR(INDEX(Pubs!$B$2:$B$3001,MATCH(G4340,Pubs!$A$2:$A$3001,0))&amp;"","⚠ pub inconnue")))</f>
        <v/>
      </c>
      <c r="I4340" s="27" t="str">
        <f aca="false">IF(OR(G4340="",G4340="?"),"",IFERROR(INDEX(Pubs!$C$2:$C$3001,MATCH(G4340,Pubs!$A$2:$A$3001,0))&amp;"",""))</f>
        <v/>
      </c>
      <c r="J4340" s="27" t="str">
        <f aca="false">IF(OR(G4340="",G4340="?"),"",IFERROR(INDEX(Pubs!$G$2:$G$3001,MATCH(G4340,Pubs!$A$2:$A$3001,0))&amp;"",""))</f>
        <v/>
      </c>
      <c r="K4340" s="28" t="str">
        <f aca="false">IF(OR(G4340="",G4340="?"),"",IFERROR(INDEX(Pubs!$E$2:$E$3001,MATCH(G4340,Pubs!$A$2:$A$3001,0)),""))</f>
        <v/>
      </c>
      <c r="L4340" s="29" t="str">
        <f aca="false">IF(A4340="","",IFERROR(1/(1/INDEX(Numéros!$C$2:$C$3001,MATCH(A4340&amp;"|"&amp;B4340,Numéros!$F$2:$F$3001,0))),""))</f>
        <v/>
      </c>
      <c r="M4340" s="27" t="str">
        <f aca="false">IF(OR(G4340="",G4340="?"),"",IFERROR(INDEX(Pubs!$D$2:$D$3001,MATCH(G4340,Pubs!$A$2:$A$3001,0))&amp;"",""))</f>
        <v/>
      </c>
      <c r="N4340" s="27" t="n">
        <f aca="false">N(N4339)+IF(AND(A4340&lt;&gt;"",OR(Recherche!$C$4="",A4340=Recherche!$C$4),OR(Recherche!$C$5="",B4340&amp;""=Recherche!$C$5&amp;""),OR(Recherche!$C$6="",IFERROR(YEAR(L4340),0)=Recherche!$C$6),OR(Recherche!$C$7="",ISNUMBER(SEARCH(Recherche!$C$7,H4340))),OR(Recherche!$C$8="",J4340=Recherche!$C$8),OR(Recherche!$C$9="",I4340=Recherche!$C$9),OR(Recherche!$C$10="",G4340&amp;""=Recherche!$C$10&amp;""),OR(Recherche!$C$11="",E4340=Recherche!$C$11),OR(Recherche!$C$12="",ISNUMBER(SEARCH(Recherche!$C$12,M4340&amp;" "&amp;F4340)))),1,0)</f>
        <v>8</v>
      </c>
    </row>
    <row r="4341" customFormat="false" ht="15" hidden="false" customHeight="false" outlineLevel="0" collapsed="false">
      <c r="A4341" s="19"/>
      <c r="B4341" s="19"/>
      <c r="C4341" s="19"/>
      <c r="D4341" s="19"/>
      <c r="E4341" s="22"/>
      <c r="F4341" s="19"/>
      <c r="G4341" s="26" t="str">
        <f aca="false">IF(D4341="","",IFERROR(VALUE(LEFT(D4341,FIND(" |",D4341&amp;" |")-1)),"?"))</f>
        <v/>
      </c>
      <c r="H4341" s="27" t="str">
        <f aca="false">IF(G4341="","",IF(G4341="?","⚠ pub inconnue",IFERROR(INDEX(Pubs!$B$2:$B$3001,MATCH(G4341,Pubs!$A$2:$A$3001,0))&amp;"","⚠ pub inconnue")))</f>
        <v/>
      </c>
      <c r="I4341" s="27" t="str">
        <f aca="false">IF(OR(G4341="",G4341="?"),"",IFERROR(INDEX(Pubs!$C$2:$C$3001,MATCH(G4341,Pubs!$A$2:$A$3001,0))&amp;"",""))</f>
        <v/>
      </c>
      <c r="J4341" s="27" t="str">
        <f aca="false">IF(OR(G4341="",G4341="?"),"",IFERROR(INDEX(Pubs!$G$2:$G$3001,MATCH(G4341,Pubs!$A$2:$A$3001,0))&amp;"",""))</f>
        <v/>
      </c>
      <c r="K4341" s="28" t="str">
        <f aca="false">IF(OR(G4341="",G4341="?"),"",IFERROR(INDEX(Pubs!$E$2:$E$3001,MATCH(G4341,Pubs!$A$2:$A$3001,0)),""))</f>
        <v/>
      </c>
      <c r="L4341" s="29" t="str">
        <f aca="false">IF(A4341="","",IFERROR(1/(1/INDEX(Numéros!$C$2:$C$3001,MATCH(A4341&amp;"|"&amp;B4341,Numéros!$F$2:$F$3001,0))),""))</f>
        <v/>
      </c>
      <c r="M4341" s="27" t="str">
        <f aca="false">IF(OR(G4341="",G4341="?"),"",IFERROR(INDEX(Pubs!$D$2:$D$3001,MATCH(G4341,Pubs!$A$2:$A$3001,0))&amp;"",""))</f>
        <v/>
      </c>
      <c r="N4341" s="27" t="n">
        <f aca="false">N(N4340)+IF(AND(A4341&lt;&gt;"",OR(Recherche!$C$4="",A4341=Recherche!$C$4),OR(Recherche!$C$5="",B4341&amp;""=Recherche!$C$5&amp;""),OR(Recherche!$C$6="",IFERROR(YEAR(L4341),0)=Recherche!$C$6),OR(Recherche!$C$7="",ISNUMBER(SEARCH(Recherche!$C$7,H4341))),OR(Recherche!$C$8="",J4341=Recherche!$C$8),OR(Recherche!$C$9="",I4341=Recherche!$C$9),OR(Recherche!$C$10="",G4341&amp;""=Recherche!$C$10&amp;""),OR(Recherche!$C$11="",E4341=Recherche!$C$11),OR(Recherche!$C$12="",ISNUMBER(SEARCH(Recherche!$C$12,M4341&amp;" "&amp;F4341)))),1,0)</f>
        <v>8</v>
      </c>
    </row>
    <row r="4342" customFormat="false" ht="15" hidden="false" customHeight="false" outlineLevel="0" collapsed="false">
      <c r="A4342" s="19"/>
      <c r="B4342" s="19"/>
      <c r="C4342" s="19"/>
      <c r="D4342" s="19"/>
      <c r="E4342" s="22"/>
      <c r="F4342" s="19"/>
      <c r="G4342" s="26" t="str">
        <f aca="false">IF(D4342="","",IFERROR(VALUE(LEFT(D4342,FIND(" |",D4342&amp;" |")-1)),"?"))</f>
        <v/>
      </c>
      <c r="H4342" s="27" t="str">
        <f aca="false">IF(G4342="","",IF(G4342="?","⚠ pub inconnue",IFERROR(INDEX(Pubs!$B$2:$B$3001,MATCH(G4342,Pubs!$A$2:$A$3001,0))&amp;"","⚠ pub inconnue")))</f>
        <v/>
      </c>
      <c r="I4342" s="27" t="str">
        <f aca="false">IF(OR(G4342="",G4342="?"),"",IFERROR(INDEX(Pubs!$C$2:$C$3001,MATCH(G4342,Pubs!$A$2:$A$3001,0))&amp;"",""))</f>
        <v/>
      </c>
      <c r="J4342" s="27" t="str">
        <f aca="false">IF(OR(G4342="",G4342="?"),"",IFERROR(INDEX(Pubs!$G$2:$G$3001,MATCH(G4342,Pubs!$A$2:$A$3001,0))&amp;"",""))</f>
        <v/>
      </c>
      <c r="K4342" s="28" t="str">
        <f aca="false">IF(OR(G4342="",G4342="?"),"",IFERROR(INDEX(Pubs!$E$2:$E$3001,MATCH(G4342,Pubs!$A$2:$A$3001,0)),""))</f>
        <v/>
      </c>
      <c r="L4342" s="29" t="str">
        <f aca="false">IF(A4342="","",IFERROR(1/(1/INDEX(Numéros!$C$2:$C$3001,MATCH(A4342&amp;"|"&amp;B4342,Numéros!$F$2:$F$3001,0))),""))</f>
        <v/>
      </c>
      <c r="M4342" s="27" t="str">
        <f aca="false">IF(OR(G4342="",G4342="?"),"",IFERROR(INDEX(Pubs!$D$2:$D$3001,MATCH(G4342,Pubs!$A$2:$A$3001,0))&amp;"",""))</f>
        <v/>
      </c>
      <c r="N4342" s="27" t="n">
        <f aca="false">N(N4341)+IF(AND(A4342&lt;&gt;"",OR(Recherche!$C$4="",A4342=Recherche!$C$4),OR(Recherche!$C$5="",B4342&amp;""=Recherche!$C$5&amp;""),OR(Recherche!$C$6="",IFERROR(YEAR(L4342),0)=Recherche!$C$6),OR(Recherche!$C$7="",ISNUMBER(SEARCH(Recherche!$C$7,H4342))),OR(Recherche!$C$8="",J4342=Recherche!$C$8),OR(Recherche!$C$9="",I4342=Recherche!$C$9),OR(Recherche!$C$10="",G4342&amp;""=Recherche!$C$10&amp;""),OR(Recherche!$C$11="",E4342=Recherche!$C$11),OR(Recherche!$C$12="",ISNUMBER(SEARCH(Recherche!$C$12,M4342&amp;" "&amp;F4342)))),1,0)</f>
        <v>8</v>
      </c>
    </row>
    <row r="4343" customFormat="false" ht="15" hidden="false" customHeight="false" outlineLevel="0" collapsed="false">
      <c r="A4343" s="19"/>
      <c r="B4343" s="19"/>
      <c r="C4343" s="19"/>
      <c r="D4343" s="19"/>
      <c r="E4343" s="22"/>
      <c r="F4343" s="19"/>
      <c r="G4343" s="26" t="str">
        <f aca="false">IF(D4343="","",IFERROR(VALUE(LEFT(D4343,FIND(" |",D4343&amp;" |")-1)),"?"))</f>
        <v/>
      </c>
      <c r="H4343" s="27" t="str">
        <f aca="false">IF(G4343="","",IF(G4343="?","⚠ pub inconnue",IFERROR(INDEX(Pubs!$B$2:$B$3001,MATCH(G4343,Pubs!$A$2:$A$3001,0))&amp;"","⚠ pub inconnue")))</f>
        <v/>
      </c>
      <c r="I4343" s="27" t="str">
        <f aca="false">IF(OR(G4343="",G4343="?"),"",IFERROR(INDEX(Pubs!$C$2:$C$3001,MATCH(G4343,Pubs!$A$2:$A$3001,0))&amp;"",""))</f>
        <v/>
      </c>
      <c r="J4343" s="27" t="str">
        <f aca="false">IF(OR(G4343="",G4343="?"),"",IFERROR(INDEX(Pubs!$G$2:$G$3001,MATCH(G4343,Pubs!$A$2:$A$3001,0))&amp;"",""))</f>
        <v/>
      </c>
      <c r="K4343" s="28" t="str">
        <f aca="false">IF(OR(G4343="",G4343="?"),"",IFERROR(INDEX(Pubs!$E$2:$E$3001,MATCH(G4343,Pubs!$A$2:$A$3001,0)),""))</f>
        <v/>
      </c>
      <c r="L4343" s="29" t="str">
        <f aca="false">IF(A4343="","",IFERROR(1/(1/INDEX(Numéros!$C$2:$C$3001,MATCH(A4343&amp;"|"&amp;B4343,Numéros!$F$2:$F$3001,0))),""))</f>
        <v/>
      </c>
      <c r="M4343" s="27" t="str">
        <f aca="false">IF(OR(G4343="",G4343="?"),"",IFERROR(INDEX(Pubs!$D$2:$D$3001,MATCH(G4343,Pubs!$A$2:$A$3001,0))&amp;"",""))</f>
        <v/>
      </c>
      <c r="N4343" s="27" t="n">
        <f aca="false">N(N4342)+IF(AND(A4343&lt;&gt;"",OR(Recherche!$C$4="",A4343=Recherche!$C$4),OR(Recherche!$C$5="",B4343&amp;""=Recherche!$C$5&amp;""),OR(Recherche!$C$6="",IFERROR(YEAR(L4343),0)=Recherche!$C$6),OR(Recherche!$C$7="",ISNUMBER(SEARCH(Recherche!$C$7,H4343))),OR(Recherche!$C$8="",J4343=Recherche!$C$8),OR(Recherche!$C$9="",I4343=Recherche!$C$9),OR(Recherche!$C$10="",G4343&amp;""=Recherche!$C$10&amp;""),OR(Recherche!$C$11="",E4343=Recherche!$C$11),OR(Recherche!$C$12="",ISNUMBER(SEARCH(Recherche!$C$12,M4343&amp;" "&amp;F4343)))),1,0)</f>
        <v>8</v>
      </c>
    </row>
    <row r="4344" customFormat="false" ht="15" hidden="false" customHeight="false" outlineLevel="0" collapsed="false">
      <c r="A4344" s="19"/>
      <c r="B4344" s="19"/>
      <c r="C4344" s="19"/>
      <c r="D4344" s="19"/>
      <c r="E4344" s="22"/>
      <c r="F4344" s="19"/>
      <c r="G4344" s="26" t="str">
        <f aca="false">IF(D4344="","",IFERROR(VALUE(LEFT(D4344,FIND(" |",D4344&amp;" |")-1)),"?"))</f>
        <v/>
      </c>
      <c r="H4344" s="27" t="str">
        <f aca="false">IF(G4344="","",IF(G4344="?","⚠ pub inconnue",IFERROR(INDEX(Pubs!$B$2:$B$3001,MATCH(G4344,Pubs!$A$2:$A$3001,0))&amp;"","⚠ pub inconnue")))</f>
        <v/>
      </c>
      <c r="I4344" s="27" t="str">
        <f aca="false">IF(OR(G4344="",G4344="?"),"",IFERROR(INDEX(Pubs!$C$2:$C$3001,MATCH(G4344,Pubs!$A$2:$A$3001,0))&amp;"",""))</f>
        <v/>
      </c>
      <c r="J4344" s="27" t="str">
        <f aca="false">IF(OR(G4344="",G4344="?"),"",IFERROR(INDEX(Pubs!$G$2:$G$3001,MATCH(G4344,Pubs!$A$2:$A$3001,0))&amp;"",""))</f>
        <v/>
      </c>
      <c r="K4344" s="28" t="str">
        <f aca="false">IF(OR(G4344="",G4344="?"),"",IFERROR(INDEX(Pubs!$E$2:$E$3001,MATCH(G4344,Pubs!$A$2:$A$3001,0)),""))</f>
        <v/>
      </c>
      <c r="L4344" s="29" t="str">
        <f aca="false">IF(A4344="","",IFERROR(1/(1/INDEX(Numéros!$C$2:$C$3001,MATCH(A4344&amp;"|"&amp;B4344,Numéros!$F$2:$F$3001,0))),""))</f>
        <v/>
      </c>
      <c r="M4344" s="27" t="str">
        <f aca="false">IF(OR(G4344="",G4344="?"),"",IFERROR(INDEX(Pubs!$D$2:$D$3001,MATCH(G4344,Pubs!$A$2:$A$3001,0))&amp;"",""))</f>
        <v/>
      </c>
      <c r="N4344" s="27" t="n">
        <f aca="false">N(N4343)+IF(AND(A4344&lt;&gt;"",OR(Recherche!$C$4="",A4344=Recherche!$C$4),OR(Recherche!$C$5="",B4344&amp;""=Recherche!$C$5&amp;""),OR(Recherche!$C$6="",IFERROR(YEAR(L4344),0)=Recherche!$C$6),OR(Recherche!$C$7="",ISNUMBER(SEARCH(Recherche!$C$7,H4344))),OR(Recherche!$C$8="",J4344=Recherche!$C$8),OR(Recherche!$C$9="",I4344=Recherche!$C$9),OR(Recherche!$C$10="",G4344&amp;""=Recherche!$C$10&amp;""),OR(Recherche!$C$11="",E4344=Recherche!$C$11),OR(Recherche!$C$12="",ISNUMBER(SEARCH(Recherche!$C$12,M4344&amp;" "&amp;F4344)))),1,0)</f>
        <v>8</v>
      </c>
    </row>
    <row r="4345" customFormat="false" ht="15" hidden="false" customHeight="false" outlineLevel="0" collapsed="false">
      <c r="A4345" s="19"/>
      <c r="B4345" s="19"/>
      <c r="C4345" s="19"/>
      <c r="D4345" s="19"/>
      <c r="E4345" s="22"/>
      <c r="F4345" s="19"/>
      <c r="G4345" s="26" t="str">
        <f aca="false">IF(D4345="","",IFERROR(VALUE(LEFT(D4345,FIND(" |",D4345&amp;" |")-1)),"?"))</f>
        <v/>
      </c>
      <c r="H4345" s="27" t="str">
        <f aca="false">IF(G4345="","",IF(G4345="?","⚠ pub inconnue",IFERROR(INDEX(Pubs!$B$2:$B$3001,MATCH(G4345,Pubs!$A$2:$A$3001,0))&amp;"","⚠ pub inconnue")))</f>
        <v/>
      </c>
      <c r="I4345" s="27" t="str">
        <f aca="false">IF(OR(G4345="",G4345="?"),"",IFERROR(INDEX(Pubs!$C$2:$C$3001,MATCH(G4345,Pubs!$A$2:$A$3001,0))&amp;"",""))</f>
        <v/>
      </c>
      <c r="J4345" s="27" t="str">
        <f aca="false">IF(OR(G4345="",G4345="?"),"",IFERROR(INDEX(Pubs!$G$2:$G$3001,MATCH(G4345,Pubs!$A$2:$A$3001,0))&amp;"",""))</f>
        <v/>
      </c>
      <c r="K4345" s="28" t="str">
        <f aca="false">IF(OR(G4345="",G4345="?"),"",IFERROR(INDEX(Pubs!$E$2:$E$3001,MATCH(G4345,Pubs!$A$2:$A$3001,0)),""))</f>
        <v/>
      </c>
      <c r="L4345" s="29" t="str">
        <f aca="false">IF(A4345="","",IFERROR(1/(1/INDEX(Numéros!$C$2:$C$3001,MATCH(A4345&amp;"|"&amp;B4345,Numéros!$F$2:$F$3001,0))),""))</f>
        <v/>
      </c>
      <c r="M4345" s="27" t="str">
        <f aca="false">IF(OR(G4345="",G4345="?"),"",IFERROR(INDEX(Pubs!$D$2:$D$3001,MATCH(G4345,Pubs!$A$2:$A$3001,0))&amp;"",""))</f>
        <v/>
      </c>
      <c r="N4345" s="27" t="n">
        <f aca="false">N(N4344)+IF(AND(A4345&lt;&gt;"",OR(Recherche!$C$4="",A4345=Recherche!$C$4),OR(Recherche!$C$5="",B4345&amp;""=Recherche!$C$5&amp;""),OR(Recherche!$C$6="",IFERROR(YEAR(L4345),0)=Recherche!$C$6),OR(Recherche!$C$7="",ISNUMBER(SEARCH(Recherche!$C$7,H4345))),OR(Recherche!$C$8="",J4345=Recherche!$C$8),OR(Recherche!$C$9="",I4345=Recherche!$C$9),OR(Recherche!$C$10="",G4345&amp;""=Recherche!$C$10&amp;""),OR(Recherche!$C$11="",E4345=Recherche!$C$11),OR(Recherche!$C$12="",ISNUMBER(SEARCH(Recherche!$C$12,M4345&amp;" "&amp;F4345)))),1,0)</f>
        <v>8</v>
      </c>
    </row>
    <row r="4346" customFormat="false" ht="15" hidden="false" customHeight="false" outlineLevel="0" collapsed="false">
      <c r="A4346" s="19"/>
      <c r="B4346" s="19"/>
      <c r="C4346" s="19"/>
      <c r="D4346" s="19"/>
      <c r="E4346" s="22"/>
      <c r="F4346" s="19"/>
      <c r="G4346" s="26" t="str">
        <f aca="false">IF(D4346="","",IFERROR(VALUE(LEFT(D4346,FIND(" |",D4346&amp;" |")-1)),"?"))</f>
        <v/>
      </c>
      <c r="H4346" s="27" t="str">
        <f aca="false">IF(G4346="","",IF(G4346="?","⚠ pub inconnue",IFERROR(INDEX(Pubs!$B$2:$B$3001,MATCH(G4346,Pubs!$A$2:$A$3001,0))&amp;"","⚠ pub inconnue")))</f>
        <v/>
      </c>
      <c r="I4346" s="27" t="str">
        <f aca="false">IF(OR(G4346="",G4346="?"),"",IFERROR(INDEX(Pubs!$C$2:$C$3001,MATCH(G4346,Pubs!$A$2:$A$3001,0))&amp;"",""))</f>
        <v/>
      </c>
      <c r="J4346" s="27" t="str">
        <f aca="false">IF(OR(G4346="",G4346="?"),"",IFERROR(INDEX(Pubs!$G$2:$G$3001,MATCH(G4346,Pubs!$A$2:$A$3001,0))&amp;"",""))</f>
        <v/>
      </c>
      <c r="K4346" s="28" t="str">
        <f aca="false">IF(OR(G4346="",G4346="?"),"",IFERROR(INDEX(Pubs!$E$2:$E$3001,MATCH(G4346,Pubs!$A$2:$A$3001,0)),""))</f>
        <v/>
      </c>
      <c r="L4346" s="29" t="str">
        <f aca="false">IF(A4346="","",IFERROR(1/(1/INDEX(Numéros!$C$2:$C$3001,MATCH(A4346&amp;"|"&amp;B4346,Numéros!$F$2:$F$3001,0))),""))</f>
        <v/>
      </c>
      <c r="M4346" s="27" t="str">
        <f aca="false">IF(OR(G4346="",G4346="?"),"",IFERROR(INDEX(Pubs!$D$2:$D$3001,MATCH(G4346,Pubs!$A$2:$A$3001,0))&amp;"",""))</f>
        <v/>
      </c>
      <c r="N4346" s="27" t="n">
        <f aca="false">N(N4345)+IF(AND(A4346&lt;&gt;"",OR(Recherche!$C$4="",A4346=Recherche!$C$4),OR(Recherche!$C$5="",B4346&amp;""=Recherche!$C$5&amp;""),OR(Recherche!$C$6="",IFERROR(YEAR(L4346),0)=Recherche!$C$6),OR(Recherche!$C$7="",ISNUMBER(SEARCH(Recherche!$C$7,H4346))),OR(Recherche!$C$8="",J4346=Recherche!$C$8),OR(Recherche!$C$9="",I4346=Recherche!$C$9),OR(Recherche!$C$10="",G4346&amp;""=Recherche!$C$10&amp;""),OR(Recherche!$C$11="",E4346=Recherche!$C$11),OR(Recherche!$C$12="",ISNUMBER(SEARCH(Recherche!$C$12,M4346&amp;" "&amp;F4346)))),1,0)</f>
        <v>8</v>
      </c>
    </row>
    <row r="4347" customFormat="false" ht="15" hidden="false" customHeight="false" outlineLevel="0" collapsed="false">
      <c r="A4347" s="19"/>
      <c r="B4347" s="19"/>
      <c r="C4347" s="19"/>
      <c r="D4347" s="19"/>
      <c r="E4347" s="22"/>
      <c r="F4347" s="19"/>
      <c r="G4347" s="26" t="str">
        <f aca="false">IF(D4347="","",IFERROR(VALUE(LEFT(D4347,FIND(" |",D4347&amp;" |")-1)),"?"))</f>
        <v/>
      </c>
      <c r="H4347" s="27" t="str">
        <f aca="false">IF(G4347="","",IF(G4347="?","⚠ pub inconnue",IFERROR(INDEX(Pubs!$B$2:$B$3001,MATCH(G4347,Pubs!$A$2:$A$3001,0))&amp;"","⚠ pub inconnue")))</f>
        <v/>
      </c>
      <c r="I4347" s="27" t="str">
        <f aca="false">IF(OR(G4347="",G4347="?"),"",IFERROR(INDEX(Pubs!$C$2:$C$3001,MATCH(G4347,Pubs!$A$2:$A$3001,0))&amp;"",""))</f>
        <v/>
      </c>
      <c r="J4347" s="27" t="str">
        <f aca="false">IF(OR(G4347="",G4347="?"),"",IFERROR(INDEX(Pubs!$G$2:$G$3001,MATCH(G4347,Pubs!$A$2:$A$3001,0))&amp;"",""))</f>
        <v/>
      </c>
      <c r="K4347" s="28" t="str">
        <f aca="false">IF(OR(G4347="",G4347="?"),"",IFERROR(INDEX(Pubs!$E$2:$E$3001,MATCH(G4347,Pubs!$A$2:$A$3001,0)),""))</f>
        <v/>
      </c>
      <c r="L4347" s="29" t="str">
        <f aca="false">IF(A4347="","",IFERROR(1/(1/INDEX(Numéros!$C$2:$C$3001,MATCH(A4347&amp;"|"&amp;B4347,Numéros!$F$2:$F$3001,0))),""))</f>
        <v/>
      </c>
      <c r="M4347" s="27" t="str">
        <f aca="false">IF(OR(G4347="",G4347="?"),"",IFERROR(INDEX(Pubs!$D$2:$D$3001,MATCH(G4347,Pubs!$A$2:$A$3001,0))&amp;"",""))</f>
        <v/>
      </c>
      <c r="N4347" s="27" t="n">
        <f aca="false">N(N4346)+IF(AND(A4347&lt;&gt;"",OR(Recherche!$C$4="",A4347=Recherche!$C$4),OR(Recherche!$C$5="",B4347&amp;""=Recherche!$C$5&amp;""),OR(Recherche!$C$6="",IFERROR(YEAR(L4347),0)=Recherche!$C$6),OR(Recherche!$C$7="",ISNUMBER(SEARCH(Recherche!$C$7,H4347))),OR(Recherche!$C$8="",J4347=Recherche!$C$8),OR(Recherche!$C$9="",I4347=Recherche!$C$9),OR(Recherche!$C$10="",G4347&amp;""=Recherche!$C$10&amp;""),OR(Recherche!$C$11="",E4347=Recherche!$C$11),OR(Recherche!$C$12="",ISNUMBER(SEARCH(Recherche!$C$12,M4347&amp;" "&amp;F4347)))),1,0)</f>
        <v>8</v>
      </c>
    </row>
    <row r="4348" customFormat="false" ht="15" hidden="false" customHeight="false" outlineLevel="0" collapsed="false">
      <c r="A4348" s="19"/>
      <c r="B4348" s="19"/>
      <c r="C4348" s="19"/>
      <c r="D4348" s="19"/>
      <c r="E4348" s="22"/>
      <c r="F4348" s="19"/>
      <c r="G4348" s="26" t="str">
        <f aca="false">IF(D4348="","",IFERROR(VALUE(LEFT(D4348,FIND(" |",D4348&amp;" |")-1)),"?"))</f>
        <v/>
      </c>
      <c r="H4348" s="27" t="str">
        <f aca="false">IF(G4348="","",IF(G4348="?","⚠ pub inconnue",IFERROR(INDEX(Pubs!$B$2:$B$3001,MATCH(G4348,Pubs!$A$2:$A$3001,0))&amp;"","⚠ pub inconnue")))</f>
        <v/>
      </c>
      <c r="I4348" s="27" t="str">
        <f aca="false">IF(OR(G4348="",G4348="?"),"",IFERROR(INDEX(Pubs!$C$2:$C$3001,MATCH(G4348,Pubs!$A$2:$A$3001,0))&amp;"",""))</f>
        <v/>
      </c>
      <c r="J4348" s="27" t="str">
        <f aca="false">IF(OR(G4348="",G4348="?"),"",IFERROR(INDEX(Pubs!$G$2:$G$3001,MATCH(G4348,Pubs!$A$2:$A$3001,0))&amp;"",""))</f>
        <v/>
      </c>
      <c r="K4348" s="28" t="str">
        <f aca="false">IF(OR(G4348="",G4348="?"),"",IFERROR(INDEX(Pubs!$E$2:$E$3001,MATCH(G4348,Pubs!$A$2:$A$3001,0)),""))</f>
        <v/>
      </c>
      <c r="L4348" s="29" t="str">
        <f aca="false">IF(A4348="","",IFERROR(1/(1/INDEX(Numéros!$C$2:$C$3001,MATCH(A4348&amp;"|"&amp;B4348,Numéros!$F$2:$F$3001,0))),""))</f>
        <v/>
      </c>
      <c r="M4348" s="27" t="str">
        <f aca="false">IF(OR(G4348="",G4348="?"),"",IFERROR(INDEX(Pubs!$D$2:$D$3001,MATCH(G4348,Pubs!$A$2:$A$3001,0))&amp;"",""))</f>
        <v/>
      </c>
      <c r="N4348" s="27" t="n">
        <f aca="false">N(N4347)+IF(AND(A4348&lt;&gt;"",OR(Recherche!$C$4="",A4348=Recherche!$C$4),OR(Recherche!$C$5="",B4348&amp;""=Recherche!$C$5&amp;""),OR(Recherche!$C$6="",IFERROR(YEAR(L4348),0)=Recherche!$C$6),OR(Recherche!$C$7="",ISNUMBER(SEARCH(Recherche!$C$7,H4348))),OR(Recherche!$C$8="",J4348=Recherche!$C$8),OR(Recherche!$C$9="",I4348=Recherche!$C$9),OR(Recherche!$C$10="",G4348&amp;""=Recherche!$C$10&amp;""),OR(Recherche!$C$11="",E4348=Recherche!$C$11),OR(Recherche!$C$12="",ISNUMBER(SEARCH(Recherche!$C$12,M4348&amp;" "&amp;F4348)))),1,0)</f>
        <v>8</v>
      </c>
    </row>
    <row r="4349" customFormat="false" ht="15" hidden="false" customHeight="false" outlineLevel="0" collapsed="false">
      <c r="A4349" s="19"/>
      <c r="B4349" s="19"/>
      <c r="C4349" s="19"/>
      <c r="D4349" s="19"/>
      <c r="E4349" s="22"/>
      <c r="F4349" s="19"/>
      <c r="G4349" s="26" t="str">
        <f aca="false">IF(D4349="","",IFERROR(VALUE(LEFT(D4349,FIND(" |",D4349&amp;" |")-1)),"?"))</f>
        <v/>
      </c>
      <c r="H4349" s="27" t="str">
        <f aca="false">IF(G4349="","",IF(G4349="?","⚠ pub inconnue",IFERROR(INDEX(Pubs!$B$2:$B$3001,MATCH(G4349,Pubs!$A$2:$A$3001,0))&amp;"","⚠ pub inconnue")))</f>
        <v/>
      </c>
      <c r="I4349" s="27" t="str">
        <f aca="false">IF(OR(G4349="",G4349="?"),"",IFERROR(INDEX(Pubs!$C$2:$C$3001,MATCH(G4349,Pubs!$A$2:$A$3001,0))&amp;"",""))</f>
        <v/>
      </c>
      <c r="J4349" s="27" t="str">
        <f aca="false">IF(OR(G4349="",G4349="?"),"",IFERROR(INDEX(Pubs!$G$2:$G$3001,MATCH(G4349,Pubs!$A$2:$A$3001,0))&amp;"",""))</f>
        <v/>
      </c>
      <c r="K4349" s="28" t="str">
        <f aca="false">IF(OR(G4349="",G4349="?"),"",IFERROR(INDEX(Pubs!$E$2:$E$3001,MATCH(G4349,Pubs!$A$2:$A$3001,0)),""))</f>
        <v/>
      </c>
      <c r="L4349" s="29" t="str">
        <f aca="false">IF(A4349="","",IFERROR(1/(1/INDEX(Numéros!$C$2:$C$3001,MATCH(A4349&amp;"|"&amp;B4349,Numéros!$F$2:$F$3001,0))),""))</f>
        <v/>
      </c>
      <c r="M4349" s="27" t="str">
        <f aca="false">IF(OR(G4349="",G4349="?"),"",IFERROR(INDEX(Pubs!$D$2:$D$3001,MATCH(G4349,Pubs!$A$2:$A$3001,0))&amp;"",""))</f>
        <v/>
      </c>
      <c r="N4349" s="27" t="n">
        <f aca="false">N(N4348)+IF(AND(A4349&lt;&gt;"",OR(Recherche!$C$4="",A4349=Recherche!$C$4),OR(Recherche!$C$5="",B4349&amp;""=Recherche!$C$5&amp;""),OR(Recherche!$C$6="",IFERROR(YEAR(L4349),0)=Recherche!$C$6),OR(Recherche!$C$7="",ISNUMBER(SEARCH(Recherche!$C$7,H4349))),OR(Recherche!$C$8="",J4349=Recherche!$C$8),OR(Recherche!$C$9="",I4349=Recherche!$C$9),OR(Recherche!$C$10="",G4349&amp;""=Recherche!$C$10&amp;""),OR(Recherche!$C$11="",E4349=Recherche!$C$11),OR(Recherche!$C$12="",ISNUMBER(SEARCH(Recherche!$C$12,M4349&amp;" "&amp;F4349)))),1,0)</f>
        <v>8</v>
      </c>
    </row>
    <row r="4350" customFormat="false" ht="15" hidden="false" customHeight="false" outlineLevel="0" collapsed="false">
      <c r="A4350" s="19"/>
      <c r="B4350" s="19"/>
      <c r="C4350" s="19"/>
      <c r="D4350" s="19"/>
      <c r="E4350" s="22"/>
      <c r="F4350" s="19"/>
      <c r="G4350" s="26" t="str">
        <f aca="false">IF(D4350="","",IFERROR(VALUE(LEFT(D4350,FIND(" |",D4350&amp;" |")-1)),"?"))</f>
        <v/>
      </c>
      <c r="H4350" s="27" t="str">
        <f aca="false">IF(G4350="","",IF(G4350="?","⚠ pub inconnue",IFERROR(INDEX(Pubs!$B$2:$B$3001,MATCH(G4350,Pubs!$A$2:$A$3001,0))&amp;"","⚠ pub inconnue")))</f>
        <v/>
      </c>
      <c r="I4350" s="27" t="str">
        <f aca="false">IF(OR(G4350="",G4350="?"),"",IFERROR(INDEX(Pubs!$C$2:$C$3001,MATCH(G4350,Pubs!$A$2:$A$3001,0))&amp;"",""))</f>
        <v/>
      </c>
      <c r="J4350" s="27" t="str">
        <f aca="false">IF(OR(G4350="",G4350="?"),"",IFERROR(INDEX(Pubs!$G$2:$G$3001,MATCH(G4350,Pubs!$A$2:$A$3001,0))&amp;"",""))</f>
        <v/>
      </c>
      <c r="K4350" s="28" t="str">
        <f aca="false">IF(OR(G4350="",G4350="?"),"",IFERROR(INDEX(Pubs!$E$2:$E$3001,MATCH(G4350,Pubs!$A$2:$A$3001,0)),""))</f>
        <v/>
      </c>
      <c r="L4350" s="29" t="str">
        <f aca="false">IF(A4350="","",IFERROR(1/(1/INDEX(Numéros!$C$2:$C$3001,MATCH(A4350&amp;"|"&amp;B4350,Numéros!$F$2:$F$3001,0))),""))</f>
        <v/>
      </c>
      <c r="M4350" s="27" t="str">
        <f aca="false">IF(OR(G4350="",G4350="?"),"",IFERROR(INDEX(Pubs!$D$2:$D$3001,MATCH(G4350,Pubs!$A$2:$A$3001,0))&amp;"",""))</f>
        <v/>
      </c>
      <c r="N4350" s="27" t="n">
        <f aca="false">N(N4349)+IF(AND(A4350&lt;&gt;"",OR(Recherche!$C$4="",A4350=Recherche!$C$4),OR(Recherche!$C$5="",B4350&amp;""=Recherche!$C$5&amp;""),OR(Recherche!$C$6="",IFERROR(YEAR(L4350),0)=Recherche!$C$6),OR(Recherche!$C$7="",ISNUMBER(SEARCH(Recherche!$C$7,H4350))),OR(Recherche!$C$8="",J4350=Recherche!$C$8),OR(Recherche!$C$9="",I4350=Recherche!$C$9),OR(Recherche!$C$10="",G4350&amp;""=Recherche!$C$10&amp;""),OR(Recherche!$C$11="",E4350=Recherche!$C$11),OR(Recherche!$C$12="",ISNUMBER(SEARCH(Recherche!$C$12,M4350&amp;" "&amp;F4350)))),1,0)</f>
        <v>8</v>
      </c>
    </row>
    <row r="4351" customFormat="false" ht="15" hidden="false" customHeight="false" outlineLevel="0" collapsed="false">
      <c r="A4351" s="19"/>
      <c r="B4351" s="19"/>
      <c r="C4351" s="19"/>
      <c r="D4351" s="19"/>
      <c r="E4351" s="22"/>
      <c r="F4351" s="19"/>
      <c r="G4351" s="26" t="str">
        <f aca="false">IF(D4351="","",IFERROR(VALUE(LEFT(D4351,FIND(" |",D4351&amp;" |")-1)),"?"))</f>
        <v/>
      </c>
      <c r="H4351" s="27" t="str">
        <f aca="false">IF(G4351="","",IF(G4351="?","⚠ pub inconnue",IFERROR(INDEX(Pubs!$B$2:$B$3001,MATCH(G4351,Pubs!$A$2:$A$3001,0))&amp;"","⚠ pub inconnue")))</f>
        <v/>
      </c>
      <c r="I4351" s="27" t="str">
        <f aca="false">IF(OR(G4351="",G4351="?"),"",IFERROR(INDEX(Pubs!$C$2:$C$3001,MATCH(G4351,Pubs!$A$2:$A$3001,0))&amp;"",""))</f>
        <v/>
      </c>
      <c r="J4351" s="27" t="str">
        <f aca="false">IF(OR(G4351="",G4351="?"),"",IFERROR(INDEX(Pubs!$G$2:$G$3001,MATCH(G4351,Pubs!$A$2:$A$3001,0))&amp;"",""))</f>
        <v/>
      </c>
      <c r="K4351" s="28" t="str">
        <f aca="false">IF(OR(G4351="",G4351="?"),"",IFERROR(INDEX(Pubs!$E$2:$E$3001,MATCH(G4351,Pubs!$A$2:$A$3001,0)),""))</f>
        <v/>
      </c>
      <c r="L4351" s="29" t="str">
        <f aca="false">IF(A4351="","",IFERROR(1/(1/INDEX(Numéros!$C$2:$C$3001,MATCH(A4351&amp;"|"&amp;B4351,Numéros!$F$2:$F$3001,0))),""))</f>
        <v/>
      </c>
      <c r="M4351" s="27" t="str">
        <f aca="false">IF(OR(G4351="",G4351="?"),"",IFERROR(INDEX(Pubs!$D$2:$D$3001,MATCH(G4351,Pubs!$A$2:$A$3001,0))&amp;"",""))</f>
        <v/>
      </c>
      <c r="N4351" s="27" t="n">
        <f aca="false">N(N4350)+IF(AND(A4351&lt;&gt;"",OR(Recherche!$C$4="",A4351=Recherche!$C$4),OR(Recherche!$C$5="",B4351&amp;""=Recherche!$C$5&amp;""),OR(Recherche!$C$6="",IFERROR(YEAR(L4351),0)=Recherche!$C$6),OR(Recherche!$C$7="",ISNUMBER(SEARCH(Recherche!$C$7,H4351))),OR(Recherche!$C$8="",J4351=Recherche!$C$8),OR(Recherche!$C$9="",I4351=Recherche!$C$9),OR(Recherche!$C$10="",G4351&amp;""=Recherche!$C$10&amp;""),OR(Recherche!$C$11="",E4351=Recherche!$C$11),OR(Recherche!$C$12="",ISNUMBER(SEARCH(Recherche!$C$12,M4351&amp;" "&amp;F4351)))),1,0)</f>
        <v>8</v>
      </c>
    </row>
    <row r="4352" customFormat="false" ht="15" hidden="false" customHeight="false" outlineLevel="0" collapsed="false">
      <c r="A4352" s="19"/>
      <c r="B4352" s="19"/>
      <c r="C4352" s="19"/>
      <c r="D4352" s="19"/>
      <c r="E4352" s="22"/>
      <c r="F4352" s="19"/>
      <c r="G4352" s="26" t="str">
        <f aca="false">IF(D4352="","",IFERROR(VALUE(LEFT(D4352,FIND(" |",D4352&amp;" |")-1)),"?"))</f>
        <v/>
      </c>
      <c r="H4352" s="27" t="str">
        <f aca="false">IF(G4352="","",IF(G4352="?","⚠ pub inconnue",IFERROR(INDEX(Pubs!$B$2:$B$3001,MATCH(G4352,Pubs!$A$2:$A$3001,0))&amp;"","⚠ pub inconnue")))</f>
        <v/>
      </c>
      <c r="I4352" s="27" t="str">
        <f aca="false">IF(OR(G4352="",G4352="?"),"",IFERROR(INDEX(Pubs!$C$2:$C$3001,MATCH(G4352,Pubs!$A$2:$A$3001,0))&amp;"",""))</f>
        <v/>
      </c>
      <c r="J4352" s="27" t="str">
        <f aca="false">IF(OR(G4352="",G4352="?"),"",IFERROR(INDEX(Pubs!$G$2:$G$3001,MATCH(G4352,Pubs!$A$2:$A$3001,0))&amp;"",""))</f>
        <v/>
      </c>
      <c r="K4352" s="28" t="str">
        <f aca="false">IF(OR(G4352="",G4352="?"),"",IFERROR(INDEX(Pubs!$E$2:$E$3001,MATCH(G4352,Pubs!$A$2:$A$3001,0)),""))</f>
        <v/>
      </c>
      <c r="L4352" s="29" t="str">
        <f aca="false">IF(A4352="","",IFERROR(1/(1/INDEX(Numéros!$C$2:$C$3001,MATCH(A4352&amp;"|"&amp;B4352,Numéros!$F$2:$F$3001,0))),""))</f>
        <v/>
      </c>
      <c r="M4352" s="27" t="str">
        <f aca="false">IF(OR(G4352="",G4352="?"),"",IFERROR(INDEX(Pubs!$D$2:$D$3001,MATCH(G4352,Pubs!$A$2:$A$3001,0))&amp;"",""))</f>
        <v/>
      </c>
      <c r="N4352" s="27" t="n">
        <f aca="false">N(N4351)+IF(AND(A4352&lt;&gt;"",OR(Recherche!$C$4="",A4352=Recherche!$C$4),OR(Recherche!$C$5="",B4352&amp;""=Recherche!$C$5&amp;""),OR(Recherche!$C$6="",IFERROR(YEAR(L4352),0)=Recherche!$C$6),OR(Recherche!$C$7="",ISNUMBER(SEARCH(Recherche!$C$7,H4352))),OR(Recherche!$C$8="",J4352=Recherche!$C$8),OR(Recherche!$C$9="",I4352=Recherche!$C$9),OR(Recherche!$C$10="",G4352&amp;""=Recherche!$C$10&amp;""),OR(Recherche!$C$11="",E4352=Recherche!$C$11),OR(Recherche!$C$12="",ISNUMBER(SEARCH(Recherche!$C$12,M4352&amp;" "&amp;F4352)))),1,0)</f>
        <v>8</v>
      </c>
    </row>
    <row r="4353" customFormat="false" ht="15" hidden="false" customHeight="false" outlineLevel="0" collapsed="false">
      <c r="A4353" s="19"/>
      <c r="B4353" s="19"/>
      <c r="C4353" s="19"/>
      <c r="D4353" s="19"/>
      <c r="E4353" s="22"/>
      <c r="F4353" s="19"/>
      <c r="G4353" s="26" t="str">
        <f aca="false">IF(D4353="","",IFERROR(VALUE(LEFT(D4353,FIND(" |",D4353&amp;" |")-1)),"?"))</f>
        <v/>
      </c>
      <c r="H4353" s="27" t="str">
        <f aca="false">IF(G4353="","",IF(G4353="?","⚠ pub inconnue",IFERROR(INDEX(Pubs!$B$2:$B$3001,MATCH(G4353,Pubs!$A$2:$A$3001,0))&amp;"","⚠ pub inconnue")))</f>
        <v/>
      </c>
      <c r="I4353" s="27" t="str">
        <f aca="false">IF(OR(G4353="",G4353="?"),"",IFERROR(INDEX(Pubs!$C$2:$C$3001,MATCH(G4353,Pubs!$A$2:$A$3001,0))&amp;"",""))</f>
        <v/>
      </c>
      <c r="J4353" s="27" t="str">
        <f aca="false">IF(OR(G4353="",G4353="?"),"",IFERROR(INDEX(Pubs!$G$2:$G$3001,MATCH(G4353,Pubs!$A$2:$A$3001,0))&amp;"",""))</f>
        <v/>
      </c>
      <c r="K4353" s="28" t="str">
        <f aca="false">IF(OR(G4353="",G4353="?"),"",IFERROR(INDEX(Pubs!$E$2:$E$3001,MATCH(G4353,Pubs!$A$2:$A$3001,0)),""))</f>
        <v/>
      </c>
      <c r="L4353" s="29" t="str">
        <f aca="false">IF(A4353="","",IFERROR(1/(1/INDEX(Numéros!$C$2:$C$3001,MATCH(A4353&amp;"|"&amp;B4353,Numéros!$F$2:$F$3001,0))),""))</f>
        <v/>
      </c>
      <c r="M4353" s="27" t="str">
        <f aca="false">IF(OR(G4353="",G4353="?"),"",IFERROR(INDEX(Pubs!$D$2:$D$3001,MATCH(G4353,Pubs!$A$2:$A$3001,0))&amp;"",""))</f>
        <v/>
      </c>
      <c r="N4353" s="27" t="n">
        <f aca="false">N(N4352)+IF(AND(A4353&lt;&gt;"",OR(Recherche!$C$4="",A4353=Recherche!$C$4),OR(Recherche!$C$5="",B4353&amp;""=Recherche!$C$5&amp;""),OR(Recherche!$C$6="",IFERROR(YEAR(L4353),0)=Recherche!$C$6),OR(Recherche!$C$7="",ISNUMBER(SEARCH(Recherche!$C$7,H4353))),OR(Recherche!$C$8="",J4353=Recherche!$C$8),OR(Recherche!$C$9="",I4353=Recherche!$C$9),OR(Recherche!$C$10="",G4353&amp;""=Recherche!$C$10&amp;""),OR(Recherche!$C$11="",E4353=Recherche!$C$11),OR(Recherche!$C$12="",ISNUMBER(SEARCH(Recherche!$C$12,M4353&amp;" "&amp;F4353)))),1,0)</f>
        <v>8</v>
      </c>
    </row>
    <row r="4354" customFormat="false" ht="15" hidden="false" customHeight="false" outlineLevel="0" collapsed="false">
      <c r="A4354" s="19"/>
      <c r="B4354" s="19"/>
      <c r="C4354" s="19"/>
      <c r="D4354" s="19"/>
      <c r="E4354" s="22"/>
      <c r="F4354" s="19"/>
      <c r="G4354" s="26" t="str">
        <f aca="false">IF(D4354="","",IFERROR(VALUE(LEFT(D4354,FIND(" |",D4354&amp;" |")-1)),"?"))</f>
        <v/>
      </c>
      <c r="H4354" s="27" t="str">
        <f aca="false">IF(G4354="","",IF(G4354="?","⚠ pub inconnue",IFERROR(INDEX(Pubs!$B$2:$B$3001,MATCH(G4354,Pubs!$A$2:$A$3001,0))&amp;"","⚠ pub inconnue")))</f>
        <v/>
      </c>
      <c r="I4354" s="27" t="str">
        <f aca="false">IF(OR(G4354="",G4354="?"),"",IFERROR(INDEX(Pubs!$C$2:$C$3001,MATCH(G4354,Pubs!$A$2:$A$3001,0))&amp;"",""))</f>
        <v/>
      </c>
      <c r="J4354" s="27" t="str">
        <f aca="false">IF(OR(G4354="",G4354="?"),"",IFERROR(INDEX(Pubs!$G$2:$G$3001,MATCH(G4354,Pubs!$A$2:$A$3001,0))&amp;"",""))</f>
        <v/>
      </c>
      <c r="K4354" s="28" t="str">
        <f aca="false">IF(OR(G4354="",G4354="?"),"",IFERROR(INDEX(Pubs!$E$2:$E$3001,MATCH(G4354,Pubs!$A$2:$A$3001,0)),""))</f>
        <v/>
      </c>
      <c r="L4354" s="29" t="str">
        <f aca="false">IF(A4354="","",IFERROR(1/(1/INDEX(Numéros!$C$2:$C$3001,MATCH(A4354&amp;"|"&amp;B4354,Numéros!$F$2:$F$3001,0))),""))</f>
        <v/>
      </c>
      <c r="M4354" s="27" t="str">
        <f aca="false">IF(OR(G4354="",G4354="?"),"",IFERROR(INDEX(Pubs!$D$2:$D$3001,MATCH(G4354,Pubs!$A$2:$A$3001,0))&amp;"",""))</f>
        <v/>
      </c>
      <c r="N4354" s="27" t="n">
        <f aca="false">N(N4353)+IF(AND(A4354&lt;&gt;"",OR(Recherche!$C$4="",A4354=Recherche!$C$4),OR(Recherche!$C$5="",B4354&amp;""=Recherche!$C$5&amp;""),OR(Recherche!$C$6="",IFERROR(YEAR(L4354),0)=Recherche!$C$6),OR(Recherche!$C$7="",ISNUMBER(SEARCH(Recherche!$C$7,H4354))),OR(Recherche!$C$8="",J4354=Recherche!$C$8),OR(Recherche!$C$9="",I4354=Recherche!$C$9),OR(Recherche!$C$10="",G4354&amp;""=Recherche!$C$10&amp;""),OR(Recherche!$C$11="",E4354=Recherche!$C$11),OR(Recherche!$C$12="",ISNUMBER(SEARCH(Recherche!$C$12,M4354&amp;" "&amp;F4354)))),1,0)</f>
        <v>8</v>
      </c>
    </row>
    <row r="4355" customFormat="false" ht="15" hidden="false" customHeight="false" outlineLevel="0" collapsed="false">
      <c r="A4355" s="19"/>
      <c r="B4355" s="19"/>
      <c r="C4355" s="19"/>
      <c r="D4355" s="19"/>
      <c r="E4355" s="22"/>
      <c r="F4355" s="19"/>
      <c r="G4355" s="26" t="str">
        <f aca="false">IF(D4355="","",IFERROR(VALUE(LEFT(D4355,FIND(" |",D4355&amp;" |")-1)),"?"))</f>
        <v/>
      </c>
      <c r="H4355" s="27" t="str">
        <f aca="false">IF(G4355="","",IF(G4355="?","⚠ pub inconnue",IFERROR(INDEX(Pubs!$B$2:$B$3001,MATCH(G4355,Pubs!$A$2:$A$3001,0))&amp;"","⚠ pub inconnue")))</f>
        <v/>
      </c>
      <c r="I4355" s="27" t="str">
        <f aca="false">IF(OR(G4355="",G4355="?"),"",IFERROR(INDEX(Pubs!$C$2:$C$3001,MATCH(G4355,Pubs!$A$2:$A$3001,0))&amp;"",""))</f>
        <v/>
      </c>
      <c r="J4355" s="27" t="str">
        <f aca="false">IF(OR(G4355="",G4355="?"),"",IFERROR(INDEX(Pubs!$G$2:$G$3001,MATCH(G4355,Pubs!$A$2:$A$3001,0))&amp;"",""))</f>
        <v/>
      </c>
      <c r="K4355" s="28" t="str">
        <f aca="false">IF(OR(G4355="",G4355="?"),"",IFERROR(INDEX(Pubs!$E$2:$E$3001,MATCH(G4355,Pubs!$A$2:$A$3001,0)),""))</f>
        <v/>
      </c>
      <c r="L4355" s="29" t="str">
        <f aca="false">IF(A4355="","",IFERROR(1/(1/INDEX(Numéros!$C$2:$C$3001,MATCH(A4355&amp;"|"&amp;B4355,Numéros!$F$2:$F$3001,0))),""))</f>
        <v/>
      </c>
      <c r="M4355" s="27" t="str">
        <f aca="false">IF(OR(G4355="",G4355="?"),"",IFERROR(INDEX(Pubs!$D$2:$D$3001,MATCH(G4355,Pubs!$A$2:$A$3001,0))&amp;"",""))</f>
        <v/>
      </c>
      <c r="N4355" s="27" t="n">
        <f aca="false">N(N4354)+IF(AND(A4355&lt;&gt;"",OR(Recherche!$C$4="",A4355=Recherche!$C$4),OR(Recherche!$C$5="",B4355&amp;""=Recherche!$C$5&amp;""),OR(Recherche!$C$6="",IFERROR(YEAR(L4355),0)=Recherche!$C$6),OR(Recherche!$C$7="",ISNUMBER(SEARCH(Recherche!$C$7,H4355))),OR(Recherche!$C$8="",J4355=Recherche!$C$8),OR(Recherche!$C$9="",I4355=Recherche!$C$9),OR(Recherche!$C$10="",G4355&amp;""=Recherche!$C$10&amp;""),OR(Recherche!$C$11="",E4355=Recherche!$C$11),OR(Recherche!$C$12="",ISNUMBER(SEARCH(Recherche!$C$12,M4355&amp;" "&amp;F4355)))),1,0)</f>
        <v>8</v>
      </c>
    </row>
    <row r="4356" customFormat="false" ht="15" hidden="false" customHeight="false" outlineLevel="0" collapsed="false">
      <c r="A4356" s="19"/>
      <c r="B4356" s="19"/>
      <c r="C4356" s="19"/>
      <c r="D4356" s="19"/>
      <c r="E4356" s="22"/>
      <c r="F4356" s="19"/>
      <c r="G4356" s="26" t="str">
        <f aca="false">IF(D4356="","",IFERROR(VALUE(LEFT(D4356,FIND(" |",D4356&amp;" |")-1)),"?"))</f>
        <v/>
      </c>
      <c r="H4356" s="27" t="str">
        <f aca="false">IF(G4356="","",IF(G4356="?","⚠ pub inconnue",IFERROR(INDEX(Pubs!$B$2:$B$3001,MATCH(G4356,Pubs!$A$2:$A$3001,0))&amp;"","⚠ pub inconnue")))</f>
        <v/>
      </c>
      <c r="I4356" s="27" t="str">
        <f aca="false">IF(OR(G4356="",G4356="?"),"",IFERROR(INDEX(Pubs!$C$2:$C$3001,MATCH(G4356,Pubs!$A$2:$A$3001,0))&amp;"",""))</f>
        <v/>
      </c>
      <c r="J4356" s="27" t="str">
        <f aca="false">IF(OR(G4356="",G4356="?"),"",IFERROR(INDEX(Pubs!$G$2:$G$3001,MATCH(G4356,Pubs!$A$2:$A$3001,0))&amp;"",""))</f>
        <v/>
      </c>
      <c r="K4356" s="28" t="str">
        <f aca="false">IF(OR(G4356="",G4356="?"),"",IFERROR(INDEX(Pubs!$E$2:$E$3001,MATCH(G4356,Pubs!$A$2:$A$3001,0)),""))</f>
        <v/>
      </c>
      <c r="L4356" s="29" t="str">
        <f aca="false">IF(A4356="","",IFERROR(1/(1/INDEX(Numéros!$C$2:$C$3001,MATCH(A4356&amp;"|"&amp;B4356,Numéros!$F$2:$F$3001,0))),""))</f>
        <v/>
      </c>
      <c r="M4356" s="27" t="str">
        <f aca="false">IF(OR(G4356="",G4356="?"),"",IFERROR(INDEX(Pubs!$D$2:$D$3001,MATCH(G4356,Pubs!$A$2:$A$3001,0))&amp;"",""))</f>
        <v/>
      </c>
      <c r="N4356" s="27" t="n">
        <f aca="false">N(N4355)+IF(AND(A4356&lt;&gt;"",OR(Recherche!$C$4="",A4356=Recherche!$C$4),OR(Recherche!$C$5="",B4356&amp;""=Recherche!$C$5&amp;""),OR(Recherche!$C$6="",IFERROR(YEAR(L4356),0)=Recherche!$C$6),OR(Recherche!$C$7="",ISNUMBER(SEARCH(Recherche!$C$7,H4356))),OR(Recherche!$C$8="",J4356=Recherche!$C$8),OR(Recherche!$C$9="",I4356=Recherche!$C$9),OR(Recherche!$C$10="",G4356&amp;""=Recherche!$C$10&amp;""),OR(Recherche!$C$11="",E4356=Recherche!$C$11),OR(Recherche!$C$12="",ISNUMBER(SEARCH(Recherche!$C$12,M4356&amp;" "&amp;F4356)))),1,0)</f>
        <v>8</v>
      </c>
    </row>
    <row r="4357" customFormat="false" ht="15" hidden="false" customHeight="false" outlineLevel="0" collapsed="false">
      <c r="A4357" s="19"/>
      <c r="B4357" s="19"/>
      <c r="C4357" s="19"/>
      <c r="D4357" s="19"/>
      <c r="E4357" s="22"/>
      <c r="F4357" s="19"/>
      <c r="G4357" s="26" t="str">
        <f aca="false">IF(D4357="","",IFERROR(VALUE(LEFT(D4357,FIND(" |",D4357&amp;" |")-1)),"?"))</f>
        <v/>
      </c>
      <c r="H4357" s="27" t="str">
        <f aca="false">IF(G4357="","",IF(G4357="?","⚠ pub inconnue",IFERROR(INDEX(Pubs!$B$2:$B$3001,MATCH(G4357,Pubs!$A$2:$A$3001,0))&amp;"","⚠ pub inconnue")))</f>
        <v/>
      </c>
      <c r="I4357" s="27" t="str">
        <f aca="false">IF(OR(G4357="",G4357="?"),"",IFERROR(INDEX(Pubs!$C$2:$C$3001,MATCH(G4357,Pubs!$A$2:$A$3001,0))&amp;"",""))</f>
        <v/>
      </c>
      <c r="J4357" s="27" t="str">
        <f aca="false">IF(OR(G4357="",G4357="?"),"",IFERROR(INDEX(Pubs!$G$2:$G$3001,MATCH(G4357,Pubs!$A$2:$A$3001,0))&amp;"",""))</f>
        <v/>
      </c>
      <c r="K4357" s="28" t="str">
        <f aca="false">IF(OR(G4357="",G4357="?"),"",IFERROR(INDEX(Pubs!$E$2:$E$3001,MATCH(G4357,Pubs!$A$2:$A$3001,0)),""))</f>
        <v/>
      </c>
      <c r="L4357" s="29" t="str">
        <f aca="false">IF(A4357="","",IFERROR(1/(1/INDEX(Numéros!$C$2:$C$3001,MATCH(A4357&amp;"|"&amp;B4357,Numéros!$F$2:$F$3001,0))),""))</f>
        <v/>
      </c>
      <c r="M4357" s="27" t="str">
        <f aca="false">IF(OR(G4357="",G4357="?"),"",IFERROR(INDEX(Pubs!$D$2:$D$3001,MATCH(G4357,Pubs!$A$2:$A$3001,0))&amp;"",""))</f>
        <v/>
      </c>
      <c r="N4357" s="27" t="n">
        <f aca="false">N(N4356)+IF(AND(A4357&lt;&gt;"",OR(Recherche!$C$4="",A4357=Recherche!$C$4),OR(Recherche!$C$5="",B4357&amp;""=Recherche!$C$5&amp;""),OR(Recherche!$C$6="",IFERROR(YEAR(L4357),0)=Recherche!$C$6),OR(Recherche!$C$7="",ISNUMBER(SEARCH(Recherche!$C$7,H4357))),OR(Recherche!$C$8="",J4357=Recherche!$C$8),OR(Recherche!$C$9="",I4357=Recherche!$C$9),OR(Recherche!$C$10="",G4357&amp;""=Recherche!$C$10&amp;""),OR(Recherche!$C$11="",E4357=Recherche!$C$11),OR(Recherche!$C$12="",ISNUMBER(SEARCH(Recherche!$C$12,M4357&amp;" "&amp;F4357)))),1,0)</f>
        <v>8</v>
      </c>
    </row>
    <row r="4358" customFormat="false" ht="15" hidden="false" customHeight="false" outlineLevel="0" collapsed="false">
      <c r="A4358" s="19"/>
      <c r="B4358" s="19"/>
      <c r="C4358" s="19"/>
      <c r="D4358" s="19"/>
      <c r="E4358" s="22"/>
      <c r="F4358" s="19"/>
      <c r="G4358" s="26" t="str">
        <f aca="false">IF(D4358="","",IFERROR(VALUE(LEFT(D4358,FIND(" |",D4358&amp;" |")-1)),"?"))</f>
        <v/>
      </c>
      <c r="H4358" s="27" t="str">
        <f aca="false">IF(G4358="","",IF(G4358="?","⚠ pub inconnue",IFERROR(INDEX(Pubs!$B$2:$B$3001,MATCH(G4358,Pubs!$A$2:$A$3001,0))&amp;"","⚠ pub inconnue")))</f>
        <v/>
      </c>
      <c r="I4358" s="27" t="str">
        <f aca="false">IF(OR(G4358="",G4358="?"),"",IFERROR(INDEX(Pubs!$C$2:$C$3001,MATCH(G4358,Pubs!$A$2:$A$3001,0))&amp;"",""))</f>
        <v/>
      </c>
      <c r="J4358" s="27" t="str">
        <f aca="false">IF(OR(G4358="",G4358="?"),"",IFERROR(INDEX(Pubs!$G$2:$G$3001,MATCH(G4358,Pubs!$A$2:$A$3001,0))&amp;"",""))</f>
        <v/>
      </c>
      <c r="K4358" s="28" t="str">
        <f aca="false">IF(OR(G4358="",G4358="?"),"",IFERROR(INDEX(Pubs!$E$2:$E$3001,MATCH(G4358,Pubs!$A$2:$A$3001,0)),""))</f>
        <v/>
      </c>
      <c r="L4358" s="29" t="str">
        <f aca="false">IF(A4358="","",IFERROR(1/(1/INDEX(Numéros!$C$2:$C$3001,MATCH(A4358&amp;"|"&amp;B4358,Numéros!$F$2:$F$3001,0))),""))</f>
        <v/>
      </c>
      <c r="M4358" s="27" t="str">
        <f aca="false">IF(OR(G4358="",G4358="?"),"",IFERROR(INDEX(Pubs!$D$2:$D$3001,MATCH(G4358,Pubs!$A$2:$A$3001,0))&amp;"",""))</f>
        <v/>
      </c>
      <c r="N4358" s="27" t="n">
        <f aca="false">N(N4357)+IF(AND(A4358&lt;&gt;"",OR(Recherche!$C$4="",A4358=Recherche!$C$4),OR(Recherche!$C$5="",B4358&amp;""=Recherche!$C$5&amp;""),OR(Recherche!$C$6="",IFERROR(YEAR(L4358),0)=Recherche!$C$6),OR(Recherche!$C$7="",ISNUMBER(SEARCH(Recherche!$C$7,H4358))),OR(Recherche!$C$8="",J4358=Recherche!$C$8),OR(Recherche!$C$9="",I4358=Recherche!$C$9),OR(Recherche!$C$10="",G4358&amp;""=Recherche!$C$10&amp;""),OR(Recherche!$C$11="",E4358=Recherche!$C$11),OR(Recherche!$C$12="",ISNUMBER(SEARCH(Recherche!$C$12,M4358&amp;" "&amp;F4358)))),1,0)</f>
        <v>8</v>
      </c>
    </row>
    <row r="4359" customFormat="false" ht="15" hidden="false" customHeight="false" outlineLevel="0" collapsed="false">
      <c r="A4359" s="19"/>
      <c r="B4359" s="19"/>
      <c r="C4359" s="19"/>
      <c r="D4359" s="19"/>
      <c r="E4359" s="22"/>
      <c r="F4359" s="19"/>
      <c r="G4359" s="26" t="str">
        <f aca="false">IF(D4359="","",IFERROR(VALUE(LEFT(D4359,FIND(" |",D4359&amp;" |")-1)),"?"))</f>
        <v/>
      </c>
      <c r="H4359" s="27" t="str">
        <f aca="false">IF(G4359="","",IF(G4359="?","⚠ pub inconnue",IFERROR(INDEX(Pubs!$B$2:$B$3001,MATCH(G4359,Pubs!$A$2:$A$3001,0))&amp;"","⚠ pub inconnue")))</f>
        <v/>
      </c>
      <c r="I4359" s="27" t="str">
        <f aca="false">IF(OR(G4359="",G4359="?"),"",IFERROR(INDEX(Pubs!$C$2:$C$3001,MATCH(G4359,Pubs!$A$2:$A$3001,0))&amp;"",""))</f>
        <v/>
      </c>
      <c r="J4359" s="27" t="str">
        <f aca="false">IF(OR(G4359="",G4359="?"),"",IFERROR(INDEX(Pubs!$G$2:$G$3001,MATCH(G4359,Pubs!$A$2:$A$3001,0))&amp;"",""))</f>
        <v/>
      </c>
      <c r="K4359" s="28" t="str">
        <f aca="false">IF(OR(G4359="",G4359="?"),"",IFERROR(INDEX(Pubs!$E$2:$E$3001,MATCH(G4359,Pubs!$A$2:$A$3001,0)),""))</f>
        <v/>
      </c>
      <c r="L4359" s="29" t="str">
        <f aca="false">IF(A4359="","",IFERROR(1/(1/INDEX(Numéros!$C$2:$C$3001,MATCH(A4359&amp;"|"&amp;B4359,Numéros!$F$2:$F$3001,0))),""))</f>
        <v/>
      </c>
      <c r="M4359" s="27" t="str">
        <f aca="false">IF(OR(G4359="",G4359="?"),"",IFERROR(INDEX(Pubs!$D$2:$D$3001,MATCH(G4359,Pubs!$A$2:$A$3001,0))&amp;"",""))</f>
        <v/>
      </c>
      <c r="N4359" s="27" t="n">
        <f aca="false">N(N4358)+IF(AND(A4359&lt;&gt;"",OR(Recherche!$C$4="",A4359=Recherche!$C$4),OR(Recherche!$C$5="",B4359&amp;""=Recherche!$C$5&amp;""),OR(Recherche!$C$6="",IFERROR(YEAR(L4359),0)=Recherche!$C$6),OR(Recherche!$C$7="",ISNUMBER(SEARCH(Recherche!$C$7,H4359))),OR(Recherche!$C$8="",J4359=Recherche!$C$8),OR(Recherche!$C$9="",I4359=Recherche!$C$9),OR(Recherche!$C$10="",G4359&amp;""=Recherche!$C$10&amp;""),OR(Recherche!$C$11="",E4359=Recherche!$C$11),OR(Recherche!$C$12="",ISNUMBER(SEARCH(Recherche!$C$12,M4359&amp;" "&amp;F4359)))),1,0)</f>
        <v>8</v>
      </c>
    </row>
    <row r="4360" customFormat="false" ht="15" hidden="false" customHeight="false" outlineLevel="0" collapsed="false">
      <c r="A4360" s="19"/>
      <c r="B4360" s="19"/>
      <c r="C4360" s="19"/>
      <c r="D4360" s="19"/>
      <c r="E4360" s="22"/>
      <c r="F4360" s="19"/>
      <c r="G4360" s="26" t="str">
        <f aca="false">IF(D4360="","",IFERROR(VALUE(LEFT(D4360,FIND(" |",D4360&amp;" |")-1)),"?"))</f>
        <v/>
      </c>
      <c r="H4360" s="27" t="str">
        <f aca="false">IF(G4360="","",IF(G4360="?","⚠ pub inconnue",IFERROR(INDEX(Pubs!$B$2:$B$3001,MATCH(G4360,Pubs!$A$2:$A$3001,0))&amp;"","⚠ pub inconnue")))</f>
        <v/>
      </c>
      <c r="I4360" s="27" t="str">
        <f aca="false">IF(OR(G4360="",G4360="?"),"",IFERROR(INDEX(Pubs!$C$2:$C$3001,MATCH(G4360,Pubs!$A$2:$A$3001,0))&amp;"",""))</f>
        <v/>
      </c>
      <c r="J4360" s="27" t="str">
        <f aca="false">IF(OR(G4360="",G4360="?"),"",IFERROR(INDEX(Pubs!$G$2:$G$3001,MATCH(G4360,Pubs!$A$2:$A$3001,0))&amp;"",""))</f>
        <v/>
      </c>
      <c r="K4360" s="28" t="str">
        <f aca="false">IF(OR(G4360="",G4360="?"),"",IFERROR(INDEX(Pubs!$E$2:$E$3001,MATCH(G4360,Pubs!$A$2:$A$3001,0)),""))</f>
        <v/>
      </c>
      <c r="L4360" s="29" t="str">
        <f aca="false">IF(A4360="","",IFERROR(1/(1/INDEX(Numéros!$C$2:$C$3001,MATCH(A4360&amp;"|"&amp;B4360,Numéros!$F$2:$F$3001,0))),""))</f>
        <v/>
      </c>
      <c r="M4360" s="27" t="str">
        <f aca="false">IF(OR(G4360="",G4360="?"),"",IFERROR(INDEX(Pubs!$D$2:$D$3001,MATCH(G4360,Pubs!$A$2:$A$3001,0))&amp;"",""))</f>
        <v/>
      </c>
      <c r="N4360" s="27" t="n">
        <f aca="false">N(N4359)+IF(AND(A4360&lt;&gt;"",OR(Recherche!$C$4="",A4360=Recherche!$C$4),OR(Recherche!$C$5="",B4360&amp;""=Recherche!$C$5&amp;""),OR(Recherche!$C$6="",IFERROR(YEAR(L4360),0)=Recherche!$C$6),OR(Recherche!$C$7="",ISNUMBER(SEARCH(Recherche!$C$7,H4360))),OR(Recherche!$C$8="",J4360=Recherche!$C$8),OR(Recherche!$C$9="",I4360=Recherche!$C$9),OR(Recherche!$C$10="",G4360&amp;""=Recherche!$C$10&amp;""),OR(Recherche!$C$11="",E4360=Recherche!$C$11),OR(Recherche!$C$12="",ISNUMBER(SEARCH(Recherche!$C$12,M4360&amp;" "&amp;F4360)))),1,0)</f>
        <v>8</v>
      </c>
    </row>
    <row r="4361" customFormat="false" ht="15" hidden="false" customHeight="false" outlineLevel="0" collapsed="false">
      <c r="A4361" s="19"/>
      <c r="B4361" s="19"/>
      <c r="C4361" s="19"/>
      <c r="D4361" s="19"/>
      <c r="E4361" s="22"/>
      <c r="F4361" s="19"/>
      <c r="G4361" s="26" t="str">
        <f aca="false">IF(D4361="","",IFERROR(VALUE(LEFT(D4361,FIND(" |",D4361&amp;" |")-1)),"?"))</f>
        <v/>
      </c>
      <c r="H4361" s="27" t="str">
        <f aca="false">IF(G4361="","",IF(G4361="?","⚠ pub inconnue",IFERROR(INDEX(Pubs!$B$2:$B$3001,MATCH(G4361,Pubs!$A$2:$A$3001,0))&amp;"","⚠ pub inconnue")))</f>
        <v/>
      </c>
      <c r="I4361" s="27" t="str">
        <f aca="false">IF(OR(G4361="",G4361="?"),"",IFERROR(INDEX(Pubs!$C$2:$C$3001,MATCH(G4361,Pubs!$A$2:$A$3001,0))&amp;"",""))</f>
        <v/>
      </c>
      <c r="J4361" s="27" t="str">
        <f aca="false">IF(OR(G4361="",G4361="?"),"",IFERROR(INDEX(Pubs!$G$2:$G$3001,MATCH(G4361,Pubs!$A$2:$A$3001,0))&amp;"",""))</f>
        <v/>
      </c>
      <c r="K4361" s="28" t="str">
        <f aca="false">IF(OR(G4361="",G4361="?"),"",IFERROR(INDEX(Pubs!$E$2:$E$3001,MATCH(G4361,Pubs!$A$2:$A$3001,0)),""))</f>
        <v/>
      </c>
      <c r="L4361" s="29" t="str">
        <f aca="false">IF(A4361="","",IFERROR(1/(1/INDEX(Numéros!$C$2:$C$3001,MATCH(A4361&amp;"|"&amp;B4361,Numéros!$F$2:$F$3001,0))),""))</f>
        <v/>
      </c>
      <c r="M4361" s="27" t="str">
        <f aca="false">IF(OR(G4361="",G4361="?"),"",IFERROR(INDEX(Pubs!$D$2:$D$3001,MATCH(G4361,Pubs!$A$2:$A$3001,0))&amp;"",""))</f>
        <v/>
      </c>
      <c r="N4361" s="27" t="n">
        <f aca="false">N(N4360)+IF(AND(A4361&lt;&gt;"",OR(Recherche!$C$4="",A4361=Recherche!$C$4),OR(Recherche!$C$5="",B4361&amp;""=Recherche!$C$5&amp;""),OR(Recherche!$C$6="",IFERROR(YEAR(L4361),0)=Recherche!$C$6),OR(Recherche!$C$7="",ISNUMBER(SEARCH(Recherche!$C$7,H4361))),OR(Recherche!$C$8="",J4361=Recherche!$C$8),OR(Recherche!$C$9="",I4361=Recherche!$C$9),OR(Recherche!$C$10="",G4361&amp;""=Recherche!$C$10&amp;""),OR(Recherche!$C$11="",E4361=Recherche!$C$11),OR(Recherche!$C$12="",ISNUMBER(SEARCH(Recherche!$C$12,M4361&amp;" "&amp;F4361)))),1,0)</f>
        <v>8</v>
      </c>
    </row>
    <row r="4362" customFormat="false" ht="15" hidden="false" customHeight="false" outlineLevel="0" collapsed="false">
      <c r="A4362" s="19"/>
      <c r="B4362" s="19"/>
      <c r="C4362" s="19"/>
      <c r="D4362" s="19"/>
      <c r="E4362" s="22"/>
      <c r="F4362" s="19"/>
      <c r="G4362" s="26" t="str">
        <f aca="false">IF(D4362="","",IFERROR(VALUE(LEFT(D4362,FIND(" |",D4362&amp;" |")-1)),"?"))</f>
        <v/>
      </c>
      <c r="H4362" s="27" t="str">
        <f aca="false">IF(G4362="","",IF(G4362="?","⚠ pub inconnue",IFERROR(INDEX(Pubs!$B$2:$B$3001,MATCH(G4362,Pubs!$A$2:$A$3001,0))&amp;"","⚠ pub inconnue")))</f>
        <v/>
      </c>
      <c r="I4362" s="27" t="str">
        <f aca="false">IF(OR(G4362="",G4362="?"),"",IFERROR(INDEX(Pubs!$C$2:$C$3001,MATCH(G4362,Pubs!$A$2:$A$3001,0))&amp;"",""))</f>
        <v/>
      </c>
      <c r="J4362" s="27" t="str">
        <f aca="false">IF(OR(G4362="",G4362="?"),"",IFERROR(INDEX(Pubs!$G$2:$G$3001,MATCH(G4362,Pubs!$A$2:$A$3001,0))&amp;"",""))</f>
        <v/>
      </c>
      <c r="K4362" s="28" t="str">
        <f aca="false">IF(OR(G4362="",G4362="?"),"",IFERROR(INDEX(Pubs!$E$2:$E$3001,MATCH(G4362,Pubs!$A$2:$A$3001,0)),""))</f>
        <v/>
      </c>
      <c r="L4362" s="29" t="str">
        <f aca="false">IF(A4362="","",IFERROR(1/(1/INDEX(Numéros!$C$2:$C$3001,MATCH(A4362&amp;"|"&amp;B4362,Numéros!$F$2:$F$3001,0))),""))</f>
        <v/>
      </c>
      <c r="M4362" s="27" t="str">
        <f aca="false">IF(OR(G4362="",G4362="?"),"",IFERROR(INDEX(Pubs!$D$2:$D$3001,MATCH(G4362,Pubs!$A$2:$A$3001,0))&amp;"",""))</f>
        <v/>
      </c>
      <c r="N4362" s="27" t="n">
        <f aca="false">N(N4361)+IF(AND(A4362&lt;&gt;"",OR(Recherche!$C$4="",A4362=Recherche!$C$4),OR(Recherche!$C$5="",B4362&amp;""=Recherche!$C$5&amp;""),OR(Recherche!$C$6="",IFERROR(YEAR(L4362),0)=Recherche!$C$6),OR(Recherche!$C$7="",ISNUMBER(SEARCH(Recherche!$C$7,H4362))),OR(Recherche!$C$8="",J4362=Recherche!$C$8),OR(Recherche!$C$9="",I4362=Recherche!$C$9),OR(Recherche!$C$10="",G4362&amp;""=Recherche!$C$10&amp;""),OR(Recherche!$C$11="",E4362=Recherche!$C$11),OR(Recherche!$C$12="",ISNUMBER(SEARCH(Recherche!$C$12,M4362&amp;" "&amp;F4362)))),1,0)</f>
        <v>8</v>
      </c>
    </row>
    <row r="4363" customFormat="false" ht="15" hidden="false" customHeight="false" outlineLevel="0" collapsed="false">
      <c r="A4363" s="19"/>
      <c r="B4363" s="19"/>
      <c r="C4363" s="19"/>
      <c r="D4363" s="19"/>
      <c r="E4363" s="22"/>
      <c r="F4363" s="19"/>
      <c r="G4363" s="26" t="str">
        <f aca="false">IF(D4363="","",IFERROR(VALUE(LEFT(D4363,FIND(" |",D4363&amp;" |")-1)),"?"))</f>
        <v/>
      </c>
      <c r="H4363" s="27" t="str">
        <f aca="false">IF(G4363="","",IF(G4363="?","⚠ pub inconnue",IFERROR(INDEX(Pubs!$B$2:$B$3001,MATCH(G4363,Pubs!$A$2:$A$3001,0))&amp;"","⚠ pub inconnue")))</f>
        <v/>
      </c>
      <c r="I4363" s="27" t="str">
        <f aca="false">IF(OR(G4363="",G4363="?"),"",IFERROR(INDEX(Pubs!$C$2:$C$3001,MATCH(G4363,Pubs!$A$2:$A$3001,0))&amp;"",""))</f>
        <v/>
      </c>
      <c r="J4363" s="27" t="str">
        <f aca="false">IF(OR(G4363="",G4363="?"),"",IFERROR(INDEX(Pubs!$G$2:$G$3001,MATCH(G4363,Pubs!$A$2:$A$3001,0))&amp;"",""))</f>
        <v/>
      </c>
      <c r="K4363" s="28" t="str">
        <f aca="false">IF(OR(G4363="",G4363="?"),"",IFERROR(INDEX(Pubs!$E$2:$E$3001,MATCH(G4363,Pubs!$A$2:$A$3001,0)),""))</f>
        <v/>
      </c>
      <c r="L4363" s="29" t="str">
        <f aca="false">IF(A4363="","",IFERROR(1/(1/INDEX(Numéros!$C$2:$C$3001,MATCH(A4363&amp;"|"&amp;B4363,Numéros!$F$2:$F$3001,0))),""))</f>
        <v/>
      </c>
      <c r="M4363" s="27" t="str">
        <f aca="false">IF(OR(G4363="",G4363="?"),"",IFERROR(INDEX(Pubs!$D$2:$D$3001,MATCH(G4363,Pubs!$A$2:$A$3001,0))&amp;"",""))</f>
        <v/>
      </c>
      <c r="N4363" s="27" t="n">
        <f aca="false">N(N4362)+IF(AND(A4363&lt;&gt;"",OR(Recherche!$C$4="",A4363=Recherche!$C$4),OR(Recherche!$C$5="",B4363&amp;""=Recherche!$C$5&amp;""),OR(Recherche!$C$6="",IFERROR(YEAR(L4363),0)=Recherche!$C$6),OR(Recherche!$C$7="",ISNUMBER(SEARCH(Recherche!$C$7,H4363))),OR(Recherche!$C$8="",J4363=Recherche!$C$8),OR(Recherche!$C$9="",I4363=Recherche!$C$9),OR(Recherche!$C$10="",G4363&amp;""=Recherche!$C$10&amp;""),OR(Recherche!$C$11="",E4363=Recherche!$C$11),OR(Recherche!$C$12="",ISNUMBER(SEARCH(Recherche!$C$12,M4363&amp;" "&amp;F4363)))),1,0)</f>
        <v>8</v>
      </c>
    </row>
    <row r="4364" customFormat="false" ht="15" hidden="false" customHeight="false" outlineLevel="0" collapsed="false">
      <c r="A4364" s="19"/>
      <c r="B4364" s="19"/>
      <c r="C4364" s="19"/>
      <c r="D4364" s="19"/>
      <c r="E4364" s="22"/>
      <c r="F4364" s="19"/>
      <c r="G4364" s="26" t="str">
        <f aca="false">IF(D4364="","",IFERROR(VALUE(LEFT(D4364,FIND(" |",D4364&amp;" |")-1)),"?"))</f>
        <v/>
      </c>
      <c r="H4364" s="27" t="str">
        <f aca="false">IF(G4364="","",IF(G4364="?","⚠ pub inconnue",IFERROR(INDEX(Pubs!$B$2:$B$3001,MATCH(G4364,Pubs!$A$2:$A$3001,0))&amp;"","⚠ pub inconnue")))</f>
        <v/>
      </c>
      <c r="I4364" s="27" t="str">
        <f aca="false">IF(OR(G4364="",G4364="?"),"",IFERROR(INDEX(Pubs!$C$2:$C$3001,MATCH(G4364,Pubs!$A$2:$A$3001,0))&amp;"",""))</f>
        <v/>
      </c>
      <c r="J4364" s="27" t="str">
        <f aca="false">IF(OR(G4364="",G4364="?"),"",IFERROR(INDEX(Pubs!$G$2:$G$3001,MATCH(G4364,Pubs!$A$2:$A$3001,0))&amp;"",""))</f>
        <v/>
      </c>
      <c r="K4364" s="28" t="str">
        <f aca="false">IF(OR(G4364="",G4364="?"),"",IFERROR(INDEX(Pubs!$E$2:$E$3001,MATCH(G4364,Pubs!$A$2:$A$3001,0)),""))</f>
        <v/>
      </c>
      <c r="L4364" s="29" t="str">
        <f aca="false">IF(A4364="","",IFERROR(1/(1/INDEX(Numéros!$C$2:$C$3001,MATCH(A4364&amp;"|"&amp;B4364,Numéros!$F$2:$F$3001,0))),""))</f>
        <v/>
      </c>
      <c r="M4364" s="27" t="str">
        <f aca="false">IF(OR(G4364="",G4364="?"),"",IFERROR(INDEX(Pubs!$D$2:$D$3001,MATCH(G4364,Pubs!$A$2:$A$3001,0))&amp;"",""))</f>
        <v/>
      </c>
      <c r="N4364" s="27" t="n">
        <f aca="false">N(N4363)+IF(AND(A4364&lt;&gt;"",OR(Recherche!$C$4="",A4364=Recherche!$C$4),OR(Recherche!$C$5="",B4364&amp;""=Recherche!$C$5&amp;""),OR(Recherche!$C$6="",IFERROR(YEAR(L4364),0)=Recherche!$C$6),OR(Recherche!$C$7="",ISNUMBER(SEARCH(Recherche!$C$7,H4364))),OR(Recherche!$C$8="",J4364=Recherche!$C$8),OR(Recherche!$C$9="",I4364=Recherche!$C$9),OR(Recherche!$C$10="",G4364&amp;""=Recherche!$C$10&amp;""),OR(Recherche!$C$11="",E4364=Recherche!$C$11),OR(Recherche!$C$12="",ISNUMBER(SEARCH(Recherche!$C$12,M4364&amp;" "&amp;F4364)))),1,0)</f>
        <v>8</v>
      </c>
    </row>
    <row r="4365" customFormat="false" ht="15" hidden="false" customHeight="false" outlineLevel="0" collapsed="false">
      <c r="A4365" s="19"/>
      <c r="B4365" s="19"/>
      <c r="C4365" s="19"/>
      <c r="D4365" s="19"/>
      <c r="E4365" s="22"/>
      <c r="F4365" s="19"/>
      <c r="G4365" s="26" t="str">
        <f aca="false">IF(D4365="","",IFERROR(VALUE(LEFT(D4365,FIND(" |",D4365&amp;" |")-1)),"?"))</f>
        <v/>
      </c>
      <c r="H4365" s="27" t="str">
        <f aca="false">IF(G4365="","",IF(G4365="?","⚠ pub inconnue",IFERROR(INDEX(Pubs!$B$2:$B$3001,MATCH(G4365,Pubs!$A$2:$A$3001,0))&amp;"","⚠ pub inconnue")))</f>
        <v/>
      </c>
      <c r="I4365" s="27" t="str">
        <f aca="false">IF(OR(G4365="",G4365="?"),"",IFERROR(INDEX(Pubs!$C$2:$C$3001,MATCH(G4365,Pubs!$A$2:$A$3001,0))&amp;"",""))</f>
        <v/>
      </c>
      <c r="J4365" s="27" t="str">
        <f aca="false">IF(OR(G4365="",G4365="?"),"",IFERROR(INDEX(Pubs!$G$2:$G$3001,MATCH(G4365,Pubs!$A$2:$A$3001,0))&amp;"",""))</f>
        <v/>
      </c>
      <c r="K4365" s="28" t="str">
        <f aca="false">IF(OR(G4365="",G4365="?"),"",IFERROR(INDEX(Pubs!$E$2:$E$3001,MATCH(G4365,Pubs!$A$2:$A$3001,0)),""))</f>
        <v/>
      </c>
      <c r="L4365" s="29" t="str">
        <f aca="false">IF(A4365="","",IFERROR(1/(1/INDEX(Numéros!$C$2:$C$3001,MATCH(A4365&amp;"|"&amp;B4365,Numéros!$F$2:$F$3001,0))),""))</f>
        <v/>
      </c>
      <c r="M4365" s="27" t="str">
        <f aca="false">IF(OR(G4365="",G4365="?"),"",IFERROR(INDEX(Pubs!$D$2:$D$3001,MATCH(G4365,Pubs!$A$2:$A$3001,0))&amp;"",""))</f>
        <v/>
      </c>
      <c r="N4365" s="27" t="n">
        <f aca="false">N(N4364)+IF(AND(A4365&lt;&gt;"",OR(Recherche!$C$4="",A4365=Recherche!$C$4),OR(Recherche!$C$5="",B4365&amp;""=Recherche!$C$5&amp;""),OR(Recherche!$C$6="",IFERROR(YEAR(L4365),0)=Recherche!$C$6),OR(Recherche!$C$7="",ISNUMBER(SEARCH(Recherche!$C$7,H4365))),OR(Recherche!$C$8="",J4365=Recherche!$C$8),OR(Recherche!$C$9="",I4365=Recherche!$C$9),OR(Recherche!$C$10="",G4365&amp;""=Recherche!$C$10&amp;""),OR(Recherche!$C$11="",E4365=Recherche!$C$11),OR(Recherche!$C$12="",ISNUMBER(SEARCH(Recherche!$C$12,M4365&amp;" "&amp;F4365)))),1,0)</f>
        <v>8</v>
      </c>
    </row>
    <row r="4366" customFormat="false" ht="15" hidden="false" customHeight="false" outlineLevel="0" collapsed="false">
      <c r="A4366" s="19"/>
      <c r="B4366" s="19"/>
      <c r="C4366" s="19"/>
      <c r="D4366" s="19"/>
      <c r="E4366" s="22"/>
      <c r="F4366" s="19"/>
      <c r="G4366" s="26" t="str">
        <f aca="false">IF(D4366="","",IFERROR(VALUE(LEFT(D4366,FIND(" |",D4366&amp;" |")-1)),"?"))</f>
        <v/>
      </c>
      <c r="H4366" s="27" t="str">
        <f aca="false">IF(G4366="","",IF(G4366="?","⚠ pub inconnue",IFERROR(INDEX(Pubs!$B$2:$B$3001,MATCH(G4366,Pubs!$A$2:$A$3001,0))&amp;"","⚠ pub inconnue")))</f>
        <v/>
      </c>
      <c r="I4366" s="27" t="str">
        <f aca="false">IF(OR(G4366="",G4366="?"),"",IFERROR(INDEX(Pubs!$C$2:$C$3001,MATCH(G4366,Pubs!$A$2:$A$3001,0))&amp;"",""))</f>
        <v/>
      </c>
      <c r="J4366" s="27" t="str">
        <f aca="false">IF(OR(G4366="",G4366="?"),"",IFERROR(INDEX(Pubs!$G$2:$G$3001,MATCH(G4366,Pubs!$A$2:$A$3001,0))&amp;"",""))</f>
        <v/>
      </c>
      <c r="K4366" s="28" t="str">
        <f aca="false">IF(OR(G4366="",G4366="?"),"",IFERROR(INDEX(Pubs!$E$2:$E$3001,MATCH(G4366,Pubs!$A$2:$A$3001,0)),""))</f>
        <v/>
      </c>
      <c r="L4366" s="29" t="str">
        <f aca="false">IF(A4366="","",IFERROR(1/(1/INDEX(Numéros!$C$2:$C$3001,MATCH(A4366&amp;"|"&amp;B4366,Numéros!$F$2:$F$3001,0))),""))</f>
        <v/>
      </c>
      <c r="M4366" s="27" t="str">
        <f aca="false">IF(OR(G4366="",G4366="?"),"",IFERROR(INDEX(Pubs!$D$2:$D$3001,MATCH(G4366,Pubs!$A$2:$A$3001,0))&amp;"",""))</f>
        <v/>
      </c>
      <c r="N4366" s="27" t="n">
        <f aca="false">N(N4365)+IF(AND(A4366&lt;&gt;"",OR(Recherche!$C$4="",A4366=Recherche!$C$4),OR(Recherche!$C$5="",B4366&amp;""=Recherche!$C$5&amp;""),OR(Recherche!$C$6="",IFERROR(YEAR(L4366),0)=Recherche!$C$6),OR(Recherche!$C$7="",ISNUMBER(SEARCH(Recherche!$C$7,H4366))),OR(Recherche!$C$8="",J4366=Recherche!$C$8),OR(Recherche!$C$9="",I4366=Recherche!$C$9),OR(Recherche!$C$10="",G4366&amp;""=Recherche!$C$10&amp;""),OR(Recherche!$C$11="",E4366=Recherche!$C$11),OR(Recherche!$C$12="",ISNUMBER(SEARCH(Recherche!$C$12,M4366&amp;" "&amp;F4366)))),1,0)</f>
        <v>8</v>
      </c>
    </row>
    <row r="4367" customFormat="false" ht="15" hidden="false" customHeight="false" outlineLevel="0" collapsed="false">
      <c r="A4367" s="19"/>
      <c r="B4367" s="19"/>
      <c r="C4367" s="19"/>
      <c r="D4367" s="19"/>
      <c r="E4367" s="22"/>
      <c r="F4367" s="19"/>
      <c r="G4367" s="26" t="str">
        <f aca="false">IF(D4367="","",IFERROR(VALUE(LEFT(D4367,FIND(" |",D4367&amp;" |")-1)),"?"))</f>
        <v/>
      </c>
      <c r="H4367" s="27" t="str">
        <f aca="false">IF(G4367="","",IF(G4367="?","⚠ pub inconnue",IFERROR(INDEX(Pubs!$B$2:$B$3001,MATCH(G4367,Pubs!$A$2:$A$3001,0))&amp;"","⚠ pub inconnue")))</f>
        <v/>
      </c>
      <c r="I4367" s="27" t="str">
        <f aca="false">IF(OR(G4367="",G4367="?"),"",IFERROR(INDEX(Pubs!$C$2:$C$3001,MATCH(G4367,Pubs!$A$2:$A$3001,0))&amp;"",""))</f>
        <v/>
      </c>
      <c r="J4367" s="27" t="str">
        <f aca="false">IF(OR(G4367="",G4367="?"),"",IFERROR(INDEX(Pubs!$G$2:$G$3001,MATCH(G4367,Pubs!$A$2:$A$3001,0))&amp;"",""))</f>
        <v/>
      </c>
      <c r="K4367" s="28" t="str">
        <f aca="false">IF(OR(G4367="",G4367="?"),"",IFERROR(INDEX(Pubs!$E$2:$E$3001,MATCH(G4367,Pubs!$A$2:$A$3001,0)),""))</f>
        <v/>
      </c>
      <c r="L4367" s="29" t="str">
        <f aca="false">IF(A4367="","",IFERROR(1/(1/INDEX(Numéros!$C$2:$C$3001,MATCH(A4367&amp;"|"&amp;B4367,Numéros!$F$2:$F$3001,0))),""))</f>
        <v/>
      </c>
      <c r="M4367" s="27" t="str">
        <f aca="false">IF(OR(G4367="",G4367="?"),"",IFERROR(INDEX(Pubs!$D$2:$D$3001,MATCH(G4367,Pubs!$A$2:$A$3001,0))&amp;"",""))</f>
        <v/>
      </c>
      <c r="N4367" s="27" t="n">
        <f aca="false">N(N4366)+IF(AND(A4367&lt;&gt;"",OR(Recherche!$C$4="",A4367=Recherche!$C$4),OR(Recherche!$C$5="",B4367&amp;""=Recherche!$C$5&amp;""),OR(Recherche!$C$6="",IFERROR(YEAR(L4367),0)=Recherche!$C$6),OR(Recherche!$C$7="",ISNUMBER(SEARCH(Recherche!$C$7,H4367))),OR(Recherche!$C$8="",J4367=Recherche!$C$8),OR(Recherche!$C$9="",I4367=Recherche!$C$9),OR(Recherche!$C$10="",G4367&amp;""=Recherche!$C$10&amp;""),OR(Recherche!$C$11="",E4367=Recherche!$C$11),OR(Recherche!$C$12="",ISNUMBER(SEARCH(Recherche!$C$12,M4367&amp;" "&amp;F4367)))),1,0)</f>
        <v>8</v>
      </c>
    </row>
    <row r="4368" customFormat="false" ht="15" hidden="false" customHeight="false" outlineLevel="0" collapsed="false">
      <c r="A4368" s="19"/>
      <c r="B4368" s="19"/>
      <c r="C4368" s="19"/>
      <c r="D4368" s="19"/>
      <c r="E4368" s="22"/>
      <c r="F4368" s="19"/>
      <c r="G4368" s="26" t="str">
        <f aca="false">IF(D4368="","",IFERROR(VALUE(LEFT(D4368,FIND(" |",D4368&amp;" |")-1)),"?"))</f>
        <v/>
      </c>
      <c r="H4368" s="27" t="str">
        <f aca="false">IF(G4368="","",IF(G4368="?","⚠ pub inconnue",IFERROR(INDEX(Pubs!$B$2:$B$3001,MATCH(G4368,Pubs!$A$2:$A$3001,0))&amp;"","⚠ pub inconnue")))</f>
        <v/>
      </c>
      <c r="I4368" s="27" t="str">
        <f aca="false">IF(OR(G4368="",G4368="?"),"",IFERROR(INDEX(Pubs!$C$2:$C$3001,MATCH(G4368,Pubs!$A$2:$A$3001,0))&amp;"",""))</f>
        <v/>
      </c>
      <c r="J4368" s="27" t="str">
        <f aca="false">IF(OR(G4368="",G4368="?"),"",IFERROR(INDEX(Pubs!$G$2:$G$3001,MATCH(G4368,Pubs!$A$2:$A$3001,0))&amp;"",""))</f>
        <v/>
      </c>
      <c r="K4368" s="28" t="str">
        <f aca="false">IF(OR(G4368="",G4368="?"),"",IFERROR(INDEX(Pubs!$E$2:$E$3001,MATCH(G4368,Pubs!$A$2:$A$3001,0)),""))</f>
        <v/>
      </c>
      <c r="L4368" s="29" t="str">
        <f aca="false">IF(A4368="","",IFERROR(1/(1/INDEX(Numéros!$C$2:$C$3001,MATCH(A4368&amp;"|"&amp;B4368,Numéros!$F$2:$F$3001,0))),""))</f>
        <v/>
      </c>
      <c r="M4368" s="27" t="str">
        <f aca="false">IF(OR(G4368="",G4368="?"),"",IFERROR(INDEX(Pubs!$D$2:$D$3001,MATCH(G4368,Pubs!$A$2:$A$3001,0))&amp;"",""))</f>
        <v/>
      </c>
      <c r="N4368" s="27" t="n">
        <f aca="false">N(N4367)+IF(AND(A4368&lt;&gt;"",OR(Recherche!$C$4="",A4368=Recherche!$C$4),OR(Recherche!$C$5="",B4368&amp;""=Recherche!$C$5&amp;""),OR(Recherche!$C$6="",IFERROR(YEAR(L4368),0)=Recherche!$C$6),OR(Recherche!$C$7="",ISNUMBER(SEARCH(Recherche!$C$7,H4368))),OR(Recherche!$C$8="",J4368=Recherche!$C$8),OR(Recherche!$C$9="",I4368=Recherche!$C$9),OR(Recherche!$C$10="",G4368&amp;""=Recherche!$C$10&amp;""),OR(Recherche!$C$11="",E4368=Recherche!$C$11),OR(Recherche!$C$12="",ISNUMBER(SEARCH(Recherche!$C$12,M4368&amp;" "&amp;F4368)))),1,0)</f>
        <v>8</v>
      </c>
    </row>
    <row r="4369" customFormat="false" ht="15" hidden="false" customHeight="false" outlineLevel="0" collapsed="false">
      <c r="A4369" s="19"/>
      <c r="B4369" s="19"/>
      <c r="C4369" s="19"/>
      <c r="D4369" s="19"/>
      <c r="E4369" s="22"/>
      <c r="F4369" s="19"/>
      <c r="G4369" s="26" t="str">
        <f aca="false">IF(D4369="","",IFERROR(VALUE(LEFT(D4369,FIND(" |",D4369&amp;" |")-1)),"?"))</f>
        <v/>
      </c>
      <c r="H4369" s="27" t="str">
        <f aca="false">IF(G4369="","",IF(G4369="?","⚠ pub inconnue",IFERROR(INDEX(Pubs!$B$2:$B$3001,MATCH(G4369,Pubs!$A$2:$A$3001,0))&amp;"","⚠ pub inconnue")))</f>
        <v/>
      </c>
      <c r="I4369" s="27" t="str">
        <f aca="false">IF(OR(G4369="",G4369="?"),"",IFERROR(INDEX(Pubs!$C$2:$C$3001,MATCH(G4369,Pubs!$A$2:$A$3001,0))&amp;"",""))</f>
        <v/>
      </c>
      <c r="J4369" s="27" t="str">
        <f aca="false">IF(OR(G4369="",G4369="?"),"",IFERROR(INDEX(Pubs!$G$2:$G$3001,MATCH(G4369,Pubs!$A$2:$A$3001,0))&amp;"",""))</f>
        <v/>
      </c>
      <c r="K4369" s="28" t="str">
        <f aca="false">IF(OR(G4369="",G4369="?"),"",IFERROR(INDEX(Pubs!$E$2:$E$3001,MATCH(G4369,Pubs!$A$2:$A$3001,0)),""))</f>
        <v/>
      </c>
      <c r="L4369" s="29" t="str">
        <f aca="false">IF(A4369="","",IFERROR(1/(1/INDEX(Numéros!$C$2:$C$3001,MATCH(A4369&amp;"|"&amp;B4369,Numéros!$F$2:$F$3001,0))),""))</f>
        <v/>
      </c>
      <c r="M4369" s="27" t="str">
        <f aca="false">IF(OR(G4369="",G4369="?"),"",IFERROR(INDEX(Pubs!$D$2:$D$3001,MATCH(G4369,Pubs!$A$2:$A$3001,0))&amp;"",""))</f>
        <v/>
      </c>
      <c r="N4369" s="27" t="n">
        <f aca="false">N(N4368)+IF(AND(A4369&lt;&gt;"",OR(Recherche!$C$4="",A4369=Recherche!$C$4),OR(Recherche!$C$5="",B4369&amp;""=Recherche!$C$5&amp;""),OR(Recherche!$C$6="",IFERROR(YEAR(L4369),0)=Recherche!$C$6),OR(Recherche!$C$7="",ISNUMBER(SEARCH(Recherche!$C$7,H4369))),OR(Recherche!$C$8="",J4369=Recherche!$C$8),OR(Recherche!$C$9="",I4369=Recherche!$C$9),OR(Recherche!$C$10="",G4369&amp;""=Recherche!$C$10&amp;""),OR(Recherche!$C$11="",E4369=Recherche!$C$11),OR(Recherche!$C$12="",ISNUMBER(SEARCH(Recherche!$C$12,M4369&amp;" "&amp;F4369)))),1,0)</f>
        <v>8</v>
      </c>
    </row>
    <row r="4370" customFormat="false" ht="15" hidden="false" customHeight="false" outlineLevel="0" collapsed="false">
      <c r="A4370" s="19"/>
      <c r="B4370" s="19"/>
      <c r="C4370" s="19"/>
      <c r="D4370" s="19"/>
      <c r="E4370" s="22"/>
      <c r="F4370" s="19"/>
      <c r="G4370" s="26" t="str">
        <f aca="false">IF(D4370="","",IFERROR(VALUE(LEFT(D4370,FIND(" |",D4370&amp;" |")-1)),"?"))</f>
        <v/>
      </c>
      <c r="H4370" s="27" t="str">
        <f aca="false">IF(G4370="","",IF(G4370="?","⚠ pub inconnue",IFERROR(INDEX(Pubs!$B$2:$B$3001,MATCH(G4370,Pubs!$A$2:$A$3001,0))&amp;"","⚠ pub inconnue")))</f>
        <v/>
      </c>
      <c r="I4370" s="27" t="str">
        <f aca="false">IF(OR(G4370="",G4370="?"),"",IFERROR(INDEX(Pubs!$C$2:$C$3001,MATCH(G4370,Pubs!$A$2:$A$3001,0))&amp;"",""))</f>
        <v/>
      </c>
      <c r="J4370" s="27" t="str">
        <f aca="false">IF(OR(G4370="",G4370="?"),"",IFERROR(INDEX(Pubs!$G$2:$G$3001,MATCH(G4370,Pubs!$A$2:$A$3001,0))&amp;"",""))</f>
        <v/>
      </c>
      <c r="K4370" s="28" t="str">
        <f aca="false">IF(OR(G4370="",G4370="?"),"",IFERROR(INDEX(Pubs!$E$2:$E$3001,MATCH(G4370,Pubs!$A$2:$A$3001,0)),""))</f>
        <v/>
      </c>
      <c r="L4370" s="29" t="str">
        <f aca="false">IF(A4370="","",IFERROR(1/(1/INDEX(Numéros!$C$2:$C$3001,MATCH(A4370&amp;"|"&amp;B4370,Numéros!$F$2:$F$3001,0))),""))</f>
        <v/>
      </c>
      <c r="M4370" s="27" t="str">
        <f aca="false">IF(OR(G4370="",G4370="?"),"",IFERROR(INDEX(Pubs!$D$2:$D$3001,MATCH(G4370,Pubs!$A$2:$A$3001,0))&amp;"",""))</f>
        <v/>
      </c>
      <c r="N4370" s="27" t="n">
        <f aca="false">N(N4369)+IF(AND(A4370&lt;&gt;"",OR(Recherche!$C$4="",A4370=Recherche!$C$4),OR(Recherche!$C$5="",B4370&amp;""=Recherche!$C$5&amp;""),OR(Recherche!$C$6="",IFERROR(YEAR(L4370),0)=Recherche!$C$6),OR(Recherche!$C$7="",ISNUMBER(SEARCH(Recherche!$C$7,H4370))),OR(Recherche!$C$8="",J4370=Recherche!$C$8),OR(Recherche!$C$9="",I4370=Recherche!$C$9),OR(Recherche!$C$10="",G4370&amp;""=Recherche!$C$10&amp;""),OR(Recherche!$C$11="",E4370=Recherche!$C$11),OR(Recherche!$C$12="",ISNUMBER(SEARCH(Recherche!$C$12,M4370&amp;" "&amp;F4370)))),1,0)</f>
        <v>8</v>
      </c>
    </row>
    <row r="4371" customFormat="false" ht="15" hidden="false" customHeight="false" outlineLevel="0" collapsed="false">
      <c r="A4371" s="19"/>
      <c r="B4371" s="19"/>
      <c r="C4371" s="19"/>
      <c r="D4371" s="19"/>
      <c r="E4371" s="22"/>
      <c r="F4371" s="19"/>
      <c r="G4371" s="26" t="str">
        <f aca="false">IF(D4371="","",IFERROR(VALUE(LEFT(D4371,FIND(" |",D4371&amp;" |")-1)),"?"))</f>
        <v/>
      </c>
      <c r="H4371" s="27" t="str">
        <f aca="false">IF(G4371="","",IF(G4371="?","⚠ pub inconnue",IFERROR(INDEX(Pubs!$B$2:$B$3001,MATCH(G4371,Pubs!$A$2:$A$3001,0))&amp;"","⚠ pub inconnue")))</f>
        <v/>
      </c>
      <c r="I4371" s="27" t="str">
        <f aca="false">IF(OR(G4371="",G4371="?"),"",IFERROR(INDEX(Pubs!$C$2:$C$3001,MATCH(G4371,Pubs!$A$2:$A$3001,0))&amp;"",""))</f>
        <v/>
      </c>
      <c r="J4371" s="27" t="str">
        <f aca="false">IF(OR(G4371="",G4371="?"),"",IFERROR(INDEX(Pubs!$G$2:$G$3001,MATCH(G4371,Pubs!$A$2:$A$3001,0))&amp;"",""))</f>
        <v/>
      </c>
      <c r="K4371" s="28" t="str">
        <f aca="false">IF(OR(G4371="",G4371="?"),"",IFERROR(INDEX(Pubs!$E$2:$E$3001,MATCH(G4371,Pubs!$A$2:$A$3001,0)),""))</f>
        <v/>
      </c>
      <c r="L4371" s="29" t="str">
        <f aca="false">IF(A4371="","",IFERROR(1/(1/INDEX(Numéros!$C$2:$C$3001,MATCH(A4371&amp;"|"&amp;B4371,Numéros!$F$2:$F$3001,0))),""))</f>
        <v/>
      </c>
      <c r="M4371" s="27" t="str">
        <f aca="false">IF(OR(G4371="",G4371="?"),"",IFERROR(INDEX(Pubs!$D$2:$D$3001,MATCH(G4371,Pubs!$A$2:$A$3001,0))&amp;"",""))</f>
        <v/>
      </c>
      <c r="N4371" s="27" t="n">
        <f aca="false">N(N4370)+IF(AND(A4371&lt;&gt;"",OR(Recherche!$C$4="",A4371=Recherche!$C$4),OR(Recherche!$C$5="",B4371&amp;""=Recherche!$C$5&amp;""),OR(Recherche!$C$6="",IFERROR(YEAR(L4371),0)=Recherche!$C$6),OR(Recherche!$C$7="",ISNUMBER(SEARCH(Recherche!$C$7,H4371))),OR(Recherche!$C$8="",J4371=Recherche!$C$8),OR(Recherche!$C$9="",I4371=Recherche!$C$9),OR(Recherche!$C$10="",G4371&amp;""=Recherche!$C$10&amp;""),OR(Recherche!$C$11="",E4371=Recherche!$C$11),OR(Recherche!$C$12="",ISNUMBER(SEARCH(Recherche!$C$12,M4371&amp;" "&amp;F4371)))),1,0)</f>
        <v>8</v>
      </c>
    </row>
    <row r="4372" customFormat="false" ht="15" hidden="false" customHeight="false" outlineLevel="0" collapsed="false">
      <c r="A4372" s="19"/>
      <c r="B4372" s="19"/>
      <c r="C4372" s="19"/>
      <c r="D4372" s="19"/>
      <c r="E4372" s="22"/>
      <c r="F4372" s="19"/>
      <c r="G4372" s="26" t="str">
        <f aca="false">IF(D4372="","",IFERROR(VALUE(LEFT(D4372,FIND(" |",D4372&amp;" |")-1)),"?"))</f>
        <v/>
      </c>
      <c r="H4372" s="27" t="str">
        <f aca="false">IF(G4372="","",IF(G4372="?","⚠ pub inconnue",IFERROR(INDEX(Pubs!$B$2:$B$3001,MATCH(G4372,Pubs!$A$2:$A$3001,0))&amp;"","⚠ pub inconnue")))</f>
        <v/>
      </c>
      <c r="I4372" s="27" t="str">
        <f aca="false">IF(OR(G4372="",G4372="?"),"",IFERROR(INDEX(Pubs!$C$2:$C$3001,MATCH(G4372,Pubs!$A$2:$A$3001,0))&amp;"",""))</f>
        <v/>
      </c>
      <c r="J4372" s="27" t="str">
        <f aca="false">IF(OR(G4372="",G4372="?"),"",IFERROR(INDEX(Pubs!$G$2:$G$3001,MATCH(G4372,Pubs!$A$2:$A$3001,0))&amp;"",""))</f>
        <v/>
      </c>
      <c r="K4372" s="28" t="str">
        <f aca="false">IF(OR(G4372="",G4372="?"),"",IFERROR(INDEX(Pubs!$E$2:$E$3001,MATCH(G4372,Pubs!$A$2:$A$3001,0)),""))</f>
        <v/>
      </c>
      <c r="L4372" s="29" t="str">
        <f aca="false">IF(A4372="","",IFERROR(1/(1/INDEX(Numéros!$C$2:$C$3001,MATCH(A4372&amp;"|"&amp;B4372,Numéros!$F$2:$F$3001,0))),""))</f>
        <v/>
      </c>
      <c r="M4372" s="27" t="str">
        <f aca="false">IF(OR(G4372="",G4372="?"),"",IFERROR(INDEX(Pubs!$D$2:$D$3001,MATCH(G4372,Pubs!$A$2:$A$3001,0))&amp;"",""))</f>
        <v/>
      </c>
      <c r="N4372" s="27" t="n">
        <f aca="false">N(N4371)+IF(AND(A4372&lt;&gt;"",OR(Recherche!$C$4="",A4372=Recherche!$C$4),OR(Recherche!$C$5="",B4372&amp;""=Recherche!$C$5&amp;""),OR(Recherche!$C$6="",IFERROR(YEAR(L4372),0)=Recherche!$C$6),OR(Recherche!$C$7="",ISNUMBER(SEARCH(Recherche!$C$7,H4372))),OR(Recherche!$C$8="",J4372=Recherche!$C$8),OR(Recherche!$C$9="",I4372=Recherche!$C$9),OR(Recherche!$C$10="",G4372&amp;""=Recherche!$C$10&amp;""),OR(Recherche!$C$11="",E4372=Recherche!$C$11),OR(Recherche!$C$12="",ISNUMBER(SEARCH(Recherche!$C$12,M4372&amp;" "&amp;F4372)))),1,0)</f>
        <v>8</v>
      </c>
    </row>
    <row r="4373" customFormat="false" ht="15" hidden="false" customHeight="false" outlineLevel="0" collapsed="false">
      <c r="A4373" s="19"/>
      <c r="B4373" s="19"/>
      <c r="C4373" s="19"/>
      <c r="D4373" s="19"/>
      <c r="E4373" s="22"/>
      <c r="F4373" s="19"/>
      <c r="G4373" s="26" t="str">
        <f aca="false">IF(D4373="","",IFERROR(VALUE(LEFT(D4373,FIND(" |",D4373&amp;" |")-1)),"?"))</f>
        <v/>
      </c>
      <c r="H4373" s="27" t="str">
        <f aca="false">IF(G4373="","",IF(G4373="?","⚠ pub inconnue",IFERROR(INDEX(Pubs!$B$2:$B$3001,MATCH(G4373,Pubs!$A$2:$A$3001,0))&amp;"","⚠ pub inconnue")))</f>
        <v/>
      </c>
      <c r="I4373" s="27" t="str">
        <f aca="false">IF(OR(G4373="",G4373="?"),"",IFERROR(INDEX(Pubs!$C$2:$C$3001,MATCH(G4373,Pubs!$A$2:$A$3001,0))&amp;"",""))</f>
        <v/>
      </c>
      <c r="J4373" s="27" t="str">
        <f aca="false">IF(OR(G4373="",G4373="?"),"",IFERROR(INDEX(Pubs!$G$2:$G$3001,MATCH(G4373,Pubs!$A$2:$A$3001,0))&amp;"",""))</f>
        <v/>
      </c>
      <c r="K4373" s="28" t="str">
        <f aca="false">IF(OR(G4373="",G4373="?"),"",IFERROR(INDEX(Pubs!$E$2:$E$3001,MATCH(G4373,Pubs!$A$2:$A$3001,0)),""))</f>
        <v/>
      </c>
      <c r="L4373" s="29" t="str">
        <f aca="false">IF(A4373="","",IFERROR(1/(1/INDEX(Numéros!$C$2:$C$3001,MATCH(A4373&amp;"|"&amp;B4373,Numéros!$F$2:$F$3001,0))),""))</f>
        <v/>
      </c>
      <c r="M4373" s="27" t="str">
        <f aca="false">IF(OR(G4373="",G4373="?"),"",IFERROR(INDEX(Pubs!$D$2:$D$3001,MATCH(G4373,Pubs!$A$2:$A$3001,0))&amp;"",""))</f>
        <v/>
      </c>
      <c r="N4373" s="27" t="n">
        <f aca="false">N(N4372)+IF(AND(A4373&lt;&gt;"",OR(Recherche!$C$4="",A4373=Recherche!$C$4),OR(Recherche!$C$5="",B4373&amp;""=Recherche!$C$5&amp;""),OR(Recherche!$C$6="",IFERROR(YEAR(L4373),0)=Recherche!$C$6),OR(Recherche!$C$7="",ISNUMBER(SEARCH(Recherche!$C$7,H4373))),OR(Recherche!$C$8="",J4373=Recherche!$C$8),OR(Recherche!$C$9="",I4373=Recherche!$C$9),OR(Recherche!$C$10="",G4373&amp;""=Recherche!$C$10&amp;""),OR(Recherche!$C$11="",E4373=Recherche!$C$11),OR(Recherche!$C$12="",ISNUMBER(SEARCH(Recherche!$C$12,M4373&amp;" "&amp;F4373)))),1,0)</f>
        <v>8</v>
      </c>
    </row>
    <row r="4374" customFormat="false" ht="15" hidden="false" customHeight="false" outlineLevel="0" collapsed="false">
      <c r="A4374" s="19"/>
      <c r="B4374" s="19"/>
      <c r="C4374" s="19"/>
      <c r="D4374" s="19"/>
      <c r="E4374" s="22"/>
      <c r="F4374" s="19"/>
      <c r="G4374" s="26" t="str">
        <f aca="false">IF(D4374="","",IFERROR(VALUE(LEFT(D4374,FIND(" |",D4374&amp;" |")-1)),"?"))</f>
        <v/>
      </c>
      <c r="H4374" s="27" t="str">
        <f aca="false">IF(G4374="","",IF(G4374="?","⚠ pub inconnue",IFERROR(INDEX(Pubs!$B$2:$B$3001,MATCH(G4374,Pubs!$A$2:$A$3001,0))&amp;"","⚠ pub inconnue")))</f>
        <v/>
      </c>
      <c r="I4374" s="27" t="str">
        <f aca="false">IF(OR(G4374="",G4374="?"),"",IFERROR(INDEX(Pubs!$C$2:$C$3001,MATCH(G4374,Pubs!$A$2:$A$3001,0))&amp;"",""))</f>
        <v/>
      </c>
      <c r="J4374" s="27" t="str">
        <f aca="false">IF(OR(G4374="",G4374="?"),"",IFERROR(INDEX(Pubs!$G$2:$G$3001,MATCH(G4374,Pubs!$A$2:$A$3001,0))&amp;"",""))</f>
        <v/>
      </c>
      <c r="K4374" s="28" t="str">
        <f aca="false">IF(OR(G4374="",G4374="?"),"",IFERROR(INDEX(Pubs!$E$2:$E$3001,MATCH(G4374,Pubs!$A$2:$A$3001,0)),""))</f>
        <v/>
      </c>
      <c r="L4374" s="29" t="str">
        <f aca="false">IF(A4374="","",IFERROR(1/(1/INDEX(Numéros!$C$2:$C$3001,MATCH(A4374&amp;"|"&amp;B4374,Numéros!$F$2:$F$3001,0))),""))</f>
        <v/>
      </c>
      <c r="M4374" s="27" t="str">
        <f aca="false">IF(OR(G4374="",G4374="?"),"",IFERROR(INDEX(Pubs!$D$2:$D$3001,MATCH(G4374,Pubs!$A$2:$A$3001,0))&amp;"",""))</f>
        <v/>
      </c>
      <c r="N4374" s="27" t="n">
        <f aca="false">N(N4373)+IF(AND(A4374&lt;&gt;"",OR(Recherche!$C$4="",A4374=Recherche!$C$4),OR(Recherche!$C$5="",B4374&amp;""=Recherche!$C$5&amp;""),OR(Recherche!$C$6="",IFERROR(YEAR(L4374),0)=Recherche!$C$6),OR(Recherche!$C$7="",ISNUMBER(SEARCH(Recherche!$C$7,H4374))),OR(Recherche!$C$8="",J4374=Recherche!$C$8),OR(Recherche!$C$9="",I4374=Recherche!$C$9),OR(Recherche!$C$10="",G4374&amp;""=Recherche!$C$10&amp;""),OR(Recherche!$C$11="",E4374=Recherche!$C$11),OR(Recherche!$C$12="",ISNUMBER(SEARCH(Recherche!$C$12,M4374&amp;" "&amp;F4374)))),1,0)</f>
        <v>8</v>
      </c>
    </row>
    <row r="4375" customFormat="false" ht="15" hidden="false" customHeight="false" outlineLevel="0" collapsed="false">
      <c r="A4375" s="19"/>
      <c r="B4375" s="19"/>
      <c r="C4375" s="19"/>
      <c r="D4375" s="19"/>
      <c r="E4375" s="22"/>
      <c r="F4375" s="19"/>
      <c r="G4375" s="26" t="str">
        <f aca="false">IF(D4375="","",IFERROR(VALUE(LEFT(D4375,FIND(" |",D4375&amp;" |")-1)),"?"))</f>
        <v/>
      </c>
      <c r="H4375" s="27" t="str">
        <f aca="false">IF(G4375="","",IF(G4375="?","⚠ pub inconnue",IFERROR(INDEX(Pubs!$B$2:$B$3001,MATCH(G4375,Pubs!$A$2:$A$3001,0))&amp;"","⚠ pub inconnue")))</f>
        <v/>
      </c>
      <c r="I4375" s="27" t="str">
        <f aca="false">IF(OR(G4375="",G4375="?"),"",IFERROR(INDEX(Pubs!$C$2:$C$3001,MATCH(G4375,Pubs!$A$2:$A$3001,0))&amp;"",""))</f>
        <v/>
      </c>
      <c r="J4375" s="27" t="str">
        <f aca="false">IF(OR(G4375="",G4375="?"),"",IFERROR(INDEX(Pubs!$G$2:$G$3001,MATCH(G4375,Pubs!$A$2:$A$3001,0))&amp;"",""))</f>
        <v/>
      </c>
      <c r="K4375" s="28" t="str">
        <f aca="false">IF(OR(G4375="",G4375="?"),"",IFERROR(INDEX(Pubs!$E$2:$E$3001,MATCH(G4375,Pubs!$A$2:$A$3001,0)),""))</f>
        <v/>
      </c>
      <c r="L4375" s="29" t="str">
        <f aca="false">IF(A4375="","",IFERROR(1/(1/INDEX(Numéros!$C$2:$C$3001,MATCH(A4375&amp;"|"&amp;B4375,Numéros!$F$2:$F$3001,0))),""))</f>
        <v/>
      </c>
      <c r="M4375" s="27" t="str">
        <f aca="false">IF(OR(G4375="",G4375="?"),"",IFERROR(INDEX(Pubs!$D$2:$D$3001,MATCH(G4375,Pubs!$A$2:$A$3001,0))&amp;"",""))</f>
        <v/>
      </c>
      <c r="N4375" s="27" t="n">
        <f aca="false">N(N4374)+IF(AND(A4375&lt;&gt;"",OR(Recherche!$C$4="",A4375=Recherche!$C$4),OR(Recherche!$C$5="",B4375&amp;""=Recherche!$C$5&amp;""),OR(Recherche!$C$6="",IFERROR(YEAR(L4375),0)=Recherche!$C$6),OR(Recherche!$C$7="",ISNUMBER(SEARCH(Recherche!$C$7,H4375))),OR(Recherche!$C$8="",J4375=Recherche!$C$8),OR(Recherche!$C$9="",I4375=Recherche!$C$9),OR(Recherche!$C$10="",G4375&amp;""=Recherche!$C$10&amp;""),OR(Recherche!$C$11="",E4375=Recherche!$C$11),OR(Recherche!$C$12="",ISNUMBER(SEARCH(Recherche!$C$12,M4375&amp;" "&amp;F4375)))),1,0)</f>
        <v>8</v>
      </c>
    </row>
    <row r="4376" customFormat="false" ht="15" hidden="false" customHeight="false" outlineLevel="0" collapsed="false">
      <c r="A4376" s="19"/>
      <c r="B4376" s="19"/>
      <c r="C4376" s="19"/>
      <c r="D4376" s="19"/>
      <c r="E4376" s="22"/>
      <c r="F4376" s="19"/>
      <c r="G4376" s="26" t="str">
        <f aca="false">IF(D4376="","",IFERROR(VALUE(LEFT(D4376,FIND(" |",D4376&amp;" |")-1)),"?"))</f>
        <v/>
      </c>
      <c r="H4376" s="27" t="str">
        <f aca="false">IF(G4376="","",IF(G4376="?","⚠ pub inconnue",IFERROR(INDEX(Pubs!$B$2:$B$3001,MATCH(G4376,Pubs!$A$2:$A$3001,0))&amp;"","⚠ pub inconnue")))</f>
        <v/>
      </c>
      <c r="I4376" s="27" t="str">
        <f aca="false">IF(OR(G4376="",G4376="?"),"",IFERROR(INDEX(Pubs!$C$2:$C$3001,MATCH(G4376,Pubs!$A$2:$A$3001,0))&amp;"",""))</f>
        <v/>
      </c>
      <c r="J4376" s="27" t="str">
        <f aca="false">IF(OR(G4376="",G4376="?"),"",IFERROR(INDEX(Pubs!$G$2:$G$3001,MATCH(G4376,Pubs!$A$2:$A$3001,0))&amp;"",""))</f>
        <v/>
      </c>
      <c r="K4376" s="28" t="str">
        <f aca="false">IF(OR(G4376="",G4376="?"),"",IFERROR(INDEX(Pubs!$E$2:$E$3001,MATCH(G4376,Pubs!$A$2:$A$3001,0)),""))</f>
        <v/>
      </c>
      <c r="L4376" s="29" t="str">
        <f aca="false">IF(A4376="","",IFERROR(1/(1/INDEX(Numéros!$C$2:$C$3001,MATCH(A4376&amp;"|"&amp;B4376,Numéros!$F$2:$F$3001,0))),""))</f>
        <v/>
      </c>
      <c r="M4376" s="27" t="str">
        <f aca="false">IF(OR(G4376="",G4376="?"),"",IFERROR(INDEX(Pubs!$D$2:$D$3001,MATCH(G4376,Pubs!$A$2:$A$3001,0))&amp;"",""))</f>
        <v/>
      </c>
      <c r="N4376" s="27" t="n">
        <f aca="false">N(N4375)+IF(AND(A4376&lt;&gt;"",OR(Recherche!$C$4="",A4376=Recherche!$C$4),OR(Recherche!$C$5="",B4376&amp;""=Recherche!$C$5&amp;""),OR(Recherche!$C$6="",IFERROR(YEAR(L4376),0)=Recherche!$C$6),OR(Recherche!$C$7="",ISNUMBER(SEARCH(Recherche!$C$7,H4376))),OR(Recherche!$C$8="",J4376=Recherche!$C$8),OR(Recherche!$C$9="",I4376=Recherche!$C$9),OR(Recherche!$C$10="",G4376&amp;""=Recherche!$C$10&amp;""),OR(Recherche!$C$11="",E4376=Recherche!$C$11),OR(Recherche!$C$12="",ISNUMBER(SEARCH(Recherche!$C$12,M4376&amp;" "&amp;F4376)))),1,0)</f>
        <v>8</v>
      </c>
    </row>
    <row r="4377" customFormat="false" ht="15" hidden="false" customHeight="false" outlineLevel="0" collapsed="false">
      <c r="A4377" s="19"/>
      <c r="B4377" s="19"/>
      <c r="C4377" s="19"/>
      <c r="D4377" s="19"/>
      <c r="E4377" s="22"/>
      <c r="F4377" s="19"/>
      <c r="G4377" s="26" t="str">
        <f aca="false">IF(D4377="","",IFERROR(VALUE(LEFT(D4377,FIND(" |",D4377&amp;" |")-1)),"?"))</f>
        <v/>
      </c>
      <c r="H4377" s="27" t="str">
        <f aca="false">IF(G4377="","",IF(G4377="?","⚠ pub inconnue",IFERROR(INDEX(Pubs!$B$2:$B$3001,MATCH(G4377,Pubs!$A$2:$A$3001,0))&amp;"","⚠ pub inconnue")))</f>
        <v/>
      </c>
      <c r="I4377" s="27" t="str">
        <f aca="false">IF(OR(G4377="",G4377="?"),"",IFERROR(INDEX(Pubs!$C$2:$C$3001,MATCH(G4377,Pubs!$A$2:$A$3001,0))&amp;"",""))</f>
        <v/>
      </c>
      <c r="J4377" s="27" t="str">
        <f aca="false">IF(OR(G4377="",G4377="?"),"",IFERROR(INDEX(Pubs!$G$2:$G$3001,MATCH(G4377,Pubs!$A$2:$A$3001,0))&amp;"",""))</f>
        <v/>
      </c>
      <c r="K4377" s="28" t="str">
        <f aca="false">IF(OR(G4377="",G4377="?"),"",IFERROR(INDEX(Pubs!$E$2:$E$3001,MATCH(G4377,Pubs!$A$2:$A$3001,0)),""))</f>
        <v/>
      </c>
      <c r="L4377" s="29" t="str">
        <f aca="false">IF(A4377="","",IFERROR(1/(1/INDEX(Numéros!$C$2:$C$3001,MATCH(A4377&amp;"|"&amp;B4377,Numéros!$F$2:$F$3001,0))),""))</f>
        <v/>
      </c>
      <c r="M4377" s="27" t="str">
        <f aca="false">IF(OR(G4377="",G4377="?"),"",IFERROR(INDEX(Pubs!$D$2:$D$3001,MATCH(G4377,Pubs!$A$2:$A$3001,0))&amp;"",""))</f>
        <v/>
      </c>
      <c r="N4377" s="27" t="n">
        <f aca="false">N(N4376)+IF(AND(A4377&lt;&gt;"",OR(Recherche!$C$4="",A4377=Recherche!$C$4),OR(Recherche!$C$5="",B4377&amp;""=Recherche!$C$5&amp;""),OR(Recherche!$C$6="",IFERROR(YEAR(L4377),0)=Recherche!$C$6),OR(Recherche!$C$7="",ISNUMBER(SEARCH(Recherche!$C$7,H4377))),OR(Recherche!$C$8="",J4377=Recherche!$C$8),OR(Recherche!$C$9="",I4377=Recherche!$C$9),OR(Recherche!$C$10="",G4377&amp;""=Recherche!$C$10&amp;""),OR(Recherche!$C$11="",E4377=Recherche!$C$11),OR(Recherche!$C$12="",ISNUMBER(SEARCH(Recherche!$C$12,M4377&amp;" "&amp;F4377)))),1,0)</f>
        <v>8</v>
      </c>
    </row>
    <row r="4378" customFormat="false" ht="15" hidden="false" customHeight="false" outlineLevel="0" collapsed="false">
      <c r="A4378" s="19"/>
      <c r="B4378" s="19"/>
      <c r="C4378" s="19"/>
      <c r="D4378" s="19"/>
      <c r="E4378" s="22"/>
      <c r="F4378" s="19"/>
      <c r="G4378" s="26" t="str">
        <f aca="false">IF(D4378="","",IFERROR(VALUE(LEFT(D4378,FIND(" |",D4378&amp;" |")-1)),"?"))</f>
        <v/>
      </c>
      <c r="H4378" s="27" t="str">
        <f aca="false">IF(G4378="","",IF(G4378="?","⚠ pub inconnue",IFERROR(INDEX(Pubs!$B$2:$B$3001,MATCH(G4378,Pubs!$A$2:$A$3001,0))&amp;"","⚠ pub inconnue")))</f>
        <v/>
      </c>
      <c r="I4378" s="27" t="str">
        <f aca="false">IF(OR(G4378="",G4378="?"),"",IFERROR(INDEX(Pubs!$C$2:$C$3001,MATCH(G4378,Pubs!$A$2:$A$3001,0))&amp;"",""))</f>
        <v/>
      </c>
      <c r="J4378" s="27" t="str">
        <f aca="false">IF(OR(G4378="",G4378="?"),"",IFERROR(INDEX(Pubs!$G$2:$G$3001,MATCH(G4378,Pubs!$A$2:$A$3001,0))&amp;"",""))</f>
        <v/>
      </c>
      <c r="K4378" s="28" t="str">
        <f aca="false">IF(OR(G4378="",G4378="?"),"",IFERROR(INDEX(Pubs!$E$2:$E$3001,MATCH(G4378,Pubs!$A$2:$A$3001,0)),""))</f>
        <v/>
      </c>
      <c r="L4378" s="29" t="str">
        <f aca="false">IF(A4378="","",IFERROR(1/(1/INDEX(Numéros!$C$2:$C$3001,MATCH(A4378&amp;"|"&amp;B4378,Numéros!$F$2:$F$3001,0))),""))</f>
        <v/>
      </c>
      <c r="M4378" s="27" t="str">
        <f aca="false">IF(OR(G4378="",G4378="?"),"",IFERROR(INDEX(Pubs!$D$2:$D$3001,MATCH(G4378,Pubs!$A$2:$A$3001,0))&amp;"",""))</f>
        <v/>
      </c>
      <c r="N4378" s="27" t="n">
        <f aca="false">N(N4377)+IF(AND(A4378&lt;&gt;"",OR(Recherche!$C$4="",A4378=Recherche!$C$4),OR(Recherche!$C$5="",B4378&amp;""=Recherche!$C$5&amp;""),OR(Recherche!$C$6="",IFERROR(YEAR(L4378),0)=Recherche!$C$6),OR(Recherche!$C$7="",ISNUMBER(SEARCH(Recherche!$C$7,H4378))),OR(Recherche!$C$8="",J4378=Recherche!$C$8),OR(Recherche!$C$9="",I4378=Recherche!$C$9),OR(Recherche!$C$10="",G4378&amp;""=Recherche!$C$10&amp;""),OR(Recherche!$C$11="",E4378=Recherche!$C$11),OR(Recherche!$C$12="",ISNUMBER(SEARCH(Recherche!$C$12,M4378&amp;" "&amp;F4378)))),1,0)</f>
        <v>8</v>
      </c>
    </row>
    <row r="4379" customFormat="false" ht="15" hidden="false" customHeight="false" outlineLevel="0" collapsed="false">
      <c r="A4379" s="19"/>
      <c r="B4379" s="19"/>
      <c r="C4379" s="19"/>
      <c r="D4379" s="19"/>
      <c r="E4379" s="22"/>
      <c r="F4379" s="19"/>
      <c r="G4379" s="26" t="str">
        <f aca="false">IF(D4379="","",IFERROR(VALUE(LEFT(D4379,FIND(" |",D4379&amp;" |")-1)),"?"))</f>
        <v/>
      </c>
      <c r="H4379" s="27" t="str">
        <f aca="false">IF(G4379="","",IF(G4379="?","⚠ pub inconnue",IFERROR(INDEX(Pubs!$B$2:$B$3001,MATCH(G4379,Pubs!$A$2:$A$3001,0))&amp;"","⚠ pub inconnue")))</f>
        <v/>
      </c>
      <c r="I4379" s="27" t="str">
        <f aca="false">IF(OR(G4379="",G4379="?"),"",IFERROR(INDEX(Pubs!$C$2:$C$3001,MATCH(G4379,Pubs!$A$2:$A$3001,0))&amp;"",""))</f>
        <v/>
      </c>
      <c r="J4379" s="27" t="str">
        <f aca="false">IF(OR(G4379="",G4379="?"),"",IFERROR(INDEX(Pubs!$G$2:$G$3001,MATCH(G4379,Pubs!$A$2:$A$3001,0))&amp;"",""))</f>
        <v/>
      </c>
      <c r="K4379" s="28" t="str">
        <f aca="false">IF(OR(G4379="",G4379="?"),"",IFERROR(INDEX(Pubs!$E$2:$E$3001,MATCH(G4379,Pubs!$A$2:$A$3001,0)),""))</f>
        <v/>
      </c>
      <c r="L4379" s="29" t="str">
        <f aca="false">IF(A4379="","",IFERROR(1/(1/INDEX(Numéros!$C$2:$C$3001,MATCH(A4379&amp;"|"&amp;B4379,Numéros!$F$2:$F$3001,0))),""))</f>
        <v/>
      </c>
      <c r="M4379" s="27" t="str">
        <f aca="false">IF(OR(G4379="",G4379="?"),"",IFERROR(INDEX(Pubs!$D$2:$D$3001,MATCH(G4379,Pubs!$A$2:$A$3001,0))&amp;"",""))</f>
        <v/>
      </c>
      <c r="N4379" s="27" t="n">
        <f aca="false">N(N4378)+IF(AND(A4379&lt;&gt;"",OR(Recherche!$C$4="",A4379=Recherche!$C$4),OR(Recherche!$C$5="",B4379&amp;""=Recherche!$C$5&amp;""),OR(Recherche!$C$6="",IFERROR(YEAR(L4379),0)=Recherche!$C$6),OR(Recherche!$C$7="",ISNUMBER(SEARCH(Recherche!$C$7,H4379))),OR(Recherche!$C$8="",J4379=Recherche!$C$8),OR(Recherche!$C$9="",I4379=Recherche!$C$9),OR(Recherche!$C$10="",G4379&amp;""=Recherche!$C$10&amp;""),OR(Recherche!$C$11="",E4379=Recherche!$C$11),OR(Recherche!$C$12="",ISNUMBER(SEARCH(Recherche!$C$12,M4379&amp;" "&amp;F4379)))),1,0)</f>
        <v>8</v>
      </c>
    </row>
    <row r="4380" customFormat="false" ht="15" hidden="false" customHeight="false" outlineLevel="0" collapsed="false">
      <c r="A4380" s="19"/>
      <c r="B4380" s="19"/>
      <c r="C4380" s="19"/>
      <c r="D4380" s="19"/>
      <c r="E4380" s="22"/>
      <c r="F4380" s="19"/>
      <c r="G4380" s="26" t="str">
        <f aca="false">IF(D4380="","",IFERROR(VALUE(LEFT(D4380,FIND(" |",D4380&amp;" |")-1)),"?"))</f>
        <v/>
      </c>
      <c r="H4380" s="27" t="str">
        <f aca="false">IF(G4380="","",IF(G4380="?","⚠ pub inconnue",IFERROR(INDEX(Pubs!$B$2:$B$3001,MATCH(G4380,Pubs!$A$2:$A$3001,0))&amp;"","⚠ pub inconnue")))</f>
        <v/>
      </c>
      <c r="I4380" s="27" t="str">
        <f aca="false">IF(OR(G4380="",G4380="?"),"",IFERROR(INDEX(Pubs!$C$2:$C$3001,MATCH(G4380,Pubs!$A$2:$A$3001,0))&amp;"",""))</f>
        <v/>
      </c>
      <c r="J4380" s="27" t="str">
        <f aca="false">IF(OR(G4380="",G4380="?"),"",IFERROR(INDEX(Pubs!$G$2:$G$3001,MATCH(G4380,Pubs!$A$2:$A$3001,0))&amp;"",""))</f>
        <v/>
      </c>
      <c r="K4380" s="28" t="str">
        <f aca="false">IF(OR(G4380="",G4380="?"),"",IFERROR(INDEX(Pubs!$E$2:$E$3001,MATCH(G4380,Pubs!$A$2:$A$3001,0)),""))</f>
        <v/>
      </c>
      <c r="L4380" s="29" t="str">
        <f aca="false">IF(A4380="","",IFERROR(1/(1/INDEX(Numéros!$C$2:$C$3001,MATCH(A4380&amp;"|"&amp;B4380,Numéros!$F$2:$F$3001,0))),""))</f>
        <v/>
      </c>
      <c r="M4380" s="27" t="str">
        <f aca="false">IF(OR(G4380="",G4380="?"),"",IFERROR(INDEX(Pubs!$D$2:$D$3001,MATCH(G4380,Pubs!$A$2:$A$3001,0))&amp;"",""))</f>
        <v/>
      </c>
      <c r="N4380" s="27" t="n">
        <f aca="false">N(N4379)+IF(AND(A4380&lt;&gt;"",OR(Recherche!$C$4="",A4380=Recherche!$C$4),OR(Recherche!$C$5="",B4380&amp;""=Recherche!$C$5&amp;""),OR(Recherche!$C$6="",IFERROR(YEAR(L4380),0)=Recherche!$C$6),OR(Recherche!$C$7="",ISNUMBER(SEARCH(Recherche!$C$7,H4380))),OR(Recherche!$C$8="",J4380=Recherche!$C$8),OR(Recherche!$C$9="",I4380=Recherche!$C$9),OR(Recherche!$C$10="",G4380&amp;""=Recherche!$C$10&amp;""),OR(Recherche!$C$11="",E4380=Recherche!$C$11),OR(Recherche!$C$12="",ISNUMBER(SEARCH(Recherche!$C$12,M4380&amp;" "&amp;F4380)))),1,0)</f>
        <v>8</v>
      </c>
    </row>
    <row r="4381" customFormat="false" ht="15" hidden="false" customHeight="false" outlineLevel="0" collapsed="false">
      <c r="A4381" s="19"/>
      <c r="B4381" s="19"/>
      <c r="C4381" s="19"/>
      <c r="D4381" s="19"/>
      <c r="E4381" s="22"/>
      <c r="F4381" s="19"/>
      <c r="G4381" s="26" t="str">
        <f aca="false">IF(D4381="","",IFERROR(VALUE(LEFT(D4381,FIND(" |",D4381&amp;" |")-1)),"?"))</f>
        <v/>
      </c>
      <c r="H4381" s="27" t="str">
        <f aca="false">IF(G4381="","",IF(G4381="?","⚠ pub inconnue",IFERROR(INDEX(Pubs!$B$2:$B$3001,MATCH(G4381,Pubs!$A$2:$A$3001,0))&amp;"","⚠ pub inconnue")))</f>
        <v/>
      </c>
      <c r="I4381" s="27" t="str">
        <f aca="false">IF(OR(G4381="",G4381="?"),"",IFERROR(INDEX(Pubs!$C$2:$C$3001,MATCH(G4381,Pubs!$A$2:$A$3001,0))&amp;"",""))</f>
        <v/>
      </c>
      <c r="J4381" s="27" t="str">
        <f aca="false">IF(OR(G4381="",G4381="?"),"",IFERROR(INDEX(Pubs!$G$2:$G$3001,MATCH(G4381,Pubs!$A$2:$A$3001,0))&amp;"",""))</f>
        <v/>
      </c>
      <c r="K4381" s="28" t="str">
        <f aca="false">IF(OR(G4381="",G4381="?"),"",IFERROR(INDEX(Pubs!$E$2:$E$3001,MATCH(G4381,Pubs!$A$2:$A$3001,0)),""))</f>
        <v/>
      </c>
      <c r="L4381" s="29" t="str">
        <f aca="false">IF(A4381="","",IFERROR(1/(1/INDEX(Numéros!$C$2:$C$3001,MATCH(A4381&amp;"|"&amp;B4381,Numéros!$F$2:$F$3001,0))),""))</f>
        <v/>
      </c>
      <c r="M4381" s="27" t="str">
        <f aca="false">IF(OR(G4381="",G4381="?"),"",IFERROR(INDEX(Pubs!$D$2:$D$3001,MATCH(G4381,Pubs!$A$2:$A$3001,0))&amp;"",""))</f>
        <v/>
      </c>
      <c r="N4381" s="27" t="n">
        <f aca="false">N(N4380)+IF(AND(A4381&lt;&gt;"",OR(Recherche!$C$4="",A4381=Recherche!$C$4),OR(Recherche!$C$5="",B4381&amp;""=Recherche!$C$5&amp;""),OR(Recherche!$C$6="",IFERROR(YEAR(L4381),0)=Recherche!$C$6),OR(Recherche!$C$7="",ISNUMBER(SEARCH(Recherche!$C$7,H4381))),OR(Recherche!$C$8="",J4381=Recherche!$C$8),OR(Recherche!$C$9="",I4381=Recherche!$C$9),OR(Recherche!$C$10="",G4381&amp;""=Recherche!$C$10&amp;""),OR(Recherche!$C$11="",E4381=Recherche!$C$11),OR(Recherche!$C$12="",ISNUMBER(SEARCH(Recherche!$C$12,M4381&amp;" "&amp;F4381)))),1,0)</f>
        <v>8</v>
      </c>
    </row>
    <row r="4382" customFormat="false" ht="15" hidden="false" customHeight="false" outlineLevel="0" collapsed="false">
      <c r="A4382" s="19"/>
      <c r="B4382" s="19"/>
      <c r="C4382" s="19"/>
      <c r="D4382" s="19"/>
      <c r="E4382" s="22"/>
      <c r="F4382" s="19"/>
      <c r="G4382" s="26" t="str">
        <f aca="false">IF(D4382="","",IFERROR(VALUE(LEFT(D4382,FIND(" |",D4382&amp;" |")-1)),"?"))</f>
        <v/>
      </c>
      <c r="H4382" s="27" t="str">
        <f aca="false">IF(G4382="","",IF(G4382="?","⚠ pub inconnue",IFERROR(INDEX(Pubs!$B$2:$B$3001,MATCH(G4382,Pubs!$A$2:$A$3001,0))&amp;"","⚠ pub inconnue")))</f>
        <v/>
      </c>
      <c r="I4382" s="27" t="str">
        <f aca="false">IF(OR(G4382="",G4382="?"),"",IFERROR(INDEX(Pubs!$C$2:$C$3001,MATCH(G4382,Pubs!$A$2:$A$3001,0))&amp;"",""))</f>
        <v/>
      </c>
      <c r="J4382" s="27" t="str">
        <f aca="false">IF(OR(G4382="",G4382="?"),"",IFERROR(INDEX(Pubs!$G$2:$G$3001,MATCH(G4382,Pubs!$A$2:$A$3001,0))&amp;"",""))</f>
        <v/>
      </c>
      <c r="K4382" s="28" t="str">
        <f aca="false">IF(OR(G4382="",G4382="?"),"",IFERROR(INDEX(Pubs!$E$2:$E$3001,MATCH(G4382,Pubs!$A$2:$A$3001,0)),""))</f>
        <v/>
      </c>
      <c r="L4382" s="29" t="str">
        <f aca="false">IF(A4382="","",IFERROR(1/(1/INDEX(Numéros!$C$2:$C$3001,MATCH(A4382&amp;"|"&amp;B4382,Numéros!$F$2:$F$3001,0))),""))</f>
        <v/>
      </c>
      <c r="M4382" s="27" t="str">
        <f aca="false">IF(OR(G4382="",G4382="?"),"",IFERROR(INDEX(Pubs!$D$2:$D$3001,MATCH(G4382,Pubs!$A$2:$A$3001,0))&amp;"",""))</f>
        <v/>
      </c>
      <c r="N4382" s="27" t="n">
        <f aca="false">N(N4381)+IF(AND(A4382&lt;&gt;"",OR(Recherche!$C$4="",A4382=Recherche!$C$4),OR(Recherche!$C$5="",B4382&amp;""=Recherche!$C$5&amp;""),OR(Recherche!$C$6="",IFERROR(YEAR(L4382),0)=Recherche!$C$6),OR(Recherche!$C$7="",ISNUMBER(SEARCH(Recherche!$C$7,H4382))),OR(Recherche!$C$8="",J4382=Recherche!$C$8),OR(Recherche!$C$9="",I4382=Recherche!$C$9),OR(Recherche!$C$10="",G4382&amp;""=Recherche!$C$10&amp;""),OR(Recherche!$C$11="",E4382=Recherche!$C$11),OR(Recherche!$C$12="",ISNUMBER(SEARCH(Recherche!$C$12,M4382&amp;" "&amp;F4382)))),1,0)</f>
        <v>8</v>
      </c>
    </row>
    <row r="4383" customFormat="false" ht="15" hidden="false" customHeight="false" outlineLevel="0" collapsed="false">
      <c r="A4383" s="19"/>
      <c r="B4383" s="19"/>
      <c r="C4383" s="19"/>
      <c r="D4383" s="19"/>
      <c r="E4383" s="22"/>
      <c r="F4383" s="19"/>
      <c r="G4383" s="26" t="str">
        <f aca="false">IF(D4383="","",IFERROR(VALUE(LEFT(D4383,FIND(" |",D4383&amp;" |")-1)),"?"))</f>
        <v/>
      </c>
      <c r="H4383" s="27" t="str">
        <f aca="false">IF(G4383="","",IF(G4383="?","⚠ pub inconnue",IFERROR(INDEX(Pubs!$B$2:$B$3001,MATCH(G4383,Pubs!$A$2:$A$3001,0))&amp;"","⚠ pub inconnue")))</f>
        <v/>
      </c>
      <c r="I4383" s="27" t="str">
        <f aca="false">IF(OR(G4383="",G4383="?"),"",IFERROR(INDEX(Pubs!$C$2:$C$3001,MATCH(G4383,Pubs!$A$2:$A$3001,0))&amp;"",""))</f>
        <v/>
      </c>
      <c r="J4383" s="27" t="str">
        <f aca="false">IF(OR(G4383="",G4383="?"),"",IFERROR(INDEX(Pubs!$G$2:$G$3001,MATCH(G4383,Pubs!$A$2:$A$3001,0))&amp;"",""))</f>
        <v/>
      </c>
      <c r="K4383" s="28" t="str">
        <f aca="false">IF(OR(G4383="",G4383="?"),"",IFERROR(INDEX(Pubs!$E$2:$E$3001,MATCH(G4383,Pubs!$A$2:$A$3001,0)),""))</f>
        <v/>
      </c>
      <c r="L4383" s="29" t="str">
        <f aca="false">IF(A4383="","",IFERROR(1/(1/INDEX(Numéros!$C$2:$C$3001,MATCH(A4383&amp;"|"&amp;B4383,Numéros!$F$2:$F$3001,0))),""))</f>
        <v/>
      </c>
      <c r="M4383" s="27" t="str">
        <f aca="false">IF(OR(G4383="",G4383="?"),"",IFERROR(INDEX(Pubs!$D$2:$D$3001,MATCH(G4383,Pubs!$A$2:$A$3001,0))&amp;"",""))</f>
        <v/>
      </c>
      <c r="N4383" s="27" t="n">
        <f aca="false">N(N4382)+IF(AND(A4383&lt;&gt;"",OR(Recherche!$C$4="",A4383=Recherche!$C$4),OR(Recherche!$C$5="",B4383&amp;""=Recherche!$C$5&amp;""),OR(Recherche!$C$6="",IFERROR(YEAR(L4383),0)=Recherche!$C$6),OR(Recherche!$C$7="",ISNUMBER(SEARCH(Recherche!$C$7,H4383))),OR(Recherche!$C$8="",J4383=Recherche!$C$8),OR(Recherche!$C$9="",I4383=Recherche!$C$9),OR(Recherche!$C$10="",G4383&amp;""=Recherche!$C$10&amp;""),OR(Recherche!$C$11="",E4383=Recherche!$C$11),OR(Recherche!$C$12="",ISNUMBER(SEARCH(Recherche!$C$12,M4383&amp;" "&amp;F4383)))),1,0)</f>
        <v>8</v>
      </c>
    </row>
    <row r="4384" customFormat="false" ht="15" hidden="false" customHeight="false" outlineLevel="0" collapsed="false">
      <c r="A4384" s="19"/>
      <c r="B4384" s="19"/>
      <c r="C4384" s="19"/>
      <c r="D4384" s="19"/>
      <c r="E4384" s="22"/>
      <c r="F4384" s="19"/>
      <c r="G4384" s="26" t="str">
        <f aca="false">IF(D4384="","",IFERROR(VALUE(LEFT(D4384,FIND(" |",D4384&amp;" |")-1)),"?"))</f>
        <v/>
      </c>
      <c r="H4384" s="27" t="str">
        <f aca="false">IF(G4384="","",IF(G4384="?","⚠ pub inconnue",IFERROR(INDEX(Pubs!$B$2:$B$3001,MATCH(G4384,Pubs!$A$2:$A$3001,0))&amp;"","⚠ pub inconnue")))</f>
        <v/>
      </c>
      <c r="I4384" s="27" t="str">
        <f aca="false">IF(OR(G4384="",G4384="?"),"",IFERROR(INDEX(Pubs!$C$2:$C$3001,MATCH(G4384,Pubs!$A$2:$A$3001,0))&amp;"",""))</f>
        <v/>
      </c>
      <c r="J4384" s="27" t="str">
        <f aca="false">IF(OR(G4384="",G4384="?"),"",IFERROR(INDEX(Pubs!$G$2:$G$3001,MATCH(G4384,Pubs!$A$2:$A$3001,0))&amp;"",""))</f>
        <v/>
      </c>
      <c r="K4384" s="28" t="str">
        <f aca="false">IF(OR(G4384="",G4384="?"),"",IFERROR(INDEX(Pubs!$E$2:$E$3001,MATCH(G4384,Pubs!$A$2:$A$3001,0)),""))</f>
        <v/>
      </c>
      <c r="L4384" s="29" t="str">
        <f aca="false">IF(A4384="","",IFERROR(1/(1/INDEX(Numéros!$C$2:$C$3001,MATCH(A4384&amp;"|"&amp;B4384,Numéros!$F$2:$F$3001,0))),""))</f>
        <v/>
      </c>
      <c r="M4384" s="27" t="str">
        <f aca="false">IF(OR(G4384="",G4384="?"),"",IFERROR(INDEX(Pubs!$D$2:$D$3001,MATCH(G4384,Pubs!$A$2:$A$3001,0))&amp;"",""))</f>
        <v/>
      </c>
      <c r="N4384" s="27" t="n">
        <f aca="false">N(N4383)+IF(AND(A4384&lt;&gt;"",OR(Recherche!$C$4="",A4384=Recherche!$C$4),OR(Recherche!$C$5="",B4384&amp;""=Recherche!$C$5&amp;""),OR(Recherche!$C$6="",IFERROR(YEAR(L4384),0)=Recherche!$C$6),OR(Recherche!$C$7="",ISNUMBER(SEARCH(Recherche!$C$7,H4384))),OR(Recherche!$C$8="",J4384=Recherche!$C$8),OR(Recherche!$C$9="",I4384=Recherche!$C$9),OR(Recherche!$C$10="",G4384&amp;""=Recherche!$C$10&amp;""),OR(Recherche!$C$11="",E4384=Recherche!$C$11),OR(Recherche!$C$12="",ISNUMBER(SEARCH(Recherche!$C$12,M4384&amp;" "&amp;F4384)))),1,0)</f>
        <v>8</v>
      </c>
    </row>
    <row r="4385" customFormat="false" ht="15" hidden="false" customHeight="false" outlineLevel="0" collapsed="false">
      <c r="A4385" s="19"/>
      <c r="B4385" s="19"/>
      <c r="C4385" s="19"/>
      <c r="D4385" s="19"/>
      <c r="E4385" s="22"/>
      <c r="F4385" s="19"/>
      <c r="G4385" s="26" t="str">
        <f aca="false">IF(D4385="","",IFERROR(VALUE(LEFT(D4385,FIND(" |",D4385&amp;" |")-1)),"?"))</f>
        <v/>
      </c>
      <c r="H4385" s="27" t="str">
        <f aca="false">IF(G4385="","",IF(G4385="?","⚠ pub inconnue",IFERROR(INDEX(Pubs!$B$2:$B$3001,MATCH(G4385,Pubs!$A$2:$A$3001,0))&amp;"","⚠ pub inconnue")))</f>
        <v/>
      </c>
      <c r="I4385" s="27" t="str">
        <f aca="false">IF(OR(G4385="",G4385="?"),"",IFERROR(INDEX(Pubs!$C$2:$C$3001,MATCH(G4385,Pubs!$A$2:$A$3001,0))&amp;"",""))</f>
        <v/>
      </c>
      <c r="J4385" s="27" t="str">
        <f aca="false">IF(OR(G4385="",G4385="?"),"",IFERROR(INDEX(Pubs!$G$2:$G$3001,MATCH(G4385,Pubs!$A$2:$A$3001,0))&amp;"",""))</f>
        <v/>
      </c>
      <c r="K4385" s="28" t="str">
        <f aca="false">IF(OR(G4385="",G4385="?"),"",IFERROR(INDEX(Pubs!$E$2:$E$3001,MATCH(G4385,Pubs!$A$2:$A$3001,0)),""))</f>
        <v/>
      </c>
      <c r="L4385" s="29" t="str">
        <f aca="false">IF(A4385="","",IFERROR(1/(1/INDEX(Numéros!$C$2:$C$3001,MATCH(A4385&amp;"|"&amp;B4385,Numéros!$F$2:$F$3001,0))),""))</f>
        <v/>
      </c>
      <c r="M4385" s="27" t="str">
        <f aca="false">IF(OR(G4385="",G4385="?"),"",IFERROR(INDEX(Pubs!$D$2:$D$3001,MATCH(G4385,Pubs!$A$2:$A$3001,0))&amp;"",""))</f>
        <v/>
      </c>
      <c r="N4385" s="27" t="n">
        <f aca="false">N(N4384)+IF(AND(A4385&lt;&gt;"",OR(Recherche!$C$4="",A4385=Recherche!$C$4),OR(Recherche!$C$5="",B4385&amp;""=Recherche!$C$5&amp;""),OR(Recherche!$C$6="",IFERROR(YEAR(L4385),0)=Recherche!$C$6),OR(Recherche!$C$7="",ISNUMBER(SEARCH(Recherche!$C$7,H4385))),OR(Recherche!$C$8="",J4385=Recherche!$C$8),OR(Recherche!$C$9="",I4385=Recherche!$C$9),OR(Recherche!$C$10="",G4385&amp;""=Recherche!$C$10&amp;""),OR(Recherche!$C$11="",E4385=Recherche!$C$11),OR(Recherche!$C$12="",ISNUMBER(SEARCH(Recherche!$C$12,M4385&amp;" "&amp;F4385)))),1,0)</f>
        <v>8</v>
      </c>
    </row>
    <row r="4386" customFormat="false" ht="15" hidden="false" customHeight="false" outlineLevel="0" collapsed="false">
      <c r="A4386" s="19"/>
      <c r="B4386" s="19"/>
      <c r="C4386" s="19"/>
      <c r="D4386" s="19"/>
      <c r="E4386" s="22"/>
      <c r="F4386" s="19"/>
      <c r="G4386" s="26" t="str">
        <f aca="false">IF(D4386="","",IFERROR(VALUE(LEFT(D4386,FIND(" |",D4386&amp;" |")-1)),"?"))</f>
        <v/>
      </c>
      <c r="H4386" s="27" t="str">
        <f aca="false">IF(G4386="","",IF(G4386="?","⚠ pub inconnue",IFERROR(INDEX(Pubs!$B$2:$B$3001,MATCH(G4386,Pubs!$A$2:$A$3001,0))&amp;"","⚠ pub inconnue")))</f>
        <v/>
      </c>
      <c r="I4386" s="27" t="str">
        <f aca="false">IF(OR(G4386="",G4386="?"),"",IFERROR(INDEX(Pubs!$C$2:$C$3001,MATCH(G4386,Pubs!$A$2:$A$3001,0))&amp;"",""))</f>
        <v/>
      </c>
      <c r="J4386" s="27" t="str">
        <f aca="false">IF(OR(G4386="",G4386="?"),"",IFERROR(INDEX(Pubs!$G$2:$G$3001,MATCH(G4386,Pubs!$A$2:$A$3001,0))&amp;"",""))</f>
        <v/>
      </c>
      <c r="K4386" s="28" t="str">
        <f aca="false">IF(OR(G4386="",G4386="?"),"",IFERROR(INDEX(Pubs!$E$2:$E$3001,MATCH(G4386,Pubs!$A$2:$A$3001,0)),""))</f>
        <v/>
      </c>
      <c r="L4386" s="29" t="str">
        <f aca="false">IF(A4386="","",IFERROR(1/(1/INDEX(Numéros!$C$2:$C$3001,MATCH(A4386&amp;"|"&amp;B4386,Numéros!$F$2:$F$3001,0))),""))</f>
        <v/>
      </c>
      <c r="M4386" s="27" t="str">
        <f aca="false">IF(OR(G4386="",G4386="?"),"",IFERROR(INDEX(Pubs!$D$2:$D$3001,MATCH(G4386,Pubs!$A$2:$A$3001,0))&amp;"",""))</f>
        <v/>
      </c>
      <c r="N4386" s="27" t="n">
        <f aca="false">N(N4385)+IF(AND(A4386&lt;&gt;"",OR(Recherche!$C$4="",A4386=Recherche!$C$4),OR(Recherche!$C$5="",B4386&amp;""=Recherche!$C$5&amp;""),OR(Recherche!$C$6="",IFERROR(YEAR(L4386),0)=Recherche!$C$6),OR(Recherche!$C$7="",ISNUMBER(SEARCH(Recherche!$C$7,H4386))),OR(Recherche!$C$8="",J4386=Recherche!$C$8),OR(Recherche!$C$9="",I4386=Recherche!$C$9),OR(Recherche!$C$10="",G4386&amp;""=Recherche!$C$10&amp;""),OR(Recherche!$C$11="",E4386=Recherche!$C$11),OR(Recherche!$C$12="",ISNUMBER(SEARCH(Recherche!$C$12,M4386&amp;" "&amp;F4386)))),1,0)</f>
        <v>8</v>
      </c>
    </row>
    <row r="4387" customFormat="false" ht="15" hidden="false" customHeight="false" outlineLevel="0" collapsed="false">
      <c r="A4387" s="19"/>
      <c r="B4387" s="19"/>
      <c r="C4387" s="19"/>
      <c r="D4387" s="19"/>
      <c r="E4387" s="22"/>
      <c r="F4387" s="19"/>
      <c r="G4387" s="26" t="str">
        <f aca="false">IF(D4387="","",IFERROR(VALUE(LEFT(D4387,FIND(" |",D4387&amp;" |")-1)),"?"))</f>
        <v/>
      </c>
      <c r="H4387" s="27" t="str">
        <f aca="false">IF(G4387="","",IF(G4387="?","⚠ pub inconnue",IFERROR(INDEX(Pubs!$B$2:$B$3001,MATCH(G4387,Pubs!$A$2:$A$3001,0))&amp;"","⚠ pub inconnue")))</f>
        <v/>
      </c>
      <c r="I4387" s="27" t="str">
        <f aca="false">IF(OR(G4387="",G4387="?"),"",IFERROR(INDEX(Pubs!$C$2:$C$3001,MATCH(G4387,Pubs!$A$2:$A$3001,0))&amp;"",""))</f>
        <v/>
      </c>
      <c r="J4387" s="27" t="str">
        <f aca="false">IF(OR(G4387="",G4387="?"),"",IFERROR(INDEX(Pubs!$G$2:$G$3001,MATCH(G4387,Pubs!$A$2:$A$3001,0))&amp;"",""))</f>
        <v/>
      </c>
      <c r="K4387" s="28" t="str">
        <f aca="false">IF(OR(G4387="",G4387="?"),"",IFERROR(INDEX(Pubs!$E$2:$E$3001,MATCH(G4387,Pubs!$A$2:$A$3001,0)),""))</f>
        <v/>
      </c>
      <c r="L4387" s="29" t="str">
        <f aca="false">IF(A4387="","",IFERROR(1/(1/INDEX(Numéros!$C$2:$C$3001,MATCH(A4387&amp;"|"&amp;B4387,Numéros!$F$2:$F$3001,0))),""))</f>
        <v/>
      </c>
      <c r="M4387" s="27" t="str">
        <f aca="false">IF(OR(G4387="",G4387="?"),"",IFERROR(INDEX(Pubs!$D$2:$D$3001,MATCH(G4387,Pubs!$A$2:$A$3001,0))&amp;"",""))</f>
        <v/>
      </c>
      <c r="N4387" s="27" t="n">
        <f aca="false">N(N4386)+IF(AND(A4387&lt;&gt;"",OR(Recherche!$C$4="",A4387=Recherche!$C$4),OR(Recherche!$C$5="",B4387&amp;""=Recherche!$C$5&amp;""),OR(Recherche!$C$6="",IFERROR(YEAR(L4387),0)=Recherche!$C$6),OR(Recherche!$C$7="",ISNUMBER(SEARCH(Recherche!$C$7,H4387))),OR(Recherche!$C$8="",J4387=Recherche!$C$8),OR(Recherche!$C$9="",I4387=Recherche!$C$9),OR(Recherche!$C$10="",G4387&amp;""=Recherche!$C$10&amp;""),OR(Recherche!$C$11="",E4387=Recherche!$C$11),OR(Recherche!$C$12="",ISNUMBER(SEARCH(Recherche!$C$12,M4387&amp;" "&amp;F4387)))),1,0)</f>
        <v>8</v>
      </c>
    </row>
    <row r="4388" customFormat="false" ht="15" hidden="false" customHeight="false" outlineLevel="0" collapsed="false">
      <c r="A4388" s="19"/>
      <c r="B4388" s="19"/>
      <c r="C4388" s="19"/>
      <c r="D4388" s="19"/>
      <c r="E4388" s="22"/>
      <c r="F4388" s="19"/>
      <c r="G4388" s="26" t="str">
        <f aca="false">IF(D4388="","",IFERROR(VALUE(LEFT(D4388,FIND(" |",D4388&amp;" |")-1)),"?"))</f>
        <v/>
      </c>
      <c r="H4388" s="27" t="str">
        <f aca="false">IF(G4388="","",IF(G4388="?","⚠ pub inconnue",IFERROR(INDEX(Pubs!$B$2:$B$3001,MATCH(G4388,Pubs!$A$2:$A$3001,0))&amp;"","⚠ pub inconnue")))</f>
        <v/>
      </c>
      <c r="I4388" s="27" t="str">
        <f aca="false">IF(OR(G4388="",G4388="?"),"",IFERROR(INDEX(Pubs!$C$2:$C$3001,MATCH(G4388,Pubs!$A$2:$A$3001,0))&amp;"",""))</f>
        <v/>
      </c>
      <c r="J4388" s="27" t="str">
        <f aca="false">IF(OR(G4388="",G4388="?"),"",IFERROR(INDEX(Pubs!$G$2:$G$3001,MATCH(G4388,Pubs!$A$2:$A$3001,0))&amp;"",""))</f>
        <v/>
      </c>
      <c r="K4388" s="28" t="str">
        <f aca="false">IF(OR(G4388="",G4388="?"),"",IFERROR(INDEX(Pubs!$E$2:$E$3001,MATCH(G4388,Pubs!$A$2:$A$3001,0)),""))</f>
        <v/>
      </c>
      <c r="L4388" s="29" t="str">
        <f aca="false">IF(A4388="","",IFERROR(1/(1/INDEX(Numéros!$C$2:$C$3001,MATCH(A4388&amp;"|"&amp;B4388,Numéros!$F$2:$F$3001,0))),""))</f>
        <v/>
      </c>
      <c r="M4388" s="27" t="str">
        <f aca="false">IF(OR(G4388="",G4388="?"),"",IFERROR(INDEX(Pubs!$D$2:$D$3001,MATCH(G4388,Pubs!$A$2:$A$3001,0))&amp;"",""))</f>
        <v/>
      </c>
      <c r="N4388" s="27" t="n">
        <f aca="false">N(N4387)+IF(AND(A4388&lt;&gt;"",OR(Recherche!$C$4="",A4388=Recherche!$C$4),OR(Recherche!$C$5="",B4388&amp;""=Recherche!$C$5&amp;""),OR(Recherche!$C$6="",IFERROR(YEAR(L4388),0)=Recherche!$C$6),OR(Recherche!$C$7="",ISNUMBER(SEARCH(Recherche!$C$7,H4388))),OR(Recherche!$C$8="",J4388=Recherche!$C$8),OR(Recherche!$C$9="",I4388=Recherche!$C$9),OR(Recherche!$C$10="",G4388&amp;""=Recherche!$C$10&amp;""),OR(Recherche!$C$11="",E4388=Recherche!$C$11),OR(Recherche!$C$12="",ISNUMBER(SEARCH(Recherche!$C$12,M4388&amp;" "&amp;F4388)))),1,0)</f>
        <v>8</v>
      </c>
    </row>
    <row r="4389" customFormat="false" ht="15" hidden="false" customHeight="false" outlineLevel="0" collapsed="false">
      <c r="A4389" s="19"/>
      <c r="B4389" s="19"/>
      <c r="C4389" s="19"/>
      <c r="D4389" s="19"/>
      <c r="E4389" s="22"/>
      <c r="F4389" s="19"/>
      <c r="G4389" s="26" t="str">
        <f aca="false">IF(D4389="","",IFERROR(VALUE(LEFT(D4389,FIND(" |",D4389&amp;" |")-1)),"?"))</f>
        <v/>
      </c>
      <c r="H4389" s="27" t="str">
        <f aca="false">IF(G4389="","",IF(G4389="?","⚠ pub inconnue",IFERROR(INDEX(Pubs!$B$2:$B$3001,MATCH(G4389,Pubs!$A$2:$A$3001,0))&amp;"","⚠ pub inconnue")))</f>
        <v/>
      </c>
      <c r="I4389" s="27" t="str">
        <f aca="false">IF(OR(G4389="",G4389="?"),"",IFERROR(INDEX(Pubs!$C$2:$C$3001,MATCH(G4389,Pubs!$A$2:$A$3001,0))&amp;"",""))</f>
        <v/>
      </c>
      <c r="J4389" s="27" t="str">
        <f aca="false">IF(OR(G4389="",G4389="?"),"",IFERROR(INDEX(Pubs!$G$2:$G$3001,MATCH(G4389,Pubs!$A$2:$A$3001,0))&amp;"",""))</f>
        <v/>
      </c>
      <c r="K4389" s="28" t="str">
        <f aca="false">IF(OR(G4389="",G4389="?"),"",IFERROR(INDEX(Pubs!$E$2:$E$3001,MATCH(G4389,Pubs!$A$2:$A$3001,0)),""))</f>
        <v/>
      </c>
      <c r="L4389" s="29" t="str">
        <f aca="false">IF(A4389="","",IFERROR(1/(1/INDEX(Numéros!$C$2:$C$3001,MATCH(A4389&amp;"|"&amp;B4389,Numéros!$F$2:$F$3001,0))),""))</f>
        <v/>
      </c>
      <c r="M4389" s="27" t="str">
        <f aca="false">IF(OR(G4389="",G4389="?"),"",IFERROR(INDEX(Pubs!$D$2:$D$3001,MATCH(G4389,Pubs!$A$2:$A$3001,0))&amp;"",""))</f>
        <v/>
      </c>
      <c r="N4389" s="27" t="n">
        <f aca="false">N(N4388)+IF(AND(A4389&lt;&gt;"",OR(Recherche!$C$4="",A4389=Recherche!$C$4),OR(Recherche!$C$5="",B4389&amp;""=Recherche!$C$5&amp;""),OR(Recherche!$C$6="",IFERROR(YEAR(L4389),0)=Recherche!$C$6),OR(Recherche!$C$7="",ISNUMBER(SEARCH(Recherche!$C$7,H4389))),OR(Recherche!$C$8="",J4389=Recherche!$C$8),OR(Recherche!$C$9="",I4389=Recherche!$C$9),OR(Recherche!$C$10="",G4389&amp;""=Recherche!$C$10&amp;""),OR(Recherche!$C$11="",E4389=Recherche!$C$11),OR(Recherche!$C$12="",ISNUMBER(SEARCH(Recherche!$C$12,M4389&amp;" "&amp;F4389)))),1,0)</f>
        <v>8</v>
      </c>
    </row>
    <row r="4390" customFormat="false" ht="15" hidden="false" customHeight="false" outlineLevel="0" collapsed="false">
      <c r="A4390" s="19"/>
      <c r="B4390" s="19"/>
      <c r="C4390" s="19"/>
      <c r="D4390" s="19"/>
      <c r="E4390" s="22"/>
      <c r="F4390" s="19"/>
      <c r="G4390" s="26" t="str">
        <f aca="false">IF(D4390="","",IFERROR(VALUE(LEFT(D4390,FIND(" |",D4390&amp;" |")-1)),"?"))</f>
        <v/>
      </c>
      <c r="H4390" s="27" t="str">
        <f aca="false">IF(G4390="","",IF(G4390="?","⚠ pub inconnue",IFERROR(INDEX(Pubs!$B$2:$B$3001,MATCH(G4390,Pubs!$A$2:$A$3001,0))&amp;"","⚠ pub inconnue")))</f>
        <v/>
      </c>
      <c r="I4390" s="27" t="str">
        <f aca="false">IF(OR(G4390="",G4390="?"),"",IFERROR(INDEX(Pubs!$C$2:$C$3001,MATCH(G4390,Pubs!$A$2:$A$3001,0))&amp;"",""))</f>
        <v/>
      </c>
      <c r="J4390" s="27" t="str">
        <f aca="false">IF(OR(G4390="",G4390="?"),"",IFERROR(INDEX(Pubs!$G$2:$G$3001,MATCH(G4390,Pubs!$A$2:$A$3001,0))&amp;"",""))</f>
        <v/>
      </c>
      <c r="K4390" s="28" t="str">
        <f aca="false">IF(OR(G4390="",G4390="?"),"",IFERROR(INDEX(Pubs!$E$2:$E$3001,MATCH(G4390,Pubs!$A$2:$A$3001,0)),""))</f>
        <v/>
      </c>
      <c r="L4390" s="29" t="str">
        <f aca="false">IF(A4390="","",IFERROR(1/(1/INDEX(Numéros!$C$2:$C$3001,MATCH(A4390&amp;"|"&amp;B4390,Numéros!$F$2:$F$3001,0))),""))</f>
        <v/>
      </c>
      <c r="M4390" s="27" t="str">
        <f aca="false">IF(OR(G4390="",G4390="?"),"",IFERROR(INDEX(Pubs!$D$2:$D$3001,MATCH(G4390,Pubs!$A$2:$A$3001,0))&amp;"",""))</f>
        <v/>
      </c>
      <c r="N4390" s="27" t="n">
        <f aca="false">N(N4389)+IF(AND(A4390&lt;&gt;"",OR(Recherche!$C$4="",A4390=Recherche!$C$4),OR(Recherche!$C$5="",B4390&amp;""=Recherche!$C$5&amp;""),OR(Recherche!$C$6="",IFERROR(YEAR(L4390),0)=Recherche!$C$6),OR(Recherche!$C$7="",ISNUMBER(SEARCH(Recherche!$C$7,H4390))),OR(Recherche!$C$8="",J4390=Recherche!$C$8),OR(Recherche!$C$9="",I4390=Recherche!$C$9),OR(Recherche!$C$10="",G4390&amp;""=Recherche!$C$10&amp;""),OR(Recherche!$C$11="",E4390=Recherche!$C$11),OR(Recherche!$C$12="",ISNUMBER(SEARCH(Recherche!$C$12,M4390&amp;" "&amp;F4390)))),1,0)</f>
        <v>8</v>
      </c>
    </row>
    <row r="4391" customFormat="false" ht="15" hidden="false" customHeight="false" outlineLevel="0" collapsed="false">
      <c r="A4391" s="19"/>
      <c r="B4391" s="19"/>
      <c r="C4391" s="19"/>
      <c r="D4391" s="19"/>
      <c r="E4391" s="22"/>
      <c r="F4391" s="19"/>
      <c r="G4391" s="26" t="str">
        <f aca="false">IF(D4391="","",IFERROR(VALUE(LEFT(D4391,FIND(" |",D4391&amp;" |")-1)),"?"))</f>
        <v/>
      </c>
      <c r="H4391" s="27" t="str">
        <f aca="false">IF(G4391="","",IF(G4391="?","⚠ pub inconnue",IFERROR(INDEX(Pubs!$B$2:$B$3001,MATCH(G4391,Pubs!$A$2:$A$3001,0))&amp;"","⚠ pub inconnue")))</f>
        <v/>
      </c>
      <c r="I4391" s="27" t="str">
        <f aca="false">IF(OR(G4391="",G4391="?"),"",IFERROR(INDEX(Pubs!$C$2:$C$3001,MATCH(G4391,Pubs!$A$2:$A$3001,0))&amp;"",""))</f>
        <v/>
      </c>
      <c r="J4391" s="27" t="str">
        <f aca="false">IF(OR(G4391="",G4391="?"),"",IFERROR(INDEX(Pubs!$G$2:$G$3001,MATCH(G4391,Pubs!$A$2:$A$3001,0))&amp;"",""))</f>
        <v/>
      </c>
      <c r="K4391" s="28" t="str">
        <f aca="false">IF(OR(G4391="",G4391="?"),"",IFERROR(INDEX(Pubs!$E$2:$E$3001,MATCH(G4391,Pubs!$A$2:$A$3001,0)),""))</f>
        <v/>
      </c>
      <c r="L4391" s="29" t="str">
        <f aca="false">IF(A4391="","",IFERROR(1/(1/INDEX(Numéros!$C$2:$C$3001,MATCH(A4391&amp;"|"&amp;B4391,Numéros!$F$2:$F$3001,0))),""))</f>
        <v/>
      </c>
      <c r="M4391" s="27" t="str">
        <f aca="false">IF(OR(G4391="",G4391="?"),"",IFERROR(INDEX(Pubs!$D$2:$D$3001,MATCH(G4391,Pubs!$A$2:$A$3001,0))&amp;"",""))</f>
        <v/>
      </c>
      <c r="N4391" s="27" t="n">
        <f aca="false">N(N4390)+IF(AND(A4391&lt;&gt;"",OR(Recherche!$C$4="",A4391=Recherche!$C$4),OR(Recherche!$C$5="",B4391&amp;""=Recherche!$C$5&amp;""),OR(Recherche!$C$6="",IFERROR(YEAR(L4391),0)=Recherche!$C$6),OR(Recherche!$C$7="",ISNUMBER(SEARCH(Recherche!$C$7,H4391))),OR(Recherche!$C$8="",J4391=Recherche!$C$8),OR(Recherche!$C$9="",I4391=Recherche!$C$9),OR(Recherche!$C$10="",G4391&amp;""=Recherche!$C$10&amp;""),OR(Recherche!$C$11="",E4391=Recherche!$C$11),OR(Recherche!$C$12="",ISNUMBER(SEARCH(Recherche!$C$12,M4391&amp;" "&amp;F4391)))),1,0)</f>
        <v>8</v>
      </c>
    </row>
    <row r="4392" customFormat="false" ht="15" hidden="false" customHeight="false" outlineLevel="0" collapsed="false">
      <c r="A4392" s="19"/>
      <c r="B4392" s="19"/>
      <c r="C4392" s="19"/>
      <c r="D4392" s="19"/>
      <c r="E4392" s="22"/>
      <c r="F4392" s="19"/>
      <c r="G4392" s="26" t="str">
        <f aca="false">IF(D4392="","",IFERROR(VALUE(LEFT(D4392,FIND(" |",D4392&amp;" |")-1)),"?"))</f>
        <v/>
      </c>
      <c r="H4392" s="27" t="str">
        <f aca="false">IF(G4392="","",IF(G4392="?","⚠ pub inconnue",IFERROR(INDEX(Pubs!$B$2:$B$3001,MATCH(G4392,Pubs!$A$2:$A$3001,0))&amp;"","⚠ pub inconnue")))</f>
        <v/>
      </c>
      <c r="I4392" s="27" t="str">
        <f aca="false">IF(OR(G4392="",G4392="?"),"",IFERROR(INDEX(Pubs!$C$2:$C$3001,MATCH(G4392,Pubs!$A$2:$A$3001,0))&amp;"",""))</f>
        <v/>
      </c>
      <c r="J4392" s="27" t="str">
        <f aca="false">IF(OR(G4392="",G4392="?"),"",IFERROR(INDEX(Pubs!$G$2:$G$3001,MATCH(G4392,Pubs!$A$2:$A$3001,0))&amp;"",""))</f>
        <v/>
      </c>
      <c r="K4392" s="28" t="str">
        <f aca="false">IF(OR(G4392="",G4392="?"),"",IFERROR(INDEX(Pubs!$E$2:$E$3001,MATCH(G4392,Pubs!$A$2:$A$3001,0)),""))</f>
        <v/>
      </c>
      <c r="L4392" s="29" t="str">
        <f aca="false">IF(A4392="","",IFERROR(1/(1/INDEX(Numéros!$C$2:$C$3001,MATCH(A4392&amp;"|"&amp;B4392,Numéros!$F$2:$F$3001,0))),""))</f>
        <v/>
      </c>
      <c r="M4392" s="27" t="str">
        <f aca="false">IF(OR(G4392="",G4392="?"),"",IFERROR(INDEX(Pubs!$D$2:$D$3001,MATCH(G4392,Pubs!$A$2:$A$3001,0))&amp;"",""))</f>
        <v/>
      </c>
      <c r="N4392" s="27" t="n">
        <f aca="false">N(N4391)+IF(AND(A4392&lt;&gt;"",OR(Recherche!$C$4="",A4392=Recherche!$C$4),OR(Recherche!$C$5="",B4392&amp;""=Recherche!$C$5&amp;""),OR(Recherche!$C$6="",IFERROR(YEAR(L4392),0)=Recherche!$C$6),OR(Recherche!$C$7="",ISNUMBER(SEARCH(Recherche!$C$7,H4392))),OR(Recherche!$C$8="",J4392=Recherche!$C$8),OR(Recherche!$C$9="",I4392=Recherche!$C$9),OR(Recherche!$C$10="",G4392&amp;""=Recherche!$C$10&amp;""),OR(Recherche!$C$11="",E4392=Recherche!$C$11),OR(Recherche!$C$12="",ISNUMBER(SEARCH(Recherche!$C$12,M4392&amp;" "&amp;F4392)))),1,0)</f>
        <v>8</v>
      </c>
    </row>
    <row r="4393" customFormat="false" ht="15" hidden="false" customHeight="false" outlineLevel="0" collapsed="false">
      <c r="A4393" s="19"/>
      <c r="B4393" s="19"/>
      <c r="C4393" s="19"/>
      <c r="D4393" s="19"/>
      <c r="E4393" s="22"/>
      <c r="F4393" s="19"/>
      <c r="G4393" s="26" t="str">
        <f aca="false">IF(D4393="","",IFERROR(VALUE(LEFT(D4393,FIND(" |",D4393&amp;" |")-1)),"?"))</f>
        <v/>
      </c>
      <c r="H4393" s="27" t="str">
        <f aca="false">IF(G4393="","",IF(G4393="?","⚠ pub inconnue",IFERROR(INDEX(Pubs!$B$2:$B$3001,MATCH(G4393,Pubs!$A$2:$A$3001,0))&amp;"","⚠ pub inconnue")))</f>
        <v/>
      </c>
      <c r="I4393" s="27" t="str">
        <f aca="false">IF(OR(G4393="",G4393="?"),"",IFERROR(INDEX(Pubs!$C$2:$C$3001,MATCH(G4393,Pubs!$A$2:$A$3001,0))&amp;"",""))</f>
        <v/>
      </c>
      <c r="J4393" s="27" t="str">
        <f aca="false">IF(OR(G4393="",G4393="?"),"",IFERROR(INDEX(Pubs!$G$2:$G$3001,MATCH(G4393,Pubs!$A$2:$A$3001,0))&amp;"",""))</f>
        <v/>
      </c>
      <c r="K4393" s="28" t="str">
        <f aca="false">IF(OR(G4393="",G4393="?"),"",IFERROR(INDEX(Pubs!$E$2:$E$3001,MATCH(G4393,Pubs!$A$2:$A$3001,0)),""))</f>
        <v/>
      </c>
      <c r="L4393" s="29" t="str">
        <f aca="false">IF(A4393="","",IFERROR(1/(1/INDEX(Numéros!$C$2:$C$3001,MATCH(A4393&amp;"|"&amp;B4393,Numéros!$F$2:$F$3001,0))),""))</f>
        <v/>
      </c>
      <c r="M4393" s="27" t="str">
        <f aca="false">IF(OR(G4393="",G4393="?"),"",IFERROR(INDEX(Pubs!$D$2:$D$3001,MATCH(G4393,Pubs!$A$2:$A$3001,0))&amp;"",""))</f>
        <v/>
      </c>
      <c r="N4393" s="27" t="n">
        <f aca="false">N(N4392)+IF(AND(A4393&lt;&gt;"",OR(Recherche!$C$4="",A4393=Recherche!$C$4),OR(Recherche!$C$5="",B4393&amp;""=Recherche!$C$5&amp;""),OR(Recherche!$C$6="",IFERROR(YEAR(L4393),0)=Recherche!$C$6),OR(Recherche!$C$7="",ISNUMBER(SEARCH(Recherche!$C$7,H4393))),OR(Recherche!$C$8="",J4393=Recherche!$C$8),OR(Recherche!$C$9="",I4393=Recherche!$C$9),OR(Recherche!$C$10="",G4393&amp;""=Recherche!$C$10&amp;""),OR(Recherche!$C$11="",E4393=Recherche!$C$11),OR(Recherche!$C$12="",ISNUMBER(SEARCH(Recherche!$C$12,M4393&amp;" "&amp;F4393)))),1,0)</f>
        <v>8</v>
      </c>
    </row>
    <row r="4394" customFormat="false" ht="15" hidden="false" customHeight="false" outlineLevel="0" collapsed="false">
      <c r="A4394" s="19"/>
      <c r="B4394" s="19"/>
      <c r="C4394" s="19"/>
      <c r="D4394" s="19"/>
      <c r="E4394" s="22"/>
      <c r="F4394" s="19"/>
      <c r="G4394" s="26" t="str">
        <f aca="false">IF(D4394="","",IFERROR(VALUE(LEFT(D4394,FIND(" |",D4394&amp;" |")-1)),"?"))</f>
        <v/>
      </c>
      <c r="H4394" s="27" t="str">
        <f aca="false">IF(G4394="","",IF(G4394="?","⚠ pub inconnue",IFERROR(INDEX(Pubs!$B$2:$B$3001,MATCH(G4394,Pubs!$A$2:$A$3001,0))&amp;"","⚠ pub inconnue")))</f>
        <v/>
      </c>
      <c r="I4394" s="27" t="str">
        <f aca="false">IF(OR(G4394="",G4394="?"),"",IFERROR(INDEX(Pubs!$C$2:$C$3001,MATCH(G4394,Pubs!$A$2:$A$3001,0))&amp;"",""))</f>
        <v/>
      </c>
      <c r="J4394" s="27" t="str">
        <f aca="false">IF(OR(G4394="",G4394="?"),"",IFERROR(INDEX(Pubs!$G$2:$G$3001,MATCH(G4394,Pubs!$A$2:$A$3001,0))&amp;"",""))</f>
        <v/>
      </c>
      <c r="K4394" s="28" t="str">
        <f aca="false">IF(OR(G4394="",G4394="?"),"",IFERROR(INDEX(Pubs!$E$2:$E$3001,MATCH(G4394,Pubs!$A$2:$A$3001,0)),""))</f>
        <v/>
      </c>
      <c r="L4394" s="29" t="str">
        <f aca="false">IF(A4394="","",IFERROR(1/(1/INDEX(Numéros!$C$2:$C$3001,MATCH(A4394&amp;"|"&amp;B4394,Numéros!$F$2:$F$3001,0))),""))</f>
        <v/>
      </c>
      <c r="M4394" s="27" t="str">
        <f aca="false">IF(OR(G4394="",G4394="?"),"",IFERROR(INDEX(Pubs!$D$2:$D$3001,MATCH(G4394,Pubs!$A$2:$A$3001,0))&amp;"",""))</f>
        <v/>
      </c>
      <c r="N4394" s="27" t="n">
        <f aca="false">N(N4393)+IF(AND(A4394&lt;&gt;"",OR(Recherche!$C$4="",A4394=Recherche!$C$4),OR(Recherche!$C$5="",B4394&amp;""=Recherche!$C$5&amp;""),OR(Recherche!$C$6="",IFERROR(YEAR(L4394),0)=Recherche!$C$6),OR(Recherche!$C$7="",ISNUMBER(SEARCH(Recherche!$C$7,H4394))),OR(Recherche!$C$8="",J4394=Recherche!$C$8),OR(Recherche!$C$9="",I4394=Recherche!$C$9),OR(Recherche!$C$10="",G4394&amp;""=Recherche!$C$10&amp;""),OR(Recherche!$C$11="",E4394=Recherche!$C$11),OR(Recherche!$C$12="",ISNUMBER(SEARCH(Recherche!$C$12,M4394&amp;" "&amp;F4394)))),1,0)</f>
        <v>8</v>
      </c>
    </row>
    <row r="4395" customFormat="false" ht="15" hidden="false" customHeight="false" outlineLevel="0" collapsed="false">
      <c r="A4395" s="19"/>
      <c r="B4395" s="19"/>
      <c r="C4395" s="19"/>
      <c r="D4395" s="19"/>
      <c r="E4395" s="22"/>
      <c r="F4395" s="19"/>
      <c r="G4395" s="26" t="str">
        <f aca="false">IF(D4395="","",IFERROR(VALUE(LEFT(D4395,FIND(" |",D4395&amp;" |")-1)),"?"))</f>
        <v/>
      </c>
      <c r="H4395" s="27" t="str">
        <f aca="false">IF(G4395="","",IF(G4395="?","⚠ pub inconnue",IFERROR(INDEX(Pubs!$B$2:$B$3001,MATCH(G4395,Pubs!$A$2:$A$3001,0))&amp;"","⚠ pub inconnue")))</f>
        <v/>
      </c>
      <c r="I4395" s="27" t="str">
        <f aca="false">IF(OR(G4395="",G4395="?"),"",IFERROR(INDEX(Pubs!$C$2:$C$3001,MATCH(G4395,Pubs!$A$2:$A$3001,0))&amp;"",""))</f>
        <v/>
      </c>
      <c r="J4395" s="27" t="str">
        <f aca="false">IF(OR(G4395="",G4395="?"),"",IFERROR(INDEX(Pubs!$G$2:$G$3001,MATCH(G4395,Pubs!$A$2:$A$3001,0))&amp;"",""))</f>
        <v/>
      </c>
      <c r="K4395" s="28" t="str">
        <f aca="false">IF(OR(G4395="",G4395="?"),"",IFERROR(INDEX(Pubs!$E$2:$E$3001,MATCH(G4395,Pubs!$A$2:$A$3001,0)),""))</f>
        <v/>
      </c>
      <c r="L4395" s="29" t="str">
        <f aca="false">IF(A4395="","",IFERROR(1/(1/INDEX(Numéros!$C$2:$C$3001,MATCH(A4395&amp;"|"&amp;B4395,Numéros!$F$2:$F$3001,0))),""))</f>
        <v/>
      </c>
      <c r="M4395" s="27" t="str">
        <f aca="false">IF(OR(G4395="",G4395="?"),"",IFERROR(INDEX(Pubs!$D$2:$D$3001,MATCH(G4395,Pubs!$A$2:$A$3001,0))&amp;"",""))</f>
        <v/>
      </c>
      <c r="N4395" s="27" t="n">
        <f aca="false">N(N4394)+IF(AND(A4395&lt;&gt;"",OR(Recherche!$C$4="",A4395=Recherche!$C$4),OR(Recherche!$C$5="",B4395&amp;""=Recherche!$C$5&amp;""),OR(Recherche!$C$6="",IFERROR(YEAR(L4395),0)=Recherche!$C$6),OR(Recherche!$C$7="",ISNUMBER(SEARCH(Recherche!$C$7,H4395))),OR(Recherche!$C$8="",J4395=Recherche!$C$8),OR(Recherche!$C$9="",I4395=Recherche!$C$9),OR(Recherche!$C$10="",G4395&amp;""=Recherche!$C$10&amp;""),OR(Recherche!$C$11="",E4395=Recherche!$C$11),OR(Recherche!$C$12="",ISNUMBER(SEARCH(Recherche!$C$12,M4395&amp;" "&amp;F4395)))),1,0)</f>
        <v>8</v>
      </c>
    </row>
    <row r="4396" customFormat="false" ht="15" hidden="false" customHeight="false" outlineLevel="0" collapsed="false">
      <c r="A4396" s="19"/>
      <c r="B4396" s="19"/>
      <c r="C4396" s="19"/>
      <c r="D4396" s="19"/>
      <c r="E4396" s="22"/>
      <c r="F4396" s="19"/>
      <c r="G4396" s="26" t="str">
        <f aca="false">IF(D4396="","",IFERROR(VALUE(LEFT(D4396,FIND(" |",D4396&amp;" |")-1)),"?"))</f>
        <v/>
      </c>
      <c r="H4396" s="27" t="str">
        <f aca="false">IF(G4396="","",IF(G4396="?","⚠ pub inconnue",IFERROR(INDEX(Pubs!$B$2:$B$3001,MATCH(G4396,Pubs!$A$2:$A$3001,0))&amp;"","⚠ pub inconnue")))</f>
        <v/>
      </c>
      <c r="I4396" s="27" t="str">
        <f aca="false">IF(OR(G4396="",G4396="?"),"",IFERROR(INDEX(Pubs!$C$2:$C$3001,MATCH(G4396,Pubs!$A$2:$A$3001,0))&amp;"",""))</f>
        <v/>
      </c>
      <c r="J4396" s="27" t="str">
        <f aca="false">IF(OR(G4396="",G4396="?"),"",IFERROR(INDEX(Pubs!$G$2:$G$3001,MATCH(G4396,Pubs!$A$2:$A$3001,0))&amp;"",""))</f>
        <v/>
      </c>
      <c r="K4396" s="28" t="str">
        <f aca="false">IF(OR(G4396="",G4396="?"),"",IFERROR(INDEX(Pubs!$E$2:$E$3001,MATCH(G4396,Pubs!$A$2:$A$3001,0)),""))</f>
        <v/>
      </c>
      <c r="L4396" s="29" t="str">
        <f aca="false">IF(A4396="","",IFERROR(1/(1/INDEX(Numéros!$C$2:$C$3001,MATCH(A4396&amp;"|"&amp;B4396,Numéros!$F$2:$F$3001,0))),""))</f>
        <v/>
      </c>
      <c r="M4396" s="27" t="str">
        <f aca="false">IF(OR(G4396="",G4396="?"),"",IFERROR(INDEX(Pubs!$D$2:$D$3001,MATCH(G4396,Pubs!$A$2:$A$3001,0))&amp;"",""))</f>
        <v/>
      </c>
      <c r="N4396" s="27" t="n">
        <f aca="false">N(N4395)+IF(AND(A4396&lt;&gt;"",OR(Recherche!$C$4="",A4396=Recherche!$C$4),OR(Recherche!$C$5="",B4396&amp;""=Recherche!$C$5&amp;""),OR(Recherche!$C$6="",IFERROR(YEAR(L4396),0)=Recherche!$C$6),OR(Recherche!$C$7="",ISNUMBER(SEARCH(Recherche!$C$7,H4396))),OR(Recherche!$C$8="",J4396=Recherche!$C$8),OR(Recherche!$C$9="",I4396=Recherche!$C$9),OR(Recherche!$C$10="",G4396&amp;""=Recherche!$C$10&amp;""),OR(Recherche!$C$11="",E4396=Recherche!$C$11),OR(Recherche!$C$12="",ISNUMBER(SEARCH(Recherche!$C$12,M4396&amp;" "&amp;F4396)))),1,0)</f>
        <v>8</v>
      </c>
    </row>
    <row r="4397" customFormat="false" ht="15" hidden="false" customHeight="false" outlineLevel="0" collapsed="false">
      <c r="A4397" s="19"/>
      <c r="B4397" s="19"/>
      <c r="C4397" s="19"/>
      <c r="D4397" s="19"/>
      <c r="E4397" s="22"/>
      <c r="F4397" s="19"/>
      <c r="G4397" s="26" t="str">
        <f aca="false">IF(D4397="","",IFERROR(VALUE(LEFT(D4397,FIND(" |",D4397&amp;" |")-1)),"?"))</f>
        <v/>
      </c>
      <c r="H4397" s="27" t="str">
        <f aca="false">IF(G4397="","",IF(G4397="?","⚠ pub inconnue",IFERROR(INDEX(Pubs!$B$2:$B$3001,MATCH(G4397,Pubs!$A$2:$A$3001,0))&amp;"","⚠ pub inconnue")))</f>
        <v/>
      </c>
      <c r="I4397" s="27" t="str">
        <f aca="false">IF(OR(G4397="",G4397="?"),"",IFERROR(INDEX(Pubs!$C$2:$C$3001,MATCH(G4397,Pubs!$A$2:$A$3001,0))&amp;"",""))</f>
        <v/>
      </c>
      <c r="J4397" s="27" t="str">
        <f aca="false">IF(OR(G4397="",G4397="?"),"",IFERROR(INDEX(Pubs!$G$2:$G$3001,MATCH(G4397,Pubs!$A$2:$A$3001,0))&amp;"",""))</f>
        <v/>
      </c>
      <c r="K4397" s="28" t="str">
        <f aca="false">IF(OR(G4397="",G4397="?"),"",IFERROR(INDEX(Pubs!$E$2:$E$3001,MATCH(G4397,Pubs!$A$2:$A$3001,0)),""))</f>
        <v/>
      </c>
      <c r="L4397" s="29" t="str">
        <f aca="false">IF(A4397="","",IFERROR(1/(1/INDEX(Numéros!$C$2:$C$3001,MATCH(A4397&amp;"|"&amp;B4397,Numéros!$F$2:$F$3001,0))),""))</f>
        <v/>
      </c>
      <c r="M4397" s="27" t="str">
        <f aca="false">IF(OR(G4397="",G4397="?"),"",IFERROR(INDEX(Pubs!$D$2:$D$3001,MATCH(G4397,Pubs!$A$2:$A$3001,0))&amp;"",""))</f>
        <v/>
      </c>
      <c r="N4397" s="27" t="n">
        <f aca="false">N(N4396)+IF(AND(A4397&lt;&gt;"",OR(Recherche!$C$4="",A4397=Recherche!$C$4),OR(Recherche!$C$5="",B4397&amp;""=Recherche!$C$5&amp;""),OR(Recherche!$C$6="",IFERROR(YEAR(L4397),0)=Recherche!$C$6),OR(Recherche!$C$7="",ISNUMBER(SEARCH(Recherche!$C$7,H4397))),OR(Recherche!$C$8="",J4397=Recherche!$C$8),OR(Recherche!$C$9="",I4397=Recherche!$C$9),OR(Recherche!$C$10="",G4397&amp;""=Recherche!$C$10&amp;""),OR(Recherche!$C$11="",E4397=Recherche!$C$11),OR(Recherche!$C$12="",ISNUMBER(SEARCH(Recherche!$C$12,M4397&amp;" "&amp;F4397)))),1,0)</f>
        <v>8</v>
      </c>
    </row>
    <row r="4398" customFormat="false" ht="15" hidden="false" customHeight="false" outlineLevel="0" collapsed="false">
      <c r="A4398" s="19"/>
      <c r="B4398" s="19"/>
      <c r="C4398" s="19"/>
      <c r="D4398" s="19"/>
      <c r="E4398" s="22"/>
      <c r="F4398" s="19"/>
      <c r="G4398" s="26" t="str">
        <f aca="false">IF(D4398="","",IFERROR(VALUE(LEFT(D4398,FIND(" |",D4398&amp;" |")-1)),"?"))</f>
        <v/>
      </c>
      <c r="H4398" s="27" t="str">
        <f aca="false">IF(G4398="","",IF(G4398="?","⚠ pub inconnue",IFERROR(INDEX(Pubs!$B$2:$B$3001,MATCH(G4398,Pubs!$A$2:$A$3001,0))&amp;"","⚠ pub inconnue")))</f>
        <v/>
      </c>
      <c r="I4398" s="27" t="str">
        <f aca="false">IF(OR(G4398="",G4398="?"),"",IFERROR(INDEX(Pubs!$C$2:$C$3001,MATCH(G4398,Pubs!$A$2:$A$3001,0))&amp;"",""))</f>
        <v/>
      </c>
      <c r="J4398" s="27" t="str">
        <f aca="false">IF(OR(G4398="",G4398="?"),"",IFERROR(INDEX(Pubs!$G$2:$G$3001,MATCH(G4398,Pubs!$A$2:$A$3001,0))&amp;"",""))</f>
        <v/>
      </c>
      <c r="K4398" s="28" t="str">
        <f aca="false">IF(OR(G4398="",G4398="?"),"",IFERROR(INDEX(Pubs!$E$2:$E$3001,MATCH(G4398,Pubs!$A$2:$A$3001,0)),""))</f>
        <v/>
      </c>
      <c r="L4398" s="29" t="str">
        <f aca="false">IF(A4398="","",IFERROR(1/(1/INDEX(Numéros!$C$2:$C$3001,MATCH(A4398&amp;"|"&amp;B4398,Numéros!$F$2:$F$3001,0))),""))</f>
        <v/>
      </c>
      <c r="M4398" s="27" t="str">
        <f aca="false">IF(OR(G4398="",G4398="?"),"",IFERROR(INDEX(Pubs!$D$2:$D$3001,MATCH(G4398,Pubs!$A$2:$A$3001,0))&amp;"",""))</f>
        <v/>
      </c>
      <c r="N4398" s="27" t="n">
        <f aca="false">N(N4397)+IF(AND(A4398&lt;&gt;"",OR(Recherche!$C$4="",A4398=Recherche!$C$4),OR(Recherche!$C$5="",B4398&amp;""=Recherche!$C$5&amp;""),OR(Recherche!$C$6="",IFERROR(YEAR(L4398),0)=Recherche!$C$6),OR(Recherche!$C$7="",ISNUMBER(SEARCH(Recherche!$C$7,H4398))),OR(Recherche!$C$8="",J4398=Recherche!$C$8),OR(Recherche!$C$9="",I4398=Recherche!$C$9),OR(Recherche!$C$10="",G4398&amp;""=Recherche!$C$10&amp;""),OR(Recherche!$C$11="",E4398=Recherche!$C$11),OR(Recherche!$C$12="",ISNUMBER(SEARCH(Recherche!$C$12,M4398&amp;" "&amp;F4398)))),1,0)</f>
        <v>8</v>
      </c>
    </row>
    <row r="4399" customFormat="false" ht="15" hidden="false" customHeight="false" outlineLevel="0" collapsed="false">
      <c r="A4399" s="19"/>
      <c r="B4399" s="19"/>
      <c r="C4399" s="19"/>
      <c r="D4399" s="19"/>
      <c r="E4399" s="22"/>
      <c r="F4399" s="19"/>
      <c r="G4399" s="26" t="str">
        <f aca="false">IF(D4399="","",IFERROR(VALUE(LEFT(D4399,FIND(" |",D4399&amp;" |")-1)),"?"))</f>
        <v/>
      </c>
      <c r="H4399" s="27" t="str">
        <f aca="false">IF(G4399="","",IF(G4399="?","⚠ pub inconnue",IFERROR(INDEX(Pubs!$B$2:$B$3001,MATCH(G4399,Pubs!$A$2:$A$3001,0))&amp;"","⚠ pub inconnue")))</f>
        <v/>
      </c>
      <c r="I4399" s="27" t="str">
        <f aca="false">IF(OR(G4399="",G4399="?"),"",IFERROR(INDEX(Pubs!$C$2:$C$3001,MATCH(G4399,Pubs!$A$2:$A$3001,0))&amp;"",""))</f>
        <v/>
      </c>
      <c r="J4399" s="27" t="str">
        <f aca="false">IF(OR(G4399="",G4399="?"),"",IFERROR(INDEX(Pubs!$G$2:$G$3001,MATCH(G4399,Pubs!$A$2:$A$3001,0))&amp;"",""))</f>
        <v/>
      </c>
      <c r="K4399" s="28" t="str">
        <f aca="false">IF(OR(G4399="",G4399="?"),"",IFERROR(INDEX(Pubs!$E$2:$E$3001,MATCH(G4399,Pubs!$A$2:$A$3001,0)),""))</f>
        <v/>
      </c>
      <c r="L4399" s="29" t="str">
        <f aca="false">IF(A4399="","",IFERROR(1/(1/INDEX(Numéros!$C$2:$C$3001,MATCH(A4399&amp;"|"&amp;B4399,Numéros!$F$2:$F$3001,0))),""))</f>
        <v/>
      </c>
      <c r="M4399" s="27" t="str">
        <f aca="false">IF(OR(G4399="",G4399="?"),"",IFERROR(INDEX(Pubs!$D$2:$D$3001,MATCH(G4399,Pubs!$A$2:$A$3001,0))&amp;"",""))</f>
        <v/>
      </c>
      <c r="N4399" s="27" t="n">
        <f aca="false">N(N4398)+IF(AND(A4399&lt;&gt;"",OR(Recherche!$C$4="",A4399=Recherche!$C$4),OR(Recherche!$C$5="",B4399&amp;""=Recherche!$C$5&amp;""),OR(Recherche!$C$6="",IFERROR(YEAR(L4399),0)=Recherche!$C$6),OR(Recherche!$C$7="",ISNUMBER(SEARCH(Recherche!$C$7,H4399))),OR(Recherche!$C$8="",J4399=Recherche!$C$8),OR(Recherche!$C$9="",I4399=Recherche!$C$9),OR(Recherche!$C$10="",G4399&amp;""=Recherche!$C$10&amp;""),OR(Recherche!$C$11="",E4399=Recherche!$C$11),OR(Recherche!$C$12="",ISNUMBER(SEARCH(Recherche!$C$12,M4399&amp;" "&amp;F4399)))),1,0)</f>
        <v>8</v>
      </c>
    </row>
    <row r="4400" customFormat="false" ht="15" hidden="false" customHeight="false" outlineLevel="0" collapsed="false">
      <c r="A4400" s="19"/>
      <c r="B4400" s="19"/>
      <c r="C4400" s="19"/>
      <c r="D4400" s="19"/>
      <c r="E4400" s="22"/>
      <c r="F4400" s="19"/>
      <c r="G4400" s="26" t="str">
        <f aca="false">IF(D4400="","",IFERROR(VALUE(LEFT(D4400,FIND(" |",D4400&amp;" |")-1)),"?"))</f>
        <v/>
      </c>
      <c r="H4400" s="27" t="str">
        <f aca="false">IF(G4400="","",IF(G4400="?","⚠ pub inconnue",IFERROR(INDEX(Pubs!$B$2:$B$3001,MATCH(G4400,Pubs!$A$2:$A$3001,0))&amp;"","⚠ pub inconnue")))</f>
        <v/>
      </c>
      <c r="I4400" s="27" t="str">
        <f aca="false">IF(OR(G4400="",G4400="?"),"",IFERROR(INDEX(Pubs!$C$2:$C$3001,MATCH(G4400,Pubs!$A$2:$A$3001,0))&amp;"",""))</f>
        <v/>
      </c>
      <c r="J4400" s="27" t="str">
        <f aca="false">IF(OR(G4400="",G4400="?"),"",IFERROR(INDEX(Pubs!$G$2:$G$3001,MATCH(G4400,Pubs!$A$2:$A$3001,0))&amp;"",""))</f>
        <v/>
      </c>
      <c r="K4400" s="28" t="str">
        <f aca="false">IF(OR(G4400="",G4400="?"),"",IFERROR(INDEX(Pubs!$E$2:$E$3001,MATCH(G4400,Pubs!$A$2:$A$3001,0)),""))</f>
        <v/>
      </c>
      <c r="L4400" s="29" t="str">
        <f aca="false">IF(A4400="","",IFERROR(1/(1/INDEX(Numéros!$C$2:$C$3001,MATCH(A4400&amp;"|"&amp;B4400,Numéros!$F$2:$F$3001,0))),""))</f>
        <v/>
      </c>
      <c r="M4400" s="27" t="str">
        <f aca="false">IF(OR(G4400="",G4400="?"),"",IFERROR(INDEX(Pubs!$D$2:$D$3001,MATCH(G4400,Pubs!$A$2:$A$3001,0))&amp;"",""))</f>
        <v/>
      </c>
      <c r="N4400" s="27" t="n">
        <f aca="false">N(N4399)+IF(AND(A4400&lt;&gt;"",OR(Recherche!$C$4="",A4400=Recherche!$C$4),OR(Recherche!$C$5="",B4400&amp;""=Recherche!$C$5&amp;""),OR(Recherche!$C$6="",IFERROR(YEAR(L4400),0)=Recherche!$C$6),OR(Recherche!$C$7="",ISNUMBER(SEARCH(Recherche!$C$7,H4400))),OR(Recherche!$C$8="",J4400=Recherche!$C$8),OR(Recherche!$C$9="",I4400=Recherche!$C$9),OR(Recherche!$C$10="",G4400&amp;""=Recherche!$C$10&amp;""),OR(Recherche!$C$11="",E4400=Recherche!$C$11),OR(Recherche!$C$12="",ISNUMBER(SEARCH(Recherche!$C$12,M4400&amp;" "&amp;F4400)))),1,0)</f>
        <v>8</v>
      </c>
    </row>
    <row r="4401" customFormat="false" ht="15" hidden="false" customHeight="false" outlineLevel="0" collapsed="false">
      <c r="A4401" s="19"/>
      <c r="B4401" s="19"/>
      <c r="C4401" s="19"/>
      <c r="D4401" s="19"/>
      <c r="E4401" s="22"/>
      <c r="F4401" s="19"/>
      <c r="G4401" s="26" t="str">
        <f aca="false">IF(D4401="","",IFERROR(VALUE(LEFT(D4401,FIND(" |",D4401&amp;" |")-1)),"?"))</f>
        <v/>
      </c>
      <c r="H4401" s="27" t="str">
        <f aca="false">IF(G4401="","",IF(G4401="?","⚠ pub inconnue",IFERROR(INDEX(Pubs!$B$2:$B$3001,MATCH(G4401,Pubs!$A$2:$A$3001,0))&amp;"","⚠ pub inconnue")))</f>
        <v/>
      </c>
      <c r="I4401" s="27" t="str">
        <f aca="false">IF(OR(G4401="",G4401="?"),"",IFERROR(INDEX(Pubs!$C$2:$C$3001,MATCH(G4401,Pubs!$A$2:$A$3001,0))&amp;"",""))</f>
        <v/>
      </c>
      <c r="J4401" s="27" t="str">
        <f aca="false">IF(OR(G4401="",G4401="?"),"",IFERROR(INDEX(Pubs!$G$2:$G$3001,MATCH(G4401,Pubs!$A$2:$A$3001,0))&amp;"",""))</f>
        <v/>
      </c>
      <c r="K4401" s="28" t="str">
        <f aca="false">IF(OR(G4401="",G4401="?"),"",IFERROR(INDEX(Pubs!$E$2:$E$3001,MATCH(G4401,Pubs!$A$2:$A$3001,0)),""))</f>
        <v/>
      </c>
      <c r="L4401" s="29" t="str">
        <f aca="false">IF(A4401="","",IFERROR(1/(1/INDEX(Numéros!$C$2:$C$3001,MATCH(A4401&amp;"|"&amp;B4401,Numéros!$F$2:$F$3001,0))),""))</f>
        <v/>
      </c>
      <c r="M4401" s="27" t="str">
        <f aca="false">IF(OR(G4401="",G4401="?"),"",IFERROR(INDEX(Pubs!$D$2:$D$3001,MATCH(G4401,Pubs!$A$2:$A$3001,0))&amp;"",""))</f>
        <v/>
      </c>
      <c r="N4401" s="27" t="n">
        <f aca="false">N(N4400)+IF(AND(A4401&lt;&gt;"",OR(Recherche!$C$4="",A4401=Recherche!$C$4),OR(Recherche!$C$5="",B4401&amp;""=Recherche!$C$5&amp;""),OR(Recherche!$C$6="",IFERROR(YEAR(L4401),0)=Recherche!$C$6),OR(Recherche!$C$7="",ISNUMBER(SEARCH(Recherche!$C$7,H4401))),OR(Recherche!$C$8="",J4401=Recherche!$C$8),OR(Recherche!$C$9="",I4401=Recherche!$C$9),OR(Recherche!$C$10="",G4401&amp;""=Recherche!$C$10&amp;""),OR(Recherche!$C$11="",E4401=Recherche!$C$11),OR(Recherche!$C$12="",ISNUMBER(SEARCH(Recherche!$C$12,M4401&amp;" "&amp;F4401)))),1,0)</f>
        <v>8</v>
      </c>
    </row>
    <row r="4402" customFormat="false" ht="15" hidden="false" customHeight="false" outlineLevel="0" collapsed="false">
      <c r="A4402" s="19"/>
      <c r="B4402" s="19"/>
      <c r="C4402" s="19"/>
      <c r="D4402" s="19"/>
      <c r="E4402" s="22"/>
      <c r="F4402" s="19"/>
      <c r="G4402" s="26" t="str">
        <f aca="false">IF(D4402="","",IFERROR(VALUE(LEFT(D4402,FIND(" |",D4402&amp;" |")-1)),"?"))</f>
        <v/>
      </c>
      <c r="H4402" s="27" t="str">
        <f aca="false">IF(G4402="","",IF(G4402="?","⚠ pub inconnue",IFERROR(INDEX(Pubs!$B$2:$B$3001,MATCH(G4402,Pubs!$A$2:$A$3001,0))&amp;"","⚠ pub inconnue")))</f>
        <v/>
      </c>
      <c r="I4402" s="27" t="str">
        <f aca="false">IF(OR(G4402="",G4402="?"),"",IFERROR(INDEX(Pubs!$C$2:$C$3001,MATCH(G4402,Pubs!$A$2:$A$3001,0))&amp;"",""))</f>
        <v/>
      </c>
      <c r="J4402" s="27" t="str">
        <f aca="false">IF(OR(G4402="",G4402="?"),"",IFERROR(INDEX(Pubs!$G$2:$G$3001,MATCH(G4402,Pubs!$A$2:$A$3001,0))&amp;"",""))</f>
        <v/>
      </c>
      <c r="K4402" s="28" t="str">
        <f aca="false">IF(OR(G4402="",G4402="?"),"",IFERROR(INDEX(Pubs!$E$2:$E$3001,MATCH(G4402,Pubs!$A$2:$A$3001,0)),""))</f>
        <v/>
      </c>
      <c r="L4402" s="29" t="str">
        <f aca="false">IF(A4402="","",IFERROR(1/(1/INDEX(Numéros!$C$2:$C$3001,MATCH(A4402&amp;"|"&amp;B4402,Numéros!$F$2:$F$3001,0))),""))</f>
        <v/>
      </c>
      <c r="M4402" s="27" t="str">
        <f aca="false">IF(OR(G4402="",G4402="?"),"",IFERROR(INDEX(Pubs!$D$2:$D$3001,MATCH(G4402,Pubs!$A$2:$A$3001,0))&amp;"",""))</f>
        <v/>
      </c>
      <c r="N4402" s="27" t="n">
        <f aca="false">N(N4401)+IF(AND(A4402&lt;&gt;"",OR(Recherche!$C$4="",A4402=Recherche!$C$4),OR(Recherche!$C$5="",B4402&amp;""=Recherche!$C$5&amp;""),OR(Recherche!$C$6="",IFERROR(YEAR(L4402),0)=Recherche!$C$6),OR(Recherche!$C$7="",ISNUMBER(SEARCH(Recherche!$C$7,H4402))),OR(Recherche!$C$8="",J4402=Recherche!$C$8),OR(Recherche!$C$9="",I4402=Recherche!$C$9),OR(Recherche!$C$10="",G4402&amp;""=Recherche!$C$10&amp;""),OR(Recherche!$C$11="",E4402=Recherche!$C$11),OR(Recherche!$C$12="",ISNUMBER(SEARCH(Recherche!$C$12,M4402&amp;" "&amp;F4402)))),1,0)</f>
        <v>8</v>
      </c>
    </row>
    <row r="4403" customFormat="false" ht="15" hidden="false" customHeight="false" outlineLevel="0" collapsed="false">
      <c r="A4403" s="19"/>
      <c r="B4403" s="19"/>
      <c r="C4403" s="19"/>
      <c r="D4403" s="19"/>
      <c r="E4403" s="22"/>
      <c r="F4403" s="19"/>
      <c r="G4403" s="26" t="str">
        <f aca="false">IF(D4403="","",IFERROR(VALUE(LEFT(D4403,FIND(" |",D4403&amp;" |")-1)),"?"))</f>
        <v/>
      </c>
      <c r="H4403" s="27" t="str">
        <f aca="false">IF(G4403="","",IF(G4403="?","⚠ pub inconnue",IFERROR(INDEX(Pubs!$B$2:$B$3001,MATCH(G4403,Pubs!$A$2:$A$3001,0))&amp;"","⚠ pub inconnue")))</f>
        <v/>
      </c>
      <c r="I4403" s="27" t="str">
        <f aca="false">IF(OR(G4403="",G4403="?"),"",IFERROR(INDEX(Pubs!$C$2:$C$3001,MATCH(G4403,Pubs!$A$2:$A$3001,0))&amp;"",""))</f>
        <v/>
      </c>
      <c r="J4403" s="27" t="str">
        <f aca="false">IF(OR(G4403="",G4403="?"),"",IFERROR(INDEX(Pubs!$G$2:$G$3001,MATCH(G4403,Pubs!$A$2:$A$3001,0))&amp;"",""))</f>
        <v/>
      </c>
      <c r="K4403" s="28" t="str">
        <f aca="false">IF(OR(G4403="",G4403="?"),"",IFERROR(INDEX(Pubs!$E$2:$E$3001,MATCH(G4403,Pubs!$A$2:$A$3001,0)),""))</f>
        <v/>
      </c>
      <c r="L4403" s="29" t="str">
        <f aca="false">IF(A4403="","",IFERROR(1/(1/INDEX(Numéros!$C$2:$C$3001,MATCH(A4403&amp;"|"&amp;B4403,Numéros!$F$2:$F$3001,0))),""))</f>
        <v/>
      </c>
      <c r="M4403" s="27" t="str">
        <f aca="false">IF(OR(G4403="",G4403="?"),"",IFERROR(INDEX(Pubs!$D$2:$D$3001,MATCH(G4403,Pubs!$A$2:$A$3001,0))&amp;"",""))</f>
        <v/>
      </c>
      <c r="N4403" s="27" t="n">
        <f aca="false">N(N4402)+IF(AND(A4403&lt;&gt;"",OR(Recherche!$C$4="",A4403=Recherche!$C$4),OR(Recherche!$C$5="",B4403&amp;""=Recherche!$C$5&amp;""),OR(Recherche!$C$6="",IFERROR(YEAR(L4403),0)=Recherche!$C$6),OR(Recherche!$C$7="",ISNUMBER(SEARCH(Recherche!$C$7,H4403))),OR(Recherche!$C$8="",J4403=Recherche!$C$8),OR(Recherche!$C$9="",I4403=Recherche!$C$9),OR(Recherche!$C$10="",G4403&amp;""=Recherche!$C$10&amp;""),OR(Recherche!$C$11="",E4403=Recherche!$C$11),OR(Recherche!$C$12="",ISNUMBER(SEARCH(Recherche!$C$12,M4403&amp;" "&amp;F4403)))),1,0)</f>
        <v>8</v>
      </c>
    </row>
    <row r="4404" customFormat="false" ht="15" hidden="false" customHeight="false" outlineLevel="0" collapsed="false">
      <c r="A4404" s="19"/>
      <c r="B4404" s="19"/>
      <c r="C4404" s="19"/>
      <c r="D4404" s="19"/>
      <c r="E4404" s="22"/>
      <c r="F4404" s="19"/>
      <c r="G4404" s="26" t="str">
        <f aca="false">IF(D4404="","",IFERROR(VALUE(LEFT(D4404,FIND(" |",D4404&amp;" |")-1)),"?"))</f>
        <v/>
      </c>
      <c r="H4404" s="27" t="str">
        <f aca="false">IF(G4404="","",IF(G4404="?","⚠ pub inconnue",IFERROR(INDEX(Pubs!$B$2:$B$3001,MATCH(G4404,Pubs!$A$2:$A$3001,0))&amp;"","⚠ pub inconnue")))</f>
        <v/>
      </c>
      <c r="I4404" s="27" t="str">
        <f aca="false">IF(OR(G4404="",G4404="?"),"",IFERROR(INDEX(Pubs!$C$2:$C$3001,MATCH(G4404,Pubs!$A$2:$A$3001,0))&amp;"",""))</f>
        <v/>
      </c>
      <c r="J4404" s="27" t="str">
        <f aca="false">IF(OR(G4404="",G4404="?"),"",IFERROR(INDEX(Pubs!$G$2:$G$3001,MATCH(G4404,Pubs!$A$2:$A$3001,0))&amp;"",""))</f>
        <v/>
      </c>
      <c r="K4404" s="28" t="str">
        <f aca="false">IF(OR(G4404="",G4404="?"),"",IFERROR(INDEX(Pubs!$E$2:$E$3001,MATCH(G4404,Pubs!$A$2:$A$3001,0)),""))</f>
        <v/>
      </c>
      <c r="L4404" s="29" t="str">
        <f aca="false">IF(A4404="","",IFERROR(1/(1/INDEX(Numéros!$C$2:$C$3001,MATCH(A4404&amp;"|"&amp;B4404,Numéros!$F$2:$F$3001,0))),""))</f>
        <v/>
      </c>
      <c r="M4404" s="27" t="str">
        <f aca="false">IF(OR(G4404="",G4404="?"),"",IFERROR(INDEX(Pubs!$D$2:$D$3001,MATCH(G4404,Pubs!$A$2:$A$3001,0))&amp;"",""))</f>
        <v/>
      </c>
      <c r="N4404" s="27" t="n">
        <f aca="false">N(N4403)+IF(AND(A4404&lt;&gt;"",OR(Recherche!$C$4="",A4404=Recherche!$C$4),OR(Recherche!$C$5="",B4404&amp;""=Recherche!$C$5&amp;""),OR(Recherche!$C$6="",IFERROR(YEAR(L4404),0)=Recherche!$C$6),OR(Recherche!$C$7="",ISNUMBER(SEARCH(Recherche!$C$7,H4404))),OR(Recherche!$C$8="",J4404=Recherche!$C$8),OR(Recherche!$C$9="",I4404=Recherche!$C$9),OR(Recherche!$C$10="",G4404&amp;""=Recherche!$C$10&amp;""),OR(Recherche!$C$11="",E4404=Recherche!$C$11),OR(Recherche!$C$12="",ISNUMBER(SEARCH(Recherche!$C$12,M4404&amp;" "&amp;F4404)))),1,0)</f>
        <v>8</v>
      </c>
    </row>
    <row r="4405" customFormat="false" ht="15" hidden="false" customHeight="false" outlineLevel="0" collapsed="false">
      <c r="A4405" s="19"/>
      <c r="B4405" s="19"/>
      <c r="C4405" s="19"/>
      <c r="D4405" s="19"/>
      <c r="E4405" s="22"/>
      <c r="F4405" s="19"/>
      <c r="G4405" s="26" t="str">
        <f aca="false">IF(D4405="","",IFERROR(VALUE(LEFT(D4405,FIND(" |",D4405&amp;" |")-1)),"?"))</f>
        <v/>
      </c>
      <c r="H4405" s="27" t="str">
        <f aca="false">IF(G4405="","",IF(G4405="?","⚠ pub inconnue",IFERROR(INDEX(Pubs!$B$2:$B$3001,MATCH(G4405,Pubs!$A$2:$A$3001,0))&amp;"","⚠ pub inconnue")))</f>
        <v/>
      </c>
      <c r="I4405" s="27" t="str">
        <f aca="false">IF(OR(G4405="",G4405="?"),"",IFERROR(INDEX(Pubs!$C$2:$C$3001,MATCH(G4405,Pubs!$A$2:$A$3001,0))&amp;"",""))</f>
        <v/>
      </c>
      <c r="J4405" s="27" t="str">
        <f aca="false">IF(OR(G4405="",G4405="?"),"",IFERROR(INDEX(Pubs!$G$2:$G$3001,MATCH(G4405,Pubs!$A$2:$A$3001,0))&amp;"",""))</f>
        <v/>
      </c>
      <c r="K4405" s="28" t="str">
        <f aca="false">IF(OR(G4405="",G4405="?"),"",IFERROR(INDEX(Pubs!$E$2:$E$3001,MATCH(G4405,Pubs!$A$2:$A$3001,0)),""))</f>
        <v/>
      </c>
      <c r="L4405" s="29" t="str">
        <f aca="false">IF(A4405="","",IFERROR(1/(1/INDEX(Numéros!$C$2:$C$3001,MATCH(A4405&amp;"|"&amp;B4405,Numéros!$F$2:$F$3001,0))),""))</f>
        <v/>
      </c>
      <c r="M4405" s="27" t="str">
        <f aca="false">IF(OR(G4405="",G4405="?"),"",IFERROR(INDEX(Pubs!$D$2:$D$3001,MATCH(G4405,Pubs!$A$2:$A$3001,0))&amp;"",""))</f>
        <v/>
      </c>
      <c r="N4405" s="27" t="n">
        <f aca="false">N(N4404)+IF(AND(A4405&lt;&gt;"",OR(Recherche!$C$4="",A4405=Recherche!$C$4),OR(Recherche!$C$5="",B4405&amp;""=Recherche!$C$5&amp;""),OR(Recherche!$C$6="",IFERROR(YEAR(L4405),0)=Recherche!$C$6),OR(Recherche!$C$7="",ISNUMBER(SEARCH(Recherche!$C$7,H4405))),OR(Recherche!$C$8="",J4405=Recherche!$C$8),OR(Recherche!$C$9="",I4405=Recherche!$C$9),OR(Recherche!$C$10="",G4405&amp;""=Recherche!$C$10&amp;""),OR(Recherche!$C$11="",E4405=Recherche!$C$11),OR(Recherche!$C$12="",ISNUMBER(SEARCH(Recherche!$C$12,M4405&amp;" "&amp;F4405)))),1,0)</f>
        <v>8</v>
      </c>
    </row>
    <row r="4406" customFormat="false" ht="15" hidden="false" customHeight="false" outlineLevel="0" collapsed="false">
      <c r="A4406" s="19"/>
      <c r="B4406" s="19"/>
      <c r="C4406" s="19"/>
      <c r="D4406" s="19"/>
      <c r="E4406" s="22"/>
      <c r="F4406" s="19"/>
      <c r="G4406" s="26" t="str">
        <f aca="false">IF(D4406="","",IFERROR(VALUE(LEFT(D4406,FIND(" |",D4406&amp;" |")-1)),"?"))</f>
        <v/>
      </c>
      <c r="H4406" s="27" t="str">
        <f aca="false">IF(G4406="","",IF(G4406="?","⚠ pub inconnue",IFERROR(INDEX(Pubs!$B$2:$B$3001,MATCH(G4406,Pubs!$A$2:$A$3001,0))&amp;"","⚠ pub inconnue")))</f>
        <v/>
      </c>
      <c r="I4406" s="27" t="str">
        <f aca="false">IF(OR(G4406="",G4406="?"),"",IFERROR(INDEX(Pubs!$C$2:$C$3001,MATCH(G4406,Pubs!$A$2:$A$3001,0))&amp;"",""))</f>
        <v/>
      </c>
      <c r="J4406" s="27" t="str">
        <f aca="false">IF(OR(G4406="",G4406="?"),"",IFERROR(INDEX(Pubs!$G$2:$G$3001,MATCH(G4406,Pubs!$A$2:$A$3001,0))&amp;"",""))</f>
        <v/>
      </c>
      <c r="K4406" s="28" t="str">
        <f aca="false">IF(OR(G4406="",G4406="?"),"",IFERROR(INDEX(Pubs!$E$2:$E$3001,MATCH(G4406,Pubs!$A$2:$A$3001,0)),""))</f>
        <v/>
      </c>
      <c r="L4406" s="29" t="str">
        <f aca="false">IF(A4406="","",IFERROR(1/(1/INDEX(Numéros!$C$2:$C$3001,MATCH(A4406&amp;"|"&amp;B4406,Numéros!$F$2:$F$3001,0))),""))</f>
        <v/>
      </c>
      <c r="M4406" s="27" t="str">
        <f aca="false">IF(OR(G4406="",G4406="?"),"",IFERROR(INDEX(Pubs!$D$2:$D$3001,MATCH(G4406,Pubs!$A$2:$A$3001,0))&amp;"",""))</f>
        <v/>
      </c>
      <c r="N4406" s="27" t="n">
        <f aca="false">N(N4405)+IF(AND(A4406&lt;&gt;"",OR(Recherche!$C$4="",A4406=Recherche!$C$4),OR(Recherche!$C$5="",B4406&amp;""=Recherche!$C$5&amp;""),OR(Recherche!$C$6="",IFERROR(YEAR(L4406),0)=Recherche!$C$6),OR(Recherche!$C$7="",ISNUMBER(SEARCH(Recherche!$C$7,H4406))),OR(Recherche!$C$8="",J4406=Recherche!$C$8),OR(Recherche!$C$9="",I4406=Recherche!$C$9),OR(Recherche!$C$10="",G4406&amp;""=Recherche!$C$10&amp;""),OR(Recherche!$C$11="",E4406=Recherche!$C$11),OR(Recherche!$C$12="",ISNUMBER(SEARCH(Recherche!$C$12,M4406&amp;" "&amp;F4406)))),1,0)</f>
        <v>8</v>
      </c>
    </row>
    <row r="4407" customFormat="false" ht="15" hidden="false" customHeight="false" outlineLevel="0" collapsed="false">
      <c r="A4407" s="19"/>
      <c r="B4407" s="19"/>
      <c r="C4407" s="19"/>
      <c r="D4407" s="19"/>
      <c r="E4407" s="22"/>
      <c r="F4407" s="19"/>
      <c r="G4407" s="26" t="str">
        <f aca="false">IF(D4407="","",IFERROR(VALUE(LEFT(D4407,FIND(" |",D4407&amp;" |")-1)),"?"))</f>
        <v/>
      </c>
      <c r="H4407" s="27" t="str">
        <f aca="false">IF(G4407="","",IF(G4407="?","⚠ pub inconnue",IFERROR(INDEX(Pubs!$B$2:$B$3001,MATCH(G4407,Pubs!$A$2:$A$3001,0))&amp;"","⚠ pub inconnue")))</f>
        <v/>
      </c>
      <c r="I4407" s="27" t="str">
        <f aca="false">IF(OR(G4407="",G4407="?"),"",IFERROR(INDEX(Pubs!$C$2:$C$3001,MATCH(G4407,Pubs!$A$2:$A$3001,0))&amp;"",""))</f>
        <v/>
      </c>
      <c r="J4407" s="27" t="str">
        <f aca="false">IF(OR(G4407="",G4407="?"),"",IFERROR(INDEX(Pubs!$G$2:$G$3001,MATCH(G4407,Pubs!$A$2:$A$3001,0))&amp;"",""))</f>
        <v/>
      </c>
      <c r="K4407" s="28" t="str">
        <f aca="false">IF(OR(G4407="",G4407="?"),"",IFERROR(INDEX(Pubs!$E$2:$E$3001,MATCH(G4407,Pubs!$A$2:$A$3001,0)),""))</f>
        <v/>
      </c>
      <c r="L4407" s="29" t="str">
        <f aca="false">IF(A4407="","",IFERROR(1/(1/INDEX(Numéros!$C$2:$C$3001,MATCH(A4407&amp;"|"&amp;B4407,Numéros!$F$2:$F$3001,0))),""))</f>
        <v/>
      </c>
      <c r="M4407" s="27" t="str">
        <f aca="false">IF(OR(G4407="",G4407="?"),"",IFERROR(INDEX(Pubs!$D$2:$D$3001,MATCH(G4407,Pubs!$A$2:$A$3001,0))&amp;"",""))</f>
        <v/>
      </c>
      <c r="N4407" s="27" t="n">
        <f aca="false">N(N4406)+IF(AND(A4407&lt;&gt;"",OR(Recherche!$C$4="",A4407=Recherche!$C$4),OR(Recherche!$C$5="",B4407&amp;""=Recherche!$C$5&amp;""),OR(Recherche!$C$6="",IFERROR(YEAR(L4407),0)=Recherche!$C$6),OR(Recherche!$C$7="",ISNUMBER(SEARCH(Recherche!$C$7,H4407))),OR(Recherche!$C$8="",J4407=Recherche!$C$8),OR(Recherche!$C$9="",I4407=Recherche!$C$9),OR(Recherche!$C$10="",G4407&amp;""=Recherche!$C$10&amp;""),OR(Recherche!$C$11="",E4407=Recherche!$C$11),OR(Recherche!$C$12="",ISNUMBER(SEARCH(Recherche!$C$12,M4407&amp;" "&amp;F4407)))),1,0)</f>
        <v>8</v>
      </c>
    </row>
    <row r="4408" customFormat="false" ht="15" hidden="false" customHeight="false" outlineLevel="0" collapsed="false">
      <c r="A4408" s="19"/>
      <c r="B4408" s="19"/>
      <c r="C4408" s="19"/>
      <c r="D4408" s="19"/>
      <c r="E4408" s="22"/>
      <c r="F4408" s="19"/>
      <c r="G4408" s="26" t="str">
        <f aca="false">IF(D4408="","",IFERROR(VALUE(LEFT(D4408,FIND(" |",D4408&amp;" |")-1)),"?"))</f>
        <v/>
      </c>
      <c r="H4408" s="27" t="str">
        <f aca="false">IF(G4408="","",IF(G4408="?","⚠ pub inconnue",IFERROR(INDEX(Pubs!$B$2:$B$3001,MATCH(G4408,Pubs!$A$2:$A$3001,0))&amp;"","⚠ pub inconnue")))</f>
        <v/>
      </c>
      <c r="I4408" s="27" t="str">
        <f aca="false">IF(OR(G4408="",G4408="?"),"",IFERROR(INDEX(Pubs!$C$2:$C$3001,MATCH(G4408,Pubs!$A$2:$A$3001,0))&amp;"",""))</f>
        <v/>
      </c>
      <c r="J4408" s="27" t="str">
        <f aca="false">IF(OR(G4408="",G4408="?"),"",IFERROR(INDEX(Pubs!$G$2:$G$3001,MATCH(G4408,Pubs!$A$2:$A$3001,0))&amp;"",""))</f>
        <v/>
      </c>
      <c r="K4408" s="28" t="str">
        <f aca="false">IF(OR(G4408="",G4408="?"),"",IFERROR(INDEX(Pubs!$E$2:$E$3001,MATCH(G4408,Pubs!$A$2:$A$3001,0)),""))</f>
        <v/>
      </c>
      <c r="L4408" s="29" t="str">
        <f aca="false">IF(A4408="","",IFERROR(1/(1/INDEX(Numéros!$C$2:$C$3001,MATCH(A4408&amp;"|"&amp;B4408,Numéros!$F$2:$F$3001,0))),""))</f>
        <v/>
      </c>
      <c r="M4408" s="27" t="str">
        <f aca="false">IF(OR(G4408="",G4408="?"),"",IFERROR(INDEX(Pubs!$D$2:$D$3001,MATCH(G4408,Pubs!$A$2:$A$3001,0))&amp;"",""))</f>
        <v/>
      </c>
      <c r="N4408" s="27" t="n">
        <f aca="false">N(N4407)+IF(AND(A4408&lt;&gt;"",OR(Recherche!$C$4="",A4408=Recherche!$C$4),OR(Recherche!$C$5="",B4408&amp;""=Recherche!$C$5&amp;""),OR(Recherche!$C$6="",IFERROR(YEAR(L4408),0)=Recherche!$C$6),OR(Recherche!$C$7="",ISNUMBER(SEARCH(Recherche!$C$7,H4408))),OR(Recherche!$C$8="",J4408=Recherche!$C$8),OR(Recherche!$C$9="",I4408=Recherche!$C$9),OR(Recherche!$C$10="",G4408&amp;""=Recherche!$C$10&amp;""),OR(Recherche!$C$11="",E4408=Recherche!$C$11),OR(Recherche!$C$12="",ISNUMBER(SEARCH(Recherche!$C$12,M4408&amp;" "&amp;F4408)))),1,0)</f>
        <v>8</v>
      </c>
    </row>
    <row r="4409" customFormat="false" ht="15" hidden="false" customHeight="false" outlineLevel="0" collapsed="false">
      <c r="A4409" s="19"/>
      <c r="B4409" s="19"/>
      <c r="C4409" s="19"/>
      <c r="D4409" s="19"/>
      <c r="E4409" s="22"/>
      <c r="F4409" s="19"/>
      <c r="G4409" s="26" t="str">
        <f aca="false">IF(D4409="","",IFERROR(VALUE(LEFT(D4409,FIND(" |",D4409&amp;" |")-1)),"?"))</f>
        <v/>
      </c>
      <c r="H4409" s="27" t="str">
        <f aca="false">IF(G4409="","",IF(G4409="?","⚠ pub inconnue",IFERROR(INDEX(Pubs!$B$2:$B$3001,MATCH(G4409,Pubs!$A$2:$A$3001,0))&amp;"","⚠ pub inconnue")))</f>
        <v/>
      </c>
      <c r="I4409" s="27" t="str">
        <f aca="false">IF(OR(G4409="",G4409="?"),"",IFERROR(INDEX(Pubs!$C$2:$C$3001,MATCH(G4409,Pubs!$A$2:$A$3001,0))&amp;"",""))</f>
        <v/>
      </c>
      <c r="J4409" s="27" t="str">
        <f aca="false">IF(OR(G4409="",G4409="?"),"",IFERROR(INDEX(Pubs!$G$2:$G$3001,MATCH(G4409,Pubs!$A$2:$A$3001,0))&amp;"",""))</f>
        <v/>
      </c>
      <c r="K4409" s="28" t="str">
        <f aca="false">IF(OR(G4409="",G4409="?"),"",IFERROR(INDEX(Pubs!$E$2:$E$3001,MATCH(G4409,Pubs!$A$2:$A$3001,0)),""))</f>
        <v/>
      </c>
      <c r="L4409" s="29" t="str">
        <f aca="false">IF(A4409="","",IFERROR(1/(1/INDEX(Numéros!$C$2:$C$3001,MATCH(A4409&amp;"|"&amp;B4409,Numéros!$F$2:$F$3001,0))),""))</f>
        <v/>
      </c>
      <c r="M4409" s="27" t="str">
        <f aca="false">IF(OR(G4409="",G4409="?"),"",IFERROR(INDEX(Pubs!$D$2:$D$3001,MATCH(G4409,Pubs!$A$2:$A$3001,0))&amp;"",""))</f>
        <v/>
      </c>
      <c r="N4409" s="27" t="n">
        <f aca="false">N(N4408)+IF(AND(A4409&lt;&gt;"",OR(Recherche!$C$4="",A4409=Recherche!$C$4),OR(Recherche!$C$5="",B4409&amp;""=Recherche!$C$5&amp;""),OR(Recherche!$C$6="",IFERROR(YEAR(L4409),0)=Recherche!$C$6),OR(Recherche!$C$7="",ISNUMBER(SEARCH(Recherche!$C$7,H4409))),OR(Recherche!$C$8="",J4409=Recherche!$C$8),OR(Recherche!$C$9="",I4409=Recherche!$C$9),OR(Recherche!$C$10="",G4409&amp;""=Recherche!$C$10&amp;""),OR(Recherche!$C$11="",E4409=Recherche!$C$11),OR(Recherche!$C$12="",ISNUMBER(SEARCH(Recherche!$C$12,M4409&amp;" "&amp;F4409)))),1,0)</f>
        <v>8</v>
      </c>
    </row>
    <row r="4410" customFormat="false" ht="15" hidden="false" customHeight="false" outlineLevel="0" collapsed="false">
      <c r="A4410" s="19"/>
      <c r="B4410" s="19"/>
      <c r="C4410" s="19"/>
      <c r="D4410" s="19"/>
      <c r="E4410" s="22"/>
      <c r="F4410" s="19"/>
      <c r="G4410" s="26" t="str">
        <f aca="false">IF(D4410="","",IFERROR(VALUE(LEFT(D4410,FIND(" |",D4410&amp;" |")-1)),"?"))</f>
        <v/>
      </c>
      <c r="H4410" s="27" t="str">
        <f aca="false">IF(G4410="","",IF(G4410="?","⚠ pub inconnue",IFERROR(INDEX(Pubs!$B$2:$B$3001,MATCH(G4410,Pubs!$A$2:$A$3001,0))&amp;"","⚠ pub inconnue")))</f>
        <v/>
      </c>
      <c r="I4410" s="27" t="str">
        <f aca="false">IF(OR(G4410="",G4410="?"),"",IFERROR(INDEX(Pubs!$C$2:$C$3001,MATCH(G4410,Pubs!$A$2:$A$3001,0))&amp;"",""))</f>
        <v/>
      </c>
      <c r="J4410" s="27" t="str">
        <f aca="false">IF(OR(G4410="",G4410="?"),"",IFERROR(INDEX(Pubs!$G$2:$G$3001,MATCH(G4410,Pubs!$A$2:$A$3001,0))&amp;"",""))</f>
        <v/>
      </c>
      <c r="K4410" s="28" t="str">
        <f aca="false">IF(OR(G4410="",G4410="?"),"",IFERROR(INDEX(Pubs!$E$2:$E$3001,MATCH(G4410,Pubs!$A$2:$A$3001,0)),""))</f>
        <v/>
      </c>
      <c r="L4410" s="29" t="str">
        <f aca="false">IF(A4410="","",IFERROR(1/(1/INDEX(Numéros!$C$2:$C$3001,MATCH(A4410&amp;"|"&amp;B4410,Numéros!$F$2:$F$3001,0))),""))</f>
        <v/>
      </c>
      <c r="M4410" s="27" t="str">
        <f aca="false">IF(OR(G4410="",G4410="?"),"",IFERROR(INDEX(Pubs!$D$2:$D$3001,MATCH(G4410,Pubs!$A$2:$A$3001,0))&amp;"",""))</f>
        <v/>
      </c>
      <c r="N4410" s="27" t="n">
        <f aca="false">N(N4409)+IF(AND(A4410&lt;&gt;"",OR(Recherche!$C$4="",A4410=Recherche!$C$4),OR(Recherche!$C$5="",B4410&amp;""=Recherche!$C$5&amp;""),OR(Recherche!$C$6="",IFERROR(YEAR(L4410),0)=Recherche!$C$6),OR(Recherche!$C$7="",ISNUMBER(SEARCH(Recherche!$C$7,H4410))),OR(Recherche!$C$8="",J4410=Recherche!$C$8),OR(Recherche!$C$9="",I4410=Recherche!$C$9),OR(Recherche!$C$10="",G4410&amp;""=Recherche!$C$10&amp;""),OR(Recherche!$C$11="",E4410=Recherche!$C$11),OR(Recherche!$C$12="",ISNUMBER(SEARCH(Recherche!$C$12,M4410&amp;" "&amp;F4410)))),1,0)</f>
        <v>8</v>
      </c>
    </row>
    <row r="4411" customFormat="false" ht="15" hidden="false" customHeight="false" outlineLevel="0" collapsed="false">
      <c r="A4411" s="19"/>
      <c r="B4411" s="19"/>
      <c r="C4411" s="19"/>
      <c r="D4411" s="19"/>
      <c r="E4411" s="22"/>
      <c r="F4411" s="19"/>
      <c r="G4411" s="26" t="str">
        <f aca="false">IF(D4411="","",IFERROR(VALUE(LEFT(D4411,FIND(" |",D4411&amp;" |")-1)),"?"))</f>
        <v/>
      </c>
      <c r="H4411" s="27" t="str">
        <f aca="false">IF(G4411="","",IF(G4411="?","⚠ pub inconnue",IFERROR(INDEX(Pubs!$B$2:$B$3001,MATCH(G4411,Pubs!$A$2:$A$3001,0))&amp;"","⚠ pub inconnue")))</f>
        <v/>
      </c>
      <c r="I4411" s="27" t="str">
        <f aca="false">IF(OR(G4411="",G4411="?"),"",IFERROR(INDEX(Pubs!$C$2:$C$3001,MATCH(G4411,Pubs!$A$2:$A$3001,0))&amp;"",""))</f>
        <v/>
      </c>
      <c r="J4411" s="27" t="str">
        <f aca="false">IF(OR(G4411="",G4411="?"),"",IFERROR(INDEX(Pubs!$G$2:$G$3001,MATCH(G4411,Pubs!$A$2:$A$3001,0))&amp;"",""))</f>
        <v/>
      </c>
      <c r="K4411" s="28" t="str">
        <f aca="false">IF(OR(G4411="",G4411="?"),"",IFERROR(INDEX(Pubs!$E$2:$E$3001,MATCH(G4411,Pubs!$A$2:$A$3001,0)),""))</f>
        <v/>
      </c>
      <c r="L4411" s="29" t="str">
        <f aca="false">IF(A4411="","",IFERROR(1/(1/INDEX(Numéros!$C$2:$C$3001,MATCH(A4411&amp;"|"&amp;B4411,Numéros!$F$2:$F$3001,0))),""))</f>
        <v/>
      </c>
      <c r="M4411" s="27" t="str">
        <f aca="false">IF(OR(G4411="",G4411="?"),"",IFERROR(INDEX(Pubs!$D$2:$D$3001,MATCH(G4411,Pubs!$A$2:$A$3001,0))&amp;"",""))</f>
        <v/>
      </c>
      <c r="N4411" s="27" t="n">
        <f aca="false">N(N4410)+IF(AND(A4411&lt;&gt;"",OR(Recherche!$C$4="",A4411=Recherche!$C$4),OR(Recherche!$C$5="",B4411&amp;""=Recherche!$C$5&amp;""),OR(Recherche!$C$6="",IFERROR(YEAR(L4411),0)=Recherche!$C$6),OR(Recherche!$C$7="",ISNUMBER(SEARCH(Recherche!$C$7,H4411))),OR(Recherche!$C$8="",J4411=Recherche!$C$8),OR(Recherche!$C$9="",I4411=Recherche!$C$9),OR(Recherche!$C$10="",G4411&amp;""=Recherche!$C$10&amp;""),OR(Recherche!$C$11="",E4411=Recherche!$C$11),OR(Recherche!$C$12="",ISNUMBER(SEARCH(Recherche!$C$12,M4411&amp;" "&amp;F4411)))),1,0)</f>
        <v>8</v>
      </c>
    </row>
    <row r="4412" customFormat="false" ht="15" hidden="false" customHeight="false" outlineLevel="0" collapsed="false">
      <c r="A4412" s="19"/>
      <c r="B4412" s="19"/>
      <c r="C4412" s="19"/>
      <c r="D4412" s="19"/>
      <c r="E4412" s="22"/>
      <c r="F4412" s="19"/>
      <c r="G4412" s="26" t="str">
        <f aca="false">IF(D4412="","",IFERROR(VALUE(LEFT(D4412,FIND(" |",D4412&amp;" |")-1)),"?"))</f>
        <v/>
      </c>
      <c r="H4412" s="27" t="str">
        <f aca="false">IF(G4412="","",IF(G4412="?","⚠ pub inconnue",IFERROR(INDEX(Pubs!$B$2:$B$3001,MATCH(G4412,Pubs!$A$2:$A$3001,0))&amp;"","⚠ pub inconnue")))</f>
        <v/>
      </c>
      <c r="I4412" s="27" t="str">
        <f aca="false">IF(OR(G4412="",G4412="?"),"",IFERROR(INDEX(Pubs!$C$2:$C$3001,MATCH(G4412,Pubs!$A$2:$A$3001,0))&amp;"",""))</f>
        <v/>
      </c>
      <c r="J4412" s="27" t="str">
        <f aca="false">IF(OR(G4412="",G4412="?"),"",IFERROR(INDEX(Pubs!$G$2:$G$3001,MATCH(G4412,Pubs!$A$2:$A$3001,0))&amp;"",""))</f>
        <v/>
      </c>
      <c r="K4412" s="28" t="str">
        <f aca="false">IF(OR(G4412="",G4412="?"),"",IFERROR(INDEX(Pubs!$E$2:$E$3001,MATCH(G4412,Pubs!$A$2:$A$3001,0)),""))</f>
        <v/>
      </c>
      <c r="L4412" s="29" t="str">
        <f aca="false">IF(A4412="","",IFERROR(1/(1/INDEX(Numéros!$C$2:$C$3001,MATCH(A4412&amp;"|"&amp;B4412,Numéros!$F$2:$F$3001,0))),""))</f>
        <v/>
      </c>
      <c r="M4412" s="27" t="str">
        <f aca="false">IF(OR(G4412="",G4412="?"),"",IFERROR(INDEX(Pubs!$D$2:$D$3001,MATCH(G4412,Pubs!$A$2:$A$3001,0))&amp;"",""))</f>
        <v/>
      </c>
      <c r="N4412" s="27" t="n">
        <f aca="false">N(N4411)+IF(AND(A4412&lt;&gt;"",OR(Recherche!$C$4="",A4412=Recherche!$C$4),OR(Recherche!$C$5="",B4412&amp;""=Recherche!$C$5&amp;""),OR(Recherche!$C$6="",IFERROR(YEAR(L4412),0)=Recherche!$C$6),OR(Recherche!$C$7="",ISNUMBER(SEARCH(Recherche!$C$7,H4412))),OR(Recherche!$C$8="",J4412=Recherche!$C$8),OR(Recherche!$C$9="",I4412=Recherche!$C$9),OR(Recherche!$C$10="",G4412&amp;""=Recherche!$C$10&amp;""),OR(Recherche!$C$11="",E4412=Recherche!$C$11),OR(Recherche!$C$12="",ISNUMBER(SEARCH(Recherche!$C$12,M4412&amp;" "&amp;F4412)))),1,0)</f>
        <v>8</v>
      </c>
    </row>
    <row r="4413" customFormat="false" ht="15" hidden="false" customHeight="false" outlineLevel="0" collapsed="false">
      <c r="A4413" s="19"/>
      <c r="B4413" s="19"/>
      <c r="C4413" s="19"/>
      <c r="D4413" s="19"/>
      <c r="E4413" s="22"/>
      <c r="F4413" s="19"/>
      <c r="G4413" s="26" t="str">
        <f aca="false">IF(D4413="","",IFERROR(VALUE(LEFT(D4413,FIND(" |",D4413&amp;" |")-1)),"?"))</f>
        <v/>
      </c>
      <c r="H4413" s="27" t="str">
        <f aca="false">IF(G4413="","",IF(G4413="?","⚠ pub inconnue",IFERROR(INDEX(Pubs!$B$2:$B$3001,MATCH(G4413,Pubs!$A$2:$A$3001,0))&amp;"","⚠ pub inconnue")))</f>
        <v/>
      </c>
      <c r="I4413" s="27" t="str">
        <f aca="false">IF(OR(G4413="",G4413="?"),"",IFERROR(INDEX(Pubs!$C$2:$C$3001,MATCH(G4413,Pubs!$A$2:$A$3001,0))&amp;"",""))</f>
        <v/>
      </c>
      <c r="J4413" s="27" t="str">
        <f aca="false">IF(OR(G4413="",G4413="?"),"",IFERROR(INDEX(Pubs!$G$2:$G$3001,MATCH(G4413,Pubs!$A$2:$A$3001,0))&amp;"",""))</f>
        <v/>
      </c>
      <c r="K4413" s="28" t="str">
        <f aca="false">IF(OR(G4413="",G4413="?"),"",IFERROR(INDEX(Pubs!$E$2:$E$3001,MATCH(G4413,Pubs!$A$2:$A$3001,0)),""))</f>
        <v/>
      </c>
      <c r="L4413" s="29" t="str">
        <f aca="false">IF(A4413="","",IFERROR(1/(1/INDEX(Numéros!$C$2:$C$3001,MATCH(A4413&amp;"|"&amp;B4413,Numéros!$F$2:$F$3001,0))),""))</f>
        <v/>
      </c>
      <c r="M4413" s="27" t="str">
        <f aca="false">IF(OR(G4413="",G4413="?"),"",IFERROR(INDEX(Pubs!$D$2:$D$3001,MATCH(G4413,Pubs!$A$2:$A$3001,0))&amp;"",""))</f>
        <v/>
      </c>
      <c r="N4413" s="27" t="n">
        <f aca="false">N(N4412)+IF(AND(A4413&lt;&gt;"",OR(Recherche!$C$4="",A4413=Recherche!$C$4),OR(Recherche!$C$5="",B4413&amp;""=Recherche!$C$5&amp;""),OR(Recherche!$C$6="",IFERROR(YEAR(L4413),0)=Recherche!$C$6),OR(Recherche!$C$7="",ISNUMBER(SEARCH(Recherche!$C$7,H4413))),OR(Recherche!$C$8="",J4413=Recherche!$C$8),OR(Recherche!$C$9="",I4413=Recherche!$C$9),OR(Recherche!$C$10="",G4413&amp;""=Recherche!$C$10&amp;""),OR(Recherche!$C$11="",E4413=Recherche!$C$11),OR(Recherche!$C$12="",ISNUMBER(SEARCH(Recherche!$C$12,M4413&amp;" "&amp;F4413)))),1,0)</f>
        <v>8</v>
      </c>
    </row>
    <row r="4414" customFormat="false" ht="15" hidden="false" customHeight="false" outlineLevel="0" collapsed="false">
      <c r="A4414" s="19"/>
      <c r="B4414" s="19"/>
      <c r="C4414" s="19"/>
      <c r="D4414" s="19"/>
      <c r="E4414" s="22"/>
      <c r="F4414" s="19"/>
      <c r="G4414" s="26" t="str">
        <f aca="false">IF(D4414="","",IFERROR(VALUE(LEFT(D4414,FIND(" |",D4414&amp;" |")-1)),"?"))</f>
        <v/>
      </c>
      <c r="H4414" s="27" t="str">
        <f aca="false">IF(G4414="","",IF(G4414="?","⚠ pub inconnue",IFERROR(INDEX(Pubs!$B$2:$B$3001,MATCH(G4414,Pubs!$A$2:$A$3001,0))&amp;"","⚠ pub inconnue")))</f>
        <v/>
      </c>
      <c r="I4414" s="27" t="str">
        <f aca="false">IF(OR(G4414="",G4414="?"),"",IFERROR(INDEX(Pubs!$C$2:$C$3001,MATCH(G4414,Pubs!$A$2:$A$3001,0))&amp;"",""))</f>
        <v/>
      </c>
      <c r="J4414" s="27" t="str">
        <f aca="false">IF(OR(G4414="",G4414="?"),"",IFERROR(INDEX(Pubs!$G$2:$G$3001,MATCH(G4414,Pubs!$A$2:$A$3001,0))&amp;"",""))</f>
        <v/>
      </c>
      <c r="K4414" s="28" t="str">
        <f aca="false">IF(OR(G4414="",G4414="?"),"",IFERROR(INDEX(Pubs!$E$2:$E$3001,MATCH(G4414,Pubs!$A$2:$A$3001,0)),""))</f>
        <v/>
      </c>
      <c r="L4414" s="29" t="str">
        <f aca="false">IF(A4414="","",IFERROR(1/(1/INDEX(Numéros!$C$2:$C$3001,MATCH(A4414&amp;"|"&amp;B4414,Numéros!$F$2:$F$3001,0))),""))</f>
        <v/>
      </c>
      <c r="M4414" s="27" t="str">
        <f aca="false">IF(OR(G4414="",G4414="?"),"",IFERROR(INDEX(Pubs!$D$2:$D$3001,MATCH(G4414,Pubs!$A$2:$A$3001,0))&amp;"",""))</f>
        <v/>
      </c>
      <c r="N4414" s="27" t="n">
        <f aca="false">N(N4413)+IF(AND(A4414&lt;&gt;"",OR(Recherche!$C$4="",A4414=Recherche!$C$4),OR(Recherche!$C$5="",B4414&amp;""=Recherche!$C$5&amp;""),OR(Recherche!$C$6="",IFERROR(YEAR(L4414),0)=Recherche!$C$6),OR(Recherche!$C$7="",ISNUMBER(SEARCH(Recherche!$C$7,H4414))),OR(Recherche!$C$8="",J4414=Recherche!$C$8),OR(Recherche!$C$9="",I4414=Recherche!$C$9),OR(Recherche!$C$10="",G4414&amp;""=Recherche!$C$10&amp;""),OR(Recherche!$C$11="",E4414=Recherche!$C$11),OR(Recherche!$C$12="",ISNUMBER(SEARCH(Recherche!$C$12,M4414&amp;" "&amp;F4414)))),1,0)</f>
        <v>8</v>
      </c>
    </row>
    <row r="4415" customFormat="false" ht="15" hidden="false" customHeight="false" outlineLevel="0" collapsed="false">
      <c r="A4415" s="19"/>
      <c r="B4415" s="19"/>
      <c r="C4415" s="19"/>
      <c r="D4415" s="19"/>
      <c r="E4415" s="22"/>
      <c r="F4415" s="19"/>
      <c r="G4415" s="26" t="str">
        <f aca="false">IF(D4415="","",IFERROR(VALUE(LEFT(D4415,FIND(" |",D4415&amp;" |")-1)),"?"))</f>
        <v/>
      </c>
      <c r="H4415" s="27" t="str">
        <f aca="false">IF(G4415="","",IF(G4415="?","⚠ pub inconnue",IFERROR(INDEX(Pubs!$B$2:$B$3001,MATCH(G4415,Pubs!$A$2:$A$3001,0))&amp;"","⚠ pub inconnue")))</f>
        <v/>
      </c>
      <c r="I4415" s="27" t="str">
        <f aca="false">IF(OR(G4415="",G4415="?"),"",IFERROR(INDEX(Pubs!$C$2:$C$3001,MATCH(G4415,Pubs!$A$2:$A$3001,0))&amp;"",""))</f>
        <v/>
      </c>
      <c r="J4415" s="27" t="str">
        <f aca="false">IF(OR(G4415="",G4415="?"),"",IFERROR(INDEX(Pubs!$G$2:$G$3001,MATCH(G4415,Pubs!$A$2:$A$3001,0))&amp;"",""))</f>
        <v/>
      </c>
      <c r="K4415" s="28" t="str">
        <f aca="false">IF(OR(G4415="",G4415="?"),"",IFERROR(INDEX(Pubs!$E$2:$E$3001,MATCH(G4415,Pubs!$A$2:$A$3001,0)),""))</f>
        <v/>
      </c>
      <c r="L4415" s="29" t="str">
        <f aca="false">IF(A4415="","",IFERROR(1/(1/INDEX(Numéros!$C$2:$C$3001,MATCH(A4415&amp;"|"&amp;B4415,Numéros!$F$2:$F$3001,0))),""))</f>
        <v/>
      </c>
      <c r="M4415" s="27" t="str">
        <f aca="false">IF(OR(G4415="",G4415="?"),"",IFERROR(INDEX(Pubs!$D$2:$D$3001,MATCH(G4415,Pubs!$A$2:$A$3001,0))&amp;"",""))</f>
        <v/>
      </c>
      <c r="N4415" s="27" t="n">
        <f aca="false">N(N4414)+IF(AND(A4415&lt;&gt;"",OR(Recherche!$C$4="",A4415=Recherche!$C$4),OR(Recherche!$C$5="",B4415&amp;""=Recherche!$C$5&amp;""),OR(Recherche!$C$6="",IFERROR(YEAR(L4415),0)=Recherche!$C$6),OR(Recherche!$C$7="",ISNUMBER(SEARCH(Recherche!$C$7,H4415))),OR(Recherche!$C$8="",J4415=Recherche!$C$8),OR(Recherche!$C$9="",I4415=Recherche!$C$9),OR(Recherche!$C$10="",G4415&amp;""=Recherche!$C$10&amp;""),OR(Recherche!$C$11="",E4415=Recherche!$C$11),OR(Recherche!$C$12="",ISNUMBER(SEARCH(Recherche!$C$12,M4415&amp;" "&amp;F4415)))),1,0)</f>
        <v>8</v>
      </c>
    </row>
    <row r="4416" customFormat="false" ht="15" hidden="false" customHeight="false" outlineLevel="0" collapsed="false">
      <c r="A4416" s="19"/>
      <c r="B4416" s="19"/>
      <c r="C4416" s="19"/>
      <c r="D4416" s="19"/>
      <c r="E4416" s="22"/>
      <c r="F4416" s="19"/>
      <c r="G4416" s="26" t="str">
        <f aca="false">IF(D4416="","",IFERROR(VALUE(LEFT(D4416,FIND(" |",D4416&amp;" |")-1)),"?"))</f>
        <v/>
      </c>
      <c r="H4416" s="27" t="str">
        <f aca="false">IF(G4416="","",IF(G4416="?","⚠ pub inconnue",IFERROR(INDEX(Pubs!$B$2:$B$3001,MATCH(G4416,Pubs!$A$2:$A$3001,0))&amp;"","⚠ pub inconnue")))</f>
        <v/>
      </c>
      <c r="I4416" s="27" t="str">
        <f aca="false">IF(OR(G4416="",G4416="?"),"",IFERROR(INDEX(Pubs!$C$2:$C$3001,MATCH(G4416,Pubs!$A$2:$A$3001,0))&amp;"",""))</f>
        <v/>
      </c>
      <c r="J4416" s="27" t="str">
        <f aca="false">IF(OR(G4416="",G4416="?"),"",IFERROR(INDEX(Pubs!$G$2:$G$3001,MATCH(G4416,Pubs!$A$2:$A$3001,0))&amp;"",""))</f>
        <v/>
      </c>
      <c r="K4416" s="28" t="str">
        <f aca="false">IF(OR(G4416="",G4416="?"),"",IFERROR(INDEX(Pubs!$E$2:$E$3001,MATCH(G4416,Pubs!$A$2:$A$3001,0)),""))</f>
        <v/>
      </c>
      <c r="L4416" s="29" t="str">
        <f aca="false">IF(A4416="","",IFERROR(1/(1/INDEX(Numéros!$C$2:$C$3001,MATCH(A4416&amp;"|"&amp;B4416,Numéros!$F$2:$F$3001,0))),""))</f>
        <v/>
      </c>
      <c r="M4416" s="27" t="str">
        <f aca="false">IF(OR(G4416="",G4416="?"),"",IFERROR(INDEX(Pubs!$D$2:$D$3001,MATCH(G4416,Pubs!$A$2:$A$3001,0))&amp;"",""))</f>
        <v/>
      </c>
      <c r="N4416" s="27" t="n">
        <f aca="false">N(N4415)+IF(AND(A4416&lt;&gt;"",OR(Recherche!$C$4="",A4416=Recherche!$C$4),OR(Recherche!$C$5="",B4416&amp;""=Recherche!$C$5&amp;""),OR(Recherche!$C$6="",IFERROR(YEAR(L4416),0)=Recherche!$C$6),OR(Recherche!$C$7="",ISNUMBER(SEARCH(Recherche!$C$7,H4416))),OR(Recherche!$C$8="",J4416=Recherche!$C$8),OR(Recherche!$C$9="",I4416=Recherche!$C$9),OR(Recherche!$C$10="",G4416&amp;""=Recherche!$C$10&amp;""),OR(Recherche!$C$11="",E4416=Recherche!$C$11),OR(Recherche!$C$12="",ISNUMBER(SEARCH(Recherche!$C$12,M4416&amp;" "&amp;F4416)))),1,0)</f>
        <v>8</v>
      </c>
    </row>
    <row r="4417" customFormat="false" ht="15" hidden="false" customHeight="false" outlineLevel="0" collapsed="false">
      <c r="A4417" s="19"/>
      <c r="B4417" s="19"/>
      <c r="C4417" s="19"/>
      <c r="D4417" s="19"/>
      <c r="E4417" s="22"/>
      <c r="F4417" s="19"/>
      <c r="G4417" s="26" t="str">
        <f aca="false">IF(D4417="","",IFERROR(VALUE(LEFT(D4417,FIND(" |",D4417&amp;" |")-1)),"?"))</f>
        <v/>
      </c>
      <c r="H4417" s="27" t="str">
        <f aca="false">IF(G4417="","",IF(G4417="?","⚠ pub inconnue",IFERROR(INDEX(Pubs!$B$2:$B$3001,MATCH(G4417,Pubs!$A$2:$A$3001,0))&amp;"","⚠ pub inconnue")))</f>
        <v/>
      </c>
      <c r="I4417" s="27" t="str">
        <f aca="false">IF(OR(G4417="",G4417="?"),"",IFERROR(INDEX(Pubs!$C$2:$C$3001,MATCH(G4417,Pubs!$A$2:$A$3001,0))&amp;"",""))</f>
        <v/>
      </c>
      <c r="J4417" s="27" t="str">
        <f aca="false">IF(OR(G4417="",G4417="?"),"",IFERROR(INDEX(Pubs!$G$2:$G$3001,MATCH(G4417,Pubs!$A$2:$A$3001,0))&amp;"",""))</f>
        <v/>
      </c>
      <c r="K4417" s="28" t="str">
        <f aca="false">IF(OR(G4417="",G4417="?"),"",IFERROR(INDEX(Pubs!$E$2:$E$3001,MATCH(G4417,Pubs!$A$2:$A$3001,0)),""))</f>
        <v/>
      </c>
      <c r="L4417" s="29" t="str">
        <f aca="false">IF(A4417="","",IFERROR(1/(1/INDEX(Numéros!$C$2:$C$3001,MATCH(A4417&amp;"|"&amp;B4417,Numéros!$F$2:$F$3001,0))),""))</f>
        <v/>
      </c>
      <c r="M4417" s="27" t="str">
        <f aca="false">IF(OR(G4417="",G4417="?"),"",IFERROR(INDEX(Pubs!$D$2:$D$3001,MATCH(G4417,Pubs!$A$2:$A$3001,0))&amp;"",""))</f>
        <v/>
      </c>
      <c r="N4417" s="27" t="n">
        <f aca="false">N(N4416)+IF(AND(A4417&lt;&gt;"",OR(Recherche!$C$4="",A4417=Recherche!$C$4),OR(Recherche!$C$5="",B4417&amp;""=Recherche!$C$5&amp;""),OR(Recherche!$C$6="",IFERROR(YEAR(L4417),0)=Recherche!$C$6),OR(Recherche!$C$7="",ISNUMBER(SEARCH(Recherche!$C$7,H4417))),OR(Recherche!$C$8="",J4417=Recherche!$C$8),OR(Recherche!$C$9="",I4417=Recherche!$C$9),OR(Recherche!$C$10="",G4417&amp;""=Recherche!$C$10&amp;""),OR(Recherche!$C$11="",E4417=Recherche!$C$11),OR(Recherche!$C$12="",ISNUMBER(SEARCH(Recherche!$C$12,M4417&amp;" "&amp;F4417)))),1,0)</f>
        <v>8</v>
      </c>
    </row>
    <row r="4418" customFormat="false" ht="15" hidden="false" customHeight="false" outlineLevel="0" collapsed="false">
      <c r="A4418" s="19"/>
      <c r="B4418" s="19"/>
      <c r="C4418" s="19"/>
      <c r="D4418" s="19"/>
      <c r="E4418" s="22"/>
      <c r="F4418" s="19"/>
      <c r="G4418" s="26" t="str">
        <f aca="false">IF(D4418="","",IFERROR(VALUE(LEFT(D4418,FIND(" |",D4418&amp;" |")-1)),"?"))</f>
        <v/>
      </c>
      <c r="H4418" s="27" t="str">
        <f aca="false">IF(G4418="","",IF(G4418="?","⚠ pub inconnue",IFERROR(INDEX(Pubs!$B$2:$B$3001,MATCH(G4418,Pubs!$A$2:$A$3001,0))&amp;"","⚠ pub inconnue")))</f>
        <v/>
      </c>
      <c r="I4418" s="27" t="str">
        <f aca="false">IF(OR(G4418="",G4418="?"),"",IFERROR(INDEX(Pubs!$C$2:$C$3001,MATCH(G4418,Pubs!$A$2:$A$3001,0))&amp;"",""))</f>
        <v/>
      </c>
      <c r="J4418" s="27" t="str">
        <f aca="false">IF(OR(G4418="",G4418="?"),"",IFERROR(INDEX(Pubs!$G$2:$G$3001,MATCH(G4418,Pubs!$A$2:$A$3001,0))&amp;"",""))</f>
        <v/>
      </c>
      <c r="K4418" s="28" t="str">
        <f aca="false">IF(OR(G4418="",G4418="?"),"",IFERROR(INDEX(Pubs!$E$2:$E$3001,MATCH(G4418,Pubs!$A$2:$A$3001,0)),""))</f>
        <v/>
      </c>
      <c r="L4418" s="29" t="str">
        <f aca="false">IF(A4418="","",IFERROR(1/(1/INDEX(Numéros!$C$2:$C$3001,MATCH(A4418&amp;"|"&amp;B4418,Numéros!$F$2:$F$3001,0))),""))</f>
        <v/>
      </c>
      <c r="M4418" s="27" t="str">
        <f aca="false">IF(OR(G4418="",G4418="?"),"",IFERROR(INDEX(Pubs!$D$2:$D$3001,MATCH(G4418,Pubs!$A$2:$A$3001,0))&amp;"",""))</f>
        <v/>
      </c>
      <c r="N4418" s="27" t="n">
        <f aca="false">N(N4417)+IF(AND(A4418&lt;&gt;"",OR(Recherche!$C$4="",A4418=Recherche!$C$4),OR(Recherche!$C$5="",B4418&amp;""=Recherche!$C$5&amp;""),OR(Recherche!$C$6="",IFERROR(YEAR(L4418),0)=Recherche!$C$6),OR(Recherche!$C$7="",ISNUMBER(SEARCH(Recherche!$C$7,H4418))),OR(Recherche!$C$8="",J4418=Recherche!$C$8),OR(Recherche!$C$9="",I4418=Recherche!$C$9),OR(Recherche!$C$10="",G4418&amp;""=Recherche!$C$10&amp;""),OR(Recherche!$C$11="",E4418=Recherche!$C$11),OR(Recherche!$C$12="",ISNUMBER(SEARCH(Recherche!$C$12,M4418&amp;" "&amp;F4418)))),1,0)</f>
        <v>8</v>
      </c>
    </row>
    <row r="4419" customFormat="false" ht="15" hidden="false" customHeight="false" outlineLevel="0" collapsed="false">
      <c r="A4419" s="19"/>
      <c r="B4419" s="19"/>
      <c r="C4419" s="19"/>
      <c r="D4419" s="19"/>
      <c r="E4419" s="22"/>
      <c r="F4419" s="19"/>
      <c r="G4419" s="26" t="str">
        <f aca="false">IF(D4419="","",IFERROR(VALUE(LEFT(D4419,FIND(" |",D4419&amp;" |")-1)),"?"))</f>
        <v/>
      </c>
      <c r="H4419" s="27" t="str">
        <f aca="false">IF(G4419="","",IF(G4419="?","⚠ pub inconnue",IFERROR(INDEX(Pubs!$B$2:$B$3001,MATCH(G4419,Pubs!$A$2:$A$3001,0))&amp;"","⚠ pub inconnue")))</f>
        <v/>
      </c>
      <c r="I4419" s="27" t="str">
        <f aca="false">IF(OR(G4419="",G4419="?"),"",IFERROR(INDEX(Pubs!$C$2:$C$3001,MATCH(G4419,Pubs!$A$2:$A$3001,0))&amp;"",""))</f>
        <v/>
      </c>
      <c r="J4419" s="27" t="str">
        <f aca="false">IF(OR(G4419="",G4419="?"),"",IFERROR(INDEX(Pubs!$G$2:$G$3001,MATCH(G4419,Pubs!$A$2:$A$3001,0))&amp;"",""))</f>
        <v/>
      </c>
      <c r="K4419" s="28" t="str">
        <f aca="false">IF(OR(G4419="",G4419="?"),"",IFERROR(INDEX(Pubs!$E$2:$E$3001,MATCH(G4419,Pubs!$A$2:$A$3001,0)),""))</f>
        <v/>
      </c>
      <c r="L4419" s="29" t="str">
        <f aca="false">IF(A4419="","",IFERROR(1/(1/INDEX(Numéros!$C$2:$C$3001,MATCH(A4419&amp;"|"&amp;B4419,Numéros!$F$2:$F$3001,0))),""))</f>
        <v/>
      </c>
      <c r="M4419" s="27" t="str">
        <f aca="false">IF(OR(G4419="",G4419="?"),"",IFERROR(INDEX(Pubs!$D$2:$D$3001,MATCH(G4419,Pubs!$A$2:$A$3001,0))&amp;"",""))</f>
        <v/>
      </c>
      <c r="N4419" s="27" t="n">
        <f aca="false">N(N4418)+IF(AND(A4419&lt;&gt;"",OR(Recherche!$C$4="",A4419=Recherche!$C$4),OR(Recherche!$C$5="",B4419&amp;""=Recherche!$C$5&amp;""),OR(Recherche!$C$6="",IFERROR(YEAR(L4419),0)=Recherche!$C$6),OR(Recherche!$C$7="",ISNUMBER(SEARCH(Recherche!$C$7,H4419))),OR(Recherche!$C$8="",J4419=Recherche!$C$8),OR(Recherche!$C$9="",I4419=Recherche!$C$9),OR(Recherche!$C$10="",G4419&amp;""=Recherche!$C$10&amp;""),OR(Recherche!$C$11="",E4419=Recherche!$C$11),OR(Recherche!$C$12="",ISNUMBER(SEARCH(Recherche!$C$12,M4419&amp;" "&amp;F4419)))),1,0)</f>
        <v>8</v>
      </c>
    </row>
    <row r="4420" customFormat="false" ht="15" hidden="false" customHeight="false" outlineLevel="0" collapsed="false">
      <c r="A4420" s="19"/>
      <c r="B4420" s="19"/>
      <c r="C4420" s="19"/>
      <c r="D4420" s="19"/>
      <c r="E4420" s="22"/>
      <c r="F4420" s="19"/>
      <c r="G4420" s="26" t="str">
        <f aca="false">IF(D4420="","",IFERROR(VALUE(LEFT(D4420,FIND(" |",D4420&amp;" |")-1)),"?"))</f>
        <v/>
      </c>
      <c r="H4420" s="27" t="str">
        <f aca="false">IF(G4420="","",IF(G4420="?","⚠ pub inconnue",IFERROR(INDEX(Pubs!$B$2:$B$3001,MATCH(G4420,Pubs!$A$2:$A$3001,0))&amp;"","⚠ pub inconnue")))</f>
        <v/>
      </c>
      <c r="I4420" s="27" t="str">
        <f aca="false">IF(OR(G4420="",G4420="?"),"",IFERROR(INDEX(Pubs!$C$2:$C$3001,MATCH(G4420,Pubs!$A$2:$A$3001,0))&amp;"",""))</f>
        <v/>
      </c>
      <c r="J4420" s="27" t="str">
        <f aca="false">IF(OR(G4420="",G4420="?"),"",IFERROR(INDEX(Pubs!$G$2:$G$3001,MATCH(G4420,Pubs!$A$2:$A$3001,0))&amp;"",""))</f>
        <v/>
      </c>
      <c r="K4420" s="28" t="str">
        <f aca="false">IF(OR(G4420="",G4420="?"),"",IFERROR(INDEX(Pubs!$E$2:$E$3001,MATCH(G4420,Pubs!$A$2:$A$3001,0)),""))</f>
        <v/>
      </c>
      <c r="L4420" s="29" t="str">
        <f aca="false">IF(A4420="","",IFERROR(1/(1/INDEX(Numéros!$C$2:$C$3001,MATCH(A4420&amp;"|"&amp;B4420,Numéros!$F$2:$F$3001,0))),""))</f>
        <v/>
      </c>
      <c r="M4420" s="27" t="str">
        <f aca="false">IF(OR(G4420="",G4420="?"),"",IFERROR(INDEX(Pubs!$D$2:$D$3001,MATCH(G4420,Pubs!$A$2:$A$3001,0))&amp;"",""))</f>
        <v/>
      </c>
      <c r="N4420" s="27" t="n">
        <f aca="false">N(N4419)+IF(AND(A4420&lt;&gt;"",OR(Recherche!$C$4="",A4420=Recherche!$C$4),OR(Recherche!$C$5="",B4420&amp;""=Recherche!$C$5&amp;""),OR(Recherche!$C$6="",IFERROR(YEAR(L4420),0)=Recherche!$C$6),OR(Recherche!$C$7="",ISNUMBER(SEARCH(Recherche!$C$7,H4420))),OR(Recherche!$C$8="",J4420=Recherche!$C$8),OR(Recherche!$C$9="",I4420=Recherche!$C$9),OR(Recherche!$C$10="",G4420&amp;""=Recherche!$C$10&amp;""),OR(Recherche!$C$11="",E4420=Recherche!$C$11),OR(Recherche!$C$12="",ISNUMBER(SEARCH(Recherche!$C$12,M4420&amp;" "&amp;F4420)))),1,0)</f>
        <v>8</v>
      </c>
    </row>
    <row r="4421" customFormat="false" ht="15" hidden="false" customHeight="false" outlineLevel="0" collapsed="false">
      <c r="A4421" s="19"/>
      <c r="B4421" s="19"/>
      <c r="C4421" s="19"/>
      <c r="D4421" s="19"/>
      <c r="E4421" s="22"/>
      <c r="F4421" s="19"/>
      <c r="G4421" s="26" t="str">
        <f aca="false">IF(D4421="","",IFERROR(VALUE(LEFT(D4421,FIND(" |",D4421&amp;" |")-1)),"?"))</f>
        <v/>
      </c>
      <c r="H4421" s="27" t="str">
        <f aca="false">IF(G4421="","",IF(G4421="?","⚠ pub inconnue",IFERROR(INDEX(Pubs!$B$2:$B$3001,MATCH(G4421,Pubs!$A$2:$A$3001,0))&amp;"","⚠ pub inconnue")))</f>
        <v/>
      </c>
      <c r="I4421" s="27" t="str">
        <f aca="false">IF(OR(G4421="",G4421="?"),"",IFERROR(INDEX(Pubs!$C$2:$C$3001,MATCH(G4421,Pubs!$A$2:$A$3001,0))&amp;"",""))</f>
        <v/>
      </c>
      <c r="J4421" s="27" t="str">
        <f aca="false">IF(OR(G4421="",G4421="?"),"",IFERROR(INDEX(Pubs!$G$2:$G$3001,MATCH(G4421,Pubs!$A$2:$A$3001,0))&amp;"",""))</f>
        <v/>
      </c>
      <c r="K4421" s="28" t="str">
        <f aca="false">IF(OR(G4421="",G4421="?"),"",IFERROR(INDEX(Pubs!$E$2:$E$3001,MATCH(G4421,Pubs!$A$2:$A$3001,0)),""))</f>
        <v/>
      </c>
      <c r="L4421" s="29" t="str">
        <f aca="false">IF(A4421="","",IFERROR(1/(1/INDEX(Numéros!$C$2:$C$3001,MATCH(A4421&amp;"|"&amp;B4421,Numéros!$F$2:$F$3001,0))),""))</f>
        <v/>
      </c>
      <c r="M4421" s="27" t="str">
        <f aca="false">IF(OR(G4421="",G4421="?"),"",IFERROR(INDEX(Pubs!$D$2:$D$3001,MATCH(G4421,Pubs!$A$2:$A$3001,0))&amp;"",""))</f>
        <v/>
      </c>
      <c r="N4421" s="27" t="n">
        <f aca="false">N(N4420)+IF(AND(A4421&lt;&gt;"",OR(Recherche!$C$4="",A4421=Recherche!$C$4),OR(Recherche!$C$5="",B4421&amp;""=Recherche!$C$5&amp;""),OR(Recherche!$C$6="",IFERROR(YEAR(L4421),0)=Recherche!$C$6),OR(Recherche!$C$7="",ISNUMBER(SEARCH(Recherche!$C$7,H4421))),OR(Recherche!$C$8="",J4421=Recherche!$C$8),OR(Recherche!$C$9="",I4421=Recherche!$C$9),OR(Recherche!$C$10="",G4421&amp;""=Recherche!$C$10&amp;""),OR(Recherche!$C$11="",E4421=Recherche!$C$11),OR(Recherche!$C$12="",ISNUMBER(SEARCH(Recherche!$C$12,M4421&amp;" "&amp;F4421)))),1,0)</f>
        <v>8</v>
      </c>
    </row>
    <row r="4422" customFormat="false" ht="15" hidden="false" customHeight="false" outlineLevel="0" collapsed="false">
      <c r="A4422" s="19"/>
      <c r="B4422" s="19"/>
      <c r="C4422" s="19"/>
      <c r="D4422" s="19"/>
      <c r="E4422" s="22"/>
      <c r="F4422" s="19"/>
      <c r="G4422" s="26" t="str">
        <f aca="false">IF(D4422="","",IFERROR(VALUE(LEFT(D4422,FIND(" |",D4422&amp;" |")-1)),"?"))</f>
        <v/>
      </c>
      <c r="H4422" s="27" t="str">
        <f aca="false">IF(G4422="","",IF(G4422="?","⚠ pub inconnue",IFERROR(INDEX(Pubs!$B$2:$B$3001,MATCH(G4422,Pubs!$A$2:$A$3001,0))&amp;"","⚠ pub inconnue")))</f>
        <v/>
      </c>
      <c r="I4422" s="27" t="str">
        <f aca="false">IF(OR(G4422="",G4422="?"),"",IFERROR(INDEX(Pubs!$C$2:$C$3001,MATCH(G4422,Pubs!$A$2:$A$3001,0))&amp;"",""))</f>
        <v/>
      </c>
      <c r="J4422" s="27" t="str">
        <f aca="false">IF(OR(G4422="",G4422="?"),"",IFERROR(INDEX(Pubs!$G$2:$G$3001,MATCH(G4422,Pubs!$A$2:$A$3001,0))&amp;"",""))</f>
        <v/>
      </c>
      <c r="K4422" s="28" t="str">
        <f aca="false">IF(OR(G4422="",G4422="?"),"",IFERROR(INDEX(Pubs!$E$2:$E$3001,MATCH(G4422,Pubs!$A$2:$A$3001,0)),""))</f>
        <v/>
      </c>
      <c r="L4422" s="29" t="str">
        <f aca="false">IF(A4422="","",IFERROR(1/(1/INDEX(Numéros!$C$2:$C$3001,MATCH(A4422&amp;"|"&amp;B4422,Numéros!$F$2:$F$3001,0))),""))</f>
        <v/>
      </c>
      <c r="M4422" s="27" t="str">
        <f aca="false">IF(OR(G4422="",G4422="?"),"",IFERROR(INDEX(Pubs!$D$2:$D$3001,MATCH(G4422,Pubs!$A$2:$A$3001,0))&amp;"",""))</f>
        <v/>
      </c>
      <c r="N4422" s="27" t="n">
        <f aca="false">N(N4421)+IF(AND(A4422&lt;&gt;"",OR(Recherche!$C$4="",A4422=Recherche!$C$4),OR(Recherche!$C$5="",B4422&amp;""=Recherche!$C$5&amp;""),OR(Recherche!$C$6="",IFERROR(YEAR(L4422),0)=Recherche!$C$6),OR(Recherche!$C$7="",ISNUMBER(SEARCH(Recherche!$C$7,H4422))),OR(Recherche!$C$8="",J4422=Recherche!$C$8),OR(Recherche!$C$9="",I4422=Recherche!$C$9),OR(Recherche!$C$10="",G4422&amp;""=Recherche!$C$10&amp;""),OR(Recherche!$C$11="",E4422=Recherche!$C$11),OR(Recherche!$C$12="",ISNUMBER(SEARCH(Recherche!$C$12,M4422&amp;" "&amp;F4422)))),1,0)</f>
        <v>8</v>
      </c>
    </row>
    <row r="4423" customFormat="false" ht="15" hidden="false" customHeight="false" outlineLevel="0" collapsed="false">
      <c r="A4423" s="19"/>
      <c r="B4423" s="19"/>
      <c r="C4423" s="19"/>
      <c r="D4423" s="19"/>
      <c r="E4423" s="22"/>
      <c r="F4423" s="19"/>
      <c r="G4423" s="26" t="str">
        <f aca="false">IF(D4423="","",IFERROR(VALUE(LEFT(D4423,FIND(" |",D4423&amp;" |")-1)),"?"))</f>
        <v/>
      </c>
      <c r="H4423" s="27" t="str">
        <f aca="false">IF(G4423="","",IF(G4423="?","⚠ pub inconnue",IFERROR(INDEX(Pubs!$B$2:$B$3001,MATCH(G4423,Pubs!$A$2:$A$3001,0))&amp;"","⚠ pub inconnue")))</f>
        <v/>
      </c>
      <c r="I4423" s="27" t="str">
        <f aca="false">IF(OR(G4423="",G4423="?"),"",IFERROR(INDEX(Pubs!$C$2:$C$3001,MATCH(G4423,Pubs!$A$2:$A$3001,0))&amp;"",""))</f>
        <v/>
      </c>
      <c r="J4423" s="27" t="str">
        <f aca="false">IF(OR(G4423="",G4423="?"),"",IFERROR(INDEX(Pubs!$G$2:$G$3001,MATCH(G4423,Pubs!$A$2:$A$3001,0))&amp;"",""))</f>
        <v/>
      </c>
      <c r="K4423" s="28" t="str">
        <f aca="false">IF(OR(G4423="",G4423="?"),"",IFERROR(INDEX(Pubs!$E$2:$E$3001,MATCH(G4423,Pubs!$A$2:$A$3001,0)),""))</f>
        <v/>
      </c>
      <c r="L4423" s="29" t="str">
        <f aca="false">IF(A4423="","",IFERROR(1/(1/INDEX(Numéros!$C$2:$C$3001,MATCH(A4423&amp;"|"&amp;B4423,Numéros!$F$2:$F$3001,0))),""))</f>
        <v/>
      </c>
      <c r="M4423" s="27" t="str">
        <f aca="false">IF(OR(G4423="",G4423="?"),"",IFERROR(INDEX(Pubs!$D$2:$D$3001,MATCH(G4423,Pubs!$A$2:$A$3001,0))&amp;"",""))</f>
        <v/>
      </c>
      <c r="N4423" s="27" t="n">
        <f aca="false">N(N4422)+IF(AND(A4423&lt;&gt;"",OR(Recherche!$C$4="",A4423=Recherche!$C$4),OR(Recherche!$C$5="",B4423&amp;""=Recherche!$C$5&amp;""),OR(Recherche!$C$6="",IFERROR(YEAR(L4423),0)=Recherche!$C$6),OR(Recherche!$C$7="",ISNUMBER(SEARCH(Recherche!$C$7,H4423))),OR(Recherche!$C$8="",J4423=Recherche!$C$8),OR(Recherche!$C$9="",I4423=Recherche!$C$9),OR(Recherche!$C$10="",G4423&amp;""=Recherche!$C$10&amp;""),OR(Recherche!$C$11="",E4423=Recherche!$C$11),OR(Recherche!$C$12="",ISNUMBER(SEARCH(Recherche!$C$12,M4423&amp;" "&amp;F4423)))),1,0)</f>
        <v>8</v>
      </c>
    </row>
    <row r="4424" customFormat="false" ht="15" hidden="false" customHeight="false" outlineLevel="0" collapsed="false">
      <c r="A4424" s="19"/>
      <c r="B4424" s="19"/>
      <c r="C4424" s="19"/>
      <c r="D4424" s="19"/>
      <c r="E4424" s="22"/>
      <c r="F4424" s="19"/>
      <c r="G4424" s="26" t="str">
        <f aca="false">IF(D4424="","",IFERROR(VALUE(LEFT(D4424,FIND(" |",D4424&amp;" |")-1)),"?"))</f>
        <v/>
      </c>
      <c r="H4424" s="27" t="str">
        <f aca="false">IF(G4424="","",IF(G4424="?","⚠ pub inconnue",IFERROR(INDEX(Pubs!$B$2:$B$3001,MATCH(G4424,Pubs!$A$2:$A$3001,0))&amp;"","⚠ pub inconnue")))</f>
        <v/>
      </c>
      <c r="I4424" s="27" t="str">
        <f aca="false">IF(OR(G4424="",G4424="?"),"",IFERROR(INDEX(Pubs!$C$2:$C$3001,MATCH(G4424,Pubs!$A$2:$A$3001,0))&amp;"",""))</f>
        <v/>
      </c>
      <c r="J4424" s="27" t="str">
        <f aca="false">IF(OR(G4424="",G4424="?"),"",IFERROR(INDEX(Pubs!$G$2:$G$3001,MATCH(G4424,Pubs!$A$2:$A$3001,0))&amp;"",""))</f>
        <v/>
      </c>
      <c r="K4424" s="28" t="str">
        <f aca="false">IF(OR(G4424="",G4424="?"),"",IFERROR(INDEX(Pubs!$E$2:$E$3001,MATCH(G4424,Pubs!$A$2:$A$3001,0)),""))</f>
        <v/>
      </c>
      <c r="L4424" s="29" t="str">
        <f aca="false">IF(A4424="","",IFERROR(1/(1/INDEX(Numéros!$C$2:$C$3001,MATCH(A4424&amp;"|"&amp;B4424,Numéros!$F$2:$F$3001,0))),""))</f>
        <v/>
      </c>
      <c r="M4424" s="27" t="str">
        <f aca="false">IF(OR(G4424="",G4424="?"),"",IFERROR(INDEX(Pubs!$D$2:$D$3001,MATCH(G4424,Pubs!$A$2:$A$3001,0))&amp;"",""))</f>
        <v/>
      </c>
      <c r="N4424" s="27" t="n">
        <f aca="false">N(N4423)+IF(AND(A4424&lt;&gt;"",OR(Recherche!$C$4="",A4424=Recherche!$C$4),OR(Recherche!$C$5="",B4424&amp;""=Recherche!$C$5&amp;""),OR(Recherche!$C$6="",IFERROR(YEAR(L4424),0)=Recherche!$C$6),OR(Recherche!$C$7="",ISNUMBER(SEARCH(Recherche!$C$7,H4424))),OR(Recherche!$C$8="",J4424=Recherche!$C$8),OR(Recherche!$C$9="",I4424=Recherche!$C$9),OR(Recherche!$C$10="",G4424&amp;""=Recherche!$C$10&amp;""),OR(Recherche!$C$11="",E4424=Recherche!$C$11),OR(Recherche!$C$12="",ISNUMBER(SEARCH(Recherche!$C$12,M4424&amp;" "&amp;F4424)))),1,0)</f>
        <v>8</v>
      </c>
    </row>
    <row r="4425" customFormat="false" ht="15" hidden="false" customHeight="false" outlineLevel="0" collapsed="false">
      <c r="A4425" s="19"/>
      <c r="B4425" s="19"/>
      <c r="C4425" s="19"/>
      <c r="D4425" s="19"/>
      <c r="E4425" s="22"/>
      <c r="F4425" s="19"/>
      <c r="G4425" s="26" t="str">
        <f aca="false">IF(D4425="","",IFERROR(VALUE(LEFT(D4425,FIND(" |",D4425&amp;" |")-1)),"?"))</f>
        <v/>
      </c>
      <c r="H4425" s="27" t="str">
        <f aca="false">IF(G4425="","",IF(G4425="?","⚠ pub inconnue",IFERROR(INDEX(Pubs!$B$2:$B$3001,MATCH(G4425,Pubs!$A$2:$A$3001,0))&amp;"","⚠ pub inconnue")))</f>
        <v/>
      </c>
      <c r="I4425" s="27" t="str">
        <f aca="false">IF(OR(G4425="",G4425="?"),"",IFERROR(INDEX(Pubs!$C$2:$C$3001,MATCH(G4425,Pubs!$A$2:$A$3001,0))&amp;"",""))</f>
        <v/>
      </c>
      <c r="J4425" s="27" t="str">
        <f aca="false">IF(OR(G4425="",G4425="?"),"",IFERROR(INDEX(Pubs!$G$2:$G$3001,MATCH(G4425,Pubs!$A$2:$A$3001,0))&amp;"",""))</f>
        <v/>
      </c>
      <c r="K4425" s="28" t="str">
        <f aca="false">IF(OR(G4425="",G4425="?"),"",IFERROR(INDEX(Pubs!$E$2:$E$3001,MATCH(G4425,Pubs!$A$2:$A$3001,0)),""))</f>
        <v/>
      </c>
      <c r="L4425" s="29" t="str">
        <f aca="false">IF(A4425="","",IFERROR(1/(1/INDEX(Numéros!$C$2:$C$3001,MATCH(A4425&amp;"|"&amp;B4425,Numéros!$F$2:$F$3001,0))),""))</f>
        <v/>
      </c>
      <c r="M4425" s="27" t="str">
        <f aca="false">IF(OR(G4425="",G4425="?"),"",IFERROR(INDEX(Pubs!$D$2:$D$3001,MATCH(G4425,Pubs!$A$2:$A$3001,0))&amp;"",""))</f>
        <v/>
      </c>
      <c r="N4425" s="27" t="n">
        <f aca="false">N(N4424)+IF(AND(A4425&lt;&gt;"",OR(Recherche!$C$4="",A4425=Recherche!$C$4),OR(Recherche!$C$5="",B4425&amp;""=Recherche!$C$5&amp;""),OR(Recherche!$C$6="",IFERROR(YEAR(L4425),0)=Recherche!$C$6),OR(Recherche!$C$7="",ISNUMBER(SEARCH(Recherche!$C$7,H4425))),OR(Recherche!$C$8="",J4425=Recherche!$C$8),OR(Recherche!$C$9="",I4425=Recherche!$C$9),OR(Recherche!$C$10="",G4425&amp;""=Recherche!$C$10&amp;""),OR(Recherche!$C$11="",E4425=Recherche!$C$11),OR(Recherche!$C$12="",ISNUMBER(SEARCH(Recherche!$C$12,M4425&amp;" "&amp;F4425)))),1,0)</f>
        <v>8</v>
      </c>
    </row>
    <row r="4426" customFormat="false" ht="15" hidden="false" customHeight="false" outlineLevel="0" collapsed="false">
      <c r="A4426" s="19"/>
      <c r="B4426" s="19"/>
      <c r="C4426" s="19"/>
      <c r="D4426" s="19"/>
      <c r="E4426" s="22"/>
      <c r="F4426" s="19"/>
      <c r="G4426" s="26" t="str">
        <f aca="false">IF(D4426="","",IFERROR(VALUE(LEFT(D4426,FIND(" |",D4426&amp;" |")-1)),"?"))</f>
        <v/>
      </c>
      <c r="H4426" s="27" t="str">
        <f aca="false">IF(G4426="","",IF(G4426="?","⚠ pub inconnue",IFERROR(INDEX(Pubs!$B$2:$B$3001,MATCH(G4426,Pubs!$A$2:$A$3001,0))&amp;"","⚠ pub inconnue")))</f>
        <v/>
      </c>
      <c r="I4426" s="27" t="str">
        <f aca="false">IF(OR(G4426="",G4426="?"),"",IFERROR(INDEX(Pubs!$C$2:$C$3001,MATCH(G4426,Pubs!$A$2:$A$3001,0))&amp;"",""))</f>
        <v/>
      </c>
      <c r="J4426" s="27" t="str">
        <f aca="false">IF(OR(G4426="",G4426="?"),"",IFERROR(INDEX(Pubs!$G$2:$G$3001,MATCH(G4426,Pubs!$A$2:$A$3001,0))&amp;"",""))</f>
        <v/>
      </c>
      <c r="K4426" s="28" t="str">
        <f aca="false">IF(OR(G4426="",G4426="?"),"",IFERROR(INDEX(Pubs!$E$2:$E$3001,MATCH(G4426,Pubs!$A$2:$A$3001,0)),""))</f>
        <v/>
      </c>
      <c r="L4426" s="29" t="str">
        <f aca="false">IF(A4426="","",IFERROR(1/(1/INDEX(Numéros!$C$2:$C$3001,MATCH(A4426&amp;"|"&amp;B4426,Numéros!$F$2:$F$3001,0))),""))</f>
        <v/>
      </c>
      <c r="M4426" s="27" t="str">
        <f aca="false">IF(OR(G4426="",G4426="?"),"",IFERROR(INDEX(Pubs!$D$2:$D$3001,MATCH(G4426,Pubs!$A$2:$A$3001,0))&amp;"",""))</f>
        <v/>
      </c>
      <c r="N4426" s="27" t="n">
        <f aca="false">N(N4425)+IF(AND(A4426&lt;&gt;"",OR(Recherche!$C$4="",A4426=Recherche!$C$4),OR(Recherche!$C$5="",B4426&amp;""=Recherche!$C$5&amp;""),OR(Recherche!$C$6="",IFERROR(YEAR(L4426),0)=Recherche!$C$6),OR(Recherche!$C$7="",ISNUMBER(SEARCH(Recherche!$C$7,H4426))),OR(Recherche!$C$8="",J4426=Recherche!$C$8),OR(Recherche!$C$9="",I4426=Recherche!$C$9),OR(Recherche!$C$10="",G4426&amp;""=Recherche!$C$10&amp;""),OR(Recherche!$C$11="",E4426=Recherche!$C$11),OR(Recherche!$C$12="",ISNUMBER(SEARCH(Recherche!$C$12,M4426&amp;" "&amp;F4426)))),1,0)</f>
        <v>8</v>
      </c>
    </row>
    <row r="4427" customFormat="false" ht="15" hidden="false" customHeight="false" outlineLevel="0" collapsed="false">
      <c r="A4427" s="19"/>
      <c r="B4427" s="19"/>
      <c r="C4427" s="19"/>
      <c r="D4427" s="19"/>
      <c r="E4427" s="22"/>
      <c r="F4427" s="19"/>
      <c r="G4427" s="26" t="str">
        <f aca="false">IF(D4427="","",IFERROR(VALUE(LEFT(D4427,FIND(" |",D4427&amp;" |")-1)),"?"))</f>
        <v/>
      </c>
      <c r="H4427" s="27" t="str">
        <f aca="false">IF(G4427="","",IF(G4427="?","⚠ pub inconnue",IFERROR(INDEX(Pubs!$B$2:$B$3001,MATCH(G4427,Pubs!$A$2:$A$3001,0))&amp;"","⚠ pub inconnue")))</f>
        <v/>
      </c>
      <c r="I4427" s="27" t="str">
        <f aca="false">IF(OR(G4427="",G4427="?"),"",IFERROR(INDEX(Pubs!$C$2:$C$3001,MATCH(G4427,Pubs!$A$2:$A$3001,0))&amp;"",""))</f>
        <v/>
      </c>
      <c r="J4427" s="27" t="str">
        <f aca="false">IF(OR(G4427="",G4427="?"),"",IFERROR(INDEX(Pubs!$G$2:$G$3001,MATCH(G4427,Pubs!$A$2:$A$3001,0))&amp;"",""))</f>
        <v/>
      </c>
      <c r="K4427" s="28" t="str">
        <f aca="false">IF(OR(G4427="",G4427="?"),"",IFERROR(INDEX(Pubs!$E$2:$E$3001,MATCH(G4427,Pubs!$A$2:$A$3001,0)),""))</f>
        <v/>
      </c>
      <c r="L4427" s="29" t="str">
        <f aca="false">IF(A4427="","",IFERROR(1/(1/INDEX(Numéros!$C$2:$C$3001,MATCH(A4427&amp;"|"&amp;B4427,Numéros!$F$2:$F$3001,0))),""))</f>
        <v/>
      </c>
      <c r="M4427" s="27" t="str">
        <f aca="false">IF(OR(G4427="",G4427="?"),"",IFERROR(INDEX(Pubs!$D$2:$D$3001,MATCH(G4427,Pubs!$A$2:$A$3001,0))&amp;"",""))</f>
        <v/>
      </c>
      <c r="N4427" s="27" t="n">
        <f aca="false">N(N4426)+IF(AND(A4427&lt;&gt;"",OR(Recherche!$C$4="",A4427=Recherche!$C$4),OR(Recherche!$C$5="",B4427&amp;""=Recherche!$C$5&amp;""),OR(Recherche!$C$6="",IFERROR(YEAR(L4427),0)=Recherche!$C$6),OR(Recherche!$C$7="",ISNUMBER(SEARCH(Recherche!$C$7,H4427))),OR(Recherche!$C$8="",J4427=Recherche!$C$8),OR(Recherche!$C$9="",I4427=Recherche!$C$9),OR(Recherche!$C$10="",G4427&amp;""=Recherche!$C$10&amp;""),OR(Recherche!$C$11="",E4427=Recherche!$C$11),OR(Recherche!$C$12="",ISNUMBER(SEARCH(Recherche!$C$12,M4427&amp;" "&amp;F4427)))),1,0)</f>
        <v>8</v>
      </c>
    </row>
    <row r="4428" customFormat="false" ht="15" hidden="false" customHeight="false" outlineLevel="0" collapsed="false">
      <c r="A4428" s="19"/>
      <c r="B4428" s="19"/>
      <c r="C4428" s="19"/>
      <c r="D4428" s="19"/>
      <c r="E4428" s="22"/>
      <c r="F4428" s="19"/>
      <c r="G4428" s="26" t="str">
        <f aca="false">IF(D4428="","",IFERROR(VALUE(LEFT(D4428,FIND(" |",D4428&amp;" |")-1)),"?"))</f>
        <v/>
      </c>
      <c r="H4428" s="27" t="str">
        <f aca="false">IF(G4428="","",IF(G4428="?","⚠ pub inconnue",IFERROR(INDEX(Pubs!$B$2:$B$3001,MATCH(G4428,Pubs!$A$2:$A$3001,0))&amp;"","⚠ pub inconnue")))</f>
        <v/>
      </c>
      <c r="I4428" s="27" t="str">
        <f aca="false">IF(OR(G4428="",G4428="?"),"",IFERROR(INDEX(Pubs!$C$2:$C$3001,MATCH(G4428,Pubs!$A$2:$A$3001,0))&amp;"",""))</f>
        <v/>
      </c>
      <c r="J4428" s="27" t="str">
        <f aca="false">IF(OR(G4428="",G4428="?"),"",IFERROR(INDEX(Pubs!$G$2:$G$3001,MATCH(G4428,Pubs!$A$2:$A$3001,0))&amp;"",""))</f>
        <v/>
      </c>
      <c r="K4428" s="28" t="str">
        <f aca="false">IF(OR(G4428="",G4428="?"),"",IFERROR(INDEX(Pubs!$E$2:$E$3001,MATCH(G4428,Pubs!$A$2:$A$3001,0)),""))</f>
        <v/>
      </c>
      <c r="L4428" s="29" t="str">
        <f aca="false">IF(A4428="","",IFERROR(1/(1/INDEX(Numéros!$C$2:$C$3001,MATCH(A4428&amp;"|"&amp;B4428,Numéros!$F$2:$F$3001,0))),""))</f>
        <v/>
      </c>
      <c r="M4428" s="27" t="str">
        <f aca="false">IF(OR(G4428="",G4428="?"),"",IFERROR(INDEX(Pubs!$D$2:$D$3001,MATCH(G4428,Pubs!$A$2:$A$3001,0))&amp;"",""))</f>
        <v/>
      </c>
      <c r="N4428" s="27" t="n">
        <f aca="false">N(N4427)+IF(AND(A4428&lt;&gt;"",OR(Recherche!$C$4="",A4428=Recherche!$C$4),OR(Recherche!$C$5="",B4428&amp;""=Recherche!$C$5&amp;""),OR(Recherche!$C$6="",IFERROR(YEAR(L4428),0)=Recherche!$C$6),OR(Recherche!$C$7="",ISNUMBER(SEARCH(Recherche!$C$7,H4428))),OR(Recherche!$C$8="",J4428=Recherche!$C$8),OR(Recherche!$C$9="",I4428=Recherche!$C$9),OR(Recherche!$C$10="",G4428&amp;""=Recherche!$C$10&amp;""),OR(Recherche!$C$11="",E4428=Recherche!$C$11),OR(Recherche!$C$12="",ISNUMBER(SEARCH(Recherche!$C$12,M4428&amp;" "&amp;F4428)))),1,0)</f>
        <v>8</v>
      </c>
    </row>
    <row r="4429" customFormat="false" ht="15" hidden="false" customHeight="false" outlineLevel="0" collapsed="false">
      <c r="A4429" s="19"/>
      <c r="B4429" s="19"/>
      <c r="C4429" s="19"/>
      <c r="D4429" s="19"/>
      <c r="E4429" s="22"/>
      <c r="F4429" s="19"/>
      <c r="G4429" s="26" t="str">
        <f aca="false">IF(D4429="","",IFERROR(VALUE(LEFT(D4429,FIND(" |",D4429&amp;" |")-1)),"?"))</f>
        <v/>
      </c>
      <c r="H4429" s="27" t="str">
        <f aca="false">IF(G4429="","",IF(G4429="?","⚠ pub inconnue",IFERROR(INDEX(Pubs!$B$2:$B$3001,MATCH(G4429,Pubs!$A$2:$A$3001,0))&amp;"","⚠ pub inconnue")))</f>
        <v/>
      </c>
      <c r="I4429" s="27" t="str">
        <f aca="false">IF(OR(G4429="",G4429="?"),"",IFERROR(INDEX(Pubs!$C$2:$C$3001,MATCH(G4429,Pubs!$A$2:$A$3001,0))&amp;"",""))</f>
        <v/>
      </c>
      <c r="J4429" s="27" t="str">
        <f aca="false">IF(OR(G4429="",G4429="?"),"",IFERROR(INDEX(Pubs!$G$2:$G$3001,MATCH(G4429,Pubs!$A$2:$A$3001,0))&amp;"",""))</f>
        <v/>
      </c>
      <c r="K4429" s="28" t="str">
        <f aca="false">IF(OR(G4429="",G4429="?"),"",IFERROR(INDEX(Pubs!$E$2:$E$3001,MATCH(G4429,Pubs!$A$2:$A$3001,0)),""))</f>
        <v/>
      </c>
      <c r="L4429" s="29" t="str">
        <f aca="false">IF(A4429="","",IFERROR(1/(1/INDEX(Numéros!$C$2:$C$3001,MATCH(A4429&amp;"|"&amp;B4429,Numéros!$F$2:$F$3001,0))),""))</f>
        <v/>
      </c>
      <c r="M4429" s="27" t="str">
        <f aca="false">IF(OR(G4429="",G4429="?"),"",IFERROR(INDEX(Pubs!$D$2:$D$3001,MATCH(G4429,Pubs!$A$2:$A$3001,0))&amp;"",""))</f>
        <v/>
      </c>
      <c r="N4429" s="27" t="n">
        <f aca="false">N(N4428)+IF(AND(A4429&lt;&gt;"",OR(Recherche!$C$4="",A4429=Recherche!$C$4),OR(Recherche!$C$5="",B4429&amp;""=Recherche!$C$5&amp;""),OR(Recherche!$C$6="",IFERROR(YEAR(L4429),0)=Recherche!$C$6),OR(Recherche!$C$7="",ISNUMBER(SEARCH(Recherche!$C$7,H4429))),OR(Recherche!$C$8="",J4429=Recherche!$C$8),OR(Recherche!$C$9="",I4429=Recherche!$C$9),OR(Recherche!$C$10="",G4429&amp;""=Recherche!$C$10&amp;""),OR(Recherche!$C$11="",E4429=Recherche!$C$11),OR(Recherche!$C$12="",ISNUMBER(SEARCH(Recherche!$C$12,M4429&amp;" "&amp;F4429)))),1,0)</f>
        <v>8</v>
      </c>
    </row>
    <row r="4430" customFormat="false" ht="15" hidden="false" customHeight="false" outlineLevel="0" collapsed="false">
      <c r="A4430" s="19"/>
      <c r="B4430" s="19"/>
      <c r="C4430" s="19"/>
      <c r="D4430" s="19"/>
      <c r="E4430" s="22"/>
      <c r="F4430" s="19"/>
      <c r="G4430" s="26" t="str">
        <f aca="false">IF(D4430="","",IFERROR(VALUE(LEFT(D4430,FIND(" |",D4430&amp;" |")-1)),"?"))</f>
        <v/>
      </c>
      <c r="H4430" s="27" t="str">
        <f aca="false">IF(G4430="","",IF(G4430="?","⚠ pub inconnue",IFERROR(INDEX(Pubs!$B$2:$B$3001,MATCH(G4430,Pubs!$A$2:$A$3001,0))&amp;"","⚠ pub inconnue")))</f>
        <v/>
      </c>
      <c r="I4430" s="27" t="str">
        <f aca="false">IF(OR(G4430="",G4430="?"),"",IFERROR(INDEX(Pubs!$C$2:$C$3001,MATCH(G4430,Pubs!$A$2:$A$3001,0))&amp;"",""))</f>
        <v/>
      </c>
      <c r="J4430" s="27" t="str">
        <f aca="false">IF(OR(G4430="",G4430="?"),"",IFERROR(INDEX(Pubs!$G$2:$G$3001,MATCH(G4430,Pubs!$A$2:$A$3001,0))&amp;"",""))</f>
        <v/>
      </c>
      <c r="K4430" s="28" t="str">
        <f aca="false">IF(OR(G4430="",G4430="?"),"",IFERROR(INDEX(Pubs!$E$2:$E$3001,MATCH(G4430,Pubs!$A$2:$A$3001,0)),""))</f>
        <v/>
      </c>
      <c r="L4430" s="29" t="str">
        <f aca="false">IF(A4430="","",IFERROR(1/(1/INDEX(Numéros!$C$2:$C$3001,MATCH(A4430&amp;"|"&amp;B4430,Numéros!$F$2:$F$3001,0))),""))</f>
        <v/>
      </c>
      <c r="M4430" s="27" t="str">
        <f aca="false">IF(OR(G4430="",G4430="?"),"",IFERROR(INDEX(Pubs!$D$2:$D$3001,MATCH(G4430,Pubs!$A$2:$A$3001,0))&amp;"",""))</f>
        <v/>
      </c>
      <c r="N4430" s="27" t="n">
        <f aca="false">N(N4429)+IF(AND(A4430&lt;&gt;"",OR(Recherche!$C$4="",A4430=Recherche!$C$4),OR(Recherche!$C$5="",B4430&amp;""=Recherche!$C$5&amp;""),OR(Recherche!$C$6="",IFERROR(YEAR(L4430),0)=Recherche!$C$6),OR(Recherche!$C$7="",ISNUMBER(SEARCH(Recherche!$C$7,H4430))),OR(Recherche!$C$8="",J4430=Recherche!$C$8),OR(Recherche!$C$9="",I4430=Recherche!$C$9),OR(Recherche!$C$10="",G4430&amp;""=Recherche!$C$10&amp;""),OR(Recherche!$C$11="",E4430=Recherche!$C$11),OR(Recherche!$C$12="",ISNUMBER(SEARCH(Recherche!$C$12,M4430&amp;" "&amp;F4430)))),1,0)</f>
        <v>8</v>
      </c>
    </row>
    <row r="4431" customFormat="false" ht="15" hidden="false" customHeight="false" outlineLevel="0" collapsed="false">
      <c r="A4431" s="19"/>
      <c r="B4431" s="19"/>
      <c r="C4431" s="19"/>
      <c r="D4431" s="19"/>
      <c r="E4431" s="22"/>
      <c r="F4431" s="19"/>
      <c r="G4431" s="26" t="str">
        <f aca="false">IF(D4431="","",IFERROR(VALUE(LEFT(D4431,FIND(" |",D4431&amp;" |")-1)),"?"))</f>
        <v/>
      </c>
      <c r="H4431" s="27" t="str">
        <f aca="false">IF(G4431="","",IF(G4431="?","⚠ pub inconnue",IFERROR(INDEX(Pubs!$B$2:$B$3001,MATCH(G4431,Pubs!$A$2:$A$3001,0))&amp;"","⚠ pub inconnue")))</f>
        <v/>
      </c>
      <c r="I4431" s="27" t="str">
        <f aca="false">IF(OR(G4431="",G4431="?"),"",IFERROR(INDEX(Pubs!$C$2:$C$3001,MATCH(G4431,Pubs!$A$2:$A$3001,0))&amp;"",""))</f>
        <v/>
      </c>
      <c r="J4431" s="27" t="str">
        <f aca="false">IF(OR(G4431="",G4431="?"),"",IFERROR(INDEX(Pubs!$G$2:$G$3001,MATCH(G4431,Pubs!$A$2:$A$3001,0))&amp;"",""))</f>
        <v/>
      </c>
      <c r="K4431" s="28" t="str">
        <f aca="false">IF(OR(G4431="",G4431="?"),"",IFERROR(INDEX(Pubs!$E$2:$E$3001,MATCH(G4431,Pubs!$A$2:$A$3001,0)),""))</f>
        <v/>
      </c>
      <c r="L4431" s="29" t="str">
        <f aca="false">IF(A4431="","",IFERROR(1/(1/INDEX(Numéros!$C$2:$C$3001,MATCH(A4431&amp;"|"&amp;B4431,Numéros!$F$2:$F$3001,0))),""))</f>
        <v/>
      </c>
      <c r="M4431" s="27" t="str">
        <f aca="false">IF(OR(G4431="",G4431="?"),"",IFERROR(INDEX(Pubs!$D$2:$D$3001,MATCH(G4431,Pubs!$A$2:$A$3001,0))&amp;"",""))</f>
        <v/>
      </c>
      <c r="N4431" s="27" t="n">
        <f aca="false">N(N4430)+IF(AND(A4431&lt;&gt;"",OR(Recherche!$C$4="",A4431=Recherche!$C$4),OR(Recherche!$C$5="",B4431&amp;""=Recherche!$C$5&amp;""),OR(Recherche!$C$6="",IFERROR(YEAR(L4431),0)=Recherche!$C$6),OR(Recherche!$C$7="",ISNUMBER(SEARCH(Recherche!$C$7,H4431))),OR(Recherche!$C$8="",J4431=Recherche!$C$8),OR(Recherche!$C$9="",I4431=Recherche!$C$9),OR(Recherche!$C$10="",G4431&amp;""=Recherche!$C$10&amp;""),OR(Recherche!$C$11="",E4431=Recherche!$C$11),OR(Recherche!$C$12="",ISNUMBER(SEARCH(Recherche!$C$12,M4431&amp;" "&amp;F4431)))),1,0)</f>
        <v>8</v>
      </c>
    </row>
    <row r="4432" customFormat="false" ht="15" hidden="false" customHeight="false" outlineLevel="0" collapsed="false">
      <c r="A4432" s="19"/>
      <c r="B4432" s="19"/>
      <c r="C4432" s="19"/>
      <c r="D4432" s="19"/>
      <c r="E4432" s="22"/>
      <c r="F4432" s="19"/>
      <c r="G4432" s="26" t="str">
        <f aca="false">IF(D4432="","",IFERROR(VALUE(LEFT(D4432,FIND(" |",D4432&amp;" |")-1)),"?"))</f>
        <v/>
      </c>
      <c r="H4432" s="27" t="str">
        <f aca="false">IF(G4432="","",IF(G4432="?","⚠ pub inconnue",IFERROR(INDEX(Pubs!$B$2:$B$3001,MATCH(G4432,Pubs!$A$2:$A$3001,0))&amp;"","⚠ pub inconnue")))</f>
        <v/>
      </c>
      <c r="I4432" s="27" t="str">
        <f aca="false">IF(OR(G4432="",G4432="?"),"",IFERROR(INDEX(Pubs!$C$2:$C$3001,MATCH(G4432,Pubs!$A$2:$A$3001,0))&amp;"",""))</f>
        <v/>
      </c>
      <c r="J4432" s="27" t="str">
        <f aca="false">IF(OR(G4432="",G4432="?"),"",IFERROR(INDEX(Pubs!$G$2:$G$3001,MATCH(G4432,Pubs!$A$2:$A$3001,0))&amp;"",""))</f>
        <v/>
      </c>
      <c r="K4432" s="28" t="str">
        <f aca="false">IF(OR(G4432="",G4432="?"),"",IFERROR(INDEX(Pubs!$E$2:$E$3001,MATCH(G4432,Pubs!$A$2:$A$3001,0)),""))</f>
        <v/>
      </c>
      <c r="L4432" s="29" t="str">
        <f aca="false">IF(A4432="","",IFERROR(1/(1/INDEX(Numéros!$C$2:$C$3001,MATCH(A4432&amp;"|"&amp;B4432,Numéros!$F$2:$F$3001,0))),""))</f>
        <v/>
      </c>
      <c r="M4432" s="27" t="str">
        <f aca="false">IF(OR(G4432="",G4432="?"),"",IFERROR(INDEX(Pubs!$D$2:$D$3001,MATCH(G4432,Pubs!$A$2:$A$3001,0))&amp;"",""))</f>
        <v/>
      </c>
      <c r="N4432" s="27" t="n">
        <f aca="false">N(N4431)+IF(AND(A4432&lt;&gt;"",OR(Recherche!$C$4="",A4432=Recherche!$C$4),OR(Recherche!$C$5="",B4432&amp;""=Recherche!$C$5&amp;""),OR(Recherche!$C$6="",IFERROR(YEAR(L4432),0)=Recherche!$C$6),OR(Recherche!$C$7="",ISNUMBER(SEARCH(Recherche!$C$7,H4432))),OR(Recherche!$C$8="",J4432=Recherche!$C$8),OR(Recherche!$C$9="",I4432=Recherche!$C$9),OR(Recherche!$C$10="",G4432&amp;""=Recherche!$C$10&amp;""),OR(Recherche!$C$11="",E4432=Recherche!$C$11),OR(Recherche!$C$12="",ISNUMBER(SEARCH(Recherche!$C$12,M4432&amp;" "&amp;F4432)))),1,0)</f>
        <v>8</v>
      </c>
    </row>
    <row r="4433" customFormat="false" ht="15" hidden="false" customHeight="false" outlineLevel="0" collapsed="false">
      <c r="A4433" s="19"/>
      <c r="B4433" s="19"/>
      <c r="C4433" s="19"/>
      <c r="D4433" s="19"/>
      <c r="E4433" s="22"/>
      <c r="F4433" s="19"/>
      <c r="G4433" s="26" t="str">
        <f aca="false">IF(D4433="","",IFERROR(VALUE(LEFT(D4433,FIND(" |",D4433&amp;" |")-1)),"?"))</f>
        <v/>
      </c>
      <c r="H4433" s="27" t="str">
        <f aca="false">IF(G4433="","",IF(G4433="?","⚠ pub inconnue",IFERROR(INDEX(Pubs!$B$2:$B$3001,MATCH(G4433,Pubs!$A$2:$A$3001,0))&amp;"","⚠ pub inconnue")))</f>
        <v/>
      </c>
      <c r="I4433" s="27" t="str">
        <f aca="false">IF(OR(G4433="",G4433="?"),"",IFERROR(INDEX(Pubs!$C$2:$C$3001,MATCH(G4433,Pubs!$A$2:$A$3001,0))&amp;"",""))</f>
        <v/>
      </c>
      <c r="J4433" s="27" t="str">
        <f aca="false">IF(OR(G4433="",G4433="?"),"",IFERROR(INDEX(Pubs!$G$2:$G$3001,MATCH(G4433,Pubs!$A$2:$A$3001,0))&amp;"",""))</f>
        <v/>
      </c>
      <c r="K4433" s="28" t="str">
        <f aca="false">IF(OR(G4433="",G4433="?"),"",IFERROR(INDEX(Pubs!$E$2:$E$3001,MATCH(G4433,Pubs!$A$2:$A$3001,0)),""))</f>
        <v/>
      </c>
      <c r="L4433" s="29" t="str">
        <f aca="false">IF(A4433="","",IFERROR(1/(1/INDEX(Numéros!$C$2:$C$3001,MATCH(A4433&amp;"|"&amp;B4433,Numéros!$F$2:$F$3001,0))),""))</f>
        <v/>
      </c>
      <c r="M4433" s="27" t="str">
        <f aca="false">IF(OR(G4433="",G4433="?"),"",IFERROR(INDEX(Pubs!$D$2:$D$3001,MATCH(G4433,Pubs!$A$2:$A$3001,0))&amp;"",""))</f>
        <v/>
      </c>
      <c r="N4433" s="27" t="n">
        <f aca="false">N(N4432)+IF(AND(A4433&lt;&gt;"",OR(Recherche!$C$4="",A4433=Recherche!$C$4),OR(Recherche!$C$5="",B4433&amp;""=Recherche!$C$5&amp;""),OR(Recherche!$C$6="",IFERROR(YEAR(L4433),0)=Recherche!$C$6),OR(Recherche!$C$7="",ISNUMBER(SEARCH(Recherche!$C$7,H4433))),OR(Recherche!$C$8="",J4433=Recherche!$C$8),OR(Recherche!$C$9="",I4433=Recherche!$C$9),OR(Recherche!$C$10="",G4433&amp;""=Recherche!$C$10&amp;""),OR(Recherche!$C$11="",E4433=Recherche!$C$11),OR(Recherche!$C$12="",ISNUMBER(SEARCH(Recherche!$C$12,M4433&amp;" "&amp;F4433)))),1,0)</f>
        <v>8</v>
      </c>
    </row>
    <row r="4434" customFormat="false" ht="15" hidden="false" customHeight="false" outlineLevel="0" collapsed="false">
      <c r="A4434" s="19"/>
      <c r="B4434" s="19"/>
      <c r="C4434" s="19"/>
      <c r="D4434" s="19"/>
      <c r="E4434" s="22"/>
      <c r="F4434" s="19"/>
      <c r="G4434" s="26" t="str">
        <f aca="false">IF(D4434="","",IFERROR(VALUE(LEFT(D4434,FIND(" |",D4434&amp;" |")-1)),"?"))</f>
        <v/>
      </c>
      <c r="H4434" s="27" t="str">
        <f aca="false">IF(G4434="","",IF(G4434="?","⚠ pub inconnue",IFERROR(INDEX(Pubs!$B$2:$B$3001,MATCH(G4434,Pubs!$A$2:$A$3001,0))&amp;"","⚠ pub inconnue")))</f>
        <v/>
      </c>
      <c r="I4434" s="27" t="str">
        <f aca="false">IF(OR(G4434="",G4434="?"),"",IFERROR(INDEX(Pubs!$C$2:$C$3001,MATCH(G4434,Pubs!$A$2:$A$3001,0))&amp;"",""))</f>
        <v/>
      </c>
      <c r="J4434" s="27" t="str">
        <f aca="false">IF(OR(G4434="",G4434="?"),"",IFERROR(INDEX(Pubs!$G$2:$G$3001,MATCH(G4434,Pubs!$A$2:$A$3001,0))&amp;"",""))</f>
        <v/>
      </c>
      <c r="K4434" s="28" t="str">
        <f aca="false">IF(OR(G4434="",G4434="?"),"",IFERROR(INDEX(Pubs!$E$2:$E$3001,MATCH(G4434,Pubs!$A$2:$A$3001,0)),""))</f>
        <v/>
      </c>
      <c r="L4434" s="29" t="str">
        <f aca="false">IF(A4434="","",IFERROR(1/(1/INDEX(Numéros!$C$2:$C$3001,MATCH(A4434&amp;"|"&amp;B4434,Numéros!$F$2:$F$3001,0))),""))</f>
        <v/>
      </c>
      <c r="M4434" s="27" t="str">
        <f aca="false">IF(OR(G4434="",G4434="?"),"",IFERROR(INDEX(Pubs!$D$2:$D$3001,MATCH(G4434,Pubs!$A$2:$A$3001,0))&amp;"",""))</f>
        <v/>
      </c>
      <c r="N4434" s="27" t="n">
        <f aca="false">N(N4433)+IF(AND(A4434&lt;&gt;"",OR(Recherche!$C$4="",A4434=Recherche!$C$4),OR(Recherche!$C$5="",B4434&amp;""=Recherche!$C$5&amp;""),OR(Recherche!$C$6="",IFERROR(YEAR(L4434),0)=Recherche!$C$6),OR(Recherche!$C$7="",ISNUMBER(SEARCH(Recherche!$C$7,H4434))),OR(Recherche!$C$8="",J4434=Recherche!$C$8),OR(Recherche!$C$9="",I4434=Recherche!$C$9),OR(Recherche!$C$10="",G4434&amp;""=Recherche!$C$10&amp;""),OR(Recherche!$C$11="",E4434=Recherche!$C$11),OR(Recherche!$C$12="",ISNUMBER(SEARCH(Recherche!$C$12,M4434&amp;" "&amp;F4434)))),1,0)</f>
        <v>8</v>
      </c>
    </row>
    <row r="4435" customFormat="false" ht="15" hidden="false" customHeight="false" outlineLevel="0" collapsed="false">
      <c r="A4435" s="19"/>
      <c r="B4435" s="19"/>
      <c r="C4435" s="19"/>
      <c r="D4435" s="19"/>
      <c r="E4435" s="22"/>
      <c r="F4435" s="19"/>
      <c r="G4435" s="26" t="str">
        <f aca="false">IF(D4435="","",IFERROR(VALUE(LEFT(D4435,FIND(" |",D4435&amp;" |")-1)),"?"))</f>
        <v/>
      </c>
      <c r="H4435" s="27" t="str">
        <f aca="false">IF(G4435="","",IF(G4435="?","⚠ pub inconnue",IFERROR(INDEX(Pubs!$B$2:$B$3001,MATCH(G4435,Pubs!$A$2:$A$3001,0))&amp;"","⚠ pub inconnue")))</f>
        <v/>
      </c>
      <c r="I4435" s="27" t="str">
        <f aca="false">IF(OR(G4435="",G4435="?"),"",IFERROR(INDEX(Pubs!$C$2:$C$3001,MATCH(G4435,Pubs!$A$2:$A$3001,0))&amp;"",""))</f>
        <v/>
      </c>
      <c r="J4435" s="27" t="str">
        <f aca="false">IF(OR(G4435="",G4435="?"),"",IFERROR(INDEX(Pubs!$G$2:$G$3001,MATCH(G4435,Pubs!$A$2:$A$3001,0))&amp;"",""))</f>
        <v/>
      </c>
      <c r="K4435" s="28" t="str">
        <f aca="false">IF(OR(G4435="",G4435="?"),"",IFERROR(INDEX(Pubs!$E$2:$E$3001,MATCH(G4435,Pubs!$A$2:$A$3001,0)),""))</f>
        <v/>
      </c>
      <c r="L4435" s="29" t="str">
        <f aca="false">IF(A4435="","",IFERROR(1/(1/INDEX(Numéros!$C$2:$C$3001,MATCH(A4435&amp;"|"&amp;B4435,Numéros!$F$2:$F$3001,0))),""))</f>
        <v/>
      </c>
      <c r="M4435" s="27" t="str">
        <f aca="false">IF(OR(G4435="",G4435="?"),"",IFERROR(INDEX(Pubs!$D$2:$D$3001,MATCH(G4435,Pubs!$A$2:$A$3001,0))&amp;"",""))</f>
        <v/>
      </c>
      <c r="N4435" s="27" t="n">
        <f aca="false">N(N4434)+IF(AND(A4435&lt;&gt;"",OR(Recherche!$C$4="",A4435=Recherche!$C$4),OR(Recherche!$C$5="",B4435&amp;""=Recherche!$C$5&amp;""),OR(Recherche!$C$6="",IFERROR(YEAR(L4435),0)=Recherche!$C$6),OR(Recherche!$C$7="",ISNUMBER(SEARCH(Recherche!$C$7,H4435))),OR(Recherche!$C$8="",J4435=Recherche!$C$8),OR(Recherche!$C$9="",I4435=Recherche!$C$9),OR(Recherche!$C$10="",G4435&amp;""=Recherche!$C$10&amp;""),OR(Recherche!$C$11="",E4435=Recherche!$C$11),OR(Recherche!$C$12="",ISNUMBER(SEARCH(Recherche!$C$12,M4435&amp;" "&amp;F4435)))),1,0)</f>
        <v>8</v>
      </c>
    </row>
    <row r="4436" customFormat="false" ht="15" hidden="false" customHeight="false" outlineLevel="0" collapsed="false">
      <c r="A4436" s="19"/>
      <c r="B4436" s="19"/>
      <c r="C4436" s="19"/>
      <c r="D4436" s="19"/>
      <c r="E4436" s="22"/>
      <c r="F4436" s="19"/>
      <c r="G4436" s="26" t="str">
        <f aca="false">IF(D4436="","",IFERROR(VALUE(LEFT(D4436,FIND(" |",D4436&amp;" |")-1)),"?"))</f>
        <v/>
      </c>
      <c r="H4436" s="27" t="str">
        <f aca="false">IF(G4436="","",IF(G4436="?","⚠ pub inconnue",IFERROR(INDEX(Pubs!$B$2:$B$3001,MATCH(G4436,Pubs!$A$2:$A$3001,0))&amp;"","⚠ pub inconnue")))</f>
        <v/>
      </c>
      <c r="I4436" s="27" t="str">
        <f aca="false">IF(OR(G4436="",G4436="?"),"",IFERROR(INDEX(Pubs!$C$2:$C$3001,MATCH(G4436,Pubs!$A$2:$A$3001,0))&amp;"",""))</f>
        <v/>
      </c>
      <c r="J4436" s="27" t="str">
        <f aca="false">IF(OR(G4436="",G4436="?"),"",IFERROR(INDEX(Pubs!$G$2:$G$3001,MATCH(G4436,Pubs!$A$2:$A$3001,0))&amp;"",""))</f>
        <v/>
      </c>
      <c r="K4436" s="28" t="str">
        <f aca="false">IF(OR(G4436="",G4436="?"),"",IFERROR(INDEX(Pubs!$E$2:$E$3001,MATCH(G4436,Pubs!$A$2:$A$3001,0)),""))</f>
        <v/>
      </c>
      <c r="L4436" s="29" t="str">
        <f aca="false">IF(A4436="","",IFERROR(1/(1/INDEX(Numéros!$C$2:$C$3001,MATCH(A4436&amp;"|"&amp;B4436,Numéros!$F$2:$F$3001,0))),""))</f>
        <v/>
      </c>
      <c r="M4436" s="27" t="str">
        <f aca="false">IF(OR(G4436="",G4436="?"),"",IFERROR(INDEX(Pubs!$D$2:$D$3001,MATCH(G4436,Pubs!$A$2:$A$3001,0))&amp;"",""))</f>
        <v/>
      </c>
      <c r="N4436" s="27" t="n">
        <f aca="false">N(N4435)+IF(AND(A4436&lt;&gt;"",OR(Recherche!$C$4="",A4436=Recherche!$C$4),OR(Recherche!$C$5="",B4436&amp;""=Recherche!$C$5&amp;""),OR(Recherche!$C$6="",IFERROR(YEAR(L4436),0)=Recherche!$C$6),OR(Recherche!$C$7="",ISNUMBER(SEARCH(Recherche!$C$7,H4436))),OR(Recherche!$C$8="",J4436=Recherche!$C$8),OR(Recherche!$C$9="",I4436=Recherche!$C$9),OR(Recherche!$C$10="",G4436&amp;""=Recherche!$C$10&amp;""),OR(Recherche!$C$11="",E4436=Recherche!$C$11),OR(Recherche!$C$12="",ISNUMBER(SEARCH(Recherche!$C$12,M4436&amp;" "&amp;F4436)))),1,0)</f>
        <v>8</v>
      </c>
    </row>
    <row r="4437" customFormat="false" ht="15" hidden="false" customHeight="false" outlineLevel="0" collapsed="false">
      <c r="A4437" s="19"/>
      <c r="B4437" s="19"/>
      <c r="C4437" s="19"/>
      <c r="D4437" s="19"/>
      <c r="E4437" s="22"/>
      <c r="F4437" s="19"/>
      <c r="G4437" s="26" t="str">
        <f aca="false">IF(D4437="","",IFERROR(VALUE(LEFT(D4437,FIND(" |",D4437&amp;" |")-1)),"?"))</f>
        <v/>
      </c>
      <c r="H4437" s="27" t="str">
        <f aca="false">IF(G4437="","",IF(G4437="?","⚠ pub inconnue",IFERROR(INDEX(Pubs!$B$2:$B$3001,MATCH(G4437,Pubs!$A$2:$A$3001,0))&amp;"","⚠ pub inconnue")))</f>
        <v/>
      </c>
      <c r="I4437" s="27" t="str">
        <f aca="false">IF(OR(G4437="",G4437="?"),"",IFERROR(INDEX(Pubs!$C$2:$C$3001,MATCH(G4437,Pubs!$A$2:$A$3001,0))&amp;"",""))</f>
        <v/>
      </c>
      <c r="J4437" s="27" t="str">
        <f aca="false">IF(OR(G4437="",G4437="?"),"",IFERROR(INDEX(Pubs!$G$2:$G$3001,MATCH(G4437,Pubs!$A$2:$A$3001,0))&amp;"",""))</f>
        <v/>
      </c>
      <c r="K4437" s="28" t="str">
        <f aca="false">IF(OR(G4437="",G4437="?"),"",IFERROR(INDEX(Pubs!$E$2:$E$3001,MATCH(G4437,Pubs!$A$2:$A$3001,0)),""))</f>
        <v/>
      </c>
      <c r="L4437" s="29" t="str">
        <f aca="false">IF(A4437="","",IFERROR(1/(1/INDEX(Numéros!$C$2:$C$3001,MATCH(A4437&amp;"|"&amp;B4437,Numéros!$F$2:$F$3001,0))),""))</f>
        <v/>
      </c>
      <c r="M4437" s="27" t="str">
        <f aca="false">IF(OR(G4437="",G4437="?"),"",IFERROR(INDEX(Pubs!$D$2:$D$3001,MATCH(G4437,Pubs!$A$2:$A$3001,0))&amp;"",""))</f>
        <v/>
      </c>
      <c r="N4437" s="27" t="n">
        <f aca="false">N(N4436)+IF(AND(A4437&lt;&gt;"",OR(Recherche!$C$4="",A4437=Recherche!$C$4),OR(Recherche!$C$5="",B4437&amp;""=Recherche!$C$5&amp;""),OR(Recherche!$C$6="",IFERROR(YEAR(L4437),0)=Recherche!$C$6),OR(Recherche!$C$7="",ISNUMBER(SEARCH(Recherche!$C$7,H4437))),OR(Recherche!$C$8="",J4437=Recherche!$C$8),OR(Recherche!$C$9="",I4437=Recherche!$C$9),OR(Recherche!$C$10="",G4437&amp;""=Recherche!$C$10&amp;""),OR(Recherche!$C$11="",E4437=Recherche!$C$11),OR(Recherche!$C$12="",ISNUMBER(SEARCH(Recherche!$C$12,M4437&amp;" "&amp;F4437)))),1,0)</f>
        <v>8</v>
      </c>
    </row>
    <row r="4438" customFormat="false" ht="15" hidden="false" customHeight="false" outlineLevel="0" collapsed="false">
      <c r="A4438" s="19"/>
      <c r="B4438" s="19"/>
      <c r="C4438" s="19"/>
      <c r="D4438" s="19"/>
      <c r="E4438" s="22"/>
      <c r="F4438" s="19"/>
      <c r="G4438" s="26" t="str">
        <f aca="false">IF(D4438="","",IFERROR(VALUE(LEFT(D4438,FIND(" |",D4438&amp;" |")-1)),"?"))</f>
        <v/>
      </c>
      <c r="H4438" s="27" t="str">
        <f aca="false">IF(G4438="","",IF(G4438="?","⚠ pub inconnue",IFERROR(INDEX(Pubs!$B$2:$B$3001,MATCH(G4438,Pubs!$A$2:$A$3001,0))&amp;"","⚠ pub inconnue")))</f>
        <v/>
      </c>
      <c r="I4438" s="27" t="str">
        <f aca="false">IF(OR(G4438="",G4438="?"),"",IFERROR(INDEX(Pubs!$C$2:$C$3001,MATCH(G4438,Pubs!$A$2:$A$3001,0))&amp;"",""))</f>
        <v/>
      </c>
      <c r="J4438" s="27" t="str">
        <f aca="false">IF(OR(G4438="",G4438="?"),"",IFERROR(INDEX(Pubs!$G$2:$G$3001,MATCH(G4438,Pubs!$A$2:$A$3001,0))&amp;"",""))</f>
        <v/>
      </c>
      <c r="K4438" s="28" t="str">
        <f aca="false">IF(OR(G4438="",G4438="?"),"",IFERROR(INDEX(Pubs!$E$2:$E$3001,MATCH(G4438,Pubs!$A$2:$A$3001,0)),""))</f>
        <v/>
      </c>
      <c r="L4438" s="29" t="str">
        <f aca="false">IF(A4438="","",IFERROR(1/(1/INDEX(Numéros!$C$2:$C$3001,MATCH(A4438&amp;"|"&amp;B4438,Numéros!$F$2:$F$3001,0))),""))</f>
        <v/>
      </c>
      <c r="M4438" s="27" t="str">
        <f aca="false">IF(OR(G4438="",G4438="?"),"",IFERROR(INDEX(Pubs!$D$2:$D$3001,MATCH(G4438,Pubs!$A$2:$A$3001,0))&amp;"",""))</f>
        <v/>
      </c>
      <c r="N4438" s="27" t="n">
        <f aca="false">N(N4437)+IF(AND(A4438&lt;&gt;"",OR(Recherche!$C$4="",A4438=Recherche!$C$4),OR(Recherche!$C$5="",B4438&amp;""=Recherche!$C$5&amp;""),OR(Recherche!$C$6="",IFERROR(YEAR(L4438),0)=Recherche!$C$6),OR(Recherche!$C$7="",ISNUMBER(SEARCH(Recherche!$C$7,H4438))),OR(Recherche!$C$8="",J4438=Recherche!$C$8),OR(Recherche!$C$9="",I4438=Recherche!$C$9),OR(Recherche!$C$10="",G4438&amp;""=Recherche!$C$10&amp;""),OR(Recherche!$C$11="",E4438=Recherche!$C$11),OR(Recherche!$C$12="",ISNUMBER(SEARCH(Recherche!$C$12,M4438&amp;" "&amp;F4438)))),1,0)</f>
        <v>8</v>
      </c>
    </row>
    <row r="4439" customFormat="false" ht="15" hidden="false" customHeight="false" outlineLevel="0" collapsed="false">
      <c r="A4439" s="19"/>
      <c r="B4439" s="19"/>
      <c r="C4439" s="19"/>
      <c r="D4439" s="19"/>
      <c r="E4439" s="22"/>
      <c r="F4439" s="19"/>
      <c r="G4439" s="26" t="str">
        <f aca="false">IF(D4439="","",IFERROR(VALUE(LEFT(D4439,FIND(" |",D4439&amp;" |")-1)),"?"))</f>
        <v/>
      </c>
      <c r="H4439" s="27" t="str">
        <f aca="false">IF(G4439="","",IF(G4439="?","⚠ pub inconnue",IFERROR(INDEX(Pubs!$B$2:$B$3001,MATCH(G4439,Pubs!$A$2:$A$3001,0))&amp;"","⚠ pub inconnue")))</f>
        <v/>
      </c>
      <c r="I4439" s="27" t="str">
        <f aca="false">IF(OR(G4439="",G4439="?"),"",IFERROR(INDEX(Pubs!$C$2:$C$3001,MATCH(G4439,Pubs!$A$2:$A$3001,0))&amp;"",""))</f>
        <v/>
      </c>
      <c r="J4439" s="27" t="str">
        <f aca="false">IF(OR(G4439="",G4439="?"),"",IFERROR(INDEX(Pubs!$G$2:$G$3001,MATCH(G4439,Pubs!$A$2:$A$3001,0))&amp;"",""))</f>
        <v/>
      </c>
      <c r="K4439" s="28" t="str">
        <f aca="false">IF(OR(G4439="",G4439="?"),"",IFERROR(INDEX(Pubs!$E$2:$E$3001,MATCH(G4439,Pubs!$A$2:$A$3001,0)),""))</f>
        <v/>
      </c>
      <c r="L4439" s="29" t="str">
        <f aca="false">IF(A4439="","",IFERROR(1/(1/INDEX(Numéros!$C$2:$C$3001,MATCH(A4439&amp;"|"&amp;B4439,Numéros!$F$2:$F$3001,0))),""))</f>
        <v/>
      </c>
      <c r="M4439" s="27" t="str">
        <f aca="false">IF(OR(G4439="",G4439="?"),"",IFERROR(INDEX(Pubs!$D$2:$D$3001,MATCH(G4439,Pubs!$A$2:$A$3001,0))&amp;"",""))</f>
        <v/>
      </c>
      <c r="N4439" s="27" t="n">
        <f aca="false">N(N4438)+IF(AND(A4439&lt;&gt;"",OR(Recherche!$C$4="",A4439=Recherche!$C$4),OR(Recherche!$C$5="",B4439&amp;""=Recherche!$C$5&amp;""),OR(Recherche!$C$6="",IFERROR(YEAR(L4439),0)=Recherche!$C$6),OR(Recherche!$C$7="",ISNUMBER(SEARCH(Recherche!$C$7,H4439))),OR(Recherche!$C$8="",J4439=Recherche!$C$8),OR(Recherche!$C$9="",I4439=Recherche!$C$9),OR(Recherche!$C$10="",G4439&amp;""=Recherche!$C$10&amp;""),OR(Recherche!$C$11="",E4439=Recherche!$C$11),OR(Recherche!$C$12="",ISNUMBER(SEARCH(Recherche!$C$12,M4439&amp;" "&amp;F4439)))),1,0)</f>
        <v>8</v>
      </c>
    </row>
    <row r="4440" customFormat="false" ht="15" hidden="false" customHeight="false" outlineLevel="0" collapsed="false">
      <c r="A4440" s="19"/>
      <c r="B4440" s="19"/>
      <c r="C4440" s="19"/>
      <c r="D4440" s="19"/>
      <c r="E4440" s="22"/>
      <c r="F4440" s="19"/>
      <c r="G4440" s="26" t="str">
        <f aca="false">IF(D4440="","",IFERROR(VALUE(LEFT(D4440,FIND(" |",D4440&amp;" |")-1)),"?"))</f>
        <v/>
      </c>
      <c r="H4440" s="27" t="str">
        <f aca="false">IF(G4440="","",IF(G4440="?","⚠ pub inconnue",IFERROR(INDEX(Pubs!$B$2:$B$3001,MATCH(G4440,Pubs!$A$2:$A$3001,0))&amp;"","⚠ pub inconnue")))</f>
        <v/>
      </c>
      <c r="I4440" s="27" t="str">
        <f aca="false">IF(OR(G4440="",G4440="?"),"",IFERROR(INDEX(Pubs!$C$2:$C$3001,MATCH(G4440,Pubs!$A$2:$A$3001,0))&amp;"",""))</f>
        <v/>
      </c>
      <c r="J4440" s="27" t="str">
        <f aca="false">IF(OR(G4440="",G4440="?"),"",IFERROR(INDEX(Pubs!$G$2:$G$3001,MATCH(G4440,Pubs!$A$2:$A$3001,0))&amp;"",""))</f>
        <v/>
      </c>
      <c r="K4440" s="28" t="str">
        <f aca="false">IF(OR(G4440="",G4440="?"),"",IFERROR(INDEX(Pubs!$E$2:$E$3001,MATCH(G4440,Pubs!$A$2:$A$3001,0)),""))</f>
        <v/>
      </c>
      <c r="L4440" s="29" t="str">
        <f aca="false">IF(A4440="","",IFERROR(1/(1/INDEX(Numéros!$C$2:$C$3001,MATCH(A4440&amp;"|"&amp;B4440,Numéros!$F$2:$F$3001,0))),""))</f>
        <v/>
      </c>
      <c r="M4440" s="27" t="str">
        <f aca="false">IF(OR(G4440="",G4440="?"),"",IFERROR(INDEX(Pubs!$D$2:$D$3001,MATCH(G4440,Pubs!$A$2:$A$3001,0))&amp;"",""))</f>
        <v/>
      </c>
      <c r="N4440" s="27" t="n">
        <f aca="false">N(N4439)+IF(AND(A4440&lt;&gt;"",OR(Recherche!$C$4="",A4440=Recherche!$C$4),OR(Recherche!$C$5="",B4440&amp;""=Recherche!$C$5&amp;""),OR(Recherche!$C$6="",IFERROR(YEAR(L4440),0)=Recherche!$C$6),OR(Recherche!$C$7="",ISNUMBER(SEARCH(Recherche!$C$7,H4440))),OR(Recherche!$C$8="",J4440=Recherche!$C$8),OR(Recherche!$C$9="",I4440=Recherche!$C$9),OR(Recherche!$C$10="",G4440&amp;""=Recherche!$C$10&amp;""),OR(Recherche!$C$11="",E4440=Recherche!$C$11),OR(Recherche!$C$12="",ISNUMBER(SEARCH(Recherche!$C$12,M4440&amp;" "&amp;F4440)))),1,0)</f>
        <v>8</v>
      </c>
    </row>
    <row r="4441" customFormat="false" ht="15" hidden="false" customHeight="false" outlineLevel="0" collapsed="false">
      <c r="A4441" s="19"/>
      <c r="B4441" s="19"/>
      <c r="C4441" s="19"/>
      <c r="D4441" s="19"/>
      <c r="E4441" s="22"/>
      <c r="F4441" s="19"/>
      <c r="G4441" s="26" t="str">
        <f aca="false">IF(D4441="","",IFERROR(VALUE(LEFT(D4441,FIND(" |",D4441&amp;" |")-1)),"?"))</f>
        <v/>
      </c>
      <c r="H4441" s="27" t="str">
        <f aca="false">IF(G4441="","",IF(G4441="?","⚠ pub inconnue",IFERROR(INDEX(Pubs!$B$2:$B$3001,MATCH(G4441,Pubs!$A$2:$A$3001,0))&amp;"","⚠ pub inconnue")))</f>
        <v/>
      </c>
      <c r="I4441" s="27" t="str">
        <f aca="false">IF(OR(G4441="",G4441="?"),"",IFERROR(INDEX(Pubs!$C$2:$C$3001,MATCH(G4441,Pubs!$A$2:$A$3001,0))&amp;"",""))</f>
        <v/>
      </c>
      <c r="J4441" s="27" t="str">
        <f aca="false">IF(OR(G4441="",G4441="?"),"",IFERROR(INDEX(Pubs!$G$2:$G$3001,MATCH(G4441,Pubs!$A$2:$A$3001,0))&amp;"",""))</f>
        <v/>
      </c>
      <c r="K4441" s="28" t="str">
        <f aca="false">IF(OR(G4441="",G4441="?"),"",IFERROR(INDEX(Pubs!$E$2:$E$3001,MATCH(G4441,Pubs!$A$2:$A$3001,0)),""))</f>
        <v/>
      </c>
      <c r="L4441" s="29" t="str">
        <f aca="false">IF(A4441="","",IFERROR(1/(1/INDEX(Numéros!$C$2:$C$3001,MATCH(A4441&amp;"|"&amp;B4441,Numéros!$F$2:$F$3001,0))),""))</f>
        <v/>
      </c>
      <c r="M4441" s="27" t="str">
        <f aca="false">IF(OR(G4441="",G4441="?"),"",IFERROR(INDEX(Pubs!$D$2:$D$3001,MATCH(G4441,Pubs!$A$2:$A$3001,0))&amp;"",""))</f>
        <v/>
      </c>
      <c r="N4441" s="27" t="n">
        <f aca="false">N(N4440)+IF(AND(A4441&lt;&gt;"",OR(Recherche!$C$4="",A4441=Recherche!$C$4),OR(Recherche!$C$5="",B4441&amp;""=Recherche!$C$5&amp;""),OR(Recherche!$C$6="",IFERROR(YEAR(L4441),0)=Recherche!$C$6),OR(Recherche!$C$7="",ISNUMBER(SEARCH(Recherche!$C$7,H4441))),OR(Recherche!$C$8="",J4441=Recherche!$C$8),OR(Recherche!$C$9="",I4441=Recherche!$C$9),OR(Recherche!$C$10="",G4441&amp;""=Recherche!$C$10&amp;""),OR(Recherche!$C$11="",E4441=Recherche!$C$11),OR(Recherche!$C$12="",ISNUMBER(SEARCH(Recherche!$C$12,M4441&amp;" "&amp;F4441)))),1,0)</f>
        <v>8</v>
      </c>
    </row>
    <row r="4442" customFormat="false" ht="15" hidden="false" customHeight="false" outlineLevel="0" collapsed="false">
      <c r="A4442" s="19"/>
      <c r="B4442" s="19"/>
      <c r="C4442" s="19"/>
      <c r="D4442" s="19"/>
      <c r="E4442" s="22"/>
      <c r="F4442" s="19"/>
      <c r="G4442" s="26" t="str">
        <f aca="false">IF(D4442="","",IFERROR(VALUE(LEFT(D4442,FIND(" |",D4442&amp;" |")-1)),"?"))</f>
        <v/>
      </c>
      <c r="H4442" s="27" t="str">
        <f aca="false">IF(G4442="","",IF(G4442="?","⚠ pub inconnue",IFERROR(INDEX(Pubs!$B$2:$B$3001,MATCH(G4442,Pubs!$A$2:$A$3001,0))&amp;"","⚠ pub inconnue")))</f>
        <v/>
      </c>
      <c r="I4442" s="27" t="str">
        <f aca="false">IF(OR(G4442="",G4442="?"),"",IFERROR(INDEX(Pubs!$C$2:$C$3001,MATCH(G4442,Pubs!$A$2:$A$3001,0))&amp;"",""))</f>
        <v/>
      </c>
      <c r="J4442" s="27" t="str">
        <f aca="false">IF(OR(G4442="",G4442="?"),"",IFERROR(INDEX(Pubs!$G$2:$G$3001,MATCH(G4442,Pubs!$A$2:$A$3001,0))&amp;"",""))</f>
        <v/>
      </c>
      <c r="K4442" s="28" t="str">
        <f aca="false">IF(OR(G4442="",G4442="?"),"",IFERROR(INDEX(Pubs!$E$2:$E$3001,MATCH(G4442,Pubs!$A$2:$A$3001,0)),""))</f>
        <v/>
      </c>
      <c r="L4442" s="29" t="str">
        <f aca="false">IF(A4442="","",IFERROR(1/(1/INDEX(Numéros!$C$2:$C$3001,MATCH(A4442&amp;"|"&amp;B4442,Numéros!$F$2:$F$3001,0))),""))</f>
        <v/>
      </c>
      <c r="M4442" s="27" t="str">
        <f aca="false">IF(OR(G4442="",G4442="?"),"",IFERROR(INDEX(Pubs!$D$2:$D$3001,MATCH(G4442,Pubs!$A$2:$A$3001,0))&amp;"",""))</f>
        <v/>
      </c>
      <c r="N4442" s="27" t="n">
        <f aca="false">N(N4441)+IF(AND(A4442&lt;&gt;"",OR(Recherche!$C$4="",A4442=Recherche!$C$4),OR(Recherche!$C$5="",B4442&amp;""=Recherche!$C$5&amp;""),OR(Recherche!$C$6="",IFERROR(YEAR(L4442),0)=Recherche!$C$6),OR(Recherche!$C$7="",ISNUMBER(SEARCH(Recherche!$C$7,H4442))),OR(Recherche!$C$8="",J4442=Recherche!$C$8),OR(Recherche!$C$9="",I4442=Recherche!$C$9),OR(Recherche!$C$10="",G4442&amp;""=Recherche!$C$10&amp;""),OR(Recherche!$C$11="",E4442=Recherche!$C$11),OR(Recherche!$C$12="",ISNUMBER(SEARCH(Recherche!$C$12,M4442&amp;" "&amp;F4442)))),1,0)</f>
        <v>8</v>
      </c>
    </row>
    <row r="4443" customFormat="false" ht="15" hidden="false" customHeight="false" outlineLevel="0" collapsed="false">
      <c r="A4443" s="19"/>
      <c r="B4443" s="19"/>
      <c r="C4443" s="19"/>
      <c r="D4443" s="19"/>
      <c r="E4443" s="22"/>
      <c r="F4443" s="19"/>
      <c r="G4443" s="26" t="str">
        <f aca="false">IF(D4443="","",IFERROR(VALUE(LEFT(D4443,FIND(" |",D4443&amp;" |")-1)),"?"))</f>
        <v/>
      </c>
      <c r="H4443" s="27" t="str">
        <f aca="false">IF(G4443="","",IF(G4443="?","⚠ pub inconnue",IFERROR(INDEX(Pubs!$B$2:$B$3001,MATCH(G4443,Pubs!$A$2:$A$3001,0))&amp;"","⚠ pub inconnue")))</f>
        <v/>
      </c>
      <c r="I4443" s="27" t="str">
        <f aca="false">IF(OR(G4443="",G4443="?"),"",IFERROR(INDEX(Pubs!$C$2:$C$3001,MATCH(G4443,Pubs!$A$2:$A$3001,0))&amp;"",""))</f>
        <v/>
      </c>
      <c r="J4443" s="27" t="str">
        <f aca="false">IF(OR(G4443="",G4443="?"),"",IFERROR(INDEX(Pubs!$G$2:$G$3001,MATCH(G4443,Pubs!$A$2:$A$3001,0))&amp;"",""))</f>
        <v/>
      </c>
      <c r="K4443" s="28" t="str">
        <f aca="false">IF(OR(G4443="",G4443="?"),"",IFERROR(INDEX(Pubs!$E$2:$E$3001,MATCH(G4443,Pubs!$A$2:$A$3001,0)),""))</f>
        <v/>
      </c>
      <c r="L4443" s="29" t="str">
        <f aca="false">IF(A4443="","",IFERROR(1/(1/INDEX(Numéros!$C$2:$C$3001,MATCH(A4443&amp;"|"&amp;B4443,Numéros!$F$2:$F$3001,0))),""))</f>
        <v/>
      </c>
      <c r="M4443" s="27" t="str">
        <f aca="false">IF(OR(G4443="",G4443="?"),"",IFERROR(INDEX(Pubs!$D$2:$D$3001,MATCH(G4443,Pubs!$A$2:$A$3001,0))&amp;"",""))</f>
        <v/>
      </c>
      <c r="N4443" s="27" t="n">
        <f aca="false">N(N4442)+IF(AND(A4443&lt;&gt;"",OR(Recherche!$C$4="",A4443=Recherche!$C$4),OR(Recherche!$C$5="",B4443&amp;""=Recherche!$C$5&amp;""),OR(Recherche!$C$6="",IFERROR(YEAR(L4443),0)=Recherche!$C$6),OR(Recherche!$C$7="",ISNUMBER(SEARCH(Recherche!$C$7,H4443))),OR(Recherche!$C$8="",J4443=Recherche!$C$8),OR(Recherche!$C$9="",I4443=Recherche!$C$9),OR(Recherche!$C$10="",G4443&amp;""=Recherche!$C$10&amp;""),OR(Recherche!$C$11="",E4443=Recherche!$C$11),OR(Recherche!$C$12="",ISNUMBER(SEARCH(Recherche!$C$12,M4443&amp;" "&amp;F4443)))),1,0)</f>
        <v>8</v>
      </c>
    </row>
    <row r="4444" customFormat="false" ht="15" hidden="false" customHeight="false" outlineLevel="0" collapsed="false">
      <c r="A4444" s="19"/>
      <c r="B4444" s="19"/>
      <c r="C4444" s="19"/>
      <c r="D4444" s="19"/>
      <c r="E4444" s="22"/>
      <c r="F4444" s="19"/>
      <c r="G4444" s="26" t="str">
        <f aca="false">IF(D4444="","",IFERROR(VALUE(LEFT(D4444,FIND(" |",D4444&amp;" |")-1)),"?"))</f>
        <v/>
      </c>
      <c r="H4444" s="27" t="str">
        <f aca="false">IF(G4444="","",IF(G4444="?","⚠ pub inconnue",IFERROR(INDEX(Pubs!$B$2:$B$3001,MATCH(G4444,Pubs!$A$2:$A$3001,0))&amp;"","⚠ pub inconnue")))</f>
        <v/>
      </c>
      <c r="I4444" s="27" t="str">
        <f aca="false">IF(OR(G4444="",G4444="?"),"",IFERROR(INDEX(Pubs!$C$2:$C$3001,MATCH(G4444,Pubs!$A$2:$A$3001,0))&amp;"",""))</f>
        <v/>
      </c>
      <c r="J4444" s="27" t="str">
        <f aca="false">IF(OR(G4444="",G4444="?"),"",IFERROR(INDEX(Pubs!$G$2:$G$3001,MATCH(G4444,Pubs!$A$2:$A$3001,0))&amp;"",""))</f>
        <v/>
      </c>
      <c r="K4444" s="28" t="str">
        <f aca="false">IF(OR(G4444="",G4444="?"),"",IFERROR(INDEX(Pubs!$E$2:$E$3001,MATCH(G4444,Pubs!$A$2:$A$3001,0)),""))</f>
        <v/>
      </c>
      <c r="L4444" s="29" t="str">
        <f aca="false">IF(A4444="","",IFERROR(1/(1/INDEX(Numéros!$C$2:$C$3001,MATCH(A4444&amp;"|"&amp;B4444,Numéros!$F$2:$F$3001,0))),""))</f>
        <v/>
      </c>
      <c r="M4444" s="27" t="str">
        <f aca="false">IF(OR(G4444="",G4444="?"),"",IFERROR(INDEX(Pubs!$D$2:$D$3001,MATCH(G4444,Pubs!$A$2:$A$3001,0))&amp;"",""))</f>
        <v/>
      </c>
      <c r="N4444" s="27" t="n">
        <f aca="false">N(N4443)+IF(AND(A4444&lt;&gt;"",OR(Recherche!$C$4="",A4444=Recherche!$C$4),OR(Recherche!$C$5="",B4444&amp;""=Recherche!$C$5&amp;""),OR(Recherche!$C$6="",IFERROR(YEAR(L4444),0)=Recherche!$C$6),OR(Recherche!$C$7="",ISNUMBER(SEARCH(Recherche!$C$7,H4444))),OR(Recherche!$C$8="",J4444=Recherche!$C$8),OR(Recherche!$C$9="",I4444=Recherche!$C$9),OR(Recherche!$C$10="",G4444&amp;""=Recherche!$C$10&amp;""),OR(Recherche!$C$11="",E4444=Recherche!$C$11),OR(Recherche!$C$12="",ISNUMBER(SEARCH(Recherche!$C$12,M4444&amp;" "&amp;F4444)))),1,0)</f>
        <v>8</v>
      </c>
    </row>
    <row r="4445" customFormat="false" ht="15" hidden="false" customHeight="false" outlineLevel="0" collapsed="false">
      <c r="A4445" s="19"/>
      <c r="B4445" s="19"/>
      <c r="C4445" s="19"/>
      <c r="D4445" s="19"/>
      <c r="E4445" s="22"/>
      <c r="F4445" s="19"/>
      <c r="G4445" s="26" t="str">
        <f aca="false">IF(D4445="","",IFERROR(VALUE(LEFT(D4445,FIND(" |",D4445&amp;" |")-1)),"?"))</f>
        <v/>
      </c>
      <c r="H4445" s="27" t="str">
        <f aca="false">IF(G4445="","",IF(G4445="?","⚠ pub inconnue",IFERROR(INDEX(Pubs!$B$2:$B$3001,MATCH(G4445,Pubs!$A$2:$A$3001,0))&amp;"","⚠ pub inconnue")))</f>
        <v/>
      </c>
      <c r="I4445" s="27" t="str">
        <f aca="false">IF(OR(G4445="",G4445="?"),"",IFERROR(INDEX(Pubs!$C$2:$C$3001,MATCH(G4445,Pubs!$A$2:$A$3001,0))&amp;"",""))</f>
        <v/>
      </c>
      <c r="J4445" s="27" t="str">
        <f aca="false">IF(OR(G4445="",G4445="?"),"",IFERROR(INDEX(Pubs!$G$2:$G$3001,MATCH(G4445,Pubs!$A$2:$A$3001,0))&amp;"",""))</f>
        <v/>
      </c>
      <c r="K4445" s="28" t="str">
        <f aca="false">IF(OR(G4445="",G4445="?"),"",IFERROR(INDEX(Pubs!$E$2:$E$3001,MATCH(G4445,Pubs!$A$2:$A$3001,0)),""))</f>
        <v/>
      </c>
      <c r="L4445" s="29" t="str">
        <f aca="false">IF(A4445="","",IFERROR(1/(1/INDEX(Numéros!$C$2:$C$3001,MATCH(A4445&amp;"|"&amp;B4445,Numéros!$F$2:$F$3001,0))),""))</f>
        <v/>
      </c>
      <c r="M4445" s="27" t="str">
        <f aca="false">IF(OR(G4445="",G4445="?"),"",IFERROR(INDEX(Pubs!$D$2:$D$3001,MATCH(G4445,Pubs!$A$2:$A$3001,0))&amp;"",""))</f>
        <v/>
      </c>
      <c r="N4445" s="27" t="n">
        <f aca="false">N(N4444)+IF(AND(A4445&lt;&gt;"",OR(Recherche!$C$4="",A4445=Recherche!$C$4),OR(Recherche!$C$5="",B4445&amp;""=Recherche!$C$5&amp;""),OR(Recherche!$C$6="",IFERROR(YEAR(L4445),0)=Recherche!$C$6),OR(Recherche!$C$7="",ISNUMBER(SEARCH(Recherche!$C$7,H4445))),OR(Recherche!$C$8="",J4445=Recherche!$C$8),OR(Recherche!$C$9="",I4445=Recherche!$C$9),OR(Recherche!$C$10="",G4445&amp;""=Recherche!$C$10&amp;""),OR(Recherche!$C$11="",E4445=Recherche!$C$11),OR(Recherche!$C$12="",ISNUMBER(SEARCH(Recherche!$C$12,M4445&amp;" "&amp;F4445)))),1,0)</f>
        <v>8</v>
      </c>
    </row>
    <row r="4446" customFormat="false" ht="15" hidden="false" customHeight="false" outlineLevel="0" collapsed="false">
      <c r="A4446" s="19"/>
      <c r="B4446" s="19"/>
      <c r="C4446" s="19"/>
      <c r="D4446" s="19"/>
      <c r="E4446" s="22"/>
      <c r="F4446" s="19"/>
      <c r="G4446" s="26" t="str">
        <f aca="false">IF(D4446="","",IFERROR(VALUE(LEFT(D4446,FIND(" |",D4446&amp;" |")-1)),"?"))</f>
        <v/>
      </c>
      <c r="H4446" s="27" t="str">
        <f aca="false">IF(G4446="","",IF(G4446="?","⚠ pub inconnue",IFERROR(INDEX(Pubs!$B$2:$B$3001,MATCH(G4446,Pubs!$A$2:$A$3001,0))&amp;"","⚠ pub inconnue")))</f>
        <v/>
      </c>
      <c r="I4446" s="27" t="str">
        <f aca="false">IF(OR(G4446="",G4446="?"),"",IFERROR(INDEX(Pubs!$C$2:$C$3001,MATCH(G4446,Pubs!$A$2:$A$3001,0))&amp;"",""))</f>
        <v/>
      </c>
      <c r="J4446" s="27" t="str">
        <f aca="false">IF(OR(G4446="",G4446="?"),"",IFERROR(INDEX(Pubs!$G$2:$G$3001,MATCH(G4446,Pubs!$A$2:$A$3001,0))&amp;"",""))</f>
        <v/>
      </c>
      <c r="K4446" s="28" t="str">
        <f aca="false">IF(OR(G4446="",G4446="?"),"",IFERROR(INDEX(Pubs!$E$2:$E$3001,MATCH(G4446,Pubs!$A$2:$A$3001,0)),""))</f>
        <v/>
      </c>
      <c r="L4446" s="29" t="str">
        <f aca="false">IF(A4446="","",IFERROR(1/(1/INDEX(Numéros!$C$2:$C$3001,MATCH(A4446&amp;"|"&amp;B4446,Numéros!$F$2:$F$3001,0))),""))</f>
        <v/>
      </c>
      <c r="M4446" s="27" t="str">
        <f aca="false">IF(OR(G4446="",G4446="?"),"",IFERROR(INDEX(Pubs!$D$2:$D$3001,MATCH(G4446,Pubs!$A$2:$A$3001,0))&amp;"",""))</f>
        <v/>
      </c>
      <c r="N4446" s="27" t="n">
        <f aca="false">N(N4445)+IF(AND(A4446&lt;&gt;"",OR(Recherche!$C$4="",A4446=Recherche!$C$4),OR(Recherche!$C$5="",B4446&amp;""=Recherche!$C$5&amp;""),OR(Recherche!$C$6="",IFERROR(YEAR(L4446),0)=Recherche!$C$6),OR(Recherche!$C$7="",ISNUMBER(SEARCH(Recherche!$C$7,H4446))),OR(Recherche!$C$8="",J4446=Recherche!$C$8),OR(Recherche!$C$9="",I4446=Recherche!$C$9),OR(Recherche!$C$10="",G4446&amp;""=Recherche!$C$10&amp;""),OR(Recherche!$C$11="",E4446=Recherche!$C$11),OR(Recherche!$C$12="",ISNUMBER(SEARCH(Recherche!$C$12,M4446&amp;" "&amp;F4446)))),1,0)</f>
        <v>8</v>
      </c>
    </row>
    <row r="4447" customFormat="false" ht="15" hidden="false" customHeight="false" outlineLevel="0" collapsed="false">
      <c r="A4447" s="19"/>
      <c r="B4447" s="19"/>
      <c r="C4447" s="19"/>
      <c r="D4447" s="19"/>
      <c r="E4447" s="22"/>
      <c r="F4447" s="19"/>
      <c r="G4447" s="26" t="str">
        <f aca="false">IF(D4447="","",IFERROR(VALUE(LEFT(D4447,FIND(" |",D4447&amp;" |")-1)),"?"))</f>
        <v/>
      </c>
      <c r="H4447" s="27" t="str">
        <f aca="false">IF(G4447="","",IF(G4447="?","⚠ pub inconnue",IFERROR(INDEX(Pubs!$B$2:$B$3001,MATCH(G4447,Pubs!$A$2:$A$3001,0))&amp;"","⚠ pub inconnue")))</f>
        <v/>
      </c>
      <c r="I4447" s="27" t="str">
        <f aca="false">IF(OR(G4447="",G4447="?"),"",IFERROR(INDEX(Pubs!$C$2:$C$3001,MATCH(G4447,Pubs!$A$2:$A$3001,0))&amp;"",""))</f>
        <v/>
      </c>
      <c r="J4447" s="27" t="str">
        <f aca="false">IF(OR(G4447="",G4447="?"),"",IFERROR(INDEX(Pubs!$G$2:$G$3001,MATCH(G4447,Pubs!$A$2:$A$3001,0))&amp;"",""))</f>
        <v/>
      </c>
      <c r="K4447" s="28" t="str">
        <f aca="false">IF(OR(G4447="",G4447="?"),"",IFERROR(INDEX(Pubs!$E$2:$E$3001,MATCH(G4447,Pubs!$A$2:$A$3001,0)),""))</f>
        <v/>
      </c>
      <c r="L4447" s="29" t="str">
        <f aca="false">IF(A4447="","",IFERROR(1/(1/INDEX(Numéros!$C$2:$C$3001,MATCH(A4447&amp;"|"&amp;B4447,Numéros!$F$2:$F$3001,0))),""))</f>
        <v/>
      </c>
      <c r="M4447" s="27" t="str">
        <f aca="false">IF(OR(G4447="",G4447="?"),"",IFERROR(INDEX(Pubs!$D$2:$D$3001,MATCH(G4447,Pubs!$A$2:$A$3001,0))&amp;"",""))</f>
        <v/>
      </c>
      <c r="N4447" s="27" t="n">
        <f aca="false">N(N4446)+IF(AND(A4447&lt;&gt;"",OR(Recherche!$C$4="",A4447=Recherche!$C$4),OR(Recherche!$C$5="",B4447&amp;""=Recherche!$C$5&amp;""),OR(Recherche!$C$6="",IFERROR(YEAR(L4447),0)=Recherche!$C$6),OR(Recherche!$C$7="",ISNUMBER(SEARCH(Recherche!$C$7,H4447))),OR(Recherche!$C$8="",J4447=Recherche!$C$8),OR(Recherche!$C$9="",I4447=Recherche!$C$9),OR(Recherche!$C$10="",G4447&amp;""=Recherche!$C$10&amp;""),OR(Recherche!$C$11="",E4447=Recherche!$C$11),OR(Recherche!$C$12="",ISNUMBER(SEARCH(Recherche!$C$12,M4447&amp;" "&amp;F4447)))),1,0)</f>
        <v>8</v>
      </c>
    </row>
    <row r="4448" customFormat="false" ht="15" hidden="false" customHeight="false" outlineLevel="0" collapsed="false">
      <c r="A4448" s="19"/>
      <c r="B4448" s="19"/>
      <c r="C4448" s="19"/>
      <c r="D4448" s="19"/>
      <c r="E4448" s="22"/>
      <c r="F4448" s="19"/>
      <c r="G4448" s="26" t="str">
        <f aca="false">IF(D4448="","",IFERROR(VALUE(LEFT(D4448,FIND(" |",D4448&amp;" |")-1)),"?"))</f>
        <v/>
      </c>
      <c r="H4448" s="27" t="str">
        <f aca="false">IF(G4448="","",IF(G4448="?","⚠ pub inconnue",IFERROR(INDEX(Pubs!$B$2:$B$3001,MATCH(G4448,Pubs!$A$2:$A$3001,0))&amp;"","⚠ pub inconnue")))</f>
        <v/>
      </c>
      <c r="I4448" s="27" t="str">
        <f aca="false">IF(OR(G4448="",G4448="?"),"",IFERROR(INDEX(Pubs!$C$2:$C$3001,MATCH(G4448,Pubs!$A$2:$A$3001,0))&amp;"",""))</f>
        <v/>
      </c>
      <c r="J4448" s="27" t="str">
        <f aca="false">IF(OR(G4448="",G4448="?"),"",IFERROR(INDEX(Pubs!$G$2:$G$3001,MATCH(G4448,Pubs!$A$2:$A$3001,0))&amp;"",""))</f>
        <v/>
      </c>
      <c r="K4448" s="28" t="str">
        <f aca="false">IF(OR(G4448="",G4448="?"),"",IFERROR(INDEX(Pubs!$E$2:$E$3001,MATCH(G4448,Pubs!$A$2:$A$3001,0)),""))</f>
        <v/>
      </c>
      <c r="L4448" s="29" t="str">
        <f aca="false">IF(A4448="","",IFERROR(1/(1/INDEX(Numéros!$C$2:$C$3001,MATCH(A4448&amp;"|"&amp;B4448,Numéros!$F$2:$F$3001,0))),""))</f>
        <v/>
      </c>
      <c r="M4448" s="27" t="str">
        <f aca="false">IF(OR(G4448="",G4448="?"),"",IFERROR(INDEX(Pubs!$D$2:$D$3001,MATCH(G4448,Pubs!$A$2:$A$3001,0))&amp;"",""))</f>
        <v/>
      </c>
      <c r="N4448" s="27" t="n">
        <f aca="false">N(N4447)+IF(AND(A4448&lt;&gt;"",OR(Recherche!$C$4="",A4448=Recherche!$C$4),OR(Recherche!$C$5="",B4448&amp;""=Recherche!$C$5&amp;""),OR(Recherche!$C$6="",IFERROR(YEAR(L4448),0)=Recherche!$C$6),OR(Recherche!$C$7="",ISNUMBER(SEARCH(Recherche!$C$7,H4448))),OR(Recherche!$C$8="",J4448=Recherche!$C$8),OR(Recherche!$C$9="",I4448=Recherche!$C$9),OR(Recherche!$C$10="",G4448&amp;""=Recherche!$C$10&amp;""),OR(Recherche!$C$11="",E4448=Recherche!$C$11),OR(Recherche!$C$12="",ISNUMBER(SEARCH(Recherche!$C$12,M4448&amp;" "&amp;F4448)))),1,0)</f>
        <v>8</v>
      </c>
    </row>
    <row r="4449" customFormat="false" ht="15" hidden="false" customHeight="false" outlineLevel="0" collapsed="false">
      <c r="A4449" s="19"/>
      <c r="B4449" s="19"/>
      <c r="C4449" s="19"/>
      <c r="D4449" s="19"/>
      <c r="E4449" s="22"/>
      <c r="F4449" s="19"/>
      <c r="G4449" s="26" t="str">
        <f aca="false">IF(D4449="","",IFERROR(VALUE(LEFT(D4449,FIND(" |",D4449&amp;" |")-1)),"?"))</f>
        <v/>
      </c>
      <c r="H4449" s="27" t="str">
        <f aca="false">IF(G4449="","",IF(G4449="?","⚠ pub inconnue",IFERROR(INDEX(Pubs!$B$2:$B$3001,MATCH(G4449,Pubs!$A$2:$A$3001,0))&amp;"","⚠ pub inconnue")))</f>
        <v/>
      </c>
      <c r="I4449" s="27" t="str">
        <f aca="false">IF(OR(G4449="",G4449="?"),"",IFERROR(INDEX(Pubs!$C$2:$C$3001,MATCH(G4449,Pubs!$A$2:$A$3001,0))&amp;"",""))</f>
        <v/>
      </c>
      <c r="J4449" s="27" t="str">
        <f aca="false">IF(OR(G4449="",G4449="?"),"",IFERROR(INDEX(Pubs!$G$2:$G$3001,MATCH(G4449,Pubs!$A$2:$A$3001,0))&amp;"",""))</f>
        <v/>
      </c>
      <c r="K4449" s="28" t="str">
        <f aca="false">IF(OR(G4449="",G4449="?"),"",IFERROR(INDEX(Pubs!$E$2:$E$3001,MATCH(G4449,Pubs!$A$2:$A$3001,0)),""))</f>
        <v/>
      </c>
      <c r="L4449" s="29" t="str">
        <f aca="false">IF(A4449="","",IFERROR(1/(1/INDEX(Numéros!$C$2:$C$3001,MATCH(A4449&amp;"|"&amp;B4449,Numéros!$F$2:$F$3001,0))),""))</f>
        <v/>
      </c>
      <c r="M4449" s="27" t="str">
        <f aca="false">IF(OR(G4449="",G4449="?"),"",IFERROR(INDEX(Pubs!$D$2:$D$3001,MATCH(G4449,Pubs!$A$2:$A$3001,0))&amp;"",""))</f>
        <v/>
      </c>
      <c r="N4449" s="27" t="n">
        <f aca="false">N(N4448)+IF(AND(A4449&lt;&gt;"",OR(Recherche!$C$4="",A4449=Recherche!$C$4),OR(Recherche!$C$5="",B4449&amp;""=Recherche!$C$5&amp;""),OR(Recherche!$C$6="",IFERROR(YEAR(L4449),0)=Recherche!$C$6),OR(Recherche!$C$7="",ISNUMBER(SEARCH(Recherche!$C$7,H4449))),OR(Recherche!$C$8="",J4449=Recherche!$C$8),OR(Recherche!$C$9="",I4449=Recherche!$C$9),OR(Recherche!$C$10="",G4449&amp;""=Recherche!$C$10&amp;""),OR(Recherche!$C$11="",E4449=Recherche!$C$11),OR(Recherche!$C$12="",ISNUMBER(SEARCH(Recherche!$C$12,M4449&amp;" "&amp;F4449)))),1,0)</f>
        <v>8</v>
      </c>
    </row>
    <row r="4450" customFormat="false" ht="15" hidden="false" customHeight="false" outlineLevel="0" collapsed="false">
      <c r="A4450" s="19"/>
      <c r="B4450" s="19"/>
      <c r="C4450" s="19"/>
      <c r="D4450" s="19"/>
      <c r="E4450" s="22"/>
      <c r="F4450" s="19"/>
      <c r="G4450" s="26" t="str">
        <f aca="false">IF(D4450="","",IFERROR(VALUE(LEFT(D4450,FIND(" |",D4450&amp;" |")-1)),"?"))</f>
        <v/>
      </c>
      <c r="H4450" s="27" t="str">
        <f aca="false">IF(G4450="","",IF(G4450="?","⚠ pub inconnue",IFERROR(INDEX(Pubs!$B$2:$B$3001,MATCH(G4450,Pubs!$A$2:$A$3001,0))&amp;"","⚠ pub inconnue")))</f>
        <v/>
      </c>
      <c r="I4450" s="27" t="str">
        <f aca="false">IF(OR(G4450="",G4450="?"),"",IFERROR(INDEX(Pubs!$C$2:$C$3001,MATCH(G4450,Pubs!$A$2:$A$3001,0))&amp;"",""))</f>
        <v/>
      </c>
      <c r="J4450" s="27" t="str">
        <f aca="false">IF(OR(G4450="",G4450="?"),"",IFERROR(INDEX(Pubs!$G$2:$G$3001,MATCH(G4450,Pubs!$A$2:$A$3001,0))&amp;"",""))</f>
        <v/>
      </c>
      <c r="K4450" s="28" t="str">
        <f aca="false">IF(OR(G4450="",G4450="?"),"",IFERROR(INDEX(Pubs!$E$2:$E$3001,MATCH(G4450,Pubs!$A$2:$A$3001,0)),""))</f>
        <v/>
      </c>
      <c r="L4450" s="29" t="str">
        <f aca="false">IF(A4450="","",IFERROR(1/(1/INDEX(Numéros!$C$2:$C$3001,MATCH(A4450&amp;"|"&amp;B4450,Numéros!$F$2:$F$3001,0))),""))</f>
        <v/>
      </c>
      <c r="M4450" s="27" t="str">
        <f aca="false">IF(OR(G4450="",G4450="?"),"",IFERROR(INDEX(Pubs!$D$2:$D$3001,MATCH(G4450,Pubs!$A$2:$A$3001,0))&amp;"",""))</f>
        <v/>
      </c>
      <c r="N4450" s="27" t="n">
        <f aca="false">N(N4449)+IF(AND(A4450&lt;&gt;"",OR(Recherche!$C$4="",A4450=Recherche!$C$4),OR(Recherche!$C$5="",B4450&amp;""=Recherche!$C$5&amp;""),OR(Recherche!$C$6="",IFERROR(YEAR(L4450),0)=Recherche!$C$6),OR(Recherche!$C$7="",ISNUMBER(SEARCH(Recherche!$C$7,H4450))),OR(Recherche!$C$8="",J4450=Recherche!$C$8),OR(Recherche!$C$9="",I4450=Recherche!$C$9),OR(Recherche!$C$10="",G4450&amp;""=Recherche!$C$10&amp;""),OR(Recherche!$C$11="",E4450=Recherche!$C$11),OR(Recherche!$C$12="",ISNUMBER(SEARCH(Recherche!$C$12,M4450&amp;" "&amp;F4450)))),1,0)</f>
        <v>8</v>
      </c>
    </row>
    <row r="4451" customFormat="false" ht="15" hidden="false" customHeight="false" outlineLevel="0" collapsed="false">
      <c r="A4451" s="19"/>
      <c r="B4451" s="19"/>
      <c r="C4451" s="19"/>
      <c r="D4451" s="19"/>
      <c r="E4451" s="22"/>
      <c r="F4451" s="19"/>
      <c r="G4451" s="26" t="str">
        <f aca="false">IF(D4451="","",IFERROR(VALUE(LEFT(D4451,FIND(" |",D4451&amp;" |")-1)),"?"))</f>
        <v/>
      </c>
      <c r="H4451" s="27" t="str">
        <f aca="false">IF(G4451="","",IF(G4451="?","⚠ pub inconnue",IFERROR(INDEX(Pubs!$B$2:$B$3001,MATCH(G4451,Pubs!$A$2:$A$3001,0))&amp;"","⚠ pub inconnue")))</f>
        <v/>
      </c>
      <c r="I4451" s="27" t="str">
        <f aca="false">IF(OR(G4451="",G4451="?"),"",IFERROR(INDEX(Pubs!$C$2:$C$3001,MATCH(G4451,Pubs!$A$2:$A$3001,0))&amp;"",""))</f>
        <v/>
      </c>
      <c r="J4451" s="27" t="str">
        <f aca="false">IF(OR(G4451="",G4451="?"),"",IFERROR(INDEX(Pubs!$G$2:$G$3001,MATCH(G4451,Pubs!$A$2:$A$3001,0))&amp;"",""))</f>
        <v/>
      </c>
      <c r="K4451" s="28" t="str">
        <f aca="false">IF(OR(G4451="",G4451="?"),"",IFERROR(INDEX(Pubs!$E$2:$E$3001,MATCH(G4451,Pubs!$A$2:$A$3001,0)),""))</f>
        <v/>
      </c>
      <c r="L4451" s="29" t="str">
        <f aca="false">IF(A4451="","",IFERROR(1/(1/INDEX(Numéros!$C$2:$C$3001,MATCH(A4451&amp;"|"&amp;B4451,Numéros!$F$2:$F$3001,0))),""))</f>
        <v/>
      </c>
      <c r="M4451" s="27" t="str">
        <f aca="false">IF(OR(G4451="",G4451="?"),"",IFERROR(INDEX(Pubs!$D$2:$D$3001,MATCH(G4451,Pubs!$A$2:$A$3001,0))&amp;"",""))</f>
        <v/>
      </c>
      <c r="N4451" s="27" t="n">
        <f aca="false">N(N4450)+IF(AND(A4451&lt;&gt;"",OR(Recherche!$C$4="",A4451=Recherche!$C$4),OR(Recherche!$C$5="",B4451&amp;""=Recherche!$C$5&amp;""),OR(Recherche!$C$6="",IFERROR(YEAR(L4451),0)=Recherche!$C$6),OR(Recherche!$C$7="",ISNUMBER(SEARCH(Recherche!$C$7,H4451))),OR(Recherche!$C$8="",J4451=Recherche!$C$8),OR(Recherche!$C$9="",I4451=Recherche!$C$9),OR(Recherche!$C$10="",G4451&amp;""=Recherche!$C$10&amp;""),OR(Recherche!$C$11="",E4451=Recherche!$C$11),OR(Recherche!$C$12="",ISNUMBER(SEARCH(Recherche!$C$12,M4451&amp;" "&amp;F4451)))),1,0)</f>
        <v>8</v>
      </c>
    </row>
    <row r="4452" customFormat="false" ht="15" hidden="false" customHeight="false" outlineLevel="0" collapsed="false">
      <c r="A4452" s="19"/>
      <c r="B4452" s="19"/>
      <c r="C4452" s="19"/>
      <c r="D4452" s="19"/>
      <c r="E4452" s="22"/>
      <c r="F4452" s="19"/>
      <c r="G4452" s="26" t="str">
        <f aca="false">IF(D4452="","",IFERROR(VALUE(LEFT(D4452,FIND(" |",D4452&amp;" |")-1)),"?"))</f>
        <v/>
      </c>
      <c r="H4452" s="27" t="str">
        <f aca="false">IF(G4452="","",IF(G4452="?","⚠ pub inconnue",IFERROR(INDEX(Pubs!$B$2:$B$3001,MATCH(G4452,Pubs!$A$2:$A$3001,0))&amp;"","⚠ pub inconnue")))</f>
        <v/>
      </c>
      <c r="I4452" s="27" t="str">
        <f aca="false">IF(OR(G4452="",G4452="?"),"",IFERROR(INDEX(Pubs!$C$2:$C$3001,MATCH(G4452,Pubs!$A$2:$A$3001,0))&amp;"",""))</f>
        <v/>
      </c>
      <c r="J4452" s="27" t="str">
        <f aca="false">IF(OR(G4452="",G4452="?"),"",IFERROR(INDEX(Pubs!$G$2:$G$3001,MATCH(G4452,Pubs!$A$2:$A$3001,0))&amp;"",""))</f>
        <v/>
      </c>
      <c r="K4452" s="28" t="str">
        <f aca="false">IF(OR(G4452="",G4452="?"),"",IFERROR(INDEX(Pubs!$E$2:$E$3001,MATCH(G4452,Pubs!$A$2:$A$3001,0)),""))</f>
        <v/>
      </c>
      <c r="L4452" s="29" t="str">
        <f aca="false">IF(A4452="","",IFERROR(1/(1/INDEX(Numéros!$C$2:$C$3001,MATCH(A4452&amp;"|"&amp;B4452,Numéros!$F$2:$F$3001,0))),""))</f>
        <v/>
      </c>
      <c r="M4452" s="27" t="str">
        <f aca="false">IF(OR(G4452="",G4452="?"),"",IFERROR(INDEX(Pubs!$D$2:$D$3001,MATCH(G4452,Pubs!$A$2:$A$3001,0))&amp;"",""))</f>
        <v/>
      </c>
      <c r="N4452" s="27" t="n">
        <f aca="false">N(N4451)+IF(AND(A4452&lt;&gt;"",OR(Recherche!$C$4="",A4452=Recherche!$C$4),OR(Recherche!$C$5="",B4452&amp;""=Recherche!$C$5&amp;""),OR(Recherche!$C$6="",IFERROR(YEAR(L4452),0)=Recherche!$C$6),OR(Recherche!$C$7="",ISNUMBER(SEARCH(Recherche!$C$7,H4452))),OR(Recherche!$C$8="",J4452=Recherche!$C$8),OR(Recherche!$C$9="",I4452=Recherche!$C$9),OR(Recherche!$C$10="",G4452&amp;""=Recherche!$C$10&amp;""),OR(Recherche!$C$11="",E4452=Recherche!$C$11),OR(Recherche!$C$12="",ISNUMBER(SEARCH(Recherche!$C$12,M4452&amp;" "&amp;F4452)))),1,0)</f>
        <v>8</v>
      </c>
    </row>
    <row r="4453" customFormat="false" ht="15" hidden="false" customHeight="false" outlineLevel="0" collapsed="false">
      <c r="A4453" s="19"/>
      <c r="B4453" s="19"/>
      <c r="C4453" s="19"/>
      <c r="D4453" s="19"/>
      <c r="E4453" s="22"/>
      <c r="F4453" s="19"/>
      <c r="G4453" s="26" t="str">
        <f aca="false">IF(D4453="","",IFERROR(VALUE(LEFT(D4453,FIND(" |",D4453&amp;" |")-1)),"?"))</f>
        <v/>
      </c>
      <c r="H4453" s="27" t="str">
        <f aca="false">IF(G4453="","",IF(G4453="?","⚠ pub inconnue",IFERROR(INDEX(Pubs!$B$2:$B$3001,MATCH(G4453,Pubs!$A$2:$A$3001,0))&amp;"","⚠ pub inconnue")))</f>
        <v/>
      </c>
      <c r="I4453" s="27" t="str">
        <f aca="false">IF(OR(G4453="",G4453="?"),"",IFERROR(INDEX(Pubs!$C$2:$C$3001,MATCH(G4453,Pubs!$A$2:$A$3001,0))&amp;"",""))</f>
        <v/>
      </c>
      <c r="J4453" s="27" t="str">
        <f aca="false">IF(OR(G4453="",G4453="?"),"",IFERROR(INDEX(Pubs!$G$2:$G$3001,MATCH(G4453,Pubs!$A$2:$A$3001,0))&amp;"",""))</f>
        <v/>
      </c>
      <c r="K4453" s="28" t="str">
        <f aca="false">IF(OR(G4453="",G4453="?"),"",IFERROR(INDEX(Pubs!$E$2:$E$3001,MATCH(G4453,Pubs!$A$2:$A$3001,0)),""))</f>
        <v/>
      </c>
      <c r="L4453" s="29" t="str">
        <f aca="false">IF(A4453="","",IFERROR(1/(1/INDEX(Numéros!$C$2:$C$3001,MATCH(A4453&amp;"|"&amp;B4453,Numéros!$F$2:$F$3001,0))),""))</f>
        <v/>
      </c>
      <c r="M4453" s="27" t="str">
        <f aca="false">IF(OR(G4453="",G4453="?"),"",IFERROR(INDEX(Pubs!$D$2:$D$3001,MATCH(G4453,Pubs!$A$2:$A$3001,0))&amp;"",""))</f>
        <v/>
      </c>
      <c r="N4453" s="27" t="n">
        <f aca="false">N(N4452)+IF(AND(A4453&lt;&gt;"",OR(Recherche!$C$4="",A4453=Recherche!$C$4),OR(Recherche!$C$5="",B4453&amp;""=Recherche!$C$5&amp;""),OR(Recherche!$C$6="",IFERROR(YEAR(L4453),0)=Recherche!$C$6),OR(Recherche!$C$7="",ISNUMBER(SEARCH(Recherche!$C$7,H4453))),OR(Recherche!$C$8="",J4453=Recherche!$C$8),OR(Recherche!$C$9="",I4453=Recherche!$C$9),OR(Recherche!$C$10="",G4453&amp;""=Recherche!$C$10&amp;""),OR(Recherche!$C$11="",E4453=Recherche!$C$11),OR(Recherche!$C$12="",ISNUMBER(SEARCH(Recherche!$C$12,M4453&amp;" "&amp;F4453)))),1,0)</f>
        <v>8</v>
      </c>
    </row>
    <row r="4454" customFormat="false" ht="15" hidden="false" customHeight="false" outlineLevel="0" collapsed="false">
      <c r="A4454" s="19"/>
      <c r="B4454" s="19"/>
      <c r="C4454" s="19"/>
      <c r="D4454" s="19"/>
      <c r="E4454" s="22"/>
      <c r="F4454" s="19"/>
      <c r="G4454" s="26" t="str">
        <f aca="false">IF(D4454="","",IFERROR(VALUE(LEFT(D4454,FIND(" |",D4454&amp;" |")-1)),"?"))</f>
        <v/>
      </c>
      <c r="H4454" s="27" t="str">
        <f aca="false">IF(G4454="","",IF(G4454="?","⚠ pub inconnue",IFERROR(INDEX(Pubs!$B$2:$B$3001,MATCH(G4454,Pubs!$A$2:$A$3001,0))&amp;"","⚠ pub inconnue")))</f>
        <v/>
      </c>
      <c r="I4454" s="27" t="str">
        <f aca="false">IF(OR(G4454="",G4454="?"),"",IFERROR(INDEX(Pubs!$C$2:$C$3001,MATCH(G4454,Pubs!$A$2:$A$3001,0))&amp;"",""))</f>
        <v/>
      </c>
      <c r="J4454" s="27" t="str">
        <f aca="false">IF(OR(G4454="",G4454="?"),"",IFERROR(INDEX(Pubs!$G$2:$G$3001,MATCH(G4454,Pubs!$A$2:$A$3001,0))&amp;"",""))</f>
        <v/>
      </c>
      <c r="K4454" s="28" t="str">
        <f aca="false">IF(OR(G4454="",G4454="?"),"",IFERROR(INDEX(Pubs!$E$2:$E$3001,MATCH(G4454,Pubs!$A$2:$A$3001,0)),""))</f>
        <v/>
      </c>
      <c r="L4454" s="29" t="str">
        <f aca="false">IF(A4454="","",IFERROR(1/(1/INDEX(Numéros!$C$2:$C$3001,MATCH(A4454&amp;"|"&amp;B4454,Numéros!$F$2:$F$3001,0))),""))</f>
        <v/>
      </c>
      <c r="M4454" s="27" t="str">
        <f aca="false">IF(OR(G4454="",G4454="?"),"",IFERROR(INDEX(Pubs!$D$2:$D$3001,MATCH(G4454,Pubs!$A$2:$A$3001,0))&amp;"",""))</f>
        <v/>
      </c>
      <c r="N4454" s="27" t="n">
        <f aca="false">N(N4453)+IF(AND(A4454&lt;&gt;"",OR(Recherche!$C$4="",A4454=Recherche!$C$4),OR(Recherche!$C$5="",B4454&amp;""=Recherche!$C$5&amp;""),OR(Recherche!$C$6="",IFERROR(YEAR(L4454),0)=Recherche!$C$6),OR(Recherche!$C$7="",ISNUMBER(SEARCH(Recherche!$C$7,H4454))),OR(Recherche!$C$8="",J4454=Recherche!$C$8),OR(Recherche!$C$9="",I4454=Recherche!$C$9),OR(Recherche!$C$10="",G4454&amp;""=Recherche!$C$10&amp;""),OR(Recherche!$C$11="",E4454=Recherche!$C$11),OR(Recherche!$C$12="",ISNUMBER(SEARCH(Recherche!$C$12,M4454&amp;" "&amp;F4454)))),1,0)</f>
        <v>8</v>
      </c>
    </row>
    <row r="4455" customFormat="false" ht="15" hidden="false" customHeight="false" outlineLevel="0" collapsed="false">
      <c r="A4455" s="19"/>
      <c r="B4455" s="19"/>
      <c r="C4455" s="19"/>
      <c r="D4455" s="19"/>
      <c r="E4455" s="22"/>
      <c r="F4455" s="19"/>
      <c r="G4455" s="26" t="str">
        <f aca="false">IF(D4455="","",IFERROR(VALUE(LEFT(D4455,FIND(" |",D4455&amp;" |")-1)),"?"))</f>
        <v/>
      </c>
      <c r="H4455" s="27" t="str">
        <f aca="false">IF(G4455="","",IF(G4455="?","⚠ pub inconnue",IFERROR(INDEX(Pubs!$B$2:$B$3001,MATCH(G4455,Pubs!$A$2:$A$3001,0))&amp;"","⚠ pub inconnue")))</f>
        <v/>
      </c>
      <c r="I4455" s="27" t="str">
        <f aca="false">IF(OR(G4455="",G4455="?"),"",IFERROR(INDEX(Pubs!$C$2:$C$3001,MATCH(G4455,Pubs!$A$2:$A$3001,0))&amp;"",""))</f>
        <v/>
      </c>
      <c r="J4455" s="27" t="str">
        <f aca="false">IF(OR(G4455="",G4455="?"),"",IFERROR(INDEX(Pubs!$G$2:$G$3001,MATCH(G4455,Pubs!$A$2:$A$3001,0))&amp;"",""))</f>
        <v/>
      </c>
      <c r="K4455" s="28" t="str">
        <f aca="false">IF(OR(G4455="",G4455="?"),"",IFERROR(INDEX(Pubs!$E$2:$E$3001,MATCH(G4455,Pubs!$A$2:$A$3001,0)),""))</f>
        <v/>
      </c>
      <c r="L4455" s="29" t="str">
        <f aca="false">IF(A4455="","",IFERROR(1/(1/INDEX(Numéros!$C$2:$C$3001,MATCH(A4455&amp;"|"&amp;B4455,Numéros!$F$2:$F$3001,0))),""))</f>
        <v/>
      </c>
      <c r="M4455" s="27" t="str">
        <f aca="false">IF(OR(G4455="",G4455="?"),"",IFERROR(INDEX(Pubs!$D$2:$D$3001,MATCH(G4455,Pubs!$A$2:$A$3001,0))&amp;"",""))</f>
        <v/>
      </c>
      <c r="N4455" s="27" t="n">
        <f aca="false">N(N4454)+IF(AND(A4455&lt;&gt;"",OR(Recherche!$C$4="",A4455=Recherche!$C$4),OR(Recherche!$C$5="",B4455&amp;""=Recherche!$C$5&amp;""),OR(Recherche!$C$6="",IFERROR(YEAR(L4455),0)=Recherche!$C$6),OR(Recherche!$C$7="",ISNUMBER(SEARCH(Recherche!$C$7,H4455))),OR(Recherche!$C$8="",J4455=Recherche!$C$8),OR(Recherche!$C$9="",I4455=Recherche!$C$9),OR(Recherche!$C$10="",G4455&amp;""=Recherche!$C$10&amp;""),OR(Recherche!$C$11="",E4455=Recherche!$C$11),OR(Recherche!$C$12="",ISNUMBER(SEARCH(Recherche!$C$12,M4455&amp;" "&amp;F4455)))),1,0)</f>
        <v>8</v>
      </c>
    </row>
    <row r="4456" customFormat="false" ht="15" hidden="false" customHeight="false" outlineLevel="0" collapsed="false">
      <c r="A4456" s="19"/>
      <c r="B4456" s="19"/>
      <c r="C4456" s="19"/>
      <c r="D4456" s="19"/>
      <c r="E4456" s="22"/>
      <c r="F4456" s="19"/>
      <c r="G4456" s="26" t="str">
        <f aca="false">IF(D4456="","",IFERROR(VALUE(LEFT(D4456,FIND(" |",D4456&amp;" |")-1)),"?"))</f>
        <v/>
      </c>
      <c r="H4456" s="27" t="str">
        <f aca="false">IF(G4456="","",IF(G4456="?","⚠ pub inconnue",IFERROR(INDEX(Pubs!$B$2:$B$3001,MATCH(G4456,Pubs!$A$2:$A$3001,0))&amp;"","⚠ pub inconnue")))</f>
        <v/>
      </c>
      <c r="I4456" s="27" t="str">
        <f aca="false">IF(OR(G4456="",G4456="?"),"",IFERROR(INDEX(Pubs!$C$2:$C$3001,MATCH(G4456,Pubs!$A$2:$A$3001,0))&amp;"",""))</f>
        <v/>
      </c>
      <c r="J4456" s="27" t="str">
        <f aca="false">IF(OR(G4456="",G4456="?"),"",IFERROR(INDEX(Pubs!$G$2:$G$3001,MATCH(G4456,Pubs!$A$2:$A$3001,0))&amp;"",""))</f>
        <v/>
      </c>
      <c r="K4456" s="28" t="str">
        <f aca="false">IF(OR(G4456="",G4456="?"),"",IFERROR(INDEX(Pubs!$E$2:$E$3001,MATCH(G4456,Pubs!$A$2:$A$3001,0)),""))</f>
        <v/>
      </c>
      <c r="L4456" s="29" t="str">
        <f aca="false">IF(A4456="","",IFERROR(1/(1/INDEX(Numéros!$C$2:$C$3001,MATCH(A4456&amp;"|"&amp;B4456,Numéros!$F$2:$F$3001,0))),""))</f>
        <v/>
      </c>
      <c r="M4456" s="27" t="str">
        <f aca="false">IF(OR(G4456="",G4456="?"),"",IFERROR(INDEX(Pubs!$D$2:$D$3001,MATCH(G4456,Pubs!$A$2:$A$3001,0))&amp;"",""))</f>
        <v/>
      </c>
      <c r="N4456" s="27" t="n">
        <f aca="false">N(N4455)+IF(AND(A4456&lt;&gt;"",OR(Recherche!$C$4="",A4456=Recherche!$C$4),OR(Recherche!$C$5="",B4456&amp;""=Recherche!$C$5&amp;""),OR(Recherche!$C$6="",IFERROR(YEAR(L4456),0)=Recherche!$C$6),OR(Recherche!$C$7="",ISNUMBER(SEARCH(Recherche!$C$7,H4456))),OR(Recherche!$C$8="",J4456=Recherche!$C$8),OR(Recherche!$C$9="",I4456=Recherche!$C$9),OR(Recherche!$C$10="",G4456&amp;""=Recherche!$C$10&amp;""),OR(Recherche!$C$11="",E4456=Recherche!$C$11),OR(Recherche!$C$12="",ISNUMBER(SEARCH(Recherche!$C$12,M4456&amp;" "&amp;F4456)))),1,0)</f>
        <v>8</v>
      </c>
    </row>
    <row r="4457" customFormat="false" ht="15" hidden="false" customHeight="false" outlineLevel="0" collapsed="false">
      <c r="A4457" s="19"/>
      <c r="B4457" s="19"/>
      <c r="C4457" s="19"/>
      <c r="D4457" s="19"/>
      <c r="E4457" s="22"/>
      <c r="F4457" s="19"/>
      <c r="G4457" s="26" t="str">
        <f aca="false">IF(D4457="","",IFERROR(VALUE(LEFT(D4457,FIND(" |",D4457&amp;" |")-1)),"?"))</f>
        <v/>
      </c>
      <c r="H4457" s="27" t="str">
        <f aca="false">IF(G4457="","",IF(G4457="?","⚠ pub inconnue",IFERROR(INDEX(Pubs!$B$2:$B$3001,MATCH(G4457,Pubs!$A$2:$A$3001,0))&amp;"","⚠ pub inconnue")))</f>
        <v/>
      </c>
      <c r="I4457" s="27" t="str">
        <f aca="false">IF(OR(G4457="",G4457="?"),"",IFERROR(INDEX(Pubs!$C$2:$C$3001,MATCH(G4457,Pubs!$A$2:$A$3001,0))&amp;"",""))</f>
        <v/>
      </c>
      <c r="J4457" s="27" t="str">
        <f aca="false">IF(OR(G4457="",G4457="?"),"",IFERROR(INDEX(Pubs!$G$2:$G$3001,MATCH(G4457,Pubs!$A$2:$A$3001,0))&amp;"",""))</f>
        <v/>
      </c>
      <c r="K4457" s="28" t="str">
        <f aca="false">IF(OR(G4457="",G4457="?"),"",IFERROR(INDEX(Pubs!$E$2:$E$3001,MATCH(G4457,Pubs!$A$2:$A$3001,0)),""))</f>
        <v/>
      </c>
      <c r="L4457" s="29" t="str">
        <f aca="false">IF(A4457="","",IFERROR(1/(1/INDEX(Numéros!$C$2:$C$3001,MATCH(A4457&amp;"|"&amp;B4457,Numéros!$F$2:$F$3001,0))),""))</f>
        <v/>
      </c>
      <c r="M4457" s="27" t="str">
        <f aca="false">IF(OR(G4457="",G4457="?"),"",IFERROR(INDEX(Pubs!$D$2:$D$3001,MATCH(G4457,Pubs!$A$2:$A$3001,0))&amp;"",""))</f>
        <v/>
      </c>
      <c r="N4457" s="27" t="n">
        <f aca="false">N(N4456)+IF(AND(A4457&lt;&gt;"",OR(Recherche!$C$4="",A4457=Recherche!$C$4),OR(Recherche!$C$5="",B4457&amp;""=Recherche!$C$5&amp;""),OR(Recherche!$C$6="",IFERROR(YEAR(L4457),0)=Recherche!$C$6),OR(Recherche!$C$7="",ISNUMBER(SEARCH(Recherche!$C$7,H4457))),OR(Recherche!$C$8="",J4457=Recherche!$C$8),OR(Recherche!$C$9="",I4457=Recherche!$C$9),OR(Recherche!$C$10="",G4457&amp;""=Recherche!$C$10&amp;""),OR(Recherche!$C$11="",E4457=Recherche!$C$11),OR(Recherche!$C$12="",ISNUMBER(SEARCH(Recherche!$C$12,M4457&amp;" "&amp;F4457)))),1,0)</f>
        <v>8</v>
      </c>
    </row>
    <row r="4458" customFormat="false" ht="15" hidden="false" customHeight="false" outlineLevel="0" collapsed="false">
      <c r="A4458" s="19"/>
      <c r="B4458" s="19"/>
      <c r="C4458" s="19"/>
      <c r="D4458" s="19"/>
      <c r="E4458" s="22"/>
      <c r="F4458" s="19"/>
      <c r="G4458" s="26" t="str">
        <f aca="false">IF(D4458="","",IFERROR(VALUE(LEFT(D4458,FIND(" |",D4458&amp;" |")-1)),"?"))</f>
        <v/>
      </c>
      <c r="H4458" s="27" t="str">
        <f aca="false">IF(G4458="","",IF(G4458="?","⚠ pub inconnue",IFERROR(INDEX(Pubs!$B$2:$B$3001,MATCH(G4458,Pubs!$A$2:$A$3001,0))&amp;"","⚠ pub inconnue")))</f>
        <v/>
      </c>
      <c r="I4458" s="27" t="str">
        <f aca="false">IF(OR(G4458="",G4458="?"),"",IFERROR(INDEX(Pubs!$C$2:$C$3001,MATCH(G4458,Pubs!$A$2:$A$3001,0))&amp;"",""))</f>
        <v/>
      </c>
      <c r="J4458" s="27" t="str">
        <f aca="false">IF(OR(G4458="",G4458="?"),"",IFERROR(INDEX(Pubs!$G$2:$G$3001,MATCH(G4458,Pubs!$A$2:$A$3001,0))&amp;"",""))</f>
        <v/>
      </c>
      <c r="K4458" s="28" t="str">
        <f aca="false">IF(OR(G4458="",G4458="?"),"",IFERROR(INDEX(Pubs!$E$2:$E$3001,MATCH(G4458,Pubs!$A$2:$A$3001,0)),""))</f>
        <v/>
      </c>
      <c r="L4458" s="29" t="str">
        <f aca="false">IF(A4458="","",IFERROR(1/(1/INDEX(Numéros!$C$2:$C$3001,MATCH(A4458&amp;"|"&amp;B4458,Numéros!$F$2:$F$3001,0))),""))</f>
        <v/>
      </c>
      <c r="M4458" s="27" t="str">
        <f aca="false">IF(OR(G4458="",G4458="?"),"",IFERROR(INDEX(Pubs!$D$2:$D$3001,MATCH(G4458,Pubs!$A$2:$A$3001,0))&amp;"",""))</f>
        <v/>
      </c>
      <c r="N4458" s="27" t="n">
        <f aca="false">N(N4457)+IF(AND(A4458&lt;&gt;"",OR(Recherche!$C$4="",A4458=Recherche!$C$4),OR(Recherche!$C$5="",B4458&amp;""=Recherche!$C$5&amp;""),OR(Recherche!$C$6="",IFERROR(YEAR(L4458),0)=Recherche!$C$6),OR(Recherche!$C$7="",ISNUMBER(SEARCH(Recherche!$C$7,H4458))),OR(Recherche!$C$8="",J4458=Recherche!$C$8),OR(Recherche!$C$9="",I4458=Recherche!$C$9),OR(Recherche!$C$10="",G4458&amp;""=Recherche!$C$10&amp;""),OR(Recherche!$C$11="",E4458=Recherche!$C$11),OR(Recherche!$C$12="",ISNUMBER(SEARCH(Recherche!$C$12,M4458&amp;" "&amp;F4458)))),1,0)</f>
        <v>8</v>
      </c>
    </row>
    <row r="4459" customFormat="false" ht="15" hidden="false" customHeight="false" outlineLevel="0" collapsed="false">
      <c r="A4459" s="19"/>
      <c r="B4459" s="19"/>
      <c r="C4459" s="19"/>
      <c r="D4459" s="19"/>
      <c r="E4459" s="22"/>
      <c r="F4459" s="19"/>
      <c r="G4459" s="26" t="str">
        <f aca="false">IF(D4459="","",IFERROR(VALUE(LEFT(D4459,FIND(" |",D4459&amp;" |")-1)),"?"))</f>
        <v/>
      </c>
      <c r="H4459" s="27" t="str">
        <f aca="false">IF(G4459="","",IF(G4459="?","⚠ pub inconnue",IFERROR(INDEX(Pubs!$B$2:$B$3001,MATCH(G4459,Pubs!$A$2:$A$3001,0))&amp;"","⚠ pub inconnue")))</f>
        <v/>
      </c>
      <c r="I4459" s="27" t="str">
        <f aca="false">IF(OR(G4459="",G4459="?"),"",IFERROR(INDEX(Pubs!$C$2:$C$3001,MATCH(G4459,Pubs!$A$2:$A$3001,0))&amp;"",""))</f>
        <v/>
      </c>
      <c r="J4459" s="27" t="str">
        <f aca="false">IF(OR(G4459="",G4459="?"),"",IFERROR(INDEX(Pubs!$G$2:$G$3001,MATCH(G4459,Pubs!$A$2:$A$3001,0))&amp;"",""))</f>
        <v/>
      </c>
      <c r="K4459" s="28" t="str">
        <f aca="false">IF(OR(G4459="",G4459="?"),"",IFERROR(INDEX(Pubs!$E$2:$E$3001,MATCH(G4459,Pubs!$A$2:$A$3001,0)),""))</f>
        <v/>
      </c>
      <c r="L4459" s="29" t="str">
        <f aca="false">IF(A4459="","",IFERROR(1/(1/INDEX(Numéros!$C$2:$C$3001,MATCH(A4459&amp;"|"&amp;B4459,Numéros!$F$2:$F$3001,0))),""))</f>
        <v/>
      </c>
      <c r="M4459" s="27" t="str">
        <f aca="false">IF(OR(G4459="",G4459="?"),"",IFERROR(INDEX(Pubs!$D$2:$D$3001,MATCH(G4459,Pubs!$A$2:$A$3001,0))&amp;"",""))</f>
        <v/>
      </c>
      <c r="N4459" s="27" t="n">
        <f aca="false">N(N4458)+IF(AND(A4459&lt;&gt;"",OR(Recherche!$C$4="",A4459=Recherche!$C$4),OR(Recherche!$C$5="",B4459&amp;""=Recherche!$C$5&amp;""),OR(Recherche!$C$6="",IFERROR(YEAR(L4459),0)=Recherche!$C$6),OR(Recherche!$C$7="",ISNUMBER(SEARCH(Recherche!$C$7,H4459))),OR(Recherche!$C$8="",J4459=Recherche!$C$8),OR(Recherche!$C$9="",I4459=Recherche!$C$9),OR(Recherche!$C$10="",G4459&amp;""=Recherche!$C$10&amp;""),OR(Recherche!$C$11="",E4459=Recherche!$C$11),OR(Recherche!$C$12="",ISNUMBER(SEARCH(Recherche!$C$12,M4459&amp;" "&amp;F4459)))),1,0)</f>
        <v>8</v>
      </c>
    </row>
    <row r="4460" customFormat="false" ht="15" hidden="false" customHeight="false" outlineLevel="0" collapsed="false">
      <c r="A4460" s="19"/>
      <c r="B4460" s="19"/>
      <c r="C4460" s="19"/>
      <c r="D4460" s="19"/>
      <c r="E4460" s="22"/>
      <c r="F4460" s="19"/>
      <c r="G4460" s="26" t="str">
        <f aca="false">IF(D4460="","",IFERROR(VALUE(LEFT(D4460,FIND(" |",D4460&amp;" |")-1)),"?"))</f>
        <v/>
      </c>
      <c r="H4460" s="27" t="str">
        <f aca="false">IF(G4460="","",IF(G4460="?","⚠ pub inconnue",IFERROR(INDEX(Pubs!$B$2:$B$3001,MATCH(G4460,Pubs!$A$2:$A$3001,0))&amp;"","⚠ pub inconnue")))</f>
        <v/>
      </c>
      <c r="I4460" s="27" t="str">
        <f aca="false">IF(OR(G4460="",G4460="?"),"",IFERROR(INDEX(Pubs!$C$2:$C$3001,MATCH(G4460,Pubs!$A$2:$A$3001,0))&amp;"",""))</f>
        <v/>
      </c>
      <c r="J4460" s="27" t="str">
        <f aca="false">IF(OR(G4460="",G4460="?"),"",IFERROR(INDEX(Pubs!$G$2:$G$3001,MATCH(G4460,Pubs!$A$2:$A$3001,0))&amp;"",""))</f>
        <v/>
      </c>
      <c r="K4460" s="28" t="str">
        <f aca="false">IF(OR(G4460="",G4460="?"),"",IFERROR(INDEX(Pubs!$E$2:$E$3001,MATCH(G4460,Pubs!$A$2:$A$3001,0)),""))</f>
        <v/>
      </c>
      <c r="L4460" s="29" t="str">
        <f aca="false">IF(A4460="","",IFERROR(1/(1/INDEX(Numéros!$C$2:$C$3001,MATCH(A4460&amp;"|"&amp;B4460,Numéros!$F$2:$F$3001,0))),""))</f>
        <v/>
      </c>
      <c r="M4460" s="27" t="str">
        <f aca="false">IF(OR(G4460="",G4460="?"),"",IFERROR(INDEX(Pubs!$D$2:$D$3001,MATCH(G4460,Pubs!$A$2:$A$3001,0))&amp;"",""))</f>
        <v/>
      </c>
      <c r="N4460" s="27" t="n">
        <f aca="false">N(N4459)+IF(AND(A4460&lt;&gt;"",OR(Recherche!$C$4="",A4460=Recherche!$C$4),OR(Recherche!$C$5="",B4460&amp;""=Recherche!$C$5&amp;""),OR(Recherche!$C$6="",IFERROR(YEAR(L4460),0)=Recherche!$C$6),OR(Recherche!$C$7="",ISNUMBER(SEARCH(Recherche!$C$7,H4460))),OR(Recherche!$C$8="",J4460=Recherche!$C$8),OR(Recherche!$C$9="",I4460=Recherche!$C$9),OR(Recherche!$C$10="",G4460&amp;""=Recherche!$C$10&amp;""),OR(Recherche!$C$11="",E4460=Recherche!$C$11),OR(Recherche!$C$12="",ISNUMBER(SEARCH(Recherche!$C$12,M4460&amp;" "&amp;F4460)))),1,0)</f>
        <v>8</v>
      </c>
    </row>
    <row r="4461" customFormat="false" ht="15" hidden="false" customHeight="false" outlineLevel="0" collapsed="false">
      <c r="A4461" s="19"/>
      <c r="B4461" s="19"/>
      <c r="C4461" s="19"/>
      <c r="D4461" s="19"/>
      <c r="E4461" s="22"/>
      <c r="F4461" s="19"/>
      <c r="G4461" s="26" t="str">
        <f aca="false">IF(D4461="","",IFERROR(VALUE(LEFT(D4461,FIND(" |",D4461&amp;" |")-1)),"?"))</f>
        <v/>
      </c>
      <c r="H4461" s="27" t="str">
        <f aca="false">IF(G4461="","",IF(G4461="?","⚠ pub inconnue",IFERROR(INDEX(Pubs!$B$2:$B$3001,MATCH(G4461,Pubs!$A$2:$A$3001,0))&amp;"","⚠ pub inconnue")))</f>
        <v/>
      </c>
      <c r="I4461" s="27" t="str">
        <f aca="false">IF(OR(G4461="",G4461="?"),"",IFERROR(INDEX(Pubs!$C$2:$C$3001,MATCH(G4461,Pubs!$A$2:$A$3001,0))&amp;"",""))</f>
        <v/>
      </c>
      <c r="J4461" s="27" t="str">
        <f aca="false">IF(OR(G4461="",G4461="?"),"",IFERROR(INDEX(Pubs!$G$2:$G$3001,MATCH(G4461,Pubs!$A$2:$A$3001,0))&amp;"",""))</f>
        <v/>
      </c>
      <c r="K4461" s="28" t="str">
        <f aca="false">IF(OR(G4461="",G4461="?"),"",IFERROR(INDEX(Pubs!$E$2:$E$3001,MATCH(G4461,Pubs!$A$2:$A$3001,0)),""))</f>
        <v/>
      </c>
      <c r="L4461" s="29" t="str">
        <f aca="false">IF(A4461="","",IFERROR(1/(1/INDEX(Numéros!$C$2:$C$3001,MATCH(A4461&amp;"|"&amp;B4461,Numéros!$F$2:$F$3001,0))),""))</f>
        <v/>
      </c>
      <c r="M4461" s="27" t="str">
        <f aca="false">IF(OR(G4461="",G4461="?"),"",IFERROR(INDEX(Pubs!$D$2:$D$3001,MATCH(G4461,Pubs!$A$2:$A$3001,0))&amp;"",""))</f>
        <v/>
      </c>
      <c r="N4461" s="27" t="n">
        <f aca="false">N(N4460)+IF(AND(A4461&lt;&gt;"",OR(Recherche!$C$4="",A4461=Recherche!$C$4),OR(Recherche!$C$5="",B4461&amp;""=Recherche!$C$5&amp;""),OR(Recherche!$C$6="",IFERROR(YEAR(L4461),0)=Recherche!$C$6),OR(Recherche!$C$7="",ISNUMBER(SEARCH(Recherche!$C$7,H4461))),OR(Recherche!$C$8="",J4461=Recherche!$C$8),OR(Recherche!$C$9="",I4461=Recherche!$C$9),OR(Recherche!$C$10="",G4461&amp;""=Recherche!$C$10&amp;""),OR(Recherche!$C$11="",E4461=Recherche!$C$11),OR(Recherche!$C$12="",ISNUMBER(SEARCH(Recherche!$C$12,M4461&amp;" "&amp;F4461)))),1,0)</f>
        <v>8</v>
      </c>
    </row>
    <row r="4462" customFormat="false" ht="15" hidden="false" customHeight="false" outlineLevel="0" collapsed="false">
      <c r="A4462" s="19"/>
      <c r="B4462" s="19"/>
      <c r="C4462" s="19"/>
      <c r="D4462" s="19"/>
      <c r="E4462" s="22"/>
      <c r="F4462" s="19"/>
      <c r="G4462" s="26" t="str">
        <f aca="false">IF(D4462="","",IFERROR(VALUE(LEFT(D4462,FIND(" |",D4462&amp;" |")-1)),"?"))</f>
        <v/>
      </c>
      <c r="H4462" s="27" t="str">
        <f aca="false">IF(G4462="","",IF(G4462="?","⚠ pub inconnue",IFERROR(INDEX(Pubs!$B$2:$B$3001,MATCH(G4462,Pubs!$A$2:$A$3001,0))&amp;"","⚠ pub inconnue")))</f>
        <v/>
      </c>
      <c r="I4462" s="27" t="str">
        <f aca="false">IF(OR(G4462="",G4462="?"),"",IFERROR(INDEX(Pubs!$C$2:$C$3001,MATCH(G4462,Pubs!$A$2:$A$3001,0))&amp;"",""))</f>
        <v/>
      </c>
      <c r="J4462" s="27" t="str">
        <f aca="false">IF(OR(G4462="",G4462="?"),"",IFERROR(INDEX(Pubs!$G$2:$G$3001,MATCH(G4462,Pubs!$A$2:$A$3001,0))&amp;"",""))</f>
        <v/>
      </c>
      <c r="K4462" s="28" t="str">
        <f aca="false">IF(OR(G4462="",G4462="?"),"",IFERROR(INDEX(Pubs!$E$2:$E$3001,MATCH(G4462,Pubs!$A$2:$A$3001,0)),""))</f>
        <v/>
      </c>
      <c r="L4462" s="29" t="str">
        <f aca="false">IF(A4462="","",IFERROR(1/(1/INDEX(Numéros!$C$2:$C$3001,MATCH(A4462&amp;"|"&amp;B4462,Numéros!$F$2:$F$3001,0))),""))</f>
        <v/>
      </c>
      <c r="M4462" s="27" t="str">
        <f aca="false">IF(OR(G4462="",G4462="?"),"",IFERROR(INDEX(Pubs!$D$2:$D$3001,MATCH(G4462,Pubs!$A$2:$A$3001,0))&amp;"",""))</f>
        <v/>
      </c>
      <c r="N4462" s="27" t="n">
        <f aca="false">N(N4461)+IF(AND(A4462&lt;&gt;"",OR(Recherche!$C$4="",A4462=Recherche!$C$4),OR(Recherche!$C$5="",B4462&amp;""=Recherche!$C$5&amp;""),OR(Recherche!$C$6="",IFERROR(YEAR(L4462),0)=Recherche!$C$6),OR(Recherche!$C$7="",ISNUMBER(SEARCH(Recherche!$C$7,H4462))),OR(Recherche!$C$8="",J4462=Recherche!$C$8),OR(Recherche!$C$9="",I4462=Recherche!$C$9),OR(Recherche!$C$10="",G4462&amp;""=Recherche!$C$10&amp;""),OR(Recherche!$C$11="",E4462=Recherche!$C$11),OR(Recherche!$C$12="",ISNUMBER(SEARCH(Recherche!$C$12,M4462&amp;" "&amp;F4462)))),1,0)</f>
        <v>8</v>
      </c>
    </row>
    <row r="4463" customFormat="false" ht="15" hidden="false" customHeight="false" outlineLevel="0" collapsed="false">
      <c r="A4463" s="19"/>
      <c r="B4463" s="19"/>
      <c r="C4463" s="19"/>
      <c r="D4463" s="19"/>
      <c r="E4463" s="22"/>
      <c r="F4463" s="19"/>
      <c r="G4463" s="26" t="str">
        <f aca="false">IF(D4463="","",IFERROR(VALUE(LEFT(D4463,FIND(" |",D4463&amp;" |")-1)),"?"))</f>
        <v/>
      </c>
      <c r="H4463" s="27" t="str">
        <f aca="false">IF(G4463="","",IF(G4463="?","⚠ pub inconnue",IFERROR(INDEX(Pubs!$B$2:$B$3001,MATCH(G4463,Pubs!$A$2:$A$3001,0))&amp;"","⚠ pub inconnue")))</f>
        <v/>
      </c>
      <c r="I4463" s="27" t="str">
        <f aca="false">IF(OR(G4463="",G4463="?"),"",IFERROR(INDEX(Pubs!$C$2:$C$3001,MATCH(G4463,Pubs!$A$2:$A$3001,0))&amp;"",""))</f>
        <v/>
      </c>
      <c r="J4463" s="27" t="str">
        <f aca="false">IF(OR(G4463="",G4463="?"),"",IFERROR(INDEX(Pubs!$G$2:$G$3001,MATCH(G4463,Pubs!$A$2:$A$3001,0))&amp;"",""))</f>
        <v/>
      </c>
      <c r="K4463" s="28" t="str">
        <f aca="false">IF(OR(G4463="",G4463="?"),"",IFERROR(INDEX(Pubs!$E$2:$E$3001,MATCH(G4463,Pubs!$A$2:$A$3001,0)),""))</f>
        <v/>
      </c>
      <c r="L4463" s="29" t="str">
        <f aca="false">IF(A4463="","",IFERROR(1/(1/INDEX(Numéros!$C$2:$C$3001,MATCH(A4463&amp;"|"&amp;B4463,Numéros!$F$2:$F$3001,0))),""))</f>
        <v/>
      </c>
      <c r="M4463" s="27" t="str">
        <f aca="false">IF(OR(G4463="",G4463="?"),"",IFERROR(INDEX(Pubs!$D$2:$D$3001,MATCH(G4463,Pubs!$A$2:$A$3001,0))&amp;"",""))</f>
        <v/>
      </c>
      <c r="N4463" s="27" t="n">
        <f aca="false">N(N4462)+IF(AND(A4463&lt;&gt;"",OR(Recherche!$C$4="",A4463=Recherche!$C$4),OR(Recherche!$C$5="",B4463&amp;""=Recherche!$C$5&amp;""),OR(Recherche!$C$6="",IFERROR(YEAR(L4463),0)=Recherche!$C$6),OR(Recherche!$C$7="",ISNUMBER(SEARCH(Recherche!$C$7,H4463))),OR(Recherche!$C$8="",J4463=Recherche!$C$8),OR(Recherche!$C$9="",I4463=Recherche!$C$9),OR(Recherche!$C$10="",G4463&amp;""=Recherche!$C$10&amp;""),OR(Recherche!$C$11="",E4463=Recherche!$C$11),OR(Recherche!$C$12="",ISNUMBER(SEARCH(Recherche!$C$12,M4463&amp;" "&amp;F4463)))),1,0)</f>
        <v>8</v>
      </c>
    </row>
    <row r="4464" customFormat="false" ht="15" hidden="false" customHeight="false" outlineLevel="0" collapsed="false">
      <c r="A4464" s="19"/>
      <c r="B4464" s="19"/>
      <c r="C4464" s="19"/>
      <c r="D4464" s="19"/>
      <c r="E4464" s="22"/>
      <c r="F4464" s="19"/>
      <c r="G4464" s="26" t="str">
        <f aca="false">IF(D4464="","",IFERROR(VALUE(LEFT(D4464,FIND(" |",D4464&amp;" |")-1)),"?"))</f>
        <v/>
      </c>
      <c r="H4464" s="27" t="str">
        <f aca="false">IF(G4464="","",IF(G4464="?","⚠ pub inconnue",IFERROR(INDEX(Pubs!$B$2:$B$3001,MATCH(G4464,Pubs!$A$2:$A$3001,0))&amp;"","⚠ pub inconnue")))</f>
        <v/>
      </c>
      <c r="I4464" s="27" t="str">
        <f aca="false">IF(OR(G4464="",G4464="?"),"",IFERROR(INDEX(Pubs!$C$2:$C$3001,MATCH(G4464,Pubs!$A$2:$A$3001,0))&amp;"",""))</f>
        <v/>
      </c>
      <c r="J4464" s="27" t="str">
        <f aca="false">IF(OR(G4464="",G4464="?"),"",IFERROR(INDEX(Pubs!$G$2:$G$3001,MATCH(G4464,Pubs!$A$2:$A$3001,0))&amp;"",""))</f>
        <v/>
      </c>
      <c r="K4464" s="28" t="str">
        <f aca="false">IF(OR(G4464="",G4464="?"),"",IFERROR(INDEX(Pubs!$E$2:$E$3001,MATCH(G4464,Pubs!$A$2:$A$3001,0)),""))</f>
        <v/>
      </c>
      <c r="L4464" s="29" t="str">
        <f aca="false">IF(A4464="","",IFERROR(1/(1/INDEX(Numéros!$C$2:$C$3001,MATCH(A4464&amp;"|"&amp;B4464,Numéros!$F$2:$F$3001,0))),""))</f>
        <v/>
      </c>
      <c r="M4464" s="27" t="str">
        <f aca="false">IF(OR(G4464="",G4464="?"),"",IFERROR(INDEX(Pubs!$D$2:$D$3001,MATCH(G4464,Pubs!$A$2:$A$3001,0))&amp;"",""))</f>
        <v/>
      </c>
      <c r="N4464" s="27" t="n">
        <f aca="false">N(N4463)+IF(AND(A4464&lt;&gt;"",OR(Recherche!$C$4="",A4464=Recherche!$C$4),OR(Recherche!$C$5="",B4464&amp;""=Recherche!$C$5&amp;""),OR(Recherche!$C$6="",IFERROR(YEAR(L4464),0)=Recherche!$C$6),OR(Recherche!$C$7="",ISNUMBER(SEARCH(Recherche!$C$7,H4464))),OR(Recherche!$C$8="",J4464=Recherche!$C$8),OR(Recherche!$C$9="",I4464=Recherche!$C$9),OR(Recherche!$C$10="",G4464&amp;""=Recherche!$C$10&amp;""),OR(Recherche!$C$11="",E4464=Recherche!$C$11),OR(Recherche!$C$12="",ISNUMBER(SEARCH(Recherche!$C$12,M4464&amp;" "&amp;F4464)))),1,0)</f>
        <v>8</v>
      </c>
    </row>
    <row r="4465" customFormat="false" ht="15" hidden="false" customHeight="false" outlineLevel="0" collapsed="false">
      <c r="A4465" s="19"/>
      <c r="B4465" s="19"/>
      <c r="C4465" s="19"/>
      <c r="D4465" s="19"/>
      <c r="E4465" s="22"/>
      <c r="F4465" s="19"/>
      <c r="G4465" s="26" t="str">
        <f aca="false">IF(D4465="","",IFERROR(VALUE(LEFT(D4465,FIND(" |",D4465&amp;" |")-1)),"?"))</f>
        <v/>
      </c>
      <c r="H4465" s="27" t="str">
        <f aca="false">IF(G4465="","",IF(G4465="?","⚠ pub inconnue",IFERROR(INDEX(Pubs!$B$2:$B$3001,MATCH(G4465,Pubs!$A$2:$A$3001,0))&amp;"","⚠ pub inconnue")))</f>
        <v/>
      </c>
      <c r="I4465" s="27" t="str">
        <f aca="false">IF(OR(G4465="",G4465="?"),"",IFERROR(INDEX(Pubs!$C$2:$C$3001,MATCH(G4465,Pubs!$A$2:$A$3001,0))&amp;"",""))</f>
        <v/>
      </c>
      <c r="J4465" s="27" t="str">
        <f aca="false">IF(OR(G4465="",G4465="?"),"",IFERROR(INDEX(Pubs!$G$2:$G$3001,MATCH(G4465,Pubs!$A$2:$A$3001,0))&amp;"",""))</f>
        <v/>
      </c>
      <c r="K4465" s="28" t="str">
        <f aca="false">IF(OR(G4465="",G4465="?"),"",IFERROR(INDEX(Pubs!$E$2:$E$3001,MATCH(G4465,Pubs!$A$2:$A$3001,0)),""))</f>
        <v/>
      </c>
      <c r="L4465" s="29" t="str">
        <f aca="false">IF(A4465="","",IFERROR(1/(1/INDEX(Numéros!$C$2:$C$3001,MATCH(A4465&amp;"|"&amp;B4465,Numéros!$F$2:$F$3001,0))),""))</f>
        <v/>
      </c>
      <c r="M4465" s="27" t="str">
        <f aca="false">IF(OR(G4465="",G4465="?"),"",IFERROR(INDEX(Pubs!$D$2:$D$3001,MATCH(G4465,Pubs!$A$2:$A$3001,0))&amp;"",""))</f>
        <v/>
      </c>
      <c r="N4465" s="27" t="n">
        <f aca="false">N(N4464)+IF(AND(A4465&lt;&gt;"",OR(Recherche!$C$4="",A4465=Recherche!$C$4),OR(Recherche!$C$5="",B4465&amp;""=Recherche!$C$5&amp;""),OR(Recherche!$C$6="",IFERROR(YEAR(L4465),0)=Recherche!$C$6),OR(Recherche!$C$7="",ISNUMBER(SEARCH(Recherche!$C$7,H4465))),OR(Recherche!$C$8="",J4465=Recherche!$C$8),OR(Recherche!$C$9="",I4465=Recherche!$C$9),OR(Recherche!$C$10="",G4465&amp;""=Recherche!$C$10&amp;""),OR(Recherche!$C$11="",E4465=Recherche!$C$11),OR(Recherche!$C$12="",ISNUMBER(SEARCH(Recherche!$C$12,M4465&amp;" "&amp;F4465)))),1,0)</f>
        <v>8</v>
      </c>
    </row>
    <row r="4466" customFormat="false" ht="15" hidden="false" customHeight="false" outlineLevel="0" collapsed="false">
      <c r="A4466" s="19"/>
      <c r="B4466" s="19"/>
      <c r="C4466" s="19"/>
      <c r="D4466" s="19"/>
      <c r="E4466" s="22"/>
      <c r="F4466" s="19"/>
      <c r="G4466" s="26" t="str">
        <f aca="false">IF(D4466="","",IFERROR(VALUE(LEFT(D4466,FIND(" |",D4466&amp;" |")-1)),"?"))</f>
        <v/>
      </c>
      <c r="H4466" s="27" t="str">
        <f aca="false">IF(G4466="","",IF(G4466="?","⚠ pub inconnue",IFERROR(INDEX(Pubs!$B$2:$B$3001,MATCH(G4466,Pubs!$A$2:$A$3001,0))&amp;"","⚠ pub inconnue")))</f>
        <v/>
      </c>
      <c r="I4466" s="27" t="str">
        <f aca="false">IF(OR(G4466="",G4466="?"),"",IFERROR(INDEX(Pubs!$C$2:$C$3001,MATCH(G4466,Pubs!$A$2:$A$3001,0))&amp;"",""))</f>
        <v/>
      </c>
      <c r="J4466" s="27" t="str">
        <f aca="false">IF(OR(G4466="",G4466="?"),"",IFERROR(INDEX(Pubs!$G$2:$G$3001,MATCH(G4466,Pubs!$A$2:$A$3001,0))&amp;"",""))</f>
        <v/>
      </c>
      <c r="K4466" s="28" t="str">
        <f aca="false">IF(OR(G4466="",G4466="?"),"",IFERROR(INDEX(Pubs!$E$2:$E$3001,MATCH(G4466,Pubs!$A$2:$A$3001,0)),""))</f>
        <v/>
      </c>
      <c r="L4466" s="29" t="str">
        <f aca="false">IF(A4466="","",IFERROR(1/(1/INDEX(Numéros!$C$2:$C$3001,MATCH(A4466&amp;"|"&amp;B4466,Numéros!$F$2:$F$3001,0))),""))</f>
        <v/>
      </c>
      <c r="M4466" s="27" t="str">
        <f aca="false">IF(OR(G4466="",G4466="?"),"",IFERROR(INDEX(Pubs!$D$2:$D$3001,MATCH(G4466,Pubs!$A$2:$A$3001,0))&amp;"",""))</f>
        <v/>
      </c>
      <c r="N4466" s="27" t="n">
        <f aca="false">N(N4465)+IF(AND(A4466&lt;&gt;"",OR(Recherche!$C$4="",A4466=Recherche!$C$4),OR(Recherche!$C$5="",B4466&amp;""=Recherche!$C$5&amp;""),OR(Recherche!$C$6="",IFERROR(YEAR(L4466),0)=Recherche!$C$6),OR(Recherche!$C$7="",ISNUMBER(SEARCH(Recherche!$C$7,H4466))),OR(Recherche!$C$8="",J4466=Recherche!$C$8),OR(Recherche!$C$9="",I4466=Recherche!$C$9),OR(Recherche!$C$10="",G4466&amp;""=Recherche!$C$10&amp;""),OR(Recherche!$C$11="",E4466=Recherche!$C$11),OR(Recherche!$C$12="",ISNUMBER(SEARCH(Recherche!$C$12,M4466&amp;" "&amp;F4466)))),1,0)</f>
        <v>8</v>
      </c>
    </row>
    <row r="4467" customFormat="false" ht="15" hidden="false" customHeight="false" outlineLevel="0" collapsed="false">
      <c r="A4467" s="19"/>
      <c r="B4467" s="19"/>
      <c r="C4467" s="19"/>
      <c r="D4467" s="19"/>
      <c r="E4467" s="22"/>
      <c r="F4467" s="19"/>
      <c r="G4467" s="26" t="str">
        <f aca="false">IF(D4467="","",IFERROR(VALUE(LEFT(D4467,FIND(" |",D4467&amp;" |")-1)),"?"))</f>
        <v/>
      </c>
      <c r="H4467" s="27" t="str">
        <f aca="false">IF(G4467="","",IF(G4467="?","⚠ pub inconnue",IFERROR(INDEX(Pubs!$B$2:$B$3001,MATCH(G4467,Pubs!$A$2:$A$3001,0))&amp;"","⚠ pub inconnue")))</f>
        <v/>
      </c>
      <c r="I4467" s="27" t="str">
        <f aca="false">IF(OR(G4467="",G4467="?"),"",IFERROR(INDEX(Pubs!$C$2:$C$3001,MATCH(G4467,Pubs!$A$2:$A$3001,0))&amp;"",""))</f>
        <v/>
      </c>
      <c r="J4467" s="27" t="str">
        <f aca="false">IF(OR(G4467="",G4467="?"),"",IFERROR(INDEX(Pubs!$G$2:$G$3001,MATCH(G4467,Pubs!$A$2:$A$3001,0))&amp;"",""))</f>
        <v/>
      </c>
      <c r="K4467" s="28" t="str">
        <f aca="false">IF(OR(G4467="",G4467="?"),"",IFERROR(INDEX(Pubs!$E$2:$E$3001,MATCH(G4467,Pubs!$A$2:$A$3001,0)),""))</f>
        <v/>
      </c>
      <c r="L4467" s="29" t="str">
        <f aca="false">IF(A4467="","",IFERROR(1/(1/INDEX(Numéros!$C$2:$C$3001,MATCH(A4467&amp;"|"&amp;B4467,Numéros!$F$2:$F$3001,0))),""))</f>
        <v/>
      </c>
      <c r="M4467" s="27" t="str">
        <f aca="false">IF(OR(G4467="",G4467="?"),"",IFERROR(INDEX(Pubs!$D$2:$D$3001,MATCH(G4467,Pubs!$A$2:$A$3001,0))&amp;"",""))</f>
        <v/>
      </c>
      <c r="N4467" s="27" t="n">
        <f aca="false">N(N4466)+IF(AND(A4467&lt;&gt;"",OR(Recherche!$C$4="",A4467=Recherche!$C$4),OR(Recherche!$C$5="",B4467&amp;""=Recherche!$C$5&amp;""),OR(Recherche!$C$6="",IFERROR(YEAR(L4467),0)=Recherche!$C$6),OR(Recherche!$C$7="",ISNUMBER(SEARCH(Recherche!$C$7,H4467))),OR(Recherche!$C$8="",J4467=Recherche!$C$8),OR(Recherche!$C$9="",I4467=Recherche!$C$9),OR(Recherche!$C$10="",G4467&amp;""=Recherche!$C$10&amp;""),OR(Recherche!$C$11="",E4467=Recherche!$C$11),OR(Recherche!$C$12="",ISNUMBER(SEARCH(Recherche!$C$12,M4467&amp;" "&amp;F4467)))),1,0)</f>
        <v>8</v>
      </c>
    </row>
    <row r="4468" customFormat="false" ht="15" hidden="false" customHeight="false" outlineLevel="0" collapsed="false">
      <c r="A4468" s="19"/>
      <c r="B4468" s="19"/>
      <c r="C4468" s="19"/>
      <c r="D4468" s="19"/>
      <c r="E4468" s="22"/>
      <c r="F4468" s="19"/>
      <c r="G4468" s="26" t="str">
        <f aca="false">IF(D4468="","",IFERROR(VALUE(LEFT(D4468,FIND(" |",D4468&amp;" |")-1)),"?"))</f>
        <v/>
      </c>
      <c r="H4468" s="27" t="str">
        <f aca="false">IF(G4468="","",IF(G4468="?","⚠ pub inconnue",IFERROR(INDEX(Pubs!$B$2:$B$3001,MATCH(G4468,Pubs!$A$2:$A$3001,0))&amp;"","⚠ pub inconnue")))</f>
        <v/>
      </c>
      <c r="I4468" s="27" t="str">
        <f aca="false">IF(OR(G4468="",G4468="?"),"",IFERROR(INDEX(Pubs!$C$2:$C$3001,MATCH(G4468,Pubs!$A$2:$A$3001,0))&amp;"",""))</f>
        <v/>
      </c>
      <c r="J4468" s="27" t="str">
        <f aca="false">IF(OR(G4468="",G4468="?"),"",IFERROR(INDEX(Pubs!$G$2:$G$3001,MATCH(G4468,Pubs!$A$2:$A$3001,0))&amp;"",""))</f>
        <v/>
      </c>
      <c r="K4468" s="28" t="str">
        <f aca="false">IF(OR(G4468="",G4468="?"),"",IFERROR(INDEX(Pubs!$E$2:$E$3001,MATCH(G4468,Pubs!$A$2:$A$3001,0)),""))</f>
        <v/>
      </c>
      <c r="L4468" s="29" t="str">
        <f aca="false">IF(A4468="","",IFERROR(1/(1/INDEX(Numéros!$C$2:$C$3001,MATCH(A4468&amp;"|"&amp;B4468,Numéros!$F$2:$F$3001,0))),""))</f>
        <v/>
      </c>
      <c r="M4468" s="27" t="str">
        <f aca="false">IF(OR(G4468="",G4468="?"),"",IFERROR(INDEX(Pubs!$D$2:$D$3001,MATCH(G4468,Pubs!$A$2:$A$3001,0))&amp;"",""))</f>
        <v/>
      </c>
      <c r="N4468" s="27" t="n">
        <f aca="false">N(N4467)+IF(AND(A4468&lt;&gt;"",OR(Recherche!$C$4="",A4468=Recherche!$C$4),OR(Recherche!$C$5="",B4468&amp;""=Recherche!$C$5&amp;""),OR(Recherche!$C$6="",IFERROR(YEAR(L4468),0)=Recherche!$C$6),OR(Recherche!$C$7="",ISNUMBER(SEARCH(Recherche!$C$7,H4468))),OR(Recherche!$C$8="",J4468=Recherche!$C$8),OR(Recherche!$C$9="",I4468=Recherche!$C$9),OR(Recherche!$C$10="",G4468&amp;""=Recherche!$C$10&amp;""),OR(Recherche!$C$11="",E4468=Recherche!$C$11),OR(Recherche!$C$12="",ISNUMBER(SEARCH(Recherche!$C$12,M4468&amp;" "&amp;F4468)))),1,0)</f>
        <v>8</v>
      </c>
    </row>
    <row r="4469" customFormat="false" ht="15" hidden="false" customHeight="false" outlineLevel="0" collapsed="false">
      <c r="A4469" s="19"/>
      <c r="B4469" s="19"/>
      <c r="C4469" s="19"/>
      <c r="D4469" s="19"/>
      <c r="E4469" s="22"/>
      <c r="F4469" s="19"/>
      <c r="G4469" s="26" t="str">
        <f aca="false">IF(D4469="","",IFERROR(VALUE(LEFT(D4469,FIND(" |",D4469&amp;" |")-1)),"?"))</f>
        <v/>
      </c>
      <c r="H4469" s="27" t="str">
        <f aca="false">IF(G4469="","",IF(G4469="?","⚠ pub inconnue",IFERROR(INDEX(Pubs!$B$2:$B$3001,MATCH(G4469,Pubs!$A$2:$A$3001,0))&amp;"","⚠ pub inconnue")))</f>
        <v/>
      </c>
      <c r="I4469" s="27" t="str">
        <f aca="false">IF(OR(G4469="",G4469="?"),"",IFERROR(INDEX(Pubs!$C$2:$C$3001,MATCH(G4469,Pubs!$A$2:$A$3001,0))&amp;"",""))</f>
        <v/>
      </c>
      <c r="J4469" s="27" t="str">
        <f aca="false">IF(OR(G4469="",G4469="?"),"",IFERROR(INDEX(Pubs!$G$2:$G$3001,MATCH(G4469,Pubs!$A$2:$A$3001,0))&amp;"",""))</f>
        <v/>
      </c>
      <c r="K4469" s="28" t="str">
        <f aca="false">IF(OR(G4469="",G4469="?"),"",IFERROR(INDEX(Pubs!$E$2:$E$3001,MATCH(G4469,Pubs!$A$2:$A$3001,0)),""))</f>
        <v/>
      </c>
      <c r="L4469" s="29" t="str">
        <f aca="false">IF(A4469="","",IFERROR(1/(1/INDEX(Numéros!$C$2:$C$3001,MATCH(A4469&amp;"|"&amp;B4469,Numéros!$F$2:$F$3001,0))),""))</f>
        <v/>
      </c>
      <c r="M4469" s="27" t="str">
        <f aca="false">IF(OR(G4469="",G4469="?"),"",IFERROR(INDEX(Pubs!$D$2:$D$3001,MATCH(G4469,Pubs!$A$2:$A$3001,0))&amp;"",""))</f>
        <v/>
      </c>
      <c r="N4469" s="27" t="n">
        <f aca="false">N(N4468)+IF(AND(A4469&lt;&gt;"",OR(Recherche!$C$4="",A4469=Recherche!$C$4),OR(Recherche!$C$5="",B4469&amp;""=Recherche!$C$5&amp;""),OR(Recherche!$C$6="",IFERROR(YEAR(L4469),0)=Recherche!$C$6),OR(Recherche!$C$7="",ISNUMBER(SEARCH(Recherche!$C$7,H4469))),OR(Recherche!$C$8="",J4469=Recherche!$C$8),OR(Recherche!$C$9="",I4469=Recherche!$C$9),OR(Recherche!$C$10="",G4469&amp;""=Recherche!$C$10&amp;""),OR(Recherche!$C$11="",E4469=Recherche!$C$11),OR(Recherche!$C$12="",ISNUMBER(SEARCH(Recherche!$C$12,M4469&amp;" "&amp;F4469)))),1,0)</f>
        <v>8</v>
      </c>
    </row>
    <row r="4470" customFormat="false" ht="15" hidden="false" customHeight="false" outlineLevel="0" collapsed="false">
      <c r="A4470" s="19"/>
      <c r="B4470" s="19"/>
      <c r="C4470" s="19"/>
      <c r="D4470" s="19"/>
      <c r="E4470" s="22"/>
      <c r="F4470" s="19"/>
      <c r="G4470" s="26" t="str">
        <f aca="false">IF(D4470="","",IFERROR(VALUE(LEFT(D4470,FIND(" |",D4470&amp;" |")-1)),"?"))</f>
        <v/>
      </c>
      <c r="H4470" s="27" t="str">
        <f aca="false">IF(G4470="","",IF(G4470="?","⚠ pub inconnue",IFERROR(INDEX(Pubs!$B$2:$B$3001,MATCH(G4470,Pubs!$A$2:$A$3001,0))&amp;"","⚠ pub inconnue")))</f>
        <v/>
      </c>
      <c r="I4470" s="27" t="str">
        <f aca="false">IF(OR(G4470="",G4470="?"),"",IFERROR(INDEX(Pubs!$C$2:$C$3001,MATCH(G4470,Pubs!$A$2:$A$3001,0))&amp;"",""))</f>
        <v/>
      </c>
      <c r="J4470" s="27" t="str">
        <f aca="false">IF(OR(G4470="",G4470="?"),"",IFERROR(INDEX(Pubs!$G$2:$G$3001,MATCH(G4470,Pubs!$A$2:$A$3001,0))&amp;"",""))</f>
        <v/>
      </c>
      <c r="K4470" s="28" t="str">
        <f aca="false">IF(OR(G4470="",G4470="?"),"",IFERROR(INDEX(Pubs!$E$2:$E$3001,MATCH(G4470,Pubs!$A$2:$A$3001,0)),""))</f>
        <v/>
      </c>
      <c r="L4470" s="29" t="str">
        <f aca="false">IF(A4470="","",IFERROR(1/(1/INDEX(Numéros!$C$2:$C$3001,MATCH(A4470&amp;"|"&amp;B4470,Numéros!$F$2:$F$3001,0))),""))</f>
        <v/>
      </c>
      <c r="M4470" s="27" t="str">
        <f aca="false">IF(OR(G4470="",G4470="?"),"",IFERROR(INDEX(Pubs!$D$2:$D$3001,MATCH(G4470,Pubs!$A$2:$A$3001,0))&amp;"",""))</f>
        <v/>
      </c>
      <c r="N4470" s="27" t="n">
        <f aca="false">N(N4469)+IF(AND(A4470&lt;&gt;"",OR(Recherche!$C$4="",A4470=Recherche!$C$4),OR(Recherche!$C$5="",B4470&amp;""=Recherche!$C$5&amp;""),OR(Recherche!$C$6="",IFERROR(YEAR(L4470),0)=Recherche!$C$6),OR(Recherche!$C$7="",ISNUMBER(SEARCH(Recherche!$C$7,H4470))),OR(Recherche!$C$8="",J4470=Recherche!$C$8),OR(Recherche!$C$9="",I4470=Recherche!$C$9),OR(Recherche!$C$10="",G4470&amp;""=Recherche!$C$10&amp;""),OR(Recherche!$C$11="",E4470=Recherche!$C$11),OR(Recherche!$C$12="",ISNUMBER(SEARCH(Recherche!$C$12,M4470&amp;" "&amp;F4470)))),1,0)</f>
        <v>8</v>
      </c>
    </row>
    <row r="4471" customFormat="false" ht="15" hidden="false" customHeight="false" outlineLevel="0" collapsed="false">
      <c r="A4471" s="19"/>
      <c r="B4471" s="19"/>
      <c r="C4471" s="19"/>
      <c r="D4471" s="19"/>
      <c r="E4471" s="22"/>
      <c r="F4471" s="19"/>
      <c r="G4471" s="26" t="str">
        <f aca="false">IF(D4471="","",IFERROR(VALUE(LEFT(D4471,FIND(" |",D4471&amp;" |")-1)),"?"))</f>
        <v/>
      </c>
      <c r="H4471" s="27" t="str">
        <f aca="false">IF(G4471="","",IF(G4471="?","⚠ pub inconnue",IFERROR(INDEX(Pubs!$B$2:$B$3001,MATCH(G4471,Pubs!$A$2:$A$3001,0))&amp;"","⚠ pub inconnue")))</f>
        <v/>
      </c>
      <c r="I4471" s="27" t="str">
        <f aca="false">IF(OR(G4471="",G4471="?"),"",IFERROR(INDEX(Pubs!$C$2:$C$3001,MATCH(G4471,Pubs!$A$2:$A$3001,0))&amp;"",""))</f>
        <v/>
      </c>
      <c r="J4471" s="27" t="str">
        <f aca="false">IF(OR(G4471="",G4471="?"),"",IFERROR(INDEX(Pubs!$G$2:$G$3001,MATCH(G4471,Pubs!$A$2:$A$3001,0))&amp;"",""))</f>
        <v/>
      </c>
      <c r="K4471" s="28" t="str">
        <f aca="false">IF(OR(G4471="",G4471="?"),"",IFERROR(INDEX(Pubs!$E$2:$E$3001,MATCH(G4471,Pubs!$A$2:$A$3001,0)),""))</f>
        <v/>
      </c>
      <c r="L4471" s="29" t="str">
        <f aca="false">IF(A4471="","",IFERROR(1/(1/INDEX(Numéros!$C$2:$C$3001,MATCH(A4471&amp;"|"&amp;B4471,Numéros!$F$2:$F$3001,0))),""))</f>
        <v/>
      </c>
      <c r="M4471" s="27" t="str">
        <f aca="false">IF(OR(G4471="",G4471="?"),"",IFERROR(INDEX(Pubs!$D$2:$D$3001,MATCH(G4471,Pubs!$A$2:$A$3001,0))&amp;"",""))</f>
        <v/>
      </c>
      <c r="N4471" s="27" t="n">
        <f aca="false">N(N4470)+IF(AND(A4471&lt;&gt;"",OR(Recherche!$C$4="",A4471=Recherche!$C$4),OR(Recherche!$C$5="",B4471&amp;""=Recherche!$C$5&amp;""),OR(Recherche!$C$6="",IFERROR(YEAR(L4471),0)=Recherche!$C$6),OR(Recherche!$C$7="",ISNUMBER(SEARCH(Recherche!$C$7,H4471))),OR(Recherche!$C$8="",J4471=Recherche!$C$8),OR(Recherche!$C$9="",I4471=Recherche!$C$9),OR(Recherche!$C$10="",G4471&amp;""=Recherche!$C$10&amp;""),OR(Recherche!$C$11="",E4471=Recherche!$C$11),OR(Recherche!$C$12="",ISNUMBER(SEARCH(Recherche!$C$12,M4471&amp;" "&amp;F4471)))),1,0)</f>
        <v>8</v>
      </c>
    </row>
    <row r="4472" customFormat="false" ht="15" hidden="false" customHeight="false" outlineLevel="0" collapsed="false">
      <c r="A4472" s="19"/>
      <c r="B4472" s="19"/>
      <c r="C4472" s="19"/>
      <c r="D4472" s="19"/>
      <c r="E4472" s="22"/>
      <c r="F4472" s="19"/>
      <c r="G4472" s="26" t="str">
        <f aca="false">IF(D4472="","",IFERROR(VALUE(LEFT(D4472,FIND(" |",D4472&amp;" |")-1)),"?"))</f>
        <v/>
      </c>
      <c r="H4472" s="27" t="str">
        <f aca="false">IF(G4472="","",IF(G4472="?","⚠ pub inconnue",IFERROR(INDEX(Pubs!$B$2:$B$3001,MATCH(G4472,Pubs!$A$2:$A$3001,0))&amp;"","⚠ pub inconnue")))</f>
        <v/>
      </c>
      <c r="I4472" s="27" t="str">
        <f aca="false">IF(OR(G4472="",G4472="?"),"",IFERROR(INDEX(Pubs!$C$2:$C$3001,MATCH(G4472,Pubs!$A$2:$A$3001,0))&amp;"",""))</f>
        <v/>
      </c>
      <c r="J4472" s="27" t="str">
        <f aca="false">IF(OR(G4472="",G4472="?"),"",IFERROR(INDEX(Pubs!$G$2:$G$3001,MATCH(G4472,Pubs!$A$2:$A$3001,0))&amp;"",""))</f>
        <v/>
      </c>
      <c r="K4472" s="28" t="str">
        <f aca="false">IF(OR(G4472="",G4472="?"),"",IFERROR(INDEX(Pubs!$E$2:$E$3001,MATCH(G4472,Pubs!$A$2:$A$3001,0)),""))</f>
        <v/>
      </c>
      <c r="L4472" s="29" t="str">
        <f aca="false">IF(A4472="","",IFERROR(1/(1/INDEX(Numéros!$C$2:$C$3001,MATCH(A4472&amp;"|"&amp;B4472,Numéros!$F$2:$F$3001,0))),""))</f>
        <v/>
      </c>
      <c r="M4472" s="27" t="str">
        <f aca="false">IF(OR(G4472="",G4472="?"),"",IFERROR(INDEX(Pubs!$D$2:$D$3001,MATCH(G4472,Pubs!$A$2:$A$3001,0))&amp;"",""))</f>
        <v/>
      </c>
      <c r="N4472" s="27" t="n">
        <f aca="false">N(N4471)+IF(AND(A4472&lt;&gt;"",OR(Recherche!$C$4="",A4472=Recherche!$C$4),OR(Recherche!$C$5="",B4472&amp;""=Recherche!$C$5&amp;""),OR(Recherche!$C$6="",IFERROR(YEAR(L4472),0)=Recherche!$C$6),OR(Recherche!$C$7="",ISNUMBER(SEARCH(Recherche!$C$7,H4472))),OR(Recherche!$C$8="",J4472=Recherche!$C$8),OR(Recherche!$C$9="",I4472=Recherche!$C$9),OR(Recherche!$C$10="",G4472&amp;""=Recherche!$C$10&amp;""),OR(Recherche!$C$11="",E4472=Recherche!$C$11),OR(Recherche!$C$12="",ISNUMBER(SEARCH(Recherche!$C$12,M4472&amp;" "&amp;F4472)))),1,0)</f>
        <v>8</v>
      </c>
    </row>
    <row r="4473" customFormat="false" ht="15" hidden="false" customHeight="false" outlineLevel="0" collapsed="false">
      <c r="A4473" s="19"/>
      <c r="B4473" s="19"/>
      <c r="C4473" s="19"/>
      <c r="D4473" s="19"/>
      <c r="E4473" s="22"/>
      <c r="F4473" s="19"/>
      <c r="G4473" s="26" t="str">
        <f aca="false">IF(D4473="","",IFERROR(VALUE(LEFT(D4473,FIND(" |",D4473&amp;" |")-1)),"?"))</f>
        <v/>
      </c>
      <c r="H4473" s="27" t="str">
        <f aca="false">IF(G4473="","",IF(G4473="?","⚠ pub inconnue",IFERROR(INDEX(Pubs!$B$2:$B$3001,MATCH(G4473,Pubs!$A$2:$A$3001,0))&amp;"","⚠ pub inconnue")))</f>
        <v/>
      </c>
      <c r="I4473" s="27" t="str">
        <f aca="false">IF(OR(G4473="",G4473="?"),"",IFERROR(INDEX(Pubs!$C$2:$C$3001,MATCH(G4473,Pubs!$A$2:$A$3001,0))&amp;"",""))</f>
        <v/>
      </c>
      <c r="J4473" s="27" t="str">
        <f aca="false">IF(OR(G4473="",G4473="?"),"",IFERROR(INDEX(Pubs!$G$2:$G$3001,MATCH(G4473,Pubs!$A$2:$A$3001,0))&amp;"",""))</f>
        <v/>
      </c>
      <c r="K4473" s="28" t="str">
        <f aca="false">IF(OR(G4473="",G4473="?"),"",IFERROR(INDEX(Pubs!$E$2:$E$3001,MATCH(G4473,Pubs!$A$2:$A$3001,0)),""))</f>
        <v/>
      </c>
      <c r="L4473" s="29" t="str">
        <f aca="false">IF(A4473="","",IFERROR(1/(1/INDEX(Numéros!$C$2:$C$3001,MATCH(A4473&amp;"|"&amp;B4473,Numéros!$F$2:$F$3001,0))),""))</f>
        <v/>
      </c>
      <c r="M4473" s="27" t="str">
        <f aca="false">IF(OR(G4473="",G4473="?"),"",IFERROR(INDEX(Pubs!$D$2:$D$3001,MATCH(G4473,Pubs!$A$2:$A$3001,0))&amp;"",""))</f>
        <v/>
      </c>
      <c r="N4473" s="27" t="n">
        <f aca="false">N(N4472)+IF(AND(A4473&lt;&gt;"",OR(Recherche!$C$4="",A4473=Recherche!$C$4),OR(Recherche!$C$5="",B4473&amp;""=Recherche!$C$5&amp;""),OR(Recherche!$C$6="",IFERROR(YEAR(L4473),0)=Recherche!$C$6),OR(Recherche!$C$7="",ISNUMBER(SEARCH(Recherche!$C$7,H4473))),OR(Recherche!$C$8="",J4473=Recherche!$C$8),OR(Recherche!$C$9="",I4473=Recherche!$C$9),OR(Recherche!$C$10="",G4473&amp;""=Recherche!$C$10&amp;""),OR(Recherche!$C$11="",E4473=Recherche!$C$11),OR(Recherche!$C$12="",ISNUMBER(SEARCH(Recherche!$C$12,M4473&amp;" "&amp;F4473)))),1,0)</f>
        <v>8</v>
      </c>
    </row>
    <row r="4474" customFormat="false" ht="15" hidden="false" customHeight="false" outlineLevel="0" collapsed="false">
      <c r="A4474" s="19"/>
      <c r="B4474" s="19"/>
      <c r="C4474" s="19"/>
      <c r="D4474" s="19"/>
      <c r="E4474" s="22"/>
      <c r="F4474" s="19"/>
      <c r="G4474" s="26" t="str">
        <f aca="false">IF(D4474="","",IFERROR(VALUE(LEFT(D4474,FIND(" |",D4474&amp;" |")-1)),"?"))</f>
        <v/>
      </c>
      <c r="H4474" s="27" t="str">
        <f aca="false">IF(G4474="","",IF(G4474="?","⚠ pub inconnue",IFERROR(INDEX(Pubs!$B$2:$B$3001,MATCH(G4474,Pubs!$A$2:$A$3001,0))&amp;"","⚠ pub inconnue")))</f>
        <v/>
      </c>
      <c r="I4474" s="27" t="str">
        <f aca="false">IF(OR(G4474="",G4474="?"),"",IFERROR(INDEX(Pubs!$C$2:$C$3001,MATCH(G4474,Pubs!$A$2:$A$3001,0))&amp;"",""))</f>
        <v/>
      </c>
      <c r="J4474" s="27" t="str">
        <f aca="false">IF(OR(G4474="",G4474="?"),"",IFERROR(INDEX(Pubs!$G$2:$G$3001,MATCH(G4474,Pubs!$A$2:$A$3001,0))&amp;"",""))</f>
        <v/>
      </c>
      <c r="K4474" s="28" t="str">
        <f aca="false">IF(OR(G4474="",G4474="?"),"",IFERROR(INDEX(Pubs!$E$2:$E$3001,MATCH(G4474,Pubs!$A$2:$A$3001,0)),""))</f>
        <v/>
      </c>
      <c r="L4474" s="29" t="str">
        <f aca="false">IF(A4474="","",IFERROR(1/(1/INDEX(Numéros!$C$2:$C$3001,MATCH(A4474&amp;"|"&amp;B4474,Numéros!$F$2:$F$3001,0))),""))</f>
        <v/>
      </c>
      <c r="M4474" s="27" t="str">
        <f aca="false">IF(OR(G4474="",G4474="?"),"",IFERROR(INDEX(Pubs!$D$2:$D$3001,MATCH(G4474,Pubs!$A$2:$A$3001,0))&amp;"",""))</f>
        <v/>
      </c>
      <c r="N4474" s="27" t="n">
        <f aca="false">N(N4473)+IF(AND(A4474&lt;&gt;"",OR(Recherche!$C$4="",A4474=Recherche!$C$4),OR(Recherche!$C$5="",B4474&amp;""=Recherche!$C$5&amp;""),OR(Recherche!$C$6="",IFERROR(YEAR(L4474),0)=Recherche!$C$6),OR(Recherche!$C$7="",ISNUMBER(SEARCH(Recherche!$C$7,H4474))),OR(Recherche!$C$8="",J4474=Recherche!$C$8),OR(Recherche!$C$9="",I4474=Recherche!$C$9),OR(Recherche!$C$10="",G4474&amp;""=Recherche!$C$10&amp;""),OR(Recherche!$C$11="",E4474=Recherche!$C$11),OR(Recherche!$C$12="",ISNUMBER(SEARCH(Recherche!$C$12,M4474&amp;" "&amp;F4474)))),1,0)</f>
        <v>8</v>
      </c>
    </row>
    <row r="4475" customFormat="false" ht="15" hidden="false" customHeight="false" outlineLevel="0" collapsed="false">
      <c r="A4475" s="19"/>
      <c r="B4475" s="19"/>
      <c r="C4475" s="19"/>
      <c r="D4475" s="19"/>
      <c r="E4475" s="22"/>
      <c r="F4475" s="19"/>
      <c r="G4475" s="26" t="str">
        <f aca="false">IF(D4475="","",IFERROR(VALUE(LEFT(D4475,FIND(" |",D4475&amp;" |")-1)),"?"))</f>
        <v/>
      </c>
      <c r="H4475" s="27" t="str">
        <f aca="false">IF(G4475="","",IF(G4475="?","⚠ pub inconnue",IFERROR(INDEX(Pubs!$B$2:$B$3001,MATCH(G4475,Pubs!$A$2:$A$3001,0))&amp;"","⚠ pub inconnue")))</f>
        <v/>
      </c>
      <c r="I4475" s="27" t="str">
        <f aca="false">IF(OR(G4475="",G4475="?"),"",IFERROR(INDEX(Pubs!$C$2:$C$3001,MATCH(G4475,Pubs!$A$2:$A$3001,0))&amp;"",""))</f>
        <v/>
      </c>
      <c r="J4475" s="27" t="str">
        <f aca="false">IF(OR(G4475="",G4475="?"),"",IFERROR(INDEX(Pubs!$G$2:$G$3001,MATCH(G4475,Pubs!$A$2:$A$3001,0))&amp;"",""))</f>
        <v/>
      </c>
      <c r="K4475" s="28" t="str">
        <f aca="false">IF(OR(G4475="",G4475="?"),"",IFERROR(INDEX(Pubs!$E$2:$E$3001,MATCH(G4475,Pubs!$A$2:$A$3001,0)),""))</f>
        <v/>
      </c>
      <c r="L4475" s="29" t="str">
        <f aca="false">IF(A4475="","",IFERROR(1/(1/INDEX(Numéros!$C$2:$C$3001,MATCH(A4475&amp;"|"&amp;B4475,Numéros!$F$2:$F$3001,0))),""))</f>
        <v/>
      </c>
      <c r="M4475" s="27" t="str">
        <f aca="false">IF(OR(G4475="",G4475="?"),"",IFERROR(INDEX(Pubs!$D$2:$D$3001,MATCH(G4475,Pubs!$A$2:$A$3001,0))&amp;"",""))</f>
        <v/>
      </c>
      <c r="N4475" s="27" t="n">
        <f aca="false">N(N4474)+IF(AND(A4475&lt;&gt;"",OR(Recherche!$C$4="",A4475=Recherche!$C$4),OR(Recherche!$C$5="",B4475&amp;""=Recherche!$C$5&amp;""),OR(Recherche!$C$6="",IFERROR(YEAR(L4475),0)=Recherche!$C$6),OR(Recherche!$C$7="",ISNUMBER(SEARCH(Recherche!$C$7,H4475))),OR(Recherche!$C$8="",J4475=Recherche!$C$8),OR(Recherche!$C$9="",I4475=Recherche!$C$9),OR(Recherche!$C$10="",G4475&amp;""=Recherche!$C$10&amp;""),OR(Recherche!$C$11="",E4475=Recherche!$C$11),OR(Recherche!$C$12="",ISNUMBER(SEARCH(Recherche!$C$12,M4475&amp;" "&amp;F4475)))),1,0)</f>
        <v>8</v>
      </c>
    </row>
    <row r="4476" customFormat="false" ht="15" hidden="false" customHeight="false" outlineLevel="0" collapsed="false">
      <c r="A4476" s="19"/>
      <c r="B4476" s="19"/>
      <c r="C4476" s="19"/>
      <c r="D4476" s="19"/>
      <c r="E4476" s="22"/>
      <c r="F4476" s="19"/>
      <c r="G4476" s="26" t="str">
        <f aca="false">IF(D4476="","",IFERROR(VALUE(LEFT(D4476,FIND(" |",D4476&amp;" |")-1)),"?"))</f>
        <v/>
      </c>
      <c r="H4476" s="27" t="str">
        <f aca="false">IF(G4476="","",IF(G4476="?","⚠ pub inconnue",IFERROR(INDEX(Pubs!$B$2:$B$3001,MATCH(G4476,Pubs!$A$2:$A$3001,0))&amp;"","⚠ pub inconnue")))</f>
        <v/>
      </c>
      <c r="I4476" s="27" t="str">
        <f aca="false">IF(OR(G4476="",G4476="?"),"",IFERROR(INDEX(Pubs!$C$2:$C$3001,MATCH(G4476,Pubs!$A$2:$A$3001,0))&amp;"",""))</f>
        <v/>
      </c>
      <c r="J4476" s="27" t="str">
        <f aca="false">IF(OR(G4476="",G4476="?"),"",IFERROR(INDEX(Pubs!$G$2:$G$3001,MATCH(G4476,Pubs!$A$2:$A$3001,0))&amp;"",""))</f>
        <v/>
      </c>
      <c r="K4476" s="28" t="str">
        <f aca="false">IF(OR(G4476="",G4476="?"),"",IFERROR(INDEX(Pubs!$E$2:$E$3001,MATCH(G4476,Pubs!$A$2:$A$3001,0)),""))</f>
        <v/>
      </c>
      <c r="L4476" s="29" t="str">
        <f aca="false">IF(A4476="","",IFERROR(1/(1/INDEX(Numéros!$C$2:$C$3001,MATCH(A4476&amp;"|"&amp;B4476,Numéros!$F$2:$F$3001,0))),""))</f>
        <v/>
      </c>
      <c r="M4476" s="27" t="str">
        <f aca="false">IF(OR(G4476="",G4476="?"),"",IFERROR(INDEX(Pubs!$D$2:$D$3001,MATCH(G4476,Pubs!$A$2:$A$3001,0))&amp;"",""))</f>
        <v/>
      </c>
      <c r="N4476" s="27" t="n">
        <f aca="false">N(N4475)+IF(AND(A4476&lt;&gt;"",OR(Recherche!$C$4="",A4476=Recherche!$C$4),OR(Recherche!$C$5="",B4476&amp;""=Recherche!$C$5&amp;""),OR(Recherche!$C$6="",IFERROR(YEAR(L4476),0)=Recherche!$C$6),OR(Recherche!$C$7="",ISNUMBER(SEARCH(Recherche!$C$7,H4476))),OR(Recherche!$C$8="",J4476=Recherche!$C$8),OR(Recherche!$C$9="",I4476=Recherche!$C$9),OR(Recherche!$C$10="",G4476&amp;""=Recherche!$C$10&amp;""),OR(Recherche!$C$11="",E4476=Recherche!$C$11),OR(Recherche!$C$12="",ISNUMBER(SEARCH(Recherche!$C$12,M4476&amp;" "&amp;F4476)))),1,0)</f>
        <v>8</v>
      </c>
    </row>
    <row r="4477" customFormat="false" ht="15" hidden="false" customHeight="false" outlineLevel="0" collapsed="false">
      <c r="A4477" s="19"/>
      <c r="B4477" s="19"/>
      <c r="C4477" s="19"/>
      <c r="D4477" s="19"/>
      <c r="E4477" s="22"/>
      <c r="F4477" s="19"/>
      <c r="G4477" s="26" t="str">
        <f aca="false">IF(D4477="","",IFERROR(VALUE(LEFT(D4477,FIND(" |",D4477&amp;" |")-1)),"?"))</f>
        <v/>
      </c>
      <c r="H4477" s="27" t="str">
        <f aca="false">IF(G4477="","",IF(G4477="?","⚠ pub inconnue",IFERROR(INDEX(Pubs!$B$2:$B$3001,MATCH(G4477,Pubs!$A$2:$A$3001,0))&amp;"","⚠ pub inconnue")))</f>
        <v/>
      </c>
      <c r="I4477" s="27" t="str">
        <f aca="false">IF(OR(G4477="",G4477="?"),"",IFERROR(INDEX(Pubs!$C$2:$C$3001,MATCH(G4477,Pubs!$A$2:$A$3001,0))&amp;"",""))</f>
        <v/>
      </c>
      <c r="J4477" s="27" t="str">
        <f aca="false">IF(OR(G4477="",G4477="?"),"",IFERROR(INDEX(Pubs!$G$2:$G$3001,MATCH(G4477,Pubs!$A$2:$A$3001,0))&amp;"",""))</f>
        <v/>
      </c>
      <c r="K4477" s="28" t="str">
        <f aca="false">IF(OR(G4477="",G4477="?"),"",IFERROR(INDEX(Pubs!$E$2:$E$3001,MATCH(G4477,Pubs!$A$2:$A$3001,0)),""))</f>
        <v/>
      </c>
      <c r="L4477" s="29" t="str">
        <f aca="false">IF(A4477="","",IFERROR(1/(1/INDEX(Numéros!$C$2:$C$3001,MATCH(A4477&amp;"|"&amp;B4477,Numéros!$F$2:$F$3001,0))),""))</f>
        <v/>
      </c>
      <c r="M4477" s="27" t="str">
        <f aca="false">IF(OR(G4477="",G4477="?"),"",IFERROR(INDEX(Pubs!$D$2:$D$3001,MATCH(G4477,Pubs!$A$2:$A$3001,0))&amp;"",""))</f>
        <v/>
      </c>
      <c r="N4477" s="27" t="n">
        <f aca="false">N(N4476)+IF(AND(A4477&lt;&gt;"",OR(Recherche!$C$4="",A4477=Recherche!$C$4),OR(Recherche!$C$5="",B4477&amp;""=Recherche!$C$5&amp;""),OR(Recherche!$C$6="",IFERROR(YEAR(L4477),0)=Recherche!$C$6),OR(Recherche!$C$7="",ISNUMBER(SEARCH(Recherche!$C$7,H4477))),OR(Recherche!$C$8="",J4477=Recherche!$C$8),OR(Recherche!$C$9="",I4477=Recherche!$C$9),OR(Recherche!$C$10="",G4477&amp;""=Recherche!$C$10&amp;""),OR(Recherche!$C$11="",E4477=Recherche!$C$11),OR(Recherche!$C$12="",ISNUMBER(SEARCH(Recherche!$C$12,M4477&amp;" "&amp;F4477)))),1,0)</f>
        <v>8</v>
      </c>
    </row>
    <row r="4478" customFormat="false" ht="15" hidden="false" customHeight="false" outlineLevel="0" collapsed="false">
      <c r="A4478" s="19"/>
      <c r="B4478" s="19"/>
      <c r="C4478" s="19"/>
      <c r="D4478" s="19"/>
      <c r="E4478" s="22"/>
      <c r="F4478" s="19"/>
      <c r="G4478" s="26" t="str">
        <f aca="false">IF(D4478="","",IFERROR(VALUE(LEFT(D4478,FIND(" |",D4478&amp;" |")-1)),"?"))</f>
        <v/>
      </c>
      <c r="H4478" s="27" t="str">
        <f aca="false">IF(G4478="","",IF(G4478="?","⚠ pub inconnue",IFERROR(INDEX(Pubs!$B$2:$B$3001,MATCH(G4478,Pubs!$A$2:$A$3001,0))&amp;"","⚠ pub inconnue")))</f>
        <v/>
      </c>
      <c r="I4478" s="27" t="str">
        <f aca="false">IF(OR(G4478="",G4478="?"),"",IFERROR(INDEX(Pubs!$C$2:$C$3001,MATCH(G4478,Pubs!$A$2:$A$3001,0))&amp;"",""))</f>
        <v/>
      </c>
      <c r="J4478" s="27" t="str">
        <f aca="false">IF(OR(G4478="",G4478="?"),"",IFERROR(INDEX(Pubs!$G$2:$G$3001,MATCH(G4478,Pubs!$A$2:$A$3001,0))&amp;"",""))</f>
        <v/>
      </c>
      <c r="K4478" s="28" t="str">
        <f aca="false">IF(OR(G4478="",G4478="?"),"",IFERROR(INDEX(Pubs!$E$2:$E$3001,MATCH(G4478,Pubs!$A$2:$A$3001,0)),""))</f>
        <v/>
      </c>
      <c r="L4478" s="29" t="str">
        <f aca="false">IF(A4478="","",IFERROR(1/(1/INDEX(Numéros!$C$2:$C$3001,MATCH(A4478&amp;"|"&amp;B4478,Numéros!$F$2:$F$3001,0))),""))</f>
        <v/>
      </c>
      <c r="M4478" s="27" t="str">
        <f aca="false">IF(OR(G4478="",G4478="?"),"",IFERROR(INDEX(Pubs!$D$2:$D$3001,MATCH(G4478,Pubs!$A$2:$A$3001,0))&amp;"",""))</f>
        <v/>
      </c>
      <c r="N4478" s="27" t="n">
        <f aca="false">N(N4477)+IF(AND(A4478&lt;&gt;"",OR(Recherche!$C$4="",A4478=Recherche!$C$4),OR(Recherche!$C$5="",B4478&amp;""=Recherche!$C$5&amp;""),OR(Recherche!$C$6="",IFERROR(YEAR(L4478),0)=Recherche!$C$6),OR(Recherche!$C$7="",ISNUMBER(SEARCH(Recherche!$C$7,H4478))),OR(Recherche!$C$8="",J4478=Recherche!$C$8),OR(Recherche!$C$9="",I4478=Recherche!$C$9),OR(Recherche!$C$10="",G4478&amp;""=Recherche!$C$10&amp;""),OR(Recherche!$C$11="",E4478=Recherche!$C$11),OR(Recherche!$C$12="",ISNUMBER(SEARCH(Recherche!$C$12,M4478&amp;" "&amp;F4478)))),1,0)</f>
        <v>8</v>
      </c>
    </row>
    <row r="4479" customFormat="false" ht="15" hidden="false" customHeight="false" outlineLevel="0" collapsed="false">
      <c r="A4479" s="19"/>
      <c r="B4479" s="19"/>
      <c r="C4479" s="19"/>
      <c r="D4479" s="19"/>
      <c r="E4479" s="22"/>
      <c r="F4479" s="19"/>
      <c r="G4479" s="26" t="str">
        <f aca="false">IF(D4479="","",IFERROR(VALUE(LEFT(D4479,FIND(" |",D4479&amp;" |")-1)),"?"))</f>
        <v/>
      </c>
      <c r="H4479" s="27" t="str">
        <f aca="false">IF(G4479="","",IF(G4479="?","⚠ pub inconnue",IFERROR(INDEX(Pubs!$B$2:$B$3001,MATCH(G4479,Pubs!$A$2:$A$3001,0))&amp;"","⚠ pub inconnue")))</f>
        <v/>
      </c>
      <c r="I4479" s="27" t="str">
        <f aca="false">IF(OR(G4479="",G4479="?"),"",IFERROR(INDEX(Pubs!$C$2:$C$3001,MATCH(G4479,Pubs!$A$2:$A$3001,0))&amp;"",""))</f>
        <v/>
      </c>
      <c r="J4479" s="27" t="str">
        <f aca="false">IF(OR(G4479="",G4479="?"),"",IFERROR(INDEX(Pubs!$G$2:$G$3001,MATCH(G4479,Pubs!$A$2:$A$3001,0))&amp;"",""))</f>
        <v/>
      </c>
      <c r="K4479" s="28" t="str">
        <f aca="false">IF(OR(G4479="",G4479="?"),"",IFERROR(INDEX(Pubs!$E$2:$E$3001,MATCH(G4479,Pubs!$A$2:$A$3001,0)),""))</f>
        <v/>
      </c>
      <c r="L4479" s="29" t="str">
        <f aca="false">IF(A4479="","",IFERROR(1/(1/INDEX(Numéros!$C$2:$C$3001,MATCH(A4479&amp;"|"&amp;B4479,Numéros!$F$2:$F$3001,0))),""))</f>
        <v/>
      </c>
      <c r="M4479" s="27" t="str">
        <f aca="false">IF(OR(G4479="",G4479="?"),"",IFERROR(INDEX(Pubs!$D$2:$D$3001,MATCH(G4479,Pubs!$A$2:$A$3001,0))&amp;"",""))</f>
        <v/>
      </c>
      <c r="N4479" s="27" t="n">
        <f aca="false">N(N4478)+IF(AND(A4479&lt;&gt;"",OR(Recherche!$C$4="",A4479=Recherche!$C$4),OR(Recherche!$C$5="",B4479&amp;""=Recherche!$C$5&amp;""),OR(Recherche!$C$6="",IFERROR(YEAR(L4479),0)=Recherche!$C$6),OR(Recherche!$C$7="",ISNUMBER(SEARCH(Recherche!$C$7,H4479))),OR(Recherche!$C$8="",J4479=Recherche!$C$8),OR(Recherche!$C$9="",I4479=Recherche!$C$9),OR(Recherche!$C$10="",G4479&amp;""=Recherche!$C$10&amp;""),OR(Recherche!$C$11="",E4479=Recherche!$C$11),OR(Recherche!$C$12="",ISNUMBER(SEARCH(Recherche!$C$12,M4479&amp;" "&amp;F4479)))),1,0)</f>
        <v>8</v>
      </c>
    </row>
    <row r="4480" customFormat="false" ht="15" hidden="false" customHeight="false" outlineLevel="0" collapsed="false">
      <c r="A4480" s="19"/>
      <c r="B4480" s="19"/>
      <c r="C4480" s="19"/>
      <c r="D4480" s="19"/>
      <c r="E4480" s="22"/>
      <c r="F4480" s="19"/>
      <c r="G4480" s="26" t="str">
        <f aca="false">IF(D4480="","",IFERROR(VALUE(LEFT(D4480,FIND(" |",D4480&amp;" |")-1)),"?"))</f>
        <v/>
      </c>
      <c r="H4480" s="27" t="str">
        <f aca="false">IF(G4480="","",IF(G4480="?","⚠ pub inconnue",IFERROR(INDEX(Pubs!$B$2:$B$3001,MATCH(G4480,Pubs!$A$2:$A$3001,0))&amp;"","⚠ pub inconnue")))</f>
        <v/>
      </c>
      <c r="I4480" s="27" t="str">
        <f aca="false">IF(OR(G4480="",G4480="?"),"",IFERROR(INDEX(Pubs!$C$2:$C$3001,MATCH(G4480,Pubs!$A$2:$A$3001,0))&amp;"",""))</f>
        <v/>
      </c>
      <c r="J4480" s="27" t="str">
        <f aca="false">IF(OR(G4480="",G4480="?"),"",IFERROR(INDEX(Pubs!$G$2:$G$3001,MATCH(G4480,Pubs!$A$2:$A$3001,0))&amp;"",""))</f>
        <v/>
      </c>
      <c r="K4480" s="28" t="str">
        <f aca="false">IF(OR(G4480="",G4480="?"),"",IFERROR(INDEX(Pubs!$E$2:$E$3001,MATCH(G4480,Pubs!$A$2:$A$3001,0)),""))</f>
        <v/>
      </c>
      <c r="L4480" s="29" t="str">
        <f aca="false">IF(A4480="","",IFERROR(1/(1/INDEX(Numéros!$C$2:$C$3001,MATCH(A4480&amp;"|"&amp;B4480,Numéros!$F$2:$F$3001,0))),""))</f>
        <v/>
      </c>
      <c r="M4480" s="27" t="str">
        <f aca="false">IF(OR(G4480="",G4480="?"),"",IFERROR(INDEX(Pubs!$D$2:$D$3001,MATCH(G4480,Pubs!$A$2:$A$3001,0))&amp;"",""))</f>
        <v/>
      </c>
      <c r="N4480" s="27" t="n">
        <f aca="false">N(N4479)+IF(AND(A4480&lt;&gt;"",OR(Recherche!$C$4="",A4480=Recherche!$C$4),OR(Recherche!$C$5="",B4480&amp;""=Recherche!$C$5&amp;""),OR(Recherche!$C$6="",IFERROR(YEAR(L4480),0)=Recherche!$C$6),OR(Recherche!$C$7="",ISNUMBER(SEARCH(Recherche!$C$7,H4480))),OR(Recherche!$C$8="",J4480=Recherche!$C$8),OR(Recherche!$C$9="",I4480=Recherche!$C$9),OR(Recherche!$C$10="",G4480&amp;""=Recherche!$C$10&amp;""),OR(Recherche!$C$11="",E4480=Recherche!$C$11),OR(Recherche!$C$12="",ISNUMBER(SEARCH(Recherche!$C$12,M4480&amp;" "&amp;F4480)))),1,0)</f>
        <v>8</v>
      </c>
    </row>
    <row r="4481" customFormat="false" ht="15" hidden="false" customHeight="false" outlineLevel="0" collapsed="false">
      <c r="A4481" s="19"/>
      <c r="B4481" s="19"/>
      <c r="C4481" s="19"/>
      <c r="D4481" s="19"/>
      <c r="E4481" s="22"/>
      <c r="F4481" s="19"/>
      <c r="G4481" s="26" t="str">
        <f aca="false">IF(D4481="","",IFERROR(VALUE(LEFT(D4481,FIND(" |",D4481&amp;" |")-1)),"?"))</f>
        <v/>
      </c>
      <c r="H4481" s="27" t="str">
        <f aca="false">IF(G4481="","",IF(G4481="?","⚠ pub inconnue",IFERROR(INDEX(Pubs!$B$2:$B$3001,MATCH(G4481,Pubs!$A$2:$A$3001,0))&amp;"","⚠ pub inconnue")))</f>
        <v/>
      </c>
      <c r="I4481" s="27" t="str">
        <f aca="false">IF(OR(G4481="",G4481="?"),"",IFERROR(INDEX(Pubs!$C$2:$C$3001,MATCH(G4481,Pubs!$A$2:$A$3001,0))&amp;"",""))</f>
        <v/>
      </c>
      <c r="J4481" s="27" t="str">
        <f aca="false">IF(OR(G4481="",G4481="?"),"",IFERROR(INDEX(Pubs!$G$2:$G$3001,MATCH(G4481,Pubs!$A$2:$A$3001,0))&amp;"",""))</f>
        <v/>
      </c>
      <c r="K4481" s="28" t="str">
        <f aca="false">IF(OR(G4481="",G4481="?"),"",IFERROR(INDEX(Pubs!$E$2:$E$3001,MATCH(G4481,Pubs!$A$2:$A$3001,0)),""))</f>
        <v/>
      </c>
      <c r="L4481" s="29" t="str">
        <f aca="false">IF(A4481="","",IFERROR(1/(1/INDEX(Numéros!$C$2:$C$3001,MATCH(A4481&amp;"|"&amp;B4481,Numéros!$F$2:$F$3001,0))),""))</f>
        <v/>
      </c>
      <c r="M4481" s="27" t="str">
        <f aca="false">IF(OR(G4481="",G4481="?"),"",IFERROR(INDEX(Pubs!$D$2:$D$3001,MATCH(G4481,Pubs!$A$2:$A$3001,0))&amp;"",""))</f>
        <v/>
      </c>
      <c r="N4481" s="27" t="n">
        <f aca="false">N(N4480)+IF(AND(A4481&lt;&gt;"",OR(Recherche!$C$4="",A4481=Recherche!$C$4),OR(Recherche!$C$5="",B4481&amp;""=Recherche!$C$5&amp;""),OR(Recherche!$C$6="",IFERROR(YEAR(L4481),0)=Recherche!$C$6),OR(Recherche!$C$7="",ISNUMBER(SEARCH(Recherche!$C$7,H4481))),OR(Recherche!$C$8="",J4481=Recherche!$C$8),OR(Recherche!$C$9="",I4481=Recherche!$C$9),OR(Recherche!$C$10="",G4481&amp;""=Recherche!$C$10&amp;""),OR(Recherche!$C$11="",E4481=Recherche!$C$11),OR(Recherche!$C$12="",ISNUMBER(SEARCH(Recherche!$C$12,M4481&amp;" "&amp;F4481)))),1,0)</f>
        <v>8</v>
      </c>
    </row>
    <row r="4482" customFormat="false" ht="15" hidden="false" customHeight="false" outlineLevel="0" collapsed="false">
      <c r="A4482" s="19"/>
      <c r="B4482" s="19"/>
      <c r="C4482" s="19"/>
      <c r="D4482" s="19"/>
      <c r="E4482" s="22"/>
      <c r="F4482" s="19"/>
      <c r="G4482" s="26" t="str">
        <f aca="false">IF(D4482="","",IFERROR(VALUE(LEFT(D4482,FIND(" |",D4482&amp;" |")-1)),"?"))</f>
        <v/>
      </c>
      <c r="H4482" s="27" t="str">
        <f aca="false">IF(G4482="","",IF(G4482="?","⚠ pub inconnue",IFERROR(INDEX(Pubs!$B$2:$B$3001,MATCH(G4482,Pubs!$A$2:$A$3001,0))&amp;"","⚠ pub inconnue")))</f>
        <v/>
      </c>
      <c r="I4482" s="27" t="str">
        <f aca="false">IF(OR(G4482="",G4482="?"),"",IFERROR(INDEX(Pubs!$C$2:$C$3001,MATCH(G4482,Pubs!$A$2:$A$3001,0))&amp;"",""))</f>
        <v/>
      </c>
      <c r="J4482" s="27" t="str">
        <f aca="false">IF(OR(G4482="",G4482="?"),"",IFERROR(INDEX(Pubs!$G$2:$G$3001,MATCH(G4482,Pubs!$A$2:$A$3001,0))&amp;"",""))</f>
        <v/>
      </c>
      <c r="K4482" s="28" t="str">
        <f aca="false">IF(OR(G4482="",G4482="?"),"",IFERROR(INDEX(Pubs!$E$2:$E$3001,MATCH(G4482,Pubs!$A$2:$A$3001,0)),""))</f>
        <v/>
      </c>
      <c r="L4482" s="29" t="str">
        <f aca="false">IF(A4482="","",IFERROR(1/(1/INDEX(Numéros!$C$2:$C$3001,MATCH(A4482&amp;"|"&amp;B4482,Numéros!$F$2:$F$3001,0))),""))</f>
        <v/>
      </c>
      <c r="M4482" s="27" t="str">
        <f aca="false">IF(OR(G4482="",G4482="?"),"",IFERROR(INDEX(Pubs!$D$2:$D$3001,MATCH(G4482,Pubs!$A$2:$A$3001,0))&amp;"",""))</f>
        <v/>
      </c>
      <c r="N4482" s="27" t="n">
        <f aca="false">N(N4481)+IF(AND(A4482&lt;&gt;"",OR(Recherche!$C$4="",A4482=Recherche!$C$4),OR(Recherche!$C$5="",B4482&amp;""=Recherche!$C$5&amp;""),OR(Recherche!$C$6="",IFERROR(YEAR(L4482),0)=Recherche!$C$6),OR(Recherche!$C$7="",ISNUMBER(SEARCH(Recherche!$C$7,H4482))),OR(Recherche!$C$8="",J4482=Recherche!$C$8),OR(Recherche!$C$9="",I4482=Recherche!$C$9),OR(Recherche!$C$10="",G4482&amp;""=Recherche!$C$10&amp;""),OR(Recherche!$C$11="",E4482=Recherche!$C$11),OR(Recherche!$C$12="",ISNUMBER(SEARCH(Recherche!$C$12,M4482&amp;" "&amp;F4482)))),1,0)</f>
        <v>8</v>
      </c>
    </row>
    <row r="4483" customFormat="false" ht="15" hidden="false" customHeight="false" outlineLevel="0" collapsed="false">
      <c r="A4483" s="19"/>
      <c r="B4483" s="19"/>
      <c r="C4483" s="19"/>
      <c r="D4483" s="19"/>
      <c r="E4483" s="22"/>
      <c r="F4483" s="19"/>
      <c r="G4483" s="26" t="str">
        <f aca="false">IF(D4483="","",IFERROR(VALUE(LEFT(D4483,FIND(" |",D4483&amp;" |")-1)),"?"))</f>
        <v/>
      </c>
      <c r="H4483" s="27" t="str">
        <f aca="false">IF(G4483="","",IF(G4483="?","⚠ pub inconnue",IFERROR(INDEX(Pubs!$B$2:$B$3001,MATCH(G4483,Pubs!$A$2:$A$3001,0))&amp;"","⚠ pub inconnue")))</f>
        <v/>
      </c>
      <c r="I4483" s="27" t="str">
        <f aca="false">IF(OR(G4483="",G4483="?"),"",IFERROR(INDEX(Pubs!$C$2:$C$3001,MATCH(G4483,Pubs!$A$2:$A$3001,0))&amp;"",""))</f>
        <v/>
      </c>
      <c r="J4483" s="27" t="str">
        <f aca="false">IF(OR(G4483="",G4483="?"),"",IFERROR(INDEX(Pubs!$G$2:$G$3001,MATCH(G4483,Pubs!$A$2:$A$3001,0))&amp;"",""))</f>
        <v/>
      </c>
      <c r="K4483" s="28" t="str">
        <f aca="false">IF(OR(G4483="",G4483="?"),"",IFERROR(INDEX(Pubs!$E$2:$E$3001,MATCH(G4483,Pubs!$A$2:$A$3001,0)),""))</f>
        <v/>
      </c>
      <c r="L4483" s="29" t="str">
        <f aca="false">IF(A4483="","",IFERROR(1/(1/INDEX(Numéros!$C$2:$C$3001,MATCH(A4483&amp;"|"&amp;B4483,Numéros!$F$2:$F$3001,0))),""))</f>
        <v/>
      </c>
      <c r="M4483" s="27" t="str">
        <f aca="false">IF(OR(G4483="",G4483="?"),"",IFERROR(INDEX(Pubs!$D$2:$D$3001,MATCH(G4483,Pubs!$A$2:$A$3001,0))&amp;"",""))</f>
        <v/>
      </c>
      <c r="N4483" s="27" t="n">
        <f aca="false">N(N4482)+IF(AND(A4483&lt;&gt;"",OR(Recherche!$C$4="",A4483=Recherche!$C$4),OR(Recherche!$C$5="",B4483&amp;""=Recherche!$C$5&amp;""),OR(Recherche!$C$6="",IFERROR(YEAR(L4483),0)=Recherche!$C$6),OR(Recherche!$C$7="",ISNUMBER(SEARCH(Recherche!$C$7,H4483))),OR(Recherche!$C$8="",J4483=Recherche!$C$8),OR(Recherche!$C$9="",I4483=Recherche!$C$9),OR(Recherche!$C$10="",G4483&amp;""=Recherche!$C$10&amp;""),OR(Recherche!$C$11="",E4483=Recherche!$C$11),OR(Recherche!$C$12="",ISNUMBER(SEARCH(Recherche!$C$12,M4483&amp;" "&amp;F4483)))),1,0)</f>
        <v>8</v>
      </c>
    </row>
    <row r="4484" customFormat="false" ht="15" hidden="false" customHeight="false" outlineLevel="0" collapsed="false">
      <c r="A4484" s="19"/>
      <c r="B4484" s="19"/>
      <c r="C4484" s="19"/>
      <c r="D4484" s="19"/>
      <c r="E4484" s="22"/>
      <c r="F4484" s="19"/>
      <c r="G4484" s="26" t="str">
        <f aca="false">IF(D4484="","",IFERROR(VALUE(LEFT(D4484,FIND(" |",D4484&amp;" |")-1)),"?"))</f>
        <v/>
      </c>
      <c r="H4484" s="27" t="str">
        <f aca="false">IF(G4484="","",IF(G4484="?","⚠ pub inconnue",IFERROR(INDEX(Pubs!$B$2:$B$3001,MATCH(G4484,Pubs!$A$2:$A$3001,0))&amp;"","⚠ pub inconnue")))</f>
        <v/>
      </c>
      <c r="I4484" s="27" t="str">
        <f aca="false">IF(OR(G4484="",G4484="?"),"",IFERROR(INDEX(Pubs!$C$2:$C$3001,MATCH(G4484,Pubs!$A$2:$A$3001,0))&amp;"",""))</f>
        <v/>
      </c>
      <c r="J4484" s="27" t="str">
        <f aca="false">IF(OR(G4484="",G4484="?"),"",IFERROR(INDEX(Pubs!$G$2:$G$3001,MATCH(G4484,Pubs!$A$2:$A$3001,0))&amp;"",""))</f>
        <v/>
      </c>
      <c r="K4484" s="28" t="str">
        <f aca="false">IF(OR(G4484="",G4484="?"),"",IFERROR(INDEX(Pubs!$E$2:$E$3001,MATCH(G4484,Pubs!$A$2:$A$3001,0)),""))</f>
        <v/>
      </c>
      <c r="L4484" s="29" t="str">
        <f aca="false">IF(A4484="","",IFERROR(1/(1/INDEX(Numéros!$C$2:$C$3001,MATCH(A4484&amp;"|"&amp;B4484,Numéros!$F$2:$F$3001,0))),""))</f>
        <v/>
      </c>
      <c r="M4484" s="27" t="str">
        <f aca="false">IF(OR(G4484="",G4484="?"),"",IFERROR(INDEX(Pubs!$D$2:$D$3001,MATCH(G4484,Pubs!$A$2:$A$3001,0))&amp;"",""))</f>
        <v/>
      </c>
      <c r="N4484" s="27" t="n">
        <f aca="false">N(N4483)+IF(AND(A4484&lt;&gt;"",OR(Recherche!$C$4="",A4484=Recherche!$C$4),OR(Recherche!$C$5="",B4484&amp;""=Recherche!$C$5&amp;""),OR(Recherche!$C$6="",IFERROR(YEAR(L4484),0)=Recherche!$C$6),OR(Recherche!$C$7="",ISNUMBER(SEARCH(Recherche!$C$7,H4484))),OR(Recherche!$C$8="",J4484=Recherche!$C$8),OR(Recherche!$C$9="",I4484=Recherche!$C$9),OR(Recherche!$C$10="",G4484&amp;""=Recherche!$C$10&amp;""),OR(Recherche!$C$11="",E4484=Recherche!$C$11),OR(Recherche!$C$12="",ISNUMBER(SEARCH(Recherche!$C$12,M4484&amp;" "&amp;F4484)))),1,0)</f>
        <v>8</v>
      </c>
    </row>
    <row r="4485" customFormat="false" ht="15" hidden="false" customHeight="false" outlineLevel="0" collapsed="false">
      <c r="A4485" s="19"/>
      <c r="B4485" s="19"/>
      <c r="C4485" s="19"/>
      <c r="D4485" s="19"/>
      <c r="E4485" s="22"/>
      <c r="F4485" s="19"/>
      <c r="G4485" s="26" t="str">
        <f aca="false">IF(D4485="","",IFERROR(VALUE(LEFT(D4485,FIND(" |",D4485&amp;" |")-1)),"?"))</f>
        <v/>
      </c>
      <c r="H4485" s="27" t="str">
        <f aca="false">IF(G4485="","",IF(G4485="?","⚠ pub inconnue",IFERROR(INDEX(Pubs!$B$2:$B$3001,MATCH(G4485,Pubs!$A$2:$A$3001,0))&amp;"","⚠ pub inconnue")))</f>
        <v/>
      </c>
      <c r="I4485" s="27" t="str">
        <f aca="false">IF(OR(G4485="",G4485="?"),"",IFERROR(INDEX(Pubs!$C$2:$C$3001,MATCH(G4485,Pubs!$A$2:$A$3001,0))&amp;"",""))</f>
        <v/>
      </c>
      <c r="J4485" s="27" t="str">
        <f aca="false">IF(OR(G4485="",G4485="?"),"",IFERROR(INDEX(Pubs!$G$2:$G$3001,MATCH(G4485,Pubs!$A$2:$A$3001,0))&amp;"",""))</f>
        <v/>
      </c>
      <c r="K4485" s="28" t="str">
        <f aca="false">IF(OR(G4485="",G4485="?"),"",IFERROR(INDEX(Pubs!$E$2:$E$3001,MATCH(G4485,Pubs!$A$2:$A$3001,0)),""))</f>
        <v/>
      </c>
      <c r="L4485" s="29" t="str">
        <f aca="false">IF(A4485="","",IFERROR(1/(1/INDEX(Numéros!$C$2:$C$3001,MATCH(A4485&amp;"|"&amp;B4485,Numéros!$F$2:$F$3001,0))),""))</f>
        <v/>
      </c>
      <c r="M4485" s="27" t="str">
        <f aca="false">IF(OR(G4485="",G4485="?"),"",IFERROR(INDEX(Pubs!$D$2:$D$3001,MATCH(G4485,Pubs!$A$2:$A$3001,0))&amp;"",""))</f>
        <v/>
      </c>
      <c r="N4485" s="27" t="n">
        <f aca="false">N(N4484)+IF(AND(A4485&lt;&gt;"",OR(Recherche!$C$4="",A4485=Recherche!$C$4),OR(Recherche!$C$5="",B4485&amp;""=Recherche!$C$5&amp;""),OR(Recherche!$C$6="",IFERROR(YEAR(L4485),0)=Recherche!$C$6),OR(Recherche!$C$7="",ISNUMBER(SEARCH(Recherche!$C$7,H4485))),OR(Recherche!$C$8="",J4485=Recherche!$C$8),OR(Recherche!$C$9="",I4485=Recherche!$C$9),OR(Recherche!$C$10="",G4485&amp;""=Recherche!$C$10&amp;""),OR(Recherche!$C$11="",E4485=Recherche!$C$11),OR(Recherche!$C$12="",ISNUMBER(SEARCH(Recherche!$C$12,M4485&amp;" "&amp;F4485)))),1,0)</f>
        <v>8</v>
      </c>
    </row>
    <row r="4486" customFormat="false" ht="15" hidden="false" customHeight="false" outlineLevel="0" collapsed="false">
      <c r="A4486" s="19"/>
      <c r="B4486" s="19"/>
      <c r="C4486" s="19"/>
      <c r="D4486" s="19"/>
      <c r="E4486" s="22"/>
      <c r="F4486" s="19"/>
      <c r="G4486" s="26" t="str">
        <f aca="false">IF(D4486="","",IFERROR(VALUE(LEFT(D4486,FIND(" |",D4486&amp;" |")-1)),"?"))</f>
        <v/>
      </c>
      <c r="H4486" s="27" t="str">
        <f aca="false">IF(G4486="","",IF(G4486="?","⚠ pub inconnue",IFERROR(INDEX(Pubs!$B$2:$B$3001,MATCH(G4486,Pubs!$A$2:$A$3001,0))&amp;"","⚠ pub inconnue")))</f>
        <v/>
      </c>
      <c r="I4486" s="27" t="str">
        <f aca="false">IF(OR(G4486="",G4486="?"),"",IFERROR(INDEX(Pubs!$C$2:$C$3001,MATCH(G4486,Pubs!$A$2:$A$3001,0))&amp;"",""))</f>
        <v/>
      </c>
      <c r="J4486" s="27" t="str">
        <f aca="false">IF(OR(G4486="",G4486="?"),"",IFERROR(INDEX(Pubs!$G$2:$G$3001,MATCH(G4486,Pubs!$A$2:$A$3001,0))&amp;"",""))</f>
        <v/>
      </c>
      <c r="K4486" s="28" t="str">
        <f aca="false">IF(OR(G4486="",G4486="?"),"",IFERROR(INDEX(Pubs!$E$2:$E$3001,MATCH(G4486,Pubs!$A$2:$A$3001,0)),""))</f>
        <v/>
      </c>
      <c r="L4486" s="29" t="str">
        <f aca="false">IF(A4486="","",IFERROR(1/(1/INDEX(Numéros!$C$2:$C$3001,MATCH(A4486&amp;"|"&amp;B4486,Numéros!$F$2:$F$3001,0))),""))</f>
        <v/>
      </c>
      <c r="M4486" s="27" t="str">
        <f aca="false">IF(OR(G4486="",G4486="?"),"",IFERROR(INDEX(Pubs!$D$2:$D$3001,MATCH(G4486,Pubs!$A$2:$A$3001,0))&amp;"",""))</f>
        <v/>
      </c>
      <c r="N4486" s="27" t="n">
        <f aca="false">N(N4485)+IF(AND(A4486&lt;&gt;"",OR(Recherche!$C$4="",A4486=Recherche!$C$4),OR(Recherche!$C$5="",B4486&amp;""=Recherche!$C$5&amp;""),OR(Recherche!$C$6="",IFERROR(YEAR(L4486),0)=Recherche!$C$6),OR(Recherche!$C$7="",ISNUMBER(SEARCH(Recherche!$C$7,H4486))),OR(Recherche!$C$8="",J4486=Recherche!$C$8),OR(Recherche!$C$9="",I4486=Recherche!$C$9),OR(Recherche!$C$10="",G4486&amp;""=Recherche!$C$10&amp;""),OR(Recherche!$C$11="",E4486=Recherche!$C$11),OR(Recherche!$C$12="",ISNUMBER(SEARCH(Recherche!$C$12,M4486&amp;" "&amp;F4486)))),1,0)</f>
        <v>8</v>
      </c>
    </row>
    <row r="4487" customFormat="false" ht="15" hidden="false" customHeight="false" outlineLevel="0" collapsed="false">
      <c r="A4487" s="19"/>
      <c r="B4487" s="19"/>
      <c r="C4487" s="19"/>
      <c r="D4487" s="19"/>
      <c r="E4487" s="22"/>
      <c r="F4487" s="19"/>
      <c r="G4487" s="26" t="str">
        <f aca="false">IF(D4487="","",IFERROR(VALUE(LEFT(D4487,FIND(" |",D4487&amp;" |")-1)),"?"))</f>
        <v/>
      </c>
      <c r="H4487" s="27" t="str">
        <f aca="false">IF(G4487="","",IF(G4487="?","⚠ pub inconnue",IFERROR(INDEX(Pubs!$B$2:$B$3001,MATCH(G4487,Pubs!$A$2:$A$3001,0))&amp;"","⚠ pub inconnue")))</f>
        <v/>
      </c>
      <c r="I4487" s="27" t="str">
        <f aca="false">IF(OR(G4487="",G4487="?"),"",IFERROR(INDEX(Pubs!$C$2:$C$3001,MATCH(G4487,Pubs!$A$2:$A$3001,0))&amp;"",""))</f>
        <v/>
      </c>
      <c r="J4487" s="27" t="str">
        <f aca="false">IF(OR(G4487="",G4487="?"),"",IFERROR(INDEX(Pubs!$G$2:$G$3001,MATCH(G4487,Pubs!$A$2:$A$3001,0))&amp;"",""))</f>
        <v/>
      </c>
      <c r="K4487" s="28" t="str">
        <f aca="false">IF(OR(G4487="",G4487="?"),"",IFERROR(INDEX(Pubs!$E$2:$E$3001,MATCH(G4487,Pubs!$A$2:$A$3001,0)),""))</f>
        <v/>
      </c>
      <c r="L4487" s="29" t="str">
        <f aca="false">IF(A4487="","",IFERROR(1/(1/INDEX(Numéros!$C$2:$C$3001,MATCH(A4487&amp;"|"&amp;B4487,Numéros!$F$2:$F$3001,0))),""))</f>
        <v/>
      </c>
      <c r="M4487" s="27" t="str">
        <f aca="false">IF(OR(G4487="",G4487="?"),"",IFERROR(INDEX(Pubs!$D$2:$D$3001,MATCH(G4487,Pubs!$A$2:$A$3001,0))&amp;"",""))</f>
        <v/>
      </c>
      <c r="N4487" s="27" t="n">
        <f aca="false">N(N4486)+IF(AND(A4487&lt;&gt;"",OR(Recherche!$C$4="",A4487=Recherche!$C$4),OR(Recherche!$C$5="",B4487&amp;""=Recherche!$C$5&amp;""),OR(Recherche!$C$6="",IFERROR(YEAR(L4487),0)=Recherche!$C$6),OR(Recherche!$C$7="",ISNUMBER(SEARCH(Recherche!$C$7,H4487))),OR(Recherche!$C$8="",J4487=Recherche!$C$8),OR(Recherche!$C$9="",I4487=Recherche!$C$9),OR(Recherche!$C$10="",G4487&amp;""=Recherche!$C$10&amp;""),OR(Recherche!$C$11="",E4487=Recherche!$C$11),OR(Recherche!$C$12="",ISNUMBER(SEARCH(Recherche!$C$12,M4487&amp;" "&amp;F4487)))),1,0)</f>
        <v>8</v>
      </c>
    </row>
    <row r="4488" customFormat="false" ht="15" hidden="false" customHeight="false" outlineLevel="0" collapsed="false">
      <c r="A4488" s="19"/>
      <c r="B4488" s="19"/>
      <c r="C4488" s="19"/>
      <c r="D4488" s="19"/>
      <c r="E4488" s="22"/>
      <c r="F4488" s="19"/>
      <c r="G4488" s="26" t="str">
        <f aca="false">IF(D4488="","",IFERROR(VALUE(LEFT(D4488,FIND(" |",D4488&amp;" |")-1)),"?"))</f>
        <v/>
      </c>
      <c r="H4488" s="27" t="str">
        <f aca="false">IF(G4488="","",IF(G4488="?","⚠ pub inconnue",IFERROR(INDEX(Pubs!$B$2:$B$3001,MATCH(G4488,Pubs!$A$2:$A$3001,0))&amp;"","⚠ pub inconnue")))</f>
        <v/>
      </c>
      <c r="I4488" s="27" t="str">
        <f aca="false">IF(OR(G4488="",G4488="?"),"",IFERROR(INDEX(Pubs!$C$2:$C$3001,MATCH(G4488,Pubs!$A$2:$A$3001,0))&amp;"",""))</f>
        <v/>
      </c>
      <c r="J4488" s="27" t="str">
        <f aca="false">IF(OR(G4488="",G4488="?"),"",IFERROR(INDEX(Pubs!$G$2:$G$3001,MATCH(G4488,Pubs!$A$2:$A$3001,0))&amp;"",""))</f>
        <v/>
      </c>
      <c r="K4488" s="28" t="str">
        <f aca="false">IF(OR(G4488="",G4488="?"),"",IFERROR(INDEX(Pubs!$E$2:$E$3001,MATCH(G4488,Pubs!$A$2:$A$3001,0)),""))</f>
        <v/>
      </c>
      <c r="L4488" s="29" t="str">
        <f aca="false">IF(A4488="","",IFERROR(1/(1/INDEX(Numéros!$C$2:$C$3001,MATCH(A4488&amp;"|"&amp;B4488,Numéros!$F$2:$F$3001,0))),""))</f>
        <v/>
      </c>
      <c r="M4488" s="27" t="str">
        <f aca="false">IF(OR(G4488="",G4488="?"),"",IFERROR(INDEX(Pubs!$D$2:$D$3001,MATCH(G4488,Pubs!$A$2:$A$3001,0))&amp;"",""))</f>
        <v/>
      </c>
      <c r="N4488" s="27" t="n">
        <f aca="false">N(N4487)+IF(AND(A4488&lt;&gt;"",OR(Recherche!$C$4="",A4488=Recherche!$C$4),OR(Recherche!$C$5="",B4488&amp;""=Recherche!$C$5&amp;""),OR(Recherche!$C$6="",IFERROR(YEAR(L4488),0)=Recherche!$C$6),OR(Recherche!$C$7="",ISNUMBER(SEARCH(Recherche!$C$7,H4488))),OR(Recherche!$C$8="",J4488=Recherche!$C$8),OR(Recherche!$C$9="",I4488=Recherche!$C$9),OR(Recherche!$C$10="",G4488&amp;""=Recherche!$C$10&amp;""),OR(Recherche!$C$11="",E4488=Recherche!$C$11),OR(Recherche!$C$12="",ISNUMBER(SEARCH(Recherche!$C$12,M4488&amp;" "&amp;F4488)))),1,0)</f>
        <v>8</v>
      </c>
    </row>
    <row r="4489" customFormat="false" ht="15" hidden="false" customHeight="false" outlineLevel="0" collapsed="false">
      <c r="A4489" s="19"/>
      <c r="B4489" s="19"/>
      <c r="C4489" s="19"/>
      <c r="D4489" s="19"/>
      <c r="E4489" s="22"/>
      <c r="F4489" s="19"/>
      <c r="G4489" s="26" t="str">
        <f aca="false">IF(D4489="","",IFERROR(VALUE(LEFT(D4489,FIND(" |",D4489&amp;" |")-1)),"?"))</f>
        <v/>
      </c>
      <c r="H4489" s="27" t="str">
        <f aca="false">IF(G4489="","",IF(G4489="?","⚠ pub inconnue",IFERROR(INDEX(Pubs!$B$2:$B$3001,MATCH(G4489,Pubs!$A$2:$A$3001,0))&amp;"","⚠ pub inconnue")))</f>
        <v/>
      </c>
      <c r="I4489" s="27" t="str">
        <f aca="false">IF(OR(G4489="",G4489="?"),"",IFERROR(INDEX(Pubs!$C$2:$C$3001,MATCH(G4489,Pubs!$A$2:$A$3001,0))&amp;"",""))</f>
        <v/>
      </c>
      <c r="J4489" s="27" t="str">
        <f aca="false">IF(OR(G4489="",G4489="?"),"",IFERROR(INDEX(Pubs!$G$2:$G$3001,MATCH(G4489,Pubs!$A$2:$A$3001,0))&amp;"",""))</f>
        <v/>
      </c>
      <c r="K4489" s="28" t="str">
        <f aca="false">IF(OR(G4489="",G4489="?"),"",IFERROR(INDEX(Pubs!$E$2:$E$3001,MATCH(G4489,Pubs!$A$2:$A$3001,0)),""))</f>
        <v/>
      </c>
      <c r="L4489" s="29" t="str">
        <f aca="false">IF(A4489="","",IFERROR(1/(1/INDEX(Numéros!$C$2:$C$3001,MATCH(A4489&amp;"|"&amp;B4489,Numéros!$F$2:$F$3001,0))),""))</f>
        <v/>
      </c>
      <c r="M4489" s="27" t="str">
        <f aca="false">IF(OR(G4489="",G4489="?"),"",IFERROR(INDEX(Pubs!$D$2:$D$3001,MATCH(G4489,Pubs!$A$2:$A$3001,0))&amp;"",""))</f>
        <v/>
      </c>
      <c r="N4489" s="27" t="n">
        <f aca="false">N(N4488)+IF(AND(A4489&lt;&gt;"",OR(Recherche!$C$4="",A4489=Recherche!$C$4),OR(Recherche!$C$5="",B4489&amp;""=Recherche!$C$5&amp;""),OR(Recherche!$C$6="",IFERROR(YEAR(L4489),0)=Recherche!$C$6),OR(Recherche!$C$7="",ISNUMBER(SEARCH(Recherche!$C$7,H4489))),OR(Recherche!$C$8="",J4489=Recherche!$C$8),OR(Recherche!$C$9="",I4489=Recherche!$C$9),OR(Recherche!$C$10="",G4489&amp;""=Recherche!$C$10&amp;""),OR(Recherche!$C$11="",E4489=Recherche!$C$11),OR(Recherche!$C$12="",ISNUMBER(SEARCH(Recherche!$C$12,M4489&amp;" "&amp;F4489)))),1,0)</f>
        <v>8</v>
      </c>
    </row>
    <row r="4490" customFormat="false" ht="15" hidden="false" customHeight="false" outlineLevel="0" collapsed="false">
      <c r="A4490" s="19"/>
      <c r="B4490" s="19"/>
      <c r="C4490" s="19"/>
      <c r="D4490" s="19"/>
      <c r="E4490" s="22"/>
      <c r="F4490" s="19"/>
      <c r="G4490" s="26" t="str">
        <f aca="false">IF(D4490="","",IFERROR(VALUE(LEFT(D4490,FIND(" |",D4490&amp;" |")-1)),"?"))</f>
        <v/>
      </c>
      <c r="H4490" s="27" t="str">
        <f aca="false">IF(G4490="","",IF(G4490="?","⚠ pub inconnue",IFERROR(INDEX(Pubs!$B$2:$B$3001,MATCH(G4490,Pubs!$A$2:$A$3001,0))&amp;"","⚠ pub inconnue")))</f>
        <v/>
      </c>
      <c r="I4490" s="27" t="str">
        <f aca="false">IF(OR(G4490="",G4490="?"),"",IFERROR(INDEX(Pubs!$C$2:$C$3001,MATCH(G4490,Pubs!$A$2:$A$3001,0))&amp;"",""))</f>
        <v/>
      </c>
      <c r="J4490" s="27" t="str">
        <f aca="false">IF(OR(G4490="",G4490="?"),"",IFERROR(INDEX(Pubs!$G$2:$G$3001,MATCH(G4490,Pubs!$A$2:$A$3001,0))&amp;"",""))</f>
        <v/>
      </c>
      <c r="K4490" s="28" t="str">
        <f aca="false">IF(OR(G4490="",G4490="?"),"",IFERROR(INDEX(Pubs!$E$2:$E$3001,MATCH(G4490,Pubs!$A$2:$A$3001,0)),""))</f>
        <v/>
      </c>
      <c r="L4490" s="29" t="str">
        <f aca="false">IF(A4490="","",IFERROR(1/(1/INDEX(Numéros!$C$2:$C$3001,MATCH(A4490&amp;"|"&amp;B4490,Numéros!$F$2:$F$3001,0))),""))</f>
        <v/>
      </c>
      <c r="M4490" s="27" t="str">
        <f aca="false">IF(OR(G4490="",G4490="?"),"",IFERROR(INDEX(Pubs!$D$2:$D$3001,MATCH(G4490,Pubs!$A$2:$A$3001,0))&amp;"",""))</f>
        <v/>
      </c>
      <c r="N4490" s="27" t="n">
        <f aca="false">N(N4489)+IF(AND(A4490&lt;&gt;"",OR(Recherche!$C$4="",A4490=Recherche!$C$4),OR(Recherche!$C$5="",B4490&amp;""=Recherche!$C$5&amp;""),OR(Recherche!$C$6="",IFERROR(YEAR(L4490),0)=Recherche!$C$6),OR(Recherche!$C$7="",ISNUMBER(SEARCH(Recherche!$C$7,H4490))),OR(Recherche!$C$8="",J4490=Recherche!$C$8),OR(Recherche!$C$9="",I4490=Recherche!$C$9),OR(Recherche!$C$10="",G4490&amp;""=Recherche!$C$10&amp;""),OR(Recherche!$C$11="",E4490=Recherche!$C$11),OR(Recherche!$C$12="",ISNUMBER(SEARCH(Recherche!$C$12,M4490&amp;" "&amp;F4490)))),1,0)</f>
        <v>8</v>
      </c>
    </row>
    <row r="4491" customFormat="false" ht="15" hidden="false" customHeight="false" outlineLevel="0" collapsed="false">
      <c r="A4491" s="19"/>
      <c r="B4491" s="19"/>
      <c r="C4491" s="19"/>
      <c r="D4491" s="19"/>
      <c r="E4491" s="22"/>
      <c r="F4491" s="19"/>
      <c r="G4491" s="26" t="str">
        <f aca="false">IF(D4491="","",IFERROR(VALUE(LEFT(D4491,FIND(" |",D4491&amp;" |")-1)),"?"))</f>
        <v/>
      </c>
      <c r="H4491" s="27" t="str">
        <f aca="false">IF(G4491="","",IF(G4491="?","⚠ pub inconnue",IFERROR(INDEX(Pubs!$B$2:$B$3001,MATCH(G4491,Pubs!$A$2:$A$3001,0))&amp;"","⚠ pub inconnue")))</f>
        <v/>
      </c>
      <c r="I4491" s="27" t="str">
        <f aca="false">IF(OR(G4491="",G4491="?"),"",IFERROR(INDEX(Pubs!$C$2:$C$3001,MATCH(G4491,Pubs!$A$2:$A$3001,0))&amp;"",""))</f>
        <v/>
      </c>
      <c r="J4491" s="27" t="str">
        <f aca="false">IF(OR(G4491="",G4491="?"),"",IFERROR(INDEX(Pubs!$G$2:$G$3001,MATCH(G4491,Pubs!$A$2:$A$3001,0))&amp;"",""))</f>
        <v/>
      </c>
      <c r="K4491" s="28" t="str">
        <f aca="false">IF(OR(G4491="",G4491="?"),"",IFERROR(INDEX(Pubs!$E$2:$E$3001,MATCH(G4491,Pubs!$A$2:$A$3001,0)),""))</f>
        <v/>
      </c>
      <c r="L4491" s="29" t="str">
        <f aca="false">IF(A4491="","",IFERROR(1/(1/INDEX(Numéros!$C$2:$C$3001,MATCH(A4491&amp;"|"&amp;B4491,Numéros!$F$2:$F$3001,0))),""))</f>
        <v/>
      </c>
      <c r="M4491" s="27" t="str">
        <f aca="false">IF(OR(G4491="",G4491="?"),"",IFERROR(INDEX(Pubs!$D$2:$D$3001,MATCH(G4491,Pubs!$A$2:$A$3001,0))&amp;"",""))</f>
        <v/>
      </c>
      <c r="N4491" s="27" t="n">
        <f aca="false">N(N4490)+IF(AND(A4491&lt;&gt;"",OR(Recherche!$C$4="",A4491=Recherche!$C$4),OR(Recherche!$C$5="",B4491&amp;""=Recherche!$C$5&amp;""),OR(Recherche!$C$6="",IFERROR(YEAR(L4491),0)=Recherche!$C$6),OR(Recherche!$C$7="",ISNUMBER(SEARCH(Recherche!$C$7,H4491))),OR(Recherche!$C$8="",J4491=Recherche!$C$8),OR(Recherche!$C$9="",I4491=Recherche!$C$9),OR(Recherche!$C$10="",G4491&amp;""=Recherche!$C$10&amp;""),OR(Recherche!$C$11="",E4491=Recherche!$C$11),OR(Recherche!$C$12="",ISNUMBER(SEARCH(Recherche!$C$12,M4491&amp;" "&amp;F4491)))),1,0)</f>
        <v>8</v>
      </c>
    </row>
    <row r="4492" customFormat="false" ht="15" hidden="false" customHeight="false" outlineLevel="0" collapsed="false">
      <c r="A4492" s="19"/>
      <c r="B4492" s="19"/>
      <c r="C4492" s="19"/>
      <c r="D4492" s="19"/>
      <c r="E4492" s="22"/>
      <c r="F4492" s="19"/>
      <c r="G4492" s="26" t="str">
        <f aca="false">IF(D4492="","",IFERROR(VALUE(LEFT(D4492,FIND(" |",D4492&amp;" |")-1)),"?"))</f>
        <v/>
      </c>
      <c r="H4492" s="27" t="str">
        <f aca="false">IF(G4492="","",IF(G4492="?","⚠ pub inconnue",IFERROR(INDEX(Pubs!$B$2:$B$3001,MATCH(G4492,Pubs!$A$2:$A$3001,0))&amp;"","⚠ pub inconnue")))</f>
        <v/>
      </c>
      <c r="I4492" s="27" t="str">
        <f aca="false">IF(OR(G4492="",G4492="?"),"",IFERROR(INDEX(Pubs!$C$2:$C$3001,MATCH(G4492,Pubs!$A$2:$A$3001,0))&amp;"",""))</f>
        <v/>
      </c>
      <c r="J4492" s="27" t="str">
        <f aca="false">IF(OR(G4492="",G4492="?"),"",IFERROR(INDEX(Pubs!$G$2:$G$3001,MATCH(G4492,Pubs!$A$2:$A$3001,0))&amp;"",""))</f>
        <v/>
      </c>
      <c r="K4492" s="28" t="str">
        <f aca="false">IF(OR(G4492="",G4492="?"),"",IFERROR(INDEX(Pubs!$E$2:$E$3001,MATCH(G4492,Pubs!$A$2:$A$3001,0)),""))</f>
        <v/>
      </c>
      <c r="L4492" s="29" t="str">
        <f aca="false">IF(A4492="","",IFERROR(1/(1/INDEX(Numéros!$C$2:$C$3001,MATCH(A4492&amp;"|"&amp;B4492,Numéros!$F$2:$F$3001,0))),""))</f>
        <v/>
      </c>
      <c r="M4492" s="27" t="str">
        <f aca="false">IF(OR(G4492="",G4492="?"),"",IFERROR(INDEX(Pubs!$D$2:$D$3001,MATCH(G4492,Pubs!$A$2:$A$3001,0))&amp;"",""))</f>
        <v/>
      </c>
      <c r="N4492" s="27" t="n">
        <f aca="false">N(N4491)+IF(AND(A4492&lt;&gt;"",OR(Recherche!$C$4="",A4492=Recherche!$C$4),OR(Recherche!$C$5="",B4492&amp;""=Recherche!$C$5&amp;""),OR(Recherche!$C$6="",IFERROR(YEAR(L4492),0)=Recherche!$C$6),OR(Recherche!$C$7="",ISNUMBER(SEARCH(Recherche!$C$7,H4492))),OR(Recherche!$C$8="",J4492=Recherche!$C$8),OR(Recherche!$C$9="",I4492=Recherche!$C$9),OR(Recherche!$C$10="",G4492&amp;""=Recherche!$C$10&amp;""),OR(Recherche!$C$11="",E4492=Recherche!$C$11),OR(Recherche!$C$12="",ISNUMBER(SEARCH(Recherche!$C$12,M4492&amp;" "&amp;F4492)))),1,0)</f>
        <v>8</v>
      </c>
    </row>
    <row r="4493" customFormat="false" ht="15" hidden="false" customHeight="false" outlineLevel="0" collapsed="false">
      <c r="A4493" s="19"/>
      <c r="B4493" s="19"/>
      <c r="C4493" s="19"/>
      <c r="D4493" s="19"/>
      <c r="E4493" s="22"/>
      <c r="F4493" s="19"/>
      <c r="G4493" s="26" t="str">
        <f aca="false">IF(D4493="","",IFERROR(VALUE(LEFT(D4493,FIND(" |",D4493&amp;" |")-1)),"?"))</f>
        <v/>
      </c>
      <c r="H4493" s="27" t="str">
        <f aca="false">IF(G4493="","",IF(G4493="?","⚠ pub inconnue",IFERROR(INDEX(Pubs!$B$2:$B$3001,MATCH(G4493,Pubs!$A$2:$A$3001,0))&amp;"","⚠ pub inconnue")))</f>
        <v/>
      </c>
      <c r="I4493" s="27" t="str">
        <f aca="false">IF(OR(G4493="",G4493="?"),"",IFERROR(INDEX(Pubs!$C$2:$C$3001,MATCH(G4493,Pubs!$A$2:$A$3001,0))&amp;"",""))</f>
        <v/>
      </c>
      <c r="J4493" s="27" t="str">
        <f aca="false">IF(OR(G4493="",G4493="?"),"",IFERROR(INDEX(Pubs!$G$2:$G$3001,MATCH(G4493,Pubs!$A$2:$A$3001,0))&amp;"",""))</f>
        <v/>
      </c>
      <c r="K4493" s="28" t="str">
        <f aca="false">IF(OR(G4493="",G4493="?"),"",IFERROR(INDEX(Pubs!$E$2:$E$3001,MATCH(G4493,Pubs!$A$2:$A$3001,0)),""))</f>
        <v/>
      </c>
      <c r="L4493" s="29" t="str">
        <f aca="false">IF(A4493="","",IFERROR(1/(1/INDEX(Numéros!$C$2:$C$3001,MATCH(A4493&amp;"|"&amp;B4493,Numéros!$F$2:$F$3001,0))),""))</f>
        <v/>
      </c>
      <c r="M4493" s="27" t="str">
        <f aca="false">IF(OR(G4493="",G4493="?"),"",IFERROR(INDEX(Pubs!$D$2:$D$3001,MATCH(G4493,Pubs!$A$2:$A$3001,0))&amp;"",""))</f>
        <v/>
      </c>
      <c r="N4493" s="27" t="n">
        <f aca="false">N(N4492)+IF(AND(A4493&lt;&gt;"",OR(Recherche!$C$4="",A4493=Recherche!$C$4),OR(Recherche!$C$5="",B4493&amp;""=Recherche!$C$5&amp;""),OR(Recherche!$C$6="",IFERROR(YEAR(L4493),0)=Recherche!$C$6),OR(Recherche!$C$7="",ISNUMBER(SEARCH(Recherche!$C$7,H4493))),OR(Recherche!$C$8="",J4493=Recherche!$C$8),OR(Recherche!$C$9="",I4493=Recherche!$C$9),OR(Recherche!$C$10="",G4493&amp;""=Recherche!$C$10&amp;""),OR(Recherche!$C$11="",E4493=Recherche!$C$11),OR(Recherche!$C$12="",ISNUMBER(SEARCH(Recherche!$C$12,M4493&amp;" "&amp;F4493)))),1,0)</f>
        <v>8</v>
      </c>
    </row>
    <row r="4494" customFormat="false" ht="15" hidden="false" customHeight="false" outlineLevel="0" collapsed="false">
      <c r="A4494" s="19"/>
      <c r="B4494" s="19"/>
      <c r="C4494" s="19"/>
      <c r="D4494" s="19"/>
      <c r="E4494" s="22"/>
      <c r="F4494" s="19"/>
      <c r="G4494" s="26" t="str">
        <f aca="false">IF(D4494="","",IFERROR(VALUE(LEFT(D4494,FIND(" |",D4494&amp;" |")-1)),"?"))</f>
        <v/>
      </c>
      <c r="H4494" s="27" t="str">
        <f aca="false">IF(G4494="","",IF(G4494="?","⚠ pub inconnue",IFERROR(INDEX(Pubs!$B$2:$B$3001,MATCH(G4494,Pubs!$A$2:$A$3001,0))&amp;"","⚠ pub inconnue")))</f>
        <v/>
      </c>
      <c r="I4494" s="27" t="str">
        <f aca="false">IF(OR(G4494="",G4494="?"),"",IFERROR(INDEX(Pubs!$C$2:$C$3001,MATCH(G4494,Pubs!$A$2:$A$3001,0))&amp;"",""))</f>
        <v/>
      </c>
      <c r="J4494" s="27" t="str">
        <f aca="false">IF(OR(G4494="",G4494="?"),"",IFERROR(INDEX(Pubs!$G$2:$G$3001,MATCH(G4494,Pubs!$A$2:$A$3001,0))&amp;"",""))</f>
        <v/>
      </c>
      <c r="K4494" s="28" t="str">
        <f aca="false">IF(OR(G4494="",G4494="?"),"",IFERROR(INDEX(Pubs!$E$2:$E$3001,MATCH(G4494,Pubs!$A$2:$A$3001,0)),""))</f>
        <v/>
      </c>
      <c r="L4494" s="29" t="str">
        <f aca="false">IF(A4494="","",IFERROR(1/(1/INDEX(Numéros!$C$2:$C$3001,MATCH(A4494&amp;"|"&amp;B4494,Numéros!$F$2:$F$3001,0))),""))</f>
        <v/>
      </c>
      <c r="M4494" s="27" t="str">
        <f aca="false">IF(OR(G4494="",G4494="?"),"",IFERROR(INDEX(Pubs!$D$2:$D$3001,MATCH(G4494,Pubs!$A$2:$A$3001,0))&amp;"",""))</f>
        <v/>
      </c>
      <c r="N4494" s="27" t="n">
        <f aca="false">N(N4493)+IF(AND(A4494&lt;&gt;"",OR(Recherche!$C$4="",A4494=Recherche!$C$4),OR(Recherche!$C$5="",B4494&amp;""=Recherche!$C$5&amp;""),OR(Recherche!$C$6="",IFERROR(YEAR(L4494),0)=Recherche!$C$6),OR(Recherche!$C$7="",ISNUMBER(SEARCH(Recherche!$C$7,H4494))),OR(Recherche!$C$8="",J4494=Recherche!$C$8),OR(Recherche!$C$9="",I4494=Recherche!$C$9),OR(Recherche!$C$10="",G4494&amp;""=Recherche!$C$10&amp;""),OR(Recherche!$C$11="",E4494=Recherche!$C$11),OR(Recherche!$C$12="",ISNUMBER(SEARCH(Recherche!$C$12,M4494&amp;" "&amp;F4494)))),1,0)</f>
        <v>8</v>
      </c>
    </row>
    <row r="4495" customFormat="false" ht="15" hidden="false" customHeight="false" outlineLevel="0" collapsed="false">
      <c r="A4495" s="19"/>
      <c r="B4495" s="19"/>
      <c r="C4495" s="19"/>
      <c r="D4495" s="19"/>
      <c r="E4495" s="22"/>
      <c r="F4495" s="19"/>
      <c r="G4495" s="26" t="str">
        <f aca="false">IF(D4495="","",IFERROR(VALUE(LEFT(D4495,FIND(" |",D4495&amp;" |")-1)),"?"))</f>
        <v/>
      </c>
      <c r="H4495" s="27" t="str">
        <f aca="false">IF(G4495="","",IF(G4495="?","⚠ pub inconnue",IFERROR(INDEX(Pubs!$B$2:$B$3001,MATCH(G4495,Pubs!$A$2:$A$3001,0))&amp;"","⚠ pub inconnue")))</f>
        <v/>
      </c>
      <c r="I4495" s="27" t="str">
        <f aca="false">IF(OR(G4495="",G4495="?"),"",IFERROR(INDEX(Pubs!$C$2:$C$3001,MATCH(G4495,Pubs!$A$2:$A$3001,0))&amp;"",""))</f>
        <v/>
      </c>
      <c r="J4495" s="27" t="str">
        <f aca="false">IF(OR(G4495="",G4495="?"),"",IFERROR(INDEX(Pubs!$G$2:$G$3001,MATCH(G4495,Pubs!$A$2:$A$3001,0))&amp;"",""))</f>
        <v/>
      </c>
      <c r="K4495" s="28" t="str">
        <f aca="false">IF(OR(G4495="",G4495="?"),"",IFERROR(INDEX(Pubs!$E$2:$E$3001,MATCH(G4495,Pubs!$A$2:$A$3001,0)),""))</f>
        <v/>
      </c>
      <c r="L4495" s="29" t="str">
        <f aca="false">IF(A4495="","",IFERROR(1/(1/INDEX(Numéros!$C$2:$C$3001,MATCH(A4495&amp;"|"&amp;B4495,Numéros!$F$2:$F$3001,0))),""))</f>
        <v/>
      </c>
      <c r="M4495" s="27" t="str">
        <f aca="false">IF(OR(G4495="",G4495="?"),"",IFERROR(INDEX(Pubs!$D$2:$D$3001,MATCH(G4495,Pubs!$A$2:$A$3001,0))&amp;"",""))</f>
        <v/>
      </c>
      <c r="N4495" s="27" t="n">
        <f aca="false">N(N4494)+IF(AND(A4495&lt;&gt;"",OR(Recherche!$C$4="",A4495=Recherche!$C$4),OR(Recherche!$C$5="",B4495&amp;""=Recherche!$C$5&amp;""),OR(Recherche!$C$6="",IFERROR(YEAR(L4495),0)=Recherche!$C$6),OR(Recherche!$C$7="",ISNUMBER(SEARCH(Recherche!$C$7,H4495))),OR(Recherche!$C$8="",J4495=Recherche!$C$8),OR(Recherche!$C$9="",I4495=Recherche!$C$9),OR(Recherche!$C$10="",G4495&amp;""=Recherche!$C$10&amp;""),OR(Recherche!$C$11="",E4495=Recherche!$C$11),OR(Recherche!$C$12="",ISNUMBER(SEARCH(Recherche!$C$12,M4495&amp;" "&amp;F4495)))),1,0)</f>
        <v>8</v>
      </c>
    </row>
    <row r="4496" customFormat="false" ht="15" hidden="false" customHeight="false" outlineLevel="0" collapsed="false">
      <c r="A4496" s="19"/>
      <c r="B4496" s="19"/>
      <c r="C4496" s="19"/>
      <c r="D4496" s="19"/>
      <c r="E4496" s="22"/>
      <c r="F4496" s="19"/>
      <c r="G4496" s="26" t="str">
        <f aca="false">IF(D4496="","",IFERROR(VALUE(LEFT(D4496,FIND(" |",D4496&amp;" |")-1)),"?"))</f>
        <v/>
      </c>
      <c r="H4496" s="27" t="str">
        <f aca="false">IF(G4496="","",IF(G4496="?","⚠ pub inconnue",IFERROR(INDEX(Pubs!$B$2:$B$3001,MATCH(G4496,Pubs!$A$2:$A$3001,0))&amp;"","⚠ pub inconnue")))</f>
        <v/>
      </c>
      <c r="I4496" s="27" t="str">
        <f aca="false">IF(OR(G4496="",G4496="?"),"",IFERROR(INDEX(Pubs!$C$2:$C$3001,MATCH(G4496,Pubs!$A$2:$A$3001,0))&amp;"",""))</f>
        <v/>
      </c>
      <c r="J4496" s="27" t="str">
        <f aca="false">IF(OR(G4496="",G4496="?"),"",IFERROR(INDEX(Pubs!$G$2:$G$3001,MATCH(G4496,Pubs!$A$2:$A$3001,0))&amp;"",""))</f>
        <v/>
      </c>
      <c r="K4496" s="28" t="str">
        <f aca="false">IF(OR(G4496="",G4496="?"),"",IFERROR(INDEX(Pubs!$E$2:$E$3001,MATCH(G4496,Pubs!$A$2:$A$3001,0)),""))</f>
        <v/>
      </c>
      <c r="L4496" s="29" t="str">
        <f aca="false">IF(A4496="","",IFERROR(1/(1/INDEX(Numéros!$C$2:$C$3001,MATCH(A4496&amp;"|"&amp;B4496,Numéros!$F$2:$F$3001,0))),""))</f>
        <v/>
      </c>
      <c r="M4496" s="27" t="str">
        <f aca="false">IF(OR(G4496="",G4496="?"),"",IFERROR(INDEX(Pubs!$D$2:$D$3001,MATCH(G4496,Pubs!$A$2:$A$3001,0))&amp;"",""))</f>
        <v/>
      </c>
      <c r="N4496" s="27" t="n">
        <f aca="false">N(N4495)+IF(AND(A4496&lt;&gt;"",OR(Recherche!$C$4="",A4496=Recherche!$C$4),OR(Recherche!$C$5="",B4496&amp;""=Recherche!$C$5&amp;""),OR(Recherche!$C$6="",IFERROR(YEAR(L4496),0)=Recherche!$C$6),OR(Recherche!$C$7="",ISNUMBER(SEARCH(Recherche!$C$7,H4496))),OR(Recherche!$C$8="",J4496=Recherche!$C$8),OR(Recherche!$C$9="",I4496=Recherche!$C$9),OR(Recherche!$C$10="",G4496&amp;""=Recherche!$C$10&amp;""),OR(Recherche!$C$11="",E4496=Recherche!$C$11),OR(Recherche!$C$12="",ISNUMBER(SEARCH(Recherche!$C$12,M4496&amp;" "&amp;F4496)))),1,0)</f>
        <v>8</v>
      </c>
    </row>
    <row r="4497" customFormat="false" ht="15" hidden="false" customHeight="false" outlineLevel="0" collapsed="false">
      <c r="A4497" s="19"/>
      <c r="B4497" s="19"/>
      <c r="C4497" s="19"/>
      <c r="D4497" s="19"/>
      <c r="E4497" s="22"/>
      <c r="F4497" s="19"/>
      <c r="G4497" s="26" t="str">
        <f aca="false">IF(D4497="","",IFERROR(VALUE(LEFT(D4497,FIND(" |",D4497&amp;" |")-1)),"?"))</f>
        <v/>
      </c>
      <c r="H4497" s="27" t="str">
        <f aca="false">IF(G4497="","",IF(G4497="?","⚠ pub inconnue",IFERROR(INDEX(Pubs!$B$2:$B$3001,MATCH(G4497,Pubs!$A$2:$A$3001,0))&amp;"","⚠ pub inconnue")))</f>
        <v/>
      </c>
      <c r="I4497" s="27" t="str">
        <f aca="false">IF(OR(G4497="",G4497="?"),"",IFERROR(INDEX(Pubs!$C$2:$C$3001,MATCH(G4497,Pubs!$A$2:$A$3001,0))&amp;"",""))</f>
        <v/>
      </c>
      <c r="J4497" s="27" t="str">
        <f aca="false">IF(OR(G4497="",G4497="?"),"",IFERROR(INDEX(Pubs!$G$2:$G$3001,MATCH(G4497,Pubs!$A$2:$A$3001,0))&amp;"",""))</f>
        <v/>
      </c>
      <c r="K4497" s="28" t="str">
        <f aca="false">IF(OR(G4497="",G4497="?"),"",IFERROR(INDEX(Pubs!$E$2:$E$3001,MATCH(G4497,Pubs!$A$2:$A$3001,0)),""))</f>
        <v/>
      </c>
      <c r="L4497" s="29" t="str">
        <f aca="false">IF(A4497="","",IFERROR(1/(1/INDEX(Numéros!$C$2:$C$3001,MATCH(A4497&amp;"|"&amp;B4497,Numéros!$F$2:$F$3001,0))),""))</f>
        <v/>
      </c>
      <c r="M4497" s="27" t="str">
        <f aca="false">IF(OR(G4497="",G4497="?"),"",IFERROR(INDEX(Pubs!$D$2:$D$3001,MATCH(G4497,Pubs!$A$2:$A$3001,0))&amp;"",""))</f>
        <v/>
      </c>
      <c r="N4497" s="27" t="n">
        <f aca="false">N(N4496)+IF(AND(A4497&lt;&gt;"",OR(Recherche!$C$4="",A4497=Recherche!$C$4),OR(Recherche!$C$5="",B4497&amp;""=Recherche!$C$5&amp;""),OR(Recherche!$C$6="",IFERROR(YEAR(L4497),0)=Recherche!$C$6),OR(Recherche!$C$7="",ISNUMBER(SEARCH(Recherche!$C$7,H4497))),OR(Recherche!$C$8="",J4497=Recherche!$C$8),OR(Recherche!$C$9="",I4497=Recherche!$C$9),OR(Recherche!$C$10="",G4497&amp;""=Recherche!$C$10&amp;""),OR(Recherche!$C$11="",E4497=Recherche!$C$11),OR(Recherche!$C$12="",ISNUMBER(SEARCH(Recherche!$C$12,M4497&amp;" "&amp;F4497)))),1,0)</f>
        <v>8</v>
      </c>
    </row>
    <row r="4498" customFormat="false" ht="15" hidden="false" customHeight="false" outlineLevel="0" collapsed="false">
      <c r="A4498" s="19"/>
      <c r="B4498" s="19"/>
      <c r="C4498" s="19"/>
      <c r="D4498" s="19"/>
      <c r="E4498" s="22"/>
      <c r="F4498" s="19"/>
      <c r="G4498" s="26" t="str">
        <f aca="false">IF(D4498="","",IFERROR(VALUE(LEFT(D4498,FIND(" |",D4498&amp;" |")-1)),"?"))</f>
        <v/>
      </c>
      <c r="H4498" s="27" t="str">
        <f aca="false">IF(G4498="","",IF(G4498="?","⚠ pub inconnue",IFERROR(INDEX(Pubs!$B$2:$B$3001,MATCH(G4498,Pubs!$A$2:$A$3001,0))&amp;"","⚠ pub inconnue")))</f>
        <v/>
      </c>
      <c r="I4498" s="27" t="str">
        <f aca="false">IF(OR(G4498="",G4498="?"),"",IFERROR(INDEX(Pubs!$C$2:$C$3001,MATCH(G4498,Pubs!$A$2:$A$3001,0))&amp;"",""))</f>
        <v/>
      </c>
      <c r="J4498" s="27" t="str">
        <f aca="false">IF(OR(G4498="",G4498="?"),"",IFERROR(INDEX(Pubs!$G$2:$G$3001,MATCH(G4498,Pubs!$A$2:$A$3001,0))&amp;"",""))</f>
        <v/>
      </c>
      <c r="K4498" s="28" t="str">
        <f aca="false">IF(OR(G4498="",G4498="?"),"",IFERROR(INDEX(Pubs!$E$2:$E$3001,MATCH(G4498,Pubs!$A$2:$A$3001,0)),""))</f>
        <v/>
      </c>
      <c r="L4498" s="29" t="str">
        <f aca="false">IF(A4498="","",IFERROR(1/(1/INDEX(Numéros!$C$2:$C$3001,MATCH(A4498&amp;"|"&amp;B4498,Numéros!$F$2:$F$3001,0))),""))</f>
        <v/>
      </c>
      <c r="M4498" s="27" t="str">
        <f aca="false">IF(OR(G4498="",G4498="?"),"",IFERROR(INDEX(Pubs!$D$2:$D$3001,MATCH(G4498,Pubs!$A$2:$A$3001,0))&amp;"",""))</f>
        <v/>
      </c>
      <c r="N4498" s="27" t="n">
        <f aca="false">N(N4497)+IF(AND(A4498&lt;&gt;"",OR(Recherche!$C$4="",A4498=Recherche!$C$4),OR(Recherche!$C$5="",B4498&amp;""=Recherche!$C$5&amp;""),OR(Recherche!$C$6="",IFERROR(YEAR(L4498),0)=Recherche!$C$6),OR(Recherche!$C$7="",ISNUMBER(SEARCH(Recherche!$C$7,H4498))),OR(Recherche!$C$8="",J4498=Recherche!$C$8),OR(Recherche!$C$9="",I4498=Recherche!$C$9),OR(Recherche!$C$10="",G4498&amp;""=Recherche!$C$10&amp;""),OR(Recherche!$C$11="",E4498=Recherche!$C$11),OR(Recherche!$C$12="",ISNUMBER(SEARCH(Recherche!$C$12,M4498&amp;" "&amp;F4498)))),1,0)</f>
        <v>8</v>
      </c>
    </row>
    <row r="4499" customFormat="false" ht="15" hidden="false" customHeight="false" outlineLevel="0" collapsed="false">
      <c r="A4499" s="19"/>
      <c r="B4499" s="19"/>
      <c r="C4499" s="19"/>
      <c r="D4499" s="19"/>
      <c r="E4499" s="22"/>
      <c r="F4499" s="19"/>
      <c r="G4499" s="26" t="str">
        <f aca="false">IF(D4499="","",IFERROR(VALUE(LEFT(D4499,FIND(" |",D4499&amp;" |")-1)),"?"))</f>
        <v/>
      </c>
      <c r="H4499" s="27" t="str">
        <f aca="false">IF(G4499="","",IF(G4499="?","⚠ pub inconnue",IFERROR(INDEX(Pubs!$B$2:$B$3001,MATCH(G4499,Pubs!$A$2:$A$3001,0))&amp;"","⚠ pub inconnue")))</f>
        <v/>
      </c>
      <c r="I4499" s="27" t="str">
        <f aca="false">IF(OR(G4499="",G4499="?"),"",IFERROR(INDEX(Pubs!$C$2:$C$3001,MATCH(G4499,Pubs!$A$2:$A$3001,0))&amp;"",""))</f>
        <v/>
      </c>
      <c r="J4499" s="27" t="str">
        <f aca="false">IF(OR(G4499="",G4499="?"),"",IFERROR(INDEX(Pubs!$G$2:$G$3001,MATCH(G4499,Pubs!$A$2:$A$3001,0))&amp;"",""))</f>
        <v/>
      </c>
      <c r="K4499" s="28" t="str">
        <f aca="false">IF(OR(G4499="",G4499="?"),"",IFERROR(INDEX(Pubs!$E$2:$E$3001,MATCH(G4499,Pubs!$A$2:$A$3001,0)),""))</f>
        <v/>
      </c>
      <c r="L4499" s="29" t="str">
        <f aca="false">IF(A4499="","",IFERROR(1/(1/INDEX(Numéros!$C$2:$C$3001,MATCH(A4499&amp;"|"&amp;B4499,Numéros!$F$2:$F$3001,0))),""))</f>
        <v/>
      </c>
      <c r="M4499" s="27" t="str">
        <f aca="false">IF(OR(G4499="",G4499="?"),"",IFERROR(INDEX(Pubs!$D$2:$D$3001,MATCH(G4499,Pubs!$A$2:$A$3001,0))&amp;"",""))</f>
        <v/>
      </c>
      <c r="N4499" s="27" t="n">
        <f aca="false">N(N4498)+IF(AND(A4499&lt;&gt;"",OR(Recherche!$C$4="",A4499=Recherche!$C$4),OR(Recherche!$C$5="",B4499&amp;""=Recherche!$C$5&amp;""),OR(Recherche!$C$6="",IFERROR(YEAR(L4499),0)=Recherche!$C$6),OR(Recherche!$C$7="",ISNUMBER(SEARCH(Recherche!$C$7,H4499))),OR(Recherche!$C$8="",J4499=Recherche!$C$8),OR(Recherche!$C$9="",I4499=Recherche!$C$9),OR(Recherche!$C$10="",G4499&amp;""=Recherche!$C$10&amp;""),OR(Recherche!$C$11="",E4499=Recherche!$C$11),OR(Recherche!$C$12="",ISNUMBER(SEARCH(Recherche!$C$12,M4499&amp;" "&amp;F4499)))),1,0)</f>
        <v>8</v>
      </c>
    </row>
    <row r="4500" customFormat="false" ht="15" hidden="false" customHeight="false" outlineLevel="0" collapsed="false">
      <c r="A4500" s="19"/>
      <c r="B4500" s="19"/>
      <c r="C4500" s="19"/>
      <c r="D4500" s="19"/>
      <c r="E4500" s="22"/>
      <c r="F4500" s="19"/>
      <c r="G4500" s="26" t="str">
        <f aca="false">IF(D4500="","",IFERROR(VALUE(LEFT(D4500,FIND(" |",D4500&amp;" |")-1)),"?"))</f>
        <v/>
      </c>
      <c r="H4500" s="27" t="str">
        <f aca="false">IF(G4500="","",IF(G4500="?","⚠ pub inconnue",IFERROR(INDEX(Pubs!$B$2:$B$3001,MATCH(G4500,Pubs!$A$2:$A$3001,0))&amp;"","⚠ pub inconnue")))</f>
        <v/>
      </c>
      <c r="I4500" s="27" t="str">
        <f aca="false">IF(OR(G4500="",G4500="?"),"",IFERROR(INDEX(Pubs!$C$2:$C$3001,MATCH(G4500,Pubs!$A$2:$A$3001,0))&amp;"",""))</f>
        <v/>
      </c>
      <c r="J4500" s="27" t="str">
        <f aca="false">IF(OR(G4500="",G4500="?"),"",IFERROR(INDEX(Pubs!$G$2:$G$3001,MATCH(G4500,Pubs!$A$2:$A$3001,0))&amp;"",""))</f>
        <v/>
      </c>
      <c r="K4500" s="28" t="str">
        <f aca="false">IF(OR(G4500="",G4500="?"),"",IFERROR(INDEX(Pubs!$E$2:$E$3001,MATCH(G4500,Pubs!$A$2:$A$3001,0)),""))</f>
        <v/>
      </c>
      <c r="L4500" s="29" t="str">
        <f aca="false">IF(A4500="","",IFERROR(1/(1/INDEX(Numéros!$C$2:$C$3001,MATCH(A4500&amp;"|"&amp;B4500,Numéros!$F$2:$F$3001,0))),""))</f>
        <v/>
      </c>
      <c r="M4500" s="27" t="str">
        <f aca="false">IF(OR(G4500="",G4500="?"),"",IFERROR(INDEX(Pubs!$D$2:$D$3001,MATCH(G4500,Pubs!$A$2:$A$3001,0))&amp;"",""))</f>
        <v/>
      </c>
      <c r="N4500" s="27" t="n">
        <f aca="false">N(N4499)+IF(AND(A4500&lt;&gt;"",OR(Recherche!$C$4="",A4500=Recherche!$C$4),OR(Recherche!$C$5="",B4500&amp;""=Recherche!$C$5&amp;""),OR(Recherche!$C$6="",IFERROR(YEAR(L4500),0)=Recherche!$C$6),OR(Recherche!$C$7="",ISNUMBER(SEARCH(Recherche!$C$7,H4500))),OR(Recherche!$C$8="",J4500=Recherche!$C$8),OR(Recherche!$C$9="",I4500=Recherche!$C$9),OR(Recherche!$C$10="",G4500&amp;""=Recherche!$C$10&amp;""),OR(Recherche!$C$11="",E4500=Recherche!$C$11),OR(Recherche!$C$12="",ISNUMBER(SEARCH(Recherche!$C$12,M4500&amp;" "&amp;F4500)))),1,0)</f>
        <v>8</v>
      </c>
    </row>
    <row r="4501" customFormat="false" ht="15" hidden="false" customHeight="false" outlineLevel="0" collapsed="false">
      <c r="A4501" s="19"/>
      <c r="B4501" s="19"/>
      <c r="C4501" s="19"/>
      <c r="D4501" s="19"/>
      <c r="E4501" s="22"/>
      <c r="F4501" s="19"/>
      <c r="G4501" s="26" t="str">
        <f aca="false">IF(D4501="","",IFERROR(VALUE(LEFT(D4501,FIND(" |",D4501&amp;" |")-1)),"?"))</f>
        <v/>
      </c>
      <c r="H4501" s="27" t="str">
        <f aca="false">IF(G4501="","",IF(G4501="?","⚠ pub inconnue",IFERROR(INDEX(Pubs!$B$2:$B$3001,MATCH(G4501,Pubs!$A$2:$A$3001,0))&amp;"","⚠ pub inconnue")))</f>
        <v/>
      </c>
      <c r="I4501" s="27" t="str">
        <f aca="false">IF(OR(G4501="",G4501="?"),"",IFERROR(INDEX(Pubs!$C$2:$C$3001,MATCH(G4501,Pubs!$A$2:$A$3001,0))&amp;"",""))</f>
        <v/>
      </c>
      <c r="J4501" s="27" t="str">
        <f aca="false">IF(OR(G4501="",G4501="?"),"",IFERROR(INDEX(Pubs!$G$2:$G$3001,MATCH(G4501,Pubs!$A$2:$A$3001,0))&amp;"",""))</f>
        <v/>
      </c>
      <c r="K4501" s="28" t="str">
        <f aca="false">IF(OR(G4501="",G4501="?"),"",IFERROR(INDEX(Pubs!$E$2:$E$3001,MATCH(G4501,Pubs!$A$2:$A$3001,0)),""))</f>
        <v/>
      </c>
      <c r="L4501" s="29" t="str">
        <f aca="false">IF(A4501="","",IFERROR(1/(1/INDEX(Numéros!$C$2:$C$3001,MATCH(A4501&amp;"|"&amp;B4501,Numéros!$F$2:$F$3001,0))),""))</f>
        <v/>
      </c>
      <c r="M4501" s="27" t="str">
        <f aca="false">IF(OR(G4501="",G4501="?"),"",IFERROR(INDEX(Pubs!$D$2:$D$3001,MATCH(G4501,Pubs!$A$2:$A$3001,0))&amp;"",""))</f>
        <v/>
      </c>
      <c r="N4501" s="27" t="n">
        <f aca="false">N(N4500)+IF(AND(A4501&lt;&gt;"",OR(Recherche!$C$4="",A4501=Recherche!$C$4),OR(Recherche!$C$5="",B4501&amp;""=Recherche!$C$5&amp;""),OR(Recherche!$C$6="",IFERROR(YEAR(L4501),0)=Recherche!$C$6),OR(Recherche!$C$7="",ISNUMBER(SEARCH(Recherche!$C$7,H4501))),OR(Recherche!$C$8="",J4501=Recherche!$C$8),OR(Recherche!$C$9="",I4501=Recherche!$C$9),OR(Recherche!$C$10="",G4501&amp;""=Recherche!$C$10&amp;""),OR(Recherche!$C$11="",E4501=Recherche!$C$11),OR(Recherche!$C$12="",ISNUMBER(SEARCH(Recherche!$C$12,M4501&amp;" "&amp;F4501)))),1,0)</f>
        <v>8</v>
      </c>
    </row>
    <row r="4502" customFormat="false" ht="15" hidden="false" customHeight="false" outlineLevel="0" collapsed="false">
      <c r="A4502" s="19"/>
      <c r="B4502" s="19"/>
      <c r="C4502" s="19"/>
      <c r="D4502" s="19"/>
      <c r="E4502" s="22"/>
      <c r="F4502" s="19"/>
      <c r="G4502" s="26" t="str">
        <f aca="false">IF(D4502="","",IFERROR(VALUE(LEFT(D4502,FIND(" |",D4502&amp;" |")-1)),"?"))</f>
        <v/>
      </c>
      <c r="H4502" s="27" t="str">
        <f aca="false">IF(G4502="","",IF(G4502="?","⚠ pub inconnue",IFERROR(INDEX(Pubs!$B$2:$B$3001,MATCH(G4502,Pubs!$A$2:$A$3001,0))&amp;"","⚠ pub inconnue")))</f>
        <v/>
      </c>
      <c r="I4502" s="27" t="str">
        <f aca="false">IF(OR(G4502="",G4502="?"),"",IFERROR(INDEX(Pubs!$C$2:$C$3001,MATCH(G4502,Pubs!$A$2:$A$3001,0))&amp;"",""))</f>
        <v/>
      </c>
      <c r="J4502" s="27" t="str">
        <f aca="false">IF(OR(G4502="",G4502="?"),"",IFERROR(INDEX(Pubs!$G$2:$G$3001,MATCH(G4502,Pubs!$A$2:$A$3001,0))&amp;"",""))</f>
        <v/>
      </c>
      <c r="K4502" s="28" t="str">
        <f aca="false">IF(OR(G4502="",G4502="?"),"",IFERROR(INDEX(Pubs!$E$2:$E$3001,MATCH(G4502,Pubs!$A$2:$A$3001,0)),""))</f>
        <v/>
      </c>
      <c r="L4502" s="29" t="str">
        <f aca="false">IF(A4502="","",IFERROR(1/(1/INDEX(Numéros!$C$2:$C$3001,MATCH(A4502&amp;"|"&amp;B4502,Numéros!$F$2:$F$3001,0))),""))</f>
        <v/>
      </c>
      <c r="M4502" s="27" t="str">
        <f aca="false">IF(OR(G4502="",G4502="?"),"",IFERROR(INDEX(Pubs!$D$2:$D$3001,MATCH(G4502,Pubs!$A$2:$A$3001,0))&amp;"",""))</f>
        <v/>
      </c>
      <c r="N4502" s="27" t="n">
        <f aca="false">N(N4501)+IF(AND(A4502&lt;&gt;"",OR(Recherche!$C$4="",A4502=Recherche!$C$4),OR(Recherche!$C$5="",B4502&amp;""=Recherche!$C$5&amp;""),OR(Recherche!$C$6="",IFERROR(YEAR(L4502),0)=Recherche!$C$6),OR(Recherche!$C$7="",ISNUMBER(SEARCH(Recherche!$C$7,H4502))),OR(Recherche!$C$8="",J4502=Recherche!$C$8),OR(Recherche!$C$9="",I4502=Recherche!$C$9),OR(Recherche!$C$10="",G4502&amp;""=Recherche!$C$10&amp;""),OR(Recherche!$C$11="",E4502=Recherche!$C$11),OR(Recherche!$C$12="",ISNUMBER(SEARCH(Recherche!$C$12,M4502&amp;" "&amp;F4502)))),1,0)</f>
        <v>8</v>
      </c>
    </row>
    <row r="4503" customFormat="false" ht="15" hidden="false" customHeight="false" outlineLevel="0" collapsed="false">
      <c r="A4503" s="19"/>
      <c r="B4503" s="19"/>
      <c r="C4503" s="19"/>
      <c r="D4503" s="19"/>
      <c r="E4503" s="22"/>
      <c r="F4503" s="19"/>
      <c r="G4503" s="26" t="str">
        <f aca="false">IF(D4503="","",IFERROR(VALUE(LEFT(D4503,FIND(" |",D4503&amp;" |")-1)),"?"))</f>
        <v/>
      </c>
      <c r="H4503" s="27" t="str">
        <f aca="false">IF(G4503="","",IF(G4503="?","⚠ pub inconnue",IFERROR(INDEX(Pubs!$B$2:$B$3001,MATCH(G4503,Pubs!$A$2:$A$3001,0))&amp;"","⚠ pub inconnue")))</f>
        <v/>
      </c>
      <c r="I4503" s="27" t="str">
        <f aca="false">IF(OR(G4503="",G4503="?"),"",IFERROR(INDEX(Pubs!$C$2:$C$3001,MATCH(G4503,Pubs!$A$2:$A$3001,0))&amp;"",""))</f>
        <v/>
      </c>
      <c r="J4503" s="27" t="str">
        <f aca="false">IF(OR(G4503="",G4503="?"),"",IFERROR(INDEX(Pubs!$G$2:$G$3001,MATCH(G4503,Pubs!$A$2:$A$3001,0))&amp;"",""))</f>
        <v/>
      </c>
      <c r="K4503" s="28" t="str">
        <f aca="false">IF(OR(G4503="",G4503="?"),"",IFERROR(INDEX(Pubs!$E$2:$E$3001,MATCH(G4503,Pubs!$A$2:$A$3001,0)),""))</f>
        <v/>
      </c>
      <c r="L4503" s="29" t="str">
        <f aca="false">IF(A4503="","",IFERROR(1/(1/INDEX(Numéros!$C$2:$C$3001,MATCH(A4503&amp;"|"&amp;B4503,Numéros!$F$2:$F$3001,0))),""))</f>
        <v/>
      </c>
      <c r="M4503" s="27" t="str">
        <f aca="false">IF(OR(G4503="",G4503="?"),"",IFERROR(INDEX(Pubs!$D$2:$D$3001,MATCH(G4503,Pubs!$A$2:$A$3001,0))&amp;"",""))</f>
        <v/>
      </c>
      <c r="N4503" s="27" t="n">
        <f aca="false">N(N4502)+IF(AND(A4503&lt;&gt;"",OR(Recherche!$C$4="",A4503=Recherche!$C$4),OR(Recherche!$C$5="",B4503&amp;""=Recherche!$C$5&amp;""),OR(Recherche!$C$6="",IFERROR(YEAR(L4503),0)=Recherche!$C$6),OR(Recherche!$C$7="",ISNUMBER(SEARCH(Recherche!$C$7,H4503))),OR(Recherche!$C$8="",J4503=Recherche!$C$8),OR(Recherche!$C$9="",I4503=Recherche!$C$9),OR(Recherche!$C$10="",G4503&amp;""=Recherche!$C$10&amp;""),OR(Recherche!$C$11="",E4503=Recherche!$C$11),OR(Recherche!$C$12="",ISNUMBER(SEARCH(Recherche!$C$12,M4503&amp;" "&amp;F4503)))),1,0)</f>
        <v>8</v>
      </c>
    </row>
    <row r="4504" customFormat="false" ht="15" hidden="false" customHeight="false" outlineLevel="0" collapsed="false">
      <c r="A4504" s="19"/>
      <c r="B4504" s="19"/>
      <c r="C4504" s="19"/>
      <c r="D4504" s="19"/>
      <c r="E4504" s="22"/>
      <c r="F4504" s="19"/>
      <c r="G4504" s="26" t="str">
        <f aca="false">IF(D4504="","",IFERROR(VALUE(LEFT(D4504,FIND(" |",D4504&amp;" |")-1)),"?"))</f>
        <v/>
      </c>
      <c r="H4504" s="27" t="str">
        <f aca="false">IF(G4504="","",IF(G4504="?","⚠ pub inconnue",IFERROR(INDEX(Pubs!$B$2:$B$3001,MATCH(G4504,Pubs!$A$2:$A$3001,0))&amp;"","⚠ pub inconnue")))</f>
        <v/>
      </c>
      <c r="I4504" s="27" t="str">
        <f aca="false">IF(OR(G4504="",G4504="?"),"",IFERROR(INDEX(Pubs!$C$2:$C$3001,MATCH(G4504,Pubs!$A$2:$A$3001,0))&amp;"",""))</f>
        <v/>
      </c>
      <c r="J4504" s="27" t="str">
        <f aca="false">IF(OR(G4504="",G4504="?"),"",IFERROR(INDEX(Pubs!$G$2:$G$3001,MATCH(G4504,Pubs!$A$2:$A$3001,0))&amp;"",""))</f>
        <v/>
      </c>
      <c r="K4504" s="28" t="str">
        <f aca="false">IF(OR(G4504="",G4504="?"),"",IFERROR(INDEX(Pubs!$E$2:$E$3001,MATCH(G4504,Pubs!$A$2:$A$3001,0)),""))</f>
        <v/>
      </c>
      <c r="L4504" s="29" t="str">
        <f aca="false">IF(A4504="","",IFERROR(1/(1/INDEX(Numéros!$C$2:$C$3001,MATCH(A4504&amp;"|"&amp;B4504,Numéros!$F$2:$F$3001,0))),""))</f>
        <v/>
      </c>
      <c r="M4504" s="27" t="str">
        <f aca="false">IF(OR(G4504="",G4504="?"),"",IFERROR(INDEX(Pubs!$D$2:$D$3001,MATCH(G4504,Pubs!$A$2:$A$3001,0))&amp;"",""))</f>
        <v/>
      </c>
      <c r="N4504" s="27" t="n">
        <f aca="false">N(N4503)+IF(AND(A4504&lt;&gt;"",OR(Recherche!$C$4="",A4504=Recherche!$C$4),OR(Recherche!$C$5="",B4504&amp;""=Recherche!$C$5&amp;""),OR(Recherche!$C$6="",IFERROR(YEAR(L4504),0)=Recherche!$C$6),OR(Recherche!$C$7="",ISNUMBER(SEARCH(Recherche!$C$7,H4504))),OR(Recherche!$C$8="",J4504=Recherche!$C$8),OR(Recherche!$C$9="",I4504=Recherche!$C$9),OR(Recherche!$C$10="",G4504&amp;""=Recherche!$C$10&amp;""),OR(Recherche!$C$11="",E4504=Recherche!$C$11),OR(Recherche!$C$12="",ISNUMBER(SEARCH(Recherche!$C$12,M4504&amp;" "&amp;F4504)))),1,0)</f>
        <v>8</v>
      </c>
    </row>
    <row r="4505" customFormat="false" ht="15" hidden="false" customHeight="false" outlineLevel="0" collapsed="false">
      <c r="A4505" s="19"/>
      <c r="B4505" s="19"/>
      <c r="C4505" s="19"/>
      <c r="D4505" s="19"/>
      <c r="E4505" s="22"/>
      <c r="F4505" s="19"/>
      <c r="G4505" s="26" t="str">
        <f aca="false">IF(D4505="","",IFERROR(VALUE(LEFT(D4505,FIND(" |",D4505&amp;" |")-1)),"?"))</f>
        <v/>
      </c>
      <c r="H4505" s="27" t="str">
        <f aca="false">IF(G4505="","",IF(G4505="?","⚠ pub inconnue",IFERROR(INDEX(Pubs!$B$2:$B$3001,MATCH(G4505,Pubs!$A$2:$A$3001,0))&amp;"","⚠ pub inconnue")))</f>
        <v/>
      </c>
      <c r="I4505" s="27" t="str">
        <f aca="false">IF(OR(G4505="",G4505="?"),"",IFERROR(INDEX(Pubs!$C$2:$C$3001,MATCH(G4505,Pubs!$A$2:$A$3001,0))&amp;"",""))</f>
        <v/>
      </c>
      <c r="J4505" s="27" t="str">
        <f aca="false">IF(OR(G4505="",G4505="?"),"",IFERROR(INDEX(Pubs!$G$2:$G$3001,MATCH(G4505,Pubs!$A$2:$A$3001,0))&amp;"",""))</f>
        <v/>
      </c>
      <c r="K4505" s="28" t="str">
        <f aca="false">IF(OR(G4505="",G4505="?"),"",IFERROR(INDEX(Pubs!$E$2:$E$3001,MATCH(G4505,Pubs!$A$2:$A$3001,0)),""))</f>
        <v/>
      </c>
      <c r="L4505" s="29" t="str">
        <f aca="false">IF(A4505="","",IFERROR(1/(1/INDEX(Numéros!$C$2:$C$3001,MATCH(A4505&amp;"|"&amp;B4505,Numéros!$F$2:$F$3001,0))),""))</f>
        <v/>
      </c>
      <c r="M4505" s="27" t="str">
        <f aca="false">IF(OR(G4505="",G4505="?"),"",IFERROR(INDEX(Pubs!$D$2:$D$3001,MATCH(G4505,Pubs!$A$2:$A$3001,0))&amp;"",""))</f>
        <v/>
      </c>
      <c r="N4505" s="27" t="n">
        <f aca="false">N(N4504)+IF(AND(A4505&lt;&gt;"",OR(Recherche!$C$4="",A4505=Recherche!$C$4),OR(Recherche!$C$5="",B4505&amp;""=Recherche!$C$5&amp;""),OR(Recherche!$C$6="",IFERROR(YEAR(L4505),0)=Recherche!$C$6),OR(Recherche!$C$7="",ISNUMBER(SEARCH(Recherche!$C$7,H4505))),OR(Recherche!$C$8="",J4505=Recherche!$C$8),OR(Recherche!$C$9="",I4505=Recherche!$C$9),OR(Recherche!$C$10="",G4505&amp;""=Recherche!$C$10&amp;""),OR(Recherche!$C$11="",E4505=Recherche!$C$11),OR(Recherche!$C$12="",ISNUMBER(SEARCH(Recherche!$C$12,M4505&amp;" "&amp;F4505)))),1,0)</f>
        <v>8</v>
      </c>
    </row>
    <row r="4506" customFormat="false" ht="15" hidden="false" customHeight="false" outlineLevel="0" collapsed="false">
      <c r="A4506" s="19"/>
      <c r="B4506" s="19"/>
      <c r="C4506" s="19"/>
      <c r="D4506" s="19"/>
      <c r="E4506" s="22"/>
      <c r="F4506" s="19"/>
      <c r="G4506" s="26" t="str">
        <f aca="false">IF(D4506="","",IFERROR(VALUE(LEFT(D4506,FIND(" |",D4506&amp;" |")-1)),"?"))</f>
        <v/>
      </c>
      <c r="H4506" s="27" t="str">
        <f aca="false">IF(G4506="","",IF(G4506="?","⚠ pub inconnue",IFERROR(INDEX(Pubs!$B$2:$B$3001,MATCH(G4506,Pubs!$A$2:$A$3001,0))&amp;"","⚠ pub inconnue")))</f>
        <v/>
      </c>
      <c r="I4506" s="27" t="str">
        <f aca="false">IF(OR(G4506="",G4506="?"),"",IFERROR(INDEX(Pubs!$C$2:$C$3001,MATCH(G4506,Pubs!$A$2:$A$3001,0))&amp;"",""))</f>
        <v/>
      </c>
      <c r="J4506" s="27" t="str">
        <f aca="false">IF(OR(G4506="",G4506="?"),"",IFERROR(INDEX(Pubs!$G$2:$G$3001,MATCH(G4506,Pubs!$A$2:$A$3001,0))&amp;"",""))</f>
        <v/>
      </c>
      <c r="K4506" s="28" t="str">
        <f aca="false">IF(OR(G4506="",G4506="?"),"",IFERROR(INDEX(Pubs!$E$2:$E$3001,MATCH(G4506,Pubs!$A$2:$A$3001,0)),""))</f>
        <v/>
      </c>
      <c r="L4506" s="29" t="str">
        <f aca="false">IF(A4506="","",IFERROR(1/(1/INDEX(Numéros!$C$2:$C$3001,MATCH(A4506&amp;"|"&amp;B4506,Numéros!$F$2:$F$3001,0))),""))</f>
        <v/>
      </c>
      <c r="M4506" s="27" t="str">
        <f aca="false">IF(OR(G4506="",G4506="?"),"",IFERROR(INDEX(Pubs!$D$2:$D$3001,MATCH(G4506,Pubs!$A$2:$A$3001,0))&amp;"",""))</f>
        <v/>
      </c>
      <c r="N4506" s="27" t="n">
        <f aca="false">N(N4505)+IF(AND(A4506&lt;&gt;"",OR(Recherche!$C$4="",A4506=Recherche!$C$4),OR(Recherche!$C$5="",B4506&amp;""=Recherche!$C$5&amp;""),OR(Recherche!$C$6="",IFERROR(YEAR(L4506),0)=Recherche!$C$6),OR(Recherche!$C$7="",ISNUMBER(SEARCH(Recherche!$C$7,H4506))),OR(Recherche!$C$8="",J4506=Recherche!$C$8),OR(Recherche!$C$9="",I4506=Recherche!$C$9),OR(Recherche!$C$10="",G4506&amp;""=Recherche!$C$10&amp;""),OR(Recherche!$C$11="",E4506=Recherche!$C$11),OR(Recherche!$C$12="",ISNUMBER(SEARCH(Recherche!$C$12,M4506&amp;" "&amp;F4506)))),1,0)</f>
        <v>8</v>
      </c>
    </row>
    <row r="4507" customFormat="false" ht="15" hidden="false" customHeight="false" outlineLevel="0" collapsed="false">
      <c r="A4507" s="19"/>
      <c r="B4507" s="19"/>
      <c r="C4507" s="19"/>
      <c r="D4507" s="19"/>
      <c r="E4507" s="22"/>
      <c r="F4507" s="19"/>
      <c r="G4507" s="26" t="str">
        <f aca="false">IF(D4507="","",IFERROR(VALUE(LEFT(D4507,FIND(" |",D4507&amp;" |")-1)),"?"))</f>
        <v/>
      </c>
      <c r="H4507" s="27" t="str">
        <f aca="false">IF(G4507="","",IF(G4507="?","⚠ pub inconnue",IFERROR(INDEX(Pubs!$B$2:$B$3001,MATCH(G4507,Pubs!$A$2:$A$3001,0))&amp;"","⚠ pub inconnue")))</f>
        <v/>
      </c>
      <c r="I4507" s="27" t="str">
        <f aca="false">IF(OR(G4507="",G4507="?"),"",IFERROR(INDEX(Pubs!$C$2:$C$3001,MATCH(G4507,Pubs!$A$2:$A$3001,0))&amp;"",""))</f>
        <v/>
      </c>
      <c r="J4507" s="27" t="str">
        <f aca="false">IF(OR(G4507="",G4507="?"),"",IFERROR(INDEX(Pubs!$G$2:$G$3001,MATCH(G4507,Pubs!$A$2:$A$3001,0))&amp;"",""))</f>
        <v/>
      </c>
      <c r="K4507" s="28" t="str">
        <f aca="false">IF(OR(G4507="",G4507="?"),"",IFERROR(INDEX(Pubs!$E$2:$E$3001,MATCH(G4507,Pubs!$A$2:$A$3001,0)),""))</f>
        <v/>
      </c>
      <c r="L4507" s="29" t="str">
        <f aca="false">IF(A4507="","",IFERROR(1/(1/INDEX(Numéros!$C$2:$C$3001,MATCH(A4507&amp;"|"&amp;B4507,Numéros!$F$2:$F$3001,0))),""))</f>
        <v/>
      </c>
      <c r="M4507" s="27" t="str">
        <f aca="false">IF(OR(G4507="",G4507="?"),"",IFERROR(INDEX(Pubs!$D$2:$D$3001,MATCH(G4507,Pubs!$A$2:$A$3001,0))&amp;"",""))</f>
        <v/>
      </c>
      <c r="N4507" s="27" t="n">
        <f aca="false">N(N4506)+IF(AND(A4507&lt;&gt;"",OR(Recherche!$C$4="",A4507=Recherche!$C$4),OR(Recherche!$C$5="",B4507&amp;""=Recherche!$C$5&amp;""),OR(Recherche!$C$6="",IFERROR(YEAR(L4507),0)=Recherche!$C$6),OR(Recherche!$C$7="",ISNUMBER(SEARCH(Recherche!$C$7,H4507))),OR(Recherche!$C$8="",J4507=Recherche!$C$8),OR(Recherche!$C$9="",I4507=Recherche!$C$9),OR(Recherche!$C$10="",G4507&amp;""=Recherche!$C$10&amp;""),OR(Recherche!$C$11="",E4507=Recherche!$C$11),OR(Recherche!$C$12="",ISNUMBER(SEARCH(Recherche!$C$12,M4507&amp;" "&amp;F4507)))),1,0)</f>
        <v>8</v>
      </c>
    </row>
    <row r="4508" customFormat="false" ht="15" hidden="false" customHeight="false" outlineLevel="0" collapsed="false">
      <c r="A4508" s="19"/>
      <c r="B4508" s="19"/>
      <c r="C4508" s="19"/>
      <c r="D4508" s="19"/>
      <c r="E4508" s="22"/>
      <c r="F4508" s="19"/>
      <c r="G4508" s="26" t="str">
        <f aca="false">IF(D4508="","",IFERROR(VALUE(LEFT(D4508,FIND(" |",D4508&amp;" |")-1)),"?"))</f>
        <v/>
      </c>
      <c r="H4508" s="27" t="str">
        <f aca="false">IF(G4508="","",IF(G4508="?","⚠ pub inconnue",IFERROR(INDEX(Pubs!$B$2:$B$3001,MATCH(G4508,Pubs!$A$2:$A$3001,0))&amp;"","⚠ pub inconnue")))</f>
        <v/>
      </c>
      <c r="I4508" s="27" t="str">
        <f aca="false">IF(OR(G4508="",G4508="?"),"",IFERROR(INDEX(Pubs!$C$2:$C$3001,MATCH(G4508,Pubs!$A$2:$A$3001,0))&amp;"",""))</f>
        <v/>
      </c>
      <c r="J4508" s="27" t="str">
        <f aca="false">IF(OR(G4508="",G4508="?"),"",IFERROR(INDEX(Pubs!$G$2:$G$3001,MATCH(G4508,Pubs!$A$2:$A$3001,0))&amp;"",""))</f>
        <v/>
      </c>
      <c r="K4508" s="28" t="str">
        <f aca="false">IF(OR(G4508="",G4508="?"),"",IFERROR(INDEX(Pubs!$E$2:$E$3001,MATCH(G4508,Pubs!$A$2:$A$3001,0)),""))</f>
        <v/>
      </c>
      <c r="L4508" s="29" t="str">
        <f aca="false">IF(A4508="","",IFERROR(1/(1/INDEX(Numéros!$C$2:$C$3001,MATCH(A4508&amp;"|"&amp;B4508,Numéros!$F$2:$F$3001,0))),""))</f>
        <v/>
      </c>
      <c r="M4508" s="27" t="str">
        <f aca="false">IF(OR(G4508="",G4508="?"),"",IFERROR(INDEX(Pubs!$D$2:$D$3001,MATCH(G4508,Pubs!$A$2:$A$3001,0))&amp;"",""))</f>
        <v/>
      </c>
      <c r="N4508" s="27" t="n">
        <f aca="false">N(N4507)+IF(AND(A4508&lt;&gt;"",OR(Recherche!$C$4="",A4508=Recherche!$C$4),OR(Recherche!$C$5="",B4508&amp;""=Recherche!$C$5&amp;""),OR(Recherche!$C$6="",IFERROR(YEAR(L4508),0)=Recherche!$C$6),OR(Recherche!$C$7="",ISNUMBER(SEARCH(Recherche!$C$7,H4508))),OR(Recherche!$C$8="",J4508=Recherche!$C$8),OR(Recherche!$C$9="",I4508=Recherche!$C$9),OR(Recherche!$C$10="",G4508&amp;""=Recherche!$C$10&amp;""),OR(Recherche!$C$11="",E4508=Recherche!$C$11),OR(Recherche!$C$12="",ISNUMBER(SEARCH(Recherche!$C$12,M4508&amp;" "&amp;F4508)))),1,0)</f>
        <v>8</v>
      </c>
    </row>
    <row r="4509" customFormat="false" ht="15" hidden="false" customHeight="false" outlineLevel="0" collapsed="false">
      <c r="A4509" s="19"/>
      <c r="B4509" s="19"/>
      <c r="C4509" s="19"/>
      <c r="D4509" s="19"/>
      <c r="E4509" s="22"/>
      <c r="F4509" s="19"/>
      <c r="G4509" s="26" t="str">
        <f aca="false">IF(D4509="","",IFERROR(VALUE(LEFT(D4509,FIND(" |",D4509&amp;" |")-1)),"?"))</f>
        <v/>
      </c>
      <c r="H4509" s="27" t="str">
        <f aca="false">IF(G4509="","",IF(G4509="?","⚠ pub inconnue",IFERROR(INDEX(Pubs!$B$2:$B$3001,MATCH(G4509,Pubs!$A$2:$A$3001,0))&amp;"","⚠ pub inconnue")))</f>
        <v/>
      </c>
      <c r="I4509" s="27" t="str">
        <f aca="false">IF(OR(G4509="",G4509="?"),"",IFERROR(INDEX(Pubs!$C$2:$C$3001,MATCH(G4509,Pubs!$A$2:$A$3001,0))&amp;"",""))</f>
        <v/>
      </c>
      <c r="J4509" s="27" t="str">
        <f aca="false">IF(OR(G4509="",G4509="?"),"",IFERROR(INDEX(Pubs!$G$2:$G$3001,MATCH(G4509,Pubs!$A$2:$A$3001,0))&amp;"",""))</f>
        <v/>
      </c>
      <c r="K4509" s="28" t="str">
        <f aca="false">IF(OR(G4509="",G4509="?"),"",IFERROR(INDEX(Pubs!$E$2:$E$3001,MATCH(G4509,Pubs!$A$2:$A$3001,0)),""))</f>
        <v/>
      </c>
      <c r="L4509" s="29" t="str">
        <f aca="false">IF(A4509="","",IFERROR(1/(1/INDEX(Numéros!$C$2:$C$3001,MATCH(A4509&amp;"|"&amp;B4509,Numéros!$F$2:$F$3001,0))),""))</f>
        <v/>
      </c>
      <c r="M4509" s="27" t="str">
        <f aca="false">IF(OR(G4509="",G4509="?"),"",IFERROR(INDEX(Pubs!$D$2:$D$3001,MATCH(G4509,Pubs!$A$2:$A$3001,0))&amp;"",""))</f>
        <v/>
      </c>
      <c r="N4509" s="27" t="n">
        <f aca="false">N(N4508)+IF(AND(A4509&lt;&gt;"",OR(Recherche!$C$4="",A4509=Recherche!$C$4),OR(Recherche!$C$5="",B4509&amp;""=Recherche!$C$5&amp;""),OR(Recherche!$C$6="",IFERROR(YEAR(L4509),0)=Recherche!$C$6),OR(Recherche!$C$7="",ISNUMBER(SEARCH(Recherche!$C$7,H4509))),OR(Recherche!$C$8="",J4509=Recherche!$C$8),OR(Recherche!$C$9="",I4509=Recherche!$C$9),OR(Recherche!$C$10="",G4509&amp;""=Recherche!$C$10&amp;""),OR(Recherche!$C$11="",E4509=Recherche!$C$11),OR(Recherche!$C$12="",ISNUMBER(SEARCH(Recherche!$C$12,M4509&amp;" "&amp;F4509)))),1,0)</f>
        <v>8</v>
      </c>
    </row>
    <row r="4510" customFormat="false" ht="15" hidden="false" customHeight="false" outlineLevel="0" collapsed="false">
      <c r="A4510" s="19"/>
      <c r="B4510" s="19"/>
      <c r="C4510" s="19"/>
      <c r="D4510" s="19"/>
      <c r="E4510" s="22"/>
      <c r="F4510" s="19"/>
      <c r="G4510" s="26" t="str">
        <f aca="false">IF(D4510="","",IFERROR(VALUE(LEFT(D4510,FIND(" |",D4510&amp;" |")-1)),"?"))</f>
        <v/>
      </c>
      <c r="H4510" s="27" t="str">
        <f aca="false">IF(G4510="","",IF(G4510="?","⚠ pub inconnue",IFERROR(INDEX(Pubs!$B$2:$B$3001,MATCH(G4510,Pubs!$A$2:$A$3001,0))&amp;"","⚠ pub inconnue")))</f>
        <v/>
      </c>
      <c r="I4510" s="27" t="str">
        <f aca="false">IF(OR(G4510="",G4510="?"),"",IFERROR(INDEX(Pubs!$C$2:$C$3001,MATCH(G4510,Pubs!$A$2:$A$3001,0))&amp;"",""))</f>
        <v/>
      </c>
      <c r="J4510" s="27" t="str">
        <f aca="false">IF(OR(G4510="",G4510="?"),"",IFERROR(INDEX(Pubs!$G$2:$G$3001,MATCH(G4510,Pubs!$A$2:$A$3001,0))&amp;"",""))</f>
        <v/>
      </c>
      <c r="K4510" s="28" t="str">
        <f aca="false">IF(OR(G4510="",G4510="?"),"",IFERROR(INDEX(Pubs!$E$2:$E$3001,MATCH(G4510,Pubs!$A$2:$A$3001,0)),""))</f>
        <v/>
      </c>
      <c r="L4510" s="29" t="str">
        <f aca="false">IF(A4510="","",IFERROR(1/(1/INDEX(Numéros!$C$2:$C$3001,MATCH(A4510&amp;"|"&amp;B4510,Numéros!$F$2:$F$3001,0))),""))</f>
        <v/>
      </c>
      <c r="M4510" s="27" t="str">
        <f aca="false">IF(OR(G4510="",G4510="?"),"",IFERROR(INDEX(Pubs!$D$2:$D$3001,MATCH(G4510,Pubs!$A$2:$A$3001,0))&amp;"",""))</f>
        <v/>
      </c>
      <c r="N4510" s="27" t="n">
        <f aca="false">N(N4509)+IF(AND(A4510&lt;&gt;"",OR(Recherche!$C$4="",A4510=Recherche!$C$4),OR(Recherche!$C$5="",B4510&amp;""=Recherche!$C$5&amp;""),OR(Recherche!$C$6="",IFERROR(YEAR(L4510),0)=Recherche!$C$6),OR(Recherche!$C$7="",ISNUMBER(SEARCH(Recherche!$C$7,H4510))),OR(Recherche!$C$8="",J4510=Recherche!$C$8),OR(Recherche!$C$9="",I4510=Recherche!$C$9),OR(Recherche!$C$10="",G4510&amp;""=Recherche!$C$10&amp;""),OR(Recherche!$C$11="",E4510=Recherche!$C$11),OR(Recherche!$C$12="",ISNUMBER(SEARCH(Recherche!$C$12,M4510&amp;" "&amp;F4510)))),1,0)</f>
        <v>8</v>
      </c>
    </row>
    <row r="4511" customFormat="false" ht="15" hidden="false" customHeight="false" outlineLevel="0" collapsed="false">
      <c r="A4511" s="19"/>
      <c r="B4511" s="19"/>
      <c r="C4511" s="19"/>
      <c r="D4511" s="19"/>
      <c r="E4511" s="22"/>
      <c r="F4511" s="19"/>
      <c r="G4511" s="26" t="str">
        <f aca="false">IF(D4511="","",IFERROR(VALUE(LEFT(D4511,FIND(" |",D4511&amp;" |")-1)),"?"))</f>
        <v/>
      </c>
      <c r="H4511" s="27" t="str">
        <f aca="false">IF(G4511="","",IF(G4511="?","⚠ pub inconnue",IFERROR(INDEX(Pubs!$B$2:$B$3001,MATCH(G4511,Pubs!$A$2:$A$3001,0))&amp;"","⚠ pub inconnue")))</f>
        <v/>
      </c>
      <c r="I4511" s="27" t="str">
        <f aca="false">IF(OR(G4511="",G4511="?"),"",IFERROR(INDEX(Pubs!$C$2:$C$3001,MATCH(G4511,Pubs!$A$2:$A$3001,0))&amp;"",""))</f>
        <v/>
      </c>
      <c r="J4511" s="27" t="str">
        <f aca="false">IF(OR(G4511="",G4511="?"),"",IFERROR(INDEX(Pubs!$G$2:$G$3001,MATCH(G4511,Pubs!$A$2:$A$3001,0))&amp;"",""))</f>
        <v/>
      </c>
      <c r="K4511" s="28" t="str">
        <f aca="false">IF(OR(G4511="",G4511="?"),"",IFERROR(INDEX(Pubs!$E$2:$E$3001,MATCH(G4511,Pubs!$A$2:$A$3001,0)),""))</f>
        <v/>
      </c>
      <c r="L4511" s="29" t="str">
        <f aca="false">IF(A4511="","",IFERROR(1/(1/INDEX(Numéros!$C$2:$C$3001,MATCH(A4511&amp;"|"&amp;B4511,Numéros!$F$2:$F$3001,0))),""))</f>
        <v/>
      </c>
      <c r="M4511" s="27" t="str">
        <f aca="false">IF(OR(G4511="",G4511="?"),"",IFERROR(INDEX(Pubs!$D$2:$D$3001,MATCH(G4511,Pubs!$A$2:$A$3001,0))&amp;"",""))</f>
        <v/>
      </c>
      <c r="N4511" s="27" t="n">
        <f aca="false">N(N4510)+IF(AND(A4511&lt;&gt;"",OR(Recherche!$C$4="",A4511=Recherche!$C$4),OR(Recherche!$C$5="",B4511&amp;""=Recherche!$C$5&amp;""),OR(Recherche!$C$6="",IFERROR(YEAR(L4511),0)=Recherche!$C$6),OR(Recherche!$C$7="",ISNUMBER(SEARCH(Recherche!$C$7,H4511))),OR(Recherche!$C$8="",J4511=Recherche!$C$8),OR(Recherche!$C$9="",I4511=Recherche!$C$9),OR(Recherche!$C$10="",G4511&amp;""=Recherche!$C$10&amp;""),OR(Recherche!$C$11="",E4511=Recherche!$C$11),OR(Recherche!$C$12="",ISNUMBER(SEARCH(Recherche!$C$12,M4511&amp;" "&amp;F4511)))),1,0)</f>
        <v>8</v>
      </c>
    </row>
    <row r="4512" customFormat="false" ht="15" hidden="false" customHeight="false" outlineLevel="0" collapsed="false">
      <c r="A4512" s="19"/>
      <c r="B4512" s="19"/>
      <c r="C4512" s="19"/>
      <c r="D4512" s="19"/>
      <c r="E4512" s="22"/>
      <c r="F4512" s="19"/>
      <c r="G4512" s="26" t="str">
        <f aca="false">IF(D4512="","",IFERROR(VALUE(LEFT(D4512,FIND(" |",D4512&amp;" |")-1)),"?"))</f>
        <v/>
      </c>
      <c r="H4512" s="27" t="str">
        <f aca="false">IF(G4512="","",IF(G4512="?","⚠ pub inconnue",IFERROR(INDEX(Pubs!$B$2:$B$3001,MATCH(G4512,Pubs!$A$2:$A$3001,0))&amp;"","⚠ pub inconnue")))</f>
        <v/>
      </c>
      <c r="I4512" s="27" t="str">
        <f aca="false">IF(OR(G4512="",G4512="?"),"",IFERROR(INDEX(Pubs!$C$2:$C$3001,MATCH(G4512,Pubs!$A$2:$A$3001,0))&amp;"",""))</f>
        <v/>
      </c>
      <c r="J4512" s="27" t="str">
        <f aca="false">IF(OR(G4512="",G4512="?"),"",IFERROR(INDEX(Pubs!$G$2:$G$3001,MATCH(G4512,Pubs!$A$2:$A$3001,0))&amp;"",""))</f>
        <v/>
      </c>
      <c r="K4512" s="28" t="str">
        <f aca="false">IF(OR(G4512="",G4512="?"),"",IFERROR(INDEX(Pubs!$E$2:$E$3001,MATCH(G4512,Pubs!$A$2:$A$3001,0)),""))</f>
        <v/>
      </c>
      <c r="L4512" s="29" t="str">
        <f aca="false">IF(A4512="","",IFERROR(1/(1/INDEX(Numéros!$C$2:$C$3001,MATCH(A4512&amp;"|"&amp;B4512,Numéros!$F$2:$F$3001,0))),""))</f>
        <v/>
      </c>
      <c r="M4512" s="27" t="str">
        <f aca="false">IF(OR(G4512="",G4512="?"),"",IFERROR(INDEX(Pubs!$D$2:$D$3001,MATCH(G4512,Pubs!$A$2:$A$3001,0))&amp;"",""))</f>
        <v/>
      </c>
      <c r="N4512" s="27" t="n">
        <f aca="false">N(N4511)+IF(AND(A4512&lt;&gt;"",OR(Recherche!$C$4="",A4512=Recherche!$C$4),OR(Recherche!$C$5="",B4512&amp;""=Recherche!$C$5&amp;""),OR(Recherche!$C$6="",IFERROR(YEAR(L4512),0)=Recherche!$C$6),OR(Recherche!$C$7="",ISNUMBER(SEARCH(Recherche!$C$7,H4512))),OR(Recherche!$C$8="",J4512=Recherche!$C$8),OR(Recherche!$C$9="",I4512=Recherche!$C$9),OR(Recherche!$C$10="",G4512&amp;""=Recherche!$C$10&amp;""),OR(Recherche!$C$11="",E4512=Recherche!$C$11),OR(Recherche!$C$12="",ISNUMBER(SEARCH(Recherche!$C$12,M4512&amp;" "&amp;F4512)))),1,0)</f>
        <v>8</v>
      </c>
    </row>
    <row r="4513" customFormat="false" ht="15" hidden="false" customHeight="false" outlineLevel="0" collapsed="false">
      <c r="A4513" s="19"/>
      <c r="B4513" s="19"/>
      <c r="C4513" s="19"/>
      <c r="D4513" s="19"/>
      <c r="E4513" s="22"/>
      <c r="F4513" s="19"/>
      <c r="G4513" s="26" t="str">
        <f aca="false">IF(D4513="","",IFERROR(VALUE(LEFT(D4513,FIND(" |",D4513&amp;" |")-1)),"?"))</f>
        <v/>
      </c>
      <c r="H4513" s="27" t="str">
        <f aca="false">IF(G4513="","",IF(G4513="?","⚠ pub inconnue",IFERROR(INDEX(Pubs!$B$2:$B$3001,MATCH(G4513,Pubs!$A$2:$A$3001,0))&amp;"","⚠ pub inconnue")))</f>
        <v/>
      </c>
      <c r="I4513" s="27" t="str">
        <f aca="false">IF(OR(G4513="",G4513="?"),"",IFERROR(INDEX(Pubs!$C$2:$C$3001,MATCH(G4513,Pubs!$A$2:$A$3001,0))&amp;"",""))</f>
        <v/>
      </c>
      <c r="J4513" s="27" t="str">
        <f aca="false">IF(OR(G4513="",G4513="?"),"",IFERROR(INDEX(Pubs!$G$2:$G$3001,MATCH(G4513,Pubs!$A$2:$A$3001,0))&amp;"",""))</f>
        <v/>
      </c>
      <c r="K4513" s="28" t="str">
        <f aca="false">IF(OR(G4513="",G4513="?"),"",IFERROR(INDEX(Pubs!$E$2:$E$3001,MATCH(G4513,Pubs!$A$2:$A$3001,0)),""))</f>
        <v/>
      </c>
      <c r="L4513" s="29" t="str">
        <f aca="false">IF(A4513="","",IFERROR(1/(1/INDEX(Numéros!$C$2:$C$3001,MATCH(A4513&amp;"|"&amp;B4513,Numéros!$F$2:$F$3001,0))),""))</f>
        <v/>
      </c>
      <c r="M4513" s="27" t="str">
        <f aca="false">IF(OR(G4513="",G4513="?"),"",IFERROR(INDEX(Pubs!$D$2:$D$3001,MATCH(G4513,Pubs!$A$2:$A$3001,0))&amp;"",""))</f>
        <v/>
      </c>
      <c r="N4513" s="27" t="n">
        <f aca="false">N(N4512)+IF(AND(A4513&lt;&gt;"",OR(Recherche!$C$4="",A4513=Recherche!$C$4),OR(Recherche!$C$5="",B4513&amp;""=Recherche!$C$5&amp;""),OR(Recherche!$C$6="",IFERROR(YEAR(L4513),0)=Recherche!$C$6),OR(Recherche!$C$7="",ISNUMBER(SEARCH(Recherche!$C$7,H4513))),OR(Recherche!$C$8="",J4513=Recherche!$C$8),OR(Recherche!$C$9="",I4513=Recherche!$C$9),OR(Recherche!$C$10="",G4513&amp;""=Recherche!$C$10&amp;""),OR(Recherche!$C$11="",E4513=Recherche!$C$11),OR(Recherche!$C$12="",ISNUMBER(SEARCH(Recherche!$C$12,M4513&amp;" "&amp;F4513)))),1,0)</f>
        <v>8</v>
      </c>
    </row>
    <row r="4514" customFormat="false" ht="15" hidden="false" customHeight="false" outlineLevel="0" collapsed="false">
      <c r="A4514" s="19"/>
      <c r="B4514" s="19"/>
      <c r="C4514" s="19"/>
      <c r="D4514" s="19"/>
      <c r="E4514" s="22"/>
      <c r="F4514" s="19"/>
      <c r="G4514" s="26" t="str">
        <f aca="false">IF(D4514="","",IFERROR(VALUE(LEFT(D4514,FIND(" |",D4514&amp;" |")-1)),"?"))</f>
        <v/>
      </c>
      <c r="H4514" s="27" t="str">
        <f aca="false">IF(G4514="","",IF(G4514="?","⚠ pub inconnue",IFERROR(INDEX(Pubs!$B$2:$B$3001,MATCH(G4514,Pubs!$A$2:$A$3001,0))&amp;"","⚠ pub inconnue")))</f>
        <v/>
      </c>
      <c r="I4514" s="27" t="str">
        <f aca="false">IF(OR(G4514="",G4514="?"),"",IFERROR(INDEX(Pubs!$C$2:$C$3001,MATCH(G4514,Pubs!$A$2:$A$3001,0))&amp;"",""))</f>
        <v/>
      </c>
      <c r="J4514" s="27" t="str">
        <f aca="false">IF(OR(G4514="",G4514="?"),"",IFERROR(INDEX(Pubs!$G$2:$G$3001,MATCH(G4514,Pubs!$A$2:$A$3001,0))&amp;"",""))</f>
        <v/>
      </c>
      <c r="K4514" s="28" t="str">
        <f aca="false">IF(OR(G4514="",G4514="?"),"",IFERROR(INDEX(Pubs!$E$2:$E$3001,MATCH(G4514,Pubs!$A$2:$A$3001,0)),""))</f>
        <v/>
      </c>
      <c r="L4514" s="29" t="str">
        <f aca="false">IF(A4514="","",IFERROR(1/(1/INDEX(Numéros!$C$2:$C$3001,MATCH(A4514&amp;"|"&amp;B4514,Numéros!$F$2:$F$3001,0))),""))</f>
        <v/>
      </c>
      <c r="M4514" s="27" t="str">
        <f aca="false">IF(OR(G4514="",G4514="?"),"",IFERROR(INDEX(Pubs!$D$2:$D$3001,MATCH(G4514,Pubs!$A$2:$A$3001,0))&amp;"",""))</f>
        <v/>
      </c>
      <c r="N4514" s="27" t="n">
        <f aca="false">N(N4513)+IF(AND(A4514&lt;&gt;"",OR(Recherche!$C$4="",A4514=Recherche!$C$4),OR(Recherche!$C$5="",B4514&amp;""=Recherche!$C$5&amp;""),OR(Recherche!$C$6="",IFERROR(YEAR(L4514),0)=Recherche!$C$6),OR(Recherche!$C$7="",ISNUMBER(SEARCH(Recherche!$C$7,H4514))),OR(Recherche!$C$8="",J4514=Recherche!$C$8),OR(Recherche!$C$9="",I4514=Recherche!$C$9),OR(Recherche!$C$10="",G4514&amp;""=Recherche!$C$10&amp;""),OR(Recherche!$C$11="",E4514=Recherche!$C$11),OR(Recherche!$C$12="",ISNUMBER(SEARCH(Recherche!$C$12,M4514&amp;" "&amp;F4514)))),1,0)</f>
        <v>8</v>
      </c>
    </row>
    <row r="4515" customFormat="false" ht="15" hidden="false" customHeight="false" outlineLevel="0" collapsed="false">
      <c r="A4515" s="19"/>
      <c r="B4515" s="19"/>
      <c r="C4515" s="19"/>
      <c r="D4515" s="19"/>
      <c r="E4515" s="22"/>
      <c r="F4515" s="19"/>
      <c r="G4515" s="26" t="str">
        <f aca="false">IF(D4515="","",IFERROR(VALUE(LEFT(D4515,FIND(" |",D4515&amp;" |")-1)),"?"))</f>
        <v/>
      </c>
      <c r="H4515" s="27" t="str">
        <f aca="false">IF(G4515="","",IF(G4515="?","⚠ pub inconnue",IFERROR(INDEX(Pubs!$B$2:$B$3001,MATCH(G4515,Pubs!$A$2:$A$3001,0))&amp;"","⚠ pub inconnue")))</f>
        <v/>
      </c>
      <c r="I4515" s="27" t="str">
        <f aca="false">IF(OR(G4515="",G4515="?"),"",IFERROR(INDEX(Pubs!$C$2:$C$3001,MATCH(G4515,Pubs!$A$2:$A$3001,0))&amp;"",""))</f>
        <v/>
      </c>
      <c r="J4515" s="27" t="str">
        <f aca="false">IF(OR(G4515="",G4515="?"),"",IFERROR(INDEX(Pubs!$G$2:$G$3001,MATCH(G4515,Pubs!$A$2:$A$3001,0))&amp;"",""))</f>
        <v/>
      </c>
      <c r="K4515" s="28" t="str">
        <f aca="false">IF(OR(G4515="",G4515="?"),"",IFERROR(INDEX(Pubs!$E$2:$E$3001,MATCH(G4515,Pubs!$A$2:$A$3001,0)),""))</f>
        <v/>
      </c>
      <c r="L4515" s="29" t="str">
        <f aca="false">IF(A4515="","",IFERROR(1/(1/INDEX(Numéros!$C$2:$C$3001,MATCH(A4515&amp;"|"&amp;B4515,Numéros!$F$2:$F$3001,0))),""))</f>
        <v/>
      </c>
      <c r="M4515" s="27" t="str">
        <f aca="false">IF(OR(G4515="",G4515="?"),"",IFERROR(INDEX(Pubs!$D$2:$D$3001,MATCH(G4515,Pubs!$A$2:$A$3001,0))&amp;"",""))</f>
        <v/>
      </c>
      <c r="N4515" s="27" t="n">
        <f aca="false">N(N4514)+IF(AND(A4515&lt;&gt;"",OR(Recherche!$C$4="",A4515=Recherche!$C$4),OR(Recherche!$C$5="",B4515&amp;""=Recherche!$C$5&amp;""),OR(Recherche!$C$6="",IFERROR(YEAR(L4515),0)=Recherche!$C$6),OR(Recherche!$C$7="",ISNUMBER(SEARCH(Recherche!$C$7,H4515))),OR(Recherche!$C$8="",J4515=Recherche!$C$8),OR(Recherche!$C$9="",I4515=Recherche!$C$9),OR(Recherche!$C$10="",G4515&amp;""=Recherche!$C$10&amp;""),OR(Recherche!$C$11="",E4515=Recherche!$C$11),OR(Recherche!$C$12="",ISNUMBER(SEARCH(Recherche!$C$12,M4515&amp;" "&amp;F4515)))),1,0)</f>
        <v>8</v>
      </c>
    </row>
    <row r="4516" customFormat="false" ht="15" hidden="false" customHeight="false" outlineLevel="0" collapsed="false">
      <c r="A4516" s="19"/>
      <c r="B4516" s="19"/>
      <c r="C4516" s="19"/>
      <c r="D4516" s="19"/>
      <c r="E4516" s="22"/>
      <c r="F4516" s="19"/>
      <c r="G4516" s="26" t="str">
        <f aca="false">IF(D4516="","",IFERROR(VALUE(LEFT(D4516,FIND(" |",D4516&amp;" |")-1)),"?"))</f>
        <v/>
      </c>
      <c r="H4516" s="27" t="str">
        <f aca="false">IF(G4516="","",IF(G4516="?","⚠ pub inconnue",IFERROR(INDEX(Pubs!$B$2:$B$3001,MATCH(G4516,Pubs!$A$2:$A$3001,0))&amp;"","⚠ pub inconnue")))</f>
        <v/>
      </c>
      <c r="I4516" s="27" t="str">
        <f aca="false">IF(OR(G4516="",G4516="?"),"",IFERROR(INDEX(Pubs!$C$2:$C$3001,MATCH(G4516,Pubs!$A$2:$A$3001,0))&amp;"",""))</f>
        <v/>
      </c>
      <c r="J4516" s="27" t="str">
        <f aca="false">IF(OR(G4516="",G4516="?"),"",IFERROR(INDEX(Pubs!$G$2:$G$3001,MATCH(G4516,Pubs!$A$2:$A$3001,0))&amp;"",""))</f>
        <v/>
      </c>
      <c r="K4516" s="28" t="str">
        <f aca="false">IF(OR(G4516="",G4516="?"),"",IFERROR(INDEX(Pubs!$E$2:$E$3001,MATCH(G4516,Pubs!$A$2:$A$3001,0)),""))</f>
        <v/>
      </c>
      <c r="L4516" s="29" t="str">
        <f aca="false">IF(A4516="","",IFERROR(1/(1/INDEX(Numéros!$C$2:$C$3001,MATCH(A4516&amp;"|"&amp;B4516,Numéros!$F$2:$F$3001,0))),""))</f>
        <v/>
      </c>
      <c r="M4516" s="27" t="str">
        <f aca="false">IF(OR(G4516="",G4516="?"),"",IFERROR(INDEX(Pubs!$D$2:$D$3001,MATCH(G4516,Pubs!$A$2:$A$3001,0))&amp;"",""))</f>
        <v/>
      </c>
      <c r="N4516" s="27" t="n">
        <f aca="false">N(N4515)+IF(AND(A4516&lt;&gt;"",OR(Recherche!$C$4="",A4516=Recherche!$C$4),OR(Recherche!$C$5="",B4516&amp;""=Recherche!$C$5&amp;""),OR(Recherche!$C$6="",IFERROR(YEAR(L4516),0)=Recherche!$C$6),OR(Recherche!$C$7="",ISNUMBER(SEARCH(Recherche!$C$7,H4516))),OR(Recherche!$C$8="",J4516=Recherche!$C$8),OR(Recherche!$C$9="",I4516=Recherche!$C$9),OR(Recherche!$C$10="",G4516&amp;""=Recherche!$C$10&amp;""),OR(Recherche!$C$11="",E4516=Recherche!$C$11),OR(Recherche!$C$12="",ISNUMBER(SEARCH(Recherche!$C$12,M4516&amp;" "&amp;F4516)))),1,0)</f>
        <v>8</v>
      </c>
    </row>
    <row r="4517" customFormat="false" ht="15" hidden="false" customHeight="false" outlineLevel="0" collapsed="false">
      <c r="A4517" s="19"/>
      <c r="B4517" s="19"/>
      <c r="C4517" s="19"/>
      <c r="D4517" s="19"/>
      <c r="E4517" s="22"/>
      <c r="F4517" s="19"/>
      <c r="G4517" s="26" t="str">
        <f aca="false">IF(D4517="","",IFERROR(VALUE(LEFT(D4517,FIND(" |",D4517&amp;" |")-1)),"?"))</f>
        <v/>
      </c>
      <c r="H4517" s="27" t="str">
        <f aca="false">IF(G4517="","",IF(G4517="?","⚠ pub inconnue",IFERROR(INDEX(Pubs!$B$2:$B$3001,MATCH(G4517,Pubs!$A$2:$A$3001,0))&amp;"","⚠ pub inconnue")))</f>
        <v/>
      </c>
      <c r="I4517" s="27" t="str">
        <f aca="false">IF(OR(G4517="",G4517="?"),"",IFERROR(INDEX(Pubs!$C$2:$C$3001,MATCH(G4517,Pubs!$A$2:$A$3001,0))&amp;"",""))</f>
        <v/>
      </c>
      <c r="J4517" s="27" t="str">
        <f aca="false">IF(OR(G4517="",G4517="?"),"",IFERROR(INDEX(Pubs!$G$2:$G$3001,MATCH(G4517,Pubs!$A$2:$A$3001,0))&amp;"",""))</f>
        <v/>
      </c>
      <c r="K4517" s="28" t="str">
        <f aca="false">IF(OR(G4517="",G4517="?"),"",IFERROR(INDEX(Pubs!$E$2:$E$3001,MATCH(G4517,Pubs!$A$2:$A$3001,0)),""))</f>
        <v/>
      </c>
      <c r="L4517" s="29" t="str">
        <f aca="false">IF(A4517="","",IFERROR(1/(1/INDEX(Numéros!$C$2:$C$3001,MATCH(A4517&amp;"|"&amp;B4517,Numéros!$F$2:$F$3001,0))),""))</f>
        <v/>
      </c>
      <c r="M4517" s="27" t="str">
        <f aca="false">IF(OR(G4517="",G4517="?"),"",IFERROR(INDEX(Pubs!$D$2:$D$3001,MATCH(G4517,Pubs!$A$2:$A$3001,0))&amp;"",""))</f>
        <v/>
      </c>
      <c r="N4517" s="27" t="n">
        <f aca="false">N(N4516)+IF(AND(A4517&lt;&gt;"",OR(Recherche!$C$4="",A4517=Recherche!$C$4),OR(Recherche!$C$5="",B4517&amp;""=Recherche!$C$5&amp;""),OR(Recherche!$C$6="",IFERROR(YEAR(L4517),0)=Recherche!$C$6),OR(Recherche!$C$7="",ISNUMBER(SEARCH(Recherche!$C$7,H4517))),OR(Recherche!$C$8="",J4517=Recherche!$C$8),OR(Recherche!$C$9="",I4517=Recherche!$C$9),OR(Recherche!$C$10="",G4517&amp;""=Recherche!$C$10&amp;""),OR(Recherche!$C$11="",E4517=Recherche!$C$11),OR(Recherche!$C$12="",ISNUMBER(SEARCH(Recherche!$C$12,M4517&amp;" "&amp;F4517)))),1,0)</f>
        <v>8</v>
      </c>
    </row>
    <row r="4518" customFormat="false" ht="15" hidden="false" customHeight="false" outlineLevel="0" collapsed="false">
      <c r="A4518" s="19"/>
      <c r="B4518" s="19"/>
      <c r="C4518" s="19"/>
      <c r="D4518" s="19"/>
      <c r="E4518" s="22"/>
      <c r="F4518" s="19"/>
      <c r="G4518" s="26" t="str">
        <f aca="false">IF(D4518="","",IFERROR(VALUE(LEFT(D4518,FIND(" |",D4518&amp;" |")-1)),"?"))</f>
        <v/>
      </c>
      <c r="H4518" s="27" t="str">
        <f aca="false">IF(G4518="","",IF(G4518="?","⚠ pub inconnue",IFERROR(INDEX(Pubs!$B$2:$B$3001,MATCH(G4518,Pubs!$A$2:$A$3001,0))&amp;"","⚠ pub inconnue")))</f>
        <v/>
      </c>
      <c r="I4518" s="27" t="str">
        <f aca="false">IF(OR(G4518="",G4518="?"),"",IFERROR(INDEX(Pubs!$C$2:$C$3001,MATCH(G4518,Pubs!$A$2:$A$3001,0))&amp;"",""))</f>
        <v/>
      </c>
      <c r="J4518" s="27" t="str">
        <f aca="false">IF(OR(G4518="",G4518="?"),"",IFERROR(INDEX(Pubs!$G$2:$G$3001,MATCH(G4518,Pubs!$A$2:$A$3001,0))&amp;"",""))</f>
        <v/>
      </c>
      <c r="K4518" s="28" t="str">
        <f aca="false">IF(OR(G4518="",G4518="?"),"",IFERROR(INDEX(Pubs!$E$2:$E$3001,MATCH(G4518,Pubs!$A$2:$A$3001,0)),""))</f>
        <v/>
      </c>
      <c r="L4518" s="29" t="str">
        <f aca="false">IF(A4518="","",IFERROR(1/(1/INDEX(Numéros!$C$2:$C$3001,MATCH(A4518&amp;"|"&amp;B4518,Numéros!$F$2:$F$3001,0))),""))</f>
        <v/>
      </c>
      <c r="M4518" s="27" t="str">
        <f aca="false">IF(OR(G4518="",G4518="?"),"",IFERROR(INDEX(Pubs!$D$2:$D$3001,MATCH(G4518,Pubs!$A$2:$A$3001,0))&amp;"",""))</f>
        <v/>
      </c>
      <c r="N4518" s="27" t="n">
        <f aca="false">N(N4517)+IF(AND(A4518&lt;&gt;"",OR(Recherche!$C$4="",A4518=Recherche!$C$4),OR(Recherche!$C$5="",B4518&amp;""=Recherche!$C$5&amp;""),OR(Recherche!$C$6="",IFERROR(YEAR(L4518),0)=Recherche!$C$6),OR(Recherche!$C$7="",ISNUMBER(SEARCH(Recherche!$C$7,H4518))),OR(Recherche!$C$8="",J4518=Recherche!$C$8),OR(Recherche!$C$9="",I4518=Recherche!$C$9),OR(Recherche!$C$10="",G4518&amp;""=Recherche!$C$10&amp;""),OR(Recherche!$C$11="",E4518=Recherche!$C$11),OR(Recherche!$C$12="",ISNUMBER(SEARCH(Recherche!$C$12,M4518&amp;" "&amp;F4518)))),1,0)</f>
        <v>8</v>
      </c>
    </row>
    <row r="4519" customFormat="false" ht="15" hidden="false" customHeight="false" outlineLevel="0" collapsed="false">
      <c r="A4519" s="19"/>
      <c r="B4519" s="19"/>
      <c r="C4519" s="19"/>
      <c r="D4519" s="19"/>
      <c r="E4519" s="22"/>
      <c r="F4519" s="19"/>
      <c r="G4519" s="26" t="str">
        <f aca="false">IF(D4519="","",IFERROR(VALUE(LEFT(D4519,FIND(" |",D4519&amp;" |")-1)),"?"))</f>
        <v/>
      </c>
      <c r="H4519" s="27" t="str">
        <f aca="false">IF(G4519="","",IF(G4519="?","⚠ pub inconnue",IFERROR(INDEX(Pubs!$B$2:$B$3001,MATCH(G4519,Pubs!$A$2:$A$3001,0))&amp;"","⚠ pub inconnue")))</f>
        <v/>
      </c>
      <c r="I4519" s="27" t="str">
        <f aca="false">IF(OR(G4519="",G4519="?"),"",IFERROR(INDEX(Pubs!$C$2:$C$3001,MATCH(G4519,Pubs!$A$2:$A$3001,0))&amp;"",""))</f>
        <v/>
      </c>
      <c r="J4519" s="27" t="str">
        <f aca="false">IF(OR(G4519="",G4519="?"),"",IFERROR(INDEX(Pubs!$G$2:$G$3001,MATCH(G4519,Pubs!$A$2:$A$3001,0))&amp;"",""))</f>
        <v/>
      </c>
      <c r="K4519" s="28" t="str">
        <f aca="false">IF(OR(G4519="",G4519="?"),"",IFERROR(INDEX(Pubs!$E$2:$E$3001,MATCH(G4519,Pubs!$A$2:$A$3001,0)),""))</f>
        <v/>
      </c>
      <c r="L4519" s="29" t="str">
        <f aca="false">IF(A4519="","",IFERROR(1/(1/INDEX(Numéros!$C$2:$C$3001,MATCH(A4519&amp;"|"&amp;B4519,Numéros!$F$2:$F$3001,0))),""))</f>
        <v/>
      </c>
      <c r="M4519" s="27" t="str">
        <f aca="false">IF(OR(G4519="",G4519="?"),"",IFERROR(INDEX(Pubs!$D$2:$D$3001,MATCH(G4519,Pubs!$A$2:$A$3001,0))&amp;"",""))</f>
        <v/>
      </c>
      <c r="N4519" s="27" t="n">
        <f aca="false">N(N4518)+IF(AND(A4519&lt;&gt;"",OR(Recherche!$C$4="",A4519=Recherche!$C$4),OR(Recherche!$C$5="",B4519&amp;""=Recherche!$C$5&amp;""),OR(Recherche!$C$6="",IFERROR(YEAR(L4519),0)=Recherche!$C$6),OR(Recherche!$C$7="",ISNUMBER(SEARCH(Recherche!$C$7,H4519))),OR(Recherche!$C$8="",J4519=Recherche!$C$8),OR(Recherche!$C$9="",I4519=Recherche!$C$9),OR(Recherche!$C$10="",G4519&amp;""=Recherche!$C$10&amp;""),OR(Recherche!$C$11="",E4519=Recherche!$C$11),OR(Recherche!$C$12="",ISNUMBER(SEARCH(Recherche!$C$12,M4519&amp;" "&amp;F4519)))),1,0)</f>
        <v>8</v>
      </c>
    </row>
    <row r="4520" customFormat="false" ht="15" hidden="false" customHeight="false" outlineLevel="0" collapsed="false">
      <c r="A4520" s="19"/>
      <c r="B4520" s="19"/>
      <c r="C4520" s="19"/>
      <c r="D4520" s="19"/>
      <c r="E4520" s="22"/>
      <c r="F4520" s="19"/>
      <c r="G4520" s="26" t="str">
        <f aca="false">IF(D4520="","",IFERROR(VALUE(LEFT(D4520,FIND(" |",D4520&amp;" |")-1)),"?"))</f>
        <v/>
      </c>
      <c r="H4520" s="27" t="str">
        <f aca="false">IF(G4520="","",IF(G4520="?","⚠ pub inconnue",IFERROR(INDEX(Pubs!$B$2:$B$3001,MATCH(G4520,Pubs!$A$2:$A$3001,0))&amp;"","⚠ pub inconnue")))</f>
        <v/>
      </c>
      <c r="I4520" s="27" t="str">
        <f aca="false">IF(OR(G4520="",G4520="?"),"",IFERROR(INDEX(Pubs!$C$2:$C$3001,MATCH(G4520,Pubs!$A$2:$A$3001,0))&amp;"",""))</f>
        <v/>
      </c>
      <c r="J4520" s="27" t="str">
        <f aca="false">IF(OR(G4520="",G4520="?"),"",IFERROR(INDEX(Pubs!$G$2:$G$3001,MATCH(G4520,Pubs!$A$2:$A$3001,0))&amp;"",""))</f>
        <v/>
      </c>
      <c r="K4520" s="28" t="str">
        <f aca="false">IF(OR(G4520="",G4520="?"),"",IFERROR(INDEX(Pubs!$E$2:$E$3001,MATCH(G4520,Pubs!$A$2:$A$3001,0)),""))</f>
        <v/>
      </c>
      <c r="L4520" s="29" t="str">
        <f aca="false">IF(A4520="","",IFERROR(1/(1/INDEX(Numéros!$C$2:$C$3001,MATCH(A4520&amp;"|"&amp;B4520,Numéros!$F$2:$F$3001,0))),""))</f>
        <v/>
      </c>
      <c r="M4520" s="27" t="str">
        <f aca="false">IF(OR(G4520="",G4520="?"),"",IFERROR(INDEX(Pubs!$D$2:$D$3001,MATCH(G4520,Pubs!$A$2:$A$3001,0))&amp;"",""))</f>
        <v/>
      </c>
      <c r="N4520" s="27" t="n">
        <f aca="false">N(N4519)+IF(AND(A4520&lt;&gt;"",OR(Recherche!$C$4="",A4520=Recherche!$C$4),OR(Recherche!$C$5="",B4520&amp;""=Recherche!$C$5&amp;""),OR(Recherche!$C$6="",IFERROR(YEAR(L4520),0)=Recherche!$C$6),OR(Recherche!$C$7="",ISNUMBER(SEARCH(Recherche!$C$7,H4520))),OR(Recherche!$C$8="",J4520=Recherche!$C$8),OR(Recherche!$C$9="",I4520=Recherche!$C$9),OR(Recherche!$C$10="",G4520&amp;""=Recherche!$C$10&amp;""),OR(Recherche!$C$11="",E4520=Recherche!$C$11),OR(Recherche!$C$12="",ISNUMBER(SEARCH(Recherche!$C$12,M4520&amp;" "&amp;F4520)))),1,0)</f>
        <v>8</v>
      </c>
    </row>
    <row r="4521" customFormat="false" ht="15" hidden="false" customHeight="false" outlineLevel="0" collapsed="false">
      <c r="A4521" s="19"/>
      <c r="B4521" s="19"/>
      <c r="C4521" s="19"/>
      <c r="D4521" s="19"/>
      <c r="E4521" s="22"/>
      <c r="F4521" s="19"/>
      <c r="G4521" s="26" t="str">
        <f aca="false">IF(D4521="","",IFERROR(VALUE(LEFT(D4521,FIND(" |",D4521&amp;" |")-1)),"?"))</f>
        <v/>
      </c>
      <c r="H4521" s="27" t="str">
        <f aca="false">IF(G4521="","",IF(G4521="?","⚠ pub inconnue",IFERROR(INDEX(Pubs!$B$2:$B$3001,MATCH(G4521,Pubs!$A$2:$A$3001,0))&amp;"","⚠ pub inconnue")))</f>
        <v/>
      </c>
      <c r="I4521" s="27" t="str">
        <f aca="false">IF(OR(G4521="",G4521="?"),"",IFERROR(INDEX(Pubs!$C$2:$C$3001,MATCH(G4521,Pubs!$A$2:$A$3001,0))&amp;"",""))</f>
        <v/>
      </c>
      <c r="J4521" s="27" t="str">
        <f aca="false">IF(OR(G4521="",G4521="?"),"",IFERROR(INDEX(Pubs!$G$2:$G$3001,MATCH(G4521,Pubs!$A$2:$A$3001,0))&amp;"",""))</f>
        <v/>
      </c>
      <c r="K4521" s="28" t="str">
        <f aca="false">IF(OR(G4521="",G4521="?"),"",IFERROR(INDEX(Pubs!$E$2:$E$3001,MATCH(G4521,Pubs!$A$2:$A$3001,0)),""))</f>
        <v/>
      </c>
      <c r="L4521" s="29" t="str">
        <f aca="false">IF(A4521="","",IFERROR(1/(1/INDEX(Numéros!$C$2:$C$3001,MATCH(A4521&amp;"|"&amp;B4521,Numéros!$F$2:$F$3001,0))),""))</f>
        <v/>
      </c>
      <c r="M4521" s="27" t="str">
        <f aca="false">IF(OR(G4521="",G4521="?"),"",IFERROR(INDEX(Pubs!$D$2:$D$3001,MATCH(G4521,Pubs!$A$2:$A$3001,0))&amp;"",""))</f>
        <v/>
      </c>
      <c r="N4521" s="27" t="n">
        <f aca="false">N(N4520)+IF(AND(A4521&lt;&gt;"",OR(Recherche!$C$4="",A4521=Recherche!$C$4),OR(Recherche!$C$5="",B4521&amp;""=Recherche!$C$5&amp;""),OR(Recherche!$C$6="",IFERROR(YEAR(L4521),0)=Recherche!$C$6),OR(Recherche!$C$7="",ISNUMBER(SEARCH(Recherche!$C$7,H4521))),OR(Recherche!$C$8="",J4521=Recherche!$C$8),OR(Recherche!$C$9="",I4521=Recherche!$C$9),OR(Recherche!$C$10="",G4521&amp;""=Recherche!$C$10&amp;""),OR(Recherche!$C$11="",E4521=Recherche!$C$11),OR(Recherche!$C$12="",ISNUMBER(SEARCH(Recherche!$C$12,M4521&amp;" "&amp;F4521)))),1,0)</f>
        <v>8</v>
      </c>
    </row>
    <row r="4522" customFormat="false" ht="15" hidden="false" customHeight="false" outlineLevel="0" collapsed="false">
      <c r="A4522" s="19"/>
      <c r="B4522" s="19"/>
      <c r="C4522" s="19"/>
      <c r="D4522" s="19"/>
      <c r="E4522" s="22"/>
      <c r="F4522" s="19"/>
      <c r="G4522" s="26" t="str">
        <f aca="false">IF(D4522="","",IFERROR(VALUE(LEFT(D4522,FIND(" |",D4522&amp;" |")-1)),"?"))</f>
        <v/>
      </c>
      <c r="H4522" s="27" t="str">
        <f aca="false">IF(G4522="","",IF(G4522="?","⚠ pub inconnue",IFERROR(INDEX(Pubs!$B$2:$B$3001,MATCH(G4522,Pubs!$A$2:$A$3001,0))&amp;"","⚠ pub inconnue")))</f>
        <v/>
      </c>
      <c r="I4522" s="27" t="str">
        <f aca="false">IF(OR(G4522="",G4522="?"),"",IFERROR(INDEX(Pubs!$C$2:$C$3001,MATCH(G4522,Pubs!$A$2:$A$3001,0))&amp;"",""))</f>
        <v/>
      </c>
      <c r="J4522" s="27" t="str">
        <f aca="false">IF(OR(G4522="",G4522="?"),"",IFERROR(INDEX(Pubs!$G$2:$G$3001,MATCH(G4522,Pubs!$A$2:$A$3001,0))&amp;"",""))</f>
        <v/>
      </c>
      <c r="K4522" s="28" t="str">
        <f aca="false">IF(OR(G4522="",G4522="?"),"",IFERROR(INDEX(Pubs!$E$2:$E$3001,MATCH(G4522,Pubs!$A$2:$A$3001,0)),""))</f>
        <v/>
      </c>
      <c r="L4522" s="29" t="str">
        <f aca="false">IF(A4522="","",IFERROR(1/(1/INDEX(Numéros!$C$2:$C$3001,MATCH(A4522&amp;"|"&amp;B4522,Numéros!$F$2:$F$3001,0))),""))</f>
        <v/>
      </c>
      <c r="M4522" s="27" t="str">
        <f aca="false">IF(OR(G4522="",G4522="?"),"",IFERROR(INDEX(Pubs!$D$2:$D$3001,MATCH(G4522,Pubs!$A$2:$A$3001,0))&amp;"",""))</f>
        <v/>
      </c>
      <c r="N4522" s="27" t="n">
        <f aca="false">N(N4521)+IF(AND(A4522&lt;&gt;"",OR(Recherche!$C$4="",A4522=Recherche!$C$4),OR(Recherche!$C$5="",B4522&amp;""=Recherche!$C$5&amp;""),OR(Recherche!$C$6="",IFERROR(YEAR(L4522),0)=Recherche!$C$6),OR(Recherche!$C$7="",ISNUMBER(SEARCH(Recherche!$C$7,H4522))),OR(Recherche!$C$8="",J4522=Recherche!$C$8),OR(Recherche!$C$9="",I4522=Recherche!$C$9),OR(Recherche!$C$10="",G4522&amp;""=Recherche!$C$10&amp;""),OR(Recherche!$C$11="",E4522=Recherche!$C$11),OR(Recherche!$C$12="",ISNUMBER(SEARCH(Recherche!$C$12,M4522&amp;" "&amp;F4522)))),1,0)</f>
        <v>8</v>
      </c>
    </row>
    <row r="4523" customFormat="false" ht="15" hidden="false" customHeight="false" outlineLevel="0" collapsed="false">
      <c r="A4523" s="19"/>
      <c r="B4523" s="19"/>
      <c r="C4523" s="19"/>
      <c r="D4523" s="19"/>
      <c r="E4523" s="22"/>
      <c r="F4523" s="19"/>
      <c r="G4523" s="26" t="str">
        <f aca="false">IF(D4523="","",IFERROR(VALUE(LEFT(D4523,FIND(" |",D4523&amp;" |")-1)),"?"))</f>
        <v/>
      </c>
      <c r="H4523" s="27" t="str">
        <f aca="false">IF(G4523="","",IF(G4523="?","⚠ pub inconnue",IFERROR(INDEX(Pubs!$B$2:$B$3001,MATCH(G4523,Pubs!$A$2:$A$3001,0))&amp;"","⚠ pub inconnue")))</f>
        <v/>
      </c>
      <c r="I4523" s="27" t="str">
        <f aca="false">IF(OR(G4523="",G4523="?"),"",IFERROR(INDEX(Pubs!$C$2:$C$3001,MATCH(G4523,Pubs!$A$2:$A$3001,0))&amp;"",""))</f>
        <v/>
      </c>
      <c r="J4523" s="27" t="str">
        <f aca="false">IF(OR(G4523="",G4523="?"),"",IFERROR(INDEX(Pubs!$G$2:$G$3001,MATCH(G4523,Pubs!$A$2:$A$3001,0))&amp;"",""))</f>
        <v/>
      </c>
      <c r="K4523" s="28" t="str">
        <f aca="false">IF(OR(G4523="",G4523="?"),"",IFERROR(INDEX(Pubs!$E$2:$E$3001,MATCH(G4523,Pubs!$A$2:$A$3001,0)),""))</f>
        <v/>
      </c>
      <c r="L4523" s="29" t="str">
        <f aca="false">IF(A4523="","",IFERROR(1/(1/INDEX(Numéros!$C$2:$C$3001,MATCH(A4523&amp;"|"&amp;B4523,Numéros!$F$2:$F$3001,0))),""))</f>
        <v/>
      </c>
      <c r="M4523" s="27" t="str">
        <f aca="false">IF(OR(G4523="",G4523="?"),"",IFERROR(INDEX(Pubs!$D$2:$D$3001,MATCH(G4523,Pubs!$A$2:$A$3001,0))&amp;"",""))</f>
        <v/>
      </c>
      <c r="N4523" s="27" t="n">
        <f aca="false">N(N4522)+IF(AND(A4523&lt;&gt;"",OR(Recherche!$C$4="",A4523=Recherche!$C$4),OR(Recherche!$C$5="",B4523&amp;""=Recherche!$C$5&amp;""),OR(Recherche!$C$6="",IFERROR(YEAR(L4523),0)=Recherche!$C$6),OR(Recherche!$C$7="",ISNUMBER(SEARCH(Recherche!$C$7,H4523))),OR(Recherche!$C$8="",J4523=Recherche!$C$8),OR(Recherche!$C$9="",I4523=Recherche!$C$9),OR(Recherche!$C$10="",G4523&amp;""=Recherche!$C$10&amp;""),OR(Recherche!$C$11="",E4523=Recherche!$C$11),OR(Recherche!$C$12="",ISNUMBER(SEARCH(Recherche!$C$12,M4523&amp;" "&amp;F4523)))),1,0)</f>
        <v>8</v>
      </c>
    </row>
    <row r="4524" customFormat="false" ht="15" hidden="false" customHeight="false" outlineLevel="0" collapsed="false">
      <c r="A4524" s="19"/>
      <c r="B4524" s="19"/>
      <c r="C4524" s="19"/>
      <c r="D4524" s="19"/>
      <c r="E4524" s="22"/>
      <c r="F4524" s="19"/>
      <c r="G4524" s="26" t="str">
        <f aca="false">IF(D4524="","",IFERROR(VALUE(LEFT(D4524,FIND(" |",D4524&amp;" |")-1)),"?"))</f>
        <v/>
      </c>
      <c r="H4524" s="27" t="str">
        <f aca="false">IF(G4524="","",IF(G4524="?","⚠ pub inconnue",IFERROR(INDEX(Pubs!$B$2:$B$3001,MATCH(G4524,Pubs!$A$2:$A$3001,0))&amp;"","⚠ pub inconnue")))</f>
        <v/>
      </c>
      <c r="I4524" s="27" t="str">
        <f aca="false">IF(OR(G4524="",G4524="?"),"",IFERROR(INDEX(Pubs!$C$2:$C$3001,MATCH(G4524,Pubs!$A$2:$A$3001,0))&amp;"",""))</f>
        <v/>
      </c>
      <c r="J4524" s="27" t="str">
        <f aca="false">IF(OR(G4524="",G4524="?"),"",IFERROR(INDEX(Pubs!$G$2:$G$3001,MATCH(G4524,Pubs!$A$2:$A$3001,0))&amp;"",""))</f>
        <v/>
      </c>
      <c r="K4524" s="28" t="str">
        <f aca="false">IF(OR(G4524="",G4524="?"),"",IFERROR(INDEX(Pubs!$E$2:$E$3001,MATCH(G4524,Pubs!$A$2:$A$3001,0)),""))</f>
        <v/>
      </c>
      <c r="L4524" s="29" t="str">
        <f aca="false">IF(A4524="","",IFERROR(1/(1/INDEX(Numéros!$C$2:$C$3001,MATCH(A4524&amp;"|"&amp;B4524,Numéros!$F$2:$F$3001,0))),""))</f>
        <v/>
      </c>
      <c r="M4524" s="27" t="str">
        <f aca="false">IF(OR(G4524="",G4524="?"),"",IFERROR(INDEX(Pubs!$D$2:$D$3001,MATCH(G4524,Pubs!$A$2:$A$3001,0))&amp;"",""))</f>
        <v/>
      </c>
      <c r="N4524" s="27" t="n">
        <f aca="false">N(N4523)+IF(AND(A4524&lt;&gt;"",OR(Recherche!$C$4="",A4524=Recherche!$C$4),OR(Recherche!$C$5="",B4524&amp;""=Recherche!$C$5&amp;""),OR(Recherche!$C$6="",IFERROR(YEAR(L4524),0)=Recherche!$C$6),OR(Recherche!$C$7="",ISNUMBER(SEARCH(Recherche!$C$7,H4524))),OR(Recherche!$C$8="",J4524=Recherche!$C$8),OR(Recherche!$C$9="",I4524=Recherche!$C$9),OR(Recherche!$C$10="",G4524&amp;""=Recherche!$C$10&amp;""),OR(Recherche!$C$11="",E4524=Recherche!$C$11),OR(Recherche!$C$12="",ISNUMBER(SEARCH(Recherche!$C$12,M4524&amp;" "&amp;F4524)))),1,0)</f>
        <v>8</v>
      </c>
    </row>
    <row r="4525" customFormat="false" ht="15" hidden="false" customHeight="false" outlineLevel="0" collapsed="false">
      <c r="A4525" s="19"/>
      <c r="B4525" s="19"/>
      <c r="C4525" s="19"/>
      <c r="D4525" s="19"/>
      <c r="E4525" s="22"/>
      <c r="F4525" s="19"/>
      <c r="G4525" s="26" t="str">
        <f aca="false">IF(D4525="","",IFERROR(VALUE(LEFT(D4525,FIND(" |",D4525&amp;" |")-1)),"?"))</f>
        <v/>
      </c>
      <c r="H4525" s="27" t="str">
        <f aca="false">IF(G4525="","",IF(G4525="?","⚠ pub inconnue",IFERROR(INDEX(Pubs!$B$2:$B$3001,MATCH(G4525,Pubs!$A$2:$A$3001,0))&amp;"","⚠ pub inconnue")))</f>
        <v/>
      </c>
      <c r="I4525" s="27" t="str">
        <f aca="false">IF(OR(G4525="",G4525="?"),"",IFERROR(INDEX(Pubs!$C$2:$C$3001,MATCH(G4525,Pubs!$A$2:$A$3001,0))&amp;"",""))</f>
        <v/>
      </c>
      <c r="J4525" s="27" t="str">
        <f aca="false">IF(OR(G4525="",G4525="?"),"",IFERROR(INDEX(Pubs!$G$2:$G$3001,MATCH(G4525,Pubs!$A$2:$A$3001,0))&amp;"",""))</f>
        <v/>
      </c>
      <c r="K4525" s="28" t="str">
        <f aca="false">IF(OR(G4525="",G4525="?"),"",IFERROR(INDEX(Pubs!$E$2:$E$3001,MATCH(G4525,Pubs!$A$2:$A$3001,0)),""))</f>
        <v/>
      </c>
      <c r="L4525" s="29" t="str">
        <f aca="false">IF(A4525="","",IFERROR(1/(1/INDEX(Numéros!$C$2:$C$3001,MATCH(A4525&amp;"|"&amp;B4525,Numéros!$F$2:$F$3001,0))),""))</f>
        <v/>
      </c>
      <c r="M4525" s="27" t="str">
        <f aca="false">IF(OR(G4525="",G4525="?"),"",IFERROR(INDEX(Pubs!$D$2:$D$3001,MATCH(G4525,Pubs!$A$2:$A$3001,0))&amp;"",""))</f>
        <v/>
      </c>
      <c r="N4525" s="27" t="n">
        <f aca="false">N(N4524)+IF(AND(A4525&lt;&gt;"",OR(Recherche!$C$4="",A4525=Recherche!$C$4),OR(Recherche!$C$5="",B4525&amp;""=Recherche!$C$5&amp;""),OR(Recherche!$C$6="",IFERROR(YEAR(L4525),0)=Recherche!$C$6),OR(Recherche!$C$7="",ISNUMBER(SEARCH(Recherche!$C$7,H4525))),OR(Recherche!$C$8="",J4525=Recherche!$C$8),OR(Recherche!$C$9="",I4525=Recherche!$C$9),OR(Recherche!$C$10="",G4525&amp;""=Recherche!$C$10&amp;""),OR(Recherche!$C$11="",E4525=Recherche!$C$11),OR(Recherche!$C$12="",ISNUMBER(SEARCH(Recherche!$C$12,M4525&amp;" "&amp;F4525)))),1,0)</f>
        <v>8</v>
      </c>
    </row>
    <row r="4526" customFormat="false" ht="15" hidden="false" customHeight="false" outlineLevel="0" collapsed="false">
      <c r="A4526" s="19"/>
      <c r="B4526" s="19"/>
      <c r="C4526" s="19"/>
      <c r="D4526" s="19"/>
      <c r="E4526" s="22"/>
      <c r="F4526" s="19"/>
      <c r="G4526" s="26" t="str">
        <f aca="false">IF(D4526="","",IFERROR(VALUE(LEFT(D4526,FIND(" |",D4526&amp;" |")-1)),"?"))</f>
        <v/>
      </c>
      <c r="H4526" s="27" t="str">
        <f aca="false">IF(G4526="","",IF(G4526="?","⚠ pub inconnue",IFERROR(INDEX(Pubs!$B$2:$B$3001,MATCH(G4526,Pubs!$A$2:$A$3001,0))&amp;"","⚠ pub inconnue")))</f>
        <v/>
      </c>
      <c r="I4526" s="27" t="str">
        <f aca="false">IF(OR(G4526="",G4526="?"),"",IFERROR(INDEX(Pubs!$C$2:$C$3001,MATCH(G4526,Pubs!$A$2:$A$3001,0))&amp;"",""))</f>
        <v/>
      </c>
      <c r="J4526" s="27" t="str">
        <f aca="false">IF(OR(G4526="",G4526="?"),"",IFERROR(INDEX(Pubs!$G$2:$G$3001,MATCH(G4526,Pubs!$A$2:$A$3001,0))&amp;"",""))</f>
        <v/>
      </c>
      <c r="K4526" s="28" t="str">
        <f aca="false">IF(OR(G4526="",G4526="?"),"",IFERROR(INDEX(Pubs!$E$2:$E$3001,MATCH(G4526,Pubs!$A$2:$A$3001,0)),""))</f>
        <v/>
      </c>
      <c r="L4526" s="29" t="str">
        <f aca="false">IF(A4526="","",IFERROR(1/(1/INDEX(Numéros!$C$2:$C$3001,MATCH(A4526&amp;"|"&amp;B4526,Numéros!$F$2:$F$3001,0))),""))</f>
        <v/>
      </c>
      <c r="M4526" s="27" t="str">
        <f aca="false">IF(OR(G4526="",G4526="?"),"",IFERROR(INDEX(Pubs!$D$2:$D$3001,MATCH(G4526,Pubs!$A$2:$A$3001,0))&amp;"",""))</f>
        <v/>
      </c>
      <c r="N4526" s="27" t="n">
        <f aca="false">N(N4525)+IF(AND(A4526&lt;&gt;"",OR(Recherche!$C$4="",A4526=Recherche!$C$4),OR(Recherche!$C$5="",B4526&amp;""=Recherche!$C$5&amp;""),OR(Recherche!$C$6="",IFERROR(YEAR(L4526),0)=Recherche!$C$6),OR(Recherche!$C$7="",ISNUMBER(SEARCH(Recherche!$C$7,H4526))),OR(Recherche!$C$8="",J4526=Recherche!$C$8),OR(Recherche!$C$9="",I4526=Recherche!$C$9),OR(Recherche!$C$10="",G4526&amp;""=Recherche!$C$10&amp;""),OR(Recherche!$C$11="",E4526=Recherche!$C$11),OR(Recherche!$C$12="",ISNUMBER(SEARCH(Recherche!$C$12,M4526&amp;" "&amp;F4526)))),1,0)</f>
        <v>8</v>
      </c>
    </row>
    <row r="4527" customFormat="false" ht="15" hidden="false" customHeight="false" outlineLevel="0" collapsed="false">
      <c r="A4527" s="19"/>
      <c r="B4527" s="19"/>
      <c r="C4527" s="19"/>
      <c r="D4527" s="19"/>
      <c r="E4527" s="22"/>
      <c r="F4527" s="19"/>
      <c r="G4527" s="26" t="str">
        <f aca="false">IF(D4527="","",IFERROR(VALUE(LEFT(D4527,FIND(" |",D4527&amp;" |")-1)),"?"))</f>
        <v/>
      </c>
      <c r="H4527" s="27" t="str">
        <f aca="false">IF(G4527="","",IF(G4527="?","⚠ pub inconnue",IFERROR(INDEX(Pubs!$B$2:$B$3001,MATCH(G4527,Pubs!$A$2:$A$3001,0))&amp;"","⚠ pub inconnue")))</f>
        <v/>
      </c>
      <c r="I4527" s="27" t="str">
        <f aca="false">IF(OR(G4527="",G4527="?"),"",IFERROR(INDEX(Pubs!$C$2:$C$3001,MATCH(G4527,Pubs!$A$2:$A$3001,0))&amp;"",""))</f>
        <v/>
      </c>
      <c r="J4527" s="27" t="str">
        <f aca="false">IF(OR(G4527="",G4527="?"),"",IFERROR(INDEX(Pubs!$G$2:$G$3001,MATCH(G4527,Pubs!$A$2:$A$3001,0))&amp;"",""))</f>
        <v/>
      </c>
      <c r="K4527" s="28" t="str">
        <f aca="false">IF(OR(G4527="",G4527="?"),"",IFERROR(INDEX(Pubs!$E$2:$E$3001,MATCH(G4527,Pubs!$A$2:$A$3001,0)),""))</f>
        <v/>
      </c>
      <c r="L4527" s="29" t="str">
        <f aca="false">IF(A4527="","",IFERROR(1/(1/INDEX(Numéros!$C$2:$C$3001,MATCH(A4527&amp;"|"&amp;B4527,Numéros!$F$2:$F$3001,0))),""))</f>
        <v/>
      </c>
      <c r="M4527" s="27" t="str">
        <f aca="false">IF(OR(G4527="",G4527="?"),"",IFERROR(INDEX(Pubs!$D$2:$D$3001,MATCH(G4527,Pubs!$A$2:$A$3001,0))&amp;"",""))</f>
        <v/>
      </c>
      <c r="N4527" s="27" t="n">
        <f aca="false">N(N4526)+IF(AND(A4527&lt;&gt;"",OR(Recherche!$C$4="",A4527=Recherche!$C$4),OR(Recherche!$C$5="",B4527&amp;""=Recherche!$C$5&amp;""),OR(Recherche!$C$6="",IFERROR(YEAR(L4527),0)=Recherche!$C$6),OR(Recherche!$C$7="",ISNUMBER(SEARCH(Recherche!$C$7,H4527))),OR(Recherche!$C$8="",J4527=Recherche!$C$8),OR(Recherche!$C$9="",I4527=Recherche!$C$9),OR(Recherche!$C$10="",G4527&amp;""=Recherche!$C$10&amp;""),OR(Recherche!$C$11="",E4527=Recherche!$C$11),OR(Recherche!$C$12="",ISNUMBER(SEARCH(Recherche!$C$12,M4527&amp;" "&amp;F4527)))),1,0)</f>
        <v>8</v>
      </c>
    </row>
    <row r="4528" customFormat="false" ht="15" hidden="false" customHeight="false" outlineLevel="0" collapsed="false">
      <c r="A4528" s="19"/>
      <c r="B4528" s="19"/>
      <c r="C4528" s="19"/>
      <c r="D4528" s="19"/>
      <c r="E4528" s="22"/>
      <c r="F4528" s="19"/>
      <c r="G4528" s="26" t="str">
        <f aca="false">IF(D4528="","",IFERROR(VALUE(LEFT(D4528,FIND(" |",D4528&amp;" |")-1)),"?"))</f>
        <v/>
      </c>
      <c r="H4528" s="27" t="str">
        <f aca="false">IF(G4528="","",IF(G4528="?","⚠ pub inconnue",IFERROR(INDEX(Pubs!$B$2:$B$3001,MATCH(G4528,Pubs!$A$2:$A$3001,0))&amp;"","⚠ pub inconnue")))</f>
        <v/>
      </c>
      <c r="I4528" s="27" t="str">
        <f aca="false">IF(OR(G4528="",G4528="?"),"",IFERROR(INDEX(Pubs!$C$2:$C$3001,MATCH(G4528,Pubs!$A$2:$A$3001,0))&amp;"",""))</f>
        <v/>
      </c>
      <c r="J4528" s="27" t="str">
        <f aca="false">IF(OR(G4528="",G4528="?"),"",IFERROR(INDEX(Pubs!$G$2:$G$3001,MATCH(G4528,Pubs!$A$2:$A$3001,0))&amp;"",""))</f>
        <v/>
      </c>
      <c r="K4528" s="28" t="str">
        <f aca="false">IF(OR(G4528="",G4528="?"),"",IFERROR(INDEX(Pubs!$E$2:$E$3001,MATCH(G4528,Pubs!$A$2:$A$3001,0)),""))</f>
        <v/>
      </c>
      <c r="L4528" s="29" t="str">
        <f aca="false">IF(A4528="","",IFERROR(1/(1/INDEX(Numéros!$C$2:$C$3001,MATCH(A4528&amp;"|"&amp;B4528,Numéros!$F$2:$F$3001,0))),""))</f>
        <v/>
      </c>
      <c r="M4528" s="27" t="str">
        <f aca="false">IF(OR(G4528="",G4528="?"),"",IFERROR(INDEX(Pubs!$D$2:$D$3001,MATCH(G4528,Pubs!$A$2:$A$3001,0))&amp;"",""))</f>
        <v/>
      </c>
      <c r="N4528" s="27" t="n">
        <f aca="false">N(N4527)+IF(AND(A4528&lt;&gt;"",OR(Recherche!$C$4="",A4528=Recherche!$C$4),OR(Recherche!$C$5="",B4528&amp;""=Recherche!$C$5&amp;""),OR(Recherche!$C$6="",IFERROR(YEAR(L4528),0)=Recherche!$C$6),OR(Recherche!$C$7="",ISNUMBER(SEARCH(Recherche!$C$7,H4528))),OR(Recherche!$C$8="",J4528=Recherche!$C$8),OR(Recherche!$C$9="",I4528=Recherche!$C$9),OR(Recherche!$C$10="",G4528&amp;""=Recherche!$C$10&amp;""),OR(Recherche!$C$11="",E4528=Recherche!$C$11),OR(Recherche!$C$12="",ISNUMBER(SEARCH(Recherche!$C$12,M4528&amp;" "&amp;F4528)))),1,0)</f>
        <v>8</v>
      </c>
    </row>
    <row r="4529" customFormat="false" ht="15" hidden="false" customHeight="false" outlineLevel="0" collapsed="false">
      <c r="A4529" s="19"/>
      <c r="B4529" s="19"/>
      <c r="C4529" s="19"/>
      <c r="D4529" s="19"/>
      <c r="E4529" s="22"/>
      <c r="F4529" s="19"/>
      <c r="G4529" s="26" t="str">
        <f aca="false">IF(D4529="","",IFERROR(VALUE(LEFT(D4529,FIND(" |",D4529&amp;" |")-1)),"?"))</f>
        <v/>
      </c>
      <c r="H4529" s="27" t="str">
        <f aca="false">IF(G4529="","",IF(G4529="?","⚠ pub inconnue",IFERROR(INDEX(Pubs!$B$2:$B$3001,MATCH(G4529,Pubs!$A$2:$A$3001,0))&amp;"","⚠ pub inconnue")))</f>
        <v/>
      </c>
      <c r="I4529" s="27" t="str">
        <f aca="false">IF(OR(G4529="",G4529="?"),"",IFERROR(INDEX(Pubs!$C$2:$C$3001,MATCH(G4529,Pubs!$A$2:$A$3001,0))&amp;"",""))</f>
        <v/>
      </c>
      <c r="J4529" s="27" t="str">
        <f aca="false">IF(OR(G4529="",G4529="?"),"",IFERROR(INDEX(Pubs!$G$2:$G$3001,MATCH(G4529,Pubs!$A$2:$A$3001,0))&amp;"",""))</f>
        <v/>
      </c>
      <c r="K4529" s="28" t="str">
        <f aca="false">IF(OR(G4529="",G4529="?"),"",IFERROR(INDEX(Pubs!$E$2:$E$3001,MATCH(G4529,Pubs!$A$2:$A$3001,0)),""))</f>
        <v/>
      </c>
      <c r="L4529" s="29" t="str">
        <f aca="false">IF(A4529="","",IFERROR(1/(1/INDEX(Numéros!$C$2:$C$3001,MATCH(A4529&amp;"|"&amp;B4529,Numéros!$F$2:$F$3001,0))),""))</f>
        <v/>
      </c>
      <c r="M4529" s="27" t="str">
        <f aca="false">IF(OR(G4529="",G4529="?"),"",IFERROR(INDEX(Pubs!$D$2:$D$3001,MATCH(G4529,Pubs!$A$2:$A$3001,0))&amp;"",""))</f>
        <v/>
      </c>
      <c r="N4529" s="27" t="n">
        <f aca="false">N(N4528)+IF(AND(A4529&lt;&gt;"",OR(Recherche!$C$4="",A4529=Recherche!$C$4),OR(Recherche!$C$5="",B4529&amp;""=Recherche!$C$5&amp;""),OR(Recherche!$C$6="",IFERROR(YEAR(L4529),0)=Recherche!$C$6),OR(Recherche!$C$7="",ISNUMBER(SEARCH(Recherche!$C$7,H4529))),OR(Recherche!$C$8="",J4529=Recherche!$C$8),OR(Recherche!$C$9="",I4529=Recherche!$C$9),OR(Recherche!$C$10="",G4529&amp;""=Recherche!$C$10&amp;""),OR(Recherche!$C$11="",E4529=Recherche!$C$11),OR(Recherche!$C$12="",ISNUMBER(SEARCH(Recherche!$C$12,M4529&amp;" "&amp;F4529)))),1,0)</f>
        <v>8</v>
      </c>
    </row>
    <row r="4530" customFormat="false" ht="15" hidden="false" customHeight="false" outlineLevel="0" collapsed="false">
      <c r="A4530" s="19"/>
      <c r="B4530" s="19"/>
      <c r="C4530" s="19"/>
      <c r="D4530" s="19"/>
      <c r="E4530" s="22"/>
      <c r="F4530" s="19"/>
      <c r="G4530" s="26" t="str">
        <f aca="false">IF(D4530="","",IFERROR(VALUE(LEFT(D4530,FIND(" |",D4530&amp;" |")-1)),"?"))</f>
        <v/>
      </c>
      <c r="H4530" s="27" t="str">
        <f aca="false">IF(G4530="","",IF(G4530="?","⚠ pub inconnue",IFERROR(INDEX(Pubs!$B$2:$B$3001,MATCH(G4530,Pubs!$A$2:$A$3001,0))&amp;"","⚠ pub inconnue")))</f>
        <v/>
      </c>
      <c r="I4530" s="27" t="str">
        <f aca="false">IF(OR(G4530="",G4530="?"),"",IFERROR(INDEX(Pubs!$C$2:$C$3001,MATCH(G4530,Pubs!$A$2:$A$3001,0))&amp;"",""))</f>
        <v/>
      </c>
      <c r="J4530" s="27" t="str">
        <f aca="false">IF(OR(G4530="",G4530="?"),"",IFERROR(INDEX(Pubs!$G$2:$G$3001,MATCH(G4530,Pubs!$A$2:$A$3001,0))&amp;"",""))</f>
        <v/>
      </c>
      <c r="K4530" s="28" t="str">
        <f aca="false">IF(OR(G4530="",G4530="?"),"",IFERROR(INDEX(Pubs!$E$2:$E$3001,MATCH(G4530,Pubs!$A$2:$A$3001,0)),""))</f>
        <v/>
      </c>
      <c r="L4530" s="29" t="str">
        <f aca="false">IF(A4530="","",IFERROR(1/(1/INDEX(Numéros!$C$2:$C$3001,MATCH(A4530&amp;"|"&amp;B4530,Numéros!$F$2:$F$3001,0))),""))</f>
        <v/>
      </c>
      <c r="M4530" s="27" t="str">
        <f aca="false">IF(OR(G4530="",G4530="?"),"",IFERROR(INDEX(Pubs!$D$2:$D$3001,MATCH(G4530,Pubs!$A$2:$A$3001,0))&amp;"",""))</f>
        <v/>
      </c>
      <c r="N4530" s="27" t="n">
        <f aca="false">N(N4529)+IF(AND(A4530&lt;&gt;"",OR(Recherche!$C$4="",A4530=Recherche!$C$4),OR(Recherche!$C$5="",B4530&amp;""=Recherche!$C$5&amp;""),OR(Recherche!$C$6="",IFERROR(YEAR(L4530),0)=Recherche!$C$6),OR(Recherche!$C$7="",ISNUMBER(SEARCH(Recherche!$C$7,H4530))),OR(Recherche!$C$8="",J4530=Recherche!$C$8),OR(Recherche!$C$9="",I4530=Recherche!$C$9),OR(Recherche!$C$10="",G4530&amp;""=Recherche!$C$10&amp;""),OR(Recherche!$C$11="",E4530=Recherche!$C$11),OR(Recherche!$C$12="",ISNUMBER(SEARCH(Recherche!$C$12,M4530&amp;" "&amp;F4530)))),1,0)</f>
        <v>8</v>
      </c>
    </row>
    <row r="4531" customFormat="false" ht="15" hidden="false" customHeight="false" outlineLevel="0" collapsed="false">
      <c r="A4531" s="19"/>
      <c r="B4531" s="19"/>
      <c r="C4531" s="19"/>
      <c r="D4531" s="19"/>
      <c r="E4531" s="22"/>
      <c r="F4531" s="19"/>
      <c r="G4531" s="26" t="str">
        <f aca="false">IF(D4531="","",IFERROR(VALUE(LEFT(D4531,FIND(" |",D4531&amp;" |")-1)),"?"))</f>
        <v/>
      </c>
      <c r="H4531" s="27" t="str">
        <f aca="false">IF(G4531="","",IF(G4531="?","⚠ pub inconnue",IFERROR(INDEX(Pubs!$B$2:$B$3001,MATCH(G4531,Pubs!$A$2:$A$3001,0))&amp;"","⚠ pub inconnue")))</f>
        <v/>
      </c>
      <c r="I4531" s="27" t="str">
        <f aca="false">IF(OR(G4531="",G4531="?"),"",IFERROR(INDEX(Pubs!$C$2:$C$3001,MATCH(G4531,Pubs!$A$2:$A$3001,0))&amp;"",""))</f>
        <v/>
      </c>
      <c r="J4531" s="27" t="str">
        <f aca="false">IF(OR(G4531="",G4531="?"),"",IFERROR(INDEX(Pubs!$G$2:$G$3001,MATCH(G4531,Pubs!$A$2:$A$3001,0))&amp;"",""))</f>
        <v/>
      </c>
      <c r="K4531" s="28" t="str">
        <f aca="false">IF(OR(G4531="",G4531="?"),"",IFERROR(INDEX(Pubs!$E$2:$E$3001,MATCH(G4531,Pubs!$A$2:$A$3001,0)),""))</f>
        <v/>
      </c>
      <c r="L4531" s="29" t="str">
        <f aca="false">IF(A4531="","",IFERROR(1/(1/INDEX(Numéros!$C$2:$C$3001,MATCH(A4531&amp;"|"&amp;B4531,Numéros!$F$2:$F$3001,0))),""))</f>
        <v/>
      </c>
      <c r="M4531" s="27" t="str">
        <f aca="false">IF(OR(G4531="",G4531="?"),"",IFERROR(INDEX(Pubs!$D$2:$D$3001,MATCH(G4531,Pubs!$A$2:$A$3001,0))&amp;"",""))</f>
        <v/>
      </c>
      <c r="N4531" s="27" t="n">
        <f aca="false">N(N4530)+IF(AND(A4531&lt;&gt;"",OR(Recherche!$C$4="",A4531=Recherche!$C$4),OR(Recherche!$C$5="",B4531&amp;""=Recherche!$C$5&amp;""),OR(Recherche!$C$6="",IFERROR(YEAR(L4531),0)=Recherche!$C$6),OR(Recherche!$C$7="",ISNUMBER(SEARCH(Recherche!$C$7,H4531))),OR(Recherche!$C$8="",J4531=Recherche!$C$8),OR(Recherche!$C$9="",I4531=Recherche!$C$9),OR(Recherche!$C$10="",G4531&amp;""=Recherche!$C$10&amp;""),OR(Recherche!$C$11="",E4531=Recherche!$C$11),OR(Recherche!$C$12="",ISNUMBER(SEARCH(Recherche!$C$12,M4531&amp;" "&amp;F4531)))),1,0)</f>
        <v>8</v>
      </c>
    </row>
    <row r="4532" customFormat="false" ht="15" hidden="false" customHeight="false" outlineLevel="0" collapsed="false">
      <c r="A4532" s="19"/>
      <c r="B4532" s="19"/>
      <c r="C4532" s="19"/>
      <c r="D4532" s="19"/>
      <c r="E4532" s="22"/>
      <c r="F4532" s="19"/>
      <c r="G4532" s="26" t="str">
        <f aca="false">IF(D4532="","",IFERROR(VALUE(LEFT(D4532,FIND(" |",D4532&amp;" |")-1)),"?"))</f>
        <v/>
      </c>
      <c r="H4532" s="27" t="str">
        <f aca="false">IF(G4532="","",IF(G4532="?","⚠ pub inconnue",IFERROR(INDEX(Pubs!$B$2:$B$3001,MATCH(G4532,Pubs!$A$2:$A$3001,0))&amp;"","⚠ pub inconnue")))</f>
        <v/>
      </c>
      <c r="I4532" s="27" t="str">
        <f aca="false">IF(OR(G4532="",G4532="?"),"",IFERROR(INDEX(Pubs!$C$2:$C$3001,MATCH(G4532,Pubs!$A$2:$A$3001,0))&amp;"",""))</f>
        <v/>
      </c>
      <c r="J4532" s="27" t="str">
        <f aca="false">IF(OR(G4532="",G4532="?"),"",IFERROR(INDEX(Pubs!$G$2:$G$3001,MATCH(G4532,Pubs!$A$2:$A$3001,0))&amp;"",""))</f>
        <v/>
      </c>
      <c r="K4532" s="28" t="str">
        <f aca="false">IF(OR(G4532="",G4532="?"),"",IFERROR(INDEX(Pubs!$E$2:$E$3001,MATCH(G4532,Pubs!$A$2:$A$3001,0)),""))</f>
        <v/>
      </c>
      <c r="L4532" s="29" t="str">
        <f aca="false">IF(A4532="","",IFERROR(1/(1/INDEX(Numéros!$C$2:$C$3001,MATCH(A4532&amp;"|"&amp;B4532,Numéros!$F$2:$F$3001,0))),""))</f>
        <v/>
      </c>
      <c r="M4532" s="27" t="str">
        <f aca="false">IF(OR(G4532="",G4532="?"),"",IFERROR(INDEX(Pubs!$D$2:$D$3001,MATCH(G4532,Pubs!$A$2:$A$3001,0))&amp;"",""))</f>
        <v/>
      </c>
      <c r="N4532" s="27" t="n">
        <f aca="false">N(N4531)+IF(AND(A4532&lt;&gt;"",OR(Recherche!$C$4="",A4532=Recherche!$C$4),OR(Recherche!$C$5="",B4532&amp;""=Recherche!$C$5&amp;""),OR(Recherche!$C$6="",IFERROR(YEAR(L4532),0)=Recherche!$C$6),OR(Recherche!$C$7="",ISNUMBER(SEARCH(Recherche!$C$7,H4532))),OR(Recherche!$C$8="",J4532=Recherche!$C$8),OR(Recherche!$C$9="",I4532=Recherche!$C$9),OR(Recherche!$C$10="",G4532&amp;""=Recherche!$C$10&amp;""),OR(Recherche!$C$11="",E4532=Recherche!$C$11),OR(Recherche!$C$12="",ISNUMBER(SEARCH(Recherche!$C$12,M4532&amp;" "&amp;F4532)))),1,0)</f>
        <v>8</v>
      </c>
    </row>
    <row r="4533" customFormat="false" ht="15" hidden="false" customHeight="false" outlineLevel="0" collapsed="false">
      <c r="A4533" s="19"/>
      <c r="B4533" s="19"/>
      <c r="C4533" s="19"/>
      <c r="D4533" s="19"/>
      <c r="E4533" s="22"/>
      <c r="F4533" s="19"/>
      <c r="G4533" s="26" t="str">
        <f aca="false">IF(D4533="","",IFERROR(VALUE(LEFT(D4533,FIND(" |",D4533&amp;" |")-1)),"?"))</f>
        <v/>
      </c>
      <c r="H4533" s="27" t="str">
        <f aca="false">IF(G4533="","",IF(G4533="?","⚠ pub inconnue",IFERROR(INDEX(Pubs!$B$2:$B$3001,MATCH(G4533,Pubs!$A$2:$A$3001,0))&amp;"","⚠ pub inconnue")))</f>
        <v/>
      </c>
      <c r="I4533" s="27" t="str">
        <f aca="false">IF(OR(G4533="",G4533="?"),"",IFERROR(INDEX(Pubs!$C$2:$C$3001,MATCH(G4533,Pubs!$A$2:$A$3001,0))&amp;"",""))</f>
        <v/>
      </c>
      <c r="J4533" s="27" t="str">
        <f aca="false">IF(OR(G4533="",G4533="?"),"",IFERROR(INDEX(Pubs!$G$2:$G$3001,MATCH(G4533,Pubs!$A$2:$A$3001,0))&amp;"",""))</f>
        <v/>
      </c>
      <c r="K4533" s="28" t="str">
        <f aca="false">IF(OR(G4533="",G4533="?"),"",IFERROR(INDEX(Pubs!$E$2:$E$3001,MATCH(G4533,Pubs!$A$2:$A$3001,0)),""))</f>
        <v/>
      </c>
      <c r="L4533" s="29" t="str">
        <f aca="false">IF(A4533="","",IFERROR(1/(1/INDEX(Numéros!$C$2:$C$3001,MATCH(A4533&amp;"|"&amp;B4533,Numéros!$F$2:$F$3001,0))),""))</f>
        <v/>
      </c>
      <c r="M4533" s="27" t="str">
        <f aca="false">IF(OR(G4533="",G4533="?"),"",IFERROR(INDEX(Pubs!$D$2:$D$3001,MATCH(G4533,Pubs!$A$2:$A$3001,0))&amp;"",""))</f>
        <v/>
      </c>
      <c r="N4533" s="27" t="n">
        <f aca="false">N(N4532)+IF(AND(A4533&lt;&gt;"",OR(Recherche!$C$4="",A4533=Recherche!$C$4),OR(Recherche!$C$5="",B4533&amp;""=Recherche!$C$5&amp;""),OR(Recherche!$C$6="",IFERROR(YEAR(L4533),0)=Recherche!$C$6),OR(Recherche!$C$7="",ISNUMBER(SEARCH(Recherche!$C$7,H4533))),OR(Recherche!$C$8="",J4533=Recherche!$C$8),OR(Recherche!$C$9="",I4533=Recherche!$C$9),OR(Recherche!$C$10="",G4533&amp;""=Recherche!$C$10&amp;""),OR(Recherche!$C$11="",E4533=Recherche!$C$11),OR(Recherche!$C$12="",ISNUMBER(SEARCH(Recherche!$C$12,M4533&amp;" "&amp;F4533)))),1,0)</f>
        <v>8</v>
      </c>
    </row>
    <row r="4534" customFormat="false" ht="15" hidden="false" customHeight="false" outlineLevel="0" collapsed="false">
      <c r="A4534" s="19"/>
      <c r="B4534" s="19"/>
      <c r="C4534" s="19"/>
      <c r="D4534" s="19"/>
      <c r="E4534" s="22"/>
      <c r="F4534" s="19"/>
      <c r="G4534" s="26" t="str">
        <f aca="false">IF(D4534="","",IFERROR(VALUE(LEFT(D4534,FIND(" |",D4534&amp;" |")-1)),"?"))</f>
        <v/>
      </c>
      <c r="H4534" s="27" t="str">
        <f aca="false">IF(G4534="","",IF(G4534="?","⚠ pub inconnue",IFERROR(INDEX(Pubs!$B$2:$B$3001,MATCH(G4534,Pubs!$A$2:$A$3001,0))&amp;"","⚠ pub inconnue")))</f>
        <v/>
      </c>
      <c r="I4534" s="27" t="str">
        <f aca="false">IF(OR(G4534="",G4534="?"),"",IFERROR(INDEX(Pubs!$C$2:$C$3001,MATCH(G4534,Pubs!$A$2:$A$3001,0))&amp;"",""))</f>
        <v/>
      </c>
      <c r="J4534" s="27" t="str">
        <f aca="false">IF(OR(G4534="",G4534="?"),"",IFERROR(INDEX(Pubs!$G$2:$G$3001,MATCH(G4534,Pubs!$A$2:$A$3001,0))&amp;"",""))</f>
        <v/>
      </c>
      <c r="K4534" s="28" t="str">
        <f aca="false">IF(OR(G4534="",G4534="?"),"",IFERROR(INDEX(Pubs!$E$2:$E$3001,MATCH(G4534,Pubs!$A$2:$A$3001,0)),""))</f>
        <v/>
      </c>
      <c r="L4534" s="29" t="str">
        <f aca="false">IF(A4534="","",IFERROR(1/(1/INDEX(Numéros!$C$2:$C$3001,MATCH(A4534&amp;"|"&amp;B4534,Numéros!$F$2:$F$3001,0))),""))</f>
        <v/>
      </c>
      <c r="M4534" s="27" t="str">
        <f aca="false">IF(OR(G4534="",G4534="?"),"",IFERROR(INDEX(Pubs!$D$2:$D$3001,MATCH(G4534,Pubs!$A$2:$A$3001,0))&amp;"",""))</f>
        <v/>
      </c>
      <c r="N4534" s="27" t="n">
        <f aca="false">N(N4533)+IF(AND(A4534&lt;&gt;"",OR(Recherche!$C$4="",A4534=Recherche!$C$4),OR(Recherche!$C$5="",B4534&amp;""=Recherche!$C$5&amp;""),OR(Recherche!$C$6="",IFERROR(YEAR(L4534),0)=Recherche!$C$6),OR(Recherche!$C$7="",ISNUMBER(SEARCH(Recherche!$C$7,H4534))),OR(Recherche!$C$8="",J4534=Recherche!$C$8),OR(Recherche!$C$9="",I4534=Recherche!$C$9),OR(Recherche!$C$10="",G4534&amp;""=Recherche!$C$10&amp;""),OR(Recherche!$C$11="",E4534=Recherche!$C$11),OR(Recherche!$C$12="",ISNUMBER(SEARCH(Recherche!$C$12,M4534&amp;" "&amp;F4534)))),1,0)</f>
        <v>8</v>
      </c>
    </row>
    <row r="4535" customFormat="false" ht="15" hidden="false" customHeight="false" outlineLevel="0" collapsed="false">
      <c r="A4535" s="19"/>
      <c r="B4535" s="19"/>
      <c r="C4535" s="19"/>
      <c r="D4535" s="19"/>
      <c r="E4535" s="22"/>
      <c r="F4535" s="19"/>
      <c r="G4535" s="26" t="str">
        <f aca="false">IF(D4535="","",IFERROR(VALUE(LEFT(D4535,FIND(" |",D4535&amp;" |")-1)),"?"))</f>
        <v/>
      </c>
      <c r="H4535" s="27" t="str">
        <f aca="false">IF(G4535="","",IF(G4535="?","⚠ pub inconnue",IFERROR(INDEX(Pubs!$B$2:$B$3001,MATCH(G4535,Pubs!$A$2:$A$3001,0))&amp;"","⚠ pub inconnue")))</f>
        <v/>
      </c>
      <c r="I4535" s="27" t="str">
        <f aca="false">IF(OR(G4535="",G4535="?"),"",IFERROR(INDEX(Pubs!$C$2:$C$3001,MATCH(G4535,Pubs!$A$2:$A$3001,0))&amp;"",""))</f>
        <v/>
      </c>
      <c r="J4535" s="27" t="str">
        <f aca="false">IF(OR(G4535="",G4535="?"),"",IFERROR(INDEX(Pubs!$G$2:$G$3001,MATCH(G4535,Pubs!$A$2:$A$3001,0))&amp;"",""))</f>
        <v/>
      </c>
      <c r="K4535" s="28" t="str">
        <f aca="false">IF(OR(G4535="",G4535="?"),"",IFERROR(INDEX(Pubs!$E$2:$E$3001,MATCH(G4535,Pubs!$A$2:$A$3001,0)),""))</f>
        <v/>
      </c>
      <c r="L4535" s="29" t="str">
        <f aca="false">IF(A4535="","",IFERROR(1/(1/INDEX(Numéros!$C$2:$C$3001,MATCH(A4535&amp;"|"&amp;B4535,Numéros!$F$2:$F$3001,0))),""))</f>
        <v/>
      </c>
      <c r="M4535" s="27" t="str">
        <f aca="false">IF(OR(G4535="",G4535="?"),"",IFERROR(INDEX(Pubs!$D$2:$D$3001,MATCH(G4535,Pubs!$A$2:$A$3001,0))&amp;"",""))</f>
        <v/>
      </c>
      <c r="N4535" s="27" t="n">
        <f aca="false">N(N4534)+IF(AND(A4535&lt;&gt;"",OR(Recherche!$C$4="",A4535=Recherche!$C$4),OR(Recherche!$C$5="",B4535&amp;""=Recherche!$C$5&amp;""),OR(Recherche!$C$6="",IFERROR(YEAR(L4535),0)=Recherche!$C$6),OR(Recherche!$C$7="",ISNUMBER(SEARCH(Recherche!$C$7,H4535))),OR(Recherche!$C$8="",J4535=Recherche!$C$8),OR(Recherche!$C$9="",I4535=Recherche!$C$9),OR(Recherche!$C$10="",G4535&amp;""=Recherche!$C$10&amp;""),OR(Recherche!$C$11="",E4535=Recherche!$C$11),OR(Recherche!$C$12="",ISNUMBER(SEARCH(Recherche!$C$12,M4535&amp;" "&amp;F4535)))),1,0)</f>
        <v>8</v>
      </c>
    </row>
    <row r="4536" customFormat="false" ht="15" hidden="false" customHeight="false" outlineLevel="0" collapsed="false">
      <c r="A4536" s="19"/>
      <c r="B4536" s="19"/>
      <c r="C4536" s="19"/>
      <c r="D4536" s="19"/>
      <c r="E4536" s="22"/>
      <c r="F4536" s="19"/>
      <c r="G4536" s="26" t="str">
        <f aca="false">IF(D4536="","",IFERROR(VALUE(LEFT(D4536,FIND(" |",D4536&amp;" |")-1)),"?"))</f>
        <v/>
      </c>
      <c r="H4536" s="27" t="str">
        <f aca="false">IF(G4536="","",IF(G4536="?","⚠ pub inconnue",IFERROR(INDEX(Pubs!$B$2:$B$3001,MATCH(G4536,Pubs!$A$2:$A$3001,0))&amp;"","⚠ pub inconnue")))</f>
        <v/>
      </c>
      <c r="I4536" s="27" t="str">
        <f aca="false">IF(OR(G4536="",G4536="?"),"",IFERROR(INDEX(Pubs!$C$2:$C$3001,MATCH(G4536,Pubs!$A$2:$A$3001,0))&amp;"",""))</f>
        <v/>
      </c>
      <c r="J4536" s="27" t="str">
        <f aca="false">IF(OR(G4536="",G4536="?"),"",IFERROR(INDEX(Pubs!$G$2:$G$3001,MATCH(G4536,Pubs!$A$2:$A$3001,0))&amp;"",""))</f>
        <v/>
      </c>
      <c r="K4536" s="28" t="str">
        <f aca="false">IF(OR(G4536="",G4536="?"),"",IFERROR(INDEX(Pubs!$E$2:$E$3001,MATCH(G4536,Pubs!$A$2:$A$3001,0)),""))</f>
        <v/>
      </c>
      <c r="L4536" s="29" t="str">
        <f aca="false">IF(A4536="","",IFERROR(1/(1/INDEX(Numéros!$C$2:$C$3001,MATCH(A4536&amp;"|"&amp;B4536,Numéros!$F$2:$F$3001,0))),""))</f>
        <v/>
      </c>
      <c r="M4536" s="27" t="str">
        <f aca="false">IF(OR(G4536="",G4536="?"),"",IFERROR(INDEX(Pubs!$D$2:$D$3001,MATCH(G4536,Pubs!$A$2:$A$3001,0))&amp;"",""))</f>
        <v/>
      </c>
      <c r="N4536" s="27" t="n">
        <f aca="false">N(N4535)+IF(AND(A4536&lt;&gt;"",OR(Recherche!$C$4="",A4536=Recherche!$C$4),OR(Recherche!$C$5="",B4536&amp;""=Recherche!$C$5&amp;""),OR(Recherche!$C$6="",IFERROR(YEAR(L4536),0)=Recherche!$C$6),OR(Recherche!$C$7="",ISNUMBER(SEARCH(Recherche!$C$7,H4536))),OR(Recherche!$C$8="",J4536=Recherche!$C$8),OR(Recherche!$C$9="",I4536=Recherche!$C$9),OR(Recherche!$C$10="",G4536&amp;""=Recherche!$C$10&amp;""),OR(Recherche!$C$11="",E4536=Recherche!$C$11),OR(Recherche!$C$12="",ISNUMBER(SEARCH(Recherche!$C$12,M4536&amp;" "&amp;F4536)))),1,0)</f>
        <v>8</v>
      </c>
    </row>
    <row r="4537" customFormat="false" ht="15" hidden="false" customHeight="false" outlineLevel="0" collapsed="false">
      <c r="A4537" s="19"/>
      <c r="B4537" s="19"/>
      <c r="C4537" s="19"/>
      <c r="D4537" s="19"/>
      <c r="E4537" s="22"/>
      <c r="F4537" s="19"/>
      <c r="G4537" s="26" t="str">
        <f aca="false">IF(D4537="","",IFERROR(VALUE(LEFT(D4537,FIND(" |",D4537&amp;" |")-1)),"?"))</f>
        <v/>
      </c>
      <c r="H4537" s="27" t="str">
        <f aca="false">IF(G4537="","",IF(G4537="?","⚠ pub inconnue",IFERROR(INDEX(Pubs!$B$2:$B$3001,MATCH(G4537,Pubs!$A$2:$A$3001,0))&amp;"","⚠ pub inconnue")))</f>
        <v/>
      </c>
      <c r="I4537" s="27" t="str">
        <f aca="false">IF(OR(G4537="",G4537="?"),"",IFERROR(INDEX(Pubs!$C$2:$C$3001,MATCH(G4537,Pubs!$A$2:$A$3001,0))&amp;"",""))</f>
        <v/>
      </c>
      <c r="J4537" s="27" t="str">
        <f aca="false">IF(OR(G4537="",G4537="?"),"",IFERROR(INDEX(Pubs!$G$2:$G$3001,MATCH(G4537,Pubs!$A$2:$A$3001,0))&amp;"",""))</f>
        <v/>
      </c>
      <c r="K4537" s="28" t="str">
        <f aca="false">IF(OR(G4537="",G4537="?"),"",IFERROR(INDEX(Pubs!$E$2:$E$3001,MATCH(G4537,Pubs!$A$2:$A$3001,0)),""))</f>
        <v/>
      </c>
      <c r="L4537" s="29" t="str">
        <f aca="false">IF(A4537="","",IFERROR(1/(1/INDEX(Numéros!$C$2:$C$3001,MATCH(A4537&amp;"|"&amp;B4537,Numéros!$F$2:$F$3001,0))),""))</f>
        <v/>
      </c>
      <c r="M4537" s="27" t="str">
        <f aca="false">IF(OR(G4537="",G4537="?"),"",IFERROR(INDEX(Pubs!$D$2:$D$3001,MATCH(G4537,Pubs!$A$2:$A$3001,0))&amp;"",""))</f>
        <v/>
      </c>
      <c r="N4537" s="27" t="n">
        <f aca="false">N(N4536)+IF(AND(A4537&lt;&gt;"",OR(Recherche!$C$4="",A4537=Recherche!$C$4),OR(Recherche!$C$5="",B4537&amp;""=Recherche!$C$5&amp;""),OR(Recherche!$C$6="",IFERROR(YEAR(L4537),0)=Recherche!$C$6),OR(Recherche!$C$7="",ISNUMBER(SEARCH(Recherche!$C$7,H4537))),OR(Recherche!$C$8="",J4537=Recherche!$C$8),OR(Recherche!$C$9="",I4537=Recherche!$C$9),OR(Recherche!$C$10="",G4537&amp;""=Recherche!$C$10&amp;""),OR(Recherche!$C$11="",E4537=Recherche!$C$11),OR(Recherche!$C$12="",ISNUMBER(SEARCH(Recherche!$C$12,M4537&amp;" "&amp;F4537)))),1,0)</f>
        <v>8</v>
      </c>
    </row>
    <row r="4538" customFormat="false" ht="15" hidden="false" customHeight="false" outlineLevel="0" collapsed="false">
      <c r="A4538" s="19"/>
      <c r="B4538" s="19"/>
      <c r="C4538" s="19"/>
      <c r="D4538" s="19"/>
      <c r="E4538" s="22"/>
      <c r="F4538" s="19"/>
      <c r="G4538" s="26" t="str">
        <f aca="false">IF(D4538="","",IFERROR(VALUE(LEFT(D4538,FIND(" |",D4538&amp;" |")-1)),"?"))</f>
        <v/>
      </c>
      <c r="H4538" s="27" t="str">
        <f aca="false">IF(G4538="","",IF(G4538="?","⚠ pub inconnue",IFERROR(INDEX(Pubs!$B$2:$B$3001,MATCH(G4538,Pubs!$A$2:$A$3001,0))&amp;"","⚠ pub inconnue")))</f>
        <v/>
      </c>
      <c r="I4538" s="27" t="str">
        <f aca="false">IF(OR(G4538="",G4538="?"),"",IFERROR(INDEX(Pubs!$C$2:$C$3001,MATCH(G4538,Pubs!$A$2:$A$3001,0))&amp;"",""))</f>
        <v/>
      </c>
      <c r="J4538" s="27" t="str">
        <f aca="false">IF(OR(G4538="",G4538="?"),"",IFERROR(INDEX(Pubs!$G$2:$G$3001,MATCH(G4538,Pubs!$A$2:$A$3001,0))&amp;"",""))</f>
        <v/>
      </c>
      <c r="K4538" s="28" t="str">
        <f aca="false">IF(OR(G4538="",G4538="?"),"",IFERROR(INDEX(Pubs!$E$2:$E$3001,MATCH(G4538,Pubs!$A$2:$A$3001,0)),""))</f>
        <v/>
      </c>
      <c r="L4538" s="29" t="str">
        <f aca="false">IF(A4538="","",IFERROR(1/(1/INDEX(Numéros!$C$2:$C$3001,MATCH(A4538&amp;"|"&amp;B4538,Numéros!$F$2:$F$3001,0))),""))</f>
        <v/>
      </c>
      <c r="M4538" s="27" t="str">
        <f aca="false">IF(OR(G4538="",G4538="?"),"",IFERROR(INDEX(Pubs!$D$2:$D$3001,MATCH(G4538,Pubs!$A$2:$A$3001,0))&amp;"",""))</f>
        <v/>
      </c>
      <c r="N4538" s="27" t="n">
        <f aca="false">N(N4537)+IF(AND(A4538&lt;&gt;"",OR(Recherche!$C$4="",A4538=Recherche!$C$4),OR(Recherche!$C$5="",B4538&amp;""=Recherche!$C$5&amp;""),OR(Recherche!$C$6="",IFERROR(YEAR(L4538),0)=Recherche!$C$6),OR(Recherche!$C$7="",ISNUMBER(SEARCH(Recherche!$C$7,H4538))),OR(Recherche!$C$8="",J4538=Recherche!$C$8),OR(Recherche!$C$9="",I4538=Recherche!$C$9),OR(Recherche!$C$10="",G4538&amp;""=Recherche!$C$10&amp;""),OR(Recherche!$C$11="",E4538=Recherche!$C$11),OR(Recherche!$C$12="",ISNUMBER(SEARCH(Recherche!$C$12,M4538&amp;" "&amp;F4538)))),1,0)</f>
        <v>8</v>
      </c>
    </row>
    <row r="4539" customFormat="false" ht="15" hidden="false" customHeight="false" outlineLevel="0" collapsed="false">
      <c r="A4539" s="19"/>
      <c r="B4539" s="19"/>
      <c r="C4539" s="19"/>
      <c r="D4539" s="19"/>
      <c r="E4539" s="22"/>
      <c r="F4539" s="19"/>
      <c r="G4539" s="26" t="str">
        <f aca="false">IF(D4539="","",IFERROR(VALUE(LEFT(D4539,FIND(" |",D4539&amp;" |")-1)),"?"))</f>
        <v/>
      </c>
      <c r="H4539" s="27" t="str">
        <f aca="false">IF(G4539="","",IF(G4539="?","⚠ pub inconnue",IFERROR(INDEX(Pubs!$B$2:$B$3001,MATCH(G4539,Pubs!$A$2:$A$3001,0))&amp;"","⚠ pub inconnue")))</f>
        <v/>
      </c>
      <c r="I4539" s="27" t="str">
        <f aca="false">IF(OR(G4539="",G4539="?"),"",IFERROR(INDEX(Pubs!$C$2:$C$3001,MATCH(G4539,Pubs!$A$2:$A$3001,0))&amp;"",""))</f>
        <v/>
      </c>
      <c r="J4539" s="27" t="str">
        <f aca="false">IF(OR(G4539="",G4539="?"),"",IFERROR(INDEX(Pubs!$G$2:$G$3001,MATCH(G4539,Pubs!$A$2:$A$3001,0))&amp;"",""))</f>
        <v/>
      </c>
      <c r="K4539" s="28" t="str">
        <f aca="false">IF(OR(G4539="",G4539="?"),"",IFERROR(INDEX(Pubs!$E$2:$E$3001,MATCH(G4539,Pubs!$A$2:$A$3001,0)),""))</f>
        <v/>
      </c>
      <c r="L4539" s="29" t="str">
        <f aca="false">IF(A4539="","",IFERROR(1/(1/INDEX(Numéros!$C$2:$C$3001,MATCH(A4539&amp;"|"&amp;B4539,Numéros!$F$2:$F$3001,0))),""))</f>
        <v/>
      </c>
      <c r="M4539" s="27" t="str">
        <f aca="false">IF(OR(G4539="",G4539="?"),"",IFERROR(INDEX(Pubs!$D$2:$D$3001,MATCH(G4539,Pubs!$A$2:$A$3001,0))&amp;"",""))</f>
        <v/>
      </c>
      <c r="N4539" s="27" t="n">
        <f aca="false">N(N4538)+IF(AND(A4539&lt;&gt;"",OR(Recherche!$C$4="",A4539=Recherche!$C$4),OR(Recherche!$C$5="",B4539&amp;""=Recherche!$C$5&amp;""),OR(Recherche!$C$6="",IFERROR(YEAR(L4539),0)=Recherche!$C$6),OR(Recherche!$C$7="",ISNUMBER(SEARCH(Recherche!$C$7,H4539))),OR(Recherche!$C$8="",J4539=Recherche!$C$8),OR(Recherche!$C$9="",I4539=Recherche!$C$9),OR(Recherche!$C$10="",G4539&amp;""=Recherche!$C$10&amp;""),OR(Recherche!$C$11="",E4539=Recherche!$C$11),OR(Recherche!$C$12="",ISNUMBER(SEARCH(Recherche!$C$12,M4539&amp;" "&amp;F4539)))),1,0)</f>
        <v>8</v>
      </c>
    </row>
    <row r="4540" customFormat="false" ht="15" hidden="false" customHeight="false" outlineLevel="0" collapsed="false">
      <c r="A4540" s="19"/>
      <c r="B4540" s="19"/>
      <c r="C4540" s="19"/>
      <c r="D4540" s="19"/>
      <c r="E4540" s="22"/>
      <c r="F4540" s="19"/>
      <c r="G4540" s="26" t="str">
        <f aca="false">IF(D4540="","",IFERROR(VALUE(LEFT(D4540,FIND(" |",D4540&amp;" |")-1)),"?"))</f>
        <v/>
      </c>
      <c r="H4540" s="27" t="str">
        <f aca="false">IF(G4540="","",IF(G4540="?","⚠ pub inconnue",IFERROR(INDEX(Pubs!$B$2:$B$3001,MATCH(G4540,Pubs!$A$2:$A$3001,0))&amp;"","⚠ pub inconnue")))</f>
        <v/>
      </c>
      <c r="I4540" s="27" t="str">
        <f aca="false">IF(OR(G4540="",G4540="?"),"",IFERROR(INDEX(Pubs!$C$2:$C$3001,MATCH(G4540,Pubs!$A$2:$A$3001,0))&amp;"",""))</f>
        <v/>
      </c>
      <c r="J4540" s="27" t="str">
        <f aca="false">IF(OR(G4540="",G4540="?"),"",IFERROR(INDEX(Pubs!$G$2:$G$3001,MATCH(G4540,Pubs!$A$2:$A$3001,0))&amp;"",""))</f>
        <v/>
      </c>
      <c r="K4540" s="28" t="str">
        <f aca="false">IF(OR(G4540="",G4540="?"),"",IFERROR(INDEX(Pubs!$E$2:$E$3001,MATCH(G4540,Pubs!$A$2:$A$3001,0)),""))</f>
        <v/>
      </c>
      <c r="L4540" s="29" t="str">
        <f aca="false">IF(A4540="","",IFERROR(1/(1/INDEX(Numéros!$C$2:$C$3001,MATCH(A4540&amp;"|"&amp;B4540,Numéros!$F$2:$F$3001,0))),""))</f>
        <v/>
      </c>
      <c r="M4540" s="27" t="str">
        <f aca="false">IF(OR(G4540="",G4540="?"),"",IFERROR(INDEX(Pubs!$D$2:$D$3001,MATCH(G4540,Pubs!$A$2:$A$3001,0))&amp;"",""))</f>
        <v/>
      </c>
      <c r="N4540" s="27" t="n">
        <f aca="false">N(N4539)+IF(AND(A4540&lt;&gt;"",OR(Recherche!$C$4="",A4540=Recherche!$C$4),OR(Recherche!$C$5="",B4540&amp;""=Recherche!$C$5&amp;""),OR(Recherche!$C$6="",IFERROR(YEAR(L4540),0)=Recherche!$C$6),OR(Recherche!$C$7="",ISNUMBER(SEARCH(Recherche!$C$7,H4540))),OR(Recherche!$C$8="",J4540=Recherche!$C$8),OR(Recherche!$C$9="",I4540=Recherche!$C$9),OR(Recherche!$C$10="",G4540&amp;""=Recherche!$C$10&amp;""),OR(Recherche!$C$11="",E4540=Recherche!$C$11),OR(Recherche!$C$12="",ISNUMBER(SEARCH(Recherche!$C$12,M4540&amp;" "&amp;F4540)))),1,0)</f>
        <v>8</v>
      </c>
    </row>
    <row r="4541" customFormat="false" ht="15" hidden="false" customHeight="false" outlineLevel="0" collapsed="false">
      <c r="A4541" s="19"/>
      <c r="B4541" s="19"/>
      <c r="C4541" s="19"/>
      <c r="D4541" s="19"/>
      <c r="E4541" s="22"/>
      <c r="F4541" s="19"/>
      <c r="G4541" s="26" t="str">
        <f aca="false">IF(D4541="","",IFERROR(VALUE(LEFT(D4541,FIND(" |",D4541&amp;" |")-1)),"?"))</f>
        <v/>
      </c>
      <c r="H4541" s="27" t="str">
        <f aca="false">IF(G4541="","",IF(G4541="?","⚠ pub inconnue",IFERROR(INDEX(Pubs!$B$2:$B$3001,MATCH(G4541,Pubs!$A$2:$A$3001,0))&amp;"","⚠ pub inconnue")))</f>
        <v/>
      </c>
      <c r="I4541" s="27" t="str">
        <f aca="false">IF(OR(G4541="",G4541="?"),"",IFERROR(INDEX(Pubs!$C$2:$C$3001,MATCH(G4541,Pubs!$A$2:$A$3001,0))&amp;"",""))</f>
        <v/>
      </c>
      <c r="J4541" s="27" t="str">
        <f aca="false">IF(OR(G4541="",G4541="?"),"",IFERROR(INDEX(Pubs!$G$2:$G$3001,MATCH(G4541,Pubs!$A$2:$A$3001,0))&amp;"",""))</f>
        <v/>
      </c>
      <c r="K4541" s="28" t="str">
        <f aca="false">IF(OR(G4541="",G4541="?"),"",IFERROR(INDEX(Pubs!$E$2:$E$3001,MATCH(G4541,Pubs!$A$2:$A$3001,0)),""))</f>
        <v/>
      </c>
      <c r="L4541" s="29" t="str">
        <f aca="false">IF(A4541="","",IFERROR(1/(1/INDEX(Numéros!$C$2:$C$3001,MATCH(A4541&amp;"|"&amp;B4541,Numéros!$F$2:$F$3001,0))),""))</f>
        <v/>
      </c>
      <c r="M4541" s="27" t="str">
        <f aca="false">IF(OR(G4541="",G4541="?"),"",IFERROR(INDEX(Pubs!$D$2:$D$3001,MATCH(G4541,Pubs!$A$2:$A$3001,0))&amp;"",""))</f>
        <v/>
      </c>
      <c r="N4541" s="27" t="n">
        <f aca="false">N(N4540)+IF(AND(A4541&lt;&gt;"",OR(Recherche!$C$4="",A4541=Recherche!$C$4),OR(Recherche!$C$5="",B4541&amp;""=Recherche!$C$5&amp;""),OR(Recherche!$C$6="",IFERROR(YEAR(L4541),0)=Recherche!$C$6),OR(Recherche!$C$7="",ISNUMBER(SEARCH(Recherche!$C$7,H4541))),OR(Recherche!$C$8="",J4541=Recherche!$C$8),OR(Recherche!$C$9="",I4541=Recherche!$C$9),OR(Recherche!$C$10="",G4541&amp;""=Recherche!$C$10&amp;""),OR(Recherche!$C$11="",E4541=Recherche!$C$11),OR(Recherche!$C$12="",ISNUMBER(SEARCH(Recherche!$C$12,M4541&amp;" "&amp;F4541)))),1,0)</f>
        <v>8</v>
      </c>
    </row>
    <row r="4542" customFormat="false" ht="15" hidden="false" customHeight="false" outlineLevel="0" collapsed="false">
      <c r="A4542" s="19"/>
      <c r="B4542" s="19"/>
      <c r="C4542" s="19"/>
      <c r="D4542" s="19"/>
      <c r="E4542" s="22"/>
      <c r="F4542" s="19"/>
      <c r="G4542" s="26" t="str">
        <f aca="false">IF(D4542="","",IFERROR(VALUE(LEFT(D4542,FIND(" |",D4542&amp;" |")-1)),"?"))</f>
        <v/>
      </c>
      <c r="H4542" s="27" t="str">
        <f aca="false">IF(G4542="","",IF(G4542="?","⚠ pub inconnue",IFERROR(INDEX(Pubs!$B$2:$B$3001,MATCH(G4542,Pubs!$A$2:$A$3001,0))&amp;"","⚠ pub inconnue")))</f>
        <v/>
      </c>
      <c r="I4542" s="27" t="str">
        <f aca="false">IF(OR(G4542="",G4542="?"),"",IFERROR(INDEX(Pubs!$C$2:$C$3001,MATCH(G4542,Pubs!$A$2:$A$3001,0))&amp;"",""))</f>
        <v/>
      </c>
      <c r="J4542" s="27" t="str">
        <f aca="false">IF(OR(G4542="",G4542="?"),"",IFERROR(INDEX(Pubs!$G$2:$G$3001,MATCH(G4542,Pubs!$A$2:$A$3001,0))&amp;"",""))</f>
        <v/>
      </c>
      <c r="K4542" s="28" t="str">
        <f aca="false">IF(OR(G4542="",G4542="?"),"",IFERROR(INDEX(Pubs!$E$2:$E$3001,MATCH(G4542,Pubs!$A$2:$A$3001,0)),""))</f>
        <v/>
      </c>
      <c r="L4542" s="29" t="str">
        <f aca="false">IF(A4542="","",IFERROR(1/(1/INDEX(Numéros!$C$2:$C$3001,MATCH(A4542&amp;"|"&amp;B4542,Numéros!$F$2:$F$3001,0))),""))</f>
        <v/>
      </c>
      <c r="M4542" s="27" t="str">
        <f aca="false">IF(OR(G4542="",G4542="?"),"",IFERROR(INDEX(Pubs!$D$2:$D$3001,MATCH(G4542,Pubs!$A$2:$A$3001,0))&amp;"",""))</f>
        <v/>
      </c>
      <c r="N4542" s="27" t="n">
        <f aca="false">N(N4541)+IF(AND(A4542&lt;&gt;"",OR(Recherche!$C$4="",A4542=Recherche!$C$4),OR(Recherche!$C$5="",B4542&amp;""=Recherche!$C$5&amp;""),OR(Recherche!$C$6="",IFERROR(YEAR(L4542),0)=Recherche!$C$6),OR(Recherche!$C$7="",ISNUMBER(SEARCH(Recherche!$C$7,H4542))),OR(Recherche!$C$8="",J4542=Recherche!$C$8),OR(Recherche!$C$9="",I4542=Recherche!$C$9),OR(Recherche!$C$10="",G4542&amp;""=Recherche!$C$10&amp;""),OR(Recherche!$C$11="",E4542=Recherche!$C$11),OR(Recherche!$C$12="",ISNUMBER(SEARCH(Recherche!$C$12,M4542&amp;" "&amp;F4542)))),1,0)</f>
        <v>8</v>
      </c>
    </row>
    <row r="4543" customFormat="false" ht="15" hidden="false" customHeight="false" outlineLevel="0" collapsed="false">
      <c r="A4543" s="19"/>
      <c r="B4543" s="19"/>
      <c r="C4543" s="19"/>
      <c r="D4543" s="19"/>
      <c r="E4543" s="22"/>
      <c r="F4543" s="19"/>
      <c r="G4543" s="26" t="str">
        <f aca="false">IF(D4543="","",IFERROR(VALUE(LEFT(D4543,FIND(" |",D4543&amp;" |")-1)),"?"))</f>
        <v/>
      </c>
      <c r="H4543" s="27" t="str">
        <f aca="false">IF(G4543="","",IF(G4543="?","⚠ pub inconnue",IFERROR(INDEX(Pubs!$B$2:$B$3001,MATCH(G4543,Pubs!$A$2:$A$3001,0))&amp;"","⚠ pub inconnue")))</f>
        <v/>
      </c>
      <c r="I4543" s="27" t="str">
        <f aca="false">IF(OR(G4543="",G4543="?"),"",IFERROR(INDEX(Pubs!$C$2:$C$3001,MATCH(G4543,Pubs!$A$2:$A$3001,0))&amp;"",""))</f>
        <v/>
      </c>
      <c r="J4543" s="27" t="str">
        <f aca="false">IF(OR(G4543="",G4543="?"),"",IFERROR(INDEX(Pubs!$G$2:$G$3001,MATCH(G4543,Pubs!$A$2:$A$3001,0))&amp;"",""))</f>
        <v/>
      </c>
      <c r="K4543" s="28" t="str">
        <f aca="false">IF(OR(G4543="",G4543="?"),"",IFERROR(INDEX(Pubs!$E$2:$E$3001,MATCH(G4543,Pubs!$A$2:$A$3001,0)),""))</f>
        <v/>
      </c>
      <c r="L4543" s="29" t="str">
        <f aca="false">IF(A4543="","",IFERROR(1/(1/INDEX(Numéros!$C$2:$C$3001,MATCH(A4543&amp;"|"&amp;B4543,Numéros!$F$2:$F$3001,0))),""))</f>
        <v/>
      </c>
      <c r="M4543" s="27" t="str">
        <f aca="false">IF(OR(G4543="",G4543="?"),"",IFERROR(INDEX(Pubs!$D$2:$D$3001,MATCH(G4543,Pubs!$A$2:$A$3001,0))&amp;"",""))</f>
        <v/>
      </c>
      <c r="N4543" s="27" t="n">
        <f aca="false">N(N4542)+IF(AND(A4543&lt;&gt;"",OR(Recherche!$C$4="",A4543=Recherche!$C$4),OR(Recherche!$C$5="",B4543&amp;""=Recherche!$C$5&amp;""),OR(Recherche!$C$6="",IFERROR(YEAR(L4543),0)=Recherche!$C$6),OR(Recherche!$C$7="",ISNUMBER(SEARCH(Recherche!$C$7,H4543))),OR(Recherche!$C$8="",J4543=Recherche!$C$8),OR(Recherche!$C$9="",I4543=Recherche!$C$9),OR(Recherche!$C$10="",G4543&amp;""=Recherche!$C$10&amp;""),OR(Recherche!$C$11="",E4543=Recherche!$C$11),OR(Recherche!$C$12="",ISNUMBER(SEARCH(Recherche!$C$12,M4543&amp;" "&amp;F4543)))),1,0)</f>
        <v>8</v>
      </c>
    </row>
    <row r="4544" customFormat="false" ht="15" hidden="false" customHeight="false" outlineLevel="0" collapsed="false">
      <c r="A4544" s="19"/>
      <c r="B4544" s="19"/>
      <c r="C4544" s="19"/>
      <c r="D4544" s="19"/>
      <c r="E4544" s="22"/>
      <c r="F4544" s="19"/>
      <c r="G4544" s="26" t="str">
        <f aca="false">IF(D4544="","",IFERROR(VALUE(LEFT(D4544,FIND(" |",D4544&amp;" |")-1)),"?"))</f>
        <v/>
      </c>
      <c r="H4544" s="27" t="str">
        <f aca="false">IF(G4544="","",IF(G4544="?","⚠ pub inconnue",IFERROR(INDEX(Pubs!$B$2:$B$3001,MATCH(G4544,Pubs!$A$2:$A$3001,0))&amp;"","⚠ pub inconnue")))</f>
        <v/>
      </c>
      <c r="I4544" s="27" t="str">
        <f aca="false">IF(OR(G4544="",G4544="?"),"",IFERROR(INDEX(Pubs!$C$2:$C$3001,MATCH(G4544,Pubs!$A$2:$A$3001,0))&amp;"",""))</f>
        <v/>
      </c>
      <c r="J4544" s="27" t="str">
        <f aca="false">IF(OR(G4544="",G4544="?"),"",IFERROR(INDEX(Pubs!$G$2:$G$3001,MATCH(G4544,Pubs!$A$2:$A$3001,0))&amp;"",""))</f>
        <v/>
      </c>
      <c r="K4544" s="28" t="str">
        <f aca="false">IF(OR(G4544="",G4544="?"),"",IFERROR(INDEX(Pubs!$E$2:$E$3001,MATCH(G4544,Pubs!$A$2:$A$3001,0)),""))</f>
        <v/>
      </c>
      <c r="L4544" s="29" t="str">
        <f aca="false">IF(A4544="","",IFERROR(1/(1/INDEX(Numéros!$C$2:$C$3001,MATCH(A4544&amp;"|"&amp;B4544,Numéros!$F$2:$F$3001,0))),""))</f>
        <v/>
      </c>
      <c r="M4544" s="27" t="str">
        <f aca="false">IF(OR(G4544="",G4544="?"),"",IFERROR(INDEX(Pubs!$D$2:$D$3001,MATCH(G4544,Pubs!$A$2:$A$3001,0))&amp;"",""))</f>
        <v/>
      </c>
      <c r="N4544" s="27" t="n">
        <f aca="false">N(N4543)+IF(AND(A4544&lt;&gt;"",OR(Recherche!$C$4="",A4544=Recherche!$C$4),OR(Recherche!$C$5="",B4544&amp;""=Recherche!$C$5&amp;""),OR(Recherche!$C$6="",IFERROR(YEAR(L4544),0)=Recherche!$C$6),OR(Recherche!$C$7="",ISNUMBER(SEARCH(Recherche!$C$7,H4544))),OR(Recherche!$C$8="",J4544=Recherche!$C$8),OR(Recherche!$C$9="",I4544=Recherche!$C$9),OR(Recherche!$C$10="",G4544&amp;""=Recherche!$C$10&amp;""),OR(Recherche!$C$11="",E4544=Recherche!$C$11),OR(Recherche!$C$12="",ISNUMBER(SEARCH(Recherche!$C$12,M4544&amp;" "&amp;F4544)))),1,0)</f>
        <v>8</v>
      </c>
    </row>
    <row r="4545" customFormat="false" ht="15" hidden="false" customHeight="false" outlineLevel="0" collapsed="false">
      <c r="A4545" s="19"/>
      <c r="B4545" s="19"/>
      <c r="C4545" s="19"/>
      <c r="D4545" s="19"/>
      <c r="E4545" s="22"/>
      <c r="F4545" s="19"/>
      <c r="G4545" s="26" t="str">
        <f aca="false">IF(D4545="","",IFERROR(VALUE(LEFT(D4545,FIND(" |",D4545&amp;" |")-1)),"?"))</f>
        <v/>
      </c>
      <c r="H4545" s="27" t="str">
        <f aca="false">IF(G4545="","",IF(G4545="?","⚠ pub inconnue",IFERROR(INDEX(Pubs!$B$2:$B$3001,MATCH(G4545,Pubs!$A$2:$A$3001,0))&amp;"","⚠ pub inconnue")))</f>
        <v/>
      </c>
      <c r="I4545" s="27" t="str">
        <f aca="false">IF(OR(G4545="",G4545="?"),"",IFERROR(INDEX(Pubs!$C$2:$C$3001,MATCH(G4545,Pubs!$A$2:$A$3001,0))&amp;"",""))</f>
        <v/>
      </c>
      <c r="J4545" s="27" t="str">
        <f aca="false">IF(OR(G4545="",G4545="?"),"",IFERROR(INDEX(Pubs!$G$2:$G$3001,MATCH(G4545,Pubs!$A$2:$A$3001,0))&amp;"",""))</f>
        <v/>
      </c>
      <c r="K4545" s="28" t="str">
        <f aca="false">IF(OR(G4545="",G4545="?"),"",IFERROR(INDEX(Pubs!$E$2:$E$3001,MATCH(G4545,Pubs!$A$2:$A$3001,0)),""))</f>
        <v/>
      </c>
      <c r="L4545" s="29" t="str">
        <f aca="false">IF(A4545="","",IFERROR(1/(1/INDEX(Numéros!$C$2:$C$3001,MATCH(A4545&amp;"|"&amp;B4545,Numéros!$F$2:$F$3001,0))),""))</f>
        <v/>
      </c>
      <c r="M4545" s="27" t="str">
        <f aca="false">IF(OR(G4545="",G4545="?"),"",IFERROR(INDEX(Pubs!$D$2:$D$3001,MATCH(G4545,Pubs!$A$2:$A$3001,0))&amp;"",""))</f>
        <v/>
      </c>
      <c r="N4545" s="27" t="n">
        <f aca="false">N(N4544)+IF(AND(A4545&lt;&gt;"",OR(Recherche!$C$4="",A4545=Recherche!$C$4),OR(Recherche!$C$5="",B4545&amp;""=Recherche!$C$5&amp;""),OR(Recherche!$C$6="",IFERROR(YEAR(L4545),0)=Recherche!$C$6),OR(Recherche!$C$7="",ISNUMBER(SEARCH(Recherche!$C$7,H4545))),OR(Recherche!$C$8="",J4545=Recherche!$C$8),OR(Recherche!$C$9="",I4545=Recherche!$C$9),OR(Recherche!$C$10="",G4545&amp;""=Recherche!$C$10&amp;""),OR(Recherche!$C$11="",E4545=Recherche!$C$11),OR(Recherche!$C$12="",ISNUMBER(SEARCH(Recherche!$C$12,M4545&amp;" "&amp;F4545)))),1,0)</f>
        <v>8</v>
      </c>
    </row>
    <row r="4546" customFormat="false" ht="15" hidden="false" customHeight="false" outlineLevel="0" collapsed="false">
      <c r="A4546" s="19"/>
      <c r="B4546" s="19"/>
      <c r="C4546" s="19"/>
      <c r="D4546" s="19"/>
      <c r="E4546" s="22"/>
      <c r="F4546" s="19"/>
      <c r="G4546" s="26" t="str">
        <f aca="false">IF(D4546="","",IFERROR(VALUE(LEFT(D4546,FIND(" |",D4546&amp;" |")-1)),"?"))</f>
        <v/>
      </c>
      <c r="H4546" s="27" t="str">
        <f aca="false">IF(G4546="","",IF(G4546="?","⚠ pub inconnue",IFERROR(INDEX(Pubs!$B$2:$B$3001,MATCH(G4546,Pubs!$A$2:$A$3001,0))&amp;"","⚠ pub inconnue")))</f>
        <v/>
      </c>
      <c r="I4546" s="27" t="str">
        <f aca="false">IF(OR(G4546="",G4546="?"),"",IFERROR(INDEX(Pubs!$C$2:$C$3001,MATCH(G4546,Pubs!$A$2:$A$3001,0))&amp;"",""))</f>
        <v/>
      </c>
      <c r="J4546" s="27" t="str">
        <f aca="false">IF(OR(G4546="",G4546="?"),"",IFERROR(INDEX(Pubs!$G$2:$G$3001,MATCH(G4546,Pubs!$A$2:$A$3001,0))&amp;"",""))</f>
        <v/>
      </c>
      <c r="K4546" s="28" t="str">
        <f aca="false">IF(OR(G4546="",G4546="?"),"",IFERROR(INDEX(Pubs!$E$2:$E$3001,MATCH(G4546,Pubs!$A$2:$A$3001,0)),""))</f>
        <v/>
      </c>
      <c r="L4546" s="29" t="str">
        <f aca="false">IF(A4546="","",IFERROR(1/(1/INDEX(Numéros!$C$2:$C$3001,MATCH(A4546&amp;"|"&amp;B4546,Numéros!$F$2:$F$3001,0))),""))</f>
        <v/>
      </c>
      <c r="M4546" s="27" t="str">
        <f aca="false">IF(OR(G4546="",G4546="?"),"",IFERROR(INDEX(Pubs!$D$2:$D$3001,MATCH(G4546,Pubs!$A$2:$A$3001,0))&amp;"",""))</f>
        <v/>
      </c>
      <c r="N4546" s="27" t="n">
        <f aca="false">N(N4545)+IF(AND(A4546&lt;&gt;"",OR(Recherche!$C$4="",A4546=Recherche!$C$4),OR(Recherche!$C$5="",B4546&amp;""=Recherche!$C$5&amp;""),OR(Recherche!$C$6="",IFERROR(YEAR(L4546),0)=Recherche!$C$6),OR(Recherche!$C$7="",ISNUMBER(SEARCH(Recherche!$C$7,H4546))),OR(Recherche!$C$8="",J4546=Recherche!$C$8),OR(Recherche!$C$9="",I4546=Recherche!$C$9),OR(Recherche!$C$10="",G4546&amp;""=Recherche!$C$10&amp;""),OR(Recherche!$C$11="",E4546=Recherche!$C$11),OR(Recherche!$C$12="",ISNUMBER(SEARCH(Recherche!$C$12,M4546&amp;" "&amp;F4546)))),1,0)</f>
        <v>8</v>
      </c>
    </row>
    <row r="4547" customFormat="false" ht="15" hidden="false" customHeight="false" outlineLevel="0" collapsed="false">
      <c r="A4547" s="19"/>
      <c r="B4547" s="19"/>
      <c r="C4547" s="19"/>
      <c r="D4547" s="19"/>
      <c r="E4547" s="22"/>
      <c r="F4547" s="19"/>
      <c r="G4547" s="26" t="str">
        <f aca="false">IF(D4547="","",IFERROR(VALUE(LEFT(D4547,FIND(" |",D4547&amp;" |")-1)),"?"))</f>
        <v/>
      </c>
      <c r="H4547" s="27" t="str">
        <f aca="false">IF(G4547="","",IF(G4547="?","⚠ pub inconnue",IFERROR(INDEX(Pubs!$B$2:$B$3001,MATCH(G4547,Pubs!$A$2:$A$3001,0))&amp;"","⚠ pub inconnue")))</f>
        <v/>
      </c>
      <c r="I4547" s="27" t="str">
        <f aca="false">IF(OR(G4547="",G4547="?"),"",IFERROR(INDEX(Pubs!$C$2:$C$3001,MATCH(G4547,Pubs!$A$2:$A$3001,0))&amp;"",""))</f>
        <v/>
      </c>
      <c r="J4547" s="27" t="str">
        <f aca="false">IF(OR(G4547="",G4547="?"),"",IFERROR(INDEX(Pubs!$G$2:$G$3001,MATCH(G4547,Pubs!$A$2:$A$3001,0))&amp;"",""))</f>
        <v/>
      </c>
      <c r="K4547" s="28" t="str">
        <f aca="false">IF(OR(G4547="",G4547="?"),"",IFERROR(INDEX(Pubs!$E$2:$E$3001,MATCH(G4547,Pubs!$A$2:$A$3001,0)),""))</f>
        <v/>
      </c>
      <c r="L4547" s="29" t="str">
        <f aca="false">IF(A4547="","",IFERROR(1/(1/INDEX(Numéros!$C$2:$C$3001,MATCH(A4547&amp;"|"&amp;B4547,Numéros!$F$2:$F$3001,0))),""))</f>
        <v/>
      </c>
      <c r="M4547" s="27" t="str">
        <f aca="false">IF(OR(G4547="",G4547="?"),"",IFERROR(INDEX(Pubs!$D$2:$D$3001,MATCH(G4547,Pubs!$A$2:$A$3001,0))&amp;"",""))</f>
        <v/>
      </c>
      <c r="N4547" s="27" t="n">
        <f aca="false">N(N4546)+IF(AND(A4547&lt;&gt;"",OR(Recherche!$C$4="",A4547=Recherche!$C$4),OR(Recherche!$C$5="",B4547&amp;""=Recherche!$C$5&amp;""),OR(Recherche!$C$6="",IFERROR(YEAR(L4547),0)=Recherche!$C$6),OR(Recherche!$C$7="",ISNUMBER(SEARCH(Recherche!$C$7,H4547))),OR(Recherche!$C$8="",J4547=Recherche!$C$8),OR(Recherche!$C$9="",I4547=Recherche!$C$9),OR(Recherche!$C$10="",G4547&amp;""=Recherche!$C$10&amp;""),OR(Recherche!$C$11="",E4547=Recherche!$C$11),OR(Recherche!$C$12="",ISNUMBER(SEARCH(Recherche!$C$12,M4547&amp;" "&amp;F4547)))),1,0)</f>
        <v>8</v>
      </c>
    </row>
    <row r="4548" customFormat="false" ht="15" hidden="false" customHeight="false" outlineLevel="0" collapsed="false">
      <c r="A4548" s="19"/>
      <c r="B4548" s="19"/>
      <c r="C4548" s="19"/>
      <c r="D4548" s="19"/>
      <c r="E4548" s="22"/>
      <c r="F4548" s="19"/>
      <c r="G4548" s="26" t="str">
        <f aca="false">IF(D4548="","",IFERROR(VALUE(LEFT(D4548,FIND(" |",D4548&amp;" |")-1)),"?"))</f>
        <v/>
      </c>
      <c r="H4548" s="27" t="str">
        <f aca="false">IF(G4548="","",IF(G4548="?","⚠ pub inconnue",IFERROR(INDEX(Pubs!$B$2:$B$3001,MATCH(G4548,Pubs!$A$2:$A$3001,0))&amp;"","⚠ pub inconnue")))</f>
        <v/>
      </c>
      <c r="I4548" s="27" t="str">
        <f aca="false">IF(OR(G4548="",G4548="?"),"",IFERROR(INDEX(Pubs!$C$2:$C$3001,MATCH(G4548,Pubs!$A$2:$A$3001,0))&amp;"",""))</f>
        <v/>
      </c>
      <c r="J4548" s="27" t="str">
        <f aca="false">IF(OR(G4548="",G4548="?"),"",IFERROR(INDEX(Pubs!$G$2:$G$3001,MATCH(G4548,Pubs!$A$2:$A$3001,0))&amp;"",""))</f>
        <v/>
      </c>
      <c r="K4548" s="28" t="str">
        <f aca="false">IF(OR(G4548="",G4548="?"),"",IFERROR(INDEX(Pubs!$E$2:$E$3001,MATCH(G4548,Pubs!$A$2:$A$3001,0)),""))</f>
        <v/>
      </c>
      <c r="L4548" s="29" t="str">
        <f aca="false">IF(A4548="","",IFERROR(1/(1/INDEX(Numéros!$C$2:$C$3001,MATCH(A4548&amp;"|"&amp;B4548,Numéros!$F$2:$F$3001,0))),""))</f>
        <v/>
      </c>
      <c r="M4548" s="27" t="str">
        <f aca="false">IF(OR(G4548="",G4548="?"),"",IFERROR(INDEX(Pubs!$D$2:$D$3001,MATCH(G4548,Pubs!$A$2:$A$3001,0))&amp;"",""))</f>
        <v/>
      </c>
      <c r="N4548" s="27" t="n">
        <f aca="false">N(N4547)+IF(AND(A4548&lt;&gt;"",OR(Recherche!$C$4="",A4548=Recherche!$C$4),OR(Recherche!$C$5="",B4548&amp;""=Recherche!$C$5&amp;""),OR(Recherche!$C$6="",IFERROR(YEAR(L4548),0)=Recherche!$C$6),OR(Recherche!$C$7="",ISNUMBER(SEARCH(Recherche!$C$7,H4548))),OR(Recherche!$C$8="",J4548=Recherche!$C$8),OR(Recherche!$C$9="",I4548=Recherche!$C$9),OR(Recherche!$C$10="",G4548&amp;""=Recherche!$C$10&amp;""),OR(Recherche!$C$11="",E4548=Recherche!$C$11),OR(Recherche!$C$12="",ISNUMBER(SEARCH(Recherche!$C$12,M4548&amp;" "&amp;F4548)))),1,0)</f>
        <v>8</v>
      </c>
    </row>
    <row r="4549" customFormat="false" ht="15" hidden="false" customHeight="false" outlineLevel="0" collapsed="false">
      <c r="A4549" s="19"/>
      <c r="B4549" s="19"/>
      <c r="C4549" s="19"/>
      <c r="D4549" s="19"/>
      <c r="E4549" s="22"/>
      <c r="F4549" s="19"/>
      <c r="G4549" s="26" t="str">
        <f aca="false">IF(D4549="","",IFERROR(VALUE(LEFT(D4549,FIND(" |",D4549&amp;" |")-1)),"?"))</f>
        <v/>
      </c>
      <c r="H4549" s="27" t="str">
        <f aca="false">IF(G4549="","",IF(G4549="?","⚠ pub inconnue",IFERROR(INDEX(Pubs!$B$2:$B$3001,MATCH(G4549,Pubs!$A$2:$A$3001,0))&amp;"","⚠ pub inconnue")))</f>
        <v/>
      </c>
      <c r="I4549" s="27" t="str">
        <f aca="false">IF(OR(G4549="",G4549="?"),"",IFERROR(INDEX(Pubs!$C$2:$C$3001,MATCH(G4549,Pubs!$A$2:$A$3001,0))&amp;"",""))</f>
        <v/>
      </c>
      <c r="J4549" s="27" t="str">
        <f aca="false">IF(OR(G4549="",G4549="?"),"",IFERROR(INDEX(Pubs!$G$2:$G$3001,MATCH(G4549,Pubs!$A$2:$A$3001,0))&amp;"",""))</f>
        <v/>
      </c>
      <c r="K4549" s="28" t="str">
        <f aca="false">IF(OR(G4549="",G4549="?"),"",IFERROR(INDEX(Pubs!$E$2:$E$3001,MATCH(G4549,Pubs!$A$2:$A$3001,0)),""))</f>
        <v/>
      </c>
      <c r="L4549" s="29" t="str">
        <f aca="false">IF(A4549="","",IFERROR(1/(1/INDEX(Numéros!$C$2:$C$3001,MATCH(A4549&amp;"|"&amp;B4549,Numéros!$F$2:$F$3001,0))),""))</f>
        <v/>
      </c>
      <c r="M4549" s="27" t="str">
        <f aca="false">IF(OR(G4549="",G4549="?"),"",IFERROR(INDEX(Pubs!$D$2:$D$3001,MATCH(G4549,Pubs!$A$2:$A$3001,0))&amp;"",""))</f>
        <v/>
      </c>
      <c r="N4549" s="27" t="n">
        <f aca="false">N(N4548)+IF(AND(A4549&lt;&gt;"",OR(Recherche!$C$4="",A4549=Recherche!$C$4),OR(Recherche!$C$5="",B4549&amp;""=Recherche!$C$5&amp;""),OR(Recherche!$C$6="",IFERROR(YEAR(L4549),0)=Recherche!$C$6),OR(Recherche!$C$7="",ISNUMBER(SEARCH(Recherche!$C$7,H4549))),OR(Recherche!$C$8="",J4549=Recherche!$C$8),OR(Recherche!$C$9="",I4549=Recherche!$C$9),OR(Recherche!$C$10="",G4549&amp;""=Recherche!$C$10&amp;""),OR(Recherche!$C$11="",E4549=Recherche!$C$11),OR(Recherche!$C$12="",ISNUMBER(SEARCH(Recherche!$C$12,M4549&amp;" "&amp;F4549)))),1,0)</f>
        <v>8</v>
      </c>
    </row>
    <row r="4550" customFormat="false" ht="15" hidden="false" customHeight="false" outlineLevel="0" collapsed="false">
      <c r="A4550" s="19"/>
      <c r="B4550" s="19"/>
      <c r="C4550" s="19"/>
      <c r="D4550" s="19"/>
      <c r="E4550" s="22"/>
      <c r="F4550" s="19"/>
      <c r="G4550" s="26" t="str">
        <f aca="false">IF(D4550="","",IFERROR(VALUE(LEFT(D4550,FIND(" |",D4550&amp;" |")-1)),"?"))</f>
        <v/>
      </c>
      <c r="H4550" s="27" t="str">
        <f aca="false">IF(G4550="","",IF(G4550="?","⚠ pub inconnue",IFERROR(INDEX(Pubs!$B$2:$B$3001,MATCH(G4550,Pubs!$A$2:$A$3001,0))&amp;"","⚠ pub inconnue")))</f>
        <v/>
      </c>
      <c r="I4550" s="27" t="str">
        <f aca="false">IF(OR(G4550="",G4550="?"),"",IFERROR(INDEX(Pubs!$C$2:$C$3001,MATCH(G4550,Pubs!$A$2:$A$3001,0))&amp;"",""))</f>
        <v/>
      </c>
      <c r="J4550" s="27" t="str">
        <f aca="false">IF(OR(G4550="",G4550="?"),"",IFERROR(INDEX(Pubs!$G$2:$G$3001,MATCH(G4550,Pubs!$A$2:$A$3001,0))&amp;"",""))</f>
        <v/>
      </c>
      <c r="K4550" s="28" t="str">
        <f aca="false">IF(OR(G4550="",G4550="?"),"",IFERROR(INDEX(Pubs!$E$2:$E$3001,MATCH(G4550,Pubs!$A$2:$A$3001,0)),""))</f>
        <v/>
      </c>
      <c r="L4550" s="29" t="str">
        <f aca="false">IF(A4550="","",IFERROR(1/(1/INDEX(Numéros!$C$2:$C$3001,MATCH(A4550&amp;"|"&amp;B4550,Numéros!$F$2:$F$3001,0))),""))</f>
        <v/>
      </c>
      <c r="M4550" s="27" t="str">
        <f aca="false">IF(OR(G4550="",G4550="?"),"",IFERROR(INDEX(Pubs!$D$2:$D$3001,MATCH(G4550,Pubs!$A$2:$A$3001,0))&amp;"",""))</f>
        <v/>
      </c>
      <c r="N4550" s="27" t="n">
        <f aca="false">N(N4549)+IF(AND(A4550&lt;&gt;"",OR(Recherche!$C$4="",A4550=Recherche!$C$4),OR(Recherche!$C$5="",B4550&amp;""=Recherche!$C$5&amp;""),OR(Recherche!$C$6="",IFERROR(YEAR(L4550),0)=Recherche!$C$6),OR(Recherche!$C$7="",ISNUMBER(SEARCH(Recherche!$C$7,H4550))),OR(Recherche!$C$8="",J4550=Recherche!$C$8),OR(Recherche!$C$9="",I4550=Recherche!$C$9),OR(Recherche!$C$10="",G4550&amp;""=Recherche!$C$10&amp;""),OR(Recherche!$C$11="",E4550=Recherche!$C$11),OR(Recherche!$C$12="",ISNUMBER(SEARCH(Recherche!$C$12,M4550&amp;" "&amp;F4550)))),1,0)</f>
        <v>8</v>
      </c>
    </row>
    <row r="4551" customFormat="false" ht="15" hidden="false" customHeight="false" outlineLevel="0" collapsed="false">
      <c r="A4551" s="19"/>
      <c r="B4551" s="19"/>
      <c r="C4551" s="19"/>
      <c r="D4551" s="19"/>
      <c r="E4551" s="22"/>
      <c r="F4551" s="19"/>
      <c r="G4551" s="26" t="str">
        <f aca="false">IF(D4551="","",IFERROR(VALUE(LEFT(D4551,FIND(" |",D4551&amp;" |")-1)),"?"))</f>
        <v/>
      </c>
      <c r="H4551" s="27" t="str">
        <f aca="false">IF(G4551="","",IF(G4551="?","⚠ pub inconnue",IFERROR(INDEX(Pubs!$B$2:$B$3001,MATCH(G4551,Pubs!$A$2:$A$3001,0))&amp;"","⚠ pub inconnue")))</f>
        <v/>
      </c>
      <c r="I4551" s="27" t="str">
        <f aca="false">IF(OR(G4551="",G4551="?"),"",IFERROR(INDEX(Pubs!$C$2:$C$3001,MATCH(G4551,Pubs!$A$2:$A$3001,0))&amp;"",""))</f>
        <v/>
      </c>
      <c r="J4551" s="27" t="str">
        <f aca="false">IF(OR(G4551="",G4551="?"),"",IFERROR(INDEX(Pubs!$G$2:$G$3001,MATCH(G4551,Pubs!$A$2:$A$3001,0))&amp;"",""))</f>
        <v/>
      </c>
      <c r="K4551" s="28" t="str">
        <f aca="false">IF(OR(G4551="",G4551="?"),"",IFERROR(INDEX(Pubs!$E$2:$E$3001,MATCH(G4551,Pubs!$A$2:$A$3001,0)),""))</f>
        <v/>
      </c>
      <c r="L4551" s="29" t="str">
        <f aca="false">IF(A4551="","",IFERROR(1/(1/INDEX(Numéros!$C$2:$C$3001,MATCH(A4551&amp;"|"&amp;B4551,Numéros!$F$2:$F$3001,0))),""))</f>
        <v/>
      </c>
      <c r="M4551" s="27" t="str">
        <f aca="false">IF(OR(G4551="",G4551="?"),"",IFERROR(INDEX(Pubs!$D$2:$D$3001,MATCH(G4551,Pubs!$A$2:$A$3001,0))&amp;"",""))</f>
        <v/>
      </c>
      <c r="N4551" s="27" t="n">
        <f aca="false">N(N4550)+IF(AND(A4551&lt;&gt;"",OR(Recherche!$C$4="",A4551=Recherche!$C$4),OR(Recherche!$C$5="",B4551&amp;""=Recherche!$C$5&amp;""),OR(Recherche!$C$6="",IFERROR(YEAR(L4551),0)=Recherche!$C$6),OR(Recherche!$C$7="",ISNUMBER(SEARCH(Recherche!$C$7,H4551))),OR(Recherche!$C$8="",J4551=Recherche!$C$8),OR(Recherche!$C$9="",I4551=Recherche!$C$9),OR(Recherche!$C$10="",G4551&amp;""=Recherche!$C$10&amp;""),OR(Recherche!$C$11="",E4551=Recherche!$C$11),OR(Recherche!$C$12="",ISNUMBER(SEARCH(Recherche!$C$12,M4551&amp;" "&amp;F4551)))),1,0)</f>
        <v>8</v>
      </c>
    </row>
    <row r="4552" customFormat="false" ht="15" hidden="false" customHeight="false" outlineLevel="0" collapsed="false">
      <c r="A4552" s="19"/>
      <c r="B4552" s="19"/>
      <c r="C4552" s="19"/>
      <c r="D4552" s="19"/>
      <c r="E4552" s="22"/>
      <c r="F4552" s="19"/>
      <c r="G4552" s="26" t="str">
        <f aca="false">IF(D4552="","",IFERROR(VALUE(LEFT(D4552,FIND(" |",D4552&amp;" |")-1)),"?"))</f>
        <v/>
      </c>
      <c r="H4552" s="27" t="str">
        <f aca="false">IF(G4552="","",IF(G4552="?","⚠ pub inconnue",IFERROR(INDEX(Pubs!$B$2:$B$3001,MATCH(G4552,Pubs!$A$2:$A$3001,0))&amp;"","⚠ pub inconnue")))</f>
        <v/>
      </c>
      <c r="I4552" s="27" t="str">
        <f aca="false">IF(OR(G4552="",G4552="?"),"",IFERROR(INDEX(Pubs!$C$2:$C$3001,MATCH(G4552,Pubs!$A$2:$A$3001,0))&amp;"",""))</f>
        <v/>
      </c>
      <c r="J4552" s="27" t="str">
        <f aca="false">IF(OR(G4552="",G4552="?"),"",IFERROR(INDEX(Pubs!$G$2:$G$3001,MATCH(G4552,Pubs!$A$2:$A$3001,0))&amp;"",""))</f>
        <v/>
      </c>
      <c r="K4552" s="28" t="str">
        <f aca="false">IF(OR(G4552="",G4552="?"),"",IFERROR(INDEX(Pubs!$E$2:$E$3001,MATCH(G4552,Pubs!$A$2:$A$3001,0)),""))</f>
        <v/>
      </c>
      <c r="L4552" s="29" t="str">
        <f aca="false">IF(A4552="","",IFERROR(1/(1/INDEX(Numéros!$C$2:$C$3001,MATCH(A4552&amp;"|"&amp;B4552,Numéros!$F$2:$F$3001,0))),""))</f>
        <v/>
      </c>
      <c r="M4552" s="27" t="str">
        <f aca="false">IF(OR(G4552="",G4552="?"),"",IFERROR(INDEX(Pubs!$D$2:$D$3001,MATCH(G4552,Pubs!$A$2:$A$3001,0))&amp;"",""))</f>
        <v/>
      </c>
      <c r="N4552" s="27" t="n">
        <f aca="false">N(N4551)+IF(AND(A4552&lt;&gt;"",OR(Recherche!$C$4="",A4552=Recherche!$C$4),OR(Recherche!$C$5="",B4552&amp;""=Recherche!$C$5&amp;""),OR(Recherche!$C$6="",IFERROR(YEAR(L4552),0)=Recherche!$C$6),OR(Recherche!$C$7="",ISNUMBER(SEARCH(Recherche!$C$7,H4552))),OR(Recherche!$C$8="",J4552=Recherche!$C$8),OR(Recherche!$C$9="",I4552=Recherche!$C$9),OR(Recherche!$C$10="",G4552&amp;""=Recherche!$C$10&amp;""),OR(Recherche!$C$11="",E4552=Recherche!$C$11),OR(Recherche!$C$12="",ISNUMBER(SEARCH(Recherche!$C$12,M4552&amp;" "&amp;F4552)))),1,0)</f>
        <v>8</v>
      </c>
    </row>
    <row r="4553" customFormat="false" ht="15" hidden="false" customHeight="false" outlineLevel="0" collapsed="false">
      <c r="A4553" s="19"/>
      <c r="B4553" s="19"/>
      <c r="C4553" s="19"/>
      <c r="D4553" s="19"/>
      <c r="E4553" s="22"/>
      <c r="F4553" s="19"/>
      <c r="G4553" s="26" t="str">
        <f aca="false">IF(D4553="","",IFERROR(VALUE(LEFT(D4553,FIND(" |",D4553&amp;" |")-1)),"?"))</f>
        <v/>
      </c>
      <c r="H4553" s="27" t="str">
        <f aca="false">IF(G4553="","",IF(G4553="?","⚠ pub inconnue",IFERROR(INDEX(Pubs!$B$2:$B$3001,MATCH(G4553,Pubs!$A$2:$A$3001,0))&amp;"","⚠ pub inconnue")))</f>
        <v/>
      </c>
      <c r="I4553" s="27" t="str">
        <f aca="false">IF(OR(G4553="",G4553="?"),"",IFERROR(INDEX(Pubs!$C$2:$C$3001,MATCH(G4553,Pubs!$A$2:$A$3001,0))&amp;"",""))</f>
        <v/>
      </c>
      <c r="J4553" s="27" t="str">
        <f aca="false">IF(OR(G4553="",G4553="?"),"",IFERROR(INDEX(Pubs!$G$2:$G$3001,MATCH(G4553,Pubs!$A$2:$A$3001,0))&amp;"",""))</f>
        <v/>
      </c>
      <c r="K4553" s="28" t="str">
        <f aca="false">IF(OR(G4553="",G4553="?"),"",IFERROR(INDEX(Pubs!$E$2:$E$3001,MATCH(G4553,Pubs!$A$2:$A$3001,0)),""))</f>
        <v/>
      </c>
      <c r="L4553" s="29" t="str">
        <f aca="false">IF(A4553="","",IFERROR(1/(1/INDEX(Numéros!$C$2:$C$3001,MATCH(A4553&amp;"|"&amp;B4553,Numéros!$F$2:$F$3001,0))),""))</f>
        <v/>
      </c>
      <c r="M4553" s="27" t="str">
        <f aca="false">IF(OR(G4553="",G4553="?"),"",IFERROR(INDEX(Pubs!$D$2:$D$3001,MATCH(G4553,Pubs!$A$2:$A$3001,0))&amp;"",""))</f>
        <v/>
      </c>
      <c r="N4553" s="27" t="n">
        <f aca="false">N(N4552)+IF(AND(A4553&lt;&gt;"",OR(Recherche!$C$4="",A4553=Recherche!$C$4),OR(Recherche!$C$5="",B4553&amp;""=Recherche!$C$5&amp;""),OR(Recherche!$C$6="",IFERROR(YEAR(L4553),0)=Recherche!$C$6),OR(Recherche!$C$7="",ISNUMBER(SEARCH(Recherche!$C$7,H4553))),OR(Recherche!$C$8="",J4553=Recherche!$C$8),OR(Recherche!$C$9="",I4553=Recherche!$C$9),OR(Recherche!$C$10="",G4553&amp;""=Recherche!$C$10&amp;""),OR(Recherche!$C$11="",E4553=Recherche!$C$11),OR(Recherche!$C$12="",ISNUMBER(SEARCH(Recherche!$C$12,M4553&amp;" "&amp;F4553)))),1,0)</f>
        <v>8</v>
      </c>
    </row>
    <row r="4554" customFormat="false" ht="15" hidden="false" customHeight="false" outlineLevel="0" collapsed="false">
      <c r="A4554" s="19"/>
      <c r="B4554" s="19"/>
      <c r="C4554" s="19"/>
      <c r="D4554" s="19"/>
      <c r="E4554" s="22"/>
      <c r="F4554" s="19"/>
      <c r="G4554" s="26" t="str">
        <f aca="false">IF(D4554="","",IFERROR(VALUE(LEFT(D4554,FIND(" |",D4554&amp;" |")-1)),"?"))</f>
        <v/>
      </c>
      <c r="H4554" s="27" t="str">
        <f aca="false">IF(G4554="","",IF(G4554="?","⚠ pub inconnue",IFERROR(INDEX(Pubs!$B$2:$B$3001,MATCH(G4554,Pubs!$A$2:$A$3001,0))&amp;"","⚠ pub inconnue")))</f>
        <v/>
      </c>
      <c r="I4554" s="27" t="str">
        <f aca="false">IF(OR(G4554="",G4554="?"),"",IFERROR(INDEX(Pubs!$C$2:$C$3001,MATCH(G4554,Pubs!$A$2:$A$3001,0))&amp;"",""))</f>
        <v/>
      </c>
      <c r="J4554" s="27" t="str">
        <f aca="false">IF(OR(G4554="",G4554="?"),"",IFERROR(INDEX(Pubs!$G$2:$G$3001,MATCH(G4554,Pubs!$A$2:$A$3001,0))&amp;"",""))</f>
        <v/>
      </c>
      <c r="K4554" s="28" t="str">
        <f aca="false">IF(OR(G4554="",G4554="?"),"",IFERROR(INDEX(Pubs!$E$2:$E$3001,MATCH(G4554,Pubs!$A$2:$A$3001,0)),""))</f>
        <v/>
      </c>
      <c r="L4554" s="29" t="str">
        <f aca="false">IF(A4554="","",IFERROR(1/(1/INDEX(Numéros!$C$2:$C$3001,MATCH(A4554&amp;"|"&amp;B4554,Numéros!$F$2:$F$3001,0))),""))</f>
        <v/>
      </c>
      <c r="M4554" s="27" t="str">
        <f aca="false">IF(OR(G4554="",G4554="?"),"",IFERROR(INDEX(Pubs!$D$2:$D$3001,MATCH(G4554,Pubs!$A$2:$A$3001,0))&amp;"",""))</f>
        <v/>
      </c>
      <c r="N4554" s="27" t="n">
        <f aca="false">N(N4553)+IF(AND(A4554&lt;&gt;"",OR(Recherche!$C$4="",A4554=Recherche!$C$4),OR(Recherche!$C$5="",B4554&amp;""=Recherche!$C$5&amp;""),OR(Recherche!$C$6="",IFERROR(YEAR(L4554),0)=Recherche!$C$6),OR(Recherche!$C$7="",ISNUMBER(SEARCH(Recherche!$C$7,H4554))),OR(Recherche!$C$8="",J4554=Recherche!$C$8),OR(Recherche!$C$9="",I4554=Recherche!$C$9),OR(Recherche!$C$10="",G4554&amp;""=Recherche!$C$10&amp;""),OR(Recherche!$C$11="",E4554=Recherche!$C$11),OR(Recherche!$C$12="",ISNUMBER(SEARCH(Recherche!$C$12,M4554&amp;" "&amp;F4554)))),1,0)</f>
        <v>8</v>
      </c>
    </row>
    <row r="4555" customFormat="false" ht="15" hidden="false" customHeight="false" outlineLevel="0" collapsed="false">
      <c r="A4555" s="19"/>
      <c r="B4555" s="19"/>
      <c r="C4555" s="19"/>
      <c r="D4555" s="19"/>
      <c r="E4555" s="22"/>
      <c r="F4555" s="19"/>
      <c r="G4555" s="26" t="str">
        <f aca="false">IF(D4555="","",IFERROR(VALUE(LEFT(D4555,FIND(" |",D4555&amp;" |")-1)),"?"))</f>
        <v/>
      </c>
      <c r="H4555" s="27" t="str">
        <f aca="false">IF(G4555="","",IF(G4555="?","⚠ pub inconnue",IFERROR(INDEX(Pubs!$B$2:$B$3001,MATCH(G4555,Pubs!$A$2:$A$3001,0))&amp;"","⚠ pub inconnue")))</f>
        <v/>
      </c>
      <c r="I4555" s="27" t="str">
        <f aca="false">IF(OR(G4555="",G4555="?"),"",IFERROR(INDEX(Pubs!$C$2:$C$3001,MATCH(G4555,Pubs!$A$2:$A$3001,0))&amp;"",""))</f>
        <v/>
      </c>
      <c r="J4555" s="27" t="str">
        <f aca="false">IF(OR(G4555="",G4555="?"),"",IFERROR(INDEX(Pubs!$G$2:$G$3001,MATCH(G4555,Pubs!$A$2:$A$3001,0))&amp;"",""))</f>
        <v/>
      </c>
      <c r="K4555" s="28" t="str">
        <f aca="false">IF(OR(G4555="",G4555="?"),"",IFERROR(INDEX(Pubs!$E$2:$E$3001,MATCH(G4555,Pubs!$A$2:$A$3001,0)),""))</f>
        <v/>
      </c>
      <c r="L4555" s="29" t="str">
        <f aca="false">IF(A4555="","",IFERROR(1/(1/INDEX(Numéros!$C$2:$C$3001,MATCH(A4555&amp;"|"&amp;B4555,Numéros!$F$2:$F$3001,0))),""))</f>
        <v/>
      </c>
      <c r="M4555" s="27" t="str">
        <f aca="false">IF(OR(G4555="",G4555="?"),"",IFERROR(INDEX(Pubs!$D$2:$D$3001,MATCH(G4555,Pubs!$A$2:$A$3001,0))&amp;"",""))</f>
        <v/>
      </c>
      <c r="N4555" s="27" t="n">
        <f aca="false">N(N4554)+IF(AND(A4555&lt;&gt;"",OR(Recherche!$C$4="",A4555=Recherche!$C$4),OR(Recherche!$C$5="",B4555&amp;""=Recherche!$C$5&amp;""),OR(Recherche!$C$6="",IFERROR(YEAR(L4555),0)=Recherche!$C$6),OR(Recherche!$C$7="",ISNUMBER(SEARCH(Recherche!$C$7,H4555))),OR(Recherche!$C$8="",J4555=Recherche!$C$8),OR(Recherche!$C$9="",I4555=Recherche!$C$9),OR(Recherche!$C$10="",G4555&amp;""=Recherche!$C$10&amp;""),OR(Recherche!$C$11="",E4555=Recherche!$C$11),OR(Recherche!$C$12="",ISNUMBER(SEARCH(Recherche!$C$12,M4555&amp;" "&amp;F4555)))),1,0)</f>
        <v>8</v>
      </c>
    </row>
    <row r="4556" customFormat="false" ht="15" hidden="false" customHeight="false" outlineLevel="0" collapsed="false">
      <c r="A4556" s="19"/>
      <c r="B4556" s="19"/>
      <c r="C4556" s="19"/>
      <c r="D4556" s="19"/>
      <c r="E4556" s="22"/>
      <c r="F4556" s="19"/>
      <c r="G4556" s="26" t="str">
        <f aca="false">IF(D4556="","",IFERROR(VALUE(LEFT(D4556,FIND(" |",D4556&amp;" |")-1)),"?"))</f>
        <v/>
      </c>
      <c r="H4556" s="27" t="str">
        <f aca="false">IF(G4556="","",IF(G4556="?","⚠ pub inconnue",IFERROR(INDEX(Pubs!$B$2:$B$3001,MATCH(G4556,Pubs!$A$2:$A$3001,0))&amp;"","⚠ pub inconnue")))</f>
        <v/>
      </c>
      <c r="I4556" s="27" t="str">
        <f aca="false">IF(OR(G4556="",G4556="?"),"",IFERROR(INDEX(Pubs!$C$2:$C$3001,MATCH(G4556,Pubs!$A$2:$A$3001,0))&amp;"",""))</f>
        <v/>
      </c>
      <c r="J4556" s="27" t="str">
        <f aca="false">IF(OR(G4556="",G4556="?"),"",IFERROR(INDEX(Pubs!$G$2:$G$3001,MATCH(G4556,Pubs!$A$2:$A$3001,0))&amp;"",""))</f>
        <v/>
      </c>
      <c r="K4556" s="28" t="str">
        <f aca="false">IF(OR(G4556="",G4556="?"),"",IFERROR(INDEX(Pubs!$E$2:$E$3001,MATCH(G4556,Pubs!$A$2:$A$3001,0)),""))</f>
        <v/>
      </c>
      <c r="L4556" s="29" t="str">
        <f aca="false">IF(A4556="","",IFERROR(1/(1/INDEX(Numéros!$C$2:$C$3001,MATCH(A4556&amp;"|"&amp;B4556,Numéros!$F$2:$F$3001,0))),""))</f>
        <v/>
      </c>
      <c r="M4556" s="27" t="str">
        <f aca="false">IF(OR(G4556="",G4556="?"),"",IFERROR(INDEX(Pubs!$D$2:$D$3001,MATCH(G4556,Pubs!$A$2:$A$3001,0))&amp;"",""))</f>
        <v/>
      </c>
      <c r="N4556" s="27" t="n">
        <f aca="false">N(N4555)+IF(AND(A4556&lt;&gt;"",OR(Recherche!$C$4="",A4556=Recherche!$C$4),OR(Recherche!$C$5="",B4556&amp;""=Recherche!$C$5&amp;""),OR(Recherche!$C$6="",IFERROR(YEAR(L4556),0)=Recherche!$C$6),OR(Recherche!$C$7="",ISNUMBER(SEARCH(Recherche!$C$7,H4556))),OR(Recherche!$C$8="",J4556=Recherche!$C$8),OR(Recherche!$C$9="",I4556=Recherche!$C$9),OR(Recherche!$C$10="",G4556&amp;""=Recherche!$C$10&amp;""),OR(Recherche!$C$11="",E4556=Recherche!$C$11),OR(Recherche!$C$12="",ISNUMBER(SEARCH(Recherche!$C$12,M4556&amp;" "&amp;F4556)))),1,0)</f>
        <v>8</v>
      </c>
    </row>
    <row r="4557" customFormat="false" ht="15" hidden="false" customHeight="false" outlineLevel="0" collapsed="false">
      <c r="A4557" s="19"/>
      <c r="B4557" s="19"/>
      <c r="C4557" s="19"/>
      <c r="D4557" s="19"/>
      <c r="E4557" s="22"/>
      <c r="F4557" s="19"/>
      <c r="G4557" s="26" t="str">
        <f aca="false">IF(D4557="","",IFERROR(VALUE(LEFT(D4557,FIND(" |",D4557&amp;" |")-1)),"?"))</f>
        <v/>
      </c>
      <c r="H4557" s="27" t="str">
        <f aca="false">IF(G4557="","",IF(G4557="?","⚠ pub inconnue",IFERROR(INDEX(Pubs!$B$2:$B$3001,MATCH(G4557,Pubs!$A$2:$A$3001,0))&amp;"","⚠ pub inconnue")))</f>
        <v/>
      </c>
      <c r="I4557" s="27" t="str">
        <f aca="false">IF(OR(G4557="",G4557="?"),"",IFERROR(INDEX(Pubs!$C$2:$C$3001,MATCH(G4557,Pubs!$A$2:$A$3001,0))&amp;"",""))</f>
        <v/>
      </c>
      <c r="J4557" s="27" t="str">
        <f aca="false">IF(OR(G4557="",G4557="?"),"",IFERROR(INDEX(Pubs!$G$2:$G$3001,MATCH(G4557,Pubs!$A$2:$A$3001,0))&amp;"",""))</f>
        <v/>
      </c>
      <c r="K4557" s="28" t="str">
        <f aca="false">IF(OR(G4557="",G4557="?"),"",IFERROR(INDEX(Pubs!$E$2:$E$3001,MATCH(G4557,Pubs!$A$2:$A$3001,0)),""))</f>
        <v/>
      </c>
      <c r="L4557" s="29" t="str">
        <f aca="false">IF(A4557="","",IFERROR(1/(1/INDEX(Numéros!$C$2:$C$3001,MATCH(A4557&amp;"|"&amp;B4557,Numéros!$F$2:$F$3001,0))),""))</f>
        <v/>
      </c>
      <c r="M4557" s="27" t="str">
        <f aca="false">IF(OR(G4557="",G4557="?"),"",IFERROR(INDEX(Pubs!$D$2:$D$3001,MATCH(G4557,Pubs!$A$2:$A$3001,0))&amp;"",""))</f>
        <v/>
      </c>
      <c r="N4557" s="27" t="n">
        <f aca="false">N(N4556)+IF(AND(A4557&lt;&gt;"",OR(Recherche!$C$4="",A4557=Recherche!$C$4),OR(Recherche!$C$5="",B4557&amp;""=Recherche!$C$5&amp;""),OR(Recherche!$C$6="",IFERROR(YEAR(L4557),0)=Recherche!$C$6),OR(Recherche!$C$7="",ISNUMBER(SEARCH(Recherche!$C$7,H4557))),OR(Recherche!$C$8="",J4557=Recherche!$C$8),OR(Recherche!$C$9="",I4557=Recherche!$C$9),OR(Recherche!$C$10="",G4557&amp;""=Recherche!$C$10&amp;""),OR(Recherche!$C$11="",E4557=Recherche!$C$11),OR(Recherche!$C$12="",ISNUMBER(SEARCH(Recherche!$C$12,M4557&amp;" "&amp;F4557)))),1,0)</f>
        <v>8</v>
      </c>
    </row>
    <row r="4558" customFormat="false" ht="15" hidden="false" customHeight="false" outlineLevel="0" collapsed="false">
      <c r="A4558" s="19"/>
      <c r="B4558" s="19"/>
      <c r="C4558" s="19"/>
      <c r="D4558" s="19"/>
      <c r="E4558" s="22"/>
      <c r="F4558" s="19"/>
      <c r="G4558" s="26" t="str">
        <f aca="false">IF(D4558="","",IFERROR(VALUE(LEFT(D4558,FIND(" |",D4558&amp;" |")-1)),"?"))</f>
        <v/>
      </c>
      <c r="H4558" s="27" t="str">
        <f aca="false">IF(G4558="","",IF(G4558="?","⚠ pub inconnue",IFERROR(INDEX(Pubs!$B$2:$B$3001,MATCH(G4558,Pubs!$A$2:$A$3001,0))&amp;"","⚠ pub inconnue")))</f>
        <v/>
      </c>
      <c r="I4558" s="27" t="str">
        <f aca="false">IF(OR(G4558="",G4558="?"),"",IFERROR(INDEX(Pubs!$C$2:$C$3001,MATCH(G4558,Pubs!$A$2:$A$3001,0))&amp;"",""))</f>
        <v/>
      </c>
      <c r="J4558" s="27" t="str">
        <f aca="false">IF(OR(G4558="",G4558="?"),"",IFERROR(INDEX(Pubs!$G$2:$G$3001,MATCH(G4558,Pubs!$A$2:$A$3001,0))&amp;"",""))</f>
        <v/>
      </c>
      <c r="K4558" s="28" t="str">
        <f aca="false">IF(OR(G4558="",G4558="?"),"",IFERROR(INDEX(Pubs!$E$2:$E$3001,MATCH(G4558,Pubs!$A$2:$A$3001,0)),""))</f>
        <v/>
      </c>
      <c r="L4558" s="29" t="str">
        <f aca="false">IF(A4558="","",IFERROR(1/(1/INDEX(Numéros!$C$2:$C$3001,MATCH(A4558&amp;"|"&amp;B4558,Numéros!$F$2:$F$3001,0))),""))</f>
        <v/>
      </c>
      <c r="M4558" s="27" t="str">
        <f aca="false">IF(OR(G4558="",G4558="?"),"",IFERROR(INDEX(Pubs!$D$2:$D$3001,MATCH(G4558,Pubs!$A$2:$A$3001,0))&amp;"",""))</f>
        <v/>
      </c>
      <c r="N4558" s="27" t="n">
        <f aca="false">N(N4557)+IF(AND(A4558&lt;&gt;"",OR(Recherche!$C$4="",A4558=Recherche!$C$4),OR(Recherche!$C$5="",B4558&amp;""=Recherche!$C$5&amp;""),OR(Recherche!$C$6="",IFERROR(YEAR(L4558),0)=Recherche!$C$6),OR(Recherche!$C$7="",ISNUMBER(SEARCH(Recherche!$C$7,H4558))),OR(Recherche!$C$8="",J4558=Recherche!$C$8),OR(Recherche!$C$9="",I4558=Recherche!$C$9),OR(Recherche!$C$10="",G4558&amp;""=Recherche!$C$10&amp;""),OR(Recherche!$C$11="",E4558=Recherche!$C$11),OR(Recherche!$C$12="",ISNUMBER(SEARCH(Recherche!$C$12,M4558&amp;" "&amp;F4558)))),1,0)</f>
        <v>8</v>
      </c>
    </row>
    <row r="4559" customFormat="false" ht="15" hidden="false" customHeight="false" outlineLevel="0" collapsed="false">
      <c r="A4559" s="19"/>
      <c r="B4559" s="19"/>
      <c r="C4559" s="19"/>
      <c r="D4559" s="19"/>
      <c r="E4559" s="22"/>
      <c r="F4559" s="19"/>
      <c r="G4559" s="26" t="str">
        <f aca="false">IF(D4559="","",IFERROR(VALUE(LEFT(D4559,FIND(" |",D4559&amp;" |")-1)),"?"))</f>
        <v/>
      </c>
      <c r="H4559" s="27" t="str">
        <f aca="false">IF(G4559="","",IF(G4559="?","⚠ pub inconnue",IFERROR(INDEX(Pubs!$B$2:$B$3001,MATCH(G4559,Pubs!$A$2:$A$3001,0))&amp;"","⚠ pub inconnue")))</f>
        <v/>
      </c>
      <c r="I4559" s="27" t="str">
        <f aca="false">IF(OR(G4559="",G4559="?"),"",IFERROR(INDEX(Pubs!$C$2:$C$3001,MATCH(G4559,Pubs!$A$2:$A$3001,0))&amp;"",""))</f>
        <v/>
      </c>
      <c r="J4559" s="27" t="str">
        <f aca="false">IF(OR(G4559="",G4559="?"),"",IFERROR(INDEX(Pubs!$G$2:$G$3001,MATCH(G4559,Pubs!$A$2:$A$3001,0))&amp;"",""))</f>
        <v/>
      </c>
      <c r="K4559" s="28" t="str">
        <f aca="false">IF(OR(G4559="",G4559="?"),"",IFERROR(INDEX(Pubs!$E$2:$E$3001,MATCH(G4559,Pubs!$A$2:$A$3001,0)),""))</f>
        <v/>
      </c>
      <c r="L4559" s="29" t="str">
        <f aca="false">IF(A4559="","",IFERROR(1/(1/INDEX(Numéros!$C$2:$C$3001,MATCH(A4559&amp;"|"&amp;B4559,Numéros!$F$2:$F$3001,0))),""))</f>
        <v/>
      </c>
      <c r="M4559" s="27" t="str">
        <f aca="false">IF(OR(G4559="",G4559="?"),"",IFERROR(INDEX(Pubs!$D$2:$D$3001,MATCH(G4559,Pubs!$A$2:$A$3001,0))&amp;"",""))</f>
        <v/>
      </c>
      <c r="N4559" s="27" t="n">
        <f aca="false">N(N4558)+IF(AND(A4559&lt;&gt;"",OR(Recherche!$C$4="",A4559=Recherche!$C$4),OR(Recherche!$C$5="",B4559&amp;""=Recherche!$C$5&amp;""),OR(Recherche!$C$6="",IFERROR(YEAR(L4559),0)=Recherche!$C$6),OR(Recherche!$C$7="",ISNUMBER(SEARCH(Recherche!$C$7,H4559))),OR(Recherche!$C$8="",J4559=Recherche!$C$8),OR(Recherche!$C$9="",I4559=Recherche!$C$9),OR(Recherche!$C$10="",G4559&amp;""=Recherche!$C$10&amp;""),OR(Recherche!$C$11="",E4559=Recherche!$C$11),OR(Recherche!$C$12="",ISNUMBER(SEARCH(Recherche!$C$12,M4559&amp;" "&amp;F4559)))),1,0)</f>
        <v>8</v>
      </c>
    </row>
    <row r="4560" customFormat="false" ht="15" hidden="false" customHeight="false" outlineLevel="0" collapsed="false">
      <c r="A4560" s="19"/>
      <c r="B4560" s="19"/>
      <c r="C4560" s="19"/>
      <c r="D4560" s="19"/>
      <c r="E4560" s="22"/>
      <c r="F4560" s="19"/>
      <c r="G4560" s="26" t="str">
        <f aca="false">IF(D4560="","",IFERROR(VALUE(LEFT(D4560,FIND(" |",D4560&amp;" |")-1)),"?"))</f>
        <v/>
      </c>
      <c r="H4560" s="27" t="str">
        <f aca="false">IF(G4560="","",IF(G4560="?","⚠ pub inconnue",IFERROR(INDEX(Pubs!$B$2:$B$3001,MATCH(G4560,Pubs!$A$2:$A$3001,0))&amp;"","⚠ pub inconnue")))</f>
        <v/>
      </c>
      <c r="I4560" s="27" t="str">
        <f aca="false">IF(OR(G4560="",G4560="?"),"",IFERROR(INDEX(Pubs!$C$2:$C$3001,MATCH(G4560,Pubs!$A$2:$A$3001,0))&amp;"",""))</f>
        <v/>
      </c>
      <c r="J4560" s="27" t="str">
        <f aca="false">IF(OR(G4560="",G4560="?"),"",IFERROR(INDEX(Pubs!$G$2:$G$3001,MATCH(G4560,Pubs!$A$2:$A$3001,0))&amp;"",""))</f>
        <v/>
      </c>
      <c r="K4560" s="28" t="str">
        <f aca="false">IF(OR(G4560="",G4560="?"),"",IFERROR(INDEX(Pubs!$E$2:$E$3001,MATCH(G4560,Pubs!$A$2:$A$3001,0)),""))</f>
        <v/>
      </c>
      <c r="L4560" s="29" t="str">
        <f aca="false">IF(A4560="","",IFERROR(1/(1/INDEX(Numéros!$C$2:$C$3001,MATCH(A4560&amp;"|"&amp;B4560,Numéros!$F$2:$F$3001,0))),""))</f>
        <v/>
      </c>
      <c r="M4560" s="27" t="str">
        <f aca="false">IF(OR(G4560="",G4560="?"),"",IFERROR(INDEX(Pubs!$D$2:$D$3001,MATCH(G4560,Pubs!$A$2:$A$3001,0))&amp;"",""))</f>
        <v/>
      </c>
      <c r="N4560" s="27" t="n">
        <f aca="false">N(N4559)+IF(AND(A4560&lt;&gt;"",OR(Recherche!$C$4="",A4560=Recherche!$C$4),OR(Recherche!$C$5="",B4560&amp;""=Recherche!$C$5&amp;""),OR(Recherche!$C$6="",IFERROR(YEAR(L4560),0)=Recherche!$C$6),OR(Recherche!$C$7="",ISNUMBER(SEARCH(Recherche!$C$7,H4560))),OR(Recherche!$C$8="",J4560=Recherche!$C$8),OR(Recherche!$C$9="",I4560=Recherche!$C$9),OR(Recherche!$C$10="",G4560&amp;""=Recherche!$C$10&amp;""),OR(Recherche!$C$11="",E4560=Recherche!$C$11),OR(Recherche!$C$12="",ISNUMBER(SEARCH(Recherche!$C$12,M4560&amp;" "&amp;F4560)))),1,0)</f>
        <v>8</v>
      </c>
    </row>
    <row r="4561" customFormat="false" ht="15" hidden="false" customHeight="false" outlineLevel="0" collapsed="false">
      <c r="A4561" s="19"/>
      <c r="B4561" s="19"/>
      <c r="C4561" s="19"/>
      <c r="D4561" s="19"/>
      <c r="E4561" s="22"/>
      <c r="F4561" s="19"/>
      <c r="G4561" s="26" t="str">
        <f aca="false">IF(D4561="","",IFERROR(VALUE(LEFT(D4561,FIND(" |",D4561&amp;" |")-1)),"?"))</f>
        <v/>
      </c>
      <c r="H4561" s="27" t="str">
        <f aca="false">IF(G4561="","",IF(G4561="?","⚠ pub inconnue",IFERROR(INDEX(Pubs!$B$2:$B$3001,MATCH(G4561,Pubs!$A$2:$A$3001,0))&amp;"","⚠ pub inconnue")))</f>
        <v/>
      </c>
      <c r="I4561" s="27" t="str">
        <f aca="false">IF(OR(G4561="",G4561="?"),"",IFERROR(INDEX(Pubs!$C$2:$C$3001,MATCH(G4561,Pubs!$A$2:$A$3001,0))&amp;"",""))</f>
        <v/>
      </c>
      <c r="J4561" s="27" t="str">
        <f aca="false">IF(OR(G4561="",G4561="?"),"",IFERROR(INDEX(Pubs!$G$2:$G$3001,MATCH(G4561,Pubs!$A$2:$A$3001,0))&amp;"",""))</f>
        <v/>
      </c>
      <c r="K4561" s="28" t="str">
        <f aca="false">IF(OR(G4561="",G4561="?"),"",IFERROR(INDEX(Pubs!$E$2:$E$3001,MATCH(G4561,Pubs!$A$2:$A$3001,0)),""))</f>
        <v/>
      </c>
      <c r="L4561" s="29" t="str">
        <f aca="false">IF(A4561="","",IFERROR(1/(1/INDEX(Numéros!$C$2:$C$3001,MATCH(A4561&amp;"|"&amp;B4561,Numéros!$F$2:$F$3001,0))),""))</f>
        <v/>
      </c>
      <c r="M4561" s="27" t="str">
        <f aca="false">IF(OR(G4561="",G4561="?"),"",IFERROR(INDEX(Pubs!$D$2:$D$3001,MATCH(G4561,Pubs!$A$2:$A$3001,0))&amp;"",""))</f>
        <v/>
      </c>
      <c r="N4561" s="27" t="n">
        <f aca="false">N(N4560)+IF(AND(A4561&lt;&gt;"",OR(Recherche!$C$4="",A4561=Recherche!$C$4),OR(Recherche!$C$5="",B4561&amp;""=Recherche!$C$5&amp;""),OR(Recherche!$C$6="",IFERROR(YEAR(L4561),0)=Recherche!$C$6),OR(Recherche!$C$7="",ISNUMBER(SEARCH(Recherche!$C$7,H4561))),OR(Recherche!$C$8="",J4561=Recherche!$C$8),OR(Recherche!$C$9="",I4561=Recherche!$C$9),OR(Recherche!$C$10="",G4561&amp;""=Recherche!$C$10&amp;""),OR(Recherche!$C$11="",E4561=Recherche!$C$11),OR(Recherche!$C$12="",ISNUMBER(SEARCH(Recherche!$C$12,M4561&amp;" "&amp;F4561)))),1,0)</f>
        <v>8</v>
      </c>
    </row>
    <row r="4562" customFormat="false" ht="15" hidden="false" customHeight="false" outlineLevel="0" collapsed="false">
      <c r="A4562" s="19"/>
      <c r="B4562" s="19"/>
      <c r="C4562" s="19"/>
      <c r="D4562" s="19"/>
      <c r="E4562" s="22"/>
      <c r="F4562" s="19"/>
      <c r="G4562" s="26" t="str">
        <f aca="false">IF(D4562="","",IFERROR(VALUE(LEFT(D4562,FIND(" |",D4562&amp;" |")-1)),"?"))</f>
        <v/>
      </c>
      <c r="H4562" s="27" t="str">
        <f aca="false">IF(G4562="","",IF(G4562="?","⚠ pub inconnue",IFERROR(INDEX(Pubs!$B$2:$B$3001,MATCH(G4562,Pubs!$A$2:$A$3001,0))&amp;"","⚠ pub inconnue")))</f>
        <v/>
      </c>
      <c r="I4562" s="27" t="str">
        <f aca="false">IF(OR(G4562="",G4562="?"),"",IFERROR(INDEX(Pubs!$C$2:$C$3001,MATCH(G4562,Pubs!$A$2:$A$3001,0))&amp;"",""))</f>
        <v/>
      </c>
      <c r="J4562" s="27" t="str">
        <f aca="false">IF(OR(G4562="",G4562="?"),"",IFERROR(INDEX(Pubs!$G$2:$G$3001,MATCH(G4562,Pubs!$A$2:$A$3001,0))&amp;"",""))</f>
        <v/>
      </c>
      <c r="K4562" s="28" t="str">
        <f aca="false">IF(OR(G4562="",G4562="?"),"",IFERROR(INDEX(Pubs!$E$2:$E$3001,MATCH(G4562,Pubs!$A$2:$A$3001,0)),""))</f>
        <v/>
      </c>
      <c r="L4562" s="29" t="str">
        <f aca="false">IF(A4562="","",IFERROR(1/(1/INDEX(Numéros!$C$2:$C$3001,MATCH(A4562&amp;"|"&amp;B4562,Numéros!$F$2:$F$3001,0))),""))</f>
        <v/>
      </c>
      <c r="M4562" s="27" t="str">
        <f aca="false">IF(OR(G4562="",G4562="?"),"",IFERROR(INDEX(Pubs!$D$2:$D$3001,MATCH(G4562,Pubs!$A$2:$A$3001,0))&amp;"",""))</f>
        <v/>
      </c>
      <c r="N4562" s="27" t="n">
        <f aca="false">N(N4561)+IF(AND(A4562&lt;&gt;"",OR(Recherche!$C$4="",A4562=Recherche!$C$4),OR(Recherche!$C$5="",B4562&amp;""=Recherche!$C$5&amp;""),OR(Recherche!$C$6="",IFERROR(YEAR(L4562),0)=Recherche!$C$6),OR(Recherche!$C$7="",ISNUMBER(SEARCH(Recherche!$C$7,H4562))),OR(Recherche!$C$8="",J4562=Recherche!$C$8),OR(Recherche!$C$9="",I4562=Recherche!$C$9),OR(Recherche!$C$10="",G4562&amp;""=Recherche!$C$10&amp;""),OR(Recherche!$C$11="",E4562=Recherche!$C$11),OR(Recherche!$C$12="",ISNUMBER(SEARCH(Recherche!$C$12,M4562&amp;" "&amp;F4562)))),1,0)</f>
        <v>8</v>
      </c>
    </row>
    <row r="4563" customFormat="false" ht="15" hidden="false" customHeight="false" outlineLevel="0" collapsed="false">
      <c r="A4563" s="19"/>
      <c r="B4563" s="19"/>
      <c r="C4563" s="19"/>
      <c r="D4563" s="19"/>
      <c r="E4563" s="22"/>
      <c r="F4563" s="19"/>
      <c r="G4563" s="26" t="str">
        <f aca="false">IF(D4563="","",IFERROR(VALUE(LEFT(D4563,FIND(" |",D4563&amp;" |")-1)),"?"))</f>
        <v/>
      </c>
      <c r="H4563" s="27" t="str">
        <f aca="false">IF(G4563="","",IF(G4563="?","⚠ pub inconnue",IFERROR(INDEX(Pubs!$B$2:$B$3001,MATCH(G4563,Pubs!$A$2:$A$3001,0))&amp;"","⚠ pub inconnue")))</f>
        <v/>
      </c>
      <c r="I4563" s="27" t="str">
        <f aca="false">IF(OR(G4563="",G4563="?"),"",IFERROR(INDEX(Pubs!$C$2:$C$3001,MATCH(G4563,Pubs!$A$2:$A$3001,0))&amp;"",""))</f>
        <v/>
      </c>
      <c r="J4563" s="27" t="str">
        <f aca="false">IF(OR(G4563="",G4563="?"),"",IFERROR(INDEX(Pubs!$G$2:$G$3001,MATCH(G4563,Pubs!$A$2:$A$3001,0))&amp;"",""))</f>
        <v/>
      </c>
      <c r="K4563" s="28" t="str">
        <f aca="false">IF(OR(G4563="",G4563="?"),"",IFERROR(INDEX(Pubs!$E$2:$E$3001,MATCH(G4563,Pubs!$A$2:$A$3001,0)),""))</f>
        <v/>
      </c>
      <c r="L4563" s="29" t="str">
        <f aca="false">IF(A4563="","",IFERROR(1/(1/INDEX(Numéros!$C$2:$C$3001,MATCH(A4563&amp;"|"&amp;B4563,Numéros!$F$2:$F$3001,0))),""))</f>
        <v/>
      </c>
      <c r="M4563" s="27" t="str">
        <f aca="false">IF(OR(G4563="",G4563="?"),"",IFERROR(INDEX(Pubs!$D$2:$D$3001,MATCH(G4563,Pubs!$A$2:$A$3001,0))&amp;"",""))</f>
        <v/>
      </c>
      <c r="N4563" s="27" t="n">
        <f aca="false">N(N4562)+IF(AND(A4563&lt;&gt;"",OR(Recherche!$C$4="",A4563=Recherche!$C$4),OR(Recherche!$C$5="",B4563&amp;""=Recherche!$C$5&amp;""),OR(Recherche!$C$6="",IFERROR(YEAR(L4563),0)=Recherche!$C$6),OR(Recherche!$C$7="",ISNUMBER(SEARCH(Recherche!$C$7,H4563))),OR(Recherche!$C$8="",J4563=Recherche!$C$8),OR(Recherche!$C$9="",I4563=Recherche!$C$9),OR(Recherche!$C$10="",G4563&amp;""=Recherche!$C$10&amp;""),OR(Recherche!$C$11="",E4563=Recherche!$C$11),OR(Recherche!$C$12="",ISNUMBER(SEARCH(Recherche!$C$12,M4563&amp;" "&amp;F4563)))),1,0)</f>
        <v>8</v>
      </c>
    </row>
    <row r="4564" customFormat="false" ht="15" hidden="false" customHeight="false" outlineLevel="0" collapsed="false">
      <c r="A4564" s="19"/>
      <c r="B4564" s="19"/>
      <c r="C4564" s="19"/>
      <c r="D4564" s="19"/>
      <c r="E4564" s="22"/>
      <c r="F4564" s="19"/>
      <c r="G4564" s="26" t="str">
        <f aca="false">IF(D4564="","",IFERROR(VALUE(LEFT(D4564,FIND(" |",D4564&amp;" |")-1)),"?"))</f>
        <v/>
      </c>
      <c r="H4564" s="27" t="str">
        <f aca="false">IF(G4564="","",IF(G4564="?","⚠ pub inconnue",IFERROR(INDEX(Pubs!$B$2:$B$3001,MATCH(G4564,Pubs!$A$2:$A$3001,0))&amp;"","⚠ pub inconnue")))</f>
        <v/>
      </c>
      <c r="I4564" s="27" t="str">
        <f aca="false">IF(OR(G4564="",G4564="?"),"",IFERROR(INDEX(Pubs!$C$2:$C$3001,MATCH(G4564,Pubs!$A$2:$A$3001,0))&amp;"",""))</f>
        <v/>
      </c>
      <c r="J4564" s="27" t="str">
        <f aca="false">IF(OR(G4564="",G4564="?"),"",IFERROR(INDEX(Pubs!$G$2:$G$3001,MATCH(G4564,Pubs!$A$2:$A$3001,0))&amp;"",""))</f>
        <v/>
      </c>
      <c r="K4564" s="28" t="str">
        <f aca="false">IF(OR(G4564="",G4564="?"),"",IFERROR(INDEX(Pubs!$E$2:$E$3001,MATCH(G4564,Pubs!$A$2:$A$3001,0)),""))</f>
        <v/>
      </c>
      <c r="L4564" s="29" t="str">
        <f aca="false">IF(A4564="","",IFERROR(1/(1/INDEX(Numéros!$C$2:$C$3001,MATCH(A4564&amp;"|"&amp;B4564,Numéros!$F$2:$F$3001,0))),""))</f>
        <v/>
      </c>
      <c r="M4564" s="27" t="str">
        <f aca="false">IF(OR(G4564="",G4564="?"),"",IFERROR(INDEX(Pubs!$D$2:$D$3001,MATCH(G4564,Pubs!$A$2:$A$3001,0))&amp;"",""))</f>
        <v/>
      </c>
      <c r="N4564" s="27" t="n">
        <f aca="false">N(N4563)+IF(AND(A4564&lt;&gt;"",OR(Recherche!$C$4="",A4564=Recherche!$C$4),OR(Recherche!$C$5="",B4564&amp;""=Recherche!$C$5&amp;""),OR(Recherche!$C$6="",IFERROR(YEAR(L4564),0)=Recherche!$C$6),OR(Recherche!$C$7="",ISNUMBER(SEARCH(Recherche!$C$7,H4564))),OR(Recherche!$C$8="",J4564=Recherche!$C$8),OR(Recherche!$C$9="",I4564=Recherche!$C$9),OR(Recherche!$C$10="",G4564&amp;""=Recherche!$C$10&amp;""),OR(Recherche!$C$11="",E4564=Recherche!$C$11),OR(Recherche!$C$12="",ISNUMBER(SEARCH(Recherche!$C$12,M4564&amp;" "&amp;F4564)))),1,0)</f>
        <v>8</v>
      </c>
    </row>
    <row r="4565" customFormat="false" ht="15" hidden="false" customHeight="false" outlineLevel="0" collapsed="false">
      <c r="A4565" s="19"/>
      <c r="B4565" s="19"/>
      <c r="C4565" s="19"/>
      <c r="D4565" s="19"/>
      <c r="E4565" s="22"/>
      <c r="F4565" s="19"/>
      <c r="G4565" s="26" t="str">
        <f aca="false">IF(D4565="","",IFERROR(VALUE(LEFT(D4565,FIND(" |",D4565&amp;" |")-1)),"?"))</f>
        <v/>
      </c>
      <c r="H4565" s="27" t="str">
        <f aca="false">IF(G4565="","",IF(G4565="?","⚠ pub inconnue",IFERROR(INDEX(Pubs!$B$2:$B$3001,MATCH(G4565,Pubs!$A$2:$A$3001,0))&amp;"","⚠ pub inconnue")))</f>
        <v/>
      </c>
      <c r="I4565" s="27" t="str">
        <f aca="false">IF(OR(G4565="",G4565="?"),"",IFERROR(INDEX(Pubs!$C$2:$C$3001,MATCH(G4565,Pubs!$A$2:$A$3001,0))&amp;"",""))</f>
        <v/>
      </c>
      <c r="J4565" s="27" t="str">
        <f aca="false">IF(OR(G4565="",G4565="?"),"",IFERROR(INDEX(Pubs!$G$2:$G$3001,MATCH(G4565,Pubs!$A$2:$A$3001,0))&amp;"",""))</f>
        <v/>
      </c>
      <c r="K4565" s="28" t="str">
        <f aca="false">IF(OR(G4565="",G4565="?"),"",IFERROR(INDEX(Pubs!$E$2:$E$3001,MATCH(G4565,Pubs!$A$2:$A$3001,0)),""))</f>
        <v/>
      </c>
      <c r="L4565" s="29" t="str">
        <f aca="false">IF(A4565="","",IFERROR(1/(1/INDEX(Numéros!$C$2:$C$3001,MATCH(A4565&amp;"|"&amp;B4565,Numéros!$F$2:$F$3001,0))),""))</f>
        <v/>
      </c>
      <c r="M4565" s="27" t="str">
        <f aca="false">IF(OR(G4565="",G4565="?"),"",IFERROR(INDEX(Pubs!$D$2:$D$3001,MATCH(G4565,Pubs!$A$2:$A$3001,0))&amp;"",""))</f>
        <v/>
      </c>
      <c r="N4565" s="27" t="n">
        <f aca="false">N(N4564)+IF(AND(A4565&lt;&gt;"",OR(Recherche!$C$4="",A4565=Recherche!$C$4),OR(Recherche!$C$5="",B4565&amp;""=Recherche!$C$5&amp;""),OR(Recherche!$C$6="",IFERROR(YEAR(L4565),0)=Recherche!$C$6),OR(Recherche!$C$7="",ISNUMBER(SEARCH(Recherche!$C$7,H4565))),OR(Recherche!$C$8="",J4565=Recherche!$C$8),OR(Recherche!$C$9="",I4565=Recherche!$C$9),OR(Recherche!$C$10="",G4565&amp;""=Recherche!$C$10&amp;""),OR(Recherche!$C$11="",E4565=Recherche!$C$11),OR(Recherche!$C$12="",ISNUMBER(SEARCH(Recherche!$C$12,M4565&amp;" "&amp;F4565)))),1,0)</f>
        <v>8</v>
      </c>
    </row>
    <row r="4566" customFormat="false" ht="15" hidden="false" customHeight="false" outlineLevel="0" collapsed="false">
      <c r="A4566" s="19"/>
      <c r="B4566" s="19"/>
      <c r="C4566" s="19"/>
      <c r="D4566" s="19"/>
      <c r="E4566" s="22"/>
      <c r="F4566" s="19"/>
      <c r="G4566" s="26" t="str">
        <f aca="false">IF(D4566="","",IFERROR(VALUE(LEFT(D4566,FIND(" |",D4566&amp;" |")-1)),"?"))</f>
        <v/>
      </c>
      <c r="H4566" s="27" t="str">
        <f aca="false">IF(G4566="","",IF(G4566="?","⚠ pub inconnue",IFERROR(INDEX(Pubs!$B$2:$B$3001,MATCH(G4566,Pubs!$A$2:$A$3001,0))&amp;"","⚠ pub inconnue")))</f>
        <v/>
      </c>
      <c r="I4566" s="27" t="str">
        <f aca="false">IF(OR(G4566="",G4566="?"),"",IFERROR(INDEX(Pubs!$C$2:$C$3001,MATCH(G4566,Pubs!$A$2:$A$3001,0))&amp;"",""))</f>
        <v/>
      </c>
      <c r="J4566" s="27" t="str">
        <f aca="false">IF(OR(G4566="",G4566="?"),"",IFERROR(INDEX(Pubs!$G$2:$G$3001,MATCH(G4566,Pubs!$A$2:$A$3001,0))&amp;"",""))</f>
        <v/>
      </c>
      <c r="K4566" s="28" t="str">
        <f aca="false">IF(OR(G4566="",G4566="?"),"",IFERROR(INDEX(Pubs!$E$2:$E$3001,MATCH(G4566,Pubs!$A$2:$A$3001,0)),""))</f>
        <v/>
      </c>
      <c r="L4566" s="29" t="str">
        <f aca="false">IF(A4566="","",IFERROR(1/(1/INDEX(Numéros!$C$2:$C$3001,MATCH(A4566&amp;"|"&amp;B4566,Numéros!$F$2:$F$3001,0))),""))</f>
        <v/>
      </c>
      <c r="M4566" s="27" t="str">
        <f aca="false">IF(OR(G4566="",G4566="?"),"",IFERROR(INDEX(Pubs!$D$2:$D$3001,MATCH(G4566,Pubs!$A$2:$A$3001,0))&amp;"",""))</f>
        <v/>
      </c>
      <c r="N4566" s="27" t="n">
        <f aca="false">N(N4565)+IF(AND(A4566&lt;&gt;"",OR(Recherche!$C$4="",A4566=Recherche!$C$4),OR(Recherche!$C$5="",B4566&amp;""=Recherche!$C$5&amp;""),OR(Recherche!$C$6="",IFERROR(YEAR(L4566),0)=Recherche!$C$6),OR(Recherche!$C$7="",ISNUMBER(SEARCH(Recherche!$C$7,H4566))),OR(Recherche!$C$8="",J4566=Recherche!$C$8),OR(Recherche!$C$9="",I4566=Recherche!$C$9),OR(Recherche!$C$10="",G4566&amp;""=Recherche!$C$10&amp;""),OR(Recherche!$C$11="",E4566=Recherche!$C$11),OR(Recherche!$C$12="",ISNUMBER(SEARCH(Recherche!$C$12,M4566&amp;" "&amp;F4566)))),1,0)</f>
        <v>8</v>
      </c>
    </row>
    <row r="4567" customFormat="false" ht="15" hidden="false" customHeight="false" outlineLevel="0" collapsed="false">
      <c r="A4567" s="19"/>
      <c r="B4567" s="19"/>
      <c r="C4567" s="19"/>
      <c r="D4567" s="19"/>
      <c r="E4567" s="22"/>
      <c r="F4567" s="19"/>
      <c r="G4567" s="26" t="str">
        <f aca="false">IF(D4567="","",IFERROR(VALUE(LEFT(D4567,FIND(" |",D4567&amp;" |")-1)),"?"))</f>
        <v/>
      </c>
      <c r="H4567" s="27" t="str">
        <f aca="false">IF(G4567="","",IF(G4567="?","⚠ pub inconnue",IFERROR(INDEX(Pubs!$B$2:$B$3001,MATCH(G4567,Pubs!$A$2:$A$3001,0))&amp;"","⚠ pub inconnue")))</f>
        <v/>
      </c>
      <c r="I4567" s="27" t="str">
        <f aca="false">IF(OR(G4567="",G4567="?"),"",IFERROR(INDEX(Pubs!$C$2:$C$3001,MATCH(G4567,Pubs!$A$2:$A$3001,0))&amp;"",""))</f>
        <v/>
      </c>
      <c r="J4567" s="27" t="str">
        <f aca="false">IF(OR(G4567="",G4567="?"),"",IFERROR(INDEX(Pubs!$G$2:$G$3001,MATCH(G4567,Pubs!$A$2:$A$3001,0))&amp;"",""))</f>
        <v/>
      </c>
      <c r="K4567" s="28" t="str">
        <f aca="false">IF(OR(G4567="",G4567="?"),"",IFERROR(INDEX(Pubs!$E$2:$E$3001,MATCH(G4567,Pubs!$A$2:$A$3001,0)),""))</f>
        <v/>
      </c>
      <c r="L4567" s="29" t="str">
        <f aca="false">IF(A4567="","",IFERROR(1/(1/INDEX(Numéros!$C$2:$C$3001,MATCH(A4567&amp;"|"&amp;B4567,Numéros!$F$2:$F$3001,0))),""))</f>
        <v/>
      </c>
      <c r="M4567" s="27" t="str">
        <f aca="false">IF(OR(G4567="",G4567="?"),"",IFERROR(INDEX(Pubs!$D$2:$D$3001,MATCH(G4567,Pubs!$A$2:$A$3001,0))&amp;"",""))</f>
        <v/>
      </c>
      <c r="N4567" s="27" t="n">
        <f aca="false">N(N4566)+IF(AND(A4567&lt;&gt;"",OR(Recherche!$C$4="",A4567=Recherche!$C$4),OR(Recherche!$C$5="",B4567&amp;""=Recherche!$C$5&amp;""),OR(Recherche!$C$6="",IFERROR(YEAR(L4567),0)=Recherche!$C$6),OR(Recherche!$C$7="",ISNUMBER(SEARCH(Recherche!$C$7,H4567))),OR(Recherche!$C$8="",J4567=Recherche!$C$8),OR(Recherche!$C$9="",I4567=Recherche!$C$9),OR(Recherche!$C$10="",G4567&amp;""=Recherche!$C$10&amp;""),OR(Recherche!$C$11="",E4567=Recherche!$C$11),OR(Recherche!$C$12="",ISNUMBER(SEARCH(Recherche!$C$12,M4567&amp;" "&amp;F4567)))),1,0)</f>
        <v>8</v>
      </c>
    </row>
    <row r="4568" customFormat="false" ht="15" hidden="false" customHeight="false" outlineLevel="0" collapsed="false">
      <c r="A4568" s="19"/>
      <c r="B4568" s="19"/>
      <c r="C4568" s="19"/>
      <c r="D4568" s="19"/>
      <c r="E4568" s="22"/>
      <c r="F4568" s="19"/>
      <c r="G4568" s="26" t="str">
        <f aca="false">IF(D4568="","",IFERROR(VALUE(LEFT(D4568,FIND(" |",D4568&amp;" |")-1)),"?"))</f>
        <v/>
      </c>
      <c r="H4568" s="27" t="str">
        <f aca="false">IF(G4568="","",IF(G4568="?","⚠ pub inconnue",IFERROR(INDEX(Pubs!$B$2:$B$3001,MATCH(G4568,Pubs!$A$2:$A$3001,0))&amp;"","⚠ pub inconnue")))</f>
        <v/>
      </c>
      <c r="I4568" s="27" t="str">
        <f aca="false">IF(OR(G4568="",G4568="?"),"",IFERROR(INDEX(Pubs!$C$2:$C$3001,MATCH(G4568,Pubs!$A$2:$A$3001,0))&amp;"",""))</f>
        <v/>
      </c>
      <c r="J4568" s="27" t="str">
        <f aca="false">IF(OR(G4568="",G4568="?"),"",IFERROR(INDEX(Pubs!$G$2:$G$3001,MATCH(G4568,Pubs!$A$2:$A$3001,0))&amp;"",""))</f>
        <v/>
      </c>
      <c r="K4568" s="28" t="str">
        <f aca="false">IF(OR(G4568="",G4568="?"),"",IFERROR(INDEX(Pubs!$E$2:$E$3001,MATCH(G4568,Pubs!$A$2:$A$3001,0)),""))</f>
        <v/>
      </c>
      <c r="L4568" s="29" t="str">
        <f aca="false">IF(A4568="","",IFERROR(1/(1/INDEX(Numéros!$C$2:$C$3001,MATCH(A4568&amp;"|"&amp;B4568,Numéros!$F$2:$F$3001,0))),""))</f>
        <v/>
      </c>
      <c r="M4568" s="27" t="str">
        <f aca="false">IF(OR(G4568="",G4568="?"),"",IFERROR(INDEX(Pubs!$D$2:$D$3001,MATCH(G4568,Pubs!$A$2:$A$3001,0))&amp;"",""))</f>
        <v/>
      </c>
      <c r="N4568" s="27" t="n">
        <f aca="false">N(N4567)+IF(AND(A4568&lt;&gt;"",OR(Recherche!$C$4="",A4568=Recherche!$C$4),OR(Recherche!$C$5="",B4568&amp;""=Recherche!$C$5&amp;""),OR(Recherche!$C$6="",IFERROR(YEAR(L4568),0)=Recherche!$C$6),OR(Recherche!$C$7="",ISNUMBER(SEARCH(Recherche!$C$7,H4568))),OR(Recherche!$C$8="",J4568=Recherche!$C$8),OR(Recherche!$C$9="",I4568=Recherche!$C$9),OR(Recherche!$C$10="",G4568&amp;""=Recherche!$C$10&amp;""),OR(Recherche!$C$11="",E4568=Recherche!$C$11),OR(Recherche!$C$12="",ISNUMBER(SEARCH(Recherche!$C$12,M4568&amp;" "&amp;F4568)))),1,0)</f>
        <v>8</v>
      </c>
    </row>
    <row r="4569" customFormat="false" ht="15" hidden="false" customHeight="false" outlineLevel="0" collapsed="false">
      <c r="A4569" s="19"/>
      <c r="B4569" s="19"/>
      <c r="C4569" s="19"/>
      <c r="D4569" s="19"/>
      <c r="E4569" s="22"/>
      <c r="F4569" s="19"/>
      <c r="G4569" s="26" t="str">
        <f aca="false">IF(D4569="","",IFERROR(VALUE(LEFT(D4569,FIND(" |",D4569&amp;" |")-1)),"?"))</f>
        <v/>
      </c>
      <c r="H4569" s="27" t="str">
        <f aca="false">IF(G4569="","",IF(G4569="?","⚠ pub inconnue",IFERROR(INDEX(Pubs!$B$2:$B$3001,MATCH(G4569,Pubs!$A$2:$A$3001,0))&amp;"","⚠ pub inconnue")))</f>
        <v/>
      </c>
      <c r="I4569" s="27" t="str">
        <f aca="false">IF(OR(G4569="",G4569="?"),"",IFERROR(INDEX(Pubs!$C$2:$C$3001,MATCH(G4569,Pubs!$A$2:$A$3001,0))&amp;"",""))</f>
        <v/>
      </c>
      <c r="J4569" s="27" t="str">
        <f aca="false">IF(OR(G4569="",G4569="?"),"",IFERROR(INDEX(Pubs!$G$2:$G$3001,MATCH(G4569,Pubs!$A$2:$A$3001,0))&amp;"",""))</f>
        <v/>
      </c>
      <c r="K4569" s="28" t="str">
        <f aca="false">IF(OR(G4569="",G4569="?"),"",IFERROR(INDEX(Pubs!$E$2:$E$3001,MATCH(G4569,Pubs!$A$2:$A$3001,0)),""))</f>
        <v/>
      </c>
      <c r="L4569" s="29" t="str">
        <f aca="false">IF(A4569="","",IFERROR(1/(1/INDEX(Numéros!$C$2:$C$3001,MATCH(A4569&amp;"|"&amp;B4569,Numéros!$F$2:$F$3001,0))),""))</f>
        <v/>
      </c>
      <c r="M4569" s="27" t="str">
        <f aca="false">IF(OR(G4569="",G4569="?"),"",IFERROR(INDEX(Pubs!$D$2:$D$3001,MATCH(G4569,Pubs!$A$2:$A$3001,0))&amp;"",""))</f>
        <v/>
      </c>
      <c r="N4569" s="27" t="n">
        <f aca="false">N(N4568)+IF(AND(A4569&lt;&gt;"",OR(Recherche!$C$4="",A4569=Recherche!$C$4),OR(Recherche!$C$5="",B4569&amp;""=Recherche!$C$5&amp;""),OR(Recherche!$C$6="",IFERROR(YEAR(L4569),0)=Recherche!$C$6),OR(Recherche!$C$7="",ISNUMBER(SEARCH(Recherche!$C$7,H4569))),OR(Recherche!$C$8="",J4569=Recherche!$C$8),OR(Recherche!$C$9="",I4569=Recherche!$C$9),OR(Recherche!$C$10="",G4569&amp;""=Recherche!$C$10&amp;""),OR(Recherche!$C$11="",E4569=Recherche!$C$11),OR(Recherche!$C$12="",ISNUMBER(SEARCH(Recherche!$C$12,M4569&amp;" "&amp;F4569)))),1,0)</f>
        <v>8</v>
      </c>
    </row>
    <row r="4570" customFormat="false" ht="15" hidden="false" customHeight="false" outlineLevel="0" collapsed="false">
      <c r="A4570" s="19"/>
      <c r="B4570" s="19"/>
      <c r="C4570" s="19"/>
      <c r="D4570" s="19"/>
      <c r="E4570" s="22"/>
      <c r="F4570" s="19"/>
      <c r="G4570" s="26" t="str">
        <f aca="false">IF(D4570="","",IFERROR(VALUE(LEFT(D4570,FIND(" |",D4570&amp;" |")-1)),"?"))</f>
        <v/>
      </c>
      <c r="H4570" s="27" t="str">
        <f aca="false">IF(G4570="","",IF(G4570="?","⚠ pub inconnue",IFERROR(INDEX(Pubs!$B$2:$B$3001,MATCH(G4570,Pubs!$A$2:$A$3001,0))&amp;"","⚠ pub inconnue")))</f>
        <v/>
      </c>
      <c r="I4570" s="27" t="str">
        <f aca="false">IF(OR(G4570="",G4570="?"),"",IFERROR(INDEX(Pubs!$C$2:$C$3001,MATCH(G4570,Pubs!$A$2:$A$3001,0))&amp;"",""))</f>
        <v/>
      </c>
      <c r="J4570" s="27" t="str">
        <f aca="false">IF(OR(G4570="",G4570="?"),"",IFERROR(INDEX(Pubs!$G$2:$G$3001,MATCH(G4570,Pubs!$A$2:$A$3001,0))&amp;"",""))</f>
        <v/>
      </c>
      <c r="K4570" s="28" t="str">
        <f aca="false">IF(OR(G4570="",G4570="?"),"",IFERROR(INDEX(Pubs!$E$2:$E$3001,MATCH(G4570,Pubs!$A$2:$A$3001,0)),""))</f>
        <v/>
      </c>
      <c r="L4570" s="29" t="str">
        <f aca="false">IF(A4570="","",IFERROR(1/(1/INDEX(Numéros!$C$2:$C$3001,MATCH(A4570&amp;"|"&amp;B4570,Numéros!$F$2:$F$3001,0))),""))</f>
        <v/>
      </c>
      <c r="M4570" s="27" t="str">
        <f aca="false">IF(OR(G4570="",G4570="?"),"",IFERROR(INDEX(Pubs!$D$2:$D$3001,MATCH(G4570,Pubs!$A$2:$A$3001,0))&amp;"",""))</f>
        <v/>
      </c>
      <c r="N4570" s="27" t="n">
        <f aca="false">N(N4569)+IF(AND(A4570&lt;&gt;"",OR(Recherche!$C$4="",A4570=Recherche!$C$4),OR(Recherche!$C$5="",B4570&amp;""=Recherche!$C$5&amp;""),OR(Recherche!$C$6="",IFERROR(YEAR(L4570),0)=Recherche!$C$6),OR(Recherche!$C$7="",ISNUMBER(SEARCH(Recherche!$C$7,H4570))),OR(Recherche!$C$8="",J4570=Recherche!$C$8),OR(Recherche!$C$9="",I4570=Recherche!$C$9),OR(Recherche!$C$10="",G4570&amp;""=Recherche!$C$10&amp;""),OR(Recherche!$C$11="",E4570=Recherche!$C$11),OR(Recherche!$C$12="",ISNUMBER(SEARCH(Recherche!$C$12,M4570&amp;" "&amp;F4570)))),1,0)</f>
        <v>8</v>
      </c>
    </row>
    <row r="4571" customFormat="false" ht="15" hidden="false" customHeight="false" outlineLevel="0" collapsed="false">
      <c r="A4571" s="19"/>
      <c r="B4571" s="19"/>
      <c r="C4571" s="19"/>
      <c r="D4571" s="19"/>
      <c r="E4571" s="22"/>
      <c r="F4571" s="19"/>
      <c r="G4571" s="26" t="str">
        <f aca="false">IF(D4571="","",IFERROR(VALUE(LEFT(D4571,FIND(" |",D4571&amp;" |")-1)),"?"))</f>
        <v/>
      </c>
      <c r="H4571" s="27" t="str">
        <f aca="false">IF(G4571="","",IF(G4571="?","⚠ pub inconnue",IFERROR(INDEX(Pubs!$B$2:$B$3001,MATCH(G4571,Pubs!$A$2:$A$3001,0))&amp;"","⚠ pub inconnue")))</f>
        <v/>
      </c>
      <c r="I4571" s="27" t="str">
        <f aca="false">IF(OR(G4571="",G4571="?"),"",IFERROR(INDEX(Pubs!$C$2:$C$3001,MATCH(G4571,Pubs!$A$2:$A$3001,0))&amp;"",""))</f>
        <v/>
      </c>
      <c r="J4571" s="27" t="str">
        <f aca="false">IF(OR(G4571="",G4571="?"),"",IFERROR(INDEX(Pubs!$G$2:$G$3001,MATCH(G4571,Pubs!$A$2:$A$3001,0))&amp;"",""))</f>
        <v/>
      </c>
      <c r="K4571" s="28" t="str">
        <f aca="false">IF(OR(G4571="",G4571="?"),"",IFERROR(INDEX(Pubs!$E$2:$E$3001,MATCH(G4571,Pubs!$A$2:$A$3001,0)),""))</f>
        <v/>
      </c>
      <c r="L4571" s="29" t="str">
        <f aca="false">IF(A4571="","",IFERROR(1/(1/INDEX(Numéros!$C$2:$C$3001,MATCH(A4571&amp;"|"&amp;B4571,Numéros!$F$2:$F$3001,0))),""))</f>
        <v/>
      </c>
      <c r="M4571" s="27" t="str">
        <f aca="false">IF(OR(G4571="",G4571="?"),"",IFERROR(INDEX(Pubs!$D$2:$D$3001,MATCH(G4571,Pubs!$A$2:$A$3001,0))&amp;"",""))</f>
        <v/>
      </c>
      <c r="N4571" s="27" t="n">
        <f aca="false">N(N4570)+IF(AND(A4571&lt;&gt;"",OR(Recherche!$C$4="",A4571=Recherche!$C$4),OR(Recherche!$C$5="",B4571&amp;""=Recherche!$C$5&amp;""),OR(Recherche!$C$6="",IFERROR(YEAR(L4571),0)=Recherche!$C$6),OR(Recherche!$C$7="",ISNUMBER(SEARCH(Recherche!$C$7,H4571))),OR(Recherche!$C$8="",J4571=Recherche!$C$8),OR(Recherche!$C$9="",I4571=Recherche!$C$9),OR(Recherche!$C$10="",G4571&amp;""=Recherche!$C$10&amp;""),OR(Recherche!$C$11="",E4571=Recherche!$C$11),OR(Recherche!$C$12="",ISNUMBER(SEARCH(Recherche!$C$12,M4571&amp;" "&amp;F4571)))),1,0)</f>
        <v>8</v>
      </c>
    </row>
    <row r="4572" customFormat="false" ht="15" hidden="false" customHeight="false" outlineLevel="0" collapsed="false">
      <c r="A4572" s="19"/>
      <c r="B4572" s="19"/>
      <c r="C4572" s="19"/>
      <c r="D4572" s="19"/>
      <c r="E4572" s="22"/>
      <c r="F4572" s="19"/>
      <c r="G4572" s="26" t="str">
        <f aca="false">IF(D4572="","",IFERROR(VALUE(LEFT(D4572,FIND(" |",D4572&amp;" |")-1)),"?"))</f>
        <v/>
      </c>
      <c r="H4572" s="27" t="str">
        <f aca="false">IF(G4572="","",IF(G4572="?","⚠ pub inconnue",IFERROR(INDEX(Pubs!$B$2:$B$3001,MATCH(G4572,Pubs!$A$2:$A$3001,0))&amp;"","⚠ pub inconnue")))</f>
        <v/>
      </c>
      <c r="I4572" s="27" t="str">
        <f aca="false">IF(OR(G4572="",G4572="?"),"",IFERROR(INDEX(Pubs!$C$2:$C$3001,MATCH(G4572,Pubs!$A$2:$A$3001,0))&amp;"",""))</f>
        <v/>
      </c>
      <c r="J4572" s="27" t="str">
        <f aca="false">IF(OR(G4572="",G4572="?"),"",IFERROR(INDEX(Pubs!$G$2:$G$3001,MATCH(G4572,Pubs!$A$2:$A$3001,0))&amp;"",""))</f>
        <v/>
      </c>
      <c r="K4572" s="28" t="str">
        <f aca="false">IF(OR(G4572="",G4572="?"),"",IFERROR(INDEX(Pubs!$E$2:$E$3001,MATCH(G4572,Pubs!$A$2:$A$3001,0)),""))</f>
        <v/>
      </c>
      <c r="L4572" s="29" t="str">
        <f aca="false">IF(A4572="","",IFERROR(1/(1/INDEX(Numéros!$C$2:$C$3001,MATCH(A4572&amp;"|"&amp;B4572,Numéros!$F$2:$F$3001,0))),""))</f>
        <v/>
      </c>
      <c r="M4572" s="27" t="str">
        <f aca="false">IF(OR(G4572="",G4572="?"),"",IFERROR(INDEX(Pubs!$D$2:$D$3001,MATCH(G4572,Pubs!$A$2:$A$3001,0))&amp;"",""))</f>
        <v/>
      </c>
      <c r="N4572" s="27" t="n">
        <f aca="false">N(N4571)+IF(AND(A4572&lt;&gt;"",OR(Recherche!$C$4="",A4572=Recherche!$C$4),OR(Recherche!$C$5="",B4572&amp;""=Recherche!$C$5&amp;""),OR(Recherche!$C$6="",IFERROR(YEAR(L4572),0)=Recherche!$C$6),OR(Recherche!$C$7="",ISNUMBER(SEARCH(Recherche!$C$7,H4572))),OR(Recherche!$C$8="",J4572=Recherche!$C$8),OR(Recherche!$C$9="",I4572=Recherche!$C$9),OR(Recherche!$C$10="",G4572&amp;""=Recherche!$C$10&amp;""),OR(Recherche!$C$11="",E4572=Recherche!$C$11),OR(Recherche!$C$12="",ISNUMBER(SEARCH(Recherche!$C$12,M4572&amp;" "&amp;F4572)))),1,0)</f>
        <v>8</v>
      </c>
    </row>
    <row r="4573" customFormat="false" ht="15" hidden="false" customHeight="false" outlineLevel="0" collapsed="false">
      <c r="A4573" s="19"/>
      <c r="B4573" s="19"/>
      <c r="C4573" s="19"/>
      <c r="D4573" s="19"/>
      <c r="E4573" s="22"/>
      <c r="F4573" s="19"/>
      <c r="G4573" s="26" t="str">
        <f aca="false">IF(D4573="","",IFERROR(VALUE(LEFT(D4573,FIND(" |",D4573&amp;" |")-1)),"?"))</f>
        <v/>
      </c>
      <c r="H4573" s="27" t="str">
        <f aca="false">IF(G4573="","",IF(G4573="?","⚠ pub inconnue",IFERROR(INDEX(Pubs!$B$2:$B$3001,MATCH(G4573,Pubs!$A$2:$A$3001,0))&amp;"","⚠ pub inconnue")))</f>
        <v/>
      </c>
      <c r="I4573" s="27" t="str">
        <f aca="false">IF(OR(G4573="",G4573="?"),"",IFERROR(INDEX(Pubs!$C$2:$C$3001,MATCH(G4573,Pubs!$A$2:$A$3001,0))&amp;"",""))</f>
        <v/>
      </c>
      <c r="J4573" s="27" t="str">
        <f aca="false">IF(OR(G4573="",G4573="?"),"",IFERROR(INDEX(Pubs!$G$2:$G$3001,MATCH(G4573,Pubs!$A$2:$A$3001,0))&amp;"",""))</f>
        <v/>
      </c>
      <c r="K4573" s="28" t="str">
        <f aca="false">IF(OR(G4573="",G4573="?"),"",IFERROR(INDEX(Pubs!$E$2:$E$3001,MATCH(G4573,Pubs!$A$2:$A$3001,0)),""))</f>
        <v/>
      </c>
      <c r="L4573" s="29" t="str">
        <f aca="false">IF(A4573="","",IFERROR(1/(1/INDEX(Numéros!$C$2:$C$3001,MATCH(A4573&amp;"|"&amp;B4573,Numéros!$F$2:$F$3001,0))),""))</f>
        <v/>
      </c>
      <c r="M4573" s="27" t="str">
        <f aca="false">IF(OR(G4573="",G4573="?"),"",IFERROR(INDEX(Pubs!$D$2:$D$3001,MATCH(G4573,Pubs!$A$2:$A$3001,0))&amp;"",""))</f>
        <v/>
      </c>
      <c r="N4573" s="27" t="n">
        <f aca="false">N(N4572)+IF(AND(A4573&lt;&gt;"",OR(Recherche!$C$4="",A4573=Recherche!$C$4),OR(Recherche!$C$5="",B4573&amp;""=Recherche!$C$5&amp;""),OR(Recherche!$C$6="",IFERROR(YEAR(L4573),0)=Recherche!$C$6),OR(Recherche!$C$7="",ISNUMBER(SEARCH(Recherche!$C$7,H4573))),OR(Recherche!$C$8="",J4573=Recherche!$C$8),OR(Recherche!$C$9="",I4573=Recherche!$C$9),OR(Recherche!$C$10="",G4573&amp;""=Recherche!$C$10&amp;""),OR(Recherche!$C$11="",E4573=Recherche!$C$11),OR(Recherche!$C$12="",ISNUMBER(SEARCH(Recherche!$C$12,M4573&amp;" "&amp;F4573)))),1,0)</f>
        <v>8</v>
      </c>
    </row>
    <row r="4574" customFormat="false" ht="15" hidden="false" customHeight="false" outlineLevel="0" collapsed="false">
      <c r="A4574" s="19"/>
      <c r="B4574" s="19"/>
      <c r="C4574" s="19"/>
      <c r="D4574" s="19"/>
      <c r="E4574" s="22"/>
      <c r="F4574" s="19"/>
      <c r="G4574" s="26" t="str">
        <f aca="false">IF(D4574="","",IFERROR(VALUE(LEFT(D4574,FIND(" |",D4574&amp;" |")-1)),"?"))</f>
        <v/>
      </c>
      <c r="H4574" s="27" t="str">
        <f aca="false">IF(G4574="","",IF(G4574="?","⚠ pub inconnue",IFERROR(INDEX(Pubs!$B$2:$B$3001,MATCH(G4574,Pubs!$A$2:$A$3001,0))&amp;"","⚠ pub inconnue")))</f>
        <v/>
      </c>
      <c r="I4574" s="27" t="str">
        <f aca="false">IF(OR(G4574="",G4574="?"),"",IFERROR(INDEX(Pubs!$C$2:$C$3001,MATCH(G4574,Pubs!$A$2:$A$3001,0))&amp;"",""))</f>
        <v/>
      </c>
      <c r="J4574" s="27" t="str">
        <f aca="false">IF(OR(G4574="",G4574="?"),"",IFERROR(INDEX(Pubs!$G$2:$G$3001,MATCH(G4574,Pubs!$A$2:$A$3001,0))&amp;"",""))</f>
        <v/>
      </c>
      <c r="K4574" s="28" t="str">
        <f aca="false">IF(OR(G4574="",G4574="?"),"",IFERROR(INDEX(Pubs!$E$2:$E$3001,MATCH(G4574,Pubs!$A$2:$A$3001,0)),""))</f>
        <v/>
      </c>
      <c r="L4574" s="29" t="str">
        <f aca="false">IF(A4574="","",IFERROR(1/(1/INDEX(Numéros!$C$2:$C$3001,MATCH(A4574&amp;"|"&amp;B4574,Numéros!$F$2:$F$3001,0))),""))</f>
        <v/>
      </c>
      <c r="M4574" s="27" t="str">
        <f aca="false">IF(OR(G4574="",G4574="?"),"",IFERROR(INDEX(Pubs!$D$2:$D$3001,MATCH(G4574,Pubs!$A$2:$A$3001,0))&amp;"",""))</f>
        <v/>
      </c>
      <c r="N4574" s="27" t="n">
        <f aca="false">N(N4573)+IF(AND(A4574&lt;&gt;"",OR(Recherche!$C$4="",A4574=Recherche!$C$4),OR(Recherche!$C$5="",B4574&amp;""=Recherche!$C$5&amp;""),OR(Recherche!$C$6="",IFERROR(YEAR(L4574),0)=Recherche!$C$6),OR(Recherche!$C$7="",ISNUMBER(SEARCH(Recherche!$C$7,H4574))),OR(Recherche!$C$8="",J4574=Recherche!$C$8),OR(Recherche!$C$9="",I4574=Recherche!$C$9),OR(Recherche!$C$10="",G4574&amp;""=Recherche!$C$10&amp;""),OR(Recherche!$C$11="",E4574=Recherche!$C$11),OR(Recherche!$C$12="",ISNUMBER(SEARCH(Recherche!$C$12,M4574&amp;" "&amp;F4574)))),1,0)</f>
        <v>8</v>
      </c>
    </row>
    <row r="4575" customFormat="false" ht="15" hidden="false" customHeight="false" outlineLevel="0" collapsed="false">
      <c r="A4575" s="19"/>
      <c r="B4575" s="19"/>
      <c r="C4575" s="19"/>
      <c r="D4575" s="19"/>
      <c r="E4575" s="22"/>
      <c r="F4575" s="19"/>
      <c r="G4575" s="26" t="str">
        <f aca="false">IF(D4575="","",IFERROR(VALUE(LEFT(D4575,FIND(" |",D4575&amp;" |")-1)),"?"))</f>
        <v/>
      </c>
      <c r="H4575" s="27" t="str">
        <f aca="false">IF(G4575="","",IF(G4575="?","⚠ pub inconnue",IFERROR(INDEX(Pubs!$B$2:$B$3001,MATCH(G4575,Pubs!$A$2:$A$3001,0))&amp;"","⚠ pub inconnue")))</f>
        <v/>
      </c>
      <c r="I4575" s="27" t="str">
        <f aca="false">IF(OR(G4575="",G4575="?"),"",IFERROR(INDEX(Pubs!$C$2:$C$3001,MATCH(G4575,Pubs!$A$2:$A$3001,0))&amp;"",""))</f>
        <v/>
      </c>
      <c r="J4575" s="27" t="str">
        <f aca="false">IF(OR(G4575="",G4575="?"),"",IFERROR(INDEX(Pubs!$G$2:$G$3001,MATCH(G4575,Pubs!$A$2:$A$3001,0))&amp;"",""))</f>
        <v/>
      </c>
      <c r="K4575" s="28" t="str">
        <f aca="false">IF(OR(G4575="",G4575="?"),"",IFERROR(INDEX(Pubs!$E$2:$E$3001,MATCH(G4575,Pubs!$A$2:$A$3001,0)),""))</f>
        <v/>
      </c>
      <c r="L4575" s="29" t="str">
        <f aca="false">IF(A4575="","",IFERROR(1/(1/INDEX(Numéros!$C$2:$C$3001,MATCH(A4575&amp;"|"&amp;B4575,Numéros!$F$2:$F$3001,0))),""))</f>
        <v/>
      </c>
      <c r="M4575" s="27" t="str">
        <f aca="false">IF(OR(G4575="",G4575="?"),"",IFERROR(INDEX(Pubs!$D$2:$D$3001,MATCH(G4575,Pubs!$A$2:$A$3001,0))&amp;"",""))</f>
        <v/>
      </c>
      <c r="N4575" s="27" t="n">
        <f aca="false">N(N4574)+IF(AND(A4575&lt;&gt;"",OR(Recherche!$C$4="",A4575=Recherche!$C$4),OR(Recherche!$C$5="",B4575&amp;""=Recherche!$C$5&amp;""),OR(Recherche!$C$6="",IFERROR(YEAR(L4575),0)=Recherche!$C$6),OR(Recherche!$C$7="",ISNUMBER(SEARCH(Recherche!$C$7,H4575))),OR(Recherche!$C$8="",J4575=Recherche!$C$8),OR(Recherche!$C$9="",I4575=Recherche!$C$9),OR(Recherche!$C$10="",G4575&amp;""=Recherche!$C$10&amp;""),OR(Recherche!$C$11="",E4575=Recherche!$C$11),OR(Recherche!$C$12="",ISNUMBER(SEARCH(Recherche!$C$12,M4575&amp;" "&amp;F4575)))),1,0)</f>
        <v>8</v>
      </c>
    </row>
    <row r="4576" customFormat="false" ht="15" hidden="false" customHeight="false" outlineLevel="0" collapsed="false">
      <c r="A4576" s="19"/>
      <c r="B4576" s="19"/>
      <c r="C4576" s="19"/>
      <c r="D4576" s="19"/>
      <c r="E4576" s="22"/>
      <c r="F4576" s="19"/>
      <c r="G4576" s="26" t="str">
        <f aca="false">IF(D4576="","",IFERROR(VALUE(LEFT(D4576,FIND(" |",D4576&amp;" |")-1)),"?"))</f>
        <v/>
      </c>
      <c r="H4576" s="27" t="str">
        <f aca="false">IF(G4576="","",IF(G4576="?","⚠ pub inconnue",IFERROR(INDEX(Pubs!$B$2:$B$3001,MATCH(G4576,Pubs!$A$2:$A$3001,0))&amp;"","⚠ pub inconnue")))</f>
        <v/>
      </c>
      <c r="I4576" s="27" t="str">
        <f aca="false">IF(OR(G4576="",G4576="?"),"",IFERROR(INDEX(Pubs!$C$2:$C$3001,MATCH(G4576,Pubs!$A$2:$A$3001,0))&amp;"",""))</f>
        <v/>
      </c>
      <c r="J4576" s="27" t="str">
        <f aca="false">IF(OR(G4576="",G4576="?"),"",IFERROR(INDEX(Pubs!$G$2:$G$3001,MATCH(G4576,Pubs!$A$2:$A$3001,0))&amp;"",""))</f>
        <v/>
      </c>
      <c r="K4576" s="28" t="str">
        <f aca="false">IF(OR(G4576="",G4576="?"),"",IFERROR(INDEX(Pubs!$E$2:$E$3001,MATCH(G4576,Pubs!$A$2:$A$3001,0)),""))</f>
        <v/>
      </c>
      <c r="L4576" s="29" t="str">
        <f aca="false">IF(A4576="","",IFERROR(1/(1/INDEX(Numéros!$C$2:$C$3001,MATCH(A4576&amp;"|"&amp;B4576,Numéros!$F$2:$F$3001,0))),""))</f>
        <v/>
      </c>
      <c r="M4576" s="27" t="str">
        <f aca="false">IF(OR(G4576="",G4576="?"),"",IFERROR(INDEX(Pubs!$D$2:$D$3001,MATCH(G4576,Pubs!$A$2:$A$3001,0))&amp;"",""))</f>
        <v/>
      </c>
      <c r="N4576" s="27" t="n">
        <f aca="false">N(N4575)+IF(AND(A4576&lt;&gt;"",OR(Recherche!$C$4="",A4576=Recherche!$C$4),OR(Recherche!$C$5="",B4576&amp;""=Recherche!$C$5&amp;""),OR(Recherche!$C$6="",IFERROR(YEAR(L4576),0)=Recherche!$C$6),OR(Recherche!$C$7="",ISNUMBER(SEARCH(Recherche!$C$7,H4576))),OR(Recherche!$C$8="",J4576=Recherche!$C$8),OR(Recherche!$C$9="",I4576=Recherche!$C$9),OR(Recherche!$C$10="",G4576&amp;""=Recherche!$C$10&amp;""),OR(Recherche!$C$11="",E4576=Recherche!$C$11),OR(Recherche!$C$12="",ISNUMBER(SEARCH(Recherche!$C$12,M4576&amp;" "&amp;F4576)))),1,0)</f>
        <v>8</v>
      </c>
    </row>
    <row r="4577" customFormat="false" ht="15" hidden="false" customHeight="false" outlineLevel="0" collapsed="false">
      <c r="A4577" s="19"/>
      <c r="B4577" s="19"/>
      <c r="C4577" s="19"/>
      <c r="D4577" s="19"/>
      <c r="E4577" s="22"/>
      <c r="F4577" s="19"/>
      <c r="G4577" s="26" t="str">
        <f aca="false">IF(D4577="","",IFERROR(VALUE(LEFT(D4577,FIND(" |",D4577&amp;" |")-1)),"?"))</f>
        <v/>
      </c>
      <c r="H4577" s="27" t="str">
        <f aca="false">IF(G4577="","",IF(G4577="?","⚠ pub inconnue",IFERROR(INDEX(Pubs!$B$2:$B$3001,MATCH(G4577,Pubs!$A$2:$A$3001,0))&amp;"","⚠ pub inconnue")))</f>
        <v/>
      </c>
      <c r="I4577" s="27" t="str">
        <f aca="false">IF(OR(G4577="",G4577="?"),"",IFERROR(INDEX(Pubs!$C$2:$C$3001,MATCH(G4577,Pubs!$A$2:$A$3001,0))&amp;"",""))</f>
        <v/>
      </c>
      <c r="J4577" s="27" t="str">
        <f aca="false">IF(OR(G4577="",G4577="?"),"",IFERROR(INDEX(Pubs!$G$2:$G$3001,MATCH(G4577,Pubs!$A$2:$A$3001,0))&amp;"",""))</f>
        <v/>
      </c>
      <c r="K4577" s="28" t="str">
        <f aca="false">IF(OR(G4577="",G4577="?"),"",IFERROR(INDEX(Pubs!$E$2:$E$3001,MATCH(G4577,Pubs!$A$2:$A$3001,0)),""))</f>
        <v/>
      </c>
      <c r="L4577" s="29" t="str">
        <f aca="false">IF(A4577="","",IFERROR(1/(1/INDEX(Numéros!$C$2:$C$3001,MATCH(A4577&amp;"|"&amp;B4577,Numéros!$F$2:$F$3001,0))),""))</f>
        <v/>
      </c>
      <c r="M4577" s="27" t="str">
        <f aca="false">IF(OR(G4577="",G4577="?"),"",IFERROR(INDEX(Pubs!$D$2:$D$3001,MATCH(G4577,Pubs!$A$2:$A$3001,0))&amp;"",""))</f>
        <v/>
      </c>
      <c r="N4577" s="27" t="n">
        <f aca="false">N(N4576)+IF(AND(A4577&lt;&gt;"",OR(Recherche!$C$4="",A4577=Recherche!$C$4),OR(Recherche!$C$5="",B4577&amp;""=Recherche!$C$5&amp;""),OR(Recherche!$C$6="",IFERROR(YEAR(L4577),0)=Recherche!$C$6),OR(Recherche!$C$7="",ISNUMBER(SEARCH(Recherche!$C$7,H4577))),OR(Recherche!$C$8="",J4577=Recherche!$C$8),OR(Recherche!$C$9="",I4577=Recherche!$C$9),OR(Recherche!$C$10="",G4577&amp;""=Recherche!$C$10&amp;""),OR(Recherche!$C$11="",E4577=Recherche!$C$11),OR(Recherche!$C$12="",ISNUMBER(SEARCH(Recherche!$C$12,M4577&amp;" "&amp;F4577)))),1,0)</f>
        <v>8</v>
      </c>
    </row>
    <row r="4578" customFormat="false" ht="15" hidden="false" customHeight="false" outlineLevel="0" collapsed="false">
      <c r="A4578" s="19"/>
      <c r="B4578" s="19"/>
      <c r="C4578" s="19"/>
      <c r="D4578" s="19"/>
      <c r="E4578" s="22"/>
      <c r="F4578" s="19"/>
      <c r="G4578" s="26" t="str">
        <f aca="false">IF(D4578="","",IFERROR(VALUE(LEFT(D4578,FIND(" |",D4578&amp;" |")-1)),"?"))</f>
        <v/>
      </c>
      <c r="H4578" s="27" t="str">
        <f aca="false">IF(G4578="","",IF(G4578="?","⚠ pub inconnue",IFERROR(INDEX(Pubs!$B$2:$B$3001,MATCH(G4578,Pubs!$A$2:$A$3001,0))&amp;"","⚠ pub inconnue")))</f>
        <v/>
      </c>
      <c r="I4578" s="27" t="str">
        <f aca="false">IF(OR(G4578="",G4578="?"),"",IFERROR(INDEX(Pubs!$C$2:$C$3001,MATCH(G4578,Pubs!$A$2:$A$3001,0))&amp;"",""))</f>
        <v/>
      </c>
      <c r="J4578" s="27" t="str">
        <f aca="false">IF(OR(G4578="",G4578="?"),"",IFERROR(INDEX(Pubs!$G$2:$G$3001,MATCH(G4578,Pubs!$A$2:$A$3001,0))&amp;"",""))</f>
        <v/>
      </c>
      <c r="K4578" s="28" t="str">
        <f aca="false">IF(OR(G4578="",G4578="?"),"",IFERROR(INDEX(Pubs!$E$2:$E$3001,MATCH(G4578,Pubs!$A$2:$A$3001,0)),""))</f>
        <v/>
      </c>
      <c r="L4578" s="29" t="str">
        <f aca="false">IF(A4578="","",IFERROR(1/(1/INDEX(Numéros!$C$2:$C$3001,MATCH(A4578&amp;"|"&amp;B4578,Numéros!$F$2:$F$3001,0))),""))</f>
        <v/>
      </c>
      <c r="M4578" s="27" t="str">
        <f aca="false">IF(OR(G4578="",G4578="?"),"",IFERROR(INDEX(Pubs!$D$2:$D$3001,MATCH(G4578,Pubs!$A$2:$A$3001,0))&amp;"",""))</f>
        <v/>
      </c>
      <c r="N4578" s="27" t="n">
        <f aca="false">N(N4577)+IF(AND(A4578&lt;&gt;"",OR(Recherche!$C$4="",A4578=Recherche!$C$4),OR(Recherche!$C$5="",B4578&amp;""=Recherche!$C$5&amp;""),OR(Recherche!$C$6="",IFERROR(YEAR(L4578),0)=Recherche!$C$6),OR(Recherche!$C$7="",ISNUMBER(SEARCH(Recherche!$C$7,H4578))),OR(Recherche!$C$8="",J4578=Recherche!$C$8),OR(Recherche!$C$9="",I4578=Recherche!$C$9),OR(Recherche!$C$10="",G4578&amp;""=Recherche!$C$10&amp;""),OR(Recherche!$C$11="",E4578=Recherche!$C$11),OR(Recherche!$C$12="",ISNUMBER(SEARCH(Recherche!$C$12,M4578&amp;" "&amp;F4578)))),1,0)</f>
        <v>8</v>
      </c>
    </row>
    <row r="4579" customFormat="false" ht="15" hidden="false" customHeight="false" outlineLevel="0" collapsed="false">
      <c r="A4579" s="19"/>
      <c r="B4579" s="19"/>
      <c r="C4579" s="19"/>
      <c r="D4579" s="19"/>
      <c r="E4579" s="22"/>
      <c r="F4579" s="19"/>
      <c r="G4579" s="26" t="str">
        <f aca="false">IF(D4579="","",IFERROR(VALUE(LEFT(D4579,FIND(" |",D4579&amp;" |")-1)),"?"))</f>
        <v/>
      </c>
      <c r="H4579" s="27" t="str">
        <f aca="false">IF(G4579="","",IF(G4579="?","⚠ pub inconnue",IFERROR(INDEX(Pubs!$B$2:$B$3001,MATCH(G4579,Pubs!$A$2:$A$3001,0))&amp;"","⚠ pub inconnue")))</f>
        <v/>
      </c>
      <c r="I4579" s="27" t="str">
        <f aca="false">IF(OR(G4579="",G4579="?"),"",IFERROR(INDEX(Pubs!$C$2:$C$3001,MATCH(G4579,Pubs!$A$2:$A$3001,0))&amp;"",""))</f>
        <v/>
      </c>
      <c r="J4579" s="27" t="str">
        <f aca="false">IF(OR(G4579="",G4579="?"),"",IFERROR(INDEX(Pubs!$G$2:$G$3001,MATCH(G4579,Pubs!$A$2:$A$3001,0))&amp;"",""))</f>
        <v/>
      </c>
      <c r="K4579" s="28" t="str">
        <f aca="false">IF(OR(G4579="",G4579="?"),"",IFERROR(INDEX(Pubs!$E$2:$E$3001,MATCH(G4579,Pubs!$A$2:$A$3001,0)),""))</f>
        <v/>
      </c>
      <c r="L4579" s="29" t="str">
        <f aca="false">IF(A4579="","",IFERROR(1/(1/INDEX(Numéros!$C$2:$C$3001,MATCH(A4579&amp;"|"&amp;B4579,Numéros!$F$2:$F$3001,0))),""))</f>
        <v/>
      </c>
      <c r="M4579" s="27" t="str">
        <f aca="false">IF(OR(G4579="",G4579="?"),"",IFERROR(INDEX(Pubs!$D$2:$D$3001,MATCH(G4579,Pubs!$A$2:$A$3001,0))&amp;"",""))</f>
        <v/>
      </c>
      <c r="N4579" s="27" t="n">
        <f aca="false">N(N4578)+IF(AND(A4579&lt;&gt;"",OR(Recherche!$C$4="",A4579=Recherche!$C$4),OR(Recherche!$C$5="",B4579&amp;""=Recherche!$C$5&amp;""),OR(Recherche!$C$6="",IFERROR(YEAR(L4579),0)=Recherche!$C$6),OR(Recherche!$C$7="",ISNUMBER(SEARCH(Recherche!$C$7,H4579))),OR(Recherche!$C$8="",J4579=Recherche!$C$8),OR(Recherche!$C$9="",I4579=Recherche!$C$9),OR(Recherche!$C$10="",G4579&amp;""=Recherche!$C$10&amp;""),OR(Recherche!$C$11="",E4579=Recherche!$C$11),OR(Recherche!$C$12="",ISNUMBER(SEARCH(Recherche!$C$12,M4579&amp;" "&amp;F4579)))),1,0)</f>
        <v>8</v>
      </c>
    </row>
    <row r="4580" customFormat="false" ht="15" hidden="false" customHeight="false" outlineLevel="0" collapsed="false">
      <c r="A4580" s="19"/>
      <c r="B4580" s="19"/>
      <c r="C4580" s="19"/>
      <c r="D4580" s="19"/>
      <c r="E4580" s="22"/>
      <c r="F4580" s="19"/>
      <c r="G4580" s="26" t="str">
        <f aca="false">IF(D4580="","",IFERROR(VALUE(LEFT(D4580,FIND(" |",D4580&amp;" |")-1)),"?"))</f>
        <v/>
      </c>
      <c r="H4580" s="27" t="str">
        <f aca="false">IF(G4580="","",IF(G4580="?","⚠ pub inconnue",IFERROR(INDEX(Pubs!$B$2:$B$3001,MATCH(G4580,Pubs!$A$2:$A$3001,0))&amp;"","⚠ pub inconnue")))</f>
        <v/>
      </c>
      <c r="I4580" s="27" t="str">
        <f aca="false">IF(OR(G4580="",G4580="?"),"",IFERROR(INDEX(Pubs!$C$2:$C$3001,MATCH(G4580,Pubs!$A$2:$A$3001,0))&amp;"",""))</f>
        <v/>
      </c>
      <c r="J4580" s="27" t="str">
        <f aca="false">IF(OR(G4580="",G4580="?"),"",IFERROR(INDEX(Pubs!$G$2:$G$3001,MATCH(G4580,Pubs!$A$2:$A$3001,0))&amp;"",""))</f>
        <v/>
      </c>
      <c r="K4580" s="28" t="str">
        <f aca="false">IF(OR(G4580="",G4580="?"),"",IFERROR(INDEX(Pubs!$E$2:$E$3001,MATCH(G4580,Pubs!$A$2:$A$3001,0)),""))</f>
        <v/>
      </c>
      <c r="L4580" s="29" t="str">
        <f aca="false">IF(A4580="","",IFERROR(1/(1/INDEX(Numéros!$C$2:$C$3001,MATCH(A4580&amp;"|"&amp;B4580,Numéros!$F$2:$F$3001,0))),""))</f>
        <v/>
      </c>
      <c r="M4580" s="27" t="str">
        <f aca="false">IF(OR(G4580="",G4580="?"),"",IFERROR(INDEX(Pubs!$D$2:$D$3001,MATCH(G4580,Pubs!$A$2:$A$3001,0))&amp;"",""))</f>
        <v/>
      </c>
      <c r="N4580" s="27" t="n">
        <f aca="false">N(N4579)+IF(AND(A4580&lt;&gt;"",OR(Recherche!$C$4="",A4580=Recherche!$C$4),OR(Recherche!$C$5="",B4580&amp;""=Recherche!$C$5&amp;""),OR(Recherche!$C$6="",IFERROR(YEAR(L4580),0)=Recherche!$C$6),OR(Recherche!$C$7="",ISNUMBER(SEARCH(Recherche!$C$7,H4580))),OR(Recherche!$C$8="",J4580=Recherche!$C$8),OR(Recherche!$C$9="",I4580=Recherche!$C$9),OR(Recherche!$C$10="",G4580&amp;""=Recherche!$C$10&amp;""),OR(Recherche!$C$11="",E4580=Recherche!$C$11),OR(Recherche!$C$12="",ISNUMBER(SEARCH(Recherche!$C$12,M4580&amp;" "&amp;F4580)))),1,0)</f>
        <v>8</v>
      </c>
    </row>
    <row r="4581" customFormat="false" ht="15" hidden="false" customHeight="false" outlineLevel="0" collapsed="false">
      <c r="A4581" s="19"/>
      <c r="B4581" s="19"/>
      <c r="C4581" s="19"/>
      <c r="D4581" s="19"/>
      <c r="E4581" s="22"/>
      <c r="F4581" s="19"/>
      <c r="G4581" s="26" t="str">
        <f aca="false">IF(D4581="","",IFERROR(VALUE(LEFT(D4581,FIND(" |",D4581&amp;" |")-1)),"?"))</f>
        <v/>
      </c>
      <c r="H4581" s="27" t="str">
        <f aca="false">IF(G4581="","",IF(G4581="?","⚠ pub inconnue",IFERROR(INDEX(Pubs!$B$2:$B$3001,MATCH(G4581,Pubs!$A$2:$A$3001,0))&amp;"","⚠ pub inconnue")))</f>
        <v/>
      </c>
      <c r="I4581" s="27" t="str">
        <f aca="false">IF(OR(G4581="",G4581="?"),"",IFERROR(INDEX(Pubs!$C$2:$C$3001,MATCH(G4581,Pubs!$A$2:$A$3001,0))&amp;"",""))</f>
        <v/>
      </c>
      <c r="J4581" s="27" t="str">
        <f aca="false">IF(OR(G4581="",G4581="?"),"",IFERROR(INDEX(Pubs!$G$2:$G$3001,MATCH(G4581,Pubs!$A$2:$A$3001,0))&amp;"",""))</f>
        <v/>
      </c>
      <c r="K4581" s="28" t="str">
        <f aca="false">IF(OR(G4581="",G4581="?"),"",IFERROR(INDEX(Pubs!$E$2:$E$3001,MATCH(G4581,Pubs!$A$2:$A$3001,0)),""))</f>
        <v/>
      </c>
      <c r="L4581" s="29" t="str">
        <f aca="false">IF(A4581="","",IFERROR(1/(1/INDEX(Numéros!$C$2:$C$3001,MATCH(A4581&amp;"|"&amp;B4581,Numéros!$F$2:$F$3001,0))),""))</f>
        <v/>
      </c>
      <c r="M4581" s="27" t="str">
        <f aca="false">IF(OR(G4581="",G4581="?"),"",IFERROR(INDEX(Pubs!$D$2:$D$3001,MATCH(G4581,Pubs!$A$2:$A$3001,0))&amp;"",""))</f>
        <v/>
      </c>
      <c r="N4581" s="27" t="n">
        <f aca="false">N(N4580)+IF(AND(A4581&lt;&gt;"",OR(Recherche!$C$4="",A4581=Recherche!$C$4),OR(Recherche!$C$5="",B4581&amp;""=Recherche!$C$5&amp;""),OR(Recherche!$C$6="",IFERROR(YEAR(L4581),0)=Recherche!$C$6),OR(Recherche!$C$7="",ISNUMBER(SEARCH(Recherche!$C$7,H4581))),OR(Recherche!$C$8="",J4581=Recherche!$C$8),OR(Recherche!$C$9="",I4581=Recherche!$C$9),OR(Recherche!$C$10="",G4581&amp;""=Recherche!$C$10&amp;""),OR(Recherche!$C$11="",E4581=Recherche!$C$11),OR(Recherche!$C$12="",ISNUMBER(SEARCH(Recherche!$C$12,M4581&amp;" "&amp;F4581)))),1,0)</f>
        <v>8</v>
      </c>
    </row>
    <row r="4582" customFormat="false" ht="15" hidden="false" customHeight="false" outlineLevel="0" collapsed="false">
      <c r="A4582" s="19"/>
      <c r="B4582" s="19"/>
      <c r="C4582" s="19"/>
      <c r="D4582" s="19"/>
      <c r="E4582" s="22"/>
      <c r="F4582" s="19"/>
      <c r="G4582" s="26" t="str">
        <f aca="false">IF(D4582="","",IFERROR(VALUE(LEFT(D4582,FIND(" |",D4582&amp;" |")-1)),"?"))</f>
        <v/>
      </c>
      <c r="H4582" s="27" t="str">
        <f aca="false">IF(G4582="","",IF(G4582="?","⚠ pub inconnue",IFERROR(INDEX(Pubs!$B$2:$B$3001,MATCH(G4582,Pubs!$A$2:$A$3001,0))&amp;"","⚠ pub inconnue")))</f>
        <v/>
      </c>
      <c r="I4582" s="27" t="str">
        <f aca="false">IF(OR(G4582="",G4582="?"),"",IFERROR(INDEX(Pubs!$C$2:$C$3001,MATCH(G4582,Pubs!$A$2:$A$3001,0))&amp;"",""))</f>
        <v/>
      </c>
      <c r="J4582" s="27" t="str">
        <f aca="false">IF(OR(G4582="",G4582="?"),"",IFERROR(INDEX(Pubs!$G$2:$G$3001,MATCH(G4582,Pubs!$A$2:$A$3001,0))&amp;"",""))</f>
        <v/>
      </c>
      <c r="K4582" s="28" t="str">
        <f aca="false">IF(OR(G4582="",G4582="?"),"",IFERROR(INDEX(Pubs!$E$2:$E$3001,MATCH(G4582,Pubs!$A$2:$A$3001,0)),""))</f>
        <v/>
      </c>
      <c r="L4582" s="29" t="str">
        <f aca="false">IF(A4582="","",IFERROR(1/(1/INDEX(Numéros!$C$2:$C$3001,MATCH(A4582&amp;"|"&amp;B4582,Numéros!$F$2:$F$3001,0))),""))</f>
        <v/>
      </c>
      <c r="M4582" s="27" t="str">
        <f aca="false">IF(OR(G4582="",G4582="?"),"",IFERROR(INDEX(Pubs!$D$2:$D$3001,MATCH(G4582,Pubs!$A$2:$A$3001,0))&amp;"",""))</f>
        <v/>
      </c>
      <c r="N4582" s="27" t="n">
        <f aca="false">N(N4581)+IF(AND(A4582&lt;&gt;"",OR(Recherche!$C$4="",A4582=Recherche!$C$4),OR(Recherche!$C$5="",B4582&amp;""=Recherche!$C$5&amp;""),OR(Recherche!$C$6="",IFERROR(YEAR(L4582),0)=Recherche!$C$6),OR(Recherche!$C$7="",ISNUMBER(SEARCH(Recherche!$C$7,H4582))),OR(Recherche!$C$8="",J4582=Recherche!$C$8),OR(Recherche!$C$9="",I4582=Recherche!$C$9),OR(Recherche!$C$10="",G4582&amp;""=Recherche!$C$10&amp;""),OR(Recherche!$C$11="",E4582=Recherche!$C$11),OR(Recherche!$C$12="",ISNUMBER(SEARCH(Recherche!$C$12,M4582&amp;" "&amp;F4582)))),1,0)</f>
        <v>8</v>
      </c>
    </row>
    <row r="4583" customFormat="false" ht="15" hidden="false" customHeight="false" outlineLevel="0" collapsed="false">
      <c r="A4583" s="19"/>
      <c r="B4583" s="19"/>
      <c r="C4583" s="19"/>
      <c r="D4583" s="19"/>
      <c r="E4583" s="22"/>
      <c r="F4583" s="19"/>
      <c r="G4583" s="26" t="str">
        <f aca="false">IF(D4583="","",IFERROR(VALUE(LEFT(D4583,FIND(" |",D4583&amp;" |")-1)),"?"))</f>
        <v/>
      </c>
      <c r="H4583" s="27" t="str">
        <f aca="false">IF(G4583="","",IF(G4583="?","⚠ pub inconnue",IFERROR(INDEX(Pubs!$B$2:$B$3001,MATCH(G4583,Pubs!$A$2:$A$3001,0))&amp;"","⚠ pub inconnue")))</f>
        <v/>
      </c>
      <c r="I4583" s="27" t="str">
        <f aca="false">IF(OR(G4583="",G4583="?"),"",IFERROR(INDEX(Pubs!$C$2:$C$3001,MATCH(G4583,Pubs!$A$2:$A$3001,0))&amp;"",""))</f>
        <v/>
      </c>
      <c r="J4583" s="27" t="str">
        <f aca="false">IF(OR(G4583="",G4583="?"),"",IFERROR(INDEX(Pubs!$G$2:$G$3001,MATCH(G4583,Pubs!$A$2:$A$3001,0))&amp;"",""))</f>
        <v/>
      </c>
      <c r="K4583" s="28" t="str">
        <f aca="false">IF(OR(G4583="",G4583="?"),"",IFERROR(INDEX(Pubs!$E$2:$E$3001,MATCH(G4583,Pubs!$A$2:$A$3001,0)),""))</f>
        <v/>
      </c>
      <c r="L4583" s="29" t="str">
        <f aca="false">IF(A4583="","",IFERROR(1/(1/INDEX(Numéros!$C$2:$C$3001,MATCH(A4583&amp;"|"&amp;B4583,Numéros!$F$2:$F$3001,0))),""))</f>
        <v/>
      </c>
      <c r="M4583" s="27" t="str">
        <f aca="false">IF(OR(G4583="",G4583="?"),"",IFERROR(INDEX(Pubs!$D$2:$D$3001,MATCH(G4583,Pubs!$A$2:$A$3001,0))&amp;"",""))</f>
        <v/>
      </c>
      <c r="N4583" s="27" t="n">
        <f aca="false">N(N4582)+IF(AND(A4583&lt;&gt;"",OR(Recherche!$C$4="",A4583=Recherche!$C$4),OR(Recherche!$C$5="",B4583&amp;""=Recherche!$C$5&amp;""),OR(Recherche!$C$6="",IFERROR(YEAR(L4583),0)=Recherche!$C$6),OR(Recherche!$C$7="",ISNUMBER(SEARCH(Recherche!$C$7,H4583))),OR(Recherche!$C$8="",J4583=Recherche!$C$8),OR(Recherche!$C$9="",I4583=Recherche!$C$9),OR(Recherche!$C$10="",G4583&amp;""=Recherche!$C$10&amp;""),OR(Recherche!$C$11="",E4583=Recherche!$C$11),OR(Recherche!$C$12="",ISNUMBER(SEARCH(Recherche!$C$12,M4583&amp;" "&amp;F4583)))),1,0)</f>
        <v>8</v>
      </c>
    </row>
    <row r="4584" customFormat="false" ht="15" hidden="false" customHeight="false" outlineLevel="0" collapsed="false">
      <c r="A4584" s="19"/>
      <c r="B4584" s="19"/>
      <c r="C4584" s="19"/>
      <c r="D4584" s="19"/>
      <c r="E4584" s="22"/>
      <c r="F4584" s="19"/>
      <c r="G4584" s="26" t="str">
        <f aca="false">IF(D4584="","",IFERROR(VALUE(LEFT(D4584,FIND(" |",D4584&amp;" |")-1)),"?"))</f>
        <v/>
      </c>
      <c r="H4584" s="27" t="str">
        <f aca="false">IF(G4584="","",IF(G4584="?","⚠ pub inconnue",IFERROR(INDEX(Pubs!$B$2:$B$3001,MATCH(G4584,Pubs!$A$2:$A$3001,0))&amp;"","⚠ pub inconnue")))</f>
        <v/>
      </c>
      <c r="I4584" s="27" t="str">
        <f aca="false">IF(OR(G4584="",G4584="?"),"",IFERROR(INDEX(Pubs!$C$2:$C$3001,MATCH(G4584,Pubs!$A$2:$A$3001,0))&amp;"",""))</f>
        <v/>
      </c>
      <c r="J4584" s="27" t="str">
        <f aca="false">IF(OR(G4584="",G4584="?"),"",IFERROR(INDEX(Pubs!$G$2:$G$3001,MATCH(G4584,Pubs!$A$2:$A$3001,0))&amp;"",""))</f>
        <v/>
      </c>
      <c r="K4584" s="28" t="str">
        <f aca="false">IF(OR(G4584="",G4584="?"),"",IFERROR(INDEX(Pubs!$E$2:$E$3001,MATCH(G4584,Pubs!$A$2:$A$3001,0)),""))</f>
        <v/>
      </c>
      <c r="L4584" s="29" t="str">
        <f aca="false">IF(A4584="","",IFERROR(1/(1/INDEX(Numéros!$C$2:$C$3001,MATCH(A4584&amp;"|"&amp;B4584,Numéros!$F$2:$F$3001,0))),""))</f>
        <v/>
      </c>
      <c r="M4584" s="27" t="str">
        <f aca="false">IF(OR(G4584="",G4584="?"),"",IFERROR(INDEX(Pubs!$D$2:$D$3001,MATCH(G4584,Pubs!$A$2:$A$3001,0))&amp;"",""))</f>
        <v/>
      </c>
      <c r="N4584" s="27" t="n">
        <f aca="false">N(N4583)+IF(AND(A4584&lt;&gt;"",OR(Recherche!$C$4="",A4584=Recherche!$C$4),OR(Recherche!$C$5="",B4584&amp;""=Recherche!$C$5&amp;""),OR(Recherche!$C$6="",IFERROR(YEAR(L4584),0)=Recherche!$C$6),OR(Recherche!$C$7="",ISNUMBER(SEARCH(Recherche!$C$7,H4584))),OR(Recherche!$C$8="",J4584=Recherche!$C$8),OR(Recherche!$C$9="",I4584=Recherche!$C$9),OR(Recherche!$C$10="",G4584&amp;""=Recherche!$C$10&amp;""),OR(Recherche!$C$11="",E4584=Recherche!$C$11),OR(Recherche!$C$12="",ISNUMBER(SEARCH(Recherche!$C$12,M4584&amp;" "&amp;F4584)))),1,0)</f>
        <v>8</v>
      </c>
    </row>
    <row r="4585" customFormat="false" ht="15" hidden="false" customHeight="false" outlineLevel="0" collapsed="false">
      <c r="A4585" s="19"/>
      <c r="B4585" s="19"/>
      <c r="C4585" s="19"/>
      <c r="D4585" s="19"/>
      <c r="E4585" s="22"/>
      <c r="F4585" s="19"/>
      <c r="G4585" s="26" t="str">
        <f aca="false">IF(D4585="","",IFERROR(VALUE(LEFT(D4585,FIND(" |",D4585&amp;" |")-1)),"?"))</f>
        <v/>
      </c>
      <c r="H4585" s="27" t="str">
        <f aca="false">IF(G4585="","",IF(G4585="?","⚠ pub inconnue",IFERROR(INDEX(Pubs!$B$2:$B$3001,MATCH(G4585,Pubs!$A$2:$A$3001,0))&amp;"","⚠ pub inconnue")))</f>
        <v/>
      </c>
      <c r="I4585" s="27" t="str">
        <f aca="false">IF(OR(G4585="",G4585="?"),"",IFERROR(INDEX(Pubs!$C$2:$C$3001,MATCH(G4585,Pubs!$A$2:$A$3001,0))&amp;"",""))</f>
        <v/>
      </c>
      <c r="J4585" s="27" t="str">
        <f aca="false">IF(OR(G4585="",G4585="?"),"",IFERROR(INDEX(Pubs!$G$2:$G$3001,MATCH(G4585,Pubs!$A$2:$A$3001,0))&amp;"",""))</f>
        <v/>
      </c>
      <c r="K4585" s="28" t="str">
        <f aca="false">IF(OR(G4585="",G4585="?"),"",IFERROR(INDEX(Pubs!$E$2:$E$3001,MATCH(G4585,Pubs!$A$2:$A$3001,0)),""))</f>
        <v/>
      </c>
      <c r="L4585" s="29" t="str">
        <f aca="false">IF(A4585="","",IFERROR(1/(1/INDEX(Numéros!$C$2:$C$3001,MATCH(A4585&amp;"|"&amp;B4585,Numéros!$F$2:$F$3001,0))),""))</f>
        <v/>
      </c>
      <c r="M4585" s="27" t="str">
        <f aca="false">IF(OR(G4585="",G4585="?"),"",IFERROR(INDEX(Pubs!$D$2:$D$3001,MATCH(G4585,Pubs!$A$2:$A$3001,0))&amp;"",""))</f>
        <v/>
      </c>
      <c r="N4585" s="27" t="n">
        <f aca="false">N(N4584)+IF(AND(A4585&lt;&gt;"",OR(Recherche!$C$4="",A4585=Recherche!$C$4),OR(Recherche!$C$5="",B4585&amp;""=Recherche!$C$5&amp;""),OR(Recherche!$C$6="",IFERROR(YEAR(L4585),0)=Recherche!$C$6),OR(Recherche!$C$7="",ISNUMBER(SEARCH(Recherche!$C$7,H4585))),OR(Recherche!$C$8="",J4585=Recherche!$C$8),OR(Recherche!$C$9="",I4585=Recherche!$C$9),OR(Recherche!$C$10="",G4585&amp;""=Recherche!$C$10&amp;""),OR(Recherche!$C$11="",E4585=Recherche!$C$11),OR(Recherche!$C$12="",ISNUMBER(SEARCH(Recherche!$C$12,M4585&amp;" "&amp;F4585)))),1,0)</f>
        <v>8</v>
      </c>
    </row>
    <row r="4586" customFormat="false" ht="15" hidden="false" customHeight="false" outlineLevel="0" collapsed="false">
      <c r="A4586" s="19"/>
      <c r="B4586" s="19"/>
      <c r="C4586" s="19"/>
      <c r="D4586" s="19"/>
      <c r="E4586" s="22"/>
      <c r="F4586" s="19"/>
      <c r="G4586" s="26" t="str">
        <f aca="false">IF(D4586="","",IFERROR(VALUE(LEFT(D4586,FIND(" |",D4586&amp;" |")-1)),"?"))</f>
        <v/>
      </c>
      <c r="H4586" s="27" t="str">
        <f aca="false">IF(G4586="","",IF(G4586="?","⚠ pub inconnue",IFERROR(INDEX(Pubs!$B$2:$B$3001,MATCH(G4586,Pubs!$A$2:$A$3001,0))&amp;"","⚠ pub inconnue")))</f>
        <v/>
      </c>
      <c r="I4586" s="27" t="str">
        <f aca="false">IF(OR(G4586="",G4586="?"),"",IFERROR(INDEX(Pubs!$C$2:$C$3001,MATCH(G4586,Pubs!$A$2:$A$3001,0))&amp;"",""))</f>
        <v/>
      </c>
      <c r="J4586" s="27" t="str">
        <f aca="false">IF(OR(G4586="",G4586="?"),"",IFERROR(INDEX(Pubs!$G$2:$G$3001,MATCH(G4586,Pubs!$A$2:$A$3001,0))&amp;"",""))</f>
        <v/>
      </c>
      <c r="K4586" s="28" t="str">
        <f aca="false">IF(OR(G4586="",G4586="?"),"",IFERROR(INDEX(Pubs!$E$2:$E$3001,MATCH(G4586,Pubs!$A$2:$A$3001,0)),""))</f>
        <v/>
      </c>
      <c r="L4586" s="29" t="str">
        <f aca="false">IF(A4586="","",IFERROR(1/(1/INDEX(Numéros!$C$2:$C$3001,MATCH(A4586&amp;"|"&amp;B4586,Numéros!$F$2:$F$3001,0))),""))</f>
        <v/>
      </c>
      <c r="M4586" s="27" t="str">
        <f aca="false">IF(OR(G4586="",G4586="?"),"",IFERROR(INDEX(Pubs!$D$2:$D$3001,MATCH(G4586,Pubs!$A$2:$A$3001,0))&amp;"",""))</f>
        <v/>
      </c>
      <c r="N4586" s="27" t="n">
        <f aca="false">N(N4585)+IF(AND(A4586&lt;&gt;"",OR(Recherche!$C$4="",A4586=Recherche!$C$4),OR(Recherche!$C$5="",B4586&amp;""=Recherche!$C$5&amp;""),OR(Recherche!$C$6="",IFERROR(YEAR(L4586),0)=Recherche!$C$6),OR(Recherche!$C$7="",ISNUMBER(SEARCH(Recherche!$C$7,H4586))),OR(Recherche!$C$8="",J4586=Recherche!$C$8),OR(Recherche!$C$9="",I4586=Recherche!$C$9),OR(Recherche!$C$10="",G4586&amp;""=Recherche!$C$10&amp;""),OR(Recherche!$C$11="",E4586=Recherche!$C$11),OR(Recherche!$C$12="",ISNUMBER(SEARCH(Recherche!$C$12,M4586&amp;" "&amp;F4586)))),1,0)</f>
        <v>8</v>
      </c>
    </row>
    <row r="4587" customFormat="false" ht="15" hidden="false" customHeight="false" outlineLevel="0" collapsed="false">
      <c r="A4587" s="19"/>
      <c r="B4587" s="19"/>
      <c r="C4587" s="19"/>
      <c r="D4587" s="19"/>
      <c r="E4587" s="22"/>
      <c r="F4587" s="19"/>
      <c r="G4587" s="26" t="str">
        <f aca="false">IF(D4587="","",IFERROR(VALUE(LEFT(D4587,FIND(" |",D4587&amp;" |")-1)),"?"))</f>
        <v/>
      </c>
      <c r="H4587" s="27" t="str">
        <f aca="false">IF(G4587="","",IF(G4587="?","⚠ pub inconnue",IFERROR(INDEX(Pubs!$B$2:$B$3001,MATCH(G4587,Pubs!$A$2:$A$3001,0))&amp;"","⚠ pub inconnue")))</f>
        <v/>
      </c>
      <c r="I4587" s="27" t="str">
        <f aca="false">IF(OR(G4587="",G4587="?"),"",IFERROR(INDEX(Pubs!$C$2:$C$3001,MATCH(G4587,Pubs!$A$2:$A$3001,0))&amp;"",""))</f>
        <v/>
      </c>
      <c r="J4587" s="27" t="str">
        <f aca="false">IF(OR(G4587="",G4587="?"),"",IFERROR(INDEX(Pubs!$G$2:$G$3001,MATCH(G4587,Pubs!$A$2:$A$3001,0))&amp;"",""))</f>
        <v/>
      </c>
      <c r="K4587" s="28" t="str">
        <f aca="false">IF(OR(G4587="",G4587="?"),"",IFERROR(INDEX(Pubs!$E$2:$E$3001,MATCH(G4587,Pubs!$A$2:$A$3001,0)),""))</f>
        <v/>
      </c>
      <c r="L4587" s="29" t="str">
        <f aca="false">IF(A4587="","",IFERROR(1/(1/INDEX(Numéros!$C$2:$C$3001,MATCH(A4587&amp;"|"&amp;B4587,Numéros!$F$2:$F$3001,0))),""))</f>
        <v/>
      </c>
      <c r="M4587" s="27" t="str">
        <f aca="false">IF(OR(G4587="",G4587="?"),"",IFERROR(INDEX(Pubs!$D$2:$D$3001,MATCH(G4587,Pubs!$A$2:$A$3001,0))&amp;"",""))</f>
        <v/>
      </c>
      <c r="N4587" s="27" t="n">
        <f aca="false">N(N4586)+IF(AND(A4587&lt;&gt;"",OR(Recherche!$C$4="",A4587=Recherche!$C$4),OR(Recherche!$C$5="",B4587&amp;""=Recherche!$C$5&amp;""),OR(Recherche!$C$6="",IFERROR(YEAR(L4587),0)=Recherche!$C$6),OR(Recherche!$C$7="",ISNUMBER(SEARCH(Recherche!$C$7,H4587))),OR(Recherche!$C$8="",J4587=Recherche!$C$8),OR(Recherche!$C$9="",I4587=Recherche!$C$9),OR(Recherche!$C$10="",G4587&amp;""=Recherche!$C$10&amp;""),OR(Recherche!$C$11="",E4587=Recherche!$C$11),OR(Recherche!$C$12="",ISNUMBER(SEARCH(Recherche!$C$12,M4587&amp;" "&amp;F4587)))),1,0)</f>
        <v>8</v>
      </c>
    </row>
    <row r="4588" customFormat="false" ht="15" hidden="false" customHeight="false" outlineLevel="0" collapsed="false">
      <c r="A4588" s="19"/>
      <c r="B4588" s="19"/>
      <c r="C4588" s="19"/>
      <c r="D4588" s="19"/>
      <c r="E4588" s="22"/>
      <c r="F4588" s="19"/>
      <c r="G4588" s="26" t="str">
        <f aca="false">IF(D4588="","",IFERROR(VALUE(LEFT(D4588,FIND(" |",D4588&amp;" |")-1)),"?"))</f>
        <v/>
      </c>
      <c r="H4588" s="27" t="str">
        <f aca="false">IF(G4588="","",IF(G4588="?","⚠ pub inconnue",IFERROR(INDEX(Pubs!$B$2:$B$3001,MATCH(G4588,Pubs!$A$2:$A$3001,0))&amp;"","⚠ pub inconnue")))</f>
        <v/>
      </c>
      <c r="I4588" s="27" t="str">
        <f aca="false">IF(OR(G4588="",G4588="?"),"",IFERROR(INDEX(Pubs!$C$2:$C$3001,MATCH(G4588,Pubs!$A$2:$A$3001,0))&amp;"",""))</f>
        <v/>
      </c>
      <c r="J4588" s="27" t="str">
        <f aca="false">IF(OR(G4588="",G4588="?"),"",IFERROR(INDEX(Pubs!$G$2:$G$3001,MATCH(G4588,Pubs!$A$2:$A$3001,0))&amp;"",""))</f>
        <v/>
      </c>
      <c r="K4588" s="28" t="str">
        <f aca="false">IF(OR(G4588="",G4588="?"),"",IFERROR(INDEX(Pubs!$E$2:$E$3001,MATCH(G4588,Pubs!$A$2:$A$3001,0)),""))</f>
        <v/>
      </c>
      <c r="L4588" s="29" t="str">
        <f aca="false">IF(A4588="","",IFERROR(1/(1/INDEX(Numéros!$C$2:$C$3001,MATCH(A4588&amp;"|"&amp;B4588,Numéros!$F$2:$F$3001,0))),""))</f>
        <v/>
      </c>
      <c r="M4588" s="27" t="str">
        <f aca="false">IF(OR(G4588="",G4588="?"),"",IFERROR(INDEX(Pubs!$D$2:$D$3001,MATCH(G4588,Pubs!$A$2:$A$3001,0))&amp;"",""))</f>
        <v/>
      </c>
      <c r="N4588" s="27" t="n">
        <f aca="false">N(N4587)+IF(AND(A4588&lt;&gt;"",OR(Recherche!$C$4="",A4588=Recherche!$C$4),OR(Recherche!$C$5="",B4588&amp;""=Recherche!$C$5&amp;""),OR(Recherche!$C$6="",IFERROR(YEAR(L4588),0)=Recherche!$C$6),OR(Recherche!$C$7="",ISNUMBER(SEARCH(Recherche!$C$7,H4588))),OR(Recherche!$C$8="",J4588=Recherche!$C$8),OR(Recherche!$C$9="",I4588=Recherche!$C$9),OR(Recherche!$C$10="",G4588&amp;""=Recherche!$C$10&amp;""),OR(Recherche!$C$11="",E4588=Recherche!$C$11),OR(Recherche!$C$12="",ISNUMBER(SEARCH(Recherche!$C$12,M4588&amp;" "&amp;F4588)))),1,0)</f>
        <v>8</v>
      </c>
    </row>
    <row r="4589" customFormat="false" ht="15" hidden="false" customHeight="false" outlineLevel="0" collapsed="false">
      <c r="A4589" s="19"/>
      <c r="B4589" s="19"/>
      <c r="C4589" s="19"/>
      <c r="D4589" s="19"/>
      <c r="E4589" s="22"/>
      <c r="F4589" s="19"/>
      <c r="G4589" s="26" t="str">
        <f aca="false">IF(D4589="","",IFERROR(VALUE(LEFT(D4589,FIND(" |",D4589&amp;" |")-1)),"?"))</f>
        <v/>
      </c>
      <c r="H4589" s="27" t="str">
        <f aca="false">IF(G4589="","",IF(G4589="?","⚠ pub inconnue",IFERROR(INDEX(Pubs!$B$2:$B$3001,MATCH(G4589,Pubs!$A$2:$A$3001,0))&amp;"","⚠ pub inconnue")))</f>
        <v/>
      </c>
      <c r="I4589" s="27" t="str">
        <f aca="false">IF(OR(G4589="",G4589="?"),"",IFERROR(INDEX(Pubs!$C$2:$C$3001,MATCH(G4589,Pubs!$A$2:$A$3001,0))&amp;"",""))</f>
        <v/>
      </c>
      <c r="J4589" s="27" t="str">
        <f aca="false">IF(OR(G4589="",G4589="?"),"",IFERROR(INDEX(Pubs!$G$2:$G$3001,MATCH(G4589,Pubs!$A$2:$A$3001,0))&amp;"",""))</f>
        <v/>
      </c>
      <c r="K4589" s="28" t="str">
        <f aca="false">IF(OR(G4589="",G4589="?"),"",IFERROR(INDEX(Pubs!$E$2:$E$3001,MATCH(G4589,Pubs!$A$2:$A$3001,0)),""))</f>
        <v/>
      </c>
      <c r="L4589" s="29" t="str">
        <f aca="false">IF(A4589="","",IFERROR(1/(1/INDEX(Numéros!$C$2:$C$3001,MATCH(A4589&amp;"|"&amp;B4589,Numéros!$F$2:$F$3001,0))),""))</f>
        <v/>
      </c>
      <c r="M4589" s="27" t="str">
        <f aca="false">IF(OR(G4589="",G4589="?"),"",IFERROR(INDEX(Pubs!$D$2:$D$3001,MATCH(G4589,Pubs!$A$2:$A$3001,0))&amp;"",""))</f>
        <v/>
      </c>
      <c r="N4589" s="27" t="n">
        <f aca="false">N(N4588)+IF(AND(A4589&lt;&gt;"",OR(Recherche!$C$4="",A4589=Recherche!$C$4),OR(Recherche!$C$5="",B4589&amp;""=Recherche!$C$5&amp;""),OR(Recherche!$C$6="",IFERROR(YEAR(L4589),0)=Recherche!$C$6),OR(Recherche!$C$7="",ISNUMBER(SEARCH(Recherche!$C$7,H4589))),OR(Recherche!$C$8="",J4589=Recherche!$C$8),OR(Recherche!$C$9="",I4589=Recherche!$C$9),OR(Recherche!$C$10="",G4589&amp;""=Recherche!$C$10&amp;""),OR(Recherche!$C$11="",E4589=Recherche!$C$11),OR(Recherche!$C$12="",ISNUMBER(SEARCH(Recherche!$C$12,M4589&amp;" "&amp;F4589)))),1,0)</f>
        <v>8</v>
      </c>
    </row>
    <row r="4590" customFormat="false" ht="15" hidden="false" customHeight="false" outlineLevel="0" collapsed="false">
      <c r="A4590" s="19"/>
      <c r="B4590" s="19"/>
      <c r="C4590" s="19"/>
      <c r="D4590" s="19"/>
      <c r="E4590" s="22"/>
      <c r="F4590" s="19"/>
      <c r="G4590" s="26" t="str">
        <f aca="false">IF(D4590="","",IFERROR(VALUE(LEFT(D4590,FIND(" |",D4590&amp;" |")-1)),"?"))</f>
        <v/>
      </c>
      <c r="H4590" s="27" t="str">
        <f aca="false">IF(G4590="","",IF(G4590="?","⚠ pub inconnue",IFERROR(INDEX(Pubs!$B$2:$B$3001,MATCH(G4590,Pubs!$A$2:$A$3001,0))&amp;"","⚠ pub inconnue")))</f>
        <v/>
      </c>
      <c r="I4590" s="27" t="str">
        <f aca="false">IF(OR(G4590="",G4590="?"),"",IFERROR(INDEX(Pubs!$C$2:$C$3001,MATCH(G4590,Pubs!$A$2:$A$3001,0))&amp;"",""))</f>
        <v/>
      </c>
      <c r="J4590" s="27" t="str">
        <f aca="false">IF(OR(G4590="",G4590="?"),"",IFERROR(INDEX(Pubs!$G$2:$G$3001,MATCH(G4590,Pubs!$A$2:$A$3001,0))&amp;"",""))</f>
        <v/>
      </c>
      <c r="K4590" s="28" t="str">
        <f aca="false">IF(OR(G4590="",G4590="?"),"",IFERROR(INDEX(Pubs!$E$2:$E$3001,MATCH(G4590,Pubs!$A$2:$A$3001,0)),""))</f>
        <v/>
      </c>
      <c r="L4590" s="29" t="str">
        <f aca="false">IF(A4590="","",IFERROR(1/(1/INDEX(Numéros!$C$2:$C$3001,MATCH(A4590&amp;"|"&amp;B4590,Numéros!$F$2:$F$3001,0))),""))</f>
        <v/>
      </c>
      <c r="M4590" s="27" t="str">
        <f aca="false">IF(OR(G4590="",G4590="?"),"",IFERROR(INDEX(Pubs!$D$2:$D$3001,MATCH(G4590,Pubs!$A$2:$A$3001,0))&amp;"",""))</f>
        <v/>
      </c>
      <c r="N4590" s="27" t="n">
        <f aca="false">N(N4589)+IF(AND(A4590&lt;&gt;"",OR(Recherche!$C$4="",A4590=Recherche!$C$4),OR(Recherche!$C$5="",B4590&amp;""=Recherche!$C$5&amp;""),OR(Recherche!$C$6="",IFERROR(YEAR(L4590),0)=Recherche!$C$6),OR(Recherche!$C$7="",ISNUMBER(SEARCH(Recherche!$C$7,H4590))),OR(Recherche!$C$8="",J4590=Recherche!$C$8),OR(Recherche!$C$9="",I4590=Recherche!$C$9),OR(Recherche!$C$10="",G4590&amp;""=Recherche!$C$10&amp;""),OR(Recherche!$C$11="",E4590=Recherche!$C$11),OR(Recherche!$C$12="",ISNUMBER(SEARCH(Recherche!$C$12,M4590&amp;" "&amp;F4590)))),1,0)</f>
        <v>8</v>
      </c>
    </row>
    <row r="4591" customFormat="false" ht="15" hidden="false" customHeight="false" outlineLevel="0" collapsed="false">
      <c r="A4591" s="19"/>
      <c r="B4591" s="19"/>
      <c r="C4591" s="19"/>
      <c r="D4591" s="19"/>
      <c r="E4591" s="22"/>
      <c r="F4591" s="19"/>
      <c r="G4591" s="26" t="str">
        <f aca="false">IF(D4591="","",IFERROR(VALUE(LEFT(D4591,FIND(" |",D4591&amp;" |")-1)),"?"))</f>
        <v/>
      </c>
      <c r="H4591" s="27" t="str">
        <f aca="false">IF(G4591="","",IF(G4591="?","⚠ pub inconnue",IFERROR(INDEX(Pubs!$B$2:$B$3001,MATCH(G4591,Pubs!$A$2:$A$3001,0))&amp;"","⚠ pub inconnue")))</f>
        <v/>
      </c>
      <c r="I4591" s="27" t="str">
        <f aca="false">IF(OR(G4591="",G4591="?"),"",IFERROR(INDEX(Pubs!$C$2:$C$3001,MATCH(G4591,Pubs!$A$2:$A$3001,0))&amp;"",""))</f>
        <v/>
      </c>
      <c r="J4591" s="27" t="str">
        <f aca="false">IF(OR(G4591="",G4591="?"),"",IFERROR(INDEX(Pubs!$G$2:$G$3001,MATCH(G4591,Pubs!$A$2:$A$3001,0))&amp;"",""))</f>
        <v/>
      </c>
      <c r="K4591" s="28" t="str">
        <f aca="false">IF(OR(G4591="",G4591="?"),"",IFERROR(INDEX(Pubs!$E$2:$E$3001,MATCH(G4591,Pubs!$A$2:$A$3001,0)),""))</f>
        <v/>
      </c>
      <c r="L4591" s="29" t="str">
        <f aca="false">IF(A4591="","",IFERROR(1/(1/INDEX(Numéros!$C$2:$C$3001,MATCH(A4591&amp;"|"&amp;B4591,Numéros!$F$2:$F$3001,0))),""))</f>
        <v/>
      </c>
      <c r="M4591" s="27" t="str">
        <f aca="false">IF(OR(G4591="",G4591="?"),"",IFERROR(INDEX(Pubs!$D$2:$D$3001,MATCH(G4591,Pubs!$A$2:$A$3001,0))&amp;"",""))</f>
        <v/>
      </c>
      <c r="N4591" s="27" t="n">
        <f aca="false">N(N4590)+IF(AND(A4591&lt;&gt;"",OR(Recherche!$C$4="",A4591=Recherche!$C$4),OR(Recherche!$C$5="",B4591&amp;""=Recherche!$C$5&amp;""),OR(Recherche!$C$6="",IFERROR(YEAR(L4591),0)=Recherche!$C$6),OR(Recherche!$C$7="",ISNUMBER(SEARCH(Recherche!$C$7,H4591))),OR(Recherche!$C$8="",J4591=Recherche!$C$8),OR(Recherche!$C$9="",I4591=Recherche!$C$9),OR(Recherche!$C$10="",G4591&amp;""=Recherche!$C$10&amp;""),OR(Recherche!$C$11="",E4591=Recherche!$C$11),OR(Recherche!$C$12="",ISNUMBER(SEARCH(Recherche!$C$12,M4591&amp;" "&amp;F4591)))),1,0)</f>
        <v>8</v>
      </c>
    </row>
    <row r="4592" customFormat="false" ht="15" hidden="false" customHeight="false" outlineLevel="0" collapsed="false">
      <c r="A4592" s="19"/>
      <c r="B4592" s="19"/>
      <c r="C4592" s="19"/>
      <c r="D4592" s="19"/>
      <c r="E4592" s="22"/>
      <c r="F4592" s="19"/>
      <c r="G4592" s="26" t="str">
        <f aca="false">IF(D4592="","",IFERROR(VALUE(LEFT(D4592,FIND(" |",D4592&amp;" |")-1)),"?"))</f>
        <v/>
      </c>
      <c r="H4592" s="27" t="str">
        <f aca="false">IF(G4592="","",IF(G4592="?","⚠ pub inconnue",IFERROR(INDEX(Pubs!$B$2:$B$3001,MATCH(G4592,Pubs!$A$2:$A$3001,0))&amp;"","⚠ pub inconnue")))</f>
        <v/>
      </c>
      <c r="I4592" s="27" t="str">
        <f aca="false">IF(OR(G4592="",G4592="?"),"",IFERROR(INDEX(Pubs!$C$2:$C$3001,MATCH(G4592,Pubs!$A$2:$A$3001,0))&amp;"",""))</f>
        <v/>
      </c>
      <c r="J4592" s="27" t="str">
        <f aca="false">IF(OR(G4592="",G4592="?"),"",IFERROR(INDEX(Pubs!$G$2:$G$3001,MATCH(G4592,Pubs!$A$2:$A$3001,0))&amp;"",""))</f>
        <v/>
      </c>
      <c r="K4592" s="28" t="str">
        <f aca="false">IF(OR(G4592="",G4592="?"),"",IFERROR(INDEX(Pubs!$E$2:$E$3001,MATCH(G4592,Pubs!$A$2:$A$3001,0)),""))</f>
        <v/>
      </c>
      <c r="L4592" s="29" t="str">
        <f aca="false">IF(A4592="","",IFERROR(1/(1/INDEX(Numéros!$C$2:$C$3001,MATCH(A4592&amp;"|"&amp;B4592,Numéros!$F$2:$F$3001,0))),""))</f>
        <v/>
      </c>
      <c r="M4592" s="27" t="str">
        <f aca="false">IF(OR(G4592="",G4592="?"),"",IFERROR(INDEX(Pubs!$D$2:$D$3001,MATCH(G4592,Pubs!$A$2:$A$3001,0))&amp;"",""))</f>
        <v/>
      </c>
      <c r="N4592" s="27" t="n">
        <f aca="false">N(N4591)+IF(AND(A4592&lt;&gt;"",OR(Recherche!$C$4="",A4592=Recherche!$C$4),OR(Recherche!$C$5="",B4592&amp;""=Recherche!$C$5&amp;""),OR(Recherche!$C$6="",IFERROR(YEAR(L4592),0)=Recherche!$C$6),OR(Recherche!$C$7="",ISNUMBER(SEARCH(Recherche!$C$7,H4592))),OR(Recherche!$C$8="",J4592=Recherche!$C$8),OR(Recherche!$C$9="",I4592=Recherche!$C$9),OR(Recherche!$C$10="",G4592&amp;""=Recherche!$C$10&amp;""),OR(Recherche!$C$11="",E4592=Recherche!$C$11),OR(Recherche!$C$12="",ISNUMBER(SEARCH(Recherche!$C$12,M4592&amp;" "&amp;F4592)))),1,0)</f>
        <v>8</v>
      </c>
    </row>
    <row r="4593" customFormat="false" ht="15" hidden="false" customHeight="false" outlineLevel="0" collapsed="false">
      <c r="A4593" s="19"/>
      <c r="B4593" s="19"/>
      <c r="C4593" s="19"/>
      <c r="D4593" s="19"/>
      <c r="E4593" s="22"/>
      <c r="F4593" s="19"/>
      <c r="G4593" s="26" t="str">
        <f aca="false">IF(D4593="","",IFERROR(VALUE(LEFT(D4593,FIND(" |",D4593&amp;" |")-1)),"?"))</f>
        <v/>
      </c>
      <c r="H4593" s="27" t="str">
        <f aca="false">IF(G4593="","",IF(G4593="?","⚠ pub inconnue",IFERROR(INDEX(Pubs!$B$2:$B$3001,MATCH(G4593,Pubs!$A$2:$A$3001,0))&amp;"","⚠ pub inconnue")))</f>
        <v/>
      </c>
      <c r="I4593" s="27" t="str">
        <f aca="false">IF(OR(G4593="",G4593="?"),"",IFERROR(INDEX(Pubs!$C$2:$C$3001,MATCH(G4593,Pubs!$A$2:$A$3001,0))&amp;"",""))</f>
        <v/>
      </c>
      <c r="J4593" s="27" t="str">
        <f aca="false">IF(OR(G4593="",G4593="?"),"",IFERROR(INDEX(Pubs!$G$2:$G$3001,MATCH(G4593,Pubs!$A$2:$A$3001,0))&amp;"",""))</f>
        <v/>
      </c>
      <c r="K4593" s="28" t="str">
        <f aca="false">IF(OR(G4593="",G4593="?"),"",IFERROR(INDEX(Pubs!$E$2:$E$3001,MATCH(G4593,Pubs!$A$2:$A$3001,0)),""))</f>
        <v/>
      </c>
      <c r="L4593" s="29" t="str">
        <f aca="false">IF(A4593="","",IFERROR(1/(1/INDEX(Numéros!$C$2:$C$3001,MATCH(A4593&amp;"|"&amp;B4593,Numéros!$F$2:$F$3001,0))),""))</f>
        <v/>
      </c>
      <c r="M4593" s="27" t="str">
        <f aca="false">IF(OR(G4593="",G4593="?"),"",IFERROR(INDEX(Pubs!$D$2:$D$3001,MATCH(G4593,Pubs!$A$2:$A$3001,0))&amp;"",""))</f>
        <v/>
      </c>
      <c r="N4593" s="27" t="n">
        <f aca="false">N(N4592)+IF(AND(A4593&lt;&gt;"",OR(Recherche!$C$4="",A4593=Recherche!$C$4),OR(Recherche!$C$5="",B4593&amp;""=Recherche!$C$5&amp;""),OR(Recherche!$C$6="",IFERROR(YEAR(L4593),0)=Recherche!$C$6),OR(Recherche!$C$7="",ISNUMBER(SEARCH(Recherche!$C$7,H4593))),OR(Recherche!$C$8="",J4593=Recherche!$C$8),OR(Recherche!$C$9="",I4593=Recherche!$C$9),OR(Recherche!$C$10="",G4593&amp;""=Recherche!$C$10&amp;""),OR(Recherche!$C$11="",E4593=Recherche!$C$11),OR(Recherche!$C$12="",ISNUMBER(SEARCH(Recherche!$C$12,M4593&amp;" "&amp;F4593)))),1,0)</f>
        <v>8</v>
      </c>
    </row>
    <row r="4594" customFormat="false" ht="15" hidden="false" customHeight="false" outlineLevel="0" collapsed="false">
      <c r="A4594" s="19"/>
      <c r="B4594" s="19"/>
      <c r="C4594" s="19"/>
      <c r="D4594" s="19"/>
      <c r="E4594" s="22"/>
      <c r="F4594" s="19"/>
      <c r="G4594" s="26" t="str">
        <f aca="false">IF(D4594="","",IFERROR(VALUE(LEFT(D4594,FIND(" |",D4594&amp;" |")-1)),"?"))</f>
        <v/>
      </c>
      <c r="H4594" s="27" t="str">
        <f aca="false">IF(G4594="","",IF(G4594="?","⚠ pub inconnue",IFERROR(INDEX(Pubs!$B$2:$B$3001,MATCH(G4594,Pubs!$A$2:$A$3001,0))&amp;"","⚠ pub inconnue")))</f>
        <v/>
      </c>
      <c r="I4594" s="27" t="str">
        <f aca="false">IF(OR(G4594="",G4594="?"),"",IFERROR(INDEX(Pubs!$C$2:$C$3001,MATCH(G4594,Pubs!$A$2:$A$3001,0))&amp;"",""))</f>
        <v/>
      </c>
      <c r="J4594" s="27" t="str">
        <f aca="false">IF(OR(G4594="",G4594="?"),"",IFERROR(INDEX(Pubs!$G$2:$G$3001,MATCH(G4594,Pubs!$A$2:$A$3001,0))&amp;"",""))</f>
        <v/>
      </c>
      <c r="K4594" s="28" t="str">
        <f aca="false">IF(OR(G4594="",G4594="?"),"",IFERROR(INDEX(Pubs!$E$2:$E$3001,MATCH(G4594,Pubs!$A$2:$A$3001,0)),""))</f>
        <v/>
      </c>
      <c r="L4594" s="29" t="str">
        <f aca="false">IF(A4594="","",IFERROR(1/(1/INDEX(Numéros!$C$2:$C$3001,MATCH(A4594&amp;"|"&amp;B4594,Numéros!$F$2:$F$3001,0))),""))</f>
        <v/>
      </c>
      <c r="M4594" s="27" t="str">
        <f aca="false">IF(OR(G4594="",G4594="?"),"",IFERROR(INDEX(Pubs!$D$2:$D$3001,MATCH(G4594,Pubs!$A$2:$A$3001,0))&amp;"",""))</f>
        <v/>
      </c>
      <c r="N4594" s="27" t="n">
        <f aca="false">N(N4593)+IF(AND(A4594&lt;&gt;"",OR(Recherche!$C$4="",A4594=Recherche!$C$4),OR(Recherche!$C$5="",B4594&amp;""=Recherche!$C$5&amp;""),OR(Recherche!$C$6="",IFERROR(YEAR(L4594),0)=Recherche!$C$6),OR(Recherche!$C$7="",ISNUMBER(SEARCH(Recherche!$C$7,H4594))),OR(Recherche!$C$8="",J4594=Recherche!$C$8),OR(Recherche!$C$9="",I4594=Recherche!$C$9),OR(Recherche!$C$10="",G4594&amp;""=Recherche!$C$10&amp;""),OR(Recherche!$C$11="",E4594=Recherche!$C$11),OR(Recherche!$C$12="",ISNUMBER(SEARCH(Recherche!$C$12,M4594&amp;" "&amp;F4594)))),1,0)</f>
        <v>8</v>
      </c>
    </row>
    <row r="4595" customFormat="false" ht="15" hidden="false" customHeight="false" outlineLevel="0" collapsed="false">
      <c r="A4595" s="19"/>
      <c r="B4595" s="19"/>
      <c r="C4595" s="19"/>
      <c r="D4595" s="19"/>
      <c r="E4595" s="22"/>
      <c r="F4595" s="19"/>
      <c r="G4595" s="26" t="str">
        <f aca="false">IF(D4595="","",IFERROR(VALUE(LEFT(D4595,FIND(" |",D4595&amp;" |")-1)),"?"))</f>
        <v/>
      </c>
      <c r="H4595" s="27" t="str">
        <f aca="false">IF(G4595="","",IF(G4595="?","⚠ pub inconnue",IFERROR(INDEX(Pubs!$B$2:$B$3001,MATCH(G4595,Pubs!$A$2:$A$3001,0))&amp;"","⚠ pub inconnue")))</f>
        <v/>
      </c>
      <c r="I4595" s="27" t="str">
        <f aca="false">IF(OR(G4595="",G4595="?"),"",IFERROR(INDEX(Pubs!$C$2:$C$3001,MATCH(G4595,Pubs!$A$2:$A$3001,0))&amp;"",""))</f>
        <v/>
      </c>
      <c r="J4595" s="27" t="str">
        <f aca="false">IF(OR(G4595="",G4595="?"),"",IFERROR(INDEX(Pubs!$G$2:$G$3001,MATCH(G4595,Pubs!$A$2:$A$3001,0))&amp;"",""))</f>
        <v/>
      </c>
      <c r="K4595" s="28" t="str">
        <f aca="false">IF(OR(G4595="",G4595="?"),"",IFERROR(INDEX(Pubs!$E$2:$E$3001,MATCH(G4595,Pubs!$A$2:$A$3001,0)),""))</f>
        <v/>
      </c>
      <c r="L4595" s="29" t="str">
        <f aca="false">IF(A4595="","",IFERROR(1/(1/INDEX(Numéros!$C$2:$C$3001,MATCH(A4595&amp;"|"&amp;B4595,Numéros!$F$2:$F$3001,0))),""))</f>
        <v/>
      </c>
      <c r="M4595" s="27" t="str">
        <f aca="false">IF(OR(G4595="",G4595="?"),"",IFERROR(INDEX(Pubs!$D$2:$D$3001,MATCH(G4595,Pubs!$A$2:$A$3001,0))&amp;"",""))</f>
        <v/>
      </c>
      <c r="N4595" s="27" t="n">
        <f aca="false">N(N4594)+IF(AND(A4595&lt;&gt;"",OR(Recherche!$C$4="",A4595=Recherche!$C$4),OR(Recherche!$C$5="",B4595&amp;""=Recherche!$C$5&amp;""),OR(Recherche!$C$6="",IFERROR(YEAR(L4595),0)=Recherche!$C$6),OR(Recherche!$C$7="",ISNUMBER(SEARCH(Recherche!$C$7,H4595))),OR(Recherche!$C$8="",J4595=Recherche!$C$8),OR(Recherche!$C$9="",I4595=Recherche!$C$9),OR(Recherche!$C$10="",G4595&amp;""=Recherche!$C$10&amp;""),OR(Recherche!$C$11="",E4595=Recherche!$C$11),OR(Recherche!$C$12="",ISNUMBER(SEARCH(Recherche!$C$12,M4595&amp;" "&amp;F4595)))),1,0)</f>
        <v>8</v>
      </c>
    </row>
    <row r="4596" customFormat="false" ht="15" hidden="false" customHeight="false" outlineLevel="0" collapsed="false">
      <c r="A4596" s="19"/>
      <c r="B4596" s="19"/>
      <c r="C4596" s="19"/>
      <c r="D4596" s="19"/>
      <c r="E4596" s="22"/>
      <c r="F4596" s="19"/>
      <c r="G4596" s="26" t="str">
        <f aca="false">IF(D4596="","",IFERROR(VALUE(LEFT(D4596,FIND(" |",D4596&amp;" |")-1)),"?"))</f>
        <v/>
      </c>
      <c r="H4596" s="27" t="str">
        <f aca="false">IF(G4596="","",IF(G4596="?","⚠ pub inconnue",IFERROR(INDEX(Pubs!$B$2:$B$3001,MATCH(G4596,Pubs!$A$2:$A$3001,0))&amp;"","⚠ pub inconnue")))</f>
        <v/>
      </c>
      <c r="I4596" s="27" t="str">
        <f aca="false">IF(OR(G4596="",G4596="?"),"",IFERROR(INDEX(Pubs!$C$2:$C$3001,MATCH(G4596,Pubs!$A$2:$A$3001,0))&amp;"",""))</f>
        <v/>
      </c>
      <c r="J4596" s="27" t="str">
        <f aca="false">IF(OR(G4596="",G4596="?"),"",IFERROR(INDEX(Pubs!$G$2:$G$3001,MATCH(G4596,Pubs!$A$2:$A$3001,0))&amp;"",""))</f>
        <v/>
      </c>
      <c r="K4596" s="28" t="str">
        <f aca="false">IF(OR(G4596="",G4596="?"),"",IFERROR(INDEX(Pubs!$E$2:$E$3001,MATCH(G4596,Pubs!$A$2:$A$3001,0)),""))</f>
        <v/>
      </c>
      <c r="L4596" s="29" t="str">
        <f aca="false">IF(A4596="","",IFERROR(1/(1/INDEX(Numéros!$C$2:$C$3001,MATCH(A4596&amp;"|"&amp;B4596,Numéros!$F$2:$F$3001,0))),""))</f>
        <v/>
      </c>
      <c r="M4596" s="27" t="str">
        <f aca="false">IF(OR(G4596="",G4596="?"),"",IFERROR(INDEX(Pubs!$D$2:$D$3001,MATCH(G4596,Pubs!$A$2:$A$3001,0))&amp;"",""))</f>
        <v/>
      </c>
      <c r="N4596" s="27" t="n">
        <f aca="false">N(N4595)+IF(AND(A4596&lt;&gt;"",OR(Recherche!$C$4="",A4596=Recherche!$C$4),OR(Recherche!$C$5="",B4596&amp;""=Recherche!$C$5&amp;""),OR(Recherche!$C$6="",IFERROR(YEAR(L4596),0)=Recherche!$C$6),OR(Recherche!$C$7="",ISNUMBER(SEARCH(Recherche!$C$7,H4596))),OR(Recherche!$C$8="",J4596=Recherche!$C$8),OR(Recherche!$C$9="",I4596=Recherche!$C$9),OR(Recherche!$C$10="",G4596&amp;""=Recherche!$C$10&amp;""),OR(Recherche!$C$11="",E4596=Recherche!$C$11),OR(Recherche!$C$12="",ISNUMBER(SEARCH(Recherche!$C$12,M4596&amp;" "&amp;F4596)))),1,0)</f>
        <v>8</v>
      </c>
    </row>
    <row r="4597" customFormat="false" ht="15" hidden="false" customHeight="false" outlineLevel="0" collapsed="false">
      <c r="A4597" s="19"/>
      <c r="B4597" s="19"/>
      <c r="C4597" s="19"/>
      <c r="D4597" s="19"/>
      <c r="E4597" s="22"/>
      <c r="F4597" s="19"/>
      <c r="G4597" s="26" t="str">
        <f aca="false">IF(D4597="","",IFERROR(VALUE(LEFT(D4597,FIND(" |",D4597&amp;" |")-1)),"?"))</f>
        <v/>
      </c>
      <c r="H4597" s="27" t="str">
        <f aca="false">IF(G4597="","",IF(G4597="?","⚠ pub inconnue",IFERROR(INDEX(Pubs!$B$2:$B$3001,MATCH(G4597,Pubs!$A$2:$A$3001,0))&amp;"","⚠ pub inconnue")))</f>
        <v/>
      </c>
      <c r="I4597" s="27" t="str">
        <f aca="false">IF(OR(G4597="",G4597="?"),"",IFERROR(INDEX(Pubs!$C$2:$C$3001,MATCH(G4597,Pubs!$A$2:$A$3001,0))&amp;"",""))</f>
        <v/>
      </c>
      <c r="J4597" s="27" t="str">
        <f aca="false">IF(OR(G4597="",G4597="?"),"",IFERROR(INDEX(Pubs!$G$2:$G$3001,MATCH(G4597,Pubs!$A$2:$A$3001,0))&amp;"",""))</f>
        <v/>
      </c>
      <c r="K4597" s="28" t="str">
        <f aca="false">IF(OR(G4597="",G4597="?"),"",IFERROR(INDEX(Pubs!$E$2:$E$3001,MATCH(G4597,Pubs!$A$2:$A$3001,0)),""))</f>
        <v/>
      </c>
      <c r="L4597" s="29" t="str">
        <f aca="false">IF(A4597="","",IFERROR(1/(1/INDEX(Numéros!$C$2:$C$3001,MATCH(A4597&amp;"|"&amp;B4597,Numéros!$F$2:$F$3001,0))),""))</f>
        <v/>
      </c>
      <c r="M4597" s="27" t="str">
        <f aca="false">IF(OR(G4597="",G4597="?"),"",IFERROR(INDEX(Pubs!$D$2:$D$3001,MATCH(G4597,Pubs!$A$2:$A$3001,0))&amp;"",""))</f>
        <v/>
      </c>
      <c r="N4597" s="27" t="n">
        <f aca="false">N(N4596)+IF(AND(A4597&lt;&gt;"",OR(Recherche!$C$4="",A4597=Recherche!$C$4),OR(Recherche!$C$5="",B4597&amp;""=Recherche!$C$5&amp;""),OR(Recherche!$C$6="",IFERROR(YEAR(L4597),0)=Recherche!$C$6),OR(Recherche!$C$7="",ISNUMBER(SEARCH(Recherche!$C$7,H4597))),OR(Recherche!$C$8="",J4597=Recherche!$C$8),OR(Recherche!$C$9="",I4597=Recherche!$C$9),OR(Recherche!$C$10="",G4597&amp;""=Recherche!$C$10&amp;""),OR(Recherche!$C$11="",E4597=Recherche!$C$11),OR(Recherche!$C$12="",ISNUMBER(SEARCH(Recherche!$C$12,M4597&amp;" "&amp;F4597)))),1,0)</f>
        <v>8</v>
      </c>
    </row>
    <row r="4598" customFormat="false" ht="15" hidden="false" customHeight="false" outlineLevel="0" collapsed="false">
      <c r="A4598" s="19"/>
      <c r="B4598" s="19"/>
      <c r="C4598" s="19"/>
      <c r="D4598" s="19"/>
      <c r="E4598" s="22"/>
      <c r="F4598" s="19"/>
      <c r="G4598" s="26" t="str">
        <f aca="false">IF(D4598="","",IFERROR(VALUE(LEFT(D4598,FIND(" |",D4598&amp;" |")-1)),"?"))</f>
        <v/>
      </c>
      <c r="H4598" s="27" t="str">
        <f aca="false">IF(G4598="","",IF(G4598="?","⚠ pub inconnue",IFERROR(INDEX(Pubs!$B$2:$B$3001,MATCH(G4598,Pubs!$A$2:$A$3001,0))&amp;"","⚠ pub inconnue")))</f>
        <v/>
      </c>
      <c r="I4598" s="27" t="str">
        <f aca="false">IF(OR(G4598="",G4598="?"),"",IFERROR(INDEX(Pubs!$C$2:$C$3001,MATCH(G4598,Pubs!$A$2:$A$3001,0))&amp;"",""))</f>
        <v/>
      </c>
      <c r="J4598" s="27" t="str">
        <f aca="false">IF(OR(G4598="",G4598="?"),"",IFERROR(INDEX(Pubs!$G$2:$G$3001,MATCH(G4598,Pubs!$A$2:$A$3001,0))&amp;"",""))</f>
        <v/>
      </c>
      <c r="K4598" s="28" t="str">
        <f aca="false">IF(OR(G4598="",G4598="?"),"",IFERROR(INDEX(Pubs!$E$2:$E$3001,MATCH(G4598,Pubs!$A$2:$A$3001,0)),""))</f>
        <v/>
      </c>
      <c r="L4598" s="29" t="str">
        <f aca="false">IF(A4598="","",IFERROR(1/(1/INDEX(Numéros!$C$2:$C$3001,MATCH(A4598&amp;"|"&amp;B4598,Numéros!$F$2:$F$3001,0))),""))</f>
        <v/>
      </c>
      <c r="M4598" s="27" t="str">
        <f aca="false">IF(OR(G4598="",G4598="?"),"",IFERROR(INDEX(Pubs!$D$2:$D$3001,MATCH(G4598,Pubs!$A$2:$A$3001,0))&amp;"",""))</f>
        <v/>
      </c>
      <c r="N4598" s="27" t="n">
        <f aca="false">N(N4597)+IF(AND(A4598&lt;&gt;"",OR(Recherche!$C$4="",A4598=Recherche!$C$4),OR(Recherche!$C$5="",B4598&amp;""=Recherche!$C$5&amp;""),OR(Recherche!$C$6="",IFERROR(YEAR(L4598),0)=Recherche!$C$6),OR(Recherche!$C$7="",ISNUMBER(SEARCH(Recherche!$C$7,H4598))),OR(Recherche!$C$8="",J4598=Recherche!$C$8),OR(Recherche!$C$9="",I4598=Recherche!$C$9),OR(Recherche!$C$10="",G4598&amp;""=Recherche!$C$10&amp;""),OR(Recherche!$C$11="",E4598=Recherche!$C$11),OR(Recherche!$C$12="",ISNUMBER(SEARCH(Recherche!$C$12,M4598&amp;" "&amp;F4598)))),1,0)</f>
        <v>8</v>
      </c>
    </row>
    <row r="4599" customFormat="false" ht="15" hidden="false" customHeight="false" outlineLevel="0" collapsed="false">
      <c r="A4599" s="19"/>
      <c r="B4599" s="19"/>
      <c r="C4599" s="19"/>
      <c r="D4599" s="19"/>
      <c r="E4599" s="22"/>
      <c r="F4599" s="19"/>
      <c r="G4599" s="26" t="str">
        <f aca="false">IF(D4599="","",IFERROR(VALUE(LEFT(D4599,FIND(" |",D4599&amp;" |")-1)),"?"))</f>
        <v/>
      </c>
      <c r="H4599" s="27" t="str">
        <f aca="false">IF(G4599="","",IF(G4599="?","⚠ pub inconnue",IFERROR(INDEX(Pubs!$B$2:$B$3001,MATCH(G4599,Pubs!$A$2:$A$3001,0))&amp;"","⚠ pub inconnue")))</f>
        <v/>
      </c>
      <c r="I4599" s="27" t="str">
        <f aca="false">IF(OR(G4599="",G4599="?"),"",IFERROR(INDEX(Pubs!$C$2:$C$3001,MATCH(G4599,Pubs!$A$2:$A$3001,0))&amp;"",""))</f>
        <v/>
      </c>
      <c r="J4599" s="27" t="str">
        <f aca="false">IF(OR(G4599="",G4599="?"),"",IFERROR(INDEX(Pubs!$G$2:$G$3001,MATCH(G4599,Pubs!$A$2:$A$3001,0))&amp;"",""))</f>
        <v/>
      </c>
      <c r="K4599" s="28" t="str">
        <f aca="false">IF(OR(G4599="",G4599="?"),"",IFERROR(INDEX(Pubs!$E$2:$E$3001,MATCH(G4599,Pubs!$A$2:$A$3001,0)),""))</f>
        <v/>
      </c>
      <c r="L4599" s="29" t="str">
        <f aca="false">IF(A4599="","",IFERROR(1/(1/INDEX(Numéros!$C$2:$C$3001,MATCH(A4599&amp;"|"&amp;B4599,Numéros!$F$2:$F$3001,0))),""))</f>
        <v/>
      </c>
      <c r="M4599" s="27" t="str">
        <f aca="false">IF(OR(G4599="",G4599="?"),"",IFERROR(INDEX(Pubs!$D$2:$D$3001,MATCH(G4599,Pubs!$A$2:$A$3001,0))&amp;"",""))</f>
        <v/>
      </c>
      <c r="N4599" s="27" t="n">
        <f aca="false">N(N4598)+IF(AND(A4599&lt;&gt;"",OR(Recherche!$C$4="",A4599=Recherche!$C$4),OR(Recherche!$C$5="",B4599&amp;""=Recherche!$C$5&amp;""),OR(Recherche!$C$6="",IFERROR(YEAR(L4599),0)=Recherche!$C$6),OR(Recherche!$C$7="",ISNUMBER(SEARCH(Recherche!$C$7,H4599))),OR(Recherche!$C$8="",J4599=Recherche!$C$8),OR(Recherche!$C$9="",I4599=Recherche!$C$9),OR(Recherche!$C$10="",G4599&amp;""=Recherche!$C$10&amp;""),OR(Recherche!$C$11="",E4599=Recherche!$C$11),OR(Recherche!$C$12="",ISNUMBER(SEARCH(Recherche!$C$12,M4599&amp;" "&amp;F4599)))),1,0)</f>
        <v>8</v>
      </c>
    </row>
    <row r="4600" customFormat="false" ht="15" hidden="false" customHeight="false" outlineLevel="0" collapsed="false">
      <c r="A4600" s="19"/>
      <c r="B4600" s="19"/>
      <c r="C4600" s="19"/>
      <c r="D4600" s="19"/>
      <c r="E4600" s="22"/>
      <c r="F4600" s="19"/>
      <c r="G4600" s="26" t="str">
        <f aca="false">IF(D4600="","",IFERROR(VALUE(LEFT(D4600,FIND(" |",D4600&amp;" |")-1)),"?"))</f>
        <v/>
      </c>
      <c r="H4600" s="27" t="str">
        <f aca="false">IF(G4600="","",IF(G4600="?","⚠ pub inconnue",IFERROR(INDEX(Pubs!$B$2:$B$3001,MATCH(G4600,Pubs!$A$2:$A$3001,0))&amp;"","⚠ pub inconnue")))</f>
        <v/>
      </c>
      <c r="I4600" s="27" t="str">
        <f aca="false">IF(OR(G4600="",G4600="?"),"",IFERROR(INDEX(Pubs!$C$2:$C$3001,MATCH(G4600,Pubs!$A$2:$A$3001,0))&amp;"",""))</f>
        <v/>
      </c>
      <c r="J4600" s="27" t="str">
        <f aca="false">IF(OR(G4600="",G4600="?"),"",IFERROR(INDEX(Pubs!$G$2:$G$3001,MATCH(G4600,Pubs!$A$2:$A$3001,0))&amp;"",""))</f>
        <v/>
      </c>
      <c r="K4600" s="28" t="str">
        <f aca="false">IF(OR(G4600="",G4600="?"),"",IFERROR(INDEX(Pubs!$E$2:$E$3001,MATCH(G4600,Pubs!$A$2:$A$3001,0)),""))</f>
        <v/>
      </c>
      <c r="L4600" s="29" t="str">
        <f aca="false">IF(A4600="","",IFERROR(1/(1/INDEX(Numéros!$C$2:$C$3001,MATCH(A4600&amp;"|"&amp;B4600,Numéros!$F$2:$F$3001,0))),""))</f>
        <v/>
      </c>
      <c r="M4600" s="27" t="str">
        <f aca="false">IF(OR(G4600="",G4600="?"),"",IFERROR(INDEX(Pubs!$D$2:$D$3001,MATCH(G4600,Pubs!$A$2:$A$3001,0))&amp;"",""))</f>
        <v/>
      </c>
      <c r="N4600" s="27" t="n">
        <f aca="false">N(N4599)+IF(AND(A4600&lt;&gt;"",OR(Recherche!$C$4="",A4600=Recherche!$C$4),OR(Recherche!$C$5="",B4600&amp;""=Recherche!$C$5&amp;""),OR(Recherche!$C$6="",IFERROR(YEAR(L4600),0)=Recherche!$C$6),OR(Recherche!$C$7="",ISNUMBER(SEARCH(Recherche!$C$7,H4600))),OR(Recherche!$C$8="",J4600=Recherche!$C$8),OR(Recherche!$C$9="",I4600=Recherche!$C$9),OR(Recherche!$C$10="",G4600&amp;""=Recherche!$C$10&amp;""),OR(Recherche!$C$11="",E4600=Recherche!$C$11),OR(Recherche!$C$12="",ISNUMBER(SEARCH(Recherche!$C$12,M4600&amp;" "&amp;F4600)))),1,0)</f>
        <v>8</v>
      </c>
    </row>
    <row r="4601" customFormat="false" ht="15" hidden="false" customHeight="false" outlineLevel="0" collapsed="false">
      <c r="A4601" s="19"/>
      <c r="B4601" s="19"/>
      <c r="C4601" s="19"/>
      <c r="D4601" s="19"/>
      <c r="E4601" s="22"/>
      <c r="F4601" s="19"/>
      <c r="G4601" s="26" t="str">
        <f aca="false">IF(D4601="","",IFERROR(VALUE(LEFT(D4601,FIND(" |",D4601&amp;" |")-1)),"?"))</f>
        <v/>
      </c>
      <c r="H4601" s="27" t="str">
        <f aca="false">IF(G4601="","",IF(G4601="?","⚠ pub inconnue",IFERROR(INDEX(Pubs!$B$2:$B$3001,MATCH(G4601,Pubs!$A$2:$A$3001,0))&amp;"","⚠ pub inconnue")))</f>
        <v/>
      </c>
      <c r="I4601" s="27" t="str">
        <f aca="false">IF(OR(G4601="",G4601="?"),"",IFERROR(INDEX(Pubs!$C$2:$C$3001,MATCH(G4601,Pubs!$A$2:$A$3001,0))&amp;"",""))</f>
        <v/>
      </c>
      <c r="J4601" s="27" t="str">
        <f aca="false">IF(OR(G4601="",G4601="?"),"",IFERROR(INDEX(Pubs!$G$2:$G$3001,MATCH(G4601,Pubs!$A$2:$A$3001,0))&amp;"",""))</f>
        <v/>
      </c>
      <c r="K4601" s="28" t="str">
        <f aca="false">IF(OR(G4601="",G4601="?"),"",IFERROR(INDEX(Pubs!$E$2:$E$3001,MATCH(G4601,Pubs!$A$2:$A$3001,0)),""))</f>
        <v/>
      </c>
      <c r="L4601" s="29" t="str">
        <f aca="false">IF(A4601="","",IFERROR(1/(1/INDEX(Numéros!$C$2:$C$3001,MATCH(A4601&amp;"|"&amp;B4601,Numéros!$F$2:$F$3001,0))),""))</f>
        <v/>
      </c>
      <c r="M4601" s="27" t="str">
        <f aca="false">IF(OR(G4601="",G4601="?"),"",IFERROR(INDEX(Pubs!$D$2:$D$3001,MATCH(G4601,Pubs!$A$2:$A$3001,0))&amp;"",""))</f>
        <v/>
      </c>
      <c r="N4601" s="27" t="n">
        <f aca="false">N(N4600)+IF(AND(A4601&lt;&gt;"",OR(Recherche!$C$4="",A4601=Recherche!$C$4),OR(Recherche!$C$5="",B4601&amp;""=Recherche!$C$5&amp;""),OR(Recherche!$C$6="",IFERROR(YEAR(L4601),0)=Recherche!$C$6),OR(Recherche!$C$7="",ISNUMBER(SEARCH(Recherche!$C$7,H4601))),OR(Recherche!$C$8="",J4601=Recherche!$C$8),OR(Recherche!$C$9="",I4601=Recherche!$C$9),OR(Recherche!$C$10="",G4601&amp;""=Recherche!$C$10&amp;""),OR(Recherche!$C$11="",E4601=Recherche!$C$11),OR(Recherche!$C$12="",ISNUMBER(SEARCH(Recherche!$C$12,M4601&amp;" "&amp;F4601)))),1,0)</f>
        <v>8</v>
      </c>
    </row>
    <row r="4602" customFormat="false" ht="15" hidden="false" customHeight="false" outlineLevel="0" collapsed="false">
      <c r="A4602" s="19"/>
      <c r="B4602" s="19"/>
      <c r="C4602" s="19"/>
      <c r="D4602" s="19"/>
      <c r="E4602" s="22"/>
      <c r="F4602" s="19"/>
      <c r="G4602" s="26" t="str">
        <f aca="false">IF(D4602="","",IFERROR(VALUE(LEFT(D4602,FIND(" |",D4602&amp;" |")-1)),"?"))</f>
        <v/>
      </c>
      <c r="H4602" s="27" t="str">
        <f aca="false">IF(G4602="","",IF(G4602="?","⚠ pub inconnue",IFERROR(INDEX(Pubs!$B$2:$B$3001,MATCH(G4602,Pubs!$A$2:$A$3001,0))&amp;"","⚠ pub inconnue")))</f>
        <v/>
      </c>
      <c r="I4602" s="27" t="str">
        <f aca="false">IF(OR(G4602="",G4602="?"),"",IFERROR(INDEX(Pubs!$C$2:$C$3001,MATCH(G4602,Pubs!$A$2:$A$3001,0))&amp;"",""))</f>
        <v/>
      </c>
      <c r="J4602" s="27" t="str">
        <f aca="false">IF(OR(G4602="",G4602="?"),"",IFERROR(INDEX(Pubs!$G$2:$G$3001,MATCH(G4602,Pubs!$A$2:$A$3001,0))&amp;"",""))</f>
        <v/>
      </c>
      <c r="K4602" s="28" t="str">
        <f aca="false">IF(OR(G4602="",G4602="?"),"",IFERROR(INDEX(Pubs!$E$2:$E$3001,MATCH(G4602,Pubs!$A$2:$A$3001,0)),""))</f>
        <v/>
      </c>
      <c r="L4602" s="29" t="str">
        <f aca="false">IF(A4602="","",IFERROR(1/(1/INDEX(Numéros!$C$2:$C$3001,MATCH(A4602&amp;"|"&amp;B4602,Numéros!$F$2:$F$3001,0))),""))</f>
        <v/>
      </c>
      <c r="M4602" s="27" t="str">
        <f aca="false">IF(OR(G4602="",G4602="?"),"",IFERROR(INDEX(Pubs!$D$2:$D$3001,MATCH(G4602,Pubs!$A$2:$A$3001,0))&amp;"",""))</f>
        <v/>
      </c>
      <c r="N4602" s="27" t="n">
        <f aca="false">N(N4601)+IF(AND(A4602&lt;&gt;"",OR(Recherche!$C$4="",A4602=Recherche!$C$4),OR(Recherche!$C$5="",B4602&amp;""=Recherche!$C$5&amp;""),OR(Recherche!$C$6="",IFERROR(YEAR(L4602),0)=Recherche!$C$6),OR(Recherche!$C$7="",ISNUMBER(SEARCH(Recherche!$C$7,H4602))),OR(Recherche!$C$8="",J4602=Recherche!$C$8),OR(Recherche!$C$9="",I4602=Recherche!$C$9),OR(Recherche!$C$10="",G4602&amp;""=Recherche!$C$10&amp;""),OR(Recherche!$C$11="",E4602=Recherche!$C$11),OR(Recherche!$C$12="",ISNUMBER(SEARCH(Recherche!$C$12,M4602&amp;" "&amp;F4602)))),1,0)</f>
        <v>8</v>
      </c>
    </row>
    <row r="4603" customFormat="false" ht="15" hidden="false" customHeight="false" outlineLevel="0" collapsed="false">
      <c r="A4603" s="19"/>
      <c r="B4603" s="19"/>
      <c r="C4603" s="19"/>
      <c r="D4603" s="19"/>
      <c r="E4603" s="22"/>
      <c r="F4603" s="19"/>
      <c r="G4603" s="26" t="str">
        <f aca="false">IF(D4603="","",IFERROR(VALUE(LEFT(D4603,FIND(" |",D4603&amp;" |")-1)),"?"))</f>
        <v/>
      </c>
      <c r="H4603" s="27" t="str">
        <f aca="false">IF(G4603="","",IF(G4603="?","⚠ pub inconnue",IFERROR(INDEX(Pubs!$B$2:$B$3001,MATCH(G4603,Pubs!$A$2:$A$3001,0))&amp;"","⚠ pub inconnue")))</f>
        <v/>
      </c>
      <c r="I4603" s="27" t="str">
        <f aca="false">IF(OR(G4603="",G4603="?"),"",IFERROR(INDEX(Pubs!$C$2:$C$3001,MATCH(G4603,Pubs!$A$2:$A$3001,0))&amp;"",""))</f>
        <v/>
      </c>
      <c r="J4603" s="27" t="str">
        <f aca="false">IF(OR(G4603="",G4603="?"),"",IFERROR(INDEX(Pubs!$G$2:$G$3001,MATCH(G4603,Pubs!$A$2:$A$3001,0))&amp;"",""))</f>
        <v/>
      </c>
      <c r="K4603" s="28" t="str">
        <f aca="false">IF(OR(G4603="",G4603="?"),"",IFERROR(INDEX(Pubs!$E$2:$E$3001,MATCH(G4603,Pubs!$A$2:$A$3001,0)),""))</f>
        <v/>
      </c>
      <c r="L4603" s="29" t="str">
        <f aca="false">IF(A4603="","",IFERROR(1/(1/INDEX(Numéros!$C$2:$C$3001,MATCH(A4603&amp;"|"&amp;B4603,Numéros!$F$2:$F$3001,0))),""))</f>
        <v/>
      </c>
      <c r="M4603" s="27" t="str">
        <f aca="false">IF(OR(G4603="",G4603="?"),"",IFERROR(INDEX(Pubs!$D$2:$D$3001,MATCH(G4603,Pubs!$A$2:$A$3001,0))&amp;"",""))</f>
        <v/>
      </c>
      <c r="N4603" s="27" t="n">
        <f aca="false">N(N4602)+IF(AND(A4603&lt;&gt;"",OR(Recherche!$C$4="",A4603=Recherche!$C$4),OR(Recherche!$C$5="",B4603&amp;""=Recherche!$C$5&amp;""),OR(Recherche!$C$6="",IFERROR(YEAR(L4603),0)=Recherche!$C$6),OR(Recherche!$C$7="",ISNUMBER(SEARCH(Recherche!$C$7,H4603))),OR(Recherche!$C$8="",J4603=Recherche!$C$8),OR(Recherche!$C$9="",I4603=Recherche!$C$9),OR(Recherche!$C$10="",G4603&amp;""=Recherche!$C$10&amp;""),OR(Recherche!$C$11="",E4603=Recherche!$C$11),OR(Recherche!$C$12="",ISNUMBER(SEARCH(Recherche!$C$12,M4603&amp;" "&amp;F4603)))),1,0)</f>
        <v>8</v>
      </c>
    </row>
    <row r="4604" customFormat="false" ht="15" hidden="false" customHeight="false" outlineLevel="0" collapsed="false">
      <c r="A4604" s="19"/>
      <c r="B4604" s="19"/>
      <c r="C4604" s="19"/>
      <c r="D4604" s="19"/>
      <c r="E4604" s="22"/>
      <c r="F4604" s="19"/>
      <c r="G4604" s="26" t="str">
        <f aca="false">IF(D4604="","",IFERROR(VALUE(LEFT(D4604,FIND(" |",D4604&amp;" |")-1)),"?"))</f>
        <v/>
      </c>
      <c r="H4604" s="27" t="str">
        <f aca="false">IF(G4604="","",IF(G4604="?","⚠ pub inconnue",IFERROR(INDEX(Pubs!$B$2:$B$3001,MATCH(G4604,Pubs!$A$2:$A$3001,0))&amp;"","⚠ pub inconnue")))</f>
        <v/>
      </c>
      <c r="I4604" s="27" t="str">
        <f aca="false">IF(OR(G4604="",G4604="?"),"",IFERROR(INDEX(Pubs!$C$2:$C$3001,MATCH(G4604,Pubs!$A$2:$A$3001,0))&amp;"",""))</f>
        <v/>
      </c>
      <c r="J4604" s="27" t="str">
        <f aca="false">IF(OR(G4604="",G4604="?"),"",IFERROR(INDEX(Pubs!$G$2:$G$3001,MATCH(G4604,Pubs!$A$2:$A$3001,0))&amp;"",""))</f>
        <v/>
      </c>
      <c r="K4604" s="28" t="str">
        <f aca="false">IF(OR(G4604="",G4604="?"),"",IFERROR(INDEX(Pubs!$E$2:$E$3001,MATCH(G4604,Pubs!$A$2:$A$3001,0)),""))</f>
        <v/>
      </c>
      <c r="L4604" s="29" t="str">
        <f aca="false">IF(A4604="","",IFERROR(1/(1/INDEX(Numéros!$C$2:$C$3001,MATCH(A4604&amp;"|"&amp;B4604,Numéros!$F$2:$F$3001,0))),""))</f>
        <v/>
      </c>
      <c r="M4604" s="27" t="str">
        <f aca="false">IF(OR(G4604="",G4604="?"),"",IFERROR(INDEX(Pubs!$D$2:$D$3001,MATCH(G4604,Pubs!$A$2:$A$3001,0))&amp;"",""))</f>
        <v/>
      </c>
      <c r="N4604" s="27" t="n">
        <f aca="false">N(N4603)+IF(AND(A4604&lt;&gt;"",OR(Recherche!$C$4="",A4604=Recherche!$C$4),OR(Recherche!$C$5="",B4604&amp;""=Recherche!$C$5&amp;""),OR(Recherche!$C$6="",IFERROR(YEAR(L4604),0)=Recherche!$C$6),OR(Recherche!$C$7="",ISNUMBER(SEARCH(Recherche!$C$7,H4604))),OR(Recherche!$C$8="",J4604=Recherche!$C$8),OR(Recherche!$C$9="",I4604=Recherche!$C$9),OR(Recherche!$C$10="",G4604&amp;""=Recherche!$C$10&amp;""),OR(Recherche!$C$11="",E4604=Recherche!$C$11),OR(Recherche!$C$12="",ISNUMBER(SEARCH(Recherche!$C$12,M4604&amp;" "&amp;F4604)))),1,0)</f>
        <v>8</v>
      </c>
    </row>
    <row r="4605" customFormat="false" ht="15" hidden="false" customHeight="false" outlineLevel="0" collapsed="false">
      <c r="A4605" s="19"/>
      <c r="B4605" s="19"/>
      <c r="C4605" s="19"/>
      <c r="D4605" s="19"/>
      <c r="E4605" s="22"/>
      <c r="F4605" s="19"/>
      <c r="G4605" s="26" t="str">
        <f aca="false">IF(D4605="","",IFERROR(VALUE(LEFT(D4605,FIND(" |",D4605&amp;" |")-1)),"?"))</f>
        <v/>
      </c>
      <c r="H4605" s="27" t="str">
        <f aca="false">IF(G4605="","",IF(G4605="?","⚠ pub inconnue",IFERROR(INDEX(Pubs!$B$2:$B$3001,MATCH(G4605,Pubs!$A$2:$A$3001,0))&amp;"","⚠ pub inconnue")))</f>
        <v/>
      </c>
      <c r="I4605" s="27" t="str">
        <f aca="false">IF(OR(G4605="",G4605="?"),"",IFERROR(INDEX(Pubs!$C$2:$C$3001,MATCH(G4605,Pubs!$A$2:$A$3001,0))&amp;"",""))</f>
        <v/>
      </c>
      <c r="J4605" s="27" t="str">
        <f aca="false">IF(OR(G4605="",G4605="?"),"",IFERROR(INDEX(Pubs!$G$2:$G$3001,MATCH(G4605,Pubs!$A$2:$A$3001,0))&amp;"",""))</f>
        <v/>
      </c>
      <c r="K4605" s="28" t="str">
        <f aca="false">IF(OR(G4605="",G4605="?"),"",IFERROR(INDEX(Pubs!$E$2:$E$3001,MATCH(G4605,Pubs!$A$2:$A$3001,0)),""))</f>
        <v/>
      </c>
      <c r="L4605" s="29" t="str">
        <f aca="false">IF(A4605="","",IFERROR(1/(1/INDEX(Numéros!$C$2:$C$3001,MATCH(A4605&amp;"|"&amp;B4605,Numéros!$F$2:$F$3001,0))),""))</f>
        <v/>
      </c>
      <c r="M4605" s="27" t="str">
        <f aca="false">IF(OR(G4605="",G4605="?"),"",IFERROR(INDEX(Pubs!$D$2:$D$3001,MATCH(G4605,Pubs!$A$2:$A$3001,0))&amp;"",""))</f>
        <v/>
      </c>
      <c r="N4605" s="27" t="n">
        <f aca="false">N(N4604)+IF(AND(A4605&lt;&gt;"",OR(Recherche!$C$4="",A4605=Recherche!$C$4),OR(Recherche!$C$5="",B4605&amp;""=Recherche!$C$5&amp;""),OR(Recherche!$C$6="",IFERROR(YEAR(L4605),0)=Recherche!$C$6),OR(Recherche!$C$7="",ISNUMBER(SEARCH(Recherche!$C$7,H4605))),OR(Recherche!$C$8="",J4605=Recherche!$C$8),OR(Recherche!$C$9="",I4605=Recherche!$C$9),OR(Recherche!$C$10="",G4605&amp;""=Recherche!$C$10&amp;""),OR(Recherche!$C$11="",E4605=Recherche!$C$11),OR(Recherche!$C$12="",ISNUMBER(SEARCH(Recherche!$C$12,M4605&amp;" "&amp;F4605)))),1,0)</f>
        <v>8</v>
      </c>
    </row>
    <row r="4606" customFormat="false" ht="15" hidden="false" customHeight="false" outlineLevel="0" collapsed="false">
      <c r="A4606" s="19"/>
      <c r="B4606" s="19"/>
      <c r="C4606" s="19"/>
      <c r="D4606" s="19"/>
      <c r="E4606" s="22"/>
      <c r="F4606" s="19"/>
      <c r="G4606" s="26" t="str">
        <f aca="false">IF(D4606="","",IFERROR(VALUE(LEFT(D4606,FIND(" |",D4606&amp;" |")-1)),"?"))</f>
        <v/>
      </c>
      <c r="H4606" s="27" t="str">
        <f aca="false">IF(G4606="","",IF(G4606="?","⚠ pub inconnue",IFERROR(INDEX(Pubs!$B$2:$B$3001,MATCH(G4606,Pubs!$A$2:$A$3001,0))&amp;"","⚠ pub inconnue")))</f>
        <v/>
      </c>
      <c r="I4606" s="27" t="str">
        <f aca="false">IF(OR(G4606="",G4606="?"),"",IFERROR(INDEX(Pubs!$C$2:$C$3001,MATCH(G4606,Pubs!$A$2:$A$3001,0))&amp;"",""))</f>
        <v/>
      </c>
      <c r="J4606" s="27" t="str">
        <f aca="false">IF(OR(G4606="",G4606="?"),"",IFERROR(INDEX(Pubs!$G$2:$G$3001,MATCH(G4606,Pubs!$A$2:$A$3001,0))&amp;"",""))</f>
        <v/>
      </c>
      <c r="K4606" s="28" t="str">
        <f aca="false">IF(OR(G4606="",G4606="?"),"",IFERROR(INDEX(Pubs!$E$2:$E$3001,MATCH(G4606,Pubs!$A$2:$A$3001,0)),""))</f>
        <v/>
      </c>
      <c r="L4606" s="29" t="str">
        <f aca="false">IF(A4606="","",IFERROR(1/(1/INDEX(Numéros!$C$2:$C$3001,MATCH(A4606&amp;"|"&amp;B4606,Numéros!$F$2:$F$3001,0))),""))</f>
        <v/>
      </c>
      <c r="M4606" s="27" t="str">
        <f aca="false">IF(OR(G4606="",G4606="?"),"",IFERROR(INDEX(Pubs!$D$2:$D$3001,MATCH(G4606,Pubs!$A$2:$A$3001,0))&amp;"",""))</f>
        <v/>
      </c>
      <c r="N4606" s="27" t="n">
        <f aca="false">N(N4605)+IF(AND(A4606&lt;&gt;"",OR(Recherche!$C$4="",A4606=Recherche!$C$4),OR(Recherche!$C$5="",B4606&amp;""=Recherche!$C$5&amp;""),OR(Recherche!$C$6="",IFERROR(YEAR(L4606),0)=Recherche!$C$6),OR(Recherche!$C$7="",ISNUMBER(SEARCH(Recherche!$C$7,H4606))),OR(Recherche!$C$8="",J4606=Recherche!$C$8),OR(Recherche!$C$9="",I4606=Recherche!$C$9),OR(Recherche!$C$10="",G4606&amp;""=Recherche!$C$10&amp;""),OR(Recherche!$C$11="",E4606=Recherche!$C$11),OR(Recherche!$C$12="",ISNUMBER(SEARCH(Recherche!$C$12,M4606&amp;" "&amp;F4606)))),1,0)</f>
        <v>8</v>
      </c>
    </row>
    <row r="4607" customFormat="false" ht="15" hidden="false" customHeight="false" outlineLevel="0" collapsed="false">
      <c r="A4607" s="19"/>
      <c r="B4607" s="19"/>
      <c r="C4607" s="19"/>
      <c r="D4607" s="19"/>
      <c r="E4607" s="22"/>
      <c r="F4607" s="19"/>
      <c r="G4607" s="26" t="str">
        <f aca="false">IF(D4607="","",IFERROR(VALUE(LEFT(D4607,FIND(" |",D4607&amp;" |")-1)),"?"))</f>
        <v/>
      </c>
      <c r="H4607" s="27" t="str">
        <f aca="false">IF(G4607="","",IF(G4607="?","⚠ pub inconnue",IFERROR(INDEX(Pubs!$B$2:$B$3001,MATCH(G4607,Pubs!$A$2:$A$3001,0))&amp;"","⚠ pub inconnue")))</f>
        <v/>
      </c>
      <c r="I4607" s="27" t="str">
        <f aca="false">IF(OR(G4607="",G4607="?"),"",IFERROR(INDEX(Pubs!$C$2:$C$3001,MATCH(G4607,Pubs!$A$2:$A$3001,0))&amp;"",""))</f>
        <v/>
      </c>
      <c r="J4607" s="27" t="str">
        <f aca="false">IF(OR(G4607="",G4607="?"),"",IFERROR(INDEX(Pubs!$G$2:$G$3001,MATCH(G4607,Pubs!$A$2:$A$3001,0))&amp;"",""))</f>
        <v/>
      </c>
      <c r="K4607" s="28" t="str">
        <f aca="false">IF(OR(G4607="",G4607="?"),"",IFERROR(INDEX(Pubs!$E$2:$E$3001,MATCH(G4607,Pubs!$A$2:$A$3001,0)),""))</f>
        <v/>
      </c>
      <c r="L4607" s="29" t="str">
        <f aca="false">IF(A4607="","",IFERROR(1/(1/INDEX(Numéros!$C$2:$C$3001,MATCH(A4607&amp;"|"&amp;B4607,Numéros!$F$2:$F$3001,0))),""))</f>
        <v/>
      </c>
      <c r="M4607" s="27" t="str">
        <f aca="false">IF(OR(G4607="",G4607="?"),"",IFERROR(INDEX(Pubs!$D$2:$D$3001,MATCH(G4607,Pubs!$A$2:$A$3001,0))&amp;"",""))</f>
        <v/>
      </c>
      <c r="N4607" s="27" t="n">
        <f aca="false">N(N4606)+IF(AND(A4607&lt;&gt;"",OR(Recherche!$C$4="",A4607=Recherche!$C$4),OR(Recherche!$C$5="",B4607&amp;""=Recherche!$C$5&amp;""),OR(Recherche!$C$6="",IFERROR(YEAR(L4607),0)=Recherche!$C$6),OR(Recherche!$C$7="",ISNUMBER(SEARCH(Recherche!$C$7,H4607))),OR(Recherche!$C$8="",J4607=Recherche!$C$8),OR(Recherche!$C$9="",I4607=Recherche!$C$9),OR(Recherche!$C$10="",G4607&amp;""=Recherche!$C$10&amp;""),OR(Recherche!$C$11="",E4607=Recherche!$C$11),OR(Recherche!$C$12="",ISNUMBER(SEARCH(Recherche!$C$12,M4607&amp;" "&amp;F4607)))),1,0)</f>
        <v>8</v>
      </c>
    </row>
    <row r="4608" customFormat="false" ht="15" hidden="false" customHeight="false" outlineLevel="0" collapsed="false">
      <c r="A4608" s="19"/>
      <c r="B4608" s="19"/>
      <c r="C4608" s="19"/>
      <c r="D4608" s="19"/>
      <c r="E4608" s="22"/>
      <c r="F4608" s="19"/>
      <c r="G4608" s="26" t="str">
        <f aca="false">IF(D4608="","",IFERROR(VALUE(LEFT(D4608,FIND(" |",D4608&amp;" |")-1)),"?"))</f>
        <v/>
      </c>
      <c r="H4608" s="27" t="str">
        <f aca="false">IF(G4608="","",IF(G4608="?","⚠ pub inconnue",IFERROR(INDEX(Pubs!$B$2:$B$3001,MATCH(G4608,Pubs!$A$2:$A$3001,0))&amp;"","⚠ pub inconnue")))</f>
        <v/>
      </c>
      <c r="I4608" s="27" t="str">
        <f aca="false">IF(OR(G4608="",G4608="?"),"",IFERROR(INDEX(Pubs!$C$2:$C$3001,MATCH(G4608,Pubs!$A$2:$A$3001,0))&amp;"",""))</f>
        <v/>
      </c>
      <c r="J4608" s="27" t="str">
        <f aca="false">IF(OR(G4608="",G4608="?"),"",IFERROR(INDEX(Pubs!$G$2:$G$3001,MATCH(G4608,Pubs!$A$2:$A$3001,0))&amp;"",""))</f>
        <v/>
      </c>
      <c r="K4608" s="28" t="str">
        <f aca="false">IF(OR(G4608="",G4608="?"),"",IFERROR(INDEX(Pubs!$E$2:$E$3001,MATCH(G4608,Pubs!$A$2:$A$3001,0)),""))</f>
        <v/>
      </c>
      <c r="L4608" s="29" t="str">
        <f aca="false">IF(A4608="","",IFERROR(1/(1/INDEX(Numéros!$C$2:$C$3001,MATCH(A4608&amp;"|"&amp;B4608,Numéros!$F$2:$F$3001,0))),""))</f>
        <v/>
      </c>
      <c r="M4608" s="27" t="str">
        <f aca="false">IF(OR(G4608="",G4608="?"),"",IFERROR(INDEX(Pubs!$D$2:$D$3001,MATCH(G4608,Pubs!$A$2:$A$3001,0))&amp;"",""))</f>
        <v/>
      </c>
      <c r="N4608" s="27" t="n">
        <f aca="false">N(N4607)+IF(AND(A4608&lt;&gt;"",OR(Recherche!$C$4="",A4608=Recherche!$C$4),OR(Recherche!$C$5="",B4608&amp;""=Recherche!$C$5&amp;""),OR(Recherche!$C$6="",IFERROR(YEAR(L4608),0)=Recherche!$C$6),OR(Recherche!$C$7="",ISNUMBER(SEARCH(Recherche!$C$7,H4608))),OR(Recherche!$C$8="",J4608=Recherche!$C$8),OR(Recherche!$C$9="",I4608=Recherche!$C$9),OR(Recherche!$C$10="",G4608&amp;""=Recherche!$C$10&amp;""),OR(Recherche!$C$11="",E4608=Recherche!$C$11),OR(Recherche!$C$12="",ISNUMBER(SEARCH(Recherche!$C$12,M4608&amp;" "&amp;F4608)))),1,0)</f>
        <v>8</v>
      </c>
    </row>
    <row r="4609" customFormat="false" ht="15" hidden="false" customHeight="false" outlineLevel="0" collapsed="false">
      <c r="A4609" s="19"/>
      <c r="B4609" s="19"/>
      <c r="C4609" s="19"/>
      <c r="D4609" s="19"/>
      <c r="E4609" s="22"/>
      <c r="F4609" s="19"/>
      <c r="G4609" s="26" t="str">
        <f aca="false">IF(D4609="","",IFERROR(VALUE(LEFT(D4609,FIND(" |",D4609&amp;" |")-1)),"?"))</f>
        <v/>
      </c>
      <c r="H4609" s="27" t="str">
        <f aca="false">IF(G4609="","",IF(G4609="?","⚠ pub inconnue",IFERROR(INDEX(Pubs!$B$2:$B$3001,MATCH(G4609,Pubs!$A$2:$A$3001,0))&amp;"","⚠ pub inconnue")))</f>
        <v/>
      </c>
      <c r="I4609" s="27" t="str">
        <f aca="false">IF(OR(G4609="",G4609="?"),"",IFERROR(INDEX(Pubs!$C$2:$C$3001,MATCH(G4609,Pubs!$A$2:$A$3001,0))&amp;"",""))</f>
        <v/>
      </c>
      <c r="J4609" s="27" t="str">
        <f aca="false">IF(OR(G4609="",G4609="?"),"",IFERROR(INDEX(Pubs!$G$2:$G$3001,MATCH(G4609,Pubs!$A$2:$A$3001,0))&amp;"",""))</f>
        <v/>
      </c>
      <c r="K4609" s="28" t="str">
        <f aca="false">IF(OR(G4609="",G4609="?"),"",IFERROR(INDEX(Pubs!$E$2:$E$3001,MATCH(G4609,Pubs!$A$2:$A$3001,0)),""))</f>
        <v/>
      </c>
      <c r="L4609" s="29" t="str">
        <f aca="false">IF(A4609="","",IFERROR(1/(1/INDEX(Numéros!$C$2:$C$3001,MATCH(A4609&amp;"|"&amp;B4609,Numéros!$F$2:$F$3001,0))),""))</f>
        <v/>
      </c>
      <c r="M4609" s="27" t="str">
        <f aca="false">IF(OR(G4609="",G4609="?"),"",IFERROR(INDEX(Pubs!$D$2:$D$3001,MATCH(G4609,Pubs!$A$2:$A$3001,0))&amp;"",""))</f>
        <v/>
      </c>
      <c r="N4609" s="27" t="n">
        <f aca="false">N(N4608)+IF(AND(A4609&lt;&gt;"",OR(Recherche!$C$4="",A4609=Recherche!$C$4),OR(Recherche!$C$5="",B4609&amp;""=Recherche!$C$5&amp;""),OR(Recherche!$C$6="",IFERROR(YEAR(L4609),0)=Recherche!$C$6),OR(Recherche!$C$7="",ISNUMBER(SEARCH(Recherche!$C$7,H4609))),OR(Recherche!$C$8="",J4609=Recherche!$C$8),OR(Recherche!$C$9="",I4609=Recherche!$C$9),OR(Recherche!$C$10="",G4609&amp;""=Recherche!$C$10&amp;""),OR(Recherche!$C$11="",E4609=Recherche!$C$11),OR(Recherche!$C$12="",ISNUMBER(SEARCH(Recherche!$C$12,M4609&amp;" "&amp;F4609)))),1,0)</f>
        <v>8</v>
      </c>
    </row>
    <row r="4610" customFormat="false" ht="15" hidden="false" customHeight="false" outlineLevel="0" collapsed="false">
      <c r="A4610" s="19"/>
      <c r="B4610" s="19"/>
      <c r="C4610" s="19"/>
      <c r="D4610" s="19"/>
      <c r="E4610" s="22"/>
      <c r="F4610" s="19"/>
      <c r="G4610" s="26" t="str">
        <f aca="false">IF(D4610="","",IFERROR(VALUE(LEFT(D4610,FIND(" |",D4610&amp;" |")-1)),"?"))</f>
        <v/>
      </c>
      <c r="H4610" s="27" t="str">
        <f aca="false">IF(G4610="","",IF(G4610="?","⚠ pub inconnue",IFERROR(INDEX(Pubs!$B$2:$B$3001,MATCH(G4610,Pubs!$A$2:$A$3001,0))&amp;"","⚠ pub inconnue")))</f>
        <v/>
      </c>
      <c r="I4610" s="27" t="str">
        <f aca="false">IF(OR(G4610="",G4610="?"),"",IFERROR(INDEX(Pubs!$C$2:$C$3001,MATCH(G4610,Pubs!$A$2:$A$3001,0))&amp;"",""))</f>
        <v/>
      </c>
      <c r="J4610" s="27" t="str">
        <f aca="false">IF(OR(G4610="",G4610="?"),"",IFERROR(INDEX(Pubs!$G$2:$G$3001,MATCH(G4610,Pubs!$A$2:$A$3001,0))&amp;"",""))</f>
        <v/>
      </c>
      <c r="K4610" s="28" t="str">
        <f aca="false">IF(OR(G4610="",G4610="?"),"",IFERROR(INDEX(Pubs!$E$2:$E$3001,MATCH(G4610,Pubs!$A$2:$A$3001,0)),""))</f>
        <v/>
      </c>
      <c r="L4610" s="29" t="str">
        <f aca="false">IF(A4610="","",IFERROR(1/(1/INDEX(Numéros!$C$2:$C$3001,MATCH(A4610&amp;"|"&amp;B4610,Numéros!$F$2:$F$3001,0))),""))</f>
        <v/>
      </c>
      <c r="M4610" s="27" t="str">
        <f aca="false">IF(OR(G4610="",G4610="?"),"",IFERROR(INDEX(Pubs!$D$2:$D$3001,MATCH(G4610,Pubs!$A$2:$A$3001,0))&amp;"",""))</f>
        <v/>
      </c>
      <c r="N4610" s="27" t="n">
        <f aca="false">N(N4609)+IF(AND(A4610&lt;&gt;"",OR(Recherche!$C$4="",A4610=Recherche!$C$4),OR(Recherche!$C$5="",B4610&amp;""=Recherche!$C$5&amp;""),OR(Recherche!$C$6="",IFERROR(YEAR(L4610),0)=Recherche!$C$6),OR(Recherche!$C$7="",ISNUMBER(SEARCH(Recherche!$C$7,H4610))),OR(Recherche!$C$8="",J4610=Recherche!$C$8),OR(Recherche!$C$9="",I4610=Recherche!$C$9),OR(Recherche!$C$10="",G4610&amp;""=Recherche!$C$10&amp;""),OR(Recherche!$C$11="",E4610=Recherche!$C$11),OR(Recherche!$C$12="",ISNUMBER(SEARCH(Recherche!$C$12,M4610&amp;" "&amp;F4610)))),1,0)</f>
        <v>8</v>
      </c>
    </row>
    <row r="4611" customFormat="false" ht="15" hidden="false" customHeight="false" outlineLevel="0" collapsed="false">
      <c r="A4611" s="19"/>
      <c r="B4611" s="19"/>
      <c r="C4611" s="19"/>
      <c r="D4611" s="19"/>
      <c r="E4611" s="22"/>
      <c r="F4611" s="19"/>
      <c r="G4611" s="26" t="str">
        <f aca="false">IF(D4611="","",IFERROR(VALUE(LEFT(D4611,FIND(" |",D4611&amp;" |")-1)),"?"))</f>
        <v/>
      </c>
      <c r="H4611" s="27" t="str">
        <f aca="false">IF(G4611="","",IF(G4611="?","⚠ pub inconnue",IFERROR(INDEX(Pubs!$B$2:$B$3001,MATCH(G4611,Pubs!$A$2:$A$3001,0))&amp;"","⚠ pub inconnue")))</f>
        <v/>
      </c>
      <c r="I4611" s="27" t="str">
        <f aca="false">IF(OR(G4611="",G4611="?"),"",IFERROR(INDEX(Pubs!$C$2:$C$3001,MATCH(G4611,Pubs!$A$2:$A$3001,0))&amp;"",""))</f>
        <v/>
      </c>
      <c r="J4611" s="27" t="str">
        <f aca="false">IF(OR(G4611="",G4611="?"),"",IFERROR(INDEX(Pubs!$G$2:$G$3001,MATCH(G4611,Pubs!$A$2:$A$3001,0))&amp;"",""))</f>
        <v/>
      </c>
      <c r="K4611" s="28" t="str">
        <f aca="false">IF(OR(G4611="",G4611="?"),"",IFERROR(INDEX(Pubs!$E$2:$E$3001,MATCH(G4611,Pubs!$A$2:$A$3001,0)),""))</f>
        <v/>
      </c>
      <c r="L4611" s="29" t="str">
        <f aca="false">IF(A4611="","",IFERROR(1/(1/INDEX(Numéros!$C$2:$C$3001,MATCH(A4611&amp;"|"&amp;B4611,Numéros!$F$2:$F$3001,0))),""))</f>
        <v/>
      </c>
      <c r="M4611" s="27" t="str">
        <f aca="false">IF(OR(G4611="",G4611="?"),"",IFERROR(INDEX(Pubs!$D$2:$D$3001,MATCH(G4611,Pubs!$A$2:$A$3001,0))&amp;"",""))</f>
        <v/>
      </c>
      <c r="N4611" s="27" t="n">
        <f aca="false">N(N4610)+IF(AND(A4611&lt;&gt;"",OR(Recherche!$C$4="",A4611=Recherche!$C$4),OR(Recherche!$C$5="",B4611&amp;""=Recherche!$C$5&amp;""),OR(Recherche!$C$6="",IFERROR(YEAR(L4611),0)=Recherche!$C$6),OR(Recherche!$C$7="",ISNUMBER(SEARCH(Recherche!$C$7,H4611))),OR(Recherche!$C$8="",J4611=Recherche!$C$8),OR(Recherche!$C$9="",I4611=Recherche!$C$9),OR(Recherche!$C$10="",G4611&amp;""=Recherche!$C$10&amp;""),OR(Recherche!$C$11="",E4611=Recherche!$C$11),OR(Recherche!$C$12="",ISNUMBER(SEARCH(Recherche!$C$12,M4611&amp;" "&amp;F4611)))),1,0)</f>
        <v>8</v>
      </c>
    </row>
    <row r="4612" customFormat="false" ht="15" hidden="false" customHeight="false" outlineLevel="0" collapsed="false">
      <c r="A4612" s="19"/>
      <c r="B4612" s="19"/>
      <c r="C4612" s="19"/>
      <c r="D4612" s="19"/>
      <c r="E4612" s="22"/>
      <c r="F4612" s="19"/>
      <c r="G4612" s="26" t="str">
        <f aca="false">IF(D4612="","",IFERROR(VALUE(LEFT(D4612,FIND(" |",D4612&amp;" |")-1)),"?"))</f>
        <v/>
      </c>
      <c r="H4612" s="27" t="str">
        <f aca="false">IF(G4612="","",IF(G4612="?","⚠ pub inconnue",IFERROR(INDEX(Pubs!$B$2:$B$3001,MATCH(G4612,Pubs!$A$2:$A$3001,0))&amp;"","⚠ pub inconnue")))</f>
        <v/>
      </c>
      <c r="I4612" s="27" t="str">
        <f aca="false">IF(OR(G4612="",G4612="?"),"",IFERROR(INDEX(Pubs!$C$2:$C$3001,MATCH(G4612,Pubs!$A$2:$A$3001,0))&amp;"",""))</f>
        <v/>
      </c>
      <c r="J4612" s="27" t="str">
        <f aca="false">IF(OR(G4612="",G4612="?"),"",IFERROR(INDEX(Pubs!$G$2:$G$3001,MATCH(G4612,Pubs!$A$2:$A$3001,0))&amp;"",""))</f>
        <v/>
      </c>
      <c r="K4612" s="28" t="str">
        <f aca="false">IF(OR(G4612="",G4612="?"),"",IFERROR(INDEX(Pubs!$E$2:$E$3001,MATCH(G4612,Pubs!$A$2:$A$3001,0)),""))</f>
        <v/>
      </c>
      <c r="L4612" s="29" t="str">
        <f aca="false">IF(A4612="","",IFERROR(1/(1/INDEX(Numéros!$C$2:$C$3001,MATCH(A4612&amp;"|"&amp;B4612,Numéros!$F$2:$F$3001,0))),""))</f>
        <v/>
      </c>
      <c r="M4612" s="27" t="str">
        <f aca="false">IF(OR(G4612="",G4612="?"),"",IFERROR(INDEX(Pubs!$D$2:$D$3001,MATCH(G4612,Pubs!$A$2:$A$3001,0))&amp;"",""))</f>
        <v/>
      </c>
      <c r="N4612" s="27" t="n">
        <f aca="false">N(N4611)+IF(AND(A4612&lt;&gt;"",OR(Recherche!$C$4="",A4612=Recherche!$C$4),OR(Recherche!$C$5="",B4612&amp;""=Recherche!$C$5&amp;""),OR(Recherche!$C$6="",IFERROR(YEAR(L4612),0)=Recherche!$C$6),OR(Recherche!$C$7="",ISNUMBER(SEARCH(Recherche!$C$7,H4612))),OR(Recherche!$C$8="",J4612=Recherche!$C$8),OR(Recherche!$C$9="",I4612=Recherche!$C$9),OR(Recherche!$C$10="",G4612&amp;""=Recherche!$C$10&amp;""),OR(Recherche!$C$11="",E4612=Recherche!$C$11),OR(Recherche!$C$12="",ISNUMBER(SEARCH(Recherche!$C$12,M4612&amp;" "&amp;F4612)))),1,0)</f>
        <v>8</v>
      </c>
    </row>
    <row r="4613" customFormat="false" ht="15" hidden="false" customHeight="false" outlineLevel="0" collapsed="false">
      <c r="A4613" s="19"/>
      <c r="B4613" s="19"/>
      <c r="C4613" s="19"/>
      <c r="D4613" s="19"/>
      <c r="E4613" s="22"/>
      <c r="F4613" s="19"/>
      <c r="G4613" s="26" t="str">
        <f aca="false">IF(D4613="","",IFERROR(VALUE(LEFT(D4613,FIND(" |",D4613&amp;" |")-1)),"?"))</f>
        <v/>
      </c>
      <c r="H4613" s="27" t="str">
        <f aca="false">IF(G4613="","",IF(G4613="?","⚠ pub inconnue",IFERROR(INDEX(Pubs!$B$2:$B$3001,MATCH(G4613,Pubs!$A$2:$A$3001,0))&amp;"","⚠ pub inconnue")))</f>
        <v/>
      </c>
      <c r="I4613" s="27" t="str">
        <f aca="false">IF(OR(G4613="",G4613="?"),"",IFERROR(INDEX(Pubs!$C$2:$C$3001,MATCH(G4613,Pubs!$A$2:$A$3001,0))&amp;"",""))</f>
        <v/>
      </c>
      <c r="J4613" s="27" t="str">
        <f aca="false">IF(OR(G4613="",G4613="?"),"",IFERROR(INDEX(Pubs!$G$2:$G$3001,MATCH(G4613,Pubs!$A$2:$A$3001,0))&amp;"",""))</f>
        <v/>
      </c>
      <c r="K4613" s="28" t="str">
        <f aca="false">IF(OR(G4613="",G4613="?"),"",IFERROR(INDEX(Pubs!$E$2:$E$3001,MATCH(G4613,Pubs!$A$2:$A$3001,0)),""))</f>
        <v/>
      </c>
      <c r="L4613" s="29" t="str">
        <f aca="false">IF(A4613="","",IFERROR(1/(1/INDEX(Numéros!$C$2:$C$3001,MATCH(A4613&amp;"|"&amp;B4613,Numéros!$F$2:$F$3001,0))),""))</f>
        <v/>
      </c>
      <c r="M4613" s="27" t="str">
        <f aca="false">IF(OR(G4613="",G4613="?"),"",IFERROR(INDEX(Pubs!$D$2:$D$3001,MATCH(G4613,Pubs!$A$2:$A$3001,0))&amp;"",""))</f>
        <v/>
      </c>
      <c r="N4613" s="27" t="n">
        <f aca="false">N(N4612)+IF(AND(A4613&lt;&gt;"",OR(Recherche!$C$4="",A4613=Recherche!$C$4),OR(Recherche!$C$5="",B4613&amp;""=Recherche!$C$5&amp;""),OR(Recherche!$C$6="",IFERROR(YEAR(L4613),0)=Recherche!$C$6),OR(Recherche!$C$7="",ISNUMBER(SEARCH(Recherche!$C$7,H4613))),OR(Recherche!$C$8="",J4613=Recherche!$C$8),OR(Recherche!$C$9="",I4613=Recherche!$C$9),OR(Recherche!$C$10="",G4613&amp;""=Recherche!$C$10&amp;""),OR(Recherche!$C$11="",E4613=Recherche!$C$11),OR(Recherche!$C$12="",ISNUMBER(SEARCH(Recherche!$C$12,M4613&amp;" "&amp;F4613)))),1,0)</f>
        <v>8</v>
      </c>
    </row>
    <row r="4614" customFormat="false" ht="15" hidden="false" customHeight="false" outlineLevel="0" collapsed="false">
      <c r="A4614" s="19"/>
      <c r="B4614" s="19"/>
      <c r="C4614" s="19"/>
      <c r="D4614" s="19"/>
      <c r="E4614" s="22"/>
      <c r="F4614" s="19"/>
      <c r="G4614" s="26" t="str">
        <f aca="false">IF(D4614="","",IFERROR(VALUE(LEFT(D4614,FIND(" |",D4614&amp;" |")-1)),"?"))</f>
        <v/>
      </c>
      <c r="H4614" s="27" t="str">
        <f aca="false">IF(G4614="","",IF(G4614="?","⚠ pub inconnue",IFERROR(INDEX(Pubs!$B$2:$B$3001,MATCH(G4614,Pubs!$A$2:$A$3001,0))&amp;"","⚠ pub inconnue")))</f>
        <v/>
      </c>
      <c r="I4614" s="27" t="str">
        <f aca="false">IF(OR(G4614="",G4614="?"),"",IFERROR(INDEX(Pubs!$C$2:$C$3001,MATCH(G4614,Pubs!$A$2:$A$3001,0))&amp;"",""))</f>
        <v/>
      </c>
      <c r="J4614" s="27" t="str">
        <f aca="false">IF(OR(G4614="",G4614="?"),"",IFERROR(INDEX(Pubs!$G$2:$G$3001,MATCH(G4614,Pubs!$A$2:$A$3001,0))&amp;"",""))</f>
        <v/>
      </c>
      <c r="K4614" s="28" t="str">
        <f aca="false">IF(OR(G4614="",G4614="?"),"",IFERROR(INDEX(Pubs!$E$2:$E$3001,MATCH(G4614,Pubs!$A$2:$A$3001,0)),""))</f>
        <v/>
      </c>
      <c r="L4614" s="29" t="str">
        <f aca="false">IF(A4614="","",IFERROR(1/(1/INDEX(Numéros!$C$2:$C$3001,MATCH(A4614&amp;"|"&amp;B4614,Numéros!$F$2:$F$3001,0))),""))</f>
        <v/>
      </c>
      <c r="M4614" s="27" t="str">
        <f aca="false">IF(OR(G4614="",G4614="?"),"",IFERROR(INDEX(Pubs!$D$2:$D$3001,MATCH(G4614,Pubs!$A$2:$A$3001,0))&amp;"",""))</f>
        <v/>
      </c>
      <c r="N4614" s="27" t="n">
        <f aca="false">N(N4613)+IF(AND(A4614&lt;&gt;"",OR(Recherche!$C$4="",A4614=Recherche!$C$4),OR(Recherche!$C$5="",B4614&amp;""=Recherche!$C$5&amp;""),OR(Recherche!$C$6="",IFERROR(YEAR(L4614),0)=Recherche!$C$6),OR(Recherche!$C$7="",ISNUMBER(SEARCH(Recherche!$C$7,H4614))),OR(Recherche!$C$8="",J4614=Recherche!$C$8),OR(Recherche!$C$9="",I4614=Recherche!$C$9),OR(Recherche!$C$10="",G4614&amp;""=Recherche!$C$10&amp;""),OR(Recherche!$C$11="",E4614=Recherche!$C$11),OR(Recherche!$C$12="",ISNUMBER(SEARCH(Recherche!$C$12,M4614&amp;" "&amp;F4614)))),1,0)</f>
        <v>8</v>
      </c>
    </row>
    <row r="4615" customFormat="false" ht="15" hidden="false" customHeight="false" outlineLevel="0" collapsed="false">
      <c r="A4615" s="19"/>
      <c r="B4615" s="19"/>
      <c r="C4615" s="19"/>
      <c r="D4615" s="19"/>
      <c r="E4615" s="22"/>
      <c r="F4615" s="19"/>
      <c r="G4615" s="26" t="str">
        <f aca="false">IF(D4615="","",IFERROR(VALUE(LEFT(D4615,FIND(" |",D4615&amp;" |")-1)),"?"))</f>
        <v/>
      </c>
      <c r="H4615" s="27" t="str">
        <f aca="false">IF(G4615="","",IF(G4615="?","⚠ pub inconnue",IFERROR(INDEX(Pubs!$B$2:$B$3001,MATCH(G4615,Pubs!$A$2:$A$3001,0))&amp;"","⚠ pub inconnue")))</f>
        <v/>
      </c>
      <c r="I4615" s="27" t="str">
        <f aca="false">IF(OR(G4615="",G4615="?"),"",IFERROR(INDEX(Pubs!$C$2:$C$3001,MATCH(G4615,Pubs!$A$2:$A$3001,0))&amp;"",""))</f>
        <v/>
      </c>
      <c r="J4615" s="27" t="str">
        <f aca="false">IF(OR(G4615="",G4615="?"),"",IFERROR(INDEX(Pubs!$G$2:$G$3001,MATCH(G4615,Pubs!$A$2:$A$3001,0))&amp;"",""))</f>
        <v/>
      </c>
      <c r="K4615" s="28" t="str">
        <f aca="false">IF(OR(G4615="",G4615="?"),"",IFERROR(INDEX(Pubs!$E$2:$E$3001,MATCH(G4615,Pubs!$A$2:$A$3001,0)),""))</f>
        <v/>
      </c>
      <c r="L4615" s="29" t="str">
        <f aca="false">IF(A4615="","",IFERROR(1/(1/INDEX(Numéros!$C$2:$C$3001,MATCH(A4615&amp;"|"&amp;B4615,Numéros!$F$2:$F$3001,0))),""))</f>
        <v/>
      </c>
      <c r="M4615" s="27" t="str">
        <f aca="false">IF(OR(G4615="",G4615="?"),"",IFERROR(INDEX(Pubs!$D$2:$D$3001,MATCH(G4615,Pubs!$A$2:$A$3001,0))&amp;"",""))</f>
        <v/>
      </c>
      <c r="N4615" s="27" t="n">
        <f aca="false">N(N4614)+IF(AND(A4615&lt;&gt;"",OR(Recherche!$C$4="",A4615=Recherche!$C$4),OR(Recherche!$C$5="",B4615&amp;""=Recherche!$C$5&amp;""),OR(Recherche!$C$6="",IFERROR(YEAR(L4615),0)=Recherche!$C$6),OR(Recherche!$C$7="",ISNUMBER(SEARCH(Recherche!$C$7,H4615))),OR(Recherche!$C$8="",J4615=Recherche!$C$8),OR(Recherche!$C$9="",I4615=Recherche!$C$9),OR(Recherche!$C$10="",G4615&amp;""=Recherche!$C$10&amp;""),OR(Recherche!$C$11="",E4615=Recherche!$C$11),OR(Recherche!$C$12="",ISNUMBER(SEARCH(Recherche!$C$12,M4615&amp;" "&amp;F4615)))),1,0)</f>
        <v>8</v>
      </c>
    </row>
    <row r="4616" customFormat="false" ht="15" hidden="false" customHeight="false" outlineLevel="0" collapsed="false">
      <c r="A4616" s="19"/>
      <c r="B4616" s="19"/>
      <c r="C4616" s="19"/>
      <c r="D4616" s="19"/>
      <c r="E4616" s="22"/>
      <c r="F4616" s="19"/>
      <c r="G4616" s="26" t="str">
        <f aca="false">IF(D4616="","",IFERROR(VALUE(LEFT(D4616,FIND(" |",D4616&amp;" |")-1)),"?"))</f>
        <v/>
      </c>
      <c r="H4616" s="27" t="str">
        <f aca="false">IF(G4616="","",IF(G4616="?","⚠ pub inconnue",IFERROR(INDEX(Pubs!$B$2:$B$3001,MATCH(G4616,Pubs!$A$2:$A$3001,0))&amp;"","⚠ pub inconnue")))</f>
        <v/>
      </c>
      <c r="I4616" s="27" t="str">
        <f aca="false">IF(OR(G4616="",G4616="?"),"",IFERROR(INDEX(Pubs!$C$2:$C$3001,MATCH(G4616,Pubs!$A$2:$A$3001,0))&amp;"",""))</f>
        <v/>
      </c>
      <c r="J4616" s="27" t="str">
        <f aca="false">IF(OR(G4616="",G4616="?"),"",IFERROR(INDEX(Pubs!$G$2:$G$3001,MATCH(G4616,Pubs!$A$2:$A$3001,0))&amp;"",""))</f>
        <v/>
      </c>
      <c r="K4616" s="28" t="str">
        <f aca="false">IF(OR(G4616="",G4616="?"),"",IFERROR(INDEX(Pubs!$E$2:$E$3001,MATCH(G4616,Pubs!$A$2:$A$3001,0)),""))</f>
        <v/>
      </c>
      <c r="L4616" s="29" t="str">
        <f aca="false">IF(A4616="","",IFERROR(1/(1/INDEX(Numéros!$C$2:$C$3001,MATCH(A4616&amp;"|"&amp;B4616,Numéros!$F$2:$F$3001,0))),""))</f>
        <v/>
      </c>
      <c r="M4616" s="27" t="str">
        <f aca="false">IF(OR(G4616="",G4616="?"),"",IFERROR(INDEX(Pubs!$D$2:$D$3001,MATCH(G4616,Pubs!$A$2:$A$3001,0))&amp;"",""))</f>
        <v/>
      </c>
      <c r="N4616" s="27" t="n">
        <f aca="false">N(N4615)+IF(AND(A4616&lt;&gt;"",OR(Recherche!$C$4="",A4616=Recherche!$C$4),OR(Recherche!$C$5="",B4616&amp;""=Recherche!$C$5&amp;""),OR(Recherche!$C$6="",IFERROR(YEAR(L4616),0)=Recherche!$C$6),OR(Recherche!$C$7="",ISNUMBER(SEARCH(Recherche!$C$7,H4616))),OR(Recherche!$C$8="",J4616=Recherche!$C$8),OR(Recherche!$C$9="",I4616=Recherche!$C$9),OR(Recherche!$C$10="",G4616&amp;""=Recherche!$C$10&amp;""),OR(Recherche!$C$11="",E4616=Recherche!$C$11),OR(Recherche!$C$12="",ISNUMBER(SEARCH(Recherche!$C$12,M4616&amp;" "&amp;F4616)))),1,0)</f>
        <v>8</v>
      </c>
    </row>
    <row r="4617" customFormat="false" ht="15" hidden="false" customHeight="false" outlineLevel="0" collapsed="false">
      <c r="A4617" s="19"/>
      <c r="B4617" s="19"/>
      <c r="C4617" s="19"/>
      <c r="D4617" s="19"/>
      <c r="E4617" s="22"/>
      <c r="F4617" s="19"/>
      <c r="G4617" s="26" t="str">
        <f aca="false">IF(D4617="","",IFERROR(VALUE(LEFT(D4617,FIND(" |",D4617&amp;" |")-1)),"?"))</f>
        <v/>
      </c>
      <c r="H4617" s="27" t="str">
        <f aca="false">IF(G4617="","",IF(G4617="?","⚠ pub inconnue",IFERROR(INDEX(Pubs!$B$2:$B$3001,MATCH(G4617,Pubs!$A$2:$A$3001,0))&amp;"","⚠ pub inconnue")))</f>
        <v/>
      </c>
      <c r="I4617" s="27" t="str">
        <f aca="false">IF(OR(G4617="",G4617="?"),"",IFERROR(INDEX(Pubs!$C$2:$C$3001,MATCH(G4617,Pubs!$A$2:$A$3001,0))&amp;"",""))</f>
        <v/>
      </c>
      <c r="J4617" s="27" t="str">
        <f aca="false">IF(OR(G4617="",G4617="?"),"",IFERROR(INDEX(Pubs!$G$2:$G$3001,MATCH(G4617,Pubs!$A$2:$A$3001,0))&amp;"",""))</f>
        <v/>
      </c>
      <c r="K4617" s="28" t="str">
        <f aca="false">IF(OR(G4617="",G4617="?"),"",IFERROR(INDEX(Pubs!$E$2:$E$3001,MATCH(G4617,Pubs!$A$2:$A$3001,0)),""))</f>
        <v/>
      </c>
      <c r="L4617" s="29" t="str">
        <f aca="false">IF(A4617="","",IFERROR(1/(1/INDEX(Numéros!$C$2:$C$3001,MATCH(A4617&amp;"|"&amp;B4617,Numéros!$F$2:$F$3001,0))),""))</f>
        <v/>
      </c>
      <c r="M4617" s="27" t="str">
        <f aca="false">IF(OR(G4617="",G4617="?"),"",IFERROR(INDEX(Pubs!$D$2:$D$3001,MATCH(G4617,Pubs!$A$2:$A$3001,0))&amp;"",""))</f>
        <v/>
      </c>
      <c r="N4617" s="27" t="n">
        <f aca="false">N(N4616)+IF(AND(A4617&lt;&gt;"",OR(Recherche!$C$4="",A4617=Recherche!$C$4),OR(Recherche!$C$5="",B4617&amp;""=Recherche!$C$5&amp;""),OR(Recherche!$C$6="",IFERROR(YEAR(L4617),0)=Recherche!$C$6),OR(Recherche!$C$7="",ISNUMBER(SEARCH(Recherche!$C$7,H4617))),OR(Recherche!$C$8="",J4617=Recherche!$C$8),OR(Recherche!$C$9="",I4617=Recherche!$C$9),OR(Recherche!$C$10="",G4617&amp;""=Recherche!$C$10&amp;""),OR(Recherche!$C$11="",E4617=Recherche!$C$11),OR(Recherche!$C$12="",ISNUMBER(SEARCH(Recherche!$C$12,M4617&amp;" "&amp;F4617)))),1,0)</f>
        <v>8</v>
      </c>
    </row>
    <row r="4618" customFormat="false" ht="15" hidden="false" customHeight="false" outlineLevel="0" collapsed="false">
      <c r="A4618" s="19"/>
      <c r="B4618" s="19"/>
      <c r="C4618" s="19"/>
      <c r="D4618" s="19"/>
      <c r="E4618" s="22"/>
      <c r="F4618" s="19"/>
      <c r="G4618" s="26" t="str">
        <f aca="false">IF(D4618="","",IFERROR(VALUE(LEFT(D4618,FIND(" |",D4618&amp;" |")-1)),"?"))</f>
        <v/>
      </c>
      <c r="H4618" s="27" t="str">
        <f aca="false">IF(G4618="","",IF(G4618="?","⚠ pub inconnue",IFERROR(INDEX(Pubs!$B$2:$B$3001,MATCH(G4618,Pubs!$A$2:$A$3001,0))&amp;"","⚠ pub inconnue")))</f>
        <v/>
      </c>
      <c r="I4618" s="27" t="str">
        <f aca="false">IF(OR(G4618="",G4618="?"),"",IFERROR(INDEX(Pubs!$C$2:$C$3001,MATCH(G4618,Pubs!$A$2:$A$3001,0))&amp;"",""))</f>
        <v/>
      </c>
      <c r="J4618" s="27" t="str">
        <f aca="false">IF(OR(G4618="",G4618="?"),"",IFERROR(INDEX(Pubs!$G$2:$G$3001,MATCH(G4618,Pubs!$A$2:$A$3001,0))&amp;"",""))</f>
        <v/>
      </c>
      <c r="K4618" s="28" t="str">
        <f aca="false">IF(OR(G4618="",G4618="?"),"",IFERROR(INDEX(Pubs!$E$2:$E$3001,MATCH(G4618,Pubs!$A$2:$A$3001,0)),""))</f>
        <v/>
      </c>
      <c r="L4618" s="29" t="str">
        <f aca="false">IF(A4618="","",IFERROR(1/(1/INDEX(Numéros!$C$2:$C$3001,MATCH(A4618&amp;"|"&amp;B4618,Numéros!$F$2:$F$3001,0))),""))</f>
        <v/>
      </c>
      <c r="M4618" s="27" t="str">
        <f aca="false">IF(OR(G4618="",G4618="?"),"",IFERROR(INDEX(Pubs!$D$2:$D$3001,MATCH(G4618,Pubs!$A$2:$A$3001,0))&amp;"",""))</f>
        <v/>
      </c>
      <c r="N4618" s="27" t="n">
        <f aca="false">N(N4617)+IF(AND(A4618&lt;&gt;"",OR(Recherche!$C$4="",A4618=Recherche!$C$4),OR(Recherche!$C$5="",B4618&amp;""=Recherche!$C$5&amp;""),OR(Recherche!$C$6="",IFERROR(YEAR(L4618),0)=Recherche!$C$6),OR(Recherche!$C$7="",ISNUMBER(SEARCH(Recherche!$C$7,H4618))),OR(Recherche!$C$8="",J4618=Recherche!$C$8),OR(Recherche!$C$9="",I4618=Recherche!$C$9),OR(Recherche!$C$10="",G4618&amp;""=Recherche!$C$10&amp;""),OR(Recherche!$C$11="",E4618=Recherche!$C$11),OR(Recherche!$C$12="",ISNUMBER(SEARCH(Recherche!$C$12,M4618&amp;" "&amp;F4618)))),1,0)</f>
        <v>8</v>
      </c>
    </row>
    <row r="4619" customFormat="false" ht="15" hidden="false" customHeight="false" outlineLevel="0" collapsed="false">
      <c r="A4619" s="19"/>
      <c r="B4619" s="19"/>
      <c r="C4619" s="19"/>
      <c r="D4619" s="19"/>
      <c r="E4619" s="22"/>
      <c r="F4619" s="19"/>
      <c r="G4619" s="26" t="str">
        <f aca="false">IF(D4619="","",IFERROR(VALUE(LEFT(D4619,FIND(" |",D4619&amp;" |")-1)),"?"))</f>
        <v/>
      </c>
      <c r="H4619" s="27" t="str">
        <f aca="false">IF(G4619="","",IF(G4619="?","⚠ pub inconnue",IFERROR(INDEX(Pubs!$B$2:$B$3001,MATCH(G4619,Pubs!$A$2:$A$3001,0))&amp;"","⚠ pub inconnue")))</f>
        <v/>
      </c>
      <c r="I4619" s="27" t="str">
        <f aca="false">IF(OR(G4619="",G4619="?"),"",IFERROR(INDEX(Pubs!$C$2:$C$3001,MATCH(G4619,Pubs!$A$2:$A$3001,0))&amp;"",""))</f>
        <v/>
      </c>
      <c r="J4619" s="27" t="str">
        <f aca="false">IF(OR(G4619="",G4619="?"),"",IFERROR(INDEX(Pubs!$G$2:$G$3001,MATCH(G4619,Pubs!$A$2:$A$3001,0))&amp;"",""))</f>
        <v/>
      </c>
      <c r="K4619" s="28" t="str">
        <f aca="false">IF(OR(G4619="",G4619="?"),"",IFERROR(INDEX(Pubs!$E$2:$E$3001,MATCH(G4619,Pubs!$A$2:$A$3001,0)),""))</f>
        <v/>
      </c>
      <c r="L4619" s="29" t="str">
        <f aca="false">IF(A4619="","",IFERROR(1/(1/INDEX(Numéros!$C$2:$C$3001,MATCH(A4619&amp;"|"&amp;B4619,Numéros!$F$2:$F$3001,0))),""))</f>
        <v/>
      </c>
      <c r="M4619" s="27" t="str">
        <f aca="false">IF(OR(G4619="",G4619="?"),"",IFERROR(INDEX(Pubs!$D$2:$D$3001,MATCH(G4619,Pubs!$A$2:$A$3001,0))&amp;"",""))</f>
        <v/>
      </c>
      <c r="N4619" s="27" t="n">
        <f aca="false">N(N4618)+IF(AND(A4619&lt;&gt;"",OR(Recherche!$C$4="",A4619=Recherche!$C$4),OR(Recherche!$C$5="",B4619&amp;""=Recherche!$C$5&amp;""),OR(Recherche!$C$6="",IFERROR(YEAR(L4619),0)=Recherche!$C$6),OR(Recherche!$C$7="",ISNUMBER(SEARCH(Recherche!$C$7,H4619))),OR(Recherche!$C$8="",J4619=Recherche!$C$8),OR(Recherche!$C$9="",I4619=Recherche!$C$9),OR(Recherche!$C$10="",G4619&amp;""=Recherche!$C$10&amp;""),OR(Recherche!$C$11="",E4619=Recherche!$C$11),OR(Recherche!$C$12="",ISNUMBER(SEARCH(Recherche!$C$12,M4619&amp;" "&amp;F4619)))),1,0)</f>
        <v>8</v>
      </c>
    </row>
    <row r="4620" customFormat="false" ht="15" hidden="false" customHeight="false" outlineLevel="0" collapsed="false">
      <c r="A4620" s="19"/>
      <c r="B4620" s="19"/>
      <c r="C4620" s="19"/>
      <c r="D4620" s="19"/>
      <c r="E4620" s="22"/>
      <c r="F4620" s="19"/>
      <c r="G4620" s="26" t="str">
        <f aca="false">IF(D4620="","",IFERROR(VALUE(LEFT(D4620,FIND(" |",D4620&amp;" |")-1)),"?"))</f>
        <v/>
      </c>
      <c r="H4620" s="27" t="str">
        <f aca="false">IF(G4620="","",IF(G4620="?","⚠ pub inconnue",IFERROR(INDEX(Pubs!$B$2:$B$3001,MATCH(G4620,Pubs!$A$2:$A$3001,0))&amp;"","⚠ pub inconnue")))</f>
        <v/>
      </c>
      <c r="I4620" s="27" t="str">
        <f aca="false">IF(OR(G4620="",G4620="?"),"",IFERROR(INDEX(Pubs!$C$2:$C$3001,MATCH(G4620,Pubs!$A$2:$A$3001,0))&amp;"",""))</f>
        <v/>
      </c>
      <c r="J4620" s="27" t="str">
        <f aca="false">IF(OR(G4620="",G4620="?"),"",IFERROR(INDEX(Pubs!$G$2:$G$3001,MATCH(G4620,Pubs!$A$2:$A$3001,0))&amp;"",""))</f>
        <v/>
      </c>
      <c r="K4620" s="28" t="str">
        <f aca="false">IF(OR(G4620="",G4620="?"),"",IFERROR(INDEX(Pubs!$E$2:$E$3001,MATCH(G4620,Pubs!$A$2:$A$3001,0)),""))</f>
        <v/>
      </c>
      <c r="L4620" s="29" t="str">
        <f aca="false">IF(A4620="","",IFERROR(1/(1/INDEX(Numéros!$C$2:$C$3001,MATCH(A4620&amp;"|"&amp;B4620,Numéros!$F$2:$F$3001,0))),""))</f>
        <v/>
      </c>
      <c r="M4620" s="27" t="str">
        <f aca="false">IF(OR(G4620="",G4620="?"),"",IFERROR(INDEX(Pubs!$D$2:$D$3001,MATCH(G4620,Pubs!$A$2:$A$3001,0))&amp;"",""))</f>
        <v/>
      </c>
      <c r="N4620" s="27" t="n">
        <f aca="false">N(N4619)+IF(AND(A4620&lt;&gt;"",OR(Recherche!$C$4="",A4620=Recherche!$C$4),OR(Recherche!$C$5="",B4620&amp;""=Recherche!$C$5&amp;""),OR(Recherche!$C$6="",IFERROR(YEAR(L4620),0)=Recherche!$C$6),OR(Recherche!$C$7="",ISNUMBER(SEARCH(Recherche!$C$7,H4620))),OR(Recherche!$C$8="",J4620=Recherche!$C$8),OR(Recherche!$C$9="",I4620=Recherche!$C$9),OR(Recherche!$C$10="",G4620&amp;""=Recherche!$C$10&amp;""),OR(Recherche!$C$11="",E4620=Recherche!$C$11),OR(Recherche!$C$12="",ISNUMBER(SEARCH(Recherche!$C$12,M4620&amp;" "&amp;F4620)))),1,0)</f>
        <v>8</v>
      </c>
    </row>
    <row r="4621" customFormat="false" ht="15" hidden="false" customHeight="false" outlineLevel="0" collapsed="false">
      <c r="A4621" s="19"/>
      <c r="B4621" s="19"/>
      <c r="C4621" s="19"/>
      <c r="D4621" s="19"/>
      <c r="E4621" s="22"/>
      <c r="F4621" s="19"/>
      <c r="G4621" s="26" t="str">
        <f aca="false">IF(D4621="","",IFERROR(VALUE(LEFT(D4621,FIND(" |",D4621&amp;" |")-1)),"?"))</f>
        <v/>
      </c>
      <c r="H4621" s="27" t="str">
        <f aca="false">IF(G4621="","",IF(G4621="?","⚠ pub inconnue",IFERROR(INDEX(Pubs!$B$2:$B$3001,MATCH(G4621,Pubs!$A$2:$A$3001,0))&amp;"","⚠ pub inconnue")))</f>
        <v/>
      </c>
      <c r="I4621" s="27" t="str">
        <f aca="false">IF(OR(G4621="",G4621="?"),"",IFERROR(INDEX(Pubs!$C$2:$C$3001,MATCH(G4621,Pubs!$A$2:$A$3001,0))&amp;"",""))</f>
        <v/>
      </c>
      <c r="J4621" s="27" t="str">
        <f aca="false">IF(OR(G4621="",G4621="?"),"",IFERROR(INDEX(Pubs!$G$2:$G$3001,MATCH(G4621,Pubs!$A$2:$A$3001,0))&amp;"",""))</f>
        <v/>
      </c>
      <c r="K4621" s="28" t="str">
        <f aca="false">IF(OR(G4621="",G4621="?"),"",IFERROR(INDEX(Pubs!$E$2:$E$3001,MATCH(G4621,Pubs!$A$2:$A$3001,0)),""))</f>
        <v/>
      </c>
      <c r="L4621" s="29" t="str">
        <f aca="false">IF(A4621="","",IFERROR(1/(1/INDEX(Numéros!$C$2:$C$3001,MATCH(A4621&amp;"|"&amp;B4621,Numéros!$F$2:$F$3001,0))),""))</f>
        <v/>
      </c>
      <c r="M4621" s="27" t="str">
        <f aca="false">IF(OR(G4621="",G4621="?"),"",IFERROR(INDEX(Pubs!$D$2:$D$3001,MATCH(G4621,Pubs!$A$2:$A$3001,0))&amp;"",""))</f>
        <v/>
      </c>
      <c r="N4621" s="27" t="n">
        <f aca="false">N(N4620)+IF(AND(A4621&lt;&gt;"",OR(Recherche!$C$4="",A4621=Recherche!$C$4),OR(Recherche!$C$5="",B4621&amp;""=Recherche!$C$5&amp;""),OR(Recherche!$C$6="",IFERROR(YEAR(L4621),0)=Recherche!$C$6),OR(Recherche!$C$7="",ISNUMBER(SEARCH(Recherche!$C$7,H4621))),OR(Recherche!$C$8="",J4621=Recherche!$C$8),OR(Recherche!$C$9="",I4621=Recherche!$C$9),OR(Recherche!$C$10="",G4621&amp;""=Recherche!$C$10&amp;""),OR(Recherche!$C$11="",E4621=Recherche!$C$11),OR(Recherche!$C$12="",ISNUMBER(SEARCH(Recherche!$C$12,M4621&amp;" "&amp;F4621)))),1,0)</f>
        <v>8</v>
      </c>
    </row>
    <row r="4622" customFormat="false" ht="15" hidden="false" customHeight="false" outlineLevel="0" collapsed="false">
      <c r="A4622" s="19"/>
      <c r="B4622" s="19"/>
      <c r="C4622" s="19"/>
      <c r="D4622" s="19"/>
      <c r="E4622" s="22"/>
      <c r="F4622" s="19"/>
      <c r="G4622" s="26" t="str">
        <f aca="false">IF(D4622="","",IFERROR(VALUE(LEFT(D4622,FIND(" |",D4622&amp;" |")-1)),"?"))</f>
        <v/>
      </c>
      <c r="H4622" s="27" t="str">
        <f aca="false">IF(G4622="","",IF(G4622="?","⚠ pub inconnue",IFERROR(INDEX(Pubs!$B$2:$B$3001,MATCH(G4622,Pubs!$A$2:$A$3001,0))&amp;"","⚠ pub inconnue")))</f>
        <v/>
      </c>
      <c r="I4622" s="27" t="str">
        <f aca="false">IF(OR(G4622="",G4622="?"),"",IFERROR(INDEX(Pubs!$C$2:$C$3001,MATCH(G4622,Pubs!$A$2:$A$3001,0))&amp;"",""))</f>
        <v/>
      </c>
      <c r="J4622" s="27" t="str">
        <f aca="false">IF(OR(G4622="",G4622="?"),"",IFERROR(INDEX(Pubs!$G$2:$G$3001,MATCH(G4622,Pubs!$A$2:$A$3001,0))&amp;"",""))</f>
        <v/>
      </c>
      <c r="K4622" s="28" t="str">
        <f aca="false">IF(OR(G4622="",G4622="?"),"",IFERROR(INDEX(Pubs!$E$2:$E$3001,MATCH(G4622,Pubs!$A$2:$A$3001,0)),""))</f>
        <v/>
      </c>
      <c r="L4622" s="29" t="str">
        <f aca="false">IF(A4622="","",IFERROR(1/(1/INDEX(Numéros!$C$2:$C$3001,MATCH(A4622&amp;"|"&amp;B4622,Numéros!$F$2:$F$3001,0))),""))</f>
        <v/>
      </c>
      <c r="M4622" s="27" t="str">
        <f aca="false">IF(OR(G4622="",G4622="?"),"",IFERROR(INDEX(Pubs!$D$2:$D$3001,MATCH(G4622,Pubs!$A$2:$A$3001,0))&amp;"",""))</f>
        <v/>
      </c>
      <c r="N4622" s="27" t="n">
        <f aca="false">N(N4621)+IF(AND(A4622&lt;&gt;"",OR(Recherche!$C$4="",A4622=Recherche!$C$4),OR(Recherche!$C$5="",B4622&amp;""=Recherche!$C$5&amp;""),OR(Recherche!$C$6="",IFERROR(YEAR(L4622),0)=Recherche!$C$6),OR(Recherche!$C$7="",ISNUMBER(SEARCH(Recherche!$C$7,H4622))),OR(Recherche!$C$8="",J4622=Recherche!$C$8),OR(Recherche!$C$9="",I4622=Recherche!$C$9),OR(Recherche!$C$10="",G4622&amp;""=Recherche!$C$10&amp;""),OR(Recherche!$C$11="",E4622=Recherche!$C$11),OR(Recherche!$C$12="",ISNUMBER(SEARCH(Recherche!$C$12,M4622&amp;" "&amp;F4622)))),1,0)</f>
        <v>8</v>
      </c>
    </row>
    <row r="4623" customFormat="false" ht="15" hidden="false" customHeight="false" outlineLevel="0" collapsed="false">
      <c r="A4623" s="19"/>
      <c r="B4623" s="19"/>
      <c r="C4623" s="19"/>
      <c r="D4623" s="19"/>
      <c r="E4623" s="22"/>
      <c r="F4623" s="19"/>
      <c r="G4623" s="26" t="str">
        <f aca="false">IF(D4623="","",IFERROR(VALUE(LEFT(D4623,FIND(" |",D4623&amp;" |")-1)),"?"))</f>
        <v/>
      </c>
      <c r="H4623" s="27" t="str">
        <f aca="false">IF(G4623="","",IF(G4623="?","⚠ pub inconnue",IFERROR(INDEX(Pubs!$B$2:$B$3001,MATCH(G4623,Pubs!$A$2:$A$3001,0))&amp;"","⚠ pub inconnue")))</f>
        <v/>
      </c>
      <c r="I4623" s="27" t="str">
        <f aca="false">IF(OR(G4623="",G4623="?"),"",IFERROR(INDEX(Pubs!$C$2:$C$3001,MATCH(G4623,Pubs!$A$2:$A$3001,0))&amp;"",""))</f>
        <v/>
      </c>
      <c r="J4623" s="27" t="str">
        <f aca="false">IF(OR(G4623="",G4623="?"),"",IFERROR(INDEX(Pubs!$G$2:$G$3001,MATCH(G4623,Pubs!$A$2:$A$3001,0))&amp;"",""))</f>
        <v/>
      </c>
      <c r="K4623" s="28" t="str">
        <f aca="false">IF(OR(G4623="",G4623="?"),"",IFERROR(INDEX(Pubs!$E$2:$E$3001,MATCH(G4623,Pubs!$A$2:$A$3001,0)),""))</f>
        <v/>
      </c>
      <c r="L4623" s="29" t="str">
        <f aca="false">IF(A4623="","",IFERROR(1/(1/INDEX(Numéros!$C$2:$C$3001,MATCH(A4623&amp;"|"&amp;B4623,Numéros!$F$2:$F$3001,0))),""))</f>
        <v/>
      </c>
      <c r="M4623" s="27" t="str">
        <f aca="false">IF(OR(G4623="",G4623="?"),"",IFERROR(INDEX(Pubs!$D$2:$D$3001,MATCH(G4623,Pubs!$A$2:$A$3001,0))&amp;"",""))</f>
        <v/>
      </c>
      <c r="N4623" s="27" t="n">
        <f aca="false">N(N4622)+IF(AND(A4623&lt;&gt;"",OR(Recherche!$C$4="",A4623=Recherche!$C$4),OR(Recherche!$C$5="",B4623&amp;""=Recherche!$C$5&amp;""),OR(Recherche!$C$6="",IFERROR(YEAR(L4623),0)=Recherche!$C$6),OR(Recherche!$C$7="",ISNUMBER(SEARCH(Recherche!$C$7,H4623))),OR(Recherche!$C$8="",J4623=Recherche!$C$8),OR(Recherche!$C$9="",I4623=Recherche!$C$9),OR(Recherche!$C$10="",G4623&amp;""=Recherche!$C$10&amp;""),OR(Recherche!$C$11="",E4623=Recherche!$C$11),OR(Recherche!$C$12="",ISNUMBER(SEARCH(Recherche!$C$12,M4623&amp;" "&amp;F4623)))),1,0)</f>
        <v>8</v>
      </c>
    </row>
    <row r="4624" customFormat="false" ht="15" hidden="false" customHeight="false" outlineLevel="0" collapsed="false">
      <c r="A4624" s="19"/>
      <c r="B4624" s="19"/>
      <c r="C4624" s="19"/>
      <c r="D4624" s="19"/>
      <c r="E4624" s="22"/>
      <c r="F4624" s="19"/>
      <c r="G4624" s="26" t="str">
        <f aca="false">IF(D4624="","",IFERROR(VALUE(LEFT(D4624,FIND(" |",D4624&amp;" |")-1)),"?"))</f>
        <v/>
      </c>
      <c r="H4624" s="27" t="str">
        <f aca="false">IF(G4624="","",IF(G4624="?","⚠ pub inconnue",IFERROR(INDEX(Pubs!$B$2:$B$3001,MATCH(G4624,Pubs!$A$2:$A$3001,0))&amp;"","⚠ pub inconnue")))</f>
        <v/>
      </c>
      <c r="I4624" s="27" t="str">
        <f aca="false">IF(OR(G4624="",G4624="?"),"",IFERROR(INDEX(Pubs!$C$2:$C$3001,MATCH(G4624,Pubs!$A$2:$A$3001,0))&amp;"",""))</f>
        <v/>
      </c>
      <c r="J4624" s="27" t="str">
        <f aca="false">IF(OR(G4624="",G4624="?"),"",IFERROR(INDEX(Pubs!$G$2:$G$3001,MATCH(G4624,Pubs!$A$2:$A$3001,0))&amp;"",""))</f>
        <v/>
      </c>
      <c r="K4624" s="28" t="str">
        <f aca="false">IF(OR(G4624="",G4624="?"),"",IFERROR(INDEX(Pubs!$E$2:$E$3001,MATCH(G4624,Pubs!$A$2:$A$3001,0)),""))</f>
        <v/>
      </c>
      <c r="L4624" s="29" t="str">
        <f aca="false">IF(A4624="","",IFERROR(1/(1/INDEX(Numéros!$C$2:$C$3001,MATCH(A4624&amp;"|"&amp;B4624,Numéros!$F$2:$F$3001,0))),""))</f>
        <v/>
      </c>
      <c r="M4624" s="27" t="str">
        <f aca="false">IF(OR(G4624="",G4624="?"),"",IFERROR(INDEX(Pubs!$D$2:$D$3001,MATCH(G4624,Pubs!$A$2:$A$3001,0))&amp;"",""))</f>
        <v/>
      </c>
      <c r="N4624" s="27" t="n">
        <f aca="false">N(N4623)+IF(AND(A4624&lt;&gt;"",OR(Recherche!$C$4="",A4624=Recherche!$C$4),OR(Recherche!$C$5="",B4624&amp;""=Recherche!$C$5&amp;""),OR(Recherche!$C$6="",IFERROR(YEAR(L4624),0)=Recherche!$C$6),OR(Recherche!$C$7="",ISNUMBER(SEARCH(Recherche!$C$7,H4624))),OR(Recherche!$C$8="",J4624=Recherche!$C$8),OR(Recherche!$C$9="",I4624=Recherche!$C$9),OR(Recherche!$C$10="",G4624&amp;""=Recherche!$C$10&amp;""),OR(Recherche!$C$11="",E4624=Recherche!$C$11),OR(Recherche!$C$12="",ISNUMBER(SEARCH(Recherche!$C$12,M4624&amp;" "&amp;F4624)))),1,0)</f>
        <v>8</v>
      </c>
    </row>
    <row r="4625" customFormat="false" ht="15" hidden="false" customHeight="false" outlineLevel="0" collapsed="false">
      <c r="A4625" s="19"/>
      <c r="B4625" s="19"/>
      <c r="C4625" s="19"/>
      <c r="D4625" s="19"/>
      <c r="E4625" s="22"/>
      <c r="F4625" s="19"/>
      <c r="G4625" s="26" t="str">
        <f aca="false">IF(D4625="","",IFERROR(VALUE(LEFT(D4625,FIND(" |",D4625&amp;" |")-1)),"?"))</f>
        <v/>
      </c>
      <c r="H4625" s="27" t="str">
        <f aca="false">IF(G4625="","",IF(G4625="?","⚠ pub inconnue",IFERROR(INDEX(Pubs!$B$2:$B$3001,MATCH(G4625,Pubs!$A$2:$A$3001,0))&amp;"","⚠ pub inconnue")))</f>
        <v/>
      </c>
      <c r="I4625" s="27" t="str">
        <f aca="false">IF(OR(G4625="",G4625="?"),"",IFERROR(INDEX(Pubs!$C$2:$C$3001,MATCH(G4625,Pubs!$A$2:$A$3001,0))&amp;"",""))</f>
        <v/>
      </c>
      <c r="J4625" s="27" t="str">
        <f aca="false">IF(OR(G4625="",G4625="?"),"",IFERROR(INDEX(Pubs!$G$2:$G$3001,MATCH(G4625,Pubs!$A$2:$A$3001,0))&amp;"",""))</f>
        <v/>
      </c>
      <c r="K4625" s="28" t="str">
        <f aca="false">IF(OR(G4625="",G4625="?"),"",IFERROR(INDEX(Pubs!$E$2:$E$3001,MATCH(G4625,Pubs!$A$2:$A$3001,0)),""))</f>
        <v/>
      </c>
      <c r="L4625" s="29" t="str">
        <f aca="false">IF(A4625="","",IFERROR(1/(1/INDEX(Numéros!$C$2:$C$3001,MATCH(A4625&amp;"|"&amp;B4625,Numéros!$F$2:$F$3001,0))),""))</f>
        <v/>
      </c>
      <c r="M4625" s="27" t="str">
        <f aca="false">IF(OR(G4625="",G4625="?"),"",IFERROR(INDEX(Pubs!$D$2:$D$3001,MATCH(G4625,Pubs!$A$2:$A$3001,0))&amp;"",""))</f>
        <v/>
      </c>
      <c r="N4625" s="27" t="n">
        <f aca="false">N(N4624)+IF(AND(A4625&lt;&gt;"",OR(Recherche!$C$4="",A4625=Recherche!$C$4),OR(Recherche!$C$5="",B4625&amp;""=Recherche!$C$5&amp;""),OR(Recherche!$C$6="",IFERROR(YEAR(L4625),0)=Recherche!$C$6),OR(Recherche!$C$7="",ISNUMBER(SEARCH(Recherche!$C$7,H4625))),OR(Recherche!$C$8="",J4625=Recherche!$C$8),OR(Recherche!$C$9="",I4625=Recherche!$C$9),OR(Recherche!$C$10="",G4625&amp;""=Recherche!$C$10&amp;""),OR(Recherche!$C$11="",E4625=Recherche!$C$11),OR(Recherche!$C$12="",ISNUMBER(SEARCH(Recherche!$C$12,M4625&amp;" "&amp;F4625)))),1,0)</f>
        <v>8</v>
      </c>
    </row>
    <row r="4626" customFormat="false" ht="15" hidden="false" customHeight="false" outlineLevel="0" collapsed="false">
      <c r="A4626" s="19"/>
      <c r="B4626" s="19"/>
      <c r="C4626" s="19"/>
      <c r="D4626" s="19"/>
      <c r="E4626" s="22"/>
      <c r="F4626" s="19"/>
      <c r="G4626" s="26" t="str">
        <f aca="false">IF(D4626="","",IFERROR(VALUE(LEFT(D4626,FIND(" |",D4626&amp;" |")-1)),"?"))</f>
        <v/>
      </c>
      <c r="H4626" s="27" t="str">
        <f aca="false">IF(G4626="","",IF(G4626="?","⚠ pub inconnue",IFERROR(INDEX(Pubs!$B$2:$B$3001,MATCH(G4626,Pubs!$A$2:$A$3001,0))&amp;"","⚠ pub inconnue")))</f>
        <v/>
      </c>
      <c r="I4626" s="27" t="str">
        <f aca="false">IF(OR(G4626="",G4626="?"),"",IFERROR(INDEX(Pubs!$C$2:$C$3001,MATCH(G4626,Pubs!$A$2:$A$3001,0))&amp;"",""))</f>
        <v/>
      </c>
      <c r="J4626" s="27" t="str">
        <f aca="false">IF(OR(G4626="",G4626="?"),"",IFERROR(INDEX(Pubs!$G$2:$G$3001,MATCH(G4626,Pubs!$A$2:$A$3001,0))&amp;"",""))</f>
        <v/>
      </c>
      <c r="K4626" s="28" t="str">
        <f aca="false">IF(OR(G4626="",G4626="?"),"",IFERROR(INDEX(Pubs!$E$2:$E$3001,MATCH(G4626,Pubs!$A$2:$A$3001,0)),""))</f>
        <v/>
      </c>
      <c r="L4626" s="29" t="str">
        <f aca="false">IF(A4626="","",IFERROR(1/(1/INDEX(Numéros!$C$2:$C$3001,MATCH(A4626&amp;"|"&amp;B4626,Numéros!$F$2:$F$3001,0))),""))</f>
        <v/>
      </c>
      <c r="M4626" s="27" t="str">
        <f aca="false">IF(OR(G4626="",G4626="?"),"",IFERROR(INDEX(Pubs!$D$2:$D$3001,MATCH(G4626,Pubs!$A$2:$A$3001,0))&amp;"",""))</f>
        <v/>
      </c>
      <c r="N4626" s="27" t="n">
        <f aca="false">N(N4625)+IF(AND(A4626&lt;&gt;"",OR(Recherche!$C$4="",A4626=Recherche!$C$4),OR(Recherche!$C$5="",B4626&amp;""=Recherche!$C$5&amp;""),OR(Recherche!$C$6="",IFERROR(YEAR(L4626),0)=Recherche!$C$6),OR(Recherche!$C$7="",ISNUMBER(SEARCH(Recherche!$C$7,H4626))),OR(Recherche!$C$8="",J4626=Recherche!$C$8),OR(Recherche!$C$9="",I4626=Recherche!$C$9),OR(Recherche!$C$10="",G4626&amp;""=Recherche!$C$10&amp;""),OR(Recherche!$C$11="",E4626=Recherche!$C$11),OR(Recherche!$C$12="",ISNUMBER(SEARCH(Recherche!$C$12,M4626&amp;" "&amp;F4626)))),1,0)</f>
        <v>8</v>
      </c>
    </row>
    <row r="4627" customFormat="false" ht="15" hidden="false" customHeight="false" outlineLevel="0" collapsed="false">
      <c r="A4627" s="19"/>
      <c r="B4627" s="19"/>
      <c r="C4627" s="19"/>
      <c r="D4627" s="19"/>
      <c r="E4627" s="22"/>
      <c r="F4627" s="19"/>
      <c r="G4627" s="26" t="str">
        <f aca="false">IF(D4627="","",IFERROR(VALUE(LEFT(D4627,FIND(" |",D4627&amp;" |")-1)),"?"))</f>
        <v/>
      </c>
      <c r="H4627" s="27" t="str">
        <f aca="false">IF(G4627="","",IF(G4627="?","⚠ pub inconnue",IFERROR(INDEX(Pubs!$B$2:$B$3001,MATCH(G4627,Pubs!$A$2:$A$3001,0))&amp;"","⚠ pub inconnue")))</f>
        <v/>
      </c>
      <c r="I4627" s="27" t="str">
        <f aca="false">IF(OR(G4627="",G4627="?"),"",IFERROR(INDEX(Pubs!$C$2:$C$3001,MATCH(G4627,Pubs!$A$2:$A$3001,0))&amp;"",""))</f>
        <v/>
      </c>
      <c r="J4627" s="27" t="str">
        <f aca="false">IF(OR(G4627="",G4627="?"),"",IFERROR(INDEX(Pubs!$G$2:$G$3001,MATCH(G4627,Pubs!$A$2:$A$3001,0))&amp;"",""))</f>
        <v/>
      </c>
      <c r="K4627" s="28" t="str">
        <f aca="false">IF(OR(G4627="",G4627="?"),"",IFERROR(INDEX(Pubs!$E$2:$E$3001,MATCH(G4627,Pubs!$A$2:$A$3001,0)),""))</f>
        <v/>
      </c>
      <c r="L4627" s="29" t="str">
        <f aca="false">IF(A4627="","",IFERROR(1/(1/INDEX(Numéros!$C$2:$C$3001,MATCH(A4627&amp;"|"&amp;B4627,Numéros!$F$2:$F$3001,0))),""))</f>
        <v/>
      </c>
      <c r="M4627" s="27" t="str">
        <f aca="false">IF(OR(G4627="",G4627="?"),"",IFERROR(INDEX(Pubs!$D$2:$D$3001,MATCH(G4627,Pubs!$A$2:$A$3001,0))&amp;"",""))</f>
        <v/>
      </c>
      <c r="N4627" s="27" t="n">
        <f aca="false">N(N4626)+IF(AND(A4627&lt;&gt;"",OR(Recherche!$C$4="",A4627=Recherche!$C$4),OR(Recherche!$C$5="",B4627&amp;""=Recherche!$C$5&amp;""),OR(Recherche!$C$6="",IFERROR(YEAR(L4627),0)=Recherche!$C$6),OR(Recherche!$C$7="",ISNUMBER(SEARCH(Recherche!$C$7,H4627))),OR(Recherche!$C$8="",J4627=Recherche!$C$8),OR(Recherche!$C$9="",I4627=Recherche!$C$9),OR(Recherche!$C$10="",G4627&amp;""=Recherche!$C$10&amp;""),OR(Recherche!$C$11="",E4627=Recherche!$C$11),OR(Recherche!$C$12="",ISNUMBER(SEARCH(Recherche!$C$12,M4627&amp;" "&amp;F4627)))),1,0)</f>
        <v>8</v>
      </c>
    </row>
    <row r="4628" customFormat="false" ht="15" hidden="false" customHeight="false" outlineLevel="0" collapsed="false">
      <c r="A4628" s="19"/>
      <c r="B4628" s="19"/>
      <c r="C4628" s="19"/>
      <c r="D4628" s="19"/>
      <c r="E4628" s="22"/>
      <c r="F4628" s="19"/>
      <c r="G4628" s="26" t="str">
        <f aca="false">IF(D4628="","",IFERROR(VALUE(LEFT(D4628,FIND(" |",D4628&amp;" |")-1)),"?"))</f>
        <v/>
      </c>
      <c r="H4628" s="27" t="str">
        <f aca="false">IF(G4628="","",IF(G4628="?","⚠ pub inconnue",IFERROR(INDEX(Pubs!$B$2:$B$3001,MATCH(G4628,Pubs!$A$2:$A$3001,0))&amp;"","⚠ pub inconnue")))</f>
        <v/>
      </c>
      <c r="I4628" s="27" t="str">
        <f aca="false">IF(OR(G4628="",G4628="?"),"",IFERROR(INDEX(Pubs!$C$2:$C$3001,MATCH(G4628,Pubs!$A$2:$A$3001,0))&amp;"",""))</f>
        <v/>
      </c>
      <c r="J4628" s="27" t="str">
        <f aca="false">IF(OR(G4628="",G4628="?"),"",IFERROR(INDEX(Pubs!$G$2:$G$3001,MATCH(G4628,Pubs!$A$2:$A$3001,0))&amp;"",""))</f>
        <v/>
      </c>
      <c r="K4628" s="28" t="str">
        <f aca="false">IF(OR(G4628="",G4628="?"),"",IFERROR(INDEX(Pubs!$E$2:$E$3001,MATCH(G4628,Pubs!$A$2:$A$3001,0)),""))</f>
        <v/>
      </c>
      <c r="L4628" s="29" t="str">
        <f aca="false">IF(A4628="","",IFERROR(1/(1/INDEX(Numéros!$C$2:$C$3001,MATCH(A4628&amp;"|"&amp;B4628,Numéros!$F$2:$F$3001,0))),""))</f>
        <v/>
      </c>
      <c r="M4628" s="27" t="str">
        <f aca="false">IF(OR(G4628="",G4628="?"),"",IFERROR(INDEX(Pubs!$D$2:$D$3001,MATCH(G4628,Pubs!$A$2:$A$3001,0))&amp;"",""))</f>
        <v/>
      </c>
      <c r="N4628" s="27" t="n">
        <f aca="false">N(N4627)+IF(AND(A4628&lt;&gt;"",OR(Recherche!$C$4="",A4628=Recherche!$C$4),OR(Recherche!$C$5="",B4628&amp;""=Recherche!$C$5&amp;""),OR(Recherche!$C$6="",IFERROR(YEAR(L4628),0)=Recherche!$C$6),OR(Recherche!$C$7="",ISNUMBER(SEARCH(Recherche!$C$7,H4628))),OR(Recherche!$C$8="",J4628=Recherche!$C$8),OR(Recherche!$C$9="",I4628=Recherche!$C$9),OR(Recherche!$C$10="",G4628&amp;""=Recherche!$C$10&amp;""),OR(Recherche!$C$11="",E4628=Recherche!$C$11),OR(Recherche!$C$12="",ISNUMBER(SEARCH(Recherche!$C$12,M4628&amp;" "&amp;F4628)))),1,0)</f>
        <v>8</v>
      </c>
    </row>
    <row r="4629" customFormat="false" ht="15" hidden="false" customHeight="false" outlineLevel="0" collapsed="false">
      <c r="A4629" s="19"/>
      <c r="B4629" s="19"/>
      <c r="C4629" s="19"/>
      <c r="D4629" s="19"/>
      <c r="E4629" s="22"/>
      <c r="F4629" s="19"/>
      <c r="G4629" s="26" t="str">
        <f aca="false">IF(D4629="","",IFERROR(VALUE(LEFT(D4629,FIND(" |",D4629&amp;" |")-1)),"?"))</f>
        <v/>
      </c>
      <c r="H4629" s="27" t="str">
        <f aca="false">IF(G4629="","",IF(G4629="?","⚠ pub inconnue",IFERROR(INDEX(Pubs!$B$2:$B$3001,MATCH(G4629,Pubs!$A$2:$A$3001,0))&amp;"","⚠ pub inconnue")))</f>
        <v/>
      </c>
      <c r="I4629" s="27" t="str">
        <f aca="false">IF(OR(G4629="",G4629="?"),"",IFERROR(INDEX(Pubs!$C$2:$C$3001,MATCH(G4629,Pubs!$A$2:$A$3001,0))&amp;"",""))</f>
        <v/>
      </c>
      <c r="J4629" s="27" t="str">
        <f aca="false">IF(OR(G4629="",G4629="?"),"",IFERROR(INDEX(Pubs!$G$2:$G$3001,MATCH(G4629,Pubs!$A$2:$A$3001,0))&amp;"",""))</f>
        <v/>
      </c>
      <c r="K4629" s="28" t="str">
        <f aca="false">IF(OR(G4629="",G4629="?"),"",IFERROR(INDEX(Pubs!$E$2:$E$3001,MATCH(G4629,Pubs!$A$2:$A$3001,0)),""))</f>
        <v/>
      </c>
      <c r="L4629" s="29" t="str">
        <f aca="false">IF(A4629="","",IFERROR(1/(1/INDEX(Numéros!$C$2:$C$3001,MATCH(A4629&amp;"|"&amp;B4629,Numéros!$F$2:$F$3001,0))),""))</f>
        <v/>
      </c>
      <c r="M4629" s="27" t="str">
        <f aca="false">IF(OR(G4629="",G4629="?"),"",IFERROR(INDEX(Pubs!$D$2:$D$3001,MATCH(G4629,Pubs!$A$2:$A$3001,0))&amp;"",""))</f>
        <v/>
      </c>
      <c r="N4629" s="27" t="n">
        <f aca="false">N(N4628)+IF(AND(A4629&lt;&gt;"",OR(Recherche!$C$4="",A4629=Recherche!$C$4),OR(Recherche!$C$5="",B4629&amp;""=Recherche!$C$5&amp;""),OR(Recherche!$C$6="",IFERROR(YEAR(L4629),0)=Recherche!$C$6),OR(Recherche!$C$7="",ISNUMBER(SEARCH(Recherche!$C$7,H4629))),OR(Recherche!$C$8="",J4629=Recherche!$C$8),OR(Recherche!$C$9="",I4629=Recherche!$C$9),OR(Recherche!$C$10="",G4629&amp;""=Recherche!$C$10&amp;""),OR(Recherche!$C$11="",E4629=Recherche!$C$11),OR(Recherche!$C$12="",ISNUMBER(SEARCH(Recherche!$C$12,M4629&amp;" "&amp;F4629)))),1,0)</f>
        <v>8</v>
      </c>
    </row>
    <row r="4630" customFormat="false" ht="15" hidden="false" customHeight="false" outlineLevel="0" collapsed="false">
      <c r="A4630" s="19"/>
      <c r="B4630" s="19"/>
      <c r="C4630" s="19"/>
      <c r="D4630" s="19"/>
      <c r="E4630" s="22"/>
      <c r="F4630" s="19"/>
      <c r="G4630" s="26" t="str">
        <f aca="false">IF(D4630="","",IFERROR(VALUE(LEFT(D4630,FIND(" |",D4630&amp;" |")-1)),"?"))</f>
        <v/>
      </c>
      <c r="H4630" s="27" t="str">
        <f aca="false">IF(G4630="","",IF(G4630="?","⚠ pub inconnue",IFERROR(INDEX(Pubs!$B$2:$B$3001,MATCH(G4630,Pubs!$A$2:$A$3001,0))&amp;"","⚠ pub inconnue")))</f>
        <v/>
      </c>
      <c r="I4630" s="27" t="str">
        <f aca="false">IF(OR(G4630="",G4630="?"),"",IFERROR(INDEX(Pubs!$C$2:$C$3001,MATCH(G4630,Pubs!$A$2:$A$3001,0))&amp;"",""))</f>
        <v/>
      </c>
      <c r="J4630" s="27" t="str">
        <f aca="false">IF(OR(G4630="",G4630="?"),"",IFERROR(INDEX(Pubs!$G$2:$G$3001,MATCH(G4630,Pubs!$A$2:$A$3001,0))&amp;"",""))</f>
        <v/>
      </c>
      <c r="K4630" s="28" t="str">
        <f aca="false">IF(OR(G4630="",G4630="?"),"",IFERROR(INDEX(Pubs!$E$2:$E$3001,MATCH(G4630,Pubs!$A$2:$A$3001,0)),""))</f>
        <v/>
      </c>
      <c r="L4630" s="29" t="str">
        <f aca="false">IF(A4630="","",IFERROR(1/(1/INDEX(Numéros!$C$2:$C$3001,MATCH(A4630&amp;"|"&amp;B4630,Numéros!$F$2:$F$3001,0))),""))</f>
        <v/>
      </c>
      <c r="M4630" s="27" t="str">
        <f aca="false">IF(OR(G4630="",G4630="?"),"",IFERROR(INDEX(Pubs!$D$2:$D$3001,MATCH(G4630,Pubs!$A$2:$A$3001,0))&amp;"",""))</f>
        <v/>
      </c>
      <c r="N4630" s="27" t="n">
        <f aca="false">N(N4629)+IF(AND(A4630&lt;&gt;"",OR(Recherche!$C$4="",A4630=Recherche!$C$4),OR(Recherche!$C$5="",B4630&amp;""=Recherche!$C$5&amp;""),OR(Recherche!$C$6="",IFERROR(YEAR(L4630),0)=Recherche!$C$6),OR(Recherche!$C$7="",ISNUMBER(SEARCH(Recherche!$C$7,H4630))),OR(Recherche!$C$8="",J4630=Recherche!$C$8),OR(Recherche!$C$9="",I4630=Recherche!$C$9),OR(Recherche!$C$10="",G4630&amp;""=Recherche!$C$10&amp;""),OR(Recherche!$C$11="",E4630=Recherche!$C$11),OR(Recherche!$C$12="",ISNUMBER(SEARCH(Recherche!$C$12,M4630&amp;" "&amp;F4630)))),1,0)</f>
        <v>8</v>
      </c>
    </row>
    <row r="4631" customFormat="false" ht="15" hidden="false" customHeight="false" outlineLevel="0" collapsed="false">
      <c r="A4631" s="19"/>
      <c r="B4631" s="19"/>
      <c r="C4631" s="19"/>
      <c r="D4631" s="19"/>
      <c r="E4631" s="22"/>
      <c r="F4631" s="19"/>
      <c r="G4631" s="26" t="str">
        <f aca="false">IF(D4631="","",IFERROR(VALUE(LEFT(D4631,FIND(" |",D4631&amp;" |")-1)),"?"))</f>
        <v/>
      </c>
      <c r="H4631" s="27" t="str">
        <f aca="false">IF(G4631="","",IF(G4631="?","⚠ pub inconnue",IFERROR(INDEX(Pubs!$B$2:$B$3001,MATCH(G4631,Pubs!$A$2:$A$3001,0))&amp;"","⚠ pub inconnue")))</f>
        <v/>
      </c>
      <c r="I4631" s="27" t="str">
        <f aca="false">IF(OR(G4631="",G4631="?"),"",IFERROR(INDEX(Pubs!$C$2:$C$3001,MATCH(G4631,Pubs!$A$2:$A$3001,0))&amp;"",""))</f>
        <v/>
      </c>
      <c r="J4631" s="27" t="str">
        <f aca="false">IF(OR(G4631="",G4631="?"),"",IFERROR(INDEX(Pubs!$G$2:$G$3001,MATCH(G4631,Pubs!$A$2:$A$3001,0))&amp;"",""))</f>
        <v/>
      </c>
      <c r="K4631" s="28" t="str">
        <f aca="false">IF(OR(G4631="",G4631="?"),"",IFERROR(INDEX(Pubs!$E$2:$E$3001,MATCH(G4631,Pubs!$A$2:$A$3001,0)),""))</f>
        <v/>
      </c>
      <c r="L4631" s="29" t="str">
        <f aca="false">IF(A4631="","",IFERROR(1/(1/INDEX(Numéros!$C$2:$C$3001,MATCH(A4631&amp;"|"&amp;B4631,Numéros!$F$2:$F$3001,0))),""))</f>
        <v/>
      </c>
      <c r="M4631" s="27" t="str">
        <f aca="false">IF(OR(G4631="",G4631="?"),"",IFERROR(INDEX(Pubs!$D$2:$D$3001,MATCH(G4631,Pubs!$A$2:$A$3001,0))&amp;"",""))</f>
        <v/>
      </c>
      <c r="N4631" s="27" t="n">
        <f aca="false">N(N4630)+IF(AND(A4631&lt;&gt;"",OR(Recherche!$C$4="",A4631=Recherche!$C$4),OR(Recherche!$C$5="",B4631&amp;""=Recherche!$C$5&amp;""),OR(Recherche!$C$6="",IFERROR(YEAR(L4631),0)=Recherche!$C$6),OR(Recherche!$C$7="",ISNUMBER(SEARCH(Recherche!$C$7,H4631))),OR(Recherche!$C$8="",J4631=Recherche!$C$8),OR(Recherche!$C$9="",I4631=Recherche!$C$9),OR(Recherche!$C$10="",G4631&amp;""=Recherche!$C$10&amp;""),OR(Recherche!$C$11="",E4631=Recherche!$C$11),OR(Recherche!$C$12="",ISNUMBER(SEARCH(Recherche!$C$12,M4631&amp;" "&amp;F4631)))),1,0)</f>
        <v>8</v>
      </c>
    </row>
    <row r="4632" customFormat="false" ht="15" hidden="false" customHeight="false" outlineLevel="0" collapsed="false">
      <c r="A4632" s="19"/>
      <c r="B4632" s="19"/>
      <c r="C4632" s="19"/>
      <c r="D4632" s="19"/>
      <c r="E4632" s="22"/>
      <c r="F4632" s="19"/>
      <c r="G4632" s="26" t="str">
        <f aca="false">IF(D4632="","",IFERROR(VALUE(LEFT(D4632,FIND(" |",D4632&amp;" |")-1)),"?"))</f>
        <v/>
      </c>
      <c r="H4632" s="27" t="str">
        <f aca="false">IF(G4632="","",IF(G4632="?","⚠ pub inconnue",IFERROR(INDEX(Pubs!$B$2:$B$3001,MATCH(G4632,Pubs!$A$2:$A$3001,0))&amp;"","⚠ pub inconnue")))</f>
        <v/>
      </c>
      <c r="I4632" s="27" t="str">
        <f aca="false">IF(OR(G4632="",G4632="?"),"",IFERROR(INDEX(Pubs!$C$2:$C$3001,MATCH(G4632,Pubs!$A$2:$A$3001,0))&amp;"",""))</f>
        <v/>
      </c>
      <c r="J4632" s="27" t="str">
        <f aca="false">IF(OR(G4632="",G4632="?"),"",IFERROR(INDEX(Pubs!$G$2:$G$3001,MATCH(G4632,Pubs!$A$2:$A$3001,0))&amp;"",""))</f>
        <v/>
      </c>
      <c r="K4632" s="28" t="str">
        <f aca="false">IF(OR(G4632="",G4632="?"),"",IFERROR(INDEX(Pubs!$E$2:$E$3001,MATCH(G4632,Pubs!$A$2:$A$3001,0)),""))</f>
        <v/>
      </c>
      <c r="L4632" s="29" t="str">
        <f aca="false">IF(A4632="","",IFERROR(1/(1/INDEX(Numéros!$C$2:$C$3001,MATCH(A4632&amp;"|"&amp;B4632,Numéros!$F$2:$F$3001,0))),""))</f>
        <v/>
      </c>
      <c r="M4632" s="27" t="str">
        <f aca="false">IF(OR(G4632="",G4632="?"),"",IFERROR(INDEX(Pubs!$D$2:$D$3001,MATCH(G4632,Pubs!$A$2:$A$3001,0))&amp;"",""))</f>
        <v/>
      </c>
      <c r="N4632" s="27" t="n">
        <f aca="false">N(N4631)+IF(AND(A4632&lt;&gt;"",OR(Recherche!$C$4="",A4632=Recherche!$C$4),OR(Recherche!$C$5="",B4632&amp;""=Recherche!$C$5&amp;""),OR(Recherche!$C$6="",IFERROR(YEAR(L4632),0)=Recherche!$C$6),OR(Recherche!$C$7="",ISNUMBER(SEARCH(Recherche!$C$7,H4632))),OR(Recherche!$C$8="",J4632=Recherche!$C$8),OR(Recherche!$C$9="",I4632=Recherche!$C$9),OR(Recherche!$C$10="",G4632&amp;""=Recherche!$C$10&amp;""),OR(Recherche!$C$11="",E4632=Recherche!$C$11),OR(Recherche!$C$12="",ISNUMBER(SEARCH(Recherche!$C$12,M4632&amp;" "&amp;F4632)))),1,0)</f>
        <v>8</v>
      </c>
    </row>
    <row r="4633" customFormat="false" ht="15" hidden="false" customHeight="false" outlineLevel="0" collapsed="false">
      <c r="A4633" s="19"/>
      <c r="B4633" s="19"/>
      <c r="C4633" s="19"/>
      <c r="D4633" s="19"/>
      <c r="E4633" s="22"/>
      <c r="F4633" s="19"/>
      <c r="G4633" s="26" t="str">
        <f aca="false">IF(D4633="","",IFERROR(VALUE(LEFT(D4633,FIND(" |",D4633&amp;" |")-1)),"?"))</f>
        <v/>
      </c>
      <c r="H4633" s="27" t="str">
        <f aca="false">IF(G4633="","",IF(G4633="?","⚠ pub inconnue",IFERROR(INDEX(Pubs!$B$2:$B$3001,MATCH(G4633,Pubs!$A$2:$A$3001,0))&amp;"","⚠ pub inconnue")))</f>
        <v/>
      </c>
      <c r="I4633" s="27" t="str">
        <f aca="false">IF(OR(G4633="",G4633="?"),"",IFERROR(INDEX(Pubs!$C$2:$C$3001,MATCH(G4633,Pubs!$A$2:$A$3001,0))&amp;"",""))</f>
        <v/>
      </c>
      <c r="J4633" s="27" t="str">
        <f aca="false">IF(OR(G4633="",G4633="?"),"",IFERROR(INDEX(Pubs!$G$2:$G$3001,MATCH(G4633,Pubs!$A$2:$A$3001,0))&amp;"",""))</f>
        <v/>
      </c>
      <c r="K4633" s="28" t="str">
        <f aca="false">IF(OR(G4633="",G4633="?"),"",IFERROR(INDEX(Pubs!$E$2:$E$3001,MATCH(G4633,Pubs!$A$2:$A$3001,0)),""))</f>
        <v/>
      </c>
      <c r="L4633" s="29" t="str">
        <f aca="false">IF(A4633="","",IFERROR(1/(1/INDEX(Numéros!$C$2:$C$3001,MATCH(A4633&amp;"|"&amp;B4633,Numéros!$F$2:$F$3001,0))),""))</f>
        <v/>
      </c>
      <c r="M4633" s="27" t="str">
        <f aca="false">IF(OR(G4633="",G4633="?"),"",IFERROR(INDEX(Pubs!$D$2:$D$3001,MATCH(G4633,Pubs!$A$2:$A$3001,0))&amp;"",""))</f>
        <v/>
      </c>
      <c r="N4633" s="27" t="n">
        <f aca="false">N(N4632)+IF(AND(A4633&lt;&gt;"",OR(Recherche!$C$4="",A4633=Recherche!$C$4),OR(Recherche!$C$5="",B4633&amp;""=Recherche!$C$5&amp;""),OR(Recherche!$C$6="",IFERROR(YEAR(L4633),0)=Recherche!$C$6),OR(Recherche!$C$7="",ISNUMBER(SEARCH(Recherche!$C$7,H4633))),OR(Recherche!$C$8="",J4633=Recherche!$C$8),OR(Recherche!$C$9="",I4633=Recherche!$C$9),OR(Recherche!$C$10="",G4633&amp;""=Recherche!$C$10&amp;""),OR(Recherche!$C$11="",E4633=Recherche!$C$11),OR(Recherche!$C$12="",ISNUMBER(SEARCH(Recherche!$C$12,M4633&amp;" "&amp;F4633)))),1,0)</f>
        <v>8</v>
      </c>
    </row>
    <row r="4634" customFormat="false" ht="15" hidden="false" customHeight="false" outlineLevel="0" collapsed="false">
      <c r="A4634" s="19"/>
      <c r="B4634" s="19"/>
      <c r="C4634" s="19"/>
      <c r="D4634" s="19"/>
      <c r="E4634" s="22"/>
      <c r="F4634" s="19"/>
      <c r="G4634" s="26" t="str">
        <f aca="false">IF(D4634="","",IFERROR(VALUE(LEFT(D4634,FIND(" |",D4634&amp;" |")-1)),"?"))</f>
        <v/>
      </c>
      <c r="H4634" s="27" t="str">
        <f aca="false">IF(G4634="","",IF(G4634="?","⚠ pub inconnue",IFERROR(INDEX(Pubs!$B$2:$B$3001,MATCH(G4634,Pubs!$A$2:$A$3001,0))&amp;"","⚠ pub inconnue")))</f>
        <v/>
      </c>
      <c r="I4634" s="27" t="str">
        <f aca="false">IF(OR(G4634="",G4634="?"),"",IFERROR(INDEX(Pubs!$C$2:$C$3001,MATCH(G4634,Pubs!$A$2:$A$3001,0))&amp;"",""))</f>
        <v/>
      </c>
      <c r="J4634" s="27" t="str">
        <f aca="false">IF(OR(G4634="",G4634="?"),"",IFERROR(INDEX(Pubs!$G$2:$G$3001,MATCH(G4634,Pubs!$A$2:$A$3001,0))&amp;"",""))</f>
        <v/>
      </c>
      <c r="K4634" s="28" t="str">
        <f aca="false">IF(OR(G4634="",G4634="?"),"",IFERROR(INDEX(Pubs!$E$2:$E$3001,MATCH(G4634,Pubs!$A$2:$A$3001,0)),""))</f>
        <v/>
      </c>
      <c r="L4634" s="29" t="str">
        <f aca="false">IF(A4634="","",IFERROR(1/(1/INDEX(Numéros!$C$2:$C$3001,MATCH(A4634&amp;"|"&amp;B4634,Numéros!$F$2:$F$3001,0))),""))</f>
        <v/>
      </c>
      <c r="M4634" s="27" t="str">
        <f aca="false">IF(OR(G4634="",G4634="?"),"",IFERROR(INDEX(Pubs!$D$2:$D$3001,MATCH(G4634,Pubs!$A$2:$A$3001,0))&amp;"",""))</f>
        <v/>
      </c>
      <c r="N4634" s="27" t="n">
        <f aca="false">N(N4633)+IF(AND(A4634&lt;&gt;"",OR(Recherche!$C$4="",A4634=Recherche!$C$4),OR(Recherche!$C$5="",B4634&amp;""=Recherche!$C$5&amp;""),OR(Recherche!$C$6="",IFERROR(YEAR(L4634),0)=Recherche!$C$6),OR(Recherche!$C$7="",ISNUMBER(SEARCH(Recherche!$C$7,H4634))),OR(Recherche!$C$8="",J4634=Recherche!$C$8),OR(Recherche!$C$9="",I4634=Recherche!$C$9),OR(Recherche!$C$10="",G4634&amp;""=Recherche!$C$10&amp;""),OR(Recherche!$C$11="",E4634=Recherche!$C$11),OR(Recherche!$C$12="",ISNUMBER(SEARCH(Recherche!$C$12,M4634&amp;" "&amp;F4634)))),1,0)</f>
        <v>8</v>
      </c>
    </row>
    <row r="4635" customFormat="false" ht="15" hidden="false" customHeight="false" outlineLevel="0" collapsed="false">
      <c r="A4635" s="19"/>
      <c r="B4635" s="19"/>
      <c r="C4635" s="19"/>
      <c r="D4635" s="19"/>
      <c r="E4635" s="22"/>
      <c r="F4635" s="19"/>
      <c r="G4635" s="26" t="str">
        <f aca="false">IF(D4635="","",IFERROR(VALUE(LEFT(D4635,FIND(" |",D4635&amp;" |")-1)),"?"))</f>
        <v/>
      </c>
      <c r="H4635" s="27" t="str">
        <f aca="false">IF(G4635="","",IF(G4635="?","⚠ pub inconnue",IFERROR(INDEX(Pubs!$B$2:$B$3001,MATCH(G4635,Pubs!$A$2:$A$3001,0))&amp;"","⚠ pub inconnue")))</f>
        <v/>
      </c>
      <c r="I4635" s="27" t="str">
        <f aca="false">IF(OR(G4635="",G4635="?"),"",IFERROR(INDEX(Pubs!$C$2:$C$3001,MATCH(G4635,Pubs!$A$2:$A$3001,0))&amp;"",""))</f>
        <v/>
      </c>
      <c r="J4635" s="27" t="str">
        <f aca="false">IF(OR(G4635="",G4635="?"),"",IFERROR(INDEX(Pubs!$G$2:$G$3001,MATCH(G4635,Pubs!$A$2:$A$3001,0))&amp;"",""))</f>
        <v/>
      </c>
      <c r="K4635" s="28" t="str">
        <f aca="false">IF(OR(G4635="",G4635="?"),"",IFERROR(INDEX(Pubs!$E$2:$E$3001,MATCH(G4635,Pubs!$A$2:$A$3001,0)),""))</f>
        <v/>
      </c>
      <c r="L4635" s="29" t="str">
        <f aca="false">IF(A4635="","",IFERROR(1/(1/INDEX(Numéros!$C$2:$C$3001,MATCH(A4635&amp;"|"&amp;B4635,Numéros!$F$2:$F$3001,0))),""))</f>
        <v/>
      </c>
      <c r="M4635" s="27" t="str">
        <f aca="false">IF(OR(G4635="",G4635="?"),"",IFERROR(INDEX(Pubs!$D$2:$D$3001,MATCH(G4635,Pubs!$A$2:$A$3001,0))&amp;"",""))</f>
        <v/>
      </c>
      <c r="N4635" s="27" t="n">
        <f aca="false">N(N4634)+IF(AND(A4635&lt;&gt;"",OR(Recherche!$C$4="",A4635=Recherche!$C$4),OR(Recherche!$C$5="",B4635&amp;""=Recherche!$C$5&amp;""),OR(Recherche!$C$6="",IFERROR(YEAR(L4635),0)=Recherche!$C$6),OR(Recherche!$C$7="",ISNUMBER(SEARCH(Recherche!$C$7,H4635))),OR(Recherche!$C$8="",J4635=Recherche!$C$8),OR(Recherche!$C$9="",I4635=Recherche!$C$9),OR(Recherche!$C$10="",G4635&amp;""=Recherche!$C$10&amp;""),OR(Recherche!$C$11="",E4635=Recherche!$C$11),OR(Recherche!$C$12="",ISNUMBER(SEARCH(Recherche!$C$12,M4635&amp;" "&amp;F4635)))),1,0)</f>
        <v>8</v>
      </c>
    </row>
    <row r="4636" customFormat="false" ht="15" hidden="false" customHeight="false" outlineLevel="0" collapsed="false">
      <c r="A4636" s="19"/>
      <c r="B4636" s="19"/>
      <c r="C4636" s="19"/>
      <c r="D4636" s="19"/>
      <c r="E4636" s="22"/>
      <c r="F4636" s="19"/>
      <c r="G4636" s="26" t="str">
        <f aca="false">IF(D4636="","",IFERROR(VALUE(LEFT(D4636,FIND(" |",D4636&amp;" |")-1)),"?"))</f>
        <v/>
      </c>
      <c r="H4636" s="27" t="str">
        <f aca="false">IF(G4636="","",IF(G4636="?","⚠ pub inconnue",IFERROR(INDEX(Pubs!$B$2:$B$3001,MATCH(G4636,Pubs!$A$2:$A$3001,0))&amp;"","⚠ pub inconnue")))</f>
        <v/>
      </c>
      <c r="I4636" s="27" t="str">
        <f aca="false">IF(OR(G4636="",G4636="?"),"",IFERROR(INDEX(Pubs!$C$2:$C$3001,MATCH(G4636,Pubs!$A$2:$A$3001,0))&amp;"",""))</f>
        <v/>
      </c>
      <c r="J4636" s="27" t="str">
        <f aca="false">IF(OR(G4636="",G4636="?"),"",IFERROR(INDEX(Pubs!$G$2:$G$3001,MATCH(G4636,Pubs!$A$2:$A$3001,0))&amp;"",""))</f>
        <v/>
      </c>
      <c r="K4636" s="28" t="str">
        <f aca="false">IF(OR(G4636="",G4636="?"),"",IFERROR(INDEX(Pubs!$E$2:$E$3001,MATCH(G4636,Pubs!$A$2:$A$3001,0)),""))</f>
        <v/>
      </c>
      <c r="L4636" s="29" t="str">
        <f aca="false">IF(A4636="","",IFERROR(1/(1/INDEX(Numéros!$C$2:$C$3001,MATCH(A4636&amp;"|"&amp;B4636,Numéros!$F$2:$F$3001,0))),""))</f>
        <v/>
      </c>
      <c r="M4636" s="27" t="str">
        <f aca="false">IF(OR(G4636="",G4636="?"),"",IFERROR(INDEX(Pubs!$D$2:$D$3001,MATCH(G4636,Pubs!$A$2:$A$3001,0))&amp;"",""))</f>
        <v/>
      </c>
      <c r="N4636" s="27" t="n">
        <f aca="false">N(N4635)+IF(AND(A4636&lt;&gt;"",OR(Recherche!$C$4="",A4636=Recherche!$C$4),OR(Recherche!$C$5="",B4636&amp;""=Recherche!$C$5&amp;""),OR(Recherche!$C$6="",IFERROR(YEAR(L4636),0)=Recherche!$C$6),OR(Recherche!$C$7="",ISNUMBER(SEARCH(Recherche!$C$7,H4636))),OR(Recherche!$C$8="",J4636=Recherche!$C$8),OR(Recherche!$C$9="",I4636=Recherche!$C$9),OR(Recherche!$C$10="",G4636&amp;""=Recherche!$C$10&amp;""),OR(Recherche!$C$11="",E4636=Recherche!$C$11),OR(Recherche!$C$12="",ISNUMBER(SEARCH(Recherche!$C$12,M4636&amp;" "&amp;F4636)))),1,0)</f>
        <v>8</v>
      </c>
    </row>
    <row r="4637" customFormat="false" ht="15" hidden="false" customHeight="false" outlineLevel="0" collapsed="false">
      <c r="A4637" s="19"/>
      <c r="B4637" s="19"/>
      <c r="C4637" s="19"/>
      <c r="D4637" s="19"/>
      <c r="E4637" s="22"/>
      <c r="F4637" s="19"/>
      <c r="G4637" s="26" t="str">
        <f aca="false">IF(D4637="","",IFERROR(VALUE(LEFT(D4637,FIND(" |",D4637&amp;" |")-1)),"?"))</f>
        <v/>
      </c>
      <c r="H4637" s="27" t="str">
        <f aca="false">IF(G4637="","",IF(G4637="?","⚠ pub inconnue",IFERROR(INDEX(Pubs!$B$2:$B$3001,MATCH(G4637,Pubs!$A$2:$A$3001,0))&amp;"","⚠ pub inconnue")))</f>
        <v/>
      </c>
      <c r="I4637" s="27" t="str">
        <f aca="false">IF(OR(G4637="",G4637="?"),"",IFERROR(INDEX(Pubs!$C$2:$C$3001,MATCH(G4637,Pubs!$A$2:$A$3001,0))&amp;"",""))</f>
        <v/>
      </c>
      <c r="J4637" s="27" t="str">
        <f aca="false">IF(OR(G4637="",G4637="?"),"",IFERROR(INDEX(Pubs!$G$2:$G$3001,MATCH(G4637,Pubs!$A$2:$A$3001,0))&amp;"",""))</f>
        <v/>
      </c>
      <c r="K4637" s="28" t="str">
        <f aca="false">IF(OR(G4637="",G4637="?"),"",IFERROR(INDEX(Pubs!$E$2:$E$3001,MATCH(G4637,Pubs!$A$2:$A$3001,0)),""))</f>
        <v/>
      </c>
      <c r="L4637" s="29" t="str">
        <f aca="false">IF(A4637="","",IFERROR(1/(1/INDEX(Numéros!$C$2:$C$3001,MATCH(A4637&amp;"|"&amp;B4637,Numéros!$F$2:$F$3001,0))),""))</f>
        <v/>
      </c>
      <c r="M4637" s="27" t="str">
        <f aca="false">IF(OR(G4637="",G4637="?"),"",IFERROR(INDEX(Pubs!$D$2:$D$3001,MATCH(G4637,Pubs!$A$2:$A$3001,0))&amp;"",""))</f>
        <v/>
      </c>
      <c r="N4637" s="27" t="n">
        <f aca="false">N(N4636)+IF(AND(A4637&lt;&gt;"",OR(Recherche!$C$4="",A4637=Recherche!$C$4),OR(Recherche!$C$5="",B4637&amp;""=Recherche!$C$5&amp;""),OR(Recherche!$C$6="",IFERROR(YEAR(L4637),0)=Recherche!$C$6),OR(Recherche!$C$7="",ISNUMBER(SEARCH(Recherche!$C$7,H4637))),OR(Recherche!$C$8="",J4637=Recherche!$C$8),OR(Recherche!$C$9="",I4637=Recherche!$C$9),OR(Recherche!$C$10="",G4637&amp;""=Recherche!$C$10&amp;""),OR(Recherche!$C$11="",E4637=Recherche!$C$11),OR(Recherche!$C$12="",ISNUMBER(SEARCH(Recherche!$C$12,M4637&amp;" "&amp;F4637)))),1,0)</f>
        <v>8</v>
      </c>
    </row>
    <row r="4638" customFormat="false" ht="15" hidden="false" customHeight="false" outlineLevel="0" collapsed="false">
      <c r="A4638" s="19"/>
      <c r="B4638" s="19"/>
      <c r="C4638" s="19"/>
      <c r="D4638" s="19"/>
      <c r="E4638" s="22"/>
      <c r="F4638" s="19"/>
      <c r="G4638" s="26" t="str">
        <f aca="false">IF(D4638="","",IFERROR(VALUE(LEFT(D4638,FIND(" |",D4638&amp;" |")-1)),"?"))</f>
        <v/>
      </c>
      <c r="H4638" s="27" t="str">
        <f aca="false">IF(G4638="","",IF(G4638="?","⚠ pub inconnue",IFERROR(INDEX(Pubs!$B$2:$B$3001,MATCH(G4638,Pubs!$A$2:$A$3001,0))&amp;"","⚠ pub inconnue")))</f>
        <v/>
      </c>
      <c r="I4638" s="27" t="str">
        <f aca="false">IF(OR(G4638="",G4638="?"),"",IFERROR(INDEX(Pubs!$C$2:$C$3001,MATCH(G4638,Pubs!$A$2:$A$3001,0))&amp;"",""))</f>
        <v/>
      </c>
      <c r="J4638" s="27" t="str">
        <f aca="false">IF(OR(G4638="",G4638="?"),"",IFERROR(INDEX(Pubs!$G$2:$G$3001,MATCH(G4638,Pubs!$A$2:$A$3001,0))&amp;"",""))</f>
        <v/>
      </c>
      <c r="K4638" s="28" t="str">
        <f aca="false">IF(OR(G4638="",G4638="?"),"",IFERROR(INDEX(Pubs!$E$2:$E$3001,MATCH(G4638,Pubs!$A$2:$A$3001,0)),""))</f>
        <v/>
      </c>
      <c r="L4638" s="29" t="str">
        <f aca="false">IF(A4638="","",IFERROR(1/(1/INDEX(Numéros!$C$2:$C$3001,MATCH(A4638&amp;"|"&amp;B4638,Numéros!$F$2:$F$3001,0))),""))</f>
        <v/>
      </c>
      <c r="M4638" s="27" t="str">
        <f aca="false">IF(OR(G4638="",G4638="?"),"",IFERROR(INDEX(Pubs!$D$2:$D$3001,MATCH(G4638,Pubs!$A$2:$A$3001,0))&amp;"",""))</f>
        <v/>
      </c>
      <c r="N4638" s="27" t="n">
        <f aca="false">N(N4637)+IF(AND(A4638&lt;&gt;"",OR(Recherche!$C$4="",A4638=Recherche!$C$4),OR(Recherche!$C$5="",B4638&amp;""=Recherche!$C$5&amp;""),OR(Recherche!$C$6="",IFERROR(YEAR(L4638),0)=Recherche!$C$6),OR(Recherche!$C$7="",ISNUMBER(SEARCH(Recherche!$C$7,H4638))),OR(Recherche!$C$8="",J4638=Recherche!$C$8),OR(Recherche!$C$9="",I4638=Recherche!$C$9),OR(Recherche!$C$10="",G4638&amp;""=Recherche!$C$10&amp;""),OR(Recherche!$C$11="",E4638=Recherche!$C$11),OR(Recherche!$C$12="",ISNUMBER(SEARCH(Recherche!$C$12,M4638&amp;" "&amp;F4638)))),1,0)</f>
        <v>8</v>
      </c>
    </row>
    <row r="4639" customFormat="false" ht="15" hidden="false" customHeight="false" outlineLevel="0" collapsed="false">
      <c r="A4639" s="19"/>
      <c r="B4639" s="19"/>
      <c r="C4639" s="19"/>
      <c r="D4639" s="19"/>
      <c r="E4639" s="22"/>
      <c r="F4639" s="19"/>
      <c r="G4639" s="26" t="str">
        <f aca="false">IF(D4639="","",IFERROR(VALUE(LEFT(D4639,FIND(" |",D4639&amp;" |")-1)),"?"))</f>
        <v/>
      </c>
      <c r="H4639" s="27" t="str">
        <f aca="false">IF(G4639="","",IF(G4639="?","⚠ pub inconnue",IFERROR(INDEX(Pubs!$B$2:$B$3001,MATCH(G4639,Pubs!$A$2:$A$3001,0))&amp;"","⚠ pub inconnue")))</f>
        <v/>
      </c>
      <c r="I4639" s="27" t="str">
        <f aca="false">IF(OR(G4639="",G4639="?"),"",IFERROR(INDEX(Pubs!$C$2:$C$3001,MATCH(G4639,Pubs!$A$2:$A$3001,0))&amp;"",""))</f>
        <v/>
      </c>
      <c r="J4639" s="27" t="str">
        <f aca="false">IF(OR(G4639="",G4639="?"),"",IFERROR(INDEX(Pubs!$G$2:$G$3001,MATCH(G4639,Pubs!$A$2:$A$3001,0))&amp;"",""))</f>
        <v/>
      </c>
      <c r="K4639" s="28" t="str">
        <f aca="false">IF(OR(G4639="",G4639="?"),"",IFERROR(INDEX(Pubs!$E$2:$E$3001,MATCH(G4639,Pubs!$A$2:$A$3001,0)),""))</f>
        <v/>
      </c>
      <c r="L4639" s="29" t="str">
        <f aca="false">IF(A4639="","",IFERROR(1/(1/INDEX(Numéros!$C$2:$C$3001,MATCH(A4639&amp;"|"&amp;B4639,Numéros!$F$2:$F$3001,0))),""))</f>
        <v/>
      </c>
      <c r="M4639" s="27" t="str">
        <f aca="false">IF(OR(G4639="",G4639="?"),"",IFERROR(INDEX(Pubs!$D$2:$D$3001,MATCH(G4639,Pubs!$A$2:$A$3001,0))&amp;"",""))</f>
        <v/>
      </c>
      <c r="N4639" s="27" t="n">
        <f aca="false">N(N4638)+IF(AND(A4639&lt;&gt;"",OR(Recherche!$C$4="",A4639=Recherche!$C$4),OR(Recherche!$C$5="",B4639&amp;""=Recherche!$C$5&amp;""),OR(Recherche!$C$6="",IFERROR(YEAR(L4639),0)=Recherche!$C$6),OR(Recherche!$C$7="",ISNUMBER(SEARCH(Recherche!$C$7,H4639))),OR(Recherche!$C$8="",J4639=Recherche!$C$8),OR(Recherche!$C$9="",I4639=Recherche!$C$9),OR(Recherche!$C$10="",G4639&amp;""=Recherche!$C$10&amp;""),OR(Recherche!$C$11="",E4639=Recherche!$C$11),OR(Recherche!$C$12="",ISNUMBER(SEARCH(Recherche!$C$12,M4639&amp;" "&amp;F4639)))),1,0)</f>
        <v>8</v>
      </c>
    </row>
    <row r="4640" customFormat="false" ht="15" hidden="false" customHeight="false" outlineLevel="0" collapsed="false">
      <c r="A4640" s="19"/>
      <c r="B4640" s="19"/>
      <c r="C4640" s="19"/>
      <c r="D4640" s="19"/>
      <c r="E4640" s="22"/>
      <c r="F4640" s="19"/>
      <c r="G4640" s="26" t="str">
        <f aca="false">IF(D4640="","",IFERROR(VALUE(LEFT(D4640,FIND(" |",D4640&amp;" |")-1)),"?"))</f>
        <v/>
      </c>
      <c r="H4640" s="27" t="str">
        <f aca="false">IF(G4640="","",IF(G4640="?","⚠ pub inconnue",IFERROR(INDEX(Pubs!$B$2:$B$3001,MATCH(G4640,Pubs!$A$2:$A$3001,0))&amp;"","⚠ pub inconnue")))</f>
        <v/>
      </c>
      <c r="I4640" s="27" t="str">
        <f aca="false">IF(OR(G4640="",G4640="?"),"",IFERROR(INDEX(Pubs!$C$2:$C$3001,MATCH(G4640,Pubs!$A$2:$A$3001,0))&amp;"",""))</f>
        <v/>
      </c>
      <c r="J4640" s="27" t="str">
        <f aca="false">IF(OR(G4640="",G4640="?"),"",IFERROR(INDEX(Pubs!$G$2:$G$3001,MATCH(G4640,Pubs!$A$2:$A$3001,0))&amp;"",""))</f>
        <v/>
      </c>
      <c r="K4640" s="28" t="str">
        <f aca="false">IF(OR(G4640="",G4640="?"),"",IFERROR(INDEX(Pubs!$E$2:$E$3001,MATCH(G4640,Pubs!$A$2:$A$3001,0)),""))</f>
        <v/>
      </c>
      <c r="L4640" s="29" t="str">
        <f aca="false">IF(A4640="","",IFERROR(1/(1/INDEX(Numéros!$C$2:$C$3001,MATCH(A4640&amp;"|"&amp;B4640,Numéros!$F$2:$F$3001,0))),""))</f>
        <v/>
      </c>
      <c r="M4640" s="27" t="str">
        <f aca="false">IF(OR(G4640="",G4640="?"),"",IFERROR(INDEX(Pubs!$D$2:$D$3001,MATCH(G4640,Pubs!$A$2:$A$3001,0))&amp;"",""))</f>
        <v/>
      </c>
      <c r="N4640" s="27" t="n">
        <f aca="false">N(N4639)+IF(AND(A4640&lt;&gt;"",OR(Recherche!$C$4="",A4640=Recherche!$C$4),OR(Recherche!$C$5="",B4640&amp;""=Recherche!$C$5&amp;""),OR(Recherche!$C$6="",IFERROR(YEAR(L4640),0)=Recherche!$C$6),OR(Recherche!$C$7="",ISNUMBER(SEARCH(Recherche!$C$7,H4640))),OR(Recherche!$C$8="",J4640=Recherche!$C$8),OR(Recherche!$C$9="",I4640=Recherche!$C$9),OR(Recherche!$C$10="",G4640&amp;""=Recherche!$C$10&amp;""),OR(Recherche!$C$11="",E4640=Recherche!$C$11),OR(Recherche!$C$12="",ISNUMBER(SEARCH(Recherche!$C$12,M4640&amp;" "&amp;F4640)))),1,0)</f>
        <v>8</v>
      </c>
    </row>
    <row r="4641" customFormat="false" ht="15" hidden="false" customHeight="false" outlineLevel="0" collapsed="false">
      <c r="A4641" s="19"/>
      <c r="B4641" s="19"/>
      <c r="C4641" s="19"/>
      <c r="D4641" s="19"/>
      <c r="E4641" s="22"/>
      <c r="F4641" s="19"/>
      <c r="G4641" s="26" t="str">
        <f aca="false">IF(D4641="","",IFERROR(VALUE(LEFT(D4641,FIND(" |",D4641&amp;" |")-1)),"?"))</f>
        <v/>
      </c>
      <c r="H4641" s="27" t="str">
        <f aca="false">IF(G4641="","",IF(G4641="?","⚠ pub inconnue",IFERROR(INDEX(Pubs!$B$2:$B$3001,MATCH(G4641,Pubs!$A$2:$A$3001,0))&amp;"","⚠ pub inconnue")))</f>
        <v/>
      </c>
      <c r="I4641" s="27" t="str">
        <f aca="false">IF(OR(G4641="",G4641="?"),"",IFERROR(INDEX(Pubs!$C$2:$C$3001,MATCH(G4641,Pubs!$A$2:$A$3001,0))&amp;"",""))</f>
        <v/>
      </c>
      <c r="J4641" s="27" t="str">
        <f aca="false">IF(OR(G4641="",G4641="?"),"",IFERROR(INDEX(Pubs!$G$2:$G$3001,MATCH(G4641,Pubs!$A$2:$A$3001,0))&amp;"",""))</f>
        <v/>
      </c>
      <c r="K4641" s="28" t="str">
        <f aca="false">IF(OR(G4641="",G4641="?"),"",IFERROR(INDEX(Pubs!$E$2:$E$3001,MATCH(G4641,Pubs!$A$2:$A$3001,0)),""))</f>
        <v/>
      </c>
      <c r="L4641" s="29" t="str">
        <f aca="false">IF(A4641="","",IFERROR(1/(1/INDEX(Numéros!$C$2:$C$3001,MATCH(A4641&amp;"|"&amp;B4641,Numéros!$F$2:$F$3001,0))),""))</f>
        <v/>
      </c>
      <c r="M4641" s="27" t="str">
        <f aca="false">IF(OR(G4641="",G4641="?"),"",IFERROR(INDEX(Pubs!$D$2:$D$3001,MATCH(G4641,Pubs!$A$2:$A$3001,0))&amp;"",""))</f>
        <v/>
      </c>
      <c r="N4641" s="27" t="n">
        <f aca="false">N(N4640)+IF(AND(A4641&lt;&gt;"",OR(Recherche!$C$4="",A4641=Recherche!$C$4),OR(Recherche!$C$5="",B4641&amp;""=Recherche!$C$5&amp;""),OR(Recherche!$C$6="",IFERROR(YEAR(L4641),0)=Recherche!$C$6),OR(Recherche!$C$7="",ISNUMBER(SEARCH(Recherche!$C$7,H4641))),OR(Recherche!$C$8="",J4641=Recherche!$C$8),OR(Recherche!$C$9="",I4641=Recherche!$C$9),OR(Recherche!$C$10="",G4641&amp;""=Recherche!$C$10&amp;""),OR(Recherche!$C$11="",E4641=Recherche!$C$11),OR(Recherche!$C$12="",ISNUMBER(SEARCH(Recherche!$C$12,M4641&amp;" "&amp;F4641)))),1,0)</f>
        <v>8</v>
      </c>
    </row>
    <row r="4642" customFormat="false" ht="15" hidden="false" customHeight="false" outlineLevel="0" collapsed="false">
      <c r="A4642" s="19"/>
      <c r="B4642" s="19"/>
      <c r="C4642" s="19"/>
      <c r="D4642" s="19"/>
      <c r="E4642" s="22"/>
      <c r="F4642" s="19"/>
      <c r="G4642" s="26" t="str">
        <f aca="false">IF(D4642="","",IFERROR(VALUE(LEFT(D4642,FIND(" |",D4642&amp;" |")-1)),"?"))</f>
        <v/>
      </c>
      <c r="H4642" s="27" t="str">
        <f aca="false">IF(G4642="","",IF(G4642="?","⚠ pub inconnue",IFERROR(INDEX(Pubs!$B$2:$B$3001,MATCH(G4642,Pubs!$A$2:$A$3001,0))&amp;"","⚠ pub inconnue")))</f>
        <v/>
      </c>
      <c r="I4642" s="27" t="str">
        <f aca="false">IF(OR(G4642="",G4642="?"),"",IFERROR(INDEX(Pubs!$C$2:$C$3001,MATCH(G4642,Pubs!$A$2:$A$3001,0))&amp;"",""))</f>
        <v/>
      </c>
      <c r="J4642" s="27" t="str">
        <f aca="false">IF(OR(G4642="",G4642="?"),"",IFERROR(INDEX(Pubs!$G$2:$G$3001,MATCH(G4642,Pubs!$A$2:$A$3001,0))&amp;"",""))</f>
        <v/>
      </c>
      <c r="K4642" s="28" t="str">
        <f aca="false">IF(OR(G4642="",G4642="?"),"",IFERROR(INDEX(Pubs!$E$2:$E$3001,MATCH(G4642,Pubs!$A$2:$A$3001,0)),""))</f>
        <v/>
      </c>
      <c r="L4642" s="29" t="str">
        <f aca="false">IF(A4642="","",IFERROR(1/(1/INDEX(Numéros!$C$2:$C$3001,MATCH(A4642&amp;"|"&amp;B4642,Numéros!$F$2:$F$3001,0))),""))</f>
        <v/>
      </c>
      <c r="M4642" s="27" t="str">
        <f aca="false">IF(OR(G4642="",G4642="?"),"",IFERROR(INDEX(Pubs!$D$2:$D$3001,MATCH(G4642,Pubs!$A$2:$A$3001,0))&amp;"",""))</f>
        <v/>
      </c>
      <c r="N4642" s="27" t="n">
        <f aca="false">N(N4641)+IF(AND(A4642&lt;&gt;"",OR(Recherche!$C$4="",A4642=Recherche!$C$4),OR(Recherche!$C$5="",B4642&amp;""=Recherche!$C$5&amp;""),OR(Recherche!$C$6="",IFERROR(YEAR(L4642),0)=Recherche!$C$6),OR(Recherche!$C$7="",ISNUMBER(SEARCH(Recherche!$C$7,H4642))),OR(Recherche!$C$8="",J4642=Recherche!$C$8),OR(Recherche!$C$9="",I4642=Recherche!$C$9),OR(Recherche!$C$10="",G4642&amp;""=Recherche!$C$10&amp;""),OR(Recherche!$C$11="",E4642=Recherche!$C$11),OR(Recherche!$C$12="",ISNUMBER(SEARCH(Recherche!$C$12,M4642&amp;" "&amp;F4642)))),1,0)</f>
        <v>8</v>
      </c>
    </row>
    <row r="4643" customFormat="false" ht="15" hidden="false" customHeight="false" outlineLevel="0" collapsed="false">
      <c r="A4643" s="19"/>
      <c r="B4643" s="19"/>
      <c r="C4643" s="19"/>
      <c r="D4643" s="19"/>
      <c r="E4643" s="22"/>
      <c r="F4643" s="19"/>
      <c r="G4643" s="26" t="str">
        <f aca="false">IF(D4643="","",IFERROR(VALUE(LEFT(D4643,FIND(" |",D4643&amp;" |")-1)),"?"))</f>
        <v/>
      </c>
      <c r="H4643" s="27" t="str">
        <f aca="false">IF(G4643="","",IF(G4643="?","⚠ pub inconnue",IFERROR(INDEX(Pubs!$B$2:$B$3001,MATCH(G4643,Pubs!$A$2:$A$3001,0))&amp;"","⚠ pub inconnue")))</f>
        <v/>
      </c>
      <c r="I4643" s="27" t="str">
        <f aca="false">IF(OR(G4643="",G4643="?"),"",IFERROR(INDEX(Pubs!$C$2:$C$3001,MATCH(G4643,Pubs!$A$2:$A$3001,0))&amp;"",""))</f>
        <v/>
      </c>
      <c r="J4643" s="27" t="str">
        <f aca="false">IF(OR(G4643="",G4643="?"),"",IFERROR(INDEX(Pubs!$G$2:$G$3001,MATCH(G4643,Pubs!$A$2:$A$3001,0))&amp;"",""))</f>
        <v/>
      </c>
      <c r="K4643" s="28" t="str">
        <f aca="false">IF(OR(G4643="",G4643="?"),"",IFERROR(INDEX(Pubs!$E$2:$E$3001,MATCH(G4643,Pubs!$A$2:$A$3001,0)),""))</f>
        <v/>
      </c>
      <c r="L4643" s="29" t="str">
        <f aca="false">IF(A4643="","",IFERROR(1/(1/INDEX(Numéros!$C$2:$C$3001,MATCH(A4643&amp;"|"&amp;B4643,Numéros!$F$2:$F$3001,0))),""))</f>
        <v/>
      </c>
      <c r="M4643" s="27" t="str">
        <f aca="false">IF(OR(G4643="",G4643="?"),"",IFERROR(INDEX(Pubs!$D$2:$D$3001,MATCH(G4643,Pubs!$A$2:$A$3001,0))&amp;"",""))</f>
        <v/>
      </c>
      <c r="N4643" s="27" t="n">
        <f aca="false">N(N4642)+IF(AND(A4643&lt;&gt;"",OR(Recherche!$C$4="",A4643=Recherche!$C$4),OR(Recherche!$C$5="",B4643&amp;""=Recherche!$C$5&amp;""),OR(Recherche!$C$6="",IFERROR(YEAR(L4643),0)=Recherche!$C$6),OR(Recherche!$C$7="",ISNUMBER(SEARCH(Recherche!$C$7,H4643))),OR(Recherche!$C$8="",J4643=Recherche!$C$8),OR(Recherche!$C$9="",I4643=Recherche!$C$9),OR(Recherche!$C$10="",G4643&amp;""=Recherche!$C$10&amp;""),OR(Recherche!$C$11="",E4643=Recherche!$C$11),OR(Recherche!$C$12="",ISNUMBER(SEARCH(Recherche!$C$12,M4643&amp;" "&amp;F4643)))),1,0)</f>
        <v>8</v>
      </c>
    </row>
    <row r="4644" customFormat="false" ht="15" hidden="false" customHeight="false" outlineLevel="0" collapsed="false">
      <c r="A4644" s="19"/>
      <c r="B4644" s="19"/>
      <c r="C4644" s="19"/>
      <c r="D4644" s="19"/>
      <c r="E4644" s="22"/>
      <c r="F4644" s="19"/>
      <c r="G4644" s="26" t="str">
        <f aca="false">IF(D4644="","",IFERROR(VALUE(LEFT(D4644,FIND(" |",D4644&amp;" |")-1)),"?"))</f>
        <v/>
      </c>
      <c r="H4644" s="27" t="str">
        <f aca="false">IF(G4644="","",IF(G4644="?","⚠ pub inconnue",IFERROR(INDEX(Pubs!$B$2:$B$3001,MATCH(G4644,Pubs!$A$2:$A$3001,0))&amp;"","⚠ pub inconnue")))</f>
        <v/>
      </c>
      <c r="I4644" s="27" t="str">
        <f aca="false">IF(OR(G4644="",G4644="?"),"",IFERROR(INDEX(Pubs!$C$2:$C$3001,MATCH(G4644,Pubs!$A$2:$A$3001,0))&amp;"",""))</f>
        <v/>
      </c>
      <c r="J4644" s="27" t="str">
        <f aca="false">IF(OR(G4644="",G4644="?"),"",IFERROR(INDEX(Pubs!$G$2:$G$3001,MATCH(G4644,Pubs!$A$2:$A$3001,0))&amp;"",""))</f>
        <v/>
      </c>
      <c r="K4644" s="28" t="str">
        <f aca="false">IF(OR(G4644="",G4644="?"),"",IFERROR(INDEX(Pubs!$E$2:$E$3001,MATCH(G4644,Pubs!$A$2:$A$3001,0)),""))</f>
        <v/>
      </c>
      <c r="L4644" s="29" t="str">
        <f aca="false">IF(A4644="","",IFERROR(1/(1/INDEX(Numéros!$C$2:$C$3001,MATCH(A4644&amp;"|"&amp;B4644,Numéros!$F$2:$F$3001,0))),""))</f>
        <v/>
      </c>
      <c r="M4644" s="27" t="str">
        <f aca="false">IF(OR(G4644="",G4644="?"),"",IFERROR(INDEX(Pubs!$D$2:$D$3001,MATCH(G4644,Pubs!$A$2:$A$3001,0))&amp;"",""))</f>
        <v/>
      </c>
      <c r="N4644" s="27" t="n">
        <f aca="false">N(N4643)+IF(AND(A4644&lt;&gt;"",OR(Recherche!$C$4="",A4644=Recherche!$C$4),OR(Recherche!$C$5="",B4644&amp;""=Recherche!$C$5&amp;""),OR(Recherche!$C$6="",IFERROR(YEAR(L4644),0)=Recherche!$C$6),OR(Recherche!$C$7="",ISNUMBER(SEARCH(Recherche!$C$7,H4644))),OR(Recherche!$C$8="",J4644=Recherche!$C$8),OR(Recherche!$C$9="",I4644=Recherche!$C$9),OR(Recherche!$C$10="",G4644&amp;""=Recherche!$C$10&amp;""),OR(Recherche!$C$11="",E4644=Recherche!$C$11),OR(Recherche!$C$12="",ISNUMBER(SEARCH(Recherche!$C$12,M4644&amp;" "&amp;F4644)))),1,0)</f>
        <v>8</v>
      </c>
    </row>
    <row r="4645" customFormat="false" ht="15" hidden="false" customHeight="false" outlineLevel="0" collapsed="false">
      <c r="A4645" s="19"/>
      <c r="B4645" s="19"/>
      <c r="C4645" s="19"/>
      <c r="D4645" s="19"/>
      <c r="E4645" s="22"/>
      <c r="F4645" s="19"/>
      <c r="G4645" s="26" t="str">
        <f aca="false">IF(D4645="","",IFERROR(VALUE(LEFT(D4645,FIND(" |",D4645&amp;" |")-1)),"?"))</f>
        <v/>
      </c>
      <c r="H4645" s="27" t="str">
        <f aca="false">IF(G4645="","",IF(G4645="?","⚠ pub inconnue",IFERROR(INDEX(Pubs!$B$2:$B$3001,MATCH(G4645,Pubs!$A$2:$A$3001,0))&amp;"","⚠ pub inconnue")))</f>
        <v/>
      </c>
      <c r="I4645" s="27" t="str">
        <f aca="false">IF(OR(G4645="",G4645="?"),"",IFERROR(INDEX(Pubs!$C$2:$C$3001,MATCH(G4645,Pubs!$A$2:$A$3001,0))&amp;"",""))</f>
        <v/>
      </c>
      <c r="J4645" s="27" t="str">
        <f aca="false">IF(OR(G4645="",G4645="?"),"",IFERROR(INDEX(Pubs!$G$2:$G$3001,MATCH(G4645,Pubs!$A$2:$A$3001,0))&amp;"",""))</f>
        <v/>
      </c>
      <c r="K4645" s="28" t="str">
        <f aca="false">IF(OR(G4645="",G4645="?"),"",IFERROR(INDEX(Pubs!$E$2:$E$3001,MATCH(G4645,Pubs!$A$2:$A$3001,0)),""))</f>
        <v/>
      </c>
      <c r="L4645" s="29" t="str">
        <f aca="false">IF(A4645="","",IFERROR(1/(1/INDEX(Numéros!$C$2:$C$3001,MATCH(A4645&amp;"|"&amp;B4645,Numéros!$F$2:$F$3001,0))),""))</f>
        <v/>
      </c>
      <c r="M4645" s="27" t="str">
        <f aca="false">IF(OR(G4645="",G4645="?"),"",IFERROR(INDEX(Pubs!$D$2:$D$3001,MATCH(G4645,Pubs!$A$2:$A$3001,0))&amp;"",""))</f>
        <v/>
      </c>
      <c r="N4645" s="27" t="n">
        <f aca="false">N(N4644)+IF(AND(A4645&lt;&gt;"",OR(Recherche!$C$4="",A4645=Recherche!$C$4),OR(Recherche!$C$5="",B4645&amp;""=Recherche!$C$5&amp;""),OR(Recherche!$C$6="",IFERROR(YEAR(L4645),0)=Recherche!$C$6),OR(Recherche!$C$7="",ISNUMBER(SEARCH(Recherche!$C$7,H4645))),OR(Recherche!$C$8="",J4645=Recherche!$C$8),OR(Recherche!$C$9="",I4645=Recherche!$C$9),OR(Recherche!$C$10="",G4645&amp;""=Recherche!$C$10&amp;""),OR(Recherche!$C$11="",E4645=Recherche!$C$11),OR(Recherche!$C$12="",ISNUMBER(SEARCH(Recherche!$C$12,M4645&amp;" "&amp;F4645)))),1,0)</f>
        <v>8</v>
      </c>
    </row>
    <row r="4646" customFormat="false" ht="15" hidden="false" customHeight="false" outlineLevel="0" collapsed="false">
      <c r="A4646" s="19"/>
      <c r="B4646" s="19"/>
      <c r="C4646" s="19"/>
      <c r="D4646" s="19"/>
      <c r="E4646" s="22"/>
      <c r="F4646" s="19"/>
      <c r="G4646" s="26" t="str">
        <f aca="false">IF(D4646="","",IFERROR(VALUE(LEFT(D4646,FIND(" |",D4646&amp;" |")-1)),"?"))</f>
        <v/>
      </c>
      <c r="H4646" s="27" t="str">
        <f aca="false">IF(G4646="","",IF(G4646="?","⚠ pub inconnue",IFERROR(INDEX(Pubs!$B$2:$B$3001,MATCH(G4646,Pubs!$A$2:$A$3001,0))&amp;"","⚠ pub inconnue")))</f>
        <v/>
      </c>
      <c r="I4646" s="27" t="str">
        <f aca="false">IF(OR(G4646="",G4646="?"),"",IFERROR(INDEX(Pubs!$C$2:$C$3001,MATCH(G4646,Pubs!$A$2:$A$3001,0))&amp;"",""))</f>
        <v/>
      </c>
      <c r="J4646" s="27" t="str">
        <f aca="false">IF(OR(G4646="",G4646="?"),"",IFERROR(INDEX(Pubs!$G$2:$G$3001,MATCH(G4646,Pubs!$A$2:$A$3001,0))&amp;"",""))</f>
        <v/>
      </c>
      <c r="K4646" s="28" t="str">
        <f aca="false">IF(OR(G4646="",G4646="?"),"",IFERROR(INDEX(Pubs!$E$2:$E$3001,MATCH(G4646,Pubs!$A$2:$A$3001,0)),""))</f>
        <v/>
      </c>
      <c r="L4646" s="29" t="str">
        <f aca="false">IF(A4646="","",IFERROR(1/(1/INDEX(Numéros!$C$2:$C$3001,MATCH(A4646&amp;"|"&amp;B4646,Numéros!$F$2:$F$3001,0))),""))</f>
        <v/>
      </c>
      <c r="M4646" s="27" t="str">
        <f aca="false">IF(OR(G4646="",G4646="?"),"",IFERROR(INDEX(Pubs!$D$2:$D$3001,MATCH(G4646,Pubs!$A$2:$A$3001,0))&amp;"",""))</f>
        <v/>
      </c>
      <c r="N4646" s="27" t="n">
        <f aca="false">N(N4645)+IF(AND(A4646&lt;&gt;"",OR(Recherche!$C$4="",A4646=Recherche!$C$4),OR(Recherche!$C$5="",B4646&amp;""=Recherche!$C$5&amp;""),OR(Recherche!$C$6="",IFERROR(YEAR(L4646),0)=Recherche!$C$6),OR(Recherche!$C$7="",ISNUMBER(SEARCH(Recherche!$C$7,H4646))),OR(Recherche!$C$8="",J4646=Recherche!$C$8),OR(Recherche!$C$9="",I4646=Recherche!$C$9),OR(Recherche!$C$10="",G4646&amp;""=Recherche!$C$10&amp;""),OR(Recherche!$C$11="",E4646=Recherche!$C$11),OR(Recherche!$C$12="",ISNUMBER(SEARCH(Recherche!$C$12,M4646&amp;" "&amp;F4646)))),1,0)</f>
        <v>8</v>
      </c>
    </row>
    <row r="4647" customFormat="false" ht="15" hidden="false" customHeight="false" outlineLevel="0" collapsed="false">
      <c r="A4647" s="19"/>
      <c r="B4647" s="19"/>
      <c r="C4647" s="19"/>
      <c r="D4647" s="19"/>
      <c r="E4647" s="22"/>
      <c r="F4647" s="19"/>
      <c r="G4647" s="26" t="str">
        <f aca="false">IF(D4647="","",IFERROR(VALUE(LEFT(D4647,FIND(" |",D4647&amp;" |")-1)),"?"))</f>
        <v/>
      </c>
      <c r="H4647" s="27" t="str">
        <f aca="false">IF(G4647="","",IF(G4647="?","⚠ pub inconnue",IFERROR(INDEX(Pubs!$B$2:$B$3001,MATCH(G4647,Pubs!$A$2:$A$3001,0))&amp;"","⚠ pub inconnue")))</f>
        <v/>
      </c>
      <c r="I4647" s="27" t="str">
        <f aca="false">IF(OR(G4647="",G4647="?"),"",IFERROR(INDEX(Pubs!$C$2:$C$3001,MATCH(G4647,Pubs!$A$2:$A$3001,0))&amp;"",""))</f>
        <v/>
      </c>
      <c r="J4647" s="27" t="str">
        <f aca="false">IF(OR(G4647="",G4647="?"),"",IFERROR(INDEX(Pubs!$G$2:$G$3001,MATCH(G4647,Pubs!$A$2:$A$3001,0))&amp;"",""))</f>
        <v/>
      </c>
      <c r="K4647" s="28" t="str">
        <f aca="false">IF(OR(G4647="",G4647="?"),"",IFERROR(INDEX(Pubs!$E$2:$E$3001,MATCH(G4647,Pubs!$A$2:$A$3001,0)),""))</f>
        <v/>
      </c>
      <c r="L4647" s="29" t="str">
        <f aca="false">IF(A4647="","",IFERROR(1/(1/INDEX(Numéros!$C$2:$C$3001,MATCH(A4647&amp;"|"&amp;B4647,Numéros!$F$2:$F$3001,0))),""))</f>
        <v/>
      </c>
      <c r="M4647" s="27" t="str">
        <f aca="false">IF(OR(G4647="",G4647="?"),"",IFERROR(INDEX(Pubs!$D$2:$D$3001,MATCH(G4647,Pubs!$A$2:$A$3001,0))&amp;"",""))</f>
        <v/>
      </c>
      <c r="N4647" s="27" t="n">
        <f aca="false">N(N4646)+IF(AND(A4647&lt;&gt;"",OR(Recherche!$C$4="",A4647=Recherche!$C$4),OR(Recherche!$C$5="",B4647&amp;""=Recherche!$C$5&amp;""),OR(Recherche!$C$6="",IFERROR(YEAR(L4647),0)=Recherche!$C$6),OR(Recherche!$C$7="",ISNUMBER(SEARCH(Recherche!$C$7,H4647))),OR(Recherche!$C$8="",J4647=Recherche!$C$8),OR(Recherche!$C$9="",I4647=Recherche!$C$9),OR(Recherche!$C$10="",G4647&amp;""=Recherche!$C$10&amp;""),OR(Recherche!$C$11="",E4647=Recherche!$C$11),OR(Recherche!$C$12="",ISNUMBER(SEARCH(Recherche!$C$12,M4647&amp;" "&amp;F4647)))),1,0)</f>
        <v>8</v>
      </c>
    </row>
    <row r="4648" customFormat="false" ht="15" hidden="false" customHeight="false" outlineLevel="0" collapsed="false">
      <c r="A4648" s="19"/>
      <c r="B4648" s="19"/>
      <c r="C4648" s="19"/>
      <c r="D4648" s="19"/>
      <c r="E4648" s="22"/>
      <c r="F4648" s="19"/>
      <c r="G4648" s="26" t="str">
        <f aca="false">IF(D4648="","",IFERROR(VALUE(LEFT(D4648,FIND(" |",D4648&amp;" |")-1)),"?"))</f>
        <v/>
      </c>
      <c r="H4648" s="27" t="str">
        <f aca="false">IF(G4648="","",IF(G4648="?","⚠ pub inconnue",IFERROR(INDEX(Pubs!$B$2:$B$3001,MATCH(G4648,Pubs!$A$2:$A$3001,0))&amp;"","⚠ pub inconnue")))</f>
        <v/>
      </c>
      <c r="I4648" s="27" t="str">
        <f aca="false">IF(OR(G4648="",G4648="?"),"",IFERROR(INDEX(Pubs!$C$2:$C$3001,MATCH(G4648,Pubs!$A$2:$A$3001,0))&amp;"",""))</f>
        <v/>
      </c>
      <c r="J4648" s="27" t="str">
        <f aca="false">IF(OR(G4648="",G4648="?"),"",IFERROR(INDEX(Pubs!$G$2:$G$3001,MATCH(G4648,Pubs!$A$2:$A$3001,0))&amp;"",""))</f>
        <v/>
      </c>
      <c r="K4648" s="28" t="str">
        <f aca="false">IF(OR(G4648="",G4648="?"),"",IFERROR(INDEX(Pubs!$E$2:$E$3001,MATCH(G4648,Pubs!$A$2:$A$3001,0)),""))</f>
        <v/>
      </c>
      <c r="L4648" s="29" t="str">
        <f aca="false">IF(A4648="","",IFERROR(1/(1/INDEX(Numéros!$C$2:$C$3001,MATCH(A4648&amp;"|"&amp;B4648,Numéros!$F$2:$F$3001,0))),""))</f>
        <v/>
      </c>
      <c r="M4648" s="27" t="str">
        <f aca="false">IF(OR(G4648="",G4648="?"),"",IFERROR(INDEX(Pubs!$D$2:$D$3001,MATCH(G4648,Pubs!$A$2:$A$3001,0))&amp;"",""))</f>
        <v/>
      </c>
      <c r="N4648" s="27" t="n">
        <f aca="false">N(N4647)+IF(AND(A4648&lt;&gt;"",OR(Recherche!$C$4="",A4648=Recherche!$C$4),OR(Recherche!$C$5="",B4648&amp;""=Recherche!$C$5&amp;""),OR(Recherche!$C$6="",IFERROR(YEAR(L4648),0)=Recherche!$C$6),OR(Recherche!$C$7="",ISNUMBER(SEARCH(Recherche!$C$7,H4648))),OR(Recherche!$C$8="",J4648=Recherche!$C$8),OR(Recherche!$C$9="",I4648=Recherche!$C$9),OR(Recherche!$C$10="",G4648&amp;""=Recherche!$C$10&amp;""),OR(Recherche!$C$11="",E4648=Recherche!$C$11),OR(Recherche!$C$12="",ISNUMBER(SEARCH(Recherche!$C$12,M4648&amp;" "&amp;F4648)))),1,0)</f>
        <v>8</v>
      </c>
    </row>
    <row r="4649" customFormat="false" ht="15" hidden="false" customHeight="false" outlineLevel="0" collapsed="false">
      <c r="A4649" s="19"/>
      <c r="B4649" s="19"/>
      <c r="C4649" s="19"/>
      <c r="D4649" s="19"/>
      <c r="E4649" s="22"/>
      <c r="F4649" s="19"/>
      <c r="G4649" s="26" t="str">
        <f aca="false">IF(D4649="","",IFERROR(VALUE(LEFT(D4649,FIND(" |",D4649&amp;" |")-1)),"?"))</f>
        <v/>
      </c>
      <c r="H4649" s="27" t="str">
        <f aca="false">IF(G4649="","",IF(G4649="?","⚠ pub inconnue",IFERROR(INDEX(Pubs!$B$2:$B$3001,MATCH(G4649,Pubs!$A$2:$A$3001,0))&amp;"","⚠ pub inconnue")))</f>
        <v/>
      </c>
      <c r="I4649" s="27" t="str">
        <f aca="false">IF(OR(G4649="",G4649="?"),"",IFERROR(INDEX(Pubs!$C$2:$C$3001,MATCH(G4649,Pubs!$A$2:$A$3001,0))&amp;"",""))</f>
        <v/>
      </c>
      <c r="J4649" s="27" t="str">
        <f aca="false">IF(OR(G4649="",G4649="?"),"",IFERROR(INDEX(Pubs!$G$2:$G$3001,MATCH(G4649,Pubs!$A$2:$A$3001,0))&amp;"",""))</f>
        <v/>
      </c>
      <c r="K4649" s="28" t="str">
        <f aca="false">IF(OR(G4649="",G4649="?"),"",IFERROR(INDEX(Pubs!$E$2:$E$3001,MATCH(G4649,Pubs!$A$2:$A$3001,0)),""))</f>
        <v/>
      </c>
      <c r="L4649" s="29" t="str">
        <f aca="false">IF(A4649="","",IFERROR(1/(1/INDEX(Numéros!$C$2:$C$3001,MATCH(A4649&amp;"|"&amp;B4649,Numéros!$F$2:$F$3001,0))),""))</f>
        <v/>
      </c>
      <c r="M4649" s="27" t="str">
        <f aca="false">IF(OR(G4649="",G4649="?"),"",IFERROR(INDEX(Pubs!$D$2:$D$3001,MATCH(G4649,Pubs!$A$2:$A$3001,0))&amp;"",""))</f>
        <v/>
      </c>
      <c r="N4649" s="27" t="n">
        <f aca="false">N(N4648)+IF(AND(A4649&lt;&gt;"",OR(Recherche!$C$4="",A4649=Recherche!$C$4),OR(Recherche!$C$5="",B4649&amp;""=Recherche!$C$5&amp;""),OR(Recherche!$C$6="",IFERROR(YEAR(L4649),0)=Recherche!$C$6),OR(Recherche!$C$7="",ISNUMBER(SEARCH(Recherche!$C$7,H4649))),OR(Recherche!$C$8="",J4649=Recherche!$C$8),OR(Recherche!$C$9="",I4649=Recherche!$C$9),OR(Recherche!$C$10="",G4649&amp;""=Recherche!$C$10&amp;""),OR(Recherche!$C$11="",E4649=Recherche!$C$11),OR(Recherche!$C$12="",ISNUMBER(SEARCH(Recherche!$C$12,M4649&amp;" "&amp;F4649)))),1,0)</f>
        <v>8</v>
      </c>
    </row>
    <row r="4650" customFormat="false" ht="15" hidden="false" customHeight="false" outlineLevel="0" collapsed="false">
      <c r="A4650" s="19"/>
      <c r="B4650" s="19"/>
      <c r="C4650" s="19"/>
      <c r="D4650" s="19"/>
      <c r="E4650" s="22"/>
      <c r="F4650" s="19"/>
      <c r="G4650" s="26" t="str">
        <f aca="false">IF(D4650="","",IFERROR(VALUE(LEFT(D4650,FIND(" |",D4650&amp;" |")-1)),"?"))</f>
        <v/>
      </c>
      <c r="H4650" s="27" t="str">
        <f aca="false">IF(G4650="","",IF(G4650="?","⚠ pub inconnue",IFERROR(INDEX(Pubs!$B$2:$B$3001,MATCH(G4650,Pubs!$A$2:$A$3001,0))&amp;"","⚠ pub inconnue")))</f>
        <v/>
      </c>
      <c r="I4650" s="27" t="str">
        <f aca="false">IF(OR(G4650="",G4650="?"),"",IFERROR(INDEX(Pubs!$C$2:$C$3001,MATCH(G4650,Pubs!$A$2:$A$3001,0))&amp;"",""))</f>
        <v/>
      </c>
      <c r="J4650" s="27" t="str">
        <f aca="false">IF(OR(G4650="",G4650="?"),"",IFERROR(INDEX(Pubs!$G$2:$G$3001,MATCH(G4650,Pubs!$A$2:$A$3001,0))&amp;"",""))</f>
        <v/>
      </c>
      <c r="K4650" s="28" t="str">
        <f aca="false">IF(OR(G4650="",G4650="?"),"",IFERROR(INDEX(Pubs!$E$2:$E$3001,MATCH(G4650,Pubs!$A$2:$A$3001,0)),""))</f>
        <v/>
      </c>
      <c r="L4650" s="29" t="str">
        <f aca="false">IF(A4650="","",IFERROR(1/(1/INDEX(Numéros!$C$2:$C$3001,MATCH(A4650&amp;"|"&amp;B4650,Numéros!$F$2:$F$3001,0))),""))</f>
        <v/>
      </c>
      <c r="M4650" s="27" t="str">
        <f aca="false">IF(OR(G4650="",G4650="?"),"",IFERROR(INDEX(Pubs!$D$2:$D$3001,MATCH(G4650,Pubs!$A$2:$A$3001,0))&amp;"",""))</f>
        <v/>
      </c>
      <c r="N4650" s="27" t="n">
        <f aca="false">N(N4649)+IF(AND(A4650&lt;&gt;"",OR(Recherche!$C$4="",A4650=Recherche!$C$4),OR(Recherche!$C$5="",B4650&amp;""=Recherche!$C$5&amp;""),OR(Recherche!$C$6="",IFERROR(YEAR(L4650),0)=Recherche!$C$6),OR(Recherche!$C$7="",ISNUMBER(SEARCH(Recherche!$C$7,H4650))),OR(Recherche!$C$8="",J4650=Recherche!$C$8),OR(Recherche!$C$9="",I4650=Recherche!$C$9),OR(Recherche!$C$10="",G4650&amp;""=Recherche!$C$10&amp;""),OR(Recherche!$C$11="",E4650=Recherche!$C$11),OR(Recherche!$C$12="",ISNUMBER(SEARCH(Recherche!$C$12,M4650&amp;" "&amp;F4650)))),1,0)</f>
        <v>8</v>
      </c>
    </row>
    <row r="4651" customFormat="false" ht="15" hidden="false" customHeight="false" outlineLevel="0" collapsed="false">
      <c r="A4651" s="19"/>
      <c r="B4651" s="19"/>
      <c r="C4651" s="19"/>
      <c r="D4651" s="19"/>
      <c r="E4651" s="22"/>
      <c r="F4651" s="19"/>
      <c r="G4651" s="26" t="str">
        <f aca="false">IF(D4651="","",IFERROR(VALUE(LEFT(D4651,FIND(" |",D4651&amp;" |")-1)),"?"))</f>
        <v/>
      </c>
      <c r="H4651" s="27" t="str">
        <f aca="false">IF(G4651="","",IF(G4651="?","⚠ pub inconnue",IFERROR(INDEX(Pubs!$B$2:$B$3001,MATCH(G4651,Pubs!$A$2:$A$3001,0))&amp;"","⚠ pub inconnue")))</f>
        <v/>
      </c>
      <c r="I4651" s="27" t="str">
        <f aca="false">IF(OR(G4651="",G4651="?"),"",IFERROR(INDEX(Pubs!$C$2:$C$3001,MATCH(G4651,Pubs!$A$2:$A$3001,0))&amp;"",""))</f>
        <v/>
      </c>
      <c r="J4651" s="27" t="str">
        <f aca="false">IF(OR(G4651="",G4651="?"),"",IFERROR(INDEX(Pubs!$G$2:$G$3001,MATCH(G4651,Pubs!$A$2:$A$3001,0))&amp;"",""))</f>
        <v/>
      </c>
      <c r="K4651" s="28" t="str">
        <f aca="false">IF(OR(G4651="",G4651="?"),"",IFERROR(INDEX(Pubs!$E$2:$E$3001,MATCH(G4651,Pubs!$A$2:$A$3001,0)),""))</f>
        <v/>
      </c>
      <c r="L4651" s="29" t="str">
        <f aca="false">IF(A4651="","",IFERROR(1/(1/INDEX(Numéros!$C$2:$C$3001,MATCH(A4651&amp;"|"&amp;B4651,Numéros!$F$2:$F$3001,0))),""))</f>
        <v/>
      </c>
      <c r="M4651" s="27" t="str">
        <f aca="false">IF(OR(G4651="",G4651="?"),"",IFERROR(INDEX(Pubs!$D$2:$D$3001,MATCH(G4651,Pubs!$A$2:$A$3001,0))&amp;"",""))</f>
        <v/>
      </c>
      <c r="N4651" s="27" t="n">
        <f aca="false">N(N4650)+IF(AND(A4651&lt;&gt;"",OR(Recherche!$C$4="",A4651=Recherche!$C$4),OR(Recherche!$C$5="",B4651&amp;""=Recherche!$C$5&amp;""),OR(Recherche!$C$6="",IFERROR(YEAR(L4651),0)=Recherche!$C$6),OR(Recherche!$C$7="",ISNUMBER(SEARCH(Recherche!$C$7,H4651))),OR(Recherche!$C$8="",J4651=Recherche!$C$8),OR(Recherche!$C$9="",I4651=Recherche!$C$9),OR(Recherche!$C$10="",G4651&amp;""=Recherche!$C$10&amp;""),OR(Recherche!$C$11="",E4651=Recherche!$C$11),OR(Recherche!$C$12="",ISNUMBER(SEARCH(Recherche!$C$12,M4651&amp;" "&amp;F4651)))),1,0)</f>
        <v>8</v>
      </c>
    </row>
    <row r="4652" customFormat="false" ht="15" hidden="false" customHeight="false" outlineLevel="0" collapsed="false">
      <c r="A4652" s="19"/>
      <c r="B4652" s="19"/>
      <c r="C4652" s="19"/>
      <c r="D4652" s="19"/>
      <c r="E4652" s="22"/>
      <c r="F4652" s="19"/>
      <c r="G4652" s="26" t="str">
        <f aca="false">IF(D4652="","",IFERROR(VALUE(LEFT(D4652,FIND(" |",D4652&amp;" |")-1)),"?"))</f>
        <v/>
      </c>
      <c r="H4652" s="27" t="str">
        <f aca="false">IF(G4652="","",IF(G4652="?","⚠ pub inconnue",IFERROR(INDEX(Pubs!$B$2:$B$3001,MATCH(G4652,Pubs!$A$2:$A$3001,0))&amp;"","⚠ pub inconnue")))</f>
        <v/>
      </c>
      <c r="I4652" s="27" t="str">
        <f aca="false">IF(OR(G4652="",G4652="?"),"",IFERROR(INDEX(Pubs!$C$2:$C$3001,MATCH(G4652,Pubs!$A$2:$A$3001,0))&amp;"",""))</f>
        <v/>
      </c>
      <c r="J4652" s="27" t="str">
        <f aca="false">IF(OR(G4652="",G4652="?"),"",IFERROR(INDEX(Pubs!$G$2:$G$3001,MATCH(G4652,Pubs!$A$2:$A$3001,0))&amp;"",""))</f>
        <v/>
      </c>
      <c r="K4652" s="28" t="str">
        <f aca="false">IF(OR(G4652="",G4652="?"),"",IFERROR(INDEX(Pubs!$E$2:$E$3001,MATCH(G4652,Pubs!$A$2:$A$3001,0)),""))</f>
        <v/>
      </c>
      <c r="L4652" s="29" t="str">
        <f aca="false">IF(A4652="","",IFERROR(1/(1/INDEX(Numéros!$C$2:$C$3001,MATCH(A4652&amp;"|"&amp;B4652,Numéros!$F$2:$F$3001,0))),""))</f>
        <v/>
      </c>
      <c r="M4652" s="27" t="str">
        <f aca="false">IF(OR(G4652="",G4652="?"),"",IFERROR(INDEX(Pubs!$D$2:$D$3001,MATCH(G4652,Pubs!$A$2:$A$3001,0))&amp;"",""))</f>
        <v/>
      </c>
      <c r="N4652" s="27" t="n">
        <f aca="false">N(N4651)+IF(AND(A4652&lt;&gt;"",OR(Recherche!$C$4="",A4652=Recherche!$C$4),OR(Recherche!$C$5="",B4652&amp;""=Recherche!$C$5&amp;""),OR(Recherche!$C$6="",IFERROR(YEAR(L4652),0)=Recherche!$C$6),OR(Recherche!$C$7="",ISNUMBER(SEARCH(Recherche!$C$7,H4652))),OR(Recherche!$C$8="",J4652=Recherche!$C$8),OR(Recherche!$C$9="",I4652=Recherche!$C$9),OR(Recherche!$C$10="",G4652&amp;""=Recherche!$C$10&amp;""),OR(Recherche!$C$11="",E4652=Recherche!$C$11),OR(Recherche!$C$12="",ISNUMBER(SEARCH(Recherche!$C$12,M4652&amp;" "&amp;F4652)))),1,0)</f>
        <v>8</v>
      </c>
    </row>
    <row r="4653" customFormat="false" ht="15" hidden="false" customHeight="false" outlineLevel="0" collapsed="false">
      <c r="A4653" s="19"/>
      <c r="B4653" s="19"/>
      <c r="C4653" s="19"/>
      <c r="D4653" s="19"/>
      <c r="E4653" s="22"/>
      <c r="F4653" s="19"/>
      <c r="G4653" s="26" t="str">
        <f aca="false">IF(D4653="","",IFERROR(VALUE(LEFT(D4653,FIND(" |",D4653&amp;" |")-1)),"?"))</f>
        <v/>
      </c>
      <c r="H4653" s="27" t="str">
        <f aca="false">IF(G4653="","",IF(G4653="?","⚠ pub inconnue",IFERROR(INDEX(Pubs!$B$2:$B$3001,MATCH(G4653,Pubs!$A$2:$A$3001,0))&amp;"","⚠ pub inconnue")))</f>
        <v/>
      </c>
      <c r="I4653" s="27" t="str">
        <f aca="false">IF(OR(G4653="",G4653="?"),"",IFERROR(INDEX(Pubs!$C$2:$C$3001,MATCH(G4653,Pubs!$A$2:$A$3001,0))&amp;"",""))</f>
        <v/>
      </c>
      <c r="J4653" s="27" t="str">
        <f aca="false">IF(OR(G4653="",G4653="?"),"",IFERROR(INDEX(Pubs!$G$2:$G$3001,MATCH(G4653,Pubs!$A$2:$A$3001,0))&amp;"",""))</f>
        <v/>
      </c>
      <c r="K4653" s="28" t="str">
        <f aca="false">IF(OR(G4653="",G4653="?"),"",IFERROR(INDEX(Pubs!$E$2:$E$3001,MATCH(G4653,Pubs!$A$2:$A$3001,0)),""))</f>
        <v/>
      </c>
      <c r="L4653" s="29" t="str">
        <f aca="false">IF(A4653="","",IFERROR(1/(1/INDEX(Numéros!$C$2:$C$3001,MATCH(A4653&amp;"|"&amp;B4653,Numéros!$F$2:$F$3001,0))),""))</f>
        <v/>
      </c>
      <c r="M4653" s="27" t="str">
        <f aca="false">IF(OR(G4653="",G4653="?"),"",IFERROR(INDEX(Pubs!$D$2:$D$3001,MATCH(G4653,Pubs!$A$2:$A$3001,0))&amp;"",""))</f>
        <v/>
      </c>
      <c r="N4653" s="27" t="n">
        <f aca="false">N(N4652)+IF(AND(A4653&lt;&gt;"",OR(Recherche!$C$4="",A4653=Recherche!$C$4),OR(Recherche!$C$5="",B4653&amp;""=Recherche!$C$5&amp;""),OR(Recherche!$C$6="",IFERROR(YEAR(L4653),0)=Recherche!$C$6),OR(Recherche!$C$7="",ISNUMBER(SEARCH(Recherche!$C$7,H4653))),OR(Recherche!$C$8="",J4653=Recherche!$C$8),OR(Recherche!$C$9="",I4653=Recherche!$C$9),OR(Recherche!$C$10="",G4653&amp;""=Recherche!$C$10&amp;""),OR(Recherche!$C$11="",E4653=Recherche!$C$11),OR(Recherche!$C$12="",ISNUMBER(SEARCH(Recherche!$C$12,M4653&amp;" "&amp;F4653)))),1,0)</f>
        <v>8</v>
      </c>
    </row>
    <row r="4654" customFormat="false" ht="15" hidden="false" customHeight="false" outlineLevel="0" collapsed="false">
      <c r="A4654" s="19"/>
      <c r="B4654" s="19"/>
      <c r="C4654" s="19"/>
      <c r="D4654" s="19"/>
      <c r="E4654" s="22"/>
      <c r="F4654" s="19"/>
      <c r="G4654" s="26" t="str">
        <f aca="false">IF(D4654="","",IFERROR(VALUE(LEFT(D4654,FIND(" |",D4654&amp;" |")-1)),"?"))</f>
        <v/>
      </c>
      <c r="H4654" s="27" t="str">
        <f aca="false">IF(G4654="","",IF(G4654="?","⚠ pub inconnue",IFERROR(INDEX(Pubs!$B$2:$B$3001,MATCH(G4654,Pubs!$A$2:$A$3001,0))&amp;"","⚠ pub inconnue")))</f>
        <v/>
      </c>
      <c r="I4654" s="27" t="str">
        <f aca="false">IF(OR(G4654="",G4654="?"),"",IFERROR(INDEX(Pubs!$C$2:$C$3001,MATCH(G4654,Pubs!$A$2:$A$3001,0))&amp;"",""))</f>
        <v/>
      </c>
      <c r="J4654" s="27" t="str">
        <f aca="false">IF(OR(G4654="",G4654="?"),"",IFERROR(INDEX(Pubs!$G$2:$G$3001,MATCH(G4654,Pubs!$A$2:$A$3001,0))&amp;"",""))</f>
        <v/>
      </c>
      <c r="K4654" s="28" t="str">
        <f aca="false">IF(OR(G4654="",G4654="?"),"",IFERROR(INDEX(Pubs!$E$2:$E$3001,MATCH(G4654,Pubs!$A$2:$A$3001,0)),""))</f>
        <v/>
      </c>
      <c r="L4654" s="29" t="str">
        <f aca="false">IF(A4654="","",IFERROR(1/(1/INDEX(Numéros!$C$2:$C$3001,MATCH(A4654&amp;"|"&amp;B4654,Numéros!$F$2:$F$3001,0))),""))</f>
        <v/>
      </c>
      <c r="M4654" s="27" t="str">
        <f aca="false">IF(OR(G4654="",G4654="?"),"",IFERROR(INDEX(Pubs!$D$2:$D$3001,MATCH(G4654,Pubs!$A$2:$A$3001,0))&amp;"",""))</f>
        <v/>
      </c>
      <c r="N4654" s="27" t="n">
        <f aca="false">N(N4653)+IF(AND(A4654&lt;&gt;"",OR(Recherche!$C$4="",A4654=Recherche!$C$4),OR(Recherche!$C$5="",B4654&amp;""=Recherche!$C$5&amp;""),OR(Recherche!$C$6="",IFERROR(YEAR(L4654),0)=Recherche!$C$6),OR(Recherche!$C$7="",ISNUMBER(SEARCH(Recherche!$C$7,H4654))),OR(Recherche!$C$8="",J4654=Recherche!$C$8),OR(Recherche!$C$9="",I4654=Recherche!$C$9),OR(Recherche!$C$10="",G4654&amp;""=Recherche!$C$10&amp;""),OR(Recherche!$C$11="",E4654=Recherche!$C$11),OR(Recherche!$C$12="",ISNUMBER(SEARCH(Recherche!$C$12,M4654&amp;" "&amp;F4654)))),1,0)</f>
        <v>8</v>
      </c>
    </row>
    <row r="4655" customFormat="false" ht="15" hidden="false" customHeight="false" outlineLevel="0" collapsed="false">
      <c r="A4655" s="19"/>
      <c r="B4655" s="19"/>
      <c r="C4655" s="19"/>
      <c r="D4655" s="19"/>
      <c r="E4655" s="22"/>
      <c r="F4655" s="19"/>
      <c r="G4655" s="26" t="str">
        <f aca="false">IF(D4655="","",IFERROR(VALUE(LEFT(D4655,FIND(" |",D4655&amp;" |")-1)),"?"))</f>
        <v/>
      </c>
      <c r="H4655" s="27" t="str">
        <f aca="false">IF(G4655="","",IF(G4655="?","⚠ pub inconnue",IFERROR(INDEX(Pubs!$B$2:$B$3001,MATCH(G4655,Pubs!$A$2:$A$3001,0))&amp;"","⚠ pub inconnue")))</f>
        <v/>
      </c>
      <c r="I4655" s="27" t="str">
        <f aca="false">IF(OR(G4655="",G4655="?"),"",IFERROR(INDEX(Pubs!$C$2:$C$3001,MATCH(G4655,Pubs!$A$2:$A$3001,0))&amp;"",""))</f>
        <v/>
      </c>
      <c r="J4655" s="27" t="str">
        <f aca="false">IF(OR(G4655="",G4655="?"),"",IFERROR(INDEX(Pubs!$G$2:$G$3001,MATCH(G4655,Pubs!$A$2:$A$3001,0))&amp;"",""))</f>
        <v/>
      </c>
      <c r="K4655" s="28" t="str">
        <f aca="false">IF(OR(G4655="",G4655="?"),"",IFERROR(INDEX(Pubs!$E$2:$E$3001,MATCH(G4655,Pubs!$A$2:$A$3001,0)),""))</f>
        <v/>
      </c>
      <c r="L4655" s="29" t="str">
        <f aca="false">IF(A4655="","",IFERROR(1/(1/INDEX(Numéros!$C$2:$C$3001,MATCH(A4655&amp;"|"&amp;B4655,Numéros!$F$2:$F$3001,0))),""))</f>
        <v/>
      </c>
      <c r="M4655" s="27" t="str">
        <f aca="false">IF(OR(G4655="",G4655="?"),"",IFERROR(INDEX(Pubs!$D$2:$D$3001,MATCH(G4655,Pubs!$A$2:$A$3001,0))&amp;"",""))</f>
        <v/>
      </c>
      <c r="N4655" s="27" t="n">
        <f aca="false">N(N4654)+IF(AND(A4655&lt;&gt;"",OR(Recherche!$C$4="",A4655=Recherche!$C$4),OR(Recherche!$C$5="",B4655&amp;""=Recherche!$C$5&amp;""),OR(Recherche!$C$6="",IFERROR(YEAR(L4655),0)=Recherche!$C$6),OR(Recherche!$C$7="",ISNUMBER(SEARCH(Recherche!$C$7,H4655))),OR(Recherche!$C$8="",J4655=Recherche!$C$8),OR(Recherche!$C$9="",I4655=Recherche!$C$9),OR(Recherche!$C$10="",G4655&amp;""=Recherche!$C$10&amp;""),OR(Recherche!$C$11="",E4655=Recherche!$C$11),OR(Recherche!$C$12="",ISNUMBER(SEARCH(Recherche!$C$12,M4655&amp;" "&amp;F4655)))),1,0)</f>
        <v>8</v>
      </c>
    </row>
    <row r="4656" customFormat="false" ht="15" hidden="false" customHeight="false" outlineLevel="0" collapsed="false">
      <c r="A4656" s="19"/>
      <c r="B4656" s="19"/>
      <c r="C4656" s="19"/>
      <c r="D4656" s="19"/>
      <c r="E4656" s="22"/>
      <c r="F4656" s="19"/>
      <c r="G4656" s="26" t="str">
        <f aca="false">IF(D4656="","",IFERROR(VALUE(LEFT(D4656,FIND(" |",D4656&amp;" |")-1)),"?"))</f>
        <v/>
      </c>
      <c r="H4656" s="27" t="str">
        <f aca="false">IF(G4656="","",IF(G4656="?","⚠ pub inconnue",IFERROR(INDEX(Pubs!$B$2:$B$3001,MATCH(G4656,Pubs!$A$2:$A$3001,0))&amp;"","⚠ pub inconnue")))</f>
        <v/>
      </c>
      <c r="I4656" s="27" t="str">
        <f aca="false">IF(OR(G4656="",G4656="?"),"",IFERROR(INDEX(Pubs!$C$2:$C$3001,MATCH(G4656,Pubs!$A$2:$A$3001,0))&amp;"",""))</f>
        <v/>
      </c>
      <c r="J4656" s="27" t="str">
        <f aca="false">IF(OR(G4656="",G4656="?"),"",IFERROR(INDEX(Pubs!$G$2:$G$3001,MATCH(G4656,Pubs!$A$2:$A$3001,0))&amp;"",""))</f>
        <v/>
      </c>
      <c r="K4656" s="28" t="str">
        <f aca="false">IF(OR(G4656="",G4656="?"),"",IFERROR(INDEX(Pubs!$E$2:$E$3001,MATCH(G4656,Pubs!$A$2:$A$3001,0)),""))</f>
        <v/>
      </c>
      <c r="L4656" s="29" t="str">
        <f aca="false">IF(A4656="","",IFERROR(1/(1/INDEX(Numéros!$C$2:$C$3001,MATCH(A4656&amp;"|"&amp;B4656,Numéros!$F$2:$F$3001,0))),""))</f>
        <v/>
      </c>
      <c r="M4656" s="27" t="str">
        <f aca="false">IF(OR(G4656="",G4656="?"),"",IFERROR(INDEX(Pubs!$D$2:$D$3001,MATCH(G4656,Pubs!$A$2:$A$3001,0))&amp;"",""))</f>
        <v/>
      </c>
      <c r="N4656" s="27" t="n">
        <f aca="false">N(N4655)+IF(AND(A4656&lt;&gt;"",OR(Recherche!$C$4="",A4656=Recherche!$C$4),OR(Recherche!$C$5="",B4656&amp;""=Recherche!$C$5&amp;""),OR(Recherche!$C$6="",IFERROR(YEAR(L4656),0)=Recherche!$C$6),OR(Recherche!$C$7="",ISNUMBER(SEARCH(Recherche!$C$7,H4656))),OR(Recherche!$C$8="",J4656=Recherche!$C$8),OR(Recherche!$C$9="",I4656=Recherche!$C$9),OR(Recherche!$C$10="",G4656&amp;""=Recherche!$C$10&amp;""),OR(Recherche!$C$11="",E4656=Recherche!$C$11),OR(Recherche!$C$12="",ISNUMBER(SEARCH(Recherche!$C$12,M4656&amp;" "&amp;F4656)))),1,0)</f>
        <v>8</v>
      </c>
    </row>
    <row r="4657" customFormat="false" ht="15" hidden="false" customHeight="false" outlineLevel="0" collapsed="false">
      <c r="A4657" s="19"/>
      <c r="B4657" s="19"/>
      <c r="C4657" s="19"/>
      <c r="D4657" s="19"/>
      <c r="E4657" s="22"/>
      <c r="F4657" s="19"/>
      <c r="G4657" s="26" t="str">
        <f aca="false">IF(D4657="","",IFERROR(VALUE(LEFT(D4657,FIND(" |",D4657&amp;" |")-1)),"?"))</f>
        <v/>
      </c>
      <c r="H4657" s="27" t="str">
        <f aca="false">IF(G4657="","",IF(G4657="?","⚠ pub inconnue",IFERROR(INDEX(Pubs!$B$2:$B$3001,MATCH(G4657,Pubs!$A$2:$A$3001,0))&amp;"","⚠ pub inconnue")))</f>
        <v/>
      </c>
      <c r="I4657" s="27" t="str">
        <f aca="false">IF(OR(G4657="",G4657="?"),"",IFERROR(INDEX(Pubs!$C$2:$C$3001,MATCH(G4657,Pubs!$A$2:$A$3001,0))&amp;"",""))</f>
        <v/>
      </c>
      <c r="J4657" s="27" t="str">
        <f aca="false">IF(OR(G4657="",G4657="?"),"",IFERROR(INDEX(Pubs!$G$2:$G$3001,MATCH(G4657,Pubs!$A$2:$A$3001,0))&amp;"",""))</f>
        <v/>
      </c>
      <c r="K4657" s="28" t="str">
        <f aca="false">IF(OR(G4657="",G4657="?"),"",IFERROR(INDEX(Pubs!$E$2:$E$3001,MATCH(G4657,Pubs!$A$2:$A$3001,0)),""))</f>
        <v/>
      </c>
      <c r="L4657" s="29" t="str">
        <f aca="false">IF(A4657="","",IFERROR(1/(1/INDEX(Numéros!$C$2:$C$3001,MATCH(A4657&amp;"|"&amp;B4657,Numéros!$F$2:$F$3001,0))),""))</f>
        <v/>
      </c>
      <c r="M4657" s="27" t="str">
        <f aca="false">IF(OR(G4657="",G4657="?"),"",IFERROR(INDEX(Pubs!$D$2:$D$3001,MATCH(G4657,Pubs!$A$2:$A$3001,0))&amp;"",""))</f>
        <v/>
      </c>
      <c r="N4657" s="27" t="n">
        <f aca="false">N(N4656)+IF(AND(A4657&lt;&gt;"",OR(Recherche!$C$4="",A4657=Recherche!$C$4),OR(Recherche!$C$5="",B4657&amp;""=Recherche!$C$5&amp;""),OR(Recherche!$C$6="",IFERROR(YEAR(L4657),0)=Recherche!$C$6),OR(Recherche!$C$7="",ISNUMBER(SEARCH(Recherche!$C$7,H4657))),OR(Recherche!$C$8="",J4657=Recherche!$C$8),OR(Recherche!$C$9="",I4657=Recherche!$C$9),OR(Recherche!$C$10="",G4657&amp;""=Recherche!$C$10&amp;""),OR(Recherche!$C$11="",E4657=Recherche!$C$11),OR(Recherche!$C$12="",ISNUMBER(SEARCH(Recherche!$C$12,M4657&amp;" "&amp;F4657)))),1,0)</f>
        <v>8</v>
      </c>
    </row>
    <row r="4658" customFormat="false" ht="15" hidden="false" customHeight="false" outlineLevel="0" collapsed="false">
      <c r="A4658" s="19"/>
      <c r="B4658" s="19"/>
      <c r="C4658" s="19"/>
      <c r="D4658" s="19"/>
      <c r="E4658" s="22"/>
      <c r="F4658" s="19"/>
      <c r="G4658" s="26" t="str">
        <f aca="false">IF(D4658="","",IFERROR(VALUE(LEFT(D4658,FIND(" |",D4658&amp;" |")-1)),"?"))</f>
        <v/>
      </c>
      <c r="H4658" s="27" t="str">
        <f aca="false">IF(G4658="","",IF(G4658="?","⚠ pub inconnue",IFERROR(INDEX(Pubs!$B$2:$B$3001,MATCH(G4658,Pubs!$A$2:$A$3001,0))&amp;"","⚠ pub inconnue")))</f>
        <v/>
      </c>
      <c r="I4658" s="27" t="str">
        <f aca="false">IF(OR(G4658="",G4658="?"),"",IFERROR(INDEX(Pubs!$C$2:$C$3001,MATCH(G4658,Pubs!$A$2:$A$3001,0))&amp;"",""))</f>
        <v/>
      </c>
      <c r="J4658" s="27" t="str">
        <f aca="false">IF(OR(G4658="",G4658="?"),"",IFERROR(INDEX(Pubs!$G$2:$G$3001,MATCH(G4658,Pubs!$A$2:$A$3001,0))&amp;"",""))</f>
        <v/>
      </c>
      <c r="K4658" s="28" t="str">
        <f aca="false">IF(OR(G4658="",G4658="?"),"",IFERROR(INDEX(Pubs!$E$2:$E$3001,MATCH(G4658,Pubs!$A$2:$A$3001,0)),""))</f>
        <v/>
      </c>
      <c r="L4658" s="29" t="str">
        <f aca="false">IF(A4658="","",IFERROR(1/(1/INDEX(Numéros!$C$2:$C$3001,MATCH(A4658&amp;"|"&amp;B4658,Numéros!$F$2:$F$3001,0))),""))</f>
        <v/>
      </c>
      <c r="M4658" s="27" t="str">
        <f aca="false">IF(OR(G4658="",G4658="?"),"",IFERROR(INDEX(Pubs!$D$2:$D$3001,MATCH(G4658,Pubs!$A$2:$A$3001,0))&amp;"",""))</f>
        <v/>
      </c>
      <c r="N4658" s="27" t="n">
        <f aca="false">N(N4657)+IF(AND(A4658&lt;&gt;"",OR(Recherche!$C$4="",A4658=Recherche!$C$4),OR(Recherche!$C$5="",B4658&amp;""=Recherche!$C$5&amp;""),OR(Recherche!$C$6="",IFERROR(YEAR(L4658),0)=Recherche!$C$6),OR(Recherche!$C$7="",ISNUMBER(SEARCH(Recherche!$C$7,H4658))),OR(Recherche!$C$8="",J4658=Recherche!$C$8),OR(Recherche!$C$9="",I4658=Recherche!$C$9),OR(Recherche!$C$10="",G4658&amp;""=Recherche!$C$10&amp;""),OR(Recherche!$C$11="",E4658=Recherche!$C$11),OR(Recherche!$C$12="",ISNUMBER(SEARCH(Recherche!$C$12,M4658&amp;" "&amp;F4658)))),1,0)</f>
        <v>8</v>
      </c>
    </row>
    <row r="4659" customFormat="false" ht="15" hidden="false" customHeight="false" outlineLevel="0" collapsed="false">
      <c r="A4659" s="19"/>
      <c r="B4659" s="19"/>
      <c r="C4659" s="19"/>
      <c r="D4659" s="19"/>
      <c r="E4659" s="22"/>
      <c r="F4659" s="19"/>
      <c r="G4659" s="26" t="str">
        <f aca="false">IF(D4659="","",IFERROR(VALUE(LEFT(D4659,FIND(" |",D4659&amp;" |")-1)),"?"))</f>
        <v/>
      </c>
      <c r="H4659" s="27" t="str">
        <f aca="false">IF(G4659="","",IF(G4659="?","⚠ pub inconnue",IFERROR(INDEX(Pubs!$B$2:$B$3001,MATCH(G4659,Pubs!$A$2:$A$3001,0))&amp;"","⚠ pub inconnue")))</f>
        <v/>
      </c>
      <c r="I4659" s="27" t="str">
        <f aca="false">IF(OR(G4659="",G4659="?"),"",IFERROR(INDEX(Pubs!$C$2:$C$3001,MATCH(G4659,Pubs!$A$2:$A$3001,0))&amp;"",""))</f>
        <v/>
      </c>
      <c r="J4659" s="27" t="str">
        <f aca="false">IF(OR(G4659="",G4659="?"),"",IFERROR(INDEX(Pubs!$G$2:$G$3001,MATCH(G4659,Pubs!$A$2:$A$3001,0))&amp;"",""))</f>
        <v/>
      </c>
      <c r="K4659" s="28" t="str">
        <f aca="false">IF(OR(G4659="",G4659="?"),"",IFERROR(INDEX(Pubs!$E$2:$E$3001,MATCH(G4659,Pubs!$A$2:$A$3001,0)),""))</f>
        <v/>
      </c>
      <c r="L4659" s="29" t="str">
        <f aca="false">IF(A4659="","",IFERROR(1/(1/INDEX(Numéros!$C$2:$C$3001,MATCH(A4659&amp;"|"&amp;B4659,Numéros!$F$2:$F$3001,0))),""))</f>
        <v/>
      </c>
      <c r="M4659" s="27" t="str">
        <f aca="false">IF(OR(G4659="",G4659="?"),"",IFERROR(INDEX(Pubs!$D$2:$D$3001,MATCH(G4659,Pubs!$A$2:$A$3001,0))&amp;"",""))</f>
        <v/>
      </c>
      <c r="N4659" s="27" t="n">
        <f aca="false">N(N4658)+IF(AND(A4659&lt;&gt;"",OR(Recherche!$C$4="",A4659=Recherche!$C$4),OR(Recherche!$C$5="",B4659&amp;""=Recherche!$C$5&amp;""),OR(Recherche!$C$6="",IFERROR(YEAR(L4659),0)=Recherche!$C$6),OR(Recherche!$C$7="",ISNUMBER(SEARCH(Recherche!$C$7,H4659))),OR(Recherche!$C$8="",J4659=Recherche!$C$8),OR(Recherche!$C$9="",I4659=Recherche!$C$9),OR(Recherche!$C$10="",G4659&amp;""=Recherche!$C$10&amp;""),OR(Recherche!$C$11="",E4659=Recherche!$C$11),OR(Recherche!$C$12="",ISNUMBER(SEARCH(Recherche!$C$12,M4659&amp;" "&amp;F4659)))),1,0)</f>
        <v>8</v>
      </c>
    </row>
    <row r="4660" customFormat="false" ht="15" hidden="false" customHeight="false" outlineLevel="0" collapsed="false">
      <c r="A4660" s="19"/>
      <c r="B4660" s="19"/>
      <c r="C4660" s="19"/>
      <c r="D4660" s="19"/>
      <c r="E4660" s="22"/>
      <c r="F4660" s="19"/>
      <c r="G4660" s="26" t="str">
        <f aca="false">IF(D4660="","",IFERROR(VALUE(LEFT(D4660,FIND(" |",D4660&amp;" |")-1)),"?"))</f>
        <v/>
      </c>
      <c r="H4660" s="27" t="str">
        <f aca="false">IF(G4660="","",IF(G4660="?","⚠ pub inconnue",IFERROR(INDEX(Pubs!$B$2:$B$3001,MATCH(G4660,Pubs!$A$2:$A$3001,0))&amp;"","⚠ pub inconnue")))</f>
        <v/>
      </c>
      <c r="I4660" s="27" t="str">
        <f aca="false">IF(OR(G4660="",G4660="?"),"",IFERROR(INDEX(Pubs!$C$2:$C$3001,MATCH(G4660,Pubs!$A$2:$A$3001,0))&amp;"",""))</f>
        <v/>
      </c>
      <c r="J4660" s="27" t="str">
        <f aca="false">IF(OR(G4660="",G4660="?"),"",IFERROR(INDEX(Pubs!$G$2:$G$3001,MATCH(G4660,Pubs!$A$2:$A$3001,0))&amp;"",""))</f>
        <v/>
      </c>
      <c r="K4660" s="28" t="str">
        <f aca="false">IF(OR(G4660="",G4660="?"),"",IFERROR(INDEX(Pubs!$E$2:$E$3001,MATCH(G4660,Pubs!$A$2:$A$3001,0)),""))</f>
        <v/>
      </c>
      <c r="L4660" s="29" t="str">
        <f aca="false">IF(A4660="","",IFERROR(1/(1/INDEX(Numéros!$C$2:$C$3001,MATCH(A4660&amp;"|"&amp;B4660,Numéros!$F$2:$F$3001,0))),""))</f>
        <v/>
      </c>
      <c r="M4660" s="27" t="str">
        <f aca="false">IF(OR(G4660="",G4660="?"),"",IFERROR(INDEX(Pubs!$D$2:$D$3001,MATCH(G4660,Pubs!$A$2:$A$3001,0))&amp;"",""))</f>
        <v/>
      </c>
      <c r="N4660" s="27" t="n">
        <f aca="false">N(N4659)+IF(AND(A4660&lt;&gt;"",OR(Recherche!$C$4="",A4660=Recherche!$C$4),OR(Recherche!$C$5="",B4660&amp;""=Recherche!$C$5&amp;""),OR(Recherche!$C$6="",IFERROR(YEAR(L4660),0)=Recherche!$C$6),OR(Recherche!$C$7="",ISNUMBER(SEARCH(Recherche!$C$7,H4660))),OR(Recherche!$C$8="",J4660=Recherche!$C$8),OR(Recherche!$C$9="",I4660=Recherche!$C$9),OR(Recherche!$C$10="",G4660&amp;""=Recherche!$C$10&amp;""),OR(Recherche!$C$11="",E4660=Recherche!$C$11),OR(Recherche!$C$12="",ISNUMBER(SEARCH(Recherche!$C$12,M4660&amp;" "&amp;F4660)))),1,0)</f>
        <v>8</v>
      </c>
    </row>
    <row r="4661" customFormat="false" ht="15" hidden="false" customHeight="false" outlineLevel="0" collapsed="false">
      <c r="A4661" s="19"/>
      <c r="B4661" s="19"/>
      <c r="C4661" s="19"/>
      <c r="D4661" s="19"/>
      <c r="E4661" s="22"/>
      <c r="F4661" s="19"/>
      <c r="G4661" s="26" t="str">
        <f aca="false">IF(D4661="","",IFERROR(VALUE(LEFT(D4661,FIND(" |",D4661&amp;" |")-1)),"?"))</f>
        <v/>
      </c>
      <c r="H4661" s="27" t="str">
        <f aca="false">IF(G4661="","",IF(G4661="?","⚠ pub inconnue",IFERROR(INDEX(Pubs!$B$2:$B$3001,MATCH(G4661,Pubs!$A$2:$A$3001,0))&amp;"","⚠ pub inconnue")))</f>
        <v/>
      </c>
      <c r="I4661" s="27" t="str">
        <f aca="false">IF(OR(G4661="",G4661="?"),"",IFERROR(INDEX(Pubs!$C$2:$C$3001,MATCH(G4661,Pubs!$A$2:$A$3001,0))&amp;"",""))</f>
        <v/>
      </c>
      <c r="J4661" s="27" t="str">
        <f aca="false">IF(OR(G4661="",G4661="?"),"",IFERROR(INDEX(Pubs!$G$2:$G$3001,MATCH(G4661,Pubs!$A$2:$A$3001,0))&amp;"",""))</f>
        <v/>
      </c>
      <c r="K4661" s="28" t="str">
        <f aca="false">IF(OR(G4661="",G4661="?"),"",IFERROR(INDEX(Pubs!$E$2:$E$3001,MATCH(G4661,Pubs!$A$2:$A$3001,0)),""))</f>
        <v/>
      </c>
      <c r="L4661" s="29" t="str">
        <f aca="false">IF(A4661="","",IFERROR(1/(1/INDEX(Numéros!$C$2:$C$3001,MATCH(A4661&amp;"|"&amp;B4661,Numéros!$F$2:$F$3001,0))),""))</f>
        <v/>
      </c>
      <c r="M4661" s="27" t="str">
        <f aca="false">IF(OR(G4661="",G4661="?"),"",IFERROR(INDEX(Pubs!$D$2:$D$3001,MATCH(G4661,Pubs!$A$2:$A$3001,0))&amp;"",""))</f>
        <v/>
      </c>
      <c r="N4661" s="27" t="n">
        <f aca="false">N(N4660)+IF(AND(A4661&lt;&gt;"",OR(Recherche!$C$4="",A4661=Recherche!$C$4),OR(Recherche!$C$5="",B4661&amp;""=Recherche!$C$5&amp;""),OR(Recherche!$C$6="",IFERROR(YEAR(L4661),0)=Recherche!$C$6),OR(Recherche!$C$7="",ISNUMBER(SEARCH(Recherche!$C$7,H4661))),OR(Recherche!$C$8="",J4661=Recherche!$C$8),OR(Recherche!$C$9="",I4661=Recherche!$C$9),OR(Recherche!$C$10="",G4661&amp;""=Recherche!$C$10&amp;""),OR(Recherche!$C$11="",E4661=Recherche!$C$11),OR(Recherche!$C$12="",ISNUMBER(SEARCH(Recherche!$C$12,M4661&amp;" "&amp;F4661)))),1,0)</f>
        <v>8</v>
      </c>
    </row>
    <row r="4662" customFormat="false" ht="15" hidden="false" customHeight="false" outlineLevel="0" collapsed="false">
      <c r="A4662" s="19"/>
      <c r="B4662" s="19"/>
      <c r="C4662" s="19"/>
      <c r="D4662" s="19"/>
      <c r="E4662" s="22"/>
      <c r="F4662" s="19"/>
      <c r="G4662" s="26" t="str">
        <f aca="false">IF(D4662="","",IFERROR(VALUE(LEFT(D4662,FIND(" |",D4662&amp;" |")-1)),"?"))</f>
        <v/>
      </c>
      <c r="H4662" s="27" t="str">
        <f aca="false">IF(G4662="","",IF(G4662="?","⚠ pub inconnue",IFERROR(INDEX(Pubs!$B$2:$B$3001,MATCH(G4662,Pubs!$A$2:$A$3001,0))&amp;"","⚠ pub inconnue")))</f>
        <v/>
      </c>
      <c r="I4662" s="27" t="str">
        <f aca="false">IF(OR(G4662="",G4662="?"),"",IFERROR(INDEX(Pubs!$C$2:$C$3001,MATCH(G4662,Pubs!$A$2:$A$3001,0))&amp;"",""))</f>
        <v/>
      </c>
      <c r="J4662" s="27" t="str">
        <f aca="false">IF(OR(G4662="",G4662="?"),"",IFERROR(INDEX(Pubs!$G$2:$G$3001,MATCH(G4662,Pubs!$A$2:$A$3001,0))&amp;"",""))</f>
        <v/>
      </c>
      <c r="K4662" s="28" t="str">
        <f aca="false">IF(OR(G4662="",G4662="?"),"",IFERROR(INDEX(Pubs!$E$2:$E$3001,MATCH(G4662,Pubs!$A$2:$A$3001,0)),""))</f>
        <v/>
      </c>
      <c r="L4662" s="29" t="str">
        <f aca="false">IF(A4662="","",IFERROR(1/(1/INDEX(Numéros!$C$2:$C$3001,MATCH(A4662&amp;"|"&amp;B4662,Numéros!$F$2:$F$3001,0))),""))</f>
        <v/>
      </c>
      <c r="M4662" s="27" t="str">
        <f aca="false">IF(OR(G4662="",G4662="?"),"",IFERROR(INDEX(Pubs!$D$2:$D$3001,MATCH(G4662,Pubs!$A$2:$A$3001,0))&amp;"",""))</f>
        <v/>
      </c>
      <c r="N4662" s="27" t="n">
        <f aca="false">N(N4661)+IF(AND(A4662&lt;&gt;"",OR(Recherche!$C$4="",A4662=Recherche!$C$4),OR(Recherche!$C$5="",B4662&amp;""=Recherche!$C$5&amp;""),OR(Recherche!$C$6="",IFERROR(YEAR(L4662),0)=Recherche!$C$6),OR(Recherche!$C$7="",ISNUMBER(SEARCH(Recherche!$C$7,H4662))),OR(Recherche!$C$8="",J4662=Recherche!$C$8),OR(Recherche!$C$9="",I4662=Recherche!$C$9),OR(Recherche!$C$10="",G4662&amp;""=Recherche!$C$10&amp;""),OR(Recherche!$C$11="",E4662=Recherche!$C$11),OR(Recherche!$C$12="",ISNUMBER(SEARCH(Recherche!$C$12,M4662&amp;" "&amp;F4662)))),1,0)</f>
        <v>8</v>
      </c>
    </row>
    <row r="4663" customFormat="false" ht="15" hidden="false" customHeight="false" outlineLevel="0" collapsed="false">
      <c r="A4663" s="19"/>
      <c r="B4663" s="19"/>
      <c r="C4663" s="19"/>
      <c r="D4663" s="19"/>
      <c r="E4663" s="22"/>
      <c r="F4663" s="19"/>
      <c r="G4663" s="26" t="str">
        <f aca="false">IF(D4663="","",IFERROR(VALUE(LEFT(D4663,FIND(" |",D4663&amp;" |")-1)),"?"))</f>
        <v/>
      </c>
      <c r="H4663" s="27" t="str">
        <f aca="false">IF(G4663="","",IF(G4663="?","⚠ pub inconnue",IFERROR(INDEX(Pubs!$B$2:$B$3001,MATCH(G4663,Pubs!$A$2:$A$3001,0))&amp;"","⚠ pub inconnue")))</f>
        <v/>
      </c>
      <c r="I4663" s="27" t="str">
        <f aca="false">IF(OR(G4663="",G4663="?"),"",IFERROR(INDEX(Pubs!$C$2:$C$3001,MATCH(G4663,Pubs!$A$2:$A$3001,0))&amp;"",""))</f>
        <v/>
      </c>
      <c r="J4663" s="27" t="str">
        <f aca="false">IF(OR(G4663="",G4663="?"),"",IFERROR(INDEX(Pubs!$G$2:$G$3001,MATCH(G4663,Pubs!$A$2:$A$3001,0))&amp;"",""))</f>
        <v/>
      </c>
      <c r="K4663" s="28" t="str">
        <f aca="false">IF(OR(G4663="",G4663="?"),"",IFERROR(INDEX(Pubs!$E$2:$E$3001,MATCH(G4663,Pubs!$A$2:$A$3001,0)),""))</f>
        <v/>
      </c>
      <c r="L4663" s="29" t="str">
        <f aca="false">IF(A4663="","",IFERROR(1/(1/INDEX(Numéros!$C$2:$C$3001,MATCH(A4663&amp;"|"&amp;B4663,Numéros!$F$2:$F$3001,0))),""))</f>
        <v/>
      </c>
      <c r="M4663" s="27" t="str">
        <f aca="false">IF(OR(G4663="",G4663="?"),"",IFERROR(INDEX(Pubs!$D$2:$D$3001,MATCH(G4663,Pubs!$A$2:$A$3001,0))&amp;"",""))</f>
        <v/>
      </c>
      <c r="N4663" s="27" t="n">
        <f aca="false">N(N4662)+IF(AND(A4663&lt;&gt;"",OR(Recherche!$C$4="",A4663=Recherche!$C$4),OR(Recherche!$C$5="",B4663&amp;""=Recherche!$C$5&amp;""),OR(Recherche!$C$6="",IFERROR(YEAR(L4663),0)=Recherche!$C$6),OR(Recherche!$C$7="",ISNUMBER(SEARCH(Recherche!$C$7,H4663))),OR(Recherche!$C$8="",J4663=Recherche!$C$8),OR(Recherche!$C$9="",I4663=Recherche!$C$9),OR(Recherche!$C$10="",G4663&amp;""=Recherche!$C$10&amp;""),OR(Recherche!$C$11="",E4663=Recherche!$C$11),OR(Recherche!$C$12="",ISNUMBER(SEARCH(Recherche!$C$12,M4663&amp;" "&amp;F4663)))),1,0)</f>
        <v>8</v>
      </c>
    </row>
    <row r="4664" customFormat="false" ht="15" hidden="false" customHeight="false" outlineLevel="0" collapsed="false">
      <c r="A4664" s="19"/>
      <c r="B4664" s="19"/>
      <c r="C4664" s="19"/>
      <c r="D4664" s="19"/>
      <c r="E4664" s="22"/>
      <c r="F4664" s="19"/>
      <c r="G4664" s="26" t="str">
        <f aca="false">IF(D4664="","",IFERROR(VALUE(LEFT(D4664,FIND(" |",D4664&amp;" |")-1)),"?"))</f>
        <v/>
      </c>
      <c r="H4664" s="27" t="str">
        <f aca="false">IF(G4664="","",IF(G4664="?","⚠ pub inconnue",IFERROR(INDEX(Pubs!$B$2:$B$3001,MATCH(G4664,Pubs!$A$2:$A$3001,0))&amp;"","⚠ pub inconnue")))</f>
        <v/>
      </c>
      <c r="I4664" s="27" t="str">
        <f aca="false">IF(OR(G4664="",G4664="?"),"",IFERROR(INDEX(Pubs!$C$2:$C$3001,MATCH(G4664,Pubs!$A$2:$A$3001,0))&amp;"",""))</f>
        <v/>
      </c>
      <c r="J4664" s="27" t="str">
        <f aca="false">IF(OR(G4664="",G4664="?"),"",IFERROR(INDEX(Pubs!$G$2:$G$3001,MATCH(G4664,Pubs!$A$2:$A$3001,0))&amp;"",""))</f>
        <v/>
      </c>
      <c r="K4664" s="28" t="str">
        <f aca="false">IF(OR(G4664="",G4664="?"),"",IFERROR(INDEX(Pubs!$E$2:$E$3001,MATCH(G4664,Pubs!$A$2:$A$3001,0)),""))</f>
        <v/>
      </c>
      <c r="L4664" s="29" t="str">
        <f aca="false">IF(A4664="","",IFERROR(1/(1/INDEX(Numéros!$C$2:$C$3001,MATCH(A4664&amp;"|"&amp;B4664,Numéros!$F$2:$F$3001,0))),""))</f>
        <v/>
      </c>
      <c r="M4664" s="27" t="str">
        <f aca="false">IF(OR(G4664="",G4664="?"),"",IFERROR(INDEX(Pubs!$D$2:$D$3001,MATCH(G4664,Pubs!$A$2:$A$3001,0))&amp;"",""))</f>
        <v/>
      </c>
      <c r="N4664" s="27" t="n">
        <f aca="false">N(N4663)+IF(AND(A4664&lt;&gt;"",OR(Recherche!$C$4="",A4664=Recherche!$C$4),OR(Recherche!$C$5="",B4664&amp;""=Recherche!$C$5&amp;""),OR(Recherche!$C$6="",IFERROR(YEAR(L4664),0)=Recherche!$C$6),OR(Recherche!$C$7="",ISNUMBER(SEARCH(Recherche!$C$7,H4664))),OR(Recherche!$C$8="",J4664=Recherche!$C$8),OR(Recherche!$C$9="",I4664=Recherche!$C$9),OR(Recherche!$C$10="",G4664&amp;""=Recherche!$C$10&amp;""),OR(Recherche!$C$11="",E4664=Recherche!$C$11),OR(Recherche!$C$12="",ISNUMBER(SEARCH(Recherche!$C$12,M4664&amp;" "&amp;F4664)))),1,0)</f>
        <v>8</v>
      </c>
    </row>
    <row r="4665" customFormat="false" ht="15" hidden="false" customHeight="false" outlineLevel="0" collapsed="false">
      <c r="A4665" s="19"/>
      <c r="B4665" s="19"/>
      <c r="C4665" s="19"/>
      <c r="D4665" s="19"/>
      <c r="E4665" s="22"/>
      <c r="F4665" s="19"/>
      <c r="G4665" s="26" t="str">
        <f aca="false">IF(D4665="","",IFERROR(VALUE(LEFT(D4665,FIND(" |",D4665&amp;" |")-1)),"?"))</f>
        <v/>
      </c>
      <c r="H4665" s="27" t="str">
        <f aca="false">IF(G4665="","",IF(G4665="?","⚠ pub inconnue",IFERROR(INDEX(Pubs!$B$2:$B$3001,MATCH(G4665,Pubs!$A$2:$A$3001,0))&amp;"","⚠ pub inconnue")))</f>
        <v/>
      </c>
      <c r="I4665" s="27" t="str">
        <f aca="false">IF(OR(G4665="",G4665="?"),"",IFERROR(INDEX(Pubs!$C$2:$C$3001,MATCH(G4665,Pubs!$A$2:$A$3001,0))&amp;"",""))</f>
        <v/>
      </c>
      <c r="J4665" s="27" t="str">
        <f aca="false">IF(OR(G4665="",G4665="?"),"",IFERROR(INDEX(Pubs!$G$2:$G$3001,MATCH(G4665,Pubs!$A$2:$A$3001,0))&amp;"",""))</f>
        <v/>
      </c>
      <c r="K4665" s="28" t="str">
        <f aca="false">IF(OR(G4665="",G4665="?"),"",IFERROR(INDEX(Pubs!$E$2:$E$3001,MATCH(G4665,Pubs!$A$2:$A$3001,0)),""))</f>
        <v/>
      </c>
      <c r="L4665" s="29" t="str">
        <f aca="false">IF(A4665="","",IFERROR(1/(1/INDEX(Numéros!$C$2:$C$3001,MATCH(A4665&amp;"|"&amp;B4665,Numéros!$F$2:$F$3001,0))),""))</f>
        <v/>
      </c>
      <c r="M4665" s="27" t="str">
        <f aca="false">IF(OR(G4665="",G4665="?"),"",IFERROR(INDEX(Pubs!$D$2:$D$3001,MATCH(G4665,Pubs!$A$2:$A$3001,0))&amp;"",""))</f>
        <v/>
      </c>
      <c r="N4665" s="27" t="n">
        <f aca="false">N(N4664)+IF(AND(A4665&lt;&gt;"",OR(Recherche!$C$4="",A4665=Recherche!$C$4),OR(Recherche!$C$5="",B4665&amp;""=Recherche!$C$5&amp;""),OR(Recherche!$C$6="",IFERROR(YEAR(L4665),0)=Recherche!$C$6),OR(Recherche!$C$7="",ISNUMBER(SEARCH(Recherche!$C$7,H4665))),OR(Recherche!$C$8="",J4665=Recherche!$C$8),OR(Recherche!$C$9="",I4665=Recherche!$C$9),OR(Recherche!$C$10="",G4665&amp;""=Recherche!$C$10&amp;""),OR(Recherche!$C$11="",E4665=Recherche!$C$11),OR(Recherche!$C$12="",ISNUMBER(SEARCH(Recherche!$C$12,M4665&amp;" "&amp;F4665)))),1,0)</f>
        <v>8</v>
      </c>
    </row>
    <row r="4666" customFormat="false" ht="15" hidden="false" customHeight="false" outlineLevel="0" collapsed="false">
      <c r="A4666" s="19"/>
      <c r="B4666" s="19"/>
      <c r="C4666" s="19"/>
      <c r="D4666" s="19"/>
      <c r="E4666" s="22"/>
      <c r="F4666" s="19"/>
      <c r="G4666" s="26" t="str">
        <f aca="false">IF(D4666="","",IFERROR(VALUE(LEFT(D4666,FIND(" |",D4666&amp;" |")-1)),"?"))</f>
        <v/>
      </c>
      <c r="H4666" s="27" t="str">
        <f aca="false">IF(G4666="","",IF(G4666="?","⚠ pub inconnue",IFERROR(INDEX(Pubs!$B$2:$B$3001,MATCH(G4666,Pubs!$A$2:$A$3001,0))&amp;"","⚠ pub inconnue")))</f>
        <v/>
      </c>
      <c r="I4666" s="27" t="str">
        <f aca="false">IF(OR(G4666="",G4666="?"),"",IFERROR(INDEX(Pubs!$C$2:$C$3001,MATCH(G4666,Pubs!$A$2:$A$3001,0))&amp;"",""))</f>
        <v/>
      </c>
      <c r="J4666" s="27" t="str">
        <f aca="false">IF(OR(G4666="",G4666="?"),"",IFERROR(INDEX(Pubs!$G$2:$G$3001,MATCH(G4666,Pubs!$A$2:$A$3001,0))&amp;"",""))</f>
        <v/>
      </c>
      <c r="K4666" s="28" t="str">
        <f aca="false">IF(OR(G4666="",G4666="?"),"",IFERROR(INDEX(Pubs!$E$2:$E$3001,MATCH(G4666,Pubs!$A$2:$A$3001,0)),""))</f>
        <v/>
      </c>
      <c r="L4666" s="29" t="str">
        <f aca="false">IF(A4666="","",IFERROR(1/(1/INDEX(Numéros!$C$2:$C$3001,MATCH(A4666&amp;"|"&amp;B4666,Numéros!$F$2:$F$3001,0))),""))</f>
        <v/>
      </c>
      <c r="M4666" s="27" t="str">
        <f aca="false">IF(OR(G4666="",G4666="?"),"",IFERROR(INDEX(Pubs!$D$2:$D$3001,MATCH(G4666,Pubs!$A$2:$A$3001,0))&amp;"",""))</f>
        <v/>
      </c>
      <c r="N4666" s="27" t="n">
        <f aca="false">N(N4665)+IF(AND(A4666&lt;&gt;"",OR(Recherche!$C$4="",A4666=Recherche!$C$4),OR(Recherche!$C$5="",B4666&amp;""=Recherche!$C$5&amp;""),OR(Recherche!$C$6="",IFERROR(YEAR(L4666),0)=Recherche!$C$6),OR(Recherche!$C$7="",ISNUMBER(SEARCH(Recherche!$C$7,H4666))),OR(Recherche!$C$8="",J4666=Recherche!$C$8),OR(Recherche!$C$9="",I4666=Recherche!$C$9),OR(Recherche!$C$10="",G4666&amp;""=Recherche!$C$10&amp;""),OR(Recherche!$C$11="",E4666=Recherche!$C$11),OR(Recherche!$C$12="",ISNUMBER(SEARCH(Recherche!$C$12,M4666&amp;" "&amp;F4666)))),1,0)</f>
        <v>8</v>
      </c>
    </row>
    <row r="4667" customFormat="false" ht="15" hidden="false" customHeight="false" outlineLevel="0" collapsed="false">
      <c r="A4667" s="19"/>
      <c r="B4667" s="19"/>
      <c r="C4667" s="19"/>
      <c r="D4667" s="19"/>
      <c r="E4667" s="22"/>
      <c r="F4667" s="19"/>
      <c r="G4667" s="26" t="str">
        <f aca="false">IF(D4667="","",IFERROR(VALUE(LEFT(D4667,FIND(" |",D4667&amp;" |")-1)),"?"))</f>
        <v/>
      </c>
      <c r="H4667" s="27" t="str">
        <f aca="false">IF(G4667="","",IF(G4667="?","⚠ pub inconnue",IFERROR(INDEX(Pubs!$B$2:$B$3001,MATCH(G4667,Pubs!$A$2:$A$3001,0))&amp;"","⚠ pub inconnue")))</f>
        <v/>
      </c>
      <c r="I4667" s="27" t="str">
        <f aca="false">IF(OR(G4667="",G4667="?"),"",IFERROR(INDEX(Pubs!$C$2:$C$3001,MATCH(G4667,Pubs!$A$2:$A$3001,0))&amp;"",""))</f>
        <v/>
      </c>
      <c r="J4667" s="27" t="str">
        <f aca="false">IF(OR(G4667="",G4667="?"),"",IFERROR(INDEX(Pubs!$G$2:$G$3001,MATCH(G4667,Pubs!$A$2:$A$3001,0))&amp;"",""))</f>
        <v/>
      </c>
      <c r="K4667" s="28" t="str">
        <f aca="false">IF(OR(G4667="",G4667="?"),"",IFERROR(INDEX(Pubs!$E$2:$E$3001,MATCH(G4667,Pubs!$A$2:$A$3001,0)),""))</f>
        <v/>
      </c>
      <c r="L4667" s="29" t="str">
        <f aca="false">IF(A4667="","",IFERROR(1/(1/INDEX(Numéros!$C$2:$C$3001,MATCH(A4667&amp;"|"&amp;B4667,Numéros!$F$2:$F$3001,0))),""))</f>
        <v/>
      </c>
      <c r="M4667" s="27" t="str">
        <f aca="false">IF(OR(G4667="",G4667="?"),"",IFERROR(INDEX(Pubs!$D$2:$D$3001,MATCH(G4667,Pubs!$A$2:$A$3001,0))&amp;"",""))</f>
        <v/>
      </c>
      <c r="N4667" s="27" t="n">
        <f aca="false">N(N4666)+IF(AND(A4667&lt;&gt;"",OR(Recherche!$C$4="",A4667=Recherche!$C$4),OR(Recherche!$C$5="",B4667&amp;""=Recherche!$C$5&amp;""),OR(Recherche!$C$6="",IFERROR(YEAR(L4667),0)=Recherche!$C$6),OR(Recherche!$C$7="",ISNUMBER(SEARCH(Recherche!$C$7,H4667))),OR(Recherche!$C$8="",J4667=Recherche!$C$8),OR(Recherche!$C$9="",I4667=Recherche!$C$9),OR(Recherche!$C$10="",G4667&amp;""=Recherche!$C$10&amp;""),OR(Recherche!$C$11="",E4667=Recherche!$C$11),OR(Recherche!$C$12="",ISNUMBER(SEARCH(Recherche!$C$12,M4667&amp;" "&amp;F4667)))),1,0)</f>
        <v>8</v>
      </c>
    </row>
    <row r="4668" customFormat="false" ht="15" hidden="false" customHeight="false" outlineLevel="0" collapsed="false">
      <c r="A4668" s="19"/>
      <c r="B4668" s="19"/>
      <c r="C4668" s="19"/>
      <c r="D4668" s="19"/>
      <c r="E4668" s="22"/>
      <c r="F4668" s="19"/>
      <c r="G4668" s="26" t="str">
        <f aca="false">IF(D4668="","",IFERROR(VALUE(LEFT(D4668,FIND(" |",D4668&amp;" |")-1)),"?"))</f>
        <v/>
      </c>
      <c r="H4668" s="27" t="str">
        <f aca="false">IF(G4668="","",IF(G4668="?","⚠ pub inconnue",IFERROR(INDEX(Pubs!$B$2:$B$3001,MATCH(G4668,Pubs!$A$2:$A$3001,0))&amp;"","⚠ pub inconnue")))</f>
        <v/>
      </c>
      <c r="I4668" s="27" t="str">
        <f aca="false">IF(OR(G4668="",G4668="?"),"",IFERROR(INDEX(Pubs!$C$2:$C$3001,MATCH(G4668,Pubs!$A$2:$A$3001,0))&amp;"",""))</f>
        <v/>
      </c>
      <c r="J4668" s="27" t="str">
        <f aca="false">IF(OR(G4668="",G4668="?"),"",IFERROR(INDEX(Pubs!$G$2:$G$3001,MATCH(G4668,Pubs!$A$2:$A$3001,0))&amp;"",""))</f>
        <v/>
      </c>
      <c r="K4668" s="28" t="str">
        <f aca="false">IF(OR(G4668="",G4668="?"),"",IFERROR(INDEX(Pubs!$E$2:$E$3001,MATCH(G4668,Pubs!$A$2:$A$3001,0)),""))</f>
        <v/>
      </c>
      <c r="L4668" s="29" t="str">
        <f aca="false">IF(A4668="","",IFERROR(1/(1/INDEX(Numéros!$C$2:$C$3001,MATCH(A4668&amp;"|"&amp;B4668,Numéros!$F$2:$F$3001,0))),""))</f>
        <v/>
      </c>
      <c r="M4668" s="27" t="str">
        <f aca="false">IF(OR(G4668="",G4668="?"),"",IFERROR(INDEX(Pubs!$D$2:$D$3001,MATCH(G4668,Pubs!$A$2:$A$3001,0))&amp;"",""))</f>
        <v/>
      </c>
      <c r="N4668" s="27" t="n">
        <f aca="false">N(N4667)+IF(AND(A4668&lt;&gt;"",OR(Recherche!$C$4="",A4668=Recherche!$C$4),OR(Recherche!$C$5="",B4668&amp;""=Recherche!$C$5&amp;""),OR(Recherche!$C$6="",IFERROR(YEAR(L4668),0)=Recherche!$C$6),OR(Recherche!$C$7="",ISNUMBER(SEARCH(Recherche!$C$7,H4668))),OR(Recherche!$C$8="",J4668=Recherche!$C$8),OR(Recherche!$C$9="",I4668=Recherche!$C$9),OR(Recherche!$C$10="",G4668&amp;""=Recherche!$C$10&amp;""),OR(Recherche!$C$11="",E4668=Recherche!$C$11),OR(Recherche!$C$12="",ISNUMBER(SEARCH(Recherche!$C$12,M4668&amp;" "&amp;F4668)))),1,0)</f>
        <v>8</v>
      </c>
    </row>
    <row r="4669" customFormat="false" ht="15" hidden="false" customHeight="false" outlineLevel="0" collapsed="false">
      <c r="A4669" s="19"/>
      <c r="B4669" s="19"/>
      <c r="C4669" s="19"/>
      <c r="D4669" s="19"/>
      <c r="E4669" s="22"/>
      <c r="F4669" s="19"/>
      <c r="G4669" s="26" t="str">
        <f aca="false">IF(D4669="","",IFERROR(VALUE(LEFT(D4669,FIND(" |",D4669&amp;" |")-1)),"?"))</f>
        <v/>
      </c>
      <c r="H4669" s="27" t="str">
        <f aca="false">IF(G4669="","",IF(G4669="?","⚠ pub inconnue",IFERROR(INDEX(Pubs!$B$2:$B$3001,MATCH(G4669,Pubs!$A$2:$A$3001,0))&amp;"","⚠ pub inconnue")))</f>
        <v/>
      </c>
      <c r="I4669" s="27" t="str">
        <f aca="false">IF(OR(G4669="",G4669="?"),"",IFERROR(INDEX(Pubs!$C$2:$C$3001,MATCH(G4669,Pubs!$A$2:$A$3001,0))&amp;"",""))</f>
        <v/>
      </c>
      <c r="J4669" s="27" t="str">
        <f aca="false">IF(OR(G4669="",G4669="?"),"",IFERROR(INDEX(Pubs!$G$2:$G$3001,MATCH(G4669,Pubs!$A$2:$A$3001,0))&amp;"",""))</f>
        <v/>
      </c>
      <c r="K4669" s="28" t="str">
        <f aca="false">IF(OR(G4669="",G4669="?"),"",IFERROR(INDEX(Pubs!$E$2:$E$3001,MATCH(G4669,Pubs!$A$2:$A$3001,0)),""))</f>
        <v/>
      </c>
      <c r="L4669" s="29" t="str">
        <f aca="false">IF(A4669="","",IFERROR(1/(1/INDEX(Numéros!$C$2:$C$3001,MATCH(A4669&amp;"|"&amp;B4669,Numéros!$F$2:$F$3001,0))),""))</f>
        <v/>
      </c>
      <c r="M4669" s="27" t="str">
        <f aca="false">IF(OR(G4669="",G4669="?"),"",IFERROR(INDEX(Pubs!$D$2:$D$3001,MATCH(G4669,Pubs!$A$2:$A$3001,0))&amp;"",""))</f>
        <v/>
      </c>
      <c r="N4669" s="27" t="n">
        <f aca="false">N(N4668)+IF(AND(A4669&lt;&gt;"",OR(Recherche!$C$4="",A4669=Recherche!$C$4),OR(Recherche!$C$5="",B4669&amp;""=Recherche!$C$5&amp;""),OR(Recherche!$C$6="",IFERROR(YEAR(L4669),0)=Recherche!$C$6),OR(Recherche!$C$7="",ISNUMBER(SEARCH(Recherche!$C$7,H4669))),OR(Recherche!$C$8="",J4669=Recherche!$C$8),OR(Recherche!$C$9="",I4669=Recherche!$C$9),OR(Recherche!$C$10="",G4669&amp;""=Recherche!$C$10&amp;""),OR(Recherche!$C$11="",E4669=Recherche!$C$11),OR(Recherche!$C$12="",ISNUMBER(SEARCH(Recherche!$C$12,M4669&amp;" "&amp;F4669)))),1,0)</f>
        <v>8</v>
      </c>
    </row>
    <row r="4670" customFormat="false" ht="15" hidden="false" customHeight="false" outlineLevel="0" collapsed="false">
      <c r="A4670" s="19"/>
      <c r="B4670" s="19"/>
      <c r="C4670" s="19"/>
      <c r="D4670" s="19"/>
      <c r="E4670" s="22"/>
      <c r="F4670" s="19"/>
      <c r="G4670" s="26" t="str">
        <f aca="false">IF(D4670="","",IFERROR(VALUE(LEFT(D4670,FIND(" |",D4670&amp;" |")-1)),"?"))</f>
        <v/>
      </c>
      <c r="H4670" s="27" t="str">
        <f aca="false">IF(G4670="","",IF(G4670="?","⚠ pub inconnue",IFERROR(INDEX(Pubs!$B$2:$B$3001,MATCH(G4670,Pubs!$A$2:$A$3001,0))&amp;"","⚠ pub inconnue")))</f>
        <v/>
      </c>
      <c r="I4670" s="27" t="str">
        <f aca="false">IF(OR(G4670="",G4670="?"),"",IFERROR(INDEX(Pubs!$C$2:$C$3001,MATCH(G4670,Pubs!$A$2:$A$3001,0))&amp;"",""))</f>
        <v/>
      </c>
      <c r="J4670" s="27" t="str">
        <f aca="false">IF(OR(G4670="",G4670="?"),"",IFERROR(INDEX(Pubs!$G$2:$G$3001,MATCH(G4670,Pubs!$A$2:$A$3001,0))&amp;"",""))</f>
        <v/>
      </c>
      <c r="K4670" s="28" t="str">
        <f aca="false">IF(OR(G4670="",G4670="?"),"",IFERROR(INDEX(Pubs!$E$2:$E$3001,MATCH(G4670,Pubs!$A$2:$A$3001,0)),""))</f>
        <v/>
      </c>
      <c r="L4670" s="29" t="str">
        <f aca="false">IF(A4670="","",IFERROR(1/(1/INDEX(Numéros!$C$2:$C$3001,MATCH(A4670&amp;"|"&amp;B4670,Numéros!$F$2:$F$3001,0))),""))</f>
        <v/>
      </c>
      <c r="M4670" s="27" t="str">
        <f aca="false">IF(OR(G4670="",G4670="?"),"",IFERROR(INDEX(Pubs!$D$2:$D$3001,MATCH(G4670,Pubs!$A$2:$A$3001,0))&amp;"",""))</f>
        <v/>
      </c>
      <c r="N4670" s="27" t="n">
        <f aca="false">N(N4669)+IF(AND(A4670&lt;&gt;"",OR(Recherche!$C$4="",A4670=Recherche!$C$4),OR(Recherche!$C$5="",B4670&amp;""=Recherche!$C$5&amp;""),OR(Recherche!$C$6="",IFERROR(YEAR(L4670),0)=Recherche!$C$6),OR(Recherche!$C$7="",ISNUMBER(SEARCH(Recherche!$C$7,H4670))),OR(Recherche!$C$8="",J4670=Recherche!$C$8),OR(Recherche!$C$9="",I4670=Recherche!$C$9),OR(Recherche!$C$10="",G4670&amp;""=Recherche!$C$10&amp;""),OR(Recherche!$C$11="",E4670=Recherche!$C$11),OR(Recherche!$C$12="",ISNUMBER(SEARCH(Recherche!$C$12,M4670&amp;" "&amp;F4670)))),1,0)</f>
        <v>8</v>
      </c>
    </row>
    <row r="4671" customFormat="false" ht="15" hidden="false" customHeight="false" outlineLevel="0" collapsed="false">
      <c r="A4671" s="19"/>
      <c r="B4671" s="19"/>
      <c r="C4671" s="19"/>
      <c r="D4671" s="19"/>
      <c r="E4671" s="22"/>
      <c r="F4671" s="19"/>
      <c r="G4671" s="26" t="str">
        <f aca="false">IF(D4671="","",IFERROR(VALUE(LEFT(D4671,FIND(" |",D4671&amp;" |")-1)),"?"))</f>
        <v/>
      </c>
      <c r="H4671" s="27" t="str">
        <f aca="false">IF(G4671="","",IF(G4671="?","⚠ pub inconnue",IFERROR(INDEX(Pubs!$B$2:$B$3001,MATCH(G4671,Pubs!$A$2:$A$3001,0))&amp;"","⚠ pub inconnue")))</f>
        <v/>
      </c>
      <c r="I4671" s="27" t="str">
        <f aca="false">IF(OR(G4671="",G4671="?"),"",IFERROR(INDEX(Pubs!$C$2:$C$3001,MATCH(G4671,Pubs!$A$2:$A$3001,0))&amp;"",""))</f>
        <v/>
      </c>
      <c r="J4671" s="27" t="str">
        <f aca="false">IF(OR(G4671="",G4671="?"),"",IFERROR(INDEX(Pubs!$G$2:$G$3001,MATCH(G4671,Pubs!$A$2:$A$3001,0))&amp;"",""))</f>
        <v/>
      </c>
      <c r="K4671" s="28" t="str">
        <f aca="false">IF(OR(G4671="",G4671="?"),"",IFERROR(INDEX(Pubs!$E$2:$E$3001,MATCH(G4671,Pubs!$A$2:$A$3001,0)),""))</f>
        <v/>
      </c>
      <c r="L4671" s="29" t="str">
        <f aca="false">IF(A4671="","",IFERROR(1/(1/INDEX(Numéros!$C$2:$C$3001,MATCH(A4671&amp;"|"&amp;B4671,Numéros!$F$2:$F$3001,0))),""))</f>
        <v/>
      </c>
      <c r="M4671" s="27" t="str">
        <f aca="false">IF(OR(G4671="",G4671="?"),"",IFERROR(INDEX(Pubs!$D$2:$D$3001,MATCH(G4671,Pubs!$A$2:$A$3001,0))&amp;"",""))</f>
        <v/>
      </c>
      <c r="N4671" s="27" t="n">
        <f aca="false">N(N4670)+IF(AND(A4671&lt;&gt;"",OR(Recherche!$C$4="",A4671=Recherche!$C$4),OR(Recherche!$C$5="",B4671&amp;""=Recherche!$C$5&amp;""),OR(Recherche!$C$6="",IFERROR(YEAR(L4671),0)=Recherche!$C$6),OR(Recherche!$C$7="",ISNUMBER(SEARCH(Recherche!$C$7,H4671))),OR(Recherche!$C$8="",J4671=Recherche!$C$8),OR(Recherche!$C$9="",I4671=Recherche!$C$9),OR(Recherche!$C$10="",G4671&amp;""=Recherche!$C$10&amp;""),OR(Recherche!$C$11="",E4671=Recherche!$C$11),OR(Recherche!$C$12="",ISNUMBER(SEARCH(Recherche!$C$12,M4671&amp;" "&amp;F4671)))),1,0)</f>
        <v>8</v>
      </c>
    </row>
    <row r="4672" customFormat="false" ht="15" hidden="false" customHeight="false" outlineLevel="0" collapsed="false">
      <c r="A4672" s="19"/>
      <c r="B4672" s="19"/>
      <c r="C4672" s="19"/>
      <c r="D4672" s="19"/>
      <c r="E4672" s="22"/>
      <c r="F4672" s="19"/>
      <c r="G4672" s="26" t="str">
        <f aca="false">IF(D4672="","",IFERROR(VALUE(LEFT(D4672,FIND(" |",D4672&amp;" |")-1)),"?"))</f>
        <v/>
      </c>
      <c r="H4672" s="27" t="str">
        <f aca="false">IF(G4672="","",IF(G4672="?","⚠ pub inconnue",IFERROR(INDEX(Pubs!$B$2:$B$3001,MATCH(G4672,Pubs!$A$2:$A$3001,0))&amp;"","⚠ pub inconnue")))</f>
        <v/>
      </c>
      <c r="I4672" s="27" t="str">
        <f aca="false">IF(OR(G4672="",G4672="?"),"",IFERROR(INDEX(Pubs!$C$2:$C$3001,MATCH(G4672,Pubs!$A$2:$A$3001,0))&amp;"",""))</f>
        <v/>
      </c>
      <c r="J4672" s="27" t="str">
        <f aca="false">IF(OR(G4672="",G4672="?"),"",IFERROR(INDEX(Pubs!$G$2:$G$3001,MATCH(G4672,Pubs!$A$2:$A$3001,0))&amp;"",""))</f>
        <v/>
      </c>
      <c r="K4672" s="28" t="str">
        <f aca="false">IF(OR(G4672="",G4672="?"),"",IFERROR(INDEX(Pubs!$E$2:$E$3001,MATCH(G4672,Pubs!$A$2:$A$3001,0)),""))</f>
        <v/>
      </c>
      <c r="L4672" s="29" t="str">
        <f aca="false">IF(A4672="","",IFERROR(1/(1/INDEX(Numéros!$C$2:$C$3001,MATCH(A4672&amp;"|"&amp;B4672,Numéros!$F$2:$F$3001,0))),""))</f>
        <v/>
      </c>
      <c r="M4672" s="27" t="str">
        <f aca="false">IF(OR(G4672="",G4672="?"),"",IFERROR(INDEX(Pubs!$D$2:$D$3001,MATCH(G4672,Pubs!$A$2:$A$3001,0))&amp;"",""))</f>
        <v/>
      </c>
      <c r="N4672" s="27" t="n">
        <f aca="false">N(N4671)+IF(AND(A4672&lt;&gt;"",OR(Recherche!$C$4="",A4672=Recherche!$C$4),OR(Recherche!$C$5="",B4672&amp;""=Recherche!$C$5&amp;""),OR(Recherche!$C$6="",IFERROR(YEAR(L4672),0)=Recherche!$C$6),OR(Recherche!$C$7="",ISNUMBER(SEARCH(Recherche!$C$7,H4672))),OR(Recherche!$C$8="",J4672=Recherche!$C$8),OR(Recherche!$C$9="",I4672=Recherche!$C$9),OR(Recherche!$C$10="",G4672&amp;""=Recherche!$C$10&amp;""),OR(Recherche!$C$11="",E4672=Recherche!$C$11),OR(Recherche!$C$12="",ISNUMBER(SEARCH(Recherche!$C$12,M4672&amp;" "&amp;F4672)))),1,0)</f>
        <v>8</v>
      </c>
    </row>
    <row r="4673" customFormat="false" ht="15" hidden="false" customHeight="false" outlineLevel="0" collapsed="false">
      <c r="A4673" s="19"/>
      <c r="B4673" s="19"/>
      <c r="C4673" s="19"/>
      <c r="D4673" s="19"/>
      <c r="E4673" s="22"/>
      <c r="F4673" s="19"/>
      <c r="G4673" s="26" t="str">
        <f aca="false">IF(D4673="","",IFERROR(VALUE(LEFT(D4673,FIND(" |",D4673&amp;" |")-1)),"?"))</f>
        <v/>
      </c>
      <c r="H4673" s="27" t="str">
        <f aca="false">IF(G4673="","",IF(G4673="?","⚠ pub inconnue",IFERROR(INDEX(Pubs!$B$2:$B$3001,MATCH(G4673,Pubs!$A$2:$A$3001,0))&amp;"","⚠ pub inconnue")))</f>
        <v/>
      </c>
      <c r="I4673" s="27" t="str">
        <f aca="false">IF(OR(G4673="",G4673="?"),"",IFERROR(INDEX(Pubs!$C$2:$C$3001,MATCH(G4673,Pubs!$A$2:$A$3001,0))&amp;"",""))</f>
        <v/>
      </c>
      <c r="J4673" s="27" t="str">
        <f aca="false">IF(OR(G4673="",G4673="?"),"",IFERROR(INDEX(Pubs!$G$2:$G$3001,MATCH(G4673,Pubs!$A$2:$A$3001,0))&amp;"",""))</f>
        <v/>
      </c>
      <c r="K4673" s="28" t="str">
        <f aca="false">IF(OR(G4673="",G4673="?"),"",IFERROR(INDEX(Pubs!$E$2:$E$3001,MATCH(G4673,Pubs!$A$2:$A$3001,0)),""))</f>
        <v/>
      </c>
      <c r="L4673" s="29" t="str">
        <f aca="false">IF(A4673="","",IFERROR(1/(1/INDEX(Numéros!$C$2:$C$3001,MATCH(A4673&amp;"|"&amp;B4673,Numéros!$F$2:$F$3001,0))),""))</f>
        <v/>
      </c>
      <c r="M4673" s="27" t="str">
        <f aca="false">IF(OR(G4673="",G4673="?"),"",IFERROR(INDEX(Pubs!$D$2:$D$3001,MATCH(G4673,Pubs!$A$2:$A$3001,0))&amp;"",""))</f>
        <v/>
      </c>
      <c r="N4673" s="27" t="n">
        <f aca="false">N(N4672)+IF(AND(A4673&lt;&gt;"",OR(Recherche!$C$4="",A4673=Recherche!$C$4),OR(Recherche!$C$5="",B4673&amp;""=Recherche!$C$5&amp;""),OR(Recherche!$C$6="",IFERROR(YEAR(L4673),0)=Recherche!$C$6),OR(Recherche!$C$7="",ISNUMBER(SEARCH(Recherche!$C$7,H4673))),OR(Recherche!$C$8="",J4673=Recherche!$C$8),OR(Recherche!$C$9="",I4673=Recherche!$C$9),OR(Recherche!$C$10="",G4673&amp;""=Recherche!$C$10&amp;""),OR(Recherche!$C$11="",E4673=Recherche!$C$11),OR(Recherche!$C$12="",ISNUMBER(SEARCH(Recherche!$C$12,M4673&amp;" "&amp;F4673)))),1,0)</f>
        <v>8</v>
      </c>
    </row>
    <row r="4674" customFormat="false" ht="15" hidden="false" customHeight="false" outlineLevel="0" collapsed="false">
      <c r="A4674" s="19"/>
      <c r="B4674" s="19"/>
      <c r="C4674" s="19"/>
      <c r="D4674" s="19"/>
      <c r="E4674" s="22"/>
      <c r="F4674" s="19"/>
      <c r="G4674" s="26" t="str">
        <f aca="false">IF(D4674="","",IFERROR(VALUE(LEFT(D4674,FIND(" |",D4674&amp;" |")-1)),"?"))</f>
        <v/>
      </c>
      <c r="H4674" s="27" t="str">
        <f aca="false">IF(G4674="","",IF(G4674="?","⚠ pub inconnue",IFERROR(INDEX(Pubs!$B$2:$B$3001,MATCH(G4674,Pubs!$A$2:$A$3001,0))&amp;"","⚠ pub inconnue")))</f>
        <v/>
      </c>
      <c r="I4674" s="27" t="str">
        <f aca="false">IF(OR(G4674="",G4674="?"),"",IFERROR(INDEX(Pubs!$C$2:$C$3001,MATCH(G4674,Pubs!$A$2:$A$3001,0))&amp;"",""))</f>
        <v/>
      </c>
      <c r="J4674" s="27" t="str">
        <f aca="false">IF(OR(G4674="",G4674="?"),"",IFERROR(INDEX(Pubs!$G$2:$G$3001,MATCH(G4674,Pubs!$A$2:$A$3001,0))&amp;"",""))</f>
        <v/>
      </c>
      <c r="K4674" s="28" t="str">
        <f aca="false">IF(OR(G4674="",G4674="?"),"",IFERROR(INDEX(Pubs!$E$2:$E$3001,MATCH(G4674,Pubs!$A$2:$A$3001,0)),""))</f>
        <v/>
      </c>
      <c r="L4674" s="29" t="str">
        <f aca="false">IF(A4674="","",IFERROR(1/(1/INDEX(Numéros!$C$2:$C$3001,MATCH(A4674&amp;"|"&amp;B4674,Numéros!$F$2:$F$3001,0))),""))</f>
        <v/>
      </c>
      <c r="M4674" s="27" t="str">
        <f aca="false">IF(OR(G4674="",G4674="?"),"",IFERROR(INDEX(Pubs!$D$2:$D$3001,MATCH(G4674,Pubs!$A$2:$A$3001,0))&amp;"",""))</f>
        <v/>
      </c>
      <c r="N4674" s="27" t="n">
        <f aca="false">N(N4673)+IF(AND(A4674&lt;&gt;"",OR(Recherche!$C$4="",A4674=Recherche!$C$4),OR(Recherche!$C$5="",B4674&amp;""=Recherche!$C$5&amp;""),OR(Recherche!$C$6="",IFERROR(YEAR(L4674),0)=Recherche!$C$6),OR(Recherche!$C$7="",ISNUMBER(SEARCH(Recherche!$C$7,H4674))),OR(Recherche!$C$8="",J4674=Recherche!$C$8),OR(Recherche!$C$9="",I4674=Recherche!$C$9),OR(Recherche!$C$10="",G4674&amp;""=Recherche!$C$10&amp;""),OR(Recherche!$C$11="",E4674=Recherche!$C$11),OR(Recherche!$C$12="",ISNUMBER(SEARCH(Recherche!$C$12,M4674&amp;" "&amp;F4674)))),1,0)</f>
        <v>8</v>
      </c>
    </row>
    <row r="4675" customFormat="false" ht="15" hidden="false" customHeight="false" outlineLevel="0" collapsed="false">
      <c r="A4675" s="19"/>
      <c r="B4675" s="19"/>
      <c r="C4675" s="19"/>
      <c r="D4675" s="19"/>
      <c r="E4675" s="22"/>
      <c r="F4675" s="19"/>
      <c r="G4675" s="26" t="str">
        <f aca="false">IF(D4675="","",IFERROR(VALUE(LEFT(D4675,FIND(" |",D4675&amp;" |")-1)),"?"))</f>
        <v/>
      </c>
      <c r="H4675" s="27" t="str">
        <f aca="false">IF(G4675="","",IF(G4675="?","⚠ pub inconnue",IFERROR(INDEX(Pubs!$B$2:$B$3001,MATCH(G4675,Pubs!$A$2:$A$3001,0))&amp;"","⚠ pub inconnue")))</f>
        <v/>
      </c>
      <c r="I4675" s="27" t="str">
        <f aca="false">IF(OR(G4675="",G4675="?"),"",IFERROR(INDEX(Pubs!$C$2:$C$3001,MATCH(G4675,Pubs!$A$2:$A$3001,0))&amp;"",""))</f>
        <v/>
      </c>
      <c r="J4675" s="27" t="str">
        <f aca="false">IF(OR(G4675="",G4675="?"),"",IFERROR(INDEX(Pubs!$G$2:$G$3001,MATCH(G4675,Pubs!$A$2:$A$3001,0))&amp;"",""))</f>
        <v/>
      </c>
      <c r="K4675" s="28" t="str">
        <f aca="false">IF(OR(G4675="",G4675="?"),"",IFERROR(INDEX(Pubs!$E$2:$E$3001,MATCH(G4675,Pubs!$A$2:$A$3001,0)),""))</f>
        <v/>
      </c>
      <c r="L4675" s="29" t="str">
        <f aca="false">IF(A4675="","",IFERROR(1/(1/INDEX(Numéros!$C$2:$C$3001,MATCH(A4675&amp;"|"&amp;B4675,Numéros!$F$2:$F$3001,0))),""))</f>
        <v/>
      </c>
      <c r="M4675" s="27" t="str">
        <f aca="false">IF(OR(G4675="",G4675="?"),"",IFERROR(INDEX(Pubs!$D$2:$D$3001,MATCH(G4675,Pubs!$A$2:$A$3001,0))&amp;"",""))</f>
        <v/>
      </c>
      <c r="N4675" s="27" t="n">
        <f aca="false">N(N4674)+IF(AND(A4675&lt;&gt;"",OR(Recherche!$C$4="",A4675=Recherche!$C$4),OR(Recherche!$C$5="",B4675&amp;""=Recherche!$C$5&amp;""),OR(Recherche!$C$6="",IFERROR(YEAR(L4675),0)=Recherche!$C$6),OR(Recherche!$C$7="",ISNUMBER(SEARCH(Recherche!$C$7,H4675))),OR(Recherche!$C$8="",J4675=Recherche!$C$8),OR(Recherche!$C$9="",I4675=Recherche!$C$9),OR(Recherche!$C$10="",G4675&amp;""=Recherche!$C$10&amp;""),OR(Recherche!$C$11="",E4675=Recherche!$C$11),OR(Recherche!$C$12="",ISNUMBER(SEARCH(Recherche!$C$12,M4675&amp;" "&amp;F4675)))),1,0)</f>
        <v>8</v>
      </c>
    </row>
    <row r="4676" customFormat="false" ht="15" hidden="false" customHeight="false" outlineLevel="0" collapsed="false">
      <c r="A4676" s="19"/>
      <c r="B4676" s="19"/>
      <c r="C4676" s="19"/>
      <c r="D4676" s="19"/>
      <c r="E4676" s="22"/>
      <c r="F4676" s="19"/>
      <c r="G4676" s="26" t="str">
        <f aca="false">IF(D4676="","",IFERROR(VALUE(LEFT(D4676,FIND(" |",D4676&amp;" |")-1)),"?"))</f>
        <v/>
      </c>
      <c r="H4676" s="27" t="str">
        <f aca="false">IF(G4676="","",IF(G4676="?","⚠ pub inconnue",IFERROR(INDEX(Pubs!$B$2:$B$3001,MATCH(G4676,Pubs!$A$2:$A$3001,0))&amp;"","⚠ pub inconnue")))</f>
        <v/>
      </c>
      <c r="I4676" s="27" t="str">
        <f aca="false">IF(OR(G4676="",G4676="?"),"",IFERROR(INDEX(Pubs!$C$2:$C$3001,MATCH(G4676,Pubs!$A$2:$A$3001,0))&amp;"",""))</f>
        <v/>
      </c>
      <c r="J4676" s="27" t="str">
        <f aca="false">IF(OR(G4676="",G4676="?"),"",IFERROR(INDEX(Pubs!$G$2:$G$3001,MATCH(G4676,Pubs!$A$2:$A$3001,0))&amp;"",""))</f>
        <v/>
      </c>
      <c r="K4676" s="28" t="str">
        <f aca="false">IF(OR(G4676="",G4676="?"),"",IFERROR(INDEX(Pubs!$E$2:$E$3001,MATCH(G4676,Pubs!$A$2:$A$3001,0)),""))</f>
        <v/>
      </c>
      <c r="L4676" s="29" t="str">
        <f aca="false">IF(A4676="","",IFERROR(1/(1/INDEX(Numéros!$C$2:$C$3001,MATCH(A4676&amp;"|"&amp;B4676,Numéros!$F$2:$F$3001,0))),""))</f>
        <v/>
      </c>
      <c r="M4676" s="27" t="str">
        <f aca="false">IF(OR(G4676="",G4676="?"),"",IFERROR(INDEX(Pubs!$D$2:$D$3001,MATCH(G4676,Pubs!$A$2:$A$3001,0))&amp;"",""))</f>
        <v/>
      </c>
      <c r="N4676" s="27" t="n">
        <f aca="false">N(N4675)+IF(AND(A4676&lt;&gt;"",OR(Recherche!$C$4="",A4676=Recherche!$C$4),OR(Recherche!$C$5="",B4676&amp;""=Recherche!$C$5&amp;""),OR(Recherche!$C$6="",IFERROR(YEAR(L4676),0)=Recherche!$C$6),OR(Recherche!$C$7="",ISNUMBER(SEARCH(Recherche!$C$7,H4676))),OR(Recherche!$C$8="",J4676=Recherche!$C$8),OR(Recherche!$C$9="",I4676=Recherche!$C$9),OR(Recherche!$C$10="",G4676&amp;""=Recherche!$C$10&amp;""),OR(Recherche!$C$11="",E4676=Recherche!$C$11),OR(Recherche!$C$12="",ISNUMBER(SEARCH(Recherche!$C$12,M4676&amp;" "&amp;F4676)))),1,0)</f>
        <v>8</v>
      </c>
    </row>
    <row r="4677" customFormat="false" ht="15" hidden="false" customHeight="false" outlineLevel="0" collapsed="false">
      <c r="A4677" s="19"/>
      <c r="B4677" s="19"/>
      <c r="C4677" s="19"/>
      <c r="D4677" s="19"/>
      <c r="E4677" s="22"/>
      <c r="F4677" s="19"/>
      <c r="G4677" s="26" t="str">
        <f aca="false">IF(D4677="","",IFERROR(VALUE(LEFT(D4677,FIND(" |",D4677&amp;" |")-1)),"?"))</f>
        <v/>
      </c>
      <c r="H4677" s="27" t="str">
        <f aca="false">IF(G4677="","",IF(G4677="?","⚠ pub inconnue",IFERROR(INDEX(Pubs!$B$2:$B$3001,MATCH(G4677,Pubs!$A$2:$A$3001,0))&amp;"","⚠ pub inconnue")))</f>
        <v/>
      </c>
      <c r="I4677" s="27" t="str">
        <f aca="false">IF(OR(G4677="",G4677="?"),"",IFERROR(INDEX(Pubs!$C$2:$C$3001,MATCH(G4677,Pubs!$A$2:$A$3001,0))&amp;"",""))</f>
        <v/>
      </c>
      <c r="J4677" s="27" t="str">
        <f aca="false">IF(OR(G4677="",G4677="?"),"",IFERROR(INDEX(Pubs!$G$2:$G$3001,MATCH(G4677,Pubs!$A$2:$A$3001,0))&amp;"",""))</f>
        <v/>
      </c>
      <c r="K4677" s="28" t="str">
        <f aca="false">IF(OR(G4677="",G4677="?"),"",IFERROR(INDEX(Pubs!$E$2:$E$3001,MATCH(G4677,Pubs!$A$2:$A$3001,0)),""))</f>
        <v/>
      </c>
      <c r="L4677" s="29" t="str">
        <f aca="false">IF(A4677="","",IFERROR(1/(1/INDEX(Numéros!$C$2:$C$3001,MATCH(A4677&amp;"|"&amp;B4677,Numéros!$F$2:$F$3001,0))),""))</f>
        <v/>
      </c>
      <c r="M4677" s="27" t="str">
        <f aca="false">IF(OR(G4677="",G4677="?"),"",IFERROR(INDEX(Pubs!$D$2:$D$3001,MATCH(G4677,Pubs!$A$2:$A$3001,0))&amp;"",""))</f>
        <v/>
      </c>
      <c r="N4677" s="27" t="n">
        <f aca="false">N(N4676)+IF(AND(A4677&lt;&gt;"",OR(Recherche!$C$4="",A4677=Recherche!$C$4),OR(Recherche!$C$5="",B4677&amp;""=Recherche!$C$5&amp;""),OR(Recherche!$C$6="",IFERROR(YEAR(L4677),0)=Recherche!$C$6),OR(Recherche!$C$7="",ISNUMBER(SEARCH(Recherche!$C$7,H4677))),OR(Recherche!$C$8="",J4677=Recherche!$C$8),OR(Recherche!$C$9="",I4677=Recherche!$C$9),OR(Recherche!$C$10="",G4677&amp;""=Recherche!$C$10&amp;""),OR(Recherche!$C$11="",E4677=Recherche!$C$11),OR(Recherche!$C$12="",ISNUMBER(SEARCH(Recherche!$C$12,M4677&amp;" "&amp;F4677)))),1,0)</f>
        <v>8</v>
      </c>
    </row>
    <row r="4678" customFormat="false" ht="15" hidden="false" customHeight="false" outlineLevel="0" collapsed="false">
      <c r="A4678" s="19"/>
      <c r="B4678" s="19"/>
      <c r="C4678" s="19"/>
      <c r="D4678" s="19"/>
      <c r="E4678" s="22"/>
      <c r="F4678" s="19"/>
      <c r="G4678" s="26" t="str">
        <f aca="false">IF(D4678="","",IFERROR(VALUE(LEFT(D4678,FIND(" |",D4678&amp;" |")-1)),"?"))</f>
        <v/>
      </c>
      <c r="H4678" s="27" t="str">
        <f aca="false">IF(G4678="","",IF(G4678="?","⚠ pub inconnue",IFERROR(INDEX(Pubs!$B$2:$B$3001,MATCH(G4678,Pubs!$A$2:$A$3001,0))&amp;"","⚠ pub inconnue")))</f>
        <v/>
      </c>
      <c r="I4678" s="27" t="str">
        <f aca="false">IF(OR(G4678="",G4678="?"),"",IFERROR(INDEX(Pubs!$C$2:$C$3001,MATCH(G4678,Pubs!$A$2:$A$3001,0))&amp;"",""))</f>
        <v/>
      </c>
      <c r="J4678" s="27" t="str">
        <f aca="false">IF(OR(G4678="",G4678="?"),"",IFERROR(INDEX(Pubs!$G$2:$G$3001,MATCH(G4678,Pubs!$A$2:$A$3001,0))&amp;"",""))</f>
        <v/>
      </c>
      <c r="K4678" s="28" t="str">
        <f aca="false">IF(OR(G4678="",G4678="?"),"",IFERROR(INDEX(Pubs!$E$2:$E$3001,MATCH(G4678,Pubs!$A$2:$A$3001,0)),""))</f>
        <v/>
      </c>
      <c r="L4678" s="29" t="str">
        <f aca="false">IF(A4678="","",IFERROR(1/(1/INDEX(Numéros!$C$2:$C$3001,MATCH(A4678&amp;"|"&amp;B4678,Numéros!$F$2:$F$3001,0))),""))</f>
        <v/>
      </c>
      <c r="M4678" s="27" t="str">
        <f aca="false">IF(OR(G4678="",G4678="?"),"",IFERROR(INDEX(Pubs!$D$2:$D$3001,MATCH(G4678,Pubs!$A$2:$A$3001,0))&amp;"",""))</f>
        <v/>
      </c>
      <c r="N4678" s="27" t="n">
        <f aca="false">N(N4677)+IF(AND(A4678&lt;&gt;"",OR(Recherche!$C$4="",A4678=Recherche!$C$4),OR(Recherche!$C$5="",B4678&amp;""=Recherche!$C$5&amp;""),OR(Recherche!$C$6="",IFERROR(YEAR(L4678),0)=Recherche!$C$6),OR(Recherche!$C$7="",ISNUMBER(SEARCH(Recherche!$C$7,H4678))),OR(Recherche!$C$8="",J4678=Recherche!$C$8),OR(Recherche!$C$9="",I4678=Recherche!$C$9),OR(Recherche!$C$10="",G4678&amp;""=Recherche!$C$10&amp;""),OR(Recherche!$C$11="",E4678=Recherche!$C$11),OR(Recherche!$C$12="",ISNUMBER(SEARCH(Recherche!$C$12,M4678&amp;" "&amp;F4678)))),1,0)</f>
        <v>8</v>
      </c>
    </row>
    <row r="4679" customFormat="false" ht="15" hidden="false" customHeight="false" outlineLevel="0" collapsed="false">
      <c r="A4679" s="19"/>
      <c r="B4679" s="19"/>
      <c r="C4679" s="19"/>
      <c r="D4679" s="19"/>
      <c r="E4679" s="22"/>
      <c r="F4679" s="19"/>
      <c r="G4679" s="26" t="str">
        <f aca="false">IF(D4679="","",IFERROR(VALUE(LEFT(D4679,FIND(" |",D4679&amp;" |")-1)),"?"))</f>
        <v/>
      </c>
      <c r="H4679" s="27" t="str">
        <f aca="false">IF(G4679="","",IF(G4679="?","⚠ pub inconnue",IFERROR(INDEX(Pubs!$B$2:$B$3001,MATCH(G4679,Pubs!$A$2:$A$3001,0))&amp;"","⚠ pub inconnue")))</f>
        <v/>
      </c>
      <c r="I4679" s="27" t="str">
        <f aca="false">IF(OR(G4679="",G4679="?"),"",IFERROR(INDEX(Pubs!$C$2:$C$3001,MATCH(G4679,Pubs!$A$2:$A$3001,0))&amp;"",""))</f>
        <v/>
      </c>
      <c r="J4679" s="27" t="str">
        <f aca="false">IF(OR(G4679="",G4679="?"),"",IFERROR(INDEX(Pubs!$G$2:$G$3001,MATCH(G4679,Pubs!$A$2:$A$3001,0))&amp;"",""))</f>
        <v/>
      </c>
      <c r="K4679" s="28" t="str">
        <f aca="false">IF(OR(G4679="",G4679="?"),"",IFERROR(INDEX(Pubs!$E$2:$E$3001,MATCH(G4679,Pubs!$A$2:$A$3001,0)),""))</f>
        <v/>
      </c>
      <c r="L4679" s="29" t="str">
        <f aca="false">IF(A4679="","",IFERROR(1/(1/INDEX(Numéros!$C$2:$C$3001,MATCH(A4679&amp;"|"&amp;B4679,Numéros!$F$2:$F$3001,0))),""))</f>
        <v/>
      </c>
      <c r="M4679" s="27" t="str">
        <f aca="false">IF(OR(G4679="",G4679="?"),"",IFERROR(INDEX(Pubs!$D$2:$D$3001,MATCH(G4679,Pubs!$A$2:$A$3001,0))&amp;"",""))</f>
        <v/>
      </c>
      <c r="N4679" s="27" t="n">
        <f aca="false">N(N4678)+IF(AND(A4679&lt;&gt;"",OR(Recherche!$C$4="",A4679=Recherche!$C$4),OR(Recherche!$C$5="",B4679&amp;""=Recherche!$C$5&amp;""),OR(Recherche!$C$6="",IFERROR(YEAR(L4679),0)=Recherche!$C$6),OR(Recherche!$C$7="",ISNUMBER(SEARCH(Recherche!$C$7,H4679))),OR(Recherche!$C$8="",J4679=Recherche!$C$8),OR(Recherche!$C$9="",I4679=Recherche!$C$9),OR(Recherche!$C$10="",G4679&amp;""=Recherche!$C$10&amp;""),OR(Recherche!$C$11="",E4679=Recherche!$C$11),OR(Recherche!$C$12="",ISNUMBER(SEARCH(Recherche!$C$12,M4679&amp;" "&amp;F4679)))),1,0)</f>
        <v>8</v>
      </c>
    </row>
    <row r="4680" customFormat="false" ht="15" hidden="false" customHeight="false" outlineLevel="0" collapsed="false">
      <c r="A4680" s="19"/>
      <c r="B4680" s="19"/>
      <c r="C4680" s="19"/>
      <c r="D4680" s="19"/>
      <c r="E4680" s="22"/>
      <c r="F4680" s="19"/>
      <c r="G4680" s="26" t="str">
        <f aca="false">IF(D4680="","",IFERROR(VALUE(LEFT(D4680,FIND(" |",D4680&amp;" |")-1)),"?"))</f>
        <v/>
      </c>
      <c r="H4680" s="27" t="str">
        <f aca="false">IF(G4680="","",IF(G4680="?","⚠ pub inconnue",IFERROR(INDEX(Pubs!$B$2:$B$3001,MATCH(G4680,Pubs!$A$2:$A$3001,0))&amp;"","⚠ pub inconnue")))</f>
        <v/>
      </c>
      <c r="I4680" s="27" t="str">
        <f aca="false">IF(OR(G4680="",G4680="?"),"",IFERROR(INDEX(Pubs!$C$2:$C$3001,MATCH(G4680,Pubs!$A$2:$A$3001,0))&amp;"",""))</f>
        <v/>
      </c>
      <c r="J4680" s="27" t="str">
        <f aca="false">IF(OR(G4680="",G4680="?"),"",IFERROR(INDEX(Pubs!$G$2:$G$3001,MATCH(G4680,Pubs!$A$2:$A$3001,0))&amp;"",""))</f>
        <v/>
      </c>
      <c r="K4680" s="28" t="str">
        <f aca="false">IF(OR(G4680="",G4680="?"),"",IFERROR(INDEX(Pubs!$E$2:$E$3001,MATCH(G4680,Pubs!$A$2:$A$3001,0)),""))</f>
        <v/>
      </c>
      <c r="L4680" s="29" t="str">
        <f aca="false">IF(A4680="","",IFERROR(1/(1/INDEX(Numéros!$C$2:$C$3001,MATCH(A4680&amp;"|"&amp;B4680,Numéros!$F$2:$F$3001,0))),""))</f>
        <v/>
      </c>
      <c r="M4680" s="27" t="str">
        <f aca="false">IF(OR(G4680="",G4680="?"),"",IFERROR(INDEX(Pubs!$D$2:$D$3001,MATCH(G4680,Pubs!$A$2:$A$3001,0))&amp;"",""))</f>
        <v/>
      </c>
      <c r="N4680" s="27" t="n">
        <f aca="false">N(N4679)+IF(AND(A4680&lt;&gt;"",OR(Recherche!$C$4="",A4680=Recherche!$C$4),OR(Recherche!$C$5="",B4680&amp;""=Recherche!$C$5&amp;""),OR(Recherche!$C$6="",IFERROR(YEAR(L4680),0)=Recherche!$C$6),OR(Recherche!$C$7="",ISNUMBER(SEARCH(Recherche!$C$7,H4680))),OR(Recherche!$C$8="",J4680=Recherche!$C$8),OR(Recherche!$C$9="",I4680=Recherche!$C$9),OR(Recherche!$C$10="",G4680&amp;""=Recherche!$C$10&amp;""),OR(Recherche!$C$11="",E4680=Recherche!$C$11),OR(Recherche!$C$12="",ISNUMBER(SEARCH(Recherche!$C$12,M4680&amp;" "&amp;F4680)))),1,0)</f>
        <v>8</v>
      </c>
    </row>
    <row r="4681" customFormat="false" ht="15" hidden="false" customHeight="false" outlineLevel="0" collapsed="false">
      <c r="A4681" s="19"/>
      <c r="B4681" s="19"/>
      <c r="C4681" s="19"/>
      <c r="D4681" s="19"/>
      <c r="E4681" s="22"/>
      <c r="F4681" s="19"/>
      <c r="G4681" s="26" t="str">
        <f aca="false">IF(D4681="","",IFERROR(VALUE(LEFT(D4681,FIND(" |",D4681&amp;" |")-1)),"?"))</f>
        <v/>
      </c>
      <c r="H4681" s="27" t="str">
        <f aca="false">IF(G4681="","",IF(G4681="?","⚠ pub inconnue",IFERROR(INDEX(Pubs!$B$2:$B$3001,MATCH(G4681,Pubs!$A$2:$A$3001,0))&amp;"","⚠ pub inconnue")))</f>
        <v/>
      </c>
      <c r="I4681" s="27" t="str">
        <f aca="false">IF(OR(G4681="",G4681="?"),"",IFERROR(INDEX(Pubs!$C$2:$C$3001,MATCH(G4681,Pubs!$A$2:$A$3001,0))&amp;"",""))</f>
        <v/>
      </c>
      <c r="J4681" s="27" t="str">
        <f aca="false">IF(OR(G4681="",G4681="?"),"",IFERROR(INDEX(Pubs!$G$2:$G$3001,MATCH(G4681,Pubs!$A$2:$A$3001,0))&amp;"",""))</f>
        <v/>
      </c>
      <c r="K4681" s="28" t="str">
        <f aca="false">IF(OR(G4681="",G4681="?"),"",IFERROR(INDEX(Pubs!$E$2:$E$3001,MATCH(G4681,Pubs!$A$2:$A$3001,0)),""))</f>
        <v/>
      </c>
      <c r="L4681" s="29" t="str">
        <f aca="false">IF(A4681="","",IFERROR(1/(1/INDEX(Numéros!$C$2:$C$3001,MATCH(A4681&amp;"|"&amp;B4681,Numéros!$F$2:$F$3001,0))),""))</f>
        <v/>
      </c>
      <c r="M4681" s="27" t="str">
        <f aca="false">IF(OR(G4681="",G4681="?"),"",IFERROR(INDEX(Pubs!$D$2:$D$3001,MATCH(G4681,Pubs!$A$2:$A$3001,0))&amp;"",""))</f>
        <v/>
      </c>
      <c r="N4681" s="27" t="n">
        <f aca="false">N(N4680)+IF(AND(A4681&lt;&gt;"",OR(Recherche!$C$4="",A4681=Recherche!$C$4),OR(Recherche!$C$5="",B4681&amp;""=Recherche!$C$5&amp;""),OR(Recherche!$C$6="",IFERROR(YEAR(L4681),0)=Recherche!$C$6),OR(Recherche!$C$7="",ISNUMBER(SEARCH(Recherche!$C$7,H4681))),OR(Recherche!$C$8="",J4681=Recherche!$C$8),OR(Recherche!$C$9="",I4681=Recherche!$C$9),OR(Recherche!$C$10="",G4681&amp;""=Recherche!$C$10&amp;""),OR(Recherche!$C$11="",E4681=Recherche!$C$11),OR(Recherche!$C$12="",ISNUMBER(SEARCH(Recherche!$C$12,M4681&amp;" "&amp;F4681)))),1,0)</f>
        <v>8</v>
      </c>
    </row>
    <row r="4682" customFormat="false" ht="15" hidden="false" customHeight="false" outlineLevel="0" collapsed="false">
      <c r="A4682" s="19"/>
      <c r="B4682" s="19"/>
      <c r="C4682" s="19"/>
      <c r="D4682" s="19"/>
      <c r="E4682" s="22"/>
      <c r="F4682" s="19"/>
      <c r="G4682" s="26" t="str">
        <f aca="false">IF(D4682="","",IFERROR(VALUE(LEFT(D4682,FIND(" |",D4682&amp;" |")-1)),"?"))</f>
        <v/>
      </c>
      <c r="H4682" s="27" t="str">
        <f aca="false">IF(G4682="","",IF(G4682="?","⚠ pub inconnue",IFERROR(INDEX(Pubs!$B$2:$B$3001,MATCH(G4682,Pubs!$A$2:$A$3001,0))&amp;"","⚠ pub inconnue")))</f>
        <v/>
      </c>
      <c r="I4682" s="27" t="str">
        <f aca="false">IF(OR(G4682="",G4682="?"),"",IFERROR(INDEX(Pubs!$C$2:$C$3001,MATCH(G4682,Pubs!$A$2:$A$3001,0))&amp;"",""))</f>
        <v/>
      </c>
      <c r="J4682" s="27" t="str">
        <f aca="false">IF(OR(G4682="",G4682="?"),"",IFERROR(INDEX(Pubs!$G$2:$G$3001,MATCH(G4682,Pubs!$A$2:$A$3001,0))&amp;"",""))</f>
        <v/>
      </c>
      <c r="K4682" s="28" t="str">
        <f aca="false">IF(OR(G4682="",G4682="?"),"",IFERROR(INDEX(Pubs!$E$2:$E$3001,MATCH(G4682,Pubs!$A$2:$A$3001,0)),""))</f>
        <v/>
      </c>
      <c r="L4682" s="29" t="str">
        <f aca="false">IF(A4682="","",IFERROR(1/(1/INDEX(Numéros!$C$2:$C$3001,MATCH(A4682&amp;"|"&amp;B4682,Numéros!$F$2:$F$3001,0))),""))</f>
        <v/>
      </c>
      <c r="M4682" s="27" t="str">
        <f aca="false">IF(OR(G4682="",G4682="?"),"",IFERROR(INDEX(Pubs!$D$2:$D$3001,MATCH(G4682,Pubs!$A$2:$A$3001,0))&amp;"",""))</f>
        <v/>
      </c>
      <c r="N4682" s="27" t="n">
        <f aca="false">N(N4681)+IF(AND(A4682&lt;&gt;"",OR(Recherche!$C$4="",A4682=Recherche!$C$4),OR(Recherche!$C$5="",B4682&amp;""=Recherche!$C$5&amp;""),OR(Recherche!$C$6="",IFERROR(YEAR(L4682),0)=Recherche!$C$6),OR(Recherche!$C$7="",ISNUMBER(SEARCH(Recherche!$C$7,H4682))),OR(Recherche!$C$8="",J4682=Recherche!$C$8),OR(Recherche!$C$9="",I4682=Recherche!$C$9),OR(Recherche!$C$10="",G4682&amp;""=Recherche!$C$10&amp;""),OR(Recherche!$C$11="",E4682=Recherche!$C$11),OR(Recherche!$C$12="",ISNUMBER(SEARCH(Recherche!$C$12,M4682&amp;" "&amp;F4682)))),1,0)</f>
        <v>8</v>
      </c>
    </row>
    <row r="4683" customFormat="false" ht="15" hidden="false" customHeight="false" outlineLevel="0" collapsed="false">
      <c r="A4683" s="19"/>
      <c r="B4683" s="19"/>
      <c r="C4683" s="19"/>
      <c r="D4683" s="19"/>
      <c r="E4683" s="22"/>
      <c r="F4683" s="19"/>
      <c r="G4683" s="26" t="str">
        <f aca="false">IF(D4683="","",IFERROR(VALUE(LEFT(D4683,FIND(" |",D4683&amp;" |")-1)),"?"))</f>
        <v/>
      </c>
      <c r="H4683" s="27" t="str">
        <f aca="false">IF(G4683="","",IF(G4683="?","⚠ pub inconnue",IFERROR(INDEX(Pubs!$B$2:$B$3001,MATCH(G4683,Pubs!$A$2:$A$3001,0))&amp;"","⚠ pub inconnue")))</f>
        <v/>
      </c>
      <c r="I4683" s="27" t="str">
        <f aca="false">IF(OR(G4683="",G4683="?"),"",IFERROR(INDEX(Pubs!$C$2:$C$3001,MATCH(G4683,Pubs!$A$2:$A$3001,0))&amp;"",""))</f>
        <v/>
      </c>
      <c r="J4683" s="27" t="str">
        <f aca="false">IF(OR(G4683="",G4683="?"),"",IFERROR(INDEX(Pubs!$G$2:$G$3001,MATCH(G4683,Pubs!$A$2:$A$3001,0))&amp;"",""))</f>
        <v/>
      </c>
      <c r="K4683" s="28" t="str">
        <f aca="false">IF(OR(G4683="",G4683="?"),"",IFERROR(INDEX(Pubs!$E$2:$E$3001,MATCH(G4683,Pubs!$A$2:$A$3001,0)),""))</f>
        <v/>
      </c>
      <c r="L4683" s="29" t="str">
        <f aca="false">IF(A4683="","",IFERROR(1/(1/INDEX(Numéros!$C$2:$C$3001,MATCH(A4683&amp;"|"&amp;B4683,Numéros!$F$2:$F$3001,0))),""))</f>
        <v/>
      </c>
      <c r="M4683" s="27" t="str">
        <f aca="false">IF(OR(G4683="",G4683="?"),"",IFERROR(INDEX(Pubs!$D$2:$D$3001,MATCH(G4683,Pubs!$A$2:$A$3001,0))&amp;"",""))</f>
        <v/>
      </c>
      <c r="N4683" s="27" t="n">
        <f aca="false">N(N4682)+IF(AND(A4683&lt;&gt;"",OR(Recherche!$C$4="",A4683=Recherche!$C$4),OR(Recherche!$C$5="",B4683&amp;""=Recherche!$C$5&amp;""),OR(Recherche!$C$6="",IFERROR(YEAR(L4683),0)=Recherche!$C$6),OR(Recherche!$C$7="",ISNUMBER(SEARCH(Recherche!$C$7,H4683))),OR(Recherche!$C$8="",J4683=Recherche!$C$8),OR(Recherche!$C$9="",I4683=Recherche!$C$9),OR(Recherche!$C$10="",G4683&amp;""=Recherche!$C$10&amp;""),OR(Recherche!$C$11="",E4683=Recherche!$C$11),OR(Recherche!$C$12="",ISNUMBER(SEARCH(Recherche!$C$12,M4683&amp;" "&amp;F4683)))),1,0)</f>
        <v>8</v>
      </c>
    </row>
    <row r="4684" customFormat="false" ht="15" hidden="false" customHeight="false" outlineLevel="0" collapsed="false">
      <c r="A4684" s="19"/>
      <c r="B4684" s="19"/>
      <c r="C4684" s="19"/>
      <c r="D4684" s="19"/>
      <c r="E4684" s="22"/>
      <c r="F4684" s="19"/>
      <c r="G4684" s="26" t="str">
        <f aca="false">IF(D4684="","",IFERROR(VALUE(LEFT(D4684,FIND(" |",D4684&amp;" |")-1)),"?"))</f>
        <v/>
      </c>
      <c r="H4684" s="27" t="str">
        <f aca="false">IF(G4684="","",IF(G4684="?","⚠ pub inconnue",IFERROR(INDEX(Pubs!$B$2:$B$3001,MATCH(G4684,Pubs!$A$2:$A$3001,0))&amp;"","⚠ pub inconnue")))</f>
        <v/>
      </c>
      <c r="I4684" s="27" t="str">
        <f aca="false">IF(OR(G4684="",G4684="?"),"",IFERROR(INDEX(Pubs!$C$2:$C$3001,MATCH(G4684,Pubs!$A$2:$A$3001,0))&amp;"",""))</f>
        <v/>
      </c>
      <c r="J4684" s="27" t="str">
        <f aca="false">IF(OR(G4684="",G4684="?"),"",IFERROR(INDEX(Pubs!$G$2:$G$3001,MATCH(G4684,Pubs!$A$2:$A$3001,0))&amp;"",""))</f>
        <v/>
      </c>
      <c r="K4684" s="28" t="str">
        <f aca="false">IF(OR(G4684="",G4684="?"),"",IFERROR(INDEX(Pubs!$E$2:$E$3001,MATCH(G4684,Pubs!$A$2:$A$3001,0)),""))</f>
        <v/>
      </c>
      <c r="L4684" s="29" t="str">
        <f aca="false">IF(A4684="","",IFERROR(1/(1/INDEX(Numéros!$C$2:$C$3001,MATCH(A4684&amp;"|"&amp;B4684,Numéros!$F$2:$F$3001,0))),""))</f>
        <v/>
      </c>
      <c r="M4684" s="27" t="str">
        <f aca="false">IF(OR(G4684="",G4684="?"),"",IFERROR(INDEX(Pubs!$D$2:$D$3001,MATCH(G4684,Pubs!$A$2:$A$3001,0))&amp;"",""))</f>
        <v/>
      </c>
      <c r="N4684" s="27" t="n">
        <f aca="false">N(N4683)+IF(AND(A4684&lt;&gt;"",OR(Recherche!$C$4="",A4684=Recherche!$C$4),OR(Recherche!$C$5="",B4684&amp;""=Recherche!$C$5&amp;""),OR(Recherche!$C$6="",IFERROR(YEAR(L4684),0)=Recherche!$C$6),OR(Recherche!$C$7="",ISNUMBER(SEARCH(Recherche!$C$7,H4684))),OR(Recherche!$C$8="",J4684=Recherche!$C$8),OR(Recherche!$C$9="",I4684=Recherche!$C$9),OR(Recherche!$C$10="",G4684&amp;""=Recherche!$C$10&amp;""),OR(Recherche!$C$11="",E4684=Recherche!$C$11),OR(Recherche!$C$12="",ISNUMBER(SEARCH(Recherche!$C$12,M4684&amp;" "&amp;F4684)))),1,0)</f>
        <v>8</v>
      </c>
    </row>
    <row r="4685" customFormat="false" ht="15" hidden="false" customHeight="false" outlineLevel="0" collapsed="false">
      <c r="A4685" s="19"/>
      <c r="B4685" s="19"/>
      <c r="C4685" s="19"/>
      <c r="D4685" s="19"/>
      <c r="E4685" s="22"/>
      <c r="F4685" s="19"/>
      <c r="G4685" s="26" t="str">
        <f aca="false">IF(D4685="","",IFERROR(VALUE(LEFT(D4685,FIND(" |",D4685&amp;" |")-1)),"?"))</f>
        <v/>
      </c>
      <c r="H4685" s="27" t="str">
        <f aca="false">IF(G4685="","",IF(G4685="?","⚠ pub inconnue",IFERROR(INDEX(Pubs!$B$2:$B$3001,MATCH(G4685,Pubs!$A$2:$A$3001,0))&amp;"","⚠ pub inconnue")))</f>
        <v/>
      </c>
      <c r="I4685" s="27" t="str">
        <f aca="false">IF(OR(G4685="",G4685="?"),"",IFERROR(INDEX(Pubs!$C$2:$C$3001,MATCH(G4685,Pubs!$A$2:$A$3001,0))&amp;"",""))</f>
        <v/>
      </c>
      <c r="J4685" s="27" t="str">
        <f aca="false">IF(OR(G4685="",G4685="?"),"",IFERROR(INDEX(Pubs!$G$2:$G$3001,MATCH(G4685,Pubs!$A$2:$A$3001,0))&amp;"",""))</f>
        <v/>
      </c>
      <c r="K4685" s="28" t="str">
        <f aca="false">IF(OR(G4685="",G4685="?"),"",IFERROR(INDEX(Pubs!$E$2:$E$3001,MATCH(G4685,Pubs!$A$2:$A$3001,0)),""))</f>
        <v/>
      </c>
      <c r="L4685" s="29" t="str">
        <f aca="false">IF(A4685="","",IFERROR(1/(1/INDEX(Numéros!$C$2:$C$3001,MATCH(A4685&amp;"|"&amp;B4685,Numéros!$F$2:$F$3001,0))),""))</f>
        <v/>
      </c>
      <c r="M4685" s="27" t="str">
        <f aca="false">IF(OR(G4685="",G4685="?"),"",IFERROR(INDEX(Pubs!$D$2:$D$3001,MATCH(G4685,Pubs!$A$2:$A$3001,0))&amp;"",""))</f>
        <v/>
      </c>
      <c r="N4685" s="27" t="n">
        <f aca="false">N(N4684)+IF(AND(A4685&lt;&gt;"",OR(Recherche!$C$4="",A4685=Recherche!$C$4),OR(Recherche!$C$5="",B4685&amp;""=Recherche!$C$5&amp;""),OR(Recherche!$C$6="",IFERROR(YEAR(L4685),0)=Recherche!$C$6),OR(Recherche!$C$7="",ISNUMBER(SEARCH(Recherche!$C$7,H4685))),OR(Recherche!$C$8="",J4685=Recherche!$C$8),OR(Recherche!$C$9="",I4685=Recherche!$C$9),OR(Recherche!$C$10="",G4685&amp;""=Recherche!$C$10&amp;""),OR(Recherche!$C$11="",E4685=Recherche!$C$11),OR(Recherche!$C$12="",ISNUMBER(SEARCH(Recherche!$C$12,M4685&amp;" "&amp;F4685)))),1,0)</f>
        <v>8</v>
      </c>
    </row>
    <row r="4686" customFormat="false" ht="15" hidden="false" customHeight="false" outlineLevel="0" collapsed="false">
      <c r="A4686" s="19"/>
      <c r="B4686" s="19"/>
      <c r="C4686" s="19"/>
      <c r="D4686" s="19"/>
      <c r="E4686" s="22"/>
      <c r="F4686" s="19"/>
      <c r="G4686" s="26" t="str">
        <f aca="false">IF(D4686="","",IFERROR(VALUE(LEFT(D4686,FIND(" |",D4686&amp;" |")-1)),"?"))</f>
        <v/>
      </c>
      <c r="H4686" s="27" t="str">
        <f aca="false">IF(G4686="","",IF(G4686="?","⚠ pub inconnue",IFERROR(INDEX(Pubs!$B$2:$B$3001,MATCH(G4686,Pubs!$A$2:$A$3001,0))&amp;"","⚠ pub inconnue")))</f>
        <v/>
      </c>
      <c r="I4686" s="27" t="str">
        <f aca="false">IF(OR(G4686="",G4686="?"),"",IFERROR(INDEX(Pubs!$C$2:$C$3001,MATCH(G4686,Pubs!$A$2:$A$3001,0))&amp;"",""))</f>
        <v/>
      </c>
      <c r="J4686" s="27" t="str">
        <f aca="false">IF(OR(G4686="",G4686="?"),"",IFERROR(INDEX(Pubs!$G$2:$G$3001,MATCH(G4686,Pubs!$A$2:$A$3001,0))&amp;"",""))</f>
        <v/>
      </c>
      <c r="K4686" s="28" t="str">
        <f aca="false">IF(OR(G4686="",G4686="?"),"",IFERROR(INDEX(Pubs!$E$2:$E$3001,MATCH(G4686,Pubs!$A$2:$A$3001,0)),""))</f>
        <v/>
      </c>
      <c r="L4686" s="29" t="str">
        <f aca="false">IF(A4686="","",IFERROR(1/(1/INDEX(Numéros!$C$2:$C$3001,MATCH(A4686&amp;"|"&amp;B4686,Numéros!$F$2:$F$3001,0))),""))</f>
        <v/>
      </c>
      <c r="M4686" s="27" t="str">
        <f aca="false">IF(OR(G4686="",G4686="?"),"",IFERROR(INDEX(Pubs!$D$2:$D$3001,MATCH(G4686,Pubs!$A$2:$A$3001,0))&amp;"",""))</f>
        <v/>
      </c>
      <c r="N4686" s="27" t="n">
        <f aca="false">N(N4685)+IF(AND(A4686&lt;&gt;"",OR(Recherche!$C$4="",A4686=Recherche!$C$4),OR(Recherche!$C$5="",B4686&amp;""=Recherche!$C$5&amp;""),OR(Recherche!$C$6="",IFERROR(YEAR(L4686),0)=Recherche!$C$6),OR(Recherche!$C$7="",ISNUMBER(SEARCH(Recherche!$C$7,H4686))),OR(Recherche!$C$8="",J4686=Recherche!$C$8),OR(Recherche!$C$9="",I4686=Recherche!$C$9),OR(Recherche!$C$10="",G4686&amp;""=Recherche!$C$10&amp;""),OR(Recherche!$C$11="",E4686=Recherche!$C$11),OR(Recherche!$C$12="",ISNUMBER(SEARCH(Recherche!$C$12,M4686&amp;" "&amp;F4686)))),1,0)</f>
        <v>8</v>
      </c>
    </row>
    <row r="4687" customFormat="false" ht="15" hidden="false" customHeight="false" outlineLevel="0" collapsed="false">
      <c r="A4687" s="19"/>
      <c r="B4687" s="19"/>
      <c r="C4687" s="19"/>
      <c r="D4687" s="19"/>
      <c r="E4687" s="22"/>
      <c r="F4687" s="19"/>
      <c r="G4687" s="26" t="str">
        <f aca="false">IF(D4687="","",IFERROR(VALUE(LEFT(D4687,FIND(" |",D4687&amp;" |")-1)),"?"))</f>
        <v/>
      </c>
      <c r="H4687" s="27" t="str">
        <f aca="false">IF(G4687="","",IF(G4687="?","⚠ pub inconnue",IFERROR(INDEX(Pubs!$B$2:$B$3001,MATCH(G4687,Pubs!$A$2:$A$3001,0))&amp;"","⚠ pub inconnue")))</f>
        <v/>
      </c>
      <c r="I4687" s="27" t="str">
        <f aca="false">IF(OR(G4687="",G4687="?"),"",IFERROR(INDEX(Pubs!$C$2:$C$3001,MATCH(G4687,Pubs!$A$2:$A$3001,0))&amp;"",""))</f>
        <v/>
      </c>
      <c r="J4687" s="27" t="str">
        <f aca="false">IF(OR(G4687="",G4687="?"),"",IFERROR(INDEX(Pubs!$G$2:$G$3001,MATCH(G4687,Pubs!$A$2:$A$3001,0))&amp;"",""))</f>
        <v/>
      </c>
      <c r="K4687" s="28" t="str">
        <f aca="false">IF(OR(G4687="",G4687="?"),"",IFERROR(INDEX(Pubs!$E$2:$E$3001,MATCH(G4687,Pubs!$A$2:$A$3001,0)),""))</f>
        <v/>
      </c>
      <c r="L4687" s="29" t="str">
        <f aca="false">IF(A4687="","",IFERROR(1/(1/INDEX(Numéros!$C$2:$C$3001,MATCH(A4687&amp;"|"&amp;B4687,Numéros!$F$2:$F$3001,0))),""))</f>
        <v/>
      </c>
      <c r="M4687" s="27" t="str">
        <f aca="false">IF(OR(G4687="",G4687="?"),"",IFERROR(INDEX(Pubs!$D$2:$D$3001,MATCH(G4687,Pubs!$A$2:$A$3001,0))&amp;"",""))</f>
        <v/>
      </c>
      <c r="N4687" s="27" t="n">
        <f aca="false">N(N4686)+IF(AND(A4687&lt;&gt;"",OR(Recherche!$C$4="",A4687=Recherche!$C$4),OR(Recherche!$C$5="",B4687&amp;""=Recherche!$C$5&amp;""),OR(Recherche!$C$6="",IFERROR(YEAR(L4687),0)=Recherche!$C$6),OR(Recherche!$C$7="",ISNUMBER(SEARCH(Recherche!$C$7,H4687))),OR(Recherche!$C$8="",J4687=Recherche!$C$8),OR(Recherche!$C$9="",I4687=Recherche!$C$9),OR(Recherche!$C$10="",G4687&amp;""=Recherche!$C$10&amp;""),OR(Recherche!$C$11="",E4687=Recherche!$C$11),OR(Recherche!$C$12="",ISNUMBER(SEARCH(Recherche!$C$12,M4687&amp;" "&amp;F4687)))),1,0)</f>
        <v>8</v>
      </c>
    </row>
    <row r="4688" customFormat="false" ht="15" hidden="false" customHeight="false" outlineLevel="0" collapsed="false">
      <c r="A4688" s="19"/>
      <c r="B4688" s="19"/>
      <c r="C4688" s="19"/>
      <c r="D4688" s="19"/>
      <c r="E4688" s="22"/>
      <c r="F4688" s="19"/>
      <c r="G4688" s="26" t="str">
        <f aca="false">IF(D4688="","",IFERROR(VALUE(LEFT(D4688,FIND(" |",D4688&amp;" |")-1)),"?"))</f>
        <v/>
      </c>
      <c r="H4688" s="27" t="str">
        <f aca="false">IF(G4688="","",IF(G4688="?","⚠ pub inconnue",IFERROR(INDEX(Pubs!$B$2:$B$3001,MATCH(G4688,Pubs!$A$2:$A$3001,0))&amp;"","⚠ pub inconnue")))</f>
        <v/>
      </c>
      <c r="I4688" s="27" t="str">
        <f aca="false">IF(OR(G4688="",G4688="?"),"",IFERROR(INDEX(Pubs!$C$2:$C$3001,MATCH(G4688,Pubs!$A$2:$A$3001,0))&amp;"",""))</f>
        <v/>
      </c>
      <c r="J4688" s="27" t="str">
        <f aca="false">IF(OR(G4688="",G4688="?"),"",IFERROR(INDEX(Pubs!$G$2:$G$3001,MATCH(G4688,Pubs!$A$2:$A$3001,0))&amp;"",""))</f>
        <v/>
      </c>
      <c r="K4688" s="28" t="str">
        <f aca="false">IF(OR(G4688="",G4688="?"),"",IFERROR(INDEX(Pubs!$E$2:$E$3001,MATCH(G4688,Pubs!$A$2:$A$3001,0)),""))</f>
        <v/>
      </c>
      <c r="L4688" s="29" t="str">
        <f aca="false">IF(A4688="","",IFERROR(1/(1/INDEX(Numéros!$C$2:$C$3001,MATCH(A4688&amp;"|"&amp;B4688,Numéros!$F$2:$F$3001,0))),""))</f>
        <v/>
      </c>
      <c r="M4688" s="27" t="str">
        <f aca="false">IF(OR(G4688="",G4688="?"),"",IFERROR(INDEX(Pubs!$D$2:$D$3001,MATCH(G4688,Pubs!$A$2:$A$3001,0))&amp;"",""))</f>
        <v/>
      </c>
      <c r="N4688" s="27" t="n">
        <f aca="false">N(N4687)+IF(AND(A4688&lt;&gt;"",OR(Recherche!$C$4="",A4688=Recherche!$C$4),OR(Recherche!$C$5="",B4688&amp;""=Recherche!$C$5&amp;""),OR(Recherche!$C$6="",IFERROR(YEAR(L4688),0)=Recherche!$C$6),OR(Recherche!$C$7="",ISNUMBER(SEARCH(Recherche!$C$7,H4688))),OR(Recherche!$C$8="",J4688=Recherche!$C$8),OR(Recherche!$C$9="",I4688=Recherche!$C$9),OR(Recherche!$C$10="",G4688&amp;""=Recherche!$C$10&amp;""),OR(Recherche!$C$11="",E4688=Recherche!$C$11),OR(Recherche!$C$12="",ISNUMBER(SEARCH(Recherche!$C$12,M4688&amp;" "&amp;F4688)))),1,0)</f>
        <v>8</v>
      </c>
    </row>
    <row r="4689" customFormat="false" ht="15" hidden="false" customHeight="false" outlineLevel="0" collapsed="false">
      <c r="A4689" s="19"/>
      <c r="B4689" s="19"/>
      <c r="C4689" s="19"/>
      <c r="D4689" s="19"/>
      <c r="E4689" s="22"/>
      <c r="F4689" s="19"/>
      <c r="G4689" s="26" t="str">
        <f aca="false">IF(D4689="","",IFERROR(VALUE(LEFT(D4689,FIND(" |",D4689&amp;" |")-1)),"?"))</f>
        <v/>
      </c>
      <c r="H4689" s="27" t="str">
        <f aca="false">IF(G4689="","",IF(G4689="?","⚠ pub inconnue",IFERROR(INDEX(Pubs!$B$2:$B$3001,MATCH(G4689,Pubs!$A$2:$A$3001,0))&amp;"","⚠ pub inconnue")))</f>
        <v/>
      </c>
      <c r="I4689" s="27" t="str">
        <f aca="false">IF(OR(G4689="",G4689="?"),"",IFERROR(INDEX(Pubs!$C$2:$C$3001,MATCH(G4689,Pubs!$A$2:$A$3001,0))&amp;"",""))</f>
        <v/>
      </c>
      <c r="J4689" s="27" t="str">
        <f aca="false">IF(OR(G4689="",G4689="?"),"",IFERROR(INDEX(Pubs!$G$2:$G$3001,MATCH(G4689,Pubs!$A$2:$A$3001,0))&amp;"",""))</f>
        <v/>
      </c>
      <c r="K4689" s="28" t="str">
        <f aca="false">IF(OR(G4689="",G4689="?"),"",IFERROR(INDEX(Pubs!$E$2:$E$3001,MATCH(G4689,Pubs!$A$2:$A$3001,0)),""))</f>
        <v/>
      </c>
      <c r="L4689" s="29" t="str">
        <f aca="false">IF(A4689="","",IFERROR(1/(1/INDEX(Numéros!$C$2:$C$3001,MATCH(A4689&amp;"|"&amp;B4689,Numéros!$F$2:$F$3001,0))),""))</f>
        <v/>
      </c>
      <c r="M4689" s="27" t="str">
        <f aca="false">IF(OR(G4689="",G4689="?"),"",IFERROR(INDEX(Pubs!$D$2:$D$3001,MATCH(G4689,Pubs!$A$2:$A$3001,0))&amp;"",""))</f>
        <v/>
      </c>
      <c r="N4689" s="27" t="n">
        <f aca="false">N(N4688)+IF(AND(A4689&lt;&gt;"",OR(Recherche!$C$4="",A4689=Recherche!$C$4),OR(Recherche!$C$5="",B4689&amp;""=Recherche!$C$5&amp;""),OR(Recherche!$C$6="",IFERROR(YEAR(L4689),0)=Recherche!$C$6),OR(Recherche!$C$7="",ISNUMBER(SEARCH(Recherche!$C$7,H4689))),OR(Recherche!$C$8="",J4689=Recherche!$C$8),OR(Recherche!$C$9="",I4689=Recherche!$C$9),OR(Recherche!$C$10="",G4689&amp;""=Recherche!$C$10&amp;""),OR(Recherche!$C$11="",E4689=Recherche!$C$11),OR(Recherche!$C$12="",ISNUMBER(SEARCH(Recherche!$C$12,M4689&amp;" "&amp;F4689)))),1,0)</f>
        <v>8</v>
      </c>
    </row>
    <row r="4690" customFormat="false" ht="15" hidden="false" customHeight="false" outlineLevel="0" collapsed="false">
      <c r="A4690" s="19"/>
      <c r="B4690" s="19"/>
      <c r="C4690" s="19"/>
      <c r="D4690" s="19"/>
      <c r="E4690" s="22"/>
      <c r="F4690" s="19"/>
      <c r="G4690" s="26" t="str">
        <f aca="false">IF(D4690="","",IFERROR(VALUE(LEFT(D4690,FIND(" |",D4690&amp;" |")-1)),"?"))</f>
        <v/>
      </c>
      <c r="H4690" s="27" t="str">
        <f aca="false">IF(G4690="","",IF(G4690="?","⚠ pub inconnue",IFERROR(INDEX(Pubs!$B$2:$B$3001,MATCH(G4690,Pubs!$A$2:$A$3001,0))&amp;"","⚠ pub inconnue")))</f>
        <v/>
      </c>
      <c r="I4690" s="27" t="str">
        <f aca="false">IF(OR(G4690="",G4690="?"),"",IFERROR(INDEX(Pubs!$C$2:$C$3001,MATCH(G4690,Pubs!$A$2:$A$3001,0))&amp;"",""))</f>
        <v/>
      </c>
      <c r="J4690" s="27" t="str">
        <f aca="false">IF(OR(G4690="",G4690="?"),"",IFERROR(INDEX(Pubs!$G$2:$G$3001,MATCH(G4690,Pubs!$A$2:$A$3001,0))&amp;"",""))</f>
        <v/>
      </c>
      <c r="K4690" s="28" t="str">
        <f aca="false">IF(OR(G4690="",G4690="?"),"",IFERROR(INDEX(Pubs!$E$2:$E$3001,MATCH(G4690,Pubs!$A$2:$A$3001,0)),""))</f>
        <v/>
      </c>
      <c r="L4690" s="29" t="str">
        <f aca="false">IF(A4690="","",IFERROR(1/(1/INDEX(Numéros!$C$2:$C$3001,MATCH(A4690&amp;"|"&amp;B4690,Numéros!$F$2:$F$3001,0))),""))</f>
        <v/>
      </c>
      <c r="M4690" s="27" t="str">
        <f aca="false">IF(OR(G4690="",G4690="?"),"",IFERROR(INDEX(Pubs!$D$2:$D$3001,MATCH(G4690,Pubs!$A$2:$A$3001,0))&amp;"",""))</f>
        <v/>
      </c>
      <c r="N4690" s="27" t="n">
        <f aca="false">N(N4689)+IF(AND(A4690&lt;&gt;"",OR(Recherche!$C$4="",A4690=Recherche!$C$4),OR(Recherche!$C$5="",B4690&amp;""=Recherche!$C$5&amp;""),OR(Recherche!$C$6="",IFERROR(YEAR(L4690),0)=Recherche!$C$6),OR(Recherche!$C$7="",ISNUMBER(SEARCH(Recherche!$C$7,H4690))),OR(Recherche!$C$8="",J4690=Recherche!$C$8),OR(Recherche!$C$9="",I4690=Recherche!$C$9),OR(Recherche!$C$10="",G4690&amp;""=Recherche!$C$10&amp;""),OR(Recherche!$C$11="",E4690=Recherche!$C$11),OR(Recherche!$C$12="",ISNUMBER(SEARCH(Recherche!$C$12,M4690&amp;" "&amp;F4690)))),1,0)</f>
        <v>8</v>
      </c>
    </row>
    <row r="4691" customFormat="false" ht="15" hidden="false" customHeight="false" outlineLevel="0" collapsed="false">
      <c r="A4691" s="19"/>
      <c r="B4691" s="19"/>
      <c r="C4691" s="19"/>
      <c r="D4691" s="19"/>
      <c r="E4691" s="22"/>
      <c r="F4691" s="19"/>
      <c r="G4691" s="26" t="str">
        <f aca="false">IF(D4691="","",IFERROR(VALUE(LEFT(D4691,FIND(" |",D4691&amp;" |")-1)),"?"))</f>
        <v/>
      </c>
      <c r="H4691" s="27" t="str">
        <f aca="false">IF(G4691="","",IF(G4691="?","⚠ pub inconnue",IFERROR(INDEX(Pubs!$B$2:$B$3001,MATCH(G4691,Pubs!$A$2:$A$3001,0))&amp;"","⚠ pub inconnue")))</f>
        <v/>
      </c>
      <c r="I4691" s="27" t="str">
        <f aca="false">IF(OR(G4691="",G4691="?"),"",IFERROR(INDEX(Pubs!$C$2:$C$3001,MATCH(G4691,Pubs!$A$2:$A$3001,0))&amp;"",""))</f>
        <v/>
      </c>
      <c r="J4691" s="27" t="str">
        <f aca="false">IF(OR(G4691="",G4691="?"),"",IFERROR(INDEX(Pubs!$G$2:$G$3001,MATCH(G4691,Pubs!$A$2:$A$3001,0))&amp;"",""))</f>
        <v/>
      </c>
      <c r="K4691" s="28" t="str">
        <f aca="false">IF(OR(G4691="",G4691="?"),"",IFERROR(INDEX(Pubs!$E$2:$E$3001,MATCH(G4691,Pubs!$A$2:$A$3001,0)),""))</f>
        <v/>
      </c>
      <c r="L4691" s="29" t="str">
        <f aca="false">IF(A4691="","",IFERROR(1/(1/INDEX(Numéros!$C$2:$C$3001,MATCH(A4691&amp;"|"&amp;B4691,Numéros!$F$2:$F$3001,0))),""))</f>
        <v/>
      </c>
      <c r="M4691" s="27" t="str">
        <f aca="false">IF(OR(G4691="",G4691="?"),"",IFERROR(INDEX(Pubs!$D$2:$D$3001,MATCH(G4691,Pubs!$A$2:$A$3001,0))&amp;"",""))</f>
        <v/>
      </c>
      <c r="N4691" s="27" t="n">
        <f aca="false">N(N4690)+IF(AND(A4691&lt;&gt;"",OR(Recherche!$C$4="",A4691=Recherche!$C$4),OR(Recherche!$C$5="",B4691&amp;""=Recherche!$C$5&amp;""),OR(Recherche!$C$6="",IFERROR(YEAR(L4691),0)=Recherche!$C$6),OR(Recherche!$C$7="",ISNUMBER(SEARCH(Recherche!$C$7,H4691))),OR(Recherche!$C$8="",J4691=Recherche!$C$8),OR(Recherche!$C$9="",I4691=Recherche!$C$9),OR(Recherche!$C$10="",G4691&amp;""=Recherche!$C$10&amp;""),OR(Recherche!$C$11="",E4691=Recherche!$C$11),OR(Recherche!$C$12="",ISNUMBER(SEARCH(Recherche!$C$12,M4691&amp;" "&amp;F4691)))),1,0)</f>
        <v>8</v>
      </c>
    </row>
    <row r="4692" customFormat="false" ht="15" hidden="false" customHeight="false" outlineLevel="0" collapsed="false">
      <c r="A4692" s="19"/>
      <c r="B4692" s="19"/>
      <c r="C4692" s="19"/>
      <c r="D4692" s="19"/>
      <c r="E4692" s="22"/>
      <c r="F4692" s="19"/>
      <c r="G4692" s="26" t="str">
        <f aca="false">IF(D4692="","",IFERROR(VALUE(LEFT(D4692,FIND(" |",D4692&amp;" |")-1)),"?"))</f>
        <v/>
      </c>
      <c r="H4692" s="27" t="str">
        <f aca="false">IF(G4692="","",IF(G4692="?","⚠ pub inconnue",IFERROR(INDEX(Pubs!$B$2:$B$3001,MATCH(G4692,Pubs!$A$2:$A$3001,0))&amp;"","⚠ pub inconnue")))</f>
        <v/>
      </c>
      <c r="I4692" s="27" t="str">
        <f aca="false">IF(OR(G4692="",G4692="?"),"",IFERROR(INDEX(Pubs!$C$2:$C$3001,MATCH(G4692,Pubs!$A$2:$A$3001,0))&amp;"",""))</f>
        <v/>
      </c>
      <c r="J4692" s="27" t="str">
        <f aca="false">IF(OR(G4692="",G4692="?"),"",IFERROR(INDEX(Pubs!$G$2:$G$3001,MATCH(G4692,Pubs!$A$2:$A$3001,0))&amp;"",""))</f>
        <v/>
      </c>
      <c r="K4692" s="28" t="str">
        <f aca="false">IF(OR(G4692="",G4692="?"),"",IFERROR(INDEX(Pubs!$E$2:$E$3001,MATCH(G4692,Pubs!$A$2:$A$3001,0)),""))</f>
        <v/>
      </c>
      <c r="L4692" s="29" t="str">
        <f aca="false">IF(A4692="","",IFERROR(1/(1/INDEX(Numéros!$C$2:$C$3001,MATCH(A4692&amp;"|"&amp;B4692,Numéros!$F$2:$F$3001,0))),""))</f>
        <v/>
      </c>
      <c r="M4692" s="27" t="str">
        <f aca="false">IF(OR(G4692="",G4692="?"),"",IFERROR(INDEX(Pubs!$D$2:$D$3001,MATCH(G4692,Pubs!$A$2:$A$3001,0))&amp;"",""))</f>
        <v/>
      </c>
      <c r="N4692" s="27" t="n">
        <f aca="false">N(N4691)+IF(AND(A4692&lt;&gt;"",OR(Recherche!$C$4="",A4692=Recherche!$C$4),OR(Recherche!$C$5="",B4692&amp;""=Recherche!$C$5&amp;""),OR(Recherche!$C$6="",IFERROR(YEAR(L4692),0)=Recherche!$C$6),OR(Recherche!$C$7="",ISNUMBER(SEARCH(Recherche!$C$7,H4692))),OR(Recherche!$C$8="",J4692=Recherche!$C$8),OR(Recherche!$C$9="",I4692=Recherche!$C$9),OR(Recherche!$C$10="",G4692&amp;""=Recherche!$C$10&amp;""),OR(Recherche!$C$11="",E4692=Recherche!$C$11),OR(Recherche!$C$12="",ISNUMBER(SEARCH(Recherche!$C$12,M4692&amp;" "&amp;F4692)))),1,0)</f>
        <v>8</v>
      </c>
    </row>
    <row r="4693" customFormat="false" ht="15" hidden="false" customHeight="false" outlineLevel="0" collapsed="false">
      <c r="A4693" s="19"/>
      <c r="B4693" s="19"/>
      <c r="C4693" s="19"/>
      <c r="D4693" s="19"/>
      <c r="E4693" s="22"/>
      <c r="F4693" s="19"/>
      <c r="G4693" s="26" t="str">
        <f aca="false">IF(D4693="","",IFERROR(VALUE(LEFT(D4693,FIND(" |",D4693&amp;" |")-1)),"?"))</f>
        <v/>
      </c>
      <c r="H4693" s="27" t="str">
        <f aca="false">IF(G4693="","",IF(G4693="?","⚠ pub inconnue",IFERROR(INDEX(Pubs!$B$2:$B$3001,MATCH(G4693,Pubs!$A$2:$A$3001,0))&amp;"","⚠ pub inconnue")))</f>
        <v/>
      </c>
      <c r="I4693" s="27" t="str">
        <f aca="false">IF(OR(G4693="",G4693="?"),"",IFERROR(INDEX(Pubs!$C$2:$C$3001,MATCH(G4693,Pubs!$A$2:$A$3001,0))&amp;"",""))</f>
        <v/>
      </c>
      <c r="J4693" s="27" t="str">
        <f aca="false">IF(OR(G4693="",G4693="?"),"",IFERROR(INDEX(Pubs!$G$2:$G$3001,MATCH(G4693,Pubs!$A$2:$A$3001,0))&amp;"",""))</f>
        <v/>
      </c>
      <c r="K4693" s="28" t="str">
        <f aca="false">IF(OR(G4693="",G4693="?"),"",IFERROR(INDEX(Pubs!$E$2:$E$3001,MATCH(G4693,Pubs!$A$2:$A$3001,0)),""))</f>
        <v/>
      </c>
      <c r="L4693" s="29" t="str">
        <f aca="false">IF(A4693="","",IFERROR(1/(1/INDEX(Numéros!$C$2:$C$3001,MATCH(A4693&amp;"|"&amp;B4693,Numéros!$F$2:$F$3001,0))),""))</f>
        <v/>
      </c>
      <c r="M4693" s="27" t="str">
        <f aca="false">IF(OR(G4693="",G4693="?"),"",IFERROR(INDEX(Pubs!$D$2:$D$3001,MATCH(G4693,Pubs!$A$2:$A$3001,0))&amp;"",""))</f>
        <v/>
      </c>
      <c r="N4693" s="27" t="n">
        <f aca="false">N(N4692)+IF(AND(A4693&lt;&gt;"",OR(Recherche!$C$4="",A4693=Recherche!$C$4),OR(Recherche!$C$5="",B4693&amp;""=Recherche!$C$5&amp;""),OR(Recherche!$C$6="",IFERROR(YEAR(L4693),0)=Recherche!$C$6),OR(Recherche!$C$7="",ISNUMBER(SEARCH(Recherche!$C$7,H4693))),OR(Recherche!$C$8="",J4693=Recherche!$C$8),OR(Recherche!$C$9="",I4693=Recherche!$C$9),OR(Recherche!$C$10="",G4693&amp;""=Recherche!$C$10&amp;""),OR(Recherche!$C$11="",E4693=Recherche!$C$11),OR(Recherche!$C$12="",ISNUMBER(SEARCH(Recherche!$C$12,M4693&amp;" "&amp;F4693)))),1,0)</f>
        <v>8</v>
      </c>
    </row>
    <row r="4694" customFormat="false" ht="15" hidden="false" customHeight="false" outlineLevel="0" collapsed="false">
      <c r="A4694" s="19"/>
      <c r="B4694" s="19"/>
      <c r="C4694" s="19"/>
      <c r="D4694" s="19"/>
      <c r="E4694" s="22"/>
      <c r="F4694" s="19"/>
      <c r="G4694" s="26" t="str">
        <f aca="false">IF(D4694="","",IFERROR(VALUE(LEFT(D4694,FIND(" |",D4694&amp;" |")-1)),"?"))</f>
        <v/>
      </c>
      <c r="H4694" s="27" t="str">
        <f aca="false">IF(G4694="","",IF(G4694="?","⚠ pub inconnue",IFERROR(INDEX(Pubs!$B$2:$B$3001,MATCH(G4694,Pubs!$A$2:$A$3001,0))&amp;"","⚠ pub inconnue")))</f>
        <v/>
      </c>
      <c r="I4694" s="27" t="str">
        <f aca="false">IF(OR(G4694="",G4694="?"),"",IFERROR(INDEX(Pubs!$C$2:$C$3001,MATCH(G4694,Pubs!$A$2:$A$3001,0))&amp;"",""))</f>
        <v/>
      </c>
      <c r="J4694" s="27" t="str">
        <f aca="false">IF(OR(G4694="",G4694="?"),"",IFERROR(INDEX(Pubs!$G$2:$G$3001,MATCH(G4694,Pubs!$A$2:$A$3001,0))&amp;"",""))</f>
        <v/>
      </c>
      <c r="K4694" s="28" t="str">
        <f aca="false">IF(OR(G4694="",G4694="?"),"",IFERROR(INDEX(Pubs!$E$2:$E$3001,MATCH(G4694,Pubs!$A$2:$A$3001,0)),""))</f>
        <v/>
      </c>
      <c r="L4694" s="29" t="str">
        <f aca="false">IF(A4694="","",IFERROR(1/(1/INDEX(Numéros!$C$2:$C$3001,MATCH(A4694&amp;"|"&amp;B4694,Numéros!$F$2:$F$3001,0))),""))</f>
        <v/>
      </c>
      <c r="M4694" s="27" t="str">
        <f aca="false">IF(OR(G4694="",G4694="?"),"",IFERROR(INDEX(Pubs!$D$2:$D$3001,MATCH(G4694,Pubs!$A$2:$A$3001,0))&amp;"",""))</f>
        <v/>
      </c>
      <c r="N4694" s="27" t="n">
        <f aca="false">N(N4693)+IF(AND(A4694&lt;&gt;"",OR(Recherche!$C$4="",A4694=Recherche!$C$4),OR(Recherche!$C$5="",B4694&amp;""=Recherche!$C$5&amp;""),OR(Recherche!$C$6="",IFERROR(YEAR(L4694),0)=Recherche!$C$6),OR(Recherche!$C$7="",ISNUMBER(SEARCH(Recherche!$C$7,H4694))),OR(Recherche!$C$8="",J4694=Recherche!$C$8),OR(Recherche!$C$9="",I4694=Recherche!$C$9),OR(Recherche!$C$10="",G4694&amp;""=Recherche!$C$10&amp;""),OR(Recherche!$C$11="",E4694=Recherche!$C$11),OR(Recherche!$C$12="",ISNUMBER(SEARCH(Recherche!$C$12,M4694&amp;" "&amp;F4694)))),1,0)</f>
        <v>8</v>
      </c>
    </row>
    <row r="4695" customFormat="false" ht="15" hidden="false" customHeight="false" outlineLevel="0" collapsed="false">
      <c r="A4695" s="19"/>
      <c r="B4695" s="19"/>
      <c r="C4695" s="19"/>
      <c r="D4695" s="19"/>
      <c r="E4695" s="22"/>
      <c r="F4695" s="19"/>
      <c r="G4695" s="26" t="str">
        <f aca="false">IF(D4695="","",IFERROR(VALUE(LEFT(D4695,FIND(" |",D4695&amp;" |")-1)),"?"))</f>
        <v/>
      </c>
      <c r="H4695" s="27" t="str">
        <f aca="false">IF(G4695="","",IF(G4695="?","⚠ pub inconnue",IFERROR(INDEX(Pubs!$B$2:$B$3001,MATCH(G4695,Pubs!$A$2:$A$3001,0))&amp;"","⚠ pub inconnue")))</f>
        <v/>
      </c>
      <c r="I4695" s="27" t="str">
        <f aca="false">IF(OR(G4695="",G4695="?"),"",IFERROR(INDEX(Pubs!$C$2:$C$3001,MATCH(G4695,Pubs!$A$2:$A$3001,0))&amp;"",""))</f>
        <v/>
      </c>
      <c r="J4695" s="27" t="str">
        <f aca="false">IF(OR(G4695="",G4695="?"),"",IFERROR(INDEX(Pubs!$G$2:$G$3001,MATCH(G4695,Pubs!$A$2:$A$3001,0))&amp;"",""))</f>
        <v/>
      </c>
      <c r="K4695" s="28" t="str">
        <f aca="false">IF(OR(G4695="",G4695="?"),"",IFERROR(INDEX(Pubs!$E$2:$E$3001,MATCH(G4695,Pubs!$A$2:$A$3001,0)),""))</f>
        <v/>
      </c>
      <c r="L4695" s="29" t="str">
        <f aca="false">IF(A4695="","",IFERROR(1/(1/INDEX(Numéros!$C$2:$C$3001,MATCH(A4695&amp;"|"&amp;B4695,Numéros!$F$2:$F$3001,0))),""))</f>
        <v/>
      </c>
      <c r="M4695" s="27" t="str">
        <f aca="false">IF(OR(G4695="",G4695="?"),"",IFERROR(INDEX(Pubs!$D$2:$D$3001,MATCH(G4695,Pubs!$A$2:$A$3001,0))&amp;"",""))</f>
        <v/>
      </c>
      <c r="N4695" s="27" t="n">
        <f aca="false">N(N4694)+IF(AND(A4695&lt;&gt;"",OR(Recherche!$C$4="",A4695=Recherche!$C$4),OR(Recherche!$C$5="",B4695&amp;""=Recherche!$C$5&amp;""),OR(Recherche!$C$6="",IFERROR(YEAR(L4695),0)=Recherche!$C$6),OR(Recherche!$C$7="",ISNUMBER(SEARCH(Recherche!$C$7,H4695))),OR(Recherche!$C$8="",J4695=Recherche!$C$8),OR(Recherche!$C$9="",I4695=Recherche!$C$9),OR(Recherche!$C$10="",G4695&amp;""=Recherche!$C$10&amp;""),OR(Recherche!$C$11="",E4695=Recherche!$C$11),OR(Recherche!$C$12="",ISNUMBER(SEARCH(Recherche!$C$12,M4695&amp;" "&amp;F4695)))),1,0)</f>
        <v>8</v>
      </c>
    </row>
    <row r="4696" customFormat="false" ht="15" hidden="false" customHeight="false" outlineLevel="0" collapsed="false">
      <c r="A4696" s="19"/>
      <c r="B4696" s="19"/>
      <c r="C4696" s="19"/>
      <c r="D4696" s="19"/>
      <c r="E4696" s="22"/>
      <c r="F4696" s="19"/>
      <c r="G4696" s="26" t="str">
        <f aca="false">IF(D4696="","",IFERROR(VALUE(LEFT(D4696,FIND(" |",D4696&amp;" |")-1)),"?"))</f>
        <v/>
      </c>
      <c r="H4696" s="27" t="str">
        <f aca="false">IF(G4696="","",IF(G4696="?","⚠ pub inconnue",IFERROR(INDEX(Pubs!$B$2:$B$3001,MATCH(G4696,Pubs!$A$2:$A$3001,0))&amp;"","⚠ pub inconnue")))</f>
        <v/>
      </c>
      <c r="I4696" s="27" t="str">
        <f aca="false">IF(OR(G4696="",G4696="?"),"",IFERROR(INDEX(Pubs!$C$2:$C$3001,MATCH(G4696,Pubs!$A$2:$A$3001,0))&amp;"",""))</f>
        <v/>
      </c>
      <c r="J4696" s="27" t="str">
        <f aca="false">IF(OR(G4696="",G4696="?"),"",IFERROR(INDEX(Pubs!$G$2:$G$3001,MATCH(G4696,Pubs!$A$2:$A$3001,0))&amp;"",""))</f>
        <v/>
      </c>
      <c r="K4696" s="28" t="str">
        <f aca="false">IF(OR(G4696="",G4696="?"),"",IFERROR(INDEX(Pubs!$E$2:$E$3001,MATCH(G4696,Pubs!$A$2:$A$3001,0)),""))</f>
        <v/>
      </c>
      <c r="L4696" s="29" t="str">
        <f aca="false">IF(A4696="","",IFERROR(1/(1/INDEX(Numéros!$C$2:$C$3001,MATCH(A4696&amp;"|"&amp;B4696,Numéros!$F$2:$F$3001,0))),""))</f>
        <v/>
      </c>
      <c r="M4696" s="27" t="str">
        <f aca="false">IF(OR(G4696="",G4696="?"),"",IFERROR(INDEX(Pubs!$D$2:$D$3001,MATCH(G4696,Pubs!$A$2:$A$3001,0))&amp;"",""))</f>
        <v/>
      </c>
      <c r="N4696" s="27" t="n">
        <f aca="false">N(N4695)+IF(AND(A4696&lt;&gt;"",OR(Recherche!$C$4="",A4696=Recherche!$C$4),OR(Recherche!$C$5="",B4696&amp;""=Recherche!$C$5&amp;""),OR(Recherche!$C$6="",IFERROR(YEAR(L4696),0)=Recherche!$C$6),OR(Recherche!$C$7="",ISNUMBER(SEARCH(Recherche!$C$7,H4696))),OR(Recherche!$C$8="",J4696=Recherche!$C$8),OR(Recherche!$C$9="",I4696=Recherche!$C$9),OR(Recherche!$C$10="",G4696&amp;""=Recherche!$C$10&amp;""),OR(Recherche!$C$11="",E4696=Recherche!$C$11),OR(Recherche!$C$12="",ISNUMBER(SEARCH(Recherche!$C$12,M4696&amp;" "&amp;F4696)))),1,0)</f>
        <v>8</v>
      </c>
    </row>
    <row r="4697" customFormat="false" ht="15" hidden="false" customHeight="false" outlineLevel="0" collapsed="false">
      <c r="A4697" s="19"/>
      <c r="B4697" s="19"/>
      <c r="C4697" s="19"/>
      <c r="D4697" s="19"/>
      <c r="E4697" s="22"/>
      <c r="F4697" s="19"/>
      <c r="G4697" s="26" t="str">
        <f aca="false">IF(D4697="","",IFERROR(VALUE(LEFT(D4697,FIND(" |",D4697&amp;" |")-1)),"?"))</f>
        <v/>
      </c>
      <c r="H4697" s="27" t="str">
        <f aca="false">IF(G4697="","",IF(G4697="?","⚠ pub inconnue",IFERROR(INDEX(Pubs!$B$2:$B$3001,MATCH(G4697,Pubs!$A$2:$A$3001,0))&amp;"","⚠ pub inconnue")))</f>
        <v/>
      </c>
      <c r="I4697" s="27" t="str">
        <f aca="false">IF(OR(G4697="",G4697="?"),"",IFERROR(INDEX(Pubs!$C$2:$C$3001,MATCH(G4697,Pubs!$A$2:$A$3001,0))&amp;"",""))</f>
        <v/>
      </c>
      <c r="J4697" s="27" t="str">
        <f aca="false">IF(OR(G4697="",G4697="?"),"",IFERROR(INDEX(Pubs!$G$2:$G$3001,MATCH(G4697,Pubs!$A$2:$A$3001,0))&amp;"",""))</f>
        <v/>
      </c>
      <c r="K4697" s="28" t="str">
        <f aca="false">IF(OR(G4697="",G4697="?"),"",IFERROR(INDEX(Pubs!$E$2:$E$3001,MATCH(G4697,Pubs!$A$2:$A$3001,0)),""))</f>
        <v/>
      </c>
      <c r="L4697" s="29" t="str">
        <f aca="false">IF(A4697="","",IFERROR(1/(1/INDEX(Numéros!$C$2:$C$3001,MATCH(A4697&amp;"|"&amp;B4697,Numéros!$F$2:$F$3001,0))),""))</f>
        <v/>
      </c>
      <c r="M4697" s="27" t="str">
        <f aca="false">IF(OR(G4697="",G4697="?"),"",IFERROR(INDEX(Pubs!$D$2:$D$3001,MATCH(G4697,Pubs!$A$2:$A$3001,0))&amp;"",""))</f>
        <v/>
      </c>
      <c r="N4697" s="27" t="n">
        <f aca="false">N(N4696)+IF(AND(A4697&lt;&gt;"",OR(Recherche!$C$4="",A4697=Recherche!$C$4),OR(Recherche!$C$5="",B4697&amp;""=Recherche!$C$5&amp;""),OR(Recherche!$C$6="",IFERROR(YEAR(L4697),0)=Recherche!$C$6),OR(Recherche!$C$7="",ISNUMBER(SEARCH(Recherche!$C$7,H4697))),OR(Recherche!$C$8="",J4697=Recherche!$C$8),OR(Recherche!$C$9="",I4697=Recherche!$C$9),OR(Recherche!$C$10="",G4697&amp;""=Recherche!$C$10&amp;""),OR(Recherche!$C$11="",E4697=Recherche!$C$11),OR(Recherche!$C$12="",ISNUMBER(SEARCH(Recherche!$C$12,M4697&amp;" "&amp;F4697)))),1,0)</f>
        <v>8</v>
      </c>
    </row>
    <row r="4698" customFormat="false" ht="15" hidden="false" customHeight="false" outlineLevel="0" collapsed="false">
      <c r="A4698" s="19"/>
      <c r="B4698" s="19"/>
      <c r="C4698" s="19"/>
      <c r="D4698" s="19"/>
      <c r="E4698" s="22"/>
      <c r="F4698" s="19"/>
      <c r="G4698" s="26" t="str">
        <f aca="false">IF(D4698="","",IFERROR(VALUE(LEFT(D4698,FIND(" |",D4698&amp;" |")-1)),"?"))</f>
        <v/>
      </c>
      <c r="H4698" s="27" t="str">
        <f aca="false">IF(G4698="","",IF(G4698="?","⚠ pub inconnue",IFERROR(INDEX(Pubs!$B$2:$B$3001,MATCH(G4698,Pubs!$A$2:$A$3001,0))&amp;"","⚠ pub inconnue")))</f>
        <v/>
      </c>
      <c r="I4698" s="27" t="str">
        <f aca="false">IF(OR(G4698="",G4698="?"),"",IFERROR(INDEX(Pubs!$C$2:$C$3001,MATCH(G4698,Pubs!$A$2:$A$3001,0))&amp;"",""))</f>
        <v/>
      </c>
      <c r="J4698" s="27" t="str">
        <f aca="false">IF(OR(G4698="",G4698="?"),"",IFERROR(INDEX(Pubs!$G$2:$G$3001,MATCH(G4698,Pubs!$A$2:$A$3001,0))&amp;"",""))</f>
        <v/>
      </c>
      <c r="K4698" s="28" t="str">
        <f aca="false">IF(OR(G4698="",G4698="?"),"",IFERROR(INDEX(Pubs!$E$2:$E$3001,MATCH(G4698,Pubs!$A$2:$A$3001,0)),""))</f>
        <v/>
      </c>
      <c r="L4698" s="29" t="str">
        <f aca="false">IF(A4698="","",IFERROR(1/(1/INDEX(Numéros!$C$2:$C$3001,MATCH(A4698&amp;"|"&amp;B4698,Numéros!$F$2:$F$3001,0))),""))</f>
        <v/>
      </c>
      <c r="M4698" s="27" t="str">
        <f aca="false">IF(OR(G4698="",G4698="?"),"",IFERROR(INDEX(Pubs!$D$2:$D$3001,MATCH(G4698,Pubs!$A$2:$A$3001,0))&amp;"",""))</f>
        <v/>
      </c>
      <c r="N4698" s="27" t="n">
        <f aca="false">N(N4697)+IF(AND(A4698&lt;&gt;"",OR(Recherche!$C$4="",A4698=Recherche!$C$4),OR(Recherche!$C$5="",B4698&amp;""=Recherche!$C$5&amp;""),OR(Recherche!$C$6="",IFERROR(YEAR(L4698),0)=Recherche!$C$6),OR(Recherche!$C$7="",ISNUMBER(SEARCH(Recherche!$C$7,H4698))),OR(Recherche!$C$8="",J4698=Recherche!$C$8),OR(Recherche!$C$9="",I4698=Recherche!$C$9),OR(Recherche!$C$10="",G4698&amp;""=Recherche!$C$10&amp;""),OR(Recherche!$C$11="",E4698=Recherche!$C$11),OR(Recherche!$C$12="",ISNUMBER(SEARCH(Recherche!$C$12,M4698&amp;" "&amp;F4698)))),1,0)</f>
        <v>8</v>
      </c>
    </row>
    <row r="4699" customFormat="false" ht="15" hidden="false" customHeight="false" outlineLevel="0" collapsed="false">
      <c r="A4699" s="19"/>
      <c r="B4699" s="19"/>
      <c r="C4699" s="19"/>
      <c r="D4699" s="19"/>
      <c r="E4699" s="22"/>
      <c r="F4699" s="19"/>
      <c r="G4699" s="26" t="str">
        <f aca="false">IF(D4699="","",IFERROR(VALUE(LEFT(D4699,FIND(" |",D4699&amp;" |")-1)),"?"))</f>
        <v/>
      </c>
      <c r="H4699" s="27" t="str">
        <f aca="false">IF(G4699="","",IF(G4699="?","⚠ pub inconnue",IFERROR(INDEX(Pubs!$B$2:$B$3001,MATCH(G4699,Pubs!$A$2:$A$3001,0))&amp;"","⚠ pub inconnue")))</f>
        <v/>
      </c>
      <c r="I4699" s="27" t="str">
        <f aca="false">IF(OR(G4699="",G4699="?"),"",IFERROR(INDEX(Pubs!$C$2:$C$3001,MATCH(G4699,Pubs!$A$2:$A$3001,0))&amp;"",""))</f>
        <v/>
      </c>
      <c r="J4699" s="27" t="str">
        <f aca="false">IF(OR(G4699="",G4699="?"),"",IFERROR(INDEX(Pubs!$G$2:$G$3001,MATCH(G4699,Pubs!$A$2:$A$3001,0))&amp;"",""))</f>
        <v/>
      </c>
      <c r="K4699" s="28" t="str">
        <f aca="false">IF(OR(G4699="",G4699="?"),"",IFERROR(INDEX(Pubs!$E$2:$E$3001,MATCH(G4699,Pubs!$A$2:$A$3001,0)),""))</f>
        <v/>
      </c>
      <c r="L4699" s="29" t="str">
        <f aca="false">IF(A4699="","",IFERROR(1/(1/INDEX(Numéros!$C$2:$C$3001,MATCH(A4699&amp;"|"&amp;B4699,Numéros!$F$2:$F$3001,0))),""))</f>
        <v/>
      </c>
      <c r="M4699" s="27" t="str">
        <f aca="false">IF(OR(G4699="",G4699="?"),"",IFERROR(INDEX(Pubs!$D$2:$D$3001,MATCH(G4699,Pubs!$A$2:$A$3001,0))&amp;"",""))</f>
        <v/>
      </c>
      <c r="N4699" s="27" t="n">
        <f aca="false">N(N4698)+IF(AND(A4699&lt;&gt;"",OR(Recherche!$C$4="",A4699=Recherche!$C$4),OR(Recherche!$C$5="",B4699&amp;""=Recherche!$C$5&amp;""),OR(Recherche!$C$6="",IFERROR(YEAR(L4699),0)=Recherche!$C$6),OR(Recherche!$C$7="",ISNUMBER(SEARCH(Recherche!$C$7,H4699))),OR(Recherche!$C$8="",J4699=Recherche!$C$8),OR(Recherche!$C$9="",I4699=Recherche!$C$9),OR(Recherche!$C$10="",G4699&amp;""=Recherche!$C$10&amp;""),OR(Recherche!$C$11="",E4699=Recherche!$C$11),OR(Recherche!$C$12="",ISNUMBER(SEARCH(Recherche!$C$12,M4699&amp;" "&amp;F4699)))),1,0)</f>
        <v>8</v>
      </c>
    </row>
    <row r="4700" customFormat="false" ht="15" hidden="false" customHeight="false" outlineLevel="0" collapsed="false">
      <c r="A4700" s="19"/>
      <c r="B4700" s="19"/>
      <c r="C4700" s="19"/>
      <c r="D4700" s="19"/>
      <c r="E4700" s="22"/>
      <c r="F4700" s="19"/>
      <c r="G4700" s="26" t="str">
        <f aca="false">IF(D4700="","",IFERROR(VALUE(LEFT(D4700,FIND(" |",D4700&amp;" |")-1)),"?"))</f>
        <v/>
      </c>
      <c r="H4700" s="27" t="str">
        <f aca="false">IF(G4700="","",IF(G4700="?","⚠ pub inconnue",IFERROR(INDEX(Pubs!$B$2:$B$3001,MATCH(G4700,Pubs!$A$2:$A$3001,0))&amp;"","⚠ pub inconnue")))</f>
        <v/>
      </c>
      <c r="I4700" s="27" t="str">
        <f aca="false">IF(OR(G4700="",G4700="?"),"",IFERROR(INDEX(Pubs!$C$2:$C$3001,MATCH(G4700,Pubs!$A$2:$A$3001,0))&amp;"",""))</f>
        <v/>
      </c>
      <c r="J4700" s="27" t="str">
        <f aca="false">IF(OR(G4700="",G4700="?"),"",IFERROR(INDEX(Pubs!$G$2:$G$3001,MATCH(G4700,Pubs!$A$2:$A$3001,0))&amp;"",""))</f>
        <v/>
      </c>
      <c r="K4700" s="28" t="str">
        <f aca="false">IF(OR(G4700="",G4700="?"),"",IFERROR(INDEX(Pubs!$E$2:$E$3001,MATCH(G4700,Pubs!$A$2:$A$3001,0)),""))</f>
        <v/>
      </c>
      <c r="L4700" s="29" t="str">
        <f aca="false">IF(A4700="","",IFERROR(1/(1/INDEX(Numéros!$C$2:$C$3001,MATCH(A4700&amp;"|"&amp;B4700,Numéros!$F$2:$F$3001,0))),""))</f>
        <v/>
      </c>
      <c r="M4700" s="27" t="str">
        <f aca="false">IF(OR(G4700="",G4700="?"),"",IFERROR(INDEX(Pubs!$D$2:$D$3001,MATCH(G4700,Pubs!$A$2:$A$3001,0))&amp;"",""))</f>
        <v/>
      </c>
      <c r="N4700" s="27" t="n">
        <f aca="false">N(N4699)+IF(AND(A4700&lt;&gt;"",OR(Recherche!$C$4="",A4700=Recherche!$C$4),OR(Recherche!$C$5="",B4700&amp;""=Recherche!$C$5&amp;""),OR(Recherche!$C$6="",IFERROR(YEAR(L4700),0)=Recherche!$C$6),OR(Recherche!$C$7="",ISNUMBER(SEARCH(Recherche!$C$7,H4700))),OR(Recherche!$C$8="",J4700=Recherche!$C$8),OR(Recherche!$C$9="",I4700=Recherche!$C$9),OR(Recherche!$C$10="",G4700&amp;""=Recherche!$C$10&amp;""),OR(Recherche!$C$11="",E4700=Recherche!$C$11),OR(Recherche!$C$12="",ISNUMBER(SEARCH(Recherche!$C$12,M4700&amp;" "&amp;F4700)))),1,0)</f>
        <v>8</v>
      </c>
    </row>
    <row r="4701" customFormat="false" ht="15" hidden="false" customHeight="false" outlineLevel="0" collapsed="false">
      <c r="A4701" s="19"/>
      <c r="B4701" s="19"/>
      <c r="C4701" s="19"/>
      <c r="D4701" s="19"/>
      <c r="E4701" s="22"/>
      <c r="F4701" s="19"/>
      <c r="G4701" s="26" t="str">
        <f aca="false">IF(D4701="","",IFERROR(VALUE(LEFT(D4701,FIND(" |",D4701&amp;" |")-1)),"?"))</f>
        <v/>
      </c>
      <c r="H4701" s="27" t="str">
        <f aca="false">IF(G4701="","",IF(G4701="?","⚠ pub inconnue",IFERROR(INDEX(Pubs!$B$2:$B$3001,MATCH(G4701,Pubs!$A$2:$A$3001,0))&amp;"","⚠ pub inconnue")))</f>
        <v/>
      </c>
      <c r="I4701" s="27" t="str">
        <f aca="false">IF(OR(G4701="",G4701="?"),"",IFERROR(INDEX(Pubs!$C$2:$C$3001,MATCH(G4701,Pubs!$A$2:$A$3001,0))&amp;"",""))</f>
        <v/>
      </c>
      <c r="J4701" s="27" t="str">
        <f aca="false">IF(OR(G4701="",G4701="?"),"",IFERROR(INDEX(Pubs!$G$2:$G$3001,MATCH(G4701,Pubs!$A$2:$A$3001,0))&amp;"",""))</f>
        <v/>
      </c>
      <c r="K4701" s="28" t="str">
        <f aca="false">IF(OR(G4701="",G4701="?"),"",IFERROR(INDEX(Pubs!$E$2:$E$3001,MATCH(G4701,Pubs!$A$2:$A$3001,0)),""))</f>
        <v/>
      </c>
      <c r="L4701" s="29" t="str">
        <f aca="false">IF(A4701="","",IFERROR(1/(1/INDEX(Numéros!$C$2:$C$3001,MATCH(A4701&amp;"|"&amp;B4701,Numéros!$F$2:$F$3001,0))),""))</f>
        <v/>
      </c>
      <c r="M4701" s="27" t="str">
        <f aca="false">IF(OR(G4701="",G4701="?"),"",IFERROR(INDEX(Pubs!$D$2:$D$3001,MATCH(G4701,Pubs!$A$2:$A$3001,0))&amp;"",""))</f>
        <v/>
      </c>
      <c r="N4701" s="27" t="n">
        <f aca="false">N(N4700)+IF(AND(A4701&lt;&gt;"",OR(Recherche!$C$4="",A4701=Recherche!$C$4),OR(Recherche!$C$5="",B4701&amp;""=Recherche!$C$5&amp;""),OR(Recherche!$C$6="",IFERROR(YEAR(L4701),0)=Recherche!$C$6),OR(Recherche!$C$7="",ISNUMBER(SEARCH(Recherche!$C$7,H4701))),OR(Recherche!$C$8="",J4701=Recherche!$C$8),OR(Recherche!$C$9="",I4701=Recherche!$C$9),OR(Recherche!$C$10="",G4701&amp;""=Recherche!$C$10&amp;""),OR(Recherche!$C$11="",E4701=Recherche!$C$11),OR(Recherche!$C$12="",ISNUMBER(SEARCH(Recherche!$C$12,M4701&amp;" "&amp;F4701)))),1,0)</f>
        <v>8</v>
      </c>
    </row>
    <row r="4702" customFormat="false" ht="15" hidden="false" customHeight="false" outlineLevel="0" collapsed="false">
      <c r="A4702" s="19"/>
      <c r="B4702" s="19"/>
      <c r="C4702" s="19"/>
      <c r="D4702" s="19"/>
      <c r="E4702" s="22"/>
      <c r="F4702" s="19"/>
      <c r="G4702" s="26" t="str">
        <f aca="false">IF(D4702="","",IFERROR(VALUE(LEFT(D4702,FIND(" |",D4702&amp;" |")-1)),"?"))</f>
        <v/>
      </c>
      <c r="H4702" s="27" t="str">
        <f aca="false">IF(G4702="","",IF(G4702="?","⚠ pub inconnue",IFERROR(INDEX(Pubs!$B$2:$B$3001,MATCH(G4702,Pubs!$A$2:$A$3001,0))&amp;"","⚠ pub inconnue")))</f>
        <v/>
      </c>
      <c r="I4702" s="27" t="str">
        <f aca="false">IF(OR(G4702="",G4702="?"),"",IFERROR(INDEX(Pubs!$C$2:$C$3001,MATCH(G4702,Pubs!$A$2:$A$3001,0))&amp;"",""))</f>
        <v/>
      </c>
      <c r="J4702" s="27" t="str">
        <f aca="false">IF(OR(G4702="",G4702="?"),"",IFERROR(INDEX(Pubs!$G$2:$G$3001,MATCH(G4702,Pubs!$A$2:$A$3001,0))&amp;"",""))</f>
        <v/>
      </c>
      <c r="K4702" s="28" t="str">
        <f aca="false">IF(OR(G4702="",G4702="?"),"",IFERROR(INDEX(Pubs!$E$2:$E$3001,MATCH(G4702,Pubs!$A$2:$A$3001,0)),""))</f>
        <v/>
      </c>
      <c r="L4702" s="29" t="str">
        <f aca="false">IF(A4702="","",IFERROR(1/(1/INDEX(Numéros!$C$2:$C$3001,MATCH(A4702&amp;"|"&amp;B4702,Numéros!$F$2:$F$3001,0))),""))</f>
        <v/>
      </c>
      <c r="M4702" s="27" t="str">
        <f aca="false">IF(OR(G4702="",G4702="?"),"",IFERROR(INDEX(Pubs!$D$2:$D$3001,MATCH(G4702,Pubs!$A$2:$A$3001,0))&amp;"",""))</f>
        <v/>
      </c>
      <c r="N4702" s="27" t="n">
        <f aca="false">N(N4701)+IF(AND(A4702&lt;&gt;"",OR(Recherche!$C$4="",A4702=Recherche!$C$4),OR(Recherche!$C$5="",B4702&amp;""=Recherche!$C$5&amp;""),OR(Recherche!$C$6="",IFERROR(YEAR(L4702),0)=Recherche!$C$6),OR(Recherche!$C$7="",ISNUMBER(SEARCH(Recherche!$C$7,H4702))),OR(Recherche!$C$8="",J4702=Recherche!$C$8),OR(Recherche!$C$9="",I4702=Recherche!$C$9),OR(Recherche!$C$10="",G4702&amp;""=Recherche!$C$10&amp;""),OR(Recherche!$C$11="",E4702=Recherche!$C$11),OR(Recherche!$C$12="",ISNUMBER(SEARCH(Recherche!$C$12,M4702&amp;" "&amp;F4702)))),1,0)</f>
        <v>8</v>
      </c>
    </row>
    <row r="4703" customFormat="false" ht="15" hidden="false" customHeight="false" outlineLevel="0" collapsed="false">
      <c r="A4703" s="19"/>
      <c r="B4703" s="19"/>
      <c r="C4703" s="19"/>
      <c r="D4703" s="19"/>
      <c r="E4703" s="22"/>
      <c r="F4703" s="19"/>
      <c r="G4703" s="26" t="str">
        <f aca="false">IF(D4703="","",IFERROR(VALUE(LEFT(D4703,FIND(" |",D4703&amp;" |")-1)),"?"))</f>
        <v/>
      </c>
      <c r="H4703" s="27" t="str">
        <f aca="false">IF(G4703="","",IF(G4703="?","⚠ pub inconnue",IFERROR(INDEX(Pubs!$B$2:$B$3001,MATCH(G4703,Pubs!$A$2:$A$3001,0))&amp;"","⚠ pub inconnue")))</f>
        <v/>
      </c>
      <c r="I4703" s="27" t="str">
        <f aca="false">IF(OR(G4703="",G4703="?"),"",IFERROR(INDEX(Pubs!$C$2:$C$3001,MATCH(G4703,Pubs!$A$2:$A$3001,0))&amp;"",""))</f>
        <v/>
      </c>
      <c r="J4703" s="27" t="str">
        <f aca="false">IF(OR(G4703="",G4703="?"),"",IFERROR(INDEX(Pubs!$G$2:$G$3001,MATCH(G4703,Pubs!$A$2:$A$3001,0))&amp;"",""))</f>
        <v/>
      </c>
      <c r="K4703" s="28" t="str">
        <f aca="false">IF(OR(G4703="",G4703="?"),"",IFERROR(INDEX(Pubs!$E$2:$E$3001,MATCH(G4703,Pubs!$A$2:$A$3001,0)),""))</f>
        <v/>
      </c>
      <c r="L4703" s="29" t="str">
        <f aca="false">IF(A4703="","",IFERROR(1/(1/INDEX(Numéros!$C$2:$C$3001,MATCH(A4703&amp;"|"&amp;B4703,Numéros!$F$2:$F$3001,0))),""))</f>
        <v/>
      </c>
      <c r="M4703" s="27" t="str">
        <f aca="false">IF(OR(G4703="",G4703="?"),"",IFERROR(INDEX(Pubs!$D$2:$D$3001,MATCH(G4703,Pubs!$A$2:$A$3001,0))&amp;"",""))</f>
        <v/>
      </c>
      <c r="N4703" s="27" t="n">
        <f aca="false">N(N4702)+IF(AND(A4703&lt;&gt;"",OR(Recherche!$C$4="",A4703=Recherche!$C$4),OR(Recherche!$C$5="",B4703&amp;""=Recherche!$C$5&amp;""),OR(Recherche!$C$6="",IFERROR(YEAR(L4703),0)=Recherche!$C$6),OR(Recherche!$C$7="",ISNUMBER(SEARCH(Recherche!$C$7,H4703))),OR(Recherche!$C$8="",J4703=Recherche!$C$8),OR(Recherche!$C$9="",I4703=Recherche!$C$9),OR(Recherche!$C$10="",G4703&amp;""=Recherche!$C$10&amp;""),OR(Recherche!$C$11="",E4703=Recherche!$C$11),OR(Recherche!$C$12="",ISNUMBER(SEARCH(Recherche!$C$12,M4703&amp;" "&amp;F4703)))),1,0)</f>
        <v>8</v>
      </c>
    </row>
    <row r="4704" customFormat="false" ht="15" hidden="false" customHeight="false" outlineLevel="0" collapsed="false">
      <c r="A4704" s="19"/>
      <c r="B4704" s="19"/>
      <c r="C4704" s="19"/>
      <c r="D4704" s="19"/>
      <c r="E4704" s="22"/>
      <c r="F4704" s="19"/>
      <c r="G4704" s="26" t="str">
        <f aca="false">IF(D4704="","",IFERROR(VALUE(LEFT(D4704,FIND(" |",D4704&amp;" |")-1)),"?"))</f>
        <v/>
      </c>
      <c r="H4704" s="27" t="str">
        <f aca="false">IF(G4704="","",IF(G4704="?","⚠ pub inconnue",IFERROR(INDEX(Pubs!$B$2:$B$3001,MATCH(G4704,Pubs!$A$2:$A$3001,0))&amp;"","⚠ pub inconnue")))</f>
        <v/>
      </c>
      <c r="I4704" s="27" t="str">
        <f aca="false">IF(OR(G4704="",G4704="?"),"",IFERROR(INDEX(Pubs!$C$2:$C$3001,MATCH(G4704,Pubs!$A$2:$A$3001,0))&amp;"",""))</f>
        <v/>
      </c>
      <c r="J4704" s="27" t="str">
        <f aca="false">IF(OR(G4704="",G4704="?"),"",IFERROR(INDEX(Pubs!$G$2:$G$3001,MATCH(G4704,Pubs!$A$2:$A$3001,0))&amp;"",""))</f>
        <v/>
      </c>
      <c r="K4704" s="28" t="str">
        <f aca="false">IF(OR(G4704="",G4704="?"),"",IFERROR(INDEX(Pubs!$E$2:$E$3001,MATCH(G4704,Pubs!$A$2:$A$3001,0)),""))</f>
        <v/>
      </c>
      <c r="L4704" s="29" t="str">
        <f aca="false">IF(A4704="","",IFERROR(1/(1/INDEX(Numéros!$C$2:$C$3001,MATCH(A4704&amp;"|"&amp;B4704,Numéros!$F$2:$F$3001,0))),""))</f>
        <v/>
      </c>
      <c r="M4704" s="27" t="str">
        <f aca="false">IF(OR(G4704="",G4704="?"),"",IFERROR(INDEX(Pubs!$D$2:$D$3001,MATCH(G4704,Pubs!$A$2:$A$3001,0))&amp;"",""))</f>
        <v/>
      </c>
      <c r="N4704" s="27" t="n">
        <f aca="false">N(N4703)+IF(AND(A4704&lt;&gt;"",OR(Recherche!$C$4="",A4704=Recherche!$C$4),OR(Recherche!$C$5="",B4704&amp;""=Recherche!$C$5&amp;""),OR(Recherche!$C$6="",IFERROR(YEAR(L4704),0)=Recherche!$C$6),OR(Recherche!$C$7="",ISNUMBER(SEARCH(Recherche!$C$7,H4704))),OR(Recherche!$C$8="",J4704=Recherche!$C$8),OR(Recherche!$C$9="",I4704=Recherche!$C$9),OR(Recherche!$C$10="",G4704&amp;""=Recherche!$C$10&amp;""),OR(Recherche!$C$11="",E4704=Recherche!$C$11),OR(Recherche!$C$12="",ISNUMBER(SEARCH(Recherche!$C$12,M4704&amp;" "&amp;F4704)))),1,0)</f>
        <v>8</v>
      </c>
    </row>
    <row r="4705" customFormat="false" ht="15" hidden="false" customHeight="false" outlineLevel="0" collapsed="false">
      <c r="A4705" s="19"/>
      <c r="B4705" s="19"/>
      <c r="C4705" s="19"/>
      <c r="D4705" s="19"/>
      <c r="E4705" s="22"/>
      <c r="F4705" s="19"/>
      <c r="G4705" s="26" t="str">
        <f aca="false">IF(D4705="","",IFERROR(VALUE(LEFT(D4705,FIND(" |",D4705&amp;" |")-1)),"?"))</f>
        <v/>
      </c>
      <c r="H4705" s="27" t="str">
        <f aca="false">IF(G4705="","",IF(G4705="?","⚠ pub inconnue",IFERROR(INDEX(Pubs!$B$2:$B$3001,MATCH(G4705,Pubs!$A$2:$A$3001,0))&amp;"","⚠ pub inconnue")))</f>
        <v/>
      </c>
      <c r="I4705" s="27" t="str">
        <f aca="false">IF(OR(G4705="",G4705="?"),"",IFERROR(INDEX(Pubs!$C$2:$C$3001,MATCH(G4705,Pubs!$A$2:$A$3001,0))&amp;"",""))</f>
        <v/>
      </c>
      <c r="J4705" s="27" t="str">
        <f aca="false">IF(OR(G4705="",G4705="?"),"",IFERROR(INDEX(Pubs!$G$2:$G$3001,MATCH(G4705,Pubs!$A$2:$A$3001,0))&amp;"",""))</f>
        <v/>
      </c>
      <c r="K4705" s="28" t="str">
        <f aca="false">IF(OR(G4705="",G4705="?"),"",IFERROR(INDEX(Pubs!$E$2:$E$3001,MATCH(G4705,Pubs!$A$2:$A$3001,0)),""))</f>
        <v/>
      </c>
      <c r="L4705" s="29" t="str">
        <f aca="false">IF(A4705="","",IFERROR(1/(1/INDEX(Numéros!$C$2:$C$3001,MATCH(A4705&amp;"|"&amp;B4705,Numéros!$F$2:$F$3001,0))),""))</f>
        <v/>
      </c>
      <c r="M4705" s="27" t="str">
        <f aca="false">IF(OR(G4705="",G4705="?"),"",IFERROR(INDEX(Pubs!$D$2:$D$3001,MATCH(G4705,Pubs!$A$2:$A$3001,0))&amp;"",""))</f>
        <v/>
      </c>
      <c r="N4705" s="27" t="n">
        <f aca="false">N(N4704)+IF(AND(A4705&lt;&gt;"",OR(Recherche!$C$4="",A4705=Recherche!$C$4),OR(Recherche!$C$5="",B4705&amp;""=Recherche!$C$5&amp;""),OR(Recherche!$C$6="",IFERROR(YEAR(L4705),0)=Recherche!$C$6),OR(Recherche!$C$7="",ISNUMBER(SEARCH(Recherche!$C$7,H4705))),OR(Recherche!$C$8="",J4705=Recherche!$C$8),OR(Recherche!$C$9="",I4705=Recherche!$C$9),OR(Recherche!$C$10="",G4705&amp;""=Recherche!$C$10&amp;""),OR(Recherche!$C$11="",E4705=Recherche!$C$11),OR(Recherche!$C$12="",ISNUMBER(SEARCH(Recherche!$C$12,M4705&amp;" "&amp;F4705)))),1,0)</f>
        <v>8</v>
      </c>
    </row>
    <row r="4706" customFormat="false" ht="15" hidden="false" customHeight="false" outlineLevel="0" collapsed="false">
      <c r="A4706" s="19"/>
      <c r="B4706" s="19"/>
      <c r="C4706" s="19"/>
      <c r="D4706" s="19"/>
      <c r="E4706" s="22"/>
      <c r="F4706" s="19"/>
      <c r="G4706" s="26" t="str">
        <f aca="false">IF(D4706="","",IFERROR(VALUE(LEFT(D4706,FIND(" |",D4706&amp;" |")-1)),"?"))</f>
        <v/>
      </c>
      <c r="H4706" s="27" t="str">
        <f aca="false">IF(G4706="","",IF(G4706="?","⚠ pub inconnue",IFERROR(INDEX(Pubs!$B$2:$B$3001,MATCH(G4706,Pubs!$A$2:$A$3001,0))&amp;"","⚠ pub inconnue")))</f>
        <v/>
      </c>
      <c r="I4706" s="27" t="str">
        <f aca="false">IF(OR(G4706="",G4706="?"),"",IFERROR(INDEX(Pubs!$C$2:$C$3001,MATCH(G4706,Pubs!$A$2:$A$3001,0))&amp;"",""))</f>
        <v/>
      </c>
      <c r="J4706" s="27" t="str">
        <f aca="false">IF(OR(G4706="",G4706="?"),"",IFERROR(INDEX(Pubs!$G$2:$G$3001,MATCH(G4706,Pubs!$A$2:$A$3001,0))&amp;"",""))</f>
        <v/>
      </c>
      <c r="K4706" s="28" t="str">
        <f aca="false">IF(OR(G4706="",G4706="?"),"",IFERROR(INDEX(Pubs!$E$2:$E$3001,MATCH(G4706,Pubs!$A$2:$A$3001,0)),""))</f>
        <v/>
      </c>
      <c r="L4706" s="29" t="str">
        <f aca="false">IF(A4706="","",IFERROR(1/(1/INDEX(Numéros!$C$2:$C$3001,MATCH(A4706&amp;"|"&amp;B4706,Numéros!$F$2:$F$3001,0))),""))</f>
        <v/>
      </c>
      <c r="M4706" s="27" t="str">
        <f aca="false">IF(OR(G4706="",G4706="?"),"",IFERROR(INDEX(Pubs!$D$2:$D$3001,MATCH(G4706,Pubs!$A$2:$A$3001,0))&amp;"",""))</f>
        <v/>
      </c>
      <c r="N4706" s="27" t="n">
        <f aca="false">N(N4705)+IF(AND(A4706&lt;&gt;"",OR(Recherche!$C$4="",A4706=Recherche!$C$4),OR(Recherche!$C$5="",B4706&amp;""=Recherche!$C$5&amp;""),OR(Recherche!$C$6="",IFERROR(YEAR(L4706),0)=Recherche!$C$6),OR(Recherche!$C$7="",ISNUMBER(SEARCH(Recherche!$C$7,H4706))),OR(Recherche!$C$8="",J4706=Recherche!$C$8),OR(Recherche!$C$9="",I4706=Recherche!$C$9),OR(Recherche!$C$10="",G4706&amp;""=Recherche!$C$10&amp;""),OR(Recherche!$C$11="",E4706=Recherche!$C$11),OR(Recherche!$C$12="",ISNUMBER(SEARCH(Recherche!$C$12,M4706&amp;" "&amp;F4706)))),1,0)</f>
        <v>8</v>
      </c>
    </row>
    <row r="4707" customFormat="false" ht="15" hidden="false" customHeight="false" outlineLevel="0" collapsed="false">
      <c r="A4707" s="19"/>
      <c r="B4707" s="19"/>
      <c r="C4707" s="19"/>
      <c r="D4707" s="19"/>
      <c r="E4707" s="22"/>
      <c r="F4707" s="19"/>
      <c r="G4707" s="26" t="str">
        <f aca="false">IF(D4707="","",IFERROR(VALUE(LEFT(D4707,FIND(" |",D4707&amp;" |")-1)),"?"))</f>
        <v/>
      </c>
      <c r="H4707" s="27" t="str">
        <f aca="false">IF(G4707="","",IF(G4707="?","⚠ pub inconnue",IFERROR(INDEX(Pubs!$B$2:$B$3001,MATCH(G4707,Pubs!$A$2:$A$3001,0))&amp;"","⚠ pub inconnue")))</f>
        <v/>
      </c>
      <c r="I4707" s="27" t="str">
        <f aca="false">IF(OR(G4707="",G4707="?"),"",IFERROR(INDEX(Pubs!$C$2:$C$3001,MATCH(G4707,Pubs!$A$2:$A$3001,0))&amp;"",""))</f>
        <v/>
      </c>
      <c r="J4707" s="27" t="str">
        <f aca="false">IF(OR(G4707="",G4707="?"),"",IFERROR(INDEX(Pubs!$G$2:$G$3001,MATCH(G4707,Pubs!$A$2:$A$3001,0))&amp;"",""))</f>
        <v/>
      </c>
      <c r="K4707" s="28" t="str">
        <f aca="false">IF(OR(G4707="",G4707="?"),"",IFERROR(INDEX(Pubs!$E$2:$E$3001,MATCH(G4707,Pubs!$A$2:$A$3001,0)),""))</f>
        <v/>
      </c>
      <c r="L4707" s="29" t="str">
        <f aca="false">IF(A4707="","",IFERROR(1/(1/INDEX(Numéros!$C$2:$C$3001,MATCH(A4707&amp;"|"&amp;B4707,Numéros!$F$2:$F$3001,0))),""))</f>
        <v/>
      </c>
      <c r="M4707" s="27" t="str">
        <f aca="false">IF(OR(G4707="",G4707="?"),"",IFERROR(INDEX(Pubs!$D$2:$D$3001,MATCH(G4707,Pubs!$A$2:$A$3001,0))&amp;"",""))</f>
        <v/>
      </c>
      <c r="N4707" s="27" t="n">
        <f aca="false">N(N4706)+IF(AND(A4707&lt;&gt;"",OR(Recherche!$C$4="",A4707=Recherche!$C$4),OR(Recherche!$C$5="",B4707&amp;""=Recherche!$C$5&amp;""),OR(Recherche!$C$6="",IFERROR(YEAR(L4707),0)=Recherche!$C$6),OR(Recherche!$C$7="",ISNUMBER(SEARCH(Recherche!$C$7,H4707))),OR(Recherche!$C$8="",J4707=Recherche!$C$8),OR(Recherche!$C$9="",I4707=Recherche!$C$9),OR(Recherche!$C$10="",G4707&amp;""=Recherche!$C$10&amp;""),OR(Recherche!$C$11="",E4707=Recherche!$C$11),OR(Recherche!$C$12="",ISNUMBER(SEARCH(Recherche!$C$12,M4707&amp;" "&amp;F4707)))),1,0)</f>
        <v>8</v>
      </c>
    </row>
    <row r="4708" customFormat="false" ht="15" hidden="false" customHeight="false" outlineLevel="0" collapsed="false">
      <c r="A4708" s="19"/>
      <c r="B4708" s="19"/>
      <c r="C4708" s="19"/>
      <c r="D4708" s="19"/>
      <c r="E4708" s="22"/>
      <c r="F4708" s="19"/>
      <c r="G4708" s="26" t="str">
        <f aca="false">IF(D4708="","",IFERROR(VALUE(LEFT(D4708,FIND(" |",D4708&amp;" |")-1)),"?"))</f>
        <v/>
      </c>
      <c r="H4708" s="27" t="str">
        <f aca="false">IF(G4708="","",IF(G4708="?","⚠ pub inconnue",IFERROR(INDEX(Pubs!$B$2:$B$3001,MATCH(G4708,Pubs!$A$2:$A$3001,0))&amp;"","⚠ pub inconnue")))</f>
        <v/>
      </c>
      <c r="I4708" s="27" t="str">
        <f aca="false">IF(OR(G4708="",G4708="?"),"",IFERROR(INDEX(Pubs!$C$2:$C$3001,MATCH(G4708,Pubs!$A$2:$A$3001,0))&amp;"",""))</f>
        <v/>
      </c>
      <c r="J4708" s="27" t="str">
        <f aca="false">IF(OR(G4708="",G4708="?"),"",IFERROR(INDEX(Pubs!$G$2:$G$3001,MATCH(G4708,Pubs!$A$2:$A$3001,0))&amp;"",""))</f>
        <v/>
      </c>
      <c r="K4708" s="28" t="str">
        <f aca="false">IF(OR(G4708="",G4708="?"),"",IFERROR(INDEX(Pubs!$E$2:$E$3001,MATCH(G4708,Pubs!$A$2:$A$3001,0)),""))</f>
        <v/>
      </c>
      <c r="L4708" s="29" t="str">
        <f aca="false">IF(A4708="","",IFERROR(1/(1/INDEX(Numéros!$C$2:$C$3001,MATCH(A4708&amp;"|"&amp;B4708,Numéros!$F$2:$F$3001,0))),""))</f>
        <v/>
      </c>
      <c r="M4708" s="27" t="str">
        <f aca="false">IF(OR(G4708="",G4708="?"),"",IFERROR(INDEX(Pubs!$D$2:$D$3001,MATCH(G4708,Pubs!$A$2:$A$3001,0))&amp;"",""))</f>
        <v/>
      </c>
      <c r="N4708" s="27" t="n">
        <f aca="false">N(N4707)+IF(AND(A4708&lt;&gt;"",OR(Recherche!$C$4="",A4708=Recherche!$C$4),OR(Recherche!$C$5="",B4708&amp;""=Recherche!$C$5&amp;""),OR(Recherche!$C$6="",IFERROR(YEAR(L4708),0)=Recherche!$C$6),OR(Recherche!$C$7="",ISNUMBER(SEARCH(Recherche!$C$7,H4708))),OR(Recherche!$C$8="",J4708=Recherche!$C$8),OR(Recherche!$C$9="",I4708=Recherche!$C$9),OR(Recherche!$C$10="",G4708&amp;""=Recherche!$C$10&amp;""),OR(Recherche!$C$11="",E4708=Recherche!$C$11),OR(Recherche!$C$12="",ISNUMBER(SEARCH(Recherche!$C$12,M4708&amp;" "&amp;F4708)))),1,0)</f>
        <v>8</v>
      </c>
    </row>
    <row r="4709" customFormat="false" ht="15" hidden="false" customHeight="false" outlineLevel="0" collapsed="false">
      <c r="A4709" s="19"/>
      <c r="B4709" s="19"/>
      <c r="C4709" s="19"/>
      <c r="D4709" s="19"/>
      <c r="E4709" s="22"/>
      <c r="F4709" s="19"/>
      <c r="G4709" s="26" t="str">
        <f aca="false">IF(D4709="","",IFERROR(VALUE(LEFT(D4709,FIND(" |",D4709&amp;" |")-1)),"?"))</f>
        <v/>
      </c>
      <c r="H4709" s="27" t="str">
        <f aca="false">IF(G4709="","",IF(G4709="?","⚠ pub inconnue",IFERROR(INDEX(Pubs!$B$2:$B$3001,MATCH(G4709,Pubs!$A$2:$A$3001,0))&amp;"","⚠ pub inconnue")))</f>
        <v/>
      </c>
      <c r="I4709" s="27" t="str">
        <f aca="false">IF(OR(G4709="",G4709="?"),"",IFERROR(INDEX(Pubs!$C$2:$C$3001,MATCH(G4709,Pubs!$A$2:$A$3001,0))&amp;"",""))</f>
        <v/>
      </c>
      <c r="J4709" s="27" t="str">
        <f aca="false">IF(OR(G4709="",G4709="?"),"",IFERROR(INDEX(Pubs!$G$2:$G$3001,MATCH(G4709,Pubs!$A$2:$A$3001,0))&amp;"",""))</f>
        <v/>
      </c>
      <c r="K4709" s="28" t="str">
        <f aca="false">IF(OR(G4709="",G4709="?"),"",IFERROR(INDEX(Pubs!$E$2:$E$3001,MATCH(G4709,Pubs!$A$2:$A$3001,0)),""))</f>
        <v/>
      </c>
      <c r="L4709" s="29" t="str">
        <f aca="false">IF(A4709="","",IFERROR(1/(1/INDEX(Numéros!$C$2:$C$3001,MATCH(A4709&amp;"|"&amp;B4709,Numéros!$F$2:$F$3001,0))),""))</f>
        <v/>
      </c>
      <c r="M4709" s="27" t="str">
        <f aca="false">IF(OR(G4709="",G4709="?"),"",IFERROR(INDEX(Pubs!$D$2:$D$3001,MATCH(G4709,Pubs!$A$2:$A$3001,0))&amp;"",""))</f>
        <v/>
      </c>
      <c r="N4709" s="27" t="n">
        <f aca="false">N(N4708)+IF(AND(A4709&lt;&gt;"",OR(Recherche!$C$4="",A4709=Recherche!$C$4),OR(Recherche!$C$5="",B4709&amp;""=Recherche!$C$5&amp;""),OR(Recherche!$C$6="",IFERROR(YEAR(L4709),0)=Recherche!$C$6),OR(Recherche!$C$7="",ISNUMBER(SEARCH(Recherche!$C$7,H4709))),OR(Recherche!$C$8="",J4709=Recherche!$C$8),OR(Recherche!$C$9="",I4709=Recherche!$C$9),OR(Recherche!$C$10="",G4709&amp;""=Recherche!$C$10&amp;""),OR(Recherche!$C$11="",E4709=Recherche!$C$11),OR(Recherche!$C$12="",ISNUMBER(SEARCH(Recherche!$C$12,M4709&amp;" "&amp;F4709)))),1,0)</f>
        <v>8</v>
      </c>
    </row>
    <row r="4710" customFormat="false" ht="15" hidden="false" customHeight="false" outlineLevel="0" collapsed="false">
      <c r="A4710" s="19"/>
      <c r="B4710" s="19"/>
      <c r="C4710" s="19"/>
      <c r="D4710" s="19"/>
      <c r="E4710" s="22"/>
      <c r="F4710" s="19"/>
      <c r="G4710" s="26" t="str">
        <f aca="false">IF(D4710="","",IFERROR(VALUE(LEFT(D4710,FIND(" |",D4710&amp;" |")-1)),"?"))</f>
        <v/>
      </c>
      <c r="H4710" s="27" t="str">
        <f aca="false">IF(G4710="","",IF(G4710="?","⚠ pub inconnue",IFERROR(INDEX(Pubs!$B$2:$B$3001,MATCH(G4710,Pubs!$A$2:$A$3001,0))&amp;"","⚠ pub inconnue")))</f>
        <v/>
      </c>
      <c r="I4710" s="27" t="str">
        <f aca="false">IF(OR(G4710="",G4710="?"),"",IFERROR(INDEX(Pubs!$C$2:$C$3001,MATCH(G4710,Pubs!$A$2:$A$3001,0))&amp;"",""))</f>
        <v/>
      </c>
      <c r="J4710" s="27" t="str">
        <f aca="false">IF(OR(G4710="",G4710="?"),"",IFERROR(INDEX(Pubs!$G$2:$G$3001,MATCH(G4710,Pubs!$A$2:$A$3001,0))&amp;"",""))</f>
        <v/>
      </c>
      <c r="K4710" s="28" t="str">
        <f aca="false">IF(OR(G4710="",G4710="?"),"",IFERROR(INDEX(Pubs!$E$2:$E$3001,MATCH(G4710,Pubs!$A$2:$A$3001,0)),""))</f>
        <v/>
      </c>
      <c r="L4710" s="29" t="str">
        <f aca="false">IF(A4710="","",IFERROR(1/(1/INDEX(Numéros!$C$2:$C$3001,MATCH(A4710&amp;"|"&amp;B4710,Numéros!$F$2:$F$3001,0))),""))</f>
        <v/>
      </c>
      <c r="M4710" s="27" t="str">
        <f aca="false">IF(OR(G4710="",G4710="?"),"",IFERROR(INDEX(Pubs!$D$2:$D$3001,MATCH(G4710,Pubs!$A$2:$A$3001,0))&amp;"",""))</f>
        <v/>
      </c>
      <c r="N4710" s="27" t="n">
        <f aca="false">N(N4709)+IF(AND(A4710&lt;&gt;"",OR(Recherche!$C$4="",A4710=Recherche!$C$4),OR(Recherche!$C$5="",B4710&amp;""=Recherche!$C$5&amp;""),OR(Recherche!$C$6="",IFERROR(YEAR(L4710),0)=Recherche!$C$6),OR(Recherche!$C$7="",ISNUMBER(SEARCH(Recherche!$C$7,H4710))),OR(Recherche!$C$8="",J4710=Recherche!$C$8),OR(Recherche!$C$9="",I4710=Recherche!$C$9),OR(Recherche!$C$10="",G4710&amp;""=Recherche!$C$10&amp;""),OR(Recherche!$C$11="",E4710=Recherche!$C$11),OR(Recherche!$C$12="",ISNUMBER(SEARCH(Recherche!$C$12,M4710&amp;" "&amp;F4710)))),1,0)</f>
        <v>8</v>
      </c>
    </row>
    <row r="4711" customFormat="false" ht="15" hidden="false" customHeight="false" outlineLevel="0" collapsed="false">
      <c r="A4711" s="19"/>
      <c r="B4711" s="19"/>
      <c r="C4711" s="19"/>
      <c r="D4711" s="19"/>
      <c r="E4711" s="22"/>
      <c r="F4711" s="19"/>
      <c r="G4711" s="26" t="str">
        <f aca="false">IF(D4711="","",IFERROR(VALUE(LEFT(D4711,FIND(" |",D4711&amp;" |")-1)),"?"))</f>
        <v/>
      </c>
      <c r="H4711" s="27" t="str">
        <f aca="false">IF(G4711="","",IF(G4711="?","⚠ pub inconnue",IFERROR(INDEX(Pubs!$B$2:$B$3001,MATCH(G4711,Pubs!$A$2:$A$3001,0))&amp;"","⚠ pub inconnue")))</f>
        <v/>
      </c>
      <c r="I4711" s="27" t="str">
        <f aca="false">IF(OR(G4711="",G4711="?"),"",IFERROR(INDEX(Pubs!$C$2:$C$3001,MATCH(G4711,Pubs!$A$2:$A$3001,0))&amp;"",""))</f>
        <v/>
      </c>
      <c r="J4711" s="27" t="str">
        <f aca="false">IF(OR(G4711="",G4711="?"),"",IFERROR(INDEX(Pubs!$G$2:$G$3001,MATCH(G4711,Pubs!$A$2:$A$3001,0))&amp;"",""))</f>
        <v/>
      </c>
      <c r="K4711" s="28" t="str">
        <f aca="false">IF(OR(G4711="",G4711="?"),"",IFERROR(INDEX(Pubs!$E$2:$E$3001,MATCH(G4711,Pubs!$A$2:$A$3001,0)),""))</f>
        <v/>
      </c>
      <c r="L4711" s="29" t="str">
        <f aca="false">IF(A4711="","",IFERROR(1/(1/INDEX(Numéros!$C$2:$C$3001,MATCH(A4711&amp;"|"&amp;B4711,Numéros!$F$2:$F$3001,0))),""))</f>
        <v/>
      </c>
      <c r="M4711" s="27" t="str">
        <f aca="false">IF(OR(G4711="",G4711="?"),"",IFERROR(INDEX(Pubs!$D$2:$D$3001,MATCH(G4711,Pubs!$A$2:$A$3001,0))&amp;"",""))</f>
        <v/>
      </c>
      <c r="N4711" s="27" t="n">
        <f aca="false">N(N4710)+IF(AND(A4711&lt;&gt;"",OR(Recherche!$C$4="",A4711=Recherche!$C$4),OR(Recherche!$C$5="",B4711&amp;""=Recherche!$C$5&amp;""),OR(Recherche!$C$6="",IFERROR(YEAR(L4711),0)=Recherche!$C$6),OR(Recherche!$C$7="",ISNUMBER(SEARCH(Recherche!$C$7,H4711))),OR(Recherche!$C$8="",J4711=Recherche!$C$8),OR(Recherche!$C$9="",I4711=Recherche!$C$9),OR(Recherche!$C$10="",G4711&amp;""=Recherche!$C$10&amp;""),OR(Recherche!$C$11="",E4711=Recherche!$C$11),OR(Recherche!$C$12="",ISNUMBER(SEARCH(Recherche!$C$12,M4711&amp;" "&amp;F4711)))),1,0)</f>
        <v>8</v>
      </c>
    </row>
    <row r="4712" customFormat="false" ht="15" hidden="false" customHeight="false" outlineLevel="0" collapsed="false">
      <c r="A4712" s="19"/>
      <c r="B4712" s="19"/>
      <c r="C4712" s="19"/>
      <c r="D4712" s="19"/>
      <c r="E4712" s="22"/>
      <c r="F4712" s="19"/>
      <c r="G4712" s="26" t="str">
        <f aca="false">IF(D4712="","",IFERROR(VALUE(LEFT(D4712,FIND(" |",D4712&amp;" |")-1)),"?"))</f>
        <v/>
      </c>
      <c r="H4712" s="27" t="str">
        <f aca="false">IF(G4712="","",IF(G4712="?","⚠ pub inconnue",IFERROR(INDEX(Pubs!$B$2:$B$3001,MATCH(G4712,Pubs!$A$2:$A$3001,0))&amp;"","⚠ pub inconnue")))</f>
        <v/>
      </c>
      <c r="I4712" s="27" t="str">
        <f aca="false">IF(OR(G4712="",G4712="?"),"",IFERROR(INDEX(Pubs!$C$2:$C$3001,MATCH(G4712,Pubs!$A$2:$A$3001,0))&amp;"",""))</f>
        <v/>
      </c>
      <c r="J4712" s="27" t="str">
        <f aca="false">IF(OR(G4712="",G4712="?"),"",IFERROR(INDEX(Pubs!$G$2:$G$3001,MATCH(G4712,Pubs!$A$2:$A$3001,0))&amp;"",""))</f>
        <v/>
      </c>
      <c r="K4712" s="28" t="str">
        <f aca="false">IF(OR(G4712="",G4712="?"),"",IFERROR(INDEX(Pubs!$E$2:$E$3001,MATCH(G4712,Pubs!$A$2:$A$3001,0)),""))</f>
        <v/>
      </c>
      <c r="L4712" s="29" t="str">
        <f aca="false">IF(A4712="","",IFERROR(1/(1/INDEX(Numéros!$C$2:$C$3001,MATCH(A4712&amp;"|"&amp;B4712,Numéros!$F$2:$F$3001,0))),""))</f>
        <v/>
      </c>
      <c r="M4712" s="27" t="str">
        <f aca="false">IF(OR(G4712="",G4712="?"),"",IFERROR(INDEX(Pubs!$D$2:$D$3001,MATCH(G4712,Pubs!$A$2:$A$3001,0))&amp;"",""))</f>
        <v/>
      </c>
      <c r="N4712" s="27" t="n">
        <f aca="false">N(N4711)+IF(AND(A4712&lt;&gt;"",OR(Recherche!$C$4="",A4712=Recherche!$C$4),OR(Recherche!$C$5="",B4712&amp;""=Recherche!$C$5&amp;""),OR(Recherche!$C$6="",IFERROR(YEAR(L4712),0)=Recherche!$C$6),OR(Recherche!$C$7="",ISNUMBER(SEARCH(Recherche!$C$7,H4712))),OR(Recherche!$C$8="",J4712=Recherche!$C$8),OR(Recherche!$C$9="",I4712=Recherche!$C$9),OR(Recherche!$C$10="",G4712&amp;""=Recherche!$C$10&amp;""),OR(Recherche!$C$11="",E4712=Recherche!$C$11),OR(Recherche!$C$12="",ISNUMBER(SEARCH(Recherche!$C$12,M4712&amp;" "&amp;F4712)))),1,0)</f>
        <v>8</v>
      </c>
    </row>
    <row r="4713" customFormat="false" ht="15" hidden="false" customHeight="false" outlineLevel="0" collapsed="false">
      <c r="A4713" s="19"/>
      <c r="B4713" s="19"/>
      <c r="C4713" s="19"/>
      <c r="D4713" s="19"/>
      <c r="E4713" s="22"/>
      <c r="F4713" s="19"/>
      <c r="G4713" s="26" t="str">
        <f aca="false">IF(D4713="","",IFERROR(VALUE(LEFT(D4713,FIND(" |",D4713&amp;" |")-1)),"?"))</f>
        <v/>
      </c>
      <c r="H4713" s="27" t="str">
        <f aca="false">IF(G4713="","",IF(G4713="?","⚠ pub inconnue",IFERROR(INDEX(Pubs!$B$2:$B$3001,MATCH(G4713,Pubs!$A$2:$A$3001,0))&amp;"","⚠ pub inconnue")))</f>
        <v/>
      </c>
      <c r="I4713" s="27" t="str">
        <f aca="false">IF(OR(G4713="",G4713="?"),"",IFERROR(INDEX(Pubs!$C$2:$C$3001,MATCH(G4713,Pubs!$A$2:$A$3001,0))&amp;"",""))</f>
        <v/>
      </c>
      <c r="J4713" s="27" t="str">
        <f aca="false">IF(OR(G4713="",G4713="?"),"",IFERROR(INDEX(Pubs!$G$2:$G$3001,MATCH(G4713,Pubs!$A$2:$A$3001,0))&amp;"",""))</f>
        <v/>
      </c>
      <c r="K4713" s="28" t="str">
        <f aca="false">IF(OR(G4713="",G4713="?"),"",IFERROR(INDEX(Pubs!$E$2:$E$3001,MATCH(G4713,Pubs!$A$2:$A$3001,0)),""))</f>
        <v/>
      </c>
      <c r="L4713" s="29" t="str">
        <f aca="false">IF(A4713="","",IFERROR(1/(1/INDEX(Numéros!$C$2:$C$3001,MATCH(A4713&amp;"|"&amp;B4713,Numéros!$F$2:$F$3001,0))),""))</f>
        <v/>
      </c>
      <c r="M4713" s="27" t="str">
        <f aca="false">IF(OR(G4713="",G4713="?"),"",IFERROR(INDEX(Pubs!$D$2:$D$3001,MATCH(G4713,Pubs!$A$2:$A$3001,0))&amp;"",""))</f>
        <v/>
      </c>
      <c r="N4713" s="27" t="n">
        <f aca="false">N(N4712)+IF(AND(A4713&lt;&gt;"",OR(Recherche!$C$4="",A4713=Recherche!$C$4),OR(Recherche!$C$5="",B4713&amp;""=Recherche!$C$5&amp;""),OR(Recherche!$C$6="",IFERROR(YEAR(L4713),0)=Recherche!$C$6),OR(Recherche!$C$7="",ISNUMBER(SEARCH(Recherche!$C$7,H4713))),OR(Recherche!$C$8="",J4713=Recherche!$C$8),OR(Recherche!$C$9="",I4713=Recherche!$C$9),OR(Recherche!$C$10="",G4713&amp;""=Recherche!$C$10&amp;""),OR(Recherche!$C$11="",E4713=Recherche!$C$11),OR(Recherche!$C$12="",ISNUMBER(SEARCH(Recherche!$C$12,M4713&amp;" "&amp;F4713)))),1,0)</f>
        <v>8</v>
      </c>
    </row>
    <row r="4714" customFormat="false" ht="15" hidden="false" customHeight="false" outlineLevel="0" collapsed="false">
      <c r="A4714" s="19"/>
      <c r="B4714" s="19"/>
      <c r="C4714" s="19"/>
      <c r="D4714" s="19"/>
      <c r="E4714" s="22"/>
      <c r="F4714" s="19"/>
      <c r="G4714" s="26" t="str">
        <f aca="false">IF(D4714="","",IFERROR(VALUE(LEFT(D4714,FIND(" |",D4714&amp;" |")-1)),"?"))</f>
        <v/>
      </c>
      <c r="H4714" s="27" t="str">
        <f aca="false">IF(G4714="","",IF(G4714="?","⚠ pub inconnue",IFERROR(INDEX(Pubs!$B$2:$B$3001,MATCH(G4714,Pubs!$A$2:$A$3001,0))&amp;"","⚠ pub inconnue")))</f>
        <v/>
      </c>
      <c r="I4714" s="27" t="str">
        <f aca="false">IF(OR(G4714="",G4714="?"),"",IFERROR(INDEX(Pubs!$C$2:$C$3001,MATCH(G4714,Pubs!$A$2:$A$3001,0))&amp;"",""))</f>
        <v/>
      </c>
      <c r="J4714" s="27" t="str">
        <f aca="false">IF(OR(G4714="",G4714="?"),"",IFERROR(INDEX(Pubs!$G$2:$G$3001,MATCH(G4714,Pubs!$A$2:$A$3001,0))&amp;"",""))</f>
        <v/>
      </c>
      <c r="K4714" s="28" t="str">
        <f aca="false">IF(OR(G4714="",G4714="?"),"",IFERROR(INDEX(Pubs!$E$2:$E$3001,MATCH(G4714,Pubs!$A$2:$A$3001,0)),""))</f>
        <v/>
      </c>
      <c r="L4714" s="29" t="str">
        <f aca="false">IF(A4714="","",IFERROR(1/(1/INDEX(Numéros!$C$2:$C$3001,MATCH(A4714&amp;"|"&amp;B4714,Numéros!$F$2:$F$3001,0))),""))</f>
        <v/>
      </c>
      <c r="M4714" s="27" t="str">
        <f aca="false">IF(OR(G4714="",G4714="?"),"",IFERROR(INDEX(Pubs!$D$2:$D$3001,MATCH(G4714,Pubs!$A$2:$A$3001,0))&amp;"",""))</f>
        <v/>
      </c>
      <c r="N4714" s="27" t="n">
        <f aca="false">N(N4713)+IF(AND(A4714&lt;&gt;"",OR(Recherche!$C$4="",A4714=Recherche!$C$4),OR(Recherche!$C$5="",B4714&amp;""=Recherche!$C$5&amp;""),OR(Recherche!$C$6="",IFERROR(YEAR(L4714),0)=Recherche!$C$6),OR(Recherche!$C$7="",ISNUMBER(SEARCH(Recherche!$C$7,H4714))),OR(Recherche!$C$8="",J4714=Recherche!$C$8),OR(Recherche!$C$9="",I4714=Recherche!$C$9),OR(Recherche!$C$10="",G4714&amp;""=Recherche!$C$10&amp;""),OR(Recherche!$C$11="",E4714=Recherche!$C$11),OR(Recherche!$C$12="",ISNUMBER(SEARCH(Recherche!$C$12,M4714&amp;" "&amp;F4714)))),1,0)</f>
        <v>8</v>
      </c>
    </row>
    <row r="4715" customFormat="false" ht="15" hidden="false" customHeight="false" outlineLevel="0" collapsed="false">
      <c r="A4715" s="19"/>
      <c r="B4715" s="19"/>
      <c r="C4715" s="19"/>
      <c r="D4715" s="19"/>
      <c r="E4715" s="22"/>
      <c r="F4715" s="19"/>
      <c r="G4715" s="26" t="str">
        <f aca="false">IF(D4715="","",IFERROR(VALUE(LEFT(D4715,FIND(" |",D4715&amp;" |")-1)),"?"))</f>
        <v/>
      </c>
      <c r="H4715" s="27" t="str">
        <f aca="false">IF(G4715="","",IF(G4715="?","⚠ pub inconnue",IFERROR(INDEX(Pubs!$B$2:$B$3001,MATCH(G4715,Pubs!$A$2:$A$3001,0))&amp;"","⚠ pub inconnue")))</f>
        <v/>
      </c>
      <c r="I4715" s="27" t="str">
        <f aca="false">IF(OR(G4715="",G4715="?"),"",IFERROR(INDEX(Pubs!$C$2:$C$3001,MATCH(G4715,Pubs!$A$2:$A$3001,0))&amp;"",""))</f>
        <v/>
      </c>
      <c r="J4715" s="27" t="str">
        <f aca="false">IF(OR(G4715="",G4715="?"),"",IFERROR(INDEX(Pubs!$G$2:$G$3001,MATCH(G4715,Pubs!$A$2:$A$3001,0))&amp;"",""))</f>
        <v/>
      </c>
      <c r="K4715" s="28" t="str">
        <f aca="false">IF(OR(G4715="",G4715="?"),"",IFERROR(INDEX(Pubs!$E$2:$E$3001,MATCH(G4715,Pubs!$A$2:$A$3001,0)),""))</f>
        <v/>
      </c>
      <c r="L4715" s="29" t="str">
        <f aca="false">IF(A4715="","",IFERROR(1/(1/INDEX(Numéros!$C$2:$C$3001,MATCH(A4715&amp;"|"&amp;B4715,Numéros!$F$2:$F$3001,0))),""))</f>
        <v/>
      </c>
      <c r="M4715" s="27" t="str">
        <f aca="false">IF(OR(G4715="",G4715="?"),"",IFERROR(INDEX(Pubs!$D$2:$D$3001,MATCH(G4715,Pubs!$A$2:$A$3001,0))&amp;"",""))</f>
        <v/>
      </c>
      <c r="N4715" s="27" t="n">
        <f aca="false">N(N4714)+IF(AND(A4715&lt;&gt;"",OR(Recherche!$C$4="",A4715=Recherche!$C$4),OR(Recherche!$C$5="",B4715&amp;""=Recherche!$C$5&amp;""),OR(Recherche!$C$6="",IFERROR(YEAR(L4715),0)=Recherche!$C$6),OR(Recherche!$C$7="",ISNUMBER(SEARCH(Recherche!$C$7,H4715))),OR(Recherche!$C$8="",J4715=Recherche!$C$8),OR(Recherche!$C$9="",I4715=Recherche!$C$9),OR(Recherche!$C$10="",G4715&amp;""=Recherche!$C$10&amp;""),OR(Recherche!$C$11="",E4715=Recherche!$C$11),OR(Recherche!$C$12="",ISNUMBER(SEARCH(Recherche!$C$12,M4715&amp;" "&amp;F4715)))),1,0)</f>
        <v>8</v>
      </c>
    </row>
    <row r="4716" customFormat="false" ht="15" hidden="false" customHeight="false" outlineLevel="0" collapsed="false">
      <c r="A4716" s="19"/>
      <c r="B4716" s="19"/>
      <c r="C4716" s="19"/>
      <c r="D4716" s="19"/>
      <c r="E4716" s="22"/>
      <c r="F4716" s="19"/>
      <c r="G4716" s="26" t="str">
        <f aca="false">IF(D4716="","",IFERROR(VALUE(LEFT(D4716,FIND(" |",D4716&amp;" |")-1)),"?"))</f>
        <v/>
      </c>
      <c r="H4716" s="27" t="str">
        <f aca="false">IF(G4716="","",IF(G4716="?","⚠ pub inconnue",IFERROR(INDEX(Pubs!$B$2:$B$3001,MATCH(G4716,Pubs!$A$2:$A$3001,0))&amp;"","⚠ pub inconnue")))</f>
        <v/>
      </c>
      <c r="I4716" s="27" t="str">
        <f aca="false">IF(OR(G4716="",G4716="?"),"",IFERROR(INDEX(Pubs!$C$2:$C$3001,MATCH(G4716,Pubs!$A$2:$A$3001,0))&amp;"",""))</f>
        <v/>
      </c>
      <c r="J4716" s="27" t="str">
        <f aca="false">IF(OR(G4716="",G4716="?"),"",IFERROR(INDEX(Pubs!$G$2:$G$3001,MATCH(G4716,Pubs!$A$2:$A$3001,0))&amp;"",""))</f>
        <v/>
      </c>
      <c r="K4716" s="28" t="str">
        <f aca="false">IF(OR(G4716="",G4716="?"),"",IFERROR(INDEX(Pubs!$E$2:$E$3001,MATCH(G4716,Pubs!$A$2:$A$3001,0)),""))</f>
        <v/>
      </c>
      <c r="L4716" s="29" t="str">
        <f aca="false">IF(A4716="","",IFERROR(1/(1/INDEX(Numéros!$C$2:$C$3001,MATCH(A4716&amp;"|"&amp;B4716,Numéros!$F$2:$F$3001,0))),""))</f>
        <v/>
      </c>
      <c r="M4716" s="27" t="str">
        <f aca="false">IF(OR(G4716="",G4716="?"),"",IFERROR(INDEX(Pubs!$D$2:$D$3001,MATCH(G4716,Pubs!$A$2:$A$3001,0))&amp;"",""))</f>
        <v/>
      </c>
      <c r="N4716" s="27" t="n">
        <f aca="false">N(N4715)+IF(AND(A4716&lt;&gt;"",OR(Recherche!$C$4="",A4716=Recherche!$C$4),OR(Recherche!$C$5="",B4716&amp;""=Recherche!$C$5&amp;""),OR(Recherche!$C$6="",IFERROR(YEAR(L4716),0)=Recherche!$C$6),OR(Recherche!$C$7="",ISNUMBER(SEARCH(Recherche!$C$7,H4716))),OR(Recherche!$C$8="",J4716=Recherche!$C$8),OR(Recherche!$C$9="",I4716=Recherche!$C$9),OR(Recherche!$C$10="",G4716&amp;""=Recherche!$C$10&amp;""),OR(Recherche!$C$11="",E4716=Recherche!$C$11),OR(Recherche!$C$12="",ISNUMBER(SEARCH(Recherche!$C$12,M4716&amp;" "&amp;F4716)))),1,0)</f>
        <v>8</v>
      </c>
    </row>
    <row r="4717" customFormat="false" ht="15" hidden="false" customHeight="false" outlineLevel="0" collapsed="false">
      <c r="A4717" s="19"/>
      <c r="B4717" s="19"/>
      <c r="C4717" s="19"/>
      <c r="D4717" s="19"/>
      <c r="E4717" s="22"/>
      <c r="F4717" s="19"/>
      <c r="G4717" s="26" t="str">
        <f aca="false">IF(D4717="","",IFERROR(VALUE(LEFT(D4717,FIND(" |",D4717&amp;" |")-1)),"?"))</f>
        <v/>
      </c>
      <c r="H4717" s="27" t="str">
        <f aca="false">IF(G4717="","",IF(G4717="?","⚠ pub inconnue",IFERROR(INDEX(Pubs!$B$2:$B$3001,MATCH(G4717,Pubs!$A$2:$A$3001,0))&amp;"","⚠ pub inconnue")))</f>
        <v/>
      </c>
      <c r="I4717" s="27" t="str">
        <f aca="false">IF(OR(G4717="",G4717="?"),"",IFERROR(INDEX(Pubs!$C$2:$C$3001,MATCH(G4717,Pubs!$A$2:$A$3001,0))&amp;"",""))</f>
        <v/>
      </c>
      <c r="J4717" s="27" t="str">
        <f aca="false">IF(OR(G4717="",G4717="?"),"",IFERROR(INDEX(Pubs!$G$2:$G$3001,MATCH(G4717,Pubs!$A$2:$A$3001,0))&amp;"",""))</f>
        <v/>
      </c>
      <c r="K4717" s="28" t="str">
        <f aca="false">IF(OR(G4717="",G4717="?"),"",IFERROR(INDEX(Pubs!$E$2:$E$3001,MATCH(G4717,Pubs!$A$2:$A$3001,0)),""))</f>
        <v/>
      </c>
      <c r="L4717" s="29" t="str">
        <f aca="false">IF(A4717="","",IFERROR(1/(1/INDEX(Numéros!$C$2:$C$3001,MATCH(A4717&amp;"|"&amp;B4717,Numéros!$F$2:$F$3001,0))),""))</f>
        <v/>
      </c>
      <c r="M4717" s="27" t="str">
        <f aca="false">IF(OR(G4717="",G4717="?"),"",IFERROR(INDEX(Pubs!$D$2:$D$3001,MATCH(G4717,Pubs!$A$2:$A$3001,0))&amp;"",""))</f>
        <v/>
      </c>
      <c r="N4717" s="27" t="n">
        <f aca="false">N(N4716)+IF(AND(A4717&lt;&gt;"",OR(Recherche!$C$4="",A4717=Recherche!$C$4),OR(Recherche!$C$5="",B4717&amp;""=Recherche!$C$5&amp;""),OR(Recherche!$C$6="",IFERROR(YEAR(L4717),0)=Recherche!$C$6),OR(Recherche!$C$7="",ISNUMBER(SEARCH(Recherche!$C$7,H4717))),OR(Recherche!$C$8="",J4717=Recherche!$C$8),OR(Recherche!$C$9="",I4717=Recherche!$C$9),OR(Recherche!$C$10="",G4717&amp;""=Recherche!$C$10&amp;""),OR(Recherche!$C$11="",E4717=Recherche!$C$11),OR(Recherche!$C$12="",ISNUMBER(SEARCH(Recherche!$C$12,M4717&amp;" "&amp;F4717)))),1,0)</f>
        <v>8</v>
      </c>
    </row>
    <row r="4718" customFormat="false" ht="15" hidden="false" customHeight="false" outlineLevel="0" collapsed="false">
      <c r="A4718" s="19"/>
      <c r="B4718" s="19"/>
      <c r="C4718" s="19"/>
      <c r="D4718" s="19"/>
      <c r="E4718" s="22"/>
      <c r="F4718" s="19"/>
      <c r="G4718" s="26" t="str">
        <f aca="false">IF(D4718="","",IFERROR(VALUE(LEFT(D4718,FIND(" |",D4718&amp;" |")-1)),"?"))</f>
        <v/>
      </c>
      <c r="H4718" s="27" t="str">
        <f aca="false">IF(G4718="","",IF(G4718="?","⚠ pub inconnue",IFERROR(INDEX(Pubs!$B$2:$B$3001,MATCH(G4718,Pubs!$A$2:$A$3001,0))&amp;"","⚠ pub inconnue")))</f>
        <v/>
      </c>
      <c r="I4718" s="27" t="str">
        <f aca="false">IF(OR(G4718="",G4718="?"),"",IFERROR(INDEX(Pubs!$C$2:$C$3001,MATCH(G4718,Pubs!$A$2:$A$3001,0))&amp;"",""))</f>
        <v/>
      </c>
      <c r="J4718" s="27" t="str">
        <f aca="false">IF(OR(G4718="",G4718="?"),"",IFERROR(INDEX(Pubs!$G$2:$G$3001,MATCH(G4718,Pubs!$A$2:$A$3001,0))&amp;"",""))</f>
        <v/>
      </c>
      <c r="K4718" s="28" t="str">
        <f aca="false">IF(OR(G4718="",G4718="?"),"",IFERROR(INDEX(Pubs!$E$2:$E$3001,MATCH(G4718,Pubs!$A$2:$A$3001,0)),""))</f>
        <v/>
      </c>
      <c r="L4718" s="29" t="str">
        <f aca="false">IF(A4718="","",IFERROR(1/(1/INDEX(Numéros!$C$2:$C$3001,MATCH(A4718&amp;"|"&amp;B4718,Numéros!$F$2:$F$3001,0))),""))</f>
        <v/>
      </c>
      <c r="M4718" s="27" t="str">
        <f aca="false">IF(OR(G4718="",G4718="?"),"",IFERROR(INDEX(Pubs!$D$2:$D$3001,MATCH(G4718,Pubs!$A$2:$A$3001,0))&amp;"",""))</f>
        <v/>
      </c>
      <c r="N4718" s="27" t="n">
        <f aca="false">N(N4717)+IF(AND(A4718&lt;&gt;"",OR(Recherche!$C$4="",A4718=Recherche!$C$4),OR(Recherche!$C$5="",B4718&amp;""=Recherche!$C$5&amp;""),OR(Recherche!$C$6="",IFERROR(YEAR(L4718),0)=Recherche!$C$6),OR(Recherche!$C$7="",ISNUMBER(SEARCH(Recherche!$C$7,H4718))),OR(Recherche!$C$8="",J4718=Recherche!$C$8),OR(Recherche!$C$9="",I4718=Recherche!$C$9),OR(Recherche!$C$10="",G4718&amp;""=Recherche!$C$10&amp;""),OR(Recherche!$C$11="",E4718=Recherche!$C$11),OR(Recherche!$C$12="",ISNUMBER(SEARCH(Recherche!$C$12,M4718&amp;" "&amp;F4718)))),1,0)</f>
        <v>8</v>
      </c>
    </row>
    <row r="4719" customFormat="false" ht="15" hidden="false" customHeight="false" outlineLevel="0" collapsed="false">
      <c r="A4719" s="19"/>
      <c r="B4719" s="19"/>
      <c r="C4719" s="19"/>
      <c r="D4719" s="19"/>
      <c r="E4719" s="22"/>
      <c r="F4719" s="19"/>
      <c r="G4719" s="26" t="str">
        <f aca="false">IF(D4719="","",IFERROR(VALUE(LEFT(D4719,FIND(" |",D4719&amp;" |")-1)),"?"))</f>
        <v/>
      </c>
      <c r="H4719" s="27" t="str">
        <f aca="false">IF(G4719="","",IF(G4719="?","⚠ pub inconnue",IFERROR(INDEX(Pubs!$B$2:$B$3001,MATCH(G4719,Pubs!$A$2:$A$3001,0))&amp;"","⚠ pub inconnue")))</f>
        <v/>
      </c>
      <c r="I4719" s="27" t="str">
        <f aca="false">IF(OR(G4719="",G4719="?"),"",IFERROR(INDEX(Pubs!$C$2:$C$3001,MATCH(G4719,Pubs!$A$2:$A$3001,0))&amp;"",""))</f>
        <v/>
      </c>
      <c r="J4719" s="27" t="str">
        <f aca="false">IF(OR(G4719="",G4719="?"),"",IFERROR(INDEX(Pubs!$G$2:$G$3001,MATCH(G4719,Pubs!$A$2:$A$3001,0))&amp;"",""))</f>
        <v/>
      </c>
      <c r="K4719" s="28" t="str">
        <f aca="false">IF(OR(G4719="",G4719="?"),"",IFERROR(INDEX(Pubs!$E$2:$E$3001,MATCH(G4719,Pubs!$A$2:$A$3001,0)),""))</f>
        <v/>
      </c>
      <c r="L4719" s="29" t="str">
        <f aca="false">IF(A4719="","",IFERROR(1/(1/INDEX(Numéros!$C$2:$C$3001,MATCH(A4719&amp;"|"&amp;B4719,Numéros!$F$2:$F$3001,0))),""))</f>
        <v/>
      </c>
      <c r="M4719" s="27" t="str">
        <f aca="false">IF(OR(G4719="",G4719="?"),"",IFERROR(INDEX(Pubs!$D$2:$D$3001,MATCH(G4719,Pubs!$A$2:$A$3001,0))&amp;"",""))</f>
        <v/>
      </c>
      <c r="N4719" s="27" t="n">
        <f aca="false">N(N4718)+IF(AND(A4719&lt;&gt;"",OR(Recherche!$C$4="",A4719=Recherche!$C$4),OR(Recherche!$C$5="",B4719&amp;""=Recherche!$C$5&amp;""),OR(Recherche!$C$6="",IFERROR(YEAR(L4719),0)=Recherche!$C$6),OR(Recherche!$C$7="",ISNUMBER(SEARCH(Recherche!$C$7,H4719))),OR(Recherche!$C$8="",J4719=Recherche!$C$8),OR(Recherche!$C$9="",I4719=Recherche!$C$9),OR(Recherche!$C$10="",G4719&amp;""=Recherche!$C$10&amp;""),OR(Recherche!$C$11="",E4719=Recherche!$C$11),OR(Recherche!$C$12="",ISNUMBER(SEARCH(Recherche!$C$12,M4719&amp;" "&amp;F4719)))),1,0)</f>
        <v>8</v>
      </c>
    </row>
    <row r="4720" customFormat="false" ht="15" hidden="false" customHeight="false" outlineLevel="0" collapsed="false">
      <c r="A4720" s="19"/>
      <c r="B4720" s="19"/>
      <c r="C4720" s="19"/>
      <c r="D4720" s="19"/>
      <c r="E4720" s="22"/>
      <c r="F4720" s="19"/>
      <c r="G4720" s="26" t="str">
        <f aca="false">IF(D4720="","",IFERROR(VALUE(LEFT(D4720,FIND(" |",D4720&amp;" |")-1)),"?"))</f>
        <v/>
      </c>
      <c r="H4720" s="27" t="str">
        <f aca="false">IF(G4720="","",IF(G4720="?","⚠ pub inconnue",IFERROR(INDEX(Pubs!$B$2:$B$3001,MATCH(G4720,Pubs!$A$2:$A$3001,0))&amp;"","⚠ pub inconnue")))</f>
        <v/>
      </c>
      <c r="I4720" s="27" t="str">
        <f aca="false">IF(OR(G4720="",G4720="?"),"",IFERROR(INDEX(Pubs!$C$2:$C$3001,MATCH(G4720,Pubs!$A$2:$A$3001,0))&amp;"",""))</f>
        <v/>
      </c>
      <c r="J4720" s="27" t="str">
        <f aca="false">IF(OR(G4720="",G4720="?"),"",IFERROR(INDEX(Pubs!$G$2:$G$3001,MATCH(G4720,Pubs!$A$2:$A$3001,0))&amp;"",""))</f>
        <v/>
      </c>
      <c r="K4720" s="28" t="str">
        <f aca="false">IF(OR(G4720="",G4720="?"),"",IFERROR(INDEX(Pubs!$E$2:$E$3001,MATCH(G4720,Pubs!$A$2:$A$3001,0)),""))</f>
        <v/>
      </c>
      <c r="L4720" s="29" t="str">
        <f aca="false">IF(A4720="","",IFERROR(1/(1/INDEX(Numéros!$C$2:$C$3001,MATCH(A4720&amp;"|"&amp;B4720,Numéros!$F$2:$F$3001,0))),""))</f>
        <v/>
      </c>
      <c r="M4720" s="27" t="str">
        <f aca="false">IF(OR(G4720="",G4720="?"),"",IFERROR(INDEX(Pubs!$D$2:$D$3001,MATCH(G4720,Pubs!$A$2:$A$3001,0))&amp;"",""))</f>
        <v/>
      </c>
      <c r="N4720" s="27" t="n">
        <f aca="false">N(N4719)+IF(AND(A4720&lt;&gt;"",OR(Recherche!$C$4="",A4720=Recherche!$C$4),OR(Recherche!$C$5="",B4720&amp;""=Recherche!$C$5&amp;""),OR(Recherche!$C$6="",IFERROR(YEAR(L4720),0)=Recherche!$C$6),OR(Recherche!$C$7="",ISNUMBER(SEARCH(Recherche!$C$7,H4720))),OR(Recherche!$C$8="",J4720=Recherche!$C$8),OR(Recherche!$C$9="",I4720=Recherche!$C$9),OR(Recherche!$C$10="",G4720&amp;""=Recherche!$C$10&amp;""),OR(Recherche!$C$11="",E4720=Recherche!$C$11),OR(Recherche!$C$12="",ISNUMBER(SEARCH(Recherche!$C$12,M4720&amp;" "&amp;F4720)))),1,0)</f>
        <v>8</v>
      </c>
    </row>
    <row r="4721" customFormat="false" ht="15" hidden="false" customHeight="false" outlineLevel="0" collapsed="false">
      <c r="A4721" s="19"/>
      <c r="B4721" s="19"/>
      <c r="C4721" s="19"/>
      <c r="D4721" s="19"/>
      <c r="E4721" s="22"/>
      <c r="F4721" s="19"/>
      <c r="G4721" s="26" t="str">
        <f aca="false">IF(D4721="","",IFERROR(VALUE(LEFT(D4721,FIND(" |",D4721&amp;" |")-1)),"?"))</f>
        <v/>
      </c>
      <c r="H4721" s="27" t="str">
        <f aca="false">IF(G4721="","",IF(G4721="?","⚠ pub inconnue",IFERROR(INDEX(Pubs!$B$2:$B$3001,MATCH(G4721,Pubs!$A$2:$A$3001,0))&amp;"","⚠ pub inconnue")))</f>
        <v/>
      </c>
      <c r="I4721" s="27" t="str">
        <f aca="false">IF(OR(G4721="",G4721="?"),"",IFERROR(INDEX(Pubs!$C$2:$C$3001,MATCH(G4721,Pubs!$A$2:$A$3001,0))&amp;"",""))</f>
        <v/>
      </c>
      <c r="J4721" s="27" t="str">
        <f aca="false">IF(OR(G4721="",G4721="?"),"",IFERROR(INDEX(Pubs!$G$2:$G$3001,MATCH(G4721,Pubs!$A$2:$A$3001,0))&amp;"",""))</f>
        <v/>
      </c>
      <c r="K4721" s="28" t="str">
        <f aca="false">IF(OR(G4721="",G4721="?"),"",IFERROR(INDEX(Pubs!$E$2:$E$3001,MATCH(G4721,Pubs!$A$2:$A$3001,0)),""))</f>
        <v/>
      </c>
      <c r="L4721" s="29" t="str">
        <f aca="false">IF(A4721="","",IFERROR(1/(1/INDEX(Numéros!$C$2:$C$3001,MATCH(A4721&amp;"|"&amp;B4721,Numéros!$F$2:$F$3001,0))),""))</f>
        <v/>
      </c>
      <c r="M4721" s="27" t="str">
        <f aca="false">IF(OR(G4721="",G4721="?"),"",IFERROR(INDEX(Pubs!$D$2:$D$3001,MATCH(G4721,Pubs!$A$2:$A$3001,0))&amp;"",""))</f>
        <v/>
      </c>
      <c r="N4721" s="27" t="n">
        <f aca="false">N(N4720)+IF(AND(A4721&lt;&gt;"",OR(Recherche!$C$4="",A4721=Recherche!$C$4),OR(Recherche!$C$5="",B4721&amp;""=Recherche!$C$5&amp;""),OR(Recherche!$C$6="",IFERROR(YEAR(L4721),0)=Recherche!$C$6),OR(Recherche!$C$7="",ISNUMBER(SEARCH(Recherche!$C$7,H4721))),OR(Recherche!$C$8="",J4721=Recherche!$C$8),OR(Recherche!$C$9="",I4721=Recherche!$C$9),OR(Recherche!$C$10="",G4721&amp;""=Recherche!$C$10&amp;""),OR(Recherche!$C$11="",E4721=Recherche!$C$11),OR(Recherche!$C$12="",ISNUMBER(SEARCH(Recherche!$C$12,M4721&amp;" "&amp;F4721)))),1,0)</f>
        <v>8</v>
      </c>
    </row>
    <row r="4722" customFormat="false" ht="15" hidden="false" customHeight="false" outlineLevel="0" collapsed="false">
      <c r="A4722" s="19"/>
      <c r="B4722" s="19"/>
      <c r="C4722" s="19"/>
      <c r="D4722" s="19"/>
      <c r="E4722" s="22"/>
      <c r="F4722" s="19"/>
      <c r="G4722" s="26" t="str">
        <f aca="false">IF(D4722="","",IFERROR(VALUE(LEFT(D4722,FIND(" |",D4722&amp;" |")-1)),"?"))</f>
        <v/>
      </c>
      <c r="H4722" s="27" t="str">
        <f aca="false">IF(G4722="","",IF(G4722="?","⚠ pub inconnue",IFERROR(INDEX(Pubs!$B$2:$B$3001,MATCH(G4722,Pubs!$A$2:$A$3001,0))&amp;"","⚠ pub inconnue")))</f>
        <v/>
      </c>
      <c r="I4722" s="27" t="str">
        <f aca="false">IF(OR(G4722="",G4722="?"),"",IFERROR(INDEX(Pubs!$C$2:$C$3001,MATCH(G4722,Pubs!$A$2:$A$3001,0))&amp;"",""))</f>
        <v/>
      </c>
      <c r="J4722" s="27" t="str">
        <f aca="false">IF(OR(G4722="",G4722="?"),"",IFERROR(INDEX(Pubs!$G$2:$G$3001,MATCH(G4722,Pubs!$A$2:$A$3001,0))&amp;"",""))</f>
        <v/>
      </c>
      <c r="K4722" s="28" t="str">
        <f aca="false">IF(OR(G4722="",G4722="?"),"",IFERROR(INDEX(Pubs!$E$2:$E$3001,MATCH(G4722,Pubs!$A$2:$A$3001,0)),""))</f>
        <v/>
      </c>
      <c r="L4722" s="29" t="str">
        <f aca="false">IF(A4722="","",IFERROR(1/(1/INDEX(Numéros!$C$2:$C$3001,MATCH(A4722&amp;"|"&amp;B4722,Numéros!$F$2:$F$3001,0))),""))</f>
        <v/>
      </c>
      <c r="M4722" s="27" t="str">
        <f aca="false">IF(OR(G4722="",G4722="?"),"",IFERROR(INDEX(Pubs!$D$2:$D$3001,MATCH(G4722,Pubs!$A$2:$A$3001,0))&amp;"",""))</f>
        <v/>
      </c>
      <c r="N4722" s="27" t="n">
        <f aca="false">N(N4721)+IF(AND(A4722&lt;&gt;"",OR(Recherche!$C$4="",A4722=Recherche!$C$4),OR(Recherche!$C$5="",B4722&amp;""=Recherche!$C$5&amp;""),OR(Recherche!$C$6="",IFERROR(YEAR(L4722),0)=Recherche!$C$6),OR(Recherche!$C$7="",ISNUMBER(SEARCH(Recherche!$C$7,H4722))),OR(Recherche!$C$8="",J4722=Recherche!$C$8),OR(Recherche!$C$9="",I4722=Recherche!$C$9),OR(Recherche!$C$10="",G4722&amp;""=Recherche!$C$10&amp;""),OR(Recherche!$C$11="",E4722=Recherche!$C$11),OR(Recherche!$C$12="",ISNUMBER(SEARCH(Recherche!$C$12,M4722&amp;" "&amp;F4722)))),1,0)</f>
        <v>8</v>
      </c>
    </row>
    <row r="4723" customFormat="false" ht="15" hidden="false" customHeight="false" outlineLevel="0" collapsed="false">
      <c r="A4723" s="19"/>
      <c r="B4723" s="19"/>
      <c r="C4723" s="19"/>
      <c r="D4723" s="19"/>
      <c r="E4723" s="22"/>
      <c r="F4723" s="19"/>
      <c r="G4723" s="26" t="str">
        <f aca="false">IF(D4723="","",IFERROR(VALUE(LEFT(D4723,FIND(" |",D4723&amp;" |")-1)),"?"))</f>
        <v/>
      </c>
      <c r="H4723" s="27" t="str">
        <f aca="false">IF(G4723="","",IF(G4723="?","⚠ pub inconnue",IFERROR(INDEX(Pubs!$B$2:$B$3001,MATCH(G4723,Pubs!$A$2:$A$3001,0))&amp;"","⚠ pub inconnue")))</f>
        <v/>
      </c>
      <c r="I4723" s="27" t="str">
        <f aca="false">IF(OR(G4723="",G4723="?"),"",IFERROR(INDEX(Pubs!$C$2:$C$3001,MATCH(G4723,Pubs!$A$2:$A$3001,0))&amp;"",""))</f>
        <v/>
      </c>
      <c r="J4723" s="27" t="str">
        <f aca="false">IF(OR(G4723="",G4723="?"),"",IFERROR(INDEX(Pubs!$G$2:$G$3001,MATCH(G4723,Pubs!$A$2:$A$3001,0))&amp;"",""))</f>
        <v/>
      </c>
      <c r="K4723" s="28" t="str">
        <f aca="false">IF(OR(G4723="",G4723="?"),"",IFERROR(INDEX(Pubs!$E$2:$E$3001,MATCH(G4723,Pubs!$A$2:$A$3001,0)),""))</f>
        <v/>
      </c>
      <c r="L4723" s="29" t="str">
        <f aca="false">IF(A4723="","",IFERROR(1/(1/INDEX(Numéros!$C$2:$C$3001,MATCH(A4723&amp;"|"&amp;B4723,Numéros!$F$2:$F$3001,0))),""))</f>
        <v/>
      </c>
      <c r="M4723" s="27" t="str">
        <f aca="false">IF(OR(G4723="",G4723="?"),"",IFERROR(INDEX(Pubs!$D$2:$D$3001,MATCH(G4723,Pubs!$A$2:$A$3001,0))&amp;"",""))</f>
        <v/>
      </c>
      <c r="N4723" s="27" t="n">
        <f aca="false">N(N4722)+IF(AND(A4723&lt;&gt;"",OR(Recherche!$C$4="",A4723=Recherche!$C$4),OR(Recherche!$C$5="",B4723&amp;""=Recherche!$C$5&amp;""),OR(Recherche!$C$6="",IFERROR(YEAR(L4723),0)=Recherche!$C$6),OR(Recherche!$C$7="",ISNUMBER(SEARCH(Recherche!$C$7,H4723))),OR(Recherche!$C$8="",J4723=Recherche!$C$8),OR(Recherche!$C$9="",I4723=Recherche!$C$9),OR(Recherche!$C$10="",G4723&amp;""=Recherche!$C$10&amp;""),OR(Recherche!$C$11="",E4723=Recherche!$C$11),OR(Recherche!$C$12="",ISNUMBER(SEARCH(Recherche!$C$12,M4723&amp;" "&amp;F4723)))),1,0)</f>
        <v>8</v>
      </c>
    </row>
    <row r="4724" customFormat="false" ht="15" hidden="false" customHeight="false" outlineLevel="0" collapsed="false">
      <c r="A4724" s="19"/>
      <c r="B4724" s="19"/>
      <c r="C4724" s="19"/>
      <c r="D4724" s="19"/>
      <c r="E4724" s="22"/>
      <c r="F4724" s="19"/>
      <c r="G4724" s="26" t="str">
        <f aca="false">IF(D4724="","",IFERROR(VALUE(LEFT(D4724,FIND(" |",D4724&amp;" |")-1)),"?"))</f>
        <v/>
      </c>
      <c r="H4724" s="27" t="str">
        <f aca="false">IF(G4724="","",IF(G4724="?","⚠ pub inconnue",IFERROR(INDEX(Pubs!$B$2:$B$3001,MATCH(G4724,Pubs!$A$2:$A$3001,0))&amp;"","⚠ pub inconnue")))</f>
        <v/>
      </c>
      <c r="I4724" s="27" t="str">
        <f aca="false">IF(OR(G4724="",G4724="?"),"",IFERROR(INDEX(Pubs!$C$2:$C$3001,MATCH(G4724,Pubs!$A$2:$A$3001,0))&amp;"",""))</f>
        <v/>
      </c>
      <c r="J4724" s="27" t="str">
        <f aca="false">IF(OR(G4724="",G4724="?"),"",IFERROR(INDEX(Pubs!$G$2:$G$3001,MATCH(G4724,Pubs!$A$2:$A$3001,0))&amp;"",""))</f>
        <v/>
      </c>
      <c r="K4724" s="28" t="str">
        <f aca="false">IF(OR(G4724="",G4724="?"),"",IFERROR(INDEX(Pubs!$E$2:$E$3001,MATCH(G4724,Pubs!$A$2:$A$3001,0)),""))</f>
        <v/>
      </c>
      <c r="L4724" s="29" t="str">
        <f aca="false">IF(A4724="","",IFERROR(1/(1/INDEX(Numéros!$C$2:$C$3001,MATCH(A4724&amp;"|"&amp;B4724,Numéros!$F$2:$F$3001,0))),""))</f>
        <v/>
      </c>
      <c r="M4724" s="27" t="str">
        <f aca="false">IF(OR(G4724="",G4724="?"),"",IFERROR(INDEX(Pubs!$D$2:$D$3001,MATCH(G4724,Pubs!$A$2:$A$3001,0))&amp;"",""))</f>
        <v/>
      </c>
      <c r="N4724" s="27" t="n">
        <f aca="false">N(N4723)+IF(AND(A4724&lt;&gt;"",OR(Recherche!$C$4="",A4724=Recherche!$C$4),OR(Recherche!$C$5="",B4724&amp;""=Recherche!$C$5&amp;""),OR(Recherche!$C$6="",IFERROR(YEAR(L4724),0)=Recherche!$C$6),OR(Recherche!$C$7="",ISNUMBER(SEARCH(Recherche!$C$7,H4724))),OR(Recherche!$C$8="",J4724=Recherche!$C$8),OR(Recherche!$C$9="",I4724=Recherche!$C$9),OR(Recherche!$C$10="",G4724&amp;""=Recherche!$C$10&amp;""),OR(Recherche!$C$11="",E4724=Recherche!$C$11),OR(Recherche!$C$12="",ISNUMBER(SEARCH(Recherche!$C$12,M4724&amp;" "&amp;F4724)))),1,0)</f>
        <v>8</v>
      </c>
    </row>
    <row r="4725" customFormat="false" ht="15" hidden="false" customHeight="false" outlineLevel="0" collapsed="false">
      <c r="A4725" s="19"/>
      <c r="B4725" s="19"/>
      <c r="C4725" s="19"/>
      <c r="D4725" s="19"/>
      <c r="E4725" s="22"/>
      <c r="F4725" s="19"/>
      <c r="G4725" s="26" t="str">
        <f aca="false">IF(D4725="","",IFERROR(VALUE(LEFT(D4725,FIND(" |",D4725&amp;" |")-1)),"?"))</f>
        <v/>
      </c>
      <c r="H4725" s="27" t="str">
        <f aca="false">IF(G4725="","",IF(G4725="?","⚠ pub inconnue",IFERROR(INDEX(Pubs!$B$2:$B$3001,MATCH(G4725,Pubs!$A$2:$A$3001,0))&amp;"","⚠ pub inconnue")))</f>
        <v/>
      </c>
      <c r="I4725" s="27" t="str">
        <f aca="false">IF(OR(G4725="",G4725="?"),"",IFERROR(INDEX(Pubs!$C$2:$C$3001,MATCH(G4725,Pubs!$A$2:$A$3001,0))&amp;"",""))</f>
        <v/>
      </c>
      <c r="J4725" s="27" t="str">
        <f aca="false">IF(OR(G4725="",G4725="?"),"",IFERROR(INDEX(Pubs!$G$2:$G$3001,MATCH(G4725,Pubs!$A$2:$A$3001,0))&amp;"",""))</f>
        <v/>
      </c>
      <c r="K4725" s="28" t="str">
        <f aca="false">IF(OR(G4725="",G4725="?"),"",IFERROR(INDEX(Pubs!$E$2:$E$3001,MATCH(G4725,Pubs!$A$2:$A$3001,0)),""))</f>
        <v/>
      </c>
      <c r="L4725" s="29" t="str">
        <f aca="false">IF(A4725="","",IFERROR(1/(1/INDEX(Numéros!$C$2:$C$3001,MATCH(A4725&amp;"|"&amp;B4725,Numéros!$F$2:$F$3001,0))),""))</f>
        <v/>
      </c>
      <c r="M4725" s="27" t="str">
        <f aca="false">IF(OR(G4725="",G4725="?"),"",IFERROR(INDEX(Pubs!$D$2:$D$3001,MATCH(G4725,Pubs!$A$2:$A$3001,0))&amp;"",""))</f>
        <v/>
      </c>
      <c r="N4725" s="27" t="n">
        <f aca="false">N(N4724)+IF(AND(A4725&lt;&gt;"",OR(Recherche!$C$4="",A4725=Recherche!$C$4),OR(Recherche!$C$5="",B4725&amp;""=Recherche!$C$5&amp;""),OR(Recherche!$C$6="",IFERROR(YEAR(L4725),0)=Recherche!$C$6),OR(Recherche!$C$7="",ISNUMBER(SEARCH(Recherche!$C$7,H4725))),OR(Recherche!$C$8="",J4725=Recherche!$C$8),OR(Recherche!$C$9="",I4725=Recherche!$C$9),OR(Recherche!$C$10="",G4725&amp;""=Recherche!$C$10&amp;""),OR(Recherche!$C$11="",E4725=Recherche!$C$11),OR(Recherche!$C$12="",ISNUMBER(SEARCH(Recherche!$C$12,M4725&amp;" "&amp;F4725)))),1,0)</f>
        <v>8</v>
      </c>
    </row>
    <row r="4726" customFormat="false" ht="15" hidden="false" customHeight="false" outlineLevel="0" collapsed="false">
      <c r="A4726" s="19"/>
      <c r="B4726" s="19"/>
      <c r="C4726" s="19"/>
      <c r="D4726" s="19"/>
      <c r="E4726" s="22"/>
      <c r="F4726" s="19"/>
      <c r="G4726" s="26" t="str">
        <f aca="false">IF(D4726="","",IFERROR(VALUE(LEFT(D4726,FIND(" |",D4726&amp;" |")-1)),"?"))</f>
        <v/>
      </c>
      <c r="H4726" s="27" t="str">
        <f aca="false">IF(G4726="","",IF(G4726="?","⚠ pub inconnue",IFERROR(INDEX(Pubs!$B$2:$B$3001,MATCH(G4726,Pubs!$A$2:$A$3001,0))&amp;"","⚠ pub inconnue")))</f>
        <v/>
      </c>
      <c r="I4726" s="27" t="str">
        <f aca="false">IF(OR(G4726="",G4726="?"),"",IFERROR(INDEX(Pubs!$C$2:$C$3001,MATCH(G4726,Pubs!$A$2:$A$3001,0))&amp;"",""))</f>
        <v/>
      </c>
      <c r="J4726" s="27" t="str">
        <f aca="false">IF(OR(G4726="",G4726="?"),"",IFERROR(INDEX(Pubs!$G$2:$G$3001,MATCH(G4726,Pubs!$A$2:$A$3001,0))&amp;"",""))</f>
        <v/>
      </c>
      <c r="K4726" s="28" t="str">
        <f aca="false">IF(OR(G4726="",G4726="?"),"",IFERROR(INDEX(Pubs!$E$2:$E$3001,MATCH(G4726,Pubs!$A$2:$A$3001,0)),""))</f>
        <v/>
      </c>
      <c r="L4726" s="29" t="str">
        <f aca="false">IF(A4726="","",IFERROR(1/(1/INDEX(Numéros!$C$2:$C$3001,MATCH(A4726&amp;"|"&amp;B4726,Numéros!$F$2:$F$3001,0))),""))</f>
        <v/>
      </c>
      <c r="M4726" s="27" t="str">
        <f aca="false">IF(OR(G4726="",G4726="?"),"",IFERROR(INDEX(Pubs!$D$2:$D$3001,MATCH(G4726,Pubs!$A$2:$A$3001,0))&amp;"",""))</f>
        <v/>
      </c>
      <c r="N4726" s="27" t="n">
        <f aca="false">N(N4725)+IF(AND(A4726&lt;&gt;"",OR(Recherche!$C$4="",A4726=Recherche!$C$4),OR(Recherche!$C$5="",B4726&amp;""=Recherche!$C$5&amp;""),OR(Recherche!$C$6="",IFERROR(YEAR(L4726),0)=Recherche!$C$6),OR(Recherche!$C$7="",ISNUMBER(SEARCH(Recherche!$C$7,H4726))),OR(Recherche!$C$8="",J4726=Recherche!$C$8),OR(Recherche!$C$9="",I4726=Recherche!$C$9),OR(Recherche!$C$10="",G4726&amp;""=Recherche!$C$10&amp;""),OR(Recherche!$C$11="",E4726=Recherche!$C$11),OR(Recherche!$C$12="",ISNUMBER(SEARCH(Recherche!$C$12,M4726&amp;" "&amp;F4726)))),1,0)</f>
        <v>8</v>
      </c>
    </row>
    <row r="4727" customFormat="false" ht="15" hidden="false" customHeight="false" outlineLevel="0" collapsed="false">
      <c r="A4727" s="19"/>
      <c r="B4727" s="19"/>
      <c r="C4727" s="19"/>
      <c r="D4727" s="19"/>
      <c r="E4727" s="22"/>
      <c r="F4727" s="19"/>
      <c r="G4727" s="26" t="str">
        <f aca="false">IF(D4727="","",IFERROR(VALUE(LEFT(D4727,FIND(" |",D4727&amp;" |")-1)),"?"))</f>
        <v/>
      </c>
      <c r="H4727" s="27" t="str">
        <f aca="false">IF(G4727="","",IF(G4727="?","⚠ pub inconnue",IFERROR(INDEX(Pubs!$B$2:$B$3001,MATCH(G4727,Pubs!$A$2:$A$3001,0))&amp;"","⚠ pub inconnue")))</f>
        <v/>
      </c>
      <c r="I4727" s="27" t="str">
        <f aca="false">IF(OR(G4727="",G4727="?"),"",IFERROR(INDEX(Pubs!$C$2:$C$3001,MATCH(G4727,Pubs!$A$2:$A$3001,0))&amp;"",""))</f>
        <v/>
      </c>
      <c r="J4727" s="27" t="str">
        <f aca="false">IF(OR(G4727="",G4727="?"),"",IFERROR(INDEX(Pubs!$G$2:$G$3001,MATCH(G4727,Pubs!$A$2:$A$3001,0))&amp;"",""))</f>
        <v/>
      </c>
      <c r="K4727" s="28" t="str">
        <f aca="false">IF(OR(G4727="",G4727="?"),"",IFERROR(INDEX(Pubs!$E$2:$E$3001,MATCH(G4727,Pubs!$A$2:$A$3001,0)),""))</f>
        <v/>
      </c>
      <c r="L4727" s="29" t="str">
        <f aca="false">IF(A4727="","",IFERROR(1/(1/INDEX(Numéros!$C$2:$C$3001,MATCH(A4727&amp;"|"&amp;B4727,Numéros!$F$2:$F$3001,0))),""))</f>
        <v/>
      </c>
      <c r="M4727" s="27" t="str">
        <f aca="false">IF(OR(G4727="",G4727="?"),"",IFERROR(INDEX(Pubs!$D$2:$D$3001,MATCH(G4727,Pubs!$A$2:$A$3001,0))&amp;"",""))</f>
        <v/>
      </c>
      <c r="N4727" s="27" t="n">
        <f aca="false">N(N4726)+IF(AND(A4727&lt;&gt;"",OR(Recherche!$C$4="",A4727=Recherche!$C$4),OR(Recherche!$C$5="",B4727&amp;""=Recherche!$C$5&amp;""),OR(Recherche!$C$6="",IFERROR(YEAR(L4727),0)=Recherche!$C$6),OR(Recherche!$C$7="",ISNUMBER(SEARCH(Recherche!$C$7,H4727))),OR(Recherche!$C$8="",J4727=Recherche!$C$8),OR(Recherche!$C$9="",I4727=Recherche!$C$9),OR(Recherche!$C$10="",G4727&amp;""=Recherche!$C$10&amp;""),OR(Recherche!$C$11="",E4727=Recherche!$C$11),OR(Recherche!$C$12="",ISNUMBER(SEARCH(Recherche!$C$12,M4727&amp;" "&amp;F4727)))),1,0)</f>
        <v>8</v>
      </c>
    </row>
    <row r="4728" customFormat="false" ht="15" hidden="false" customHeight="false" outlineLevel="0" collapsed="false">
      <c r="A4728" s="19"/>
      <c r="B4728" s="19"/>
      <c r="C4728" s="19"/>
      <c r="D4728" s="19"/>
      <c r="E4728" s="22"/>
      <c r="F4728" s="19"/>
      <c r="G4728" s="26" t="str">
        <f aca="false">IF(D4728="","",IFERROR(VALUE(LEFT(D4728,FIND(" |",D4728&amp;" |")-1)),"?"))</f>
        <v/>
      </c>
      <c r="H4728" s="27" t="str">
        <f aca="false">IF(G4728="","",IF(G4728="?","⚠ pub inconnue",IFERROR(INDEX(Pubs!$B$2:$B$3001,MATCH(G4728,Pubs!$A$2:$A$3001,0))&amp;"","⚠ pub inconnue")))</f>
        <v/>
      </c>
      <c r="I4728" s="27" t="str">
        <f aca="false">IF(OR(G4728="",G4728="?"),"",IFERROR(INDEX(Pubs!$C$2:$C$3001,MATCH(G4728,Pubs!$A$2:$A$3001,0))&amp;"",""))</f>
        <v/>
      </c>
      <c r="J4728" s="27" t="str">
        <f aca="false">IF(OR(G4728="",G4728="?"),"",IFERROR(INDEX(Pubs!$G$2:$G$3001,MATCH(G4728,Pubs!$A$2:$A$3001,0))&amp;"",""))</f>
        <v/>
      </c>
      <c r="K4728" s="28" t="str">
        <f aca="false">IF(OR(G4728="",G4728="?"),"",IFERROR(INDEX(Pubs!$E$2:$E$3001,MATCH(G4728,Pubs!$A$2:$A$3001,0)),""))</f>
        <v/>
      </c>
      <c r="L4728" s="29" t="str">
        <f aca="false">IF(A4728="","",IFERROR(1/(1/INDEX(Numéros!$C$2:$C$3001,MATCH(A4728&amp;"|"&amp;B4728,Numéros!$F$2:$F$3001,0))),""))</f>
        <v/>
      </c>
      <c r="M4728" s="27" t="str">
        <f aca="false">IF(OR(G4728="",G4728="?"),"",IFERROR(INDEX(Pubs!$D$2:$D$3001,MATCH(G4728,Pubs!$A$2:$A$3001,0))&amp;"",""))</f>
        <v/>
      </c>
      <c r="N4728" s="27" t="n">
        <f aca="false">N(N4727)+IF(AND(A4728&lt;&gt;"",OR(Recherche!$C$4="",A4728=Recherche!$C$4),OR(Recherche!$C$5="",B4728&amp;""=Recherche!$C$5&amp;""),OR(Recherche!$C$6="",IFERROR(YEAR(L4728),0)=Recherche!$C$6),OR(Recherche!$C$7="",ISNUMBER(SEARCH(Recherche!$C$7,H4728))),OR(Recherche!$C$8="",J4728=Recherche!$C$8),OR(Recherche!$C$9="",I4728=Recherche!$C$9),OR(Recherche!$C$10="",G4728&amp;""=Recherche!$C$10&amp;""),OR(Recherche!$C$11="",E4728=Recherche!$C$11),OR(Recherche!$C$12="",ISNUMBER(SEARCH(Recherche!$C$12,M4728&amp;" "&amp;F4728)))),1,0)</f>
        <v>8</v>
      </c>
    </row>
    <row r="4729" customFormat="false" ht="15" hidden="false" customHeight="false" outlineLevel="0" collapsed="false">
      <c r="A4729" s="19"/>
      <c r="B4729" s="19"/>
      <c r="C4729" s="19"/>
      <c r="D4729" s="19"/>
      <c r="E4729" s="22"/>
      <c r="F4729" s="19"/>
      <c r="G4729" s="26" t="str">
        <f aca="false">IF(D4729="","",IFERROR(VALUE(LEFT(D4729,FIND(" |",D4729&amp;" |")-1)),"?"))</f>
        <v/>
      </c>
      <c r="H4729" s="27" t="str">
        <f aca="false">IF(G4729="","",IF(G4729="?","⚠ pub inconnue",IFERROR(INDEX(Pubs!$B$2:$B$3001,MATCH(G4729,Pubs!$A$2:$A$3001,0))&amp;"","⚠ pub inconnue")))</f>
        <v/>
      </c>
      <c r="I4729" s="27" t="str">
        <f aca="false">IF(OR(G4729="",G4729="?"),"",IFERROR(INDEX(Pubs!$C$2:$C$3001,MATCH(G4729,Pubs!$A$2:$A$3001,0))&amp;"",""))</f>
        <v/>
      </c>
      <c r="J4729" s="27" t="str">
        <f aca="false">IF(OR(G4729="",G4729="?"),"",IFERROR(INDEX(Pubs!$G$2:$G$3001,MATCH(G4729,Pubs!$A$2:$A$3001,0))&amp;"",""))</f>
        <v/>
      </c>
      <c r="K4729" s="28" t="str">
        <f aca="false">IF(OR(G4729="",G4729="?"),"",IFERROR(INDEX(Pubs!$E$2:$E$3001,MATCH(G4729,Pubs!$A$2:$A$3001,0)),""))</f>
        <v/>
      </c>
      <c r="L4729" s="29" t="str">
        <f aca="false">IF(A4729="","",IFERROR(1/(1/INDEX(Numéros!$C$2:$C$3001,MATCH(A4729&amp;"|"&amp;B4729,Numéros!$F$2:$F$3001,0))),""))</f>
        <v/>
      </c>
      <c r="M4729" s="27" t="str">
        <f aca="false">IF(OR(G4729="",G4729="?"),"",IFERROR(INDEX(Pubs!$D$2:$D$3001,MATCH(G4729,Pubs!$A$2:$A$3001,0))&amp;"",""))</f>
        <v/>
      </c>
      <c r="N4729" s="27" t="n">
        <f aca="false">N(N4728)+IF(AND(A4729&lt;&gt;"",OR(Recherche!$C$4="",A4729=Recherche!$C$4),OR(Recherche!$C$5="",B4729&amp;""=Recherche!$C$5&amp;""),OR(Recherche!$C$6="",IFERROR(YEAR(L4729),0)=Recherche!$C$6),OR(Recherche!$C$7="",ISNUMBER(SEARCH(Recherche!$C$7,H4729))),OR(Recherche!$C$8="",J4729=Recherche!$C$8),OR(Recherche!$C$9="",I4729=Recherche!$C$9),OR(Recherche!$C$10="",G4729&amp;""=Recherche!$C$10&amp;""),OR(Recherche!$C$11="",E4729=Recherche!$C$11),OR(Recherche!$C$12="",ISNUMBER(SEARCH(Recherche!$C$12,M4729&amp;" "&amp;F4729)))),1,0)</f>
        <v>8</v>
      </c>
    </row>
    <row r="4730" customFormat="false" ht="15" hidden="false" customHeight="false" outlineLevel="0" collapsed="false">
      <c r="A4730" s="19"/>
      <c r="B4730" s="19"/>
      <c r="C4730" s="19"/>
      <c r="D4730" s="19"/>
      <c r="E4730" s="22"/>
      <c r="F4730" s="19"/>
      <c r="G4730" s="26" t="str">
        <f aca="false">IF(D4730="","",IFERROR(VALUE(LEFT(D4730,FIND(" |",D4730&amp;" |")-1)),"?"))</f>
        <v/>
      </c>
      <c r="H4730" s="27" t="str">
        <f aca="false">IF(G4730="","",IF(G4730="?","⚠ pub inconnue",IFERROR(INDEX(Pubs!$B$2:$B$3001,MATCH(G4730,Pubs!$A$2:$A$3001,0))&amp;"","⚠ pub inconnue")))</f>
        <v/>
      </c>
      <c r="I4730" s="27" t="str">
        <f aca="false">IF(OR(G4730="",G4730="?"),"",IFERROR(INDEX(Pubs!$C$2:$C$3001,MATCH(G4730,Pubs!$A$2:$A$3001,0))&amp;"",""))</f>
        <v/>
      </c>
      <c r="J4730" s="27" t="str">
        <f aca="false">IF(OR(G4730="",G4730="?"),"",IFERROR(INDEX(Pubs!$G$2:$G$3001,MATCH(G4730,Pubs!$A$2:$A$3001,0))&amp;"",""))</f>
        <v/>
      </c>
      <c r="K4730" s="28" t="str">
        <f aca="false">IF(OR(G4730="",G4730="?"),"",IFERROR(INDEX(Pubs!$E$2:$E$3001,MATCH(G4730,Pubs!$A$2:$A$3001,0)),""))</f>
        <v/>
      </c>
      <c r="L4730" s="29" t="str">
        <f aca="false">IF(A4730="","",IFERROR(1/(1/INDEX(Numéros!$C$2:$C$3001,MATCH(A4730&amp;"|"&amp;B4730,Numéros!$F$2:$F$3001,0))),""))</f>
        <v/>
      </c>
      <c r="M4730" s="27" t="str">
        <f aca="false">IF(OR(G4730="",G4730="?"),"",IFERROR(INDEX(Pubs!$D$2:$D$3001,MATCH(G4730,Pubs!$A$2:$A$3001,0))&amp;"",""))</f>
        <v/>
      </c>
      <c r="N4730" s="27" t="n">
        <f aca="false">N(N4729)+IF(AND(A4730&lt;&gt;"",OR(Recherche!$C$4="",A4730=Recherche!$C$4),OR(Recherche!$C$5="",B4730&amp;""=Recherche!$C$5&amp;""),OR(Recherche!$C$6="",IFERROR(YEAR(L4730),0)=Recherche!$C$6),OR(Recherche!$C$7="",ISNUMBER(SEARCH(Recherche!$C$7,H4730))),OR(Recherche!$C$8="",J4730=Recherche!$C$8),OR(Recherche!$C$9="",I4730=Recherche!$C$9),OR(Recherche!$C$10="",G4730&amp;""=Recherche!$C$10&amp;""),OR(Recherche!$C$11="",E4730=Recherche!$C$11),OR(Recherche!$C$12="",ISNUMBER(SEARCH(Recherche!$C$12,M4730&amp;" "&amp;F4730)))),1,0)</f>
        <v>8</v>
      </c>
    </row>
    <row r="4731" customFormat="false" ht="15" hidden="false" customHeight="false" outlineLevel="0" collapsed="false">
      <c r="A4731" s="19"/>
      <c r="B4731" s="19"/>
      <c r="C4731" s="19"/>
      <c r="D4731" s="19"/>
      <c r="E4731" s="22"/>
      <c r="F4731" s="19"/>
      <c r="G4731" s="26" t="str">
        <f aca="false">IF(D4731="","",IFERROR(VALUE(LEFT(D4731,FIND(" |",D4731&amp;" |")-1)),"?"))</f>
        <v/>
      </c>
      <c r="H4731" s="27" t="str">
        <f aca="false">IF(G4731="","",IF(G4731="?","⚠ pub inconnue",IFERROR(INDEX(Pubs!$B$2:$B$3001,MATCH(G4731,Pubs!$A$2:$A$3001,0))&amp;"","⚠ pub inconnue")))</f>
        <v/>
      </c>
      <c r="I4731" s="27" t="str">
        <f aca="false">IF(OR(G4731="",G4731="?"),"",IFERROR(INDEX(Pubs!$C$2:$C$3001,MATCH(G4731,Pubs!$A$2:$A$3001,0))&amp;"",""))</f>
        <v/>
      </c>
      <c r="J4731" s="27" t="str">
        <f aca="false">IF(OR(G4731="",G4731="?"),"",IFERROR(INDEX(Pubs!$G$2:$G$3001,MATCH(G4731,Pubs!$A$2:$A$3001,0))&amp;"",""))</f>
        <v/>
      </c>
      <c r="K4731" s="28" t="str">
        <f aca="false">IF(OR(G4731="",G4731="?"),"",IFERROR(INDEX(Pubs!$E$2:$E$3001,MATCH(G4731,Pubs!$A$2:$A$3001,0)),""))</f>
        <v/>
      </c>
      <c r="L4731" s="29" t="str">
        <f aca="false">IF(A4731="","",IFERROR(1/(1/INDEX(Numéros!$C$2:$C$3001,MATCH(A4731&amp;"|"&amp;B4731,Numéros!$F$2:$F$3001,0))),""))</f>
        <v/>
      </c>
      <c r="M4731" s="27" t="str">
        <f aca="false">IF(OR(G4731="",G4731="?"),"",IFERROR(INDEX(Pubs!$D$2:$D$3001,MATCH(G4731,Pubs!$A$2:$A$3001,0))&amp;"",""))</f>
        <v/>
      </c>
      <c r="N4731" s="27" t="n">
        <f aca="false">N(N4730)+IF(AND(A4731&lt;&gt;"",OR(Recherche!$C$4="",A4731=Recherche!$C$4),OR(Recherche!$C$5="",B4731&amp;""=Recherche!$C$5&amp;""),OR(Recherche!$C$6="",IFERROR(YEAR(L4731),0)=Recherche!$C$6),OR(Recherche!$C$7="",ISNUMBER(SEARCH(Recherche!$C$7,H4731))),OR(Recherche!$C$8="",J4731=Recherche!$C$8),OR(Recherche!$C$9="",I4731=Recherche!$C$9),OR(Recherche!$C$10="",G4731&amp;""=Recherche!$C$10&amp;""),OR(Recherche!$C$11="",E4731=Recherche!$C$11),OR(Recherche!$C$12="",ISNUMBER(SEARCH(Recherche!$C$12,M4731&amp;" "&amp;F4731)))),1,0)</f>
        <v>8</v>
      </c>
    </row>
    <row r="4732" customFormat="false" ht="15" hidden="false" customHeight="false" outlineLevel="0" collapsed="false">
      <c r="A4732" s="19"/>
      <c r="B4732" s="19"/>
      <c r="C4732" s="19"/>
      <c r="D4732" s="19"/>
      <c r="E4732" s="22"/>
      <c r="F4732" s="19"/>
      <c r="G4732" s="26" t="str">
        <f aca="false">IF(D4732="","",IFERROR(VALUE(LEFT(D4732,FIND(" |",D4732&amp;" |")-1)),"?"))</f>
        <v/>
      </c>
      <c r="H4732" s="27" t="str">
        <f aca="false">IF(G4732="","",IF(G4732="?","⚠ pub inconnue",IFERROR(INDEX(Pubs!$B$2:$B$3001,MATCH(G4732,Pubs!$A$2:$A$3001,0))&amp;"","⚠ pub inconnue")))</f>
        <v/>
      </c>
      <c r="I4732" s="27" t="str">
        <f aca="false">IF(OR(G4732="",G4732="?"),"",IFERROR(INDEX(Pubs!$C$2:$C$3001,MATCH(G4732,Pubs!$A$2:$A$3001,0))&amp;"",""))</f>
        <v/>
      </c>
      <c r="J4732" s="27" t="str">
        <f aca="false">IF(OR(G4732="",G4732="?"),"",IFERROR(INDEX(Pubs!$G$2:$G$3001,MATCH(G4732,Pubs!$A$2:$A$3001,0))&amp;"",""))</f>
        <v/>
      </c>
      <c r="K4732" s="28" t="str">
        <f aca="false">IF(OR(G4732="",G4732="?"),"",IFERROR(INDEX(Pubs!$E$2:$E$3001,MATCH(G4732,Pubs!$A$2:$A$3001,0)),""))</f>
        <v/>
      </c>
      <c r="L4732" s="29" t="str">
        <f aca="false">IF(A4732="","",IFERROR(1/(1/INDEX(Numéros!$C$2:$C$3001,MATCH(A4732&amp;"|"&amp;B4732,Numéros!$F$2:$F$3001,0))),""))</f>
        <v/>
      </c>
      <c r="M4732" s="27" t="str">
        <f aca="false">IF(OR(G4732="",G4732="?"),"",IFERROR(INDEX(Pubs!$D$2:$D$3001,MATCH(G4732,Pubs!$A$2:$A$3001,0))&amp;"",""))</f>
        <v/>
      </c>
      <c r="N4732" s="27" t="n">
        <f aca="false">N(N4731)+IF(AND(A4732&lt;&gt;"",OR(Recherche!$C$4="",A4732=Recherche!$C$4),OR(Recherche!$C$5="",B4732&amp;""=Recherche!$C$5&amp;""),OR(Recherche!$C$6="",IFERROR(YEAR(L4732),0)=Recherche!$C$6),OR(Recherche!$C$7="",ISNUMBER(SEARCH(Recherche!$C$7,H4732))),OR(Recherche!$C$8="",J4732=Recherche!$C$8),OR(Recherche!$C$9="",I4732=Recherche!$C$9),OR(Recherche!$C$10="",G4732&amp;""=Recherche!$C$10&amp;""),OR(Recherche!$C$11="",E4732=Recherche!$C$11),OR(Recherche!$C$12="",ISNUMBER(SEARCH(Recherche!$C$12,M4732&amp;" "&amp;F4732)))),1,0)</f>
        <v>8</v>
      </c>
    </row>
    <row r="4733" customFormat="false" ht="15" hidden="false" customHeight="false" outlineLevel="0" collapsed="false">
      <c r="A4733" s="19"/>
      <c r="B4733" s="19"/>
      <c r="C4733" s="19"/>
      <c r="D4733" s="19"/>
      <c r="E4733" s="22"/>
      <c r="F4733" s="19"/>
      <c r="G4733" s="26" t="str">
        <f aca="false">IF(D4733="","",IFERROR(VALUE(LEFT(D4733,FIND(" |",D4733&amp;" |")-1)),"?"))</f>
        <v/>
      </c>
      <c r="H4733" s="27" t="str">
        <f aca="false">IF(G4733="","",IF(G4733="?","⚠ pub inconnue",IFERROR(INDEX(Pubs!$B$2:$B$3001,MATCH(G4733,Pubs!$A$2:$A$3001,0))&amp;"","⚠ pub inconnue")))</f>
        <v/>
      </c>
      <c r="I4733" s="27" t="str">
        <f aca="false">IF(OR(G4733="",G4733="?"),"",IFERROR(INDEX(Pubs!$C$2:$C$3001,MATCH(G4733,Pubs!$A$2:$A$3001,0))&amp;"",""))</f>
        <v/>
      </c>
      <c r="J4733" s="27" t="str">
        <f aca="false">IF(OR(G4733="",G4733="?"),"",IFERROR(INDEX(Pubs!$G$2:$G$3001,MATCH(G4733,Pubs!$A$2:$A$3001,0))&amp;"",""))</f>
        <v/>
      </c>
      <c r="K4733" s="28" t="str">
        <f aca="false">IF(OR(G4733="",G4733="?"),"",IFERROR(INDEX(Pubs!$E$2:$E$3001,MATCH(G4733,Pubs!$A$2:$A$3001,0)),""))</f>
        <v/>
      </c>
      <c r="L4733" s="29" t="str">
        <f aca="false">IF(A4733="","",IFERROR(1/(1/INDEX(Numéros!$C$2:$C$3001,MATCH(A4733&amp;"|"&amp;B4733,Numéros!$F$2:$F$3001,0))),""))</f>
        <v/>
      </c>
      <c r="M4733" s="27" t="str">
        <f aca="false">IF(OR(G4733="",G4733="?"),"",IFERROR(INDEX(Pubs!$D$2:$D$3001,MATCH(G4733,Pubs!$A$2:$A$3001,0))&amp;"",""))</f>
        <v/>
      </c>
      <c r="N4733" s="27" t="n">
        <f aca="false">N(N4732)+IF(AND(A4733&lt;&gt;"",OR(Recherche!$C$4="",A4733=Recherche!$C$4),OR(Recherche!$C$5="",B4733&amp;""=Recherche!$C$5&amp;""),OR(Recherche!$C$6="",IFERROR(YEAR(L4733),0)=Recherche!$C$6),OR(Recherche!$C$7="",ISNUMBER(SEARCH(Recherche!$C$7,H4733))),OR(Recherche!$C$8="",J4733=Recherche!$C$8),OR(Recherche!$C$9="",I4733=Recherche!$C$9),OR(Recherche!$C$10="",G4733&amp;""=Recherche!$C$10&amp;""),OR(Recherche!$C$11="",E4733=Recherche!$C$11),OR(Recherche!$C$12="",ISNUMBER(SEARCH(Recherche!$C$12,M4733&amp;" "&amp;F4733)))),1,0)</f>
        <v>8</v>
      </c>
    </row>
    <row r="4734" customFormat="false" ht="15" hidden="false" customHeight="false" outlineLevel="0" collapsed="false">
      <c r="A4734" s="19"/>
      <c r="B4734" s="19"/>
      <c r="C4734" s="19"/>
      <c r="D4734" s="19"/>
      <c r="E4734" s="22"/>
      <c r="F4734" s="19"/>
      <c r="G4734" s="26" t="str">
        <f aca="false">IF(D4734="","",IFERROR(VALUE(LEFT(D4734,FIND(" |",D4734&amp;" |")-1)),"?"))</f>
        <v/>
      </c>
      <c r="H4734" s="27" t="str">
        <f aca="false">IF(G4734="","",IF(G4734="?","⚠ pub inconnue",IFERROR(INDEX(Pubs!$B$2:$B$3001,MATCH(G4734,Pubs!$A$2:$A$3001,0))&amp;"","⚠ pub inconnue")))</f>
        <v/>
      </c>
      <c r="I4734" s="27" t="str">
        <f aca="false">IF(OR(G4734="",G4734="?"),"",IFERROR(INDEX(Pubs!$C$2:$C$3001,MATCH(G4734,Pubs!$A$2:$A$3001,0))&amp;"",""))</f>
        <v/>
      </c>
      <c r="J4734" s="27" t="str">
        <f aca="false">IF(OR(G4734="",G4734="?"),"",IFERROR(INDEX(Pubs!$G$2:$G$3001,MATCH(G4734,Pubs!$A$2:$A$3001,0))&amp;"",""))</f>
        <v/>
      </c>
      <c r="K4734" s="28" t="str">
        <f aca="false">IF(OR(G4734="",G4734="?"),"",IFERROR(INDEX(Pubs!$E$2:$E$3001,MATCH(G4734,Pubs!$A$2:$A$3001,0)),""))</f>
        <v/>
      </c>
      <c r="L4734" s="29" t="str">
        <f aca="false">IF(A4734="","",IFERROR(1/(1/INDEX(Numéros!$C$2:$C$3001,MATCH(A4734&amp;"|"&amp;B4734,Numéros!$F$2:$F$3001,0))),""))</f>
        <v/>
      </c>
      <c r="M4734" s="27" t="str">
        <f aca="false">IF(OR(G4734="",G4734="?"),"",IFERROR(INDEX(Pubs!$D$2:$D$3001,MATCH(G4734,Pubs!$A$2:$A$3001,0))&amp;"",""))</f>
        <v/>
      </c>
      <c r="N4734" s="27" t="n">
        <f aca="false">N(N4733)+IF(AND(A4734&lt;&gt;"",OR(Recherche!$C$4="",A4734=Recherche!$C$4),OR(Recherche!$C$5="",B4734&amp;""=Recherche!$C$5&amp;""),OR(Recherche!$C$6="",IFERROR(YEAR(L4734),0)=Recherche!$C$6),OR(Recherche!$C$7="",ISNUMBER(SEARCH(Recherche!$C$7,H4734))),OR(Recherche!$C$8="",J4734=Recherche!$C$8),OR(Recherche!$C$9="",I4734=Recherche!$C$9),OR(Recherche!$C$10="",G4734&amp;""=Recherche!$C$10&amp;""),OR(Recherche!$C$11="",E4734=Recherche!$C$11),OR(Recherche!$C$12="",ISNUMBER(SEARCH(Recherche!$C$12,M4734&amp;" "&amp;F4734)))),1,0)</f>
        <v>8</v>
      </c>
    </row>
    <row r="4735" customFormat="false" ht="15" hidden="false" customHeight="false" outlineLevel="0" collapsed="false">
      <c r="A4735" s="19"/>
      <c r="B4735" s="19"/>
      <c r="C4735" s="19"/>
      <c r="D4735" s="19"/>
      <c r="E4735" s="22"/>
      <c r="F4735" s="19"/>
      <c r="G4735" s="26" t="str">
        <f aca="false">IF(D4735="","",IFERROR(VALUE(LEFT(D4735,FIND(" |",D4735&amp;" |")-1)),"?"))</f>
        <v/>
      </c>
      <c r="H4735" s="27" t="str">
        <f aca="false">IF(G4735="","",IF(G4735="?","⚠ pub inconnue",IFERROR(INDEX(Pubs!$B$2:$B$3001,MATCH(G4735,Pubs!$A$2:$A$3001,0))&amp;"","⚠ pub inconnue")))</f>
        <v/>
      </c>
      <c r="I4735" s="27" t="str">
        <f aca="false">IF(OR(G4735="",G4735="?"),"",IFERROR(INDEX(Pubs!$C$2:$C$3001,MATCH(G4735,Pubs!$A$2:$A$3001,0))&amp;"",""))</f>
        <v/>
      </c>
      <c r="J4735" s="27" t="str">
        <f aca="false">IF(OR(G4735="",G4735="?"),"",IFERROR(INDEX(Pubs!$G$2:$G$3001,MATCH(G4735,Pubs!$A$2:$A$3001,0))&amp;"",""))</f>
        <v/>
      </c>
      <c r="K4735" s="28" t="str">
        <f aca="false">IF(OR(G4735="",G4735="?"),"",IFERROR(INDEX(Pubs!$E$2:$E$3001,MATCH(G4735,Pubs!$A$2:$A$3001,0)),""))</f>
        <v/>
      </c>
      <c r="L4735" s="29" t="str">
        <f aca="false">IF(A4735="","",IFERROR(1/(1/INDEX(Numéros!$C$2:$C$3001,MATCH(A4735&amp;"|"&amp;B4735,Numéros!$F$2:$F$3001,0))),""))</f>
        <v/>
      </c>
      <c r="M4735" s="27" t="str">
        <f aca="false">IF(OR(G4735="",G4735="?"),"",IFERROR(INDEX(Pubs!$D$2:$D$3001,MATCH(G4735,Pubs!$A$2:$A$3001,0))&amp;"",""))</f>
        <v/>
      </c>
      <c r="N4735" s="27" t="n">
        <f aca="false">N(N4734)+IF(AND(A4735&lt;&gt;"",OR(Recherche!$C$4="",A4735=Recherche!$C$4),OR(Recherche!$C$5="",B4735&amp;""=Recherche!$C$5&amp;""),OR(Recherche!$C$6="",IFERROR(YEAR(L4735),0)=Recherche!$C$6),OR(Recherche!$C$7="",ISNUMBER(SEARCH(Recherche!$C$7,H4735))),OR(Recherche!$C$8="",J4735=Recherche!$C$8),OR(Recherche!$C$9="",I4735=Recherche!$C$9),OR(Recherche!$C$10="",G4735&amp;""=Recherche!$C$10&amp;""),OR(Recherche!$C$11="",E4735=Recherche!$C$11),OR(Recherche!$C$12="",ISNUMBER(SEARCH(Recherche!$C$12,M4735&amp;" "&amp;F4735)))),1,0)</f>
        <v>8</v>
      </c>
    </row>
    <row r="4736" customFormat="false" ht="15" hidden="false" customHeight="false" outlineLevel="0" collapsed="false">
      <c r="A4736" s="19"/>
      <c r="B4736" s="19"/>
      <c r="C4736" s="19"/>
      <c r="D4736" s="19"/>
      <c r="E4736" s="22"/>
      <c r="F4736" s="19"/>
      <c r="G4736" s="26" t="str">
        <f aca="false">IF(D4736="","",IFERROR(VALUE(LEFT(D4736,FIND(" |",D4736&amp;" |")-1)),"?"))</f>
        <v/>
      </c>
      <c r="H4736" s="27" t="str">
        <f aca="false">IF(G4736="","",IF(G4736="?","⚠ pub inconnue",IFERROR(INDEX(Pubs!$B$2:$B$3001,MATCH(G4736,Pubs!$A$2:$A$3001,0))&amp;"","⚠ pub inconnue")))</f>
        <v/>
      </c>
      <c r="I4736" s="27" t="str">
        <f aca="false">IF(OR(G4736="",G4736="?"),"",IFERROR(INDEX(Pubs!$C$2:$C$3001,MATCH(G4736,Pubs!$A$2:$A$3001,0))&amp;"",""))</f>
        <v/>
      </c>
      <c r="J4736" s="27" t="str">
        <f aca="false">IF(OR(G4736="",G4736="?"),"",IFERROR(INDEX(Pubs!$G$2:$G$3001,MATCH(G4736,Pubs!$A$2:$A$3001,0))&amp;"",""))</f>
        <v/>
      </c>
      <c r="K4736" s="28" t="str">
        <f aca="false">IF(OR(G4736="",G4736="?"),"",IFERROR(INDEX(Pubs!$E$2:$E$3001,MATCH(G4736,Pubs!$A$2:$A$3001,0)),""))</f>
        <v/>
      </c>
      <c r="L4736" s="29" t="str">
        <f aca="false">IF(A4736="","",IFERROR(1/(1/INDEX(Numéros!$C$2:$C$3001,MATCH(A4736&amp;"|"&amp;B4736,Numéros!$F$2:$F$3001,0))),""))</f>
        <v/>
      </c>
      <c r="M4736" s="27" t="str">
        <f aca="false">IF(OR(G4736="",G4736="?"),"",IFERROR(INDEX(Pubs!$D$2:$D$3001,MATCH(G4736,Pubs!$A$2:$A$3001,0))&amp;"",""))</f>
        <v/>
      </c>
      <c r="N4736" s="27" t="n">
        <f aca="false">N(N4735)+IF(AND(A4736&lt;&gt;"",OR(Recherche!$C$4="",A4736=Recherche!$C$4),OR(Recherche!$C$5="",B4736&amp;""=Recherche!$C$5&amp;""),OR(Recherche!$C$6="",IFERROR(YEAR(L4736),0)=Recherche!$C$6),OR(Recherche!$C$7="",ISNUMBER(SEARCH(Recherche!$C$7,H4736))),OR(Recherche!$C$8="",J4736=Recherche!$C$8),OR(Recherche!$C$9="",I4736=Recherche!$C$9),OR(Recherche!$C$10="",G4736&amp;""=Recherche!$C$10&amp;""),OR(Recherche!$C$11="",E4736=Recherche!$C$11),OR(Recherche!$C$12="",ISNUMBER(SEARCH(Recherche!$C$12,M4736&amp;" "&amp;F4736)))),1,0)</f>
        <v>8</v>
      </c>
    </row>
    <row r="4737" customFormat="false" ht="15" hidden="false" customHeight="false" outlineLevel="0" collapsed="false">
      <c r="A4737" s="19"/>
      <c r="B4737" s="19"/>
      <c r="C4737" s="19"/>
      <c r="D4737" s="19"/>
      <c r="E4737" s="22"/>
      <c r="F4737" s="19"/>
      <c r="G4737" s="26" t="str">
        <f aca="false">IF(D4737="","",IFERROR(VALUE(LEFT(D4737,FIND(" |",D4737&amp;" |")-1)),"?"))</f>
        <v/>
      </c>
      <c r="H4737" s="27" t="str">
        <f aca="false">IF(G4737="","",IF(G4737="?","⚠ pub inconnue",IFERROR(INDEX(Pubs!$B$2:$B$3001,MATCH(G4737,Pubs!$A$2:$A$3001,0))&amp;"","⚠ pub inconnue")))</f>
        <v/>
      </c>
      <c r="I4737" s="27" t="str">
        <f aca="false">IF(OR(G4737="",G4737="?"),"",IFERROR(INDEX(Pubs!$C$2:$C$3001,MATCH(G4737,Pubs!$A$2:$A$3001,0))&amp;"",""))</f>
        <v/>
      </c>
      <c r="J4737" s="27" t="str">
        <f aca="false">IF(OR(G4737="",G4737="?"),"",IFERROR(INDEX(Pubs!$G$2:$G$3001,MATCH(G4737,Pubs!$A$2:$A$3001,0))&amp;"",""))</f>
        <v/>
      </c>
      <c r="K4737" s="28" t="str">
        <f aca="false">IF(OR(G4737="",G4737="?"),"",IFERROR(INDEX(Pubs!$E$2:$E$3001,MATCH(G4737,Pubs!$A$2:$A$3001,0)),""))</f>
        <v/>
      </c>
      <c r="L4737" s="29" t="str">
        <f aca="false">IF(A4737="","",IFERROR(1/(1/INDEX(Numéros!$C$2:$C$3001,MATCH(A4737&amp;"|"&amp;B4737,Numéros!$F$2:$F$3001,0))),""))</f>
        <v/>
      </c>
      <c r="M4737" s="27" t="str">
        <f aca="false">IF(OR(G4737="",G4737="?"),"",IFERROR(INDEX(Pubs!$D$2:$D$3001,MATCH(G4737,Pubs!$A$2:$A$3001,0))&amp;"",""))</f>
        <v/>
      </c>
      <c r="N4737" s="27" t="n">
        <f aca="false">N(N4736)+IF(AND(A4737&lt;&gt;"",OR(Recherche!$C$4="",A4737=Recherche!$C$4),OR(Recherche!$C$5="",B4737&amp;""=Recherche!$C$5&amp;""),OR(Recherche!$C$6="",IFERROR(YEAR(L4737),0)=Recherche!$C$6),OR(Recherche!$C$7="",ISNUMBER(SEARCH(Recherche!$C$7,H4737))),OR(Recherche!$C$8="",J4737=Recherche!$C$8),OR(Recherche!$C$9="",I4737=Recherche!$C$9),OR(Recherche!$C$10="",G4737&amp;""=Recherche!$C$10&amp;""),OR(Recherche!$C$11="",E4737=Recherche!$C$11),OR(Recherche!$C$12="",ISNUMBER(SEARCH(Recherche!$C$12,M4737&amp;" "&amp;F4737)))),1,0)</f>
        <v>8</v>
      </c>
    </row>
    <row r="4738" customFormat="false" ht="15" hidden="false" customHeight="false" outlineLevel="0" collapsed="false">
      <c r="A4738" s="19"/>
      <c r="B4738" s="19"/>
      <c r="C4738" s="19"/>
      <c r="D4738" s="19"/>
      <c r="E4738" s="22"/>
      <c r="F4738" s="19"/>
      <c r="G4738" s="26" t="str">
        <f aca="false">IF(D4738="","",IFERROR(VALUE(LEFT(D4738,FIND(" |",D4738&amp;" |")-1)),"?"))</f>
        <v/>
      </c>
      <c r="H4738" s="27" t="str">
        <f aca="false">IF(G4738="","",IF(G4738="?","⚠ pub inconnue",IFERROR(INDEX(Pubs!$B$2:$B$3001,MATCH(G4738,Pubs!$A$2:$A$3001,0))&amp;"","⚠ pub inconnue")))</f>
        <v/>
      </c>
      <c r="I4738" s="27" t="str">
        <f aca="false">IF(OR(G4738="",G4738="?"),"",IFERROR(INDEX(Pubs!$C$2:$C$3001,MATCH(G4738,Pubs!$A$2:$A$3001,0))&amp;"",""))</f>
        <v/>
      </c>
      <c r="J4738" s="27" t="str">
        <f aca="false">IF(OR(G4738="",G4738="?"),"",IFERROR(INDEX(Pubs!$G$2:$G$3001,MATCH(G4738,Pubs!$A$2:$A$3001,0))&amp;"",""))</f>
        <v/>
      </c>
      <c r="K4738" s="28" t="str">
        <f aca="false">IF(OR(G4738="",G4738="?"),"",IFERROR(INDEX(Pubs!$E$2:$E$3001,MATCH(G4738,Pubs!$A$2:$A$3001,0)),""))</f>
        <v/>
      </c>
      <c r="L4738" s="29" t="str">
        <f aca="false">IF(A4738="","",IFERROR(1/(1/INDEX(Numéros!$C$2:$C$3001,MATCH(A4738&amp;"|"&amp;B4738,Numéros!$F$2:$F$3001,0))),""))</f>
        <v/>
      </c>
      <c r="M4738" s="27" t="str">
        <f aca="false">IF(OR(G4738="",G4738="?"),"",IFERROR(INDEX(Pubs!$D$2:$D$3001,MATCH(G4738,Pubs!$A$2:$A$3001,0))&amp;"",""))</f>
        <v/>
      </c>
      <c r="N4738" s="27" t="n">
        <f aca="false">N(N4737)+IF(AND(A4738&lt;&gt;"",OR(Recherche!$C$4="",A4738=Recherche!$C$4),OR(Recherche!$C$5="",B4738&amp;""=Recherche!$C$5&amp;""),OR(Recherche!$C$6="",IFERROR(YEAR(L4738),0)=Recherche!$C$6),OR(Recherche!$C$7="",ISNUMBER(SEARCH(Recherche!$C$7,H4738))),OR(Recherche!$C$8="",J4738=Recherche!$C$8),OR(Recherche!$C$9="",I4738=Recherche!$C$9),OR(Recherche!$C$10="",G4738&amp;""=Recherche!$C$10&amp;""),OR(Recherche!$C$11="",E4738=Recherche!$C$11),OR(Recherche!$C$12="",ISNUMBER(SEARCH(Recherche!$C$12,M4738&amp;" "&amp;F4738)))),1,0)</f>
        <v>8</v>
      </c>
    </row>
    <row r="4739" customFormat="false" ht="15" hidden="false" customHeight="false" outlineLevel="0" collapsed="false">
      <c r="A4739" s="19"/>
      <c r="B4739" s="19"/>
      <c r="C4739" s="19"/>
      <c r="D4739" s="19"/>
      <c r="E4739" s="22"/>
      <c r="F4739" s="19"/>
      <c r="G4739" s="26" t="str">
        <f aca="false">IF(D4739="","",IFERROR(VALUE(LEFT(D4739,FIND(" |",D4739&amp;" |")-1)),"?"))</f>
        <v/>
      </c>
      <c r="H4739" s="27" t="str">
        <f aca="false">IF(G4739="","",IF(G4739="?","⚠ pub inconnue",IFERROR(INDEX(Pubs!$B$2:$B$3001,MATCH(G4739,Pubs!$A$2:$A$3001,0))&amp;"","⚠ pub inconnue")))</f>
        <v/>
      </c>
      <c r="I4739" s="27" t="str">
        <f aca="false">IF(OR(G4739="",G4739="?"),"",IFERROR(INDEX(Pubs!$C$2:$C$3001,MATCH(G4739,Pubs!$A$2:$A$3001,0))&amp;"",""))</f>
        <v/>
      </c>
      <c r="J4739" s="27" t="str">
        <f aca="false">IF(OR(G4739="",G4739="?"),"",IFERROR(INDEX(Pubs!$G$2:$G$3001,MATCH(G4739,Pubs!$A$2:$A$3001,0))&amp;"",""))</f>
        <v/>
      </c>
      <c r="K4739" s="28" t="str">
        <f aca="false">IF(OR(G4739="",G4739="?"),"",IFERROR(INDEX(Pubs!$E$2:$E$3001,MATCH(G4739,Pubs!$A$2:$A$3001,0)),""))</f>
        <v/>
      </c>
      <c r="L4739" s="29" t="str">
        <f aca="false">IF(A4739="","",IFERROR(1/(1/INDEX(Numéros!$C$2:$C$3001,MATCH(A4739&amp;"|"&amp;B4739,Numéros!$F$2:$F$3001,0))),""))</f>
        <v/>
      </c>
      <c r="M4739" s="27" t="str">
        <f aca="false">IF(OR(G4739="",G4739="?"),"",IFERROR(INDEX(Pubs!$D$2:$D$3001,MATCH(G4739,Pubs!$A$2:$A$3001,0))&amp;"",""))</f>
        <v/>
      </c>
      <c r="N4739" s="27" t="n">
        <f aca="false">N(N4738)+IF(AND(A4739&lt;&gt;"",OR(Recherche!$C$4="",A4739=Recherche!$C$4),OR(Recherche!$C$5="",B4739&amp;""=Recherche!$C$5&amp;""),OR(Recherche!$C$6="",IFERROR(YEAR(L4739),0)=Recherche!$C$6),OR(Recherche!$C$7="",ISNUMBER(SEARCH(Recherche!$C$7,H4739))),OR(Recherche!$C$8="",J4739=Recherche!$C$8),OR(Recherche!$C$9="",I4739=Recherche!$C$9),OR(Recherche!$C$10="",G4739&amp;""=Recherche!$C$10&amp;""),OR(Recherche!$C$11="",E4739=Recherche!$C$11),OR(Recherche!$C$12="",ISNUMBER(SEARCH(Recherche!$C$12,M4739&amp;" "&amp;F4739)))),1,0)</f>
        <v>8</v>
      </c>
    </row>
    <row r="4740" customFormat="false" ht="15" hidden="false" customHeight="false" outlineLevel="0" collapsed="false">
      <c r="A4740" s="19"/>
      <c r="B4740" s="19"/>
      <c r="C4740" s="19"/>
      <c r="D4740" s="19"/>
      <c r="E4740" s="22"/>
      <c r="F4740" s="19"/>
      <c r="G4740" s="26" t="str">
        <f aca="false">IF(D4740="","",IFERROR(VALUE(LEFT(D4740,FIND(" |",D4740&amp;" |")-1)),"?"))</f>
        <v/>
      </c>
      <c r="H4740" s="27" t="str">
        <f aca="false">IF(G4740="","",IF(G4740="?","⚠ pub inconnue",IFERROR(INDEX(Pubs!$B$2:$B$3001,MATCH(G4740,Pubs!$A$2:$A$3001,0))&amp;"","⚠ pub inconnue")))</f>
        <v/>
      </c>
      <c r="I4740" s="27" t="str">
        <f aca="false">IF(OR(G4740="",G4740="?"),"",IFERROR(INDEX(Pubs!$C$2:$C$3001,MATCH(G4740,Pubs!$A$2:$A$3001,0))&amp;"",""))</f>
        <v/>
      </c>
      <c r="J4740" s="27" t="str">
        <f aca="false">IF(OR(G4740="",G4740="?"),"",IFERROR(INDEX(Pubs!$G$2:$G$3001,MATCH(G4740,Pubs!$A$2:$A$3001,0))&amp;"",""))</f>
        <v/>
      </c>
      <c r="K4740" s="28" t="str">
        <f aca="false">IF(OR(G4740="",G4740="?"),"",IFERROR(INDEX(Pubs!$E$2:$E$3001,MATCH(G4740,Pubs!$A$2:$A$3001,0)),""))</f>
        <v/>
      </c>
      <c r="L4740" s="29" t="str">
        <f aca="false">IF(A4740="","",IFERROR(1/(1/INDEX(Numéros!$C$2:$C$3001,MATCH(A4740&amp;"|"&amp;B4740,Numéros!$F$2:$F$3001,0))),""))</f>
        <v/>
      </c>
      <c r="M4740" s="27" t="str">
        <f aca="false">IF(OR(G4740="",G4740="?"),"",IFERROR(INDEX(Pubs!$D$2:$D$3001,MATCH(G4740,Pubs!$A$2:$A$3001,0))&amp;"",""))</f>
        <v/>
      </c>
      <c r="N4740" s="27" t="n">
        <f aca="false">N(N4739)+IF(AND(A4740&lt;&gt;"",OR(Recherche!$C$4="",A4740=Recherche!$C$4),OR(Recherche!$C$5="",B4740&amp;""=Recherche!$C$5&amp;""),OR(Recherche!$C$6="",IFERROR(YEAR(L4740),0)=Recherche!$C$6),OR(Recherche!$C$7="",ISNUMBER(SEARCH(Recherche!$C$7,H4740))),OR(Recherche!$C$8="",J4740=Recherche!$C$8),OR(Recherche!$C$9="",I4740=Recherche!$C$9),OR(Recherche!$C$10="",G4740&amp;""=Recherche!$C$10&amp;""),OR(Recherche!$C$11="",E4740=Recherche!$C$11),OR(Recherche!$C$12="",ISNUMBER(SEARCH(Recherche!$C$12,M4740&amp;" "&amp;F4740)))),1,0)</f>
        <v>8</v>
      </c>
    </row>
    <row r="4741" customFormat="false" ht="15" hidden="false" customHeight="false" outlineLevel="0" collapsed="false">
      <c r="A4741" s="19"/>
      <c r="B4741" s="19"/>
      <c r="C4741" s="19"/>
      <c r="D4741" s="19"/>
      <c r="E4741" s="22"/>
      <c r="F4741" s="19"/>
      <c r="G4741" s="26" t="str">
        <f aca="false">IF(D4741="","",IFERROR(VALUE(LEFT(D4741,FIND(" |",D4741&amp;" |")-1)),"?"))</f>
        <v/>
      </c>
      <c r="H4741" s="27" t="str">
        <f aca="false">IF(G4741="","",IF(G4741="?","⚠ pub inconnue",IFERROR(INDEX(Pubs!$B$2:$B$3001,MATCH(G4741,Pubs!$A$2:$A$3001,0))&amp;"","⚠ pub inconnue")))</f>
        <v/>
      </c>
      <c r="I4741" s="27" t="str">
        <f aca="false">IF(OR(G4741="",G4741="?"),"",IFERROR(INDEX(Pubs!$C$2:$C$3001,MATCH(G4741,Pubs!$A$2:$A$3001,0))&amp;"",""))</f>
        <v/>
      </c>
      <c r="J4741" s="27" t="str">
        <f aca="false">IF(OR(G4741="",G4741="?"),"",IFERROR(INDEX(Pubs!$G$2:$G$3001,MATCH(G4741,Pubs!$A$2:$A$3001,0))&amp;"",""))</f>
        <v/>
      </c>
      <c r="K4741" s="28" t="str">
        <f aca="false">IF(OR(G4741="",G4741="?"),"",IFERROR(INDEX(Pubs!$E$2:$E$3001,MATCH(G4741,Pubs!$A$2:$A$3001,0)),""))</f>
        <v/>
      </c>
      <c r="L4741" s="29" t="str">
        <f aca="false">IF(A4741="","",IFERROR(1/(1/INDEX(Numéros!$C$2:$C$3001,MATCH(A4741&amp;"|"&amp;B4741,Numéros!$F$2:$F$3001,0))),""))</f>
        <v/>
      </c>
      <c r="M4741" s="27" t="str">
        <f aca="false">IF(OR(G4741="",G4741="?"),"",IFERROR(INDEX(Pubs!$D$2:$D$3001,MATCH(G4741,Pubs!$A$2:$A$3001,0))&amp;"",""))</f>
        <v/>
      </c>
      <c r="N4741" s="27" t="n">
        <f aca="false">N(N4740)+IF(AND(A4741&lt;&gt;"",OR(Recherche!$C$4="",A4741=Recherche!$C$4),OR(Recherche!$C$5="",B4741&amp;""=Recherche!$C$5&amp;""),OR(Recherche!$C$6="",IFERROR(YEAR(L4741),0)=Recherche!$C$6),OR(Recherche!$C$7="",ISNUMBER(SEARCH(Recherche!$C$7,H4741))),OR(Recherche!$C$8="",J4741=Recherche!$C$8),OR(Recherche!$C$9="",I4741=Recherche!$C$9),OR(Recherche!$C$10="",G4741&amp;""=Recherche!$C$10&amp;""),OR(Recherche!$C$11="",E4741=Recherche!$C$11),OR(Recherche!$C$12="",ISNUMBER(SEARCH(Recherche!$C$12,M4741&amp;" "&amp;F4741)))),1,0)</f>
        <v>8</v>
      </c>
    </row>
    <row r="4742" customFormat="false" ht="15" hidden="false" customHeight="false" outlineLevel="0" collapsed="false">
      <c r="A4742" s="19"/>
      <c r="B4742" s="19"/>
      <c r="C4742" s="19"/>
      <c r="D4742" s="19"/>
      <c r="E4742" s="22"/>
      <c r="F4742" s="19"/>
      <c r="G4742" s="26" t="str">
        <f aca="false">IF(D4742="","",IFERROR(VALUE(LEFT(D4742,FIND(" |",D4742&amp;" |")-1)),"?"))</f>
        <v/>
      </c>
      <c r="H4742" s="27" t="str">
        <f aca="false">IF(G4742="","",IF(G4742="?","⚠ pub inconnue",IFERROR(INDEX(Pubs!$B$2:$B$3001,MATCH(G4742,Pubs!$A$2:$A$3001,0))&amp;"","⚠ pub inconnue")))</f>
        <v/>
      </c>
      <c r="I4742" s="27" t="str">
        <f aca="false">IF(OR(G4742="",G4742="?"),"",IFERROR(INDEX(Pubs!$C$2:$C$3001,MATCH(G4742,Pubs!$A$2:$A$3001,0))&amp;"",""))</f>
        <v/>
      </c>
      <c r="J4742" s="27" t="str">
        <f aca="false">IF(OR(G4742="",G4742="?"),"",IFERROR(INDEX(Pubs!$G$2:$G$3001,MATCH(G4742,Pubs!$A$2:$A$3001,0))&amp;"",""))</f>
        <v/>
      </c>
      <c r="K4742" s="28" t="str">
        <f aca="false">IF(OR(G4742="",G4742="?"),"",IFERROR(INDEX(Pubs!$E$2:$E$3001,MATCH(G4742,Pubs!$A$2:$A$3001,0)),""))</f>
        <v/>
      </c>
      <c r="L4742" s="29" t="str">
        <f aca="false">IF(A4742="","",IFERROR(1/(1/INDEX(Numéros!$C$2:$C$3001,MATCH(A4742&amp;"|"&amp;B4742,Numéros!$F$2:$F$3001,0))),""))</f>
        <v/>
      </c>
      <c r="M4742" s="27" t="str">
        <f aca="false">IF(OR(G4742="",G4742="?"),"",IFERROR(INDEX(Pubs!$D$2:$D$3001,MATCH(G4742,Pubs!$A$2:$A$3001,0))&amp;"",""))</f>
        <v/>
      </c>
      <c r="N4742" s="27" t="n">
        <f aca="false">N(N4741)+IF(AND(A4742&lt;&gt;"",OR(Recherche!$C$4="",A4742=Recherche!$C$4),OR(Recherche!$C$5="",B4742&amp;""=Recherche!$C$5&amp;""),OR(Recherche!$C$6="",IFERROR(YEAR(L4742),0)=Recherche!$C$6),OR(Recherche!$C$7="",ISNUMBER(SEARCH(Recherche!$C$7,H4742))),OR(Recherche!$C$8="",J4742=Recherche!$C$8),OR(Recherche!$C$9="",I4742=Recherche!$C$9),OR(Recherche!$C$10="",G4742&amp;""=Recherche!$C$10&amp;""),OR(Recherche!$C$11="",E4742=Recherche!$C$11),OR(Recherche!$C$12="",ISNUMBER(SEARCH(Recherche!$C$12,M4742&amp;" "&amp;F4742)))),1,0)</f>
        <v>8</v>
      </c>
    </row>
    <row r="4743" customFormat="false" ht="15" hidden="false" customHeight="false" outlineLevel="0" collapsed="false">
      <c r="A4743" s="19"/>
      <c r="B4743" s="19"/>
      <c r="C4743" s="19"/>
      <c r="D4743" s="19"/>
      <c r="E4743" s="22"/>
      <c r="F4743" s="19"/>
      <c r="G4743" s="26" t="str">
        <f aca="false">IF(D4743="","",IFERROR(VALUE(LEFT(D4743,FIND(" |",D4743&amp;" |")-1)),"?"))</f>
        <v/>
      </c>
      <c r="H4743" s="27" t="str">
        <f aca="false">IF(G4743="","",IF(G4743="?","⚠ pub inconnue",IFERROR(INDEX(Pubs!$B$2:$B$3001,MATCH(G4743,Pubs!$A$2:$A$3001,0))&amp;"","⚠ pub inconnue")))</f>
        <v/>
      </c>
      <c r="I4743" s="27" t="str">
        <f aca="false">IF(OR(G4743="",G4743="?"),"",IFERROR(INDEX(Pubs!$C$2:$C$3001,MATCH(G4743,Pubs!$A$2:$A$3001,0))&amp;"",""))</f>
        <v/>
      </c>
      <c r="J4743" s="27" t="str">
        <f aca="false">IF(OR(G4743="",G4743="?"),"",IFERROR(INDEX(Pubs!$G$2:$G$3001,MATCH(G4743,Pubs!$A$2:$A$3001,0))&amp;"",""))</f>
        <v/>
      </c>
      <c r="K4743" s="28" t="str">
        <f aca="false">IF(OR(G4743="",G4743="?"),"",IFERROR(INDEX(Pubs!$E$2:$E$3001,MATCH(G4743,Pubs!$A$2:$A$3001,0)),""))</f>
        <v/>
      </c>
      <c r="L4743" s="29" t="str">
        <f aca="false">IF(A4743="","",IFERROR(1/(1/INDEX(Numéros!$C$2:$C$3001,MATCH(A4743&amp;"|"&amp;B4743,Numéros!$F$2:$F$3001,0))),""))</f>
        <v/>
      </c>
      <c r="M4743" s="27" t="str">
        <f aca="false">IF(OR(G4743="",G4743="?"),"",IFERROR(INDEX(Pubs!$D$2:$D$3001,MATCH(G4743,Pubs!$A$2:$A$3001,0))&amp;"",""))</f>
        <v/>
      </c>
      <c r="N4743" s="27" t="n">
        <f aca="false">N(N4742)+IF(AND(A4743&lt;&gt;"",OR(Recherche!$C$4="",A4743=Recherche!$C$4),OR(Recherche!$C$5="",B4743&amp;""=Recherche!$C$5&amp;""),OR(Recherche!$C$6="",IFERROR(YEAR(L4743),0)=Recherche!$C$6),OR(Recherche!$C$7="",ISNUMBER(SEARCH(Recherche!$C$7,H4743))),OR(Recherche!$C$8="",J4743=Recherche!$C$8),OR(Recherche!$C$9="",I4743=Recherche!$C$9),OR(Recherche!$C$10="",G4743&amp;""=Recherche!$C$10&amp;""),OR(Recherche!$C$11="",E4743=Recherche!$C$11),OR(Recherche!$C$12="",ISNUMBER(SEARCH(Recherche!$C$12,M4743&amp;" "&amp;F4743)))),1,0)</f>
        <v>8</v>
      </c>
    </row>
    <row r="4744" customFormat="false" ht="15" hidden="false" customHeight="false" outlineLevel="0" collapsed="false">
      <c r="A4744" s="19"/>
      <c r="B4744" s="19"/>
      <c r="C4744" s="19"/>
      <c r="D4744" s="19"/>
      <c r="E4744" s="22"/>
      <c r="F4744" s="19"/>
      <c r="G4744" s="26" t="str">
        <f aca="false">IF(D4744="","",IFERROR(VALUE(LEFT(D4744,FIND(" |",D4744&amp;" |")-1)),"?"))</f>
        <v/>
      </c>
      <c r="H4744" s="27" t="str">
        <f aca="false">IF(G4744="","",IF(G4744="?","⚠ pub inconnue",IFERROR(INDEX(Pubs!$B$2:$B$3001,MATCH(G4744,Pubs!$A$2:$A$3001,0))&amp;"","⚠ pub inconnue")))</f>
        <v/>
      </c>
      <c r="I4744" s="27" t="str">
        <f aca="false">IF(OR(G4744="",G4744="?"),"",IFERROR(INDEX(Pubs!$C$2:$C$3001,MATCH(G4744,Pubs!$A$2:$A$3001,0))&amp;"",""))</f>
        <v/>
      </c>
      <c r="J4744" s="27" t="str">
        <f aca="false">IF(OR(G4744="",G4744="?"),"",IFERROR(INDEX(Pubs!$G$2:$G$3001,MATCH(G4744,Pubs!$A$2:$A$3001,0))&amp;"",""))</f>
        <v/>
      </c>
      <c r="K4744" s="28" t="str">
        <f aca="false">IF(OR(G4744="",G4744="?"),"",IFERROR(INDEX(Pubs!$E$2:$E$3001,MATCH(G4744,Pubs!$A$2:$A$3001,0)),""))</f>
        <v/>
      </c>
      <c r="L4744" s="29" t="str">
        <f aca="false">IF(A4744="","",IFERROR(1/(1/INDEX(Numéros!$C$2:$C$3001,MATCH(A4744&amp;"|"&amp;B4744,Numéros!$F$2:$F$3001,0))),""))</f>
        <v/>
      </c>
      <c r="M4744" s="27" t="str">
        <f aca="false">IF(OR(G4744="",G4744="?"),"",IFERROR(INDEX(Pubs!$D$2:$D$3001,MATCH(G4744,Pubs!$A$2:$A$3001,0))&amp;"",""))</f>
        <v/>
      </c>
      <c r="N4744" s="27" t="n">
        <f aca="false">N(N4743)+IF(AND(A4744&lt;&gt;"",OR(Recherche!$C$4="",A4744=Recherche!$C$4),OR(Recherche!$C$5="",B4744&amp;""=Recherche!$C$5&amp;""),OR(Recherche!$C$6="",IFERROR(YEAR(L4744),0)=Recherche!$C$6),OR(Recherche!$C$7="",ISNUMBER(SEARCH(Recherche!$C$7,H4744))),OR(Recherche!$C$8="",J4744=Recherche!$C$8),OR(Recherche!$C$9="",I4744=Recherche!$C$9),OR(Recherche!$C$10="",G4744&amp;""=Recherche!$C$10&amp;""),OR(Recherche!$C$11="",E4744=Recherche!$C$11),OR(Recherche!$C$12="",ISNUMBER(SEARCH(Recherche!$C$12,M4744&amp;" "&amp;F4744)))),1,0)</f>
        <v>8</v>
      </c>
    </row>
    <row r="4745" customFormat="false" ht="15" hidden="false" customHeight="false" outlineLevel="0" collapsed="false">
      <c r="A4745" s="19"/>
      <c r="B4745" s="19"/>
      <c r="C4745" s="19"/>
      <c r="D4745" s="19"/>
      <c r="E4745" s="22"/>
      <c r="F4745" s="19"/>
      <c r="G4745" s="26" t="str">
        <f aca="false">IF(D4745="","",IFERROR(VALUE(LEFT(D4745,FIND(" |",D4745&amp;" |")-1)),"?"))</f>
        <v/>
      </c>
      <c r="H4745" s="27" t="str">
        <f aca="false">IF(G4745="","",IF(G4745="?","⚠ pub inconnue",IFERROR(INDEX(Pubs!$B$2:$B$3001,MATCH(G4745,Pubs!$A$2:$A$3001,0))&amp;"","⚠ pub inconnue")))</f>
        <v/>
      </c>
      <c r="I4745" s="27" t="str">
        <f aca="false">IF(OR(G4745="",G4745="?"),"",IFERROR(INDEX(Pubs!$C$2:$C$3001,MATCH(G4745,Pubs!$A$2:$A$3001,0))&amp;"",""))</f>
        <v/>
      </c>
      <c r="J4745" s="27" t="str">
        <f aca="false">IF(OR(G4745="",G4745="?"),"",IFERROR(INDEX(Pubs!$G$2:$G$3001,MATCH(G4745,Pubs!$A$2:$A$3001,0))&amp;"",""))</f>
        <v/>
      </c>
      <c r="K4745" s="28" t="str">
        <f aca="false">IF(OR(G4745="",G4745="?"),"",IFERROR(INDEX(Pubs!$E$2:$E$3001,MATCH(G4745,Pubs!$A$2:$A$3001,0)),""))</f>
        <v/>
      </c>
      <c r="L4745" s="29" t="str">
        <f aca="false">IF(A4745="","",IFERROR(1/(1/INDEX(Numéros!$C$2:$C$3001,MATCH(A4745&amp;"|"&amp;B4745,Numéros!$F$2:$F$3001,0))),""))</f>
        <v/>
      </c>
      <c r="M4745" s="27" t="str">
        <f aca="false">IF(OR(G4745="",G4745="?"),"",IFERROR(INDEX(Pubs!$D$2:$D$3001,MATCH(G4745,Pubs!$A$2:$A$3001,0))&amp;"",""))</f>
        <v/>
      </c>
      <c r="N4745" s="27" t="n">
        <f aca="false">N(N4744)+IF(AND(A4745&lt;&gt;"",OR(Recherche!$C$4="",A4745=Recherche!$C$4),OR(Recherche!$C$5="",B4745&amp;""=Recherche!$C$5&amp;""),OR(Recherche!$C$6="",IFERROR(YEAR(L4745),0)=Recherche!$C$6),OR(Recherche!$C$7="",ISNUMBER(SEARCH(Recherche!$C$7,H4745))),OR(Recherche!$C$8="",J4745=Recherche!$C$8),OR(Recherche!$C$9="",I4745=Recherche!$C$9),OR(Recherche!$C$10="",G4745&amp;""=Recherche!$C$10&amp;""),OR(Recherche!$C$11="",E4745=Recherche!$C$11),OR(Recherche!$C$12="",ISNUMBER(SEARCH(Recherche!$C$12,M4745&amp;" "&amp;F4745)))),1,0)</f>
        <v>8</v>
      </c>
    </row>
    <row r="4746" customFormat="false" ht="15" hidden="false" customHeight="false" outlineLevel="0" collapsed="false">
      <c r="A4746" s="19"/>
      <c r="B4746" s="19"/>
      <c r="C4746" s="19"/>
      <c r="D4746" s="19"/>
      <c r="E4746" s="22"/>
      <c r="F4746" s="19"/>
      <c r="G4746" s="26" t="str">
        <f aca="false">IF(D4746="","",IFERROR(VALUE(LEFT(D4746,FIND(" |",D4746&amp;" |")-1)),"?"))</f>
        <v/>
      </c>
      <c r="H4746" s="27" t="str">
        <f aca="false">IF(G4746="","",IF(G4746="?","⚠ pub inconnue",IFERROR(INDEX(Pubs!$B$2:$B$3001,MATCH(G4746,Pubs!$A$2:$A$3001,0))&amp;"","⚠ pub inconnue")))</f>
        <v/>
      </c>
      <c r="I4746" s="27" t="str">
        <f aca="false">IF(OR(G4746="",G4746="?"),"",IFERROR(INDEX(Pubs!$C$2:$C$3001,MATCH(G4746,Pubs!$A$2:$A$3001,0))&amp;"",""))</f>
        <v/>
      </c>
      <c r="J4746" s="27" t="str">
        <f aca="false">IF(OR(G4746="",G4746="?"),"",IFERROR(INDEX(Pubs!$G$2:$G$3001,MATCH(G4746,Pubs!$A$2:$A$3001,0))&amp;"",""))</f>
        <v/>
      </c>
      <c r="K4746" s="28" t="str">
        <f aca="false">IF(OR(G4746="",G4746="?"),"",IFERROR(INDEX(Pubs!$E$2:$E$3001,MATCH(G4746,Pubs!$A$2:$A$3001,0)),""))</f>
        <v/>
      </c>
      <c r="L4746" s="29" t="str">
        <f aca="false">IF(A4746="","",IFERROR(1/(1/INDEX(Numéros!$C$2:$C$3001,MATCH(A4746&amp;"|"&amp;B4746,Numéros!$F$2:$F$3001,0))),""))</f>
        <v/>
      </c>
      <c r="M4746" s="27" t="str">
        <f aca="false">IF(OR(G4746="",G4746="?"),"",IFERROR(INDEX(Pubs!$D$2:$D$3001,MATCH(G4746,Pubs!$A$2:$A$3001,0))&amp;"",""))</f>
        <v/>
      </c>
      <c r="N4746" s="27" t="n">
        <f aca="false">N(N4745)+IF(AND(A4746&lt;&gt;"",OR(Recherche!$C$4="",A4746=Recherche!$C$4),OR(Recherche!$C$5="",B4746&amp;""=Recherche!$C$5&amp;""),OR(Recherche!$C$6="",IFERROR(YEAR(L4746),0)=Recherche!$C$6),OR(Recherche!$C$7="",ISNUMBER(SEARCH(Recherche!$C$7,H4746))),OR(Recherche!$C$8="",J4746=Recherche!$C$8),OR(Recherche!$C$9="",I4746=Recherche!$C$9),OR(Recherche!$C$10="",G4746&amp;""=Recherche!$C$10&amp;""),OR(Recherche!$C$11="",E4746=Recherche!$C$11),OR(Recherche!$C$12="",ISNUMBER(SEARCH(Recherche!$C$12,M4746&amp;" "&amp;F4746)))),1,0)</f>
        <v>8</v>
      </c>
    </row>
    <row r="4747" customFormat="false" ht="15" hidden="false" customHeight="false" outlineLevel="0" collapsed="false">
      <c r="A4747" s="19"/>
      <c r="B4747" s="19"/>
      <c r="C4747" s="19"/>
      <c r="D4747" s="19"/>
      <c r="E4747" s="22"/>
      <c r="F4747" s="19"/>
      <c r="G4747" s="26" t="str">
        <f aca="false">IF(D4747="","",IFERROR(VALUE(LEFT(D4747,FIND(" |",D4747&amp;" |")-1)),"?"))</f>
        <v/>
      </c>
      <c r="H4747" s="27" t="str">
        <f aca="false">IF(G4747="","",IF(G4747="?","⚠ pub inconnue",IFERROR(INDEX(Pubs!$B$2:$B$3001,MATCH(G4747,Pubs!$A$2:$A$3001,0))&amp;"","⚠ pub inconnue")))</f>
        <v/>
      </c>
      <c r="I4747" s="27" t="str">
        <f aca="false">IF(OR(G4747="",G4747="?"),"",IFERROR(INDEX(Pubs!$C$2:$C$3001,MATCH(G4747,Pubs!$A$2:$A$3001,0))&amp;"",""))</f>
        <v/>
      </c>
      <c r="J4747" s="27" t="str">
        <f aca="false">IF(OR(G4747="",G4747="?"),"",IFERROR(INDEX(Pubs!$G$2:$G$3001,MATCH(G4747,Pubs!$A$2:$A$3001,0))&amp;"",""))</f>
        <v/>
      </c>
      <c r="K4747" s="28" t="str">
        <f aca="false">IF(OR(G4747="",G4747="?"),"",IFERROR(INDEX(Pubs!$E$2:$E$3001,MATCH(G4747,Pubs!$A$2:$A$3001,0)),""))</f>
        <v/>
      </c>
      <c r="L4747" s="29" t="str">
        <f aca="false">IF(A4747="","",IFERROR(1/(1/INDEX(Numéros!$C$2:$C$3001,MATCH(A4747&amp;"|"&amp;B4747,Numéros!$F$2:$F$3001,0))),""))</f>
        <v/>
      </c>
      <c r="M4747" s="27" t="str">
        <f aca="false">IF(OR(G4747="",G4747="?"),"",IFERROR(INDEX(Pubs!$D$2:$D$3001,MATCH(G4747,Pubs!$A$2:$A$3001,0))&amp;"",""))</f>
        <v/>
      </c>
      <c r="N4747" s="27" t="n">
        <f aca="false">N(N4746)+IF(AND(A4747&lt;&gt;"",OR(Recherche!$C$4="",A4747=Recherche!$C$4),OR(Recherche!$C$5="",B4747&amp;""=Recherche!$C$5&amp;""),OR(Recherche!$C$6="",IFERROR(YEAR(L4747),0)=Recherche!$C$6),OR(Recherche!$C$7="",ISNUMBER(SEARCH(Recherche!$C$7,H4747))),OR(Recherche!$C$8="",J4747=Recherche!$C$8),OR(Recherche!$C$9="",I4747=Recherche!$C$9),OR(Recherche!$C$10="",G4747&amp;""=Recherche!$C$10&amp;""),OR(Recherche!$C$11="",E4747=Recherche!$C$11),OR(Recherche!$C$12="",ISNUMBER(SEARCH(Recherche!$C$12,M4747&amp;" "&amp;F4747)))),1,0)</f>
        <v>8</v>
      </c>
    </row>
    <row r="4748" customFormat="false" ht="15" hidden="false" customHeight="false" outlineLevel="0" collapsed="false">
      <c r="A4748" s="19"/>
      <c r="B4748" s="19"/>
      <c r="C4748" s="19"/>
      <c r="D4748" s="19"/>
      <c r="E4748" s="22"/>
      <c r="F4748" s="19"/>
      <c r="G4748" s="26" t="str">
        <f aca="false">IF(D4748="","",IFERROR(VALUE(LEFT(D4748,FIND(" |",D4748&amp;" |")-1)),"?"))</f>
        <v/>
      </c>
      <c r="H4748" s="27" t="str">
        <f aca="false">IF(G4748="","",IF(G4748="?","⚠ pub inconnue",IFERROR(INDEX(Pubs!$B$2:$B$3001,MATCH(G4748,Pubs!$A$2:$A$3001,0))&amp;"","⚠ pub inconnue")))</f>
        <v/>
      </c>
      <c r="I4748" s="27" t="str">
        <f aca="false">IF(OR(G4748="",G4748="?"),"",IFERROR(INDEX(Pubs!$C$2:$C$3001,MATCH(G4748,Pubs!$A$2:$A$3001,0))&amp;"",""))</f>
        <v/>
      </c>
      <c r="J4748" s="27" t="str">
        <f aca="false">IF(OR(G4748="",G4748="?"),"",IFERROR(INDEX(Pubs!$G$2:$G$3001,MATCH(G4748,Pubs!$A$2:$A$3001,0))&amp;"",""))</f>
        <v/>
      </c>
      <c r="K4748" s="28" t="str">
        <f aca="false">IF(OR(G4748="",G4748="?"),"",IFERROR(INDEX(Pubs!$E$2:$E$3001,MATCH(G4748,Pubs!$A$2:$A$3001,0)),""))</f>
        <v/>
      </c>
      <c r="L4748" s="29" t="str">
        <f aca="false">IF(A4748="","",IFERROR(1/(1/INDEX(Numéros!$C$2:$C$3001,MATCH(A4748&amp;"|"&amp;B4748,Numéros!$F$2:$F$3001,0))),""))</f>
        <v/>
      </c>
      <c r="M4748" s="27" t="str">
        <f aca="false">IF(OR(G4748="",G4748="?"),"",IFERROR(INDEX(Pubs!$D$2:$D$3001,MATCH(G4748,Pubs!$A$2:$A$3001,0))&amp;"",""))</f>
        <v/>
      </c>
      <c r="N4748" s="27" t="n">
        <f aca="false">N(N4747)+IF(AND(A4748&lt;&gt;"",OR(Recherche!$C$4="",A4748=Recherche!$C$4),OR(Recherche!$C$5="",B4748&amp;""=Recherche!$C$5&amp;""),OR(Recherche!$C$6="",IFERROR(YEAR(L4748),0)=Recherche!$C$6),OR(Recherche!$C$7="",ISNUMBER(SEARCH(Recherche!$C$7,H4748))),OR(Recherche!$C$8="",J4748=Recherche!$C$8),OR(Recherche!$C$9="",I4748=Recherche!$C$9),OR(Recherche!$C$10="",G4748&amp;""=Recherche!$C$10&amp;""),OR(Recherche!$C$11="",E4748=Recherche!$C$11),OR(Recherche!$C$12="",ISNUMBER(SEARCH(Recherche!$C$12,M4748&amp;" "&amp;F4748)))),1,0)</f>
        <v>8</v>
      </c>
    </row>
    <row r="4749" customFormat="false" ht="15" hidden="false" customHeight="false" outlineLevel="0" collapsed="false">
      <c r="A4749" s="19"/>
      <c r="B4749" s="19"/>
      <c r="C4749" s="19"/>
      <c r="D4749" s="19"/>
      <c r="E4749" s="22"/>
      <c r="F4749" s="19"/>
      <c r="G4749" s="26" t="str">
        <f aca="false">IF(D4749="","",IFERROR(VALUE(LEFT(D4749,FIND(" |",D4749&amp;" |")-1)),"?"))</f>
        <v/>
      </c>
      <c r="H4749" s="27" t="str">
        <f aca="false">IF(G4749="","",IF(G4749="?","⚠ pub inconnue",IFERROR(INDEX(Pubs!$B$2:$B$3001,MATCH(G4749,Pubs!$A$2:$A$3001,0))&amp;"","⚠ pub inconnue")))</f>
        <v/>
      </c>
      <c r="I4749" s="27" t="str">
        <f aca="false">IF(OR(G4749="",G4749="?"),"",IFERROR(INDEX(Pubs!$C$2:$C$3001,MATCH(G4749,Pubs!$A$2:$A$3001,0))&amp;"",""))</f>
        <v/>
      </c>
      <c r="J4749" s="27" t="str">
        <f aca="false">IF(OR(G4749="",G4749="?"),"",IFERROR(INDEX(Pubs!$G$2:$G$3001,MATCH(G4749,Pubs!$A$2:$A$3001,0))&amp;"",""))</f>
        <v/>
      </c>
      <c r="K4749" s="28" t="str">
        <f aca="false">IF(OR(G4749="",G4749="?"),"",IFERROR(INDEX(Pubs!$E$2:$E$3001,MATCH(G4749,Pubs!$A$2:$A$3001,0)),""))</f>
        <v/>
      </c>
      <c r="L4749" s="29" t="str">
        <f aca="false">IF(A4749="","",IFERROR(1/(1/INDEX(Numéros!$C$2:$C$3001,MATCH(A4749&amp;"|"&amp;B4749,Numéros!$F$2:$F$3001,0))),""))</f>
        <v/>
      </c>
      <c r="M4749" s="27" t="str">
        <f aca="false">IF(OR(G4749="",G4749="?"),"",IFERROR(INDEX(Pubs!$D$2:$D$3001,MATCH(G4749,Pubs!$A$2:$A$3001,0))&amp;"",""))</f>
        <v/>
      </c>
      <c r="N4749" s="27" t="n">
        <f aca="false">N(N4748)+IF(AND(A4749&lt;&gt;"",OR(Recherche!$C$4="",A4749=Recherche!$C$4),OR(Recherche!$C$5="",B4749&amp;""=Recherche!$C$5&amp;""),OR(Recherche!$C$6="",IFERROR(YEAR(L4749),0)=Recherche!$C$6),OR(Recherche!$C$7="",ISNUMBER(SEARCH(Recherche!$C$7,H4749))),OR(Recherche!$C$8="",J4749=Recherche!$C$8),OR(Recherche!$C$9="",I4749=Recherche!$C$9),OR(Recherche!$C$10="",G4749&amp;""=Recherche!$C$10&amp;""),OR(Recherche!$C$11="",E4749=Recherche!$C$11),OR(Recherche!$C$12="",ISNUMBER(SEARCH(Recherche!$C$12,M4749&amp;" "&amp;F4749)))),1,0)</f>
        <v>8</v>
      </c>
    </row>
    <row r="4750" customFormat="false" ht="15" hidden="false" customHeight="false" outlineLevel="0" collapsed="false">
      <c r="A4750" s="19"/>
      <c r="B4750" s="19"/>
      <c r="C4750" s="19"/>
      <c r="D4750" s="19"/>
      <c r="E4750" s="22"/>
      <c r="F4750" s="19"/>
      <c r="G4750" s="26" t="str">
        <f aca="false">IF(D4750="","",IFERROR(VALUE(LEFT(D4750,FIND(" |",D4750&amp;" |")-1)),"?"))</f>
        <v/>
      </c>
      <c r="H4750" s="27" t="str">
        <f aca="false">IF(G4750="","",IF(G4750="?","⚠ pub inconnue",IFERROR(INDEX(Pubs!$B$2:$B$3001,MATCH(G4750,Pubs!$A$2:$A$3001,0))&amp;"","⚠ pub inconnue")))</f>
        <v/>
      </c>
      <c r="I4750" s="27" t="str">
        <f aca="false">IF(OR(G4750="",G4750="?"),"",IFERROR(INDEX(Pubs!$C$2:$C$3001,MATCH(G4750,Pubs!$A$2:$A$3001,0))&amp;"",""))</f>
        <v/>
      </c>
      <c r="J4750" s="27" t="str">
        <f aca="false">IF(OR(G4750="",G4750="?"),"",IFERROR(INDEX(Pubs!$G$2:$G$3001,MATCH(G4750,Pubs!$A$2:$A$3001,0))&amp;"",""))</f>
        <v/>
      </c>
      <c r="K4750" s="28" t="str">
        <f aca="false">IF(OR(G4750="",G4750="?"),"",IFERROR(INDEX(Pubs!$E$2:$E$3001,MATCH(G4750,Pubs!$A$2:$A$3001,0)),""))</f>
        <v/>
      </c>
      <c r="L4750" s="29" t="str">
        <f aca="false">IF(A4750="","",IFERROR(1/(1/INDEX(Numéros!$C$2:$C$3001,MATCH(A4750&amp;"|"&amp;B4750,Numéros!$F$2:$F$3001,0))),""))</f>
        <v/>
      </c>
      <c r="M4750" s="27" t="str">
        <f aca="false">IF(OR(G4750="",G4750="?"),"",IFERROR(INDEX(Pubs!$D$2:$D$3001,MATCH(G4750,Pubs!$A$2:$A$3001,0))&amp;"",""))</f>
        <v/>
      </c>
      <c r="N4750" s="27" t="n">
        <f aca="false">N(N4749)+IF(AND(A4750&lt;&gt;"",OR(Recherche!$C$4="",A4750=Recherche!$C$4),OR(Recherche!$C$5="",B4750&amp;""=Recherche!$C$5&amp;""),OR(Recherche!$C$6="",IFERROR(YEAR(L4750),0)=Recherche!$C$6),OR(Recherche!$C$7="",ISNUMBER(SEARCH(Recherche!$C$7,H4750))),OR(Recherche!$C$8="",J4750=Recherche!$C$8),OR(Recherche!$C$9="",I4750=Recherche!$C$9),OR(Recherche!$C$10="",G4750&amp;""=Recherche!$C$10&amp;""),OR(Recherche!$C$11="",E4750=Recherche!$C$11),OR(Recherche!$C$12="",ISNUMBER(SEARCH(Recherche!$C$12,M4750&amp;" "&amp;F4750)))),1,0)</f>
        <v>8</v>
      </c>
    </row>
    <row r="4751" customFormat="false" ht="15" hidden="false" customHeight="false" outlineLevel="0" collapsed="false">
      <c r="A4751" s="19"/>
      <c r="B4751" s="19"/>
      <c r="C4751" s="19"/>
      <c r="D4751" s="19"/>
      <c r="E4751" s="22"/>
      <c r="F4751" s="19"/>
      <c r="G4751" s="26" t="str">
        <f aca="false">IF(D4751="","",IFERROR(VALUE(LEFT(D4751,FIND(" |",D4751&amp;" |")-1)),"?"))</f>
        <v/>
      </c>
      <c r="H4751" s="27" t="str">
        <f aca="false">IF(G4751="","",IF(G4751="?","⚠ pub inconnue",IFERROR(INDEX(Pubs!$B$2:$B$3001,MATCH(G4751,Pubs!$A$2:$A$3001,0))&amp;"","⚠ pub inconnue")))</f>
        <v/>
      </c>
      <c r="I4751" s="27" t="str">
        <f aca="false">IF(OR(G4751="",G4751="?"),"",IFERROR(INDEX(Pubs!$C$2:$C$3001,MATCH(G4751,Pubs!$A$2:$A$3001,0))&amp;"",""))</f>
        <v/>
      </c>
      <c r="J4751" s="27" t="str">
        <f aca="false">IF(OR(G4751="",G4751="?"),"",IFERROR(INDEX(Pubs!$G$2:$G$3001,MATCH(G4751,Pubs!$A$2:$A$3001,0))&amp;"",""))</f>
        <v/>
      </c>
      <c r="K4751" s="28" t="str">
        <f aca="false">IF(OR(G4751="",G4751="?"),"",IFERROR(INDEX(Pubs!$E$2:$E$3001,MATCH(G4751,Pubs!$A$2:$A$3001,0)),""))</f>
        <v/>
      </c>
      <c r="L4751" s="29" t="str">
        <f aca="false">IF(A4751="","",IFERROR(1/(1/INDEX(Numéros!$C$2:$C$3001,MATCH(A4751&amp;"|"&amp;B4751,Numéros!$F$2:$F$3001,0))),""))</f>
        <v/>
      </c>
      <c r="M4751" s="27" t="str">
        <f aca="false">IF(OR(G4751="",G4751="?"),"",IFERROR(INDEX(Pubs!$D$2:$D$3001,MATCH(G4751,Pubs!$A$2:$A$3001,0))&amp;"",""))</f>
        <v/>
      </c>
      <c r="N4751" s="27" t="n">
        <f aca="false">N(N4750)+IF(AND(A4751&lt;&gt;"",OR(Recherche!$C$4="",A4751=Recherche!$C$4),OR(Recherche!$C$5="",B4751&amp;""=Recherche!$C$5&amp;""),OR(Recherche!$C$6="",IFERROR(YEAR(L4751),0)=Recherche!$C$6),OR(Recherche!$C$7="",ISNUMBER(SEARCH(Recherche!$C$7,H4751))),OR(Recherche!$C$8="",J4751=Recherche!$C$8),OR(Recherche!$C$9="",I4751=Recherche!$C$9),OR(Recherche!$C$10="",G4751&amp;""=Recherche!$C$10&amp;""),OR(Recherche!$C$11="",E4751=Recherche!$C$11),OR(Recherche!$C$12="",ISNUMBER(SEARCH(Recherche!$C$12,M4751&amp;" "&amp;F4751)))),1,0)</f>
        <v>8</v>
      </c>
    </row>
    <row r="4752" customFormat="false" ht="15" hidden="false" customHeight="false" outlineLevel="0" collapsed="false">
      <c r="A4752" s="19"/>
      <c r="B4752" s="19"/>
      <c r="C4752" s="19"/>
      <c r="D4752" s="19"/>
      <c r="E4752" s="22"/>
      <c r="F4752" s="19"/>
      <c r="G4752" s="26" t="str">
        <f aca="false">IF(D4752="","",IFERROR(VALUE(LEFT(D4752,FIND(" |",D4752&amp;" |")-1)),"?"))</f>
        <v/>
      </c>
      <c r="H4752" s="27" t="str">
        <f aca="false">IF(G4752="","",IF(G4752="?","⚠ pub inconnue",IFERROR(INDEX(Pubs!$B$2:$B$3001,MATCH(G4752,Pubs!$A$2:$A$3001,0))&amp;"","⚠ pub inconnue")))</f>
        <v/>
      </c>
      <c r="I4752" s="27" t="str">
        <f aca="false">IF(OR(G4752="",G4752="?"),"",IFERROR(INDEX(Pubs!$C$2:$C$3001,MATCH(G4752,Pubs!$A$2:$A$3001,0))&amp;"",""))</f>
        <v/>
      </c>
      <c r="J4752" s="27" t="str">
        <f aca="false">IF(OR(G4752="",G4752="?"),"",IFERROR(INDEX(Pubs!$G$2:$G$3001,MATCH(G4752,Pubs!$A$2:$A$3001,0))&amp;"",""))</f>
        <v/>
      </c>
      <c r="K4752" s="28" t="str">
        <f aca="false">IF(OR(G4752="",G4752="?"),"",IFERROR(INDEX(Pubs!$E$2:$E$3001,MATCH(G4752,Pubs!$A$2:$A$3001,0)),""))</f>
        <v/>
      </c>
      <c r="L4752" s="29" t="str">
        <f aca="false">IF(A4752="","",IFERROR(1/(1/INDEX(Numéros!$C$2:$C$3001,MATCH(A4752&amp;"|"&amp;B4752,Numéros!$F$2:$F$3001,0))),""))</f>
        <v/>
      </c>
      <c r="M4752" s="27" t="str">
        <f aca="false">IF(OR(G4752="",G4752="?"),"",IFERROR(INDEX(Pubs!$D$2:$D$3001,MATCH(G4752,Pubs!$A$2:$A$3001,0))&amp;"",""))</f>
        <v/>
      </c>
      <c r="N4752" s="27" t="n">
        <f aca="false">N(N4751)+IF(AND(A4752&lt;&gt;"",OR(Recherche!$C$4="",A4752=Recherche!$C$4),OR(Recherche!$C$5="",B4752&amp;""=Recherche!$C$5&amp;""),OR(Recherche!$C$6="",IFERROR(YEAR(L4752),0)=Recherche!$C$6),OR(Recherche!$C$7="",ISNUMBER(SEARCH(Recherche!$C$7,H4752))),OR(Recherche!$C$8="",J4752=Recherche!$C$8),OR(Recherche!$C$9="",I4752=Recherche!$C$9),OR(Recherche!$C$10="",G4752&amp;""=Recherche!$C$10&amp;""),OR(Recherche!$C$11="",E4752=Recherche!$C$11),OR(Recherche!$C$12="",ISNUMBER(SEARCH(Recherche!$C$12,M4752&amp;" "&amp;F4752)))),1,0)</f>
        <v>8</v>
      </c>
    </row>
    <row r="4753" customFormat="false" ht="15" hidden="false" customHeight="false" outlineLevel="0" collapsed="false">
      <c r="A4753" s="19"/>
      <c r="B4753" s="19"/>
      <c r="C4753" s="19"/>
      <c r="D4753" s="19"/>
      <c r="E4753" s="22"/>
      <c r="F4753" s="19"/>
      <c r="G4753" s="26" t="str">
        <f aca="false">IF(D4753="","",IFERROR(VALUE(LEFT(D4753,FIND(" |",D4753&amp;" |")-1)),"?"))</f>
        <v/>
      </c>
      <c r="H4753" s="27" t="str">
        <f aca="false">IF(G4753="","",IF(G4753="?","⚠ pub inconnue",IFERROR(INDEX(Pubs!$B$2:$B$3001,MATCH(G4753,Pubs!$A$2:$A$3001,0))&amp;"","⚠ pub inconnue")))</f>
        <v/>
      </c>
      <c r="I4753" s="27" t="str">
        <f aca="false">IF(OR(G4753="",G4753="?"),"",IFERROR(INDEX(Pubs!$C$2:$C$3001,MATCH(G4753,Pubs!$A$2:$A$3001,0))&amp;"",""))</f>
        <v/>
      </c>
      <c r="J4753" s="27" t="str">
        <f aca="false">IF(OR(G4753="",G4753="?"),"",IFERROR(INDEX(Pubs!$G$2:$G$3001,MATCH(G4753,Pubs!$A$2:$A$3001,0))&amp;"",""))</f>
        <v/>
      </c>
      <c r="K4753" s="28" t="str">
        <f aca="false">IF(OR(G4753="",G4753="?"),"",IFERROR(INDEX(Pubs!$E$2:$E$3001,MATCH(G4753,Pubs!$A$2:$A$3001,0)),""))</f>
        <v/>
      </c>
      <c r="L4753" s="29" t="str">
        <f aca="false">IF(A4753="","",IFERROR(1/(1/INDEX(Numéros!$C$2:$C$3001,MATCH(A4753&amp;"|"&amp;B4753,Numéros!$F$2:$F$3001,0))),""))</f>
        <v/>
      </c>
      <c r="M4753" s="27" t="str">
        <f aca="false">IF(OR(G4753="",G4753="?"),"",IFERROR(INDEX(Pubs!$D$2:$D$3001,MATCH(G4753,Pubs!$A$2:$A$3001,0))&amp;"",""))</f>
        <v/>
      </c>
      <c r="N4753" s="27" t="n">
        <f aca="false">N(N4752)+IF(AND(A4753&lt;&gt;"",OR(Recherche!$C$4="",A4753=Recherche!$C$4),OR(Recherche!$C$5="",B4753&amp;""=Recherche!$C$5&amp;""),OR(Recherche!$C$6="",IFERROR(YEAR(L4753),0)=Recherche!$C$6),OR(Recherche!$C$7="",ISNUMBER(SEARCH(Recherche!$C$7,H4753))),OR(Recherche!$C$8="",J4753=Recherche!$C$8),OR(Recherche!$C$9="",I4753=Recherche!$C$9),OR(Recherche!$C$10="",G4753&amp;""=Recherche!$C$10&amp;""),OR(Recherche!$C$11="",E4753=Recherche!$C$11),OR(Recherche!$C$12="",ISNUMBER(SEARCH(Recherche!$C$12,M4753&amp;" "&amp;F4753)))),1,0)</f>
        <v>8</v>
      </c>
    </row>
    <row r="4754" customFormat="false" ht="15" hidden="false" customHeight="false" outlineLevel="0" collapsed="false">
      <c r="A4754" s="19"/>
      <c r="B4754" s="19"/>
      <c r="C4754" s="19"/>
      <c r="D4754" s="19"/>
      <c r="E4754" s="22"/>
      <c r="F4754" s="19"/>
      <c r="G4754" s="26" t="str">
        <f aca="false">IF(D4754="","",IFERROR(VALUE(LEFT(D4754,FIND(" |",D4754&amp;" |")-1)),"?"))</f>
        <v/>
      </c>
      <c r="H4754" s="27" t="str">
        <f aca="false">IF(G4754="","",IF(G4754="?","⚠ pub inconnue",IFERROR(INDEX(Pubs!$B$2:$B$3001,MATCH(G4754,Pubs!$A$2:$A$3001,0))&amp;"","⚠ pub inconnue")))</f>
        <v/>
      </c>
      <c r="I4754" s="27" t="str">
        <f aca="false">IF(OR(G4754="",G4754="?"),"",IFERROR(INDEX(Pubs!$C$2:$C$3001,MATCH(G4754,Pubs!$A$2:$A$3001,0))&amp;"",""))</f>
        <v/>
      </c>
      <c r="J4754" s="27" t="str">
        <f aca="false">IF(OR(G4754="",G4754="?"),"",IFERROR(INDEX(Pubs!$G$2:$G$3001,MATCH(G4754,Pubs!$A$2:$A$3001,0))&amp;"",""))</f>
        <v/>
      </c>
      <c r="K4754" s="28" t="str">
        <f aca="false">IF(OR(G4754="",G4754="?"),"",IFERROR(INDEX(Pubs!$E$2:$E$3001,MATCH(G4754,Pubs!$A$2:$A$3001,0)),""))</f>
        <v/>
      </c>
      <c r="L4754" s="29" t="str">
        <f aca="false">IF(A4754="","",IFERROR(1/(1/INDEX(Numéros!$C$2:$C$3001,MATCH(A4754&amp;"|"&amp;B4754,Numéros!$F$2:$F$3001,0))),""))</f>
        <v/>
      </c>
      <c r="M4754" s="27" t="str">
        <f aca="false">IF(OR(G4754="",G4754="?"),"",IFERROR(INDEX(Pubs!$D$2:$D$3001,MATCH(G4754,Pubs!$A$2:$A$3001,0))&amp;"",""))</f>
        <v/>
      </c>
      <c r="N4754" s="27" t="n">
        <f aca="false">N(N4753)+IF(AND(A4754&lt;&gt;"",OR(Recherche!$C$4="",A4754=Recherche!$C$4),OR(Recherche!$C$5="",B4754&amp;""=Recherche!$C$5&amp;""),OR(Recherche!$C$6="",IFERROR(YEAR(L4754),0)=Recherche!$C$6),OR(Recherche!$C$7="",ISNUMBER(SEARCH(Recherche!$C$7,H4754))),OR(Recherche!$C$8="",J4754=Recherche!$C$8),OR(Recherche!$C$9="",I4754=Recherche!$C$9),OR(Recherche!$C$10="",G4754&amp;""=Recherche!$C$10&amp;""),OR(Recherche!$C$11="",E4754=Recherche!$C$11),OR(Recherche!$C$12="",ISNUMBER(SEARCH(Recherche!$C$12,M4754&amp;" "&amp;F4754)))),1,0)</f>
        <v>8</v>
      </c>
    </row>
    <row r="4755" customFormat="false" ht="15" hidden="false" customHeight="false" outlineLevel="0" collapsed="false">
      <c r="A4755" s="19"/>
      <c r="B4755" s="19"/>
      <c r="C4755" s="19"/>
      <c r="D4755" s="19"/>
      <c r="E4755" s="22"/>
      <c r="F4755" s="19"/>
      <c r="G4755" s="26" t="str">
        <f aca="false">IF(D4755="","",IFERROR(VALUE(LEFT(D4755,FIND(" |",D4755&amp;" |")-1)),"?"))</f>
        <v/>
      </c>
      <c r="H4755" s="27" t="str">
        <f aca="false">IF(G4755="","",IF(G4755="?","⚠ pub inconnue",IFERROR(INDEX(Pubs!$B$2:$B$3001,MATCH(G4755,Pubs!$A$2:$A$3001,0))&amp;"","⚠ pub inconnue")))</f>
        <v/>
      </c>
      <c r="I4755" s="27" t="str">
        <f aca="false">IF(OR(G4755="",G4755="?"),"",IFERROR(INDEX(Pubs!$C$2:$C$3001,MATCH(G4755,Pubs!$A$2:$A$3001,0))&amp;"",""))</f>
        <v/>
      </c>
      <c r="J4755" s="27" t="str">
        <f aca="false">IF(OR(G4755="",G4755="?"),"",IFERROR(INDEX(Pubs!$G$2:$G$3001,MATCH(G4755,Pubs!$A$2:$A$3001,0))&amp;"",""))</f>
        <v/>
      </c>
      <c r="K4755" s="28" t="str">
        <f aca="false">IF(OR(G4755="",G4755="?"),"",IFERROR(INDEX(Pubs!$E$2:$E$3001,MATCH(G4755,Pubs!$A$2:$A$3001,0)),""))</f>
        <v/>
      </c>
      <c r="L4755" s="29" t="str">
        <f aca="false">IF(A4755="","",IFERROR(1/(1/INDEX(Numéros!$C$2:$C$3001,MATCH(A4755&amp;"|"&amp;B4755,Numéros!$F$2:$F$3001,0))),""))</f>
        <v/>
      </c>
      <c r="M4755" s="27" t="str">
        <f aca="false">IF(OR(G4755="",G4755="?"),"",IFERROR(INDEX(Pubs!$D$2:$D$3001,MATCH(G4755,Pubs!$A$2:$A$3001,0))&amp;"",""))</f>
        <v/>
      </c>
      <c r="N4755" s="27" t="n">
        <f aca="false">N(N4754)+IF(AND(A4755&lt;&gt;"",OR(Recherche!$C$4="",A4755=Recherche!$C$4),OR(Recherche!$C$5="",B4755&amp;""=Recherche!$C$5&amp;""),OR(Recherche!$C$6="",IFERROR(YEAR(L4755),0)=Recherche!$C$6),OR(Recherche!$C$7="",ISNUMBER(SEARCH(Recherche!$C$7,H4755))),OR(Recherche!$C$8="",J4755=Recherche!$C$8),OR(Recherche!$C$9="",I4755=Recherche!$C$9),OR(Recherche!$C$10="",G4755&amp;""=Recherche!$C$10&amp;""),OR(Recherche!$C$11="",E4755=Recherche!$C$11),OR(Recherche!$C$12="",ISNUMBER(SEARCH(Recherche!$C$12,M4755&amp;" "&amp;F4755)))),1,0)</f>
        <v>8</v>
      </c>
    </row>
    <row r="4756" customFormat="false" ht="15" hidden="false" customHeight="false" outlineLevel="0" collapsed="false">
      <c r="A4756" s="19"/>
      <c r="B4756" s="19"/>
      <c r="C4756" s="19"/>
      <c r="D4756" s="19"/>
      <c r="E4756" s="22"/>
      <c r="F4756" s="19"/>
      <c r="G4756" s="26" t="str">
        <f aca="false">IF(D4756="","",IFERROR(VALUE(LEFT(D4756,FIND(" |",D4756&amp;" |")-1)),"?"))</f>
        <v/>
      </c>
      <c r="H4756" s="27" t="str">
        <f aca="false">IF(G4756="","",IF(G4756="?","⚠ pub inconnue",IFERROR(INDEX(Pubs!$B$2:$B$3001,MATCH(G4756,Pubs!$A$2:$A$3001,0))&amp;"","⚠ pub inconnue")))</f>
        <v/>
      </c>
      <c r="I4756" s="27" t="str">
        <f aca="false">IF(OR(G4756="",G4756="?"),"",IFERROR(INDEX(Pubs!$C$2:$C$3001,MATCH(G4756,Pubs!$A$2:$A$3001,0))&amp;"",""))</f>
        <v/>
      </c>
      <c r="J4756" s="27" t="str">
        <f aca="false">IF(OR(G4756="",G4756="?"),"",IFERROR(INDEX(Pubs!$G$2:$G$3001,MATCH(G4756,Pubs!$A$2:$A$3001,0))&amp;"",""))</f>
        <v/>
      </c>
      <c r="K4756" s="28" t="str">
        <f aca="false">IF(OR(G4756="",G4756="?"),"",IFERROR(INDEX(Pubs!$E$2:$E$3001,MATCH(G4756,Pubs!$A$2:$A$3001,0)),""))</f>
        <v/>
      </c>
      <c r="L4756" s="29" t="str">
        <f aca="false">IF(A4756="","",IFERROR(1/(1/INDEX(Numéros!$C$2:$C$3001,MATCH(A4756&amp;"|"&amp;B4756,Numéros!$F$2:$F$3001,0))),""))</f>
        <v/>
      </c>
      <c r="M4756" s="27" t="str">
        <f aca="false">IF(OR(G4756="",G4756="?"),"",IFERROR(INDEX(Pubs!$D$2:$D$3001,MATCH(G4756,Pubs!$A$2:$A$3001,0))&amp;"",""))</f>
        <v/>
      </c>
      <c r="N4756" s="27" t="n">
        <f aca="false">N(N4755)+IF(AND(A4756&lt;&gt;"",OR(Recherche!$C$4="",A4756=Recherche!$C$4),OR(Recherche!$C$5="",B4756&amp;""=Recherche!$C$5&amp;""),OR(Recherche!$C$6="",IFERROR(YEAR(L4756),0)=Recherche!$C$6),OR(Recherche!$C$7="",ISNUMBER(SEARCH(Recherche!$C$7,H4756))),OR(Recherche!$C$8="",J4756=Recherche!$C$8),OR(Recherche!$C$9="",I4756=Recherche!$C$9),OR(Recherche!$C$10="",G4756&amp;""=Recherche!$C$10&amp;""),OR(Recherche!$C$11="",E4756=Recherche!$C$11),OR(Recherche!$C$12="",ISNUMBER(SEARCH(Recherche!$C$12,M4756&amp;" "&amp;F4756)))),1,0)</f>
        <v>8</v>
      </c>
    </row>
    <row r="4757" customFormat="false" ht="15" hidden="false" customHeight="false" outlineLevel="0" collapsed="false">
      <c r="A4757" s="19"/>
      <c r="B4757" s="19"/>
      <c r="C4757" s="19"/>
      <c r="D4757" s="19"/>
      <c r="E4757" s="22"/>
      <c r="F4757" s="19"/>
      <c r="G4757" s="26" t="str">
        <f aca="false">IF(D4757="","",IFERROR(VALUE(LEFT(D4757,FIND(" |",D4757&amp;" |")-1)),"?"))</f>
        <v/>
      </c>
      <c r="H4757" s="27" t="str">
        <f aca="false">IF(G4757="","",IF(G4757="?","⚠ pub inconnue",IFERROR(INDEX(Pubs!$B$2:$B$3001,MATCH(G4757,Pubs!$A$2:$A$3001,0))&amp;"","⚠ pub inconnue")))</f>
        <v/>
      </c>
      <c r="I4757" s="27" t="str">
        <f aca="false">IF(OR(G4757="",G4757="?"),"",IFERROR(INDEX(Pubs!$C$2:$C$3001,MATCH(G4757,Pubs!$A$2:$A$3001,0))&amp;"",""))</f>
        <v/>
      </c>
      <c r="J4757" s="27" t="str">
        <f aca="false">IF(OR(G4757="",G4757="?"),"",IFERROR(INDEX(Pubs!$G$2:$G$3001,MATCH(G4757,Pubs!$A$2:$A$3001,0))&amp;"",""))</f>
        <v/>
      </c>
      <c r="K4757" s="28" t="str">
        <f aca="false">IF(OR(G4757="",G4757="?"),"",IFERROR(INDEX(Pubs!$E$2:$E$3001,MATCH(G4757,Pubs!$A$2:$A$3001,0)),""))</f>
        <v/>
      </c>
      <c r="L4757" s="29" t="str">
        <f aca="false">IF(A4757="","",IFERROR(1/(1/INDEX(Numéros!$C$2:$C$3001,MATCH(A4757&amp;"|"&amp;B4757,Numéros!$F$2:$F$3001,0))),""))</f>
        <v/>
      </c>
      <c r="M4757" s="27" t="str">
        <f aca="false">IF(OR(G4757="",G4757="?"),"",IFERROR(INDEX(Pubs!$D$2:$D$3001,MATCH(G4757,Pubs!$A$2:$A$3001,0))&amp;"",""))</f>
        <v/>
      </c>
      <c r="N4757" s="27" t="n">
        <f aca="false">N(N4756)+IF(AND(A4757&lt;&gt;"",OR(Recherche!$C$4="",A4757=Recherche!$C$4),OR(Recherche!$C$5="",B4757&amp;""=Recherche!$C$5&amp;""),OR(Recherche!$C$6="",IFERROR(YEAR(L4757),0)=Recherche!$C$6),OR(Recherche!$C$7="",ISNUMBER(SEARCH(Recherche!$C$7,H4757))),OR(Recherche!$C$8="",J4757=Recherche!$C$8),OR(Recherche!$C$9="",I4757=Recherche!$C$9),OR(Recherche!$C$10="",G4757&amp;""=Recherche!$C$10&amp;""),OR(Recherche!$C$11="",E4757=Recherche!$C$11),OR(Recherche!$C$12="",ISNUMBER(SEARCH(Recherche!$C$12,M4757&amp;" "&amp;F4757)))),1,0)</f>
        <v>8</v>
      </c>
    </row>
    <row r="4758" customFormat="false" ht="15" hidden="false" customHeight="false" outlineLevel="0" collapsed="false">
      <c r="A4758" s="19"/>
      <c r="B4758" s="19"/>
      <c r="C4758" s="19"/>
      <c r="D4758" s="19"/>
      <c r="E4758" s="22"/>
      <c r="F4758" s="19"/>
      <c r="G4758" s="26" t="str">
        <f aca="false">IF(D4758="","",IFERROR(VALUE(LEFT(D4758,FIND(" |",D4758&amp;" |")-1)),"?"))</f>
        <v/>
      </c>
      <c r="H4758" s="27" t="str">
        <f aca="false">IF(G4758="","",IF(G4758="?","⚠ pub inconnue",IFERROR(INDEX(Pubs!$B$2:$B$3001,MATCH(G4758,Pubs!$A$2:$A$3001,0))&amp;"","⚠ pub inconnue")))</f>
        <v/>
      </c>
      <c r="I4758" s="27" t="str">
        <f aca="false">IF(OR(G4758="",G4758="?"),"",IFERROR(INDEX(Pubs!$C$2:$C$3001,MATCH(G4758,Pubs!$A$2:$A$3001,0))&amp;"",""))</f>
        <v/>
      </c>
      <c r="J4758" s="27" t="str">
        <f aca="false">IF(OR(G4758="",G4758="?"),"",IFERROR(INDEX(Pubs!$G$2:$G$3001,MATCH(G4758,Pubs!$A$2:$A$3001,0))&amp;"",""))</f>
        <v/>
      </c>
      <c r="K4758" s="28" t="str">
        <f aca="false">IF(OR(G4758="",G4758="?"),"",IFERROR(INDEX(Pubs!$E$2:$E$3001,MATCH(G4758,Pubs!$A$2:$A$3001,0)),""))</f>
        <v/>
      </c>
      <c r="L4758" s="29" t="str">
        <f aca="false">IF(A4758="","",IFERROR(1/(1/INDEX(Numéros!$C$2:$C$3001,MATCH(A4758&amp;"|"&amp;B4758,Numéros!$F$2:$F$3001,0))),""))</f>
        <v/>
      </c>
      <c r="M4758" s="27" t="str">
        <f aca="false">IF(OR(G4758="",G4758="?"),"",IFERROR(INDEX(Pubs!$D$2:$D$3001,MATCH(G4758,Pubs!$A$2:$A$3001,0))&amp;"",""))</f>
        <v/>
      </c>
      <c r="N4758" s="27" t="n">
        <f aca="false">N(N4757)+IF(AND(A4758&lt;&gt;"",OR(Recherche!$C$4="",A4758=Recherche!$C$4),OR(Recherche!$C$5="",B4758&amp;""=Recherche!$C$5&amp;""),OR(Recherche!$C$6="",IFERROR(YEAR(L4758),0)=Recherche!$C$6),OR(Recherche!$C$7="",ISNUMBER(SEARCH(Recherche!$C$7,H4758))),OR(Recherche!$C$8="",J4758=Recherche!$C$8),OR(Recherche!$C$9="",I4758=Recherche!$C$9),OR(Recherche!$C$10="",G4758&amp;""=Recherche!$C$10&amp;""),OR(Recherche!$C$11="",E4758=Recherche!$C$11),OR(Recherche!$C$12="",ISNUMBER(SEARCH(Recherche!$C$12,M4758&amp;" "&amp;F4758)))),1,0)</f>
        <v>8</v>
      </c>
    </row>
    <row r="4759" customFormat="false" ht="15" hidden="false" customHeight="false" outlineLevel="0" collapsed="false">
      <c r="A4759" s="19"/>
      <c r="B4759" s="19"/>
      <c r="C4759" s="19"/>
      <c r="D4759" s="19"/>
      <c r="E4759" s="22"/>
      <c r="F4759" s="19"/>
      <c r="G4759" s="26" t="str">
        <f aca="false">IF(D4759="","",IFERROR(VALUE(LEFT(D4759,FIND(" |",D4759&amp;" |")-1)),"?"))</f>
        <v/>
      </c>
      <c r="H4759" s="27" t="str">
        <f aca="false">IF(G4759="","",IF(G4759="?","⚠ pub inconnue",IFERROR(INDEX(Pubs!$B$2:$B$3001,MATCH(G4759,Pubs!$A$2:$A$3001,0))&amp;"","⚠ pub inconnue")))</f>
        <v/>
      </c>
      <c r="I4759" s="27" t="str">
        <f aca="false">IF(OR(G4759="",G4759="?"),"",IFERROR(INDEX(Pubs!$C$2:$C$3001,MATCH(G4759,Pubs!$A$2:$A$3001,0))&amp;"",""))</f>
        <v/>
      </c>
      <c r="J4759" s="27" t="str">
        <f aca="false">IF(OR(G4759="",G4759="?"),"",IFERROR(INDEX(Pubs!$G$2:$G$3001,MATCH(G4759,Pubs!$A$2:$A$3001,0))&amp;"",""))</f>
        <v/>
      </c>
      <c r="K4759" s="28" t="str">
        <f aca="false">IF(OR(G4759="",G4759="?"),"",IFERROR(INDEX(Pubs!$E$2:$E$3001,MATCH(G4759,Pubs!$A$2:$A$3001,0)),""))</f>
        <v/>
      </c>
      <c r="L4759" s="29" t="str">
        <f aca="false">IF(A4759="","",IFERROR(1/(1/INDEX(Numéros!$C$2:$C$3001,MATCH(A4759&amp;"|"&amp;B4759,Numéros!$F$2:$F$3001,0))),""))</f>
        <v/>
      </c>
      <c r="M4759" s="27" t="str">
        <f aca="false">IF(OR(G4759="",G4759="?"),"",IFERROR(INDEX(Pubs!$D$2:$D$3001,MATCH(G4759,Pubs!$A$2:$A$3001,0))&amp;"",""))</f>
        <v/>
      </c>
      <c r="N4759" s="27" t="n">
        <f aca="false">N(N4758)+IF(AND(A4759&lt;&gt;"",OR(Recherche!$C$4="",A4759=Recherche!$C$4),OR(Recherche!$C$5="",B4759&amp;""=Recherche!$C$5&amp;""),OR(Recherche!$C$6="",IFERROR(YEAR(L4759),0)=Recherche!$C$6),OR(Recherche!$C$7="",ISNUMBER(SEARCH(Recherche!$C$7,H4759))),OR(Recherche!$C$8="",J4759=Recherche!$C$8),OR(Recherche!$C$9="",I4759=Recherche!$C$9),OR(Recherche!$C$10="",G4759&amp;""=Recherche!$C$10&amp;""),OR(Recherche!$C$11="",E4759=Recherche!$C$11),OR(Recherche!$C$12="",ISNUMBER(SEARCH(Recherche!$C$12,M4759&amp;" "&amp;F4759)))),1,0)</f>
        <v>8</v>
      </c>
    </row>
    <row r="4760" customFormat="false" ht="15" hidden="false" customHeight="false" outlineLevel="0" collapsed="false">
      <c r="A4760" s="19"/>
      <c r="B4760" s="19"/>
      <c r="C4760" s="19"/>
      <c r="D4760" s="19"/>
      <c r="E4760" s="22"/>
      <c r="F4760" s="19"/>
      <c r="G4760" s="26" t="str">
        <f aca="false">IF(D4760="","",IFERROR(VALUE(LEFT(D4760,FIND(" |",D4760&amp;" |")-1)),"?"))</f>
        <v/>
      </c>
      <c r="H4760" s="27" t="str">
        <f aca="false">IF(G4760="","",IF(G4760="?","⚠ pub inconnue",IFERROR(INDEX(Pubs!$B$2:$B$3001,MATCH(G4760,Pubs!$A$2:$A$3001,0))&amp;"","⚠ pub inconnue")))</f>
        <v/>
      </c>
      <c r="I4760" s="27" t="str">
        <f aca="false">IF(OR(G4760="",G4760="?"),"",IFERROR(INDEX(Pubs!$C$2:$C$3001,MATCH(G4760,Pubs!$A$2:$A$3001,0))&amp;"",""))</f>
        <v/>
      </c>
      <c r="J4760" s="27" t="str">
        <f aca="false">IF(OR(G4760="",G4760="?"),"",IFERROR(INDEX(Pubs!$G$2:$G$3001,MATCH(G4760,Pubs!$A$2:$A$3001,0))&amp;"",""))</f>
        <v/>
      </c>
      <c r="K4760" s="28" t="str">
        <f aca="false">IF(OR(G4760="",G4760="?"),"",IFERROR(INDEX(Pubs!$E$2:$E$3001,MATCH(G4760,Pubs!$A$2:$A$3001,0)),""))</f>
        <v/>
      </c>
      <c r="L4760" s="29" t="str">
        <f aca="false">IF(A4760="","",IFERROR(1/(1/INDEX(Numéros!$C$2:$C$3001,MATCH(A4760&amp;"|"&amp;B4760,Numéros!$F$2:$F$3001,0))),""))</f>
        <v/>
      </c>
      <c r="M4760" s="27" t="str">
        <f aca="false">IF(OR(G4760="",G4760="?"),"",IFERROR(INDEX(Pubs!$D$2:$D$3001,MATCH(G4760,Pubs!$A$2:$A$3001,0))&amp;"",""))</f>
        <v/>
      </c>
      <c r="N4760" s="27" t="n">
        <f aca="false">N(N4759)+IF(AND(A4760&lt;&gt;"",OR(Recherche!$C$4="",A4760=Recherche!$C$4),OR(Recherche!$C$5="",B4760&amp;""=Recherche!$C$5&amp;""),OR(Recherche!$C$6="",IFERROR(YEAR(L4760),0)=Recherche!$C$6),OR(Recherche!$C$7="",ISNUMBER(SEARCH(Recherche!$C$7,H4760))),OR(Recherche!$C$8="",J4760=Recherche!$C$8),OR(Recherche!$C$9="",I4760=Recherche!$C$9),OR(Recherche!$C$10="",G4760&amp;""=Recherche!$C$10&amp;""),OR(Recherche!$C$11="",E4760=Recherche!$C$11),OR(Recherche!$C$12="",ISNUMBER(SEARCH(Recherche!$C$12,M4760&amp;" "&amp;F4760)))),1,0)</f>
        <v>8</v>
      </c>
    </row>
    <row r="4761" customFormat="false" ht="15" hidden="false" customHeight="false" outlineLevel="0" collapsed="false">
      <c r="A4761" s="19"/>
      <c r="B4761" s="19"/>
      <c r="C4761" s="19"/>
      <c r="D4761" s="19"/>
      <c r="E4761" s="22"/>
      <c r="F4761" s="19"/>
      <c r="G4761" s="26" t="str">
        <f aca="false">IF(D4761="","",IFERROR(VALUE(LEFT(D4761,FIND(" |",D4761&amp;" |")-1)),"?"))</f>
        <v/>
      </c>
      <c r="H4761" s="27" t="str">
        <f aca="false">IF(G4761="","",IF(G4761="?","⚠ pub inconnue",IFERROR(INDEX(Pubs!$B$2:$B$3001,MATCH(G4761,Pubs!$A$2:$A$3001,0))&amp;"","⚠ pub inconnue")))</f>
        <v/>
      </c>
      <c r="I4761" s="27" t="str">
        <f aca="false">IF(OR(G4761="",G4761="?"),"",IFERROR(INDEX(Pubs!$C$2:$C$3001,MATCH(G4761,Pubs!$A$2:$A$3001,0))&amp;"",""))</f>
        <v/>
      </c>
      <c r="J4761" s="27" t="str">
        <f aca="false">IF(OR(G4761="",G4761="?"),"",IFERROR(INDEX(Pubs!$G$2:$G$3001,MATCH(G4761,Pubs!$A$2:$A$3001,0))&amp;"",""))</f>
        <v/>
      </c>
      <c r="K4761" s="28" t="str">
        <f aca="false">IF(OR(G4761="",G4761="?"),"",IFERROR(INDEX(Pubs!$E$2:$E$3001,MATCH(G4761,Pubs!$A$2:$A$3001,0)),""))</f>
        <v/>
      </c>
      <c r="L4761" s="29" t="str">
        <f aca="false">IF(A4761="","",IFERROR(1/(1/INDEX(Numéros!$C$2:$C$3001,MATCH(A4761&amp;"|"&amp;B4761,Numéros!$F$2:$F$3001,0))),""))</f>
        <v/>
      </c>
      <c r="M4761" s="27" t="str">
        <f aca="false">IF(OR(G4761="",G4761="?"),"",IFERROR(INDEX(Pubs!$D$2:$D$3001,MATCH(G4761,Pubs!$A$2:$A$3001,0))&amp;"",""))</f>
        <v/>
      </c>
      <c r="N4761" s="27" t="n">
        <f aca="false">N(N4760)+IF(AND(A4761&lt;&gt;"",OR(Recherche!$C$4="",A4761=Recherche!$C$4),OR(Recherche!$C$5="",B4761&amp;""=Recherche!$C$5&amp;""),OR(Recherche!$C$6="",IFERROR(YEAR(L4761),0)=Recherche!$C$6),OR(Recherche!$C$7="",ISNUMBER(SEARCH(Recherche!$C$7,H4761))),OR(Recherche!$C$8="",J4761=Recherche!$C$8),OR(Recherche!$C$9="",I4761=Recherche!$C$9),OR(Recherche!$C$10="",G4761&amp;""=Recherche!$C$10&amp;""),OR(Recherche!$C$11="",E4761=Recherche!$C$11),OR(Recherche!$C$12="",ISNUMBER(SEARCH(Recherche!$C$12,M4761&amp;" "&amp;F4761)))),1,0)</f>
        <v>8</v>
      </c>
    </row>
    <row r="4762" customFormat="false" ht="15" hidden="false" customHeight="false" outlineLevel="0" collapsed="false">
      <c r="A4762" s="19"/>
      <c r="B4762" s="19"/>
      <c r="C4762" s="19"/>
      <c r="D4762" s="19"/>
      <c r="E4762" s="22"/>
      <c r="F4762" s="19"/>
      <c r="G4762" s="26" t="str">
        <f aca="false">IF(D4762="","",IFERROR(VALUE(LEFT(D4762,FIND(" |",D4762&amp;" |")-1)),"?"))</f>
        <v/>
      </c>
      <c r="H4762" s="27" t="str">
        <f aca="false">IF(G4762="","",IF(G4762="?","⚠ pub inconnue",IFERROR(INDEX(Pubs!$B$2:$B$3001,MATCH(G4762,Pubs!$A$2:$A$3001,0))&amp;"","⚠ pub inconnue")))</f>
        <v/>
      </c>
      <c r="I4762" s="27" t="str">
        <f aca="false">IF(OR(G4762="",G4762="?"),"",IFERROR(INDEX(Pubs!$C$2:$C$3001,MATCH(G4762,Pubs!$A$2:$A$3001,0))&amp;"",""))</f>
        <v/>
      </c>
      <c r="J4762" s="27" t="str">
        <f aca="false">IF(OR(G4762="",G4762="?"),"",IFERROR(INDEX(Pubs!$G$2:$G$3001,MATCH(G4762,Pubs!$A$2:$A$3001,0))&amp;"",""))</f>
        <v/>
      </c>
      <c r="K4762" s="28" t="str">
        <f aca="false">IF(OR(G4762="",G4762="?"),"",IFERROR(INDEX(Pubs!$E$2:$E$3001,MATCH(G4762,Pubs!$A$2:$A$3001,0)),""))</f>
        <v/>
      </c>
      <c r="L4762" s="29" t="str">
        <f aca="false">IF(A4762="","",IFERROR(1/(1/INDEX(Numéros!$C$2:$C$3001,MATCH(A4762&amp;"|"&amp;B4762,Numéros!$F$2:$F$3001,0))),""))</f>
        <v/>
      </c>
      <c r="M4762" s="27" t="str">
        <f aca="false">IF(OR(G4762="",G4762="?"),"",IFERROR(INDEX(Pubs!$D$2:$D$3001,MATCH(G4762,Pubs!$A$2:$A$3001,0))&amp;"",""))</f>
        <v/>
      </c>
      <c r="N4762" s="27" t="n">
        <f aca="false">N(N4761)+IF(AND(A4762&lt;&gt;"",OR(Recherche!$C$4="",A4762=Recherche!$C$4),OR(Recherche!$C$5="",B4762&amp;""=Recherche!$C$5&amp;""),OR(Recherche!$C$6="",IFERROR(YEAR(L4762),0)=Recherche!$C$6),OR(Recherche!$C$7="",ISNUMBER(SEARCH(Recherche!$C$7,H4762))),OR(Recherche!$C$8="",J4762=Recherche!$C$8),OR(Recherche!$C$9="",I4762=Recherche!$C$9),OR(Recherche!$C$10="",G4762&amp;""=Recherche!$C$10&amp;""),OR(Recherche!$C$11="",E4762=Recherche!$C$11),OR(Recherche!$C$12="",ISNUMBER(SEARCH(Recherche!$C$12,M4762&amp;" "&amp;F4762)))),1,0)</f>
        <v>8</v>
      </c>
    </row>
    <row r="4763" customFormat="false" ht="15" hidden="false" customHeight="false" outlineLevel="0" collapsed="false">
      <c r="A4763" s="19"/>
      <c r="B4763" s="19"/>
      <c r="C4763" s="19"/>
      <c r="D4763" s="19"/>
      <c r="E4763" s="22"/>
      <c r="F4763" s="19"/>
      <c r="G4763" s="26" t="str">
        <f aca="false">IF(D4763="","",IFERROR(VALUE(LEFT(D4763,FIND(" |",D4763&amp;" |")-1)),"?"))</f>
        <v/>
      </c>
      <c r="H4763" s="27" t="str">
        <f aca="false">IF(G4763="","",IF(G4763="?","⚠ pub inconnue",IFERROR(INDEX(Pubs!$B$2:$B$3001,MATCH(G4763,Pubs!$A$2:$A$3001,0))&amp;"","⚠ pub inconnue")))</f>
        <v/>
      </c>
      <c r="I4763" s="27" t="str">
        <f aca="false">IF(OR(G4763="",G4763="?"),"",IFERROR(INDEX(Pubs!$C$2:$C$3001,MATCH(G4763,Pubs!$A$2:$A$3001,0))&amp;"",""))</f>
        <v/>
      </c>
      <c r="J4763" s="27" t="str">
        <f aca="false">IF(OR(G4763="",G4763="?"),"",IFERROR(INDEX(Pubs!$G$2:$G$3001,MATCH(G4763,Pubs!$A$2:$A$3001,0))&amp;"",""))</f>
        <v/>
      </c>
      <c r="K4763" s="28" t="str">
        <f aca="false">IF(OR(G4763="",G4763="?"),"",IFERROR(INDEX(Pubs!$E$2:$E$3001,MATCH(G4763,Pubs!$A$2:$A$3001,0)),""))</f>
        <v/>
      </c>
      <c r="L4763" s="29" t="str">
        <f aca="false">IF(A4763="","",IFERROR(1/(1/INDEX(Numéros!$C$2:$C$3001,MATCH(A4763&amp;"|"&amp;B4763,Numéros!$F$2:$F$3001,0))),""))</f>
        <v/>
      </c>
      <c r="M4763" s="27" t="str">
        <f aca="false">IF(OR(G4763="",G4763="?"),"",IFERROR(INDEX(Pubs!$D$2:$D$3001,MATCH(G4763,Pubs!$A$2:$A$3001,0))&amp;"",""))</f>
        <v/>
      </c>
      <c r="N4763" s="27" t="n">
        <f aca="false">N(N4762)+IF(AND(A4763&lt;&gt;"",OR(Recherche!$C$4="",A4763=Recherche!$C$4),OR(Recherche!$C$5="",B4763&amp;""=Recherche!$C$5&amp;""),OR(Recherche!$C$6="",IFERROR(YEAR(L4763),0)=Recherche!$C$6),OR(Recherche!$C$7="",ISNUMBER(SEARCH(Recherche!$C$7,H4763))),OR(Recherche!$C$8="",J4763=Recherche!$C$8),OR(Recherche!$C$9="",I4763=Recherche!$C$9),OR(Recherche!$C$10="",G4763&amp;""=Recherche!$C$10&amp;""),OR(Recherche!$C$11="",E4763=Recherche!$C$11),OR(Recherche!$C$12="",ISNUMBER(SEARCH(Recherche!$C$12,M4763&amp;" "&amp;F4763)))),1,0)</f>
        <v>8</v>
      </c>
    </row>
    <row r="4764" customFormat="false" ht="15" hidden="false" customHeight="false" outlineLevel="0" collapsed="false">
      <c r="A4764" s="19"/>
      <c r="B4764" s="19"/>
      <c r="C4764" s="19"/>
      <c r="D4764" s="19"/>
      <c r="E4764" s="22"/>
      <c r="F4764" s="19"/>
      <c r="G4764" s="26" t="str">
        <f aca="false">IF(D4764="","",IFERROR(VALUE(LEFT(D4764,FIND(" |",D4764&amp;" |")-1)),"?"))</f>
        <v/>
      </c>
      <c r="H4764" s="27" t="str">
        <f aca="false">IF(G4764="","",IF(G4764="?","⚠ pub inconnue",IFERROR(INDEX(Pubs!$B$2:$B$3001,MATCH(G4764,Pubs!$A$2:$A$3001,0))&amp;"","⚠ pub inconnue")))</f>
        <v/>
      </c>
      <c r="I4764" s="27" t="str">
        <f aca="false">IF(OR(G4764="",G4764="?"),"",IFERROR(INDEX(Pubs!$C$2:$C$3001,MATCH(G4764,Pubs!$A$2:$A$3001,0))&amp;"",""))</f>
        <v/>
      </c>
      <c r="J4764" s="27" t="str">
        <f aca="false">IF(OR(G4764="",G4764="?"),"",IFERROR(INDEX(Pubs!$G$2:$G$3001,MATCH(G4764,Pubs!$A$2:$A$3001,0))&amp;"",""))</f>
        <v/>
      </c>
      <c r="K4764" s="28" t="str">
        <f aca="false">IF(OR(G4764="",G4764="?"),"",IFERROR(INDEX(Pubs!$E$2:$E$3001,MATCH(G4764,Pubs!$A$2:$A$3001,0)),""))</f>
        <v/>
      </c>
      <c r="L4764" s="29" t="str">
        <f aca="false">IF(A4764="","",IFERROR(1/(1/INDEX(Numéros!$C$2:$C$3001,MATCH(A4764&amp;"|"&amp;B4764,Numéros!$F$2:$F$3001,0))),""))</f>
        <v/>
      </c>
      <c r="M4764" s="27" t="str">
        <f aca="false">IF(OR(G4764="",G4764="?"),"",IFERROR(INDEX(Pubs!$D$2:$D$3001,MATCH(G4764,Pubs!$A$2:$A$3001,0))&amp;"",""))</f>
        <v/>
      </c>
      <c r="N4764" s="27" t="n">
        <f aca="false">N(N4763)+IF(AND(A4764&lt;&gt;"",OR(Recherche!$C$4="",A4764=Recherche!$C$4),OR(Recherche!$C$5="",B4764&amp;""=Recherche!$C$5&amp;""),OR(Recherche!$C$6="",IFERROR(YEAR(L4764),0)=Recherche!$C$6),OR(Recherche!$C$7="",ISNUMBER(SEARCH(Recherche!$C$7,H4764))),OR(Recherche!$C$8="",J4764=Recherche!$C$8),OR(Recherche!$C$9="",I4764=Recherche!$C$9),OR(Recherche!$C$10="",G4764&amp;""=Recherche!$C$10&amp;""),OR(Recherche!$C$11="",E4764=Recherche!$C$11),OR(Recherche!$C$12="",ISNUMBER(SEARCH(Recherche!$C$12,M4764&amp;" "&amp;F4764)))),1,0)</f>
        <v>8</v>
      </c>
    </row>
    <row r="4765" customFormat="false" ht="15" hidden="false" customHeight="false" outlineLevel="0" collapsed="false">
      <c r="A4765" s="19"/>
      <c r="B4765" s="19"/>
      <c r="C4765" s="19"/>
      <c r="D4765" s="19"/>
      <c r="E4765" s="22"/>
      <c r="F4765" s="19"/>
      <c r="G4765" s="26" t="str">
        <f aca="false">IF(D4765="","",IFERROR(VALUE(LEFT(D4765,FIND(" |",D4765&amp;" |")-1)),"?"))</f>
        <v/>
      </c>
      <c r="H4765" s="27" t="str">
        <f aca="false">IF(G4765="","",IF(G4765="?","⚠ pub inconnue",IFERROR(INDEX(Pubs!$B$2:$B$3001,MATCH(G4765,Pubs!$A$2:$A$3001,0))&amp;"","⚠ pub inconnue")))</f>
        <v/>
      </c>
      <c r="I4765" s="27" t="str">
        <f aca="false">IF(OR(G4765="",G4765="?"),"",IFERROR(INDEX(Pubs!$C$2:$C$3001,MATCH(G4765,Pubs!$A$2:$A$3001,0))&amp;"",""))</f>
        <v/>
      </c>
      <c r="J4765" s="27" t="str">
        <f aca="false">IF(OR(G4765="",G4765="?"),"",IFERROR(INDEX(Pubs!$G$2:$G$3001,MATCH(G4765,Pubs!$A$2:$A$3001,0))&amp;"",""))</f>
        <v/>
      </c>
      <c r="K4765" s="28" t="str">
        <f aca="false">IF(OR(G4765="",G4765="?"),"",IFERROR(INDEX(Pubs!$E$2:$E$3001,MATCH(G4765,Pubs!$A$2:$A$3001,0)),""))</f>
        <v/>
      </c>
      <c r="L4765" s="29" t="str">
        <f aca="false">IF(A4765="","",IFERROR(1/(1/INDEX(Numéros!$C$2:$C$3001,MATCH(A4765&amp;"|"&amp;B4765,Numéros!$F$2:$F$3001,0))),""))</f>
        <v/>
      </c>
      <c r="M4765" s="27" t="str">
        <f aca="false">IF(OR(G4765="",G4765="?"),"",IFERROR(INDEX(Pubs!$D$2:$D$3001,MATCH(G4765,Pubs!$A$2:$A$3001,0))&amp;"",""))</f>
        <v/>
      </c>
      <c r="N4765" s="27" t="n">
        <f aca="false">N(N4764)+IF(AND(A4765&lt;&gt;"",OR(Recherche!$C$4="",A4765=Recherche!$C$4),OR(Recherche!$C$5="",B4765&amp;""=Recherche!$C$5&amp;""),OR(Recherche!$C$6="",IFERROR(YEAR(L4765),0)=Recherche!$C$6),OR(Recherche!$C$7="",ISNUMBER(SEARCH(Recherche!$C$7,H4765))),OR(Recherche!$C$8="",J4765=Recherche!$C$8),OR(Recherche!$C$9="",I4765=Recherche!$C$9),OR(Recherche!$C$10="",G4765&amp;""=Recherche!$C$10&amp;""),OR(Recherche!$C$11="",E4765=Recherche!$C$11),OR(Recherche!$C$12="",ISNUMBER(SEARCH(Recherche!$C$12,M4765&amp;" "&amp;F4765)))),1,0)</f>
        <v>8</v>
      </c>
    </row>
    <row r="4766" customFormat="false" ht="15" hidden="false" customHeight="false" outlineLevel="0" collapsed="false">
      <c r="A4766" s="19"/>
      <c r="B4766" s="19"/>
      <c r="C4766" s="19"/>
      <c r="D4766" s="19"/>
      <c r="E4766" s="22"/>
      <c r="F4766" s="19"/>
      <c r="G4766" s="26" t="str">
        <f aca="false">IF(D4766="","",IFERROR(VALUE(LEFT(D4766,FIND(" |",D4766&amp;" |")-1)),"?"))</f>
        <v/>
      </c>
      <c r="H4766" s="27" t="str">
        <f aca="false">IF(G4766="","",IF(G4766="?","⚠ pub inconnue",IFERROR(INDEX(Pubs!$B$2:$B$3001,MATCH(G4766,Pubs!$A$2:$A$3001,0))&amp;"","⚠ pub inconnue")))</f>
        <v/>
      </c>
      <c r="I4766" s="27" t="str">
        <f aca="false">IF(OR(G4766="",G4766="?"),"",IFERROR(INDEX(Pubs!$C$2:$C$3001,MATCH(G4766,Pubs!$A$2:$A$3001,0))&amp;"",""))</f>
        <v/>
      </c>
      <c r="J4766" s="27" t="str">
        <f aca="false">IF(OR(G4766="",G4766="?"),"",IFERROR(INDEX(Pubs!$G$2:$G$3001,MATCH(G4766,Pubs!$A$2:$A$3001,0))&amp;"",""))</f>
        <v/>
      </c>
      <c r="K4766" s="28" t="str">
        <f aca="false">IF(OR(G4766="",G4766="?"),"",IFERROR(INDEX(Pubs!$E$2:$E$3001,MATCH(G4766,Pubs!$A$2:$A$3001,0)),""))</f>
        <v/>
      </c>
      <c r="L4766" s="29" t="str">
        <f aca="false">IF(A4766="","",IFERROR(1/(1/INDEX(Numéros!$C$2:$C$3001,MATCH(A4766&amp;"|"&amp;B4766,Numéros!$F$2:$F$3001,0))),""))</f>
        <v/>
      </c>
      <c r="M4766" s="27" t="str">
        <f aca="false">IF(OR(G4766="",G4766="?"),"",IFERROR(INDEX(Pubs!$D$2:$D$3001,MATCH(G4766,Pubs!$A$2:$A$3001,0))&amp;"",""))</f>
        <v/>
      </c>
      <c r="N4766" s="27" t="n">
        <f aca="false">N(N4765)+IF(AND(A4766&lt;&gt;"",OR(Recherche!$C$4="",A4766=Recherche!$C$4),OR(Recherche!$C$5="",B4766&amp;""=Recherche!$C$5&amp;""),OR(Recherche!$C$6="",IFERROR(YEAR(L4766),0)=Recherche!$C$6),OR(Recherche!$C$7="",ISNUMBER(SEARCH(Recherche!$C$7,H4766))),OR(Recherche!$C$8="",J4766=Recherche!$C$8),OR(Recherche!$C$9="",I4766=Recherche!$C$9),OR(Recherche!$C$10="",G4766&amp;""=Recherche!$C$10&amp;""),OR(Recherche!$C$11="",E4766=Recherche!$C$11),OR(Recherche!$C$12="",ISNUMBER(SEARCH(Recherche!$C$12,M4766&amp;" "&amp;F4766)))),1,0)</f>
        <v>8</v>
      </c>
    </row>
    <row r="4767" customFormat="false" ht="15" hidden="false" customHeight="false" outlineLevel="0" collapsed="false">
      <c r="A4767" s="19"/>
      <c r="B4767" s="19"/>
      <c r="C4767" s="19"/>
      <c r="D4767" s="19"/>
      <c r="E4767" s="22"/>
      <c r="F4767" s="19"/>
      <c r="G4767" s="26" t="str">
        <f aca="false">IF(D4767="","",IFERROR(VALUE(LEFT(D4767,FIND(" |",D4767&amp;" |")-1)),"?"))</f>
        <v/>
      </c>
      <c r="H4767" s="27" t="str">
        <f aca="false">IF(G4767="","",IF(G4767="?","⚠ pub inconnue",IFERROR(INDEX(Pubs!$B$2:$B$3001,MATCH(G4767,Pubs!$A$2:$A$3001,0))&amp;"","⚠ pub inconnue")))</f>
        <v/>
      </c>
      <c r="I4767" s="27" t="str">
        <f aca="false">IF(OR(G4767="",G4767="?"),"",IFERROR(INDEX(Pubs!$C$2:$C$3001,MATCH(G4767,Pubs!$A$2:$A$3001,0))&amp;"",""))</f>
        <v/>
      </c>
      <c r="J4767" s="27" t="str">
        <f aca="false">IF(OR(G4767="",G4767="?"),"",IFERROR(INDEX(Pubs!$G$2:$G$3001,MATCH(G4767,Pubs!$A$2:$A$3001,0))&amp;"",""))</f>
        <v/>
      </c>
      <c r="K4767" s="28" t="str">
        <f aca="false">IF(OR(G4767="",G4767="?"),"",IFERROR(INDEX(Pubs!$E$2:$E$3001,MATCH(G4767,Pubs!$A$2:$A$3001,0)),""))</f>
        <v/>
      </c>
      <c r="L4767" s="29" t="str">
        <f aca="false">IF(A4767="","",IFERROR(1/(1/INDEX(Numéros!$C$2:$C$3001,MATCH(A4767&amp;"|"&amp;B4767,Numéros!$F$2:$F$3001,0))),""))</f>
        <v/>
      </c>
      <c r="M4767" s="27" t="str">
        <f aca="false">IF(OR(G4767="",G4767="?"),"",IFERROR(INDEX(Pubs!$D$2:$D$3001,MATCH(G4767,Pubs!$A$2:$A$3001,0))&amp;"",""))</f>
        <v/>
      </c>
      <c r="N4767" s="27" t="n">
        <f aca="false">N(N4766)+IF(AND(A4767&lt;&gt;"",OR(Recherche!$C$4="",A4767=Recherche!$C$4),OR(Recherche!$C$5="",B4767&amp;""=Recherche!$C$5&amp;""),OR(Recherche!$C$6="",IFERROR(YEAR(L4767),0)=Recherche!$C$6),OR(Recherche!$C$7="",ISNUMBER(SEARCH(Recherche!$C$7,H4767))),OR(Recherche!$C$8="",J4767=Recherche!$C$8),OR(Recherche!$C$9="",I4767=Recherche!$C$9),OR(Recherche!$C$10="",G4767&amp;""=Recherche!$C$10&amp;""),OR(Recherche!$C$11="",E4767=Recherche!$C$11),OR(Recherche!$C$12="",ISNUMBER(SEARCH(Recherche!$C$12,M4767&amp;" "&amp;F4767)))),1,0)</f>
        <v>8</v>
      </c>
    </row>
    <row r="4768" customFormat="false" ht="15" hidden="false" customHeight="false" outlineLevel="0" collapsed="false">
      <c r="A4768" s="19"/>
      <c r="B4768" s="19"/>
      <c r="C4768" s="19"/>
      <c r="D4768" s="19"/>
      <c r="E4768" s="22"/>
      <c r="F4768" s="19"/>
      <c r="G4768" s="26" t="str">
        <f aca="false">IF(D4768="","",IFERROR(VALUE(LEFT(D4768,FIND(" |",D4768&amp;" |")-1)),"?"))</f>
        <v/>
      </c>
      <c r="H4768" s="27" t="str">
        <f aca="false">IF(G4768="","",IF(G4768="?","⚠ pub inconnue",IFERROR(INDEX(Pubs!$B$2:$B$3001,MATCH(G4768,Pubs!$A$2:$A$3001,0))&amp;"","⚠ pub inconnue")))</f>
        <v/>
      </c>
      <c r="I4768" s="27" t="str">
        <f aca="false">IF(OR(G4768="",G4768="?"),"",IFERROR(INDEX(Pubs!$C$2:$C$3001,MATCH(G4768,Pubs!$A$2:$A$3001,0))&amp;"",""))</f>
        <v/>
      </c>
      <c r="J4768" s="27" t="str">
        <f aca="false">IF(OR(G4768="",G4768="?"),"",IFERROR(INDEX(Pubs!$G$2:$G$3001,MATCH(G4768,Pubs!$A$2:$A$3001,0))&amp;"",""))</f>
        <v/>
      </c>
      <c r="K4768" s="28" t="str">
        <f aca="false">IF(OR(G4768="",G4768="?"),"",IFERROR(INDEX(Pubs!$E$2:$E$3001,MATCH(G4768,Pubs!$A$2:$A$3001,0)),""))</f>
        <v/>
      </c>
      <c r="L4768" s="29" t="str">
        <f aca="false">IF(A4768="","",IFERROR(1/(1/INDEX(Numéros!$C$2:$C$3001,MATCH(A4768&amp;"|"&amp;B4768,Numéros!$F$2:$F$3001,0))),""))</f>
        <v/>
      </c>
      <c r="M4768" s="27" t="str">
        <f aca="false">IF(OR(G4768="",G4768="?"),"",IFERROR(INDEX(Pubs!$D$2:$D$3001,MATCH(G4768,Pubs!$A$2:$A$3001,0))&amp;"",""))</f>
        <v/>
      </c>
      <c r="N4768" s="27" t="n">
        <f aca="false">N(N4767)+IF(AND(A4768&lt;&gt;"",OR(Recherche!$C$4="",A4768=Recherche!$C$4),OR(Recherche!$C$5="",B4768&amp;""=Recherche!$C$5&amp;""),OR(Recherche!$C$6="",IFERROR(YEAR(L4768),0)=Recherche!$C$6),OR(Recherche!$C$7="",ISNUMBER(SEARCH(Recherche!$C$7,H4768))),OR(Recherche!$C$8="",J4768=Recherche!$C$8),OR(Recherche!$C$9="",I4768=Recherche!$C$9),OR(Recherche!$C$10="",G4768&amp;""=Recherche!$C$10&amp;""),OR(Recherche!$C$11="",E4768=Recherche!$C$11),OR(Recherche!$C$12="",ISNUMBER(SEARCH(Recherche!$C$12,M4768&amp;" "&amp;F4768)))),1,0)</f>
        <v>8</v>
      </c>
    </row>
    <row r="4769" customFormat="false" ht="15" hidden="false" customHeight="false" outlineLevel="0" collapsed="false">
      <c r="A4769" s="19"/>
      <c r="B4769" s="19"/>
      <c r="C4769" s="19"/>
      <c r="D4769" s="19"/>
      <c r="E4769" s="22"/>
      <c r="F4769" s="19"/>
      <c r="G4769" s="26" t="str">
        <f aca="false">IF(D4769="","",IFERROR(VALUE(LEFT(D4769,FIND(" |",D4769&amp;" |")-1)),"?"))</f>
        <v/>
      </c>
      <c r="H4769" s="27" t="str">
        <f aca="false">IF(G4769="","",IF(G4769="?","⚠ pub inconnue",IFERROR(INDEX(Pubs!$B$2:$B$3001,MATCH(G4769,Pubs!$A$2:$A$3001,0))&amp;"","⚠ pub inconnue")))</f>
        <v/>
      </c>
      <c r="I4769" s="27" t="str">
        <f aca="false">IF(OR(G4769="",G4769="?"),"",IFERROR(INDEX(Pubs!$C$2:$C$3001,MATCH(G4769,Pubs!$A$2:$A$3001,0))&amp;"",""))</f>
        <v/>
      </c>
      <c r="J4769" s="27" t="str">
        <f aca="false">IF(OR(G4769="",G4769="?"),"",IFERROR(INDEX(Pubs!$G$2:$G$3001,MATCH(G4769,Pubs!$A$2:$A$3001,0))&amp;"",""))</f>
        <v/>
      </c>
      <c r="K4769" s="28" t="str">
        <f aca="false">IF(OR(G4769="",G4769="?"),"",IFERROR(INDEX(Pubs!$E$2:$E$3001,MATCH(G4769,Pubs!$A$2:$A$3001,0)),""))</f>
        <v/>
      </c>
      <c r="L4769" s="29" t="str">
        <f aca="false">IF(A4769="","",IFERROR(1/(1/INDEX(Numéros!$C$2:$C$3001,MATCH(A4769&amp;"|"&amp;B4769,Numéros!$F$2:$F$3001,0))),""))</f>
        <v/>
      </c>
      <c r="M4769" s="27" t="str">
        <f aca="false">IF(OR(G4769="",G4769="?"),"",IFERROR(INDEX(Pubs!$D$2:$D$3001,MATCH(G4769,Pubs!$A$2:$A$3001,0))&amp;"",""))</f>
        <v/>
      </c>
      <c r="N4769" s="27" t="n">
        <f aca="false">N(N4768)+IF(AND(A4769&lt;&gt;"",OR(Recherche!$C$4="",A4769=Recherche!$C$4),OR(Recherche!$C$5="",B4769&amp;""=Recherche!$C$5&amp;""),OR(Recherche!$C$6="",IFERROR(YEAR(L4769),0)=Recherche!$C$6),OR(Recherche!$C$7="",ISNUMBER(SEARCH(Recherche!$C$7,H4769))),OR(Recherche!$C$8="",J4769=Recherche!$C$8),OR(Recherche!$C$9="",I4769=Recherche!$C$9),OR(Recherche!$C$10="",G4769&amp;""=Recherche!$C$10&amp;""),OR(Recherche!$C$11="",E4769=Recherche!$C$11),OR(Recherche!$C$12="",ISNUMBER(SEARCH(Recherche!$C$12,M4769&amp;" "&amp;F4769)))),1,0)</f>
        <v>8</v>
      </c>
    </row>
    <row r="4770" customFormat="false" ht="15" hidden="false" customHeight="false" outlineLevel="0" collapsed="false">
      <c r="A4770" s="19"/>
      <c r="B4770" s="19"/>
      <c r="C4770" s="19"/>
      <c r="D4770" s="19"/>
      <c r="E4770" s="22"/>
      <c r="F4770" s="19"/>
      <c r="G4770" s="26" t="str">
        <f aca="false">IF(D4770="","",IFERROR(VALUE(LEFT(D4770,FIND(" |",D4770&amp;" |")-1)),"?"))</f>
        <v/>
      </c>
      <c r="H4770" s="27" t="str">
        <f aca="false">IF(G4770="","",IF(G4770="?","⚠ pub inconnue",IFERROR(INDEX(Pubs!$B$2:$B$3001,MATCH(G4770,Pubs!$A$2:$A$3001,0))&amp;"","⚠ pub inconnue")))</f>
        <v/>
      </c>
      <c r="I4770" s="27" t="str">
        <f aca="false">IF(OR(G4770="",G4770="?"),"",IFERROR(INDEX(Pubs!$C$2:$C$3001,MATCH(G4770,Pubs!$A$2:$A$3001,0))&amp;"",""))</f>
        <v/>
      </c>
      <c r="J4770" s="27" t="str">
        <f aca="false">IF(OR(G4770="",G4770="?"),"",IFERROR(INDEX(Pubs!$G$2:$G$3001,MATCH(G4770,Pubs!$A$2:$A$3001,0))&amp;"",""))</f>
        <v/>
      </c>
      <c r="K4770" s="28" t="str">
        <f aca="false">IF(OR(G4770="",G4770="?"),"",IFERROR(INDEX(Pubs!$E$2:$E$3001,MATCH(G4770,Pubs!$A$2:$A$3001,0)),""))</f>
        <v/>
      </c>
      <c r="L4770" s="29" t="str">
        <f aca="false">IF(A4770="","",IFERROR(1/(1/INDEX(Numéros!$C$2:$C$3001,MATCH(A4770&amp;"|"&amp;B4770,Numéros!$F$2:$F$3001,0))),""))</f>
        <v/>
      </c>
      <c r="M4770" s="27" t="str">
        <f aca="false">IF(OR(G4770="",G4770="?"),"",IFERROR(INDEX(Pubs!$D$2:$D$3001,MATCH(G4770,Pubs!$A$2:$A$3001,0))&amp;"",""))</f>
        <v/>
      </c>
      <c r="N4770" s="27" t="n">
        <f aca="false">N(N4769)+IF(AND(A4770&lt;&gt;"",OR(Recherche!$C$4="",A4770=Recherche!$C$4),OR(Recherche!$C$5="",B4770&amp;""=Recherche!$C$5&amp;""),OR(Recherche!$C$6="",IFERROR(YEAR(L4770),0)=Recherche!$C$6),OR(Recherche!$C$7="",ISNUMBER(SEARCH(Recherche!$C$7,H4770))),OR(Recherche!$C$8="",J4770=Recherche!$C$8),OR(Recherche!$C$9="",I4770=Recherche!$C$9),OR(Recherche!$C$10="",G4770&amp;""=Recherche!$C$10&amp;""),OR(Recherche!$C$11="",E4770=Recherche!$C$11),OR(Recherche!$C$12="",ISNUMBER(SEARCH(Recherche!$C$12,M4770&amp;" "&amp;F4770)))),1,0)</f>
        <v>8</v>
      </c>
    </row>
    <row r="4771" customFormat="false" ht="15" hidden="false" customHeight="false" outlineLevel="0" collapsed="false">
      <c r="A4771" s="19"/>
      <c r="B4771" s="19"/>
      <c r="C4771" s="19"/>
      <c r="D4771" s="19"/>
      <c r="E4771" s="22"/>
      <c r="F4771" s="19"/>
      <c r="G4771" s="26" t="str">
        <f aca="false">IF(D4771="","",IFERROR(VALUE(LEFT(D4771,FIND(" |",D4771&amp;" |")-1)),"?"))</f>
        <v/>
      </c>
      <c r="H4771" s="27" t="str">
        <f aca="false">IF(G4771="","",IF(G4771="?","⚠ pub inconnue",IFERROR(INDEX(Pubs!$B$2:$B$3001,MATCH(G4771,Pubs!$A$2:$A$3001,0))&amp;"","⚠ pub inconnue")))</f>
        <v/>
      </c>
      <c r="I4771" s="27" t="str">
        <f aca="false">IF(OR(G4771="",G4771="?"),"",IFERROR(INDEX(Pubs!$C$2:$C$3001,MATCH(G4771,Pubs!$A$2:$A$3001,0))&amp;"",""))</f>
        <v/>
      </c>
      <c r="J4771" s="27" t="str">
        <f aca="false">IF(OR(G4771="",G4771="?"),"",IFERROR(INDEX(Pubs!$G$2:$G$3001,MATCH(G4771,Pubs!$A$2:$A$3001,0))&amp;"",""))</f>
        <v/>
      </c>
      <c r="K4771" s="28" t="str">
        <f aca="false">IF(OR(G4771="",G4771="?"),"",IFERROR(INDEX(Pubs!$E$2:$E$3001,MATCH(G4771,Pubs!$A$2:$A$3001,0)),""))</f>
        <v/>
      </c>
      <c r="L4771" s="29" t="str">
        <f aca="false">IF(A4771="","",IFERROR(1/(1/INDEX(Numéros!$C$2:$C$3001,MATCH(A4771&amp;"|"&amp;B4771,Numéros!$F$2:$F$3001,0))),""))</f>
        <v/>
      </c>
      <c r="M4771" s="27" t="str">
        <f aca="false">IF(OR(G4771="",G4771="?"),"",IFERROR(INDEX(Pubs!$D$2:$D$3001,MATCH(G4771,Pubs!$A$2:$A$3001,0))&amp;"",""))</f>
        <v/>
      </c>
      <c r="N4771" s="27" t="n">
        <f aca="false">N(N4770)+IF(AND(A4771&lt;&gt;"",OR(Recherche!$C$4="",A4771=Recherche!$C$4),OR(Recherche!$C$5="",B4771&amp;""=Recherche!$C$5&amp;""),OR(Recherche!$C$6="",IFERROR(YEAR(L4771),0)=Recherche!$C$6),OR(Recherche!$C$7="",ISNUMBER(SEARCH(Recherche!$C$7,H4771))),OR(Recherche!$C$8="",J4771=Recherche!$C$8),OR(Recherche!$C$9="",I4771=Recherche!$C$9),OR(Recherche!$C$10="",G4771&amp;""=Recherche!$C$10&amp;""),OR(Recherche!$C$11="",E4771=Recherche!$C$11),OR(Recherche!$C$12="",ISNUMBER(SEARCH(Recherche!$C$12,M4771&amp;" "&amp;F4771)))),1,0)</f>
        <v>8</v>
      </c>
    </row>
    <row r="4772" customFormat="false" ht="15" hidden="false" customHeight="false" outlineLevel="0" collapsed="false">
      <c r="A4772" s="19"/>
      <c r="B4772" s="19"/>
      <c r="C4772" s="19"/>
      <c r="D4772" s="19"/>
      <c r="E4772" s="22"/>
      <c r="F4772" s="19"/>
      <c r="G4772" s="26" t="str">
        <f aca="false">IF(D4772="","",IFERROR(VALUE(LEFT(D4772,FIND(" |",D4772&amp;" |")-1)),"?"))</f>
        <v/>
      </c>
      <c r="H4772" s="27" t="str">
        <f aca="false">IF(G4772="","",IF(G4772="?","⚠ pub inconnue",IFERROR(INDEX(Pubs!$B$2:$B$3001,MATCH(G4772,Pubs!$A$2:$A$3001,0))&amp;"","⚠ pub inconnue")))</f>
        <v/>
      </c>
      <c r="I4772" s="27" t="str">
        <f aca="false">IF(OR(G4772="",G4772="?"),"",IFERROR(INDEX(Pubs!$C$2:$C$3001,MATCH(G4772,Pubs!$A$2:$A$3001,0))&amp;"",""))</f>
        <v/>
      </c>
      <c r="J4772" s="27" t="str">
        <f aca="false">IF(OR(G4772="",G4772="?"),"",IFERROR(INDEX(Pubs!$G$2:$G$3001,MATCH(G4772,Pubs!$A$2:$A$3001,0))&amp;"",""))</f>
        <v/>
      </c>
      <c r="K4772" s="28" t="str">
        <f aca="false">IF(OR(G4772="",G4772="?"),"",IFERROR(INDEX(Pubs!$E$2:$E$3001,MATCH(G4772,Pubs!$A$2:$A$3001,0)),""))</f>
        <v/>
      </c>
      <c r="L4772" s="29" t="str">
        <f aca="false">IF(A4772="","",IFERROR(1/(1/INDEX(Numéros!$C$2:$C$3001,MATCH(A4772&amp;"|"&amp;B4772,Numéros!$F$2:$F$3001,0))),""))</f>
        <v/>
      </c>
      <c r="M4772" s="27" t="str">
        <f aca="false">IF(OR(G4772="",G4772="?"),"",IFERROR(INDEX(Pubs!$D$2:$D$3001,MATCH(G4772,Pubs!$A$2:$A$3001,0))&amp;"",""))</f>
        <v/>
      </c>
      <c r="N4772" s="27" t="n">
        <f aca="false">N(N4771)+IF(AND(A4772&lt;&gt;"",OR(Recherche!$C$4="",A4772=Recherche!$C$4),OR(Recherche!$C$5="",B4772&amp;""=Recherche!$C$5&amp;""),OR(Recherche!$C$6="",IFERROR(YEAR(L4772),0)=Recherche!$C$6),OR(Recherche!$C$7="",ISNUMBER(SEARCH(Recherche!$C$7,H4772))),OR(Recherche!$C$8="",J4772=Recherche!$C$8),OR(Recherche!$C$9="",I4772=Recherche!$C$9),OR(Recherche!$C$10="",G4772&amp;""=Recherche!$C$10&amp;""),OR(Recherche!$C$11="",E4772=Recherche!$C$11),OR(Recherche!$C$12="",ISNUMBER(SEARCH(Recherche!$C$12,M4772&amp;" "&amp;F4772)))),1,0)</f>
        <v>8</v>
      </c>
    </row>
    <row r="4773" customFormat="false" ht="15" hidden="false" customHeight="false" outlineLevel="0" collapsed="false">
      <c r="A4773" s="19"/>
      <c r="B4773" s="19"/>
      <c r="C4773" s="19"/>
      <c r="D4773" s="19"/>
      <c r="E4773" s="22"/>
      <c r="F4773" s="19"/>
      <c r="G4773" s="26" t="str">
        <f aca="false">IF(D4773="","",IFERROR(VALUE(LEFT(D4773,FIND(" |",D4773&amp;" |")-1)),"?"))</f>
        <v/>
      </c>
      <c r="H4773" s="27" t="str">
        <f aca="false">IF(G4773="","",IF(G4773="?","⚠ pub inconnue",IFERROR(INDEX(Pubs!$B$2:$B$3001,MATCH(G4773,Pubs!$A$2:$A$3001,0))&amp;"","⚠ pub inconnue")))</f>
        <v/>
      </c>
      <c r="I4773" s="27" t="str">
        <f aca="false">IF(OR(G4773="",G4773="?"),"",IFERROR(INDEX(Pubs!$C$2:$C$3001,MATCH(G4773,Pubs!$A$2:$A$3001,0))&amp;"",""))</f>
        <v/>
      </c>
      <c r="J4773" s="27" t="str">
        <f aca="false">IF(OR(G4773="",G4773="?"),"",IFERROR(INDEX(Pubs!$G$2:$G$3001,MATCH(G4773,Pubs!$A$2:$A$3001,0))&amp;"",""))</f>
        <v/>
      </c>
      <c r="K4773" s="28" t="str">
        <f aca="false">IF(OR(G4773="",G4773="?"),"",IFERROR(INDEX(Pubs!$E$2:$E$3001,MATCH(G4773,Pubs!$A$2:$A$3001,0)),""))</f>
        <v/>
      </c>
      <c r="L4773" s="29" t="str">
        <f aca="false">IF(A4773="","",IFERROR(1/(1/INDEX(Numéros!$C$2:$C$3001,MATCH(A4773&amp;"|"&amp;B4773,Numéros!$F$2:$F$3001,0))),""))</f>
        <v/>
      </c>
      <c r="M4773" s="27" t="str">
        <f aca="false">IF(OR(G4773="",G4773="?"),"",IFERROR(INDEX(Pubs!$D$2:$D$3001,MATCH(G4773,Pubs!$A$2:$A$3001,0))&amp;"",""))</f>
        <v/>
      </c>
      <c r="N4773" s="27" t="n">
        <f aca="false">N(N4772)+IF(AND(A4773&lt;&gt;"",OR(Recherche!$C$4="",A4773=Recherche!$C$4),OR(Recherche!$C$5="",B4773&amp;""=Recherche!$C$5&amp;""),OR(Recherche!$C$6="",IFERROR(YEAR(L4773),0)=Recherche!$C$6),OR(Recherche!$C$7="",ISNUMBER(SEARCH(Recherche!$C$7,H4773))),OR(Recherche!$C$8="",J4773=Recherche!$C$8),OR(Recherche!$C$9="",I4773=Recherche!$C$9),OR(Recherche!$C$10="",G4773&amp;""=Recherche!$C$10&amp;""),OR(Recherche!$C$11="",E4773=Recherche!$C$11),OR(Recherche!$C$12="",ISNUMBER(SEARCH(Recherche!$C$12,M4773&amp;" "&amp;F4773)))),1,0)</f>
        <v>8</v>
      </c>
    </row>
    <row r="4774" customFormat="false" ht="15" hidden="false" customHeight="false" outlineLevel="0" collapsed="false">
      <c r="A4774" s="19"/>
      <c r="B4774" s="19"/>
      <c r="C4774" s="19"/>
      <c r="D4774" s="19"/>
      <c r="E4774" s="22"/>
      <c r="F4774" s="19"/>
      <c r="G4774" s="26" t="str">
        <f aca="false">IF(D4774="","",IFERROR(VALUE(LEFT(D4774,FIND(" |",D4774&amp;" |")-1)),"?"))</f>
        <v/>
      </c>
      <c r="H4774" s="27" t="str">
        <f aca="false">IF(G4774="","",IF(G4774="?","⚠ pub inconnue",IFERROR(INDEX(Pubs!$B$2:$B$3001,MATCH(G4774,Pubs!$A$2:$A$3001,0))&amp;"","⚠ pub inconnue")))</f>
        <v/>
      </c>
      <c r="I4774" s="27" t="str">
        <f aca="false">IF(OR(G4774="",G4774="?"),"",IFERROR(INDEX(Pubs!$C$2:$C$3001,MATCH(G4774,Pubs!$A$2:$A$3001,0))&amp;"",""))</f>
        <v/>
      </c>
      <c r="J4774" s="27" t="str">
        <f aca="false">IF(OR(G4774="",G4774="?"),"",IFERROR(INDEX(Pubs!$G$2:$G$3001,MATCH(G4774,Pubs!$A$2:$A$3001,0))&amp;"",""))</f>
        <v/>
      </c>
      <c r="K4774" s="28" t="str">
        <f aca="false">IF(OR(G4774="",G4774="?"),"",IFERROR(INDEX(Pubs!$E$2:$E$3001,MATCH(G4774,Pubs!$A$2:$A$3001,0)),""))</f>
        <v/>
      </c>
      <c r="L4774" s="29" t="str">
        <f aca="false">IF(A4774="","",IFERROR(1/(1/INDEX(Numéros!$C$2:$C$3001,MATCH(A4774&amp;"|"&amp;B4774,Numéros!$F$2:$F$3001,0))),""))</f>
        <v/>
      </c>
      <c r="M4774" s="27" t="str">
        <f aca="false">IF(OR(G4774="",G4774="?"),"",IFERROR(INDEX(Pubs!$D$2:$D$3001,MATCH(G4774,Pubs!$A$2:$A$3001,0))&amp;"",""))</f>
        <v/>
      </c>
      <c r="N4774" s="27" t="n">
        <f aca="false">N(N4773)+IF(AND(A4774&lt;&gt;"",OR(Recherche!$C$4="",A4774=Recherche!$C$4),OR(Recherche!$C$5="",B4774&amp;""=Recherche!$C$5&amp;""),OR(Recherche!$C$6="",IFERROR(YEAR(L4774),0)=Recherche!$C$6),OR(Recherche!$C$7="",ISNUMBER(SEARCH(Recherche!$C$7,H4774))),OR(Recherche!$C$8="",J4774=Recherche!$C$8),OR(Recherche!$C$9="",I4774=Recherche!$C$9),OR(Recherche!$C$10="",G4774&amp;""=Recherche!$C$10&amp;""),OR(Recherche!$C$11="",E4774=Recherche!$C$11),OR(Recherche!$C$12="",ISNUMBER(SEARCH(Recherche!$C$12,M4774&amp;" "&amp;F4774)))),1,0)</f>
        <v>8</v>
      </c>
    </row>
    <row r="4775" customFormat="false" ht="15" hidden="false" customHeight="false" outlineLevel="0" collapsed="false">
      <c r="A4775" s="19"/>
      <c r="B4775" s="19"/>
      <c r="C4775" s="19"/>
      <c r="D4775" s="19"/>
      <c r="E4775" s="22"/>
      <c r="F4775" s="19"/>
      <c r="G4775" s="26" t="str">
        <f aca="false">IF(D4775="","",IFERROR(VALUE(LEFT(D4775,FIND(" |",D4775&amp;" |")-1)),"?"))</f>
        <v/>
      </c>
      <c r="H4775" s="27" t="str">
        <f aca="false">IF(G4775="","",IF(G4775="?","⚠ pub inconnue",IFERROR(INDEX(Pubs!$B$2:$B$3001,MATCH(G4775,Pubs!$A$2:$A$3001,0))&amp;"","⚠ pub inconnue")))</f>
        <v/>
      </c>
      <c r="I4775" s="27" t="str">
        <f aca="false">IF(OR(G4775="",G4775="?"),"",IFERROR(INDEX(Pubs!$C$2:$C$3001,MATCH(G4775,Pubs!$A$2:$A$3001,0))&amp;"",""))</f>
        <v/>
      </c>
      <c r="J4775" s="27" t="str">
        <f aca="false">IF(OR(G4775="",G4775="?"),"",IFERROR(INDEX(Pubs!$G$2:$G$3001,MATCH(G4775,Pubs!$A$2:$A$3001,0))&amp;"",""))</f>
        <v/>
      </c>
      <c r="K4775" s="28" t="str">
        <f aca="false">IF(OR(G4775="",G4775="?"),"",IFERROR(INDEX(Pubs!$E$2:$E$3001,MATCH(G4775,Pubs!$A$2:$A$3001,0)),""))</f>
        <v/>
      </c>
      <c r="L4775" s="29" t="str">
        <f aca="false">IF(A4775="","",IFERROR(1/(1/INDEX(Numéros!$C$2:$C$3001,MATCH(A4775&amp;"|"&amp;B4775,Numéros!$F$2:$F$3001,0))),""))</f>
        <v/>
      </c>
      <c r="M4775" s="27" t="str">
        <f aca="false">IF(OR(G4775="",G4775="?"),"",IFERROR(INDEX(Pubs!$D$2:$D$3001,MATCH(G4775,Pubs!$A$2:$A$3001,0))&amp;"",""))</f>
        <v/>
      </c>
      <c r="N4775" s="27" t="n">
        <f aca="false">N(N4774)+IF(AND(A4775&lt;&gt;"",OR(Recherche!$C$4="",A4775=Recherche!$C$4),OR(Recherche!$C$5="",B4775&amp;""=Recherche!$C$5&amp;""),OR(Recherche!$C$6="",IFERROR(YEAR(L4775),0)=Recherche!$C$6),OR(Recherche!$C$7="",ISNUMBER(SEARCH(Recherche!$C$7,H4775))),OR(Recherche!$C$8="",J4775=Recherche!$C$8),OR(Recherche!$C$9="",I4775=Recherche!$C$9),OR(Recherche!$C$10="",G4775&amp;""=Recherche!$C$10&amp;""),OR(Recherche!$C$11="",E4775=Recherche!$C$11),OR(Recherche!$C$12="",ISNUMBER(SEARCH(Recherche!$C$12,M4775&amp;" "&amp;F4775)))),1,0)</f>
        <v>8</v>
      </c>
    </row>
    <row r="4776" customFormat="false" ht="15" hidden="false" customHeight="false" outlineLevel="0" collapsed="false">
      <c r="A4776" s="19"/>
      <c r="B4776" s="19"/>
      <c r="C4776" s="19"/>
      <c r="D4776" s="19"/>
      <c r="E4776" s="22"/>
      <c r="F4776" s="19"/>
      <c r="G4776" s="26" t="str">
        <f aca="false">IF(D4776="","",IFERROR(VALUE(LEFT(D4776,FIND(" |",D4776&amp;" |")-1)),"?"))</f>
        <v/>
      </c>
      <c r="H4776" s="27" t="str">
        <f aca="false">IF(G4776="","",IF(G4776="?","⚠ pub inconnue",IFERROR(INDEX(Pubs!$B$2:$B$3001,MATCH(G4776,Pubs!$A$2:$A$3001,0))&amp;"","⚠ pub inconnue")))</f>
        <v/>
      </c>
      <c r="I4776" s="27" t="str">
        <f aca="false">IF(OR(G4776="",G4776="?"),"",IFERROR(INDEX(Pubs!$C$2:$C$3001,MATCH(G4776,Pubs!$A$2:$A$3001,0))&amp;"",""))</f>
        <v/>
      </c>
      <c r="J4776" s="27" t="str">
        <f aca="false">IF(OR(G4776="",G4776="?"),"",IFERROR(INDEX(Pubs!$G$2:$G$3001,MATCH(G4776,Pubs!$A$2:$A$3001,0))&amp;"",""))</f>
        <v/>
      </c>
      <c r="K4776" s="28" t="str">
        <f aca="false">IF(OR(G4776="",G4776="?"),"",IFERROR(INDEX(Pubs!$E$2:$E$3001,MATCH(G4776,Pubs!$A$2:$A$3001,0)),""))</f>
        <v/>
      </c>
      <c r="L4776" s="29" t="str">
        <f aca="false">IF(A4776="","",IFERROR(1/(1/INDEX(Numéros!$C$2:$C$3001,MATCH(A4776&amp;"|"&amp;B4776,Numéros!$F$2:$F$3001,0))),""))</f>
        <v/>
      </c>
      <c r="M4776" s="27" t="str">
        <f aca="false">IF(OR(G4776="",G4776="?"),"",IFERROR(INDEX(Pubs!$D$2:$D$3001,MATCH(G4776,Pubs!$A$2:$A$3001,0))&amp;"",""))</f>
        <v/>
      </c>
      <c r="N4776" s="27" t="n">
        <f aca="false">N(N4775)+IF(AND(A4776&lt;&gt;"",OR(Recherche!$C$4="",A4776=Recherche!$C$4),OR(Recherche!$C$5="",B4776&amp;""=Recherche!$C$5&amp;""),OR(Recherche!$C$6="",IFERROR(YEAR(L4776),0)=Recherche!$C$6),OR(Recherche!$C$7="",ISNUMBER(SEARCH(Recherche!$C$7,H4776))),OR(Recherche!$C$8="",J4776=Recherche!$C$8),OR(Recherche!$C$9="",I4776=Recherche!$C$9),OR(Recherche!$C$10="",G4776&amp;""=Recherche!$C$10&amp;""),OR(Recherche!$C$11="",E4776=Recherche!$C$11),OR(Recherche!$C$12="",ISNUMBER(SEARCH(Recherche!$C$12,M4776&amp;" "&amp;F4776)))),1,0)</f>
        <v>8</v>
      </c>
    </row>
    <row r="4777" customFormat="false" ht="15" hidden="false" customHeight="false" outlineLevel="0" collapsed="false">
      <c r="A4777" s="19"/>
      <c r="B4777" s="19"/>
      <c r="C4777" s="19"/>
      <c r="D4777" s="19"/>
      <c r="E4777" s="22"/>
      <c r="F4777" s="19"/>
      <c r="G4777" s="26" t="str">
        <f aca="false">IF(D4777="","",IFERROR(VALUE(LEFT(D4777,FIND(" |",D4777&amp;" |")-1)),"?"))</f>
        <v/>
      </c>
      <c r="H4777" s="27" t="str">
        <f aca="false">IF(G4777="","",IF(G4777="?","⚠ pub inconnue",IFERROR(INDEX(Pubs!$B$2:$B$3001,MATCH(G4777,Pubs!$A$2:$A$3001,0))&amp;"","⚠ pub inconnue")))</f>
        <v/>
      </c>
      <c r="I4777" s="27" t="str">
        <f aca="false">IF(OR(G4777="",G4777="?"),"",IFERROR(INDEX(Pubs!$C$2:$C$3001,MATCH(G4777,Pubs!$A$2:$A$3001,0))&amp;"",""))</f>
        <v/>
      </c>
      <c r="J4777" s="27" t="str">
        <f aca="false">IF(OR(G4777="",G4777="?"),"",IFERROR(INDEX(Pubs!$G$2:$G$3001,MATCH(G4777,Pubs!$A$2:$A$3001,0))&amp;"",""))</f>
        <v/>
      </c>
      <c r="K4777" s="28" t="str">
        <f aca="false">IF(OR(G4777="",G4777="?"),"",IFERROR(INDEX(Pubs!$E$2:$E$3001,MATCH(G4777,Pubs!$A$2:$A$3001,0)),""))</f>
        <v/>
      </c>
      <c r="L4777" s="29" t="str">
        <f aca="false">IF(A4777="","",IFERROR(1/(1/INDEX(Numéros!$C$2:$C$3001,MATCH(A4777&amp;"|"&amp;B4777,Numéros!$F$2:$F$3001,0))),""))</f>
        <v/>
      </c>
      <c r="M4777" s="27" t="str">
        <f aca="false">IF(OR(G4777="",G4777="?"),"",IFERROR(INDEX(Pubs!$D$2:$D$3001,MATCH(G4777,Pubs!$A$2:$A$3001,0))&amp;"",""))</f>
        <v/>
      </c>
      <c r="N4777" s="27" t="n">
        <f aca="false">N(N4776)+IF(AND(A4777&lt;&gt;"",OR(Recherche!$C$4="",A4777=Recherche!$C$4),OR(Recherche!$C$5="",B4777&amp;""=Recherche!$C$5&amp;""),OR(Recherche!$C$6="",IFERROR(YEAR(L4777),0)=Recherche!$C$6),OR(Recherche!$C$7="",ISNUMBER(SEARCH(Recherche!$C$7,H4777))),OR(Recherche!$C$8="",J4777=Recherche!$C$8),OR(Recherche!$C$9="",I4777=Recherche!$C$9),OR(Recherche!$C$10="",G4777&amp;""=Recherche!$C$10&amp;""),OR(Recherche!$C$11="",E4777=Recherche!$C$11),OR(Recherche!$C$12="",ISNUMBER(SEARCH(Recherche!$C$12,M4777&amp;" "&amp;F4777)))),1,0)</f>
        <v>8</v>
      </c>
    </row>
    <row r="4778" customFormat="false" ht="15" hidden="false" customHeight="false" outlineLevel="0" collapsed="false">
      <c r="A4778" s="19"/>
      <c r="B4778" s="19"/>
      <c r="C4778" s="19"/>
      <c r="D4778" s="19"/>
      <c r="E4778" s="22"/>
      <c r="F4778" s="19"/>
      <c r="G4778" s="26" t="str">
        <f aca="false">IF(D4778="","",IFERROR(VALUE(LEFT(D4778,FIND(" |",D4778&amp;" |")-1)),"?"))</f>
        <v/>
      </c>
      <c r="H4778" s="27" t="str">
        <f aca="false">IF(G4778="","",IF(G4778="?","⚠ pub inconnue",IFERROR(INDEX(Pubs!$B$2:$B$3001,MATCH(G4778,Pubs!$A$2:$A$3001,0))&amp;"","⚠ pub inconnue")))</f>
        <v/>
      </c>
      <c r="I4778" s="27" t="str">
        <f aca="false">IF(OR(G4778="",G4778="?"),"",IFERROR(INDEX(Pubs!$C$2:$C$3001,MATCH(G4778,Pubs!$A$2:$A$3001,0))&amp;"",""))</f>
        <v/>
      </c>
      <c r="J4778" s="27" t="str">
        <f aca="false">IF(OR(G4778="",G4778="?"),"",IFERROR(INDEX(Pubs!$G$2:$G$3001,MATCH(G4778,Pubs!$A$2:$A$3001,0))&amp;"",""))</f>
        <v/>
      </c>
      <c r="K4778" s="28" t="str">
        <f aca="false">IF(OR(G4778="",G4778="?"),"",IFERROR(INDEX(Pubs!$E$2:$E$3001,MATCH(G4778,Pubs!$A$2:$A$3001,0)),""))</f>
        <v/>
      </c>
      <c r="L4778" s="29" t="str">
        <f aca="false">IF(A4778="","",IFERROR(1/(1/INDEX(Numéros!$C$2:$C$3001,MATCH(A4778&amp;"|"&amp;B4778,Numéros!$F$2:$F$3001,0))),""))</f>
        <v/>
      </c>
      <c r="M4778" s="27" t="str">
        <f aca="false">IF(OR(G4778="",G4778="?"),"",IFERROR(INDEX(Pubs!$D$2:$D$3001,MATCH(G4778,Pubs!$A$2:$A$3001,0))&amp;"",""))</f>
        <v/>
      </c>
      <c r="N4778" s="27" t="n">
        <f aca="false">N(N4777)+IF(AND(A4778&lt;&gt;"",OR(Recherche!$C$4="",A4778=Recherche!$C$4),OR(Recherche!$C$5="",B4778&amp;""=Recherche!$C$5&amp;""),OR(Recherche!$C$6="",IFERROR(YEAR(L4778),0)=Recherche!$C$6),OR(Recherche!$C$7="",ISNUMBER(SEARCH(Recherche!$C$7,H4778))),OR(Recherche!$C$8="",J4778=Recherche!$C$8),OR(Recherche!$C$9="",I4778=Recherche!$C$9),OR(Recherche!$C$10="",G4778&amp;""=Recherche!$C$10&amp;""),OR(Recherche!$C$11="",E4778=Recherche!$C$11),OR(Recherche!$C$12="",ISNUMBER(SEARCH(Recherche!$C$12,M4778&amp;" "&amp;F4778)))),1,0)</f>
        <v>8</v>
      </c>
    </row>
    <row r="4779" customFormat="false" ht="15" hidden="false" customHeight="false" outlineLevel="0" collapsed="false">
      <c r="A4779" s="19"/>
      <c r="B4779" s="19"/>
      <c r="C4779" s="19"/>
      <c r="D4779" s="19"/>
      <c r="E4779" s="22"/>
      <c r="F4779" s="19"/>
      <c r="G4779" s="26" t="str">
        <f aca="false">IF(D4779="","",IFERROR(VALUE(LEFT(D4779,FIND(" |",D4779&amp;" |")-1)),"?"))</f>
        <v/>
      </c>
      <c r="H4779" s="27" t="str">
        <f aca="false">IF(G4779="","",IF(G4779="?","⚠ pub inconnue",IFERROR(INDEX(Pubs!$B$2:$B$3001,MATCH(G4779,Pubs!$A$2:$A$3001,0))&amp;"","⚠ pub inconnue")))</f>
        <v/>
      </c>
      <c r="I4779" s="27" t="str">
        <f aca="false">IF(OR(G4779="",G4779="?"),"",IFERROR(INDEX(Pubs!$C$2:$C$3001,MATCH(G4779,Pubs!$A$2:$A$3001,0))&amp;"",""))</f>
        <v/>
      </c>
      <c r="J4779" s="27" t="str">
        <f aca="false">IF(OR(G4779="",G4779="?"),"",IFERROR(INDEX(Pubs!$G$2:$G$3001,MATCH(G4779,Pubs!$A$2:$A$3001,0))&amp;"",""))</f>
        <v/>
      </c>
      <c r="K4779" s="28" t="str">
        <f aca="false">IF(OR(G4779="",G4779="?"),"",IFERROR(INDEX(Pubs!$E$2:$E$3001,MATCH(G4779,Pubs!$A$2:$A$3001,0)),""))</f>
        <v/>
      </c>
      <c r="L4779" s="29" t="str">
        <f aca="false">IF(A4779="","",IFERROR(1/(1/INDEX(Numéros!$C$2:$C$3001,MATCH(A4779&amp;"|"&amp;B4779,Numéros!$F$2:$F$3001,0))),""))</f>
        <v/>
      </c>
      <c r="M4779" s="27" t="str">
        <f aca="false">IF(OR(G4779="",G4779="?"),"",IFERROR(INDEX(Pubs!$D$2:$D$3001,MATCH(G4779,Pubs!$A$2:$A$3001,0))&amp;"",""))</f>
        <v/>
      </c>
      <c r="N4779" s="27" t="n">
        <f aca="false">N(N4778)+IF(AND(A4779&lt;&gt;"",OR(Recherche!$C$4="",A4779=Recherche!$C$4),OR(Recherche!$C$5="",B4779&amp;""=Recherche!$C$5&amp;""),OR(Recherche!$C$6="",IFERROR(YEAR(L4779),0)=Recherche!$C$6),OR(Recherche!$C$7="",ISNUMBER(SEARCH(Recherche!$C$7,H4779))),OR(Recherche!$C$8="",J4779=Recherche!$C$8),OR(Recherche!$C$9="",I4779=Recherche!$C$9),OR(Recherche!$C$10="",G4779&amp;""=Recherche!$C$10&amp;""),OR(Recherche!$C$11="",E4779=Recherche!$C$11),OR(Recherche!$C$12="",ISNUMBER(SEARCH(Recherche!$C$12,M4779&amp;" "&amp;F4779)))),1,0)</f>
        <v>8</v>
      </c>
    </row>
    <row r="4780" customFormat="false" ht="15" hidden="false" customHeight="false" outlineLevel="0" collapsed="false">
      <c r="A4780" s="19"/>
      <c r="B4780" s="19"/>
      <c r="C4780" s="19"/>
      <c r="D4780" s="19"/>
      <c r="E4780" s="22"/>
      <c r="F4780" s="19"/>
      <c r="G4780" s="26" t="str">
        <f aca="false">IF(D4780="","",IFERROR(VALUE(LEFT(D4780,FIND(" |",D4780&amp;" |")-1)),"?"))</f>
        <v/>
      </c>
      <c r="H4780" s="27" t="str">
        <f aca="false">IF(G4780="","",IF(G4780="?","⚠ pub inconnue",IFERROR(INDEX(Pubs!$B$2:$B$3001,MATCH(G4780,Pubs!$A$2:$A$3001,0))&amp;"","⚠ pub inconnue")))</f>
        <v/>
      </c>
      <c r="I4780" s="27" t="str">
        <f aca="false">IF(OR(G4780="",G4780="?"),"",IFERROR(INDEX(Pubs!$C$2:$C$3001,MATCH(G4780,Pubs!$A$2:$A$3001,0))&amp;"",""))</f>
        <v/>
      </c>
      <c r="J4780" s="27" t="str">
        <f aca="false">IF(OR(G4780="",G4780="?"),"",IFERROR(INDEX(Pubs!$G$2:$G$3001,MATCH(G4780,Pubs!$A$2:$A$3001,0))&amp;"",""))</f>
        <v/>
      </c>
      <c r="K4780" s="28" t="str">
        <f aca="false">IF(OR(G4780="",G4780="?"),"",IFERROR(INDEX(Pubs!$E$2:$E$3001,MATCH(G4780,Pubs!$A$2:$A$3001,0)),""))</f>
        <v/>
      </c>
      <c r="L4780" s="29" t="str">
        <f aca="false">IF(A4780="","",IFERROR(1/(1/INDEX(Numéros!$C$2:$C$3001,MATCH(A4780&amp;"|"&amp;B4780,Numéros!$F$2:$F$3001,0))),""))</f>
        <v/>
      </c>
      <c r="M4780" s="27" t="str">
        <f aca="false">IF(OR(G4780="",G4780="?"),"",IFERROR(INDEX(Pubs!$D$2:$D$3001,MATCH(G4780,Pubs!$A$2:$A$3001,0))&amp;"",""))</f>
        <v/>
      </c>
      <c r="N4780" s="27" t="n">
        <f aca="false">N(N4779)+IF(AND(A4780&lt;&gt;"",OR(Recherche!$C$4="",A4780=Recherche!$C$4),OR(Recherche!$C$5="",B4780&amp;""=Recherche!$C$5&amp;""),OR(Recherche!$C$6="",IFERROR(YEAR(L4780),0)=Recherche!$C$6),OR(Recherche!$C$7="",ISNUMBER(SEARCH(Recherche!$C$7,H4780))),OR(Recherche!$C$8="",J4780=Recherche!$C$8),OR(Recherche!$C$9="",I4780=Recherche!$C$9),OR(Recherche!$C$10="",G4780&amp;""=Recherche!$C$10&amp;""),OR(Recherche!$C$11="",E4780=Recherche!$C$11),OR(Recherche!$C$12="",ISNUMBER(SEARCH(Recherche!$C$12,M4780&amp;" "&amp;F4780)))),1,0)</f>
        <v>8</v>
      </c>
    </row>
    <row r="4781" customFormat="false" ht="15" hidden="false" customHeight="false" outlineLevel="0" collapsed="false">
      <c r="A4781" s="19"/>
      <c r="B4781" s="19"/>
      <c r="C4781" s="19"/>
      <c r="D4781" s="19"/>
      <c r="E4781" s="22"/>
      <c r="F4781" s="19"/>
      <c r="G4781" s="26" t="str">
        <f aca="false">IF(D4781="","",IFERROR(VALUE(LEFT(D4781,FIND(" |",D4781&amp;" |")-1)),"?"))</f>
        <v/>
      </c>
      <c r="H4781" s="27" t="str">
        <f aca="false">IF(G4781="","",IF(G4781="?","⚠ pub inconnue",IFERROR(INDEX(Pubs!$B$2:$B$3001,MATCH(G4781,Pubs!$A$2:$A$3001,0))&amp;"","⚠ pub inconnue")))</f>
        <v/>
      </c>
      <c r="I4781" s="27" t="str">
        <f aca="false">IF(OR(G4781="",G4781="?"),"",IFERROR(INDEX(Pubs!$C$2:$C$3001,MATCH(G4781,Pubs!$A$2:$A$3001,0))&amp;"",""))</f>
        <v/>
      </c>
      <c r="J4781" s="27" t="str">
        <f aca="false">IF(OR(G4781="",G4781="?"),"",IFERROR(INDEX(Pubs!$G$2:$G$3001,MATCH(G4781,Pubs!$A$2:$A$3001,0))&amp;"",""))</f>
        <v/>
      </c>
      <c r="K4781" s="28" t="str">
        <f aca="false">IF(OR(G4781="",G4781="?"),"",IFERROR(INDEX(Pubs!$E$2:$E$3001,MATCH(G4781,Pubs!$A$2:$A$3001,0)),""))</f>
        <v/>
      </c>
      <c r="L4781" s="29" t="str">
        <f aca="false">IF(A4781="","",IFERROR(1/(1/INDEX(Numéros!$C$2:$C$3001,MATCH(A4781&amp;"|"&amp;B4781,Numéros!$F$2:$F$3001,0))),""))</f>
        <v/>
      </c>
      <c r="M4781" s="27" t="str">
        <f aca="false">IF(OR(G4781="",G4781="?"),"",IFERROR(INDEX(Pubs!$D$2:$D$3001,MATCH(G4781,Pubs!$A$2:$A$3001,0))&amp;"",""))</f>
        <v/>
      </c>
      <c r="N4781" s="27" t="n">
        <f aca="false">N(N4780)+IF(AND(A4781&lt;&gt;"",OR(Recherche!$C$4="",A4781=Recherche!$C$4),OR(Recherche!$C$5="",B4781&amp;""=Recherche!$C$5&amp;""),OR(Recherche!$C$6="",IFERROR(YEAR(L4781),0)=Recherche!$C$6),OR(Recherche!$C$7="",ISNUMBER(SEARCH(Recherche!$C$7,H4781))),OR(Recherche!$C$8="",J4781=Recherche!$C$8),OR(Recherche!$C$9="",I4781=Recherche!$C$9),OR(Recherche!$C$10="",G4781&amp;""=Recherche!$C$10&amp;""),OR(Recherche!$C$11="",E4781=Recherche!$C$11),OR(Recherche!$C$12="",ISNUMBER(SEARCH(Recherche!$C$12,M4781&amp;" "&amp;F4781)))),1,0)</f>
        <v>8</v>
      </c>
    </row>
    <row r="4782" customFormat="false" ht="15" hidden="false" customHeight="false" outlineLevel="0" collapsed="false">
      <c r="A4782" s="19"/>
      <c r="B4782" s="19"/>
      <c r="C4782" s="19"/>
      <c r="D4782" s="19"/>
      <c r="E4782" s="22"/>
      <c r="F4782" s="19"/>
      <c r="G4782" s="26" t="str">
        <f aca="false">IF(D4782="","",IFERROR(VALUE(LEFT(D4782,FIND(" |",D4782&amp;" |")-1)),"?"))</f>
        <v/>
      </c>
      <c r="H4782" s="27" t="str">
        <f aca="false">IF(G4782="","",IF(G4782="?","⚠ pub inconnue",IFERROR(INDEX(Pubs!$B$2:$B$3001,MATCH(G4782,Pubs!$A$2:$A$3001,0))&amp;"","⚠ pub inconnue")))</f>
        <v/>
      </c>
      <c r="I4782" s="27" t="str">
        <f aca="false">IF(OR(G4782="",G4782="?"),"",IFERROR(INDEX(Pubs!$C$2:$C$3001,MATCH(G4782,Pubs!$A$2:$A$3001,0))&amp;"",""))</f>
        <v/>
      </c>
      <c r="J4782" s="27" t="str">
        <f aca="false">IF(OR(G4782="",G4782="?"),"",IFERROR(INDEX(Pubs!$G$2:$G$3001,MATCH(G4782,Pubs!$A$2:$A$3001,0))&amp;"",""))</f>
        <v/>
      </c>
      <c r="K4782" s="28" t="str">
        <f aca="false">IF(OR(G4782="",G4782="?"),"",IFERROR(INDEX(Pubs!$E$2:$E$3001,MATCH(G4782,Pubs!$A$2:$A$3001,0)),""))</f>
        <v/>
      </c>
      <c r="L4782" s="29" t="str">
        <f aca="false">IF(A4782="","",IFERROR(1/(1/INDEX(Numéros!$C$2:$C$3001,MATCH(A4782&amp;"|"&amp;B4782,Numéros!$F$2:$F$3001,0))),""))</f>
        <v/>
      </c>
      <c r="M4782" s="27" t="str">
        <f aca="false">IF(OR(G4782="",G4782="?"),"",IFERROR(INDEX(Pubs!$D$2:$D$3001,MATCH(G4782,Pubs!$A$2:$A$3001,0))&amp;"",""))</f>
        <v/>
      </c>
      <c r="N4782" s="27" t="n">
        <f aca="false">N(N4781)+IF(AND(A4782&lt;&gt;"",OR(Recherche!$C$4="",A4782=Recherche!$C$4),OR(Recherche!$C$5="",B4782&amp;""=Recherche!$C$5&amp;""),OR(Recherche!$C$6="",IFERROR(YEAR(L4782),0)=Recherche!$C$6),OR(Recherche!$C$7="",ISNUMBER(SEARCH(Recherche!$C$7,H4782))),OR(Recherche!$C$8="",J4782=Recherche!$C$8),OR(Recherche!$C$9="",I4782=Recherche!$C$9),OR(Recherche!$C$10="",G4782&amp;""=Recherche!$C$10&amp;""),OR(Recherche!$C$11="",E4782=Recherche!$C$11),OR(Recherche!$C$12="",ISNUMBER(SEARCH(Recherche!$C$12,M4782&amp;" "&amp;F4782)))),1,0)</f>
        <v>8</v>
      </c>
    </row>
    <row r="4783" customFormat="false" ht="15" hidden="false" customHeight="false" outlineLevel="0" collapsed="false">
      <c r="A4783" s="19"/>
      <c r="B4783" s="19"/>
      <c r="C4783" s="19"/>
      <c r="D4783" s="19"/>
      <c r="E4783" s="22"/>
      <c r="F4783" s="19"/>
      <c r="G4783" s="26" t="str">
        <f aca="false">IF(D4783="","",IFERROR(VALUE(LEFT(D4783,FIND(" |",D4783&amp;" |")-1)),"?"))</f>
        <v/>
      </c>
      <c r="H4783" s="27" t="str">
        <f aca="false">IF(G4783="","",IF(G4783="?","⚠ pub inconnue",IFERROR(INDEX(Pubs!$B$2:$B$3001,MATCH(G4783,Pubs!$A$2:$A$3001,0))&amp;"","⚠ pub inconnue")))</f>
        <v/>
      </c>
      <c r="I4783" s="27" t="str">
        <f aca="false">IF(OR(G4783="",G4783="?"),"",IFERROR(INDEX(Pubs!$C$2:$C$3001,MATCH(G4783,Pubs!$A$2:$A$3001,0))&amp;"",""))</f>
        <v/>
      </c>
      <c r="J4783" s="27" t="str">
        <f aca="false">IF(OR(G4783="",G4783="?"),"",IFERROR(INDEX(Pubs!$G$2:$G$3001,MATCH(G4783,Pubs!$A$2:$A$3001,0))&amp;"",""))</f>
        <v/>
      </c>
      <c r="K4783" s="28" t="str">
        <f aca="false">IF(OR(G4783="",G4783="?"),"",IFERROR(INDEX(Pubs!$E$2:$E$3001,MATCH(G4783,Pubs!$A$2:$A$3001,0)),""))</f>
        <v/>
      </c>
      <c r="L4783" s="29" t="str">
        <f aca="false">IF(A4783="","",IFERROR(1/(1/INDEX(Numéros!$C$2:$C$3001,MATCH(A4783&amp;"|"&amp;B4783,Numéros!$F$2:$F$3001,0))),""))</f>
        <v/>
      </c>
      <c r="M4783" s="27" t="str">
        <f aca="false">IF(OR(G4783="",G4783="?"),"",IFERROR(INDEX(Pubs!$D$2:$D$3001,MATCH(G4783,Pubs!$A$2:$A$3001,0))&amp;"",""))</f>
        <v/>
      </c>
      <c r="N4783" s="27" t="n">
        <f aca="false">N(N4782)+IF(AND(A4783&lt;&gt;"",OR(Recherche!$C$4="",A4783=Recherche!$C$4),OR(Recherche!$C$5="",B4783&amp;""=Recherche!$C$5&amp;""),OR(Recherche!$C$6="",IFERROR(YEAR(L4783),0)=Recherche!$C$6),OR(Recherche!$C$7="",ISNUMBER(SEARCH(Recherche!$C$7,H4783))),OR(Recherche!$C$8="",J4783=Recherche!$C$8),OR(Recherche!$C$9="",I4783=Recherche!$C$9),OR(Recherche!$C$10="",G4783&amp;""=Recherche!$C$10&amp;""),OR(Recherche!$C$11="",E4783=Recherche!$C$11),OR(Recherche!$C$12="",ISNUMBER(SEARCH(Recherche!$C$12,M4783&amp;" "&amp;F4783)))),1,0)</f>
        <v>8</v>
      </c>
    </row>
    <row r="4784" customFormat="false" ht="15" hidden="false" customHeight="false" outlineLevel="0" collapsed="false">
      <c r="A4784" s="19"/>
      <c r="B4784" s="19"/>
      <c r="C4784" s="19"/>
      <c r="D4784" s="19"/>
      <c r="E4784" s="22"/>
      <c r="F4784" s="19"/>
      <c r="G4784" s="26" t="str">
        <f aca="false">IF(D4784="","",IFERROR(VALUE(LEFT(D4784,FIND(" |",D4784&amp;" |")-1)),"?"))</f>
        <v/>
      </c>
      <c r="H4784" s="27" t="str">
        <f aca="false">IF(G4784="","",IF(G4784="?","⚠ pub inconnue",IFERROR(INDEX(Pubs!$B$2:$B$3001,MATCH(G4784,Pubs!$A$2:$A$3001,0))&amp;"","⚠ pub inconnue")))</f>
        <v/>
      </c>
      <c r="I4784" s="27" t="str">
        <f aca="false">IF(OR(G4784="",G4784="?"),"",IFERROR(INDEX(Pubs!$C$2:$C$3001,MATCH(G4784,Pubs!$A$2:$A$3001,0))&amp;"",""))</f>
        <v/>
      </c>
      <c r="J4784" s="27" t="str">
        <f aca="false">IF(OR(G4784="",G4784="?"),"",IFERROR(INDEX(Pubs!$G$2:$G$3001,MATCH(G4784,Pubs!$A$2:$A$3001,0))&amp;"",""))</f>
        <v/>
      </c>
      <c r="K4784" s="28" t="str">
        <f aca="false">IF(OR(G4784="",G4784="?"),"",IFERROR(INDEX(Pubs!$E$2:$E$3001,MATCH(G4784,Pubs!$A$2:$A$3001,0)),""))</f>
        <v/>
      </c>
      <c r="L4784" s="29" t="str">
        <f aca="false">IF(A4784="","",IFERROR(1/(1/INDEX(Numéros!$C$2:$C$3001,MATCH(A4784&amp;"|"&amp;B4784,Numéros!$F$2:$F$3001,0))),""))</f>
        <v/>
      </c>
      <c r="M4784" s="27" t="str">
        <f aca="false">IF(OR(G4784="",G4784="?"),"",IFERROR(INDEX(Pubs!$D$2:$D$3001,MATCH(G4784,Pubs!$A$2:$A$3001,0))&amp;"",""))</f>
        <v/>
      </c>
      <c r="N4784" s="27" t="n">
        <f aca="false">N(N4783)+IF(AND(A4784&lt;&gt;"",OR(Recherche!$C$4="",A4784=Recherche!$C$4),OR(Recherche!$C$5="",B4784&amp;""=Recherche!$C$5&amp;""),OR(Recherche!$C$6="",IFERROR(YEAR(L4784),0)=Recherche!$C$6),OR(Recherche!$C$7="",ISNUMBER(SEARCH(Recherche!$C$7,H4784))),OR(Recherche!$C$8="",J4784=Recherche!$C$8),OR(Recherche!$C$9="",I4784=Recherche!$C$9),OR(Recherche!$C$10="",G4784&amp;""=Recherche!$C$10&amp;""),OR(Recherche!$C$11="",E4784=Recherche!$C$11),OR(Recherche!$C$12="",ISNUMBER(SEARCH(Recherche!$C$12,M4784&amp;" "&amp;F4784)))),1,0)</f>
        <v>8</v>
      </c>
    </row>
    <row r="4785" customFormat="false" ht="15" hidden="false" customHeight="false" outlineLevel="0" collapsed="false">
      <c r="A4785" s="19"/>
      <c r="B4785" s="19"/>
      <c r="C4785" s="19"/>
      <c r="D4785" s="19"/>
      <c r="E4785" s="22"/>
      <c r="F4785" s="19"/>
      <c r="G4785" s="26" t="str">
        <f aca="false">IF(D4785="","",IFERROR(VALUE(LEFT(D4785,FIND(" |",D4785&amp;" |")-1)),"?"))</f>
        <v/>
      </c>
      <c r="H4785" s="27" t="str">
        <f aca="false">IF(G4785="","",IF(G4785="?","⚠ pub inconnue",IFERROR(INDEX(Pubs!$B$2:$B$3001,MATCH(G4785,Pubs!$A$2:$A$3001,0))&amp;"","⚠ pub inconnue")))</f>
        <v/>
      </c>
      <c r="I4785" s="27" t="str">
        <f aca="false">IF(OR(G4785="",G4785="?"),"",IFERROR(INDEX(Pubs!$C$2:$C$3001,MATCH(G4785,Pubs!$A$2:$A$3001,0))&amp;"",""))</f>
        <v/>
      </c>
      <c r="J4785" s="27" t="str">
        <f aca="false">IF(OR(G4785="",G4785="?"),"",IFERROR(INDEX(Pubs!$G$2:$G$3001,MATCH(G4785,Pubs!$A$2:$A$3001,0))&amp;"",""))</f>
        <v/>
      </c>
      <c r="K4785" s="28" t="str">
        <f aca="false">IF(OR(G4785="",G4785="?"),"",IFERROR(INDEX(Pubs!$E$2:$E$3001,MATCH(G4785,Pubs!$A$2:$A$3001,0)),""))</f>
        <v/>
      </c>
      <c r="L4785" s="29" t="str">
        <f aca="false">IF(A4785="","",IFERROR(1/(1/INDEX(Numéros!$C$2:$C$3001,MATCH(A4785&amp;"|"&amp;B4785,Numéros!$F$2:$F$3001,0))),""))</f>
        <v/>
      </c>
      <c r="M4785" s="27" t="str">
        <f aca="false">IF(OR(G4785="",G4785="?"),"",IFERROR(INDEX(Pubs!$D$2:$D$3001,MATCH(G4785,Pubs!$A$2:$A$3001,0))&amp;"",""))</f>
        <v/>
      </c>
      <c r="N4785" s="27" t="n">
        <f aca="false">N(N4784)+IF(AND(A4785&lt;&gt;"",OR(Recherche!$C$4="",A4785=Recherche!$C$4),OR(Recherche!$C$5="",B4785&amp;""=Recherche!$C$5&amp;""),OR(Recherche!$C$6="",IFERROR(YEAR(L4785),0)=Recherche!$C$6),OR(Recherche!$C$7="",ISNUMBER(SEARCH(Recherche!$C$7,H4785))),OR(Recherche!$C$8="",J4785=Recherche!$C$8),OR(Recherche!$C$9="",I4785=Recherche!$C$9),OR(Recherche!$C$10="",G4785&amp;""=Recherche!$C$10&amp;""),OR(Recherche!$C$11="",E4785=Recherche!$C$11),OR(Recherche!$C$12="",ISNUMBER(SEARCH(Recherche!$C$12,M4785&amp;" "&amp;F4785)))),1,0)</f>
        <v>8</v>
      </c>
    </row>
    <row r="4786" customFormat="false" ht="15" hidden="false" customHeight="false" outlineLevel="0" collapsed="false">
      <c r="A4786" s="19"/>
      <c r="B4786" s="19"/>
      <c r="C4786" s="19"/>
      <c r="D4786" s="19"/>
      <c r="E4786" s="22"/>
      <c r="F4786" s="19"/>
      <c r="G4786" s="26" t="str">
        <f aca="false">IF(D4786="","",IFERROR(VALUE(LEFT(D4786,FIND(" |",D4786&amp;" |")-1)),"?"))</f>
        <v/>
      </c>
      <c r="H4786" s="27" t="str">
        <f aca="false">IF(G4786="","",IF(G4786="?","⚠ pub inconnue",IFERROR(INDEX(Pubs!$B$2:$B$3001,MATCH(G4786,Pubs!$A$2:$A$3001,0))&amp;"","⚠ pub inconnue")))</f>
        <v/>
      </c>
      <c r="I4786" s="27" t="str">
        <f aca="false">IF(OR(G4786="",G4786="?"),"",IFERROR(INDEX(Pubs!$C$2:$C$3001,MATCH(G4786,Pubs!$A$2:$A$3001,0))&amp;"",""))</f>
        <v/>
      </c>
      <c r="J4786" s="27" t="str">
        <f aca="false">IF(OR(G4786="",G4786="?"),"",IFERROR(INDEX(Pubs!$G$2:$G$3001,MATCH(G4786,Pubs!$A$2:$A$3001,0))&amp;"",""))</f>
        <v/>
      </c>
      <c r="K4786" s="28" t="str">
        <f aca="false">IF(OR(G4786="",G4786="?"),"",IFERROR(INDEX(Pubs!$E$2:$E$3001,MATCH(G4786,Pubs!$A$2:$A$3001,0)),""))</f>
        <v/>
      </c>
      <c r="L4786" s="29" t="str">
        <f aca="false">IF(A4786="","",IFERROR(1/(1/INDEX(Numéros!$C$2:$C$3001,MATCH(A4786&amp;"|"&amp;B4786,Numéros!$F$2:$F$3001,0))),""))</f>
        <v/>
      </c>
      <c r="M4786" s="27" t="str">
        <f aca="false">IF(OR(G4786="",G4786="?"),"",IFERROR(INDEX(Pubs!$D$2:$D$3001,MATCH(G4786,Pubs!$A$2:$A$3001,0))&amp;"",""))</f>
        <v/>
      </c>
      <c r="N4786" s="27" t="n">
        <f aca="false">N(N4785)+IF(AND(A4786&lt;&gt;"",OR(Recherche!$C$4="",A4786=Recherche!$C$4),OR(Recherche!$C$5="",B4786&amp;""=Recherche!$C$5&amp;""),OR(Recherche!$C$6="",IFERROR(YEAR(L4786),0)=Recherche!$C$6),OR(Recherche!$C$7="",ISNUMBER(SEARCH(Recherche!$C$7,H4786))),OR(Recherche!$C$8="",J4786=Recherche!$C$8),OR(Recherche!$C$9="",I4786=Recherche!$C$9),OR(Recherche!$C$10="",G4786&amp;""=Recherche!$C$10&amp;""),OR(Recherche!$C$11="",E4786=Recherche!$C$11),OR(Recherche!$C$12="",ISNUMBER(SEARCH(Recherche!$C$12,M4786&amp;" "&amp;F4786)))),1,0)</f>
        <v>8</v>
      </c>
    </row>
    <row r="4787" customFormat="false" ht="15" hidden="false" customHeight="false" outlineLevel="0" collapsed="false">
      <c r="A4787" s="19"/>
      <c r="B4787" s="19"/>
      <c r="C4787" s="19"/>
      <c r="D4787" s="19"/>
      <c r="E4787" s="22"/>
      <c r="F4787" s="19"/>
      <c r="G4787" s="26" t="str">
        <f aca="false">IF(D4787="","",IFERROR(VALUE(LEFT(D4787,FIND(" |",D4787&amp;" |")-1)),"?"))</f>
        <v/>
      </c>
      <c r="H4787" s="27" t="str">
        <f aca="false">IF(G4787="","",IF(G4787="?","⚠ pub inconnue",IFERROR(INDEX(Pubs!$B$2:$B$3001,MATCH(G4787,Pubs!$A$2:$A$3001,0))&amp;"","⚠ pub inconnue")))</f>
        <v/>
      </c>
      <c r="I4787" s="27" t="str">
        <f aca="false">IF(OR(G4787="",G4787="?"),"",IFERROR(INDEX(Pubs!$C$2:$C$3001,MATCH(G4787,Pubs!$A$2:$A$3001,0))&amp;"",""))</f>
        <v/>
      </c>
      <c r="J4787" s="27" t="str">
        <f aca="false">IF(OR(G4787="",G4787="?"),"",IFERROR(INDEX(Pubs!$G$2:$G$3001,MATCH(G4787,Pubs!$A$2:$A$3001,0))&amp;"",""))</f>
        <v/>
      </c>
      <c r="K4787" s="28" t="str">
        <f aca="false">IF(OR(G4787="",G4787="?"),"",IFERROR(INDEX(Pubs!$E$2:$E$3001,MATCH(G4787,Pubs!$A$2:$A$3001,0)),""))</f>
        <v/>
      </c>
      <c r="L4787" s="29" t="str">
        <f aca="false">IF(A4787="","",IFERROR(1/(1/INDEX(Numéros!$C$2:$C$3001,MATCH(A4787&amp;"|"&amp;B4787,Numéros!$F$2:$F$3001,0))),""))</f>
        <v/>
      </c>
      <c r="M4787" s="27" t="str">
        <f aca="false">IF(OR(G4787="",G4787="?"),"",IFERROR(INDEX(Pubs!$D$2:$D$3001,MATCH(G4787,Pubs!$A$2:$A$3001,0))&amp;"",""))</f>
        <v/>
      </c>
      <c r="N4787" s="27" t="n">
        <f aca="false">N(N4786)+IF(AND(A4787&lt;&gt;"",OR(Recherche!$C$4="",A4787=Recherche!$C$4),OR(Recherche!$C$5="",B4787&amp;""=Recherche!$C$5&amp;""),OR(Recherche!$C$6="",IFERROR(YEAR(L4787),0)=Recherche!$C$6),OR(Recherche!$C$7="",ISNUMBER(SEARCH(Recherche!$C$7,H4787))),OR(Recherche!$C$8="",J4787=Recherche!$C$8),OR(Recherche!$C$9="",I4787=Recherche!$C$9),OR(Recherche!$C$10="",G4787&amp;""=Recherche!$C$10&amp;""),OR(Recherche!$C$11="",E4787=Recherche!$C$11),OR(Recherche!$C$12="",ISNUMBER(SEARCH(Recherche!$C$12,M4787&amp;" "&amp;F4787)))),1,0)</f>
        <v>8</v>
      </c>
    </row>
    <row r="4788" customFormat="false" ht="15" hidden="false" customHeight="false" outlineLevel="0" collapsed="false">
      <c r="A4788" s="19"/>
      <c r="B4788" s="19"/>
      <c r="C4788" s="19"/>
      <c r="D4788" s="19"/>
      <c r="E4788" s="22"/>
      <c r="F4788" s="19"/>
      <c r="G4788" s="26" t="str">
        <f aca="false">IF(D4788="","",IFERROR(VALUE(LEFT(D4788,FIND(" |",D4788&amp;" |")-1)),"?"))</f>
        <v/>
      </c>
      <c r="H4788" s="27" t="str">
        <f aca="false">IF(G4788="","",IF(G4788="?","⚠ pub inconnue",IFERROR(INDEX(Pubs!$B$2:$B$3001,MATCH(G4788,Pubs!$A$2:$A$3001,0))&amp;"","⚠ pub inconnue")))</f>
        <v/>
      </c>
      <c r="I4788" s="27" t="str">
        <f aca="false">IF(OR(G4788="",G4788="?"),"",IFERROR(INDEX(Pubs!$C$2:$C$3001,MATCH(G4788,Pubs!$A$2:$A$3001,0))&amp;"",""))</f>
        <v/>
      </c>
      <c r="J4788" s="27" t="str">
        <f aca="false">IF(OR(G4788="",G4788="?"),"",IFERROR(INDEX(Pubs!$G$2:$G$3001,MATCH(G4788,Pubs!$A$2:$A$3001,0))&amp;"",""))</f>
        <v/>
      </c>
      <c r="K4788" s="28" t="str">
        <f aca="false">IF(OR(G4788="",G4788="?"),"",IFERROR(INDEX(Pubs!$E$2:$E$3001,MATCH(G4788,Pubs!$A$2:$A$3001,0)),""))</f>
        <v/>
      </c>
      <c r="L4788" s="29" t="str">
        <f aca="false">IF(A4788="","",IFERROR(1/(1/INDEX(Numéros!$C$2:$C$3001,MATCH(A4788&amp;"|"&amp;B4788,Numéros!$F$2:$F$3001,0))),""))</f>
        <v/>
      </c>
      <c r="M4788" s="27" t="str">
        <f aca="false">IF(OR(G4788="",G4788="?"),"",IFERROR(INDEX(Pubs!$D$2:$D$3001,MATCH(G4788,Pubs!$A$2:$A$3001,0))&amp;"",""))</f>
        <v/>
      </c>
      <c r="N4788" s="27" t="n">
        <f aca="false">N(N4787)+IF(AND(A4788&lt;&gt;"",OR(Recherche!$C$4="",A4788=Recherche!$C$4),OR(Recherche!$C$5="",B4788&amp;""=Recherche!$C$5&amp;""),OR(Recherche!$C$6="",IFERROR(YEAR(L4788),0)=Recherche!$C$6),OR(Recherche!$C$7="",ISNUMBER(SEARCH(Recherche!$C$7,H4788))),OR(Recherche!$C$8="",J4788=Recherche!$C$8),OR(Recherche!$C$9="",I4788=Recherche!$C$9),OR(Recherche!$C$10="",G4788&amp;""=Recherche!$C$10&amp;""),OR(Recherche!$C$11="",E4788=Recherche!$C$11),OR(Recherche!$C$12="",ISNUMBER(SEARCH(Recherche!$C$12,M4788&amp;" "&amp;F4788)))),1,0)</f>
        <v>8</v>
      </c>
    </row>
    <row r="4789" customFormat="false" ht="15" hidden="false" customHeight="false" outlineLevel="0" collapsed="false">
      <c r="A4789" s="19"/>
      <c r="B4789" s="19"/>
      <c r="C4789" s="19"/>
      <c r="D4789" s="19"/>
      <c r="E4789" s="22"/>
      <c r="F4789" s="19"/>
      <c r="G4789" s="26" t="str">
        <f aca="false">IF(D4789="","",IFERROR(VALUE(LEFT(D4789,FIND(" |",D4789&amp;" |")-1)),"?"))</f>
        <v/>
      </c>
      <c r="H4789" s="27" t="str">
        <f aca="false">IF(G4789="","",IF(G4789="?","⚠ pub inconnue",IFERROR(INDEX(Pubs!$B$2:$B$3001,MATCH(G4789,Pubs!$A$2:$A$3001,0))&amp;"","⚠ pub inconnue")))</f>
        <v/>
      </c>
      <c r="I4789" s="27" t="str">
        <f aca="false">IF(OR(G4789="",G4789="?"),"",IFERROR(INDEX(Pubs!$C$2:$C$3001,MATCH(G4789,Pubs!$A$2:$A$3001,0))&amp;"",""))</f>
        <v/>
      </c>
      <c r="J4789" s="27" t="str">
        <f aca="false">IF(OR(G4789="",G4789="?"),"",IFERROR(INDEX(Pubs!$G$2:$G$3001,MATCH(G4789,Pubs!$A$2:$A$3001,0))&amp;"",""))</f>
        <v/>
      </c>
      <c r="K4789" s="28" t="str">
        <f aca="false">IF(OR(G4789="",G4789="?"),"",IFERROR(INDEX(Pubs!$E$2:$E$3001,MATCH(G4789,Pubs!$A$2:$A$3001,0)),""))</f>
        <v/>
      </c>
      <c r="L4789" s="29" t="str">
        <f aca="false">IF(A4789="","",IFERROR(1/(1/INDEX(Numéros!$C$2:$C$3001,MATCH(A4789&amp;"|"&amp;B4789,Numéros!$F$2:$F$3001,0))),""))</f>
        <v/>
      </c>
      <c r="M4789" s="27" t="str">
        <f aca="false">IF(OR(G4789="",G4789="?"),"",IFERROR(INDEX(Pubs!$D$2:$D$3001,MATCH(G4789,Pubs!$A$2:$A$3001,0))&amp;"",""))</f>
        <v/>
      </c>
      <c r="N4789" s="27" t="n">
        <f aca="false">N(N4788)+IF(AND(A4789&lt;&gt;"",OR(Recherche!$C$4="",A4789=Recherche!$C$4),OR(Recherche!$C$5="",B4789&amp;""=Recherche!$C$5&amp;""),OR(Recherche!$C$6="",IFERROR(YEAR(L4789),0)=Recherche!$C$6),OR(Recherche!$C$7="",ISNUMBER(SEARCH(Recherche!$C$7,H4789))),OR(Recherche!$C$8="",J4789=Recherche!$C$8),OR(Recherche!$C$9="",I4789=Recherche!$C$9),OR(Recherche!$C$10="",G4789&amp;""=Recherche!$C$10&amp;""),OR(Recherche!$C$11="",E4789=Recherche!$C$11),OR(Recherche!$C$12="",ISNUMBER(SEARCH(Recherche!$C$12,M4789&amp;" "&amp;F4789)))),1,0)</f>
        <v>8</v>
      </c>
    </row>
    <row r="4790" customFormat="false" ht="15" hidden="false" customHeight="false" outlineLevel="0" collapsed="false">
      <c r="A4790" s="19"/>
      <c r="B4790" s="19"/>
      <c r="C4790" s="19"/>
      <c r="D4790" s="19"/>
      <c r="E4790" s="22"/>
      <c r="F4790" s="19"/>
      <c r="G4790" s="26" t="str">
        <f aca="false">IF(D4790="","",IFERROR(VALUE(LEFT(D4790,FIND(" |",D4790&amp;" |")-1)),"?"))</f>
        <v/>
      </c>
      <c r="H4790" s="27" t="str">
        <f aca="false">IF(G4790="","",IF(G4790="?","⚠ pub inconnue",IFERROR(INDEX(Pubs!$B$2:$B$3001,MATCH(G4790,Pubs!$A$2:$A$3001,0))&amp;"","⚠ pub inconnue")))</f>
        <v/>
      </c>
      <c r="I4790" s="27" t="str">
        <f aca="false">IF(OR(G4790="",G4790="?"),"",IFERROR(INDEX(Pubs!$C$2:$C$3001,MATCH(G4790,Pubs!$A$2:$A$3001,0))&amp;"",""))</f>
        <v/>
      </c>
      <c r="J4790" s="27" t="str">
        <f aca="false">IF(OR(G4790="",G4790="?"),"",IFERROR(INDEX(Pubs!$G$2:$G$3001,MATCH(G4790,Pubs!$A$2:$A$3001,0))&amp;"",""))</f>
        <v/>
      </c>
      <c r="K4790" s="28" t="str">
        <f aca="false">IF(OR(G4790="",G4790="?"),"",IFERROR(INDEX(Pubs!$E$2:$E$3001,MATCH(G4790,Pubs!$A$2:$A$3001,0)),""))</f>
        <v/>
      </c>
      <c r="L4790" s="29" t="str">
        <f aca="false">IF(A4790="","",IFERROR(1/(1/INDEX(Numéros!$C$2:$C$3001,MATCH(A4790&amp;"|"&amp;B4790,Numéros!$F$2:$F$3001,0))),""))</f>
        <v/>
      </c>
      <c r="M4790" s="27" t="str">
        <f aca="false">IF(OR(G4790="",G4790="?"),"",IFERROR(INDEX(Pubs!$D$2:$D$3001,MATCH(G4790,Pubs!$A$2:$A$3001,0))&amp;"",""))</f>
        <v/>
      </c>
      <c r="N4790" s="27" t="n">
        <f aca="false">N(N4789)+IF(AND(A4790&lt;&gt;"",OR(Recherche!$C$4="",A4790=Recherche!$C$4),OR(Recherche!$C$5="",B4790&amp;""=Recherche!$C$5&amp;""),OR(Recherche!$C$6="",IFERROR(YEAR(L4790),0)=Recherche!$C$6),OR(Recherche!$C$7="",ISNUMBER(SEARCH(Recherche!$C$7,H4790))),OR(Recherche!$C$8="",J4790=Recherche!$C$8),OR(Recherche!$C$9="",I4790=Recherche!$C$9),OR(Recherche!$C$10="",G4790&amp;""=Recherche!$C$10&amp;""),OR(Recherche!$C$11="",E4790=Recherche!$C$11),OR(Recherche!$C$12="",ISNUMBER(SEARCH(Recherche!$C$12,M4790&amp;" "&amp;F4790)))),1,0)</f>
        <v>8</v>
      </c>
    </row>
    <row r="4791" customFormat="false" ht="15" hidden="false" customHeight="false" outlineLevel="0" collapsed="false">
      <c r="A4791" s="19"/>
      <c r="B4791" s="19"/>
      <c r="C4791" s="19"/>
      <c r="D4791" s="19"/>
      <c r="E4791" s="22"/>
      <c r="F4791" s="19"/>
      <c r="G4791" s="26" t="str">
        <f aca="false">IF(D4791="","",IFERROR(VALUE(LEFT(D4791,FIND(" |",D4791&amp;" |")-1)),"?"))</f>
        <v/>
      </c>
      <c r="H4791" s="27" t="str">
        <f aca="false">IF(G4791="","",IF(G4791="?","⚠ pub inconnue",IFERROR(INDEX(Pubs!$B$2:$B$3001,MATCH(G4791,Pubs!$A$2:$A$3001,0))&amp;"","⚠ pub inconnue")))</f>
        <v/>
      </c>
      <c r="I4791" s="27" t="str">
        <f aca="false">IF(OR(G4791="",G4791="?"),"",IFERROR(INDEX(Pubs!$C$2:$C$3001,MATCH(G4791,Pubs!$A$2:$A$3001,0))&amp;"",""))</f>
        <v/>
      </c>
      <c r="J4791" s="27" t="str">
        <f aca="false">IF(OR(G4791="",G4791="?"),"",IFERROR(INDEX(Pubs!$G$2:$G$3001,MATCH(G4791,Pubs!$A$2:$A$3001,0))&amp;"",""))</f>
        <v/>
      </c>
      <c r="K4791" s="28" t="str">
        <f aca="false">IF(OR(G4791="",G4791="?"),"",IFERROR(INDEX(Pubs!$E$2:$E$3001,MATCH(G4791,Pubs!$A$2:$A$3001,0)),""))</f>
        <v/>
      </c>
      <c r="L4791" s="29" t="str">
        <f aca="false">IF(A4791="","",IFERROR(1/(1/INDEX(Numéros!$C$2:$C$3001,MATCH(A4791&amp;"|"&amp;B4791,Numéros!$F$2:$F$3001,0))),""))</f>
        <v/>
      </c>
      <c r="M4791" s="27" t="str">
        <f aca="false">IF(OR(G4791="",G4791="?"),"",IFERROR(INDEX(Pubs!$D$2:$D$3001,MATCH(G4791,Pubs!$A$2:$A$3001,0))&amp;"",""))</f>
        <v/>
      </c>
      <c r="N4791" s="27" t="n">
        <f aca="false">N(N4790)+IF(AND(A4791&lt;&gt;"",OR(Recherche!$C$4="",A4791=Recherche!$C$4),OR(Recherche!$C$5="",B4791&amp;""=Recherche!$C$5&amp;""),OR(Recherche!$C$6="",IFERROR(YEAR(L4791),0)=Recherche!$C$6),OR(Recherche!$C$7="",ISNUMBER(SEARCH(Recherche!$C$7,H4791))),OR(Recherche!$C$8="",J4791=Recherche!$C$8),OR(Recherche!$C$9="",I4791=Recherche!$C$9),OR(Recherche!$C$10="",G4791&amp;""=Recherche!$C$10&amp;""),OR(Recherche!$C$11="",E4791=Recherche!$C$11),OR(Recherche!$C$12="",ISNUMBER(SEARCH(Recherche!$C$12,M4791&amp;" "&amp;F4791)))),1,0)</f>
        <v>8</v>
      </c>
    </row>
    <row r="4792" customFormat="false" ht="15" hidden="false" customHeight="false" outlineLevel="0" collapsed="false">
      <c r="A4792" s="19"/>
      <c r="B4792" s="19"/>
      <c r="C4792" s="19"/>
      <c r="D4792" s="19"/>
      <c r="E4792" s="22"/>
      <c r="F4792" s="19"/>
      <c r="G4792" s="26" t="str">
        <f aca="false">IF(D4792="","",IFERROR(VALUE(LEFT(D4792,FIND(" |",D4792&amp;" |")-1)),"?"))</f>
        <v/>
      </c>
      <c r="H4792" s="27" t="str">
        <f aca="false">IF(G4792="","",IF(G4792="?","⚠ pub inconnue",IFERROR(INDEX(Pubs!$B$2:$B$3001,MATCH(G4792,Pubs!$A$2:$A$3001,0))&amp;"","⚠ pub inconnue")))</f>
        <v/>
      </c>
      <c r="I4792" s="27" t="str">
        <f aca="false">IF(OR(G4792="",G4792="?"),"",IFERROR(INDEX(Pubs!$C$2:$C$3001,MATCH(G4792,Pubs!$A$2:$A$3001,0))&amp;"",""))</f>
        <v/>
      </c>
      <c r="J4792" s="27" t="str">
        <f aca="false">IF(OR(G4792="",G4792="?"),"",IFERROR(INDEX(Pubs!$G$2:$G$3001,MATCH(G4792,Pubs!$A$2:$A$3001,0))&amp;"",""))</f>
        <v/>
      </c>
      <c r="K4792" s="28" t="str">
        <f aca="false">IF(OR(G4792="",G4792="?"),"",IFERROR(INDEX(Pubs!$E$2:$E$3001,MATCH(G4792,Pubs!$A$2:$A$3001,0)),""))</f>
        <v/>
      </c>
      <c r="L4792" s="29" t="str">
        <f aca="false">IF(A4792="","",IFERROR(1/(1/INDEX(Numéros!$C$2:$C$3001,MATCH(A4792&amp;"|"&amp;B4792,Numéros!$F$2:$F$3001,0))),""))</f>
        <v/>
      </c>
      <c r="M4792" s="27" t="str">
        <f aca="false">IF(OR(G4792="",G4792="?"),"",IFERROR(INDEX(Pubs!$D$2:$D$3001,MATCH(G4792,Pubs!$A$2:$A$3001,0))&amp;"",""))</f>
        <v/>
      </c>
      <c r="N4792" s="27" t="n">
        <f aca="false">N(N4791)+IF(AND(A4792&lt;&gt;"",OR(Recherche!$C$4="",A4792=Recherche!$C$4),OR(Recherche!$C$5="",B4792&amp;""=Recherche!$C$5&amp;""),OR(Recherche!$C$6="",IFERROR(YEAR(L4792),0)=Recherche!$C$6),OR(Recherche!$C$7="",ISNUMBER(SEARCH(Recherche!$C$7,H4792))),OR(Recherche!$C$8="",J4792=Recherche!$C$8),OR(Recherche!$C$9="",I4792=Recherche!$C$9),OR(Recherche!$C$10="",G4792&amp;""=Recherche!$C$10&amp;""),OR(Recherche!$C$11="",E4792=Recherche!$C$11),OR(Recherche!$C$12="",ISNUMBER(SEARCH(Recherche!$C$12,M4792&amp;" "&amp;F4792)))),1,0)</f>
        <v>8</v>
      </c>
    </row>
    <row r="4793" customFormat="false" ht="15" hidden="false" customHeight="false" outlineLevel="0" collapsed="false">
      <c r="A4793" s="19"/>
      <c r="B4793" s="19"/>
      <c r="C4793" s="19"/>
      <c r="D4793" s="19"/>
      <c r="E4793" s="22"/>
      <c r="F4793" s="19"/>
      <c r="G4793" s="26" t="str">
        <f aca="false">IF(D4793="","",IFERROR(VALUE(LEFT(D4793,FIND(" |",D4793&amp;" |")-1)),"?"))</f>
        <v/>
      </c>
      <c r="H4793" s="27" t="str">
        <f aca="false">IF(G4793="","",IF(G4793="?","⚠ pub inconnue",IFERROR(INDEX(Pubs!$B$2:$B$3001,MATCH(G4793,Pubs!$A$2:$A$3001,0))&amp;"","⚠ pub inconnue")))</f>
        <v/>
      </c>
      <c r="I4793" s="27" t="str">
        <f aca="false">IF(OR(G4793="",G4793="?"),"",IFERROR(INDEX(Pubs!$C$2:$C$3001,MATCH(G4793,Pubs!$A$2:$A$3001,0))&amp;"",""))</f>
        <v/>
      </c>
      <c r="J4793" s="27" t="str">
        <f aca="false">IF(OR(G4793="",G4793="?"),"",IFERROR(INDEX(Pubs!$G$2:$G$3001,MATCH(G4793,Pubs!$A$2:$A$3001,0))&amp;"",""))</f>
        <v/>
      </c>
      <c r="K4793" s="28" t="str">
        <f aca="false">IF(OR(G4793="",G4793="?"),"",IFERROR(INDEX(Pubs!$E$2:$E$3001,MATCH(G4793,Pubs!$A$2:$A$3001,0)),""))</f>
        <v/>
      </c>
      <c r="L4793" s="29" t="str">
        <f aca="false">IF(A4793="","",IFERROR(1/(1/INDEX(Numéros!$C$2:$C$3001,MATCH(A4793&amp;"|"&amp;B4793,Numéros!$F$2:$F$3001,0))),""))</f>
        <v/>
      </c>
      <c r="M4793" s="27" t="str">
        <f aca="false">IF(OR(G4793="",G4793="?"),"",IFERROR(INDEX(Pubs!$D$2:$D$3001,MATCH(G4793,Pubs!$A$2:$A$3001,0))&amp;"",""))</f>
        <v/>
      </c>
      <c r="N4793" s="27" t="n">
        <f aca="false">N(N4792)+IF(AND(A4793&lt;&gt;"",OR(Recherche!$C$4="",A4793=Recherche!$C$4),OR(Recherche!$C$5="",B4793&amp;""=Recherche!$C$5&amp;""),OR(Recherche!$C$6="",IFERROR(YEAR(L4793),0)=Recherche!$C$6),OR(Recherche!$C$7="",ISNUMBER(SEARCH(Recherche!$C$7,H4793))),OR(Recherche!$C$8="",J4793=Recherche!$C$8),OR(Recherche!$C$9="",I4793=Recherche!$C$9),OR(Recherche!$C$10="",G4793&amp;""=Recherche!$C$10&amp;""),OR(Recherche!$C$11="",E4793=Recherche!$C$11),OR(Recherche!$C$12="",ISNUMBER(SEARCH(Recherche!$C$12,M4793&amp;" "&amp;F4793)))),1,0)</f>
        <v>8</v>
      </c>
    </row>
    <row r="4794" customFormat="false" ht="15" hidden="false" customHeight="false" outlineLevel="0" collapsed="false">
      <c r="A4794" s="19"/>
      <c r="B4794" s="19"/>
      <c r="C4794" s="19"/>
      <c r="D4794" s="19"/>
      <c r="E4794" s="22"/>
      <c r="F4794" s="19"/>
      <c r="G4794" s="26" t="str">
        <f aca="false">IF(D4794="","",IFERROR(VALUE(LEFT(D4794,FIND(" |",D4794&amp;" |")-1)),"?"))</f>
        <v/>
      </c>
      <c r="H4794" s="27" t="str">
        <f aca="false">IF(G4794="","",IF(G4794="?","⚠ pub inconnue",IFERROR(INDEX(Pubs!$B$2:$B$3001,MATCH(G4794,Pubs!$A$2:$A$3001,0))&amp;"","⚠ pub inconnue")))</f>
        <v/>
      </c>
      <c r="I4794" s="27" t="str">
        <f aca="false">IF(OR(G4794="",G4794="?"),"",IFERROR(INDEX(Pubs!$C$2:$C$3001,MATCH(G4794,Pubs!$A$2:$A$3001,0))&amp;"",""))</f>
        <v/>
      </c>
      <c r="J4794" s="27" t="str">
        <f aca="false">IF(OR(G4794="",G4794="?"),"",IFERROR(INDEX(Pubs!$G$2:$G$3001,MATCH(G4794,Pubs!$A$2:$A$3001,0))&amp;"",""))</f>
        <v/>
      </c>
      <c r="K4794" s="28" t="str">
        <f aca="false">IF(OR(G4794="",G4794="?"),"",IFERROR(INDEX(Pubs!$E$2:$E$3001,MATCH(G4794,Pubs!$A$2:$A$3001,0)),""))</f>
        <v/>
      </c>
      <c r="L4794" s="29" t="str">
        <f aca="false">IF(A4794="","",IFERROR(1/(1/INDEX(Numéros!$C$2:$C$3001,MATCH(A4794&amp;"|"&amp;B4794,Numéros!$F$2:$F$3001,0))),""))</f>
        <v/>
      </c>
      <c r="M4794" s="27" t="str">
        <f aca="false">IF(OR(G4794="",G4794="?"),"",IFERROR(INDEX(Pubs!$D$2:$D$3001,MATCH(G4794,Pubs!$A$2:$A$3001,0))&amp;"",""))</f>
        <v/>
      </c>
      <c r="N4794" s="27" t="n">
        <f aca="false">N(N4793)+IF(AND(A4794&lt;&gt;"",OR(Recherche!$C$4="",A4794=Recherche!$C$4),OR(Recherche!$C$5="",B4794&amp;""=Recherche!$C$5&amp;""),OR(Recherche!$C$6="",IFERROR(YEAR(L4794),0)=Recherche!$C$6),OR(Recherche!$C$7="",ISNUMBER(SEARCH(Recherche!$C$7,H4794))),OR(Recherche!$C$8="",J4794=Recherche!$C$8),OR(Recherche!$C$9="",I4794=Recherche!$C$9),OR(Recherche!$C$10="",G4794&amp;""=Recherche!$C$10&amp;""),OR(Recherche!$C$11="",E4794=Recherche!$C$11),OR(Recherche!$C$12="",ISNUMBER(SEARCH(Recherche!$C$12,M4794&amp;" "&amp;F4794)))),1,0)</f>
        <v>8</v>
      </c>
    </row>
    <row r="4795" customFormat="false" ht="15" hidden="false" customHeight="false" outlineLevel="0" collapsed="false">
      <c r="A4795" s="19"/>
      <c r="B4795" s="19"/>
      <c r="C4795" s="19"/>
      <c r="D4795" s="19"/>
      <c r="E4795" s="22"/>
      <c r="F4795" s="19"/>
      <c r="G4795" s="26" t="str">
        <f aca="false">IF(D4795="","",IFERROR(VALUE(LEFT(D4795,FIND(" |",D4795&amp;" |")-1)),"?"))</f>
        <v/>
      </c>
      <c r="H4795" s="27" t="str">
        <f aca="false">IF(G4795="","",IF(G4795="?","⚠ pub inconnue",IFERROR(INDEX(Pubs!$B$2:$B$3001,MATCH(G4795,Pubs!$A$2:$A$3001,0))&amp;"","⚠ pub inconnue")))</f>
        <v/>
      </c>
      <c r="I4795" s="27" t="str">
        <f aca="false">IF(OR(G4795="",G4795="?"),"",IFERROR(INDEX(Pubs!$C$2:$C$3001,MATCH(G4795,Pubs!$A$2:$A$3001,0))&amp;"",""))</f>
        <v/>
      </c>
      <c r="J4795" s="27" t="str">
        <f aca="false">IF(OR(G4795="",G4795="?"),"",IFERROR(INDEX(Pubs!$G$2:$G$3001,MATCH(G4795,Pubs!$A$2:$A$3001,0))&amp;"",""))</f>
        <v/>
      </c>
      <c r="K4795" s="28" t="str">
        <f aca="false">IF(OR(G4795="",G4795="?"),"",IFERROR(INDEX(Pubs!$E$2:$E$3001,MATCH(G4795,Pubs!$A$2:$A$3001,0)),""))</f>
        <v/>
      </c>
      <c r="L4795" s="29" t="str">
        <f aca="false">IF(A4795="","",IFERROR(1/(1/INDEX(Numéros!$C$2:$C$3001,MATCH(A4795&amp;"|"&amp;B4795,Numéros!$F$2:$F$3001,0))),""))</f>
        <v/>
      </c>
      <c r="M4795" s="27" t="str">
        <f aca="false">IF(OR(G4795="",G4795="?"),"",IFERROR(INDEX(Pubs!$D$2:$D$3001,MATCH(G4795,Pubs!$A$2:$A$3001,0))&amp;"",""))</f>
        <v/>
      </c>
      <c r="N4795" s="27" t="n">
        <f aca="false">N(N4794)+IF(AND(A4795&lt;&gt;"",OR(Recherche!$C$4="",A4795=Recherche!$C$4),OR(Recherche!$C$5="",B4795&amp;""=Recherche!$C$5&amp;""),OR(Recherche!$C$6="",IFERROR(YEAR(L4795),0)=Recherche!$C$6),OR(Recherche!$C$7="",ISNUMBER(SEARCH(Recherche!$C$7,H4795))),OR(Recherche!$C$8="",J4795=Recherche!$C$8),OR(Recherche!$C$9="",I4795=Recherche!$C$9),OR(Recherche!$C$10="",G4795&amp;""=Recherche!$C$10&amp;""),OR(Recherche!$C$11="",E4795=Recherche!$C$11),OR(Recherche!$C$12="",ISNUMBER(SEARCH(Recherche!$C$12,M4795&amp;" "&amp;F4795)))),1,0)</f>
        <v>8</v>
      </c>
    </row>
    <row r="4796" customFormat="false" ht="15" hidden="false" customHeight="false" outlineLevel="0" collapsed="false">
      <c r="A4796" s="19"/>
      <c r="B4796" s="19"/>
      <c r="C4796" s="19"/>
      <c r="D4796" s="19"/>
      <c r="E4796" s="22"/>
      <c r="F4796" s="19"/>
      <c r="G4796" s="26" t="str">
        <f aca="false">IF(D4796="","",IFERROR(VALUE(LEFT(D4796,FIND(" |",D4796&amp;" |")-1)),"?"))</f>
        <v/>
      </c>
      <c r="H4796" s="27" t="str">
        <f aca="false">IF(G4796="","",IF(G4796="?","⚠ pub inconnue",IFERROR(INDEX(Pubs!$B$2:$B$3001,MATCH(G4796,Pubs!$A$2:$A$3001,0))&amp;"","⚠ pub inconnue")))</f>
        <v/>
      </c>
      <c r="I4796" s="27" t="str">
        <f aca="false">IF(OR(G4796="",G4796="?"),"",IFERROR(INDEX(Pubs!$C$2:$C$3001,MATCH(G4796,Pubs!$A$2:$A$3001,0))&amp;"",""))</f>
        <v/>
      </c>
      <c r="J4796" s="27" t="str">
        <f aca="false">IF(OR(G4796="",G4796="?"),"",IFERROR(INDEX(Pubs!$G$2:$G$3001,MATCH(G4796,Pubs!$A$2:$A$3001,0))&amp;"",""))</f>
        <v/>
      </c>
      <c r="K4796" s="28" t="str">
        <f aca="false">IF(OR(G4796="",G4796="?"),"",IFERROR(INDEX(Pubs!$E$2:$E$3001,MATCH(G4796,Pubs!$A$2:$A$3001,0)),""))</f>
        <v/>
      </c>
      <c r="L4796" s="29" t="str">
        <f aca="false">IF(A4796="","",IFERROR(1/(1/INDEX(Numéros!$C$2:$C$3001,MATCH(A4796&amp;"|"&amp;B4796,Numéros!$F$2:$F$3001,0))),""))</f>
        <v/>
      </c>
      <c r="M4796" s="27" t="str">
        <f aca="false">IF(OR(G4796="",G4796="?"),"",IFERROR(INDEX(Pubs!$D$2:$D$3001,MATCH(G4796,Pubs!$A$2:$A$3001,0))&amp;"",""))</f>
        <v/>
      </c>
      <c r="N4796" s="27" t="n">
        <f aca="false">N(N4795)+IF(AND(A4796&lt;&gt;"",OR(Recherche!$C$4="",A4796=Recherche!$C$4),OR(Recherche!$C$5="",B4796&amp;""=Recherche!$C$5&amp;""),OR(Recherche!$C$6="",IFERROR(YEAR(L4796),0)=Recherche!$C$6),OR(Recherche!$C$7="",ISNUMBER(SEARCH(Recherche!$C$7,H4796))),OR(Recherche!$C$8="",J4796=Recherche!$C$8),OR(Recherche!$C$9="",I4796=Recherche!$C$9),OR(Recherche!$C$10="",G4796&amp;""=Recherche!$C$10&amp;""),OR(Recherche!$C$11="",E4796=Recherche!$C$11),OR(Recherche!$C$12="",ISNUMBER(SEARCH(Recherche!$C$12,M4796&amp;" "&amp;F4796)))),1,0)</f>
        <v>8</v>
      </c>
    </row>
    <row r="4797" customFormat="false" ht="15" hidden="false" customHeight="false" outlineLevel="0" collapsed="false">
      <c r="A4797" s="19"/>
      <c r="B4797" s="19"/>
      <c r="C4797" s="19"/>
      <c r="D4797" s="19"/>
      <c r="E4797" s="22"/>
      <c r="F4797" s="19"/>
      <c r="G4797" s="26" t="str">
        <f aca="false">IF(D4797="","",IFERROR(VALUE(LEFT(D4797,FIND(" |",D4797&amp;" |")-1)),"?"))</f>
        <v/>
      </c>
      <c r="H4797" s="27" t="str">
        <f aca="false">IF(G4797="","",IF(G4797="?","⚠ pub inconnue",IFERROR(INDEX(Pubs!$B$2:$B$3001,MATCH(G4797,Pubs!$A$2:$A$3001,0))&amp;"","⚠ pub inconnue")))</f>
        <v/>
      </c>
      <c r="I4797" s="27" t="str">
        <f aca="false">IF(OR(G4797="",G4797="?"),"",IFERROR(INDEX(Pubs!$C$2:$C$3001,MATCH(G4797,Pubs!$A$2:$A$3001,0))&amp;"",""))</f>
        <v/>
      </c>
      <c r="J4797" s="27" t="str">
        <f aca="false">IF(OR(G4797="",G4797="?"),"",IFERROR(INDEX(Pubs!$G$2:$G$3001,MATCH(G4797,Pubs!$A$2:$A$3001,0))&amp;"",""))</f>
        <v/>
      </c>
      <c r="K4797" s="28" t="str">
        <f aca="false">IF(OR(G4797="",G4797="?"),"",IFERROR(INDEX(Pubs!$E$2:$E$3001,MATCH(G4797,Pubs!$A$2:$A$3001,0)),""))</f>
        <v/>
      </c>
      <c r="L4797" s="29" t="str">
        <f aca="false">IF(A4797="","",IFERROR(1/(1/INDEX(Numéros!$C$2:$C$3001,MATCH(A4797&amp;"|"&amp;B4797,Numéros!$F$2:$F$3001,0))),""))</f>
        <v/>
      </c>
      <c r="M4797" s="27" t="str">
        <f aca="false">IF(OR(G4797="",G4797="?"),"",IFERROR(INDEX(Pubs!$D$2:$D$3001,MATCH(G4797,Pubs!$A$2:$A$3001,0))&amp;"",""))</f>
        <v/>
      </c>
      <c r="N4797" s="27" t="n">
        <f aca="false">N(N4796)+IF(AND(A4797&lt;&gt;"",OR(Recherche!$C$4="",A4797=Recherche!$C$4),OR(Recherche!$C$5="",B4797&amp;""=Recherche!$C$5&amp;""),OR(Recherche!$C$6="",IFERROR(YEAR(L4797),0)=Recherche!$C$6),OR(Recherche!$C$7="",ISNUMBER(SEARCH(Recherche!$C$7,H4797))),OR(Recherche!$C$8="",J4797=Recherche!$C$8),OR(Recherche!$C$9="",I4797=Recherche!$C$9),OR(Recherche!$C$10="",G4797&amp;""=Recherche!$C$10&amp;""),OR(Recherche!$C$11="",E4797=Recherche!$C$11),OR(Recherche!$C$12="",ISNUMBER(SEARCH(Recherche!$C$12,M4797&amp;" "&amp;F4797)))),1,0)</f>
        <v>8</v>
      </c>
    </row>
    <row r="4798" customFormat="false" ht="15" hidden="false" customHeight="false" outlineLevel="0" collapsed="false">
      <c r="A4798" s="19"/>
      <c r="B4798" s="19"/>
      <c r="C4798" s="19"/>
      <c r="D4798" s="19"/>
      <c r="E4798" s="22"/>
      <c r="F4798" s="19"/>
      <c r="G4798" s="26" t="str">
        <f aca="false">IF(D4798="","",IFERROR(VALUE(LEFT(D4798,FIND(" |",D4798&amp;" |")-1)),"?"))</f>
        <v/>
      </c>
      <c r="H4798" s="27" t="str">
        <f aca="false">IF(G4798="","",IF(G4798="?","⚠ pub inconnue",IFERROR(INDEX(Pubs!$B$2:$B$3001,MATCH(G4798,Pubs!$A$2:$A$3001,0))&amp;"","⚠ pub inconnue")))</f>
        <v/>
      </c>
      <c r="I4798" s="27" t="str">
        <f aca="false">IF(OR(G4798="",G4798="?"),"",IFERROR(INDEX(Pubs!$C$2:$C$3001,MATCH(G4798,Pubs!$A$2:$A$3001,0))&amp;"",""))</f>
        <v/>
      </c>
      <c r="J4798" s="27" t="str">
        <f aca="false">IF(OR(G4798="",G4798="?"),"",IFERROR(INDEX(Pubs!$G$2:$G$3001,MATCH(G4798,Pubs!$A$2:$A$3001,0))&amp;"",""))</f>
        <v/>
      </c>
      <c r="K4798" s="28" t="str">
        <f aca="false">IF(OR(G4798="",G4798="?"),"",IFERROR(INDEX(Pubs!$E$2:$E$3001,MATCH(G4798,Pubs!$A$2:$A$3001,0)),""))</f>
        <v/>
      </c>
      <c r="L4798" s="29" t="str">
        <f aca="false">IF(A4798="","",IFERROR(1/(1/INDEX(Numéros!$C$2:$C$3001,MATCH(A4798&amp;"|"&amp;B4798,Numéros!$F$2:$F$3001,0))),""))</f>
        <v/>
      </c>
      <c r="M4798" s="27" t="str">
        <f aca="false">IF(OR(G4798="",G4798="?"),"",IFERROR(INDEX(Pubs!$D$2:$D$3001,MATCH(G4798,Pubs!$A$2:$A$3001,0))&amp;"",""))</f>
        <v/>
      </c>
      <c r="N4798" s="27" t="n">
        <f aca="false">N(N4797)+IF(AND(A4798&lt;&gt;"",OR(Recherche!$C$4="",A4798=Recherche!$C$4),OR(Recherche!$C$5="",B4798&amp;""=Recherche!$C$5&amp;""),OR(Recherche!$C$6="",IFERROR(YEAR(L4798),0)=Recherche!$C$6),OR(Recherche!$C$7="",ISNUMBER(SEARCH(Recherche!$C$7,H4798))),OR(Recherche!$C$8="",J4798=Recherche!$C$8),OR(Recherche!$C$9="",I4798=Recherche!$C$9),OR(Recherche!$C$10="",G4798&amp;""=Recherche!$C$10&amp;""),OR(Recherche!$C$11="",E4798=Recherche!$C$11),OR(Recherche!$C$12="",ISNUMBER(SEARCH(Recherche!$C$12,M4798&amp;" "&amp;F4798)))),1,0)</f>
        <v>8</v>
      </c>
    </row>
    <row r="4799" customFormat="false" ht="15" hidden="false" customHeight="false" outlineLevel="0" collapsed="false">
      <c r="A4799" s="19"/>
      <c r="B4799" s="19"/>
      <c r="C4799" s="19"/>
      <c r="D4799" s="19"/>
      <c r="E4799" s="22"/>
      <c r="F4799" s="19"/>
      <c r="G4799" s="26" t="str">
        <f aca="false">IF(D4799="","",IFERROR(VALUE(LEFT(D4799,FIND(" |",D4799&amp;" |")-1)),"?"))</f>
        <v/>
      </c>
      <c r="H4799" s="27" t="str">
        <f aca="false">IF(G4799="","",IF(G4799="?","⚠ pub inconnue",IFERROR(INDEX(Pubs!$B$2:$B$3001,MATCH(G4799,Pubs!$A$2:$A$3001,0))&amp;"","⚠ pub inconnue")))</f>
        <v/>
      </c>
      <c r="I4799" s="27" t="str">
        <f aca="false">IF(OR(G4799="",G4799="?"),"",IFERROR(INDEX(Pubs!$C$2:$C$3001,MATCH(G4799,Pubs!$A$2:$A$3001,0))&amp;"",""))</f>
        <v/>
      </c>
      <c r="J4799" s="27" t="str">
        <f aca="false">IF(OR(G4799="",G4799="?"),"",IFERROR(INDEX(Pubs!$G$2:$G$3001,MATCH(G4799,Pubs!$A$2:$A$3001,0))&amp;"",""))</f>
        <v/>
      </c>
      <c r="K4799" s="28" t="str">
        <f aca="false">IF(OR(G4799="",G4799="?"),"",IFERROR(INDEX(Pubs!$E$2:$E$3001,MATCH(G4799,Pubs!$A$2:$A$3001,0)),""))</f>
        <v/>
      </c>
      <c r="L4799" s="29" t="str">
        <f aca="false">IF(A4799="","",IFERROR(1/(1/INDEX(Numéros!$C$2:$C$3001,MATCH(A4799&amp;"|"&amp;B4799,Numéros!$F$2:$F$3001,0))),""))</f>
        <v/>
      </c>
      <c r="M4799" s="27" t="str">
        <f aca="false">IF(OR(G4799="",G4799="?"),"",IFERROR(INDEX(Pubs!$D$2:$D$3001,MATCH(G4799,Pubs!$A$2:$A$3001,0))&amp;"",""))</f>
        <v/>
      </c>
      <c r="N4799" s="27" t="n">
        <f aca="false">N(N4798)+IF(AND(A4799&lt;&gt;"",OR(Recherche!$C$4="",A4799=Recherche!$C$4),OR(Recherche!$C$5="",B4799&amp;""=Recherche!$C$5&amp;""),OR(Recherche!$C$6="",IFERROR(YEAR(L4799),0)=Recherche!$C$6),OR(Recherche!$C$7="",ISNUMBER(SEARCH(Recherche!$C$7,H4799))),OR(Recherche!$C$8="",J4799=Recherche!$C$8),OR(Recherche!$C$9="",I4799=Recherche!$C$9),OR(Recherche!$C$10="",G4799&amp;""=Recherche!$C$10&amp;""),OR(Recherche!$C$11="",E4799=Recherche!$C$11),OR(Recherche!$C$12="",ISNUMBER(SEARCH(Recherche!$C$12,M4799&amp;" "&amp;F4799)))),1,0)</f>
        <v>8</v>
      </c>
    </row>
    <row r="4800" customFormat="false" ht="15" hidden="false" customHeight="false" outlineLevel="0" collapsed="false">
      <c r="A4800" s="19"/>
      <c r="B4800" s="19"/>
      <c r="C4800" s="19"/>
      <c r="D4800" s="19"/>
      <c r="E4800" s="22"/>
      <c r="F4800" s="19"/>
      <c r="G4800" s="26" t="str">
        <f aca="false">IF(D4800="","",IFERROR(VALUE(LEFT(D4800,FIND(" |",D4800&amp;" |")-1)),"?"))</f>
        <v/>
      </c>
      <c r="H4800" s="27" t="str">
        <f aca="false">IF(G4800="","",IF(G4800="?","⚠ pub inconnue",IFERROR(INDEX(Pubs!$B$2:$B$3001,MATCH(G4800,Pubs!$A$2:$A$3001,0))&amp;"","⚠ pub inconnue")))</f>
        <v/>
      </c>
      <c r="I4800" s="27" t="str">
        <f aca="false">IF(OR(G4800="",G4800="?"),"",IFERROR(INDEX(Pubs!$C$2:$C$3001,MATCH(G4800,Pubs!$A$2:$A$3001,0))&amp;"",""))</f>
        <v/>
      </c>
      <c r="J4800" s="27" t="str">
        <f aca="false">IF(OR(G4800="",G4800="?"),"",IFERROR(INDEX(Pubs!$G$2:$G$3001,MATCH(G4800,Pubs!$A$2:$A$3001,0))&amp;"",""))</f>
        <v/>
      </c>
      <c r="K4800" s="28" t="str">
        <f aca="false">IF(OR(G4800="",G4800="?"),"",IFERROR(INDEX(Pubs!$E$2:$E$3001,MATCH(G4800,Pubs!$A$2:$A$3001,0)),""))</f>
        <v/>
      </c>
      <c r="L4800" s="29" t="str">
        <f aca="false">IF(A4800="","",IFERROR(1/(1/INDEX(Numéros!$C$2:$C$3001,MATCH(A4800&amp;"|"&amp;B4800,Numéros!$F$2:$F$3001,0))),""))</f>
        <v/>
      </c>
      <c r="M4800" s="27" t="str">
        <f aca="false">IF(OR(G4800="",G4800="?"),"",IFERROR(INDEX(Pubs!$D$2:$D$3001,MATCH(G4800,Pubs!$A$2:$A$3001,0))&amp;"",""))</f>
        <v/>
      </c>
      <c r="N4800" s="27" t="n">
        <f aca="false">N(N4799)+IF(AND(A4800&lt;&gt;"",OR(Recherche!$C$4="",A4800=Recherche!$C$4),OR(Recherche!$C$5="",B4800&amp;""=Recherche!$C$5&amp;""),OR(Recherche!$C$6="",IFERROR(YEAR(L4800),0)=Recherche!$C$6),OR(Recherche!$C$7="",ISNUMBER(SEARCH(Recherche!$C$7,H4800))),OR(Recherche!$C$8="",J4800=Recherche!$C$8),OR(Recherche!$C$9="",I4800=Recherche!$C$9),OR(Recherche!$C$10="",G4800&amp;""=Recherche!$C$10&amp;""),OR(Recherche!$C$11="",E4800=Recherche!$C$11),OR(Recherche!$C$12="",ISNUMBER(SEARCH(Recherche!$C$12,M4800&amp;" "&amp;F4800)))),1,0)</f>
        <v>8</v>
      </c>
    </row>
    <row r="4801" customFormat="false" ht="15" hidden="false" customHeight="false" outlineLevel="0" collapsed="false">
      <c r="A4801" s="19"/>
      <c r="B4801" s="19"/>
      <c r="C4801" s="19"/>
      <c r="D4801" s="19"/>
      <c r="E4801" s="22"/>
      <c r="F4801" s="19"/>
      <c r="G4801" s="26" t="str">
        <f aca="false">IF(D4801="","",IFERROR(VALUE(LEFT(D4801,FIND(" |",D4801&amp;" |")-1)),"?"))</f>
        <v/>
      </c>
      <c r="H4801" s="27" t="str">
        <f aca="false">IF(G4801="","",IF(G4801="?","⚠ pub inconnue",IFERROR(INDEX(Pubs!$B$2:$B$3001,MATCH(G4801,Pubs!$A$2:$A$3001,0))&amp;"","⚠ pub inconnue")))</f>
        <v/>
      </c>
      <c r="I4801" s="27" t="str">
        <f aca="false">IF(OR(G4801="",G4801="?"),"",IFERROR(INDEX(Pubs!$C$2:$C$3001,MATCH(G4801,Pubs!$A$2:$A$3001,0))&amp;"",""))</f>
        <v/>
      </c>
      <c r="J4801" s="27" t="str">
        <f aca="false">IF(OR(G4801="",G4801="?"),"",IFERROR(INDEX(Pubs!$G$2:$G$3001,MATCH(G4801,Pubs!$A$2:$A$3001,0))&amp;"",""))</f>
        <v/>
      </c>
      <c r="K4801" s="28" t="str">
        <f aca="false">IF(OR(G4801="",G4801="?"),"",IFERROR(INDEX(Pubs!$E$2:$E$3001,MATCH(G4801,Pubs!$A$2:$A$3001,0)),""))</f>
        <v/>
      </c>
      <c r="L4801" s="29" t="str">
        <f aca="false">IF(A4801="","",IFERROR(1/(1/INDEX(Numéros!$C$2:$C$3001,MATCH(A4801&amp;"|"&amp;B4801,Numéros!$F$2:$F$3001,0))),""))</f>
        <v/>
      </c>
      <c r="M4801" s="27" t="str">
        <f aca="false">IF(OR(G4801="",G4801="?"),"",IFERROR(INDEX(Pubs!$D$2:$D$3001,MATCH(G4801,Pubs!$A$2:$A$3001,0))&amp;"",""))</f>
        <v/>
      </c>
      <c r="N4801" s="27" t="n">
        <f aca="false">N(N4800)+IF(AND(A4801&lt;&gt;"",OR(Recherche!$C$4="",A4801=Recherche!$C$4),OR(Recherche!$C$5="",B4801&amp;""=Recherche!$C$5&amp;""),OR(Recherche!$C$6="",IFERROR(YEAR(L4801),0)=Recherche!$C$6),OR(Recherche!$C$7="",ISNUMBER(SEARCH(Recherche!$C$7,H4801))),OR(Recherche!$C$8="",J4801=Recherche!$C$8),OR(Recherche!$C$9="",I4801=Recherche!$C$9),OR(Recherche!$C$10="",G4801&amp;""=Recherche!$C$10&amp;""),OR(Recherche!$C$11="",E4801=Recherche!$C$11),OR(Recherche!$C$12="",ISNUMBER(SEARCH(Recherche!$C$12,M4801&amp;" "&amp;F4801)))),1,0)</f>
        <v>8</v>
      </c>
    </row>
    <row r="4802" customFormat="false" ht="15" hidden="false" customHeight="false" outlineLevel="0" collapsed="false">
      <c r="A4802" s="19"/>
      <c r="B4802" s="19"/>
      <c r="C4802" s="19"/>
      <c r="D4802" s="19"/>
      <c r="E4802" s="22"/>
      <c r="F4802" s="19"/>
      <c r="G4802" s="26" t="str">
        <f aca="false">IF(D4802="","",IFERROR(VALUE(LEFT(D4802,FIND(" |",D4802&amp;" |")-1)),"?"))</f>
        <v/>
      </c>
      <c r="H4802" s="27" t="str">
        <f aca="false">IF(G4802="","",IF(G4802="?","⚠ pub inconnue",IFERROR(INDEX(Pubs!$B$2:$B$3001,MATCH(G4802,Pubs!$A$2:$A$3001,0))&amp;"","⚠ pub inconnue")))</f>
        <v/>
      </c>
      <c r="I4802" s="27" t="str">
        <f aca="false">IF(OR(G4802="",G4802="?"),"",IFERROR(INDEX(Pubs!$C$2:$C$3001,MATCH(G4802,Pubs!$A$2:$A$3001,0))&amp;"",""))</f>
        <v/>
      </c>
      <c r="J4802" s="27" t="str">
        <f aca="false">IF(OR(G4802="",G4802="?"),"",IFERROR(INDEX(Pubs!$G$2:$G$3001,MATCH(G4802,Pubs!$A$2:$A$3001,0))&amp;"",""))</f>
        <v/>
      </c>
      <c r="K4802" s="28" t="str">
        <f aca="false">IF(OR(G4802="",G4802="?"),"",IFERROR(INDEX(Pubs!$E$2:$E$3001,MATCH(G4802,Pubs!$A$2:$A$3001,0)),""))</f>
        <v/>
      </c>
      <c r="L4802" s="29" t="str">
        <f aca="false">IF(A4802="","",IFERROR(1/(1/INDEX(Numéros!$C$2:$C$3001,MATCH(A4802&amp;"|"&amp;B4802,Numéros!$F$2:$F$3001,0))),""))</f>
        <v/>
      </c>
      <c r="M4802" s="27" t="str">
        <f aca="false">IF(OR(G4802="",G4802="?"),"",IFERROR(INDEX(Pubs!$D$2:$D$3001,MATCH(G4802,Pubs!$A$2:$A$3001,0))&amp;"",""))</f>
        <v/>
      </c>
      <c r="N4802" s="27" t="n">
        <f aca="false">N(N4801)+IF(AND(A4802&lt;&gt;"",OR(Recherche!$C$4="",A4802=Recherche!$C$4),OR(Recherche!$C$5="",B4802&amp;""=Recherche!$C$5&amp;""),OR(Recherche!$C$6="",IFERROR(YEAR(L4802),0)=Recherche!$C$6),OR(Recherche!$C$7="",ISNUMBER(SEARCH(Recherche!$C$7,H4802))),OR(Recherche!$C$8="",J4802=Recherche!$C$8),OR(Recherche!$C$9="",I4802=Recherche!$C$9),OR(Recherche!$C$10="",G4802&amp;""=Recherche!$C$10&amp;""),OR(Recherche!$C$11="",E4802=Recherche!$C$11),OR(Recherche!$C$12="",ISNUMBER(SEARCH(Recherche!$C$12,M4802&amp;" "&amp;F4802)))),1,0)</f>
        <v>8</v>
      </c>
    </row>
    <row r="4803" customFormat="false" ht="15" hidden="false" customHeight="false" outlineLevel="0" collapsed="false">
      <c r="A4803" s="19"/>
      <c r="B4803" s="19"/>
      <c r="C4803" s="19"/>
      <c r="D4803" s="19"/>
      <c r="E4803" s="22"/>
      <c r="F4803" s="19"/>
      <c r="G4803" s="26" t="str">
        <f aca="false">IF(D4803="","",IFERROR(VALUE(LEFT(D4803,FIND(" |",D4803&amp;" |")-1)),"?"))</f>
        <v/>
      </c>
      <c r="H4803" s="27" t="str">
        <f aca="false">IF(G4803="","",IF(G4803="?","⚠ pub inconnue",IFERROR(INDEX(Pubs!$B$2:$B$3001,MATCH(G4803,Pubs!$A$2:$A$3001,0))&amp;"","⚠ pub inconnue")))</f>
        <v/>
      </c>
      <c r="I4803" s="27" t="str">
        <f aca="false">IF(OR(G4803="",G4803="?"),"",IFERROR(INDEX(Pubs!$C$2:$C$3001,MATCH(G4803,Pubs!$A$2:$A$3001,0))&amp;"",""))</f>
        <v/>
      </c>
      <c r="J4803" s="27" t="str">
        <f aca="false">IF(OR(G4803="",G4803="?"),"",IFERROR(INDEX(Pubs!$G$2:$G$3001,MATCH(G4803,Pubs!$A$2:$A$3001,0))&amp;"",""))</f>
        <v/>
      </c>
      <c r="K4803" s="28" t="str">
        <f aca="false">IF(OR(G4803="",G4803="?"),"",IFERROR(INDEX(Pubs!$E$2:$E$3001,MATCH(G4803,Pubs!$A$2:$A$3001,0)),""))</f>
        <v/>
      </c>
      <c r="L4803" s="29" t="str">
        <f aca="false">IF(A4803="","",IFERROR(1/(1/INDEX(Numéros!$C$2:$C$3001,MATCH(A4803&amp;"|"&amp;B4803,Numéros!$F$2:$F$3001,0))),""))</f>
        <v/>
      </c>
      <c r="M4803" s="27" t="str">
        <f aca="false">IF(OR(G4803="",G4803="?"),"",IFERROR(INDEX(Pubs!$D$2:$D$3001,MATCH(G4803,Pubs!$A$2:$A$3001,0))&amp;"",""))</f>
        <v/>
      </c>
      <c r="N4803" s="27" t="n">
        <f aca="false">N(N4802)+IF(AND(A4803&lt;&gt;"",OR(Recherche!$C$4="",A4803=Recherche!$C$4),OR(Recherche!$C$5="",B4803&amp;""=Recherche!$C$5&amp;""),OR(Recherche!$C$6="",IFERROR(YEAR(L4803),0)=Recherche!$C$6),OR(Recherche!$C$7="",ISNUMBER(SEARCH(Recherche!$C$7,H4803))),OR(Recherche!$C$8="",J4803=Recherche!$C$8),OR(Recherche!$C$9="",I4803=Recherche!$C$9),OR(Recherche!$C$10="",G4803&amp;""=Recherche!$C$10&amp;""),OR(Recherche!$C$11="",E4803=Recherche!$C$11),OR(Recherche!$C$12="",ISNUMBER(SEARCH(Recherche!$C$12,M4803&amp;" "&amp;F4803)))),1,0)</f>
        <v>8</v>
      </c>
    </row>
    <row r="4804" customFormat="false" ht="15" hidden="false" customHeight="false" outlineLevel="0" collapsed="false">
      <c r="A4804" s="19"/>
      <c r="B4804" s="19"/>
      <c r="C4804" s="19"/>
      <c r="D4804" s="19"/>
      <c r="E4804" s="22"/>
      <c r="F4804" s="19"/>
      <c r="G4804" s="26" t="str">
        <f aca="false">IF(D4804="","",IFERROR(VALUE(LEFT(D4804,FIND(" |",D4804&amp;" |")-1)),"?"))</f>
        <v/>
      </c>
      <c r="H4804" s="27" t="str">
        <f aca="false">IF(G4804="","",IF(G4804="?","⚠ pub inconnue",IFERROR(INDEX(Pubs!$B$2:$B$3001,MATCH(G4804,Pubs!$A$2:$A$3001,0))&amp;"","⚠ pub inconnue")))</f>
        <v/>
      </c>
      <c r="I4804" s="27" t="str">
        <f aca="false">IF(OR(G4804="",G4804="?"),"",IFERROR(INDEX(Pubs!$C$2:$C$3001,MATCH(G4804,Pubs!$A$2:$A$3001,0))&amp;"",""))</f>
        <v/>
      </c>
      <c r="J4804" s="27" t="str">
        <f aca="false">IF(OR(G4804="",G4804="?"),"",IFERROR(INDEX(Pubs!$G$2:$G$3001,MATCH(G4804,Pubs!$A$2:$A$3001,0))&amp;"",""))</f>
        <v/>
      </c>
      <c r="K4804" s="28" t="str">
        <f aca="false">IF(OR(G4804="",G4804="?"),"",IFERROR(INDEX(Pubs!$E$2:$E$3001,MATCH(G4804,Pubs!$A$2:$A$3001,0)),""))</f>
        <v/>
      </c>
      <c r="L4804" s="29" t="str">
        <f aca="false">IF(A4804="","",IFERROR(1/(1/INDEX(Numéros!$C$2:$C$3001,MATCH(A4804&amp;"|"&amp;B4804,Numéros!$F$2:$F$3001,0))),""))</f>
        <v/>
      </c>
      <c r="M4804" s="27" t="str">
        <f aca="false">IF(OR(G4804="",G4804="?"),"",IFERROR(INDEX(Pubs!$D$2:$D$3001,MATCH(G4804,Pubs!$A$2:$A$3001,0))&amp;"",""))</f>
        <v/>
      </c>
      <c r="N4804" s="27" t="n">
        <f aca="false">N(N4803)+IF(AND(A4804&lt;&gt;"",OR(Recherche!$C$4="",A4804=Recherche!$C$4),OR(Recherche!$C$5="",B4804&amp;""=Recherche!$C$5&amp;""),OR(Recherche!$C$6="",IFERROR(YEAR(L4804),0)=Recherche!$C$6),OR(Recherche!$C$7="",ISNUMBER(SEARCH(Recherche!$C$7,H4804))),OR(Recherche!$C$8="",J4804=Recherche!$C$8),OR(Recherche!$C$9="",I4804=Recherche!$C$9),OR(Recherche!$C$10="",G4804&amp;""=Recherche!$C$10&amp;""),OR(Recherche!$C$11="",E4804=Recherche!$C$11),OR(Recherche!$C$12="",ISNUMBER(SEARCH(Recherche!$C$12,M4804&amp;" "&amp;F4804)))),1,0)</f>
        <v>8</v>
      </c>
    </row>
    <row r="4805" customFormat="false" ht="15" hidden="false" customHeight="false" outlineLevel="0" collapsed="false">
      <c r="A4805" s="19"/>
      <c r="B4805" s="19"/>
      <c r="C4805" s="19"/>
      <c r="D4805" s="19"/>
      <c r="E4805" s="22"/>
      <c r="F4805" s="19"/>
      <c r="G4805" s="26" t="str">
        <f aca="false">IF(D4805="","",IFERROR(VALUE(LEFT(D4805,FIND(" |",D4805&amp;" |")-1)),"?"))</f>
        <v/>
      </c>
      <c r="H4805" s="27" t="str">
        <f aca="false">IF(G4805="","",IF(G4805="?","⚠ pub inconnue",IFERROR(INDEX(Pubs!$B$2:$B$3001,MATCH(G4805,Pubs!$A$2:$A$3001,0))&amp;"","⚠ pub inconnue")))</f>
        <v/>
      </c>
      <c r="I4805" s="27" t="str">
        <f aca="false">IF(OR(G4805="",G4805="?"),"",IFERROR(INDEX(Pubs!$C$2:$C$3001,MATCH(G4805,Pubs!$A$2:$A$3001,0))&amp;"",""))</f>
        <v/>
      </c>
      <c r="J4805" s="27" t="str">
        <f aca="false">IF(OR(G4805="",G4805="?"),"",IFERROR(INDEX(Pubs!$G$2:$G$3001,MATCH(G4805,Pubs!$A$2:$A$3001,0))&amp;"",""))</f>
        <v/>
      </c>
      <c r="K4805" s="28" t="str">
        <f aca="false">IF(OR(G4805="",G4805="?"),"",IFERROR(INDEX(Pubs!$E$2:$E$3001,MATCH(G4805,Pubs!$A$2:$A$3001,0)),""))</f>
        <v/>
      </c>
      <c r="L4805" s="29" t="str">
        <f aca="false">IF(A4805="","",IFERROR(1/(1/INDEX(Numéros!$C$2:$C$3001,MATCH(A4805&amp;"|"&amp;B4805,Numéros!$F$2:$F$3001,0))),""))</f>
        <v/>
      </c>
      <c r="M4805" s="27" t="str">
        <f aca="false">IF(OR(G4805="",G4805="?"),"",IFERROR(INDEX(Pubs!$D$2:$D$3001,MATCH(G4805,Pubs!$A$2:$A$3001,0))&amp;"",""))</f>
        <v/>
      </c>
      <c r="N4805" s="27" t="n">
        <f aca="false">N(N4804)+IF(AND(A4805&lt;&gt;"",OR(Recherche!$C$4="",A4805=Recherche!$C$4),OR(Recherche!$C$5="",B4805&amp;""=Recherche!$C$5&amp;""),OR(Recherche!$C$6="",IFERROR(YEAR(L4805),0)=Recherche!$C$6),OR(Recherche!$C$7="",ISNUMBER(SEARCH(Recherche!$C$7,H4805))),OR(Recherche!$C$8="",J4805=Recherche!$C$8),OR(Recherche!$C$9="",I4805=Recherche!$C$9),OR(Recherche!$C$10="",G4805&amp;""=Recherche!$C$10&amp;""),OR(Recherche!$C$11="",E4805=Recherche!$C$11),OR(Recherche!$C$12="",ISNUMBER(SEARCH(Recherche!$C$12,M4805&amp;" "&amp;F4805)))),1,0)</f>
        <v>8</v>
      </c>
    </row>
    <row r="4806" customFormat="false" ht="15" hidden="false" customHeight="false" outlineLevel="0" collapsed="false">
      <c r="A4806" s="19"/>
      <c r="B4806" s="19"/>
      <c r="C4806" s="19"/>
      <c r="D4806" s="19"/>
      <c r="E4806" s="22"/>
      <c r="F4806" s="19"/>
      <c r="G4806" s="26" t="str">
        <f aca="false">IF(D4806="","",IFERROR(VALUE(LEFT(D4806,FIND(" |",D4806&amp;" |")-1)),"?"))</f>
        <v/>
      </c>
      <c r="H4806" s="27" t="str">
        <f aca="false">IF(G4806="","",IF(G4806="?","⚠ pub inconnue",IFERROR(INDEX(Pubs!$B$2:$B$3001,MATCH(G4806,Pubs!$A$2:$A$3001,0))&amp;"","⚠ pub inconnue")))</f>
        <v/>
      </c>
      <c r="I4806" s="27" t="str">
        <f aca="false">IF(OR(G4806="",G4806="?"),"",IFERROR(INDEX(Pubs!$C$2:$C$3001,MATCH(G4806,Pubs!$A$2:$A$3001,0))&amp;"",""))</f>
        <v/>
      </c>
      <c r="J4806" s="27" t="str">
        <f aca="false">IF(OR(G4806="",G4806="?"),"",IFERROR(INDEX(Pubs!$G$2:$G$3001,MATCH(G4806,Pubs!$A$2:$A$3001,0))&amp;"",""))</f>
        <v/>
      </c>
      <c r="K4806" s="28" t="str">
        <f aca="false">IF(OR(G4806="",G4806="?"),"",IFERROR(INDEX(Pubs!$E$2:$E$3001,MATCH(G4806,Pubs!$A$2:$A$3001,0)),""))</f>
        <v/>
      </c>
      <c r="L4806" s="29" t="str">
        <f aca="false">IF(A4806="","",IFERROR(1/(1/INDEX(Numéros!$C$2:$C$3001,MATCH(A4806&amp;"|"&amp;B4806,Numéros!$F$2:$F$3001,0))),""))</f>
        <v/>
      </c>
      <c r="M4806" s="27" t="str">
        <f aca="false">IF(OR(G4806="",G4806="?"),"",IFERROR(INDEX(Pubs!$D$2:$D$3001,MATCH(G4806,Pubs!$A$2:$A$3001,0))&amp;"",""))</f>
        <v/>
      </c>
      <c r="N4806" s="27" t="n">
        <f aca="false">N(N4805)+IF(AND(A4806&lt;&gt;"",OR(Recherche!$C$4="",A4806=Recherche!$C$4),OR(Recherche!$C$5="",B4806&amp;""=Recherche!$C$5&amp;""),OR(Recherche!$C$6="",IFERROR(YEAR(L4806),0)=Recherche!$C$6),OR(Recherche!$C$7="",ISNUMBER(SEARCH(Recherche!$C$7,H4806))),OR(Recherche!$C$8="",J4806=Recherche!$C$8),OR(Recherche!$C$9="",I4806=Recherche!$C$9),OR(Recherche!$C$10="",G4806&amp;""=Recherche!$C$10&amp;""),OR(Recherche!$C$11="",E4806=Recherche!$C$11),OR(Recherche!$C$12="",ISNUMBER(SEARCH(Recherche!$C$12,M4806&amp;" "&amp;F4806)))),1,0)</f>
        <v>8</v>
      </c>
    </row>
    <row r="4807" customFormat="false" ht="15" hidden="false" customHeight="false" outlineLevel="0" collapsed="false">
      <c r="A4807" s="19"/>
      <c r="B4807" s="19"/>
      <c r="C4807" s="19"/>
      <c r="D4807" s="19"/>
      <c r="E4807" s="22"/>
      <c r="F4807" s="19"/>
      <c r="G4807" s="26" t="str">
        <f aca="false">IF(D4807="","",IFERROR(VALUE(LEFT(D4807,FIND(" |",D4807&amp;" |")-1)),"?"))</f>
        <v/>
      </c>
      <c r="H4807" s="27" t="str">
        <f aca="false">IF(G4807="","",IF(G4807="?","⚠ pub inconnue",IFERROR(INDEX(Pubs!$B$2:$B$3001,MATCH(G4807,Pubs!$A$2:$A$3001,0))&amp;"","⚠ pub inconnue")))</f>
        <v/>
      </c>
      <c r="I4807" s="27" t="str">
        <f aca="false">IF(OR(G4807="",G4807="?"),"",IFERROR(INDEX(Pubs!$C$2:$C$3001,MATCH(G4807,Pubs!$A$2:$A$3001,0))&amp;"",""))</f>
        <v/>
      </c>
      <c r="J4807" s="27" t="str">
        <f aca="false">IF(OR(G4807="",G4807="?"),"",IFERROR(INDEX(Pubs!$G$2:$G$3001,MATCH(G4807,Pubs!$A$2:$A$3001,0))&amp;"",""))</f>
        <v/>
      </c>
      <c r="K4807" s="28" t="str">
        <f aca="false">IF(OR(G4807="",G4807="?"),"",IFERROR(INDEX(Pubs!$E$2:$E$3001,MATCH(G4807,Pubs!$A$2:$A$3001,0)),""))</f>
        <v/>
      </c>
      <c r="L4807" s="29" t="str">
        <f aca="false">IF(A4807="","",IFERROR(1/(1/INDEX(Numéros!$C$2:$C$3001,MATCH(A4807&amp;"|"&amp;B4807,Numéros!$F$2:$F$3001,0))),""))</f>
        <v/>
      </c>
      <c r="M4807" s="27" t="str">
        <f aca="false">IF(OR(G4807="",G4807="?"),"",IFERROR(INDEX(Pubs!$D$2:$D$3001,MATCH(G4807,Pubs!$A$2:$A$3001,0))&amp;"",""))</f>
        <v/>
      </c>
      <c r="N4807" s="27" t="n">
        <f aca="false">N(N4806)+IF(AND(A4807&lt;&gt;"",OR(Recherche!$C$4="",A4807=Recherche!$C$4),OR(Recherche!$C$5="",B4807&amp;""=Recherche!$C$5&amp;""),OR(Recherche!$C$6="",IFERROR(YEAR(L4807),0)=Recherche!$C$6),OR(Recherche!$C$7="",ISNUMBER(SEARCH(Recherche!$C$7,H4807))),OR(Recherche!$C$8="",J4807=Recherche!$C$8),OR(Recherche!$C$9="",I4807=Recherche!$C$9),OR(Recherche!$C$10="",G4807&amp;""=Recherche!$C$10&amp;""),OR(Recherche!$C$11="",E4807=Recherche!$C$11),OR(Recherche!$C$12="",ISNUMBER(SEARCH(Recherche!$C$12,M4807&amp;" "&amp;F4807)))),1,0)</f>
        <v>8</v>
      </c>
    </row>
    <row r="4808" customFormat="false" ht="15" hidden="false" customHeight="false" outlineLevel="0" collapsed="false">
      <c r="A4808" s="19"/>
      <c r="B4808" s="19"/>
      <c r="C4808" s="19"/>
      <c r="D4808" s="19"/>
      <c r="E4808" s="22"/>
      <c r="F4808" s="19"/>
      <c r="G4808" s="26" t="str">
        <f aca="false">IF(D4808="","",IFERROR(VALUE(LEFT(D4808,FIND(" |",D4808&amp;" |")-1)),"?"))</f>
        <v/>
      </c>
      <c r="H4808" s="27" t="str">
        <f aca="false">IF(G4808="","",IF(G4808="?","⚠ pub inconnue",IFERROR(INDEX(Pubs!$B$2:$B$3001,MATCH(G4808,Pubs!$A$2:$A$3001,0))&amp;"","⚠ pub inconnue")))</f>
        <v/>
      </c>
      <c r="I4808" s="27" t="str">
        <f aca="false">IF(OR(G4808="",G4808="?"),"",IFERROR(INDEX(Pubs!$C$2:$C$3001,MATCH(G4808,Pubs!$A$2:$A$3001,0))&amp;"",""))</f>
        <v/>
      </c>
      <c r="J4808" s="27" t="str">
        <f aca="false">IF(OR(G4808="",G4808="?"),"",IFERROR(INDEX(Pubs!$G$2:$G$3001,MATCH(G4808,Pubs!$A$2:$A$3001,0))&amp;"",""))</f>
        <v/>
      </c>
      <c r="K4808" s="28" t="str">
        <f aca="false">IF(OR(G4808="",G4808="?"),"",IFERROR(INDEX(Pubs!$E$2:$E$3001,MATCH(G4808,Pubs!$A$2:$A$3001,0)),""))</f>
        <v/>
      </c>
      <c r="L4808" s="29" t="str">
        <f aca="false">IF(A4808="","",IFERROR(1/(1/INDEX(Numéros!$C$2:$C$3001,MATCH(A4808&amp;"|"&amp;B4808,Numéros!$F$2:$F$3001,0))),""))</f>
        <v/>
      </c>
      <c r="M4808" s="27" t="str">
        <f aca="false">IF(OR(G4808="",G4808="?"),"",IFERROR(INDEX(Pubs!$D$2:$D$3001,MATCH(G4808,Pubs!$A$2:$A$3001,0))&amp;"",""))</f>
        <v/>
      </c>
      <c r="N4808" s="27" t="n">
        <f aca="false">N(N4807)+IF(AND(A4808&lt;&gt;"",OR(Recherche!$C$4="",A4808=Recherche!$C$4),OR(Recherche!$C$5="",B4808&amp;""=Recherche!$C$5&amp;""),OR(Recherche!$C$6="",IFERROR(YEAR(L4808),0)=Recherche!$C$6),OR(Recherche!$C$7="",ISNUMBER(SEARCH(Recherche!$C$7,H4808))),OR(Recherche!$C$8="",J4808=Recherche!$C$8),OR(Recherche!$C$9="",I4808=Recherche!$C$9),OR(Recherche!$C$10="",G4808&amp;""=Recherche!$C$10&amp;""),OR(Recherche!$C$11="",E4808=Recherche!$C$11),OR(Recherche!$C$12="",ISNUMBER(SEARCH(Recherche!$C$12,M4808&amp;" "&amp;F4808)))),1,0)</f>
        <v>8</v>
      </c>
    </row>
    <row r="4809" customFormat="false" ht="15" hidden="false" customHeight="false" outlineLevel="0" collapsed="false">
      <c r="A4809" s="19"/>
      <c r="B4809" s="19"/>
      <c r="C4809" s="19"/>
      <c r="D4809" s="19"/>
      <c r="E4809" s="22"/>
      <c r="F4809" s="19"/>
      <c r="G4809" s="26" t="str">
        <f aca="false">IF(D4809="","",IFERROR(VALUE(LEFT(D4809,FIND(" |",D4809&amp;" |")-1)),"?"))</f>
        <v/>
      </c>
      <c r="H4809" s="27" t="str">
        <f aca="false">IF(G4809="","",IF(G4809="?","⚠ pub inconnue",IFERROR(INDEX(Pubs!$B$2:$B$3001,MATCH(G4809,Pubs!$A$2:$A$3001,0))&amp;"","⚠ pub inconnue")))</f>
        <v/>
      </c>
      <c r="I4809" s="27" t="str">
        <f aca="false">IF(OR(G4809="",G4809="?"),"",IFERROR(INDEX(Pubs!$C$2:$C$3001,MATCH(G4809,Pubs!$A$2:$A$3001,0))&amp;"",""))</f>
        <v/>
      </c>
      <c r="J4809" s="27" t="str">
        <f aca="false">IF(OR(G4809="",G4809="?"),"",IFERROR(INDEX(Pubs!$G$2:$G$3001,MATCH(G4809,Pubs!$A$2:$A$3001,0))&amp;"",""))</f>
        <v/>
      </c>
      <c r="K4809" s="28" t="str">
        <f aca="false">IF(OR(G4809="",G4809="?"),"",IFERROR(INDEX(Pubs!$E$2:$E$3001,MATCH(G4809,Pubs!$A$2:$A$3001,0)),""))</f>
        <v/>
      </c>
      <c r="L4809" s="29" t="str">
        <f aca="false">IF(A4809="","",IFERROR(1/(1/INDEX(Numéros!$C$2:$C$3001,MATCH(A4809&amp;"|"&amp;B4809,Numéros!$F$2:$F$3001,0))),""))</f>
        <v/>
      </c>
      <c r="M4809" s="27" t="str">
        <f aca="false">IF(OR(G4809="",G4809="?"),"",IFERROR(INDEX(Pubs!$D$2:$D$3001,MATCH(G4809,Pubs!$A$2:$A$3001,0))&amp;"",""))</f>
        <v/>
      </c>
      <c r="N4809" s="27" t="n">
        <f aca="false">N(N4808)+IF(AND(A4809&lt;&gt;"",OR(Recherche!$C$4="",A4809=Recherche!$C$4),OR(Recherche!$C$5="",B4809&amp;""=Recherche!$C$5&amp;""),OR(Recherche!$C$6="",IFERROR(YEAR(L4809),0)=Recherche!$C$6),OR(Recherche!$C$7="",ISNUMBER(SEARCH(Recherche!$C$7,H4809))),OR(Recherche!$C$8="",J4809=Recherche!$C$8),OR(Recherche!$C$9="",I4809=Recherche!$C$9),OR(Recherche!$C$10="",G4809&amp;""=Recherche!$C$10&amp;""),OR(Recherche!$C$11="",E4809=Recherche!$C$11),OR(Recherche!$C$12="",ISNUMBER(SEARCH(Recherche!$C$12,M4809&amp;" "&amp;F4809)))),1,0)</f>
        <v>8</v>
      </c>
    </row>
    <row r="4810" customFormat="false" ht="15" hidden="false" customHeight="false" outlineLevel="0" collapsed="false">
      <c r="A4810" s="19"/>
      <c r="B4810" s="19"/>
      <c r="C4810" s="19"/>
      <c r="D4810" s="19"/>
      <c r="E4810" s="22"/>
      <c r="F4810" s="19"/>
      <c r="G4810" s="26" t="str">
        <f aca="false">IF(D4810="","",IFERROR(VALUE(LEFT(D4810,FIND(" |",D4810&amp;" |")-1)),"?"))</f>
        <v/>
      </c>
      <c r="H4810" s="27" t="str">
        <f aca="false">IF(G4810="","",IF(G4810="?","⚠ pub inconnue",IFERROR(INDEX(Pubs!$B$2:$B$3001,MATCH(G4810,Pubs!$A$2:$A$3001,0))&amp;"","⚠ pub inconnue")))</f>
        <v/>
      </c>
      <c r="I4810" s="27" t="str">
        <f aca="false">IF(OR(G4810="",G4810="?"),"",IFERROR(INDEX(Pubs!$C$2:$C$3001,MATCH(G4810,Pubs!$A$2:$A$3001,0))&amp;"",""))</f>
        <v/>
      </c>
      <c r="J4810" s="27" t="str">
        <f aca="false">IF(OR(G4810="",G4810="?"),"",IFERROR(INDEX(Pubs!$G$2:$G$3001,MATCH(G4810,Pubs!$A$2:$A$3001,0))&amp;"",""))</f>
        <v/>
      </c>
      <c r="K4810" s="28" t="str">
        <f aca="false">IF(OR(G4810="",G4810="?"),"",IFERROR(INDEX(Pubs!$E$2:$E$3001,MATCH(G4810,Pubs!$A$2:$A$3001,0)),""))</f>
        <v/>
      </c>
      <c r="L4810" s="29" t="str">
        <f aca="false">IF(A4810="","",IFERROR(1/(1/INDEX(Numéros!$C$2:$C$3001,MATCH(A4810&amp;"|"&amp;B4810,Numéros!$F$2:$F$3001,0))),""))</f>
        <v/>
      </c>
      <c r="M4810" s="27" t="str">
        <f aca="false">IF(OR(G4810="",G4810="?"),"",IFERROR(INDEX(Pubs!$D$2:$D$3001,MATCH(G4810,Pubs!$A$2:$A$3001,0))&amp;"",""))</f>
        <v/>
      </c>
      <c r="N4810" s="27" t="n">
        <f aca="false">N(N4809)+IF(AND(A4810&lt;&gt;"",OR(Recherche!$C$4="",A4810=Recherche!$C$4),OR(Recherche!$C$5="",B4810&amp;""=Recherche!$C$5&amp;""),OR(Recherche!$C$6="",IFERROR(YEAR(L4810),0)=Recherche!$C$6),OR(Recherche!$C$7="",ISNUMBER(SEARCH(Recherche!$C$7,H4810))),OR(Recherche!$C$8="",J4810=Recherche!$C$8),OR(Recherche!$C$9="",I4810=Recherche!$C$9),OR(Recherche!$C$10="",G4810&amp;""=Recherche!$C$10&amp;""),OR(Recherche!$C$11="",E4810=Recherche!$C$11),OR(Recherche!$C$12="",ISNUMBER(SEARCH(Recherche!$C$12,M4810&amp;" "&amp;F4810)))),1,0)</f>
        <v>8</v>
      </c>
    </row>
    <row r="4811" customFormat="false" ht="15" hidden="false" customHeight="false" outlineLevel="0" collapsed="false">
      <c r="A4811" s="19"/>
      <c r="B4811" s="19"/>
      <c r="C4811" s="19"/>
      <c r="D4811" s="19"/>
      <c r="E4811" s="22"/>
      <c r="F4811" s="19"/>
      <c r="G4811" s="26" t="str">
        <f aca="false">IF(D4811="","",IFERROR(VALUE(LEFT(D4811,FIND(" |",D4811&amp;" |")-1)),"?"))</f>
        <v/>
      </c>
      <c r="H4811" s="27" t="str">
        <f aca="false">IF(G4811="","",IF(G4811="?","⚠ pub inconnue",IFERROR(INDEX(Pubs!$B$2:$B$3001,MATCH(G4811,Pubs!$A$2:$A$3001,0))&amp;"","⚠ pub inconnue")))</f>
        <v/>
      </c>
      <c r="I4811" s="27" t="str">
        <f aca="false">IF(OR(G4811="",G4811="?"),"",IFERROR(INDEX(Pubs!$C$2:$C$3001,MATCH(G4811,Pubs!$A$2:$A$3001,0))&amp;"",""))</f>
        <v/>
      </c>
      <c r="J4811" s="27" t="str">
        <f aca="false">IF(OR(G4811="",G4811="?"),"",IFERROR(INDEX(Pubs!$G$2:$G$3001,MATCH(G4811,Pubs!$A$2:$A$3001,0))&amp;"",""))</f>
        <v/>
      </c>
      <c r="K4811" s="28" t="str">
        <f aca="false">IF(OR(G4811="",G4811="?"),"",IFERROR(INDEX(Pubs!$E$2:$E$3001,MATCH(G4811,Pubs!$A$2:$A$3001,0)),""))</f>
        <v/>
      </c>
      <c r="L4811" s="29" t="str">
        <f aca="false">IF(A4811="","",IFERROR(1/(1/INDEX(Numéros!$C$2:$C$3001,MATCH(A4811&amp;"|"&amp;B4811,Numéros!$F$2:$F$3001,0))),""))</f>
        <v/>
      </c>
      <c r="M4811" s="27" t="str">
        <f aca="false">IF(OR(G4811="",G4811="?"),"",IFERROR(INDEX(Pubs!$D$2:$D$3001,MATCH(G4811,Pubs!$A$2:$A$3001,0))&amp;"",""))</f>
        <v/>
      </c>
      <c r="N4811" s="27" t="n">
        <f aca="false">N(N4810)+IF(AND(A4811&lt;&gt;"",OR(Recherche!$C$4="",A4811=Recherche!$C$4),OR(Recherche!$C$5="",B4811&amp;""=Recherche!$C$5&amp;""),OR(Recherche!$C$6="",IFERROR(YEAR(L4811),0)=Recherche!$C$6),OR(Recherche!$C$7="",ISNUMBER(SEARCH(Recherche!$C$7,H4811))),OR(Recherche!$C$8="",J4811=Recherche!$C$8),OR(Recherche!$C$9="",I4811=Recherche!$C$9),OR(Recherche!$C$10="",G4811&amp;""=Recherche!$C$10&amp;""),OR(Recherche!$C$11="",E4811=Recherche!$C$11),OR(Recherche!$C$12="",ISNUMBER(SEARCH(Recherche!$C$12,M4811&amp;" "&amp;F4811)))),1,0)</f>
        <v>8</v>
      </c>
    </row>
    <row r="4812" customFormat="false" ht="15" hidden="false" customHeight="false" outlineLevel="0" collapsed="false">
      <c r="A4812" s="19"/>
      <c r="B4812" s="19"/>
      <c r="C4812" s="19"/>
      <c r="D4812" s="19"/>
      <c r="E4812" s="22"/>
      <c r="F4812" s="19"/>
      <c r="G4812" s="26" t="str">
        <f aca="false">IF(D4812="","",IFERROR(VALUE(LEFT(D4812,FIND(" |",D4812&amp;" |")-1)),"?"))</f>
        <v/>
      </c>
      <c r="H4812" s="27" t="str">
        <f aca="false">IF(G4812="","",IF(G4812="?","⚠ pub inconnue",IFERROR(INDEX(Pubs!$B$2:$B$3001,MATCH(G4812,Pubs!$A$2:$A$3001,0))&amp;"","⚠ pub inconnue")))</f>
        <v/>
      </c>
      <c r="I4812" s="27" t="str">
        <f aca="false">IF(OR(G4812="",G4812="?"),"",IFERROR(INDEX(Pubs!$C$2:$C$3001,MATCH(G4812,Pubs!$A$2:$A$3001,0))&amp;"",""))</f>
        <v/>
      </c>
      <c r="J4812" s="27" t="str">
        <f aca="false">IF(OR(G4812="",G4812="?"),"",IFERROR(INDEX(Pubs!$G$2:$G$3001,MATCH(G4812,Pubs!$A$2:$A$3001,0))&amp;"",""))</f>
        <v/>
      </c>
      <c r="K4812" s="28" t="str">
        <f aca="false">IF(OR(G4812="",G4812="?"),"",IFERROR(INDEX(Pubs!$E$2:$E$3001,MATCH(G4812,Pubs!$A$2:$A$3001,0)),""))</f>
        <v/>
      </c>
      <c r="L4812" s="29" t="str">
        <f aca="false">IF(A4812="","",IFERROR(1/(1/INDEX(Numéros!$C$2:$C$3001,MATCH(A4812&amp;"|"&amp;B4812,Numéros!$F$2:$F$3001,0))),""))</f>
        <v/>
      </c>
      <c r="M4812" s="27" t="str">
        <f aca="false">IF(OR(G4812="",G4812="?"),"",IFERROR(INDEX(Pubs!$D$2:$D$3001,MATCH(G4812,Pubs!$A$2:$A$3001,0))&amp;"",""))</f>
        <v/>
      </c>
      <c r="N4812" s="27" t="n">
        <f aca="false">N(N4811)+IF(AND(A4812&lt;&gt;"",OR(Recherche!$C$4="",A4812=Recherche!$C$4),OR(Recherche!$C$5="",B4812&amp;""=Recherche!$C$5&amp;""),OR(Recherche!$C$6="",IFERROR(YEAR(L4812),0)=Recherche!$C$6),OR(Recherche!$C$7="",ISNUMBER(SEARCH(Recherche!$C$7,H4812))),OR(Recherche!$C$8="",J4812=Recherche!$C$8),OR(Recherche!$C$9="",I4812=Recherche!$C$9),OR(Recherche!$C$10="",G4812&amp;""=Recherche!$C$10&amp;""),OR(Recherche!$C$11="",E4812=Recherche!$C$11),OR(Recherche!$C$12="",ISNUMBER(SEARCH(Recherche!$C$12,M4812&amp;" "&amp;F4812)))),1,0)</f>
        <v>8</v>
      </c>
    </row>
    <row r="4813" customFormat="false" ht="15" hidden="false" customHeight="false" outlineLevel="0" collapsed="false">
      <c r="A4813" s="19"/>
      <c r="B4813" s="19"/>
      <c r="C4813" s="19"/>
      <c r="D4813" s="19"/>
      <c r="E4813" s="22"/>
      <c r="F4813" s="19"/>
      <c r="G4813" s="26" t="str">
        <f aca="false">IF(D4813="","",IFERROR(VALUE(LEFT(D4813,FIND(" |",D4813&amp;" |")-1)),"?"))</f>
        <v/>
      </c>
      <c r="H4813" s="27" t="str">
        <f aca="false">IF(G4813="","",IF(G4813="?","⚠ pub inconnue",IFERROR(INDEX(Pubs!$B$2:$B$3001,MATCH(G4813,Pubs!$A$2:$A$3001,0))&amp;"","⚠ pub inconnue")))</f>
        <v/>
      </c>
      <c r="I4813" s="27" t="str">
        <f aca="false">IF(OR(G4813="",G4813="?"),"",IFERROR(INDEX(Pubs!$C$2:$C$3001,MATCH(G4813,Pubs!$A$2:$A$3001,0))&amp;"",""))</f>
        <v/>
      </c>
      <c r="J4813" s="27" t="str">
        <f aca="false">IF(OR(G4813="",G4813="?"),"",IFERROR(INDEX(Pubs!$G$2:$G$3001,MATCH(G4813,Pubs!$A$2:$A$3001,0))&amp;"",""))</f>
        <v/>
      </c>
      <c r="K4813" s="28" t="str">
        <f aca="false">IF(OR(G4813="",G4813="?"),"",IFERROR(INDEX(Pubs!$E$2:$E$3001,MATCH(G4813,Pubs!$A$2:$A$3001,0)),""))</f>
        <v/>
      </c>
      <c r="L4813" s="29" t="str">
        <f aca="false">IF(A4813="","",IFERROR(1/(1/INDEX(Numéros!$C$2:$C$3001,MATCH(A4813&amp;"|"&amp;B4813,Numéros!$F$2:$F$3001,0))),""))</f>
        <v/>
      </c>
      <c r="M4813" s="27" t="str">
        <f aca="false">IF(OR(G4813="",G4813="?"),"",IFERROR(INDEX(Pubs!$D$2:$D$3001,MATCH(G4813,Pubs!$A$2:$A$3001,0))&amp;"",""))</f>
        <v/>
      </c>
      <c r="N4813" s="27" t="n">
        <f aca="false">N(N4812)+IF(AND(A4813&lt;&gt;"",OR(Recherche!$C$4="",A4813=Recherche!$C$4),OR(Recherche!$C$5="",B4813&amp;""=Recherche!$C$5&amp;""),OR(Recherche!$C$6="",IFERROR(YEAR(L4813),0)=Recherche!$C$6),OR(Recherche!$C$7="",ISNUMBER(SEARCH(Recherche!$C$7,H4813))),OR(Recherche!$C$8="",J4813=Recherche!$C$8),OR(Recherche!$C$9="",I4813=Recherche!$C$9),OR(Recherche!$C$10="",G4813&amp;""=Recherche!$C$10&amp;""),OR(Recherche!$C$11="",E4813=Recherche!$C$11),OR(Recherche!$C$12="",ISNUMBER(SEARCH(Recherche!$C$12,M4813&amp;" "&amp;F4813)))),1,0)</f>
        <v>8</v>
      </c>
    </row>
    <row r="4814" customFormat="false" ht="15" hidden="false" customHeight="false" outlineLevel="0" collapsed="false">
      <c r="A4814" s="19"/>
      <c r="B4814" s="19"/>
      <c r="C4814" s="19"/>
      <c r="D4814" s="19"/>
      <c r="E4814" s="22"/>
      <c r="F4814" s="19"/>
      <c r="G4814" s="26" t="str">
        <f aca="false">IF(D4814="","",IFERROR(VALUE(LEFT(D4814,FIND(" |",D4814&amp;" |")-1)),"?"))</f>
        <v/>
      </c>
      <c r="H4814" s="27" t="str">
        <f aca="false">IF(G4814="","",IF(G4814="?","⚠ pub inconnue",IFERROR(INDEX(Pubs!$B$2:$B$3001,MATCH(G4814,Pubs!$A$2:$A$3001,0))&amp;"","⚠ pub inconnue")))</f>
        <v/>
      </c>
      <c r="I4814" s="27" t="str">
        <f aca="false">IF(OR(G4814="",G4814="?"),"",IFERROR(INDEX(Pubs!$C$2:$C$3001,MATCH(G4814,Pubs!$A$2:$A$3001,0))&amp;"",""))</f>
        <v/>
      </c>
      <c r="J4814" s="27" t="str">
        <f aca="false">IF(OR(G4814="",G4814="?"),"",IFERROR(INDEX(Pubs!$G$2:$G$3001,MATCH(G4814,Pubs!$A$2:$A$3001,0))&amp;"",""))</f>
        <v/>
      </c>
      <c r="K4814" s="28" t="str">
        <f aca="false">IF(OR(G4814="",G4814="?"),"",IFERROR(INDEX(Pubs!$E$2:$E$3001,MATCH(G4814,Pubs!$A$2:$A$3001,0)),""))</f>
        <v/>
      </c>
      <c r="L4814" s="29" t="str">
        <f aca="false">IF(A4814="","",IFERROR(1/(1/INDEX(Numéros!$C$2:$C$3001,MATCH(A4814&amp;"|"&amp;B4814,Numéros!$F$2:$F$3001,0))),""))</f>
        <v/>
      </c>
      <c r="M4814" s="27" t="str">
        <f aca="false">IF(OR(G4814="",G4814="?"),"",IFERROR(INDEX(Pubs!$D$2:$D$3001,MATCH(G4814,Pubs!$A$2:$A$3001,0))&amp;"",""))</f>
        <v/>
      </c>
      <c r="N4814" s="27" t="n">
        <f aca="false">N(N4813)+IF(AND(A4814&lt;&gt;"",OR(Recherche!$C$4="",A4814=Recherche!$C$4),OR(Recherche!$C$5="",B4814&amp;""=Recherche!$C$5&amp;""),OR(Recherche!$C$6="",IFERROR(YEAR(L4814),0)=Recherche!$C$6),OR(Recherche!$C$7="",ISNUMBER(SEARCH(Recherche!$C$7,H4814))),OR(Recherche!$C$8="",J4814=Recherche!$C$8),OR(Recherche!$C$9="",I4814=Recherche!$C$9),OR(Recherche!$C$10="",G4814&amp;""=Recherche!$C$10&amp;""),OR(Recherche!$C$11="",E4814=Recherche!$C$11),OR(Recherche!$C$12="",ISNUMBER(SEARCH(Recherche!$C$12,M4814&amp;" "&amp;F4814)))),1,0)</f>
        <v>8</v>
      </c>
    </row>
    <row r="4815" customFormat="false" ht="15" hidden="false" customHeight="false" outlineLevel="0" collapsed="false">
      <c r="A4815" s="19"/>
      <c r="B4815" s="19"/>
      <c r="C4815" s="19"/>
      <c r="D4815" s="19"/>
      <c r="E4815" s="22"/>
      <c r="F4815" s="19"/>
      <c r="G4815" s="26" t="str">
        <f aca="false">IF(D4815="","",IFERROR(VALUE(LEFT(D4815,FIND(" |",D4815&amp;" |")-1)),"?"))</f>
        <v/>
      </c>
      <c r="H4815" s="27" t="str">
        <f aca="false">IF(G4815="","",IF(G4815="?","⚠ pub inconnue",IFERROR(INDEX(Pubs!$B$2:$B$3001,MATCH(G4815,Pubs!$A$2:$A$3001,0))&amp;"","⚠ pub inconnue")))</f>
        <v/>
      </c>
      <c r="I4815" s="27" t="str">
        <f aca="false">IF(OR(G4815="",G4815="?"),"",IFERROR(INDEX(Pubs!$C$2:$C$3001,MATCH(G4815,Pubs!$A$2:$A$3001,0))&amp;"",""))</f>
        <v/>
      </c>
      <c r="J4815" s="27" t="str">
        <f aca="false">IF(OR(G4815="",G4815="?"),"",IFERROR(INDEX(Pubs!$G$2:$G$3001,MATCH(G4815,Pubs!$A$2:$A$3001,0))&amp;"",""))</f>
        <v/>
      </c>
      <c r="K4815" s="28" t="str">
        <f aca="false">IF(OR(G4815="",G4815="?"),"",IFERROR(INDEX(Pubs!$E$2:$E$3001,MATCH(G4815,Pubs!$A$2:$A$3001,0)),""))</f>
        <v/>
      </c>
      <c r="L4815" s="29" t="str">
        <f aca="false">IF(A4815="","",IFERROR(1/(1/INDEX(Numéros!$C$2:$C$3001,MATCH(A4815&amp;"|"&amp;B4815,Numéros!$F$2:$F$3001,0))),""))</f>
        <v/>
      </c>
      <c r="M4815" s="27" t="str">
        <f aca="false">IF(OR(G4815="",G4815="?"),"",IFERROR(INDEX(Pubs!$D$2:$D$3001,MATCH(G4815,Pubs!$A$2:$A$3001,0))&amp;"",""))</f>
        <v/>
      </c>
      <c r="N4815" s="27" t="n">
        <f aca="false">N(N4814)+IF(AND(A4815&lt;&gt;"",OR(Recherche!$C$4="",A4815=Recherche!$C$4),OR(Recherche!$C$5="",B4815&amp;""=Recherche!$C$5&amp;""),OR(Recherche!$C$6="",IFERROR(YEAR(L4815),0)=Recherche!$C$6),OR(Recherche!$C$7="",ISNUMBER(SEARCH(Recherche!$C$7,H4815))),OR(Recherche!$C$8="",J4815=Recherche!$C$8),OR(Recherche!$C$9="",I4815=Recherche!$C$9),OR(Recherche!$C$10="",G4815&amp;""=Recherche!$C$10&amp;""),OR(Recherche!$C$11="",E4815=Recherche!$C$11),OR(Recherche!$C$12="",ISNUMBER(SEARCH(Recherche!$C$12,M4815&amp;" "&amp;F4815)))),1,0)</f>
        <v>8</v>
      </c>
    </row>
    <row r="4816" customFormat="false" ht="15" hidden="false" customHeight="false" outlineLevel="0" collapsed="false">
      <c r="A4816" s="19"/>
      <c r="B4816" s="19"/>
      <c r="C4816" s="19"/>
      <c r="D4816" s="19"/>
      <c r="E4816" s="22"/>
      <c r="F4816" s="19"/>
      <c r="G4816" s="26" t="str">
        <f aca="false">IF(D4816="","",IFERROR(VALUE(LEFT(D4816,FIND(" |",D4816&amp;" |")-1)),"?"))</f>
        <v/>
      </c>
      <c r="H4816" s="27" t="str">
        <f aca="false">IF(G4816="","",IF(G4816="?","⚠ pub inconnue",IFERROR(INDEX(Pubs!$B$2:$B$3001,MATCH(G4816,Pubs!$A$2:$A$3001,0))&amp;"","⚠ pub inconnue")))</f>
        <v/>
      </c>
      <c r="I4816" s="27" t="str">
        <f aca="false">IF(OR(G4816="",G4816="?"),"",IFERROR(INDEX(Pubs!$C$2:$C$3001,MATCH(G4816,Pubs!$A$2:$A$3001,0))&amp;"",""))</f>
        <v/>
      </c>
      <c r="J4816" s="27" t="str">
        <f aca="false">IF(OR(G4816="",G4816="?"),"",IFERROR(INDEX(Pubs!$G$2:$G$3001,MATCH(G4816,Pubs!$A$2:$A$3001,0))&amp;"",""))</f>
        <v/>
      </c>
      <c r="K4816" s="28" t="str">
        <f aca="false">IF(OR(G4816="",G4816="?"),"",IFERROR(INDEX(Pubs!$E$2:$E$3001,MATCH(G4816,Pubs!$A$2:$A$3001,0)),""))</f>
        <v/>
      </c>
      <c r="L4816" s="29" t="str">
        <f aca="false">IF(A4816="","",IFERROR(1/(1/INDEX(Numéros!$C$2:$C$3001,MATCH(A4816&amp;"|"&amp;B4816,Numéros!$F$2:$F$3001,0))),""))</f>
        <v/>
      </c>
      <c r="M4816" s="27" t="str">
        <f aca="false">IF(OR(G4816="",G4816="?"),"",IFERROR(INDEX(Pubs!$D$2:$D$3001,MATCH(G4816,Pubs!$A$2:$A$3001,0))&amp;"",""))</f>
        <v/>
      </c>
      <c r="N4816" s="27" t="n">
        <f aca="false">N(N4815)+IF(AND(A4816&lt;&gt;"",OR(Recherche!$C$4="",A4816=Recherche!$C$4),OR(Recherche!$C$5="",B4816&amp;""=Recherche!$C$5&amp;""),OR(Recherche!$C$6="",IFERROR(YEAR(L4816),0)=Recherche!$C$6),OR(Recherche!$C$7="",ISNUMBER(SEARCH(Recherche!$C$7,H4816))),OR(Recherche!$C$8="",J4816=Recherche!$C$8),OR(Recherche!$C$9="",I4816=Recherche!$C$9),OR(Recherche!$C$10="",G4816&amp;""=Recherche!$C$10&amp;""),OR(Recherche!$C$11="",E4816=Recherche!$C$11),OR(Recherche!$C$12="",ISNUMBER(SEARCH(Recherche!$C$12,M4816&amp;" "&amp;F4816)))),1,0)</f>
        <v>8</v>
      </c>
    </row>
    <row r="4817" customFormat="false" ht="15" hidden="false" customHeight="false" outlineLevel="0" collapsed="false">
      <c r="A4817" s="19"/>
      <c r="B4817" s="19"/>
      <c r="C4817" s="19"/>
      <c r="D4817" s="19"/>
      <c r="E4817" s="22"/>
      <c r="F4817" s="19"/>
      <c r="G4817" s="26" t="str">
        <f aca="false">IF(D4817="","",IFERROR(VALUE(LEFT(D4817,FIND(" |",D4817&amp;" |")-1)),"?"))</f>
        <v/>
      </c>
      <c r="H4817" s="27" t="str">
        <f aca="false">IF(G4817="","",IF(G4817="?","⚠ pub inconnue",IFERROR(INDEX(Pubs!$B$2:$B$3001,MATCH(G4817,Pubs!$A$2:$A$3001,0))&amp;"","⚠ pub inconnue")))</f>
        <v/>
      </c>
      <c r="I4817" s="27" t="str">
        <f aca="false">IF(OR(G4817="",G4817="?"),"",IFERROR(INDEX(Pubs!$C$2:$C$3001,MATCH(G4817,Pubs!$A$2:$A$3001,0))&amp;"",""))</f>
        <v/>
      </c>
      <c r="J4817" s="27" t="str">
        <f aca="false">IF(OR(G4817="",G4817="?"),"",IFERROR(INDEX(Pubs!$G$2:$G$3001,MATCH(G4817,Pubs!$A$2:$A$3001,0))&amp;"",""))</f>
        <v/>
      </c>
      <c r="K4817" s="28" t="str">
        <f aca="false">IF(OR(G4817="",G4817="?"),"",IFERROR(INDEX(Pubs!$E$2:$E$3001,MATCH(G4817,Pubs!$A$2:$A$3001,0)),""))</f>
        <v/>
      </c>
      <c r="L4817" s="29" t="str">
        <f aca="false">IF(A4817="","",IFERROR(1/(1/INDEX(Numéros!$C$2:$C$3001,MATCH(A4817&amp;"|"&amp;B4817,Numéros!$F$2:$F$3001,0))),""))</f>
        <v/>
      </c>
      <c r="M4817" s="27" t="str">
        <f aca="false">IF(OR(G4817="",G4817="?"),"",IFERROR(INDEX(Pubs!$D$2:$D$3001,MATCH(G4817,Pubs!$A$2:$A$3001,0))&amp;"",""))</f>
        <v/>
      </c>
      <c r="N4817" s="27" t="n">
        <f aca="false">N(N4816)+IF(AND(A4817&lt;&gt;"",OR(Recherche!$C$4="",A4817=Recherche!$C$4),OR(Recherche!$C$5="",B4817&amp;""=Recherche!$C$5&amp;""),OR(Recherche!$C$6="",IFERROR(YEAR(L4817),0)=Recherche!$C$6),OR(Recherche!$C$7="",ISNUMBER(SEARCH(Recherche!$C$7,H4817))),OR(Recherche!$C$8="",J4817=Recherche!$C$8),OR(Recherche!$C$9="",I4817=Recherche!$C$9),OR(Recherche!$C$10="",G4817&amp;""=Recherche!$C$10&amp;""),OR(Recherche!$C$11="",E4817=Recherche!$C$11),OR(Recherche!$C$12="",ISNUMBER(SEARCH(Recherche!$C$12,M4817&amp;" "&amp;F4817)))),1,0)</f>
        <v>8</v>
      </c>
    </row>
    <row r="4818" customFormat="false" ht="15" hidden="false" customHeight="false" outlineLevel="0" collapsed="false">
      <c r="A4818" s="19"/>
      <c r="B4818" s="19"/>
      <c r="C4818" s="19"/>
      <c r="D4818" s="19"/>
      <c r="E4818" s="22"/>
      <c r="F4818" s="19"/>
      <c r="G4818" s="26" t="str">
        <f aca="false">IF(D4818="","",IFERROR(VALUE(LEFT(D4818,FIND(" |",D4818&amp;" |")-1)),"?"))</f>
        <v/>
      </c>
      <c r="H4818" s="27" t="str">
        <f aca="false">IF(G4818="","",IF(G4818="?","⚠ pub inconnue",IFERROR(INDEX(Pubs!$B$2:$B$3001,MATCH(G4818,Pubs!$A$2:$A$3001,0))&amp;"","⚠ pub inconnue")))</f>
        <v/>
      </c>
      <c r="I4818" s="27" t="str">
        <f aca="false">IF(OR(G4818="",G4818="?"),"",IFERROR(INDEX(Pubs!$C$2:$C$3001,MATCH(G4818,Pubs!$A$2:$A$3001,0))&amp;"",""))</f>
        <v/>
      </c>
      <c r="J4818" s="27" t="str">
        <f aca="false">IF(OR(G4818="",G4818="?"),"",IFERROR(INDEX(Pubs!$G$2:$G$3001,MATCH(G4818,Pubs!$A$2:$A$3001,0))&amp;"",""))</f>
        <v/>
      </c>
      <c r="K4818" s="28" t="str">
        <f aca="false">IF(OR(G4818="",G4818="?"),"",IFERROR(INDEX(Pubs!$E$2:$E$3001,MATCH(G4818,Pubs!$A$2:$A$3001,0)),""))</f>
        <v/>
      </c>
      <c r="L4818" s="29" t="str">
        <f aca="false">IF(A4818="","",IFERROR(1/(1/INDEX(Numéros!$C$2:$C$3001,MATCH(A4818&amp;"|"&amp;B4818,Numéros!$F$2:$F$3001,0))),""))</f>
        <v/>
      </c>
      <c r="M4818" s="27" t="str">
        <f aca="false">IF(OR(G4818="",G4818="?"),"",IFERROR(INDEX(Pubs!$D$2:$D$3001,MATCH(G4818,Pubs!$A$2:$A$3001,0))&amp;"",""))</f>
        <v/>
      </c>
      <c r="N4818" s="27" t="n">
        <f aca="false">N(N4817)+IF(AND(A4818&lt;&gt;"",OR(Recherche!$C$4="",A4818=Recherche!$C$4),OR(Recherche!$C$5="",B4818&amp;""=Recherche!$C$5&amp;""),OR(Recherche!$C$6="",IFERROR(YEAR(L4818),0)=Recherche!$C$6),OR(Recherche!$C$7="",ISNUMBER(SEARCH(Recherche!$C$7,H4818))),OR(Recherche!$C$8="",J4818=Recherche!$C$8),OR(Recherche!$C$9="",I4818=Recherche!$C$9),OR(Recherche!$C$10="",G4818&amp;""=Recherche!$C$10&amp;""),OR(Recherche!$C$11="",E4818=Recherche!$C$11),OR(Recherche!$C$12="",ISNUMBER(SEARCH(Recherche!$C$12,M4818&amp;" "&amp;F4818)))),1,0)</f>
        <v>8</v>
      </c>
    </row>
    <row r="4819" customFormat="false" ht="15" hidden="false" customHeight="false" outlineLevel="0" collapsed="false">
      <c r="A4819" s="19"/>
      <c r="B4819" s="19"/>
      <c r="C4819" s="19"/>
      <c r="D4819" s="19"/>
      <c r="E4819" s="22"/>
      <c r="F4819" s="19"/>
      <c r="G4819" s="26" t="str">
        <f aca="false">IF(D4819="","",IFERROR(VALUE(LEFT(D4819,FIND(" |",D4819&amp;" |")-1)),"?"))</f>
        <v/>
      </c>
      <c r="H4819" s="27" t="str">
        <f aca="false">IF(G4819="","",IF(G4819="?","⚠ pub inconnue",IFERROR(INDEX(Pubs!$B$2:$B$3001,MATCH(G4819,Pubs!$A$2:$A$3001,0))&amp;"","⚠ pub inconnue")))</f>
        <v/>
      </c>
      <c r="I4819" s="27" t="str">
        <f aca="false">IF(OR(G4819="",G4819="?"),"",IFERROR(INDEX(Pubs!$C$2:$C$3001,MATCH(G4819,Pubs!$A$2:$A$3001,0))&amp;"",""))</f>
        <v/>
      </c>
      <c r="J4819" s="27" t="str">
        <f aca="false">IF(OR(G4819="",G4819="?"),"",IFERROR(INDEX(Pubs!$G$2:$G$3001,MATCH(G4819,Pubs!$A$2:$A$3001,0))&amp;"",""))</f>
        <v/>
      </c>
      <c r="K4819" s="28" t="str">
        <f aca="false">IF(OR(G4819="",G4819="?"),"",IFERROR(INDEX(Pubs!$E$2:$E$3001,MATCH(G4819,Pubs!$A$2:$A$3001,0)),""))</f>
        <v/>
      </c>
      <c r="L4819" s="29" t="str">
        <f aca="false">IF(A4819="","",IFERROR(1/(1/INDEX(Numéros!$C$2:$C$3001,MATCH(A4819&amp;"|"&amp;B4819,Numéros!$F$2:$F$3001,0))),""))</f>
        <v/>
      </c>
      <c r="M4819" s="27" t="str">
        <f aca="false">IF(OR(G4819="",G4819="?"),"",IFERROR(INDEX(Pubs!$D$2:$D$3001,MATCH(G4819,Pubs!$A$2:$A$3001,0))&amp;"",""))</f>
        <v/>
      </c>
      <c r="N4819" s="27" t="n">
        <f aca="false">N(N4818)+IF(AND(A4819&lt;&gt;"",OR(Recherche!$C$4="",A4819=Recherche!$C$4),OR(Recherche!$C$5="",B4819&amp;""=Recherche!$C$5&amp;""),OR(Recherche!$C$6="",IFERROR(YEAR(L4819),0)=Recherche!$C$6),OR(Recherche!$C$7="",ISNUMBER(SEARCH(Recherche!$C$7,H4819))),OR(Recherche!$C$8="",J4819=Recherche!$C$8),OR(Recherche!$C$9="",I4819=Recherche!$C$9),OR(Recherche!$C$10="",G4819&amp;""=Recherche!$C$10&amp;""),OR(Recherche!$C$11="",E4819=Recherche!$C$11),OR(Recherche!$C$12="",ISNUMBER(SEARCH(Recherche!$C$12,M4819&amp;" "&amp;F4819)))),1,0)</f>
        <v>8</v>
      </c>
    </row>
    <row r="4820" customFormat="false" ht="15" hidden="false" customHeight="false" outlineLevel="0" collapsed="false">
      <c r="A4820" s="19"/>
      <c r="B4820" s="19"/>
      <c r="C4820" s="19"/>
      <c r="D4820" s="19"/>
      <c r="E4820" s="22"/>
      <c r="F4820" s="19"/>
      <c r="G4820" s="26" t="str">
        <f aca="false">IF(D4820="","",IFERROR(VALUE(LEFT(D4820,FIND(" |",D4820&amp;" |")-1)),"?"))</f>
        <v/>
      </c>
      <c r="H4820" s="27" t="str">
        <f aca="false">IF(G4820="","",IF(G4820="?","⚠ pub inconnue",IFERROR(INDEX(Pubs!$B$2:$B$3001,MATCH(G4820,Pubs!$A$2:$A$3001,0))&amp;"","⚠ pub inconnue")))</f>
        <v/>
      </c>
      <c r="I4820" s="27" t="str">
        <f aca="false">IF(OR(G4820="",G4820="?"),"",IFERROR(INDEX(Pubs!$C$2:$C$3001,MATCH(G4820,Pubs!$A$2:$A$3001,0))&amp;"",""))</f>
        <v/>
      </c>
      <c r="J4820" s="27" t="str">
        <f aca="false">IF(OR(G4820="",G4820="?"),"",IFERROR(INDEX(Pubs!$G$2:$G$3001,MATCH(G4820,Pubs!$A$2:$A$3001,0))&amp;"",""))</f>
        <v/>
      </c>
      <c r="K4820" s="28" t="str">
        <f aca="false">IF(OR(G4820="",G4820="?"),"",IFERROR(INDEX(Pubs!$E$2:$E$3001,MATCH(G4820,Pubs!$A$2:$A$3001,0)),""))</f>
        <v/>
      </c>
      <c r="L4820" s="29" t="str">
        <f aca="false">IF(A4820="","",IFERROR(1/(1/INDEX(Numéros!$C$2:$C$3001,MATCH(A4820&amp;"|"&amp;B4820,Numéros!$F$2:$F$3001,0))),""))</f>
        <v/>
      </c>
      <c r="M4820" s="27" t="str">
        <f aca="false">IF(OR(G4820="",G4820="?"),"",IFERROR(INDEX(Pubs!$D$2:$D$3001,MATCH(G4820,Pubs!$A$2:$A$3001,0))&amp;"",""))</f>
        <v/>
      </c>
      <c r="N4820" s="27" t="n">
        <f aca="false">N(N4819)+IF(AND(A4820&lt;&gt;"",OR(Recherche!$C$4="",A4820=Recherche!$C$4),OR(Recherche!$C$5="",B4820&amp;""=Recherche!$C$5&amp;""),OR(Recherche!$C$6="",IFERROR(YEAR(L4820),0)=Recherche!$C$6),OR(Recherche!$C$7="",ISNUMBER(SEARCH(Recherche!$C$7,H4820))),OR(Recherche!$C$8="",J4820=Recherche!$C$8),OR(Recherche!$C$9="",I4820=Recherche!$C$9),OR(Recherche!$C$10="",G4820&amp;""=Recherche!$C$10&amp;""),OR(Recherche!$C$11="",E4820=Recherche!$C$11),OR(Recherche!$C$12="",ISNUMBER(SEARCH(Recherche!$C$12,M4820&amp;" "&amp;F4820)))),1,0)</f>
        <v>8</v>
      </c>
    </row>
    <row r="4821" customFormat="false" ht="15" hidden="false" customHeight="false" outlineLevel="0" collapsed="false">
      <c r="A4821" s="19"/>
      <c r="B4821" s="19"/>
      <c r="C4821" s="19"/>
      <c r="D4821" s="19"/>
      <c r="E4821" s="22"/>
      <c r="F4821" s="19"/>
      <c r="G4821" s="26" t="str">
        <f aca="false">IF(D4821="","",IFERROR(VALUE(LEFT(D4821,FIND(" |",D4821&amp;" |")-1)),"?"))</f>
        <v/>
      </c>
      <c r="H4821" s="27" t="str">
        <f aca="false">IF(G4821="","",IF(G4821="?","⚠ pub inconnue",IFERROR(INDEX(Pubs!$B$2:$B$3001,MATCH(G4821,Pubs!$A$2:$A$3001,0))&amp;"","⚠ pub inconnue")))</f>
        <v/>
      </c>
      <c r="I4821" s="27" t="str">
        <f aca="false">IF(OR(G4821="",G4821="?"),"",IFERROR(INDEX(Pubs!$C$2:$C$3001,MATCH(G4821,Pubs!$A$2:$A$3001,0))&amp;"",""))</f>
        <v/>
      </c>
      <c r="J4821" s="27" t="str">
        <f aca="false">IF(OR(G4821="",G4821="?"),"",IFERROR(INDEX(Pubs!$G$2:$G$3001,MATCH(G4821,Pubs!$A$2:$A$3001,0))&amp;"",""))</f>
        <v/>
      </c>
      <c r="K4821" s="28" t="str">
        <f aca="false">IF(OR(G4821="",G4821="?"),"",IFERROR(INDEX(Pubs!$E$2:$E$3001,MATCH(G4821,Pubs!$A$2:$A$3001,0)),""))</f>
        <v/>
      </c>
      <c r="L4821" s="29" t="str">
        <f aca="false">IF(A4821="","",IFERROR(1/(1/INDEX(Numéros!$C$2:$C$3001,MATCH(A4821&amp;"|"&amp;B4821,Numéros!$F$2:$F$3001,0))),""))</f>
        <v/>
      </c>
      <c r="M4821" s="27" t="str">
        <f aca="false">IF(OR(G4821="",G4821="?"),"",IFERROR(INDEX(Pubs!$D$2:$D$3001,MATCH(G4821,Pubs!$A$2:$A$3001,0))&amp;"",""))</f>
        <v/>
      </c>
      <c r="N4821" s="27" t="n">
        <f aca="false">N(N4820)+IF(AND(A4821&lt;&gt;"",OR(Recherche!$C$4="",A4821=Recherche!$C$4),OR(Recherche!$C$5="",B4821&amp;""=Recherche!$C$5&amp;""),OR(Recherche!$C$6="",IFERROR(YEAR(L4821),0)=Recherche!$C$6),OR(Recherche!$C$7="",ISNUMBER(SEARCH(Recherche!$C$7,H4821))),OR(Recherche!$C$8="",J4821=Recherche!$C$8),OR(Recherche!$C$9="",I4821=Recherche!$C$9),OR(Recherche!$C$10="",G4821&amp;""=Recherche!$C$10&amp;""),OR(Recherche!$C$11="",E4821=Recherche!$C$11),OR(Recherche!$C$12="",ISNUMBER(SEARCH(Recherche!$C$12,M4821&amp;" "&amp;F4821)))),1,0)</f>
        <v>8</v>
      </c>
    </row>
    <row r="4822" customFormat="false" ht="15" hidden="false" customHeight="false" outlineLevel="0" collapsed="false">
      <c r="A4822" s="19"/>
      <c r="B4822" s="19"/>
      <c r="C4822" s="19"/>
      <c r="D4822" s="19"/>
      <c r="E4822" s="22"/>
      <c r="F4822" s="19"/>
      <c r="G4822" s="26" t="str">
        <f aca="false">IF(D4822="","",IFERROR(VALUE(LEFT(D4822,FIND(" |",D4822&amp;" |")-1)),"?"))</f>
        <v/>
      </c>
      <c r="H4822" s="27" t="str">
        <f aca="false">IF(G4822="","",IF(G4822="?","⚠ pub inconnue",IFERROR(INDEX(Pubs!$B$2:$B$3001,MATCH(G4822,Pubs!$A$2:$A$3001,0))&amp;"","⚠ pub inconnue")))</f>
        <v/>
      </c>
      <c r="I4822" s="27" t="str">
        <f aca="false">IF(OR(G4822="",G4822="?"),"",IFERROR(INDEX(Pubs!$C$2:$C$3001,MATCH(G4822,Pubs!$A$2:$A$3001,0))&amp;"",""))</f>
        <v/>
      </c>
      <c r="J4822" s="27" t="str">
        <f aca="false">IF(OR(G4822="",G4822="?"),"",IFERROR(INDEX(Pubs!$G$2:$G$3001,MATCH(G4822,Pubs!$A$2:$A$3001,0))&amp;"",""))</f>
        <v/>
      </c>
      <c r="K4822" s="28" t="str">
        <f aca="false">IF(OR(G4822="",G4822="?"),"",IFERROR(INDEX(Pubs!$E$2:$E$3001,MATCH(G4822,Pubs!$A$2:$A$3001,0)),""))</f>
        <v/>
      </c>
      <c r="L4822" s="29" t="str">
        <f aca="false">IF(A4822="","",IFERROR(1/(1/INDEX(Numéros!$C$2:$C$3001,MATCH(A4822&amp;"|"&amp;B4822,Numéros!$F$2:$F$3001,0))),""))</f>
        <v/>
      </c>
      <c r="M4822" s="27" t="str">
        <f aca="false">IF(OR(G4822="",G4822="?"),"",IFERROR(INDEX(Pubs!$D$2:$D$3001,MATCH(G4822,Pubs!$A$2:$A$3001,0))&amp;"",""))</f>
        <v/>
      </c>
      <c r="N4822" s="27" t="n">
        <f aca="false">N(N4821)+IF(AND(A4822&lt;&gt;"",OR(Recherche!$C$4="",A4822=Recherche!$C$4),OR(Recherche!$C$5="",B4822&amp;""=Recherche!$C$5&amp;""),OR(Recherche!$C$6="",IFERROR(YEAR(L4822),0)=Recherche!$C$6),OR(Recherche!$C$7="",ISNUMBER(SEARCH(Recherche!$C$7,H4822))),OR(Recherche!$C$8="",J4822=Recherche!$C$8),OR(Recherche!$C$9="",I4822=Recherche!$C$9),OR(Recherche!$C$10="",G4822&amp;""=Recherche!$C$10&amp;""),OR(Recherche!$C$11="",E4822=Recherche!$C$11),OR(Recherche!$C$12="",ISNUMBER(SEARCH(Recherche!$C$12,M4822&amp;" "&amp;F4822)))),1,0)</f>
        <v>8</v>
      </c>
    </row>
    <row r="4823" customFormat="false" ht="15" hidden="false" customHeight="false" outlineLevel="0" collapsed="false">
      <c r="A4823" s="19"/>
      <c r="B4823" s="19"/>
      <c r="C4823" s="19"/>
      <c r="D4823" s="19"/>
      <c r="E4823" s="22"/>
      <c r="F4823" s="19"/>
      <c r="G4823" s="26" t="str">
        <f aca="false">IF(D4823="","",IFERROR(VALUE(LEFT(D4823,FIND(" |",D4823&amp;" |")-1)),"?"))</f>
        <v/>
      </c>
      <c r="H4823" s="27" t="str">
        <f aca="false">IF(G4823="","",IF(G4823="?","⚠ pub inconnue",IFERROR(INDEX(Pubs!$B$2:$B$3001,MATCH(G4823,Pubs!$A$2:$A$3001,0))&amp;"","⚠ pub inconnue")))</f>
        <v/>
      </c>
      <c r="I4823" s="27" t="str">
        <f aca="false">IF(OR(G4823="",G4823="?"),"",IFERROR(INDEX(Pubs!$C$2:$C$3001,MATCH(G4823,Pubs!$A$2:$A$3001,0))&amp;"",""))</f>
        <v/>
      </c>
      <c r="J4823" s="27" t="str">
        <f aca="false">IF(OR(G4823="",G4823="?"),"",IFERROR(INDEX(Pubs!$G$2:$G$3001,MATCH(G4823,Pubs!$A$2:$A$3001,0))&amp;"",""))</f>
        <v/>
      </c>
      <c r="K4823" s="28" t="str">
        <f aca="false">IF(OR(G4823="",G4823="?"),"",IFERROR(INDEX(Pubs!$E$2:$E$3001,MATCH(G4823,Pubs!$A$2:$A$3001,0)),""))</f>
        <v/>
      </c>
      <c r="L4823" s="29" t="str">
        <f aca="false">IF(A4823="","",IFERROR(1/(1/INDEX(Numéros!$C$2:$C$3001,MATCH(A4823&amp;"|"&amp;B4823,Numéros!$F$2:$F$3001,0))),""))</f>
        <v/>
      </c>
      <c r="M4823" s="27" t="str">
        <f aca="false">IF(OR(G4823="",G4823="?"),"",IFERROR(INDEX(Pubs!$D$2:$D$3001,MATCH(G4823,Pubs!$A$2:$A$3001,0))&amp;"",""))</f>
        <v/>
      </c>
      <c r="N4823" s="27" t="n">
        <f aca="false">N(N4822)+IF(AND(A4823&lt;&gt;"",OR(Recherche!$C$4="",A4823=Recherche!$C$4),OR(Recherche!$C$5="",B4823&amp;""=Recherche!$C$5&amp;""),OR(Recherche!$C$6="",IFERROR(YEAR(L4823),0)=Recherche!$C$6),OR(Recherche!$C$7="",ISNUMBER(SEARCH(Recherche!$C$7,H4823))),OR(Recherche!$C$8="",J4823=Recherche!$C$8),OR(Recherche!$C$9="",I4823=Recherche!$C$9),OR(Recherche!$C$10="",G4823&amp;""=Recherche!$C$10&amp;""),OR(Recherche!$C$11="",E4823=Recherche!$C$11),OR(Recherche!$C$12="",ISNUMBER(SEARCH(Recherche!$C$12,M4823&amp;" "&amp;F4823)))),1,0)</f>
        <v>8</v>
      </c>
    </row>
    <row r="4824" customFormat="false" ht="15" hidden="false" customHeight="false" outlineLevel="0" collapsed="false">
      <c r="A4824" s="19"/>
      <c r="B4824" s="19"/>
      <c r="C4824" s="19"/>
      <c r="D4824" s="19"/>
      <c r="E4824" s="22"/>
      <c r="F4824" s="19"/>
      <c r="G4824" s="26" t="str">
        <f aca="false">IF(D4824="","",IFERROR(VALUE(LEFT(D4824,FIND(" |",D4824&amp;" |")-1)),"?"))</f>
        <v/>
      </c>
      <c r="H4824" s="27" t="str">
        <f aca="false">IF(G4824="","",IF(G4824="?","⚠ pub inconnue",IFERROR(INDEX(Pubs!$B$2:$B$3001,MATCH(G4824,Pubs!$A$2:$A$3001,0))&amp;"","⚠ pub inconnue")))</f>
        <v/>
      </c>
      <c r="I4824" s="27" t="str">
        <f aca="false">IF(OR(G4824="",G4824="?"),"",IFERROR(INDEX(Pubs!$C$2:$C$3001,MATCH(G4824,Pubs!$A$2:$A$3001,0))&amp;"",""))</f>
        <v/>
      </c>
      <c r="J4824" s="27" t="str">
        <f aca="false">IF(OR(G4824="",G4824="?"),"",IFERROR(INDEX(Pubs!$G$2:$G$3001,MATCH(G4824,Pubs!$A$2:$A$3001,0))&amp;"",""))</f>
        <v/>
      </c>
      <c r="K4824" s="28" t="str">
        <f aca="false">IF(OR(G4824="",G4824="?"),"",IFERROR(INDEX(Pubs!$E$2:$E$3001,MATCH(G4824,Pubs!$A$2:$A$3001,0)),""))</f>
        <v/>
      </c>
      <c r="L4824" s="29" t="str">
        <f aca="false">IF(A4824="","",IFERROR(1/(1/INDEX(Numéros!$C$2:$C$3001,MATCH(A4824&amp;"|"&amp;B4824,Numéros!$F$2:$F$3001,0))),""))</f>
        <v/>
      </c>
      <c r="M4824" s="27" t="str">
        <f aca="false">IF(OR(G4824="",G4824="?"),"",IFERROR(INDEX(Pubs!$D$2:$D$3001,MATCH(G4824,Pubs!$A$2:$A$3001,0))&amp;"",""))</f>
        <v/>
      </c>
      <c r="N4824" s="27" t="n">
        <f aca="false">N(N4823)+IF(AND(A4824&lt;&gt;"",OR(Recherche!$C$4="",A4824=Recherche!$C$4),OR(Recherche!$C$5="",B4824&amp;""=Recherche!$C$5&amp;""),OR(Recherche!$C$6="",IFERROR(YEAR(L4824),0)=Recherche!$C$6),OR(Recherche!$C$7="",ISNUMBER(SEARCH(Recherche!$C$7,H4824))),OR(Recherche!$C$8="",J4824=Recherche!$C$8),OR(Recherche!$C$9="",I4824=Recherche!$C$9),OR(Recherche!$C$10="",G4824&amp;""=Recherche!$C$10&amp;""),OR(Recherche!$C$11="",E4824=Recherche!$C$11),OR(Recherche!$C$12="",ISNUMBER(SEARCH(Recherche!$C$12,M4824&amp;" "&amp;F4824)))),1,0)</f>
        <v>8</v>
      </c>
    </row>
    <row r="4825" customFormat="false" ht="15" hidden="false" customHeight="false" outlineLevel="0" collapsed="false">
      <c r="A4825" s="19"/>
      <c r="B4825" s="19"/>
      <c r="C4825" s="19"/>
      <c r="D4825" s="19"/>
      <c r="E4825" s="22"/>
      <c r="F4825" s="19"/>
      <c r="G4825" s="26" t="str">
        <f aca="false">IF(D4825="","",IFERROR(VALUE(LEFT(D4825,FIND(" |",D4825&amp;" |")-1)),"?"))</f>
        <v/>
      </c>
      <c r="H4825" s="27" t="str">
        <f aca="false">IF(G4825="","",IF(G4825="?","⚠ pub inconnue",IFERROR(INDEX(Pubs!$B$2:$B$3001,MATCH(G4825,Pubs!$A$2:$A$3001,0))&amp;"","⚠ pub inconnue")))</f>
        <v/>
      </c>
      <c r="I4825" s="27" t="str">
        <f aca="false">IF(OR(G4825="",G4825="?"),"",IFERROR(INDEX(Pubs!$C$2:$C$3001,MATCH(G4825,Pubs!$A$2:$A$3001,0))&amp;"",""))</f>
        <v/>
      </c>
      <c r="J4825" s="27" t="str">
        <f aca="false">IF(OR(G4825="",G4825="?"),"",IFERROR(INDEX(Pubs!$G$2:$G$3001,MATCH(G4825,Pubs!$A$2:$A$3001,0))&amp;"",""))</f>
        <v/>
      </c>
      <c r="K4825" s="28" t="str">
        <f aca="false">IF(OR(G4825="",G4825="?"),"",IFERROR(INDEX(Pubs!$E$2:$E$3001,MATCH(G4825,Pubs!$A$2:$A$3001,0)),""))</f>
        <v/>
      </c>
      <c r="L4825" s="29" t="str">
        <f aca="false">IF(A4825="","",IFERROR(1/(1/INDEX(Numéros!$C$2:$C$3001,MATCH(A4825&amp;"|"&amp;B4825,Numéros!$F$2:$F$3001,0))),""))</f>
        <v/>
      </c>
      <c r="M4825" s="27" t="str">
        <f aca="false">IF(OR(G4825="",G4825="?"),"",IFERROR(INDEX(Pubs!$D$2:$D$3001,MATCH(G4825,Pubs!$A$2:$A$3001,0))&amp;"",""))</f>
        <v/>
      </c>
      <c r="N4825" s="27" t="n">
        <f aca="false">N(N4824)+IF(AND(A4825&lt;&gt;"",OR(Recherche!$C$4="",A4825=Recherche!$C$4),OR(Recherche!$C$5="",B4825&amp;""=Recherche!$C$5&amp;""),OR(Recherche!$C$6="",IFERROR(YEAR(L4825),0)=Recherche!$C$6),OR(Recherche!$C$7="",ISNUMBER(SEARCH(Recherche!$C$7,H4825))),OR(Recherche!$C$8="",J4825=Recherche!$C$8),OR(Recherche!$C$9="",I4825=Recherche!$C$9),OR(Recherche!$C$10="",G4825&amp;""=Recherche!$C$10&amp;""),OR(Recherche!$C$11="",E4825=Recherche!$C$11),OR(Recherche!$C$12="",ISNUMBER(SEARCH(Recherche!$C$12,M4825&amp;" "&amp;F4825)))),1,0)</f>
        <v>8</v>
      </c>
    </row>
    <row r="4826" customFormat="false" ht="15" hidden="false" customHeight="false" outlineLevel="0" collapsed="false">
      <c r="A4826" s="19"/>
      <c r="B4826" s="19"/>
      <c r="C4826" s="19"/>
      <c r="D4826" s="19"/>
      <c r="E4826" s="22"/>
      <c r="F4826" s="19"/>
      <c r="G4826" s="26" t="str">
        <f aca="false">IF(D4826="","",IFERROR(VALUE(LEFT(D4826,FIND(" |",D4826&amp;" |")-1)),"?"))</f>
        <v/>
      </c>
      <c r="H4826" s="27" t="str">
        <f aca="false">IF(G4826="","",IF(G4826="?","⚠ pub inconnue",IFERROR(INDEX(Pubs!$B$2:$B$3001,MATCH(G4826,Pubs!$A$2:$A$3001,0))&amp;"","⚠ pub inconnue")))</f>
        <v/>
      </c>
      <c r="I4826" s="27" t="str">
        <f aca="false">IF(OR(G4826="",G4826="?"),"",IFERROR(INDEX(Pubs!$C$2:$C$3001,MATCH(G4826,Pubs!$A$2:$A$3001,0))&amp;"",""))</f>
        <v/>
      </c>
      <c r="J4826" s="27" t="str">
        <f aca="false">IF(OR(G4826="",G4826="?"),"",IFERROR(INDEX(Pubs!$G$2:$G$3001,MATCH(G4826,Pubs!$A$2:$A$3001,0))&amp;"",""))</f>
        <v/>
      </c>
      <c r="K4826" s="28" t="str">
        <f aca="false">IF(OR(G4826="",G4826="?"),"",IFERROR(INDEX(Pubs!$E$2:$E$3001,MATCH(G4826,Pubs!$A$2:$A$3001,0)),""))</f>
        <v/>
      </c>
      <c r="L4826" s="29" t="str">
        <f aca="false">IF(A4826="","",IFERROR(1/(1/INDEX(Numéros!$C$2:$C$3001,MATCH(A4826&amp;"|"&amp;B4826,Numéros!$F$2:$F$3001,0))),""))</f>
        <v/>
      </c>
      <c r="M4826" s="27" t="str">
        <f aca="false">IF(OR(G4826="",G4826="?"),"",IFERROR(INDEX(Pubs!$D$2:$D$3001,MATCH(G4826,Pubs!$A$2:$A$3001,0))&amp;"",""))</f>
        <v/>
      </c>
      <c r="N4826" s="27" t="n">
        <f aca="false">N(N4825)+IF(AND(A4826&lt;&gt;"",OR(Recherche!$C$4="",A4826=Recherche!$C$4),OR(Recherche!$C$5="",B4826&amp;""=Recherche!$C$5&amp;""),OR(Recherche!$C$6="",IFERROR(YEAR(L4826),0)=Recherche!$C$6),OR(Recherche!$C$7="",ISNUMBER(SEARCH(Recherche!$C$7,H4826))),OR(Recherche!$C$8="",J4826=Recherche!$C$8),OR(Recherche!$C$9="",I4826=Recherche!$C$9),OR(Recherche!$C$10="",G4826&amp;""=Recherche!$C$10&amp;""),OR(Recherche!$C$11="",E4826=Recherche!$C$11),OR(Recherche!$C$12="",ISNUMBER(SEARCH(Recherche!$C$12,M4826&amp;" "&amp;F4826)))),1,0)</f>
        <v>8</v>
      </c>
    </row>
    <row r="4827" customFormat="false" ht="15" hidden="false" customHeight="false" outlineLevel="0" collapsed="false">
      <c r="A4827" s="19"/>
      <c r="B4827" s="19"/>
      <c r="C4827" s="19"/>
      <c r="D4827" s="19"/>
      <c r="E4827" s="22"/>
      <c r="F4827" s="19"/>
      <c r="G4827" s="26" t="str">
        <f aca="false">IF(D4827="","",IFERROR(VALUE(LEFT(D4827,FIND(" |",D4827&amp;" |")-1)),"?"))</f>
        <v/>
      </c>
      <c r="H4827" s="27" t="str">
        <f aca="false">IF(G4827="","",IF(G4827="?","⚠ pub inconnue",IFERROR(INDEX(Pubs!$B$2:$B$3001,MATCH(G4827,Pubs!$A$2:$A$3001,0))&amp;"","⚠ pub inconnue")))</f>
        <v/>
      </c>
      <c r="I4827" s="27" t="str">
        <f aca="false">IF(OR(G4827="",G4827="?"),"",IFERROR(INDEX(Pubs!$C$2:$C$3001,MATCH(G4827,Pubs!$A$2:$A$3001,0))&amp;"",""))</f>
        <v/>
      </c>
      <c r="J4827" s="27" t="str">
        <f aca="false">IF(OR(G4827="",G4827="?"),"",IFERROR(INDEX(Pubs!$G$2:$G$3001,MATCH(G4827,Pubs!$A$2:$A$3001,0))&amp;"",""))</f>
        <v/>
      </c>
      <c r="K4827" s="28" t="str">
        <f aca="false">IF(OR(G4827="",G4827="?"),"",IFERROR(INDEX(Pubs!$E$2:$E$3001,MATCH(G4827,Pubs!$A$2:$A$3001,0)),""))</f>
        <v/>
      </c>
      <c r="L4827" s="29" t="str">
        <f aca="false">IF(A4827="","",IFERROR(1/(1/INDEX(Numéros!$C$2:$C$3001,MATCH(A4827&amp;"|"&amp;B4827,Numéros!$F$2:$F$3001,0))),""))</f>
        <v/>
      </c>
      <c r="M4827" s="27" t="str">
        <f aca="false">IF(OR(G4827="",G4827="?"),"",IFERROR(INDEX(Pubs!$D$2:$D$3001,MATCH(G4827,Pubs!$A$2:$A$3001,0))&amp;"",""))</f>
        <v/>
      </c>
      <c r="N4827" s="27" t="n">
        <f aca="false">N(N4826)+IF(AND(A4827&lt;&gt;"",OR(Recherche!$C$4="",A4827=Recherche!$C$4),OR(Recherche!$C$5="",B4827&amp;""=Recherche!$C$5&amp;""),OR(Recherche!$C$6="",IFERROR(YEAR(L4827),0)=Recherche!$C$6),OR(Recherche!$C$7="",ISNUMBER(SEARCH(Recherche!$C$7,H4827))),OR(Recherche!$C$8="",J4827=Recherche!$C$8),OR(Recherche!$C$9="",I4827=Recherche!$C$9),OR(Recherche!$C$10="",G4827&amp;""=Recherche!$C$10&amp;""),OR(Recherche!$C$11="",E4827=Recherche!$C$11),OR(Recherche!$C$12="",ISNUMBER(SEARCH(Recherche!$C$12,M4827&amp;" "&amp;F4827)))),1,0)</f>
        <v>8</v>
      </c>
    </row>
    <row r="4828" customFormat="false" ht="15" hidden="false" customHeight="false" outlineLevel="0" collapsed="false">
      <c r="A4828" s="19"/>
      <c r="B4828" s="19"/>
      <c r="C4828" s="19"/>
      <c r="D4828" s="19"/>
      <c r="E4828" s="22"/>
      <c r="F4828" s="19"/>
      <c r="G4828" s="26" t="str">
        <f aca="false">IF(D4828="","",IFERROR(VALUE(LEFT(D4828,FIND(" |",D4828&amp;" |")-1)),"?"))</f>
        <v/>
      </c>
      <c r="H4828" s="27" t="str">
        <f aca="false">IF(G4828="","",IF(G4828="?","⚠ pub inconnue",IFERROR(INDEX(Pubs!$B$2:$B$3001,MATCH(G4828,Pubs!$A$2:$A$3001,0))&amp;"","⚠ pub inconnue")))</f>
        <v/>
      </c>
      <c r="I4828" s="27" t="str">
        <f aca="false">IF(OR(G4828="",G4828="?"),"",IFERROR(INDEX(Pubs!$C$2:$C$3001,MATCH(G4828,Pubs!$A$2:$A$3001,0))&amp;"",""))</f>
        <v/>
      </c>
      <c r="J4828" s="27" t="str">
        <f aca="false">IF(OR(G4828="",G4828="?"),"",IFERROR(INDEX(Pubs!$G$2:$G$3001,MATCH(G4828,Pubs!$A$2:$A$3001,0))&amp;"",""))</f>
        <v/>
      </c>
      <c r="K4828" s="28" t="str">
        <f aca="false">IF(OR(G4828="",G4828="?"),"",IFERROR(INDEX(Pubs!$E$2:$E$3001,MATCH(G4828,Pubs!$A$2:$A$3001,0)),""))</f>
        <v/>
      </c>
      <c r="L4828" s="29" t="str">
        <f aca="false">IF(A4828="","",IFERROR(1/(1/INDEX(Numéros!$C$2:$C$3001,MATCH(A4828&amp;"|"&amp;B4828,Numéros!$F$2:$F$3001,0))),""))</f>
        <v/>
      </c>
      <c r="M4828" s="27" t="str">
        <f aca="false">IF(OR(G4828="",G4828="?"),"",IFERROR(INDEX(Pubs!$D$2:$D$3001,MATCH(G4828,Pubs!$A$2:$A$3001,0))&amp;"",""))</f>
        <v/>
      </c>
      <c r="N4828" s="27" t="n">
        <f aca="false">N(N4827)+IF(AND(A4828&lt;&gt;"",OR(Recherche!$C$4="",A4828=Recherche!$C$4),OR(Recherche!$C$5="",B4828&amp;""=Recherche!$C$5&amp;""),OR(Recherche!$C$6="",IFERROR(YEAR(L4828),0)=Recherche!$C$6),OR(Recherche!$C$7="",ISNUMBER(SEARCH(Recherche!$C$7,H4828))),OR(Recherche!$C$8="",J4828=Recherche!$C$8),OR(Recherche!$C$9="",I4828=Recherche!$C$9),OR(Recherche!$C$10="",G4828&amp;""=Recherche!$C$10&amp;""),OR(Recherche!$C$11="",E4828=Recherche!$C$11),OR(Recherche!$C$12="",ISNUMBER(SEARCH(Recherche!$C$12,M4828&amp;" "&amp;F4828)))),1,0)</f>
        <v>8</v>
      </c>
    </row>
    <row r="4829" customFormat="false" ht="15" hidden="false" customHeight="false" outlineLevel="0" collapsed="false">
      <c r="A4829" s="19"/>
      <c r="B4829" s="19"/>
      <c r="C4829" s="19"/>
      <c r="D4829" s="19"/>
      <c r="E4829" s="22"/>
      <c r="F4829" s="19"/>
      <c r="G4829" s="26" t="str">
        <f aca="false">IF(D4829="","",IFERROR(VALUE(LEFT(D4829,FIND(" |",D4829&amp;" |")-1)),"?"))</f>
        <v/>
      </c>
      <c r="H4829" s="27" t="str">
        <f aca="false">IF(G4829="","",IF(G4829="?","⚠ pub inconnue",IFERROR(INDEX(Pubs!$B$2:$B$3001,MATCH(G4829,Pubs!$A$2:$A$3001,0))&amp;"","⚠ pub inconnue")))</f>
        <v/>
      </c>
      <c r="I4829" s="27" t="str">
        <f aca="false">IF(OR(G4829="",G4829="?"),"",IFERROR(INDEX(Pubs!$C$2:$C$3001,MATCH(G4829,Pubs!$A$2:$A$3001,0))&amp;"",""))</f>
        <v/>
      </c>
      <c r="J4829" s="27" t="str">
        <f aca="false">IF(OR(G4829="",G4829="?"),"",IFERROR(INDEX(Pubs!$G$2:$G$3001,MATCH(G4829,Pubs!$A$2:$A$3001,0))&amp;"",""))</f>
        <v/>
      </c>
      <c r="K4829" s="28" t="str">
        <f aca="false">IF(OR(G4829="",G4829="?"),"",IFERROR(INDEX(Pubs!$E$2:$E$3001,MATCH(G4829,Pubs!$A$2:$A$3001,0)),""))</f>
        <v/>
      </c>
      <c r="L4829" s="29" t="str">
        <f aca="false">IF(A4829="","",IFERROR(1/(1/INDEX(Numéros!$C$2:$C$3001,MATCH(A4829&amp;"|"&amp;B4829,Numéros!$F$2:$F$3001,0))),""))</f>
        <v/>
      </c>
      <c r="M4829" s="27" t="str">
        <f aca="false">IF(OR(G4829="",G4829="?"),"",IFERROR(INDEX(Pubs!$D$2:$D$3001,MATCH(G4829,Pubs!$A$2:$A$3001,0))&amp;"",""))</f>
        <v/>
      </c>
      <c r="N4829" s="27" t="n">
        <f aca="false">N(N4828)+IF(AND(A4829&lt;&gt;"",OR(Recherche!$C$4="",A4829=Recherche!$C$4),OR(Recherche!$C$5="",B4829&amp;""=Recherche!$C$5&amp;""),OR(Recherche!$C$6="",IFERROR(YEAR(L4829),0)=Recherche!$C$6),OR(Recherche!$C$7="",ISNUMBER(SEARCH(Recherche!$C$7,H4829))),OR(Recherche!$C$8="",J4829=Recherche!$C$8),OR(Recherche!$C$9="",I4829=Recherche!$C$9),OR(Recherche!$C$10="",G4829&amp;""=Recherche!$C$10&amp;""),OR(Recherche!$C$11="",E4829=Recherche!$C$11),OR(Recherche!$C$12="",ISNUMBER(SEARCH(Recherche!$C$12,M4829&amp;" "&amp;F4829)))),1,0)</f>
        <v>8</v>
      </c>
    </row>
    <row r="4830" customFormat="false" ht="15" hidden="false" customHeight="false" outlineLevel="0" collapsed="false">
      <c r="A4830" s="19"/>
      <c r="B4830" s="19"/>
      <c r="C4830" s="19"/>
      <c r="D4830" s="19"/>
      <c r="E4830" s="22"/>
      <c r="F4830" s="19"/>
      <c r="G4830" s="26" t="str">
        <f aca="false">IF(D4830="","",IFERROR(VALUE(LEFT(D4830,FIND(" |",D4830&amp;" |")-1)),"?"))</f>
        <v/>
      </c>
      <c r="H4830" s="27" t="str">
        <f aca="false">IF(G4830="","",IF(G4830="?","⚠ pub inconnue",IFERROR(INDEX(Pubs!$B$2:$B$3001,MATCH(G4830,Pubs!$A$2:$A$3001,0))&amp;"","⚠ pub inconnue")))</f>
        <v/>
      </c>
      <c r="I4830" s="27" t="str">
        <f aca="false">IF(OR(G4830="",G4830="?"),"",IFERROR(INDEX(Pubs!$C$2:$C$3001,MATCH(G4830,Pubs!$A$2:$A$3001,0))&amp;"",""))</f>
        <v/>
      </c>
      <c r="J4830" s="27" t="str">
        <f aca="false">IF(OR(G4830="",G4830="?"),"",IFERROR(INDEX(Pubs!$G$2:$G$3001,MATCH(G4830,Pubs!$A$2:$A$3001,0))&amp;"",""))</f>
        <v/>
      </c>
      <c r="K4830" s="28" t="str">
        <f aca="false">IF(OR(G4830="",G4830="?"),"",IFERROR(INDEX(Pubs!$E$2:$E$3001,MATCH(G4830,Pubs!$A$2:$A$3001,0)),""))</f>
        <v/>
      </c>
      <c r="L4830" s="29" t="str">
        <f aca="false">IF(A4830="","",IFERROR(1/(1/INDEX(Numéros!$C$2:$C$3001,MATCH(A4830&amp;"|"&amp;B4830,Numéros!$F$2:$F$3001,0))),""))</f>
        <v/>
      </c>
      <c r="M4830" s="27" t="str">
        <f aca="false">IF(OR(G4830="",G4830="?"),"",IFERROR(INDEX(Pubs!$D$2:$D$3001,MATCH(G4830,Pubs!$A$2:$A$3001,0))&amp;"",""))</f>
        <v/>
      </c>
      <c r="N4830" s="27" t="n">
        <f aca="false">N(N4829)+IF(AND(A4830&lt;&gt;"",OR(Recherche!$C$4="",A4830=Recherche!$C$4),OR(Recherche!$C$5="",B4830&amp;""=Recherche!$C$5&amp;""),OR(Recherche!$C$6="",IFERROR(YEAR(L4830),0)=Recherche!$C$6),OR(Recherche!$C$7="",ISNUMBER(SEARCH(Recherche!$C$7,H4830))),OR(Recherche!$C$8="",J4830=Recherche!$C$8),OR(Recherche!$C$9="",I4830=Recherche!$C$9),OR(Recherche!$C$10="",G4830&amp;""=Recherche!$C$10&amp;""),OR(Recherche!$C$11="",E4830=Recherche!$C$11),OR(Recherche!$C$12="",ISNUMBER(SEARCH(Recherche!$C$12,M4830&amp;" "&amp;F4830)))),1,0)</f>
        <v>8</v>
      </c>
    </row>
    <row r="4831" customFormat="false" ht="15" hidden="false" customHeight="false" outlineLevel="0" collapsed="false">
      <c r="A4831" s="19"/>
      <c r="B4831" s="19"/>
      <c r="C4831" s="19"/>
      <c r="D4831" s="19"/>
      <c r="E4831" s="22"/>
      <c r="F4831" s="19"/>
      <c r="G4831" s="26" t="str">
        <f aca="false">IF(D4831="","",IFERROR(VALUE(LEFT(D4831,FIND(" |",D4831&amp;" |")-1)),"?"))</f>
        <v/>
      </c>
      <c r="H4831" s="27" t="str">
        <f aca="false">IF(G4831="","",IF(G4831="?","⚠ pub inconnue",IFERROR(INDEX(Pubs!$B$2:$B$3001,MATCH(G4831,Pubs!$A$2:$A$3001,0))&amp;"","⚠ pub inconnue")))</f>
        <v/>
      </c>
      <c r="I4831" s="27" t="str">
        <f aca="false">IF(OR(G4831="",G4831="?"),"",IFERROR(INDEX(Pubs!$C$2:$C$3001,MATCH(G4831,Pubs!$A$2:$A$3001,0))&amp;"",""))</f>
        <v/>
      </c>
      <c r="J4831" s="27" t="str">
        <f aca="false">IF(OR(G4831="",G4831="?"),"",IFERROR(INDEX(Pubs!$G$2:$G$3001,MATCH(G4831,Pubs!$A$2:$A$3001,0))&amp;"",""))</f>
        <v/>
      </c>
      <c r="K4831" s="28" t="str">
        <f aca="false">IF(OR(G4831="",G4831="?"),"",IFERROR(INDEX(Pubs!$E$2:$E$3001,MATCH(G4831,Pubs!$A$2:$A$3001,0)),""))</f>
        <v/>
      </c>
      <c r="L4831" s="29" t="str">
        <f aca="false">IF(A4831="","",IFERROR(1/(1/INDEX(Numéros!$C$2:$C$3001,MATCH(A4831&amp;"|"&amp;B4831,Numéros!$F$2:$F$3001,0))),""))</f>
        <v/>
      </c>
      <c r="M4831" s="27" t="str">
        <f aca="false">IF(OR(G4831="",G4831="?"),"",IFERROR(INDEX(Pubs!$D$2:$D$3001,MATCH(G4831,Pubs!$A$2:$A$3001,0))&amp;"",""))</f>
        <v/>
      </c>
      <c r="N4831" s="27" t="n">
        <f aca="false">N(N4830)+IF(AND(A4831&lt;&gt;"",OR(Recherche!$C$4="",A4831=Recherche!$C$4),OR(Recherche!$C$5="",B4831&amp;""=Recherche!$C$5&amp;""),OR(Recherche!$C$6="",IFERROR(YEAR(L4831),0)=Recherche!$C$6),OR(Recherche!$C$7="",ISNUMBER(SEARCH(Recherche!$C$7,H4831))),OR(Recherche!$C$8="",J4831=Recherche!$C$8),OR(Recherche!$C$9="",I4831=Recherche!$C$9),OR(Recherche!$C$10="",G4831&amp;""=Recherche!$C$10&amp;""),OR(Recherche!$C$11="",E4831=Recherche!$C$11),OR(Recherche!$C$12="",ISNUMBER(SEARCH(Recherche!$C$12,M4831&amp;" "&amp;F4831)))),1,0)</f>
        <v>8</v>
      </c>
    </row>
    <row r="4832" customFormat="false" ht="15" hidden="false" customHeight="false" outlineLevel="0" collapsed="false">
      <c r="A4832" s="19"/>
      <c r="B4832" s="19"/>
      <c r="C4832" s="19"/>
      <c r="D4832" s="19"/>
      <c r="E4832" s="22"/>
      <c r="F4832" s="19"/>
      <c r="G4832" s="26" t="str">
        <f aca="false">IF(D4832="","",IFERROR(VALUE(LEFT(D4832,FIND(" |",D4832&amp;" |")-1)),"?"))</f>
        <v/>
      </c>
      <c r="H4832" s="27" t="str">
        <f aca="false">IF(G4832="","",IF(G4832="?","⚠ pub inconnue",IFERROR(INDEX(Pubs!$B$2:$B$3001,MATCH(G4832,Pubs!$A$2:$A$3001,0))&amp;"","⚠ pub inconnue")))</f>
        <v/>
      </c>
      <c r="I4832" s="27" t="str">
        <f aca="false">IF(OR(G4832="",G4832="?"),"",IFERROR(INDEX(Pubs!$C$2:$C$3001,MATCH(G4832,Pubs!$A$2:$A$3001,0))&amp;"",""))</f>
        <v/>
      </c>
      <c r="J4832" s="27" t="str">
        <f aca="false">IF(OR(G4832="",G4832="?"),"",IFERROR(INDEX(Pubs!$G$2:$G$3001,MATCH(G4832,Pubs!$A$2:$A$3001,0))&amp;"",""))</f>
        <v/>
      </c>
      <c r="K4832" s="28" t="str">
        <f aca="false">IF(OR(G4832="",G4832="?"),"",IFERROR(INDEX(Pubs!$E$2:$E$3001,MATCH(G4832,Pubs!$A$2:$A$3001,0)),""))</f>
        <v/>
      </c>
      <c r="L4832" s="29" t="str">
        <f aca="false">IF(A4832="","",IFERROR(1/(1/INDEX(Numéros!$C$2:$C$3001,MATCH(A4832&amp;"|"&amp;B4832,Numéros!$F$2:$F$3001,0))),""))</f>
        <v/>
      </c>
      <c r="M4832" s="27" t="str">
        <f aca="false">IF(OR(G4832="",G4832="?"),"",IFERROR(INDEX(Pubs!$D$2:$D$3001,MATCH(G4832,Pubs!$A$2:$A$3001,0))&amp;"",""))</f>
        <v/>
      </c>
      <c r="N4832" s="27" t="n">
        <f aca="false">N(N4831)+IF(AND(A4832&lt;&gt;"",OR(Recherche!$C$4="",A4832=Recherche!$C$4),OR(Recherche!$C$5="",B4832&amp;""=Recherche!$C$5&amp;""),OR(Recherche!$C$6="",IFERROR(YEAR(L4832),0)=Recherche!$C$6),OR(Recherche!$C$7="",ISNUMBER(SEARCH(Recherche!$C$7,H4832))),OR(Recherche!$C$8="",J4832=Recherche!$C$8),OR(Recherche!$C$9="",I4832=Recherche!$C$9),OR(Recherche!$C$10="",G4832&amp;""=Recherche!$C$10&amp;""),OR(Recherche!$C$11="",E4832=Recherche!$C$11),OR(Recherche!$C$12="",ISNUMBER(SEARCH(Recherche!$C$12,M4832&amp;" "&amp;F4832)))),1,0)</f>
        <v>8</v>
      </c>
    </row>
    <row r="4833" customFormat="false" ht="15" hidden="false" customHeight="false" outlineLevel="0" collapsed="false">
      <c r="A4833" s="19"/>
      <c r="B4833" s="19"/>
      <c r="C4833" s="19"/>
      <c r="D4833" s="19"/>
      <c r="E4833" s="22"/>
      <c r="F4833" s="19"/>
      <c r="G4833" s="26" t="str">
        <f aca="false">IF(D4833="","",IFERROR(VALUE(LEFT(D4833,FIND(" |",D4833&amp;" |")-1)),"?"))</f>
        <v/>
      </c>
      <c r="H4833" s="27" t="str">
        <f aca="false">IF(G4833="","",IF(G4833="?","⚠ pub inconnue",IFERROR(INDEX(Pubs!$B$2:$B$3001,MATCH(G4833,Pubs!$A$2:$A$3001,0))&amp;"","⚠ pub inconnue")))</f>
        <v/>
      </c>
      <c r="I4833" s="27" t="str">
        <f aca="false">IF(OR(G4833="",G4833="?"),"",IFERROR(INDEX(Pubs!$C$2:$C$3001,MATCH(G4833,Pubs!$A$2:$A$3001,0))&amp;"",""))</f>
        <v/>
      </c>
      <c r="J4833" s="27" t="str">
        <f aca="false">IF(OR(G4833="",G4833="?"),"",IFERROR(INDEX(Pubs!$G$2:$G$3001,MATCH(G4833,Pubs!$A$2:$A$3001,0))&amp;"",""))</f>
        <v/>
      </c>
      <c r="K4833" s="28" t="str">
        <f aca="false">IF(OR(G4833="",G4833="?"),"",IFERROR(INDEX(Pubs!$E$2:$E$3001,MATCH(G4833,Pubs!$A$2:$A$3001,0)),""))</f>
        <v/>
      </c>
      <c r="L4833" s="29" t="str">
        <f aca="false">IF(A4833="","",IFERROR(1/(1/INDEX(Numéros!$C$2:$C$3001,MATCH(A4833&amp;"|"&amp;B4833,Numéros!$F$2:$F$3001,0))),""))</f>
        <v/>
      </c>
      <c r="M4833" s="27" t="str">
        <f aca="false">IF(OR(G4833="",G4833="?"),"",IFERROR(INDEX(Pubs!$D$2:$D$3001,MATCH(G4833,Pubs!$A$2:$A$3001,0))&amp;"",""))</f>
        <v/>
      </c>
      <c r="N4833" s="27" t="n">
        <f aca="false">N(N4832)+IF(AND(A4833&lt;&gt;"",OR(Recherche!$C$4="",A4833=Recherche!$C$4),OR(Recherche!$C$5="",B4833&amp;""=Recherche!$C$5&amp;""),OR(Recherche!$C$6="",IFERROR(YEAR(L4833),0)=Recherche!$C$6),OR(Recherche!$C$7="",ISNUMBER(SEARCH(Recherche!$C$7,H4833))),OR(Recherche!$C$8="",J4833=Recherche!$C$8),OR(Recherche!$C$9="",I4833=Recherche!$C$9),OR(Recherche!$C$10="",G4833&amp;""=Recherche!$C$10&amp;""),OR(Recherche!$C$11="",E4833=Recherche!$C$11),OR(Recherche!$C$12="",ISNUMBER(SEARCH(Recherche!$C$12,M4833&amp;" "&amp;F4833)))),1,0)</f>
        <v>8</v>
      </c>
    </row>
    <row r="4834" customFormat="false" ht="15" hidden="false" customHeight="false" outlineLevel="0" collapsed="false">
      <c r="A4834" s="19"/>
      <c r="B4834" s="19"/>
      <c r="C4834" s="19"/>
      <c r="D4834" s="19"/>
      <c r="E4834" s="22"/>
      <c r="F4834" s="19"/>
      <c r="G4834" s="26" t="str">
        <f aca="false">IF(D4834="","",IFERROR(VALUE(LEFT(D4834,FIND(" |",D4834&amp;" |")-1)),"?"))</f>
        <v/>
      </c>
      <c r="H4834" s="27" t="str">
        <f aca="false">IF(G4834="","",IF(G4834="?","⚠ pub inconnue",IFERROR(INDEX(Pubs!$B$2:$B$3001,MATCH(G4834,Pubs!$A$2:$A$3001,0))&amp;"","⚠ pub inconnue")))</f>
        <v/>
      </c>
      <c r="I4834" s="27" t="str">
        <f aca="false">IF(OR(G4834="",G4834="?"),"",IFERROR(INDEX(Pubs!$C$2:$C$3001,MATCH(G4834,Pubs!$A$2:$A$3001,0))&amp;"",""))</f>
        <v/>
      </c>
      <c r="J4834" s="27" t="str">
        <f aca="false">IF(OR(G4834="",G4834="?"),"",IFERROR(INDEX(Pubs!$G$2:$G$3001,MATCH(G4834,Pubs!$A$2:$A$3001,0))&amp;"",""))</f>
        <v/>
      </c>
      <c r="K4834" s="28" t="str">
        <f aca="false">IF(OR(G4834="",G4834="?"),"",IFERROR(INDEX(Pubs!$E$2:$E$3001,MATCH(G4834,Pubs!$A$2:$A$3001,0)),""))</f>
        <v/>
      </c>
      <c r="L4834" s="29" t="str">
        <f aca="false">IF(A4834="","",IFERROR(1/(1/INDEX(Numéros!$C$2:$C$3001,MATCH(A4834&amp;"|"&amp;B4834,Numéros!$F$2:$F$3001,0))),""))</f>
        <v/>
      </c>
      <c r="M4834" s="27" t="str">
        <f aca="false">IF(OR(G4834="",G4834="?"),"",IFERROR(INDEX(Pubs!$D$2:$D$3001,MATCH(G4834,Pubs!$A$2:$A$3001,0))&amp;"",""))</f>
        <v/>
      </c>
      <c r="N4834" s="27" t="n">
        <f aca="false">N(N4833)+IF(AND(A4834&lt;&gt;"",OR(Recherche!$C$4="",A4834=Recherche!$C$4),OR(Recherche!$C$5="",B4834&amp;""=Recherche!$C$5&amp;""),OR(Recherche!$C$6="",IFERROR(YEAR(L4834),0)=Recherche!$C$6),OR(Recherche!$C$7="",ISNUMBER(SEARCH(Recherche!$C$7,H4834))),OR(Recherche!$C$8="",J4834=Recherche!$C$8),OR(Recherche!$C$9="",I4834=Recherche!$C$9),OR(Recherche!$C$10="",G4834&amp;""=Recherche!$C$10&amp;""),OR(Recherche!$C$11="",E4834=Recherche!$C$11),OR(Recherche!$C$12="",ISNUMBER(SEARCH(Recherche!$C$12,M4834&amp;" "&amp;F4834)))),1,0)</f>
        <v>8</v>
      </c>
    </row>
    <row r="4835" customFormat="false" ht="15" hidden="false" customHeight="false" outlineLevel="0" collapsed="false">
      <c r="A4835" s="19"/>
      <c r="B4835" s="19"/>
      <c r="C4835" s="19"/>
      <c r="D4835" s="19"/>
      <c r="E4835" s="22"/>
      <c r="F4835" s="19"/>
      <c r="G4835" s="26" t="str">
        <f aca="false">IF(D4835="","",IFERROR(VALUE(LEFT(D4835,FIND(" |",D4835&amp;" |")-1)),"?"))</f>
        <v/>
      </c>
      <c r="H4835" s="27" t="str">
        <f aca="false">IF(G4835="","",IF(G4835="?","⚠ pub inconnue",IFERROR(INDEX(Pubs!$B$2:$B$3001,MATCH(G4835,Pubs!$A$2:$A$3001,0))&amp;"","⚠ pub inconnue")))</f>
        <v/>
      </c>
      <c r="I4835" s="27" t="str">
        <f aca="false">IF(OR(G4835="",G4835="?"),"",IFERROR(INDEX(Pubs!$C$2:$C$3001,MATCH(G4835,Pubs!$A$2:$A$3001,0))&amp;"",""))</f>
        <v/>
      </c>
      <c r="J4835" s="27" t="str">
        <f aca="false">IF(OR(G4835="",G4835="?"),"",IFERROR(INDEX(Pubs!$G$2:$G$3001,MATCH(G4835,Pubs!$A$2:$A$3001,0))&amp;"",""))</f>
        <v/>
      </c>
      <c r="K4835" s="28" t="str">
        <f aca="false">IF(OR(G4835="",G4835="?"),"",IFERROR(INDEX(Pubs!$E$2:$E$3001,MATCH(G4835,Pubs!$A$2:$A$3001,0)),""))</f>
        <v/>
      </c>
      <c r="L4835" s="29" t="str">
        <f aca="false">IF(A4835="","",IFERROR(1/(1/INDEX(Numéros!$C$2:$C$3001,MATCH(A4835&amp;"|"&amp;B4835,Numéros!$F$2:$F$3001,0))),""))</f>
        <v/>
      </c>
      <c r="M4835" s="27" t="str">
        <f aca="false">IF(OR(G4835="",G4835="?"),"",IFERROR(INDEX(Pubs!$D$2:$D$3001,MATCH(G4835,Pubs!$A$2:$A$3001,0))&amp;"",""))</f>
        <v/>
      </c>
      <c r="N4835" s="27" t="n">
        <f aca="false">N(N4834)+IF(AND(A4835&lt;&gt;"",OR(Recherche!$C$4="",A4835=Recherche!$C$4),OR(Recherche!$C$5="",B4835&amp;""=Recherche!$C$5&amp;""),OR(Recherche!$C$6="",IFERROR(YEAR(L4835),0)=Recherche!$C$6),OR(Recherche!$C$7="",ISNUMBER(SEARCH(Recherche!$C$7,H4835))),OR(Recherche!$C$8="",J4835=Recherche!$C$8),OR(Recherche!$C$9="",I4835=Recherche!$C$9),OR(Recherche!$C$10="",G4835&amp;""=Recherche!$C$10&amp;""),OR(Recherche!$C$11="",E4835=Recherche!$C$11),OR(Recherche!$C$12="",ISNUMBER(SEARCH(Recherche!$C$12,M4835&amp;" "&amp;F4835)))),1,0)</f>
        <v>8</v>
      </c>
    </row>
    <row r="4836" customFormat="false" ht="15" hidden="false" customHeight="false" outlineLevel="0" collapsed="false">
      <c r="A4836" s="19"/>
      <c r="B4836" s="19"/>
      <c r="C4836" s="19"/>
      <c r="D4836" s="19"/>
      <c r="E4836" s="22"/>
      <c r="F4836" s="19"/>
      <c r="G4836" s="26" t="str">
        <f aca="false">IF(D4836="","",IFERROR(VALUE(LEFT(D4836,FIND(" |",D4836&amp;" |")-1)),"?"))</f>
        <v/>
      </c>
      <c r="H4836" s="27" t="str">
        <f aca="false">IF(G4836="","",IF(G4836="?","⚠ pub inconnue",IFERROR(INDEX(Pubs!$B$2:$B$3001,MATCH(G4836,Pubs!$A$2:$A$3001,0))&amp;"","⚠ pub inconnue")))</f>
        <v/>
      </c>
      <c r="I4836" s="27" t="str">
        <f aca="false">IF(OR(G4836="",G4836="?"),"",IFERROR(INDEX(Pubs!$C$2:$C$3001,MATCH(G4836,Pubs!$A$2:$A$3001,0))&amp;"",""))</f>
        <v/>
      </c>
      <c r="J4836" s="27" t="str">
        <f aca="false">IF(OR(G4836="",G4836="?"),"",IFERROR(INDEX(Pubs!$G$2:$G$3001,MATCH(G4836,Pubs!$A$2:$A$3001,0))&amp;"",""))</f>
        <v/>
      </c>
      <c r="K4836" s="28" t="str">
        <f aca="false">IF(OR(G4836="",G4836="?"),"",IFERROR(INDEX(Pubs!$E$2:$E$3001,MATCH(G4836,Pubs!$A$2:$A$3001,0)),""))</f>
        <v/>
      </c>
      <c r="L4836" s="29" t="str">
        <f aca="false">IF(A4836="","",IFERROR(1/(1/INDEX(Numéros!$C$2:$C$3001,MATCH(A4836&amp;"|"&amp;B4836,Numéros!$F$2:$F$3001,0))),""))</f>
        <v/>
      </c>
      <c r="M4836" s="27" t="str">
        <f aca="false">IF(OR(G4836="",G4836="?"),"",IFERROR(INDEX(Pubs!$D$2:$D$3001,MATCH(G4836,Pubs!$A$2:$A$3001,0))&amp;"",""))</f>
        <v/>
      </c>
      <c r="N4836" s="27" t="n">
        <f aca="false">N(N4835)+IF(AND(A4836&lt;&gt;"",OR(Recherche!$C$4="",A4836=Recherche!$C$4),OR(Recherche!$C$5="",B4836&amp;""=Recherche!$C$5&amp;""),OR(Recherche!$C$6="",IFERROR(YEAR(L4836),0)=Recherche!$C$6),OR(Recherche!$C$7="",ISNUMBER(SEARCH(Recherche!$C$7,H4836))),OR(Recherche!$C$8="",J4836=Recherche!$C$8),OR(Recherche!$C$9="",I4836=Recherche!$C$9),OR(Recherche!$C$10="",G4836&amp;""=Recherche!$C$10&amp;""),OR(Recherche!$C$11="",E4836=Recherche!$C$11),OR(Recherche!$C$12="",ISNUMBER(SEARCH(Recherche!$C$12,M4836&amp;" "&amp;F4836)))),1,0)</f>
        <v>8</v>
      </c>
    </row>
    <row r="4837" customFormat="false" ht="15" hidden="false" customHeight="false" outlineLevel="0" collapsed="false">
      <c r="A4837" s="19"/>
      <c r="B4837" s="19"/>
      <c r="C4837" s="19"/>
      <c r="D4837" s="19"/>
      <c r="E4837" s="22"/>
      <c r="F4837" s="19"/>
      <c r="G4837" s="26" t="str">
        <f aca="false">IF(D4837="","",IFERROR(VALUE(LEFT(D4837,FIND(" |",D4837&amp;" |")-1)),"?"))</f>
        <v/>
      </c>
      <c r="H4837" s="27" t="str">
        <f aca="false">IF(G4837="","",IF(G4837="?","⚠ pub inconnue",IFERROR(INDEX(Pubs!$B$2:$B$3001,MATCH(G4837,Pubs!$A$2:$A$3001,0))&amp;"","⚠ pub inconnue")))</f>
        <v/>
      </c>
      <c r="I4837" s="27" t="str">
        <f aca="false">IF(OR(G4837="",G4837="?"),"",IFERROR(INDEX(Pubs!$C$2:$C$3001,MATCH(G4837,Pubs!$A$2:$A$3001,0))&amp;"",""))</f>
        <v/>
      </c>
      <c r="J4837" s="27" t="str">
        <f aca="false">IF(OR(G4837="",G4837="?"),"",IFERROR(INDEX(Pubs!$G$2:$G$3001,MATCH(G4837,Pubs!$A$2:$A$3001,0))&amp;"",""))</f>
        <v/>
      </c>
      <c r="K4837" s="28" t="str">
        <f aca="false">IF(OR(G4837="",G4837="?"),"",IFERROR(INDEX(Pubs!$E$2:$E$3001,MATCH(G4837,Pubs!$A$2:$A$3001,0)),""))</f>
        <v/>
      </c>
      <c r="L4837" s="29" t="str">
        <f aca="false">IF(A4837="","",IFERROR(1/(1/INDEX(Numéros!$C$2:$C$3001,MATCH(A4837&amp;"|"&amp;B4837,Numéros!$F$2:$F$3001,0))),""))</f>
        <v/>
      </c>
      <c r="M4837" s="27" t="str">
        <f aca="false">IF(OR(G4837="",G4837="?"),"",IFERROR(INDEX(Pubs!$D$2:$D$3001,MATCH(G4837,Pubs!$A$2:$A$3001,0))&amp;"",""))</f>
        <v/>
      </c>
      <c r="N4837" s="27" t="n">
        <f aca="false">N(N4836)+IF(AND(A4837&lt;&gt;"",OR(Recherche!$C$4="",A4837=Recherche!$C$4),OR(Recherche!$C$5="",B4837&amp;""=Recherche!$C$5&amp;""),OR(Recherche!$C$6="",IFERROR(YEAR(L4837),0)=Recherche!$C$6),OR(Recherche!$C$7="",ISNUMBER(SEARCH(Recherche!$C$7,H4837))),OR(Recherche!$C$8="",J4837=Recherche!$C$8),OR(Recherche!$C$9="",I4837=Recherche!$C$9),OR(Recherche!$C$10="",G4837&amp;""=Recherche!$C$10&amp;""),OR(Recherche!$C$11="",E4837=Recherche!$C$11),OR(Recherche!$C$12="",ISNUMBER(SEARCH(Recherche!$C$12,M4837&amp;" "&amp;F4837)))),1,0)</f>
        <v>8</v>
      </c>
    </row>
    <row r="4838" customFormat="false" ht="15" hidden="false" customHeight="false" outlineLevel="0" collapsed="false">
      <c r="A4838" s="19"/>
      <c r="B4838" s="19"/>
      <c r="C4838" s="19"/>
      <c r="D4838" s="19"/>
      <c r="E4838" s="22"/>
      <c r="F4838" s="19"/>
      <c r="G4838" s="26" t="str">
        <f aca="false">IF(D4838="","",IFERROR(VALUE(LEFT(D4838,FIND(" |",D4838&amp;" |")-1)),"?"))</f>
        <v/>
      </c>
      <c r="H4838" s="27" t="str">
        <f aca="false">IF(G4838="","",IF(G4838="?","⚠ pub inconnue",IFERROR(INDEX(Pubs!$B$2:$B$3001,MATCH(G4838,Pubs!$A$2:$A$3001,0))&amp;"","⚠ pub inconnue")))</f>
        <v/>
      </c>
      <c r="I4838" s="27" t="str">
        <f aca="false">IF(OR(G4838="",G4838="?"),"",IFERROR(INDEX(Pubs!$C$2:$C$3001,MATCH(G4838,Pubs!$A$2:$A$3001,0))&amp;"",""))</f>
        <v/>
      </c>
      <c r="J4838" s="27" t="str">
        <f aca="false">IF(OR(G4838="",G4838="?"),"",IFERROR(INDEX(Pubs!$G$2:$G$3001,MATCH(G4838,Pubs!$A$2:$A$3001,0))&amp;"",""))</f>
        <v/>
      </c>
      <c r="K4838" s="28" t="str">
        <f aca="false">IF(OR(G4838="",G4838="?"),"",IFERROR(INDEX(Pubs!$E$2:$E$3001,MATCH(G4838,Pubs!$A$2:$A$3001,0)),""))</f>
        <v/>
      </c>
      <c r="L4838" s="29" t="str">
        <f aca="false">IF(A4838="","",IFERROR(1/(1/INDEX(Numéros!$C$2:$C$3001,MATCH(A4838&amp;"|"&amp;B4838,Numéros!$F$2:$F$3001,0))),""))</f>
        <v/>
      </c>
      <c r="M4838" s="27" t="str">
        <f aca="false">IF(OR(G4838="",G4838="?"),"",IFERROR(INDEX(Pubs!$D$2:$D$3001,MATCH(G4838,Pubs!$A$2:$A$3001,0))&amp;"",""))</f>
        <v/>
      </c>
      <c r="N4838" s="27" t="n">
        <f aca="false">N(N4837)+IF(AND(A4838&lt;&gt;"",OR(Recherche!$C$4="",A4838=Recherche!$C$4),OR(Recherche!$C$5="",B4838&amp;""=Recherche!$C$5&amp;""),OR(Recherche!$C$6="",IFERROR(YEAR(L4838),0)=Recherche!$C$6),OR(Recherche!$C$7="",ISNUMBER(SEARCH(Recherche!$C$7,H4838))),OR(Recherche!$C$8="",J4838=Recherche!$C$8),OR(Recherche!$C$9="",I4838=Recherche!$C$9),OR(Recherche!$C$10="",G4838&amp;""=Recherche!$C$10&amp;""),OR(Recherche!$C$11="",E4838=Recherche!$C$11),OR(Recherche!$C$12="",ISNUMBER(SEARCH(Recherche!$C$12,M4838&amp;" "&amp;F4838)))),1,0)</f>
        <v>8</v>
      </c>
    </row>
    <row r="4839" customFormat="false" ht="15" hidden="false" customHeight="false" outlineLevel="0" collapsed="false">
      <c r="A4839" s="19"/>
      <c r="B4839" s="19"/>
      <c r="C4839" s="19"/>
      <c r="D4839" s="19"/>
      <c r="E4839" s="22"/>
      <c r="F4839" s="19"/>
      <c r="G4839" s="26" t="str">
        <f aca="false">IF(D4839="","",IFERROR(VALUE(LEFT(D4839,FIND(" |",D4839&amp;" |")-1)),"?"))</f>
        <v/>
      </c>
      <c r="H4839" s="27" t="str">
        <f aca="false">IF(G4839="","",IF(G4839="?","⚠ pub inconnue",IFERROR(INDEX(Pubs!$B$2:$B$3001,MATCH(G4839,Pubs!$A$2:$A$3001,0))&amp;"","⚠ pub inconnue")))</f>
        <v/>
      </c>
      <c r="I4839" s="27" t="str">
        <f aca="false">IF(OR(G4839="",G4839="?"),"",IFERROR(INDEX(Pubs!$C$2:$C$3001,MATCH(G4839,Pubs!$A$2:$A$3001,0))&amp;"",""))</f>
        <v/>
      </c>
      <c r="J4839" s="27" t="str">
        <f aca="false">IF(OR(G4839="",G4839="?"),"",IFERROR(INDEX(Pubs!$G$2:$G$3001,MATCH(G4839,Pubs!$A$2:$A$3001,0))&amp;"",""))</f>
        <v/>
      </c>
      <c r="K4839" s="28" t="str">
        <f aca="false">IF(OR(G4839="",G4839="?"),"",IFERROR(INDEX(Pubs!$E$2:$E$3001,MATCH(G4839,Pubs!$A$2:$A$3001,0)),""))</f>
        <v/>
      </c>
      <c r="L4839" s="29" t="str">
        <f aca="false">IF(A4839="","",IFERROR(1/(1/INDEX(Numéros!$C$2:$C$3001,MATCH(A4839&amp;"|"&amp;B4839,Numéros!$F$2:$F$3001,0))),""))</f>
        <v/>
      </c>
      <c r="M4839" s="27" t="str">
        <f aca="false">IF(OR(G4839="",G4839="?"),"",IFERROR(INDEX(Pubs!$D$2:$D$3001,MATCH(G4839,Pubs!$A$2:$A$3001,0))&amp;"",""))</f>
        <v/>
      </c>
      <c r="N4839" s="27" t="n">
        <f aca="false">N(N4838)+IF(AND(A4839&lt;&gt;"",OR(Recherche!$C$4="",A4839=Recherche!$C$4),OR(Recherche!$C$5="",B4839&amp;""=Recherche!$C$5&amp;""),OR(Recherche!$C$6="",IFERROR(YEAR(L4839),0)=Recherche!$C$6),OR(Recherche!$C$7="",ISNUMBER(SEARCH(Recherche!$C$7,H4839))),OR(Recherche!$C$8="",J4839=Recherche!$C$8),OR(Recherche!$C$9="",I4839=Recherche!$C$9),OR(Recherche!$C$10="",G4839&amp;""=Recherche!$C$10&amp;""),OR(Recherche!$C$11="",E4839=Recherche!$C$11),OR(Recherche!$C$12="",ISNUMBER(SEARCH(Recherche!$C$12,M4839&amp;" "&amp;F4839)))),1,0)</f>
        <v>8</v>
      </c>
    </row>
    <row r="4840" customFormat="false" ht="15" hidden="false" customHeight="false" outlineLevel="0" collapsed="false">
      <c r="A4840" s="19"/>
      <c r="B4840" s="19"/>
      <c r="C4840" s="19"/>
      <c r="D4840" s="19"/>
      <c r="E4840" s="22"/>
      <c r="F4840" s="19"/>
      <c r="G4840" s="26" t="str">
        <f aca="false">IF(D4840="","",IFERROR(VALUE(LEFT(D4840,FIND(" |",D4840&amp;" |")-1)),"?"))</f>
        <v/>
      </c>
      <c r="H4840" s="27" t="str">
        <f aca="false">IF(G4840="","",IF(G4840="?","⚠ pub inconnue",IFERROR(INDEX(Pubs!$B$2:$B$3001,MATCH(G4840,Pubs!$A$2:$A$3001,0))&amp;"","⚠ pub inconnue")))</f>
        <v/>
      </c>
      <c r="I4840" s="27" t="str">
        <f aca="false">IF(OR(G4840="",G4840="?"),"",IFERROR(INDEX(Pubs!$C$2:$C$3001,MATCH(G4840,Pubs!$A$2:$A$3001,0))&amp;"",""))</f>
        <v/>
      </c>
      <c r="J4840" s="27" t="str">
        <f aca="false">IF(OR(G4840="",G4840="?"),"",IFERROR(INDEX(Pubs!$G$2:$G$3001,MATCH(G4840,Pubs!$A$2:$A$3001,0))&amp;"",""))</f>
        <v/>
      </c>
      <c r="K4840" s="28" t="str">
        <f aca="false">IF(OR(G4840="",G4840="?"),"",IFERROR(INDEX(Pubs!$E$2:$E$3001,MATCH(G4840,Pubs!$A$2:$A$3001,0)),""))</f>
        <v/>
      </c>
      <c r="L4840" s="29" t="str">
        <f aca="false">IF(A4840="","",IFERROR(1/(1/INDEX(Numéros!$C$2:$C$3001,MATCH(A4840&amp;"|"&amp;B4840,Numéros!$F$2:$F$3001,0))),""))</f>
        <v/>
      </c>
      <c r="M4840" s="27" t="str">
        <f aca="false">IF(OR(G4840="",G4840="?"),"",IFERROR(INDEX(Pubs!$D$2:$D$3001,MATCH(G4840,Pubs!$A$2:$A$3001,0))&amp;"",""))</f>
        <v/>
      </c>
      <c r="N4840" s="27" t="n">
        <f aca="false">N(N4839)+IF(AND(A4840&lt;&gt;"",OR(Recherche!$C$4="",A4840=Recherche!$C$4),OR(Recherche!$C$5="",B4840&amp;""=Recherche!$C$5&amp;""),OR(Recherche!$C$6="",IFERROR(YEAR(L4840),0)=Recherche!$C$6),OR(Recherche!$C$7="",ISNUMBER(SEARCH(Recherche!$C$7,H4840))),OR(Recherche!$C$8="",J4840=Recherche!$C$8),OR(Recherche!$C$9="",I4840=Recherche!$C$9),OR(Recherche!$C$10="",G4840&amp;""=Recherche!$C$10&amp;""),OR(Recherche!$C$11="",E4840=Recherche!$C$11),OR(Recherche!$C$12="",ISNUMBER(SEARCH(Recherche!$C$12,M4840&amp;" "&amp;F4840)))),1,0)</f>
        <v>8</v>
      </c>
    </row>
    <row r="4841" customFormat="false" ht="15" hidden="false" customHeight="false" outlineLevel="0" collapsed="false">
      <c r="A4841" s="19"/>
      <c r="B4841" s="19"/>
      <c r="C4841" s="19"/>
      <c r="D4841" s="19"/>
      <c r="E4841" s="22"/>
      <c r="F4841" s="19"/>
      <c r="G4841" s="26" t="str">
        <f aca="false">IF(D4841="","",IFERROR(VALUE(LEFT(D4841,FIND(" |",D4841&amp;" |")-1)),"?"))</f>
        <v/>
      </c>
      <c r="H4841" s="27" t="str">
        <f aca="false">IF(G4841="","",IF(G4841="?","⚠ pub inconnue",IFERROR(INDEX(Pubs!$B$2:$B$3001,MATCH(G4841,Pubs!$A$2:$A$3001,0))&amp;"","⚠ pub inconnue")))</f>
        <v/>
      </c>
      <c r="I4841" s="27" t="str">
        <f aca="false">IF(OR(G4841="",G4841="?"),"",IFERROR(INDEX(Pubs!$C$2:$C$3001,MATCH(G4841,Pubs!$A$2:$A$3001,0))&amp;"",""))</f>
        <v/>
      </c>
      <c r="J4841" s="27" t="str">
        <f aca="false">IF(OR(G4841="",G4841="?"),"",IFERROR(INDEX(Pubs!$G$2:$G$3001,MATCH(G4841,Pubs!$A$2:$A$3001,0))&amp;"",""))</f>
        <v/>
      </c>
      <c r="K4841" s="28" t="str">
        <f aca="false">IF(OR(G4841="",G4841="?"),"",IFERROR(INDEX(Pubs!$E$2:$E$3001,MATCH(G4841,Pubs!$A$2:$A$3001,0)),""))</f>
        <v/>
      </c>
      <c r="L4841" s="29" t="str">
        <f aca="false">IF(A4841="","",IFERROR(1/(1/INDEX(Numéros!$C$2:$C$3001,MATCH(A4841&amp;"|"&amp;B4841,Numéros!$F$2:$F$3001,0))),""))</f>
        <v/>
      </c>
      <c r="M4841" s="27" t="str">
        <f aca="false">IF(OR(G4841="",G4841="?"),"",IFERROR(INDEX(Pubs!$D$2:$D$3001,MATCH(G4841,Pubs!$A$2:$A$3001,0))&amp;"",""))</f>
        <v/>
      </c>
      <c r="N4841" s="27" t="n">
        <f aca="false">N(N4840)+IF(AND(A4841&lt;&gt;"",OR(Recherche!$C$4="",A4841=Recherche!$C$4),OR(Recherche!$C$5="",B4841&amp;""=Recherche!$C$5&amp;""),OR(Recherche!$C$6="",IFERROR(YEAR(L4841),0)=Recherche!$C$6),OR(Recherche!$C$7="",ISNUMBER(SEARCH(Recherche!$C$7,H4841))),OR(Recherche!$C$8="",J4841=Recherche!$C$8),OR(Recherche!$C$9="",I4841=Recherche!$C$9),OR(Recherche!$C$10="",G4841&amp;""=Recherche!$C$10&amp;""),OR(Recherche!$C$11="",E4841=Recherche!$C$11),OR(Recherche!$C$12="",ISNUMBER(SEARCH(Recherche!$C$12,M4841&amp;" "&amp;F4841)))),1,0)</f>
        <v>8</v>
      </c>
    </row>
    <row r="4842" customFormat="false" ht="15" hidden="false" customHeight="false" outlineLevel="0" collapsed="false">
      <c r="A4842" s="19"/>
      <c r="B4842" s="19"/>
      <c r="C4842" s="19"/>
      <c r="D4842" s="19"/>
      <c r="E4842" s="22"/>
      <c r="F4842" s="19"/>
      <c r="G4842" s="26" t="str">
        <f aca="false">IF(D4842="","",IFERROR(VALUE(LEFT(D4842,FIND(" |",D4842&amp;" |")-1)),"?"))</f>
        <v/>
      </c>
      <c r="H4842" s="27" t="str">
        <f aca="false">IF(G4842="","",IF(G4842="?","⚠ pub inconnue",IFERROR(INDEX(Pubs!$B$2:$B$3001,MATCH(G4842,Pubs!$A$2:$A$3001,0))&amp;"","⚠ pub inconnue")))</f>
        <v/>
      </c>
      <c r="I4842" s="27" t="str">
        <f aca="false">IF(OR(G4842="",G4842="?"),"",IFERROR(INDEX(Pubs!$C$2:$C$3001,MATCH(G4842,Pubs!$A$2:$A$3001,0))&amp;"",""))</f>
        <v/>
      </c>
      <c r="J4842" s="27" t="str">
        <f aca="false">IF(OR(G4842="",G4842="?"),"",IFERROR(INDEX(Pubs!$G$2:$G$3001,MATCH(G4842,Pubs!$A$2:$A$3001,0))&amp;"",""))</f>
        <v/>
      </c>
      <c r="K4842" s="28" t="str">
        <f aca="false">IF(OR(G4842="",G4842="?"),"",IFERROR(INDEX(Pubs!$E$2:$E$3001,MATCH(G4842,Pubs!$A$2:$A$3001,0)),""))</f>
        <v/>
      </c>
      <c r="L4842" s="29" t="str">
        <f aca="false">IF(A4842="","",IFERROR(1/(1/INDEX(Numéros!$C$2:$C$3001,MATCH(A4842&amp;"|"&amp;B4842,Numéros!$F$2:$F$3001,0))),""))</f>
        <v/>
      </c>
      <c r="M4842" s="27" t="str">
        <f aca="false">IF(OR(G4842="",G4842="?"),"",IFERROR(INDEX(Pubs!$D$2:$D$3001,MATCH(G4842,Pubs!$A$2:$A$3001,0))&amp;"",""))</f>
        <v/>
      </c>
      <c r="N4842" s="27" t="n">
        <f aca="false">N(N4841)+IF(AND(A4842&lt;&gt;"",OR(Recherche!$C$4="",A4842=Recherche!$C$4),OR(Recherche!$C$5="",B4842&amp;""=Recherche!$C$5&amp;""),OR(Recherche!$C$6="",IFERROR(YEAR(L4842),0)=Recherche!$C$6),OR(Recherche!$C$7="",ISNUMBER(SEARCH(Recherche!$C$7,H4842))),OR(Recherche!$C$8="",J4842=Recherche!$C$8),OR(Recherche!$C$9="",I4842=Recherche!$C$9),OR(Recherche!$C$10="",G4842&amp;""=Recherche!$C$10&amp;""),OR(Recherche!$C$11="",E4842=Recherche!$C$11),OR(Recherche!$C$12="",ISNUMBER(SEARCH(Recherche!$C$12,M4842&amp;" "&amp;F4842)))),1,0)</f>
        <v>8</v>
      </c>
    </row>
    <row r="4843" customFormat="false" ht="15" hidden="false" customHeight="false" outlineLevel="0" collapsed="false">
      <c r="A4843" s="19"/>
      <c r="B4843" s="19"/>
      <c r="C4843" s="19"/>
      <c r="D4843" s="19"/>
      <c r="E4843" s="22"/>
      <c r="F4843" s="19"/>
      <c r="G4843" s="26" t="str">
        <f aca="false">IF(D4843="","",IFERROR(VALUE(LEFT(D4843,FIND(" |",D4843&amp;" |")-1)),"?"))</f>
        <v/>
      </c>
      <c r="H4843" s="27" t="str">
        <f aca="false">IF(G4843="","",IF(G4843="?","⚠ pub inconnue",IFERROR(INDEX(Pubs!$B$2:$B$3001,MATCH(G4843,Pubs!$A$2:$A$3001,0))&amp;"","⚠ pub inconnue")))</f>
        <v/>
      </c>
      <c r="I4843" s="27" t="str">
        <f aca="false">IF(OR(G4843="",G4843="?"),"",IFERROR(INDEX(Pubs!$C$2:$C$3001,MATCH(G4843,Pubs!$A$2:$A$3001,0))&amp;"",""))</f>
        <v/>
      </c>
      <c r="J4843" s="27" t="str">
        <f aca="false">IF(OR(G4843="",G4843="?"),"",IFERROR(INDEX(Pubs!$G$2:$G$3001,MATCH(G4843,Pubs!$A$2:$A$3001,0))&amp;"",""))</f>
        <v/>
      </c>
      <c r="K4843" s="28" t="str">
        <f aca="false">IF(OR(G4843="",G4843="?"),"",IFERROR(INDEX(Pubs!$E$2:$E$3001,MATCH(G4843,Pubs!$A$2:$A$3001,0)),""))</f>
        <v/>
      </c>
      <c r="L4843" s="29" t="str">
        <f aca="false">IF(A4843="","",IFERROR(1/(1/INDEX(Numéros!$C$2:$C$3001,MATCH(A4843&amp;"|"&amp;B4843,Numéros!$F$2:$F$3001,0))),""))</f>
        <v/>
      </c>
      <c r="M4843" s="27" t="str">
        <f aca="false">IF(OR(G4843="",G4843="?"),"",IFERROR(INDEX(Pubs!$D$2:$D$3001,MATCH(G4843,Pubs!$A$2:$A$3001,0))&amp;"",""))</f>
        <v/>
      </c>
      <c r="N4843" s="27" t="n">
        <f aca="false">N(N4842)+IF(AND(A4843&lt;&gt;"",OR(Recherche!$C$4="",A4843=Recherche!$C$4),OR(Recherche!$C$5="",B4843&amp;""=Recherche!$C$5&amp;""),OR(Recherche!$C$6="",IFERROR(YEAR(L4843),0)=Recherche!$C$6),OR(Recherche!$C$7="",ISNUMBER(SEARCH(Recherche!$C$7,H4843))),OR(Recherche!$C$8="",J4843=Recherche!$C$8),OR(Recherche!$C$9="",I4843=Recherche!$C$9),OR(Recherche!$C$10="",G4843&amp;""=Recherche!$C$10&amp;""),OR(Recherche!$C$11="",E4843=Recherche!$C$11),OR(Recherche!$C$12="",ISNUMBER(SEARCH(Recherche!$C$12,M4843&amp;" "&amp;F4843)))),1,0)</f>
        <v>8</v>
      </c>
    </row>
    <row r="4844" customFormat="false" ht="15" hidden="false" customHeight="false" outlineLevel="0" collapsed="false">
      <c r="A4844" s="19"/>
      <c r="B4844" s="19"/>
      <c r="C4844" s="19"/>
      <c r="D4844" s="19"/>
      <c r="E4844" s="22"/>
      <c r="F4844" s="19"/>
      <c r="G4844" s="26" t="str">
        <f aca="false">IF(D4844="","",IFERROR(VALUE(LEFT(D4844,FIND(" |",D4844&amp;" |")-1)),"?"))</f>
        <v/>
      </c>
      <c r="H4844" s="27" t="str">
        <f aca="false">IF(G4844="","",IF(G4844="?","⚠ pub inconnue",IFERROR(INDEX(Pubs!$B$2:$B$3001,MATCH(G4844,Pubs!$A$2:$A$3001,0))&amp;"","⚠ pub inconnue")))</f>
        <v/>
      </c>
      <c r="I4844" s="27" t="str">
        <f aca="false">IF(OR(G4844="",G4844="?"),"",IFERROR(INDEX(Pubs!$C$2:$C$3001,MATCH(G4844,Pubs!$A$2:$A$3001,0))&amp;"",""))</f>
        <v/>
      </c>
      <c r="J4844" s="27" t="str">
        <f aca="false">IF(OR(G4844="",G4844="?"),"",IFERROR(INDEX(Pubs!$G$2:$G$3001,MATCH(G4844,Pubs!$A$2:$A$3001,0))&amp;"",""))</f>
        <v/>
      </c>
      <c r="K4844" s="28" t="str">
        <f aca="false">IF(OR(G4844="",G4844="?"),"",IFERROR(INDEX(Pubs!$E$2:$E$3001,MATCH(G4844,Pubs!$A$2:$A$3001,0)),""))</f>
        <v/>
      </c>
      <c r="L4844" s="29" t="str">
        <f aca="false">IF(A4844="","",IFERROR(1/(1/INDEX(Numéros!$C$2:$C$3001,MATCH(A4844&amp;"|"&amp;B4844,Numéros!$F$2:$F$3001,0))),""))</f>
        <v/>
      </c>
      <c r="M4844" s="27" t="str">
        <f aca="false">IF(OR(G4844="",G4844="?"),"",IFERROR(INDEX(Pubs!$D$2:$D$3001,MATCH(G4844,Pubs!$A$2:$A$3001,0))&amp;"",""))</f>
        <v/>
      </c>
      <c r="N4844" s="27" t="n">
        <f aca="false">N(N4843)+IF(AND(A4844&lt;&gt;"",OR(Recherche!$C$4="",A4844=Recherche!$C$4),OR(Recherche!$C$5="",B4844&amp;""=Recherche!$C$5&amp;""),OR(Recherche!$C$6="",IFERROR(YEAR(L4844),0)=Recherche!$C$6),OR(Recherche!$C$7="",ISNUMBER(SEARCH(Recherche!$C$7,H4844))),OR(Recherche!$C$8="",J4844=Recherche!$C$8),OR(Recherche!$C$9="",I4844=Recherche!$C$9),OR(Recherche!$C$10="",G4844&amp;""=Recherche!$C$10&amp;""),OR(Recherche!$C$11="",E4844=Recherche!$C$11),OR(Recherche!$C$12="",ISNUMBER(SEARCH(Recherche!$C$12,M4844&amp;" "&amp;F4844)))),1,0)</f>
        <v>8</v>
      </c>
    </row>
    <row r="4845" customFormat="false" ht="15" hidden="false" customHeight="false" outlineLevel="0" collapsed="false">
      <c r="A4845" s="19"/>
      <c r="B4845" s="19"/>
      <c r="C4845" s="19"/>
      <c r="D4845" s="19"/>
      <c r="E4845" s="22"/>
      <c r="F4845" s="19"/>
      <c r="G4845" s="26" t="str">
        <f aca="false">IF(D4845="","",IFERROR(VALUE(LEFT(D4845,FIND(" |",D4845&amp;" |")-1)),"?"))</f>
        <v/>
      </c>
      <c r="H4845" s="27" t="str">
        <f aca="false">IF(G4845="","",IF(G4845="?","⚠ pub inconnue",IFERROR(INDEX(Pubs!$B$2:$B$3001,MATCH(G4845,Pubs!$A$2:$A$3001,0))&amp;"","⚠ pub inconnue")))</f>
        <v/>
      </c>
      <c r="I4845" s="27" t="str">
        <f aca="false">IF(OR(G4845="",G4845="?"),"",IFERROR(INDEX(Pubs!$C$2:$C$3001,MATCH(G4845,Pubs!$A$2:$A$3001,0))&amp;"",""))</f>
        <v/>
      </c>
      <c r="J4845" s="27" t="str">
        <f aca="false">IF(OR(G4845="",G4845="?"),"",IFERROR(INDEX(Pubs!$G$2:$G$3001,MATCH(G4845,Pubs!$A$2:$A$3001,0))&amp;"",""))</f>
        <v/>
      </c>
      <c r="K4845" s="28" t="str">
        <f aca="false">IF(OR(G4845="",G4845="?"),"",IFERROR(INDEX(Pubs!$E$2:$E$3001,MATCH(G4845,Pubs!$A$2:$A$3001,0)),""))</f>
        <v/>
      </c>
      <c r="L4845" s="29" t="str">
        <f aca="false">IF(A4845="","",IFERROR(1/(1/INDEX(Numéros!$C$2:$C$3001,MATCH(A4845&amp;"|"&amp;B4845,Numéros!$F$2:$F$3001,0))),""))</f>
        <v/>
      </c>
      <c r="M4845" s="27" t="str">
        <f aca="false">IF(OR(G4845="",G4845="?"),"",IFERROR(INDEX(Pubs!$D$2:$D$3001,MATCH(G4845,Pubs!$A$2:$A$3001,0))&amp;"",""))</f>
        <v/>
      </c>
      <c r="N4845" s="27" t="n">
        <f aca="false">N(N4844)+IF(AND(A4845&lt;&gt;"",OR(Recherche!$C$4="",A4845=Recherche!$C$4),OR(Recherche!$C$5="",B4845&amp;""=Recherche!$C$5&amp;""),OR(Recherche!$C$6="",IFERROR(YEAR(L4845),0)=Recherche!$C$6),OR(Recherche!$C$7="",ISNUMBER(SEARCH(Recherche!$C$7,H4845))),OR(Recherche!$C$8="",J4845=Recherche!$C$8),OR(Recherche!$C$9="",I4845=Recherche!$C$9),OR(Recherche!$C$10="",G4845&amp;""=Recherche!$C$10&amp;""),OR(Recherche!$C$11="",E4845=Recherche!$C$11),OR(Recherche!$C$12="",ISNUMBER(SEARCH(Recherche!$C$12,M4845&amp;" "&amp;F4845)))),1,0)</f>
        <v>8</v>
      </c>
    </row>
    <row r="4846" customFormat="false" ht="15" hidden="false" customHeight="false" outlineLevel="0" collapsed="false">
      <c r="A4846" s="19"/>
      <c r="B4846" s="19"/>
      <c r="C4846" s="19"/>
      <c r="D4846" s="19"/>
      <c r="E4846" s="22"/>
      <c r="F4846" s="19"/>
      <c r="G4846" s="26" t="str">
        <f aca="false">IF(D4846="","",IFERROR(VALUE(LEFT(D4846,FIND(" |",D4846&amp;" |")-1)),"?"))</f>
        <v/>
      </c>
      <c r="H4846" s="27" t="str">
        <f aca="false">IF(G4846="","",IF(G4846="?","⚠ pub inconnue",IFERROR(INDEX(Pubs!$B$2:$B$3001,MATCH(G4846,Pubs!$A$2:$A$3001,0))&amp;"","⚠ pub inconnue")))</f>
        <v/>
      </c>
      <c r="I4846" s="27" t="str">
        <f aca="false">IF(OR(G4846="",G4846="?"),"",IFERROR(INDEX(Pubs!$C$2:$C$3001,MATCH(G4846,Pubs!$A$2:$A$3001,0))&amp;"",""))</f>
        <v/>
      </c>
      <c r="J4846" s="27" t="str">
        <f aca="false">IF(OR(G4846="",G4846="?"),"",IFERROR(INDEX(Pubs!$G$2:$G$3001,MATCH(G4846,Pubs!$A$2:$A$3001,0))&amp;"",""))</f>
        <v/>
      </c>
      <c r="K4846" s="28" t="str">
        <f aca="false">IF(OR(G4846="",G4846="?"),"",IFERROR(INDEX(Pubs!$E$2:$E$3001,MATCH(G4846,Pubs!$A$2:$A$3001,0)),""))</f>
        <v/>
      </c>
      <c r="L4846" s="29" t="str">
        <f aca="false">IF(A4846="","",IFERROR(1/(1/INDEX(Numéros!$C$2:$C$3001,MATCH(A4846&amp;"|"&amp;B4846,Numéros!$F$2:$F$3001,0))),""))</f>
        <v/>
      </c>
      <c r="M4846" s="27" t="str">
        <f aca="false">IF(OR(G4846="",G4846="?"),"",IFERROR(INDEX(Pubs!$D$2:$D$3001,MATCH(G4846,Pubs!$A$2:$A$3001,0))&amp;"",""))</f>
        <v/>
      </c>
      <c r="N4846" s="27" t="n">
        <f aca="false">N(N4845)+IF(AND(A4846&lt;&gt;"",OR(Recherche!$C$4="",A4846=Recherche!$C$4),OR(Recherche!$C$5="",B4846&amp;""=Recherche!$C$5&amp;""),OR(Recherche!$C$6="",IFERROR(YEAR(L4846),0)=Recherche!$C$6),OR(Recherche!$C$7="",ISNUMBER(SEARCH(Recherche!$C$7,H4846))),OR(Recherche!$C$8="",J4846=Recherche!$C$8),OR(Recherche!$C$9="",I4846=Recherche!$C$9),OR(Recherche!$C$10="",G4846&amp;""=Recherche!$C$10&amp;""),OR(Recherche!$C$11="",E4846=Recherche!$C$11),OR(Recherche!$C$12="",ISNUMBER(SEARCH(Recherche!$C$12,M4846&amp;" "&amp;F4846)))),1,0)</f>
        <v>8</v>
      </c>
    </row>
    <row r="4847" customFormat="false" ht="15" hidden="false" customHeight="false" outlineLevel="0" collapsed="false">
      <c r="A4847" s="19"/>
      <c r="B4847" s="19"/>
      <c r="C4847" s="19"/>
      <c r="D4847" s="19"/>
      <c r="E4847" s="22"/>
      <c r="F4847" s="19"/>
      <c r="G4847" s="26" t="str">
        <f aca="false">IF(D4847="","",IFERROR(VALUE(LEFT(D4847,FIND(" |",D4847&amp;" |")-1)),"?"))</f>
        <v/>
      </c>
      <c r="H4847" s="27" t="str">
        <f aca="false">IF(G4847="","",IF(G4847="?","⚠ pub inconnue",IFERROR(INDEX(Pubs!$B$2:$B$3001,MATCH(G4847,Pubs!$A$2:$A$3001,0))&amp;"","⚠ pub inconnue")))</f>
        <v/>
      </c>
      <c r="I4847" s="27" t="str">
        <f aca="false">IF(OR(G4847="",G4847="?"),"",IFERROR(INDEX(Pubs!$C$2:$C$3001,MATCH(G4847,Pubs!$A$2:$A$3001,0))&amp;"",""))</f>
        <v/>
      </c>
      <c r="J4847" s="27" t="str">
        <f aca="false">IF(OR(G4847="",G4847="?"),"",IFERROR(INDEX(Pubs!$G$2:$G$3001,MATCH(G4847,Pubs!$A$2:$A$3001,0))&amp;"",""))</f>
        <v/>
      </c>
      <c r="K4847" s="28" t="str">
        <f aca="false">IF(OR(G4847="",G4847="?"),"",IFERROR(INDEX(Pubs!$E$2:$E$3001,MATCH(G4847,Pubs!$A$2:$A$3001,0)),""))</f>
        <v/>
      </c>
      <c r="L4847" s="29" t="str">
        <f aca="false">IF(A4847="","",IFERROR(1/(1/INDEX(Numéros!$C$2:$C$3001,MATCH(A4847&amp;"|"&amp;B4847,Numéros!$F$2:$F$3001,0))),""))</f>
        <v/>
      </c>
      <c r="M4847" s="27" t="str">
        <f aca="false">IF(OR(G4847="",G4847="?"),"",IFERROR(INDEX(Pubs!$D$2:$D$3001,MATCH(G4847,Pubs!$A$2:$A$3001,0))&amp;"",""))</f>
        <v/>
      </c>
      <c r="N4847" s="27" t="n">
        <f aca="false">N(N4846)+IF(AND(A4847&lt;&gt;"",OR(Recherche!$C$4="",A4847=Recherche!$C$4),OR(Recherche!$C$5="",B4847&amp;""=Recherche!$C$5&amp;""),OR(Recherche!$C$6="",IFERROR(YEAR(L4847),0)=Recherche!$C$6),OR(Recherche!$C$7="",ISNUMBER(SEARCH(Recherche!$C$7,H4847))),OR(Recherche!$C$8="",J4847=Recherche!$C$8),OR(Recherche!$C$9="",I4847=Recherche!$C$9),OR(Recherche!$C$10="",G4847&amp;""=Recherche!$C$10&amp;""),OR(Recherche!$C$11="",E4847=Recherche!$C$11),OR(Recherche!$C$12="",ISNUMBER(SEARCH(Recherche!$C$12,M4847&amp;" "&amp;F4847)))),1,0)</f>
        <v>8</v>
      </c>
    </row>
    <row r="4848" customFormat="false" ht="15" hidden="false" customHeight="false" outlineLevel="0" collapsed="false">
      <c r="A4848" s="19"/>
      <c r="B4848" s="19"/>
      <c r="C4848" s="19"/>
      <c r="D4848" s="19"/>
      <c r="E4848" s="22"/>
      <c r="F4848" s="19"/>
      <c r="G4848" s="26" t="str">
        <f aca="false">IF(D4848="","",IFERROR(VALUE(LEFT(D4848,FIND(" |",D4848&amp;" |")-1)),"?"))</f>
        <v/>
      </c>
      <c r="H4848" s="27" t="str">
        <f aca="false">IF(G4848="","",IF(G4848="?","⚠ pub inconnue",IFERROR(INDEX(Pubs!$B$2:$B$3001,MATCH(G4848,Pubs!$A$2:$A$3001,0))&amp;"","⚠ pub inconnue")))</f>
        <v/>
      </c>
      <c r="I4848" s="27" t="str">
        <f aca="false">IF(OR(G4848="",G4848="?"),"",IFERROR(INDEX(Pubs!$C$2:$C$3001,MATCH(G4848,Pubs!$A$2:$A$3001,0))&amp;"",""))</f>
        <v/>
      </c>
      <c r="J4848" s="27" t="str">
        <f aca="false">IF(OR(G4848="",G4848="?"),"",IFERROR(INDEX(Pubs!$G$2:$G$3001,MATCH(G4848,Pubs!$A$2:$A$3001,0))&amp;"",""))</f>
        <v/>
      </c>
      <c r="K4848" s="28" t="str">
        <f aca="false">IF(OR(G4848="",G4848="?"),"",IFERROR(INDEX(Pubs!$E$2:$E$3001,MATCH(G4848,Pubs!$A$2:$A$3001,0)),""))</f>
        <v/>
      </c>
      <c r="L4848" s="29" t="str">
        <f aca="false">IF(A4848="","",IFERROR(1/(1/INDEX(Numéros!$C$2:$C$3001,MATCH(A4848&amp;"|"&amp;B4848,Numéros!$F$2:$F$3001,0))),""))</f>
        <v/>
      </c>
      <c r="M4848" s="27" t="str">
        <f aca="false">IF(OR(G4848="",G4848="?"),"",IFERROR(INDEX(Pubs!$D$2:$D$3001,MATCH(G4848,Pubs!$A$2:$A$3001,0))&amp;"",""))</f>
        <v/>
      </c>
      <c r="N4848" s="27" t="n">
        <f aca="false">N(N4847)+IF(AND(A4848&lt;&gt;"",OR(Recherche!$C$4="",A4848=Recherche!$C$4),OR(Recherche!$C$5="",B4848&amp;""=Recherche!$C$5&amp;""),OR(Recherche!$C$6="",IFERROR(YEAR(L4848),0)=Recherche!$C$6),OR(Recherche!$C$7="",ISNUMBER(SEARCH(Recherche!$C$7,H4848))),OR(Recherche!$C$8="",J4848=Recherche!$C$8),OR(Recherche!$C$9="",I4848=Recherche!$C$9),OR(Recherche!$C$10="",G4848&amp;""=Recherche!$C$10&amp;""),OR(Recherche!$C$11="",E4848=Recherche!$C$11),OR(Recherche!$C$12="",ISNUMBER(SEARCH(Recherche!$C$12,M4848&amp;" "&amp;F4848)))),1,0)</f>
        <v>8</v>
      </c>
    </row>
    <row r="4849" customFormat="false" ht="15" hidden="false" customHeight="false" outlineLevel="0" collapsed="false">
      <c r="A4849" s="19"/>
      <c r="B4849" s="19"/>
      <c r="C4849" s="19"/>
      <c r="D4849" s="19"/>
      <c r="E4849" s="22"/>
      <c r="F4849" s="19"/>
      <c r="G4849" s="26" t="str">
        <f aca="false">IF(D4849="","",IFERROR(VALUE(LEFT(D4849,FIND(" |",D4849&amp;" |")-1)),"?"))</f>
        <v/>
      </c>
      <c r="H4849" s="27" t="str">
        <f aca="false">IF(G4849="","",IF(G4849="?","⚠ pub inconnue",IFERROR(INDEX(Pubs!$B$2:$B$3001,MATCH(G4849,Pubs!$A$2:$A$3001,0))&amp;"","⚠ pub inconnue")))</f>
        <v/>
      </c>
      <c r="I4849" s="27" t="str">
        <f aca="false">IF(OR(G4849="",G4849="?"),"",IFERROR(INDEX(Pubs!$C$2:$C$3001,MATCH(G4849,Pubs!$A$2:$A$3001,0))&amp;"",""))</f>
        <v/>
      </c>
      <c r="J4849" s="27" t="str">
        <f aca="false">IF(OR(G4849="",G4849="?"),"",IFERROR(INDEX(Pubs!$G$2:$G$3001,MATCH(G4849,Pubs!$A$2:$A$3001,0))&amp;"",""))</f>
        <v/>
      </c>
      <c r="K4849" s="28" t="str">
        <f aca="false">IF(OR(G4849="",G4849="?"),"",IFERROR(INDEX(Pubs!$E$2:$E$3001,MATCH(G4849,Pubs!$A$2:$A$3001,0)),""))</f>
        <v/>
      </c>
      <c r="L4849" s="29" t="str">
        <f aca="false">IF(A4849="","",IFERROR(1/(1/INDEX(Numéros!$C$2:$C$3001,MATCH(A4849&amp;"|"&amp;B4849,Numéros!$F$2:$F$3001,0))),""))</f>
        <v/>
      </c>
      <c r="M4849" s="27" t="str">
        <f aca="false">IF(OR(G4849="",G4849="?"),"",IFERROR(INDEX(Pubs!$D$2:$D$3001,MATCH(G4849,Pubs!$A$2:$A$3001,0))&amp;"",""))</f>
        <v/>
      </c>
      <c r="N4849" s="27" t="n">
        <f aca="false">N(N4848)+IF(AND(A4849&lt;&gt;"",OR(Recherche!$C$4="",A4849=Recherche!$C$4),OR(Recherche!$C$5="",B4849&amp;""=Recherche!$C$5&amp;""),OR(Recherche!$C$6="",IFERROR(YEAR(L4849),0)=Recherche!$C$6),OR(Recherche!$C$7="",ISNUMBER(SEARCH(Recherche!$C$7,H4849))),OR(Recherche!$C$8="",J4849=Recherche!$C$8),OR(Recherche!$C$9="",I4849=Recherche!$C$9),OR(Recherche!$C$10="",G4849&amp;""=Recherche!$C$10&amp;""),OR(Recherche!$C$11="",E4849=Recherche!$C$11),OR(Recherche!$C$12="",ISNUMBER(SEARCH(Recherche!$C$12,M4849&amp;" "&amp;F4849)))),1,0)</f>
        <v>8</v>
      </c>
    </row>
    <row r="4850" customFormat="false" ht="15" hidden="false" customHeight="false" outlineLevel="0" collapsed="false">
      <c r="A4850" s="19"/>
      <c r="B4850" s="19"/>
      <c r="C4850" s="19"/>
      <c r="D4850" s="19"/>
      <c r="E4850" s="22"/>
      <c r="F4850" s="19"/>
      <c r="G4850" s="26" t="str">
        <f aca="false">IF(D4850="","",IFERROR(VALUE(LEFT(D4850,FIND(" |",D4850&amp;" |")-1)),"?"))</f>
        <v/>
      </c>
      <c r="H4850" s="27" t="str">
        <f aca="false">IF(G4850="","",IF(G4850="?","⚠ pub inconnue",IFERROR(INDEX(Pubs!$B$2:$B$3001,MATCH(G4850,Pubs!$A$2:$A$3001,0))&amp;"","⚠ pub inconnue")))</f>
        <v/>
      </c>
      <c r="I4850" s="27" t="str">
        <f aca="false">IF(OR(G4850="",G4850="?"),"",IFERROR(INDEX(Pubs!$C$2:$C$3001,MATCH(G4850,Pubs!$A$2:$A$3001,0))&amp;"",""))</f>
        <v/>
      </c>
      <c r="J4850" s="27" t="str">
        <f aca="false">IF(OR(G4850="",G4850="?"),"",IFERROR(INDEX(Pubs!$G$2:$G$3001,MATCH(G4850,Pubs!$A$2:$A$3001,0))&amp;"",""))</f>
        <v/>
      </c>
      <c r="K4850" s="28" t="str">
        <f aca="false">IF(OR(G4850="",G4850="?"),"",IFERROR(INDEX(Pubs!$E$2:$E$3001,MATCH(G4850,Pubs!$A$2:$A$3001,0)),""))</f>
        <v/>
      </c>
      <c r="L4850" s="29" t="str">
        <f aca="false">IF(A4850="","",IFERROR(1/(1/INDEX(Numéros!$C$2:$C$3001,MATCH(A4850&amp;"|"&amp;B4850,Numéros!$F$2:$F$3001,0))),""))</f>
        <v/>
      </c>
      <c r="M4850" s="27" t="str">
        <f aca="false">IF(OR(G4850="",G4850="?"),"",IFERROR(INDEX(Pubs!$D$2:$D$3001,MATCH(G4850,Pubs!$A$2:$A$3001,0))&amp;"",""))</f>
        <v/>
      </c>
      <c r="N4850" s="27" t="n">
        <f aca="false">N(N4849)+IF(AND(A4850&lt;&gt;"",OR(Recherche!$C$4="",A4850=Recherche!$C$4),OR(Recherche!$C$5="",B4850&amp;""=Recherche!$C$5&amp;""),OR(Recherche!$C$6="",IFERROR(YEAR(L4850),0)=Recherche!$C$6),OR(Recherche!$C$7="",ISNUMBER(SEARCH(Recherche!$C$7,H4850))),OR(Recherche!$C$8="",J4850=Recherche!$C$8),OR(Recherche!$C$9="",I4850=Recherche!$C$9),OR(Recherche!$C$10="",G4850&amp;""=Recherche!$C$10&amp;""),OR(Recherche!$C$11="",E4850=Recherche!$C$11),OR(Recherche!$C$12="",ISNUMBER(SEARCH(Recherche!$C$12,M4850&amp;" "&amp;F4850)))),1,0)</f>
        <v>8</v>
      </c>
    </row>
    <row r="4851" customFormat="false" ht="15" hidden="false" customHeight="false" outlineLevel="0" collapsed="false">
      <c r="A4851" s="19"/>
      <c r="B4851" s="19"/>
      <c r="C4851" s="19"/>
      <c r="D4851" s="19"/>
      <c r="E4851" s="22"/>
      <c r="F4851" s="19"/>
      <c r="G4851" s="26" t="str">
        <f aca="false">IF(D4851="","",IFERROR(VALUE(LEFT(D4851,FIND(" |",D4851&amp;" |")-1)),"?"))</f>
        <v/>
      </c>
      <c r="H4851" s="27" t="str">
        <f aca="false">IF(G4851="","",IF(G4851="?","⚠ pub inconnue",IFERROR(INDEX(Pubs!$B$2:$B$3001,MATCH(G4851,Pubs!$A$2:$A$3001,0))&amp;"","⚠ pub inconnue")))</f>
        <v/>
      </c>
      <c r="I4851" s="27" t="str">
        <f aca="false">IF(OR(G4851="",G4851="?"),"",IFERROR(INDEX(Pubs!$C$2:$C$3001,MATCH(G4851,Pubs!$A$2:$A$3001,0))&amp;"",""))</f>
        <v/>
      </c>
      <c r="J4851" s="27" t="str">
        <f aca="false">IF(OR(G4851="",G4851="?"),"",IFERROR(INDEX(Pubs!$G$2:$G$3001,MATCH(G4851,Pubs!$A$2:$A$3001,0))&amp;"",""))</f>
        <v/>
      </c>
      <c r="K4851" s="28" t="str">
        <f aca="false">IF(OR(G4851="",G4851="?"),"",IFERROR(INDEX(Pubs!$E$2:$E$3001,MATCH(G4851,Pubs!$A$2:$A$3001,0)),""))</f>
        <v/>
      </c>
      <c r="L4851" s="29" t="str">
        <f aca="false">IF(A4851="","",IFERROR(1/(1/INDEX(Numéros!$C$2:$C$3001,MATCH(A4851&amp;"|"&amp;B4851,Numéros!$F$2:$F$3001,0))),""))</f>
        <v/>
      </c>
      <c r="M4851" s="27" t="str">
        <f aca="false">IF(OR(G4851="",G4851="?"),"",IFERROR(INDEX(Pubs!$D$2:$D$3001,MATCH(G4851,Pubs!$A$2:$A$3001,0))&amp;"",""))</f>
        <v/>
      </c>
      <c r="N4851" s="27" t="n">
        <f aca="false">N(N4850)+IF(AND(A4851&lt;&gt;"",OR(Recherche!$C$4="",A4851=Recherche!$C$4),OR(Recherche!$C$5="",B4851&amp;""=Recherche!$C$5&amp;""),OR(Recherche!$C$6="",IFERROR(YEAR(L4851),0)=Recherche!$C$6),OR(Recherche!$C$7="",ISNUMBER(SEARCH(Recherche!$C$7,H4851))),OR(Recherche!$C$8="",J4851=Recherche!$C$8),OR(Recherche!$C$9="",I4851=Recherche!$C$9),OR(Recherche!$C$10="",G4851&amp;""=Recherche!$C$10&amp;""),OR(Recherche!$C$11="",E4851=Recherche!$C$11),OR(Recherche!$C$12="",ISNUMBER(SEARCH(Recherche!$C$12,M4851&amp;" "&amp;F4851)))),1,0)</f>
        <v>8</v>
      </c>
    </row>
    <row r="4852" customFormat="false" ht="15" hidden="false" customHeight="false" outlineLevel="0" collapsed="false">
      <c r="A4852" s="19"/>
      <c r="B4852" s="19"/>
      <c r="C4852" s="19"/>
      <c r="D4852" s="19"/>
      <c r="E4852" s="22"/>
      <c r="F4852" s="19"/>
      <c r="G4852" s="26" t="str">
        <f aca="false">IF(D4852="","",IFERROR(VALUE(LEFT(D4852,FIND(" |",D4852&amp;" |")-1)),"?"))</f>
        <v/>
      </c>
      <c r="H4852" s="27" t="str">
        <f aca="false">IF(G4852="","",IF(G4852="?","⚠ pub inconnue",IFERROR(INDEX(Pubs!$B$2:$B$3001,MATCH(G4852,Pubs!$A$2:$A$3001,0))&amp;"","⚠ pub inconnue")))</f>
        <v/>
      </c>
      <c r="I4852" s="27" t="str">
        <f aca="false">IF(OR(G4852="",G4852="?"),"",IFERROR(INDEX(Pubs!$C$2:$C$3001,MATCH(G4852,Pubs!$A$2:$A$3001,0))&amp;"",""))</f>
        <v/>
      </c>
      <c r="J4852" s="27" t="str">
        <f aca="false">IF(OR(G4852="",G4852="?"),"",IFERROR(INDEX(Pubs!$G$2:$G$3001,MATCH(G4852,Pubs!$A$2:$A$3001,0))&amp;"",""))</f>
        <v/>
      </c>
      <c r="K4852" s="28" t="str">
        <f aca="false">IF(OR(G4852="",G4852="?"),"",IFERROR(INDEX(Pubs!$E$2:$E$3001,MATCH(G4852,Pubs!$A$2:$A$3001,0)),""))</f>
        <v/>
      </c>
      <c r="L4852" s="29" t="str">
        <f aca="false">IF(A4852="","",IFERROR(1/(1/INDEX(Numéros!$C$2:$C$3001,MATCH(A4852&amp;"|"&amp;B4852,Numéros!$F$2:$F$3001,0))),""))</f>
        <v/>
      </c>
      <c r="M4852" s="27" t="str">
        <f aca="false">IF(OR(G4852="",G4852="?"),"",IFERROR(INDEX(Pubs!$D$2:$D$3001,MATCH(G4852,Pubs!$A$2:$A$3001,0))&amp;"",""))</f>
        <v/>
      </c>
      <c r="N4852" s="27" t="n">
        <f aca="false">N(N4851)+IF(AND(A4852&lt;&gt;"",OR(Recherche!$C$4="",A4852=Recherche!$C$4),OR(Recherche!$C$5="",B4852&amp;""=Recherche!$C$5&amp;""),OR(Recherche!$C$6="",IFERROR(YEAR(L4852),0)=Recherche!$C$6),OR(Recherche!$C$7="",ISNUMBER(SEARCH(Recherche!$C$7,H4852))),OR(Recherche!$C$8="",J4852=Recherche!$C$8),OR(Recherche!$C$9="",I4852=Recherche!$C$9),OR(Recherche!$C$10="",G4852&amp;""=Recherche!$C$10&amp;""),OR(Recherche!$C$11="",E4852=Recherche!$C$11),OR(Recherche!$C$12="",ISNUMBER(SEARCH(Recherche!$C$12,M4852&amp;" "&amp;F4852)))),1,0)</f>
        <v>8</v>
      </c>
    </row>
    <row r="4853" customFormat="false" ht="15" hidden="false" customHeight="false" outlineLevel="0" collapsed="false">
      <c r="A4853" s="19"/>
      <c r="B4853" s="19"/>
      <c r="C4853" s="19"/>
      <c r="D4853" s="19"/>
      <c r="E4853" s="22"/>
      <c r="F4853" s="19"/>
      <c r="G4853" s="26" t="str">
        <f aca="false">IF(D4853="","",IFERROR(VALUE(LEFT(D4853,FIND(" |",D4853&amp;" |")-1)),"?"))</f>
        <v/>
      </c>
      <c r="H4853" s="27" t="str">
        <f aca="false">IF(G4853="","",IF(G4853="?","⚠ pub inconnue",IFERROR(INDEX(Pubs!$B$2:$B$3001,MATCH(G4853,Pubs!$A$2:$A$3001,0))&amp;"","⚠ pub inconnue")))</f>
        <v/>
      </c>
      <c r="I4853" s="27" t="str">
        <f aca="false">IF(OR(G4853="",G4853="?"),"",IFERROR(INDEX(Pubs!$C$2:$C$3001,MATCH(G4853,Pubs!$A$2:$A$3001,0))&amp;"",""))</f>
        <v/>
      </c>
      <c r="J4853" s="27" t="str">
        <f aca="false">IF(OR(G4853="",G4853="?"),"",IFERROR(INDEX(Pubs!$G$2:$G$3001,MATCH(G4853,Pubs!$A$2:$A$3001,0))&amp;"",""))</f>
        <v/>
      </c>
      <c r="K4853" s="28" t="str">
        <f aca="false">IF(OR(G4853="",G4853="?"),"",IFERROR(INDEX(Pubs!$E$2:$E$3001,MATCH(G4853,Pubs!$A$2:$A$3001,0)),""))</f>
        <v/>
      </c>
      <c r="L4853" s="29" t="str">
        <f aca="false">IF(A4853="","",IFERROR(1/(1/INDEX(Numéros!$C$2:$C$3001,MATCH(A4853&amp;"|"&amp;B4853,Numéros!$F$2:$F$3001,0))),""))</f>
        <v/>
      </c>
      <c r="M4853" s="27" t="str">
        <f aca="false">IF(OR(G4853="",G4853="?"),"",IFERROR(INDEX(Pubs!$D$2:$D$3001,MATCH(G4853,Pubs!$A$2:$A$3001,0))&amp;"",""))</f>
        <v/>
      </c>
      <c r="N4853" s="27" t="n">
        <f aca="false">N(N4852)+IF(AND(A4853&lt;&gt;"",OR(Recherche!$C$4="",A4853=Recherche!$C$4),OR(Recherche!$C$5="",B4853&amp;""=Recherche!$C$5&amp;""),OR(Recherche!$C$6="",IFERROR(YEAR(L4853),0)=Recherche!$C$6),OR(Recherche!$C$7="",ISNUMBER(SEARCH(Recherche!$C$7,H4853))),OR(Recherche!$C$8="",J4853=Recherche!$C$8),OR(Recherche!$C$9="",I4853=Recherche!$C$9),OR(Recherche!$C$10="",G4853&amp;""=Recherche!$C$10&amp;""),OR(Recherche!$C$11="",E4853=Recherche!$C$11),OR(Recherche!$C$12="",ISNUMBER(SEARCH(Recherche!$C$12,M4853&amp;" "&amp;F4853)))),1,0)</f>
        <v>8</v>
      </c>
    </row>
    <row r="4854" customFormat="false" ht="15" hidden="false" customHeight="false" outlineLevel="0" collapsed="false">
      <c r="A4854" s="19"/>
      <c r="B4854" s="19"/>
      <c r="C4854" s="19"/>
      <c r="D4854" s="19"/>
      <c r="E4854" s="22"/>
      <c r="F4854" s="19"/>
      <c r="G4854" s="26" t="str">
        <f aca="false">IF(D4854="","",IFERROR(VALUE(LEFT(D4854,FIND(" |",D4854&amp;" |")-1)),"?"))</f>
        <v/>
      </c>
      <c r="H4854" s="27" t="str">
        <f aca="false">IF(G4854="","",IF(G4854="?","⚠ pub inconnue",IFERROR(INDEX(Pubs!$B$2:$B$3001,MATCH(G4854,Pubs!$A$2:$A$3001,0))&amp;"","⚠ pub inconnue")))</f>
        <v/>
      </c>
      <c r="I4854" s="27" t="str">
        <f aca="false">IF(OR(G4854="",G4854="?"),"",IFERROR(INDEX(Pubs!$C$2:$C$3001,MATCH(G4854,Pubs!$A$2:$A$3001,0))&amp;"",""))</f>
        <v/>
      </c>
      <c r="J4854" s="27" t="str">
        <f aca="false">IF(OR(G4854="",G4854="?"),"",IFERROR(INDEX(Pubs!$G$2:$G$3001,MATCH(G4854,Pubs!$A$2:$A$3001,0))&amp;"",""))</f>
        <v/>
      </c>
      <c r="K4854" s="28" t="str">
        <f aca="false">IF(OR(G4854="",G4854="?"),"",IFERROR(INDEX(Pubs!$E$2:$E$3001,MATCH(G4854,Pubs!$A$2:$A$3001,0)),""))</f>
        <v/>
      </c>
      <c r="L4854" s="29" t="str">
        <f aca="false">IF(A4854="","",IFERROR(1/(1/INDEX(Numéros!$C$2:$C$3001,MATCH(A4854&amp;"|"&amp;B4854,Numéros!$F$2:$F$3001,0))),""))</f>
        <v/>
      </c>
      <c r="M4854" s="27" t="str">
        <f aca="false">IF(OR(G4854="",G4854="?"),"",IFERROR(INDEX(Pubs!$D$2:$D$3001,MATCH(G4854,Pubs!$A$2:$A$3001,0))&amp;"",""))</f>
        <v/>
      </c>
      <c r="N4854" s="27" t="n">
        <f aca="false">N(N4853)+IF(AND(A4854&lt;&gt;"",OR(Recherche!$C$4="",A4854=Recherche!$C$4),OR(Recherche!$C$5="",B4854&amp;""=Recherche!$C$5&amp;""),OR(Recherche!$C$6="",IFERROR(YEAR(L4854),0)=Recherche!$C$6),OR(Recherche!$C$7="",ISNUMBER(SEARCH(Recherche!$C$7,H4854))),OR(Recherche!$C$8="",J4854=Recherche!$C$8),OR(Recherche!$C$9="",I4854=Recherche!$C$9),OR(Recherche!$C$10="",G4854&amp;""=Recherche!$C$10&amp;""),OR(Recherche!$C$11="",E4854=Recherche!$C$11),OR(Recherche!$C$12="",ISNUMBER(SEARCH(Recherche!$C$12,M4854&amp;" "&amp;F4854)))),1,0)</f>
        <v>8</v>
      </c>
    </row>
    <row r="4855" customFormat="false" ht="15" hidden="false" customHeight="false" outlineLevel="0" collapsed="false">
      <c r="A4855" s="19"/>
      <c r="B4855" s="19"/>
      <c r="C4855" s="19"/>
      <c r="D4855" s="19"/>
      <c r="E4855" s="22"/>
      <c r="F4855" s="19"/>
      <c r="G4855" s="26" t="str">
        <f aca="false">IF(D4855="","",IFERROR(VALUE(LEFT(D4855,FIND(" |",D4855&amp;" |")-1)),"?"))</f>
        <v/>
      </c>
      <c r="H4855" s="27" t="str">
        <f aca="false">IF(G4855="","",IF(G4855="?","⚠ pub inconnue",IFERROR(INDEX(Pubs!$B$2:$B$3001,MATCH(G4855,Pubs!$A$2:$A$3001,0))&amp;"","⚠ pub inconnue")))</f>
        <v/>
      </c>
      <c r="I4855" s="27" t="str">
        <f aca="false">IF(OR(G4855="",G4855="?"),"",IFERROR(INDEX(Pubs!$C$2:$C$3001,MATCH(G4855,Pubs!$A$2:$A$3001,0))&amp;"",""))</f>
        <v/>
      </c>
      <c r="J4855" s="27" t="str">
        <f aca="false">IF(OR(G4855="",G4855="?"),"",IFERROR(INDEX(Pubs!$G$2:$G$3001,MATCH(G4855,Pubs!$A$2:$A$3001,0))&amp;"",""))</f>
        <v/>
      </c>
      <c r="K4855" s="28" t="str">
        <f aca="false">IF(OR(G4855="",G4855="?"),"",IFERROR(INDEX(Pubs!$E$2:$E$3001,MATCH(G4855,Pubs!$A$2:$A$3001,0)),""))</f>
        <v/>
      </c>
      <c r="L4855" s="29" t="str">
        <f aca="false">IF(A4855="","",IFERROR(1/(1/INDEX(Numéros!$C$2:$C$3001,MATCH(A4855&amp;"|"&amp;B4855,Numéros!$F$2:$F$3001,0))),""))</f>
        <v/>
      </c>
      <c r="M4855" s="27" t="str">
        <f aca="false">IF(OR(G4855="",G4855="?"),"",IFERROR(INDEX(Pubs!$D$2:$D$3001,MATCH(G4855,Pubs!$A$2:$A$3001,0))&amp;"",""))</f>
        <v/>
      </c>
      <c r="N4855" s="27" t="n">
        <f aca="false">N(N4854)+IF(AND(A4855&lt;&gt;"",OR(Recherche!$C$4="",A4855=Recherche!$C$4),OR(Recherche!$C$5="",B4855&amp;""=Recherche!$C$5&amp;""),OR(Recherche!$C$6="",IFERROR(YEAR(L4855),0)=Recherche!$C$6),OR(Recherche!$C$7="",ISNUMBER(SEARCH(Recherche!$C$7,H4855))),OR(Recherche!$C$8="",J4855=Recherche!$C$8),OR(Recherche!$C$9="",I4855=Recherche!$C$9),OR(Recherche!$C$10="",G4855&amp;""=Recherche!$C$10&amp;""),OR(Recherche!$C$11="",E4855=Recherche!$C$11),OR(Recherche!$C$12="",ISNUMBER(SEARCH(Recherche!$C$12,M4855&amp;" "&amp;F4855)))),1,0)</f>
        <v>8</v>
      </c>
    </row>
    <row r="4856" customFormat="false" ht="15" hidden="false" customHeight="false" outlineLevel="0" collapsed="false">
      <c r="A4856" s="19"/>
      <c r="B4856" s="19"/>
      <c r="C4856" s="19"/>
      <c r="D4856" s="19"/>
      <c r="E4856" s="22"/>
      <c r="F4856" s="19"/>
      <c r="G4856" s="26" t="str">
        <f aca="false">IF(D4856="","",IFERROR(VALUE(LEFT(D4856,FIND(" |",D4856&amp;" |")-1)),"?"))</f>
        <v/>
      </c>
      <c r="H4856" s="27" t="str">
        <f aca="false">IF(G4856="","",IF(G4856="?","⚠ pub inconnue",IFERROR(INDEX(Pubs!$B$2:$B$3001,MATCH(G4856,Pubs!$A$2:$A$3001,0))&amp;"","⚠ pub inconnue")))</f>
        <v/>
      </c>
      <c r="I4856" s="27" t="str">
        <f aca="false">IF(OR(G4856="",G4856="?"),"",IFERROR(INDEX(Pubs!$C$2:$C$3001,MATCH(G4856,Pubs!$A$2:$A$3001,0))&amp;"",""))</f>
        <v/>
      </c>
      <c r="J4856" s="27" t="str">
        <f aca="false">IF(OR(G4856="",G4856="?"),"",IFERROR(INDEX(Pubs!$G$2:$G$3001,MATCH(G4856,Pubs!$A$2:$A$3001,0))&amp;"",""))</f>
        <v/>
      </c>
      <c r="K4856" s="28" t="str">
        <f aca="false">IF(OR(G4856="",G4856="?"),"",IFERROR(INDEX(Pubs!$E$2:$E$3001,MATCH(G4856,Pubs!$A$2:$A$3001,0)),""))</f>
        <v/>
      </c>
      <c r="L4856" s="29" t="str">
        <f aca="false">IF(A4856="","",IFERROR(1/(1/INDEX(Numéros!$C$2:$C$3001,MATCH(A4856&amp;"|"&amp;B4856,Numéros!$F$2:$F$3001,0))),""))</f>
        <v/>
      </c>
      <c r="M4856" s="27" t="str">
        <f aca="false">IF(OR(G4856="",G4856="?"),"",IFERROR(INDEX(Pubs!$D$2:$D$3001,MATCH(G4856,Pubs!$A$2:$A$3001,0))&amp;"",""))</f>
        <v/>
      </c>
      <c r="N4856" s="27" t="n">
        <f aca="false">N(N4855)+IF(AND(A4856&lt;&gt;"",OR(Recherche!$C$4="",A4856=Recherche!$C$4),OR(Recherche!$C$5="",B4856&amp;""=Recherche!$C$5&amp;""),OR(Recherche!$C$6="",IFERROR(YEAR(L4856),0)=Recherche!$C$6),OR(Recherche!$C$7="",ISNUMBER(SEARCH(Recherche!$C$7,H4856))),OR(Recherche!$C$8="",J4856=Recherche!$C$8),OR(Recherche!$C$9="",I4856=Recherche!$C$9),OR(Recherche!$C$10="",G4856&amp;""=Recherche!$C$10&amp;""),OR(Recherche!$C$11="",E4856=Recherche!$C$11),OR(Recherche!$C$12="",ISNUMBER(SEARCH(Recherche!$C$12,M4856&amp;" "&amp;F4856)))),1,0)</f>
        <v>8</v>
      </c>
    </row>
    <row r="4857" customFormat="false" ht="15" hidden="false" customHeight="false" outlineLevel="0" collapsed="false">
      <c r="A4857" s="19"/>
      <c r="B4857" s="19"/>
      <c r="C4857" s="19"/>
      <c r="D4857" s="19"/>
      <c r="E4857" s="22"/>
      <c r="F4857" s="19"/>
      <c r="G4857" s="26" t="str">
        <f aca="false">IF(D4857="","",IFERROR(VALUE(LEFT(D4857,FIND(" |",D4857&amp;" |")-1)),"?"))</f>
        <v/>
      </c>
      <c r="H4857" s="27" t="str">
        <f aca="false">IF(G4857="","",IF(G4857="?","⚠ pub inconnue",IFERROR(INDEX(Pubs!$B$2:$B$3001,MATCH(G4857,Pubs!$A$2:$A$3001,0))&amp;"","⚠ pub inconnue")))</f>
        <v/>
      </c>
      <c r="I4857" s="27" t="str">
        <f aca="false">IF(OR(G4857="",G4857="?"),"",IFERROR(INDEX(Pubs!$C$2:$C$3001,MATCH(G4857,Pubs!$A$2:$A$3001,0))&amp;"",""))</f>
        <v/>
      </c>
      <c r="J4857" s="27" t="str">
        <f aca="false">IF(OR(G4857="",G4857="?"),"",IFERROR(INDEX(Pubs!$G$2:$G$3001,MATCH(G4857,Pubs!$A$2:$A$3001,0))&amp;"",""))</f>
        <v/>
      </c>
      <c r="K4857" s="28" t="str">
        <f aca="false">IF(OR(G4857="",G4857="?"),"",IFERROR(INDEX(Pubs!$E$2:$E$3001,MATCH(G4857,Pubs!$A$2:$A$3001,0)),""))</f>
        <v/>
      </c>
      <c r="L4857" s="29" t="str">
        <f aca="false">IF(A4857="","",IFERROR(1/(1/INDEX(Numéros!$C$2:$C$3001,MATCH(A4857&amp;"|"&amp;B4857,Numéros!$F$2:$F$3001,0))),""))</f>
        <v/>
      </c>
      <c r="M4857" s="27" t="str">
        <f aca="false">IF(OR(G4857="",G4857="?"),"",IFERROR(INDEX(Pubs!$D$2:$D$3001,MATCH(G4857,Pubs!$A$2:$A$3001,0))&amp;"",""))</f>
        <v/>
      </c>
      <c r="N4857" s="27" t="n">
        <f aca="false">N(N4856)+IF(AND(A4857&lt;&gt;"",OR(Recherche!$C$4="",A4857=Recherche!$C$4),OR(Recherche!$C$5="",B4857&amp;""=Recherche!$C$5&amp;""),OR(Recherche!$C$6="",IFERROR(YEAR(L4857),0)=Recherche!$C$6),OR(Recherche!$C$7="",ISNUMBER(SEARCH(Recherche!$C$7,H4857))),OR(Recherche!$C$8="",J4857=Recherche!$C$8),OR(Recherche!$C$9="",I4857=Recherche!$C$9),OR(Recherche!$C$10="",G4857&amp;""=Recherche!$C$10&amp;""),OR(Recherche!$C$11="",E4857=Recherche!$C$11),OR(Recherche!$C$12="",ISNUMBER(SEARCH(Recherche!$C$12,M4857&amp;" "&amp;F4857)))),1,0)</f>
        <v>8</v>
      </c>
    </row>
    <row r="4858" customFormat="false" ht="15" hidden="false" customHeight="false" outlineLevel="0" collapsed="false">
      <c r="A4858" s="19"/>
      <c r="B4858" s="19"/>
      <c r="C4858" s="19"/>
      <c r="D4858" s="19"/>
      <c r="E4858" s="22"/>
      <c r="F4858" s="19"/>
      <c r="G4858" s="26" t="str">
        <f aca="false">IF(D4858="","",IFERROR(VALUE(LEFT(D4858,FIND(" |",D4858&amp;" |")-1)),"?"))</f>
        <v/>
      </c>
      <c r="H4858" s="27" t="str">
        <f aca="false">IF(G4858="","",IF(G4858="?","⚠ pub inconnue",IFERROR(INDEX(Pubs!$B$2:$B$3001,MATCH(G4858,Pubs!$A$2:$A$3001,0))&amp;"","⚠ pub inconnue")))</f>
        <v/>
      </c>
      <c r="I4858" s="27" t="str">
        <f aca="false">IF(OR(G4858="",G4858="?"),"",IFERROR(INDEX(Pubs!$C$2:$C$3001,MATCH(G4858,Pubs!$A$2:$A$3001,0))&amp;"",""))</f>
        <v/>
      </c>
      <c r="J4858" s="27" t="str">
        <f aca="false">IF(OR(G4858="",G4858="?"),"",IFERROR(INDEX(Pubs!$G$2:$G$3001,MATCH(G4858,Pubs!$A$2:$A$3001,0))&amp;"",""))</f>
        <v/>
      </c>
      <c r="K4858" s="28" t="str">
        <f aca="false">IF(OR(G4858="",G4858="?"),"",IFERROR(INDEX(Pubs!$E$2:$E$3001,MATCH(G4858,Pubs!$A$2:$A$3001,0)),""))</f>
        <v/>
      </c>
      <c r="L4858" s="29" t="str">
        <f aca="false">IF(A4858="","",IFERROR(1/(1/INDEX(Numéros!$C$2:$C$3001,MATCH(A4858&amp;"|"&amp;B4858,Numéros!$F$2:$F$3001,0))),""))</f>
        <v/>
      </c>
      <c r="M4858" s="27" t="str">
        <f aca="false">IF(OR(G4858="",G4858="?"),"",IFERROR(INDEX(Pubs!$D$2:$D$3001,MATCH(G4858,Pubs!$A$2:$A$3001,0))&amp;"",""))</f>
        <v/>
      </c>
      <c r="N4858" s="27" t="n">
        <f aca="false">N(N4857)+IF(AND(A4858&lt;&gt;"",OR(Recherche!$C$4="",A4858=Recherche!$C$4),OR(Recherche!$C$5="",B4858&amp;""=Recherche!$C$5&amp;""),OR(Recherche!$C$6="",IFERROR(YEAR(L4858),0)=Recherche!$C$6),OR(Recherche!$C$7="",ISNUMBER(SEARCH(Recherche!$C$7,H4858))),OR(Recherche!$C$8="",J4858=Recherche!$C$8),OR(Recherche!$C$9="",I4858=Recherche!$C$9),OR(Recherche!$C$10="",G4858&amp;""=Recherche!$C$10&amp;""),OR(Recherche!$C$11="",E4858=Recherche!$C$11),OR(Recherche!$C$12="",ISNUMBER(SEARCH(Recherche!$C$12,M4858&amp;" "&amp;F4858)))),1,0)</f>
        <v>8</v>
      </c>
    </row>
    <row r="4859" customFormat="false" ht="15" hidden="false" customHeight="false" outlineLevel="0" collapsed="false">
      <c r="A4859" s="19"/>
      <c r="B4859" s="19"/>
      <c r="C4859" s="19"/>
      <c r="D4859" s="19"/>
      <c r="E4859" s="22"/>
      <c r="F4859" s="19"/>
      <c r="G4859" s="26" t="str">
        <f aca="false">IF(D4859="","",IFERROR(VALUE(LEFT(D4859,FIND(" |",D4859&amp;" |")-1)),"?"))</f>
        <v/>
      </c>
      <c r="H4859" s="27" t="str">
        <f aca="false">IF(G4859="","",IF(G4859="?","⚠ pub inconnue",IFERROR(INDEX(Pubs!$B$2:$B$3001,MATCH(G4859,Pubs!$A$2:$A$3001,0))&amp;"","⚠ pub inconnue")))</f>
        <v/>
      </c>
      <c r="I4859" s="27" t="str">
        <f aca="false">IF(OR(G4859="",G4859="?"),"",IFERROR(INDEX(Pubs!$C$2:$C$3001,MATCH(G4859,Pubs!$A$2:$A$3001,0))&amp;"",""))</f>
        <v/>
      </c>
      <c r="J4859" s="27" t="str">
        <f aca="false">IF(OR(G4859="",G4859="?"),"",IFERROR(INDEX(Pubs!$G$2:$G$3001,MATCH(G4859,Pubs!$A$2:$A$3001,0))&amp;"",""))</f>
        <v/>
      </c>
      <c r="K4859" s="28" t="str">
        <f aca="false">IF(OR(G4859="",G4859="?"),"",IFERROR(INDEX(Pubs!$E$2:$E$3001,MATCH(G4859,Pubs!$A$2:$A$3001,0)),""))</f>
        <v/>
      </c>
      <c r="L4859" s="29" t="str">
        <f aca="false">IF(A4859="","",IFERROR(1/(1/INDEX(Numéros!$C$2:$C$3001,MATCH(A4859&amp;"|"&amp;B4859,Numéros!$F$2:$F$3001,0))),""))</f>
        <v/>
      </c>
      <c r="M4859" s="27" t="str">
        <f aca="false">IF(OR(G4859="",G4859="?"),"",IFERROR(INDEX(Pubs!$D$2:$D$3001,MATCH(G4859,Pubs!$A$2:$A$3001,0))&amp;"",""))</f>
        <v/>
      </c>
      <c r="N4859" s="27" t="n">
        <f aca="false">N(N4858)+IF(AND(A4859&lt;&gt;"",OR(Recherche!$C$4="",A4859=Recherche!$C$4),OR(Recherche!$C$5="",B4859&amp;""=Recherche!$C$5&amp;""),OR(Recherche!$C$6="",IFERROR(YEAR(L4859),0)=Recherche!$C$6),OR(Recherche!$C$7="",ISNUMBER(SEARCH(Recherche!$C$7,H4859))),OR(Recherche!$C$8="",J4859=Recherche!$C$8),OR(Recherche!$C$9="",I4859=Recherche!$C$9),OR(Recherche!$C$10="",G4859&amp;""=Recherche!$C$10&amp;""),OR(Recherche!$C$11="",E4859=Recherche!$C$11),OR(Recherche!$C$12="",ISNUMBER(SEARCH(Recherche!$C$12,M4859&amp;" "&amp;F4859)))),1,0)</f>
        <v>8</v>
      </c>
    </row>
    <row r="4860" customFormat="false" ht="15" hidden="false" customHeight="false" outlineLevel="0" collapsed="false">
      <c r="A4860" s="19"/>
      <c r="B4860" s="19"/>
      <c r="C4860" s="19"/>
      <c r="D4860" s="19"/>
      <c r="E4860" s="22"/>
      <c r="F4860" s="19"/>
      <c r="G4860" s="26" t="str">
        <f aca="false">IF(D4860="","",IFERROR(VALUE(LEFT(D4860,FIND(" |",D4860&amp;" |")-1)),"?"))</f>
        <v/>
      </c>
      <c r="H4860" s="27" t="str">
        <f aca="false">IF(G4860="","",IF(G4860="?","⚠ pub inconnue",IFERROR(INDEX(Pubs!$B$2:$B$3001,MATCH(G4860,Pubs!$A$2:$A$3001,0))&amp;"","⚠ pub inconnue")))</f>
        <v/>
      </c>
      <c r="I4860" s="27" t="str">
        <f aca="false">IF(OR(G4860="",G4860="?"),"",IFERROR(INDEX(Pubs!$C$2:$C$3001,MATCH(G4860,Pubs!$A$2:$A$3001,0))&amp;"",""))</f>
        <v/>
      </c>
      <c r="J4860" s="27" t="str">
        <f aca="false">IF(OR(G4860="",G4860="?"),"",IFERROR(INDEX(Pubs!$G$2:$G$3001,MATCH(G4860,Pubs!$A$2:$A$3001,0))&amp;"",""))</f>
        <v/>
      </c>
      <c r="K4860" s="28" t="str">
        <f aca="false">IF(OR(G4860="",G4860="?"),"",IFERROR(INDEX(Pubs!$E$2:$E$3001,MATCH(G4860,Pubs!$A$2:$A$3001,0)),""))</f>
        <v/>
      </c>
      <c r="L4860" s="29" t="str">
        <f aca="false">IF(A4860="","",IFERROR(1/(1/INDEX(Numéros!$C$2:$C$3001,MATCH(A4860&amp;"|"&amp;B4860,Numéros!$F$2:$F$3001,0))),""))</f>
        <v/>
      </c>
      <c r="M4860" s="27" t="str">
        <f aca="false">IF(OR(G4860="",G4860="?"),"",IFERROR(INDEX(Pubs!$D$2:$D$3001,MATCH(G4860,Pubs!$A$2:$A$3001,0))&amp;"",""))</f>
        <v/>
      </c>
      <c r="N4860" s="27" t="n">
        <f aca="false">N(N4859)+IF(AND(A4860&lt;&gt;"",OR(Recherche!$C$4="",A4860=Recherche!$C$4),OR(Recherche!$C$5="",B4860&amp;""=Recherche!$C$5&amp;""),OR(Recherche!$C$6="",IFERROR(YEAR(L4860),0)=Recherche!$C$6),OR(Recherche!$C$7="",ISNUMBER(SEARCH(Recherche!$C$7,H4860))),OR(Recherche!$C$8="",J4860=Recherche!$C$8),OR(Recherche!$C$9="",I4860=Recherche!$C$9),OR(Recherche!$C$10="",G4860&amp;""=Recherche!$C$10&amp;""),OR(Recherche!$C$11="",E4860=Recherche!$C$11),OR(Recherche!$C$12="",ISNUMBER(SEARCH(Recherche!$C$12,M4860&amp;" "&amp;F4860)))),1,0)</f>
        <v>8</v>
      </c>
    </row>
    <row r="4861" customFormat="false" ht="15" hidden="false" customHeight="false" outlineLevel="0" collapsed="false">
      <c r="A4861" s="19"/>
      <c r="B4861" s="19"/>
      <c r="C4861" s="19"/>
      <c r="D4861" s="19"/>
      <c r="E4861" s="22"/>
      <c r="F4861" s="19"/>
      <c r="G4861" s="26" t="str">
        <f aca="false">IF(D4861="","",IFERROR(VALUE(LEFT(D4861,FIND(" |",D4861&amp;" |")-1)),"?"))</f>
        <v/>
      </c>
      <c r="H4861" s="27" t="str">
        <f aca="false">IF(G4861="","",IF(G4861="?","⚠ pub inconnue",IFERROR(INDEX(Pubs!$B$2:$B$3001,MATCH(G4861,Pubs!$A$2:$A$3001,0))&amp;"","⚠ pub inconnue")))</f>
        <v/>
      </c>
      <c r="I4861" s="27" t="str">
        <f aca="false">IF(OR(G4861="",G4861="?"),"",IFERROR(INDEX(Pubs!$C$2:$C$3001,MATCH(G4861,Pubs!$A$2:$A$3001,0))&amp;"",""))</f>
        <v/>
      </c>
      <c r="J4861" s="27" t="str">
        <f aca="false">IF(OR(G4861="",G4861="?"),"",IFERROR(INDEX(Pubs!$G$2:$G$3001,MATCH(G4861,Pubs!$A$2:$A$3001,0))&amp;"",""))</f>
        <v/>
      </c>
      <c r="K4861" s="28" t="str">
        <f aca="false">IF(OR(G4861="",G4861="?"),"",IFERROR(INDEX(Pubs!$E$2:$E$3001,MATCH(G4861,Pubs!$A$2:$A$3001,0)),""))</f>
        <v/>
      </c>
      <c r="L4861" s="29" t="str">
        <f aca="false">IF(A4861="","",IFERROR(1/(1/INDEX(Numéros!$C$2:$C$3001,MATCH(A4861&amp;"|"&amp;B4861,Numéros!$F$2:$F$3001,0))),""))</f>
        <v/>
      </c>
      <c r="M4861" s="27" t="str">
        <f aca="false">IF(OR(G4861="",G4861="?"),"",IFERROR(INDEX(Pubs!$D$2:$D$3001,MATCH(G4861,Pubs!$A$2:$A$3001,0))&amp;"",""))</f>
        <v/>
      </c>
      <c r="N4861" s="27" t="n">
        <f aca="false">N(N4860)+IF(AND(A4861&lt;&gt;"",OR(Recherche!$C$4="",A4861=Recherche!$C$4),OR(Recherche!$C$5="",B4861&amp;""=Recherche!$C$5&amp;""),OR(Recherche!$C$6="",IFERROR(YEAR(L4861),0)=Recherche!$C$6),OR(Recherche!$C$7="",ISNUMBER(SEARCH(Recherche!$C$7,H4861))),OR(Recherche!$C$8="",J4861=Recherche!$C$8),OR(Recherche!$C$9="",I4861=Recherche!$C$9),OR(Recherche!$C$10="",G4861&amp;""=Recherche!$C$10&amp;""),OR(Recherche!$C$11="",E4861=Recherche!$C$11),OR(Recherche!$C$12="",ISNUMBER(SEARCH(Recherche!$C$12,M4861&amp;" "&amp;F4861)))),1,0)</f>
        <v>8</v>
      </c>
    </row>
    <row r="4862" customFormat="false" ht="15" hidden="false" customHeight="false" outlineLevel="0" collapsed="false">
      <c r="A4862" s="19"/>
      <c r="B4862" s="19"/>
      <c r="C4862" s="19"/>
      <c r="D4862" s="19"/>
      <c r="E4862" s="22"/>
      <c r="F4862" s="19"/>
      <c r="G4862" s="26" t="str">
        <f aca="false">IF(D4862="","",IFERROR(VALUE(LEFT(D4862,FIND(" |",D4862&amp;" |")-1)),"?"))</f>
        <v/>
      </c>
      <c r="H4862" s="27" t="str">
        <f aca="false">IF(G4862="","",IF(G4862="?","⚠ pub inconnue",IFERROR(INDEX(Pubs!$B$2:$B$3001,MATCH(G4862,Pubs!$A$2:$A$3001,0))&amp;"","⚠ pub inconnue")))</f>
        <v/>
      </c>
      <c r="I4862" s="27" t="str">
        <f aca="false">IF(OR(G4862="",G4862="?"),"",IFERROR(INDEX(Pubs!$C$2:$C$3001,MATCH(G4862,Pubs!$A$2:$A$3001,0))&amp;"",""))</f>
        <v/>
      </c>
      <c r="J4862" s="27" t="str">
        <f aca="false">IF(OR(G4862="",G4862="?"),"",IFERROR(INDEX(Pubs!$G$2:$G$3001,MATCH(G4862,Pubs!$A$2:$A$3001,0))&amp;"",""))</f>
        <v/>
      </c>
      <c r="K4862" s="28" t="str">
        <f aca="false">IF(OR(G4862="",G4862="?"),"",IFERROR(INDEX(Pubs!$E$2:$E$3001,MATCH(G4862,Pubs!$A$2:$A$3001,0)),""))</f>
        <v/>
      </c>
      <c r="L4862" s="29" t="str">
        <f aca="false">IF(A4862="","",IFERROR(1/(1/INDEX(Numéros!$C$2:$C$3001,MATCH(A4862&amp;"|"&amp;B4862,Numéros!$F$2:$F$3001,0))),""))</f>
        <v/>
      </c>
      <c r="M4862" s="27" t="str">
        <f aca="false">IF(OR(G4862="",G4862="?"),"",IFERROR(INDEX(Pubs!$D$2:$D$3001,MATCH(G4862,Pubs!$A$2:$A$3001,0))&amp;"",""))</f>
        <v/>
      </c>
      <c r="N4862" s="27" t="n">
        <f aca="false">N(N4861)+IF(AND(A4862&lt;&gt;"",OR(Recherche!$C$4="",A4862=Recherche!$C$4),OR(Recherche!$C$5="",B4862&amp;""=Recherche!$C$5&amp;""),OR(Recherche!$C$6="",IFERROR(YEAR(L4862),0)=Recherche!$C$6),OR(Recherche!$C$7="",ISNUMBER(SEARCH(Recherche!$C$7,H4862))),OR(Recherche!$C$8="",J4862=Recherche!$C$8),OR(Recherche!$C$9="",I4862=Recherche!$C$9),OR(Recherche!$C$10="",G4862&amp;""=Recherche!$C$10&amp;""),OR(Recherche!$C$11="",E4862=Recherche!$C$11),OR(Recherche!$C$12="",ISNUMBER(SEARCH(Recherche!$C$12,M4862&amp;" "&amp;F4862)))),1,0)</f>
        <v>8</v>
      </c>
    </row>
    <row r="4863" customFormat="false" ht="15" hidden="false" customHeight="false" outlineLevel="0" collapsed="false">
      <c r="A4863" s="19"/>
      <c r="B4863" s="19"/>
      <c r="C4863" s="19"/>
      <c r="D4863" s="19"/>
      <c r="E4863" s="22"/>
      <c r="F4863" s="19"/>
      <c r="G4863" s="26" t="str">
        <f aca="false">IF(D4863="","",IFERROR(VALUE(LEFT(D4863,FIND(" |",D4863&amp;" |")-1)),"?"))</f>
        <v/>
      </c>
      <c r="H4863" s="27" t="str">
        <f aca="false">IF(G4863="","",IF(G4863="?","⚠ pub inconnue",IFERROR(INDEX(Pubs!$B$2:$B$3001,MATCH(G4863,Pubs!$A$2:$A$3001,0))&amp;"","⚠ pub inconnue")))</f>
        <v/>
      </c>
      <c r="I4863" s="27" t="str">
        <f aca="false">IF(OR(G4863="",G4863="?"),"",IFERROR(INDEX(Pubs!$C$2:$C$3001,MATCH(G4863,Pubs!$A$2:$A$3001,0))&amp;"",""))</f>
        <v/>
      </c>
      <c r="J4863" s="27" t="str">
        <f aca="false">IF(OR(G4863="",G4863="?"),"",IFERROR(INDEX(Pubs!$G$2:$G$3001,MATCH(G4863,Pubs!$A$2:$A$3001,0))&amp;"",""))</f>
        <v/>
      </c>
      <c r="K4863" s="28" t="str">
        <f aca="false">IF(OR(G4863="",G4863="?"),"",IFERROR(INDEX(Pubs!$E$2:$E$3001,MATCH(G4863,Pubs!$A$2:$A$3001,0)),""))</f>
        <v/>
      </c>
      <c r="L4863" s="29" t="str">
        <f aca="false">IF(A4863="","",IFERROR(1/(1/INDEX(Numéros!$C$2:$C$3001,MATCH(A4863&amp;"|"&amp;B4863,Numéros!$F$2:$F$3001,0))),""))</f>
        <v/>
      </c>
      <c r="M4863" s="27" t="str">
        <f aca="false">IF(OR(G4863="",G4863="?"),"",IFERROR(INDEX(Pubs!$D$2:$D$3001,MATCH(G4863,Pubs!$A$2:$A$3001,0))&amp;"",""))</f>
        <v/>
      </c>
      <c r="N4863" s="27" t="n">
        <f aca="false">N(N4862)+IF(AND(A4863&lt;&gt;"",OR(Recherche!$C$4="",A4863=Recherche!$C$4),OR(Recherche!$C$5="",B4863&amp;""=Recherche!$C$5&amp;""),OR(Recherche!$C$6="",IFERROR(YEAR(L4863),0)=Recherche!$C$6),OR(Recherche!$C$7="",ISNUMBER(SEARCH(Recherche!$C$7,H4863))),OR(Recherche!$C$8="",J4863=Recherche!$C$8),OR(Recherche!$C$9="",I4863=Recherche!$C$9),OR(Recherche!$C$10="",G4863&amp;""=Recherche!$C$10&amp;""),OR(Recherche!$C$11="",E4863=Recherche!$C$11),OR(Recherche!$C$12="",ISNUMBER(SEARCH(Recherche!$C$12,M4863&amp;" "&amp;F4863)))),1,0)</f>
        <v>8</v>
      </c>
    </row>
    <row r="4864" customFormat="false" ht="15" hidden="false" customHeight="false" outlineLevel="0" collapsed="false">
      <c r="A4864" s="19"/>
      <c r="B4864" s="19"/>
      <c r="C4864" s="19"/>
      <c r="D4864" s="19"/>
      <c r="E4864" s="22"/>
      <c r="F4864" s="19"/>
      <c r="G4864" s="26" t="str">
        <f aca="false">IF(D4864="","",IFERROR(VALUE(LEFT(D4864,FIND(" |",D4864&amp;" |")-1)),"?"))</f>
        <v/>
      </c>
      <c r="H4864" s="27" t="str">
        <f aca="false">IF(G4864="","",IF(G4864="?","⚠ pub inconnue",IFERROR(INDEX(Pubs!$B$2:$B$3001,MATCH(G4864,Pubs!$A$2:$A$3001,0))&amp;"","⚠ pub inconnue")))</f>
        <v/>
      </c>
      <c r="I4864" s="27" t="str">
        <f aca="false">IF(OR(G4864="",G4864="?"),"",IFERROR(INDEX(Pubs!$C$2:$C$3001,MATCH(G4864,Pubs!$A$2:$A$3001,0))&amp;"",""))</f>
        <v/>
      </c>
      <c r="J4864" s="27" t="str">
        <f aca="false">IF(OR(G4864="",G4864="?"),"",IFERROR(INDEX(Pubs!$G$2:$G$3001,MATCH(G4864,Pubs!$A$2:$A$3001,0))&amp;"",""))</f>
        <v/>
      </c>
      <c r="K4864" s="28" t="str">
        <f aca="false">IF(OR(G4864="",G4864="?"),"",IFERROR(INDEX(Pubs!$E$2:$E$3001,MATCH(G4864,Pubs!$A$2:$A$3001,0)),""))</f>
        <v/>
      </c>
      <c r="L4864" s="29" t="str">
        <f aca="false">IF(A4864="","",IFERROR(1/(1/INDEX(Numéros!$C$2:$C$3001,MATCH(A4864&amp;"|"&amp;B4864,Numéros!$F$2:$F$3001,0))),""))</f>
        <v/>
      </c>
      <c r="M4864" s="27" t="str">
        <f aca="false">IF(OR(G4864="",G4864="?"),"",IFERROR(INDEX(Pubs!$D$2:$D$3001,MATCH(G4864,Pubs!$A$2:$A$3001,0))&amp;"",""))</f>
        <v/>
      </c>
      <c r="N4864" s="27" t="n">
        <f aca="false">N(N4863)+IF(AND(A4864&lt;&gt;"",OR(Recherche!$C$4="",A4864=Recherche!$C$4),OR(Recherche!$C$5="",B4864&amp;""=Recherche!$C$5&amp;""),OR(Recherche!$C$6="",IFERROR(YEAR(L4864),0)=Recherche!$C$6),OR(Recherche!$C$7="",ISNUMBER(SEARCH(Recherche!$C$7,H4864))),OR(Recherche!$C$8="",J4864=Recherche!$C$8),OR(Recherche!$C$9="",I4864=Recherche!$C$9),OR(Recherche!$C$10="",G4864&amp;""=Recherche!$C$10&amp;""),OR(Recherche!$C$11="",E4864=Recherche!$C$11),OR(Recherche!$C$12="",ISNUMBER(SEARCH(Recherche!$C$12,M4864&amp;" "&amp;F4864)))),1,0)</f>
        <v>8</v>
      </c>
    </row>
    <row r="4865" customFormat="false" ht="15" hidden="false" customHeight="false" outlineLevel="0" collapsed="false">
      <c r="A4865" s="19"/>
      <c r="B4865" s="19"/>
      <c r="C4865" s="19"/>
      <c r="D4865" s="19"/>
      <c r="E4865" s="22"/>
      <c r="F4865" s="19"/>
      <c r="G4865" s="26" t="str">
        <f aca="false">IF(D4865="","",IFERROR(VALUE(LEFT(D4865,FIND(" |",D4865&amp;" |")-1)),"?"))</f>
        <v/>
      </c>
      <c r="H4865" s="27" t="str">
        <f aca="false">IF(G4865="","",IF(G4865="?","⚠ pub inconnue",IFERROR(INDEX(Pubs!$B$2:$B$3001,MATCH(G4865,Pubs!$A$2:$A$3001,0))&amp;"","⚠ pub inconnue")))</f>
        <v/>
      </c>
      <c r="I4865" s="27" t="str">
        <f aca="false">IF(OR(G4865="",G4865="?"),"",IFERROR(INDEX(Pubs!$C$2:$C$3001,MATCH(G4865,Pubs!$A$2:$A$3001,0))&amp;"",""))</f>
        <v/>
      </c>
      <c r="J4865" s="27" t="str">
        <f aca="false">IF(OR(G4865="",G4865="?"),"",IFERROR(INDEX(Pubs!$G$2:$G$3001,MATCH(G4865,Pubs!$A$2:$A$3001,0))&amp;"",""))</f>
        <v/>
      </c>
      <c r="K4865" s="28" t="str">
        <f aca="false">IF(OR(G4865="",G4865="?"),"",IFERROR(INDEX(Pubs!$E$2:$E$3001,MATCH(G4865,Pubs!$A$2:$A$3001,0)),""))</f>
        <v/>
      </c>
      <c r="L4865" s="29" t="str">
        <f aca="false">IF(A4865="","",IFERROR(1/(1/INDEX(Numéros!$C$2:$C$3001,MATCH(A4865&amp;"|"&amp;B4865,Numéros!$F$2:$F$3001,0))),""))</f>
        <v/>
      </c>
      <c r="M4865" s="27" t="str">
        <f aca="false">IF(OR(G4865="",G4865="?"),"",IFERROR(INDEX(Pubs!$D$2:$D$3001,MATCH(G4865,Pubs!$A$2:$A$3001,0))&amp;"",""))</f>
        <v/>
      </c>
      <c r="N4865" s="27" t="n">
        <f aca="false">N(N4864)+IF(AND(A4865&lt;&gt;"",OR(Recherche!$C$4="",A4865=Recherche!$C$4),OR(Recherche!$C$5="",B4865&amp;""=Recherche!$C$5&amp;""),OR(Recherche!$C$6="",IFERROR(YEAR(L4865),0)=Recherche!$C$6),OR(Recherche!$C$7="",ISNUMBER(SEARCH(Recherche!$C$7,H4865))),OR(Recherche!$C$8="",J4865=Recherche!$C$8),OR(Recherche!$C$9="",I4865=Recherche!$C$9),OR(Recherche!$C$10="",G4865&amp;""=Recherche!$C$10&amp;""),OR(Recherche!$C$11="",E4865=Recherche!$C$11),OR(Recherche!$C$12="",ISNUMBER(SEARCH(Recherche!$C$12,M4865&amp;" "&amp;F4865)))),1,0)</f>
        <v>8</v>
      </c>
    </row>
    <row r="4866" customFormat="false" ht="15" hidden="false" customHeight="false" outlineLevel="0" collapsed="false">
      <c r="A4866" s="19"/>
      <c r="B4866" s="19"/>
      <c r="C4866" s="19"/>
      <c r="D4866" s="19"/>
      <c r="E4866" s="22"/>
      <c r="F4866" s="19"/>
      <c r="G4866" s="26" t="str">
        <f aca="false">IF(D4866="","",IFERROR(VALUE(LEFT(D4866,FIND(" |",D4866&amp;" |")-1)),"?"))</f>
        <v/>
      </c>
      <c r="H4866" s="27" t="str">
        <f aca="false">IF(G4866="","",IF(G4866="?","⚠ pub inconnue",IFERROR(INDEX(Pubs!$B$2:$B$3001,MATCH(G4866,Pubs!$A$2:$A$3001,0))&amp;"","⚠ pub inconnue")))</f>
        <v/>
      </c>
      <c r="I4866" s="27" t="str">
        <f aca="false">IF(OR(G4866="",G4866="?"),"",IFERROR(INDEX(Pubs!$C$2:$C$3001,MATCH(G4866,Pubs!$A$2:$A$3001,0))&amp;"",""))</f>
        <v/>
      </c>
      <c r="J4866" s="27" t="str">
        <f aca="false">IF(OR(G4866="",G4866="?"),"",IFERROR(INDEX(Pubs!$G$2:$G$3001,MATCH(G4866,Pubs!$A$2:$A$3001,0))&amp;"",""))</f>
        <v/>
      </c>
      <c r="K4866" s="28" t="str">
        <f aca="false">IF(OR(G4866="",G4866="?"),"",IFERROR(INDEX(Pubs!$E$2:$E$3001,MATCH(G4866,Pubs!$A$2:$A$3001,0)),""))</f>
        <v/>
      </c>
      <c r="L4866" s="29" t="str">
        <f aca="false">IF(A4866="","",IFERROR(1/(1/INDEX(Numéros!$C$2:$C$3001,MATCH(A4866&amp;"|"&amp;B4866,Numéros!$F$2:$F$3001,0))),""))</f>
        <v/>
      </c>
      <c r="M4866" s="27" t="str">
        <f aca="false">IF(OR(G4866="",G4866="?"),"",IFERROR(INDEX(Pubs!$D$2:$D$3001,MATCH(G4866,Pubs!$A$2:$A$3001,0))&amp;"",""))</f>
        <v/>
      </c>
      <c r="N4866" s="27" t="n">
        <f aca="false">N(N4865)+IF(AND(A4866&lt;&gt;"",OR(Recherche!$C$4="",A4866=Recherche!$C$4),OR(Recherche!$C$5="",B4866&amp;""=Recherche!$C$5&amp;""),OR(Recherche!$C$6="",IFERROR(YEAR(L4866),0)=Recherche!$C$6),OR(Recherche!$C$7="",ISNUMBER(SEARCH(Recherche!$C$7,H4866))),OR(Recherche!$C$8="",J4866=Recherche!$C$8),OR(Recherche!$C$9="",I4866=Recherche!$C$9),OR(Recherche!$C$10="",G4866&amp;""=Recherche!$C$10&amp;""),OR(Recherche!$C$11="",E4866=Recherche!$C$11),OR(Recherche!$C$12="",ISNUMBER(SEARCH(Recherche!$C$12,M4866&amp;" "&amp;F4866)))),1,0)</f>
        <v>8</v>
      </c>
    </row>
    <row r="4867" customFormat="false" ht="15" hidden="false" customHeight="false" outlineLevel="0" collapsed="false">
      <c r="A4867" s="19"/>
      <c r="B4867" s="19"/>
      <c r="C4867" s="19"/>
      <c r="D4867" s="19"/>
      <c r="E4867" s="22"/>
      <c r="F4867" s="19"/>
      <c r="G4867" s="26" t="str">
        <f aca="false">IF(D4867="","",IFERROR(VALUE(LEFT(D4867,FIND(" |",D4867&amp;" |")-1)),"?"))</f>
        <v/>
      </c>
      <c r="H4867" s="27" t="str">
        <f aca="false">IF(G4867="","",IF(G4867="?","⚠ pub inconnue",IFERROR(INDEX(Pubs!$B$2:$B$3001,MATCH(G4867,Pubs!$A$2:$A$3001,0))&amp;"","⚠ pub inconnue")))</f>
        <v/>
      </c>
      <c r="I4867" s="27" t="str">
        <f aca="false">IF(OR(G4867="",G4867="?"),"",IFERROR(INDEX(Pubs!$C$2:$C$3001,MATCH(G4867,Pubs!$A$2:$A$3001,0))&amp;"",""))</f>
        <v/>
      </c>
      <c r="J4867" s="27" t="str">
        <f aca="false">IF(OR(G4867="",G4867="?"),"",IFERROR(INDEX(Pubs!$G$2:$G$3001,MATCH(G4867,Pubs!$A$2:$A$3001,0))&amp;"",""))</f>
        <v/>
      </c>
      <c r="K4867" s="28" t="str">
        <f aca="false">IF(OR(G4867="",G4867="?"),"",IFERROR(INDEX(Pubs!$E$2:$E$3001,MATCH(G4867,Pubs!$A$2:$A$3001,0)),""))</f>
        <v/>
      </c>
      <c r="L4867" s="29" t="str">
        <f aca="false">IF(A4867="","",IFERROR(1/(1/INDEX(Numéros!$C$2:$C$3001,MATCH(A4867&amp;"|"&amp;B4867,Numéros!$F$2:$F$3001,0))),""))</f>
        <v/>
      </c>
      <c r="M4867" s="27" t="str">
        <f aca="false">IF(OR(G4867="",G4867="?"),"",IFERROR(INDEX(Pubs!$D$2:$D$3001,MATCH(G4867,Pubs!$A$2:$A$3001,0))&amp;"",""))</f>
        <v/>
      </c>
      <c r="N4867" s="27" t="n">
        <f aca="false">N(N4866)+IF(AND(A4867&lt;&gt;"",OR(Recherche!$C$4="",A4867=Recherche!$C$4),OR(Recherche!$C$5="",B4867&amp;""=Recherche!$C$5&amp;""),OR(Recherche!$C$6="",IFERROR(YEAR(L4867),0)=Recherche!$C$6),OR(Recherche!$C$7="",ISNUMBER(SEARCH(Recherche!$C$7,H4867))),OR(Recherche!$C$8="",J4867=Recherche!$C$8),OR(Recherche!$C$9="",I4867=Recherche!$C$9),OR(Recherche!$C$10="",G4867&amp;""=Recherche!$C$10&amp;""),OR(Recherche!$C$11="",E4867=Recherche!$C$11),OR(Recherche!$C$12="",ISNUMBER(SEARCH(Recherche!$C$12,M4867&amp;" "&amp;F4867)))),1,0)</f>
        <v>8</v>
      </c>
    </row>
    <row r="4868" customFormat="false" ht="15" hidden="false" customHeight="false" outlineLevel="0" collapsed="false">
      <c r="A4868" s="19"/>
      <c r="B4868" s="19"/>
      <c r="C4868" s="19"/>
      <c r="D4868" s="19"/>
      <c r="E4868" s="22"/>
      <c r="F4868" s="19"/>
      <c r="G4868" s="26" t="str">
        <f aca="false">IF(D4868="","",IFERROR(VALUE(LEFT(D4868,FIND(" |",D4868&amp;" |")-1)),"?"))</f>
        <v/>
      </c>
      <c r="H4868" s="27" t="str">
        <f aca="false">IF(G4868="","",IF(G4868="?","⚠ pub inconnue",IFERROR(INDEX(Pubs!$B$2:$B$3001,MATCH(G4868,Pubs!$A$2:$A$3001,0))&amp;"","⚠ pub inconnue")))</f>
        <v/>
      </c>
      <c r="I4868" s="27" t="str">
        <f aca="false">IF(OR(G4868="",G4868="?"),"",IFERROR(INDEX(Pubs!$C$2:$C$3001,MATCH(G4868,Pubs!$A$2:$A$3001,0))&amp;"",""))</f>
        <v/>
      </c>
      <c r="J4868" s="27" t="str">
        <f aca="false">IF(OR(G4868="",G4868="?"),"",IFERROR(INDEX(Pubs!$G$2:$G$3001,MATCH(G4868,Pubs!$A$2:$A$3001,0))&amp;"",""))</f>
        <v/>
      </c>
      <c r="K4868" s="28" t="str">
        <f aca="false">IF(OR(G4868="",G4868="?"),"",IFERROR(INDEX(Pubs!$E$2:$E$3001,MATCH(G4868,Pubs!$A$2:$A$3001,0)),""))</f>
        <v/>
      </c>
      <c r="L4868" s="29" t="str">
        <f aca="false">IF(A4868="","",IFERROR(1/(1/INDEX(Numéros!$C$2:$C$3001,MATCH(A4868&amp;"|"&amp;B4868,Numéros!$F$2:$F$3001,0))),""))</f>
        <v/>
      </c>
      <c r="M4868" s="27" t="str">
        <f aca="false">IF(OR(G4868="",G4868="?"),"",IFERROR(INDEX(Pubs!$D$2:$D$3001,MATCH(G4868,Pubs!$A$2:$A$3001,0))&amp;"",""))</f>
        <v/>
      </c>
      <c r="N4868" s="27" t="n">
        <f aca="false">N(N4867)+IF(AND(A4868&lt;&gt;"",OR(Recherche!$C$4="",A4868=Recherche!$C$4),OR(Recherche!$C$5="",B4868&amp;""=Recherche!$C$5&amp;""),OR(Recherche!$C$6="",IFERROR(YEAR(L4868),0)=Recherche!$C$6),OR(Recherche!$C$7="",ISNUMBER(SEARCH(Recherche!$C$7,H4868))),OR(Recherche!$C$8="",J4868=Recherche!$C$8),OR(Recherche!$C$9="",I4868=Recherche!$C$9),OR(Recherche!$C$10="",G4868&amp;""=Recherche!$C$10&amp;""),OR(Recherche!$C$11="",E4868=Recherche!$C$11),OR(Recherche!$C$12="",ISNUMBER(SEARCH(Recherche!$C$12,M4868&amp;" "&amp;F4868)))),1,0)</f>
        <v>8</v>
      </c>
    </row>
    <row r="4869" customFormat="false" ht="15" hidden="false" customHeight="false" outlineLevel="0" collapsed="false">
      <c r="A4869" s="19"/>
      <c r="B4869" s="19"/>
      <c r="C4869" s="19"/>
      <c r="D4869" s="19"/>
      <c r="E4869" s="22"/>
      <c r="F4869" s="19"/>
      <c r="G4869" s="26" t="str">
        <f aca="false">IF(D4869="","",IFERROR(VALUE(LEFT(D4869,FIND(" |",D4869&amp;" |")-1)),"?"))</f>
        <v/>
      </c>
      <c r="H4869" s="27" t="str">
        <f aca="false">IF(G4869="","",IF(G4869="?","⚠ pub inconnue",IFERROR(INDEX(Pubs!$B$2:$B$3001,MATCH(G4869,Pubs!$A$2:$A$3001,0))&amp;"","⚠ pub inconnue")))</f>
        <v/>
      </c>
      <c r="I4869" s="27" t="str">
        <f aca="false">IF(OR(G4869="",G4869="?"),"",IFERROR(INDEX(Pubs!$C$2:$C$3001,MATCH(G4869,Pubs!$A$2:$A$3001,0))&amp;"",""))</f>
        <v/>
      </c>
      <c r="J4869" s="27" t="str">
        <f aca="false">IF(OR(G4869="",G4869="?"),"",IFERROR(INDEX(Pubs!$G$2:$G$3001,MATCH(G4869,Pubs!$A$2:$A$3001,0))&amp;"",""))</f>
        <v/>
      </c>
      <c r="K4869" s="28" t="str">
        <f aca="false">IF(OR(G4869="",G4869="?"),"",IFERROR(INDEX(Pubs!$E$2:$E$3001,MATCH(G4869,Pubs!$A$2:$A$3001,0)),""))</f>
        <v/>
      </c>
      <c r="L4869" s="29" t="str">
        <f aca="false">IF(A4869="","",IFERROR(1/(1/INDEX(Numéros!$C$2:$C$3001,MATCH(A4869&amp;"|"&amp;B4869,Numéros!$F$2:$F$3001,0))),""))</f>
        <v/>
      </c>
      <c r="M4869" s="27" t="str">
        <f aca="false">IF(OR(G4869="",G4869="?"),"",IFERROR(INDEX(Pubs!$D$2:$D$3001,MATCH(G4869,Pubs!$A$2:$A$3001,0))&amp;"",""))</f>
        <v/>
      </c>
      <c r="N4869" s="27" t="n">
        <f aca="false">N(N4868)+IF(AND(A4869&lt;&gt;"",OR(Recherche!$C$4="",A4869=Recherche!$C$4),OR(Recherche!$C$5="",B4869&amp;""=Recherche!$C$5&amp;""),OR(Recherche!$C$6="",IFERROR(YEAR(L4869),0)=Recherche!$C$6),OR(Recherche!$C$7="",ISNUMBER(SEARCH(Recherche!$C$7,H4869))),OR(Recherche!$C$8="",J4869=Recherche!$C$8),OR(Recherche!$C$9="",I4869=Recherche!$C$9),OR(Recherche!$C$10="",G4869&amp;""=Recherche!$C$10&amp;""),OR(Recherche!$C$11="",E4869=Recherche!$C$11),OR(Recherche!$C$12="",ISNUMBER(SEARCH(Recherche!$C$12,M4869&amp;" "&amp;F4869)))),1,0)</f>
        <v>8</v>
      </c>
    </row>
    <row r="4870" customFormat="false" ht="15" hidden="false" customHeight="false" outlineLevel="0" collapsed="false">
      <c r="A4870" s="19"/>
      <c r="B4870" s="19"/>
      <c r="C4870" s="19"/>
      <c r="D4870" s="19"/>
      <c r="E4870" s="22"/>
      <c r="F4870" s="19"/>
      <c r="G4870" s="26" t="str">
        <f aca="false">IF(D4870="","",IFERROR(VALUE(LEFT(D4870,FIND(" |",D4870&amp;" |")-1)),"?"))</f>
        <v/>
      </c>
      <c r="H4870" s="27" t="str">
        <f aca="false">IF(G4870="","",IF(G4870="?","⚠ pub inconnue",IFERROR(INDEX(Pubs!$B$2:$B$3001,MATCH(G4870,Pubs!$A$2:$A$3001,0))&amp;"","⚠ pub inconnue")))</f>
        <v/>
      </c>
      <c r="I4870" s="27" t="str">
        <f aca="false">IF(OR(G4870="",G4870="?"),"",IFERROR(INDEX(Pubs!$C$2:$C$3001,MATCH(G4870,Pubs!$A$2:$A$3001,0))&amp;"",""))</f>
        <v/>
      </c>
      <c r="J4870" s="27" t="str">
        <f aca="false">IF(OR(G4870="",G4870="?"),"",IFERROR(INDEX(Pubs!$G$2:$G$3001,MATCH(G4870,Pubs!$A$2:$A$3001,0))&amp;"",""))</f>
        <v/>
      </c>
      <c r="K4870" s="28" t="str">
        <f aca="false">IF(OR(G4870="",G4870="?"),"",IFERROR(INDEX(Pubs!$E$2:$E$3001,MATCH(G4870,Pubs!$A$2:$A$3001,0)),""))</f>
        <v/>
      </c>
      <c r="L4870" s="29" t="str">
        <f aca="false">IF(A4870="","",IFERROR(1/(1/INDEX(Numéros!$C$2:$C$3001,MATCH(A4870&amp;"|"&amp;B4870,Numéros!$F$2:$F$3001,0))),""))</f>
        <v/>
      </c>
      <c r="M4870" s="27" t="str">
        <f aca="false">IF(OR(G4870="",G4870="?"),"",IFERROR(INDEX(Pubs!$D$2:$D$3001,MATCH(G4870,Pubs!$A$2:$A$3001,0))&amp;"",""))</f>
        <v/>
      </c>
      <c r="N4870" s="27" t="n">
        <f aca="false">N(N4869)+IF(AND(A4870&lt;&gt;"",OR(Recherche!$C$4="",A4870=Recherche!$C$4),OR(Recherche!$C$5="",B4870&amp;""=Recherche!$C$5&amp;""),OR(Recherche!$C$6="",IFERROR(YEAR(L4870),0)=Recherche!$C$6),OR(Recherche!$C$7="",ISNUMBER(SEARCH(Recherche!$C$7,H4870))),OR(Recherche!$C$8="",J4870=Recherche!$C$8),OR(Recherche!$C$9="",I4870=Recherche!$C$9),OR(Recherche!$C$10="",G4870&amp;""=Recherche!$C$10&amp;""),OR(Recherche!$C$11="",E4870=Recherche!$C$11),OR(Recherche!$C$12="",ISNUMBER(SEARCH(Recherche!$C$12,M4870&amp;" "&amp;F4870)))),1,0)</f>
        <v>8</v>
      </c>
    </row>
    <row r="4871" customFormat="false" ht="15" hidden="false" customHeight="false" outlineLevel="0" collapsed="false">
      <c r="A4871" s="19"/>
      <c r="B4871" s="19"/>
      <c r="C4871" s="19"/>
      <c r="D4871" s="19"/>
      <c r="E4871" s="22"/>
      <c r="F4871" s="19"/>
      <c r="G4871" s="26" t="str">
        <f aca="false">IF(D4871="","",IFERROR(VALUE(LEFT(D4871,FIND(" |",D4871&amp;" |")-1)),"?"))</f>
        <v/>
      </c>
      <c r="H4871" s="27" t="str">
        <f aca="false">IF(G4871="","",IF(G4871="?","⚠ pub inconnue",IFERROR(INDEX(Pubs!$B$2:$B$3001,MATCH(G4871,Pubs!$A$2:$A$3001,0))&amp;"","⚠ pub inconnue")))</f>
        <v/>
      </c>
      <c r="I4871" s="27" t="str">
        <f aca="false">IF(OR(G4871="",G4871="?"),"",IFERROR(INDEX(Pubs!$C$2:$C$3001,MATCH(G4871,Pubs!$A$2:$A$3001,0))&amp;"",""))</f>
        <v/>
      </c>
      <c r="J4871" s="27" t="str">
        <f aca="false">IF(OR(G4871="",G4871="?"),"",IFERROR(INDEX(Pubs!$G$2:$G$3001,MATCH(G4871,Pubs!$A$2:$A$3001,0))&amp;"",""))</f>
        <v/>
      </c>
      <c r="K4871" s="28" t="str">
        <f aca="false">IF(OR(G4871="",G4871="?"),"",IFERROR(INDEX(Pubs!$E$2:$E$3001,MATCH(G4871,Pubs!$A$2:$A$3001,0)),""))</f>
        <v/>
      </c>
      <c r="L4871" s="29" t="str">
        <f aca="false">IF(A4871="","",IFERROR(1/(1/INDEX(Numéros!$C$2:$C$3001,MATCH(A4871&amp;"|"&amp;B4871,Numéros!$F$2:$F$3001,0))),""))</f>
        <v/>
      </c>
      <c r="M4871" s="27" t="str">
        <f aca="false">IF(OR(G4871="",G4871="?"),"",IFERROR(INDEX(Pubs!$D$2:$D$3001,MATCH(G4871,Pubs!$A$2:$A$3001,0))&amp;"",""))</f>
        <v/>
      </c>
      <c r="N4871" s="27" t="n">
        <f aca="false">N(N4870)+IF(AND(A4871&lt;&gt;"",OR(Recherche!$C$4="",A4871=Recherche!$C$4),OR(Recherche!$C$5="",B4871&amp;""=Recherche!$C$5&amp;""),OR(Recherche!$C$6="",IFERROR(YEAR(L4871),0)=Recherche!$C$6),OR(Recherche!$C$7="",ISNUMBER(SEARCH(Recherche!$C$7,H4871))),OR(Recherche!$C$8="",J4871=Recherche!$C$8),OR(Recherche!$C$9="",I4871=Recherche!$C$9),OR(Recherche!$C$10="",G4871&amp;""=Recherche!$C$10&amp;""),OR(Recherche!$C$11="",E4871=Recherche!$C$11),OR(Recherche!$C$12="",ISNUMBER(SEARCH(Recherche!$C$12,M4871&amp;" "&amp;F4871)))),1,0)</f>
        <v>8</v>
      </c>
    </row>
    <row r="4872" customFormat="false" ht="15" hidden="false" customHeight="false" outlineLevel="0" collapsed="false">
      <c r="A4872" s="19"/>
      <c r="B4872" s="19"/>
      <c r="C4872" s="19"/>
      <c r="D4872" s="19"/>
      <c r="E4872" s="22"/>
      <c r="F4872" s="19"/>
      <c r="G4872" s="26" t="str">
        <f aca="false">IF(D4872="","",IFERROR(VALUE(LEFT(D4872,FIND(" |",D4872&amp;" |")-1)),"?"))</f>
        <v/>
      </c>
      <c r="H4872" s="27" t="str">
        <f aca="false">IF(G4872="","",IF(G4872="?","⚠ pub inconnue",IFERROR(INDEX(Pubs!$B$2:$B$3001,MATCH(G4872,Pubs!$A$2:$A$3001,0))&amp;"","⚠ pub inconnue")))</f>
        <v/>
      </c>
      <c r="I4872" s="27" t="str">
        <f aca="false">IF(OR(G4872="",G4872="?"),"",IFERROR(INDEX(Pubs!$C$2:$C$3001,MATCH(G4872,Pubs!$A$2:$A$3001,0))&amp;"",""))</f>
        <v/>
      </c>
      <c r="J4872" s="27" t="str">
        <f aca="false">IF(OR(G4872="",G4872="?"),"",IFERROR(INDEX(Pubs!$G$2:$G$3001,MATCH(G4872,Pubs!$A$2:$A$3001,0))&amp;"",""))</f>
        <v/>
      </c>
      <c r="K4872" s="28" t="str">
        <f aca="false">IF(OR(G4872="",G4872="?"),"",IFERROR(INDEX(Pubs!$E$2:$E$3001,MATCH(G4872,Pubs!$A$2:$A$3001,0)),""))</f>
        <v/>
      </c>
      <c r="L4872" s="29" t="str">
        <f aca="false">IF(A4872="","",IFERROR(1/(1/INDEX(Numéros!$C$2:$C$3001,MATCH(A4872&amp;"|"&amp;B4872,Numéros!$F$2:$F$3001,0))),""))</f>
        <v/>
      </c>
      <c r="M4872" s="27" t="str">
        <f aca="false">IF(OR(G4872="",G4872="?"),"",IFERROR(INDEX(Pubs!$D$2:$D$3001,MATCH(G4872,Pubs!$A$2:$A$3001,0))&amp;"",""))</f>
        <v/>
      </c>
      <c r="N4872" s="27" t="n">
        <f aca="false">N(N4871)+IF(AND(A4872&lt;&gt;"",OR(Recherche!$C$4="",A4872=Recherche!$C$4),OR(Recherche!$C$5="",B4872&amp;""=Recherche!$C$5&amp;""),OR(Recherche!$C$6="",IFERROR(YEAR(L4872),0)=Recherche!$C$6),OR(Recherche!$C$7="",ISNUMBER(SEARCH(Recherche!$C$7,H4872))),OR(Recherche!$C$8="",J4872=Recherche!$C$8),OR(Recherche!$C$9="",I4872=Recherche!$C$9),OR(Recherche!$C$10="",G4872&amp;""=Recherche!$C$10&amp;""),OR(Recherche!$C$11="",E4872=Recherche!$C$11),OR(Recherche!$C$12="",ISNUMBER(SEARCH(Recherche!$C$12,M4872&amp;" "&amp;F4872)))),1,0)</f>
        <v>8</v>
      </c>
    </row>
    <row r="4873" customFormat="false" ht="15" hidden="false" customHeight="false" outlineLevel="0" collapsed="false">
      <c r="A4873" s="19"/>
      <c r="B4873" s="19"/>
      <c r="C4873" s="19"/>
      <c r="D4873" s="19"/>
      <c r="E4873" s="22"/>
      <c r="F4873" s="19"/>
      <c r="G4873" s="26" t="str">
        <f aca="false">IF(D4873="","",IFERROR(VALUE(LEFT(D4873,FIND(" |",D4873&amp;" |")-1)),"?"))</f>
        <v/>
      </c>
      <c r="H4873" s="27" t="str">
        <f aca="false">IF(G4873="","",IF(G4873="?","⚠ pub inconnue",IFERROR(INDEX(Pubs!$B$2:$B$3001,MATCH(G4873,Pubs!$A$2:$A$3001,0))&amp;"","⚠ pub inconnue")))</f>
        <v/>
      </c>
      <c r="I4873" s="27" t="str">
        <f aca="false">IF(OR(G4873="",G4873="?"),"",IFERROR(INDEX(Pubs!$C$2:$C$3001,MATCH(G4873,Pubs!$A$2:$A$3001,0))&amp;"",""))</f>
        <v/>
      </c>
      <c r="J4873" s="27" t="str">
        <f aca="false">IF(OR(G4873="",G4873="?"),"",IFERROR(INDEX(Pubs!$G$2:$G$3001,MATCH(G4873,Pubs!$A$2:$A$3001,0))&amp;"",""))</f>
        <v/>
      </c>
      <c r="K4873" s="28" t="str">
        <f aca="false">IF(OR(G4873="",G4873="?"),"",IFERROR(INDEX(Pubs!$E$2:$E$3001,MATCH(G4873,Pubs!$A$2:$A$3001,0)),""))</f>
        <v/>
      </c>
      <c r="L4873" s="29" t="str">
        <f aca="false">IF(A4873="","",IFERROR(1/(1/INDEX(Numéros!$C$2:$C$3001,MATCH(A4873&amp;"|"&amp;B4873,Numéros!$F$2:$F$3001,0))),""))</f>
        <v/>
      </c>
      <c r="M4873" s="27" t="str">
        <f aca="false">IF(OR(G4873="",G4873="?"),"",IFERROR(INDEX(Pubs!$D$2:$D$3001,MATCH(G4873,Pubs!$A$2:$A$3001,0))&amp;"",""))</f>
        <v/>
      </c>
      <c r="N4873" s="27" t="n">
        <f aca="false">N(N4872)+IF(AND(A4873&lt;&gt;"",OR(Recherche!$C$4="",A4873=Recherche!$C$4),OR(Recherche!$C$5="",B4873&amp;""=Recherche!$C$5&amp;""),OR(Recherche!$C$6="",IFERROR(YEAR(L4873),0)=Recherche!$C$6),OR(Recherche!$C$7="",ISNUMBER(SEARCH(Recherche!$C$7,H4873))),OR(Recherche!$C$8="",J4873=Recherche!$C$8),OR(Recherche!$C$9="",I4873=Recherche!$C$9),OR(Recherche!$C$10="",G4873&amp;""=Recherche!$C$10&amp;""),OR(Recherche!$C$11="",E4873=Recherche!$C$11),OR(Recherche!$C$12="",ISNUMBER(SEARCH(Recherche!$C$12,M4873&amp;" "&amp;F4873)))),1,0)</f>
        <v>8</v>
      </c>
    </row>
    <row r="4874" customFormat="false" ht="15" hidden="false" customHeight="false" outlineLevel="0" collapsed="false">
      <c r="A4874" s="19"/>
      <c r="B4874" s="19"/>
      <c r="C4874" s="19"/>
      <c r="D4874" s="19"/>
      <c r="E4874" s="22"/>
      <c r="F4874" s="19"/>
      <c r="G4874" s="26" t="str">
        <f aca="false">IF(D4874="","",IFERROR(VALUE(LEFT(D4874,FIND(" |",D4874&amp;" |")-1)),"?"))</f>
        <v/>
      </c>
      <c r="H4874" s="27" t="str">
        <f aca="false">IF(G4874="","",IF(G4874="?","⚠ pub inconnue",IFERROR(INDEX(Pubs!$B$2:$B$3001,MATCH(G4874,Pubs!$A$2:$A$3001,0))&amp;"","⚠ pub inconnue")))</f>
        <v/>
      </c>
      <c r="I4874" s="27" t="str">
        <f aca="false">IF(OR(G4874="",G4874="?"),"",IFERROR(INDEX(Pubs!$C$2:$C$3001,MATCH(G4874,Pubs!$A$2:$A$3001,0))&amp;"",""))</f>
        <v/>
      </c>
      <c r="J4874" s="27" t="str">
        <f aca="false">IF(OR(G4874="",G4874="?"),"",IFERROR(INDEX(Pubs!$G$2:$G$3001,MATCH(G4874,Pubs!$A$2:$A$3001,0))&amp;"",""))</f>
        <v/>
      </c>
      <c r="K4874" s="28" t="str">
        <f aca="false">IF(OR(G4874="",G4874="?"),"",IFERROR(INDEX(Pubs!$E$2:$E$3001,MATCH(G4874,Pubs!$A$2:$A$3001,0)),""))</f>
        <v/>
      </c>
      <c r="L4874" s="29" t="str">
        <f aca="false">IF(A4874="","",IFERROR(1/(1/INDEX(Numéros!$C$2:$C$3001,MATCH(A4874&amp;"|"&amp;B4874,Numéros!$F$2:$F$3001,0))),""))</f>
        <v/>
      </c>
      <c r="M4874" s="27" t="str">
        <f aca="false">IF(OR(G4874="",G4874="?"),"",IFERROR(INDEX(Pubs!$D$2:$D$3001,MATCH(G4874,Pubs!$A$2:$A$3001,0))&amp;"",""))</f>
        <v/>
      </c>
      <c r="N4874" s="27" t="n">
        <f aca="false">N(N4873)+IF(AND(A4874&lt;&gt;"",OR(Recherche!$C$4="",A4874=Recherche!$C$4),OR(Recherche!$C$5="",B4874&amp;""=Recherche!$C$5&amp;""),OR(Recherche!$C$6="",IFERROR(YEAR(L4874),0)=Recherche!$C$6),OR(Recherche!$C$7="",ISNUMBER(SEARCH(Recherche!$C$7,H4874))),OR(Recherche!$C$8="",J4874=Recherche!$C$8),OR(Recherche!$C$9="",I4874=Recherche!$C$9),OR(Recherche!$C$10="",G4874&amp;""=Recherche!$C$10&amp;""),OR(Recherche!$C$11="",E4874=Recherche!$C$11),OR(Recherche!$C$12="",ISNUMBER(SEARCH(Recherche!$C$12,M4874&amp;" "&amp;F4874)))),1,0)</f>
        <v>8</v>
      </c>
    </row>
    <row r="4875" customFormat="false" ht="15" hidden="false" customHeight="false" outlineLevel="0" collapsed="false">
      <c r="A4875" s="19"/>
      <c r="B4875" s="19"/>
      <c r="C4875" s="19"/>
      <c r="D4875" s="19"/>
      <c r="E4875" s="22"/>
      <c r="F4875" s="19"/>
      <c r="G4875" s="26" t="str">
        <f aca="false">IF(D4875="","",IFERROR(VALUE(LEFT(D4875,FIND(" |",D4875&amp;" |")-1)),"?"))</f>
        <v/>
      </c>
      <c r="H4875" s="27" t="str">
        <f aca="false">IF(G4875="","",IF(G4875="?","⚠ pub inconnue",IFERROR(INDEX(Pubs!$B$2:$B$3001,MATCH(G4875,Pubs!$A$2:$A$3001,0))&amp;"","⚠ pub inconnue")))</f>
        <v/>
      </c>
      <c r="I4875" s="27" t="str">
        <f aca="false">IF(OR(G4875="",G4875="?"),"",IFERROR(INDEX(Pubs!$C$2:$C$3001,MATCH(G4875,Pubs!$A$2:$A$3001,0))&amp;"",""))</f>
        <v/>
      </c>
      <c r="J4875" s="27" t="str">
        <f aca="false">IF(OR(G4875="",G4875="?"),"",IFERROR(INDEX(Pubs!$G$2:$G$3001,MATCH(G4875,Pubs!$A$2:$A$3001,0))&amp;"",""))</f>
        <v/>
      </c>
      <c r="K4875" s="28" t="str">
        <f aca="false">IF(OR(G4875="",G4875="?"),"",IFERROR(INDEX(Pubs!$E$2:$E$3001,MATCH(G4875,Pubs!$A$2:$A$3001,0)),""))</f>
        <v/>
      </c>
      <c r="L4875" s="29" t="str">
        <f aca="false">IF(A4875="","",IFERROR(1/(1/INDEX(Numéros!$C$2:$C$3001,MATCH(A4875&amp;"|"&amp;B4875,Numéros!$F$2:$F$3001,0))),""))</f>
        <v/>
      </c>
      <c r="M4875" s="27" t="str">
        <f aca="false">IF(OR(G4875="",G4875="?"),"",IFERROR(INDEX(Pubs!$D$2:$D$3001,MATCH(G4875,Pubs!$A$2:$A$3001,0))&amp;"",""))</f>
        <v/>
      </c>
      <c r="N4875" s="27" t="n">
        <f aca="false">N(N4874)+IF(AND(A4875&lt;&gt;"",OR(Recherche!$C$4="",A4875=Recherche!$C$4),OR(Recherche!$C$5="",B4875&amp;""=Recherche!$C$5&amp;""),OR(Recherche!$C$6="",IFERROR(YEAR(L4875),0)=Recherche!$C$6),OR(Recherche!$C$7="",ISNUMBER(SEARCH(Recherche!$C$7,H4875))),OR(Recherche!$C$8="",J4875=Recherche!$C$8),OR(Recherche!$C$9="",I4875=Recherche!$C$9),OR(Recherche!$C$10="",G4875&amp;""=Recherche!$C$10&amp;""),OR(Recherche!$C$11="",E4875=Recherche!$C$11),OR(Recherche!$C$12="",ISNUMBER(SEARCH(Recherche!$C$12,M4875&amp;" "&amp;F4875)))),1,0)</f>
        <v>8</v>
      </c>
    </row>
    <row r="4876" customFormat="false" ht="15" hidden="false" customHeight="false" outlineLevel="0" collapsed="false">
      <c r="A4876" s="19"/>
      <c r="B4876" s="19"/>
      <c r="C4876" s="19"/>
      <c r="D4876" s="19"/>
      <c r="E4876" s="22"/>
      <c r="F4876" s="19"/>
      <c r="G4876" s="26" t="str">
        <f aca="false">IF(D4876="","",IFERROR(VALUE(LEFT(D4876,FIND(" |",D4876&amp;" |")-1)),"?"))</f>
        <v/>
      </c>
      <c r="H4876" s="27" t="str">
        <f aca="false">IF(G4876="","",IF(G4876="?","⚠ pub inconnue",IFERROR(INDEX(Pubs!$B$2:$B$3001,MATCH(G4876,Pubs!$A$2:$A$3001,0))&amp;"","⚠ pub inconnue")))</f>
        <v/>
      </c>
      <c r="I4876" s="27" t="str">
        <f aca="false">IF(OR(G4876="",G4876="?"),"",IFERROR(INDEX(Pubs!$C$2:$C$3001,MATCH(G4876,Pubs!$A$2:$A$3001,0))&amp;"",""))</f>
        <v/>
      </c>
      <c r="J4876" s="27" t="str">
        <f aca="false">IF(OR(G4876="",G4876="?"),"",IFERROR(INDEX(Pubs!$G$2:$G$3001,MATCH(G4876,Pubs!$A$2:$A$3001,0))&amp;"",""))</f>
        <v/>
      </c>
      <c r="K4876" s="28" t="str">
        <f aca="false">IF(OR(G4876="",G4876="?"),"",IFERROR(INDEX(Pubs!$E$2:$E$3001,MATCH(G4876,Pubs!$A$2:$A$3001,0)),""))</f>
        <v/>
      </c>
      <c r="L4876" s="29" t="str">
        <f aca="false">IF(A4876="","",IFERROR(1/(1/INDEX(Numéros!$C$2:$C$3001,MATCH(A4876&amp;"|"&amp;B4876,Numéros!$F$2:$F$3001,0))),""))</f>
        <v/>
      </c>
      <c r="M4876" s="27" t="str">
        <f aca="false">IF(OR(G4876="",G4876="?"),"",IFERROR(INDEX(Pubs!$D$2:$D$3001,MATCH(G4876,Pubs!$A$2:$A$3001,0))&amp;"",""))</f>
        <v/>
      </c>
      <c r="N4876" s="27" t="n">
        <f aca="false">N(N4875)+IF(AND(A4876&lt;&gt;"",OR(Recherche!$C$4="",A4876=Recherche!$C$4),OR(Recherche!$C$5="",B4876&amp;""=Recherche!$C$5&amp;""),OR(Recherche!$C$6="",IFERROR(YEAR(L4876),0)=Recherche!$C$6),OR(Recherche!$C$7="",ISNUMBER(SEARCH(Recherche!$C$7,H4876))),OR(Recherche!$C$8="",J4876=Recherche!$C$8),OR(Recherche!$C$9="",I4876=Recherche!$C$9),OR(Recherche!$C$10="",G4876&amp;""=Recherche!$C$10&amp;""),OR(Recherche!$C$11="",E4876=Recherche!$C$11),OR(Recherche!$C$12="",ISNUMBER(SEARCH(Recherche!$C$12,M4876&amp;" "&amp;F4876)))),1,0)</f>
        <v>8</v>
      </c>
    </row>
    <row r="4877" customFormat="false" ht="15" hidden="false" customHeight="false" outlineLevel="0" collapsed="false">
      <c r="A4877" s="19"/>
      <c r="B4877" s="19"/>
      <c r="C4877" s="19"/>
      <c r="D4877" s="19"/>
      <c r="E4877" s="22"/>
      <c r="F4877" s="19"/>
      <c r="G4877" s="26" t="str">
        <f aca="false">IF(D4877="","",IFERROR(VALUE(LEFT(D4877,FIND(" |",D4877&amp;" |")-1)),"?"))</f>
        <v/>
      </c>
      <c r="H4877" s="27" t="str">
        <f aca="false">IF(G4877="","",IF(G4877="?","⚠ pub inconnue",IFERROR(INDEX(Pubs!$B$2:$B$3001,MATCH(G4877,Pubs!$A$2:$A$3001,0))&amp;"","⚠ pub inconnue")))</f>
        <v/>
      </c>
      <c r="I4877" s="27" t="str">
        <f aca="false">IF(OR(G4877="",G4877="?"),"",IFERROR(INDEX(Pubs!$C$2:$C$3001,MATCH(G4877,Pubs!$A$2:$A$3001,0))&amp;"",""))</f>
        <v/>
      </c>
      <c r="J4877" s="27" t="str">
        <f aca="false">IF(OR(G4877="",G4877="?"),"",IFERROR(INDEX(Pubs!$G$2:$G$3001,MATCH(G4877,Pubs!$A$2:$A$3001,0))&amp;"",""))</f>
        <v/>
      </c>
      <c r="K4877" s="28" t="str">
        <f aca="false">IF(OR(G4877="",G4877="?"),"",IFERROR(INDEX(Pubs!$E$2:$E$3001,MATCH(G4877,Pubs!$A$2:$A$3001,0)),""))</f>
        <v/>
      </c>
      <c r="L4877" s="29" t="str">
        <f aca="false">IF(A4877="","",IFERROR(1/(1/INDEX(Numéros!$C$2:$C$3001,MATCH(A4877&amp;"|"&amp;B4877,Numéros!$F$2:$F$3001,0))),""))</f>
        <v/>
      </c>
      <c r="M4877" s="27" t="str">
        <f aca="false">IF(OR(G4877="",G4877="?"),"",IFERROR(INDEX(Pubs!$D$2:$D$3001,MATCH(G4877,Pubs!$A$2:$A$3001,0))&amp;"",""))</f>
        <v/>
      </c>
      <c r="N4877" s="27" t="n">
        <f aca="false">N(N4876)+IF(AND(A4877&lt;&gt;"",OR(Recherche!$C$4="",A4877=Recherche!$C$4),OR(Recherche!$C$5="",B4877&amp;""=Recherche!$C$5&amp;""),OR(Recherche!$C$6="",IFERROR(YEAR(L4877),0)=Recherche!$C$6),OR(Recherche!$C$7="",ISNUMBER(SEARCH(Recherche!$C$7,H4877))),OR(Recherche!$C$8="",J4877=Recherche!$C$8),OR(Recherche!$C$9="",I4877=Recherche!$C$9),OR(Recherche!$C$10="",G4877&amp;""=Recherche!$C$10&amp;""),OR(Recherche!$C$11="",E4877=Recherche!$C$11),OR(Recherche!$C$12="",ISNUMBER(SEARCH(Recherche!$C$12,M4877&amp;" "&amp;F4877)))),1,0)</f>
        <v>8</v>
      </c>
    </row>
    <row r="4878" customFormat="false" ht="15" hidden="false" customHeight="false" outlineLevel="0" collapsed="false">
      <c r="A4878" s="19"/>
      <c r="B4878" s="19"/>
      <c r="C4878" s="19"/>
      <c r="D4878" s="19"/>
      <c r="E4878" s="22"/>
      <c r="F4878" s="19"/>
      <c r="G4878" s="26" t="str">
        <f aca="false">IF(D4878="","",IFERROR(VALUE(LEFT(D4878,FIND(" |",D4878&amp;" |")-1)),"?"))</f>
        <v/>
      </c>
      <c r="H4878" s="27" t="str">
        <f aca="false">IF(G4878="","",IF(G4878="?","⚠ pub inconnue",IFERROR(INDEX(Pubs!$B$2:$B$3001,MATCH(G4878,Pubs!$A$2:$A$3001,0))&amp;"","⚠ pub inconnue")))</f>
        <v/>
      </c>
      <c r="I4878" s="27" t="str">
        <f aca="false">IF(OR(G4878="",G4878="?"),"",IFERROR(INDEX(Pubs!$C$2:$C$3001,MATCH(G4878,Pubs!$A$2:$A$3001,0))&amp;"",""))</f>
        <v/>
      </c>
      <c r="J4878" s="27" t="str">
        <f aca="false">IF(OR(G4878="",G4878="?"),"",IFERROR(INDEX(Pubs!$G$2:$G$3001,MATCH(G4878,Pubs!$A$2:$A$3001,0))&amp;"",""))</f>
        <v/>
      </c>
      <c r="K4878" s="28" t="str">
        <f aca="false">IF(OR(G4878="",G4878="?"),"",IFERROR(INDEX(Pubs!$E$2:$E$3001,MATCH(G4878,Pubs!$A$2:$A$3001,0)),""))</f>
        <v/>
      </c>
      <c r="L4878" s="29" t="str">
        <f aca="false">IF(A4878="","",IFERROR(1/(1/INDEX(Numéros!$C$2:$C$3001,MATCH(A4878&amp;"|"&amp;B4878,Numéros!$F$2:$F$3001,0))),""))</f>
        <v/>
      </c>
      <c r="M4878" s="27" t="str">
        <f aca="false">IF(OR(G4878="",G4878="?"),"",IFERROR(INDEX(Pubs!$D$2:$D$3001,MATCH(G4878,Pubs!$A$2:$A$3001,0))&amp;"",""))</f>
        <v/>
      </c>
      <c r="N4878" s="27" t="n">
        <f aca="false">N(N4877)+IF(AND(A4878&lt;&gt;"",OR(Recherche!$C$4="",A4878=Recherche!$C$4),OR(Recherche!$C$5="",B4878&amp;""=Recherche!$C$5&amp;""),OR(Recherche!$C$6="",IFERROR(YEAR(L4878),0)=Recherche!$C$6),OR(Recherche!$C$7="",ISNUMBER(SEARCH(Recherche!$C$7,H4878))),OR(Recherche!$C$8="",J4878=Recherche!$C$8),OR(Recherche!$C$9="",I4878=Recherche!$C$9),OR(Recherche!$C$10="",G4878&amp;""=Recherche!$C$10&amp;""),OR(Recherche!$C$11="",E4878=Recherche!$C$11),OR(Recherche!$C$12="",ISNUMBER(SEARCH(Recherche!$C$12,M4878&amp;" "&amp;F4878)))),1,0)</f>
        <v>8</v>
      </c>
    </row>
    <row r="4879" customFormat="false" ht="15" hidden="false" customHeight="false" outlineLevel="0" collapsed="false">
      <c r="A4879" s="19"/>
      <c r="B4879" s="19"/>
      <c r="C4879" s="19"/>
      <c r="D4879" s="19"/>
      <c r="E4879" s="22"/>
      <c r="F4879" s="19"/>
      <c r="G4879" s="26" t="str">
        <f aca="false">IF(D4879="","",IFERROR(VALUE(LEFT(D4879,FIND(" |",D4879&amp;" |")-1)),"?"))</f>
        <v/>
      </c>
      <c r="H4879" s="27" t="str">
        <f aca="false">IF(G4879="","",IF(G4879="?","⚠ pub inconnue",IFERROR(INDEX(Pubs!$B$2:$B$3001,MATCH(G4879,Pubs!$A$2:$A$3001,0))&amp;"","⚠ pub inconnue")))</f>
        <v/>
      </c>
      <c r="I4879" s="27" t="str">
        <f aca="false">IF(OR(G4879="",G4879="?"),"",IFERROR(INDEX(Pubs!$C$2:$C$3001,MATCH(G4879,Pubs!$A$2:$A$3001,0))&amp;"",""))</f>
        <v/>
      </c>
      <c r="J4879" s="27" t="str">
        <f aca="false">IF(OR(G4879="",G4879="?"),"",IFERROR(INDEX(Pubs!$G$2:$G$3001,MATCH(G4879,Pubs!$A$2:$A$3001,0))&amp;"",""))</f>
        <v/>
      </c>
      <c r="K4879" s="28" t="str">
        <f aca="false">IF(OR(G4879="",G4879="?"),"",IFERROR(INDEX(Pubs!$E$2:$E$3001,MATCH(G4879,Pubs!$A$2:$A$3001,0)),""))</f>
        <v/>
      </c>
      <c r="L4879" s="29" t="str">
        <f aca="false">IF(A4879="","",IFERROR(1/(1/INDEX(Numéros!$C$2:$C$3001,MATCH(A4879&amp;"|"&amp;B4879,Numéros!$F$2:$F$3001,0))),""))</f>
        <v/>
      </c>
      <c r="M4879" s="27" t="str">
        <f aca="false">IF(OR(G4879="",G4879="?"),"",IFERROR(INDEX(Pubs!$D$2:$D$3001,MATCH(G4879,Pubs!$A$2:$A$3001,0))&amp;"",""))</f>
        <v/>
      </c>
      <c r="N4879" s="27" t="n">
        <f aca="false">N(N4878)+IF(AND(A4879&lt;&gt;"",OR(Recherche!$C$4="",A4879=Recherche!$C$4),OR(Recherche!$C$5="",B4879&amp;""=Recherche!$C$5&amp;""),OR(Recherche!$C$6="",IFERROR(YEAR(L4879),0)=Recherche!$C$6),OR(Recherche!$C$7="",ISNUMBER(SEARCH(Recherche!$C$7,H4879))),OR(Recherche!$C$8="",J4879=Recherche!$C$8),OR(Recherche!$C$9="",I4879=Recherche!$C$9),OR(Recherche!$C$10="",G4879&amp;""=Recherche!$C$10&amp;""),OR(Recherche!$C$11="",E4879=Recherche!$C$11),OR(Recherche!$C$12="",ISNUMBER(SEARCH(Recherche!$C$12,M4879&amp;" "&amp;F4879)))),1,0)</f>
        <v>8</v>
      </c>
    </row>
    <row r="4880" customFormat="false" ht="15" hidden="false" customHeight="false" outlineLevel="0" collapsed="false">
      <c r="A4880" s="19"/>
      <c r="B4880" s="19"/>
      <c r="C4880" s="19"/>
      <c r="D4880" s="19"/>
      <c r="E4880" s="22"/>
      <c r="F4880" s="19"/>
      <c r="G4880" s="26" t="str">
        <f aca="false">IF(D4880="","",IFERROR(VALUE(LEFT(D4880,FIND(" |",D4880&amp;" |")-1)),"?"))</f>
        <v/>
      </c>
      <c r="H4880" s="27" t="str">
        <f aca="false">IF(G4880="","",IF(G4880="?","⚠ pub inconnue",IFERROR(INDEX(Pubs!$B$2:$B$3001,MATCH(G4880,Pubs!$A$2:$A$3001,0))&amp;"","⚠ pub inconnue")))</f>
        <v/>
      </c>
      <c r="I4880" s="27" t="str">
        <f aca="false">IF(OR(G4880="",G4880="?"),"",IFERROR(INDEX(Pubs!$C$2:$C$3001,MATCH(G4880,Pubs!$A$2:$A$3001,0))&amp;"",""))</f>
        <v/>
      </c>
      <c r="J4880" s="27" t="str">
        <f aca="false">IF(OR(G4880="",G4880="?"),"",IFERROR(INDEX(Pubs!$G$2:$G$3001,MATCH(G4880,Pubs!$A$2:$A$3001,0))&amp;"",""))</f>
        <v/>
      </c>
      <c r="K4880" s="28" t="str">
        <f aca="false">IF(OR(G4880="",G4880="?"),"",IFERROR(INDEX(Pubs!$E$2:$E$3001,MATCH(G4880,Pubs!$A$2:$A$3001,0)),""))</f>
        <v/>
      </c>
      <c r="L4880" s="29" t="str">
        <f aca="false">IF(A4880="","",IFERROR(1/(1/INDEX(Numéros!$C$2:$C$3001,MATCH(A4880&amp;"|"&amp;B4880,Numéros!$F$2:$F$3001,0))),""))</f>
        <v/>
      </c>
      <c r="M4880" s="27" t="str">
        <f aca="false">IF(OR(G4880="",G4880="?"),"",IFERROR(INDEX(Pubs!$D$2:$D$3001,MATCH(G4880,Pubs!$A$2:$A$3001,0))&amp;"",""))</f>
        <v/>
      </c>
      <c r="N4880" s="27" t="n">
        <f aca="false">N(N4879)+IF(AND(A4880&lt;&gt;"",OR(Recherche!$C$4="",A4880=Recherche!$C$4),OR(Recherche!$C$5="",B4880&amp;""=Recherche!$C$5&amp;""),OR(Recherche!$C$6="",IFERROR(YEAR(L4880),0)=Recherche!$C$6),OR(Recherche!$C$7="",ISNUMBER(SEARCH(Recherche!$C$7,H4880))),OR(Recherche!$C$8="",J4880=Recherche!$C$8),OR(Recherche!$C$9="",I4880=Recherche!$C$9),OR(Recherche!$C$10="",G4880&amp;""=Recherche!$C$10&amp;""),OR(Recherche!$C$11="",E4880=Recherche!$C$11),OR(Recherche!$C$12="",ISNUMBER(SEARCH(Recherche!$C$12,M4880&amp;" "&amp;F4880)))),1,0)</f>
        <v>8</v>
      </c>
    </row>
    <row r="4881" customFormat="false" ht="15" hidden="false" customHeight="false" outlineLevel="0" collapsed="false">
      <c r="A4881" s="19"/>
      <c r="B4881" s="19"/>
      <c r="C4881" s="19"/>
      <c r="D4881" s="19"/>
      <c r="E4881" s="22"/>
      <c r="F4881" s="19"/>
      <c r="G4881" s="26" t="str">
        <f aca="false">IF(D4881="","",IFERROR(VALUE(LEFT(D4881,FIND(" |",D4881&amp;" |")-1)),"?"))</f>
        <v/>
      </c>
      <c r="H4881" s="27" t="str">
        <f aca="false">IF(G4881="","",IF(G4881="?","⚠ pub inconnue",IFERROR(INDEX(Pubs!$B$2:$B$3001,MATCH(G4881,Pubs!$A$2:$A$3001,0))&amp;"","⚠ pub inconnue")))</f>
        <v/>
      </c>
      <c r="I4881" s="27" t="str">
        <f aca="false">IF(OR(G4881="",G4881="?"),"",IFERROR(INDEX(Pubs!$C$2:$C$3001,MATCH(G4881,Pubs!$A$2:$A$3001,0))&amp;"",""))</f>
        <v/>
      </c>
      <c r="J4881" s="27" t="str">
        <f aca="false">IF(OR(G4881="",G4881="?"),"",IFERROR(INDEX(Pubs!$G$2:$G$3001,MATCH(G4881,Pubs!$A$2:$A$3001,0))&amp;"",""))</f>
        <v/>
      </c>
      <c r="K4881" s="28" t="str">
        <f aca="false">IF(OR(G4881="",G4881="?"),"",IFERROR(INDEX(Pubs!$E$2:$E$3001,MATCH(G4881,Pubs!$A$2:$A$3001,0)),""))</f>
        <v/>
      </c>
      <c r="L4881" s="29" t="str">
        <f aca="false">IF(A4881="","",IFERROR(1/(1/INDEX(Numéros!$C$2:$C$3001,MATCH(A4881&amp;"|"&amp;B4881,Numéros!$F$2:$F$3001,0))),""))</f>
        <v/>
      </c>
      <c r="M4881" s="27" t="str">
        <f aca="false">IF(OR(G4881="",G4881="?"),"",IFERROR(INDEX(Pubs!$D$2:$D$3001,MATCH(G4881,Pubs!$A$2:$A$3001,0))&amp;"",""))</f>
        <v/>
      </c>
      <c r="N4881" s="27" t="n">
        <f aca="false">N(N4880)+IF(AND(A4881&lt;&gt;"",OR(Recherche!$C$4="",A4881=Recherche!$C$4),OR(Recherche!$C$5="",B4881&amp;""=Recherche!$C$5&amp;""),OR(Recherche!$C$6="",IFERROR(YEAR(L4881),0)=Recherche!$C$6),OR(Recherche!$C$7="",ISNUMBER(SEARCH(Recherche!$C$7,H4881))),OR(Recherche!$C$8="",J4881=Recherche!$C$8),OR(Recherche!$C$9="",I4881=Recherche!$C$9),OR(Recherche!$C$10="",G4881&amp;""=Recherche!$C$10&amp;""),OR(Recherche!$C$11="",E4881=Recherche!$C$11),OR(Recherche!$C$12="",ISNUMBER(SEARCH(Recherche!$C$12,M4881&amp;" "&amp;F4881)))),1,0)</f>
        <v>8</v>
      </c>
    </row>
    <row r="4882" customFormat="false" ht="15" hidden="false" customHeight="false" outlineLevel="0" collapsed="false">
      <c r="A4882" s="19"/>
      <c r="B4882" s="19"/>
      <c r="C4882" s="19"/>
      <c r="D4882" s="19"/>
      <c r="E4882" s="22"/>
      <c r="F4882" s="19"/>
      <c r="G4882" s="26" t="str">
        <f aca="false">IF(D4882="","",IFERROR(VALUE(LEFT(D4882,FIND(" |",D4882&amp;" |")-1)),"?"))</f>
        <v/>
      </c>
      <c r="H4882" s="27" t="str">
        <f aca="false">IF(G4882="","",IF(G4882="?","⚠ pub inconnue",IFERROR(INDEX(Pubs!$B$2:$B$3001,MATCH(G4882,Pubs!$A$2:$A$3001,0))&amp;"","⚠ pub inconnue")))</f>
        <v/>
      </c>
      <c r="I4882" s="27" t="str">
        <f aca="false">IF(OR(G4882="",G4882="?"),"",IFERROR(INDEX(Pubs!$C$2:$C$3001,MATCH(G4882,Pubs!$A$2:$A$3001,0))&amp;"",""))</f>
        <v/>
      </c>
      <c r="J4882" s="27" t="str">
        <f aca="false">IF(OR(G4882="",G4882="?"),"",IFERROR(INDEX(Pubs!$G$2:$G$3001,MATCH(G4882,Pubs!$A$2:$A$3001,0))&amp;"",""))</f>
        <v/>
      </c>
      <c r="K4882" s="28" t="str">
        <f aca="false">IF(OR(G4882="",G4882="?"),"",IFERROR(INDEX(Pubs!$E$2:$E$3001,MATCH(G4882,Pubs!$A$2:$A$3001,0)),""))</f>
        <v/>
      </c>
      <c r="L4882" s="29" t="str">
        <f aca="false">IF(A4882="","",IFERROR(1/(1/INDEX(Numéros!$C$2:$C$3001,MATCH(A4882&amp;"|"&amp;B4882,Numéros!$F$2:$F$3001,0))),""))</f>
        <v/>
      </c>
      <c r="M4882" s="27" t="str">
        <f aca="false">IF(OR(G4882="",G4882="?"),"",IFERROR(INDEX(Pubs!$D$2:$D$3001,MATCH(G4882,Pubs!$A$2:$A$3001,0))&amp;"",""))</f>
        <v/>
      </c>
      <c r="N4882" s="27" t="n">
        <f aca="false">N(N4881)+IF(AND(A4882&lt;&gt;"",OR(Recherche!$C$4="",A4882=Recherche!$C$4),OR(Recherche!$C$5="",B4882&amp;""=Recherche!$C$5&amp;""),OR(Recherche!$C$6="",IFERROR(YEAR(L4882),0)=Recherche!$C$6),OR(Recherche!$C$7="",ISNUMBER(SEARCH(Recherche!$C$7,H4882))),OR(Recherche!$C$8="",J4882=Recherche!$C$8),OR(Recherche!$C$9="",I4882=Recherche!$C$9),OR(Recherche!$C$10="",G4882&amp;""=Recherche!$C$10&amp;""),OR(Recherche!$C$11="",E4882=Recherche!$C$11),OR(Recherche!$C$12="",ISNUMBER(SEARCH(Recherche!$C$12,M4882&amp;" "&amp;F4882)))),1,0)</f>
        <v>8</v>
      </c>
    </row>
    <row r="4883" customFormat="false" ht="15" hidden="false" customHeight="false" outlineLevel="0" collapsed="false">
      <c r="A4883" s="19"/>
      <c r="B4883" s="19"/>
      <c r="C4883" s="19"/>
      <c r="D4883" s="19"/>
      <c r="E4883" s="22"/>
      <c r="F4883" s="19"/>
      <c r="G4883" s="26" t="str">
        <f aca="false">IF(D4883="","",IFERROR(VALUE(LEFT(D4883,FIND(" |",D4883&amp;" |")-1)),"?"))</f>
        <v/>
      </c>
      <c r="H4883" s="27" t="str">
        <f aca="false">IF(G4883="","",IF(G4883="?","⚠ pub inconnue",IFERROR(INDEX(Pubs!$B$2:$B$3001,MATCH(G4883,Pubs!$A$2:$A$3001,0))&amp;"","⚠ pub inconnue")))</f>
        <v/>
      </c>
      <c r="I4883" s="27" t="str">
        <f aca="false">IF(OR(G4883="",G4883="?"),"",IFERROR(INDEX(Pubs!$C$2:$C$3001,MATCH(G4883,Pubs!$A$2:$A$3001,0))&amp;"",""))</f>
        <v/>
      </c>
      <c r="J4883" s="27" t="str">
        <f aca="false">IF(OR(G4883="",G4883="?"),"",IFERROR(INDEX(Pubs!$G$2:$G$3001,MATCH(G4883,Pubs!$A$2:$A$3001,0))&amp;"",""))</f>
        <v/>
      </c>
      <c r="K4883" s="28" t="str">
        <f aca="false">IF(OR(G4883="",G4883="?"),"",IFERROR(INDEX(Pubs!$E$2:$E$3001,MATCH(G4883,Pubs!$A$2:$A$3001,0)),""))</f>
        <v/>
      </c>
      <c r="L4883" s="29" t="str">
        <f aca="false">IF(A4883="","",IFERROR(1/(1/INDEX(Numéros!$C$2:$C$3001,MATCH(A4883&amp;"|"&amp;B4883,Numéros!$F$2:$F$3001,0))),""))</f>
        <v/>
      </c>
      <c r="M4883" s="27" t="str">
        <f aca="false">IF(OR(G4883="",G4883="?"),"",IFERROR(INDEX(Pubs!$D$2:$D$3001,MATCH(G4883,Pubs!$A$2:$A$3001,0))&amp;"",""))</f>
        <v/>
      </c>
      <c r="N4883" s="27" t="n">
        <f aca="false">N(N4882)+IF(AND(A4883&lt;&gt;"",OR(Recherche!$C$4="",A4883=Recherche!$C$4),OR(Recherche!$C$5="",B4883&amp;""=Recherche!$C$5&amp;""),OR(Recherche!$C$6="",IFERROR(YEAR(L4883),0)=Recherche!$C$6),OR(Recherche!$C$7="",ISNUMBER(SEARCH(Recherche!$C$7,H4883))),OR(Recherche!$C$8="",J4883=Recherche!$C$8),OR(Recherche!$C$9="",I4883=Recherche!$C$9),OR(Recherche!$C$10="",G4883&amp;""=Recherche!$C$10&amp;""),OR(Recherche!$C$11="",E4883=Recherche!$C$11),OR(Recherche!$C$12="",ISNUMBER(SEARCH(Recherche!$C$12,M4883&amp;" "&amp;F4883)))),1,0)</f>
        <v>8</v>
      </c>
    </row>
    <row r="4884" customFormat="false" ht="15" hidden="false" customHeight="false" outlineLevel="0" collapsed="false">
      <c r="A4884" s="19"/>
      <c r="B4884" s="19"/>
      <c r="C4884" s="19"/>
      <c r="D4884" s="19"/>
      <c r="E4884" s="22"/>
      <c r="F4884" s="19"/>
      <c r="G4884" s="26" t="str">
        <f aca="false">IF(D4884="","",IFERROR(VALUE(LEFT(D4884,FIND(" |",D4884&amp;" |")-1)),"?"))</f>
        <v/>
      </c>
      <c r="H4884" s="27" t="str">
        <f aca="false">IF(G4884="","",IF(G4884="?","⚠ pub inconnue",IFERROR(INDEX(Pubs!$B$2:$B$3001,MATCH(G4884,Pubs!$A$2:$A$3001,0))&amp;"","⚠ pub inconnue")))</f>
        <v/>
      </c>
      <c r="I4884" s="27" t="str">
        <f aca="false">IF(OR(G4884="",G4884="?"),"",IFERROR(INDEX(Pubs!$C$2:$C$3001,MATCH(G4884,Pubs!$A$2:$A$3001,0))&amp;"",""))</f>
        <v/>
      </c>
      <c r="J4884" s="27" t="str">
        <f aca="false">IF(OR(G4884="",G4884="?"),"",IFERROR(INDEX(Pubs!$G$2:$G$3001,MATCH(G4884,Pubs!$A$2:$A$3001,0))&amp;"",""))</f>
        <v/>
      </c>
      <c r="K4884" s="28" t="str">
        <f aca="false">IF(OR(G4884="",G4884="?"),"",IFERROR(INDEX(Pubs!$E$2:$E$3001,MATCH(G4884,Pubs!$A$2:$A$3001,0)),""))</f>
        <v/>
      </c>
      <c r="L4884" s="29" t="str">
        <f aca="false">IF(A4884="","",IFERROR(1/(1/INDEX(Numéros!$C$2:$C$3001,MATCH(A4884&amp;"|"&amp;B4884,Numéros!$F$2:$F$3001,0))),""))</f>
        <v/>
      </c>
      <c r="M4884" s="27" t="str">
        <f aca="false">IF(OR(G4884="",G4884="?"),"",IFERROR(INDEX(Pubs!$D$2:$D$3001,MATCH(G4884,Pubs!$A$2:$A$3001,0))&amp;"",""))</f>
        <v/>
      </c>
      <c r="N4884" s="27" t="n">
        <f aca="false">N(N4883)+IF(AND(A4884&lt;&gt;"",OR(Recherche!$C$4="",A4884=Recherche!$C$4),OR(Recherche!$C$5="",B4884&amp;""=Recherche!$C$5&amp;""),OR(Recherche!$C$6="",IFERROR(YEAR(L4884),0)=Recherche!$C$6),OR(Recherche!$C$7="",ISNUMBER(SEARCH(Recherche!$C$7,H4884))),OR(Recherche!$C$8="",J4884=Recherche!$C$8),OR(Recherche!$C$9="",I4884=Recherche!$C$9),OR(Recherche!$C$10="",G4884&amp;""=Recherche!$C$10&amp;""),OR(Recherche!$C$11="",E4884=Recherche!$C$11),OR(Recherche!$C$12="",ISNUMBER(SEARCH(Recherche!$C$12,M4884&amp;" "&amp;F4884)))),1,0)</f>
        <v>8</v>
      </c>
    </row>
    <row r="4885" customFormat="false" ht="15" hidden="false" customHeight="false" outlineLevel="0" collapsed="false">
      <c r="A4885" s="19"/>
      <c r="B4885" s="19"/>
      <c r="C4885" s="19"/>
      <c r="D4885" s="19"/>
      <c r="E4885" s="22"/>
      <c r="F4885" s="19"/>
      <c r="G4885" s="26" t="str">
        <f aca="false">IF(D4885="","",IFERROR(VALUE(LEFT(D4885,FIND(" |",D4885&amp;" |")-1)),"?"))</f>
        <v/>
      </c>
      <c r="H4885" s="27" t="str">
        <f aca="false">IF(G4885="","",IF(G4885="?","⚠ pub inconnue",IFERROR(INDEX(Pubs!$B$2:$B$3001,MATCH(G4885,Pubs!$A$2:$A$3001,0))&amp;"","⚠ pub inconnue")))</f>
        <v/>
      </c>
      <c r="I4885" s="27" t="str">
        <f aca="false">IF(OR(G4885="",G4885="?"),"",IFERROR(INDEX(Pubs!$C$2:$C$3001,MATCH(G4885,Pubs!$A$2:$A$3001,0))&amp;"",""))</f>
        <v/>
      </c>
      <c r="J4885" s="27" t="str">
        <f aca="false">IF(OR(G4885="",G4885="?"),"",IFERROR(INDEX(Pubs!$G$2:$G$3001,MATCH(G4885,Pubs!$A$2:$A$3001,0))&amp;"",""))</f>
        <v/>
      </c>
      <c r="K4885" s="28" t="str">
        <f aca="false">IF(OR(G4885="",G4885="?"),"",IFERROR(INDEX(Pubs!$E$2:$E$3001,MATCH(G4885,Pubs!$A$2:$A$3001,0)),""))</f>
        <v/>
      </c>
      <c r="L4885" s="29" t="str">
        <f aca="false">IF(A4885="","",IFERROR(1/(1/INDEX(Numéros!$C$2:$C$3001,MATCH(A4885&amp;"|"&amp;B4885,Numéros!$F$2:$F$3001,0))),""))</f>
        <v/>
      </c>
      <c r="M4885" s="27" t="str">
        <f aca="false">IF(OR(G4885="",G4885="?"),"",IFERROR(INDEX(Pubs!$D$2:$D$3001,MATCH(G4885,Pubs!$A$2:$A$3001,0))&amp;"",""))</f>
        <v/>
      </c>
      <c r="N4885" s="27" t="n">
        <f aca="false">N(N4884)+IF(AND(A4885&lt;&gt;"",OR(Recherche!$C$4="",A4885=Recherche!$C$4),OR(Recherche!$C$5="",B4885&amp;""=Recherche!$C$5&amp;""),OR(Recherche!$C$6="",IFERROR(YEAR(L4885),0)=Recherche!$C$6),OR(Recherche!$C$7="",ISNUMBER(SEARCH(Recherche!$C$7,H4885))),OR(Recherche!$C$8="",J4885=Recherche!$C$8),OR(Recherche!$C$9="",I4885=Recherche!$C$9),OR(Recherche!$C$10="",G4885&amp;""=Recherche!$C$10&amp;""),OR(Recherche!$C$11="",E4885=Recherche!$C$11),OR(Recherche!$C$12="",ISNUMBER(SEARCH(Recherche!$C$12,M4885&amp;" "&amp;F4885)))),1,0)</f>
        <v>8</v>
      </c>
    </row>
    <row r="4886" customFormat="false" ht="15" hidden="false" customHeight="false" outlineLevel="0" collapsed="false">
      <c r="A4886" s="19"/>
      <c r="B4886" s="19"/>
      <c r="C4886" s="19"/>
      <c r="D4886" s="19"/>
      <c r="E4886" s="22"/>
      <c r="F4886" s="19"/>
      <c r="G4886" s="26" t="str">
        <f aca="false">IF(D4886="","",IFERROR(VALUE(LEFT(D4886,FIND(" |",D4886&amp;" |")-1)),"?"))</f>
        <v/>
      </c>
      <c r="H4886" s="27" t="str">
        <f aca="false">IF(G4886="","",IF(G4886="?","⚠ pub inconnue",IFERROR(INDEX(Pubs!$B$2:$B$3001,MATCH(G4886,Pubs!$A$2:$A$3001,0))&amp;"","⚠ pub inconnue")))</f>
        <v/>
      </c>
      <c r="I4886" s="27" t="str">
        <f aca="false">IF(OR(G4886="",G4886="?"),"",IFERROR(INDEX(Pubs!$C$2:$C$3001,MATCH(G4886,Pubs!$A$2:$A$3001,0))&amp;"",""))</f>
        <v/>
      </c>
      <c r="J4886" s="27" t="str">
        <f aca="false">IF(OR(G4886="",G4886="?"),"",IFERROR(INDEX(Pubs!$G$2:$G$3001,MATCH(G4886,Pubs!$A$2:$A$3001,0))&amp;"",""))</f>
        <v/>
      </c>
      <c r="K4886" s="28" t="str">
        <f aca="false">IF(OR(G4886="",G4886="?"),"",IFERROR(INDEX(Pubs!$E$2:$E$3001,MATCH(G4886,Pubs!$A$2:$A$3001,0)),""))</f>
        <v/>
      </c>
      <c r="L4886" s="29" t="str">
        <f aca="false">IF(A4886="","",IFERROR(1/(1/INDEX(Numéros!$C$2:$C$3001,MATCH(A4886&amp;"|"&amp;B4886,Numéros!$F$2:$F$3001,0))),""))</f>
        <v/>
      </c>
      <c r="M4886" s="27" t="str">
        <f aca="false">IF(OR(G4886="",G4886="?"),"",IFERROR(INDEX(Pubs!$D$2:$D$3001,MATCH(G4886,Pubs!$A$2:$A$3001,0))&amp;"",""))</f>
        <v/>
      </c>
      <c r="N4886" s="27" t="n">
        <f aca="false">N(N4885)+IF(AND(A4886&lt;&gt;"",OR(Recherche!$C$4="",A4886=Recherche!$C$4),OR(Recherche!$C$5="",B4886&amp;""=Recherche!$C$5&amp;""),OR(Recherche!$C$6="",IFERROR(YEAR(L4886),0)=Recherche!$C$6),OR(Recherche!$C$7="",ISNUMBER(SEARCH(Recherche!$C$7,H4886))),OR(Recherche!$C$8="",J4886=Recherche!$C$8),OR(Recherche!$C$9="",I4886=Recherche!$C$9),OR(Recherche!$C$10="",G4886&amp;""=Recherche!$C$10&amp;""),OR(Recherche!$C$11="",E4886=Recherche!$C$11),OR(Recherche!$C$12="",ISNUMBER(SEARCH(Recherche!$C$12,M4886&amp;" "&amp;F4886)))),1,0)</f>
        <v>8</v>
      </c>
    </row>
    <row r="4887" customFormat="false" ht="15" hidden="false" customHeight="false" outlineLevel="0" collapsed="false">
      <c r="A4887" s="19"/>
      <c r="B4887" s="19"/>
      <c r="C4887" s="19"/>
      <c r="D4887" s="19"/>
      <c r="E4887" s="22"/>
      <c r="F4887" s="19"/>
      <c r="G4887" s="26" t="str">
        <f aca="false">IF(D4887="","",IFERROR(VALUE(LEFT(D4887,FIND(" |",D4887&amp;" |")-1)),"?"))</f>
        <v/>
      </c>
      <c r="H4887" s="27" t="str">
        <f aca="false">IF(G4887="","",IF(G4887="?","⚠ pub inconnue",IFERROR(INDEX(Pubs!$B$2:$B$3001,MATCH(G4887,Pubs!$A$2:$A$3001,0))&amp;"","⚠ pub inconnue")))</f>
        <v/>
      </c>
      <c r="I4887" s="27" t="str">
        <f aca="false">IF(OR(G4887="",G4887="?"),"",IFERROR(INDEX(Pubs!$C$2:$C$3001,MATCH(G4887,Pubs!$A$2:$A$3001,0))&amp;"",""))</f>
        <v/>
      </c>
      <c r="J4887" s="27" t="str">
        <f aca="false">IF(OR(G4887="",G4887="?"),"",IFERROR(INDEX(Pubs!$G$2:$G$3001,MATCH(G4887,Pubs!$A$2:$A$3001,0))&amp;"",""))</f>
        <v/>
      </c>
      <c r="K4887" s="28" t="str">
        <f aca="false">IF(OR(G4887="",G4887="?"),"",IFERROR(INDEX(Pubs!$E$2:$E$3001,MATCH(G4887,Pubs!$A$2:$A$3001,0)),""))</f>
        <v/>
      </c>
      <c r="L4887" s="29" t="str">
        <f aca="false">IF(A4887="","",IFERROR(1/(1/INDEX(Numéros!$C$2:$C$3001,MATCH(A4887&amp;"|"&amp;B4887,Numéros!$F$2:$F$3001,0))),""))</f>
        <v/>
      </c>
      <c r="M4887" s="27" t="str">
        <f aca="false">IF(OR(G4887="",G4887="?"),"",IFERROR(INDEX(Pubs!$D$2:$D$3001,MATCH(G4887,Pubs!$A$2:$A$3001,0))&amp;"",""))</f>
        <v/>
      </c>
      <c r="N4887" s="27" t="n">
        <f aca="false">N(N4886)+IF(AND(A4887&lt;&gt;"",OR(Recherche!$C$4="",A4887=Recherche!$C$4),OR(Recherche!$C$5="",B4887&amp;""=Recherche!$C$5&amp;""),OR(Recherche!$C$6="",IFERROR(YEAR(L4887),0)=Recherche!$C$6),OR(Recherche!$C$7="",ISNUMBER(SEARCH(Recherche!$C$7,H4887))),OR(Recherche!$C$8="",J4887=Recherche!$C$8),OR(Recherche!$C$9="",I4887=Recherche!$C$9),OR(Recherche!$C$10="",G4887&amp;""=Recherche!$C$10&amp;""),OR(Recherche!$C$11="",E4887=Recherche!$C$11),OR(Recherche!$C$12="",ISNUMBER(SEARCH(Recherche!$C$12,M4887&amp;" "&amp;F4887)))),1,0)</f>
        <v>8</v>
      </c>
    </row>
    <row r="4888" customFormat="false" ht="15" hidden="false" customHeight="false" outlineLevel="0" collapsed="false">
      <c r="A4888" s="19"/>
      <c r="B4888" s="19"/>
      <c r="C4888" s="19"/>
      <c r="D4888" s="19"/>
      <c r="E4888" s="22"/>
      <c r="F4888" s="19"/>
      <c r="G4888" s="26" t="str">
        <f aca="false">IF(D4888="","",IFERROR(VALUE(LEFT(D4888,FIND(" |",D4888&amp;" |")-1)),"?"))</f>
        <v/>
      </c>
      <c r="H4888" s="27" t="str">
        <f aca="false">IF(G4888="","",IF(G4888="?","⚠ pub inconnue",IFERROR(INDEX(Pubs!$B$2:$B$3001,MATCH(G4888,Pubs!$A$2:$A$3001,0))&amp;"","⚠ pub inconnue")))</f>
        <v/>
      </c>
      <c r="I4888" s="27" t="str">
        <f aca="false">IF(OR(G4888="",G4888="?"),"",IFERROR(INDEX(Pubs!$C$2:$C$3001,MATCH(G4888,Pubs!$A$2:$A$3001,0))&amp;"",""))</f>
        <v/>
      </c>
      <c r="J4888" s="27" t="str">
        <f aca="false">IF(OR(G4888="",G4888="?"),"",IFERROR(INDEX(Pubs!$G$2:$G$3001,MATCH(G4888,Pubs!$A$2:$A$3001,0))&amp;"",""))</f>
        <v/>
      </c>
      <c r="K4888" s="28" t="str">
        <f aca="false">IF(OR(G4888="",G4888="?"),"",IFERROR(INDEX(Pubs!$E$2:$E$3001,MATCH(G4888,Pubs!$A$2:$A$3001,0)),""))</f>
        <v/>
      </c>
      <c r="L4888" s="29" t="str">
        <f aca="false">IF(A4888="","",IFERROR(1/(1/INDEX(Numéros!$C$2:$C$3001,MATCH(A4888&amp;"|"&amp;B4888,Numéros!$F$2:$F$3001,0))),""))</f>
        <v/>
      </c>
      <c r="M4888" s="27" t="str">
        <f aca="false">IF(OR(G4888="",G4888="?"),"",IFERROR(INDEX(Pubs!$D$2:$D$3001,MATCH(G4888,Pubs!$A$2:$A$3001,0))&amp;"",""))</f>
        <v/>
      </c>
      <c r="N4888" s="27" t="n">
        <f aca="false">N(N4887)+IF(AND(A4888&lt;&gt;"",OR(Recherche!$C$4="",A4888=Recherche!$C$4),OR(Recherche!$C$5="",B4888&amp;""=Recherche!$C$5&amp;""),OR(Recherche!$C$6="",IFERROR(YEAR(L4888),0)=Recherche!$C$6),OR(Recherche!$C$7="",ISNUMBER(SEARCH(Recherche!$C$7,H4888))),OR(Recherche!$C$8="",J4888=Recherche!$C$8),OR(Recherche!$C$9="",I4888=Recherche!$C$9),OR(Recherche!$C$10="",G4888&amp;""=Recherche!$C$10&amp;""),OR(Recherche!$C$11="",E4888=Recherche!$C$11),OR(Recherche!$C$12="",ISNUMBER(SEARCH(Recherche!$C$12,M4888&amp;" "&amp;F4888)))),1,0)</f>
        <v>8</v>
      </c>
    </row>
    <row r="4889" customFormat="false" ht="15" hidden="false" customHeight="false" outlineLevel="0" collapsed="false">
      <c r="A4889" s="19"/>
      <c r="B4889" s="19"/>
      <c r="C4889" s="19"/>
      <c r="D4889" s="19"/>
      <c r="E4889" s="22"/>
      <c r="F4889" s="19"/>
      <c r="G4889" s="26" t="str">
        <f aca="false">IF(D4889="","",IFERROR(VALUE(LEFT(D4889,FIND(" |",D4889&amp;" |")-1)),"?"))</f>
        <v/>
      </c>
      <c r="H4889" s="27" t="str">
        <f aca="false">IF(G4889="","",IF(G4889="?","⚠ pub inconnue",IFERROR(INDEX(Pubs!$B$2:$B$3001,MATCH(G4889,Pubs!$A$2:$A$3001,0))&amp;"","⚠ pub inconnue")))</f>
        <v/>
      </c>
      <c r="I4889" s="27" t="str">
        <f aca="false">IF(OR(G4889="",G4889="?"),"",IFERROR(INDEX(Pubs!$C$2:$C$3001,MATCH(G4889,Pubs!$A$2:$A$3001,0))&amp;"",""))</f>
        <v/>
      </c>
      <c r="J4889" s="27" t="str">
        <f aca="false">IF(OR(G4889="",G4889="?"),"",IFERROR(INDEX(Pubs!$G$2:$G$3001,MATCH(G4889,Pubs!$A$2:$A$3001,0))&amp;"",""))</f>
        <v/>
      </c>
      <c r="K4889" s="28" t="str">
        <f aca="false">IF(OR(G4889="",G4889="?"),"",IFERROR(INDEX(Pubs!$E$2:$E$3001,MATCH(G4889,Pubs!$A$2:$A$3001,0)),""))</f>
        <v/>
      </c>
      <c r="L4889" s="29" t="str">
        <f aca="false">IF(A4889="","",IFERROR(1/(1/INDEX(Numéros!$C$2:$C$3001,MATCH(A4889&amp;"|"&amp;B4889,Numéros!$F$2:$F$3001,0))),""))</f>
        <v/>
      </c>
      <c r="M4889" s="27" t="str">
        <f aca="false">IF(OR(G4889="",G4889="?"),"",IFERROR(INDEX(Pubs!$D$2:$D$3001,MATCH(G4889,Pubs!$A$2:$A$3001,0))&amp;"",""))</f>
        <v/>
      </c>
      <c r="N4889" s="27" t="n">
        <f aca="false">N(N4888)+IF(AND(A4889&lt;&gt;"",OR(Recherche!$C$4="",A4889=Recherche!$C$4),OR(Recherche!$C$5="",B4889&amp;""=Recherche!$C$5&amp;""),OR(Recherche!$C$6="",IFERROR(YEAR(L4889),0)=Recherche!$C$6),OR(Recherche!$C$7="",ISNUMBER(SEARCH(Recherche!$C$7,H4889))),OR(Recherche!$C$8="",J4889=Recherche!$C$8),OR(Recherche!$C$9="",I4889=Recherche!$C$9),OR(Recherche!$C$10="",G4889&amp;""=Recherche!$C$10&amp;""),OR(Recherche!$C$11="",E4889=Recherche!$C$11),OR(Recherche!$C$12="",ISNUMBER(SEARCH(Recherche!$C$12,M4889&amp;" "&amp;F4889)))),1,0)</f>
        <v>8</v>
      </c>
    </row>
    <row r="4890" customFormat="false" ht="15" hidden="false" customHeight="false" outlineLevel="0" collapsed="false">
      <c r="A4890" s="19"/>
      <c r="B4890" s="19"/>
      <c r="C4890" s="19"/>
      <c r="D4890" s="19"/>
      <c r="E4890" s="22"/>
      <c r="F4890" s="19"/>
      <c r="G4890" s="26" t="str">
        <f aca="false">IF(D4890="","",IFERROR(VALUE(LEFT(D4890,FIND(" |",D4890&amp;" |")-1)),"?"))</f>
        <v/>
      </c>
      <c r="H4890" s="27" t="str">
        <f aca="false">IF(G4890="","",IF(G4890="?","⚠ pub inconnue",IFERROR(INDEX(Pubs!$B$2:$B$3001,MATCH(G4890,Pubs!$A$2:$A$3001,0))&amp;"","⚠ pub inconnue")))</f>
        <v/>
      </c>
      <c r="I4890" s="27" t="str">
        <f aca="false">IF(OR(G4890="",G4890="?"),"",IFERROR(INDEX(Pubs!$C$2:$C$3001,MATCH(G4890,Pubs!$A$2:$A$3001,0))&amp;"",""))</f>
        <v/>
      </c>
      <c r="J4890" s="27" t="str">
        <f aca="false">IF(OR(G4890="",G4890="?"),"",IFERROR(INDEX(Pubs!$G$2:$G$3001,MATCH(G4890,Pubs!$A$2:$A$3001,0))&amp;"",""))</f>
        <v/>
      </c>
      <c r="K4890" s="28" t="str">
        <f aca="false">IF(OR(G4890="",G4890="?"),"",IFERROR(INDEX(Pubs!$E$2:$E$3001,MATCH(G4890,Pubs!$A$2:$A$3001,0)),""))</f>
        <v/>
      </c>
      <c r="L4890" s="29" t="str">
        <f aca="false">IF(A4890="","",IFERROR(1/(1/INDEX(Numéros!$C$2:$C$3001,MATCH(A4890&amp;"|"&amp;B4890,Numéros!$F$2:$F$3001,0))),""))</f>
        <v/>
      </c>
      <c r="M4890" s="27" t="str">
        <f aca="false">IF(OR(G4890="",G4890="?"),"",IFERROR(INDEX(Pubs!$D$2:$D$3001,MATCH(G4890,Pubs!$A$2:$A$3001,0))&amp;"",""))</f>
        <v/>
      </c>
      <c r="N4890" s="27" t="n">
        <f aca="false">N(N4889)+IF(AND(A4890&lt;&gt;"",OR(Recherche!$C$4="",A4890=Recherche!$C$4),OR(Recherche!$C$5="",B4890&amp;""=Recherche!$C$5&amp;""),OR(Recherche!$C$6="",IFERROR(YEAR(L4890),0)=Recherche!$C$6),OR(Recherche!$C$7="",ISNUMBER(SEARCH(Recherche!$C$7,H4890))),OR(Recherche!$C$8="",J4890=Recherche!$C$8),OR(Recherche!$C$9="",I4890=Recherche!$C$9),OR(Recherche!$C$10="",G4890&amp;""=Recherche!$C$10&amp;""),OR(Recherche!$C$11="",E4890=Recherche!$C$11),OR(Recherche!$C$12="",ISNUMBER(SEARCH(Recherche!$C$12,M4890&amp;" "&amp;F4890)))),1,0)</f>
        <v>8</v>
      </c>
    </row>
    <row r="4891" customFormat="false" ht="15" hidden="false" customHeight="false" outlineLevel="0" collapsed="false">
      <c r="A4891" s="19"/>
      <c r="B4891" s="19"/>
      <c r="C4891" s="19"/>
      <c r="D4891" s="19"/>
      <c r="E4891" s="22"/>
      <c r="F4891" s="19"/>
      <c r="G4891" s="26" t="str">
        <f aca="false">IF(D4891="","",IFERROR(VALUE(LEFT(D4891,FIND(" |",D4891&amp;" |")-1)),"?"))</f>
        <v/>
      </c>
      <c r="H4891" s="27" t="str">
        <f aca="false">IF(G4891="","",IF(G4891="?","⚠ pub inconnue",IFERROR(INDEX(Pubs!$B$2:$B$3001,MATCH(G4891,Pubs!$A$2:$A$3001,0))&amp;"","⚠ pub inconnue")))</f>
        <v/>
      </c>
      <c r="I4891" s="27" t="str">
        <f aca="false">IF(OR(G4891="",G4891="?"),"",IFERROR(INDEX(Pubs!$C$2:$C$3001,MATCH(G4891,Pubs!$A$2:$A$3001,0))&amp;"",""))</f>
        <v/>
      </c>
      <c r="J4891" s="27" t="str">
        <f aca="false">IF(OR(G4891="",G4891="?"),"",IFERROR(INDEX(Pubs!$G$2:$G$3001,MATCH(G4891,Pubs!$A$2:$A$3001,0))&amp;"",""))</f>
        <v/>
      </c>
      <c r="K4891" s="28" t="str">
        <f aca="false">IF(OR(G4891="",G4891="?"),"",IFERROR(INDEX(Pubs!$E$2:$E$3001,MATCH(G4891,Pubs!$A$2:$A$3001,0)),""))</f>
        <v/>
      </c>
      <c r="L4891" s="29" t="str">
        <f aca="false">IF(A4891="","",IFERROR(1/(1/INDEX(Numéros!$C$2:$C$3001,MATCH(A4891&amp;"|"&amp;B4891,Numéros!$F$2:$F$3001,0))),""))</f>
        <v/>
      </c>
      <c r="M4891" s="27" t="str">
        <f aca="false">IF(OR(G4891="",G4891="?"),"",IFERROR(INDEX(Pubs!$D$2:$D$3001,MATCH(G4891,Pubs!$A$2:$A$3001,0))&amp;"",""))</f>
        <v/>
      </c>
      <c r="N4891" s="27" t="n">
        <f aca="false">N(N4890)+IF(AND(A4891&lt;&gt;"",OR(Recherche!$C$4="",A4891=Recherche!$C$4),OR(Recherche!$C$5="",B4891&amp;""=Recherche!$C$5&amp;""),OR(Recherche!$C$6="",IFERROR(YEAR(L4891),0)=Recherche!$C$6),OR(Recherche!$C$7="",ISNUMBER(SEARCH(Recherche!$C$7,H4891))),OR(Recherche!$C$8="",J4891=Recherche!$C$8),OR(Recherche!$C$9="",I4891=Recherche!$C$9),OR(Recherche!$C$10="",G4891&amp;""=Recherche!$C$10&amp;""),OR(Recherche!$C$11="",E4891=Recherche!$C$11),OR(Recherche!$C$12="",ISNUMBER(SEARCH(Recherche!$C$12,M4891&amp;" "&amp;F4891)))),1,0)</f>
        <v>8</v>
      </c>
    </row>
    <row r="4892" customFormat="false" ht="15" hidden="false" customHeight="false" outlineLevel="0" collapsed="false">
      <c r="A4892" s="19"/>
      <c r="B4892" s="19"/>
      <c r="C4892" s="19"/>
      <c r="D4892" s="19"/>
      <c r="E4892" s="22"/>
      <c r="F4892" s="19"/>
      <c r="G4892" s="26" t="str">
        <f aca="false">IF(D4892="","",IFERROR(VALUE(LEFT(D4892,FIND(" |",D4892&amp;" |")-1)),"?"))</f>
        <v/>
      </c>
      <c r="H4892" s="27" t="str">
        <f aca="false">IF(G4892="","",IF(G4892="?","⚠ pub inconnue",IFERROR(INDEX(Pubs!$B$2:$B$3001,MATCH(G4892,Pubs!$A$2:$A$3001,0))&amp;"","⚠ pub inconnue")))</f>
        <v/>
      </c>
      <c r="I4892" s="27" t="str">
        <f aca="false">IF(OR(G4892="",G4892="?"),"",IFERROR(INDEX(Pubs!$C$2:$C$3001,MATCH(G4892,Pubs!$A$2:$A$3001,0))&amp;"",""))</f>
        <v/>
      </c>
      <c r="J4892" s="27" t="str">
        <f aca="false">IF(OR(G4892="",G4892="?"),"",IFERROR(INDEX(Pubs!$G$2:$G$3001,MATCH(G4892,Pubs!$A$2:$A$3001,0))&amp;"",""))</f>
        <v/>
      </c>
      <c r="K4892" s="28" t="str">
        <f aca="false">IF(OR(G4892="",G4892="?"),"",IFERROR(INDEX(Pubs!$E$2:$E$3001,MATCH(G4892,Pubs!$A$2:$A$3001,0)),""))</f>
        <v/>
      </c>
      <c r="L4892" s="29" t="str">
        <f aca="false">IF(A4892="","",IFERROR(1/(1/INDEX(Numéros!$C$2:$C$3001,MATCH(A4892&amp;"|"&amp;B4892,Numéros!$F$2:$F$3001,0))),""))</f>
        <v/>
      </c>
      <c r="M4892" s="27" t="str">
        <f aca="false">IF(OR(G4892="",G4892="?"),"",IFERROR(INDEX(Pubs!$D$2:$D$3001,MATCH(G4892,Pubs!$A$2:$A$3001,0))&amp;"",""))</f>
        <v/>
      </c>
      <c r="N4892" s="27" t="n">
        <f aca="false">N(N4891)+IF(AND(A4892&lt;&gt;"",OR(Recherche!$C$4="",A4892=Recherche!$C$4),OR(Recherche!$C$5="",B4892&amp;""=Recherche!$C$5&amp;""),OR(Recherche!$C$6="",IFERROR(YEAR(L4892),0)=Recherche!$C$6),OR(Recherche!$C$7="",ISNUMBER(SEARCH(Recherche!$C$7,H4892))),OR(Recherche!$C$8="",J4892=Recherche!$C$8),OR(Recherche!$C$9="",I4892=Recherche!$C$9),OR(Recherche!$C$10="",G4892&amp;""=Recherche!$C$10&amp;""),OR(Recherche!$C$11="",E4892=Recherche!$C$11),OR(Recherche!$C$12="",ISNUMBER(SEARCH(Recherche!$C$12,M4892&amp;" "&amp;F4892)))),1,0)</f>
        <v>8</v>
      </c>
    </row>
    <row r="4893" customFormat="false" ht="15" hidden="false" customHeight="false" outlineLevel="0" collapsed="false">
      <c r="A4893" s="19"/>
      <c r="B4893" s="19"/>
      <c r="C4893" s="19"/>
      <c r="D4893" s="19"/>
      <c r="E4893" s="22"/>
      <c r="F4893" s="19"/>
      <c r="G4893" s="26" t="str">
        <f aca="false">IF(D4893="","",IFERROR(VALUE(LEFT(D4893,FIND(" |",D4893&amp;" |")-1)),"?"))</f>
        <v/>
      </c>
      <c r="H4893" s="27" t="str">
        <f aca="false">IF(G4893="","",IF(G4893="?","⚠ pub inconnue",IFERROR(INDEX(Pubs!$B$2:$B$3001,MATCH(G4893,Pubs!$A$2:$A$3001,0))&amp;"","⚠ pub inconnue")))</f>
        <v/>
      </c>
      <c r="I4893" s="27" t="str">
        <f aca="false">IF(OR(G4893="",G4893="?"),"",IFERROR(INDEX(Pubs!$C$2:$C$3001,MATCH(G4893,Pubs!$A$2:$A$3001,0))&amp;"",""))</f>
        <v/>
      </c>
      <c r="J4893" s="27" t="str">
        <f aca="false">IF(OR(G4893="",G4893="?"),"",IFERROR(INDEX(Pubs!$G$2:$G$3001,MATCH(G4893,Pubs!$A$2:$A$3001,0))&amp;"",""))</f>
        <v/>
      </c>
      <c r="K4893" s="28" t="str">
        <f aca="false">IF(OR(G4893="",G4893="?"),"",IFERROR(INDEX(Pubs!$E$2:$E$3001,MATCH(G4893,Pubs!$A$2:$A$3001,0)),""))</f>
        <v/>
      </c>
      <c r="L4893" s="29" t="str">
        <f aca="false">IF(A4893="","",IFERROR(1/(1/INDEX(Numéros!$C$2:$C$3001,MATCH(A4893&amp;"|"&amp;B4893,Numéros!$F$2:$F$3001,0))),""))</f>
        <v/>
      </c>
      <c r="M4893" s="27" t="str">
        <f aca="false">IF(OR(G4893="",G4893="?"),"",IFERROR(INDEX(Pubs!$D$2:$D$3001,MATCH(G4893,Pubs!$A$2:$A$3001,0))&amp;"",""))</f>
        <v/>
      </c>
      <c r="N4893" s="27" t="n">
        <f aca="false">N(N4892)+IF(AND(A4893&lt;&gt;"",OR(Recherche!$C$4="",A4893=Recherche!$C$4),OR(Recherche!$C$5="",B4893&amp;""=Recherche!$C$5&amp;""),OR(Recherche!$C$6="",IFERROR(YEAR(L4893),0)=Recherche!$C$6),OR(Recherche!$C$7="",ISNUMBER(SEARCH(Recherche!$C$7,H4893))),OR(Recherche!$C$8="",J4893=Recherche!$C$8),OR(Recherche!$C$9="",I4893=Recherche!$C$9),OR(Recherche!$C$10="",G4893&amp;""=Recherche!$C$10&amp;""),OR(Recherche!$C$11="",E4893=Recherche!$C$11),OR(Recherche!$C$12="",ISNUMBER(SEARCH(Recherche!$C$12,M4893&amp;" "&amp;F4893)))),1,0)</f>
        <v>8</v>
      </c>
    </row>
    <row r="4894" customFormat="false" ht="15" hidden="false" customHeight="false" outlineLevel="0" collapsed="false">
      <c r="A4894" s="19"/>
      <c r="B4894" s="19"/>
      <c r="C4894" s="19"/>
      <c r="D4894" s="19"/>
      <c r="E4894" s="22"/>
      <c r="F4894" s="19"/>
      <c r="G4894" s="26" t="str">
        <f aca="false">IF(D4894="","",IFERROR(VALUE(LEFT(D4894,FIND(" |",D4894&amp;" |")-1)),"?"))</f>
        <v/>
      </c>
      <c r="H4894" s="27" t="str">
        <f aca="false">IF(G4894="","",IF(G4894="?","⚠ pub inconnue",IFERROR(INDEX(Pubs!$B$2:$B$3001,MATCH(G4894,Pubs!$A$2:$A$3001,0))&amp;"","⚠ pub inconnue")))</f>
        <v/>
      </c>
      <c r="I4894" s="27" t="str">
        <f aca="false">IF(OR(G4894="",G4894="?"),"",IFERROR(INDEX(Pubs!$C$2:$C$3001,MATCH(G4894,Pubs!$A$2:$A$3001,0))&amp;"",""))</f>
        <v/>
      </c>
      <c r="J4894" s="27" t="str">
        <f aca="false">IF(OR(G4894="",G4894="?"),"",IFERROR(INDEX(Pubs!$G$2:$G$3001,MATCH(G4894,Pubs!$A$2:$A$3001,0))&amp;"",""))</f>
        <v/>
      </c>
      <c r="K4894" s="28" t="str">
        <f aca="false">IF(OR(G4894="",G4894="?"),"",IFERROR(INDEX(Pubs!$E$2:$E$3001,MATCH(G4894,Pubs!$A$2:$A$3001,0)),""))</f>
        <v/>
      </c>
      <c r="L4894" s="29" t="str">
        <f aca="false">IF(A4894="","",IFERROR(1/(1/INDEX(Numéros!$C$2:$C$3001,MATCH(A4894&amp;"|"&amp;B4894,Numéros!$F$2:$F$3001,0))),""))</f>
        <v/>
      </c>
      <c r="M4894" s="27" t="str">
        <f aca="false">IF(OR(G4894="",G4894="?"),"",IFERROR(INDEX(Pubs!$D$2:$D$3001,MATCH(G4894,Pubs!$A$2:$A$3001,0))&amp;"",""))</f>
        <v/>
      </c>
      <c r="N4894" s="27" t="n">
        <f aca="false">N(N4893)+IF(AND(A4894&lt;&gt;"",OR(Recherche!$C$4="",A4894=Recherche!$C$4),OR(Recherche!$C$5="",B4894&amp;""=Recherche!$C$5&amp;""),OR(Recherche!$C$6="",IFERROR(YEAR(L4894),0)=Recherche!$C$6),OR(Recherche!$C$7="",ISNUMBER(SEARCH(Recherche!$C$7,H4894))),OR(Recherche!$C$8="",J4894=Recherche!$C$8),OR(Recherche!$C$9="",I4894=Recherche!$C$9),OR(Recherche!$C$10="",G4894&amp;""=Recherche!$C$10&amp;""),OR(Recherche!$C$11="",E4894=Recherche!$C$11),OR(Recherche!$C$12="",ISNUMBER(SEARCH(Recherche!$C$12,M4894&amp;" "&amp;F4894)))),1,0)</f>
        <v>8</v>
      </c>
    </row>
    <row r="4895" customFormat="false" ht="15" hidden="false" customHeight="false" outlineLevel="0" collapsed="false">
      <c r="A4895" s="19"/>
      <c r="B4895" s="19"/>
      <c r="C4895" s="19"/>
      <c r="D4895" s="19"/>
      <c r="E4895" s="22"/>
      <c r="F4895" s="19"/>
      <c r="G4895" s="26" t="str">
        <f aca="false">IF(D4895="","",IFERROR(VALUE(LEFT(D4895,FIND(" |",D4895&amp;" |")-1)),"?"))</f>
        <v/>
      </c>
      <c r="H4895" s="27" t="str">
        <f aca="false">IF(G4895="","",IF(G4895="?","⚠ pub inconnue",IFERROR(INDEX(Pubs!$B$2:$B$3001,MATCH(G4895,Pubs!$A$2:$A$3001,0))&amp;"","⚠ pub inconnue")))</f>
        <v/>
      </c>
      <c r="I4895" s="27" t="str">
        <f aca="false">IF(OR(G4895="",G4895="?"),"",IFERROR(INDEX(Pubs!$C$2:$C$3001,MATCH(G4895,Pubs!$A$2:$A$3001,0))&amp;"",""))</f>
        <v/>
      </c>
      <c r="J4895" s="27" t="str">
        <f aca="false">IF(OR(G4895="",G4895="?"),"",IFERROR(INDEX(Pubs!$G$2:$G$3001,MATCH(G4895,Pubs!$A$2:$A$3001,0))&amp;"",""))</f>
        <v/>
      </c>
      <c r="K4895" s="28" t="str">
        <f aca="false">IF(OR(G4895="",G4895="?"),"",IFERROR(INDEX(Pubs!$E$2:$E$3001,MATCH(G4895,Pubs!$A$2:$A$3001,0)),""))</f>
        <v/>
      </c>
      <c r="L4895" s="29" t="str">
        <f aca="false">IF(A4895="","",IFERROR(1/(1/INDEX(Numéros!$C$2:$C$3001,MATCH(A4895&amp;"|"&amp;B4895,Numéros!$F$2:$F$3001,0))),""))</f>
        <v/>
      </c>
      <c r="M4895" s="27" t="str">
        <f aca="false">IF(OR(G4895="",G4895="?"),"",IFERROR(INDEX(Pubs!$D$2:$D$3001,MATCH(G4895,Pubs!$A$2:$A$3001,0))&amp;"",""))</f>
        <v/>
      </c>
      <c r="N4895" s="27" t="n">
        <f aca="false">N(N4894)+IF(AND(A4895&lt;&gt;"",OR(Recherche!$C$4="",A4895=Recherche!$C$4),OR(Recherche!$C$5="",B4895&amp;""=Recherche!$C$5&amp;""),OR(Recherche!$C$6="",IFERROR(YEAR(L4895),0)=Recherche!$C$6),OR(Recherche!$C$7="",ISNUMBER(SEARCH(Recherche!$C$7,H4895))),OR(Recherche!$C$8="",J4895=Recherche!$C$8),OR(Recherche!$C$9="",I4895=Recherche!$C$9),OR(Recherche!$C$10="",G4895&amp;""=Recherche!$C$10&amp;""),OR(Recherche!$C$11="",E4895=Recherche!$C$11),OR(Recherche!$C$12="",ISNUMBER(SEARCH(Recherche!$C$12,M4895&amp;" "&amp;F4895)))),1,0)</f>
        <v>8</v>
      </c>
    </row>
    <row r="4896" customFormat="false" ht="15" hidden="false" customHeight="false" outlineLevel="0" collapsed="false">
      <c r="A4896" s="19"/>
      <c r="B4896" s="19"/>
      <c r="C4896" s="19"/>
      <c r="D4896" s="19"/>
      <c r="E4896" s="22"/>
      <c r="F4896" s="19"/>
      <c r="G4896" s="26" t="str">
        <f aca="false">IF(D4896="","",IFERROR(VALUE(LEFT(D4896,FIND(" |",D4896&amp;" |")-1)),"?"))</f>
        <v/>
      </c>
      <c r="H4896" s="27" t="str">
        <f aca="false">IF(G4896="","",IF(G4896="?","⚠ pub inconnue",IFERROR(INDEX(Pubs!$B$2:$B$3001,MATCH(G4896,Pubs!$A$2:$A$3001,0))&amp;"","⚠ pub inconnue")))</f>
        <v/>
      </c>
      <c r="I4896" s="27" t="str">
        <f aca="false">IF(OR(G4896="",G4896="?"),"",IFERROR(INDEX(Pubs!$C$2:$C$3001,MATCH(G4896,Pubs!$A$2:$A$3001,0))&amp;"",""))</f>
        <v/>
      </c>
      <c r="J4896" s="27" t="str">
        <f aca="false">IF(OR(G4896="",G4896="?"),"",IFERROR(INDEX(Pubs!$G$2:$G$3001,MATCH(G4896,Pubs!$A$2:$A$3001,0))&amp;"",""))</f>
        <v/>
      </c>
      <c r="K4896" s="28" t="str">
        <f aca="false">IF(OR(G4896="",G4896="?"),"",IFERROR(INDEX(Pubs!$E$2:$E$3001,MATCH(G4896,Pubs!$A$2:$A$3001,0)),""))</f>
        <v/>
      </c>
      <c r="L4896" s="29" t="str">
        <f aca="false">IF(A4896="","",IFERROR(1/(1/INDEX(Numéros!$C$2:$C$3001,MATCH(A4896&amp;"|"&amp;B4896,Numéros!$F$2:$F$3001,0))),""))</f>
        <v/>
      </c>
      <c r="M4896" s="27" t="str">
        <f aca="false">IF(OR(G4896="",G4896="?"),"",IFERROR(INDEX(Pubs!$D$2:$D$3001,MATCH(G4896,Pubs!$A$2:$A$3001,0))&amp;"",""))</f>
        <v/>
      </c>
      <c r="N4896" s="27" t="n">
        <f aca="false">N(N4895)+IF(AND(A4896&lt;&gt;"",OR(Recherche!$C$4="",A4896=Recherche!$C$4),OR(Recherche!$C$5="",B4896&amp;""=Recherche!$C$5&amp;""),OR(Recherche!$C$6="",IFERROR(YEAR(L4896),0)=Recherche!$C$6),OR(Recherche!$C$7="",ISNUMBER(SEARCH(Recherche!$C$7,H4896))),OR(Recherche!$C$8="",J4896=Recherche!$C$8),OR(Recherche!$C$9="",I4896=Recherche!$C$9),OR(Recherche!$C$10="",G4896&amp;""=Recherche!$C$10&amp;""),OR(Recherche!$C$11="",E4896=Recherche!$C$11),OR(Recherche!$C$12="",ISNUMBER(SEARCH(Recherche!$C$12,M4896&amp;" "&amp;F4896)))),1,0)</f>
        <v>8</v>
      </c>
    </row>
    <row r="4897" customFormat="false" ht="15" hidden="false" customHeight="false" outlineLevel="0" collapsed="false">
      <c r="A4897" s="19"/>
      <c r="B4897" s="19"/>
      <c r="C4897" s="19"/>
      <c r="D4897" s="19"/>
      <c r="E4897" s="22"/>
      <c r="F4897" s="19"/>
      <c r="G4897" s="26" t="str">
        <f aca="false">IF(D4897="","",IFERROR(VALUE(LEFT(D4897,FIND(" |",D4897&amp;" |")-1)),"?"))</f>
        <v/>
      </c>
      <c r="H4897" s="27" t="str">
        <f aca="false">IF(G4897="","",IF(G4897="?","⚠ pub inconnue",IFERROR(INDEX(Pubs!$B$2:$B$3001,MATCH(G4897,Pubs!$A$2:$A$3001,0))&amp;"","⚠ pub inconnue")))</f>
        <v/>
      </c>
      <c r="I4897" s="27" t="str">
        <f aca="false">IF(OR(G4897="",G4897="?"),"",IFERROR(INDEX(Pubs!$C$2:$C$3001,MATCH(G4897,Pubs!$A$2:$A$3001,0))&amp;"",""))</f>
        <v/>
      </c>
      <c r="J4897" s="27" t="str">
        <f aca="false">IF(OR(G4897="",G4897="?"),"",IFERROR(INDEX(Pubs!$G$2:$G$3001,MATCH(G4897,Pubs!$A$2:$A$3001,0))&amp;"",""))</f>
        <v/>
      </c>
      <c r="K4897" s="28" t="str">
        <f aca="false">IF(OR(G4897="",G4897="?"),"",IFERROR(INDEX(Pubs!$E$2:$E$3001,MATCH(G4897,Pubs!$A$2:$A$3001,0)),""))</f>
        <v/>
      </c>
      <c r="L4897" s="29" t="str">
        <f aca="false">IF(A4897="","",IFERROR(1/(1/INDEX(Numéros!$C$2:$C$3001,MATCH(A4897&amp;"|"&amp;B4897,Numéros!$F$2:$F$3001,0))),""))</f>
        <v/>
      </c>
      <c r="M4897" s="27" t="str">
        <f aca="false">IF(OR(G4897="",G4897="?"),"",IFERROR(INDEX(Pubs!$D$2:$D$3001,MATCH(G4897,Pubs!$A$2:$A$3001,0))&amp;"",""))</f>
        <v/>
      </c>
      <c r="N4897" s="27" t="n">
        <f aca="false">N(N4896)+IF(AND(A4897&lt;&gt;"",OR(Recherche!$C$4="",A4897=Recherche!$C$4),OR(Recherche!$C$5="",B4897&amp;""=Recherche!$C$5&amp;""),OR(Recherche!$C$6="",IFERROR(YEAR(L4897),0)=Recherche!$C$6),OR(Recherche!$C$7="",ISNUMBER(SEARCH(Recherche!$C$7,H4897))),OR(Recherche!$C$8="",J4897=Recherche!$C$8),OR(Recherche!$C$9="",I4897=Recherche!$C$9),OR(Recherche!$C$10="",G4897&amp;""=Recherche!$C$10&amp;""),OR(Recherche!$C$11="",E4897=Recherche!$C$11),OR(Recherche!$C$12="",ISNUMBER(SEARCH(Recherche!$C$12,M4897&amp;" "&amp;F4897)))),1,0)</f>
        <v>8</v>
      </c>
    </row>
    <row r="4898" customFormat="false" ht="15" hidden="false" customHeight="false" outlineLevel="0" collapsed="false">
      <c r="A4898" s="19"/>
      <c r="B4898" s="19"/>
      <c r="C4898" s="19"/>
      <c r="D4898" s="19"/>
      <c r="E4898" s="22"/>
      <c r="F4898" s="19"/>
      <c r="G4898" s="26" t="str">
        <f aca="false">IF(D4898="","",IFERROR(VALUE(LEFT(D4898,FIND(" |",D4898&amp;" |")-1)),"?"))</f>
        <v/>
      </c>
      <c r="H4898" s="27" t="str">
        <f aca="false">IF(G4898="","",IF(G4898="?","⚠ pub inconnue",IFERROR(INDEX(Pubs!$B$2:$B$3001,MATCH(G4898,Pubs!$A$2:$A$3001,0))&amp;"","⚠ pub inconnue")))</f>
        <v/>
      </c>
      <c r="I4898" s="27" t="str">
        <f aca="false">IF(OR(G4898="",G4898="?"),"",IFERROR(INDEX(Pubs!$C$2:$C$3001,MATCH(G4898,Pubs!$A$2:$A$3001,0))&amp;"",""))</f>
        <v/>
      </c>
      <c r="J4898" s="27" t="str">
        <f aca="false">IF(OR(G4898="",G4898="?"),"",IFERROR(INDEX(Pubs!$G$2:$G$3001,MATCH(G4898,Pubs!$A$2:$A$3001,0))&amp;"",""))</f>
        <v/>
      </c>
      <c r="K4898" s="28" t="str">
        <f aca="false">IF(OR(G4898="",G4898="?"),"",IFERROR(INDEX(Pubs!$E$2:$E$3001,MATCH(G4898,Pubs!$A$2:$A$3001,0)),""))</f>
        <v/>
      </c>
      <c r="L4898" s="29" t="str">
        <f aca="false">IF(A4898="","",IFERROR(1/(1/INDEX(Numéros!$C$2:$C$3001,MATCH(A4898&amp;"|"&amp;B4898,Numéros!$F$2:$F$3001,0))),""))</f>
        <v/>
      </c>
      <c r="M4898" s="27" t="str">
        <f aca="false">IF(OR(G4898="",G4898="?"),"",IFERROR(INDEX(Pubs!$D$2:$D$3001,MATCH(G4898,Pubs!$A$2:$A$3001,0))&amp;"",""))</f>
        <v/>
      </c>
      <c r="N4898" s="27" t="n">
        <f aca="false">N(N4897)+IF(AND(A4898&lt;&gt;"",OR(Recherche!$C$4="",A4898=Recherche!$C$4),OR(Recherche!$C$5="",B4898&amp;""=Recherche!$C$5&amp;""),OR(Recherche!$C$6="",IFERROR(YEAR(L4898),0)=Recherche!$C$6),OR(Recherche!$C$7="",ISNUMBER(SEARCH(Recherche!$C$7,H4898))),OR(Recherche!$C$8="",J4898=Recherche!$C$8),OR(Recherche!$C$9="",I4898=Recherche!$C$9),OR(Recherche!$C$10="",G4898&amp;""=Recherche!$C$10&amp;""),OR(Recherche!$C$11="",E4898=Recherche!$C$11),OR(Recherche!$C$12="",ISNUMBER(SEARCH(Recherche!$C$12,M4898&amp;" "&amp;F4898)))),1,0)</f>
        <v>8</v>
      </c>
    </row>
    <row r="4899" customFormat="false" ht="15" hidden="false" customHeight="false" outlineLevel="0" collapsed="false">
      <c r="A4899" s="19"/>
      <c r="B4899" s="19"/>
      <c r="C4899" s="19"/>
      <c r="D4899" s="19"/>
      <c r="E4899" s="22"/>
      <c r="F4899" s="19"/>
      <c r="G4899" s="26" t="str">
        <f aca="false">IF(D4899="","",IFERROR(VALUE(LEFT(D4899,FIND(" |",D4899&amp;" |")-1)),"?"))</f>
        <v/>
      </c>
      <c r="H4899" s="27" t="str">
        <f aca="false">IF(G4899="","",IF(G4899="?","⚠ pub inconnue",IFERROR(INDEX(Pubs!$B$2:$B$3001,MATCH(G4899,Pubs!$A$2:$A$3001,0))&amp;"","⚠ pub inconnue")))</f>
        <v/>
      </c>
      <c r="I4899" s="27" t="str">
        <f aca="false">IF(OR(G4899="",G4899="?"),"",IFERROR(INDEX(Pubs!$C$2:$C$3001,MATCH(G4899,Pubs!$A$2:$A$3001,0))&amp;"",""))</f>
        <v/>
      </c>
      <c r="J4899" s="27" t="str">
        <f aca="false">IF(OR(G4899="",G4899="?"),"",IFERROR(INDEX(Pubs!$G$2:$G$3001,MATCH(G4899,Pubs!$A$2:$A$3001,0))&amp;"",""))</f>
        <v/>
      </c>
      <c r="K4899" s="28" t="str">
        <f aca="false">IF(OR(G4899="",G4899="?"),"",IFERROR(INDEX(Pubs!$E$2:$E$3001,MATCH(G4899,Pubs!$A$2:$A$3001,0)),""))</f>
        <v/>
      </c>
      <c r="L4899" s="29" t="str">
        <f aca="false">IF(A4899="","",IFERROR(1/(1/INDEX(Numéros!$C$2:$C$3001,MATCH(A4899&amp;"|"&amp;B4899,Numéros!$F$2:$F$3001,0))),""))</f>
        <v/>
      </c>
      <c r="M4899" s="27" t="str">
        <f aca="false">IF(OR(G4899="",G4899="?"),"",IFERROR(INDEX(Pubs!$D$2:$D$3001,MATCH(G4899,Pubs!$A$2:$A$3001,0))&amp;"",""))</f>
        <v/>
      </c>
      <c r="N4899" s="27" t="n">
        <f aca="false">N(N4898)+IF(AND(A4899&lt;&gt;"",OR(Recherche!$C$4="",A4899=Recherche!$C$4),OR(Recherche!$C$5="",B4899&amp;""=Recherche!$C$5&amp;""),OR(Recherche!$C$6="",IFERROR(YEAR(L4899),0)=Recherche!$C$6),OR(Recherche!$C$7="",ISNUMBER(SEARCH(Recherche!$C$7,H4899))),OR(Recherche!$C$8="",J4899=Recherche!$C$8),OR(Recherche!$C$9="",I4899=Recherche!$C$9),OR(Recherche!$C$10="",G4899&amp;""=Recherche!$C$10&amp;""),OR(Recherche!$C$11="",E4899=Recherche!$C$11),OR(Recherche!$C$12="",ISNUMBER(SEARCH(Recherche!$C$12,M4899&amp;" "&amp;F4899)))),1,0)</f>
        <v>8</v>
      </c>
    </row>
    <row r="4900" customFormat="false" ht="15" hidden="false" customHeight="false" outlineLevel="0" collapsed="false">
      <c r="A4900" s="19"/>
      <c r="B4900" s="19"/>
      <c r="C4900" s="19"/>
      <c r="D4900" s="19"/>
      <c r="E4900" s="22"/>
      <c r="F4900" s="19"/>
      <c r="G4900" s="26" t="str">
        <f aca="false">IF(D4900="","",IFERROR(VALUE(LEFT(D4900,FIND(" |",D4900&amp;" |")-1)),"?"))</f>
        <v/>
      </c>
      <c r="H4900" s="27" t="str">
        <f aca="false">IF(G4900="","",IF(G4900="?","⚠ pub inconnue",IFERROR(INDEX(Pubs!$B$2:$B$3001,MATCH(G4900,Pubs!$A$2:$A$3001,0))&amp;"","⚠ pub inconnue")))</f>
        <v/>
      </c>
      <c r="I4900" s="27" t="str">
        <f aca="false">IF(OR(G4900="",G4900="?"),"",IFERROR(INDEX(Pubs!$C$2:$C$3001,MATCH(G4900,Pubs!$A$2:$A$3001,0))&amp;"",""))</f>
        <v/>
      </c>
      <c r="J4900" s="27" t="str">
        <f aca="false">IF(OR(G4900="",G4900="?"),"",IFERROR(INDEX(Pubs!$G$2:$G$3001,MATCH(G4900,Pubs!$A$2:$A$3001,0))&amp;"",""))</f>
        <v/>
      </c>
      <c r="K4900" s="28" t="str">
        <f aca="false">IF(OR(G4900="",G4900="?"),"",IFERROR(INDEX(Pubs!$E$2:$E$3001,MATCH(G4900,Pubs!$A$2:$A$3001,0)),""))</f>
        <v/>
      </c>
      <c r="L4900" s="29" t="str">
        <f aca="false">IF(A4900="","",IFERROR(1/(1/INDEX(Numéros!$C$2:$C$3001,MATCH(A4900&amp;"|"&amp;B4900,Numéros!$F$2:$F$3001,0))),""))</f>
        <v/>
      </c>
      <c r="M4900" s="27" t="str">
        <f aca="false">IF(OR(G4900="",G4900="?"),"",IFERROR(INDEX(Pubs!$D$2:$D$3001,MATCH(G4900,Pubs!$A$2:$A$3001,0))&amp;"",""))</f>
        <v/>
      </c>
      <c r="N4900" s="27" t="n">
        <f aca="false">N(N4899)+IF(AND(A4900&lt;&gt;"",OR(Recherche!$C$4="",A4900=Recherche!$C$4),OR(Recherche!$C$5="",B4900&amp;""=Recherche!$C$5&amp;""),OR(Recherche!$C$6="",IFERROR(YEAR(L4900),0)=Recherche!$C$6),OR(Recherche!$C$7="",ISNUMBER(SEARCH(Recherche!$C$7,H4900))),OR(Recherche!$C$8="",J4900=Recherche!$C$8),OR(Recherche!$C$9="",I4900=Recherche!$C$9),OR(Recherche!$C$10="",G4900&amp;""=Recherche!$C$10&amp;""),OR(Recherche!$C$11="",E4900=Recherche!$C$11),OR(Recherche!$C$12="",ISNUMBER(SEARCH(Recherche!$C$12,M4900&amp;" "&amp;F4900)))),1,0)</f>
        <v>8</v>
      </c>
    </row>
    <row r="4901" customFormat="false" ht="15" hidden="false" customHeight="false" outlineLevel="0" collapsed="false">
      <c r="A4901" s="19"/>
      <c r="B4901" s="19"/>
      <c r="C4901" s="19"/>
      <c r="D4901" s="19"/>
      <c r="E4901" s="22"/>
      <c r="F4901" s="19"/>
      <c r="G4901" s="26" t="str">
        <f aca="false">IF(D4901="","",IFERROR(VALUE(LEFT(D4901,FIND(" |",D4901&amp;" |")-1)),"?"))</f>
        <v/>
      </c>
      <c r="H4901" s="27" t="str">
        <f aca="false">IF(G4901="","",IF(G4901="?","⚠ pub inconnue",IFERROR(INDEX(Pubs!$B$2:$B$3001,MATCH(G4901,Pubs!$A$2:$A$3001,0))&amp;"","⚠ pub inconnue")))</f>
        <v/>
      </c>
      <c r="I4901" s="27" t="str">
        <f aca="false">IF(OR(G4901="",G4901="?"),"",IFERROR(INDEX(Pubs!$C$2:$C$3001,MATCH(G4901,Pubs!$A$2:$A$3001,0))&amp;"",""))</f>
        <v/>
      </c>
      <c r="J4901" s="27" t="str">
        <f aca="false">IF(OR(G4901="",G4901="?"),"",IFERROR(INDEX(Pubs!$G$2:$G$3001,MATCH(G4901,Pubs!$A$2:$A$3001,0))&amp;"",""))</f>
        <v/>
      </c>
      <c r="K4901" s="28" t="str">
        <f aca="false">IF(OR(G4901="",G4901="?"),"",IFERROR(INDEX(Pubs!$E$2:$E$3001,MATCH(G4901,Pubs!$A$2:$A$3001,0)),""))</f>
        <v/>
      </c>
      <c r="L4901" s="29" t="str">
        <f aca="false">IF(A4901="","",IFERROR(1/(1/INDEX(Numéros!$C$2:$C$3001,MATCH(A4901&amp;"|"&amp;B4901,Numéros!$F$2:$F$3001,0))),""))</f>
        <v/>
      </c>
      <c r="M4901" s="27" t="str">
        <f aca="false">IF(OR(G4901="",G4901="?"),"",IFERROR(INDEX(Pubs!$D$2:$D$3001,MATCH(G4901,Pubs!$A$2:$A$3001,0))&amp;"",""))</f>
        <v/>
      </c>
      <c r="N4901" s="27" t="n">
        <f aca="false">N(N4900)+IF(AND(A4901&lt;&gt;"",OR(Recherche!$C$4="",A4901=Recherche!$C$4),OR(Recherche!$C$5="",B4901&amp;""=Recherche!$C$5&amp;""),OR(Recherche!$C$6="",IFERROR(YEAR(L4901),0)=Recherche!$C$6),OR(Recherche!$C$7="",ISNUMBER(SEARCH(Recherche!$C$7,H4901))),OR(Recherche!$C$8="",J4901=Recherche!$C$8),OR(Recherche!$C$9="",I4901=Recherche!$C$9),OR(Recherche!$C$10="",G4901&amp;""=Recherche!$C$10&amp;""),OR(Recherche!$C$11="",E4901=Recherche!$C$11),OR(Recherche!$C$12="",ISNUMBER(SEARCH(Recherche!$C$12,M4901&amp;" "&amp;F4901)))),1,0)</f>
        <v>8</v>
      </c>
    </row>
    <row r="4902" customFormat="false" ht="15" hidden="false" customHeight="false" outlineLevel="0" collapsed="false">
      <c r="A4902" s="19"/>
      <c r="B4902" s="19"/>
      <c r="C4902" s="19"/>
      <c r="D4902" s="19"/>
      <c r="E4902" s="22"/>
      <c r="F4902" s="19"/>
      <c r="G4902" s="26" t="str">
        <f aca="false">IF(D4902="","",IFERROR(VALUE(LEFT(D4902,FIND(" |",D4902&amp;" |")-1)),"?"))</f>
        <v/>
      </c>
      <c r="H4902" s="27" t="str">
        <f aca="false">IF(G4902="","",IF(G4902="?","⚠ pub inconnue",IFERROR(INDEX(Pubs!$B$2:$B$3001,MATCH(G4902,Pubs!$A$2:$A$3001,0))&amp;"","⚠ pub inconnue")))</f>
        <v/>
      </c>
      <c r="I4902" s="27" t="str">
        <f aca="false">IF(OR(G4902="",G4902="?"),"",IFERROR(INDEX(Pubs!$C$2:$C$3001,MATCH(G4902,Pubs!$A$2:$A$3001,0))&amp;"",""))</f>
        <v/>
      </c>
      <c r="J4902" s="27" t="str">
        <f aca="false">IF(OR(G4902="",G4902="?"),"",IFERROR(INDEX(Pubs!$G$2:$G$3001,MATCH(G4902,Pubs!$A$2:$A$3001,0))&amp;"",""))</f>
        <v/>
      </c>
      <c r="K4902" s="28" t="str">
        <f aca="false">IF(OR(G4902="",G4902="?"),"",IFERROR(INDEX(Pubs!$E$2:$E$3001,MATCH(G4902,Pubs!$A$2:$A$3001,0)),""))</f>
        <v/>
      </c>
      <c r="L4902" s="29" t="str">
        <f aca="false">IF(A4902="","",IFERROR(1/(1/INDEX(Numéros!$C$2:$C$3001,MATCH(A4902&amp;"|"&amp;B4902,Numéros!$F$2:$F$3001,0))),""))</f>
        <v/>
      </c>
      <c r="M4902" s="27" t="str">
        <f aca="false">IF(OR(G4902="",G4902="?"),"",IFERROR(INDEX(Pubs!$D$2:$D$3001,MATCH(G4902,Pubs!$A$2:$A$3001,0))&amp;"",""))</f>
        <v/>
      </c>
      <c r="N4902" s="27" t="n">
        <f aca="false">N(N4901)+IF(AND(A4902&lt;&gt;"",OR(Recherche!$C$4="",A4902=Recherche!$C$4),OR(Recherche!$C$5="",B4902&amp;""=Recherche!$C$5&amp;""),OR(Recherche!$C$6="",IFERROR(YEAR(L4902),0)=Recherche!$C$6),OR(Recherche!$C$7="",ISNUMBER(SEARCH(Recherche!$C$7,H4902))),OR(Recherche!$C$8="",J4902=Recherche!$C$8),OR(Recherche!$C$9="",I4902=Recherche!$C$9),OR(Recherche!$C$10="",G4902&amp;""=Recherche!$C$10&amp;""),OR(Recherche!$C$11="",E4902=Recherche!$C$11),OR(Recherche!$C$12="",ISNUMBER(SEARCH(Recherche!$C$12,M4902&amp;" "&amp;F4902)))),1,0)</f>
        <v>8</v>
      </c>
    </row>
    <row r="4903" customFormat="false" ht="15" hidden="false" customHeight="false" outlineLevel="0" collapsed="false">
      <c r="A4903" s="19"/>
      <c r="B4903" s="19"/>
      <c r="C4903" s="19"/>
      <c r="D4903" s="19"/>
      <c r="E4903" s="22"/>
      <c r="F4903" s="19"/>
      <c r="G4903" s="26" t="str">
        <f aca="false">IF(D4903="","",IFERROR(VALUE(LEFT(D4903,FIND(" |",D4903&amp;" |")-1)),"?"))</f>
        <v/>
      </c>
      <c r="H4903" s="27" t="str">
        <f aca="false">IF(G4903="","",IF(G4903="?","⚠ pub inconnue",IFERROR(INDEX(Pubs!$B$2:$B$3001,MATCH(G4903,Pubs!$A$2:$A$3001,0))&amp;"","⚠ pub inconnue")))</f>
        <v/>
      </c>
      <c r="I4903" s="27" t="str">
        <f aca="false">IF(OR(G4903="",G4903="?"),"",IFERROR(INDEX(Pubs!$C$2:$C$3001,MATCH(G4903,Pubs!$A$2:$A$3001,0))&amp;"",""))</f>
        <v/>
      </c>
      <c r="J4903" s="27" t="str">
        <f aca="false">IF(OR(G4903="",G4903="?"),"",IFERROR(INDEX(Pubs!$G$2:$G$3001,MATCH(G4903,Pubs!$A$2:$A$3001,0))&amp;"",""))</f>
        <v/>
      </c>
      <c r="K4903" s="28" t="str">
        <f aca="false">IF(OR(G4903="",G4903="?"),"",IFERROR(INDEX(Pubs!$E$2:$E$3001,MATCH(G4903,Pubs!$A$2:$A$3001,0)),""))</f>
        <v/>
      </c>
      <c r="L4903" s="29" t="str">
        <f aca="false">IF(A4903="","",IFERROR(1/(1/INDEX(Numéros!$C$2:$C$3001,MATCH(A4903&amp;"|"&amp;B4903,Numéros!$F$2:$F$3001,0))),""))</f>
        <v/>
      </c>
      <c r="M4903" s="27" t="str">
        <f aca="false">IF(OR(G4903="",G4903="?"),"",IFERROR(INDEX(Pubs!$D$2:$D$3001,MATCH(G4903,Pubs!$A$2:$A$3001,0))&amp;"",""))</f>
        <v/>
      </c>
      <c r="N4903" s="27" t="n">
        <f aca="false">N(N4902)+IF(AND(A4903&lt;&gt;"",OR(Recherche!$C$4="",A4903=Recherche!$C$4),OR(Recherche!$C$5="",B4903&amp;""=Recherche!$C$5&amp;""),OR(Recherche!$C$6="",IFERROR(YEAR(L4903),0)=Recherche!$C$6),OR(Recherche!$C$7="",ISNUMBER(SEARCH(Recherche!$C$7,H4903))),OR(Recherche!$C$8="",J4903=Recherche!$C$8),OR(Recherche!$C$9="",I4903=Recherche!$C$9),OR(Recherche!$C$10="",G4903&amp;""=Recherche!$C$10&amp;""),OR(Recherche!$C$11="",E4903=Recherche!$C$11),OR(Recherche!$C$12="",ISNUMBER(SEARCH(Recherche!$C$12,M4903&amp;" "&amp;F4903)))),1,0)</f>
        <v>8</v>
      </c>
    </row>
    <row r="4904" customFormat="false" ht="15" hidden="false" customHeight="false" outlineLevel="0" collapsed="false">
      <c r="A4904" s="19"/>
      <c r="B4904" s="19"/>
      <c r="C4904" s="19"/>
      <c r="D4904" s="19"/>
      <c r="E4904" s="22"/>
      <c r="F4904" s="19"/>
      <c r="G4904" s="26" t="str">
        <f aca="false">IF(D4904="","",IFERROR(VALUE(LEFT(D4904,FIND(" |",D4904&amp;" |")-1)),"?"))</f>
        <v/>
      </c>
      <c r="H4904" s="27" t="str">
        <f aca="false">IF(G4904="","",IF(G4904="?","⚠ pub inconnue",IFERROR(INDEX(Pubs!$B$2:$B$3001,MATCH(G4904,Pubs!$A$2:$A$3001,0))&amp;"","⚠ pub inconnue")))</f>
        <v/>
      </c>
      <c r="I4904" s="27" t="str">
        <f aca="false">IF(OR(G4904="",G4904="?"),"",IFERROR(INDEX(Pubs!$C$2:$C$3001,MATCH(G4904,Pubs!$A$2:$A$3001,0))&amp;"",""))</f>
        <v/>
      </c>
      <c r="J4904" s="27" t="str">
        <f aca="false">IF(OR(G4904="",G4904="?"),"",IFERROR(INDEX(Pubs!$G$2:$G$3001,MATCH(G4904,Pubs!$A$2:$A$3001,0))&amp;"",""))</f>
        <v/>
      </c>
      <c r="K4904" s="28" t="str">
        <f aca="false">IF(OR(G4904="",G4904="?"),"",IFERROR(INDEX(Pubs!$E$2:$E$3001,MATCH(G4904,Pubs!$A$2:$A$3001,0)),""))</f>
        <v/>
      </c>
      <c r="L4904" s="29" t="str">
        <f aca="false">IF(A4904="","",IFERROR(1/(1/INDEX(Numéros!$C$2:$C$3001,MATCH(A4904&amp;"|"&amp;B4904,Numéros!$F$2:$F$3001,0))),""))</f>
        <v/>
      </c>
      <c r="M4904" s="27" t="str">
        <f aca="false">IF(OR(G4904="",G4904="?"),"",IFERROR(INDEX(Pubs!$D$2:$D$3001,MATCH(G4904,Pubs!$A$2:$A$3001,0))&amp;"",""))</f>
        <v/>
      </c>
      <c r="N4904" s="27" t="n">
        <f aca="false">N(N4903)+IF(AND(A4904&lt;&gt;"",OR(Recherche!$C$4="",A4904=Recherche!$C$4),OR(Recherche!$C$5="",B4904&amp;""=Recherche!$C$5&amp;""),OR(Recherche!$C$6="",IFERROR(YEAR(L4904),0)=Recherche!$C$6),OR(Recherche!$C$7="",ISNUMBER(SEARCH(Recherche!$C$7,H4904))),OR(Recherche!$C$8="",J4904=Recherche!$C$8),OR(Recherche!$C$9="",I4904=Recherche!$C$9),OR(Recherche!$C$10="",G4904&amp;""=Recherche!$C$10&amp;""),OR(Recherche!$C$11="",E4904=Recherche!$C$11),OR(Recherche!$C$12="",ISNUMBER(SEARCH(Recherche!$C$12,M4904&amp;" "&amp;F4904)))),1,0)</f>
        <v>8</v>
      </c>
    </row>
    <row r="4905" customFormat="false" ht="15" hidden="false" customHeight="false" outlineLevel="0" collapsed="false">
      <c r="A4905" s="19"/>
      <c r="B4905" s="19"/>
      <c r="C4905" s="19"/>
      <c r="D4905" s="19"/>
      <c r="E4905" s="22"/>
      <c r="F4905" s="19"/>
      <c r="G4905" s="26" t="str">
        <f aca="false">IF(D4905="","",IFERROR(VALUE(LEFT(D4905,FIND(" |",D4905&amp;" |")-1)),"?"))</f>
        <v/>
      </c>
      <c r="H4905" s="27" t="str">
        <f aca="false">IF(G4905="","",IF(G4905="?","⚠ pub inconnue",IFERROR(INDEX(Pubs!$B$2:$B$3001,MATCH(G4905,Pubs!$A$2:$A$3001,0))&amp;"","⚠ pub inconnue")))</f>
        <v/>
      </c>
      <c r="I4905" s="27" t="str">
        <f aca="false">IF(OR(G4905="",G4905="?"),"",IFERROR(INDEX(Pubs!$C$2:$C$3001,MATCH(G4905,Pubs!$A$2:$A$3001,0))&amp;"",""))</f>
        <v/>
      </c>
      <c r="J4905" s="27" t="str">
        <f aca="false">IF(OR(G4905="",G4905="?"),"",IFERROR(INDEX(Pubs!$G$2:$G$3001,MATCH(G4905,Pubs!$A$2:$A$3001,0))&amp;"",""))</f>
        <v/>
      </c>
      <c r="K4905" s="28" t="str">
        <f aca="false">IF(OR(G4905="",G4905="?"),"",IFERROR(INDEX(Pubs!$E$2:$E$3001,MATCH(G4905,Pubs!$A$2:$A$3001,0)),""))</f>
        <v/>
      </c>
      <c r="L4905" s="29" t="str">
        <f aca="false">IF(A4905="","",IFERROR(1/(1/INDEX(Numéros!$C$2:$C$3001,MATCH(A4905&amp;"|"&amp;B4905,Numéros!$F$2:$F$3001,0))),""))</f>
        <v/>
      </c>
      <c r="M4905" s="27" t="str">
        <f aca="false">IF(OR(G4905="",G4905="?"),"",IFERROR(INDEX(Pubs!$D$2:$D$3001,MATCH(G4905,Pubs!$A$2:$A$3001,0))&amp;"",""))</f>
        <v/>
      </c>
      <c r="N4905" s="27" t="n">
        <f aca="false">N(N4904)+IF(AND(A4905&lt;&gt;"",OR(Recherche!$C$4="",A4905=Recherche!$C$4),OR(Recherche!$C$5="",B4905&amp;""=Recherche!$C$5&amp;""),OR(Recherche!$C$6="",IFERROR(YEAR(L4905),0)=Recherche!$C$6),OR(Recherche!$C$7="",ISNUMBER(SEARCH(Recherche!$C$7,H4905))),OR(Recherche!$C$8="",J4905=Recherche!$C$8),OR(Recherche!$C$9="",I4905=Recherche!$C$9),OR(Recherche!$C$10="",G4905&amp;""=Recherche!$C$10&amp;""),OR(Recherche!$C$11="",E4905=Recherche!$C$11),OR(Recherche!$C$12="",ISNUMBER(SEARCH(Recherche!$C$12,M4905&amp;" "&amp;F4905)))),1,0)</f>
        <v>8</v>
      </c>
    </row>
    <row r="4906" customFormat="false" ht="15" hidden="false" customHeight="false" outlineLevel="0" collapsed="false">
      <c r="A4906" s="19"/>
      <c r="B4906" s="19"/>
      <c r="C4906" s="19"/>
      <c r="D4906" s="19"/>
      <c r="E4906" s="22"/>
      <c r="F4906" s="19"/>
      <c r="G4906" s="26" t="str">
        <f aca="false">IF(D4906="","",IFERROR(VALUE(LEFT(D4906,FIND(" |",D4906&amp;" |")-1)),"?"))</f>
        <v/>
      </c>
      <c r="H4906" s="27" t="str">
        <f aca="false">IF(G4906="","",IF(G4906="?","⚠ pub inconnue",IFERROR(INDEX(Pubs!$B$2:$B$3001,MATCH(G4906,Pubs!$A$2:$A$3001,0))&amp;"","⚠ pub inconnue")))</f>
        <v/>
      </c>
      <c r="I4906" s="27" t="str">
        <f aca="false">IF(OR(G4906="",G4906="?"),"",IFERROR(INDEX(Pubs!$C$2:$C$3001,MATCH(G4906,Pubs!$A$2:$A$3001,0))&amp;"",""))</f>
        <v/>
      </c>
      <c r="J4906" s="27" t="str">
        <f aca="false">IF(OR(G4906="",G4906="?"),"",IFERROR(INDEX(Pubs!$G$2:$G$3001,MATCH(G4906,Pubs!$A$2:$A$3001,0))&amp;"",""))</f>
        <v/>
      </c>
      <c r="K4906" s="28" t="str">
        <f aca="false">IF(OR(G4906="",G4906="?"),"",IFERROR(INDEX(Pubs!$E$2:$E$3001,MATCH(G4906,Pubs!$A$2:$A$3001,0)),""))</f>
        <v/>
      </c>
      <c r="L4906" s="29" t="str">
        <f aca="false">IF(A4906="","",IFERROR(1/(1/INDEX(Numéros!$C$2:$C$3001,MATCH(A4906&amp;"|"&amp;B4906,Numéros!$F$2:$F$3001,0))),""))</f>
        <v/>
      </c>
      <c r="M4906" s="27" t="str">
        <f aca="false">IF(OR(G4906="",G4906="?"),"",IFERROR(INDEX(Pubs!$D$2:$D$3001,MATCH(G4906,Pubs!$A$2:$A$3001,0))&amp;"",""))</f>
        <v/>
      </c>
      <c r="N4906" s="27" t="n">
        <f aca="false">N(N4905)+IF(AND(A4906&lt;&gt;"",OR(Recherche!$C$4="",A4906=Recherche!$C$4),OR(Recherche!$C$5="",B4906&amp;""=Recherche!$C$5&amp;""),OR(Recherche!$C$6="",IFERROR(YEAR(L4906),0)=Recherche!$C$6),OR(Recherche!$C$7="",ISNUMBER(SEARCH(Recherche!$C$7,H4906))),OR(Recherche!$C$8="",J4906=Recherche!$C$8),OR(Recherche!$C$9="",I4906=Recherche!$C$9),OR(Recherche!$C$10="",G4906&amp;""=Recherche!$C$10&amp;""),OR(Recherche!$C$11="",E4906=Recherche!$C$11),OR(Recherche!$C$12="",ISNUMBER(SEARCH(Recherche!$C$12,M4906&amp;" "&amp;F4906)))),1,0)</f>
        <v>8</v>
      </c>
    </row>
    <row r="4907" customFormat="false" ht="15" hidden="false" customHeight="false" outlineLevel="0" collapsed="false">
      <c r="A4907" s="19"/>
      <c r="B4907" s="19"/>
      <c r="C4907" s="19"/>
      <c r="D4907" s="19"/>
      <c r="E4907" s="22"/>
      <c r="F4907" s="19"/>
      <c r="G4907" s="26" t="str">
        <f aca="false">IF(D4907="","",IFERROR(VALUE(LEFT(D4907,FIND(" |",D4907&amp;" |")-1)),"?"))</f>
        <v/>
      </c>
      <c r="H4907" s="27" t="str">
        <f aca="false">IF(G4907="","",IF(G4907="?","⚠ pub inconnue",IFERROR(INDEX(Pubs!$B$2:$B$3001,MATCH(G4907,Pubs!$A$2:$A$3001,0))&amp;"","⚠ pub inconnue")))</f>
        <v/>
      </c>
      <c r="I4907" s="27" t="str">
        <f aca="false">IF(OR(G4907="",G4907="?"),"",IFERROR(INDEX(Pubs!$C$2:$C$3001,MATCH(G4907,Pubs!$A$2:$A$3001,0))&amp;"",""))</f>
        <v/>
      </c>
      <c r="J4907" s="27" t="str">
        <f aca="false">IF(OR(G4907="",G4907="?"),"",IFERROR(INDEX(Pubs!$G$2:$G$3001,MATCH(G4907,Pubs!$A$2:$A$3001,0))&amp;"",""))</f>
        <v/>
      </c>
      <c r="K4907" s="28" t="str">
        <f aca="false">IF(OR(G4907="",G4907="?"),"",IFERROR(INDEX(Pubs!$E$2:$E$3001,MATCH(G4907,Pubs!$A$2:$A$3001,0)),""))</f>
        <v/>
      </c>
      <c r="L4907" s="29" t="str">
        <f aca="false">IF(A4907="","",IFERROR(1/(1/INDEX(Numéros!$C$2:$C$3001,MATCH(A4907&amp;"|"&amp;B4907,Numéros!$F$2:$F$3001,0))),""))</f>
        <v/>
      </c>
      <c r="M4907" s="27" t="str">
        <f aca="false">IF(OR(G4907="",G4907="?"),"",IFERROR(INDEX(Pubs!$D$2:$D$3001,MATCH(G4907,Pubs!$A$2:$A$3001,0))&amp;"",""))</f>
        <v/>
      </c>
      <c r="N4907" s="27" t="n">
        <f aca="false">N(N4906)+IF(AND(A4907&lt;&gt;"",OR(Recherche!$C$4="",A4907=Recherche!$C$4),OR(Recherche!$C$5="",B4907&amp;""=Recherche!$C$5&amp;""),OR(Recherche!$C$6="",IFERROR(YEAR(L4907),0)=Recherche!$C$6),OR(Recherche!$C$7="",ISNUMBER(SEARCH(Recherche!$C$7,H4907))),OR(Recherche!$C$8="",J4907=Recherche!$C$8),OR(Recherche!$C$9="",I4907=Recherche!$C$9),OR(Recherche!$C$10="",G4907&amp;""=Recherche!$C$10&amp;""),OR(Recherche!$C$11="",E4907=Recherche!$C$11),OR(Recherche!$C$12="",ISNUMBER(SEARCH(Recherche!$C$12,M4907&amp;" "&amp;F4907)))),1,0)</f>
        <v>8</v>
      </c>
    </row>
    <row r="4908" customFormat="false" ht="15" hidden="false" customHeight="false" outlineLevel="0" collapsed="false">
      <c r="A4908" s="19"/>
      <c r="B4908" s="19"/>
      <c r="C4908" s="19"/>
      <c r="D4908" s="19"/>
      <c r="E4908" s="22"/>
      <c r="F4908" s="19"/>
      <c r="G4908" s="26" t="str">
        <f aca="false">IF(D4908="","",IFERROR(VALUE(LEFT(D4908,FIND(" |",D4908&amp;" |")-1)),"?"))</f>
        <v/>
      </c>
      <c r="H4908" s="27" t="str">
        <f aca="false">IF(G4908="","",IF(G4908="?","⚠ pub inconnue",IFERROR(INDEX(Pubs!$B$2:$B$3001,MATCH(G4908,Pubs!$A$2:$A$3001,0))&amp;"","⚠ pub inconnue")))</f>
        <v/>
      </c>
      <c r="I4908" s="27" t="str">
        <f aca="false">IF(OR(G4908="",G4908="?"),"",IFERROR(INDEX(Pubs!$C$2:$C$3001,MATCH(G4908,Pubs!$A$2:$A$3001,0))&amp;"",""))</f>
        <v/>
      </c>
      <c r="J4908" s="27" t="str">
        <f aca="false">IF(OR(G4908="",G4908="?"),"",IFERROR(INDEX(Pubs!$G$2:$G$3001,MATCH(G4908,Pubs!$A$2:$A$3001,0))&amp;"",""))</f>
        <v/>
      </c>
      <c r="K4908" s="28" t="str">
        <f aca="false">IF(OR(G4908="",G4908="?"),"",IFERROR(INDEX(Pubs!$E$2:$E$3001,MATCH(G4908,Pubs!$A$2:$A$3001,0)),""))</f>
        <v/>
      </c>
      <c r="L4908" s="29" t="str">
        <f aca="false">IF(A4908="","",IFERROR(1/(1/INDEX(Numéros!$C$2:$C$3001,MATCH(A4908&amp;"|"&amp;B4908,Numéros!$F$2:$F$3001,0))),""))</f>
        <v/>
      </c>
      <c r="M4908" s="27" t="str">
        <f aca="false">IF(OR(G4908="",G4908="?"),"",IFERROR(INDEX(Pubs!$D$2:$D$3001,MATCH(G4908,Pubs!$A$2:$A$3001,0))&amp;"",""))</f>
        <v/>
      </c>
      <c r="N4908" s="27" t="n">
        <f aca="false">N(N4907)+IF(AND(A4908&lt;&gt;"",OR(Recherche!$C$4="",A4908=Recherche!$C$4),OR(Recherche!$C$5="",B4908&amp;""=Recherche!$C$5&amp;""),OR(Recherche!$C$6="",IFERROR(YEAR(L4908),0)=Recherche!$C$6),OR(Recherche!$C$7="",ISNUMBER(SEARCH(Recherche!$C$7,H4908))),OR(Recherche!$C$8="",J4908=Recherche!$C$8),OR(Recherche!$C$9="",I4908=Recherche!$C$9),OR(Recherche!$C$10="",G4908&amp;""=Recherche!$C$10&amp;""),OR(Recherche!$C$11="",E4908=Recherche!$C$11),OR(Recherche!$C$12="",ISNUMBER(SEARCH(Recherche!$C$12,M4908&amp;" "&amp;F4908)))),1,0)</f>
        <v>8</v>
      </c>
    </row>
    <row r="4909" customFormat="false" ht="15" hidden="false" customHeight="false" outlineLevel="0" collapsed="false">
      <c r="A4909" s="19"/>
      <c r="B4909" s="19"/>
      <c r="C4909" s="19"/>
      <c r="D4909" s="19"/>
      <c r="E4909" s="22"/>
      <c r="F4909" s="19"/>
      <c r="G4909" s="26" t="str">
        <f aca="false">IF(D4909="","",IFERROR(VALUE(LEFT(D4909,FIND(" |",D4909&amp;" |")-1)),"?"))</f>
        <v/>
      </c>
      <c r="H4909" s="27" t="str">
        <f aca="false">IF(G4909="","",IF(G4909="?","⚠ pub inconnue",IFERROR(INDEX(Pubs!$B$2:$B$3001,MATCH(G4909,Pubs!$A$2:$A$3001,0))&amp;"","⚠ pub inconnue")))</f>
        <v/>
      </c>
      <c r="I4909" s="27" t="str">
        <f aca="false">IF(OR(G4909="",G4909="?"),"",IFERROR(INDEX(Pubs!$C$2:$C$3001,MATCH(G4909,Pubs!$A$2:$A$3001,0))&amp;"",""))</f>
        <v/>
      </c>
      <c r="J4909" s="27" t="str">
        <f aca="false">IF(OR(G4909="",G4909="?"),"",IFERROR(INDEX(Pubs!$G$2:$G$3001,MATCH(G4909,Pubs!$A$2:$A$3001,0))&amp;"",""))</f>
        <v/>
      </c>
      <c r="K4909" s="28" t="str">
        <f aca="false">IF(OR(G4909="",G4909="?"),"",IFERROR(INDEX(Pubs!$E$2:$E$3001,MATCH(G4909,Pubs!$A$2:$A$3001,0)),""))</f>
        <v/>
      </c>
      <c r="L4909" s="29" t="str">
        <f aca="false">IF(A4909="","",IFERROR(1/(1/INDEX(Numéros!$C$2:$C$3001,MATCH(A4909&amp;"|"&amp;B4909,Numéros!$F$2:$F$3001,0))),""))</f>
        <v/>
      </c>
      <c r="M4909" s="27" t="str">
        <f aca="false">IF(OR(G4909="",G4909="?"),"",IFERROR(INDEX(Pubs!$D$2:$D$3001,MATCH(G4909,Pubs!$A$2:$A$3001,0))&amp;"",""))</f>
        <v/>
      </c>
      <c r="N4909" s="27" t="n">
        <f aca="false">N(N4908)+IF(AND(A4909&lt;&gt;"",OR(Recherche!$C$4="",A4909=Recherche!$C$4),OR(Recherche!$C$5="",B4909&amp;""=Recherche!$C$5&amp;""),OR(Recherche!$C$6="",IFERROR(YEAR(L4909),0)=Recherche!$C$6),OR(Recherche!$C$7="",ISNUMBER(SEARCH(Recherche!$C$7,H4909))),OR(Recherche!$C$8="",J4909=Recherche!$C$8),OR(Recherche!$C$9="",I4909=Recherche!$C$9),OR(Recherche!$C$10="",G4909&amp;""=Recherche!$C$10&amp;""),OR(Recherche!$C$11="",E4909=Recherche!$C$11),OR(Recherche!$C$12="",ISNUMBER(SEARCH(Recherche!$C$12,M4909&amp;" "&amp;F4909)))),1,0)</f>
        <v>8</v>
      </c>
    </row>
    <row r="4910" customFormat="false" ht="15" hidden="false" customHeight="false" outlineLevel="0" collapsed="false">
      <c r="A4910" s="19"/>
      <c r="B4910" s="19"/>
      <c r="C4910" s="19"/>
      <c r="D4910" s="19"/>
      <c r="E4910" s="22"/>
      <c r="F4910" s="19"/>
      <c r="G4910" s="26" t="str">
        <f aca="false">IF(D4910="","",IFERROR(VALUE(LEFT(D4910,FIND(" |",D4910&amp;" |")-1)),"?"))</f>
        <v/>
      </c>
      <c r="H4910" s="27" t="str">
        <f aca="false">IF(G4910="","",IF(G4910="?","⚠ pub inconnue",IFERROR(INDEX(Pubs!$B$2:$B$3001,MATCH(G4910,Pubs!$A$2:$A$3001,0))&amp;"","⚠ pub inconnue")))</f>
        <v/>
      </c>
      <c r="I4910" s="27" t="str">
        <f aca="false">IF(OR(G4910="",G4910="?"),"",IFERROR(INDEX(Pubs!$C$2:$C$3001,MATCH(G4910,Pubs!$A$2:$A$3001,0))&amp;"",""))</f>
        <v/>
      </c>
      <c r="J4910" s="27" t="str">
        <f aca="false">IF(OR(G4910="",G4910="?"),"",IFERROR(INDEX(Pubs!$G$2:$G$3001,MATCH(G4910,Pubs!$A$2:$A$3001,0))&amp;"",""))</f>
        <v/>
      </c>
      <c r="K4910" s="28" t="str">
        <f aca="false">IF(OR(G4910="",G4910="?"),"",IFERROR(INDEX(Pubs!$E$2:$E$3001,MATCH(G4910,Pubs!$A$2:$A$3001,0)),""))</f>
        <v/>
      </c>
      <c r="L4910" s="29" t="str">
        <f aca="false">IF(A4910="","",IFERROR(1/(1/INDEX(Numéros!$C$2:$C$3001,MATCH(A4910&amp;"|"&amp;B4910,Numéros!$F$2:$F$3001,0))),""))</f>
        <v/>
      </c>
      <c r="M4910" s="27" t="str">
        <f aca="false">IF(OR(G4910="",G4910="?"),"",IFERROR(INDEX(Pubs!$D$2:$D$3001,MATCH(G4910,Pubs!$A$2:$A$3001,0))&amp;"",""))</f>
        <v/>
      </c>
      <c r="N4910" s="27" t="n">
        <f aca="false">N(N4909)+IF(AND(A4910&lt;&gt;"",OR(Recherche!$C$4="",A4910=Recherche!$C$4),OR(Recherche!$C$5="",B4910&amp;""=Recherche!$C$5&amp;""),OR(Recherche!$C$6="",IFERROR(YEAR(L4910),0)=Recherche!$C$6),OR(Recherche!$C$7="",ISNUMBER(SEARCH(Recherche!$C$7,H4910))),OR(Recherche!$C$8="",J4910=Recherche!$C$8),OR(Recherche!$C$9="",I4910=Recherche!$C$9),OR(Recherche!$C$10="",G4910&amp;""=Recherche!$C$10&amp;""),OR(Recherche!$C$11="",E4910=Recherche!$C$11),OR(Recherche!$C$12="",ISNUMBER(SEARCH(Recherche!$C$12,M4910&amp;" "&amp;F4910)))),1,0)</f>
        <v>8</v>
      </c>
    </row>
    <row r="4911" customFormat="false" ht="15" hidden="false" customHeight="false" outlineLevel="0" collapsed="false">
      <c r="A4911" s="19"/>
      <c r="B4911" s="19"/>
      <c r="C4911" s="19"/>
      <c r="D4911" s="19"/>
      <c r="E4911" s="22"/>
      <c r="F4911" s="19"/>
      <c r="G4911" s="26" t="str">
        <f aca="false">IF(D4911="","",IFERROR(VALUE(LEFT(D4911,FIND(" |",D4911&amp;" |")-1)),"?"))</f>
        <v/>
      </c>
      <c r="H4911" s="27" t="str">
        <f aca="false">IF(G4911="","",IF(G4911="?","⚠ pub inconnue",IFERROR(INDEX(Pubs!$B$2:$B$3001,MATCH(G4911,Pubs!$A$2:$A$3001,0))&amp;"","⚠ pub inconnue")))</f>
        <v/>
      </c>
      <c r="I4911" s="27" t="str">
        <f aca="false">IF(OR(G4911="",G4911="?"),"",IFERROR(INDEX(Pubs!$C$2:$C$3001,MATCH(G4911,Pubs!$A$2:$A$3001,0))&amp;"",""))</f>
        <v/>
      </c>
      <c r="J4911" s="27" t="str">
        <f aca="false">IF(OR(G4911="",G4911="?"),"",IFERROR(INDEX(Pubs!$G$2:$G$3001,MATCH(G4911,Pubs!$A$2:$A$3001,0))&amp;"",""))</f>
        <v/>
      </c>
      <c r="K4911" s="28" t="str">
        <f aca="false">IF(OR(G4911="",G4911="?"),"",IFERROR(INDEX(Pubs!$E$2:$E$3001,MATCH(G4911,Pubs!$A$2:$A$3001,0)),""))</f>
        <v/>
      </c>
      <c r="L4911" s="29" t="str">
        <f aca="false">IF(A4911="","",IFERROR(1/(1/INDEX(Numéros!$C$2:$C$3001,MATCH(A4911&amp;"|"&amp;B4911,Numéros!$F$2:$F$3001,0))),""))</f>
        <v/>
      </c>
      <c r="M4911" s="27" t="str">
        <f aca="false">IF(OR(G4911="",G4911="?"),"",IFERROR(INDEX(Pubs!$D$2:$D$3001,MATCH(G4911,Pubs!$A$2:$A$3001,0))&amp;"",""))</f>
        <v/>
      </c>
      <c r="N4911" s="27" t="n">
        <f aca="false">N(N4910)+IF(AND(A4911&lt;&gt;"",OR(Recherche!$C$4="",A4911=Recherche!$C$4),OR(Recherche!$C$5="",B4911&amp;""=Recherche!$C$5&amp;""),OR(Recherche!$C$6="",IFERROR(YEAR(L4911),0)=Recherche!$C$6),OR(Recherche!$C$7="",ISNUMBER(SEARCH(Recherche!$C$7,H4911))),OR(Recherche!$C$8="",J4911=Recherche!$C$8),OR(Recherche!$C$9="",I4911=Recherche!$C$9),OR(Recherche!$C$10="",G4911&amp;""=Recherche!$C$10&amp;""),OR(Recherche!$C$11="",E4911=Recherche!$C$11),OR(Recherche!$C$12="",ISNUMBER(SEARCH(Recherche!$C$12,M4911&amp;" "&amp;F4911)))),1,0)</f>
        <v>8</v>
      </c>
    </row>
    <row r="4912" customFormat="false" ht="15" hidden="false" customHeight="false" outlineLevel="0" collapsed="false">
      <c r="A4912" s="19"/>
      <c r="B4912" s="19"/>
      <c r="C4912" s="19"/>
      <c r="D4912" s="19"/>
      <c r="E4912" s="22"/>
      <c r="F4912" s="19"/>
      <c r="G4912" s="26" t="str">
        <f aca="false">IF(D4912="","",IFERROR(VALUE(LEFT(D4912,FIND(" |",D4912&amp;" |")-1)),"?"))</f>
        <v/>
      </c>
      <c r="H4912" s="27" t="str">
        <f aca="false">IF(G4912="","",IF(G4912="?","⚠ pub inconnue",IFERROR(INDEX(Pubs!$B$2:$B$3001,MATCH(G4912,Pubs!$A$2:$A$3001,0))&amp;"","⚠ pub inconnue")))</f>
        <v/>
      </c>
      <c r="I4912" s="27" t="str">
        <f aca="false">IF(OR(G4912="",G4912="?"),"",IFERROR(INDEX(Pubs!$C$2:$C$3001,MATCH(G4912,Pubs!$A$2:$A$3001,0))&amp;"",""))</f>
        <v/>
      </c>
      <c r="J4912" s="27" t="str">
        <f aca="false">IF(OR(G4912="",G4912="?"),"",IFERROR(INDEX(Pubs!$G$2:$G$3001,MATCH(G4912,Pubs!$A$2:$A$3001,0))&amp;"",""))</f>
        <v/>
      </c>
      <c r="K4912" s="28" t="str">
        <f aca="false">IF(OR(G4912="",G4912="?"),"",IFERROR(INDEX(Pubs!$E$2:$E$3001,MATCH(G4912,Pubs!$A$2:$A$3001,0)),""))</f>
        <v/>
      </c>
      <c r="L4912" s="29" t="str">
        <f aca="false">IF(A4912="","",IFERROR(1/(1/INDEX(Numéros!$C$2:$C$3001,MATCH(A4912&amp;"|"&amp;B4912,Numéros!$F$2:$F$3001,0))),""))</f>
        <v/>
      </c>
      <c r="M4912" s="27" t="str">
        <f aca="false">IF(OR(G4912="",G4912="?"),"",IFERROR(INDEX(Pubs!$D$2:$D$3001,MATCH(G4912,Pubs!$A$2:$A$3001,0))&amp;"",""))</f>
        <v/>
      </c>
      <c r="N4912" s="27" t="n">
        <f aca="false">N(N4911)+IF(AND(A4912&lt;&gt;"",OR(Recherche!$C$4="",A4912=Recherche!$C$4),OR(Recherche!$C$5="",B4912&amp;""=Recherche!$C$5&amp;""),OR(Recherche!$C$6="",IFERROR(YEAR(L4912),0)=Recherche!$C$6),OR(Recherche!$C$7="",ISNUMBER(SEARCH(Recherche!$C$7,H4912))),OR(Recherche!$C$8="",J4912=Recherche!$C$8),OR(Recherche!$C$9="",I4912=Recherche!$C$9),OR(Recherche!$C$10="",G4912&amp;""=Recherche!$C$10&amp;""),OR(Recherche!$C$11="",E4912=Recherche!$C$11),OR(Recherche!$C$12="",ISNUMBER(SEARCH(Recherche!$C$12,M4912&amp;" "&amp;F4912)))),1,0)</f>
        <v>8</v>
      </c>
    </row>
    <row r="4913" customFormat="false" ht="15" hidden="false" customHeight="false" outlineLevel="0" collapsed="false">
      <c r="A4913" s="19"/>
      <c r="B4913" s="19"/>
      <c r="C4913" s="19"/>
      <c r="D4913" s="19"/>
      <c r="E4913" s="22"/>
      <c r="F4913" s="19"/>
      <c r="G4913" s="26" t="str">
        <f aca="false">IF(D4913="","",IFERROR(VALUE(LEFT(D4913,FIND(" |",D4913&amp;" |")-1)),"?"))</f>
        <v/>
      </c>
      <c r="H4913" s="27" t="str">
        <f aca="false">IF(G4913="","",IF(G4913="?","⚠ pub inconnue",IFERROR(INDEX(Pubs!$B$2:$B$3001,MATCH(G4913,Pubs!$A$2:$A$3001,0))&amp;"","⚠ pub inconnue")))</f>
        <v/>
      </c>
      <c r="I4913" s="27" t="str">
        <f aca="false">IF(OR(G4913="",G4913="?"),"",IFERROR(INDEX(Pubs!$C$2:$C$3001,MATCH(G4913,Pubs!$A$2:$A$3001,0))&amp;"",""))</f>
        <v/>
      </c>
      <c r="J4913" s="27" t="str">
        <f aca="false">IF(OR(G4913="",G4913="?"),"",IFERROR(INDEX(Pubs!$G$2:$G$3001,MATCH(G4913,Pubs!$A$2:$A$3001,0))&amp;"",""))</f>
        <v/>
      </c>
      <c r="K4913" s="28" t="str">
        <f aca="false">IF(OR(G4913="",G4913="?"),"",IFERROR(INDEX(Pubs!$E$2:$E$3001,MATCH(G4913,Pubs!$A$2:$A$3001,0)),""))</f>
        <v/>
      </c>
      <c r="L4913" s="29" t="str">
        <f aca="false">IF(A4913="","",IFERROR(1/(1/INDEX(Numéros!$C$2:$C$3001,MATCH(A4913&amp;"|"&amp;B4913,Numéros!$F$2:$F$3001,0))),""))</f>
        <v/>
      </c>
      <c r="M4913" s="27" t="str">
        <f aca="false">IF(OR(G4913="",G4913="?"),"",IFERROR(INDEX(Pubs!$D$2:$D$3001,MATCH(G4913,Pubs!$A$2:$A$3001,0))&amp;"",""))</f>
        <v/>
      </c>
      <c r="N4913" s="27" t="n">
        <f aca="false">N(N4912)+IF(AND(A4913&lt;&gt;"",OR(Recherche!$C$4="",A4913=Recherche!$C$4),OR(Recherche!$C$5="",B4913&amp;""=Recherche!$C$5&amp;""),OR(Recherche!$C$6="",IFERROR(YEAR(L4913),0)=Recherche!$C$6),OR(Recherche!$C$7="",ISNUMBER(SEARCH(Recherche!$C$7,H4913))),OR(Recherche!$C$8="",J4913=Recherche!$C$8),OR(Recherche!$C$9="",I4913=Recherche!$C$9),OR(Recherche!$C$10="",G4913&amp;""=Recherche!$C$10&amp;""),OR(Recherche!$C$11="",E4913=Recherche!$C$11),OR(Recherche!$C$12="",ISNUMBER(SEARCH(Recherche!$C$12,M4913&amp;" "&amp;F4913)))),1,0)</f>
        <v>8</v>
      </c>
    </row>
    <row r="4914" customFormat="false" ht="15" hidden="false" customHeight="false" outlineLevel="0" collapsed="false">
      <c r="A4914" s="19"/>
      <c r="B4914" s="19"/>
      <c r="C4914" s="19"/>
      <c r="D4914" s="19"/>
      <c r="E4914" s="22"/>
      <c r="F4914" s="19"/>
      <c r="G4914" s="26" t="str">
        <f aca="false">IF(D4914="","",IFERROR(VALUE(LEFT(D4914,FIND(" |",D4914&amp;" |")-1)),"?"))</f>
        <v/>
      </c>
      <c r="H4914" s="27" t="str">
        <f aca="false">IF(G4914="","",IF(G4914="?","⚠ pub inconnue",IFERROR(INDEX(Pubs!$B$2:$B$3001,MATCH(G4914,Pubs!$A$2:$A$3001,0))&amp;"","⚠ pub inconnue")))</f>
        <v/>
      </c>
      <c r="I4914" s="27" t="str">
        <f aca="false">IF(OR(G4914="",G4914="?"),"",IFERROR(INDEX(Pubs!$C$2:$C$3001,MATCH(G4914,Pubs!$A$2:$A$3001,0))&amp;"",""))</f>
        <v/>
      </c>
      <c r="J4914" s="27" t="str">
        <f aca="false">IF(OR(G4914="",G4914="?"),"",IFERROR(INDEX(Pubs!$G$2:$G$3001,MATCH(G4914,Pubs!$A$2:$A$3001,0))&amp;"",""))</f>
        <v/>
      </c>
      <c r="K4914" s="28" t="str">
        <f aca="false">IF(OR(G4914="",G4914="?"),"",IFERROR(INDEX(Pubs!$E$2:$E$3001,MATCH(G4914,Pubs!$A$2:$A$3001,0)),""))</f>
        <v/>
      </c>
      <c r="L4914" s="29" t="str">
        <f aca="false">IF(A4914="","",IFERROR(1/(1/INDEX(Numéros!$C$2:$C$3001,MATCH(A4914&amp;"|"&amp;B4914,Numéros!$F$2:$F$3001,0))),""))</f>
        <v/>
      </c>
      <c r="M4914" s="27" t="str">
        <f aca="false">IF(OR(G4914="",G4914="?"),"",IFERROR(INDEX(Pubs!$D$2:$D$3001,MATCH(G4914,Pubs!$A$2:$A$3001,0))&amp;"",""))</f>
        <v/>
      </c>
      <c r="N4914" s="27" t="n">
        <f aca="false">N(N4913)+IF(AND(A4914&lt;&gt;"",OR(Recherche!$C$4="",A4914=Recherche!$C$4),OR(Recherche!$C$5="",B4914&amp;""=Recherche!$C$5&amp;""),OR(Recherche!$C$6="",IFERROR(YEAR(L4914),0)=Recherche!$C$6),OR(Recherche!$C$7="",ISNUMBER(SEARCH(Recherche!$C$7,H4914))),OR(Recherche!$C$8="",J4914=Recherche!$C$8),OR(Recherche!$C$9="",I4914=Recherche!$C$9),OR(Recherche!$C$10="",G4914&amp;""=Recherche!$C$10&amp;""),OR(Recherche!$C$11="",E4914=Recherche!$C$11),OR(Recherche!$C$12="",ISNUMBER(SEARCH(Recherche!$C$12,M4914&amp;" "&amp;F4914)))),1,0)</f>
        <v>8</v>
      </c>
    </row>
    <row r="4915" customFormat="false" ht="15" hidden="false" customHeight="false" outlineLevel="0" collapsed="false">
      <c r="A4915" s="19"/>
      <c r="B4915" s="19"/>
      <c r="C4915" s="19"/>
      <c r="D4915" s="19"/>
      <c r="E4915" s="22"/>
      <c r="F4915" s="19"/>
      <c r="G4915" s="26" t="str">
        <f aca="false">IF(D4915="","",IFERROR(VALUE(LEFT(D4915,FIND(" |",D4915&amp;" |")-1)),"?"))</f>
        <v/>
      </c>
      <c r="H4915" s="27" t="str">
        <f aca="false">IF(G4915="","",IF(G4915="?","⚠ pub inconnue",IFERROR(INDEX(Pubs!$B$2:$B$3001,MATCH(G4915,Pubs!$A$2:$A$3001,0))&amp;"","⚠ pub inconnue")))</f>
        <v/>
      </c>
      <c r="I4915" s="27" t="str">
        <f aca="false">IF(OR(G4915="",G4915="?"),"",IFERROR(INDEX(Pubs!$C$2:$C$3001,MATCH(G4915,Pubs!$A$2:$A$3001,0))&amp;"",""))</f>
        <v/>
      </c>
      <c r="J4915" s="27" t="str">
        <f aca="false">IF(OR(G4915="",G4915="?"),"",IFERROR(INDEX(Pubs!$G$2:$G$3001,MATCH(G4915,Pubs!$A$2:$A$3001,0))&amp;"",""))</f>
        <v/>
      </c>
      <c r="K4915" s="28" t="str">
        <f aca="false">IF(OR(G4915="",G4915="?"),"",IFERROR(INDEX(Pubs!$E$2:$E$3001,MATCH(G4915,Pubs!$A$2:$A$3001,0)),""))</f>
        <v/>
      </c>
      <c r="L4915" s="29" t="str">
        <f aca="false">IF(A4915="","",IFERROR(1/(1/INDEX(Numéros!$C$2:$C$3001,MATCH(A4915&amp;"|"&amp;B4915,Numéros!$F$2:$F$3001,0))),""))</f>
        <v/>
      </c>
      <c r="M4915" s="27" t="str">
        <f aca="false">IF(OR(G4915="",G4915="?"),"",IFERROR(INDEX(Pubs!$D$2:$D$3001,MATCH(G4915,Pubs!$A$2:$A$3001,0))&amp;"",""))</f>
        <v/>
      </c>
      <c r="N4915" s="27" t="n">
        <f aca="false">N(N4914)+IF(AND(A4915&lt;&gt;"",OR(Recherche!$C$4="",A4915=Recherche!$C$4),OR(Recherche!$C$5="",B4915&amp;""=Recherche!$C$5&amp;""),OR(Recherche!$C$6="",IFERROR(YEAR(L4915),0)=Recherche!$C$6),OR(Recherche!$C$7="",ISNUMBER(SEARCH(Recherche!$C$7,H4915))),OR(Recherche!$C$8="",J4915=Recherche!$C$8),OR(Recherche!$C$9="",I4915=Recherche!$C$9),OR(Recherche!$C$10="",G4915&amp;""=Recherche!$C$10&amp;""),OR(Recherche!$C$11="",E4915=Recherche!$C$11),OR(Recherche!$C$12="",ISNUMBER(SEARCH(Recherche!$C$12,M4915&amp;" "&amp;F4915)))),1,0)</f>
        <v>8</v>
      </c>
    </row>
    <row r="4916" customFormat="false" ht="15" hidden="false" customHeight="false" outlineLevel="0" collapsed="false">
      <c r="A4916" s="19"/>
      <c r="B4916" s="19"/>
      <c r="C4916" s="19"/>
      <c r="D4916" s="19"/>
      <c r="E4916" s="22"/>
      <c r="F4916" s="19"/>
      <c r="G4916" s="26" t="str">
        <f aca="false">IF(D4916="","",IFERROR(VALUE(LEFT(D4916,FIND(" |",D4916&amp;" |")-1)),"?"))</f>
        <v/>
      </c>
      <c r="H4916" s="27" t="str">
        <f aca="false">IF(G4916="","",IF(G4916="?","⚠ pub inconnue",IFERROR(INDEX(Pubs!$B$2:$B$3001,MATCH(G4916,Pubs!$A$2:$A$3001,0))&amp;"","⚠ pub inconnue")))</f>
        <v/>
      </c>
      <c r="I4916" s="27" t="str">
        <f aca="false">IF(OR(G4916="",G4916="?"),"",IFERROR(INDEX(Pubs!$C$2:$C$3001,MATCH(G4916,Pubs!$A$2:$A$3001,0))&amp;"",""))</f>
        <v/>
      </c>
      <c r="J4916" s="27" t="str">
        <f aca="false">IF(OR(G4916="",G4916="?"),"",IFERROR(INDEX(Pubs!$G$2:$G$3001,MATCH(G4916,Pubs!$A$2:$A$3001,0))&amp;"",""))</f>
        <v/>
      </c>
      <c r="K4916" s="28" t="str">
        <f aca="false">IF(OR(G4916="",G4916="?"),"",IFERROR(INDEX(Pubs!$E$2:$E$3001,MATCH(G4916,Pubs!$A$2:$A$3001,0)),""))</f>
        <v/>
      </c>
      <c r="L4916" s="29" t="str">
        <f aca="false">IF(A4916="","",IFERROR(1/(1/INDEX(Numéros!$C$2:$C$3001,MATCH(A4916&amp;"|"&amp;B4916,Numéros!$F$2:$F$3001,0))),""))</f>
        <v/>
      </c>
      <c r="M4916" s="27" t="str">
        <f aca="false">IF(OR(G4916="",G4916="?"),"",IFERROR(INDEX(Pubs!$D$2:$D$3001,MATCH(G4916,Pubs!$A$2:$A$3001,0))&amp;"",""))</f>
        <v/>
      </c>
      <c r="N4916" s="27" t="n">
        <f aca="false">N(N4915)+IF(AND(A4916&lt;&gt;"",OR(Recherche!$C$4="",A4916=Recherche!$C$4),OR(Recherche!$C$5="",B4916&amp;""=Recherche!$C$5&amp;""),OR(Recherche!$C$6="",IFERROR(YEAR(L4916),0)=Recherche!$C$6),OR(Recherche!$C$7="",ISNUMBER(SEARCH(Recherche!$C$7,H4916))),OR(Recherche!$C$8="",J4916=Recherche!$C$8),OR(Recherche!$C$9="",I4916=Recherche!$C$9),OR(Recherche!$C$10="",G4916&amp;""=Recherche!$C$10&amp;""),OR(Recherche!$C$11="",E4916=Recherche!$C$11),OR(Recherche!$C$12="",ISNUMBER(SEARCH(Recherche!$C$12,M4916&amp;" "&amp;F4916)))),1,0)</f>
        <v>8</v>
      </c>
    </row>
    <row r="4917" customFormat="false" ht="15" hidden="false" customHeight="false" outlineLevel="0" collapsed="false">
      <c r="A4917" s="19"/>
      <c r="B4917" s="19"/>
      <c r="C4917" s="19"/>
      <c r="D4917" s="19"/>
      <c r="E4917" s="22"/>
      <c r="F4917" s="19"/>
      <c r="G4917" s="26" t="str">
        <f aca="false">IF(D4917="","",IFERROR(VALUE(LEFT(D4917,FIND(" |",D4917&amp;" |")-1)),"?"))</f>
        <v/>
      </c>
      <c r="H4917" s="27" t="str">
        <f aca="false">IF(G4917="","",IF(G4917="?","⚠ pub inconnue",IFERROR(INDEX(Pubs!$B$2:$B$3001,MATCH(G4917,Pubs!$A$2:$A$3001,0))&amp;"","⚠ pub inconnue")))</f>
        <v/>
      </c>
      <c r="I4917" s="27" t="str">
        <f aca="false">IF(OR(G4917="",G4917="?"),"",IFERROR(INDEX(Pubs!$C$2:$C$3001,MATCH(G4917,Pubs!$A$2:$A$3001,0))&amp;"",""))</f>
        <v/>
      </c>
      <c r="J4917" s="27" t="str">
        <f aca="false">IF(OR(G4917="",G4917="?"),"",IFERROR(INDEX(Pubs!$G$2:$G$3001,MATCH(G4917,Pubs!$A$2:$A$3001,0))&amp;"",""))</f>
        <v/>
      </c>
      <c r="K4917" s="28" t="str">
        <f aca="false">IF(OR(G4917="",G4917="?"),"",IFERROR(INDEX(Pubs!$E$2:$E$3001,MATCH(G4917,Pubs!$A$2:$A$3001,0)),""))</f>
        <v/>
      </c>
      <c r="L4917" s="29" t="str">
        <f aca="false">IF(A4917="","",IFERROR(1/(1/INDEX(Numéros!$C$2:$C$3001,MATCH(A4917&amp;"|"&amp;B4917,Numéros!$F$2:$F$3001,0))),""))</f>
        <v/>
      </c>
      <c r="M4917" s="27" t="str">
        <f aca="false">IF(OR(G4917="",G4917="?"),"",IFERROR(INDEX(Pubs!$D$2:$D$3001,MATCH(G4917,Pubs!$A$2:$A$3001,0))&amp;"",""))</f>
        <v/>
      </c>
      <c r="N4917" s="27" t="n">
        <f aca="false">N(N4916)+IF(AND(A4917&lt;&gt;"",OR(Recherche!$C$4="",A4917=Recherche!$C$4),OR(Recherche!$C$5="",B4917&amp;""=Recherche!$C$5&amp;""),OR(Recherche!$C$6="",IFERROR(YEAR(L4917),0)=Recherche!$C$6),OR(Recherche!$C$7="",ISNUMBER(SEARCH(Recherche!$C$7,H4917))),OR(Recherche!$C$8="",J4917=Recherche!$C$8),OR(Recherche!$C$9="",I4917=Recherche!$C$9),OR(Recherche!$C$10="",G4917&amp;""=Recherche!$C$10&amp;""),OR(Recherche!$C$11="",E4917=Recherche!$C$11),OR(Recherche!$C$12="",ISNUMBER(SEARCH(Recherche!$C$12,M4917&amp;" "&amp;F4917)))),1,0)</f>
        <v>8</v>
      </c>
    </row>
    <row r="4918" customFormat="false" ht="15" hidden="false" customHeight="false" outlineLevel="0" collapsed="false">
      <c r="A4918" s="19"/>
      <c r="B4918" s="19"/>
      <c r="C4918" s="19"/>
      <c r="D4918" s="19"/>
      <c r="E4918" s="22"/>
      <c r="F4918" s="19"/>
      <c r="G4918" s="26" t="str">
        <f aca="false">IF(D4918="","",IFERROR(VALUE(LEFT(D4918,FIND(" |",D4918&amp;" |")-1)),"?"))</f>
        <v/>
      </c>
      <c r="H4918" s="27" t="str">
        <f aca="false">IF(G4918="","",IF(G4918="?","⚠ pub inconnue",IFERROR(INDEX(Pubs!$B$2:$B$3001,MATCH(G4918,Pubs!$A$2:$A$3001,0))&amp;"","⚠ pub inconnue")))</f>
        <v/>
      </c>
      <c r="I4918" s="27" t="str">
        <f aca="false">IF(OR(G4918="",G4918="?"),"",IFERROR(INDEX(Pubs!$C$2:$C$3001,MATCH(G4918,Pubs!$A$2:$A$3001,0))&amp;"",""))</f>
        <v/>
      </c>
      <c r="J4918" s="27" t="str">
        <f aca="false">IF(OR(G4918="",G4918="?"),"",IFERROR(INDEX(Pubs!$G$2:$G$3001,MATCH(G4918,Pubs!$A$2:$A$3001,0))&amp;"",""))</f>
        <v/>
      </c>
      <c r="K4918" s="28" t="str">
        <f aca="false">IF(OR(G4918="",G4918="?"),"",IFERROR(INDEX(Pubs!$E$2:$E$3001,MATCH(G4918,Pubs!$A$2:$A$3001,0)),""))</f>
        <v/>
      </c>
      <c r="L4918" s="29" t="str">
        <f aca="false">IF(A4918="","",IFERROR(1/(1/INDEX(Numéros!$C$2:$C$3001,MATCH(A4918&amp;"|"&amp;B4918,Numéros!$F$2:$F$3001,0))),""))</f>
        <v/>
      </c>
      <c r="M4918" s="27" t="str">
        <f aca="false">IF(OR(G4918="",G4918="?"),"",IFERROR(INDEX(Pubs!$D$2:$D$3001,MATCH(G4918,Pubs!$A$2:$A$3001,0))&amp;"",""))</f>
        <v/>
      </c>
      <c r="N4918" s="27" t="n">
        <f aca="false">N(N4917)+IF(AND(A4918&lt;&gt;"",OR(Recherche!$C$4="",A4918=Recherche!$C$4),OR(Recherche!$C$5="",B4918&amp;""=Recherche!$C$5&amp;""),OR(Recherche!$C$6="",IFERROR(YEAR(L4918),0)=Recherche!$C$6),OR(Recherche!$C$7="",ISNUMBER(SEARCH(Recherche!$C$7,H4918))),OR(Recherche!$C$8="",J4918=Recherche!$C$8),OR(Recherche!$C$9="",I4918=Recherche!$C$9),OR(Recherche!$C$10="",G4918&amp;""=Recherche!$C$10&amp;""),OR(Recherche!$C$11="",E4918=Recherche!$C$11),OR(Recherche!$C$12="",ISNUMBER(SEARCH(Recherche!$C$12,M4918&amp;" "&amp;F4918)))),1,0)</f>
        <v>8</v>
      </c>
    </row>
    <row r="4919" customFormat="false" ht="15" hidden="false" customHeight="false" outlineLevel="0" collapsed="false">
      <c r="A4919" s="19"/>
      <c r="B4919" s="19"/>
      <c r="C4919" s="19"/>
      <c r="D4919" s="19"/>
      <c r="E4919" s="22"/>
      <c r="F4919" s="19"/>
      <c r="G4919" s="26" t="str">
        <f aca="false">IF(D4919="","",IFERROR(VALUE(LEFT(D4919,FIND(" |",D4919&amp;" |")-1)),"?"))</f>
        <v/>
      </c>
      <c r="H4919" s="27" t="str">
        <f aca="false">IF(G4919="","",IF(G4919="?","⚠ pub inconnue",IFERROR(INDEX(Pubs!$B$2:$B$3001,MATCH(G4919,Pubs!$A$2:$A$3001,0))&amp;"","⚠ pub inconnue")))</f>
        <v/>
      </c>
      <c r="I4919" s="27" t="str">
        <f aca="false">IF(OR(G4919="",G4919="?"),"",IFERROR(INDEX(Pubs!$C$2:$C$3001,MATCH(G4919,Pubs!$A$2:$A$3001,0))&amp;"",""))</f>
        <v/>
      </c>
      <c r="J4919" s="27" t="str">
        <f aca="false">IF(OR(G4919="",G4919="?"),"",IFERROR(INDEX(Pubs!$G$2:$G$3001,MATCH(G4919,Pubs!$A$2:$A$3001,0))&amp;"",""))</f>
        <v/>
      </c>
      <c r="K4919" s="28" t="str">
        <f aca="false">IF(OR(G4919="",G4919="?"),"",IFERROR(INDEX(Pubs!$E$2:$E$3001,MATCH(G4919,Pubs!$A$2:$A$3001,0)),""))</f>
        <v/>
      </c>
      <c r="L4919" s="29" t="str">
        <f aca="false">IF(A4919="","",IFERROR(1/(1/INDEX(Numéros!$C$2:$C$3001,MATCH(A4919&amp;"|"&amp;B4919,Numéros!$F$2:$F$3001,0))),""))</f>
        <v/>
      </c>
      <c r="M4919" s="27" t="str">
        <f aca="false">IF(OR(G4919="",G4919="?"),"",IFERROR(INDEX(Pubs!$D$2:$D$3001,MATCH(G4919,Pubs!$A$2:$A$3001,0))&amp;"",""))</f>
        <v/>
      </c>
      <c r="N4919" s="27" t="n">
        <f aca="false">N(N4918)+IF(AND(A4919&lt;&gt;"",OR(Recherche!$C$4="",A4919=Recherche!$C$4),OR(Recherche!$C$5="",B4919&amp;""=Recherche!$C$5&amp;""),OR(Recherche!$C$6="",IFERROR(YEAR(L4919),0)=Recherche!$C$6),OR(Recherche!$C$7="",ISNUMBER(SEARCH(Recherche!$C$7,H4919))),OR(Recherche!$C$8="",J4919=Recherche!$C$8),OR(Recherche!$C$9="",I4919=Recherche!$C$9),OR(Recherche!$C$10="",G4919&amp;""=Recherche!$C$10&amp;""),OR(Recherche!$C$11="",E4919=Recherche!$C$11),OR(Recherche!$C$12="",ISNUMBER(SEARCH(Recherche!$C$12,M4919&amp;" "&amp;F4919)))),1,0)</f>
        <v>8</v>
      </c>
    </row>
    <row r="4920" customFormat="false" ht="15" hidden="false" customHeight="false" outlineLevel="0" collapsed="false">
      <c r="A4920" s="19"/>
      <c r="B4920" s="19"/>
      <c r="C4920" s="19"/>
      <c r="D4920" s="19"/>
      <c r="E4920" s="22"/>
      <c r="F4920" s="19"/>
      <c r="G4920" s="26" t="str">
        <f aca="false">IF(D4920="","",IFERROR(VALUE(LEFT(D4920,FIND(" |",D4920&amp;" |")-1)),"?"))</f>
        <v/>
      </c>
      <c r="H4920" s="27" t="str">
        <f aca="false">IF(G4920="","",IF(G4920="?","⚠ pub inconnue",IFERROR(INDEX(Pubs!$B$2:$B$3001,MATCH(G4920,Pubs!$A$2:$A$3001,0))&amp;"","⚠ pub inconnue")))</f>
        <v/>
      </c>
      <c r="I4920" s="27" t="str">
        <f aca="false">IF(OR(G4920="",G4920="?"),"",IFERROR(INDEX(Pubs!$C$2:$C$3001,MATCH(G4920,Pubs!$A$2:$A$3001,0))&amp;"",""))</f>
        <v/>
      </c>
      <c r="J4920" s="27" t="str">
        <f aca="false">IF(OR(G4920="",G4920="?"),"",IFERROR(INDEX(Pubs!$G$2:$G$3001,MATCH(G4920,Pubs!$A$2:$A$3001,0))&amp;"",""))</f>
        <v/>
      </c>
      <c r="K4920" s="28" t="str">
        <f aca="false">IF(OR(G4920="",G4920="?"),"",IFERROR(INDEX(Pubs!$E$2:$E$3001,MATCH(G4920,Pubs!$A$2:$A$3001,0)),""))</f>
        <v/>
      </c>
      <c r="L4920" s="29" t="str">
        <f aca="false">IF(A4920="","",IFERROR(1/(1/INDEX(Numéros!$C$2:$C$3001,MATCH(A4920&amp;"|"&amp;B4920,Numéros!$F$2:$F$3001,0))),""))</f>
        <v/>
      </c>
      <c r="M4920" s="27" t="str">
        <f aca="false">IF(OR(G4920="",G4920="?"),"",IFERROR(INDEX(Pubs!$D$2:$D$3001,MATCH(G4920,Pubs!$A$2:$A$3001,0))&amp;"",""))</f>
        <v/>
      </c>
      <c r="N4920" s="27" t="n">
        <f aca="false">N(N4919)+IF(AND(A4920&lt;&gt;"",OR(Recherche!$C$4="",A4920=Recherche!$C$4),OR(Recherche!$C$5="",B4920&amp;""=Recherche!$C$5&amp;""),OR(Recherche!$C$6="",IFERROR(YEAR(L4920),0)=Recherche!$C$6),OR(Recherche!$C$7="",ISNUMBER(SEARCH(Recherche!$C$7,H4920))),OR(Recherche!$C$8="",J4920=Recherche!$C$8),OR(Recherche!$C$9="",I4920=Recherche!$C$9),OR(Recherche!$C$10="",G4920&amp;""=Recherche!$C$10&amp;""),OR(Recherche!$C$11="",E4920=Recherche!$C$11),OR(Recherche!$C$12="",ISNUMBER(SEARCH(Recherche!$C$12,M4920&amp;" "&amp;F4920)))),1,0)</f>
        <v>8</v>
      </c>
    </row>
    <row r="4921" customFormat="false" ht="15" hidden="false" customHeight="false" outlineLevel="0" collapsed="false">
      <c r="A4921" s="19"/>
      <c r="B4921" s="19"/>
      <c r="C4921" s="19"/>
      <c r="D4921" s="19"/>
      <c r="E4921" s="22"/>
      <c r="F4921" s="19"/>
      <c r="G4921" s="26" t="str">
        <f aca="false">IF(D4921="","",IFERROR(VALUE(LEFT(D4921,FIND(" |",D4921&amp;" |")-1)),"?"))</f>
        <v/>
      </c>
      <c r="H4921" s="27" t="str">
        <f aca="false">IF(G4921="","",IF(G4921="?","⚠ pub inconnue",IFERROR(INDEX(Pubs!$B$2:$B$3001,MATCH(G4921,Pubs!$A$2:$A$3001,0))&amp;"","⚠ pub inconnue")))</f>
        <v/>
      </c>
      <c r="I4921" s="27" t="str">
        <f aca="false">IF(OR(G4921="",G4921="?"),"",IFERROR(INDEX(Pubs!$C$2:$C$3001,MATCH(G4921,Pubs!$A$2:$A$3001,0))&amp;"",""))</f>
        <v/>
      </c>
      <c r="J4921" s="27" t="str">
        <f aca="false">IF(OR(G4921="",G4921="?"),"",IFERROR(INDEX(Pubs!$G$2:$G$3001,MATCH(G4921,Pubs!$A$2:$A$3001,0))&amp;"",""))</f>
        <v/>
      </c>
      <c r="K4921" s="28" t="str">
        <f aca="false">IF(OR(G4921="",G4921="?"),"",IFERROR(INDEX(Pubs!$E$2:$E$3001,MATCH(G4921,Pubs!$A$2:$A$3001,0)),""))</f>
        <v/>
      </c>
      <c r="L4921" s="29" t="str">
        <f aca="false">IF(A4921="","",IFERROR(1/(1/INDEX(Numéros!$C$2:$C$3001,MATCH(A4921&amp;"|"&amp;B4921,Numéros!$F$2:$F$3001,0))),""))</f>
        <v/>
      </c>
      <c r="M4921" s="27" t="str">
        <f aca="false">IF(OR(G4921="",G4921="?"),"",IFERROR(INDEX(Pubs!$D$2:$D$3001,MATCH(G4921,Pubs!$A$2:$A$3001,0))&amp;"",""))</f>
        <v/>
      </c>
      <c r="N4921" s="27" t="n">
        <f aca="false">N(N4920)+IF(AND(A4921&lt;&gt;"",OR(Recherche!$C$4="",A4921=Recherche!$C$4),OR(Recherche!$C$5="",B4921&amp;""=Recherche!$C$5&amp;""),OR(Recherche!$C$6="",IFERROR(YEAR(L4921),0)=Recherche!$C$6),OR(Recherche!$C$7="",ISNUMBER(SEARCH(Recherche!$C$7,H4921))),OR(Recherche!$C$8="",J4921=Recherche!$C$8),OR(Recherche!$C$9="",I4921=Recherche!$C$9),OR(Recherche!$C$10="",G4921&amp;""=Recherche!$C$10&amp;""),OR(Recherche!$C$11="",E4921=Recherche!$C$11),OR(Recherche!$C$12="",ISNUMBER(SEARCH(Recherche!$C$12,M4921&amp;" "&amp;F4921)))),1,0)</f>
        <v>8</v>
      </c>
    </row>
    <row r="4922" customFormat="false" ht="15" hidden="false" customHeight="false" outlineLevel="0" collapsed="false">
      <c r="A4922" s="19"/>
      <c r="B4922" s="19"/>
      <c r="C4922" s="19"/>
      <c r="D4922" s="19"/>
      <c r="E4922" s="22"/>
      <c r="F4922" s="19"/>
      <c r="G4922" s="26" t="str">
        <f aca="false">IF(D4922="","",IFERROR(VALUE(LEFT(D4922,FIND(" |",D4922&amp;" |")-1)),"?"))</f>
        <v/>
      </c>
      <c r="H4922" s="27" t="str">
        <f aca="false">IF(G4922="","",IF(G4922="?","⚠ pub inconnue",IFERROR(INDEX(Pubs!$B$2:$B$3001,MATCH(G4922,Pubs!$A$2:$A$3001,0))&amp;"","⚠ pub inconnue")))</f>
        <v/>
      </c>
      <c r="I4922" s="27" t="str">
        <f aca="false">IF(OR(G4922="",G4922="?"),"",IFERROR(INDEX(Pubs!$C$2:$C$3001,MATCH(G4922,Pubs!$A$2:$A$3001,0))&amp;"",""))</f>
        <v/>
      </c>
      <c r="J4922" s="27" t="str">
        <f aca="false">IF(OR(G4922="",G4922="?"),"",IFERROR(INDEX(Pubs!$G$2:$G$3001,MATCH(G4922,Pubs!$A$2:$A$3001,0))&amp;"",""))</f>
        <v/>
      </c>
      <c r="K4922" s="28" t="str">
        <f aca="false">IF(OR(G4922="",G4922="?"),"",IFERROR(INDEX(Pubs!$E$2:$E$3001,MATCH(G4922,Pubs!$A$2:$A$3001,0)),""))</f>
        <v/>
      </c>
      <c r="L4922" s="29" t="str">
        <f aca="false">IF(A4922="","",IFERROR(1/(1/INDEX(Numéros!$C$2:$C$3001,MATCH(A4922&amp;"|"&amp;B4922,Numéros!$F$2:$F$3001,0))),""))</f>
        <v/>
      </c>
      <c r="M4922" s="27" t="str">
        <f aca="false">IF(OR(G4922="",G4922="?"),"",IFERROR(INDEX(Pubs!$D$2:$D$3001,MATCH(G4922,Pubs!$A$2:$A$3001,0))&amp;"",""))</f>
        <v/>
      </c>
      <c r="N4922" s="27" t="n">
        <f aca="false">N(N4921)+IF(AND(A4922&lt;&gt;"",OR(Recherche!$C$4="",A4922=Recherche!$C$4),OR(Recherche!$C$5="",B4922&amp;""=Recherche!$C$5&amp;""),OR(Recherche!$C$6="",IFERROR(YEAR(L4922),0)=Recherche!$C$6),OR(Recherche!$C$7="",ISNUMBER(SEARCH(Recherche!$C$7,H4922))),OR(Recherche!$C$8="",J4922=Recherche!$C$8),OR(Recherche!$C$9="",I4922=Recherche!$C$9),OR(Recherche!$C$10="",G4922&amp;""=Recherche!$C$10&amp;""),OR(Recherche!$C$11="",E4922=Recherche!$C$11),OR(Recherche!$C$12="",ISNUMBER(SEARCH(Recherche!$C$12,M4922&amp;" "&amp;F4922)))),1,0)</f>
        <v>8</v>
      </c>
    </row>
    <row r="4923" customFormat="false" ht="15" hidden="false" customHeight="false" outlineLevel="0" collapsed="false">
      <c r="A4923" s="19"/>
      <c r="B4923" s="19"/>
      <c r="C4923" s="19"/>
      <c r="D4923" s="19"/>
      <c r="E4923" s="22"/>
      <c r="F4923" s="19"/>
      <c r="G4923" s="26" t="str">
        <f aca="false">IF(D4923="","",IFERROR(VALUE(LEFT(D4923,FIND(" |",D4923&amp;" |")-1)),"?"))</f>
        <v/>
      </c>
      <c r="H4923" s="27" t="str">
        <f aca="false">IF(G4923="","",IF(G4923="?","⚠ pub inconnue",IFERROR(INDEX(Pubs!$B$2:$B$3001,MATCH(G4923,Pubs!$A$2:$A$3001,0))&amp;"","⚠ pub inconnue")))</f>
        <v/>
      </c>
      <c r="I4923" s="27" t="str">
        <f aca="false">IF(OR(G4923="",G4923="?"),"",IFERROR(INDEX(Pubs!$C$2:$C$3001,MATCH(G4923,Pubs!$A$2:$A$3001,0))&amp;"",""))</f>
        <v/>
      </c>
      <c r="J4923" s="27" t="str">
        <f aca="false">IF(OR(G4923="",G4923="?"),"",IFERROR(INDEX(Pubs!$G$2:$G$3001,MATCH(G4923,Pubs!$A$2:$A$3001,0))&amp;"",""))</f>
        <v/>
      </c>
      <c r="K4923" s="28" t="str">
        <f aca="false">IF(OR(G4923="",G4923="?"),"",IFERROR(INDEX(Pubs!$E$2:$E$3001,MATCH(G4923,Pubs!$A$2:$A$3001,0)),""))</f>
        <v/>
      </c>
      <c r="L4923" s="29" t="str">
        <f aca="false">IF(A4923="","",IFERROR(1/(1/INDEX(Numéros!$C$2:$C$3001,MATCH(A4923&amp;"|"&amp;B4923,Numéros!$F$2:$F$3001,0))),""))</f>
        <v/>
      </c>
      <c r="M4923" s="27" t="str">
        <f aca="false">IF(OR(G4923="",G4923="?"),"",IFERROR(INDEX(Pubs!$D$2:$D$3001,MATCH(G4923,Pubs!$A$2:$A$3001,0))&amp;"",""))</f>
        <v/>
      </c>
      <c r="N4923" s="27" t="n">
        <f aca="false">N(N4922)+IF(AND(A4923&lt;&gt;"",OR(Recherche!$C$4="",A4923=Recherche!$C$4),OR(Recherche!$C$5="",B4923&amp;""=Recherche!$C$5&amp;""),OR(Recherche!$C$6="",IFERROR(YEAR(L4923),0)=Recherche!$C$6),OR(Recherche!$C$7="",ISNUMBER(SEARCH(Recherche!$C$7,H4923))),OR(Recherche!$C$8="",J4923=Recherche!$C$8),OR(Recherche!$C$9="",I4923=Recherche!$C$9),OR(Recherche!$C$10="",G4923&amp;""=Recherche!$C$10&amp;""),OR(Recherche!$C$11="",E4923=Recherche!$C$11),OR(Recherche!$C$12="",ISNUMBER(SEARCH(Recherche!$C$12,M4923&amp;" "&amp;F4923)))),1,0)</f>
        <v>8</v>
      </c>
    </row>
    <row r="4924" customFormat="false" ht="15" hidden="false" customHeight="false" outlineLevel="0" collapsed="false">
      <c r="A4924" s="19"/>
      <c r="B4924" s="19"/>
      <c r="C4924" s="19"/>
      <c r="D4924" s="19"/>
      <c r="E4924" s="22"/>
      <c r="F4924" s="19"/>
      <c r="G4924" s="26" t="str">
        <f aca="false">IF(D4924="","",IFERROR(VALUE(LEFT(D4924,FIND(" |",D4924&amp;" |")-1)),"?"))</f>
        <v/>
      </c>
      <c r="H4924" s="27" t="str">
        <f aca="false">IF(G4924="","",IF(G4924="?","⚠ pub inconnue",IFERROR(INDEX(Pubs!$B$2:$B$3001,MATCH(G4924,Pubs!$A$2:$A$3001,0))&amp;"","⚠ pub inconnue")))</f>
        <v/>
      </c>
      <c r="I4924" s="27" t="str">
        <f aca="false">IF(OR(G4924="",G4924="?"),"",IFERROR(INDEX(Pubs!$C$2:$C$3001,MATCH(G4924,Pubs!$A$2:$A$3001,0))&amp;"",""))</f>
        <v/>
      </c>
      <c r="J4924" s="27" t="str">
        <f aca="false">IF(OR(G4924="",G4924="?"),"",IFERROR(INDEX(Pubs!$G$2:$G$3001,MATCH(G4924,Pubs!$A$2:$A$3001,0))&amp;"",""))</f>
        <v/>
      </c>
      <c r="K4924" s="28" t="str">
        <f aca="false">IF(OR(G4924="",G4924="?"),"",IFERROR(INDEX(Pubs!$E$2:$E$3001,MATCH(G4924,Pubs!$A$2:$A$3001,0)),""))</f>
        <v/>
      </c>
      <c r="L4924" s="29" t="str">
        <f aca="false">IF(A4924="","",IFERROR(1/(1/INDEX(Numéros!$C$2:$C$3001,MATCH(A4924&amp;"|"&amp;B4924,Numéros!$F$2:$F$3001,0))),""))</f>
        <v/>
      </c>
      <c r="M4924" s="27" t="str">
        <f aca="false">IF(OR(G4924="",G4924="?"),"",IFERROR(INDEX(Pubs!$D$2:$D$3001,MATCH(G4924,Pubs!$A$2:$A$3001,0))&amp;"",""))</f>
        <v/>
      </c>
      <c r="N4924" s="27" t="n">
        <f aca="false">N(N4923)+IF(AND(A4924&lt;&gt;"",OR(Recherche!$C$4="",A4924=Recherche!$C$4),OR(Recherche!$C$5="",B4924&amp;""=Recherche!$C$5&amp;""),OR(Recherche!$C$6="",IFERROR(YEAR(L4924),0)=Recherche!$C$6),OR(Recherche!$C$7="",ISNUMBER(SEARCH(Recherche!$C$7,H4924))),OR(Recherche!$C$8="",J4924=Recherche!$C$8),OR(Recherche!$C$9="",I4924=Recherche!$C$9),OR(Recherche!$C$10="",G4924&amp;""=Recherche!$C$10&amp;""),OR(Recherche!$C$11="",E4924=Recherche!$C$11),OR(Recherche!$C$12="",ISNUMBER(SEARCH(Recherche!$C$12,M4924&amp;" "&amp;F4924)))),1,0)</f>
        <v>8</v>
      </c>
    </row>
    <row r="4925" customFormat="false" ht="15" hidden="false" customHeight="false" outlineLevel="0" collapsed="false">
      <c r="A4925" s="19"/>
      <c r="B4925" s="19"/>
      <c r="C4925" s="19"/>
      <c r="D4925" s="19"/>
      <c r="E4925" s="22"/>
      <c r="F4925" s="19"/>
      <c r="G4925" s="26" t="str">
        <f aca="false">IF(D4925="","",IFERROR(VALUE(LEFT(D4925,FIND(" |",D4925&amp;" |")-1)),"?"))</f>
        <v/>
      </c>
      <c r="H4925" s="27" t="str">
        <f aca="false">IF(G4925="","",IF(G4925="?","⚠ pub inconnue",IFERROR(INDEX(Pubs!$B$2:$B$3001,MATCH(G4925,Pubs!$A$2:$A$3001,0))&amp;"","⚠ pub inconnue")))</f>
        <v/>
      </c>
      <c r="I4925" s="27" t="str">
        <f aca="false">IF(OR(G4925="",G4925="?"),"",IFERROR(INDEX(Pubs!$C$2:$C$3001,MATCH(G4925,Pubs!$A$2:$A$3001,0))&amp;"",""))</f>
        <v/>
      </c>
      <c r="J4925" s="27" t="str">
        <f aca="false">IF(OR(G4925="",G4925="?"),"",IFERROR(INDEX(Pubs!$G$2:$G$3001,MATCH(G4925,Pubs!$A$2:$A$3001,0))&amp;"",""))</f>
        <v/>
      </c>
      <c r="K4925" s="28" t="str">
        <f aca="false">IF(OR(G4925="",G4925="?"),"",IFERROR(INDEX(Pubs!$E$2:$E$3001,MATCH(G4925,Pubs!$A$2:$A$3001,0)),""))</f>
        <v/>
      </c>
      <c r="L4925" s="29" t="str">
        <f aca="false">IF(A4925="","",IFERROR(1/(1/INDEX(Numéros!$C$2:$C$3001,MATCH(A4925&amp;"|"&amp;B4925,Numéros!$F$2:$F$3001,0))),""))</f>
        <v/>
      </c>
      <c r="M4925" s="27" t="str">
        <f aca="false">IF(OR(G4925="",G4925="?"),"",IFERROR(INDEX(Pubs!$D$2:$D$3001,MATCH(G4925,Pubs!$A$2:$A$3001,0))&amp;"",""))</f>
        <v/>
      </c>
      <c r="N4925" s="27" t="n">
        <f aca="false">N(N4924)+IF(AND(A4925&lt;&gt;"",OR(Recherche!$C$4="",A4925=Recherche!$C$4),OR(Recherche!$C$5="",B4925&amp;""=Recherche!$C$5&amp;""),OR(Recherche!$C$6="",IFERROR(YEAR(L4925),0)=Recherche!$C$6),OR(Recherche!$C$7="",ISNUMBER(SEARCH(Recherche!$C$7,H4925))),OR(Recherche!$C$8="",J4925=Recherche!$C$8),OR(Recherche!$C$9="",I4925=Recherche!$C$9),OR(Recherche!$C$10="",G4925&amp;""=Recherche!$C$10&amp;""),OR(Recherche!$C$11="",E4925=Recherche!$C$11),OR(Recherche!$C$12="",ISNUMBER(SEARCH(Recherche!$C$12,M4925&amp;" "&amp;F4925)))),1,0)</f>
        <v>8</v>
      </c>
    </row>
    <row r="4926" customFormat="false" ht="15" hidden="false" customHeight="false" outlineLevel="0" collapsed="false">
      <c r="A4926" s="19"/>
      <c r="B4926" s="19"/>
      <c r="C4926" s="19"/>
      <c r="D4926" s="19"/>
      <c r="E4926" s="22"/>
      <c r="F4926" s="19"/>
      <c r="G4926" s="26" t="str">
        <f aca="false">IF(D4926="","",IFERROR(VALUE(LEFT(D4926,FIND(" |",D4926&amp;" |")-1)),"?"))</f>
        <v/>
      </c>
      <c r="H4926" s="27" t="str">
        <f aca="false">IF(G4926="","",IF(G4926="?","⚠ pub inconnue",IFERROR(INDEX(Pubs!$B$2:$B$3001,MATCH(G4926,Pubs!$A$2:$A$3001,0))&amp;"","⚠ pub inconnue")))</f>
        <v/>
      </c>
      <c r="I4926" s="27" t="str">
        <f aca="false">IF(OR(G4926="",G4926="?"),"",IFERROR(INDEX(Pubs!$C$2:$C$3001,MATCH(G4926,Pubs!$A$2:$A$3001,0))&amp;"",""))</f>
        <v/>
      </c>
      <c r="J4926" s="27" t="str">
        <f aca="false">IF(OR(G4926="",G4926="?"),"",IFERROR(INDEX(Pubs!$G$2:$G$3001,MATCH(G4926,Pubs!$A$2:$A$3001,0))&amp;"",""))</f>
        <v/>
      </c>
      <c r="K4926" s="28" t="str">
        <f aca="false">IF(OR(G4926="",G4926="?"),"",IFERROR(INDEX(Pubs!$E$2:$E$3001,MATCH(G4926,Pubs!$A$2:$A$3001,0)),""))</f>
        <v/>
      </c>
      <c r="L4926" s="29" t="str">
        <f aca="false">IF(A4926="","",IFERROR(1/(1/INDEX(Numéros!$C$2:$C$3001,MATCH(A4926&amp;"|"&amp;B4926,Numéros!$F$2:$F$3001,0))),""))</f>
        <v/>
      </c>
      <c r="M4926" s="27" t="str">
        <f aca="false">IF(OR(G4926="",G4926="?"),"",IFERROR(INDEX(Pubs!$D$2:$D$3001,MATCH(G4926,Pubs!$A$2:$A$3001,0))&amp;"",""))</f>
        <v/>
      </c>
      <c r="N4926" s="27" t="n">
        <f aca="false">N(N4925)+IF(AND(A4926&lt;&gt;"",OR(Recherche!$C$4="",A4926=Recherche!$C$4),OR(Recherche!$C$5="",B4926&amp;""=Recherche!$C$5&amp;""),OR(Recherche!$C$6="",IFERROR(YEAR(L4926),0)=Recherche!$C$6),OR(Recherche!$C$7="",ISNUMBER(SEARCH(Recherche!$C$7,H4926))),OR(Recherche!$C$8="",J4926=Recherche!$C$8),OR(Recherche!$C$9="",I4926=Recherche!$C$9),OR(Recherche!$C$10="",G4926&amp;""=Recherche!$C$10&amp;""),OR(Recherche!$C$11="",E4926=Recherche!$C$11),OR(Recherche!$C$12="",ISNUMBER(SEARCH(Recherche!$C$12,M4926&amp;" "&amp;F4926)))),1,0)</f>
        <v>8</v>
      </c>
    </row>
    <row r="4927" customFormat="false" ht="15" hidden="false" customHeight="false" outlineLevel="0" collapsed="false">
      <c r="A4927" s="19"/>
      <c r="B4927" s="19"/>
      <c r="C4927" s="19"/>
      <c r="D4927" s="19"/>
      <c r="E4927" s="22"/>
      <c r="F4927" s="19"/>
      <c r="G4927" s="26" t="str">
        <f aca="false">IF(D4927="","",IFERROR(VALUE(LEFT(D4927,FIND(" |",D4927&amp;" |")-1)),"?"))</f>
        <v/>
      </c>
      <c r="H4927" s="27" t="str">
        <f aca="false">IF(G4927="","",IF(G4927="?","⚠ pub inconnue",IFERROR(INDEX(Pubs!$B$2:$B$3001,MATCH(G4927,Pubs!$A$2:$A$3001,0))&amp;"","⚠ pub inconnue")))</f>
        <v/>
      </c>
      <c r="I4927" s="27" t="str">
        <f aca="false">IF(OR(G4927="",G4927="?"),"",IFERROR(INDEX(Pubs!$C$2:$C$3001,MATCH(G4927,Pubs!$A$2:$A$3001,0))&amp;"",""))</f>
        <v/>
      </c>
      <c r="J4927" s="27" t="str">
        <f aca="false">IF(OR(G4927="",G4927="?"),"",IFERROR(INDEX(Pubs!$G$2:$G$3001,MATCH(G4927,Pubs!$A$2:$A$3001,0))&amp;"",""))</f>
        <v/>
      </c>
      <c r="K4927" s="28" t="str">
        <f aca="false">IF(OR(G4927="",G4927="?"),"",IFERROR(INDEX(Pubs!$E$2:$E$3001,MATCH(G4927,Pubs!$A$2:$A$3001,0)),""))</f>
        <v/>
      </c>
      <c r="L4927" s="29" t="str">
        <f aca="false">IF(A4927="","",IFERROR(1/(1/INDEX(Numéros!$C$2:$C$3001,MATCH(A4927&amp;"|"&amp;B4927,Numéros!$F$2:$F$3001,0))),""))</f>
        <v/>
      </c>
      <c r="M4927" s="27" t="str">
        <f aca="false">IF(OR(G4927="",G4927="?"),"",IFERROR(INDEX(Pubs!$D$2:$D$3001,MATCH(G4927,Pubs!$A$2:$A$3001,0))&amp;"",""))</f>
        <v/>
      </c>
      <c r="N4927" s="27" t="n">
        <f aca="false">N(N4926)+IF(AND(A4927&lt;&gt;"",OR(Recherche!$C$4="",A4927=Recherche!$C$4),OR(Recherche!$C$5="",B4927&amp;""=Recherche!$C$5&amp;""),OR(Recherche!$C$6="",IFERROR(YEAR(L4927),0)=Recherche!$C$6),OR(Recherche!$C$7="",ISNUMBER(SEARCH(Recherche!$C$7,H4927))),OR(Recherche!$C$8="",J4927=Recherche!$C$8),OR(Recherche!$C$9="",I4927=Recherche!$C$9),OR(Recherche!$C$10="",G4927&amp;""=Recherche!$C$10&amp;""),OR(Recherche!$C$11="",E4927=Recherche!$C$11),OR(Recherche!$C$12="",ISNUMBER(SEARCH(Recherche!$C$12,M4927&amp;" "&amp;F4927)))),1,0)</f>
        <v>8</v>
      </c>
    </row>
    <row r="4928" customFormat="false" ht="15" hidden="false" customHeight="false" outlineLevel="0" collapsed="false">
      <c r="A4928" s="19"/>
      <c r="B4928" s="19"/>
      <c r="C4928" s="19"/>
      <c r="D4928" s="19"/>
      <c r="E4928" s="22"/>
      <c r="F4928" s="19"/>
      <c r="G4928" s="26" t="str">
        <f aca="false">IF(D4928="","",IFERROR(VALUE(LEFT(D4928,FIND(" |",D4928&amp;" |")-1)),"?"))</f>
        <v/>
      </c>
      <c r="H4928" s="27" t="str">
        <f aca="false">IF(G4928="","",IF(G4928="?","⚠ pub inconnue",IFERROR(INDEX(Pubs!$B$2:$B$3001,MATCH(G4928,Pubs!$A$2:$A$3001,0))&amp;"","⚠ pub inconnue")))</f>
        <v/>
      </c>
      <c r="I4928" s="27" t="str">
        <f aca="false">IF(OR(G4928="",G4928="?"),"",IFERROR(INDEX(Pubs!$C$2:$C$3001,MATCH(G4928,Pubs!$A$2:$A$3001,0))&amp;"",""))</f>
        <v/>
      </c>
      <c r="J4928" s="27" t="str">
        <f aca="false">IF(OR(G4928="",G4928="?"),"",IFERROR(INDEX(Pubs!$G$2:$G$3001,MATCH(G4928,Pubs!$A$2:$A$3001,0))&amp;"",""))</f>
        <v/>
      </c>
      <c r="K4928" s="28" t="str">
        <f aca="false">IF(OR(G4928="",G4928="?"),"",IFERROR(INDEX(Pubs!$E$2:$E$3001,MATCH(G4928,Pubs!$A$2:$A$3001,0)),""))</f>
        <v/>
      </c>
      <c r="L4928" s="29" t="str">
        <f aca="false">IF(A4928="","",IFERROR(1/(1/INDEX(Numéros!$C$2:$C$3001,MATCH(A4928&amp;"|"&amp;B4928,Numéros!$F$2:$F$3001,0))),""))</f>
        <v/>
      </c>
      <c r="M4928" s="27" t="str">
        <f aca="false">IF(OR(G4928="",G4928="?"),"",IFERROR(INDEX(Pubs!$D$2:$D$3001,MATCH(G4928,Pubs!$A$2:$A$3001,0))&amp;"",""))</f>
        <v/>
      </c>
      <c r="N4928" s="27" t="n">
        <f aca="false">N(N4927)+IF(AND(A4928&lt;&gt;"",OR(Recherche!$C$4="",A4928=Recherche!$C$4),OR(Recherche!$C$5="",B4928&amp;""=Recherche!$C$5&amp;""),OR(Recherche!$C$6="",IFERROR(YEAR(L4928),0)=Recherche!$C$6),OR(Recherche!$C$7="",ISNUMBER(SEARCH(Recherche!$C$7,H4928))),OR(Recherche!$C$8="",J4928=Recherche!$C$8),OR(Recherche!$C$9="",I4928=Recherche!$C$9),OR(Recherche!$C$10="",G4928&amp;""=Recherche!$C$10&amp;""),OR(Recherche!$C$11="",E4928=Recherche!$C$11),OR(Recherche!$C$12="",ISNUMBER(SEARCH(Recherche!$C$12,M4928&amp;" "&amp;F4928)))),1,0)</f>
        <v>8</v>
      </c>
    </row>
    <row r="4929" customFormat="false" ht="15" hidden="false" customHeight="false" outlineLevel="0" collapsed="false">
      <c r="A4929" s="19"/>
      <c r="B4929" s="19"/>
      <c r="C4929" s="19"/>
      <c r="D4929" s="19"/>
      <c r="E4929" s="22"/>
      <c r="F4929" s="19"/>
      <c r="G4929" s="26" t="str">
        <f aca="false">IF(D4929="","",IFERROR(VALUE(LEFT(D4929,FIND(" |",D4929&amp;" |")-1)),"?"))</f>
        <v/>
      </c>
      <c r="H4929" s="27" t="str">
        <f aca="false">IF(G4929="","",IF(G4929="?","⚠ pub inconnue",IFERROR(INDEX(Pubs!$B$2:$B$3001,MATCH(G4929,Pubs!$A$2:$A$3001,0))&amp;"","⚠ pub inconnue")))</f>
        <v/>
      </c>
      <c r="I4929" s="27" t="str">
        <f aca="false">IF(OR(G4929="",G4929="?"),"",IFERROR(INDEX(Pubs!$C$2:$C$3001,MATCH(G4929,Pubs!$A$2:$A$3001,0))&amp;"",""))</f>
        <v/>
      </c>
      <c r="J4929" s="27" t="str">
        <f aca="false">IF(OR(G4929="",G4929="?"),"",IFERROR(INDEX(Pubs!$G$2:$G$3001,MATCH(G4929,Pubs!$A$2:$A$3001,0))&amp;"",""))</f>
        <v/>
      </c>
      <c r="K4929" s="28" t="str">
        <f aca="false">IF(OR(G4929="",G4929="?"),"",IFERROR(INDEX(Pubs!$E$2:$E$3001,MATCH(G4929,Pubs!$A$2:$A$3001,0)),""))</f>
        <v/>
      </c>
      <c r="L4929" s="29" t="str">
        <f aca="false">IF(A4929="","",IFERROR(1/(1/INDEX(Numéros!$C$2:$C$3001,MATCH(A4929&amp;"|"&amp;B4929,Numéros!$F$2:$F$3001,0))),""))</f>
        <v/>
      </c>
      <c r="M4929" s="27" t="str">
        <f aca="false">IF(OR(G4929="",G4929="?"),"",IFERROR(INDEX(Pubs!$D$2:$D$3001,MATCH(G4929,Pubs!$A$2:$A$3001,0))&amp;"",""))</f>
        <v/>
      </c>
      <c r="N4929" s="27" t="n">
        <f aca="false">N(N4928)+IF(AND(A4929&lt;&gt;"",OR(Recherche!$C$4="",A4929=Recherche!$C$4),OR(Recherche!$C$5="",B4929&amp;""=Recherche!$C$5&amp;""),OR(Recherche!$C$6="",IFERROR(YEAR(L4929),0)=Recherche!$C$6),OR(Recherche!$C$7="",ISNUMBER(SEARCH(Recherche!$C$7,H4929))),OR(Recherche!$C$8="",J4929=Recherche!$C$8),OR(Recherche!$C$9="",I4929=Recherche!$C$9),OR(Recherche!$C$10="",G4929&amp;""=Recherche!$C$10&amp;""),OR(Recherche!$C$11="",E4929=Recherche!$C$11),OR(Recherche!$C$12="",ISNUMBER(SEARCH(Recherche!$C$12,M4929&amp;" "&amp;F4929)))),1,0)</f>
        <v>8</v>
      </c>
    </row>
    <row r="4930" customFormat="false" ht="15" hidden="false" customHeight="false" outlineLevel="0" collapsed="false">
      <c r="A4930" s="19"/>
      <c r="B4930" s="19"/>
      <c r="C4930" s="19"/>
      <c r="D4930" s="19"/>
      <c r="E4930" s="22"/>
      <c r="F4930" s="19"/>
      <c r="G4930" s="26" t="str">
        <f aca="false">IF(D4930="","",IFERROR(VALUE(LEFT(D4930,FIND(" |",D4930&amp;" |")-1)),"?"))</f>
        <v/>
      </c>
      <c r="H4930" s="27" t="str">
        <f aca="false">IF(G4930="","",IF(G4930="?","⚠ pub inconnue",IFERROR(INDEX(Pubs!$B$2:$B$3001,MATCH(G4930,Pubs!$A$2:$A$3001,0))&amp;"","⚠ pub inconnue")))</f>
        <v/>
      </c>
      <c r="I4930" s="27" t="str">
        <f aca="false">IF(OR(G4930="",G4930="?"),"",IFERROR(INDEX(Pubs!$C$2:$C$3001,MATCH(G4930,Pubs!$A$2:$A$3001,0))&amp;"",""))</f>
        <v/>
      </c>
      <c r="J4930" s="27" t="str">
        <f aca="false">IF(OR(G4930="",G4930="?"),"",IFERROR(INDEX(Pubs!$G$2:$G$3001,MATCH(G4930,Pubs!$A$2:$A$3001,0))&amp;"",""))</f>
        <v/>
      </c>
      <c r="K4930" s="28" t="str">
        <f aca="false">IF(OR(G4930="",G4930="?"),"",IFERROR(INDEX(Pubs!$E$2:$E$3001,MATCH(G4930,Pubs!$A$2:$A$3001,0)),""))</f>
        <v/>
      </c>
      <c r="L4930" s="29" t="str">
        <f aca="false">IF(A4930="","",IFERROR(1/(1/INDEX(Numéros!$C$2:$C$3001,MATCH(A4930&amp;"|"&amp;B4930,Numéros!$F$2:$F$3001,0))),""))</f>
        <v/>
      </c>
      <c r="M4930" s="27" t="str">
        <f aca="false">IF(OR(G4930="",G4930="?"),"",IFERROR(INDEX(Pubs!$D$2:$D$3001,MATCH(G4930,Pubs!$A$2:$A$3001,0))&amp;"",""))</f>
        <v/>
      </c>
      <c r="N4930" s="27" t="n">
        <f aca="false">N(N4929)+IF(AND(A4930&lt;&gt;"",OR(Recherche!$C$4="",A4930=Recherche!$C$4),OR(Recherche!$C$5="",B4930&amp;""=Recherche!$C$5&amp;""),OR(Recherche!$C$6="",IFERROR(YEAR(L4930),0)=Recherche!$C$6),OR(Recherche!$C$7="",ISNUMBER(SEARCH(Recherche!$C$7,H4930))),OR(Recherche!$C$8="",J4930=Recherche!$C$8),OR(Recherche!$C$9="",I4930=Recherche!$C$9),OR(Recherche!$C$10="",G4930&amp;""=Recherche!$C$10&amp;""),OR(Recherche!$C$11="",E4930=Recherche!$C$11),OR(Recherche!$C$12="",ISNUMBER(SEARCH(Recherche!$C$12,M4930&amp;" "&amp;F4930)))),1,0)</f>
        <v>8</v>
      </c>
    </row>
    <row r="4931" customFormat="false" ht="15" hidden="false" customHeight="false" outlineLevel="0" collapsed="false">
      <c r="A4931" s="19"/>
      <c r="B4931" s="19"/>
      <c r="C4931" s="19"/>
      <c r="D4931" s="19"/>
      <c r="E4931" s="22"/>
      <c r="F4931" s="19"/>
      <c r="G4931" s="26" t="str">
        <f aca="false">IF(D4931="","",IFERROR(VALUE(LEFT(D4931,FIND(" |",D4931&amp;" |")-1)),"?"))</f>
        <v/>
      </c>
      <c r="H4931" s="27" t="str">
        <f aca="false">IF(G4931="","",IF(G4931="?","⚠ pub inconnue",IFERROR(INDEX(Pubs!$B$2:$B$3001,MATCH(G4931,Pubs!$A$2:$A$3001,0))&amp;"","⚠ pub inconnue")))</f>
        <v/>
      </c>
      <c r="I4931" s="27" t="str">
        <f aca="false">IF(OR(G4931="",G4931="?"),"",IFERROR(INDEX(Pubs!$C$2:$C$3001,MATCH(G4931,Pubs!$A$2:$A$3001,0))&amp;"",""))</f>
        <v/>
      </c>
      <c r="J4931" s="27" t="str">
        <f aca="false">IF(OR(G4931="",G4931="?"),"",IFERROR(INDEX(Pubs!$G$2:$G$3001,MATCH(G4931,Pubs!$A$2:$A$3001,0))&amp;"",""))</f>
        <v/>
      </c>
      <c r="K4931" s="28" t="str">
        <f aca="false">IF(OR(G4931="",G4931="?"),"",IFERROR(INDEX(Pubs!$E$2:$E$3001,MATCH(G4931,Pubs!$A$2:$A$3001,0)),""))</f>
        <v/>
      </c>
      <c r="L4931" s="29" t="str">
        <f aca="false">IF(A4931="","",IFERROR(1/(1/INDEX(Numéros!$C$2:$C$3001,MATCH(A4931&amp;"|"&amp;B4931,Numéros!$F$2:$F$3001,0))),""))</f>
        <v/>
      </c>
      <c r="M4931" s="27" t="str">
        <f aca="false">IF(OR(G4931="",G4931="?"),"",IFERROR(INDEX(Pubs!$D$2:$D$3001,MATCH(G4931,Pubs!$A$2:$A$3001,0))&amp;"",""))</f>
        <v/>
      </c>
      <c r="N4931" s="27" t="n">
        <f aca="false">N(N4930)+IF(AND(A4931&lt;&gt;"",OR(Recherche!$C$4="",A4931=Recherche!$C$4),OR(Recherche!$C$5="",B4931&amp;""=Recherche!$C$5&amp;""),OR(Recherche!$C$6="",IFERROR(YEAR(L4931),0)=Recherche!$C$6),OR(Recherche!$C$7="",ISNUMBER(SEARCH(Recherche!$C$7,H4931))),OR(Recherche!$C$8="",J4931=Recherche!$C$8),OR(Recherche!$C$9="",I4931=Recherche!$C$9),OR(Recherche!$C$10="",G4931&amp;""=Recherche!$C$10&amp;""),OR(Recherche!$C$11="",E4931=Recherche!$C$11),OR(Recherche!$C$12="",ISNUMBER(SEARCH(Recherche!$C$12,M4931&amp;" "&amp;F4931)))),1,0)</f>
        <v>8</v>
      </c>
    </row>
    <row r="4932" customFormat="false" ht="15" hidden="false" customHeight="false" outlineLevel="0" collapsed="false">
      <c r="A4932" s="19"/>
      <c r="B4932" s="19"/>
      <c r="C4932" s="19"/>
      <c r="D4932" s="19"/>
      <c r="E4932" s="22"/>
      <c r="F4932" s="19"/>
      <c r="G4932" s="26" t="str">
        <f aca="false">IF(D4932="","",IFERROR(VALUE(LEFT(D4932,FIND(" |",D4932&amp;" |")-1)),"?"))</f>
        <v/>
      </c>
      <c r="H4932" s="27" t="str">
        <f aca="false">IF(G4932="","",IF(G4932="?","⚠ pub inconnue",IFERROR(INDEX(Pubs!$B$2:$B$3001,MATCH(G4932,Pubs!$A$2:$A$3001,0))&amp;"","⚠ pub inconnue")))</f>
        <v/>
      </c>
      <c r="I4932" s="27" t="str">
        <f aca="false">IF(OR(G4932="",G4932="?"),"",IFERROR(INDEX(Pubs!$C$2:$C$3001,MATCH(G4932,Pubs!$A$2:$A$3001,0))&amp;"",""))</f>
        <v/>
      </c>
      <c r="J4932" s="27" t="str">
        <f aca="false">IF(OR(G4932="",G4932="?"),"",IFERROR(INDEX(Pubs!$G$2:$G$3001,MATCH(G4932,Pubs!$A$2:$A$3001,0))&amp;"",""))</f>
        <v/>
      </c>
      <c r="K4932" s="28" t="str">
        <f aca="false">IF(OR(G4932="",G4932="?"),"",IFERROR(INDEX(Pubs!$E$2:$E$3001,MATCH(G4932,Pubs!$A$2:$A$3001,0)),""))</f>
        <v/>
      </c>
      <c r="L4932" s="29" t="str">
        <f aca="false">IF(A4932="","",IFERROR(1/(1/INDEX(Numéros!$C$2:$C$3001,MATCH(A4932&amp;"|"&amp;B4932,Numéros!$F$2:$F$3001,0))),""))</f>
        <v/>
      </c>
      <c r="M4932" s="27" t="str">
        <f aca="false">IF(OR(G4932="",G4932="?"),"",IFERROR(INDEX(Pubs!$D$2:$D$3001,MATCH(G4932,Pubs!$A$2:$A$3001,0))&amp;"",""))</f>
        <v/>
      </c>
      <c r="N4932" s="27" t="n">
        <f aca="false">N(N4931)+IF(AND(A4932&lt;&gt;"",OR(Recherche!$C$4="",A4932=Recherche!$C$4),OR(Recherche!$C$5="",B4932&amp;""=Recherche!$C$5&amp;""),OR(Recherche!$C$6="",IFERROR(YEAR(L4932),0)=Recherche!$C$6),OR(Recherche!$C$7="",ISNUMBER(SEARCH(Recherche!$C$7,H4932))),OR(Recherche!$C$8="",J4932=Recherche!$C$8),OR(Recherche!$C$9="",I4932=Recherche!$C$9),OR(Recherche!$C$10="",G4932&amp;""=Recherche!$C$10&amp;""),OR(Recherche!$C$11="",E4932=Recherche!$C$11),OR(Recherche!$C$12="",ISNUMBER(SEARCH(Recherche!$C$12,M4932&amp;" "&amp;F4932)))),1,0)</f>
        <v>8</v>
      </c>
    </row>
    <row r="4933" customFormat="false" ht="15" hidden="false" customHeight="false" outlineLevel="0" collapsed="false">
      <c r="A4933" s="19"/>
      <c r="B4933" s="19"/>
      <c r="C4933" s="19"/>
      <c r="D4933" s="19"/>
      <c r="E4933" s="22"/>
      <c r="F4933" s="19"/>
      <c r="G4933" s="26" t="str">
        <f aca="false">IF(D4933="","",IFERROR(VALUE(LEFT(D4933,FIND(" |",D4933&amp;" |")-1)),"?"))</f>
        <v/>
      </c>
      <c r="H4933" s="27" t="str">
        <f aca="false">IF(G4933="","",IF(G4933="?","⚠ pub inconnue",IFERROR(INDEX(Pubs!$B$2:$B$3001,MATCH(G4933,Pubs!$A$2:$A$3001,0))&amp;"","⚠ pub inconnue")))</f>
        <v/>
      </c>
      <c r="I4933" s="27" t="str">
        <f aca="false">IF(OR(G4933="",G4933="?"),"",IFERROR(INDEX(Pubs!$C$2:$C$3001,MATCH(G4933,Pubs!$A$2:$A$3001,0))&amp;"",""))</f>
        <v/>
      </c>
      <c r="J4933" s="27" t="str">
        <f aca="false">IF(OR(G4933="",G4933="?"),"",IFERROR(INDEX(Pubs!$G$2:$G$3001,MATCH(G4933,Pubs!$A$2:$A$3001,0))&amp;"",""))</f>
        <v/>
      </c>
      <c r="K4933" s="28" t="str">
        <f aca="false">IF(OR(G4933="",G4933="?"),"",IFERROR(INDEX(Pubs!$E$2:$E$3001,MATCH(G4933,Pubs!$A$2:$A$3001,0)),""))</f>
        <v/>
      </c>
      <c r="L4933" s="29" t="str">
        <f aca="false">IF(A4933="","",IFERROR(1/(1/INDEX(Numéros!$C$2:$C$3001,MATCH(A4933&amp;"|"&amp;B4933,Numéros!$F$2:$F$3001,0))),""))</f>
        <v/>
      </c>
      <c r="M4933" s="27" t="str">
        <f aca="false">IF(OR(G4933="",G4933="?"),"",IFERROR(INDEX(Pubs!$D$2:$D$3001,MATCH(G4933,Pubs!$A$2:$A$3001,0))&amp;"",""))</f>
        <v/>
      </c>
      <c r="N4933" s="27" t="n">
        <f aca="false">N(N4932)+IF(AND(A4933&lt;&gt;"",OR(Recherche!$C$4="",A4933=Recherche!$C$4),OR(Recherche!$C$5="",B4933&amp;""=Recherche!$C$5&amp;""),OR(Recherche!$C$6="",IFERROR(YEAR(L4933),0)=Recherche!$C$6),OR(Recherche!$C$7="",ISNUMBER(SEARCH(Recherche!$C$7,H4933))),OR(Recherche!$C$8="",J4933=Recherche!$C$8),OR(Recherche!$C$9="",I4933=Recherche!$C$9),OR(Recherche!$C$10="",G4933&amp;""=Recherche!$C$10&amp;""),OR(Recherche!$C$11="",E4933=Recherche!$C$11),OR(Recherche!$C$12="",ISNUMBER(SEARCH(Recherche!$C$12,M4933&amp;" "&amp;F4933)))),1,0)</f>
        <v>8</v>
      </c>
    </row>
    <row r="4934" customFormat="false" ht="15" hidden="false" customHeight="false" outlineLevel="0" collapsed="false">
      <c r="A4934" s="19"/>
      <c r="B4934" s="19"/>
      <c r="C4934" s="19"/>
      <c r="D4934" s="19"/>
      <c r="E4934" s="22"/>
      <c r="F4934" s="19"/>
      <c r="G4934" s="26" t="str">
        <f aca="false">IF(D4934="","",IFERROR(VALUE(LEFT(D4934,FIND(" |",D4934&amp;" |")-1)),"?"))</f>
        <v/>
      </c>
      <c r="H4934" s="27" t="str">
        <f aca="false">IF(G4934="","",IF(G4934="?","⚠ pub inconnue",IFERROR(INDEX(Pubs!$B$2:$B$3001,MATCH(G4934,Pubs!$A$2:$A$3001,0))&amp;"","⚠ pub inconnue")))</f>
        <v/>
      </c>
      <c r="I4934" s="27" t="str">
        <f aca="false">IF(OR(G4934="",G4934="?"),"",IFERROR(INDEX(Pubs!$C$2:$C$3001,MATCH(G4934,Pubs!$A$2:$A$3001,0))&amp;"",""))</f>
        <v/>
      </c>
      <c r="J4934" s="27" t="str">
        <f aca="false">IF(OR(G4934="",G4934="?"),"",IFERROR(INDEX(Pubs!$G$2:$G$3001,MATCH(G4934,Pubs!$A$2:$A$3001,0))&amp;"",""))</f>
        <v/>
      </c>
      <c r="K4934" s="28" t="str">
        <f aca="false">IF(OR(G4934="",G4934="?"),"",IFERROR(INDEX(Pubs!$E$2:$E$3001,MATCH(G4934,Pubs!$A$2:$A$3001,0)),""))</f>
        <v/>
      </c>
      <c r="L4934" s="29" t="str">
        <f aca="false">IF(A4934="","",IFERROR(1/(1/INDEX(Numéros!$C$2:$C$3001,MATCH(A4934&amp;"|"&amp;B4934,Numéros!$F$2:$F$3001,0))),""))</f>
        <v/>
      </c>
      <c r="M4934" s="27" t="str">
        <f aca="false">IF(OR(G4934="",G4934="?"),"",IFERROR(INDEX(Pubs!$D$2:$D$3001,MATCH(G4934,Pubs!$A$2:$A$3001,0))&amp;"",""))</f>
        <v/>
      </c>
      <c r="N4934" s="27" t="n">
        <f aca="false">N(N4933)+IF(AND(A4934&lt;&gt;"",OR(Recherche!$C$4="",A4934=Recherche!$C$4),OR(Recherche!$C$5="",B4934&amp;""=Recherche!$C$5&amp;""),OR(Recherche!$C$6="",IFERROR(YEAR(L4934),0)=Recherche!$C$6),OR(Recherche!$C$7="",ISNUMBER(SEARCH(Recherche!$C$7,H4934))),OR(Recherche!$C$8="",J4934=Recherche!$C$8),OR(Recherche!$C$9="",I4934=Recherche!$C$9),OR(Recherche!$C$10="",G4934&amp;""=Recherche!$C$10&amp;""),OR(Recherche!$C$11="",E4934=Recherche!$C$11),OR(Recherche!$C$12="",ISNUMBER(SEARCH(Recherche!$C$12,M4934&amp;" "&amp;F4934)))),1,0)</f>
        <v>8</v>
      </c>
    </row>
    <row r="4935" customFormat="false" ht="15" hidden="false" customHeight="false" outlineLevel="0" collapsed="false">
      <c r="A4935" s="19"/>
      <c r="B4935" s="19"/>
      <c r="C4935" s="19"/>
      <c r="D4935" s="19"/>
      <c r="E4935" s="22"/>
      <c r="F4935" s="19"/>
      <c r="G4935" s="26" t="str">
        <f aca="false">IF(D4935="","",IFERROR(VALUE(LEFT(D4935,FIND(" |",D4935&amp;" |")-1)),"?"))</f>
        <v/>
      </c>
      <c r="H4935" s="27" t="str">
        <f aca="false">IF(G4935="","",IF(G4935="?","⚠ pub inconnue",IFERROR(INDEX(Pubs!$B$2:$B$3001,MATCH(G4935,Pubs!$A$2:$A$3001,0))&amp;"","⚠ pub inconnue")))</f>
        <v/>
      </c>
      <c r="I4935" s="27" t="str">
        <f aca="false">IF(OR(G4935="",G4935="?"),"",IFERROR(INDEX(Pubs!$C$2:$C$3001,MATCH(G4935,Pubs!$A$2:$A$3001,0))&amp;"",""))</f>
        <v/>
      </c>
      <c r="J4935" s="27" t="str">
        <f aca="false">IF(OR(G4935="",G4935="?"),"",IFERROR(INDEX(Pubs!$G$2:$G$3001,MATCH(G4935,Pubs!$A$2:$A$3001,0))&amp;"",""))</f>
        <v/>
      </c>
      <c r="K4935" s="28" t="str">
        <f aca="false">IF(OR(G4935="",G4935="?"),"",IFERROR(INDEX(Pubs!$E$2:$E$3001,MATCH(G4935,Pubs!$A$2:$A$3001,0)),""))</f>
        <v/>
      </c>
      <c r="L4935" s="29" t="str">
        <f aca="false">IF(A4935="","",IFERROR(1/(1/INDEX(Numéros!$C$2:$C$3001,MATCH(A4935&amp;"|"&amp;B4935,Numéros!$F$2:$F$3001,0))),""))</f>
        <v/>
      </c>
      <c r="M4935" s="27" t="str">
        <f aca="false">IF(OR(G4935="",G4935="?"),"",IFERROR(INDEX(Pubs!$D$2:$D$3001,MATCH(G4935,Pubs!$A$2:$A$3001,0))&amp;"",""))</f>
        <v/>
      </c>
      <c r="N4935" s="27" t="n">
        <f aca="false">N(N4934)+IF(AND(A4935&lt;&gt;"",OR(Recherche!$C$4="",A4935=Recherche!$C$4),OR(Recherche!$C$5="",B4935&amp;""=Recherche!$C$5&amp;""),OR(Recherche!$C$6="",IFERROR(YEAR(L4935),0)=Recherche!$C$6),OR(Recherche!$C$7="",ISNUMBER(SEARCH(Recherche!$C$7,H4935))),OR(Recherche!$C$8="",J4935=Recherche!$C$8),OR(Recherche!$C$9="",I4935=Recherche!$C$9),OR(Recherche!$C$10="",G4935&amp;""=Recherche!$C$10&amp;""),OR(Recherche!$C$11="",E4935=Recherche!$C$11),OR(Recherche!$C$12="",ISNUMBER(SEARCH(Recherche!$C$12,M4935&amp;" "&amp;F4935)))),1,0)</f>
        <v>8</v>
      </c>
    </row>
    <row r="4936" customFormat="false" ht="15" hidden="false" customHeight="false" outlineLevel="0" collapsed="false">
      <c r="A4936" s="19"/>
      <c r="B4936" s="19"/>
      <c r="C4936" s="19"/>
      <c r="D4936" s="19"/>
      <c r="E4936" s="22"/>
      <c r="F4936" s="19"/>
      <c r="G4936" s="26" t="str">
        <f aca="false">IF(D4936="","",IFERROR(VALUE(LEFT(D4936,FIND(" |",D4936&amp;" |")-1)),"?"))</f>
        <v/>
      </c>
      <c r="H4936" s="27" t="str">
        <f aca="false">IF(G4936="","",IF(G4936="?","⚠ pub inconnue",IFERROR(INDEX(Pubs!$B$2:$B$3001,MATCH(G4936,Pubs!$A$2:$A$3001,0))&amp;"","⚠ pub inconnue")))</f>
        <v/>
      </c>
      <c r="I4936" s="27" t="str">
        <f aca="false">IF(OR(G4936="",G4936="?"),"",IFERROR(INDEX(Pubs!$C$2:$C$3001,MATCH(G4936,Pubs!$A$2:$A$3001,0))&amp;"",""))</f>
        <v/>
      </c>
      <c r="J4936" s="27" t="str">
        <f aca="false">IF(OR(G4936="",G4936="?"),"",IFERROR(INDEX(Pubs!$G$2:$G$3001,MATCH(G4936,Pubs!$A$2:$A$3001,0))&amp;"",""))</f>
        <v/>
      </c>
      <c r="K4936" s="28" t="str">
        <f aca="false">IF(OR(G4936="",G4936="?"),"",IFERROR(INDEX(Pubs!$E$2:$E$3001,MATCH(G4936,Pubs!$A$2:$A$3001,0)),""))</f>
        <v/>
      </c>
      <c r="L4936" s="29" t="str">
        <f aca="false">IF(A4936="","",IFERROR(1/(1/INDEX(Numéros!$C$2:$C$3001,MATCH(A4936&amp;"|"&amp;B4936,Numéros!$F$2:$F$3001,0))),""))</f>
        <v/>
      </c>
      <c r="M4936" s="27" t="str">
        <f aca="false">IF(OR(G4936="",G4936="?"),"",IFERROR(INDEX(Pubs!$D$2:$D$3001,MATCH(G4936,Pubs!$A$2:$A$3001,0))&amp;"",""))</f>
        <v/>
      </c>
      <c r="N4936" s="27" t="n">
        <f aca="false">N(N4935)+IF(AND(A4936&lt;&gt;"",OR(Recherche!$C$4="",A4936=Recherche!$C$4),OR(Recherche!$C$5="",B4936&amp;""=Recherche!$C$5&amp;""),OR(Recherche!$C$6="",IFERROR(YEAR(L4936),0)=Recherche!$C$6),OR(Recherche!$C$7="",ISNUMBER(SEARCH(Recherche!$C$7,H4936))),OR(Recherche!$C$8="",J4936=Recherche!$C$8),OR(Recherche!$C$9="",I4936=Recherche!$C$9),OR(Recherche!$C$10="",G4936&amp;""=Recherche!$C$10&amp;""),OR(Recherche!$C$11="",E4936=Recherche!$C$11),OR(Recherche!$C$12="",ISNUMBER(SEARCH(Recherche!$C$12,M4936&amp;" "&amp;F4936)))),1,0)</f>
        <v>8</v>
      </c>
    </row>
    <row r="4937" customFormat="false" ht="15" hidden="false" customHeight="false" outlineLevel="0" collapsed="false">
      <c r="A4937" s="19"/>
      <c r="B4937" s="19"/>
      <c r="C4937" s="19"/>
      <c r="D4937" s="19"/>
      <c r="E4937" s="22"/>
      <c r="F4937" s="19"/>
      <c r="G4937" s="26" t="str">
        <f aca="false">IF(D4937="","",IFERROR(VALUE(LEFT(D4937,FIND(" |",D4937&amp;" |")-1)),"?"))</f>
        <v/>
      </c>
      <c r="H4937" s="27" t="str">
        <f aca="false">IF(G4937="","",IF(G4937="?","⚠ pub inconnue",IFERROR(INDEX(Pubs!$B$2:$B$3001,MATCH(G4937,Pubs!$A$2:$A$3001,0))&amp;"","⚠ pub inconnue")))</f>
        <v/>
      </c>
      <c r="I4937" s="27" t="str">
        <f aca="false">IF(OR(G4937="",G4937="?"),"",IFERROR(INDEX(Pubs!$C$2:$C$3001,MATCH(G4937,Pubs!$A$2:$A$3001,0))&amp;"",""))</f>
        <v/>
      </c>
      <c r="J4937" s="27" t="str">
        <f aca="false">IF(OR(G4937="",G4937="?"),"",IFERROR(INDEX(Pubs!$G$2:$G$3001,MATCH(G4937,Pubs!$A$2:$A$3001,0))&amp;"",""))</f>
        <v/>
      </c>
      <c r="K4937" s="28" t="str">
        <f aca="false">IF(OR(G4937="",G4937="?"),"",IFERROR(INDEX(Pubs!$E$2:$E$3001,MATCH(G4937,Pubs!$A$2:$A$3001,0)),""))</f>
        <v/>
      </c>
      <c r="L4937" s="29" t="str">
        <f aca="false">IF(A4937="","",IFERROR(1/(1/INDEX(Numéros!$C$2:$C$3001,MATCH(A4937&amp;"|"&amp;B4937,Numéros!$F$2:$F$3001,0))),""))</f>
        <v/>
      </c>
      <c r="M4937" s="27" t="str">
        <f aca="false">IF(OR(G4937="",G4937="?"),"",IFERROR(INDEX(Pubs!$D$2:$D$3001,MATCH(G4937,Pubs!$A$2:$A$3001,0))&amp;"",""))</f>
        <v/>
      </c>
      <c r="N4937" s="27" t="n">
        <f aca="false">N(N4936)+IF(AND(A4937&lt;&gt;"",OR(Recherche!$C$4="",A4937=Recherche!$C$4),OR(Recherche!$C$5="",B4937&amp;""=Recherche!$C$5&amp;""),OR(Recherche!$C$6="",IFERROR(YEAR(L4937),0)=Recherche!$C$6),OR(Recherche!$C$7="",ISNUMBER(SEARCH(Recherche!$C$7,H4937))),OR(Recherche!$C$8="",J4937=Recherche!$C$8),OR(Recherche!$C$9="",I4937=Recherche!$C$9),OR(Recherche!$C$10="",G4937&amp;""=Recherche!$C$10&amp;""),OR(Recherche!$C$11="",E4937=Recherche!$C$11),OR(Recherche!$C$12="",ISNUMBER(SEARCH(Recherche!$C$12,M4937&amp;" "&amp;F4937)))),1,0)</f>
        <v>8</v>
      </c>
    </row>
    <row r="4938" customFormat="false" ht="15" hidden="false" customHeight="false" outlineLevel="0" collapsed="false">
      <c r="A4938" s="19"/>
      <c r="B4938" s="19"/>
      <c r="C4938" s="19"/>
      <c r="D4938" s="19"/>
      <c r="E4938" s="22"/>
      <c r="F4938" s="19"/>
      <c r="G4938" s="26" t="str">
        <f aca="false">IF(D4938="","",IFERROR(VALUE(LEFT(D4938,FIND(" |",D4938&amp;" |")-1)),"?"))</f>
        <v/>
      </c>
      <c r="H4938" s="27" t="str">
        <f aca="false">IF(G4938="","",IF(G4938="?","⚠ pub inconnue",IFERROR(INDEX(Pubs!$B$2:$B$3001,MATCH(G4938,Pubs!$A$2:$A$3001,0))&amp;"","⚠ pub inconnue")))</f>
        <v/>
      </c>
      <c r="I4938" s="27" t="str">
        <f aca="false">IF(OR(G4938="",G4938="?"),"",IFERROR(INDEX(Pubs!$C$2:$C$3001,MATCH(G4938,Pubs!$A$2:$A$3001,0))&amp;"",""))</f>
        <v/>
      </c>
      <c r="J4938" s="27" t="str">
        <f aca="false">IF(OR(G4938="",G4938="?"),"",IFERROR(INDEX(Pubs!$G$2:$G$3001,MATCH(G4938,Pubs!$A$2:$A$3001,0))&amp;"",""))</f>
        <v/>
      </c>
      <c r="K4938" s="28" t="str">
        <f aca="false">IF(OR(G4938="",G4938="?"),"",IFERROR(INDEX(Pubs!$E$2:$E$3001,MATCH(G4938,Pubs!$A$2:$A$3001,0)),""))</f>
        <v/>
      </c>
      <c r="L4938" s="29" t="str">
        <f aca="false">IF(A4938="","",IFERROR(1/(1/INDEX(Numéros!$C$2:$C$3001,MATCH(A4938&amp;"|"&amp;B4938,Numéros!$F$2:$F$3001,0))),""))</f>
        <v/>
      </c>
      <c r="M4938" s="27" t="str">
        <f aca="false">IF(OR(G4938="",G4938="?"),"",IFERROR(INDEX(Pubs!$D$2:$D$3001,MATCH(G4938,Pubs!$A$2:$A$3001,0))&amp;"",""))</f>
        <v/>
      </c>
      <c r="N4938" s="27" t="n">
        <f aca="false">N(N4937)+IF(AND(A4938&lt;&gt;"",OR(Recherche!$C$4="",A4938=Recherche!$C$4),OR(Recherche!$C$5="",B4938&amp;""=Recherche!$C$5&amp;""),OR(Recherche!$C$6="",IFERROR(YEAR(L4938),0)=Recherche!$C$6),OR(Recherche!$C$7="",ISNUMBER(SEARCH(Recherche!$C$7,H4938))),OR(Recherche!$C$8="",J4938=Recherche!$C$8),OR(Recherche!$C$9="",I4938=Recherche!$C$9),OR(Recherche!$C$10="",G4938&amp;""=Recherche!$C$10&amp;""),OR(Recherche!$C$11="",E4938=Recherche!$C$11),OR(Recherche!$C$12="",ISNUMBER(SEARCH(Recherche!$C$12,M4938&amp;" "&amp;F4938)))),1,0)</f>
        <v>8</v>
      </c>
    </row>
    <row r="4939" customFormat="false" ht="15" hidden="false" customHeight="false" outlineLevel="0" collapsed="false">
      <c r="A4939" s="19"/>
      <c r="B4939" s="19"/>
      <c r="C4939" s="19"/>
      <c r="D4939" s="19"/>
      <c r="E4939" s="22"/>
      <c r="F4939" s="19"/>
      <c r="G4939" s="26" t="str">
        <f aca="false">IF(D4939="","",IFERROR(VALUE(LEFT(D4939,FIND(" |",D4939&amp;" |")-1)),"?"))</f>
        <v/>
      </c>
      <c r="H4939" s="27" t="str">
        <f aca="false">IF(G4939="","",IF(G4939="?","⚠ pub inconnue",IFERROR(INDEX(Pubs!$B$2:$B$3001,MATCH(G4939,Pubs!$A$2:$A$3001,0))&amp;"","⚠ pub inconnue")))</f>
        <v/>
      </c>
      <c r="I4939" s="27" t="str">
        <f aca="false">IF(OR(G4939="",G4939="?"),"",IFERROR(INDEX(Pubs!$C$2:$C$3001,MATCH(G4939,Pubs!$A$2:$A$3001,0))&amp;"",""))</f>
        <v/>
      </c>
      <c r="J4939" s="27" t="str">
        <f aca="false">IF(OR(G4939="",G4939="?"),"",IFERROR(INDEX(Pubs!$G$2:$G$3001,MATCH(G4939,Pubs!$A$2:$A$3001,0))&amp;"",""))</f>
        <v/>
      </c>
      <c r="K4939" s="28" t="str">
        <f aca="false">IF(OR(G4939="",G4939="?"),"",IFERROR(INDEX(Pubs!$E$2:$E$3001,MATCH(G4939,Pubs!$A$2:$A$3001,0)),""))</f>
        <v/>
      </c>
      <c r="L4939" s="29" t="str">
        <f aca="false">IF(A4939="","",IFERROR(1/(1/INDEX(Numéros!$C$2:$C$3001,MATCH(A4939&amp;"|"&amp;B4939,Numéros!$F$2:$F$3001,0))),""))</f>
        <v/>
      </c>
      <c r="M4939" s="27" t="str">
        <f aca="false">IF(OR(G4939="",G4939="?"),"",IFERROR(INDEX(Pubs!$D$2:$D$3001,MATCH(G4939,Pubs!$A$2:$A$3001,0))&amp;"",""))</f>
        <v/>
      </c>
      <c r="N4939" s="27" t="n">
        <f aca="false">N(N4938)+IF(AND(A4939&lt;&gt;"",OR(Recherche!$C$4="",A4939=Recherche!$C$4),OR(Recherche!$C$5="",B4939&amp;""=Recherche!$C$5&amp;""),OR(Recherche!$C$6="",IFERROR(YEAR(L4939),0)=Recherche!$C$6),OR(Recherche!$C$7="",ISNUMBER(SEARCH(Recherche!$C$7,H4939))),OR(Recherche!$C$8="",J4939=Recherche!$C$8),OR(Recherche!$C$9="",I4939=Recherche!$C$9),OR(Recherche!$C$10="",G4939&amp;""=Recherche!$C$10&amp;""),OR(Recherche!$C$11="",E4939=Recherche!$C$11),OR(Recherche!$C$12="",ISNUMBER(SEARCH(Recherche!$C$12,M4939&amp;" "&amp;F4939)))),1,0)</f>
        <v>8</v>
      </c>
    </row>
    <row r="4940" customFormat="false" ht="15" hidden="false" customHeight="false" outlineLevel="0" collapsed="false">
      <c r="A4940" s="19"/>
      <c r="B4940" s="19"/>
      <c r="C4940" s="19"/>
      <c r="D4940" s="19"/>
      <c r="E4940" s="22"/>
      <c r="F4940" s="19"/>
      <c r="G4940" s="26" t="str">
        <f aca="false">IF(D4940="","",IFERROR(VALUE(LEFT(D4940,FIND(" |",D4940&amp;" |")-1)),"?"))</f>
        <v/>
      </c>
      <c r="H4940" s="27" t="str">
        <f aca="false">IF(G4940="","",IF(G4940="?","⚠ pub inconnue",IFERROR(INDEX(Pubs!$B$2:$B$3001,MATCH(G4940,Pubs!$A$2:$A$3001,0))&amp;"","⚠ pub inconnue")))</f>
        <v/>
      </c>
      <c r="I4940" s="27" t="str">
        <f aca="false">IF(OR(G4940="",G4940="?"),"",IFERROR(INDEX(Pubs!$C$2:$C$3001,MATCH(G4940,Pubs!$A$2:$A$3001,0))&amp;"",""))</f>
        <v/>
      </c>
      <c r="J4940" s="27" t="str">
        <f aca="false">IF(OR(G4940="",G4940="?"),"",IFERROR(INDEX(Pubs!$G$2:$G$3001,MATCH(G4940,Pubs!$A$2:$A$3001,0))&amp;"",""))</f>
        <v/>
      </c>
      <c r="K4940" s="28" t="str">
        <f aca="false">IF(OR(G4940="",G4940="?"),"",IFERROR(INDEX(Pubs!$E$2:$E$3001,MATCH(G4940,Pubs!$A$2:$A$3001,0)),""))</f>
        <v/>
      </c>
      <c r="L4940" s="29" t="str">
        <f aca="false">IF(A4940="","",IFERROR(1/(1/INDEX(Numéros!$C$2:$C$3001,MATCH(A4940&amp;"|"&amp;B4940,Numéros!$F$2:$F$3001,0))),""))</f>
        <v/>
      </c>
      <c r="M4940" s="27" t="str">
        <f aca="false">IF(OR(G4940="",G4940="?"),"",IFERROR(INDEX(Pubs!$D$2:$D$3001,MATCH(G4940,Pubs!$A$2:$A$3001,0))&amp;"",""))</f>
        <v/>
      </c>
      <c r="N4940" s="27" t="n">
        <f aca="false">N(N4939)+IF(AND(A4940&lt;&gt;"",OR(Recherche!$C$4="",A4940=Recherche!$C$4),OR(Recherche!$C$5="",B4940&amp;""=Recherche!$C$5&amp;""),OR(Recherche!$C$6="",IFERROR(YEAR(L4940),0)=Recherche!$C$6),OR(Recherche!$C$7="",ISNUMBER(SEARCH(Recherche!$C$7,H4940))),OR(Recherche!$C$8="",J4940=Recherche!$C$8),OR(Recherche!$C$9="",I4940=Recherche!$C$9),OR(Recherche!$C$10="",G4940&amp;""=Recherche!$C$10&amp;""),OR(Recherche!$C$11="",E4940=Recherche!$C$11),OR(Recherche!$C$12="",ISNUMBER(SEARCH(Recherche!$C$12,M4940&amp;" "&amp;F4940)))),1,0)</f>
        <v>8</v>
      </c>
    </row>
    <row r="4941" customFormat="false" ht="15" hidden="false" customHeight="false" outlineLevel="0" collapsed="false">
      <c r="A4941" s="19"/>
      <c r="B4941" s="19"/>
      <c r="C4941" s="19"/>
      <c r="D4941" s="19"/>
      <c r="E4941" s="22"/>
      <c r="F4941" s="19"/>
      <c r="G4941" s="26" t="str">
        <f aca="false">IF(D4941="","",IFERROR(VALUE(LEFT(D4941,FIND(" |",D4941&amp;" |")-1)),"?"))</f>
        <v/>
      </c>
      <c r="H4941" s="27" t="str">
        <f aca="false">IF(G4941="","",IF(G4941="?","⚠ pub inconnue",IFERROR(INDEX(Pubs!$B$2:$B$3001,MATCH(G4941,Pubs!$A$2:$A$3001,0))&amp;"","⚠ pub inconnue")))</f>
        <v/>
      </c>
      <c r="I4941" s="27" t="str">
        <f aca="false">IF(OR(G4941="",G4941="?"),"",IFERROR(INDEX(Pubs!$C$2:$C$3001,MATCH(G4941,Pubs!$A$2:$A$3001,0))&amp;"",""))</f>
        <v/>
      </c>
      <c r="J4941" s="27" t="str">
        <f aca="false">IF(OR(G4941="",G4941="?"),"",IFERROR(INDEX(Pubs!$G$2:$G$3001,MATCH(G4941,Pubs!$A$2:$A$3001,0))&amp;"",""))</f>
        <v/>
      </c>
      <c r="K4941" s="28" t="str">
        <f aca="false">IF(OR(G4941="",G4941="?"),"",IFERROR(INDEX(Pubs!$E$2:$E$3001,MATCH(G4941,Pubs!$A$2:$A$3001,0)),""))</f>
        <v/>
      </c>
      <c r="L4941" s="29" t="str">
        <f aca="false">IF(A4941="","",IFERROR(1/(1/INDEX(Numéros!$C$2:$C$3001,MATCH(A4941&amp;"|"&amp;B4941,Numéros!$F$2:$F$3001,0))),""))</f>
        <v/>
      </c>
      <c r="M4941" s="27" t="str">
        <f aca="false">IF(OR(G4941="",G4941="?"),"",IFERROR(INDEX(Pubs!$D$2:$D$3001,MATCH(G4941,Pubs!$A$2:$A$3001,0))&amp;"",""))</f>
        <v/>
      </c>
      <c r="N4941" s="27" t="n">
        <f aca="false">N(N4940)+IF(AND(A4941&lt;&gt;"",OR(Recherche!$C$4="",A4941=Recherche!$C$4),OR(Recherche!$C$5="",B4941&amp;""=Recherche!$C$5&amp;""),OR(Recherche!$C$6="",IFERROR(YEAR(L4941),0)=Recherche!$C$6),OR(Recherche!$C$7="",ISNUMBER(SEARCH(Recherche!$C$7,H4941))),OR(Recherche!$C$8="",J4941=Recherche!$C$8),OR(Recherche!$C$9="",I4941=Recherche!$C$9),OR(Recherche!$C$10="",G4941&amp;""=Recherche!$C$10&amp;""),OR(Recherche!$C$11="",E4941=Recherche!$C$11),OR(Recherche!$C$12="",ISNUMBER(SEARCH(Recherche!$C$12,M4941&amp;" "&amp;F4941)))),1,0)</f>
        <v>8</v>
      </c>
    </row>
    <row r="4942" customFormat="false" ht="15" hidden="false" customHeight="false" outlineLevel="0" collapsed="false">
      <c r="A4942" s="19"/>
      <c r="B4942" s="19"/>
      <c r="C4942" s="19"/>
      <c r="D4942" s="19"/>
      <c r="E4942" s="22"/>
      <c r="F4942" s="19"/>
      <c r="G4942" s="26" t="str">
        <f aca="false">IF(D4942="","",IFERROR(VALUE(LEFT(D4942,FIND(" |",D4942&amp;" |")-1)),"?"))</f>
        <v/>
      </c>
      <c r="H4942" s="27" t="str">
        <f aca="false">IF(G4942="","",IF(G4942="?","⚠ pub inconnue",IFERROR(INDEX(Pubs!$B$2:$B$3001,MATCH(G4942,Pubs!$A$2:$A$3001,0))&amp;"","⚠ pub inconnue")))</f>
        <v/>
      </c>
      <c r="I4942" s="27" t="str">
        <f aca="false">IF(OR(G4942="",G4942="?"),"",IFERROR(INDEX(Pubs!$C$2:$C$3001,MATCH(G4942,Pubs!$A$2:$A$3001,0))&amp;"",""))</f>
        <v/>
      </c>
      <c r="J4942" s="27" t="str">
        <f aca="false">IF(OR(G4942="",G4942="?"),"",IFERROR(INDEX(Pubs!$G$2:$G$3001,MATCH(G4942,Pubs!$A$2:$A$3001,0))&amp;"",""))</f>
        <v/>
      </c>
      <c r="K4942" s="28" t="str">
        <f aca="false">IF(OR(G4942="",G4942="?"),"",IFERROR(INDEX(Pubs!$E$2:$E$3001,MATCH(G4942,Pubs!$A$2:$A$3001,0)),""))</f>
        <v/>
      </c>
      <c r="L4942" s="29" t="str">
        <f aca="false">IF(A4942="","",IFERROR(1/(1/INDEX(Numéros!$C$2:$C$3001,MATCH(A4942&amp;"|"&amp;B4942,Numéros!$F$2:$F$3001,0))),""))</f>
        <v/>
      </c>
      <c r="M4942" s="27" t="str">
        <f aca="false">IF(OR(G4942="",G4942="?"),"",IFERROR(INDEX(Pubs!$D$2:$D$3001,MATCH(G4942,Pubs!$A$2:$A$3001,0))&amp;"",""))</f>
        <v/>
      </c>
      <c r="N4942" s="27" t="n">
        <f aca="false">N(N4941)+IF(AND(A4942&lt;&gt;"",OR(Recherche!$C$4="",A4942=Recherche!$C$4),OR(Recherche!$C$5="",B4942&amp;""=Recherche!$C$5&amp;""),OR(Recherche!$C$6="",IFERROR(YEAR(L4942),0)=Recherche!$C$6),OR(Recherche!$C$7="",ISNUMBER(SEARCH(Recherche!$C$7,H4942))),OR(Recherche!$C$8="",J4942=Recherche!$C$8),OR(Recherche!$C$9="",I4942=Recherche!$C$9),OR(Recherche!$C$10="",G4942&amp;""=Recherche!$C$10&amp;""),OR(Recherche!$C$11="",E4942=Recherche!$C$11),OR(Recherche!$C$12="",ISNUMBER(SEARCH(Recherche!$C$12,M4942&amp;" "&amp;F4942)))),1,0)</f>
        <v>8</v>
      </c>
    </row>
    <row r="4943" customFormat="false" ht="15" hidden="false" customHeight="false" outlineLevel="0" collapsed="false">
      <c r="A4943" s="19"/>
      <c r="B4943" s="19"/>
      <c r="C4943" s="19"/>
      <c r="D4943" s="19"/>
      <c r="E4943" s="22"/>
      <c r="F4943" s="19"/>
      <c r="G4943" s="26" t="str">
        <f aca="false">IF(D4943="","",IFERROR(VALUE(LEFT(D4943,FIND(" |",D4943&amp;" |")-1)),"?"))</f>
        <v/>
      </c>
      <c r="H4943" s="27" t="str">
        <f aca="false">IF(G4943="","",IF(G4943="?","⚠ pub inconnue",IFERROR(INDEX(Pubs!$B$2:$B$3001,MATCH(G4943,Pubs!$A$2:$A$3001,0))&amp;"","⚠ pub inconnue")))</f>
        <v/>
      </c>
      <c r="I4943" s="27" t="str">
        <f aca="false">IF(OR(G4943="",G4943="?"),"",IFERROR(INDEX(Pubs!$C$2:$C$3001,MATCH(G4943,Pubs!$A$2:$A$3001,0))&amp;"",""))</f>
        <v/>
      </c>
      <c r="J4943" s="27" t="str">
        <f aca="false">IF(OR(G4943="",G4943="?"),"",IFERROR(INDEX(Pubs!$G$2:$G$3001,MATCH(G4943,Pubs!$A$2:$A$3001,0))&amp;"",""))</f>
        <v/>
      </c>
      <c r="K4943" s="28" t="str">
        <f aca="false">IF(OR(G4943="",G4943="?"),"",IFERROR(INDEX(Pubs!$E$2:$E$3001,MATCH(G4943,Pubs!$A$2:$A$3001,0)),""))</f>
        <v/>
      </c>
      <c r="L4943" s="29" t="str">
        <f aca="false">IF(A4943="","",IFERROR(1/(1/INDEX(Numéros!$C$2:$C$3001,MATCH(A4943&amp;"|"&amp;B4943,Numéros!$F$2:$F$3001,0))),""))</f>
        <v/>
      </c>
      <c r="M4943" s="27" t="str">
        <f aca="false">IF(OR(G4943="",G4943="?"),"",IFERROR(INDEX(Pubs!$D$2:$D$3001,MATCH(G4943,Pubs!$A$2:$A$3001,0))&amp;"",""))</f>
        <v/>
      </c>
      <c r="N4943" s="27" t="n">
        <f aca="false">N(N4942)+IF(AND(A4943&lt;&gt;"",OR(Recherche!$C$4="",A4943=Recherche!$C$4),OR(Recherche!$C$5="",B4943&amp;""=Recherche!$C$5&amp;""),OR(Recherche!$C$6="",IFERROR(YEAR(L4943),0)=Recherche!$C$6),OR(Recherche!$C$7="",ISNUMBER(SEARCH(Recherche!$C$7,H4943))),OR(Recherche!$C$8="",J4943=Recherche!$C$8),OR(Recherche!$C$9="",I4943=Recherche!$C$9),OR(Recherche!$C$10="",G4943&amp;""=Recherche!$C$10&amp;""),OR(Recherche!$C$11="",E4943=Recherche!$C$11),OR(Recherche!$C$12="",ISNUMBER(SEARCH(Recherche!$C$12,M4943&amp;" "&amp;F4943)))),1,0)</f>
        <v>8</v>
      </c>
    </row>
    <row r="4944" customFormat="false" ht="15" hidden="false" customHeight="false" outlineLevel="0" collapsed="false">
      <c r="A4944" s="19"/>
      <c r="B4944" s="19"/>
      <c r="C4944" s="19"/>
      <c r="D4944" s="19"/>
      <c r="E4944" s="22"/>
      <c r="F4944" s="19"/>
      <c r="G4944" s="26" t="str">
        <f aca="false">IF(D4944="","",IFERROR(VALUE(LEFT(D4944,FIND(" |",D4944&amp;" |")-1)),"?"))</f>
        <v/>
      </c>
      <c r="H4944" s="27" t="str">
        <f aca="false">IF(G4944="","",IF(G4944="?","⚠ pub inconnue",IFERROR(INDEX(Pubs!$B$2:$B$3001,MATCH(G4944,Pubs!$A$2:$A$3001,0))&amp;"","⚠ pub inconnue")))</f>
        <v/>
      </c>
      <c r="I4944" s="27" t="str">
        <f aca="false">IF(OR(G4944="",G4944="?"),"",IFERROR(INDEX(Pubs!$C$2:$C$3001,MATCH(G4944,Pubs!$A$2:$A$3001,0))&amp;"",""))</f>
        <v/>
      </c>
      <c r="J4944" s="27" t="str">
        <f aca="false">IF(OR(G4944="",G4944="?"),"",IFERROR(INDEX(Pubs!$G$2:$G$3001,MATCH(G4944,Pubs!$A$2:$A$3001,0))&amp;"",""))</f>
        <v/>
      </c>
      <c r="K4944" s="28" t="str">
        <f aca="false">IF(OR(G4944="",G4944="?"),"",IFERROR(INDEX(Pubs!$E$2:$E$3001,MATCH(G4944,Pubs!$A$2:$A$3001,0)),""))</f>
        <v/>
      </c>
      <c r="L4944" s="29" t="str">
        <f aca="false">IF(A4944="","",IFERROR(1/(1/INDEX(Numéros!$C$2:$C$3001,MATCH(A4944&amp;"|"&amp;B4944,Numéros!$F$2:$F$3001,0))),""))</f>
        <v/>
      </c>
      <c r="M4944" s="27" t="str">
        <f aca="false">IF(OR(G4944="",G4944="?"),"",IFERROR(INDEX(Pubs!$D$2:$D$3001,MATCH(G4944,Pubs!$A$2:$A$3001,0))&amp;"",""))</f>
        <v/>
      </c>
      <c r="N4944" s="27" t="n">
        <f aca="false">N(N4943)+IF(AND(A4944&lt;&gt;"",OR(Recherche!$C$4="",A4944=Recherche!$C$4),OR(Recherche!$C$5="",B4944&amp;""=Recherche!$C$5&amp;""),OR(Recherche!$C$6="",IFERROR(YEAR(L4944),0)=Recherche!$C$6),OR(Recherche!$C$7="",ISNUMBER(SEARCH(Recherche!$C$7,H4944))),OR(Recherche!$C$8="",J4944=Recherche!$C$8),OR(Recherche!$C$9="",I4944=Recherche!$C$9),OR(Recherche!$C$10="",G4944&amp;""=Recherche!$C$10&amp;""),OR(Recherche!$C$11="",E4944=Recherche!$C$11),OR(Recherche!$C$12="",ISNUMBER(SEARCH(Recherche!$C$12,M4944&amp;" "&amp;F4944)))),1,0)</f>
        <v>8</v>
      </c>
    </row>
    <row r="4945" customFormat="false" ht="15" hidden="false" customHeight="false" outlineLevel="0" collapsed="false">
      <c r="A4945" s="19"/>
      <c r="B4945" s="19"/>
      <c r="C4945" s="19"/>
      <c r="D4945" s="19"/>
      <c r="E4945" s="22"/>
      <c r="F4945" s="19"/>
      <c r="G4945" s="26" t="str">
        <f aca="false">IF(D4945="","",IFERROR(VALUE(LEFT(D4945,FIND(" |",D4945&amp;" |")-1)),"?"))</f>
        <v/>
      </c>
      <c r="H4945" s="27" t="str">
        <f aca="false">IF(G4945="","",IF(G4945="?","⚠ pub inconnue",IFERROR(INDEX(Pubs!$B$2:$B$3001,MATCH(G4945,Pubs!$A$2:$A$3001,0))&amp;"","⚠ pub inconnue")))</f>
        <v/>
      </c>
      <c r="I4945" s="27" t="str">
        <f aca="false">IF(OR(G4945="",G4945="?"),"",IFERROR(INDEX(Pubs!$C$2:$C$3001,MATCH(G4945,Pubs!$A$2:$A$3001,0))&amp;"",""))</f>
        <v/>
      </c>
      <c r="J4945" s="27" t="str">
        <f aca="false">IF(OR(G4945="",G4945="?"),"",IFERROR(INDEX(Pubs!$G$2:$G$3001,MATCH(G4945,Pubs!$A$2:$A$3001,0))&amp;"",""))</f>
        <v/>
      </c>
      <c r="K4945" s="28" t="str">
        <f aca="false">IF(OR(G4945="",G4945="?"),"",IFERROR(INDEX(Pubs!$E$2:$E$3001,MATCH(G4945,Pubs!$A$2:$A$3001,0)),""))</f>
        <v/>
      </c>
      <c r="L4945" s="29" t="str">
        <f aca="false">IF(A4945="","",IFERROR(1/(1/INDEX(Numéros!$C$2:$C$3001,MATCH(A4945&amp;"|"&amp;B4945,Numéros!$F$2:$F$3001,0))),""))</f>
        <v/>
      </c>
      <c r="M4945" s="27" t="str">
        <f aca="false">IF(OR(G4945="",G4945="?"),"",IFERROR(INDEX(Pubs!$D$2:$D$3001,MATCH(G4945,Pubs!$A$2:$A$3001,0))&amp;"",""))</f>
        <v/>
      </c>
      <c r="N4945" s="27" t="n">
        <f aca="false">N(N4944)+IF(AND(A4945&lt;&gt;"",OR(Recherche!$C$4="",A4945=Recherche!$C$4),OR(Recherche!$C$5="",B4945&amp;""=Recherche!$C$5&amp;""),OR(Recherche!$C$6="",IFERROR(YEAR(L4945),0)=Recherche!$C$6),OR(Recherche!$C$7="",ISNUMBER(SEARCH(Recherche!$C$7,H4945))),OR(Recherche!$C$8="",J4945=Recherche!$C$8),OR(Recherche!$C$9="",I4945=Recherche!$C$9),OR(Recherche!$C$10="",G4945&amp;""=Recherche!$C$10&amp;""),OR(Recherche!$C$11="",E4945=Recherche!$C$11),OR(Recherche!$C$12="",ISNUMBER(SEARCH(Recherche!$C$12,M4945&amp;" "&amp;F4945)))),1,0)</f>
        <v>8</v>
      </c>
    </row>
    <row r="4946" customFormat="false" ht="15" hidden="false" customHeight="false" outlineLevel="0" collapsed="false">
      <c r="A4946" s="19"/>
      <c r="B4946" s="19"/>
      <c r="C4946" s="19"/>
      <c r="D4946" s="19"/>
      <c r="E4946" s="22"/>
      <c r="F4946" s="19"/>
      <c r="G4946" s="26" t="str">
        <f aca="false">IF(D4946="","",IFERROR(VALUE(LEFT(D4946,FIND(" |",D4946&amp;" |")-1)),"?"))</f>
        <v/>
      </c>
      <c r="H4946" s="27" t="str">
        <f aca="false">IF(G4946="","",IF(G4946="?","⚠ pub inconnue",IFERROR(INDEX(Pubs!$B$2:$B$3001,MATCH(G4946,Pubs!$A$2:$A$3001,0))&amp;"","⚠ pub inconnue")))</f>
        <v/>
      </c>
      <c r="I4946" s="27" t="str">
        <f aca="false">IF(OR(G4946="",G4946="?"),"",IFERROR(INDEX(Pubs!$C$2:$C$3001,MATCH(G4946,Pubs!$A$2:$A$3001,0))&amp;"",""))</f>
        <v/>
      </c>
      <c r="J4946" s="27" t="str">
        <f aca="false">IF(OR(G4946="",G4946="?"),"",IFERROR(INDEX(Pubs!$G$2:$G$3001,MATCH(G4946,Pubs!$A$2:$A$3001,0))&amp;"",""))</f>
        <v/>
      </c>
      <c r="K4946" s="28" t="str">
        <f aca="false">IF(OR(G4946="",G4946="?"),"",IFERROR(INDEX(Pubs!$E$2:$E$3001,MATCH(G4946,Pubs!$A$2:$A$3001,0)),""))</f>
        <v/>
      </c>
      <c r="L4946" s="29" t="str">
        <f aca="false">IF(A4946="","",IFERROR(1/(1/INDEX(Numéros!$C$2:$C$3001,MATCH(A4946&amp;"|"&amp;B4946,Numéros!$F$2:$F$3001,0))),""))</f>
        <v/>
      </c>
      <c r="M4946" s="27" t="str">
        <f aca="false">IF(OR(G4946="",G4946="?"),"",IFERROR(INDEX(Pubs!$D$2:$D$3001,MATCH(G4946,Pubs!$A$2:$A$3001,0))&amp;"",""))</f>
        <v/>
      </c>
      <c r="N4946" s="27" t="n">
        <f aca="false">N(N4945)+IF(AND(A4946&lt;&gt;"",OR(Recherche!$C$4="",A4946=Recherche!$C$4),OR(Recherche!$C$5="",B4946&amp;""=Recherche!$C$5&amp;""),OR(Recherche!$C$6="",IFERROR(YEAR(L4946),0)=Recherche!$C$6),OR(Recherche!$C$7="",ISNUMBER(SEARCH(Recherche!$C$7,H4946))),OR(Recherche!$C$8="",J4946=Recherche!$C$8),OR(Recherche!$C$9="",I4946=Recherche!$C$9),OR(Recherche!$C$10="",G4946&amp;""=Recherche!$C$10&amp;""),OR(Recherche!$C$11="",E4946=Recherche!$C$11),OR(Recherche!$C$12="",ISNUMBER(SEARCH(Recherche!$C$12,M4946&amp;" "&amp;F4946)))),1,0)</f>
        <v>8</v>
      </c>
    </row>
    <row r="4947" customFormat="false" ht="15" hidden="false" customHeight="false" outlineLevel="0" collapsed="false">
      <c r="A4947" s="19"/>
      <c r="B4947" s="19"/>
      <c r="C4947" s="19"/>
      <c r="D4947" s="19"/>
      <c r="E4947" s="22"/>
      <c r="F4947" s="19"/>
      <c r="G4947" s="26" t="str">
        <f aca="false">IF(D4947="","",IFERROR(VALUE(LEFT(D4947,FIND(" |",D4947&amp;" |")-1)),"?"))</f>
        <v/>
      </c>
      <c r="H4947" s="27" t="str">
        <f aca="false">IF(G4947="","",IF(G4947="?","⚠ pub inconnue",IFERROR(INDEX(Pubs!$B$2:$B$3001,MATCH(G4947,Pubs!$A$2:$A$3001,0))&amp;"","⚠ pub inconnue")))</f>
        <v/>
      </c>
      <c r="I4947" s="27" t="str">
        <f aca="false">IF(OR(G4947="",G4947="?"),"",IFERROR(INDEX(Pubs!$C$2:$C$3001,MATCH(G4947,Pubs!$A$2:$A$3001,0))&amp;"",""))</f>
        <v/>
      </c>
      <c r="J4947" s="27" t="str">
        <f aca="false">IF(OR(G4947="",G4947="?"),"",IFERROR(INDEX(Pubs!$G$2:$G$3001,MATCH(G4947,Pubs!$A$2:$A$3001,0))&amp;"",""))</f>
        <v/>
      </c>
      <c r="K4947" s="28" t="str">
        <f aca="false">IF(OR(G4947="",G4947="?"),"",IFERROR(INDEX(Pubs!$E$2:$E$3001,MATCH(G4947,Pubs!$A$2:$A$3001,0)),""))</f>
        <v/>
      </c>
      <c r="L4947" s="29" t="str">
        <f aca="false">IF(A4947="","",IFERROR(1/(1/INDEX(Numéros!$C$2:$C$3001,MATCH(A4947&amp;"|"&amp;B4947,Numéros!$F$2:$F$3001,0))),""))</f>
        <v/>
      </c>
      <c r="M4947" s="27" t="str">
        <f aca="false">IF(OR(G4947="",G4947="?"),"",IFERROR(INDEX(Pubs!$D$2:$D$3001,MATCH(G4947,Pubs!$A$2:$A$3001,0))&amp;"",""))</f>
        <v/>
      </c>
      <c r="N4947" s="27" t="n">
        <f aca="false">N(N4946)+IF(AND(A4947&lt;&gt;"",OR(Recherche!$C$4="",A4947=Recherche!$C$4),OR(Recherche!$C$5="",B4947&amp;""=Recherche!$C$5&amp;""),OR(Recherche!$C$6="",IFERROR(YEAR(L4947),0)=Recherche!$C$6),OR(Recherche!$C$7="",ISNUMBER(SEARCH(Recherche!$C$7,H4947))),OR(Recherche!$C$8="",J4947=Recherche!$C$8),OR(Recherche!$C$9="",I4947=Recherche!$C$9),OR(Recherche!$C$10="",G4947&amp;""=Recherche!$C$10&amp;""),OR(Recherche!$C$11="",E4947=Recherche!$C$11),OR(Recherche!$C$12="",ISNUMBER(SEARCH(Recherche!$C$12,M4947&amp;" "&amp;F4947)))),1,0)</f>
        <v>8</v>
      </c>
    </row>
    <row r="4948" customFormat="false" ht="15" hidden="false" customHeight="false" outlineLevel="0" collapsed="false">
      <c r="A4948" s="19"/>
      <c r="B4948" s="19"/>
      <c r="C4948" s="19"/>
      <c r="D4948" s="19"/>
      <c r="E4948" s="22"/>
      <c r="F4948" s="19"/>
      <c r="G4948" s="26" t="str">
        <f aca="false">IF(D4948="","",IFERROR(VALUE(LEFT(D4948,FIND(" |",D4948&amp;" |")-1)),"?"))</f>
        <v/>
      </c>
      <c r="H4948" s="27" t="str">
        <f aca="false">IF(G4948="","",IF(G4948="?","⚠ pub inconnue",IFERROR(INDEX(Pubs!$B$2:$B$3001,MATCH(G4948,Pubs!$A$2:$A$3001,0))&amp;"","⚠ pub inconnue")))</f>
        <v/>
      </c>
      <c r="I4948" s="27" t="str">
        <f aca="false">IF(OR(G4948="",G4948="?"),"",IFERROR(INDEX(Pubs!$C$2:$C$3001,MATCH(G4948,Pubs!$A$2:$A$3001,0))&amp;"",""))</f>
        <v/>
      </c>
      <c r="J4948" s="27" t="str">
        <f aca="false">IF(OR(G4948="",G4948="?"),"",IFERROR(INDEX(Pubs!$G$2:$G$3001,MATCH(G4948,Pubs!$A$2:$A$3001,0))&amp;"",""))</f>
        <v/>
      </c>
      <c r="K4948" s="28" t="str">
        <f aca="false">IF(OR(G4948="",G4948="?"),"",IFERROR(INDEX(Pubs!$E$2:$E$3001,MATCH(G4948,Pubs!$A$2:$A$3001,0)),""))</f>
        <v/>
      </c>
      <c r="L4948" s="29" t="str">
        <f aca="false">IF(A4948="","",IFERROR(1/(1/INDEX(Numéros!$C$2:$C$3001,MATCH(A4948&amp;"|"&amp;B4948,Numéros!$F$2:$F$3001,0))),""))</f>
        <v/>
      </c>
      <c r="M4948" s="27" t="str">
        <f aca="false">IF(OR(G4948="",G4948="?"),"",IFERROR(INDEX(Pubs!$D$2:$D$3001,MATCH(G4948,Pubs!$A$2:$A$3001,0))&amp;"",""))</f>
        <v/>
      </c>
      <c r="N4948" s="27" t="n">
        <f aca="false">N(N4947)+IF(AND(A4948&lt;&gt;"",OR(Recherche!$C$4="",A4948=Recherche!$C$4),OR(Recherche!$C$5="",B4948&amp;""=Recherche!$C$5&amp;""),OR(Recherche!$C$6="",IFERROR(YEAR(L4948),0)=Recherche!$C$6),OR(Recherche!$C$7="",ISNUMBER(SEARCH(Recherche!$C$7,H4948))),OR(Recherche!$C$8="",J4948=Recherche!$C$8),OR(Recherche!$C$9="",I4948=Recherche!$C$9),OR(Recherche!$C$10="",G4948&amp;""=Recherche!$C$10&amp;""),OR(Recherche!$C$11="",E4948=Recherche!$C$11),OR(Recherche!$C$12="",ISNUMBER(SEARCH(Recherche!$C$12,M4948&amp;" "&amp;F4948)))),1,0)</f>
        <v>8</v>
      </c>
    </row>
    <row r="4949" customFormat="false" ht="15" hidden="false" customHeight="false" outlineLevel="0" collapsed="false">
      <c r="A4949" s="19"/>
      <c r="B4949" s="19"/>
      <c r="C4949" s="19"/>
      <c r="D4949" s="19"/>
      <c r="E4949" s="22"/>
      <c r="F4949" s="19"/>
      <c r="G4949" s="26" t="str">
        <f aca="false">IF(D4949="","",IFERROR(VALUE(LEFT(D4949,FIND(" |",D4949&amp;" |")-1)),"?"))</f>
        <v/>
      </c>
      <c r="H4949" s="27" t="str">
        <f aca="false">IF(G4949="","",IF(G4949="?","⚠ pub inconnue",IFERROR(INDEX(Pubs!$B$2:$B$3001,MATCH(G4949,Pubs!$A$2:$A$3001,0))&amp;"","⚠ pub inconnue")))</f>
        <v/>
      </c>
      <c r="I4949" s="27" t="str">
        <f aca="false">IF(OR(G4949="",G4949="?"),"",IFERROR(INDEX(Pubs!$C$2:$C$3001,MATCH(G4949,Pubs!$A$2:$A$3001,0))&amp;"",""))</f>
        <v/>
      </c>
      <c r="J4949" s="27" t="str">
        <f aca="false">IF(OR(G4949="",G4949="?"),"",IFERROR(INDEX(Pubs!$G$2:$G$3001,MATCH(G4949,Pubs!$A$2:$A$3001,0))&amp;"",""))</f>
        <v/>
      </c>
      <c r="K4949" s="28" t="str">
        <f aca="false">IF(OR(G4949="",G4949="?"),"",IFERROR(INDEX(Pubs!$E$2:$E$3001,MATCH(G4949,Pubs!$A$2:$A$3001,0)),""))</f>
        <v/>
      </c>
      <c r="L4949" s="29" t="str">
        <f aca="false">IF(A4949="","",IFERROR(1/(1/INDEX(Numéros!$C$2:$C$3001,MATCH(A4949&amp;"|"&amp;B4949,Numéros!$F$2:$F$3001,0))),""))</f>
        <v/>
      </c>
      <c r="M4949" s="27" t="str">
        <f aca="false">IF(OR(G4949="",G4949="?"),"",IFERROR(INDEX(Pubs!$D$2:$D$3001,MATCH(G4949,Pubs!$A$2:$A$3001,0))&amp;"",""))</f>
        <v/>
      </c>
      <c r="N4949" s="27" t="n">
        <f aca="false">N(N4948)+IF(AND(A4949&lt;&gt;"",OR(Recherche!$C$4="",A4949=Recherche!$C$4),OR(Recherche!$C$5="",B4949&amp;""=Recherche!$C$5&amp;""),OR(Recherche!$C$6="",IFERROR(YEAR(L4949),0)=Recherche!$C$6),OR(Recherche!$C$7="",ISNUMBER(SEARCH(Recherche!$C$7,H4949))),OR(Recherche!$C$8="",J4949=Recherche!$C$8),OR(Recherche!$C$9="",I4949=Recherche!$C$9),OR(Recherche!$C$10="",G4949&amp;""=Recherche!$C$10&amp;""),OR(Recherche!$C$11="",E4949=Recherche!$C$11),OR(Recherche!$C$12="",ISNUMBER(SEARCH(Recherche!$C$12,M4949&amp;" "&amp;F4949)))),1,0)</f>
        <v>8</v>
      </c>
    </row>
    <row r="4950" customFormat="false" ht="15" hidden="false" customHeight="false" outlineLevel="0" collapsed="false">
      <c r="A4950" s="19"/>
      <c r="B4950" s="19"/>
      <c r="C4950" s="19"/>
      <c r="D4950" s="19"/>
      <c r="E4950" s="22"/>
      <c r="F4950" s="19"/>
      <c r="G4950" s="26" t="str">
        <f aca="false">IF(D4950="","",IFERROR(VALUE(LEFT(D4950,FIND(" |",D4950&amp;" |")-1)),"?"))</f>
        <v/>
      </c>
      <c r="H4950" s="27" t="str">
        <f aca="false">IF(G4950="","",IF(G4950="?","⚠ pub inconnue",IFERROR(INDEX(Pubs!$B$2:$B$3001,MATCH(G4950,Pubs!$A$2:$A$3001,0))&amp;"","⚠ pub inconnue")))</f>
        <v/>
      </c>
      <c r="I4950" s="27" t="str">
        <f aca="false">IF(OR(G4950="",G4950="?"),"",IFERROR(INDEX(Pubs!$C$2:$C$3001,MATCH(G4950,Pubs!$A$2:$A$3001,0))&amp;"",""))</f>
        <v/>
      </c>
      <c r="J4950" s="27" t="str">
        <f aca="false">IF(OR(G4950="",G4950="?"),"",IFERROR(INDEX(Pubs!$G$2:$G$3001,MATCH(G4950,Pubs!$A$2:$A$3001,0))&amp;"",""))</f>
        <v/>
      </c>
      <c r="K4950" s="28" t="str">
        <f aca="false">IF(OR(G4950="",G4950="?"),"",IFERROR(INDEX(Pubs!$E$2:$E$3001,MATCH(G4950,Pubs!$A$2:$A$3001,0)),""))</f>
        <v/>
      </c>
      <c r="L4950" s="29" t="str">
        <f aca="false">IF(A4950="","",IFERROR(1/(1/INDEX(Numéros!$C$2:$C$3001,MATCH(A4950&amp;"|"&amp;B4950,Numéros!$F$2:$F$3001,0))),""))</f>
        <v/>
      </c>
      <c r="M4950" s="27" t="str">
        <f aca="false">IF(OR(G4950="",G4950="?"),"",IFERROR(INDEX(Pubs!$D$2:$D$3001,MATCH(G4950,Pubs!$A$2:$A$3001,0))&amp;"",""))</f>
        <v/>
      </c>
      <c r="N4950" s="27" t="n">
        <f aca="false">N(N4949)+IF(AND(A4950&lt;&gt;"",OR(Recherche!$C$4="",A4950=Recherche!$C$4),OR(Recherche!$C$5="",B4950&amp;""=Recherche!$C$5&amp;""),OR(Recherche!$C$6="",IFERROR(YEAR(L4950),0)=Recherche!$C$6),OR(Recherche!$C$7="",ISNUMBER(SEARCH(Recherche!$C$7,H4950))),OR(Recherche!$C$8="",J4950=Recherche!$C$8),OR(Recherche!$C$9="",I4950=Recherche!$C$9),OR(Recherche!$C$10="",G4950&amp;""=Recherche!$C$10&amp;""),OR(Recherche!$C$11="",E4950=Recherche!$C$11),OR(Recherche!$C$12="",ISNUMBER(SEARCH(Recherche!$C$12,M4950&amp;" "&amp;F4950)))),1,0)</f>
        <v>8</v>
      </c>
    </row>
    <row r="4951" customFormat="false" ht="15" hidden="false" customHeight="false" outlineLevel="0" collapsed="false">
      <c r="A4951" s="19"/>
      <c r="B4951" s="19"/>
      <c r="C4951" s="19"/>
      <c r="D4951" s="19"/>
      <c r="E4951" s="22"/>
      <c r="F4951" s="19"/>
      <c r="G4951" s="26" t="str">
        <f aca="false">IF(D4951="","",IFERROR(VALUE(LEFT(D4951,FIND(" |",D4951&amp;" |")-1)),"?"))</f>
        <v/>
      </c>
      <c r="H4951" s="27" t="str">
        <f aca="false">IF(G4951="","",IF(G4951="?","⚠ pub inconnue",IFERROR(INDEX(Pubs!$B$2:$B$3001,MATCH(G4951,Pubs!$A$2:$A$3001,0))&amp;"","⚠ pub inconnue")))</f>
        <v/>
      </c>
      <c r="I4951" s="27" t="str">
        <f aca="false">IF(OR(G4951="",G4951="?"),"",IFERROR(INDEX(Pubs!$C$2:$C$3001,MATCH(G4951,Pubs!$A$2:$A$3001,0))&amp;"",""))</f>
        <v/>
      </c>
      <c r="J4951" s="27" t="str">
        <f aca="false">IF(OR(G4951="",G4951="?"),"",IFERROR(INDEX(Pubs!$G$2:$G$3001,MATCH(G4951,Pubs!$A$2:$A$3001,0))&amp;"",""))</f>
        <v/>
      </c>
      <c r="K4951" s="28" t="str">
        <f aca="false">IF(OR(G4951="",G4951="?"),"",IFERROR(INDEX(Pubs!$E$2:$E$3001,MATCH(G4951,Pubs!$A$2:$A$3001,0)),""))</f>
        <v/>
      </c>
      <c r="L4951" s="29" t="str">
        <f aca="false">IF(A4951="","",IFERROR(1/(1/INDEX(Numéros!$C$2:$C$3001,MATCH(A4951&amp;"|"&amp;B4951,Numéros!$F$2:$F$3001,0))),""))</f>
        <v/>
      </c>
      <c r="M4951" s="27" t="str">
        <f aca="false">IF(OR(G4951="",G4951="?"),"",IFERROR(INDEX(Pubs!$D$2:$D$3001,MATCH(G4951,Pubs!$A$2:$A$3001,0))&amp;"",""))</f>
        <v/>
      </c>
      <c r="N4951" s="27" t="n">
        <f aca="false">N(N4950)+IF(AND(A4951&lt;&gt;"",OR(Recherche!$C$4="",A4951=Recherche!$C$4),OR(Recherche!$C$5="",B4951&amp;""=Recherche!$C$5&amp;""),OR(Recherche!$C$6="",IFERROR(YEAR(L4951),0)=Recherche!$C$6),OR(Recherche!$C$7="",ISNUMBER(SEARCH(Recherche!$C$7,H4951))),OR(Recherche!$C$8="",J4951=Recherche!$C$8),OR(Recherche!$C$9="",I4951=Recherche!$C$9),OR(Recherche!$C$10="",G4951&amp;""=Recherche!$C$10&amp;""),OR(Recherche!$C$11="",E4951=Recherche!$C$11),OR(Recherche!$C$12="",ISNUMBER(SEARCH(Recherche!$C$12,M4951&amp;" "&amp;F4951)))),1,0)</f>
        <v>8</v>
      </c>
    </row>
    <row r="4952" customFormat="false" ht="15" hidden="false" customHeight="false" outlineLevel="0" collapsed="false">
      <c r="A4952" s="19"/>
      <c r="B4952" s="19"/>
      <c r="C4952" s="19"/>
      <c r="D4952" s="19"/>
      <c r="E4952" s="22"/>
      <c r="F4952" s="19"/>
      <c r="G4952" s="26" t="str">
        <f aca="false">IF(D4952="","",IFERROR(VALUE(LEFT(D4952,FIND(" |",D4952&amp;" |")-1)),"?"))</f>
        <v/>
      </c>
      <c r="H4952" s="27" t="str">
        <f aca="false">IF(G4952="","",IF(G4952="?","⚠ pub inconnue",IFERROR(INDEX(Pubs!$B$2:$B$3001,MATCH(G4952,Pubs!$A$2:$A$3001,0))&amp;"","⚠ pub inconnue")))</f>
        <v/>
      </c>
      <c r="I4952" s="27" t="str">
        <f aca="false">IF(OR(G4952="",G4952="?"),"",IFERROR(INDEX(Pubs!$C$2:$C$3001,MATCH(G4952,Pubs!$A$2:$A$3001,0))&amp;"",""))</f>
        <v/>
      </c>
      <c r="J4952" s="27" t="str">
        <f aca="false">IF(OR(G4952="",G4952="?"),"",IFERROR(INDEX(Pubs!$G$2:$G$3001,MATCH(G4952,Pubs!$A$2:$A$3001,0))&amp;"",""))</f>
        <v/>
      </c>
      <c r="K4952" s="28" t="str">
        <f aca="false">IF(OR(G4952="",G4952="?"),"",IFERROR(INDEX(Pubs!$E$2:$E$3001,MATCH(G4952,Pubs!$A$2:$A$3001,0)),""))</f>
        <v/>
      </c>
      <c r="L4952" s="29" t="str">
        <f aca="false">IF(A4952="","",IFERROR(1/(1/INDEX(Numéros!$C$2:$C$3001,MATCH(A4952&amp;"|"&amp;B4952,Numéros!$F$2:$F$3001,0))),""))</f>
        <v/>
      </c>
      <c r="M4952" s="27" t="str">
        <f aca="false">IF(OR(G4952="",G4952="?"),"",IFERROR(INDEX(Pubs!$D$2:$D$3001,MATCH(G4952,Pubs!$A$2:$A$3001,0))&amp;"",""))</f>
        <v/>
      </c>
      <c r="N4952" s="27" t="n">
        <f aca="false">N(N4951)+IF(AND(A4952&lt;&gt;"",OR(Recherche!$C$4="",A4952=Recherche!$C$4),OR(Recherche!$C$5="",B4952&amp;""=Recherche!$C$5&amp;""),OR(Recherche!$C$6="",IFERROR(YEAR(L4952),0)=Recherche!$C$6),OR(Recherche!$C$7="",ISNUMBER(SEARCH(Recherche!$C$7,H4952))),OR(Recherche!$C$8="",J4952=Recherche!$C$8),OR(Recherche!$C$9="",I4952=Recherche!$C$9),OR(Recherche!$C$10="",G4952&amp;""=Recherche!$C$10&amp;""),OR(Recherche!$C$11="",E4952=Recherche!$C$11),OR(Recherche!$C$12="",ISNUMBER(SEARCH(Recherche!$C$12,M4952&amp;" "&amp;F4952)))),1,0)</f>
        <v>8</v>
      </c>
    </row>
    <row r="4953" customFormat="false" ht="15" hidden="false" customHeight="false" outlineLevel="0" collapsed="false">
      <c r="A4953" s="19"/>
      <c r="B4953" s="19"/>
      <c r="C4953" s="19"/>
      <c r="D4953" s="19"/>
      <c r="E4953" s="22"/>
      <c r="F4953" s="19"/>
      <c r="G4953" s="26" t="str">
        <f aca="false">IF(D4953="","",IFERROR(VALUE(LEFT(D4953,FIND(" |",D4953&amp;" |")-1)),"?"))</f>
        <v/>
      </c>
      <c r="H4953" s="27" t="str">
        <f aca="false">IF(G4953="","",IF(G4953="?","⚠ pub inconnue",IFERROR(INDEX(Pubs!$B$2:$B$3001,MATCH(G4953,Pubs!$A$2:$A$3001,0))&amp;"","⚠ pub inconnue")))</f>
        <v/>
      </c>
      <c r="I4953" s="27" t="str">
        <f aca="false">IF(OR(G4953="",G4953="?"),"",IFERROR(INDEX(Pubs!$C$2:$C$3001,MATCH(G4953,Pubs!$A$2:$A$3001,0))&amp;"",""))</f>
        <v/>
      </c>
      <c r="J4953" s="27" t="str">
        <f aca="false">IF(OR(G4953="",G4953="?"),"",IFERROR(INDEX(Pubs!$G$2:$G$3001,MATCH(G4953,Pubs!$A$2:$A$3001,0))&amp;"",""))</f>
        <v/>
      </c>
      <c r="K4953" s="28" t="str">
        <f aca="false">IF(OR(G4953="",G4953="?"),"",IFERROR(INDEX(Pubs!$E$2:$E$3001,MATCH(G4953,Pubs!$A$2:$A$3001,0)),""))</f>
        <v/>
      </c>
      <c r="L4953" s="29" t="str">
        <f aca="false">IF(A4953="","",IFERROR(1/(1/INDEX(Numéros!$C$2:$C$3001,MATCH(A4953&amp;"|"&amp;B4953,Numéros!$F$2:$F$3001,0))),""))</f>
        <v/>
      </c>
      <c r="M4953" s="27" t="str">
        <f aca="false">IF(OR(G4953="",G4953="?"),"",IFERROR(INDEX(Pubs!$D$2:$D$3001,MATCH(G4953,Pubs!$A$2:$A$3001,0))&amp;"",""))</f>
        <v/>
      </c>
      <c r="N4953" s="27" t="n">
        <f aca="false">N(N4952)+IF(AND(A4953&lt;&gt;"",OR(Recherche!$C$4="",A4953=Recherche!$C$4),OR(Recherche!$C$5="",B4953&amp;""=Recherche!$C$5&amp;""),OR(Recherche!$C$6="",IFERROR(YEAR(L4953),0)=Recherche!$C$6),OR(Recherche!$C$7="",ISNUMBER(SEARCH(Recherche!$C$7,H4953))),OR(Recherche!$C$8="",J4953=Recherche!$C$8),OR(Recherche!$C$9="",I4953=Recherche!$C$9),OR(Recherche!$C$10="",G4953&amp;""=Recherche!$C$10&amp;""),OR(Recherche!$C$11="",E4953=Recherche!$C$11),OR(Recherche!$C$12="",ISNUMBER(SEARCH(Recherche!$C$12,M4953&amp;" "&amp;F4953)))),1,0)</f>
        <v>8</v>
      </c>
    </row>
    <row r="4954" customFormat="false" ht="15" hidden="false" customHeight="false" outlineLevel="0" collapsed="false">
      <c r="A4954" s="19"/>
      <c r="B4954" s="19"/>
      <c r="C4954" s="19"/>
      <c r="D4954" s="19"/>
      <c r="E4954" s="22"/>
      <c r="F4954" s="19"/>
      <c r="G4954" s="26" t="str">
        <f aca="false">IF(D4954="","",IFERROR(VALUE(LEFT(D4954,FIND(" |",D4954&amp;" |")-1)),"?"))</f>
        <v/>
      </c>
      <c r="H4954" s="27" t="str">
        <f aca="false">IF(G4954="","",IF(G4954="?","⚠ pub inconnue",IFERROR(INDEX(Pubs!$B$2:$B$3001,MATCH(G4954,Pubs!$A$2:$A$3001,0))&amp;"","⚠ pub inconnue")))</f>
        <v/>
      </c>
      <c r="I4954" s="27" t="str">
        <f aca="false">IF(OR(G4954="",G4954="?"),"",IFERROR(INDEX(Pubs!$C$2:$C$3001,MATCH(G4954,Pubs!$A$2:$A$3001,0))&amp;"",""))</f>
        <v/>
      </c>
      <c r="J4954" s="27" t="str">
        <f aca="false">IF(OR(G4954="",G4954="?"),"",IFERROR(INDEX(Pubs!$G$2:$G$3001,MATCH(G4954,Pubs!$A$2:$A$3001,0))&amp;"",""))</f>
        <v/>
      </c>
      <c r="K4954" s="28" t="str">
        <f aca="false">IF(OR(G4954="",G4954="?"),"",IFERROR(INDEX(Pubs!$E$2:$E$3001,MATCH(G4954,Pubs!$A$2:$A$3001,0)),""))</f>
        <v/>
      </c>
      <c r="L4954" s="29" t="str">
        <f aca="false">IF(A4954="","",IFERROR(1/(1/INDEX(Numéros!$C$2:$C$3001,MATCH(A4954&amp;"|"&amp;B4954,Numéros!$F$2:$F$3001,0))),""))</f>
        <v/>
      </c>
      <c r="M4954" s="27" t="str">
        <f aca="false">IF(OR(G4954="",G4954="?"),"",IFERROR(INDEX(Pubs!$D$2:$D$3001,MATCH(G4954,Pubs!$A$2:$A$3001,0))&amp;"",""))</f>
        <v/>
      </c>
      <c r="N4954" s="27" t="n">
        <f aca="false">N(N4953)+IF(AND(A4954&lt;&gt;"",OR(Recherche!$C$4="",A4954=Recherche!$C$4),OR(Recherche!$C$5="",B4954&amp;""=Recherche!$C$5&amp;""),OR(Recherche!$C$6="",IFERROR(YEAR(L4954),0)=Recherche!$C$6),OR(Recherche!$C$7="",ISNUMBER(SEARCH(Recherche!$C$7,H4954))),OR(Recherche!$C$8="",J4954=Recherche!$C$8),OR(Recherche!$C$9="",I4954=Recherche!$C$9),OR(Recherche!$C$10="",G4954&amp;""=Recherche!$C$10&amp;""),OR(Recherche!$C$11="",E4954=Recherche!$C$11),OR(Recherche!$C$12="",ISNUMBER(SEARCH(Recherche!$C$12,M4954&amp;" "&amp;F4954)))),1,0)</f>
        <v>8</v>
      </c>
    </row>
    <row r="4955" customFormat="false" ht="15" hidden="false" customHeight="false" outlineLevel="0" collapsed="false">
      <c r="A4955" s="19"/>
      <c r="B4955" s="19"/>
      <c r="C4955" s="19"/>
      <c r="D4955" s="19"/>
      <c r="E4955" s="22"/>
      <c r="F4955" s="19"/>
      <c r="G4955" s="26" t="str">
        <f aca="false">IF(D4955="","",IFERROR(VALUE(LEFT(D4955,FIND(" |",D4955&amp;" |")-1)),"?"))</f>
        <v/>
      </c>
      <c r="H4955" s="27" t="str">
        <f aca="false">IF(G4955="","",IF(G4955="?","⚠ pub inconnue",IFERROR(INDEX(Pubs!$B$2:$B$3001,MATCH(G4955,Pubs!$A$2:$A$3001,0))&amp;"","⚠ pub inconnue")))</f>
        <v/>
      </c>
      <c r="I4955" s="27" t="str">
        <f aca="false">IF(OR(G4955="",G4955="?"),"",IFERROR(INDEX(Pubs!$C$2:$C$3001,MATCH(G4955,Pubs!$A$2:$A$3001,0))&amp;"",""))</f>
        <v/>
      </c>
      <c r="J4955" s="27" t="str">
        <f aca="false">IF(OR(G4955="",G4955="?"),"",IFERROR(INDEX(Pubs!$G$2:$G$3001,MATCH(G4955,Pubs!$A$2:$A$3001,0))&amp;"",""))</f>
        <v/>
      </c>
      <c r="K4955" s="28" t="str">
        <f aca="false">IF(OR(G4955="",G4955="?"),"",IFERROR(INDEX(Pubs!$E$2:$E$3001,MATCH(G4955,Pubs!$A$2:$A$3001,0)),""))</f>
        <v/>
      </c>
      <c r="L4955" s="29" t="str">
        <f aca="false">IF(A4955="","",IFERROR(1/(1/INDEX(Numéros!$C$2:$C$3001,MATCH(A4955&amp;"|"&amp;B4955,Numéros!$F$2:$F$3001,0))),""))</f>
        <v/>
      </c>
      <c r="M4955" s="27" t="str">
        <f aca="false">IF(OR(G4955="",G4955="?"),"",IFERROR(INDEX(Pubs!$D$2:$D$3001,MATCH(G4955,Pubs!$A$2:$A$3001,0))&amp;"",""))</f>
        <v/>
      </c>
      <c r="N4955" s="27" t="n">
        <f aca="false">N(N4954)+IF(AND(A4955&lt;&gt;"",OR(Recherche!$C$4="",A4955=Recherche!$C$4),OR(Recherche!$C$5="",B4955&amp;""=Recherche!$C$5&amp;""),OR(Recherche!$C$6="",IFERROR(YEAR(L4955),0)=Recherche!$C$6),OR(Recherche!$C$7="",ISNUMBER(SEARCH(Recherche!$C$7,H4955))),OR(Recherche!$C$8="",J4955=Recherche!$C$8),OR(Recherche!$C$9="",I4955=Recherche!$C$9),OR(Recherche!$C$10="",G4955&amp;""=Recherche!$C$10&amp;""),OR(Recherche!$C$11="",E4955=Recherche!$C$11),OR(Recherche!$C$12="",ISNUMBER(SEARCH(Recherche!$C$12,M4955&amp;" "&amp;F4955)))),1,0)</f>
        <v>8</v>
      </c>
    </row>
    <row r="4956" customFormat="false" ht="15" hidden="false" customHeight="false" outlineLevel="0" collapsed="false">
      <c r="A4956" s="19"/>
      <c r="B4956" s="19"/>
      <c r="C4956" s="19"/>
      <c r="D4956" s="19"/>
      <c r="E4956" s="22"/>
      <c r="F4956" s="19"/>
      <c r="G4956" s="26" t="str">
        <f aca="false">IF(D4956="","",IFERROR(VALUE(LEFT(D4956,FIND(" |",D4956&amp;" |")-1)),"?"))</f>
        <v/>
      </c>
      <c r="H4956" s="27" t="str">
        <f aca="false">IF(G4956="","",IF(G4956="?","⚠ pub inconnue",IFERROR(INDEX(Pubs!$B$2:$B$3001,MATCH(G4956,Pubs!$A$2:$A$3001,0))&amp;"","⚠ pub inconnue")))</f>
        <v/>
      </c>
      <c r="I4956" s="27" t="str">
        <f aca="false">IF(OR(G4956="",G4956="?"),"",IFERROR(INDEX(Pubs!$C$2:$C$3001,MATCH(G4956,Pubs!$A$2:$A$3001,0))&amp;"",""))</f>
        <v/>
      </c>
      <c r="J4956" s="27" t="str">
        <f aca="false">IF(OR(G4956="",G4956="?"),"",IFERROR(INDEX(Pubs!$G$2:$G$3001,MATCH(G4956,Pubs!$A$2:$A$3001,0))&amp;"",""))</f>
        <v/>
      </c>
      <c r="K4956" s="28" t="str">
        <f aca="false">IF(OR(G4956="",G4956="?"),"",IFERROR(INDEX(Pubs!$E$2:$E$3001,MATCH(G4956,Pubs!$A$2:$A$3001,0)),""))</f>
        <v/>
      </c>
      <c r="L4956" s="29" t="str">
        <f aca="false">IF(A4956="","",IFERROR(1/(1/INDEX(Numéros!$C$2:$C$3001,MATCH(A4956&amp;"|"&amp;B4956,Numéros!$F$2:$F$3001,0))),""))</f>
        <v/>
      </c>
      <c r="M4956" s="27" t="str">
        <f aca="false">IF(OR(G4956="",G4956="?"),"",IFERROR(INDEX(Pubs!$D$2:$D$3001,MATCH(G4956,Pubs!$A$2:$A$3001,0))&amp;"",""))</f>
        <v/>
      </c>
      <c r="N4956" s="27" t="n">
        <f aca="false">N(N4955)+IF(AND(A4956&lt;&gt;"",OR(Recherche!$C$4="",A4956=Recherche!$C$4),OR(Recherche!$C$5="",B4956&amp;""=Recherche!$C$5&amp;""),OR(Recherche!$C$6="",IFERROR(YEAR(L4956),0)=Recherche!$C$6),OR(Recherche!$C$7="",ISNUMBER(SEARCH(Recherche!$C$7,H4956))),OR(Recherche!$C$8="",J4956=Recherche!$C$8),OR(Recherche!$C$9="",I4956=Recherche!$C$9),OR(Recherche!$C$10="",G4956&amp;""=Recherche!$C$10&amp;""),OR(Recherche!$C$11="",E4956=Recherche!$C$11),OR(Recherche!$C$12="",ISNUMBER(SEARCH(Recherche!$C$12,M4956&amp;" "&amp;F4956)))),1,0)</f>
        <v>8</v>
      </c>
    </row>
    <row r="4957" customFormat="false" ht="15" hidden="false" customHeight="false" outlineLevel="0" collapsed="false">
      <c r="A4957" s="19"/>
      <c r="B4957" s="19"/>
      <c r="C4957" s="19"/>
      <c r="D4957" s="19"/>
      <c r="E4957" s="22"/>
      <c r="F4957" s="19"/>
      <c r="G4957" s="26" t="str">
        <f aca="false">IF(D4957="","",IFERROR(VALUE(LEFT(D4957,FIND(" |",D4957&amp;" |")-1)),"?"))</f>
        <v/>
      </c>
      <c r="H4957" s="27" t="str">
        <f aca="false">IF(G4957="","",IF(G4957="?","⚠ pub inconnue",IFERROR(INDEX(Pubs!$B$2:$B$3001,MATCH(G4957,Pubs!$A$2:$A$3001,0))&amp;"","⚠ pub inconnue")))</f>
        <v/>
      </c>
      <c r="I4957" s="27" t="str">
        <f aca="false">IF(OR(G4957="",G4957="?"),"",IFERROR(INDEX(Pubs!$C$2:$C$3001,MATCH(G4957,Pubs!$A$2:$A$3001,0))&amp;"",""))</f>
        <v/>
      </c>
      <c r="J4957" s="27" t="str">
        <f aca="false">IF(OR(G4957="",G4957="?"),"",IFERROR(INDEX(Pubs!$G$2:$G$3001,MATCH(G4957,Pubs!$A$2:$A$3001,0))&amp;"",""))</f>
        <v/>
      </c>
      <c r="K4957" s="28" t="str">
        <f aca="false">IF(OR(G4957="",G4957="?"),"",IFERROR(INDEX(Pubs!$E$2:$E$3001,MATCH(G4957,Pubs!$A$2:$A$3001,0)),""))</f>
        <v/>
      </c>
      <c r="L4957" s="29" t="str">
        <f aca="false">IF(A4957="","",IFERROR(1/(1/INDEX(Numéros!$C$2:$C$3001,MATCH(A4957&amp;"|"&amp;B4957,Numéros!$F$2:$F$3001,0))),""))</f>
        <v/>
      </c>
      <c r="M4957" s="27" t="str">
        <f aca="false">IF(OR(G4957="",G4957="?"),"",IFERROR(INDEX(Pubs!$D$2:$D$3001,MATCH(G4957,Pubs!$A$2:$A$3001,0))&amp;"",""))</f>
        <v/>
      </c>
      <c r="N4957" s="27" t="n">
        <f aca="false">N(N4956)+IF(AND(A4957&lt;&gt;"",OR(Recherche!$C$4="",A4957=Recherche!$C$4),OR(Recherche!$C$5="",B4957&amp;""=Recherche!$C$5&amp;""),OR(Recherche!$C$6="",IFERROR(YEAR(L4957),0)=Recherche!$C$6),OR(Recherche!$C$7="",ISNUMBER(SEARCH(Recherche!$C$7,H4957))),OR(Recherche!$C$8="",J4957=Recherche!$C$8),OR(Recherche!$C$9="",I4957=Recherche!$C$9),OR(Recherche!$C$10="",G4957&amp;""=Recherche!$C$10&amp;""),OR(Recherche!$C$11="",E4957=Recherche!$C$11),OR(Recherche!$C$12="",ISNUMBER(SEARCH(Recherche!$C$12,M4957&amp;" "&amp;F4957)))),1,0)</f>
        <v>8</v>
      </c>
    </row>
    <row r="4958" customFormat="false" ht="15" hidden="false" customHeight="false" outlineLevel="0" collapsed="false">
      <c r="A4958" s="19"/>
      <c r="B4958" s="19"/>
      <c r="C4958" s="19"/>
      <c r="D4958" s="19"/>
      <c r="E4958" s="22"/>
      <c r="F4958" s="19"/>
      <c r="G4958" s="26" t="str">
        <f aca="false">IF(D4958="","",IFERROR(VALUE(LEFT(D4958,FIND(" |",D4958&amp;" |")-1)),"?"))</f>
        <v/>
      </c>
      <c r="H4958" s="27" t="str">
        <f aca="false">IF(G4958="","",IF(G4958="?","⚠ pub inconnue",IFERROR(INDEX(Pubs!$B$2:$B$3001,MATCH(G4958,Pubs!$A$2:$A$3001,0))&amp;"","⚠ pub inconnue")))</f>
        <v/>
      </c>
      <c r="I4958" s="27" t="str">
        <f aca="false">IF(OR(G4958="",G4958="?"),"",IFERROR(INDEX(Pubs!$C$2:$C$3001,MATCH(G4958,Pubs!$A$2:$A$3001,0))&amp;"",""))</f>
        <v/>
      </c>
      <c r="J4958" s="27" t="str">
        <f aca="false">IF(OR(G4958="",G4958="?"),"",IFERROR(INDEX(Pubs!$G$2:$G$3001,MATCH(G4958,Pubs!$A$2:$A$3001,0))&amp;"",""))</f>
        <v/>
      </c>
      <c r="K4958" s="28" t="str">
        <f aca="false">IF(OR(G4958="",G4958="?"),"",IFERROR(INDEX(Pubs!$E$2:$E$3001,MATCH(G4958,Pubs!$A$2:$A$3001,0)),""))</f>
        <v/>
      </c>
      <c r="L4958" s="29" t="str">
        <f aca="false">IF(A4958="","",IFERROR(1/(1/INDEX(Numéros!$C$2:$C$3001,MATCH(A4958&amp;"|"&amp;B4958,Numéros!$F$2:$F$3001,0))),""))</f>
        <v/>
      </c>
      <c r="M4958" s="27" t="str">
        <f aca="false">IF(OR(G4958="",G4958="?"),"",IFERROR(INDEX(Pubs!$D$2:$D$3001,MATCH(G4958,Pubs!$A$2:$A$3001,0))&amp;"",""))</f>
        <v/>
      </c>
      <c r="N4958" s="27" t="n">
        <f aca="false">N(N4957)+IF(AND(A4958&lt;&gt;"",OR(Recherche!$C$4="",A4958=Recherche!$C$4),OR(Recherche!$C$5="",B4958&amp;""=Recherche!$C$5&amp;""),OR(Recherche!$C$6="",IFERROR(YEAR(L4958),0)=Recherche!$C$6),OR(Recherche!$C$7="",ISNUMBER(SEARCH(Recherche!$C$7,H4958))),OR(Recherche!$C$8="",J4958=Recherche!$C$8),OR(Recherche!$C$9="",I4958=Recherche!$C$9),OR(Recherche!$C$10="",G4958&amp;""=Recherche!$C$10&amp;""),OR(Recherche!$C$11="",E4958=Recherche!$C$11),OR(Recherche!$C$12="",ISNUMBER(SEARCH(Recherche!$C$12,M4958&amp;" "&amp;F4958)))),1,0)</f>
        <v>8</v>
      </c>
    </row>
    <row r="4959" customFormat="false" ht="15" hidden="false" customHeight="false" outlineLevel="0" collapsed="false">
      <c r="A4959" s="19"/>
      <c r="B4959" s="19"/>
      <c r="C4959" s="19"/>
      <c r="D4959" s="19"/>
      <c r="E4959" s="22"/>
      <c r="F4959" s="19"/>
      <c r="G4959" s="26" t="str">
        <f aca="false">IF(D4959="","",IFERROR(VALUE(LEFT(D4959,FIND(" |",D4959&amp;" |")-1)),"?"))</f>
        <v/>
      </c>
      <c r="H4959" s="27" t="str">
        <f aca="false">IF(G4959="","",IF(G4959="?","⚠ pub inconnue",IFERROR(INDEX(Pubs!$B$2:$B$3001,MATCH(G4959,Pubs!$A$2:$A$3001,0))&amp;"","⚠ pub inconnue")))</f>
        <v/>
      </c>
      <c r="I4959" s="27" t="str">
        <f aca="false">IF(OR(G4959="",G4959="?"),"",IFERROR(INDEX(Pubs!$C$2:$C$3001,MATCH(G4959,Pubs!$A$2:$A$3001,0))&amp;"",""))</f>
        <v/>
      </c>
      <c r="J4959" s="27" t="str">
        <f aca="false">IF(OR(G4959="",G4959="?"),"",IFERROR(INDEX(Pubs!$G$2:$G$3001,MATCH(G4959,Pubs!$A$2:$A$3001,0))&amp;"",""))</f>
        <v/>
      </c>
      <c r="K4959" s="28" t="str">
        <f aca="false">IF(OR(G4959="",G4959="?"),"",IFERROR(INDEX(Pubs!$E$2:$E$3001,MATCH(G4959,Pubs!$A$2:$A$3001,0)),""))</f>
        <v/>
      </c>
      <c r="L4959" s="29" t="str">
        <f aca="false">IF(A4959="","",IFERROR(1/(1/INDEX(Numéros!$C$2:$C$3001,MATCH(A4959&amp;"|"&amp;B4959,Numéros!$F$2:$F$3001,0))),""))</f>
        <v/>
      </c>
      <c r="M4959" s="27" t="str">
        <f aca="false">IF(OR(G4959="",G4959="?"),"",IFERROR(INDEX(Pubs!$D$2:$D$3001,MATCH(G4959,Pubs!$A$2:$A$3001,0))&amp;"",""))</f>
        <v/>
      </c>
      <c r="N4959" s="27" t="n">
        <f aca="false">N(N4958)+IF(AND(A4959&lt;&gt;"",OR(Recherche!$C$4="",A4959=Recherche!$C$4),OR(Recherche!$C$5="",B4959&amp;""=Recherche!$C$5&amp;""),OR(Recherche!$C$6="",IFERROR(YEAR(L4959),0)=Recherche!$C$6),OR(Recherche!$C$7="",ISNUMBER(SEARCH(Recherche!$C$7,H4959))),OR(Recherche!$C$8="",J4959=Recherche!$C$8),OR(Recherche!$C$9="",I4959=Recherche!$C$9),OR(Recherche!$C$10="",G4959&amp;""=Recherche!$C$10&amp;""),OR(Recherche!$C$11="",E4959=Recherche!$C$11),OR(Recherche!$C$12="",ISNUMBER(SEARCH(Recherche!$C$12,M4959&amp;" "&amp;F4959)))),1,0)</f>
        <v>8</v>
      </c>
    </row>
    <row r="4960" customFormat="false" ht="15" hidden="false" customHeight="false" outlineLevel="0" collapsed="false">
      <c r="A4960" s="19"/>
      <c r="B4960" s="19"/>
      <c r="C4960" s="19"/>
      <c r="D4960" s="19"/>
      <c r="E4960" s="22"/>
      <c r="F4960" s="19"/>
      <c r="G4960" s="26" t="str">
        <f aca="false">IF(D4960="","",IFERROR(VALUE(LEFT(D4960,FIND(" |",D4960&amp;" |")-1)),"?"))</f>
        <v/>
      </c>
      <c r="H4960" s="27" t="str">
        <f aca="false">IF(G4960="","",IF(G4960="?","⚠ pub inconnue",IFERROR(INDEX(Pubs!$B$2:$B$3001,MATCH(G4960,Pubs!$A$2:$A$3001,0))&amp;"","⚠ pub inconnue")))</f>
        <v/>
      </c>
      <c r="I4960" s="27" t="str">
        <f aca="false">IF(OR(G4960="",G4960="?"),"",IFERROR(INDEX(Pubs!$C$2:$C$3001,MATCH(G4960,Pubs!$A$2:$A$3001,0))&amp;"",""))</f>
        <v/>
      </c>
      <c r="J4960" s="27" t="str">
        <f aca="false">IF(OR(G4960="",G4960="?"),"",IFERROR(INDEX(Pubs!$G$2:$G$3001,MATCH(G4960,Pubs!$A$2:$A$3001,0))&amp;"",""))</f>
        <v/>
      </c>
      <c r="K4960" s="28" t="str">
        <f aca="false">IF(OR(G4960="",G4960="?"),"",IFERROR(INDEX(Pubs!$E$2:$E$3001,MATCH(G4960,Pubs!$A$2:$A$3001,0)),""))</f>
        <v/>
      </c>
      <c r="L4960" s="29" t="str">
        <f aca="false">IF(A4960="","",IFERROR(1/(1/INDEX(Numéros!$C$2:$C$3001,MATCH(A4960&amp;"|"&amp;B4960,Numéros!$F$2:$F$3001,0))),""))</f>
        <v/>
      </c>
      <c r="M4960" s="27" t="str">
        <f aca="false">IF(OR(G4960="",G4960="?"),"",IFERROR(INDEX(Pubs!$D$2:$D$3001,MATCH(G4960,Pubs!$A$2:$A$3001,0))&amp;"",""))</f>
        <v/>
      </c>
      <c r="N4960" s="27" t="n">
        <f aca="false">N(N4959)+IF(AND(A4960&lt;&gt;"",OR(Recherche!$C$4="",A4960=Recherche!$C$4),OR(Recherche!$C$5="",B4960&amp;""=Recherche!$C$5&amp;""),OR(Recherche!$C$6="",IFERROR(YEAR(L4960),0)=Recherche!$C$6),OR(Recherche!$C$7="",ISNUMBER(SEARCH(Recherche!$C$7,H4960))),OR(Recherche!$C$8="",J4960=Recherche!$C$8),OR(Recherche!$C$9="",I4960=Recherche!$C$9),OR(Recherche!$C$10="",G4960&amp;""=Recherche!$C$10&amp;""),OR(Recherche!$C$11="",E4960=Recherche!$C$11),OR(Recherche!$C$12="",ISNUMBER(SEARCH(Recherche!$C$12,M4960&amp;" "&amp;F4960)))),1,0)</f>
        <v>8</v>
      </c>
    </row>
    <row r="4961" customFormat="false" ht="15" hidden="false" customHeight="false" outlineLevel="0" collapsed="false">
      <c r="A4961" s="19"/>
      <c r="B4961" s="19"/>
      <c r="C4961" s="19"/>
      <c r="D4961" s="19"/>
      <c r="E4961" s="22"/>
      <c r="F4961" s="19"/>
      <c r="G4961" s="26" t="str">
        <f aca="false">IF(D4961="","",IFERROR(VALUE(LEFT(D4961,FIND(" |",D4961&amp;" |")-1)),"?"))</f>
        <v/>
      </c>
      <c r="H4961" s="27" t="str">
        <f aca="false">IF(G4961="","",IF(G4961="?","⚠ pub inconnue",IFERROR(INDEX(Pubs!$B$2:$B$3001,MATCH(G4961,Pubs!$A$2:$A$3001,0))&amp;"","⚠ pub inconnue")))</f>
        <v/>
      </c>
      <c r="I4961" s="27" t="str">
        <f aca="false">IF(OR(G4961="",G4961="?"),"",IFERROR(INDEX(Pubs!$C$2:$C$3001,MATCH(G4961,Pubs!$A$2:$A$3001,0))&amp;"",""))</f>
        <v/>
      </c>
      <c r="J4961" s="27" t="str">
        <f aca="false">IF(OR(G4961="",G4961="?"),"",IFERROR(INDEX(Pubs!$G$2:$G$3001,MATCH(G4961,Pubs!$A$2:$A$3001,0))&amp;"",""))</f>
        <v/>
      </c>
      <c r="K4961" s="28" t="str">
        <f aca="false">IF(OR(G4961="",G4961="?"),"",IFERROR(INDEX(Pubs!$E$2:$E$3001,MATCH(G4961,Pubs!$A$2:$A$3001,0)),""))</f>
        <v/>
      </c>
      <c r="L4961" s="29" t="str">
        <f aca="false">IF(A4961="","",IFERROR(1/(1/INDEX(Numéros!$C$2:$C$3001,MATCH(A4961&amp;"|"&amp;B4961,Numéros!$F$2:$F$3001,0))),""))</f>
        <v/>
      </c>
      <c r="M4961" s="27" t="str">
        <f aca="false">IF(OR(G4961="",G4961="?"),"",IFERROR(INDEX(Pubs!$D$2:$D$3001,MATCH(G4961,Pubs!$A$2:$A$3001,0))&amp;"",""))</f>
        <v/>
      </c>
      <c r="N4961" s="27" t="n">
        <f aca="false">N(N4960)+IF(AND(A4961&lt;&gt;"",OR(Recherche!$C$4="",A4961=Recherche!$C$4),OR(Recherche!$C$5="",B4961&amp;""=Recherche!$C$5&amp;""),OR(Recherche!$C$6="",IFERROR(YEAR(L4961),0)=Recherche!$C$6),OR(Recherche!$C$7="",ISNUMBER(SEARCH(Recherche!$C$7,H4961))),OR(Recherche!$C$8="",J4961=Recherche!$C$8),OR(Recherche!$C$9="",I4961=Recherche!$C$9),OR(Recherche!$C$10="",G4961&amp;""=Recherche!$C$10&amp;""),OR(Recherche!$C$11="",E4961=Recherche!$C$11),OR(Recherche!$C$12="",ISNUMBER(SEARCH(Recherche!$C$12,M4961&amp;" "&amp;F4961)))),1,0)</f>
        <v>8</v>
      </c>
    </row>
    <row r="4962" customFormat="false" ht="15" hidden="false" customHeight="false" outlineLevel="0" collapsed="false">
      <c r="A4962" s="19"/>
      <c r="B4962" s="19"/>
      <c r="C4962" s="19"/>
      <c r="D4962" s="19"/>
      <c r="E4962" s="22"/>
      <c r="F4962" s="19"/>
      <c r="G4962" s="26" t="str">
        <f aca="false">IF(D4962="","",IFERROR(VALUE(LEFT(D4962,FIND(" |",D4962&amp;" |")-1)),"?"))</f>
        <v/>
      </c>
      <c r="H4962" s="27" t="str">
        <f aca="false">IF(G4962="","",IF(G4962="?","⚠ pub inconnue",IFERROR(INDEX(Pubs!$B$2:$B$3001,MATCH(G4962,Pubs!$A$2:$A$3001,0))&amp;"","⚠ pub inconnue")))</f>
        <v/>
      </c>
      <c r="I4962" s="27" t="str">
        <f aca="false">IF(OR(G4962="",G4962="?"),"",IFERROR(INDEX(Pubs!$C$2:$C$3001,MATCH(G4962,Pubs!$A$2:$A$3001,0))&amp;"",""))</f>
        <v/>
      </c>
      <c r="J4962" s="27" t="str">
        <f aca="false">IF(OR(G4962="",G4962="?"),"",IFERROR(INDEX(Pubs!$G$2:$G$3001,MATCH(G4962,Pubs!$A$2:$A$3001,0))&amp;"",""))</f>
        <v/>
      </c>
      <c r="K4962" s="28" t="str">
        <f aca="false">IF(OR(G4962="",G4962="?"),"",IFERROR(INDEX(Pubs!$E$2:$E$3001,MATCH(G4962,Pubs!$A$2:$A$3001,0)),""))</f>
        <v/>
      </c>
      <c r="L4962" s="29" t="str">
        <f aca="false">IF(A4962="","",IFERROR(1/(1/INDEX(Numéros!$C$2:$C$3001,MATCH(A4962&amp;"|"&amp;B4962,Numéros!$F$2:$F$3001,0))),""))</f>
        <v/>
      </c>
      <c r="M4962" s="27" t="str">
        <f aca="false">IF(OR(G4962="",G4962="?"),"",IFERROR(INDEX(Pubs!$D$2:$D$3001,MATCH(G4962,Pubs!$A$2:$A$3001,0))&amp;"",""))</f>
        <v/>
      </c>
      <c r="N4962" s="27" t="n">
        <f aca="false">N(N4961)+IF(AND(A4962&lt;&gt;"",OR(Recherche!$C$4="",A4962=Recherche!$C$4),OR(Recherche!$C$5="",B4962&amp;""=Recherche!$C$5&amp;""),OR(Recherche!$C$6="",IFERROR(YEAR(L4962),0)=Recherche!$C$6),OR(Recherche!$C$7="",ISNUMBER(SEARCH(Recherche!$C$7,H4962))),OR(Recherche!$C$8="",J4962=Recherche!$C$8),OR(Recherche!$C$9="",I4962=Recherche!$C$9),OR(Recherche!$C$10="",G4962&amp;""=Recherche!$C$10&amp;""),OR(Recherche!$C$11="",E4962=Recherche!$C$11),OR(Recherche!$C$12="",ISNUMBER(SEARCH(Recherche!$C$12,M4962&amp;" "&amp;F4962)))),1,0)</f>
        <v>8</v>
      </c>
    </row>
    <row r="4963" customFormat="false" ht="15" hidden="false" customHeight="false" outlineLevel="0" collapsed="false">
      <c r="A4963" s="19"/>
      <c r="B4963" s="19"/>
      <c r="C4963" s="19"/>
      <c r="D4963" s="19"/>
      <c r="E4963" s="22"/>
      <c r="F4963" s="19"/>
      <c r="G4963" s="26" t="str">
        <f aca="false">IF(D4963="","",IFERROR(VALUE(LEFT(D4963,FIND(" |",D4963&amp;" |")-1)),"?"))</f>
        <v/>
      </c>
      <c r="H4963" s="27" t="str">
        <f aca="false">IF(G4963="","",IF(G4963="?","⚠ pub inconnue",IFERROR(INDEX(Pubs!$B$2:$B$3001,MATCH(G4963,Pubs!$A$2:$A$3001,0))&amp;"","⚠ pub inconnue")))</f>
        <v/>
      </c>
      <c r="I4963" s="27" t="str">
        <f aca="false">IF(OR(G4963="",G4963="?"),"",IFERROR(INDEX(Pubs!$C$2:$C$3001,MATCH(G4963,Pubs!$A$2:$A$3001,0))&amp;"",""))</f>
        <v/>
      </c>
      <c r="J4963" s="27" t="str">
        <f aca="false">IF(OR(G4963="",G4963="?"),"",IFERROR(INDEX(Pubs!$G$2:$G$3001,MATCH(G4963,Pubs!$A$2:$A$3001,0))&amp;"",""))</f>
        <v/>
      </c>
      <c r="K4963" s="28" t="str">
        <f aca="false">IF(OR(G4963="",G4963="?"),"",IFERROR(INDEX(Pubs!$E$2:$E$3001,MATCH(G4963,Pubs!$A$2:$A$3001,0)),""))</f>
        <v/>
      </c>
      <c r="L4963" s="29" t="str">
        <f aca="false">IF(A4963="","",IFERROR(1/(1/INDEX(Numéros!$C$2:$C$3001,MATCH(A4963&amp;"|"&amp;B4963,Numéros!$F$2:$F$3001,0))),""))</f>
        <v/>
      </c>
      <c r="M4963" s="27" t="str">
        <f aca="false">IF(OR(G4963="",G4963="?"),"",IFERROR(INDEX(Pubs!$D$2:$D$3001,MATCH(G4963,Pubs!$A$2:$A$3001,0))&amp;"",""))</f>
        <v/>
      </c>
      <c r="N4963" s="27" t="n">
        <f aca="false">N(N4962)+IF(AND(A4963&lt;&gt;"",OR(Recherche!$C$4="",A4963=Recherche!$C$4),OR(Recherche!$C$5="",B4963&amp;""=Recherche!$C$5&amp;""),OR(Recherche!$C$6="",IFERROR(YEAR(L4963),0)=Recherche!$C$6),OR(Recherche!$C$7="",ISNUMBER(SEARCH(Recherche!$C$7,H4963))),OR(Recherche!$C$8="",J4963=Recherche!$C$8),OR(Recherche!$C$9="",I4963=Recherche!$C$9),OR(Recherche!$C$10="",G4963&amp;""=Recherche!$C$10&amp;""),OR(Recherche!$C$11="",E4963=Recherche!$C$11),OR(Recherche!$C$12="",ISNUMBER(SEARCH(Recherche!$C$12,M4963&amp;" "&amp;F4963)))),1,0)</f>
        <v>8</v>
      </c>
    </row>
    <row r="4964" customFormat="false" ht="15" hidden="false" customHeight="false" outlineLevel="0" collapsed="false">
      <c r="A4964" s="19"/>
      <c r="B4964" s="19"/>
      <c r="C4964" s="19"/>
      <c r="D4964" s="19"/>
      <c r="E4964" s="22"/>
      <c r="F4964" s="19"/>
      <c r="G4964" s="26" t="str">
        <f aca="false">IF(D4964="","",IFERROR(VALUE(LEFT(D4964,FIND(" |",D4964&amp;" |")-1)),"?"))</f>
        <v/>
      </c>
      <c r="H4964" s="27" t="str">
        <f aca="false">IF(G4964="","",IF(G4964="?","⚠ pub inconnue",IFERROR(INDEX(Pubs!$B$2:$B$3001,MATCH(G4964,Pubs!$A$2:$A$3001,0))&amp;"","⚠ pub inconnue")))</f>
        <v/>
      </c>
      <c r="I4964" s="27" t="str">
        <f aca="false">IF(OR(G4964="",G4964="?"),"",IFERROR(INDEX(Pubs!$C$2:$C$3001,MATCH(G4964,Pubs!$A$2:$A$3001,0))&amp;"",""))</f>
        <v/>
      </c>
      <c r="J4964" s="27" t="str">
        <f aca="false">IF(OR(G4964="",G4964="?"),"",IFERROR(INDEX(Pubs!$G$2:$G$3001,MATCH(G4964,Pubs!$A$2:$A$3001,0))&amp;"",""))</f>
        <v/>
      </c>
      <c r="K4964" s="28" t="str">
        <f aca="false">IF(OR(G4964="",G4964="?"),"",IFERROR(INDEX(Pubs!$E$2:$E$3001,MATCH(G4964,Pubs!$A$2:$A$3001,0)),""))</f>
        <v/>
      </c>
      <c r="L4964" s="29" t="str">
        <f aca="false">IF(A4964="","",IFERROR(1/(1/INDEX(Numéros!$C$2:$C$3001,MATCH(A4964&amp;"|"&amp;B4964,Numéros!$F$2:$F$3001,0))),""))</f>
        <v/>
      </c>
      <c r="M4964" s="27" t="str">
        <f aca="false">IF(OR(G4964="",G4964="?"),"",IFERROR(INDEX(Pubs!$D$2:$D$3001,MATCH(G4964,Pubs!$A$2:$A$3001,0))&amp;"",""))</f>
        <v/>
      </c>
      <c r="N4964" s="27" t="n">
        <f aca="false">N(N4963)+IF(AND(A4964&lt;&gt;"",OR(Recherche!$C$4="",A4964=Recherche!$C$4),OR(Recherche!$C$5="",B4964&amp;""=Recherche!$C$5&amp;""),OR(Recherche!$C$6="",IFERROR(YEAR(L4964),0)=Recherche!$C$6),OR(Recherche!$C$7="",ISNUMBER(SEARCH(Recherche!$C$7,H4964))),OR(Recherche!$C$8="",J4964=Recherche!$C$8),OR(Recherche!$C$9="",I4964=Recherche!$C$9),OR(Recherche!$C$10="",G4964&amp;""=Recherche!$C$10&amp;""),OR(Recherche!$C$11="",E4964=Recherche!$C$11),OR(Recherche!$C$12="",ISNUMBER(SEARCH(Recherche!$C$12,M4964&amp;" "&amp;F4964)))),1,0)</f>
        <v>8</v>
      </c>
    </row>
    <row r="4965" customFormat="false" ht="15" hidden="false" customHeight="false" outlineLevel="0" collapsed="false">
      <c r="A4965" s="19"/>
      <c r="B4965" s="19"/>
      <c r="C4965" s="19"/>
      <c r="D4965" s="19"/>
      <c r="E4965" s="22"/>
      <c r="F4965" s="19"/>
      <c r="G4965" s="26" t="str">
        <f aca="false">IF(D4965="","",IFERROR(VALUE(LEFT(D4965,FIND(" |",D4965&amp;" |")-1)),"?"))</f>
        <v/>
      </c>
      <c r="H4965" s="27" t="str">
        <f aca="false">IF(G4965="","",IF(G4965="?","⚠ pub inconnue",IFERROR(INDEX(Pubs!$B$2:$B$3001,MATCH(G4965,Pubs!$A$2:$A$3001,0))&amp;"","⚠ pub inconnue")))</f>
        <v/>
      </c>
      <c r="I4965" s="27" t="str">
        <f aca="false">IF(OR(G4965="",G4965="?"),"",IFERROR(INDEX(Pubs!$C$2:$C$3001,MATCH(G4965,Pubs!$A$2:$A$3001,0))&amp;"",""))</f>
        <v/>
      </c>
      <c r="J4965" s="27" t="str">
        <f aca="false">IF(OR(G4965="",G4965="?"),"",IFERROR(INDEX(Pubs!$G$2:$G$3001,MATCH(G4965,Pubs!$A$2:$A$3001,0))&amp;"",""))</f>
        <v/>
      </c>
      <c r="K4965" s="28" t="str">
        <f aca="false">IF(OR(G4965="",G4965="?"),"",IFERROR(INDEX(Pubs!$E$2:$E$3001,MATCH(G4965,Pubs!$A$2:$A$3001,0)),""))</f>
        <v/>
      </c>
      <c r="L4965" s="29" t="str">
        <f aca="false">IF(A4965="","",IFERROR(1/(1/INDEX(Numéros!$C$2:$C$3001,MATCH(A4965&amp;"|"&amp;B4965,Numéros!$F$2:$F$3001,0))),""))</f>
        <v/>
      </c>
      <c r="M4965" s="27" t="str">
        <f aca="false">IF(OR(G4965="",G4965="?"),"",IFERROR(INDEX(Pubs!$D$2:$D$3001,MATCH(G4965,Pubs!$A$2:$A$3001,0))&amp;"",""))</f>
        <v/>
      </c>
      <c r="N4965" s="27" t="n">
        <f aca="false">N(N4964)+IF(AND(A4965&lt;&gt;"",OR(Recherche!$C$4="",A4965=Recherche!$C$4),OR(Recherche!$C$5="",B4965&amp;""=Recherche!$C$5&amp;""),OR(Recherche!$C$6="",IFERROR(YEAR(L4965),0)=Recherche!$C$6),OR(Recherche!$C$7="",ISNUMBER(SEARCH(Recherche!$C$7,H4965))),OR(Recherche!$C$8="",J4965=Recherche!$C$8),OR(Recherche!$C$9="",I4965=Recherche!$C$9),OR(Recherche!$C$10="",G4965&amp;""=Recherche!$C$10&amp;""),OR(Recherche!$C$11="",E4965=Recherche!$C$11),OR(Recherche!$C$12="",ISNUMBER(SEARCH(Recherche!$C$12,M4965&amp;" "&amp;F4965)))),1,0)</f>
        <v>8</v>
      </c>
    </row>
    <row r="4966" customFormat="false" ht="15" hidden="false" customHeight="false" outlineLevel="0" collapsed="false">
      <c r="A4966" s="19"/>
      <c r="B4966" s="19"/>
      <c r="C4966" s="19"/>
      <c r="D4966" s="19"/>
      <c r="E4966" s="22"/>
      <c r="F4966" s="19"/>
      <c r="G4966" s="26" t="str">
        <f aca="false">IF(D4966="","",IFERROR(VALUE(LEFT(D4966,FIND(" |",D4966&amp;" |")-1)),"?"))</f>
        <v/>
      </c>
      <c r="H4966" s="27" t="str">
        <f aca="false">IF(G4966="","",IF(G4966="?","⚠ pub inconnue",IFERROR(INDEX(Pubs!$B$2:$B$3001,MATCH(G4966,Pubs!$A$2:$A$3001,0))&amp;"","⚠ pub inconnue")))</f>
        <v/>
      </c>
      <c r="I4966" s="27" t="str">
        <f aca="false">IF(OR(G4966="",G4966="?"),"",IFERROR(INDEX(Pubs!$C$2:$C$3001,MATCH(G4966,Pubs!$A$2:$A$3001,0))&amp;"",""))</f>
        <v/>
      </c>
      <c r="J4966" s="27" t="str">
        <f aca="false">IF(OR(G4966="",G4966="?"),"",IFERROR(INDEX(Pubs!$G$2:$G$3001,MATCH(G4966,Pubs!$A$2:$A$3001,0))&amp;"",""))</f>
        <v/>
      </c>
      <c r="K4966" s="28" t="str">
        <f aca="false">IF(OR(G4966="",G4966="?"),"",IFERROR(INDEX(Pubs!$E$2:$E$3001,MATCH(G4966,Pubs!$A$2:$A$3001,0)),""))</f>
        <v/>
      </c>
      <c r="L4966" s="29" t="str">
        <f aca="false">IF(A4966="","",IFERROR(1/(1/INDEX(Numéros!$C$2:$C$3001,MATCH(A4966&amp;"|"&amp;B4966,Numéros!$F$2:$F$3001,0))),""))</f>
        <v/>
      </c>
      <c r="M4966" s="27" t="str">
        <f aca="false">IF(OR(G4966="",G4966="?"),"",IFERROR(INDEX(Pubs!$D$2:$D$3001,MATCH(G4966,Pubs!$A$2:$A$3001,0))&amp;"",""))</f>
        <v/>
      </c>
      <c r="N4966" s="27" t="n">
        <f aca="false">N(N4965)+IF(AND(A4966&lt;&gt;"",OR(Recherche!$C$4="",A4966=Recherche!$C$4),OR(Recherche!$C$5="",B4966&amp;""=Recherche!$C$5&amp;""),OR(Recherche!$C$6="",IFERROR(YEAR(L4966),0)=Recherche!$C$6),OR(Recherche!$C$7="",ISNUMBER(SEARCH(Recherche!$C$7,H4966))),OR(Recherche!$C$8="",J4966=Recherche!$C$8),OR(Recherche!$C$9="",I4966=Recherche!$C$9),OR(Recherche!$C$10="",G4966&amp;""=Recherche!$C$10&amp;""),OR(Recherche!$C$11="",E4966=Recherche!$C$11),OR(Recherche!$C$12="",ISNUMBER(SEARCH(Recherche!$C$12,M4966&amp;" "&amp;F4966)))),1,0)</f>
        <v>8</v>
      </c>
    </row>
    <row r="4967" customFormat="false" ht="15" hidden="false" customHeight="false" outlineLevel="0" collapsed="false">
      <c r="A4967" s="19"/>
      <c r="B4967" s="19"/>
      <c r="C4967" s="19"/>
      <c r="D4967" s="19"/>
      <c r="E4967" s="22"/>
      <c r="F4967" s="19"/>
      <c r="G4967" s="26" t="str">
        <f aca="false">IF(D4967="","",IFERROR(VALUE(LEFT(D4967,FIND(" |",D4967&amp;" |")-1)),"?"))</f>
        <v/>
      </c>
      <c r="H4967" s="27" t="str">
        <f aca="false">IF(G4967="","",IF(G4967="?","⚠ pub inconnue",IFERROR(INDEX(Pubs!$B$2:$B$3001,MATCH(G4967,Pubs!$A$2:$A$3001,0))&amp;"","⚠ pub inconnue")))</f>
        <v/>
      </c>
      <c r="I4967" s="27" t="str">
        <f aca="false">IF(OR(G4967="",G4967="?"),"",IFERROR(INDEX(Pubs!$C$2:$C$3001,MATCH(G4967,Pubs!$A$2:$A$3001,0))&amp;"",""))</f>
        <v/>
      </c>
      <c r="J4967" s="27" t="str">
        <f aca="false">IF(OR(G4967="",G4967="?"),"",IFERROR(INDEX(Pubs!$G$2:$G$3001,MATCH(G4967,Pubs!$A$2:$A$3001,0))&amp;"",""))</f>
        <v/>
      </c>
      <c r="K4967" s="28" t="str">
        <f aca="false">IF(OR(G4967="",G4967="?"),"",IFERROR(INDEX(Pubs!$E$2:$E$3001,MATCH(G4967,Pubs!$A$2:$A$3001,0)),""))</f>
        <v/>
      </c>
      <c r="L4967" s="29" t="str">
        <f aca="false">IF(A4967="","",IFERROR(1/(1/INDEX(Numéros!$C$2:$C$3001,MATCH(A4967&amp;"|"&amp;B4967,Numéros!$F$2:$F$3001,0))),""))</f>
        <v/>
      </c>
      <c r="M4967" s="27" t="str">
        <f aca="false">IF(OR(G4967="",G4967="?"),"",IFERROR(INDEX(Pubs!$D$2:$D$3001,MATCH(G4967,Pubs!$A$2:$A$3001,0))&amp;"",""))</f>
        <v/>
      </c>
      <c r="N4967" s="27" t="n">
        <f aca="false">N(N4966)+IF(AND(A4967&lt;&gt;"",OR(Recherche!$C$4="",A4967=Recherche!$C$4),OR(Recherche!$C$5="",B4967&amp;""=Recherche!$C$5&amp;""),OR(Recherche!$C$6="",IFERROR(YEAR(L4967),0)=Recherche!$C$6),OR(Recherche!$C$7="",ISNUMBER(SEARCH(Recherche!$C$7,H4967))),OR(Recherche!$C$8="",J4967=Recherche!$C$8),OR(Recherche!$C$9="",I4967=Recherche!$C$9),OR(Recherche!$C$10="",G4967&amp;""=Recherche!$C$10&amp;""),OR(Recherche!$C$11="",E4967=Recherche!$C$11),OR(Recherche!$C$12="",ISNUMBER(SEARCH(Recherche!$C$12,M4967&amp;" "&amp;F4967)))),1,0)</f>
        <v>8</v>
      </c>
    </row>
    <row r="4968" customFormat="false" ht="15" hidden="false" customHeight="false" outlineLevel="0" collapsed="false">
      <c r="A4968" s="19"/>
      <c r="B4968" s="19"/>
      <c r="C4968" s="19"/>
      <c r="D4968" s="19"/>
      <c r="E4968" s="22"/>
      <c r="F4968" s="19"/>
      <c r="G4968" s="26" t="str">
        <f aca="false">IF(D4968="","",IFERROR(VALUE(LEFT(D4968,FIND(" |",D4968&amp;" |")-1)),"?"))</f>
        <v/>
      </c>
      <c r="H4968" s="27" t="str">
        <f aca="false">IF(G4968="","",IF(G4968="?","⚠ pub inconnue",IFERROR(INDEX(Pubs!$B$2:$B$3001,MATCH(G4968,Pubs!$A$2:$A$3001,0))&amp;"","⚠ pub inconnue")))</f>
        <v/>
      </c>
      <c r="I4968" s="27" t="str">
        <f aca="false">IF(OR(G4968="",G4968="?"),"",IFERROR(INDEX(Pubs!$C$2:$C$3001,MATCH(G4968,Pubs!$A$2:$A$3001,0))&amp;"",""))</f>
        <v/>
      </c>
      <c r="J4968" s="27" t="str">
        <f aca="false">IF(OR(G4968="",G4968="?"),"",IFERROR(INDEX(Pubs!$G$2:$G$3001,MATCH(G4968,Pubs!$A$2:$A$3001,0))&amp;"",""))</f>
        <v/>
      </c>
      <c r="K4968" s="28" t="str">
        <f aca="false">IF(OR(G4968="",G4968="?"),"",IFERROR(INDEX(Pubs!$E$2:$E$3001,MATCH(G4968,Pubs!$A$2:$A$3001,0)),""))</f>
        <v/>
      </c>
      <c r="L4968" s="29" t="str">
        <f aca="false">IF(A4968="","",IFERROR(1/(1/INDEX(Numéros!$C$2:$C$3001,MATCH(A4968&amp;"|"&amp;B4968,Numéros!$F$2:$F$3001,0))),""))</f>
        <v/>
      </c>
      <c r="M4968" s="27" t="str">
        <f aca="false">IF(OR(G4968="",G4968="?"),"",IFERROR(INDEX(Pubs!$D$2:$D$3001,MATCH(G4968,Pubs!$A$2:$A$3001,0))&amp;"",""))</f>
        <v/>
      </c>
      <c r="N4968" s="27" t="n">
        <f aca="false">N(N4967)+IF(AND(A4968&lt;&gt;"",OR(Recherche!$C$4="",A4968=Recherche!$C$4),OR(Recherche!$C$5="",B4968&amp;""=Recherche!$C$5&amp;""),OR(Recherche!$C$6="",IFERROR(YEAR(L4968),0)=Recherche!$C$6),OR(Recherche!$C$7="",ISNUMBER(SEARCH(Recherche!$C$7,H4968))),OR(Recherche!$C$8="",J4968=Recherche!$C$8),OR(Recherche!$C$9="",I4968=Recherche!$C$9),OR(Recherche!$C$10="",G4968&amp;""=Recherche!$C$10&amp;""),OR(Recherche!$C$11="",E4968=Recherche!$C$11),OR(Recherche!$C$12="",ISNUMBER(SEARCH(Recherche!$C$12,M4968&amp;" "&amp;F4968)))),1,0)</f>
        <v>8</v>
      </c>
    </row>
    <row r="4969" customFormat="false" ht="15" hidden="false" customHeight="false" outlineLevel="0" collapsed="false">
      <c r="A4969" s="19"/>
      <c r="B4969" s="19"/>
      <c r="C4969" s="19"/>
      <c r="D4969" s="19"/>
      <c r="E4969" s="22"/>
      <c r="F4969" s="19"/>
      <c r="G4969" s="26" t="str">
        <f aca="false">IF(D4969="","",IFERROR(VALUE(LEFT(D4969,FIND(" |",D4969&amp;" |")-1)),"?"))</f>
        <v/>
      </c>
      <c r="H4969" s="27" t="str">
        <f aca="false">IF(G4969="","",IF(G4969="?","⚠ pub inconnue",IFERROR(INDEX(Pubs!$B$2:$B$3001,MATCH(G4969,Pubs!$A$2:$A$3001,0))&amp;"","⚠ pub inconnue")))</f>
        <v/>
      </c>
      <c r="I4969" s="27" t="str">
        <f aca="false">IF(OR(G4969="",G4969="?"),"",IFERROR(INDEX(Pubs!$C$2:$C$3001,MATCH(G4969,Pubs!$A$2:$A$3001,0))&amp;"",""))</f>
        <v/>
      </c>
      <c r="J4969" s="27" t="str">
        <f aca="false">IF(OR(G4969="",G4969="?"),"",IFERROR(INDEX(Pubs!$G$2:$G$3001,MATCH(G4969,Pubs!$A$2:$A$3001,0))&amp;"",""))</f>
        <v/>
      </c>
      <c r="K4969" s="28" t="str">
        <f aca="false">IF(OR(G4969="",G4969="?"),"",IFERROR(INDEX(Pubs!$E$2:$E$3001,MATCH(G4969,Pubs!$A$2:$A$3001,0)),""))</f>
        <v/>
      </c>
      <c r="L4969" s="29" t="str">
        <f aca="false">IF(A4969="","",IFERROR(1/(1/INDEX(Numéros!$C$2:$C$3001,MATCH(A4969&amp;"|"&amp;B4969,Numéros!$F$2:$F$3001,0))),""))</f>
        <v/>
      </c>
      <c r="M4969" s="27" t="str">
        <f aca="false">IF(OR(G4969="",G4969="?"),"",IFERROR(INDEX(Pubs!$D$2:$D$3001,MATCH(G4969,Pubs!$A$2:$A$3001,0))&amp;"",""))</f>
        <v/>
      </c>
      <c r="N4969" s="27" t="n">
        <f aca="false">N(N4968)+IF(AND(A4969&lt;&gt;"",OR(Recherche!$C$4="",A4969=Recherche!$C$4),OR(Recherche!$C$5="",B4969&amp;""=Recherche!$C$5&amp;""),OR(Recherche!$C$6="",IFERROR(YEAR(L4969),0)=Recherche!$C$6),OR(Recherche!$C$7="",ISNUMBER(SEARCH(Recherche!$C$7,H4969))),OR(Recherche!$C$8="",J4969=Recherche!$C$8),OR(Recherche!$C$9="",I4969=Recherche!$C$9),OR(Recherche!$C$10="",G4969&amp;""=Recherche!$C$10&amp;""),OR(Recherche!$C$11="",E4969=Recherche!$C$11),OR(Recherche!$C$12="",ISNUMBER(SEARCH(Recherche!$C$12,M4969&amp;" "&amp;F4969)))),1,0)</f>
        <v>8</v>
      </c>
    </row>
    <row r="4970" customFormat="false" ht="15" hidden="false" customHeight="false" outlineLevel="0" collapsed="false">
      <c r="A4970" s="19"/>
      <c r="B4970" s="19"/>
      <c r="C4970" s="19"/>
      <c r="D4970" s="19"/>
      <c r="E4970" s="22"/>
      <c r="F4970" s="19"/>
      <c r="G4970" s="26" t="str">
        <f aca="false">IF(D4970="","",IFERROR(VALUE(LEFT(D4970,FIND(" |",D4970&amp;" |")-1)),"?"))</f>
        <v/>
      </c>
      <c r="H4970" s="27" t="str">
        <f aca="false">IF(G4970="","",IF(G4970="?","⚠ pub inconnue",IFERROR(INDEX(Pubs!$B$2:$B$3001,MATCH(G4970,Pubs!$A$2:$A$3001,0))&amp;"","⚠ pub inconnue")))</f>
        <v/>
      </c>
      <c r="I4970" s="27" t="str">
        <f aca="false">IF(OR(G4970="",G4970="?"),"",IFERROR(INDEX(Pubs!$C$2:$C$3001,MATCH(G4970,Pubs!$A$2:$A$3001,0))&amp;"",""))</f>
        <v/>
      </c>
      <c r="J4970" s="27" t="str">
        <f aca="false">IF(OR(G4970="",G4970="?"),"",IFERROR(INDEX(Pubs!$G$2:$G$3001,MATCH(G4970,Pubs!$A$2:$A$3001,0))&amp;"",""))</f>
        <v/>
      </c>
      <c r="K4970" s="28" t="str">
        <f aca="false">IF(OR(G4970="",G4970="?"),"",IFERROR(INDEX(Pubs!$E$2:$E$3001,MATCH(G4970,Pubs!$A$2:$A$3001,0)),""))</f>
        <v/>
      </c>
      <c r="L4970" s="29" t="str">
        <f aca="false">IF(A4970="","",IFERROR(1/(1/INDEX(Numéros!$C$2:$C$3001,MATCH(A4970&amp;"|"&amp;B4970,Numéros!$F$2:$F$3001,0))),""))</f>
        <v/>
      </c>
      <c r="M4970" s="27" t="str">
        <f aca="false">IF(OR(G4970="",G4970="?"),"",IFERROR(INDEX(Pubs!$D$2:$D$3001,MATCH(G4970,Pubs!$A$2:$A$3001,0))&amp;"",""))</f>
        <v/>
      </c>
      <c r="N4970" s="27" t="n">
        <f aca="false">N(N4969)+IF(AND(A4970&lt;&gt;"",OR(Recherche!$C$4="",A4970=Recherche!$C$4),OR(Recherche!$C$5="",B4970&amp;""=Recherche!$C$5&amp;""),OR(Recherche!$C$6="",IFERROR(YEAR(L4970),0)=Recherche!$C$6),OR(Recherche!$C$7="",ISNUMBER(SEARCH(Recherche!$C$7,H4970))),OR(Recherche!$C$8="",J4970=Recherche!$C$8),OR(Recherche!$C$9="",I4970=Recherche!$C$9),OR(Recherche!$C$10="",G4970&amp;""=Recherche!$C$10&amp;""),OR(Recherche!$C$11="",E4970=Recherche!$C$11),OR(Recherche!$C$12="",ISNUMBER(SEARCH(Recherche!$C$12,M4970&amp;" "&amp;F4970)))),1,0)</f>
        <v>8</v>
      </c>
    </row>
    <row r="4971" customFormat="false" ht="15" hidden="false" customHeight="false" outlineLevel="0" collapsed="false">
      <c r="A4971" s="19"/>
      <c r="B4971" s="19"/>
      <c r="C4971" s="19"/>
      <c r="D4971" s="19"/>
      <c r="E4971" s="22"/>
      <c r="F4971" s="19"/>
      <c r="G4971" s="26" t="str">
        <f aca="false">IF(D4971="","",IFERROR(VALUE(LEFT(D4971,FIND(" |",D4971&amp;" |")-1)),"?"))</f>
        <v/>
      </c>
      <c r="H4971" s="27" t="str">
        <f aca="false">IF(G4971="","",IF(G4971="?","⚠ pub inconnue",IFERROR(INDEX(Pubs!$B$2:$B$3001,MATCH(G4971,Pubs!$A$2:$A$3001,0))&amp;"","⚠ pub inconnue")))</f>
        <v/>
      </c>
      <c r="I4971" s="27" t="str">
        <f aca="false">IF(OR(G4971="",G4971="?"),"",IFERROR(INDEX(Pubs!$C$2:$C$3001,MATCH(G4971,Pubs!$A$2:$A$3001,0))&amp;"",""))</f>
        <v/>
      </c>
      <c r="J4971" s="27" t="str">
        <f aca="false">IF(OR(G4971="",G4971="?"),"",IFERROR(INDEX(Pubs!$G$2:$G$3001,MATCH(G4971,Pubs!$A$2:$A$3001,0))&amp;"",""))</f>
        <v/>
      </c>
      <c r="K4971" s="28" t="str">
        <f aca="false">IF(OR(G4971="",G4971="?"),"",IFERROR(INDEX(Pubs!$E$2:$E$3001,MATCH(G4971,Pubs!$A$2:$A$3001,0)),""))</f>
        <v/>
      </c>
      <c r="L4971" s="29" t="str">
        <f aca="false">IF(A4971="","",IFERROR(1/(1/INDEX(Numéros!$C$2:$C$3001,MATCH(A4971&amp;"|"&amp;B4971,Numéros!$F$2:$F$3001,0))),""))</f>
        <v/>
      </c>
      <c r="M4971" s="27" t="str">
        <f aca="false">IF(OR(G4971="",G4971="?"),"",IFERROR(INDEX(Pubs!$D$2:$D$3001,MATCH(G4971,Pubs!$A$2:$A$3001,0))&amp;"",""))</f>
        <v/>
      </c>
      <c r="N4971" s="27" t="n">
        <f aca="false">N(N4970)+IF(AND(A4971&lt;&gt;"",OR(Recherche!$C$4="",A4971=Recherche!$C$4),OR(Recherche!$C$5="",B4971&amp;""=Recherche!$C$5&amp;""),OR(Recherche!$C$6="",IFERROR(YEAR(L4971),0)=Recherche!$C$6),OR(Recherche!$C$7="",ISNUMBER(SEARCH(Recherche!$C$7,H4971))),OR(Recherche!$C$8="",J4971=Recherche!$C$8),OR(Recherche!$C$9="",I4971=Recherche!$C$9),OR(Recherche!$C$10="",G4971&amp;""=Recherche!$C$10&amp;""),OR(Recherche!$C$11="",E4971=Recherche!$C$11),OR(Recherche!$C$12="",ISNUMBER(SEARCH(Recherche!$C$12,M4971&amp;" "&amp;F4971)))),1,0)</f>
        <v>8</v>
      </c>
    </row>
    <row r="4972" customFormat="false" ht="15" hidden="false" customHeight="false" outlineLevel="0" collapsed="false">
      <c r="A4972" s="19"/>
      <c r="B4972" s="19"/>
      <c r="C4972" s="19"/>
      <c r="D4972" s="19"/>
      <c r="E4972" s="22"/>
      <c r="F4972" s="19"/>
      <c r="G4972" s="26" t="str">
        <f aca="false">IF(D4972="","",IFERROR(VALUE(LEFT(D4972,FIND(" |",D4972&amp;" |")-1)),"?"))</f>
        <v/>
      </c>
      <c r="H4972" s="27" t="str">
        <f aca="false">IF(G4972="","",IF(G4972="?","⚠ pub inconnue",IFERROR(INDEX(Pubs!$B$2:$B$3001,MATCH(G4972,Pubs!$A$2:$A$3001,0))&amp;"","⚠ pub inconnue")))</f>
        <v/>
      </c>
      <c r="I4972" s="27" t="str">
        <f aca="false">IF(OR(G4972="",G4972="?"),"",IFERROR(INDEX(Pubs!$C$2:$C$3001,MATCH(G4972,Pubs!$A$2:$A$3001,0))&amp;"",""))</f>
        <v/>
      </c>
      <c r="J4972" s="27" t="str">
        <f aca="false">IF(OR(G4972="",G4972="?"),"",IFERROR(INDEX(Pubs!$G$2:$G$3001,MATCH(G4972,Pubs!$A$2:$A$3001,0))&amp;"",""))</f>
        <v/>
      </c>
      <c r="K4972" s="28" t="str">
        <f aca="false">IF(OR(G4972="",G4972="?"),"",IFERROR(INDEX(Pubs!$E$2:$E$3001,MATCH(G4972,Pubs!$A$2:$A$3001,0)),""))</f>
        <v/>
      </c>
      <c r="L4972" s="29" t="str">
        <f aca="false">IF(A4972="","",IFERROR(1/(1/INDEX(Numéros!$C$2:$C$3001,MATCH(A4972&amp;"|"&amp;B4972,Numéros!$F$2:$F$3001,0))),""))</f>
        <v/>
      </c>
      <c r="M4972" s="27" t="str">
        <f aca="false">IF(OR(G4972="",G4972="?"),"",IFERROR(INDEX(Pubs!$D$2:$D$3001,MATCH(G4972,Pubs!$A$2:$A$3001,0))&amp;"",""))</f>
        <v/>
      </c>
      <c r="N4972" s="27" t="n">
        <f aca="false">N(N4971)+IF(AND(A4972&lt;&gt;"",OR(Recherche!$C$4="",A4972=Recherche!$C$4),OR(Recherche!$C$5="",B4972&amp;""=Recherche!$C$5&amp;""),OR(Recherche!$C$6="",IFERROR(YEAR(L4972),0)=Recherche!$C$6),OR(Recherche!$C$7="",ISNUMBER(SEARCH(Recherche!$C$7,H4972))),OR(Recherche!$C$8="",J4972=Recherche!$C$8),OR(Recherche!$C$9="",I4972=Recherche!$C$9),OR(Recherche!$C$10="",G4972&amp;""=Recherche!$C$10&amp;""),OR(Recherche!$C$11="",E4972=Recherche!$C$11),OR(Recherche!$C$12="",ISNUMBER(SEARCH(Recherche!$C$12,M4972&amp;" "&amp;F4972)))),1,0)</f>
        <v>8</v>
      </c>
    </row>
    <row r="4973" customFormat="false" ht="15" hidden="false" customHeight="false" outlineLevel="0" collapsed="false">
      <c r="A4973" s="19"/>
      <c r="B4973" s="19"/>
      <c r="C4973" s="19"/>
      <c r="D4973" s="19"/>
      <c r="E4973" s="22"/>
      <c r="F4973" s="19"/>
      <c r="G4973" s="26" t="str">
        <f aca="false">IF(D4973="","",IFERROR(VALUE(LEFT(D4973,FIND(" |",D4973&amp;" |")-1)),"?"))</f>
        <v/>
      </c>
      <c r="H4973" s="27" t="str">
        <f aca="false">IF(G4973="","",IF(G4973="?","⚠ pub inconnue",IFERROR(INDEX(Pubs!$B$2:$B$3001,MATCH(G4973,Pubs!$A$2:$A$3001,0))&amp;"","⚠ pub inconnue")))</f>
        <v/>
      </c>
      <c r="I4973" s="27" t="str">
        <f aca="false">IF(OR(G4973="",G4973="?"),"",IFERROR(INDEX(Pubs!$C$2:$C$3001,MATCH(G4973,Pubs!$A$2:$A$3001,0))&amp;"",""))</f>
        <v/>
      </c>
      <c r="J4973" s="27" t="str">
        <f aca="false">IF(OR(G4973="",G4973="?"),"",IFERROR(INDEX(Pubs!$G$2:$G$3001,MATCH(G4973,Pubs!$A$2:$A$3001,0))&amp;"",""))</f>
        <v/>
      </c>
      <c r="K4973" s="28" t="str">
        <f aca="false">IF(OR(G4973="",G4973="?"),"",IFERROR(INDEX(Pubs!$E$2:$E$3001,MATCH(G4973,Pubs!$A$2:$A$3001,0)),""))</f>
        <v/>
      </c>
      <c r="L4973" s="29" t="str">
        <f aca="false">IF(A4973="","",IFERROR(1/(1/INDEX(Numéros!$C$2:$C$3001,MATCH(A4973&amp;"|"&amp;B4973,Numéros!$F$2:$F$3001,0))),""))</f>
        <v/>
      </c>
      <c r="M4973" s="27" t="str">
        <f aca="false">IF(OR(G4973="",G4973="?"),"",IFERROR(INDEX(Pubs!$D$2:$D$3001,MATCH(G4973,Pubs!$A$2:$A$3001,0))&amp;"",""))</f>
        <v/>
      </c>
      <c r="N4973" s="27" t="n">
        <f aca="false">N(N4972)+IF(AND(A4973&lt;&gt;"",OR(Recherche!$C$4="",A4973=Recherche!$C$4),OR(Recherche!$C$5="",B4973&amp;""=Recherche!$C$5&amp;""),OR(Recherche!$C$6="",IFERROR(YEAR(L4973),0)=Recherche!$C$6),OR(Recherche!$C$7="",ISNUMBER(SEARCH(Recherche!$C$7,H4973))),OR(Recherche!$C$8="",J4973=Recherche!$C$8),OR(Recherche!$C$9="",I4973=Recherche!$C$9),OR(Recherche!$C$10="",G4973&amp;""=Recherche!$C$10&amp;""),OR(Recherche!$C$11="",E4973=Recherche!$C$11),OR(Recherche!$C$12="",ISNUMBER(SEARCH(Recherche!$C$12,M4973&amp;" "&amp;F4973)))),1,0)</f>
        <v>8</v>
      </c>
    </row>
    <row r="4974" customFormat="false" ht="15" hidden="false" customHeight="false" outlineLevel="0" collapsed="false">
      <c r="A4974" s="19"/>
      <c r="B4974" s="19"/>
      <c r="C4974" s="19"/>
      <c r="D4974" s="19"/>
      <c r="E4974" s="22"/>
      <c r="F4974" s="19"/>
      <c r="G4974" s="26" t="str">
        <f aca="false">IF(D4974="","",IFERROR(VALUE(LEFT(D4974,FIND(" |",D4974&amp;" |")-1)),"?"))</f>
        <v/>
      </c>
      <c r="H4974" s="27" t="str">
        <f aca="false">IF(G4974="","",IF(G4974="?","⚠ pub inconnue",IFERROR(INDEX(Pubs!$B$2:$B$3001,MATCH(G4974,Pubs!$A$2:$A$3001,0))&amp;"","⚠ pub inconnue")))</f>
        <v/>
      </c>
      <c r="I4974" s="27" t="str">
        <f aca="false">IF(OR(G4974="",G4974="?"),"",IFERROR(INDEX(Pubs!$C$2:$C$3001,MATCH(G4974,Pubs!$A$2:$A$3001,0))&amp;"",""))</f>
        <v/>
      </c>
      <c r="J4974" s="27" t="str">
        <f aca="false">IF(OR(G4974="",G4974="?"),"",IFERROR(INDEX(Pubs!$G$2:$G$3001,MATCH(G4974,Pubs!$A$2:$A$3001,0))&amp;"",""))</f>
        <v/>
      </c>
      <c r="K4974" s="28" t="str">
        <f aca="false">IF(OR(G4974="",G4974="?"),"",IFERROR(INDEX(Pubs!$E$2:$E$3001,MATCH(G4974,Pubs!$A$2:$A$3001,0)),""))</f>
        <v/>
      </c>
      <c r="L4974" s="29" t="str">
        <f aca="false">IF(A4974="","",IFERROR(1/(1/INDEX(Numéros!$C$2:$C$3001,MATCH(A4974&amp;"|"&amp;B4974,Numéros!$F$2:$F$3001,0))),""))</f>
        <v/>
      </c>
      <c r="M4974" s="27" t="str">
        <f aca="false">IF(OR(G4974="",G4974="?"),"",IFERROR(INDEX(Pubs!$D$2:$D$3001,MATCH(G4974,Pubs!$A$2:$A$3001,0))&amp;"",""))</f>
        <v/>
      </c>
      <c r="N4974" s="27" t="n">
        <f aca="false">N(N4973)+IF(AND(A4974&lt;&gt;"",OR(Recherche!$C$4="",A4974=Recherche!$C$4),OR(Recherche!$C$5="",B4974&amp;""=Recherche!$C$5&amp;""),OR(Recherche!$C$6="",IFERROR(YEAR(L4974),0)=Recherche!$C$6),OR(Recherche!$C$7="",ISNUMBER(SEARCH(Recherche!$C$7,H4974))),OR(Recherche!$C$8="",J4974=Recherche!$C$8),OR(Recherche!$C$9="",I4974=Recherche!$C$9),OR(Recherche!$C$10="",G4974&amp;""=Recherche!$C$10&amp;""),OR(Recherche!$C$11="",E4974=Recherche!$C$11),OR(Recherche!$C$12="",ISNUMBER(SEARCH(Recherche!$C$12,M4974&amp;" "&amp;F4974)))),1,0)</f>
        <v>8</v>
      </c>
    </row>
    <row r="4975" customFormat="false" ht="15" hidden="false" customHeight="false" outlineLevel="0" collapsed="false">
      <c r="A4975" s="19"/>
      <c r="B4975" s="19"/>
      <c r="C4975" s="19"/>
      <c r="D4975" s="19"/>
      <c r="E4975" s="22"/>
      <c r="F4975" s="19"/>
      <c r="G4975" s="26" t="str">
        <f aca="false">IF(D4975="","",IFERROR(VALUE(LEFT(D4975,FIND(" |",D4975&amp;" |")-1)),"?"))</f>
        <v/>
      </c>
      <c r="H4975" s="27" t="str">
        <f aca="false">IF(G4975="","",IF(G4975="?","⚠ pub inconnue",IFERROR(INDEX(Pubs!$B$2:$B$3001,MATCH(G4975,Pubs!$A$2:$A$3001,0))&amp;"","⚠ pub inconnue")))</f>
        <v/>
      </c>
      <c r="I4975" s="27" t="str">
        <f aca="false">IF(OR(G4975="",G4975="?"),"",IFERROR(INDEX(Pubs!$C$2:$C$3001,MATCH(G4975,Pubs!$A$2:$A$3001,0))&amp;"",""))</f>
        <v/>
      </c>
      <c r="J4975" s="27" t="str">
        <f aca="false">IF(OR(G4975="",G4975="?"),"",IFERROR(INDEX(Pubs!$G$2:$G$3001,MATCH(G4975,Pubs!$A$2:$A$3001,0))&amp;"",""))</f>
        <v/>
      </c>
      <c r="K4975" s="28" t="str">
        <f aca="false">IF(OR(G4975="",G4975="?"),"",IFERROR(INDEX(Pubs!$E$2:$E$3001,MATCH(G4975,Pubs!$A$2:$A$3001,0)),""))</f>
        <v/>
      </c>
      <c r="L4975" s="29" t="str">
        <f aca="false">IF(A4975="","",IFERROR(1/(1/INDEX(Numéros!$C$2:$C$3001,MATCH(A4975&amp;"|"&amp;B4975,Numéros!$F$2:$F$3001,0))),""))</f>
        <v/>
      </c>
      <c r="M4975" s="27" t="str">
        <f aca="false">IF(OR(G4975="",G4975="?"),"",IFERROR(INDEX(Pubs!$D$2:$D$3001,MATCH(G4975,Pubs!$A$2:$A$3001,0))&amp;"",""))</f>
        <v/>
      </c>
      <c r="N4975" s="27" t="n">
        <f aca="false">N(N4974)+IF(AND(A4975&lt;&gt;"",OR(Recherche!$C$4="",A4975=Recherche!$C$4),OR(Recherche!$C$5="",B4975&amp;""=Recherche!$C$5&amp;""),OR(Recherche!$C$6="",IFERROR(YEAR(L4975),0)=Recherche!$C$6),OR(Recherche!$C$7="",ISNUMBER(SEARCH(Recherche!$C$7,H4975))),OR(Recherche!$C$8="",J4975=Recherche!$C$8),OR(Recherche!$C$9="",I4975=Recherche!$C$9),OR(Recherche!$C$10="",G4975&amp;""=Recherche!$C$10&amp;""),OR(Recherche!$C$11="",E4975=Recherche!$C$11),OR(Recherche!$C$12="",ISNUMBER(SEARCH(Recherche!$C$12,M4975&amp;" "&amp;F4975)))),1,0)</f>
        <v>8</v>
      </c>
    </row>
    <row r="4976" customFormat="false" ht="15" hidden="false" customHeight="false" outlineLevel="0" collapsed="false">
      <c r="A4976" s="19"/>
      <c r="B4976" s="19"/>
      <c r="C4976" s="19"/>
      <c r="D4976" s="19"/>
      <c r="E4976" s="22"/>
      <c r="F4976" s="19"/>
      <c r="G4976" s="26" t="str">
        <f aca="false">IF(D4976="","",IFERROR(VALUE(LEFT(D4976,FIND(" |",D4976&amp;" |")-1)),"?"))</f>
        <v/>
      </c>
      <c r="H4976" s="27" t="str">
        <f aca="false">IF(G4976="","",IF(G4976="?","⚠ pub inconnue",IFERROR(INDEX(Pubs!$B$2:$B$3001,MATCH(G4976,Pubs!$A$2:$A$3001,0))&amp;"","⚠ pub inconnue")))</f>
        <v/>
      </c>
      <c r="I4976" s="27" t="str">
        <f aca="false">IF(OR(G4976="",G4976="?"),"",IFERROR(INDEX(Pubs!$C$2:$C$3001,MATCH(G4976,Pubs!$A$2:$A$3001,0))&amp;"",""))</f>
        <v/>
      </c>
      <c r="J4976" s="27" t="str">
        <f aca="false">IF(OR(G4976="",G4976="?"),"",IFERROR(INDEX(Pubs!$G$2:$G$3001,MATCH(G4976,Pubs!$A$2:$A$3001,0))&amp;"",""))</f>
        <v/>
      </c>
      <c r="K4976" s="28" t="str">
        <f aca="false">IF(OR(G4976="",G4976="?"),"",IFERROR(INDEX(Pubs!$E$2:$E$3001,MATCH(G4976,Pubs!$A$2:$A$3001,0)),""))</f>
        <v/>
      </c>
      <c r="L4976" s="29" t="str">
        <f aca="false">IF(A4976="","",IFERROR(1/(1/INDEX(Numéros!$C$2:$C$3001,MATCH(A4976&amp;"|"&amp;B4976,Numéros!$F$2:$F$3001,0))),""))</f>
        <v/>
      </c>
      <c r="M4976" s="27" t="str">
        <f aca="false">IF(OR(G4976="",G4976="?"),"",IFERROR(INDEX(Pubs!$D$2:$D$3001,MATCH(G4976,Pubs!$A$2:$A$3001,0))&amp;"",""))</f>
        <v/>
      </c>
      <c r="N4976" s="27" t="n">
        <f aca="false">N(N4975)+IF(AND(A4976&lt;&gt;"",OR(Recherche!$C$4="",A4976=Recherche!$C$4),OR(Recherche!$C$5="",B4976&amp;""=Recherche!$C$5&amp;""),OR(Recherche!$C$6="",IFERROR(YEAR(L4976),0)=Recherche!$C$6),OR(Recherche!$C$7="",ISNUMBER(SEARCH(Recherche!$C$7,H4976))),OR(Recherche!$C$8="",J4976=Recherche!$C$8),OR(Recherche!$C$9="",I4976=Recherche!$C$9),OR(Recherche!$C$10="",G4976&amp;""=Recherche!$C$10&amp;""),OR(Recherche!$C$11="",E4976=Recherche!$C$11),OR(Recherche!$C$12="",ISNUMBER(SEARCH(Recherche!$C$12,M4976&amp;" "&amp;F4976)))),1,0)</f>
        <v>8</v>
      </c>
    </row>
    <row r="4977" customFormat="false" ht="15" hidden="false" customHeight="false" outlineLevel="0" collapsed="false">
      <c r="A4977" s="19"/>
      <c r="B4977" s="19"/>
      <c r="C4977" s="19"/>
      <c r="D4977" s="19"/>
      <c r="E4977" s="22"/>
      <c r="F4977" s="19"/>
      <c r="G4977" s="26" t="str">
        <f aca="false">IF(D4977="","",IFERROR(VALUE(LEFT(D4977,FIND(" |",D4977&amp;" |")-1)),"?"))</f>
        <v/>
      </c>
      <c r="H4977" s="27" t="str">
        <f aca="false">IF(G4977="","",IF(G4977="?","⚠ pub inconnue",IFERROR(INDEX(Pubs!$B$2:$B$3001,MATCH(G4977,Pubs!$A$2:$A$3001,0))&amp;"","⚠ pub inconnue")))</f>
        <v/>
      </c>
      <c r="I4977" s="27" t="str">
        <f aca="false">IF(OR(G4977="",G4977="?"),"",IFERROR(INDEX(Pubs!$C$2:$C$3001,MATCH(G4977,Pubs!$A$2:$A$3001,0))&amp;"",""))</f>
        <v/>
      </c>
      <c r="J4977" s="27" t="str">
        <f aca="false">IF(OR(G4977="",G4977="?"),"",IFERROR(INDEX(Pubs!$G$2:$G$3001,MATCH(G4977,Pubs!$A$2:$A$3001,0))&amp;"",""))</f>
        <v/>
      </c>
      <c r="K4977" s="28" t="str">
        <f aca="false">IF(OR(G4977="",G4977="?"),"",IFERROR(INDEX(Pubs!$E$2:$E$3001,MATCH(G4977,Pubs!$A$2:$A$3001,0)),""))</f>
        <v/>
      </c>
      <c r="L4977" s="29" t="str">
        <f aca="false">IF(A4977="","",IFERROR(1/(1/INDEX(Numéros!$C$2:$C$3001,MATCH(A4977&amp;"|"&amp;B4977,Numéros!$F$2:$F$3001,0))),""))</f>
        <v/>
      </c>
      <c r="M4977" s="27" t="str">
        <f aca="false">IF(OR(G4977="",G4977="?"),"",IFERROR(INDEX(Pubs!$D$2:$D$3001,MATCH(G4977,Pubs!$A$2:$A$3001,0))&amp;"",""))</f>
        <v/>
      </c>
      <c r="N4977" s="27" t="n">
        <f aca="false">N(N4976)+IF(AND(A4977&lt;&gt;"",OR(Recherche!$C$4="",A4977=Recherche!$C$4),OR(Recherche!$C$5="",B4977&amp;""=Recherche!$C$5&amp;""),OR(Recherche!$C$6="",IFERROR(YEAR(L4977),0)=Recherche!$C$6),OR(Recherche!$C$7="",ISNUMBER(SEARCH(Recherche!$C$7,H4977))),OR(Recherche!$C$8="",J4977=Recherche!$C$8),OR(Recherche!$C$9="",I4977=Recherche!$C$9),OR(Recherche!$C$10="",G4977&amp;""=Recherche!$C$10&amp;""),OR(Recherche!$C$11="",E4977=Recherche!$C$11),OR(Recherche!$C$12="",ISNUMBER(SEARCH(Recherche!$C$12,M4977&amp;" "&amp;F4977)))),1,0)</f>
        <v>8</v>
      </c>
    </row>
    <row r="4978" customFormat="false" ht="15" hidden="false" customHeight="false" outlineLevel="0" collapsed="false">
      <c r="A4978" s="19"/>
      <c r="B4978" s="19"/>
      <c r="C4978" s="19"/>
      <c r="D4978" s="19"/>
      <c r="E4978" s="22"/>
      <c r="F4978" s="19"/>
      <c r="G4978" s="26" t="str">
        <f aca="false">IF(D4978="","",IFERROR(VALUE(LEFT(D4978,FIND(" |",D4978&amp;" |")-1)),"?"))</f>
        <v/>
      </c>
      <c r="H4978" s="27" t="str">
        <f aca="false">IF(G4978="","",IF(G4978="?","⚠ pub inconnue",IFERROR(INDEX(Pubs!$B$2:$B$3001,MATCH(G4978,Pubs!$A$2:$A$3001,0))&amp;"","⚠ pub inconnue")))</f>
        <v/>
      </c>
      <c r="I4978" s="27" t="str">
        <f aca="false">IF(OR(G4978="",G4978="?"),"",IFERROR(INDEX(Pubs!$C$2:$C$3001,MATCH(G4978,Pubs!$A$2:$A$3001,0))&amp;"",""))</f>
        <v/>
      </c>
      <c r="J4978" s="27" t="str">
        <f aca="false">IF(OR(G4978="",G4978="?"),"",IFERROR(INDEX(Pubs!$G$2:$G$3001,MATCH(G4978,Pubs!$A$2:$A$3001,0))&amp;"",""))</f>
        <v/>
      </c>
      <c r="K4978" s="28" t="str">
        <f aca="false">IF(OR(G4978="",G4978="?"),"",IFERROR(INDEX(Pubs!$E$2:$E$3001,MATCH(G4978,Pubs!$A$2:$A$3001,0)),""))</f>
        <v/>
      </c>
      <c r="L4978" s="29" t="str">
        <f aca="false">IF(A4978="","",IFERROR(1/(1/INDEX(Numéros!$C$2:$C$3001,MATCH(A4978&amp;"|"&amp;B4978,Numéros!$F$2:$F$3001,0))),""))</f>
        <v/>
      </c>
      <c r="M4978" s="27" t="str">
        <f aca="false">IF(OR(G4978="",G4978="?"),"",IFERROR(INDEX(Pubs!$D$2:$D$3001,MATCH(G4978,Pubs!$A$2:$A$3001,0))&amp;"",""))</f>
        <v/>
      </c>
      <c r="N4978" s="27" t="n">
        <f aca="false">N(N4977)+IF(AND(A4978&lt;&gt;"",OR(Recherche!$C$4="",A4978=Recherche!$C$4),OR(Recherche!$C$5="",B4978&amp;""=Recherche!$C$5&amp;""),OR(Recherche!$C$6="",IFERROR(YEAR(L4978),0)=Recherche!$C$6),OR(Recherche!$C$7="",ISNUMBER(SEARCH(Recherche!$C$7,H4978))),OR(Recherche!$C$8="",J4978=Recherche!$C$8),OR(Recherche!$C$9="",I4978=Recherche!$C$9),OR(Recherche!$C$10="",G4978&amp;""=Recherche!$C$10&amp;""),OR(Recherche!$C$11="",E4978=Recherche!$C$11),OR(Recherche!$C$12="",ISNUMBER(SEARCH(Recherche!$C$12,M4978&amp;" "&amp;F4978)))),1,0)</f>
        <v>8</v>
      </c>
    </row>
    <row r="4979" customFormat="false" ht="15" hidden="false" customHeight="false" outlineLevel="0" collapsed="false">
      <c r="A4979" s="19"/>
      <c r="B4979" s="19"/>
      <c r="C4979" s="19"/>
      <c r="D4979" s="19"/>
      <c r="E4979" s="22"/>
      <c r="F4979" s="19"/>
      <c r="G4979" s="26" t="str">
        <f aca="false">IF(D4979="","",IFERROR(VALUE(LEFT(D4979,FIND(" |",D4979&amp;" |")-1)),"?"))</f>
        <v/>
      </c>
      <c r="H4979" s="27" t="str">
        <f aca="false">IF(G4979="","",IF(G4979="?","⚠ pub inconnue",IFERROR(INDEX(Pubs!$B$2:$B$3001,MATCH(G4979,Pubs!$A$2:$A$3001,0))&amp;"","⚠ pub inconnue")))</f>
        <v/>
      </c>
      <c r="I4979" s="27" t="str">
        <f aca="false">IF(OR(G4979="",G4979="?"),"",IFERROR(INDEX(Pubs!$C$2:$C$3001,MATCH(G4979,Pubs!$A$2:$A$3001,0))&amp;"",""))</f>
        <v/>
      </c>
      <c r="J4979" s="27" t="str">
        <f aca="false">IF(OR(G4979="",G4979="?"),"",IFERROR(INDEX(Pubs!$G$2:$G$3001,MATCH(G4979,Pubs!$A$2:$A$3001,0))&amp;"",""))</f>
        <v/>
      </c>
      <c r="K4979" s="28" t="str">
        <f aca="false">IF(OR(G4979="",G4979="?"),"",IFERROR(INDEX(Pubs!$E$2:$E$3001,MATCH(G4979,Pubs!$A$2:$A$3001,0)),""))</f>
        <v/>
      </c>
      <c r="L4979" s="29" t="str">
        <f aca="false">IF(A4979="","",IFERROR(1/(1/INDEX(Numéros!$C$2:$C$3001,MATCH(A4979&amp;"|"&amp;B4979,Numéros!$F$2:$F$3001,0))),""))</f>
        <v/>
      </c>
      <c r="M4979" s="27" t="str">
        <f aca="false">IF(OR(G4979="",G4979="?"),"",IFERROR(INDEX(Pubs!$D$2:$D$3001,MATCH(G4979,Pubs!$A$2:$A$3001,0))&amp;"",""))</f>
        <v/>
      </c>
      <c r="N4979" s="27" t="n">
        <f aca="false">N(N4978)+IF(AND(A4979&lt;&gt;"",OR(Recherche!$C$4="",A4979=Recherche!$C$4),OR(Recherche!$C$5="",B4979&amp;""=Recherche!$C$5&amp;""),OR(Recherche!$C$6="",IFERROR(YEAR(L4979),0)=Recherche!$C$6),OR(Recherche!$C$7="",ISNUMBER(SEARCH(Recherche!$C$7,H4979))),OR(Recherche!$C$8="",J4979=Recherche!$C$8),OR(Recherche!$C$9="",I4979=Recherche!$C$9),OR(Recherche!$C$10="",G4979&amp;""=Recherche!$C$10&amp;""),OR(Recherche!$C$11="",E4979=Recherche!$C$11),OR(Recherche!$C$12="",ISNUMBER(SEARCH(Recherche!$C$12,M4979&amp;" "&amp;F4979)))),1,0)</f>
        <v>8</v>
      </c>
    </row>
    <row r="4980" customFormat="false" ht="15" hidden="false" customHeight="false" outlineLevel="0" collapsed="false">
      <c r="A4980" s="19"/>
      <c r="B4980" s="19"/>
      <c r="C4980" s="19"/>
      <c r="D4980" s="19"/>
      <c r="E4980" s="22"/>
      <c r="F4980" s="19"/>
      <c r="G4980" s="26" t="str">
        <f aca="false">IF(D4980="","",IFERROR(VALUE(LEFT(D4980,FIND(" |",D4980&amp;" |")-1)),"?"))</f>
        <v/>
      </c>
      <c r="H4980" s="27" t="str">
        <f aca="false">IF(G4980="","",IF(G4980="?","⚠ pub inconnue",IFERROR(INDEX(Pubs!$B$2:$B$3001,MATCH(G4980,Pubs!$A$2:$A$3001,0))&amp;"","⚠ pub inconnue")))</f>
        <v/>
      </c>
      <c r="I4980" s="27" t="str">
        <f aca="false">IF(OR(G4980="",G4980="?"),"",IFERROR(INDEX(Pubs!$C$2:$C$3001,MATCH(G4980,Pubs!$A$2:$A$3001,0))&amp;"",""))</f>
        <v/>
      </c>
      <c r="J4980" s="27" t="str">
        <f aca="false">IF(OR(G4980="",G4980="?"),"",IFERROR(INDEX(Pubs!$G$2:$G$3001,MATCH(G4980,Pubs!$A$2:$A$3001,0))&amp;"",""))</f>
        <v/>
      </c>
      <c r="K4980" s="28" t="str">
        <f aca="false">IF(OR(G4980="",G4980="?"),"",IFERROR(INDEX(Pubs!$E$2:$E$3001,MATCH(G4980,Pubs!$A$2:$A$3001,0)),""))</f>
        <v/>
      </c>
      <c r="L4980" s="29" t="str">
        <f aca="false">IF(A4980="","",IFERROR(1/(1/INDEX(Numéros!$C$2:$C$3001,MATCH(A4980&amp;"|"&amp;B4980,Numéros!$F$2:$F$3001,0))),""))</f>
        <v/>
      </c>
      <c r="M4980" s="27" t="str">
        <f aca="false">IF(OR(G4980="",G4980="?"),"",IFERROR(INDEX(Pubs!$D$2:$D$3001,MATCH(G4980,Pubs!$A$2:$A$3001,0))&amp;"",""))</f>
        <v/>
      </c>
      <c r="N4980" s="27" t="n">
        <f aca="false">N(N4979)+IF(AND(A4980&lt;&gt;"",OR(Recherche!$C$4="",A4980=Recherche!$C$4),OR(Recherche!$C$5="",B4980&amp;""=Recherche!$C$5&amp;""),OR(Recherche!$C$6="",IFERROR(YEAR(L4980),0)=Recherche!$C$6),OR(Recherche!$C$7="",ISNUMBER(SEARCH(Recherche!$C$7,H4980))),OR(Recherche!$C$8="",J4980=Recherche!$C$8),OR(Recherche!$C$9="",I4980=Recherche!$C$9),OR(Recherche!$C$10="",G4980&amp;""=Recherche!$C$10&amp;""),OR(Recherche!$C$11="",E4980=Recherche!$C$11),OR(Recherche!$C$12="",ISNUMBER(SEARCH(Recherche!$C$12,M4980&amp;" "&amp;F4980)))),1,0)</f>
        <v>8</v>
      </c>
    </row>
    <row r="4981" customFormat="false" ht="15" hidden="false" customHeight="false" outlineLevel="0" collapsed="false">
      <c r="A4981" s="19"/>
      <c r="B4981" s="19"/>
      <c r="C4981" s="19"/>
      <c r="D4981" s="19"/>
      <c r="E4981" s="22"/>
      <c r="F4981" s="19"/>
      <c r="G4981" s="26" t="str">
        <f aca="false">IF(D4981="","",IFERROR(VALUE(LEFT(D4981,FIND(" |",D4981&amp;" |")-1)),"?"))</f>
        <v/>
      </c>
      <c r="H4981" s="27" t="str">
        <f aca="false">IF(G4981="","",IF(G4981="?","⚠ pub inconnue",IFERROR(INDEX(Pubs!$B$2:$B$3001,MATCH(G4981,Pubs!$A$2:$A$3001,0))&amp;"","⚠ pub inconnue")))</f>
        <v/>
      </c>
      <c r="I4981" s="27" t="str">
        <f aca="false">IF(OR(G4981="",G4981="?"),"",IFERROR(INDEX(Pubs!$C$2:$C$3001,MATCH(G4981,Pubs!$A$2:$A$3001,0))&amp;"",""))</f>
        <v/>
      </c>
      <c r="J4981" s="27" t="str">
        <f aca="false">IF(OR(G4981="",G4981="?"),"",IFERROR(INDEX(Pubs!$G$2:$G$3001,MATCH(G4981,Pubs!$A$2:$A$3001,0))&amp;"",""))</f>
        <v/>
      </c>
      <c r="K4981" s="28" t="str">
        <f aca="false">IF(OR(G4981="",G4981="?"),"",IFERROR(INDEX(Pubs!$E$2:$E$3001,MATCH(G4981,Pubs!$A$2:$A$3001,0)),""))</f>
        <v/>
      </c>
      <c r="L4981" s="29" t="str">
        <f aca="false">IF(A4981="","",IFERROR(1/(1/INDEX(Numéros!$C$2:$C$3001,MATCH(A4981&amp;"|"&amp;B4981,Numéros!$F$2:$F$3001,0))),""))</f>
        <v/>
      </c>
      <c r="M4981" s="27" t="str">
        <f aca="false">IF(OR(G4981="",G4981="?"),"",IFERROR(INDEX(Pubs!$D$2:$D$3001,MATCH(G4981,Pubs!$A$2:$A$3001,0))&amp;"",""))</f>
        <v/>
      </c>
      <c r="N4981" s="27" t="n">
        <f aca="false">N(N4980)+IF(AND(A4981&lt;&gt;"",OR(Recherche!$C$4="",A4981=Recherche!$C$4),OR(Recherche!$C$5="",B4981&amp;""=Recherche!$C$5&amp;""),OR(Recherche!$C$6="",IFERROR(YEAR(L4981),0)=Recherche!$C$6),OR(Recherche!$C$7="",ISNUMBER(SEARCH(Recherche!$C$7,H4981))),OR(Recherche!$C$8="",J4981=Recherche!$C$8),OR(Recherche!$C$9="",I4981=Recherche!$C$9),OR(Recherche!$C$10="",G4981&amp;""=Recherche!$C$10&amp;""),OR(Recherche!$C$11="",E4981=Recherche!$C$11),OR(Recherche!$C$12="",ISNUMBER(SEARCH(Recherche!$C$12,M4981&amp;" "&amp;F4981)))),1,0)</f>
        <v>8</v>
      </c>
    </row>
    <row r="4982" customFormat="false" ht="15" hidden="false" customHeight="false" outlineLevel="0" collapsed="false">
      <c r="A4982" s="19"/>
      <c r="B4982" s="19"/>
      <c r="C4982" s="19"/>
      <c r="D4982" s="19"/>
      <c r="E4982" s="22"/>
      <c r="F4982" s="19"/>
      <c r="G4982" s="26" t="str">
        <f aca="false">IF(D4982="","",IFERROR(VALUE(LEFT(D4982,FIND(" |",D4982&amp;" |")-1)),"?"))</f>
        <v/>
      </c>
      <c r="H4982" s="27" t="str">
        <f aca="false">IF(G4982="","",IF(G4982="?","⚠ pub inconnue",IFERROR(INDEX(Pubs!$B$2:$B$3001,MATCH(G4982,Pubs!$A$2:$A$3001,0))&amp;"","⚠ pub inconnue")))</f>
        <v/>
      </c>
      <c r="I4982" s="27" t="str">
        <f aca="false">IF(OR(G4982="",G4982="?"),"",IFERROR(INDEX(Pubs!$C$2:$C$3001,MATCH(G4982,Pubs!$A$2:$A$3001,0))&amp;"",""))</f>
        <v/>
      </c>
      <c r="J4982" s="27" t="str">
        <f aca="false">IF(OR(G4982="",G4982="?"),"",IFERROR(INDEX(Pubs!$G$2:$G$3001,MATCH(G4982,Pubs!$A$2:$A$3001,0))&amp;"",""))</f>
        <v/>
      </c>
      <c r="K4982" s="28" t="str">
        <f aca="false">IF(OR(G4982="",G4982="?"),"",IFERROR(INDEX(Pubs!$E$2:$E$3001,MATCH(G4982,Pubs!$A$2:$A$3001,0)),""))</f>
        <v/>
      </c>
      <c r="L4982" s="29" t="str">
        <f aca="false">IF(A4982="","",IFERROR(1/(1/INDEX(Numéros!$C$2:$C$3001,MATCH(A4982&amp;"|"&amp;B4982,Numéros!$F$2:$F$3001,0))),""))</f>
        <v/>
      </c>
      <c r="M4982" s="27" t="str">
        <f aca="false">IF(OR(G4982="",G4982="?"),"",IFERROR(INDEX(Pubs!$D$2:$D$3001,MATCH(G4982,Pubs!$A$2:$A$3001,0))&amp;"",""))</f>
        <v/>
      </c>
      <c r="N4982" s="27" t="n">
        <f aca="false">N(N4981)+IF(AND(A4982&lt;&gt;"",OR(Recherche!$C$4="",A4982=Recherche!$C$4),OR(Recherche!$C$5="",B4982&amp;""=Recherche!$C$5&amp;""),OR(Recherche!$C$6="",IFERROR(YEAR(L4982),0)=Recherche!$C$6),OR(Recherche!$C$7="",ISNUMBER(SEARCH(Recherche!$C$7,H4982))),OR(Recherche!$C$8="",J4982=Recherche!$C$8),OR(Recherche!$C$9="",I4982=Recherche!$C$9),OR(Recherche!$C$10="",G4982&amp;""=Recherche!$C$10&amp;""),OR(Recherche!$C$11="",E4982=Recherche!$C$11),OR(Recherche!$C$12="",ISNUMBER(SEARCH(Recherche!$C$12,M4982&amp;" "&amp;F4982)))),1,0)</f>
        <v>8</v>
      </c>
    </row>
    <row r="4983" customFormat="false" ht="15" hidden="false" customHeight="false" outlineLevel="0" collapsed="false">
      <c r="A4983" s="19"/>
      <c r="B4983" s="19"/>
      <c r="C4983" s="19"/>
      <c r="D4983" s="19"/>
      <c r="E4983" s="22"/>
      <c r="F4983" s="19"/>
      <c r="G4983" s="26" t="str">
        <f aca="false">IF(D4983="","",IFERROR(VALUE(LEFT(D4983,FIND(" |",D4983&amp;" |")-1)),"?"))</f>
        <v/>
      </c>
      <c r="H4983" s="27" t="str">
        <f aca="false">IF(G4983="","",IF(G4983="?","⚠ pub inconnue",IFERROR(INDEX(Pubs!$B$2:$B$3001,MATCH(G4983,Pubs!$A$2:$A$3001,0))&amp;"","⚠ pub inconnue")))</f>
        <v/>
      </c>
      <c r="I4983" s="27" t="str">
        <f aca="false">IF(OR(G4983="",G4983="?"),"",IFERROR(INDEX(Pubs!$C$2:$C$3001,MATCH(G4983,Pubs!$A$2:$A$3001,0))&amp;"",""))</f>
        <v/>
      </c>
      <c r="J4983" s="27" t="str">
        <f aca="false">IF(OR(G4983="",G4983="?"),"",IFERROR(INDEX(Pubs!$G$2:$G$3001,MATCH(G4983,Pubs!$A$2:$A$3001,0))&amp;"",""))</f>
        <v/>
      </c>
      <c r="K4983" s="28" t="str">
        <f aca="false">IF(OR(G4983="",G4983="?"),"",IFERROR(INDEX(Pubs!$E$2:$E$3001,MATCH(G4983,Pubs!$A$2:$A$3001,0)),""))</f>
        <v/>
      </c>
      <c r="L4983" s="29" t="str">
        <f aca="false">IF(A4983="","",IFERROR(1/(1/INDEX(Numéros!$C$2:$C$3001,MATCH(A4983&amp;"|"&amp;B4983,Numéros!$F$2:$F$3001,0))),""))</f>
        <v/>
      </c>
      <c r="M4983" s="27" t="str">
        <f aca="false">IF(OR(G4983="",G4983="?"),"",IFERROR(INDEX(Pubs!$D$2:$D$3001,MATCH(G4983,Pubs!$A$2:$A$3001,0))&amp;"",""))</f>
        <v/>
      </c>
      <c r="N4983" s="27" t="n">
        <f aca="false">N(N4982)+IF(AND(A4983&lt;&gt;"",OR(Recherche!$C$4="",A4983=Recherche!$C$4),OR(Recherche!$C$5="",B4983&amp;""=Recherche!$C$5&amp;""),OR(Recherche!$C$6="",IFERROR(YEAR(L4983),0)=Recherche!$C$6),OR(Recherche!$C$7="",ISNUMBER(SEARCH(Recherche!$C$7,H4983))),OR(Recherche!$C$8="",J4983=Recherche!$C$8),OR(Recherche!$C$9="",I4983=Recherche!$C$9),OR(Recherche!$C$10="",G4983&amp;""=Recherche!$C$10&amp;""),OR(Recherche!$C$11="",E4983=Recherche!$C$11),OR(Recherche!$C$12="",ISNUMBER(SEARCH(Recherche!$C$12,M4983&amp;" "&amp;F4983)))),1,0)</f>
        <v>8</v>
      </c>
    </row>
    <row r="4984" customFormat="false" ht="15" hidden="false" customHeight="false" outlineLevel="0" collapsed="false">
      <c r="A4984" s="19"/>
      <c r="B4984" s="19"/>
      <c r="C4984" s="19"/>
      <c r="D4984" s="19"/>
      <c r="E4984" s="22"/>
      <c r="F4984" s="19"/>
      <c r="G4984" s="26" t="str">
        <f aca="false">IF(D4984="","",IFERROR(VALUE(LEFT(D4984,FIND(" |",D4984&amp;" |")-1)),"?"))</f>
        <v/>
      </c>
      <c r="H4984" s="27" t="str">
        <f aca="false">IF(G4984="","",IF(G4984="?","⚠ pub inconnue",IFERROR(INDEX(Pubs!$B$2:$B$3001,MATCH(G4984,Pubs!$A$2:$A$3001,0))&amp;"","⚠ pub inconnue")))</f>
        <v/>
      </c>
      <c r="I4984" s="27" t="str">
        <f aca="false">IF(OR(G4984="",G4984="?"),"",IFERROR(INDEX(Pubs!$C$2:$C$3001,MATCH(G4984,Pubs!$A$2:$A$3001,0))&amp;"",""))</f>
        <v/>
      </c>
      <c r="J4984" s="27" t="str">
        <f aca="false">IF(OR(G4984="",G4984="?"),"",IFERROR(INDEX(Pubs!$G$2:$G$3001,MATCH(G4984,Pubs!$A$2:$A$3001,0))&amp;"",""))</f>
        <v/>
      </c>
      <c r="K4984" s="28" t="str">
        <f aca="false">IF(OR(G4984="",G4984="?"),"",IFERROR(INDEX(Pubs!$E$2:$E$3001,MATCH(G4984,Pubs!$A$2:$A$3001,0)),""))</f>
        <v/>
      </c>
      <c r="L4984" s="29" t="str">
        <f aca="false">IF(A4984="","",IFERROR(1/(1/INDEX(Numéros!$C$2:$C$3001,MATCH(A4984&amp;"|"&amp;B4984,Numéros!$F$2:$F$3001,0))),""))</f>
        <v/>
      </c>
      <c r="M4984" s="27" t="str">
        <f aca="false">IF(OR(G4984="",G4984="?"),"",IFERROR(INDEX(Pubs!$D$2:$D$3001,MATCH(G4984,Pubs!$A$2:$A$3001,0))&amp;"",""))</f>
        <v/>
      </c>
      <c r="N4984" s="27" t="n">
        <f aca="false">N(N4983)+IF(AND(A4984&lt;&gt;"",OR(Recherche!$C$4="",A4984=Recherche!$C$4),OR(Recherche!$C$5="",B4984&amp;""=Recherche!$C$5&amp;""),OR(Recherche!$C$6="",IFERROR(YEAR(L4984),0)=Recherche!$C$6),OR(Recherche!$C$7="",ISNUMBER(SEARCH(Recherche!$C$7,H4984))),OR(Recherche!$C$8="",J4984=Recherche!$C$8),OR(Recherche!$C$9="",I4984=Recherche!$C$9),OR(Recherche!$C$10="",G4984&amp;""=Recherche!$C$10&amp;""),OR(Recherche!$C$11="",E4984=Recherche!$C$11),OR(Recherche!$C$12="",ISNUMBER(SEARCH(Recherche!$C$12,M4984&amp;" "&amp;F4984)))),1,0)</f>
        <v>8</v>
      </c>
    </row>
    <row r="4985" customFormat="false" ht="15" hidden="false" customHeight="false" outlineLevel="0" collapsed="false">
      <c r="A4985" s="19"/>
      <c r="B4985" s="19"/>
      <c r="C4985" s="19"/>
      <c r="D4985" s="19"/>
      <c r="E4985" s="22"/>
      <c r="F4985" s="19"/>
      <c r="G4985" s="26" t="str">
        <f aca="false">IF(D4985="","",IFERROR(VALUE(LEFT(D4985,FIND(" |",D4985&amp;" |")-1)),"?"))</f>
        <v/>
      </c>
      <c r="H4985" s="27" t="str">
        <f aca="false">IF(G4985="","",IF(G4985="?","⚠ pub inconnue",IFERROR(INDEX(Pubs!$B$2:$B$3001,MATCH(G4985,Pubs!$A$2:$A$3001,0))&amp;"","⚠ pub inconnue")))</f>
        <v/>
      </c>
      <c r="I4985" s="27" t="str">
        <f aca="false">IF(OR(G4985="",G4985="?"),"",IFERROR(INDEX(Pubs!$C$2:$C$3001,MATCH(G4985,Pubs!$A$2:$A$3001,0))&amp;"",""))</f>
        <v/>
      </c>
      <c r="J4985" s="27" t="str">
        <f aca="false">IF(OR(G4985="",G4985="?"),"",IFERROR(INDEX(Pubs!$G$2:$G$3001,MATCH(G4985,Pubs!$A$2:$A$3001,0))&amp;"",""))</f>
        <v/>
      </c>
      <c r="K4985" s="28" t="str">
        <f aca="false">IF(OR(G4985="",G4985="?"),"",IFERROR(INDEX(Pubs!$E$2:$E$3001,MATCH(G4985,Pubs!$A$2:$A$3001,0)),""))</f>
        <v/>
      </c>
      <c r="L4985" s="29" t="str">
        <f aca="false">IF(A4985="","",IFERROR(1/(1/INDEX(Numéros!$C$2:$C$3001,MATCH(A4985&amp;"|"&amp;B4985,Numéros!$F$2:$F$3001,0))),""))</f>
        <v/>
      </c>
      <c r="M4985" s="27" t="str">
        <f aca="false">IF(OR(G4985="",G4985="?"),"",IFERROR(INDEX(Pubs!$D$2:$D$3001,MATCH(G4985,Pubs!$A$2:$A$3001,0))&amp;"",""))</f>
        <v/>
      </c>
      <c r="N4985" s="27" t="n">
        <f aca="false">N(N4984)+IF(AND(A4985&lt;&gt;"",OR(Recherche!$C$4="",A4985=Recherche!$C$4),OR(Recherche!$C$5="",B4985&amp;""=Recherche!$C$5&amp;""),OR(Recherche!$C$6="",IFERROR(YEAR(L4985),0)=Recherche!$C$6),OR(Recherche!$C$7="",ISNUMBER(SEARCH(Recherche!$C$7,H4985))),OR(Recherche!$C$8="",J4985=Recherche!$C$8),OR(Recherche!$C$9="",I4985=Recherche!$C$9),OR(Recherche!$C$10="",G4985&amp;""=Recherche!$C$10&amp;""),OR(Recherche!$C$11="",E4985=Recherche!$C$11),OR(Recherche!$C$12="",ISNUMBER(SEARCH(Recherche!$C$12,M4985&amp;" "&amp;F4985)))),1,0)</f>
        <v>8</v>
      </c>
    </row>
    <row r="4986" customFormat="false" ht="15" hidden="false" customHeight="false" outlineLevel="0" collapsed="false">
      <c r="A4986" s="19"/>
      <c r="B4986" s="19"/>
      <c r="C4986" s="19"/>
      <c r="D4986" s="19"/>
      <c r="E4986" s="22"/>
      <c r="F4986" s="19"/>
      <c r="G4986" s="26" t="str">
        <f aca="false">IF(D4986="","",IFERROR(VALUE(LEFT(D4986,FIND(" |",D4986&amp;" |")-1)),"?"))</f>
        <v/>
      </c>
      <c r="H4986" s="27" t="str">
        <f aca="false">IF(G4986="","",IF(G4986="?","⚠ pub inconnue",IFERROR(INDEX(Pubs!$B$2:$B$3001,MATCH(G4986,Pubs!$A$2:$A$3001,0))&amp;"","⚠ pub inconnue")))</f>
        <v/>
      </c>
      <c r="I4986" s="27" t="str">
        <f aca="false">IF(OR(G4986="",G4986="?"),"",IFERROR(INDEX(Pubs!$C$2:$C$3001,MATCH(G4986,Pubs!$A$2:$A$3001,0))&amp;"",""))</f>
        <v/>
      </c>
      <c r="J4986" s="27" t="str">
        <f aca="false">IF(OR(G4986="",G4986="?"),"",IFERROR(INDEX(Pubs!$G$2:$G$3001,MATCH(G4986,Pubs!$A$2:$A$3001,0))&amp;"",""))</f>
        <v/>
      </c>
      <c r="K4986" s="28" t="str">
        <f aca="false">IF(OR(G4986="",G4986="?"),"",IFERROR(INDEX(Pubs!$E$2:$E$3001,MATCH(G4986,Pubs!$A$2:$A$3001,0)),""))</f>
        <v/>
      </c>
      <c r="L4986" s="29" t="str">
        <f aca="false">IF(A4986="","",IFERROR(1/(1/INDEX(Numéros!$C$2:$C$3001,MATCH(A4986&amp;"|"&amp;B4986,Numéros!$F$2:$F$3001,0))),""))</f>
        <v/>
      </c>
      <c r="M4986" s="27" t="str">
        <f aca="false">IF(OR(G4986="",G4986="?"),"",IFERROR(INDEX(Pubs!$D$2:$D$3001,MATCH(G4986,Pubs!$A$2:$A$3001,0))&amp;"",""))</f>
        <v/>
      </c>
      <c r="N4986" s="27" t="n">
        <f aca="false">N(N4985)+IF(AND(A4986&lt;&gt;"",OR(Recherche!$C$4="",A4986=Recherche!$C$4),OR(Recherche!$C$5="",B4986&amp;""=Recherche!$C$5&amp;""),OR(Recherche!$C$6="",IFERROR(YEAR(L4986),0)=Recherche!$C$6),OR(Recherche!$C$7="",ISNUMBER(SEARCH(Recherche!$C$7,H4986))),OR(Recherche!$C$8="",J4986=Recherche!$C$8),OR(Recherche!$C$9="",I4986=Recherche!$C$9),OR(Recherche!$C$10="",G4986&amp;""=Recherche!$C$10&amp;""),OR(Recherche!$C$11="",E4986=Recherche!$C$11),OR(Recherche!$C$12="",ISNUMBER(SEARCH(Recherche!$C$12,M4986&amp;" "&amp;F4986)))),1,0)</f>
        <v>8</v>
      </c>
    </row>
    <row r="4987" customFormat="false" ht="15" hidden="false" customHeight="false" outlineLevel="0" collapsed="false">
      <c r="A4987" s="19"/>
      <c r="B4987" s="19"/>
      <c r="C4987" s="19"/>
      <c r="D4987" s="19"/>
      <c r="E4987" s="22"/>
      <c r="F4987" s="19"/>
      <c r="G4987" s="26" t="str">
        <f aca="false">IF(D4987="","",IFERROR(VALUE(LEFT(D4987,FIND(" |",D4987&amp;" |")-1)),"?"))</f>
        <v/>
      </c>
      <c r="H4987" s="27" t="str">
        <f aca="false">IF(G4987="","",IF(G4987="?","⚠ pub inconnue",IFERROR(INDEX(Pubs!$B$2:$B$3001,MATCH(G4987,Pubs!$A$2:$A$3001,0))&amp;"","⚠ pub inconnue")))</f>
        <v/>
      </c>
      <c r="I4987" s="27" t="str">
        <f aca="false">IF(OR(G4987="",G4987="?"),"",IFERROR(INDEX(Pubs!$C$2:$C$3001,MATCH(G4987,Pubs!$A$2:$A$3001,0))&amp;"",""))</f>
        <v/>
      </c>
      <c r="J4987" s="27" t="str">
        <f aca="false">IF(OR(G4987="",G4987="?"),"",IFERROR(INDEX(Pubs!$G$2:$G$3001,MATCH(G4987,Pubs!$A$2:$A$3001,0))&amp;"",""))</f>
        <v/>
      </c>
      <c r="K4987" s="28" t="str">
        <f aca="false">IF(OR(G4987="",G4987="?"),"",IFERROR(INDEX(Pubs!$E$2:$E$3001,MATCH(G4987,Pubs!$A$2:$A$3001,0)),""))</f>
        <v/>
      </c>
      <c r="L4987" s="29" t="str">
        <f aca="false">IF(A4987="","",IFERROR(1/(1/INDEX(Numéros!$C$2:$C$3001,MATCH(A4987&amp;"|"&amp;B4987,Numéros!$F$2:$F$3001,0))),""))</f>
        <v/>
      </c>
      <c r="M4987" s="27" t="str">
        <f aca="false">IF(OR(G4987="",G4987="?"),"",IFERROR(INDEX(Pubs!$D$2:$D$3001,MATCH(G4987,Pubs!$A$2:$A$3001,0))&amp;"",""))</f>
        <v/>
      </c>
      <c r="N4987" s="27" t="n">
        <f aca="false">N(N4986)+IF(AND(A4987&lt;&gt;"",OR(Recherche!$C$4="",A4987=Recherche!$C$4),OR(Recherche!$C$5="",B4987&amp;""=Recherche!$C$5&amp;""),OR(Recherche!$C$6="",IFERROR(YEAR(L4987),0)=Recherche!$C$6),OR(Recherche!$C$7="",ISNUMBER(SEARCH(Recherche!$C$7,H4987))),OR(Recherche!$C$8="",J4987=Recherche!$C$8),OR(Recherche!$C$9="",I4987=Recherche!$C$9),OR(Recherche!$C$10="",G4987&amp;""=Recherche!$C$10&amp;""),OR(Recherche!$C$11="",E4987=Recherche!$C$11),OR(Recherche!$C$12="",ISNUMBER(SEARCH(Recherche!$C$12,M4987&amp;" "&amp;F4987)))),1,0)</f>
        <v>8</v>
      </c>
    </row>
    <row r="4988" customFormat="false" ht="15" hidden="false" customHeight="false" outlineLevel="0" collapsed="false">
      <c r="A4988" s="19"/>
      <c r="B4988" s="19"/>
      <c r="C4988" s="19"/>
      <c r="D4988" s="19"/>
      <c r="E4988" s="22"/>
      <c r="F4988" s="19"/>
      <c r="G4988" s="26" t="str">
        <f aca="false">IF(D4988="","",IFERROR(VALUE(LEFT(D4988,FIND(" |",D4988&amp;" |")-1)),"?"))</f>
        <v/>
      </c>
      <c r="H4988" s="27" t="str">
        <f aca="false">IF(G4988="","",IF(G4988="?","⚠ pub inconnue",IFERROR(INDEX(Pubs!$B$2:$B$3001,MATCH(G4988,Pubs!$A$2:$A$3001,0))&amp;"","⚠ pub inconnue")))</f>
        <v/>
      </c>
      <c r="I4988" s="27" t="str">
        <f aca="false">IF(OR(G4988="",G4988="?"),"",IFERROR(INDEX(Pubs!$C$2:$C$3001,MATCH(G4988,Pubs!$A$2:$A$3001,0))&amp;"",""))</f>
        <v/>
      </c>
      <c r="J4988" s="27" t="str">
        <f aca="false">IF(OR(G4988="",G4988="?"),"",IFERROR(INDEX(Pubs!$G$2:$G$3001,MATCH(G4988,Pubs!$A$2:$A$3001,0))&amp;"",""))</f>
        <v/>
      </c>
      <c r="K4988" s="28" t="str">
        <f aca="false">IF(OR(G4988="",G4988="?"),"",IFERROR(INDEX(Pubs!$E$2:$E$3001,MATCH(G4988,Pubs!$A$2:$A$3001,0)),""))</f>
        <v/>
      </c>
      <c r="L4988" s="29" t="str">
        <f aca="false">IF(A4988="","",IFERROR(1/(1/INDEX(Numéros!$C$2:$C$3001,MATCH(A4988&amp;"|"&amp;B4988,Numéros!$F$2:$F$3001,0))),""))</f>
        <v/>
      </c>
      <c r="M4988" s="27" t="str">
        <f aca="false">IF(OR(G4988="",G4988="?"),"",IFERROR(INDEX(Pubs!$D$2:$D$3001,MATCH(G4988,Pubs!$A$2:$A$3001,0))&amp;"",""))</f>
        <v/>
      </c>
      <c r="N4988" s="27" t="n">
        <f aca="false">N(N4987)+IF(AND(A4988&lt;&gt;"",OR(Recherche!$C$4="",A4988=Recherche!$C$4),OR(Recherche!$C$5="",B4988&amp;""=Recherche!$C$5&amp;""),OR(Recherche!$C$6="",IFERROR(YEAR(L4988),0)=Recherche!$C$6),OR(Recherche!$C$7="",ISNUMBER(SEARCH(Recherche!$C$7,H4988))),OR(Recherche!$C$8="",J4988=Recherche!$C$8),OR(Recherche!$C$9="",I4988=Recherche!$C$9),OR(Recherche!$C$10="",G4988&amp;""=Recherche!$C$10&amp;""),OR(Recherche!$C$11="",E4988=Recherche!$C$11),OR(Recherche!$C$12="",ISNUMBER(SEARCH(Recherche!$C$12,M4988&amp;" "&amp;F4988)))),1,0)</f>
        <v>8</v>
      </c>
    </row>
    <row r="4989" customFormat="false" ht="15" hidden="false" customHeight="false" outlineLevel="0" collapsed="false">
      <c r="A4989" s="19"/>
      <c r="B4989" s="19"/>
      <c r="C4989" s="19"/>
      <c r="D4989" s="19"/>
      <c r="E4989" s="22"/>
      <c r="F4989" s="19"/>
      <c r="G4989" s="26" t="str">
        <f aca="false">IF(D4989="","",IFERROR(VALUE(LEFT(D4989,FIND(" |",D4989&amp;" |")-1)),"?"))</f>
        <v/>
      </c>
      <c r="H4989" s="27" t="str">
        <f aca="false">IF(G4989="","",IF(G4989="?","⚠ pub inconnue",IFERROR(INDEX(Pubs!$B$2:$B$3001,MATCH(G4989,Pubs!$A$2:$A$3001,0))&amp;"","⚠ pub inconnue")))</f>
        <v/>
      </c>
      <c r="I4989" s="27" t="str">
        <f aca="false">IF(OR(G4989="",G4989="?"),"",IFERROR(INDEX(Pubs!$C$2:$C$3001,MATCH(G4989,Pubs!$A$2:$A$3001,0))&amp;"",""))</f>
        <v/>
      </c>
      <c r="J4989" s="27" t="str">
        <f aca="false">IF(OR(G4989="",G4989="?"),"",IFERROR(INDEX(Pubs!$G$2:$G$3001,MATCH(G4989,Pubs!$A$2:$A$3001,0))&amp;"",""))</f>
        <v/>
      </c>
      <c r="K4989" s="28" t="str">
        <f aca="false">IF(OR(G4989="",G4989="?"),"",IFERROR(INDEX(Pubs!$E$2:$E$3001,MATCH(G4989,Pubs!$A$2:$A$3001,0)),""))</f>
        <v/>
      </c>
      <c r="L4989" s="29" t="str">
        <f aca="false">IF(A4989="","",IFERROR(1/(1/INDEX(Numéros!$C$2:$C$3001,MATCH(A4989&amp;"|"&amp;B4989,Numéros!$F$2:$F$3001,0))),""))</f>
        <v/>
      </c>
      <c r="M4989" s="27" t="str">
        <f aca="false">IF(OR(G4989="",G4989="?"),"",IFERROR(INDEX(Pubs!$D$2:$D$3001,MATCH(G4989,Pubs!$A$2:$A$3001,0))&amp;"",""))</f>
        <v/>
      </c>
      <c r="N4989" s="27" t="n">
        <f aca="false">N(N4988)+IF(AND(A4989&lt;&gt;"",OR(Recherche!$C$4="",A4989=Recherche!$C$4),OR(Recherche!$C$5="",B4989&amp;""=Recherche!$C$5&amp;""),OR(Recherche!$C$6="",IFERROR(YEAR(L4989),0)=Recherche!$C$6),OR(Recherche!$C$7="",ISNUMBER(SEARCH(Recherche!$C$7,H4989))),OR(Recherche!$C$8="",J4989=Recherche!$C$8),OR(Recherche!$C$9="",I4989=Recherche!$C$9),OR(Recherche!$C$10="",G4989&amp;""=Recherche!$C$10&amp;""),OR(Recherche!$C$11="",E4989=Recherche!$C$11),OR(Recherche!$C$12="",ISNUMBER(SEARCH(Recherche!$C$12,M4989&amp;" "&amp;F4989)))),1,0)</f>
        <v>8</v>
      </c>
    </row>
    <row r="4990" customFormat="false" ht="15" hidden="false" customHeight="false" outlineLevel="0" collapsed="false">
      <c r="A4990" s="19"/>
      <c r="B4990" s="19"/>
      <c r="C4990" s="19"/>
      <c r="D4990" s="19"/>
      <c r="E4990" s="22"/>
      <c r="F4990" s="19"/>
      <c r="G4990" s="26" t="str">
        <f aca="false">IF(D4990="","",IFERROR(VALUE(LEFT(D4990,FIND(" |",D4990&amp;" |")-1)),"?"))</f>
        <v/>
      </c>
      <c r="H4990" s="27" t="str">
        <f aca="false">IF(G4990="","",IF(G4990="?","⚠ pub inconnue",IFERROR(INDEX(Pubs!$B$2:$B$3001,MATCH(G4990,Pubs!$A$2:$A$3001,0))&amp;"","⚠ pub inconnue")))</f>
        <v/>
      </c>
      <c r="I4990" s="27" t="str">
        <f aca="false">IF(OR(G4990="",G4990="?"),"",IFERROR(INDEX(Pubs!$C$2:$C$3001,MATCH(G4990,Pubs!$A$2:$A$3001,0))&amp;"",""))</f>
        <v/>
      </c>
      <c r="J4990" s="27" t="str">
        <f aca="false">IF(OR(G4990="",G4990="?"),"",IFERROR(INDEX(Pubs!$G$2:$G$3001,MATCH(G4990,Pubs!$A$2:$A$3001,0))&amp;"",""))</f>
        <v/>
      </c>
      <c r="K4990" s="28" t="str">
        <f aca="false">IF(OR(G4990="",G4990="?"),"",IFERROR(INDEX(Pubs!$E$2:$E$3001,MATCH(G4990,Pubs!$A$2:$A$3001,0)),""))</f>
        <v/>
      </c>
      <c r="L4990" s="29" t="str">
        <f aca="false">IF(A4990="","",IFERROR(1/(1/INDEX(Numéros!$C$2:$C$3001,MATCH(A4990&amp;"|"&amp;B4990,Numéros!$F$2:$F$3001,0))),""))</f>
        <v/>
      </c>
      <c r="M4990" s="27" t="str">
        <f aca="false">IF(OR(G4990="",G4990="?"),"",IFERROR(INDEX(Pubs!$D$2:$D$3001,MATCH(G4990,Pubs!$A$2:$A$3001,0))&amp;"",""))</f>
        <v/>
      </c>
      <c r="N4990" s="27" t="n">
        <f aca="false">N(N4989)+IF(AND(A4990&lt;&gt;"",OR(Recherche!$C$4="",A4990=Recherche!$C$4),OR(Recherche!$C$5="",B4990&amp;""=Recherche!$C$5&amp;""),OR(Recherche!$C$6="",IFERROR(YEAR(L4990),0)=Recherche!$C$6),OR(Recherche!$C$7="",ISNUMBER(SEARCH(Recherche!$C$7,H4990))),OR(Recherche!$C$8="",J4990=Recherche!$C$8),OR(Recherche!$C$9="",I4990=Recherche!$C$9),OR(Recherche!$C$10="",G4990&amp;""=Recherche!$C$10&amp;""),OR(Recherche!$C$11="",E4990=Recherche!$C$11),OR(Recherche!$C$12="",ISNUMBER(SEARCH(Recherche!$C$12,M4990&amp;" "&amp;F4990)))),1,0)</f>
        <v>8</v>
      </c>
    </row>
    <row r="4991" customFormat="false" ht="15" hidden="false" customHeight="false" outlineLevel="0" collapsed="false">
      <c r="A4991" s="19"/>
      <c r="B4991" s="19"/>
      <c r="C4991" s="19"/>
      <c r="D4991" s="19"/>
      <c r="E4991" s="22"/>
      <c r="F4991" s="19"/>
      <c r="G4991" s="26" t="str">
        <f aca="false">IF(D4991="","",IFERROR(VALUE(LEFT(D4991,FIND(" |",D4991&amp;" |")-1)),"?"))</f>
        <v/>
      </c>
      <c r="H4991" s="27" t="str">
        <f aca="false">IF(G4991="","",IF(G4991="?","⚠ pub inconnue",IFERROR(INDEX(Pubs!$B$2:$B$3001,MATCH(G4991,Pubs!$A$2:$A$3001,0))&amp;"","⚠ pub inconnue")))</f>
        <v/>
      </c>
      <c r="I4991" s="27" t="str">
        <f aca="false">IF(OR(G4991="",G4991="?"),"",IFERROR(INDEX(Pubs!$C$2:$C$3001,MATCH(G4991,Pubs!$A$2:$A$3001,0))&amp;"",""))</f>
        <v/>
      </c>
      <c r="J4991" s="27" t="str">
        <f aca="false">IF(OR(G4991="",G4991="?"),"",IFERROR(INDEX(Pubs!$G$2:$G$3001,MATCH(G4991,Pubs!$A$2:$A$3001,0))&amp;"",""))</f>
        <v/>
      </c>
      <c r="K4991" s="28" t="str">
        <f aca="false">IF(OR(G4991="",G4991="?"),"",IFERROR(INDEX(Pubs!$E$2:$E$3001,MATCH(G4991,Pubs!$A$2:$A$3001,0)),""))</f>
        <v/>
      </c>
      <c r="L4991" s="29" t="str">
        <f aca="false">IF(A4991="","",IFERROR(1/(1/INDEX(Numéros!$C$2:$C$3001,MATCH(A4991&amp;"|"&amp;B4991,Numéros!$F$2:$F$3001,0))),""))</f>
        <v/>
      </c>
      <c r="M4991" s="27" t="str">
        <f aca="false">IF(OR(G4991="",G4991="?"),"",IFERROR(INDEX(Pubs!$D$2:$D$3001,MATCH(G4991,Pubs!$A$2:$A$3001,0))&amp;"",""))</f>
        <v/>
      </c>
      <c r="N4991" s="27" t="n">
        <f aca="false">N(N4990)+IF(AND(A4991&lt;&gt;"",OR(Recherche!$C$4="",A4991=Recherche!$C$4),OR(Recherche!$C$5="",B4991&amp;""=Recherche!$C$5&amp;""),OR(Recherche!$C$6="",IFERROR(YEAR(L4991),0)=Recherche!$C$6),OR(Recherche!$C$7="",ISNUMBER(SEARCH(Recherche!$C$7,H4991))),OR(Recherche!$C$8="",J4991=Recherche!$C$8),OR(Recherche!$C$9="",I4991=Recherche!$C$9),OR(Recherche!$C$10="",G4991&amp;""=Recherche!$C$10&amp;""),OR(Recherche!$C$11="",E4991=Recherche!$C$11),OR(Recherche!$C$12="",ISNUMBER(SEARCH(Recherche!$C$12,M4991&amp;" "&amp;F4991)))),1,0)</f>
        <v>8</v>
      </c>
    </row>
    <row r="4992" customFormat="false" ht="15" hidden="false" customHeight="false" outlineLevel="0" collapsed="false">
      <c r="A4992" s="19"/>
      <c r="B4992" s="19"/>
      <c r="C4992" s="19"/>
      <c r="D4992" s="19"/>
      <c r="E4992" s="22"/>
      <c r="F4992" s="19"/>
      <c r="G4992" s="26" t="str">
        <f aca="false">IF(D4992="","",IFERROR(VALUE(LEFT(D4992,FIND(" |",D4992&amp;" |")-1)),"?"))</f>
        <v/>
      </c>
      <c r="H4992" s="27" t="str">
        <f aca="false">IF(G4992="","",IF(G4992="?","⚠ pub inconnue",IFERROR(INDEX(Pubs!$B$2:$B$3001,MATCH(G4992,Pubs!$A$2:$A$3001,0))&amp;"","⚠ pub inconnue")))</f>
        <v/>
      </c>
      <c r="I4992" s="27" t="str">
        <f aca="false">IF(OR(G4992="",G4992="?"),"",IFERROR(INDEX(Pubs!$C$2:$C$3001,MATCH(G4992,Pubs!$A$2:$A$3001,0))&amp;"",""))</f>
        <v/>
      </c>
      <c r="J4992" s="27" t="str">
        <f aca="false">IF(OR(G4992="",G4992="?"),"",IFERROR(INDEX(Pubs!$G$2:$G$3001,MATCH(G4992,Pubs!$A$2:$A$3001,0))&amp;"",""))</f>
        <v/>
      </c>
      <c r="K4992" s="28" t="str">
        <f aca="false">IF(OR(G4992="",G4992="?"),"",IFERROR(INDEX(Pubs!$E$2:$E$3001,MATCH(G4992,Pubs!$A$2:$A$3001,0)),""))</f>
        <v/>
      </c>
      <c r="L4992" s="29" t="str">
        <f aca="false">IF(A4992="","",IFERROR(1/(1/INDEX(Numéros!$C$2:$C$3001,MATCH(A4992&amp;"|"&amp;B4992,Numéros!$F$2:$F$3001,0))),""))</f>
        <v/>
      </c>
      <c r="M4992" s="27" t="str">
        <f aca="false">IF(OR(G4992="",G4992="?"),"",IFERROR(INDEX(Pubs!$D$2:$D$3001,MATCH(G4992,Pubs!$A$2:$A$3001,0))&amp;"",""))</f>
        <v/>
      </c>
      <c r="N4992" s="27" t="n">
        <f aca="false">N(N4991)+IF(AND(A4992&lt;&gt;"",OR(Recherche!$C$4="",A4992=Recherche!$C$4),OR(Recherche!$C$5="",B4992&amp;""=Recherche!$C$5&amp;""),OR(Recherche!$C$6="",IFERROR(YEAR(L4992),0)=Recherche!$C$6),OR(Recherche!$C$7="",ISNUMBER(SEARCH(Recherche!$C$7,H4992))),OR(Recherche!$C$8="",J4992=Recherche!$C$8),OR(Recherche!$C$9="",I4992=Recherche!$C$9),OR(Recherche!$C$10="",G4992&amp;""=Recherche!$C$10&amp;""),OR(Recherche!$C$11="",E4992=Recherche!$C$11),OR(Recherche!$C$12="",ISNUMBER(SEARCH(Recherche!$C$12,M4992&amp;" "&amp;F4992)))),1,0)</f>
        <v>8</v>
      </c>
    </row>
    <row r="4993" customFormat="false" ht="15" hidden="false" customHeight="false" outlineLevel="0" collapsed="false">
      <c r="A4993" s="19"/>
      <c r="B4993" s="19"/>
      <c r="C4993" s="19"/>
      <c r="D4993" s="19"/>
      <c r="E4993" s="22"/>
      <c r="F4993" s="19"/>
      <c r="G4993" s="26" t="str">
        <f aca="false">IF(D4993="","",IFERROR(VALUE(LEFT(D4993,FIND(" |",D4993&amp;" |")-1)),"?"))</f>
        <v/>
      </c>
      <c r="H4993" s="27" t="str">
        <f aca="false">IF(G4993="","",IF(G4993="?","⚠ pub inconnue",IFERROR(INDEX(Pubs!$B$2:$B$3001,MATCH(G4993,Pubs!$A$2:$A$3001,0))&amp;"","⚠ pub inconnue")))</f>
        <v/>
      </c>
      <c r="I4993" s="27" t="str">
        <f aca="false">IF(OR(G4993="",G4993="?"),"",IFERROR(INDEX(Pubs!$C$2:$C$3001,MATCH(G4993,Pubs!$A$2:$A$3001,0))&amp;"",""))</f>
        <v/>
      </c>
      <c r="J4993" s="27" t="str">
        <f aca="false">IF(OR(G4993="",G4993="?"),"",IFERROR(INDEX(Pubs!$G$2:$G$3001,MATCH(G4993,Pubs!$A$2:$A$3001,0))&amp;"",""))</f>
        <v/>
      </c>
      <c r="K4993" s="28" t="str">
        <f aca="false">IF(OR(G4993="",G4993="?"),"",IFERROR(INDEX(Pubs!$E$2:$E$3001,MATCH(G4993,Pubs!$A$2:$A$3001,0)),""))</f>
        <v/>
      </c>
      <c r="L4993" s="29" t="str">
        <f aca="false">IF(A4993="","",IFERROR(1/(1/INDEX(Numéros!$C$2:$C$3001,MATCH(A4993&amp;"|"&amp;B4993,Numéros!$F$2:$F$3001,0))),""))</f>
        <v/>
      </c>
      <c r="M4993" s="27" t="str">
        <f aca="false">IF(OR(G4993="",G4993="?"),"",IFERROR(INDEX(Pubs!$D$2:$D$3001,MATCH(G4993,Pubs!$A$2:$A$3001,0))&amp;"",""))</f>
        <v/>
      </c>
      <c r="N4993" s="27" t="n">
        <f aca="false">N(N4992)+IF(AND(A4993&lt;&gt;"",OR(Recherche!$C$4="",A4993=Recherche!$C$4),OR(Recherche!$C$5="",B4993&amp;""=Recherche!$C$5&amp;""),OR(Recherche!$C$6="",IFERROR(YEAR(L4993),0)=Recherche!$C$6),OR(Recherche!$C$7="",ISNUMBER(SEARCH(Recherche!$C$7,H4993))),OR(Recherche!$C$8="",J4993=Recherche!$C$8),OR(Recherche!$C$9="",I4993=Recherche!$C$9),OR(Recherche!$C$10="",G4993&amp;""=Recherche!$C$10&amp;""),OR(Recherche!$C$11="",E4993=Recherche!$C$11),OR(Recherche!$C$12="",ISNUMBER(SEARCH(Recherche!$C$12,M4993&amp;" "&amp;F4993)))),1,0)</f>
        <v>8</v>
      </c>
    </row>
    <row r="4994" customFormat="false" ht="15" hidden="false" customHeight="false" outlineLevel="0" collapsed="false">
      <c r="A4994" s="19"/>
      <c r="B4994" s="19"/>
      <c r="C4994" s="19"/>
      <c r="D4994" s="19"/>
      <c r="E4994" s="22"/>
      <c r="F4994" s="19"/>
      <c r="G4994" s="26" t="str">
        <f aca="false">IF(D4994="","",IFERROR(VALUE(LEFT(D4994,FIND(" |",D4994&amp;" |")-1)),"?"))</f>
        <v/>
      </c>
      <c r="H4994" s="27" t="str">
        <f aca="false">IF(G4994="","",IF(G4994="?","⚠ pub inconnue",IFERROR(INDEX(Pubs!$B$2:$B$3001,MATCH(G4994,Pubs!$A$2:$A$3001,0))&amp;"","⚠ pub inconnue")))</f>
        <v/>
      </c>
      <c r="I4994" s="27" t="str">
        <f aca="false">IF(OR(G4994="",G4994="?"),"",IFERROR(INDEX(Pubs!$C$2:$C$3001,MATCH(G4994,Pubs!$A$2:$A$3001,0))&amp;"",""))</f>
        <v/>
      </c>
      <c r="J4994" s="27" t="str">
        <f aca="false">IF(OR(G4994="",G4994="?"),"",IFERROR(INDEX(Pubs!$G$2:$G$3001,MATCH(G4994,Pubs!$A$2:$A$3001,0))&amp;"",""))</f>
        <v/>
      </c>
      <c r="K4994" s="28" t="str">
        <f aca="false">IF(OR(G4994="",G4994="?"),"",IFERROR(INDEX(Pubs!$E$2:$E$3001,MATCH(G4994,Pubs!$A$2:$A$3001,0)),""))</f>
        <v/>
      </c>
      <c r="L4994" s="29" t="str">
        <f aca="false">IF(A4994="","",IFERROR(1/(1/INDEX(Numéros!$C$2:$C$3001,MATCH(A4994&amp;"|"&amp;B4994,Numéros!$F$2:$F$3001,0))),""))</f>
        <v/>
      </c>
      <c r="M4994" s="27" t="str">
        <f aca="false">IF(OR(G4994="",G4994="?"),"",IFERROR(INDEX(Pubs!$D$2:$D$3001,MATCH(G4994,Pubs!$A$2:$A$3001,0))&amp;"",""))</f>
        <v/>
      </c>
      <c r="N4994" s="27" t="n">
        <f aca="false">N(N4993)+IF(AND(A4994&lt;&gt;"",OR(Recherche!$C$4="",A4994=Recherche!$C$4),OR(Recherche!$C$5="",B4994&amp;""=Recherche!$C$5&amp;""),OR(Recherche!$C$6="",IFERROR(YEAR(L4994),0)=Recherche!$C$6),OR(Recherche!$C$7="",ISNUMBER(SEARCH(Recherche!$C$7,H4994))),OR(Recherche!$C$8="",J4994=Recherche!$C$8),OR(Recherche!$C$9="",I4994=Recherche!$C$9),OR(Recherche!$C$10="",G4994&amp;""=Recherche!$C$10&amp;""),OR(Recherche!$C$11="",E4994=Recherche!$C$11),OR(Recherche!$C$12="",ISNUMBER(SEARCH(Recherche!$C$12,M4994&amp;" "&amp;F4994)))),1,0)</f>
        <v>8</v>
      </c>
    </row>
    <row r="4995" customFormat="false" ht="15" hidden="false" customHeight="false" outlineLevel="0" collapsed="false">
      <c r="A4995" s="19"/>
      <c r="B4995" s="19"/>
      <c r="C4995" s="19"/>
      <c r="D4995" s="19"/>
      <c r="E4995" s="22"/>
      <c r="F4995" s="19"/>
      <c r="G4995" s="26" t="str">
        <f aca="false">IF(D4995="","",IFERROR(VALUE(LEFT(D4995,FIND(" |",D4995&amp;" |")-1)),"?"))</f>
        <v/>
      </c>
      <c r="H4995" s="27" t="str">
        <f aca="false">IF(G4995="","",IF(G4995="?","⚠ pub inconnue",IFERROR(INDEX(Pubs!$B$2:$B$3001,MATCH(G4995,Pubs!$A$2:$A$3001,0))&amp;"","⚠ pub inconnue")))</f>
        <v/>
      </c>
      <c r="I4995" s="27" t="str">
        <f aca="false">IF(OR(G4995="",G4995="?"),"",IFERROR(INDEX(Pubs!$C$2:$C$3001,MATCH(G4995,Pubs!$A$2:$A$3001,0))&amp;"",""))</f>
        <v/>
      </c>
      <c r="J4995" s="27" t="str">
        <f aca="false">IF(OR(G4995="",G4995="?"),"",IFERROR(INDEX(Pubs!$G$2:$G$3001,MATCH(G4995,Pubs!$A$2:$A$3001,0))&amp;"",""))</f>
        <v/>
      </c>
      <c r="K4995" s="28" t="str">
        <f aca="false">IF(OR(G4995="",G4995="?"),"",IFERROR(INDEX(Pubs!$E$2:$E$3001,MATCH(G4995,Pubs!$A$2:$A$3001,0)),""))</f>
        <v/>
      </c>
      <c r="L4995" s="29" t="str">
        <f aca="false">IF(A4995="","",IFERROR(1/(1/INDEX(Numéros!$C$2:$C$3001,MATCH(A4995&amp;"|"&amp;B4995,Numéros!$F$2:$F$3001,0))),""))</f>
        <v/>
      </c>
      <c r="M4995" s="27" t="str">
        <f aca="false">IF(OR(G4995="",G4995="?"),"",IFERROR(INDEX(Pubs!$D$2:$D$3001,MATCH(G4995,Pubs!$A$2:$A$3001,0))&amp;"",""))</f>
        <v/>
      </c>
      <c r="N4995" s="27" t="n">
        <f aca="false">N(N4994)+IF(AND(A4995&lt;&gt;"",OR(Recherche!$C$4="",A4995=Recherche!$C$4),OR(Recherche!$C$5="",B4995&amp;""=Recherche!$C$5&amp;""),OR(Recherche!$C$6="",IFERROR(YEAR(L4995),0)=Recherche!$C$6),OR(Recherche!$C$7="",ISNUMBER(SEARCH(Recherche!$C$7,H4995))),OR(Recherche!$C$8="",J4995=Recherche!$C$8),OR(Recherche!$C$9="",I4995=Recherche!$C$9),OR(Recherche!$C$10="",G4995&amp;""=Recherche!$C$10&amp;""),OR(Recherche!$C$11="",E4995=Recherche!$C$11),OR(Recherche!$C$12="",ISNUMBER(SEARCH(Recherche!$C$12,M4995&amp;" "&amp;F4995)))),1,0)</f>
        <v>8</v>
      </c>
    </row>
    <row r="4996" customFormat="false" ht="15" hidden="false" customHeight="false" outlineLevel="0" collapsed="false">
      <c r="A4996" s="19"/>
      <c r="B4996" s="19"/>
      <c r="C4996" s="19"/>
      <c r="D4996" s="19"/>
      <c r="E4996" s="22"/>
      <c r="F4996" s="19"/>
      <c r="G4996" s="26" t="str">
        <f aca="false">IF(D4996="","",IFERROR(VALUE(LEFT(D4996,FIND(" |",D4996&amp;" |")-1)),"?"))</f>
        <v/>
      </c>
      <c r="H4996" s="27" t="str">
        <f aca="false">IF(G4996="","",IF(G4996="?","⚠ pub inconnue",IFERROR(INDEX(Pubs!$B$2:$B$3001,MATCH(G4996,Pubs!$A$2:$A$3001,0))&amp;"","⚠ pub inconnue")))</f>
        <v/>
      </c>
      <c r="I4996" s="27" t="str">
        <f aca="false">IF(OR(G4996="",G4996="?"),"",IFERROR(INDEX(Pubs!$C$2:$C$3001,MATCH(G4996,Pubs!$A$2:$A$3001,0))&amp;"",""))</f>
        <v/>
      </c>
      <c r="J4996" s="27" t="str">
        <f aca="false">IF(OR(G4996="",G4996="?"),"",IFERROR(INDEX(Pubs!$G$2:$G$3001,MATCH(G4996,Pubs!$A$2:$A$3001,0))&amp;"",""))</f>
        <v/>
      </c>
      <c r="K4996" s="28" t="str">
        <f aca="false">IF(OR(G4996="",G4996="?"),"",IFERROR(INDEX(Pubs!$E$2:$E$3001,MATCH(G4996,Pubs!$A$2:$A$3001,0)),""))</f>
        <v/>
      </c>
      <c r="L4996" s="29" t="str">
        <f aca="false">IF(A4996="","",IFERROR(1/(1/INDEX(Numéros!$C$2:$C$3001,MATCH(A4996&amp;"|"&amp;B4996,Numéros!$F$2:$F$3001,0))),""))</f>
        <v/>
      </c>
      <c r="M4996" s="27" t="str">
        <f aca="false">IF(OR(G4996="",G4996="?"),"",IFERROR(INDEX(Pubs!$D$2:$D$3001,MATCH(G4996,Pubs!$A$2:$A$3001,0))&amp;"",""))</f>
        <v/>
      </c>
      <c r="N4996" s="27" t="n">
        <f aca="false">N(N4995)+IF(AND(A4996&lt;&gt;"",OR(Recherche!$C$4="",A4996=Recherche!$C$4),OR(Recherche!$C$5="",B4996&amp;""=Recherche!$C$5&amp;""),OR(Recherche!$C$6="",IFERROR(YEAR(L4996),0)=Recherche!$C$6),OR(Recherche!$C$7="",ISNUMBER(SEARCH(Recherche!$C$7,H4996))),OR(Recherche!$C$8="",J4996=Recherche!$C$8),OR(Recherche!$C$9="",I4996=Recherche!$C$9),OR(Recherche!$C$10="",G4996&amp;""=Recherche!$C$10&amp;""),OR(Recherche!$C$11="",E4996=Recherche!$C$11),OR(Recherche!$C$12="",ISNUMBER(SEARCH(Recherche!$C$12,M4996&amp;" "&amp;F4996)))),1,0)</f>
        <v>8</v>
      </c>
    </row>
    <row r="4997" customFormat="false" ht="15" hidden="false" customHeight="false" outlineLevel="0" collapsed="false">
      <c r="A4997" s="19"/>
      <c r="B4997" s="19"/>
      <c r="C4997" s="19"/>
      <c r="D4997" s="19"/>
      <c r="E4997" s="22"/>
      <c r="F4997" s="19"/>
      <c r="G4997" s="26" t="str">
        <f aca="false">IF(D4997="","",IFERROR(VALUE(LEFT(D4997,FIND(" |",D4997&amp;" |")-1)),"?"))</f>
        <v/>
      </c>
      <c r="H4997" s="27" t="str">
        <f aca="false">IF(G4997="","",IF(G4997="?","⚠ pub inconnue",IFERROR(INDEX(Pubs!$B$2:$B$3001,MATCH(G4997,Pubs!$A$2:$A$3001,0))&amp;"","⚠ pub inconnue")))</f>
        <v/>
      </c>
      <c r="I4997" s="27" t="str">
        <f aca="false">IF(OR(G4997="",G4997="?"),"",IFERROR(INDEX(Pubs!$C$2:$C$3001,MATCH(G4997,Pubs!$A$2:$A$3001,0))&amp;"",""))</f>
        <v/>
      </c>
      <c r="J4997" s="27" t="str">
        <f aca="false">IF(OR(G4997="",G4997="?"),"",IFERROR(INDEX(Pubs!$G$2:$G$3001,MATCH(G4997,Pubs!$A$2:$A$3001,0))&amp;"",""))</f>
        <v/>
      </c>
      <c r="K4997" s="28" t="str">
        <f aca="false">IF(OR(G4997="",G4997="?"),"",IFERROR(INDEX(Pubs!$E$2:$E$3001,MATCH(G4997,Pubs!$A$2:$A$3001,0)),""))</f>
        <v/>
      </c>
      <c r="L4997" s="29" t="str">
        <f aca="false">IF(A4997="","",IFERROR(1/(1/INDEX(Numéros!$C$2:$C$3001,MATCH(A4997&amp;"|"&amp;B4997,Numéros!$F$2:$F$3001,0))),""))</f>
        <v/>
      </c>
      <c r="M4997" s="27" t="str">
        <f aca="false">IF(OR(G4997="",G4997="?"),"",IFERROR(INDEX(Pubs!$D$2:$D$3001,MATCH(G4997,Pubs!$A$2:$A$3001,0))&amp;"",""))</f>
        <v/>
      </c>
      <c r="N4997" s="27" t="n">
        <f aca="false">N(N4996)+IF(AND(A4997&lt;&gt;"",OR(Recherche!$C$4="",A4997=Recherche!$C$4),OR(Recherche!$C$5="",B4997&amp;""=Recherche!$C$5&amp;""),OR(Recherche!$C$6="",IFERROR(YEAR(L4997),0)=Recherche!$C$6),OR(Recherche!$C$7="",ISNUMBER(SEARCH(Recherche!$C$7,H4997))),OR(Recherche!$C$8="",J4997=Recherche!$C$8),OR(Recherche!$C$9="",I4997=Recherche!$C$9),OR(Recherche!$C$10="",G4997&amp;""=Recherche!$C$10&amp;""),OR(Recherche!$C$11="",E4997=Recherche!$C$11),OR(Recherche!$C$12="",ISNUMBER(SEARCH(Recherche!$C$12,M4997&amp;" "&amp;F4997)))),1,0)</f>
        <v>8</v>
      </c>
    </row>
    <row r="4998" customFormat="false" ht="15" hidden="false" customHeight="false" outlineLevel="0" collapsed="false">
      <c r="A4998" s="19"/>
      <c r="B4998" s="19"/>
      <c r="C4998" s="19"/>
      <c r="D4998" s="19"/>
      <c r="E4998" s="22"/>
      <c r="F4998" s="19"/>
      <c r="G4998" s="26" t="str">
        <f aca="false">IF(D4998="","",IFERROR(VALUE(LEFT(D4998,FIND(" |",D4998&amp;" |")-1)),"?"))</f>
        <v/>
      </c>
      <c r="H4998" s="27" t="str">
        <f aca="false">IF(G4998="","",IF(G4998="?","⚠ pub inconnue",IFERROR(INDEX(Pubs!$B$2:$B$3001,MATCH(G4998,Pubs!$A$2:$A$3001,0))&amp;"","⚠ pub inconnue")))</f>
        <v/>
      </c>
      <c r="I4998" s="27" t="str">
        <f aca="false">IF(OR(G4998="",G4998="?"),"",IFERROR(INDEX(Pubs!$C$2:$C$3001,MATCH(G4998,Pubs!$A$2:$A$3001,0))&amp;"",""))</f>
        <v/>
      </c>
      <c r="J4998" s="27" t="str">
        <f aca="false">IF(OR(G4998="",G4998="?"),"",IFERROR(INDEX(Pubs!$G$2:$G$3001,MATCH(G4998,Pubs!$A$2:$A$3001,0))&amp;"",""))</f>
        <v/>
      </c>
      <c r="K4998" s="28" t="str">
        <f aca="false">IF(OR(G4998="",G4998="?"),"",IFERROR(INDEX(Pubs!$E$2:$E$3001,MATCH(G4998,Pubs!$A$2:$A$3001,0)),""))</f>
        <v/>
      </c>
      <c r="L4998" s="29" t="str">
        <f aca="false">IF(A4998="","",IFERROR(1/(1/INDEX(Numéros!$C$2:$C$3001,MATCH(A4998&amp;"|"&amp;B4998,Numéros!$F$2:$F$3001,0))),""))</f>
        <v/>
      </c>
      <c r="M4998" s="27" t="str">
        <f aca="false">IF(OR(G4998="",G4998="?"),"",IFERROR(INDEX(Pubs!$D$2:$D$3001,MATCH(G4998,Pubs!$A$2:$A$3001,0))&amp;"",""))</f>
        <v/>
      </c>
      <c r="N4998" s="27" t="n">
        <f aca="false">N(N4997)+IF(AND(A4998&lt;&gt;"",OR(Recherche!$C$4="",A4998=Recherche!$C$4),OR(Recherche!$C$5="",B4998&amp;""=Recherche!$C$5&amp;""),OR(Recherche!$C$6="",IFERROR(YEAR(L4998),0)=Recherche!$C$6),OR(Recherche!$C$7="",ISNUMBER(SEARCH(Recherche!$C$7,H4998))),OR(Recherche!$C$8="",J4998=Recherche!$C$8),OR(Recherche!$C$9="",I4998=Recherche!$C$9),OR(Recherche!$C$10="",G4998&amp;""=Recherche!$C$10&amp;""),OR(Recherche!$C$11="",E4998=Recherche!$C$11),OR(Recherche!$C$12="",ISNUMBER(SEARCH(Recherche!$C$12,M4998&amp;" "&amp;F4998)))),1,0)</f>
        <v>8</v>
      </c>
    </row>
    <row r="4999" customFormat="false" ht="15" hidden="false" customHeight="false" outlineLevel="0" collapsed="false">
      <c r="A4999" s="19"/>
      <c r="B4999" s="19"/>
      <c r="C4999" s="19"/>
      <c r="D4999" s="19"/>
      <c r="E4999" s="22"/>
      <c r="F4999" s="19"/>
      <c r="G4999" s="26" t="str">
        <f aca="false">IF(D4999="","",IFERROR(VALUE(LEFT(D4999,FIND(" |",D4999&amp;" |")-1)),"?"))</f>
        <v/>
      </c>
      <c r="H4999" s="27" t="str">
        <f aca="false">IF(G4999="","",IF(G4999="?","⚠ pub inconnue",IFERROR(INDEX(Pubs!$B$2:$B$3001,MATCH(G4999,Pubs!$A$2:$A$3001,0))&amp;"","⚠ pub inconnue")))</f>
        <v/>
      </c>
      <c r="I4999" s="27" t="str">
        <f aca="false">IF(OR(G4999="",G4999="?"),"",IFERROR(INDEX(Pubs!$C$2:$C$3001,MATCH(G4999,Pubs!$A$2:$A$3001,0))&amp;"",""))</f>
        <v/>
      </c>
      <c r="J4999" s="27" t="str">
        <f aca="false">IF(OR(G4999="",G4999="?"),"",IFERROR(INDEX(Pubs!$G$2:$G$3001,MATCH(G4999,Pubs!$A$2:$A$3001,0))&amp;"",""))</f>
        <v/>
      </c>
      <c r="K4999" s="28" t="str">
        <f aca="false">IF(OR(G4999="",G4999="?"),"",IFERROR(INDEX(Pubs!$E$2:$E$3001,MATCH(G4999,Pubs!$A$2:$A$3001,0)),""))</f>
        <v/>
      </c>
      <c r="L4999" s="29" t="str">
        <f aca="false">IF(A4999="","",IFERROR(1/(1/INDEX(Numéros!$C$2:$C$3001,MATCH(A4999&amp;"|"&amp;B4999,Numéros!$F$2:$F$3001,0))),""))</f>
        <v/>
      </c>
      <c r="M4999" s="27" t="str">
        <f aca="false">IF(OR(G4999="",G4999="?"),"",IFERROR(INDEX(Pubs!$D$2:$D$3001,MATCH(G4999,Pubs!$A$2:$A$3001,0))&amp;"",""))</f>
        <v/>
      </c>
      <c r="N4999" s="27" t="n">
        <f aca="false">N(N4998)+IF(AND(A4999&lt;&gt;"",OR(Recherche!$C$4="",A4999=Recherche!$C$4),OR(Recherche!$C$5="",B4999&amp;""=Recherche!$C$5&amp;""),OR(Recherche!$C$6="",IFERROR(YEAR(L4999),0)=Recherche!$C$6),OR(Recherche!$C$7="",ISNUMBER(SEARCH(Recherche!$C$7,H4999))),OR(Recherche!$C$8="",J4999=Recherche!$C$8),OR(Recherche!$C$9="",I4999=Recherche!$C$9),OR(Recherche!$C$10="",G4999&amp;""=Recherche!$C$10&amp;""),OR(Recherche!$C$11="",E4999=Recherche!$C$11),OR(Recherche!$C$12="",ISNUMBER(SEARCH(Recherche!$C$12,M4999&amp;" "&amp;F4999)))),1,0)</f>
        <v>8</v>
      </c>
    </row>
    <row r="5000" customFormat="false" ht="15" hidden="false" customHeight="false" outlineLevel="0" collapsed="false">
      <c r="A5000" s="19"/>
      <c r="B5000" s="19"/>
      <c r="C5000" s="19"/>
      <c r="D5000" s="19"/>
      <c r="E5000" s="22"/>
      <c r="F5000" s="19"/>
      <c r="G5000" s="26" t="str">
        <f aca="false">IF(D5000="","",IFERROR(VALUE(LEFT(D5000,FIND(" |",D5000&amp;" |")-1)),"?"))</f>
        <v/>
      </c>
      <c r="H5000" s="27" t="str">
        <f aca="false">IF(G5000="","",IF(G5000="?","⚠ pub inconnue",IFERROR(INDEX(Pubs!$B$2:$B$3001,MATCH(G5000,Pubs!$A$2:$A$3001,0))&amp;"","⚠ pub inconnue")))</f>
        <v/>
      </c>
      <c r="I5000" s="27" t="str">
        <f aca="false">IF(OR(G5000="",G5000="?"),"",IFERROR(INDEX(Pubs!$C$2:$C$3001,MATCH(G5000,Pubs!$A$2:$A$3001,0))&amp;"",""))</f>
        <v/>
      </c>
      <c r="J5000" s="27" t="str">
        <f aca="false">IF(OR(G5000="",G5000="?"),"",IFERROR(INDEX(Pubs!$G$2:$G$3001,MATCH(G5000,Pubs!$A$2:$A$3001,0))&amp;"",""))</f>
        <v/>
      </c>
      <c r="K5000" s="28" t="str">
        <f aca="false">IF(OR(G5000="",G5000="?"),"",IFERROR(INDEX(Pubs!$E$2:$E$3001,MATCH(G5000,Pubs!$A$2:$A$3001,0)),""))</f>
        <v/>
      </c>
      <c r="L5000" s="29" t="str">
        <f aca="false">IF(A5000="","",IFERROR(1/(1/INDEX(Numéros!$C$2:$C$3001,MATCH(A5000&amp;"|"&amp;B5000,Numéros!$F$2:$F$3001,0))),""))</f>
        <v/>
      </c>
      <c r="M5000" s="27" t="str">
        <f aca="false">IF(OR(G5000="",G5000="?"),"",IFERROR(INDEX(Pubs!$D$2:$D$3001,MATCH(G5000,Pubs!$A$2:$A$3001,0))&amp;"",""))</f>
        <v/>
      </c>
      <c r="N5000" s="27" t="n">
        <f aca="false">N(N4999)+IF(AND(A5000&lt;&gt;"",OR(Recherche!$C$4="",A5000=Recherche!$C$4),OR(Recherche!$C$5="",B5000&amp;""=Recherche!$C$5&amp;""),OR(Recherche!$C$6="",IFERROR(YEAR(L5000),0)=Recherche!$C$6),OR(Recherche!$C$7="",ISNUMBER(SEARCH(Recherche!$C$7,H5000))),OR(Recherche!$C$8="",J5000=Recherche!$C$8),OR(Recherche!$C$9="",I5000=Recherche!$C$9),OR(Recherche!$C$10="",G5000&amp;""=Recherche!$C$10&amp;""),OR(Recherche!$C$11="",E5000=Recherche!$C$11),OR(Recherche!$C$12="",ISNUMBER(SEARCH(Recherche!$C$12,M5000&amp;" "&amp;F5000)))),1,0)</f>
        <v>8</v>
      </c>
    </row>
    <row r="5001" customFormat="false" ht="15" hidden="false" customHeight="false" outlineLevel="0" collapsed="false">
      <c r="A5001" s="19"/>
      <c r="B5001" s="19"/>
      <c r="C5001" s="19"/>
      <c r="D5001" s="19"/>
      <c r="E5001" s="22"/>
      <c r="F5001" s="19"/>
      <c r="G5001" s="26" t="str">
        <f aca="false">IF(D5001="","",IFERROR(VALUE(LEFT(D5001,FIND(" |",D5001&amp;" |")-1)),"?"))</f>
        <v/>
      </c>
      <c r="H5001" s="27" t="str">
        <f aca="false">IF(G5001="","",IF(G5001="?","⚠ pub inconnue",IFERROR(INDEX(Pubs!$B$2:$B$3001,MATCH(G5001,Pubs!$A$2:$A$3001,0))&amp;"","⚠ pub inconnue")))</f>
        <v/>
      </c>
      <c r="I5001" s="27" t="str">
        <f aca="false">IF(OR(G5001="",G5001="?"),"",IFERROR(INDEX(Pubs!$C$2:$C$3001,MATCH(G5001,Pubs!$A$2:$A$3001,0))&amp;"",""))</f>
        <v/>
      </c>
      <c r="J5001" s="27" t="str">
        <f aca="false">IF(OR(G5001="",G5001="?"),"",IFERROR(INDEX(Pubs!$G$2:$G$3001,MATCH(G5001,Pubs!$A$2:$A$3001,0))&amp;"",""))</f>
        <v/>
      </c>
      <c r="K5001" s="28" t="str">
        <f aca="false">IF(OR(G5001="",G5001="?"),"",IFERROR(INDEX(Pubs!$E$2:$E$3001,MATCH(G5001,Pubs!$A$2:$A$3001,0)),""))</f>
        <v/>
      </c>
      <c r="L5001" s="29" t="str">
        <f aca="false">IF(A5001="","",IFERROR(1/(1/INDEX(Numéros!$C$2:$C$3001,MATCH(A5001&amp;"|"&amp;B5001,Numéros!$F$2:$F$3001,0))),""))</f>
        <v/>
      </c>
      <c r="M5001" s="27" t="str">
        <f aca="false">IF(OR(G5001="",G5001="?"),"",IFERROR(INDEX(Pubs!$D$2:$D$3001,MATCH(G5001,Pubs!$A$2:$A$3001,0))&amp;"",""))</f>
        <v/>
      </c>
      <c r="N5001" s="27" t="n">
        <f aca="false">N(N5000)+IF(AND(A5001&lt;&gt;"",OR(Recherche!$C$4="",A5001=Recherche!$C$4),OR(Recherche!$C$5="",B5001&amp;""=Recherche!$C$5&amp;""),OR(Recherche!$C$6="",IFERROR(YEAR(L5001),0)=Recherche!$C$6),OR(Recherche!$C$7="",ISNUMBER(SEARCH(Recherche!$C$7,H5001))),OR(Recherche!$C$8="",J5001=Recherche!$C$8),OR(Recherche!$C$9="",I5001=Recherche!$C$9),OR(Recherche!$C$10="",G5001&amp;""=Recherche!$C$10&amp;""),OR(Recherche!$C$11="",E5001=Recherche!$C$11),OR(Recherche!$C$12="",ISNUMBER(SEARCH(Recherche!$C$12,M5001&amp;" "&amp;F5001)))),1,0)</f>
        <v>8</v>
      </c>
    </row>
  </sheetData>
  <autoFilter ref="A1:N5001"/>
  <conditionalFormatting sqref="E2:E5001">
    <cfRule type="expression" priority="2" aboveAverage="0" equalAverage="0" bottom="0" percent="0" rank="0" text="" dxfId="0">
      <formula>E2="○"</formula>
    </cfRule>
    <cfRule type="expression" priority="3" aboveAverage="0" equalAverage="0" bottom="0" percent="0" rank="0" text="" dxfId="1">
      <formula>E2="×"</formula>
    </cfRule>
  </conditionalFormatting>
  <conditionalFormatting sqref="H2:H5001">
    <cfRule type="expression" priority="4" aboveAverage="0" equalAverage="0" bottom="0" percent="0" rank="0" text="" dxfId="9">
      <formula>LEFT(H2,1)="⚠"</formula>
    </cfRule>
  </conditionalFormatting>
  <conditionalFormatting sqref="A2:C5001">
    <cfRule type="expression" priority="5" aboveAverage="0" equalAverage="0" bottom="0" percent="0" rank="0" text="" dxfId="9">
      <formula>AND($A2&lt;&gt;"",$C2&lt;&gt;"",COUNTIFS($A$2:$A$5001,$A2,$B$2:$B$5001,$B2,$C$2:$C$5001,$C2)&gt;1)</formula>
    </cfRule>
  </conditionalFormatting>
  <dataValidations count="3"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A2:A5001" type="list">
      <formula1>L_Magazines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D2:D5001" type="list">
      <formula1>L_Pubs</formula1>
      <formula2>0</formula2>
    </dataValidation>
    <dataValidation allowBlank="true" error="Cette valeur n'existe pas dans la liste. Ajoutez-la d'abord dans l'onglet correspondant." errorStyle="stop" errorTitle="Valeur hors liste" operator="between" showDropDown="false" showErrorMessage="true" showInputMessage="false" sqref="E2:E5001" type="list">
      <formula1>"○,×"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4" min="14" style="0" width="20"/>
  </cols>
  <sheetData>
    <row r="1" customFormat="false" ht="30" hidden="false" customHeight="true" outlineLevel="0" collapsed="false">
      <c r="A1" s="24" t="s">
        <v>106</v>
      </c>
      <c r="B1" s="24" t="s">
        <v>85</v>
      </c>
      <c r="C1" s="24" t="s">
        <v>73</v>
      </c>
      <c r="D1" s="24" t="s">
        <v>107</v>
      </c>
      <c r="E1" s="24" t="s">
        <v>92</v>
      </c>
      <c r="F1" s="24" t="s">
        <v>89</v>
      </c>
      <c r="G1" s="25" t="s">
        <v>71</v>
      </c>
      <c r="H1" s="25" t="s">
        <v>108</v>
      </c>
      <c r="I1" s="25" t="s">
        <v>109</v>
      </c>
      <c r="J1" s="25" t="s">
        <v>110</v>
      </c>
      <c r="K1" s="25" t="s">
        <v>111</v>
      </c>
      <c r="L1" s="25" t="s">
        <v>112</v>
      </c>
      <c r="N1" s="30" t="s">
        <v>113</v>
      </c>
      <c r="O1" s="31" t="n">
        <f aca="false">MAX(Pubs!$A$2:$A$3001)+1</f>
        <v>6</v>
      </c>
    </row>
    <row r="2" customFormat="false" ht="15" hidden="false" customHeight="false" outlineLevel="0" collapsed="false">
      <c r="A2" s="32" t="n">
        <v>1</v>
      </c>
      <c r="B2" s="19" t="s">
        <v>114</v>
      </c>
      <c r="C2" s="19" t="s">
        <v>115</v>
      </c>
      <c r="D2" s="19" t="s">
        <v>116</v>
      </c>
      <c r="E2" s="21" t="n">
        <v>2</v>
      </c>
      <c r="F2" s="19" t="s">
        <v>98</v>
      </c>
      <c r="G2" s="27" t="str">
        <f aca="false">IF(B2="","",IFERROR(INDEX(Jeux!$C$2:$C$3001,MATCH(B2,Jeux!$A$2:$A$3001,0))&amp;"","⚠ jeu inconnu"))</f>
        <v>Final Fantasy</v>
      </c>
      <c r="H2" s="27" t="str">
        <f aca="false">IF(B2="","",IFERROR(INDEX(Jeux!$D$2:$D$3001,MATCH(B2,Jeux!$A$2:$A$3001,0))&amp;"",""))</f>
        <v>Square</v>
      </c>
      <c r="I2" s="26" t="n">
        <f aca="false">IF(A2="","",COUNTIF(Apparitions!$G$2:$G$5001,A2))</f>
        <v>3</v>
      </c>
      <c r="J2" s="26" t="n">
        <f aca="false">IF(A2="","",COUNTIFS(Apparitions!$G$2:$G$5001,A2,Apparitions!$E$2:$E$5001,"○"))</f>
        <v>2</v>
      </c>
      <c r="K2" s="29" t="n">
        <f aca="false">IF(A2="","",IFERROR(1/(1/_xlfn.MINIFS(Apparitions!$L$2:$L$5001,Apparitions!$G$2:$G$5001,A2)),""))</f>
        <v>35433</v>
      </c>
      <c r="L2" s="27" t="str">
        <f aca="false">IF(A2="","",A2&amp;" | "&amp;B2&amp;IF(C2="",""," ("&amp;C2&amp;")")&amp;IF(D2="",""," - "&amp;D2))</f>
        <v>1 | Final Fantasy VII (PlayStation) - Cloud devant Midgar</v>
      </c>
    </row>
    <row r="3" customFormat="false" ht="15" hidden="false" customHeight="false" outlineLevel="0" collapsed="false">
      <c r="A3" s="32" t="n">
        <v>2</v>
      </c>
      <c r="B3" s="19" t="s">
        <v>114</v>
      </c>
      <c r="C3" s="19" t="s">
        <v>115</v>
      </c>
      <c r="D3" s="19" t="s">
        <v>117</v>
      </c>
      <c r="E3" s="21" t="n">
        <v>1</v>
      </c>
      <c r="F3" s="19" t="s">
        <v>98</v>
      </c>
      <c r="G3" s="27" t="str">
        <f aca="false">IF(B3="","",IFERROR(INDEX(Jeux!$C$2:$C$3001,MATCH(B3,Jeux!$A$2:$A$3001,0))&amp;"","⚠ jeu inconnu"))</f>
        <v>Final Fantasy</v>
      </c>
      <c r="H3" s="27" t="str">
        <f aca="false">IF(B3="","",IFERROR(INDEX(Jeux!$D$2:$D$3001,MATCH(B3,Jeux!$A$2:$A$3001,0))&amp;"",""))</f>
        <v>Square</v>
      </c>
      <c r="I3" s="26" t="n">
        <f aca="false">IF(A3="","",COUNTIF(Apparitions!$G$2:$G$5001,A3))</f>
        <v>1</v>
      </c>
      <c r="J3" s="26" t="n">
        <f aca="false">IF(A3="","",COUNTIFS(Apparitions!$G$2:$G$5001,A3,Apparitions!$E$2:$E$5001,"○"))</f>
        <v>1</v>
      </c>
      <c r="K3" s="29" t="n">
        <f aca="false">IF(A3="","",IFERROR(1/(1/_xlfn.MINIFS(Apparitions!$L$2:$L$5001,Apparitions!$G$2:$G$5001,A3)),""))</f>
        <v>35496</v>
      </c>
      <c r="L3" s="27" t="str">
        <f aca="false">IF(A3="","",A3&amp;" | "&amp;B3&amp;IF(C3="",""," ("&amp;C3&amp;")")&amp;IF(D3="",""," - "&amp;D3))</f>
        <v>2 | Final Fantasy VII (PlayStation) - Aerith, fond fleurs</v>
      </c>
    </row>
    <row r="4" customFormat="false" ht="15" hidden="false" customHeight="false" outlineLevel="0" collapsed="false">
      <c r="A4" s="32" t="n">
        <v>3</v>
      </c>
      <c r="B4" s="19" t="s">
        <v>118</v>
      </c>
      <c r="C4" s="19" t="s">
        <v>115</v>
      </c>
      <c r="D4" s="19" t="s">
        <v>119</v>
      </c>
      <c r="E4" s="21" t="n">
        <v>2</v>
      </c>
      <c r="F4" s="19" t="s">
        <v>98</v>
      </c>
      <c r="G4" s="27" t="str">
        <f aca="false">IF(B4="","",IFERROR(INDEX(Jeux!$C$2:$C$3001,MATCH(B4,Jeux!$A$2:$A$3001,0))&amp;"","⚠ jeu inconnu"))</f>
        <v>Biohazard</v>
      </c>
      <c r="H4" s="27" t="str">
        <f aca="false">IF(B4="","",IFERROR(INDEX(Jeux!$D$2:$D$3001,MATCH(B4,Jeux!$A$2:$A$3001,0))&amp;"",""))</f>
        <v>Capcom</v>
      </c>
      <c r="I4" s="26" t="n">
        <f aca="false">IF(A4="","",COUNTIF(Apparitions!$G$2:$G$5001,A4))</f>
        <v>1</v>
      </c>
      <c r="J4" s="26" t="n">
        <f aca="false">IF(A4="","",COUNTIFS(Apparitions!$G$2:$G$5001,A4,Apparitions!$E$2:$E$5001,"○"))</f>
        <v>0</v>
      </c>
      <c r="K4" s="29" t="n">
        <f aca="false">IF(A4="","",IFERROR(1/(1/_xlfn.MINIFS(Apparitions!$L$2:$L$5001,Apparitions!$G$2:$G$5001,A4)),""))</f>
        <v>35440</v>
      </c>
      <c r="L4" s="27" t="str">
        <f aca="false">IF(A4="","",A4&amp;" | "&amp;B4&amp;IF(C4="",""," ("&amp;C4&amp;")")&amp;IF(D4="",""," - "&amp;D4))</f>
        <v>3 | Biohazard 2 (PlayStation) - Leon &amp; Claire</v>
      </c>
    </row>
    <row r="5" customFormat="false" ht="15" hidden="false" customHeight="false" outlineLevel="0" collapsed="false">
      <c r="A5" s="32" t="n">
        <v>4</v>
      </c>
      <c r="B5" s="19" t="s">
        <v>120</v>
      </c>
      <c r="C5" s="19" t="s">
        <v>121</v>
      </c>
      <c r="D5" s="19" t="s">
        <v>122</v>
      </c>
      <c r="E5" s="21" t="n">
        <v>1</v>
      </c>
      <c r="F5" s="19" t="s">
        <v>98</v>
      </c>
      <c r="G5" s="27" t="str">
        <f aca="false">IF(B5="","",IFERROR(INDEX(Jeux!$C$2:$C$3001,MATCH(B5,Jeux!$A$2:$A$3001,0))&amp;"","⚠ jeu inconnu"))</f>
        <v>Sakura Taisen</v>
      </c>
      <c r="H5" s="27" t="str">
        <f aca="false">IF(B5="","",IFERROR(INDEX(Jeux!$D$2:$D$3001,MATCH(B5,Jeux!$A$2:$A$3001,0))&amp;"",""))</f>
        <v>Sega</v>
      </c>
      <c r="I5" s="26" t="n">
        <f aca="false">IF(A5="","",COUNTIF(Apparitions!$G$2:$G$5001,A5))</f>
        <v>2</v>
      </c>
      <c r="J5" s="26" t="n">
        <f aca="false">IF(A5="","",COUNTIFS(Apparitions!$G$2:$G$5001,A5,Apparitions!$E$2:$E$5001,"○"))</f>
        <v>1</v>
      </c>
      <c r="K5" s="29" t="n">
        <f aca="false">IF(A5="","",IFERROR(1/(1/_xlfn.MINIFS(Apparitions!$L$2:$L$5001,Apparitions!$G$2:$G$5001,A5)),""))</f>
        <v>35309</v>
      </c>
      <c r="L5" s="27" t="str">
        <f aca="false">IF(A5="","",A5&amp;" | "&amp;B5&amp;IF(C5="",""," ("&amp;C5&amp;")")&amp;IF(D5="",""," - "&amp;D5))</f>
        <v>4 | Sakura Taisen (Sega Saturn) - Sakura au sabre</v>
      </c>
    </row>
    <row r="6" customFormat="false" ht="15" hidden="false" customHeight="false" outlineLevel="0" collapsed="false">
      <c r="A6" s="32" t="n">
        <v>5</v>
      </c>
      <c r="B6" s="19" t="s">
        <v>123</v>
      </c>
      <c r="C6" s="19" t="s">
        <v>115</v>
      </c>
      <c r="D6" s="19" t="s">
        <v>124</v>
      </c>
      <c r="E6" s="21" t="n">
        <v>2</v>
      </c>
      <c r="F6" s="19" t="s">
        <v>98</v>
      </c>
      <c r="G6" s="27" t="str">
        <f aca="false">IF(B6="","",IFERROR(INDEX(Jeux!$C$2:$C$3001,MATCH(B6,Jeux!$A$2:$A$3001,0))&amp;"","⚠ jeu inconnu"))</f>
        <v>Dragon Quest</v>
      </c>
      <c r="H6" s="27" t="str">
        <f aca="false">IF(B6="","",IFERROR(INDEX(Jeux!$D$2:$D$3001,MATCH(B6,Jeux!$A$2:$A$3001,0))&amp;"",""))</f>
        <v>Enix</v>
      </c>
      <c r="I6" s="26" t="n">
        <f aca="false">IF(A6="","",COUNTIF(Apparitions!$G$2:$G$5001,A6))</f>
        <v>1</v>
      </c>
      <c r="J6" s="26" t="n">
        <f aca="false">IF(A6="","",COUNTIFS(Apparitions!$G$2:$G$5001,A6,Apparitions!$E$2:$E$5001,"○"))</f>
        <v>0</v>
      </c>
      <c r="K6" s="29" t="str">
        <f aca="false">IF(A6="","",IFERROR(1/(1/_xlfn.MINIFS(Apparitions!$L$2:$L$5001,Apparitions!$G$2:$G$5001,A6)),""))</f>
        <v/>
      </c>
      <c r="L6" s="27" t="str">
        <f aca="false">IF(A6="","",A6&amp;" | "&amp;B6&amp;IF(C6="",""," ("&amp;C6&amp;")")&amp;IF(D6="",""," - "&amp;D6))</f>
        <v>5 | Dragon Quest VII (PlayStation) - Logo + illustration</v>
      </c>
    </row>
    <row r="7" customFormat="false" ht="15" hidden="false" customHeight="false" outlineLevel="0" collapsed="false">
      <c r="A7" s="32"/>
      <c r="B7" s="19"/>
      <c r="C7" s="19"/>
      <c r="D7" s="19"/>
      <c r="E7" s="21"/>
      <c r="F7" s="19"/>
      <c r="G7" s="27" t="str">
        <f aca="false">IF(B7="","",IFERROR(INDEX(Jeux!$C$2:$C$3001,MATCH(B7,Jeux!$A$2:$A$3001,0))&amp;"","⚠ jeu inconnu"))</f>
        <v/>
      </c>
      <c r="H7" s="27" t="str">
        <f aca="false">IF(B7="","",IFERROR(INDEX(Jeux!$D$2:$D$3001,MATCH(B7,Jeux!$A$2:$A$3001,0))&amp;"",""))</f>
        <v/>
      </c>
      <c r="I7" s="26" t="str">
        <f aca="false">IF(A7="","",COUNTIF(Apparitions!$G$2:$G$5001,A7))</f>
        <v/>
      </c>
      <c r="J7" s="26" t="str">
        <f aca="false">IF(A7="","",COUNTIFS(Apparitions!$G$2:$G$5001,A7,Apparitions!$E$2:$E$5001,"○"))</f>
        <v/>
      </c>
      <c r="K7" s="29" t="str">
        <f aca="false">IF(A7="","",IFERROR(1/(1/_xlfn.MINIFS(Apparitions!$L$2:$L$5001,Apparitions!$G$2:$G$5001,A7)),""))</f>
        <v/>
      </c>
      <c r="L7" s="27" t="str">
        <f aca="false">IF(A7="","",A7&amp;" | "&amp;B7&amp;IF(C7="",""," ("&amp;C7&amp;")")&amp;IF(D7="",""," - "&amp;D7))</f>
        <v/>
      </c>
    </row>
    <row r="8" customFormat="false" ht="15" hidden="false" customHeight="false" outlineLevel="0" collapsed="false">
      <c r="A8" s="32"/>
      <c r="B8" s="19"/>
      <c r="C8" s="19"/>
      <c r="D8" s="19"/>
      <c r="E8" s="21"/>
      <c r="F8" s="19"/>
      <c r="G8" s="27" t="str">
        <f aca="false">IF(B8="","",IFERROR(INDEX(Jeux!$C$2:$C$3001,MATCH(B8,Jeux!$A$2:$A$3001,0))&amp;"","⚠ jeu inconnu"))</f>
        <v/>
      </c>
      <c r="H8" s="27" t="str">
        <f aca="false">IF(B8="","",IFERROR(INDEX(Jeux!$D$2:$D$3001,MATCH(B8,Jeux!$A$2:$A$3001,0))&amp;"",""))</f>
        <v/>
      </c>
      <c r="I8" s="26" t="str">
        <f aca="false">IF(A8="","",COUNTIF(Apparitions!$G$2:$G$5001,A8))</f>
        <v/>
      </c>
      <c r="J8" s="26" t="str">
        <f aca="false">IF(A8="","",COUNTIFS(Apparitions!$G$2:$G$5001,A8,Apparitions!$E$2:$E$5001,"○"))</f>
        <v/>
      </c>
      <c r="K8" s="29" t="str">
        <f aca="false">IF(A8="","",IFERROR(1/(1/_xlfn.MINIFS(Apparitions!$L$2:$L$5001,Apparitions!$G$2:$G$5001,A8)),""))</f>
        <v/>
      </c>
      <c r="L8" s="27" t="str">
        <f aca="false">IF(A8="","",A8&amp;" | "&amp;B8&amp;IF(C8="",""," ("&amp;C8&amp;")")&amp;IF(D8="",""," - "&amp;D8))</f>
        <v/>
      </c>
    </row>
    <row r="9" customFormat="false" ht="15" hidden="false" customHeight="false" outlineLevel="0" collapsed="false">
      <c r="A9" s="32"/>
      <c r="B9" s="19"/>
      <c r="C9" s="19"/>
      <c r="D9" s="19"/>
      <c r="E9" s="21"/>
      <c r="F9" s="19"/>
      <c r="G9" s="27" t="str">
        <f aca="false">IF(B9="","",IFERROR(INDEX(Jeux!$C$2:$C$3001,MATCH(B9,Jeux!$A$2:$A$3001,0))&amp;"","⚠ jeu inconnu"))</f>
        <v/>
      </c>
      <c r="H9" s="27" t="str">
        <f aca="false">IF(B9="","",IFERROR(INDEX(Jeux!$D$2:$D$3001,MATCH(B9,Jeux!$A$2:$A$3001,0))&amp;"",""))</f>
        <v/>
      </c>
      <c r="I9" s="26" t="str">
        <f aca="false">IF(A9="","",COUNTIF(Apparitions!$G$2:$G$5001,A9))</f>
        <v/>
      </c>
      <c r="J9" s="26" t="str">
        <f aca="false">IF(A9="","",COUNTIFS(Apparitions!$G$2:$G$5001,A9,Apparitions!$E$2:$E$5001,"○"))</f>
        <v/>
      </c>
      <c r="K9" s="29" t="str">
        <f aca="false">IF(A9="","",IFERROR(1/(1/_xlfn.MINIFS(Apparitions!$L$2:$L$5001,Apparitions!$G$2:$G$5001,A9)),""))</f>
        <v/>
      </c>
      <c r="L9" s="27" t="str">
        <f aca="false">IF(A9="","",A9&amp;" | "&amp;B9&amp;IF(C9="",""," ("&amp;C9&amp;")")&amp;IF(D9="",""," - "&amp;D9))</f>
        <v/>
      </c>
    </row>
    <row r="10" customFormat="false" ht="15" hidden="false" customHeight="false" outlineLevel="0" collapsed="false">
      <c r="A10" s="32"/>
      <c r="B10" s="19"/>
      <c r="C10" s="19"/>
      <c r="D10" s="19"/>
      <c r="E10" s="21"/>
      <c r="F10" s="19"/>
      <c r="G10" s="27" t="str">
        <f aca="false">IF(B10="","",IFERROR(INDEX(Jeux!$C$2:$C$3001,MATCH(B10,Jeux!$A$2:$A$3001,0))&amp;"","⚠ jeu inconnu"))</f>
        <v/>
      </c>
      <c r="H10" s="27" t="str">
        <f aca="false">IF(B10="","",IFERROR(INDEX(Jeux!$D$2:$D$3001,MATCH(B10,Jeux!$A$2:$A$3001,0))&amp;"",""))</f>
        <v/>
      </c>
      <c r="I10" s="26" t="str">
        <f aca="false">IF(A10="","",COUNTIF(Apparitions!$G$2:$G$5001,A10))</f>
        <v/>
      </c>
      <c r="J10" s="26" t="str">
        <f aca="false">IF(A10="","",COUNTIFS(Apparitions!$G$2:$G$5001,A10,Apparitions!$E$2:$E$5001,"○"))</f>
        <v/>
      </c>
      <c r="K10" s="29" t="str">
        <f aca="false">IF(A10="","",IFERROR(1/(1/_xlfn.MINIFS(Apparitions!$L$2:$L$5001,Apparitions!$G$2:$G$5001,A10)),""))</f>
        <v/>
      </c>
      <c r="L10" s="27" t="str">
        <f aca="false">IF(A10="","",A10&amp;" | "&amp;B10&amp;IF(C10="",""," ("&amp;C10&amp;")")&amp;IF(D10="",""," - "&amp;D10))</f>
        <v/>
      </c>
    </row>
    <row r="11" customFormat="false" ht="15" hidden="false" customHeight="false" outlineLevel="0" collapsed="false">
      <c r="A11" s="32"/>
      <c r="B11" s="19"/>
      <c r="C11" s="19"/>
      <c r="D11" s="19"/>
      <c r="E11" s="21"/>
      <c r="F11" s="19"/>
      <c r="G11" s="27" t="str">
        <f aca="false">IF(B11="","",IFERROR(INDEX(Jeux!$C$2:$C$3001,MATCH(B11,Jeux!$A$2:$A$3001,0))&amp;"","⚠ jeu inconnu"))</f>
        <v/>
      </c>
      <c r="H11" s="27" t="str">
        <f aca="false">IF(B11="","",IFERROR(INDEX(Jeux!$D$2:$D$3001,MATCH(B11,Jeux!$A$2:$A$3001,0))&amp;"",""))</f>
        <v/>
      </c>
      <c r="I11" s="26" t="str">
        <f aca="false">IF(A11="","",COUNTIF(Apparitions!$G$2:$G$5001,A11))</f>
        <v/>
      </c>
      <c r="J11" s="26" t="str">
        <f aca="false">IF(A11="","",COUNTIFS(Apparitions!$G$2:$G$5001,A11,Apparitions!$E$2:$E$5001,"○"))</f>
        <v/>
      </c>
      <c r="K11" s="29" t="str">
        <f aca="false">IF(A11="","",IFERROR(1/(1/_xlfn.MINIFS(Apparitions!$L$2:$L$5001,Apparitions!$G$2:$G$5001,A11)),""))</f>
        <v/>
      </c>
      <c r="L11" s="27" t="str">
        <f aca="false">IF(A11="","",A11&amp;" | "&amp;B11&amp;IF(C11="",""," ("&amp;C11&amp;")")&amp;IF(D11="",""," - "&amp;D11))</f>
        <v/>
      </c>
    </row>
    <row r="12" customFormat="false" ht="15" hidden="false" customHeight="false" outlineLevel="0" collapsed="false">
      <c r="A12" s="32"/>
      <c r="B12" s="19"/>
      <c r="C12" s="19"/>
      <c r="D12" s="19"/>
      <c r="E12" s="21"/>
      <c r="F12" s="19"/>
      <c r="G12" s="27" t="str">
        <f aca="false">IF(B12="","",IFERROR(INDEX(Jeux!$C$2:$C$3001,MATCH(B12,Jeux!$A$2:$A$3001,0))&amp;"","⚠ jeu inconnu"))</f>
        <v/>
      </c>
      <c r="H12" s="27" t="str">
        <f aca="false">IF(B12="","",IFERROR(INDEX(Jeux!$D$2:$D$3001,MATCH(B12,Jeux!$A$2:$A$3001,0))&amp;"",""))</f>
        <v/>
      </c>
      <c r="I12" s="26" t="str">
        <f aca="false">IF(A12="","",COUNTIF(Apparitions!$G$2:$G$5001,A12))</f>
        <v/>
      </c>
      <c r="J12" s="26" t="str">
        <f aca="false">IF(A12="","",COUNTIFS(Apparitions!$G$2:$G$5001,A12,Apparitions!$E$2:$E$5001,"○"))</f>
        <v/>
      </c>
      <c r="K12" s="29" t="str">
        <f aca="false">IF(A12="","",IFERROR(1/(1/_xlfn.MINIFS(Apparitions!$L$2:$L$5001,Apparitions!$G$2:$G$5001,A12)),""))</f>
        <v/>
      </c>
      <c r="L12" s="27" t="str">
        <f aca="false">IF(A12="","",A12&amp;" | "&amp;B12&amp;IF(C12="",""," ("&amp;C12&amp;")")&amp;IF(D12="",""," - "&amp;D12))</f>
        <v/>
      </c>
    </row>
    <row r="13" customFormat="false" ht="15" hidden="false" customHeight="false" outlineLevel="0" collapsed="false">
      <c r="A13" s="32"/>
      <c r="B13" s="19"/>
      <c r="C13" s="19"/>
      <c r="D13" s="19"/>
      <c r="E13" s="21"/>
      <c r="F13" s="19"/>
      <c r="G13" s="27" t="str">
        <f aca="false">IF(B13="","",IFERROR(INDEX(Jeux!$C$2:$C$3001,MATCH(B13,Jeux!$A$2:$A$3001,0))&amp;"","⚠ jeu inconnu"))</f>
        <v/>
      </c>
      <c r="H13" s="27" t="str">
        <f aca="false">IF(B13="","",IFERROR(INDEX(Jeux!$D$2:$D$3001,MATCH(B13,Jeux!$A$2:$A$3001,0))&amp;"",""))</f>
        <v/>
      </c>
      <c r="I13" s="26" t="str">
        <f aca="false">IF(A13="","",COUNTIF(Apparitions!$G$2:$G$5001,A13))</f>
        <v/>
      </c>
      <c r="J13" s="26" t="str">
        <f aca="false">IF(A13="","",COUNTIFS(Apparitions!$G$2:$G$5001,A13,Apparitions!$E$2:$E$5001,"○"))</f>
        <v/>
      </c>
      <c r="K13" s="29" t="str">
        <f aca="false">IF(A13="","",IFERROR(1/(1/_xlfn.MINIFS(Apparitions!$L$2:$L$5001,Apparitions!$G$2:$G$5001,A13)),""))</f>
        <v/>
      </c>
      <c r="L13" s="27" t="str">
        <f aca="false">IF(A13="","",A13&amp;" | "&amp;B13&amp;IF(C13="",""," ("&amp;C13&amp;")")&amp;IF(D13="",""," - "&amp;D13))</f>
        <v/>
      </c>
    </row>
    <row r="14" customFormat="false" ht="15" hidden="false" customHeight="false" outlineLevel="0" collapsed="false">
      <c r="A14" s="32"/>
      <c r="B14" s="19"/>
      <c r="C14" s="19"/>
      <c r="D14" s="19"/>
      <c r="E14" s="21"/>
      <c r="F14" s="19"/>
      <c r="G14" s="27" t="str">
        <f aca="false">IF(B14="","",IFERROR(INDEX(Jeux!$C$2:$C$3001,MATCH(B14,Jeux!$A$2:$A$3001,0))&amp;"","⚠ jeu inconnu"))</f>
        <v/>
      </c>
      <c r="H14" s="27" t="str">
        <f aca="false">IF(B14="","",IFERROR(INDEX(Jeux!$D$2:$D$3001,MATCH(B14,Jeux!$A$2:$A$3001,0))&amp;"",""))</f>
        <v/>
      </c>
      <c r="I14" s="26" t="str">
        <f aca="false">IF(A14="","",COUNTIF(Apparitions!$G$2:$G$5001,A14))</f>
        <v/>
      </c>
      <c r="J14" s="26" t="str">
        <f aca="false">IF(A14="","",COUNTIFS(Apparitions!$G$2:$G$5001,A14,Apparitions!$E$2:$E$5001,"○"))</f>
        <v/>
      </c>
      <c r="K14" s="29" t="str">
        <f aca="false">IF(A14="","",IFERROR(1/(1/_xlfn.MINIFS(Apparitions!$L$2:$L$5001,Apparitions!$G$2:$G$5001,A14)),""))</f>
        <v/>
      </c>
      <c r="L14" s="27" t="str">
        <f aca="false">IF(A14="","",A14&amp;" | "&amp;B14&amp;IF(C14="",""," ("&amp;C14&amp;")")&amp;IF(D14="",""," - "&amp;D14))</f>
        <v/>
      </c>
    </row>
    <row r="15" customFormat="false" ht="15" hidden="false" customHeight="false" outlineLevel="0" collapsed="false">
      <c r="A15" s="32"/>
      <c r="B15" s="19"/>
      <c r="C15" s="19"/>
      <c r="D15" s="19"/>
      <c r="E15" s="21"/>
      <c r="F15" s="19"/>
      <c r="G15" s="27" t="str">
        <f aca="false">IF(B15="","",IFERROR(INDEX(Jeux!$C$2:$C$3001,MATCH(B15,Jeux!$A$2:$A$3001,0))&amp;"","⚠ jeu inconnu"))</f>
        <v/>
      </c>
      <c r="H15" s="27" t="str">
        <f aca="false">IF(B15="","",IFERROR(INDEX(Jeux!$D$2:$D$3001,MATCH(B15,Jeux!$A$2:$A$3001,0))&amp;"",""))</f>
        <v/>
      </c>
      <c r="I15" s="26" t="str">
        <f aca="false">IF(A15="","",COUNTIF(Apparitions!$G$2:$G$5001,A15))</f>
        <v/>
      </c>
      <c r="J15" s="26" t="str">
        <f aca="false">IF(A15="","",COUNTIFS(Apparitions!$G$2:$G$5001,A15,Apparitions!$E$2:$E$5001,"○"))</f>
        <v/>
      </c>
      <c r="K15" s="29" t="str">
        <f aca="false">IF(A15="","",IFERROR(1/(1/_xlfn.MINIFS(Apparitions!$L$2:$L$5001,Apparitions!$G$2:$G$5001,A15)),""))</f>
        <v/>
      </c>
      <c r="L15" s="27" t="str">
        <f aca="false">IF(A15="","",A15&amp;" | "&amp;B15&amp;IF(C15="",""," ("&amp;C15&amp;")")&amp;IF(D15="",""," - "&amp;D15))</f>
        <v/>
      </c>
    </row>
    <row r="16" customFormat="false" ht="15" hidden="false" customHeight="false" outlineLevel="0" collapsed="false">
      <c r="A16" s="32"/>
      <c r="B16" s="19"/>
      <c r="C16" s="19"/>
      <c r="D16" s="19"/>
      <c r="E16" s="21"/>
      <c r="F16" s="19"/>
      <c r="G16" s="27" t="str">
        <f aca="false">IF(B16="","",IFERROR(INDEX(Jeux!$C$2:$C$3001,MATCH(B16,Jeux!$A$2:$A$3001,0))&amp;"","⚠ jeu inconnu"))</f>
        <v/>
      </c>
      <c r="H16" s="27" t="str">
        <f aca="false">IF(B16="","",IFERROR(INDEX(Jeux!$D$2:$D$3001,MATCH(B16,Jeux!$A$2:$A$3001,0))&amp;"",""))</f>
        <v/>
      </c>
      <c r="I16" s="26" t="str">
        <f aca="false">IF(A16="","",COUNTIF(Apparitions!$G$2:$G$5001,A16))</f>
        <v/>
      </c>
      <c r="J16" s="26" t="str">
        <f aca="false">IF(A16="","",COUNTIFS(Apparitions!$G$2:$G$5001,A16,Apparitions!$E$2:$E$5001,"○"))</f>
        <v/>
      </c>
      <c r="K16" s="29" t="str">
        <f aca="false">IF(A16="","",IFERROR(1/(1/_xlfn.MINIFS(Apparitions!$L$2:$L$5001,Apparitions!$G$2:$G$5001,A16)),""))</f>
        <v/>
      </c>
      <c r="L16" s="27" t="str">
        <f aca="false">IF(A16="","",A16&amp;" | "&amp;B16&amp;IF(C16="",""," ("&amp;C16&amp;")")&amp;IF(D16="",""," - "&amp;D16))</f>
        <v/>
      </c>
    </row>
    <row r="17" customFormat="false" ht="15" hidden="false" customHeight="false" outlineLevel="0" collapsed="false">
      <c r="A17" s="32"/>
      <c r="B17" s="19"/>
      <c r="C17" s="19"/>
      <c r="D17" s="19"/>
      <c r="E17" s="21"/>
      <c r="F17" s="19"/>
      <c r="G17" s="27" t="str">
        <f aca="false">IF(B17="","",IFERROR(INDEX(Jeux!$C$2:$C$3001,MATCH(B17,Jeux!$A$2:$A$3001,0))&amp;"","⚠ jeu inconnu"))</f>
        <v/>
      </c>
      <c r="H17" s="27" t="str">
        <f aca="false">IF(B17="","",IFERROR(INDEX(Jeux!$D$2:$D$3001,MATCH(B17,Jeux!$A$2:$A$3001,0))&amp;"",""))</f>
        <v/>
      </c>
      <c r="I17" s="26" t="str">
        <f aca="false">IF(A17="","",COUNTIF(Apparitions!$G$2:$G$5001,A17))</f>
        <v/>
      </c>
      <c r="J17" s="26" t="str">
        <f aca="false">IF(A17="","",COUNTIFS(Apparitions!$G$2:$G$5001,A17,Apparitions!$E$2:$E$5001,"○"))</f>
        <v/>
      </c>
      <c r="K17" s="29" t="str">
        <f aca="false">IF(A17="","",IFERROR(1/(1/_xlfn.MINIFS(Apparitions!$L$2:$L$5001,Apparitions!$G$2:$G$5001,A17)),""))</f>
        <v/>
      </c>
      <c r="L17" s="27" t="str">
        <f aca="false">IF(A17="","",A17&amp;" | "&amp;B17&amp;IF(C17="",""," ("&amp;C17&amp;")")&amp;IF(D17="",""," - "&amp;D17))</f>
        <v/>
      </c>
    </row>
    <row r="18" customFormat="false" ht="15" hidden="false" customHeight="false" outlineLevel="0" collapsed="false">
      <c r="A18" s="32"/>
      <c r="B18" s="19"/>
      <c r="C18" s="19"/>
      <c r="D18" s="19"/>
      <c r="E18" s="21"/>
      <c r="F18" s="19"/>
      <c r="G18" s="27" t="str">
        <f aca="false">IF(B18="","",IFERROR(INDEX(Jeux!$C$2:$C$3001,MATCH(B18,Jeux!$A$2:$A$3001,0))&amp;"","⚠ jeu inconnu"))</f>
        <v/>
      </c>
      <c r="H18" s="27" t="str">
        <f aca="false">IF(B18="","",IFERROR(INDEX(Jeux!$D$2:$D$3001,MATCH(B18,Jeux!$A$2:$A$3001,0))&amp;"",""))</f>
        <v/>
      </c>
      <c r="I18" s="26" t="str">
        <f aca="false">IF(A18="","",COUNTIF(Apparitions!$G$2:$G$5001,A18))</f>
        <v/>
      </c>
      <c r="J18" s="26" t="str">
        <f aca="false">IF(A18="","",COUNTIFS(Apparitions!$G$2:$G$5001,A18,Apparitions!$E$2:$E$5001,"○"))</f>
        <v/>
      </c>
      <c r="K18" s="29" t="str">
        <f aca="false">IF(A18="","",IFERROR(1/(1/_xlfn.MINIFS(Apparitions!$L$2:$L$5001,Apparitions!$G$2:$G$5001,A18)),""))</f>
        <v/>
      </c>
      <c r="L18" s="27" t="str">
        <f aca="false">IF(A18="","",A18&amp;" | "&amp;B18&amp;IF(C18="",""," ("&amp;C18&amp;")")&amp;IF(D18="",""," - "&amp;D18))</f>
        <v/>
      </c>
    </row>
    <row r="19" customFormat="false" ht="15" hidden="false" customHeight="false" outlineLevel="0" collapsed="false">
      <c r="A19" s="32"/>
      <c r="B19" s="19"/>
      <c r="C19" s="19"/>
      <c r="D19" s="19"/>
      <c r="E19" s="21"/>
      <c r="F19" s="19"/>
      <c r="G19" s="27" t="str">
        <f aca="false">IF(B19="","",IFERROR(INDEX(Jeux!$C$2:$C$3001,MATCH(B19,Jeux!$A$2:$A$3001,0))&amp;"","⚠ jeu inconnu"))</f>
        <v/>
      </c>
      <c r="H19" s="27" t="str">
        <f aca="false">IF(B19="","",IFERROR(INDEX(Jeux!$D$2:$D$3001,MATCH(B19,Jeux!$A$2:$A$3001,0))&amp;"",""))</f>
        <v/>
      </c>
      <c r="I19" s="26" t="str">
        <f aca="false">IF(A19="","",COUNTIF(Apparitions!$G$2:$G$5001,A19))</f>
        <v/>
      </c>
      <c r="J19" s="26" t="str">
        <f aca="false">IF(A19="","",COUNTIFS(Apparitions!$G$2:$G$5001,A19,Apparitions!$E$2:$E$5001,"○"))</f>
        <v/>
      </c>
      <c r="K19" s="29" t="str">
        <f aca="false">IF(A19="","",IFERROR(1/(1/_xlfn.MINIFS(Apparitions!$L$2:$L$5001,Apparitions!$G$2:$G$5001,A19)),""))</f>
        <v/>
      </c>
      <c r="L19" s="27" t="str">
        <f aca="false">IF(A19="","",A19&amp;" | "&amp;B19&amp;IF(C19="",""," ("&amp;C19&amp;")")&amp;IF(D19="",""," - "&amp;D19))</f>
        <v/>
      </c>
    </row>
    <row r="20" customFormat="false" ht="15" hidden="false" customHeight="false" outlineLevel="0" collapsed="false">
      <c r="A20" s="32"/>
      <c r="B20" s="19"/>
      <c r="C20" s="19"/>
      <c r="D20" s="19"/>
      <c r="E20" s="21"/>
      <c r="F20" s="19"/>
      <c r="G20" s="27" t="str">
        <f aca="false">IF(B20="","",IFERROR(INDEX(Jeux!$C$2:$C$3001,MATCH(B20,Jeux!$A$2:$A$3001,0))&amp;"","⚠ jeu inconnu"))</f>
        <v/>
      </c>
      <c r="H20" s="27" t="str">
        <f aca="false">IF(B20="","",IFERROR(INDEX(Jeux!$D$2:$D$3001,MATCH(B20,Jeux!$A$2:$A$3001,0))&amp;"",""))</f>
        <v/>
      </c>
      <c r="I20" s="26" t="str">
        <f aca="false">IF(A20="","",COUNTIF(Apparitions!$G$2:$G$5001,A20))</f>
        <v/>
      </c>
      <c r="J20" s="26" t="str">
        <f aca="false">IF(A20="","",COUNTIFS(Apparitions!$G$2:$G$5001,A20,Apparitions!$E$2:$E$5001,"○"))</f>
        <v/>
      </c>
      <c r="K20" s="29" t="str">
        <f aca="false">IF(A20="","",IFERROR(1/(1/_xlfn.MINIFS(Apparitions!$L$2:$L$5001,Apparitions!$G$2:$G$5001,A20)),""))</f>
        <v/>
      </c>
      <c r="L20" s="27" t="str">
        <f aca="false">IF(A20="","",A20&amp;" | "&amp;B20&amp;IF(C20="",""," ("&amp;C20&amp;")")&amp;IF(D20="",""," - "&amp;D20))</f>
        <v/>
      </c>
    </row>
    <row r="21" customFormat="false" ht="15" hidden="false" customHeight="false" outlineLevel="0" collapsed="false">
      <c r="A21" s="32"/>
      <c r="B21" s="19"/>
      <c r="C21" s="19"/>
      <c r="D21" s="19"/>
      <c r="E21" s="21"/>
      <c r="F21" s="19"/>
      <c r="G21" s="27" t="str">
        <f aca="false">IF(B21="","",IFERROR(INDEX(Jeux!$C$2:$C$3001,MATCH(B21,Jeux!$A$2:$A$3001,0))&amp;"","⚠ jeu inconnu"))</f>
        <v/>
      </c>
      <c r="H21" s="27" t="str">
        <f aca="false">IF(B21="","",IFERROR(INDEX(Jeux!$D$2:$D$3001,MATCH(B21,Jeux!$A$2:$A$3001,0))&amp;"",""))</f>
        <v/>
      </c>
      <c r="I21" s="26" t="str">
        <f aca="false">IF(A21="","",COUNTIF(Apparitions!$G$2:$G$5001,A21))</f>
        <v/>
      </c>
      <c r="J21" s="26" t="str">
        <f aca="false">IF(A21="","",COUNTIFS(Apparitions!$G$2:$G$5001,A21,Apparitions!$E$2:$E$5001,"○"))</f>
        <v/>
      </c>
      <c r="K21" s="29" t="str">
        <f aca="false">IF(A21="","",IFERROR(1/(1/_xlfn.MINIFS(Apparitions!$L$2:$L$5001,Apparitions!$G$2:$G$5001,A21)),""))</f>
        <v/>
      </c>
      <c r="L21" s="27" t="str">
        <f aca="false">IF(A21="","",A21&amp;" | "&amp;B21&amp;IF(C21="",""," ("&amp;C21&amp;")")&amp;IF(D21="",""," - "&amp;D21))</f>
        <v/>
      </c>
    </row>
    <row r="22" customFormat="false" ht="15" hidden="false" customHeight="false" outlineLevel="0" collapsed="false">
      <c r="A22" s="32"/>
      <c r="B22" s="19"/>
      <c r="C22" s="19"/>
      <c r="D22" s="19"/>
      <c r="E22" s="21"/>
      <c r="F22" s="19"/>
      <c r="G22" s="27" t="str">
        <f aca="false">IF(B22="","",IFERROR(INDEX(Jeux!$C$2:$C$3001,MATCH(B22,Jeux!$A$2:$A$3001,0))&amp;"","⚠ jeu inconnu"))</f>
        <v/>
      </c>
      <c r="H22" s="27" t="str">
        <f aca="false">IF(B22="","",IFERROR(INDEX(Jeux!$D$2:$D$3001,MATCH(B22,Jeux!$A$2:$A$3001,0))&amp;"",""))</f>
        <v/>
      </c>
      <c r="I22" s="26" t="str">
        <f aca="false">IF(A22="","",COUNTIF(Apparitions!$G$2:$G$5001,A22))</f>
        <v/>
      </c>
      <c r="J22" s="26" t="str">
        <f aca="false">IF(A22="","",COUNTIFS(Apparitions!$G$2:$G$5001,A22,Apparitions!$E$2:$E$5001,"○"))</f>
        <v/>
      </c>
      <c r="K22" s="29" t="str">
        <f aca="false">IF(A22="","",IFERROR(1/(1/_xlfn.MINIFS(Apparitions!$L$2:$L$5001,Apparitions!$G$2:$G$5001,A22)),""))</f>
        <v/>
      </c>
      <c r="L22" s="27" t="str">
        <f aca="false">IF(A22="","",A22&amp;" | "&amp;B22&amp;IF(C22="",""," ("&amp;C22&amp;")")&amp;IF(D22="",""," - "&amp;D22))</f>
        <v/>
      </c>
    </row>
    <row r="23" customFormat="false" ht="15" hidden="false" customHeight="false" outlineLevel="0" collapsed="false">
      <c r="A23" s="32"/>
      <c r="B23" s="19"/>
      <c r="C23" s="19"/>
      <c r="D23" s="19"/>
      <c r="E23" s="21"/>
      <c r="F23" s="19"/>
      <c r="G23" s="27" t="str">
        <f aca="false">IF(B23="","",IFERROR(INDEX(Jeux!$C$2:$C$3001,MATCH(B23,Jeux!$A$2:$A$3001,0))&amp;"","⚠ jeu inconnu"))</f>
        <v/>
      </c>
      <c r="H23" s="27" t="str">
        <f aca="false">IF(B23="","",IFERROR(INDEX(Jeux!$D$2:$D$3001,MATCH(B23,Jeux!$A$2:$A$3001,0))&amp;"",""))</f>
        <v/>
      </c>
      <c r="I23" s="26" t="str">
        <f aca="false">IF(A23="","",COUNTIF(Apparitions!$G$2:$G$5001,A23))</f>
        <v/>
      </c>
      <c r="J23" s="26" t="str">
        <f aca="false">IF(A23="","",COUNTIFS(Apparitions!$G$2:$G$5001,A23,Apparitions!$E$2:$E$5001,"○"))</f>
        <v/>
      </c>
      <c r="K23" s="29" t="str">
        <f aca="false">IF(A23="","",IFERROR(1/(1/_xlfn.MINIFS(Apparitions!$L$2:$L$5001,Apparitions!$G$2:$G$5001,A23)),""))</f>
        <v/>
      </c>
      <c r="L23" s="27" t="str">
        <f aca="false">IF(A23="","",A23&amp;" | "&amp;B23&amp;IF(C23="",""," ("&amp;C23&amp;")")&amp;IF(D23="",""," - "&amp;D23))</f>
        <v/>
      </c>
    </row>
    <row r="24" customFormat="false" ht="15" hidden="false" customHeight="false" outlineLevel="0" collapsed="false">
      <c r="A24" s="32"/>
      <c r="B24" s="19"/>
      <c r="C24" s="19"/>
      <c r="D24" s="19"/>
      <c r="E24" s="21"/>
      <c r="F24" s="19"/>
      <c r="G24" s="27" t="str">
        <f aca="false">IF(B24="","",IFERROR(INDEX(Jeux!$C$2:$C$3001,MATCH(B24,Jeux!$A$2:$A$3001,0))&amp;"","⚠ jeu inconnu"))</f>
        <v/>
      </c>
      <c r="H24" s="27" t="str">
        <f aca="false">IF(B24="","",IFERROR(INDEX(Jeux!$D$2:$D$3001,MATCH(B24,Jeux!$A$2:$A$3001,0))&amp;"",""))</f>
        <v/>
      </c>
      <c r="I24" s="26" t="str">
        <f aca="false">IF(A24="","",COUNTIF(Apparitions!$G$2:$G$5001,A24))</f>
        <v/>
      </c>
      <c r="J24" s="26" t="str">
        <f aca="false">IF(A24="","",COUNTIFS(Apparitions!$G$2:$G$5001,A24,Apparitions!$E$2:$E$5001,"○"))</f>
        <v/>
      </c>
      <c r="K24" s="29" t="str">
        <f aca="false">IF(A24="","",IFERROR(1/(1/_xlfn.MINIFS(Apparitions!$L$2:$L$5001,Apparitions!$G$2:$G$5001,A24)),""))</f>
        <v/>
      </c>
      <c r="L24" s="27" t="str">
        <f aca="false">IF(A24="","",A24&amp;" | "&amp;B24&amp;IF(C24="",""," ("&amp;C24&amp;")")&amp;IF(D24="",""," - "&amp;D24))</f>
        <v/>
      </c>
    </row>
    <row r="25" customFormat="false" ht="15" hidden="false" customHeight="false" outlineLevel="0" collapsed="false">
      <c r="A25" s="32"/>
      <c r="B25" s="19"/>
      <c r="C25" s="19"/>
      <c r="D25" s="19"/>
      <c r="E25" s="21"/>
      <c r="F25" s="19"/>
      <c r="G25" s="27" t="str">
        <f aca="false">IF(B25="","",IFERROR(INDEX(Jeux!$C$2:$C$3001,MATCH(B25,Jeux!$A$2:$A$3001,0))&amp;"","⚠ jeu inconnu"))</f>
        <v/>
      </c>
      <c r="H25" s="27" t="str">
        <f aca="false">IF(B25="","",IFERROR(INDEX(Jeux!$D$2:$D$3001,MATCH(B25,Jeux!$A$2:$A$3001,0))&amp;"",""))</f>
        <v/>
      </c>
      <c r="I25" s="26" t="str">
        <f aca="false">IF(A25="","",COUNTIF(Apparitions!$G$2:$G$5001,A25))</f>
        <v/>
      </c>
      <c r="J25" s="26" t="str">
        <f aca="false">IF(A25="","",COUNTIFS(Apparitions!$G$2:$G$5001,A25,Apparitions!$E$2:$E$5001,"○"))</f>
        <v/>
      </c>
      <c r="K25" s="29" t="str">
        <f aca="false">IF(A25="","",IFERROR(1/(1/_xlfn.MINIFS(Apparitions!$L$2:$L$5001,Apparitions!$G$2:$G$5001,A25)),""))</f>
        <v/>
      </c>
      <c r="L25" s="27" t="str">
        <f aca="false">IF(A25="","",A25&amp;" | "&amp;B25&amp;IF(C25="",""," ("&amp;C25&amp;")")&amp;IF(D25="",""," - "&amp;D25))</f>
        <v/>
      </c>
    </row>
    <row r="26" customFormat="false" ht="15" hidden="false" customHeight="false" outlineLevel="0" collapsed="false">
      <c r="A26" s="32"/>
      <c r="B26" s="19"/>
      <c r="C26" s="19"/>
      <c r="D26" s="19"/>
      <c r="E26" s="21"/>
      <c r="F26" s="19"/>
      <c r="G26" s="27" t="str">
        <f aca="false">IF(B26="","",IFERROR(INDEX(Jeux!$C$2:$C$3001,MATCH(B26,Jeux!$A$2:$A$3001,0))&amp;"","⚠ jeu inconnu"))</f>
        <v/>
      </c>
      <c r="H26" s="27" t="str">
        <f aca="false">IF(B26="","",IFERROR(INDEX(Jeux!$D$2:$D$3001,MATCH(B26,Jeux!$A$2:$A$3001,0))&amp;"",""))</f>
        <v/>
      </c>
      <c r="I26" s="26" t="str">
        <f aca="false">IF(A26="","",COUNTIF(Apparitions!$G$2:$G$5001,A26))</f>
        <v/>
      </c>
      <c r="J26" s="26" t="str">
        <f aca="false">IF(A26="","",COUNTIFS(Apparitions!$G$2:$G$5001,A26,Apparitions!$E$2:$E$5001,"○"))</f>
        <v/>
      </c>
      <c r="K26" s="29" t="str">
        <f aca="false">IF(A26="","",IFERROR(1/(1/_xlfn.MINIFS(Apparitions!$L$2:$L$5001,Apparitions!$G$2:$G$5001,A26)),""))</f>
        <v/>
      </c>
      <c r="L26" s="27" t="str">
        <f aca="false">IF(A26="","",A26&amp;" | "&amp;B26&amp;IF(C26="",""," ("&amp;C26&amp;")")&amp;IF(D26="",""," - "&amp;D26))</f>
        <v/>
      </c>
    </row>
    <row r="27" customFormat="false" ht="15" hidden="false" customHeight="false" outlineLevel="0" collapsed="false">
      <c r="A27" s="32"/>
      <c r="B27" s="19"/>
      <c r="C27" s="19"/>
      <c r="D27" s="19"/>
      <c r="E27" s="21"/>
      <c r="F27" s="19"/>
      <c r="G27" s="27" t="str">
        <f aca="false">IF(B27="","",IFERROR(INDEX(Jeux!$C$2:$C$3001,MATCH(B27,Jeux!$A$2:$A$3001,0))&amp;"","⚠ jeu inconnu"))</f>
        <v/>
      </c>
      <c r="H27" s="27" t="str">
        <f aca="false">IF(B27="","",IFERROR(INDEX(Jeux!$D$2:$D$3001,MATCH(B27,Jeux!$A$2:$A$3001,0))&amp;"",""))</f>
        <v/>
      </c>
      <c r="I27" s="26" t="str">
        <f aca="false">IF(A27="","",COUNTIF(Apparitions!$G$2:$G$5001,A27))</f>
        <v/>
      </c>
      <c r="J27" s="26" t="str">
        <f aca="false">IF(A27="","",COUNTIFS(Apparitions!$G$2:$G$5001,A27,Apparitions!$E$2:$E$5001,"○"))</f>
        <v/>
      </c>
      <c r="K27" s="29" t="str">
        <f aca="false">IF(A27="","",IFERROR(1/(1/_xlfn.MINIFS(Apparitions!$L$2:$L$5001,Apparitions!$G$2:$G$5001,A27)),""))</f>
        <v/>
      </c>
      <c r="L27" s="27" t="str">
        <f aca="false">IF(A27="","",A27&amp;" | "&amp;B27&amp;IF(C27="",""," ("&amp;C27&amp;")")&amp;IF(D27="",""," - "&amp;D27))</f>
        <v/>
      </c>
    </row>
    <row r="28" customFormat="false" ht="15" hidden="false" customHeight="false" outlineLevel="0" collapsed="false">
      <c r="A28" s="32"/>
      <c r="B28" s="19"/>
      <c r="C28" s="19"/>
      <c r="D28" s="19"/>
      <c r="E28" s="21"/>
      <c r="F28" s="19"/>
      <c r="G28" s="27" t="str">
        <f aca="false">IF(B28="","",IFERROR(INDEX(Jeux!$C$2:$C$3001,MATCH(B28,Jeux!$A$2:$A$3001,0))&amp;"","⚠ jeu inconnu"))</f>
        <v/>
      </c>
      <c r="H28" s="27" t="str">
        <f aca="false">IF(B28="","",IFERROR(INDEX(Jeux!$D$2:$D$3001,MATCH(B28,Jeux!$A$2:$A$3001,0))&amp;"",""))</f>
        <v/>
      </c>
      <c r="I28" s="26" t="str">
        <f aca="false">IF(A28="","",COUNTIF(Apparitions!$G$2:$G$5001,A28))</f>
        <v/>
      </c>
      <c r="J28" s="26" t="str">
        <f aca="false">IF(A28="","",COUNTIFS(Apparitions!$G$2:$G$5001,A28,Apparitions!$E$2:$E$5001,"○"))</f>
        <v/>
      </c>
      <c r="K28" s="29" t="str">
        <f aca="false">IF(A28="","",IFERROR(1/(1/_xlfn.MINIFS(Apparitions!$L$2:$L$5001,Apparitions!$G$2:$G$5001,A28)),""))</f>
        <v/>
      </c>
      <c r="L28" s="27" t="str">
        <f aca="false">IF(A28="","",A28&amp;" | "&amp;B28&amp;IF(C28="",""," ("&amp;C28&amp;")")&amp;IF(D28="",""," - "&amp;D28))</f>
        <v/>
      </c>
    </row>
    <row r="29" customFormat="false" ht="15" hidden="false" customHeight="false" outlineLevel="0" collapsed="false">
      <c r="A29" s="32"/>
      <c r="B29" s="19"/>
      <c r="C29" s="19"/>
      <c r="D29" s="19"/>
      <c r="E29" s="21"/>
      <c r="F29" s="19"/>
      <c r="G29" s="27" t="str">
        <f aca="false">IF(B29="","",IFERROR(INDEX(Jeux!$C$2:$C$3001,MATCH(B29,Jeux!$A$2:$A$3001,0))&amp;"","⚠ jeu inconnu"))</f>
        <v/>
      </c>
      <c r="H29" s="27" t="str">
        <f aca="false">IF(B29="","",IFERROR(INDEX(Jeux!$D$2:$D$3001,MATCH(B29,Jeux!$A$2:$A$3001,0))&amp;"",""))</f>
        <v/>
      </c>
      <c r="I29" s="26" t="str">
        <f aca="false">IF(A29="","",COUNTIF(Apparitions!$G$2:$G$5001,A29))</f>
        <v/>
      </c>
      <c r="J29" s="26" t="str">
        <f aca="false">IF(A29="","",COUNTIFS(Apparitions!$G$2:$G$5001,A29,Apparitions!$E$2:$E$5001,"○"))</f>
        <v/>
      </c>
      <c r="K29" s="29" t="str">
        <f aca="false">IF(A29="","",IFERROR(1/(1/_xlfn.MINIFS(Apparitions!$L$2:$L$5001,Apparitions!$G$2:$G$5001,A29)),""))</f>
        <v/>
      </c>
      <c r="L29" s="27" t="str">
        <f aca="false">IF(A29="","",A29&amp;" | "&amp;B29&amp;IF(C29="",""," ("&amp;C29&amp;")")&amp;IF(D29="",""," - "&amp;D29))</f>
        <v/>
      </c>
    </row>
    <row r="30" customFormat="false" ht="15" hidden="false" customHeight="false" outlineLevel="0" collapsed="false">
      <c r="A30" s="32"/>
      <c r="B30" s="19"/>
      <c r="C30" s="19"/>
      <c r="D30" s="19"/>
      <c r="E30" s="21"/>
      <c r="F30" s="19"/>
      <c r="G30" s="27" t="str">
        <f aca="false">IF(B30="","",IFERROR(INDEX(Jeux!$C$2:$C$3001,MATCH(B30,Jeux!$A$2:$A$3001,0))&amp;"","⚠ jeu inconnu"))</f>
        <v/>
      </c>
      <c r="H30" s="27" t="str">
        <f aca="false">IF(B30="","",IFERROR(INDEX(Jeux!$D$2:$D$3001,MATCH(B30,Jeux!$A$2:$A$3001,0))&amp;"",""))</f>
        <v/>
      </c>
      <c r="I30" s="26" t="str">
        <f aca="false">IF(A30="","",COUNTIF(Apparitions!$G$2:$G$5001,A30))</f>
        <v/>
      </c>
      <c r="J30" s="26" t="str">
        <f aca="false">IF(A30="","",COUNTIFS(Apparitions!$G$2:$G$5001,A30,Apparitions!$E$2:$E$5001,"○"))</f>
        <v/>
      </c>
      <c r="K30" s="29" t="str">
        <f aca="false">IF(A30="","",IFERROR(1/(1/_xlfn.MINIFS(Apparitions!$L$2:$L$5001,Apparitions!$G$2:$G$5001,A30)),""))</f>
        <v/>
      </c>
      <c r="L30" s="27" t="str">
        <f aca="false">IF(A30="","",A30&amp;" | "&amp;B30&amp;IF(C30="",""," ("&amp;C30&amp;")")&amp;IF(D30="",""," - "&amp;D30))</f>
        <v/>
      </c>
    </row>
    <row r="31" customFormat="false" ht="15" hidden="false" customHeight="false" outlineLevel="0" collapsed="false">
      <c r="A31" s="32"/>
      <c r="B31" s="19"/>
      <c r="C31" s="19"/>
      <c r="D31" s="19"/>
      <c r="E31" s="21"/>
      <c r="F31" s="19"/>
      <c r="G31" s="27" t="str">
        <f aca="false">IF(B31="","",IFERROR(INDEX(Jeux!$C$2:$C$3001,MATCH(B31,Jeux!$A$2:$A$3001,0))&amp;"","⚠ jeu inconnu"))</f>
        <v/>
      </c>
      <c r="H31" s="27" t="str">
        <f aca="false">IF(B31="","",IFERROR(INDEX(Jeux!$D$2:$D$3001,MATCH(B31,Jeux!$A$2:$A$3001,0))&amp;"",""))</f>
        <v/>
      </c>
      <c r="I31" s="26" t="str">
        <f aca="false">IF(A31="","",COUNTIF(Apparitions!$G$2:$G$5001,A31))</f>
        <v/>
      </c>
      <c r="J31" s="26" t="str">
        <f aca="false">IF(A31="","",COUNTIFS(Apparitions!$G$2:$G$5001,A31,Apparitions!$E$2:$E$5001,"○"))</f>
        <v/>
      </c>
      <c r="K31" s="29" t="str">
        <f aca="false">IF(A31="","",IFERROR(1/(1/_xlfn.MINIFS(Apparitions!$L$2:$L$5001,Apparitions!$G$2:$G$5001,A31)),""))</f>
        <v/>
      </c>
      <c r="L31" s="27" t="str">
        <f aca="false">IF(A31="","",A31&amp;" | "&amp;B31&amp;IF(C31="",""," ("&amp;C31&amp;")")&amp;IF(D31="",""," - "&amp;D31))</f>
        <v/>
      </c>
    </row>
    <row r="32" customFormat="false" ht="15" hidden="false" customHeight="false" outlineLevel="0" collapsed="false">
      <c r="A32" s="32"/>
      <c r="B32" s="19"/>
      <c r="C32" s="19"/>
      <c r="D32" s="19"/>
      <c r="E32" s="21"/>
      <c r="F32" s="19"/>
      <c r="G32" s="27" t="str">
        <f aca="false">IF(B32="","",IFERROR(INDEX(Jeux!$C$2:$C$3001,MATCH(B32,Jeux!$A$2:$A$3001,0))&amp;"","⚠ jeu inconnu"))</f>
        <v/>
      </c>
      <c r="H32" s="27" t="str">
        <f aca="false">IF(B32="","",IFERROR(INDEX(Jeux!$D$2:$D$3001,MATCH(B32,Jeux!$A$2:$A$3001,0))&amp;"",""))</f>
        <v/>
      </c>
      <c r="I32" s="26" t="str">
        <f aca="false">IF(A32="","",COUNTIF(Apparitions!$G$2:$G$5001,A32))</f>
        <v/>
      </c>
      <c r="J32" s="26" t="str">
        <f aca="false">IF(A32="","",COUNTIFS(Apparitions!$G$2:$G$5001,A32,Apparitions!$E$2:$E$5001,"○"))</f>
        <v/>
      </c>
      <c r="K32" s="29" t="str">
        <f aca="false">IF(A32="","",IFERROR(1/(1/_xlfn.MINIFS(Apparitions!$L$2:$L$5001,Apparitions!$G$2:$G$5001,A32)),""))</f>
        <v/>
      </c>
      <c r="L32" s="27" t="str">
        <f aca="false">IF(A32="","",A32&amp;" | "&amp;B32&amp;IF(C32="",""," ("&amp;C32&amp;")")&amp;IF(D32="",""," - "&amp;D32))</f>
        <v/>
      </c>
    </row>
    <row r="33" customFormat="false" ht="15" hidden="false" customHeight="false" outlineLevel="0" collapsed="false">
      <c r="A33" s="32"/>
      <c r="B33" s="19"/>
      <c r="C33" s="19"/>
      <c r="D33" s="19"/>
      <c r="E33" s="21"/>
      <c r="F33" s="19"/>
      <c r="G33" s="27" t="str">
        <f aca="false">IF(B33="","",IFERROR(INDEX(Jeux!$C$2:$C$3001,MATCH(B33,Jeux!$A$2:$A$3001,0))&amp;"","⚠ jeu inconnu"))</f>
        <v/>
      </c>
      <c r="H33" s="27" t="str">
        <f aca="false">IF(B33="","",IFERROR(INDEX(Jeux!$D$2:$D$3001,MATCH(B33,Jeux!$A$2:$A$3001,0))&amp;"",""))</f>
        <v/>
      </c>
      <c r="I33" s="26" t="str">
        <f aca="false">IF(A33="","",COUNTIF(Apparitions!$G$2:$G$5001,A33))</f>
        <v/>
      </c>
      <c r="J33" s="26" t="str">
        <f aca="false">IF(A33="","",COUNTIFS(Apparitions!$G$2:$G$5001,A33,Apparitions!$E$2:$E$5001,"○"))</f>
        <v/>
      </c>
      <c r="K33" s="29" t="str">
        <f aca="false">IF(A33="","",IFERROR(1/(1/_xlfn.MINIFS(Apparitions!$L$2:$L$5001,Apparitions!$G$2:$G$5001,A33)),""))</f>
        <v/>
      </c>
      <c r="L33" s="27" t="str">
        <f aca="false">IF(A33="","",A33&amp;" | "&amp;B33&amp;IF(C33="",""," ("&amp;C33&amp;")")&amp;IF(D33="",""," - "&amp;D33))</f>
        <v/>
      </c>
    </row>
    <row r="34" customFormat="false" ht="15" hidden="false" customHeight="false" outlineLevel="0" collapsed="false">
      <c r="A34" s="32"/>
      <c r="B34" s="19"/>
      <c r="C34" s="19"/>
      <c r="D34" s="19"/>
      <c r="E34" s="21"/>
      <c r="F34" s="19"/>
      <c r="G34" s="27" t="str">
        <f aca="false">IF(B34="","",IFERROR(INDEX(Jeux!$C$2:$C$3001,MATCH(B34,Jeux!$A$2:$A$3001,0))&amp;"","⚠ jeu inconnu"))</f>
        <v/>
      </c>
      <c r="H34" s="27" t="str">
        <f aca="false">IF(B34="","",IFERROR(INDEX(Jeux!$D$2:$D$3001,MATCH(B34,Jeux!$A$2:$A$3001,0))&amp;"",""))</f>
        <v/>
      </c>
      <c r="I34" s="26" t="str">
        <f aca="false">IF(A34="","",COUNTIF(Apparitions!$G$2:$G$5001,A34))</f>
        <v/>
      </c>
      <c r="J34" s="26" t="str">
        <f aca="false">IF(A34="","",COUNTIFS(Apparitions!$G$2:$G$5001,A34,Apparitions!$E$2:$E$5001,"○"))</f>
        <v/>
      </c>
      <c r="K34" s="29" t="str">
        <f aca="false">IF(A34="","",IFERROR(1/(1/_xlfn.MINIFS(Apparitions!$L$2:$L$5001,Apparitions!$G$2:$G$5001,A34)),""))</f>
        <v/>
      </c>
      <c r="L34" s="27" t="str">
        <f aca="false">IF(A34="","",A34&amp;" | "&amp;B34&amp;IF(C34="",""," ("&amp;C34&amp;")")&amp;IF(D34="",""," - "&amp;D34))</f>
        <v/>
      </c>
    </row>
    <row r="35" customFormat="false" ht="15" hidden="false" customHeight="false" outlineLevel="0" collapsed="false">
      <c r="A35" s="32"/>
      <c r="B35" s="19"/>
      <c r="C35" s="19"/>
      <c r="D35" s="19"/>
      <c r="E35" s="21"/>
      <c r="F35" s="19"/>
      <c r="G35" s="27" t="str">
        <f aca="false">IF(B35="","",IFERROR(INDEX(Jeux!$C$2:$C$3001,MATCH(B35,Jeux!$A$2:$A$3001,0))&amp;"","⚠ jeu inconnu"))</f>
        <v/>
      </c>
      <c r="H35" s="27" t="str">
        <f aca="false">IF(B35="","",IFERROR(INDEX(Jeux!$D$2:$D$3001,MATCH(B35,Jeux!$A$2:$A$3001,0))&amp;"",""))</f>
        <v/>
      </c>
      <c r="I35" s="26" t="str">
        <f aca="false">IF(A35="","",COUNTIF(Apparitions!$G$2:$G$5001,A35))</f>
        <v/>
      </c>
      <c r="J35" s="26" t="str">
        <f aca="false">IF(A35="","",COUNTIFS(Apparitions!$G$2:$G$5001,A35,Apparitions!$E$2:$E$5001,"○"))</f>
        <v/>
      </c>
      <c r="K35" s="29" t="str">
        <f aca="false">IF(A35="","",IFERROR(1/(1/_xlfn.MINIFS(Apparitions!$L$2:$L$5001,Apparitions!$G$2:$G$5001,A35)),""))</f>
        <v/>
      </c>
      <c r="L35" s="27" t="str">
        <f aca="false">IF(A35="","",A35&amp;" | "&amp;B35&amp;IF(C35="",""," ("&amp;C35&amp;")")&amp;IF(D35="",""," - "&amp;D35))</f>
        <v/>
      </c>
    </row>
    <row r="36" customFormat="false" ht="15" hidden="false" customHeight="false" outlineLevel="0" collapsed="false">
      <c r="A36" s="32"/>
      <c r="B36" s="19"/>
      <c r="C36" s="19"/>
      <c r="D36" s="19"/>
      <c r="E36" s="21"/>
      <c r="F36" s="19"/>
      <c r="G36" s="27" t="str">
        <f aca="false">IF(B36="","",IFERROR(INDEX(Jeux!$C$2:$C$3001,MATCH(B36,Jeux!$A$2:$A$3001,0))&amp;"","⚠ jeu inconnu"))</f>
        <v/>
      </c>
      <c r="H36" s="27" t="str">
        <f aca="false">IF(B36="","",IFERROR(INDEX(Jeux!$D$2:$D$3001,MATCH(B36,Jeux!$A$2:$A$3001,0))&amp;"",""))</f>
        <v/>
      </c>
      <c r="I36" s="26" t="str">
        <f aca="false">IF(A36="","",COUNTIF(Apparitions!$G$2:$G$5001,A36))</f>
        <v/>
      </c>
      <c r="J36" s="26" t="str">
        <f aca="false">IF(A36="","",COUNTIFS(Apparitions!$G$2:$G$5001,A36,Apparitions!$E$2:$E$5001,"○"))</f>
        <v/>
      </c>
      <c r="K36" s="29" t="str">
        <f aca="false">IF(A36="","",IFERROR(1/(1/_xlfn.MINIFS(Apparitions!$L$2:$L$5001,Apparitions!$G$2:$G$5001,A36)),""))</f>
        <v/>
      </c>
      <c r="L36" s="27" t="str">
        <f aca="false">IF(A36="","",A36&amp;" | "&amp;B36&amp;IF(C36="",""," ("&amp;C36&amp;")")&amp;IF(D36="",""," - "&amp;D36))</f>
        <v/>
      </c>
    </row>
    <row r="37" customFormat="false" ht="15" hidden="false" customHeight="false" outlineLevel="0" collapsed="false">
      <c r="A37" s="32"/>
      <c r="B37" s="19"/>
      <c r="C37" s="19"/>
      <c r="D37" s="19"/>
      <c r="E37" s="21"/>
      <c r="F37" s="19"/>
      <c r="G37" s="27" t="str">
        <f aca="false">IF(B37="","",IFERROR(INDEX(Jeux!$C$2:$C$3001,MATCH(B37,Jeux!$A$2:$A$3001,0))&amp;"","⚠ jeu inconnu"))</f>
        <v/>
      </c>
      <c r="H37" s="27" t="str">
        <f aca="false">IF(B37="","",IFERROR(INDEX(Jeux!$D$2:$D$3001,MATCH(B37,Jeux!$A$2:$A$3001,0))&amp;"",""))</f>
        <v/>
      </c>
      <c r="I37" s="26" t="str">
        <f aca="false">IF(A37="","",COUNTIF(Apparitions!$G$2:$G$5001,A37))</f>
        <v/>
      </c>
      <c r="J37" s="26" t="str">
        <f aca="false">IF(A37="","",COUNTIFS(Apparitions!$G$2:$G$5001,A37,Apparitions!$E$2:$E$5001,"○"))</f>
        <v/>
      </c>
      <c r="K37" s="29" t="str">
        <f aca="false">IF(A37="","",IFERROR(1/(1/_xlfn.MINIFS(Apparitions!$L$2:$L$5001,Apparitions!$G$2:$G$5001,A37)),""))</f>
        <v/>
      </c>
      <c r="L37" s="27" t="str">
        <f aca="false">IF(A37="","",A37&amp;" | "&amp;B37&amp;IF(C37="",""," ("&amp;C37&amp;")")&amp;IF(D37="",""," - "&amp;D37))</f>
        <v/>
      </c>
    </row>
    <row r="38" customFormat="false" ht="15" hidden="false" customHeight="false" outlineLevel="0" collapsed="false">
      <c r="A38" s="32"/>
      <c r="B38" s="19"/>
      <c r="C38" s="19"/>
      <c r="D38" s="19"/>
      <c r="E38" s="21"/>
      <c r="F38" s="19"/>
      <c r="G38" s="27" t="str">
        <f aca="false">IF(B38="","",IFERROR(INDEX(Jeux!$C$2:$C$3001,MATCH(B38,Jeux!$A$2:$A$3001,0))&amp;"","⚠ jeu inconnu"))</f>
        <v/>
      </c>
      <c r="H38" s="27" t="str">
        <f aca="false">IF(B38="","",IFERROR(INDEX(Jeux!$D$2:$D$3001,MATCH(B38,Jeux!$A$2:$A$3001,0))&amp;"",""))</f>
        <v/>
      </c>
      <c r="I38" s="26" t="str">
        <f aca="false">IF(A38="","",COUNTIF(Apparitions!$G$2:$G$5001,A38))</f>
        <v/>
      </c>
      <c r="J38" s="26" t="str">
        <f aca="false">IF(A38="","",COUNTIFS(Apparitions!$G$2:$G$5001,A38,Apparitions!$E$2:$E$5001,"○"))</f>
        <v/>
      </c>
      <c r="K38" s="29" t="str">
        <f aca="false">IF(A38="","",IFERROR(1/(1/_xlfn.MINIFS(Apparitions!$L$2:$L$5001,Apparitions!$G$2:$G$5001,A38)),""))</f>
        <v/>
      </c>
      <c r="L38" s="27" t="str">
        <f aca="false">IF(A38="","",A38&amp;" | "&amp;B38&amp;IF(C38="",""," ("&amp;C38&amp;")")&amp;IF(D38="",""," - "&amp;D38))</f>
        <v/>
      </c>
    </row>
    <row r="39" customFormat="false" ht="15" hidden="false" customHeight="false" outlineLevel="0" collapsed="false">
      <c r="A39" s="32"/>
      <c r="B39" s="19"/>
      <c r="C39" s="19"/>
      <c r="D39" s="19"/>
      <c r="E39" s="21"/>
      <c r="F39" s="19"/>
      <c r="G39" s="27" t="str">
        <f aca="false">IF(B39="","",IFERROR(INDEX(Jeux!$C$2:$C$3001,MATCH(B39,Jeux!$A$2:$A$3001,0))&amp;"","⚠ jeu inconnu"))</f>
        <v/>
      </c>
      <c r="H39" s="27" t="str">
        <f aca="false">IF(B39="","",IFERROR(INDEX(Jeux!$D$2:$D$3001,MATCH(B39,Jeux!$A$2:$A$3001,0))&amp;"",""))</f>
        <v/>
      </c>
      <c r="I39" s="26" t="str">
        <f aca="false">IF(A39="","",COUNTIF(Apparitions!$G$2:$G$5001,A39))</f>
        <v/>
      </c>
      <c r="J39" s="26" t="str">
        <f aca="false">IF(A39="","",COUNTIFS(Apparitions!$G$2:$G$5001,A39,Apparitions!$E$2:$E$5001,"○"))</f>
        <v/>
      </c>
      <c r="K39" s="29" t="str">
        <f aca="false">IF(A39="","",IFERROR(1/(1/_xlfn.MINIFS(Apparitions!$L$2:$L$5001,Apparitions!$G$2:$G$5001,A39)),""))</f>
        <v/>
      </c>
      <c r="L39" s="27" t="str">
        <f aca="false">IF(A39="","",A39&amp;" | "&amp;B39&amp;IF(C39="",""," ("&amp;C39&amp;")")&amp;IF(D39="",""," - "&amp;D39))</f>
        <v/>
      </c>
    </row>
    <row r="40" customFormat="false" ht="15" hidden="false" customHeight="false" outlineLevel="0" collapsed="false">
      <c r="A40" s="32"/>
      <c r="B40" s="19"/>
      <c r="C40" s="19"/>
      <c r="D40" s="19"/>
      <c r="E40" s="21"/>
      <c r="F40" s="19"/>
      <c r="G40" s="27" t="str">
        <f aca="false">IF(B40="","",IFERROR(INDEX(Jeux!$C$2:$C$3001,MATCH(B40,Jeux!$A$2:$A$3001,0))&amp;"","⚠ jeu inconnu"))</f>
        <v/>
      </c>
      <c r="H40" s="27" t="str">
        <f aca="false">IF(B40="","",IFERROR(INDEX(Jeux!$D$2:$D$3001,MATCH(B40,Jeux!$A$2:$A$3001,0))&amp;"",""))</f>
        <v/>
      </c>
      <c r="I40" s="26" t="str">
        <f aca="false">IF(A40="","",COUNTIF(Apparitions!$G$2:$G$5001,A40))</f>
        <v/>
      </c>
      <c r="J40" s="26" t="str">
        <f aca="false">IF(A40="","",COUNTIFS(Apparitions!$G$2:$G$5001,A40,Apparitions!$E$2:$E$5001,"○"))</f>
        <v/>
      </c>
      <c r="K40" s="29" t="str">
        <f aca="false">IF(A40="","",IFERROR(1/(1/_xlfn.MINIFS(Apparitions!$L$2:$L$5001,Apparitions!$G$2:$G$5001,A40)),""))</f>
        <v/>
      </c>
      <c r="L40" s="27" t="str">
        <f aca="false">IF(A40="","",A40&amp;" | "&amp;B40&amp;IF(C40="",""," ("&amp;C40&amp;")")&amp;IF(D40="",""," - "&amp;D40))</f>
        <v/>
      </c>
    </row>
    <row r="41" customFormat="false" ht="15" hidden="false" customHeight="false" outlineLevel="0" collapsed="false">
      <c r="A41" s="32"/>
      <c r="B41" s="19"/>
      <c r="C41" s="19"/>
      <c r="D41" s="19"/>
      <c r="E41" s="21"/>
      <c r="F41" s="19"/>
      <c r="G41" s="27" t="str">
        <f aca="false">IF(B41="","",IFERROR(INDEX(Jeux!$C$2:$C$3001,MATCH(B41,Jeux!$A$2:$A$3001,0))&amp;"","⚠ jeu inconnu"))</f>
        <v/>
      </c>
      <c r="H41" s="27" t="str">
        <f aca="false">IF(B41="","",IFERROR(INDEX(Jeux!$D$2:$D$3001,MATCH(B41,Jeux!$A$2:$A$3001,0))&amp;"",""))</f>
        <v/>
      </c>
      <c r="I41" s="26" t="str">
        <f aca="false">IF(A41="","",COUNTIF(Apparitions!$G$2:$G$5001,A41))</f>
        <v/>
      </c>
      <c r="J41" s="26" t="str">
        <f aca="false">IF(A41="","",COUNTIFS(Apparitions!$G$2:$G$5001,A41,Apparitions!$E$2:$E$5001,"○"))</f>
        <v/>
      </c>
      <c r="K41" s="29" t="str">
        <f aca="false">IF(A41="","",IFERROR(1/(1/_xlfn.MINIFS(Apparitions!$L$2:$L$5001,Apparitions!$G$2:$G$5001,A41)),""))</f>
        <v/>
      </c>
      <c r="L41" s="27" t="str">
        <f aca="false">IF(A41="","",A41&amp;" | "&amp;B41&amp;IF(C41="",""," ("&amp;C41&amp;")")&amp;IF(D41="",""," - "&amp;D41))</f>
        <v/>
      </c>
    </row>
    <row r="42" customFormat="false" ht="15" hidden="false" customHeight="false" outlineLevel="0" collapsed="false">
      <c r="A42" s="32"/>
      <c r="B42" s="19"/>
      <c r="C42" s="19"/>
      <c r="D42" s="19"/>
      <c r="E42" s="21"/>
      <c r="F42" s="19"/>
      <c r="G42" s="27" t="str">
        <f aca="false">IF(B42="","",IFERROR(INDEX(Jeux!$C$2:$C$3001,MATCH(B42,Jeux!$A$2:$A$3001,0))&amp;"","⚠ jeu inconnu"))</f>
        <v/>
      </c>
      <c r="H42" s="27" t="str">
        <f aca="false">IF(B42="","",IFERROR(INDEX(Jeux!$D$2:$D$3001,MATCH(B42,Jeux!$A$2:$A$3001,0))&amp;"",""))</f>
        <v/>
      </c>
      <c r="I42" s="26" t="str">
        <f aca="false">IF(A42="","",COUNTIF(Apparitions!$G$2:$G$5001,A42))</f>
        <v/>
      </c>
      <c r="J42" s="26" t="str">
        <f aca="false">IF(A42="","",COUNTIFS(Apparitions!$G$2:$G$5001,A42,Apparitions!$E$2:$E$5001,"○"))</f>
        <v/>
      </c>
      <c r="K42" s="29" t="str">
        <f aca="false">IF(A42="","",IFERROR(1/(1/_xlfn.MINIFS(Apparitions!$L$2:$L$5001,Apparitions!$G$2:$G$5001,A42)),""))</f>
        <v/>
      </c>
      <c r="L42" s="27" t="str">
        <f aca="false">IF(A42="","",A42&amp;" | "&amp;B42&amp;IF(C42="",""," ("&amp;C42&amp;")")&amp;IF(D42="",""," - "&amp;D42))</f>
        <v/>
      </c>
    </row>
    <row r="43" customFormat="false" ht="15" hidden="false" customHeight="false" outlineLevel="0" collapsed="false">
      <c r="A43" s="32"/>
      <c r="B43" s="19"/>
      <c r="C43" s="19"/>
      <c r="D43" s="19"/>
      <c r="E43" s="21"/>
      <c r="F43" s="19"/>
      <c r="G43" s="27" t="str">
        <f aca="false">IF(B43="","",IFERROR(INDEX(Jeux!$C$2:$C$3001,MATCH(B43,Jeux!$A$2:$A$3001,0))&amp;"","⚠ jeu inconnu"))</f>
        <v/>
      </c>
      <c r="H43" s="27" t="str">
        <f aca="false">IF(B43="","",IFERROR(INDEX(Jeux!$D$2:$D$3001,MATCH(B43,Jeux!$A$2:$A$3001,0))&amp;"",""))</f>
        <v/>
      </c>
      <c r="I43" s="26" t="str">
        <f aca="false">IF(A43="","",COUNTIF(Apparitions!$G$2:$G$5001,A43))</f>
        <v/>
      </c>
      <c r="J43" s="26" t="str">
        <f aca="false">IF(A43="","",COUNTIFS(Apparitions!$G$2:$G$5001,A43,Apparitions!$E$2:$E$5001,"○"))</f>
        <v/>
      </c>
      <c r="K43" s="29" t="str">
        <f aca="false">IF(A43="","",IFERROR(1/(1/_xlfn.MINIFS(Apparitions!$L$2:$L$5001,Apparitions!$G$2:$G$5001,A43)),""))</f>
        <v/>
      </c>
      <c r="L43" s="27" t="str">
        <f aca="false">IF(A43="","",A43&amp;" | "&amp;B43&amp;IF(C43="",""," ("&amp;C43&amp;")")&amp;IF(D43="",""," - "&amp;D43))</f>
        <v/>
      </c>
    </row>
    <row r="44" customFormat="false" ht="15" hidden="false" customHeight="false" outlineLevel="0" collapsed="false">
      <c r="A44" s="32"/>
      <c r="B44" s="19"/>
      <c r="C44" s="19"/>
      <c r="D44" s="19"/>
      <c r="E44" s="21"/>
      <c r="F44" s="19"/>
      <c r="G44" s="27" t="str">
        <f aca="false">IF(B44="","",IFERROR(INDEX(Jeux!$C$2:$C$3001,MATCH(B44,Jeux!$A$2:$A$3001,0))&amp;"","⚠ jeu inconnu"))</f>
        <v/>
      </c>
      <c r="H44" s="27" t="str">
        <f aca="false">IF(B44="","",IFERROR(INDEX(Jeux!$D$2:$D$3001,MATCH(B44,Jeux!$A$2:$A$3001,0))&amp;"",""))</f>
        <v/>
      </c>
      <c r="I44" s="26" t="str">
        <f aca="false">IF(A44="","",COUNTIF(Apparitions!$G$2:$G$5001,A44))</f>
        <v/>
      </c>
      <c r="J44" s="26" t="str">
        <f aca="false">IF(A44="","",COUNTIFS(Apparitions!$G$2:$G$5001,A44,Apparitions!$E$2:$E$5001,"○"))</f>
        <v/>
      </c>
      <c r="K44" s="29" t="str">
        <f aca="false">IF(A44="","",IFERROR(1/(1/_xlfn.MINIFS(Apparitions!$L$2:$L$5001,Apparitions!$G$2:$G$5001,A44)),""))</f>
        <v/>
      </c>
      <c r="L44" s="27" t="str">
        <f aca="false">IF(A44="","",A44&amp;" | "&amp;B44&amp;IF(C44="",""," ("&amp;C44&amp;")")&amp;IF(D44="",""," - "&amp;D44))</f>
        <v/>
      </c>
    </row>
    <row r="45" customFormat="false" ht="15" hidden="false" customHeight="false" outlineLevel="0" collapsed="false">
      <c r="A45" s="32"/>
      <c r="B45" s="19"/>
      <c r="C45" s="19"/>
      <c r="D45" s="19"/>
      <c r="E45" s="21"/>
      <c r="F45" s="19"/>
      <c r="G45" s="27" t="str">
        <f aca="false">IF(B45="","",IFERROR(INDEX(Jeux!$C$2:$C$3001,MATCH(B45,Jeux!$A$2:$A$3001,0))&amp;"","⚠ jeu inconnu"))</f>
        <v/>
      </c>
      <c r="H45" s="27" t="str">
        <f aca="false">IF(B45="","",IFERROR(INDEX(Jeux!$D$2:$D$3001,MATCH(B45,Jeux!$A$2:$A$3001,0))&amp;"",""))</f>
        <v/>
      </c>
      <c r="I45" s="26" t="str">
        <f aca="false">IF(A45="","",COUNTIF(Apparitions!$G$2:$G$5001,A45))</f>
        <v/>
      </c>
      <c r="J45" s="26" t="str">
        <f aca="false">IF(A45="","",COUNTIFS(Apparitions!$G$2:$G$5001,A45,Apparitions!$E$2:$E$5001,"○"))</f>
        <v/>
      </c>
      <c r="K45" s="29" t="str">
        <f aca="false">IF(A45="","",IFERROR(1/(1/_xlfn.MINIFS(Apparitions!$L$2:$L$5001,Apparitions!$G$2:$G$5001,A45)),""))</f>
        <v/>
      </c>
      <c r="L45" s="27" t="str">
        <f aca="false">IF(A45="","",A45&amp;" | "&amp;B45&amp;IF(C45="",""," ("&amp;C45&amp;")")&amp;IF(D45="",""," - "&amp;D45))</f>
        <v/>
      </c>
    </row>
    <row r="46" customFormat="false" ht="15" hidden="false" customHeight="false" outlineLevel="0" collapsed="false">
      <c r="A46" s="32"/>
      <c r="B46" s="19"/>
      <c r="C46" s="19"/>
      <c r="D46" s="19"/>
      <c r="E46" s="21"/>
      <c r="F46" s="19"/>
      <c r="G46" s="27" t="str">
        <f aca="false">IF(B46="","",IFERROR(INDEX(Jeux!$C$2:$C$3001,MATCH(B46,Jeux!$A$2:$A$3001,0))&amp;"","⚠ jeu inconnu"))</f>
        <v/>
      </c>
      <c r="H46" s="27" t="str">
        <f aca="false">IF(B46="","",IFERROR(INDEX(Jeux!$D$2:$D$3001,MATCH(B46,Jeux!$A$2:$A$3001,0))&amp;"",""))</f>
        <v/>
      </c>
      <c r="I46" s="26" t="str">
        <f aca="false">IF(A46="","",COUNTIF(Apparitions!$G$2:$G$5001,A46))</f>
        <v/>
      </c>
      <c r="J46" s="26" t="str">
        <f aca="false">IF(A46="","",COUNTIFS(Apparitions!$G$2:$G$5001,A46,Apparitions!$E$2:$E$5001,"○"))</f>
        <v/>
      </c>
      <c r="K46" s="29" t="str">
        <f aca="false">IF(A46="","",IFERROR(1/(1/_xlfn.MINIFS(Apparitions!$L$2:$L$5001,Apparitions!$G$2:$G$5001,A46)),""))</f>
        <v/>
      </c>
      <c r="L46" s="27" t="str">
        <f aca="false">IF(A46="","",A46&amp;" | "&amp;B46&amp;IF(C46="",""," ("&amp;C46&amp;")")&amp;IF(D46="",""," - "&amp;D46))</f>
        <v/>
      </c>
    </row>
    <row r="47" customFormat="false" ht="15" hidden="false" customHeight="false" outlineLevel="0" collapsed="false">
      <c r="A47" s="32"/>
      <c r="B47" s="19"/>
      <c r="C47" s="19"/>
      <c r="D47" s="19"/>
      <c r="E47" s="21"/>
      <c r="F47" s="19"/>
      <c r="G47" s="27" t="str">
        <f aca="false">IF(B47="","",IFERROR(INDEX(Jeux!$C$2:$C$3001,MATCH(B47,Jeux!$A$2:$A$3001,0))&amp;"","⚠ jeu inconnu"))</f>
        <v/>
      </c>
      <c r="H47" s="27" t="str">
        <f aca="false">IF(B47="","",IFERROR(INDEX(Jeux!$D$2:$D$3001,MATCH(B47,Jeux!$A$2:$A$3001,0))&amp;"",""))</f>
        <v/>
      </c>
      <c r="I47" s="26" t="str">
        <f aca="false">IF(A47="","",COUNTIF(Apparitions!$G$2:$G$5001,A47))</f>
        <v/>
      </c>
      <c r="J47" s="26" t="str">
        <f aca="false">IF(A47="","",COUNTIFS(Apparitions!$G$2:$G$5001,A47,Apparitions!$E$2:$E$5001,"○"))</f>
        <v/>
      </c>
      <c r="K47" s="29" t="str">
        <f aca="false">IF(A47="","",IFERROR(1/(1/_xlfn.MINIFS(Apparitions!$L$2:$L$5001,Apparitions!$G$2:$G$5001,A47)),""))</f>
        <v/>
      </c>
      <c r="L47" s="27" t="str">
        <f aca="false">IF(A47="","",A47&amp;" | "&amp;B47&amp;IF(C47="",""," ("&amp;C47&amp;")")&amp;IF(D47="",""," - "&amp;D47))</f>
        <v/>
      </c>
    </row>
    <row r="48" customFormat="false" ht="15" hidden="false" customHeight="false" outlineLevel="0" collapsed="false">
      <c r="A48" s="32"/>
      <c r="B48" s="19"/>
      <c r="C48" s="19"/>
      <c r="D48" s="19"/>
      <c r="E48" s="21"/>
      <c r="F48" s="19"/>
      <c r="G48" s="27" t="str">
        <f aca="false">IF(B48="","",IFERROR(INDEX(Jeux!$C$2:$C$3001,MATCH(B48,Jeux!$A$2:$A$3001,0))&amp;"","⚠ jeu inconnu"))</f>
        <v/>
      </c>
      <c r="H48" s="27" t="str">
        <f aca="false">IF(B48="","",IFERROR(INDEX(Jeux!$D$2:$D$3001,MATCH(B48,Jeux!$A$2:$A$3001,0))&amp;"",""))</f>
        <v/>
      </c>
      <c r="I48" s="26" t="str">
        <f aca="false">IF(A48="","",COUNTIF(Apparitions!$G$2:$G$5001,A48))</f>
        <v/>
      </c>
      <c r="J48" s="26" t="str">
        <f aca="false">IF(A48="","",COUNTIFS(Apparitions!$G$2:$G$5001,A48,Apparitions!$E$2:$E$5001,"○"))</f>
        <v/>
      </c>
      <c r="K48" s="29" t="str">
        <f aca="false">IF(A48="","",IFERROR(1/(1/_xlfn.MINIFS(Apparitions!$L$2:$L$5001,Apparitions!$G$2:$G$5001,A48)),""))</f>
        <v/>
      </c>
      <c r="L48" s="27" t="str">
        <f aca="false">IF(A48="","",A48&amp;" | "&amp;B48&amp;IF(C48="",""," ("&amp;C48&amp;")")&amp;IF(D48="",""," - "&amp;D48))</f>
        <v/>
      </c>
    </row>
    <row r="49" customFormat="false" ht="15" hidden="false" customHeight="false" outlineLevel="0" collapsed="false">
      <c r="A49" s="32"/>
      <c r="B49" s="19"/>
      <c r="C49" s="19"/>
      <c r="D49" s="19"/>
      <c r="E49" s="21"/>
      <c r="F49" s="19"/>
      <c r="G49" s="27" t="str">
        <f aca="false">IF(B49="","",IFERROR(INDEX(Jeux!$C$2:$C$3001,MATCH(B49,Jeux!$A$2:$A$3001,0))&amp;"","⚠ jeu inconnu"))</f>
        <v/>
      </c>
      <c r="H49" s="27" t="str">
        <f aca="false">IF(B49="","",IFERROR(INDEX(Jeux!$D$2:$D$3001,MATCH(B49,Jeux!$A$2:$A$3001,0))&amp;"",""))</f>
        <v/>
      </c>
      <c r="I49" s="26" t="str">
        <f aca="false">IF(A49="","",COUNTIF(Apparitions!$G$2:$G$5001,A49))</f>
        <v/>
      </c>
      <c r="J49" s="26" t="str">
        <f aca="false">IF(A49="","",COUNTIFS(Apparitions!$G$2:$G$5001,A49,Apparitions!$E$2:$E$5001,"○"))</f>
        <v/>
      </c>
      <c r="K49" s="29" t="str">
        <f aca="false">IF(A49="","",IFERROR(1/(1/_xlfn.MINIFS(Apparitions!$L$2:$L$5001,Apparitions!$G$2:$G$5001,A49)),""))</f>
        <v/>
      </c>
      <c r="L49" s="27" t="str">
        <f aca="false">IF(A49="","",A49&amp;" | "&amp;B49&amp;IF(C49="",""," ("&amp;C49&amp;")")&amp;IF(D49="",""," - "&amp;D49))</f>
        <v/>
      </c>
    </row>
    <row r="50" customFormat="false" ht="15" hidden="false" customHeight="false" outlineLevel="0" collapsed="false">
      <c r="A50" s="32"/>
      <c r="B50" s="19"/>
      <c r="C50" s="19"/>
      <c r="D50" s="19"/>
      <c r="E50" s="21"/>
      <c r="F50" s="19"/>
      <c r="G50" s="27" t="str">
        <f aca="false">IF(B50="","",IFERROR(INDEX(Jeux!$C$2:$C$3001,MATCH(B50,Jeux!$A$2:$A$3001,0))&amp;"","⚠ jeu inconnu"))</f>
        <v/>
      </c>
      <c r="H50" s="27" t="str">
        <f aca="false">IF(B50="","",IFERROR(INDEX(Jeux!$D$2:$D$3001,MATCH(B50,Jeux!$A$2:$A$3001,0))&amp;"",""))</f>
        <v/>
      </c>
      <c r="I50" s="26" t="str">
        <f aca="false">IF(A50="","",COUNTIF(Apparitions!$G$2:$G$5001,A50))</f>
        <v/>
      </c>
      <c r="J50" s="26" t="str">
        <f aca="false">IF(A50="","",COUNTIFS(Apparitions!$G$2:$G$5001,A50,Apparitions!$E$2:$E$5001,"○"))</f>
        <v/>
      </c>
      <c r="K50" s="29" t="str">
        <f aca="false">IF(A50="","",IFERROR(1/(1/_xlfn.MINIFS(Apparitions!$L$2:$L$5001,Apparitions!$G$2:$G$5001,A50)),""))</f>
        <v/>
      </c>
      <c r="L50" s="27" t="str">
        <f aca="false">IF(A50="","",A50&amp;" | "&amp;B50&amp;IF(C50="",""," ("&amp;C50&amp;")")&amp;IF(D50="",""," - "&amp;D50))</f>
        <v/>
      </c>
    </row>
    <row r="51" customFormat="false" ht="15" hidden="false" customHeight="false" outlineLevel="0" collapsed="false">
      <c r="A51" s="32"/>
      <c r="B51" s="19"/>
      <c r="C51" s="19"/>
      <c r="D51" s="19"/>
      <c r="E51" s="21"/>
      <c r="F51" s="19"/>
      <c r="G51" s="27" t="str">
        <f aca="false">IF(B51="","",IFERROR(INDEX(Jeux!$C$2:$C$3001,MATCH(B51,Jeux!$A$2:$A$3001,0))&amp;"","⚠ jeu inconnu"))</f>
        <v/>
      </c>
      <c r="H51" s="27" t="str">
        <f aca="false">IF(B51="","",IFERROR(INDEX(Jeux!$D$2:$D$3001,MATCH(B51,Jeux!$A$2:$A$3001,0))&amp;"",""))</f>
        <v/>
      </c>
      <c r="I51" s="26" t="str">
        <f aca="false">IF(A51="","",COUNTIF(Apparitions!$G$2:$G$5001,A51))</f>
        <v/>
      </c>
      <c r="J51" s="26" t="str">
        <f aca="false">IF(A51="","",COUNTIFS(Apparitions!$G$2:$G$5001,A51,Apparitions!$E$2:$E$5001,"○"))</f>
        <v/>
      </c>
      <c r="K51" s="29" t="str">
        <f aca="false">IF(A51="","",IFERROR(1/(1/_xlfn.MINIFS(Apparitions!$L$2:$L$5001,Apparitions!$G$2:$G$5001,A51)),""))</f>
        <v/>
      </c>
      <c r="L51" s="27" t="str">
        <f aca="false">IF(A51="","",A51&amp;" | "&amp;B51&amp;IF(C51="",""," ("&amp;C51&amp;")")&amp;IF(D51="",""," - "&amp;D51))</f>
        <v/>
      </c>
    </row>
    <row r="52" customFormat="false" ht="15" hidden="false" customHeight="false" outlineLevel="0" collapsed="false">
      <c r="A52" s="32"/>
      <c r="B52" s="19"/>
      <c r="C52" s="19"/>
      <c r="D52" s="19"/>
      <c r="E52" s="21"/>
      <c r="F52" s="19"/>
      <c r="G52" s="27" t="str">
        <f aca="false">IF(B52="","",IFERROR(INDEX(Jeux!$C$2:$C$3001,MATCH(B52,Jeux!$A$2:$A$3001,0))&amp;"","⚠ jeu inconnu"))</f>
        <v/>
      </c>
      <c r="H52" s="27" t="str">
        <f aca="false">IF(B52="","",IFERROR(INDEX(Jeux!$D$2:$D$3001,MATCH(B52,Jeux!$A$2:$A$3001,0))&amp;"",""))</f>
        <v/>
      </c>
      <c r="I52" s="26" t="str">
        <f aca="false">IF(A52="","",COUNTIF(Apparitions!$G$2:$G$5001,A52))</f>
        <v/>
      </c>
      <c r="J52" s="26" t="str">
        <f aca="false">IF(A52="","",COUNTIFS(Apparitions!$G$2:$G$5001,A52,Apparitions!$E$2:$E$5001,"○"))</f>
        <v/>
      </c>
      <c r="K52" s="29" t="str">
        <f aca="false">IF(A52="","",IFERROR(1/(1/_xlfn.MINIFS(Apparitions!$L$2:$L$5001,Apparitions!$G$2:$G$5001,A52)),""))</f>
        <v/>
      </c>
      <c r="L52" s="27" t="str">
        <f aca="false">IF(A52="","",A52&amp;" | "&amp;B52&amp;IF(C52="",""," ("&amp;C52&amp;")")&amp;IF(D52="",""," - "&amp;D52))</f>
        <v/>
      </c>
    </row>
    <row r="53" customFormat="false" ht="15" hidden="false" customHeight="false" outlineLevel="0" collapsed="false">
      <c r="A53" s="32"/>
      <c r="B53" s="19"/>
      <c r="C53" s="19"/>
      <c r="D53" s="19"/>
      <c r="E53" s="21"/>
      <c r="F53" s="19"/>
      <c r="G53" s="27" t="str">
        <f aca="false">IF(B53="","",IFERROR(INDEX(Jeux!$C$2:$C$3001,MATCH(B53,Jeux!$A$2:$A$3001,0))&amp;"","⚠ jeu inconnu"))</f>
        <v/>
      </c>
      <c r="H53" s="27" t="str">
        <f aca="false">IF(B53="","",IFERROR(INDEX(Jeux!$D$2:$D$3001,MATCH(B53,Jeux!$A$2:$A$3001,0))&amp;"",""))</f>
        <v/>
      </c>
      <c r="I53" s="26" t="str">
        <f aca="false">IF(A53="","",COUNTIF(Apparitions!$G$2:$G$5001,A53))</f>
        <v/>
      </c>
      <c r="J53" s="26" t="str">
        <f aca="false">IF(A53="","",COUNTIFS(Apparitions!$G$2:$G$5001,A53,Apparitions!$E$2:$E$5001,"○"))</f>
        <v/>
      </c>
      <c r="K53" s="29" t="str">
        <f aca="false">IF(A53="","",IFERROR(1/(1/_xlfn.MINIFS(Apparitions!$L$2:$L$5001,Apparitions!$G$2:$G$5001,A53)),""))</f>
        <v/>
      </c>
      <c r="L53" s="27" t="str">
        <f aca="false">IF(A53="","",A53&amp;" | "&amp;B53&amp;IF(C53="",""," ("&amp;C53&amp;")")&amp;IF(D53="",""," - "&amp;D53))</f>
        <v/>
      </c>
    </row>
    <row r="54" customFormat="false" ht="15" hidden="false" customHeight="false" outlineLevel="0" collapsed="false">
      <c r="A54" s="32"/>
      <c r="B54" s="19"/>
      <c r="C54" s="19"/>
      <c r="D54" s="19"/>
      <c r="E54" s="21"/>
      <c r="F54" s="19"/>
      <c r="G54" s="27" t="str">
        <f aca="false">IF(B54="","",IFERROR(INDEX(Jeux!$C$2:$C$3001,MATCH(B54,Jeux!$A$2:$A$3001,0))&amp;"","⚠ jeu inconnu"))</f>
        <v/>
      </c>
      <c r="H54" s="27" t="str">
        <f aca="false">IF(B54="","",IFERROR(INDEX(Jeux!$D$2:$D$3001,MATCH(B54,Jeux!$A$2:$A$3001,0))&amp;"",""))</f>
        <v/>
      </c>
      <c r="I54" s="26" t="str">
        <f aca="false">IF(A54="","",COUNTIF(Apparitions!$G$2:$G$5001,A54))</f>
        <v/>
      </c>
      <c r="J54" s="26" t="str">
        <f aca="false">IF(A54="","",COUNTIFS(Apparitions!$G$2:$G$5001,A54,Apparitions!$E$2:$E$5001,"○"))</f>
        <v/>
      </c>
      <c r="K54" s="29" t="str">
        <f aca="false">IF(A54="","",IFERROR(1/(1/_xlfn.MINIFS(Apparitions!$L$2:$L$5001,Apparitions!$G$2:$G$5001,A54)),""))</f>
        <v/>
      </c>
      <c r="L54" s="27" t="str">
        <f aca="false">IF(A54="","",A54&amp;" | "&amp;B54&amp;IF(C54="",""," ("&amp;C54&amp;")")&amp;IF(D54="",""," - "&amp;D54))</f>
        <v/>
      </c>
    </row>
    <row r="55" customFormat="false" ht="15" hidden="false" customHeight="false" outlineLevel="0" collapsed="false">
      <c r="A55" s="32"/>
      <c r="B55" s="19"/>
      <c r="C55" s="19"/>
      <c r="D55" s="19"/>
      <c r="E55" s="21"/>
      <c r="F55" s="19"/>
      <c r="G55" s="27" t="str">
        <f aca="false">IF(B55="","",IFERROR(INDEX(Jeux!$C$2:$C$3001,MATCH(B55,Jeux!$A$2:$A$3001,0))&amp;"","⚠ jeu inconnu"))</f>
        <v/>
      </c>
      <c r="H55" s="27" t="str">
        <f aca="false">IF(B55="","",IFERROR(INDEX(Jeux!$D$2:$D$3001,MATCH(B55,Jeux!$A$2:$A$3001,0))&amp;"",""))</f>
        <v/>
      </c>
      <c r="I55" s="26" t="str">
        <f aca="false">IF(A55="","",COUNTIF(Apparitions!$G$2:$G$5001,A55))</f>
        <v/>
      </c>
      <c r="J55" s="26" t="str">
        <f aca="false">IF(A55="","",COUNTIFS(Apparitions!$G$2:$G$5001,A55,Apparitions!$E$2:$E$5001,"○"))</f>
        <v/>
      </c>
      <c r="K55" s="29" t="str">
        <f aca="false">IF(A55="","",IFERROR(1/(1/_xlfn.MINIFS(Apparitions!$L$2:$L$5001,Apparitions!$G$2:$G$5001,A55)),""))</f>
        <v/>
      </c>
      <c r="L55" s="27" t="str">
        <f aca="false">IF(A55="","",A55&amp;" | "&amp;B55&amp;IF(C55="",""," ("&amp;C55&amp;")")&amp;IF(D55="",""," - "&amp;D55))</f>
        <v/>
      </c>
    </row>
    <row r="56" customFormat="false" ht="15" hidden="false" customHeight="false" outlineLevel="0" collapsed="false">
      <c r="A56" s="32"/>
      <c r="B56" s="19"/>
      <c r="C56" s="19"/>
      <c r="D56" s="19"/>
      <c r="E56" s="21"/>
      <c r="F56" s="19"/>
      <c r="G56" s="27" t="str">
        <f aca="false">IF(B56="","",IFERROR(INDEX(Jeux!$C$2:$C$3001,MATCH(B56,Jeux!$A$2:$A$3001,0))&amp;"","⚠ jeu inconnu"))</f>
        <v/>
      </c>
      <c r="H56" s="27" t="str">
        <f aca="false">IF(B56="","",IFERROR(INDEX(Jeux!$D$2:$D$3001,MATCH(B56,Jeux!$A$2:$A$3001,0))&amp;"",""))</f>
        <v/>
      </c>
      <c r="I56" s="26" t="str">
        <f aca="false">IF(A56="","",COUNTIF(Apparitions!$G$2:$G$5001,A56))</f>
        <v/>
      </c>
      <c r="J56" s="26" t="str">
        <f aca="false">IF(A56="","",COUNTIFS(Apparitions!$G$2:$G$5001,A56,Apparitions!$E$2:$E$5001,"○"))</f>
        <v/>
      </c>
      <c r="K56" s="29" t="str">
        <f aca="false">IF(A56="","",IFERROR(1/(1/_xlfn.MINIFS(Apparitions!$L$2:$L$5001,Apparitions!$G$2:$G$5001,A56)),""))</f>
        <v/>
      </c>
      <c r="L56" s="27" t="str">
        <f aca="false">IF(A56="","",A56&amp;" | "&amp;B56&amp;IF(C56="",""," ("&amp;C56&amp;")")&amp;IF(D56="",""," - "&amp;D56))</f>
        <v/>
      </c>
    </row>
    <row r="57" customFormat="false" ht="15" hidden="false" customHeight="false" outlineLevel="0" collapsed="false">
      <c r="A57" s="32"/>
      <c r="B57" s="19"/>
      <c r="C57" s="19"/>
      <c r="D57" s="19"/>
      <c r="E57" s="21"/>
      <c r="F57" s="19"/>
      <c r="G57" s="27" t="str">
        <f aca="false">IF(B57="","",IFERROR(INDEX(Jeux!$C$2:$C$3001,MATCH(B57,Jeux!$A$2:$A$3001,0))&amp;"","⚠ jeu inconnu"))</f>
        <v/>
      </c>
      <c r="H57" s="27" t="str">
        <f aca="false">IF(B57="","",IFERROR(INDEX(Jeux!$D$2:$D$3001,MATCH(B57,Jeux!$A$2:$A$3001,0))&amp;"",""))</f>
        <v/>
      </c>
      <c r="I57" s="26" t="str">
        <f aca="false">IF(A57="","",COUNTIF(Apparitions!$G$2:$G$5001,A57))</f>
        <v/>
      </c>
      <c r="J57" s="26" t="str">
        <f aca="false">IF(A57="","",COUNTIFS(Apparitions!$G$2:$G$5001,A57,Apparitions!$E$2:$E$5001,"○"))</f>
        <v/>
      </c>
      <c r="K57" s="29" t="str">
        <f aca="false">IF(A57="","",IFERROR(1/(1/_xlfn.MINIFS(Apparitions!$L$2:$L$5001,Apparitions!$G$2:$G$5001,A57)),""))</f>
        <v/>
      </c>
      <c r="L57" s="27" t="str">
        <f aca="false">IF(A57="","",A57&amp;" | "&amp;B57&amp;IF(C57="",""," ("&amp;C57&amp;")")&amp;IF(D57="",""," - "&amp;D57))</f>
        <v/>
      </c>
    </row>
    <row r="58" customFormat="false" ht="15" hidden="false" customHeight="false" outlineLevel="0" collapsed="false">
      <c r="A58" s="32"/>
      <c r="B58" s="19"/>
      <c r="C58" s="19"/>
      <c r="D58" s="19"/>
      <c r="E58" s="21"/>
      <c r="F58" s="19"/>
      <c r="G58" s="27" t="str">
        <f aca="false">IF(B58="","",IFERROR(INDEX(Jeux!$C$2:$C$3001,MATCH(B58,Jeux!$A$2:$A$3001,0))&amp;"","⚠ jeu inconnu"))</f>
        <v/>
      </c>
      <c r="H58" s="27" t="str">
        <f aca="false">IF(B58="","",IFERROR(INDEX(Jeux!$D$2:$D$3001,MATCH(B58,Jeux!$A$2:$A$3001,0))&amp;"",""))</f>
        <v/>
      </c>
      <c r="I58" s="26" t="str">
        <f aca="false">IF(A58="","",COUNTIF(Apparitions!$G$2:$G$5001,A58))</f>
        <v/>
      </c>
      <c r="J58" s="26" t="str">
        <f aca="false">IF(A58="","",COUNTIFS(Apparitions!$G$2:$G$5001,A58,Apparitions!$E$2:$E$5001,"○"))</f>
        <v/>
      </c>
      <c r="K58" s="29" t="str">
        <f aca="false">IF(A58="","",IFERROR(1/(1/_xlfn.MINIFS(Apparitions!$L$2:$L$5001,Apparitions!$G$2:$G$5001,A58)),""))</f>
        <v/>
      </c>
      <c r="L58" s="27" t="str">
        <f aca="false">IF(A58="","",A58&amp;" | "&amp;B58&amp;IF(C58="",""," ("&amp;C58&amp;")")&amp;IF(D58="",""," - "&amp;D58))</f>
        <v/>
      </c>
    </row>
    <row r="59" customFormat="false" ht="15" hidden="false" customHeight="false" outlineLevel="0" collapsed="false">
      <c r="A59" s="32"/>
      <c r="B59" s="19"/>
      <c r="C59" s="19"/>
      <c r="D59" s="19"/>
      <c r="E59" s="21"/>
      <c r="F59" s="19"/>
      <c r="G59" s="27" t="str">
        <f aca="false">IF(B59="","",IFERROR(INDEX(Jeux!$C$2:$C$3001,MATCH(B59,Jeux!$A$2:$A$3001,0))&amp;"","⚠ jeu inconnu"))</f>
        <v/>
      </c>
      <c r="H59" s="27" t="str">
        <f aca="false">IF(B59="","",IFERROR(INDEX(Jeux!$D$2:$D$3001,MATCH(B59,Jeux!$A$2:$A$3001,0))&amp;"",""))</f>
        <v/>
      </c>
      <c r="I59" s="26" t="str">
        <f aca="false">IF(A59="","",COUNTIF(Apparitions!$G$2:$G$5001,A59))</f>
        <v/>
      </c>
      <c r="J59" s="26" t="str">
        <f aca="false">IF(A59="","",COUNTIFS(Apparitions!$G$2:$G$5001,A59,Apparitions!$E$2:$E$5001,"○"))</f>
        <v/>
      </c>
      <c r="K59" s="29" t="str">
        <f aca="false">IF(A59="","",IFERROR(1/(1/_xlfn.MINIFS(Apparitions!$L$2:$L$5001,Apparitions!$G$2:$G$5001,A59)),""))</f>
        <v/>
      </c>
      <c r="L59" s="27" t="str">
        <f aca="false">IF(A59="","",A59&amp;" | "&amp;B59&amp;IF(C59="",""," ("&amp;C59&amp;")")&amp;IF(D59="",""," - "&amp;D59))</f>
        <v/>
      </c>
    </row>
    <row r="60" customFormat="false" ht="15" hidden="false" customHeight="false" outlineLevel="0" collapsed="false">
      <c r="A60" s="32"/>
      <c r="B60" s="19"/>
      <c r="C60" s="19"/>
      <c r="D60" s="19"/>
      <c r="E60" s="21"/>
      <c r="F60" s="19"/>
      <c r="G60" s="27" t="str">
        <f aca="false">IF(B60="","",IFERROR(INDEX(Jeux!$C$2:$C$3001,MATCH(B60,Jeux!$A$2:$A$3001,0))&amp;"","⚠ jeu inconnu"))</f>
        <v/>
      </c>
      <c r="H60" s="27" t="str">
        <f aca="false">IF(B60="","",IFERROR(INDEX(Jeux!$D$2:$D$3001,MATCH(B60,Jeux!$A$2:$A$3001,0))&amp;"",""))</f>
        <v/>
      </c>
      <c r="I60" s="26" t="str">
        <f aca="false">IF(A60="","",COUNTIF(Apparitions!$G$2:$G$5001,A60))</f>
        <v/>
      </c>
      <c r="J60" s="26" t="str">
        <f aca="false">IF(A60="","",COUNTIFS(Apparitions!$G$2:$G$5001,A60,Apparitions!$E$2:$E$5001,"○"))</f>
        <v/>
      </c>
      <c r="K60" s="29" t="str">
        <f aca="false">IF(A60="","",IFERROR(1/(1/_xlfn.MINIFS(Apparitions!$L$2:$L$5001,Apparitions!$G$2:$G$5001,A60)),""))</f>
        <v/>
      </c>
      <c r="L60" s="27" t="str">
        <f aca="false">IF(A60="","",A60&amp;" | "&amp;B60&amp;IF(C60="",""," ("&amp;C60&amp;")")&amp;IF(D60="",""," - "&amp;D60))</f>
        <v/>
      </c>
    </row>
    <row r="61" customFormat="false" ht="15" hidden="false" customHeight="false" outlineLevel="0" collapsed="false">
      <c r="A61" s="32"/>
      <c r="B61" s="19"/>
      <c r="C61" s="19"/>
      <c r="D61" s="19"/>
      <c r="E61" s="21"/>
      <c r="F61" s="19"/>
      <c r="G61" s="27" t="str">
        <f aca="false">IF(B61="","",IFERROR(INDEX(Jeux!$C$2:$C$3001,MATCH(B61,Jeux!$A$2:$A$3001,0))&amp;"","⚠ jeu inconnu"))</f>
        <v/>
      </c>
      <c r="H61" s="27" t="str">
        <f aca="false">IF(B61="","",IFERROR(INDEX(Jeux!$D$2:$D$3001,MATCH(B61,Jeux!$A$2:$A$3001,0))&amp;"",""))</f>
        <v/>
      </c>
      <c r="I61" s="26" t="str">
        <f aca="false">IF(A61="","",COUNTIF(Apparitions!$G$2:$G$5001,A61))</f>
        <v/>
      </c>
      <c r="J61" s="26" t="str">
        <f aca="false">IF(A61="","",COUNTIFS(Apparitions!$G$2:$G$5001,A61,Apparitions!$E$2:$E$5001,"○"))</f>
        <v/>
      </c>
      <c r="K61" s="29" t="str">
        <f aca="false">IF(A61="","",IFERROR(1/(1/_xlfn.MINIFS(Apparitions!$L$2:$L$5001,Apparitions!$G$2:$G$5001,A61)),""))</f>
        <v/>
      </c>
      <c r="L61" s="27" t="str">
        <f aca="false">IF(A61="","",A61&amp;" | "&amp;B61&amp;IF(C61="",""," ("&amp;C61&amp;")")&amp;IF(D61="",""," - "&amp;D61))</f>
        <v/>
      </c>
    </row>
    <row r="62" customFormat="false" ht="15" hidden="false" customHeight="false" outlineLevel="0" collapsed="false">
      <c r="A62" s="32"/>
      <c r="B62" s="19"/>
      <c r="C62" s="19"/>
      <c r="D62" s="19"/>
      <c r="E62" s="21"/>
      <c r="F62" s="19"/>
      <c r="G62" s="27" t="str">
        <f aca="false">IF(B62="","",IFERROR(INDEX(Jeux!$C$2:$C$3001,MATCH(B62,Jeux!$A$2:$A$3001,0))&amp;"","⚠ jeu inconnu"))</f>
        <v/>
      </c>
      <c r="H62" s="27" t="str">
        <f aca="false">IF(B62="","",IFERROR(INDEX(Jeux!$D$2:$D$3001,MATCH(B62,Jeux!$A$2:$A$3001,0))&amp;"",""))</f>
        <v/>
      </c>
      <c r="I62" s="26" t="str">
        <f aca="false">IF(A62="","",COUNTIF(Apparitions!$G$2:$G$5001,A62))</f>
        <v/>
      </c>
      <c r="J62" s="26" t="str">
        <f aca="false">IF(A62="","",COUNTIFS(Apparitions!$G$2:$G$5001,A62,Apparitions!$E$2:$E$5001,"○"))</f>
        <v/>
      </c>
      <c r="K62" s="29" t="str">
        <f aca="false">IF(A62="","",IFERROR(1/(1/_xlfn.MINIFS(Apparitions!$L$2:$L$5001,Apparitions!$G$2:$G$5001,A62)),""))</f>
        <v/>
      </c>
      <c r="L62" s="27" t="str">
        <f aca="false">IF(A62="","",A62&amp;" | "&amp;B62&amp;IF(C62="",""," ("&amp;C62&amp;")")&amp;IF(D62="",""," - "&amp;D62))</f>
        <v/>
      </c>
    </row>
    <row r="63" customFormat="false" ht="15" hidden="false" customHeight="false" outlineLevel="0" collapsed="false">
      <c r="A63" s="32"/>
      <c r="B63" s="19"/>
      <c r="C63" s="19"/>
      <c r="D63" s="19"/>
      <c r="E63" s="21"/>
      <c r="F63" s="19"/>
      <c r="G63" s="27" t="str">
        <f aca="false">IF(B63="","",IFERROR(INDEX(Jeux!$C$2:$C$3001,MATCH(B63,Jeux!$A$2:$A$3001,0))&amp;"","⚠ jeu inconnu"))</f>
        <v/>
      </c>
      <c r="H63" s="27" t="str">
        <f aca="false">IF(B63="","",IFERROR(INDEX(Jeux!$D$2:$D$3001,MATCH(B63,Jeux!$A$2:$A$3001,0))&amp;"",""))</f>
        <v/>
      </c>
      <c r="I63" s="26" t="str">
        <f aca="false">IF(A63="","",COUNTIF(Apparitions!$G$2:$G$5001,A63))</f>
        <v/>
      </c>
      <c r="J63" s="26" t="str">
        <f aca="false">IF(A63="","",COUNTIFS(Apparitions!$G$2:$G$5001,A63,Apparitions!$E$2:$E$5001,"○"))</f>
        <v/>
      </c>
      <c r="K63" s="29" t="str">
        <f aca="false">IF(A63="","",IFERROR(1/(1/_xlfn.MINIFS(Apparitions!$L$2:$L$5001,Apparitions!$G$2:$G$5001,A63)),""))</f>
        <v/>
      </c>
      <c r="L63" s="27" t="str">
        <f aca="false">IF(A63="","",A63&amp;" | "&amp;B63&amp;IF(C63="",""," ("&amp;C63&amp;")")&amp;IF(D63="",""," - "&amp;D63))</f>
        <v/>
      </c>
    </row>
    <row r="64" customFormat="false" ht="15" hidden="false" customHeight="false" outlineLevel="0" collapsed="false">
      <c r="A64" s="32"/>
      <c r="B64" s="19"/>
      <c r="C64" s="19"/>
      <c r="D64" s="19"/>
      <c r="E64" s="21"/>
      <c r="F64" s="19"/>
      <c r="G64" s="27" t="str">
        <f aca="false">IF(B64="","",IFERROR(INDEX(Jeux!$C$2:$C$3001,MATCH(B64,Jeux!$A$2:$A$3001,0))&amp;"","⚠ jeu inconnu"))</f>
        <v/>
      </c>
      <c r="H64" s="27" t="str">
        <f aca="false">IF(B64="","",IFERROR(INDEX(Jeux!$D$2:$D$3001,MATCH(B64,Jeux!$A$2:$A$3001,0))&amp;"",""))</f>
        <v/>
      </c>
      <c r="I64" s="26" t="str">
        <f aca="false">IF(A64="","",COUNTIF(Apparitions!$G$2:$G$5001,A64))</f>
        <v/>
      </c>
      <c r="J64" s="26" t="str">
        <f aca="false">IF(A64="","",COUNTIFS(Apparitions!$G$2:$G$5001,A64,Apparitions!$E$2:$E$5001,"○"))</f>
        <v/>
      </c>
      <c r="K64" s="29" t="str">
        <f aca="false">IF(A64="","",IFERROR(1/(1/_xlfn.MINIFS(Apparitions!$L$2:$L$5001,Apparitions!$G$2:$G$5001,A64)),""))</f>
        <v/>
      </c>
      <c r="L64" s="27" t="str">
        <f aca="false">IF(A64="","",A64&amp;" | "&amp;B64&amp;IF(C64="",""," ("&amp;C64&amp;")")&amp;IF(D64="",""," - "&amp;D64))</f>
        <v/>
      </c>
    </row>
    <row r="65" customFormat="false" ht="15" hidden="false" customHeight="false" outlineLevel="0" collapsed="false">
      <c r="A65" s="32"/>
      <c r="B65" s="19"/>
      <c r="C65" s="19"/>
      <c r="D65" s="19"/>
      <c r="E65" s="21"/>
      <c r="F65" s="19"/>
      <c r="G65" s="27" t="str">
        <f aca="false">IF(B65="","",IFERROR(INDEX(Jeux!$C$2:$C$3001,MATCH(B65,Jeux!$A$2:$A$3001,0))&amp;"","⚠ jeu inconnu"))</f>
        <v/>
      </c>
      <c r="H65" s="27" t="str">
        <f aca="false">IF(B65="","",IFERROR(INDEX(Jeux!$D$2:$D$3001,MATCH(B65,Jeux!$A$2:$A$3001,0))&amp;"",""))</f>
        <v/>
      </c>
      <c r="I65" s="26" t="str">
        <f aca="false">IF(A65="","",COUNTIF(Apparitions!$G$2:$G$5001,A65))</f>
        <v/>
      </c>
      <c r="J65" s="26" t="str">
        <f aca="false">IF(A65="","",COUNTIFS(Apparitions!$G$2:$G$5001,A65,Apparitions!$E$2:$E$5001,"○"))</f>
        <v/>
      </c>
      <c r="K65" s="29" t="str">
        <f aca="false">IF(A65="","",IFERROR(1/(1/_xlfn.MINIFS(Apparitions!$L$2:$L$5001,Apparitions!$G$2:$G$5001,A65)),""))</f>
        <v/>
      </c>
      <c r="L65" s="27" t="str">
        <f aca="false">IF(A65="","",A65&amp;" | "&amp;B65&amp;IF(C65="",""," ("&amp;C65&amp;")")&amp;IF(D65="",""," - "&amp;D65))</f>
        <v/>
      </c>
    </row>
    <row r="66" customFormat="false" ht="15" hidden="false" customHeight="false" outlineLevel="0" collapsed="false">
      <c r="A66" s="32"/>
      <c r="B66" s="19"/>
      <c r="C66" s="19"/>
      <c r="D66" s="19"/>
      <c r="E66" s="21"/>
      <c r="F66" s="19"/>
      <c r="G66" s="27" t="str">
        <f aca="false">IF(B66="","",IFERROR(INDEX(Jeux!$C$2:$C$3001,MATCH(B66,Jeux!$A$2:$A$3001,0))&amp;"","⚠ jeu inconnu"))</f>
        <v/>
      </c>
      <c r="H66" s="27" t="str">
        <f aca="false">IF(B66="","",IFERROR(INDEX(Jeux!$D$2:$D$3001,MATCH(B66,Jeux!$A$2:$A$3001,0))&amp;"",""))</f>
        <v/>
      </c>
      <c r="I66" s="26" t="str">
        <f aca="false">IF(A66="","",COUNTIF(Apparitions!$G$2:$G$5001,A66))</f>
        <v/>
      </c>
      <c r="J66" s="26" t="str">
        <f aca="false">IF(A66="","",COUNTIFS(Apparitions!$G$2:$G$5001,A66,Apparitions!$E$2:$E$5001,"○"))</f>
        <v/>
      </c>
      <c r="K66" s="29" t="str">
        <f aca="false">IF(A66="","",IFERROR(1/(1/_xlfn.MINIFS(Apparitions!$L$2:$L$5001,Apparitions!$G$2:$G$5001,A66)),""))</f>
        <v/>
      </c>
      <c r="L66" s="27" t="str">
        <f aca="false">IF(A66="","",A66&amp;" | "&amp;B66&amp;IF(C66="",""," ("&amp;C66&amp;")")&amp;IF(D66="",""," - "&amp;D66))</f>
        <v/>
      </c>
    </row>
    <row r="67" customFormat="false" ht="15" hidden="false" customHeight="false" outlineLevel="0" collapsed="false">
      <c r="A67" s="32"/>
      <c r="B67" s="19"/>
      <c r="C67" s="19"/>
      <c r="D67" s="19"/>
      <c r="E67" s="21"/>
      <c r="F67" s="19"/>
      <c r="G67" s="27" t="str">
        <f aca="false">IF(B67="","",IFERROR(INDEX(Jeux!$C$2:$C$3001,MATCH(B67,Jeux!$A$2:$A$3001,0))&amp;"","⚠ jeu inconnu"))</f>
        <v/>
      </c>
      <c r="H67" s="27" t="str">
        <f aca="false">IF(B67="","",IFERROR(INDEX(Jeux!$D$2:$D$3001,MATCH(B67,Jeux!$A$2:$A$3001,0))&amp;"",""))</f>
        <v/>
      </c>
      <c r="I67" s="26" t="str">
        <f aca="false">IF(A67="","",COUNTIF(Apparitions!$G$2:$G$5001,A67))</f>
        <v/>
      </c>
      <c r="J67" s="26" t="str">
        <f aca="false">IF(A67="","",COUNTIFS(Apparitions!$G$2:$G$5001,A67,Apparitions!$E$2:$E$5001,"○"))</f>
        <v/>
      </c>
      <c r="K67" s="29" t="str">
        <f aca="false">IF(A67="","",IFERROR(1/(1/_xlfn.MINIFS(Apparitions!$L$2:$L$5001,Apparitions!$G$2:$G$5001,A67)),""))</f>
        <v/>
      </c>
      <c r="L67" s="27" t="str">
        <f aca="false">IF(A67="","",A67&amp;" | "&amp;B67&amp;IF(C67="",""," ("&amp;C67&amp;")")&amp;IF(D67="",""," - "&amp;D67))</f>
        <v/>
      </c>
    </row>
    <row r="68" customFormat="false" ht="15" hidden="false" customHeight="false" outlineLevel="0" collapsed="false">
      <c r="A68" s="32"/>
      <c r="B68" s="19"/>
      <c r="C68" s="19"/>
      <c r="D68" s="19"/>
      <c r="E68" s="21"/>
      <c r="F68" s="19"/>
      <c r="G68" s="27" t="str">
        <f aca="false">IF(B68="","",IFERROR(INDEX(Jeux!$C$2:$C$3001,MATCH(B68,Jeux!$A$2:$A$3001,0))&amp;"","⚠ jeu inconnu"))</f>
        <v/>
      </c>
      <c r="H68" s="27" t="str">
        <f aca="false">IF(B68="","",IFERROR(INDEX(Jeux!$D$2:$D$3001,MATCH(B68,Jeux!$A$2:$A$3001,0))&amp;"",""))</f>
        <v/>
      </c>
      <c r="I68" s="26" t="str">
        <f aca="false">IF(A68="","",COUNTIF(Apparitions!$G$2:$G$5001,A68))</f>
        <v/>
      </c>
      <c r="J68" s="26" t="str">
        <f aca="false">IF(A68="","",COUNTIFS(Apparitions!$G$2:$G$5001,A68,Apparitions!$E$2:$E$5001,"○"))</f>
        <v/>
      </c>
      <c r="K68" s="29" t="str">
        <f aca="false">IF(A68="","",IFERROR(1/(1/_xlfn.MINIFS(Apparitions!$L$2:$L$5001,Apparitions!$G$2:$G$5001,A68)),""))</f>
        <v/>
      </c>
      <c r="L68" s="27" t="str">
        <f aca="false">IF(A68="","",A68&amp;" | "&amp;B68&amp;IF(C68="",""," ("&amp;C68&amp;")")&amp;IF(D68="",""," - "&amp;D68))</f>
        <v/>
      </c>
    </row>
    <row r="69" customFormat="false" ht="15" hidden="false" customHeight="false" outlineLevel="0" collapsed="false">
      <c r="A69" s="32"/>
      <c r="B69" s="19"/>
      <c r="C69" s="19"/>
      <c r="D69" s="19"/>
      <c r="E69" s="21"/>
      <c r="F69" s="19"/>
      <c r="G69" s="27" t="str">
        <f aca="false">IF(B69="","",IFERROR(INDEX(Jeux!$C$2:$C$3001,MATCH(B69,Jeux!$A$2:$A$3001,0))&amp;"","⚠ jeu inconnu"))</f>
        <v/>
      </c>
      <c r="H69" s="27" t="str">
        <f aca="false">IF(B69="","",IFERROR(INDEX(Jeux!$D$2:$D$3001,MATCH(B69,Jeux!$A$2:$A$3001,0))&amp;"",""))</f>
        <v/>
      </c>
      <c r="I69" s="26" t="str">
        <f aca="false">IF(A69="","",COUNTIF(Apparitions!$G$2:$G$5001,A69))</f>
        <v/>
      </c>
      <c r="J69" s="26" t="str">
        <f aca="false">IF(A69="","",COUNTIFS(Apparitions!$G$2:$G$5001,A69,Apparitions!$E$2:$E$5001,"○"))</f>
        <v/>
      </c>
      <c r="K69" s="29" t="str">
        <f aca="false">IF(A69="","",IFERROR(1/(1/_xlfn.MINIFS(Apparitions!$L$2:$L$5001,Apparitions!$G$2:$G$5001,A69)),""))</f>
        <v/>
      </c>
      <c r="L69" s="27" t="str">
        <f aca="false">IF(A69="","",A69&amp;" | "&amp;B69&amp;IF(C69="",""," ("&amp;C69&amp;")")&amp;IF(D69="",""," - "&amp;D69))</f>
        <v/>
      </c>
    </row>
    <row r="70" customFormat="false" ht="15" hidden="false" customHeight="false" outlineLevel="0" collapsed="false">
      <c r="A70" s="32"/>
      <c r="B70" s="19"/>
      <c r="C70" s="19"/>
      <c r="D70" s="19"/>
      <c r="E70" s="21"/>
      <c r="F70" s="19"/>
      <c r="G70" s="27" t="str">
        <f aca="false">IF(B70="","",IFERROR(INDEX(Jeux!$C$2:$C$3001,MATCH(B70,Jeux!$A$2:$A$3001,0))&amp;"","⚠ jeu inconnu"))</f>
        <v/>
      </c>
      <c r="H70" s="27" t="str">
        <f aca="false">IF(B70="","",IFERROR(INDEX(Jeux!$D$2:$D$3001,MATCH(B70,Jeux!$A$2:$A$3001,0))&amp;"",""))</f>
        <v/>
      </c>
      <c r="I70" s="26" t="str">
        <f aca="false">IF(A70="","",COUNTIF(Apparitions!$G$2:$G$5001,A70))</f>
        <v/>
      </c>
      <c r="J70" s="26" t="str">
        <f aca="false">IF(A70="","",COUNTIFS(Apparitions!$G$2:$G$5001,A70,Apparitions!$E$2:$E$5001,"○"))</f>
        <v/>
      </c>
      <c r="K70" s="29" t="str">
        <f aca="false">IF(A70="","",IFERROR(1/(1/_xlfn.MINIFS(Apparitions!$L$2:$L$5001,Apparitions!$G$2:$G$5001,A70)),""))</f>
        <v/>
      </c>
      <c r="L70" s="27" t="str">
        <f aca="false">IF(A70="","",A70&amp;" | "&amp;B70&amp;IF(C70="",""," ("&amp;C70&amp;")")&amp;IF(D70="",""," - "&amp;D70))</f>
        <v/>
      </c>
    </row>
    <row r="71" customFormat="false" ht="15" hidden="false" customHeight="false" outlineLevel="0" collapsed="false">
      <c r="A71" s="32"/>
      <c r="B71" s="19"/>
      <c r="C71" s="19"/>
      <c r="D71" s="19"/>
      <c r="E71" s="21"/>
      <c r="F71" s="19"/>
      <c r="G71" s="27" t="str">
        <f aca="false">IF(B71="","",IFERROR(INDEX(Jeux!$C$2:$C$3001,MATCH(B71,Jeux!$A$2:$A$3001,0))&amp;"","⚠ jeu inconnu"))</f>
        <v/>
      </c>
      <c r="H71" s="27" t="str">
        <f aca="false">IF(B71="","",IFERROR(INDEX(Jeux!$D$2:$D$3001,MATCH(B71,Jeux!$A$2:$A$3001,0))&amp;"",""))</f>
        <v/>
      </c>
      <c r="I71" s="26" t="str">
        <f aca="false">IF(A71="","",COUNTIF(Apparitions!$G$2:$G$5001,A71))</f>
        <v/>
      </c>
      <c r="J71" s="26" t="str">
        <f aca="false">IF(A71="","",COUNTIFS(Apparitions!$G$2:$G$5001,A71,Apparitions!$E$2:$E$5001,"○"))</f>
        <v/>
      </c>
      <c r="K71" s="29" t="str">
        <f aca="false">IF(A71="","",IFERROR(1/(1/_xlfn.MINIFS(Apparitions!$L$2:$L$5001,Apparitions!$G$2:$G$5001,A71)),""))</f>
        <v/>
      </c>
      <c r="L71" s="27" t="str">
        <f aca="false">IF(A71="","",A71&amp;" | "&amp;B71&amp;IF(C71="",""," ("&amp;C71&amp;")")&amp;IF(D71="",""," - "&amp;D71))</f>
        <v/>
      </c>
    </row>
    <row r="72" customFormat="false" ht="15" hidden="false" customHeight="false" outlineLevel="0" collapsed="false">
      <c r="A72" s="32"/>
      <c r="B72" s="19"/>
      <c r="C72" s="19"/>
      <c r="D72" s="19"/>
      <c r="E72" s="21"/>
      <c r="F72" s="19"/>
      <c r="G72" s="27" t="str">
        <f aca="false">IF(B72="","",IFERROR(INDEX(Jeux!$C$2:$C$3001,MATCH(B72,Jeux!$A$2:$A$3001,0))&amp;"","⚠ jeu inconnu"))</f>
        <v/>
      </c>
      <c r="H72" s="27" t="str">
        <f aca="false">IF(B72="","",IFERROR(INDEX(Jeux!$D$2:$D$3001,MATCH(B72,Jeux!$A$2:$A$3001,0))&amp;"",""))</f>
        <v/>
      </c>
      <c r="I72" s="26" t="str">
        <f aca="false">IF(A72="","",COUNTIF(Apparitions!$G$2:$G$5001,A72))</f>
        <v/>
      </c>
      <c r="J72" s="26" t="str">
        <f aca="false">IF(A72="","",COUNTIFS(Apparitions!$G$2:$G$5001,A72,Apparitions!$E$2:$E$5001,"○"))</f>
        <v/>
      </c>
      <c r="K72" s="29" t="str">
        <f aca="false">IF(A72="","",IFERROR(1/(1/_xlfn.MINIFS(Apparitions!$L$2:$L$5001,Apparitions!$G$2:$G$5001,A72)),""))</f>
        <v/>
      </c>
      <c r="L72" s="27" t="str">
        <f aca="false">IF(A72="","",A72&amp;" | "&amp;B72&amp;IF(C72="",""," ("&amp;C72&amp;")")&amp;IF(D72="",""," - "&amp;D72))</f>
        <v/>
      </c>
    </row>
    <row r="73" customFormat="false" ht="15" hidden="false" customHeight="false" outlineLevel="0" collapsed="false">
      <c r="A73" s="32"/>
      <c r="B73" s="19"/>
      <c r="C73" s="19"/>
      <c r="D73" s="19"/>
      <c r="E73" s="21"/>
      <c r="F73" s="19"/>
      <c r="G73" s="27" t="str">
        <f aca="false">IF(B73="","",IFERROR(INDEX(Jeux!$C$2:$C$3001,MATCH(B73,Jeux!$A$2:$A$3001,0))&amp;"","⚠ jeu inconnu"))</f>
        <v/>
      </c>
      <c r="H73" s="27" t="str">
        <f aca="false">IF(B73="","",IFERROR(INDEX(Jeux!$D$2:$D$3001,MATCH(B73,Jeux!$A$2:$A$3001,0))&amp;"",""))</f>
        <v/>
      </c>
      <c r="I73" s="26" t="str">
        <f aca="false">IF(A73="","",COUNTIF(Apparitions!$G$2:$G$5001,A73))</f>
        <v/>
      </c>
      <c r="J73" s="26" t="str">
        <f aca="false">IF(A73="","",COUNTIFS(Apparitions!$G$2:$G$5001,A73,Apparitions!$E$2:$E$5001,"○"))</f>
        <v/>
      </c>
      <c r="K73" s="29" t="str">
        <f aca="false">IF(A73="","",IFERROR(1/(1/_xlfn.MINIFS(Apparitions!$L$2:$L$5001,Apparitions!$G$2:$G$5001,A73)),""))</f>
        <v/>
      </c>
      <c r="L73" s="27" t="str">
        <f aca="false">IF(A73="","",A73&amp;" | "&amp;B73&amp;IF(C73="",""," ("&amp;C73&amp;")")&amp;IF(D73="",""," - "&amp;D73))</f>
        <v/>
      </c>
    </row>
    <row r="74" customFormat="false" ht="15" hidden="false" customHeight="false" outlineLevel="0" collapsed="false">
      <c r="A74" s="32"/>
      <c r="B74" s="19"/>
      <c r="C74" s="19"/>
      <c r="D74" s="19"/>
      <c r="E74" s="21"/>
      <c r="F74" s="19"/>
      <c r="G74" s="27" t="str">
        <f aca="false">IF(B74="","",IFERROR(INDEX(Jeux!$C$2:$C$3001,MATCH(B74,Jeux!$A$2:$A$3001,0))&amp;"","⚠ jeu inconnu"))</f>
        <v/>
      </c>
      <c r="H74" s="27" t="str">
        <f aca="false">IF(B74="","",IFERROR(INDEX(Jeux!$D$2:$D$3001,MATCH(B74,Jeux!$A$2:$A$3001,0))&amp;"",""))</f>
        <v/>
      </c>
      <c r="I74" s="26" t="str">
        <f aca="false">IF(A74="","",COUNTIF(Apparitions!$G$2:$G$5001,A74))</f>
        <v/>
      </c>
      <c r="J74" s="26" t="str">
        <f aca="false">IF(A74="","",COUNTIFS(Apparitions!$G$2:$G$5001,A74,Apparitions!$E$2:$E$5001,"○"))</f>
        <v/>
      </c>
      <c r="K74" s="29" t="str">
        <f aca="false">IF(A74="","",IFERROR(1/(1/_xlfn.MINIFS(Apparitions!$L$2:$L$5001,Apparitions!$G$2:$G$5001,A74)),""))</f>
        <v/>
      </c>
      <c r="L74" s="27" t="str">
        <f aca="false">IF(A74="","",A74&amp;" | "&amp;B74&amp;IF(C74="",""," ("&amp;C74&amp;")")&amp;IF(D74="",""," - "&amp;D74))</f>
        <v/>
      </c>
    </row>
    <row r="75" customFormat="false" ht="15" hidden="false" customHeight="false" outlineLevel="0" collapsed="false">
      <c r="A75" s="32"/>
      <c r="B75" s="19"/>
      <c r="C75" s="19"/>
      <c r="D75" s="19"/>
      <c r="E75" s="21"/>
      <c r="F75" s="19"/>
      <c r="G75" s="27" t="str">
        <f aca="false">IF(B75="","",IFERROR(INDEX(Jeux!$C$2:$C$3001,MATCH(B75,Jeux!$A$2:$A$3001,0))&amp;"","⚠ jeu inconnu"))</f>
        <v/>
      </c>
      <c r="H75" s="27" t="str">
        <f aca="false">IF(B75="","",IFERROR(INDEX(Jeux!$D$2:$D$3001,MATCH(B75,Jeux!$A$2:$A$3001,0))&amp;"",""))</f>
        <v/>
      </c>
      <c r="I75" s="26" t="str">
        <f aca="false">IF(A75="","",COUNTIF(Apparitions!$G$2:$G$5001,A75))</f>
        <v/>
      </c>
      <c r="J75" s="26" t="str">
        <f aca="false">IF(A75="","",COUNTIFS(Apparitions!$G$2:$G$5001,A75,Apparitions!$E$2:$E$5001,"○"))</f>
        <v/>
      </c>
      <c r="K75" s="29" t="str">
        <f aca="false">IF(A75="","",IFERROR(1/(1/_xlfn.MINIFS(Apparitions!$L$2:$L$5001,Apparitions!$G$2:$G$5001,A75)),""))</f>
        <v/>
      </c>
      <c r="L75" s="27" t="str">
        <f aca="false">IF(A75="","",A75&amp;" | "&amp;B75&amp;IF(C75="",""," ("&amp;C75&amp;")")&amp;IF(D75="",""," - "&amp;D75))</f>
        <v/>
      </c>
    </row>
    <row r="76" customFormat="false" ht="15" hidden="false" customHeight="false" outlineLevel="0" collapsed="false">
      <c r="A76" s="32"/>
      <c r="B76" s="19"/>
      <c r="C76" s="19"/>
      <c r="D76" s="19"/>
      <c r="E76" s="21"/>
      <c r="F76" s="19"/>
      <c r="G76" s="27" t="str">
        <f aca="false">IF(B76="","",IFERROR(INDEX(Jeux!$C$2:$C$3001,MATCH(B76,Jeux!$A$2:$A$3001,0))&amp;"","⚠ jeu inconnu"))</f>
        <v/>
      </c>
      <c r="H76" s="27" t="str">
        <f aca="false">IF(B76="","",IFERROR(INDEX(Jeux!$D$2:$D$3001,MATCH(B76,Jeux!$A$2:$A$3001,0))&amp;"",""))</f>
        <v/>
      </c>
      <c r="I76" s="26" t="str">
        <f aca="false">IF(A76="","",COUNTIF(Apparitions!$G$2:$G$5001,A76))</f>
        <v/>
      </c>
      <c r="J76" s="26" t="str">
        <f aca="false">IF(A76="","",COUNTIFS(Apparitions!$G$2:$G$5001,A76,Apparitions!$E$2:$E$5001,"○"))</f>
        <v/>
      </c>
      <c r="K76" s="29" t="str">
        <f aca="false">IF(A76="","",IFERROR(1/(1/_xlfn.MINIFS(Apparitions!$L$2:$L$5001,Apparitions!$G$2:$G$5001,A76)),""))</f>
        <v/>
      </c>
      <c r="L76" s="27" t="str">
        <f aca="false">IF(A76="","",A76&amp;" | "&amp;B76&amp;IF(C76="",""," ("&amp;C76&amp;")")&amp;IF(D76="",""," - "&amp;D76))</f>
        <v/>
      </c>
    </row>
    <row r="77" customFormat="false" ht="15" hidden="false" customHeight="false" outlineLevel="0" collapsed="false">
      <c r="A77" s="32"/>
      <c r="B77" s="19"/>
      <c r="C77" s="19"/>
      <c r="D77" s="19"/>
      <c r="E77" s="21"/>
      <c r="F77" s="19"/>
      <c r="G77" s="27" t="str">
        <f aca="false">IF(B77="","",IFERROR(INDEX(Jeux!$C$2:$C$3001,MATCH(B77,Jeux!$A$2:$A$3001,0))&amp;"","⚠ jeu inconnu"))</f>
        <v/>
      </c>
      <c r="H77" s="27" t="str">
        <f aca="false">IF(B77="","",IFERROR(INDEX(Jeux!$D$2:$D$3001,MATCH(B77,Jeux!$A$2:$A$3001,0))&amp;"",""))</f>
        <v/>
      </c>
      <c r="I77" s="26" t="str">
        <f aca="false">IF(A77="","",COUNTIF(Apparitions!$G$2:$G$5001,A77))</f>
        <v/>
      </c>
      <c r="J77" s="26" t="str">
        <f aca="false">IF(A77="","",COUNTIFS(Apparitions!$G$2:$G$5001,A77,Apparitions!$E$2:$E$5001,"○"))</f>
        <v/>
      </c>
      <c r="K77" s="29" t="str">
        <f aca="false">IF(A77="","",IFERROR(1/(1/_xlfn.MINIFS(Apparitions!$L$2:$L$5001,Apparitions!$G$2:$G$5001,A77)),""))</f>
        <v/>
      </c>
      <c r="L77" s="27" t="str">
        <f aca="false">IF(A77="","",A77&amp;" | "&amp;B77&amp;IF(C77="",""," ("&amp;C77&amp;")")&amp;IF(D77="",""," - "&amp;D77))</f>
        <v/>
      </c>
    </row>
    <row r="78" customFormat="false" ht="15" hidden="false" customHeight="false" outlineLevel="0" collapsed="false">
      <c r="A78" s="32"/>
      <c r="B78" s="19"/>
      <c r="C78" s="19"/>
      <c r="D78" s="19"/>
      <c r="E78" s="21"/>
      <c r="F78" s="19"/>
      <c r="G78" s="27" t="str">
        <f aca="false">IF(B78="","",IFERROR(INDEX(Jeux!$C$2:$C$3001,MATCH(B78,Jeux!$A$2:$A$3001,0))&amp;"","⚠ jeu inconnu"))</f>
        <v/>
      </c>
      <c r="H78" s="27" t="str">
        <f aca="false">IF(B78="","",IFERROR(INDEX(Jeux!$D$2:$D$3001,MATCH(B78,Jeux!$A$2:$A$3001,0))&amp;"",""))</f>
        <v/>
      </c>
      <c r="I78" s="26" t="str">
        <f aca="false">IF(A78="","",COUNTIF(Apparitions!$G$2:$G$5001,A78))</f>
        <v/>
      </c>
      <c r="J78" s="26" t="str">
        <f aca="false">IF(A78="","",COUNTIFS(Apparitions!$G$2:$G$5001,A78,Apparitions!$E$2:$E$5001,"○"))</f>
        <v/>
      </c>
      <c r="K78" s="29" t="str">
        <f aca="false">IF(A78="","",IFERROR(1/(1/_xlfn.MINIFS(Apparitions!$L$2:$L$5001,Apparitions!$G$2:$G$5001,A78)),""))</f>
        <v/>
      </c>
      <c r="L78" s="27" t="str">
        <f aca="false">IF(A78="","",A78&amp;" | "&amp;B78&amp;IF(C78="",""," ("&amp;C78&amp;")")&amp;IF(D78="",""," - "&amp;D78))</f>
        <v/>
      </c>
    </row>
    <row r="79" customFormat="false" ht="15" hidden="false" customHeight="false" outlineLevel="0" collapsed="false">
      <c r="A79" s="32"/>
      <c r="B79" s="19"/>
      <c r="C79" s="19"/>
      <c r="D79" s="19"/>
      <c r="E79" s="21"/>
      <c r="F79" s="19"/>
      <c r="G79" s="27" t="str">
        <f aca="false">IF(B79="","",IFERROR(INDEX(Jeux!$C$2:$C$3001,MATCH(B79,Jeux!$A$2:$A$3001,0))&amp;"","⚠ jeu inconnu"))</f>
        <v/>
      </c>
      <c r="H79" s="27" t="str">
        <f aca="false">IF(B79="","",IFERROR(INDEX(Jeux!$D$2:$D$3001,MATCH(B79,Jeux!$A$2:$A$3001,0))&amp;"",""))</f>
        <v/>
      </c>
      <c r="I79" s="26" t="str">
        <f aca="false">IF(A79="","",COUNTIF(Apparitions!$G$2:$G$5001,A79))</f>
        <v/>
      </c>
      <c r="J79" s="26" t="str">
        <f aca="false">IF(A79="","",COUNTIFS(Apparitions!$G$2:$G$5001,A79,Apparitions!$E$2:$E$5001,"○"))</f>
        <v/>
      </c>
      <c r="K79" s="29" t="str">
        <f aca="false">IF(A79="","",IFERROR(1/(1/_xlfn.MINIFS(Apparitions!$L$2:$L$5001,Apparitions!$G$2:$G$5001,A79)),""))</f>
        <v/>
      </c>
      <c r="L79" s="27" t="str">
        <f aca="false">IF(A79="","",A79&amp;" | "&amp;B79&amp;IF(C79="",""," ("&amp;C79&amp;")")&amp;IF(D79="",""," - "&amp;D79))</f>
        <v/>
      </c>
    </row>
    <row r="80" customFormat="false" ht="15" hidden="false" customHeight="false" outlineLevel="0" collapsed="false">
      <c r="A80" s="32"/>
      <c r="B80" s="19"/>
      <c r="C80" s="19"/>
      <c r="D80" s="19"/>
      <c r="E80" s="21"/>
      <c r="F80" s="19"/>
      <c r="G80" s="27" t="str">
        <f aca="false">IF(B80="","",IFERROR(INDEX(Jeux!$C$2:$C$3001,MATCH(B80,Jeux!$A$2:$A$3001,0))&amp;"","⚠ jeu inconnu"))</f>
        <v/>
      </c>
      <c r="H80" s="27" t="str">
        <f aca="false">IF(B80="","",IFERROR(INDEX(Jeux!$D$2:$D$3001,MATCH(B80,Jeux!$A$2:$A$3001,0))&amp;"",""))</f>
        <v/>
      </c>
      <c r="I80" s="26" t="str">
        <f aca="false">IF(A80="","",COUNTIF(Apparitions!$G$2:$G$5001,A80))</f>
        <v/>
      </c>
      <c r="J80" s="26" t="str">
        <f aca="false">IF(A80="","",COUNTIFS(Apparitions!$G$2:$G$5001,A80,Apparitions!$E$2:$E$5001,"○"))</f>
        <v/>
      </c>
      <c r="K80" s="29" t="str">
        <f aca="false">IF(A80="","",IFERROR(1/(1/_xlfn.MINIFS(Apparitions!$L$2:$L$5001,Apparitions!$G$2:$G$5001,A80)),""))</f>
        <v/>
      </c>
      <c r="L80" s="27" t="str">
        <f aca="false">IF(A80="","",A80&amp;" | "&amp;B80&amp;IF(C80="",""," ("&amp;C80&amp;")")&amp;IF(D80="",""," - "&amp;D80))</f>
        <v/>
      </c>
    </row>
    <row r="81" customFormat="false" ht="15" hidden="false" customHeight="false" outlineLevel="0" collapsed="false">
      <c r="A81" s="32"/>
      <c r="B81" s="19"/>
      <c r="C81" s="19"/>
      <c r="D81" s="19"/>
      <c r="E81" s="21"/>
      <c r="F81" s="19"/>
      <c r="G81" s="27" t="str">
        <f aca="false">IF(B81="","",IFERROR(INDEX(Jeux!$C$2:$C$3001,MATCH(B81,Jeux!$A$2:$A$3001,0))&amp;"","⚠ jeu inconnu"))</f>
        <v/>
      </c>
      <c r="H81" s="27" t="str">
        <f aca="false">IF(B81="","",IFERROR(INDEX(Jeux!$D$2:$D$3001,MATCH(B81,Jeux!$A$2:$A$3001,0))&amp;"",""))</f>
        <v/>
      </c>
      <c r="I81" s="26" t="str">
        <f aca="false">IF(A81="","",COUNTIF(Apparitions!$G$2:$G$5001,A81))</f>
        <v/>
      </c>
      <c r="J81" s="26" t="str">
        <f aca="false">IF(A81="","",COUNTIFS(Apparitions!$G$2:$G$5001,A81,Apparitions!$E$2:$E$5001,"○"))</f>
        <v/>
      </c>
      <c r="K81" s="29" t="str">
        <f aca="false">IF(A81="","",IFERROR(1/(1/_xlfn.MINIFS(Apparitions!$L$2:$L$5001,Apparitions!$G$2:$G$5001,A81)),""))</f>
        <v/>
      </c>
      <c r="L81" s="27" t="str">
        <f aca="false">IF(A81="","",A81&amp;" | "&amp;B81&amp;IF(C81="",""," ("&amp;C81&amp;")")&amp;IF(D81="",""," - "&amp;D81))</f>
        <v/>
      </c>
    </row>
    <row r="82" customFormat="false" ht="15" hidden="false" customHeight="false" outlineLevel="0" collapsed="false">
      <c r="A82" s="32"/>
      <c r="B82" s="19"/>
      <c r="C82" s="19"/>
      <c r="D82" s="19"/>
      <c r="E82" s="21"/>
      <c r="F82" s="19"/>
      <c r="G82" s="27" t="str">
        <f aca="false">IF(B82="","",IFERROR(INDEX(Jeux!$C$2:$C$3001,MATCH(B82,Jeux!$A$2:$A$3001,0))&amp;"","⚠ jeu inconnu"))</f>
        <v/>
      </c>
      <c r="H82" s="27" t="str">
        <f aca="false">IF(B82="","",IFERROR(INDEX(Jeux!$D$2:$D$3001,MATCH(B82,Jeux!$A$2:$A$3001,0))&amp;"",""))</f>
        <v/>
      </c>
      <c r="I82" s="26" t="str">
        <f aca="false">IF(A82="","",COUNTIF(Apparitions!$G$2:$G$5001,A82))</f>
        <v/>
      </c>
      <c r="J82" s="26" t="str">
        <f aca="false">IF(A82="","",COUNTIFS(Apparitions!$G$2:$G$5001,A82,Apparitions!$E$2:$E$5001,"○"))</f>
        <v/>
      </c>
      <c r="K82" s="29" t="str">
        <f aca="false">IF(A82="","",IFERROR(1/(1/_xlfn.MINIFS(Apparitions!$L$2:$L$5001,Apparitions!$G$2:$G$5001,A82)),""))</f>
        <v/>
      </c>
      <c r="L82" s="27" t="str">
        <f aca="false">IF(A82="","",A82&amp;" | "&amp;B82&amp;IF(C82="",""," ("&amp;C82&amp;")")&amp;IF(D82="",""," - "&amp;D82))</f>
        <v/>
      </c>
    </row>
    <row r="83" customFormat="false" ht="15" hidden="false" customHeight="false" outlineLevel="0" collapsed="false">
      <c r="A83" s="32"/>
      <c r="B83" s="19"/>
      <c r="C83" s="19"/>
      <c r="D83" s="19"/>
      <c r="E83" s="21"/>
      <c r="F83" s="19"/>
      <c r="G83" s="27" t="str">
        <f aca="false">IF(B83="","",IFERROR(INDEX(Jeux!$C$2:$C$3001,MATCH(B83,Jeux!$A$2:$A$3001,0))&amp;"","⚠ jeu inconnu"))</f>
        <v/>
      </c>
      <c r="H83" s="27" t="str">
        <f aca="false">IF(B83="","",IFERROR(INDEX(Jeux!$D$2:$D$3001,MATCH(B83,Jeux!$A$2:$A$3001,0))&amp;"",""))</f>
        <v/>
      </c>
      <c r="I83" s="26" t="str">
        <f aca="false">IF(A83="","",COUNTIF(Apparitions!$G$2:$G$5001,A83))</f>
        <v/>
      </c>
      <c r="J83" s="26" t="str">
        <f aca="false">IF(A83="","",COUNTIFS(Apparitions!$G$2:$G$5001,A83,Apparitions!$E$2:$E$5001,"○"))</f>
        <v/>
      </c>
      <c r="K83" s="29" t="str">
        <f aca="false">IF(A83="","",IFERROR(1/(1/_xlfn.MINIFS(Apparitions!$L$2:$L$5001,Apparitions!$G$2:$G$5001,A83)),""))</f>
        <v/>
      </c>
      <c r="L83" s="27" t="str">
        <f aca="false">IF(A83="","",A83&amp;" | "&amp;B83&amp;IF(C83="",""," ("&amp;C83&amp;")")&amp;IF(D83="",""," - "&amp;D83))</f>
        <v/>
      </c>
    </row>
    <row r="84" customFormat="false" ht="15" hidden="false" customHeight="false" outlineLevel="0" collapsed="false">
      <c r="A84" s="32"/>
      <c r="B84" s="19"/>
      <c r="C84" s="19"/>
      <c r="D84" s="19"/>
      <c r="E84" s="21"/>
      <c r="F84" s="19"/>
      <c r="G84" s="27" t="str">
        <f aca="false">IF(B84="","",IFERROR(INDEX(Jeux!$C$2:$C$3001,MATCH(B84,Jeux!$A$2:$A$3001,0))&amp;"","⚠ jeu inconnu"))</f>
        <v/>
      </c>
      <c r="H84" s="27" t="str">
        <f aca="false">IF(B84="","",IFERROR(INDEX(Jeux!$D$2:$D$3001,MATCH(B84,Jeux!$A$2:$A$3001,0))&amp;"",""))</f>
        <v/>
      </c>
      <c r="I84" s="26" t="str">
        <f aca="false">IF(A84="","",COUNTIF(Apparitions!$G$2:$G$5001,A84))</f>
        <v/>
      </c>
      <c r="J84" s="26" t="str">
        <f aca="false">IF(A84="","",COUNTIFS(Apparitions!$G$2:$G$5001,A84,Apparitions!$E$2:$E$5001,"○"))</f>
        <v/>
      </c>
      <c r="K84" s="29" t="str">
        <f aca="false">IF(A84="","",IFERROR(1/(1/_xlfn.MINIFS(Apparitions!$L$2:$L$5001,Apparitions!$G$2:$G$5001,A84)),""))</f>
        <v/>
      </c>
      <c r="L84" s="27" t="str">
        <f aca="false">IF(A84="","",A84&amp;" | "&amp;B84&amp;IF(C84="",""," ("&amp;C84&amp;")")&amp;IF(D84="",""," - "&amp;D84))</f>
        <v/>
      </c>
    </row>
    <row r="85" customFormat="false" ht="15" hidden="false" customHeight="false" outlineLevel="0" collapsed="false">
      <c r="A85" s="32"/>
      <c r="B85" s="19"/>
      <c r="C85" s="19"/>
      <c r="D85" s="19"/>
      <c r="E85" s="21"/>
      <c r="F85" s="19"/>
      <c r="G85" s="27" t="str">
        <f aca="false">IF(B85="","",IFERROR(INDEX(Jeux!$C$2:$C$3001,MATCH(B85,Jeux!$A$2:$A$3001,0))&amp;"","⚠ jeu inconnu"))</f>
        <v/>
      </c>
      <c r="H85" s="27" t="str">
        <f aca="false">IF(B85="","",IFERROR(INDEX(Jeux!$D$2:$D$3001,MATCH(B85,Jeux!$A$2:$A$3001,0))&amp;"",""))</f>
        <v/>
      </c>
      <c r="I85" s="26" t="str">
        <f aca="false">IF(A85="","",COUNTIF(Apparitions!$G$2:$G$5001,A85))</f>
        <v/>
      </c>
      <c r="J85" s="26" t="str">
        <f aca="false">IF(A85="","",COUNTIFS(Apparitions!$G$2:$G$5001,A85,Apparitions!$E$2:$E$5001,"○"))</f>
        <v/>
      </c>
      <c r="K85" s="29" t="str">
        <f aca="false">IF(A85="","",IFERROR(1/(1/_xlfn.MINIFS(Apparitions!$L$2:$L$5001,Apparitions!$G$2:$G$5001,A85)),""))</f>
        <v/>
      </c>
      <c r="L85" s="27" t="str">
        <f aca="false">IF(A85="","",A85&amp;" | "&amp;B85&amp;IF(C85="",""," ("&amp;C85&amp;")")&amp;IF(D85="",""," - "&amp;D85))</f>
        <v/>
      </c>
    </row>
    <row r="86" customFormat="false" ht="15" hidden="false" customHeight="false" outlineLevel="0" collapsed="false">
      <c r="A86" s="32"/>
      <c r="B86" s="19"/>
      <c r="C86" s="19"/>
      <c r="D86" s="19"/>
      <c r="E86" s="21"/>
      <c r="F86" s="19"/>
      <c r="G86" s="27" t="str">
        <f aca="false">IF(B86="","",IFERROR(INDEX(Jeux!$C$2:$C$3001,MATCH(B86,Jeux!$A$2:$A$3001,0))&amp;"","⚠ jeu inconnu"))</f>
        <v/>
      </c>
      <c r="H86" s="27" t="str">
        <f aca="false">IF(B86="","",IFERROR(INDEX(Jeux!$D$2:$D$3001,MATCH(B86,Jeux!$A$2:$A$3001,0))&amp;"",""))</f>
        <v/>
      </c>
      <c r="I86" s="26" t="str">
        <f aca="false">IF(A86="","",COUNTIF(Apparitions!$G$2:$G$5001,A86))</f>
        <v/>
      </c>
      <c r="J86" s="26" t="str">
        <f aca="false">IF(A86="","",COUNTIFS(Apparitions!$G$2:$G$5001,A86,Apparitions!$E$2:$E$5001,"○"))</f>
        <v/>
      </c>
      <c r="K86" s="29" t="str">
        <f aca="false">IF(A86="","",IFERROR(1/(1/_xlfn.MINIFS(Apparitions!$L$2:$L$5001,Apparitions!$G$2:$G$5001,A86)),""))</f>
        <v/>
      </c>
      <c r="L86" s="27" t="str">
        <f aca="false">IF(A86="","",A86&amp;" | "&amp;B86&amp;IF(C86="",""," ("&amp;C86&amp;")")&amp;IF(D86="",""," - "&amp;D86))</f>
        <v/>
      </c>
    </row>
    <row r="87" customFormat="false" ht="15" hidden="false" customHeight="false" outlineLevel="0" collapsed="false">
      <c r="A87" s="32"/>
      <c r="B87" s="19"/>
      <c r="C87" s="19"/>
      <c r="D87" s="19"/>
      <c r="E87" s="21"/>
      <c r="F87" s="19"/>
      <c r="G87" s="27" t="str">
        <f aca="false">IF(B87="","",IFERROR(INDEX(Jeux!$C$2:$C$3001,MATCH(B87,Jeux!$A$2:$A$3001,0))&amp;"","⚠ jeu inconnu"))</f>
        <v/>
      </c>
      <c r="H87" s="27" t="str">
        <f aca="false">IF(B87="","",IFERROR(INDEX(Jeux!$D$2:$D$3001,MATCH(B87,Jeux!$A$2:$A$3001,0))&amp;"",""))</f>
        <v/>
      </c>
      <c r="I87" s="26" t="str">
        <f aca="false">IF(A87="","",COUNTIF(Apparitions!$G$2:$G$5001,A87))</f>
        <v/>
      </c>
      <c r="J87" s="26" t="str">
        <f aca="false">IF(A87="","",COUNTIFS(Apparitions!$G$2:$G$5001,A87,Apparitions!$E$2:$E$5001,"○"))</f>
        <v/>
      </c>
      <c r="K87" s="29" t="str">
        <f aca="false">IF(A87="","",IFERROR(1/(1/_xlfn.MINIFS(Apparitions!$L$2:$L$5001,Apparitions!$G$2:$G$5001,A87)),""))</f>
        <v/>
      </c>
      <c r="L87" s="27" t="str">
        <f aca="false">IF(A87="","",A87&amp;" | "&amp;B87&amp;IF(C87="",""," ("&amp;C87&amp;")")&amp;IF(D87="",""," - "&amp;D87))</f>
        <v/>
      </c>
    </row>
    <row r="88" customFormat="false" ht="15" hidden="false" customHeight="false" outlineLevel="0" collapsed="false">
      <c r="A88" s="32"/>
      <c r="B88" s="19"/>
      <c r="C88" s="19"/>
      <c r="D88" s="19"/>
      <c r="E88" s="21"/>
      <c r="F88" s="19"/>
      <c r="G88" s="27" t="str">
        <f aca="false">IF(B88="","",IFERROR(INDEX(Jeux!$C$2:$C$3001,MATCH(B88,Jeux!$A$2:$A$3001,0))&amp;"","⚠ jeu inconnu"))</f>
        <v/>
      </c>
      <c r="H88" s="27" t="str">
        <f aca="false">IF(B88="","",IFERROR(INDEX(Jeux!$D$2:$D$3001,MATCH(B88,Jeux!$A$2:$A$3001,0))&amp;"",""))</f>
        <v/>
      </c>
      <c r="I88" s="26" t="str">
        <f aca="false">IF(A88="","",COUNTIF(Apparitions!$G$2:$G$5001,A88))</f>
        <v/>
      </c>
      <c r="J88" s="26" t="str">
        <f aca="false">IF(A88="","",COUNTIFS(Apparitions!$G$2:$G$5001,A88,Apparitions!$E$2:$E$5001,"○"))</f>
        <v/>
      </c>
      <c r="K88" s="29" t="str">
        <f aca="false">IF(A88="","",IFERROR(1/(1/_xlfn.MINIFS(Apparitions!$L$2:$L$5001,Apparitions!$G$2:$G$5001,A88)),""))</f>
        <v/>
      </c>
      <c r="L88" s="27" t="str">
        <f aca="false">IF(A88="","",A88&amp;" | "&amp;B88&amp;IF(C88="",""," ("&amp;C88&amp;")")&amp;IF(D88="",""," - "&amp;D88))</f>
        <v/>
      </c>
    </row>
    <row r="89" customFormat="false" ht="15" hidden="false" customHeight="false" outlineLevel="0" collapsed="false">
      <c r="A89" s="32"/>
      <c r="B89" s="19"/>
      <c r="C89" s="19"/>
      <c r="D89" s="19"/>
      <c r="E89" s="21"/>
      <c r="F89" s="19"/>
      <c r="G89" s="27" t="str">
        <f aca="false">IF(B89="","",IFERROR(INDEX(Jeux!$C$2:$C$3001,MATCH(B89,Jeux!$A$2:$A$3001,0))&amp;"","⚠ jeu inconnu"))</f>
        <v/>
      </c>
      <c r="H89" s="27" t="str">
        <f aca="false">IF(B89="","",IFERROR(INDEX(Jeux!$D$2:$D$3001,MATCH(B89,Jeux!$A$2:$A$3001,0))&amp;"",""))</f>
        <v/>
      </c>
      <c r="I89" s="26" t="str">
        <f aca="false">IF(A89="","",COUNTIF(Apparitions!$G$2:$G$5001,A89))</f>
        <v/>
      </c>
      <c r="J89" s="26" t="str">
        <f aca="false">IF(A89="","",COUNTIFS(Apparitions!$G$2:$G$5001,A89,Apparitions!$E$2:$E$5001,"○"))</f>
        <v/>
      </c>
      <c r="K89" s="29" t="str">
        <f aca="false">IF(A89="","",IFERROR(1/(1/_xlfn.MINIFS(Apparitions!$L$2:$L$5001,Apparitions!$G$2:$G$5001,A89)),""))</f>
        <v/>
      </c>
      <c r="L89" s="27" t="str">
        <f aca="false">IF(A89="","",A89&amp;" | "&amp;B89&amp;IF(C89="",""," ("&amp;C89&amp;")")&amp;IF(D89="",""," - "&amp;D89))</f>
        <v/>
      </c>
    </row>
    <row r="90" customFormat="false" ht="15" hidden="false" customHeight="false" outlineLevel="0" collapsed="false">
      <c r="A90" s="32"/>
      <c r="B90" s="19"/>
      <c r="C90" s="19"/>
      <c r="D90" s="19"/>
      <c r="E90" s="21"/>
      <c r="F90" s="19"/>
      <c r="G90" s="27" t="str">
        <f aca="false">IF(B90="","",IFERROR(INDEX(Jeux!$C$2:$C$3001,MATCH(B90,Jeux!$A$2:$A$3001,0))&amp;"","⚠ jeu inconnu"))</f>
        <v/>
      </c>
      <c r="H90" s="27" t="str">
        <f aca="false">IF(B90="","",IFERROR(INDEX(Jeux!$D$2:$D$3001,MATCH(B90,Jeux!$A$2:$A$3001,0))&amp;"",""))</f>
        <v/>
      </c>
      <c r="I90" s="26" t="str">
        <f aca="false">IF(A90="","",COUNTIF(Apparitions!$G$2:$G$5001,A90))</f>
        <v/>
      </c>
      <c r="J90" s="26" t="str">
        <f aca="false">IF(A90="","",COUNTIFS(Apparitions!$G$2:$G$5001,A90,Apparitions!$E$2:$E$5001,"○"))</f>
        <v/>
      </c>
      <c r="K90" s="29" t="str">
        <f aca="false">IF(A90="","",IFERROR(1/(1/_xlfn.MINIFS(Apparitions!$L$2:$L$5001,Apparitions!$G$2:$G$5001,A90)),""))</f>
        <v/>
      </c>
      <c r="L90" s="27" t="str">
        <f aca="false">IF(A90="","",A90&amp;" | "&amp;B90&amp;IF(C90="",""," ("&amp;C90&amp;")")&amp;IF(D90="",""," - "&amp;D90))</f>
        <v/>
      </c>
    </row>
    <row r="91" customFormat="false" ht="15" hidden="false" customHeight="false" outlineLevel="0" collapsed="false">
      <c r="A91" s="32"/>
      <c r="B91" s="19"/>
      <c r="C91" s="19"/>
      <c r="D91" s="19"/>
      <c r="E91" s="21"/>
      <c r="F91" s="19"/>
      <c r="G91" s="27" t="str">
        <f aca="false">IF(B91="","",IFERROR(INDEX(Jeux!$C$2:$C$3001,MATCH(B91,Jeux!$A$2:$A$3001,0))&amp;"","⚠ jeu inconnu"))</f>
        <v/>
      </c>
      <c r="H91" s="27" t="str">
        <f aca="false">IF(B91="","",IFERROR(INDEX(Jeux!$D$2:$D$3001,MATCH(B91,Jeux!$A$2:$A$3001,0))&amp;"",""))</f>
        <v/>
      </c>
      <c r="I91" s="26" t="str">
        <f aca="false">IF(A91="","",COUNTIF(Apparitions!$G$2:$G$5001,A91))</f>
        <v/>
      </c>
      <c r="J91" s="26" t="str">
        <f aca="false">IF(A91="","",COUNTIFS(Apparitions!$G$2:$G$5001,A91,Apparitions!$E$2:$E$5001,"○"))</f>
        <v/>
      </c>
      <c r="K91" s="29" t="str">
        <f aca="false">IF(A91="","",IFERROR(1/(1/_xlfn.MINIFS(Apparitions!$L$2:$L$5001,Apparitions!$G$2:$G$5001,A91)),""))</f>
        <v/>
      </c>
      <c r="L91" s="27" t="str">
        <f aca="false">IF(A91="","",A91&amp;" | "&amp;B91&amp;IF(C91="",""," ("&amp;C91&amp;")")&amp;IF(D91="",""," - "&amp;D91))</f>
        <v/>
      </c>
    </row>
    <row r="92" customFormat="false" ht="15" hidden="false" customHeight="false" outlineLevel="0" collapsed="false">
      <c r="A92" s="32"/>
      <c r="B92" s="19"/>
      <c r="C92" s="19"/>
      <c r="D92" s="19"/>
      <c r="E92" s="21"/>
      <c r="F92" s="19"/>
      <c r="G92" s="27" t="str">
        <f aca="false">IF(B92="","",IFERROR(INDEX(Jeux!$C$2:$C$3001,MATCH(B92,Jeux!$A$2:$A$3001,0))&amp;"","⚠ jeu inconnu"))</f>
        <v/>
      </c>
      <c r="H92" s="27" t="str">
        <f aca="false">IF(B92="","",IFERROR(INDEX(Jeux!$D$2:$D$3001,MATCH(B92,Jeux!$A$2:$A$3001,0))&amp;"",""))</f>
        <v/>
      </c>
      <c r="I92" s="26" t="str">
        <f aca="false">IF(A92="","",COUNTIF(Apparitions!$G$2:$G$5001,A92))</f>
        <v/>
      </c>
      <c r="J92" s="26" t="str">
        <f aca="false">IF(A92="","",COUNTIFS(Apparitions!$G$2:$G$5001,A92,Apparitions!$E$2:$E$5001,"○"))</f>
        <v/>
      </c>
      <c r="K92" s="29" t="str">
        <f aca="false">IF(A92="","",IFERROR(1/(1/_xlfn.MINIFS(Apparitions!$L$2:$L$5001,Apparitions!$G$2:$G$5001,A92)),""))</f>
        <v/>
      </c>
      <c r="L92" s="27" t="str">
        <f aca="false">IF(A92="","",A92&amp;" | "&amp;B92&amp;IF(C92="",""," ("&amp;C92&amp;")")&amp;IF(D92="",""," - "&amp;D92))</f>
        <v/>
      </c>
    </row>
    <row r="93" customFormat="false" ht="15" hidden="false" customHeight="false" outlineLevel="0" collapsed="false">
      <c r="A93" s="32"/>
      <c r="B93" s="19"/>
      <c r="C93" s="19"/>
      <c r="D93" s="19"/>
      <c r="E93" s="21"/>
      <c r="F93" s="19"/>
      <c r="G93" s="27" t="str">
        <f aca="false">IF(B93="","",IFERROR(INDEX(Jeux!$C$2:$C$3001,MATCH(B93,Jeux!$A$2:$A$3001,0))&amp;"","⚠ jeu inconnu"))</f>
        <v/>
      </c>
      <c r="H93" s="27" t="str">
        <f aca="false">IF(B93="","",IFERROR(INDEX(Jeux!$D$2:$D$3001,MATCH(B93,Jeux!$A$2:$A$3001,0))&amp;"",""))</f>
        <v/>
      </c>
      <c r="I93" s="26" t="str">
        <f aca="false">IF(A93="","",COUNTIF(Apparitions!$G$2:$G$5001,A93))</f>
        <v/>
      </c>
      <c r="J93" s="26" t="str">
        <f aca="false">IF(A93="","",COUNTIFS(Apparitions!$G$2:$G$5001,A93,Apparitions!$E$2:$E$5001,"○"))</f>
        <v/>
      </c>
      <c r="K93" s="29" t="str">
        <f aca="false">IF(A93="","",IFERROR(1/(1/_xlfn.MINIFS(Apparitions!$L$2:$L$5001,Apparitions!$G$2:$G$5001,A93)),""))</f>
        <v/>
      </c>
      <c r="L93" s="27" t="str">
        <f aca="false">IF(A93="","",A93&amp;" | "&amp;B93&amp;IF(C93="",""," ("&amp;C93&amp;")")&amp;IF(D93="",""," - "&amp;D93))</f>
        <v/>
      </c>
    </row>
    <row r="94" customFormat="false" ht="15" hidden="false" customHeight="false" outlineLevel="0" collapsed="false">
      <c r="A94" s="32"/>
      <c r="B94" s="19"/>
      <c r="C94" s="19"/>
      <c r="D94" s="19"/>
      <c r="E94" s="21"/>
      <c r="F94" s="19"/>
      <c r="G94" s="27" t="str">
        <f aca="false">IF(B94="","",IFERROR(INDEX(Jeux!$C$2:$C$3001,MATCH(B94,Jeux!$A$2:$A$3001,0))&amp;"","⚠ jeu inconnu"))</f>
        <v/>
      </c>
      <c r="H94" s="27" t="str">
        <f aca="false">IF(B94="","",IFERROR(INDEX(Jeux!$D$2:$D$3001,MATCH(B94,Jeux!$A$2:$A$3001,0))&amp;"",""))</f>
        <v/>
      </c>
      <c r="I94" s="26" t="str">
        <f aca="false">IF(A94="","",COUNTIF(Apparitions!$G$2:$G$5001,A94))</f>
        <v/>
      </c>
      <c r="J94" s="26" t="str">
        <f aca="false">IF(A94="","",COUNTIFS(Apparitions!$G$2:$G$5001,A94,Apparitions!$E$2:$E$5001,"○"))</f>
        <v/>
      </c>
      <c r="K94" s="29" t="str">
        <f aca="false">IF(A94="","",IFERROR(1/(1/_xlfn.MINIFS(Apparitions!$L$2:$L$5001,Apparitions!$G$2:$G$5001,A94)),""))</f>
        <v/>
      </c>
      <c r="L94" s="27" t="str">
        <f aca="false">IF(A94="","",A94&amp;" | "&amp;B94&amp;IF(C94="",""," ("&amp;C94&amp;")")&amp;IF(D94="",""," - "&amp;D94))</f>
        <v/>
      </c>
    </row>
    <row r="95" customFormat="false" ht="15" hidden="false" customHeight="false" outlineLevel="0" collapsed="false">
      <c r="A95" s="32"/>
      <c r="B95" s="19"/>
      <c r="C95" s="19"/>
      <c r="D95" s="19"/>
      <c r="E95" s="21"/>
      <c r="F95" s="19"/>
      <c r="G95" s="27" t="str">
        <f aca="false">IF(B95="","",IFERROR(INDEX(Jeux!$C$2:$C$3001,MATCH(B95,Jeux!$A$2:$A$3001,0))&amp;"","⚠ jeu inconnu"))</f>
        <v/>
      </c>
      <c r="H95" s="27" t="str">
        <f aca="false">IF(B95="","",IFERROR(INDEX(Jeux!$D$2:$D$3001,MATCH(B95,Jeux!$A$2:$A$3001,0))&amp;"",""))</f>
        <v/>
      </c>
      <c r="I95" s="26" t="str">
        <f aca="false">IF(A95="","",COUNTIF(Apparitions!$G$2:$G$5001,A95))</f>
        <v/>
      </c>
      <c r="J95" s="26" t="str">
        <f aca="false">IF(A95="","",COUNTIFS(Apparitions!$G$2:$G$5001,A95,Apparitions!$E$2:$E$5001,"○"))</f>
        <v/>
      </c>
      <c r="K95" s="29" t="str">
        <f aca="false">IF(A95="","",IFERROR(1/(1/_xlfn.MINIFS(Apparitions!$L$2:$L$5001,Apparitions!$G$2:$G$5001,A95)),""))</f>
        <v/>
      </c>
      <c r="L95" s="27" t="str">
        <f aca="false">IF(A95="","",A95&amp;" | "&amp;B95&amp;IF(C95="",""," ("&amp;C95&amp;")")&amp;IF(D95="",""," - "&amp;D95))</f>
        <v/>
      </c>
    </row>
    <row r="96" customFormat="false" ht="15" hidden="false" customHeight="false" outlineLevel="0" collapsed="false">
      <c r="A96" s="32"/>
      <c r="B96" s="19"/>
      <c r="C96" s="19"/>
      <c r="D96" s="19"/>
      <c r="E96" s="21"/>
      <c r="F96" s="19"/>
      <c r="G96" s="27" t="str">
        <f aca="false">IF(B96="","",IFERROR(INDEX(Jeux!$C$2:$C$3001,MATCH(B96,Jeux!$A$2:$A$3001,0))&amp;"","⚠ jeu inconnu"))</f>
        <v/>
      </c>
      <c r="H96" s="27" t="str">
        <f aca="false">IF(B96="","",IFERROR(INDEX(Jeux!$D$2:$D$3001,MATCH(B96,Jeux!$A$2:$A$3001,0))&amp;"",""))</f>
        <v/>
      </c>
      <c r="I96" s="26" t="str">
        <f aca="false">IF(A96="","",COUNTIF(Apparitions!$G$2:$G$5001,A96))</f>
        <v/>
      </c>
      <c r="J96" s="26" t="str">
        <f aca="false">IF(A96="","",COUNTIFS(Apparitions!$G$2:$G$5001,A96,Apparitions!$E$2:$E$5001,"○"))</f>
        <v/>
      </c>
      <c r="K96" s="29" t="str">
        <f aca="false">IF(A96="","",IFERROR(1/(1/_xlfn.MINIFS(Apparitions!$L$2:$L$5001,Apparitions!$G$2:$G$5001,A96)),""))</f>
        <v/>
      </c>
      <c r="L96" s="27" t="str">
        <f aca="false">IF(A96="","",A96&amp;" | "&amp;B96&amp;IF(C96="",""," ("&amp;C96&amp;")")&amp;IF(D96="",""," - "&amp;D96))</f>
        <v/>
      </c>
    </row>
    <row r="97" customFormat="false" ht="15" hidden="false" customHeight="false" outlineLevel="0" collapsed="false">
      <c r="A97" s="32"/>
      <c r="B97" s="19"/>
      <c r="C97" s="19"/>
      <c r="D97" s="19"/>
      <c r="E97" s="21"/>
      <c r="F97" s="19"/>
      <c r="G97" s="27" t="str">
        <f aca="false">IF(B97="","",IFERROR(INDEX(Jeux!$C$2:$C$3001,MATCH(B97,Jeux!$A$2:$A$3001,0))&amp;"","⚠ jeu inconnu"))</f>
        <v/>
      </c>
      <c r="H97" s="27" t="str">
        <f aca="false">IF(B97="","",IFERROR(INDEX(Jeux!$D$2:$D$3001,MATCH(B97,Jeux!$A$2:$A$3001,0))&amp;"",""))</f>
        <v/>
      </c>
      <c r="I97" s="26" t="str">
        <f aca="false">IF(A97="","",COUNTIF(Apparitions!$G$2:$G$5001,A97))</f>
        <v/>
      </c>
      <c r="J97" s="26" t="str">
        <f aca="false">IF(A97="","",COUNTIFS(Apparitions!$G$2:$G$5001,A97,Apparitions!$E$2:$E$5001,"○"))</f>
        <v/>
      </c>
      <c r="K97" s="29" t="str">
        <f aca="false">IF(A97="","",IFERROR(1/(1/_xlfn.MINIFS(Apparitions!$L$2:$L$5001,Apparitions!$G$2:$G$5001,A97)),""))</f>
        <v/>
      </c>
      <c r="L97" s="27" t="str">
        <f aca="false">IF(A97="","",A97&amp;" | "&amp;B97&amp;IF(C97="",""," ("&amp;C97&amp;")")&amp;IF(D97="",""," - "&amp;D97))</f>
        <v/>
      </c>
    </row>
    <row r="98" customFormat="false" ht="15" hidden="false" customHeight="false" outlineLevel="0" collapsed="false">
      <c r="A98" s="32"/>
      <c r="B98" s="19"/>
      <c r="C98" s="19"/>
      <c r="D98" s="19"/>
      <c r="E98" s="21"/>
      <c r="F98" s="19"/>
      <c r="G98" s="27" t="str">
        <f aca="false">IF(B98="","",IFERROR(INDEX(Jeux!$C$2:$C$3001,MATCH(B98,Jeux!$A$2:$A$3001,0))&amp;"","⚠ jeu inconnu"))</f>
        <v/>
      </c>
      <c r="H98" s="27" t="str">
        <f aca="false">IF(B98="","",IFERROR(INDEX(Jeux!$D$2:$D$3001,MATCH(B98,Jeux!$A$2:$A$3001,0))&amp;"",""))</f>
        <v/>
      </c>
      <c r="I98" s="26" t="str">
        <f aca="false">IF(A98="","",COUNTIF(Apparitions!$G$2:$G$5001,A98))</f>
        <v/>
      </c>
      <c r="J98" s="26" t="str">
        <f aca="false">IF(A98="","",COUNTIFS(Apparitions!$G$2:$G$5001,A98,Apparitions!$E$2:$E$5001,"○"))</f>
        <v/>
      </c>
      <c r="K98" s="29" t="str">
        <f aca="false">IF(A98="","",IFERROR(1/(1/_xlfn.MINIFS(Apparitions!$L$2:$L$5001,Apparitions!$G$2:$G$5001,A98)),""))</f>
        <v/>
      </c>
      <c r="L98" s="27" t="str">
        <f aca="false">IF(A98="","",A98&amp;" | "&amp;B98&amp;IF(C98="",""," ("&amp;C98&amp;")")&amp;IF(D98="",""," - "&amp;D98))</f>
        <v/>
      </c>
    </row>
    <row r="99" customFormat="false" ht="15" hidden="false" customHeight="false" outlineLevel="0" collapsed="false">
      <c r="A99" s="32"/>
      <c r="B99" s="19"/>
      <c r="C99" s="19"/>
      <c r="D99" s="19"/>
      <c r="E99" s="21"/>
      <c r="F99" s="19"/>
      <c r="G99" s="27" t="str">
        <f aca="false">IF(B99="","",IFERROR(INDEX(Jeux!$C$2:$C$3001,MATCH(B99,Jeux!$A$2:$A$3001,0))&amp;"","⚠ jeu inconnu"))</f>
        <v/>
      </c>
      <c r="H99" s="27" t="str">
        <f aca="false">IF(B99="","",IFERROR(INDEX(Jeux!$D$2:$D$3001,MATCH(B99,Jeux!$A$2:$A$3001,0))&amp;"",""))</f>
        <v/>
      </c>
      <c r="I99" s="26" t="str">
        <f aca="false">IF(A99="","",COUNTIF(Apparitions!$G$2:$G$5001,A99))</f>
        <v/>
      </c>
      <c r="J99" s="26" t="str">
        <f aca="false">IF(A99="","",COUNTIFS(Apparitions!$G$2:$G$5001,A99,Apparitions!$E$2:$E$5001,"○"))</f>
        <v/>
      </c>
      <c r="K99" s="29" t="str">
        <f aca="false">IF(A99="","",IFERROR(1/(1/_xlfn.MINIFS(Apparitions!$L$2:$L$5001,Apparitions!$G$2:$G$5001,A99)),""))</f>
        <v/>
      </c>
      <c r="L99" s="27" t="str">
        <f aca="false">IF(A99="","",A99&amp;" | "&amp;B99&amp;IF(C99="",""," ("&amp;C99&amp;")")&amp;IF(D99="",""," - "&amp;D99))</f>
        <v/>
      </c>
    </row>
    <row r="100" customFormat="false" ht="15" hidden="false" customHeight="false" outlineLevel="0" collapsed="false">
      <c r="A100" s="32"/>
      <c r="B100" s="19"/>
      <c r="C100" s="19"/>
      <c r="D100" s="19"/>
      <c r="E100" s="21"/>
      <c r="F100" s="19"/>
      <c r="G100" s="27" t="str">
        <f aca="false">IF(B100="","",IFERROR(INDEX(Jeux!$C$2:$C$3001,MATCH(B100,Jeux!$A$2:$A$3001,0))&amp;"","⚠ jeu inconnu"))</f>
        <v/>
      </c>
      <c r="H100" s="27" t="str">
        <f aca="false">IF(B100="","",IFERROR(INDEX(Jeux!$D$2:$D$3001,MATCH(B100,Jeux!$A$2:$A$3001,0))&amp;"",""))</f>
        <v/>
      </c>
      <c r="I100" s="26" t="str">
        <f aca="false">IF(A100="","",COUNTIF(Apparitions!$G$2:$G$5001,A100))</f>
        <v/>
      </c>
      <c r="J100" s="26" t="str">
        <f aca="false">IF(A100="","",COUNTIFS(Apparitions!$G$2:$G$5001,A100,Apparitions!$E$2:$E$5001,"○"))</f>
        <v/>
      </c>
      <c r="K100" s="29" t="str">
        <f aca="false">IF(A100="","",IFERROR(1/(1/_xlfn.MINIFS(Apparitions!$L$2:$L$5001,Apparitions!$G$2:$G$5001,A100)),""))</f>
        <v/>
      </c>
      <c r="L100" s="27" t="str">
        <f aca="false">IF(A100="","",A100&amp;" | "&amp;B100&amp;IF(C100="",""," ("&amp;C100&amp;")")&amp;IF(D100="",""," - "&amp;D100))</f>
        <v/>
      </c>
    </row>
    <row r="101" customFormat="false" ht="15" hidden="false" customHeight="false" outlineLevel="0" collapsed="false">
      <c r="A101" s="32"/>
      <c r="B101" s="19"/>
      <c r="C101" s="19"/>
      <c r="D101" s="19"/>
      <c r="E101" s="21"/>
      <c r="F101" s="19"/>
      <c r="G101" s="27" t="str">
        <f aca="false">IF(B101="","",IFERROR(INDEX(Jeux!$C$2:$C$3001,MATCH(B101,Jeux!$A$2:$A$3001,0))&amp;"","⚠ jeu inconnu"))</f>
        <v/>
      </c>
      <c r="H101" s="27" t="str">
        <f aca="false">IF(B101="","",IFERROR(INDEX(Jeux!$D$2:$D$3001,MATCH(B101,Jeux!$A$2:$A$3001,0))&amp;"",""))</f>
        <v/>
      </c>
      <c r="I101" s="26" t="str">
        <f aca="false">IF(A101="","",COUNTIF(Apparitions!$G$2:$G$5001,A101))</f>
        <v/>
      </c>
      <c r="J101" s="26" t="str">
        <f aca="false">IF(A101="","",COUNTIFS(Apparitions!$G$2:$G$5001,A101,Apparitions!$E$2:$E$5001,"○"))</f>
        <v/>
      </c>
      <c r="K101" s="29" t="str">
        <f aca="false">IF(A101="","",IFERROR(1/(1/_xlfn.MINIFS(Apparitions!$L$2:$L$5001,Apparitions!$G$2:$G$5001,A101)),""))</f>
        <v/>
      </c>
      <c r="L101" s="27" t="str">
        <f aca="false">IF(A101="","",A101&amp;" | "&amp;B101&amp;IF(C101="",""," ("&amp;C101&amp;")")&amp;IF(D101="",""," - "&amp;D101))</f>
        <v/>
      </c>
    </row>
    <row r="102" customFormat="false" ht="15" hidden="false" customHeight="false" outlineLevel="0" collapsed="false">
      <c r="A102" s="32"/>
      <c r="B102" s="19"/>
      <c r="C102" s="19"/>
      <c r="D102" s="19"/>
      <c r="E102" s="21"/>
      <c r="F102" s="19"/>
      <c r="G102" s="27" t="str">
        <f aca="false">IF(B102="","",IFERROR(INDEX(Jeux!$C$2:$C$3001,MATCH(B102,Jeux!$A$2:$A$3001,0))&amp;"","⚠ jeu inconnu"))</f>
        <v/>
      </c>
      <c r="H102" s="27" t="str">
        <f aca="false">IF(B102="","",IFERROR(INDEX(Jeux!$D$2:$D$3001,MATCH(B102,Jeux!$A$2:$A$3001,0))&amp;"",""))</f>
        <v/>
      </c>
      <c r="I102" s="26" t="str">
        <f aca="false">IF(A102="","",COUNTIF(Apparitions!$G$2:$G$5001,A102))</f>
        <v/>
      </c>
      <c r="J102" s="26" t="str">
        <f aca="false">IF(A102="","",COUNTIFS(Apparitions!$G$2:$G$5001,A102,Apparitions!$E$2:$E$5001,"○"))</f>
        <v/>
      </c>
      <c r="K102" s="29" t="str">
        <f aca="false">IF(A102="","",IFERROR(1/(1/_xlfn.MINIFS(Apparitions!$L$2:$L$5001,Apparitions!$G$2:$G$5001,A102)),""))</f>
        <v/>
      </c>
      <c r="L102" s="27" t="str">
        <f aca="false">IF(A102="","",A102&amp;" | "&amp;B102&amp;IF(C102="",""," ("&amp;C102&amp;")")&amp;IF(D102="",""," - "&amp;D102))</f>
        <v/>
      </c>
    </row>
    <row r="103" customFormat="false" ht="15" hidden="false" customHeight="false" outlineLevel="0" collapsed="false">
      <c r="A103" s="32"/>
      <c r="B103" s="19"/>
      <c r="C103" s="19"/>
      <c r="D103" s="19"/>
      <c r="E103" s="21"/>
      <c r="F103" s="19"/>
      <c r="G103" s="27" t="str">
        <f aca="false">IF(B103="","",IFERROR(INDEX(Jeux!$C$2:$C$3001,MATCH(B103,Jeux!$A$2:$A$3001,0))&amp;"","⚠ jeu inconnu"))</f>
        <v/>
      </c>
      <c r="H103" s="27" t="str">
        <f aca="false">IF(B103="","",IFERROR(INDEX(Jeux!$D$2:$D$3001,MATCH(B103,Jeux!$A$2:$A$3001,0))&amp;"",""))</f>
        <v/>
      </c>
      <c r="I103" s="26" t="str">
        <f aca="false">IF(A103="","",COUNTIF(Apparitions!$G$2:$G$5001,A103))</f>
        <v/>
      </c>
      <c r="J103" s="26" t="str">
        <f aca="false">IF(A103="","",COUNTIFS(Apparitions!$G$2:$G$5001,A103,Apparitions!$E$2:$E$5001,"○"))</f>
        <v/>
      </c>
      <c r="K103" s="29" t="str">
        <f aca="false">IF(A103="","",IFERROR(1/(1/_xlfn.MINIFS(Apparitions!$L$2:$L$5001,Apparitions!$G$2:$G$5001,A103)),""))</f>
        <v/>
      </c>
      <c r="L103" s="27" t="str">
        <f aca="false">IF(A103="","",A103&amp;" | "&amp;B103&amp;IF(C103="",""," ("&amp;C103&amp;")")&amp;IF(D103="",""," - "&amp;D103))</f>
        <v/>
      </c>
    </row>
    <row r="104" customFormat="false" ht="15" hidden="false" customHeight="false" outlineLevel="0" collapsed="false">
      <c r="A104" s="32"/>
      <c r="B104" s="19"/>
      <c r="C104" s="19"/>
      <c r="D104" s="19"/>
      <c r="E104" s="21"/>
      <c r="F104" s="19"/>
      <c r="G104" s="27" t="str">
        <f aca="false">IF(B104="","",IFERROR(INDEX(Jeux!$C$2:$C$3001,MATCH(B104,Jeux!$A$2:$A$3001,0))&amp;"","⚠ jeu inconnu"))</f>
        <v/>
      </c>
      <c r="H104" s="27" t="str">
        <f aca="false">IF(B104="","",IFERROR(INDEX(Jeux!$D$2:$D$3001,MATCH(B104,Jeux!$A$2:$A$3001,0))&amp;"",""))</f>
        <v/>
      </c>
      <c r="I104" s="26" t="str">
        <f aca="false">IF(A104="","",COUNTIF(Apparitions!$G$2:$G$5001,A104))</f>
        <v/>
      </c>
      <c r="J104" s="26" t="str">
        <f aca="false">IF(A104="","",COUNTIFS(Apparitions!$G$2:$G$5001,A104,Apparitions!$E$2:$E$5001,"○"))</f>
        <v/>
      </c>
      <c r="K104" s="29" t="str">
        <f aca="false">IF(A104="","",IFERROR(1/(1/_xlfn.MINIFS(Apparitions!$L$2:$L$5001,Apparitions!$G$2:$G$5001,A104)),""))</f>
        <v/>
      </c>
      <c r="L104" s="27" t="str">
        <f aca="false">IF(A104="","",A104&amp;" | "&amp;B104&amp;IF(C104="",""," ("&amp;C104&amp;")")&amp;IF(D104="",""," - "&amp;D104))</f>
        <v/>
      </c>
    </row>
    <row r="105" customFormat="false" ht="15" hidden="false" customHeight="false" outlineLevel="0" collapsed="false">
      <c r="A105" s="32"/>
      <c r="B105" s="19"/>
      <c r="C105" s="19"/>
      <c r="D105" s="19"/>
      <c r="E105" s="21"/>
      <c r="F105" s="19"/>
      <c r="G105" s="27" t="str">
        <f aca="false">IF(B105="","",IFERROR(INDEX(Jeux!$C$2:$C$3001,MATCH(B105,Jeux!$A$2:$A$3001,0))&amp;"","⚠ jeu inconnu"))</f>
        <v/>
      </c>
      <c r="H105" s="27" t="str">
        <f aca="false">IF(B105="","",IFERROR(INDEX(Jeux!$D$2:$D$3001,MATCH(B105,Jeux!$A$2:$A$3001,0))&amp;"",""))</f>
        <v/>
      </c>
      <c r="I105" s="26" t="str">
        <f aca="false">IF(A105="","",COUNTIF(Apparitions!$G$2:$G$5001,A105))</f>
        <v/>
      </c>
      <c r="J105" s="26" t="str">
        <f aca="false">IF(A105="","",COUNTIFS(Apparitions!$G$2:$G$5001,A105,Apparitions!$E$2:$E$5001,"○"))</f>
        <v/>
      </c>
      <c r="K105" s="29" t="str">
        <f aca="false">IF(A105="","",IFERROR(1/(1/_xlfn.MINIFS(Apparitions!$L$2:$L$5001,Apparitions!$G$2:$G$5001,A105)),""))</f>
        <v/>
      </c>
      <c r="L105" s="27" t="str">
        <f aca="false">IF(A105="","",A105&amp;" | "&amp;B105&amp;IF(C105="",""," ("&amp;C105&amp;")")&amp;IF(D105="",""," - "&amp;D105))</f>
        <v/>
      </c>
    </row>
    <row r="106" customFormat="false" ht="15" hidden="false" customHeight="false" outlineLevel="0" collapsed="false">
      <c r="A106" s="32"/>
      <c r="B106" s="19"/>
      <c r="C106" s="19"/>
      <c r="D106" s="19"/>
      <c r="E106" s="21"/>
      <c r="F106" s="19"/>
      <c r="G106" s="27" t="str">
        <f aca="false">IF(B106="","",IFERROR(INDEX(Jeux!$C$2:$C$3001,MATCH(B106,Jeux!$A$2:$A$3001,0))&amp;"","⚠ jeu inconnu"))</f>
        <v/>
      </c>
      <c r="H106" s="27" t="str">
        <f aca="false">IF(B106="","",IFERROR(INDEX(Jeux!$D$2:$D$3001,MATCH(B106,Jeux!$A$2:$A$3001,0))&amp;"",""))</f>
        <v/>
      </c>
      <c r="I106" s="26" t="str">
        <f aca="false">IF(A106="","",COUNTIF(Apparitions!$G$2:$G$5001,A106))</f>
        <v/>
      </c>
      <c r="J106" s="26" t="str">
        <f aca="false">IF(A106="","",COUNTIFS(Apparitions!$G$2:$G$5001,A106,Apparitions!$E$2:$E$5001,"○"))</f>
        <v/>
      </c>
      <c r="K106" s="29" t="str">
        <f aca="false">IF(A106="","",IFERROR(1/(1/_xlfn.MINIFS(Apparitions!$L$2:$L$5001,Apparitions!$G$2:$G$5001,A106)),""))</f>
        <v/>
      </c>
      <c r="L106" s="27" t="str">
        <f aca="false">IF(A106="","",A106&amp;" | "&amp;B106&amp;IF(C106="",""," ("&amp;C106&amp;")")&amp;IF(D106="",""," - "&amp;D106))</f>
        <v/>
      </c>
    </row>
    <row r="107" customFormat="false" ht="15" hidden="false" customHeight="false" outlineLevel="0" collapsed="false">
      <c r="A107" s="32"/>
      <c r="B107" s="19"/>
      <c r="C107" s="19"/>
      <c r="D107" s="19"/>
      <c r="E107" s="21"/>
      <c r="F107" s="19"/>
      <c r="G107" s="27" t="str">
        <f aca="false">IF(B107="","",IFERROR(INDEX(Jeux!$C$2:$C$3001,MATCH(B107,Jeux!$A$2:$A$3001,0))&amp;"","⚠ jeu inconnu"))</f>
        <v/>
      </c>
      <c r="H107" s="27" t="str">
        <f aca="false">IF(B107="","",IFERROR(INDEX(Jeux!$D$2:$D$3001,MATCH(B107,Jeux!$A$2:$A$3001,0))&amp;"",""))</f>
        <v/>
      </c>
      <c r="I107" s="26" t="str">
        <f aca="false">IF(A107="","",COUNTIF(Apparitions!$G$2:$G$5001,A107))</f>
        <v/>
      </c>
      <c r="J107" s="26" t="str">
        <f aca="false">IF(A107="","",COUNTIFS(Apparitions!$G$2:$G$5001,A107,Apparitions!$E$2:$E$5001,"○"))</f>
        <v/>
      </c>
      <c r="K107" s="29" t="str">
        <f aca="false">IF(A107="","",IFERROR(1/(1/_xlfn.MINIFS(Apparitions!$L$2:$L$5001,Apparitions!$G$2:$G$5001,A107)),""))</f>
        <v/>
      </c>
      <c r="L107" s="27" t="str">
        <f aca="false">IF(A107="","",A107&amp;" | "&amp;B107&amp;IF(C107="",""," ("&amp;C107&amp;")")&amp;IF(D107="",""," - "&amp;D107))</f>
        <v/>
      </c>
    </row>
    <row r="108" customFormat="false" ht="15" hidden="false" customHeight="false" outlineLevel="0" collapsed="false">
      <c r="A108" s="32"/>
      <c r="B108" s="19"/>
      <c r="C108" s="19"/>
      <c r="D108" s="19"/>
      <c r="E108" s="21"/>
      <c r="F108" s="19"/>
      <c r="G108" s="27" t="str">
        <f aca="false">IF(B108="","",IFERROR(INDEX(Jeux!$C$2:$C$3001,MATCH(B108,Jeux!$A$2:$A$3001,0))&amp;"","⚠ jeu inconnu"))</f>
        <v/>
      </c>
      <c r="H108" s="27" t="str">
        <f aca="false">IF(B108="","",IFERROR(INDEX(Jeux!$D$2:$D$3001,MATCH(B108,Jeux!$A$2:$A$3001,0))&amp;"",""))</f>
        <v/>
      </c>
      <c r="I108" s="26" t="str">
        <f aca="false">IF(A108="","",COUNTIF(Apparitions!$G$2:$G$5001,A108))</f>
        <v/>
      </c>
      <c r="J108" s="26" t="str">
        <f aca="false">IF(A108="","",COUNTIFS(Apparitions!$G$2:$G$5001,A108,Apparitions!$E$2:$E$5001,"○"))</f>
        <v/>
      </c>
      <c r="K108" s="29" t="str">
        <f aca="false">IF(A108="","",IFERROR(1/(1/_xlfn.MINIFS(Apparitions!$L$2:$L$5001,Apparitions!$G$2:$G$5001,A108)),""))</f>
        <v/>
      </c>
      <c r="L108" s="27" t="str">
        <f aca="false">IF(A108="","",A108&amp;" | "&amp;B108&amp;IF(C108="",""," ("&amp;C108&amp;")")&amp;IF(D108="",""," - "&amp;D108))</f>
        <v/>
      </c>
    </row>
    <row r="109" customFormat="false" ht="15" hidden="false" customHeight="false" outlineLevel="0" collapsed="false">
      <c r="A109" s="32"/>
      <c r="B109" s="19"/>
      <c r="C109" s="19"/>
      <c r="D109" s="19"/>
      <c r="E109" s="21"/>
      <c r="F109" s="19"/>
      <c r="G109" s="27" t="str">
        <f aca="false">IF(B109="","",IFERROR(INDEX(Jeux!$C$2:$C$3001,MATCH(B109,Jeux!$A$2:$A$3001,0))&amp;"","⚠ jeu inconnu"))</f>
        <v/>
      </c>
      <c r="H109" s="27" t="str">
        <f aca="false">IF(B109="","",IFERROR(INDEX(Jeux!$D$2:$D$3001,MATCH(B109,Jeux!$A$2:$A$3001,0))&amp;"",""))</f>
        <v/>
      </c>
      <c r="I109" s="26" t="str">
        <f aca="false">IF(A109="","",COUNTIF(Apparitions!$G$2:$G$5001,A109))</f>
        <v/>
      </c>
      <c r="J109" s="26" t="str">
        <f aca="false">IF(A109="","",COUNTIFS(Apparitions!$G$2:$G$5001,A109,Apparitions!$E$2:$E$5001,"○"))</f>
        <v/>
      </c>
      <c r="K109" s="29" t="str">
        <f aca="false">IF(A109="","",IFERROR(1/(1/_xlfn.MINIFS(Apparitions!$L$2:$L$5001,Apparitions!$G$2:$G$5001,A109)),""))</f>
        <v/>
      </c>
      <c r="L109" s="27" t="str">
        <f aca="false">IF(A109="","",A109&amp;" | "&amp;B109&amp;IF(C109="",""," ("&amp;C109&amp;")")&amp;IF(D109="",""," - "&amp;D109))</f>
        <v/>
      </c>
    </row>
    <row r="110" customFormat="false" ht="15" hidden="false" customHeight="false" outlineLevel="0" collapsed="false">
      <c r="A110" s="32"/>
      <c r="B110" s="19"/>
      <c r="C110" s="19"/>
      <c r="D110" s="19"/>
      <c r="E110" s="21"/>
      <c r="F110" s="19"/>
      <c r="G110" s="27" t="str">
        <f aca="false">IF(B110="","",IFERROR(INDEX(Jeux!$C$2:$C$3001,MATCH(B110,Jeux!$A$2:$A$3001,0))&amp;"","⚠ jeu inconnu"))</f>
        <v/>
      </c>
      <c r="H110" s="27" t="str">
        <f aca="false">IF(B110="","",IFERROR(INDEX(Jeux!$D$2:$D$3001,MATCH(B110,Jeux!$A$2:$A$3001,0))&amp;"",""))</f>
        <v/>
      </c>
      <c r="I110" s="26" t="str">
        <f aca="false">IF(A110="","",COUNTIF(Apparitions!$G$2:$G$5001,A110))</f>
        <v/>
      </c>
      <c r="J110" s="26" t="str">
        <f aca="false">IF(A110="","",COUNTIFS(Apparitions!$G$2:$G$5001,A110,Apparitions!$E$2:$E$5001,"○"))</f>
        <v/>
      </c>
      <c r="K110" s="29" t="str">
        <f aca="false">IF(A110="","",IFERROR(1/(1/_xlfn.MINIFS(Apparitions!$L$2:$L$5001,Apparitions!$G$2:$G$5001,A110)),""))</f>
        <v/>
      </c>
      <c r="L110" s="27" t="str">
        <f aca="false">IF(A110="","",A110&amp;" | "&amp;B110&amp;IF(C110="",""," ("&amp;C110&amp;")")&amp;IF(D110="",""," - "&amp;D110))</f>
        <v/>
      </c>
    </row>
    <row r="111" customFormat="false" ht="15" hidden="false" customHeight="false" outlineLevel="0" collapsed="false">
      <c r="A111" s="32"/>
      <c r="B111" s="19"/>
      <c r="C111" s="19"/>
      <c r="D111" s="19"/>
      <c r="E111" s="21"/>
      <c r="F111" s="19"/>
      <c r="G111" s="27" t="str">
        <f aca="false">IF(B111="","",IFERROR(INDEX(Jeux!$C$2:$C$3001,MATCH(B111,Jeux!$A$2:$A$3001,0))&amp;"","⚠ jeu inconnu"))</f>
        <v/>
      </c>
      <c r="H111" s="27" t="str">
        <f aca="false">IF(B111="","",IFERROR(INDEX(Jeux!$D$2:$D$3001,MATCH(B111,Jeux!$A$2:$A$3001,0))&amp;"",""))</f>
        <v/>
      </c>
      <c r="I111" s="26" t="str">
        <f aca="false">IF(A111="","",COUNTIF(Apparitions!$G$2:$G$5001,A111))</f>
        <v/>
      </c>
      <c r="J111" s="26" t="str">
        <f aca="false">IF(A111="","",COUNTIFS(Apparitions!$G$2:$G$5001,A111,Apparitions!$E$2:$E$5001,"○"))</f>
        <v/>
      </c>
      <c r="K111" s="29" t="str">
        <f aca="false">IF(A111="","",IFERROR(1/(1/_xlfn.MINIFS(Apparitions!$L$2:$L$5001,Apparitions!$G$2:$G$5001,A111)),""))</f>
        <v/>
      </c>
      <c r="L111" s="27" t="str">
        <f aca="false">IF(A111="","",A111&amp;" | "&amp;B111&amp;IF(C111="",""," ("&amp;C111&amp;")")&amp;IF(D111="",""," - "&amp;D111))</f>
        <v/>
      </c>
    </row>
    <row r="112" customFormat="false" ht="15" hidden="false" customHeight="false" outlineLevel="0" collapsed="false">
      <c r="A112" s="32"/>
      <c r="B112" s="19"/>
      <c r="C112" s="19"/>
      <c r="D112" s="19"/>
      <c r="E112" s="21"/>
      <c r="F112" s="19"/>
      <c r="G112" s="27" t="str">
        <f aca="false">IF(B112="","",IFERROR(INDEX(Jeux!$C$2:$C$3001,MATCH(B112,Jeux!$A$2:$A$3001,0))&amp;"","⚠ jeu inconnu"))</f>
        <v/>
      </c>
      <c r="H112" s="27" t="str">
        <f aca="false">IF(B112="","",IFERROR(INDEX(Jeux!$D$2:$D$3001,MATCH(B112,Jeux!$A$2:$A$3001,0))&amp;"",""))</f>
        <v/>
      </c>
      <c r="I112" s="26" t="str">
        <f aca="false">IF(A112="","",COUNTIF(Apparitions!$G$2:$G$5001,A112))</f>
        <v/>
      </c>
      <c r="J112" s="26" t="str">
        <f aca="false">IF(A112="","",COUNTIFS(Apparitions!$G$2:$G$5001,A112,Apparitions!$E$2:$E$5001,"○"))</f>
        <v/>
      </c>
      <c r="K112" s="29" t="str">
        <f aca="false">IF(A112="","",IFERROR(1/(1/_xlfn.MINIFS(Apparitions!$L$2:$L$5001,Apparitions!$G$2:$G$5001,A112)),""))</f>
        <v/>
      </c>
      <c r="L112" s="27" t="str">
        <f aca="false">IF(A112="","",A112&amp;" | "&amp;B112&amp;IF(C112="",""," ("&amp;C112&amp;")")&amp;IF(D112="",""," - "&amp;D112))</f>
        <v/>
      </c>
    </row>
    <row r="113" customFormat="false" ht="15" hidden="false" customHeight="false" outlineLevel="0" collapsed="false">
      <c r="A113" s="32"/>
      <c r="B113" s="19"/>
      <c r="C113" s="19"/>
      <c r="D113" s="19"/>
      <c r="E113" s="21"/>
      <c r="F113" s="19"/>
      <c r="G113" s="27" t="str">
        <f aca="false">IF(B113="","",IFERROR(INDEX(Jeux!$C$2:$C$3001,MATCH(B113,Jeux!$A$2:$A$3001,0))&amp;"","⚠ jeu inconnu"))</f>
        <v/>
      </c>
      <c r="H113" s="27" t="str">
        <f aca="false">IF(B113="","",IFERROR(INDEX(Jeux!$D$2:$D$3001,MATCH(B113,Jeux!$A$2:$A$3001,0))&amp;"",""))</f>
        <v/>
      </c>
      <c r="I113" s="26" t="str">
        <f aca="false">IF(A113="","",COUNTIF(Apparitions!$G$2:$G$5001,A113))</f>
        <v/>
      </c>
      <c r="J113" s="26" t="str">
        <f aca="false">IF(A113="","",COUNTIFS(Apparitions!$G$2:$G$5001,A113,Apparitions!$E$2:$E$5001,"○"))</f>
        <v/>
      </c>
      <c r="K113" s="29" t="str">
        <f aca="false">IF(A113="","",IFERROR(1/(1/_xlfn.MINIFS(Apparitions!$L$2:$L$5001,Apparitions!$G$2:$G$5001,A113)),""))</f>
        <v/>
      </c>
      <c r="L113" s="27" t="str">
        <f aca="false">IF(A113="","",A113&amp;" | "&amp;B113&amp;IF(C113="",""," ("&amp;C113&amp;")")&amp;IF(D113="",""," - "&amp;D113))</f>
        <v/>
      </c>
    </row>
    <row r="114" customFormat="false" ht="15" hidden="false" customHeight="false" outlineLevel="0" collapsed="false">
      <c r="A114" s="32"/>
      <c r="B114" s="19"/>
      <c r="C114" s="19"/>
      <c r="D114" s="19"/>
      <c r="E114" s="21"/>
      <c r="F114" s="19"/>
      <c r="G114" s="27" t="str">
        <f aca="false">IF(B114="","",IFERROR(INDEX(Jeux!$C$2:$C$3001,MATCH(B114,Jeux!$A$2:$A$3001,0))&amp;"","⚠ jeu inconnu"))</f>
        <v/>
      </c>
      <c r="H114" s="27" t="str">
        <f aca="false">IF(B114="","",IFERROR(INDEX(Jeux!$D$2:$D$3001,MATCH(B114,Jeux!$A$2:$A$3001,0))&amp;"",""))</f>
        <v/>
      </c>
      <c r="I114" s="26" t="str">
        <f aca="false">IF(A114="","",COUNTIF(Apparitions!$G$2:$G$5001,A114))</f>
        <v/>
      </c>
      <c r="J114" s="26" t="str">
        <f aca="false">IF(A114="","",COUNTIFS(Apparitions!$G$2:$G$5001,A114,Apparitions!$E$2:$E$5001,"○"))</f>
        <v/>
      </c>
      <c r="K114" s="29" t="str">
        <f aca="false">IF(A114="","",IFERROR(1/(1/_xlfn.MINIFS(Apparitions!$L$2:$L$5001,Apparitions!$G$2:$G$5001,A114)),""))</f>
        <v/>
      </c>
      <c r="L114" s="27" t="str">
        <f aca="false">IF(A114="","",A114&amp;" | "&amp;B114&amp;IF(C114="",""," ("&amp;C114&amp;")")&amp;IF(D114="",""," - "&amp;D114))</f>
        <v/>
      </c>
    </row>
    <row r="115" customFormat="false" ht="15" hidden="false" customHeight="false" outlineLevel="0" collapsed="false">
      <c r="A115" s="32"/>
      <c r="B115" s="19"/>
      <c r="C115" s="19"/>
      <c r="D115" s="19"/>
      <c r="E115" s="21"/>
      <c r="F115" s="19"/>
      <c r="G115" s="27" t="str">
        <f aca="false">IF(B115="","",IFERROR(INDEX(Jeux!$C$2:$C$3001,MATCH(B115,Jeux!$A$2:$A$3001,0))&amp;"","⚠ jeu inconnu"))</f>
        <v/>
      </c>
      <c r="H115" s="27" t="str">
        <f aca="false">IF(B115="","",IFERROR(INDEX(Jeux!$D$2:$D$3001,MATCH(B115,Jeux!$A$2:$A$3001,0))&amp;"",""))</f>
        <v/>
      </c>
      <c r="I115" s="26" t="str">
        <f aca="false">IF(A115="","",COUNTIF(Apparitions!$G$2:$G$5001,A115))</f>
        <v/>
      </c>
      <c r="J115" s="26" t="str">
        <f aca="false">IF(A115="","",COUNTIFS(Apparitions!$G$2:$G$5001,A115,Apparitions!$E$2:$E$5001,"○"))</f>
        <v/>
      </c>
      <c r="K115" s="29" t="str">
        <f aca="false">IF(A115="","",IFERROR(1/(1/_xlfn.MINIFS(Apparitions!$L$2:$L$5001,Apparitions!$G$2:$G$5001,A115)),""))</f>
        <v/>
      </c>
      <c r="L115" s="27" t="str">
        <f aca="false">IF(A115="","",A115&amp;" | "&amp;B115&amp;IF(C115="",""," ("&amp;C115&amp;")")&amp;IF(D115="",""," - "&amp;D115))</f>
        <v/>
      </c>
    </row>
    <row r="116" customFormat="false" ht="15" hidden="false" customHeight="false" outlineLevel="0" collapsed="false">
      <c r="A116" s="32"/>
      <c r="B116" s="19"/>
      <c r="C116" s="19"/>
      <c r="D116" s="19"/>
      <c r="E116" s="21"/>
      <c r="F116" s="19"/>
      <c r="G116" s="27" t="str">
        <f aca="false">IF(B116="","",IFERROR(INDEX(Jeux!$C$2:$C$3001,MATCH(B116,Jeux!$A$2:$A$3001,0))&amp;"","⚠ jeu inconnu"))</f>
        <v/>
      </c>
      <c r="H116" s="27" t="str">
        <f aca="false">IF(B116="","",IFERROR(INDEX(Jeux!$D$2:$D$3001,MATCH(B116,Jeux!$A$2:$A$3001,0))&amp;"",""))</f>
        <v/>
      </c>
      <c r="I116" s="26" t="str">
        <f aca="false">IF(A116="","",COUNTIF(Apparitions!$G$2:$G$5001,A116))</f>
        <v/>
      </c>
      <c r="J116" s="26" t="str">
        <f aca="false">IF(A116="","",COUNTIFS(Apparitions!$G$2:$G$5001,A116,Apparitions!$E$2:$E$5001,"○"))</f>
        <v/>
      </c>
      <c r="K116" s="29" t="str">
        <f aca="false">IF(A116="","",IFERROR(1/(1/_xlfn.MINIFS(Apparitions!$L$2:$L$5001,Apparitions!$G$2:$G$5001,A116)),""))</f>
        <v/>
      </c>
      <c r="L116" s="27" t="str">
        <f aca="false">IF(A116="","",A116&amp;" | "&amp;B116&amp;IF(C116="",""," ("&amp;C116&amp;")")&amp;IF(D116="",""," - "&amp;D116))</f>
        <v/>
      </c>
    </row>
    <row r="117" customFormat="false" ht="15" hidden="false" customHeight="false" outlineLevel="0" collapsed="false">
      <c r="A117" s="32"/>
      <c r="B117" s="19"/>
      <c r="C117" s="19"/>
      <c r="D117" s="19"/>
      <c r="E117" s="21"/>
      <c r="F117" s="19"/>
      <c r="G117" s="27" t="str">
        <f aca="false">IF(B117="","",IFERROR(INDEX(Jeux!$C$2:$C$3001,MATCH(B117,Jeux!$A$2:$A$3001,0))&amp;"","⚠ jeu inconnu"))</f>
        <v/>
      </c>
      <c r="H117" s="27" t="str">
        <f aca="false">IF(B117="","",IFERROR(INDEX(Jeux!$D$2:$D$3001,MATCH(B117,Jeux!$A$2:$A$3001,0))&amp;"",""))</f>
        <v/>
      </c>
      <c r="I117" s="26" t="str">
        <f aca="false">IF(A117="","",COUNTIF(Apparitions!$G$2:$G$5001,A117))</f>
        <v/>
      </c>
      <c r="J117" s="26" t="str">
        <f aca="false">IF(A117="","",COUNTIFS(Apparitions!$G$2:$G$5001,A117,Apparitions!$E$2:$E$5001,"○"))</f>
        <v/>
      </c>
      <c r="K117" s="29" t="str">
        <f aca="false">IF(A117="","",IFERROR(1/(1/_xlfn.MINIFS(Apparitions!$L$2:$L$5001,Apparitions!$G$2:$G$5001,A117)),""))</f>
        <v/>
      </c>
      <c r="L117" s="27" t="str">
        <f aca="false">IF(A117="","",A117&amp;" | "&amp;B117&amp;IF(C117="",""," ("&amp;C117&amp;")")&amp;IF(D117="",""," - "&amp;D117))</f>
        <v/>
      </c>
    </row>
    <row r="118" customFormat="false" ht="15" hidden="false" customHeight="false" outlineLevel="0" collapsed="false">
      <c r="A118" s="32"/>
      <c r="B118" s="19"/>
      <c r="C118" s="19"/>
      <c r="D118" s="19"/>
      <c r="E118" s="21"/>
      <c r="F118" s="19"/>
      <c r="G118" s="27" t="str">
        <f aca="false">IF(B118="","",IFERROR(INDEX(Jeux!$C$2:$C$3001,MATCH(B118,Jeux!$A$2:$A$3001,0))&amp;"","⚠ jeu inconnu"))</f>
        <v/>
      </c>
      <c r="H118" s="27" t="str">
        <f aca="false">IF(B118="","",IFERROR(INDEX(Jeux!$D$2:$D$3001,MATCH(B118,Jeux!$A$2:$A$3001,0))&amp;"",""))</f>
        <v/>
      </c>
      <c r="I118" s="26" t="str">
        <f aca="false">IF(A118="","",COUNTIF(Apparitions!$G$2:$G$5001,A118))</f>
        <v/>
      </c>
      <c r="J118" s="26" t="str">
        <f aca="false">IF(A118="","",COUNTIFS(Apparitions!$G$2:$G$5001,A118,Apparitions!$E$2:$E$5001,"○"))</f>
        <v/>
      </c>
      <c r="K118" s="29" t="str">
        <f aca="false">IF(A118="","",IFERROR(1/(1/_xlfn.MINIFS(Apparitions!$L$2:$L$5001,Apparitions!$G$2:$G$5001,A118)),""))</f>
        <v/>
      </c>
      <c r="L118" s="27" t="str">
        <f aca="false">IF(A118="","",A118&amp;" | "&amp;B118&amp;IF(C118="",""," ("&amp;C118&amp;")")&amp;IF(D118="",""," - "&amp;D118))</f>
        <v/>
      </c>
    </row>
    <row r="119" customFormat="false" ht="15" hidden="false" customHeight="false" outlineLevel="0" collapsed="false">
      <c r="A119" s="32"/>
      <c r="B119" s="19"/>
      <c r="C119" s="19"/>
      <c r="D119" s="19"/>
      <c r="E119" s="21"/>
      <c r="F119" s="19"/>
      <c r="G119" s="27" t="str">
        <f aca="false">IF(B119="","",IFERROR(INDEX(Jeux!$C$2:$C$3001,MATCH(B119,Jeux!$A$2:$A$3001,0))&amp;"","⚠ jeu inconnu"))</f>
        <v/>
      </c>
      <c r="H119" s="27" t="str">
        <f aca="false">IF(B119="","",IFERROR(INDEX(Jeux!$D$2:$D$3001,MATCH(B119,Jeux!$A$2:$A$3001,0))&amp;"",""))</f>
        <v/>
      </c>
      <c r="I119" s="26" t="str">
        <f aca="false">IF(A119="","",COUNTIF(Apparitions!$G$2:$G$5001,A119))</f>
        <v/>
      </c>
      <c r="J119" s="26" t="str">
        <f aca="false">IF(A119="","",COUNTIFS(Apparitions!$G$2:$G$5001,A119,Apparitions!$E$2:$E$5001,"○"))</f>
        <v/>
      </c>
      <c r="K119" s="29" t="str">
        <f aca="false">IF(A119="","",IFERROR(1/(1/_xlfn.MINIFS(Apparitions!$L$2:$L$5001,Apparitions!$G$2:$G$5001,A119)),""))</f>
        <v/>
      </c>
      <c r="L119" s="27" t="str">
        <f aca="false">IF(A119="","",A119&amp;" | "&amp;B119&amp;IF(C119="",""," ("&amp;C119&amp;")")&amp;IF(D119="",""," - "&amp;D119))</f>
        <v/>
      </c>
    </row>
    <row r="120" customFormat="false" ht="15" hidden="false" customHeight="false" outlineLevel="0" collapsed="false">
      <c r="A120" s="32"/>
      <c r="B120" s="19"/>
      <c r="C120" s="19"/>
      <c r="D120" s="19"/>
      <c r="E120" s="21"/>
      <c r="F120" s="19"/>
      <c r="G120" s="27" t="str">
        <f aca="false">IF(B120="","",IFERROR(INDEX(Jeux!$C$2:$C$3001,MATCH(B120,Jeux!$A$2:$A$3001,0))&amp;"","⚠ jeu inconnu"))</f>
        <v/>
      </c>
      <c r="H120" s="27" t="str">
        <f aca="false">IF(B120="","",IFERROR(INDEX(Jeux!$D$2:$D$3001,MATCH(B120,Jeux!$A$2:$A$3001,0))&amp;"",""))</f>
        <v/>
      </c>
      <c r="I120" s="26" t="str">
        <f aca="false">IF(A120="","",COUNTIF(Apparitions!$G$2:$G$5001,A120))</f>
        <v/>
      </c>
      <c r="J120" s="26" t="str">
        <f aca="false">IF(A120="","",COUNTIFS(Apparitions!$G$2:$G$5001,A120,Apparitions!$E$2:$E$5001,"○"))</f>
        <v/>
      </c>
      <c r="K120" s="29" t="str">
        <f aca="false">IF(A120="","",IFERROR(1/(1/_xlfn.MINIFS(Apparitions!$L$2:$L$5001,Apparitions!$G$2:$G$5001,A120)),""))</f>
        <v/>
      </c>
      <c r="L120" s="27" t="str">
        <f aca="false">IF(A120="","",A120&amp;" | "&amp;B120&amp;IF(C120="",""," ("&amp;C120&amp;")")&amp;IF(D120="",""," - "&amp;D120))</f>
        <v/>
      </c>
    </row>
    <row r="121" customFormat="false" ht="15" hidden="false" customHeight="false" outlineLevel="0" collapsed="false">
      <c r="A121" s="32"/>
      <c r="B121" s="19"/>
      <c r="C121" s="19"/>
      <c r="D121" s="19"/>
      <c r="E121" s="21"/>
      <c r="F121" s="19"/>
      <c r="G121" s="27" t="str">
        <f aca="false">IF(B121="","",IFERROR(INDEX(Jeux!$C$2:$C$3001,MATCH(B121,Jeux!$A$2:$A$3001,0))&amp;"","⚠ jeu inconnu"))</f>
        <v/>
      </c>
      <c r="H121" s="27" t="str">
        <f aca="false">IF(B121="","",IFERROR(INDEX(Jeux!$D$2:$D$3001,MATCH(B121,Jeux!$A$2:$A$3001,0))&amp;"",""))</f>
        <v/>
      </c>
      <c r="I121" s="26" t="str">
        <f aca="false">IF(A121="","",COUNTIF(Apparitions!$G$2:$G$5001,A121))</f>
        <v/>
      </c>
      <c r="J121" s="26" t="str">
        <f aca="false">IF(A121="","",COUNTIFS(Apparitions!$G$2:$G$5001,A121,Apparitions!$E$2:$E$5001,"○"))</f>
        <v/>
      </c>
      <c r="K121" s="29" t="str">
        <f aca="false">IF(A121="","",IFERROR(1/(1/_xlfn.MINIFS(Apparitions!$L$2:$L$5001,Apparitions!$G$2:$G$5001,A121)),""))</f>
        <v/>
      </c>
      <c r="L121" s="27" t="str">
        <f aca="false">IF(A121="","",A121&amp;" | "&amp;B121&amp;IF(C121="",""," ("&amp;C121&amp;")")&amp;IF(D121="",""," - "&amp;D121))</f>
        <v/>
      </c>
    </row>
    <row r="122" customFormat="false" ht="15" hidden="false" customHeight="false" outlineLevel="0" collapsed="false">
      <c r="A122" s="32"/>
      <c r="B122" s="19"/>
      <c r="C122" s="19"/>
      <c r="D122" s="19"/>
      <c r="E122" s="21"/>
      <c r="F122" s="19"/>
      <c r="G122" s="27" t="str">
        <f aca="false">IF(B122="","",IFERROR(INDEX(Jeux!$C$2:$C$3001,MATCH(B122,Jeux!$A$2:$A$3001,0))&amp;"","⚠ jeu inconnu"))</f>
        <v/>
      </c>
      <c r="H122" s="27" t="str">
        <f aca="false">IF(B122="","",IFERROR(INDEX(Jeux!$D$2:$D$3001,MATCH(B122,Jeux!$A$2:$A$3001,0))&amp;"",""))</f>
        <v/>
      </c>
      <c r="I122" s="26" t="str">
        <f aca="false">IF(A122="","",COUNTIF(Apparitions!$G$2:$G$5001,A122))</f>
        <v/>
      </c>
      <c r="J122" s="26" t="str">
        <f aca="false">IF(A122="","",COUNTIFS(Apparitions!$G$2:$G$5001,A122,Apparitions!$E$2:$E$5001,"○"))</f>
        <v/>
      </c>
      <c r="K122" s="29" t="str">
        <f aca="false">IF(A122="","",IFERROR(1/(1/_xlfn.MINIFS(Apparitions!$L$2:$L$5001,Apparitions!$G$2:$G$5001,A122)),""))</f>
        <v/>
      </c>
      <c r="L122" s="27" t="str">
        <f aca="false">IF(A122="","",A122&amp;" | "&amp;B122&amp;IF(C122="",""," ("&amp;C122&amp;")")&amp;IF(D122="",""," - "&amp;D122))</f>
        <v/>
      </c>
    </row>
    <row r="123" customFormat="false" ht="15" hidden="false" customHeight="false" outlineLevel="0" collapsed="false">
      <c r="A123" s="32"/>
      <c r="B123" s="19"/>
      <c r="C123" s="19"/>
      <c r="D123" s="19"/>
      <c r="E123" s="21"/>
      <c r="F123" s="19"/>
      <c r="G123" s="27" t="str">
        <f aca="false">IF(B123="","",IFERROR(INDEX(Jeux!$C$2:$C$3001,MATCH(B123,Jeux!$A$2:$A$3001,0))&amp;"","⚠ jeu inconnu"))</f>
        <v/>
      </c>
      <c r="H123" s="27" t="str">
        <f aca="false">IF(B123="","",IFERROR(INDEX(Jeux!$D$2:$D$3001,MATCH(B123,Jeux!$A$2:$A$3001,0))&amp;"",""))</f>
        <v/>
      </c>
      <c r="I123" s="26" t="str">
        <f aca="false">IF(A123="","",COUNTIF(Apparitions!$G$2:$G$5001,A123))</f>
        <v/>
      </c>
      <c r="J123" s="26" t="str">
        <f aca="false">IF(A123="","",COUNTIFS(Apparitions!$G$2:$G$5001,A123,Apparitions!$E$2:$E$5001,"○"))</f>
        <v/>
      </c>
      <c r="K123" s="29" t="str">
        <f aca="false">IF(A123="","",IFERROR(1/(1/_xlfn.MINIFS(Apparitions!$L$2:$L$5001,Apparitions!$G$2:$G$5001,A123)),""))</f>
        <v/>
      </c>
      <c r="L123" s="27" t="str">
        <f aca="false">IF(A123="","",A123&amp;" | "&amp;B123&amp;IF(C123="",""," ("&amp;C123&amp;")")&amp;IF(D123="",""," - "&amp;D123))</f>
        <v/>
      </c>
    </row>
    <row r="124" customFormat="false" ht="15" hidden="false" customHeight="false" outlineLevel="0" collapsed="false">
      <c r="A124" s="32"/>
      <c r="B124" s="19"/>
      <c r="C124" s="19"/>
      <c r="D124" s="19"/>
      <c r="E124" s="21"/>
      <c r="F124" s="19"/>
      <c r="G124" s="27" t="str">
        <f aca="false">IF(B124="","",IFERROR(INDEX(Jeux!$C$2:$C$3001,MATCH(B124,Jeux!$A$2:$A$3001,0))&amp;"","⚠ jeu inconnu"))</f>
        <v/>
      </c>
      <c r="H124" s="27" t="str">
        <f aca="false">IF(B124="","",IFERROR(INDEX(Jeux!$D$2:$D$3001,MATCH(B124,Jeux!$A$2:$A$3001,0))&amp;"",""))</f>
        <v/>
      </c>
      <c r="I124" s="26" t="str">
        <f aca="false">IF(A124="","",COUNTIF(Apparitions!$G$2:$G$5001,A124))</f>
        <v/>
      </c>
      <c r="J124" s="26" t="str">
        <f aca="false">IF(A124="","",COUNTIFS(Apparitions!$G$2:$G$5001,A124,Apparitions!$E$2:$E$5001,"○"))</f>
        <v/>
      </c>
      <c r="K124" s="29" t="str">
        <f aca="false">IF(A124="","",IFERROR(1/(1/_xlfn.MINIFS(Apparitions!$L$2:$L$5001,Apparitions!$G$2:$G$5001,A124)),""))</f>
        <v/>
      </c>
      <c r="L124" s="27" t="str">
        <f aca="false">IF(A124="","",A124&amp;" | "&amp;B124&amp;IF(C124="",""," ("&amp;C124&amp;")")&amp;IF(D124="",""," - "&amp;D124))</f>
        <v/>
      </c>
    </row>
    <row r="125" customFormat="false" ht="15" hidden="false" customHeight="false" outlineLevel="0" collapsed="false">
      <c r="A125" s="32"/>
      <c r="B125" s="19"/>
      <c r="C125" s="19"/>
      <c r="D125" s="19"/>
      <c r="E125" s="21"/>
      <c r="F125" s="19"/>
      <c r="G125" s="27" t="str">
        <f aca="false">IF(B125="","",IFERROR(INDEX(Jeux!$C$2:$C$3001,MATCH(B125,Jeux!$A$2:$A$3001,0))&amp;"","⚠ jeu inconnu"))</f>
        <v/>
      </c>
      <c r="H125" s="27" t="str">
        <f aca="false">IF(B125="","",IFERROR(INDEX(Jeux!$D$2:$D$3001,MATCH(B125,Jeux!$A$2:$A$3001,0))&amp;"",""))</f>
        <v/>
      </c>
      <c r="I125" s="26" t="str">
        <f aca="false">IF(A125="","",COUNTIF(Apparitions!$G$2:$G$5001,A125))</f>
        <v/>
      </c>
      <c r="J125" s="26" t="str">
        <f aca="false">IF(A125="","",COUNTIFS(Apparitions!$G$2:$G$5001,A125,Apparitions!$E$2:$E$5001,"○"))</f>
        <v/>
      </c>
      <c r="K125" s="29" t="str">
        <f aca="false">IF(A125="","",IFERROR(1/(1/_xlfn.MINIFS(Apparitions!$L$2:$L$5001,Apparitions!$G$2:$G$5001,A125)),""))</f>
        <v/>
      </c>
      <c r="L125" s="27" t="str">
        <f aca="false">IF(A125="","",A125&amp;" | "&amp;B125&amp;IF(C125="",""," ("&amp;C125&amp;")")&amp;IF(D125="",""," - "&amp;D125))</f>
        <v/>
      </c>
    </row>
    <row r="126" customFormat="false" ht="15" hidden="false" customHeight="false" outlineLevel="0" collapsed="false">
      <c r="A126" s="32"/>
      <c r="B126" s="19"/>
      <c r="C126" s="19"/>
      <c r="D126" s="19"/>
      <c r="E126" s="21"/>
      <c r="F126" s="19"/>
      <c r="G126" s="27" t="str">
        <f aca="false">IF(B126="","",IFERROR(INDEX(Jeux!$C$2:$C$3001,MATCH(B126,Jeux!$A$2:$A$3001,0))&amp;"","⚠ jeu inconnu"))</f>
        <v/>
      </c>
      <c r="H126" s="27" t="str">
        <f aca="false">IF(B126="","",IFERROR(INDEX(Jeux!$D$2:$D$3001,MATCH(B126,Jeux!$A$2:$A$3001,0))&amp;"",""))</f>
        <v/>
      </c>
      <c r="I126" s="26" t="str">
        <f aca="false">IF(A126="","",COUNTIF(Apparitions!$G$2:$G$5001,A126))</f>
        <v/>
      </c>
      <c r="J126" s="26" t="str">
        <f aca="false">IF(A126="","",COUNTIFS(Apparitions!$G$2:$G$5001,A126,Apparitions!$E$2:$E$5001,"○"))</f>
        <v/>
      </c>
      <c r="K126" s="29" t="str">
        <f aca="false">IF(A126="","",IFERROR(1/(1/_xlfn.MINIFS(Apparitions!$L$2:$L$5001,Apparitions!$G$2:$G$5001,A126)),""))</f>
        <v/>
      </c>
      <c r="L126" s="27" t="str">
        <f aca="false">IF(A126="","",A126&amp;" | "&amp;B126&amp;IF(C126="",""," ("&amp;C126&amp;")")&amp;IF(D126="",""," - "&amp;D126))</f>
        <v/>
      </c>
    </row>
    <row r="127" customFormat="false" ht="15" hidden="false" customHeight="false" outlineLevel="0" collapsed="false">
      <c r="A127" s="32"/>
      <c r="B127" s="19"/>
      <c r="C127" s="19"/>
      <c r="D127" s="19"/>
      <c r="E127" s="21"/>
      <c r="F127" s="19"/>
      <c r="G127" s="27" t="str">
        <f aca="false">IF(B127="","",IFERROR(INDEX(Jeux!$C$2:$C$3001,MATCH(B127,Jeux!$A$2:$A$3001,0))&amp;"","⚠ jeu inconnu"))</f>
        <v/>
      </c>
      <c r="H127" s="27" t="str">
        <f aca="false">IF(B127="","",IFERROR(INDEX(Jeux!$D$2:$D$3001,MATCH(B127,Jeux!$A$2:$A$3001,0))&amp;"",""))</f>
        <v/>
      </c>
      <c r="I127" s="26" t="str">
        <f aca="false">IF(A127="","",COUNTIF(Apparitions!$G$2:$G$5001,A127))</f>
        <v/>
      </c>
      <c r="J127" s="26" t="str">
        <f aca="false">IF(A127="","",COUNTIFS(Apparitions!$G$2:$G$5001,A127,Apparitions!$E$2:$E$5001,"○"))</f>
        <v/>
      </c>
      <c r="K127" s="29" t="str">
        <f aca="false">IF(A127="","",IFERROR(1/(1/_xlfn.MINIFS(Apparitions!$L$2:$L$5001,Apparitions!$G$2:$G$5001,A127)),""))</f>
        <v/>
      </c>
      <c r="L127" s="27" t="str">
        <f aca="false">IF(A127="","",A127&amp;" | "&amp;B127&amp;IF(C127="",""," ("&amp;C127&amp;")")&amp;IF(D127="",""," - "&amp;D127))</f>
        <v/>
      </c>
    </row>
    <row r="128" customFormat="false" ht="15" hidden="false" customHeight="false" outlineLevel="0" collapsed="false">
      <c r="A128" s="32"/>
      <c r="B128" s="19"/>
      <c r="C128" s="19"/>
      <c r="D128" s="19"/>
      <c r="E128" s="21"/>
      <c r="F128" s="19"/>
      <c r="G128" s="27" t="str">
        <f aca="false">IF(B128="","",IFERROR(INDEX(Jeux!$C$2:$C$3001,MATCH(B128,Jeux!$A$2:$A$3001,0))&amp;"","⚠ jeu inconnu"))</f>
        <v/>
      </c>
      <c r="H128" s="27" t="str">
        <f aca="false">IF(B128="","",IFERROR(INDEX(Jeux!$D$2:$D$3001,MATCH(B128,Jeux!$A$2:$A$3001,0))&amp;"",""))</f>
        <v/>
      </c>
      <c r="I128" s="26" t="str">
        <f aca="false">IF(A128="","",COUNTIF(Apparitions!$G$2:$G$5001,A128))</f>
        <v/>
      </c>
      <c r="J128" s="26" t="str">
        <f aca="false">IF(A128="","",COUNTIFS(Apparitions!$G$2:$G$5001,A128,Apparitions!$E$2:$E$5001,"○"))</f>
        <v/>
      </c>
      <c r="K128" s="29" t="str">
        <f aca="false">IF(A128="","",IFERROR(1/(1/_xlfn.MINIFS(Apparitions!$L$2:$L$5001,Apparitions!$G$2:$G$5001,A128)),""))</f>
        <v/>
      </c>
      <c r="L128" s="27" t="str">
        <f aca="false">IF(A128="","",A128&amp;" | "&amp;B128&amp;IF(C128="",""," ("&amp;C128&amp;")")&amp;IF(D128="",""," - "&amp;D128))</f>
        <v/>
      </c>
    </row>
    <row r="129" customFormat="false" ht="15" hidden="false" customHeight="false" outlineLevel="0" collapsed="false">
      <c r="A129" s="32"/>
      <c r="B129" s="19"/>
      <c r="C129" s="19"/>
      <c r="D129" s="19"/>
      <c r="E129" s="21"/>
      <c r="F129" s="19"/>
      <c r="G129" s="27" t="str">
        <f aca="false">IF(B129="","",IFERROR(INDEX(Jeux!$C$2:$C$3001,MATCH(B129,Jeux!$A$2:$A$3001,0))&amp;"","⚠ jeu inconnu"))</f>
        <v/>
      </c>
      <c r="H129" s="27" t="str">
        <f aca="false">IF(B129="","",IFERROR(INDEX(Jeux!$D$2:$D$3001,MATCH(B129,Jeux!$A$2:$A$3001,0))&amp;"",""))</f>
        <v/>
      </c>
      <c r="I129" s="26" t="str">
        <f aca="false">IF(A129="","",COUNTIF(Apparitions!$G$2:$G$5001,A129))</f>
        <v/>
      </c>
      <c r="J129" s="26" t="str">
        <f aca="false">IF(A129="","",COUNTIFS(Apparitions!$G$2:$G$5001,A129,Apparitions!$E$2:$E$5001,"○"))</f>
        <v/>
      </c>
      <c r="K129" s="29" t="str">
        <f aca="false">IF(A129="","",IFERROR(1/(1/_xlfn.MINIFS(Apparitions!$L$2:$L$5001,Apparitions!$G$2:$G$5001,A129)),""))</f>
        <v/>
      </c>
      <c r="L129" s="27" t="str">
        <f aca="false">IF(A129="","",A129&amp;" | "&amp;B129&amp;IF(C129="",""," ("&amp;C129&amp;")")&amp;IF(D129="",""," - "&amp;D129))</f>
        <v/>
      </c>
    </row>
    <row r="130" customFormat="false" ht="15" hidden="false" customHeight="false" outlineLevel="0" collapsed="false">
      <c r="A130" s="32"/>
      <c r="B130" s="19"/>
      <c r="C130" s="19"/>
      <c r="D130" s="19"/>
      <c r="E130" s="21"/>
      <c r="F130" s="19"/>
      <c r="G130" s="27" t="str">
        <f aca="false">IF(B130="","",IFERROR(INDEX(Jeux!$C$2:$C$3001,MATCH(B130,Jeux!$A$2:$A$3001,0))&amp;"","⚠ jeu inconnu"))</f>
        <v/>
      </c>
      <c r="H130" s="27" t="str">
        <f aca="false">IF(B130="","",IFERROR(INDEX(Jeux!$D$2:$D$3001,MATCH(B130,Jeux!$A$2:$A$3001,0))&amp;"",""))</f>
        <v/>
      </c>
      <c r="I130" s="26" t="str">
        <f aca="false">IF(A130="","",COUNTIF(Apparitions!$G$2:$G$5001,A130))</f>
        <v/>
      </c>
      <c r="J130" s="26" t="str">
        <f aca="false">IF(A130="","",COUNTIFS(Apparitions!$G$2:$G$5001,A130,Apparitions!$E$2:$E$5001,"○"))</f>
        <v/>
      </c>
      <c r="K130" s="29" t="str">
        <f aca="false">IF(A130="","",IFERROR(1/(1/_xlfn.MINIFS(Apparitions!$L$2:$L$5001,Apparitions!$G$2:$G$5001,A130)),""))</f>
        <v/>
      </c>
      <c r="L130" s="27" t="str">
        <f aca="false">IF(A130="","",A130&amp;" | "&amp;B130&amp;IF(C130="",""," ("&amp;C130&amp;")")&amp;IF(D130="",""," - "&amp;D130))</f>
        <v/>
      </c>
    </row>
    <row r="131" customFormat="false" ht="15" hidden="false" customHeight="false" outlineLevel="0" collapsed="false">
      <c r="A131" s="32"/>
      <c r="B131" s="19"/>
      <c r="C131" s="19"/>
      <c r="D131" s="19"/>
      <c r="E131" s="21"/>
      <c r="F131" s="19"/>
      <c r="G131" s="27" t="str">
        <f aca="false">IF(B131="","",IFERROR(INDEX(Jeux!$C$2:$C$3001,MATCH(B131,Jeux!$A$2:$A$3001,0))&amp;"","⚠ jeu inconnu"))</f>
        <v/>
      </c>
      <c r="H131" s="27" t="str">
        <f aca="false">IF(B131="","",IFERROR(INDEX(Jeux!$D$2:$D$3001,MATCH(B131,Jeux!$A$2:$A$3001,0))&amp;"",""))</f>
        <v/>
      </c>
      <c r="I131" s="26" t="str">
        <f aca="false">IF(A131="","",COUNTIF(Apparitions!$G$2:$G$5001,A131))</f>
        <v/>
      </c>
      <c r="J131" s="26" t="str">
        <f aca="false">IF(A131="","",COUNTIFS(Apparitions!$G$2:$G$5001,A131,Apparitions!$E$2:$E$5001,"○"))</f>
        <v/>
      </c>
      <c r="K131" s="29" t="str">
        <f aca="false">IF(A131="","",IFERROR(1/(1/_xlfn.MINIFS(Apparitions!$L$2:$L$5001,Apparitions!$G$2:$G$5001,A131)),""))</f>
        <v/>
      </c>
      <c r="L131" s="27" t="str">
        <f aca="false">IF(A131="","",A131&amp;" | "&amp;B131&amp;IF(C131="",""," ("&amp;C131&amp;")")&amp;IF(D131="",""," - "&amp;D131))</f>
        <v/>
      </c>
    </row>
    <row r="132" customFormat="false" ht="15" hidden="false" customHeight="false" outlineLevel="0" collapsed="false">
      <c r="A132" s="32"/>
      <c r="B132" s="19"/>
      <c r="C132" s="19"/>
      <c r="D132" s="19"/>
      <c r="E132" s="21"/>
      <c r="F132" s="19"/>
      <c r="G132" s="27" t="str">
        <f aca="false">IF(B132="","",IFERROR(INDEX(Jeux!$C$2:$C$3001,MATCH(B132,Jeux!$A$2:$A$3001,0))&amp;"","⚠ jeu inconnu"))</f>
        <v/>
      </c>
      <c r="H132" s="27" t="str">
        <f aca="false">IF(B132="","",IFERROR(INDEX(Jeux!$D$2:$D$3001,MATCH(B132,Jeux!$A$2:$A$3001,0))&amp;"",""))</f>
        <v/>
      </c>
      <c r="I132" s="26" t="str">
        <f aca="false">IF(A132="","",COUNTIF(Apparitions!$G$2:$G$5001,A132))</f>
        <v/>
      </c>
      <c r="J132" s="26" t="str">
        <f aca="false">IF(A132="","",COUNTIFS(Apparitions!$G$2:$G$5001,A132,Apparitions!$E$2:$E$5001,"○"))</f>
        <v/>
      </c>
      <c r="K132" s="29" t="str">
        <f aca="false">IF(A132="","",IFERROR(1/(1/_xlfn.MINIFS(Apparitions!$L$2:$L$5001,Apparitions!$G$2:$G$5001,A132)),""))</f>
        <v/>
      </c>
      <c r="L132" s="27" t="str">
        <f aca="false">IF(A132="","",A132&amp;" | "&amp;B132&amp;IF(C132="",""," ("&amp;C132&amp;")")&amp;IF(D132="",""," - "&amp;D132))</f>
        <v/>
      </c>
    </row>
    <row r="133" customFormat="false" ht="15" hidden="false" customHeight="false" outlineLevel="0" collapsed="false">
      <c r="A133" s="32"/>
      <c r="B133" s="19"/>
      <c r="C133" s="19"/>
      <c r="D133" s="19"/>
      <c r="E133" s="21"/>
      <c r="F133" s="19"/>
      <c r="G133" s="27" t="str">
        <f aca="false">IF(B133="","",IFERROR(INDEX(Jeux!$C$2:$C$3001,MATCH(B133,Jeux!$A$2:$A$3001,0))&amp;"","⚠ jeu inconnu"))</f>
        <v/>
      </c>
      <c r="H133" s="27" t="str">
        <f aca="false">IF(B133="","",IFERROR(INDEX(Jeux!$D$2:$D$3001,MATCH(B133,Jeux!$A$2:$A$3001,0))&amp;"",""))</f>
        <v/>
      </c>
      <c r="I133" s="26" t="str">
        <f aca="false">IF(A133="","",COUNTIF(Apparitions!$G$2:$G$5001,A133))</f>
        <v/>
      </c>
      <c r="J133" s="26" t="str">
        <f aca="false">IF(A133="","",COUNTIFS(Apparitions!$G$2:$G$5001,A133,Apparitions!$E$2:$E$5001,"○"))</f>
        <v/>
      </c>
      <c r="K133" s="29" t="str">
        <f aca="false">IF(A133="","",IFERROR(1/(1/_xlfn.MINIFS(Apparitions!$L$2:$L$5001,Apparitions!$G$2:$G$5001,A133)),""))</f>
        <v/>
      </c>
      <c r="L133" s="27" t="str">
        <f aca="false">IF(A133="","",A133&amp;" | "&amp;B133&amp;IF(C133="",""," ("&amp;C133&amp;")")&amp;IF(D133="",""," - "&amp;D133))</f>
        <v/>
      </c>
    </row>
    <row r="134" customFormat="false" ht="15" hidden="false" customHeight="false" outlineLevel="0" collapsed="false">
      <c r="A134" s="32"/>
      <c r="B134" s="19"/>
      <c r="C134" s="19"/>
      <c r="D134" s="19"/>
      <c r="E134" s="21"/>
      <c r="F134" s="19"/>
      <c r="G134" s="27" t="str">
        <f aca="false">IF(B134="","",IFERROR(INDEX(Jeux!$C$2:$C$3001,MATCH(B134,Jeux!$A$2:$A$3001,0))&amp;"","⚠ jeu inconnu"))</f>
        <v/>
      </c>
      <c r="H134" s="27" t="str">
        <f aca="false">IF(B134="","",IFERROR(INDEX(Jeux!$D$2:$D$3001,MATCH(B134,Jeux!$A$2:$A$3001,0))&amp;"",""))</f>
        <v/>
      </c>
      <c r="I134" s="26" t="str">
        <f aca="false">IF(A134="","",COUNTIF(Apparitions!$G$2:$G$5001,A134))</f>
        <v/>
      </c>
      <c r="J134" s="26" t="str">
        <f aca="false">IF(A134="","",COUNTIFS(Apparitions!$G$2:$G$5001,A134,Apparitions!$E$2:$E$5001,"○"))</f>
        <v/>
      </c>
      <c r="K134" s="29" t="str">
        <f aca="false">IF(A134="","",IFERROR(1/(1/_xlfn.MINIFS(Apparitions!$L$2:$L$5001,Apparitions!$G$2:$G$5001,A134)),""))</f>
        <v/>
      </c>
      <c r="L134" s="27" t="str">
        <f aca="false">IF(A134="","",A134&amp;" | "&amp;B134&amp;IF(C134="",""," ("&amp;C134&amp;")")&amp;IF(D134="",""," - "&amp;D134))</f>
        <v/>
      </c>
    </row>
    <row r="135" customFormat="false" ht="15" hidden="false" customHeight="false" outlineLevel="0" collapsed="false">
      <c r="A135" s="32"/>
      <c r="B135" s="19"/>
      <c r="C135" s="19"/>
      <c r="D135" s="19"/>
      <c r="E135" s="21"/>
      <c r="F135" s="19"/>
      <c r="G135" s="27" t="str">
        <f aca="false">IF(B135="","",IFERROR(INDEX(Jeux!$C$2:$C$3001,MATCH(B135,Jeux!$A$2:$A$3001,0))&amp;"","⚠ jeu inconnu"))</f>
        <v/>
      </c>
      <c r="H135" s="27" t="str">
        <f aca="false">IF(B135="","",IFERROR(INDEX(Jeux!$D$2:$D$3001,MATCH(B135,Jeux!$A$2:$A$3001,0))&amp;"",""))</f>
        <v/>
      </c>
      <c r="I135" s="26" t="str">
        <f aca="false">IF(A135="","",COUNTIF(Apparitions!$G$2:$G$5001,A135))</f>
        <v/>
      </c>
      <c r="J135" s="26" t="str">
        <f aca="false">IF(A135="","",COUNTIFS(Apparitions!$G$2:$G$5001,A135,Apparitions!$E$2:$E$5001,"○"))</f>
        <v/>
      </c>
      <c r="K135" s="29" t="str">
        <f aca="false">IF(A135="","",IFERROR(1/(1/_xlfn.MINIFS(Apparitions!$L$2:$L$5001,Apparitions!$G$2:$G$5001,A135)),""))</f>
        <v/>
      </c>
      <c r="L135" s="27" t="str">
        <f aca="false">IF(A135="","",A135&amp;" | "&amp;B135&amp;IF(C135="",""," ("&amp;C135&amp;")")&amp;IF(D135="",""," - "&amp;D135))</f>
        <v/>
      </c>
    </row>
    <row r="136" customFormat="false" ht="15" hidden="false" customHeight="false" outlineLevel="0" collapsed="false">
      <c r="A136" s="32"/>
      <c r="B136" s="19"/>
      <c r="C136" s="19"/>
      <c r="D136" s="19"/>
      <c r="E136" s="21"/>
      <c r="F136" s="19"/>
      <c r="G136" s="27" t="str">
        <f aca="false">IF(B136="","",IFERROR(INDEX(Jeux!$C$2:$C$3001,MATCH(B136,Jeux!$A$2:$A$3001,0))&amp;"","⚠ jeu inconnu"))</f>
        <v/>
      </c>
      <c r="H136" s="27" t="str">
        <f aca="false">IF(B136="","",IFERROR(INDEX(Jeux!$D$2:$D$3001,MATCH(B136,Jeux!$A$2:$A$3001,0))&amp;"",""))</f>
        <v/>
      </c>
      <c r="I136" s="26" t="str">
        <f aca="false">IF(A136="","",COUNTIF(Apparitions!$G$2:$G$5001,A136))</f>
        <v/>
      </c>
      <c r="J136" s="26" t="str">
        <f aca="false">IF(A136="","",COUNTIFS(Apparitions!$G$2:$G$5001,A136,Apparitions!$E$2:$E$5001,"○"))</f>
        <v/>
      </c>
      <c r="K136" s="29" t="str">
        <f aca="false">IF(A136="","",IFERROR(1/(1/_xlfn.MINIFS(Apparitions!$L$2:$L$5001,Apparitions!$G$2:$G$5001,A136)),""))</f>
        <v/>
      </c>
      <c r="L136" s="27" t="str">
        <f aca="false">IF(A136="","",A136&amp;" | "&amp;B136&amp;IF(C136="",""," ("&amp;C136&amp;")")&amp;IF(D136="",""," - "&amp;D136))</f>
        <v/>
      </c>
    </row>
    <row r="137" customFormat="false" ht="15" hidden="false" customHeight="false" outlineLevel="0" collapsed="false">
      <c r="A137" s="32"/>
      <c r="B137" s="19"/>
      <c r="C137" s="19"/>
      <c r="D137" s="19"/>
      <c r="E137" s="21"/>
      <c r="F137" s="19"/>
      <c r="G137" s="27" t="str">
        <f aca="false">IF(B137="","",IFERROR(INDEX(Jeux!$C$2:$C$3001,MATCH(B137,Jeux!$A$2:$A$3001,0))&amp;"","⚠ jeu inconnu"))</f>
        <v/>
      </c>
      <c r="H137" s="27" t="str">
        <f aca="false">IF(B137="","",IFERROR(INDEX(Jeux!$D$2:$D$3001,MATCH(B137,Jeux!$A$2:$A$3001,0))&amp;"",""))</f>
        <v/>
      </c>
      <c r="I137" s="26" t="str">
        <f aca="false">IF(A137="","",COUNTIF(Apparitions!$G$2:$G$5001,A137))</f>
        <v/>
      </c>
      <c r="J137" s="26" t="str">
        <f aca="false">IF(A137="","",COUNTIFS(Apparitions!$G$2:$G$5001,A137,Apparitions!$E$2:$E$5001,"○"))</f>
        <v/>
      </c>
      <c r="K137" s="29" t="str">
        <f aca="false">IF(A137="","",IFERROR(1/(1/_xlfn.MINIFS(Apparitions!$L$2:$L$5001,Apparitions!$G$2:$G$5001,A137)),""))</f>
        <v/>
      </c>
      <c r="L137" s="27" t="str">
        <f aca="false">IF(A137="","",A137&amp;" | "&amp;B137&amp;IF(C137="",""," ("&amp;C137&amp;")")&amp;IF(D137="",""," - "&amp;D137))</f>
        <v/>
      </c>
    </row>
    <row r="138" customFormat="false" ht="15" hidden="false" customHeight="false" outlineLevel="0" collapsed="false">
      <c r="A138" s="32"/>
      <c r="B138" s="19"/>
      <c r="C138" s="19"/>
      <c r="D138" s="19"/>
      <c r="E138" s="21"/>
      <c r="F138" s="19"/>
      <c r="G138" s="27" t="str">
        <f aca="false">IF(B138="","",IFERROR(INDEX(Jeux!$C$2:$C$3001,MATCH(B138,Jeux!$A$2:$A$3001,0))&amp;"","⚠ jeu inconnu"))</f>
        <v/>
      </c>
      <c r="H138" s="27" t="str">
        <f aca="false">IF(B138="","",IFERROR(INDEX(Jeux!$D$2:$D$3001,MATCH(B138,Jeux!$A$2:$A$3001,0))&amp;"",""))</f>
        <v/>
      </c>
      <c r="I138" s="26" t="str">
        <f aca="false">IF(A138="","",COUNTIF(Apparitions!$G$2:$G$5001,A138))</f>
        <v/>
      </c>
      <c r="J138" s="26" t="str">
        <f aca="false">IF(A138="","",COUNTIFS(Apparitions!$G$2:$G$5001,A138,Apparitions!$E$2:$E$5001,"○"))</f>
        <v/>
      </c>
      <c r="K138" s="29" t="str">
        <f aca="false">IF(A138="","",IFERROR(1/(1/_xlfn.MINIFS(Apparitions!$L$2:$L$5001,Apparitions!$G$2:$G$5001,A138)),""))</f>
        <v/>
      </c>
      <c r="L138" s="27" t="str">
        <f aca="false">IF(A138="","",A138&amp;" | "&amp;B138&amp;IF(C138="",""," ("&amp;C138&amp;")")&amp;IF(D138="",""," - "&amp;D138))</f>
        <v/>
      </c>
    </row>
    <row r="139" customFormat="false" ht="15" hidden="false" customHeight="false" outlineLevel="0" collapsed="false">
      <c r="A139" s="32"/>
      <c r="B139" s="19"/>
      <c r="C139" s="19"/>
      <c r="D139" s="19"/>
      <c r="E139" s="21"/>
      <c r="F139" s="19"/>
      <c r="G139" s="27" t="str">
        <f aca="false">IF(B139="","",IFERROR(INDEX(Jeux!$C$2:$C$3001,MATCH(B139,Jeux!$A$2:$A$3001,0))&amp;"","⚠ jeu inconnu"))</f>
        <v/>
      </c>
      <c r="H139" s="27" t="str">
        <f aca="false">IF(B139="","",IFERROR(INDEX(Jeux!$D$2:$D$3001,MATCH(B139,Jeux!$A$2:$A$3001,0))&amp;"",""))</f>
        <v/>
      </c>
      <c r="I139" s="26" t="str">
        <f aca="false">IF(A139="","",COUNTIF(Apparitions!$G$2:$G$5001,A139))</f>
        <v/>
      </c>
      <c r="J139" s="26" t="str">
        <f aca="false">IF(A139="","",COUNTIFS(Apparitions!$G$2:$G$5001,A139,Apparitions!$E$2:$E$5001,"○"))</f>
        <v/>
      </c>
      <c r="K139" s="29" t="str">
        <f aca="false">IF(A139="","",IFERROR(1/(1/_xlfn.MINIFS(Apparitions!$L$2:$L$5001,Apparitions!$G$2:$G$5001,A139)),""))</f>
        <v/>
      </c>
      <c r="L139" s="27" t="str">
        <f aca="false">IF(A139="","",A139&amp;" | "&amp;B139&amp;IF(C139="",""," ("&amp;C139&amp;")")&amp;IF(D139="",""," - "&amp;D139))</f>
        <v/>
      </c>
    </row>
    <row r="140" customFormat="false" ht="15" hidden="false" customHeight="false" outlineLevel="0" collapsed="false">
      <c r="A140" s="32"/>
      <c r="B140" s="19"/>
      <c r="C140" s="19"/>
      <c r="D140" s="19"/>
      <c r="E140" s="21"/>
      <c r="F140" s="19"/>
      <c r="G140" s="27" t="str">
        <f aca="false">IF(B140="","",IFERROR(INDEX(Jeux!$C$2:$C$3001,MATCH(B140,Jeux!$A$2:$A$3001,0))&amp;"","⚠ jeu inconnu"))</f>
        <v/>
      </c>
      <c r="H140" s="27" t="str">
        <f aca="false">IF(B140="","",IFERROR(INDEX(Jeux!$D$2:$D$3001,MATCH(B140,Jeux!$A$2:$A$3001,0))&amp;"",""))</f>
        <v/>
      </c>
      <c r="I140" s="26" t="str">
        <f aca="false">IF(A140="","",COUNTIF(Apparitions!$G$2:$G$5001,A140))</f>
        <v/>
      </c>
      <c r="J140" s="26" t="str">
        <f aca="false">IF(A140="","",COUNTIFS(Apparitions!$G$2:$G$5001,A140,Apparitions!$E$2:$E$5001,"○"))</f>
        <v/>
      </c>
      <c r="K140" s="29" t="str">
        <f aca="false">IF(A140="","",IFERROR(1/(1/_xlfn.MINIFS(Apparitions!$L$2:$L$5001,Apparitions!$G$2:$G$5001,A140)),""))</f>
        <v/>
      </c>
      <c r="L140" s="27" t="str">
        <f aca="false">IF(A140="","",A140&amp;" | "&amp;B140&amp;IF(C140="",""," ("&amp;C140&amp;")")&amp;IF(D140="",""," - "&amp;D140))</f>
        <v/>
      </c>
    </row>
    <row r="141" customFormat="false" ht="15" hidden="false" customHeight="false" outlineLevel="0" collapsed="false">
      <c r="A141" s="32"/>
      <c r="B141" s="19"/>
      <c r="C141" s="19"/>
      <c r="D141" s="19"/>
      <c r="E141" s="21"/>
      <c r="F141" s="19"/>
      <c r="G141" s="27" t="str">
        <f aca="false">IF(B141="","",IFERROR(INDEX(Jeux!$C$2:$C$3001,MATCH(B141,Jeux!$A$2:$A$3001,0))&amp;"","⚠ jeu inconnu"))</f>
        <v/>
      </c>
      <c r="H141" s="27" t="str">
        <f aca="false">IF(B141="","",IFERROR(INDEX(Jeux!$D$2:$D$3001,MATCH(B141,Jeux!$A$2:$A$3001,0))&amp;"",""))</f>
        <v/>
      </c>
      <c r="I141" s="26" t="str">
        <f aca="false">IF(A141="","",COUNTIF(Apparitions!$G$2:$G$5001,A141))</f>
        <v/>
      </c>
      <c r="J141" s="26" t="str">
        <f aca="false">IF(A141="","",COUNTIFS(Apparitions!$G$2:$G$5001,A141,Apparitions!$E$2:$E$5001,"○"))</f>
        <v/>
      </c>
      <c r="K141" s="29" t="str">
        <f aca="false">IF(A141="","",IFERROR(1/(1/_xlfn.MINIFS(Apparitions!$L$2:$L$5001,Apparitions!$G$2:$G$5001,A141)),""))</f>
        <v/>
      </c>
      <c r="L141" s="27" t="str">
        <f aca="false">IF(A141="","",A141&amp;" | "&amp;B141&amp;IF(C141="",""," ("&amp;C141&amp;")")&amp;IF(D141="",""," - "&amp;D141))</f>
        <v/>
      </c>
    </row>
    <row r="142" customFormat="false" ht="15" hidden="false" customHeight="false" outlineLevel="0" collapsed="false">
      <c r="A142" s="32"/>
      <c r="B142" s="19"/>
      <c r="C142" s="19"/>
      <c r="D142" s="19"/>
      <c r="E142" s="21"/>
      <c r="F142" s="19"/>
      <c r="G142" s="27" t="str">
        <f aca="false">IF(B142="","",IFERROR(INDEX(Jeux!$C$2:$C$3001,MATCH(B142,Jeux!$A$2:$A$3001,0))&amp;"","⚠ jeu inconnu"))</f>
        <v/>
      </c>
      <c r="H142" s="27" t="str">
        <f aca="false">IF(B142="","",IFERROR(INDEX(Jeux!$D$2:$D$3001,MATCH(B142,Jeux!$A$2:$A$3001,0))&amp;"",""))</f>
        <v/>
      </c>
      <c r="I142" s="26" t="str">
        <f aca="false">IF(A142="","",COUNTIF(Apparitions!$G$2:$G$5001,A142))</f>
        <v/>
      </c>
      <c r="J142" s="26" t="str">
        <f aca="false">IF(A142="","",COUNTIFS(Apparitions!$G$2:$G$5001,A142,Apparitions!$E$2:$E$5001,"○"))</f>
        <v/>
      </c>
      <c r="K142" s="29" t="str">
        <f aca="false">IF(A142="","",IFERROR(1/(1/_xlfn.MINIFS(Apparitions!$L$2:$L$5001,Apparitions!$G$2:$G$5001,A142)),""))</f>
        <v/>
      </c>
      <c r="L142" s="27" t="str">
        <f aca="false">IF(A142="","",A142&amp;" | "&amp;B142&amp;IF(C142="",""," ("&amp;C142&amp;")")&amp;IF(D142="",""," - "&amp;D142))</f>
        <v/>
      </c>
    </row>
    <row r="143" customFormat="false" ht="15" hidden="false" customHeight="false" outlineLevel="0" collapsed="false">
      <c r="A143" s="32"/>
      <c r="B143" s="19"/>
      <c r="C143" s="19"/>
      <c r="D143" s="19"/>
      <c r="E143" s="21"/>
      <c r="F143" s="19"/>
      <c r="G143" s="27" t="str">
        <f aca="false">IF(B143="","",IFERROR(INDEX(Jeux!$C$2:$C$3001,MATCH(B143,Jeux!$A$2:$A$3001,0))&amp;"","⚠ jeu inconnu"))</f>
        <v/>
      </c>
      <c r="H143" s="27" t="str">
        <f aca="false">IF(B143="","",IFERROR(INDEX(Jeux!$D$2:$D$3001,MATCH(B143,Jeux!$A$2:$A$3001,0))&amp;"",""))</f>
        <v/>
      </c>
      <c r="I143" s="26" t="str">
        <f aca="false">IF(A143="","",COUNTIF(Apparitions!$G$2:$G$5001,A143))</f>
        <v/>
      </c>
      <c r="J143" s="26" t="str">
        <f aca="false">IF(A143="","",COUNTIFS(Apparitions!$G$2:$G$5001,A143,Apparitions!$E$2:$E$5001,"○"))</f>
        <v/>
      </c>
      <c r="K143" s="29" t="str">
        <f aca="false">IF(A143="","",IFERROR(1/(1/_xlfn.MINIFS(Apparitions!$L$2:$L$5001,Apparitions!$G$2:$G$5001,A143)),""))</f>
        <v/>
      </c>
      <c r="L143" s="27" t="str">
        <f aca="false">IF(A143="","",A143&amp;" | "&amp;B143&amp;IF(C143="",""," ("&amp;C143&amp;")")&amp;IF(D143="",""," - "&amp;D143))</f>
        <v/>
      </c>
    </row>
    <row r="144" customFormat="false" ht="15" hidden="false" customHeight="false" outlineLevel="0" collapsed="false">
      <c r="A144" s="32"/>
      <c r="B144" s="19"/>
      <c r="C144" s="19"/>
      <c r="D144" s="19"/>
      <c r="E144" s="21"/>
      <c r="F144" s="19"/>
      <c r="G144" s="27" t="str">
        <f aca="false">IF(B144="","",IFERROR(INDEX(Jeux!$C$2:$C$3001,MATCH(B144,Jeux!$A$2:$A$3001,0))&amp;"","⚠ jeu inconnu"))</f>
        <v/>
      </c>
      <c r="H144" s="27" t="str">
        <f aca="false">IF(B144="","",IFERROR(INDEX(Jeux!$D$2:$D$3001,MATCH(B144,Jeux!$A$2:$A$3001,0))&amp;"",""))</f>
        <v/>
      </c>
      <c r="I144" s="26" t="str">
        <f aca="false">IF(A144="","",COUNTIF(Apparitions!$G$2:$G$5001,A144))</f>
        <v/>
      </c>
      <c r="J144" s="26" t="str">
        <f aca="false">IF(A144="","",COUNTIFS(Apparitions!$G$2:$G$5001,A144,Apparitions!$E$2:$E$5001,"○"))</f>
        <v/>
      </c>
      <c r="K144" s="29" t="str">
        <f aca="false">IF(A144="","",IFERROR(1/(1/_xlfn.MINIFS(Apparitions!$L$2:$L$5001,Apparitions!$G$2:$G$5001,A144)),""))</f>
        <v/>
      </c>
      <c r="L144" s="27" t="str">
        <f aca="false">IF(A144="","",A144&amp;" | "&amp;B144&amp;IF(C144="",""," ("&amp;C144&amp;")")&amp;IF(D144="",""," - "&amp;D144))</f>
        <v/>
      </c>
    </row>
    <row r="145" customFormat="false" ht="15" hidden="false" customHeight="false" outlineLevel="0" collapsed="false">
      <c r="A145" s="32"/>
      <c r="B145" s="19"/>
      <c r="C145" s="19"/>
      <c r="D145" s="19"/>
      <c r="E145" s="21"/>
      <c r="F145" s="19"/>
      <c r="G145" s="27" t="str">
        <f aca="false">IF(B145="","",IFERROR(INDEX(Jeux!$C$2:$C$3001,MATCH(B145,Jeux!$A$2:$A$3001,0))&amp;"","⚠ jeu inconnu"))</f>
        <v/>
      </c>
      <c r="H145" s="27" t="str">
        <f aca="false">IF(B145="","",IFERROR(INDEX(Jeux!$D$2:$D$3001,MATCH(B145,Jeux!$A$2:$A$3001,0))&amp;"",""))</f>
        <v/>
      </c>
      <c r="I145" s="26" t="str">
        <f aca="false">IF(A145="","",COUNTIF(Apparitions!$G$2:$G$5001,A145))</f>
        <v/>
      </c>
      <c r="J145" s="26" t="str">
        <f aca="false">IF(A145="","",COUNTIFS(Apparitions!$G$2:$G$5001,A145,Apparitions!$E$2:$E$5001,"○"))</f>
        <v/>
      </c>
      <c r="K145" s="29" t="str">
        <f aca="false">IF(A145="","",IFERROR(1/(1/_xlfn.MINIFS(Apparitions!$L$2:$L$5001,Apparitions!$G$2:$G$5001,A145)),""))</f>
        <v/>
      </c>
      <c r="L145" s="27" t="str">
        <f aca="false">IF(A145="","",A145&amp;" | "&amp;B145&amp;IF(C145="",""," ("&amp;C145&amp;")")&amp;IF(D145="",""," - "&amp;D145))</f>
        <v/>
      </c>
    </row>
    <row r="146" customFormat="false" ht="15" hidden="false" customHeight="false" outlineLevel="0" collapsed="false">
      <c r="A146" s="32"/>
      <c r="B146" s="19"/>
      <c r="C146" s="19"/>
      <c r="D146" s="19"/>
      <c r="E146" s="21"/>
      <c r="F146" s="19"/>
      <c r="G146" s="27" t="str">
        <f aca="false">IF(B146="","",IFERROR(INDEX(Jeux!$C$2:$C$3001,MATCH(B146,Jeux!$A$2:$A$3001,0))&amp;"","⚠ jeu inconnu"))</f>
        <v/>
      </c>
      <c r="H146" s="27" t="str">
        <f aca="false">IF(B146="","",IFERROR(INDEX(Jeux!$D$2:$D$3001,MATCH(B146,Jeux!$A$2:$A$3001,0))&amp;"",""))</f>
        <v/>
      </c>
      <c r="I146" s="26" t="str">
        <f aca="false">IF(A146="","",COUNTIF(Apparitions!$G$2:$G$5001,A146))</f>
        <v/>
      </c>
      <c r="J146" s="26" t="str">
        <f aca="false">IF(A146="","",COUNTIFS(Apparitions!$G$2:$G$5001,A146,Apparitions!$E$2:$E$5001,"○"))</f>
        <v/>
      </c>
      <c r="K146" s="29" t="str">
        <f aca="false">IF(A146="","",IFERROR(1/(1/_xlfn.MINIFS(Apparitions!$L$2:$L$5001,Apparitions!$G$2:$G$5001,A146)),""))</f>
        <v/>
      </c>
      <c r="L146" s="27" t="str">
        <f aca="false">IF(A146="","",A146&amp;" | "&amp;B146&amp;IF(C146="",""," ("&amp;C146&amp;")")&amp;IF(D146="",""," - "&amp;D146))</f>
        <v/>
      </c>
    </row>
    <row r="147" customFormat="false" ht="15" hidden="false" customHeight="false" outlineLevel="0" collapsed="false">
      <c r="A147" s="32"/>
      <c r="B147" s="19"/>
      <c r="C147" s="19"/>
      <c r="D147" s="19"/>
      <c r="E147" s="21"/>
      <c r="F147" s="19"/>
      <c r="G147" s="27" t="str">
        <f aca="false">IF(B147="","",IFERROR(INDEX(Jeux!$C$2:$C$3001,MATCH(B147,Jeux!$A$2:$A$3001,0))&amp;"","⚠ jeu inconnu"))</f>
        <v/>
      </c>
      <c r="H147" s="27" t="str">
        <f aca="false">IF(B147="","",IFERROR(INDEX(Jeux!$D$2:$D$3001,MATCH(B147,Jeux!$A$2:$A$3001,0))&amp;"",""))</f>
        <v/>
      </c>
      <c r="I147" s="26" t="str">
        <f aca="false">IF(A147="","",COUNTIF(Apparitions!$G$2:$G$5001,A147))</f>
        <v/>
      </c>
      <c r="J147" s="26" t="str">
        <f aca="false">IF(A147="","",COUNTIFS(Apparitions!$G$2:$G$5001,A147,Apparitions!$E$2:$E$5001,"○"))</f>
        <v/>
      </c>
      <c r="K147" s="29" t="str">
        <f aca="false">IF(A147="","",IFERROR(1/(1/_xlfn.MINIFS(Apparitions!$L$2:$L$5001,Apparitions!$G$2:$G$5001,A147)),""))</f>
        <v/>
      </c>
      <c r="L147" s="27" t="str">
        <f aca="false">IF(A147="","",A147&amp;" | "&amp;B147&amp;IF(C147="",""," ("&amp;C147&amp;")")&amp;IF(D147="",""," - "&amp;D147))</f>
        <v/>
      </c>
    </row>
    <row r="148" customFormat="false" ht="15" hidden="false" customHeight="false" outlineLevel="0" collapsed="false">
      <c r="A148" s="32"/>
      <c r="B148" s="19"/>
      <c r="C148" s="19"/>
      <c r="D148" s="19"/>
      <c r="E148" s="21"/>
      <c r="F148" s="19"/>
      <c r="G148" s="27" t="str">
        <f aca="false">IF(B148="","",IFERROR(INDEX(Jeux!$C$2:$C$3001,MATCH(B148,Jeux!$A$2:$A$3001,0))&amp;"","⚠ jeu inconnu"))</f>
        <v/>
      </c>
      <c r="H148" s="27" t="str">
        <f aca="false">IF(B148="","",IFERROR(INDEX(Jeux!$D$2:$D$3001,MATCH(B148,Jeux!$A$2:$A$3001,0))&amp;"",""))</f>
        <v/>
      </c>
      <c r="I148" s="26" t="str">
        <f aca="false">IF(A148="","",COUNTIF(Apparitions!$G$2:$G$5001,A148))</f>
        <v/>
      </c>
      <c r="J148" s="26" t="str">
        <f aca="false">IF(A148="","",COUNTIFS(Apparitions!$G$2:$G$5001,A148,Apparitions!$E$2:$E$5001,"○"))</f>
        <v/>
      </c>
      <c r="K148" s="29" t="str">
        <f aca="false">IF(A148="","",IFERROR(1/(1/_xlfn.MINIFS(Apparitions!$L$2:$L$5001,Apparitions!$G$2:$G$5001,A148)),""))</f>
        <v/>
      </c>
      <c r="L148" s="27" t="str">
        <f aca="false">IF(A148="","",A148&amp;" | "&amp;B148&amp;IF(C148="",""," ("&amp;C148&amp;")")&amp;IF(D148="",""," - "&amp;D148))</f>
        <v/>
      </c>
    </row>
    <row r="149" customFormat="false" ht="15" hidden="false" customHeight="false" outlineLevel="0" collapsed="false">
      <c r="A149" s="32"/>
      <c r="B149" s="19"/>
      <c r="C149" s="19"/>
      <c r="D149" s="19"/>
      <c r="E149" s="21"/>
      <c r="F149" s="19"/>
      <c r="G149" s="27" t="str">
        <f aca="false">IF(B149="","",IFERROR(INDEX(Jeux!$C$2:$C$3001,MATCH(B149,Jeux!$A$2:$A$3001,0))&amp;"","⚠ jeu inconnu"))</f>
        <v/>
      </c>
      <c r="H149" s="27" t="str">
        <f aca="false">IF(B149="","",IFERROR(INDEX(Jeux!$D$2:$D$3001,MATCH(B149,Jeux!$A$2:$A$3001,0))&amp;"",""))</f>
        <v/>
      </c>
      <c r="I149" s="26" t="str">
        <f aca="false">IF(A149="","",COUNTIF(Apparitions!$G$2:$G$5001,A149))</f>
        <v/>
      </c>
      <c r="J149" s="26" t="str">
        <f aca="false">IF(A149="","",COUNTIFS(Apparitions!$G$2:$G$5001,A149,Apparitions!$E$2:$E$5001,"○"))</f>
        <v/>
      </c>
      <c r="K149" s="29" t="str">
        <f aca="false">IF(A149="","",IFERROR(1/(1/_xlfn.MINIFS(Apparitions!$L$2:$L$5001,Apparitions!$G$2:$G$5001,A149)),""))</f>
        <v/>
      </c>
      <c r="L149" s="27" t="str">
        <f aca="false">IF(A149="","",A149&amp;" | "&amp;B149&amp;IF(C149="",""," ("&amp;C149&amp;")")&amp;IF(D149="",""," - "&amp;D149))</f>
        <v/>
      </c>
    </row>
    <row r="150" customFormat="false" ht="15" hidden="false" customHeight="false" outlineLevel="0" collapsed="false">
      <c r="A150" s="32"/>
      <c r="B150" s="19"/>
      <c r="C150" s="19"/>
      <c r="D150" s="19"/>
      <c r="E150" s="21"/>
      <c r="F150" s="19"/>
      <c r="G150" s="27" t="str">
        <f aca="false">IF(B150="","",IFERROR(INDEX(Jeux!$C$2:$C$3001,MATCH(B150,Jeux!$A$2:$A$3001,0))&amp;"","⚠ jeu inconnu"))</f>
        <v/>
      </c>
      <c r="H150" s="27" t="str">
        <f aca="false">IF(B150="","",IFERROR(INDEX(Jeux!$D$2:$D$3001,MATCH(B150,Jeux!$A$2:$A$3001,0))&amp;"",""))</f>
        <v/>
      </c>
      <c r="I150" s="26" t="str">
        <f aca="false">IF(A150="","",COUNTIF(Apparitions!$G$2:$G$5001,A150))</f>
        <v/>
      </c>
      <c r="J150" s="26" t="str">
        <f aca="false">IF(A150="","",COUNTIFS(Apparitions!$G$2:$G$5001,A150,Apparitions!$E$2:$E$5001,"○"))</f>
        <v/>
      </c>
      <c r="K150" s="29" t="str">
        <f aca="false">IF(A150="","",IFERROR(1/(1/_xlfn.MINIFS(Apparitions!$L$2:$L$5001,Apparitions!$G$2:$G$5001,A150)),""))</f>
        <v/>
      </c>
      <c r="L150" s="27" t="str">
        <f aca="false">IF(A150="","",A150&amp;" | "&amp;B150&amp;IF(C150="",""," ("&amp;C150&amp;")")&amp;IF(D150="",""," - "&amp;D150))</f>
        <v/>
      </c>
    </row>
    <row r="151" customFormat="false" ht="15" hidden="false" customHeight="false" outlineLevel="0" collapsed="false">
      <c r="A151" s="32"/>
      <c r="B151" s="19"/>
      <c r="C151" s="19"/>
      <c r="D151" s="19"/>
      <c r="E151" s="21"/>
      <c r="F151" s="19"/>
      <c r="G151" s="27" t="str">
        <f aca="false">IF(B151="","",IFERROR(INDEX(Jeux!$C$2:$C$3001,MATCH(B151,Jeux!$A$2:$A$3001,0))&amp;"","⚠ jeu inconnu"))</f>
        <v/>
      </c>
      <c r="H151" s="27" t="str">
        <f aca="false">IF(B151="","",IFERROR(INDEX(Jeux!$D$2:$D$3001,MATCH(B151,Jeux!$A$2:$A$3001,0))&amp;"",""))</f>
        <v/>
      </c>
      <c r="I151" s="26" t="str">
        <f aca="false">IF(A151="","",COUNTIF(Apparitions!$G$2:$G$5001,A151))</f>
        <v/>
      </c>
      <c r="J151" s="26" t="str">
        <f aca="false">IF(A151="","",COUNTIFS(Apparitions!$G$2:$G$5001,A151,Apparitions!$E$2:$E$5001,"○"))</f>
        <v/>
      </c>
      <c r="K151" s="29" t="str">
        <f aca="false">IF(A151="","",IFERROR(1/(1/_xlfn.MINIFS(Apparitions!$L$2:$L$5001,Apparitions!$G$2:$G$5001,A151)),""))</f>
        <v/>
      </c>
      <c r="L151" s="27" t="str">
        <f aca="false">IF(A151="","",A151&amp;" | "&amp;B151&amp;IF(C151="",""," ("&amp;C151&amp;")")&amp;IF(D151="",""," - "&amp;D151))</f>
        <v/>
      </c>
    </row>
    <row r="152" customFormat="false" ht="15" hidden="false" customHeight="false" outlineLevel="0" collapsed="false">
      <c r="A152" s="32"/>
      <c r="B152" s="19"/>
      <c r="C152" s="19"/>
      <c r="D152" s="19"/>
      <c r="E152" s="21"/>
      <c r="F152" s="19"/>
      <c r="G152" s="27" t="str">
        <f aca="false">IF(B152="","",IFERROR(INDEX(Jeux!$C$2:$C$3001,MATCH(B152,Jeux!$A$2:$A$3001,0))&amp;"","⚠ jeu inconnu"))</f>
        <v/>
      </c>
      <c r="H152" s="27" t="str">
        <f aca="false">IF(B152="","",IFERROR(INDEX(Jeux!$D$2:$D$3001,MATCH(B152,Jeux!$A$2:$A$3001,0))&amp;"",""))</f>
        <v/>
      </c>
      <c r="I152" s="26" t="str">
        <f aca="false">IF(A152="","",COUNTIF(Apparitions!$G$2:$G$5001,A152))</f>
        <v/>
      </c>
      <c r="J152" s="26" t="str">
        <f aca="false">IF(A152="","",COUNTIFS(Apparitions!$G$2:$G$5001,A152,Apparitions!$E$2:$E$5001,"○"))</f>
        <v/>
      </c>
      <c r="K152" s="29" t="str">
        <f aca="false">IF(A152="","",IFERROR(1/(1/_xlfn.MINIFS(Apparitions!$L$2:$L$5001,Apparitions!$G$2:$G$5001,A152)),""))</f>
        <v/>
      </c>
      <c r="L152" s="27" t="str">
        <f aca="false">IF(A152="","",A152&amp;" | "&amp;B152&amp;IF(C152="",""," ("&amp;C152&amp;")")&amp;IF(D152="",""," - "&amp;D152))</f>
        <v/>
      </c>
    </row>
    <row r="153" customFormat="false" ht="15" hidden="false" customHeight="false" outlineLevel="0" collapsed="false">
      <c r="A153" s="32"/>
      <c r="B153" s="19"/>
      <c r="C153" s="19"/>
      <c r="D153" s="19"/>
      <c r="E153" s="21"/>
      <c r="F153" s="19"/>
      <c r="G153" s="27" t="str">
        <f aca="false">IF(B153="","",IFERROR(INDEX(Jeux!$C$2:$C$3001,MATCH(B153,Jeux!$A$2:$A$3001,0))&amp;"","⚠ jeu inconnu"))</f>
        <v/>
      </c>
      <c r="H153" s="27" t="str">
        <f aca="false">IF(B153="","",IFERROR(INDEX(Jeux!$D$2:$D$3001,MATCH(B153,Jeux!$A$2:$A$3001,0))&amp;"",""))</f>
        <v/>
      </c>
      <c r="I153" s="26" t="str">
        <f aca="false">IF(A153="","",COUNTIF(Apparitions!$G$2:$G$5001,A153))</f>
        <v/>
      </c>
      <c r="J153" s="26" t="str">
        <f aca="false">IF(A153="","",COUNTIFS(Apparitions!$G$2:$G$5001,A153,Apparitions!$E$2:$E$5001,"○"))</f>
        <v/>
      </c>
      <c r="K153" s="29" t="str">
        <f aca="false">IF(A153="","",IFERROR(1/(1/_xlfn.MINIFS(Apparitions!$L$2:$L$5001,Apparitions!$G$2:$G$5001,A153)),""))</f>
        <v/>
      </c>
      <c r="L153" s="27" t="str">
        <f aca="false">IF(A153="","",A153&amp;" | "&amp;B153&amp;IF(C153="",""," ("&amp;C153&amp;")")&amp;IF(D153="",""," - "&amp;D153))</f>
        <v/>
      </c>
    </row>
    <row r="154" customFormat="false" ht="15" hidden="false" customHeight="false" outlineLevel="0" collapsed="false">
      <c r="A154" s="32"/>
      <c r="B154" s="19"/>
      <c r="C154" s="19"/>
      <c r="D154" s="19"/>
      <c r="E154" s="21"/>
      <c r="F154" s="19"/>
      <c r="G154" s="27" t="str">
        <f aca="false">IF(B154="","",IFERROR(INDEX(Jeux!$C$2:$C$3001,MATCH(B154,Jeux!$A$2:$A$3001,0))&amp;"","⚠ jeu inconnu"))</f>
        <v/>
      </c>
      <c r="H154" s="27" t="str">
        <f aca="false">IF(B154="","",IFERROR(INDEX(Jeux!$D$2:$D$3001,MATCH(B154,Jeux!$A$2:$A$3001,0))&amp;"",""))</f>
        <v/>
      </c>
      <c r="I154" s="26" t="str">
        <f aca="false">IF(A154="","",COUNTIF(Apparitions!$G$2:$G$5001,A154))</f>
        <v/>
      </c>
      <c r="J154" s="26" t="str">
        <f aca="false">IF(A154="","",COUNTIFS(Apparitions!$G$2:$G$5001,A154,Apparitions!$E$2:$E$5001,"○"))</f>
        <v/>
      </c>
      <c r="K154" s="29" t="str">
        <f aca="false">IF(A154="","",IFERROR(1/(1/_xlfn.MINIFS(Apparitions!$L$2:$L$5001,Apparitions!$G$2:$G$5001,A154)),""))</f>
        <v/>
      </c>
      <c r="L154" s="27" t="str">
        <f aca="false">IF(A154="","",A154&amp;" | "&amp;B154&amp;IF(C154="",""," ("&amp;C154&amp;")")&amp;IF(D154="",""," - "&amp;D154))</f>
        <v/>
      </c>
    </row>
    <row r="155" customFormat="false" ht="15" hidden="false" customHeight="false" outlineLevel="0" collapsed="false">
      <c r="A155" s="32"/>
      <c r="B155" s="19"/>
      <c r="C155" s="19"/>
      <c r="D155" s="19"/>
      <c r="E155" s="21"/>
      <c r="F155" s="19"/>
      <c r="G155" s="27" t="str">
        <f aca="false">IF(B155="","",IFERROR(INDEX(Jeux!$C$2:$C$3001,MATCH(B155,Jeux!$A$2:$A$3001,0))&amp;"","⚠ jeu inconnu"))</f>
        <v/>
      </c>
      <c r="H155" s="27" t="str">
        <f aca="false">IF(B155="","",IFERROR(INDEX(Jeux!$D$2:$D$3001,MATCH(B155,Jeux!$A$2:$A$3001,0))&amp;"",""))</f>
        <v/>
      </c>
      <c r="I155" s="26" t="str">
        <f aca="false">IF(A155="","",COUNTIF(Apparitions!$G$2:$G$5001,A155))</f>
        <v/>
      </c>
      <c r="J155" s="26" t="str">
        <f aca="false">IF(A155="","",COUNTIFS(Apparitions!$G$2:$G$5001,A155,Apparitions!$E$2:$E$5001,"○"))</f>
        <v/>
      </c>
      <c r="K155" s="29" t="str">
        <f aca="false">IF(A155="","",IFERROR(1/(1/_xlfn.MINIFS(Apparitions!$L$2:$L$5001,Apparitions!$G$2:$G$5001,A155)),""))</f>
        <v/>
      </c>
      <c r="L155" s="27" t="str">
        <f aca="false">IF(A155="","",A155&amp;" | "&amp;B155&amp;IF(C155="",""," ("&amp;C155&amp;")")&amp;IF(D155="",""," - "&amp;D155))</f>
        <v/>
      </c>
    </row>
    <row r="156" customFormat="false" ht="15" hidden="false" customHeight="false" outlineLevel="0" collapsed="false">
      <c r="A156" s="32"/>
      <c r="B156" s="19"/>
      <c r="C156" s="19"/>
      <c r="D156" s="19"/>
      <c r="E156" s="21"/>
      <c r="F156" s="19"/>
      <c r="G156" s="27" t="str">
        <f aca="false">IF(B156="","",IFERROR(INDEX(Jeux!$C$2:$C$3001,MATCH(B156,Jeux!$A$2:$A$3001,0))&amp;"","⚠ jeu inconnu"))</f>
        <v/>
      </c>
      <c r="H156" s="27" t="str">
        <f aca="false">IF(B156="","",IFERROR(INDEX(Jeux!$D$2:$D$3001,MATCH(B156,Jeux!$A$2:$A$3001,0))&amp;"",""))</f>
        <v/>
      </c>
      <c r="I156" s="26" t="str">
        <f aca="false">IF(A156="","",COUNTIF(Apparitions!$G$2:$G$5001,A156))</f>
        <v/>
      </c>
      <c r="J156" s="26" t="str">
        <f aca="false">IF(A156="","",COUNTIFS(Apparitions!$G$2:$G$5001,A156,Apparitions!$E$2:$E$5001,"○"))</f>
        <v/>
      </c>
      <c r="K156" s="29" t="str">
        <f aca="false">IF(A156="","",IFERROR(1/(1/_xlfn.MINIFS(Apparitions!$L$2:$L$5001,Apparitions!$G$2:$G$5001,A156)),""))</f>
        <v/>
      </c>
      <c r="L156" s="27" t="str">
        <f aca="false">IF(A156="","",A156&amp;" | "&amp;B156&amp;IF(C156="",""," ("&amp;C156&amp;")")&amp;IF(D156="",""," - "&amp;D156))</f>
        <v/>
      </c>
    </row>
    <row r="157" customFormat="false" ht="15" hidden="false" customHeight="false" outlineLevel="0" collapsed="false">
      <c r="A157" s="32"/>
      <c r="B157" s="19"/>
      <c r="C157" s="19"/>
      <c r="D157" s="19"/>
      <c r="E157" s="21"/>
      <c r="F157" s="19"/>
      <c r="G157" s="27" t="str">
        <f aca="false">IF(B157="","",IFERROR(INDEX(Jeux!$C$2:$C$3001,MATCH(B157,Jeux!$A$2:$A$3001,0))&amp;"","⚠ jeu inconnu"))</f>
        <v/>
      </c>
      <c r="H157" s="27" t="str">
        <f aca="false">IF(B157="","",IFERROR(INDEX(Jeux!$D$2:$D$3001,MATCH(B157,Jeux!$A$2:$A$3001,0))&amp;"",""))</f>
        <v/>
      </c>
      <c r="I157" s="26" t="str">
        <f aca="false">IF(A157="","",COUNTIF(Apparitions!$G$2:$G$5001,A157))</f>
        <v/>
      </c>
      <c r="J157" s="26" t="str">
        <f aca="false">IF(A157="","",COUNTIFS(Apparitions!$G$2:$G$5001,A157,Apparitions!$E$2:$E$5001,"○"))</f>
        <v/>
      </c>
      <c r="K157" s="29" t="str">
        <f aca="false">IF(A157="","",IFERROR(1/(1/_xlfn.MINIFS(Apparitions!$L$2:$L$5001,Apparitions!$G$2:$G$5001,A157)),""))</f>
        <v/>
      </c>
      <c r="L157" s="27" t="str">
        <f aca="false">IF(A157="","",A157&amp;" | "&amp;B157&amp;IF(C157="",""," ("&amp;C157&amp;")")&amp;IF(D157="",""," - "&amp;D157))</f>
        <v/>
      </c>
    </row>
    <row r="158" customFormat="false" ht="15" hidden="false" customHeight="false" outlineLevel="0" collapsed="false">
      <c r="A158" s="32"/>
      <c r="B158" s="19"/>
      <c r="C158" s="19"/>
      <c r="D158" s="19"/>
      <c r="E158" s="21"/>
      <c r="F158" s="19"/>
      <c r="G158" s="27" t="str">
        <f aca="false">IF(B158="","",IFERROR(INDEX(Jeux!$C$2:$C$3001,MATCH(B158,Jeux!$A$2:$A$3001,0))&amp;"","⚠ jeu inconnu"))</f>
        <v/>
      </c>
      <c r="H158" s="27" t="str">
        <f aca="false">IF(B158="","",IFERROR(INDEX(Jeux!$D$2:$D$3001,MATCH(B158,Jeux!$A$2:$A$3001,0))&amp;"",""))</f>
        <v/>
      </c>
      <c r="I158" s="26" t="str">
        <f aca="false">IF(A158="","",COUNTIF(Apparitions!$G$2:$G$5001,A158))</f>
        <v/>
      </c>
      <c r="J158" s="26" t="str">
        <f aca="false">IF(A158="","",COUNTIFS(Apparitions!$G$2:$G$5001,A158,Apparitions!$E$2:$E$5001,"○"))</f>
        <v/>
      </c>
      <c r="K158" s="29" t="str">
        <f aca="false">IF(A158="","",IFERROR(1/(1/_xlfn.MINIFS(Apparitions!$L$2:$L$5001,Apparitions!$G$2:$G$5001,A158)),""))</f>
        <v/>
      </c>
      <c r="L158" s="27" t="str">
        <f aca="false">IF(A158="","",A158&amp;" | "&amp;B158&amp;IF(C158="",""," ("&amp;C158&amp;")")&amp;IF(D158="",""," - "&amp;D158))</f>
        <v/>
      </c>
    </row>
    <row r="159" customFormat="false" ht="15" hidden="false" customHeight="false" outlineLevel="0" collapsed="false">
      <c r="A159" s="32"/>
      <c r="B159" s="19"/>
      <c r="C159" s="19"/>
      <c r="D159" s="19"/>
      <c r="E159" s="21"/>
      <c r="F159" s="19"/>
      <c r="G159" s="27" t="str">
        <f aca="false">IF(B159="","",IFERROR(INDEX(Jeux!$C$2:$C$3001,MATCH(B159,Jeux!$A$2:$A$3001,0))&amp;"","⚠ jeu inconnu"))</f>
        <v/>
      </c>
      <c r="H159" s="27" t="str">
        <f aca="false">IF(B159="","",IFERROR(INDEX(Jeux!$D$2:$D$3001,MATCH(B159,Jeux!$A$2:$A$3001,0))&amp;"",""))</f>
        <v/>
      </c>
      <c r="I159" s="26" t="str">
        <f aca="false">IF(A159="","",COUNTIF(Apparitions!$G$2:$G$5001,A159))</f>
        <v/>
      </c>
      <c r="J159" s="26" t="str">
        <f aca="false">IF(A159="","",COUNTIFS(Apparitions!$G$2:$G$5001,A159,Apparitions!$E$2:$E$5001,"○"))</f>
        <v/>
      </c>
      <c r="K159" s="29" t="str">
        <f aca="false">IF(A159="","",IFERROR(1/(1/_xlfn.MINIFS(Apparitions!$L$2:$L$5001,Apparitions!$G$2:$G$5001,A159)),""))</f>
        <v/>
      </c>
      <c r="L159" s="27" t="str">
        <f aca="false">IF(A159="","",A159&amp;" | "&amp;B159&amp;IF(C159="",""," ("&amp;C159&amp;")")&amp;IF(D159="",""," - "&amp;D159))</f>
        <v/>
      </c>
    </row>
    <row r="160" customFormat="false" ht="15" hidden="false" customHeight="false" outlineLevel="0" collapsed="false">
      <c r="A160" s="32"/>
      <c r="B160" s="19"/>
      <c r="C160" s="19"/>
      <c r="D160" s="19"/>
      <c r="E160" s="21"/>
      <c r="F160" s="19"/>
      <c r="G160" s="27" t="str">
        <f aca="false">IF(B160="","",IFERROR(INDEX(Jeux!$C$2:$C$3001,MATCH(B160,Jeux!$A$2:$A$3001,0))&amp;"","⚠ jeu inconnu"))</f>
        <v/>
      </c>
      <c r="H160" s="27" t="str">
        <f aca="false">IF(B160="","",IFERROR(INDEX(Jeux!$D$2:$D$3001,MATCH(B160,Jeux!$A$2:$A$3001,0))&amp;"",""))</f>
        <v/>
      </c>
      <c r="I160" s="26" t="str">
        <f aca="false">IF(A160="","",COUNTIF(Apparitions!$G$2:$G$5001,A160))</f>
        <v/>
      </c>
      <c r="J160" s="26" t="str">
        <f aca="false">IF(A160="","",COUNTIFS(Apparitions!$G$2:$G$5001,A160,Apparitions!$E$2:$E$5001,"○"))</f>
        <v/>
      </c>
      <c r="K160" s="29" t="str">
        <f aca="false">IF(A160="","",IFERROR(1/(1/_xlfn.MINIFS(Apparitions!$L$2:$L$5001,Apparitions!$G$2:$G$5001,A160)),""))</f>
        <v/>
      </c>
      <c r="L160" s="27" t="str">
        <f aca="false">IF(A160="","",A160&amp;" | "&amp;B160&amp;IF(C160="",""," ("&amp;C160&amp;")")&amp;IF(D160="",""," - "&amp;D160))</f>
        <v/>
      </c>
    </row>
    <row r="161" customFormat="false" ht="15" hidden="false" customHeight="false" outlineLevel="0" collapsed="false">
      <c r="A161" s="32"/>
      <c r="B161" s="19"/>
      <c r="C161" s="19"/>
      <c r="D161" s="19"/>
      <c r="E161" s="21"/>
      <c r="F161" s="19"/>
      <c r="G161" s="27" t="str">
        <f aca="false">IF(B161="","",IFERROR(INDEX(Jeux!$C$2:$C$3001,MATCH(B161,Jeux!$A$2:$A$3001,0))&amp;"","⚠ jeu inconnu"))</f>
        <v/>
      </c>
      <c r="H161" s="27" t="str">
        <f aca="false">IF(B161="","",IFERROR(INDEX(Jeux!$D$2:$D$3001,MATCH(B161,Jeux!$A$2:$A$3001,0))&amp;"",""))</f>
        <v/>
      </c>
      <c r="I161" s="26" t="str">
        <f aca="false">IF(A161="","",COUNTIF(Apparitions!$G$2:$G$5001,A161))</f>
        <v/>
      </c>
      <c r="J161" s="26" t="str">
        <f aca="false">IF(A161="","",COUNTIFS(Apparitions!$G$2:$G$5001,A161,Apparitions!$E$2:$E$5001,"○"))</f>
        <v/>
      </c>
      <c r="K161" s="29" t="str">
        <f aca="false">IF(A161="","",IFERROR(1/(1/_xlfn.MINIFS(Apparitions!$L$2:$L$5001,Apparitions!$G$2:$G$5001,A161)),""))</f>
        <v/>
      </c>
      <c r="L161" s="27" t="str">
        <f aca="false">IF(A161="","",A161&amp;" | "&amp;B161&amp;IF(C161="",""," ("&amp;C161&amp;")")&amp;IF(D161="",""," - "&amp;D161))</f>
        <v/>
      </c>
    </row>
    <row r="162" customFormat="false" ht="15" hidden="false" customHeight="false" outlineLevel="0" collapsed="false">
      <c r="A162" s="32"/>
      <c r="B162" s="19"/>
      <c r="C162" s="19"/>
      <c r="D162" s="19"/>
      <c r="E162" s="21"/>
      <c r="F162" s="19"/>
      <c r="G162" s="27" t="str">
        <f aca="false">IF(B162="","",IFERROR(INDEX(Jeux!$C$2:$C$3001,MATCH(B162,Jeux!$A$2:$A$3001,0))&amp;"","⚠ jeu inconnu"))</f>
        <v/>
      </c>
      <c r="H162" s="27" t="str">
        <f aca="false">IF(B162="","",IFERROR(INDEX(Jeux!$D$2:$D$3001,MATCH(B162,Jeux!$A$2:$A$3001,0))&amp;"",""))</f>
        <v/>
      </c>
      <c r="I162" s="26" t="str">
        <f aca="false">IF(A162="","",COUNTIF(Apparitions!$G$2:$G$5001,A162))</f>
        <v/>
      </c>
      <c r="J162" s="26" t="str">
        <f aca="false">IF(A162="","",COUNTIFS(Apparitions!$G$2:$G$5001,A162,Apparitions!$E$2:$E$5001,"○"))</f>
        <v/>
      </c>
      <c r="K162" s="29" t="str">
        <f aca="false">IF(A162="","",IFERROR(1/(1/_xlfn.MINIFS(Apparitions!$L$2:$L$5001,Apparitions!$G$2:$G$5001,A162)),""))</f>
        <v/>
      </c>
      <c r="L162" s="27" t="str">
        <f aca="false">IF(A162="","",A162&amp;" | "&amp;B162&amp;IF(C162="",""," ("&amp;C162&amp;")")&amp;IF(D162="",""," - "&amp;D162))</f>
        <v/>
      </c>
    </row>
    <row r="163" customFormat="false" ht="15" hidden="false" customHeight="false" outlineLevel="0" collapsed="false">
      <c r="A163" s="32"/>
      <c r="B163" s="19"/>
      <c r="C163" s="19"/>
      <c r="D163" s="19"/>
      <c r="E163" s="21"/>
      <c r="F163" s="19"/>
      <c r="G163" s="27" t="str">
        <f aca="false">IF(B163="","",IFERROR(INDEX(Jeux!$C$2:$C$3001,MATCH(B163,Jeux!$A$2:$A$3001,0))&amp;"","⚠ jeu inconnu"))</f>
        <v/>
      </c>
      <c r="H163" s="27" t="str">
        <f aca="false">IF(B163="","",IFERROR(INDEX(Jeux!$D$2:$D$3001,MATCH(B163,Jeux!$A$2:$A$3001,0))&amp;"",""))</f>
        <v/>
      </c>
      <c r="I163" s="26" t="str">
        <f aca="false">IF(A163="","",COUNTIF(Apparitions!$G$2:$G$5001,A163))</f>
        <v/>
      </c>
      <c r="J163" s="26" t="str">
        <f aca="false">IF(A163="","",COUNTIFS(Apparitions!$G$2:$G$5001,A163,Apparitions!$E$2:$E$5001,"○"))</f>
        <v/>
      </c>
      <c r="K163" s="29" t="str">
        <f aca="false">IF(A163="","",IFERROR(1/(1/_xlfn.MINIFS(Apparitions!$L$2:$L$5001,Apparitions!$G$2:$G$5001,A163)),""))</f>
        <v/>
      </c>
      <c r="L163" s="27" t="str">
        <f aca="false">IF(A163="","",A163&amp;" | "&amp;B163&amp;IF(C163="",""," ("&amp;C163&amp;")")&amp;IF(D163="",""," - "&amp;D163))</f>
        <v/>
      </c>
    </row>
    <row r="164" customFormat="false" ht="15" hidden="false" customHeight="false" outlineLevel="0" collapsed="false">
      <c r="A164" s="32"/>
      <c r="B164" s="19"/>
      <c r="C164" s="19"/>
      <c r="D164" s="19"/>
      <c r="E164" s="21"/>
      <c r="F164" s="19"/>
      <c r="G164" s="27" t="str">
        <f aca="false">IF(B164="","",IFERROR(INDEX(Jeux!$C$2:$C$3001,MATCH(B164,Jeux!$A$2:$A$3001,0))&amp;"","⚠ jeu inconnu"))</f>
        <v/>
      </c>
      <c r="H164" s="27" t="str">
        <f aca="false">IF(B164="","",IFERROR(INDEX(Jeux!$D$2:$D$3001,MATCH(B164,Jeux!$A$2:$A$3001,0))&amp;"",""))</f>
        <v/>
      </c>
      <c r="I164" s="26" t="str">
        <f aca="false">IF(A164="","",COUNTIF(Apparitions!$G$2:$G$5001,A164))</f>
        <v/>
      </c>
      <c r="J164" s="26" t="str">
        <f aca="false">IF(A164="","",COUNTIFS(Apparitions!$G$2:$G$5001,A164,Apparitions!$E$2:$E$5001,"○"))</f>
        <v/>
      </c>
      <c r="K164" s="29" t="str">
        <f aca="false">IF(A164="","",IFERROR(1/(1/_xlfn.MINIFS(Apparitions!$L$2:$L$5001,Apparitions!$G$2:$G$5001,A164)),""))</f>
        <v/>
      </c>
      <c r="L164" s="27" t="str">
        <f aca="false">IF(A164="","",A164&amp;" | "&amp;B164&amp;IF(C164="",""," ("&amp;C164&amp;")")&amp;IF(D164="",""," - "&amp;D164))</f>
        <v/>
      </c>
    </row>
    <row r="165" customFormat="false" ht="15" hidden="false" customHeight="false" outlineLevel="0" collapsed="false">
      <c r="A165" s="32"/>
      <c r="B165" s="19"/>
      <c r="C165" s="19"/>
      <c r="D165" s="19"/>
      <c r="E165" s="21"/>
      <c r="F165" s="19"/>
      <c r="G165" s="27" t="str">
        <f aca="false">IF(B165="","",IFERROR(INDEX(Jeux!$C$2:$C$3001,MATCH(B165,Jeux!$A$2:$A$3001,0))&amp;"","⚠ jeu inconnu"))</f>
        <v/>
      </c>
      <c r="H165" s="27" t="str">
        <f aca="false">IF(B165="","",IFERROR(INDEX(Jeux!$D$2:$D$3001,MATCH(B165,Jeux!$A$2:$A$3001,0))&amp;"",""))</f>
        <v/>
      </c>
      <c r="I165" s="26" t="str">
        <f aca="false">IF(A165="","",COUNTIF(Apparitions!$G$2:$G$5001,A165))</f>
        <v/>
      </c>
      <c r="J165" s="26" t="str">
        <f aca="false">IF(A165="","",COUNTIFS(Apparitions!$G$2:$G$5001,A165,Apparitions!$E$2:$E$5001,"○"))</f>
        <v/>
      </c>
      <c r="K165" s="29" t="str">
        <f aca="false">IF(A165="","",IFERROR(1/(1/_xlfn.MINIFS(Apparitions!$L$2:$L$5001,Apparitions!$G$2:$G$5001,A165)),""))</f>
        <v/>
      </c>
      <c r="L165" s="27" t="str">
        <f aca="false">IF(A165="","",A165&amp;" | "&amp;B165&amp;IF(C165="",""," ("&amp;C165&amp;")")&amp;IF(D165="",""," - "&amp;D165))</f>
        <v/>
      </c>
    </row>
    <row r="166" customFormat="false" ht="15" hidden="false" customHeight="false" outlineLevel="0" collapsed="false">
      <c r="A166" s="32"/>
      <c r="B166" s="19"/>
      <c r="C166" s="19"/>
      <c r="D166" s="19"/>
      <c r="E166" s="21"/>
      <c r="F166" s="19"/>
      <c r="G166" s="27" t="str">
        <f aca="false">IF(B166="","",IFERROR(INDEX(Jeux!$C$2:$C$3001,MATCH(B166,Jeux!$A$2:$A$3001,0))&amp;"","⚠ jeu inconnu"))</f>
        <v/>
      </c>
      <c r="H166" s="27" t="str">
        <f aca="false">IF(B166="","",IFERROR(INDEX(Jeux!$D$2:$D$3001,MATCH(B166,Jeux!$A$2:$A$3001,0))&amp;"",""))</f>
        <v/>
      </c>
      <c r="I166" s="26" t="str">
        <f aca="false">IF(A166="","",COUNTIF(Apparitions!$G$2:$G$5001,A166))</f>
        <v/>
      </c>
      <c r="J166" s="26" t="str">
        <f aca="false">IF(A166="","",COUNTIFS(Apparitions!$G$2:$G$5001,A166,Apparitions!$E$2:$E$5001,"○"))</f>
        <v/>
      </c>
      <c r="K166" s="29" t="str">
        <f aca="false">IF(A166="","",IFERROR(1/(1/_xlfn.MINIFS(Apparitions!$L$2:$L$5001,Apparitions!$G$2:$G$5001,A166)),""))</f>
        <v/>
      </c>
      <c r="L166" s="27" t="str">
        <f aca="false">IF(A166="","",A166&amp;" | "&amp;B166&amp;IF(C166="",""," ("&amp;C166&amp;")")&amp;IF(D166="",""," - "&amp;D166))</f>
        <v/>
      </c>
    </row>
    <row r="167" customFormat="false" ht="15" hidden="false" customHeight="false" outlineLevel="0" collapsed="false">
      <c r="A167" s="32"/>
      <c r="B167" s="19"/>
      <c r="C167" s="19"/>
      <c r="D167" s="19"/>
      <c r="E167" s="21"/>
      <c r="F167" s="19"/>
      <c r="G167" s="27" t="str">
        <f aca="false">IF(B167="","",IFERROR(INDEX(Jeux!$C$2:$C$3001,MATCH(B167,Jeux!$A$2:$A$3001,0))&amp;"","⚠ jeu inconnu"))</f>
        <v/>
      </c>
      <c r="H167" s="27" t="str">
        <f aca="false">IF(B167="","",IFERROR(INDEX(Jeux!$D$2:$D$3001,MATCH(B167,Jeux!$A$2:$A$3001,0))&amp;"",""))</f>
        <v/>
      </c>
      <c r="I167" s="26" t="str">
        <f aca="false">IF(A167="","",COUNTIF(Apparitions!$G$2:$G$5001,A167))</f>
        <v/>
      </c>
      <c r="J167" s="26" t="str">
        <f aca="false">IF(A167="","",COUNTIFS(Apparitions!$G$2:$G$5001,A167,Apparitions!$E$2:$E$5001,"○"))</f>
        <v/>
      </c>
      <c r="K167" s="29" t="str">
        <f aca="false">IF(A167="","",IFERROR(1/(1/_xlfn.MINIFS(Apparitions!$L$2:$L$5001,Apparitions!$G$2:$G$5001,A167)),""))</f>
        <v/>
      </c>
      <c r="L167" s="27" t="str">
        <f aca="false">IF(A167="","",A167&amp;" | "&amp;B167&amp;IF(C167="",""," ("&amp;C167&amp;")")&amp;IF(D167="",""," - "&amp;D167))</f>
        <v/>
      </c>
    </row>
    <row r="168" customFormat="false" ht="15" hidden="false" customHeight="false" outlineLevel="0" collapsed="false">
      <c r="A168" s="32"/>
      <c r="B168" s="19"/>
      <c r="C168" s="19"/>
      <c r="D168" s="19"/>
      <c r="E168" s="21"/>
      <c r="F168" s="19"/>
      <c r="G168" s="27" t="str">
        <f aca="false">IF(B168="","",IFERROR(INDEX(Jeux!$C$2:$C$3001,MATCH(B168,Jeux!$A$2:$A$3001,0))&amp;"","⚠ jeu inconnu"))</f>
        <v/>
      </c>
      <c r="H168" s="27" t="str">
        <f aca="false">IF(B168="","",IFERROR(INDEX(Jeux!$D$2:$D$3001,MATCH(B168,Jeux!$A$2:$A$3001,0))&amp;"",""))</f>
        <v/>
      </c>
      <c r="I168" s="26" t="str">
        <f aca="false">IF(A168="","",COUNTIF(Apparitions!$G$2:$G$5001,A168))</f>
        <v/>
      </c>
      <c r="J168" s="26" t="str">
        <f aca="false">IF(A168="","",COUNTIFS(Apparitions!$G$2:$G$5001,A168,Apparitions!$E$2:$E$5001,"○"))</f>
        <v/>
      </c>
      <c r="K168" s="29" t="str">
        <f aca="false">IF(A168="","",IFERROR(1/(1/_xlfn.MINIFS(Apparitions!$L$2:$L$5001,Apparitions!$G$2:$G$5001,A168)),""))</f>
        <v/>
      </c>
      <c r="L168" s="27" t="str">
        <f aca="false">IF(A168="","",A168&amp;" | "&amp;B168&amp;IF(C168="",""," ("&amp;C168&amp;")")&amp;IF(D168="",""," - "&amp;D168))</f>
        <v/>
      </c>
    </row>
    <row r="169" customFormat="false" ht="15" hidden="false" customHeight="false" outlineLevel="0" collapsed="false">
      <c r="A169" s="32"/>
      <c r="B169" s="19"/>
      <c r="C169" s="19"/>
      <c r="D169" s="19"/>
      <c r="E169" s="21"/>
      <c r="F169" s="19"/>
      <c r="G169" s="27" t="str">
        <f aca="false">IF(B169="","",IFERROR(INDEX(Jeux!$C$2:$C$3001,MATCH(B169,Jeux!$A$2:$A$3001,0))&amp;"","⚠ jeu inconnu"))</f>
        <v/>
      </c>
      <c r="H169" s="27" t="str">
        <f aca="false">IF(B169="","",IFERROR(INDEX(Jeux!$D$2:$D$3001,MATCH(B169,Jeux!$A$2:$A$3001,0))&amp;"",""))</f>
        <v/>
      </c>
      <c r="I169" s="26" t="str">
        <f aca="false">IF(A169="","",COUNTIF(Apparitions!$G$2:$G$5001,A169))</f>
        <v/>
      </c>
      <c r="J169" s="26" t="str">
        <f aca="false">IF(A169="","",COUNTIFS(Apparitions!$G$2:$G$5001,A169,Apparitions!$E$2:$E$5001,"○"))</f>
        <v/>
      </c>
      <c r="K169" s="29" t="str">
        <f aca="false">IF(A169="","",IFERROR(1/(1/_xlfn.MINIFS(Apparitions!$L$2:$L$5001,Apparitions!$G$2:$G$5001,A169)),""))</f>
        <v/>
      </c>
      <c r="L169" s="27" t="str">
        <f aca="false">IF(A169="","",A169&amp;" | "&amp;B169&amp;IF(C169="",""," ("&amp;C169&amp;")")&amp;IF(D169="",""," - "&amp;D169))</f>
        <v/>
      </c>
    </row>
    <row r="170" customFormat="false" ht="15" hidden="false" customHeight="false" outlineLevel="0" collapsed="false">
      <c r="A170" s="32"/>
      <c r="B170" s="19"/>
      <c r="C170" s="19"/>
      <c r="D170" s="19"/>
      <c r="E170" s="21"/>
      <c r="F170" s="19"/>
      <c r="G170" s="27" t="str">
        <f aca="false">IF(B170="","",IFERROR(INDEX(Jeux!$C$2:$C$3001,MATCH(B170,Jeux!$A$2:$A$3001,0))&amp;"","⚠ jeu inconnu"))</f>
        <v/>
      </c>
      <c r="H170" s="27" t="str">
        <f aca="false">IF(B170="","",IFERROR(INDEX(Jeux!$D$2:$D$3001,MATCH(B170,Jeux!$A$2:$A$3001,0))&amp;"",""))</f>
        <v/>
      </c>
      <c r="I170" s="26" t="str">
        <f aca="false">IF(A170="","",COUNTIF(Apparitions!$G$2:$G$5001,A170))</f>
        <v/>
      </c>
      <c r="J170" s="26" t="str">
        <f aca="false">IF(A170="","",COUNTIFS(Apparitions!$G$2:$G$5001,A170,Apparitions!$E$2:$E$5001,"○"))</f>
        <v/>
      </c>
      <c r="K170" s="29" t="str">
        <f aca="false">IF(A170="","",IFERROR(1/(1/_xlfn.MINIFS(Apparitions!$L$2:$L$5001,Apparitions!$G$2:$G$5001,A170)),""))</f>
        <v/>
      </c>
      <c r="L170" s="27" t="str">
        <f aca="false">IF(A170="","",A170&amp;" | "&amp;B170&amp;IF(C170="",""," ("&amp;C170&amp;")")&amp;IF(D170="",""," - "&amp;D170))</f>
        <v/>
      </c>
    </row>
    <row r="171" customFormat="false" ht="15" hidden="false" customHeight="false" outlineLevel="0" collapsed="false">
      <c r="A171" s="32"/>
      <c r="B171" s="19"/>
      <c r="C171" s="19"/>
      <c r="D171" s="19"/>
      <c r="E171" s="21"/>
      <c r="F171" s="19"/>
      <c r="G171" s="27" t="str">
        <f aca="false">IF(B171="","",IFERROR(INDEX(Jeux!$C$2:$C$3001,MATCH(B171,Jeux!$A$2:$A$3001,0))&amp;"","⚠ jeu inconnu"))</f>
        <v/>
      </c>
      <c r="H171" s="27" t="str">
        <f aca="false">IF(B171="","",IFERROR(INDEX(Jeux!$D$2:$D$3001,MATCH(B171,Jeux!$A$2:$A$3001,0))&amp;"",""))</f>
        <v/>
      </c>
      <c r="I171" s="26" t="str">
        <f aca="false">IF(A171="","",COUNTIF(Apparitions!$G$2:$G$5001,A171))</f>
        <v/>
      </c>
      <c r="J171" s="26" t="str">
        <f aca="false">IF(A171="","",COUNTIFS(Apparitions!$G$2:$G$5001,A171,Apparitions!$E$2:$E$5001,"○"))</f>
        <v/>
      </c>
      <c r="K171" s="29" t="str">
        <f aca="false">IF(A171="","",IFERROR(1/(1/_xlfn.MINIFS(Apparitions!$L$2:$L$5001,Apparitions!$G$2:$G$5001,A171)),""))</f>
        <v/>
      </c>
      <c r="L171" s="27" t="str">
        <f aca="false">IF(A171="","",A171&amp;" | "&amp;B171&amp;IF(C171="",""," ("&amp;C171&amp;")")&amp;IF(D171="",""," - "&amp;D171))</f>
        <v/>
      </c>
    </row>
    <row r="172" customFormat="false" ht="15" hidden="false" customHeight="false" outlineLevel="0" collapsed="false">
      <c r="A172" s="32"/>
      <c r="B172" s="19"/>
      <c r="C172" s="19"/>
      <c r="D172" s="19"/>
      <c r="E172" s="21"/>
      <c r="F172" s="19"/>
      <c r="G172" s="27" t="str">
        <f aca="false">IF(B172="","",IFERROR(INDEX(Jeux!$C$2:$C$3001,MATCH(B172,Jeux!$A$2:$A$3001,0))&amp;"","⚠ jeu inconnu"))</f>
        <v/>
      </c>
      <c r="H172" s="27" t="str">
        <f aca="false">IF(B172="","",IFERROR(INDEX(Jeux!$D$2:$D$3001,MATCH(B172,Jeux!$A$2:$A$3001,0))&amp;"",""))</f>
        <v/>
      </c>
      <c r="I172" s="26" t="str">
        <f aca="false">IF(A172="","",COUNTIF(Apparitions!$G$2:$G$5001,A172))</f>
        <v/>
      </c>
      <c r="J172" s="26" t="str">
        <f aca="false">IF(A172="","",COUNTIFS(Apparitions!$G$2:$G$5001,A172,Apparitions!$E$2:$E$5001,"○"))</f>
        <v/>
      </c>
      <c r="K172" s="29" t="str">
        <f aca="false">IF(A172="","",IFERROR(1/(1/_xlfn.MINIFS(Apparitions!$L$2:$L$5001,Apparitions!$G$2:$G$5001,A172)),""))</f>
        <v/>
      </c>
      <c r="L172" s="27" t="str">
        <f aca="false">IF(A172="","",A172&amp;" | "&amp;B172&amp;IF(C172="",""," ("&amp;C172&amp;")")&amp;IF(D172="",""," - "&amp;D172))</f>
        <v/>
      </c>
    </row>
    <row r="173" customFormat="false" ht="15" hidden="false" customHeight="false" outlineLevel="0" collapsed="false">
      <c r="A173" s="32"/>
      <c r="B173" s="19"/>
      <c r="C173" s="19"/>
      <c r="D173" s="19"/>
      <c r="E173" s="21"/>
      <c r="F173" s="19"/>
      <c r="G173" s="27" t="str">
        <f aca="false">IF(B173="","",IFERROR(INDEX(Jeux!$C$2:$C$3001,MATCH(B173,Jeux!$A$2:$A$3001,0))&amp;"","⚠ jeu inconnu"))</f>
        <v/>
      </c>
      <c r="H173" s="27" t="str">
        <f aca="false">IF(B173="","",IFERROR(INDEX(Jeux!$D$2:$D$3001,MATCH(B173,Jeux!$A$2:$A$3001,0))&amp;"",""))</f>
        <v/>
      </c>
      <c r="I173" s="26" t="str">
        <f aca="false">IF(A173="","",COUNTIF(Apparitions!$G$2:$G$5001,A173))</f>
        <v/>
      </c>
      <c r="J173" s="26" t="str">
        <f aca="false">IF(A173="","",COUNTIFS(Apparitions!$G$2:$G$5001,A173,Apparitions!$E$2:$E$5001,"○"))</f>
        <v/>
      </c>
      <c r="K173" s="29" t="str">
        <f aca="false">IF(A173="","",IFERROR(1/(1/_xlfn.MINIFS(Apparitions!$L$2:$L$5001,Apparitions!$G$2:$G$5001,A173)),""))</f>
        <v/>
      </c>
      <c r="L173" s="27" t="str">
        <f aca="false">IF(A173="","",A173&amp;" | "&amp;B173&amp;IF(C173="",""," ("&amp;C173&amp;")")&amp;IF(D173="",""," - "&amp;D173))</f>
        <v/>
      </c>
    </row>
    <row r="174" customFormat="false" ht="15" hidden="false" customHeight="false" outlineLevel="0" collapsed="false">
      <c r="A174" s="32"/>
      <c r="B174" s="19"/>
      <c r="C174" s="19"/>
      <c r="D174" s="19"/>
      <c r="E174" s="21"/>
      <c r="F174" s="19"/>
      <c r="G174" s="27" t="str">
        <f aca="false">IF(B174="","",IFERROR(INDEX(Jeux!$C$2:$C$3001,MATCH(B174,Jeux!$A$2:$A$3001,0))&amp;"","⚠ jeu inconnu"))</f>
        <v/>
      </c>
      <c r="H174" s="27" t="str">
        <f aca="false">IF(B174="","",IFERROR(INDEX(Jeux!$D$2:$D$3001,MATCH(B174,Jeux!$A$2:$A$3001,0))&amp;"",""))</f>
        <v/>
      </c>
      <c r="I174" s="26" t="str">
        <f aca="false">IF(A174="","",COUNTIF(Apparitions!$G$2:$G$5001,A174))</f>
        <v/>
      </c>
      <c r="J174" s="26" t="str">
        <f aca="false">IF(A174="","",COUNTIFS(Apparitions!$G$2:$G$5001,A174,Apparitions!$E$2:$E$5001,"○"))</f>
        <v/>
      </c>
      <c r="K174" s="29" t="str">
        <f aca="false">IF(A174="","",IFERROR(1/(1/_xlfn.MINIFS(Apparitions!$L$2:$L$5001,Apparitions!$G$2:$G$5001,A174)),""))</f>
        <v/>
      </c>
      <c r="L174" s="27" t="str">
        <f aca="false">IF(A174="","",A174&amp;" | "&amp;B174&amp;IF(C174="",""," ("&amp;C174&amp;")")&amp;IF(D174="",""," - "&amp;D174))</f>
        <v/>
      </c>
    </row>
    <row r="175" customFormat="false" ht="15" hidden="false" customHeight="false" outlineLevel="0" collapsed="false">
      <c r="A175" s="32"/>
      <c r="B175" s="19"/>
      <c r="C175" s="19"/>
      <c r="D175" s="19"/>
      <c r="E175" s="21"/>
      <c r="F175" s="19"/>
      <c r="G175" s="27" t="str">
        <f aca="false">IF(B175="","",IFERROR(INDEX(Jeux!$C$2:$C$3001,MATCH(B175,Jeux!$A$2:$A$3001,0))&amp;"","⚠ jeu inconnu"))</f>
        <v/>
      </c>
      <c r="H175" s="27" t="str">
        <f aca="false">IF(B175="","",IFERROR(INDEX(Jeux!$D$2:$D$3001,MATCH(B175,Jeux!$A$2:$A$3001,0))&amp;"",""))</f>
        <v/>
      </c>
      <c r="I175" s="26" t="str">
        <f aca="false">IF(A175="","",COUNTIF(Apparitions!$G$2:$G$5001,A175))</f>
        <v/>
      </c>
      <c r="J175" s="26" t="str">
        <f aca="false">IF(A175="","",COUNTIFS(Apparitions!$G$2:$G$5001,A175,Apparitions!$E$2:$E$5001,"○"))</f>
        <v/>
      </c>
      <c r="K175" s="29" t="str">
        <f aca="false">IF(A175="","",IFERROR(1/(1/_xlfn.MINIFS(Apparitions!$L$2:$L$5001,Apparitions!$G$2:$G$5001,A175)),""))</f>
        <v/>
      </c>
      <c r="L175" s="27" t="str">
        <f aca="false">IF(A175="","",A175&amp;" | "&amp;B175&amp;IF(C175="",""," ("&amp;C175&amp;")")&amp;IF(D175="",""," - "&amp;D175))</f>
        <v/>
      </c>
    </row>
    <row r="176" customFormat="false" ht="15" hidden="false" customHeight="false" outlineLevel="0" collapsed="false">
      <c r="A176" s="32"/>
      <c r="B176" s="19"/>
      <c r="C176" s="19"/>
      <c r="D176" s="19"/>
      <c r="E176" s="21"/>
      <c r="F176" s="19"/>
      <c r="G176" s="27" t="str">
        <f aca="false">IF(B176="","",IFERROR(INDEX(Jeux!$C$2:$C$3001,MATCH(B176,Jeux!$A$2:$A$3001,0))&amp;"","⚠ jeu inconnu"))</f>
        <v/>
      </c>
      <c r="H176" s="27" t="str">
        <f aca="false">IF(B176="","",IFERROR(INDEX(Jeux!$D$2:$D$3001,MATCH(B176,Jeux!$A$2:$A$3001,0))&amp;"",""))</f>
        <v/>
      </c>
      <c r="I176" s="26" t="str">
        <f aca="false">IF(A176="","",COUNTIF(Apparitions!$G$2:$G$5001,A176))</f>
        <v/>
      </c>
      <c r="J176" s="26" t="str">
        <f aca="false">IF(A176="","",COUNTIFS(Apparitions!$G$2:$G$5001,A176,Apparitions!$E$2:$E$5001,"○"))</f>
        <v/>
      </c>
      <c r="K176" s="29" t="str">
        <f aca="false">IF(A176="","",IFERROR(1/(1/_xlfn.MINIFS(Apparitions!$L$2:$L$5001,Apparitions!$G$2:$G$5001,A176)),""))</f>
        <v/>
      </c>
      <c r="L176" s="27" t="str">
        <f aca="false">IF(A176="","",A176&amp;" | "&amp;B176&amp;IF(C176="",""," ("&amp;C176&amp;")")&amp;IF(D176="",""," - "&amp;D176))</f>
        <v/>
      </c>
    </row>
    <row r="177" customFormat="false" ht="15" hidden="false" customHeight="false" outlineLevel="0" collapsed="false">
      <c r="A177" s="32"/>
      <c r="B177" s="19"/>
      <c r="C177" s="19"/>
      <c r="D177" s="19"/>
      <c r="E177" s="21"/>
      <c r="F177" s="19"/>
      <c r="G177" s="27" t="str">
        <f aca="false">IF(B177="","",IFERROR(INDEX(Jeux!$C$2:$C$3001,MATCH(B177,Jeux!$A$2:$A$3001,0))&amp;"","⚠ jeu inconnu"))</f>
        <v/>
      </c>
      <c r="H177" s="27" t="str">
        <f aca="false">IF(B177="","",IFERROR(INDEX(Jeux!$D$2:$D$3001,MATCH(B177,Jeux!$A$2:$A$3001,0))&amp;"",""))</f>
        <v/>
      </c>
      <c r="I177" s="26" t="str">
        <f aca="false">IF(A177="","",COUNTIF(Apparitions!$G$2:$G$5001,A177))</f>
        <v/>
      </c>
      <c r="J177" s="26" t="str">
        <f aca="false">IF(A177="","",COUNTIFS(Apparitions!$G$2:$G$5001,A177,Apparitions!$E$2:$E$5001,"○"))</f>
        <v/>
      </c>
      <c r="K177" s="29" t="str">
        <f aca="false">IF(A177="","",IFERROR(1/(1/_xlfn.MINIFS(Apparitions!$L$2:$L$5001,Apparitions!$G$2:$G$5001,A177)),""))</f>
        <v/>
      </c>
      <c r="L177" s="27" t="str">
        <f aca="false">IF(A177="","",A177&amp;" | "&amp;B177&amp;IF(C177="",""," ("&amp;C177&amp;")")&amp;IF(D177="",""," - "&amp;D177))</f>
        <v/>
      </c>
    </row>
    <row r="178" customFormat="false" ht="15" hidden="false" customHeight="false" outlineLevel="0" collapsed="false">
      <c r="A178" s="32"/>
      <c r="B178" s="19"/>
      <c r="C178" s="19"/>
      <c r="D178" s="19"/>
      <c r="E178" s="21"/>
      <c r="F178" s="19"/>
      <c r="G178" s="27" t="str">
        <f aca="false">IF(B178="","",IFERROR(INDEX(Jeux!$C$2:$C$3001,MATCH(B178,Jeux!$A$2:$A$3001,0))&amp;"","⚠ jeu inconnu"))</f>
        <v/>
      </c>
      <c r="H178" s="27" t="str">
        <f aca="false">IF(B178="","",IFERROR(INDEX(Jeux!$D$2:$D$3001,MATCH(B178,Jeux!$A$2:$A$3001,0))&amp;"",""))</f>
        <v/>
      </c>
      <c r="I178" s="26" t="str">
        <f aca="false">IF(A178="","",COUNTIF(Apparitions!$G$2:$G$5001,A178))</f>
        <v/>
      </c>
      <c r="J178" s="26" t="str">
        <f aca="false">IF(A178="","",COUNTIFS(Apparitions!$G$2:$G$5001,A178,Apparitions!$E$2:$E$5001,"○"))</f>
        <v/>
      </c>
      <c r="K178" s="29" t="str">
        <f aca="false">IF(A178="","",IFERROR(1/(1/_xlfn.MINIFS(Apparitions!$L$2:$L$5001,Apparitions!$G$2:$G$5001,A178)),""))</f>
        <v/>
      </c>
      <c r="L178" s="27" t="str">
        <f aca="false">IF(A178="","",A178&amp;" | "&amp;B178&amp;IF(C178="",""," ("&amp;C178&amp;")")&amp;IF(D178="",""," - "&amp;D178))</f>
        <v/>
      </c>
    </row>
    <row r="179" customFormat="false" ht="15" hidden="false" customHeight="false" outlineLevel="0" collapsed="false">
      <c r="A179" s="32"/>
      <c r="B179" s="19"/>
      <c r="C179" s="19"/>
      <c r="D179" s="19"/>
      <c r="E179" s="21"/>
      <c r="F179" s="19"/>
      <c r="G179" s="27" t="str">
        <f aca="false">IF(B179="","",IFERROR(INDEX(Jeux!$C$2:$C$3001,MATCH(B179,Jeux!$A$2:$A$3001,0))&amp;"","⚠ jeu inconnu"))</f>
        <v/>
      </c>
      <c r="H179" s="27" t="str">
        <f aca="false">IF(B179="","",IFERROR(INDEX(Jeux!$D$2:$D$3001,MATCH(B179,Jeux!$A$2:$A$3001,0))&amp;"",""))</f>
        <v/>
      </c>
      <c r="I179" s="26" t="str">
        <f aca="false">IF(A179="","",COUNTIF(Apparitions!$G$2:$G$5001,A179))</f>
        <v/>
      </c>
      <c r="J179" s="26" t="str">
        <f aca="false">IF(A179="","",COUNTIFS(Apparitions!$G$2:$G$5001,A179,Apparitions!$E$2:$E$5001,"○"))</f>
        <v/>
      </c>
      <c r="K179" s="29" t="str">
        <f aca="false">IF(A179="","",IFERROR(1/(1/_xlfn.MINIFS(Apparitions!$L$2:$L$5001,Apparitions!$G$2:$G$5001,A179)),""))</f>
        <v/>
      </c>
      <c r="L179" s="27" t="str">
        <f aca="false">IF(A179="","",A179&amp;" | "&amp;B179&amp;IF(C179="",""," ("&amp;C179&amp;")")&amp;IF(D179="",""," - "&amp;D179))</f>
        <v/>
      </c>
    </row>
    <row r="180" customFormat="false" ht="15" hidden="false" customHeight="false" outlineLevel="0" collapsed="false">
      <c r="A180" s="32"/>
      <c r="B180" s="19"/>
      <c r="C180" s="19"/>
      <c r="D180" s="19"/>
      <c r="E180" s="21"/>
      <c r="F180" s="19"/>
      <c r="G180" s="27" t="str">
        <f aca="false">IF(B180="","",IFERROR(INDEX(Jeux!$C$2:$C$3001,MATCH(B180,Jeux!$A$2:$A$3001,0))&amp;"","⚠ jeu inconnu"))</f>
        <v/>
      </c>
      <c r="H180" s="27" t="str">
        <f aca="false">IF(B180="","",IFERROR(INDEX(Jeux!$D$2:$D$3001,MATCH(B180,Jeux!$A$2:$A$3001,0))&amp;"",""))</f>
        <v/>
      </c>
      <c r="I180" s="26" t="str">
        <f aca="false">IF(A180="","",COUNTIF(Apparitions!$G$2:$G$5001,A180))</f>
        <v/>
      </c>
      <c r="J180" s="26" t="str">
        <f aca="false">IF(A180="","",COUNTIFS(Apparitions!$G$2:$G$5001,A180,Apparitions!$E$2:$E$5001,"○"))</f>
        <v/>
      </c>
      <c r="K180" s="29" t="str">
        <f aca="false">IF(A180="","",IFERROR(1/(1/_xlfn.MINIFS(Apparitions!$L$2:$L$5001,Apparitions!$G$2:$G$5001,A180)),""))</f>
        <v/>
      </c>
      <c r="L180" s="27" t="str">
        <f aca="false">IF(A180="","",A180&amp;" | "&amp;B180&amp;IF(C180="",""," ("&amp;C180&amp;")")&amp;IF(D180="",""," - "&amp;D180))</f>
        <v/>
      </c>
    </row>
    <row r="181" customFormat="false" ht="15" hidden="false" customHeight="false" outlineLevel="0" collapsed="false">
      <c r="A181" s="32"/>
      <c r="B181" s="19"/>
      <c r="C181" s="19"/>
      <c r="D181" s="19"/>
      <c r="E181" s="21"/>
      <c r="F181" s="19"/>
      <c r="G181" s="27" t="str">
        <f aca="false">IF(B181="","",IFERROR(INDEX(Jeux!$C$2:$C$3001,MATCH(B181,Jeux!$A$2:$A$3001,0))&amp;"","⚠ jeu inconnu"))</f>
        <v/>
      </c>
      <c r="H181" s="27" t="str">
        <f aca="false">IF(B181="","",IFERROR(INDEX(Jeux!$D$2:$D$3001,MATCH(B181,Jeux!$A$2:$A$3001,0))&amp;"",""))</f>
        <v/>
      </c>
      <c r="I181" s="26" t="str">
        <f aca="false">IF(A181="","",COUNTIF(Apparitions!$G$2:$G$5001,A181))</f>
        <v/>
      </c>
      <c r="J181" s="26" t="str">
        <f aca="false">IF(A181="","",COUNTIFS(Apparitions!$G$2:$G$5001,A181,Apparitions!$E$2:$E$5001,"○"))</f>
        <v/>
      </c>
      <c r="K181" s="29" t="str">
        <f aca="false">IF(A181="","",IFERROR(1/(1/_xlfn.MINIFS(Apparitions!$L$2:$L$5001,Apparitions!$G$2:$G$5001,A181)),""))</f>
        <v/>
      </c>
      <c r="L181" s="27" t="str">
        <f aca="false">IF(A181="","",A181&amp;" | "&amp;B181&amp;IF(C181="",""," ("&amp;C181&amp;")")&amp;IF(D181="",""," - "&amp;D181))</f>
        <v/>
      </c>
    </row>
    <row r="182" customFormat="false" ht="15" hidden="false" customHeight="false" outlineLevel="0" collapsed="false">
      <c r="A182" s="32"/>
      <c r="B182" s="19"/>
      <c r="C182" s="19"/>
      <c r="D182" s="19"/>
      <c r="E182" s="21"/>
      <c r="F182" s="19"/>
      <c r="G182" s="27" t="str">
        <f aca="false">IF(B182="","",IFERROR(INDEX(Jeux!$C$2:$C$3001,MATCH(B182,Jeux!$A$2:$A$3001,0))&amp;"","⚠ jeu inconnu"))</f>
        <v/>
      </c>
      <c r="H182" s="27" t="str">
        <f aca="false">IF(B182="","",IFERROR(INDEX(Jeux!$D$2:$D$3001,MATCH(B182,Jeux!$A$2:$A$3001,0))&amp;"",""))</f>
        <v/>
      </c>
      <c r="I182" s="26" t="str">
        <f aca="false">IF(A182="","",COUNTIF(Apparitions!$G$2:$G$5001,A182))</f>
        <v/>
      </c>
      <c r="J182" s="26" t="str">
        <f aca="false">IF(A182="","",COUNTIFS(Apparitions!$G$2:$G$5001,A182,Apparitions!$E$2:$E$5001,"○"))</f>
        <v/>
      </c>
      <c r="K182" s="29" t="str">
        <f aca="false">IF(A182="","",IFERROR(1/(1/_xlfn.MINIFS(Apparitions!$L$2:$L$5001,Apparitions!$G$2:$G$5001,A182)),""))</f>
        <v/>
      </c>
      <c r="L182" s="27" t="str">
        <f aca="false">IF(A182="","",A182&amp;" | "&amp;B182&amp;IF(C182="",""," ("&amp;C182&amp;")")&amp;IF(D182="",""," - "&amp;D182))</f>
        <v/>
      </c>
    </row>
    <row r="183" customFormat="false" ht="15" hidden="false" customHeight="false" outlineLevel="0" collapsed="false">
      <c r="A183" s="32"/>
      <c r="B183" s="19"/>
      <c r="C183" s="19"/>
      <c r="D183" s="19"/>
      <c r="E183" s="21"/>
      <c r="F183" s="19"/>
      <c r="G183" s="27" t="str">
        <f aca="false">IF(B183="","",IFERROR(INDEX(Jeux!$C$2:$C$3001,MATCH(B183,Jeux!$A$2:$A$3001,0))&amp;"","⚠ jeu inconnu"))</f>
        <v/>
      </c>
      <c r="H183" s="27" t="str">
        <f aca="false">IF(B183="","",IFERROR(INDEX(Jeux!$D$2:$D$3001,MATCH(B183,Jeux!$A$2:$A$3001,0))&amp;"",""))</f>
        <v/>
      </c>
      <c r="I183" s="26" t="str">
        <f aca="false">IF(A183="","",COUNTIF(Apparitions!$G$2:$G$5001,A183))</f>
        <v/>
      </c>
      <c r="J183" s="26" t="str">
        <f aca="false">IF(A183="","",COUNTIFS(Apparitions!$G$2:$G$5001,A183,Apparitions!$E$2:$E$5001,"○"))</f>
        <v/>
      </c>
      <c r="K183" s="29" t="str">
        <f aca="false">IF(A183="","",IFERROR(1/(1/_xlfn.MINIFS(Apparitions!$L$2:$L$5001,Apparitions!$G$2:$G$5001,A183)),""))</f>
        <v/>
      </c>
      <c r="L183" s="27" t="str">
        <f aca="false">IF(A183="","",A183&amp;" | "&amp;B183&amp;IF(C183="",""," ("&amp;C183&amp;")")&amp;IF(D183="",""," - "&amp;D183))</f>
        <v/>
      </c>
    </row>
    <row r="184" customFormat="false" ht="15" hidden="false" customHeight="false" outlineLevel="0" collapsed="false">
      <c r="A184" s="32"/>
      <c r="B184" s="19"/>
      <c r="C184" s="19"/>
      <c r="D184" s="19"/>
      <c r="E184" s="21"/>
      <c r="F184" s="19"/>
      <c r="G184" s="27" t="str">
        <f aca="false">IF(B184="","",IFERROR(INDEX(Jeux!$C$2:$C$3001,MATCH(B184,Jeux!$A$2:$A$3001,0))&amp;"","⚠ jeu inconnu"))</f>
        <v/>
      </c>
      <c r="H184" s="27" t="str">
        <f aca="false">IF(B184="","",IFERROR(INDEX(Jeux!$D$2:$D$3001,MATCH(B184,Jeux!$A$2:$A$3001,0))&amp;"",""))</f>
        <v/>
      </c>
      <c r="I184" s="26" t="str">
        <f aca="false">IF(A184="","",COUNTIF(Apparitions!$G$2:$G$5001,A184))</f>
        <v/>
      </c>
      <c r="J184" s="26" t="str">
        <f aca="false">IF(A184="","",COUNTIFS(Apparitions!$G$2:$G$5001,A184,Apparitions!$E$2:$E$5001,"○"))</f>
        <v/>
      </c>
      <c r="K184" s="29" t="str">
        <f aca="false">IF(A184="","",IFERROR(1/(1/_xlfn.MINIFS(Apparitions!$L$2:$L$5001,Apparitions!$G$2:$G$5001,A184)),""))</f>
        <v/>
      </c>
      <c r="L184" s="27" t="str">
        <f aca="false">IF(A184="","",A184&amp;" | "&amp;B184&amp;IF(C184="",""," ("&amp;C184&amp;")")&amp;IF(D184="",""," - "&amp;D184))</f>
        <v/>
      </c>
    </row>
    <row r="185" customFormat="false" ht="15" hidden="false" customHeight="false" outlineLevel="0" collapsed="false">
      <c r="A185" s="32"/>
      <c r="B185" s="19"/>
      <c r="C185" s="19"/>
      <c r="D185" s="19"/>
      <c r="E185" s="21"/>
      <c r="F185" s="19"/>
      <c r="G185" s="27" t="str">
        <f aca="false">IF(B185="","",IFERROR(INDEX(Jeux!$C$2:$C$3001,MATCH(B185,Jeux!$A$2:$A$3001,0))&amp;"","⚠ jeu inconnu"))</f>
        <v/>
      </c>
      <c r="H185" s="27" t="str">
        <f aca="false">IF(B185="","",IFERROR(INDEX(Jeux!$D$2:$D$3001,MATCH(B185,Jeux!$A$2:$A$3001,0))&amp;"",""))</f>
        <v/>
      </c>
      <c r="I185" s="26" t="str">
        <f aca="false">IF(A185="","",COUNTIF(Apparitions!$G$2:$G$5001,A185))</f>
        <v/>
      </c>
      <c r="J185" s="26" t="str">
        <f aca="false">IF(A185="","",COUNTIFS(Apparitions!$G$2:$G$5001,A185,Apparitions!$E$2:$E$5001,"○"))</f>
        <v/>
      </c>
      <c r="K185" s="29" t="str">
        <f aca="false">IF(A185="","",IFERROR(1/(1/_xlfn.MINIFS(Apparitions!$L$2:$L$5001,Apparitions!$G$2:$G$5001,A185)),""))</f>
        <v/>
      </c>
      <c r="L185" s="27" t="str">
        <f aca="false">IF(A185="","",A185&amp;" | "&amp;B185&amp;IF(C185="",""," ("&amp;C185&amp;")")&amp;IF(D185="",""," - "&amp;D185))</f>
        <v/>
      </c>
    </row>
    <row r="186" customFormat="false" ht="15" hidden="false" customHeight="false" outlineLevel="0" collapsed="false">
      <c r="A186" s="32"/>
      <c r="B186" s="19"/>
      <c r="C186" s="19"/>
      <c r="D186" s="19"/>
      <c r="E186" s="21"/>
      <c r="F186" s="19"/>
      <c r="G186" s="27" t="str">
        <f aca="false">IF(B186="","",IFERROR(INDEX(Jeux!$C$2:$C$3001,MATCH(B186,Jeux!$A$2:$A$3001,0))&amp;"","⚠ jeu inconnu"))</f>
        <v/>
      </c>
      <c r="H186" s="27" t="str">
        <f aca="false">IF(B186="","",IFERROR(INDEX(Jeux!$D$2:$D$3001,MATCH(B186,Jeux!$A$2:$A$3001,0))&amp;"",""))</f>
        <v/>
      </c>
      <c r="I186" s="26" t="str">
        <f aca="false">IF(A186="","",COUNTIF(Apparitions!$G$2:$G$5001,A186))</f>
        <v/>
      </c>
      <c r="J186" s="26" t="str">
        <f aca="false">IF(A186="","",COUNTIFS(Apparitions!$G$2:$G$5001,A186,Apparitions!$E$2:$E$5001,"○"))</f>
        <v/>
      </c>
      <c r="K186" s="29" t="str">
        <f aca="false">IF(A186="","",IFERROR(1/(1/_xlfn.MINIFS(Apparitions!$L$2:$L$5001,Apparitions!$G$2:$G$5001,A186)),""))</f>
        <v/>
      </c>
      <c r="L186" s="27" t="str">
        <f aca="false">IF(A186="","",A186&amp;" | "&amp;B186&amp;IF(C186="",""," ("&amp;C186&amp;")")&amp;IF(D186="",""," - "&amp;D186))</f>
        <v/>
      </c>
    </row>
    <row r="187" customFormat="false" ht="15" hidden="false" customHeight="false" outlineLevel="0" collapsed="false">
      <c r="A187" s="32"/>
      <c r="B187" s="19"/>
      <c r="C187" s="19"/>
      <c r="D187" s="19"/>
      <c r="E187" s="21"/>
      <c r="F187" s="19"/>
      <c r="G187" s="27" t="str">
        <f aca="false">IF(B187="","",IFERROR(INDEX(Jeux!$C$2:$C$3001,MATCH(B187,Jeux!$A$2:$A$3001,0))&amp;"","⚠ jeu inconnu"))</f>
        <v/>
      </c>
      <c r="H187" s="27" t="str">
        <f aca="false">IF(B187="","",IFERROR(INDEX(Jeux!$D$2:$D$3001,MATCH(B187,Jeux!$A$2:$A$3001,0))&amp;"",""))</f>
        <v/>
      </c>
      <c r="I187" s="26" t="str">
        <f aca="false">IF(A187="","",COUNTIF(Apparitions!$G$2:$G$5001,A187))</f>
        <v/>
      </c>
      <c r="J187" s="26" t="str">
        <f aca="false">IF(A187="","",COUNTIFS(Apparitions!$G$2:$G$5001,A187,Apparitions!$E$2:$E$5001,"○"))</f>
        <v/>
      </c>
      <c r="K187" s="29" t="str">
        <f aca="false">IF(A187="","",IFERROR(1/(1/_xlfn.MINIFS(Apparitions!$L$2:$L$5001,Apparitions!$G$2:$G$5001,A187)),""))</f>
        <v/>
      </c>
      <c r="L187" s="27" t="str">
        <f aca="false">IF(A187="","",A187&amp;" | "&amp;B187&amp;IF(C187="",""," ("&amp;C187&amp;")")&amp;IF(D187="",""," - "&amp;D187))</f>
        <v/>
      </c>
    </row>
    <row r="188" customFormat="false" ht="15" hidden="false" customHeight="false" outlineLevel="0" collapsed="false">
      <c r="A188" s="32"/>
      <c r="B188" s="19"/>
      <c r="C188" s="19"/>
      <c r="D188" s="19"/>
      <c r="E188" s="21"/>
      <c r="F188" s="19"/>
      <c r="G188" s="27" t="str">
        <f aca="false">IF(B188="","",IFERROR(INDEX(Jeux!$C$2:$C$3001,MATCH(B188,Jeux!$A$2:$A$3001,0))&amp;"","⚠ jeu inconnu"))</f>
        <v/>
      </c>
      <c r="H188" s="27" t="str">
        <f aca="false">IF(B188="","",IFERROR(INDEX(Jeux!$D$2:$D$3001,MATCH(B188,Jeux!$A$2:$A$3001,0))&amp;"",""))</f>
        <v/>
      </c>
      <c r="I188" s="26" t="str">
        <f aca="false">IF(A188="","",COUNTIF(Apparitions!$G$2:$G$5001,A188))</f>
        <v/>
      </c>
      <c r="J188" s="26" t="str">
        <f aca="false">IF(A188="","",COUNTIFS(Apparitions!$G$2:$G$5001,A188,Apparitions!$E$2:$E$5001,"○"))</f>
        <v/>
      </c>
      <c r="K188" s="29" t="str">
        <f aca="false">IF(A188="","",IFERROR(1/(1/_xlfn.MINIFS(Apparitions!$L$2:$L$5001,Apparitions!$G$2:$G$5001,A188)),""))</f>
        <v/>
      </c>
      <c r="L188" s="27" t="str">
        <f aca="false">IF(A188="","",A188&amp;" | "&amp;B188&amp;IF(C188="",""," ("&amp;C188&amp;")")&amp;IF(D188="",""," - "&amp;D188))</f>
        <v/>
      </c>
    </row>
    <row r="189" customFormat="false" ht="15" hidden="false" customHeight="false" outlineLevel="0" collapsed="false">
      <c r="A189" s="32"/>
      <c r="B189" s="19"/>
      <c r="C189" s="19"/>
      <c r="D189" s="19"/>
      <c r="E189" s="21"/>
      <c r="F189" s="19"/>
      <c r="G189" s="27" t="str">
        <f aca="false">IF(B189="","",IFERROR(INDEX(Jeux!$C$2:$C$3001,MATCH(B189,Jeux!$A$2:$A$3001,0))&amp;"","⚠ jeu inconnu"))</f>
        <v/>
      </c>
      <c r="H189" s="27" t="str">
        <f aca="false">IF(B189="","",IFERROR(INDEX(Jeux!$D$2:$D$3001,MATCH(B189,Jeux!$A$2:$A$3001,0))&amp;"",""))</f>
        <v/>
      </c>
      <c r="I189" s="26" t="str">
        <f aca="false">IF(A189="","",COUNTIF(Apparitions!$G$2:$G$5001,A189))</f>
        <v/>
      </c>
      <c r="J189" s="26" t="str">
        <f aca="false">IF(A189="","",COUNTIFS(Apparitions!$G$2:$G$5001,A189,Apparitions!$E$2:$E$5001,"○"))</f>
        <v/>
      </c>
      <c r="K189" s="29" t="str">
        <f aca="false">IF(A189="","",IFERROR(1/(1/_xlfn.MINIFS(Apparitions!$L$2:$L$5001,Apparitions!$G$2:$G$5001,A189)),""))</f>
        <v/>
      </c>
      <c r="L189" s="27" t="str">
        <f aca="false">IF(A189="","",A189&amp;" | "&amp;B189&amp;IF(C189="",""," ("&amp;C189&amp;")")&amp;IF(D189="",""," - "&amp;D189))</f>
        <v/>
      </c>
    </row>
    <row r="190" customFormat="false" ht="15" hidden="false" customHeight="false" outlineLevel="0" collapsed="false">
      <c r="A190" s="32"/>
      <c r="B190" s="19"/>
      <c r="C190" s="19"/>
      <c r="D190" s="19"/>
      <c r="E190" s="21"/>
      <c r="F190" s="19"/>
      <c r="G190" s="27" t="str">
        <f aca="false">IF(B190="","",IFERROR(INDEX(Jeux!$C$2:$C$3001,MATCH(B190,Jeux!$A$2:$A$3001,0))&amp;"","⚠ jeu inconnu"))</f>
        <v/>
      </c>
      <c r="H190" s="27" t="str">
        <f aca="false">IF(B190="","",IFERROR(INDEX(Jeux!$D$2:$D$3001,MATCH(B190,Jeux!$A$2:$A$3001,0))&amp;"",""))</f>
        <v/>
      </c>
      <c r="I190" s="26" t="str">
        <f aca="false">IF(A190="","",COUNTIF(Apparitions!$G$2:$G$5001,A190))</f>
        <v/>
      </c>
      <c r="J190" s="26" t="str">
        <f aca="false">IF(A190="","",COUNTIFS(Apparitions!$G$2:$G$5001,A190,Apparitions!$E$2:$E$5001,"○"))</f>
        <v/>
      </c>
      <c r="K190" s="29" t="str">
        <f aca="false">IF(A190="","",IFERROR(1/(1/_xlfn.MINIFS(Apparitions!$L$2:$L$5001,Apparitions!$G$2:$G$5001,A190)),""))</f>
        <v/>
      </c>
      <c r="L190" s="27" t="str">
        <f aca="false">IF(A190="","",A190&amp;" | "&amp;B190&amp;IF(C190="",""," ("&amp;C190&amp;")")&amp;IF(D190="",""," - "&amp;D190))</f>
        <v/>
      </c>
    </row>
    <row r="191" customFormat="false" ht="15" hidden="false" customHeight="false" outlineLevel="0" collapsed="false">
      <c r="A191" s="32"/>
      <c r="B191" s="19"/>
      <c r="C191" s="19"/>
      <c r="D191" s="19"/>
      <c r="E191" s="21"/>
      <c r="F191" s="19"/>
      <c r="G191" s="27" t="str">
        <f aca="false">IF(B191="","",IFERROR(INDEX(Jeux!$C$2:$C$3001,MATCH(B191,Jeux!$A$2:$A$3001,0))&amp;"","⚠ jeu inconnu"))</f>
        <v/>
      </c>
      <c r="H191" s="27" t="str">
        <f aca="false">IF(B191="","",IFERROR(INDEX(Jeux!$D$2:$D$3001,MATCH(B191,Jeux!$A$2:$A$3001,0))&amp;"",""))</f>
        <v/>
      </c>
      <c r="I191" s="26" t="str">
        <f aca="false">IF(A191="","",COUNTIF(Apparitions!$G$2:$G$5001,A191))</f>
        <v/>
      </c>
      <c r="J191" s="26" t="str">
        <f aca="false">IF(A191="","",COUNTIFS(Apparitions!$G$2:$G$5001,A191,Apparitions!$E$2:$E$5001,"○"))</f>
        <v/>
      </c>
      <c r="K191" s="29" t="str">
        <f aca="false">IF(A191="","",IFERROR(1/(1/_xlfn.MINIFS(Apparitions!$L$2:$L$5001,Apparitions!$G$2:$G$5001,A191)),""))</f>
        <v/>
      </c>
      <c r="L191" s="27" t="str">
        <f aca="false">IF(A191="","",A191&amp;" | "&amp;B191&amp;IF(C191="",""," ("&amp;C191&amp;")")&amp;IF(D191="",""," - "&amp;D191))</f>
        <v/>
      </c>
    </row>
    <row r="192" customFormat="false" ht="15" hidden="false" customHeight="false" outlineLevel="0" collapsed="false">
      <c r="A192" s="32"/>
      <c r="B192" s="19"/>
      <c r="C192" s="19"/>
      <c r="D192" s="19"/>
      <c r="E192" s="21"/>
      <c r="F192" s="19"/>
      <c r="G192" s="27" t="str">
        <f aca="false">IF(B192="","",IFERROR(INDEX(Jeux!$C$2:$C$3001,MATCH(B192,Jeux!$A$2:$A$3001,0))&amp;"","⚠ jeu inconnu"))</f>
        <v/>
      </c>
      <c r="H192" s="27" t="str">
        <f aca="false">IF(B192="","",IFERROR(INDEX(Jeux!$D$2:$D$3001,MATCH(B192,Jeux!$A$2:$A$3001,0))&amp;"",""))</f>
        <v/>
      </c>
      <c r="I192" s="26" t="str">
        <f aca="false">IF(A192="","",COUNTIF(Apparitions!$G$2:$G$5001,A192))</f>
        <v/>
      </c>
      <c r="J192" s="26" t="str">
        <f aca="false">IF(A192="","",COUNTIFS(Apparitions!$G$2:$G$5001,A192,Apparitions!$E$2:$E$5001,"○"))</f>
        <v/>
      </c>
      <c r="K192" s="29" t="str">
        <f aca="false">IF(A192="","",IFERROR(1/(1/_xlfn.MINIFS(Apparitions!$L$2:$L$5001,Apparitions!$G$2:$G$5001,A192)),""))</f>
        <v/>
      </c>
      <c r="L192" s="27" t="str">
        <f aca="false">IF(A192="","",A192&amp;" | "&amp;B192&amp;IF(C192="",""," ("&amp;C192&amp;")")&amp;IF(D192="",""," - "&amp;D192))</f>
        <v/>
      </c>
    </row>
    <row r="193" customFormat="false" ht="15" hidden="false" customHeight="false" outlineLevel="0" collapsed="false">
      <c r="A193" s="32"/>
      <c r="B193" s="19"/>
      <c r="C193" s="19"/>
      <c r="D193" s="19"/>
      <c r="E193" s="21"/>
      <c r="F193" s="19"/>
      <c r="G193" s="27" t="str">
        <f aca="false">IF(B193="","",IFERROR(INDEX(Jeux!$C$2:$C$3001,MATCH(B193,Jeux!$A$2:$A$3001,0))&amp;"","⚠ jeu inconnu"))</f>
        <v/>
      </c>
      <c r="H193" s="27" t="str">
        <f aca="false">IF(B193="","",IFERROR(INDEX(Jeux!$D$2:$D$3001,MATCH(B193,Jeux!$A$2:$A$3001,0))&amp;"",""))</f>
        <v/>
      </c>
      <c r="I193" s="26" t="str">
        <f aca="false">IF(A193="","",COUNTIF(Apparitions!$G$2:$G$5001,A193))</f>
        <v/>
      </c>
      <c r="J193" s="26" t="str">
        <f aca="false">IF(A193="","",COUNTIFS(Apparitions!$G$2:$G$5001,A193,Apparitions!$E$2:$E$5001,"○"))</f>
        <v/>
      </c>
      <c r="K193" s="29" t="str">
        <f aca="false">IF(A193="","",IFERROR(1/(1/_xlfn.MINIFS(Apparitions!$L$2:$L$5001,Apparitions!$G$2:$G$5001,A193)),""))</f>
        <v/>
      </c>
      <c r="L193" s="27" t="str">
        <f aca="false">IF(A193="","",A193&amp;" | "&amp;B193&amp;IF(C193="",""," ("&amp;C193&amp;")")&amp;IF(D193="",""," - "&amp;D193))</f>
        <v/>
      </c>
    </row>
    <row r="194" customFormat="false" ht="15" hidden="false" customHeight="false" outlineLevel="0" collapsed="false">
      <c r="A194" s="32"/>
      <c r="B194" s="19"/>
      <c r="C194" s="19"/>
      <c r="D194" s="19"/>
      <c r="E194" s="21"/>
      <c r="F194" s="19"/>
      <c r="G194" s="27" t="str">
        <f aca="false">IF(B194="","",IFERROR(INDEX(Jeux!$C$2:$C$3001,MATCH(B194,Jeux!$A$2:$A$3001,0))&amp;"","⚠ jeu inconnu"))</f>
        <v/>
      </c>
      <c r="H194" s="27" t="str">
        <f aca="false">IF(B194="","",IFERROR(INDEX(Jeux!$D$2:$D$3001,MATCH(B194,Jeux!$A$2:$A$3001,0))&amp;"",""))</f>
        <v/>
      </c>
      <c r="I194" s="26" t="str">
        <f aca="false">IF(A194="","",COUNTIF(Apparitions!$G$2:$G$5001,A194))</f>
        <v/>
      </c>
      <c r="J194" s="26" t="str">
        <f aca="false">IF(A194="","",COUNTIFS(Apparitions!$G$2:$G$5001,A194,Apparitions!$E$2:$E$5001,"○"))</f>
        <v/>
      </c>
      <c r="K194" s="29" t="str">
        <f aca="false">IF(A194="","",IFERROR(1/(1/_xlfn.MINIFS(Apparitions!$L$2:$L$5001,Apparitions!$G$2:$G$5001,A194)),""))</f>
        <v/>
      </c>
      <c r="L194" s="27" t="str">
        <f aca="false">IF(A194="","",A194&amp;" | "&amp;B194&amp;IF(C194="",""," ("&amp;C194&amp;")")&amp;IF(D194="",""," - "&amp;D194))</f>
        <v/>
      </c>
    </row>
    <row r="195" customFormat="false" ht="15" hidden="false" customHeight="false" outlineLevel="0" collapsed="false">
      <c r="A195" s="32"/>
      <c r="B195" s="19"/>
      <c r="C195" s="19"/>
      <c r="D195" s="19"/>
      <c r="E195" s="21"/>
      <c r="F195" s="19"/>
      <c r="G195" s="27" t="str">
        <f aca="false">IF(B195="","",IFERROR(INDEX(Jeux!$C$2:$C$3001,MATCH(B195,Jeux!$A$2:$A$3001,0))&amp;"","⚠ jeu inconnu"))</f>
        <v/>
      </c>
      <c r="H195" s="27" t="str">
        <f aca="false">IF(B195="","",IFERROR(INDEX(Jeux!$D$2:$D$3001,MATCH(B195,Jeux!$A$2:$A$3001,0))&amp;"",""))</f>
        <v/>
      </c>
      <c r="I195" s="26" t="str">
        <f aca="false">IF(A195="","",COUNTIF(Apparitions!$G$2:$G$5001,A195))</f>
        <v/>
      </c>
      <c r="J195" s="26" t="str">
        <f aca="false">IF(A195="","",COUNTIFS(Apparitions!$G$2:$G$5001,A195,Apparitions!$E$2:$E$5001,"○"))</f>
        <v/>
      </c>
      <c r="K195" s="29" t="str">
        <f aca="false">IF(A195="","",IFERROR(1/(1/_xlfn.MINIFS(Apparitions!$L$2:$L$5001,Apparitions!$G$2:$G$5001,A195)),""))</f>
        <v/>
      </c>
      <c r="L195" s="27" t="str">
        <f aca="false">IF(A195="","",A195&amp;" | "&amp;B195&amp;IF(C195="",""," ("&amp;C195&amp;")")&amp;IF(D195="",""," - "&amp;D195))</f>
        <v/>
      </c>
    </row>
    <row r="196" customFormat="false" ht="15" hidden="false" customHeight="false" outlineLevel="0" collapsed="false">
      <c r="A196" s="32"/>
      <c r="B196" s="19"/>
      <c r="C196" s="19"/>
      <c r="D196" s="19"/>
      <c r="E196" s="21"/>
      <c r="F196" s="19"/>
      <c r="G196" s="27" t="str">
        <f aca="false">IF(B196="","",IFERROR(INDEX(Jeux!$C$2:$C$3001,MATCH(B196,Jeux!$A$2:$A$3001,0))&amp;"","⚠ jeu inconnu"))</f>
        <v/>
      </c>
      <c r="H196" s="27" t="str">
        <f aca="false">IF(B196="","",IFERROR(INDEX(Jeux!$D$2:$D$3001,MATCH(B196,Jeux!$A$2:$A$3001,0))&amp;"",""))</f>
        <v/>
      </c>
      <c r="I196" s="26" t="str">
        <f aca="false">IF(A196="","",COUNTIF(Apparitions!$G$2:$G$5001,A196))</f>
        <v/>
      </c>
      <c r="J196" s="26" t="str">
        <f aca="false">IF(A196="","",COUNTIFS(Apparitions!$G$2:$G$5001,A196,Apparitions!$E$2:$E$5001,"○"))</f>
        <v/>
      </c>
      <c r="K196" s="29" t="str">
        <f aca="false">IF(A196="","",IFERROR(1/(1/_xlfn.MINIFS(Apparitions!$L$2:$L$5001,Apparitions!$G$2:$G$5001,A196)),""))</f>
        <v/>
      </c>
      <c r="L196" s="27" t="str">
        <f aca="false">IF(A196="","",A196&amp;" | "&amp;B196&amp;IF(C196="",""," ("&amp;C196&amp;")")&amp;IF(D196="",""," - "&amp;D196))</f>
        <v/>
      </c>
    </row>
    <row r="197" customFormat="false" ht="15" hidden="false" customHeight="false" outlineLevel="0" collapsed="false">
      <c r="A197" s="32"/>
      <c r="B197" s="19"/>
      <c r="C197" s="19"/>
      <c r="D197" s="19"/>
      <c r="E197" s="21"/>
      <c r="F197" s="19"/>
      <c r="G197" s="27" t="str">
        <f aca="false">IF(B197="","",IFERROR(INDEX(Jeux!$C$2:$C$3001,MATCH(B197,Jeux!$A$2:$A$3001,0))&amp;"","⚠ jeu inconnu"))</f>
        <v/>
      </c>
      <c r="H197" s="27" t="str">
        <f aca="false">IF(B197="","",IFERROR(INDEX(Jeux!$D$2:$D$3001,MATCH(B197,Jeux!$A$2:$A$3001,0))&amp;"",""))</f>
        <v/>
      </c>
      <c r="I197" s="26" t="str">
        <f aca="false">IF(A197="","",COUNTIF(Apparitions!$G$2:$G$5001,A197))</f>
        <v/>
      </c>
      <c r="J197" s="26" t="str">
        <f aca="false">IF(A197="","",COUNTIFS(Apparitions!$G$2:$G$5001,A197,Apparitions!$E$2:$E$5001,"○"))</f>
        <v/>
      </c>
      <c r="K197" s="29" t="str">
        <f aca="false">IF(A197="","",IFERROR(1/(1/_xlfn.MINIFS(Apparitions!$L$2:$L$5001,Apparitions!$G$2:$G$5001,A197)),""))</f>
        <v/>
      </c>
      <c r="L197" s="27" t="str">
        <f aca="false">IF(A197="","",A197&amp;" | "&amp;B197&amp;IF(C197="",""," ("&amp;C197&amp;")")&amp;IF(D197="",""," - "&amp;D197))</f>
        <v/>
      </c>
    </row>
    <row r="198" customFormat="false" ht="15" hidden="false" customHeight="false" outlineLevel="0" collapsed="false">
      <c r="A198" s="32"/>
      <c r="B198" s="19"/>
      <c r="C198" s="19"/>
      <c r="D198" s="19"/>
      <c r="E198" s="21"/>
      <c r="F198" s="19"/>
      <c r="G198" s="27" t="str">
        <f aca="false">IF(B198="","",IFERROR(INDEX(Jeux!$C$2:$C$3001,MATCH(B198,Jeux!$A$2:$A$3001,0))&amp;"","⚠ jeu inconnu"))</f>
        <v/>
      </c>
      <c r="H198" s="27" t="str">
        <f aca="false">IF(B198="","",IFERROR(INDEX(Jeux!$D$2:$D$3001,MATCH(B198,Jeux!$A$2:$A$3001,0))&amp;"",""))</f>
        <v/>
      </c>
      <c r="I198" s="26" t="str">
        <f aca="false">IF(A198="","",COUNTIF(Apparitions!$G$2:$G$5001,A198))</f>
        <v/>
      </c>
      <c r="J198" s="26" t="str">
        <f aca="false">IF(A198="","",COUNTIFS(Apparitions!$G$2:$G$5001,A198,Apparitions!$E$2:$E$5001,"○"))</f>
        <v/>
      </c>
      <c r="K198" s="29" t="str">
        <f aca="false">IF(A198="","",IFERROR(1/(1/_xlfn.MINIFS(Apparitions!$L$2:$L$5001,Apparitions!$G$2:$G$5001,A198)),""))</f>
        <v/>
      </c>
      <c r="L198" s="27" t="str">
        <f aca="false">IF(A198="","",A198&amp;" | "&amp;B198&amp;IF(C198="",""," ("&amp;C198&amp;")")&amp;IF(D198="",""," - "&amp;D198))</f>
        <v/>
      </c>
    </row>
    <row r="199" customFormat="false" ht="15" hidden="false" customHeight="false" outlineLevel="0" collapsed="false">
      <c r="A199" s="32"/>
      <c r="B199" s="19"/>
      <c r="C199" s="19"/>
      <c r="D199" s="19"/>
      <c r="E199" s="21"/>
      <c r="F199" s="19"/>
      <c r="G199" s="27" t="str">
        <f aca="false">IF(B199="","",IFERROR(INDEX(Jeux!$C$2:$C$3001,MATCH(B199,Jeux!$A$2:$A$3001,0))&amp;"","⚠ jeu inconnu"))</f>
        <v/>
      </c>
      <c r="H199" s="27" t="str">
        <f aca="false">IF(B199="","",IFERROR(INDEX(Jeux!$D$2:$D$3001,MATCH(B199,Jeux!$A$2:$A$3001,0))&amp;"",""))</f>
        <v/>
      </c>
      <c r="I199" s="26" t="str">
        <f aca="false">IF(A199="","",COUNTIF(Apparitions!$G$2:$G$5001,A199))</f>
        <v/>
      </c>
      <c r="J199" s="26" t="str">
        <f aca="false">IF(A199="","",COUNTIFS(Apparitions!$G$2:$G$5001,A199,Apparitions!$E$2:$E$5001,"○"))</f>
        <v/>
      </c>
      <c r="K199" s="29" t="str">
        <f aca="false">IF(A199="","",IFERROR(1/(1/_xlfn.MINIFS(Apparitions!$L$2:$L$5001,Apparitions!$G$2:$G$5001,A199)),""))</f>
        <v/>
      </c>
      <c r="L199" s="27" t="str">
        <f aca="false">IF(A199="","",A199&amp;" | "&amp;B199&amp;IF(C199="",""," ("&amp;C199&amp;")")&amp;IF(D199="",""," - "&amp;D199))</f>
        <v/>
      </c>
    </row>
    <row r="200" customFormat="false" ht="15" hidden="false" customHeight="false" outlineLevel="0" collapsed="false">
      <c r="A200" s="32"/>
      <c r="B200" s="19"/>
      <c r="C200" s="19"/>
      <c r="D200" s="19"/>
      <c r="E200" s="21"/>
      <c r="F200" s="19"/>
      <c r="G200" s="27" t="str">
        <f aca="false">IF(B200="","",IFERROR(INDEX(Jeux!$C$2:$C$3001,MATCH(B200,Jeux!$A$2:$A$3001,0))&amp;"","⚠ jeu inconnu"))</f>
        <v/>
      </c>
      <c r="H200" s="27" t="str">
        <f aca="false">IF(B200="","",IFERROR(INDEX(Jeux!$D$2:$D$3001,MATCH(B200,Jeux!$A$2:$A$3001,0))&amp;"",""))</f>
        <v/>
      </c>
      <c r="I200" s="26" t="str">
        <f aca="false">IF(A200="","",COUNTIF(Apparitions!$G$2:$G$5001,A200))</f>
        <v/>
      </c>
      <c r="J200" s="26" t="str">
        <f aca="false">IF(A200="","",COUNTIFS(Apparitions!$G$2:$G$5001,A200,Apparitions!$E$2:$E$5001,"○"))</f>
        <v/>
      </c>
      <c r="K200" s="29" t="str">
        <f aca="false">IF(A200="","",IFERROR(1/(1/_xlfn.MINIFS(Apparitions!$L$2:$L$5001,Apparitions!$G$2:$G$5001,A200)),""))</f>
        <v/>
      </c>
      <c r="L200" s="27" t="str">
        <f aca="false">IF(A200="","",A200&amp;" | "&amp;B200&amp;IF(C200="",""," ("&amp;C200&amp;")")&amp;IF(D200="",""," - "&amp;D200))</f>
        <v/>
      </c>
    </row>
    <row r="201" customFormat="false" ht="15" hidden="false" customHeight="false" outlineLevel="0" collapsed="false">
      <c r="A201" s="32"/>
      <c r="B201" s="19"/>
      <c r="C201" s="19"/>
      <c r="D201" s="19"/>
      <c r="E201" s="21"/>
      <c r="F201" s="19"/>
      <c r="G201" s="27" t="str">
        <f aca="false">IF(B201="","",IFERROR(INDEX(Jeux!$C$2:$C$3001,MATCH(B201,Jeux!$A$2:$A$3001,0))&amp;"","⚠ jeu inconnu"))</f>
        <v/>
      </c>
      <c r="H201" s="27" t="str">
        <f aca="false">IF(B201="","",IFERROR(INDEX(Jeux!$D$2:$D$3001,MATCH(B201,Jeux!$A$2:$A$3001,0))&amp;"",""))</f>
        <v/>
      </c>
      <c r="I201" s="26" t="str">
        <f aca="false">IF(A201="","",COUNTIF(Apparitions!$G$2:$G$5001,A201))</f>
        <v/>
      </c>
      <c r="J201" s="26" t="str">
        <f aca="false">IF(A201="","",COUNTIFS(Apparitions!$G$2:$G$5001,A201,Apparitions!$E$2:$E$5001,"○"))</f>
        <v/>
      </c>
      <c r="K201" s="29" t="str">
        <f aca="false">IF(A201="","",IFERROR(1/(1/_xlfn.MINIFS(Apparitions!$L$2:$L$5001,Apparitions!$G$2:$G$5001,A201)),""))</f>
        <v/>
      </c>
      <c r="L201" s="27" t="str">
        <f aca="false">IF(A201="","",A201&amp;" | "&amp;B201&amp;IF(C201="",""," ("&amp;C201&amp;")")&amp;IF(D201="",""," - "&amp;D201))</f>
        <v/>
      </c>
    </row>
    <row r="202" customFormat="false" ht="15" hidden="false" customHeight="false" outlineLevel="0" collapsed="false">
      <c r="A202" s="32"/>
      <c r="B202" s="19"/>
      <c r="C202" s="19"/>
      <c r="D202" s="19"/>
      <c r="E202" s="21"/>
      <c r="F202" s="19"/>
      <c r="G202" s="27" t="str">
        <f aca="false">IF(B202="","",IFERROR(INDEX(Jeux!$C$2:$C$3001,MATCH(B202,Jeux!$A$2:$A$3001,0))&amp;"","⚠ jeu inconnu"))</f>
        <v/>
      </c>
      <c r="H202" s="27" t="str">
        <f aca="false">IF(B202="","",IFERROR(INDEX(Jeux!$D$2:$D$3001,MATCH(B202,Jeux!$A$2:$A$3001,0))&amp;"",""))</f>
        <v/>
      </c>
      <c r="I202" s="26" t="str">
        <f aca="false">IF(A202="","",COUNTIF(Apparitions!$G$2:$G$5001,A202))</f>
        <v/>
      </c>
      <c r="J202" s="26" t="str">
        <f aca="false">IF(A202="","",COUNTIFS(Apparitions!$G$2:$G$5001,A202,Apparitions!$E$2:$E$5001,"○"))</f>
        <v/>
      </c>
      <c r="K202" s="29" t="str">
        <f aca="false">IF(A202="","",IFERROR(1/(1/_xlfn.MINIFS(Apparitions!$L$2:$L$5001,Apparitions!$G$2:$G$5001,A202)),""))</f>
        <v/>
      </c>
      <c r="L202" s="27" t="str">
        <f aca="false">IF(A202="","",A202&amp;" | "&amp;B202&amp;IF(C202="",""," ("&amp;C202&amp;")")&amp;IF(D202="",""," - "&amp;D202))</f>
        <v/>
      </c>
    </row>
    <row r="203" customFormat="false" ht="15" hidden="false" customHeight="false" outlineLevel="0" collapsed="false">
      <c r="A203" s="32"/>
      <c r="B203" s="19"/>
      <c r="C203" s="19"/>
      <c r="D203" s="19"/>
      <c r="E203" s="21"/>
      <c r="F203" s="19"/>
      <c r="G203" s="27" t="str">
        <f aca="false">IF(B203="","",IFERROR(INDEX(Jeux!$C$2:$C$3001,MATCH(B203,Jeux!$A$2:$A$3001,0))&amp;"","⚠ jeu inconnu"))</f>
        <v/>
      </c>
      <c r="H203" s="27" t="str">
        <f aca="false">IF(B203="","",IFERROR(INDEX(Jeux!$D$2:$D$3001,MATCH(B203,Jeux!$A$2:$A$3001,0))&amp;"",""))</f>
        <v/>
      </c>
      <c r="I203" s="26" t="str">
        <f aca="false">IF(A203="","",COUNTIF(Apparitions!$G$2:$G$5001,A203))</f>
        <v/>
      </c>
      <c r="J203" s="26" t="str">
        <f aca="false">IF(A203="","",COUNTIFS(Apparitions!$G$2:$G$5001,A203,Apparitions!$E$2:$E$5001,"○"))</f>
        <v/>
      </c>
      <c r="K203" s="29" t="str">
        <f aca="false">IF(A203="","",IFERROR(1/(1/_xlfn.MINIFS(Apparitions!$L$2:$L$5001,Apparitions!$G$2:$G$5001,A203)),""))</f>
        <v/>
      </c>
      <c r="L203" s="27" t="str">
        <f aca="false">IF(A203="","",A203&amp;" | "&amp;B203&amp;IF(C203="",""," ("&amp;C203&amp;")")&amp;IF(D203="",""," - "&amp;D203))</f>
        <v/>
      </c>
    </row>
    <row r="204" customFormat="false" ht="15" hidden="false" customHeight="false" outlineLevel="0" collapsed="false">
      <c r="A204" s="32"/>
      <c r="B204" s="19"/>
      <c r="C204" s="19"/>
      <c r="D204" s="19"/>
      <c r="E204" s="21"/>
      <c r="F204" s="19"/>
      <c r="G204" s="27" t="str">
        <f aca="false">IF(B204="","",IFERROR(INDEX(Jeux!$C$2:$C$3001,MATCH(B204,Jeux!$A$2:$A$3001,0))&amp;"","⚠ jeu inconnu"))</f>
        <v/>
      </c>
      <c r="H204" s="27" t="str">
        <f aca="false">IF(B204="","",IFERROR(INDEX(Jeux!$D$2:$D$3001,MATCH(B204,Jeux!$A$2:$A$3001,0))&amp;"",""))</f>
        <v/>
      </c>
      <c r="I204" s="26" t="str">
        <f aca="false">IF(A204="","",COUNTIF(Apparitions!$G$2:$G$5001,A204))</f>
        <v/>
      </c>
      <c r="J204" s="26" t="str">
        <f aca="false">IF(A204="","",COUNTIFS(Apparitions!$G$2:$G$5001,A204,Apparitions!$E$2:$E$5001,"○"))</f>
        <v/>
      </c>
      <c r="K204" s="29" t="str">
        <f aca="false">IF(A204="","",IFERROR(1/(1/_xlfn.MINIFS(Apparitions!$L$2:$L$5001,Apparitions!$G$2:$G$5001,A204)),""))</f>
        <v/>
      </c>
      <c r="L204" s="27" t="str">
        <f aca="false">IF(A204="","",A204&amp;" | "&amp;B204&amp;IF(C204="",""," ("&amp;C204&amp;")")&amp;IF(D204="",""," - "&amp;D204))</f>
        <v/>
      </c>
    </row>
    <row r="205" customFormat="false" ht="15" hidden="false" customHeight="false" outlineLevel="0" collapsed="false">
      <c r="A205" s="32"/>
      <c r="B205" s="19"/>
      <c r="C205" s="19"/>
      <c r="D205" s="19"/>
      <c r="E205" s="21"/>
      <c r="F205" s="19"/>
      <c r="G205" s="27" t="str">
        <f aca="false">IF(B205="","",IFERROR(INDEX(Jeux!$C$2:$C$3001,MATCH(B205,Jeux!$A$2:$A$3001,0))&amp;"","⚠ jeu inconnu"))</f>
        <v/>
      </c>
      <c r="H205" s="27" t="str">
        <f aca="false">IF(B205="","",IFERROR(INDEX(Jeux!$D$2:$D$3001,MATCH(B205,Jeux!$A$2:$A$3001,0))&amp;"",""))</f>
        <v/>
      </c>
      <c r="I205" s="26" t="str">
        <f aca="false">IF(A205="","",COUNTIF(Apparitions!$G$2:$G$5001,A205))</f>
        <v/>
      </c>
      <c r="J205" s="26" t="str">
        <f aca="false">IF(A205="","",COUNTIFS(Apparitions!$G$2:$G$5001,A205,Apparitions!$E$2:$E$5001,"○"))</f>
        <v/>
      </c>
      <c r="K205" s="29" t="str">
        <f aca="false">IF(A205="","",IFERROR(1/(1/_xlfn.MINIFS(Apparitions!$L$2:$L$5001,Apparitions!$G$2:$G$5001,A205)),""))</f>
        <v/>
      </c>
      <c r="L205" s="27" t="str">
        <f aca="false">IF(A205="","",A205&amp;" | "&amp;B205&amp;IF(C205="",""," ("&amp;C205&amp;")")&amp;IF(D205="",""," - "&amp;D205))</f>
        <v/>
      </c>
    </row>
    <row r="206" customFormat="false" ht="15" hidden="false" customHeight="false" outlineLevel="0" collapsed="false">
      <c r="A206" s="32"/>
      <c r="B206" s="19"/>
      <c r="C206" s="19"/>
      <c r="D206" s="19"/>
      <c r="E206" s="21"/>
      <c r="F206" s="19"/>
      <c r="G206" s="27" t="str">
        <f aca="false">IF(B206="","",IFERROR(INDEX(Jeux!$C$2:$C$3001,MATCH(B206,Jeux!$A$2:$A$3001,0))&amp;"","⚠ jeu inconnu"))</f>
        <v/>
      </c>
      <c r="H206" s="27" t="str">
        <f aca="false">IF(B206="","",IFERROR(INDEX(Jeux!$D$2:$D$3001,MATCH(B206,Jeux!$A$2:$A$3001,0))&amp;"",""))</f>
        <v/>
      </c>
      <c r="I206" s="26" t="str">
        <f aca="false">IF(A206="","",COUNTIF(Apparitions!$G$2:$G$5001,A206))</f>
        <v/>
      </c>
      <c r="J206" s="26" t="str">
        <f aca="false">IF(A206="","",COUNTIFS(Apparitions!$G$2:$G$5001,A206,Apparitions!$E$2:$E$5001,"○"))</f>
        <v/>
      </c>
      <c r="K206" s="29" t="str">
        <f aca="false">IF(A206="","",IFERROR(1/(1/_xlfn.MINIFS(Apparitions!$L$2:$L$5001,Apparitions!$G$2:$G$5001,A206)),""))</f>
        <v/>
      </c>
      <c r="L206" s="27" t="str">
        <f aca="false">IF(A206="","",A206&amp;" | "&amp;B206&amp;IF(C206="",""," ("&amp;C206&amp;")")&amp;IF(D206="",""," - "&amp;D206))</f>
        <v/>
      </c>
    </row>
    <row r="207" customFormat="false" ht="15" hidden="false" customHeight="false" outlineLevel="0" collapsed="false">
      <c r="A207" s="32"/>
      <c r="B207" s="19"/>
      <c r="C207" s="19"/>
      <c r="D207" s="19"/>
      <c r="E207" s="21"/>
      <c r="F207" s="19"/>
      <c r="G207" s="27" t="str">
        <f aca="false">IF(B207="","",IFERROR(INDEX(Jeux!$C$2:$C$3001,MATCH(B207,Jeux!$A$2:$A$3001,0))&amp;"","⚠ jeu inconnu"))</f>
        <v/>
      </c>
      <c r="H207" s="27" t="str">
        <f aca="false">IF(B207="","",IFERROR(INDEX(Jeux!$D$2:$D$3001,MATCH(B207,Jeux!$A$2:$A$3001,0))&amp;"",""))</f>
        <v/>
      </c>
      <c r="I207" s="26" t="str">
        <f aca="false">IF(A207="","",COUNTIF(Apparitions!$G$2:$G$5001,A207))</f>
        <v/>
      </c>
      <c r="J207" s="26" t="str">
        <f aca="false">IF(A207="","",COUNTIFS(Apparitions!$G$2:$G$5001,A207,Apparitions!$E$2:$E$5001,"○"))</f>
        <v/>
      </c>
      <c r="K207" s="29" t="str">
        <f aca="false">IF(A207="","",IFERROR(1/(1/_xlfn.MINIFS(Apparitions!$L$2:$L$5001,Apparitions!$G$2:$G$5001,A207)),""))</f>
        <v/>
      </c>
      <c r="L207" s="27" t="str">
        <f aca="false">IF(A207="","",A207&amp;" | "&amp;B207&amp;IF(C207="",""," ("&amp;C207&amp;")")&amp;IF(D207="",""," - "&amp;D207))</f>
        <v/>
      </c>
    </row>
    <row r="208" customFormat="false" ht="15" hidden="false" customHeight="false" outlineLevel="0" collapsed="false">
      <c r="A208" s="32"/>
      <c r="B208" s="19"/>
      <c r="C208" s="19"/>
      <c r="D208" s="19"/>
      <c r="E208" s="21"/>
      <c r="F208" s="19"/>
      <c r="G208" s="27" t="str">
        <f aca="false">IF(B208="","",IFERROR(INDEX(Jeux!$C$2:$C$3001,MATCH(B208,Jeux!$A$2:$A$3001,0))&amp;"","⚠ jeu inconnu"))</f>
        <v/>
      </c>
      <c r="H208" s="27" t="str">
        <f aca="false">IF(B208="","",IFERROR(INDEX(Jeux!$D$2:$D$3001,MATCH(B208,Jeux!$A$2:$A$3001,0))&amp;"",""))</f>
        <v/>
      </c>
      <c r="I208" s="26" t="str">
        <f aca="false">IF(A208="","",COUNTIF(Apparitions!$G$2:$G$5001,A208))</f>
        <v/>
      </c>
      <c r="J208" s="26" t="str">
        <f aca="false">IF(A208="","",COUNTIFS(Apparitions!$G$2:$G$5001,A208,Apparitions!$E$2:$E$5001,"○"))</f>
        <v/>
      </c>
      <c r="K208" s="29" t="str">
        <f aca="false">IF(A208="","",IFERROR(1/(1/_xlfn.MINIFS(Apparitions!$L$2:$L$5001,Apparitions!$G$2:$G$5001,A208)),""))</f>
        <v/>
      </c>
      <c r="L208" s="27" t="str">
        <f aca="false">IF(A208="","",A208&amp;" | "&amp;B208&amp;IF(C208="",""," ("&amp;C208&amp;")")&amp;IF(D208="",""," - "&amp;D208))</f>
        <v/>
      </c>
    </row>
    <row r="209" customFormat="false" ht="15" hidden="false" customHeight="false" outlineLevel="0" collapsed="false">
      <c r="A209" s="32"/>
      <c r="B209" s="19"/>
      <c r="C209" s="19"/>
      <c r="D209" s="19"/>
      <c r="E209" s="21"/>
      <c r="F209" s="19"/>
      <c r="G209" s="27" t="str">
        <f aca="false">IF(B209="","",IFERROR(INDEX(Jeux!$C$2:$C$3001,MATCH(B209,Jeux!$A$2:$A$3001,0))&amp;"","⚠ jeu inconnu"))</f>
        <v/>
      </c>
      <c r="H209" s="27" t="str">
        <f aca="false">IF(B209="","",IFERROR(INDEX(Jeux!$D$2:$D$3001,MATCH(B209,Jeux!$A$2:$A$3001,0))&amp;"",""))</f>
        <v/>
      </c>
      <c r="I209" s="26" t="str">
        <f aca="false">IF(A209="","",COUNTIF(Apparitions!$G$2:$G$5001,A209))</f>
        <v/>
      </c>
      <c r="J209" s="26" t="str">
        <f aca="false">IF(A209="","",COUNTIFS(Apparitions!$G$2:$G$5001,A209,Apparitions!$E$2:$E$5001,"○"))</f>
        <v/>
      </c>
      <c r="K209" s="29" t="str">
        <f aca="false">IF(A209="","",IFERROR(1/(1/_xlfn.MINIFS(Apparitions!$L$2:$L$5001,Apparitions!$G$2:$G$5001,A209)),""))</f>
        <v/>
      </c>
      <c r="L209" s="27" t="str">
        <f aca="false">IF(A209="","",A209&amp;" | "&amp;B209&amp;IF(C209="",""," ("&amp;C209&amp;")")&amp;IF(D209="",""," - "&amp;D209))</f>
        <v/>
      </c>
    </row>
    <row r="210" customFormat="false" ht="15" hidden="false" customHeight="false" outlineLevel="0" collapsed="false">
      <c r="A210" s="32"/>
      <c r="B210" s="19"/>
      <c r="C210" s="19"/>
      <c r="D210" s="19"/>
      <c r="E210" s="21"/>
      <c r="F210" s="19"/>
      <c r="G210" s="27" t="str">
        <f aca="false">IF(B210="","",IFERROR(INDEX(Jeux!$C$2:$C$3001,MATCH(B210,Jeux!$A$2:$A$3001,0))&amp;"","⚠ jeu inconnu"))</f>
        <v/>
      </c>
      <c r="H210" s="27" t="str">
        <f aca="false">IF(B210="","",IFERROR(INDEX(Jeux!$D$2:$D$3001,MATCH(B210,Jeux!$A$2:$A$3001,0))&amp;"",""))</f>
        <v/>
      </c>
      <c r="I210" s="26" t="str">
        <f aca="false">IF(A210="","",COUNTIF(Apparitions!$G$2:$G$5001,A210))</f>
        <v/>
      </c>
      <c r="J210" s="26" t="str">
        <f aca="false">IF(A210="","",COUNTIFS(Apparitions!$G$2:$G$5001,A210,Apparitions!$E$2:$E$5001,"○"))</f>
        <v/>
      </c>
      <c r="K210" s="29" t="str">
        <f aca="false">IF(A210="","",IFERROR(1/(1/_xlfn.MINIFS(Apparitions!$L$2:$L$5001,Apparitions!$G$2:$G$5001,A210)),""))</f>
        <v/>
      </c>
      <c r="L210" s="27" t="str">
        <f aca="false">IF(A210="","",A210&amp;" | "&amp;B210&amp;IF(C210="",""," ("&amp;C210&amp;")")&amp;IF(D210="",""," - "&amp;D210))</f>
        <v/>
      </c>
    </row>
    <row r="211" customFormat="false" ht="15" hidden="false" customHeight="false" outlineLevel="0" collapsed="false">
      <c r="A211" s="32"/>
      <c r="B211" s="19"/>
      <c r="C211" s="19"/>
      <c r="D211" s="19"/>
      <c r="E211" s="21"/>
      <c r="F211" s="19"/>
      <c r="G211" s="27" t="str">
        <f aca="false">IF(B211="","",IFERROR(INDEX(Jeux!$C$2:$C$3001,MATCH(B211,Jeux!$A$2:$A$3001,0))&amp;"","⚠ jeu inconnu"))</f>
        <v/>
      </c>
      <c r="H211" s="27" t="str">
        <f aca="false">IF(B211="","",IFERROR(INDEX(Jeux!$D$2:$D$3001,MATCH(B211,Jeux!$A$2:$A$3001,0))&amp;"",""))</f>
        <v/>
      </c>
      <c r="I211" s="26" t="str">
        <f aca="false">IF(A211="","",COUNTIF(Apparitions!$G$2:$G$5001,A211))</f>
        <v/>
      </c>
      <c r="J211" s="26" t="str">
        <f aca="false">IF(A211="","",COUNTIFS(Apparitions!$G$2:$G$5001,A211,Apparitions!$E$2:$E$5001,"○"))</f>
        <v/>
      </c>
      <c r="K211" s="29" t="str">
        <f aca="false">IF(A211="","",IFERROR(1/(1/_xlfn.MINIFS(Apparitions!$L$2:$L$5001,Apparitions!$G$2:$G$5001,A211)),""))</f>
        <v/>
      </c>
      <c r="L211" s="27" t="str">
        <f aca="false">IF(A211="","",A211&amp;" | "&amp;B211&amp;IF(C211="",""," ("&amp;C211&amp;")")&amp;IF(D211="",""," - "&amp;D211))</f>
        <v/>
      </c>
    </row>
    <row r="212" customFormat="false" ht="15" hidden="false" customHeight="false" outlineLevel="0" collapsed="false">
      <c r="A212" s="32"/>
      <c r="B212" s="19"/>
      <c r="C212" s="19"/>
      <c r="D212" s="19"/>
      <c r="E212" s="21"/>
      <c r="F212" s="19"/>
      <c r="G212" s="27" t="str">
        <f aca="false">IF(B212="","",IFERROR(INDEX(Jeux!$C$2:$C$3001,MATCH(B212,Jeux!$A$2:$A$3001,0))&amp;"","⚠ jeu inconnu"))</f>
        <v/>
      </c>
      <c r="H212" s="27" t="str">
        <f aca="false">IF(B212="","",IFERROR(INDEX(Jeux!$D$2:$D$3001,MATCH(B212,Jeux!$A$2:$A$3001,0))&amp;"",""))</f>
        <v/>
      </c>
      <c r="I212" s="26" t="str">
        <f aca="false">IF(A212="","",COUNTIF(Apparitions!$G$2:$G$5001,A212))</f>
        <v/>
      </c>
      <c r="J212" s="26" t="str">
        <f aca="false">IF(A212="","",COUNTIFS(Apparitions!$G$2:$G$5001,A212,Apparitions!$E$2:$E$5001,"○"))</f>
        <v/>
      </c>
      <c r="K212" s="29" t="str">
        <f aca="false">IF(A212="","",IFERROR(1/(1/_xlfn.MINIFS(Apparitions!$L$2:$L$5001,Apparitions!$G$2:$G$5001,A212)),""))</f>
        <v/>
      </c>
      <c r="L212" s="27" t="str">
        <f aca="false">IF(A212="","",A212&amp;" | "&amp;B212&amp;IF(C212="",""," ("&amp;C212&amp;")")&amp;IF(D212="",""," - "&amp;D212))</f>
        <v/>
      </c>
    </row>
    <row r="213" customFormat="false" ht="15" hidden="false" customHeight="false" outlineLevel="0" collapsed="false">
      <c r="A213" s="32"/>
      <c r="B213" s="19"/>
      <c r="C213" s="19"/>
      <c r="D213" s="19"/>
      <c r="E213" s="21"/>
      <c r="F213" s="19"/>
      <c r="G213" s="27" t="str">
        <f aca="false">IF(B213="","",IFERROR(INDEX(Jeux!$C$2:$C$3001,MATCH(B213,Jeux!$A$2:$A$3001,0))&amp;"","⚠ jeu inconnu"))</f>
        <v/>
      </c>
      <c r="H213" s="27" t="str">
        <f aca="false">IF(B213="","",IFERROR(INDEX(Jeux!$D$2:$D$3001,MATCH(B213,Jeux!$A$2:$A$3001,0))&amp;"",""))</f>
        <v/>
      </c>
      <c r="I213" s="26" t="str">
        <f aca="false">IF(A213="","",COUNTIF(Apparitions!$G$2:$G$5001,A213))</f>
        <v/>
      </c>
      <c r="J213" s="26" t="str">
        <f aca="false">IF(A213="","",COUNTIFS(Apparitions!$G$2:$G$5001,A213,Apparitions!$E$2:$E$5001,"○"))</f>
        <v/>
      </c>
      <c r="K213" s="29" t="str">
        <f aca="false">IF(A213="","",IFERROR(1/(1/_xlfn.MINIFS(Apparitions!$L$2:$L$5001,Apparitions!$G$2:$G$5001,A213)),""))</f>
        <v/>
      </c>
      <c r="L213" s="27" t="str">
        <f aca="false">IF(A213="","",A213&amp;" | "&amp;B213&amp;IF(C213="",""," ("&amp;C213&amp;")")&amp;IF(D213="",""," - "&amp;D213))</f>
        <v/>
      </c>
    </row>
    <row r="214" customFormat="false" ht="15" hidden="false" customHeight="false" outlineLevel="0" collapsed="false">
      <c r="A214" s="32"/>
      <c r="B214" s="19"/>
      <c r="C214" s="19"/>
      <c r="D214" s="19"/>
      <c r="E214" s="21"/>
      <c r="F214" s="19"/>
      <c r="G214" s="27" t="str">
        <f aca="false">IF(B214="","",IFERROR(INDEX(Jeux!$C$2:$C$3001,MATCH(B214,Jeux!$A$2:$A$3001,0))&amp;"","⚠ jeu inconnu"))</f>
        <v/>
      </c>
      <c r="H214" s="27" t="str">
        <f aca="false">IF(B214="","",IFERROR(INDEX(Jeux!$D$2:$D$3001,MATCH(B214,Jeux!$A$2:$A$3001,0))&amp;"",""))</f>
        <v/>
      </c>
      <c r="I214" s="26" t="str">
        <f aca="false">IF(A214="","",COUNTIF(Apparitions!$G$2:$G$5001,A214))</f>
        <v/>
      </c>
      <c r="J214" s="26" t="str">
        <f aca="false">IF(A214="","",COUNTIFS(Apparitions!$G$2:$G$5001,A214,Apparitions!$E$2:$E$5001,"○"))</f>
        <v/>
      </c>
      <c r="K214" s="29" t="str">
        <f aca="false">IF(A214="","",IFERROR(1/(1/_xlfn.MINIFS(Apparitions!$L$2:$L$5001,Apparitions!$G$2:$G$5001,A214)),""))</f>
        <v/>
      </c>
      <c r="L214" s="27" t="str">
        <f aca="false">IF(A214="","",A214&amp;" | "&amp;B214&amp;IF(C214="",""," ("&amp;C214&amp;")")&amp;IF(D214="",""," - "&amp;D214))</f>
        <v/>
      </c>
    </row>
    <row r="215" customFormat="false" ht="15" hidden="false" customHeight="false" outlineLevel="0" collapsed="false">
      <c r="A215" s="32"/>
      <c r="B215" s="19"/>
      <c r="C215" s="19"/>
      <c r="D215" s="19"/>
      <c r="E215" s="21"/>
      <c r="F215" s="19"/>
      <c r="G215" s="27" t="str">
        <f aca="false">IF(B215="","",IFERROR(INDEX(Jeux!$C$2:$C$3001,MATCH(B215,Jeux!$A$2:$A$3001,0))&amp;"","⚠ jeu inconnu"))</f>
        <v/>
      </c>
      <c r="H215" s="27" t="str">
        <f aca="false">IF(B215="","",IFERROR(INDEX(Jeux!$D$2:$D$3001,MATCH(B215,Jeux!$A$2:$A$3001,0))&amp;"",""))</f>
        <v/>
      </c>
      <c r="I215" s="26" t="str">
        <f aca="false">IF(A215="","",COUNTIF(Apparitions!$G$2:$G$5001,A215))</f>
        <v/>
      </c>
      <c r="J215" s="26" t="str">
        <f aca="false">IF(A215="","",COUNTIFS(Apparitions!$G$2:$G$5001,A215,Apparitions!$E$2:$E$5001,"○"))</f>
        <v/>
      </c>
      <c r="K215" s="29" t="str">
        <f aca="false">IF(A215="","",IFERROR(1/(1/_xlfn.MINIFS(Apparitions!$L$2:$L$5001,Apparitions!$G$2:$G$5001,A215)),""))</f>
        <v/>
      </c>
      <c r="L215" s="27" t="str">
        <f aca="false">IF(A215="","",A215&amp;" | "&amp;B215&amp;IF(C215="",""," ("&amp;C215&amp;")")&amp;IF(D215="",""," - "&amp;D215))</f>
        <v/>
      </c>
    </row>
    <row r="216" customFormat="false" ht="15" hidden="false" customHeight="false" outlineLevel="0" collapsed="false">
      <c r="A216" s="32"/>
      <c r="B216" s="19"/>
      <c r="C216" s="19"/>
      <c r="D216" s="19"/>
      <c r="E216" s="21"/>
      <c r="F216" s="19"/>
      <c r="G216" s="27" t="str">
        <f aca="false">IF(B216="","",IFERROR(INDEX(Jeux!$C$2:$C$3001,MATCH(B216,Jeux!$A$2:$A$3001,0))&amp;"","⚠ jeu inconnu"))</f>
        <v/>
      </c>
      <c r="H216" s="27" t="str">
        <f aca="false">IF(B216="","",IFERROR(INDEX(Jeux!$D$2:$D$3001,MATCH(B216,Jeux!$A$2:$A$3001,0))&amp;"",""))</f>
        <v/>
      </c>
      <c r="I216" s="26" t="str">
        <f aca="false">IF(A216="","",COUNTIF(Apparitions!$G$2:$G$5001,A216))</f>
        <v/>
      </c>
      <c r="J216" s="26" t="str">
        <f aca="false">IF(A216="","",COUNTIFS(Apparitions!$G$2:$G$5001,A216,Apparitions!$E$2:$E$5001,"○"))</f>
        <v/>
      </c>
      <c r="K216" s="29" t="str">
        <f aca="false">IF(A216="","",IFERROR(1/(1/_xlfn.MINIFS(Apparitions!$L$2:$L$5001,Apparitions!$G$2:$G$5001,A216)),""))</f>
        <v/>
      </c>
      <c r="L216" s="27" t="str">
        <f aca="false">IF(A216="","",A216&amp;" | "&amp;B216&amp;IF(C216="",""," ("&amp;C216&amp;")")&amp;IF(D216="",""," - "&amp;D216))</f>
        <v/>
      </c>
    </row>
    <row r="217" customFormat="false" ht="15" hidden="false" customHeight="false" outlineLevel="0" collapsed="false">
      <c r="A217" s="32"/>
      <c r="B217" s="19"/>
      <c r="C217" s="19"/>
      <c r="D217" s="19"/>
      <c r="E217" s="21"/>
      <c r="F217" s="19"/>
      <c r="G217" s="27" t="str">
        <f aca="false">IF(B217="","",IFERROR(INDEX(Jeux!$C$2:$C$3001,MATCH(B217,Jeux!$A$2:$A$3001,0))&amp;"","⚠ jeu inconnu"))</f>
        <v/>
      </c>
      <c r="H217" s="27" t="str">
        <f aca="false">IF(B217="","",IFERROR(INDEX(Jeux!$D$2:$D$3001,MATCH(B217,Jeux!$A$2:$A$3001,0))&amp;"",""))</f>
        <v/>
      </c>
      <c r="I217" s="26" t="str">
        <f aca="false">IF(A217="","",COUNTIF(Apparitions!$G$2:$G$5001,A217))</f>
        <v/>
      </c>
      <c r="J217" s="26" t="str">
        <f aca="false">IF(A217="","",COUNTIFS(Apparitions!$G$2:$G$5001,A217,Apparitions!$E$2:$E$5001,"○"))</f>
        <v/>
      </c>
      <c r="K217" s="29" t="str">
        <f aca="false">IF(A217="","",IFERROR(1/(1/_xlfn.MINIFS(Apparitions!$L$2:$L$5001,Apparitions!$G$2:$G$5001,A217)),""))</f>
        <v/>
      </c>
      <c r="L217" s="27" t="str">
        <f aca="false">IF(A217="","",A217&amp;" | "&amp;B217&amp;IF(C217="",""," ("&amp;C217&amp;")")&amp;IF(D217="",""," - "&amp;D217))</f>
        <v/>
      </c>
    </row>
    <row r="218" customFormat="false" ht="15" hidden="false" customHeight="false" outlineLevel="0" collapsed="false">
      <c r="A218" s="32"/>
      <c r="B218" s="19"/>
      <c r="C218" s="19"/>
      <c r="D218" s="19"/>
      <c r="E218" s="21"/>
      <c r="F218" s="19"/>
      <c r="G218" s="27" t="str">
        <f aca="false">IF(B218="","",IFERROR(INDEX(Jeux!$C$2:$C$3001,MATCH(B218,Jeux!$A$2:$A$3001,0))&amp;"","⚠ jeu inconnu"))</f>
        <v/>
      </c>
      <c r="H218" s="27" t="str">
        <f aca="false">IF(B218="","",IFERROR(INDEX(Jeux!$D$2:$D$3001,MATCH(B218,Jeux!$A$2:$A$3001,0))&amp;"",""))</f>
        <v/>
      </c>
      <c r="I218" s="26" t="str">
        <f aca="false">IF(A218="","",COUNTIF(Apparitions!$G$2:$G$5001,A218))</f>
        <v/>
      </c>
      <c r="J218" s="26" t="str">
        <f aca="false">IF(A218="","",COUNTIFS(Apparitions!$G$2:$G$5001,A218,Apparitions!$E$2:$E$5001,"○"))</f>
        <v/>
      </c>
      <c r="K218" s="29" t="str">
        <f aca="false">IF(A218="","",IFERROR(1/(1/_xlfn.MINIFS(Apparitions!$L$2:$L$5001,Apparitions!$G$2:$G$5001,A218)),""))</f>
        <v/>
      </c>
      <c r="L218" s="27" t="str">
        <f aca="false">IF(A218="","",A218&amp;" | "&amp;B218&amp;IF(C218="",""," ("&amp;C218&amp;")")&amp;IF(D218="",""," - "&amp;D218))</f>
        <v/>
      </c>
    </row>
    <row r="219" customFormat="false" ht="15" hidden="false" customHeight="false" outlineLevel="0" collapsed="false">
      <c r="A219" s="32"/>
      <c r="B219" s="19"/>
      <c r="C219" s="19"/>
      <c r="D219" s="19"/>
      <c r="E219" s="21"/>
      <c r="F219" s="19"/>
      <c r="G219" s="27" t="str">
        <f aca="false">IF(B219="","",IFERROR(INDEX(Jeux!$C$2:$C$3001,MATCH(B219,Jeux!$A$2:$A$3001,0))&amp;"","⚠ jeu inconnu"))</f>
        <v/>
      </c>
      <c r="H219" s="27" t="str">
        <f aca="false">IF(B219="","",IFERROR(INDEX(Jeux!$D$2:$D$3001,MATCH(B219,Jeux!$A$2:$A$3001,0))&amp;"",""))</f>
        <v/>
      </c>
      <c r="I219" s="26" t="str">
        <f aca="false">IF(A219="","",COUNTIF(Apparitions!$G$2:$G$5001,A219))</f>
        <v/>
      </c>
      <c r="J219" s="26" t="str">
        <f aca="false">IF(A219="","",COUNTIFS(Apparitions!$G$2:$G$5001,A219,Apparitions!$E$2:$E$5001,"○"))</f>
        <v/>
      </c>
      <c r="K219" s="29" t="str">
        <f aca="false">IF(A219="","",IFERROR(1/(1/_xlfn.MINIFS(Apparitions!$L$2:$L$5001,Apparitions!$G$2:$G$5001,A219)),""))</f>
        <v/>
      </c>
      <c r="L219" s="27" t="str">
        <f aca="false">IF(A219="","",A219&amp;" | "&amp;B219&amp;IF(C219="",""," ("&amp;C219&amp;")")&amp;IF(D219="",""," - "&amp;D219))</f>
        <v/>
      </c>
    </row>
    <row r="220" customFormat="false" ht="15" hidden="false" customHeight="false" outlineLevel="0" collapsed="false">
      <c r="A220" s="32"/>
      <c r="B220" s="19"/>
      <c r="C220" s="19"/>
      <c r="D220" s="19"/>
      <c r="E220" s="21"/>
      <c r="F220" s="19"/>
      <c r="G220" s="27" t="str">
        <f aca="false">IF(B220="","",IFERROR(INDEX(Jeux!$C$2:$C$3001,MATCH(B220,Jeux!$A$2:$A$3001,0))&amp;"","⚠ jeu inconnu"))</f>
        <v/>
      </c>
      <c r="H220" s="27" t="str">
        <f aca="false">IF(B220="","",IFERROR(INDEX(Jeux!$D$2:$D$3001,MATCH(B220,Jeux!$A$2:$A$3001,0))&amp;"",""))</f>
        <v/>
      </c>
      <c r="I220" s="26" t="str">
        <f aca="false">IF(A220="","",COUNTIF(Apparitions!$G$2:$G$5001,A220))</f>
        <v/>
      </c>
      <c r="J220" s="26" t="str">
        <f aca="false">IF(A220="","",COUNTIFS(Apparitions!$G$2:$G$5001,A220,Apparitions!$E$2:$E$5001,"○"))</f>
        <v/>
      </c>
      <c r="K220" s="29" t="str">
        <f aca="false">IF(A220="","",IFERROR(1/(1/_xlfn.MINIFS(Apparitions!$L$2:$L$5001,Apparitions!$G$2:$G$5001,A220)),""))</f>
        <v/>
      </c>
      <c r="L220" s="27" t="str">
        <f aca="false">IF(A220="","",A220&amp;" | "&amp;B220&amp;IF(C220="",""," ("&amp;C220&amp;")")&amp;IF(D220="",""," - "&amp;D220))</f>
        <v/>
      </c>
    </row>
    <row r="221" customFormat="false" ht="15" hidden="false" customHeight="false" outlineLevel="0" collapsed="false">
      <c r="A221" s="32"/>
      <c r="B221" s="19"/>
      <c r="C221" s="19"/>
      <c r="D221" s="19"/>
      <c r="E221" s="21"/>
      <c r="F221" s="19"/>
      <c r="G221" s="27" t="str">
        <f aca="false">IF(B221="","",IFERROR(INDEX(Jeux!$C$2:$C$3001,MATCH(B221,Jeux!$A$2:$A$3001,0))&amp;"","⚠ jeu inconnu"))</f>
        <v/>
      </c>
      <c r="H221" s="27" t="str">
        <f aca="false">IF(B221="","",IFERROR(INDEX(Jeux!$D$2:$D$3001,MATCH(B221,Jeux!$A$2:$A$3001,0))&amp;"",""))</f>
        <v/>
      </c>
      <c r="I221" s="26" t="str">
        <f aca="false">IF(A221="","",COUNTIF(Apparitions!$G$2:$G$5001,A221))</f>
        <v/>
      </c>
      <c r="J221" s="26" t="str">
        <f aca="false">IF(A221="","",COUNTIFS(Apparitions!$G$2:$G$5001,A221,Apparitions!$E$2:$E$5001,"○"))</f>
        <v/>
      </c>
      <c r="K221" s="29" t="str">
        <f aca="false">IF(A221="","",IFERROR(1/(1/_xlfn.MINIFS(Apparitions!$L$2:$L$5001,Apparitions!$G$2:$G$5001,A221)),""))</f>
        <v/>
      </c>
      <c r="L221" s="27" t="str">
        <f aca="false">IF(A221="","",A221&amp;" | "&amp;B221&amp;IF(C221="",""," ("&amp;C221&amp;")")&amp;IF(D221="",""," - "&amp;D221))</f>
        <v/>
      </c>
    </row>
    <row r="222" customFormat="false" ht="15" hidden="false" customHeight="false" outlineLevel="0" collapsed="false">
      <c r="A222" s="32"/>
      <c r="B222" s="19"/>
      <c r="C222" s="19"/>
      <c r="D222" s="19"/>
      <c r="E222" s="21"/>
      <c r="F222" s="19"/>
      <c r="G222" s="27" t="str">
        <f aca="false">IF(B222="","",IFERROR(INDEX(Jeux!$C$2:$C$3001,MATCH(B222,Jeux!$A$2:$A$3001,0))&amp;"","⚠ jeu inconnu"))</f>
        <v/>
      </c>
      <c r="H222" s="27" t="str">
        <f aca="false">IF(B222="","",IFERROR(INDEX(Jeux!$D$2:$D$3001,MATCH(B222,Jeux!$A$2:$A$3001,0))&amp;"",""))</f>
        <v/>
      </c>
      <c r="I222" s="26" t="str">
        <f aca="false">IF(A222="","",COUNTIF(Apparitions!$G$2:$G$5001,A222))</f>
        <v/>
      </c>
      <c r="J222" s="26" t="str">
        <f aca="false">IF(A222="","",COUNTIFS(Apparitions!$G$2:$G$5001,A222,Apparitions!$E$2:$E$5001,"○"))</f>
        <v/>
      </c>
      <c r="K222" s="29" t="str">
        <f aca="false">IF(A222="","",IFERROR(1/(1/_xlfn.MINIFS(Apparitions!$L$2:$L$5001,Apparitions!$G$2:$G$5001,A222)),""))</f>
        <v/>
      </c>
      <c r="L222" s="27" t="str">
        <f aca="false">IF(A222="","",A222&amp;" | "&amp;B222&amp;IF(C222="",""," ("&amp;C222&amp;")")&amp;IF(D222="",""," - "&amp;D222))</f>
        <v/>
      </c>
    </row>
    <row r="223" customFormat="false" ht="15" hidden="false" customHeight="false" outlineLevel="0" collapsed="false">
      <c r="A223" s="32"/>
      <c r="B223" s="19"/>
      <c r="C223" s="19"/>
      <c r="D223" s="19"/>
      <c r="E223" s="21"/>
      <c r="F223" s="19"/>
      <c r="G223" s="27" t="str">
        <f aca="false">IF(B223="","",IFERROR(INDEX(Jeux!$C$2:$C$3001,MATCH(B223,Jeux!$A$2:$A$3001,0))&amp;"","⚠ jeu inconnu"))</f>
        <v/>
      </c>
      <c r="H223" s="27" t="str">
        <f aca="false">IF(B223="","",IFERROR(INDEX(Jeux!$D$2:$D$3001,MATCH(B223,Jeux!$A$2:$A$3001,0))&amp;"",""))</f>
        <v/>
      </c>
      <c r="I223" s="26" t="str">
        <f aca="false">IF(A223="","",COUNTIF(Apparitions!$G$2:$G$5001,A223))</f>
        <v/>
      </c>
      <c r="J223" s="26" t="str">
        <f aca="false">IF(A223="","",COUNTIFS(Apparitions!$G$2:$G$5001,A223,Apparitions!$E$2:$E$5001,"○"))</f>
        <v/>
      </c>
      <c r="K223" s="29" t="str">
        <f aca="false">IF(A223="","",IFERROR(1/(1/_xlfn.MINIFS(Apparitions!$L$2:$L$5001,Apparitions!$G$2:$G$5001,A223)),""))</f>
        <v/>
      </c>
      <c r="L223" s="27" t="str">
        <f aca="false">IF(A223="","",A223&amp;" | "&amp;B223&amp;IF(C223="",""," ("&amp;C223&amp;")")&amp;IF(D223="",""," - "&amp;D223))</f>
        <v/>
      </c>
    </row>
    <row r="224" customFormat="false" ht="15" hidden="false" customHeight="false" outlineLevel="0" collapsed="false">
      <c r="A224" s="32"/>
      <c r="B224" s="19"/>
      <c r="C224" s="19"/>
      <c r="D224" s="19"/>
      <c r="E224" s="21"/>
      <c r="F224" s="19"/>
      <c r="G224" s="27" t="str">
        <f aca="false">IF(B224="","",IFERROR(INDEX(Jeux!$C$2:$C$3001,MATCH(B224,Jeux!$A$2:$A$3001,0))&amp;"","⚠ jeu inconnu"))</f>
        <v/>
      </c>
      <c r="H224" s="27" t="str">
        <f aca="false">IF(B224="","",IFERROR(INDEX(Jeux!$D$2:$D$3001,MATCH(B224,Jeux!$A$2:$A$3001,0))&amp;"",""))</f>
        <v/>
      </c>
      <c r="I224" s="26" t="str">
        <f aca="false">IF(A224="","",COUNTIF(Apparitions!$G$2:$G$5001,A224))</f>
        <v/>
      </c>
      <c r="J224" s="26" t="str">
        <f aca="false">IF(A224="","",COUNTIFS(Apparitions!$G$2:$G$5001,A224,Apparitions!$E$2:$E$5001,"○"))</f>
        <v/>
      </c>
      <c r="K224" s="29" t="str">
        <f aca="false">IF(A224="","",IFERROR(1/(1/_xlfn.MINIFS(Apparitions!$L$2:$L$5001,Apparitions!$G$2:$G$5001,A224)),""))</f>
        <v/>
      </c>
      <c r="L224" s="27" t="str">
        <f aca="false">IF(A224="","",A224&amp;" | "&amp;B224&amp;IF(C224="",""," ("&amp;C224&amp;")")&amp;IF(D224="",""," - "&amp;D224))</f>
        <v/>
      </c>
    </row>
    <row r="225" customFormat="false" ht="15" hidden="false" customHeight="false" outlineLevel="0" collapsed="false">
      <c r="A225" s="32"/>
      <c r="B225" s="19"/>
      <c r="C225" s="19"/>
      <c r="D225" s="19"/>
      <c r="E225" s="21"/>
      <c r="F225" s="19"/>
      <c r="G225" s="27" t="str">
        <f aca="false">IF(B225="","",IFERROR(INDEX(Jeux!$C$2:$C$3001,MATCH(B225,Jeux!$A$2:$A$3001,0))&amp;"","⚠ jeu inconnu"))</f>
        <v/>
      </c>
      <c r="H225" s="27" t="str">
        <f aca="false">IF(B225="","",IFERROR(INDEX(Jeux!$D$2:$D$3001,MATCH(B225,Jeux!$A$2:$A$3001,0))&amp;"",""))</f>
        <v/>
      </c>
      <c r="I225" s="26" t="str">
        <f aca="false">IF(A225="","",COUNTIF(Apparitions!$G$2:$G$5001,A225))</f>
        <v/>
      </c>
      <c r="J225" s="26" t="str">
        <f aca="false">IF(A225="","",COUNTIFS(Apparitions!$G$2:$G$5001,A225,Apparitions!$E$2:$E$5001,"○"))</f>
        <v/>
      </c>
      <c r="K225" s="29" t="str">
        <f aca="false">IF(A225="","",IFERROR(1/(1/_xlfn.MINIFS(Apparitions!$L$2:$L$5001,Apparitions!$G$2:$G$5001,A225)),""))</f>
        <v/>
      </c>
      <c r="L225" s="27" t="str">
        <f aca="false">IF(A225="","",A225&amp;" | "&amp;B225&amp;IF(C225="",""," ("&amp;C225&amp;")")&amp;IF(D225="",""," - "&amp;D225))</f>
        <v/>
      </c>
    </row>
    <row r="226" customFormat="false" ht="15" hidden="false" customHeight="false" outlineLevel="0" collapsed="false">
      <c r="A226" s="32"/>
      <c r="B226" s="19"/>
      <c r="C226" s="19"/>
      <c r="D226" s="19"/>
      <c r="E226" s="21"/>
      <c r="F226" s="19"/>
      <c r="G226" s="27" t="str">
        <f aca="false">IF(B226="","",IFERROR(INDEX(Jeux!$C$2:$C$3001,MATCH(B226,Jeux!$A$2:$A$3001,0))&amp;"","⚠ jeu inconnu"))</f>
        <v/>
      </c>
      <c r="H226" s="27" t="str">
        <f aca="false">IF(B226="","",IFERROR(INDEX(Jeux!$D$2:$D$3001,MATCH(B226,Jeux!$A$2:$A$3001,0))&amp;"",""))</f>
        <v/>
      </c>
      <c r="I226" s="26" t="str">
        <f aca="false">IF(A226="","",COUNTIF(Apparitions!$G$2:$G$5001,A226))</f>
        <v/>
      </c>
      <c r="J226" s="26" t="str">
        <f aca="false">IF(A226="","",COUNTIFS(Apparitions!$G$2:$G$5001,A226,Apparitions!$E$2:$E$5001,"○"))</f>
        <v/>
      </c>
      <c r="K226" s="29" t="str">
        <f aca="false">IF(A226="","",IFERROR(1/(1/_xlfn.MINIFS(Apparitions!$L$2:$L$5001,Apparitions!$G$2:$G$5001,A226)),""))</f>
        <v/>
      </c>
      <c r="L226" s="27" t="str">
        <f aca="false">IF(A226="","",A226&amp;" | "&amp;B226&amp;IF(C226="",""," ("&amp;C226&amp;")")&amp;IF(D226="",""," - "&amp;D226))</f>
        <v/>
      </c>
    </row>
    <row r="227" customFormat="false" ht="15" hidden="false" customHeight="false" outlineLevel="0" collapsed="false">
      <c r="A227" s="32"/>
      <c r="B227" s="19"/>
      <c r="C227" s="19"/>
      <c r="D227" s="19"/>
      <c r="E227" s="21"/>
      <c r="F227" s="19"/>
      <c r="G227" s="27" t="str">
        <f aca="false">IF(B227="","",IFERROR(INDEX(Jeux!$C$2:$C$3001,MATCH(B227,Jeux!$A$2:$A$3001,0))&amp;"","⚠ jeu inconnu"))</f>
        <v/>
      </c>
      <c r="H227" s="27" t="str">
        <f aca="false">IF(B227="","",IFERROR(INDEX(Jeux!$D$2:$D$3001,MATCH(B227,Jeux!$A$2:$A$3001,0))&amp;"",""))</f>
        <v/>
      </c>
      <c r="I227" s="26" t="str">
        <f aca="false">IF(A227="","",COUNTIF(Apparitions!$G$2:$G$5001,A227))</f>
        <v/>
      </c>
      <c r="J227" s="26" t="str">
        <f aca="false">IF(A227="","",COUNTIFS(Apparitions!$G$2:$G$5001,A227,Apparitions!$E$2:$E$5001,"○"))</f>
        <v/>
      </c>
      <c r="K227" s="29" t="str">
        <f aca="false">IF(A227="","",IFERROR(1/(1/_xlfn.MINIFS(Apparitions!$L$2:$L$5001,Apparitions!$G$2:$G$5001,A227)),""))</f>
        <v/>
      </c>
      <c r="L227" s="27" t="str">
        <f aca="false">IF(A227="","",A227&amp;" | "&amp;B227&amp;IF(C227="",""," ("&amp;C227&amp;")")&amp;IF(D227="",""," - "&amp;D227))</f>
        <v/>
      </c>
    </row>
    <row r="228" customFormat="false" ht="15" hidden="false" customHeight="false" outlineLevel="0" collapsed="false">
      <c r="A228" s="32"/>
      <c r="B228" s="19"/>
      <c r="C228" s="19"/>
      <c r="D228" s="19"/>
      <c r="E228" s="21"/>
      <c r="F228" s="19"/>
      <c r="G228" s="27" t="str">
        <f aca="false">IF(B228="","",IFERROR(INDEX(Jeux!$C$2:$C$3001,MATCH(B228,Jeux!$A$2:$A$3001,0))&amp;"","⚠ jeu inconnu"))</f>
        <v/>
      </c>
      <c r="H228" s="27" t="str">
        <f aca="false">IF(B228="","",IFERROR(INDEX(Jeux!$D$2:$D$3001,MATCH(B228,Jeux!$A$2:$A$3001,0))&amp;"",""))</f>
        <v/>
      </c>
      <c r="I228" s="26" t="str">
        <f aca="false">IF(A228="","",COUNTIF(Apparitions!$G$2:$G$5001,A228))</f>
        <v/>
      </c>
      <c r="J228" s="26" t="str">
        <f aca="false">IF(A228="","",COUNTIFS(Apparitions!$G$2:$G$5001,A228,Apparitions!$E$2:$E$5001,"○"))</f>
        <v/>
      </c>
      <c r="K228" s="29" t="str">
        <f aca="false">IF(A228="","",IFERROR(1/(1/_xlfn.MINIFS(Apparitions!$L$2:$L$5001,Apparitions!$G$2:$G$5001,A228)),""))</f>
        <v/>
      </c>
      <c r="L228" s="27" t="str">
        <f aca="false">IF(A228="","",A228&amp;" | "&amp;B228&amp;IF(C228="",""," ("&amp;C228&amp;")")&amp;IF(D228="",""," - "&amp;D228))</f>
        <v/>
      </c>
    </row>
    <row r="229" customFormat="false" ht="15" hidden="false" customHeight="false" outlineLevel="0" collapsed="false">
      <c r="A229" s="32"/>
      <c r="B229" s="19"/>
      <c r="C229" s="19"/>
      <c r="D229" s="19"/>
      <c r="E229" s="21"/>
      <c r="F229" s="19"/>
      <c r="G229" s="27" t="str">
        <f aca="false">IF(B229="","",IFERROR(INDEX(Jeux!$C$2:$C$3001,MATCH(B229,Jeux!$A$2:$A$3001,0))&amp;"","⚠ jeu inconnu"))</f>
        <v/>
      </c>
      <c r="H229" s="27" t="str">
        <f aca="false">IF(B229="","",IFERROR(INDEX(Jeux!$D$2:$D$3001,MATCH(B229,Jeux!$A$2:$A$3001,0))&amp;"",""))</f>
        <v/>
      </c>
      <c r="I229" s="26" t="str">
        <f aca="false">IF(A229="","",COUNTIF(Apparitions!$G$2:$G$5001,A229))</f>
        <v/>
      </c>
      <c r="J229" s="26" t="str">
        <f aca="false">IF(A229="","",COUNTIFS(Apparitions!$G$2:$G$5001,A229,Apparitions!$E$2:$E$5001,"○"))</f>
        <v/>
      </c>
      <c r="K229" s="29" t="str">
        <f aca="false">IF(A229="","",IFERROR(1/(1/_xlfn.MINIFS(Apparitions!$L$2:$L$5001,Apparitions!$G$2:$G$5001,A229)),""))</f>
        <v/>
      </c>
      <c r="L229" s="27" t="str">
        <f aca="false">IF(A229="","",A229&amp;" | "&amp;B229&amp;IF(C229="",""," ("&amp;C229&amp;")")&amp;IF(D229="",""," - "&amp;D229))</f>
        <v/>
      </c>
    </row>
    <row r="230" customFormat="false" ht="15" hidden="false" customHeight="false" outlineLevel="0" collapsed="false">
      <c r="A230" s="32"/>
      <c r="B230" s="19"/>
      <c r="C230" s="19"/>
      <c r="D230" s="19"/>
      <c r="E230" s="21"/>
      <c r="F230" s="19"/>
      <c r="G230" s="27" t="str">
        <f aca="false">IF(B230="","",IFERROR(INDEX(Jeux!$C$2:$C$3001,MATCH(B230,Jeux!$A$2:$A$3001,0))&amp;"","⚠ jeu inconnu"))</f>
        <v/>
      </c>
      <c r="H230" s="27" t="str">
        <f aca="false">IF(B230="","",IFERROR(INDEX(Jeux!$D$2:$D$3001,MATCH(B230,Jeux!$A$2:$A$3001,0))&amp;"",""))</f>
        <v/>
      </c>
      <c r="I230" s="26" t="str">
        <f aca="false">IF(A230="","",COUNTIF(Apparitions!$G$2:$G$5001,A230))</f>
        <v/>
      </c>
      <c r="J230" s="26" t="str">
        <f aca="false">IF(A230="","",COUNTIFS(Apparitions!$G$2:$G$5001,A230,Apparitions!$E$2:$E$5001,"○"))</f>
        <v/>
      </c>
      <c r="K230" s="29" t="str">
        <f aca="false">IF(A230="","",IFERROR(1/(1/_xlfn.MINIFS(Apparitions!$L$2:$L$5001,Apparitions!$G$2:$G$5001,A230)),""))</f>
        <v/>
      </c>
      <c r="L230" s="27" t="str">
        <f aca="false">IF(A230="","",A230&amp;" | "&amp;B230&amp;IF(C230="",""," ("&amp;C230&amp;")")&amp;IF(D230="",""," - "&amp;D230))</f>
        <v/>
      </c>
    </row>
    <row r="231" customFormat="false" ht="15" hidden="false" customHeight="false" outlineLevel="0" collapsed="false">
      <c r="A231" s="32"/>
      <c r="B231" s="19"/>
      <c r="C231" s="19"/>
      <c r="D231" s="19"/>
      <c r="E231" s="21"/>
      <c r="F231" s="19"/>
      <c r="G231" s="27" t="str">
        <f aca="false">IF(B231="","",IFERROR(INDEX(Jeux!$C$2:$C$3001,MATCH(B231,Jeux!$A$2:$A$3001,0))&amp;"","⚠ jeu inconnu"))</f>
        <v/>
      </c>
      <c r="H231" s="27" t="str">
        <f aca="false">IF(B231="","",IFERROR(INDEX(Jeux!$D$2:$D$3001,MATCH(B231,Jeux!$A$2:$A$3001,0))&amp;"",""))</f>
        <v/>
      </c>
      <c r="I231" s="26" t="str">
        <f aca="false">IF(A231="","",COUNTIF(Apparitions!$G$2:$G$5001,A231))</f>
        <v/>
      </c>
      <c r="J231" s="26" t="str">
        <f aca="false">IF(A231="","",COUNTIFS(Apparitions!$G$2:$G$5001,A231,Apparitions!$E$2:$E$5001,"○"))</f>
        <v/>
      </c>
      <c r="K231" s="29" t="str">
        <f aca="false">IF(A231="","",IFERROR(1/(1/_xlfn.MINIFS(Apparitions!$L$2:$L$5001,Apparitions!$G$2:$G$5001,A231)),""))</f>
        <v/>
      </c>
      <c r="L231" s="27" t="str">
        <f aca="false">IF(A231="","",A231&amp;" | "&amp;B231&amp;IF(C231="",""," ("&amp;C231&amp;")")&amp;IF(D231="",""," - "&amp;D231))</f>
        <v/>
      </c>
    </row>
    <row r="232" customFormat="false" ht="15" hidden="false" customHeight="false" outlineLevel="0" collapsed="false">
      <c r="A232" s="32"/>
      <c r="B232" s="19"/>
      <c r="C232" s="19"/>
      <c r="D232" s="19"/>
      <c r="E232" s="21"/>
      <c r="F232" s="19"/>
      <c r="G232" s="27" t="str">
        <f aca="false">IF(B232="","",IFERROR(INDEX(Jeux!$C$2:$C$3001,MATCH(B232,Jeux!$A$2:$A$3001,0))&amp;"","⚠ jeu inconnu"))</f>
        <v/>
      </c>
      <c r="H232" s="27" t="str">
        <f aca="false">IF(B232="","",IFERROR(INDEX(Jeux!$D$2:$D$3001,MATCH(B232,Jeux!$A$2:$A$3001,0))&amp;"",""))</f>
        <v/>
      </c>
      <c r="I232" s="26" t="str">
        <f aca="false">IF(A232="","",COUNTIF(Apparitions!$G$2:$G$5001,A232))</f>
        <v/>
      </c>
      <c r="J232" s="26" t="str">
        <f aca="false">IF(A232="","",COUNTIFS(Apparitions!$G$2:$G$5001,A232,Apparitions!$E$2:$E$5001,"○"))</f>
        <v/>
      </c>
      <c r="K232" s="29" t="str">
        <f aca="false">IF(A232="","",IFERROR(1/(1/_xlfn.MINIFS(Apparitions!$L$2:$L$5001,Apparitions!$G$2:$G$5001,A232)),""))</f>
        <v/>
      </c>
      <c r="L232" s="27" t="str">
        <f aca="false">IF(A232="","",A232&amp;" | "&amp;B232&amp;IF(C232="",""," ("&amp;C232&amp;")")&amp;IF(D232="",""," - "&amp;D232))</f>
        <v/>
      </c>
    </row>
    <row r="233" customFormat="false" ht="15" hidden="false" customHeight="false" outlineLevel="0" collapsed="false">
      <c r="A233" s="32"/>
      <c r="B233" s="19"/>
      <c r="C233" s="19"/>
      <c r="D233" s="19"/>
      <c r="E233" s="21"/>
      <c r="F233" s="19"/>
      <c r="G233" s="27" t="str">
        <f aca="false">IF(B233="","",IFERROR(INDEX(Jeux!$C$2:$C$3001,MATCH(B233,Jeux!$A$2:$A$3001,0))&amp;"","⚠ jeu inconnu"))</f>
        <v/>
      </c>
      <c r="H233" s="27" t="str">
        <f aca="false">IF(B233="","",IFERROR(INDEX(Jeux!$D$2:$D$3001,MATCH(B233,Jeux!$A$2:$A$3001,0))&amp;"",""))</f>
        <v/>
      </c>
      <c r="I233" s="26" t="str">
        <f aca="false">IF(A233="","",COUNTIF(Apparitions!$G$2:$G$5001,A233))</f>
        <v/>
      </c>
      <c r="J233" s="26" t="str">
        <f aca="false">IF(A233="","",COUNTIFS(Apparitions!$G$2:$G$5001,A233,Apparitions!$E$2:$E$5001,"○"))</f>
        <v/>
      </c>
      <c r="K233" s="29" t="str">
        <f aca="false">IF(A233="","",IFERROR(1/(1/_xlfn.MINIFS(Apparitions!$L$2:$L$5001,Apparitions!$G$2:$G$5001,A233)),""))</f>
        <v/>
      </c>
      <c r="L233" s="27" t="str">
        <f aca="false">IF(A233="","",A233&amp;" | "&amp;B233&amp;IF(C233="",""," ("&amp;C233&amp;")")&amp;IF(D233="",""," - "&amp;D233))</f>
        <v/>
      </c>
    </row>
    <row r="234" customFormat="false" ht="15" hidden="false" customHeight="false" outlineLevel="0" collapsed="false">
      <c r="A234" s="32"/>
      <c r="B234" s="19"/>
      <c r="C234" s="19"/>
      <c r="D234" s="19"/>
      <c r="E234" s="21"/>
      <c r="F234" s="19"/>
      <c r="G234" s="27" t="str">
        <f aca="false">IF(B234="","",IFERROR(INDEX(Jeux!$C$2:$C$3001,MATCH(B234,Jeux!$A$2:$A$3001,0))&amp;"","⚠ jeu inconnu"))</f>
        <v/>
      </c>
      <c r="H234" s="27" t="str">
        <f aca="false">IF(B234="","",IFERROR(INDEX(Jeux!$D$2:$D$3001,MATCH(B234,Jeux!$A$2:$A$3001,0))&amp;"",""))</f>
        <v/>
      </c>
      <c r="I234" s="26" t="str">
        <f aca="false">IF(A234="","",COUNTIF(Apparitions!$G$2:$G$5001,A234))</f>
        <v/>
      </c>
      <c r="J234" s="26" t="str">
        <f aca="false">IF(A234="","",COUNTIFS(Apparitions!$G$2:$G$5001,A234,Apparitions!$E$2:$E$5001,"○"))</f>
        <v/>
      </c>
      <c r="K234" s="29" t="str">
        <f aca="false">IF(A234="","",IFERROR(1/(1/_xlfn.MINIFS(Apparitions!$L$2:$L$5001,Apparitions!$G$2:$G$5001,A234)),""))</f>
        <v/>
      </c>
      <c r="L234" s="27" t="str">
        <f aca="false">IF(A234="","",A234&amp;" | "&amp;B234&amp;IF(C234="",""," ("&amp;C234&amp;")")&amp;IF(D234="",""," - "&amp;D234))</f>
        <v/>
      </c>
    </row>
    <row r="235" customFormat="false" ht="15" hidden="false" customHeight="false" outlineLevel="0" collapsed="false">
      <c r="A235" s="32"/>
      <c r="B235" s="19"/>
      <c r="C235" s="19"/>
      <c r="D235" s="19"/>
      <c r="E235" s="21"/>
      <c r="F235" s="19"/>
      <c r="G235" s="27" t="str">
        <f aca="false">IF(B235="","",IFERROR(INDEX(Jeux!$C$2:$C$3001,MATCH(B235,Jeux!$A$2:$A$3001,0))&amp;"","⚠ jeu inconnu"))</f>
        <v/>
      </c>
      <c r="H235" s="27" t="str">
        <f aca="false">IF(B235="","",IFERROR(INDEX(Jeux!$D$2:$D$3001,MATCH(B235,Jeux!$A$2:$A$3001,0))&amp;"",""))</f>
        <v/>
      </c>
      <c r="I235" s="26" t="str">
        <f aca="false">IF(A235="","",COUNTIF(Apparitions!$G$2:$G$5001,A235))</f>
        <v/>
      </c>
      <c r="J235" s="26" t="str">
        <f aca="false">IF(A235="","",COUNTIFS(Apparitions!$G$2:$G$5001,A235,Apparitions!$E$2:$E$5001,"○"))</f>
        <v/>
      </c>
      <c r="K235" s="29" t="str">
        <f aca="false">IF(A235="","",IFERROR(1/(1/_xlfn.MINIFS(Apparitions!$L$2:$L$5001,Apparitions!$G$2:$G$5001,A235)),""))</f>
        <v/>
      </c>
      <c r="L235" s="27" t="str">
        <f aca="false">IF(A235="","",A235&amp;" | "&amp;B235&amp;IF(C235="",""," ("&amp;C235&amp;")")&amp;IF(D235="",""," - "&amp;D235))</f>
        <v/>
      </c>
    </row>
    <row r="236" customFormat="false" ht="15" hidden="false" customHeight="false" outlineLevel="0" collapsed="false">
      <c r="A236" s="32"/>
      <c r="B236" s="19"/>
      <c r="C236" s="19"/>
      <c r="D236" s="19"/>
      <c r="E236" s="21"/>
      <c r="F236" s="19"/>
      <c r="G236" s="27" t="str">
        <f aca="false">IF(B236="","",IFERROR(INDEX(Jeux!$C$2:$C$3001,MATCH(B236,Jeux!$A$2:$A$3001,0))&amp;"","⚠ jeu inconnu"))</f>
        <v/>
      </c>
      <c r="H236" s="27" t="str">
        <f aca="false">IF(B236="","",IFERROR(INDEX(Jeux!$D$2:$D$3001,MATCH(B236,Jeux!$A$2:$A$3001,0))&amp;"",""))</f>
        <v/>
      </c>
      <c r="I236" s="26" t="str">
        <f aca="false">IF(A236="","",COUNTIF(Apparitions!$G$2:$G$5001,A236))</f>
        <v/>
      </c>
      <c r="J236" s="26" t="str">
        <f aca="false">IF(A236="","",COUNTIFS(Apparitions!$G$2:$G$5001,A236,Apparitions!$E$2:$E$5001,"○"))</f>
        <v/>
      </c>
      <c r="K236" s="29" t="str">
        <f aca="false">IF(A236="","",IFERROR(1/(1/_xlfn.MINIFS(Apparitions!$L$2:$L$5001,Apparitions!$G$2:$G$5001,A236)),""))</f>
        <v/>
      </c>
      <c r="L236" s="27" t="str">
        <f aca="false">IF(A236="","",A236&amp;" | "&amp;B236&amp;IF(C236="",""," ("&amp;C236&amp;")")&amp;IF(D236="",""," - "&amp;D236))</f>
        <v/>
      </c>
    </row>
    <row r="237" customFormat="false" ht="15" hidden="false" customHeight="false" outlineLevel="0" collapsed="false">
      <c r="A237" s="32"/>
      <c r="B237" s="19"/>
      <c r="C237" s="19"/>
      <c r="D237" s="19"/>
      <c r="E237" s="21"/>
      <c r="F237" s="19"/>
      <c r="G237" s="27" t="str">
        <f aca="false">IF(B237="","",IFERROR(INDEX(Jeux!$C$2:$C$3001,MATCH(B237,Jeux!$A$2:$A$3001,0))&amp;"","⚠ jeu inconnu"))</f>
        <v/>
      </c>
      <c r="H237" s="27" t="str">
        <f aca="false">IF(B237="","",IFERROR(INDEX(Jeux!$D$2:$D$3001,MATCH(B237,Jeux!$A$2:$A$3001,0))&amp;"",""))</f>
        <v/>
      </c>
      <c r="I237" s="26" t="str">
        <f aca="false">IF(A237="","",COUNTIF(Apparitions!$G$2:$G$5001,A237))</f>
        <v/>
      </c>
      <c r="J237" s="26" t="str">
        <f aca="false">IF(A237="","",COUNTIFS(Apparitions!$G$2:$G$5001,A237,Apparitions!$E$2:$E$5001,"○"))</f>
        <v/>
      </c>
      <c r="K237" s="29" t="str">
        <f aca="false">IF(A237="","",IFERROR(1/(1/_xlfn.MINIFS(Apparitions!$L$2:$L$5001,Apparitions!$G$2:$G$5001,A237)),""))</f>
        <v/>
      </c>
      <c r="L237" s="27" t="str">
        <f aca="false">IF(A237="","",A237&amp;" | "&amp;B237&amp;IF(C237="",""," ("&amp;C237&amp;")")&amp;IF(D237="",""," - "&amp;D237))</f>
        <v/>
      </c>
    </row>
    <row r="238" customFormat="false" ht="15" hidden="false" customHeight="false" outlineLevel="0" collapsed="false">
      <c r="A238" s="32"/>
      <c r="B238" s="19"/>
      <c r="C238" s="19"/>
      <c r="D238" s="19"/>
      <c r="E238" s="21"/>
      <c r="F238" s="19"/>
      <c r="G238" s="27" t="str">
        <f aca="false">IF(B238="","",IFERROR(INDEX(Jeux!$C$2:$C$3001,MATCH(B238,Jeux!$A$2:$A$3001,0))&amp;"","⚠ jeu inconnu"))</f>
        <v/>
      </c>
      <c r="H238" s="27" t="str">
        <f aca="false">IF(B238="","",IFERROR(INDEX(Jeux!$D$2:$D$3001,MATCH(B238,Jeux!$A$2:$A$3001,0))&amp;"",""))</f>
        <v/>
      </c>
      <c r="I238" s="26" t="str">
        <f aca="false">IF(A238="","",COUNTIF(Apparitions!$G$2:$G$5001,A238))</f>
        <v/>
      </c>
      <c r="J238" s="26" t="str">
        <f aca="false">IF(A238="","",COUNTIFS(Apparitions!$G$2:$G$5001,A238,Apparitions!$E$2:$E$5001,"○"))</f>
        <v/>
      </c>
      <c r="K238" s="29" t="str">
        <f aca="false">IF(A238="","",IFERROR(1/(1/_xlfn.MINIFS(Apparitions!$L$2:$L$5001,Apparitions!$G$2:$G$5001,A238)),""))</f>
        <v/>
      </c>
      <c r="L238" s="27" t="str">
        <f aca="false">IF(A238="","",A238&amp;" | "&amp;B238&amp;IF(C238="",""," ("&amp;C238&amp;")")&amp;IF(D238="",""," - "&amp;D238))</f>
        <v/>
      </c>
    </row>
    <row r="239" customFormat="false" ht="15" hidden="false" customHeight="false" outlineLevel="0" collapsed="false">
      <c r="A239" s="32"/>
      <c r="B239" s="19"/>
      <c r="C239" s="19"/>
      <c r="D239" s="19"/>
      <c r="E239" s="21"/>
      <c r="F239" s="19"/>
      <c r="G239" s="27" t="str">
        <f aca="false">IF(B239="","",IFERROR(INDEX(Jeux!$C$2:$C$3001,MATCH(B239,Jeux!$A$2:$A$3001,0))&amp;"","⚠ jeu inconnu"))</f>
        <v/>
      </c>
      <c r="H239" s="27" t="str">
        <f aca="false">IF(B239="","",IFERROR(INDEX(Jeux!$D$2:$D$3001,MATCH(B239,Jeux!$A$2:$A$3001,0))&amp;"",""))</f>
        <v/>
      </c>
      <c r="I239" s="26" t="str">
        <f aca="false">IF(A239="","",COUNTIF(Apparitions!$G$2:$G$5001,A239))</f>
        <v/>
      </c>
      <c r="J239" s="26" t="str">
        <f aca="false">IF(A239="","",COUNTIFS(Apparitions!$G$2:$G$5001,A239,Apparitions!$E$2:$E$5001,"○"))</f>
        <v/>
      </c>
      <c r="K239" s="29" t="str">
        <f aca="false">IF(A239="","",IFERROR(1/(1/_xlfn.MINIFS(Apparitions!$L$2:$L$5001,Apparitions!$G$2:$G$5001,A239)),""))</f>
        <v/>
      </c>
      <c r="L239" s="27" t="str">
        <f aca="false">IF(A239="","",A239&amp;" | "&amp;B239&amp;IF(C239="",""," ("&amp;C239&amp;")")&amp;IF(D239="",""," - "&amp;D239))</f>
        <v/>
      </c>
    </row>
    <row r="240" customFormat="false" ht="15" hidden="false" customHeight="false" outlineLevel="0" collapsed="false">
      <c r="A240" s="32"/>
      <c r="B240" s="19"/>
      <c r="C240" s="19"/>
      <c r="D240" s="19"/>
      <c r="E240" s="21"/>
      <c r="F240" s="19"/>
      <c r="G240" s="27" t="str">
        <f aca="false">IF(B240="","",IFERROR(INDEX(Jeux!$C$2:$C$3001,MATCH(B240,Jeux!$A$2:$A$3001,0))&amp;"","⚠ jeu inconnu"))</f>
        <v/>
      </c>
      <c r="H240" s="27" t="str">
        <f aca="false">IF(B240="","",IFERROR(INDEX(Jeux!$D$2:$D$3001,MATCH(B240,Jeux!$A$2:$A$3001,0))&amp;"",""))</f>
        <v/>
      </c>
      <c r="I240" s="26" t="str">
        <f aca="false">IF(A240="","",COUNTIF(Apparitions!$G$2:$G$5001,A240))</f>
        <v/>
      </c>
      <c r="J240" s="26" t="str">
        <f aca="false">IF(A240="","",COUNTIFS(Apparitions!$G$2:$G$5001,A240,Apparitions!$E$2:$E$5001,"○"))</f>
        <v/>
      </c>
      <c r="K240" s="29" t="str">
        <f aca="false">IF(A240="","",IFERROR(1/(1/_xlfn.MINIFS(Apparitions!$L$2:$L$5001,Apparitions!$G$2:$G$5001,A240)),""))</f>
        <v/>
      </c>
      <c r="L240" s="27" t="str">
        <f aca="false">IF(A240="","",A240&amp;" | "&amp;B240&amp;IF(C240="",""," ("&amp;C240&amp;")")&amp;IF(D240="",""," - "&amp;D240))</f>
        <v/>
      </c>
    </row>
    <row r="241" customFormat="false" ht="15" hidden="false" customHeight="false" outlineLevel="0" collapsed="false">
      <c r="A241" s="32"/>
      <c r="B241" s="19"/>
      <c r="C241" s="19"/>
      <c r="D241" s="19"/>
      <c r="E241" s="21"/>
      <c r="F241" s="19"/>
      <c r="G241" s="27" t="str">
        <f aca="false">IF(B241="","",IFERROR(INDEX(Jeux!$C$2:$C$3001,MATCH(B241,Jeux!$A$2:$A$3001,0))&amp;"","⚠ jeu inconnu"))</f>
        <v/>
      </c>
      <c r="H241" s="27" t="str">
        <f aca="false">IF(B241="","",IFERROR(INDEX(Jeux!$D$2:$D$3001,MATCH(B241,Jeux!$A$2:$A$3001,0))&amp;"",""))</f>
        <v/>
      </c>
      <c r="I241" s="26" t="str">
        <f aca="false">IF(A241="","",COUNTIF(Apparitions!$G$2:$G$5001,A241))</f>
        <v/>
      </c>
      <c r="J241" s="26" t="str">
        <f aca="false">IF(A241="","",COUNTIFS(Apparitions!$G$2:$G$5001,A241,Apparitions!$E$2:$E$5001,"○"))</f>
        <v/>
      </c>
      <c r="K241" s="29" t="str">
        <f aca="false">IF(A241="","",IFERROR(1/(1/_xlfn.MINIFS(Apparitions!$L$2:$L$5001,Apparitions!$G$2:$G$5001,A241)),""))</f>
        <v/>
      </c>
      <c r="L241" s="27" t="str">
        <f aca="false">IF(A241="","",A241&amp;" | "&amp;B241&amp;IF(C241="",""," ("&amp;C241&amp;")")&amp;IF(D241="",""," - "&amp;D241))</f>
        <v/>
      </c>
    </row>
    <row r="242" customFormat="false" ht="15" hidden="false" customHeight="false" outlineLevel="0" collapsed="false">
      <c r="A242" s="32"/>
      <c r="B242" s="19"/>
      <c r="C242" s="19"/>
      <c r="D242" s="19"/>
      <c r="E242" s="21"/>
      <c r="F242" s="19"/>
      <c r="G242" s="27" t="str">
        <f aca="false">IF(B242="","",IFERROR(INDEX(Jeux!$C$2:$C$3001,MATCH(B242,Jeux!$A$2:$A$3001,0))&amp;"","⚠ jeu inconnu"))</f>
        <v/>
      </c>
      <c r="H242" s="27" t="str">
        <f aca="false">IF(B242="","",IFERROR(INDEX(Jeux!$D$2:$D$3001,MATCH(B242,Jeux!$A$2:$A$3001,0))&amp;"",""))</f>
        <v/>
      </c>
      <c r="I242" s="26" t="str">
        <f aca="false">IF(A242="","",COUNTIF(Apparitions!$G$2:$G$5001,A242))</f>
        <v/>
      </c>
      <c r="J242" s="26" t="str">
        <f aca="false">IF(A242="","",COUNTIFS(Apparitions!$G$2:$G$5001,A242,Apparitions!$E$2:$E$5001,"○"))</f>
        <v/>
      </c>
      <c r="K242" s="29" t="str">
        <f aca="false">IF(A242="","",IFERROR(1/(1/_xlfn.MINIFS(Apparitions!$L$2:$L$5001,Apparitions!$G$2:$G$5001,A242)),""))</f>
        <v/>
      </c>
      <c r="L242" s="27" t="str">
        <f aca="false">IF(A242="","",A242&amp;" | "&amp;B242&amp;IF(C242="",""," ("&amp;C242&amp;")")&amp;IF(D242="",""," - "&amp;D242))</f>
        <v/>
      </c>
    </row>
    <row r="243" customFormat="false" ht="15" hidden="false" customHeight="false" outlineLevel="0" collapsed="false">
      <c r="A243" s="32"/>
      <c r="B243" s="19"/>
      <c r="C243" s="19"/>
      <c r="D243" s="19"/>
      <c r="E243" s="21"/>
      <c r="F243" s="19"/>
      <c r="G243" s="27" t="str">
        <f aca="false">IF(B243="","",IFERROR(INDEX(Jeux!$C$2:$C$3001,MATCH(B243,Jeux!$A$2:$A$3001,0))&amp;"","⚠ jeu inconnu"))</f>
        <v/>
      </c>
      <c r="H243" s="27" t="str">
        <f aca="false">IF(B243="","",IFERROR(INDEX(Jeux!$D$2:$D$3001,MATCH(B243,Jeux!$A$2:$A$3001,0))&amp;"",""))</f>
        <v/>
      </c>
      <c r="I243" s="26" t="str">
        <f aca="false">IF(A243="","",COUNTIF(Apparitions!$G$2:$G$5001,A243))</f>
        <v/>
      </c>
      <c r="J243" s="26" t="str">
        <f aca="false">IF(A243="","",COUNTIFS(Apparitions!$G$2:$G$5001,A243,Apparitions!$E$2:$E$5001,"○"))</f>
        <v/>
      </c>
      <c r="K243" s="29" t="str">
        <f aca="false">IF(A243="","",IFERROR(1/(1/_xlfn.MINIFS(Apparitions!$L$2:$L$5001,Apparitions!$G$2:$G$5001,A243)),""))</f>
        <v/>
      </c>
      <c r="L243" s="27" t="str">
        <f aca="false">IF(A243="","",A243&amp;" | "&amp;B243&amp;IF(C243="",""," ("&amp;C243&amp;")")&amp;IF(D243="",""," - "&amp;D243))</f>
        <v/>
      </c>
    </row>
    <row r="244" customFormat="false" ht="15" hidden="false" customHeight="false" outlineLevel="0" collapsed="false">
      <c r="A244" s="32"/>
      <c r="B244" s="19"/>
      <c r="C244" s="19"/>
      <c r="D244" s="19"/>
      <c r="E244" s="21"/>
      <c r="F244" s="19"/>
      <c r="G244" s="27" t="str">
        <f aca="false">IF(B244="","",IFERROR(INDEX(Jeux!$C$2:$C$3001,MATCH(B244,Jeux!$A$2:$A$3001,0))&amp;"","⚠ jeu inconnu"))</f>
        <v/>
      </c>
      <c r="H244" s="27" t="str">
        <f aca="false">IF(B244="","",IFERROR(INDEX(Jeux!$D$2:$D$3001,MATCH(B244,Jeux!$A$2:$A$3001,0))&amp;"",""))</f>
        <v/>
      </c>
      <c r="I244" s="26" t="str">
        <f aca="false">IF(A244="","",COUNTIF(Apparitions!$G$2:$G$5001,A244))</f>
        <v/>
      </c>
      <c r="J244" s="26" t="str">
        <f aca="false">IF(A244="","",COUNTIFS(Apparitions!$G$2:$G$5001,A244,Apparitions!$E$2:$E$5001,"○"))</f>
        <v/>
      </c>
      <c r="K244" s="29" t="str">
        <f aca="false">IF(A244="","",IFERROR(1/(1/_xlfn.MINIFS(Apparitions!$L$2:$L$5001,Apparitions!$G$2:$G$5001,A244)),""))</f>
        <v/>
      </c>
      <c r="L244" s="27" t="str">
        <f aca="false">IF(A244="","",A244&amp;" | "&amp;B244&amp;IF(C244="",""," ("&amp;C244&amp;")")&amp;IF(D244="",""," - "&amp;D244))</f>
        <v/>
      </c>
    </row>
    <row r="245" customFormat="false" ht="15" hidden="false" customHeight="false" outlineLevel="0" collapsed="false">
      <c r="A245" s="32"/>
      <c r="B245" s="19"/>
      <c r="C245" s="19"/>
      <c r="D245" s="19"/>
      <c r="E245" s="21"/>
      <c r="F245" s="19"/>
      <c r="G245" s="27" t="str">
        <f aca="false">IF(B245="","",IFERROR(INDEX(Jeux!$C$2:$C$3001,MATCH(B245,Jeux!$A$2:$A$3001,0))&amp;"","⚠ jeu inconnu"))</f>
        <v/>
      </c>
      <c r="H245" s="27" t="str">
        <f aca="false">IF(B245="","",IFERROR(INDEX(Jeux!$D$2:$D$3001,MATCH(B245,Jeux!$A$2:$A$3001,0))&amp;"",""))</f>
        <v/>
      </c>
      <c r="I245" s="26" t="str">
        <f aca="false">IF(A245="","",COUNTIF(Apparitions!$G$2:$G$5001,A245))</f>
        <v/>
      </c>
      <c r="J245" s="26" t="str">
        <f aca="false">IF(A245="","",COUNTIFS(Apparitions!$G$2:$G$5001,A245,Apparitions!$E$2:$E$5001,"○"))</f>
        <v/>
      </c>
      <c r="K245" s="29" t="str">
        <f aca="false">IF(A245="","",IFERROR(1/(1/_xlfn.MINIFS(Apparitions!$L$2:$L$5001,Apparitions!$G$2:$G$5001,A245)),""))</f>
        <v/>
      </c>
      <c r="L245" s="27" t="str">
        <f aca="false">IF(A245="","",A245&amp;" | "&amp;B245&amp;IF(C245="",""," ("&amp;C245&amp;")")&amp;IF(D245="",""," - "&amp;D245))</f>
        <v/>
      </c>
    </row>
    <row r="246" customFormat="false" ht="15" hidden="false" customHeight="false" outlineLevel="0" collapsed="false">
      <c r="A246" s="32"/>
      <c r="B246" s="19"/>
      <c r="C246" s="19"/>
      <c r="D246" s="19"/>
      <c r="E246" s="21"/>
      <c r="F246" s="19"/>
      <c r="G246" s="27" t="str">
        <f aca="false">IF(B246="","",IFERROR(INDEX(Jeux!$C$2:$C$3001,MATCH(B246,Jeux!$A$2:$A$3001,0))&amp;"","⚠ jeu inconnu"))</f>
        <v/>
      </c>
      <c r="H246" s="27" t="str">
        <f aca="false">IF(B246="","",IFERROR(INDEX(Jeux!$D$2:$D$3001,MATCH(B246,Jeux!$A$2:$A$3001,0))&amp;"",""))</f>
        <v/>
      </c>
      <c r="I246" s="26" t="str">
        <f aca="false">IF(A246="","",COUNTIF(Apparitions!$G$2:$G$5001,A246))</f>
        <v/>
      </c>
      <c r="J246" s="26" t="str">
        <f aca="false">IF(A246="","",COUNTIFS(Apparitions!$G$2:$G$5001,A246,Apparitions!$E$2:$E$5001,"○"))</f>
        <v/>
      </c>
      <c r="K246" s="29" t="str">
        <f aca="false">IF(A246="","",IFERROR(1/(1/_xlfn.MINIFS(Apparitions!$L$2:$L$5001,Apparitions!$G$2:$G$5001,A246)),""))</f>
        <v/>
      </c>
      <c r="L246" s="27" t="str">
        <f aca="false">IF(A246="","",A246&amp;" | "&amp;B246&amp;IF(C246="",""," ("&amp;C246&amp;")")&amp;IF(D246="",""," - "&amp;D246))</f>
        <v/>
      </c>
    </row>
    <row r="247" customFormat="false" ht="15" hidden="false" customHeight="false" outlineLevel="0" collapsed="false">
      <c r="A247" s="32"/>
      <c r="B247" s="19"/>
      <c r="C247" s="19"/>
      <c r="D247" s="19"/>
      <c r="E247" s="21"/>
      <c r="F247" s="19"/>
      <c r="G247" s="27" t="str">
        <f aca="false">IF(B247="","",IFERROR(INDEX(Jeux!$C$2:$C$3001,MATCH(B247,Jeux!$A$2:$A$3001,0))&amp;"","⚠ jeu inconnu"))</f>
        <v/>
      </c>
      <c r="H247" s="27" t="str">
        <f aca="false">IF(B247="","",IFERROR(INDEX(Jeux!$D$2:$D$3001,MATCH(B247,Jeux!$A$2:$A$3001,0))&amp;"",""))</f>
        <v/>
      </c>
      <c r="I247" s="26" t="str">
        <f aca="false">IF(A247="","",COUNTIF(Apparitions!$G$2:$G$5001,A247))</f>
        <v/>
      </c>
      <c r="J247" s="26" t="str">
        <f aca="false">IF(A247="","",COUNTIFS(Apparitions!$G$2:$G$5001,A247,Apparitions!$E$2:$E$5001,"○"))</f>
        <v/>
      </c>
      <c r="K247" s="29" t="str">
        <f aca="false">IF(A247="","",IFERROR(1/(1/_xlfn.MINIFS(Apparitions!$L$2:$L$5001,Apparitions!$G$2:$G$5001,A247)),""))</f>
        <v/>
      </c>
      <c r="L247" s="27" t="str">
        <f aca="false">IF(A247="","",A247&amp;" | "&amp;B247&amp;IF(C247="",""," ("&amp;C247&amp;")")&amp;IF(D247="",""," - "&amp;D247))</f>
        <v/>
      </c>
    </row>
    <row r="248" customFormat="false" ht="15" hidden="false" customHeight="false" outlineLevel="0" collapsed="false">
      <c r="A248" s="32"/>
      <c r="B248" s="19"/>
      <c r="C248" s="19"/>
      <c r="D248" s="19"/>
      <c r="E248" s="21"/>
      <c r="F248" s="19"/>
      <c r="G248" s="27" t="str">
        <f aca="false">IF(B248="","",IFERROR(INDEX(Jeux!$C$2:$C$3001,MATCH(B248,Jeux!$A$2:$A$3001,0))&amp;"","⚠ jeu inconnu"))</f>
        <v/>
      </c>
      <c r="H248" s="27" t="str">
        <f aca="false">IF(B248="","",IFERROR(INDEX(Jeux!$D$2:$D$3001,MATCH(B248,Jeux!$A$2:$A$3001,0))&amp;"",""))</f>
        <v/>
      </c>
      <c r="I248" s="26" t="str">
        <f aca="false">IF(A248="","",COUNTIF(Apparitions!$G$2:$G$5001,A248))</f>
        <v/>
      </c>
      <c r="J248" s="26" t="str">
        <f aca="false">IF(A248="","",COUNTIFS(Apparitions!$G$2:$G$5001,A248,Apparitions!$E$2:$E$5001,"○"))</f>
        <v/>
      </c>
      <c r="K248" s="29" t="str">
        <f aca="false">IF(A248="","",IFERROR(1/(1/_xlfn.MINIFS(Apparitions!$L$2:$L$5001,Apparitions!$G$2:$G$5001,A248)),""))</f>
        <v/>
      </c>
      <c r="L248" s="27" t="str">
        <f aca="false">IF(A248="","",A248&amp;" | "&amp;B248&amp;IF(C248="",""," ("&amp;C248&amp;")")&amp;IF(D248="",""," - "&amp;D248))</f>
        <v/>
      </c>
    </row>
    <row r="249" customFormat="false" ht="15" hidden="false" customHeight="false" outlineLevel="0" collapsed="false">
      <c r="A249" s="32"/>
      <c r="B249" s="19"/>
      <c r="C249" s="19"/>
      <c r="D249" s="19"/>
      <c r="E249" s="21"/>
      <c r="F249" s="19"/>
      <c r="G249" s="27" t="str">
        <f aca="false">IF(B249="","",IFERROR(INDEX(Jeux!$C$2:$C$3001,MATCH(B249,Jeux!$A$2:$A$3001,0))&amp;"","⚠ jeu inconnu"))</f>
        <v/>
      </c>
      <c r="H249" s="27" t="str">
        <f aca="false">IF(B249="","",IFERROR(INDEX(Jeux!$D$2:$D$3001,MATCH(B249,Jeux!$A$2:$A$3001,0))&amp;"",""))</f>
        <v/>
      </c>
      <c r="I249" s="26" t="str">
        <f aca="false">IF(A249="","",COUNTIF(Apparitions!$G$2:$G$5001,A249))</f>
        <v/>
      </c>
      <c r="J249" s="26" t="str">
        <f aca="false">IF(A249="","",COUNTIFS(Apparitions!$G$2:$G$5001,A249,Apparitions!$E$2:$E$5001,"○"))</f>
        <v/>
      </c>
      <c r="K249" s="29" t="str">
        <f aca="false">IF(A249="","",IFERROR(1/(1/_xlfn.MINIFS(Apparitions!$L$2:$L$5001,Apparitions!$G$2:$G$5001,A249)),""))</f>
        <v/>
      </c>
      <c r="L249" s="27" t="str">
        <f aca="false">IF(A249="","",A249&amp;" | "&amp;B249&amp;IF(C249="",""," ("&amp;C249&amp;")")&amp;IF(D249="",""," - "&amp;D249))</f>
        <v/>
      </c>
    </row>
    <row r="250" customFormat="false" ht="15" hidden="false" customHeight="false" outlineLevel="0" collapsed="false">
      <c r="A250" s="32"/>
      <c r="B250" s="19"/>
      <c r="C250" s="19"/>
      <c r="D250" s="19"/>
      <c r="E250" s="21"/>
      <c r="F250" s="19"/>
      <c r="G250" s="27" t="str">
        <f aca="false">IF(B250="","",IFERROR(INDEX(Jeux!$C$2:$C$3001,MATCH(B250,Jeux!$A$2:$A$3001,0))&amp;"","⚠ jeu inconnu"))</f>
        <v/>
      </c>
      <c r="H250" s="27" t="str">
        <f aca="false">IF(B250="","",IFERROR(INDEX(Jeux!$D$2:$D$3001,MATCH(B250,Jeux!$A$2:$A$3001,0))&amp;"",""))</f>
        <v/>
      </c>
      <c r="I250" s="26" t="str">
        <f aca="false">IF(A250="","",COUNTIF(Apparitions!$G$2:$G$5001,A250))</f>
        <v/>
      </c>
      <c r="J250" s="26" t="str">
        <f aca="false">IF(A250="","",COUNTIFS(Apparitions!$G$2:$G$5001,A250,Apparitions!$E$2:$E$5001,"○"))</f>
        <v/>
      </c>
      <c r="K250" s="29" t="str">
        <f aca="false">IF(A250="","",IFERROR(1/(1/_xlfn.MINIFS(Apparitions!$L$2:$L$5001,Apparitions!$G$2:$G$5001,A250)),""))</f>
        <v/>
      </c>
      <c r="L250" s="27" t="str">
        <f aca="false">IF(A250="","",A250&amp;" | "&amp;B250&amp;IF(C250="",""," ("&amp;C250&amp;")")&amp;IF(D250="",""," - "&amp;D250))</f>
        <v/>
      </c>
    </row>
    <row r="251" customFormat="false" ht="15" hidden="false" customHeight="false" outlineLevel="0" collapsed="false">
      <c r="A251" s="32"/>
      <c r="B251" s="19"/>
      <c r="C251" s="19"/>
      <c r="D251" s="19"/>
      <c r="E251" s="21"/>
      <c r="F251" s="19"/>
      <c r="G251" s="27" t="str">
        <f aca="false">IF(B251="","",IFERROR(INDEX(Jeux!$C$2:$C$3001,MATCH(B251,Jeux!$A$2:$A$3001,0))&amp;"","⚠ jeu inconnu"))</f>
        <v/>
      </c>
      <c r="H251" s="27" t="str">
        <f aca="false">IF(B251="","",IFERROR(INDEX(Jeux!$D$2:$D$3001,MATCH(B251,Jeux!$A$2:$A$3001,0))&amp;"",""))</f>
        <v/>
      </c>
      <c r="I251" s="26" t="str">
        <f aca="false">IF(A251="","",COUNTIF(Apparitions!$G$2:$G$5001,A251))</f>
        <v/>
      </c>
      <c r="J251" s="26" t="str">
        <f aca="false">IF(A251="","",COUNTIFS(Apparitions!$G$2:$G$5001,A251,Apparitions!$E$2:$E$5001,"○"))</f>
        <v/>
      </c>
      <c r="K251" s="29" t="str">
        <f aca="false">IF(A251="","",IFERROR(1/(1/_xlfn.MINIFS(Apparitions!$L$2:$L$5001,Apparitions!$G$2:$G$5001,A251)),""))</f>
        <v/>
      </c>
      <c r="L251" s="27" t="str">
        <f aca="false">IF(A251="","",A251&amp;" | "&amp;B251&amp;IF(C251="",""," ("&amp;C251&amp;")")&amp;IF(D251="",""," - "&amp;D251))</f>
        <v/>
      </c>
    </row>
    <row r="252" customFormat="false" ht="15" hidden="false" customHeight="false" outlineLevel="0" collapsed="false">
      <c r="A252" s="32"/>
      <c r="B252" s="19"/>
      <c r="C252" s="19"/>
      <c r="D252" s="19"/>
      <c r="E252" s="21"/>
      <c r="F252" s="19"/>
      <c r="G252" s="27" t="str">
        <f aca="false">IF(B252="","",IFERROR(INDEX(Jeux!$C$2:$C$3001,MATCH(B252,Jeux!$A$2:$A$3001,0))&amp;"","⚠ jeu inconnu"))</f>
        <v/>
      </c>
      <c r="H252" s="27" t="str">
        <f aca="false">IF(B252="","",IFERROR(INDEX(Jeux!$D$2:$D$3001,MATCH(B252,Jeux!$A$2:$A$3001,0))&amp;"",""))</f>
        <v/>
      </c>
      <c r="I252" s="26" t="str">
        <f aca="false">IF(A252="","",COUNTIF(Apparitions!$G$2:$G$5001,A252))</f>
        <v/>
      </c>
      <c r="J252" s="26" t="str">
        <f aca="false">IF(A252="","",COUNTIFS(Apparitions!$G$2:$G$5001,A252,Apparitions!$E$2:$E$5001,"○"))</f>
        <v/>
      </c>
      <c r="K252" s="29" t="str">
        <f aca="false">IF(A252="","",IFERROR(1/(1/_xlfn.MINIFS(Apparitions!$L$2:$L$5001,Apparitions!$G$2:$G$5001,A252)),""))</f>
        <v/>
      </c>
      <c r="L252" s="27" t="str">
        <f aca="false">IF(A252="","",A252&amp;" | "&amp;B252&amp;IF(C252="",""," ("&amp;C252&amp;")")&amp;IF(D252="",""," - "&amp;D252))</f>
        <v/>
      </c>
    </row>
    <row r="253" customFormat="false" ht="15" hidden="false" customHeight="false" outlineLevel="0" collapsed="false">
      <c r="A253" s="32"/>
      <c r="B253" s="19"/>
      <c r="C253" s="19"/>
      <c r="D253" s="19"/>
      <c r="E253" s="21"/>
      <c r="F253" s="19"/>
      <c r="G253" s="27" t="str">
        <f aca="false">IF(B253="","",IFERROR(INDEX(Jeux!$C$2:$C$3001,MATCH(B253,Jeux!$A$2:$A$3001,0))&amp;"","⚠ jeu inconnu"))</f>
        <v/>
      </c>
      <c r="H253" s="27" t="str">
        <f aca="false">IF(B253="","",IFERROR(INDEX(Jeux!$D$2:$D$3001,MATCH(B253,Jeux!$A$2:$A$3001,0))&amp;"",""))</f>
        <v/>
      </c>
      <c r="I253" s="26" t="str">
        <f aca="false">IF(A253="","",COUNTIF(Apparitions!$G$2:$G$5001,A253))</f>
        <v/>
      </c>
      <c r="J253" s="26" t="str">
        <f aca="false">IF(A253="","",COUNTIFS(Apparitions!$G$2:$G$5001,A253,Apparitions!$E$2:$E$5001,"○"))</f>
        <v/>
      </c>
      <c r="K253" s="29" t="str">
        <f aca="false">IF(A253="","",IFERROR(1/(1/_xlfn.MINIFS(Apparitions!$L$2:$L$5001,Apparitions!$G$2:$G$5001,A253)),""))</f>
        <v/>
      </c>
      <c r="L253" s="27" t="str">
        <f aca="false">IF(A253="","",A253&amp;" | "&amp;B253&amp;IF(C253="",""," ("&amp;C253&amp;")")&amp;IF(D253="",""," - "&amp;D253))</f>
        <v/>
      </c>
    </row>
    <row r="254" customFormat="false" ht="15" hidden="false" customHeight="false" outlineLevel="0" collapsed="false">
      <c r="A254" s="32"/>
      <c r="B254" s="19"/>
      <c r="C254" s="19"/>
      <c r="D254" s="19"/>
      <c r="E254" s="21"/>
      <c r="F254" s="19"/>
      <c r="G254" s="27" t="str">
        <f aca="false">IF(B254="","",IFERROR(INDEX(Jeux!$C$2:$C$3001,MATCH(B254,Jeux!$A$2:$A$3001,0))&amp;"","⚠ jeu inconnu"))</f>
        <v/>
      </c>
      <c r="H254" s="27" t="str">
        <f aca="false">IF(B254="","",IFERROR(INDEX(Jeux!$D$2:$D$3001,MATCH(B254,Jeux!$A$2:$A$3001,0))&amp;"",""))</f>
        <v/>
      </c>
      <c r="I254" s="26" t="str">
        <f aca="false">IF(A254="","",COUNTIF(Apparitions!$G$2:$G$5001,A254))</f>
        <v/>
      </c>
      <c r="J254" s="26" t="str">
        <f aca="false">IF(A254="","",COUNTIFS(Apparitions!$G$2:$G$5001,A254,Apparitions!$E$2:$E$5001,"○"))</f>
        <v/>
      </c>
      <c r="K254" s="29" t="str">
        <f aca="false">IF(A254="","",IFERROR(1/(1/_xlfn.MINIFS(Apparitions!$L$2:$L$5001,Apparitions!$G$2:$G$5001,A254)),""))</f>
        <v/>
      </c>
      <c r="L254" s="27" t="str">
        <f aca="false">IF(A254="","",A254&amp;" | "&amp;B254&amp;IF(C254="",""," ("&amp;C254&amp;")")&amp;IF(D254="",""," - "&amp;D254))</f>
        <v/>
      </c>
    </row>
    <row r="255" customFormat="false" ht="15" hidden="false" customHeight="false" outlineLevel="0" collapsed="false">
      <c r="A255" s="32"/>
      <c r="B255" s="19"/>
      <c r="C255" s="19"/>
      <c r="D255" s="19"/>
      <c r="E255" s="21"/>
      <c r="F255" s="19"/>
      <c r="G255" s="27" t="str">
        <f aca="false">IF(B255="","",IFERROR(INDEX(Jeux!$C$2:$C$3001,MATCH(B255,Jeux!$A$2:$A$3001,0))&amp;"","⚠ jeu inconnu"))</f>
        <v/>
      </c>
      <c r="H255" s="27" t="str">
        <f aca="false">IF(B255="","",IFERROR(INDEX(Jeux!$D$2:$D$3001,MATCH(B255,Jeux!$A$2:$A$3001,0))&amp;"",""))</f>
        <v/>
      </c>
      <c r="I255" s="26" t="str">
        <f aca="false">IF(A255="","",COUNTIF(Apparitions!$G$2:$G$5001,A255))</f>
        <v/>
      </c>
      <c r="J255" s="26" t="str">
        <f aca="false">IF(A255="","",COUNTIFS(Apparitions!$G$2:$G$5001,A255,Apparitions!$E$2:$E$5001,"○"))</f>
        <v/>
      </c>
      <c r="K255" s="29" t="str">
        <f aca="false">IF(A255="","",IFERROR(1/(1/_xlfn.MINIFS(Apparitions!$L$2:$L$5001,Apparitions!$G$2:$G$5001,A255)),""))</f>
        <v/>
      </c>
      <c r="L255" s="27" t="str">
        <f aca="false">IF(A255="","",A255&amp;" | "&amp;B255&amp;IF(C255="",""," ("&amp;C255&amp;")")&amp;IF(D255="",""," - "&amp;D255))</f>
        <v/>
      </c>
    </row>
    <row r="256" customFormat="false" ht="15" hidden="false" customHeight="false" outlineLevel="0" collapsed="false">
      <c r="A256" s="32"/>
      <c r="B256" s="19"/>
      <c r="C256" s="19"/>
      <c r="D256" s="19"/>
      <c r="E256" s="21"/>
      <c r="F256" s="19"/>
      <c r="G256" s="27" t="str">
        <f aca="false">IF(B256="","",IFERROR(INDEX(Jeux!$C$2:$C$3001,MATCH(B256,Jeux!$A$2:$A$3001,0))&amp;"","⚠ jeu inconnu"))</f>
        <v/>
      </c>
      <c r="H256" s="27" t="str">
        <f aca="false">IF(B256="","",IFERROR(INDEX(Jeux!$D$2:$D$3001,MATCH(B256,Jeux!$A$2:$A$3001,0))&amp;"",""))</f>
        <v/>
      </c>
      <c r="I256" s="26" t="str">
        <f aca="false">IF(A256="","",COUNTIF(Apparitions!$G$2:$G$5001,A256))</f>
        <v/>
      </c>
      <c r="J256" s="26" t="str">
        <f aca="false">IF(A256="","",COUNTIFS(Apparitions!$G$2:$G$5001,A256,Apparitions!$E$2:$E$5001,"○"))</f>
        <v/>
      </c>
      <c r="K256" s="29" t="str">
        <f aca="false">IF(A256="","",IFERROR(1/(1/_xlfn.MINIFS(Apparitions!$L$2:$L$5001,Apparitions!$G$2:$G$5001,A256)),""))</f>
        <v/>
      </c>
      <c r="L256" s="27" t="str">
        <f aca="false">IF(A256="","",A256&amp;" | "&amp;B256&amp;IF(C256="",""," ("&amp;C256&amp;")")&amp;IF(D256="",""," - "&amp;D256))</f>
        <v/>
      </c>
    </row>
    <row r="257" customFormat="false" ht="15" hidden="false" customHeight="false" outlineLevel="0" collapsed="false">
      <c r="A257" s="32"/>
      <c r="B257" s="19"/>
      <c r="C257" s="19"/>
      <c r="D257" s="19"/>
      <c r="E257" s="21"/>
      <c r="F257" s="19"/>
      <c r="G257" s="27" t="str">
        <f aca="false">IF(B257="","",IFERROR(INDEX(Jeux!$C$2:$C$3001,MATCH(B257,Jeux!$A$2:$A$3001,0))&amp;"","⚠ jeu inconnu"))</f>
        <v/>
      </c>
      <c r="H257" s="27" t="str">
        <f aca="false">IF(B257="","",IFERROR(INDEX(Jeux!$D$2:$D$3001,MATCH(B257,Jeux!$A$2:$A$3001,0))&amp;"",""))</f>
        <v/>
      </c>
      <c r="I257" s="26" t="str">
        <f aca="false">IF(A257="","",COUNTIF(Apparitions!$G$2:$G$5001,A257))</f>
        <v/>
      </c>
      <c r="J257" s="26" t="str">
        <f aca="false">IF(A257="","",COUNTIFS(Apparitions!$G$2:$G$5001,A257,Apparitions!$E$2:$E$5001,"○"))</f>
        <v/>
      </c>
      <c r="K257" s="29" t="str">
        <f aca="false">IF(A257="","",IFERROR(1/(1/_xlfn.MINIFS(Apparitions!$L$2:$L$5001,Apparitions!$G$2:$G$5001,A257)),""))</f>
        <v/>
      </c>
      <c r="L257" s="27" t="str">
        <f aca="false">IF(A257="","",A257&amp;" | "&amp;B257&amp;IF(C257="",""," ("&amp;C257&amp;")")&amp;IF(D257="",""," - "&amp;D257))</f>
        <v/>
      </c>
    </row>
    <row r="258" customFormat="false" ht="15" hidden="false" customHeight="false" outlineLevel="0" collapsed="false">
      <c r="A258" s="32"/>
      <c r="B258" s="19"/>
      <c r="C258" s="19"/>
      <c r="D258" s="19"/>
      <c r="E258" s="21"/>
      <c r="F258" s="19"/>
      <c r="G258" s="27" t="str">
        <f aca="false">IF(B258="","",IFERROR(INDEX(Jeux!$C$2:$C$3001,MATCH(B258,Jeux!$A$2:$A$3001,0))&amp;"","⚠ jeu inconnu"))</f>
        <v/>
      </c>
      <c r="H258" s="27" t="str">
        <f aca="false">IF(B258="","",IFERROR(INDEX(Jeux!$D$2:$D$3001,MATCH(B258,Jeux!$A$2:$A$3001,0))&amp;"",""))</f>
        <v/>
      </c>
      <c r="I258" s="26" t="str">
        <f aca="false">IF(A258="","",COUNTIF(Apparitions!$G$2:$G$5001,A258))</f>
        <v/>
      </c>
      <c r="J258" s="26" t="str">
        <f aca="false">IF(A258="","",COUNTIFS(Apparitions!$G$2:$G$5001,A258,Apparitions!$E$2:$E$5001,"○"))</f>
        <v/>
      </c>
      <c r="K258" s="29" t="str">
        <f aca="false">IF(A258="","",IFERROR(1/(1/_xlfn.MINIFS(Apparitions!$L$2:$L$5001,Apparitions!$G$2:$G$5001,A258)),""))</f>
        <v/>
      </c>
      <c r="L258" s="27" t="str">
        <f aca="false">IF(A258="","",A258&amp;" | "&amp;B258&amp;IF(C258="",""," ("&amp;C258&amp;")")&amp;IF(D258="",""," - "&amp;D258))</f>
        <v/>
      </c>
    </row>
    <row r="259" customFormat="false" ht="15" hidden="false" customHeight="false" outlineLevel="0" collapsed="false">
      <c r="A259" s="32"/>
      <c r="B259" s="19"/>
      <c r="C259" s="19"/>
      <c r="D259" s="19"/>
      <c r="E259" s="21"/>
      <c r="F259" s="19"/>
      <c r="G259" s="27" t="str">
        <f aca="false">IF(B259="","",IFERROR(INDEX(Jeux!$C$2:$C$3001,MATCH(B259,Jeux!$A$2:$A$3001,0))&amp;"","⚠ jeu inconnu"))</f>
        <v/>
      </c>
      <c r="H259" s="27" t="str">
        <f aca="false">IF(B259="","",IFERROR(INDEX(Jeux!$D$2:$D$3001,MATCH(B259,Jeux!$A$2:$A$3001,0))&amp;"",""))</f>
        <v/>
      </c>
      <c r="I259" s="26" t="str">
        <f aca="false">IF(A259="","",COUNTIF(Apparitions!$G$2:$G$5001,A259))</f>
        <v/>
      </c>
      <c r="J259" s="26" t="str">
        <f aca="false">IF(A259="","",COUNTIFS(Apparitions!$G$2:$G$5001,A259,Apparitions!$E$2:$E$5001,"○"))</f>
        <v/>
      </c>
      <c r="K259" s="29" t="str">
        <f aca="false">IF(A259="","",IFERROR(1/(1/_xlfn.MINIFS(Apparitions!$L$2:$L$5001,Apparitions!$G$2:$G$5001,A259)),""))</f>
        <v/>
      </c>
      <c r="L259" s="27" t="str">
        <f aca="false">IF(A259="","",A259&amp;" | "&amp;B259&amp;IF(C259="",""," ("&amp;C259&amp;")")&amp;IF(D259="",""," - "&amp;D259))</f>
        <v/>
      </c>
    </row>
    <row r="260" customFormat="false" ht="15" hidden="false" customHeight="false" outlineLevel="0" collapsed="false">
      <c r="A260" s="32"/>
      <c r="B260" s="19"/>
      <c r="C260" s="19"/>
      <c r="D260" s="19"/>
      <c r="E260" s="21"/>
      <c r="F260" s="19"/>
      <c r="G260" s="27" t="str">
        <f aca="false">IF(B260="","",IFERROR(INDEX(Jeux!$C$2:$C$3001,MATCH(B260,Jeux!$A$2:$A$3001,0))&amp;"","⚠ jeu inconnu"))</f>
        <v/>
      </c>
      <c r="H260" s="27" t="str">
        <f aca="false">IF(B260="","",IFERROR(INDEX(Jeux!$D$2:$D$3001,MATCH(B260,Jeux!$A$2:$A$3001,0))&amp;"",""))</f>
        <v/>
      </c>
      <c r="I260" s="26" t="str">
        <f aca="false">IF(A260="","",COUNTIF(Apparitions!$G$2:$G$5001,A260))</f>
        <v/>
      </c>
      <c r="J260" s="26" t="str">
        <f aca="false">IF(A260="","",COUNTIFS(Apparitions!$G$2:$G$5001,A260,Apparitions!$E$2:$E$5001,"○"))</f>
        <v/>
      </c>
      <c r="K260" s="29" t="str">
        <f aca="false">IF(A260="","",IFERROR(1/(1/_xlfn.MINIFS(Apparitions!$L$2:$L$5001,Apparitions!$G$2:$G$5001,A260)),""))</f>
        <v/>
      </c>
      <c r="L260" s="27" t="str">
        <f aca="false">IF(A260="","",A260&amp;" | "&amp;B260&amp;IF(C260="",""," ("&amp;C260&amp;")")&amp;IF(D260="",""," - "&amp;D260))</f>
        <v/>
      </c>
    </row>
    <row r="261" customFormat="false" ht="15" hidden="false" customHeight="false" outlineLevel="0" collapsed="false">
      <c r="A261" s="32"/>
      <c r="B261" s="19"/>
      <c r="C261" s="19"/>
      <c r="D261" s="19"/>
      <c r="E261" s="21"/>
      <c r="F261" s="19"/>
      <c r="G261" s="27" t="str">
        <f aca="false">IF(B261="","",IFERROR(INDEX(Jeux!$C$2:$C$3001,MATCH(B261,Jeux!$A$2:$A$3001,0))&amp;"","⚠ jeu inconnu"))</f>
        <v/>
      </c>
      <c r="H261" s="27" t="str">
        <f aca="false">IF(B261="","",IFERROR(INDEX(Jeux!$D$2:$D$3001,MATCH(B261,Jeux!$A$2:$A$3001,0))&amp;"",""))</f>
        <v/>
      </c>
      <c r="I261" s="26" t="str">
        <f aca="false">IF(A261="","",COUNTIF(Apparitions!$G$2:$G$5001,A261))</f>
        <v/>
      </c>
      <c r="J261" s="26" t="str">
        <f aca="false">IF(A261="","",COUNTIFS(Apparitions!$G$2:$G$5001,A261,Apparitions!$E$2:$E$5001,"○"))</f>
        <v/>
      </c>
      <c r="K261" s="29" t="str">
        <f aca="false">IF(A261="","",IFERROR(1/(1/_xlfn.MINIFS(Apparitions!$L$2:$L$5001,Apparitions!$G$2:$G$5001,A261)),""))</f>
        <v/>
      </c>
      <c r="L261" s="27" t="str">
        <f aca="false">IF(A261="","",A261&amp;" | "&amp;B261&amp;IF(C261="",""," ("&amp;C261&amp;")")&amp;IF(D261="",""," - "&amp;D261))</f>
        <v/>
      </c>
    </row>
    <row r="262" customFormat="false" ht="15" hidden="false" customHeight="false" outlineLevel="0" collapsed="false">
      <c r="A262" s="32"/>
      <c r="B262" s="19"/>
      <c r="C262" s="19"/>
      <c r="D262" s="19"/>
      <c r="E262" s="21"/>
      <c r="F262" s="19"/>
      <c r="G262" s="27" t="str">
        <f aca="false">IF(B262="","",IFERROR(INDEX(Jeux!$C$2:$C$3001,MATCH(B262,Jeux!$A$2:$A$3001,0))&amp;"","⚠ jeu inconnu"))</f>
        <v/>
      </c>
      <c r="H262" s="27" t="str">
        <f aca="false">IF(B262="","",IFERROR(INDEX(Jeux!$D$2:$D$3001,MATCH(B262,Jeux!$A$2:$A$3001,0))&amp;"",""))</f>
        <v/>
      </c>
      <c r="I262" s="26" t="str">
        <f aca="false">IF(A262="","",COUNTIF(Apparitions!$G$2:$G$5001,A262))</f>
        <v/>
      </c>
      <c r="J262" s="26" t="str">
        <f aca="false">IF(A262="","",COUNTIFS(Apparitions!$G$2:$G$5001,A262,Apparitions!$E$2:$E$5001,"○"))</f>
        <v/>
      </c>
      <c r="K262" s="29" t="str">
        <f aca="false">IF(A262="","",IFERROR(1/(1/_xlfn.MINIFS(Apparitions!$L$2:$L$5001,Apparitions!$G$2:$G$5001,A262)),""))</f>
        <v/>
      </c>
      <c r="L262" s="27" t="str">
        <f aca="false">IF(A262="","",A262&amp;" | "&amp;B262&amp;IF(C262="",""," ("&amp;C262&amp;")")&amp;IF(D262="",""," - "&amp;D262))</f>
        <v/>
      </c>
    </row>
    <row r="263" customFormat="false" ht="15" hidden="false" customHeight="false" outlineLevel="0" collapsed="false">
      <c r="A263" s="32"/>
      <c r="B263" s="19"/>
      <c r="C263" s="19"/>
      <c r="D263" s="19"/>
      <c r="E263" s="21"/>
      <c r="F263" s="19"/>
      <c r="G263" s="27" t="str">
        <f aca="false">IF(B263="","",IFERROR(INDEX(Jeux!$C$2:$C$3001,MATCH(B263,Jeux!$A$2:$A$3001,0))&amp;"","⚠ jeu inconnu"))</f>
        <v/>
      </c>
      <c r="H263" s="27" t="str">
        <f aca="false">IF(B263="","",IFERROR(INDEX(Jeux!$D$2:$D$3001,MATCH(B263,Jeux!$A$2:$A$3001,0))&amp;"",""))</f>
        <v/>
      </c>
      <c r="I263" s="26" t="str">
        <f aca="false">IF(A263="","",COUNTIF(Apparitions!$G$2:$G$5001,A263))</f>
        <v/>
      </c>
      <c r="J263" s="26" t="str">
        <f aca="false">IF(A263="","",COUNTIFS(Apparitions!$G$2:$G$5001,A263,Apparitions!$E$2:$E$5001,"○"))</f>
        <v/>
      </c>
      <c r="K263" s="29" t="str">
        <f aca="false">IF(A263="","",IFERROR(1/(1/_xlfn.MINIFS(Apparitions!$L$2:$L$5001,Apparitions!$G$2:$G$5001,A263)),""))</f>
        <v/>
      </c>
      <c r="L263" s="27" t="str">
        <f aca="false">IF(A263="","",A263&amp;" | "&amp;B263&amp;IF(C263="",""," ("&amp;C263&amp;")")&amp;IF(D263="",""," - "&amp;D263))</f>
        <v/>
      </c>
    </row>
    <row r="264" customFormat="false" ht="15" hidden="false" customHeight="false" outlineLevel="0" collapsed="false">
      <c r="A264" s="32"/>
      <c r="B264" s="19"/>
      <c r="C264" s="19"/>
      <c r="D264" s="19"/>
      <c r="E264" s="21"/>
      <c r="F264" s="19"/>
      <c r="G264" s="27" t="str">
        <f aca="false">IF(B264="","",IFERROR(INDEX(Jeux!$C$2:$C$3001,MATCH(B264,Jeux!$A$2:$A$3001,0))&amp;"","⚠ jeu inconnu"))</f>
        <v/>
      </c>
      <c r="H264" s="27" t="str">
        <f aca="false">IF(B264="","",IFERROR(INDEX(Jeux!$D$2:$D$3001,MATCH(B264,Jeux!$A$2:$A$3001,0))&amp;"",""))</f>
        <v/>
      </c>
      <c r="I264" s="26" t="str">
        <f aca="false">IF(A264="","",COUNTIF(Apparitions!$G$2:$G$5001,A264))</f>
        <v/>
      </c>
      <c r="J264" s="26" t="str">
        <f aca="false">IF(A264="","",COUNTIFS(Apparitions!$G$2:$G$5001,A264,Apparitions!$E$2:$E$5001,"○"))</f>
        <v/>
      </c>
      <c r="K264" s="29" t="str">
        <f aca="false">IF(A264="","",IFERROR(1/(1/_xlfn.MINIFS(Apparitions!$L$2:$L$5001,Apparitions!$G$2:$G$5001,A264)),""))</f>
        <v/>
      </c>
      <c r="L264" s="27" t="str">
        <f aca="false">IF(A264="","",A264&amp;" | "&amp;B264&amp;IF(C264="",""," ("&amp;C264&amp;")")&amp;IF(D264="",""," - "&amp;D264))</f>
        <v/>
      </c>
    </row>
    <row r="265" customFormat="false" ht="15" hidden="false" customHeight="false" outlineLevel="0" collapsed="false">
      <c r="A265" s="32"/>
      <c r="B265" s="19"/>
      <c r="C265" s="19"/>
      <c r="D265" s="19"/>
      <c r="E265" s="21"/>
      <c r="F265" s="19"/>
      <c r="G265" s="27" t="str">
        <f aca="false">IF(B265="","",IFERROR(INDEX(Jeux!$C$2:$C$3001,MATCH(B265,Jeux!$A$2:$A$3001,0))&amp;"","⚠ jeu inconnu"))</f>
        <v/>
      </c>
      <c r="H265" s="27" t="str">
        <f aca="false">IF(B265="","",IFERROR(INDEX(Jeux!$D$2:$D$3001,MATCH(B265,Jeux!$A$2:$A$3001,0))&amp;"",""))</f>
        <v/>
      </c>
      <c r="I265" s="26" t="str">
        <f aca="false">IF(A265="","",COUNTIF(Apparitions!$G$2:$G$5001,A265))</f>
        <v/>
      </c>
      <c r="J265" s="26" t="str">
        <f aca="false">IF(A265="","",COUNTIFS(Apparitions!$G$2:$G$5001,A265,Apparitions!$E$2:$E$5001,"○"))</f>
        <v/>
      </c>
      <c r="K265" s="29" t="str">
        <f aca="false">IF(A265="","",IFERROR(1/(1/_xlfn.MINIFS(Apparitions!$L$2:$L$5001,Apparitions!$G$2:$G$5001,A265)),""))</f>
        <v/>
      </c>
      <c r="L265" s="27" t="str">
        <f aca="false">IF(A265="","",A265&amp;" | "&amp;B265&amp;IF(C265="",""," ("&amp;C265&amp;")")&amp;IF(D265="",""," - "&amp;D265))</f>
        <v/>
      </c>
    </row>
    <row r="266" customFormat="false" ht="15" hidden="false" customHeight="false" outlineLevel="0" collapsed="false">
      <c r="A266" s="32"/>
      <c r="B266" s="19"/>
      <c r="C266" s="19"/>
      <c r="D266" s="19"/>
      <c r="E266" s="21"/>
      <c r="F266" s="19"/>
      <c r="G266" s="27" t="str">
        <f aca="false">IF(B266="","",IFERROR(INDEX(Jeux!$C$2:$C$3001,MATCH(B266,Jeux!$A$2:$A$3001,0))&amp;"","⚠ jeu inconnu"))</f>
        <v/>
      </c>
      <c r="H266" s="27" t="str">
        <f aca="false">IF(B266="","",IFERROR(INDEX(Jeux!$D$2:$D$3001,MATCH(B266,Jeux!$A$2:$A$3001,0))&amp;"",""))</f>
        <v/>
      </c>
      <c r="I266" s="26" t="str">
        <f aca="false">IF(A266="","",COUNTIF(Apparitions!$G$2:$G$5001,A266))</f>
        <v/>
      </c>
      <c r="J266" s="26" t="str">
        <f aca="false">IF(A266="","",COUNTIFS(Apparitions!$G$2:$G$5001,A266,Apparitions!$E$2:$E$5001,"○"))</f>
        <v/>
      </c>
      <c r="K266" s="29" t="str">
        <f aca="false">IF(A266="","",IFERROR(1/(1/_xlfn.MINIFS(Apparitions!$L$2:$L$5001,Apparitions!$G$2:$G$5001,A266)),""))</f>
        <v/>
      </c>
      <c r="L266" s="27" t="str">
        <f aca="false">IF(A266="","",A266&amp;" | "&amp;B266&amp;IF(C266="",""," ("&amp;C266&amp;")")&amp;IF(D266="",""," - "&amp;D266))</f>
        <v/>
      </c>
    </row>
    <row r="267" customFormat="false" ht="15" hidden="false" customHeight="false" outlineLevel="0" collapsed="false">
      <c r="A267" s="32"/>
      <c r="B267" s="19"/>
      <c r="C267" s="19"/>
      <c r="D267" s="19"/>
      <c r="E267" s="21"/>
      <c r="F267" s="19"/>
      <c r="G267" s="27" t="str">
        <f aca="false">IF(B267="","",IFERROR(INDEX(Jeux!$C$2:$C$3001,MATCH(B267,Jeux!$A$2:$A$3001,0))&amp;"","⚠ jeu inconnu"))</f>
        <v/>
      </c>
      <c r="H267" s="27" t="str">
        <f aca="false">IF(B267="","",IFERROR(INDEX(Jeux!$D$2:$D$3001,MATCH(B267,Jeux!$A$2:$A$3001,0))&amp;"",""))</f>
        <v/>
      </c>
      <c r="I267" s="26" t="str">
        <f aca="false">IF(A267="","",COUNTIF(Apparitions!$G$2:$G$5001,A267))</f>
        <v/>
      </c>
      <c r="J267" s="26" t="str">
        <f aca="false">IF(A267="","",COUNTIFS(Apparitions!$G$2:$G$5001,A267,Apparitions!$E$2:$E$5001,"○"))</f>
        <v/>
      </c>
      <c r="K267" s="29" t="str">
        <f aca="false">IF(A267="","",IFERROR(1/(1/_xlfn.MINIFS(Apparitions!$L$2:$L$5001,Apparitions!$G$2:$G$5001,A267)),""))</f>
        <v/>
      </c>
      <c r="L267" s="27" t="str">
        <f aca="false">IF(A267="","",A267&amp;" | "&amp;B267&amp;IF(C267="",""," ("&amp;C267&amp;")")&amp;IF(D267="",""," - "&amp;D267))</f>
        <v/>
      </c>
    </row>
    <row r="268" customFormat="false" ht="15" hidden="false" customHeight="false" outlineLevel="0" collapsed="false">
      <c r="A268" s="32"/>
      <c r="B268" s="19"/>
      <c r="C268" s="19"/>
      <c r="D268" s="19"/>
      <c r="E268" s="21"/>
      <c r="F268" s="19"/>
      <c r="G268" s="27" t="str">
        <f aca="false">IF(B268="","",IFERROR(INDEX(Jeux!$C$2:$C$3001,MATCH(B268,Jeux!$A$2:$A$3001,0))&amp;"","⚠ jeu inconnu"))</f>
        <v/>
      </c>
      <c r="H268" s="27" t="str">
        <f aca="false">IF(B268="","",IFERROR(INDEX(Jeux!$D$2:$D$3001,MATCH(B268,Jeux!$A$2:$A$3001,0))&amp;"",""))</f>
        <v/>
      </c>
      <c r="I268" s="26" t="str">
        <f aca="false">IF(A268="","",COUNTIF(Apparitions!$G$2:$G$5001,A268))</f>
        <v/>
      </c>
      <c r="J268" s="26" t="str">
        <f aca="false">IF(A268="","",COUNTIFS(Apparitions!$G$2:$G$5001,A268,Apparitions!$E$2:$E$5001,"○"))</f>
        <v/>
      </c>
      <c r="K268" s="29" t="str">
        <f aca="false">IF(A268="","",IFERROR(1/(1/_xlfn.MINIFS(Apparitions!$L$2:$L$5001,Apparitions!$G$2:$G$5001,A268)),""))</f>
        <v/>
      </c>
      <c r="L268" s="27" t="str">
        <f aca="false">IF(A268="","",A268&amp;" | "&amp;B268&amp;IF(C268="",""," ("&amp;C268&amp;")")&amp;IF(D268="",""," - "&amp;D268))</f>
        <v/>
      </c>
    </row>
    <row r="269" customFormat="false" ht="15" hidden="false" customHeight="false" outlineLevel="0" collapsed="false">
      <c r="A269" s="32"/>
      <c r="B269" s="19"/>
      <c r="C269" s="19"/>
      <c r="D269" s="19"/>
      <c r="E269" s="21"/>
      <c r="F269" s="19"/>
      <c r="G269" s="27" t="str">
        <f aca="false">IF(B269="","",IFERROR(INDEX(Jeux!$C$2:$C$3001,MATCH(B269,Jeux!$A$2:$A$3001,0))&amp;"","⚠ jeu inconnu"))</f>
        <v/>
      </c>
      <c r="H269" s="27" t="str">
        <f aca="false">IF(B269="","",IFERROR(INDEX(Jeux!$D$2:$D$3001,MATCH(B269,Jeux!$A$2:$A$3001,0))&amp;"",""))</f>
        <v/>
      </c>
      <c r="I269" s="26" t="str">
        <f aca="false">IF(A269="","",COUNTIF(Apparitions!$G$2:$G$5001,A269))</f>
        <v/>
      </c>
      <c r="J269" s="26" t="str">
        <f aca="false">IF(A269="","",COUNTIFS(Apparitions!$G$2:$G$5001,A269,Apparitions!$E$2:$E$5001,"○"))</f>
        <v/>
      </c>
      <c r="K269" s="29" t="str">
        <f aca="false">IF(A269="","",IFERROR(1/(1/_xlfn.MINIFS(Apparitions!$L$2:$L$5001,Apparitions!$G$2:$G$5001,A269)),""))</f>
        <v/>
      </c>
      <c r="L269" s="27" t="str">
        <f aca="false">IF(A269="","",A269&amp;" | "&amp;B269&amp;IF(C269="",""," ("&amp;C269&amp;")")&amp;IF(D269="",""," - "&amp;D269))</f>
        <v/>
      </c>
    </row>
    <row r="270" customFormat="false" ht="15" hidden="false" customHeight="false" outlineLevel="0" collapsed="false">
      <c r="A270" s="32"/>
      <c r="B270" s="19"/>
      <c r="C270" s="19"/>
      <c r="D270" s="19"/>
      <c r="E270" s="21"/>
      <c r="F270" s="19"/>
      <c r="G270" s="27" t="str">
        <f aca="false">IF(B270="","",IFERROR(INDEX(Jeux!$C$2:$C$3001,MATCH(B270,Jeux!$A$2:$A$3001,0))&amp;"","⚠ jeu inconnu"))</f>
        <v/>
      </c>
      <c r="H270" s="27" t="str">
        <f aca="false">IF(B270="","",IFERROR(INDEX(Jeux!$D$2:$D$3001,MATCH(B270,Jeux!$A$2:$A$3001,0))&amp;"",""))</f>
        <v/>
      </c>
      <c r="I270" s="26" t="str">
        <f aca="false">IF(A270="","",COUNTIF(Apparitions!$G$2:$G$5001,A270))</f>
        <v/>
      </c>
      <c r="J270" s="26" t="str">
        <f aca="false">IF(A270="","",COUNTIFS(Apparitions!$G$2:$G$5001,A270,Apparitions!$E$2:$E$5001,"○"))</f>
        <v/>
      </c>
      <c r="K270" s="29" t="str">
        <f aca="false">IF(A270="","",IFERROR(1/(1/_xlfn.MINIFS(Apparitions!$L$2:$L$5001,Apparitions!$G$2:$G$5001,A270)),""))</f>
        <v/>
      </c>
      <c r="L270" s="27" t="str">
        <f aca="false">IF(A270="","",A270&amp;" | "&amp;B270&amp;IF(C270="",""," ("&amp;C270&amp;")")&amp;IF(D270="",""," - "&amp;D270))</f>
        <v/>
      </c>
    </row>
    <row r="271" customFormat="false" ht="15" hidden="false" customHeight="false" outlineLevel="0" collapsed="false">
      <c r="A271" s="32"/>
      <c r="B271" s="19"/>
      <c r="C271" s="19"/>
      <c r="D271" s="19"/>
      <c r="E271" s="21"/>
      <c r="F271" s="19"/>
      <c r="G271" s="27" t="str">
        <f aca="false">IF(B271="","",IFERROR(INDEX(Jeux!$C$2:$C$3001,MATCH(B271,Jeux!$A$2:$A$3001,0))&amp;"","⚠ jeu inconnu"))</f>
        <v/>
      </c>
      <c r="H271" s="27" t="str">
        <f aca="false">IF(B271="","",IFERROR(INDEX(Jeux!$D$2:$D$3001,MATCH(B271,Jeux!$A$2:$A$3001,0))&amp;"",""))</f>
        <v/>
      </c>
      <c r="I271" s="26" t="str">
        <f aca="false">IF(A271="","",COUNTIF(Apparitions!$G$2:$G$5001,A271))</f>
        <v/>
      </c>
      <c r="J271" s="26" t="str">
        <f aca="false">IF(A271="","",COUNTIFS(Apparitions!$G$2:$G$5001,A271,Apparitions!$E$2:$E$5001,"○"))</f>
        <v/>
      </c>
      <c r="K271" s="29" t="str">
        <f aca="false">IF(A271="","",IFERROR(1/(1/_xlfn.MINIFS(Apparitions!$L$2:$L$5001,Apparitions!$G$2:$G$5001,A271)),""))</f>
        <v/>
      </c>
      <c r="L271" s="27" t="str">
        <f aca="false">IF(A271="","",A271&amp;" | "&amp;B271&amp;IF(C271="",""," ("&amp;C271&amp;")")&amp;IF(D271="",""," - "&amp;D271))</f>
        <v/>
      </c>
    </row>
    <row r="272" customFormat="false" ht="15" hidden="false" customHeight="false" outlineLevel="0" collapsed="false">
      <c r="A272" s="32"/>
      <c r="B272" s="19"/>
      <c r="C272" s="19"/>
      <c r="D272" s="19"/>
      <c r="E272" s="21"/>
      <c r="F272" s="19"/>
      <c r="G272" s="27" t="str">
        <f aca="false">IF(B272="","",IFERROR(INDEX(Jeux!$C$2:$C$3001,MATCH(B272,Jeux!$A$2:$A$3001,0))&amp;"","⚠ jeu inconnu"))</f>
        <v/>
      </c>
      <c r="H272" s="27" t="str">
        <f aca="false">IF(B272="","",IFERROR(INDEX(Jeux!$D$2:$D$3001,MATCH(B272,Jeux!$A$2:$A$3001,0))&amp;"",""))</f>
        <v/>
      </c>
      <c r="I272" s="26" t="str">
        <f aca="false">IF(A272="","",COUNTIF(Apparitions!$G$2:$G$5001,A272))</f>
        <v/>
      </c>
      <c r="J272" s="26" t="str">
        <f aca="false">IF(A272="","",COUNTIFS(Apparitions!$G$2:$G$5001,A272,Apparitions!$E$2:$E$5001,"○"))</f>
        <v/>
      </c>
      <c r="K272" s="29" t="str">
        <f aca="false">IF(A272="","",IFERROR(1/(1/_xlfn.MINIFS(Apparitions!$L$2:$L$5001,Apparitions!$G$2:$G$5001,A272)),""))</f>
        <v/>
      </c>
      <c r="L272" s="27" t="str">
        <f aca="false">IF(A272="","",A272&amp;" | "&amp;B272&amp;IF(C272="",""," ("&amp;C272&amp;")")&amp;IF(D272="",""," - "&amp;D272))</f>
        <v/>
      </c>
    </row>
    <row r="273" customFormat="false" ht="15" hidden="false" customHeight="false" outlineLevel="0" collapsed="false">
      <c r="A273" s="32"/>
      <c r="B273" s="19"/>
      <c r="C273" s="19"/>
      <c r="D273" s="19"/>
      <c r="E273" s="21"/>
      <c r="F273" s="19"/>
      <c r="G273" s="27" t="str">
        <f aca="false">IF(B273="","",IFERROR(INDEX(Jeux!$C$2:$C$3001,MATCH(B273,Jeux!$A$2:$A$3001,0))&amp;"","⚠ jeu inconnu"))</f>
        <v/>
      </c>
      <c r="H273" s="27" t="str">
        <f aca="false">IF(B273="","",IFERROR(INDEX(Jeux!$D$2:$D$3001,MATCH(B273,Jeux!$A$2:$A$3001,0))&amp;"",""))</f>
        <v/>
      </c>
      <c r="I273" s="26" t="str">
        <f aca="false">IF(A273="","",COUNTIF(Apparitions!$G$2:$G$5001,A273))</f>
        <v/>
      </c>
      <c r="J273" s="26" t="str">
        <f aca="false">IF(A273="","",COUNTIFS(Apparitions!$G$2:$G$5001,A273,Apparitions!$E$2:$E$5001,"○"))</f>
        <v/>
      </c>
      <c r="K273" s="29" t="str">
        <f aca="false">IF(A273="","",IFERROR(1/(1/_xlfn.MINIFS(Apparitions!$L$2:$L$5001,Apparitions!$G$2:$G$5001,A273)),""))</f>
        <v/>
      </c>
      <c r="L273" s="27" t="str">
        <f aca="false">IF(A273="","",A273&amp;" | "&amp;B273&amp;IF(C273="",""," ("&amp;C273&amp;")")&amp;IF(D273="",""," - "&amp;D273))</f>
        <v/>
      </c>
    </row>
    <row r="274" customFormat="false" ht="15" hidden="false" customHeight="false" outlineLevel="0" collapsed="false">
      <c r="A274" s="32"/>
      <c r="B274" s="19"/>
      <c r="C274" s="19"/>
      <c r="D274" s="19"/>
      <c r="E274" s="21"/>
      <c r="F274" s="19"/>
      <c r="G274" s="27" t="str">
        <f aca="false">IF(B274="","",IFERROR(INDEX(Jeux!$C$2:$C$3001,MATCH(B274,Jeux!$A$2:$A$3001,0))&amp;"","⚠ jeu inconnu"))</f>
        <v/>
      </c>
      <c r="H274" s="27" t="str">
        <f aca="false">IF(B274="","",IFERROR(INDEX(Jeux!$D$2:$D$3001,MATCH(B274,Jeux!$A$2:$A$3001,0))&amp;"",""))</f>
        <v/>
      </c>
      <c r="I274" s="26" t="str">
        <f aca="false">IF(A274="","",COUNTIF(Apparitions!$G$2:$G$5001,A274))</f>
        <v/>
      </c>
      <c r="J274" s="26" t="str">
        <f aca="false">IF(A274="","",COUNTIFS(Apparitions!$G$2:$G$5001,A274,Apparitions!$E$2:$E$5001,"○"))</f>
        <v/>
      </c>
      <c r="K274" s="29" t="str">
        <f aca="false">IF(A274="","",IFERROR(1/(1/_xlfn.MINIFS(Apparitions!$L$2:$L$5001,Apparitions!$G$2:$G$5001,A274)),""))</f>
        <v/>
      </c>
      <c r="L274" s="27" t="str">
        <f aca="false">IF(A274="","",A274&amp;" | "&amp;B274&amp;IF(C274="",""," ("&amp;C274&amp;")")&amp;IF(D274="",""," - "&amp;D274))</f>
        <v/>
      </c>
    </row>
    <row r="275" customFormat="false" ht="15" hidden="false" customHeight="false" outlineLevel="0" collapsed="false">
      <c r="A275" s="32"/>
      <c r="B275" s="19"/>
      <c r="C275" s="19"/>
      <c r="D275" s="19"/>
      <c r="E275" s="21"/>
      <c r="F275" s="19"/>
      <c r="G275" s="27" t="str">
        <f aca="false">IF(B275="","",IFERROR(INDEX(Jeux!$C$2:$C$3001,MATCH(B275,Jeux!$A$2:$A$3001,0))&amp;"","⚠ jeu inconnu"))</f>
        <v/>
      </c>
      <c r="H275" s="27" t="str">
        <f aca="false">IF(B275="","",IFERROR(INDEX(Jeux!$D$2:$D$3001,MATCH(B275,Jeux!$A$2:$A$3001,0))&amp;"",""))</f>
        <v/>
      </c>
      <c r="I275" s="26" t="str">
        <f aca="false">IF(A275="","",COUNTIF(Apparitions!$G$2:$G$5001,A275))</f>
        <v/>
      </c>
      <c r="J275" s="26" t="str">
        <f aca="false">IF(A275="","",COUNTIFS(Apparitions!$G$2:$G$5001,A275,Apparitions!$E$2:$E$5001,"○"))</f>
        <v/>
      </c>
      <c r="K275" s="29" t="str">
        <f aca="false">IF(A275="","",IFERROR(1/(1/_xlfn.MINIFS(Apparitions!$L$2:$L$5001,Apparitions!$G$2:$G$5001,A275)),""))</f>
        <v/>
      </c>
      <c r="L275" s="27" t="str">
        <f aca="false">IF(A275="","",A275&amp;" | "&amp;B275&amp;IF(C275="",""," ("&amp;C275&amp;")")&amp;IF(D275="",""," - "&amp;D275))</f>
        <v/>
      </c>
    </row>
    <row r="276" customFormat="false" ht="15" hidden="false" customHeight="false" outlineLevel="0" collapsed="false">
      <c r="A276" s="32"/>
      <c r="B276" s="19"/>
      <c r="C276" s="19"/>
      <c r="D276" s="19"/>
      <c r="E276" s="21"/>
      <c r="F276" s="19"/>
      <c r="G276" s="27" t="str">
        <f aca="false">IF(B276="","",IFERROR(INDEX(Jeux!$C$2:$C$3001,MATCH(B276,Jeux!$A$2:$A$3001,0))&amp;"","⚠ jeu inconnu"))</f>
        <v/>
      </c>
      <c r="H276" s="27" t="str">
        <f aca="false">IF(B276="","",IFERROR(INDEX(Jeux!$D$2:$D$3001,MATCH(B276,Jeux!$A$2:$A$3001,0))&amp;"",""))</f>
        <v/>
      </c>
      <c r="I276" s="26" t="str">
        <f aca="false">IF(A276="","",COUNTIF(Apparitions!$G$2:$G$5001,A276))</f>
        <v/>
      </c>
      <c r="J276" s="26" t="str">
        <f aca="false">IF(A276="","",COUNTIFS(Apparitions!$G$2:$G$5001,A276,Apparitions!$E$2:$E$5001,"○"))</f>
        <v/>
      </c>
      <c r="K276" s="29" t="str">
        <f aca="false">IF(A276="","",IFERROR(1/(1/_xlfn.MINIFS(Apparitions!$L$2:$L$5001,Apparitions!$G$2:$G$5001,A276)),""))</f>
        <v/>
      </c>
      <c r="L276" s="27" t="str">
        <f aca="false">IF(A276="","",A276&amp;" | "&amp;B276&amp;IF(C276="",""," ("&amp;C276&amp;")")&amp;IF(D276="",""," - "&amp;D276))</f>
        <v/>
      </c>
    </row>
    <row r="277" customFormat="false" ht="15" hidden="false" customHeight="false" outlineLevel="0" collapsed="false">
      <c r="A277" s="32"/>
      <c r="B277" s="19"/>
      <c r="C277" s="19"/>
      <c r="D277" s="19"/>
      <c r="E277" s="21"/>
      <c r="F277" s="19"/>
      <c r="G277" s="27" t="str">
        <f aca="false">IF(B277="","",IFERROR(INDEX(Jeux!$C$2:$C$3001,MATCH(B277,Jeux!$A$2:$A$3001,0))&amp;"","⚠ jeu inconnu"))</f>
        <v/>
      </c>
      <c r="H277" s="27" t="str">
        <f aca="false">IF(B277="","",IFERROR(INDEX(Jeux!$D$2:$D$3001,MATCH(B277,Jeux!$A$2:$A$3001,0))&amp;"",""))</f>
        <v/>
      </c>
      <c r="I277" s="26" t="str">
        <f aca="false">IF(A277="","",COUNTIF(Apparitions!$G$2:$G$5001,A277))</f>
        <v/>
      </c>
      <c r="J277" s="26" t="str">
        <f aca="false">IF(A277="","",COUNTIFS(Apparitions!$G$2:$G$5001,A277,Apparitions!$E$2:$E$5001,"○"))</f>
        <v/>
      </c>
      <c r="K277" s="29" t="str">
        <f aca="false">IF(A277="","",IFERROR(1/(1/_xlfn.MINIFS(Apparitions!$L$2:$L$5001,Apparitions!$G$2:$G$5001,A277)),""))</f>
        <v/>
      </c>
      <c r="L277" s="27" t="str">
        <f aca="false">IF(A277="","",A277&amp;" | "&amp;B277&amp;IF(C277="",""," ("&amp;C277&amp;")")&amp;IF(D277="",""," - "&amp;D277))</f>
        <v/>
      </c>
    </row>
    <row r="278" customFormat="false" ht="15" hidden="false" customHeight="false" outlineLevel="0" collapsed="false">
      <c r="A278" s="32"/>
      <c r="B278" s="19"/>
      <c r="C278" s="19"/>
      <c r="D278" s="19"/>
      <c r="E278" s="21"/>
      <c r="F278" s="19"/>
      <c r="G278" s="27" t="str">
        <f aca="false">IF(B278="","",IFERROR(INDEX(Jeux!$C$2:$C$3001,MATCH(B278,Jeux!$A$2:$A$3001,0))&amp;"","⚠ jeu inconnu"))</f>
        <v/>
      </c>
      <c r="H278" s="27" t="str">
        <f aca="false">IF(B278="","",IFERROR(INDEX(Jeux!$D$2:$D$3001,MATCH(B278,Jeux!$A$2:$A$3001,0))&amp;"",""))</f>
        <v/>
      </c>
      <c r="I278" s="26" t="str">
        <f aca="false">IF(A278="","",COUNTIF(Apparitions!$G$2:$G$5001,A278))</f>
        <v/>
      </c>
      <c r="J278" s="26" t="str">
        <f aca="false">IF(A278="","",COUNTIFS(Apparitions!$G$2:$G$5001,A278,Apparitions!$E$2:$E$5001,"○"))</f>
        <v/>
      </c>
      <c r="K278" s="29" t="str">
        <f aca="false">IF(A278="","",IFERROR(1/(1/_xlfn.MINIFS(Apparitions!$L$2:$L$5001,Apparitions!$G$2:$G$5001,A278)),""))</f>
        <v/>
      </c>
      <c r="L278" s="27" t="str">
        <f aca="false">IF(A278="","",A278&amp;" | "&amp;B278&amp;IF(C278="",""," ("&amp;C278&amp;")")&amp;IF(D278="",""," - "&amp;D278))</f>
        <v/>
      </c>
    </row>
    <row r="279" customFormat="false" ht="15" hidden="false" customHeight="false" outlineLevel="0" collapsed="false">
      <c r="A279" s="32"/>
      <c r="B279" s="19"/>
      <c r="C279" s="19"/>
      <c r="D279" s="19"/>
      <c r="E279" s="21"/>
      <c r="F279" s="19"/>
      <c r="G279" s="27" t="str">
        <f aca="false">IF(B279="","",IFERROR(INDEX(Jeux!$C$2:$C$3001,MATCH(B279,Jeux!$A$2:$A$3001,0))&amp;"","⚠ jeu inconnu"))</f>
        <v/>
      </c>
      <c r="H279" s="27" t="str">
        <f aca="false">IF(B279="","",IFERROR(INDEX(Jeux!$D$2:$D$3001,MATCH(B279,Jeux!$A$2:$A$3001,0))&amp;"",""))</f>
        <v/>
      </c>
      <c r="I279" s="26" t="str">
        <f aca="false">IF(A279="","",COUNTIF(Apparitions!$G$2:$G$5001,A279))</f>
        <v/>
      </c>
      <c r="J279" s="26" t="str">
        <f aca="false">IF(A279="","",COUNTIFS(Apparitions!$G$2:$G$5001,A279,Apparitions!$E$2:$E$5001,"○"))</f>
        <v/>
      </c>
      <c r="K279" s="29" t="str">
        <f aca="false">IF(A279="","",IFERROR(1/(1/_xlfn.MINIFS(Apparitions!$L$2:$L$5001,Apparitions!$G$2:$G$5001,A279)),""))</f>
        <v/>
      </c>
      <c r="L279" s="27" t="str">
        <f aca="false">IF(A279="","",A279&amp;" | "&amp;B279&amp;IF(C279="",""," ("&amp;C279&amp;")")&amp;IF(D279="",""," - "&amp;D279))</f>
        <v/>
      </c>
    </row>
    <row r="280" customFormat="false" ht="15" hidden="false" customHeight="false" outlineLevel="0" collapsed="false">
      <c r="A280" s="32"/>
      <c r="B280" s="19"/>
      <c r="C280" s="19"/>
      <c r="D280" s="19"/>
      <c r="E280" s="21"/>
      <c r="F280" s="19"/>
      <c r="G280" s="27" t="str">
        <f aca="false">IF(B280="","",IFERROR(INDEX(Jeux!$C$2:$C$3001,MATCH(B280,Jeux!$A$2:$A$3001,0))&amp;"","⚠ jeu inconnu"))</f>
        <v/>
      </c>
      <c r="H280" s="27" t="str">
        <f aca="false">IF(B280="","",IFERROR(INDEX(Jeux!$D$2:$D$3001,MATCH(B280,Jeux!$A$2:$A$3001,0))&amp;"",""))</f>
        <v/>
      </c>
      <c r="I280" s="26" t="str">
        <f aca="false">IF(A280="","",COUNTIF(Apparitions!$G$2:$G$5001,A280))</f>
        <v/>
      </c>
      <c r="J280" s="26" t="str">
        <f aca="false">IF(A280="","",COUNTIFS(Apparitions!$G$2:$G$5001,A280,Apparitions!$E$2:$E$5001,"○"))</f>
        <v/>
      </c>
      <c r="K280" s="29" t="str">
        <f aca="false">IF(A280="","",IFERROR(1/(1/_xlfn.MINIFS(Apparitions!$L$2:$L$5001,Apparitions!$G$2:$G$5001,A280)),""))</f>
        <v/>
      </c>
      <c r="L280" s="27" t="str">
        <f aca="false">IF(A280="","",A280&amp;" | "&amp;B280&amp;IF(C280="",""," ("&amp;C280&amp;")")&amp;IF(D280="",""," - "&amp;D280))</f>
        <v/>
      </c>
    </row>
    <row r="281" customFormat="false" ht="15" hidden="false" customHeight="false" outlineLevel="0" collapsed="false">
      <c r="A281" s="32"/>
      <c r="B281" s="19"/>
      <c r="C281" s="19"/>
      <c r="D281" s="19"/>
      <c r="E281" s="21"/>
      <c r="F281" s="19"/>
      <c r="G281" s="27" t="str">
        <f aca="false">IF(B281="","",IFERROR(INDEX(Jeux!$C$2:$C$3001,MATCH(B281,Jeux!$A$2:$A$3001,0))&amp;"","⚠ jeu inconnu"))</f>
        <v/>
      </c>
      <c r="H281" s="27" t="str">
        <f aca="false">IF(B281="","",IFERROR(INDEX(Jeux!$D$2:$D$3001,MATCH(B281,Jeux!$A$2:$A$3001,0))&amp;"",""))</f>
        <v/>
      </c>
      <c r="I281" s="26" t="str">
        <f aca="false">IF(A281="","",COUNTIF(Apparitions!$G$2:$G$5001,A281))</f>
        <v/>
      </c>
      <c r="J281" s="26" t="str">
        <f aca="false">IF(A281="","",COUNTIFS(Apparitions!$G$2:$G$5001,A281,Apparitions!$E$2:$E$5001,"○"))</f>
        <v/>
      </c>
      <c r="K281" s="29" t="str">
        <f aca="false">IF(A281="","",IFERROR(1/(1/_xlfn.MINIFS(Apparitions!$L$2:$L$5001,Apparitions!$G$2:$G$5001,A281)),""))</f>
        <v/>
      </c>
      <c r="L281" s="27" t="str">
        <f aca="false">IF(A281="","",A281&amp;" | "&amp;B281&amp;IF(C281="",""," ("&amp;C281&amp;")")&amp;IF(D281="",""," - "&amp;D281))</f>
        <v/>
      </c>
    </row>
    <row r="282" customFormat="false" ht="15" hidden="false" customHeight="false" outlineLevel="0" collapsed="false">
      <c r="A282" s="32"/>
      <c r="B282" s="19"/>
      <c r="C282" s="19"/>
      <c r="D282" s="19"/>
      <c r="E282" s="21"/>
      <c r="F282" s="19"/>
      <c r="G282" s="27" t="str">
        <f aca="false">IF(B282="","",IFERROR(INDEX(Jeux!$C$2:$C$3001,MATCH(B282,Jeux!$A$2:$A$3001,0))&amp;"","⚠ jeu inconnu"))</f>
        <v/>
      </c>
      <c r="H282" s="27" t="str">
        <f aca="false">IF(B282="","",IFERROR(INDEX(Jeux!$D$2:$D$3001,MATCH(B282,Jeux!$A$2:$A$3001,0))&amp;"",""))</f>
        <v/>
      </c>
      <c r="I282" s="26" t="str">
        <f aca="false">IF(A282="","",COUNTIF(Apparitions!$G$2:$G$5001,A282))</f>
        <v/>
      </c>
      <c r="J282" s="26" t="str">
        <f aca="false">IF(A282="","",COUNTIFS(Apparitions!$G$2:$G$5001,A282,Apparitions!$E$2:$E$5001,"○"))</f>
        <v/>
      </c>
      <c r="K282" s="29" t="str">
        <f aca="false">IF(A282="","",IFERROR(1/(1/_xlfn.MINIFS(Apparitions!$L$2:$L$5001,Apparitions!$G$2:$G$5001,A282)),""))</f>
        <v/>
      </c>
      <c r="L282" s="27" t="str">
        <f aca="false">IF(A282="","",A282&amp;" | "&amp;B282&amp;IF(C282="",""," ("&amp;C282&amp;")")&amp;IF(D282="",""," - "&amp;D282))</f>
        <v/>
      </c>
    </row>
    <row r="283" customFormat="false" ht="15" hidden="false" customHeight="false" outlineLevel="0" collapsed="false">
      <c r="A283" s="32"/>
      <c r="B283" s="19"/>
      <c r="C283" s="19"/>
      <c r="D283" s="19"/>
      <c r="E283" s="21"/>
      <c r="F283" s="19"/>
      <c r="G283" s="27" t="str">
        <f aca="false">IF(B283="","",IFERROR(INDEX(Jeux!$C$2:$C$3001,MATCH(B283,Jeux!$A$2:$A$3001,0))&amp;"","⚠ jeu inconnu"))</f>
        <v/>
      </c>
      <c r="H283" s="27" t="str">
        <f aca="false">IF(B283="","",IFERROR(INDEX(Jeux!$D$2:$D$3001,MATCH(B283,Jeux!$A$2:$A$3001,0))&amp;"",""))</f>
        <v/>
      </c>
      <c r="I283" s="26" t="str">
        <f aca="false">IF(A283="","",COUNTIF(Apparitions!$G$2:$G$5001,A283))</f>
        <v/>
      </c>
      <c r="J283" s="26" t="str">
        <f aca="false">IF(A283="","",COUNTIFS(Apparitions!$G$2:$G$5001,A283,Apparitions!$E$2:$E$5001,"○"))</f>
        <v/>
      </c>
      <c r="K283" s="29" t="str">
        <f aca="false">IF(A283="","",IFERROR(1/(1/_xlfn.MINIFS(Apparitions!$L$2:$L$5001,Apparitions!$G$2:$G$5001,A283)),""))</f>
        <v/>
      </c>
      <c r="L283" s="27" t="str">
        <f aca="false">IF(A283="","",A283&amp;" | "&amp;B283&amp;IF(C283="",""," ("&amp;C283&amp;")")&amp;IF(D283="",""," - "&amp;D283))</f>
        <v/>
      </c>
    </row>
    <row r="284" customFormat="false" ht="15" hidden="false" customHeight="false" outlineLevel="0" collapsed="false">
      <c r="A284" s="32"/>
      <c r="B284" s="19"/>
      <c r="C284" s="19"/>
      <c r="D284" s="19"/>
      <c r="E284" s="21"/>
      <c r="F284" s="19"/>
      <c r="G284" s="27" t="str">
        <f aca="false">IF(B284="","",IFERROR(INDEX(Jeux!$C$2:$C$3001,MATCH(B284,Jeux!$A$2:$A$3001,0))&amp;"","⚠ jeu inconnu"))</f>
        <v/>
      </c>
      <c r="H284" s="27" t="str">
        <f aca="false">IF(B284="","",IFERROR(INDEX(Jeux!$D$2:$D$3001,MATCH(B284,Jeux!$A$2:$A$3001,0))&amp;"",""))</f>
        <v/>
      </c>
      <c r="I284" s="26" t="str">
        <f aca="false">IF(A284="","",COUNTIF(Apparitions!$G$2:$G$5001,A284))</f>
        <v/>
      </c>
      <c r="J284" s="26" t="str">
        <f aca="false">IF(A284="","",COUNTIFS(Apparitions!$G$2:$G$5001,A284,Apparitions!$E$2:$E$5001,"○"))</f>
        <v/>
      </c>
      <c r="K284" s="29" t="str">
        <f aca="false">IF(A284="","",IFERROR(1/(1/_xlfn.MINIFS(Apparitions!$L$2:$L$5001,Apparitions!$G$2:$G$5001,A284)),""))</f>
        <v/>
      </c>
      <c r="L284" s="27" t="str">
        <f aca="false">IF(A284="","",A284&amp;" | "&amp;B284&amp;IF(C284="",""," ("&amp;C284&amp;")")&amp;IF(D284="",""," - "&amp;D284))</f>
        <v/>
      </c>
    </row>
    <row r="285" customFormat="false" ht="15" hidden="false" customHeight="false" outlineLevel="0" collapsed="false">
      <c r="A285" s="32"/>
      <c r="B285" s="19"/>
      <c r="C285" s="19"/>
      <c r="D285" s="19"/>
      <c r="E285" s="21"/>
      <c r="F285" s="19"/>
      <c r="G285" s="27" t="str">
        <f aca="false">IF(B285="","",IFERROR(INDEX(Jeux!$C$2:$C$3001,MATCH(B285,Jeux!$A$2:$A$3001,0))&amp;"","⚠ jeu inconnu"))</f>
        <v/>
      </c>
      <c r="H285" s="27" t="str">
        <f aca="false">IF(B285="","",IFERROR(INDEX(Jeux!$D$2:$D$3001,MATCH(B285,Jeux!$A$2:$A$3001,0))&amp;"",""))</f>
        <v/>
      </c>
      <c r="I285" s="26" t="str">
        <f aca="false">IF(A285="","",COUNTIF(Apparitions!$G$2:$G$5001,A285))</f>
        <v/>
      </c>
      <c r="J285" s="26" t="str">
        <f aca="false">IF(A285="","",COUNTIFS(Apparitions!$G$2:$G$5001,A285,Apparitions!$E$2:$E$5001,"○"))</f>
        <v/>
      </c>
      <c r="K285" s="29" t="str">
        <f aca="false">IF(A285="","",IFERROR(1/(1/_xlfn.MINIFS(Apparitions!$L$2:$L$5001,Apparitions!$G$2:$G$5001,A285)),""))</f>
        <v/>
      </c>
      <c r="L285" s="27" t="str">
        <f aca="false">IF(A285="","",A285&amp;" | "&amp;B285&amp;IF(C285="",""," ("&amp;C285&amp;")")&amp;IF(D285="",""," - "&amp;D285))</f>
        <v/>
      </c>
    </row>
    <row r="286" customFormat="false" ht="15" hidden="false" customHeight="false" outlineLevel="0" collapsed="false">
      <c r="A286" s="32"/>
      <c r="B286" s="19"/>
      <c r="C286" s="19"/>
      <c r="D286" s="19"/>
      <c r="E286" s="21"/>
      <c r="F286" s="19"/>
      <c r="G286" s="27" t="str">
        <f aca="false">IF(B286="","",IFERROR(INDEX(Jeux!$C$2:$C$3001,MATCH(B286,Jeux!$A$2:$A$3001,0))&amp;"","⚠ jeu inconnu"))</f>
        <v/>
      </c>
      <c r="H286" s="27" t="str">
        <f aca="false">IF(B286="","",IFERROR(INDEX(Jeux!$D$2:$D$3001,MATCH(B286,Jeux!$A$2:$A$3001,0))&amp;"",""))</f>
        <v/>
      </c>
      <c r="I286" s="26" t="str">
        <f aca="false">IF(A286="","",COUNTIF(Apparitions!$G$2:$G$5001,A286))</f>
        <v/>
      </c>
      <c r="J286" s="26" t="str">
        <f aca="false">IF(A286="","",COUNTIFS(Apparitions!$G$2:$G$5001,A286,Apparitions!$E$2:$E$5001,"○"))</f>
        <v/>
      </c>
      <c r="K286" s="29" t="str">
        <f aca="false">IF(A286="","",IFERROR(1/(1/_xlfn.MINIFS(Apparitions!$L$2:$L$5001,Apparitions!$G$2:$G$5001,A286)),""))</f>
        <v/>
      </c>
      <c r="L286" s="27" t="str">
        <f aca="false">IF(A286="","",A286&amp;" | "&amp;B286&amp;IF(C286="",""," ("&amp;C286&amp;")")&amp;IF(D286="",""," - "&amp;D286))</f>
        <v/>
      </c>
    </row>
    <row r="287" customFormat="false" ht="15" hidden="false" customHeight="false" outlineLevel="0" collapsed="false">
      <c r="A287" s="32"/>
      <c r="B287" s="19"/>
      <c r="C287" s="19"/>
      <c r="D287" s="19"/>
      <c r="E287" s="21"/>
      <c r="F287" s="19"/>
      <c r="G287" s="27" t="str">
        <f aca="false">IF(B287="","",IFERROR(INDEX(Jeux!$C$2:$C$3001,MATCH(B287,Jeux!$A$2:$A$3001,0))&amp;"","⚠ jeu inconnu"))</f>
        <v/>
      </c>
      <c r="H287" s="27" t="str">
        <f aca="false">IF(B287="","",IFERROR(INDEX(Jeux!$D$2:$D$3001,MATCH(B287,Jeux!$A$2:$A$3001,0))&amp;"",""))</f>
        <v/>
      </c>
      <c r="I287" s="26" t="str">
        <f aca="false">IF(A287="","",COUNTIF(Apparitions!$G$2:$G$5001,A287))</f>
        <v/>
      </c>
      <c r="J287" s="26" t="str">
        <f aca="false">IF(A287="","",COUNTIFS(Apparitions!$G$2:$G$5001,A287,Apparitions!$E$2:$E$5001,"○"))</f>
        <v/>
      </c>
      <c r="K287" s="29" t="str">
        <f aca="false">IF(A287="","",IFERROR(1/(1/_xlfn.MINIFS(Apparitions!$L$2:$L$5001,Apparitions!$G$2:$G$5001,A287)),""))</f>
        <v/>
      </c>
      <c r="L287" s="27" t="str">
        <f aca="false">IF(A287="","",A287&amp;" | "&amp;B287&amp;IF(C287="",""," ("&amp;C287&amp;")")&amp;IF(D287="",""," - "&amp;D287))</f>
        <v/>
      </c>
    </row>
    <row r="288" customFormat="false" ht="15" hidden="false" customHeight="false" outlineLevel="0" collapsed="false">
      <c r="A288" s="32"/>
      <c r="B288" s="19"/>
      <c r="C288" s="19"/>
      <c r="D288" s="19"/>
      <c r="E288" s="21"/>
      <c r="F288" s="19"/>
      <c r="G288" s="27" t="str">
        <f aca="false">IF(B288="","",IFERROR(INDEX(Jeux!$C$2:$C$3001,MATCH(B288,Jeux!$A$2:$A$3001,0))&amp;"","⚠ jeu inconnu"))</f>
        <v/>
      </c>
      <c r="H288" s="27" t="str">
        <f aca="false">IF(B288="","",IFERROR(INDEX(Jeux!$D$2:$D$3001,MATCH(B288,Jeux!$A$2:$A$3001,0))&amp;"",""))</f>
        <v/>
      </c>
      <c r="I288" s="26" t="str">
        <f aca="false">IF(A288="","",COUNTIF(Apparitions!$G$2:$G$5001,A288))</f>
        <v/>
      </c>
      <c r="J288" s="26" t="str">
        <f aca="false">IF(A288="","",COUNTIFS(Apparitions!$G$2:$G$5001,A288,Apparitions!$E$2:$E$5001,"○"))</f>
        <v/>
      </c>
      <c r="K288" s="29" t="str">
        <f aca="false">IF(A288="","",IFERROR(1/(1/_xlfn.MINIFS(Apparitions!$L$2:$L$5001,Apparitions!$G$2:$G$5001,A288)),""))</f>
        <v/>
      </c>
      <c r="L288" s="27" t="str">
        <f aca="false">IF(A288="","",A288&amp;" | "&amp;B288&amp;IF(C288="",""," ("&amp;C288&amp;")")&amp;IF(D288="",""," - "&amp;D288))</f>
        <v/>
      </c>
    </row>
    <row r="289" customFormat="false" ht="15" hidden="false" customHeight="false" outlineLevel="0" collapsed="false">
      <c r="A289" s="32"/>
      <c r="B289" s="19"/>
      <c r="C289" s="19"/>
      <c r="D289" s="19"/>
      <c r="E289" s="21"/>
      <c r="F289" s="19"/>
      <c r="G289" s="27" t="str">
        <f aca="false">IF(B289="","",IFERROR(INDEX(Jeux!$C$2:$C$3001,MATCH(B289,Jeux!$A$2:$A$3001,0))&amp;"","⚠ jeu inconnu"))</f>
        <v/>
      </c>
      <c r="H289" s="27" t="str">
        <f aca="false">IF(B289="","",IFERROR(INDEX(Jeux!$D$2:$D$3001,MATCH(B289,Jeux!$A$2:$A$3001,0))&amp;"",""))</f>
        <v/>
      </c>
      <c r="I289" s="26" t="str">
        <f aca="false">IF(A289="","",COUNTIF(Apparitions!$G$2:$G$5001,A289))</f>
        <v/>
      </c>
      <c r="J289" s="26" t="str">
        <f aca="false">IF(A289="","",COUNTIFS(Apparitions!$G$2:$G$5001,A289,Apparitions!$E$2:$E$5001,"○"))</f>
        <v/>
      </c>
      <c r="K289" s="29" t="str">
        <f aca="false">IF(A289="","",IFERROR(1/(1/_xlfn.MINIFS(Apparitions!$L$2:$L$5001,Apparitions!$G$2:$G$5001,A289)),""))</f>
        <v/>
      </c>
      <c r="L289" s="27" t="str">
        <f aca="false">IF(A289="","",A289&amp;" | "&amp;B289&amp;IF(C289="",""," ("&amp;C289&amp;")")&amp;IF(D289="",""," - "&amp;D289))</f>
        <v/>
      </c>
    </row>
    <row r="290" customFormat="false" ht="15" hidden="false" customHeight="false" outlineLevel="0" collapsed="false">
      <c r="A290" s="32"/>
      <c r="B290" s="19"/>
      <c r="C290" s="19"/>
      <c r="D290" s="19"/>
      <c r="E290" s="21"/>
      <c r="F290" s="19"/>
      <c r="G290" s="27" t="str">
        <f aca="false">IF(B290="","",IFERROR(INDEX(Jeux!$C$2:$C$3001,MATCH(B290,Jeux!$A$2:$A$3001,0))&amp;"","⚠ jeu inconnu"))</f>
        <v/>
      </c>
      <c r="H290" s="27" t="str">
        <f aca="false">IF(B290="","",IFERROR(INDEX(Jeux!$D$2:$D$3001,MATCH(B290,Jeux!$A$2:$A$3001,0))&amp;"",""))</f>
        <v/>
      </c>
      <c r="I290" s="26" t="str">
        <f aca="false">IF(A290="","",COUNTIF(Apparitions!$G$2:$G$5001,A290))</f>
        <v/>
      </c>
      <c r="J290" s="26" t="str">
        <f aca="false">IF(A290="","",COUNTIFS(Apparitions!$G$2:$G$5001,A290,Apparitions!$E$2:$E$5001,"○"))</f>
        <v/>
      </c>
      <c r="K290" s="29" t="str">
        <f aca="false">IF(A290="","",IFERROR(1/(1/_xlfn.MINIFS(Apparitions!$L$2:$L$5001,Apparitions!$G$2:$G$5001,A290)),""))</f>
        <v/>
      </c>
      <c r="L290" s="27" t="str">
        <f aca="false">IF(A290="","",A290&amp;" | "&amp;B290&amp;IF(C290="",""," ("&amp;C290&amp;")")&amp;IF(D290="",""," - "&amp;D290))</f>
        <v/>
      </c>
    </row>
    <row r="291" customFormat="false" ht="15" hidden="false" customHeight="false" outlineLevel="0" collapsed="false">
      <c r="A291" s="32"/>
      <c r="B291" s="19"/>
      <c r="C291" s="19"/>
      <c r="D291" s="19"/>
      <c r="E291" s="21"/>
      <c r="F291" s="19"/>
      <c r="G291" s="27" t="str">
        <f aca="false">IF(B291="","",IFERROR(INDEX(Jeux!$C$2:$C$3001,MATCH(B291,Jeux!$A$2:$A$3001,0))&amp;"","⚠ jeu inconnu"))</f>
        <v/>
      </c>
      <c r="H291" s="27" t="str">
        <f aca="false">IF(B291="","",IFERROR(INDEX(Jeux!$D$2:$D$3001,MATCH(B291,Jeux!$A$2:$A$3001,0))&amp;"",""))</f>
        <v/>
      </c>
      <c r="I291" s="26" t="str">
        <f aca="false">IF(A291="","",COUNTIF(Apparitions!$G$2:$G$5001,A291))</f>
        <v/>
      </c>
      <c r="J291" s="26" t="str">
        <f aca="false">IF(A291="","",COUNTIFS(Apparitions!$G$2:$G$5001,A291,Apparitions!$E$2:$E$5001,"○"))</f>
        <v/>
      </c>
      <c r="K291" s="29" t="str">
        <f aca="false">IF(A291="","",IFERROR(1/(1/_xlfn.MINIFS(Apparitions!$L$2:$L$5001,Apparitions!$G$2:$G$5001,A291)),""))</f>
        <v/>
      </c>
      <c r="L291" s="27" t="str">
        <f aca="false">IF(A291="","",A291&amp;" | "&amp;B291&amp;IF(C291="",""," ("&amp;C291&amp;")")&amp;IF(D291="",""," - "&amp;D291))</f>
        <v/>
      </c>
    </row>
    <row r="292" customFormat="false" ht="15" hidden="false" customHeight="false" outlineLevel="0" collapsed="false">
      <c r="A292" s="32"/>
      <c r="B292" s="19"/>
      <c r="C292" s="19"/>
      <c r="D292" s="19"/>
      <c r="E292" s="21"/>
      <c r="F292" s="19"/>
      <c r="G292" s="27" t="str">
        <f aca="false">IF(B292="","",IFERROR(INDEX(Jeux!$C$2:$C$3001,MATCH(B292,Jeux!$A$2:$A$3001,0))&amp;"","⚠ jeu inconnu"))</f>
        <v/>
      </c>
      <c r="H292" s="27" t="str">
        <f aca="false">IF(B292="","",IFERROR(INDEX(Jeux!$D$2:$D$3001,MATCH(B292,Jeux!$A$2:$A$3001,0))&amp;"",""))</f>
        <v/>
      </c>
      <c r="I292" s="26" t="str">
        <f aca="false">IF(A292="","",COUNTIF(Apparitions!$G$2:$G$5001,A292))</f>
        <v/>
      </c>
      <c r="J292" s="26" t="str">
        <f aca="false">IF(A292="","",COUNTIFS(Apparitions!$G$2:$G$5001,A292,Apparitions!$E$2:$E$5001,"○"))</f>
        <v/>
      </c>
      <c r="K292" s="29" t="str">
        <f aca="false">IF(A292="","",IFERROR(1/(1/_xlfn.MINIFS(Apparitions!$L$2:$L$5001,Apparitions!$G$2:$G$5001,A292)),""))</f>
        <v/>
      </c>
      <c r="L292" s="27" t="str">
        <f aca="false">IF(A292="","",A292&amp;" | "&amp;B292&amp;IF(C292="",""," ("&amp;C292&amp;")")&amp;IF(D292="",""," - "&amp;D292))</f>
        <v/>
      </c>
    </row>
    <row r="293" customFormat="false" ht="15" hidden="false" customHeight="false" outlineLevel="0" collapsed="false">
      <c r="A293" s="32"/>
      <c r="B293" s="19"/>
      <c r="C293" s="19"/>
      <c r="D293" s="19"/>
      <c r="E293" s="21"/>
      <c r="F293" s="19"/>
      <c r="G293" s="27" t="str">
        <f aca="false">IF(B293="","",IFERROR(INDEX(Jeux!$C$2:$C$3001,MATCH(B293,Jeux!$A$2:$A$3001,0))&amp;"","⚠ jeu inconnu"))</f>
        <v/>
      </c>
      <c r="H293" s="27" t="str">
        <f aca="false">IF(B293="","",IFERROR(INDEX(Jeux!$D$2:$D$3001,MATCH(B293,Jeux!$A$2:$A$3001,0))&amp;"",""))</f>
        <v/>
      </c>
      <c r="I293" s="26" t="str">
        <f aca="false">IF(A293="","",COUNTIF(Apparitions!$G$2:$G$5001,A293))</f>
        <v/>
      </c>
      <c r="J293" s="26" t="str">
        <f aca="false">IF(A293="","",COUNTIFS(Apparitions!$G$2:$G$5001,A293,Apparitions!$E$2:$E$5001,"○"))</f>
        <v/>
      </c>
      <c r="K293" s="29" t="str">
        <f aca="false">IF(A293="","",IFERROR(1/(1/_xlfn.MINIFS(Apparitions!$L$2:$L$5001,Apparitions!$G$2:$G$5001,A293)),""))</f>
        <v/>
      </c>
      <c r="L293" s="27" t="str">
        <f aca="false">IF(A293="","",A293&amp;" | "&amp;B293&amp;IF(C293="",""," ("&amp;C293&amp;")")&amp;IF(D293="",""," - "&amp;D293))</f>
        <v/>
      </c>
    </row>
    <row r="294" customFormat="false" ht="15" hidden="false" customHeight="false" outlineLevel="0" collapsed="false">
      <c r="A294" s="32"/>
      <c r="B294" s="19"/>
      <c r="C294" s="19"/>
      <c r="D294" s="19"/>
      <c r="E294" s="21"/>
      <c r="F294" s="19"/>
      <c r="G294" s="27" t="str">
        <f aca="false">IF(B294="","",IFERROR(INDEX(Jeux!$C$2:$C$3001,MATCH(B294,Jeux!$A$2:$A$3001,0))&amp;"","⚠ jeu inconnu"))</f>
        <v/>
      </c>
      <c r="H294" s="27" t="str">
        <f aca="false">IF(B294="","",IFERROR(INDEX(Jeux!$D$2:$D$3001,MATCH(B294,Jeux!$A$2:$A$3001,0))&amp;"",""))</f>
        <v/>
      </c>
      <c r="I294" s="26" t="str">
        <f aca="false">IF(A294="","",COUNTIF(Apparitions!$G$2:$G$5001,A294))</f>
        <v/>
      </c>
      <c r="J294" s="26" t="str">
        <f aca="false">IF(A294="","",COUNTIFS(Apparitions!$G$2:$G$5001,A294,Apparitions!$E$2:$E$5001,"○"))</f>
        <v/>
      </c>
      <c r="K294" s="29" t="str">
        <f aca="false">IF(A294="","",IFERROR(1/(1/_xlfn.MINIFS(Apparitions!$L$2:$L$5001,Apparitions!$G$2:$G$5001,A294)),""))</f>
        <v/>
      </c>
      <c r="L294" s="27" t="str">
        <f aca="false">IF(A294="","",A294&amp;" | "&amp;B294&amp;IF(C294="",""," ("&amp;C294&amp;")")&amp;IF(D294="",""," - "&amp;D294))</f>
        <v/>
      </c>
    </row>
    <row r="295" customFormat="false" ht="15" hidden="false" customHeight="false" outlineLevel="0" collapsed="false">
      <c r="A295" s="32"/>
      <c r="B295" s="19"/>
      <c r="C295" s="19"/>
      <c r="D295" s="19"/>
      <c r="E295" s="21"/>
      <c r="F295" s="19"/>
      <c r="G295" s="27" t="str">
        <f aca="false">IF(B295="","",IFERROR(INDEX(Jeux!$C$2:$C$3001,MATCH(B295,Jeux!$A$2:$A$3001,0))&amp;"","⚠ jeu inconnu"))</f>
        <v/>
      </c>
      <c r="H295" s="27" t="str">
        <f aca="false">IF(B295="","",IFERROR(INDEX(Jeux!$D$2:$D$3001,MATCH(B295,Jeux!$A$2:$A$3001,0))&amp;"",""))</f>
        <v/>
      </c>
      <c r="I295" s="26" t="str">
        <f aca="false">IF(A295="","",COUNTIF(Apparitions!$G$2:$G$5001,A295))</f>
        <v/>
      </c>
      <c r="J295" s="26" t="str">
        <f aca="false">IF(A295="","",COUNTIFS(Apparitions!$G$2:$G$5001,A295,Apparitions!$E$2:$E$5001,"○"))</f>
        <v/>
      </c>
      <c r="K295" s="29" t="str">
        <f aca="false">IF(A295="","",IFERROR(1/(1/_xlfn.MINIFS(Apparitions!$L$2:$L$5001,Apparitions!$G$2:$G$5001,A295)),""))</f>
        <v/>
      </c>
      <c r="L295" s="27" t="str">
        <f aca="false">IF(A295="","",A295&amp;" | "&amp;B295&amp;IF(C295="",""," ("&amp;C295&amp;")")&amp;IF(D295="",""," - "&amp;D295))</f>
        <v/>
      </c>
    </row>
    <row r="296" customFormat="false" ht="15" hidden="false" customHeight="false" outlineLevel="0" collapsed="false">
      <c r="A296" s="32"/>
      <c r="B296" s="19"/>
      <c r="C296" s="19"/>
      <c r="D296" s="19"/>
      <c r="E296" s="21"/>
      <c r="F296" s="19"/>
      <c r="G296" s="27" t="str">
        <f aca="false">IF(B296="","",IFERROR(INDEX(Jeux!$C$2:$C$3001,MATCH(B296,Jeux!$A$2:$A$3001,0))&amp;"","⚠ jeu inconnu"))</f>
        <v/>
      </c>
      <c r="H296" s="27" t="str">
        <f aca="false">IF(B296="","",IFERROR(INDEX(Jeux!$D$2:$D$3001,MATCH(B296,Jeux!$A$2:$A$3001,0))&amp;"",""))</f>
        <v/>
      </c>
      <c r="I296" s="26" t="str">
        <f aca="false">IF(A296="","",COUNTIF(Apparitions!$G$2:$G$5001,A296))</f>
        <v/>
      </c>
      <c r="J296" s="26" t="str">
        <f aca="false">IF(A296="","",COUNTIFS(Apparitions!$G$2:$G$5001,A296,Apparitions!$E$2:$E$5001,"○"))</f>
        <v/>
      </c>
      <c r="K296" s="29" t="str">
        <f aca="false">IF(A296="","",IFERROR(1/(1/_xlfn.MINIFS(Apparitions!$L$2:$L$5001,Apparitions!$G$2:$G$5001,A296)),""))</f>
        <v/>
      </c>
      <c r="L296" s="27" t="str">
        <f aca="false">IF(A296="","",A296&amp;" | "&amp;B296&amp;IF(C296="",""," ("&amp;C296&amp;")")&amp;IF(D296="",""," - "&amp;D296))</f>
        <v/>
      </c>
    </row>
    <row r="297" customFormat="false" ht="15" hidden="false" customHeight="false" outlineLevel="0" collapsed="false">
      <c r="A297" s="32"/>
      <c r="B297" s="19"/>
      <c r="C297" s="19"/>
      <c r="D297" s="19"/>
      <c r="E297" s="21"/>
      <c r="F297" s="19"/>
      <c r="G297" s="27" t="str">
        <f aca="false">IF(B297="","",IFERROR(INDEX(Jeux!$C$2:$C$3001,MATCH(B297,Jeux!$A$2:$A$3001,0))&amp;"","⚠ jeu inconnu"))</f>
        <v/>
      </c>
      <c r="H297" s="27" t="str">
        <f aca="false">IF(B297="","",IFERROR(INDEX(Jeux!$D$2:$D$3001,MATCH(B297,Jeux!$A$2:$A$3001,0))&amp;"",""))</f>
        <v/>
      </c>
      <c r="I297" s="26" t="str">
        <f aca="false">IF(A297="","",COUNTIF(Apparitions!$G$2:$G$5001,A297))</f>
        <v/>
      </c>
      <c r="J297" s="26" t="str">
        <f aca="false">IF(A297="","",COUNTIFS(Apparitions!$G$2:$G$5001,A297,Apparitions!$E$2:$E$5001,"○"))</f>
        <v/>
      </c>
      <c r="K297" s="29" t="str">
        <f aca="false">IF(A297="","",IFERROR(1/(1/_xlfn.MINIFS(Apparitions!$L$2:$L$5001,Apparitions!$G$2:$G$5001,A297)),""))</f>
        <v/>
      </c>
      <c r="L297" s="27" t="str">
        <f aca="false">IF(A297="","",A297&amp;" | "&amp;B297&amp;IF(C297="",""," ("&amp;C297&amp;")")&amp;IF(D297="",""," - "&amp;D297))</f>
        <v/>
      </c>
    </row>
    <row r="298" customFormat="false" ht="15" hidden="false" customHeight="false" outlineLevel="0" collapsed="false">
      <c r="A298" s="32"/>
      <c r="B298" s="19"/>
      <c r="C298" s="19"/>
      <c r="D298" s="19"/>
      <c r="E298" s="21"/>
      <c r="F298" s="19"/>
      <c r="G298" s="27" t="str">
        <f aca="false">IF(B298="","",IFERROR(INDEX(Jeux!$C$2:$C$3001,MATCH(B298,Jeux!$A$2:$A$3001,0))&amp;"","⚠ jeu inconnu"))</f>
        <v/>
      </c>
      <c r="H298" s="27" t="str">
        <f aca="false">IF(B298="","",IFERROR(INDEX(Jeux!$D$2:$D$3001,MATCH(B298,Jeux!$A$2:$A$3001,0))&amp;"",""))</f>
        <v/>
      </c>
      <c r="I298" s="26" t="str">
        <f aca="false">IF(A298="","",COUNTIF(Apparitions!$G$2:$G$5001,A298))</f>
        <v/>
      </c>
      <c r="J298" s="26" t="str">
        <f aca="false">IF(A298="","",COUNTIFS(Apparitions!$G$2:$G$5001,A298,Apparitions!$E$2:$E$5001,"○"))</f>
        <v/>
      </c>
      <c r="K298" s="29" t="str">
        <f aca="false">IF(A298="","",IFERROR(1/(1/_xlfn.MINIFS(Apparitions!$L$2:$L$5001,Apparitions!$G$2:$G$5001,A298)),""))</f>
        <v/>
      </c>
      <c r="L298" s="27" t="str">
        <f aca="false">IF(A298="","",A298&amp;" | "&amp;B298&amp;IF(C298="",""," ("&amp;C298&amp;")")&amp;IF(D298="",""," - "&amp;D298))</f>
        <v/>
      </c>
    </row>
    <row r="299" customFormat="false" ht="15" hidden="false" customHeight="false" outlineLevel="0" collapsed="false">
      <c r="A299" s="32"/>
      <c r="B299" s="19"/>
      <c r="C299" s="19"/>
      <c r="D299" s="19"/>
      <c r="E299" s="21"/>
      <c r="F299" s="19"/>
      <c r="G299" s="27" t="str">
        <f aca="false">IF(B299="","",IFERROR(INDEX(Jeux!$C$2:$C$3001,MATCH(B299,Jeux!$A$2:$A$3001,0))&amp;"","⚠ jeu inconnu"))</f>
        <v/>
      </c>
      <c r="H299" s="27" t="str">
        <f aca="false">IF(B299="","",IFERROR(INDEX(Jeux!$D$2:$D$3001,MATCH(B299,Jeux!$A$2:$A$3001,0))&amp;"",""))</f>
        <v/>
      </c>
      <c r="I299" s="26" t="str">
        <f aca="false">IF(A299="","",COUNTIF(Apparitions!$G$2:$G$5001,A299))</f>
        <v/>
      </c>
      <c r="J299" s="26" t="str">
        <f aca="false">IF(A299="","",COUNTIFS(Apparitions!$G$2:$G$5001,A299,Apparitions!$E$2:$E$5001,"○"))</f>
        <v/>
      </c>
      <c r="K299" s="29" t="str">
        <f aca="false">IF(A299="","",IFERROR(1/(1/_xlfn.MINIFS(Apparitions!$L$2:$L$5001,Apparitions!$G$2:$G$5001,A299)),""))</f>
        <v/>
      </c>
      <c r="L299" s="27" t="str">
        <f aca="false">IF(A299="","",A299&amp;" | "&amp;B299&amp;IF(C299="",""," ("&amp;C299&amp;")")&amp;IF(D299="",""," - "&amp;D299))</f>
        <v/>
      </c>
    </row>
    <row r="300" customFormat="false" ht="15" hidden="false" customHeight="false" outlineLevel="0" collapsed="false">
      <c r="A300" s="32"/>
      <c r="B300" s="19"/>
      <c r="C300" s="19"/>
      <c r="D300" s="19"/>
      <c r="E300" s="21"/>
      <c r="F300" s="19"/>
      <c r="G300" s="27" t="str">
        <f aca="false">IF(B300="","",IFERROR(INDEX(Jeux!$C$2:$C$3001,MATCH(B300,Jeux!$A$2:$A$3001,0))&amp;"","⚠ jeu inconnu"))</f>
        <v/>
      </c>
      <c r="H300" s="27" t="str">
        <f aca="false">IF(B300="","",IFERROR(INDEX(Jeux!$D$2:$D$3001,MATCH(B300,Jeux!$A$2:$A$3001,0))&amp;"",""))</f>
        <v/>
      </c>
      <c r="I300" s="26" t="str">
        <f aca="false">IF(A300="","",COUNTIF(Apparitions!$G$2:$G$5001,A300))</f>
        <v/>
      </c>
      <c r="J300" s="26" t="str">
        <f aca="false">IF(A300="","",COUNTIFS(Apparitions!$G$2:$G$5001,A300,Apparitions!$E$2:$E$5001,"○"))</f>
        <v/>
      </c>
      <c r="K300" s="29" t="str">
        <f aca="false">IF(A300="","",IFERROR(1/(1/_xlfn.MINIFS(Apparitions!$L$2:$L$5001,Apparitions!$G$2:$G$5001,A300)),""))</f>
        <v/>
      </c>
      <c r="L300" s="27" t="str">
        <f aca="false">IF(A300="","",A300&amp;" | "&amp;B300&amp;IF(C300="",""," ("&amp;C300&amp;")")&amp;IF(D300="",""," - "&amp;D300))</f>
        <v/>
      </c>
    </row>
    <row r="301" customFormat="false" ht="15" hidden="false" customHeight="false" outlineLevel="0" collapsed="false">
      <c r="A301" s="32"/>
      <c r="B301" s="19"/>
      <c r="C301" s="19"/>
      <c r="D301" s="19"/>
      <c r="E301" s="21"/>
      <c r="F301" s="19"/>
      <c r="G301" s="27" t="str">
        <f aca="false">IF(B301="","",IFERROR(INDEX(Jeux!$C$2:$C$3001,MATCH(B301,Jeux!$A$2:$A$3001,0))&amp;"","⚠ jeu inconnu"))</f>
        <v/>
      </c>
      <c r="H301" s="27" t="str">
        <f aca="false">IF(B301="","",IFERROR(INDEX(Jeux!$D$2:$D$3001,MATCH(B301,Jeux!$A$2:$A$3001,0))&amp;"",""))</f>
        <v/>
      </c>
      <c r="I301" s="26" t="str">
        <f aca="false">IF(A301="","",COUNTIF(Apparitions!$G$2:$G$5001,A301))</f>
        <v/>
      </c>
      <c r="J301" s="26" t="str">
        <f aca="false">IF(A301="","",COUNTIFS(Apparitions!$G$2:$G$5001,A301,Apparitions!$E$2:$E$5001,"○"))</f>
        <v/>
      </c>
      <c r="K301" s="29" t="str">
        <f aca="false">IF(A301="","",IFERROR(1/(1/_xlfn.MINIFS(Apparitions!$L$2:$L$5001,Apparitions!$G$2:$G$5001,A301)),""))</f>
        <v/>
      </c>
      <c r="L301" s="27" t="str">
        <f aca="false">IF(A301="","",A301&amp;" | "&amp;B301&amp;IF(C301="",""," ("&amp;C301&amp;")")&amp;IF(D301="",""," - "&amp;D301))</f>
        <v/>
      </c>
    </row>
    <row r="302" customFormat="false" ht="15" hidden="false" customHeight="false" outlineLevel="0" collapsed="false">
      <c r="A302" s="32"/>
      <c r="B302" s="19"/>
      <c r="C302" s="19"/>
      <c r="D302" s="19"/>
      <c r="E302" s="21"/>
      <c r="F302" s="19"/>
      <c r="G302" s="27" t="str">
        <f aca="false">IF(B302="","",IFERROR(INDEX(Jeux!$C$2:$C$3001,MATCH(B302,Jeux!$A$2:$A$3001,0))&amp;"","⚠ jeu inconnu"))</f>
        <v/>
      </c>
      <c r="H302" s="27" t="str">
        <f aca="false">IF(B302="","",IFERROR(INDEX(Jeux!$D$2:$D$3001,MATCH(B302,Jeux!$A$2:$A$3001,0))&amp;"",""))</f>
        <v/>
      </c>
      <c r="I302" s="26" t="str">
        <f aca="false">IF(A302="","",COUNTIF(Apparitions!$G$2:$G$5001,A302))</f>
        <v/>
      </c>
      <c r="J302" s="26" t="str">
        <f aca="false">IF(A302="","",COUNTIFS(Apparitions!$G$2:$G$5001,A302,Apparitions!$E$2:$E$5001,"○"))</f>
        <v/>
      </c>
      <c r="K302" s="29" t="str">
        <f aca="false">IF(A302="","",IFERROR(1/(1/_xlfn.MINIFS(Apparitions!$L$2:$L$5001,Apparitions!$G$2:$G$5001,A302)),""))</f>
        <v/>
      </c>
      <c r="L302" s="27" t="str">
        <f aca="false">IF(A302="","",A302&amp;" | "&amp;B302&amp;IF(C302="",""," ("&amp;C302&amp;")")&amp;IF(D302="",""," - "&amp;D302))</f>
        <v/>
      </c>
    </row>
    <row r="303" customFormat="false" ht="15" hidden="false" customHeight="false" outlineLevel="0" collapsed="false">
      <c r="A303" s="32"/>
      <c r="B303" s="19"/>
      <c r="C303" s="19"/>
      <c r="D303" s="19"/>
      <c r="E303" s="21"/>
      <c r="F303" s="19"/>
      <c r="G303" s="27" t="str">
        <f aca="false">IF(B303="","",IFERROR(INDEX(Jeux!$C$2:$C$3001,MATCH(B303,Jeux!$A$2:$A$3001,0))&amp;"","⚠ jeu inconnu"))</f>
        <v/>
      </c>
      <c r="H303" s="27" t="str">
        <f aca="false">IF(B303="","",IFERROR(INDEX(Jeux!$D$2:$D$3001,MATCH(B303,Jeux!$A$2:$A$3001,0))&amp;"",""))</f>
        <v/>
      </c>
      <c r="I303" s="26" t="str">
        <f aca="false">IF(A303="","",COUNTIF(Apparitions!$G$2:$G$5001,A303))</f>
        <v/>
      </c>
      <c r="J303" s="26" t="str">
        <f aca="false">IF(A303="","",COUNTIFS(Apparitions!$G$2:$G$5001,A303,Apparitions!$E$2:$E$5001,"○"))</f>
        <v/>
      </c>
      <c r="K303" s="29" t="str">
        <f aca="false">IF(A303="","",IFERROR(1/(1/_xlfn.MINIFS(Apparitions!$L$2:$L$5001,Apparitions!$G$2:$G$5001,A303)),""))</f>
        <v/>
      </c>
      <c r="L303" s="27" t="str">
        <f aca="false">IF(A303="","",A303&amp;" | "&amp;B303&amp;IF(C303="",""," ("&amp;C303&amp;")")&amp;IF(D303="",""," - "&amp;D303))</f>
        <v/>
      </c>
    </row>
    <row r="304" customFormat="false" ht="15" hidden="false" customHeight="false" outlineLevel="0" collapsed="false">
      <c r="A304" s="32"/>
      <c r="B304" s="19"/>
      <c r="C304" s="19"/>
      <c r="D304" s="19"/>
      <c r="E304" s="21"/>
      <c r="F304" s="19"/>
      <c r="G304" s="27" t="str">
        <f aca="false">IF(B304="","",IFERROR(INDEX(Jeux!$C$2:$C$3001,MATCH(B304,Jeux!$A$2:$A$3001,0))&amp;"","⚠ jeu inconnu"))</f>
        <v/>
      </c>
      <c r="H304" s="27" t="str">
        <f aca="false">IF(B304="","",IFERROR(INDEX(Jeux!$D$2:$D$3001,MATCH(B304,Jeux!$A$2:$A$3001,0))&amp;"",""))</f>
        <v/>
      </c>
      <c r="I304" s="26" t="str">
        <f aca="false">IF(A304="","",COUNTIF(Apparitions!$G$2:$G$5001,A304))</f>
        <v/>
      </c>
      <c r="J304" s="26" t="str">
        <f aca="false">IF(A304="","",COUNTIFS(Apparitions!$G$2:$G$5001,A304,Apparitions!$E$2:$E$5001,"○"))</f>
        <v/>
      </c>
      <c r="K304" s="29" t="str">
        <f aca="false">IF(A304="","",IFERROR(1/(1/_xlfn.MINIFS(Apparitions!$L$2:$L$5001,Apparitions!$G$2:$G$5001,A304)),""))</f>
        <v/>
      </c>
      <c r="L304" s="27" t="str">
        <f aca="false">IF(A304="","",A304&amp;" | "&amp;B304&amp;IF(C304="",""," ("&amp;C304&amp;")")&amp;IF(D304="",""," - "&amp;D304))</f>
        <v/>
      </c>
    </row>
    <row r="305" customFormat="false" ht="15" hidden="false" customHeight="false" outlineLevel="0" collapsed="false">
      <c r="A305" s="32"/>
      <c r="B305" s="19"/>
      <c r="C305" s="19"/>
      <c r="D305" s="19"/>
      <c r="E305" s="21"/>
      <c r="F305" s="19"/>
      <c r="G305" s="27" t="str">
        <f aca="false">IF(B305="","",IFERROR(INDEX(Jeux!$C$2:$C$3001,MATCH(B305,Jeux!$A$2:$A$3001,0))&amp;"","⚠ jeu inconnu"))</f>
        <v/>
      </c>
      <c r="H305" s="27" t="str">
        <f aca="false">IF(B305="","",IFERROR(INDEX(Jeux!$D$2:$D$3001,MATCH(B305,Jeux!$A$2:$A$3001,0))&amp;"",""))</f>
        <v/>
      </c>
      <c r="I305" s="26" t="str">
        <f aca="false">IF(A305="","",COUNTIF(Apparitions!$G$2:$G$5001,A305))</f>
        <v/>
      </c>
      <c r="J305" s="26" t="str">
        <f aca="false">IF(A305="","",COUNTIFS(Apparitions!$G$2:$G$5001,A305,Apparitions!$E$2:$E$5001,"○"))</f>
        <v/>
      </c>
      <c r="K305" s="29" t="str">
        <f aca="false">IF(A305="","",IFERROR(1/(1/_xlfn.MINIFS(Apparitions!$L$2:$L$5001,Apparitions!$G$2:$G$5001,A305)),""))</f>
        <v/>
      </c>
      <c r="L305" s="27" t="str">
        <f aca="false">IF(A305="","",A305&amp;" | "&amp;B305&amp;IF(C305="",""," ("&amp;C305&amp;")")&amp;IF(D305="",""," - "&amp;D305))</f>
        <v/>
      </c>
    </row>
    <row r="306" customFormat="false" ht="15" hidden="false" customHeight="false" outlineLevel="0" collapsed="false">
      <c r="A306" s="32"/>
      <c r="B306" s="19"/>
      <c r="C306" s="19"/>
      <c r="D306" s="19"/>
      <c r="E306" s="21"/>
      <c r="F306" s="19"/>
      <c r="G306" s="27" t="str">
        <f aca="false">IF(B306="","",IFERROR(INDEX(Jeux!$C$2:$C$3001,MATCH(B306,Jeux!$A$2:$A$3001,0))&amp;"","⚠ jeu inconnu"))</f>
        <v/>
      </c>
      <c r="H306" s="27" t="str">
        <f aca="false">IF(B306="","",IFERROR(INDEX(Jeux!$D$2:$D$3001,MATCH(B306,Jeux!$A$2:$A$3001,0))&amp;"",""))</f>
        <v/>
      </c>
      <c r="I306" s="26" t="str">
        <f aca="false">IF(A306="","",COUNTIF(Apparitions!$G$2:$G$5001,A306))</f>
        <v/>
      </c>
      <c r="J306" s="26" t="str">
        <f aca="false">IF(A306="","",COUNTIFS(Apparitions!$G$2:$G$5001,A306,Apparitions!$E$2:$E$5001,"○"))</f>
        <v/>
      </c>
      <c r="K306" s="29" t="str">
        <f aca="false">IF(A306="","",IFERROR(1/(1/_xlfn.MINIFS(Apparitions!$L$2:$L$5001,Apparitions!$G$2:$G$5001,A306)),""))</f>
        <v/>
      </c>
      <c r="L306" s="27" t="str">
        <f aca="false">IF(A306="","",A306&amp;" | "&amp;B306&amp;IF(C306="",""," ("&amp;C306&amp;")")&amp;IF(D306="",""," - "&amp;D306))</f>
        <v/>
      </c>
    </row>
    <row r="307" customFormat="false" ht="15" hidden="false" customHeight="false" outlineLevel="0" collapsed="false">
      <c r="A307" s="32"/>
      <c r="B307" s="19"/>
      <c r="C307" s="19"/>
      <c r="D307" s="19"/>
      <c r="E307" s="21"/>
      <c r="F307" s="19"/>
      <c r="G307" s="27" t="str">
        <f aca="false">IF(B307="","",IFERROR(INDEX(Jeux!$C$2:$C$3001,MATCH(B307,Jeux!$A$2:$A$3001,0))&amp;"","⚠ jeu inconnu"))</f>
        <v/>
      </c>
      <c r="H307" s="27" t="str">
        <f aca="false">IF(B307="","",IFERROR(INDEX(Jeux!$D$2:$D$3001,MATCH(B307,Jeux!$A$2:$A$3001,0))&amp;"",""))</f>
        <v/>
      </c>
      <c r="I307" s="26" t="str">
        <f aca="false">IF(A307="","",COUNTIF(Apparitions!$G$2:$G$5001,A307))</f>
        <v/>
      </c>
      <c r="J307" s="26" t="str">
        <f aca="false">IF(A307="","",COUNTIFS(Apparitions!$G$2:$G$5001,A307,Apparitions!$E$2:$E$5001,"○"))</f>
        <v/>
      </c>
      <c r="K307" s="29" t="str">
        <f aca="false">IF(A307="","",IFERROR(1/(1/_xlfn.MINIFS(Apparitions!$L$2:$L$5001,Apparitions!$G$2:$G$5001,A307)),""))</f>
        <v/>
      </c>
      <c r="L307" s="27" t="str">
        <f aca="false">IF(A307="","",A307&amp;" | "&amp;B307&amp;IF(C307="",""," ("&amp;C307&amp;")")&amp;IF(D307="",""," - "&amp;D307))</f>
        <v/>
      </c>
    </row>
    <row r="308" customFormat="false" ht="15" hidden="false" customHeight="false" outlineLevel="0" collapsed="false">
      <c r="A308" s="32"/>
      <c r="B308" s="19"/>
      <c r="C308" s="19"/>
      <c r="D308" s="19"/>
      <c r="E308" s="21"/>
      <c r="F308" s="19"/>
      <c r="G308" s="27" t="str">
        <f aca="false">IF(B308="","",IFERROR(INDEX(Jeux!$C$2:$C$3001,MATCH(B308,Jeux!$A$2:$A$3001,0))&amp;"","⚠ jeu inconnu"))</f>
        <v/>
      </c>
      <c r="H308" s="27" t="str">
        <f aca="false">IF(B308="","",IFERROR(INDEX(Jeux!$D$2:$D$3001,MATCH(B308,Jeux!$A$2:$A$3001,0))&amp;"",""))</f>
        <v/>
      </c>
      <c r="I308" s="26" t="str">
        <f aca="false">IF(A308="","",COUNTIF(Apparitions!$G$2:$G$5001,A308))</f>
        <v/>
      </c>
      <c r="J308" s="26" t="str">
        <f aca="false">IF(A308="","",COUNTIFS(Apparitions!$G$2:$G$5001,A308,Apparitions!$E$2:$E$5001,"○"))</f>
        <v/>
      </c>
      <c r="K308" s="29" t="str">
        <f aca="false">IF(A308="","",IFERROR(1/(1/_xlfn.MINIFS(Apparitions!$L$2:$L$5001,Apparitions!$G$2:$G$5001,A308)),""))</f>
        <v/>
      </c>
      <c r="L308" s="27" t="str">
        <f aca="false">IF(A308="","",A308&amp;" | "&amp;B308&amp;IF(C308="",""," ("&amp;C308&amp;")")&amp;IF(D308="",""," - "&amp;D308))</f>
        <v/>
      </c>
    </row>
    <row r="309" customFormat="false" ht="15" hidden="false" customHeight="false" outlineLevel="0" collapsed="false">
      <c r="A309" s="32"/>
      <c r="B309" s="19"/>
      <c r="C309" s="19"/>
      <c r="D309" s="19"/>
      <c r="E309" s="21"/>
      <c r="F309" s="19"/>
      <c r="G309" s="27" t="str">
        <f aca="false">IF(B309="","",IFERROR(INDEX(Jeux!$C$2:$C$3001,MATCH(B309,Jeux!$A$2:$A$3001,0))&amp;"","⚠ jeu inconnu"))</f>
        <v/>
      </c>
      <c r="H309" s="27" t="str">
        <f aca="false">IF(B309="","",IFERROR(INDEX(Jeux!$D$2:$D$3001,MATCH(B309,Jeux!$A$2:$A$3001,0))&amp;"",""))</f>
        <v/>
      </c>
      <c r="I309" s="26" t="str">
        <f aca="false">IF(A309="","",COUNTIF(Apparitions!$G$2:$G$5001,A309))</f>
        <v/>
      </c>
      <c r="J309" s="26" t="str">
        <f aca="false">IF(A309="","",COUNTIFS(Apparitions!$G$2:$G$5001,A309,Apparitions!$E$2:$E$5001,"○"))</f>
        <v/>
      </c>
      <c r="K309" s="29" t="str">
        <f aca="false">IF(A309="","",IFERROR(1/(1/_xlfn.MINIFS(Apparitions!$L$2:$L$5001,Apparitions!$G$2:$G$5001,A309)),""))</f>
        <v/>
      </c>
      <c r="L309" s="27" t="str">
        <f aca="false">IF(A309="","",A309&amp;" | "&amp;B309&amp;IF(C309="",""," ("&amp;C309&amp;")")&amp;IF(D309="",""," - "&amp;D309))</f>
        <v/>
      </c>
    </row>
    <row r="310" customFormat="false" ht="15" hidden="false" customHeight="false" outlineLevel="0" collapsed="false">
      <c r="A310" s="32"/>
      <c r="B310" s="19"/>
      <c r="C310" s="19"/>
      <c r="D310" s="19"/>
      <c r="E310" s="21"/>
      <c r="F310" s="19"/>
      <c r="G310" s="27" t="str">
        <f aca="false">IF(B310="","",IFERROR(INDEX(Jeux!$C$2:$C$3001,MATCH(B310,Jeux!$A$2:$A$3001,0))&amp;"","⚠ jeu inconnu"))</f>
        <v/>
      </c>
      <c r="H310" s="27" t="str">
        <f aca="false">IF(B310="","",IFERROR(INDEX(Jeux!$D$2:$D$3001,MATCH(B310,Jeux!$A$2:$A$3001,0))&amp;"",""))</f>
        <v/>
      </c>
      <c r="I310" s="26" t="str">
        <f aca="false">IF(A310="","",COUNTIF(Apparitions!$G$2:$G$5001,A310))</f>
        <v/>
      </c>
      <c r="J310" s="26" t="str">
        <f aca="false">IF(A310="","",COUNTIFS(Apparitions!$G$2:$G$5001,A310,Apparitions!$E$2:$E$5001,"○"))</f>
        <v/>
      </c>
      <c r="K310" s="29" t="str">
        <f aca="false">IF(A310="","",IFERROR(1/(1/_xlfn.MINIFS(Apparitions!$L$2:$L$5001,Apparitions!$G$2:$G$5001,A310)),""))</f>
        <v/>
      </c>
      <c r="L310" s="27" t="str">
        <f aca="false">IF(A310="","",A310&amp;" | "&amp;B310&amp;IF(C310="",""," ("&amp;C310&amp;")")&amp;IF(D310="",""," - "&amp;D310))</f>
        <v/>
      </c>
    </row>
    <row r="311" customFormat="false" ht="15" hidden="false" customHeight="false" outlineLevel="0" collapsed="false">
      <c r="A311" s="32"/>
      <c r="B311" s="19"/>
      <c r="C311" s="19"/>
      <c r="D311" s="19"/>
      <c r="E311" s="21"/>
      <c r="F311" s="19"/>
      <c r="G311" s="27" t="str">
        <f aca="false">IF(B311="","",IFERROR(INDEX(Jeux!$C$2:$C$3001,MATCH(B311,Jeux!$A$2:$A$3001,0))&amp;"","⚠ jeu inconnu"))</f>
        <v/>
      </c>
      <c r="H311" s="27" t="str">
        <f aca="false">IF(B311="","",IFERROR(INDEX(Jeux!$D$2:$D$3001,MATCH(B311,Jeux!$A$2:$A$3001,0))&amp;"",""))</f>
        <v/>
      </c>
      <c r="I311" s="26" t="str">
        <f aca="false">IF(A311="","",COUNTIF(Apparitions!$G$2:$G$5001,A311))</f>
        <v/>
      </c>
      <c r="J311" s="26" t="str">
        <f aca="false">IF(A311="","",COUNTIFS(Apparitions!$G$2:$G$5001,A311,Apparitions!$E$2:$E$5001,"○"))</f>
        <v/>
      </c>
      <c r="K311" s="29" t="str">
        <f aca="false">IF(A311="","",IFERROR(1/(1/_xlfn.MINIFS(Apparitions!$L$2:$L$5001,Apparitions!$G$2:$G$5001,A311)),""))</f>
        <v/>
      </c>
      <c r="L311" s="27" t="str">
        <f aca="false">IF(A311="","",A311&amp;" | "&amp;B311&amp;IF(C311="",""," ("&amp;C311&amp;")")&amp;IF(D311="",""," - "&amp;D311))</f>
        <v/>
      </c>
    </row>
    <row r="312" customFormat="false" ht="15" hidden="false" customHeight="false" outlineLevel="0" collapsed="false">
      <c r="A312" s="32"/>
      <c r="B312" s="19"/>
      <c r="C312" s="19"/>
      <c r="D312" s="19"/>
      <c r="E312" s="21"/>
      <c r="F312" s="19"/>
      <c r="G312" s="27" t="str">
        <f aca="false">IF(B312="","",IFERROR(INDEX(Jeux!$C$2:$C$3001,MATCH(B312,Jeux!$A$2:$A$3001,0))&amp;"","⚠ jeu inconnu"))</f>
        <v/>
      </c>
      <c r="H312" s="27" t="str">
        <f aca="false">IF(B312="","",IFERROR(INDEX(Jeux!$D$2:$D$3001,MATCH(B312,Jeux!$A$2:$A$3001,0))&amp;"",""))</f>
        <v/>
      </c>
      <c r="I312" s="26" t="str">
        <f aca="false">IF(A312="","",COUNTIF(Apparitions!$G$2:$G$5001,A312))</f>
        <v/>
      </c>
      <c r="J312" s="26" t="str">
        <f aca="false">IF(A312="","",COUNTIFS(Apparitions!$G$2:$G$5001,A312,Apparitions!$E$2:$E$5001,"○"))</f>
        <v/>
      </c>
      <c r="K312" s="29" t="str">
        <f aca="false">IF(A312="","",IFERROR(1/(1/_xlfn.MINIFS(Apparitions!$L$2:$L$5001,Apparitions!$G$2:$G$5001,A312)),""))</f>
        <v/>
      </c>
      <c r="L312" s="27" t="str">
        <f aca="false">IF(A312="","",A312&amp;" | "&amp;B312&amp;IF(C312="",""," ("&amp;C312&amp;")")&amp;IF(D312="",""," - "&amp;D312))</f>
        <v/>
      </c>
    </row>
    <row r="313" customFormat="false" ht="15" hidden="false" customHeight="false" outlineLevel="0" collapsed="false">
      <c r="A313" s="32"/>
      <c r="B313" s="19"/>
      <c r="C313" s="19"/>
      <c r="D313" s="19"/>
      <c r="E313" s="21"/>
      <c r="F313" s="19"/>
      <c r="G313" s="27" t="str">
        <f aca="false">IF(B313="","",IFERROR(INDEX(Jeux!$C$2:$C$3001,MATCH(B313,Jeux!$A$2:$A$3001,0))&amp;"","⚠ jeu inconnu"))</f>
        <v/>
      </c>
      <c r="H313" s="27" t="str">
        <f aca="false">IF(B313="","",IFERROR(INDEX(Jeux!$D$2:$D$3001,MATCH(B313,Jeux!$A$2:$A$3001,0))&amp;"",""))</f>
        <v/>
      </c>
      <c r="I313" s="26" t="str">
        <f aca="false">IF(A313="","",COUNTIF(Apparitions!$G$2:$G$5001,A313))</f>
        <v/>
      </c>
      <c r="J313" s="26" t="str">
        <f aca="false">IF(A313="","",COUNTIFS(Apparitions!$G$2:$G$5001,A313,Apparitions!$E$2:$E$5001,"○"))</f>
        <v/>
      </c>
      <c r="K313" s="29" t="str">
        <f aca="false">IF(A313="","",IFERROR(1/(1/_xlfn.MINIFS(Apparitions!$L$2:$L$5001,Apparitions!$G$2:$G$5001,A313)),""))</f>
        <v/>
      </c>
      <c r="L313" s="27" t="str">
        <f aca="false">IF(A313="","",A313&amp;" | "&amp;B313&amp;IF(C313="",""," ("&amp;C313&amp;")")&amp;IF(D313="",""," - "&amp;D313))</f>
        <v/>
      </c>
    </row>
    <row r="314" customFormat="false" ht="15" hidden="false" customHeight="false" outlineLevel="0" collapsed="false">
      <c r="A314" s="32"/>
      <c r="B314" s="19"/>
      <c r="C314" s="19"/>
      <c r="D314" s="19"/>
      <c r="E314" s="21"/>
      <c r="F314" s="19"/>
      <c r="G314" s="27" t="str">
        <f aca="false">IF(B314="","",IFERROR(INDEX(Jeux!$C$2:$C$3001,MATCH(B314,Jeux!$A$2:$A$3001,0))&amp;"","⚠ jeu inconnu"))</f>
        <v/>
      </c>
      <c r="H314" s="27" t="str">
        <f aca="false">IF(B314="","",IFERROR(INDEX(Jeux!$D$2:$D$3001,MATCH(B314,Jeux!$A$2:$A$3001,0))&amp;"",""))</f>
        <v/>
      </c>
      <c r="I314" s="26" t="str">
        <f aca="false">IF(A314="","",COUNTIF(Apparitions!$G$2:$G$5001,A314))</f>
        <v/>
      </c>
      <c r="J314" s="26" t="str">
        <f aca="false">IF(A314="","",COUNTIFS(Apparitions!$G$2:$G$5001,A314,Apparitions!$E$2:$E$5001,"○"))</f>
        <v/>
      </c>
      <c r="K314" s="29" t="str">
        <f aca="false">IF(A314="","",IFERROR(1/(1/_xlfn.MINIFS(Apparitions!$L$2:$L$5001,Apparitions!$G$2:$G$5001,A314)),""))</f>
        <v/>
      </c>
      <c r="L314" s="27" t="str">
        <f aca="false">IF(A314="","",A314&amp;" | "&amp;B314&amp;IF(C314="",""," ("&amp;C314&amp;")")&amp;IF(D314="",""," - "&amp;D314))</f>
        <v/>
      </c>
    </row>
    <row r="315" customFormat="false" ht="15" hidden="false" customHeight="false" outlineLevel="0" collapsed="false">
      <c r="A315" s="32"/>
      <c r="B315" s="19"/>
      <c r="C315" s="19"/>
      <c r="D315" s="19"/>
      <c r="E315" s="21"/>
      <c r="F315" s="19"/>
      <c r="G315" s="27" t="str">
        <f aca="false">IF(B315="","",IFERROR(INDEX(Jeux!$C$2:$C$3001,MATCH(B315,Jeux!$A$2:$A$3001,0))&amp;"","⚠ jeu inconnu"))</f>
        <v/>
      </c>
      <c r="H315" s="27" t="str">
        <f aca="false">IF(B315="","",IFERROR(INDEX(Jeux!$D$2:$D$3001,MATCH(B315,Jeux!$A$2:$A$3001,0))&amp;"",""))</f>
        <v/>
      </c>
      <c r="I315" s="26" t="str">
        <f aca="false">IF(A315="","",COUNTIF(Apparitions!$G$2:$G$5001,A315))</f>
        <v/>
      </c>
      <c r="J315" s="26" t="str">
        <f aca="false">IF(A315="","",COUNTIFS(Apparitions!$G$2:$G$5001,A315,Apparitions!$E$2:$E$5001,"○"))</f>
        <v/>
      </c>
      <c r="K315" s="29" t="str">
        <f aca="false">IF(A315="","",IFERROR(1/(1/_xlfn.MINIFS(Apparitions!$L$2:$L$5001,Apparitions!$G$2:$G$5001,A315)),""))</f>
        <v/>
      </c>
      <c r="L315" s="27" t="str">
        <f aca="false">IF(A315="","",A315&amp;" | "&amp;B315&amp;IF(C315="",""," ("&amp;C315&amp;")")&amp;IF(D315="",""," - "&amp;D315))</f>
        <v/>
      </c>
    </row>
    <row r="316" customFormat="false" ht="15" hidden="false" customHeight="false" outlineLevel="0" collapsed="false">
      <c r="A316" s="32"/>
      <c r="B316" s="19"/>
      <c r="C316" s="19"/>
      <c r="D316" s="19"/>
      <c r="E316" s="21"/>
      <c r="F316" s="19"/>
      <c r="G316" s="27" t="str">
        <f aca="false">IF(B316="","",IFERROR(INDEX(Jeux!$C$2:$C$3001,MATCH(B316,Jeux!$A$2:$A$3001,0))&amp;"","⚠ jeu inconnu"))</f>
        <v/>
      </c>
      <c r="H316" s="27" t="str">
        <f aca="false">IF(B316="","",IFERROR(INDEX(Jeux!$D$2:$D$3001,MATCH(B316,Jeux!$A$2:$A$3001,0))&amp;"",""))</f>
        <v/>
      </c>
      <c r="I316" s="26" t="str">
        <f aca="false">IF(A316="","",COUNTIF(Apparitions!$G$2:$G$5001,A316))</f>
        <v/>
      </c>
      <c r="J316" s="26" t="str">
        <f aca="false">IF(A316="","",COUNTIFS(Apparitions!$G$2:$G$5001,A316,Apparitions!$E$2:$E$5001,"○"))</f>
        <v/>
      </c>
      <c r="K316" s="29" t="str">
        <f aca="false">IF(A316="","",IFERROR(1/(1/_xlfn.MINIFS(Apparitions!$L$2:$L$5001,Apparitions!$G$2:$G$5001,A316)),""))</f>
        <v/>
      </c>
      <c r="L316" s="27" t="str">
        <f aca="false">IF(A316="","",A316&amp;" | "&amp;B316&amp;IF(C316="",""," ("&amp;C316&amp;")")&amp;IF(D316="",""," - "&amp;D316))</f>
        <v/>
      </c>
    </row>
    <row r="317" customFormat="false" ht="15" hidden="false" customHeight="false" outlineLevel="0" collapsed="false">
      <c r="A317" s="32"/>
      <c r="B317" s="19"/>
      <c r="C317" s="19"/>
      <c r="D317" s="19"/>
      <c r="E317" s="21"/>
      <c r="F317" s="19"/>
      <c r="G317" s="27" t="str">
        <f aca="false">IF(B317="","",IFERROR(INDEX(Jeux!$C$2:$C$3001,MATCH(B317,Jeux!$A$2:$A$3001,0))&amp;"","⚠ jeu inconnu"))</f>
        <v/>
      </c>
      <c r="H317" s="27" t="str">
        <f aca="false">IF(B317="","",IFERROR(INDEX(Jeux!$D$2:$D$3001,MATCH(B317,Jeux!$A$2:$A$3001,0))&amp;"",""))</f>
        <v/>
      </c>
      <c r="I317" s="26" t="str">
        <f aca="false">IF(A317="","",COUNTIF(Apparitions!$G$2:$G$5001,A317))</f>
        <v/>
      </c>
      <c r="J317" s="26" t="str">
        <f aca="false">IF(A317="","",COUNTIFS(Apparitions!$G$2:$G$5001,A317,Apparitions!$E$2:$E$5001,"○"))</f>
        <v/>
      </c>
      <c r="K317" s="29" t="str">
        <f aca="false">IF(A317="","",IFERROR(1/(1/_xlfn.MINIFS(Apparitions!$L$2:$L$5001,Apparitions!$G$2:$G$5001,A317)),""))</f>
        <v/>
      </c>
      <c r="L317" s="27" t="str">
        <f aca="false">IF(A317="","",A317&amp;" | "&amp;B317&amp;IF(C317="",""," ("&amp;C317&amp;")")&amp;IF(D317="",""," - "&amp;D317))</f>
        <v/>
      </c>
    </row>
    <row r="318" customFormat="false" ht="15" hidden="false" customHeight="false" outlineLevel="0" collapsed="false">
      <c r="A318" s="32"/>
      <c r="B318" s="19"/>
      <c r="C318" s="19"/>
      <c r="D318" s="19"/>
      <c r="E318" s="21"/>
      <c r="F318" s="19"/>
      <c r="G318" s="27" t="str">
        <f aca="false">IF(B318="","",IFERROR(INDEX(Jeux!$C$2:$C$3001,MATCH(B318,Jeux!$A$2:$A$3001,0))&amp;"","⚠ jeu inconnu"))</f>
        <v/>
      </c>
      <c r="H318" s="27" t="str">
        <f aca="false">IF(B318="","",IFERROR(INDEX(Jeux!$D$2:$D$3001,MATCH(B318,Jeux!$A$2:$A$3001,0))&amp;"",""))</f>
        <v/>
      </c>
      <c r="I318" s="26" t="str">
        <f aca="false">IF(A318="","",COUNTIF(Apparitions!$G$2:$G$5001,A318))</f>
        <v/>
      </c>
      <c r="J318" s="26" t="str">
        <f aca="false">IF(A318="","",COUNTIFS(Apparitions!$G$2:$G$5001,A318,Apparitions!$E$2:$E$5001,"○"))</f>
        <v/>
      </c>
      <c r="K318" s="29" t="str">
        <f aca="false">IF(A318="","",IFERROR(1/(1/_xlfn.MINIFS(Apparitions!$L$2:$L$5001,Apparitions!$G$2:$G$5001,A318)),""))</f>
        <v/>
      </c>
      <c r="L318" s="27" t="str">
        <f aca="false">IF(A318="","",A318&amp;" | "&amp;B318&amp;IF(C318="",""," ("&amp;C318&amp;")")&amp;IF(D318="",""," - "&amp;D318))</f>
        <v/>
      </c>
    </row>
    <row r="319" customFormat="false" ht="15" hidden="false" customHeight="false" outlineLevel="0" collapsed="false">
      <c r="A319" s="32"/>
      <c r="B319" s="19"/>
      <c r="C319" s="19"/>
      <c r="D319" s="19"/>
      <c r="E319" s="21"/>
      <c r="F319" s="19"/>
      <c r="G319" s="27" t="str">
        <f aca="false">IF(B319="","",IFERROR(INDEX(Jeux!$C$2:$C$3001,MATCH(B319,Jeux!$A$2:$A$3001,0))&amp;"","⚠ jeu inconnu"))</f>
        <v/>
      </c>
      <c r="H319" s="27" t="str">
        <f aca="false">IF(B319="","",IFERROR(INDEX(Jeux!$D$2:$D$3001,MATCH(B319,Jeux!$A$2:$A$3001,0))&amp;"",""))</f>
        <v/>
      </c>
      <c r="I319" s="26" t="str">
        <f aca="false">IF(A319="","",COUNTIF(Apparitions!$G$2:$G$5001,A319))</f>
        <v/>
      </c>
      <c r="J319" s="26" t="str">
        <f aca="false">IF(A319="","",COUNTIFS(Apparitions!$G$2:$G$5001,A319,Apparitions!$E$2:$E$5001,"○"))</f>
        <v/>
      </c>
      <c r="K319" s="29" t="str">
        <f aca="false">IF(A319="","",IFERROR(1/(1/_xlfn.MINIFS(Apparitions!$L$2:$L$5001,Apparitions!$G$2:$G$5001,A319)),""))</f>
        <v/>
      </c>
      <c r="L319" s="27" t="str">
        <f aca="false">IF(A319="","",A319&amp;" | "&amp;B319&amp;IF(C319="",""," ("&amp;C319&amp;")")&amp;IF(D319="",""," - "&amp;D319))</f>
        <v/>
      </c>
    </row>
    <row r="320" customFormat="false" ht="15" hidden="false" customHeight="false" outlineLevel="0" collapsed="false">
      <c r="A320" s="32"/>
      <c r="B320" s="19"/>
      <c r="C320" s="19"/>
      <c r="D320" s="19"/>
      <c r="E320" s="21"/>
      <c r="F320" s="19"/>
      <c r="G320" s="27" t="str">
        <f aca="false">IF(B320="","",IFERROR(INDEX(Jeux!$C$2:$C$3001,MATCH(B320,Jeux!$A$2:$A$3001,0))&amp;"","⚠ jeu inconnu"))</f>
        <v/>
      </c>
      <c r="H320" s="27" t="str">
        <f aca="false">IF(B320="","",IFERROR(INDEX(Jeux!$D$2:$D$3001,MATCH(B320,Jeux!$A$2:$A$3001,0))&amp;"",""))</f>
        <v/>
      </c>
      <c r="I320" s="26" t="str">
        <f aca="false">IF(A320="","",COUNTIF(Apparitions!$G$2:$G$5001,A320))</f>
        <v/>
      </c>
      <c r="J320" s="26" t="str">
        <f aca="false">IF(A320="","",COUNTIFS(Apparitions!$G$2:$G$5001,A320,Apparitions!$E$2:$E$5001,"○"))</f>
        <v/>
      </c>
      <c r="K320" s="29" t="str">
        <f aca="false">IF(A320="","",IFERROR(1/(1/_xlfn.MINIFS(Apparitions!$L$2:$L$5001,Apparitions!$G$2:$G$5001,A320)),""))</f>
        <v/>
      </c>
      <c r="L320" s="27" t="str">
        <f aca="false">IF(A320="","",A320&amp;" | "&amp;B320&amp;IF(C320="",""," ("&amp;C320&amp;")")&amp;IF(D320="",""," - "&amp;D320))</f>
        <v/>
      </c>
    </row>
    <row r="321" customFormat="false" ht="15" hidden="false" customHeight="false" outlineLevel="0" collapsed="false">
      <c r="A321" s="32"/>
      <c r="B321" s="19"/>
      <c r="C321" s="19"/>
      <c r="D321" s="19"/>
      <c r="E321" s="21"/>
      <c r="F321" s="19"/>
      <c r="G321" s="27" t="str">
        <f aca="false">IF(B321="","",IFERROR(INDEX(Jeux!$C$2:$C$3001,MATCH(B321,Jeux!$A$2:$A$3001,0))&amp;"","⚠ jeu inconnu"))</f>
        <v/>
      </c>
      <c r="H321" s="27" t="str">
        <f aca="false">IF(B321="","",IFERROR(INDEX(Jeux!$D$2:$D$3001,MATCH(B321,Jeux!$A$2:$A$3001,0))&amp;"",""))</f>
        <v/>
      </c>
      <c r="I321" s="26" t="str">
        <f aca="false">IF(A321="","",COUNTIF(Apparitions!$G$2:$G$5001,A321))</f>
        <v/>
      </c>
      <c r="J321" s="26" t="str">
        <f aca="false">IF(A321="","",COUNTIFS(Apparitions!$G$2:$G$5001,A321,Apparitions!$E$2:$E$5001,"○"))</f>
        <v/>
      </c>
      <c r="K321" s="29" t="str">
        <f aca="false">IF(A321="","",IFERROR(1/(1/_xlfn.MINIFS(Apparitions!$L$2:$L$5001,Apparitions!$G$2:$G$5001,A321)),""))</f>
        <v/>
      </c>
      <c r="L321" s="27" t="str">
        <f aca="false">IF(A321="","",A321&amp;" | "&amp;B321&amp;IF(C321="",""," ("&amp;C321&amp;")")&amp;IF(D321="",""," - "&amp;D321))</f>
        <v/>
      </c>
    </row>
    <row r="322" customFormat="false" ht="15" hidden="false" customHeight="false" outlineLevel="0" collapsed="false">
      <c r="A322" s="32"/>
      <c r="B322" s="19"/>
      <c r="C322" s="19"/>
      <c r="D322" s="19"/>
      <c r="E322" s="21"/>
      <c r="F322" s="19"/>
      <c r="G322" s="27" t="str">
        <f aca="false">IF(B322="","",IFERROR(INDEX(Jeux!$C$2:$C$3001,MATCH(B322,Jeux!$A$2:$A$3001,0))&amp;"","⚠ jeu inconnu"))</f>
        <v/>
      </c>
      <c r="H322" s="27" t="str">
        <f aca="false">IF(B322="","",IFERROR(INDEX(Jeux!$D$2:$D$3001,MATCH(B322,Jeux!$A$2:$A$3001,0))&amp;"",""))</f>
        <v/>
      </c>
      <c r="I322" s="26" t="str">
        <f aca="false">IF(A322="","",COUNTIF(Apparitions!$G$2:$G$5001,A322))</f>
        <v/>
      </c>
      <c r="J322" s="26" t="str">
        <f aca="false">IF(A322="","",COUNTIFS(Apparitions!$G$2:$G$5001,A322,Apparitions!$E$2:$E$5001,"○"))</f>
        <v/>
      </c>
      <c r="K322" s="29" t="str">
        <f aca="false">IF(A322="","",IFERROR(1/(1/_xlfn.MINIFS(Apparitions!$L$2:$L$5001,Apparitions!$G$2:$G$5001,A322)),""))</f>
        <v/>
      </c>
      <c r="L322" s="27" t="str">
        <f aca="false">IF(A322="","",A322&amp;" | "&amp;B322&amp;IF(C322="",""," ("&amp;C322&amp;")")&amp;IF(D322="",""," - "&amp;D322))</f>
        <v/>
      </c>
    </row>
    <row r="323" customFormat="false" ht="15" hidden="false" customHeight="false" outlineLevel="0" collapsed="false">
      <c r="A323" s="32"/>
      <c r="B323" s="19"/>
      <c r="C323" s="19"/>
      <c r="D323" s="19"/>
      <c r="E323" s="21"/>
      <c r="F323" s="19"/>
      <c r="G323" s="27" t="str">
        <f aca="false">IF(B323="","",IFERROR(INDEX(Jeux!$C$2:$C$3001,MATCH(B323,Jeux!$A$2:$A$3001,0))&amp;"","⚠ jeu inconnu"))</f>
        <v/>
      </c>
      <c r="H323" s="27" t="str">
        <f aca="false">IF(B323="","",IFERROR(INDEX(Jeux!$D$2:$D$3001,MATCH(B323,Jeux!$A$2:$A$3001,0))&amp;"",""))</f>
        <v/>
      </c>
      <c r="I323" s="26" t="str">
        <f aca="false">IF(A323="","",COUNTIF(Apparitions!$G$2:$G$5001,A323))</f>
        <v/>
      </c>
      <c r="J323" s="26" t="str">
        <f aca="false">IF(A323="","",COUNTIFS(Apparitions!$G$2:$G$5001,A323,Apparitions!$E$2:$E$5001,"○"))</f>
        <v/>
      </c>
      <c r="K323" s="29" t="str">
        <f aca="false">IF(A323="","",IFERROR(1/(1/_xlfn.MINIFS(Apparitions!$L$2:$L$5001,Apparitions!$G$2:$G$5001,A323)),""))</f>
        <v/>
      </c>
      <c r="L323" s="27" t="str">
        <f aca="false">IF(A323="","",A323&amp;" | "&amp;B323&amp;IF(C323="",""," ("&amp;C323&amp;")")&amp;IF(D323="",""," - "&amp;D323))</f>
        <v/>
      </c>
    </row>
    <row r="324" customFormat="false" ht="15" hidden="false" customHeight="false" outlineLevel="0" collapsed="false">
      <c r="A324" s="32"/>
      <c r="B324" s="19"/>
      <c r="C324" s="19"/>
      <c r="D324" s="19"/>
      <c r="E324" s="21"/>
      <c r="F324" s="19"/>
      <c r="G324" s="27" t="str">
        <f aca="false">IF(B324="","",IFERROR(INDEX(Jeux!$C$2:$C$3001,MATCH(B324,Jeux!$A$2:$A$3001,0))&amp;"","⚠ jeu inconnu"))</f>
        <v/>
      </c>
      <c r="H324" s="27" t="str">
        <f aca="false">IF(B324="","",IFERROR(INDEX(Jeux!$D$2:$D$3001,MATCH(B324,Jeux!$A$2:$A$3001,0))&amp;"",""))</f>
        <v/>
      </c>
      <c r="I324" s="26" t="str">
        <f aca="false">IF(A324="","",COUNTIF(Apparitions!$G$2:$G$5001,A324))</f>
        <v/>
      </c>
      <c r="J324" s="26" t="str">
        <f aca="false">IF(A324="","",COUNTIFS(Apparitions!$G$2:$G$5001,A324,Apparitions!$E$2:$E$5001,"○"))</f>
        <v/>
      </c>
      <c r="K324" s="29" t="str">
        <f aca="false">IF(A324="","",IFERROR(1/(1/_xlfn.MINIFS(Apparitions!$L$2:$L$5001,Apparitions!$G$2:$G$5001,A324)),""))</f>
        <v/>
      </c>
      <c r="L324" s="27" t="str">
        <f aca="false">IF(A324="","",A324&amp;" | "&amp;B324&amp;IF(C324="",""," ("&amp;C324&amp;")")&amp;IF(D324="",""," - "&amp;D324))</f>
        <v/>
      </c>
    </row>
    <row r="325" customFormat="false" ht="15" hidden="false" customHeight="false" outlineLevel="0" collapsed="false">
      <c r="A325" s="32"/>
      <c r="B325" s="19"/>
      <c r="C325" s="19"/>
      <c r="D325" s="19"/>
      <c r="E325" s="21"/>
      <c r="F325" s="19"/>
      <c r="G325" s="27" t="str">
        <f aca="false">IF(B325="","",IFERROR(INDEX(Jeux!$C$2:$C$3001,MATCH(B325,Jeux!$A$2:$A$3001,0))&amp;"","⚠ jeu inconnu"))</f>
        <v/>
      </c>
      <c r="H325" s="27" t="str">
        <f aca="false">IF(B325="","",IFERROR(INDEX(Jeux!$D$2:$D$3001,MATCH(B325,Jeux!$A$2:$A$3001,0))&amp;"",""))</f>
        <v/>
      </c>
      <c r="I325" s="26" t="str">
        <f aca="false">IF(A325="","",COUNTIF(Apparitions!$G$2:$G$5001,A325))</f>
        <v/>
      </c>
      <c r="J325" s="26" t="str">
        <f aca="false">IF(A325="","",COUNTIFS(Apparitions!$G$2:$G$5001,A325,Apparitions!$E$2:$E$5001,"○"))</f>
        <v/>
      </c>
      <c r="K325" s="29" t="str">
        <f aca="false">IF(A325="","",IFERROR(1/(1/_xlfn.MINIFS(Apparitions!$L$2:$L$5001,Apparitions!$G$2:$G$5001,A325)),""))</f>
        <v/>
      </c>
      <c r="L325" s="27" t="str">
        <f aca="false">IF(A325="","",A325&amp;" | "&amp;B325&amp;IF(C325="",""," ("&amp;C325&amp;")")&amp;IF(D325="",""," - "&amp;D325))</f>
        <v/>
      </c>
    </row>
    <row r="326" customFormat="false" ht="15" hidden="false" customHeight="false" outlineLevel="0" collapsed="false">
      <c r="A326" s="32"/>
      <c r="B326" s="19"/>
      <c r="C326" s="19"/>
      <c r="D326" s="19"/>
      <c r="E326" s="21"/>
      <c r="F326" s="19"/>
      <c r="G326" s="27" t="str">
        <f aca="false">IF(B326="","",IFERROR(INDEX(Jeux!$C$2:$C$3001,MATCH(B326,Jeux!$A$2:$A$3001,0))&amp;"","⚠ jeu inconnu"))</f>
        <v/>
      </c>
      <c r="H326" s="27" t="str">
        <f aca="false">IF(B326="","",IFERROR(INDEX(Jeux!$D$2:$D$3001,MATCH(B326,Jeux!$A$2:$A$3001,0))&amp;"",""))</f>
        <v/>
      </c>
      <c r="I326" s="26" t="str">
        <f aca="false">IF(A326="","",COUNTIF(Apparitions!$G$2:$G$5001,A326))</f>
        <v/>
      </c>
      <c r="J326" s="26" t="str">
        <f aca="false">IF(A326="","",COUNTIFS(Apparitions!$G$2:$G$5001,A326,Apparitions!$E$2:$E$5001,"○"))</f>
        <v/>
      </c>
      <c r="K326" s="29" t="str">
        <f aca="false">IF(A326="","",IFERROR(1/(1/_xlfn.MINIFS(Apparitions!$L$2:$L$5001,Apparitions!$G$2:$G$5001,A326)),""))</f>
        <v/>
      </c>
      <c r="L326" s="27" t="str">
        <f aca="false">IF(A326="","",A326&amp;" | "&amp;B326&amp;IF(C326="",""," ("&amp;C326&amp;")")&amp;IF(D326="",""," - "&amp;D326))</f>
        <v/>
      </c>
    </row>
    <row r="327" customFormat="false" ht="15" hidden="false" customHeight="false" outlineLevel="0" collapsed="false">
      <c r="A327" s="32"/>
      <c r="B327" s="19"/>
      <c r="C327" s="19"/>
      <c r="D327" s="19"/>
      <c r="E327" s="21"/>
      <c r="F327" s="19"/>
      <c r="G327" s="27" t="str">
        <f aca="false">IF(B327="","",IFERROR(INDEX(Jeux!$C$2:$C$3001,MATCH(B327,Jeux!$A$2:$A$3001,0))&amp;"","⚠ jeu inconnu"))</f>
        <v/>
      </c>
      <c r="H327" s="27" t="str">
        <f aca="false">IF(B327="","",IFERROR(INDEX(Jeux!$D$2:$D$3001,MATCH(B327,Jeux!$A$2:$A$3001,0))&amp;"",""))</f>
        <v/>
      </c>
      <c r="I327" s="26" t="str">
        <f aca="false">IF(A327="","",COUNTIF(Apparitions!$G$2:$G$5001,A327))</f>
        <v/>
      </c>
      <c r="J327" s="26" t="str">
        <f aca="false">IF(A327="","",COUNTIFS(Apparitions!$G$2:$G$5001,A327,Apparitions!$E$2:$E$5001,"○"))</f>
        <v/>
      </c>
      <c r="K327" s="29" t="str">
        <f aca="false">IF(A327="","",IFERROR(1/(1/_xlfn.MINIFS(Apparitions!$L$2:$L$5001,Apparitions!$G$2:$G$5001,A327)),""))</f>
        <v/>
      </c>
      <c r="L327" s="27" t="str">
        <f aca="false">IF(A327="","",A327&amp;" | "&amp;B327&amp;IF(C327="",""," ("&amp;C327&amp;")")&amp;IF(D327="",""," - "&amp;D327))</f>
        <v/>
      </c>
    </row>
    <row r="328" customFormat="false" ht="15" hidden="false" customHeight="false" outlineLevel="0" collapsed="false">
      <c r="A328" s="32"/>
      <c r="B328" s="19"/>
      <c r="C328" s="19"/>
      <c r="D328" s="19"/>
      <c r="E328" s="21"/>
      <c r="F328" s="19"/>
      <c r="G328" s="27" t="str">
        <f aca="false">IF(B328="","",IFERROR(INDEX(Jeux!$C$2:$C$3001,MATCH(B328,Jeux!$A$2:$A$3001,0))&amp;"","⚠ jeu inconnu"))</f>
        <v/>
      </c>
      <c r="H328" s="27" t="str">
        <f aca="false">IF(B328="","",IFERROR(INDEX(Jeux!$D$2:$D$3001,MATCH(B328,Jeux!$A$2:$A$3001,0))&amp;"",""))</f>
        <v/>
      </c>
      <c r="I328" s="26" t="str">
        <f aca="false">IF(A328="","",COUNTIF(Apparitions!$G$2:$G$5001,A328))</f>
        <v/>
      </c>
      <c r="J328" s="26" t="str">
        <f aca="false">IF(A328="","",COUNTIFS(Apparitions!$G$2:$G$5001,A328,Apparitions!$E$2:$E$5001,"○"))</f>
        <v/>
      </c>
      <c r="K328" s="29" t="str">
        <f aca="false">IF(A328="","",IFERROR(1/(1/_xlfn.MINIFS(Apparitions!$L$2:$L$5001,Apparitions!$G$2:$G$5001,A328)),""))</f>
        <v/>
      </c>
      <c r="L328" s="27" t="str">
        <f aca="false">IF(A328="","",A328&amp;" | "&amp;B328&amp;IF(C328="",""," ("&amp;C328&amp;")")&amp;IF(D328="",""," - "&amp;D328))</f>
        <v/>
      </c>
    </row>
    <row r="329" customFormat="false" ht="15" hidden="false" customHeight="false" outlineLevel="0" collapsed="false">
      <c r="A329" s="32"/>
      <c r="B329" s="19"/>
      <c r="C329" s="19"/>
      <c r="D329" s="19"/>
      <c r="E329" s="21"/>
      <c r="F329" s="19"/>
      <c r="G329" s="27" t="str">
        <f aca="false">IF(B329="","",IFERROR(INDEX(Jeux!$C$2:$C$3001,MATCH(B329,Jeux!$A$2:$A$3001,0))&amp;"","⚠ jeu inconnu"))</f>
        <v/>
      </c>
      <c r="H329" s="27" t="str">
        <f aca="false">IF(B329="","",IFERROR(INDEX(Jeux!$D$2:$D$3001,MATCH(B329,Jeux!$A$2:$A$3001,0))&amp;"",""))</f>
        <v/>
      </c>
      <c r="I329" s="26" t="str">
        <f aca="false">IF(A329="","",COUNTIF(Apparitions!$G$2:$G$5001,A329))</f>
        <v/>
      </c>
      <c r="J329" s="26" t="str">
        <f aca="false">IF(A329="","",COUNTIFS(Apparitions!$G$2:$G$5001,A329,Apparitions!$E$2:$E$5001,"○"))</f>
        <v/>
      </c>
      <c r="K329" s="29" t="str">
        <f aca="false">IF(A329="","",IFERROR(1/(1/_xlfn.MINIFS(Apparitions!$L$2:$L$5001,Apparitions!$G$2:$G$5001,A329)),""))</f>
        <v/>
      </c>
      <c r="L329" s="27" t="str">
        <f aca="false">IF(A329="","",A329&amp;" | "&amp;B329&amp;IF(C329="",""," ("&amp;C329&amp;")")&amp;IF(D329="",""," - "&amp;D329))</f>
        <v/>
      </c>
    </row>
    <row r="330" customFormat="false" ht="15" hidden="false" customHeight="false" outlineLevel="0" collapsed="false">
      <c r="A330" s="32"/>
      <c r="B330" s="19"/>
      <c r="C330" s="19"/>
      <c r="D330" s="19"/>
      <c r="E330" s="21"/>
      <c r="F330" s="19"/>
      <c r="G330" s="27" t="str">
        <f aca="false">IF(B330="","",IFERROR(INDEX(Jeux!$C$2:$C$3001,MATCH(B330,Jeux!$A$2:$A$3001,0))&amp;"","⚠ jeu inconnu"))</f>
        <v/>
      </c>
      <c r="H330" s="27" t="str">
        <f aca="false">IF(B330="","",IFERROR(INDEX(Jeux!$D$2:$D$3001,MATCH(B330,Jeux!$A$2:$A$3001,0))&amp;"",""))</f>
        <v/>
      </c>
      <c r="I330" s="26" t="str">
        <f aca="false">IF(A330="","",COUNTIF(Apparitions!$G$2:$G$5001,A330))</f>
        <v/>
      </c>
      <c r="J330" s="26" t="str">
        <f aca="false">IF(A330="","",COUNTIFS(Apparitions!$G$2:$G$5001,A330,Apparitions!$E$2:$E$5001,"○"))</f>
        <v/>
      </c>
      <c r="K330" s="29" t="str">
        <f aca="false">IF(A330="","",IFERROR(1/(1/_xlfn.MINIFS(Apparitions!$L$2:$L$5001,Apparitions!$G$2:$G$5001,A330)),""))</f>
        <v/>
      </c>
      <c r="L330" s="27" t="str">
        <f aca="false">IF(A330="","",A330&amp;" | "&amp;B330&amp;IF(C330="",""," ("&amp;C330&amp;")")&amp;IF(D330="",""," - "&amp;D330))</f>
        <v/>
      </c>
    </row>
    <row r="331" customFormat="false" ht="15" hidden="false" customHeight="false" outlineLevel="0" collapsed="false">
      <c r="A331" s="32"/>
      <c r="B331" s="19"/>
      <c r="C331" s="19"/>
      <c r="D331" s="19"/>
      <c r="E331" s="21"/>
      <c r="F331" s="19"/>
      <c r="G331" s="27" t="str">
        <f aca="false">IF(B331="","",IFERROR(INDEX(Jeux!$C$2:$C$3001,MATCH(B331,Jeux!$A$2:$A$3001,0))&amp;"","⚠ jeu inconnu"))</f>
        <v/>
      </c>
      <c r="H331" s="27" t="str">
        <f aca="false">IF(B331="","",IFERROR(INDEX(Jeux!$D$2:$D$3001,MATCH(B331,Jeux!$A$2:$A$3001,0))&amp;"",""))</f>
        <v/>
      </c>
      <c r="I331" s="26" t="str">
        <f aca="false">IF(A331="","",COUNTIF(Apparitions!$G$2:$G$5001,A331))</f>
        <v/>
      </c>
      <c r="J331" s="26" t="str">
        <f aca="false">IF(A331="","",COUNTIFS(Apparitions!$G$2:$G$5001,A331,Apparitions!$E$2:$E$5001,"○"))</f>
        <v/>
      </c>
      <c r="K331" s="29" t="str">
        <f aca="false">IF(A331="","",IFERROR(1/(1/_xlfn.MINIFS(Apparitions!$L$2:$L$5001,Apparitions!$G$2:$G$5001,A331)),""))</f>
        <v/>
      </c>
      <c r="L331" s="27" t="str">
        <f aca="false">IF(A331="","",A331&amp;" | "&amp;B331&amp;IF(C331="",""," ("&amp;C331&amp;")")&amp;IF(D331="",""," - "&amp;D331))</f>
        <v/>
      </c>
    </row>
    <row r="332" customFormat="false" ht="15" hidden="false" customHeight="false" outlineLevel="0" collapsed="false">
      <c r="A332" s="32"/>
      <c r="B332" s="19"/>
      <c r="C332" s="19"/>
      <c r="D332" s="19"/>
      <c r="E332" s="21"/>
      <c r="F332" s="19"/>
      <c r="G332" s="27" t="str">
        <f aca="false">IF(B332="","",IFERROR(INDEX(Jeux!$C$2:$C$3001,MATCH(B332,Jeux!$A$2:$A$3001,0))&amp;"","⚠ jeu inconnu"))</f>
        <v/>
      </c>
      <c r="H332" s="27" t="str">
        <f aca="false">IF(B332="","",IFERROR(INDEX(Jeux!$D$2:$D$3001,MATCH(B332,Jeux!$A$2:$A$3001,0))&amp;"",""))</f>
        <v/>
      </c>
      <c r="I332" s="26" t="str">
        <f aca="false">IF(A332="","",COUNTIF(Apparitions!$G$2:$G$5001,A332))</f>
        <v/>
      </c>
      <c r="J332" s="26" t="str">
        <f aca="false">IF(A332="","",COUNTIFS(Apparitions!$G$2:$G$5001,A332,Apparitions!$E$2:$E$5001,"○"))</f>
        <v/>
      </c>
      <c r="K332" s="29" t="str">
        <f aca="false">IF(A332="","",IFERROR(1/(1/_xlfn.MINIFS(Apparitions!$L$2:$L$5001,Apparitions!$G$2:$G$5001,A332)),""))</f>
        <v/>
      </c>
      <c r="L332" s="27" t="str">
        <f aca="false">IF(A332="","",A332&amp;" | "&amp;B332&amp;IF(C332="",""," ("&amp;C332&amp;")")&amp;IF(D332="",""," - "&amp;D332))</f>
        <v/>
      </c>
    </row>
    <row r="333" customFormat="false" ht="15" hidden="false" customHeight="false" outlineLevel="0" collapsed="false">
      <c r="A333" s="32"/>
      <c r="B333" s="19"/>
      <c r="C333" s="19"/>
      <c r="D333" s="19"/>
      <c r="E333" s="21"/>
      <c r="F333" s="19"/>
      <c r="G333" s="27" t="str">
        <f aca="false">IF(B333="","",IFERROR(INDEX(Jeux!$C$2:$C$3001,MATCH(B333,Jeux!$A$2:$A$3001,0))&amp;"","⚠ jeu inconnu"))</f>
        <v/>
      </c>
      <c r="H333" s="27" t="str">
        <f aca="false">IF(B333="","",IFERROR(INDEX(Jeux!$D$2:$D$3001,MATCH(B333,Jeux!$A$2:$A$3001,0))&amp;"",""))</f>
        <v/>
      </c>
      <c r="I333" s="26" t="str">
        <f aca="false">IF(A333="","",COUNTIF(Apparitions!$G$2:$G$5001,A333))</f>
        <v/>
      </c>
      <c r="J333" s="26" t="str">
        <f aca="false">IF(A333="","",COUNTIFS(Apparitions!$G$2:$G$5001,A333,Apparitions!$E$2:$E$5001,"○"))</f>
        <v/>
      </c>
      <c r="K333" s="29" t="str">
        <f aca="false">IF(A333="","",IFERROR(1/(1/_xlfn.MINIFS(Apparitions!$L$2:$L$5001,Apparitions!$G$2:$G$5001,A333)),""))</f>
        <v/>
      </c>
      <c r="L333" s="27" t="str">
        <f aca="false">IF(A333="","",A333&amp;" | "&amp;B333&amp;IF(C333="",""," ("&amp;C333&amp;")")&amp;IF(D333="",""," - "&amp;D333))</f>
        <v/>
      </c>
    </row>
    <row r="334" customFormat="false" ht="15" hidden="false" customHeight="false" outlineLevel="0" collapsed="false">
      <c r="A334" s="32"/>
      <c r="B334" s="19"/>
      <c r="C334" s="19"/>
      <c r="D334" s="19"/>
      <c r="E334" s="21"/>
      <c r="F334" s="19"/>
      <c r="G334" s="27" t="str">
        <f aca="false">IF(B334="","",IFERROR(INDEX(Jeux!$C$2:$C$3001,MATCH(B334,Jeux!$A$2:$A$3001,0))&amp;"","⚠ jeu inconnu"))</f>
        <v/>
      </c>
      <c r="H334" s="27" t="str">
        <f aca="false">IF(B334="","",IFERROR(INDEX(Jeux!$D$2:$D$3001,MATCH(B334,Jeux!$A$2:$A$3001,0))&amp;"",""))</f>
        <v/>
      </c>
      <c r="I334" s="26" t="str">
        <f aca="false">IF(A334="","",COUNTIF(Apparitions!$G$2:$G$5001,A334))</f>
        <v/>
      </c>
      <c r="J334" s="26" t="str">
        <f aca="false">IF(A334="","",COUNTIFS(Apparitions!$G$2:$G$5001,A334,Apparitions!$E$2:$E$5001,"○"))</f>
        <v/>
      </c>
      <c r="K334" s="29" t="str">
        <f aca="false">IF(A334="","",IFERROR(1/(1/_xlfn.MINIFS(Apparitions!$L$2:$L$5001,Apparitions!$G$2:$G$5001,A334)),""))</f>
        <v/>
      </c>
      <c r="L334" s="27" t="str">
        <f aca="false">IF(A334="","",A334&amp;" | "&amp;B334&amp;IF(C334="",""," ("&amp;C334&amp;")")&amp;IF(D334="",""," - "&amp;D334))</f>
        <v/>
      </c>
    </row>
    <row r="335" customFormat="false" ht="15" hidden="false" customHeight="false" outlineLevel="0" collapsed="false">
      <c r="A335" s="32"/>
      <c r="B335" s="19"/>
      <c r="C335" s="19"/>
      <c r="D335" s="19"/>
      <c r="E335" s="21"/>
      <c r="F335" s="19"/>
      <c r="G335" s="27" t="str">
        <f aca="false">IF(B335="","",IFERROR(INDEX(Jeux!$C$2:$C$3001,MATCH(B335,Jeux!$A$2:$A$3001,0))&amp;"","⚠ jeu inconnu"))</f>
        <v/>
      </c>
      <c r="H335" s="27" t="str">
        <f aca="false">IF(B335="","",IFERROR(INDEX(Jeux!$D$2:$D$3001,MATCH(B335,Jeux!$A$2:$A$3001,0))&amp;"",""))</f>
        <v/>
      </c>
      <c r="I335" s="26" t="str">
        <f aca="false">IF(A335="","",COUNTIF(Apparitions!$G$2:$G$5001,A335))</f>
        <v/>
      </c>
      <c r="J335" s="26" t="str">
        <f aca="false">IF(A335="","",COUNTIFS(Apparitions!$G$2:$G$5001,A335,Apparitions!$E$2:$E$5001,"○"))</f>
        <v/>
      </c>
      <c r="K335" s="29" t="str">
        <f aca="false">IF(A335="","",IFERROR(1/(1/_xlfn.MINIFS(Apparitions!$L$2:$L$5001,Apparitions!$G$2:$G$5001,A335)),""))</f>
        <v/>
      </c>
      <c r="L335" s="27" t="str">
        <f aca="false">IF(A335="","",A335&amp;" | "&amp;B335&amp;IF(C335="",""," ("&amp;C335&amp;")")&amp;IF(D335="",""," - "&amp;D335))</f>
        <v/>
      </c>
    </row>
    <row r="336" customFormat="false" ht="15" hidden="false" customHeight="false" outlineLevel="0" collapsed="false">
      <c r="A336" s="32"/>
      <c r="B336" s="19"/>
      <c r="C336" s="19"/>
      <c r="D336" s="19"/>
      <c r="E336" s="21"/>
      <c r="F336" s="19"/>
      <c r="G336" s="27" t="str">
        <f aca="false">IF(B336="","",IFERROR(INDEX(Jeux!$C$2:$C$3001,MATCH(B336,Jeux!$A$2:$A$3001,0))&amp;"","⚠ jeu inconnu"))</f>
        <v/>
      </c>
      <c r="H336" s="27" t="str">
        <f aca="false">IF(B336="","",IFERROR(INDEX(Jeux!$D$2:$D$3001,MATCH(B336,Jeux!$A$2:$A$3001,0))&amp;"",""))</f>
        <v/>
      </c>
      <c r="I336" s="26" t="str">
        <f aca="false">IF(A336="","",COUNTIF(Apparitions!$G$2:$G$5001,A336))</f>
        <v/>
      </c>
      <c r="J336" s="26" t="str">
        <f aca="false">IF(A336="","",COUNTIFS(Apparitions!$G$2:$G$5001,A336,Apparitions!$E$2:$E$5001,"○"))</f>
        <v/>
      </c>
      <c r="K336" s="29" t="str">
        <f aca="false">IF(A336="","",IFERROR(1/(1/_xlfn.MINIFS(Apparitions!$L$2:$L$5001,Apparitions!$G$2:$G$5001,A336)),""))</f>
        <v/>
      </c>
      <c r="L336" s="27" t="str">
        <f aca="false">IF(A336="","",A336&amp;" | "&amp;B336&amp;IF(C336="",""," ("&amp;C336&amp;")")&amp;IF(D336="",""," - "&amp;D336))</f>
        <v/>
      </c>
    </row>
    <row r="337" customFormat="false" ht="15" hidden="false" customHeight="false" outlineLevel="0" collapsed="false">
      <c r="A337" s="32"/>
      <c r="B337" s="19"/>
      <c r="C337" s="19"/>
      <c r="D337" s="19"/>
      <c r="E337" s="21"/>
      <c r="F337" s="19"/>
      <c r="G337" s="27" t="str">
        <f aca="false">IF(B337="","",IFERROR(INDEX(Jeux!$C$2:$C$3001,MATCH(B337,Jeux!$A$2:$A$3001,0))&amp;"","⚠ jeu inconnu"))</f>
        <v/>
      </c>
      <c r="H337" s="27" t="str">
        <f aca="false">IF(B337="","",IFERROR(INDEX(Jeux!$D$2:$D$3001,MATCH(B337,Jeux!$A$2:$A$3001,0))&amp;"",""))</f>
        <v/>
      </c>
      <c r="I337" s="26" t="str">
        <f aca="false">IF(A337="","",COUNTIF(Apparitions!$G$2:$G$5001,A337))</f>
        <v/>
      </c>
      <c r="J337" s="26" t="str">
        <f aca="false">IF(A337="","",COUNTIFS(Apparitions!$G$2:$G$5001,A337,Apparitions!$E$2:$E$5001,"○"))</f>
        <v/>
      </c>
      <c r="K337" s="29" t="str">
        <f aca="false">IF(A337="","",IFERROR(1/(1/_xlfn.MINIFS(Apparitions!$L$2:$L$5001,Apparitions!$G$2:$G$5001,A337)),""))</f>
        <v/>
      </c>
      <c r="L337" s="27" t="str">
        <f aca="false">IF(A337="","",A337&amp;" | "&amp;B337&amp;IF(C337="",""," ("&amp;C337&amp;")")&amp;IF(D337="",""," - "&amp;D337))</f>
        <v/>
      </c>
    </row>
    <row r="338" customFormat="false" ht="15" hidden="false" customHeight="false" outlineLevel="0" collapsed="false">
      <c r="A338" s="32"/>
      <c r="B338" s="19"/>
      <c r="C338" s="19"/>
      <c r="D338" s="19"/>
      <c r="E338" s="21"/>
      <c r="F338" s="19"/>
      <c r="G338" s="27" t="str">
        <f aca="false">IF(B338="","",IFERROR(INDEX(Jeux!$C$2:$C$3001,MATCH(B338,Jeux!$A$2:$A$3001,0))&amp;"","⚠ jeu inconnu"))</f>
        <v/>
      </c>
      <c r="H338" s="27" t="str">
        <f aca="false">IF(B338="","",IFERROR(INDEX(Jeux!$D$2:$D$3001,MATCH(B338,Jeux!$A$2:$A$3001,0))&amp;"",""))</f>
        <v/>
      </c>
      <c r="I338" s="26" t="str">
        <f aca="false">IF(A338="","",COUNTIF(Apparitions!$G$2:$G$5001,A338))</f>
        <v/>
      </c>
      <c r="J338" s="26" t="str">
        <f aca="false">IF(A338="","",COUNTIFS(Apparitions!$G$2:$G$5001,A338,Apparitions!$E$2:$E$5001,"○"))</f>
        <v/>
      </c>
      <c r="K338" s="29" t="str">
        <f aca="false">IF(A338="","",IFERROR(1/(1/_xlfn.MINIFS(Apparitions!$L$2:$L$5001,Apparitions!$G$2:$G$5001,A338)),""))</f>
        <v/>
      </c>
      <c r="L338" s="27" t="str">
        <f aca="false">IF(A338="","",A338&amp;" | "&amp;B338&amp;IF(C338="",""," ("&amp;C338&amp;")")&amp;IF(D338="",""," - "&amp;D338))</f>
        <v/>
      </c>
    </row>
    <row r="339" customFormat="false" ht="15" hidden="false" customHeight="false" outlineLevel="0" collapsed="false">
      <c r="A339" s="32"/>
      <c r="B339" s="19"/>
      <c r="C339" s="19"/>
      <c r="D339" s="19"/>
      <c r="E339" s="21"/>
      <c r="F339" s="19"/>
      <c r="G339" s="27" t="str">
        <f aca="false">IF(B339="","",IFERROR(INDEX(Jeux!$C$2:$C$3001,MATCH(B339,Jeux!$A$2:$A$3001,0))&amp;"","⚠ jeu inconnu"))</f>
        <v/>
      </c>
      <c r="H339" s="27" t="str">
        <f aca="false">IF(B339="","",IFERROR(INDEX(Jeux!$D$2:$D$3001,MATCH(B339,Jeux!$A$2:$A$3001,0))&amp;"",""))</f>
        <v/>
      </c>
      <c r="I339" s="26" t="str">
        <f aca="false">IF(A339="","",COUNTIF(Apparitions!$G$2:$G$5001,A339))</f>
        <v/>
      </c>
      <c r="J339" s="26" t="str">
        <f aca="false">IF(A339="","",COUNTIFS(Apparitions!$G$2:$G$5001,A339,Apparitions!$E$2:$E$5001,"○"))</f>
        <v/>
      </c>
      <c r="K339" s="29" t="str">
        <f aca="false">IF(A339="","",IFERROR(1/(1/_xlfn.MINIFS(Apparitions!$L$2:$L$5001,Apparitions!$G$2:$G$5001,A339)),""))</f>
        <v/>
      </c>
      <c r="L339" s="27" t="str">
        <f aca="false">IF(A339="","",A339&amp;" | "&amp;B339&amp;IF(C339="",""," ("&amp;C339&amp;")")&amp;IF(D339="",""," - "&amp;D339))</f>
        <v/>
      </c>
    </row>
    <row r="340" customFormat="false" ht="15" hidden="false" customHeight="false" outlineLevel="0" collapsed="false">
      <c r="A340" s="32"/>
      <c r="B340" s="19"/>
      <c r="C340" s="19"/>
      <c r="D340" s="19"/>
      <c r="E340" s="21"/>
      <c r="F340" s="19"/>
      <c r="G340" s="27" t="str">
        <f aca="false">IF(B340="","",IFERROR(INDEX(Jeux!$C$2:$C$3001,MATCH(B340,Jeux!$A$2:$A$3001,0))&amp;"","⚠ jeu inconnu"))</f>
        <v/>
      </c>
      <c r="H340" s="27" t="str">
        <f aca="false">IF(B340="","",IFERROR(INDEX(Jeux!$D$2:$D$3001,MATCH(B340,Jeux!$A$2:$A$3001,0))&amp;"",""))</f>
        <v/>
      </c>
      <c r="I340" s="26" t="str">
        <f aca="false">IF(A340="","",COUNTIF(Apparitions!$G$2:$G$5001,A340))</f>
        <v/>
      </c>
      <c r="J340" s="26" t="str">
        <f aca="false">IF(A340="","",COUNTIFS(Apparitions!$G$2:$G$5001,A340,Apparitions!$E$2:$E$5001,"○"))</f>
        <v/>
      </c>
      <c r="K340" s="29" t="str">
        <f aca="false">IF(A340="","",IFERROR(1/(1/_xlfn.MINIFS(Apparitions!$L$2:$L$5001,Apparitions!$G$2:$G$5001,A340)),""))</f>
        <v/>
      </c>
      <c r="L340" s="27" t="str">
        <f aca="false">IF(A340="","",A340&amp;" | "&amp;B340&amp;IF(C340="",""," ("&amp;C340&amp;")")&amp;IF(D340="",""," - "&amp;D340))</f>
        <v/>
      </c>
    </row>
    <row r="341" customFormat="false" ht="15" hidden="false" customHeight="false" outlineLevel="0" collapsed="false">
      <c r="A341" s="32"/>
      <c r="B341" s="19"/>
      <c r="C341" s="19"/>
      <c r="D341" s="19"/>
      <c r="E341" s="21"/>
      <c r="F341" s="19"/>
      <c r="G341" s="27" t="str">
        <f aca="false">IF(B341="","",IFERROR(INDEX(Jeux!$C$2:$C$3001,MATCH(B341,Jeux!$A$2:$A$3001,0))&amp;"","⚠ jeu inconnu"))</f>
        <v/>
      </c>
      <c r="H341" s="27" t="str">
        <f aca="false">IF(B341="","",IFERROR(INDEX(Jeux!$D$2:$D$3001,MATCH(B341,Jeux!$A$2:$A$3001,0))&amp;"",""))</f>
        <v/>
      </c>
      <c r="I341" s="26" t="str">
        <f aca="false">IF(A341="","",COUNTIF(Apparitions!$G$2:$G$5001,A341))</f>
        <v/>
      </c>
      <c r="J341" s="26" t="str">
        <f aca="false">IF(A341="","",COUNTIFS(Apparitions!$G$2:$G$5001,A341,Apparitions!$E$2:$E$5001,"○"))</f>
        <v/>
      </c>
      <c r="K341" s="29" t="str">
        <f aca="false">IF(A341="","",IFERROR(1/(1/_xlfn.MINIFS(Apparitions!$L$2:$L$5001,Apparitions!$G$2:$G$5001,A341)),""))</f>
        <v/>
      </c>
      <c r="L341" s="27" t="str">
        <f aca="false">IF(A341="","",A341&amp;" | "&amp;B341&amp;IF(C341="",""," ("&amp;C341&amp;")")&amp;IF(D341="",""," - "&amp;D341))</f>
        <v/>
      </c>
    </row>
    <row r="342" customFormat="false" ht="15" hidden="false" customHeight="false" outlineLevel="0" collapsed="false">
      <c r="A342" s="32"/>
      <c r="B342" s="19"/>
      <c r="C342" s="19"/>
      <c r="D342" s="19"/>
      <c r="E342" s="21"/>
      <c r="F342" s="19"/>
      <c r="G342" s="27" t="str">
        <f aca="false">IF(B342="","",IFERROR(INDEX(Jeux!$C$2:$C$3001,MATCH(B342,Jeux!$A$2:$A$3001,0))&amp;"","⚠ jeu inconnu"))</f>
        <v/>
      </c>
      <c r="H342" s="27" t="str">
        <f aca="false">IF(B342="","",IFERROR(INDEX(Jeux!$D$2:$D$3001,MATCH(B342,Jeux!$A$2:$A$3001,0))&amp;"",""))</f>
        <v/>
      </c>
      <c r="I342" s="26" t="str">
        <f aca="false">IF(A342="","",COUNTIF(Apparitions!$G$2:$G$5001,A342))</f>
        <v/>
      </c>
      <c r="J342" s="26" t="str">
        <f aca="false">IF(A342="","",COUNTIFS(Apparitions!$G$2:$G$5001,A342,Apparitions!$E$2:$E$5001,"○"))</f>
        <v/>
      </c>
      <c r="K342" s="29" t="str">
        <f aca="false">IF(A342="","",IFERROR(1/(1/_xlfn.MINIFS(Apparitions!$L$2:$L$5001,Apparitions!$G$2:$G$5001,A342)),""))</f>
        <v/>
      </c>
      <c r="L342" s="27" t="str">
        <f aca="false">IF(A342="","",A342&amp;" | "&amp;B342&amp;IF(C342="",""," ("&amp;C342&amp;")")&amp;IF(D342="",""," - "&amp;D342))</f>
        <v/>
      </c>
    </row>
    <row r="343" customFormat="false" ht="15" hidden="false" customHeight="false" outlineLevel="0" collapsed="false">
      <c r="A343" s="32"/>
      <c r="B343" s="19"/>
      <c r="C343" s="19"/>
      <c r="D343" s="19"/>
      <c r="E343" s="21"/>
      <c r="F343" s="19"/>
      <c r="G343" s="27" t="str">
        <f aca="false">IF(B343="","",IFERROR(INDEX(Jeux!$C$2:$C$3001,MATCH(B343,Jeux!$A$2:$A$3001,0))&amp;"","⚠ jeu inconnu"))</f>
        <v/>
      </c>
      <c r="H343" s="27" t="str">
        <f aca="false">IF(B343="","",IFERROR(INDEX(Jeux!$D$2:$D$3001,MATCH(B343,Jeux!$A$2:$A$3001,0))&amp;"",""))</f>
        <v/>
      </c>
      <c r="I343" s="26" t="str">
        <f aca="false">IF(A343="","",COUNTIF(Apparitions!$G$2:$G$5001,A343))</f>
        <v/>
      </c>
      <c r="J343" s="26" t="str">
        <f aca="false">IF(A343="","",COUNTIFS(Apparitions!$G$2:$G$5001,A343,Apparitions!$E$2:$E$5001,"○"))</f>
        <v/>
      </c>
      <c r="K343" s="29" t="str">
        <f aca="false">IF(A343="","",IFERROR(1/(1/_xlfn.MINIFS(Apparitions!$L$2:$L$5001,Apparitions!$G$2:$G$5001,A343)),""))</f>
        <v/>
      </c>
      <c r="L343" s="27" t="str">
        <f aca="false">IF(A343="","",A343&amp;" | "&amp;B343&amp;IF(C343="",""," ("&amp;C343&amp;")")&amp;IF(D343="",""," - "&amp;D343))</f>
        <v/>
      </c>
    </row>
    <row r="344" customFormat="false" ht="15" hidden="false" customHeight="false" outlineLevel="0" collapsed="false">
      <c r="A344" s="32"/>
      <c r="B344" s="19"/>
      <c r="C344" s="19"/>
      <c r="D344" s="19"/>
      <c r="E344" s="21"/>
      <c r="F344" s="19"/>
      <c r="G344" s="27" t="str">
        <f aca="false">IF(B344="","",IFERROR(INDEX(Jeux!$C$2:$C$3001,MATCH(B344,Jeux!$A$2:$A$3001,0))&amp;"","⚠ jeu inconnu"))</f>
        <v/>
      </c>
      <c r="H344" s="27" t="str">
        <f aca="false">IF(B344="","",IFERROR(INDEX(Jeux!$D$2:$D$3001,MATCH(B344,Jeux!$A$2:$A$3001,0))&amp;"",""))</f>
        <v/>
      </c>
      <c r="I344" s="26" t="str">
        <f aca="false">IF(A344="","",COUNTIF(Apparitions!$G$2:$G$5001,A344))</f>
        <v/>
      </c>
      <c r="J344" s="26" t="str">
        <f aca="false">IF(A344="","",COUNTIFS(Apparitions!$G$2:$G$5001,A344,Apparitions!$E$2:$E$5001,"○"))</f>
        <v/>
      </c>
      <c r="K344" s="29" t="str">
        <f aca="false">IF(A344="","",IFERROR(1/(1/_xlfn.MINIFS(Apparitions!$L$2:$L$5001,Apparitions!$G$2:$G$5001,A344)),""))</f>
        <v/>
      </c>
      <c r="L344" s="27" t="str">
        <f aca="false">IF(A344="","",A344&amp;" | "&amp;B344&amp;IF(C344="",""," ("&amp;C344&amp;")")&amp;IF(D344="",""," - "&amp;D344))</f>
        <v/>
      </c>
    </row>
    <row r="345" customFormat="false" ht="15" hidden="false" customHeight="false" outlineLevel="0" collapsed="false">
      <c r="A345" s="32"/>
      <c r="B345" s="19"/>
      <c r="C345" s="19"/>
      <c r="D345" s="19"/>
      <c r="E345" s="21"/>
      <c r="F345" s="19"/>
      <c r="G345" s="27" t="str">
        <f aca="false">IF(B345="","",IFERROR(INDEX(Jeux!$C$2:$C$3001,MATCH(B345,Jeux!$A$2:$A$3001,0))&amp;"","⚠ jeu inconnu"))</f>
        <v/>
      </c>
      <c r="H345" s="27" t="str">
        <f aca="false">IF(B345="","",IFERROR(INDEX(Jeux!$D$2:$D$3001,MATCH(B345,Jeux!$A$2:$A$3001,0))&amp;"",""))</f>
        <v/>
      </c>
      <c r="I345" s="26" t="str">
        <f aca="false">IF(A345="","",COUNTIF(Apparitions!$G$2:$G$5001,A345))</f>
        <v/>
      </c>
      <c r="J345" s="26" t="str">
        <f aca="false">IF(A345="","",COUNTIFS(Apparitions!$G$2:$G$5001,A345,Apparitions!$E$2:$E$5001,"○"))</f>
        <v/>
      </c>
      <c r="K345" s="29" t="str">
        <f aca="false">IF(A345="","",IFERROR(1/(1/_xlfn.MINIFS(Apparitions!$L$2:$L$5001,Apparitions!$G$2:$G$5001,A345)),""))</f>
        <v/>
      </c>
      <c r="L345" s="27" t="str">
        <f aca="false">IF(A345="","",A345&amp;" | "&amp;B345&amp;IF(C345="",""," ("&amp;C345&amp;")")&amp;IF(D345="",""," - "&amp;D345))</f>
        <v/>
      </c>
    </row>
    <row r="346" customFormat="false" ht="15" hidden="false" customHeight="false" outlineLevel="0" collapsed="false">
      <c r="A346" s="32"/>
      <c r="B346" s="19"/>
      <c r="C346" s="19"/>
      <c r="D346" s="19"/>
      <c r="E346" s="21"/>
      <c r="F346" s="19"/>
      <c r="G346" s="27" t="str">
        <f aca="false">IF(B346="","",IFERROR(INDEX(Jeux!$C$2:$C$3001,MATCH(B346,Jeux!$A$2:$A$3001,0))&amp;"","⚠ jeu inconnu"))</f>
        <v/>
      </c>
      <c r="H346" s="27" t="str">
        <f aca="false">IF(B346="","",IFERROR(INDEX(Jeux!$D$2:$D$3001,MATCH(B346,Jeux!$A$2:$A$3001,0))&amp;"",""))</f>
        <v/>
      </c>
      <c r="I346" s="26" t="str">
        <f aca="false">IF(A346="","",COUNTIF(Apparitions!$G$2:$G$5001,A346))</f>
        <v/>
      </c>
      <c r="J346" s="26" t="str">
        <f aca="false">IF(A346="","",COUNTIFS(Apparitions!$G$2:$G$5001,A346,Apparitions!$E$2:$E$5001,"○"))</f>
        <v/>
      </c>
      <c r="K346" s="29" t="str">
        <f aca="false">IF(A346="","",IFERROR(1/(1/_xlfn.MINIFS(Apparitions!$L$2:$L$5001,Apparitions!$G$2:$G$5001,A346)),""))</f>
        <v/>
      </c>
      <c r="L346" s="27" t="str">
        <f aca="false">IF(A346="","",A346&amp;" | "&amp;B346&amp;IF(C346="",""," ("&amp;C346&amp;")")&amp;IF(D346="",""," - "&amp;D346))</f>
        <v/>
      </c>
    </row>
    <row r="347" customFormat="false" ht="15" hidden="false" customHeight="false" outlineLevel="0" collapsed="false">
      <c r="A347" s="32"/>
      <c r="B347" s="19"/>
      <c r="C347" s="19"/>
      <c r="D347" s="19"/>
      <c r="E347" s="21"/>
      <c r="F347" s="19"/>
      <c r="G347" s="27" t="str">
        <f aca="false">IF(B347="","",IFERROR(INDEX(Jeux!$C$2:$C$3001,MATCH(B347,Jeux!$A$2:$A$3001,0))&amp;"","⚠ jeu inconnu"))</f>
        <v/>
      </c>
      <c r="H347" s="27" t="str">
        <f aca="false">IF(B347="","",IFERROR(INDEX(Jeux!$D$2:$D$3001,MATCH(B347,Jeux!$A$2:$A$3001,0))&amp;"",""))</f>
        <v/>
      </c>
      <c r="I347" s="26" t="str">
        <f aca="false">IF(A347="","",COUNTIF(Apparitions!$G$2:$G$5001,A347))</f>
        <v/>
      </c>
      <c r="J347" s="26" t="str">
        <f aca="false">IF(A347="","",COUNTIFS(Apparitions!$G$2:$G$5001,A347,Apparitions!$E$2:$E$5001,"○"))</f>
        <v/>
      </c>
      <c r="K347" s="29" t="str">
        <f aca="false">IF(A347="","",IFERROR(1/(1/_xlfn.MINIFS(Apparitions!$L$2:$L$5001,Apparitions!$G$2:$G$5001,A347)),""))</f>
        <v/>
      </c>
      <c r="L347" s="27" t="str">
        <f aca="false">IF(A347="","",A347&amp;" | "&amp;B347&amp;IF(C347="",""," ("&amp;C347&amp;")")&amp;IF(D347="",""," - "&amp;D347))</f>
        <v/>
      </c>
    </row>
    <row r="348" customFormat="false" ht="15" hidden="false" customHeight="false" outlineLevel="0" collapsed="false">
      <c r="A348" s="32"/>
      <c r="B348" s="19"/>
      <c r="C348" s="19"/>
      <c r="D348" s="19"/>
      <c r="E348" s="21"/>
      <c r="F348" s="19"/>
      <c r="G348" s="27" t="str">
        <f aca="false">IF(B348="","",IFERROR(INDEX(Jeux!$C$2:$C$3001,MATCH(B348,Jeux!$A$2:$A$3001,0))&amp;"","⚠ jeu inconnu"))</f>
        <v/>
      </c>
      <c r="H348" s="27" t="str">
        <f aca="false">IF(B348="","",IFERROR(INDEX(Jeux!$D$2:$D$3001,MATCH(B348,Jeux!$A$2:$A$3001,0))&amp;"",""))</f>
        <v/>
      </c>
      <c r="I348" s="26" t="str">
        <f aca="false">IF(A348="","",COUNTIF(Apparitions!$G$2:$G$5001,A348))</f>
        <v/>
      </c>
      <c r="J348" s="26" t="str">
        <f aca="false">IF(A348="","",COUNTIFS(Apparitions!$G$2:$G$5001,A348,Apparitions!$E$2:$E$5001,"○"))</f>
        <v/>
      </c>
      <c r="K348" s="29" t="str">
        <f aca="false">IF(A348="","",IFERROR(1/(1/_xlfn.MINIFS(Apparitions!$L$2:$L$5001,Apparitions!$G$2:$G$5001,A348)),""))</f>
        <v/>
      </c>
      <c r="L348" s="27" t="str">
        <f aca="false">IF(A348="","",A348&amp;" | "&amp;B348&amp;IF(C348="",""," ("&amp;C348&amp;")")&amp;IF(D348="",""," - "&amp;D348))</f>
        <v/>
      </c>
    </row>
    <row r="349" customFormat="false" ht="15" hidden="false" customHeight="false" outlineLevel="0" collapsed="false">
      <c r="A349" s="32"/>
      <c r="B349" s="19"/>
      <c r="C349" s="19"/>
      <c r="D349" s="19"/>
      <c r="E349" s="21"/>
      <c r="F349" s="19"/>
      <c r="G349" s="27" t="str">
        <f aca="false">IF(B349="","",IFERROR(INDEX(Jeux!$C$2:$C$3001,MATCH(B349,Jeux!$A$2:$A$3001,0))&amp;"","⚠ jeu inconnu"))</f>
        <v/>
      </c>
      <c r="H349" s="27" t="str">
        <f aca="false">IF(B349="","",IFERROR(INDEX(Jeux!$D$2:$D$3001,MATCH(B349,Jeux!$A$2:$A$3001,0))&amp;"",""))</f>
        <v/>
      </c>
      <c r="I349" s="26" t="str">
        <f aca="false">IF(A349="","",COUNTIF(Apparitions!$G$2:$G$5001,A349))</f>
        <v/>
      </c>
      <c r="J349" s="26" t="str">
        <f aca="false">IF(A349="","",COUNTIFS(Apparitions!$G$2:$G$5001,A349,Apparitions!$E$2:$E$5001,"○"))</f>
        <v/>
      </c>
      <c r="K349" s="29" t="str">
        <f aca="false">IF(A349="","",IFERROR(1/(1/_xlfn.MINIFS(Apparitions!$L$2:$L$5001,Apparitions!$G$2:$G$5001,A349)),""))</f>
        <v/>
      </c>
      <c r="L349" s="27" t="str">
        <f aca="false">IF(A349="","",A349&amp;" | "&amp;B349&amp;IF(C349="",""," ("&amp;C349&amp;")")&amp;IF(D349="",""," - "&amp;D349))</f>
        <v/>
      </c>
    </row>
    <row r="350" customFormat="false" ht="15" hidden="false" customHeight="false" outlineLevel="0" collapsed="false">
      <c r="A350" s="32"/>
      <c r="B350" s="19"/>
      <c r="C350" s="19"/>
      <c r="D350" s="19"/>
      <c r="E350" s="21"/>
      <c r="F350" s="19"/>
      <c r="G350" s="27" t="str">
        <f aca="false">IF(B350="","",IFERROR(INDEX(Jeux!$C$2:$C$3001,MATCH(B350,Jeux!$A$2:$A$3001,0))&amp;"","⚠ jeu inconnu"))</f>
        <v/>
      </c>
      <c r="H350" s="27" t="str">
        <f aca="false">IF(B350="","",IFERROR(INDEX(Jeux!$D$2:$D$3001,MATCH(B350,Jeux!$A$2:$A$3001,0))&amp;"",""))</f>
        <v/>
      </c>
      <c r="I350" s="26" t="str">
        <f aca="false">IF(A350="","",COUNTIF(Apparitions!$G$2:$G$5001,A350))</f>
        <v/>
      </c>
      <c r="J350" s="26" t="str">
        <f aca="false">IF(A350="","",COUNTIFS(Apparitions!$G$2:$G$5001,A350,Apparitions!$E$2:$E$5001,"○"))</f>
        <v/>
      </c>
      <c r="K350" s="29" t="str">
        <f aca="false">IF(A350="","",IFERROR(1/(1/_xlfn.MINIFS(Apparitions!$L$2:$L$5001,Apparitions!$G$2:$G$5001,A350)),""))</f>
        <v/>
      </c>
      <c r="L350" s="27" t="str">
        <f aca="false">IF(A350="","",A350&amp;" | "&amp;B350&amp;IF(C350="",""," ("&amp;C350&amp;")")&amp;IF(D350="",""," - "&amp;D350))</f>
        <v/>
      </c>
    </row>
    <row r="351" customFormat="false" ht="15" hidden="false" customHeight="false" outlineLevel="0" collapsed="false">
      <c r="A351" s="32"/>
      <c r="B351" s="19"/>
      <c r="C351" s="19"/>
      <c r="D351" s="19"/>
      <c r="E351" s="21"/>
      <c r="F351" s="19"/>
      <c r="G351" s="27" t="str">
        <f aca="false">IF(B351="","",IFERROR(INDEX(Jeux!$C$2:$C$3001,MATCH(B351,Jeux!$A$2:$A$3001,0))&amp;"","⚠ jeu inconnu"))</f>
        <v/>
      </c>
      <c r="H351" s="27" t="str">
        <f aca="false">IF(B351="","",IFERROR(INDEX(Jeux!$D$2:$D$3001,MATCH(B351,Jeux!$A$2:$A$3001,0))&amp;"",""))</f>
        <v/>
      </c>
      <c r="I351" s="26" t="str">
        <f aca="false">IF(A351="","",COUNTIF(Apparitions!$G$2:$G$5001,A351))</f>
        <v/>
      </c>
      <c r="J351" s="26" t="str">
        <f aca="false">IF(A351="","",COUNTIFS(Apparitions!$G$2:$G$5001,A351,Apparitions!$E$2:$E$5001,"○"))</f>
        <v/>
      </c>
      <c r="K351" s="29" t="str">
        <f aca="false">IF(A351="","",IFERROR(1/(1/_xlfn.MINIFS(Apparitions!$L$2:$L$5001,Apparitions!$G$2:$G$5001,A351)),""))</f>
        <v/>
      </c>
      <c r="L351" s="27" t="str">
        <f aca="false">IF(A351="","",A351&amp;" | "&amp;B351&amp;IF(C351="",""," ("&amp;C351&amp;")")&amp;IF(D351="",""," - "&amp;D351))</f>
        <v/>
      </c>
    </row>
    <row r="352" customFormat="false" ht="15" hidden="false" customHeight="false" outlineLevel="0" collapsed="false">
      <c r="A352" s="32"/>
      <c r="B352" s="19"/>
      <c r="C352" s="19"/>
      <c r="D352" s="19"/>
      <c r="E352" s="21"/>
      <c r="F352" s="19"/>
      <c r="G352" s="27" t="str">
        <f aca="false">IF(B352="","",IFERROR(INDEX(Jeux!$C$2:$C$3001,MATCH(B352,Jeux!$A$2:$A$3001,0))&amp;"","⚠ jeu inconnu"))</f>
        <v/>
      </c>
      <c r="H352" s="27" t="str">
        <f aca="false">IF(B352="","",IFERROR(INDEX(Jeux!$D$2:$D$3001,MATCH(B352,Jeux!$A$2:$A$3001,0))&amp;"",""))</f>
        <v/>
      </c>
      <c r="I352" s="26" t="str">
        <f aca="false">IF(A352="","",COUNTIF(Apparitions!$G$2:$G$5001,A352))</f>
        <v/>
      </c>
      <c r="J352" s="26" t="str">
        <f aca="false">IF(A352="","",COUNTIFS(Apparitions!$G$2:$G$5001,A352,Apparitions!$E$2:$E$5001,"○"))</f>
        <v/>
      </c>
      <c r="K352" s="29" t="str">
        <f aca="false">IF(A352="","",IFERROR(1/(1/_xlfn.MINIFS(Apparitions!$L$2:$L$5001,Apparitions!$G$2:$G$5001,A352)),""))</f>
        <v/>
      </c>
      <c r="L352" s="27" t="str">
        <f aca="false">IF(A352="","",A352&amp;" | "&amp;B352&amp;IF(C352="",""," ("&amp;C352&amp;")")&amp;IF(D352="",""," - "&amp;D352))</f>
        <v/>
      </c>
    </row>
    <row r="353" customFormat="false" ht="15" hidden="false" customHeight="false" outlineLevel="0" collapsed="false">
      <c r="A353" s="32"/>
      <c r="B353" s="19"/>
      <c r="C353" s="19"/>
      <c r="D353" s="19"/>
      <c r="E353" s="21"/>
      <c r="F353" s="19"/>
      <c r="G353" s="27" t="str">
        <f aca="false">IF(B353="","",IFERROR(INDEX(Jeux!$C$2:$C$3001,MATCH(B353,Jeux!$A$2:$A$3001,0))&amp;"","⚠ jeu inconnu"))</f>
        <v/>
      </c>
      <c r="H353" s="27" t="str">
        <f aca="false">IF(B353="","",IFERROR(INDEX(Jeux!$D$2:$D$3001,MATCH(B353,Jeux!$A$2:$A$3001,0))&amp;"",""))</f>
        <v/>
      </c>
      <c r="I353" s="26" t="str">
        <f aca="false">IF(A353="","",COUNTIF(Apparitions!$G$2:$G$5001,A353))</f>
        <v/>
      </c>
      <c r="J353" s="26" t="str">
        <f aca="false">IF(A353="","",COUNTIFS(Apparitions!$G$2:$G$5001,A353,Apparitions!$E$2:$E$5001,"○"))</f>
        <v/>
      </c>
      <c r="K353" s="29" t="str">
        <f aca="false">IF(A353="","",IFERROR(1/(1/_xlfn.MINIFS(Apparitions!$L$2:$L$5001,Apparitions!$G$2:$G$5001,A353)),""))</f>
        <v/>
      </c>
      <c r="L353" s="27" t="str">
        <f aca="false">IF(A353="","",A353&amp;" | "&amp;B353&amp;IF(C353="",""," ("&amp;C353&amp;")")&amp;IF(D353="",""," - "&amp;D353))</f>
        <v/>
      </c>
    </row>
    <row r="354" customFormat="false" ht="15" hidden="false" customHeight="false" outlineLevel="0" collapsed="false">
      <c r="A354" s="32"/>
      <c r="B354" s="19"/>
      <c r="C354" s="19"/>
      <c r="D354" s="19"/>
      <c r="E354" s="21"/>
      <c r="F354" s="19"/>
      <c r="G354" s="27" t="str">
        <f aca="false">IF(B354="","",IFERROR(INDEX(Jeux!$C$2:$C$3001,MATCH(B354,Jeux!$A$2:$A$3001,0))&amp;"","⚠ jeu inconnu"))</f>
        <v/>
      </c>
      <c r="H354" s="27" t="str">
        <f aca="false">IF(B354="","",IFERROR(INDEX(Jeux!$D$2:$D$3001,MATCH(B354,Jeux!$A$2:$A$3001,0))&amp;"",""))</f>
        <v/>
      </c>
      <c r="I354" s="26" t="str">
        <f aca="false">IF(A354="","",COUNTIF(Apparitions!$G$2:$G$5001,A354))</f>
        <v/>
      </c>
      <c r="J354" s="26" t="str">
        <f aca="false">IF(A354="","",COUNTIFS(Apparitions!$G$2:$G$5001,A354,Apparitions!$E$2:$E$5001,"○"))</f>
        <v/>
      </c>
      <c r="K354" s="29" t="str">
        <f aca="false">IF(A354="","",IFERROR(1/(1/_xlfn.MINIFS(Apparitions!$L$2:$L$5001,Apparitions!$G$2:$G$5001,A354)),""))</f>
        <v/>
      </c>
      <c r="L354" s="27" t="str">
        <f aca="false">IF(A354="","",A354&amp;" | "&amp;B354&amp;IF(C354="",""," ("&amp;C354&amp;")")&amp;IF(D354="",""," - "&amp;D354))</f>
        <v/>
      </c>
    </row>
    <row r="355" customFormat="false" ht="15" hidden="false" customHeight="false" outlineLevel="0" collapsed="false">
      <c r="A355" s="32"/>
      <c r="B355" s="19"/>
      <c r="C355" s="19"/>
      <c r="D355" s="19"/>
      <c r="E355" s="21"/>
      <c r="F355" s="19"/>
      <c r="G355" s="27" t="str">
        <f aca="false">IF(B355="","",IFERROR(INDEX(Jeux!$C$2:$C$3001,MATCH(B355,Jeux!$A$2:$A$3001,0))&amp;"","⚠ jeu inconnu"))</f>
        <v/>
      </c>
      <c r="H355" s="27" t="str">
        <f aca="false">IF(B355="","",IFERROR(INDEX(Jeux!$D$2:$D$3001,MATCH(B355,Jeux!$A$2:$A$3001,0))&amp;"",""))</f>
        <v/>
      </c>
      <c r="I355" s="26" t="str">
        <f aca="false">IF(A355="","",COUNTIF(Apparitions!$G$2:$G$5001,A355))</f>
        <v/>
      </c>
      <c r="J355" s="26" t="str">
        <f aca="false">IF(A355="","",COUNTIFS(Apparitions!$G$2:$G$5001,A355,Apparitions!$E$2:$E$5001,"○"))</f>
        <v/>
      </c>
      <c r="K355" s="29" t="str">
        <f aca="false">IF(A355="","",IFERROR(1/(1/_xlfn.MINIFS(Apparitions!$L$2:$L$5001,Apparitions!$G$2:$G$5001,A355)),""))</f>
        <v/>
      </c>
      <c r="L355" s="27" t="str">
        <f aca="false">IF(A355="","",A355&amp;" | "&amp;B355&amp;IF(C355="",""," ("&amp;C355&amp;")")&amp;IF(D355="",""," - "&amp;D355))</f>
        <v/>
      </c>
    </row>
    <row r="356" customFormat="false" ht="15" hidden="false" customHeight="false" outlineLevel="0" collapsed="false">
      <c r="A356" s="32"/>
      <c r="B356" s="19"/>
      <c r="C356" s="19"/>
      <c r="D356" s="19"/>
      <c r="E356" s="21"/>
      <c r="F356" s="19"/>
      <c r="G356" s="27" t="str">
        <f aca="false">IF(B356="","",IFERROR(INDEX(Jeux!$C$2:$C$3001,MATCH(B356,Jeux!$A$2:$A$3001,0))&amp;"","⚠ jeu inconnu"))</f>
        <v/>
      </c>
      <c r="H356" s="27" t="str">
        <f aca="false">IF(B356="","",IFERROR(INDEX(Jeux!$D$2:$D$3001,MATCH(B356,Jeux!$A$2:$A$3001,0))&amp;"",""))</f>
        <v/>
      </c>
      <c r="I356" s="26" t="str">
        <f aca="false">IF(A356="","",COUNTIF(Apparitions!$G$2:$G$5001,A356))</f>
        <v/>
      </c>
      <c r="J356" s="26" t="str">
        <f aca="false">IF(A356="","",COUNTIFS(Apparitions!$G$2:$G$5001,A356,Apparitions!$E$2:$E$5001,"○"))</f>
        <v/>
      </c>
      <c r="K356" s="29" t="str">
        <f aca="false">IF(A356="","",IFERROR(1/(1/_xlfn.MINIFS(Apparitions!$L$2:$L$5001,Apparitions!$G$2:$G$5001,A356)),""))</f>
        <v/>
      </c>
      <c r="L356" s="27" t="str">
        <f aca="false">IF(A356="","",A356&amp;" | "&amp;B356&amp;IF(C356="",""," ("&amp;C356&amp;")")&amp;IF(D356="",""," - "&amp;D356))</f>
        <v/>
      </c>
    </row>
    <row r="357" customFormat="false" ht="15" hidden="false" customHeight="false" outlineLevel="0" collapsed="false">
      <c r="A357" s="32"/>
      <c r="B357" s="19"/>
      <c r="C357" s="19"/>
      <c r="D357" s="19"/>
      <c r="E357" s="21"/>
      <c r="F357" s="19"/>
      <c r="G357" s="27" t="str">
        <f aca="false">IF(B357="","",IFERROR(INDEX(Jeux!$C$2:$C$3001,MATCH(B357,Jeux!$A$2:$A$3001,0))&amp;"","⚠ jeu inconnu"))</f>
        <v/>
      </c>
      <c r="H357" s="27" t="str">
        <f aca="false">IF(B357="","",IFERROR(INDEX(Jeux!$D$2:$D$3001,MATCH(B357,Jeux!$A$2:$A$3001,0))&amp;"",""))</f>
        <v/>
      </c>
      <c r="I357" s="26" t="str">
        <f aca="false">IF(A357="","",COUNTIF(Apparitions!$G$2:$G$5001,A357))</f>
        <v/>
      </c>
      <c r="J357" s="26" t="str">
        <f aca="false">IF(A357="","",COUNTIFS(Apparitions!$G$2:$G$5001,A357,Apparitions!$E$2:$E$5001,"○"))</f>
        <v/>
      </c>
      <c r="K357" s="29" t="str">
        <f aca="false">IF(A357="","",IFERROR(1/(1/_xlfn.MINIFS(Apparitions!$L$2:$L$5001,Apparitions!$G$2:$G$5001,A357)),""))</f>
        <v/>
      </c>
      <c r="L357" s="27" t="str">
        <f aca="false">IF(A357="","",A357&amp;" | "&amp;B357&amp;IF(C357="",""," ("&amp;C357&amp;")")&amp;IF(D357="",""," - "&amp;D357))</f>
        <v/>
      </c>
    </row>
    <row r="358" customFormat="false" ht="15" hidden="false" customHeight="false" outlineLevel="0" collapsed="false">
      <c r="A358" s="32"/>
      <c r="B358" s="19"/>
      <c r="C358" s="19"/>
      <c r="D358" s="19"/>
      <c r="E358" s="21"/>
      <c r="F358" s="19"/>
      <c r="G358" s="27" t="str">
        <f aca="false">IF(B358="","",IFERROR(INDEX(Jeux!$C$2:$C$3001,MATCH(B358,Jeux!$A$2:$A$3001,0))&amp;"","⚠ jeu inconnu"))</f>
        <v/>
      </c>
      <c r="H358" s="27" t="str">
        <f aca="false">IF(B358="","",IFERROR(INDEX(Jeux!$D$2:$D$3001,MATCH(B358,Jeux!$A$2:$A$3001,0))&amp;"",""))</f>
        <v/>
      </c>
      <c r="I358" s="26" t="str">
        <f aca="false">IF(A358="","",COUNTIF(Apparitions!$G$2:$G$5001,A358))</f>
        <v/>
      </c>
      <c r="J358" s="26" t="str">
        <f aca="false">IF(A358="","",COUNTIFS(Apparitions!$G$2:$G$5001,A358,Apparitions!$E$2:$E$5001,"○"))</f>
        <v/>
      </c>
      <c r="K358" s="29" t="str">
        <f aca="false">IF(A358="","",IFERROR(1/(1/_xlfn.MINIFS(Apparitions!$L$2:$L$5001,Apparitions!$G$2:$G$5001,A358)),""))</f>
        <v/>
      </c>
      <c r="L358" s="27" t="str">
        <f aca="false">IF(A358="","",A358&amp;" | "&amp;B358&amp;IF(C358="",""," ("&amp;C358&amp;")")&amp;IF(D358="",""," - "&amp;D358))</f>
        <v/>
      </c>
    </row>
    <row r="359" customFormat="false" ht="15" hidden="false" customHeight="false" outlineLevel="0" collapsed="false">
      <c r="A359" s="32"/>
      <c r="B359" s="19"/>
      <c r="C359" s="19"/>
      <c r="D359" s="19"/>
      <c r="E359" s="21"/>
      <c r="F359" s="19"/>
      <c r="G359" s="27" t="str">
        <f aca="false">IF(B359="","",IFERROR(INDEX(Jeux!$C$2:$C$3001,MATCH(B359,Jeux!$A$2:$A$3001,0))&amp;"","⚠ jeu inconnu"))</f>
        <v/>
      </c>
      <c r="H359" s="27" t="str">
        <f aca="false">IF(B359="","",IFERROR(INDEX(Jeux!$D$2:$D$3001,MATCH(B359,Jeux!$A$2:$A$3001,0))&amp;"",""))</f>
        <v/>
      </c>
      <c r="I359" s="26" t="str">
        <f aca="false">IF(A359="","",COUNTIF(Apparitions!$G$2:$G$5001,A359))</f>
        <v/>
      </c>
      <c r="J359" s="26" t="str">
        <f aca="false">IF(A359="","",COUNTIFS(Apparitions!$G$2:$G$5001,A359,Apparitions!$E$2:$E$5001,"○"))</f>
        <v/>
      </c>
      <c r="K359" s="29" t="str">
        <f aca="false">IF(A359="","",IFERROR(1/(1/_xlfn.MINIFS(Apparitions!$L$2:$L$5001,Apparitions!$G$2:$G$5001,A359)),""))</f>
        <v/>
      </c>
      <c r="L359" s="27" t="str">
        <f aca="false">IF(A359="","",A359&amp;" | "&amp;B359&amp;IF(C359="",""," ("&amp;C359&amp;")")&amp;IF(D359="",""," - "&amp;D359))</f>
        <v/>
      </c>
    </row>
    <row r="360" customFormat="false" ht="15" hidden="false" customHeight="false" outlineLevel="0" collapsed="false">
      <c r="A360" s="32"/>
      <c r="B360" s="19"/>
      <c r="C360" s="19"/>
      <c r="D360" s="19"/>
      <c r="E360" s="21"/>
      <c r="F360" s="19"/>
      <c r="G360" s="27" t="str">
        <f aca="false">IF(B360="","",IFERROR(INDEX(Jeux!$C$2:$C$3001,MATCH(B360,Jeux!$A$2:$A$3001,0))&amp;"","⚠ jeu inconnu"))</f>
        <v/>
      </c>
      <c r="H360" s="27" t="str">
        <f aca="false">IF(B360="","",IFERROR(INDEX(Jeux!$D$2:$D$3001,MATCH(B360,Jeux!$A$2:$A$3001,0))&amp;"",""))</f>
        <v/>
      </c>
      <c r="I360" s="26" t="str">
        <f aca="false">IF(A360="","",COUNTIF(Apparitions!$G$2:$G$5001,A360))</f>
        <v/>
      </c>
      <c r="J360" s="26" t="str">
        <f aca="false">IF(A360="","",COUNTIFS(Apparitions!$G$2:$G$5001,A360,Apparitions!$E$2:$E$5001,"○"))</f>
        <v/>
      </c>
      <c r="K360" s="29" t="str">
        <f aca="false">IF(A360="","",IFERROR(1/(1/_xlfn.MINIFS(Apparitions!$L$2:$L$5001,Apparitions!$G$2:$G$5001,A360)),""))</f>
        <v/>
      </c>
      <c r="L360" s="27" t="str">
        <f aca="false">IF(A360="","",A360&amp;" | "&amp;B360&amp;IF(C360="",""," ("&amp;C360&amp;")")&amp;IF(D360="",""," - "&amp;D360))</f>
        <v/>
      </c>
    </row>
    <row r="361" customFormat="false" ht="15" hidden="false" customHeight="false" outlineLevel="0" collapsed="false">
      <c r="A361" s="32"/>
      <c r="B361" s="19"/>
      <c r="C361" s="19"/>
      <c r="D361" s="19"/>
      <c r="E361" s="21"/>
      <c r="F361" s="19"/>
      <c r="G361" s="27" t="str">
        <f aca="false">IF(B361="","",IFERROR(INDEX(Jeux!$C$2:$C$3001,MATCH(B361,Jeux!$A$2:$A$3001,0))&amp;"","⚠ jeu inconnu"))</f>
        <v/>
      </c>
      <c r="H361" s="27" t="str">
        <f aca="false">IF(B361="","",IFERROR(INDEX(Jeux!$D$2:$D$3001,MATCH(B361,Jeux!$A$2:$A$3001,0))&amp;"",""))</f>
        <v/>
      </c>
      <c r="I361" s="26" t="str">
        <f aca="false">IF(A361="","",COUNTIF(Apparitions!$G$2:$G$5001,A361))</f>
        <v/>
      </c>
      <c r="J361" s="26" t="str">
        <f aca="false">IF(A361="","",COUNTIFS(Apparitions!$G$2:$G$5001,A361,Apparitions!$E$2:$E$5001,"○"))</f>
        <v/>
      </c>
      <c r="K361" s="29" t="str">
        <f aca="false">IF(A361="","",IFERROR(1/(1/_xlfn.MINIFS(Apparitions!$L$2:$L$5001,Apparitions!$G$2:$G$5001,A361)),""))</f>
        <v/>
      </c>
      <c r="L361" s="27" t="str">
        <f aca="false">IF(A361="","",A361&amp;" | "&amp;B361&amp;IF(C361="",""," ("&amp;C361&amp;")")&amp;IF(D361="",""," - "&amp;D361))</f>
        <v/>
      </c>
    </row>
    <row r="362" customFormat="false" ht="15" hidden="false" customHeight="false" outlineLevel="0" collapsed="false">
      <c r="A362" s="32"/>
      <c r="B362" s="19"/>
      <c r="C362" s="19"/>
      <c r="D362" s="19"/>
      <c r="E362" s="21"/>
      <c r="F362" s="19"/>
      <c r="G362" s="27" t="str">
        <f aca="false">IF(B362="","",IFERROR(INDEX(Jeux!$C$2:$C$3001,MATCH(B362,Jeux!$A$2:$A$3001,0))&amp;"","⚠ jeu inconnu"))</f>
        <v/>
      </c>
      <c r="H362" s="27" t="str">
        <f aca="false">IF(B362="","",IFERROR(INDEX(Jeux!$D$2:$D$3001,MATCH(B362,Jeux!$A$2:$A$3001,0))&amp;"",""))</f>
        <v/>
      </c>
      <c r="I362" s="26" t="str">
        <f aca="false">IF(A362="","",COUNTIF(Apparitions!$G$2:$G$5001,A362))</f>
        <v/>
      </c>
      <c r="J362" s="26" t="str">
        <f aca="false">IF(A362="","",COUNTIFS(Apparitions!$G$2:$G$5001,A362,Apparitions!$E$2:$E$5001,"○"))</f>
        <v/>
      </c>
      <c r="K362" s="29" t="str">
        <f aca="false">IF(A362="","",IFERROR(1/(1/_xlfn.MINIFS(Apparitions!$L$2:$L$5001,Apparitions!$G$2:$G$5001,A362)),""))</f>
        <v/>
      </c>
      <c r="L362" s="27" t="str">
        <f aca="false">IF(A362="","",A362&amp;" | "&amp;B362&amp;IF(C362="",""," ("&amp;C362&amp;")")&amp;IF(D362="",""," - "&amp;D362))</f>
        <v/>
      </c>
    </row>
    <row r="363" customFormat="false" ht="15" hidden="false" customHeight="false" outlineLevel="0" collapsed="false">
      <c r="A363" s="32"/>
      <c r="B363" s="19"/>
      <c r="C363" s="19"/>
      <c r="D363" s="19"/>
      <c r="E363" s="21"/>
      <c r="F363" s="19"/>
      <c r="G363" s="27" t="str">
        <f aca="false">IF(B363="","",IFERROR(INDEX(Jeux!$C$2:$C$3001,MATCH(B363,Jeux!$A$2:$A$3001,0))&amp;"","⚠ jeu inconnu"))</f>
        <v/>
      </c>
      <c r="H363" s="27" t="str">
        <f aca="false">IF(B363="","",IFERROR(INDEX(Jeux!$D$2:$D$3001,MATCH(B363,Jeux!$A$2:$A$3001,0))&amp;"",""))</f>
        <v/>
      </c>
      <c r="I363" s="26" t="str">
        <f aca="false">IF(A363="","",COUNTIF(Apparitions!$G$2:$G$5001,A363))</f>
        <v/>
      </c>
      <c r="J363" s="26" t="str">
        <f aca="false">IF(A363="","",COUNTIFS(Apparitions!$G$2:$G$5001,A363,Apparitions!$E$2:$E$5001,"○"))</f>
        <v/>
      </c>
      <c r="K363" s="29" t="str">
        <f aca="false">IF(A363="","",IFERROR(1/(1/_xlfn.MINIFS(Apparitions!$L$2:$L$5001,Apparitions!$G$2:$G$5001,A363)),""))</f>
        <v/>
      </c>
      <c r="L363" s="27" t="str">
        <f aca="false">IF(A363="","",A363&amp;" | "&amp;B363&amp;IF(C363="",""," ("&amp;C363&amp;")")&amp;IF(D363="",""," - "&amp;D363))</f>
        <v/>
      </c>
    </row>
    <row r="364" customFormat="false" ht="15" hidden="false" customHeight="false" outlineLevel="0" collapsed="false">
      <c r="A364" s="32"/>
      <c r="B364" s="19"/>
      <c r="C364" s="19"/>
      <c r="D364" s="19"/>
      <c r="E364" s="21"/>
      <c r="F364" s="19"/>
      <c r="G364" s="27" t="str">
        <f aca="false">IF(B364="","",IFERROR(INDEX(Jeux!$C$2:$C$3001,MATCH(B364,Jeux!$A$2:$A$3001,0))&amp;"","⚠ jeu inconnu"))</f>
        <v/>
      </c>
      <c r="H364" s="27" t="str">
        <f aca="false">IF(B364="","",IFERROR(INDEX(Jeux!$D$2:$D$3001,MATCH(B364,Jeux!$A$2:$A$3001,0))&amp;"",""))</f>
        <v/>
      </c>
      <c r="I364" s="26" t="str">
        <f aca="false">IF(A364="","",COUNTIF(Apparitions!$G$2:$G$5001,A364))</f>
        <v/>
      </c>
      <c r="J364" s="26" t="str">
        <f aca="false">IF(A364="","",COUNTIFS(Apparitions!$G$2:$G$5001,A364,Apparitions!$E$2:$E$5001,"○"))</f>
        <v/>
      </c>
      <c r="K364" s="29" t="str">
        <f aca="false">IF(A364="","",IFERROR(1/(1/_xlfn.MINIFS(Apparitions!$L$2:$L$5001,Apparitions!$G$2:$G$5001,A364)),""))</f>
        <v/>
      </c>
      <c r="L364" s="27" t="str">
        <f aca="false">IF(A364="","",A364&amp;" | "&amp;B364&amp;IF(C364="",""," ("&amp;C364&amp;")")&amp;IF(D364="",""," - "&amp;D364))</f>
        <v/>
      </c>
    </row>
    <row r="365" customFormat="false" ht="15" hidden="false" customHeight="false" outlineLevel="0" collapsed="false">
      <c r="A365" s="32"/>
      <c r="B365" s="19"/>
      <c r="C365" s="19"/>
      <c r="D365" s="19"/>
      <c r="E365" s="21"/>
      <c r="F365" s="19"/>
      <c r="G365" s="27" t="str">
        <f aca="false">IF(B365="","",IFERROR(INDEX(Jeux!$C$2:$C$3001,MATCH(B365,Jeux!$A$2:$A$3001,0))&amp;"","⚠ jeu inconnu"))</f>
        <v/>
      </c>
      <c r="H365" s="27" t="str">
        <f aca="false">IF(B365="","",IFERROR(INDEX(Jeux!$D$2:$D$3001,MATCH(B365,Jeux!$A$2:$A$3001,0))&amp;"",""))</f>
        <v/>
      </c>
      <c r="I365" s="26" t="str">
        <f aca="false">IF(A365="","",COUNTIF(Apparitions!$G$2:$G$5001,A365))</f>
        <v/>
      </c>
      <c r="J365" s="26" t="str">
        <f aca="false">IF(A365="","",COUNTIFS(Apparitions!$G$2:$G$5001,A365,Apparitions!$E$2:$E$5001,"○"))</f>
        <v/>
      </c>
      <c r="K365" s="29" t="str">
        <f aca="false">IF(A365="","",IFERROR(1/(1/_xlfn.MINIFS(Apparitions!$L$2:$L$5001,Apparitions!$G$2:$G$5001,A365)),""))</f>
        <v/>
      </c>
      <c r="L365" s="27" t="str">
        <f aca="false">IF(A365="","",A365&amp;" | "&amp;B365&amp;IF(C365="",""," ("&amp;C365&amp;")")&amp;IF(D365="",""," - "&amp;D365))</f>
        <v/>
      </c>
    </row>
    <row r="366" customFormat="false" ht="15" hidden="false" customHeight="false" outlineLevel="0" collapsed="false">
      <c r="A366" s="32"/>
      <c r="B366" s="19"/>
      <c r="C366" s="19"/>
      <c r="D366" s="19"/>
      <c r="E366" s="21"/>
      <c r="F366" s="19"/>
      <c r="G366" s="27" t="str">
        <f aca="false">IF(B366="","",IFERROR(INDEX(Jeux!$C$2:$C$3001,MATCH(B366,Jeux!$A$2:$A$3001,0))&amp;"","⚠ jeu inconnu"))</f>
        <v/>
      </c>
      <c r="H366" s="27" t="str">
        <f aca="false">IF(B366="","",IFERROR(INDEX(Jeux!$D$2:$D$3001,MATCH(B366,Jeux!$A$2:$A$3001,0))&amp;"",""))</f>
        <v/>
      </c>
      <c r="I366" s="26" t="str">
        <f aca="false">IF(A366="","",COUNTIF(Apparitions!$G$2:$G$5001,A366))</f>
        <v/>
      </c>
      <c r="J366" s="26" t="str">
        <f aca="false">IF(A366="","",COUNTIFS(Apparitions!$G$2:$G$5001,A366,Apparitions!$E$2:$E$5001,"○"))</f>
        <v/>
      </c>
      <c r="K366" s="29" t="str">
        <f aca="false">IF(A366="","",IFERROR(1/(1/_xlfn.MINIFS(Apparitions!$L$2:$L$5001,Apparitions!$G$2:$G$5001,A366)),""))</f>
        <v/>
      </c>
      <c r="L366" s="27" t="str">
        <f aca="false">IF(A366="","",A366&amp;" | "&amp;B366&amp;IF(C366="",""," ("&amp;C366&amp;")")&amp;IF(D366="",""," - "&amp;D366))</f>
        <v/>
      </c>
    </row>
    <row r="367" customFormat="false" ht="15" hidden="false" customHeight="false" outlineLevel="0" collapsed="false">
      <c r="A367" s="32"/>
      <c r="B367" s="19"/>
      <c r="C367" s="19"/>
      <c r="D367" s="19"/>
      <c r="E367" s="21"/>
      <c r="F367" s="19"/>
      <c r="G367" s="27" t="str">
        <f aca="false">IF(B367="","",IFERROR(INDEX(Jeux!$C$2:$C$3001,MATCH(B367,Jeux!$A$2:$A$3001,0))&amp;"","⚠ jeu inconnu"))</f>
        <v/>
      </c>
      <c r="H367" s="27" t="str">
        <f aca="false">IF(B367="","",IFERROR(INDEX(Jeux!$D$2:$D$3001,MATCH(B367,Jeux!$A$2:$A$3001,0))&amp;"",""))</f>
        <v/>
      </c>
      <c r="I367" s="26" t="str">
        <f aca="false">IF(A367="","",COUNTIF(Apparitions!$G$2:$G$5001,A367))</f>
        <v/>
      </c>
      <c r="J367" s="26" t="str">
        <f aca="false">IF(A367="","",COUNTIFS(Apparitions!$G$2:$G$5001,A367,Apparitions!$E$2:$E$5001,"○"))</f>
        <v/>
      </c>
      <c r="K367" s="29" t="str">
        <f aca="false">IF(A367="","",IFERROR(1/(1/_xlfn.MINIFS(Apparitions!$L$2:$L$5001,Apparitions!$G$2:$G$5001,A367)),""))</f>
        <v/>
      </c>
      <c r="L367" s="27" t="str">
        <f aca="false">IF(A367="","",A367&amp;" | "&amp;B367&amp;IF(C367="",""," ("&amp;C367&amp;")")&amp;IF(D367="",""," - "&amp;D367))</f>
        <v/>
      </c>
    </row>
    <row r="368" customFormat="false" ht="15" hidden="false" customHeight="false" outlineLevel="0" collapsed="false">
      <c r="A368" s="32"/>
      <c r="B368" s="19"/>
      <c r="C368" s="19"/>
      <c r="D368" s="19"/>
      <c r="E368" s="21"/>
      <c r="F368" s="19"/>
      <c r="G368" s="27" t="str">
        <f aca="false">IF(B368="","",IFERROR(INDEX(Jeux!$C$2:$C$3001,MATCH(B368,Jeux!$A$2:$A$3001,0))&amp;"","⚠ jeu inconnu"))</f>
        <v/>
      </c>
      <c r="H368" s="27" t="str">
        <f aca="false">IF(B368="","",IFERROR(INDEX(Jeux!$D$2:$D$3001,MATCH(B368,Jeux!$A$2:$A$3001,0))&amp;"",""))</f>
        <v/>
      </c>
      <c r="I368" s="26" t="str">
        <f aca="false">IF(A368="","",COUNTIF(Apparitions!$G$2:$G$5001,A368))</f>
        <v/>
      </c>
      <c r="J368" s="26" t="str">
        <f aca="false">IF(A368="","",COUNTIFS(Apparitions!$G$2:$G$5001,A368,Apparitions!$E$2:$E$5001,"○"))</f>
        <v/>
      </c>
      <c r="K368" s="29" t="str">
        <f aca="false">IF(A368="","",IFERROR(1/(1/_xlfn.MINIFS(Apparitions!$L$2:$L$5001,Apparitions!$G$2:$G$5001,A368)),""))</f>
        <v/>
      </c>
      <c r="L368" s="27" t="str">
        <f aca="false">IF(A368="","",A368&amp;" | "&amp;B368&amp;IF(C368="",""," ("&amp;C368&amp;")")&amp;IF(D368="",""," - "&amp;D368))</f>
        <v/>
      </c>
    </row>
    <row r="369" customFormat="false" ht="15" hidden="false" customHeight="false" outlineLevel="0" collapsed="false">
      <c r="A369" s="32"/>
      <c r="B369" s="19"/>
      <c r="C369" s="19"/>
      <c r="D369" s="19"/>
      <c r="E369" s="21"/>
      <c r="F369" s="19"/>
      <c r="G369" s="27" t="str">
        <f aca="false">IF(B369="","",IFERROR(INDEX(Jeux!$C$2:$C$3001,MATCH(B369,Jeux!$A$2:$A$3001,0))&amp;"","⚠ jeu inconnu"))</f>
        <v/>
      </c>
      <c r="H369" s="27" t="str">
        <f aca="false">IF(B369="","",IFERROR(INDEX(Jeux!$D$2:$D$3001,MATCH(B369,Jeux!$A$2:$A$3001,0))&amp;"",""))</f>
        <v/>
      </c>
      <c r="I369" s="26" t="str">
        <f aca="false">IF(A369="","",COUNTIF(Apparitions!$G$2:$G$5001,A369))</f>
        <v/>
      </c>
      <c r="J369" s="26" t="str">
        <f aca="false">IF(A369="","",COUNTIFS(Apparitions!$G$2:$G$5001,A369,Apparitions!$E$2:$E$5001,"○"))</f>
        <v/>
      </c>
      <c r="K369" s="29" t="str">
        <f aca="false">IF(A369="","",IFERROR(1/(1/_xlfn.MINIFS(Apparitions!$L$2:$L$5001,Apparitions!$G$2:$G$5001,A369)),""))</f>
        <v/>
      </c>
      <c r="L369" s="27" t="str">
        <f aca="false">IF(A369="","",A369&amp;" | "&amp;B369&amp;IF(C369="",""," ("&amp;C369&amp;")")&amp;IF(D369="",""," - "&amp;D369))</f>
        <v/>
      </c>
    </row>
    <row r="370" customFormat="false" ht="15" hidden="false" customHeight="false" outlineLevel="0" collapsed="false">
      <c r="A370" s="32"/>
      <c r="B370" s="19"/>
      <c r="C370" s="19"/>
      <c r="D370" s="19"/>
      <c r="E370" s="21"/>
      <c r="F370" s="19"/>
      <c r="G370" s="27" t="str">
        <f aca="false">IF(B370="","",IFERROR(INDEX(Jeux!$C$2:$C$3001,MATCH(B370,Jeux!$A$2:$A$3001,0))&amp;"","⚠ jeu inconnu"))</f>
        <v/>
      </c>
      <c r="H370" s="27" t="str">
        <f aca="false">IF(B370="","",IFERROR(INDEX(Jeux!$D$2:$D$3001,MATCH(B370,Jeux!$A$2:$A$3001,0))&amp;"",""))</f>
        <v/>
      </c>
      <c r="I370" s="26" t="str">
        <f aca="false">IF(A370="","",COUNTIF(Apparitions!$G$2:$G$5001,A370))</f>
        <v/>
      </c>
      <c r="J370" s="26" t="str">
        <f aca="false">IF(A370="","",COUNTIFS(Apparitions!$G$2:$G$5001,A370,Apparitions!$E$2:$E$5001,"○"))</f>
        <v/>
      </c>
      <c r="K370" s="29" t="str">
        <f aca="false">IF(A370="","",IFERROR(1/(1/_xlfn.MINIFS(Apparitions!$L$2:$L$5001,Apparitions!$G$2:$G$5001,A370)),""))</f>
        <v/>
      </c>
      <c r="L370" s="27" t="str">
        <f aca="false">IF(A370="","",A370&amp;" | "&amp;B370&amp;IF(C370="",""," ("&amp;C370&amp;")")&amp;IF(D370="",""," - "&amp;D370))</f>
        <v/>
      </c>
    </row>
    <row r="371" customFormat="false" ht="15" hidden="false" customHeight="false" outlineLevel="0" collapsed="false">
      <c r="A371" s="32"/>
      <c r="B371" s="19"/>
      <c r="C371" s="19"/>
      <c r="D371" s="19"/>
      <c r="E371" s="21"/>
      <c r="F371" s="19"/>
      <c r="G371" s="27" t="str">
        <f aca="false">IF(B371="","",IFERROR(INDEX(Jeux!$C$2:$C$3001,MATCH(B371,Jeux!$A$2:$A$3001,0))&amp;"","⚠ jeu inconnu"))</f>
        <v/>
      </c>
      <c r="H371" s="27" t="str">
        <f aca="false">IF(B371="","",IFERROR(INDEX(Jeux!$D$2:$D$3001,MATCH(B371,Jeux!$A$2:$A$3001,0))&amp;"",""))</f>
        <v/>
      </c>
      <c r="I371" s="26" t="str">
        <f aca="false">IF(A371="","",COUNTIF(Apparitions!$G$2:$G$5001,A371))</f>
        <v/>
      </c>
      <c r="J371" s="26" t="str">
        <f aca="false">IF(A371="","",COUNTIFS(Apparitions!$G$2:$G$5001,A371,Apparitions!$E$2:$E$5001,"○"))</f>
        <v/>
      </c>
      <c r="K371" s="29" t="str">
        <f aca="false">IF(A371="","",IFERROR(1/(1/_xlfn.MINIFS(Apparitions!$L$2:$L$5001,Apparitions!$G$2:$G$5001,A371)),""))</f>
        <v/>
      </c>
      <c r="L371" s="27" t="str">
        <f aca="false">IF(A371="","",A371&amp;" | "&amp;B371&amp;IF(C371="",""," ("&amp;C371&amp;")")&amp;IF(D371="",""," - "&amp;D371))</f>
        <v/>
      </c>
    </row>
    <row r="372" customFormat="false" ht="15" hidden="false" customHeight="false" outlineLevel="0" collapsed="false">
      <c r="A372" s="32"/>
      <c r="B372" s="19"/>
      <c r="C372" s="19"/>
      <c r="D372" s="19"/>
      <c r="E372" s="21"/>
      <c r="F372" s="19"/>
      <c r="G372" s="27" t="str">
        <f aca="false">IF(B372="","",IFERROR(INDEX(Jeux!$C$2:$C$3001,MATCH(B372,Jeux!$A$2:$A$3001,0))&amp;"","⚠ jeu inconnu"))</f>
        <v/>
      </c>
      <c r="H372" s="27" t="str">
        <f aca="false">IF(B372="","",IFERROR(INDEX(Jeux!$D$2:$D$3001,MATCH(B372,Jeux!$A$2:$A$3001,0))&amp;"",""))</f>
        <v/>
      </c>
      <c r="I372" s="26" t="str">
        <f aca="false">IF(A372="","",COUNTIF(Apparitions!$G$2:$G$5001,A372))</f>
        <v/>
      </c>
      <c r="J372" s="26" t="str">
        <f aca="false">IF(A372="","",COUNTIFS(Apparitions!$G$2:$G$5001,A372,Apparitions!$E$2:$E$5001,"○"))</f>
        <v/>
      </c>
      <c r="K372" s="29" t="str">
        <f aca="false">IF(A372="","",IFERROR(1/(1/_xlfn.MINIFS(Apparitions!$L$2:$L$5001,Apparitions!$G$2:$G$5001,A372)),""))</f>
        <v/>
      </c>
      <c r="L372" s="27" t="str">
        <f aca="false">IF(A372="","",A372&amp;" | "&amp;B372&amp;IF(C372="",""," ("&amp;C372&amp;")")&amp;IF(D372="",""," - "&amp;D372))</f>
        <v/>
      </c>
    </row>
    <row r="373" customFormat="false" ht="15" hidden="false" customHeight="false" outlineLevel="0" collapsed="false">
      <c r="A373" s="32"/>
      <c r="B373" s="19"/>
      <c r="C373" s="19"/>
      <c r="D373" s="19"/>
      <c r="E373" s="21"/>
      <c r="F373" s="19"/>
      <c r="G373" s="27" t="str">
        <f aca="false">IF(B373="","",IFERROR(INDEX(Jeux!$C$2:$C$3001,MATCH(B373,Jeux!$A$2:$A$3001,0))&amp;"","⚠ jeu inconnu"))</f>
        <v/>
      </c>
      <c r="H373" s="27" t="str">
        <f aca="false">IF(B373="","",IFERROR(INDEX(Jeux!$D$2:$D$3001,MATCH(B373,Jeux!$A$2:$A$3001,0))&amp;"",""))</f>
        <v/>
      </c>
      <c r="I373" s="26" t="str">
        <f aca="false">IF(A373="","",COUNTIF(Apparitions!$G$2:$G$5001,A373))</f>
        <v/>
      </c>
      <c r="J373" s="26" t="str">
        <f aca="false">IF(A373="","",COUNTIFS(Apparitions!$G$2:$G$5001,A373,Apparitions!$E$2:$E$5001,"○"))</f>
        <v/>
      </c>
      <c r="K373" s="29" t="str">
        <f aca="false">IF(A373="","",IFERROR(1/(1/_xlfn.MINIFS(Apparitions!$L$2:$L$5001,Apparitions!$G$2:$G$5001,A373)),""))</f>
        <v/>
      </c>
      <c r="L373" s="27" t="str">
        <f aca="false">IF(A373="","",A373&amp;" | "&amp;B373&amp;IF(C373="",""," ("&amp;C373&amp;")")&amp;IF(D373="",""," - "&amp;D373))</f>
        <v/>
      </c>
    </row>
    <row r="374" customFormat="false" ht="15" hidden="false" customHeight="false" outlineLevel="0" collapsed="false">
      <c r="A374" s="32"/>
      <c r="B374" s="19"/>
      <c r="C374" s="19"/>
      <c r="D374" s="19"/>
      <c r="E374" s="21"/>
      <c r="F374" s="19"/>
      <c r="G374" s="27" t="str">
        <f aca="false">IF(B374="","",IFERROR(INDEX(Jeux!$C$2:$C$3001,MATCH(B374,Jeux!$A$2:$A$3001,0))&amp;"","⚠ jeu inconnu"))</f>
        <v/>
      </c>
      <c r="H374" s="27" t="str">
        <f aca="false">IF(B374="","",IFERROR(INDEX(Jeux!$D$2:$D$3001,MATCH(B374,Jeux!$A$2:$A$3001,0))&amp;"",""))</f>
        <v/>
      </c>
      <c r="I374" s="26" t="str">
        <f aca="false">IF(A374="","",COUNTIF(Apparitions!$G$2:$G$5001,A374))</f>
        <v/>
      </c>
      <c r="J374" s="26" t="str">
        <f aca="false">IF(A374="","",COUNTIFS(Apparitions!$G$2:$G$5001,A374,Apparitions!$E$2:$E$5001,"○"))</f>
        <v/>
      </c>
      <c r="K374" s="29" t="str">
        <f aca="false">IF(A374="","",IFERROR(1/(1/_xlfn.MINIFS(Apparitions!$L$2:$L$5001,Apparitions!$G$2:$G$5001,A374)),""))</f>
        <v/>
      </c>
      <c r="L374" s="27" t="str">
        <f aca="false">IF(A374="","",A374&amp;" | "&amp;B374&amp;IF(C374="",""," ("&amp;C374&amp;")")&amp;IF(D374="",""," - "&amp;D374))</f>
        <v/>
      </c>
    </row>
    <row r="375" customFormat="false" ht="15" hidden="false" customHeight="false" outlineLevel="0" collapsed="false">
      <c r="A375" s="32"/>
      <c r="B375" s="19"/>
      <c r="C375" s="19"/>
      <c r="D375" s="19"/>
      <c r="E375" s="21"/>
      <c r="F375" s="19"/>
      <c r="G375" s="27" t="str">
        <f aca="false">IF(B375="","",IFERROR(INDEX(Jeux!$C$2:$C$3001,MATCH(B375,Jeux!$A$2:$A$3001,0))&amp;"","⚠ jeu inconnu"))</f>
        <v/>
      </c>
      <c r="H375" s="27" t="str">
        <f aca="false">IF(B375="","",IFERROR(INDEX(Jeux!$D$2:$D$3001,MATCH(B375,Jeux!$A$2:$A$3001,0))&amp;"",""))</f>
        <v/>
      </c>
      <c r="I375" s="26" t="str">
        <f aca="false">IF(A375="","",COUNTIF(Apparitions!$G$2:$G$5001,A375))</f>
        <v/>
      </c>
      <c r="J375" s="26" t="str">
        <f aca="false">IF(A375="","",COUNTIFS(Apparitions!$G$2:$G$5001,A375,Apparitions!$E$2:$E$5001,"○"))</f>
        <v/>
      </c>
      <c r="K375" s="29" t="str">
        <f aca="false">IF(A375="","",IFERROR(1/(1/_xlfn.MINIFS(Apparitions!$L$2:$L$5001,Apparitions!$G$2:$G$5001,A375)),""))</f>
        <v/>
      </c>
      <c r="L375" s="27" t="str">
        <f aca="false">IF(A375="","",A375&amp;" | "&amp;B375&amp;IF(C375="",""," ("&amp;C375&amp;")")&amp;IF(D375="",""," - "&amp;D375))</f>
        <v/>
      </c>
    </row>
    <row r="376" customFormat="false" ht="15" hidden="false" customHeight="false" outlineLevel="0" collapsed="false">
      <c r="A376" s="32"/>
      <c r="B376" s="19"/>
      <c r="C376" s="19"/>
      <c r="D376" s="19"/>
      <c r="E376" s="21"/>
      <c r="F376" s="19"/>
      <c r="G376" s="27" t="str">
        <f aca="false">IF(B376="","",IFERROR(INDEX(Jeux!$C$2:$C$3001,MATCH(B376,Jeux!$A$2:$A$3001,0))&amp;"","⚠ jeu inconnu"))</f>
        <v/>
      </c>
      <c r="H376" s="27" t="str">
        <f aca="false">IF(B376="","",IFERROR(INDEX(Jeux!$D$2:$D$3001,MATCH(B376,Jeux!$A$2:$A$3001,0))&amp;"",""))</f>
        <v/>
      </c>
      <c r="I376" s="26" t="str">
        <f aca="false">IF(A376="","",COUNTIF(Apparitions!$G$2:$G$5001,A376))</f>
        <v/>
      </c>
      <c r="J376" s="26" t="str">
        <f aca="false">IF(A376="","",COUNTIFS(Apparitions!$G$2:$G$5001,A376,Apparitions!$E$2:$E$5001,"○"))</f>
        <v/>
      </c>
      <c r="K376" s="29" t="str">
        <f aca="false">IF(A376="","",IFERROR(1/(1/_xlfn.MINIFS(Apparitions!$L$2:$L$5001,Apparitions!$G$2:$G$5001,A376)),""))</f>
        <v/>
      </c>
      <c r="L376" s="27" t="str">
        <f aca="false">IF(A376="","",A376&amp;" | "&amp;B376&amp;IF(C376="",""," ("&amp;C376&amp;")")&amp;IF(D376="",""," - "&amp;D376))</f>
        <v/>
      </c>
    </row>
    <row r="377" customFormat="false" ht="15" hidden="false" customHeight="false" outlineLevel="0" collapsed="false">
      <c r="A377" s="32"/>
      <c r="B377" s="19"/>
      <c r="C377" s="19"/>
      <c r="D377" s="19"/>
      <c r="E377" s="21"/>
      <c r="F377" s="19"/>
      <c r="G377" s="27" t="str">
        <f aca="false">IF(B377="","",IFERROR(INDEX(Jeux!$C$2:$C$3001,MATCH(B377,Jeux!$A$2:$A$3001,0))&amp;"","⚠ jeu inconnu"))</f>
        <v/>
      </c>
      <c r="H377" s="27" t="str">
        <f aca="false">IF(B377="","",IFERROR(INDEX(Jeux!$D$2:$D$3001,MATCH(B377,Jeux!$A$2:$A$3001,0))&amp;"",""))</f>
        <v/>
      </c>
      <c r="I377" s="26" t="str">
        <f aca="false">IF(A377="","",COUNTIF(Apparitions!$G$2:$G$5001,A377))</f>
        <v/>
      </c>
      <c r="J377" s="26" t="str">
        <f aca="false">IF(A377="","",COUNTIFS(Apparitions!$G$2:$G$5001,A377,Apparitions!$E$2:$E$5001,"○"))</f>
        <v/>
      </c>
      <c r="K377" s="29" t="str">
        <f aca="false">IF(A377="","",IFERROR(1/(1/_xlfn.MINIFS(Apparitions!$L$2:$L$5001,Apparitions!$G$2:$G$5001,A377)),""))</f>
        <v/>
      </c>
      <c r="L377" s="27" t="str">
        <f aca="false">IF(A377="","",A377&amp;" | "&amp;B377&amp;IF(C377="",""," ("&amp;C377&amp;")")&amp;IF(D377="",""," - "&amp;D377))</f>
        <v/>
      </c>
    </row>
    <row r="378" customFormat="false" ht="15" hidden="false" customHeight="false" outlineLevel="0" collapsed="false">
      <c r="A378" s="32"/>
      <c r="B378" s="19"/>
      <c r="C378" s="19"/>
      <c r="D378" s="19"/>
      <c r="E378" s="21"/>
      <c r="F378" s="19"/>
      <c r="G378" s="27" t="str">
        <f aca="false">IF(B378="","",IFERROR(INDEX(Jeux!$C$2:$C$3001,MATCH(B378,Jeux!$A$2:$A$3001,0))&amp;"","⚠ jeu inconnu"))</f>
        <v/>
      </c>
      <c r="H378" s="27" t="str">
        <f aca="false">IF(B378="","",IFERROR(INDEX(Jeux!$D$2:$D$3001,MATCH(B378,Jeux!$A$2:$A$3001,0))&amp;"",""))</f>
        <v/>
      </c>
      <c r="I378" s="26" t="str">
        <f aca="false">IF(A378="","",COUNTIF(Apparitions!$G$2:$G$5001,A378))</f>
        <v/>
      </c>
      <c r="J378" s="26" t="str">
        <f aca="false">IF(A378="","",COUNTIFS(Apparitions!$G$2:$G$5001,A378,Apparitions!$E$2:$E$5001,"○"))</f>
        <v/>
      </c>
      <c r="K378" s="29" t="str">
        <f aca="false">IF(A378="","",IFERROR(1/(1/_xlfn.MINIFS(Apparitions!$L$2:$L$5001,Apparitions!$G$2:$G$5001,A378)),""))</f>
        <v/>
      </c>
      <c r="L378" s="27" t="str">
        <f aca="false">IF(A378="","",A378&amp;" | "&amp;B378&amp;IF(C378="",""," ("&amp;C378&amp;")")&amp;IF(D378="",""," - "&amp;D378))</f>
        <v/>
      </c>
    </row>
    <row r="379" customFormat="false" ht="15" hidden="false" customHeight="false" outlineLevel="0" collapsed="false">
      <c r="A379" s="32"/>
      <c r="B379" s="19"/>
      <c r="C379" s="19"/>
      <c r="D379" s="19"/>
      <c r="E379" s="21"/>
      <c r="F379" s="19"/>
      <c r="G379" s="27" t="str">
        <f aca="false">IF(B379="","",IFERROR(INDEX(Jeux!$C$2:$C$3001,MATCH(B379,Jeux!$A$2:$A$3001,0))&amp;"","⚠ jeu inconnu"))</f>
        <v/>
      </c>
      <c r="H379" s="27" t="str">
        <f aca="false">IF(B379="","",IFERROR(INDEX(Jeux!$D$2:$D$3001,MATCH(B379,Jeux!$A$2:$A$3001,0))&amp;"",""))</f>
        <v/>
      </c>
      <c r="I379" s="26" t="str">
        <f aca="false">IF(A379="","",COUNTIF(Apparitions!$G$2:$G$5001,A379))</f>
        <v/>
      </c>
      <c r="J379" s="26" t="str">
        <f aca="false">IF(A379="","",COUNTIFS(Apparitions!$G$2:$G$5001,A379,Apparitions!$E$2:$E$5001,"○"))</f>
        <v/>
      </c>
      <c r="K379" s="29" t="str">
        <f aca="false">IF(A379="","",IFERROR(1/(1/_xlfn.MINIFS(Apparitions!$L$2:$L$5001,Apparitions!$G$2:$G$5001,A379)),""))</f>
        <v/>
      </c>
      <c r="L379" s="27" t="str">
        <f aca="false">IF(A379="","",A379&amp;" | "&amp;B379&amp;IF(C379="",""," ("&amp;C379&amp;")")&amp;IF(D379="",""," - "&amp;D379))</f>
        <v/>
      </c>
    </row>
    <row r="380" customFormat="false" ht="15" hidden="false" customHeight="false" outlineLevel="0" collapsed="false">
      <c r="A380" s="32"/>
      <c r="B380" s="19"/>
      <c r="C380" s="19"/>
      <c r="D380" s="19"/>
      <c r="E380" s="21"/>
      <c r="F380" s="19"/>
      <c r="G380" s="27" t="str">
        <f aca="false">IF(B380="","",IFERROR(INDEX(Jeux!$C$2:$C$3001,MATCH(B380,Jeux!$A$2:$A$3001,0))&amp;"","⚠ jeu inconnu"))</f>
        <v/>
      </c>
      <c r="H380" s="27" t="str">
        <f aca="false">IF(B380="","",IFERROR(INDEX(Jeux!$D$2:$D$3001,MATCH(B380,Jeux!$A$2:$A$3001,0))&amp;"",""))</f>
        <v/>
      </c>
      <c r="I380" s="26" t="str">
        <f aca="false">IF(A380="","",COUNTIF(Apparitions!$G$2:$G$5001,A380))</f>
        <v/>
      </c>
      <c r="J380" s="26" t="str">
        <f aca="false">IF(A380="","",COUNTIFS(Apparitions!$G$2:$G$5001,A380,Apparitions!$E$2:$E$5001,"○"))</f>
        <v/>
      </c>
      <c r="K380" s="29" t="str">
        <f aca="false">IF(A380="","",IFERROR(1/(1/_xlfn.MINIFS(Apparitions!$L$2:$L$5001,Apparitions!$G$2:$G$5001,A380)),""))</f>
        <v/>
      </c>
      <c r="L380" s="27" t="str">
        <f aca="false">IF(A380="","",A380&amp;" | "&amp;B380&amp;IF(C380="",""," ("&amp;C380&amp;")")&amp;IF(D380="",""," - "&amp;D380))</f>
        <v/>
      </c>
    </row>
    <row r="381" customFormat="false" ht="15" hidden="false" customHeight="false" outlineLevel="0" collapsed="false">
      <c r="A381" s="32"/>
      <c r="B381" s="19"/>
      <c r="C381" s="19"/>
      <c r="D381" s="19"/>
      <c r="E381" s="21"/>
      <c r="F381" s="19"/>
      <c r="G381" s="27" t="str">
        <f aca="false">IF(B381="","",IFERROR(INDEX(Jeux!$C$2:$C$3001,MATCH(B381,Jeux!$A$2:$A$3001,0))&amp;"","⚠ jeu inconnu"))</f>
        <v/>
      </c>
      <c r="H381" s="27" t="str">
        <f aca="false">IF(B381="","",IFERROR(INDEX(Jeux!$D$2:$D$3001,MATCH(B381,Jeux!$A$2:$A$3001,0))&amp;"",""))</f>
        <v/>
      </c>
      <c r="I381" s="26" t="str">
        <f aca="false">IF(A381="","",COUNTIF(Apparitions!$G$2:$G$5001,A381))</f>
        <v/>
      </c>
      <c r="J381" s="26" t="str">
        <f aca="false">IF(A381="","",COUNTIFS(Apparitions!$G$2:$G$5001,A381,Apparitions!$E$2:$E$5001,"○"))</f>
        <v/>
      </c>
      <c r="K381" s="29" t="str">
        <f aca="false">IF(A381="","",IFERROR(1/(1/_xlfn.MINIFS(Apparitions!$L$2:$L$5001,Apparitions!$G$2:$G$5001,A381)),""))</f>
        <v/>
      </c>
      <c r="L381" s="27" t="str">
        <f aca="false">IF(A381="","",A381&amp;" | "&amp;B381&amp;IF(C381="",""," ("&amp;C381&amp;")")&amp;IF(D381="",""," - "&amp;D381))</f>
        <v/>
      </c>
    </row>
    <row r="382" customFormat="false" ht="15" hidden="false" customHeight="false" outlineLevel="0" collapsed="false">
      <c r="A382" s="32"/>
      <c r="B382" s="19"/>
      <c r="C382" s="19"/>
      <c r="D382" s="19"/>
      <c r="E382" s="21"/>
      <c r="F382" s="19"/>
      <c r="G382" s="27" t="str">
        <f aca="false">IF(B382="","",IFERROR(INDEX(Jeux!$C$2:$C$3001,MATCH(B382,Jeux!$A$2:$A$3001,0))&amp;"","⚠ jeu inconnu"))</f>
        <v/>
      </c>
      <c r="H382" s="27" t="str">
        <f aca="false">IF(B382="","",IFERROR(INDEX(Jeux!$D$2:$D$3001,MATCH(B382,Jeux!$A$2:$A$3001,0))&amp;"",""))</f>
        <v/>
      </c>
      <c r="I382" s="26" t="str">
        <f aca="false">IF(A382="","",COUNTIF(Apparitions!$G$2:$G$5001,A382))</f>
        <v/>
      </c>
      <c r="J382" s="26" t="str">
        <f aca="false">IF(A382="","",COUNTIFS(Apparitions!$G$2:$G$5001,A382,Apparitions!$E$2:$E$5001,"○"))</f>
        <v/>
      </c>
      <c r="K382" s="29" t="str">
        <f aca="false">IF(A382="","",IFERROR(1/(1/_xlfn.MINIFS(Apparitions!$L$2:$L$5001,Apparitions!$G$2:$G$5001,A382)),""))</f>
        <v/>
      </c>
      <c r="L382" s="27" t="str">
        <f aca="false">IF(A382="","",A382&amp;" | "&amp;B382&amp;IF(C382="",""," ("&amp;C382&amp;")")&amp;IF(D382="",""," - "&amp;D382))</f>
        <v/>
      </c>
    </row>
    <row r="383" customFormat="false" ht="15" hidden="false" customHeight="false" outlineLevel="0" collapsed="false">
      <c r="A383" s="32"/>
      <c r="B383" s="19"/>
      <c r="C383" s="19"/>
      <c r="D383" s="19"/>
      <c r="E383" s="21"/>
      <c r="F383" s="19"/>
      <c r="G383" s="27" t="str">
        <f aca="false">IF(B383="","",IFERROR(INDEX(Jeux!$C$2:$C$3001,MATCH(B383,Jeux!$A$2:$A$3001,0))&amp;"","⚠ jeu inconnu"))</f>
        <v/>
      </c>
      <c r="H383" s="27" t="str">
        <f aca="false">IF(B383="","",IFERROR(INDEX(Jeux!$D$2:$D$3001,MATCH(B383,Jeux!$A$2:$A$3001,0))&amp;"",""))</f>
        <v/>
      </c>
      <c r="I383" s="26" t="str">
        <f aca="false">IF(A383="","",COUNTIF(Apparitions!$G$2:$G$5001,A383))</f>
        <v/>
      </c>
      <c r="J383" s="26" t="str">
        <f aca="false">IF(A383="","",COUNTIFS(Apparitions!$G$2:$G$5001,A383,Apparitions!$E$2:$E$5001,"○"))</f>
        <v/>
      </c>
      <c r="K383" s="29" t="str">
        <f aca="false">IF(A383="","",IFERROR(1/(1/_xlfn.MINIFS(Apparitions!$L$2:$L$5001,Apparitions!$G$2:$G$5001,A383)),""))</f>
        <v/>
      </c>
      <c r="L383" s="27" t="str">
        <f aca="false">IF(A383="","",A383&amp;" | "&amp;B383&amp;IF(C383="",""," ("&amp;C383&amp;")")&amp;IF(D383="",""," - "&amp;D383))</f>
        <v/>
      </c>
    </row>
    <row r="384" customFormat="false" ht="15" hidden="false" customHeight="false" outlineLevel="0" collapsed="false">
      <c r="A384" s="32"/>
      <c r="B384" s="19"/>
      <c r="C384" s="19"/>
      <c r="D384" s="19"/>
      <c r="E384" s="21"/>
      <c r="F384" s="19"/>
      <c r="G384" s="27" t="str">
        <f aca="false">IF(B384="","",IFERROR(INDEX(Jeux!$C$2:$C$3001,MATCH(B384,Jeux!$A$2:$A$3001,0))&amp;"","⚠ jeu inconnu"))</f>
        <v/>
      </c>
      <c r="H384" s="27" t="str">
        <f aca="false">IF(B384="","",IFERROR(INDEX(Jeux!$D$2:$D$3001,MATCH(B384,Jeux!$A$2:$A$3001,0))&amp;"",""))</f>
        <v/>
      </c>
      <c r="I384" s="26" t="str">
        <f aca="false">IF(A384="","",COUNTIF(Apparitions!$G$2:$G$5001,A384))</f>
        <v/>
      </c>
      <c r="J384" s="26" t="str">
        <f aca="false">IF(A384="","",COUNTIFS(Apparitions!$G$2:$G$5001,A384,Apparitions!$E$2:$E$5001,"○"))</f>
        <v/>
      </c>
      <c r="K384" s="29" t="str">
        <f aca="false">IF(A384="","",IFERROR(1/(1/_xlfn.MINIFS(Apparitions!$L$2:$L$5001,Apparitions!$G$2:$G$5001,A384)),""))</f>
        <v/>
      </c>
      <c r="L384" s="27" t="str">
        <f aca="false">IF(A384="","",A384&amp;" | "&amp;B384&amp;IF(C384="",""," ("&amp;C384&amp;")")&amp;IF(D384="",""," - "&amp;D384))</f>
        <v/>
      </c>
    </row>
    <row r="385" customFormat="false" ht="15" hidden="false" customHeight="false" outlineLevel="0" collapsed="false">
      <c r="A385" s="32"/>
      <c r="B385" s="19"/>
      <c r="C385" s="19"/>
      <c r="D385" s="19"/>
      <c r="E385" s="21"/>
      <c r="F385" s="19"/>
      <c r="G385" s="27" t="str">
        <f aca="false">IF(B385="","",IFERROR(INDEX(Jeux!$C$2:$C$3001,MATCH(B385,Jeux!$A$2:$A$3001,0))&amp;"","⚠ jeu inconnu"))</f>
        <v/>
      </c>
      <c r="H385" s="27" t="str">
        <f aca="false">IF(B385="","",IFERROR(INDEX(Jeux!$D$2:$D$3001,MATCH(B385,Jeux!$A$2:$A$3001,0))&amp;"",""))</f>
        <v/>
      </c>
      <c r="I385" s="26" t="str">
        <f aca="false">IF(A385="","",COUNTIF(Apparitions!$G$2:$G$5001,A385))</f>
        <v/>
      </c>
      <c r="J385" s="26" t="str">
        <f aca="false">IF(A385="","",COUNTIFS(Apparitions!$G$2:$G$5001,A385,Apparitions!$E$2:$E$5001,"○"))</f>
        <v/>
      </c>
      <c r="K385" s="29" t="str">
        <f aca="false">IF(A385="","",IFERROR(1/(1/_xlfn.MINIFS(Apparitions!$L$2:$L$5001,Apparitions!$G$2:$G$5001,A385)),""))</f>
        <v/>
      </c>
      <c r="L385" s="27" t="str">
        <f aca="false">IF(A385="","",A385&amp;" | "&amp;B385&amp;IF(C385="",""," ("&amp;C385&amp;")")&amp;IF(D385="",""," - "&amp;D385))</f>
        <v/>
      </c>
    </row>
    <row r="386" customFormat="false" ht="15" hidden="false" customHeight="false" outlineLevel="0" collapsed="false">
      <c r="A386" s="32"/>
      <c r="B386" s="19"/>
      <c r="C386" s="19"/>
      <c r="D386" s="19"/>
      <c r="E386" s="21"/>
      <c r="F386" s="19"/>
      <c r="G386" s="27" t="str">
        <f aca="false">IF(B386="","",IFERROR(INDEX(Jeux!$C$2:$C$3001,MATCH(B386,Jeux!$A$2:$A$3001,0))&amp;"","⚠ jeu inconnu"))</f>
        <v/>
      </c>
      <c r="H386" s="27" t="str">
        <f aca="false">IF(B386="","",IFERROR(INDEX(Jeux!$D$2:$D$3001,MATCH(B386,Jeux!$A$2:$A$3001,0))&amp;"",""))</f>
        <v/>
      </c>
      <c r="I386" s="26" t="str">
        <f aca="false">IF(A386="","",COUNTIF(Apparitions!$G$2:$G$5001,A386))</f>
        <v/>
      </c>
      <c r="J386" s="26" t="str">
        <f aca="false">IF(A386="","",COUNTIFS(Apparitions!$G$2:$G$5001,A386,Apparitions!$E$2:$E$5001,"○"))</f>
        <v/>
      </c>
      <c r="K386" s="29" t="str">
        <f aca="false">IF(A386="","",IFERROR(1/(1/_xlfn.MINIFS(Apparitions!$L$2:$L$5001,Apparitions!$G$2:$G$5001,A386)),""))</f>
        <v/>
      </c>
      <c r="L386" s="27" t="str">
        <f aca="false">IF(A386="","",A386&amp;" | "&amp;B386&amp;IF(C386="",""," ("&amp;C386&amp;")")&amp;IF(D386="",""," - "&amp;D386))</f>
        <v/>
      </c>
    </row>
    <row r="387" customFormat="false" ht="15" hidden="false" customHeight="false" outlineLevel="0" collapsed="false">
      <c r="A387" s="32"/>
      <c r="B387" s="19"/>
      <c r="C387" s="19"/>
      <c r="D387" s="19"/>
      <c r="E387" s="21"/>
      <c r="F387" s="19"/>
      <c r="G387" s="27" t="str">
        <f aca="false">IF(B387="","",IFERROR(INDEX(Jeux!$C$2:$C$3001,MATCH(B387,Jeux!$A$2:$A$3001,0))&amp;"","⚠ jeu inconnu"))</f>
        <v/>
      </c>
      <c r="H387" s="27" t="str">
        <f aca="false">IF(B387="","",IFERROR(INDEX(Jeux!$D$2:$D$3001,MATCH(B387,Jeux!$A$2:$A$3001,0))&amp;"",""))</f>
        <v/>
      </c>
      <c r="I387" s="26" t="str">
        <f aca="false">IF(A387="","",COUNTIF(Apparitions!$G$2:$G$5001,A387))</f>
        <v/>
      </c>
      <c r="J387" s="26" t="str">
        <f aca="false">IF(A387="","",COUNTIFS(Apparitions!$G$2:$G$5001,A387,Apparitions!$E$2:$E$5001,"○"))</f>
        <v/>
      </c>
      <c r="K387" s="29" t="str">
        <f aca="false">IF(A387="","",IFERROR(1/(1/_xlfn.MINIFS(Apparitions!$L$2:$L$5001,Apparitions!$G$2:$G$5001,A387)),""))</f>
        <v/>
      </c>
      <c r="L387" s="27" t="str">
        <f aca="false">IF(A387="","",A387&amp;" | "&amp;B387&amp;IF(C387="",""," ("&amp;C387&amp;")")&amp;IF(D387="",""," - "&amp;D387))</f>
        <v/>
      </c>
    </row>
    <row r="388" customFormat="false" ht="15" hidden="false" customHeight="false" outlineLevel="0" collapsed="false">
      <c r="A388" s="32"/>
      <c r="B388" s="19"/>
      <c r="C388" s="19"/>
      <c r="D388" s="19"/>
      <c r="E388" s="21"/>
      <c r="F388" s="19"/>
      <c r="G388" s="27" t="str">
        <f aca="false">IF(B388="","",IFERROR(INDEX(Jeux!$C$2:$C$3001,MATCH(B388,Jeux!$A$2:$A$3001,0))&amp;"","⚠ jeu inconnu"))</f>
        <v/>
      </c>
      <c r="H388" s="27" t="str">
        <f aca="false">IF(B388="","",IFERROR(INDEX(Jeux!$D$2:$D$3001,MATCH(B388,Jeux!$A$2:$A$3001,0))&amp;"",""))</f>
        <v/>
      </c>
      <c r="I388" s="26" t="str">
        <f aca="false">IF(A388="","",COUNTIF(Apparitions!$G$2:$G$5001,A388))</f>
        <v/>
      </c>
      <c r="J388" s="26" t="str">
        <f aca="false">IF(A388="","",COUNTIFS(Apparitions!$G$2:$G$5001,A388,Apparitions!$E$2:$E$5001,"○"))</f>
        <v/>
      </c>
      <c r="K388" s="29" t="str">
        <f aca="false">IF(A388="","",IFERROR(1/(1/_xlfn.MINIFS(Apparitions!$L$2:$L$5001,Apparitions!$G$2:$G$5001,A388)),""))</f>
        <v/>
      </c>
      <c r="L388" s="27" t="str">
        <f aca="false">IF(A388="","",A388&amp;" | "&amp;B388&amp;IF(C388="",""," ("&amp;C388&amp;")")&amp;IF(D388="",""," - "&amp;D388))</f>
        <v/>
      </c>
    </row>
    <row r="389" customFormat="false" ht="15" hidden="false" customHeight="false" outlineLevel="0" collapsed="false">
      <c r="A389" s="32"/>
      <c r="B389" s="19"/>
      <c r="C389" s="19"/>
      <c r="D389" s="19"/>
      <c r="E389" s="21"/>
      <c r="F389" s="19"/>
      <c r="G389" s="27" t="str">
        <f aca="false">IF(B389="","",IFERROR(INDEX(Jeux!$C$2:$C$3001,MATCH(B389,Jeux!$A$2:$A$3001,0))&amp;"","⚠ jeu inconnu"))</f>
        <v/>
      </c>
      <c r="H389" s="27" t="str">
        <f aca="false">IF(B389="","",IFERROR(INDEX(Jeux!$D$2:$D$3001,MATCH(B389,Jeux!$A$2:$A$3001,0))&amp;"",""))</f>
        <v/>
      </c>
      <c r="I389" s="26" t="str">
        <f aca="false">IF(A389="","",COUNTIF(Apparitions!$G$2:$G$5001,A389))</f>
        <v/>
      </c>
      <c r="J389" s="26" t="str">
        <f aca="false">IF(A389="","",COUNTIFS(Apparitions!$G$2:$G$5001,A389,Apparitions!$E$2:$E$5001,"○"))</f>
        <v/>
      </c>
      <c r="K389" s="29" t="str">
        <f aca="false">IF(A389="","",IFERROR(1/(1/_xlfn.MINIFS(Apparitions!$L$2:$L$5001,Apparitions!$G$2:$G$5001,A389)),""))</f>
        <v/>
      </c>
      <c r="L389" s="27" t="str">
        <f aca="false">IF(A389="","",A389&amp;" | "&amp;B389&amp;IF(C389="",""," ("&amp;C389&amp;")")&amp;IF(D389="",""," - "&amp;D389))</f>
        <v/>
      </c>
    </row>
    <row r="390" customFormat="false" ht="15" hidden="false" customHeight="false" outlineLevel="0" collapsed="false">
      <c r="A390" s="32"/>
      <c r="B390" s="19"/>
      <c r="C390" s="19"/>
      <c r="D390" s="19"/>
      <c r="E390" s="21"/>
      <c r="F390" s="19"/>
      <c r="G390" s="27" t="str">
        <f aca="false">IF(B390="","",IFERROR(INDEX(Jeux!$C$2:$C$3001,MATCH(B390,Jeux!$A$2:$A$3001,0))&amp;"","⚠ jeu inconnu"))</f>
        <v/>
      </c>
      <c r="H390" s="27" t="str">
        <f aca="false">IF(B390="","",IFERROR(INDEX(Jeux!$D$2:$D$3001,MATCH(B390,Jeux!$A$2:$A$3001,0))&amp;"",""))</f>
        <v/>
      </c>
      <c r="I390" s="26" t="str">
        <f aca="false">IF(A390="","",COUNTIF(Apparitions!$G$2:$G$5001,A390))</f>
        <v/>
      </c>
      <c r="J390" s="26" t="str">
        <f aca="false">IF(A390="","",COUNTIFS(Apparitions!$G$2:$G$5001,A390,Apparitions!$E$2:$E$5001,"○"))</f>
        <v/>
      </c>
      <c r="K390" s="29" t="str">
        <f aca="false">IF(A390="","",IFERROR(1/(1/_xlfn.MINIFS(Apparitions!$L$2:$L$5001,Apparitions!$G$2:$G$5001,A390)),""))</f>
        <v/>
      </c>
      <c r="L390" s="27" t="str">
        <f aca="false">IF(A390="","",A390&amp;" | "&amp;B390&amp;IF(C390="",""," ("&amp;C390&amp;")")&amp;IF(D390="",""," - "&amp;D390))</f>
        <v/>
      </c>
    </row>
    <row r="391" customFormat="false" ht="15" hidden="false" customHeight="false" outlineLevel="0" collapsed="false">
      <c r="A391" s="32"/>
      <c r="B391" s="19"/>
      <c r="C391" s="19"/>
      <c r="D391" s="19"/>
      <c r="E391" s="21"/>
      <c r="F391" s="19"/>
      <c r="G391" s="27" t="str">
        <f aca="false">IF(B391="","",IFERROR(INDEX(Jeux!$C$2:$C$3001,MATCH(B391,Jeux!$A$2:$A$3001,0))&amp;"","⚠ jeu inconnu"))</f>
        <v/>
      </c>
      <c r="H391" s="27" t="str">
        <f aca="false">IF(B391="","",IFERROR(INDEX(Jeux!$D$2:$D$3001,MATCH(B391,Jeux!$A$2:$A$3001,0))&amp;"",""))</f>
        <v/>
      </c>
      <c r="I391" s="26" t="str">
        <f aca="false">IF(A391="","",COUNTIF(Apparitions!$G$2:$G$5001,A391))</f>
        <v/>
      </c>
      <c r="J391" s="26" t="str">
        <f aca="false">IF(A391="","",COUNTIFS(Apparitions!$G$2:$G$5001,A391,Apparitions!$E$2:$E$5001,"○"))</f>
        <v/>
      </c>
      <c r="K391" s="29" t="str">
        <f aca="false">IF(A391="","",IFERROR(1/(1/_xlfn.MINIFS(Apparitions!$L$2:$L$5001,Apparitions!$G$2:$G$5001,A391)),""))</f>
        <v/>
      </c>
      <c r="L391" s="27" t="str">
        <f aca="false">IF(A391="","",A391&amp;" | "&amp;B391&amp;IF(C391="",""," ("&amp;C391&amp;")")&amp;IF(D391="",""," - "&amp;D391))</f>
        <v/>
      </c>
    </row>
    <row r="392" customFormat="false" ht="15" hidden="false" customHeight="false" outlineLevel="0" collapsed="false">
      <c r="A392" s="32"/>
      <c r="B392" s="19"/>
      <c r="C392" s="19"/>
      <c r="D392" s="19"/>
      <c r="E392" s="21"/>
      <c r="F392" s="19"/>
      <c r="G392" s="27" t="str">
        <f aca="false">IF(B392="","",IFERROR(INDEX(Jeux!$C$2:$C$3001,MATCH(B392,Jeux!$A$2:$A$3001,0))&amp;"","⚠ jeu inconnu"))</f>
        <v/>
      </c>
      <c r="H392" s="27" t="str">
        <f aca="false">IF(B392="","",IFERROR(INDEX(Jeux!$D$2:$D$3001,MATCH(B392,Jeux!$A$2:$A$3001,0))&amp;"",""))</f>
        <v/>
      </c>
      <c r="I392" s="26" t="str">
        <f aca="false">IF(A392="","",COUNTIF(Apparitions!$G$2:$G$5001,A392))</f>
        <v/>
      </c>
      <c r="J392" s="26" t="str">
        <f aca="false">IF(A392="","",COUNTIFS(Apparitions!$G$2:$G$5001,A392,Apparitions!$E$2:$E$5001,"○"))</f>
        <v/>
      </c>
      <c r="K392" s="29" t="str">
        <f aca="false">IF(A392="","",IFERROR(1/(1/_xlfn.MINIFS(Apparitions!$L$2:$L$5001,Apparitions!$G$2:$G$5001,A392)),""))</f>
        <v/>
      </c>
      <c r="L392" s="27" t="str">
        <f aca="false">IF(A392="","",A392&amp;" | "&amp;B392&amp;IF(C392="",""," ("&amp;C392&amp;")")&amp;IF(D392="",""," - "&amp;D392))</f>
        <v/>
      </c>
    </row>
    <row r="393" customFormat="false" ht="15" hidden="false" customHeight="false" outlineLevel="0" collapsed="false">
      <c r="A393" s="32"/>
      <c r="B393" s="19"/>
      <c r="C393" s="19"/>
      <c r="D393" s="19"/>
      <c r="E393" s="21"/>
      <c r="F393" s="19"/>
      <c r="G393" s="27" t="str">
        <f aca="false">IF(B393="","",IFERROR(INDEX(Jeux!$C$2:$C$3001,MATCH(B393,Jeux!$A$2:$A$3001,0))&amp;"","⚠ jeu inconnu"))</f>
        <v/>
      </c>
      <c r="H393" s="27" t="str">
        <f aca="false">IF(B393="","",IFERROR(INDEX(Jeux!$D$2:$D$3001,MATCH(B393,Jeux!$A$2:$A$3001,0))&amp;"",""))</f>
        <v/>
      </c>
      <c r="I393" s="26" t="str">
        <f aca="false">IF(A393="","",COUNTIF(Apparitions!$G$2:$G$5001,A393))</f>
        <v/>
      </c>
      <c r="J393" s="26" t="str">
        <f aca="false">IF(A393="","",COUNTIFS(Apparitions!$G$2:$G$5001,A393,Apparitions!$E$2:$E$5001,"○"))</f>
        <v/>
      </c>
      <c r="K393" s="29" t="str">
        <f aca="false">IF(A393="","",IFERROR(1/(1/_xlfn.MINIFS(Apparitions!$L$2:$L$5001,Apparitions!$G$2:$G$5001,A393)),""))</f>
        <v/>
      </c>
      <c r="L393" s="27" t="str">
        <f aca="false">IF(A393="","",A393&amp;" | "&amp;B393&amp;IF(C393="",""," ("&amp;C393&amp;")")&amp;IF(D393="",""," - "&amp;D393))</f>
        <v/>
      </c>
    </row>
    <row r="394" customFormat="false" ht="15" hidden="false" customHeight="false" outlineLevel="0" collapsed="false">
      <c r="A394" s="32"/>
      <c r="B394" s="19"/>
      <c r="C394" s="19"/>
      <c r="D394" s="19"/>
      <c r="E394" s="21"/>
      <c r="F394" s="19"/>
      <c r="G394" s="27" t="str">
        <f aca="false">IF(B394="","",IFERROR(INDEX(Jeux!$C$2:$C$3001,MATCH(B394,Jeux!$A$2:$A$3001,0))&amp;"","⚠ jeu inconnu"))</f>
        <v/>
      </c>
      <c r="H394" s="27" t="str">
        <f aca="false">IF(B394="","",IFERROR(INDEX(Jeux!$D$2:$D$3001,MATCH(B394,Jeux!$A$2:$A$3001,0))&amp;"",""))</f>
        <v/>
      </c>
      <c r="I394" s="26" t="str">
        <f aca="false">IF(A394="","",COUNTIF(Apparitions!$G$2:$G$5001,A394))</f>
        <v/>
      </c>
      <c r="J394" s="26" t="str">
        <f aca="false">IF(A394="","",COUNTIFS(Apparitions!$G$2:$G$5001,A394,Apparitions!$E$2:$E$5001,"○"))</f>
        <v/>
      </c>
      <c r="K394" s="29" t="str">
        <f aca="false">IF(A394="","",IFERROR(1/(1/_xlfn.MINIFS(Apparitions!$L$2:$L$5001,Apparitions!$G$2:$G$5001,A394)),""))</f>
        <v/>
      </c>
      <c r="L394" s="27" t="str">
        <f aca="false">IF(A394="","",A394&amp;" | "&amp;B394&amp;IF(C394="",""," ("&amp;C394&amp;")")&amp;IF(D394="",""," - "&amp;D394))</f>
        <v/>
      </c>
    </row>
    <row r="395" customFormat="false" ht="15" hidden="false" customHeight="false" outlineLevel="0" collapsed="false">
      <c r="A395" s="32"/>
      <c r="B395" s="19"/>
      <c r="C395" s="19"/>
      <c r="D395" s="19"/>
      <c r="E395" s="21"/>
      <c r="F395" s="19"/>
      <c r="G395" s="27" t="str">
        <f aca="false">IF(B395="","",IFERROR(INDEX(Jeux!$C$2:$C$3001,MATCH(B395,Jeux!$A$2:$A$3001,0))&amp;"","⚠ jeu inconnu"))</f>
        <v/>
      </c>
      <c r="H395" s="27" t="str">
        <f aca="false">IF(B395="","",IFERROR(INDEX(Jeux!$D$2:$D$3001,MATCH(B395,Jeux!$A$2:$A$3001,0))&amp;"",""))</f>
        <v/>
      </c>
      <c r="I395" s="26" t="str">
        <f aca="false">IF(A395="","",COUNTIF(Apparitions!$G$2:$G$5001,A395))</f>
        <v/>
      </c>
      <c r="J395" s="26" t="str">
        <f aca="false">IF(A395="","",COUNTIFS(Apparitions!$G$2:$G$5001,A395,Apparitions!$E$2:$E$5001,"○"))</f>
        <v/>
      </c>
      <c r="K395" s="29" t="str">
        <f aca="false">IF(A395="","",IFERROR(1/(1/_xlfn.MINIFS(Apparitions!$L$2:$L$5001,Apparitions!$G$2:$G$5001,A395)),""))</f>
        <v/>
      </c>
      <c r="L395" s="27" t="str">
        <f aca="false">IF(A395="","",A395&amp;" | "&amp;B395&amp;IF(C395="",""," ("&amp;C395&amp;")")&amp;IF(D395="",""," - "&amp;D395))</f>
        <v/>
      </c>
    </row>
    <row r="396" customFormat="false" ht="15" hidden="false" customHeight="false" outlineLevel="0" collapsed="false">
      <c r="A396" s="32"/>
      <c r="B396" s="19"/>
      <c r="C396" s="19"/>
      <c r="D396" s="19"/>
      <c r="E396" s="21"/>
      <c r="F396" s="19"/>
      <c r="G396" s="27" t="str">
        <f aca="false">IF(B396="","",IFERROR(INDEX(Jeux!$C$2:$C$3001,MATCH(B396,Jeux!$A$2:$A$3001,0))&amp;"","⚠ jeu inconnu"))</f>
        <v/>
      </c>
      <c r="H396" s="27" t="str">
        <f aca="false">IF(B396="","",IFERROR(INDEX(Jeux!$D$2:$D$3001,MATCH(B396,Jeux!$A$2:$A$3001,0))&amp;"",""))</f>
        <v/>
      </c>
      <c r="I396" s="26" t="str">
        <f aca="false">IF(A396="","",COUNTIF(Apparitions!$G$2:$G$5001,A396))</f>
        <v/>
      </c>
      <c r="J396" s="26" t="str">
        <f aca="false">IF(A396="","",COUNTIFS(Apparitions!$G$2:$G$5001,A396,Apparitions!$E$2:$E$5001,"○"))</f>
        <v/>
      </c>
      <c r="K396" s="29" t="str">
        <f aca="false">IF(A396="","",IFERROR(1/(1/_xlfn.MINIFS(Apparitions!$L$2:$L$5001,Apparitions!$G$2:$G$5001,A396)),""))</f>
        <v/>
      </c>
      <c r="L396" s="27" t="str">
        <f aca="false">IF(A396="","",A396&amp;" | "&amp;B396&amp;IF(C396="",""," ("&amp;C396&amp;")")&amp;IF(D396="",""," - "&amp;D396))</f>
        <v/>
      </c>
    </row>
    <row r="397" customFormat="false" ht="15" hidden="false" customHeight="false" outlineLevel="0" collapsed="false">
      <c r="A397" s="32"/>
      <c r="B397" s="19"/>
      <c r="C397" s="19"/>
      <c r="D397" s="19"/>
      <c r="E397" s="21"/>
      <c r="F397" s="19"/>
      <c r="G397" s="27" t="str">
        <f aca="false">IF(B397="","",IFERROR(INDEX(Jeux!$C$2:$C$3001,MATCH(B397,Jeux!$A$2:$A$3001,0))&amp;"","⚠ jeu inconnu"))</f>
        <v/>
      </c>
      <c r="H397" s="27" t="str">
        <f aca="false">IF(B397="","",IFERROR(INDEX(Jeux!$D$2:$D$3001,MATCH(B397,Jeux!$A$2:$A$3001,0))&amp;"",""))</f>
        <v/>
      </c>
      <c r="I397" s="26" t="str">
        <f aca="false">IF(A397="","",COUNTIF(Apparitions!$G$2:$G$5001,A397))</f>
        <v/>
      </c>
      <c r="J397" s="26" t="str">
        <f aca="false">IF(A397="","",COUNTIFS(Apparitions!$G$2:$G$5001,A397,Apparitions!$E$2:$E$5001,"○"))</f>
        <v/>
      </c>
      <c r="K397" s="29" t="str">
        <f aca="false">IF(A397="","",IFERROR(1/(1/_xlfn.MINIFS(Apparitions!$L$2:$L$5001,Apparitions!$G$2:$G$5001,A397)),""))</f>
        <v/>
      </c>
      <c r="L397" s="27" t="str">
        <f aca="false">IF(A397="","",A397&amp;" | "&amp;B397&amp;IF(C397="",""," ("&amp;C397&amp;")")&amp;IF(D397="",""," - "&amp;D397))</f>
        <v/>
      </c>
    </row>
    <row r="398" customFormat="false" ht="15" hidden="false" customHeight="false" outlineLevel="0" collapsed="false">
      <c r="A398" s="32"/>
      <c r="B398" s="19"/>
      <c r="C398" s="19"/>
      <c r="D398" s="19"/>
      <c r="E398" s="21"/>
      <c r="F398" s="19"/>
      <c r="G398" s="27" t="str">
        <f aca="false">IF(B398="","",IFERROR(INDEX(Jeux!$C$2:$C$3001,MATCH(B398,Jeux!$A$2:$A$3001,0))&amp;"","⚠ jeu inconnu"))</f>
        <v/>
      </c>
      <c r="H398" s="27" t="str">
        <f aca="false">IF(B398="","",IFERROR(INDEX(Jeux!$D$2:$D$3001,MATCH(B398,Jeux!$A$2:$A$3001,0))&amp;"",""))</f>
        <v/>
      </c>
      <c r="I398" s="26" t="str">
        <f aca="false">IF(A398="","",COUNTIF(Apparitions!$G$2:$G$5001,A398))</f>
        <v/>
      </c>
      <c r="J398" s="26" t="str">
        <f aca="false">IF(A398="","",COUNTIFS(Apparitions!$G$2:$G$5001,A398,Apparitions!$E$2:$E$5001,"○"))</f>
        <v/>
      </c>
      <c r="K398" s="29" t="str">
        <f aca="false">IF(A398="","",IFERROR(1/(1/_xlfn.MINIFS(Apparitions!$L$2:$L$5001,Apparitions!$G$2:$G$5001,A398)),""))</f>
        <v/>
      </c>
      <c r="L398" s="27" t="str">
        <f aca="false">IF(A398="","",A398&amp;" | "&amp;B398&amp;IF(C398="",""," ("&amp;C398&amp;")")&amp;IF(D398="",""," - "&amp;D398))</f>
        <v/>
      </c>
    </row>
    <row r="399" customFormat="false" ht="15" hidden="false" customHeight="false" outlineLevel="0" collapsed="false">
      <c r="A399" s="32"/>
      <c r="B399" s="19"/>
      <c r="C399" s="19"/>
      <c r="D399" s="19"/>
      <c r="E399" s="21"/>
      <c r="F399" s="19"/>
      <c r="G399" s="27" t="str">
        <f aca="false">IF(B399="","",IFERROR(INDEX(Jeux!$C$2:$C$3001,MATCH(B399,Jeux!$A$2:$A$3001,0))&amp;"","⚠ jeu inconnu"))</f>
        <v/>
      </c>
      <c r="H399" s="27" t="str">
        <f aca="false">IF(B399="","",IFERROR(INDEX(Jeux!$D$2:$D$3001,MATCH(B399,Jeux!$A$2:$A$3001,0))&amp;"",""))</f>
        <v/>
      </c>
      <c r="I399" s="26" t="str">
        <f aca="false">IF(A399="","",COUNTIF(Apparitions!$G$2:$G$5001,A399))</f>
        <v/>
      </c>
      <c r="J399" s="26" t="str">
        <f aca="false">IF(A399="","",COUNTIFS(Apparitions!$G$2:$G$5001,A399,Apparitions!$E$2:$E$5001,"○"))</f>
        <v/>
      </c>
      <c r="K399" s="29" t="str">
        <f aca="false">IF(A399="","",IFERROR(1/(1/_xlfn.MINIFS(Apparitions!$L$2:$L$5001,Apparitions!$G$2:$G$5001,A399)),""))</f>
        <v/>
      </c>
      <c r="L399" s="27" t="str">
        <f aca="false">IF(A399="","",A399&amp;" | "&amp;B399&amp;IF(C399="",""," ("&amp;C399&amp;")")&amp;IF(D399="",""," - "&amp;D399))</f>
        <v/>
      </c>
    </row>
    <row r="400" customFormat="false" ht="15" hidden="false" customHeight="false" outlineLevel="0" collapsed="false">
      <c r="A400" s="32"/>
      <c r="B400" s="19"/>
      <c r="C400" s="19"/>
      <c r="D400" s="19"/>
      <c r="E400" s="21"/>
      <c r="F400" s="19"/>
      <c r="G400" s="27" t="str">
        <f aca="false">IF(B400="","",IFERROR(INDEX(Jeux!$C$2:$C$3001,MATCH(B400,Jeux!$A$2:$A$3001,0))&amp;"","⚠ jeu inconnu"))</f>
        <v/>
      </c>
      <c r="H400" s="27" t="str">
        <f aca="false">IF(B400="","",IFERROR(INDEX(Jeux!$D$2:$D$3001,MATCH(B400,Jeux!$A$2:$A$3001,0))&amp;"",""))</f>
        <v/>
      </c>
      <c r="I400" s="26" t="str">
        <f aca="false">IF(A400="","",COUNTIF(Apparitions!$G$2:$G$5001,A400))</f>
        <v/>
      </c>
      <c r="J400" s="26" t="str">
        <f aca="false">IF(A400="","",COUNTIFS(Apparitions!$G$2:$G$5001,A400,Apparitions!$E$2:$E$5001,"○"))</f>
        <v/>
      </c>
      <c r="K400" s="29" t="str">
        <f aca="false">IF(A400="","",IFERROR(1/(1/_xlfn.MINIFS(Apparitions!$L$2:$L$5001,Apparitions!$G$2:$G$5001,A400)),""))</f>
        <v/>
      </c>
      <c r="L400" s="27" t="str">
        <f aca="false">IF(A400="","",A400&amp;" | "&amp;B400&amp;IF(C400="",""," ("&amp;C400&amp;")")&amp;IF(D400="",""," - "&amp;D400))</f>
        <v/>
      </c>
    </row>
    <row r="401" customFormat="false" ht="15" hidden="false" customHeight="false" outlineLevel="0" collapsed="false">
      <c r="A401" s="32"/>
      <c r="B401" s="19"/>
      <c r="C401" s="19"/>
      <c r="D401" s="19"/>
      <c r="E401" s="21"/>
      <c r="F401" s="19"/>
      <c r="G401" s="27" t="str">
        <f aca="false">IF(B401="","",IFERROR(INDEX(Jeux!$C$2:$C$3001,MATCH(B401,Jeux!$A$2:$A$3001,0))&amp;"","⚠ jeu inconnu"))</f>
        <v/>
      </c>
      <c r="H401" s="27" t="str">
        <f aca="false">IF(B401="","",IFERROR(INDEX(Jeux!$D$2:$D$3001,MATCH(B401,Jeux!$A$2:$A$3001,0))&amp;"",""))</f>
        <v/>
      </c>
      <c r="I401" s="26" t="str">
        <f aca="false">IF(A401="","",COUNTIF(Apparitions!$G$2:$G$5001,A401))</f>
        <v/>
      </c>
      <c r="J401" s="26" t="str">
        <f aca="false">IF(A401="","",COUNTIFS(Apparitions!$G$2:$G$5001,A401,Apparitions!$E$2:$E$5001,"○"))</f>
        <v/>
      </c>
      <c r="K401" s="29" t="str">
        <f aca="false">IF(A401="","",IFERROR(1/(1/_xlfn.MINIFS(Apparitions!$L$2:$L$5001,Apparitions!$G$2:$G$5001,A401)),""))</f>
        <v/>
      </c>
      <c r="L401" s="27" t="str">
        <f aca="false">IF(A401="","",A401&amp;" | "&amp;B401&amp;IF(C401="",""," ("&amp;C401&amp;")")&amp;IF(D401="",""," - "&amp;D401))</f>
        <v/>
      </c>
    </row>
    <row r="402" customFormat="false" ht="15" hidden="false" customHeight="false" outlineLevel="0" collapsed="false">
      <c r="A402" s="32"/>
      <c r="B402" s="19"/>
      <c r="C402" s="19"/>
      <c r="D402" s="19"/>
      <c r="E402" s="21"/>
      <c r="F402" s="19"/>
      <c r="G402" s="27" t="str">
        <f aca="false">IF(B402="","",IFERROR(INDEX(Jeux!$C$2:$C$3001,MATCH(B402,Jeux!$A$2:$A$3001,0))&amp;"","⚠ jeu inconnu"))</f>
        <v/>
      </c>
      <c r="H402" s="27" t="str">
        <f aca="false">IF(B402="","",IFERROR(INDEX(Jeux!$D$2:$D$3001,MATCH(B402,Jeux!$A$2:$A$3001,0))&amp;"",""))</f>
        <v/>
      </c>
      <c r="I402" s="26" t="str">
        <f aca="false">IF(A402="","",COUNTIF(Apparitions!$G$2:$G$5001,A402))</f>
        <v/>
      </c>
      <c r="J402" s="26" t="str">
        <f aca="false">IF(A402="","",COUNTIFS(Apparitions!$G$2:$G$5001,A402,Apparitions!$E$2:$E$5001,"○"))</f>
        <v/>
      </c>
      <c r="K402" s="29" t="str">
        <f aca="false">IF(A402="","",IFERROR(1/(1/_xlfn.MINIFS(Apparitions!$L$2:$L$5001,Apparitions!$G$2:$G$5001,A402)),""))</f>
        <v/>
      </c>
      <c r="L402" s="27" t="str">
        <f aca="false">IF(A402="","",A402&amp;" | "&amp;B402&amp;IF(C402="",""," ("&amp;C402&amp;")")&amp;IF(D402="",""," - "&amp;D402))</f>
        <v/>
      </c>
    </row>
    <row r="403" customFormat="false" ht="15" hidden="false" customHeight="false" outlineLevel="0" collapsed="false">
      <c r="A403" s="32"/>
      <c r="B403" s="19"/>
      <c r="C403" s="19"/>
      <c r="D403" s="19"/>
      <c r="E403" s="21"/>
      <c r="F403" s="19"/>
      <c r="G403" s="27" t="str">
        <f aca="false">IF(B403="","",IFERROR(INDEX(Jeux!$C$2:$C$3001,MATCH(B403,Jeux!$A$2:$A$3001,0))&amp;"","⚠ jeu inconnu"))</f>
        <v/>
      </c>
      <c r="H403" s="27" t="str">
        <f aca="false">IF(B403="","",IFERROR(INDEX(Jeux!$D$2:$D$3001,MATCH(B403,Jeux!$A$2:$A$3001,0))&amp;"",""))</f>
        <v/>
      </c>
      <c r="I403" s="26" t="str">
        <f aca="false">IF(A403="","",COUNTIF(Apparitions!$G$2:$G$5001,A403))</f>
        <v/>
      </c>
      <c r="J403" s="26" t="str">
        <f aca="false">IF(A403="","",COUNTIFS(Apparitions!$G$2:$G$5001,A403,Apparitions!$E$2:$E$5001,"○"))</f>
        <v/>
      </c>
      <c r="K403" s="29" t="str">
        <f aca="false">IF(A403="","",IFERROR(1/(1/_xlfn.MINIFS(Apparitions!$L$2:$L$5001,Apparitions!$G$2:$G$5001,A403)),""))</f>
        <v/>
      </c>
      <c r="L403" s="27" t="str">
        <f aca="false">IF(A403="","",A403&amp;" | "&amp;B403&amp;IF(C403="",""," ("&amp;C403&amp;")")&amp;IF(D403="",""," - "&amp;D403))</f>
        <v/>
      </c>
    </row>
    <row r="404" customFormat="false" ht="15" hidden="false" customHeight="false" outlineLevel="0" collapsed="false">
      <c r="A404" s="32"/>
      <c r="B404" s="19"/>
      <c r="C404" s="19"/>
      <c r="D404" s="19"/>
      <c r="E404" s="21"/>
      <c r="F404" s="19"/>
      <c r="G404" s="27" t="str">
        <f aca="false">IF(B404="","",IFERROR(INDEX(Jeux!$C$2:$C$3001,MATCH(B404,Jeux!$A$2:$A$3001,0))&amp;"","⚠ jeu inconnu"))</f>
        <v/>
      </c>
      <c r="H404" s="27" t="str">
        <f aca="false">IF(B404="","",IFERROR(INDEX(Jeux!$D$2:$D$3001,MATCH(B404,Jeux!$A$2:$A$3001,0))&amp;"",""))</f>
        <v/>
      </c>
      <c r="I404" s="26" t="str">
        <f aca="false">IF(A404="","",COUNTIF(Apparitions!$G$2:$G$5001,A404))</f>
        <v/>
      </c>
      <c r="J404" s="26" t="str">
        <f aca="false">IF(A404="","",COUNTIFS(Apparitions!$G$2:$G$5001,A404,Apparitions!$E$2:$E$5001,"○"))</f>
        <v/>
      </c>
      <c r="K404" s="29" t="str">
        <f aca="false">IF(A404="","",IFERROR(1/(1/_xlfn.MINIFS(Apparitions!$L$2:$L$5001,Apparitions!$G$2:$G$5001,A404)),""))</f>
        <v/>
      </c>
      <c r="L404" s="27" t="str">
        <f aca="false">IF(A404="","",A404&amp;" | "&amp;B404&amp;IF(C404="",""," ("&amp;C404&amp;")")&amp;IF(D404="",""," - "&amp;D404))</f>
        <v/>
      </c>
    </row>
    <row r="405" customFormat="false" ht="15" hidden="false" customHeight="false" outlineLevel="0" collapsed="false">
      <c r="A405" s="32"/>
      <c r="B405" s="19"/>
      <c r="C405" s="19"/>
      <c r="D405" s="19"/>
      <c r="E405" s="21"/>
      <c r="F405" s="19"/>
      <c r="G405" s="27" t="str">
        <f aca="false">IF(B405="","",IFERROR(INDEX(Jeux!$C$2:$C$3001,MATCH(B405,Jeux!$A$2:$A$3001,0))&amp;"","⚠ jeu inconnu"))</f>
        <v/>
      </c>
      <c r="H405" s="27" t="str">
        <f aca="false">IF(B405="","",IFERROR(INDEX(Jeux!$D$2:$D$3001,MATCH(B405,Jeux!$A$2:$A$3001,0))&amp;"",""))</f>
        <v/>
      </c>
      <c r="I405" s="26" t="str">
        <f aca="false">IF(A405="","",COUNTIF(Apparitions!$G$2:$G$5001,A405))</f>
        <v/>
      </c>
      <c r="J405" s="26" t="str">
        <f aca="false">IF(A405="","",COUNTIFS(Apparitions!$G$2:$G$5001,A405,Apparitions!$E$2:$E$5001,"○"))</f>
        <v/>
      </c>
      <c r="K405" s="29" t="str">
        <f aca="false">IF(A405="","",IFERROR(1/(1/_xlfn.MINIFS(Apparitions!$L$2:$L$5001,Apparitions!$G$2:$G$5001,A405)),""))</f>
        <v/>
      </c>
      <c r="L405" s="27" t="str">
        <f aca="false">IF(A405="","",A405&amp;" | "&amp;B405&amp;IF(C405="",""," ("&amp;C405&amp;")")&amp;IF(D405="",""," - "&amp;D405))</f>
        <v/>
      </c>
    </row>
    <row r="406" customFormat="false" ht="15" hidden="false" customHeight="false" outlineLevel="0" collapsed="false">
      <c r="A406" s="32"/>
      <c r="B406" s="19"/>
      <c r="C406" s="19"/>
      <c r="D406" s="19"/>
      <c r="E406" s="21"/>
      <c r="F406" s="19"/>
      <c r="G406" s="27" t="str">
        <f aca="false">IF(B406="","",IFERROR(INDEX(Jeux!$C$2:$C$3001,MATCH(B406,Jeux!$A$2:$A$3001,0))&amp;"","⚠ jeu inconnu"))</f>
        <v/>
      </c>
      <c r="H406" s="27" t="str">
        <f aca="false">IF(B406="","",IFERROR(INDEX(Jeux!$D$2:$D$3001,MATCH(B406,Jeux!$A$2:$A$3001,0))&amp;"",""))</f>
        <v/>
      </c>
      <c r="I406" s="26" t="str">
        <f aca="false">IF(A406="","",COUNTIF(Apparitions!$G$2:$G$5001,A406))</f>
        <v/>
      </c>
      <c r="J406" s="26" t="str">
        <f aca="false">IF(A406="","",COUNTIFS(Apparitions!$G$2:$G$5001,A406,Apparitions!$E$2:$E$5001,"○"))</f>
        <v/>
      </c>
      <c r="K406" s="29" t="str">
        <f aca="false">IF(A406="","",IFERROR(1/(1/_xlfn.MINIFS(Apparitions!$L$2:$L$5001,Apparitions!$G$2:$G$5001,A406)),""))</f>
        <v/>
      </c>
      <c r="L406" s="27" t="str">
        <f aca="false">IF(A406="","",A406&amp;" | "&amp;B406&amp;IF(C406="",""," ("&amp;C406&amp;")")&amp;IF(D406="",""," - "&amp;D406))</f>
        <v/>
      </c>
    </row>
    <row r="407" customFormat="false" ht="15" hidden="false" customHeight="false" outlineLevel="0" collapsed="false">
      <c r="A407" s="32"/>
      <c r="B407" s="19"/>
      <c r="C407" s="19"/>
      <c r="D407" s="19"/>
      <c r="E407" s="21"/>
      <c r="F407" s="19"/>
      <c r="G407" s="27" t="str">
        <f aca="false">IF(B407="","",IFERROR(INDEX(Jeux!$C$2:$C$3001,MATCH(B407,Jeux!$A$2:$A$3001,0))&amp;"","⚠ jeu inconnu"))</f>
        <v/>
      </c>
      <c r="H407" s="27" t="str">
        <f aca="false">IF(B407="","",IFERROR(INDEX(Jeux!$D$2:$D$3001,MATCH(B407,Jeux!$A$2:$A$3001,0))&amp;"",""))</f>
        <v/>
      </c>
      <c r="I407" s="26" t="str">
        <f aca="false">IF(A407="","",COUNTIF(Apparitions!$G$2:$G$5001,A407))</f>
        <v/>
      </c>
      <c r="J407" s="26" t="str">
        <f aca="false">IF(A407="","",COUNTIFS(Apparitions!$G$2:$G$5001,A407,Apparitions!$E$2:$E$5001,"○"))</f>
        <v/>
      </c>
      <c r="K407" s="29" t="str">
        <f aca="false">IF(A407="","",IFERROR(1/(1/_xlfn.MINIFS(Apparitions!$L$2:$L$5001,Apparitions!$G$2:$G$5001,A407)),""))</f>
        <v/>
      </c>
      <c r="L407" s="27" t="str">
        <f aca="false">IF(A407="","",A407&amp;" | "&amp;B407&amp;IF(C407="",""," ("&amp;C407&amp;")")&amp;IF(D407="",""," - "&amp;D407))</f>
        <v/>
      </c>
    </row>
    <row r="408" customFormat="false" ht="15" hidden="false" customHeight="false" outlineLevel="0" collapsed="false">
      <c r="A408" s="32"/>
      <c r="B408" s="19"/>
      <c r="C408" s="19"/>
      <c r="D408" s="19"/>
      <c r="E408" s="21"/>
      <c r="F408" s="19"/>
      <c r="G408" s="27" t="str">
        <f aca="false">IF(B408="","",IFERROR(INDEX(Jeux!$C$2:$C$3001,MATCH(B408,Jeux!$A$2:$A$3001,0))&amp;"","⚠ jeu inconnu"))</f>
        <v/>
      </c>
      <c r="H408" s="27" t="str">
        <f aca="false">IF(B408="","",IFERROR(INDEX(Jeux!$D$2:$D$3001,MATCH(B408,Jeux!$A$2:$A$3001,0))&amp;"",""))</f>
        <v/>
      </c>
      <c r="I408" s="26" t="str">
        <f aca="false">IF(A408="","",COUNTIF(Apparitions!$G$2:$G$5001,A408))</f>
        <v/>
      </c>
      <c r="J408" s="26" t="str">
        <f aca="false">IF(A408="","",COUNTIFS(Apparitions!$G$2:$G$5001,A408,Apparitions!$E$2:$E$5001,"○"))</f>
        <v/>
      </c>
      <c r="K408" s="29" t="str">
        <f aca="false">IF(A408="","",IFERROR(1/(1/_xlfn.MINIFS(Apparitions!$L$2:$L$5001,Apparitions!$G$2:$G$5001,A408)),""))</f>
        <v/>
      </c>
      <c r="L408" s="27" t="str">
        <f aca="false">IF(A408="","",A408&amp;" | "&amp;B408&amp;IF(C408="",""," ("&amp;C408&amp;")")&amp;IF(D408="",""," - "&amp;D408))</f>
        <v/>
      </c>
    </row>
    <row r="409" customFormat="false" ht="15" hidden="false" customHeight="false" outlineLevel="0" collapsed="false">
      <c r="A409" s="32"/>
      <c r="B409" s="19"/>
      <c r="C409" s="19"/>
      <c r="D409" s="19"/>
      <c r="E409" s="21"/>
      <c r="F409" s="19"/>
      <c r="G409" s="27" t="str">
        <f aca="false">IF(B409="","",IFERROR(INDEX(Jeux!$C$2:$C$3001,MATCH(B409,Jeux!$A$2:$A$3001,0))&amp;"","⚠ jeu inconnu"))</f>
        <v/>
      </c>
      <c r="H409" s="27" t="str">
        <f aca="false">IF(B409="","",IFERROR(INDEX(Jeux!$D$2:$D$3001,MATCH(B409,Jeux!$A$2:$A$3001,0))&amp;"",""))</f>
        <v/>
      </c>
      <c r="I409" s="26" t="str">
        <f aca="false">IF(A409="","",COUNTIF(Apparitions!$G$2:$G$5001,A409))</f>
        <v/>
      </c>
      <c r="J409" s="26" t="str">
        <f aca="false">IF(A409="","",COUNTIFS(Apparitions!$G$2:$G$5001,A409,Apparitions!$E$2:$E$5001,"○"))</f>
        <v/>
      </c>
      <c r="K409" s="29" t="str">
        <f aca="false">IF(A409="","",IFERROR(1/(1/_xlfn.MINIFS(Apparitions!$L$2:$L$5001,Apparitions!$G$2:$G$5001,A409)),""))</f>
        <v/>
      </c>
      <c r="L409" s="27" t="str">
        <f aca="false">IF(A409="","",A409&amp;" | "&amp;B409&amp;IF(C409="",""," ("&amp;C409&amp;")")&amp;IF(D409="",""," - "&amp;D409))</f>
        <v/>
      </c>
    </row>
    <row r="410" customFormat="false" ht="15" hidden="false" customHeight="false" outlineLevel="0" collapsed="false">
      <c r="A410" s="32"/>
      <c r="B410" s="19"/>
      <c r="C410" s="19"/>
      <c r="D410" s="19"/>
      <c r="E410" s="21"/>
      <c r="F410" s="19"/>
      <c r="G410" s="27" t="str">
        <f aca="false">IF(B410="","",IFERROR(INDEX(Jeux!$C$2:$C$3001,MATCH(B410,Jeux!$A$2:$A$3001,0))&amp;"","⚠ jeu inconnu"))</f>
        <v/>
      </c>
      <c r="H410" s="27" t="str">
        <f aca="false">IF(B410="","",IFERROR(INDEX(Jeux!$D$2:$D$3001,MATCH(B410,Jeux!$A$2:$A$3001,0))&amp;"",""))</f>
        <v/>
      </c>
      <c r="I410" s="26" t="str">
        <f aca="false">IF(A410="","",COUNTIF(Apparitions!$G$2:$G$5001,A410))</f>
        <v/>
      </c>
      <c r="J410" s="26" t="str">
        <f aca="false">IF(A410="","",COUNTIFS(Apparitions!$G$2:$G$5001,A410,Apparitions!$E$2:$E$5001,"○"))</f>
        <v/>
      </c>
      <c r="K410" s="29" t="str">
        <f aca="false">IF(A410="","",IFERROR(1/(1/_xlfn.MINIFS(Apparitions!$L$2:$L$5001,Apparitions!$G$2:$G$5001,A410)),""))</f>
        <v/>
      </c>
      <c r="L410" s="27" t="str">
        <f aca="false">IF(A410="","",A410&amp;" | "&amp;B410&amp;IF(C410="",""," ("&amp;C410&amp;")")&amp;IF(D410="",""," - "&amp;D410))</f>
        <v/>
      </c>
    </row>
    <row r="411" customFormat="false" ht="15" hidden="false" customHeight="false" outlineLevel="0" collapsed="false">
      <c r="A411" s="32"/>
      <c r="B411" s="19"/>
      <c r="C411" s="19"/>
      <c r="D411" s="19"/>
      <c r="E411" s="21"/>
      <c r="F411" s="19"/>
      <c r="G411" s="27" t="str">
        <f aca="false">IF(B411="","",IFERROR(INDEX(Jeux!$C$2:$C$3001,MATCH(B411,Jeux!$A$2:$A$3001,0))&amp;"","⚠ jeu inconnu"))</f>
        <v/>
      </c>
      <c r="H411" s="27" t="str">
        <f aca="false">IF(B411="","",IFERROR(INDEX(Jeux!$D$2:$D$3001,MATCH(B411,Jeux!$A$2:$A$3001,0))&amp;"",""))</f>
        <v/>
      </c>
      <c r="I411" s="26" t="str">
        <f aca="false">IF(A411="","",COUNTIF(Apparitions!$G$2:$G$5001,A411))</f>
        <v/>
      </c>
      <c r="J411" s="26" t="str">
        <f aca="false">IF(A411="","",COUNTIFS(Apparitions!$G$2:$G$5001,A411,Apparitions!$E$2:$E$5001,"○"))</f>
        <v/>
      </c>
      <c r="K411" s="29" t="str">
        <f aca="false">IF(A411="","",IFERROR(1/(1/_xlfn.MINIFS(Apparitions!$L$2:$L$5001,Apparitions!$G$2:$G$5001,A411)),""))</f>
        <v/>
      </c>
      <c r="L411" s="27" t="str">
        <f aca="false">IF(A411="","",A411&amp;" | "&amp;B411&amp;IF(C411="",""," ("&amp;C411&amp;")")&amp;IF(D411="",""," - "&amp;D411))</f>
        <v/>
      </c>
    </row>
    <row r="412" customFormat="false" ht="15" hidden="false" customHeight="false" outlineLevel="0" collapsed="false">
      <c r="A412" s="32"/>
      <c r="B412" s="19"/>
      <c r="C412" s="19"/>
      <c r="D412" s="19"/>
      <c r="E412" s="21"/>
      <c r="F412" s="19"/>
      <c r="G412" s="27" t="str">
        <f aca="false">IF(B412="","",IFERROR(INDEX(Jeux!$C$2:$C$3001,MATCH(B412,Jeux!$A$2:$A$3001,0))&amp;"","⚠ jeu inconnu"))</f>
        <v/>
      </c>
      <c r="H412" s="27" t="str">
        <f aca="false">IF(B412="","",IFERROR(INDEX(Jeux!$D$2:$D$3001,MATCH(B412,Jeux!$A$2:$A$3001,0))&amp;"",""))</f>
        <v/>
      </c>
      <c r="I412" s="26" t="str">
        <f aca="false">IF(A412="","",COUNTIF(Apparitions!$G$2:$G$5001,A412))</f>
        <v/>
      </c>
      <c r="J412" s="26" t="str">
        <f aca="false">IF(A412="","",COUNTIFS(Apparitions!$G$2:$G$5001,A412,Apparitions!$E$2:$E$5001,"○"))</f>
        <v/>
      </c>
      <c r="K412" s="29" t="str">
        <f aca="false">IF(A412="","",IFERROR(1/(1/_xlfn.MINIFS(Apparitions!$L$2:$L$5001,Apparitions!$G$2:$G$5001,A412)),""))</f>
        <v/>
      </c>
      <c r="L412" s="27" t="str">
        <f aca="false">IF(A412="","",A412&amp;" | "&amp;B412&amp;IF(C412="",""," ("&amp;C412&amp;")")&amp;IF(D412="",""," - "&amp;D412))</f>
        <v/>
      </c>
    </row>
    <row r="413" customFormat="false" ht="15" hidden="false" customHeight="false" outlineLevel="0" collapsed="false">
      <c r="A413" s="32"/>
      <c r="B413" s="19"/>
      <c r="C413" s="19"/>
      <c r="D413" s="19"/>
      <c r="E413" s="21"/>
      <c r="F413" s="19"/>
      <c r="G413" s="27" t="str">
        <f aca="false">IF(B413="","",IFERROR(INDEX(Jeux!$C$2:$C$3001,MATCH(B413,Jeux!$A$2:$A$3001,0))&amp;"","⚠ jeu inconnu"))</f>
        <v/>
      </c>
      <c r="H413" s="27" t="str">
        <f aca="false">IF(B413="","",IFERROR(INDEX(Jeux!$D$2:$D$3001,MATCH(B413,Jeux!$A$2:$A$3001,0))&amp;"",""))</f>
        <v/>
      </c>
      <c r="I413" s="26" t="str">
        <f aca="false">IF(A413="","",COUNTIF(Apparitions!$G$2:$G$5001,A413))</f>
        <v/>
      </c>
      <c r="J413" s="26" t="str">
        <f aca="false">IF(A413="","",COUNTIFS(Apparitions!$G$2:$G$5001,A413,Apparitions!$E$2:$E$5001,"○"))</f>
        <v/>
      </c>
      <c r="K413" s="29" t="str">
        <f aca="false">IF(A413="","",IFERROR(1/(1/_xlfn.MINIFS(Apparitions!$L$2:$L$5001,Apparitions!$G$2:$G$5001,A413)),""))</f>
        <v/>
      </c>
      <c r="L413" s="27" t="str">
        <f aca="false">IF(A413="","",A413&amp;" | "&amp;B413&amp;IF(C413="",""," ("&amp;C413&amp;")")&amp;IF(D413="",""," - "&amp;D413))</f>
        <v/>
      </c>
    </row>
    <row r="414" customFormat="false" ht="15" hidden="false" customHeight="false" outlineLevel="0" collapsed="false">
      <c r="A414" s="32"/>
      <c r="B414" s="19"/>
      <c r="C414" s="19"/>
      <c r="D414" s="19"/>
      <c r="E414" s="21"/>
      <c r="F414" s="19"/>
      <c r="G414" s="27" t="str">
        <f aca="false">IF(B414="","",IFERROR(INDEX(Jeux!$C$2:$C$3001,MATCH(B414,Jeux!$A$2:$A$3001,0))&amp;"","⚠ jeu inconnu"))</f>
        <v/>
      </c>
      <c r="H414" s="27" t="str">
        <f aca="false">IF(B414="","",IFERROR(INDEX(Jeux!$D$2:$D$3001,MATCH(B414,Jeux!$A$2:$A$3001,0))&amp;"",""))</f>
        <v/>
      </c>
      <c r="I414" s="26" t="str">
        <f aca="false">IF(A414="","",COUNTIF(Apparitions!$G$2:$G$5001,A414))</f>
        <v/>
      </c>
      <c r="J414" s="26" t="str">
        <f aca="false">IF(A414="","",COUNTIFS(Apparitions!$G$2:$G$5001,A414,Apparitions!$E$2:$E$5001,"○"))</f>
        <v/>
      </c>
      <c r="K414" s="29" t="str">
        <f aca="false">IF(A414="","",IFERROR(1/(1/_xlfn.MINIFS(Apparitions!$L$2:$L$5001,Apparitions!$G$2:$G$5001,A414)),""))</f>
        <v/>
      </c>
      <c r="L414" s="27" t="str">
        <f aca="false">IF(A414="","",A414&amp;" | "&amp;B414&amp;IF(C414="",""," ("&amp;C414&amp;")")&amp;IF(D414="",""," - "&amp;D414))</f>
        <v/>
      </c>
    </row>
    <row r="415" customFormat="false" ht="15" hidden="false" customHeight="false" outlineLevel="0" collapsed="false">
      <c r="A415" s="32"/>
      <c r="B415" s="19"/>
      <c r="C415" s="19"/>
      <c r="D415" s="19"/>
      <c r="E415" s="21"/>
      <c r="F415" s="19"/>
      <c r="G415" s="27" t="str">
        <f aca="false">IF(B415="","",IFERROR(INDEX(Jeux!$C$2:$C$3001,MATCH(B415,Jeux!$A$2:$A$3001,0))&amp;"","⚠ jeu inconnu"))</f>
        <v/>
      </c>
      <c r="H415" s="27" t="str">
        <f aca="false">IF(B415="","",IFERROR(INDEX(Jeux!$D$2:$D$3001,MATCH(B415,Jeux!$A$2:$A$3001,0))&amp;"",""))</f>
        <v/>
      </c>
      <c r="I415" s="26" t="str">
        <f aca="false">IF(A415="","",COUNTIF(Apparitions!$G$2:$G$5001,A415))</f>
        <v/>
      </c>
      <c r="J415" s="26" t="str">
        <f aca="false">IF(A415="","",COUNTIFS(Apparitions!$G$2:$G$5001,A415,Apparitions!$E$2:$E$5001,"○"))</f>
        <v/>
      </c>
      <c r="K415" s="29" t="str">
        <f aca="false">IF(A415="","",IFERROR(1/(1/_xlfn.MINIFS(Apparitions!$L$2:$L$5001,Apparitions!$G$2:$G$5001,A415)),""))</f>
        <v/>
      </c>
      <c r="L415" s="27" t="str">
        <f aca="false">IF(A415="","",A415&amp;" | "&amp;B415&amp;IF(C415="",""," ("&amp;C415&amp;")")&amp;IF(D415="",""," - "&amp;D415))</f>
        <v/>
      </c>
    </row>
    <row r="416" customFormat="false" ht="15" hidden="false" customHeight="false" outlineLevel="0" collapsed="false">
      <c r="A416" s="32"/>
      <c r="B416" s="19"/>
      <c r="C416" s="19"/>
      <c r="D416" s="19"/>
      <c r="E416" s="21"/>
      <c r="F416" s="19"/>
      <c r="G416" s="27" t="str">
        <f aca="false">IF(B416="","",IFERROR(INDEX(Jeux!$C$2:$C$3001,MATCH(B416,Jeux!$A$2:$A$3001,0))&amp;"","⚠ jeu inconnu"))</f>
        <v/>
      </c>
      <c r="H416" s="27" t="str">
        <f aca="false">IF(B416="","",IFERROR(INDEX(Jeux!$D$2:$D$3001,MATCH(B416,Jeux!$A$2:$A$3001,0))&amp;"",""))</f>
        <v/>
      </c>
      <c r="I416" s="26" t="str">
        <f aca="false">IF(A416="","",COUNTIF(Apparitions!$G$2:$G$5001,A416))</f>
        <v/>
      </c>
      <c r="J416" s="26" t="str">
        <f aca="false">IF(A416="","",COUNTIFS(Apparitions!$G$2:$G$5001,A416,Apparitions!$E$2:$E$5001,"○"))</f>
        <v/>
      </c>
      <c r="K416" s="29" t="str">
        <f aca="false">IF(A416="","",IFERROR(1/(1/_xlfn.MINIFS(Apparitions!$L$2:$L$5001,Apparitions!$G$2:$G$5001,A416)),""))</f>
        <v/>
      </c>
      <c r="L416" s="27" t="str">
        <f aca="false">IF(A416="","",A416&amp;" | "&amp;B416&amp;IF(C416="",""," ("&amp;C416&amp;")")&amp;IF(D416="",""," - "&amp;D416))</f>
        <v/>
      </c>
    </row>
    <row r="417" customFormat="false" ht="15" hidden="false" customHeight="false" outlineLevel="0" collapsed="false">
      <c r="A417" s="32"/>
      <c r="B417" s="19"/>
      <c r="C417" s="19"/>
      <c r="D417" s="19"/>
      <c r="E417" s="21"/>
      <c r="F417" s="19"/>
      <c r="G417" s="27" t="str">
        <f aca="false">IF(B417="","",IFERROR(INDEX(Jeux!$C$2:$C$3001,MATCH(B417,Jeux!$A$2:$A$3001,0))&amp;"","⚠ jeu inconnu"))</f>
        <v/>
      </c>
      <c r="H417" s="27" t="str">
        <f aca="false">IF(B417="","",IFERROR(INDEX(Jeux!$D$2:$D$3001,MATCH(B417,Jeux!$A$2:$A$3001,0))&amp;"",""))</f>
        <v/>
      </c>
      <c r="I417" s="26" t="str">
        <f aca="false">IF(A417="","",COUNTIF(Apparitions!$G$2:$G$5001,A417))</f>
        <v/>
      </c>
      <c r="J417" s="26" t="str">
        <f aca="false">IF(A417="","",COUNTIFS(Apparitions!$G$2:$G$5001,A417,Apparitions!$E$2:$E$5001,"○"))</f>
        <v/>
      </c>
      <c r="K417" s="29" t="str">
        <f aca="false">IF(A417="","",IFERROR(1/(1/_xlfn.MINIFS(Apparitions!$L$2:$L$5001,Apparitions!$G$2:$G$5001,A417)),""))</f>
        <v/>
      </c>
      <c r="L417" s="27" t="str">
        <f aca="false">IF(A417="","",A417&amp;" | "&amp;B417&amp;IF(C417="",""," ("&amp;C417&amp;")")&amp;IF(D417="",""," - "&amp;D417))</f>
        <v/>
      </c>
    </row>
    <row r="418" customFormat="false" ht="15" hidden="false" customHeight="false" outlineLevel="0" collapsed="false">
      <c r="A418" s="32"/>
      <c r="B418" s="19"/>
      <c r="C418" s="19"/>
      <c r="D418" s="19"/>
      <c r="E418" s="21"/>
      <c r="F418" s="19"/>
      <c r="G418" s="27" t="str">
        <f aca="false">IF(B418="","",IFERROR(INDEX(Jeux!$C$2:$C$3001,MATCH(B418,Jeux!$A$2:$A$3001,0))&amp;"","⚠ jeu inconnu"))</f>
        <v/>
      </c>
      <c r="H418" s="27" t="str">
        <f aca="false">IF(B418="","",IFERROR(INDEX(Jeux!$D$2:$D$3001,MATCH(B418,Jeux!$A$2:$A$3001,0))&amp;"",""))</f>
        <v/>
      </c>
      <c r="I418" s="26" t="str">
        <f aca="false">IF(A418="","",COUNTIF(Apparitions!$G$2:$G$5001,A418))</f>
        <v/>
      </c>
      <c r="J418" s="26" t="str">
        <f aca="false">IF(A418="","",COUNTIFS(Apparitions!$G$2:$G$5001,A418,Apparitions!$E$2:$E$5001,"○"))</f>
        <v/>
      </c>
      <c r="K418" s="29" t="str">
        <f aca="false">IF(A418="","",IFERROR(1/(1/_xlfn.MINIFS(Apparitions!$L$2:$L$5001,Apparitions!$G$2:$G$5001,A418)),""))</f>
        <v/>
      </c>
      <c r="L418" s="27" t="str">
        <f aca="false">IF(A418="","",A418&amp;" | "&amp;B418&amp;IF(C418="",""," ("&amp;C418&amp;")")&amp;IF(D418="",""," - "&amp;D418))</f>
        <v/>
      </c>
    </row>
    <row r="419" customFormat="false" ht="15" hidden="false" customHeight="false" outlineLevel="0" collapsed="false">
      <c r="A419" s="32"/>
      <c r="B419" s="19"/>
      <c r="C419" s="19"/>
      <c r="D419" s="19"/>
      <c r="E419" s="21"/>
      <c r="F419" s="19"/>
      <c r="G419" s="27" t="str">
        <f aca="false">IF(B419="","",IFERROR(INDEX(Jeux!$C$2:$C$3001,MATCH(B419,Jeux!$A$2:$A$3001,0))&amp;"","⚠ jeu inconnu"))</f>
        <v/>
      </c>
      <c r="H419" s="27" t="str">
        <f aca="false">IF(B419="","",IFERROR(INDEX(Jeux!$D$2:$D$3001,MATCH(B419,Jeux!$A$2:$A$3001,0))&amp;"",""))</f>
        <v/>
      </c>
      <c r="I419" s="26" t="str">
        <f aca="false">IF(A419="","",COUNTIF(Apparitions!$G$2:$G$5001,A419))</f>
        <v/>
      </c>
      <c r="J419" s="26" t="str">
        <f aca="false">IF(A419="","",COUNTIFS(Apparitions!$G$2:$G$5001,A419,Apparitions!$E$2:$E$5001,"○"))</f>
        <v/>
      </c>
      <c r="K419" s="29" t="str">
        <f aca="false">IF(A419="","",IFERROR(1/(1/_xlfn.MINIFS(Apparitions!$L$2:$L$5001,Apparitions!$G$2:$G$5001,A419)),""))</f>
        <v/>
      </c>
      <c r="L419" s="27" t="str">
        <f aca="false">IF(A419="","",A419&amp;" | "&amp;B419&amp;IF(C419="",""," ("&amp;C419&amp;")")&amp;IF(D419="",""," - "&amp;D419))</f>
        <v/>
      </c>
    </row>
    <row r="420" customFormat="false" ht="15" hidden="false" customHeight="false" outlineLevel="0" collapsed="false">
      <c r="A420" s="32"/>
      <c r="B420" s="19"/>
      <c r="C420" s="19"/>
      <c r="D420" s="19"/>
      <c r="E420" s="21"/>
      <c r="F420" s="19"/>
      <c r="G420" s="27" t="str">
        <f aca="false">IF(B420="","",IFERROR(INDEX(Jeux!$C$2:$C$3001,MATCH(B420,Jeux!$A$2:$A$3001,0))&amp;"","⚠ jeu inconnu"))</f>
        <v/>
      </c>
      <c r="H420" s="27" t="str">
        <f aca="false">IF(B420="","",IFERROR(INDEX(Jeux!$D$2:$D$3001,MATCH(B420,Jeux!$A$2:$A$3001,0))&amp;"",""))</f>
        <v/>
      </c>
      <c r="I420" s="26" t="str">
        <f aca="false">IF(A420="","",COUNTIF(Apparitions!$G$2:$G$5001,A420))</f>
        <v/>
      </c>
      <c r="J420" s="26" t="str">
        <f aca="false">IF(A420="","",COUNTIFS(Apparitions!$G$2:$G$5001,A420,Apparitions!$E$2:$E$5001,"○"))</f>
        <v/>
      </c>
      <c r="K420" s="29" t="str">
        <f aca="false">IF(A420="","",IFERROR(1/(1/_xlfn.MINIFS(Apparitions!$L$2:$L$5001,Apparitions!$G$2:$G$5001,A420)),""))</f>
        <v/>
      </c>
      <c r="L420" s="27" t="str">
        <f aca="false">IF(A420="","",A420&amp;" | "&amp;B420&amp;IF(C420="",""," ("&amp;C420&amp;")")&amp;IF(D420="",""," - "&amp;D420))</f>
        <v/>
      </c>
    </row>
    <row r="421" customFormat="false" ht="15" hidden="false" customHeight="false" outlineLevel="0" collapsed="false">
      <c r="A421" s="32"/>
      <c r="B421" s="19"/>
      <c r="C421" s="19"/>
      <c r="D421" s="19"/>
      <c r="E421" s="21"/>
      <c r="F421" s="19"/>
      <c r="G421" s="27" t="str">
        <f aca="false">IF(B421="","",IFERROR(INDEX(Jeux!$C$2:$C$3001,MATCH(B421,Jeux!$A$2:$A$3001,0))&amp;"","⚠ jeu inconnu"))</f>
        <v/>
      </c>
      <c r="H421" s="27" t="str">
        <f aca="false">IF(B421="","",IFERROR(INDEX(Jeux!$D$2:$D$3001,MATCH(B421,Jeux!$A$2:$A$3001,0))&amp;"",""))</f>
        <v/>
      </c>
      <c r="I421" s="26" t="str">
        <f aca="false">IF(A421="","",COUNTIF(Apparitions!$G$2:$G$5001,A421))</f>
        <v/>
      </c>
      <c r="J421" s="26" t="str">
        <f aca="false">IF(A421="","",COUNTIFS(Apparitions!$G$2:$G$5001,A421,Apparitions!$E$2:$E$5001,"○"))</f>
        <v/>
      </c>
      <c r="K421" s="29" t="str">
        <f aca="false">IF(A421="","",IFERROR(1/(1/_xlfn.MINIFS(Apparitions!$L$2:$L$5001,Apparitions!$G$2:$G$5001,A421)),""))</f>
        <v/>
      </c>
      <c r="L421" s="27" t="str">
        <f aca="false">IF(A421="","",A421&amp;" | "&amp;B421&amp;IF(C421="",""," ("&amp;C421&amp;")")&amp;IF(D421="",""," - "&amp;D421))</f>
        <v/>
      </c>
    </row>
    <row r="422" customFormat="false" ht="15" hidden="false" customHeight="false" outlineLevel="0" collapsed="false">
      <c r="A422" s="32"/>
      <c r="B422" s="19"/>
      <c r="C422" s="19"/>
      <c r="D422" s="19"/>
      <c r="E422" s="21"/>
      <c r="F422" s="19"/>
      <c r="G422" s="27" t="str">
        <f aca="false">IF(B422="","",IFERROR(INDEX(Jeux!$C$2:$C$3001,MATCH(B422,Jeux!$A$2:$A$3001,0))&amp;"","⚠ jeu inconnu"))</f>
        <v/>
      </c>
      <c r="H422" s="27" t="str">
        <f aca="false">IF(B422="","",IFERROR(INDEX(Jeux!$D$2:$D$3001,MATCH(B422,Jeux!$A$2:$A$3001,0))&amp;"",""))</f>
        <v/>
      </c>
      <c r="I422" s="26" t="str">
        <f aca="false">IF(A422="","",COUNTIF(Apparitions!$G$2:$G$5001,A422))</f>
        <v/>
      </c>
      <c r="J422" s="26" t="str">
        <f aca="false">IF(A422="","",COUNTIFS(Apparitions!$G$2:$G$5001,A422,Apparitions!$E$2:$E$5001,"○"))</f>
        <v/>
      </c>
      <c r="K422" s="29" t="str">
        <f aca="false">IF(A422="","",IFERROR(1/(1/_xlfn.MINIFS(Apparitions!$L$2:$L$5001,Apparitions!$G$2:$G$5001,A422)),""))</f>
        <v/>
      </c>
      <c r="L422" s="27" t="str">
        <f aca="false">IF(A422="","",A422&amp;" | "&amp;B422&amp;IF(C422="",""," ("&amp;C422&amp;")")&amp;IF(D422="",""," - "&amp;D422))</f>
        <v/>
      </c>
    </row>
    <row r="423" customFormat="false" ht="15" hidden="false" customHeight="false" outlineLevel="0" collapsed="false">
      <c r="A423" s="32"/>
      <c r="B423" s="19"/>
      <c r="C423" s="19"/>
      <c r="D423" s="19"/>
      <c r="E423" s="21"/>
      <c r="F423" s="19"/>
      <c r="G423" s="27" t="str">
        <f aca="false">IF(B423="","",IFERROR(INDEX(Jeux!$C$2:$C$3001,MATCH(B423,Jeux!$A$2:$A$3001,0))&amp;"","⚠ jeu inconnu"))</f>
        <v/>
      </c>
      <c r="H423" s="27" t="str">
        <f aca="false">IF(B423="","",IFERROR(INDEX(Jeux!$D$2:$D$3001,MATCH(B423,Jeux!$A$2:$A$3001,0))&amp;"",""))</f>
        <v/>
      </c>
      <c r="I423" s="26" t="str">
        <f aca="false">IF(A423="","",COUNTIF(Apparitions!$G$2:$G$5001,A423))</f>
        <v/>
      </c>
      <c r="J423" s="26" t="str">
        <f aca="false">IF(A423="","",COUNTIFS(Apparitions!$G$2:$G$5001,A423,Apparitions!$E$2:$E$5001,"○"))</f>
        <v/>
      </c>
      <c r="K423" s="29" t="str">
        <f aca="false">IF(A423="","",IFERROR(1/(1/_xlfn.MINIFS(Apparitions!$L$2:$L$5001,Apparitions!$G$2:$G$5001,A423)),""))</f>
        <v/>
      </c>
      <c r="L423" s="27" t="str">
        <f aca="false">IF(A423="","",A423&amp;" | "&amp;B423&amp;IF(C423="",""," ("&amp;C423&amp;")")&amp;IF(D423="",""," - "&amp;D423))</f>
        <v/>
      </c>
    </row>
    <row r="424" customFormat="false" ht="15" hidden="false" customHeight="false" outlineLevel="0" collapsed="false">
      <c r="A424" s="32"/>
      <c r="B424" s="19"/>
      <c r="C424" s="19"/>
      <c r="D424" s="19"/>
      <c r="E424" s="21"/>
      <c r="F424" s="19"/>
      <c r="G424" s="27" t="str">
        <f aca="false">IF(B424="","",IFERROR(INDEX(Jeux!$C$2:$C$3001,MATCH(B424,Jeux!$A$2:$A$3001,0))&amp;"","⚠ jeu inconnu"))</f>
        <v/>
      </c>
      <c r="H424" s="27" t="str">
        <f aca="false">IF(B424="","",IFERROR(INDEX(Jeux!$D$2:$D$3001,MATCH(B424,Jeux!$A$2:$A$3001,0))&amp;"",""))</f>
        <v/>
      </c>
      <c r="I424" s="26" t="str">
        <f aca="false">IF(A424="","",COUNTIF(Apparitions!$G$2:$G$5001,A424))</f>
        <v/>
      </c>
      <c r="J424" s="26" t="str">
        <f aca="false">IF(A424="","",COUNTIFS(Apparitions!$G$2:$G$5001,A424,Apparitions!$E$2:$E$5001,"○"))</f>
        <v/>
      </c>
      <c r="K424" s="29" t="str">
        <f aca="false">IF(A424="","",IFERROR(1/(1/_xlfn.MINIFS(Apparitions!$L$2:$L$5001,Apparitions!$G$2:$G$5001,A424)),""))</f>
        <v/>
      </c>
      <c r="L424" s="27" t="str">
        <f aca="false">IF(A424="","",A424&amp;" | "&amp;B424&amp;IF(C424="",""," ("&amp;C424&amp;")")&amp;IF(D424="",""," - "&amp;D424))</f>
        <v/>
      </c>
    </row>
    <row r="425" customFormat="false" ht="15" hidden="false" customHeight="false" outlineLevel="0" collapsed="false">
      <c r="A425" s="32"/>
      <c r="B425" s="19"/>
      <c r="C425" s="19"/>
      <c r="D425" s="19"/>
      <c r="E425" s="21"/>
      <c r="F425" s="19"/>
      <c r="G425" s="27" t="str">
        <f aca="false">IF(B425="","",IFERROR(INDEX(Jeux!$C$2:$C$3001,MATCH(B425,Jeux!$A$2:$A$3001,0))&amp;"","⚠ jeu inconnu"))</f>
        <v/>
      </c>
      <c r="H425" s="27" t="str">
        <f aca="false">IF(B425="","",IFERROR(INDEX(Jeux!$D$2:$D$3001,MATCH(B425,Jeux!$A$2:$A$3001,0))&amp;"",""))</f>
        <v/>
      </c>
      <c r="I425" s="26" t="str">
        <f aca="false">IF(A425="","",COUNTIF(Apparitions!$G$2:$G$5001,A425))</f>
        <v/>
      </c>
      <c r="J425" s="26" t="str">
        <f aca="false">IF(A425="","",COUNTIFS(Apparitions!$G$2:$G$5001,A425,Apparitions!$E$2:$E$5001,"○"))</f>
        <v/>
      </c>
      <c r="K425" s="29" t="str">
        <f aca="false">IF(A425="","",IFERROR(1/(1/_xlfn.MINIFS(Apparitions!$L$2:$L$5001,Apparitions!$G$2:$G$5001,A425)),""))</f>
        <v/>
      </c>
      <c r="L425" s="27" t="str">
        <f aca="false">IF(A425="","",A425&amp;" | "&amp;B425&amp;IF(C425="",""," ("&amp;C425&amp;")")&amp;IF(D425="",""," - "&amp;D425))</f>
        <v/>
      </c>
    </row>
    <row r="426" customFormat="false" ht="15" hidden="false" customHeight="false" outlineLevel="0" collapsed="false">
      <c r="A426" s="32"/>
      <c r="B426" s="19"/>
      <c r="C426" s="19"/>
      <c r="D426" s="19"/>
      <c r="E426" s="21"/>
      <c r="F426" s="19"/>
      <c r="G426" s="27" t="str">
        <f aca="false">IF(B426="","",IFERROR(INDEX(Jeux!$C$2:$C$3001,MATCH(B426,Jeux!$A$2:$A$3001,0))&amp;"","⚠ jeu inconnu"))</f>
        <v/>
      </c>
      <c r="H426" s="27" t="str">
        <f aca="false">IF(B426="","",IFERROR(INDEX(Jeux!$D$2:$D$3001,MATCH(B426,Jeux!$A$2:$A$3001,0))&amp;"",""))</f>
        <v/>
      </c>
      <c r="I426" s="26" t="str">
        <f aca="false">IF(A426="","",COUNTIF(Apparitions!$G$2:$G$5001,A426))</f>
        <v/>
      </c>
      <c r="J426" s="26" t="str">
        <f aca="false">IF(A426="","",COUNTIFS(Apparitions!$G$2:$G$5001,A426,Apparitions!$E$2:$E$5001,"○"))</f>
        <v/>
      </c>
      <c r="K426" s="29" t="str">
        <f aca="false">IF(A426="","",IFERROR(1/(1/_xlfn.MINIFS(Apparitions!$L$2:$L$5001,Apparitions!$G$2:$G$5001,A426)),""))</f>
        <v/>
      </c>
      <c r="L426" s="27" t="str">
        <f aca="false">IF(A426="","",A426&amp;" | "&amp;B426&amp;IF(C426="",""," ("&amp;C426&amp;")")&amp;IF(D426="",""," - "&amp;D426))</f>
        <v/>
      </c>
    </row>
    <row r="427" customFormat="false" ht="15" hidden="false" customHeight="false" outlineLevel="0" collapsed="false">
      <c r="A427" s="32"/>
      <c r="B427" s="19"/>
      <c r="C427" s="19"/>
      <c r="D427" s="19"/>
      <c r="E427" s="21"/>
      <c r="F427" s="19"/>
      <c r="G427" s="27" t="str">
        <f aca="false">IF(B427="","",IFERROR(INDEX(Jeux!$C$2:$C$3001,MATCH(B427,Jeux!$A$2:$A$3001,0))&amp;"","⚠ jeu inconnu"))</f>
        <v/>
      </c>
      <c r="H427" s="27" t="str">
        <f aca="false">IF(B427="","",IFERROR(INDEX(Jeux!$D$2:$D$3001,MATCH(B427,Jeux!$A$2:$A$3001,0))&amp;"",""))</f>
        <v/>
      </c>
      <c r="I427" s="26" t="str">
        <f aca="false">IF(A427="","",COUNTIF(Apparitions!$G$2:$G$5001,A427))</f>
        <v/>
      </c>
      <c r="J427" s="26" t="str">
        <f aca="false">IF(A427="","",COUNTIFS(Apparitions!$G$2:$G$5001,A427,Apparitions!$E$2:$E$5001,"○"))</f>
        <v/>
      </c>
      <c r="K427" s="29" t="str">
        <f aca="false">IF(A427="","",IFERROR(1/(1/_xlfn.MINIFS(Apparitions!$L$2:$L$5001,Apparitions!$G$2:$G$5001,A427)),""))</f>
        <v/>
      </c>
      <c r="L427" s="27" t="str">
        <f aca="false">IF(A427="","",A427&amp;" | "&amp;B427&amp;IF(C427="",""," ("&amp;C427&amp;")")&amp;IF(D427="",""," - "&amp;D427))</f>
        <v/>
      </c>
    </row>
    <row r="428" customFormat="false" ht="15" hidden="false" customHeight="false" outlineLevel="0" collapsed="false">
      <c r="A428" s="32"/>
      <c r="B428" s="19"/>
      <c r="C428" s="19"/>
      <c r="D428" s="19"/>
      <c r="E428" s="21"/>
      <c r="F428" s="19"/>
      <c r="G428" s="27" t="str">
        <f aca="false">IF(B428="","",IFERROR(INDEX(Jeux!$C$2:$C$3001,MATCH(B428,Jeux!$A$2:$A$3001,0))&amp;"","⚠ jeu inconnu"))</f>
        <v/>
      </c>
      <c r="H428" s="27" t="str">
        <f aca="false">IF(B428="","",IFERROR(INDEX(Jeux!$D$2:$D$3001,MATCH(B428,Jeux!$A$2:$A$3001,0))&amp;"",""))</f>
        <v/>
      </c>
      <c r="I428" s="26" t="str">
        <f aca="false">IF(A428="","",COUNTIF(Apparitions!$G$2:$G$5001,A428))</f>
        <v/>
      </c>
      <c r="J428" s="26" t="str">
        <f aca="false">IF(A428="","",COUNTIFS(Apparitions!$G$2:$G$5001,A428,Apparitions!$E$2:$E$5001,"○"))</f>
        <v/>
      </c>
      <c r="K428" s="29" t="str">
        <f aca="false">IF(A428="","",IFERROR(1/(1/_xlfn.MINIFS(Apparitions!$L$2:$L$5001,Apparitions!$G$2:$G$5001,A428)),""))</f>
        <v/>
      </c>
      <c r="L428" s="27" t="str">
        <f aca="false">IF(A428="","",A428&amp;" | "&amp;B428&amp;IF(C428="",""," ("&amp;C428&amp;")")&amp;IF(D428="",""," - "&amp;D428))</f>
        <v/>
      </c>
    </row>
    <row r="429" customFormat="false" ht="15" hidden="false" customHeight="false" outlineLevel="0" collapsed="false">
      <c r="A429" s="32"/>
      <c r="B429" s="19"/>
      <c r="C429" s="19"/>
      <c r="D429" s="19"/>
      <c r="E429" s="21"/>
      <c r="F429" s="19"/>
      <c r="G429" s="27" t="str">
        <f aca="false">IF(B429="","",IFERROR(INDEX(Jeux!$C$2:$C$3001,MATCH(B429,Jeux!$A$2:$A$3001,0))&amp;"","⚠ jeu inconnu"))</f>
        <v/>
      </c>
      <c r="H429" s="27" t="str">
        <f aca="false">IF(B429="","",IFERROR(INDEX(Jeux!$D$2:$D$3001,MATCH(B429,Jeux!$A$2:$A$3001,0))&amp;"",""))</f>
        <v/>
      </c>
      <c r="I429" s="26" t="str">
        <f aca="false">IF(A429="","",COUNTIF(Apparitions!$G$2:$G$5001,A429))</f>
        <v/>
      </c>
      <c r="J429" s="26" t="str">
        <f aca="false">IF(A429="","",COUNTIFS(Apparitions!$G$2:$G$5001,A429,Apparitions!$E$2:$E$5001,"○"))</f>
        <v/>
      </c>
      <c r="K429" s="29" t="str">
        <f aca="false">IF(A429="","",IFERROR(1/(1/_xlfn.MINIFS(Apparitions!$L$2:$L$5001,Apparitions!$G$2:$G$5001,A429)),""))</f>
        <v/>
      </c>
      <c r="L429" s="27" t="str">
        <f aca="false">IF(A429="","",A429&amp;" | "&amp;B429&amp;IF(C429="",""," ("&amp;C429&amp;")")&amp;IF(D429="",""," - "&amp;D429))</f>
        <v/>
      </c>
    </row>
    <row r="430" customFormat="false" ht="15" hidden="false" customHeight="false" outlineLevel="0" collapsed="false">
      <c r="A430" s="32"/>
      <c r="B430" s="19"/>
      <c r="C430" s="19"/>
      <c r="D430" s="19"/>
      <c r="E430" s="21"/>
      <c r="F430" s="19"/>
      <c r="G430" s="27" t="str">
        <f aca="false">IF(B430="","",IFERROR(INDEX(Jeux!$C$2:$C$3001,MATCH(B430,Jeux!$A$2:$A$3001,0))&amp;"","⚠ jeu inconnu"))</f>
        <v/>
      </c>
      <c r="H430" s="27" t="str">
        <f aca="false">IF(B430="","",IFERROR(INDEX(Jeux!$D$2:$D$3001,MATCH(B430,Jeux!$A$2:$A$3001,0))&amp;"",""))</f>
        <v/>
      </c>
      <c r="I430" s="26" t="str">
        <f aca="false">IF(A430="","",COUNTIF(Apparitions!$G$2:$G$5001,A430))</f>
        <v/>
      </c>
      <c r="J430" s="26" t="str">
        <f aca="false">IF(A430="","",COUNTIFS(Apparitions!$G$2:$G$5001,A430,Apparitions!$E$2:$E$5001,"○"))</f>
        <v/>
      </c>
      <c r="K430" s="29" t="str">
        <f aca="false">IF(A430="","",IFERROR(1/(1/_xlfn.MINIFS(Apparitions!$L$2:$L$5001,Apparitions!$G$2:$G$5001,A430)),""))</f>
        <v/>
      </c>
      <c r="L430" s="27" t="str">
        <f aca="false">IF(A430="","",A430&amp;" | "&amp;B430&amp;IF(C430="",""," ("&amp;C430&amp;")")&amp;IF(D430="",""," - "&amp;D430))</f>
        <v/>
      </c>
    </row>
    <row r="431" customFormat="false" ht="15" hidden="false" customHeight="false" outlineLevel="0" collapsed="false">
      <c r="A431" s="32"/>
      <c r="B431" s="19"/>
      <c r="C431" s="19"/>
      <c r="D431" s="19"/>
      <c r="E431" s="21"/>
      <c r="F431" s="19"/>
      <c r="G431" s="27" t="str">
        <f aca="false">IF(B431="","",IFERROR(INDEX(Jeux!$C$2:$C$3001,MATCH(B431,Jeux!$A$2:$A$3001,0))&amp;"","⚠ jeu inconnu"))</f>
        <v/>
      </c>
      <c r="H431" s="27" t="str">
        <f aca="false">IF(B431="","",IFERROR(INDEX(Jeux!$D$2:$D$3001,MATCH(B431,Jeux!$A$2:$A$3001,0))&amp;"",""))</f>
        <v/>
      </c>
      <c r="I431" s="26" t="str">
        <f aca="false">IF(A431="","",COUNTIF(Apparitions!$G$2:$G$5001,A431))</f>
        <v/>
      </c>
      <c r="J431" s="26" t="str">
        <f aca="false">IF(A431="","",COUNTIFS(Apparitions!$G$2:$G$5001,A431,Apparitions!$E$2:$E$5001,"○"))</f>
        <v/>
      </c>
      <c r="K431" s="29" t="str">
        <f aca="false">IF(A431="","",IFERROR(1/(1/_xlfn.MINIFS(Apparitions!$L$2:$L$5001,Apparitions!$G$2:$G$5001,A431)),""))</f>
        <v/>
      </c>
      <c r="L431" s="27" t="str">
        <f aca="false">IF(A431="","",A431&amp;" | "&amp;B431&amp;IF(C431="",""," ("&amp;C431&amp;")")&amp;IF(D431="",""," - "&amp;D431))</f>
        <v/>
      </c>
    </row>
    <row r="432" customFormat="false" ht="15" hidden="false" customHeight="false" outlineLevel="0" collapsed="false">
      <c r="A432" s="32"/>
      <c r="B432" s="19"/>
      <c r="C432" s="19"/>
      <c r="D432" s="19"/>
      <c r="E432" s="21"/>
      <c r="F432" s="19"/>
      <c r="G432" s="27" t="str">
        <f aca="false">IF(B432="","",IFERROR(INDEX(Jeux!$C$2:$C$3001,MATCH(B432,Jeux!$A$2:$A$3001,0))&amp;"","⚠ jeu inconnu"))</f>
        <v/>
      </c>
      <c r="H432" s="27" t="str">
        <f aca="false">IF(B432="","",IFERROR(INDEX(Jeux!$D$2:$D$3001,MATCH(B432,Jeux!$A$2:$A$3001,0))&amp;"",""))</f>
        <v/>
      </c>
      <c r="I432" s="26" t="str">
        <f aca="false">IF(A432="","",COUNTIF(Apparitions!$G$2:$G$5001,A432))</f>
        <v/>
      </c>
      <c r="J432" s="26" t="str">
        <f aca="false">IF(A432="","",COUNTIFS(Apparitions!$G$2:$G$5001,A432,Apparitions!$E$2:$E$5001,"○"))</f>
        <v/>
      </c>
      <c r="K432" s="29" t="str">
        <f aca="false">IF(A432="","",IFERROR(1/(1/_xlfn.MINIFS(Apparitions!$L$2:$L$5001,Apparitions!$G$2:$G$5001,A432)),""))</f>
        <v/>
      </c>
      <c r="L432" s="27" t="str">
        <f aca="false">IF(A432="","",A432&amp;" | "&amp;B432&amp;IF(C432="",""," ("&amp;C432&amp;")")&amp;IF(D432="",""," - "&amp;D432))</f>
        <v/>
      </c>
    </row>
    <row r="433" customFormat="false" ht="15" hidden="false" customHeight="false" outlineLevel="0" collapsed="false">
      <c r="A433" s="32"/>
      <c r="B433" s="19"/>
      <c r="C433" s="19"/>
      <c r="D433" s="19"/>
      <c r="E433" s="21"/>
      <c r="F433" s="19"/>
      <c r="G433" s="27" t="str">
        <f aca="false">IF(B433="","",IFERROR(INDEX(Jeux!$C$2:$C$3001,MATCH(B433,Jeux!$A$2:$A$3001,0))&amp;"","⚠ jeu inconnu"))</f>
        <v/>
      </c>
      <c r="H433" s="27" t="str">
        <f aca="false">IF(B433="","",IFERROR(INDEX(Jeux!$D$2:$D$3001,MATCH(B433,Jeux!$A$2:$A$3001,0))&amp;"",""))</f>
        <v/>
      </c>
      <c r="I433" s="26" t="str">
        <f aca="false">IF(A433="","",COUNTIF(Apparitions!$G$2:$G$5001,A433))</f>
        <v/>
      </c>
      <c r="J433" s="26" t="str">
        <f aca="false">IF(A433="","",COUNTIFS(Apparitions!$G$2:$G$5001,A433,Apparitions!$E$2:$E$5001,"○"))</f>
        <v/>
      </c>
      <c r="K433" s="29" t="str">
        <f aca="false">IF(A433="","",IFERROR(1/(1/_xlfn.MINIFS(Apparitions!$L$2:$L$5001,Apparitions!$G$2:$G$5001,A433)),""))</f>
        <v/>
      </c>
      <c r="L433" s="27" t="str">
        <f aca="false">IF(A433="","",A433&amp;" | "&amp;B433&amp;IF(C433="",""," ("&amp;C433&amp;")")&amp;IF(D433="",""," - "&amp;D433))</f>
        <v/>
      </c>
    </row>
    <row r="434" customFormat="false" ht="15" hidden="false" customHeight="false" outlineLevel="0" collapsed="false">
      <c r="A434" s="32"/>
      <c r="B434" s="19"/>
      <c r="C434" s="19"/>
      <c r="D434" s="19"/>
      <c r="E434" s="21"/>
      <c r="F434" s="19"/>
      <c r="G434" s="27" t="str">
        <f aca="false">IF(B434="","",IFERROR(INDEX(Jeux!$C$2:$C$3001,MATCH(B434,Jeux!$A$2:$A$3001,0))&amp;"","⚠ jeu inconnu"))</f>
        <v/>
      </c>
      <c r="H434" s="27" t="str">
        <f aca="false">IF(B434="","",IFERROR(INDEX(Jeux!$D$2:$D$3001,MATCH(B434,Jeux!$A$2:$A$3001,0))&amp;"",""))</f>
        <v/>
      </c>
      <c r="I434" s="26" t="str">
        <f aca="false">IF(A434="","",COUNTIF(Apparitions!$G$2:$G$5001,A434))</f>
        <v/>
      </c>
      <c r="J434" s="26" t="str">
        <f aca="false">IF(A434="","",COUNTIFS(Apparitions!$G$2:$G$5001,A434,Apparitions!$E$2:$E$5001,"○"))</f>
        <v/>
      </c>
      <c r="K434" s="29" t="str">
        <f aca="false">IF(A434="","",IFERROR(1/(1/_xlfn.MINIFS(Apparitions!$L$2:$L$5001,Apparitions!$G$2:$G$5001,A434)),""))</f>
        <v/>
      </c>
      <c r="L434" s="27" t="str">
        <f aca="false">IF(A434="","",A434&amp;" | "&amp;B434&amp;IF(C434="",""," ("&amp;C434&amp;")")&amp;IF(D434="",""," - "&amp;D434))</f>
        <v/>
      </c>
    </row>
    <row r="435" customFormat="false" ht="15" hidden="false" customHeight="false" outlineLevel="0" collapsed="false">
      <c r="A435" s="32"/>
      <c r="B435" s="19"/>
      <c r="C435" s="19"/>
      <c r="D435" s="19"/>
      <c r="E435" s="21"/>
      <c r="F435" s="19"/>
      <c r="G435" s="27" t="str">
        <f aca="false">IF(B435="","",IFERROR(INDEX(Jeux!$C$2:$C$3001,MATCH(B435,Jeux!$A$2:$A$3001,0))&amp;"","⚠ jeu inconnu"))</f>
        <v/>
      </c>
      <c r="H435" s="27" t="str">
        <f aca="false">IF(B435="","",IFERROR(INDEX(Jeux!$D$2:$D$3001,MATCH(B435,Jeux!$A$2:$A$3001,0))&amp;"",""))</f>
        <v/>
      </c>
      <c r="I435" s="26" t="str">
        <f aca="false">IF(A435="","",COUNTIF(Apparitions!$G$2:$G$5001,A435))</f>
        <v/>
      </c>
      <c r="J435" s="26" t="str">
        <f aca="false">IF(A435="","",COUNTIFS(Apparitions!$G$2:$G$5001,A435,Apparitions!$E$2:$E$5001,"○"))</f>
        <v/>
      </c>
      <c r="K435" s="29" t="str">
        <f aca="false">IF(A435="","",IFERROR(1/(1/_xlfn.MINIFS(Apparitions!$L$2:$L$5001,Apparitions!$G$2:$G$5001,A435)),""))</f>
        <v/>
      </c>
      <c r="L435" s="27" t="str">
        <f aca="false">IF(A435="","",A435&amp;" | "&amp;B435&amp;IF(C435="",""," ("&amp;C435&amp;")")&amp;IF(D435="",""," - "&amp;D435))</f>
        <v/>
      </c>
    </row>
    <row r="436" customFormat="false" ht="15" hidden="false" customHeight="false" outlineLevel="0" collapsed="false">
      <c r="A436" s="32"/>
      <c r="B436" s="19"/>
      <c r="C436" s="19"/>
      <c r="D436" s="19"/>
      <c r="E436" s="21"/>
      <c r="F436" s="19"/>
      <c r="G436" s="27" t="str">
        <f aca="false">IF(B436="","",IFERROR(INDEX(Jeux!$C$2:$C$3001,MATCH(B436,Jeux!$A$2:$A$3001,0))&amp;"","⚠ jeu inconnu"))</f>
        <v/>
      </c>
      <c r="H436" s="27" t="str">
        <f aca="false">IF(B436="","",IFERROR(INDEX(Jeux!$D$2:$D$3001,MATCH(B436,Jeux!$A$2:$A$3001,0))&amp;"",""))</f>
        <v/>
      </c>
      <c r="I436" s="26" t="str">
        <f aca="false">IF(A436="","",COUNTIF(Apparitions!$G$2:$G$5001,A436))</f>
        <v/>
      </c>
      <c r="J436" s="26" t="str">
        <f aca="false">IF(A436="","",COUNTIFS(Apparitions!$G$2:$G$5001,A436,Apparitions!$E$2:$E$5001,"○"))</f>
        <v/>
      </c>
      <c r="K436" s="29" t="str">
        <f aca="false">IF(A436="","",IFERROR(1/(1/_xlfn.MINIFS(Apparitions!$L$2:$L$5001,Apparitions!$G$2:$G$5001,A436)),""))</f>
        <v/>
      </c>
      <c r="L436" s="27" t="str">
        <f aca="false">IF(A436="","",A436&amp;" | "&amp;B436&amp;IF(C436="",""," ("&amp;C436&amp;")")&amp;IF(D436="",""," - "&amp;D436))</f>
        <v/>
      </c>
    </row>
    <row r="437" customFormat="false" ht="15" hidden="false" customHeight="false" outlineLevel="0" collapsed="false">
      <c r="A437" s="32"/>
      <c r="B437" s="19"/>
      <c r="C437" s="19"/>
      <c r="D437" s="19"/>
      <c r="E437" s="21"/>
      <c r="F437" s="19"/>
      <c r="G437" s="27" t="str">
        <f aca="false">IF(B437="","",IFERROR(INDEX(Jeux!$C$2:$C$3001,MATCH(B437,Jeux!$A$2:$A$3001,0))&amp;"","⚠ jeu inconnu"))</f>
        <v/>
      </c>
      <c r="H437" s="27" t="str">
        <f aca="false">IF(B437="","",IFERROR(INDEX(Jeux!$D$2:$D$3001,MATCH(B437,Jeux!$A$2:$A$3001,0))&amp;"",""))</f>
        <v/>
      </c>
      <c r="I437" s="26" t="str">
        <f aca="false">IF(A437="","",COUNTIF(Apparitions!$G$2:$G$5001,A437))</f>
        <v/>
      </c>
      <c r="J437" s="26" t="str">
        <f aca="false">IF(A437="","",COUNTIFS(Apparitions!$G$2:$G$5001,A437,Apparitions!$E$2:$E$5001,"○"))</f>
        <v/>
      </c>
      <c r="K437" s="29" t="str">
        <f aca="false">IF(A437="","",IFERROR(1/(1/_xlfn.MINIFS(Apparitions!$L$2:$L$5001,Apparitions!$G$2:$G$5001,A437)),""))</f>
        <v/>
      </c>
      <c r="L437" s="27" t="str">
        <f aca="false">IF(A437="","",A437&amp;" | "&amp;B437&amp;IF(C437="",""," ("&amp;C437&amp;")")&amp;IF(D437="",""," - "&amp;D437))</f>
        <v/>
      </c>
    </row>
    <row r="438" customFormat="false" ht="15" hidden="false" customHeight="false" outlineLevel="0" collapsed="false">
      <c r="A438" s="32"/>
      <c r="B438" s="19"/>
      <c r="C438" s="19"/>
      <c r="D438" s="19"/>
      <c r="E438" s="21"/>
      <c r="F438" s="19"/>
      <c r="G438" s="27" t="str">
        <f aca="false">IF(B438="","",IFERROR(INDEX(Jeux!$C$2:$C$3001,MATCH(B438,Jeux!$A$2:$A$3001,0))&amp;"","⚠ jeu inconnu"))</f>
        <v/>
      </c>
      <c r="H438" s="27" t="str">
        <f aca="false">IF(B438="","",IFERROR(INDEX(Jeux!$D$2:$D$3001,MATCH(B438,Jeux!$A$2:$A$3001,0))&amp;"",""))</f>
        <v/>
      </c>
      <c r="I438" s="26" t="str">
        <f aca="false">IF(A438="","",COUNTIF(Apparitions!$G$2:$G$5001,A438))</f>
        <v/>
      </c>
      <c r="J438" s="26" t="str">
        <f aca="false">IF(A438="","",COUNTIFS(Apparitions!$G$2:$G$5001,A438,Apparitions!$E$2:$E$5001,"○"))</f>
        <v/>
      </c>
      <c r="K438" s="29" t="str">
        <f aca="false">IF(A438="","",IFERROR(1/(1/_xlfn.MINIFS(Apparitions!$L$2:$L$5001,Apparitions!$G$2:$G$5001,A438)),""))</f>
        <v/>
      </c>
      <c r="L438" s="27" t="str">
        <f aca="false">IF(A438="","",A438&amp;" | "&amp;B438&amp;IF(C438="",""," ("&amp;C438&amp;")")&amp;IF(D438="",""," - "&amp;D438))</f>
        <v/>
      </c>
    </row>
    <row r="439" customFormat="false" ht="15" hidden="false" customHeight="false" outlineLevel="0" collapsed="false">
      <c r="A439" s="32"/>
      <c r="B439" s="19"/>
      <c r="C439" s="19"/>
      <c r="D439" s="19"/>
      <c r="E439" s="21"/>
      <c r="F439" s="19"/>
      <c r="G439" s="27" t="str">
        <f aca="false">IF(B439="","",IFERROR(INDEX(Jeux!$C$2:$C$3001,MATCH(B439,Jeux!$A$2:$A$3001,0))&amp;"","⚠ jeu inconnu"))</f>
        <v/>
      </c>
      <c r="H439" s="27" t="str">
        <f aca="false">IF(B439="","",IFERROR(INDEX(Jeux!$D$2:$D$3001,MATCH(B439,Jeux!$A$2:$A$3001,0))&amp;"",""))</f>
        <v/>
      </c>
      <c r="I439" s="26" t="str">
        <f aca="false">IF(A439="","",COUNTIF(Apparitions!$G$2:$G$5001,A439))</f>
        <v/>
      </c>
      <c r="J439" s="26" t="str">
        <f aca="false">IF(A439="","",COUNTIFS(Apparitions!$G$2:$G$5001,A439,Apparitions!$E$2:$E$5001,"○"))</f>
        <v/>
      </c>
      <c r="K439" s="29" t="str">
        <f aca="false">IF(A439="","",IFERROR(1/(1/_xlfn.MINIFS(Apparitions!$L$2:$L$5001,Apparitions!$G$2:$G$5001,A439)),""))</f>
        <v/>
      </c>
      <c r="L439" s="27" t="str">
        <f aca="false">IF(A439="","",A439&amp;" | "&amp;B439&amp;IF(C439="",""," ("&amp;C439&amp;")")&amp;IF(D439="",""," - "&amp;D439))</f>
        <v/>
      </c>
    </row>
    <row r="440" customFormat="false" ht="15" hidden="false" customHeight="false" outlineLevel="0" collapsed="false">
      <c r="A440" s="32"/>
      <c r="B440" s="19"/>
      <c r="C440" s="19"/>
      <c r="D440" s="19"/>
      <c r="E440" s="21"/>
      <c r="F440" s="19"/>
      <c r="G440" s="27" t="str">
        <f aca="false">IF(B440="","",IFERROR(INDEX(Jeux!$C$2:$C$3001,MATCH(B440,Jeux!$A$2:$A$3001,0))&amp;"","⚠ jeu inconnu"))</f>
        <v/>
      </c>
      <c r="H440" s="27" t="str">
        <f aca="false">IF(B440="","",IFERROR(INDEX(Jeux!$D$2:$D$3001,MATCH(B440,Jeux!$A$2:$A$3001,0))&amp;"",""))</f>
        <v/>
      </c>
      <c r="I440" s="26" t="str">
        <f aca="false">IF(A440="","",COUNTIF(Apparitions!$G$2:$G$5001,A440))</f>
        <v/>
      </c>
      <c r="J440" s="26" t="str">
        <f aca="false">IF(A440="","",COUNTIFS(Apparitions!$G$2:$G$5001,A440,Apparitions!$E$2:$E$5001,"○"))</f>
        <v/>
      </c>
      <c r="K440" s="29" t="str">
        <f aca="false">IF(A440="","",IFERROR(1/(1/_xlfn.MINIFS(Apparitions!$L$2:$L$5001,Apparitions!$G$2:$G$5001,A440)),""))</f>
        <v/>
      </c>
      <c r="L440" s="27" t="str">
        <f aca="false">IF(A440="","",A440&amp;" | "&amp;B440&amp;IF(C440="",""," ("&amp;C440&amp;")")&amp;IF(D440="",""," - "&amp;D440))</f>
        <v/>
      </c>
    </row>
    <row r="441" customFormat="false" ht="15" hidden="false" customHeight="false" outlineLevel="0" collapsed="false">
      <c r="A441" s="32"/>
      <c r="B441" s="19"/>
      <c r="C441" s="19"/>
      <c r="D441" s="19"/>
      <c r="E441" s="21"/>
      <c r="F441" s="19"/>
      <c r="G441" s="27" t="str">
        <f aca="false">IF(B441="","",IFERROR(INDEX(Jeux!$C$2:$C$3001,MATCH(B441,Jeux!$A$2:$A$3001,0))&amp;"","⚠ jeu inconnu"))</f>
        <v/>
      </c>
      <c r="H441" s="27" t="str">
        <f aca="false">IF(B441="","",IFERROR(INDEX(Jeux!$D$2:$D$3001,MATCH(B441,Jeux!$A$2:$A$3001,0))&amp;"",""))</f>
        <v/>
      </c>
      <c r="I441" s="26" t="str">
        <f aca="false">IF(A441="","",COUNTIF(Apparitions!$G$2:$G$5001,A441))</f>
        <v/>
      </c>
      <c r="J441" s="26" t="str">
        <f aca="false">IF(A441="","",COUNTIFS(Apparitions!$G$2:$G$5001,A441,Apparitions!$E$2:$E$5001,"○"))</f>
        <v/>
      </c>
      <c r="K441" s="29" t="str">
        <f aca="false">IF(A441="","",IFERROR(1/(1/_xlfn.MINIFS(Apparitions!$L$2:$L$5001,Apparitions!$G$2:$G$5001,A441)),""))</f>
        <v/>
      </c>
      <c r="L441" s="27" t="str">
        <f aca="false">IF(A441="","",A441&amp;" | "&amp;B441&amp;IF(C441="",""," ("&amp;C441&amp;")")&amp;IF(D441="",""," - "&amp;D441))</f>
        <v/>
      </c>
    </row>
    <row r="442" customFormat="false" ht="15" hidden="false" customHeight="false" outlineLevel="0" collapsed="false">
      <c r="A442" s="32"/>
      <c r="B442" s="19"/>
      <c r="C442" s="19"/>
      <c r="D442" s="19"/>
      <c r="E442" s="21"/>
      <c r="F442" s="19"/>
      <c r="G442" s="27" t="str">
        <f aca="false">IF(B442="","",IFERROR(INDEX(Jeux!$C$2:$C$3001,MATCH(B442,Jeux!$A$2:$A$3001,0))&amp;"","⚠ jeu inconnu"))</f>
        <v/>
      </c>
      <c r="H442" s="27" t="str">
        <f aca="false">IF(B442="","",IFERROR(INDEX(Jeux!$D$2:$D$3001,MATCH(B442,Jeux!$A$2:$A$3001,0))&amp;"",""))</f>
        <v/>
      </c>
      <c r="I442" s="26" t="str">
        <f aca="false">IF(A442="","",COUNTIF(Apparitions!$G$2:$G$5001,A442))</f>
        <v/>
      </c>
      <c r="J442" s="26" t="str">
        <f aca="false">IF(A442="","",COUNTIFS(Apparitions!$G$2:$G$5001,A442,Apparitions!$E$2:$E$5001,"○"))</f>
        <v/>
      </c>
      <c r="K442" s="29" t="str">
        <f aca="false">IF(A442="","",IFERROR(1/(1/_xlfn.MINIFS(Apparitions!$L$2:$L$5001,Apparitions!$G$2:$G$5001,A442)),""))</f>
        <v/>
      </c>
      <c r="L442" s="27" t="str">
        <f aca="false">IF(A442="","",A442&amp;" | "&amp;B442&amp;IF(C442="",""," ("&amp;C442&amp;")")&amp;IF(D442="",""," - "&amp;D442))</f>
        <v/>
      </c>
    </row>
    <row r="443" customFormat="false" ht="15" hidden="false" customHeight="false" outlineLevel="0" collapsed="false">
      <c r="A443" s="32"/>
      <c r="B443" s="19"/>
      <c r="C443" s="19"/>
      <c r="D443" s="19"/>
      <c r="E443" s="21"/>
      <c r="F443" s="19"/>
      <c r="G443" s="27" t="str">
        <f aca="false">IF(B443="","",IFERROR(INDEX(Jeux!$C$2:$C$3001,MATCH(B443,Jeux!$A$2:$A$3001,0))&amp;"","⚠ jeu inconnu"))</f>
        <v/>
      </c>
      <c r="H443" s="27" t="str">
        <f aca="false">IF(B443="","",IFERROR(INDEX(Jeux!$D$2:$D$3001,MATCH(B443,Jeux!$A$2:$A$3001,0))&amp;"",""))</f>
        <v/>
      </c>
      <c r="I443" s="26" t="str">
        <f aca="false">IF(A443="","",COUNTIF(Apparitions!$G$2:$G$5001,A443))</f>
        <v/>
      </c>
      <c r="J443" s="26" t="str">
        <f aca="false">IF(A443="","",COUNTIFS(Apparitions!$G$2:$G$5001,A443,Apparitions!$E$2:$E$5001,"○"))</f>
        <v/>
      </c>
      <c r="K443" s="29" t="str">
        <f aca="false">IF(A443="","",IFERROR(1/(1/_xlfn.MINIFS(Apparitions!$L$2:$L$5001,Apparitions!$G$2:$G$5001,A443)),""))</f>
        <v/>
      </c>
      <c r="L443" s="27" t="str">
        <f aca="false">IF(A443="","",A443&amp;" | "&amp;B443&amp;IF(C443="",""," ("&amp;C443&amp;")")&amp;IF(D443="",""," - "&amp;D443))</f>
        <v/>
      </c>
    </row>
    <row r="444" customFormat="false" ht="15" hidden="false" customHeight="false" outlineLevel="0" collapsed="false">
      <c r="A444" s="32"/>
      <c r="B444" s="19"/>
      <c r="C444" s="19"/>
      <c r="D444" s="19"/>
      <c r="E444" s="21"/>
      <c r="F444" s="19"/>
      <c r="G444" s="27" t="str">
        <f aca="false">IF(B444="","",IFERROR(INDEX(Jeux!$C$2:$C$3001,MATCH(B444,Jeux!$A$2:$A$3001,0))&amp;"","⚠ jeu inconnu"))</f>
        <v/>
      </c>
      <c r="H444" s="27" t="str">
        <f aca="false">IF(B444="","",IFERROR(INDEX(Jeux!$D$2:$D$3001,MATCH(B444,Jeux!$A$2:$A$3001,0))&amp;"",""))</f>
        <v/>
      </c>
      <c r="I444" s="26" t="str">
        <f aca="false">IF(A444="","",COUNTIF(Apparitions!$G$2:$G$5001,A444))</f>
        <v/>
      </c>
      <c r="J444" s="26" t="str">
        <f aca="false">IF(A444="","",COUNTIFS(Apparitions!$G$2:$G$5001,A444,Apparitions!$E$2:$E$5001,"○"))</f>
        <v/>
      </c>
      <c r="K444" s="29" t="str">
        <f aca="false">IF(A444="","",IFERROR(1/(1/_xlfn.MINIFS(Apparitions!$L$2:$L$5001,Apparitions!$G$2:$G$5001,A444)),""))</f>
        <v/>
      </c>
      <c r="L444" s="27" t="str">
        <f aca="false">IF(A444="","",A444&amp;" | "&amp;B444&amp;IF(C444="",""," ("&amp;C444&amp;")")&amp;IF(D444="",""," - "&amp;D444))</f>
        <v/>
      </c>
    </row>
    <row r="445" customFormat="false" ht="15" hidden="false" customHeight="false" outlineLevel="0" collapsed="false">
      <c r="A445" s="32"/>
      <c r="B445" s="19"/>
      <c r="C445" s="19"/>
      <c r="D445" s="19"/>
      <c r="E445" s="21"/>
      <c r="F445" s="19"/>
      <c r="G445" s="27" t="str">
        <f aca="false">IF(B445="","",IFERROR(INDEX(Jeux!$C$2:$C$3001,MATCH(B445,Jeux!$A$2:$A$3001,0))&amp;"","⚠ jeu inconnu"))</f>
        <v/>
      </c>
      <c r="H445" s="27" t="str">
        <f aca="false">IF(B445="","",IFERROR(INDEX(Jeux!$D$2:$D$3001,MATCH(B445,Jeux!$A$2:$A$3001,0))&amp;"",""))</f>
        <v/>
      </c>
      <c r="I445" s="26" t="str">
        <f aca="false">IF(A445="","",COUNTIF(Apparitions!$G$2:$G$5001,A445))</f>
        <v/>
      </c>
      <c r="J445" s="26" t="str">
        <f aca="false">IF(A445="","",COUNTIFS(Apparitions!$G$2:$G$5001,A445,Apparitions!$E$2:$E$5001,"○"))</f>
        <v/>
      </c>
      <c r="K445" s="29" t="str">
        <f aca="false">IF(A445="","",IFERROR(1/(1/_xlfn.MINIFS(Apparitions!$L$2:$L$5001,Apparitions!$G$2:$G$5001,A445)),""))</f>
        <v/>
      </c>
      <c r="L445" s="27" t="str">
        <f aca="false">IF(A445="","",A445&amp;" | "&amp;B445&amp;IF(C445="",""," ("&amp;C445&amp;")")&amp;IF(D445="",""," - "&amp;D445))</f>
        <v/>
      </c>
    </row>
    <row r="446" customFormat="false" ht="15" hidden="false" customHeight="false" outlineLevel="0" collapsed="false">
      <c r="A446" s="32"/>
      <c r="B446" s="19"/>
      <c r="C446" s="19"/>
      <c r="D446" s="19"/>
      <c r="E446" s="21"/>
      <c r="F446" s="19"/>
      <c r="G446" s="27" t="str">
        <f aca="false">IF(B446="","",IFERROR(INDEX(Jeux!$C$2:$C$3001,MATCH(B446,Jeux!$A$2:$A$3001,0))&amp;"","⚠ jeu inconnu"))</f>
        <v/>
      </c>
      <c r="H446" s="27" t="str">
        <f aca="false">IF(B446="","",IFERROR(INDEX(Jeux!$D$2:$D$3001,MATCH(B446,Jeux!$A$2:$A$3001,0))&amp;"",""))</f>
        <v/>
      </c>
      <c r="I446" s="26" t="str">
        <f aca="false">IF(A446="","",COUNTIF(Apparitions!$G$2:$G$5001,A446))</f>
        <v/>
      </c>
      <c r="J446" s="26" t="str">
        <f aca="false">IF(A446="","",COUNTIFS(Apparitions!$G$2:$G$5001,A446,Apparitions!$E$2:$E$5001,"○"))</f>
        <v/>
      </c>
      <c r="K446" s="29" t="str">
        <f aca="false">IF(A446="","",IFERROR(1/(1/_xlfn.MINIFS(Apparitions!$L$2:$L$5001,Apparitions!$G$2:$G$5001,A446)),""))</f>
        <v/>
      </c>
      <c r="L446" s="27" t="str">
        <f aca="false">IF(A446="","",A446&amp;" | "&amp;B446&amp;IF(C446="",""," ("&amp;C446&amp;")")&amp;IF(D446="",""," - "&amp;D446))</f>
        <v/>
      </c>
    </row>
    <row r="447" customFormat="false" ht="15" hidden="false" customHeight="false" outlineLevel="0" collapsed="false">
      <c r="A447" s="32"/>
      <c r="B447" s="19"/>
      <c r="C447" s="19"/>
      <c r="D447" s="19"/>
      <c r="E447" s="21"/>
      <c r="F447" s="19"/>
      <c r="G447" s="27" t="str">
        <f aca="false">IF(B447="","",IFERROR(INDEX(Jeux!$C$2:$C$3001,MATCH(B447,Jeux!$A$2:$A$3001,0))&amp;"","⚠ jeu inconnu"))</f>
        <v/>
      </c>
      <c r="H447" s="27" t="str">
        <f aca="false">IF(B447="","",IFERROR(INDEX(Jeux!$D$2:$D$3001,MATCH(B447,Jeux!$A$2:$A$3001,0))&amp;"",""))</f>
        <v/>
      </c>
      <c r="I447" s="26" t="str">
        <f aca="false">IF(A447="","",COUNTIF(Apparitions!$G$2:$G$5001,A447))</f>
        <v/>
      </c>
      <c r="J447" s="26" t="str">
        <f aca="false">IF(A447="","",COUNTIFS(Apparitions!$G$2:$G$5001,A447,Apparitions!$E$2:$E$5001,"○"))</f>
        <v/>
      </c>
      <c r="K447" s="29" t="str">
        <f aca="false">IF(A447="","",IFERROR(1/(1/_xlfn.MINIFS(Apparitions!$L$2:$L$5001,Apparitions!$G$2:$G$5001,A447)),""))</f>
        <v/>
      </c>
      <c r="L447" s="27" t="str">
        <f aca="false">IF(A447="","",A447&amp;" | "&amp;B447&amp;IF(C447="",""," ("&amp;C447&amp;")")&amp;IF(D447="",""," - "&amp;D447))</f>
        <v/>
      </c>
    </row>
    <row r="448" customFormat="false" ht="15" hidden="false" customHeight="false" outlineLevel="0" collapsed="false">
      <c r="A448" s="32"/>
      <c r="B448" s="19"/>
      <c r="C448" s="19"/>
      <c r="D448" s="19"/>
      <c r="E448" s="21"/>
      <c r="F448" s="19"/>
      <c r="G448" s="27" t="str">
        <f aca="false">IF(B448="","",IFERROR(INDEX(Jeux!$C$2:$C$3001,MATCH(B448,Jeux!$A$2:$A$3001,0))&amp;"","⚠ jeu inconnu"))</f>
        <v/>
      </c>
      <c r="H448" s="27" t="str">
        <f aca="false">IF(B448="","",IFERROR(INDEX(Jeux!$D$2:$D$3001,MATCH(B448,Jeux!$A$2:$A$3001,0))&amp;"",""))</f>
        <v/>
      </c>
      <c r="I448" s="26" t="str">
        <f aca="false">IF(A448="","",COUNTIF(Apparitions!$G$2:$G$5001,A448))</f>
        <v/>
      </c>
      <c r="J448" s="26" t="str">
        <f aca="false">IF(A448="","",COUNTIFS(Apparitions!$G$2:$G$5001,A448,Apparitions!$E$2:$E$5001,"○"))</f>
        <v/>
      </c>
      <c r="K448" s="29" t="str">
        <f aca="false">IF(A448="","",IFERROR(1/(1/_xlfn.MINIFS(Apparitions!$L$2:$L$5001,Apparitions!$G$2:$G$5001,A448)),""))</f>
        <v/>
      </c>
      <c r="L448" s="27" t="str">
        <f aca="false">IF(A448="","",A448&amp;" | "&amp;B448&amp;IF(C448="",""," ("&amp;C448&amp;")")&amp;IF(D448="",""," - "&amp;D448))</f>
        <v/>
      </c>
    </row>
    <row r="449" customFormat="false" ht="15" hidden="false" customHeight="false" outlineLevel="0" collapsed="false">
      <c r="A449" s="32"/>
      <c r="B449" s="19"/>
      <c r="C449" s="19"/>
      <c r="D449" s="19"/>
      <c r="E449" s="21"/>
      <c r="F449" s="19"/>
      <c r="G449" s="27" t="str">
        <f aca="false">IF(B449="","",IFERROR(INDEX(Jeux!$C$2:$C$3001,MATCH(B449,Jeux!$A$2:$A$3001,0))&amp;"","⚠ jeu inconnu"))</f>
        <v/>
      </c>
      <c r="H449" s="27" t="str">
        <f aca="false">IF(B449="","",IFERROR(INDEX(Jeux!$D$2:$D$3001,MATCH(B449,Jeux!$A$2:$A$3001,0))&amp;"",""))</f>
        <v/>
      </c>
      <c r="I449" s="26" t="str">
        <f aca="false">IF(A449="","",COUNTIF(Apparitions!$G$2:$G$5001,A449))</f>
        <v/>
      </c>
      <c r="J449" s="26" t="str">
        <f aca="false">IF(A449="","",COUNTIFS(Apparitions!$G$2:$G$5001,A449,Apparitions!$E$2:$E$5001,"○"))</f>
        <v/>
      </c>
      <c r="K449" s="29" t="str">
        <f aca="false">IF(A449="","",IFERROR(1/(1/_xlfn.MINIFS(Apparitions!$L$2:$L$5001,Apparitions!$G$2:$G$5001,A449)),""))</f>
        <v/>
      </c>
      <c r="L449" s="27" t="str">
        <f aca="false">IF(A449="","",A449&amp;" | "&amp;B449&amp;IF(C449="",""," ("&amp;C449&amp;")")&amp;IF(D449="",""," - "&amp;D449))</f>
        <v/>
      </c>
    </row>
    <row r="450" customFormat="false" ht="15" hidden="false" customHeight="false" outlineLevel="0" collapsed="false">
      <c r="A450" s="32"/>
      <c r="B450" s="19"/>
      <c r="C450" s="19"/>
      <c r="D450" s="19"/>
      <c r="E450" s="21"/>
      <c r="F450" s="19"/>
      <c r="G450" s="27" t="str">
        <f aca="false">IF(B450="","",IFERROR(INDEX(Jeux!$C$2:$C$3001,MATCH(B450,Jeux!$A$2:$A$3001,0))&amp;"","⚠ jeu inconnu"))</f>
        <v/>
      </c>
      <c r="H450" s="27" t="str">
        <f aca="false">IF(B450="","",IFERROR(INDEX(Jeux!$D$2:$D$3001,MATCH(B450,Jeux!$A$2:$A$3001,0))&amp;"",""))</f>
        <v/>
      </c>
      <c r="I450" s="26" t="str">
        <f aca="false">IF(A450="","",COUNTIF(Apparitions!$G$2:$G$5001,A450))</f>
        <v/>
      </c>
      <c r="J450" s="26" t="str">
        <f aca="false">IF(A450="","",COUNTIFS(Apparitions!$G$2:$G$5001,A450,Apparitions!$E$2:$E$5001,"○"))</f>
        <v/>
      </c>
      <c r="K450" s="29" t="str">
        <f aca="false">IF(A450="","",IFERROR(1/(1/_xlfn.MINIFS(Apparitions!$L$2:$L$5001,Apparitions!$G$2:$G$5001,A450)),""))</f>
        <v/>
      </c>
      <c r="L450" s="27" t="str">
        <f aca="false">IF(A450="","",A450&amp;" | "&amp;B450&amp;IF(C450="",""," ("&amp;C450&amp;")")&amp;IF(D450="",""," - "&amp;D450))</f>
        <v/>
      </c>
    </row>
    <row r="451" customFormat="false" ht="15" hidden="false" customHeight="false" outlineLevel="0" collapsed="false">
      <c r="A451" s="32"/>
      <c r="B451" s="19"/>
      <c r="C451" s="19"/>
      <c r="D451" s="19"/>
      <c r="E451" s="21"/>
      <c r="F451" s="19"/>
      <c r="G451" s="27" t="str">
        <f aca="false">IF(B451="","",IFERROR(INDEX(Jeux!$C$2:$C$3001,MATCH(B451,Jeux!$A$2:$A$3001,0))&amp;"","⚠ jeu inconnu"))</f>
        <v/>
      </c>
      <c r="H451" s="27" t="str">
        <f aca="false">IF(B451="","",IFERROR(INDEX(Jeux!$D$2:$D$3001,MATCH(B451,Jeux!$A$2:$A$3001,0))&amp;"",""))</f>
        <v/>
      </c>
      <c r="I451" s="26" t="str">
        <f aca="false">IF(A451="","",COUNTIF(Apparitions!$G$2:$G$5001,A451))</f>
        <v/>
      </c>
      <c r="J451" s="26" t="str">
        <f aca="false">IF(A451="","",COUNTIFS(Apparitions!$G$2:$G$5001,A451,Apparitions!$E$2:$E$5001,"○"))</f>
        <v/>
      </c>
      <c r="K451" s="29" t="str">
        <f aca="false">IF(A451="","",IFERROR(1/(1/_xlfn.MINIFS(Apparitions!$L$2:$L$5001,Apparitions!$G$2:$G$5001,A451)),""))</f>
        <v/>
      </c>
      <c r="L451" s="27" t="str">
        <f aca="false">IF(A451="","",A451&amp;" | "&amp;B451&amp;IF(C451="",""," ("&amp;C451&amp;")")&amp;IF(D451="",""," - "&amp;D451))</f>
        <v/>
      </c>
    </row>
    <row r="452" customFormat="false" ht="15" hidden="false" customHeight="false" outlineLevel="0" collapsed="false">
      <c r="A452" s="32"/>
      <c r="B452" s="19"/>
      <c r="C452" s="19"/>
      <c r="D452" s="19"/>
      <c r="E452" s="21"/>
      <c r="F452" s="19"/>
      <c r="G452" s="27" t="str">
        <f aca="false">IF(B452="","",IFERROR(INDEX(Jeux!$C$2:$C$3001,MATCH(B452,Jeux!$A$2:$A$3001,0))&amp;"","⚠ jeu inconnu"))</f>
        <v/>
      </c>
      <c r="H452" s="27" t="str">
        <f aca="false">IF(B452="","",IFERROR(INDEX(Jeux!$D$2:$D$3001,MATCH(B452,Jeux!$A$2:$A$3001,0))&amp;"",""))</f>
        <v/>
      </c>
      <c r="I452" s="26" t="str">
        <f aca="false">IF(A452="","",COUNTIF(Apparitions!$G$2:$G$5001,A452))</f>
        <v/>
      </c>
      <c r="J452" s="26" t="str">
        <f aca="false">IF(A452="","",COUNTIFS(Apparitions!$G$2:$G$5001,A452,Apparitions!$E$2:$E$5001,"○"))</f>
        <v/>
      </c>
      <c r="K452" s="29" t="str">
        <f aca="false">IF(A452="","",IFERROR(1/(1/_xlfn.MINIFS(Apparitions!$L$2:$L$5001,Apparitions!$G$2:$G$5001,A452)),""))</f>
        <v/>
      </c>
      <c r="L452" s="27" t="str">
        <f aca="false">IF(A452="","",A452&amp;" | "&amp;B452&amp;IF(C452="",""," ("&amp;C452&amp;")")&amp;IF(D452="",""," - "&amp;D452))</f>
        <v/>
      </c>
    </row>
    <row r="453" customFormat="false" ht="15" hidden="false" customHeight="false" outlineLevel="0" collapsed="false">
      <c r="A453" s="32"/>
      <c r="B453" s="19"/>
      <c r="C453" s="19"/>
      <c r="D453" s="19"/>
      <c r="E453" s="21"/>
      <c r="F453" s="19"/>
      <c r="G453" s="27" t="str">
        <f aca="false">IF(B453="","",IFERROR(INDEX(Jeux!$C$2:$C$3001,MATCH(B453,Jeux!$A$2:$A$3001,0))&amp;"","⚠ jeu inconnu"))</f>
        <v/>
      </c>
      <c r="H453" s="27" t="str">
        <f aca="false">IF(B453="","",IFERROR(INDEX(Jeux!$D$2:$D$3001,MATCH(B453,Jeux!$A$2:$A$3001,0))&amp;"",""))</f>
        <v/>
      </c>
      <c r="I453" s="26" t="str">
        <f aca="false">IF(A453="","",COUNTIF(Apparitions!$G$2:$G$5001,A453))</f>
        <v/>
      </c>
      <c r="J453" s="26" t="str">
        <f aca="false">IF(A453="","",COUNTIFS(Apparitions!$G$2:$G$5001,A453,Apparitions!$E$2:$E$5001,"○"))</f>
        <v/>
      </c>
      <c r="K453" s="29" t="str">
        <f aca="false">IF(A453="","",IFERROR(1/(1/_xlfn.MINIFS(Apparitions!$L$2:$L$5001,Apparitions!$G$2:$G$5001,A453)),""))</f>
        <v/>
      </c>
      <c r="L453" s="27" t="str">
        <f aca="false">IF(A453="","",A453&amp;" | "&amp;B453&amp;IF(C453="",""," ("&amp;C453&amp;")")&amp;IF(D453="",""," - "&amp;D453))</f>
        <v/>
      </c>
    </row>
    <row r="454" customFormat="false" ht="15" hidden="false" customHeight="false" outlineLevel="0" collapsed="false">
      <c r="A454" s="32"/>
      <c r="B454" s="19"/>
      <c r="C454" s="19"/>
      <c r="D454" s="19"/>
      <c r="E454" s="21"/>
      <c r="F454" s="19"/>
      <c r="G454" s="27" t="str">
        <f aca="false">IF(B454="","",IFERROR(INDEX(Jeux!$C$2:$C$3001,MATCH(B454,Jeux!$A$2:$A$3001,0))&amp;"","⚠ jeu inconnu"))</f>
        <v/>
      </c>
      <c r="H454" s="27" t="str">
        <f aca="false">IF(B454="","",IFERROR(INDEX(Jeux!$D$2:$D$3001,MATCH(B454,Jeux!$A$2:$A$3001,0))&amp;"",""))</f>
        <v/>
      </c>
      <c r="I454" s="26" t="str">
        <f aca="false">IF(A454="","",COUNTIF(Apparitions!$G$2:$G$5001,A454))</f>
        <v/>
      </c>
      <c r="J454" s="26" t="str">
        <f aca="false">IF(A454="","",COUNTIFS(Apparitions!$G$2:$G$5001,A454,Apparitions!$E$2:$E$5001,"○"))</f>
        <v/>
      </c>
      <c r="K454" s="29" t="str">
        <f aca="false">IF(A454="","",IFERROR(1/(1/_xlfn.MINIFS(Apparitions!$L$2:$L$5001,Apparitions!$G$2:$G$5001,A454)),""))</f>
        <v/>
      </c>
      <c r="L454" s="27" t="str">
        <f aca="false">IF(A454="","",A454&amp;" | "&amp;B454&amp;IF(C454="",""," ("&amp;C454&amp;")")&amp;IF(D454="",""," - "&amp;D454))</f>
        <v/>
      </c>
    </row>
    <row r="455" customFormat="false" ht="15" hidden="false" customHeight="false" outlineLevel="0" collapsed="false">
      <c r="A455" s="32"/>
      <c r="B455" s="19"/>
      <c r="C455" s="19"/>
      <c r="D455" s="19"/>
      <c r="E455" s="21"/>
      <c r="F455" s="19"/>
      <c r="G455" s="27" t="str">
        <f aca="false">IF(B455="","",IFERROR(INDEX(Jeux!$C$2:$C$3001,MATCH(B455,Jeux!$A$2:$A$3001,0))&amp;"","⚠ jeu inconnu"))</f>
        <v/>
      </c>
      <c r="H455" s="27" t="str">
        <f aca="false">IF(B455="","",IFERROR(INDEX(Jeux!$D$2:$D$3001,MATCH(B455,Jeux!$A$2:$A$3001,0))&amp;"",""))</f>
        <v/>
      </c>
      <c r="I455" s="26" t="str">
        <f aca="false">IF(A455="","",COUNTIF(Apparitions!$G$2:$G$5001,A455))</f>
        <v/>
      </c>
      <c r="J455" s="26" t="str">
        <f aca="false">IF(A455="","",COUNTIFS(Apparitions!$G$2:$G$5001,A455,Apparitions!$E$2:$E$5001,"○"))</f>
        <v/>
      </c>
      <c r="K455" s="29" t="str">
        <f aca="false">IF(A455="","",IFERROR(1/(1/_xlfn.MINIFS(Apparitions!$L$2:$L$5001,Apparitions!$G$2:$G$5001,A455)),""))</f>
        <v/>
      </c>
      <c r="L455" s="27" t="str">
        <f aca="false">IF(A455="","",A455&amp;" | "&amp;B455&amp;IF(C455="",""," ("&amp;C455&amp;")")&amp;IF(D455="",""," - "&amp;D455))</f>
        <v/>
      </c>
    </row>
    <row r="456" customFormat="false" ht="15" hidden="false" customHeight="false" outlineLevel="0" collapsed="false">
      <c r="A456" s="32"/>
      <c r="B456" s="19"/>
      <c r="C456" s="19"/>
      <c r="D456" s="19"/>
      <c r="E456" s="21"/>
      <c r="F456" s="19"/>
      <c r="G456" s="27" t="str">
        <f aca="false">IF(B456="","",IFERROR(INDEX(Jeux!$C$2:$C$3001,MATCH(B456,Jeux!$A$2:$A$3001,0))&amp;"","⚠ jeu inconnu"))</f>
        <v/>
      </c>
      <c r="H456" s="27" t="str">
        <f aca="false">IF(B456="","",IFERROR(INDEX(Jeux!$D$2:$D$3001,MATCH(B456,Jeux!$A$2:$A$3001,0))&amp;"",""))</f>
        <v/>
      </c>
      <c r="I456" s="26" t="str">
        <f aca="false">IF(A456="","",COUNTIF(Apparitions!$G$2:$G$5001,A456))</f>
        <v/>
      </c>
      <c r="J456" s="26" t="str">
        <f aca="false">IF(A456="","",COUNTIFS(Apparitions!$G$2:$G$5001,A456,Apparitions!$E$2:$E$5001,"○"))</f>
        <v/>
      </c>
      <c r="K456" s="29" t="str">
        <f aca="false">IF(A456="","",IFERROR(1/(1/_xlfn.MINIFS(Apparitions!$L$2:$L$5001,Apparitions!$G$2:$G$5001,A456)),""))</f>
        <v/>
      </c>
      <c r="L456" s="27" t="str">
        <f aca="false">IF(A456="","",A456&amp;" | "&amp;B456&amp;IF(C456="",""," ("&amp;C456&amp;")")&amp;IF(D456="",""," - "&amp;D456))</f>
        <v/>
      </c>
    </row>
    <row r="457" customFormat="false" ht="15" hidden="false" customHeight="false" outlineLevel="0" collapsed="false">
      <c r="A457" s="32"/>
      <c r="B457" s="19"/>
      <c r="C457" s="19"/>
      <c r="D457" s="19"/>
      <c r="E457" s="21"/>
      <c r="F457" s="19"/>
      <c r="G457" s="27" t="str">
        <f aca="false">IF(B457="","",IFERROR(INDEX(Jeux!$C$2:$C$3001,MATCH(B457,Jeux!$A$2:$A$3001,0))&amp;"","⚠ jeu inconnu"))</f>
        <v/>
      </c>
      <c r="H457" s="27" t="str">
        <f aca="false">IF(B457="","",IFERROR(INDEX(Jeux!$D$2:$D$3001,MATCH(B457,Jeux!$A$2:$A$3001,0))&amp;"",""))</f>
        <v/>
      </c>
      <c r="I457" s="26" t="str">
        <f aca="false">IF(A457="","",COUNTIF(Apparitions!$G$2:$G$5001,A457))</f>
        <v/>
      </c>
      <c r="J457" s="26" t="str">
        <f aca="false">IF(A457="","",COUNTIFS(Apparitions!$G$2:$G$5001,A457,Apparitions!$E$2:$E$5001,"○"))</f>
        <v/>
      </c>
      <c r="K457" s="29" t="str">
        <f aca="false">IF(A457="","",IFERROR(1/(1/_xlfn.MINIFS(Apparitions!$L$2:$L$5001,Apparitions!$G$2:$G$5001,A457)),""))</f>
        <v/>
      </c>
      <c r="L457" s="27" t="str">
        <f aca="false">IF(A457="","",A457&amp;" | "&amp;B457&amp;IF(C457="",""," ("&amp;C457&amp;")")&amp;IF(D457="",""," - "&amp;D457))</f>
        <v/>
      </c>
    </row>
    <row r="458" customFormat="false" ht="15" hidden="false" customHeight="false" outlineLevel="0" collapsed="false">
      <c r="A458" s="32"/>
      <c r="B458" s="19"/>
      <c r="C458" s="19"/>
      <c r="D458" s="19"/>
      <c r="E458" s="21"/>
      <c r="F458" s="19"/>
      <c r="G458" s="27" t="str">
        <f aca="false">IF(B458="","",IFERROR(INDEX(Jeux!$C$2:$C$3001,MATCH(B458,Jeux!$A$2:$A$3001,0))&amp;"","⚠ jeu inconnu"))</f>
        <v/>
      </c>
      <c r="H458" s="27" t="str">
        <f aca="false">IF(B458="","",IFERROR(INDEX(Jeux!$D$2:$D$3001,MATCH(B458,Jeux!$A$2:$A$3001,0))&amp;"",""))</f>
        <v/>
      </c>
      <c r="I458" s="26" t="str">
        <f aca="false">IF(A458="","",COUNTIF(Apparitions!$G$2:$G$5001,A458))</f>
        <v/>
      </c>
      <c r="J458" s="26" t="str">
        <f aca="false">IF(A458="","",COUNTIFS(Apparitions!$G$2:$G$5001,A458,Apparitions!$E$2:$E$5001,"○"))</f>
        <v/>
      </c>
      <c r="K458" s="29" t="str">
        <f aca="false">IF(A458="","",IFERROR(1/(1/_xlfn.MINIFS(Apparitions!$L$2:$L$5001,Apparitions!$G$2:$G$5001,A458)),""))</f>
        <v/>
      </c>
      <c r="L458" s="27" t="str">
        <f aca="false">IF(A458="","",A458&amp;" | "&amp;B458&amp;IF(C458="",""," ("&amp;C458&amp;")")&amp;IF(D458="",""," - "&amp;D458))</f>
        <v/>
      </c>
    </row>
    <row r="459" customFormat="false" ht="15" hidden="false" customHeight="false" outlineLevel="0" collapsed="false">
      <c r="A459" s="32"/>
      <c r="B459" s="19"/>
      <c r="C459" s="19"/>
      <c r="D459" s="19"/>
      <c r="E459" s="21"/>
      <c r="F459" s="19"/>
      <c r="G459" s="27" t="str">
        <f aca="false">IF(B459="","",IFERROR(INDEX(Jeux!$C$2:$C$3001,MATCH(B459,Jeux!$A$2:$A$3001,0))&amp;"","⚠ jeu inconnu"))</f>
        <v/>
      </c>
      <c r="H459" s="27" t="str">
        <f aca="false">IF(B459="","",IFERROR(INDEX(Jeux!$D$2:$D$3001,MATCH(B459,Jeux!$A$2:$A$3001,0))&amp;"",""))</f>
        <v/>
      </c>
      <c r="I459" s="26" t="str">
        <f aca="false">IF(A459="","",COUNTIF(Apparitions!$G$2:$G$5001,A459))</f>
        <v/>
      </c>
      <c r="J459" s="26" t="str">
        <f aca="false">IF(A459="","",COUNTIFS(Apparitions!$G$2:$G$5001,A459,Apparitions!$E$2:$E$5001,"○"))</f>
        <v/>
      </c>
      <c r="K459" s="29" t="str">
        <f aca="false">IF(A459="","",IFERROR(1/(1/_xlfn.MINIFS(Apparitions!$L$2:$L$5001,Apparitions!$G$2:$G$5001,A459)),""))</f>
        <v/>
      </c>
      <c r="L459" s="27" t="str">
        <f aca="false">IF(A459="","",A459&amp;" | "&amp;B459&amp;IF(C459="",""," ("&amp;C459&amp;")")&amp;IF(D459="",""," - "&amp;D459))</f>
        <v/>
      </c>
    </row>
    <row r="460" customFormat="false" ht="15" hidden="false" customHeight="false" outlineLevel="0" collapsed="false">
      <c r="A460" s="32"/>
      <c r="B460" s="19"/>
      <c r="C460" s="19"/>
      <c r="D460" s="19"/>
      <c r="E460" s="21"/>
      <c r="F460" s="19"/>
      <c r="G460" s="27" t="str">
        <f aca="false">IF(B460="","",IFERROR(INDEX(Jeux!$C$2:$C$3001,MATCH(B460,Jeux!$A$2:$A$3001,0))&amp;"","⚠ jeu inconnu"))</f>
        <v/>
      </c>
      <c r="H460" s="27" t="str">
        <f aca="false">IF(B460="","",IFERROR(INDEX(Jeux!$D$2:$D$3001,MATCH(B460,Jeux!$A$2:$A$3001,0))&amp;"",""))</f>
        <v/>
      </c>
      <c r="I460" s="26" t="str">
        <f aca="false">IF(A460="","",COUNTIF(Apparitions!$G$2:$G$5001,A460))</f>
        <v/>
      </c>
      <c r="J460" s="26" t="str">
        <f aca="false">IF(A460="","",COUNTIFS(Apparitions!$G$2:$G$5001,A460,Apparitions!$E$2:$E$5001,"○"))</f>
        <v/>
      </c>
      <c r="K460" s="29" t="str">
        <f aca="false">IF(A460="","",IFERROR(1/(1/_xlfn.MINIFS(Apparitions!$L$2:$L$5001,Apparitions!$G$2:$G$5001,A460)),""))</f>
        <v/>
      </c>
      <c r="L460" s="27" t="str">
        <f aca="false">IF(A460="","",A460&amp;" | "&amp;B460&amp;IF(C460="",""," ("&amp;C460&amp;")")&amp;IF(D460="",""," - "&amp;D460))</f>
        <v/>
      </c>
    </row>
    <row r="461" customFormat="false" ht="15" hidden="false" customHeight="false" outlineLevel="0" collapsed="false">
      <c r="A461" s="32"/>
      <c r="B461" s="19"/>
      <c r="C461" s="19"/>
      <c r="D461" s="19"/>
      <c r="E461" s="21"/>
      <c r="F461" s="19"/>
      <c r="G461" s="27" t="str">
        <f aca="false">IF(B461="","",IFERROR(INDEX(Jeux!$C$2:$C$3001,MATCH(B461,Jeux!$A$2:$A$3001,0))&amp;"","⚠ jeu inconnu"))</f>
        <v/>
      </c>
      <c r="H461" s="27" t="str">
        <f aca="false">IF(B461="","",IFERROR(INDEX(Jeux!$D$2:$D$3001,MATCH(B461,Jeux!$A$2:$A$3001,0))&amp;"",""))</f>
        <v/>
      </c>
      <c r="I461" s="26" t="str">
        <f aca="false">IF(A461="","",COUNTIF(Apparitions!$G$2:$G$5001,A461))</f>
        <v/>
      </c>
      <c r="J461" s="26" t="str">
        <f aca="false">IF(A461="","",COUNTIFS(Apparitions!$G$2:$G$5001,A461,Apparitions!$E$2:$E$5001,"○"))</f>
        <v/>
      </c>
      <c r="K461" s="29" t="str">
        <f aca="false">IF(A461="","",IFERROR(1/(1/_xlfn.MINIFS(Apparitions!$L$2:$L$5001,Apparitions!$G$2:$G$5001,A461)),""))</f>
        <v/>
      </c>
      <c r="L461" s="27" t="str">
        <f aca="false">IF(A461="","",A461&amp;" | "&amp;B461&amp;IF(C461="",""," ("&amp;C461&amp;")")&amp;IF(D461="",""," - "&amp;D461))</f>
        <v/>
      </c>
    </row>
    <row r="462" customFormat="false" ht="15" hidden="false" customHeight="false" outlineLevel="0" collapsed="false">
      <c r="A462" s="32"/>
      <c r="B462" s="19"/>
      <c r="C462" s="19"/>
      <c r="D462" s="19"/>
      <c r="E462" s="21"/>
      <c r="F462" s="19"/>
      <c r="G462" s="27" t="str">
        <f aca="false">IF(B462="","",IFERROR(INDEX(Jeux!$C$2:$C$3001,MATCH(B462,Jeux!$A$2:$A$3001,0))&amp;"","⚠ jeu inconnu"))</f>
        <v/>
      </c>
      <c r="H462" s="27" t="str">
        <f aca="false">IF(B462="","",IFERROR(INDEX(Jeux!$D$2:$D$3001,MATCH(B462,Jeux!$A$2:$A$3001,0))&amp;"",""))</f>
        <v/>
      </c>
      <c r="I462" s="26" t="str">
        <f aca="false">IF(A462="","",COUNTIF(Apparitions!$G$2:$G$5001,A462))</f>
        <v/>
      </c>
      <c r="J462" s="26" t="str">
        <f aca="false">IF(A462="","",COUNTIFS(Apparitions!$G$2:$G$5001,A462,Apparitions!$E$2:$E$5001,"○"))</f>
        <v/>
      </c>
      <c r="K462" s="29" t="str">
        <f aca="false">IF(A462="","",IFERROR(1/(1/_xlfn.MINIFS(Apparitions!$L$2:$L$5001,Apparitions!$G$2:$G$5001,A462)),""))</f>
        <v/>
      </c>
      <c r="L462" s="27" t="str">
        <f aca="false">IF(A462="","",A462&amp;" | "&amp;B462&amp;IF(C462="",""," ("&amp;C462&amp;")")&amp;IF(D462="",""," - "&amp;D462))</f>
        <v/>
      </c>
    </row>
    <row r="463" customFormat="false" ht="15" hidden="false" customHeight="false" outlineLevel="0" collapsed="false">
      <c r="A463" s="32"/>
      <c r="B463" s="19"/>
      <c r="C463" s="19"/>
      <c r="D463" s="19"/>
      <c r="E463" s="21"/>
      <c r="F463" s="19"/>
      <c r="G463" s="27" t="str">
        <f aca="false">IF(B463="","",IFERROR(INDEX(Jeux!$C$2:$C$3001,MATCH(B463,Jeux!$A$2:$A$3001,0))&amp;"","⚠ jeu inconnu"))</f>
        <v/>
      </c>
      <c r="H463" s="27" t="str">
        <f aca="false">IF(B463="","",IFERROR(INDEX(Jeux!$D$2:$D$3001,MATCH(B463,Jeux!$A$2:$A$3001,0))&amp;"",""))</f>
        <v/>
      </c>
      <c r="I463" s="26" t="str">
        <f aca="false">IF(A463="","",COUNTIF(Apparitions!$G$2:$G$5001,A463))</f>
        <v/>
      </c>
      <c r="J463" s="26" t="str">
        <f aca="false">IF(A463="","",COUNTIFS(Apparitions!$G$2:$G$5001,A463,Apparitions!$E$2:$E$5001,"○"))</f>
        <v/>
      </c>
      <c r="K463" s="29" t="str">
        <f aca="false">IF(A463="","",IFERROR(1/(1/_xlfn.MINIFS(Apparitions!$L$2:$L$5001,Apparitions!$G$2:$G$5001,A463)),""))</f>
        <v/>
      </c>
      <c r="L463" s="27" t="str">
        <f aca="false">IF(A463="","",A463&amp;" | "&amp;B463&amp;IF(C463="",""," ("&amp;C463&amp;")")&amp;IF(D463="",""," - "&amp;D463))</f>
        <v/>
      </c>
    </row>
    <row r="464" customFormat="false" ht="15" hidden="false" customHeight="false" outlineLevel="0" collapsed="false">
      <c r="A464" s="32"/>
      <c r="B464" s="19"/>
      <c r="C464" s="19"/>
      <c r="D464" s="19"/>
      <c r="E464" s="21"/>
      <c r="F464" s="19"/>
      <c r="G464" s="27" t="str">
        <f aca="false">IF(B464="","",IFERROR(INDEX(Jeux!$C$2:$C$3001,MATCH(B464,Jeux!$A$2:$A$3001,0))&amp;"","⚠ jeu inconnu"))</f>
        <v/>
      </c>
      <c r="H464" s="27" t="str">
        <f aca="false">IF(B464="","",IFERROR(INDEX(Jeux!$D$2:$D$3001,MATCH(B464,Jeux!$A$2:$A$3001,0))&amp;"",""))</f>
        <v/>
      </c>
      <c r="I464" s="26" t="str">
        <f aca="false">IF(A464="","",COUNTIF(Apparitions!$G$2:$G$5001,A464))</f>
        <v/>
      </c>
      <c r="J464" s="26" t="str">
        <f aca="false">IF(A464="","",COUNTIFS(Apparitions!$G$2:$G$5001,A464,Apparitions!$E$2:$E$5001,"○"))</f>
        <v/>
      </c>
      <c r="K464" s="29" t="str">
        <f aca="false">IF(A464="","",IFERROR(1/(1/_xlfn.MINIFS(Apparitions!$L$2:$L$5001,Apparitions!$G$2:$G$5001,A464)),""))</f>
        <v/>
      </c>
      <c r="L464" s="27" t="str">
        <f aca="false">IF(A464="","",A464&amp;" | "&amp;B464&amp;IF(C464="",""," ("&amp;C464&amp;")")&amp;IF(D464="",""," - "&amp;D464))</f>
        <v/>
      </c>
    </row>
    <row r="465" customFormat="false" ht="15" hidden="false" customHeight="false" outlineLevel="0" collapsed="false">
      <c r="A465" s="32"/>
      <c r="B465" s="19"/>
      <c r="C465" s="19"/>
      <c r="D465" s="19"/>
      <c r="E465" s="21"/>
      <c r="F465" s="19"/>
      <c r="G465" s="27" t="str">
        <f aca="false">IF(B465="","",IFERROR(INDEX(Jeux!$C$2:$C$3001,MATCH(B465,Jeux!$A$2:$A$3001,0))&amp;"","⚠ jeu inconnu"))</f>
        <v/>
      </c>
      <c r="H465" s="27" t="str">
        <f aca="false">IF(B465="","",IFERROR(INDEX(Jeux!$D$2:$D$3001,MATCH(B465,Jeux!$A$2:$A$3001,0))&amp;"",""))</f>
        <v/>
      </c>
      <c r="I465" s="26" t="str">
        <f aca="false">IF(A465="","",COUNTIF(Apparitions!$G$2:$G$5001,A465))</f>
        <v/>
      </c>
      <c r="J465" s="26" t="str">
        <f aca="false">IF(A465="","",COUNTIFS(Apparitions!$G$2:$G$5001,A465,Apparitions!$E$2:$E$5001,"○"))</f>
        <v/>
      </c>
      <c r="K465" s="29" t="str">
        <f aca="false">IF(A465="","",IFERROR(1/(1/_xlfn.MINIFS(Apparitions!$L$2:$L$5001,Apparitions!$G$2:$G$5001,A465)),""))</f>
        <v/>
      </c>
      <c r="L465" s="27" t="str">
        <f aca="false">IF(A465="","",A465&amp;" | "&amp;B465&amp;IF(C465="",""," ("&amp;C465&amp;")")&amp;IF(D465="",""," - "&amp;D465))</f>
        <v/>
      </c>
    </row>
    <row r="466" customFormat="false" ht="15" hidden="false" customHeight="false" outlineLevel="0" collapsed="false">
      <c r="A466" s="32"/>
      <c r="B466" s="19"/>
      <c r="C466" s="19"/>
      <c r="D466" s="19"/>
      <c r="E466" s="21"/>
      <c r="F466" s="19"/>
      <c r="G466" s="27" t="str">
        <f aca="false">IF(B466="","",IFERROR(INDEX(Jeux!$C$2:$C$3001,MATCH(B466,Jeux!$A$2:$A$3001,0))&amp;"","⚠ jeu inconnu"))</f>
        <v/>
      </c>
      <c r="H466" s="27" t="str">
        <f aca="false">IF(B466="","",IFERROR(INDEX(Jeux!$D$2:$D$3001,MATCH(B466,Jeux!$A$2:$A$3001,0))&amp;"",""))</f>
        <v/>
      </c>
      <c r="I466" s="26" t="str">
        <f aca="false">IF(A466="","",COUNTIF(Apparitions!$G$2:$G$5001,A466))</f>
        <v/>
      </c>
      <c r="J466" s="26" t="str">
        <f aca="false">IF(A466="","",COUNTIFS(Apparitions!$G$2:$G$5001,A466,Apparitions!$E$2:$E$5001,"○"))</f>
        <v/>
      </c>
      <c r="K466" s="29" t="str">
        <f aca="false">IF(A466="","",IFERROR(1/(1/_xlfn.MINIFS(Apparitions!$L$2:$L$5001,Apparitions!$G$2:$G$5001,A466)),""))</f>
        <v/>
      </c>
      <c r="L466" s="27" t="str">
        <f aca="false">IF(A466="","",A466&amp;" | "&amp;B466&amp;IF(C466="",""," ("&amp;C466&amp;")")&amp;IF(D466="",""," - "&amp;D466))</f>
        <v/>
      </c>
    </row>
    <row r="467" customFormat="false" ht="15" hidden="false" customHeight="false" outlineLevel="0" collapsed="false">
      <c r="A467" s="32"/>
      <c r="B467" s="19"/>
      <c r="C467" s="19"/>
      <c r="D467" s="19"/>
      <c r="E467" s="21"/>
      <c r="F467" s="19"/>
      <c r="G467" s="27" t="str">
        <f aca="false">IF(B467="","",IFERROR(INDEX(Jeux!$C$2:$C$3001,MATCH(B467,Jeux!$A$2:$A$3001,0))&amp;"","⚠ jeu inconnu"))</f>
        <v/>
      </c>
      <c r="H467" s="27" t="str">
        <f aca="false">IF(B467="","",IFERROR(INDEX(Jeux!$D$2:$D$3001,MATCH(B467,Jeux!$A$2:$A$3001,0))&amp;"",""))</f>
        <v/>
      </c>
      <c r="I467" s="26" t="str">
        <f aca="false">IF(A467="","",COUNTIF(Apparitions!$G$2:$G$5001,A467))</f>
        <v/>
      </c>
      <c r="J467" s="26" t="str">
        <f aca="false">IF(A467="","",COUNTIFS(Apparitions!$G$2:$G$5001,A467,Apparitions!$E$2:$E$5001,"○"))</f>
        <v/>
      </c>
      <c r="K467" s="29" t="str">
        <f aca="false">IF(A467="","",IFERROR(1/(1/_xlfn.MINIFS(Apparitions!$L$2:$L$5001,Apparitions!$G$2:$G$5001,A467)),""))</f>
        <v/>
      </c>
      <c r="L467" s="27" t="str">
        <f aca="false">IF(A467="","",A467&amp;" | "&amp;B467&amp;IF(C467="",""," ("&amp;C467&amp;")")&amp;IF(D467="",""," - "&amp;D467))</f>
        <v/>
      </c>
    </row>
    <row r="468" customFormat="false" ht="15" hidden="false" customHeight="false" outlineLevel="0" collapsed="false">
      <c r="A468" s="32"/>
      <c r="B468" s="19"/>
      <c r="C468" s="19"/>
      <c r="D468" s="19"/>
      <c r="E468" s="21"/>
      <c r="F468" s="19"/>
      <c r="G468" s="27" t="str">
        <f aca="false">IF(B468="","",IFERROR(INDEX(Jeux!$C$2:$C$3001,MATCH(B468,Jeux!$A$2:$A$3001,0))&amp;"","⚠ jeu inconnu"))</f>
        <v/>
      </c>
      <c r="H468" s="27" t="str">
        <f aca="false">IF(B468="","",IFERROR(INDEX(Jeux!$D$2:$D$3001,MATCH(B468,Jeux!$A$2:$A$3001,0))&amp;"",""))</f>
        <v/>
      </c>
      <c r="I468" s="26" t="str">
        <f aca="false">IF(A468="","",COUNTIF(Apparitions!$G$2:$G$5001,A468))</f>
        <v/>
      </c>
      <c r="J468" s="26" t="str">
        <f aca="false">IF(A468="","",COUNTIFS(Apparitions!$G$2:$G$5001,A468,Apparitions!$E$2:$E$5001,"○"))</f>
        <v/>
      </c>
      <c r="K468" s="29" t="str">
        <f aca="false">IF(A468="","",IFERROR(1/(1/_xlfn.MINIFS(Apparitions!$L$2:$L$5001,Apparitions!$G$2:$G$5001,A468)),""))</f>
        <v/>
      </c>
      <c r="L468" s="27" t="str">
        <f aca="false">IF(A468="","",A468&amp;" | "&amp;B468&amp;IF(C468="",""," ("&amp;C468&amp;")")&amp;IF(D468="",""," - "&amp;D468))</f>
        <v/>
      </c>
    </row>
    <row r="469" customFormat="false" ht="15" hidden="false" customHeight="false" outlineLevel="0" collapsed="false">
      <c r="A469" s="32"/>
      <c r="B469" s="19"/>
      <c r="C469" s="19"/>
      <c r="D469" s="19"/>
      <c r="E469" s="21"/>
      <c r="F469" s="19"/>
      <c r="G469" s="27" t="str">
        <f aca="false">IF(B469="","",IFERROR(INDEX(Jeux!$C$2:$C$3001,MATCH(B469,Jeux!$A$2:$A$3001,0))&amp;"","⚠ jeu inconnu"))</f>
        <v/>
      </c>
      <c r="H469" s="27" t="str">
        <f aca="false">IF(B469="","",IFERROR(INDEX(Jeux!$D$2:$D$3001,MATCH(B469,Jeux!$A$2:$A$3001,0))&amp;"",""))</f>
        <v/>
      </c>
      <c r="I469" s="26" t="str">
        <f aca="false">IF(A469="","",COUNTIF(Apparitions!$G$2:$G$5001,A469))</f>
        <v/>
      </c>
      <c r="J469" s="26" t="str">
        <f aca="false">IF(A469="","",COUNTIFS(Apparitions!$G$2:$G$5001,A469,Apparitions!$E$2:$E$5001,"○"))</f>
        <v/>
      </c>
      <c r="K469" s="29" t="str">
        <f aca="false">IF(A469="","",IFERROR(1/(1/_xlfn.MINIFS(Apparitions!$L$2:$L$5001,Apparitions!$G$2:$G$5001,A469)),""))</f>
        <v/>
      </c>
      <c r="L469" s="27" t="str">
        <f aca="false">IF(A469="","",A469&amp;" | "&amp;B469&amp;IF(C469="",""," ("&amp;C469&amp;")")&amp;IF(D469="",""," - "&amp;D469))</f>
        <v/>
      </c>
    </row>
    <row r="470" customFormat="false" ht="15" hidden="false" customHeight="false" outlineLevel="0" collapsed="false">
      <c r="A470" s="32"/>
      <c r="B470" s="19"/>
      <c r="C470" s="19"/>
      <c r="D470" s="19"/>
      <c r="E470" s="21"/>
      <c r="F470" s="19"/>
      <c r="G470" s="27" t="str">
        <f aca="false">IF(B470="","",IFERROR(INDEX(Jeux!$C$2:$C$3001,MATCH(B470,Jeux!$A$2:$A$3001,0))&amp;"","⚠ jeu inconnu"))</f>
        <v/>
      </c>
      <c r="H470" s="27" t="str">
        <f aca="false">IF(B470="","",IFERROR(INDEX(Jeux!$D$2:$D$3001,MATCH(B470,Jeux!$A$2:$A$3001,0))&amp;"",""))</f>
        <v/>
      </c>
      <c r="I470" s="26" t="str">
        <f aca="false">IF(A470="","",COUNTIF(Apparitions!$G$2:$G$5001,A470))</f>
        <v/>
      </c>
      <c r="J470" s="26" t="str">
        <f aca="false">IF(A470="","",COUNTIFS(Apparitions!$G$2:$G$5001,A470,Apparitions!$E$2:$E$5001,"○"))</f>
        <v/>
      </c>
      <c r="K470" s="29" t="str">
        <f aca="false">IF(A470="","",IFERROR(1/(1/_xlfn.MINIFS(Apparitions!$L$2:$L$5001,Apparitions!$G$2:$G$5001,A470)),""))</f>
        <v/>
      </c>
      <c r="L470" s="27" t="str">
        <f aca="false">IF(A470="","",A470&amp;" | "&amp;B470&amp;IF(C470="",""," ("&amp;C470&amp;")")&amp;IF(D470="",""," - "&amp;D470))</f>
        <v/>
      </c>
    </row>
    <row r="471" customFormat="false" ht="15" hidden="false" customHeight="false" outlineLevel="0" collapsed="false">
      <c r="A471" s="32"/>
      <c r="B471" s="19"/>
      <c r="C471" s="19"/>
      <c r="D471" s="19"/>
      <c r="E471" s="21"/>
      <c r="F471" s="19"/>
      <c r="G471" s="27" t="str">
        <f aca="false">IF(B471="","",IFERROR(INDEX(Jeux!$C$2:$C$3001,MATCH(B471,Jeux!$A$2:$A$3001,0))&amp;"","⚠ jeu inconnu"))</f>
        <v/>
      </c>
      <c r="H471" s="27" t="str">
        <f aca="false">IF(B471="","",IFERROR(INDEX(Jeux!$D$2:$D$3001,MATCH(B471,Jeux!$A$2:$A$3001,0))&amp;"",""))</f>
        <v/>
      </c>
      <c r="I471" s="26" t="str">
        <f aca="false">IF(A471="","",COUNTIF(Apparitions!$G$2:$G$5001,A471))</f>
        <v/>
      </c>
      <c r="J471" s="26" t="str">
        <f aca="false">IF(A471="","",COUNTIFS(Apparitions!$G$2:$G$5001,A471,Apparitions!$E$2:$E$5001,"○"))</f>
        <v/>
      </c>
      <c r="K471" s="29" t="str">
        <f aca="false">IF(A471="","",IFERROR(1/(1/_xlfn.MINIFS(Apparitions!$L$2:$L$5001,Apparitions!$G$2:$G$5001,A471)),""))</f>
        <v/>
      </c>
      <c r="L471" s="27" t="str">
        <f aca="false">IF(A471="","",A471&amp;" | "&amp;B471&amp;IF(C471="",""," ("&amp;C471&amp;")")&amp;IF(D471="",""," - "&amp;D471))</f>
        <v/>
      </c>
    </row>
    <row r="472" customFormat="false" ht="15" hidden="false" customHeight="false" outlineLevel="0" collapsed="false">
      <c r="A472" s="32"/>
      <c r="B472" s="19"/>
      <c r="C472" s="19"/>
      <c r="D472" s="19"/>
      <c r="E472" s="21"/>
      <c r="F472" s="19"/>
      <c r="G472" s="27" t="str">
        <f aca="false">IF(B472="","",IFERROR(INDEX(Jeux!$C$2:$C$3001,MATCH(B472,Jeux!$A$2:$A$3001,0))&amp;"","⚠ jeu inconnu"))</f>
        <v/>
      </c>
      <c r="H472" s="27" t="str">
        <f aca="false">IF(B472="","",IFERROR(INDEX(Jeux!$D$2:$D$3001,MATCH(B472,Jeux!$A$2:$A$3001,0))&amp;"",""))</f>
        <v/>
      </c>
      <c r="I472" s="26" t="str">
        <f aca="false">IF(A472="","",COUNTIF(Apparitions!$G$2:$G$5001,A472))</f>
        <v/>
      </c>
      <c r="J472" s="26" t="str">
        <f aca="false">IF(A472="","",COUNTIFS(Apparitions!$G$2:$G$5001,A472,Apparitions!$E$2:$E$5001,"○"))</f>
        <v/>
      </c>
      <c r="K472" s="29" t="str">
        <f aca="false">IF(A472="","",IFERROR(1/(1/_xlfn.MINIFS(Apparitions!$L$2:$L$5001,Apparitions!$G$2:$G$5001,A472)),""))</f>
        <v/>
      </c>
      <c r="L472" s="27" t="str">
        <f aca="false">IF(A472="","",A472&amp;" | "&amp;B472&amp;IF(C472="",""," ("&amp;C472&amp;")")&amp;IF(D472="",""," - "&amp;D472))</f>
        <v/>
      </c>
    </row>
    <row r="473" customFormat="false" ht="15" hidden="false" customHeight="false" outlineLevel="0" collapsed="false">
      <c r="A473" s="32"/>
      <c r="B473" s="19"/>
      <c r="C473" s="19"/>
      <c r="D473" s="19"/>
      <c r="E473" s="21"/>
      <c r="F473" s="19"/>
      <c r="G473" s="27" t="str">
        <f aca="false">IF(B473="","",IFERROR(INDEX(Jeux!$C$2:$C$3001,MATCH(B473,Jeux!$A$2:$A$3001,0))&amp;"","⚠ jeu inconnu"))</f>
        <v/>
      </c>
      <c r="H473" s="27" t="str">
        <f aca="false">IF(B473="","",IFERROR(INDEX(Jeux!$D$2:$D$3001,MATCH(B473,Jeux!$A$2:$A$3001,0))&amp;"",""))</f>
        <v/>
      </c>
      <c r="I473" s="26" t="str">
        <f aca="false">IF(A473="","",COUNTIF(Apparitions!$G$2:$G$5001,A473))</f>
        <v/>
      </c>
      <c r="J473" s="26" t="str">
        <f aca="false">IF(A473="","",COUNTIFS(Apparitions!$G$2:$G$5001,A473,Apparitions!$E$2:$E$5001,"○"))</f>
        <v/>
      </c>
      <c r="K473" s="29" t="str">
        <f aca="false">IF(A473="","",IFERROR(1/(1/_xlfn.MINIFS(Apparitions!$L$2:$L$5001,Apparitions!$G$2:$G$5001,A473)),""))</f>
        <v/>
      </c>
      <c r="L473" s="27" t="str">
        <f aca="false">IF(A473="","",A473&amp;" | "&amp;B473&amp;IF(C473="",""," ("&amp;C473&amp;")")&amp;IF(D473="",""," - "&amp;D473))</f>
        <v/>
      </c>
    </row>
    <row r="474" customFormat="false" ht="15" hidden="false" customHeight="false" outlineLevel="0" collapsed="false">
      <c r="A474" s="32"/>
      <c r="B474" s="19"/>
      <c r="C474" s="19"/>
      <c r="D474" s="19"/>
      <c r="E474" s="21"/>
      <c r="F474" s="19"/>
      <c r="G474" s="27" t="str">
        <f aca="false">IF(B474="","",IFERROR(INDEX(Jeux!$C$2:$C$3001,MATCH(B474,Jeux!$A$2:$A$3001,0))&amp;"","⚠ jeu inconnu"))</f>
        <v/>
      </c>
      <c r="H474" s="27" t="str">
        <f aca="false">IF(B474="","",IFERROR(INDEX(Jeux!$D$2:$D$3001,MATCH(B474,Jeux!$A$2:$A$3001,0))&amp;"",""))</f>
        <v/>
      </c>
      <c r="I474" s="26" t="str">
        <f aca="false">IF(A474="","",COUNTIF(Apparitions!$G$2:$G$5001,A474))</f>
        <v/>
      </c>
      <c r="J474" s="26" t="str">
        <f aca="false">IF(A474="","",COUNTIFS(Apparitions!$G$2:$G$5001,A474,Apparitions!$E$2:$E$5001,"○"))</f>
        <v/>
      </c>
      <c r="K474" s="29" t="str">
        <f aca="false">IF(A474="","",IFERROR(1/(1/_xlfn.MINIFS(Apparitions!$L$2:$L$5001,Apparitions!$G$2:$G$5001,A474)),""))</f>
        <v/>
      </c>
      <c r="L474" s="27" t="str">
        <f aca="false">IF(A474="","",A474&amp;" | "&amp;B474&amp;IF(C474="",""," ("&amp;C474&amp;")")&amp;IF(D474="",""," - "&amp;D474))</f>
        <v/>
      </c>
    </row>
    <row r="475" customFormat="false" ht="15" hidden="false" customHeight="false" outlineLevel="0" collapsed="false">
      <c r="A475" s="32"/>
      <c r="B475" s="19"/>
      <c r="C475" s="19"/>
      <c r="D475" s="19"/>
      <c r="E475" s="21"/>
      <c r="F475" s="19"/>
      <c r="G475" s="27" t="str">
        <f aca="false">IF(B475="","",IFERROR(INDEX(Jeux!$C$2:$C$3001,MATCH(B475,Jeux!$A$2:$A$3001,0))&amp;"","⚠ jeu inconnu"))</f>
        <v/>
      </c>
      <c r="H475" s="27" t="str">
        <f aca="false">IF(B475="","",IFERROR(INDEX(Jeux!$D$2:$D$3001,MATCH(B475,Jeux!$A$2:$A$3001,0))&amp;"",""))</f>
        <v/>
      </c>
      <c r="I475" s="26" t="str">
        <f aca="false">IF(A475="","",COUNTIF(Apparitions!$G$2:$G$5001,A475))</f>
        <v/>
      </c>
      <c r="J475" s="26" t="str">
        <f aca="false">IF(A475="","",COUNTIFS(Apparitions!$G$2:$G$5001,A475,Apparitions!$E$2:$E$5001,"○"))</f>
        <v/>
      </c>
      <c r="K475" s="29" t="str">
        <f aca="false">IF(A475="","",IFERROR(1/(1/_xlfn.MINIFS(Apparitions!$L$2:$L$5001,Apparitions!$G$2:$G$5001,A475)),""))</f>
        <v/>
      </c>
      <c r="L475" s="27" t="str">
        <f aca="false">IF(A475="","",A475&amp;" | "&amp;B475&amp;IF(C475="",""," ("&amp;C475&amp;")")&amp;IF(D475="",""," - "&amp;D475))</f>
        <v/>
      </c>
    </row>
    <row r="476" customFormat="false" ht="15" hidden="false" customHeight="false" outlineLevel="0" collapsed="false">
      <c r="A476" s="32"/>
      <c r="B476" s="19"/>
      <c r="C476" s="19"/>
      <c r="D476" s="19"/>
      <c r="E476" s="21"/>
      <c r="F476" s="19"/>
      <c r="G476" s="27" t="str">
        <f aca="false">IF(B476="","",IFERROR(INDEX(Jeux!$C$2:$C$3001,MATCH(B476,Jeux!$A$2:$A$3001,0))&amp;"","⚠ jeu inconnu"))</f>
        <v/>
      </c>
      <c r="H476" s="27" t="str">
        <f aca="false">IF(B476="","",IFERROR(INDEX(Jeux!$D$2:$D$3001,MATCH(B476,Jeux!$A$2:$A$3001,0))&amp;"",""))</f>
        <v/>
      </c>
      <c r="I476" s="26" t="str">
        <f aca="false">IF(A476="","",COUNTIF(Apparitions!$G$2:$G$5001,A476))</f>
        <v/>
      </c>
      <c r="J476" s="26" t="str">
        <f aca="false">IF(A476="","",COUNTIFS(Apparitions!$G$2:$G$5001,A476,Apparitions!$E$2:$E$5001,"○"))</f>
        <v/>
      </c>
      <c r="K476" s="29" t="str">
        <f aca="false">IF(A476="","",IFERROR(1/(1/_xlfn.MINIFS(Apparitions!$L$2:$L$5001,Apparitions!$G$2:$G$5001,A476)),""))</f>
        <v/>
      </c>
      <c r="L476" s="27" t="str">
        <f aca="false">IF(A476="","",A476&amp;" | "&amp;B476&amp;IF(C476="",""," ("&amp;C476&amp;")")&amp;IF(D476="",""," - "&amp;D476))</f>
        <v/>
      </c>
    </row>
    <row r="477" customFormat="false" ht="15" hidden="false" customHeight="false" outlineLevel="0" collapsed="false">
      <c r="A477" s="32"/>
      <c r="B477" s="19"/>
      <c r="C477" s="19"/>
      <c r="D477" s="19"/>
      <c r="E477" s="21"/>
      <c r="F477" s="19"/>
      <c r="G477" s="27" t="str">
        <f aca="false">IF(B477="","",IFERROR(INDEX(Jeux!$C$2:$C$3001,MATCH(B477,Jeux!$A$2:$A$3001,0))&amp;"","⚠ jeu inconnu"))</f>
        <v/>
      </c>
      <c r="H477" s="27" t="str">
        <f aca="false">IF(B477="","",IFERROR(INDEX(Jeux!$D$2:$D$3001,MATCH(B477,Jeux!$A$2:$A$3001,0))&amp;"",""))</f>
        <v/>
      </c>
      <c r="I477" s="26" t="str">
        <f aca="false">IF(A477="","",COUNTIF(Apparitions!$G$2:$G$5001,A477))</f>
        <v/>
      </c>
      <c r="J477" s="26" t="str">
        <f aca="false">IF(A477="","",COUNTIFS(Apparitions!$G$2:$G$5001,A477,Apparitions!$E$2:$E$5001,"○"))</f>
        <v/>
      </c>
      <c r="K477" s="29" t="str">
        <f aca="false">IF(A477="","",IFERROR(1/(1/_xlfn.MINIFS(Apparitions!$L$2:$L$5001,Apparitions!$G$2:$G$5001,A477)),""))</f>
        <v/>
      </c>
      <c r="L477" s="27" t="str">
        <f aca="false">IF(A477="","",A477&amp;" | "&amp;B477&amp;IF(C477="",""," ("&amp;C477&amp;")")&amp;IF(D477="",""," - "&amp;D477))</f>
        <v/>
      </c>
    </row>
    <row r="478" customFormat="false" ht="15" hidden="false" customHeight="false" outlineLevel="0" collapsed="false">
      <c r="A478" s="32"/>
      <c r="B478" s="19"/>
      <c r="C478" s="19"/>
      <c r="D478" s="19"/>
      <c r="E478" s="21"/>
      <c r="F478" s="19"/>
      <c r="G478" s="27" t="str">
        <f aca="false">IF(B478="","",IFERROR(INDEX(Jeux!$C$2:$C$3001,MATCH(B478,Jeux!$A$2:$A$3001,0))&amp;"","⚠ jeu inconnu"))</f>
        <v/>
      </c>
      <c r="H478" s="27" t="str">
        <f aca="false">IF(B478="","",IFERROR(INDEX(Jeux!$D$2:$D$3001,MATCH(B478,Jeux!$A$2:$A$3001,0))&amp;"",""))</f>
        <v/>
      </c>
      <c r="I478" s="26" t="str">
        <f aca="false">IF(A478="","",COUNTIF(Apparitions!$G$2:$G$5001,A478))</f>
        <v/>
      </c>
      <c r="J478" s="26" t="str">
        <f aca="false">IF(A478="","",COUNTIFS(Apparitions!$G$2:$G$5001,A478,Apparitions!$E$2:$E$5001,"○"))</f>
        <v/>
      </c>
      <c r="K478" s="29" t="str">
        <f aca="false">IF(A478="","",IFERROR(1/(1/_xlfn.MINIFS(Apparitions!$L$2:$L$5001,Apparitions!$G$2:$G$5001,A478)),""))</f>
        <v/>
      </c>
      <c r="L478" s="27" t="str">
        <f aca="false">IF(A478="","",A478&amp;" | "&amp;B478&amp;IF(C478="",""," ("&amp;C478&amp;")")&amp;IF(D478="",""," - "&amp;D478))</f>
        <v/>
      </c>
    </row>
    <row r="479" customFormat="false" ht="15" hidden="false" customHeight="false" outlineLevel="0" collapsed="false">
      <c r="A479" s="32"/>
      <c r="B479" s="19"/>
      <c r="C479" s="19"/>
      <c r="D479" s="19"/>
      <c r="E479" s="21"/>
      <c r="F479" s="19"/>
      <c r="G479" s="27" t="str">
        <f aca="false">IF(B479="","",IFERROR(INDEX(Jeux!$C$2:$C$3001,MATCH(B479,Jeux!$A$2:$A$3001,0))&amp;"","⚠ jeu inconnu"))</f>
        <v/>
      </c>
      <c r="H479" s="27" t="str">
        <f aca="false">IF(B479="","",IFERROR(INDEX(Jeux!$D$2:$D$3001,MATCH(B479,Jeux!$A$2:$A$3001,0))&amp;"",""))</f>
        <v/>
      </c>
      <c r="I479" s="26" t="str">
        <f aca="false">IF(A479="","",COUNTIF(Apparitions!$G$2:$G$5001,A479))</f>
        <v/>
      </c>
      <c r="J479" s="26" t="str">
        <f aca="false">IF(A479="","",COUNTIFS(Apparitions!$G$2:$G$5001,A479,Apparitions!$E$2:$E$5001,"○"))</f>
        <v/>
      </c>
      <c r="K479" s="29" t="str">
        <f aca="false">IF(A479="","",IFERROR(1/(1/_xlfn.MINIFS(Apparitions!$L$2:$L$5001,Apparitions!$G$2:$G$5001,A479)),""))</f>
        <v/>
      </c>
      <c r="L479" s="27" t="str">
        <f aca="false">IF(A479="","",A479&amp;" | "&amp;B479&amp;IF(C479="",""," ("&amp;C479&amp;")")&amp;IF(D479="",""," - "&amp;D479))</f>
        <v/>
      </c>
    </row>
    <row r="480" customFormat="false" ht="15" hidden="false" customHeight="false" outlineLevel="0" collapsed="false">
      <c r="A480" s="32"/>
      <c r="B480" s="19"/>
      <c r="C480" s="19"/>
      <c r="D480" s="19"/>
      <c r="E480" s="21"/>
      <c r="F480" s="19"/>
      <c r="G480" s="27" t="str">
        <f aca="false">IF(B480="","",IFERROR(INDEX(Jeux!$C$2:$C$3001,MATCH(B480,Jeux!$A$2:$A$3001,0))&amp;"","⚠ jeu inconnu"))</f>
        <v/>
      </c>
      <c r="H480" s="27" t="str">
        <f aca="false">IF(B480="","",IFERROR(INDEX(Jeux!$D$2:$D$3001,MATCH(B480,Jeux!$A$2:$A$3001,0))&amp;"",""))</f>
        <v/>
      </c>
      <c r="I480" s="26" t="str">
        <f aca="false">IF(A480="","",COUNTIF(Apparitions!$G$2:$G$5001,A480))</f>
        <v/>
      </c>
      <c r="J480" s="26" t="str">
        <f aca="false">IF(A480="","",COUNTIFS(Apparitions!$G$2:$G$5001,A480,Apparitions!$E$2:$E$5001,"○"))</f>
        <v/>
      </c>
      <c r="K480" s="29" t="str">
        <f aca="false">IF(A480="","",IFERROR(1/(1/_xlfn.MINIFS(Apparitions!$L$2:$L$5001,Apparitions!$G$2:$G$5001,A480)),""))</f>
        <v/>
      </c>
      <c r="L480" s="27" t="str">
        <f aca="false">IF(A480="","",A480&amp;" | "&amp;B480&amp;IF(C480="",""," ("&amp;C480&amp;")")&amp;IF(D480="",""," - "&amp;D480))</f>
        <v/>
      </c>
    </row>
    <row r="481" customFormat="false" ht="15" hidden="false" customHeight="false" outlineLevel="0" collapsed="false">
      <c r="A481" s="32"/>
      <c r="B481" s="19"/>
      <c r="C481" s="19"/>
      <c r="D481" s="19"/>
      <c r="E481" s="21"/>
      <c r="F481" s="19"/>
      <c r="G481" s="27" t="str">
        <f aca="false">IF(B481="","",IFERROR(INDEX(Jeux!$C$2:$C$3001,MATCH(B481,Jeux!$A$2:$A$3001,0))&amp;"","⚠ jeu inconnu"))</f>
        <v/>
      </c>
      <c r="H481" s="27" t="str">
        <f aca="false">IF(B481="","",IFERROR(INDEX(Jeux!$D$2:$D$3001,MATCH(B481,Jeux!$A$2:$A$3001,0))&amp;"",""))</f>
        <v/>
      </c>
      <c r="I481" s="26" t="str">
        <f aca="false">IF(A481="","",COUNTIF(Apparitions!$G$2:$G$5001,A481))</f>
        <v/>
      </c>
      <c r="J481" s="26" t="str">
        <f aca="false">IF(A481="","",COUNTIFS(Apparitions!$G$2:$G$5001,A481,Apparitions!$E$2:$E$5001,"○"))</f>
        <v/>
      </c>
      <c r="K481" s="29" t="str">
        <f aca="false">IF(A481="","",IFERROR(1/(1/_xlfn.MINIFS(Apparitions!$L$2:$L$5001,Apparitions!$G$2:$G$5001,A481)),""))</f>
        <v/>
      </c>
      <c r="L481" s="27" t="str">
        <f aca="false">IF(A481="","",A481&amp;" | "&amp;B481&amp;IF(C481="",""," ("&amp;C481&amp;")")&amp;IF(D481="",""," - "&amp;D481))</f>
        <v/>
      </c>
    </row>
    <row r="482" customFormat="false" ht="15" hidden="false" customHeight="false" outlineLevel="0" collapsed="false">
      <c r="A482" s="32"/>
      <c r="B482" s="19"/>
      <c r="C482" s="19"/>
      <c r="D482" s="19"/>
      <c r="E482" s="21"/>
      <c r="F482" s="19"/>
      <c r="G482" s="27" t="str">
        <f aca="false">IF(B482="","",IFERROR(INDEX(Jeux!$C$2:$C$3001,MATCH(B482,Jeux!$A$2:$A$3001,0))&amp;"","⚠ jeu inconnu"))</f>
        <v/>
      </c>
      <c r="H482" s="27" t="str">
        <f aca="false">IF(B482="","",IFERROR(INDEX(Jeux!$D$2:$D$3001,MATCH(B482,Jeux!$A$2:$A$3001,0))&amp;"",""))</f>
        <v/>
      </c>
      <c r="I482" s="26" t="str">
        <f aca="false">IF(A482="","",COUNTIF(Apparitions!$G$2:$G$5001,A482))</f>
        <v/>
      </c>
      <c r="J482" s="26" t="str">
        <f aca="false">IF(A482="","",COUNTIFS(Apparitions!$G$2:$G$5001,A482,Apparitions!$E$2:$E$5001,"○"))</f>
        <v/>
      </c>
      <c r="K482" s="29" t="str">
        <f aca="false">IF(A482="","",IFERROR(1/(1/_xlfn.MINIFS(Apparitions!$L$2:$L$5001,Apparitions!$G$2:$G$5001,A482)),""))</f>
        <v/>
      </c>
      <c r="L482" s="27" t="str">
        <f aca="false">IF(A482="","",A482&amp;" | "&amp;B482&amp;IF(C482="",""," ("&amp;C482&amp;")")&amp;IF(D482="",""," - "&amp;D482))</f>
        <v/>
      </c>
    </row>
    <row r="483" customFormat="false" ht="15" hidden="false" customHeight="false" outlineLevel="0" collapsed="false">
      <c r="A483" s="32"/>
      <c r="B483" s="19"/>
      <c r="C483" s="19"/>
      <c r="D483" s="19"/>
      <c r="E483" s="21"/>
      <c r="F483" s="19"/>
      <c r="G483" s="27" t="str">
        <f aca="false">IF(B483="","",IFERROR(INDEX(Jeux!$C$2:$C$3001,MATCH(B483,Jeux!$A$2:$A$3001,0))&amp;"","⚠ jeu inconnu"))</f>
        <v/>
      </c>
      <c r="H483" s="27" t="str">
        <f aca="false">IF(B483="","",IFERROR(INDEX(Jeux!$D$2:$D$3001,MATCH(B483,Jeux!$A$2:$A$3001,0))&amp;"",""))</f>
        <v/>
      </c>
      <c r="I483" s="26" t="str">
        <f aca="false">IF(A483="","",COUNTIF(Apparitions!$G$2:$G$5001,A483))</f>
        <v/>
      </c>
      <c r="J483" s="26" t="str">
        <f aca="false">IF(A483="","",COUNTIFS(Apparitions!$G$2:$G$5001,A483,Apparitions!$E$2:$E$5001,"○"))</f>
        <v/>
      </c>
      <c r="K483" s="29" t="str">
        <f aca="false">IF(A483="","",IFERROR(1/(1/_xlfn.MINIFS(Apparitions!$L$2:$L$5001,Apparitions!$G$2:$G$5001,A483)),""))</f>
        <v/>
      </c>
      <c r="L483" s="27" t="str">
        <f aca="false">IF(A483="","",A483&amp;" | "&amp;B483&amp;IF(C483="",""," ("&amp;C483&amp;")")&amp;IF(D483="",""," - "&amp;D483))</f>
        <v/>
      </c>
    </row>
    <row r="484" customFormat="false" ht="15" hidden="false" customHeight="false" outlineLevel="0" collapsed="false">
      <c r="A484" s="32"/>
      <c r="B484" s="19"/>
      <c r="C484" s="19"/>
      <c r="D484" s="19"/>
      <c r="E484" s="21"/>
      <c r="F484" s="19"/>
      <c r="G484" s="27" t="str">
        <f aca="false">IF(B484="","",IFERROR(INDEX(Jeux!$C$2:$C$3001,MATCH(B484,Jeux!$A$2:$A$3001,0))&amp;"","⚠ jeu inconnu"))</f>
        <v/>
      </c>
      <c r="H484" s="27" t="str">
        <f aca="false">IF(B484="","",IFERROR(INDEX(Jeux!$D$2:$D$3001,MATCH(B484,Jeux!$A$2:$A$3001,0))&amp;"",""))</f>
        <v/>
      </c>
      <c r="I484" s="26" t="str">
        <f aca="false">IF(A484="","",COUNTIF(Apparitions!$G$2:$G$5001,A484))</f>
        <v/>
      </c>
      <c r="J484" s="26" t="str">
        <f aca="false">IF(A484="","",COUNTIFS(Apparitions!$G$2:$G$5001,A484,Apparitions!$E$2:$E$5001,"○"))</f>
        <v/>
      </c>
      <c r="K484" s="29" t="str">
        <f aca="false">IF(A484="","",IFERROR(1/(1/_xlfn.MINIFS(Apparitions!$L$2:$L$5001,Apparitions!$G$2:$G$5001,A484)),""))</f>
        <v/>
      </c>
      <c r="L484" s="27" t="str">
        <f aca="false">IF(A484="","",A484&amp;" | "&amp;B484&amp;IF(C484="",""," ("&amp;C484&amp;")")&amp;IF(D484="",""," - "&amp;D484))</f>
        <v/>
      </c>
    </row>
    <row r="485" customFormat="false" ht="15" hidden="false" customHeight="false" outlineLevel="0" collapsed="false">
      <c r="A485" s="32"/>
      <c r="B485" s="19"/>
      <c r="C485" s="19"/>
      <c r="D485" s="19"/>
      <c r="E485" s="21"/>
      <c r="F485" s="19"/>
      <c r="G485" s="27" t="str">
        <f aca="false">IF(B485="","",IFERROR(INDEX(Jeux!$C$2:$C$3001,MATCH(B485,Jeux!$A$2:$A$3001,0))&amp;"","⚠ jeu inconnu"))</f>
        <v/>
      </c>
      <c r="H485" s="27" t="str">
        <f aca="false">IF(B485="","",IFERROR(INDEX(Jeux!$D$2:$D$3001,MATCH(B485,Jeux!$A$2:$A$3001,0))&amp;"",""))</f>
        <v/>
      </c>
      <c r="I485" s="26" t="str">
        <f aca="false">IF(A485="","",COUNTIF(Apparitions!$G$2:$G$5001,A485))</f>
        <v/>
      </c>
      <c r="J485" s="26" t="str">
        <f aca="false">IF(A485="","",COUNTIFS(Apparitions!$G$2:$G$5001,A485,Apparitions!$E$2:$E$5001,"○"))</f>
        <v/>
      </c>
      <c r="K485" s="29" t="str">
        <f aca="false">IF(A485="","",IFERROR(1/(1/_xlfn.MINIFS(Apparitions!$L$2:$L$5001,Apparitions!$G$2:$G$5001,A485)),""))</f>
        <v/>
      </c>
      <c r="L485" s="27" t="str">
        <f aca="false">IF(A485="","",A485&amp;" | "&amp;B485&amp;IF(C485="",""," ("&amp;C485&amp;")")&amp;IF(D485="",""," - "&amp;D485))</f>
        <v/>
      </c>
    </row>
    <row r="486" customFormat="false" ht="15" hidden="false" customHeight="false" outlineLevel="0" collapsed="false">
      <c r="A486" s="32"/>
      <c r="B486" s="19"/>
      <c r="C486" s="19"/>
      <c r="D486" s="19"/>
      <c r="E486" s="21"/>
      <c r="F486" s="19"/>
      <c r="G486" s="27" t="str">
        <f aca="false">IF(B486="","",IFERROR(INDEX(Jeux!$C$2:$C$3001,MATCH(B486,Jeux!$A$2:$A$3001,0))&amp;"","⚠ jeu inconnu"))</f>
        <v/>
      </c>
      <c r="H486" s="27" t="str">
        <f aca="false">IF(B486="","",IFERROR(INDEX(Jeux!$D$2:$D$3001,MATCH(B486,Jeux!$A$2:$A$3001,0))&amp;"",""))</f>
        <v/>
      </c>
      <c r="I486" s="26" t="str">
        <f aca="false">IF(A486="","",COUNTIF(Apparitions!$G$2:$G$5001,A486))</f>
        <v/>
      </c>
      <c r="J486" s="26" t="str">
        <f aca="false">IF(A486="","",COUNTIFS(Apparitions!$G$2:$G$5001,A486,Apparitions!$E$2:$E$5001,"○"))</f>
        <v/>
      </c>
      <c r="K486" s="29" t="str">
        <f aca="false">IF(A486="","",IFERROR(1/(1/_xlfn.MINIFS(Apparitions!$L$2:$L$5001,Apparitions!$G$2:$G$5001,A486)),""))</f>
        <v/>
      </c>
      <c r="L486" s="27" t="str">
        <f aca="false">IF(A486="","",A486&amp;" | "&amp;B486&amp;IF(C486="",""," ("&amp;C486&amp;")")&amp;IF(D486="",""," - "&amp;D486))</f>
        <v/>
      </c>
    </row>
    <row r="487" customFormat="false" ht="15" hidden="false" customHeight="false" outlineLevel="0" collapsed="false">
      <c r="A487" s="32"/>
      <c r="B487" s="19"/>
      <c r="C487" s="19"/>
      <c r="D487" s="19"/>
      <c r="E487" s="21"/>
      <c r="F487" s="19"/>
      <c r="G487" s="27" t="str">
        <f aca="false">IF(B487="","",IFERROR(INDEX(Jeux!$C$2:$C$3001,MATCH(B487,Jeux!$A$2:$A$3001,0))&amp;"","⚠ jeu inconnu"))</f>
        <v/>
      </c>
      <c r="H487" s="27" t="str">
        <f aca="false">IF(B487="","",IFERROR(INDEX(Jeux!$D$2:$D$3001,MATCH(B487,Jeux!$A$2:$A$3001,0))&amp;"",""))</f>
        <v/>
      </c>
      <c r="I487" s="26" t="str">
        <f aca="false">IF(A487="","",COUNTIF(Apparitions!$G$2:$G$5001,A487))</f>
        <v/>
      </c>
      <c r="J487" s="26" t="str">
        <f aca="false">IF(A487="","",COUNTIFS(Apparitions!$G$2:$G$5001,A487,Apparitions!$E$2:$E$5001,"○"))</f>
        <v/>
      </c>
      <c r="K487" s="29" t="str">
        <f aca="false">IF(A487="","",IFERROR(1/(1/_xlfn.MINIFS(Apparitions!$L$2:$L$5001,Apparitions!$G$2:$G$5001,A487)),""))</f>
        <v/>
      </c>
      <c r="L487" s="27" t="str">
        <f aca="false">IF(A487="","",A487&amp;" | "&amp;B487&amp;IF(C487="",""," ("&amp;C487&amp;")")&amp;IF(D487="",""," - "&amp;D487))</f>
        <v/>
      </c>
    </row>
    <row r="488" customFormat="false" ht="15" hidden="false" customHeight="false" outlineLevel="0" collapsed="false">
      <c r="A488" s="32"/>
      <c r="B488" s="19"/>
      <c r="C488" s="19"/>
      <c r="D488" s="19"/>
      <c r="E488" s="21"/>
      <c r="F488" s="19"/>
      <c r="G488" s="27" t="str">
        <f aca="false">IF(B488="","",IFERROR(INDEX(Jeux!$C$2:$C$3001,MATCH(B488,Jeux!$A$2:$A$3001,0))&amp;"","⚠ jeu inconnu"))</f>
        <v/>
      </c>
      <c r="H488" s="27" t="str">
        <f aca="false">IF(B488="","",IFERROR(INDEX(Jeux!$D$2:$D$3001,MATCH(B488,Jeux!$A$2:$A$3001,0))&amp;"",""))</f>
        <v/>
      </c>
      <c r="I488" s="26" t="str">
        <f aca="false">IF(A488="","",COUNTIF(Apparitions!$G$2:$G$5001,A488))</f>
        <v/>
      </c>
      <c r="J488" s="26" t="str">
        <f aca="false">IF(A488="","",COUNTIFS(Apparitions!$G$2:$G$5001,A488,Apparitions!$E$2:$E$5001,"○"))</f>
        <v/>
      </c>
      <c r="K488" s="29" t="str">
        <f aca="false">IF(A488="","",IFERROR(1/(1/_xlfn.MINIFS(Apparitions!$L$2:$L$5001,Apparitions!$G$2:$G$5001,A488)),""))</f>
        <v/>
      </c>
      <c r="L488" s="27" t="str">
        <f aca="false">IF(A488="","",A488&amp;" | "&amp;B488&amp;IF(C488="",""," ("&amp;C488&amp;")")&amp;IF(D488="",""," - "&amp;D488))</f>
        <v/>
      </c>
    </row>
    <row r="489" customFormat="false" ht="15" hidden="false" customHeight="false" outlineLevel="0" collapsed="false">
      <c r="A489" s="32"/>
      <c r="B489" s="19"/>
      <c r="C489" s="19"/>
      <c r="D489" s="19"/>
      <c r="E489" s="21"/>
      <c r="F489" s="19"/>
      <c r="G489" s="27" t="str">
        <f aca="false">IF(B489="","",IFERROR(INDEX(Jeux!$C$2:$C$3001,MATCH(B489,Jeux!$A$2:$A$3001,0))&amp;"","⚠ jeu inconnu"))</f>
        <v/>
      </c>
      <c r="H489" s="27" t="str">
        <f aca="false">IF(B489="","",IFERROR(INDEX(Jeux!$D$2:$D$3001,MATCH(B489,Jeux!$A$2:$A$3001,0))&amp;"",""))</f>
        <v/>
      </c>
      <c r="I489" s="26" t="str">
        <f aca="false">IF(A489="","",COUNTIF(Apparitions!$G$2:$G$5001,A489))</f>
        <v/>
      </c>
      <c r="J489" s="26" t="str">
        <f aca="false">IF(A489="","",COUNTIFS(Apparitions!$G$2:$G$5001,A489,Apparitions!$E$2:$E$5001,"○"))</f>
        <v/>
      </c>
      <c r="K489" s="29" t="str">
        <f aca="false">IF(A489="","",IFERROR(1/(1/_xlfn.MINIFS(Apparitions!$L$2:$L$5001,Apparitions!$G$2:$G$5001,A489)),""))</f>
        <v/>
      </c>
      <c r="L489" s="27" t="str">
        <f aca="false">IF(A489="","",A489&amp;" | "&amp;B489&amp;IF(C489="",""," ("&amp;C489&amp;")")&amp;IF(D489="",""," - "&amp;D489))</f>
        <v/>
      </c>
    </row>
    <row r="490" customFormat="false" ht="15" hidden="false" customHeight="false" outlineLevel="0" collapsed="false">
      <c r="A490" s="32"/>
      <c r="B490" s="19"/>
      <c r="C490" s="19"/>
      <c r="D490" s="19"/>
      <c r="E490" s="21"/>
      <c r="F490" s="19"/>
      <c r="G490" s="27" t="str">
        <f aca="false">IF(B490="","",IFERROR(INDEX(Jeux!$C$2:$C$3001,MATCH(B490,Jeux!$A$2:$A$3001,0))&amp;"","⚠ jeu inconnu"))</f>
        <v/>
      </c>
      <c r="H490" s="27" t="str">
        <f aca="false">IF(B490="","",IFERROR(INDEX(Jeux!$D$2:$D$3001,MATCH(B490,Jeux!$A$2:$A$3001,0))&amp;"",""))</f>
        <v/>
      </c>
      <c r="I490" s="26" t="str">
        <f aca="false">IF(A490="","",COUNTIF(Apparitions!$G$2:$G$5001,A490))</f>
        <v/>
      </c>
      <c r="J490" s="26" t="str">
        <f aca="false">IF(A490="","",COUNTIFS(Apparitions!$G$2:$G$5001,A490,Apparitions!$E$2:$E$5001,"○"))</f>
        <v/>
      </c>
      <c r="K490" s="29" t="str">
        <f aca="false">IF(A490="","",IFERROR(1/(1/_xlfn.MINIFS(Apparitions!$L$2:$L$5001,Apparitions!$G$2:$G$5001,A490)),""))</f>
        <v/>
      </c>
      <c r="L490" s="27" t="str">
        <f aca="false">IF(A490="","",A490&amp;" | "&amp;B490&amp;IF(C490="",""," ("&amp;C490&amp;")")&amp;IF(D490="",""," - "&amp;D490))</f>
        <v/>
      </c>
    </row>
    <row r="491" customFormat="false" ht="15" hidden="false" customHeight="false" outlineLevel="0" collapsed="false">
      <c r="A491" s="32"/>
      <c r="B491" s="19"/>
      <c r="C491" s="19"/>
      <c r="D491" s="19"/>
      <c r="E491" s="21"/>
      <c r="F491" s="19"/>
      <c r="G491" s="27" t="str">
        <f aca="false">IF(B491="","",IFERROR(INDEX(Jeux!$C$2:$C$3001,MATCH(B491,Jeux!$A$2:$A$3001,0))&amp;"","⚠ jeu inconnu"))</f>
        <v/>
      </c>
      <c r="H491" s="27" t="str">
        <f aca="false">IF(B491="","",IFERROR(INDEX(Jeux!$D$2:$D$3001,MATCH(B491,Jeux!$A$2:$A$3001,0))&amp;"",""))</f>
        <v/>
      </c>
      <c r="I491" s="26" t="str">
        <f aca="false">IF(A491="","",COUNTIF(Apparitions!$G$2:$G$5001,A491))</f>
        <v/>
      </c>
      <c r="J491" s="26" t="str">
        <f aca="false">IF(A491="","",COUNTIFS(Apparitions!$G$2:$G$5001,A491,Apparitions!$E$2:$E$5001,"○"))</f>
        <v/>
      </c>
      <c r="K491" s="29" t="str">
        <f aca="false">IF(A491="","",IFERROR(1/(1/_xlfn.MINIFS(Apparitions!$L$2:$L$5001,Apparitions!$G$2:$G$5001,A491)),""))</f>
        <v/>
      </c>
      <c r="L491" s="27" t="str">
        <f aca="false">IF(A491="","",A491&amp;" | "&amp;B491&amp;IF(C491="",""," ("&amp;C491&amp;")")&amp;IF(D491="",""," - "&amp;D491))</f>
        <v/>
      </c>
    </row>
    <row r="492" customFormat="false" ht="15" hidden="false" customHeight="false" outlineLevel="0" collapsed="false">
      <c r="A492" s="32"/>
      <c r="B492" s="19"/>
      <c r="C492" s="19"/>
      <c r="D492" s="19"/>
      <c r="E492" s="21"/>
      <c r="F492" s="19"/>
      <c r="G492" s="27" t="str">
        <f aca="false">IF(B492="","",IFERROR(INDEX(Jeux!$C$2:$C$3001,MATCH(B492,Jeux!$A$2:$A$3001,0))&amp;"","⚠ jeu inconnu"))</f>
        <v/>
      </c>
      <c r="H492" s="27" t="str">
        <f aca="false">IF(B492="","",IFERROR(INDEX(Jeux!$D$2:$D$3001,MATCH(B492,Jeux!$A$2:$A$3001,0))&amp;"",""))</f>
        <v/>
      </c>
      <c r="I492" s="26" t="str">
        <f aca="false">IF(A492="","",COUNTIF(Apparitions!$G$2:$G$5001,A492))</f>
        <v/>
      </c>
      <c r="J492" s="26" t="str">
        <f aca="false">IF(A492="","",COUNTIFS(Apparitions!$G$2:$G$5001,A492,Apparitions!$E$2:$E$5001,"○"))</f>
        <v/>
      </c>
      <c r="K492" s="29" t="str">
        <f aca="false">IF(A492="","",IFERROR(1/(1/_xlfn.MINIFS(Apparitions!$L$2:$L$5001,Apparitions!$G$2:$G$5001,A492)),""))</f>
        <v/>
      </c>
      <c r="L492" s="27" t="str">
        <f aca="false">IF(A492="","",A492&amp;" | "&amp;B492&amp;IF(C492="",""," ("&amp;C492&amp;")")&amp;IF(D492="",""," - "&amp;D492))</f>
        <v/>
      </c>
    </row>
    <row r="493" customFormat="false" ht="15" hidden="false" customHeight="false" outlineLevel="0" collapsed="false">
      <c r="A493" s="32"/>
      <c r="B493" s="19"/>
      <c r="C493" s="19"/>
      <c r="D493" s="19"/>
      <c r="E493" s="21"/>
      <c r="F493" s="19"/>
      <c r="G493" s="27" t="str">
        <f aca="false">IF(B493="","",IFERROR(INDEX(Jeux!$C$2:$C$3001,MATCH(B493,Jeux!$A$2:$A$3001,0))&amp;"","⚠ jeu inconnu"))</f>
        <v/>
      </c>
      <c r="H493" s="27" t="str">
        <f aca="false">IF(B493="","",IFERROR(INDEX(Jeux!$D$2:$D$3001,MATCH(B493,Jeux!$A$2:$A$3001,0))&amp;"",""))</f>
        <v/>
      </c>
      <c r="I493" s="26" t="str">
        <f aca="false">IF(A493="","",COUNTIF(Apparitions!$G$2:$G$5001,A493))</f>
        <v/>
      </c>
      <c r="J493" s="26" t="str">
        <f aca="false">IF(A493="","",COUNTIFS(Apparitions!$G$2:$G$5001,A493,Apparitions!$E$2:$E$5001,"○"))</f>
        <v/>
      </c>
      <c r="K493" s="29" t="str">
        <f aca="false">IF(A493="","",IFERROR(1/(1/_xlfn.MINIFS(Apparitions!$L$2:$L$5001,Apparitions!$G$2:$G$5001,A493)),""))</f>
        <v/>
      </c>
      <c r="L493" s="27" t="str">
        <f aca="false">IF(A493="","",A493&amp;" | "&amp;B493&amp;IF(C493="",""," ("&amp;C493&amp;")")&amp;IF(D493="",""," - "&amp;D493))</f>
        <v/>
      </c>
    </row>
    <row r="494" customFormat="false" ht="15" hidden="false" customHeight="false" outlineLevel="0" collapsed="false">
      <c r="A494" s="32"/>
      <c r="B494" s="19"/>
      <c r="C494" s="19"/>
      <c r="D494" s="19"/>
      <c r="E494" s="21"/>
      <c r="F494" s="19"/>
      <c r="G494" s="27" t="str">
        <f aca="false">IF(B494="","",IFERROR(INDEX(Jeux!$C$2:$C$3001,MATCH(B494,Jeux!$A$2:$A$3001,0))&amp;"","⚠ jeu inconnu"))</f>
        <v/>
      </c>
      <c r="H494" s="27" t="str">
        <f aca="false">IF(B494="","",IFERROR(INDEX(Jeux!$D$2:$D$3001,MATCH(B494,Jeux!$A$2:$A$3001,0))&amp;"",""))</f>
        <v/>
      </c>
      <c r="I494" s="26" t="str">
        <f aca="false">IF(A494="","",COUNTIF(Apparitions!$G$2:$G$5001,A494))</f>
        <v/>
      </c>
      <c r="J494" s="26" t="str">
        <f aca="false">IF(A494="","",COUNTIFS(Apparitions!$G$2:$G$5001,A494,Apparitions!$E$2:$E$5001,"○"))</f>
        <v/>
      </c>
      <c r="K494" s="29" t="str">
        <f aca="false">IF(A494="","",IFERROR(1/(1/_xlfn.MINIFS(Apparitions!$L$2:$L$5001,Apparitions!$G$2:$G$5001,A494)),""))</f>
        <v/>
      </c>
      <c r="L494" s="27" t="str">
        <f aca="false">IF(A494="","",A494&amp;" | "&amp;B494&amp;IF(C494="",""," ("&amp;C494&amp;")")&amp;IF(D494="",""," - "&amp;D494))</f>
        <v/>
      </c>
    </row>
    <row r="495" customFormat="false" ht="15" hidden="false" customHeight="false" outlineLevel="0" collapsed="false">
      <c r="A495" s="32"/>
      <c r="B495" s="19"/>
      <c r="C495" s="19"/>
      <c r="D495" s="19"/>
      <c r="E495" s="21"/>
      <c r="F495" s="19"/>
      <c r="G495" s="27" t="str">
        <f aca="false">IF(B495="","",IFERROR(INDEX(Jeux!$C$2:$C$3001,MATCH(B495,Jeux!$A$2:$A$3001,0))&amp;"","⚠ jeu inconnu"))</f>
        <v/>
      </c>
      <c r="H495" s="27" t="str">
        <f aca="false">IF(B495="","",IFERROR(INDEX(Jeux!$D$2:$D$3001,MATCH(B495,Jeux!$A$2:$A$3001,0))&amp;"",""))</f>
        <v/>
      </c>
      <c r="I495" s="26" t="str">
        <f aca="false">IF(A495="","",COUNTIF(Apparitions!$G$2:$G$5001,A495))</f>
        <v/>
      </c>
      <c r="J495" s="26" t="str">
        <f aca="false">IF(A495="","",COUNTIFS(Apparitions!$G$2:$G$5001,A495,Apparitions!$E$2:$E$5001,"○"))</f>
        <v/>
      </c>
      <c r="K495" s="29" t="str">
        <f aca="false">IF(A495="","",IFERROR(1/(1/_xlfn.MINIFS(Apparitions!$L$2:$L$5001,Apparitions!$G$2:$G$5001,A495)),""))</f>
        <v/>
      </c>
      <c r="L495" s="27" t="str">
        <f aca="false">IF(A495="","",A495&amp;" | "&amp;B495&amp;IF(C495="",""," ("&amp;C495&amp;")")&amp;IF(D495="",""," - "&amp;D495))</f>
        <v/>
      </c>
    </row>
    <row r="496" customFormat="false" ht="15" hidden="false" customHeight="false" outlineLevel="0" collapsed="false">
      <c r="A496" s="32"/>
      <c r="B496" s="19"/>
      <c r="C496" s="19"/>
      <c r="D496" s="19"/>
      <c r="E496" s="21"/>
      <c r="F496" s="19"/>
      <c r="G496" s="27" t="str">
        <f aca="false">IF(B496="","",IFERROR(INDEX(Jeux!$C$2:$C$3001,MATCH(B496,Jeux!$A$2:$A$3001,0))&amp;"","⚠ jeu inconnu"))</f>
        <v/>
      </c>
      <c r="H496" s="27" t="str">
        <f aca="false">IF(B496="","",IFERROR(INDEX(Jeux!$D$2:$D$3001,MATCH(B496,Jeux!$A$2:$A$3001,0))&amp;"",""))</f>
        <v/>
      </c>
      <c r="I496" s="26" t="str">
        <f aca="false">IF(A496="","",COUNTIF(Apparitions!$G$2:$G$5001,A496))</f>
        <v/>
      </c>
      <c r="J496" s="26" t="str">
        <f aca="false">IF(A496="","",COUNTIFS(Apparitions!$G$2:$G$5001,A496,Apparitions!$E$2:$E$5001,"○"))</f>
        <v/>
      </c>
      <c r="K496" s="29" t="str">
        <f aca="false">IF(A496="","",IFERROR(1/(1/_xlfn.MINIFS(Apparitions!$L$2:$L$5001,Apparitions!$G$2:$G$5001,A496)),""))</f>
        <v/>
      </c>
      <c r="L496" s="27" t="str">
        <f aca="false">IF(A496="","",A496&amp;" | "&amp;B496&amp;IF(C496="",""," ("&amp;C496&amp;")")&amp;IF(D496="",""," - "&amp;D496))</f>
        <v/>
      </c>
    </row>
    <row r="497" customFormat="false" ht="15" hidden="false" customHeight="false" outlineLevel="0" collapsed="false">
      <c r="A497" s="32"/>
      <c r="B497" s="19"/>
      <c r="C497" s="19"/>
      <c r="D497" s="19"/>
      <c r="E497" s="21"/>
      <c r="F497" s="19"/>
      <c r="G497" s="27" t="str">
        <f aca="false">IF(B497="","",IFERROR(INDEX(Jeux!$C$2:$C$3001,MATCH(B497,Jeux!$A$2:$A$3001,0))&amp;"","⚠ jeu inconnu"))</f>
        <v/>
      </c>
      <c r="H497" s="27" t="str">
        <f aca="false">IF(B497="","",IFERROR(INDEX(Jeux!$D$2:$D$3001,MATCH(B497,Jeux!$A$2:$A$3001,0))&amp;"",""))</f>
        <v/>
      </c>
      <c r="I497" s="26" t="str">
        <f aca="false">IF(A497="","",COUNTIF(Apparitions!$G$2:$G$5001,A497))</f>
        <v/>
      </c>
      <c r="J497" s="26" t="str">
        <f aca="false">IF(A497="","",COUNTIFS(Apparitions!$G$2:$G$5001,A497,Apparitions!$E$2:$E$5001,"○"))</f>
        <v/>
      </c>
      <c r="K497" s="29" t="str">
        <f aca="false">IF(A497="","",IFERROR(1/(1/_xlfn.MINIFS(Apparitions!$L$2:$L$5001,Apparitions!$G$2:$G$5001,A497)),""))</f>
        <v/>
      </c>
      <c r="L497" s="27" t="str">
        <f aca="false">IF(A497="","",A497&amp;" | "&amp;B497&amp;IF(C497="",""," ("&amp;C497&amp;")")&amp;IF(D497="",""," - "&amp;D497))</f>
        <v/>
      </c>
    </row>
    <row r="498" customFormat="false" ht="15" hidden="false" customHeight="false" outlineLevel="0" collapsed="false">
      <c r="A498" s="32"/>
      <c r="B498" s="19"/>
      <c r="C498" s="19"/>
      <c r="D498" s="19"/>
      <c r="E498" s="21"/>
      <c r="F498" s="19"/>
      <c r="G498" s="27" t="str">
        <f aca="false">IF(B498="","",IFERROR(INDEX(Jeux!$C$2:$C$3001,MATCH(B498,Jeux!$A$2:$A$3001,0))&amp;"","⚠ jeu inconnu"))</f>
        <v/>
      </c>
      <c r="H498" s="27" t="str">
        <f aca="false">IF(B498="","",IFERROR(INDEX(Jeux!$D$2:$D$3001,MATCH(B498,Jeux!$A$2:$A$3001,0))&amp;"",""))</f>
        <v/>
      </c>
      <c r="I498" s="26" t="str">
        <f aca="false">IF(A498="","",COUNTIF(Apparitions!$G$2:$G$5001,A498))</f>
        <v/>
      </c>
      <c r="J498" s="26" t="str">
        <f aca="false">IF(A498="","",COUNTIFS(Apparitions!$G$2:$G$5001,A498,Apparitions!$E$2:$E$5001,"○"))</f>
        <v/>
      </c>
      <c r="K498" s="29" t="str">
        <f aca="false">IF(A498="","",IFERROR(1/(1/_xlfn.MINIFS(Apparitions!$L$2:$L$5001,Apparitions!$G$2:$G$5001,A498)),""))</f>
        <v/>
      </c>
      <c r="L498" s="27" t="str">
        <f aca="false">IF(A498="","",A498&amp;" | "&amp;B498&amp;IF(C498="",""," ("&amp;C498&amp;")")&amp;IF(D498="",""," - "&amp;D498))</f>
        <v/>
      </c>
    </row>
    <row r="499" customFormat="false" ht="15" hidden="false" customHeight="false" outlineLevel="0" collapsed="false">
      <c r="A499" s="32"/>
      <c r="B499" s="19"/>
      <c r="C499" s="19"/>
      <c r="D499" s="19"/>
      <c r="E499" s="21"/>
      <c r="F499" s="19"/>
      <c r="G499" s="27" t="str">
        <f aca="false">IF(B499="","",IFERROR(INDEX(Jeux!$C$2:$C$3001,MATCH(B499,Jeux!$A$2:$A$3001,0))&amp;"","⚠ jeu inconnu"))</f>
        <v/>
      </c>
      <c r="H499" s="27" t="str">
        <f aca="false">IF(B499="","",IFERROR(INDEX(Jeux!$D$2:$D$3001,MATCH(B499,Jeux!$A$2:$A$3001,0))&amp;"",""))</f>
        <v/>
      </c>
      <c r="I499" s="26" t="str">
        <f aca="false">IF(A499="","",COUNTIF(Apparitions!$G$2:$G$5001,A499))</f>
        <v/>
      </c>
      <c r="J499" s="26" t="str">
        <f aca="false">IF(A499="","",COUNTIFS(Apparitions!$G$2:$G$5001,A499,Apparitions!$E$2:$E$5001,"○"))</f>
        <v/>
      </c>
      <c r="K499" s="29" t="str">
        <f aca="false">IF(A499="","",IFERROR(1/(1/_xlfn.MINIFS(Apparitions!$L$2:$L$5001,Apparitions!$G$2:$G$5001,A499)),""))</f>
        <v/>
      </c>
      <c r="L499" s="27" t="str">
        <f aca="false">IF(A499="","",A499&amp;" | "&amp;B499&amp;IF(C499="",""," ("&amp;C499&amp;")")&amp;IF(D499="",""," - "&amp;D499))</f>
        <v/>
      </c>
    </row>
    <row r="500" customFormat="false" ht="15" hidden="false" customHeight="false" outlineLevel="0" collapsed="false">
      <c r="A500" s="32"/>
      <c r="B500" s="19"/>
      <c r="C500" s="19"/>
      <c r="D500" s="19"/>
      <c r="E500" s="21"/>
      <c r="F500" s="19"/>
      <c r="G500" s="27" t="str">
        <f aca="false">IF(B500="","",IFERROR(INDEX(Jeux!$C$2:$C$3001,MATCH(B500,Jeux!$A$2:$A$3001,0))&amp;"","⚠ jeu inconnu"))</f>
        <v/>
      </c>
      <c r="H500" s="27" t="str">
        <f aca="false">IF(B500="","",IFERROR(INDEX(Jeux!$D$2:$D$3001,MATCH(B500,Jeux!$A$2:$A$3001,0))&amp;"",""))</f>
        <v/>
      </c>
      <c r="I500" s="26" t="str">
        <f aca="false">IF(A500="","",COUNTIF(Apparitions!$G$2:$G$5001,A500))</f>
        <v/>
      </c>
      <c r="J500" s="26" t="str">
        <f aca="false">IF(A500="","",COUNTIFS(Apparitions!$G$2:$G$5001,A500,Apparitions!$E$2:$E$5001,"○"))</f>
        <v/>
      </c>
      <c r="K500" s="29" t="str">
        <f aca="false">IF(A500="","",IFERROR(1/(1/_xlfn.MINIFS(Apparitions!$L$2:$L$5001,Apparitions!$G$2:$G$5001,A500)),""))</f>
        <v/>
      </c>
      <c r="L500" s="27" t="str">
        <f aca="false">IF(A500="","",A500&amp;" | "&amp;B500&amp;IF(C500="",""," ("&amp;C500&amp;")")&amp;IF(D500="",""," - "&amp;D500))</f>
        <v/>
      </c>
    </row>
    <row r="501" customFormat="false" ht="15" hidden="false" customHeight="false" outlineLevel="0" collapsed="false">
      <c r="A501" s="32"/>
      <c r="B501" s="19"/>
      <c r="C501" s="19"/>
      <c r="D501" s="19"/>
      <c r="E501" s="21"/>
      <c r="F501" s="19"/>
      <c r="G501" s="27" t="str">
        <f aca="false">IF(B501="","",IFERROR(INDEX(Jeux!$C$2:$C$3001,MATCH(B501,Jeux!$A$2:$A$3001,0))&amp;"","⚠ jeu inconnu"))</f>
        <v/>
      </c>
      <c r="H501" s="27" t="str">
        <f aca="false">IF(B501="","",IFERROR(INDEX(Jeux!$D$2:$D$3001,MATCH(B501,Jeux!$A$2:$A$3001,0))&amp;"",""))</f>
        <v/>
      </c>
      <c r="I501" s="26" t="str">
        <f aca="false">IF(A501="","",COUNTIF(Apparitions!$G$2:$G$5001,A501))</f>
        <v/>
      </c>
      <c r="J501" s="26" t="str">
        <f aca="false">IF(A501="","",COUNTIFS(Apparitions!$G$2:$G$5001,A501,Apparitions!$E$2:$E$5001,"○"))</f>
        <v/>
      </c>
      <c r="K501" s="29" t="str">
        <f aca="false">IF(A501="","",IFERROR(1/(1/_xlfn.MINIFS(Apparitions!$L$2:$L$5001,Apparitions!$G$2:$G$5001,A501)),""))</f>
        <v/>
      </c>
      <c r="L501" s="27" t="str">
        <f aca="false">IF(A501="","",A501&amp;" | "&amp;B501&amp;IF(C501="",""," ("&amp;C501&amp;")")&amp;IF(D501="",""," - "&amp;D501))</f>
        <v/>
      </c>
    </row>
    <row r="502" customFormat="false" ht="15" hidden="false" customHeight="false" outlineLevel="0" collapsed="false">
      <c r="A502" s="32"/>
      <c r="B502" s="19"/>
      <c r="C502" s="19"/>
      <c r="D502" s="19"/>
      <c r="E502" s="21"/>
      <c r="F502" s="19"/>
      <c r="G502" s="27" t="str">
        <f aca="false">IF(B502="","",IFERROR(INDEX(Jeux!$C$2:$C$3001,MATCH(B502,Jeux!$A$2:$A$3001,0))&amp;"","⚠ jeu inconnu"))</f>
        <v/>
      </c>
      <c r="H502" s="27" t="str">
        <f aca="false">IF(B502="","",IFERROR(INDEX(Jeux!$D$2:$D$3001,MATCH(B502,Jeux!$A$2:$A$3001,0))&amp;"",""))</f>
        <v/>
      </c>
      <c r="I502" s="26" t="str">
        <f aca="false">IF(A502="","",COUNTIF(Apparitions!$G$2:$G$5001,A502))</f>
        <v/>
      </c>
      <c r="J502" s="26" t="str">
        <f aca="false">IF(A502="","",COUNTIFS(Apparitions!$G$2:$G$5001,A502,Apparitions!$E$2:$E$5001,"○"))</f>
        <v/>
      </c>
      <c r="K502" s="29" t="str">
        <f aca="false">IF(A502="","",IFERROR(1/(1/_xlfn.MINIFS(Apparitions!$L$2:$L$5001,Apparitions!$G$2:$G$5001,A502)),""))</f>
        <v/>
      </c>
      <c r="L502" s="27" t="str">
        <f aca="false">IF(A502="","",A502&amp;" | "&amp;B502&amp;IF(C502="",""," ("&amp;C502&amp;")")&amp;IF(D502="",""," - "&amp;D502))</f>
        <v/>
      </c>
    </row>
    <row r="503" customFormat="false" ht="15" hidden="false" customHeight="false" outlineLevel="0" collapsed="false">
      <c r="A503" s="32"/>
      <c r="B503" s="19"/>
      <c r="C503" s="19"/>
      <c r="D503" s="19"/>
      <c r="E503" s="21"/>
      <c r="F503" s="19"/>
      <c r="G503" s="27" t="str">
        <f aca="false">IF(B503="","",IFERROR(INDEX(Jeux!$C$2:$C$3001,MATCH(B503,Jeux!$A$2:$A$3001,0))&amp;"","⚠ jeu inconnu"))</f>
        <v/>
      </c>
      <c r="H503" s="27" t="str">
        <f aca="false">IF(B503="","",IFERROR(INDEX(Jeux!$D$2:$D$3001,MATCH(B503,Jeux!$A$2:$A$3001,0))&amp;"",""))</f>
        <v/>
      </c>
      <c r="I503" s="26" t="str">
        <f aca="false">IF(A503="","",COUNTIF(Apparitions!$G$2:$G$5001,A503))</f>
        <v/>
      </c>
      <c r="J503" s="26" t="str">
        <f aca="false">IF(A503="","",COUNTIFS(Apparitions!$G$2:$G$5001,A503,Apparitions!$E$2:$E$5001,"○"))</f>
        <v/>
      </c>
      <c r="K503" s="29" t="str">
        <f aca="false">IF(A503="","",IFERROR(1/(1/_xlfn.MINIFS(Apparitions!$L$2:$L$5001,Apparitions!$G$2:$G$5001,A503)),""))</f>
        <v/>
      </c>
      <c r="L503" s="27" t="str">
        <f aca="false">IF(A503="","",A503&amp;" | "&amp;B503&amp;IF(C503="",""," ("&amp;C503&amp;")")&amp;IF(D503="",""," - "&amp;D503))</f>
        <v/>
      </c>
    </row>
    <row r="504" customFormat="false" ht="15" hidden="false" customHeight="false" outlineLevel="0" collapsed="false">
      <c r="A504" s="32"/>
      <c r="B504" s="19"/>
      <c r="C504" s="19"/>
      <c r="D504" s="19"/>
      <c r="E504" s="21"/>
      <c r="F504" s="19"/>
      <c r="G504" s="27" t="str">
        <f aca="false">IF(B504="","",IFERROR(INDEX(Jeux!$C$2:$C$3001,MATCH(B504,Jeux!$A$2:$A$3001,0))&amp;"","⚠ jeu inconnu"))</f>
        <v/>
      </c>
      <c r="H504" s="27" t="str">
        <f aca="false">IF(B504="","",IFERROR(INDEX(Jeux!$D$2:$D$3001,MATCH(B504,Jeux!$A$2:$A$3001,0))&amp;"",""))</f>
        <v/>
      </c>
      <c r="I504" s="26" t="str">
        <f aca="false">IF(A504="","",COUNTIF(Apparitions!$G$2:$G$5001,A504))</f>
        <v/>
      </c>
      <c r="J504" s="26" t="str">
        <f aca="false">IF(A504="","",COUNTIFS(Apparitions!$G$2:$G$5001,A504,Apparitions!$E$2:$E$5001,"○"))</f>
        <v/>
      </c>
      <c r="K504" s="29" t="str">
        <f aca="false">IF(A504="","",IFERROR(1/(1/_xlfn.MINIFS(Apparitions!$L$2:$L$5001,Apparitions!$G$2:$G$5001,A504)),""))</f>
        <v/>
      </c>
      <c r="L504" s="27" t="str">
        <f aca="false">IF(A504="","",A504&amp;" | "&amp;B504&amp;IF(C504="",""," ("&amp;C504&amp;")")&amp;IF(D504="",""," - "&amp;D504))</f>
        <v/>
      </c>
    </row>
    <row r="505" customFormat="false" ht="15" hidden="false" customHeight="false" outlineLevel="0" collapsed="false">
      <c r="A505" s="32"/>
      <c r="B505" s="19"/>
      <c r="C505" s="19"/>
      <c r="D505" s="19"/>
      <c r="E505" s="21"/>
      <c r="F505" s="19"/>
      <c r="G505" s="27" t="str">
        <f aca="false">IF(B505="","",IFERROR(INDEX(Jeux!$C$2:$C$3001,MATCH(B505,Jeux!$A$2:$A$3001,0))&amp;"","⚠ jeu inconnu"))</f>
        <v/>
      </c>
      <c r="H505" s="27" t="str">
        <f aca="false">IF(B505="","",IFERROR(INDEX(Jeux!$D$2:$D$3001,MATCH(B505,Jeux!$A$2:$A$3001,0))&amp;"",""))</f>
        <v/>
      </c>
      <c r="I505" s="26" t="str">
        <f aca="false">IF(A505="","",COUNTIF(Apparitions!$G$2:$G$5001,A505))</f>
        <v/>
      </c>
      <c r="J505" s="26" t="str">
        <f aca="false">IF(A505="","",COUNTIFS(Apparitions!$G$2:$G$5001,A505,Apparitions!$E$2:$E$5001,"○"))</f>
        <v/>
      </c>
      <c r="K505" s="29" t="str">
        <f aca="false">IF(A505="","",IFERROR(1/(1/_xlfn.MINIFS(Apparitions!$L$2:$L$5001,Apparitions!$G$2:$G$5001,A505)),""))</f>
        <v/>
      </c>
      <c r="L505" s="27" t="str">
        <f aca="false">IF(A505="","",A505&amp;" | "&amp;B505&amp;IF(C505="",""," ("&amp;C505&amp;")")&amp;IF(D505="",""," - "&amp;D505))</f>
        <v/>
      </c>
    </row>
    <row r="506" customFormat="false" ht="15" hidden="false" customHeight="false" outlineLevel="0" collapsed="false">
      <c r="A506" s="32"/>
      <c r="B506" s="19"/>
      <c r="C506" s="19"/>
      <c r="D506" s="19"/>
      <c r="E506" s="21"/>
      <c r="F506" s="19"/>
      <c r="G506" s="27" t="str">
        <f aca="false">IF(B506="","",IFERROR(INDEX(Jeux!$C$2:$C$3001,MATCH(B506,Jeux!$A$2:$A$3001,0))&amp;"","⚠ jeu inconnu"))</f>
        <v/>
      </c>
      <c r="H506" s="27" t="str">
        <f aca="false">IF(B506="","",IFERROR(INDEX(Jeux!$D$2:$D$3001,MATCH(B506,Jeux!$A$2:$A$3001,0))&amp;"",""))</f>
        <v/>
      </c>
      <c r="I506" s="26" t="str">
        <f aca="false">IF(A506="","",COUNTIF(Apparitions!$G$2:$G$5001,A506))</f>
        <v/>
      </c>
      <c r="J506" s="26" t="str">
        <f aca="false">IF(A506="","",COUNTIFS(Apparitions!$G$2:$G$5001,A506,Apparitions!$E$2:$E$5001,"○"))</f>
        <v/>
      </c>
      <c r="K506" s="29" t="str">
        <f aca="false">IF(A506="","",IFERROR(1/(1/_xlfn.MINIFS(Apparitions!$L$2:$L$5001,Apparitions!$G$2:$G$5001,A506)),""))</f>
        <v/>
      </c>
      <c r="L506" s="27" t="str">
        <f aca="false">IF(A506="","",A506&amp;" | "&amp;B506&amp;IF(C506="",""," ("&amp;C506&amp;")")&amp;IF(D506="",""," - "&amp;D506))</f>
        <v/>
      </c>
    </row>
    <row r="507" customFormat="false" ht="15" hidden="false" customHeight="false" outlineLevel="0" collapsed="false">
      <c r="A507" s="32"/>
      <c r="B507" s="19"/>
      <c r="C507" s="19"/>
      <c r="D507" s="19"/>
      <c r="E507" s="21"/>
      <c r="F507" s="19"/>
      <c r="G507" s="27" t="str">
        <f aca="false">IF(B507="","",IFERROR(INDEX(Jeux!$C$2:$C$3001,MATCH(B507,Jeux!$A$2:$A$3001,0))&amp;"","⚠ jeu inconnu"))</f>
        <v/>
      </c>
      <c r="H507" s="27" t="str">
        <f aca="false">IF(B507="","",IFERROR(INDEX(Jeux!$D$2:$D$3001,MATCH(B507,Jeux!$A$2:$A$3001,0))&amp;"",""))</f>
        <v/>
      </c>
      <c r="I507" s="26" t="str">
        <f aca="false">IF(A507="","",COUNTIF(Apparitions!$G$2:$G$5001,A507))</f>
        <v/>
      </c>
      <c r="J507" s="26" t="str">
        <f aca="false">IF(A507="","",COUNTIFS(Apparitions!$G$2:$G$5001,A507,Apparitions!$E$2:$E$5001,"○"))</f>
        <v/>
      </c>
      <c r="K507" s="29" t="str">
        <f aca="false">IF(A507="","",IFERROR(1/(1/_xlfn.MINIFS(Apparitions!$L$2:$L$5001,Apparitions!$G$2:$G$5001,A507)),""))</f>
        <v/>
      </c>
      <c r="L507" s="27" t="str">
        <f aca="false">IF(A507="","",A507&amp;" | "&amp;B507&amp;IF(C507="",""," ("&amp;C507&amp;")")&amp;IF(D507="",""," - "&amp;D507))</f>
        <v/>
      </c>
    </row>
    <row r="508" customFormat="false" ht="15" hidden="false" customHeight="false" outlineLevel="0" collapsed="false">
      <c r="A508" s="32"/>
      <c r="B508" s="19"/>
      <c r="C508" s="19"/>
      <c r="D508" s="19"/>
      <c r="E508" s="21"/>
      <c r="F508" s="19"/>
      <c r="G508" s="27" t="str">
        <f aca="false">IF(B508="","",IFERROR(INDEX(Jeux!$C$2:$C$3001,MATCH(B508,Jeux!$A$2:$A$3001,0))&amp;"","⚠ jeu inconnu"))</f>
        <v/>
      </c>
      <c r="H508" s="27" t="str">
        <f aca="false">IF(B508="","",IFERROR(INDEX(Jeux!$D$2:$D$3001,MATCH(B508,Jeux!$A$2:$A$3001,0))&amp;"",""))</f>
        <v/>
      </c>
      <c r="I508" s="26" t="str">
        <f aca="false">IF(A508="","",COUNTIF(Apparitions!$G$2:$G$5001,A508))</f>
        <v/>
      </c>
      <c r="J508" s="26" t="str">
        <f aca="false">IF(A508="","",COUNTIFS(Apparitions!$G$2:$G$5001,A508,Apparitions!$E$2:$E$5001,"○"))</f>
        <v/>
      </c>
      <c r="K508" s="29" t="str">
        <f aca="false">IF(A508="","",IFERROR(1/(1/_xlfn.MINIFS(Apparitions!$L$2:$L$5001,Apparitions!$G$2:$G$5001,A508)),""))</f>
        <v/>
      </c>
      <c r="L508" s="27" t="str">
        <f aca="false">IF(A508="","",A508&amp;" | "&amp;B508&amp;IF(C508="",""," ("&amp;C508&amp;")")&amp;IF(D508="",""," - "&amp;D508))</f>
        <v/>
      </c>
    </row>
    <row r="509" customFormat="false" ht="15" hidden="false" customHeight="false" outlineLevel="0" collapsed="false">
      <c r="A509" s="32"/>
      <c r="B509" s="19"/>
      <c r="C509" s="19"/>
      <c r="D509" s="19"/>
      <c r="E509" s="21"/>
      <c r="F509" s="19"/>
      <c r="G509" s="27" t="str">
        <f aca="false">IF(B509="","",IFERROR(INDEX(Jeux!$C$2:$C$3001,MATCH(B509,Jeux!$A$2:$A$3001,0))&amp;"","⚠ jeu inconnu"))</f>
        <v/>
      </c>
      <c r="H509" s="27" t="str">
        <f aca="false">IF(B509="","",IFERROR(INDEX(Jeux!$D$2:$D$3001,MATCH(B509,Jeux!$A$2:$A$3001,0))&amp;"",""))</f>
        <v/>
      </c>
      <c r="I509" s="26" t="str">
        <f aca="false">IF(A509="","",COUNTIF(Apparitions!$G$2:$G$5001,A509))</f>
        <v/>
      </c>
      <c r="J509" s="26" t="str">
        <f aca="false">IF(A509="","",COUNTIFS(Apparitions!$G$2:$G$5001,A509,Apparitions!$E$2:$E$5001,"○"))</f>
        <v/>
      </c>
      <c r="K509" s="29" t="str">
        <f aca="false">IF(A509="","",IFERROR(1/(1/_xlfn.MINIFS(Apparitions!$L$2:$L$5001,Apparitions!$G$2:$G$5001,A509)),""))</f>
        <v/>
      </c>
      <c r="L509" s="27" t="str">
        <f aca="false">IF(A509="","",A509&amp;" | "&amp;B509&amp;IF(C509="",""," ("&amp;C509&amp;")")&amp;IF(D509="",""," - "&amp;D509))</f>
        <v/>
      </c>
    </row>
    <row r="510" customFormat="false" ht="15" hidden="false" customHeight="false" outlineLevel="0" collapsed="false">
      <c r="A510" s="32"/>
      <c r="B510" s="19"/>
      <c r="C510" s="19"/>
      <c r="D510" s="19"/>
      <c r="E510" s="21"/>
      <c r="F510" s="19"/>
      <c r="G510" s="27" t="str">
        <f aca="false">IF(B510="","",IFERROR(INDEX(Jeux!$C$2:$C$3001,MATCH(B510,Jeux!$A$2:$A$3001,0))&amp;"","⚠ jeu inconnu"))</f>
        <v/>
      </c>
      <c r="H510" s="27" t="str">
        <f aca="false">IF(B510="","",IFERROR(INDEX(Jeux!$D$2:$D$3001,MATCH(B510,Jeux!$A$2:$A$3001,0))&amp;"",""))</f>
        <v/>
      </c>
      <c r="I510" s="26" t="str">
        <f aca="false">IF(A510="","",COUNTIF(Apparitions!$G$2:$G$5001,A510))</f>
        <v/>
      </c>
      <c r="J510" s="26" t="str">
        <f aca="false">IF(A510="","",COUNTIFS(Apparitions!$G$2:$G$5001,A510,Apparitions!$E$2:$E$5001,"○"))</f>
        <v/>
      </c>
      <c r="K510" s="29" t="str">
        <f aca="false">IF(A510="","",IFERROR(1/(1/_xlfn.MINIFS(Apparitions!$L$2:$L$5001,Apparitions!$G$2:$G$5001,A510)),""))</f>
        <v/>
      </c>
      <c r="L510" s="27" t="str">
        <f aca="false">IF(A510="","",A510&amp;" | "&amp;B510&amp;IF(C510="",""," ("&amp;C510&amp;")")&amp;IF(D510="",""," - "&amp;D510))</f>
        <v/>
      </c>
    </row>
    <row r="511" customFormat="false" ht="15" hidden="false" customHeight="false" outlineLevel="0" collapsed="false">
      <c r="A511" s="32"/>
      <c r="B511" s="19"/>
      <c r="C511" s="19"/>
      <c r="D511" s="19"/>
      <c r="E511" s="21"/>
      <c r="F511" s="19"/>
      <c r="G511" s="27" t="str">
        <f aca="false">IF(B511="","",IFERROR(INDEX(Jeux!$C$2:$C$3001,MATCH(B511,Jeux!$A$2:$A$3001,0))&amp;"","⚠ jeu inconnu"))</f>
        <v/>
      </c>
      <c r="H511" s="27" t="str">
        <f aca="false">IF(B511="","",IFERROR(INDEX(Jeux!$D$2:$D$3001,MATCH(B511,Jeux!$A$2:$A$3001,0))&amp;"",""))</f>
        <v/>
      </c>
      <c r="I511" s="26" t="str">
        <f aca="false">IF(A511="","",COUNTIF(Apparitions!$G$2:$G$5001,A511))</f>
        <v/>
      </c>
      <c r="J511" s="26" t="str">
        <f aca="false">IF(A511="","",COUNTIFS(Apparitions!$G$2:$G$5001,A511,Apparitions!$E$2:$E$5001,"○"))</f>
        <v/>
      </c>
      <c r="K511" s="29" t="str">
        <f aca="false">IF(A511="","",IFERROR(1/(1/_xlfn.MINIFS(Apparitions!$L$2:$L$5001,Apparitions!$G$2:$G$5001,A511)),""))</f>
        <v/>
      </c>
      <c r="L511" s="27" t="str">
        <f aca="false">IF(A511="","",A511&amp;" | "&amp;B511&amp;IF(C511="",""," ("&amp;C511&amp;")")&amp;IF(D511="",""," - "&amp;D511))</f>
        <v/>
      </c>
    </row>
    <row r="512" customFormat="false" ht="15" hidden="false" customHeight="false" outlineLevel="0" collapsed="false">
      <c r="A512" s="32"/>
      <c r="B512" s="19"/>
      <c r="C512" s="19"/>
      <c r="D512" s="19"/>
      <c r="E512" s="21"/>
      <c r="F512" s="19"/>
      <c r="G512" s="27" t="str">
        <f aca="false">IF(B512="","",IFERROR(INDEX(Jeux!$C$2:$C$3001,MATCH(B512,Jeux!$A$2:$A$3001,0))&amp;"","⚠ jeu inconnu"))</f>
        <v/>
      </c>
      <c r="H512" s="27" t="str">
        <f aca="false">IF(B512="","",IFERROR(INDEX(Jeux!$D$2:$D$3001,MATCH(B512,Jeux!$A$2:$A$3001,0))&amp;"",""))</f>
        <v/>
      </c>
      <c r="I512" s="26" t="str">
        <f aca="false">IF(A512="","",COUNTIF(Apparitions!$G$2:$G$5001,A512))</f>
        <v/>
      </c>
      <c r="J512" s="26" t="str">
        <f aca="false">IF(A512="","",COUNTIFS(Apparitions!$G$2:$G$5001,A512,Apparitions!$E$2:$E$5001,"○"))</f>
        <v/>
      </c>
      <c r="K512" s="29" t="str">
        <f aca="false">IF(A512="","",IFERROR(1/(1/_xlfn.MINIFS(Apparitions!$L$2:$L$5001,Apparitions!$G$2:$G$5001,A512)),""))</f>
        <v/>
      </c>
      <c r="L512" s="27" t="str">
        <f aca="false">IF(A512="","",A512&amp;" | "&amp;B512&amp;IF(C512="",""," ("&amp;C512&amp;")")&amp;IF(D512="",""," - "&amp;D512))</f>
        <v/>
      </c>
    </row>
    <row r="513" customFormat="false" ht="15" hidden="false" customHeight="false" outlineLevel="0" collapsed="false">
      <c r="A513" s="32"/>
      <c r="B513" s="19"/>
      <c r="C513" s="19"/>
      <c r="D513" s="19"/>
      <c r="E513" s="21"/>
      <c r="F513" s="19"/>
      <c r="G513" s="27" t="str">
        <f aca="false">IF(B513="","",IFERROR(INDEX(Jeux!$C$2:$C$3001,MATCH(B513,Jeux!$A$2:$A$3001,0))&amp;"","⚠ jeu inconnu"))</f>
        <v/>
      </c>
      <c r="H513" s="27" t="str">
        <f aca="false">IF(B513="","",IFERROR(INDEX(Jeux!$D$2:$D$3001,MATCH(B513,Jeux!$A$2:$A$3001,0))&amp;"",""))</f>
        <v/>
      </c>
      <c r="I513" s="26" t="str">
        <f aca="false">IF(A513="","",COUNTIF(Apparitions!$G$2:$G$5001,A513))</f>
        <v/>
      </c>
      <c r="J513" s="26" t="str">
        <f aca="false">IF(A513="","",COUNTIFS(Apparitions!$G$2:$G$5001,A513,Apparitions!$E$2:$E$5001,"○"))</f>
        <v/>
      </c>
      <c r="K513" s="29" t="str">
        <f aca="false">IF(A513="","",IFERROR(1/(1/_xlfn.MINIFS(Apparitions!$L$2:$L$5001,Apparitions!$G$2:$G$5001,A513)),""))</f>
        <v/>
      </c>
      <c r="L513" s="27" t="str">
        <f aca="false">IF(A513="","",A513&amp;" | "&amp;B513&amp;IF(C513="",""," ("&amp;C513&amp;")")&amp;IF(D513="",""," - "&amp;D513))</f>
        <v/>
      </c>
    </row>
    <row r="514" customFormat="false" ht="15" hidden="false" customHeight="false" outlineLevel="0" collapsed="false">
      <c r="A514" s="32"/>
      <c r="B514" s="19"/>
      <c r="C514" s="19"/>
      <c r="D514" s="19"/>
      <c r="E514" s="21"/>
      <c r="F514" s="19"/>
      <c r="G514" s="27" t="str">
        <f aca="false">IF(B514="","",IFERROR(INDEX(Jeux!$C$2:$C$3001,MATCH(B514,Jeux!$A$2:$A$3001,0))&amp;"","⚠ jeu inconnu"))</f>
        <v/>
      </c>
      <c r="H514" s="27" t="str">
        <f aca="false">IF(B514="","",IFERROR(INDEX(Jeux!$D$2:$D$3001,MATCH(B514,Jeux!$A$2:$A$3001,0))&amp;"",""))</f>
        <v/>
      </c>
      <c r="I514" s="26" t="str">
        <f aca="false">IF(A514="","",COUNTIF(Apparitions!$G$2:$G$5001,A514))</f>
        <v/>
      </c>
      <c r="J514" s="26" t="str">
        <f aca="false">IF(A514="","",COUNTIFS(Apparitions!$G$2:$G$5001,A514,Apparitions!$E$2:$E$5001,"○"))</f>
        <v/>
      </c>
      <c r="K514" s="29" t="str">
        <f aca="false">IF(A514="","",IFERROR(1/(1/_xlfn.MINIFS(Apparitions!$L$2:$L$5001,Apparitions!$G$2:$G$5001,A514)),""))</f>
        <v/>
      </c>
      <c r="L514" s="27" t="str">
        <f aca="false">IF(A514="","",A514&amp;" | "&amp;B514&amp;IF(C514="",""," ("&amp;C514&amp;")")&amp;IF(D514="",""," - "&amp;D514))</f>
        <v/>
      </c>
    </row>
    <row r="515" customFormat="false" ht="15" hidden="false" customHeight="false" outlineLevel="0" collapsed="false">
      <c r="A515" s="32"/>
      <c r="B515" s="19"/>
      <c r="C515" s="19"/>
      <c r="D515" s="19"/>
      <c r="E515" s="21"/>
      <c r="F515" s="19"/>
      <c r="G515" s="27" t="str">
        <f aca="false">IF(B515="","",IFERROR(INDEX(Jeux!$C$2:$C$3001,MATCH(B515,Jeux!$A$2:$A$3001,0))&amp;"","⚠ jeu inconnu"))</f>
        <v/>
      </c>
      <c r="H515" s="27" t="str">
        <f aca="false">IF(B515="","",IFERROR(INDEX(Jeux!$D$2:$D$3001,MATCH(B515,Jeux!$A$2:$A$3001,0))&amp;"",""))</f>
        <v/>
      </c>
      <c r="I515" s="26" t="str">
        <f aca="false">IF(A515="","",COUNTIF(Apparitions!$G$2:$G$5001,A515))</f>
        <v/>
      </c>
      <c r="J515" s="26" t="str">
        <f aca="false">IF(A515="","",COUNTIFS(Apparitions!$G$2:$G$5001,A515,Apparitions!$E$2:$E$5001,"○"))</f>
        <v/>
      </c>
      <c r="K515" s="29" t="str">
        <f aca="false">IF(A515="","",IFERROR(1/(1/_xlfn.MINIFS(Apparitions!$L$2:$L$5001,Apparitions!$G$2:$G$5001,A515)),""))</f>
        <v/>
      </c>
      <c r="L515" s="27" t="str">
        <f aca="false">IF(A515="","",A515&amp;" | "&amp;B515&amp;IF(C515="",""," ("&amp;C515&amp;")")&amp;IF(D515="",""," - "&amp;D515))</f>
        <v/>
      </c>
    </row>
    <row r="516" customFormat="false" ht="15" hidden="false" customHeight="false" outlineLevel="0" collapsed="false">
      <c r="A516" s="32"/>
      <c r="B516" s="19"/>
      <c r="C516" s="19"/>
      <c r="D516" s="19"/>
      <c r="E516" s="21"/>
      <c r="F516" s="19"/>
      <c r="G516" s="27" t="str">
        <f aca="false">IF(B516="","",IFERROR(INDEX(Jeux!$C$2:$C$3001,MATCH(B516,Jeux!$A$2:$A$3001,0))&amp;"","⚠ jeu inconnu"))</f>
        <v/>
      </c>
      <c r="H516" s="27" t="str">
        <f aca="false">IF(B516="","",IFERROR(INDEX(Jeux!$D$2:$D$3001,MATCH(B516,Jeux!$A$2:$A$3001,0))&amp;"",""))</f>
        <v/>
      </c>
      <c r="I516" s="26" t="str">
        <f aca="false">IF(A516="","",COUNTIF(Apparitions!$G$2:$G$5001,A516))</f>
        <v/>
      </c>
      <c r="J516" s="26" t="str">
        <f aca="false">IF(A516="","",COUNTIFS(Apparitions!$G$2:$G$5001,A516,Apparitions!$E$2:$E$5001,"○"))</f>
        <v/>
      </c>
      <c r="K516" s="29" t="str">
        <f aca="false">IF(A516="","",IFERROR(1/(1/_xlfn.MINIFS(Apparitions!$L$2:$L$5001,Apparitions!$G$2:$G$5001,A516)),""))</f>
        <v/>
      </c>
      <c r="L516" s="27" t="str">
        <f aca="false">IF(A516="","",A516&amp;" | "&amp;B516&amp;IF(C516="",""," ("&amp;C516&amp;")")&amp;IF(D516="",""," - "&amp;D516))</f>
        <v/>
      </c>
    </row>
    <row r="517" customFormat="false" ht="15" hidden="false" customHeight="false" outlineLevel="0" collapsed="false">
      <c r="A517" s="32"/>
      <c r="B517" s="19"/>
      <c r="C517" s="19"/>
      <c r="D517" s="19"/>
      <c r="E517" s="21"/>
      <c r="F517" s="19"/>
      <c r="G517" s="27" t="str">
        <f aca="false">IF(B517="","",IFERROR(INDEX(Jeux!$C$2:$C$3001,MATCH(B517,Jeux!$A$2:$A$3001,0))&amp;"","⚠ jeu inconnu"))</f>
        <v/>
      </c>
      <c r="H517" s="27" t="str">
        <f aca="false">IF(B517="","",IFERROR(INDEX(Jeux!$D$2:$D$3001,MATCH(B517,Jeux!$A$2:$A$3001,0))&amp;"",""))</f>
        <v/>
      </c>
      <c r="I517" s="26" t="str">
        <f aca="false">IF(A517="","",COUNTIF(Apparitions!$G$2:$G$5001,A517))</f>
        <v/>
      </c>
      <c r="J517" s="26" t="str">
        <f aca="false">IF(A517="","",COUNTIFS(Apparitions!$G$2:$G$5001,A517,Apparitions!$E$2:$E$5001,"○"))</f>
        <v/>
      </c>
      <c r="K517" s="29" t="str">
        <f aca="false">IF(A517="","",IFERROR(1/(1/_xlfn.MINIFS(Apparitions!$L$2:$L$5001,Apparitions!$G$2:$G$5001,A517)),""))</f>
        <v/>
      </c>
      <c r="L517" s="27" t="str">
        <f aca="false">IF(A517="","",A517&amp;" | "&amp;B517&amp;IF(C517="",""," ("&amp;C517&amp;")")&amp;IF(D517="",""," - "&amp;D517))</f>
        <v/>
      </c>
    </row>
    <row r="518" customFormat="false" ht="15" hidden="false" customHeight="false" outlineLevel="0" collapsed="false">
      <c r="A518" s="32"/>
      <c r="B518" s="19"/>
      <c r="C518" s="19"/>
      <c r="D518" s="19"/>
      <c r="E518" s="21"/>
      <c r="F518" s="19"/>
      <c r="G518" s="27" t="str">
        <f aca="false">IF(B518="","",IFERROR(INDEX(Jeux!$C$2:$C$3001,MATCH(B518,Jeux!$A$2:$A$3001,0))&amp;"","⚠ jeu inconnu"))</f>
        <v/>
      </c>
      <c r="H518" s="27" t="str">
        <f aca="false">IF(B518="","",IFERROR(INDEX(Jeux!$D$2:$D$3001,MATCH(B518,Jeux!$A$2:$A$3001,0))&amp;"",""))</f>
        <v/>
      </c>
      <c r="I518" s="26" t="str">
        <f aca="false">IF(A518="","",COUNTIF(Apparitions!$G$2:$G$5001,A518))</f>
        <v/>
      </c>
      <c r="J518" s="26" t="str">
        <f aca="false">IF(A518="","",COUNTIFS(Apparitions!$G$2:$G$5001,A518,Apparitions!$E$2:$E$5001,"○"))</f>
        <v/>
      </c>
      <c r="K518" s="29" t="str">
        <f aca="false">IF(A518="","",IFERROR(1/(1/_xlfn.MINIFS(Apparitions!$L$2:$L$5001,Apparitions!$G$2:$G$5001,A518)),""))</f>
        <v/>
      </c>
      <c r="L518" s="27" t="str">
        <f aca="false">IF(A518="","",A518&amp;" | "&amp;B518&amp;IF(C518="",""," ("&amp;C518&amp;")")&amp;IF(D518="",""," - "&amp;D518))</f>
        <v/>
      </c>
    </row>
    <row r="519" customFormat="false" ht="15" hidden="false" customHeight="false" outlineLevel="0" collapsed="false">
      <c r="A519" s="32"/>
      <c r="B519" s="19"/>
      <c r="C519" s="19"/>
      <c r="D519" s="19"/>
      <c r="E519" s="21"/>
      <c r="F519" s="19"/>
      <c r="G519" s="27" t="str">
        <f aca="false">IF(B519="","",IFERROR(INDEX(Jeux!$C$2:$C$3001,MATCH(B519,Jeux!$A$2:$A$3001,0))&amp;"","⚠ jeu inconnu"))</f>
        <v/>
      </c>
      <c r="H519" s="27" t="str">
        <f aca="false">IF(B519="","",IFERROR(INDEX(Jeux!$D$2:$D$3001,MATCH(B519,Jeux!$A$2:$A$3001,0))&amp;"",""))</f>
        <v/>
      </c>
      <c r="I519" s="26" t="str">
        <f aca="false">IF(A519="","",COUNTIF(Apparitions!$G$2:$G$5001,A519))</f>
        <v/>
      </c>
      <c r="J519" s="26" t="str">
        <f aca="false">IF(A519="","",COUNTIFS(Apparitions!$G$2:$G$5001,A519,Apparitions!$E$2:$E$5001,"○"))</f>
        <v/>
      </c>
      <c r="K519" s="29" t="str">
        <f aca="false">IF(A519="","",IFERROR(1/(1/_xlfn.MINIFS(Apparitions!$L$2:$L$5001,Apparitions!$G$2:$G$5001,A519)),""))</f>
        <v/>
      </c>
      <c r="L519" s="27" t="str">
        <f aca="false">IF(A519="","",A519&amp;" | "&amp;B519&amp;IF(C519="",""," ("&amp;C519&amp;")")&amp;IF(D519="",""," - "&amp;D519))</f>
        <v/>
      </c>
    </row>
    <row r="520" customFormat="false" ht="15" hidden="false" customHeight="false" outlineLevel="0" collapsed="false">
      <c r="A520" s="32"/>
      <c r="B520" s="19"/>
      <c r="C520" s="19"/>
      <c r="D520" s="19"/>
      <c r="E520" s="21"/>
      <c r="F520" s="19"/>
      <c r="G520" s="27" t="str">
        <f aca="false">IF(B520="","",IFERROR(INDEX(Jeux!$C$2:$C$3001,MATCH(B520,Jeux!$A$2:$A$3001,0))&amp;"","⚠ jeu inconnu"))</f>
        <v/>
      </c>
      <c r="H520" s="27" t="str">
        <f aca="false">IF(B520="","",IFERROR(INDEX(Jeux!$D$2:$D$3001,MATCH(B520,Jeux!$A$2:$A$3001,0))&amp;"",""))</f>
        <v/>
      </c>
      <c r="I520" s="26" t="str">
        <f aca="false">IF(A520="","",COUNTIF(Apparitions!$G$2:$G$5001,A520))</f>
        <v/>
      </c>
      <c r="J520" s="26" t="str">
        <f aca="false">IF(A520="","",COUNTIFS(Apparitions!$G$2:$G$5001,A520,Apparitions!$E$2:$E$5001,"○"))</f>
        <v/>
      </c>
      <c r="K520" s="29" t="str">
        <f aca="false">IF(A520="","",IFERROR(1/(1/_xlfn.MINIFS(Apparitions!$L$2:$L$5001,Apparitions!$G$2:$G$5001,A520)),""))</f>
        <v/>
      </c>
      <c r="L520" s="27" t="str">
        <f aca="false">IF(A520="","",A520&amp;" | "&amp;B520&amp;IF(C520="",""," ("&amp;C520&amp;")")&amp;IF(D520="",""," - "&amp;D520))</f>
        <v/>
      </c>
    </row>
    <row r="521" customFormat="false" ht="15" hidden="false" customHeight="false" outlineLevel="0" collapsed="false">
      <c r="A521" s="32"/>
      <c r="B521" s="19"/>
      <c r="C521" s="19"/>
      <c r="D521" s="19"/>
      <c r="E521" s="21"/>
      <c r="F521" s="19"/>
      <c r="G521" s="27" t="str">
        <f aca="false">IF(B521="","",IFERROR(INDEX(Jeux!$C$2:$C$3001,MATCH(B521,Jeux!$A$2:$A$3001,0))&amp;"","⚠ jeu inconnu"))</f>
        <v/>
      </c>
      <c r="H521" s="27" t="str">
        <f aca="false">IF(B521="","",IFERROR(INDEX(Jeux!$D$2:$D$3001,MATCH(B521,Jeux!$A$2:$A$3001,0))&amp;"",""))</f>
        <v/>
      </c>
      <c r="I521" s="26" t="str">
        <f aca="false">IF(A521="","",COUNTIF(Apparitions!$G$2:$G$5001,A521))</f>
        <v/>
      </c>
      <c r="J521" s="26" t="str">
        <f aca="false">IF(A521="","",COUNTIFS(Apparitions!$G$2:$G$5001,A521,Apparitions!$E$2:$E$5001,"○"))</f>
        <v/>
      </c>
      <c r="K521" s="29" t="str">
        <f aca="false">IF(A521="","",IFERROR(1/(1/_xlfn.MINIFS(Apparitions!$L$2:$L$5001,Apparitions!$G$2:$G$5001,A521)),""))</f>
        <v/>
      </c>
      <c r="L521" s="27" t="str">
        <f aca="false">IF(A521="","",A521&amp;" | "&amp;B521&amp;IF(C521="",""," ("&amp;C521&amp;")")&amp;IF(D521="",""," - "&amp;D521))</f>
        <v/>
      </c>
    </row>
    <row r="522" customFormat="false" ht="15" hidden="false" customHeight="false" outlineLevel="0" collapsed="false">
      <c r="A522" s="32"/>
      <c r="B522" s="19"/>
      <c r="C522" s="19"/>
      <c r="D522" s="19"/>
      <c r="E522" s="21"/>
      <c r="F522" s="19"/>
      <c r="G522" s="27" t="str">
        <f aca="false">IF(B522="","",IFERROR(INDEX(Jeux!$C$2:$C$3001,MATCH(B522,Jeux!$A$2:$A$3001,0))&amp;"","⚠ jeu inconnu"))</f>
        <v/>
      </c>
      <c r="H522" s="27" t="str">
        <f aca="false">IF(B522="","",IFERROR(INDEX(Jeux!$D$2:$D$3001,MATCH(B522,Jeux!$A$2:$A$3001,0))&amp;"",""))</f>
        <v/>
      </c>
      <c r="I522" s="26" t="str">
        <f aca="false">IF(A522="","",COUNTIF(Apparitions!$G$2:$G$5001,A522))</f>
        <v/>
      </c>
      <c r="J522" s="26" t="str">
        <f aca="false">IF(A522="","",COUNTIFS(Apparitions!$G$2:$G$5001,A522,Apparitions!$E$2:$E$5001,"○"))</f>
        <v/>
      </c>
      <c r="K522" s="29" t="str">
        <f aca="false">IF(A522="","",IFERROR(1/(1/_xlfn.MINIFS(Apparitions!$L$2:$L$5001,Apparitions!$G$2:$G$5001,A522)),""))</f>
        <v/>
      </c>
      <c r="L522" s="27" t="str">
        <f aca="false">IF(A522="","",A522&amp;" | "&amp;B522&amp;IF(C522="",""," ("&amp;C522&amp;")")&amp;IF(D522="",""," - "&amp;D522))</f>
        <v/>
      </c>
    </row>
    <row r="523" customFormat="false" ht="15" hidden="false" customHeight="false" outlineLevel="0" collapsed="false">
      <c r="A523" s="32"/>
      <c r="B523" s="19"/>
      <c r="C523" s="19"/>
      <c r="D523" s="19"/>
      <c r="E523" s="21"/>
      <c r="F523" s="19"/>
      <c r="G523" s="27" t="str">
        <f aca="false">IF(B523="","",IFERROR(INDEX(Jeux!$C$2:$C$3001,MATCH(B523,Jeux!$A$2:$A$3001,0))&amp;"","⚠ jeu inconnu"))</f>
        <v/>
      </c>
      <c r="H523" s="27" t="str">
        <f aca="false">IF(B523="","",IFERROR(INDEX(Jeux!$D$2:$D$3001,MATCH(B523,Jeux!$A$2:$A$3001,0))&amp;"",""))</f>
        <v/>
      </c>
      <c r="I523" s="26" t="str">
        <f aca="false">IF(A523="","",COUNTIF(Apparitions!$G$2:$G$5001,A523))</f>
        <v/>
      </c>
      <c r="J523" s="26" t="str">
        <f aca="false">IF(A523="","",COUNTIFS(Apparitions!$G$2:$G$5001,A523,Apparitions!$E$2:$E$5001,"○"))</f>
        <v/>
      </c>
      <c r="K523" s="29" t="str">
        <f aca="false">IF(A523="","",IFERROR(1/(1/_xlfn.MINIFS(Apparitions!$L$2:$L$5001,Apparitions!$G$2:$G$5001,A523)),""))</f>
        <v/>
      </c>
      <c r="L523" s="27" t="str">
        <f aca="false">IF(A523="","",A523&amp;" | "&amp;B523&amp;IF(C523="",""," ("&amp;C523&amp;")")&amp;IF(D523="",""," - "&amp;D523))</f>
        <v/>
      </c>
    </row>
    <row r="524" customFormat="false" ht="15" hidden="false" customHeight="false" outlineLevel="0" collapsed="false">
      <c r="A524" s="32"/>
      <c r="B524" s="19"/>
      <c r="C524" s="19"/>
      <c r="D524" s="19"/>
      <c r="E524" s="21"/>
      <c r="F524" s="19"/>
      <c r="G524" s="27" t="str">
        <f aca="false">IF(B524="","",IFERROR(INDEX(Jeux!$C$2:$C$3001,MATCH(B524,Jeux!$A$2:$A$3001,0))&amp;"","⚠ jeu inconnu"))</f>
        <v/>
      </c>
      <c r="H524" s="27" t="str">
        <f aca="false">IF(B524="","",IFERROR(INDEX(Jeux!$D$2:$D$3001,MATCH(B524,Jeux!$A$2:$A$3001,0))&amp;"",""))</f>
        <v/>
      </c>
      <c r="I524" s="26" t="str">
        <f aca="false">IF(A524="","",COUNTIF(Apparitions!$G$2:$G$5001,A524))</f>
        <v/>
      </c>
      <c r="J524" s="26" t="str">
        <f aca="false">IF(A524="","",COUNTIFS(Apparitions!$G$2:$G$5001,A524,Apparitions!$E$2:$E$5001,"○"))</f>
        <v/>
      </c>
      <c r="K524" s="29" t="str">
        <f aca="false">IF(A524="","",IFERROR(1/(1/_xlfn.MINIFS(Apparitions!$L$2:$L$5001,Apparitions!$G$2:$G$5001,A524)),""))</f>
        <v/>
      </c>
      <c r="L524" s="27" t="str">
        <f aca="false">IF(A524="","",A524&amp;" | "&amp;B524&amp;IF(C524="",""," ("&amp;C524&amp;")")&amp;IF(D524="",""," - "&amp;D524))</f>
        <v/>
      </c>
    </row>
    <row r="525" customFormat="false" ht="15" hidden="false" customHeight="false" outlineLevel="0" collapsed="false">
      <c r="A525" s="32"/>
      <c r="B525" s="19"/>
      <c r="C525" s="19"/>
      <c r="D525" s="19"/>
      <c r="E525" s="21"/>
      <c r="F525" s="19"/>
      <c r="G525" s="27" t="str">
        <f aca="false">IF(B525="","",IFERROR(INDEX(Jeux!$C$2:$C$3001,MATCH(B525,Jeux!$A$2:$A$3001,0))&amp;"","⚠ jeu inconnu"))</f>
        <v/>
      </c>
      <c r="H525" s="27" t="str">
        <f aca="false">IF(B525="","",IFERROR(INDEX(Jeux!$D$2:$D$3001,MATCH(B525,Jeux!$A$2:$A$3001,0))&amp;"",""))</f>
        <v/>
      </c>
      <c r="I525" s="26" t="str">
        <f aca="false">IF(A525="","",COUNTIF(Apparitions!$G$2:$G$5001,A525))</f>
        <v/>
      </c>
      <c r="J525" s="26" t="str">
        <f aca="false">IF(A525="","",COUNTIFS(Apparitions!$G$2:$G$5001,A525,Apparitions!$E$2:$E$5001,"○"))</f>
        <v/>
      </c>
      <c r="K525" s="29" t="str">
        <f aca="false">IF(A525="","",IFERROR(1/(1/_xlfn.MINIFS(Apparitions!$L$2:$L$5001,Apparitions!$G$2:$G$5001,A525)),""))</f>
        <v/>
      </c>
      <c r="L525" s="27" t="str">
        <f aca="false">IF(A525="","",A525&amp;" | "&amp;B525&amp;IF(C525="",""," ("&amp;C525&amp;")")&amp;IF(D525="",""," - "&amp;D525))</f>
        <v/>
      </c>
    </row>
    <row r="526" customFormat="false" ht="15" hidden="false" customHeight="false" outlineLevel="0" collapsed="false">
      <c r="A526" s="32"/>
      <c r="B526" s="19"/>
      <c r="C526" s="19"/>
      <c r="D526" s="19"/>
      <c r="E526" s="21"/>
      <c r="F526" s="19"/>
      <c r="G526" s="27" t="str">
        <f aca="false">IF(B526="","",IFERROR(INDEX(Jeux!$C$2:$C$3001,MATCH(B526,Jeux!$A$2:$A$3001,0))&amp;"","⚠ jeu inconnu"))</f>
        <v/>
      </c>
      <c r="H526" s="27" t="str">
        <f aca="false">IF(B526="","",IFERROR(INDEX(Jeux!$D$2:$D$3001,MATCH(B526,Jeux!$A$2:$A$3001,0))&amp;"",""))</f>
        <v/>
      </c>
      <c r="I526" s="26" t="str">
        <f aca="false">IF(A526="","",COUNTIF(Apparitions!$G$2:$G$5001,A526))</f>
        <v/>
      </c>
      <c r="J526" s="26" t="str">
        <f aca="false">IF(A526="","",COUNTIFS(Apparitions!$G$2:$G$5001,A526,Apparitions!$E$2:$E$5001,"○"))</f>
        <v/>
      </c>
      <c r="K526" s="29" t="str">
        <f aca="false">IF(A526="","",IFERROR(1/(1/_xlfn.MINIFS(Apparitions!$L$2:$L$5001,Apparitions!$G$2:$G$5001,A526)),""))</f>
        <v/>
      </c>
      <c r="L526" s="27" t="str">
        <f aca="false">IF(A526="","",A526&amp;" | "&amp;B526&amp;IF(C526="",""," ("&amp;C526&amp;")")&amp;IF(D526="",""," - "&amp;D526))</f>
        <v/>
      </c>
    </row>
    <row r="527" customFormat="false" ht="15" hidden="false" customHeight="false" outlineLevel="0" collapsed="false">
      <c r="A527" s="32"/>
      <c r="B527" s="19"/>
      <c r="C527" s="19"/>
      <c r="D527" s="19"/>
      <c r="E527" s="21"/>
      <c r="F527" s="19"/>
      <c r="G527" s="27" t="str">
        <f aca="false">IF(B527="","",IFERROR(INDEX(Jeux!$C$2:$C$3001,MATCH(B527,Jeux!$A$2:$A$3001,0))&amp;"","⚠ jeu inconnu"))</f>
        <v/>
      </c>
      <c r="H527" s="27" t="str">
        <f aca="false">IF(B527="","",IFERROR(INDEX(Jeux!$D$2:$D$3001,MATCH(B527,Jeux!$A$2:$A$3001,0))&amp;"",""))</f>
        <v/>
      </c>
      <c r="I527" s="26" t="str">
        <f aca="false">IF(A527="","",COUNTIF(Apparitions!$G$2:$G$5001,A527))</f>
        <v/>
      </c>
      <c r="J527" s="26" t="str">
        <f aca="false">IF(A527="","",COUNTIFS(Apparitions!$G$2:$G$5001,A527,Apparitions!$E$2:$E$5001,"○"))</f>
        <v/>
      </c>
      <c r="K527" s="29" t="str">
        <f aca="false">IF(A527="","",IFERROR(1/(1/_xlfn.MINIFS(Apparitions!$L$2:$L$5001,Apparitions!$G$2:$G$5001,A527)),""))</f>
        <v/>
      </c>
      <c r="L527" s="27" t="str">
        <f aca="false">IF(A527="","",A527&amp;" | "&amp;B527&amp;IF(C527="",""," ("&amp;C527&amp;")")&amp;IF(D527="",""," - "&amp;D527))</f>
        <v/>
      </c>
    </row>
    <row r="528" customFormat="false" ht="15" hidden="false" customHeight="false" outlineLevel="0" collapsed="false">
      <c r="A528" s="32"/>
      <c r="B528" s="19"/>
      <c r="C528" s="19"/>
      <c r="D528" s="19"/>
      <c r="E528" s="21"/>
      <c r="F528" s="19"/>
      <c r="G528" s="27" t="str">
        <f aca="false">IF(B528="","",IFERROR(INDEX(Jeux!$C$2:$C$3001,MATCH(B528,Jeux!$A$2:$A$3001,0))&amp;"","⚠ jeu inconnu"))</f>
        <v/>
      </c>
      <c r="H528" s="27" t="str">
        <f aca="false">IF(B528="","",IFERROR(INDEX(Jeux!$D$2:$D$3001,MATCH(B528,Jeux!$A$2:$A$3001,0))&amp;"",""))</f>
        <v/>
      </c>
      <c r="I528" s="26" t="str">
        <f aca="false">IF(A528="","",COUNTIF(Apparitions!$G$2:$G$5001,A528))</f>
        <v/>
      </c>
      <c r="J528" s="26" t="str">
        <f aca="false">IF(A528="","",COUNTIFS(Apparitions!$G$2:$G$5001,A528,Apparitions!$E$2:$E$5001,"○"))</f>
        <v/>
      </c>
      <c r="K528" s="29" t="str">
        <f aca="false">IF(A528="","",IFERROR(1/(1/_xlfn.MINIFS(Apparitions!$L$2:$L$5001,Apparitions!$G$2:$G$5001,A528)),""))</f>
        <v/>
      </c>
      <c r="L528" s="27" t="str">
        <f aca="false">IF(A528="","",A528&amp;" | "&amp;B528&amp;IF(C528="",""," ("&amp;C528&amp;")")&amp;IF(D528="",""," - "&amp;D528))</f>
        <v/>
      </c>
    </row>
    <row r="529" customFormat="false" ht="15" hidden="false" customHeight="false" outlineLevel="0" collapsed="false">
      <c r="A529" s="32"/>
      <c r="B529" s="19"/>
      <c r="C529" s="19"/>
      <c r="D529" s="19"/>
      <c r="E529" s="21"/>
      <c r="F529" s="19"/>
      <c r="G529" s="27" t="str">
        <f aca="false">IF(B529="","",IFERROR(INDEX(Jeux!$C$2:$C$3001,MATCH(B529,Jeux!$A$2:$A$3001,0))&amp;"","⚠ jeu inconnu"))</f>
        <v/>
      </c>
      <c r="H529" s="27" t="str">
        <f aca="false">IF(B529="","",IFERROR(INDEX(Jeux!$D$2:$D$3001,MATCH(B529,Jeux!$A$2:$A$3001,0))&amp;"",""))</f>
        <v/>
      </c>
      <c r="I529" s="26" t="str">
        <f aca="false">IF(A529="","",COUNTIF(Apparitions!$G$2:$G$5001,A529))</f>
        <v/>
      </c>
      <c r="J529" s="26" t="str">
        <f aca="false">IF(A529="","",COUNTIFS(Apparitions!$G$2:$G$5001,A529,Apparitions!$E$2:$E$5001,"○"))</f>
        <v/>
      </c>
      <c r="K529" s="29" t="str">
        <f aca="false">IF(A529="","",IFERROR(1/(1/_xlfn.MINIFS(Apparitions!$L$2:$L$5001,Apparitions!$G$2:$G$5001,A529)),""))</f>
        <v/>
      </c>
      <c r="L529" s="27" t="str">
        <f aca="false">IF(A529="","",A529&amp;" | "&amp;B529&amp;IF(C529="",""," ("&amp;C529&amp;")")&amp;IF(D529="",""," - "&amp;D529))</f>
        <v/>
      </c>
    </row>
    <row r="530" customFormat="false" ht="15" hidden="false" customHeight="false" outlineLevel="0" collapsed="false">
      <c r="A530" s="32"/>
      <c r="B530" s="19"/>
      <c r="C530" s="19"/>
      <c r="D530" s="19"/>
      <c r="E530" s="21"/>
      <c r="F530" s="19"/>
      <c r="G530" s="27" t="str">
        <f aca="false">IF(B530="","",IFERROR(INDEX(Jeux!$C$2:$C$3001,MATCH(B530,Jeux!$A$2:$A$3001,0))&amp;"","⚠ jeu inconnu"))</f>
        <v/>
      </c>
      <c r="H530" s="27" t="str">
        <f aca="false">IF(B530="","",IFERROR(INDEX(Jeux!$D$2:$D$3001,MATCH(B530,Jeux!$A$2:$A$3001,0))&amp;"",""))</f>
        <v/>
      </c>
      <c r="I530" s="26" t="str">
        <f aca="false">IF(A530="","",COUNTIF(Apparitions!$G$2:$G$5001,A530))</f>
        <v/>
      </c>
      <c r="J530" s="26" t="str">
        <f aca="false">IF(A530="","",COUNTIFS(Apparitions!$G$2:$G$5001,A530,Apparitions!$E$2:$E$5001,"○"))</f>
        <v/>
      </c>
      <c r="K530" s="29" t="str">
        <f aca="false">IF(A530="","",IFERROR(1/(1/_xlfn.MINIFS(Apparitions!$L$2:$L$5001,Apparitions!$G$2:$G$5001,A530)),""))</f>
        <v/>
      </c>
      <c r="L530" s="27" t="str">
        <f aca="false">IF(A530="","",A530&amp;" | "&amp;B530&amp;IF(C530="",""," ("&amp;C530&amp;")")&amp;IF(D530="",""," - "&amp;D530))</f>
        <v/>
      </c>
    </row>
    <row r="531" customFormat="false" ht="15" hidden="false" customHeight="false" outlineLevel="0" collapsed="false">
      <c r="A531" s="32"/>
      <c r="B531" s="19"/>
      <c r="C531" s="19"/>
      <c r="D531" s="19"/>
      <c r="E531" s="21"/>
      <c r="F531" s="19"/>
      <c r="G531" s="27" t="str">
        <f aca="false">IF(B531="","",IFERROR(INDEX(Jeux!$C$2:$C$3001,MATCH(B531,Jeux!$A$2:$A$3001,0))&amp;"","⚠ jeu inconnu"))</f>
        <v/>
      </c>
      <c r="H531" s="27" t="str">
        <f aca="false">IF(B531="","",IFERROR(INDEX(Jeux!$D$2:$D$3001,MATCH(B531,Jeux!$A$2:$A$3001,0))&amp;"",""))</f>
        <v/>
      </c>
      <c r="I531" s="26" t="str">
        <f aca="false">IF(A531="","",COUNTIF(Apparitions!$G$2:$G$5001,A531))</f>
        <v/>
      </c>
      <c r="J531" s="26" t="str">
        <f aca="false">IF(A531="","",COUNTIFS(Apparitions!$G$2:$G$5001,A531,Apparitions!$E$2:$E$5001,"○"))</f>
        <v/>
      </c>
      <c r="K531" s="29" t="str">
        <f aca="false">IF(A531="","",IFERROR(1/(1/_xlfn.MINIFS(Apparitions!$L$2:$L$5001,Apparitions!$G$2:$G$5001,A531)),""))</f>
        <v/>
      </c>
      <c r="L531" s="27" t="str">
        <f aca="false">IF(A531="","",A531&amp;" | "&amp;B531&amp;IF(C531="",""," ("&amp;C531&amp;")")&amp;IF(D531="",""," - "&amp;D531))</f>
        <v/>
      </c>
    </row>
    <row r="532" customFormat="false" ht="15" hidden="false" customHeight="false" outlineLevel="0" collapsed="false">
      <c r="A532" s="32"/>
      <c r="B532" s="19"/>
      <c r="C532" s="19"/>
      <c r="D532" s="19"/>
      <c r="E532" s="21"/>
      <c r="F532" s="19"/>
      <c r="G532" s="27" t="str">
        <f aca="false">IF(B532="","",IFERROR(INDEX(Jeux!$C$2:$C$3001,MATCH(B532,Jeux!$A$2:$A$3001,0))&amp;"","⚠ jeu inconnu"))</f>
        <v/>
      </c>
      <c r="H532" s="27" t="str">
        <f aca="false">IF(B532="","",IFERROR(INDEX(Jeux!$D$2:$D$3001,MATCH(B532,Jeux!$A$2:$A$3001,0))&amp;"",""))</f>
        <v/>
      </c>
      <c r="I532" s="26" t="str">
        <f aca="false">IF(A532="","",COUNTIF(Apparitions!$G$2:$G$5001,A532))</f>
        <v/>
      </c>
      <c r="J532" s="26" t="str">
        <f aca="false">IF(A532="","",COUNTIFS(Apparitions!$G$2:$G$5001,A532,Apparitions!$E$2:$E$5001,"○"))</f>
        <v/>
      </c>
      <c r="K532" s="29" t="str">
        <f aca="false">IF(A532="","",IFERROR(1/(1/_xlfn.MINIFS(Apparitions!$L$2:$L$5001,Apparitions!$G$2:$G$5001,A532)),""))</f>
        <v/>
      </c>
      <c r="L532" s="27" t="str">
        <f aca="false">IF(A532="","",A532&amp;" | "&amp;B532&amp;IF(C532="",""," ("&amp;C532&amp;")")&amp;IF(D532="",""," - "&amp;D532))</f>
        <v/>
      </c>
    </row>
    <row r="533" customFormat="false" ht="15" hidden="false" customHeight="false" outlineLevel="0" collapsed="false">
      <c r="A533" s="32"/>
      <c r="B533" s="19"/>
      <c r="C533" s="19"/>
      <c r="D533" s="19"/>
      <c r="E533" s="21"/>
      <c r="F533" s="19"/>
      <c r="G533" s="27" t="str">
        <f aca="false">IF(B533="","",IFERROR(INDEX(Jeux!$C$2:$C$3001,MATCH(B533,Jeux!$A$2:$A$3001,0))&amp;"","⚠ jeu inconnu"))</f>
        <v/>
      </c>
      <c r="H533" s="27" t="str">
        <f aca="false">IF(B533="","",IFERROR(INDEX(Jeux!$D$2:$D$3001,MATCH(B533,Jeux!$A$2:$A$3001,0))&amp;"",""))</f>
        <v/>
      </c>
      <c r="I533" s="26" t="str">
        <f aca="false">IF(A533="","",COUNTIF(Apparitions!$G$2:$G$5001,A533))</f>
        <v/>
      </c>
      <c r="J533" s="26" t="str">
        <f aca="false">IF(A533="","",COUNTIFS(Apparitions!$G$2:$G$5001,A533,Apparitions!$E$2:$E$5001,"○"))</f>
        <v/>
      </c>
      <c r="K533" s="29" t="str">
        <f aca="false">IF(A533="","",IFERROR(1/(1/_xlfn.MINIFS(Apparitions!$L$2:$L$5001,Apparitions!$G$2:$G$5001,A533)),""))</f>
        <v/>
      </c>
      <c r="L533" s="27" t="str">
        <f aca="false">IF(A533="","",A533&amp;" | "&amp;B533&amp;IF(C533="",""," ("&amp;C533&amp;")")&amp;IF(D533="",""," - "&amp;D533))</f>
        <v/>
      </c>
    </row>
    <row r="534" customFormat="false" ht="15" hidden="false" customHeight="false" outlineLevel="0" collapsed="false">
      <c r="A534" s="32"/>
      <c r="B534" s="19"/>
      <c r="C534" s="19"/>
      <c r="D534" s="19"/>
      <c r="E534" s="21"/>
      <c r="F534" s="19"/>
      <c r="G534" s="27" t="str">
        <f aca="false">IF(B534="","",IFERROR(INDEX(Jeux!$C$2:$C$3001,MATCH(B534,Jeux!$A$2:$A$3001,0))&amp;"","⚠ jeu inconnu"))</f>
        <v/>
      </c>
      <c r="H534" s="27" t="str">
        <f aca="false">IF(B534="","",IFERROR(INDEX(Jeux!$D$2:$D$3001,MATCH(B534,Jeux!$A$2:$A$3001,0))&amp;"",""))</f>
        <v/>
      </c>
      <c r="I534" s="26" t="str">
        <f aca="false">IF(A534="","",COUNTIF(Apparitions!$G$2:$G$5001,A534))</f>
        <v/>
      </c>
      <c r="J534" s="26" t="str">
        <f aca="false">IF(A534="","",COUNTIFS(Apparitions!$G$2:$G$5001,A534,Apparitions!$E$2:$E$5001,"○"))</f>
        <v/>
      </c>
      <c r="K534" s="29" t="str">
        <f aca="false">IF(A534="","",IFERROR(1/(1/_xlfn.MINIFS(Apparitions!$L$2:$L$5001,Apparitions!$G$2:$G$5001,A534)),""))</f>
        <v/>
      </c>
      <c r="L534" s="27" t="str">
        <f aca="false">IF(A534="","",A534&amp;" | "&amp;B534&amp;IF(C534="",""," ("&amp;C534&amp;")")&amp;IF(D534="",""," - "&amp;D534))</f>
        <v/>
      </c>
    </row>
    <row r="535" customFormat="false" ht="15" hidden="false" customHeight="false" outlineLevel="0" collapsed="false">
      <c r="A535" s="32"/>
      <c r="B535" s="19"/>
      <c r="C535" s="19"/>
      <c r="D535" s="19"/>
      <c r="E535" s="21"/>
      <c r="F535" s="19"/>
      <c r="G535" s="27" t="str">
        <f aca="false">IF(B535="","",IFERROR(INDEX(Jeux!$C$2:$C$3001,MATCH(B535,Jeux!$A$2:$A$3001,0))&amp;"","⚠ jeu inconnu"))</f>
        <v/>
      </c>
      <c r="H535" s="27" t="str">
        <f aca="false">IF(B535="","",IFERROR(INDEX(Jeux!$D$2:$D$3001,MATCH(B535,Jeux!$A$2:$A$3001,0))&amp;"",""))</f>
        <v/>
      </c>
      <c r="I535" s="26" t="str">
        <f aca="false">IF(A535="","",COUNTIF(Apparitions!$G$2:$G$5001,A535))</f>
        <v/>
      </c>
      <c r="J535" s="26" t="str">
        <f aca="false">IF(A535="","",COUNTIFS(Apparitions!$G$2:$G$5001,A535,Apparitions!$E$2:$E$5001,"○"))</f>
        <v/>
      </c>
      <c r="K535" s="29" t="str">
        <f aca="false">IF(A535="","",IFERROR(1/(1/_xlfn.MINIFS(Apparitions!$L$2:$L$5001,Apparitions!$G$2:$G$5001,A535)),""))</f>
        <v/>
      </c>
      <c r="L535" s="27" t="str">
        <f aca="false">IF(A535="","",A535&amp;" | "&amp;B535&amp;IF(C535="",""," ("&amp;C535&amp;")")&amp;IF(D535="",""," - "&amp;D535))</f>
        <v/>
      </c>
    </row>
    <row r="536" customFormat="false" ht="15" hidden="false" customHeight="false" outlineLevel="0" collapsed="false">
      <c r="A536" s="32"/>
      <c r="B536" s="19"/>
      <c r="C536" s="19"/>
      <c r="D536" s="19"/>
      <c r="E536" s="21"/>
      <c r="F536" s="19"/>
      <c r="G536" s="27" t="str">
        <f aca="false">IF(B536="","",IFERROR(INDEX(Jeux!$C$2:$C$3001,MATCH(B536,Jeux!$A$2:$A$3001,0))&amp;"","⚠ jeu inconnu"))</f>
        <v/>
      </c>
      <c r="H536" s="27" t="str">
        <f aca="false">IF(B536="","",IFERROR(INDEX(Jeux!$D$2:$D$3001,MATCH(B536,Jeux!$A$2:$A$3001,0))&amp;"",""))</f>
        <v/>
      </c>
      <c r="I536" s="26" t="str">
        <f aca="false">IF(A536="","",COUNTIF(Apparitions!$G$2:$G$5001,A536))</f>
        <v/>
      </c>
      <c r="J536" s="26" t="str">
        <f aca="false">IF(A536="","",COUNTIFS(Apparitions!$G$2:$G$5001,A536,Apparitions!$E$2:$E$5001,"○"))</f>
        <v/>
      </c>
      <c r="K536" s="29" t="str">
        <f aca="false">IF(A536="","",IFERROR(1/(1/_xlfn.MINIFS(Apparitions!$L$2:$L$5001,Apparitions!$G$2:$G$5001,A536)),""))</f>
        <v/>
      </c>
      <c r="L536" s="27" t="str">
        <f aca="false">IF(A536="","",A536&amp;" | "&amp;B536&amp;IF(C536="",""," ("&amp;C536&amp;")")&amp;IF(D536="",""," - "&amp;D536))</f>
        <v/>
      </c>
    </row>
    <row r="537" customFormat="false" ht="15" hidden="false" customHeight="false" outlineLevel="0" collapsed="false">
      <c r="A537" s="32"/>
      <c r="B537" s="19"/>
      <c r="C537" s="19"/>
      <c r="D537" s="19"/>
      <c r="E537" s="21"/>
      <c r="F537" s="19"/>
      <c r="G537" s="27" t="str">
        <f aca="false">IF(B537="","",IFERROR(INDEX(Jeux!$C$2:$C$3001,MATCH(B537,Jeux!$A$2:$A$3001,0))&amp;"","⚠ jeu inconnu"))</f>
        <v/>
      </c>
      <c r="H537" s="27" t="str">
        <f aca="false">IF(B537="","",IFERROR(INDEX(Jeux!$D$2:$D$3001,MATCH(B537,Jeux!$A$2:$A$3001,0))&amp;"",""))</f>
        <v/>
      </c>
      <c r="I537" s="26" t="str">
        <f aca="false">IF(A537="","",COUNTIF(Apparitions!$G$2:$G$5001,A537))</f>
        <v/>
      </c>
      <c r="J537" s="26" t="str">
        <f aca="false">IF(A537="","",COUNTIFS(Apparitions!$G$2:$G$5001,A537,Apparitions!$E$2:$E$5001,"○"))</f>
        <v/>
      </c>
      <c r="K537" s="29" t="str">
        <f aca="false">IF(A537="","",IFERROR(1/(1/_xlfn.MINIFS(Apparitions!$L$2:$L$5001,Apparitions!$G$2:$G$5001,A537)),""))</f>
        <v/>
      </c>
      <c r="L537" s="27" t="str">
        <f aca="false">IF(A537="","",A537&amp;" | "&amp;B537&amp;IF(C537="",""," ("&amp;C537&amp;")")&amp;IF(D537="",""," - "&amp;D537))</f>
        <v/>
      </c>
    </row>
    <row r="538" customFormat="false" ht="15" hidden="false" customHeight="false" outlineLevel="0" collapsed="false">
      <c r="A538" s="32"/>
      <c r="B538" s="19"/>
      <c r="C538" s="19"/>
      <c r="D538" s="19"/>
      <c r="E538" s="21"/>
      <c r="F538" s="19"/>
      <c r="G538" s="27" t="str">
        <f aca="false">IF(B538="","",IFERROR(INDEX(Jeux!$C$2:$C$3001,MATCH(B538,Jeux!$A$2:$A$3001,0))&amp;"","⚠ jeu inconnu"))</f>
        <v/>
      </c>
      <c r="H538" s="27" t="str">
        <f aca="false">IF(B538="","",IFERROR(INDEX(Jeux!$D$2:$D$3001,MATCH(B538,Jeux!$A$2:$A$3001,0))&amp;"",""))</f>
        <v/>
      </c>
      <c r="I538" s="26" t="str">
        <f aca="false">IF(A538="","",COUNTIF(Apparitions!$G$2:$G$5001,A538))</f>
        <v/>
      </c>
      <c r="J538" s="26" t="str">
        <f aca="false">IF(A538="","",COUNTIFS(Apparitions!$G$2:$G$5001,A538,Apparitions!$E$2:$E$5001,"○"))</f>
        <v/>
      </c>
      <c r="K538" s="29" t="str">
        <f aca="false">IF(A538="","",IFERROR(1/(1/_xlfn.MINIFS(Apparitions!$L$2:$L$5001,Apparitions!$G$2:$G$5001,A538)),""))</f>
        <v/>
      </c>
      <c r="L538" s="27" t="str">
        <f aca="false">IF(A538="","",A538&amp;" | "&amp;B538&amp;IF(C538="",""," ("&amp;C538&amp;")")&amp;IF(D538="",""," - "&amp;D538))</f>
        <v/>
      </c>
    </row>
    <row r="539" customFormat="false" ht="15" hidden="false" customHeight="false" outlineLevel="0" collapsed="false">
      <c r="A539" s="32"/>
      <c r="B539" s="19"/>
      <c r="C539" s="19"/>
      <c r="D539" s="19"/>
      <c r="E539" s="21"/>
      <c r="F539" s="19"/>
      <c r="G539" s="27" t="str">
        <f aca="false">IF(B539="","",IFERROR(INDEX(Jeux!$C$2:$C$3001,MATCH(B539,Jeux!$A$2:$A$3001,0))&amp;"","⚠ jeu inconnu"))</f>
        <v/>
      </c>
      <c r="H539" s="27" t="str">
        <f aca="false">IF(B539="","",IFERROR(INDEX(Jeux!$D$2:$D$3001,MATCH(B539,Jeux!$A$2:$A$3001,0))&amp;"",""))</f>
        <v/>
      </c>
      <c r="I539" s="26" t="str">
        <f aca="false">IF(A539="","",COUNTIF(Apparitions!$G$2:$G$5001,A539))</f>
        <v/>
      </c>
      <c r="J539" s="26" t="str">
        <f aca="false">IF(A539="","",COUNTIFS(Apparitions!$G$2:$G$5001,A539,Apparitions!$E$2:$E$5001,"○"))</f>
        <v/>
      </c>
      <c r="K539" s="29" t="str">
        <f aca="false">IF(A539="","",IFERROR(1/(1/_xlfn.MINIFS(Apparitions!$L$2:$L$5001,Apparitions!$G$2:$G$5001,A539)),""))</f>
        <v/>
      </c>
      <c r="L539" s="27" t="str">
        <f aca="false">IF(A539="","",A539&amp;" | "&amp;B539&amp;IF(C539="",""," ("&amp;C539&amp;")")&amp;IF(D539="",""," - "&amp;D539))</f>
        <v/>
      </c>
    </row>
    <row r="540" customFormat="false" ht="15" hidden="false" customHeight="false" outlineLevel="0" collapsed="false">
      <c r="A540" s="32"/>
      <c r="B540" s="19"/>
      <c r="C540" s="19"/>
      <c r="D540" s="19"/>
      <c r="E540" s="21"/>
      <c r="F540" s="19"/>
      <c r="G540" s="27" t="str">
        <f aca="false">IF(B540="","",IFERROR(INDEX(Jeux!$C$2:$C$3001,MATCH(B540,Jeux!$A$2:$A$3001,0))&amp;"","⚠ jeu inconnu"))</f>
        <v/>
      </c>
      <c r="H540" s="27" t="str">
        <f aca="false">IF(B540="","",IFERROR(INDEX(Jeux!$D$2:$D$3001,MATCH(B540,Jeux!$A$2:$A$3001,0))&amp;"",""))</f>
        <v/>
      </c>
      <c r="I540" s="26" t="str">
        <f aca="false">IF(A540="","",COUNTIF(Apparitions!$G$2:$G$5001,A540))</f>
        <v/>
      </c>
      <c r="J540" s="26" t="str">
        <f aca="false">IF(A540="","",COUNTIFS(Apparitions!$G$2:$G$5001,A540,Apparitions!$E$2:$E$5001,"○"))</f>
        <v/>
      </c>
      <c r="K540" s="29" t="str">
        <f aca="false">IF(A540="","",IFERROR(1/(1/_xlfn.MINIFS(Apparitions!$L$2:$L$5001,Apparitions!$G$2:$G$5001,A540)),""))</f>
        <v/>
      </c>
      <c r="L540" s="27" t="str">
        <f aca="false">IF(A540="","",A540&amp;" | "&amp;B540&amp;IF(C540="",""," ("&amp;C540&amp;")")&amp;IF(D540="",""," - "&amp;D540))</f>
        <v/>
      </c>
    </row>
    <row r="541" customFormat="false" ht="15" hidden="false" customHeight="false" outlineLevel="0" collapsed="false">
      <c r="A541" s="32"/>
      <c r="B541" s="19"/>
      <c r="C541" s="19"/>
      <c r="D541" s="19"/>
      <c r="E541" s="21"/>
      <c r="F541" s="19"/>
      <c r="G541" s="27" t="str">
        <f aca="false">IF(B541="","",IFERROR(INDEX(Jeux!$C$2:$C$3001,MATCH(B541,Jeux!$A$2:$A$3001,0))&amp;"","⚠ jeu inconnu"))</f>
        <v/>
      </c>
      <c r="H541" s="27" t="str">
        <f aca="false">IF(B541="","",IFERROR(INDEX(Jeux!$D$2:$D$3001,MATCH(B541,Jeux!$A$2:$A$3001,0))&amp;"",""))</f>
        <v/>
      </c>
      <c r="I541" s="26" t="str">
        <f aca="false">IF(A541="","",COUNTIF(Apparitions!$G$2:$G$5001,A541))</f>
        <v/>
      </c>
      <c r="J541" s="26" t="str">
        <f aca="false">IF(A541="","",COUNTIFS(Apparitions!$G$2:$G$5001,A541,Apparitions!$E$2:$E$5001,"○"))</f>
        <v/>
      </c>
      <c r="K541" s="29" t="str">
        <f aca="false">IF(A541="","",IFERROR(1/(1/_xlfn.MINIFS(Apparitions!$L$2:$L$5001,Apparitions!$G$2:$G$5001,A541)),""))</f>
        <v/>
      </c>
      <c r="L541" s="27" t="str">
        <f aca="false">IF(A541="","",A541&amp;" | "&amp;B541&amp;IF(C541="",""," ("&amp;C541&amp;")")&amp;IF(D541="",""," - "&amp;D541))</f>
        <v/>
      </c>
    </row>
    <row r="542" customFormat="false" ht="15" hidden="false" customHeight="false" outlineLevel="0" collapsed="false">
      <c r="A542" s="32"/>
      <c r="B542" s="19"/>
      <c r="C542" s="19"/>
      <c r="D542" s="19"/>
      <c r="E542" s="21"/>
      <c r="F542" s="19"/>
      <c r="G542" s="27" t="str">
        <f aca="false">IF(B542="","",IFERROR(INDEX(Jeux!$C$2:$C$3001,MATCH(B542,Jeux!$A$2:$A$3001,0))&amp;"","⚠ jeu inconnu"))</f>
        <v/>
      </c>
      <c r="H542" s="27" t="str">
        <f aca="false">IF(B542="","",IFERROR(INDEX(Jeux!$D$2:$D$3001,MATCH(B542,Jeux!$A$2:$A$3001,0))&amp;"",""))</f>
        <v/>
      </c>
      <c r="I542" s="26" t="str">
        <f aca="false">IF(A542="","",COUNTIF(Apparitions!$G$2:$G$5001,A542))</f>
        <v/>
      </c>
      <c r="J542" s="26" t="str">
        <f aca="false">IF(A542="","",COUNTIFS(Apparitions!$G$2:$G$5001,A542,Apparitions!$E$2:$E$5001,"○"))</f>
        <v/>
      </c>
      <c r="K542" s="29" t="str">
        <f aca="false">IF(A542="","",IFERROR(1/(1/_xlfn.MINIFS(Apparitions!$L$2:$L$5001,Apparitions!$G$2:$G$5001,A542)),""))</f>
        <v/>
      </c>
      <c r="L542" s="27" t="str">
        <f aca="false">IF(A542="","",A542&amp;" | "&amp;B542&amp;IF(C542="",""," ("&amp;C542&amp;")")&amp;IF(D542="",""," - "&amp;D542))</f>
        <v/>
      </c>
    </row>
    <row r="543" customFormat="false" ht="15" hidden="false" customHeight="false" outlineLevel="0" collapsed="false">
      <c r="A543" s="32"/>
      <c r="B543" s="19"/>
      <c r="C543" s="19"/>
      <c r="D543" s="19"/>
      <c r="E543" s="21"/>
      <c r="F543" s="19"/>
      <c r="G543" s="27" t="str">
        <f aca="false">IF(B543="","",IFERROR(INDEX(Jeux!$C$2:$C$3001,MATCH(B543,Jeux!$A$2:$A$3001,0))&amp;"","⚠ jeu inconnu"))</f>
        <v/>
      </c>
      <c r="H543" s="27" t="str">
        <f aca="false">IF(B543="","",IFERROR(INDEX(Jeux!$D$2:$D$3001,MATCH(B543,Jeux!$A$2:$A$3001,0))&amp;"",""))</f>
        <v/>
      </c>
      <c r="I543" s="26" t="str">
        <f aca="false">IF(A543="","",COUNTIF(Apparitions!$G$2:$G$5001,A543))</f>
        <v/>
      </c>
      <c r="J543" s="26" t="str">
        <f aca="false">IF(A543="","",COUNTIFS(Apparitions!$G$2:$G$5001,A543,Apparitions!$E$2:$E$5001,"○"))</f>
        <v/>
      </c>
      <c r="K543" s="29" t="str">
        <f aca="false">IF(A543="","",IFERROR(1/(1/_xlfn.MINIFS(Apparitions!$L$2:$L$5001,Apparitions!$G$2:$G$5001,A543)),""))</f>
        <v/>
      </c>
      <c r="L543" s="27" t="str">
        <f aca="false">IF(A543="","",A543&amp;" | "&amp;B543&amp;IF(C543="",""," ("&amp;C543&amp;")")&amp;IF(D543="",""," - "&amp;D543))</f>
        <v/>
      </c>
    </row>
    <row r="544" customFormat="false" ht="15" hidden="false" customHeight="false" outlineLevel="0" collapsed="false">
      <c r="A544" s="32"/>
      <c r="B544" s="19"/>
      <c r="C544" s="19"/>
      <c r="D544" s="19"/>
      <c r="E544" s="21"/>
      <c r="F544" s="19"/>
      <c r="G544" s="27" t="str">
        <f aca="false">IF(B544="","",IFERROR(INDEX(Jeux!$C$2:$C$3001,MATCH(B544,Jeux!$A$2:$A$3001,0))&amp;"","⚠ jeu inconnu"))</f>
        <v/>
      </c>
      <c r="H544" s="27" t="str">
        <f aca="false">IF(B544="","",IFERROR(INDEX(Jeux!$D$2:$D$3001,MATCH(B544,Jeux!$A$2:$A$3001,0))&amp;"",""))</f>
        <v/>
      </c>
      <c r="I544" s="26" t="str">
        <f aca="false">IF(A544="","",COUNTIF(Apparitions!$G$2:$G$5001,A544))</f>
        <v/>
      </c>
      <c r="J544" s="26" t="str">
        <f aca="false">IF(A544="","",COUNTIFS(Apparitions!$G$2:$G$5001,A544,Apparitions!$E$2:$E$5001,"○"))</f>
        <v/>
      </c>
      <c r="K544" s="29" t="str">
        <f aca="false">IF(A544="","",IFERROR(1/(1/_xlfn.MINIFS(Apparitions!$L$2:$L$5001,Apparitions!$G$2:$G$5001,A544)),""))</f>
        <v/>
      </c>
      <c r="L544" s="27" t="str">
        <f aca="false">IF(A544="","",A544&amp;" | "&amp;B544&amp;IF(C544="",""," ("&amp;C544&amp;")")&amp;IF(D544="",""," - "&amp;D544))</f>
        <v/>
      </c>
    </row>
    <row r="545" customFormat="false" ht="15" hidden="false" customHeight="false" outlineLevel="0" collapsed="false">
      <c r="A545" s="32"/>
      <c r="B545" s="19"/>
      <c r="C545" s="19"/>
      <c r="D545" s="19"/>
      <c r="E545" s="21"/>
      <c r="F545" s="19"/>
      <c r="G545" s="27" t="str">
        <f aca="false">IF(B545="","",IFERROR(INDEX(Jeux!$C$2:$C$3001,MATCH(B545,Jeux!$A$2:$A$3001,0))&amp;"","⚠ jeu inconnu"))</f>
        <v/>
      </c>
      <c r="H545" s="27" t="str">
        <f aca="false">IF(B545="","",IFERROR(INDEX(Jeux!$D$2:$D$3001,MATCH(B545,Jeux!$A$2:$A$3001,0))&amp;"",""))</f>
        <v/>
      </c>
      <c r="I545" s="26" t="str">
        <f aca="false">IF(A545="","",COUNTIF(Apparitions!$G$2:$G$5001,A545))</f>
        <v/>
      </c>
      <c r="J545" s="26" t="str">
        <f aca="false">IF(A545="","",COUNTIFS(Apparitions!$G$2:$G$5001,A545,Apparitions!$E$2:$E$5001,"○"))</f>
        <v/>
      </c>
      <c r="K545" s="29" t="str">
        <f aca="false">IF(A545="","",IFERROR(1/(1/_xlfn.MINIFS(Apparitions!$L$2:$L$5001,Apparitions!$G$2:$G$5001,A545)),""))</f>
        <v/>
      </c>
      <c r="L545" s="27" t="str">
        <f aca="false">IF(A545="","",A545&amp;" | "&amp;B545&amp;IF(C545="",""," ("&amp;C545&amp;")")&amp;IF(D545="",""," - "&amp;D545))</f>
        <v/>
      </c>
    </row>
    <row r="546" customFormat="false" ht="15" hidden="false" customHeight="false" outlineLevel="0" collapsed="false">
      <c r="A546" s="32"/>
      <c r="B546" s="19"/>
      <c r="C546" s="19"/>
      <c r="D546" s="19"/>
      <c r="E546" s="21"/>
      <c r="F546" s="19"/>
      <c r="G546" s="27" t="str">
        <f aca="false">IF(B546="","",IFERROR(INDEX(Jeux!$C$2:$C$3001,MATCH(B546,Jeux!$A$2:$A$3001,0))&amp;"","⚠ jeu inconnu"))</f>
        <v/>
      </c>
      <c r="H546" s="27" t="str">
        <f aca="false">IF(B546="","",IFERROR(INDEX(Jeux!$D$2:$D$3001,MATCH(B546,Jeux!$A$2:$A$3001,0))&amp;"",""))</f>
        <v/>
      </c>
      <c r="I546" s="26" t="str">
        <f aca="false">IF(A546="","",COUNTIF(Apparitions!$G$2:$G$5001,A546))</f>
        <v/>
      </c>
      <c r="J546" s="26" t="str">
        <f aca="false">IF(A546="","",COUNTIFS(Apparitions!$G$2:$G$5001,A546,Apparitions!$E$2:$E$5001,"○"))</f>
        <v/>
      </c>
      <c r="K546" s="29" t="str">
        <f aca="false">IF(A546="","",IFERROR(1/(1/_xlfn.MINIFS(Apparitions!$L$2:$L$5001,Apparitions!$G$2:$G$5001,A546)),""))</f>
        <v/>
      </c>
      <c r="L546" s="27" t="str">
        <f aca="false">IF(A546="","",A546&amp;" | "&amp;B546&amp;IF(C546="",""," ("&amp;C546&amp;")")&amp;IF(D546="",""," - "&amp;D546))</f>
        <v/>
      </c>
    </row>
    <row r="547" customFormat="false" ht="15" hidden="false" customHeight="false" outlineLevel="0" collapsed="false">
      <c r="A547" s="32"/>
      <c r="B547" s="19"/>
      <c r="C547" s="19"/>
      <c r="D547" s="19"/>
      <c r="E547" s="21"/>
      <c r="F547" s="19"/>
      <c r="G547" s="27" t="str">
        <f aca="false">IF(B547="","",IFERROR(INDEX(Jeux!$C$2:$C$3001,MATCH(B547,Jeux!$A$2:$A$3001,0))&amp;"","⚠ jeu inconnu"))</f>
        <v/>
      </c>
      <c r="H547" s="27" t="str">
        <f aca="false">IF(B547="","",IFERROR(INDEX(Jeux!$D$2:$D$3001,MATCH(B547,Jeux!$A$2:$A$3001,0))&amp;"",""))</f>
        <v/>
      </c>
      <c r="I547" s="26" t="str">
        <f aca="false">IF(A547="","",COUNTIF(Apparitions!$G$2:$G$5001,A547))</f>
        <v/>
      </c>
      <c r="J547" s="26" t="str">
        <f aca="false">IF(A547="","",COUNTIFS(Apparitions!$G$2:$G$5001,A547,Apparitions!$E$2:$E$5001,"○"))</f>
        <v/>
      </c>
      <c r="K547" s="29" t="str">
        <f aca="false">IF(A547="","",IFERROR(1/(1/_xlfn.MINIFS(Apparitions!$L$2:$L$5001,Apparitions!$G$2:$G$5001,A547)),""))</f>
        <v/>
      </c>
      <c r="L547" s="27" t="str">
        <f aca="false">IF(A547="","",A547&amp;" | "&amp;B547&amp;IF(C547="",""," ("&amp;C547&amp;")")&amp;IF(D547="",""," - "&amp;D547))</f>
        <v/>
      </c>
    </row>
    <row r="548" customFormat="false" ht="15" hidden="false" customHeight="false" outlineLevel="0" collapsed="false">
      <c r="A548" s="32"/>
      <c r="B548" s="19"/>
      <c r="C548" s="19"/>
      <c r="D548" s="19"/>
      <c r="E548" s="21"/>
      <c r="F548" s="19"/>
      <c r="G548" s="27" t="str">
        <f aca="false">IF(B548="","",IFERROR(INDEX(Jeux!$C$2:$C$3001,MATCH(B548,Jeux!$A$2:$A$3001,0))&amp;"","⚠ jeu inconnu"))</f>
        <v/>
      </c>
      <c r="H548" s="27" t="str">
        <f aca="false">IF(B548="","",IFERROR(INDEX(Jeux!$D$2:$D$3001,MATCH(B548,Jeux!$A$2:$A$3001,0))&amp;"",""))</f>
        <v/>
      </c>
      <c r="I548" s="26" t="str">
        <f aca="false">IF(A548="","",COUNTIF(Apparitions!$G$2:$G$5001,A548))</f>
        <v/>
      </c>
      <c r="J548" s="26" t="str">
        <f aca="false">IF(A548="","",COUNTIFS(Apparitions!$G$2:$G$5001,A548,Apparitions!$E$2:$E$5001,"○"))</f>
        <v/>
      </c>
      <c r="K548" s="29" t="str">
        <f aca="false">IF(A548="","",IFERROR(1/(1/_xlfn.MINIFS(Apparitions!$L$2:$L$5001,Apparitions!$G$2:$G$5001,A548)),""))</f>
        <v/>
      </c>
      <c r="L548" s="27" t="str">
        <f aca="false">IF(A548="","",A548&amp;" | "&amp;B548&amp;IF(C548="",""," ("&amp;C548&amp;")")&amp;IF(D548="",""," - "&amp;D548))</f>
        <v/>
      </c>
    </row>
    <row r="549" customFormat="false" ht="15" hidden="false" customHeight="false" outlineLevel="0" collapsed="false">
      <c r="A549" s="32"/>
      <c r="B549" s="19"/>
      <c r="C549" s="19"/>
      <c r="D549" s="19"/>
      <c r="E549" s="21"/>
      <c r="F549" s="19"/>
      <c r="G549" s="27" t="str">
        <f aca="false">IF(B549="","",IFERROR(INDEX(Jeux!$C$2:$C$3001,MATCH(B549,Jeux!$A$2:$A$3001,0))&amp;"","⚠ jeu inconnu"))</f>
        <v/>
      </c>
      <c r="H549" s="27" t="str">
        <f aca="false">IF(B549="","",IFERROR(INDEX(Jeux!$D$2:$D$3001,MATCH(B549,Jeux!$A$2:$A$3001,0))&amp;"",""))</f>
        <v/>
      </c>
      <c r="I549" s="26" t="str">
        <f aca="false">IF(A549="","",COUNTIF(Apparitions!$G$2:$G$5001,A549))</f>
        <v/>
      </c>
      <c r="J549" s="26" t="str">
        <f aca="false">IF(A549="","",COUNTIFS(Apparitions!$G$2:$G$5001,A549,Apparitions!$E$2:$E$5001,"○"))</f>
        <v/>
      </c>
      <c r="K549" s="29" t="str">
        <f aca="false">IF(A549="","",IFERROR(1/(1/_xlfn.MINIFS(Apparitions!$L$2:$L$5001,Apparitions!$G$2:$G$5001,A549)),""))</f>
        <v/>
      </c>
      <c r="L549" s="27" t="str">
        <f aca="false">IF(A549="","",A549&amp;" | "&amp;B549&amp;IF(C549="",""," ("&amp;C549&amp;")")&amp;IF(D549="",""," - "&amp;D549))</f>
        <v/>
      </c>
    </row>
    <row r="550" customFormat="false" ht="15" hidden="false" customHeight="false" outlineLevel="0" collapsed="false">
      <c r="A550" s="32"/>
      <c r="B550" s="19"/>
      <c r="C550" s="19"/>
      <c r="D550" s="19"/>
      <c r="E550" s="21"/>
      <c r="F550" s="19"/>
      <c r="G550" s="27" t="str">
        <f aca="false">IF(B550="","",IFERROR(INDEX(Jeux!$C$2:$C$3001,MATCH(B550,Jeux!$A$2:$A$3001,0))&amp;"","⚠ jeu inconnu"))</f>
        <v/>
      </c>
      <c r="H550" s="27" t="str">
        <f aca="false">IF(B550="","",IFERROR(INDEX(Jeux!$D$2:$D$3001,MATCH(B550,Jeux!$A$2:$A$3001,0))&amp;"",""))</f>
        <v/>
      </c>
      <c r="I550" s="26" t="str">
        <f aca="false">IF(A550="","",COUNTIF(Apparitions!$G$2:$G$5001,A550))</f>
        <v/>
      </c>
      <c r="J550" s="26" t="str">
        <f aca="false">IF(A550="","",COUNTIFS(Apparitions!$G$2:$G$5001,A550,Apparitions!$E$2:$E$5001,"○"))</f>
        <v/>
      </c>
      <c r="K550" s="29" t="str">
        <f aca="false">IF(A550="","",IFERROR(1/(1/_xlfn.MINIFS(Apparitions!$L$2:$L$5001,Apparitions!$G$2:$G$5001,A550)),""))</f>
        <v/>
      </c>
      <c r="L550" s="27" t="str">
        <f aca="false">IF(A550="","",A550&amp;" | "&amp;B550&amp;IF(C550="",""," ("&amp;C550&amp;")")&amp;IF(D550="",""," - "&amp;D550))</f>
        <v/>
      </c>
    </row>
    <row r="551" customFormat="false" ht="15" hidden="false" customHeight="false" outlineLevel="0" collapsed="false">
      <c r="A551" s="32"/>
      <c r="B551" s="19"/>
      <c r="C551" s="19"/>
      <c r="D551" s="19"/>
      <c r="E551" s="21"/>
      <c r="F551" s="19"/>
      <c r="G551" s="27" t="str">
        <f aca="false">IF(B551="","",IFERROR(INDEX(Jeux!$C$2:$C$3001,MATCH(B551,Jeux!$A$2:$A$3001,0))&amp;"","⚠ jeu inconnu"))</f>
        <v/>
      </c>
      <c r="H551" s="27" t="str">
        <f aca="false">IF(B551="","",IFERROR(INDEX(Jeux!$D$2:$D$3001,MATCH(B551,Jeux!$A$2:$A$3001,0))&amp;"",""))</f>
        <v/>
      </c>
      <c r="I551" s="26" t="str">
        <f aca="false">IF(A551="","",COUNTIF(Apparitions!$G$2:$G$5001,A551))</f>
        <v/>
      </c>
      <c r="J551" s="26" t="str">
        <f aca="false">IF(A551="","",COUNTIFS(Apparitions!$G$2:$G$5001,A551,Apparitions!$E$2:$E$5001,"○"))</f>
        <v/>
      </c>
      <c r="K551" s="29" t="str">
        <f aca="false">IF(A551="","",IFERROR(1/(1/_xlfn.MINIFS(Apparitions!$L$2:$L$5001,Apparitions!$G$2:$G$5001,A551)),""))</f>
        <v/>
      </c>
      <c r="L551" s="27" t="str">
        <f aca="false">IF(A551="","",A551&amp;" | "&amp;B551&amp;IF(C551="",""," ("&amp;C551&amp;")")&amp;IF(D551="",""," - "&amp;D551))</f>
        <v/>
      </c>
    </row>
    <row r="552" customFormat="false" ht="15" hidden="false" customHeight="false" outlineLevel="0" collapsed="false">
      <c r="A552" s="32"/>
      <c r="B552" s="19"/>
      <c r="C552" s="19"/>
      <c r="D552" s="19"/>
      <c r="E552" s="21"/>
      <c r="F552" s="19"/>
      <c r="G552" s="27" t="str">
        <f aca="false">IF(B552="","",IFERROR(INDEX(Jeux!$C$2:$C$3001,MATCH(B552,Jeux!$A$2:$A$3001,0))&amp;"","⚠ jeu inconnu"))</f>
        <v/>
      </c>
      <c r="H552" s="27" t="str">
        <f aca="false">IF(B552="","",IFERROR(INDEX(Jeux!$D$2:$D$3001,MATCH(B552,Jeux!$A$2:$A$3001,0))&amp;"",""))</f>
        <v/>
      </c>
      <c r="I552" s="26" t="str">
        <f aca="false">IF(A552="","",COUNTIF(Apparitions!$G$2:$G$5001,A552))</f>
        <v/>
      </c>
      <c r="J552" s="26" t="str">
        <f aca="false">IF(A552="","",COUNTIFS(Apparitions!$G$2:$G$5001,A552,Apparitions!$E$2:$E$5001,"○"))</f>
        <v/>
      </c>
      <c r="K552" s="29" t="str">
        <f aca="false">IF(A552="","",IFERROR(1/(1/_xlfn.MINIFS(Apparitions!$L$2:$L$5001,Apparitions!$G$2:$G$5001,A552)),""))</f>
        <v/>
      </c>
      <c r="L552" s="27" t="str">
        <f aca="false">IF(A552="","",A552&amp;" | "&amp;B552&amp;IF(C552="",""," ("&amp;C552&amp;")")&amp;IF(D552="",""," - "&amp;D552))</f>
        <v/>
      </c>
    </row>
    <row r="553" customFormat="false" ht="15" hidden="false" customHeight="false" outlineLevel="0" collapsed="false">
      <c r="A553" s="32"/>
      <c r="B553" s="19"/>
      <c r="C553" s="19"/>
      <c r="D553" s="19"/>
      <c r="E553" s="21"/>
      <c r="F553" s="19"/>
      <c r="G553" s="27" t="str">
        <f aca="false">IF(B553="","",IFERROR(INDEX(Jeux!$C$2:$C$3001,MATCH(B553,Jeux!$A$2:$A$3001,0))&amp;"","⚠ jeu inconnu"))</f>
        <v/>
      </c>
      <c r="H553" s="27" t="str">
        <f aca="false">IF(B553="","",IFERROR(INDEX(Jeux!$D$2:$D$3001,MATCH(B553,Jeux!$A$2:$A$3001,0))&amp;"",""))</f>
        <v/>
      </c>
      <c r="I553" s="26" t="str">
        <f aca="false">IF(A553="","",COUNTIF(Apparitions!$G$2:$G$5001,A553))</f>
        <v/>
      </c>
      <c r="J553" s="26" t="str">
        <f aca="false">IF(A553="","",COUNTIFS(Apparitions!$G$2:$G$5001,A553,Apparitions!$E$2:$E$5001,"○"))</f>
        <v/>
      </c>
      <c r="K553" s="29" t="str">
        <f aca="false">IF(A553="","",IFERROR(1/(1/_xlfn.MINIFS(Apparitions!$L$2:$L$5001,Apparitions!$G$2:$G$5001,A553)),""))</f>
        <v/>
      </c>
      <c r="L553" s="27" t="str">
        <f aca="false">IF(A553="","",A553&amp;" | "&amp;B553&amp;IF(C553="",""," ("&amp;C553&amp;")")&amp;IF(D553="",""," - "&amp;D553))</f>
        <v/>
      </c>
    </row>
    <row r="554" customFormat="false" ht="15" hidden="false" customHeight="false" outlineLevel="0" collapsed="false">
      <c r="A554" s="32"/>
      <c r="B554" s="19"/>
      <c r="C554" s="19"/>
      <c r="D554" s="19"/>
      <c r="E554" s="21"/>
      <c r="F554" s="19"/>
      <c r="G554" s="27" t="str">
        <f aca="false">IF(B554="","",IFERROR(INDEX(Jeux!$C$2:$C$3001,MATCH(B554,Jeux!$A$2:$A$3001,0))&amp;"","⚠ jeu inconnu"))</f>
        <v/>
      </c>
      <c r="H554" s="27" t="str">
        <f aca="false">IF(B554="","",IFERROR(INDEX(Jeux!$D$2:$D$3001,MATCH(B554,Jeux!$A$2:$A$3001,0))&amp;"",""))</f>
        <v/>
      </c>
      <c r="I554" s="26" t="str">
        <f aca="false">IF(A554="","",COUNTIF(Apparitions!$G$2:$G$5001,A554))</f>
        <v/>
      </c>
      <c r="J554" s="26" t="str">
        <f aca="false">IF(A554="","",COUNTIFS(Apparitions!$G$2:$G$5001,A554,Apparitions!$E$2:$E$5001,"○"))</f>
        <v/>
      </c>
      <c r="K554" s="29" t="str">
        <f aca="false">IF(A554="","",IFERROR(1/(1/_xlfn.MINIFS(Apparitions!$L$2:$L$5001,Apparitions!$G$2:$G$5001,A554)),""))</f>
        <v/>
      </c>
      <c r="L554" s="27" t="str">
        <f aca="false">IF(A554="","",A554&amp;" | "&amp;B554&amp;IF(C554="",""," ("&amp;C554&amp;")")&amp;IF(D554="",""," - "&amp;D554))</f>
        <v/>
      </c>
    </row>
    <row r="555" customFormat="false" ht="15" hidden="false" customHeight="false" outlineLevel="0" collapsed="false">
      <c r="A555" s="32"/>
      <c r="B555" s="19"/>
      <c r="C555" s="19"/>
      <c r="D555" s="19"/>
      <c r="E555" s="21"/>
      <c r="F555" s="19"/>
      <c r="G555" s="27" t="str">
        <f aca="false">IF(B555="","",IFERROR(INDEX(Jeux!$C$2:$C$3001,MATCH(B555,Jeux!$A$2:$A$3001,0))&amp;"","⚠ jeu inconnu"))</f>
        <v/>
      </c>
      <c r="H555" s="27" t="str">
        <f aca="false">IF(B555="","",IFERROR(INDEX(Jeux!$D$2:$D$3001,MATCH(B555,Jeux!$A$2:$A$3001,0))&amp;"",""))</f>
        <v/>
      </c>
      <c r="I555" s="26" t="str">
        <f aca="false">IF(A555="","",COUNTIF(Apparitions!$G$2:$G$5001,A555))</f>
        <v/>
      </c>
      <c r="J555" s="26" t="str">
        <f aca="false">IF(A555="","",COUNTIFS(Apparitions!$G$2:$G$5001,A555,Apparitions!$E$2:$E$5001,"○"))</f>
        <v/>
      </c>
      <c r="K555" s="29" t="str">
        <f aca="false">IF(A555="","",IFERROR(1/(1/_xlfn.MINIFS(Apparitions!$L$2:$L$5001,Apparitions!$G$2:$G$5001,A555)),""))</f>
        <v/>
      </c>
      <c r="L555" s="27" t="str">
        <f aca="false">IF(A555="","",A555&amp;" | "&amp;B555&amp;IF(C555="",""," ("&amp;C555&amp;")")&amp;IF(D555="",""," - "&amp;D555))</f>
        <v/>
      </c>
    </row>
    <row r="556" customFormat="false" ht="15" hidden="false" customHeight="false" outlineLevel="0" collapsed="false">
      <c r="A556" s="32"/>
      <c r="B556" s="19"/>
      <c r="C556" s="19"/>
      <c r="D556" s="19"/>
      <c r="E556" s="21"/>
      <c r="F556" s="19"/>
      <c r="G556" s="27" t="str">
        <f aca="false">IF(B556="","",IFERROR(INDEX(Jeux!$C$2:$C$3001,MATCH(B556,Jeux!$A$2:$A$3001,0))&amp;"","⚠ jeu inconnu"))</f>
        <v/>
      </c>
      <c r="H556" s="27" t="str">
        <f aca="false">IF(B556="","",IFERROR(INDEX(Jeux!$D$2:$D$3001,MATCH(B556,Jeux!$A$2:$A$3001,0))&amp;"",""))</f>
        <v/>
      </c>
      <c r="I556" s="26" t="str">
        <f aca="false">IF(A556="","",COUNTIF(Apparitions!$G$2:$G$5001,A556))</f>
        <v/>
      </c>
      <c r="J556" s="26" t="str">
        <f aca="false">IF(A556="","",COUNTIFS(Apparitions!$G$2:$G$5001,A556,Apparitions!$E$2:$E$5001,"○"))</f>
        <v/>
      </c>
      <c r="K556" s="29" t="str">
        <f aca="false">IF(A556="","",IFERROR(1/(1/_xlfn.MINIFS(Apparitions!$L$2:$L$5001,Apparitions!$G$2:$G$5001,A556)),""))</f>
        <v/>
      </c>
      <c r="L556" s="27" t="str">
        <f aca="false">IF(A556="","",A556&amp;" | "&amp;B556&amp;IF(C556="",""," ("&amp;C556&amp;")")&amp;IF(D556="",""," - "&amp;D556))</f>
        <v/>
      </c>
    </row>
    <row r="557" customFormat="false" ht="15" hidden="false" customHeight="false" outlineLevel="0" collapsed="false">
      <c r="A557" s="32"/>
      <c r="B557" s="19"/>
      <c r="C557" s="19"/>
      <c r="D557" s="19"/>
      <c r="E557" s="21"/>
      <c r="F557" s="19"/>
      <c r="G557" s="27" t="str">
        <f aca="false">IF(B557="","",IFERROR(INDEX(Jeux!$C$2:$C$3001,MATCH(B557,Jeux!$A$2:$A$3001,0))&amp;"","⚠ jeu inconnu"))</f>
        <v/>
      </c>
      <c r="H557" s="27" t="str">
        <f aca="false">IF(B557="","",IFERROR(INDEX(Jeux!$D$2:$D$3001,MATCH(B557,Jeux!$A$2:$A$3001,0))&amp;"",""))</f>
        <v/>
      </c>
      <c r="I557" s="26" t="str">
        <f aca="false">IF(A557="","",COUNTIF(Apparitions!$G$2:$G$5001,A557))</f>
        <v/>
      </c>
      <c r="J557" s="26" t="str">
        <f aca="false">IF(A557="","",COUNTIFS(Apparitions!$G$2:$G$5001,A557,Apparitions!$E$2:$E$5001,"○"))</f>
        <v/>
      </c>
      <c r="K557" s="29" t="str">
        <f aca="false">IF(A557="","",IFERROR(1/(1/_xlfn.MINIFS(Apparitions!$L$2:$L$5001,Apparitions!$G$2:$G$5001,A557)),""))</f>
        <v/>
      </c>
      <c r="L557" s="27" t="str">
        <f aca="false">IF(A557="","",A557&amp;" | "&amp;B557&amp;IF(C557="",""," ("&amp;C557&amp;")")&amp;IF(D557="",""," - "&amp;D557))</f>
        <v/>
      </c>
    </row>
    <row r="558" customFormat="false" ht="15" hidden="false" customHeight="false" outlineLevel="0" collapsed="false">
      <c r="A558" s="32"/>
      <c r="B558" s="19"/>
      <c r="C558" s="19"/>
      <c r="D558" s="19"/>
      <c r="E558" s="21"/>
      <c r="F558" s="19"/>
      <c r="G558" s="27" t="str">
        <f aca="false">IF(B558="","",IFERROR(INDEX(Jeux!$C$2:$C$3001,MATCH(B558,Jeux!$A$2:$A$3001,0))&amp;"","⚠ jeu inconnu"))</f>
        <v/>
      </c>
      <c r="H558" s="27" t="str">
        <f aca="false">IF(B558="","",IFERROR(INDEX(Jeux!$D$2:$D$3001,MATCH(B558,Jeux!$A$2:$A$3001,0))&amp;"",""))</f>
        <v/>
      </c>
      <c r="I558" s="26" t="str">
        <f aca="false">IF(A558="","",COUNTIF(Apparitions!$G$2:$G$5001,A558))</f>
        <v/>
      </c>
      <c r="J558" s="26" t="str">
        <f aca="false">IF(A558="","",COUNTIFS(Apparitions!$G$2:$G$5001,A558,Apparitions!$E$2:$E$5001,"○"))</f>
        <v/>
      </c>
      <c r="K558" s="29" t="str">
        <f aca="false">IF(A558="","",IFERROR(1/(1/_xlfn.MINIFS(Apparitions!$L$2:$L$5001,Apparitions!$G$2:$G$5001,A558)),""))</f>
        <v/>
      </c>
      <c r="L558" s="27" t="str">
        <f aca="false">IF(A558="","",A558&amp;" | "&amp;B558&amp;IF(C558="",""," ("&amp;C558&amp;")")&amp;IF(D558="",""," - "&amp;D558))</f>
        <v/>
      </c>
    </row>
    <row r="559" customFormat="false" ht="15" hidden="false" customHeight="false" outlineLevel="0" collapsed="false">
      <c r="A559" s="32"/>
      <c r="B559" s="19"/>
      <c r="C559" s="19"/>
      <c r="D559" s="19"/>
      <c r="E559" s="21"/>
      <c r="F559" s="19"/>
      <c r="G559" s="27" t="str">
        <f aca="false">IF(B559="","",IFERROR(INDEX(Jeux!$C$2:$C$3001,MATCH(B559,Jeux!$A$2:$A$3001,0))&amp;"","⚠ jeu inconnu"))</f>
        <v/>
      </c>
      <c r="H559" s="27" t="str">
        <f aca="false">IF(B559="","",IFERROR(INDEX(Jeux!$D$2:$D$3001,MATCH(B559,Jeux!$A$2:$A$3001,0))&amp;"",""))</f>
        <v/>
      </c>
      <c r="I559" s="26" t="str">
        <f aca="false">IF(A559="","",COUNTIF(Apparitions!$G$2:$G$5001,A559))</f>
        <v/>
      </c>
      <c r="J559" s="26" t="str">
        <f aca="false">IF(A559="","",COUNTIFS(Apparitions!$G$2:$G$5001,A559,Apparitions!$E$2:$E$5001,"○"))</f>
        <v/>
      </c>
      <c r="K559" s="29" t="str">
        <f aca="false">IF(A559="","",IFERROR(1/(1/_xlfn.MINIFS(Apparitions!$L$2:$L$5001,Apparitions!$G$2:$G$5001,A559)),""))</f>
        <v/>
      </c>
      <c r="L559" s="27" t="str">
        <f aca="false">IF(A559="","",A559&amp;" | "&amp;B559&amp;IF(C559="",""," ("&amp;C559&amp;")")&amp;IF(D559="",""," - "&amp;D559))</f>
        <v/>
      </c>
    </row>
    <row r="560" customFormat="false" ht="15" hidden="false" customHeight="false" outlineLevel="0" collapsed="false">
      <c r="A560" s="32"/>
      <c r="B560" s="19"/>
      <c r="C560" s="19"/>
      <c r="D560" s="19"/>
      <c r="E560" s="21"/>
      <c r="F560" s="19"/>
      <c r="G560" s="27" t="str">
        <f aca="false">IF(B560="","",IFERROR(INDEX(Jeux!$C$2:$C$3001,MATCH(B560,Jeux!$A$2:$A$3001,0))&amp;"","⚠ jeu inconnu"))</f>
        <v/>
      </c>
      <c r="H560" s="27" t="str">
        <f aca="false">IF(B560="","",IFERROR(INDEX(Jeux!$D$2:$D$3001,MATCH(B560,Jeux!$A$2:$A$3001,0))&amp;"",""))</f>
        <v/>
      </c>
      <c r="I560" s="26" t="str">
        <f aca="false">IF(A560="","",COUNTIF(Apparitions!$G$2:$G$5001,A560))</f>
        <v/>
      </c>
      <c r="J560" s="26" t="str">
        <f aca="false">IF(A560="","",COUNTIFS(Apparitions!$G$2:$G$5001,A560,Apparitions!$E$2:$E$5001,"○"))</f>
        <v/>
      </c>
      <c r="K560" s="29" t="str">
        <f aca="false">IF(A560="","",IFERROR(1/(1/_xlfn.MINIFS(Apparitions!$L$2:$L$5001,Apparitions!$G$2:$G$5001,A560)),""))</f>
        <v/>
      </c>
      <c r="L560" s="27" t="str">
        <f aca="false">IF(A560="","",A560&amp;" | "&amp;B560&amp;IF(C560="",""," ("&amp;C560&amp;")")&amp;IF(D560="",""," - "&amp;D560))</f>
        <v/>
      </c>
    </row>
    <row r="561" customFormat="false" ht="15" hidden="false" customHeight="false" outlineLevel="0" collapsed="false">
      <c r="A561" s="32"/>
      <c r="B561" s="19"/>
      <c r="C561" s="19"/>
      <c r="D561" s="19"/>
      <c r="E561" s="21"/>
      <c r="F561" s="19"/>
      <c r="G561" s="27" t="str">
        <f aca="false">IF(B561="","",IFERROR(INDEX(Jeux!$C$2:$C$3001,MATCH(B561,Jeux!$A$2:$A$3001,0))&amp;"","⚠ jeu inconnu"))</f>
        <v/>
      </c>
      <c r="H561" s="27" t="str">
        <f aca="false">IF(B561="","",IFERROR(INDEX(Jeux!$D$2:$D$3001,MATCH(B561,Jeux!$A$2:$A$3001,0))&amp;"",""))</f>
        <v/>
      </c>
      <c r="I561" s="26" t="str">
        <f aca="false">IF(A561="","",COUNTIF(Apparitions!$G$2:$G$5001,A561))</f>
        <v/>
      </c>
      <c r="J561" s="26" t="str">
        <f aca="false">IF(A561="","",COUNTIFS(Apparitions!$G$2:$G$5001,A561,Apparitions!$E$2:$E$5001,"○"))</f>
        <v/>
      </c>
      <c r="K561" s="29" t="str">
        <f aca="false">IF(A561="","",IFERROR(1/(1/_xlfn.MINIFS(Apparitions!$L$2:$L$5001,Apparitions!$G$2:$G$5001,A561)),""))</f>
        <v/>
      </c>
      <c r="L561" s="27" t="str">
        <f aca="false">IF(A561="","",A561&amp;" | "&amp;B561&amp;IF(C561="",""," ("&amp;C561&amp;")")&amp;IF(D561="",""," - "&amp;D561))</f>
        <v/>
      </c>
    </row>
    <row r="562" customFormat="false" ht="15" hidden="false" customHeight="false" outlineLevel="0" collapsed="false">
      <c r="A562" s="32"/>
      <c r="B562" s="19"/>
      <c r="C562" s="19"/>
      <c r="D562" s="19"/>
      <c r="E562" s="21"/>
      <c r="F562" s="19"/>
      <c r="G562" s="27" t="str">
        <f aca="false">IF(B562="","",IFERROR(INDEX(Jeux!$C$2:$C$3001,MATCH(B562,Jeux!$A$2:$A$3001,0))&amp;"","⚠ jeu inconnu"))</f>
        <v/>
      </c>
      <c r="H562" s="27" t="str">
        <f aca="false">IF(B562="","",IFERROR(INDEX(Jeux!$D$2:$D$3001,MATCH(B562,Jeux!$A$2:$A$3001,0))&amp;"",""))</f>
        <v/>
      </c>
      <c r="I562" s="26" t="str">
        <f aca="false">IF(A562="","",COUNTIF(Apparitions!$G$2:$G$5001,A562))</f>
        <v/>
      </c>
      <c r="J562" s="26" t="str">
        <f aca="false">IF(A562="","",COUNTIFS(Apparitions!$G$2:$G$5001,A562,Apparitions!$E$2:$E$5001,"○"))</f>
        <v/>
      </c>
      <c r="K562" s="29" t="str">
        <f aca="false">IF(A562="","",IFERROR(1/(1/_xlfn.MINIFS(Apparitions!$L$2:$L$5001,Apparitions!$G$2:$G$5001,A562)),""))</f>
        <v/>
      </c>
      <c r="L562" s="27" t="str">
        <f aca="false">IF(A562="","",A562&amp;" | "&amp;B562&amp;IF(C562="",""," ("&amp;C562&amp;")")&amp;IF(D562="",""," - "&amp;D562))</f>
        <v/>
      </c>
    </row>
    <row r="563" customFormat="false" ht="15" hidden="false" customHeight="false" outlineLevel="0" collapsed="false">
      <c r="A563" s="32"/>
      <c r="B563" s="19"/>
      <c r="C563" s="19"/>
      <c r="D563" s="19"/>
      <c r="E563" s="21"/>
      <c r="F563" s="19"/>
      <c r="G563" s="27" t="str">
        <f aca="false">IF(B563="","",IFERROR(INDEX(Jeux!$C$2:$C$3001,MATCH(B563,Jeux!$A$2:$A$3001,0))&amp;"","⚠ jeu inconnu"))</f>
        <v/>
      </c>
      <c r="H563" s="27" t="str">
        <f aca="false">IF(B563="","",IFERROR(INDEX(Jeux!$D$2:$D$3001,MATCH(B563,Jeux!$A$2:$A$3001,0))&amp;"",""))</f>
        <v/>
      </c>
      <c r="I563" s="26" t="str">
        <f aca="false">IF(A563="","",COUNTIF(Apparitions!$G$2:$G$5001,A563))</f>
        <v/>
      </c>
      <c r="J563" s="26" t="str">
        <f aca="false">IF(A563="","",COUNTIFS(Apparitions!$G$2:$G$5001,A563,Apparitions!$E$2:$E$5001,"○"))</f>
        <v/>
      </c>
      <c r="K563" s="29" t="str">
        <f aca="false">IF(A563="","",IFERROR(1/(1/_xlfn.MINIFS(Apparitions!$L$2:$L$5001,Apparitions!$G$2:$G$5001,A563)),""))</f>
        <v/>
      </c>
      <c r="L563" s="27" t="str">
        <f aca="false">IF(A563="","",A563&amp;" | "&amp;B563&amp;IF(C563="",""," ("&amp;C563&amp;")")&amp;IF(D563="",""," - "&amp;D563))</f>
        <v/>
      </c>
    </row>
    <row r="564" customFormat="false" ht="15" hidden="false" customHeight="false" outlineLevel="0" collapsed="false">
      <c r="A564" s="32"/>
      <c r="B564" s="19"/>
      <c r="C564" s="19"/>
      <c r="D564" s="19"/>
      <c r="E564" s="21"/>
      <c r="F564" s="19"/>
      <c r="G564" s="27" t="str">
        <f aca="false">IF(B564="","",IFERROR(INDEX(Jeux!$C$2:$C$3001,MATCH(B564,Jeux!$A$2:$A$3001,0))&amp;"","⚠ jeu inconnu"))</f>
        <v/>
      </c>
      <c r="H564" s="27" t="str">
        <f aca="false">IF(B564="","",IFERROR(INDEX(Jeux!$D$2:$D$3001,MATCH(B564,Jeux!$A$2:$A$3001,0))&amp;"",""))</f>
        <v/>
      </c>
      <c r="I564" s="26" t="str">
        <f aca="false">IF(A564="","",COUNTIF(Apparitions!$G$2:$G$5001,A564))</f>
        <v/>
      </c>
      <c r="J564" s="26" t="str">
        <f aca="false">IF(A564="","",COUNTIFS(Apparitions!$G$2:$G$5001,A564,Apparitions!$E$2:$E$5001,"○"))</f>
        <v/>
      </c>
      <c r="K564" s="29" t="str">
        <f aca="false">IF(A564="","",IFERROR(1/(1/_xlfn.MINIFS(Apparitions!$L$2:$L$5001,Apparitions!$G$2:$G$5001,A564)),""))</f>
        <v/>
      </c>
      <c r="L564" s="27" t="str">
        <f aca="false">IF(A564="","",A564&amp;" | "&amp;B564&amp;IF(C564="",""," ("&amp;C564&amp;")")&amp;IF(D564="",""," - "&amp;D564))</f>
        <v/>
      </c>
    </row>
    <row r="565" customFormat="false" ht="15" hidden="false" customHeight="false" outlineLevel="0" collapsed="false">
      <c r="A565" s="32"/>
      <c r="B565" s="19"/>
      <c r="C565" s="19"/>
      <c r="D565" s="19"/>
      <c r="E565" s="21"/>
      <c r="F565" s="19"/>
      <c r="G565" s="27" t="str">
        <f aca="false">IF(B565="","",IFERROR(INDEX(Jeux!$C$2:$C$3001,MATCH(B565,Jeux!$A$2:$A$3001,0))&amp;"","⚠ jeu inconnu"))</f>
        <v/>
      </c>
      <c r="H565" s="27" t="str">
        <f aca="false">IF(B565="","",IFERROR(INDEX(Jeux!$D$2:$D$3001,MATCH(B565,Jeux!$A$2:$A$3001,0))&amp;"",""))</f>
        <v/>
      </c>
      <c r="I565" s="26" t="str">
        <f aca="false">IF(A565="","",COUNTIF(Apparitions!$G$2:$G$5001,A565))</f>
        <v/>
      </c>
      <c r="J565" s="26" t="str">
        <f aca="false">IF(A565="","",COUNTIFS(Apparitions!$G$2:$G$5001,A565,Apparitions!$E$2:$E$5001,"○"))</f>
        <v/>
      </c>
      <c r="K565" s="29" t="str">
        <f aca="false">IF(A565="","",IFERROR(1/(1/_xlfn.MINIFS(Apparitions!$L$2:$L$5001,Apparitions!$G$2:$G$5001,A565)),""))</f>
        <v/>
      </c>
      <c r="L565" s="27" t="str">
        <f aca="false">IF(A565="","",A565&amp;" | "&amp;B565&amp;IF(C565="",""," ("&amp;C565&amp;")")&amp;IF(D565="",""," - "&amp;D565))</f>
        <v/>
      </c>
    </row>
    <row r="566" customFormat="false" ht="15" hidden="false" customHeight="false" outlineLevel="0" collapsed="false">
      <c r="A566" s="32"/>
      <c r="B566" s="19"/>
      <c r="C566" s="19"/>
      <c r="D566" s="19"/>
      <c r="E566" s="21"/>
      <c r="F566" s="19"/>
      <c r="G566" s="27" t="str">
        <f aca="false">IF(B566="","",IFERROR(INDEX(Jeux!$C$2:$C$3001,MATCH(B566,Jeux!$A$2:$A$3001,0))&amp;"","⚠ jeu inconnu"))</f>
        <v/>
      </c>
      <c r="H566" s="27" t="str">
        <f aca="false">IF(B566="","",IFERROR(INDEX(Jeux!$D$2:$D$3001,MATCH(B566,Jeux!$A$2:$A$3001,0))&amp;"",""))</f>
        <v/>
      </c>
      <c r="I566" s="26" t="str">
        <f aca="false">IF(A566="","",COUNTIF(Apparitions!$G$2:$G$5001,A566))</f>
        <v/>
      </c>
      <c r="J566" s="26" t="str">
        <f aca="false">IF(A566="","",COUNTIFS(Apparitions!$G$2:$G$5001,A566,Apparitions!$E$2:$E$5001,"○"))</f>
        <v/>
      </c>
      <c r="K566" s="29" t="str">
        <f aca="false">IF(A566="","",IFERROR(1/(1/_xlfn.MINIFS(Apparitions!$L$2:$L$5001,Apparitions!$G$2:$G$5001,A566)),""))</f>
        <v/>
      </c>
      <c r="L566" s="27" t="str">
        <f aca="false">IF(A566="","",A566&amp;" | "&amp;B566&amp;IF(C566="",""," ("&amp;C566&amp;")")&amp;IF(D566="",""," - "&amp;D566))</f>
        <v/>
      </c>
    </row>
    <row r="567" customFormat="false" ht="15" hidden="false" customHeight="false" outlineLevel="0" collapsed="false">
      <c r="A567" s="32"/>
      <c r="B567" s="19"/>
      <c r="C567" s="19"/>
      <c r="D567" s="19"/>
      <c r="E567" s="21"/>
      <c r="F567" s="19"/>
      <c r="G567" s="27" t="str">
        <f aca="false">IF(B567="","",IFERROR(INDEX(Jeux!$C$2:$C$3001,MATCH(B567,Jeux!$A$2:$A$3001,0))&amp;"","⚠ jeu inconnu"))</f>
        <v/>
      </c>
      <c r="H567" s="27" t="str">
        <f aca="false">IF(B567="","",IFERROR(INDEX(Jeux!$D$2:$D$3001,MATCH(B567,Jeux!$A$2:$A$3001,0))&amp;"",""))</f>
        <v/>
      </c>
      <c r="I567" s="26" t="str">
        <f aca="false">IF(A567="","",COUNTIF(Apparitions!$G$2:$G$5001,A567))</f>
        <v/>
      </c>
      <c r="J567" s="26" t="str">
        <f aca="false">IF(A567="","",COUNTIFS(Apparitions!$G$2:$G$5001,A567,Apparitions!$E$2:$E$5001,"○"))</f>
        <v/>
      </c>
      <c r="K567" s="29" t="str">
        <f aca="false">IF(A567="","",IFERROR(1/(1/_xlfn.MINIFS(Apparitions!$L$2:$L$5001,Apparitions!$G$2:$G$5001,A567)),""))</f>
        <v/>
      </c>
      <c r="L567" s="27" t="str">
        <f aca="false">IF(A567="","",A567&amp;" | "&amp;B567&amp;IF(C567="",""," ("&amp;C567&amp;")")&amp;IF(D567="",""," - "&amp;D567))</f>
        <v/>
      </c>
    </row>
    <row r="568" customFormat="false" ht="15" hidden="false" customHeight="false" outlineLevel="0" collapsed="false">
      <c r="A568" s="32"/>
      <c r="B568" s="19"/>
      <c r="C568" s="19"/>
      <c r="D568" s="19"/>
      <c r="E568" s="21"/>
      <c r="F568" s="19"/>
      <c r="G568" s="27" t="str">
        <f aca="false">IF(B568="","",IFERROR(INDEX(Jeux!$C$2:$C$3001,MATCH(B568,Jeux!$A$2:$A$3001,0))&amp;"","⚠ jeu inconnu"))</f>
        <v/>
      </c>
      <c r="H568" s="27" t="str">
        <f aca="false">IF(B568="","",IFERROR(INDEX(Jeux!$D$2:$D$3001,MATCH(B568,Jeux!$A$2:$A$3001,0))&amp;"",""))</f>
        <v/>
      </c>
      <c r="I568" s="26" t="str">
        <f aca="false">IF(A568="","",COUNTIF(Apparitions!$G$2:$G$5001,A568))</f>
        <v/>
      </c>
      <c r="J568" s="26" t="str">
        <f aca="false">IF(A568="","",COUNTIFS(Apparitions!$G$2:$G$5001,A568,Apparitions!$E$2:$E$5001,"○"))</f>
        <v/>
      </c>
      <c r="K568" s="29" t="str">
        <f aca="false">IF(A568="","",IFERROR(1/(1/_xlfn.MINIFS(Apparitions!$L$2:$L$5001,Apparitions!$G$2:$G$5001,A568)),""))</f>
        <v/>
      </c>
      <c r="L568" s="27" t="str">
        <f aca="false">IF(A568="","",A568&amp;" | "&amp;B568&amp;IF(C568="",""," ("&amp;C568&amp;")")&amp;IF(D568="",""," - "&amp;D568))</f>
        <v/>
      </c>
    </row>
    <row r="569" customFormat="false" ht="15" hidden="false" customHeight="false" outlineLevel="0" collapsed="false">
      <c r="A569" s="32"/>
      <c r="B569" s="19"/>
      <c r="C569" s="19"/>
      <c r="D569" s="19"/>
      <c r="E569" s="21"/>
      <c r="F569" s="19"/>
      <c r="G569" s="27" t="str">
        <f aca="false">IF(B569="","",IFERROR(INDEX(Jeux!$C$2:$C$3001,MATCH(B569,Jeux!$A$2:$A$3001,0))&amp;"","⚠ jeu inconnu"))</f>
        <v/>
      </c>
      <c r="H569" s="27" t="str">
        <f aca="false">IF(B569="","",IFERROR(INDEX(Jeux!$D$2:$D$3001,MATCH(B569,Jeux!$A$2:$A$3001,0))&amp;"",""))</f>
        <v/>
      </c>
      <c r="I569" s="26" t="str">
        <f aca="false">IF(A569="","",COUNTIF(Apparitions!$G$2:$G$5001,A569))</f>
        <v/>
      </c>
      <c r="J569" s="26" t="str">
        <f aca="false">IF(A569="","",COUNTIFS(Apparitions!$G$2:$G$5001,A569,Apparitions!$E$2:$E$5001,"○"))</f>
        <v/>
      </c>
      <c r="K569" s="29" t="str">
        <f aca="false">IF(A569="","",IFERROR(1/(1/_xlfn.MINIFS(Apparitions!$L$2:$L$5001,Apparitions!$G$2:$G$5001,A569)),""))</f>
        <v/>
      </c>
      <c r="L569" s="27" t="str">
        <f aca="false">IF(A569="","",A569&amp;" | "&amp;B569&amp;IF(C569="",""," ("&amp;C569&amp;")")&amp;IF(D569="",""," - "&amp;D569))</f>
        <v/>
      </c>
    </row>
    <row r="570" customFormat="false" ht="15" hidden="false" customHeight="false" outlineLevel="0" collapsed="false">
      <c r="A570" s="32"/>
      <c r="B570" s="19"/>
      <c r="C570" s="19"/>
      <c r="D570" s="19"/>
      <c r="E570" s="21"/>
      <c r="F570" s="19"/>
      <c r="G570" s="27" t="str">
        <f aca="false">IF(B570="","",IFERROR(INDEX(Jeux!$C$2:$C$3001,MATCH(B570,Jeux!$A$2:$A$3001,0))&amp;"","⚠ jeu inconnu"))</f>
        <v/>
      </c>
      <c r="H570" s="27" t="str">
        <f aca="false">IF(B570="","",IFERROR(INDEX(Jeux!$D$2:$D$3001,MATCH(B570,Jeux!$A$2:$A$3001,0))&amp;"",""))</f>
        <v/>
      </c>
      <c r="I570" s="26" t="str">
        <f aca="false">IF(A570="","",COUNTIF(Apparitions!$G$2:$G$5001,A570))</f>
        <v/>
      </c>
      <c r="J570" s="26" t="str">
        <f aca="false">IF(A570="","",COUNTIFS(Apparitions!$G$2:$G$5001,A570,Apparitions!$E$2:$E$5001,"○"))</f>
        <v/>
      </c>
      <c r="K570" s="29" t="str">
        <f aca="false">IF(A570="","",IFERROR(1/(1/_xlfn.MINIFS(Apparitions!$L$2:$L$5001,Apparitions!$G$2:$G$5001,A570)),""))</f>
        <v/>
      </c>
      <c r="L570" s="27" t="str">
        <f aca="false">IF(A570="","",A570&amp;" | "&amp;B570&amp;IF(C570="",""," ("&amp;C570&amp;")")&amp;IF(D570="",""," - "&amp;D570))</f>
        <v/>
      </c>
    </row>
    <row r="571" customFormat="false" ht="15" hidden="false" customHeight="false" outlineLevel="0" collapsed="false">
      <c r="A571" s="32"/>
      <c r="B571" s="19"/>
      <c r="C571" s="19"/>
      <c r="D571" s="19"/>
      <c r="E571" s="21"/>
      <c r="F571" s="19"/>
      <c r="G571" s="27" t="str">
        <f aca="false">IF(B571="","",IFERROR(INDEX(Jeux!$C$2:$C$3001,MATCH(B571,Jeux!$A$2:$A$3001,0))&amp;"","⚠ jeu inconnu"))</f>
        <v/>
      </c>
      <c r="H571" s="27" t="str">
        <f aca="false">IF(B571="","",IFERROR(INDEX(Jeux!$D$2:$D$3001,MATCH(B571,Jeux!$A$2:$A$3001,0))&amp;"",""))</f>
        <v/>
      </c>
      <c r="I571" s="26" t="str">
        <f aca="false">IF(A571="","",COUNTIF(Apparitions!$G$2:$G$5001,A571))</f>
        <v/>
      </c>
      <c r="J571" s="26" t="str">
        <f aca="false">IF(A571="","",COUNTIFS(Apparitions!$G$2:$G$5001,A571,Apparitions!$E$2:$E$5001,"○"))</f>
        <v/>
      </c>
      <c r="K571" s="29" t="str">
        <f aca="false">IF(A571="","",IFERROR(1/(1/_xlfn.MINIFS(Apparitions!$L$2:$L$5001,Apparitions!$G$2:$G$5001,A571)),""))</f>
        <v/>
      </c>
      <c r="L571" s="27" t="str">
        <f aca="false">IF(A571="","",A571&amp;" | "&amp;B571&amp;IF(C571="",""," ("&amp;C571&amp;")")&amp;IF(D571="",""," - "&amp;D571))</f>
        <v/>
      </c>
    </row>
    <row r="572" customFormat="false" ht="15" hidden="false" customHeight="false" outlineLevel="0" collapsed="false">
      <c r="A572" s="32"/>
      <c r="B572" s="19"/>
      <c r="C572" s="19"/>
      <c r="D572" s="19"/>
      <c r="E572" s="21"/>
      <c r="F572" s="19"/>
      <c r="G572" s="27" t="str">
        <f aca="false">IF(B572="","",IFERROR(INDEX(Jeux!$C$2:$C$3001,MATCH(B572,Jeux!$A$2:$A$3001,0))&amp;"","⚠ jeu inconnu"))</f>
        <v/>
      </c>
      <c r="H572" s="27" t="str">
        <f aca="false">IF(B572="","",IFERROR(INDEX(Jeux!$D$2:$D$3001,MATCH(B572,Jeux!$A$2:$A$3001,0))&amp;"",""))</f>
        <v/>
      </c>
      <c r="I572" s="26" t="str">
        <f aca="false">IF(A572="","",COUNTIF(Apparitions!$G$2:$G$5001,A572))</f>
        <v/>
      </c>
      <c r="J572" s="26" t="str">
        <f aca="false">IF(A572="","",COUNTIFS(Apparitions!$G$2:$G$5001,A572,Apparitions!$E$2:$E$5001,"○"))</f>
        <v/>
      </c>
      <c r="K572" s="29" t="str">
        <f aca="false">IF(A572="","",IFERROR(1/(1/_xlfn.MINIFS(Apparitions!$L$2:$L$5001,Apparitions!$G$2:$G$5001,A572)),""))</f>
        <v/>
      </c>
      <c r="L572" s="27" t="str">
        <f aca="false">IF(A572="","",A572&amp;" | "&amp;B572&amp;IF(C572="",""," ("&amp;C572&amp;")")&amp;IF(D572="",""," - "&amp;D572))</f>
        <v/>
      </c>
    </row>
    <row r="573" customFormat="false" ht="15" hidden="false" customHeight="false" outlineLevel="0" collapsed="false">
      <c r="A573" s="32"/>
      <c r="B573" s="19"/>
      <c r="C573" s="19"/>
      <c r="D573" s="19"/>
      <c r="E573" s="21"/>
      <c r="F573" s="19"/>
      <c r="G573" s="27" t="str">
        <f aca="false">IF(B573="","",IFERROR(INDEX(Jeux!$C$2:$C$3001,MATCH(B573,Jeux!$A$2:$A$3001,0))&amp;"","⚠ jeu inconnu"))</f>
        <v/>
      </c>
      <c r="H573" s="27" t="str">
        <f aca="false">IF(B573="","",IFERROR(INDEX(Jeux!$D$2:$D$3001,MATCH(B573,Jeux!$A$2:$A$3001,0))&amp;"",""))</f>
        <v/>
      </c>
      <c r="I573" s="26" t="str">
        <f aca="false">IF(A573="","",COUNTIF(Apparitions!$G$2:$G$5001,A573))</f>
        <v/>
      </c>
      <c r="J573" s="26" t="str">
        <f aca="false">IF(A573="","",COUNTIFS(Apparitions!$G$2:$G$5001,A573,Apparitions!$E$2:$E$5001,"○"))</f>
        <v/>
      </c>
      <c r="K573" s="29" t="str">
        <f aca="false">IF(A573="","",IFERROR(1/(1/_xlfn.MINIFS(Apparitions!$L$2:$L$5001,Apparitions!$G$2:$G$5001,A573)),""))</f>
        <v/>
      </c>
      <c r="L573" s="27" t="str">
        <f aca="false">IF(A573="","",A573&amp;" | "&amp;B573&amp;IF(C573="",""," ("&amp;C573&amp;")")&amp;IF(D573="",""," - "&amp;D573))</f>
        <v/>
      </c>
    </row>
    <row r="574" customFormat="false" ht="15" hidden="false" customHeight="false" outlineLevel="0" collapsed="false">
      <c r="A574" s="32"/>
      <c r="B574" s="19"/>
      <c r="C574" s="19"/>
      <c r="D574" s="19"/>
      <c r="E574" s="21"/>
      <c r="F574" s="19"/>
      <c r="G574" s="27" t="str">
        <f aca="false">IF(B574="","",IFERROR(INDEX(Jeux!$C$2:$C$3001,MATCH(B574,Jeux!$A$2:$A$3001,0))&amp;"","⚠ jeu inconnu"))</f>
        <v/>
      </c>
      <c r="H574" s="27" t="str">
        <f aca="false">IF(B574="","",IFERROR(INDEX(Jeux!$D$2:$D$3001,MATCH(B574,Jeux!$A$2:$A$3001,0))&amp;"",""))</f>
        <v/>
      </c>
      <c r="I574" s="26" t="str">
        <f aca="false">IF(A574="","",COUNTIF(Apparitions!$G$2:$G$5001,A574))</f>
        <v/>
      </c>
      <c r="J574" s="26" t="str">
        <f aca="false">IF(A574="","",COUNTIFS(Apparitions!$G$2:$G$5001,A574,Apparitions!$E$2:$E$5001,"○"))</f>
        <v/>
      </c>
      <c r="K574" s="29" t="str">
        <f aca="false">IF(A574="","",IFERROR(1/(1/_xlfn.MINIFS(Apparitions!$L$2:$L$5001,Apparitions!$G$2:$G$5001,A574)),""))</f>
        <v/>
      </c>
      <c r="L574" s="27" t="str">
        <f aca="false">IF(A574="","",A574&amp;" | "&amp;B574&amp;IF(C574="",""," ("&amp;C574&amp;")")&amp;IF(D574="",""," - "&amp;D574))</f>
        <v/>
      </c>
    </row>
    <row r="575" customFormat="false" ht="15" hidden="false" customHeight="false" outlineLevel="0" collapsed="false">
      <c r="A575" s="32"/>
      <c r="B575" s="19"/>
      <c r="C575" s="19"/>
      <c r="D575" s="19"/>
      <c r="E575" s="21"/>
      <c r="F575" s="19"/>
      <c r="G575" s="27" t="str">
        <f aca="false">IF(B575="","",IFERROR(INDEX(Jeux!$C$2:$C$3001,MATCH(B575,Jeux!$A$2:$A$3001,0))&amp;"","⚠ jeu inconnu"))</f>
        <v/>
      </c>
      <c r="H575" s="27" t="str">
        <f aca="false">IF(B575="","",IFERROR(INDEX(Jeux!$D$2:$D$3001,MATCH(B575,Jeux!$A$2:$A$3001,0))&amp;"",""))</f>
        <v/>
      </c>
      <c r="I575" s="26" t="str">
        <f aca="false">IF(A575="","",COUNTIF(Apparitions!$G$2:$G$5001,A575))</f>
        <v/>
      </c>
      <c r="J575" s="26" t="str">
        <f aca="false">IF(A575="","",COUNTIFS(Apparitions!$G$2:$G$5001,A575,Apparitions!$E$2:$E$5001,"○"))</f>
        <v/>
      </c>
      <c r="K575" s="29" t="str">
        <f aca="false">IF(A575="","",IFERROR(1/(1/_xlfn.MINIFS(Apparitions!$L$2:$L$5001,Apparitions!$G$2:$G$5001,A575)),""))</f>
        <v/>
      </c>
      <c r="L575" s="27" t="str">
        <f aca="false">IF(A575="","",A575&amp;" | "&amp;B575&amp;IF(C575="",""," ("&amp;C575&amp;")")&amp;IF(D575="",""," - "&amp;D575))</f>
        <v/>
      </c>
    </row>
    <row r="576" customFormat="false" ht="15" hidden="false" customHeight="false" outlineLevel="0" collapsed="false">
      <c r="A576" s="32"/>
      <c r="B576" s="19"/>
      <c r="C576" s="19"/>
      <c r="D576" s="19"/>
      <c r="E576" s="21"/>
      <c r="F576" s="19"/>
      <c r="G576" s="27" t="str">
        <f aca="false">IF(B576="","",IFERROR(INDEX(Jeux!$C$2:$C$3001,MATCH(B576,Jeux!$A$2:$A$3001,0))&amp;"","⚠ jeu inconnu"))</f>
        <v/>
      </c>
      <c r="H576" s="27" t="str">
        <f aca="false">IF(B576="","",IFERROR(INDEX(Jeux!$D$2:$D$3001,MATCH(B576,Jeux!$A$2:$A$3001,0))&amp;"",""))</f>
        <v/>
      </c>
      <c r="I576" s="26" t="str">
        <f aca="false">IF(A576="","",COUNTIF(Apparitions!$G$2:$G$5001,A576))</f>
        <v/>
      </c>
      <c r="J576" s="26" t="str">
        <f aca="false">IF(A576="","",COUNTIFS(Apparitions!$G$2:$G$5001,A576,Apparitions!$E$2:$E$5001,"○"))</f>
        <v/>
      </c>
      <c r="K576" s="29" t="str">
        <f aca="false">IF(A576="","",IFERROR(1/(1/_xlfn.MINIFS(Apparitions!$L$2:$L$5001,Apparitions!$G$2:$G$5001,A576)),""))</f>
        <v/>
      </c>
      <c r="L576" s="27" t="str">
        <f aca="false">IF(A576="","",A576&amp;" | "&amp;B576&amp;IF(C576="",""," ("&amp;C576&amp;")")&amp;IF(D576="",""," - "&amp;D576))</f>
        <v/>
      </c>
    </row>
    <row r="577" customFormat="false" ht="15" hidden="false" customHeight="false" outlineLevel="0" collapsed="false">
      <c r="A577" s="32"/>
      <c r="B577" s="19"/>
      <c r="C577" s="19"/>
      <c r="D577" s="19"/>
      <c r="E577" s="21"/>
      <c r="F577" s="19"/>
      <c r="G577" s="27" t="str">
        <f aca="false">IF(B577="","",IFERROR(INDEX(Jeux!$C$2:$C$3001,MATCH(B577,Jeux!$A$2:$A$3001,0))&amp;"","⚠ jeu inconnu"))</f>
        <v/>
      </c>
      <c r="H577" s="27" t="str">
        <f aca="false">IF(B577="","",IFERROR(INDEX(Jeux!$D$2:$D$3001,MATCH(B577,Jeux!$A$2:$A$3001,0))&amp;"",""))</f>
        <v/>
      </c>
      <c r="I577" s="26" t="str">
        <f aca="false">IF(A577="","",COUNTIF(Apparitions!$G$2:$G$5001,A577))</f>
        <v/>
      </c>
      <c r="J577" s="26" t="str">
        <f aca="false">IF(A577="","",COUNTIFS(Apparitions!$G$2:$G$5001,A577,Apparitions!$E$2:$E$5001,"○"))</f>
        <v/>
      </c>
      <c r="K577" s="29" t="str">
        <f aca="false">IF(A577="","",IFERROR(1/(1/_xlfn.MINIFS(Apparitions!$L$2:$L$5001,Apparitions!$G$2:$G$5001,A577)),""))</f>
        <v/>
      </c>
      <c r="L577" s="27" t="str">
        <f aca="false">IF(A577="","",A577&amp;" | "&amp;B577&amp;IF(C577="",""," ("&amp;C577&amp;")")&amp;IF(D577="",""," - "&amp;D577))</f>
        <v/>
      </c>
    </row>
    <row r="578" customFormat="false" ht="15" hidden="false" customHeight="false" outlineLevel="0" collapsed="false">
      <c r="A578" s="32"/>
      <c r="B578" s="19"/>
      <c r="C578" s="19"/>
      <c r="D578" s="19"/>
      <c r="E578" s="21"/>
      <c r="F578" s="19"/>
      <c r="G578" s="27" t="str">
        <f aca="false">IF(B578="","",IFERROR(INDEX(Jeux!$C$2:$C$3001,MATCH(B578,Jeux!$A$2:$A$3001,0))&amp;"","⚠ jeu inconnu"))</f>
        <v/>
      </c>
      <c r="H578" s="27" t="str">
        <f aca="false">IF(B578="","",IFERROR(INDEX(Jeux!$D$2:$D$3001,MATCH(B578,Jeux!$A$2:$A$3001,0))&amp;"",""))</f>
        <v/>
      </c>
      <c r="I578" s="26" t="str">
        <f aca="false">IF(A578="","",COUNTIF(Apparitions!$G$2:$G$5001,A578))</f>
        <v/>
      </c>
      <c r="J578" s="26" t="str">
        <f aca="false">IF(A578="","",COUNTIFS(Apparitions!$G$2:$G$5001,A578,Apparitions!$E$2:$E$5001,"○"))</f>
        <v/>
      </c>
      <c r="K578" s="29" t="str">
        <f aca="false">IF(A578="","",IFERROR(1/(1/_xlfn.MINIFS(Apparitions!$L$2:$L$5001,Apparitions!$G$2:$G$5001,A578)),""))</f>
        <v/>
      </c>
      <c r="L578" s="27" t="str">
        <f aca="false">IF(A578="","",A578&amp;" | "&amp;B578&amp;IF(C578="",""," ("&amp;C578&amp;")")&amp;IF(D578="",""," - "&amp;D578))</f>
        <v/>
      </c>
    </row>
    <row r="579" customFormat="false" ht="15" hidden="false" customHeight="false" outlineLevel="0" collapsed="false">
      <c r="A579" s="32"/>
      <c r="B579" s="19"/>
      <c r="C579" s="19"/>
      <c r="D579" s="19"/>
      <c r="E579" s="21"/>
      <c r="F579" s="19"/>
      <c r="G579" s="27" t="str">
        <f aca="false">IF(B579="","",IFERROR(INDEX(Jeux!$C$2:$C$3001,MATCH(B579,Jeux!$A$2:$A$3001,0))&amp;"","⚠ jeu inconnu"))</f>
        <v/>
      </c>
      <c r="H579" s="27" t="str">
        <f aca="false">IF(B579="","",IFERROR(INDEX(Jeux!$D$2:$D$3001,MATCH(B579,Jeux!$A$2:$A$3001,0))&amp;"",""))</f>
        <v/>
      </c>
      <c r="I579" s="26" t="str">
        <f aca="false">IF(A579="","",COUNTIF(Apparitions!$G$2:$G$5001,A579))</f>
        <v/>
      </c>
      <c r="J579" s="26" t="str">
        <f aca="false">IF(A579="","",COUNTIFS(Apparitions!$G$2:$G$5001,A579,Apparitions!$E$2:$E$5001,"○"))</f>
        <v/>
      </c>
      <c r="K579" s="29" t="str">
        <f aca="false">IF(A579="","",IFERROR(1/(1/_xlfn.MINIFS(Apparitions!$L$2:$L$5001,Apparitions!$G$2:$G$5001,A579)),""))</f>
        <v/>
      </c>
      <c r="L579" s="27" t="str">
        <f aca="false">IF(A579="","",A579&amp;" | "&amp;B579&amp;IF(C579="",""," ("&amp;C579&amp;")")&amp;IF(D579="",""," - "&amp;D579))</f>
        <v/>
      </c>
    </row>
    <row r="580" customFormat="false" ht="15" hidden="false" customHeight="false" outlineLevel="0" collapsed="false">
      <c r="A580" s="32"/>
      <c r="B580" s="19"/>
      <c r="C580" s="19"/>
      <c r="D580" s="19"/>
      <c r="E580" s="21"/>
      <c r="F580" s="19"/>
      <c r="G580" s="27" t="str">
        <f aca="false">IF(B580="","",IFERROR(INDEX(Jeux!$C$2:$C$3001,MATCH(B580,Jeux!$A$2:$A$3001,0))&amp;"","⚠ jeu inconnu"))</f>
        <v/>
      </c>
      <c r="H580" s="27" t="str">
        <f aca="false">IF(B580="","",IFERROR(INDEX(Jeux!$D$2:$D$3001,MATCH(B580,Jeux!$A$2:$A$3001,0))&amp;"",""))</f>
        <v/>
      </c>
      <c r="I580" s="26" t="str">
        <f aca="false">IF(A580="","",COUNTIF(Apparitions!$G$2:$G$5001,A580))</f>
        <v/>
      </c>
      <c r="J580" s="26" t="str">
        <f aca="false">IF(A580="","",COUNTIFS(Apparitions!$G$2:$G$5001,A580,Apparitions!$E$2:$E$5001,"○"))</f>
        <v/>
      </c>
      <c r="K580" s="29" t="str">
        <f aca="false">IF(A580="","",IFERROR(1/(1/_xlfn.MINIFS(Apparitions!$L$2:$L$5001,Apparitions!$G$2:$G$5001,A580)),""))</f>
        <v/>
      </c>
      <c r="L580" s="27" t="str">
        <f aca="false">IF(A580="","",A580&amp;" | "&amp;B580&amp;IF(C580="",""," ("&amp;C580&amp;")")&amp;IF(D580="",""," - "&amp;D580))</f>
        <v/>
      </c>
    </row>
    <row r="581" customFormat="false" ht="15" hidden="false" customHeight="false" outlineLevel="0" collapsed="false">
      <c r="A581" s="32"/>
      <c r="B581" s="19"/>
      <c r="C581" s="19"/>
      <c r="D581" s="19"/>
      <c r="E581" s="21"/>
      <c r="F581" s="19"/>
      <c r="G581" s="27" t="str">
        <f aca="false">IF(B581="","",IFERROR(INDEX(Jeux!$C$2:$C$3001,MATCH(B581,Jeux!$A$2:$A$3001,0))&amp;"","⚠ jeu inconnu"))</f>
        <v/>
      </c>
      <c r="H581" s="27" t="str">
        <f aca="false">IF(B581="","",IFERROR(INDEX(Jeux!$D$2:$D$3001,MATCH(B581,Jeux!$A$2:$A$3001,0))&amp;"",""))</f>
        <v/>
      </c>
      <c r="I581" s="26" t="str">
        <f aca="false">IF(A581="","",COUNTIF(Apparitions!$G$2:$G$5001,A581))</f>
        <v/>
      </c>
      <c r="J581" s="26" t="str">
        <f aca="false">IF(A581="","",COUNTIFS(Apparitions!$G$2:$G$5001,A581,Apparitions!$E$2:$E$5001,"○"))</f>
        <v/>
      </c>
      <c r="K581" s="29" t="str">
        <f aca="false">IF(A581="","",IFERROR(1/(1/_xlfn.MINIFS(Apparitions!$L$2:$L$5001,Apparitions!$G$2:$G$5001,A581)),""))</f>
        <v/>
      </c>
      <c r="L581" s="27" t="str">
        <f aca="false">IF(A581="","",A581&amp;" | "&amp;B581&amp;IF(C581="",""," ("&amp;C581&amp;")")&amp;IF(D581="",""," - "&amp;D581))</f>
        <v/>
      </c>
    </row>
    <row r="582" customFormat="false" ht="15" hidden="false" customHeight="false" outlineLevel="0" collapsed="false">
      <c r="A582" s="32"/>
      <c r="B582" s="19"/>
      <c r="C582" s="19"/>
      <c r="D582" s="19"/>
      <c r="E582" s="21"/>
      <c r="F582" s="19"/>
      <c r="G582" s="27" t="str">
        <f aca="false">IF(B582="","",IFERROR(INDEX(Jeux!$C$2:$C$3001,MATCH(B582,Jeux!$A$2:$A$3001,0))&amp;"","⚠ jeu inconnu"))</f>
        <v/>
      </c>
      <c r="H582" s="27" t="str">
        <f aca="false">IF(B582="","",IFERROR(INDEX(Jeux!$D$2:$D$3001,MATCH(B582,Jeux!$A$2:$A$3001,0))&amp;"",""))</f>
        <v/>
      </c>
      <c r="I582" s="26" t="str">
        <f aca="false">IF(A582="","",COUNTIF(Apparitions!$G$2:$G$5001,A582))</f>
        <v/>
      </c>
      <c r="J582" s="26" t="str">
        <f aca="false">IF(A582="","",COUNTIFS(Apparitions!$G$2:$G$5001,A582,Apparitions!$E$2:$E$5001,"○"))</f>
        <v/>
      </c>
      <c r="K582" s="29" t="str">
        <f aca="false">IF(A582="","",IFERROR(1/(1/_xlfn.MINIFS(Apparitions!$L$2:$L$5001,Apparitions!$G$2:$G$5001,A582)),""))</f>
        <v/>
      </c>
      <c r="L582" s="27" t="str">
        <f aca="false">IF(A582="","",A582&amp;" | "&amp;B582&amp;IF(C582="",""," ("&amp;C582&amp;")")&amp;IF(D582="",""," - "&amp;D582))</f>
        <v/>
      </c>
    </row>
    <row r="583" customFormat="false" ht="15" hidden="false" customHeight="false" outlineLevel="0" collapsed="false">
      <c r="A583" s="32"/>
      <c r="B583" s="19"/>
      <c r="C583" s="19"/>
      <c r="D583" s="19"/>
      <c r="E583" s="21"/>
      <c r="F583" s="19"/>
      <c r="G583" s="27" t="str">
        <f aca="false">IF(B583="","",IFERROR(INDEX(Jeux!$C$2:$C$3001,MATCH(B583,Jeux!$A$2:$A$3001,0))&amp;"","⚠ jeu inconnu"))</f>
        <v/>
      </c>
      <c r="H583" s="27" t="str">
        <f aca="false">IF(B583="","",IFERROR(INDEX(Jeux!$D$2:$D$3001,MATCH(B583,Jeux!$A$2:$A$3001,0))&amp;"",""))</f>
        <v/>
      </c>
      <c r="I583" s="26" t="str">
        <f aca="false">IF(A583="","",COUNTIF(Apparitions!$G$2:$G$5001,A583))</f>
        <v/>
      </c>
      <c r="J583" s="26" t="str">
        <f aca="false">IF(A583="","",COUNTIFS(Apparitions!$G$2:$G$5001,A583,Apparitions!$E$2:$E$5001,"○"))</f>
        <v/>
      </c>
      <c r="K583" s="29" t="str">
        <f aca="false">IF(A583="","",IFERROR(1/(1/_xlfn.MINIFS(Apparitions!$L$2:$L$5001,Apparitions!$G$2:$G$5001,A583)),""))</f>
        <v/>
      </c>
      <c r="L583" s="27" t="str">
        <f aca="false">IF(A583="","",A583&amp;" | "&amp;B583&amp;IF(C583="",""," ("&amp;C583&amp;")")&amp;IF(D583="",""," - "&amp;D583))</f>
        <v/>
      </c>
    </row>
    <row r="584" customFormat="false" ht="15" hidden="false" customHeight="false" outlineLevel="0" collapsed="false">
      <c r="A584" s="32"/>
      <c r="B584" s="19"/>
      <c r="C584" s="19"/>
      <c r="D584" s="19"/>
      <c r="E584" s="21"/>
      <c r="F584" s="19"/>
      <c r="G584" s="27" t="str">
        <f aca="false">IF(B584="","",IFERROR(INDEX(Jeux!$C$2:$C$3001,MATCH(B584,Jeux!$A$2:$A$3001,0))&amp;"","⚠ jeu inconnu"))</f>
        <v/>
      </c>
      <c r="H584" s="27" t="str">
        <f aca="false">IF(B584="","",IFERROR(INDEX(Jeux!$D$2:$D$3001,MATCH(B584,Jeux!$A$2:$A$3001,0))&amp;"",""))</f>
        <v/>
      </c>
      <c r="I584" s="26" t="str">
        <f aca="false">IF(A584="","",COUNTIF(Apparitions!$G$2:$G$5001,A584))</f>
        <v/>
      </c>
      <c r="J584" s="26" t="str">
        <f aca="false">IF(A584="","",COUNTIFS(Apparitions!$G$2:$G$5001,A584,Apparitions!$E$2:$E$5001,"○"))</f>
        <v/>
      </c>
      <c r="K584" s="29" t="str">
        <f aca="false">IF(A584="","",IFERROR(1/(1/_xlfn.MINIFS(Apparitions!$L$2:$L$5001,Apparitions!$G$2:$G$5001,A584)),""))</f>
        <v/>
      </c>
      <c r="L584" s="27" t="str">
        <f aca="false">IF(A584="","",A584&amp;" | "&amp;B584&amp;IF(C584="",""," ("&amp;C584&amp;")")&amp;IF(D584="",""," - "&amp;D584))</f>
        <v/>
      </c>
    </row>
    <row r="585" customFormat="false" ht="15" hidden="false" customHeight="false" outlineLevel="0" collapsed="false">
      <c r="A585" s="32"/>
      <c r="B585" s="19"/>
      <c r="C585" s="19"/>
      <c r="D585" s="19"/>
      <c r="E585" s="21"/>
      <c r="F585" s="19"/>
      <c r="G585" s="27" t="str">
        <f aca="false">IF(B585="","",IFERROR(INDEX(Jeux!$C$2:$C$3001,MATCH(B585,Jeux!$A$2:$A$3001,0))&amp;"","⚠ jeu inconnu"))</f>
        <v/>
      </c>
      <c r="H585" s="27" t="str">
        <f aca="false">IF(B585="","",IFERROR(INDEX(Jeux!$D$2:$D$3001,MATCH(B585,Jeux!$A$2:$A$3001,0))&amp;"",""))</f>
        <v/>
      </c>
      <c r="I585" s="26" t="str">
        <f aca="false">IF(A585="","",COUNTIF(Apparitions!$G$2:$G$5001,A585))</f>
        <v/>
      </c>
      <c r="J585" s="26" t="str">
        <f aca="false">IF(A585="","",COUNTIFS(Apparitions!$G$2:$G$5001,A585,Apparitions!$E$2:$E$5001,"○"))</f>
        <v/>
      </c>
      <c r="K585" s="29" t="str">
        <f aca="false">IF(A585="","",IFERROR(1/(1/_xlfn.MINIFS(Apparitions!$L$2:$L$5001,Apparitions!$G$2:$G$5001,A585)),""))</f>
        <v/>
      </c>
      <c r="L585" s="27" t="str">
        <f aca="false">IF(A585="","",A585&amp;" | "&amp;B585&amp;IF(C585="",""," ("&amp;C585&amp;")")&amp;IF(D585="",""," - "&amp;D585))</f>
        <v/>
      </c>
    </row>
    <row r="586" customFormat="false" ht="15" hidden="false" customHeight="false" outlineLevel="0" collapsed="false">
      <c r="A586" s="32"/>
      <c r="B586" s="19"/>
      <c r="C586" s="19"/>
      <c r="D586" s="19"/>
      <c r="E586" s="21"/>
      <c r="F586" s="19"/>
      <c r="G586" s="27" t="str">
        <f aca="false">IF(B586="","",IFERROR(INDEX(Jeux!$C$2:$C$3001,MATCH(B586,Jeux!$A$2:$A$3001,0))&amp;"","⚠ jeu inconnu"))</f>
        <v/>
      </c>
      <c r="H586" s="27" t="str">
        <f aca="false">IF(B586="","",IFERROR(INDEX(Jeux!$D$2:$D$3001,MATCH(B586,Jeux!$A$2:$A$3001,0))&amp;"",""))</f>
        <v/>
      </c>
      <c r="I586" s="26" t="str">
        <f aca="false">IF(A586="","",COUNTIF(Apparitions!$G$2:$G$5001,A586))</f>
        <v/>
      </c>
      <c r="J586" s="26" t="str">
        <f aca="false">IF(A586="","",COUNTIFS(Apparitions!$G$2:$G$5001,A586,Apparitions!$E$2:$E$5001,"○"))</f>
        <v/>
      </c>
      <c r="K586" s="29" t="str">
        <f aca="false">IF(A586="","",IFERROR(1/(1/_xlfn.MINIFS(Apparitions!$L$2:$L$5001,Apparitions!$G$2:$G$5001,A586)),""))</f>
        <v/>
      </c>
      <c r="L586" s="27" t="str">
        <f aca="false">IF(A586="","",A586&amp;" | "&amp;B586&amp;IF(C586="",""," ("&amp;C586&amp;")")&amp;IF(D586="",""," - "&amp;D586))</f>
        <v/>
      </c>
    </row>
    <row r="587" customFormat="false" ht="15" hidden="false" customHeight="false" outlineLevel="0" collapsed="false">
      <c r="A587" s="32"/>
      <c r="B587" s="19"/>
      <c r="C587" s="19"/>
      <c r="D587" s="19"/>
      <c r="E587" s="21"/>
      <c r="F587" s="19"/>
      <c r="G587" s="27" t="str">
        <f aca="false">IF(B587="","",IFERROR(INDEX(Jeux!$C$2:$C$3001,MATCH(B587,Jeux!$A$2:$A$3001,0))&amp;"","⚠ jeu inconnu"))</f>
        <v/>
      </c>
      <c r="H587" s="27" t="str">
        <f aca="false">IF(B587="","",IFERROR(INDEX(Jeux!$D$2:$D$3001,MATCH(B587,Jeux!$A$2:$A$3001,0))&amp;"",""))</f>
        <v/>
      </c>
      <c r="I587" s="26" t="str">
        <f aca="false">IF(A587="","",COUNTIF(Apparitions!$G$2:$G$5001,A587))</f>
        <v/>
      </c>
      <c r="J587" s="26" t="str">
        <f aca="false">IF(A587="","",COUNTIFS(Apparitions!$G$2:$G$5001,A587,Apparitions!$E$2:$E$5001,"○"))</f>
        <v/>
      </c>
      <c r="K587" s="29" t="str">
        <f aca="false">IF(A587="","",IFERROR(1/(1/_xlfn.MINIFS(Apparitions!$L$2:$L$5001,Apparitions!$G$2:$G$5001,A587)),""))</f>
        <v/>
      </c>
      <c r="L587" s="27" t="str">
        <f aca="false">IF(A587="","",A587&amp;" | "&amp;B587&amp;IF(C587="",""," ("&amp;C587&amp;")")&amp;IF(D587="",""," - "&amp;D587))</f>
        <v/>
      </c>
    </row>
    <row r="588" customFormat="false" ht="15" hidden="false" customHeight="false" outlineLevel="0" collapsed="false">
      <c r="A588" s="32"/>
      <c r="B588" s="19"/>
      <c r="C588" s="19"/>
      <c r="D588" s="19"/>
      <c r="E588" s="21"/>
      <c r="F588" s="19"/>
      <c r="G588" s="27" t="str">
        <f aca="false">IF(B588="","",IFERROR(INDEX(Jeux!$C$2:$C$3001,MATCH(B588,Jeux!$A$2:$A$3001,0))&amp;"","⚠ jeu inconnu"))</f>
        <v/>
      </c>
      <c r="H588" s="27" t="str">
        <f aca="false">IF(B588="","",IFERROR(INDEX(Jeux!$D$2:$D$3001,MATCH(B588,Jeux!$A$2:$A$3001,0))&amp;"",""))</f>
        <v/>
      </c>
      <c r="I588" s="26" t="str">
        <f aca="false">IF(A588="","",COUNTIF(Apparitions!$G$2:$G$5001,A588))</f>
        <v/>
      </c>
      <c r="J588" s="26" t="str">
        <f aca="false">IF(A588="","",COUNTIFS(Apparitions!$G$2:$G$5001,A588,Apparitions!$E$2:$E$5001,"○"))</f>
        <v/>
      </c>
      <c r="K588" s="29" t="str">
        <f aca="false">IF(A588="","",IFERROR(1/(1/_xlfn.MINIFS(Apparitions!$L$2:$L$5001,Apparitions!$G$2:$G$5001,A588)),""))</f>
        <v/>
      </c>
      <c r="L588" s="27" t="str">
        <f aca="false">IF(A588="","",A588&amp;" | "&amp;B588&amp;IF(C588="",""," ("&amp;C588&amp;")")&amp;IF(D588="",""," - "&amp;D588))</f>
        <v/>
      </c>
    </row>
    <row r="589" customFormat="false" ht="15" hidden="false" customHeight="false" outlineLevel="0" collapsed="false">
      <c r="A589" s="32"/>
      <c r="B589" s="19"/>
      <c r="C589" s="19"/>
      <c r="D589" s="19"/>
      <c r="E589" s="21"/>
      <c r="F589" s="19"/>
      <c r="G589" s="27" t="str">
        <f aca="false">IF(B589="","",IFERROR(INDEX(Jeux!$C$2:$C$3001,MATCH(B589,Jeux!$A$2:$A$3001,0))&amp;"","⚠ jeu inconnu"))</f>
        <v/>
      </c>
      <c r="H589" s="27" t="str">
        <f aca="false">IF(B589="","",IFERROR(INDEX(Jeux!$D$2:$D$3001,MATCH(B589,Jeux!$A$2:$A$3001,0))&amp;"",""))</f>
        <v/>
      </c>
      <c r="I589" s="26" t="str">
        <f aca="false">IF(A589="","",COUNTIF(Apparitions!$G$2:$G$5001,A589))</f>
        <v/>
      </c>
      <c r="J589" s="26" t="str">
        <f aca="false">IF(A589="","",COUNTIFS(Apparitions!$G$2:$G$5001,A589,Apparitions!$E$2:$E$5001,"○"))</f>
        <v/>
      </c>
      <c r="K589" s="29" t="str">
        <f aca="false">IF(A589="","",IFERROR(1/(1/_xlfn.MINIFS(Apparitions!$L$2:$L$5001,Apparitions!$G$2:$G$5001,A589)),""))</f>
        <v/>
      </c>
      <c r="L589" s="27" t="str">
        <f aca="false">IF(A589="","",A589&amp;" | "&amp;B589&amp;IF(C589="",""," ("&amp;C589&amp;")")&amp;IF(D589="",""," - "&amp;D589))</f>
        <v/>
      </c>
    </row>
    <row r="590" customFormat="false" ht="15" hidden="false" customHeight="false" outlineLevel="0" collapsed="false">
      <c r="A590" s="32"/>
      <c r="B590" s="19"/>
      <c r="C590" s="19"/>
      <c r="D590" s="19"/>
      <c r="E590" s="21"/>
      <c r="F590" s="19"/>
      <c r="G590" s="27" t="str">
        <f aca="false">IF(B590="","",IFERROR(INDEX(Jeux!$C$2:$C$3001,MATCH(B590,Jeux!$A$2:$A$3001,0))&amp;"","⚠ jeu inconnu"))</f>
        <v/>
      </c>
      <c r="H590" s="27" t="str">
        <f aca="false">IF(B590="","",IFERROR(INDEX(Jeux!$D$2:$D$3001,MATCH(B590,Jeux!$A$2:$A$3001,0))&amp;"",""))</f>
        <v/>
      </c>
      <c r="I590" s="26" t="str">
        <f aca="false">IF(A590="","",COUNTIF(Apparitions!$G$2:$G$5001,A590))</f>
        <v/>
      </c>
      <c r="J590" s="26" t="str">
        <f aca="false">IF(A590="","",COUNTIFS(Apparitions!$G$2:$G$5001,A590,Apparitions!$E$2:$E$5001,"○"))</f>
        <v/>
      </c>
      <c r="K590" s="29" t="str">
        <f aca="false">IF(A590="","",IFERROR(1/(1/_xlfn.MINIFS(Apparitions!$L$2:$L$5001,Apparitions!$G$2:$G$5001,A590)),""))</f>
        <v/>
      </c>
      <c r="L590" s="27" t="str">
        <f aca="false">IF(A590="","",A590&amp;" | "&amp;B590&amp;IF(C590="",""," ("&amp;C590&amp;")")&amp;IF(D590="",""," - "&amp;D590))</f>
        <v/>
      </c>
    </row>
    <row r="591" customFormat="false" ht="15" hidden="false" customHeight="false" outlineLevel="0" collapsed="false">
      <c r="A591" s="32"/>
      <c r="B591" s="19"/>
      <c r="C591" s="19"/>
      <c r="D591" s="19"/>
      <c r="E591" s="21"/>
      <c r="F591" s="19"/>
      <c r="G591" s="27" t="str">
        <f aca="false">IF(B591="","",IFERROR(INDEX(Jeux!$C$2:$C$3001,MATCH(B591,Jeux!$A$2:$A$3001,0))&amp;"","⚠ jeu inconnu"))</f>
        <v/>
      </c>
      <c r="H591" s="27" t="str">
        <f aca="false">IF(B591="","",IFERROR(INDEX(Jeux!$D$2:$D$3001,MATCH(B591,Jeux!$A$2:$A$3001,0))&amp;"",""))</f>
        <v/>
      </c>
      <c r="I591" s="26" t="str">
        <f aca="false">IF(A591="","",COUNTIF(Apparitions!$G$2:$G$5001,A591))</f>
        <v/>
      </c>
      <c r="J591" s="26" t="str">
        <f aca="false">IF(A591="","",COUNTIFS(Apparitions!$G$2:$G$5001,A591,Apparitions!$E$2:$E$5001,"○"))</f>
        <v/>
      </c>
      <c r="K591" s="29" t="str">
        <f aca="false">IF(A591="","",IFERROR(1/(1/_xlfn.MINIFS(Apparitions!$L$2:$L$5001,Apparitions!$G$2:$G$5001,A591)),""))</f>
        <v/>
      </c>
      <c r="L591" s="27" t="str">
        <f aca="false">IF(A591="","",A591&amp;" | "&amp;B591&amp;IF(C591="",""," ("&amp;C591&amp;")")&amp;IF(D591="",""," - "&amp;D591))</f>
        <v/>
      </c>
    </row>
    <row r="592" customFormat="false" ht="15" hidden="false" customHeight="false" outlineLevel="0" collapsed="false">
      <c r="A592" s="32"/>
      <c r="B592" s="19"/>
      <c r="C592" s="19"/>
      <c r="D592" s="19"/>
      <c r="E592" s="21"/>
      <c r="F592" s="19"/>
      <c r="G592" s="27" t="str">
        <f aca="false">IF(B592="","",IFERROR(INDEX(Jeux!$C$2:$C$3001,MATCH(B592,Jeux!$A$2:$A$3001,0))&amp;"","⚠ jeu inconnu"))</f>
        <v/>
      </c>
      <c r="H592" s="27" t="str">
        <f aca="false">IF(B592="","",IFERROR(INDEX(Jeux!$D$2:$D$3001,MATCH(B592,Jeux!$A$2:$A$3001,0))&amp;"",""))</f>
        <v/>
      </c>
      <c r="I592" s="26" t="str">
        <f aca="false">IF(A592="","",COUNTIF(Apparitions!$G$2:$G$5001,A592))</f>
        <v/>
      </c>
      <c r="J592" s="26" t="str">
        <f aca="false">IF(A592="","",COUNTIFS(Apparitions!$G$2:$G$5001,A592,Apparitions!$E$2:$E$5001,"○"))</f>
        <v/>
      </c>
      <c r="K592" s="29" t="str">
        <f aca="false">IF(A592="","",IFERROR(1/(1/_xlfn.MINIFS(Apparitions!$L$2:$L$5001,Apparitions!$G$2:$G$5001,A592)),""))</f>
        <v/>
      </c>
      <c r="L592" s="27" t="str">
        <f aca="false">IF(A592="","",A592&amp;" | "&amp;B592&amp;IF(C592="",""," ("&amp;C592&amp;")")&amp;IF(D592="",""," - "&amp;D592))</f>
        <v/>
      </c>
    </row>
    <row r="593" customFormat="false" ht="15" hidden="false" customHeight="false" outlineLevel="0" collapsed="false">
      <c r="A593" s="32"/>
      <c r="B593" s="19"/>
      <c r="C593" s="19"/>
      <c r="D593" s="19"/>
      <c r="E593" s="21"/>
      <c r="F593" s="19"/>
      <c r="G593" s="27" t="str">
        <f aca="false">IF(B593="","",IFERROR(INDEX(Jeux!$C$2:$C$3001,MATCH(B593,Jeux!$A$2:$A$3001,0))&amp;"","⚠ jeu inconnu"))</f>
        <v/>
      </c>
      <c r="H593" s="27" t="str">
        <f aca="false">IF(B593="","",IFERROR(INDEX(Jeux!$D$2:$D$3001,MATCH(B593,Jeux!$A$2:$A$3001,0))&amp;"",""))</f>
        <v/>
      </c>
      <c r="I593" s="26" t="str">
        <f aca="false">IF(A593="","",COUNTIF(Apparitions!$G$2:$G$5001,A593))</f>
        <v/>
      </c>
      <c r="J593" s="26" t="str">
        <f aca="false">IF(A593="","",COUNTIFS(Apparitions!$G$2:$G$5001,A593,Apparitions!$E$2:$E$5001,"○"))</f>
        <v/>
      </c>
      <c r="K593" s="29" t="str">
        <f aca="false">IF(A593="","",IFERROR(1/(1/_xlfn.MINIFS(Apparitions!$L$2:$L$5001,Apparitions!$G$2:$G$5001,A593)),""))</f>
        <v/>
      </c>
      <c r="L593" s="27" t="str">
        <f aca="false">IF(A593="","",A593&amp;" | "&amp;B593&amp;IF(C593="",""," ("&amp;C593&amp;")")&amp;IF(D593="",""," - "&amp;D593))</f>
        <v/>
      </c>
    </row>
    <row r="594" customFormat="false" ht="15" hidden="false" customHeight="false" outlineLevel="0" collapsed="false">
      <c r="A594" s="32"/>
      <c r="B594" s="19"/>
      <c r="C594" s="19"/>
      <c r="D594" s="19"/>
      <c r="E594" s="21"/>
      <c r="F594" s="19"/>
      <c r="G594" s="27" t="str">
        <f aca="false">IF(B594="","",IFERROR(INDEX(Jeux!$C$2:$C$3001,MATCH(B594,Jeux!$A$2:$A$3001,0))&amp;"","⚠ jeu inconnu"))</f>
        <v/>
      </c>
      <c r="H594" s="27" t="str">
        <f aca="false">IF(B594="","",IFERROR(INDEX(Jeux!$D$2:$D$3001,MATCH(B594,Jeux!$A$2:$A$3001,0))&amp;"",""))</f>
        <v/>
      </c>
      <c r="I594" s="26" t="str">
        <f aca="false">IF(A594="","",COUNTIF(Apparitions!$G$2:$G$5001,A594))</f>
        <v/>
      </c>
      <c r="J594" s="26" t="str">
        <f aca="false">IF(A594="","",COUNTIFS(Apparitions!$G$2:$G$5001,A594,Apparitions!$E$2:$E$5001,"○"))</f>
        <v/>
      </c>
      <c r="K594" s="29" t="str">
        <f aca="false">IF(A594="","",IFERROR(1/(1/_xlfn.MINIFS(Apparitions!$L$2:$L$5001,Apparitions!$G$2:$G$5001,A594)),""))</f>
        <v/>
      </c>
      <c r="L594" s="27" t="str">
        <f aca="false">IF(A594="","",A594&amp;" | "&amp;B594&amp;IF(C594="",""," ("&amp;C594&amp;")")&amp;IF(D594="",""," - "&amp;D594))</f>
        <v/>
      </c>
    </row>
    <row r="595" customFormat="false" ht="15" hidden="false" customHeight="false" outlineLevel="0" collapsed="false">
      <c r="A595" s="32"/>
      <c r="B595" s="19"/>
      <c r="C595" s="19"/>
      <c r="D595" s="19"/>
      <c r="E595" s="21"/>
      <c r="F595" s="19"/>
      <c r="G595" s="27" t="str">
        <f aca="false">IF(B595="","",IFERROR(INDEX(Jeux!$C$2:$C$3001,MATCH(B595,Jeux!$A$2:$A$3001,0))&amp;"","⚠ jeu inconnu"))</f>
        <v/>
      </c>
      <c r="H595" s="27" t="str">
        <f aca="false">IF(B595="","",IFERROR(INDEX(Jeux!$D$2:$D$3001,MATCH(B595,Jeux!$A$2:$A$3001,0))&amp;"",""))</f>
        <v/>
      </c>
      <c r="I595" s="26" t="str">
        <f aca="false">IF(A595="","",COUNTIF(Apparitions!$G$2:$G$5001,A595))</f>
        <v/>
      </c>
      <c r="J595" s="26" t="str">
        <f aca="false">IF(A595="","",COUNTIFS(Apparitions!$G$2:$G$5001,A595,Apparitions!$E$2:$E$5001,"○"))</f>
        <v/>
      </c>
      <c r="K595" s="29" t="str">
        <f aca="false">IF(A595="","",IFERROR(1/(1/_xlfn.MINIFS(Apparitions!$L$2:$L$5001,Apparitions!$G$2:$G$5001,A595)),""))</f>
        <v/>
      </c>
      <c r="L595" s="27" t="str">
        <f aca="false">IF(A595="","",A595&amp;" | "&amp;B595&amp;IF(C595="",""," ("&amp;C595&amp;")")&amp;IF(D595="",""," - "&amp;D595))</f>
        <v/>
      </c>
    </row>
    <row r="596" customFormat="false" ht="15" hidden="false" customHeight="false" outlineLevel="0" collapsed="false">
      <c r="A596" s="32"/>
      <c r="B596" s="19"/>
      <c r="C596" s="19"/>
      <c r="D596" s="19"/>
      <c r="E596" s="21"/>
      <c r="F596" s="19"/>
      <c r="G596" s="27" t="str">
        <f aca="false">IF(B596="","",IFERROR(INDEX(Jeux!$C$2:$C$3001,MATCH(B596,Jeux!$A$2:$A$3001,0))&amp;"","⚠ jeu inconnu"))</f>
        <v/>
      </c>
      <c r="H596" s="27" t="str">
        <f aca="false">IF(B596="","",IFERROR(INDEX(Jeux!$D$2:$D$3001,MATCH(B596,Jeux!$A$2:$A$3001,0))&amp;"",""))</f>
        <v/>
      </c>
      <c r="I596" s="26" t="str">
        <f aca="false">IF(A596="","",COUNTIF(Apparitions!$G$2:$G$5001,A596))</f>
        <v/>
      </c>
      <c r="J596" s="26" t="str">
        <f aca="false">IF(A596="","",COUNTIFS(Apparitions!$G$2:$G$5001,A596,Apparitions!$E$2:$E$5001,"○"))</f>
        <v/>
      </c>
      <c r="K596" s="29" t="str">
        <f aca="false">IF(A596="","",IFERROR(1/(1/_xlfn.MINIFS(Apparitions!$L$2:$L$5001,Apparitions!$G$2:$G$5001,A596)),""))</f>
        <v/>
      </c>
      <c r="L596" s="27" t="str">
        <f aca="false">IF(A596="","",A596&amp;" | "&amp;B596&amp;IF(C596="",""," ("&amp;C596&amp;")")&amp;IF(D596="",""," - "&amp;D596))</f>
        <v/>
      </c>
    </row>
    <row r="597" customFormat="false" ht="15" hidden="false" customHeight="false" outlineLevel="0" collapsed="false">
      <c r="A597" s="32"/>
      <c r="B597" s="19"/>
      <c r="C597" s="19"/>
      <c r="D597" s="19"/>
      <c r="E597" s="21"/>
      <c r="F597" s="19"/>
      <c r="G597" s="27" t="str">
        <f aca="false">IF(B597="","",IFERROR(INDEX(Jeux!$C$2:$C$3001,MATCH(B597,Jeux!$A$2:$A$3001,0))&amp;"","⚠ jeu inconnu"))</f>
        <v/>
      </c>
      <c r="H597" s="27" t="str">
        <f aca="false">IF(B597="","",IFERROR(INDEX(Jeux!$D$2:$D$3001,MATCH(B597,Jeux!$A$2:$A$3001,0))&amp;"",""))</f>
        <v/>
      </c>
      <c r="I597" s="26" t="str">
        <f aca="false">IF(A597="","",COUNTIF(Apparitions!$G$2:$G$5001,A597))</f>
        <v/>
      </c>
      <c r="J597" s="26" t="str">
        <f aca="false">IF(A597="","",COUNTIFS(Apparitions!$G$2:$G$5001,A597,Apparitions!$E$2:$E$5001,"○"))</f>
        <v/>
      </c>
      <c r="K597" s="29" t="str">
        <f aca="false">IF(A597="","",IFERROR(1/(1/_xlfn.MINIFS(Apparitions!$L$2:$L$5001,Apparitions!$G$2:$G$5001,A597)),""))</f>
        <v/>
      </c>
      <c r="L597" s="27" t="str">
        <f aca="false">IF(A597="","",A597&amp;" | "&amp;B597&amp;IF(C597="",""," ("&amp;C597&amp;")")&amp;IF(D597="",""," - "&amp;D597))</f>
        <v/>
      </c>
    </row>
    <row r="598" customFormat="false" ht="15" hidden="false" customHeight="false" outlineLevel="0" collapsed="false">
      <c r="A598" s="32"/>
      <c r="B598" s="19"/>
      <c r="C598" s="19"/>
      <c r="D598" s="19"/>
      <c r="E598" s="21"/>
      <c r="F598" s="19"/>
      <c r="G598" s="27" t="str">
        <f aca="false">IF(B598="","",IFERROR(INDEX(Jeux!$C$2:$C$3001,MATCH(B598,Jeux!$A$2:$A$3001,0))&amp;"","⚠ jeu inconnu"))</f>
        <v/>
      </c>
      <c r="H598" s="27" t="str">
        <f aca="false">IF(B598="","",IFERROR(INDEX(Jeux!$D$2:$D$3001,MATCH(B598,Jeux!$A$2:$A$3001,0))&amp;"",""))</f>
        <v/>
      </c>
      <c r="I598" s="26" t="str">
        <f aca="false">IF(A598="","",COUNTIF(Apparitions!$G$2:$G$5001,A598))</f>
        <v/>
      </c>
      <c r="J598" s="26" t="str">
        <f aca="false">IF(A598="","",COUNTIFS(Apparitions!$G$2:$G$5001,A598,Apparitions!$E$2:$E$5001,"○"))</f>
        <v/>
      </c>
      <c r="K598" s="29" t="str">
        <f aca="false">IF(A598="","",IFERROR(1/(1/_xlfn.MINIFS(Apparitions!$L$2:$L$5001,Apparitions!$G$2:$G$5001,A598)),""))</f>
        <v/>
      </c>
      <c r="L598" s="27" t="str">
        <f aca="false">IF(A598="","",A598&amp;" | "&amp;B598&amp;IF(C598="",""," ("&amp;C598&amp;")")&amp;IF(D598="",""," - "&amp;D598))</f>
        <v/>
      </c>
    </row>
    <row r="599" customFormat="false" ht="15" hidden="false" customHeight="false" outlineLevel="0" collapsed="false">
      <c r="A599" s="32"/>
      <c r="B599" s="19"/>
      <c r="C599" s="19"/>
      <c r="D599" s="19"/>
      <c r="E599" s="21"/>
      <c r="F599" s="19"/>
      <c r="G599" s="27" t="str">
        <f aca="false">IF(B599="","",IFERROR(INDEX(Jeux!$C$2:$C$3001,MATCH(B599,Jeux!$A$2:$A$3001,0))&amp;"","⚠ jeu inconnu"))</f>
        <v/>
      </c>
      <c r="H599" s="27" t="str">
        <f aca="false">IF(B599="","",IFERROR(INDEX(Jeux!$D$2:$D$3001,MATCH(B599,Jeux!$A$2:$A$3001,0))&amp;"",""))</f>
        <v/>
      </c>
      <c r="I599" s="26" t="str">
        <f aca="false">IF(A599="","",COUNTIF(Apparitions!$G$2:$G$5001,A599))</f>
        <v/>
      </c>
      <c r="J599" s="26" t="str">
        <f aca="false">IF(A599="","",COUNTIFS(Apparitions!$G$2:$G$5001,A599,Apparitions!$E$2:$E$5001,"○"))</f>
        <v/>
      </c>
      <c r="K599" s="29" t="str">
        <f aca="false">IF(A599="","",IFERROR(1/(1/_xlfn.MINIFS(Apparitions!$L$2:$L$5001,Apparitions!$G$2:$G$5001,A599)),""))</f>
        <v/>
      </c>
      <c r="L599" s="27" t="str">
        <f aca="false">IF(A599="","",A599&amp;" | "&amp;B599&amp;IF(C599="",""," ("&amp;C599&amp;")")&amp;IF(D599="",""," - "&amp;D599))</f>
        <v/>
      </c>
    </row>
    <row r="600" customFormat="false" ht="15" hidden="false" customHeight="false" outlineLevel="0" collapsed="false">
      <c r="A600" s="32"/>
      <c r="B600" s="19"/>
      <c r="C600" s="19"/>
      <c r="D600" s="19"/>
      <c r="E600" s="21"/>
      <c r="F600" s="19"/>
      <c r="G600" s="27" t="str">
        <f aca="false">IF(B600="","",IFERROR(INDEX(Jeux!$C$2:$C$3001,MATCH(B600,Jeux!$A$2:$A$3001,0))&amp;"","⚠ jeu inconnu"))</f>
        <v/>
      </c>
      <c r="H600" s="27" t="str">
        <f aca="false">IF(B600="","",IFERROR(INDEX(Jeux!$D$2:$D$3001,MATCH(B600,Jeux!$A$2:$A$3001,0))&amp;"",""))</f>
        <v/>
      </c>
      <c r="I600" s="26" t="str">
        <f aca="false">IF(A600="","",COUNTIF(Apparitions!$G$2:$G$5001,A600))</f>
        <v/>
      </c>
      <c r="J600" s="26" t="str">
        <f aca="false">IF(A600="","",COUNTIFS(Apparitions!$G$2:$G$5001,A600,Apparitions!$E$2:$E$5001,"○"))</f>
        <v/>
      </c>
      <c r="K600" s="29" t="str">
        <f aca="false">IF(A600="","",IFERROR(1/(1/_xlfn.MINIFS(Apparitions!$L$2:$L$5001,Apparitions!$G$2:$G$5001,A600)),""))</f>
        <v/>
      </c>
      <c r="L600" s="27" t="str">
        <f aca="false">IF(A600="","",A600&amp;" | "&amp;B600&amp;IF(C600="",""," ("&amp;C600&amp;")")&amp;IF(D600="",""," - "&amp;D600))</f>
        <v/>
      </c>
    </row>
    <row r="601" customFormat="false" ht="15" hidden="false" customHeight="false" outlineLevel="0" collapsed="false">
      <c r="A601" s="32"/>
      <c r="B601" s="19"/>
      <c r="C601" s="19"/>
      <c r="D601" s="19"/>
      <c r="E601" s="21"/>
      <c r="F601" s="19"/>
      <c r="G601" s="27" t="str">
        <f aca="false">IF(B601="","",IFERROR(INDEX(Jeux!$C$2:$C$3001,MATCH(B601,Jeux!$A$2:$A$3001,0))&amp;"","⚠ jeu inconnu"))</f>
        <v/>
      </c>
      <c r="H601" s="27" t="str">
        <f aca="false">IF(B601="","",IFERROR(INDEX(Jeux!$D$2:$D$3001,MATCH(B601,Jeux!$A$2:$A$3001,0))&amp;"",""))</f>
        <v/>
      </c>
      <c r="I601" s="26" t="str">
        <f aca="false">IF(A601="","",COUNTIF(Apparitions!$G$2:$G$5001,A601))</f>
        <v/>
      </c>
      <c r="J601" s="26" t="str">
        <f aca="false">IF(A601="","",COUNTIFS(Apparitions!$G$2:$G$5001,A601,Apparitions!$E$2:$E$5001,"○"))</f>
        <v/>
      </c>
      <c r="K601" s="29" t="str">
        <f aca="false">IF(A601="","",IFERROR(1/(1/_xlfn.MINIFS(Apparitions!$L$2:$L$5001,Apparitions!$G$2:$G$5001,A601)),""))</f>
        <v/>
      </c>
      <c r="L601" s="27" t="str">
        <f aca="false">IF(A601="","",A601&amp;" | "&amp;B601&amp;IF(C601="",""," ("&amp;C601&amp;")")&amp;IF(D601="",""," - "&amp;D601))</f>
        <v/>
      </c>
    </row>
    <row r="602" customFormat="false" ht="15" hidden="false" customHeight="false" outlineLevel="0" collapsed="false">
      <c r="A602" s="32"/>
      <c r="B602" s="19"/>
      <c r="C602" s="19"/>
      <c r="D602" s="19"/>
      <c r="E602" s="21"/>
      <c r="F602" s="19"/>
      <c r="G602" s="27" t="str">
        <f aca="false">IF(B602="","",IFERROR(INDEX(Jeux!$C$2:$C$3001,MATCH(B602,Jeux!$A$2:$A$3001,0))&amp;"","⚠ jeu inconnu"))</f>
        <v/>
      </c>
      <c r="H602" s="27" t="str">
        <f aca="false">IF(B602="","",IFERROR(INDEX(Jeux!$D$2:$D$3001,MATCH(B602,Jeux!$A$2:$A$3001,0))&amp;"",""))</f>
        <v/>
      </c>
      <c r="I602" s="26" t="str">
        <f aca="false">IF(A602="","",COUNTIF(Apparitions!$G$2:$G$5001,A602))</f>
        <v/>
      </c>
      <c r="J602" s="26" t="str">
        <f aca="false">IF(A602="","",COUNTIFS(Apparitions!$G$2:$G$5001,A602,Apparitions!$E$2:$E$5001,"○"))</f>
        <v/>
      </c>
      <c r="K602" s="29" t="str">
        <f aca="false">IF(A602="","",IFERROR(1/(1/_xlfn.MINIFS(Apparitions!$L$2:$L$5001,Apparitions!$G$2:$G$5001,A602)),""))</f>
        <v/>
      </c>
      <c r="L602" s="27" t="str">
        <f aca="false">IF(A602="","",A602&amp;" | "&amp;B602&amp;IF(C602="",""," ("&amp;C602&amp;")")&amp;IF(D602="",""," - "&amp;D602))</f>
        <v/>
      </c>
    </row>
    <row r="603" customFormat="false" ht="15" hidden="false" customHeight="false" outlineLevel="0" collapsed="false">
      <c r="A603" s="32"/>
      <c r="B603" s="19"/>
      <c r="C603" s="19"/>
      <c r="D603" s="19"/>
      <c r="E603" s="21"/>
      <c r="F603" s="19"/>
      <c r="G603" s="27" t="str">
        <f aca="false">IF(B603="","",IFERROR(INDEX(Jeux!$C$2:$C$3001,MATCH(B603,Jeux!$A$2:$A$3001,0))&amp;"","⚠ jeu inconnu"))</f>
        <v/>
      </c>
      <c r="H603" s="27" t="str">
        <f aca="false">IF(B603="","",IFERROR(INDEX(Jeux!$D$2:$D$3001,MATCH(B603,Jeux!$A$2:$A$3001,0))&amp;"",""))</f>
        <v/>
      </c>
      <c r="I603" s="26" t="str">
        <f aca="false">IF(A603="","",COUNTIF(Apparitions!$G$2:$G$5001,A603))</f>
        <v/>
      </c>
      <c r="J603" s="26" t="str">
        <f aca="false">IF(A603="","",COUNTIFS(Apparitions!$G$2:$G$5001,A603,Apparitions!$E$2:$E$5001,"○"))</f>
        <v/>
      </c>
      <c r="K603" s="29" t="str">
        <f aca="false">IF(A603="","",IFERROR(1/(1/_xlfn.MINIFS(Apparitions!$L$2:$L$5001,Apparitions!$G$2:$G$5001,A603)),""))</f>
        <v/>
      </c>
      <c r="L603" s="27" t="str">
        <f aca="false">IF(A603="","",A603&amp;" | "&amp;B603&amp;IF(C603="",""," ("&amp;C603&amp;")")&amp;IF(D603="",""," - "&amp;D603))</f>
        <v/>
      </c>
    </row>
    <row r="604" customFormat="false" ht="15" hidden="false" customHeight="false" outlineLevel="0" collapsed="false">
      <c r="A604" s="32"/>
      <c r="B604" s="19"/>
      <c r="C604" s="19"/>
      <c r="D604" s="19"/>
      <c r="E604" s="21"/>
      <c r="F604" s="19"/>
      <c r="G604" s="27" t="str">
        <f aca="false">IF(B604="","",IFERROR(INDEX(Jeux!$C$2:$C$3001,MATCH(B604,Jeux!$A$2:$A$3001,0))&amp;"","⚠ jeu inconnu"))</f>
        <v/>
      </c>
      <c r="H604" s="27" t="str">
        <f aca="false">IF(B604="","",IFERROR(INDEX(Jeux!$D$2:$D$3001,MATCH(B604,Jeux!$A$2:$A$3001,0))&amp;"",""))</f>
        <v/>
      </c>
      <c r="I604" s="26" t="str">
        <f aca="false">IF(A604="","",COUNTIF(Apparitions!$G$2:$G$5001,A604))</f>
        <v/>
      </c>
      <c r="J604" s="26" t="str">
        <f aca="false">IF(A604="","",COUNTIFS(Apparitions!$G$2:$G$5001,A604,Apparitions!$E$2:$E$5001,"○"))</f>
        <v/>
      </c>
      <c r="K604" s="29" t="str">
        <f aca="false">IF(A604="","",IFERROR(1/(1/_xlfn.MINIFS(Apparitions!$L$2:$L$5001,Apparitions!$G$2:$G$5001,A604)),""))</f>
        <v/>
      </c>
      <c r="L604" s="27" t="str">
        <f aca="false">IF(A604="","",A604&amp;" | "&amp;B604&amp;IF(C604="",""," ("&amp;C604&amp;")")&amp;IF(D604="",""," - "&amp;D604))</f>
        <v/>
      </c>
    </row>
    <row r="605" customFormat="false" ht="15" hidden="false" customHeight="false" outlineLevel="0" collapsed="false">
      <c r="A605" s="32"/>
      <c r="B605" s="19"/>
      <c r="C605" s="19"/>
      <c r="D605" s="19"/>
      <c r="E605" s="21"/>
      <c r="F605" s="19"/>
      <c r="G605" s="27" t="str">
        <f aca="false">IF(B605="","",IFERROR(INDEX(Jeux!$C$2:$C$3001,MATCH(B605,Jeux!$A$2:$A$3001,0))&amp;"","⚠ jeu inconnu"))</f>
        <v/>
      </c>
      <c r="H605" s="27" t="str">
        <f aca="false">IF(B605="","",IFERROR(INDEX(Jeux!$D$2:$D$3001,MATCH(B605,Jeux!$A$2:$A$3001,0))&amp;"",""))</f>
        <v/>
      </c>
      <c r="I605" s="26" t="str">
        <f aca="false">IF(A605="","",COUNTIF(Apparitions!$G$2:$G$5001,A605))</f>
        <v/>
      </c>
      <c r="J605" s="26" t="str">
        <f aca="false">IF(A605="","",COUNTIFS(Apparitions!$G$2:$G$5001,A605,Apparitions!$E$2:$E$5001,"○"))</f>
        <v/>
      </c>
      <c r="K605" s="29" t="str">
        <f aca="false">IF(A605="","",IFERROR(1/(1/_xlfn.MINIFS(Apparitions!$L$2:$L$5001,Apparitions!$G$2:$G$5001,A605)),""))</f>
        <v/>
      </c>
      <c r="L605" s="27" t="str">
        <f aca="false">IF(A605="","",A605&amp;" | "&amp;B605&amp;IF(C605="",""," ("&amp;C605&amp;")")&amp;IF(D605="",""," - "&amp;D605))</f>
        <v/>
      </c>
    </row>
    <row r="606" customFormat="false" ht="15" hidden="false" customHeight="false" outlineLevel="0" collapsed="false">
      <c r="A606" s="32"/>
      <c r="B606" s="19"/>
      <c r="C606" s="19"/>
      <c r="D606" s="19"/>
      <c r="E606" s="21"/>
      <c r="F606" s="19"/>
      <c r="G606" s="27" t="str">
        <f aca="false">IF(B606="","",IFERROR(INDEX(Jeux!$C$2:$C$3001,MATCH(B606,Jeux!$A$2:$A$3001,0))&amp;"","⚠ jeu inconnu"))</f>
        <v/>
      </c>
      <c r="H606" s="27" t="str">
        <f aca="false">IF(B606="","",IFERROR(INDEX(Jeux!$D$2:$D$3001,MATCH(B606,Jeux!$A$2:$A$3001,0))&amp;"",""))</f>
        <v/>
      </c>
      <c r="I606" s="26" t="str">
        <f aca="false">IF(A606="","",COUNTIF(Apparitions!$G$2:$G$5001,A606))</f>
        <v/>
      </c>
      <c r="J606" s="26" t="str">
        <f aca="false">IF(A606="","",COUNTIFS(Apparitions!$G$2:$G$5001,A606,Apparitions!$E$2:$E$5001,"○"))</f>
        <v/>
      </c>
      <c r="K606" s="29" t="str">
        <f aca="false">IF(A606="","",IFERROR(1/(1/_xlfn.MINIFS(Apparitions!$L$2:$L$5001,Apparitions!$G$2:$G$5001,A606)),""))</f>
        <v/>
      </c>
      <c r="L606" s="27" t="str">
        <f aca="false">IF(A606="","",A606&amp;" | "&amp;B606&amp;IF(C606="",""," ("&amp;C606&amp;")")&amp;IF(D606="",""," - "&amp;D606))</f>
        <v/>
      </c>
    </row>
    <row r="607" customFormat="false" ht="15" hidden="false" customHeight="false" outlineLevel="0" collapsed="false">
      <c r="A607" s="32"/>
      <c r="B607" s="19"/>
      <c r="C607" s="19"/>
      <c r="D607" s="19"/>
      <c r="E607" s="21"/>
      <c r="F607" s="19"/>
      <c r="G607" s="27" t="str">
        <f aca="false">IF(B607="","",IFERROR(INDEX(Jeux!$C$2:$C$3001,MATCH(B607,Jeux!$A$2:$A$3001,0))&amp;"","⚠ jeu inconnu"))</f>
        <v/>
      </c>
      <c r="H607" s="27" t="str">
        <f aca="false">IF(B607="","",IFERROR(INDEX(Jeux!$D$2:$D$3001,MATCH(B607,Jeux!$A$2:$A$3001,0))&amp;"",""))</f>
        <v/>
      </c>
      <c r="I607" s="26" t="str">
        <f aca="false">IF(A607="","",COUNTIF(Apparitions!$G$2:$G$5001,A607))</f>
        <v/>
      </c>
      <c r="J607" s="26" t="str">
        <f aca="false">IF(A607="","",COUNTIFS(Apparitions!$G$2:$G$5001,A607,Apparitions!$E$2:$E$5001,"○"))</f>
        <v/>
      </c>
      <c r="K607" s="29" t="str">
        <f aca="false">IF(A607="","",IFERROR(1/(1/_xlfn.MINIFS(Apparitions!$L$2:$L$5001,Apparitions!$G$2:$G$5001,A607)),""))</f>
        <v/>
      </c>
      <c r="L607" s="27" t="str">
        <f aca="false">IF(A607="","",A607&amp;" | "&amp;B607&amp;IF(C607="",""," ("&amp;C607&amp;")")&amp;IF(D607="",""," - "&amp;D607))</f>
        <v/>
      </c>
    </row>
    <row r="608" customFormat="false" ht="15" hidden="false" customHeight="false" outlineLevel="0" collapsed="false">
      <c r="A608" s="32"/>
      <c r="B608" s="19"/>
      <c r="C608" s="19"/>
      <c r="D608" s="19"/>
      <c r="E608" s="21"/>
      <c r="F608" s="19"/>
      <c r="G608" s="27" t="str">
        <f aca="false">IF(B608="","",IFERROR(INDEX(Jeux!$C$2:$C$3001,MATCH(B608,Jeux!$A$2:$A$3001,0))&amp;"","⚠ jeu inconnu"))</f>
        <v/>
      </c>
      <c r="H608" s="27" t="str">
        <f aca="false">IF(B608="","",IFERROR(INDEX(Jeux!$D$2:$D$3001,MATCH(B608,Jeux!$A$2:$A$3001,0))&amp;"",""))</f>
        <v/>
      </c>
      <c r="I608" s="26" t="str">
        <f aca="false">IF(A608="","",COUNTIF(Apparitions!$G$2:$G$5001,A608))</f>
        <v/>
      </c>
      <c r="J608" s="26" t="str">
        <f aca="false">IF(A608="","",COUNTIFS(Apparitions!$G$2:$G$5001,A608,Apparitions!$E$2:$E$5001,"○"))</f>
        <v/>
      </c>
      <c r="K608" s="29" t="str">
        <f aca="false">IF(A608="","",IFERROR(1/(1/_xlfn.MINIFS(Apparitions!$L$2:$L$5001,Apparitions!$G$2:$G$5001,A608)),""))</f>
        <v/>
      </c>
      <c r="L608" s="27" t="str">
        <f aca="false">IF(A608="","",A608&amp;" | "&amp;B608&amp;IF(C608="",""," ("&amp;C608&amp;")")&amp;IF(D608="",""," - "&amp;D608))</f>
        <v/>
      </c>
    </row>
    <row r="609" customFormat="false" ht="15" hidden="false" customHeight="false" outlineLevel="0" collapsed="false">
      <c r="A609" s="32"/>
      <c r="B609" s="19"/>
      <c r="C609" s="19"/>
      <c r="D609" s="19"/>
      <c r="E609" s="21"/>
      <c r="F609" s="19"/>
      <c r="G609" s="27" t="str">
        <f aca="false">IF(B609="","",IFERROR(INDEX(Jeux!$C$2:$C$3001,MATCH(B609,Jeux!$A$2:$A$3001,0))&amp;"","⚠ jeu inconnu"))</f>
        <v/>
      </c>
      <c r="H609" s="27" t="str">
        <f aca="false">IF(B609="","",IFERROR(INDEX(Jeux!$D$2:$D$3001,MATCH(B609,Jeux!$A$2:$A$3001,0))&amp;"",""))</f>
        <v/>
      </c>
      <c r="I609" s="26" t="str">
        <f aca="false">IF(A609="","",COUNTIF(Apparitions!$G$2:$G$5001,A609))</f>
        <v/>
      </c>
      <c r="J609" s="26" t="str">
        <f aca="false">IF(A609="","",COUNTIFS(Apparitions!$G$2:$G$5001,A609,Apparitions!$E$2:$E$5001,"○"))</f>
        <v/>
      </c>
      <c r="K609" s="29" t="str">
        <f aca="false">IF(A609="","",IFERROR(1/(1/_xlfn.MINIFS(Apparitions!$L$2:$L$5001,Apparitions!$G$2:$G$5001,A609)),""))</f>
        <v/>
      </c>
      <c r="L609" s="27" t="str">
        <f aca="false">IF(A609="","",A609&amp;" | "&amp;B609&amp;IF(C609="",""," ("&amp;C609&amp;")")&amp;IF(D609="",""," - "&amp;D609))</f>
        <v/>
      </c>
    </row>
    <row r="610" customFormat="false" ht="15" hidden="false" customHeight="false" outlineLevel="0" collapsed="false">
      <c r="A610" s="32"/>
      <c r="B610" s="19"/>
      <c r="C610" s="19"/>
      <c r="D610" s="19"/>
      <c r="E610" s="21"/>
      <c r="F610" s="19"/>
      <c r="G610" s="27" t="str">
        <f aca="false">IF(B610="","",IFERROR(INDEX(Jeux!$C$2:$C$3001,MATCH(B610,Jeux!$A$2:$A$3001,0))&amp;"","⚠ jeu inconnu"))</f>
        <v/>
      </c>
      <c r="H610" s="27" t="str">
        <f aca="false">IF(B610="","",IFERROR(INDEX(Jeux!$D$2:$D$3001,MATCH(B610,Jeux!$A$2:$A$3001,0))&amp;"",""))</f>
        <v/>
      </c>
      <c r="I610" s="26" t="str">
        <f aca="false">IF(A610="","",COUNTIF(Apparitions!$G$2:$G$5001,A610))</f>
        <v/>
      </c>
      <c r="J610" s="26" t="str">
        <f aca="false">IF(A610="","",COUNTIFS(Apparitions!$G$2:$G$5001,A610,Apparitions!$E$2:$E$5001,"○"))</f>
        <v/>
      </c>
      <c r="K610" s="29" t="str">
        <f aca="false">IF(A610="","",IFERROR(1/(1/_xlfn.MINIFS(Apparitions!$L$2:$L$5001,Apparitions!$G$2:$G$5001,A610)),""))</f>
        <v/>
      </c>
      <c r="L610" s="27" t="str">
        <f aca="false">IF(A610="","",A610&amp;" | "&amp;B610&amp;IF(C610="",""," ("&amp;C610&amp;")")&amp;IF(D610="",""," - "&amp;D610))</f>
        <v/>
      </c>
    </row>
    <row r="611" customFormat="false" ht="15" hidden="false" customHeight="false" outlineLevel="0" collapsed="false">
      <c r="A611" s="32"/>
      <c r="B611" s="19"/>
      <c r="C611" s="19"/>
      <c r="D611" s="19"/>
      <c r="E611" s="21"/>
      <c r="F611" s="19"/>
      <c r="G611" s="27" t="str">
        <f aca="false">IF(B611="","",IFERROR(INDEX(Jeux!$C$2:$C$3001,MATCH(B611,Jeux!$A$2:$A$3001,0))&amp;"","⚠ jeu inconnu"))</f>
        <v/>
      </c>
      <c r="H611" s="27" t="str">
        <f aca="false">IF(B611="","",IFERROR(INDEX(Jeux!$D$2:$D$3001,MATCH(B611,Jeux!$A$2:$A$3001,0))&amp;"",""))</f>
        <v/>
      </c>
      <c r="I611" s="26" t="str">
        <f aca="false">IF(A611="","",COUNTIF(Apparitions!$G$2:$G$5001,A611))</f>
        <v/>
      </c>
      <c r="J611" s="26" t="str">
        <f aca="false">IF(A611="","",COUNTIFS(Apparitions!$G$2:$G$5001,A611,Apparitions!$E$2:$E$5001,"○"))</f>
        <v/>
      </c>
      <c r="K611" s="29" t="str">
        <f aca="false">IF(A611="","",IFERROR(1/(1/_xlfn.MINIFS(Apparitions!$L$2:$L$5001,Apparitions!$G$2:$G$5001,A611)),""))</f>
        <v/>
      </c>
      <c r="L611" s="27" t="str">
        <f aca="false">IF(A611="","",A611&amp;" | "&amp;B611&amp;IF(C611="",""," ("&amp;C611&amp;")")&amp;IF(D611="",""," - "&amp;D611))</f>
        <v/>
      </c>
    </row>
    <row r="612" customFormat="false" ht="15" hidden="false" customHeight="false" outlineLevel="0" collapsed="false">
      <c r="A612" s="32"/>
      <c r="B612" s="19"/>
      <c r="C612" s="19"/>
      <c r="D612" s="19"/>
      <c r="E612" s="21"/>
      <c r="F612" s="19"/>
      <c r="G612" s="27" t="str">
        <f aca="false">IF(B612="","",IFERROR(INDEX(Jeux!$C$2:$C$3001,MATCH(B612,Jeux!$A$2:$A$3001,0))&amp;"","⚠ jeu inconnu"))</f>
        <v/>
      </c>
      <c r="H612" s="27" t="str">
        <f aca="false">IF(B612="","",IFERROR(INDEX(Jeux!$D$2:$D$3001,MATCH(B612,Jeux!$A$2:$A$3001,0))&amp;"",""))</f>
        <v/>
      </c>
      <c r="I612" s="26" t="str">
        <f aca="false">IF(A612="","",COUNTIF(Apparitions!$G$2:$G$5001,A612))</f>
        <v/>
      </c>
      <c r="J612" s="26" t="str">
        <f aca="false">IF(A612="","",COUNTIFS(Apparitions!$G$2:$G$5001,A612,Apparitions!$E$2:$E$5001,"○"))</f>
        <v/>
      </c>
      <c r="K612" s="29" t="str">
        <f aca="false">IF(A612="","",IFERROR(1/(1/_xlfn.MINIFS(Apparitions!$L$2:$L$5001,Apparitions!$G$2:$G$5001,A612)),""))</f>
        <v/>
      </c>
      <c r="L612" s="27" t="str">
        <f aca="false">IF(A612="","",A612&amp;" | "&amp;B612&amp;IF(C612="",""," ("&amp;C612&amp;")")&amp;IF(D612="",""," - "&amp;D612))</f>
        <v/>
      </c>
    </row>
    <row r="613" customFormat="false" ht="15" hidden="false" customHeight="false" outlineLevel="0" collapsed="false">
      <c r="A613" s="32"/>
      <c r="B613" s="19"/>
      <c r="C613" s="19"/>
      <c r="D613" s="19"/>
      <c r="E613" s="21"/>
      <c r="F613" s="19"/>
      <c r="G613" s="27" t="str">
        <f aca="false">IF(B613="","",IFERROR(INDEX(Jeux!$C$2:$C$3001,MATCH(B613,Jeux!$A$2:$A$3001,0))&amp;"","⚠ jeu inconnu"))</f>
        <v/>
      </c>
      <c r="H613" s="27" t="str">
        <f aca="false">IF(B613="","",IFERROR(INDEX(Jeux!$D$2:$D$3001,MATCH(B613,Jeux!$A$2:$A$3001,0))&amp;"",""))</f>
        <v/>
      </c>
      <c r="I613" s="26" t="str">
        <f aca="false">IF(A613="","",COUNTIF(Apparitions!$G$2:$G$5001,A613))</f>
        <v/>
      </c>
      <c r="J613" s="26" t="str">
        <f aca="false">IF(A613="","",COUNTIFS(Apparitions!$G$2:$G$5001,A613,Apparitions!$E$2:$E$5001,"○"))</f>
        <v/>
      </c>
      <c r="K613" s="29" t="str">
        <f aca="false">IF(A613="","",IFERROR(1/(1/_xlfn.MINIFS(Apparitions!$L$2:$L$5001,Apparitions!$G$2:$G$5001,A613)),""))</f>
        <v/>
      </c>
      <c r="L613" s="27" t="str">
        <f aca="false">IF(A613="","",A613&amp;" | "&amp;B613&amp;IF(C613="",""," ("&amp;C613&amp;")")&amp;IF(D613="",""," - "&amp;D613))</f>
        <v/>
      </c>
    </row>
    <row r="614" customFormat="false" ht="15" hidden="false" customHeight="false" outlineLevel="0" collapsed="false">
      <c r="A614" s="32"/>
      <c r="B614" s="19"/>
      <c r="C614" s="19"/>
      <c r="D614" s="19"/>
      <c r="E614" s="21"/>
      <c r="F614" s="19"/>
      <c r="G614" s="27" t="str">
        <f aca="false">IF(B614="","",IFERROR(INDEX(Jeux!$C$2:$C$3001,MATCH(B614,Jeux!$A$2:$A$3001,0))&amp;"","⚠ jeu inconnu"))</f>
        <v/>
      </c>
      <c r="H614" s="27" t="str">
        <f aca="false">IF(B614="","",IFERROR(INDEX(Jeux!$D$2:$D$3001,MATCH(B614,Jeux!$A$2:$A$3001,0))&amp;"",""))</f>
        <v/>
      </c>
      <c r="I614" s="26" t="str">
        <f aca="false">IF(A614="","",COUNTIF(Apparitions!$G$2:$G$5001,A614))</f>
        <v/>
      </c>
      <c r="J614" s="26" t="str">
        <f aca="false">IF(A614="","",COUNTIFS(Apparitions!$G$2:$G$5001,A614,Apparitions!$E$2:$E$5001,"○"))</f>
        <v/>
      </c>
      <c r="K614" s="29" t="str">
        <f aca="false">IF(A614="","",IFERROR(1/(1/_xlfn.MINIFS(Apparitions!$L$2:$L$5001,Apparitions!$G$2:$G$5001,A614)),""))</f>
        <v/>
      </c>
      <c r="L614" s="27" t="str">
        <f aca="false">IF(A614="","",A614&amp;" | "&amp;B614&amp;IF(C614="",""," ("&amp;C614&amp;")")&amp;IF(D614="",""," - "&amp;D614))</f>
        <v/>
      </c>
    </row>
    <row r="615" customFormat="false" ht="15" hidden="false" customHeight="false" outlineLevel="0" collapsed="false">
      <c r="A615" s="32"/>
      <c r="B615" s="19"/>
      <c r="C615" s="19"/>
      <c r="D615" s="19"/>
      <c r="E615" s="21"/>
      <c r="F615" s="19"/>
      <c r="G615" s="27" t="str">
        <f aca="false">IF(B615="","",IFERROR(INDEX(Jeux!$C$2:$C$3001,MATCH(B615,Jeux!$A$2:$A$3001,0))&amp;"","⚠ jeu inconnu"))</f>
        <v/>
      </c>
      <c r="H615" s="27" t="str">
        <f aca="false">IF(B615="","",IFERROR(INDEX(Jeux!$D$2:$D$3001,MATCH(B615,Jeux!$A$2:$A$3001,0))&amp;"",""))</f>
        <v/>
      </c>
      <c r="I615" s="26" t="str">
        <f aca="false">IF(A615="","",COUNTIF(Apparitions!$G$2:$G$5001,A615))</f>
        <v/>
      </c>
      <c r="J615" s="26" t="str">
        <f aca="false">IF(A615="","",COUNTIFS(Apparitions!$G$2:$G$5001,A615,Apparitions!$E$2:$E$5001,"○"))</f>
        <v/>
      </c>
      <c r="K615" s="29" t="str">
        <f aca="false">IF(A615="","",IFERROR(1/(1/_xlfn.MINIFS(Apparitions!$L$2:$L$5001,Apparitions!$G$2:$G$5001,A615)),""))</f>
        <v/>
      </c>
      <c r="L615" s="27" t="str">
        <f aca="false">IF(A615="","",A615&amp;" | "&amp;B615&amp;IF(C615="",""," ("&amp;C615&amp;")")&amp;IF(D615="",""," - "&amp;D615))</f>
        <v/>
      </c>
    </row>
    <row r="616" customFormat="false" ht="15" hidden="false" customHeight="false" outlineLevel="0" collapsed="false">
      <c r="A616" s="32"/>
      <c r="B616" s="19"/>
      <c r="C616" s="19"/>
      <c r="D616" s="19"/>
      <c r="E616" s="21"/>
      <c r="F616" s="19"/>
      <c r="G616" s="27" t="str">
        <f aca="false">IF(B616="","",IFERROR(INDEX(Jeux!$C$2:$C$3001,MATCH(B616,Jeux!$A$2:$A$3001,0))&amp;"","⚠ jeu inconnu"))</f>
        <v/>
      </c>
      <c r="H616" s="27" t="str">
        <f aca="false">IF(B616="","",IFERROR(INDEX(Jeux!$D$2:$D$3001,MATCH(B616,Jeux!$A$2:$A$3001,0))&amp;"",""))</f>
        <v/>
      </c>
      <c r="I616" s="26" t="str">
        <f aca="false">IF(A616="","",COUNTIF(Apparitions!$G$2:$G$5001,A616))</f>
        <v/>
      </c>
      <c r="J616" s="26" t="str">
        <f aca="false">IF(A616="","",COUNTIFS(Apparitions!$G$2:$G$5001,A616,Apparitions!$E$2:$E$5001,"○"))</f>
        <v/>
      </c>
      <c r="K616" s="29" t="str">
        <f aca="false">IF(A616="","",IFERROR(1/(1/_xlfn.MINIFS(Apparitions!$L$2:$L$5001,Apparitions!$G$2:$G$5001,A616)),""))</f>
        <v/>
      </c>
      <c r="L616" s="27" t="str">
        <f aca="false">IF(A616="","",A616&amp;" | "&amp;B616&amp;IF(C616="",""," ("&amp;C616&amp;")")&amp;IF(D616="",""," - "&amp;D616))</f>
        <v/>
      </c>
    </row>
    <row r="617" customFormat="false" ht="15" hidden="false" customHeight="false" outlineLevel="0" collapsed="false">
      <c r="A617" s="32"/>
      <c r="B617" s="19"/>
      <c r="C617" s="19"/>
      <c r="D617" s="19"/>
      <c r="E617" s="21"/>
      <c r="F617" s="19"/>
      <c r="G617" s="27" t="str">
        <f aca="false">IF(B617="","",IFERROR(INDEX(Jeux!$C$2:$C$3001,MATCH(B617,Jeux!$A$2:$A$3001,0))&amp;"","⚠ jeu inconnu"))</f>
        <v/>
      </c>
      <c r="H617" s="27" t="str">
        <f aca="false">IF(B617="","",IFERROR(INDEX(Jeux!$D$2:$D$3001,MATCH(B617,Jeux!$A$2:$A$3001,0))&amp;"",""))</f>
        <v/>
      </c>
      <c r="I617" s="26" t="str">
        <f aca="false">IF(A617="","",COUNTIF(Apparitions!$G$2:$G$5001,A617))</f>
        <v/>
      </c>
      <c r="J617" s="26" t="str">
        <f aca="false">IF(A617="","",COUNTIFS(Apparitions!$G$2:$G$5001,A617,Apparitions!$E$2:$E$5001,"○"))</f>
        <v/>
      </c>
      <c r="K617" s="29" t="str">
        <f aca="false">IF(A617="","",IFERROR(1/(1/_xlfn.MINIFS(Apparitions!$L$2:$L$5001,Apparitions!$G$2:$G$5001,A617)),""))</f>
        <v/>
      </c>
      <c r="L617" s="27" t="str">
        <f aca="false">IF(A617="","",A617&amp;" | "&amp;B617&amp;IF(C617="",""," ("&amp;C617&amp;")")&amp;IF(D617="",""," - "&amp;D617))</f>
        <v/>
      </c>
    </row>
    <row r="618" customFormat="false" ht="15" hidden="false" customHeight="false" outlineLevel="0" collapsed="false">
      <c r="A618" s="32"/>
      <c r="B618" s="19"/>
      <c r="C618" s="19"/>
      <c r="D618" s="19"/>
      <c r="E618" s="21"/>
      <c r="F618" s="19"/>
      <c r="G618" s="27" t="str">
        <f aca="false">IF(B618="","",IFERROR(INDEX(Jeux!$C$2:$C$3001,MATCH(B618,Jeux!$A$2:$A$3001,0))&amp;"","⚠ jeu inconnu"))</f>
        <v/>
      </c>
      <c r="H618" s="27" t="str">
        <f aca="false">IF(B618="","",IFERROR(INDEX(Jeux!$D$2:$D$3001,MATCH(B618,Jeux!$A$2:$A$3001,0))&amp;"",""))</f>
        <v/>
      </c>
      <c r="I618" s="26" t="str">
        <f aca="false">IF(A618="","",COUNTIF(Apparitions!$G$2:$G$5001,A618))</f>
        <v/>
      </c>
      <c r="J618" s="26" t="str">
        <f aca="false">IF(A618="","",COUNTIFS(Apparitions!$G$2:$G$5001,A618,Apparitions!$E$2:$E$5001,"○"))</f>
        <v/>
      </c>
      <c r="K618" s="29" t="str">
        <f aca="false">IF(A618="","",IFERROR(1/(1/_xlfn.MINIFS(Apparitions!$L$2:$L$5001,Apparitions!$G$2:$G$5001,A618)),""))</f>
        <v/>
      </c>
      <c r="L618" s="27" t="str">
        <f aca="false">IF(A618="","",A618&amp;" | "&amp;B618&amp;IF(C618="",""," ("&amp;C618&amp;")")&amp;IF(D618="",""," - "&amp;D618))</f>
        <v/>
      </c>
    </row>
    <row r="619" customFormat="false" ht="15" hidden="false" customHeight="false" outlineLevel="0" collapsed="false">
      <c r="A619" s="32"/>
      <c r="B619" s="19"/>
      <c r="C619" s="19"/>
      <c r="D619" s="19"/>
      <c r="E619" s="21"/>
      <c r="F619" s="19"/>
      <c r="G619" s="27" t="str">
        <f aca="false">IF(B619="","",IFERROR(INDEX(Jeux!$C$2:$C$3001,MATCH(B619,Jeux!$A$2:$A$3001,0))&amp;"","⚠ jeu inconnu"))</f>
        <v/>
      </c>
      <c r="H619" s="27" t="str">
        <f aca="false">IF(B619="","",IFERROR(INDEX(Jeux!$D$2:$D$3001,MATCH(B619,Jeux!$A$2:$A$3001,0))&amp;"",""))</f>
        <v/>
      </c>
      <c r="I619" s="26" t="str">
        <f aca="false">IF(A619="","",COUNTIF(Apparitions!$G$2:$G$5001,A619))</f>
        <v/>
      </c>
      <c r="J619" s="26" t="str">
        <f aca="false">IF(A619="","",COUNTIFS(Apparitions!$G$2:$G$5001,A619,Apparitions!$E$2:$E$5001,"○"))</f>
        <v/>
      </c>
      <c r="K619" s="29" t="str">
        <f aca="false">IF(A619="","",IFERROR(1/(1/_xlfn.MINIFS(Apparitions!$L$2:$L$5001,Apparitions!$G$2:$G$5001,A619)),""))</f>
        <v/>
      </c>
      <c r="L619" s="27" t="str">
        <f aca="false">IF(A619="","",A619&amp;" | "&amp;B619&amp;IF(C619="",""," ("&amp;C619&amp;")")&amp;IF(D619="",""," - "&amp;D619))</f>
        <v/>
      </c>
    </row>
    <row r="620" customFormat="false" ht="15" hidden="false" customHeight="false" outlineLevel="0" collapsed="false">
      <c r="A620" s="32"/>
      <c r="B620" s="19"/>
      <c r="C620" s="19"/>
      <c r="D620" s="19"/>
      <c r="E620" s="21"/>
      <c r="F620" s="19"/>
      <c r="G620" s="27" t="str">
        <f aca="false">IF(B620="","",IFERROR(INDEX(Jeux!$C$2:$C$3001,MATCH(B620,Jeux!$A$2:$A$3001,0))&amp;"","⚠ jeu inconnu"))</f>
        <v/>
      </c>
      <c r="H620" s="27" t="str">
        <f aca="false">IF(B620="","",IFERROR(INDEX(Jeux!$D$2:$D$3001,MATCH(B620,Jeux!$A$2:$A$3001,0))&amp;"",""))</f>
        <v/>
      </c>
      <c r="I620" s="26" t="str">
        <f aca="false">IF(A620="","",COUNTIF(Apparitions!$G$2:$G$5001,A620))</f>
        <v/>
      </c>
      <c r="J620" s="26" t="str">
        <f aca="false">IF(A620="","",COUNTIFS(Apparitions!$G$2:$G$5001,A620,Apparitions!$E$2:$E$5001,"○"))</f>
        <v/>
      </c>
      <c r="K620" s="29" t="str">
        <f aca="false">IF(A620="","",IFERROR(1/(1/_xlfn.MINIFS(Apparitions!$L$2:$L$5001,Apparitions!$G$2:$G$5001,A620)),""))</f>
        <v/>
      </c>
      <c r="L620" s="27" t="str">
        <f aca="false">IF(A620="","",A620&amp;" | "&amp;B620&amp;IF(C620="",""," ("&amp;C620&amp;")")&amp;IF(D620="",""," - "&amp;D620))</f>
        <v/>
      </c>
    </row>
    <row r="621" customFormat="false" ht="15" hidden="false" customHeight="false" outlineLevel="0" collapsed="false">
      <c r="A621" s="32"/>
      <c r="B621" s="19"/>
      <c r="C621" s="19"/>
      <c r="D621" s="19"/>
      <c r="E621" s="21"/>
      <c r="F621" s="19"/>
      <c r="G621" s="27" t="str">
        <f aca="false">IF(B621="","",IFERROR(INDEX(Jeux!$C$2:$C$3001,MATCH(B621,Jeux!$A$2:$A$3001,0))&amp;"","⚠ jeu inconnu"))</f>
        <v/>
      </c>
      <c r="H621" s="27" t="str">
        <f aca="false">IF(B621="","",IFERROR(INDEX(Jeux!$D$2:$D$3001,MATCH(B621,Jeux!$A$2:$A$3001,0))&amp;"",""))</f>
        <v/>
      </c>
      <c r="I621" s="26" t="str">
        <f aca="false">IF(A621="","",COUNTIF(Apparitions!$G$2:$G$5001,A621))</f>
        <v/>
      </c>
      <c r="J621" s="26" t="str">
        <f aca="false">IF(A621="","",COUNTIFS(Apparitions!$G$2:$G$5001,A621,Apparitions!$E$2:$E$5001,"○"))</f>
        <v/>
      </c>
      <c r="K621" s="29" t="str">
        <f aca="false">IF(A621="","",IFERROR(1/(1/_xlfn.MINIFS(Apparitions!$L$2:$L$5001,Apparitions!$G$2:$G$5001,A621)),""))</f>
        <v/>
      </c>
      <c r="L621" s="27" t="str">
        <f aca="false">IF(A621="","",A621&amp;" | "&amp;B621&amp;IF(C621="",""," ("&amp;C621&amp;")")&amp;IF(D621="",""," - "&amp;D621))</f>
        <v/>
      </c>
    </row>
    <row r="622" customFormat="false" ht="15" hidden="false" customHeight="false" outlineLevel="0" collapsed="false">
      <c r="A622" s="32"/>
      <c r="B622" s="19"/>
      <c r="C622" s="19"/>
      <c r="D622" s="19"/>
      <c r="E622" s="21"/>
      <c r="F622" s="19"/>
      <c r="G622" s="27" t="str">
        <f aca="false">IF(B622="","",IFERROR(INDEX(Jeux!$C$2:$C$3001,MATCH(B622,Jeux!$A$2:$A$3001,0))&amp;"","⚠ jeu inconnu"))</f>
        <v/>
      </c>
      <c r="H622" s="27" t="str">
        <f aca="false">IF(B622="","",IFERROR(INDEX(Jeux!$D$2:$D$3001,MATCH(B622,Jeux!$A$2:$A$3001,0))&amp;"",""))</f>
        <v/>
      </c>
      <c r="I622" s="26" t="str">
        <f aca="false">IF(A622="","",COUNTIF(Apparitions!$G$2:$G$5001,A622))</f>
        <v/>
      </c>
      <c r="J622" s="26" t="str">
        <f aca="false">IF(A622="","",COUNTIFS(Apparitions!$G$2:$G$5001,A622,Apparitions!$E$2:$E$5001,"○"))</f>
        <v/>
      </c>
      <c r="K622" s="29" t="str">
        <f aca="false">IF(A622="","",IFERROR(1/(1/_xlfn.MINIFS(Apparitions!$L$2:$L$5001,Apparitions!$G$2:$G$5001,A622)),""))</f>
        <v/>
      </c>
      <c r="L622" s="27" t="str">
        <f aca="false">IF(A622="","",A622&amp;" | "&amp;B622&amp;IF(C622="",""," ("&amp;C622&amp;")")&amp;IF(D622="",""," - "&amp;D622))</f>
        <v/>
      </c>
    </row>
    <row r="623" customFormat="false" ht="15" hidden="false" customHeight="false" outlineLevel="0" collapsed="false">
      <c r="A623" s="32"/>
      <c r="B623" s="19"/>
      <c r="C623" s="19"/>
      <c r="D623" s="19"/>
      <c r="E623" s="21"/>
      <c r="F623" s="19"/>
      <c r="G623" s="27" t="str">
        <f aca="false">IF(B623="","",IFERROR(INDEX(Jeux!$C$2:$C$3001,MATCH(B623,Jeux!$A$2:$A$3001,0))&amp;"","⚠ jeu inconnu"))</f>
        <v/>
      </c>
      <c r="H623" s="27" t="str">
        <f aca="false">IF(B623="","",IFERROR(INDEX(Jeux!$D$2:$D$3001,MATCH(B623,Jeux!$A$2:$A$3001,0))&amp;"",""))</f>
        <v/>
      </c>
      <c r="I623" s="26" t="str">
        <f aca="false">IF(A623="","",COUNTIF(Apparitions!$G$2:$G$5001,A623))</f>
        <v/>
      </c>
      <c r="J623" s="26" t="str">
        <f aca="false">IF(A623="","",COUNTIFS(Apparitions!$G$2:$G$5001,A623,Apparitions!$E$2:$E$5001,"○"))</f>
        <v/>
      </c>
      <c r="K623" s="29" t="str">
        <f aca="false">IF(A623="","",IFERROR(1/(1/_xlfn.MINIFS(Apparitions!$L$2:$L$5001,Apparitions!$G$2:$G$5001,A623)),""))</f>
        <v/>
      </c>
      <c r="L623" s="27" t="str">
        <f aca="false">IF(A623="","",A623&amp;" | "&amp;B623&amp;IF(C623="",""," ("&amp;C623&amp;")")&amp;IF(D623="",""," - "&amp;D623))</f>
        <v/>
      </c>
    </row>
    <row r="624" customFormat="false" ht="15" hidden="false" customHeight="false" outlineLevel="0" collapsed="false">
      <c r="A624" s="32"/>
      <c r="B624" s="19"/>
      <c r="C624" s="19"/>
      <c r="D624" s="19"/>
      <c r="E624" s="21"/>
      <c r="F624" s="19"/>
      <c r="G624" s="27" t="str">
        <f aca="false">IF(B624="","",IFERROR(INDEX(Jeux!$C$2:$C$3001,MATCH(B624,Jeux!$A$2:$A$3001,0))&amp;"","⚠ jeu inconnu"))</f>
        <v/>
      </c>
      <c r="H624" s="27" t="str">
        <f aca="false">IF(B624="","",IFERROR(INDEX(Jeux!$D$2:$D$3001,MATCH(B624,Jeux!$A$2:$A$3001,0))&amp;"",""))</f>
        <v/>
      </c>
      <c r="I624" s="26" t="str">
        <f aca="false">IF(A624="","",COUNTIF(Apparitions!$G$2:$G$5001,A624))</f>
        <v/>
      </c>
      <c r="J624" s="26" t="str">
        <f aca="false">IF(A624="","",COUNTIFS(Apparitions!$G$2:$G$5001,A624,Apparitions!$E$2:$E$5001,"○"))</f>
        <v/>
      </c>
      <c r="K624" s="29" t="str">
        <f aca="false">IF(A624="","",IFERROR(1/(1/_xlfn.MINIFS(Apparitions!$L$2:$L$5001,Apparitions!$G$2:$G$5001,A624)),""))</f>
        <v/>
      </c>
      <c r="L624" s="27" t="str">
        <f aca="false">IF(A624="","",A624&amp;" | "&amp;B624&amp;IF(C624="",""," ("&amp;C624&amp;")")&amp;IF(D624="",""," - "&amp;D624))</f>
        <v/>
      </c>
    </row>
    <row r="625" customFormat="false" ht="15" hidden="false" customHeight="false" outlineLevel="0" collapsed="false">
      <c r="A625" s="32"/>
      <c r="B625" s="19"/>
      <c r="C625" s="19"/>
      <c r="D625" s="19"/>
      <c r="E625" s="21"/>
      <c r="F625" s="19"/>
      <c r="G625" s="27" t="str">
        <f aca="false">IF(B625="","",IFERROR(INDEX(Jeux!$C$2:$C$3001,MATCH(B625,Jeux!$A$2:$A$3001,0))&amp;"","⚠ jeu inconnu"))</f>
        <v/>
      </c>
      <c r="H625" s="27" t="str">
        <f aca="false">IF(B625="","",IFERROR(INDEX(Jeux!$D$2:$D$3001,MATCH(B625,Jeux!$A$2:$A$3001,0))&amp;"",""))</f>
        <v/>
      </c>
      <c r="I625" s="26" t="str">
        <f aca="false">IF(A625="","",COUNTIF(Apparitions!$G$2:$G$5001,A625))</f>
        <v/>
      </c>
      <c r="J625" s="26" t="str">
        <f aca="false">IF(A625="","",COUNTIFS(Apparitions!$G$2:$G$5001,A625,Apparitions!$E$2:$E$5001,"○"))</f>
        <v/>
      </c>
      <c r="K625" s="29" t="str">
        <f aca="false">IF(A625="","",IFERROR(1/(1/_xlfn.MINIFS(Apparitions!$L$2:$L$5001,Apparitions!$G$2:$G$5001,A625)),""))</f>
        <v/>
      </c>
      <c r="L625" s="27" t="str">
        <f aca="false">IF(A625="","",A625&amp;" | "&amp;B625&amp;IF(C625="",""," ("&amp;C625&amp;")")&amp;IF(D625="",""," - "&amp;D625))</f>
        <v/>
      </c>
    </row>
    <row r="626" customFormat="false" ht="15" hidden="false" customHeight="false" outlineLevel="0" collapsed="false">
      <c r="A626" s="32"/>
      <c r="B626" s="19"/>
      <c r="C626" s="19"/>
      <c r="D626" s="19"/>
      <c r="E626" s="21"/>
      <c r="F626" s="19"/>
      <c r="G626" s="27" t="str">
        <f aca="false">IF(B626="","",IFERROR(INDEX(Jeux!$C$2:$C$3001,MATCH(B626,Jeux!$A$2:$A$3001,0))&amp;"","⚠ jeu inconnu"))</f>
        <v/>
      </c>
      <c r="H626" s="27" t="str">
        <f aca="false">IF(B626="","",IFERROR(INDEX(Jeux!$D$2:$D$3001,MATCH(B626,Jeux!$A$2:$A$3001,0))&amp;"",""))</f>
        <v/>
      </c>
      <c r="I626" s="26" t="str">
        <f aca="false">IF(A626="","",COUNTIF(Apparitions!$G$2:$G$5001,A626))</f>
        <v/>
      </c>
      <c r="J626" s="26" t="str">
        <f aca="false">IF(A626="","",COUNTIFS(Apparitions!$G$2:$G$5001,A626,Apparitions!$E$2:$E$5001,"○"))</f>
        <v/>
      </c>
      <c r="K626" s="29" t="str">
        <f aca="false">IF(A626="","",IFERROR(1/(1/_xlfn.MINIFS(Apparitions!$L$2:$L$5001,Apparitions!$G$2:$G$5001,A626)),""))</f>
        <v/>
      </c>
      <c r="L626" s="27" t="str">
        <f aca="false">IF(A626="","",A626&amp;" | "&amp;B626&amp;IF(C626="",""," ("&amp;C626&amp;")")&amp;IF(D626="",""," - "&amp;D626))</f>
        <v/>
      </c>
    </row>
    <row r="627" customFormat="false" ht="15" hidden="false" customHeight="false" outlineLevel="0" collapsed="false">
      <c r="A627" s="32"/>
      <c r="B627" s="19"/>
      <c r="C627" s="19"/>
      <c r="D627" s="19"/>
      <c r="E627" s="21"/>
      <c r="F627" s="19"/>
      <c r="G627" s="27" t="str">
        <f aca="false">IF(B627="","",IFERROR(INDEX(Jeux!$C$2:$C$3001,MATCH(B627,Jeux!$A$2:$A$3001,0))&amp;"","⚠ jeu inconnu"))</f>
        <v/>
      </c>
      <c r="H627" s="27" t="str">
        <f aca="false">IF(B627="","",IFERROR(INDEX(Jeux!$D$2:$D$3001,MATCH(B627,Jeux!$A$2:$A$3001,0))&amp;"",""))</f>
        <v/>
      </c>
      <c r="I627" s="26" t="str">
        <f aca="false">IF(A627="","",COUNTIF(Apparitions!$G$2:$G$5001,A627))</f>
        <v/>
      </c>
      <c r="J627" s="26" t="str">
        <f aca="false">IF(A627="","",COUNTIFS(Apparitions!$G$2:$G$5001,A627,Apparitions!$E$2:$E$5001,"○"))</f>
        <v/>
      </c>
      <c r="K627" s="29" t="str">
        <f aca="false">IF(A627="","",IFERROR(1/(1/_xlfn.MINIFS(Apparitions!$L$2:$L$5001,Apparitions!$G$2:$G$5001,A627)),""))</f>
        <v/>
      </c>
      <c r="L627" s="27" t="str">
        <f aca="false">IF(A627="","",A627&amp;" | "&amp;B627&amp;IF(C627="",""," ("&amp;C627&amp;")")&amp;IF(D627="",""," - "&amp;D627))</f>
        <v/>
      </c>
    </row>
    <row r="628" customFormat="false" ht="15" hidden="false" customHeight="false" outlineLevel="0" collapsed="false">
      <c r="A628" s="32"/>
      <c r="B628" s="19"/>
      <c r="C628" s="19"/>
      <c r="D628" s="19"/>
      <c r="E628" s="21"/>
      <c r="F628" s="19"/>
      <c r="G628" s="27" t="str">
        <f aca="false">IF(B628="","",IFERROR(INDEX(Jeux!$C$2:$C$3001,MATCH(B628,Jeux!$A$2:$A$3001,0))&amp;"","⚠ jeu inconnu"))</f>
        <v/>
      </c>
      <c r="H628" s="27" t="str">
        <f aca="false">IF(B628="","",IFERROR(INDEX(Jeux!$D$2:$D$3001,MATCH(B628,Jeux!$A$2:$A$3001,0))&amp;"",""))</f>
        <v/>
      </c>
      <c r="I628" s="26" t="str">
        <f aca="false">IF(A628="","",COUNTIF(Apparitions!$G$2:$G$5001,A628))</f>
        <v/>
      </c>
      <c r="J628" s="26" t="str">
        <f aca="false">IF(A628="","",COUNTIFS(Apparitions!$G$2:$G$5001,A628,Apparitions!$E$2:$E$5001,"○"))</f>
        <v/>
      </c>
      <c r="K628" s="29" t="str">
        <f aca="false">IF(A628="","",IFERROR(1/(1/_xlfn.MINIFS(Apparitions!$L$2:$L$5001,Apparitions!$G$2:$G$5001,A628)),""))</f>
        <v/>
      </c>
      <c r="L628" s="27" t="str">
        <f aca="false">IF(A628="","",A628&amp;" | "&amp;B628&amp;IF(C628="",""," ("&amp;C628&amp;")")&amp;IF(D628="",""," - "&amp;D628))</f>
        <v/>
      </c>
    </row>
    <row r="629" customFormat="false" ht="15" hidden="false" customHeight="false" outlineLevel="0" collapsed="false">
      <c r="A629" s="32"/>
      <c r="B629" s="19"/>
      <c r="C629" s="19"/>
      <c r="D629" s="19"/>
      <c r="E629" s="21"/>
      <c r="F629" s="19"/>
      <c r="G629" s="27" t="str">
        <f aca="false">IF(B629="","",IFERROR(INDEX(Jeux!$C$2:$C$3001,MATCH(B629,Jeux!$A$2:$A$3001,0))&amp;"","⚠ jeu inconnu"))</f>
        <v/>
      </c>
      <c r="H629" s="27" t="str">
        <f aca="false">IF(B629="","",IFERROR(INDEX(Jeux!$D$2:$D$3001,MATCH(B629,Jeux!$A$2:$A$3001,0))&amp;"",""))</f>
        <v/>
      </c>
      <c r="I629" s="26" t="str">
        <f aca="false">IF(A629="","",COUNTIF(Apparitions!$G$2:$G$5001,A629))</f>
        <v/>
      </c>
      <c r="J629" s="26" t="str">
        <f aca="false">IF(A629="","",COUNTIFS(Apparitions!$G$2:$G$5001,A629,Apparitions!$E$2:$E$5001,"○"))</f>
        <v/>
      </c>
      <c r="K629" s="29" t="str">
        <f aca="false">IF(A629="","",IFERROR(1/(1/_xlfn.MINIFS(Apparitions!$L$2:$L$5001,Apparitions!$G$2:$G$5001,A629)),""))</f>
        <v/>
      </c>
      <c r="L629" s="27" t="str">
        <f aca="false">IF(A629="","",A629&amp;" | "&amp;B629&amp;IF(C629="",""," ("&amp;C629&amp;")")&amp;IF(D629="",""," - "&amp;D629))</f>
        <v/>
      </c>
    </row>
    <row r="630" customFormat="false" ht="15" hidden="false" customHeight="false" outlineLevel="0" collapsed="false">
      <c r="A630" s="32"/>
      <c r="B630" s="19"/>
      <c r="C630" s="19"/>
      <c r="D630" s="19"/>
      <c r="E630" s="21"/>
      <c r="F630" s="19"/>
      <c r="G630" s="27" t="str">
        <f aca="false">IF(B630="","",IFERROR(INDEX(Jeux!$C$2:$C$3001,MATCH(B630,Jeux!$A$2:$A$3001,0))&amp;"","⚠ jeu inconnu"))</f>
        <v/>
      </c>
      <c r="H630" s="27" t="str">
        <f aca="false">IF(B630="","",IFERROR(INDEX(Jeux!$D$2:$D$3001,MATCH(B630,Jeux!$A$2:$A$3001,0))&amp;"",""))</f>
        <v/>
      </c>
      <c r="I630" s="26" t="str">
        <f aca="false">IF(A630="","",COUNTIF(Apparitions!$G$2:$G$5001,A630))</f>
        <v/>
      </c>
      <c r="J630" s="26" t="str">
        <f aca="false">IF(A630="","",COUNTIFS(Apparitions!$G$2:$G$5001,A630,Apparitions!$E$2:$E$5001,"○"))</f>
        <v/>
      </c>
      <c r="K630" s="29" t="str">
        <f aca="false">IF(A630="","",IFERROR(1/(1/_xlfn.MINIFS(Apparitions!$L$2:$L$5001,Apparitions!$G$2:$G$5001,A630)),""))</f>
        <v/>
      </c>
      <c r="L630" s="27" t="str">
        <f aca="false">IF(A630="","",A630&amp;" | "&amp;B630&amp;IF(C630="",""," ("&amp;C630&amp;")")&amp;IF(D630="",""," - "&amp;D630))</f>
        <v/>
      </c>
    </row>
    <row r="631" customFormat="false" ht="15" hidden="false" customHeight="false" outlineLevel="0" collapsed="false">
      <c r="A631" s="32"/>
      <c r="B631" s="19"/>
      <c r="C631" s="19"/>
      <c r="D631" s="19"/>
      <c r="E631" s="21"/>
      <c r="F631" s="19"/>
      <c r="G631" s="27" t="str">
        <f aca="false">IF(B631="","",IFERROR(INDEX(Jeux!$C$2:$C$3001,MATCH(B631,Jeux!$A$2:$A$3001,0))&amp;"","⚠ jeu inconnu"))</f>
        <v/>
      </c>
      <c r="H631" s="27" t="str">
        <f aca="false">IF(B631="","",IFERROR(INDEX(Jeux!$D$2:$D$3001,MATCH(B631,Jeux!$A$2:$A$3001,0))&amp;"",""))</f>
        <v/>
      </c>
      <c r="I631" s="26" t="str">
        <f aca="false">IF(A631="","",COUNTIF(Apparitions!$G$2:$G$5001,A631))</f>
        <v/>
      </c>
      <c r="J631" s="26" t="str">
        <f aca="false">IF(A631="","",COUNTIFS(Apparitions!$G$2:$G$5001,A631,Apparitions!$E$2:$E$5001,"○"))</f>
        <v/>
      </c>
      <c r="K631" s="29" t="str">
        <f aca="false">IF(A631="","",IFERROR(1/(1/_xlfn.MINIFS(Apparitions!$L$2:$L$5001,Apparitions!$G$2:$G$5001,A631)),""))</f>
        <v/>
      </c>
      <c r="L631" s="27" t="str">
        <f aca="false">IF(A631="","",A631&amp;" | "&amp;B631&amp;IF(C631="",""," ("&amp;C631&amp;")")&amp;IF(D631="",""," - "&amp;D631))</f>
        <v/>
      </c>
    </row>
    <row r="632" customFormat="false" ht="15" hidden="false" customHeight="false" outlineLevel="0" collapsed="false">
      <c r="A632" s="32"/>
      <c r="B632" s="19"/>
      <c r="C632" s="19"/>
      <c r="D632" s="19"/>
      <c r="E632" s="21"/>
      <c r="F632" s="19"/>
      <c r="G632" s="27" t="str">
        <f aca="false">IF(B632="","",IFERROR(INDEX(Jeux!$C$2:$C$3001,MATCH(B632,Jeux!$A$2:$A$3001,0))&amp;"","⚠ jeu inconnu"))</f>
        <v/>
      </c>
      <c r="H632" s="27" t="str">
        <f aca="false">IF(B632="","",IFERROR(INDEX(Jeux!$D$2:$D$3001,MATCH(B632,Jeux!$A$2:$A$3001,0))&amp;"",""))</f>
        <v/>
      </c>
      <c r="I632" s="26" t="str">
        <f aca="false">IF(A632="","",COUNTIF(Apparitions!$G$2:$G$5001,A632))</f>
        <v/>
      </c>
      <c r="J632" s="26" t="str">
        <f aca="false">IF(A632="","",COUNTIFS(Apparitions!$G$2:$G$5001,A632,Apparitions!$E$2:$E$5001,"○"))</f>
        <v/>
      </c>
      <c r="K632" s="29" t="str">
        <f aca="false">IF(A632="","",IFERROR(1/(1/_xlfn.MINIFS(Apparitions!$L$2:$L$5001,Apparitions!$G$2:$G$5001,A632)),""))</f>
        <v/>
      </c>
      <c r="L632" s="27" t="str">
        <f aca="false">IF(A632="","",A632&amp;" | "&amp;B632&amp;IF(C632="",""," ("&amp;C632&amp;")")&amp;IF(D632="",""," - "&amp;D632))</f>
        <v/>
      </c>
    </row>
    <row r="633" customFormat="false" ht="15" hidden="false" customHeight="false" outlineLevel="0" collapsed="false">
      <c r="A633" s="32"/>
      <c r="B633" s="19"/>
      <c r="C633" s="19"/>
      <c r="D633" s="19"/>
      <c r="E633" s="21"/>
      <c r="F633" s="19"/>
      <c r="G633" s="27" t="str">
        <f aca="false">IF(B633="","",IFERROR(INDEX(Jeux!$C$2:$C$3001,MATCH(B633,Jeux!$A$2:$A$3001,0))&amp;"","⚠ jeu inconnu"))</f>
        <v/>
      </c>
      <c r="H633" s="27" t="str">
        <f aca="false">IF(B633="","",IFERROR(INDEX(Jeux!$D$2:$D$3001,MATCH(B633,Jeux!$A$2:$A$3001,0))&amp;"",""))</f>
        <v/>
      </c>
      <c r="I633" s="26" t="str">
        <f aca="false">IF(A633="","",COUNTIF(Apparitions!$G$2:$G$5001,A633))</f>
        <v/>
      </c>
      <c r="J633" s="26" t="str">
        <f aca="false">IF(A633="","",COUNTIFS(Apparitions!$G$2:$G$5001,A633,Apparitions!$E$2:$E$5001,"○"))</f>
        <v/>
      </c>
      <c r="K633" s="29" t="str">
        <f aca="false">IF(A633="","",IFERROR(1/(1/_xlfn.MINIFS(Apparitions!$L$2:$L$5001,Apparitions!$G$2:$G$5001,A633)),""))</f>
        <v/>
      </c>
      <c r="L633" s="27" t="str">
        <f aca="false">IF(A633="","",A633&amp;" | "&amp;B633&amp;IF(C633="",""," ("&amp;C633&amp;")")&amp;IF(D633="",""," - "&amp;D633))</f>
        <v/>
      </c>
    </row>
    <row r="634" customFormat="false" ht="15" hidden="false" customHeight="false" outlineLevel="0" collapsed="false">
      <c r="A634" s="32"/>
      <c r="B634" s="19"/>
      <c r="C634" s="19"/>
      <c r="D634" s="19"/>
      <c r="E634" s="21"/>
      <c r="F634" s="19"/>
      <c r="G634" s="27" t="str">
        <f aca="false">IF(B634="","",IFERROR(INDEX(Jeux!$C$2:$C$3001,MATCH(B634,Jeux!$A$2:$A$3001,0))&amp;"","⚠ jeu inconnu"))</f>
        <v/>
      </c>
      <c r="H634" s="27" t="str">
        <f aca="false">IF(B634="","",IFERROR(INDEX(Jeux!$D$2:$D$3001,MATCH(B634,Jeux!$A$2:$A$3001,0))&amp;"",""))</f>
        <v/>
      </c>
      <c r="I634" s="26" t="str">
        <f aca="false">IF(A634="","",COUNTIF(Apparitions!$G$2:$G$5001,A634))</f>
        <v/>
      </c>
      <c r="J634" s="26" t="str">
        <f aca="false">IF(A634="","",COUNTIFS(Apparitions!$G$2:$G$5001,A634,Apparitions!$E$2:$E$5001,"○"))</f>
        <v/>
      </c>
      <c r="K634" s="29" t="str">
        <f aca="false">IF(A634="","",IFERROR(1/(1/_xlfn.MINIFS(Apparitions!$L$2:$L$5001,Apparitions!$G$2:$G$5001,A634)),""))</f>
        <v/>
      </c>
      <c r="L634" s="27" t="str">
        <f aca="false">IF(A634="","",A634&amp;" | "&amp;B634&amp;IF(C634="",""," ("&amp;C634&amp;")")&amp;IF(D634="",""," - "&amp;D634))</f>
        <v/>
      </c>
    </row>
    <row r="635" customFormat="false" ht="15" hidden="false" customHeight="false" outlineLevel="0" collapsed="false">
      <c r="A635" s="32"/>
      <c r="B635" s="19"/>
      <c r="C635" s="19"/>
      <c r="D635" s="19"/>
      <c r="E635" s="21"/>
      <c r="F635" s="19"/>
      <c r="G635" s="27" t="str">
        <f aca="false">IF(B635="","",IFERROR(INDEX(Jeux!$C$2:$C$3001,MATCH(B635,Jeux!$A$2:$A$3001,0))&amp;"","⚠ jeu inconnu"))</f>
        <v/>
      </c>
      <c r="H635" s="27" t="str">
        <f aca="false">IF(B635="","",IFERROR(INDEX(Jeux!$D$2:$D$3001,MATCH(B635,Jeux!$A$2:$A$3001,0))&amp;"",""))</f>
        <v/>
      </c>
      <c r="I635" s="26" t="str">
        <f aca="false">IF(A635="","",COUNTIF(Apparitions!$G$2:$G$5001,A635))</f>
        <v/>
      </c>
      <c r="J635" s="26" t="str">
        <f aca="false">IF(A635="","",COUNTIFS(Apparitions!$G$2:$G$5001,A635,Apparitions!$E$2:$E$5001,"○"))</f>
        <v/>
      </c>
      <c r="K635" s="29" t="str">
        <f aca="false">IF(A635="","",IFERROR(1/(1/_xlfn.MINIFS(Apparitions!$L$2:$L$5001,Apparitions!$G$2:$G$5001,A635)),""))</f>
        <v/>
      </c>
      <c r="L635" s="27" t="str">
        <f aca="false">IF(A635="","",A635&amp;" | "&amp;B635&amp;IF(C635="",""," ("&amp;C635&amp;")")&amp;IF(D635="",""," - "&amp;D635))</f>
        <v/>
      </c>
    </row>
    <row r="636" customFormat="false" ht="15" hidden="false" customHeight="false" outlineLevel="0" collapsed="false">
      <c r="A636" s="32"/>
      <c r="B636" s="19"/>
      <c r="C636" s="19"/>
      <c r="D636" s="19"/>
      <c r="E636" s="21"/>
      <c r="F636" s="19"/>
      <c r="G636" s="27" t="str">
        <f aca="false">IF(B636="","",IFERROR(INDEX(Jeux!$C$2:$C$3001,MATCH(B636,Jeux!$A$2:$A$3001,0))&amp;"","⚠ jeu inconnu"))</f>
        <v/>
      </c>
      <c r="H636" s="27" t="str">
        <f aca="false">IF(B636="","",IFERROR(INDEX(Jeux!$D$2:$D$3001,MATCH(B636,Jeux!$A$2:$A$3001,0))&amp;"",""))</f>
        <v/>
      </c>
      <c r="I636" s="26" t="str">
        <f aca="false">IF(A636="","",COUNTIF(Apparitions!$G$2:$G$5001,A636))</f>
        <v/>
      </c>
      <c r="J636" s="26" t="str">
        <f aca="false">IF(A636="","",COUNTIFS(Apparitions!$G$2:$G$5001,A636,Apparitions!$E$2:$E$5001,"○"))</f>
        <v/>
      </c>
      <c r="K636" s="29" t="str">
        <f aca="false">IF(A636="","",IFERROR(1/(1/_xlfn.MINIFS(Apparitions!$L$2:$L$5001,Apparitions!$G$2:$G$5001,A636)),""))</f>
        <v/>
      </c>
      <c r="L636" s="27" t="str">
        <f aca="false">IF(A636="","",A636&amp;" | "&amp;B636&amp;IF(C636="",""," ("&amp;C636&amp;")")&amp;IF(D636="",""," - "&amp;D636))</f>
        <v/>
      </c>
    </row>
    <row r="637" customFormat="false" ht="15" hidden="false" customHeight="false" outlineLevel="0" collapsed="false">
      <c r="A637" s="32"/>
      <c r="B637" s="19"/>
      <c r="C637" s="19"/>
      <c r="D637" s="19"/>
      <c r="E637" s="21"/>
      <c r="F637" s="19"/>
      <c r="G637" s="27" t="str">
        <f aca="false">IF(B637="","",IFERROR(INDEX(Jeux!$C$2:$C$3001,MATCH(B637,Jeux!$A$2:$A$3001,0))&amp;"","⚠ jeu inconnu"))</f>
        <v/>
      </c>
      <c r="H637" s="27" t="str">
        <f aca="false">IF(B637="","",IFERROR(INDEX(Jeux!$D$2:$D$3001,MATCH(B637,Jeux!$A$2:$A$3001,0))&amp;"",""))</f>
        <v/>
      </c>
      <c r="I637" s="26" t="str">
        <f aca="false">IF(A637="","",COUNTIF(Apparitions!$G$2:$G$5001,A637))</f>
        <v/>
      </c>
      <c r="J637" s="26" t="str">
        <f aca="false">IF(A637="","",COUNTIFS(Apparitions!$G$2:$G$5001,A637,Apparitions!$E$2:$E$5001,"○"))</f>
        <v/>
      </c>
      <c r="K637" s="29" t="str">
        <f aca="false">IF(A637="","",IFERROR(1/(1/_xlfn.MINIFS(Apparitions!$L$2:$L$5001,Apparitions!$G$2:$G$5001,A637)),""))</f>
        <v/>
      </c>
      <c r="L637" s="27" t="str">
        <f aca="false">IF(A637="","",A637&amp;" | "&amp;B637&amp;IF(C637="",""," ("&amp;C637&amp;")")&amp;IF(D637="",""," - "&amp;D637))</f>
        <v/>
      </c>
    </row>
    <row r="638" customFormat="false" ht="15" hidden="false" customHeight="false" outlineLevel="0" collapsed="false">
      <c r="A638" s="32"/>
      <c r="B638" s="19"/>
      <c r="C638" s="19"/>
      <c r="D638" s="19"/>
      <c r="E638" s="21"/>
      <c r="F638" s="19"/>
      <c r="G638" s="27" t="str">
        <f aca="false">IF(B638="","",IFERROR(INDEX(Jeux!$C$2:$C$3001,MATCH(B638,Jeux!$A$2:$A$3001,0))&amp;"","⚠ jeu inconnu"))</f>
        <v/>
      </c>
      <c r="H638" s="27" t="str">
        <f aca="false">IF(B638="","",IFERROR(INDEX(Jeux!$D$2:$D$3001,MATCH(B638,Jeux!$A$2:$A$3001,0))&amp;"",""))</f>
        <v/>
      </c>
      <c r="I638" s="26" t="str">
        <f aca="false">IF(A638="","",COUNTIF(Apparitions!$G$2:$G$5001,A638))</f>
        <v/>
      </c>
      <c r="J638" s="26" t="str">
        <f aca="false">IF(A638="","",COUNTIFS(Apparitions!$G$2:$G$5001,A638,Apparitions!$E$2:$E$5001,"○"))</f>
        <v/>
      </c>
      <c r="K638" s="29" t="str">
        <f aca="false">IF(A638="","",IFERROR(1/(1/_xlfn.MINIFS(Apparitions!$L$2:$L$5001,Apparitions!$G$2:$G$5001,A638)),""))</f>
        <v/>
      </c>
      <c r="L638" s="27" t="str">
        <f aca="false">IF(A638="","",A638&amp;" | "&amp;B638&amp;IF(C638="",""," ("&amp;C638&amp;")")&amp;IF(D638="",""," - "&amp;D638))</f>
        <v/>
      </c>
    </row>
    <row r="639" customFormat="false" ht="15" hidden="false" customHeight="false" outlineLevel="0" collapsed="false">
      <c r="A639" s="32"/>
      <c r="B639" s="19"/>
      <c r="C639" s="19"/>
      <c r="D639" s="19"/>
      <c r="E639" s="21"/>
      <c r="F639" s="19"/>
      <c r="G639" s="27" t="str">
        <f aca="false">IF(B639="","",IFERROR(INDEX(Jeux!$C$2:$C$3001,MATCH(B639,Jeux!$A$2:$A$3001,0))&amp;"","⚠ jeu inconnu"))</f>
        <v/>
      </c>
      <c r="H639" s="27" t="str">
        <f aca="false">IF(B639="","",IFERROR(INDEX(Jeux!$D$2:$D$3001,MATCH(B639,Jeux!$A$2:$A$3001,0))&amp;"",""))</f>
        <v/>
      </c>
      <c r="I639" s="26" t="str">
        <f aca="false">IF(A639="","",COUNTIF(Apparitions!$G$2:$G$5001,A639))</f>
        <v/>
      </c>
      <c r="J639" s="26" t="str">
        <f aca="false">IF(A639="","",COUNTIFS(Apparitions!$G$2:$G$5001,A639,Apparitions!$E$2:$E$5001,"○"))</f>
        <v/>
      </c>
      <c r="K639" s="29" t="str">
        <f aca="false">IF(A639="","",IFERROR(1/(1/_xlfn.MINIFS(Apparitions!$L$2:$L$5001,Apparitions!$G$2:$G$5001,A639)),""))</f>
        <v/>
      </c>
      <c r="L639" s="27" t="str">
        <f aca="false">IF(A639="","",A639&amp;" | "&amp;B639&amp;IF(C639="",""," ("&amp;C639&amp;")")&amp;IF(D639="",""," - "&amp;D639))</f>
        <v/>
      </c>
    </row>
    <row r="640" customFormat="false" ht="15" hidden="false" customHeight="false" outlineLevel="0" collapsed="false">
      <c r="A640" s="32"/>
      <c r="B640" s="19"/>
      <c r="C640" s="19"/>
      <c r="D640" s="19"/>
      <c r="E640" s="21"/>
      <c r="F640" s="19"/>
      <c r="G640" s="27" t="str">
        <f aca="false">IF(B640="","",IFERROR(INDEX(Jeux!$C$2:$C$3001,MATCH(B640,Jeux!$A$2:$A$3001,0))&amp;"","⚠ jeu inconnu"))</f>
        <v/>
      </c>
      <c r="H640" s="27" t="str">
        <f aca="false">IF(B640="","",IFERROR(INDEX(Jeux!$D$2:$D$3001,MATCH(B640,Jeux!$A$2:$A$3001,0))&amp;"",""))</f>
        <v/>
      </c>
      <c r="I640" s="26" t="str">
        <f aca="false">IF(A640="","",COUNTIF(Apparitions!$G$2:$G$5001,A640))</f>
        <v/>
      </c>
      <c r="J640" s="26" t="str">
        <f aca="false">IF(A640="","",COUNTIFS(Apparitions!$G$2:$G$5001,A640,Apparitions!$E$2:$E$5001,"○"))</f>
        <v/>
      </c>
      <c r="K640" s="29" t="str">
        <f aca="false">IF(A640="","",IFERROR(1/(1/_xlfn.MINIFS(Apparitions!$L$2:$L$5001,Apparitions!$G$2:$G$5001,A640)),""))</f>
        <v/>
      </c>
      <c r="L640" s="27" t="str">
        <f aca="false">IF(A640="","",A640&amp;" | "&amp;B640&amp;IF(C640="",""," ("&amp;C640&amp;")")&amp;IF(D640="",""," - "&amp;D640))</f>
        <v/>
      </c>
    </row>
    <row r="641" customFormat="false" ht="15" hidden="false" customHeight="false" outlineLevel="0" collapsed="false">
      <c r="A641" s="32"/>
      <c r="B641" s="19"/>
      <c r="C641" s="19"/>
      <c r="D641" s="19"/>
      <c r="E641" s="21"/>
      <c r="F641" s="19"/>
      <c r="G641" s="27" t="str">
        <f aca="false">IF(B641="","",IFERROR(INDEX(Jeux!$C$2:$C$3001,MATCH(B641,Jeux!$A$2:$A$3001,0))&amp;"","⚠ jeu inconnu"))</f>
        <v/>
      </c>
      <c r="H641" s="27" t="str">
        <f aca="false">IF(B641="","",IFERROR(INDEX(Jeux!$D$2:$D$3001,MATCH(B641,Jeux!$A$2:$A$3001,0))&amp;"",""))</f>
        <v/>
      </c>
      <c r="I641" s="26" t="str">
        <f aca="false">IF(A641="","",COUNTIF(Apparitions!$G$2:$G$5001,A641))</f>
        <v/>
      </c>
      <c r="J641" s="26" t="str">
        <f aca="false">IF(A641="","",COUNTIFS(Apparitions!$G$2:$G$5001,A641,Apparitions!$E$2:$E$5001,"○"))</f>
        <v/>
      </c>
      <c r="K641" s="29" t="str">
        <f aca="false">IF(A641="","",IFERROR(1/(1/_xlfn.MINIFS(Apparitions!$L$2:$L$5001,Apparitions!$G$2:$G$5001,A641)),""))</f>
        <v/>
      </c>
      <c r="L641" s="27" t="str">
        <f aca="false">IF(A641="","",A641&amp;" | "&amp;B641&amp;IF(C641="",""," ("&amp;C641&amp;")")&amp;IF(D641="",""," - "&amp;D641))</f>
        <v/>
      </c>
    </row>
    <row r="642" customFormat="false" ht="15" hidden="false" customHeight="false" outlineLevel="0" collapsed="false">
      <c r="A642" s="32"/>
      <c r="B642" s="19"/>
      <c r="C642" s="19"/>
      <c r="D642" s="19"/>
      <c r="E642" s="21"/>
      <c r="F642" s="19"/>
      <c r="G642" s="27" t="str">
        <f aca="false">IF(B642="","",IFERROR(INDEX(Jeux!$C$2:$C$3001,MATCH(B642,Jeux!$A$2:$A$3001,0))&amp;"","⚠ jeu inconnu"))</f>
        <v/>
      </c>
      <c r="H642" s="27" t="str">
        <f aca="false">IF(B642="","",IFERROR(INDEX(Jeux!$D$2:$D$3001,MATCH(B642,Jeux!$A$2:$A$3001,0))&amp;"",""))</f>
        <v/>
      </c>
      <c r="I642" s="26" t="str">
        <f aca="false">IF(A642="","",COUNTIF(Apparitions!$G$2:$G$5001,A642))</f>
        <v/>
      </c>
      <c r="J642" s="26" t="str">
        <f aca="false">IF(A642="","",COUNTIFS(Apparitions!$G$2:$G$5001,A642,Apparitions!$E$2:$E$5001,"○"))</f>
        <v/>
      </c>
      <c r="K642" s="29" t="str">
        <f aca="false">IF(A642="","",IFERROR(1/(1/_xlfn.MINIFS(Apparitions!$L$2:$L$5001,Apparitions!$G$2:$G$5001,A642)),""))</f>
        <v/>
      </c>
      <c r="L642" s="27" t="str">
        <f aca="false">IF(A642="","",A642&amp;" | "&amp;B642&amp;IF(C642="",""," ("&amp;C642&amp;")")&amp;IF(D642="",""," - "&amp;D642))</f>
        <v/>
      </c>
    </row>
    <row r="643" customFormat="false" ht="15" hidden="false" customHeight="false" outlineLevel="0" collapsed="false">
      <c r="A643" s="32"/>
      <c r="B643" s="19"/>
      <c r="C643" s="19"/>
      <c r="D643" s="19"/>
      <c r="E643" s="21"/>
      <c r="F643" s="19"/>
      <c r="G643" s="27" t="str">
        <f aca="false">IF(B643="","",IFERROR(INDEX(Jeux!$C$2:$C$3001,MATCH(B643,Jeux!$A$2:$A$3001,0))&amp;"","⚠ jeu inconnu"))</f>
        <v/>
      </c>
      <c r="H643" s="27" t="str">
        <f aca="false">IF(B643="","",IFERROR(INDEX(Jeux!$D$2:$D$3001,MATCH(B643,Jeux!$A$2:$A$3001,0))&amp;"",""))</f>
        <v/>
      </c>
      <c r="I643" s="26" t="str">
        <f aca="false">IF(A643="","",COUNTIF(Apparitions!$G$2:$G$5001,A643))</f>
        <v/>
      </c>
      <c r="J643" s="26" t="str">
        <f aca="false">IF(A643="","",COUNTIFS(Apparitions!$G$2:$G$5001,A643,Apparitions!$E$2:$E$5001,"○"))</f>
        <v/>
      </c>
      <c r="K643" s="29" t="str">
        <f aca="false">IF(A643="","",IFERROR(1/(1/_xlfn.MINIFS(Apparitions!$L$2:$L$5001,Apparitions!$G$2:$G$5001,A643)),""))</f>
        <v/>
      </c>
      <c r="L643" s="27" t="str">
        <f aca="false">IF(A643="","",A643&amp;" | "&amp;B643&amp;IF(C643="",""," ("&amp;C643&amp;")")&amp;IF(D643="",""," - "&amp;D643))</f>
        <v/>
      </c>
    </row>
    <row r="644" customFormat="false" ht="15" hidden="false" customHeight="false" outlineLevel="0" collapsed="false">
      <c r="A644" s="32"/>
      <c r="B644" s="19"/>
      <c r="C644" s="19"/>
      <c r="D644" s="19"/>
      <c r="E644" s="21"/>
      <c r="F644" s="19"/>
      <c r="G644" s="27" t="str">
        <f aca="false">IF(B644="","",IFERROR(INDEX(Jeux!$C$2:$C$3001,MATCH(B644,Jeux!$A$2:$A$3001,0))&amp;"","⚠ jeu inconnu"))</f>
        <v/>
      </c>
      <c r="H644" s="27" t="str">
        <f aca="false">IF(B644="","",IFERROR(INDEX(Jeux!$D$2:$D$3001,MATCH(B644,Jeux!$A$2:$A$3001,0))&amp;"",""))</f>
        <v/>
      </c>
      <c r="I644" s="26" t="str">
        <f aca="false">IF(A644="","",COUNTIF(Apparitions!$G$2:$G$5001,A644))</f>
        <v/>
      </c>
      <c r="J644" s="26" t="str">
        <f aca="false">IF(A644="","",COUNTIFS(Apparitions!$G$2:$G$5001,A644,Apparitions!$E$2:$E$5001,"○"))</f>
        <v/>
      </c>
      <c r="K644" s="29" t="str">
        <f aca="false">IF(A644="","",IFERROR(1/(1/_xlfn.MINIFS(Apparitions!$L$2:$L$5001,Apparitions!$G$2:$G$5001,A644)),""))</f>
        <v/>
      </c>
      <c r="L644" s="27" t="str">
        <f aca="false">IF(A644="","",A644&amp;" | "&amp;B644&amp;IF(C644="",""," ("&amp;C644&amp;")")&amp;IF(D644="",""," - "&amp;D644))</f>
        <v/>
      </c>
    </row>
    <row r="645" customFormat="false" ht="15" hidden="false" customHeight="false" outlineLevel="0" collapsed="false">
      <c r="A645" s="32"/>
      <c r="B645" s="19"/>
      <c r="C645" s="19"/>
      <c r="D645" s="19"/>
      <c r="E645" s="21"/>
      <c r="F645" s="19"/>
      <c r="G645" s="27" t="str">
        <f aca="false">IF(B645="","",IFERROR(INDEX(Jeux!$C$2:$C$3001,MATCH(B645,Jeux!$A$2:$A$3001,0))&amp;"","⚠ jeu inconnu"))</f>
        <v/>
      </c>
      <c r="H645" s="27" t="str">
        <f aca="false">IF(B645="","",IFERROR(INDEX(Jeux!$D$2:$D$3001,MATCH(B645,Jeux!$A$2:$A$3001,0))&amp;"",""))</f>
        <v/>
      </c>
      <c r="I645" s="26" t="str">
        <f aca="false">IF(A645="","",COUNTIF(Apparitions!$G$2:$G$5001,A645))</f>
        <v/>
      </c>
      <c r="J645" s="26" t="str">
        <f aca="false">IF(A645="","",COUNTIFS(Apparitions!$G$2:$G$5001,A645,Apparitions!$E$2:$E$5001,"○"))</f>
        <v/>
      </c>
      <c r="K645" s="29" t="str">
        <f aca="false">IF(A645="","",IFERROR(1/(1/_xlfn.MINIFS(Apparitions!$L$2:$L$5001,Apparitions!$G$2:$G$5001,A645)),""))</f>
        <v/>
      </c>
      <c r="L645" s="27" t="str">
        <f aca="false">IF(A645="","",A645&amp;" | "&amp;B645&amp;IF(C645="",""," ("&amp;C645&amp;")")&amp;IF(D645="",""," - "&amp;D645))</f>
        <v/>
      </c>
    </row>
    <row r="646" customFormat="false" ht="15" hidden="false" customHeight="false" outlineLevel="0" collapsed="false">
      <c r="A646" s="32"/>
      <c r="B646" s="19"/>
      <c r="C646" s="19"/>
      <c r="D646" s="19"/>
      <c r="E646" s="21"/>
      <c r="F646" s="19"/>
      <c r="G646" s="27" t="str">
        <f aca="false">IF(B646="","",IFERROR(INDEX(Jeux!$C$2:$C$3001,MATCH(B646,Jeux!$A$2:$A$3001,0))&amp;"","⚠ jeu inconnu"))</f>
        <v/>
      </c>
      <c r="H646" s="27" t="str">
        <f aca="false">IF(B646="","",IFERROR(INDEX(Jeux!$D$2:$D$3001,MATCH(B646,Jeux!$A$2:$A$3001,0))&amp;"",""))</f>
        <v/>
      </c>
      <c r="I646" s="26" t="str">
        <f aca="false">IF(A646="","",COUNTIF(Apparitions!$G$2:$G$5001,A646))</f>
        <v/>
      </c>
      <c r="J646" s="26" t="str">
        <f aca="false">IF(A646="","",COUNTIFS(Apparitions!$G$2:$G$5001,A646,Apparitions!$E$2:$E$5001,"○"))</f>
        <v/>
      </c>
      <c r="K646" s="29" t="str">
        <f aca="false">IF(A646="","",IFERROR(1/(1/_xlfn.MINIFS(Apparitions!$L$2:$L$5001,Apparitions!$G$2:$G$5001,A646)),""))</f>
        <v/>
      </c>
      <c r="L646" s="27" t="str">
        <f aca="false">IF(A646="","",A646&amp;" | "&amp;B646&amp;IF(C646="",""," ("&amp;C646&amp;")")&amp;IF(D646="",""," - "&amp;D646))</f>
        <v/>
      </c>
    </row>
    <row r="647" customFormat="false" ht="15" hidden="false" customHeight="false" outlineLevel="0" collapsed="false">
      <c r="A647" s="32"/>
      <c r="B647" s="19"/>
      <c r="C647" s="19"/>
      <c r="D647" s="19"/>
      <c r="E647" s="21"/>
      <c r="F647" s="19"/>
      <c r="G647" s="27" t="str">
        <f aca="false">IF(B647="","",IFERROR(INDEX(Jeux!$C$2:$C$3001,MATCH(B647,Jeux!$A$2:$A$3001,0))&amp;"","⚠ jeu inconnu"))</f>
        <v/>
      </c>
      <c r="H647" s="27" t="str">
        <f aca="false">IF(B647="","",IFERROR(INDEX(Jeux!$D$2:$D$3001,MATCH(B647,Jeux!$A$2:$A$3001,0))&amp;"",""))</f>
        <v/>
      </c>
      <c r="I647" s="26" t="str">
        <f aca="false">IF(A647="","",COUNTIF(Apparitions!$G$2:$G$5001,A647))</f>
        <v/>
      </c>
      <c r="J647" s="26" t="str">
        <f aca="false">IF(A647="","",COUNTIFS(Apparitions!$G$2:$G$5001,A647,Apparitions!$E$2:$E$5001,"○"))</f>
        <v/>
      </c>
      <c r="K647" s="29" t="str">
        <f aca="false">IF(A647="","",IFERROR(1/(1/_xlfn.MINIFS(Apparitions!$L$2:$L$5001,Apparitions!$G$2:$G$5001,A647)),""))</f>
        <v/>
      </c>
      <c r="L647" s="27" t="str">
        <f aca="false">IF(A647="","",A647&amp;" | "&amp;B647&amp;IF(C647="",""," ("&amp;C647&amp;")")&amp;IF(D647="",""," - "&amp;D647))</f>
        <v/>
      </c>
    </row>
    <row r="648" customFormat="false" ht="15" hidden="false" customHeight="false" outlineLevel="0" collapsed="false">
      <c r="A648" s="32"/>
      <c r="B648" s="19"/>
      <c r="C648" s="19"/>
      <c r="D648" s="19"/>
      <c r="E648" s="21"/>
      <c r="F648" s="19"/>
      <c r="G648" s="27" t="str">
        <f aca="false">IF(B648="","",IFERROR(INDEX(Jeux!$C$2:$C$3001,MATCH(B648,Jeux!$A$2:$A$3001,0))&amp;"","⚠ jeu inconnu"))</f>
        <v/>
      </c>
      <c r="H648" s="27" t="str">
        <f aca="false">IF(B648="","",IFERROR(INDEX(Jeux!$D$2:$D$3001,MATCH(B648,Jeux!$A$2:$A$3001,0))&amp;"",""))</f>
        <v/>
      </c>
      <c r="I648" s="26" t="str">
        <f aca="false">IF(A648="","",COUNTIF(Apparitions!$G$2:$G$5001,A648))</f>
        <v/>
      </c>
      <c r="J648" s="26" t="str">
        <f aca="false">IF(A648="","",COUNTIFS(Apparitions!$G$2:$G$5001,A648,Apparitions!$E$2:$E$5001,"○"))</f>
        <v/>
      </c>
      <c r="K648" s="29" t="str">
        <f aca="false">IF(A648="","",IFERROR(1/(1/_xlfn.MINIFS(Apparitions!$L$2:$L$5001,Apparitions!$G$2:$G$5001,A648)),""))</f>
        <v/>
      </c>
      <c r="L648" s="27" t="str">
        <f aca="false">IF(A648="","",A648&amp;" | "&amp;B648&amp;IF(C648="",""," ("&amp;C648&amp;")")&amp;IF(D648="",""," - "&amp;D648))</f>
        <v/>
      </c>
    </row>
    <row r="649" customFormat="false" ht="15" hidden="false" customHeight="false" outlineLevel="0" collapsed="false">
      <c r="A649" s="32"/>
      <c r="B649" s="19"/>
      <c r="C649" s="19"/>
      <c r="D649" s="19"/>
      <c r="E649" s="21"/>
      <c r="F649" s="19"/>
      <c r="G649" s="27" t="str">
        <f aca="false">IF(B649="","",IFERROR(INDEX(Jeux!$C$2:$C$3001,MATCH(B649,Jeux!$A$2:$A$3001,0))&amp;"","⚠ jeu inconnu"))</f>
        <v/>
      </c>
      <c r="H649" s="27" t="str">
        <f aca="false">IF(B649="","",IFERROR(INDEX(Jeux!$D$2:$D$3001,MATCH(B649,Jeux!$A$2:$A$3001,0))&amp;"",""))</f>
        <v/>
      </c>
      <c r="I649" s="26" t="str">
        <f aca="false">IF(A649="","",COUNTIF(Apparitions!$G$2:$G$5001,A649))</f>
        <v/>
      </c>
      <c r="J649" s="26" t="str">
        <f aca="false">IF(A649="","",COUNTIFS(Apparitions!$G$2:$G$5001,A649,Apparitions!$E$2:$E$5001,"○"))</f>
        <v/>
      </c>
      <c r="K649" s="29" t="str">
        <f aca="false">IF(A649="","",IFERROR(1/(1/_xlfn.MINIFS(Apparitions!$L$2:$L$5001,Apparitions!$G$2:$G$5001,A649)),""))</f>
        <v/>
      </c>
      <c r="L649" s="27" t="str">
        <f aca="false">IF(A649="","",A649&amp;" | "&amp;B649&amp;IF(C649="",""," ("&amp;C649&amp;")")&amp;IF(D649="",""," - "&amp;D649))</f>
        <v/>
      </c>
    </row>
    <row r="650" customFormat="false" ht="15" hidden="false" customHeight="false" outlineLevel="0" collapsed="false">
      <c r="A650" s="32"/>
      <c r="B650" s="19"/>
      <c r="C650" s="19"/>
      <c r="D650" s="19"/>
      <c r="E650" s="21"/>
      <c r="F650" s="19"/>
      <c r="G650" s="27" t="str">
        <f aca="false">IF(B650="","",IFERROR(INDEX(Jeux!$C$2:$C$3001,MATCH(B650,Jeux!$A$2:$A$3001,0))&amp;"","⚠ jeu inconnu"))</f>
        <v/>
      </c>
      <c r="H650" s="27" t="str">
        <f aca="false">IF(B650="","",IFERROR(INDEX(Jeux!$D$2:$D$3001,MATCH(B650,Jeux!$A$2:$A$3001,0))&amp;"",""))</f>
        <v/>
      </c>
      <c r="I650" s="26" t="str">
        <f aca="false">IF(A650="","",COUNTIF(Apparitions!$G$2:$G$5001,A650))</f>
        <v/>
      </c>
      <c r="J650" s="26" t="str">
        <f aca="false">IF(A650="","",COUNTIFS(Apparitions!$G$2:$G$5001,A650,Apparitions!$E$2:$E$5001,"○"))</f>
        <v/>
      </c>
      <c r="K650" s="29" t="str">
        <f aca="false">IF(A650="","",IFERROR(1/(1/_xlfn.MINIFS(Apparitions!$L$2:$L$5001,Apparitions!$G$2:$G$5001,A650)),""))</f>
        <v/>
      </c>
      <c r="L650" s="27" t="str">
        <f aca="false">IF(A650="","",A650&amp;" | "&amp;B650&amp;IF(C650="",""," ("&amp;C650&amp;")")&amp;IF(D650="",""," - "&amp;D650))</f>
        <v/>
      </c>
    </row>
    <row r="651" customFormat="false" ht="15" hidden="false" customHeight="false" outlineLevel="0" collapsed="false">
      <c r="A651" s="32"/>
      <c r="B651" s="19"/>
      <c r="C651" s="19"/>
      <c r="D651" s="19"/>
      <c r="E651" s="21"/>
      <c r="F651" s="19"/>
      <c r="G651" s="27" t="str">
        <f aca="false">IF(B651="","",IFERROR(INDEX(Jeux!$C$2:$C$3001,MATCH(B651,Jeux!$A$2:$A$3001,0))&amp;"","⚠ jeu inconnu"))</f>
        <v/>
      </c>
      <c r="H651" s="27" t="str">
        <f aca="false">IF(B651="","",IFERROR(INDEX(Jeux!$D$2:$D$3001,MATCH(B651,Jeux!$A$2:$A$3001,0))&amp;"",""))</f>
        <v/>
      </c>
      <c r="I651" s="26" t="str">
        <f aca="false">IF(A651="","",COUNTIF(Apparitions!$G$2:$G$5001,A651))</f>
        <v/>
      </c>
      <c r="J651" s="26" t="str">
        <f aca="false">IF(A651="","",COUNTIFS(Apparitions!$G$2:$G$5001,A651,Apparitions!$E$2:$E$5001,"○"))</f>
        <v/>
      </c>
      <c r="K651" s="29" t="str">
        <f aca="false">IF(A651="","",IFERROR(1/(1/_xlfn.MINIFS(Apparitions!$L$2:$L$5001,Apparitions!$G$2:$G$5001,A651)),""))</f>
        <v/>
      </c>
      <c r="L651" s="27" t="str">
        <f aca="false">IF(A651="","",A651&amp;" | "&amp;B651&amp;IF(C651="",""," ("&amp;C651&amp;")")&amp;IF(D651="",""," - "&amp;D651))</f>
        <v/>
      </c>
    </row>
    <row r="652" customFormat="false" ht="15" hidden="false" customHeight="false" outlineLevel="0" collapsed="false">
      <c r="A652" s="32"/>
      <c r="B652" s="19"/>
      <c r="C652" s="19"/>
      <c r="D652" s="19"/>
      <c r="E652" s="21"/>
      <c r="F652" s="19"/>
      <c r="G652" s="27" t="str">
        <f aca="false">IF(B652="","",IFERROR(INDEX(Jeux!$C$2:$C$3001,MATCH(B652,Jeux!$A$2:$A$3001,0))&amp;"","⚠ jeu inconnu"))</f>
        <v/>
      </c>
      <c r="H652" s="27" t="str">
        <f aca="false">IF(B652="","",IFERROR(INDEX(Jeux!$D$2:$D$3001,MATCH(B652,Jeux!$A$2:$A$3001,0))&amp;"",""))</f>
        <v/>
      </c>
      <c r="I652" s="26" t="str">
        <f aca="false">IF(A652="","",COUNTIF(Apparitions!$G$2:$G$5001,A652))</f>
        <v/>
      </c>
      <c r="J652" s="26" t="str">
        <f aca="false">IF(A652="","",COUNTIFS(Apparitions!$G$2:$G$5001,A652,Apparitions!$E$2:$E$5001,"○"))</f>
        <v/>
      </c>
      <c r="K652" s="29" t="str">
        <f aca="false">IF(A652="","",IFERROR(1/(1/_xlfn.MINIFS(Apparitions!$L$2:$L$5001,Apparitions!$G$2:$G$5001,A652)),""))</f>
        <v/>
      </c>
      <c r="L652" s="27" t="str">
        <f aca="false">IF(A652="","",A652&amp;" | "&amp;B652&amp;IF(C652="",""," ("&amp;C652&amp;")")&amp;IF(D652="",""," - "&amp;D652))</f>
        <v/>
      </c>
    </row>
    <row r="653" customFormat="false" ht="15" hidden="false" customHeight="false" outlineLevel="0" collapsed="false">
      <c r="A653" s="32"/>
      <c r="B653" s="19"/>
      <c r="C653" s="19"/>
      <c r="D653" s="19"/>
      <c r="E653" s="21"/>
      <c r="F653" s="19"/>
      <c r="G653" s="27" t="str">
        <f aca="false">IF(B653="","",IFERROR(INDEX(Jeux!$C$2:$C$3001,MATCH(B653,Jeux!$A$2:$A$3001,0))&amp;"","⚠ jeu inconnu"))</f>
        <v/>
      </c>
      <c r="H653" s="27" t="str">
        <f aca="false">IF(B653="","",IFERROR(INDEX(Jeux!$D$2:$D$3001,MATCH(B653,Jeux!$A$2:$A$3001,0))&amp;"",""))</f>
        <v/>
      </c>
      <c r="I653" s="26" t="str">
        <f aca="false">IF(A653="","",COUNTIF(Apparitions!$G$2:$G$5001,A653))</f>
        <v/>
      </c>
      <c r="J653" s="26" t="str">
        <f aca="false">IF(A653="","",COUNTIFS(Apparitions!$G$2:$G$5001,A653,Apparitions!$E$2:$E$5001,"○"))</f>
        <v/>
      </c>
      <c r="K653" s="29" t="str">
        <f aca="false">IF(A653="","",IFERROR(1/(1/_xlfn.MINIFS(Apparitions!$L$2:$L$5001,Apparitions!$G$2:$G$5001,A653)),""))</f>
        <v/>
      </c>
      <c r="L653" s="27" t="str">
        <f aca="false">IF(A653="","",A653&amp;" | "&amp;B653&amp;IF(C653="",""," ("&amp;C653&amp;")")&amp;IF(D653="",""," - "&amp;D653))</f>
        <v/>
      </c>
    </row>
    <row r="654" customFormat="false" ht="15" hidden="false" customHeight="false" outlineLevel="0" collapsed="false">
      <c r="A654" s="32"/>
      <c r="B654" s="19"/>
      <c r="C654" s="19"/>
      <c r="D654" s="19"/>
      <c r="E654" s="21"/>
      <c r="F654" s="19"/>
      <c r="G654" s="27" t="str">
        <f aca="false">IF(B654="","",IFERROR(INDEX(Jeux!$C$2:$C$3001,MATCH(B654,Jeux!$A$2:$A$3001,0))&amp;"","⚠ jeu inconnu"))</f>
        <v/>
      </c>
      <c r="H654" s="27" t="str">
        <f aca="false">IF(B654="","",IFERROR(INDEX(Jeux!$D$2:$D$3001,MATCH(B654,Jeux!$A$2:$A$3001,0))&amp;"",""))</f>
        <v/>
      </c>
      <c r="I654" s="26" t="str">
        <f aca="false">IF(A654="","",COUNTIF(Apparitions!$G$2:$G$5001,A654))</f>
        <v/>
      </c>
      <c r="J654" s="26" t="str">
        <f aca="false">IF(A654="","",COUNTIFS(Apparitions!$G$2:$G$5001,A654,Apparitions!$E$2:$E$5001,"○"))</f>
        <v/>
      </c>
      <c r="K654" s="29" t="str">
        <f aca="false">IF(A654="","",IFERROR(1/(1/_xlfn.MINIFS(Apparitions!$L$2:$L$5001,Apparitions!$G$2:$G$5001,A654)),""))</f>
        <v/>
      </c>
      <c r="L654" s="27" t="str">
        <f aca="false">IF(A654="","",A654&amp;" | "&amp;B654&amp;IF(C654="",""," ("&amp;C654&amp;")")&amp;IF(D654="",""," - "&amp;D654))</f>
        <v/>
      </c>
    </row>
    <row r="655" customFormat="false" ht="15" hidden="false" customHeight="false" outlineLevel="0" collapsed="false">
      <c r="A655" s="32"/>
      <c r="B655" s="19"/>
      <c r="C655" s="19"/>
      <c r="D655" s="19"/>
      <c r="E655" s="21"/>
      <c r="F655" s="19"/>
      <c r="G655" s="27" t="str">
        <f aca="false">IF(B655="","",IFERROR(INDEX(Jeux!$C$2:$C$3001,MATCH(B655,Jeux!$A$2:$A$3001,0))&amp;"","⚠ jeu inconnu"))</f>
        <v/>
      </c>
      <c r="H655" s="27" t="str">
        <f aca="false">IF(B655="","",IFERROR(INDEX(Jeux!$D$2:$D$3001,MATCH(B655,Jeux!$A$2:$A$3001,0))&amp;"",""))</f>
        <v/>
      </c>
      <c r="I655" s="26" t="str">
        <f aca="false">IF(A655="","",COUNTIF(Apparitions!$G$2:$G$5001,A655))</f>
        <v/>
      </c>
      <c r="J655" s="26" t="str">
        <f aca="false">IF(A655="","",COUNTIFS(Apparitions!$G$2:$G$5001,A655,Apparitions!$E$2:$E$5001,"○"))</f>
        <v/>
      </c>
      <c r="K655" s="29" t="str">
        <f aca="false">IF(A655="","",IFERROR(1/(1/_xlfn.MINIFS(Apparitions!$L$2:$L$5001,Apparitions!$G$2:$G$5001,A655)),""))</f>
        <v/>
      </c>
      <c r="L655" s="27" t="str">
        <f aca="false">IF(A655="","",A655&amp;" | "&amp;B655&amp;IF(C655="",""," ("&amp;C655&amp;")")&amp;IF(D655="",""," - "&amp;D655))</f>
        <v/>
      </c>
    </row>
    <row r="656" customFormat="false" ht="15" hidden="false" customHeight="false" outlineLevel="0" collapsed="false">
      <c r="A656" s="32"/>
      <c r="B656" s="19"/>
      <c r="C656" s="19"/>
      <c r="D656" s="19"/>
      <c r="E656" s="21"/>
      <c r="F656" s="19"/>
      <c r="G656" s="27" t="str">
        <f aca="false">IF(B656="","",IFERROR(INDEX(Jeux!$C$2:$C$3001,MATCH(B656,Jeux!$A$2:$A$3001,0))&amp;"","⚠ jeu inconnu"))</f>
        <v/>
      </c>
      <c r="H656" s="27" t="str">
        <f aca="false">IF(B656="","",IFERROR(INDEX(Jeux!$D$2:$D$3001,MATCH(B656,Jeux!$A$2:$A$3001,0))&amp;"",""))</f>
        <v/>
      </c>
      <c r="I656" s="26" t="str">
        <f aca="false">IF(A656="","",COUNTIF(Apparitions!$G$2:$G$5001,A656))</f>
        <v/>
      </c>
      <c r="J656" s="26" t="str">
        <f aca="false">IF(A656="","",COUNTIFS(Apparitions!$G$2:$G$5001,A656,Apparitions!$E$2:$E$5001,"○"))</f>
        <v/>
      </c>
      <c r="K656" s="29" t="str">
        <f aca="false">IF(A656="","",IFERROR(1/(1/_xlfn.MINIFS(Apparitions!$L$2:$L$5001,Apparitions!$G$2:$G$5001,A656)),""))</f>
        <v/>
      </c>
      <c r="L656" s="27" t="str">
        <f aca="false">IF(A656="","",A656&amp;" | "&amp;B656&amp;IF(C656="",""," ("&amp;C656&amp;")")&amp;IF(D656="",""," - "&amp;D656))</f>
        <v/>
      </c>
    </row>
    <row r="657" customFormat="false" ht="15" hidden="false" customHeight="false" outlineLevel="0" collapsed="false">
      <c r="A657" s="32"/>
      <c r="B657" s="19"/>
      <c r="C657" s="19"/>
      <c r="D657" s="19"/>
      <c r="E657" s="21"/>
      <c r="F657" s="19"/>
      <c r="G657" s="27" t="str">
        <f aca="false">IF(B657="","",IFERROR(INDEX(Jeux!$C$2:$C$3001,MATCH(B657,Jeux!$A$2:$A$3001,0))&amp;"","⚠ jeu inconnu"))</f>
        <v/>
      </c>
      <c r="H657" s="27" t="str">
        <f aca="false">IF(B657="","",IFERROR(INDEX(Jeux!$D$2:$D$3001,MATCH(B657,Jeux!$A$2:$A$3001,0))&amp;"",""))</f>
        <v/>
      </c>
      <c r="I657" s="26" t="str">
        <f aca="false">IF(A657="","",COUNTIF(Apparitions!$G$2:$G$5001,A657))</f>
        <v/>
      </c>
      <c r="J657" s="26" t="str">
        <f aca="false">IF(A657="","",COUNTIFS(Apparitions!$G$2:$G$5001,A657,Apparitions!$E$2:$E$5001,"○"))</f>
        <v/>
      </c>
      <c r="K657" s="29" t="str">
        <f aca="false">IF(A657="","",IFERROR(1/(1/_xlfn.MINIFS(Apparitions!$L$2:$L$5001,Apparitions!$G$2:$G$5001,A657)),""))</f>
        <v/>
      </c>
      <c r="L657" s="27" t="str">
        <f aca="false">IF(A657="","",A657&amp;" | "&amp;B657&amp;IF(C657="",""," ("&amp;C657&amp;")")&amp;IF(D657="",""," - "&amp;D657))</f>
        <v/>
      </c>
    </row>
    <row r="658" customFormat="false" ht="15" hidden="false" customHeight="false" outlineLevel="0" collapsed="false">
      <c r="A658" s="32"/>
      <c r="B658" s="19"/>
      <c r="C658" s="19"/>
      <c r="D658" s="19"/>
      <c r="E658" s="21"/>
      <c r="F658" s="19"/>
      <c r="G658" s="27" t="str">
        <f aca="false">IF(B658="","",IFERROR(INDEX(Jeux!$C$2:$C$3001,MATCH(B658,Jeux!$A$2:$A$3001,0))&amp;"","⚠ jeu inconnu"))</f>
        <v/>
      </c>
      <c r="H658" s="27" t="str">
        <f aca="false">IF(B658="","",IFERROR(INDEX(Jeux!$D$2:$D$3001,MATCH(B658,Jeux!$A$2:$A$3001,0))&amp;"",""))</f>
        <v/>
      </c>
      <c r="I658" s="26" t="str">
        <f aca="false">IF(A658="","",COUNTIF(Apparitions!$G$2:$G$5001,A658))</f>
        <v/>
      </c>
      <c r="J658" s="26" t="str">
        <f aca="false">IF(A658="","",COUNTIFS(Apparitions!$G$2:$G$5001,A658,Apparitions!$E$2:$E$5001,"○"))</f>
        <v/>
      </c>
      <c r="K658" s="29" t="str">
        <f aca="false">IF(A658="","",IFERROR(1/(1/_xlfn.MINIFS(Apparitions!$L$2:$L$5001,Apparitions!$G$2:$G$5001,A658)),""))</f>
        <v/>
      </c>
      <c r="L658" s="27" t="str">
        <f aca="false">IF(A658="","",A658&amp;" | "&amp;B658&amp;IF(C658="",""," ("&amp;C658&amp;")")&amp;IF(D658="",""," - "&amp;D658))</f>
        <v/>
      </c>
    </row>
    <row r="659" customFormat="false" ht="15" hidden="false" customHeight="false" outlineLevel="0" collapsed="false">
      <c r="A659" s="32"/>
      <c r="B659" s="19"/>
      <c r="C659" s="19"/>
      <c r="D659" s="19"/>
      <c r="E659" s="21"/>
      <c r="F659" s="19"/>
      <c r="G659" s="27" t="str">
        <f aca="false">IF(B659="","",IFERROR(INDEX(Jeux!$C$2:$C$3001,MATCH(B659,Jeux!$A$2:$A$3001,0))&amp;"","⚠ jeu inconnu"))</f>
        <v/>
      </c>
      <c r="H659" s="27" t="str">
        <f aca="false">IF(B659="","",IFERROR(INDEX(Jeux!$D$2:$D$3001,MATCH(B659,Jeux!$A$2:$A$3001,0))&amp;"",""))</f>
        <v/>
      </c>
      <c r="I659" s="26" t="str">
        <f aca="false">IF(A659="","",COUNTIF(Apparitions!$G$2:$G$5001,A659))</f>
        <v/>
      </c>
      <c r="J659" s="26" t="str">
        <f aca="false">IF(A659="","",COUNTIFS(Apparitions!$G$2:$G$5001,A659,Apparitions!$E$2:$E$5001,"○"))</f>
        <v/>
      </c>
      <c r="K659" s="29" t="str">
        <f aca="false">IF(A659="","",IFERROR(1/(1/_xlfn.MINIFS(Apparitions!$L$2:$L$5001,Apparitions!$G$2:$G$5001,A659)),""))</f>
        <v/>
      </c>
      <c r="L659" s="27" t="str">
        <f aca="false">IF(A659="","",A659&amp;" | "&amp;B659&amp;IF(C659="",""," ("&amp;C659&amp;")")&amp;IF(D659="",""," - "&amp;D659))</f>
        <v/>
      </c>
    </row>
    <row r="660" customFormat="false" ht="15" hidden="false" customHeight="false" outlineLevel="0" collapsed="false">
      <c r="A660" s="32"/>
      <c r="B660" s="19"/>
      <c r="C660" s="19"/>
      <c r="D660" s="19"/>
      <c r="E660" s="21"/>
      <c r="F660" s="19"/>
      <c r="G660" s="27" t="str">
        <f aca="false">IF(B660="","",IFERROR(INDEX(Jeux!$C$2:$C$3001,MATCH(B660,Jeux!$A$2:$A$3001,0))&amp;"","⚠ jeu inconnu"))</f>
        <v/>
      </c>
      <c r="H660" s="27" t="str">
        <f aca="false">IF(B660="","",IFERROR(INDEX(Jeux!$D$2:$D$3001,MATCH(B660,Jeux!$A$2:$A$3001,0))&amp;"",""))</f>
        <v/>
      </c>
      <c r="I660" s="26" t="str">
        <f aca="false">IF(A660="","",COUNTIF(Apparitions!$G$2:$G$5001,A660))</f>
        <v/>
      </c>
      <c r="J660" s="26" t="str">
        <f aca="false">IF(A660="","",COUNTIFS(Apparitions!$G$2:$G$5001,A660,Apparitions!$E$2:$E$5001,"○"))</f>
        <v/>
      </c>
      <c r="K660" s="29" t="str">
        <f aca="false">IF(A660="","",IFERROR(1/(1/_xlfn.MINIFS(Apparitions!$L$2:$L$5001,Apparitions!$G$2:$G$5001,A660)),""))</f>
        <v/>
      </c>
      <c r="L660" s="27" t="str">
        <f aca="false">IF(A660="","",A660&amp;" | "&amp;B660&amp;IF(C660="",""," ("&amp;C660&amp;")")&amp;IF(D660="",""," - "&amp;D660))</f>
        <v/>
      </c>
    </row>
    <row r="661" customFormat="false" ht="15" hidden="false" customHeight="false" outlineLevel="0" collapsed="false">
      <c r="A661" s="32"/>
      <c r="B661" s="19"/>
      <c r="C661" s="19"/>
      <c r="D661" s="19"/>
      <c r="E661" s="21"/>
      <c r="F661" s="19"/>
      <c r="G661" s="27" t="str">
        <f aca="false">IF(B661="","",IFERROR(INDEX(Jeux!$C$2:$C$3001,MATCH(B661,Jeux!$A$2:$A$3001,0))&amp;"","⚠ jeu inconnu"))</f>
        <v/>
      </c>
      <c r="H661" s="27" t="str">
        <f aca="false">IF(B661="","",IFERROR(INDEX(Jeux!$D$2:$D$3001,MATCH(B661,Jeux!$A$2:$A$3001,0))&amp;"",""))</f>
        <v/>
      </c>
      <c r="I661" s="26" t="str">
        <f aca="false">IF(A661="","",COUNTIF(Apparitions!$G$2:$G$5001,A661))</f>
        <v/>
      </c>
      <c r="J661" s="26" t="str">
        <f aca="false">IF(A661="","",COUNTIFS(Apparitions!$G$2:$G$5001,A661,Apparitions!$E$2:$E$5001,"○"))</f>
        <v/>
      </c>
      <c r="K661" s="29" t="str">
        <f aca="false">IF(A661="","",IFERROR(1/(1/_xlfn.MINIFS(Apparitions!$L$2:$L$5001,Apparitions!$G$2:$G$5001,A661)),""))</f>
        <v/>
      </c>
      <c r="L661" s="27" t="str">
        <f aca="false">IF(A661="","",A661&amp;" | "&amp;B661&amp;IF(C661="",""," ("&amp;C661&amp;")")&amp;IF(D661="",""," - "&amp;D661))</f>
        <v/>
      </c>
    </row>
    <row r="662" customFormat="false" ht="15" hidden="false" customHeight="false" outlineLevel="0" collapsed="false">
      <c r="A662" s="32"/>
      <c r="B662" s="19"/>
      <c r="C662" s="19"/>
      <c r="D662" s="19"/>
      <c r="E662" s="21"/>
      <c r="F662" s="19"/>
      <c r="G662" s="27" t="str">
        <f aca="false">IF(B662="","",IFERROR(INDEX(Jeux!$C$2:$C$3001,MATCH(B662,Jeux!$A$2:$A$3001,0))&amp;"","⚠ jeu inconnu"))</f>
        <v/>
      </c>
      <c r="H662" s="27" t="str">
        <f aca="false">IF(B662="","",IFERROR(INDEX(Jeux!$D$2:$D$3001,MATCH(B662,Jeux!$A$2:$A$3001,0))&amp;"",""))</f>
        <v/>
      </c>
      <c r="I662" s="26" t="str">
        <f aca="false">IF(A662="","",COUNTIF(Apparitions!$G$2:$G$5001,A662))</f>
        <v/>
      </c>
      <c r="J662" s="26" t="str">
        <f aca="false">IF(A662="","",COUNTIFS(Apparitions!$G$2:$G$5001,A662,Apparitions!$E$2:$E$5001,"○"))</f>
        <v/>
      </c>
      <c r="K662" s="29" t="str">
        <f aca="false">IF(A662="","",IFERROR(1/(1/_xlfn.MINIFS(Apparitions!$L$2:$L$5001,Apparitions!$G$2:$G$5001,A662)),""))</f>
        <v/>
      </c>
      <c r="L662" s="27" t="str">
        <f aca="false">IF(A662="","",A662&amp;" | "&amp;B662&amp;IF(C662="",""," ("&amp;C662&amp;")")&amp;IF(D662="",""," - "&amp;D662))</f>
        <v/>
      </c>
    </row>
    <row r="663" customFormat="false" ht="15" hidden="false" customHeight="false" outlineLevel="0" collapsed="false">
      <c r="A663" s="32"/>
      <c r="B663" s="19"/>
      <c r="C663" s="19"/>
      <c r="D663" s="19"/>
      <c r="E663" s="21"/>
      <c r="F663" s="19"/>
      <c r="G663" s="27" t="str">
        <f aca="false">IF(B663="","",IFERROR(INDEX(Jeux!$C$2:$C$3001,MATCH(B663,Jeux!$A$2:$A$3001,0))&amp;"","⚠ jeu inconnu"))</f>
        <v/>
      </c>
      <c r="H663" s="27" t="str">
        <f aca="false">IF(B663="","",IFERROR(INDEX(Jeux!$D$2:$D$3001,MATCH(B663,Jeux!$A$2:$A$3001,0))&amp;"",""))</f>
        <v/>
      </c>
      <c r="I663" s="26" t="str">
        <f aca="false">IF(A663="","",COUNTIF(Apparitions!$G$2:$G$5001,A663))</f>
        <v/>
      </c>
      <c r="J663" s="26" t="str">
        <f aca="false">IF(A663="","",COUNTIFS(Apparitions!$G$2:$G$5001,A663,Apparitions!$E$2:$E$5001,"○"))</f>
        <v/>
      </c>
      <c r="K663" s="29" t="str">
        <f aca="false">IF(A663="","",IFERROR(1/(1/_xlfn.MINIFS(Apparitions!$L$2:$L$5001,Apparitions!$G$2:$G$5001,A663)),""))</f>
        <v/>
      </c>
      <c r="L663" s="27" t="str">
        <f aca="false">IF(A663="","",A663&amp;" | "&amp;B663&amp;IF(C663="",""," ("&amp;C663&amp;")")&amp;IF(D663="",""," - "&amp;D663))</f>
        <v/>
      </c>
    </row>
    <row r="664" customFormat="false" ht="15" hidden="false" customHeight="false" outlineLevel="0" collapsed="false">
      <c r="A664" s="32"/>
      <c r="B664" s="19"/>
      <c r="C664" s="19"/>
      <c r="D664" s="19"/>
      <c r="E664" s="21"/>
      <c r="F664" s="19"/>
      <c r="G664" s="27" t="str">
        <f aca="false">IF(B664="","",IFERROR(INDEX(Jeux!$C$2:$C$3001,MATCH(B664,Jeux!$A$2:$A$3001,0))&amp;"","⚠ jeu inconnu"))</f>
        <v/>
      </c>
      <c r="H664" s="27" t="str">
        <f aca="false">IF(B664="","",IFERROR(INDEX(Jeux!$D$2:$D$3001,MATCH(B664,Jeux!$A$2:$A$3001,0))&amp;"",""))</f>
        <v/>
      </c>
      <c r="I664" s="26" t="str">
        <f aca="false">IF(A664="","",COUNTIF(Apparitions!$G$2:$G$5001,A664))</f>
        <v/>
      </c>
      <c r="J664" s="26" t="str">
        <f aca="false">IF(A664="","",COUNTIFS(Apparitions!$G$2:$G$5001,A664,Apparitions!$E$2:$E$5001,"○"))</f>
        <v/>
      </c>
      <c r="K664" s="29" t="str">
        <f aca="false">IF(A664="","",IFERROR(1/(1/_xlfn.MINIFS(Apparitions!$L$2:$L$5001,Apparitions!$G$2:$G$5001,A664)),""))</f>
        <v/>
      </c>
      <c r="L664" s="27" t="str">
        <f aca="false">IF(A664="","",A664&amp;" | "&amp;B664&amp;IF(C664="",""," ("&amp;C664&amp;")")&amp;IF(D664="",""," - "&amp;D664))</f>
        <v/>
      </c>
    </row>
    <row r="665" customFormat="false" ht="15" hidden="false" customHeight="false" outlineLevel="0" collapsed="false">
      <c r="A665" s="32"/>
      <c r="B665" s="19"/>
      <c r="C665" s="19"/>
      <c r="D665" s="19"/>
      <c r="E665" s="21"/>
      <c r="F665" s="19"/>
      <c r="G665" s="27" t="str">
        <f aca="false">IF(B665="","",IFERROR(INDEX(Jeux!$C$2:$C$3001,MATCH(B665,Jeux!$A$2:$A$3001,0))&amp;"","⚠ jeu inconnu"))</f>
        <v/>
      </c>
      <c r="H665" s="27" t="str">
        <f aca="false">IF(B665="","",IFERROR(INDEX(Jeux!$D$2:$D$3001,MATCH(B665,Jeux!$A$2:$A$3001,0))&amp;"",""))</f>
        <v/>
      </c>
      <c r="I665" s="26" t="str">
        <f aca="false">IF(A665="","",COUNTIF(Apparitions!$G$2:$G$5001,A665))</f>
        <v/>
      </c>
      <c r="J665" s="26" t="str">
        <f aca="false">IF(A665="","",COUNTIFS(Apparitions!$G$2:$G$5001,A665,Apparitions!$E$2:$E$5001,"○"))</f>
        <v/>
      </c>
      <c r="K665" s="29" t="str">
        <f aca="false">IF(A665="","",IFERROR(1/(1/_xlfn.MINIFS(Apparitions!$L$2:$L$5001,Apparitions!$G$2:$G$5001,A665)),""))</f>
        <v/>
      </c>
      <c r="L665" s="27" t="str">
        <f aca="false">IF(A665="","",A665&amp;" | "&amp;B665&amp;IF(C665="",""," ("&amp;C665&amp;")")&amp;IF(D665="",""," - "&amp;D665))</f>
        <v/>
      </c>
    </row>
    <row r="666" customFormat="false" ht="15" hidden="false" customHeight="false" outlineLevel="0" collapsed="false">
      <c r="A666" s="32"/>
      <c r="B666" s="19"/>
      <c r="C666" s="19"/>
      <c r="D666" s="19"/>
      <c r="E666" s="21"/>
      <c r="F666" s="19"/>
      <c r="G666" s="27" t="str">
        <f aca="false">IF(B666="","",IFERROR(INDEX(Jeux!$C$2:$C$3001,MATCH(B666,Jeux!$A$2:$A$3001,0))&amp;"","⚠ jeu inconnu"))</f>
        <v/>
      </c>
      <c r="H666" s="27" t="str">
        <f aca="false">IF(B666="","",IFERROR(INDEX(Jeux!$D$2:$D$3001,MATCH(B666,Jeux!$A$2:$A$3001,0))&amp;"",""))</f>
        <v/>
      </c>
      <c r="I666" s="26" t="str">
        <f aca="false">IF(A666="","",COUNTIF(Apparitions!$G$2:$G$5001,A666))</f>
        <v/>
      </c>
      <c r="J666" s="26" t="str">
        <f aca="false">IF(A666="","",COUNTIFS(Apparitions!$G$2:$G$5001,A666,Apparitions!$E$2:$E$5001,"○"))</f>
        <v/>
      </c>
      <c r="K666" s="29" t="str">
        <f aca="false">IF(A666="","",IFERROR(1/(1/_xlfn.MINIFS(Apparitions!$L$2:$L$5001,Apparitions!$G$2:$G$5001,A666)),""))</f>
        <v/>
      </c>
      <c r="L666" s="27" t="str">
        <f aca="false">IF(A666="","",A666&amp;" | "&amp;B666&amp;IF(C666="",""," ("&amp;C666&amp;")")&amp;IF(D666="",""," - "&amp;D666))</f>
        <v/>
      </c>
    </row>
    <row r="667" customFormat="false" ht="15" hidden="false" customHeight="false" outlineLevel="0" collapsed="false">
      <c r="A667" s="32"/>
      <c r="B667" s="19"/>
      <c r="C667" s="19"/>
      <c r="D667" s="19"/>
      <c r="E667" s="21"/>
      <c r="F667" s="19"/>
      <c r="G667" s="27" t="str">
        <f aca="false">IF(B667="","",IFERROR(INDEX(Jeux!$C$2:$C$3001,MATCH(B667,Jeux!$A$2:$A$3001,0))&amp;"","⚠ jeu inconnu"))</f>
        <v/>
      </c>
      <c r="H667" s="27" t="str">
        <f aca="false">IF(B667="","",IFERROR(INDEX(Jeux!$D$2:$D$3001,MATCH(B667,Jeux!$A$2:$A$3001,0))&amp;"",""))</f>
        <v/>
      </c>
      <c r="I667" s="26" t="str">
        <f aca="false">IF(A667="","",COUNTIF(Apparitions!$G$2:$G$5001,A667))</f>
        <v/>
      </c>
      <c r="J667" s="26" t="str">
        <f aca="false">IF(A667="","",COUNTIFS(Apparitions!$G$2:$G$5001,A667,Apparitions!$E$2:$E$5001,"○"))</f>
        <v/>
      </c>
      <c r="K667" s="29" t="str">
        <f aca="false">IF(A667="","",IFERROR(1/(1/_xlfn.MINIFS(Apparitions!$L$2:$L$5001,Apparitions!$G$2:$G$5001,A667)),""))</f>
        <v/>
      </c>
      <c r="L667" s="27" t="str">
        <f aca="false">IF(A667="","",A667&amp;" | "&amp;B667&amp;IF(C667="",""," ("&amp;C667&amp;")")&amp;IF(D667="",""," - "&amp;D667))</f>
        <v/>
      </c>
    </row>
    <row r="668" customFormat="false" ht="15" hidden="false" customHeight="false" outlineLevel="0" collapsed="false">
      <c r="A668" s="32"/>
      <c r="B668" s="19"/>
      <c r="C668" s="19"/>
      <c r="D668" s="19"/>
      <c r="E668" s="21"/>
      <c r="F668" s="19"/>
      <c r="G668" s="27" t="str">
        <f aca="false">IF(B668="","",IFERROR(INDEX(Jeux!$C$2:$C$3001,MATCH(B668,Jeux!$A$2:$A$3001,0))&amp;"","⚠ jeu inconnu"))</f>
        <v/>
      </c>
      <c r="H668" s="27" t="str">
        <f aca="false">IF(B668="","",IFERROR(INDEX(Jeux!$D$2:$D$3001,MATCH(B668,Jeux!$A$2:$A$3001,0))&amp;"",""))</f>
        <v/>
      </c>
      <c r="I668" s="26" t="str">
        <f aca="false">IF(A668="","",COUNTIF(Apparitions!$G$2:$G$5001,A668))</f>
        <v/>
      </c>
      <c r="J668" s="26" t="str">
        <f aca="false">IF(A668="","",COUNTIFS(Apparitions!$G$2:$G$5001,A668,Apparitions!$E$2:$E$5001,"○"))</f>
        <v/>
      </c>
      <c r="K668" s="29" t="str">
        <f aca="false">IF(A668="","",IFERROR(1/(1/_xlfn.MINIFS(Apparitions!$L$2:$L$5001,Apparitions!$G$2:$G$5001,A668)),""))</f>
        <v/>
      </c>
      <c r="L668" s="27" t="str">
        <f aca="false">IF(A668="","",A668&amp;" | "&amp;B668&amp;IF(C668="",""," ("&amp;C668&amp;")")&amp;IF(D668="",""," - "&amp;D668))</f>
        <v/>
      </c>
    </row>
    <row r="669" customFormat="false" ht="15" hidden="false" customHeight="false" outlineLevel="0" collapsed="false">
      <c r="A669" s="32"/>
      <c r="B669" s="19"/>
      <c r="C669" s="19"/>
      <c r="D669" s="19"/>
      <c r="E669" s="21"/>
      <c r="F669" s="19"/>
      <c r="G669" s="27" t="str">
        <f aca="false">IF(B669="","",IFERROR(INDEX(Jeux!$C$2:$C$3001,MATCH(B669,Jeux!$A$2:$A$3001,0))&amp;"","⚠ jeu inconnu"))</f>
        <v/>
      </c>
      <c r="H669" s="27" t="str">
        <f aca="false">IF(B669="","",IFERROR(INDEX(Jeux!$D$2:$D$3001,MATCH(B669,Jeux!$A$2:$A$3001,0))&amp;"",""))</f>
        <v/>
      </c>
      <c r="I669" s="26" t="str">
        <f aca="false">IF(A669="","",COUNTIF(Apparitions!$G$2:$G$5001,A669))</f>
        <v/>
      </c>
      <c r="J669" s="26" t="str">
        <f aca="false">IF(A669="","",COUNTIFS(Apparitions!$G$2:$G$5001,A669,Apparitions!$E$2:$E$5001,"○"))</f>
        <v/>
      </c>
      <c r="K669" s="29" t="str">
        <f aca="false">IF(A669="","",IFERROR(1/(1/_xlfn.MINIFS(Apparitions!$L$2:$L$5001,Apparitions!$G$2:$G$5001,A669)),""))</f>
        <v/>
      </c>
      <c r="L669" s="27" t="str">
        <f aca="false">IF(A669="","",A669&amp;" | "&amp;B669&amp;IF(C669="",""," ("&amp;C669&amp;")")&amp;IF(D669="",""," - "&amp;D669))</f>
        <v/>
      </c>
    </row>
    <row r="670" customFormat="false" ht="15" hidden="false" customHeight="false" outlineLevel="0" collapsed="false">
      <c r="A670" s="32"/>
      <c r="B670" s="19"/>
      <c r="C670" s="19"/>
      <c r="D670" s="19"/>
      <c r="E670" s="21"/>
      <c r="F670" s="19"/>
      <c r="G670" s="27" t="str">
        <f aca="false">IF(B670="","",IFERROR(INDEX(Jeux!$C$2:$C$3001,MATCH(B670,Jeux!$A$2:$A$3001,0))&amp;"","⚠ jeu inconnu"))</f>
        <v/>
      </c>
      <c r="H670" s="27" t="str">
        <f aca="false">IF(B670="","",IFERROR(INDEX(Jeux!$D$2:$D$3001,MATCH(B670,Jeux!$A$2:$A$3001,0))&amp;"",""))</f>
        <v/>
      </c>
      <c r="I670" s="26" t="str">
        <f aca="false">IF(A670="","",COUNTIF(Apparitions!$G$2:$G$5001,A670))</f>
        <v/>
      </c>
      <c r="J670" s="26" t="str">
        <f aca="false">IF(A670="","",COUNTIFS(Apparitions!$G$2:$G$5001,A670,Apparitions!$E$2:$E$5001,"○"))</f>
        <v/>
      </c>
      <c r="K670" s="29" t="str">
        <f aca="false">IF(A670="","",IFERROR(1/(1/_xlfn.MINIFS(Apparitions!$L$2:$L$5001,Apparitions!$G$2:$G$5001,A670)),""))</f>
        <v/>
      </c>
      <c r="L670" s="27" t="str">
        <f aca="false">IF(A670="","",A670&amp;" | "&amp;B670&amp;IF(C670="",""," ("&amp;C670&amp;")")&amp;IF(D670="",""," - "&amp;D670))</f>
        <v/>
      </c>
    </row>
    <row r="671" customFormat="false" ht="15" hidden="false" customHeight="false" outlineLevel="0" collapsed="false">
      <c r="A671" s="32"/>
      <c r="B671" s="19"/>
      <c r="C671" s="19"/>
      <c r="D671" s="19"/>
      <c r="E671" s="21"/>
      <c r="F671" s="19"/>
      <c r="G671" s="27" t="str">
        <f aca="false">IF(B671="","",IFERROR(INDEX(Jeux!$C$2:$C$3001,MATCH(B671,Jeux!$A$2:$A$3001,0))&amp;"","⚠ jeu inconnu"))</f>
        <v/>
      </c>
      <c r="H671" s="27" t="str">
        <f aca="false">IF(B671="","",IFERROR(INDEX(Jeux!$D$2:$D$3001,MATCH(B671,Jeux!$A$2:$A$3001,0))&amp;"",""))</f>
        <v/>
      </c>
      <c r="I671" s="26" t="str">
        <f aca="false">IF(A671="","",COUNTIF(Apparitions!$G$2:$G$5001,A671))</f>
        <v/>
      </c>
      <c r="J671" s="26" t="str">
        <f aca="false">IF(A671="","",COUNTIFS(Apparitions!$G$2:$G$5001,A671,Apparitions!$E$2:$E$5001,"○"))</f>
        <v/>
      </c>
      <c r="K671" s="29" t="str">
        <f aca="false">IF(A671="","",IFERROR(1/(1/_xlfn.MINIFS(Apparitions!$L$2:$L$5001,Apparitions!$G$2:$G$5001,A671)),""))</f>
        <v/>
      </c>
      <c r="L671" s="27" t="str">
        <f aca="false">IF(A671="","",A671&amp;" | "&amp;B671&amp;IF(C671="",""," ("&amp;C671&amp;")")&amp;IF(D671="",""," - "&amp;D671))</f>
        <v/>
      </c>
    </row>
    <row r="672" customFormat="false" ht="15" hidden="false" customHeight="false" outlineLevel="0" collapsed="false">
      <c r="A672" s="32"/>
      <c r="B672" s="19"/>
      <c r="C672" s="19"/>
      <c r="D672" s="19"/>
      <c r="E672" s="21"/>
      <c r="F672" s="19"/>
      <c r="G672" s="27" t="str">
        <f aca="false">IF(B672="","",IFERROR(INDEX(Jeux!$C$2:$C$3001,MATCH(B672,Jeux!$A$2:$A$3001,0))&amp;"","⚠ jeu inconnu"))</f>
        <v/>
      </c>
      <c r="H672" s="27" t="str">
        <f aca="false">IF(B672="","",IFERROR(INDEX(Jeux!$D$2:$D$3001,MATCH(B672,Jeux!$A$2:$A$3001,0))&amp;"",""))</f>
        <v/>
      </c>
      <c r="I672" s="26" t="str">
        <f aca="false">IF(A672="","",COUNTIF(Apparitions!$G$2:$G$5001,A672))</f>
        <v/>
      </c>
      <c r="J672" s="26" t="str">
        <f aca="false">IF(A672="","",COUNTIFS(Apparitions!$G$2:$G$5001,A672,Apparitions!$E$2:$E$5001,"○"))</f>
        <v/>
      </c>
      <c r="K672" s="29" t="str">
        <f aca="false">IF(A672="","",IFERROR(1/(1/_xlfn.MINIFS(Apparitions!$L$2:$L$5001,Apparitions!$G$2:$G$5001,A672)),""))</f>
        <v/>
      </c>
      <c r="L672" s="27" t="str">
        <f aca="false">IF(A672="","",A672&amp;" | "&amp;B672&amp;IF(C672="",""," ("&amp;C672&amp;")")&amp;IF(D672="",""," - "&amp;D672))</f>
        <v/>
      </c>
    </row>
    <row r="673" customFormat="false" ht="15" hidden="false" customHeight="false" outlineLevel="0" collapsed="false">
      <c r="A673" s="32"/>
      <c r="B673" s="19"/>
      <c r="C673" s="19"/>
      <c r="D673" s="19"/>
      <c r="E673" s="21"/>
      <c r="F673" s="19"/>
      <c r="G673" s="27" t="str">
        <f aca="false">IF(B673="","",IFERROR(INDEX(Jeux!$C$2:$C$3001,MATCH(B673,Jeux!$A$2:$A$3001,0))&amp;"","⚠ jeu inconnu"))</f>
        <v/>
      </c>
      <c r="H673" s="27" t="str">
        <f aca="false">IF(B673="","",IFERROR(INDEX(Jeux!$D$2:$D$3001,MATCH(B673,Jeux!$A$2:$A$3001,0))&amp;"",""))</f>
        <v/>
      </c>
      <c r="I673" s="26" t="str">
        <f aca="false">IF(A673="","",COUNTIF(Apparitions!$G$2:$G$5001,A673))</f>
        <v/>
      </c>
      <c r="J673" s="26" t="str">
        <f aca="false">IF(A673="","",COUNTIFS(Apparitions!$G$2:$G$5001,A673,Apparitions!$E$2:$E$5001,"○"))</f>
        <v/>
      </c>
      <c r="K673" s="29" t="str">
        <f aca="false">IF(A673="","",IFERROR(1/(1/_xlfn.MINIFS(Apparitions!$L$2:$L$5001,Apparitions!$G$2:$G$5001,A673)),""))</f>
        <v/>
      </c>
      <c r="L673" s="27" t="str">
        <f aca="false">IF(A673="","",A673&amp;" | "&amp;B673&amp;IF(C673="",""," ("&amp;C673&amp;")")&amp;IF(D673="",""," - "&amp;D673))</f>
        <v/>
      </c>
    </row>
    <row r="674" customFormat="false" ht="15" hidden="false" customHeight="false" outlineLevel="0" collapsed="false">
      <c r="A674" s="32"/>
      <c r="B674" s="19"/>
      <c r="C674" s="19"/>
      <c r="D674" s="19"/>
      <c r="E674" s="21"/>
      <c r="F674" s="19"/>
      <c r="G674" s="27" t="str">
        <f aca="false">IF(B674="","",IFERROR(INDEX(Jeux!$C$2:$C$3001,MATCH(B674,Jeux!$A$2:$A$3001,0))&amp;"","⚠ jeu inconnu"))</f>
        <v/>
      </c>
      <c r="H674" s="27" t="str">
        <f aca="false">IF(B674="","",IFERROR(INDEX(Jeux!$D$2:$D$3001,MATCH(B674,Jeux!$A$2:$A$3001,0))&amp;"",""))</f>
        <v/>
      </c>
      <c r="I674" s="26" t="str">
        <f aca="false">IF(A674="","",COUNTIF(Apparitions!$G$2:$G$5001,A674))</f>
        <v/>
      </c>
      <c r="J674" s="26" t="str">
        <f aca="false">IF(A674="","",COUNTIFS(Apparitions!$G$2:$G$5001,A674,Apparitions!$E$2:$E$5001,"○"))</f>
        <v/>
      </c>
      <c r="K674" s="29" t="str">
        <f aca="false">IF(A674="","",IFERROR(1/(1/_xlfn.MINIFS(Apparitions!$L$2:$L$5001,Apparitions!$G$2:$G$5001,A674)),""))</f>
        <v/>
      </c>
      <c r="L674" s="27" t="str">
        <f aca="false">IF(A674="","",A674&amp;" | "&amp;B674&amp;IF(C674="",""," ("&amp;C674&amp;")")&amp;IF(D674="",""," - "&amp;D674))</f>
        <v/>
      </c>
    </row>
    <row r="675" customFormat="false" ht="15" hidden="false" customHeight="false" outlineLevel="0" collapsed="false">
      <c r="A675" s="32"/>
      <c r="B675" s="19"/>
      <c r="C675" s="19"/>
      <c r="D675" s="19"/>
      <c r="E675" s="21"/>
      <c r="F675" s="19"/>
      <c r="G675" s="27" t="str">
        <f aca="false">IF(B675="","",IFERROR(INDEX(Jeux!$C$2:$C$3001,MATCH(B675,Jeux!$A$2:$A$3001,0))&amp;"","⚠ jeu inconnu"))</f>
        <v/>
      </c>
      <c r="H675" s="27" t="str">
        <f aca="false">IF(B675="","",IFERROR(INDEX(Jeux!$D$2:$D$3001,MATCH(B675,Jeux!$A$2:$A$3001,0))&amp;"",""))</f>
        <v/>
      </c>
      <c r="I675" s="26" t="str">
        <f aca="false">IF(A675="","",COUNTIF(Apparitions!$G$2:$G$5001,A675))</f>
        <v/>
      </c>
      <c r="J675" s="26" t="str">
        <f aca="false">IF(A675="","",COUNTIFS(Apparitions!$G$2:$G$5001,A675,Apparitions!$E$2:$E$5001,"○"))</f>
        <v/>
      </c>
      <c r="K675" s="29" t="str">
        <f aca="false">IF(A675="","",IFERROR(1/(1/_xlfn.MINIFS(Apparitions!$L$2:$L$5001,Apparitions!$G$2:$G$5001,A675)),""))</f>
        <v/>
      </c>
      <c r="L675" s="27" t="str">
        <f aca="false">IF(A675="","",A675&amp;" | "&amp;B675&amp;IF(C675="",""," ("&amp;C675&amp;")")&amp;IF(D675="",""," - "&amp;D675))</f>
        <v/>
      </c>
    </row>
    <row r="676" customFormat="false" ht="15" hidden="false" customHeight="false" outlineLevel="0" collapsed="false">
      <c r="A676" s="32"/>
      <c r="B676" s="19"/>
      <c r="C676" s="19"/>
      <c r="D676" s="19"/>
      <c r="E676" s="21"/>
      <c r="F676" s="19"/>
      <c r="G676" s="27" t="str">
        <f aca="false">IF(B676="","",IFERROR(INDEX(Jeux!$C$2:$C$3001,MATCH(B676,Jeux!$A$2:$A$3001,0))&amp;"","⚠ jeu inconnu"))</f>
        <v/>
      </c>
      <c r="H676" s="27" t="str">
        <f aca="false">IF(B676="","",IFERROR(INDEX(Jeux!$D$2:$D$3001,MATCH(B676,Jeux!$A$2:$A$3001,0))&amp;"",""))</f>
        <v/>
      </c>
      <c r="I676" s="26" t="str">
        <f aca="false">IF(A676="","",COUNTIF(Apparitions!$G$2:$G$5001,A676))</f>
        <v/>
      </c>
      <c r="J676" s="26" t="str">
        <f aca="false">IF(A676="","",COUNTIFS(Apparitions!$G$2:$G$5001,A676,Apparitions!$E$2:$E$5001,"○"))</f>
        <v/>
      </c>
      <c r="K676" s="29" t="str">
        <f aca="false">IF(A676="","",IFERROR(1/(1/_xlfn.MINIFS(Apparitions!$L$2:$L$5001,Apparitions!$G$2:$G$5001,A676)),""))</f>
        <v/>
      </c>
      <c r="L676" s="27" t="str">
        <f aca="false">IF(A676="","",A676&amp;" | "&amp;B676&amp;IF(C676="",""," ("&amp;C676&amp;")")&amp;IF(D676="",""," - "&amp;D676))</f>
        <v/>
      </c>
    </row>
    <row r="677" customFormat="false" ht="15" hidden="false" customHeight="false" outlineLevel="0" collapsed="false">
      <c r="A677" s="32"/>
      <c r="B677" s="19"/>
      <c r="C677" s="19"/>
      <c r="D677" s="19"/>
      <c r="E677" s="21"/>
      <c r="F677" s="19"/>
      <c r="G677" s="27" t="str">
        <f aca="false">IF(B677="","",IFERROR(INDEX(Jeux!$C$2:$C$3001,MATCH(B677,Jeux!$A$2:$A$3001,0))&amp;"","⚠ jeu inconnu"))</f>
        <v/>
      </c>
      <c r="H677" s="27" t="str">
        <f aca="false">IF(B677="","",IFERROR(INDEX(Jeux!$D$2:$D$3001,MATCH(B677,Jeux!$A$2:$A$3001,0))&amp;"",""))</f>
        <v/>
      </c>
      <c r="I677" s="26" t="str">
        <f aca="false">IF(A677="","",COUNTIF(Apparitions!$G$2:$G$5001,A677))</f>
        <v/>
      </c>
      <c r="J677" s="26" t="str">
        <f aca="false">IF(A677="","",COUNTIFS(Apparitions!$G$2:$G$5001,A677,Apparitions!$E$2:$E$5001,"○"))</f>
        <v/>
      </c>
      <c r="K677" s="29" t="str">
        <f aca="false">IF(A677="","",IFERROR(1/(1/_xlfn.MINIFS(Apparitions!$L$2:$L$5001,Apparitions!$G$2:$G$5001,A677)),""))</f>
        <v/>
      </c>
      <c r="L677" s="27" t="str">
        <f aca="false">IF(A677="","",A677&amp;" | "&amp;B677&amp;IF(C677="",""," ("&amp;C677&amp;")")&amp;IF(D677="",""," - "&amp;D677))</f>
        <v/>
      </c>
    </row>
    <row r="678" customFormat="false" ht="15" hidden="false" customHeight="false" outlineLevel="0" collapsed="false">
      <c r="A678" s="32"/>
      <c r="B678" s="19"/>
      <c r="C678" s="19"/>
      <c r="D678" s="19"/>
      <c r="E678" s="21"/>
      <c r="F678" s="19"/>
      <c r="G678" s="27" t="str">
        <f aca="false">IF(B678="","",IFERROR(INDEX(Jeux!$C$2:$C$3001,MATCH(B678,Jeux!$A$2:$A$3001,0))&amp;"","⚠ jeu inconnu"))</f>
        <v/>
      </c>
      <c r="H678" s="27" t="str">
        <f aca="false">IF(B678="","",IFERROR(INDEX(Jeux!$D$2:$D$3001,MATCH(B678,Jeux!$A$2:$A$3001,0))&amp;"",""))</f>
        <v/>
      </c>
      <c r="I678" s="26" t="str">
        <f aca="false">IF(A678="","",COUNTIF(Apparitions!$G$2:$G$5001,A678))</f>
        <v/>
      </c>
      <c r="J678" s="26" t="str">
        <f aca="false">IF(A678="","",COUNTIFS(Apparitions!$G$2:$G$5001,A678,Apparitions!$E$2:$E$5001,"○"))</f>
        <v/>
      </c>
      <c r="K678" s="29" t="str">
        <f aca="false">IF(A678="","",IFERROR(1/(1/_xlfn.MINIFS(Apparitions!$L$2:$L$5001,Apparitions!$G$2:$G$5001,A678)),""))</f>
        <v/>
      </c>
      <c r="L678" s="27" t="str">
        <f aca="false">IF(A678="","",A678&amp;" | "&amp;B678&amp;IF(C678="",""," ("&amp;C678&amp;")")&amp;IF(D678="",""," - "&amp;D678))</f>
        <v/>
      </c>
    </row>
    <row r="679" customFormat="false" ht="15" hidden="false" customHeight="false" outlineLevel="0" collapsed="false">
      <c r="A679" s="32"/>
      <c r="B679" s="19"/>
      <c r="C679" s="19"/>
      <c r="D679" s="19"/>
      <c r="E679" s="21"/>
      <c r="F679" s="19"/>
      <c r="G679" s="27" t="str">
        <f aca="false">IF(B679="","",IFERROR(INDEX(Jeux!$C$2:$C$3001,MATCH(B679,Jeux!$A$2:$A$3001,0))&amp;"","⚠ jeu inconnu"))</f>
        <v/>
      </c>
      <c r="H679" s="27" t="str">
        <f aca="false">IF(B679="","",IFERROR(INDEX(Jeux!$D$2:$D$3001,MATCH(B679,Jeux!$A$2:$A$3001,0))&amp;"",""))</f>
        <v/>
      </c>
      <c r="I679" s="26" t="str">
        <f aca="false">IF(A679="","",COUNTIF(Apparitions!$G$2:$G$5001,A679))</f>
        <v/>
      </c>
      <c r="J679" s="26" t="str">
        <f aca="false">IF(A679="","",COUNTIFS(Apparitions!$G$2:$G$5001,A679,Apparitions!$E$2:$E$5001,"○"))</f>
        <v/>
      </c>
      <c r="K679" s="29" t="str">
        <f aca="false">IF(A679="","",IFERROR(1/(1/_xlfn.MINIFS(Apparitions!$L$2:$L$5001,Apparitions!$G$2:$G$5001,A679)),""))</f>
        <v/>
      </c>
      <c r="L679" s="27" t="str">
        <f aca="false">IF(A679="","",A679&amp;" | "&amp;B679&amp;IF(C679="",""," ("&amp;C679&amp;")")&amp;IF(D679="",""," - "&amp;D679))</f>
        <v/>
      </c>
    </row>
    <row r="680" customFormat="false" ht="15" hidden="false" customHeight="false" outlineLevel="0" collapsed="false">
      <c r="A680" s="32"/>
      <c r="B680" s="19"/>
      <c r="C680" s="19"/>
      <c r="D680" s="19"/>
      <c r="E680" s="21"/>
      <c r="F680" s="19"/>
      <c r="G680" s="27" t="str">
        <f aca="false">IF(B680="","",IFERROR(INDEX(Jeux!$C$2:$C$3001,MATCH(B680,Jeux!$A$2:$A$3001,0))&amp;"","⚠ jeu inconnu"))</f>
        <v/>
      </c>
      <c r="H680" s="27" t="str">
        <f aca="false">IF(B680="","",IFERROR(INDEX(Jeux!$D$2:$D$3001,MATCH(B680,Jeux!$A$2:$A$3001,0))&amp;"",""))</f>
        <v/>
      </c>
      <c r="I680" s="26" t="str">
        <f aca="false">IF(A680="","",COUNTIF(Apparitions!$G$2:$G$5001,A680))</f>
        <v/>
      </c>
      <c r="J680" s="26" t="str">
        <f aca="false">IF(A680="","",COUNTIFS(Apparitions!$G$2:$G$5001,A680,Apparitions!$E$2:$E$5001,"○"))</f>
        <v/>
      </c>
      <c r="K680" s="29" t="str">
        <f aca="false">IF(A680="","",IFERROR(1/(1/_xlfn.MINIFS(Apparitions!$L$2:$L$5001,Apparitions!$G$2:$G$5001,A680)),""))</f>
        <v/>
      </c>
      <c r="L680" s="27" t="str">
        <f aca="false">IF(A680="","",A680&amp;" | "&amp;B680&amp;IF(C680="",""," ("&amp;C680&amp;")")&amp;IF(D680="",""," - "&amp;D680))</f>
        <v/>
      </c>
    </row>
    <row r="681" customFormat="false" ht="15" hidden="false" customHeight="false" outlineLevel="0" collapsed="false">
      <c r="A681" s="32"/>
      <c r="B681" s="19"/>
      <c r="C681" s="19"/>
      <c r="D681" s="19"/>
      <c r="E681" s="21"/>
      <c r="F681" s="19"/>
      <c r="G681" s="27" t="str">
        <f aca="false">IF(B681="","",IFERROR(INDEX(Jeux!$C$2:$C$3001,MATCH(B681,Jeux!$A$2:$A$3001,0))&amp;"","⚠ jeu inconnu"))</f>
        <v/>
      </c>
      <c r="H681" s="27" t="str">
        <f aca="false">IF(B681="","",IFERROR(INDEX(Jeux!$D$2:$D$3001,MATCH(B681,Jeux!$A$2:$A$3001,0))&amp;"",""))</f>
        <v/>
      </c>
      <c r="I681" s="26" t="str">
        <f aca="false">IF(A681="","",COUNTIF(Apparitions!$G$2:$G$5001,A681))</f>
        <v/>
      </c>
      <c r="J681" s="26" t="str">
        <f aca="false">IF(A681="","",COUNTIFS(Apparitions!$G$2:$G$5001,A681,Apparitions!$E$2:$E$5001,"○"))</f>
        <v/>
      </c>
      <c r="K681" s="29" t="str">
        <f aca="false">IF(A681="","",IFERROR(1/(1/_xlfn.MINIFS(Apparitions!$L$2:$L$5001,Apparitions!$G$2:$G$5001,A681)),""))</f>
        <v/>
      </c>
      <c r="L681" s="27" t="str">
        <f aca="false">IF(A681="","",A681&amp;" | "&amp;B681&amp;IF(C681="",""," ("&amp;C681&amp;")")&amp;IF(D681="",""," - "&amp;D681))</f>
        <v/>
      </c>
    </row>
    <row r="682" customFormat="false" ht="15" hidden="false" customHeight="false" outlineLevel="0" collapsed="false">
      <c r="A682" s="32"/>
      <c r="B682" s="19"/>
      <c r="C682" s="19"/>
      <c r="D682" s="19"/>
      <c r="E682" s="21"/>
      <c r="F682" s="19"/>
      <c r="G682" s="27" t="str">
        <f aca="false">IF(B682="","",IFERROR(INDEX(Jeux!$C$2:$C$3001,MATCH(B682,Jeux!$A$2:$A$3001,0))&amp;"","⚠ jeu inconnu"))</f>
        <v/>
      </c>
      <c r="H682" s="27" t="str">
        <f aca="false">IF(B682="","",IFERROR(INDEX(Jeux!$D$2:$D$3001,MATCH(B682,Jeux!$A$2:$A$3001,0))&amp;"",""))</f>
        <v/>
      </c>
      <c r="I682" s="26" t="str">
        <f aca="false">IF(A682="","",COUNTIF(Apparitions!$G$2:$G$5001,A682))</f>
        <v/>
      </c>
      <c r="J682" s="26" t="str">
        <f aca="false">IF(A682="","",COUNTIFS(Apparitions!$G$2:$G$5001,A682,Apparitions!$E$2:$E$5001,"○"))</f>
        <v/>
      </c>
      <c r="K682" s="29" t="str">
        <f aca="false">IF(A682="","",IFERROR(1/(1/_xlfn.MINIFS(Apparitions!$L$2:$L$5001,Apparitions!$G$2:$G$5001,A682)),""))</f>
        <v/>
      </c>
      <c r="L682" s="27" t="str">
        <f aca="false">IF(A682="","",A682&amp;" | "&amp;B682&amp;IF(C682="",""," ("&amp;C682&amp;")")&amp;IF(D682="",""," - "&amp;D682))</f>
        <v/>
      </c>
    </row>
    <row r="683" customFormat="false" ht="15" hidden="false" customHeight="false" outlineLevel="0" collapsed="false">
      <c r="A683" s="32"/>
      <c r="B683" s="19"/>
      <c r="C683" s="19"/>
      <c r="D683" s="19"/>
      <c r="E683" s="21"/>
      <c r="F683" s="19"/>
      <c r="G683" s="27" t="str">
        <f aca="false">IF(B683="","",IFERROR(INDEX(Jeux!$C$2:$C$3001,MATCH(B683,Jeux!$A$2:$A$3001,0))&amp;"","⚠ jeu inconnu"))</f>
        <v/>
      </c>
      <c r="H683" s="27" t="str">
        <f aca="false">IF(B683="","",IFERROR(INDEX(Jeux!$D$2:$D$3001,MATCH(B683,Jeux!$A$2:$A$3001,0))&amp;"",""))</f>
        <v/>
      </c>
      <c r="I683" s="26" t="str">
        <f aca="false">IF(A683="","",COUNTIF(Apparitions!$G$2:$G$5001,A683))</f>
        <v/>
      </c>
      <c r="J683" s="26" t="str">
        <f aca="false">IF(A683="","",COUNTIFS(Apparitions!$G$2:$G$5001,A683,Apparitions!$E$2:$E$5001,"○"))</f>
        <v/>
      </c>
      <c r="K683" s="29" t="str">
        <f aca="false">IF(A683="","",IFERROR(1/(1/_xlfn.MINIFS(Apparitions!$L$2:$L$5001,Apparitions!$G$2:$G$5001,A683)),""))</f>
        <v/>
      </c>
      <c r="L683" s="27" t="str">
        <f aca="false">IF(A683="","",A683&amp;" | "&amp;B683&amp;IF(C683="",""," ("&amp;C683&amp;")")&amp;IF(D683="",""," - "&amp;D683))</f>
        <v/>
      </c>
    </row>
    <row r="684" customFormat="false" ht="15" hidden="false" customHeight="false" outlineLevel="0" collapsed="false">
      <c r="A684" s="32"/>
      <c r="B684" s="19"/>
      <c r="C684" s="19"/>
      <c r="D684" s="19"/>
      <c r="E684" s="21"/>
      <c r="F684" s="19"/>
      <c r="G684" s="27" t="str">
        <f aca="false">IF(B684="","",IFERROR(INDEX(Jeux!$C$2:$C$3001,MATCH(B684,Jeux!$A$2:$A$3001,0))&amp;"","⚠ jeu inconnu"))</f>
        <v/>
      </c>
      <c r="H684" s="27" t="str">
        <f aca="false">IF(B684="","",IFERROR(INDEX(Jeux!$D$2:$D$3001,MATCH(B684,Jeux!$A$2:$A$3001,0))&amp;"",""))</f>
        <v/>
      </c>
      <c r="I684" s="26" t="str">
        <f aca="false">IF(A684="","",COUNTIF(Apparitions!$G$2:$G$5001,A684))</f>
        <v/>
      </c>
      <c r="J684" s="26" t="str">
        <f aca="false">IF(A684="","",COUNTIFS(Apparitions!$G$2:$G$5001,A684,Apparitions!$E$2:$E$5001,"○"))</f>
        <v/>
      </c>
      <c r="K684" s="29" t="str">
        <f aca="false">IF(A684="","",IFERROR(1/(1/_xlfn.MINIFS(Apparitions!$L$2:$L$5001,Apparitions!$G$2:$G$5001,A684)),""))</f>
        <v/>
      </c>
      <c r="L684" s="27" t="str">
        <f aca="false">IF(A684="","",A684&amp;" | "&amp;B684&amp;IF(C684="",""," ("&amp;C684&amp;")")&amp;IF(D684="",""," - "&amp;D684))</f>
        <v/>
      </c>
    </row>
    <row r="685" customFormat="false" ht="15" hidden="false" customHeight="false" outlineLevel="0" collapsed="false">
      <c r="A685" s="32"/>
      <c r="B685" s="19"/>
      <c r="C685" s="19"/>
      <c r="D685" s="19"/>
      <c r="E685" s="21"/>
      <c r="F685" s="19"/>
      <c r="G685" s="27" t="str">
        <f aca="false">IF(B685="","",IFERROR(INDEX(Jeux!$C$2:$C$3001,MATCH(B685,Jeux!$A$2:$A$3001,0))&amp;"","⚠ jeu inconnu"))</f>
        <v/>
      </c>
      <c r="H685" s="27" t="str">
        <f aca="false">IF(B685="","",IFERROR(INDEX(Jeux!$D$2:$D$3001,MATCH(B685,Jeux!$A$2:$A$3001,0))&amp;"",""))</f>
        <v/>
      </c>
      <c r="I685" s="26" t="str">
        <f aca="false">IF(A685="","",COUNTIF(Apparitions!$G$2:$G$5001,A685))</f>
        <v/>
      </c>
      <c r="J685" s="26" t="str">
        <f aca="false">IF(A685="","",COUNTIFS(Apparitions!$G$2:$G$5001,A685,Apparitions!$E$2:$E$5001,"○"))</f>
        <v/>
      </c>
      <c r="K685" s="29" t="str">
        <f aca="false">IF(A685="","",IFERROR(1/(1/_xlfn.MINIFS(Apparitions!$L$2:$L$5001,Apparitions!$G$2:$G$5001,A685)),""))</f>
        <v/>
      </c>
      <c r="L685" s="27" t="str">
        <f aca="false">IF(A685="","",A685&amp;" | "&amp;B685&amp;IF(C685="",""," ("&amp;C685&amp;")")&amp;IF(D685="",""," - "&amp;D685))</f>
        <v/>
      </c>
    </row>
    <row r="686" customFormat="false" ht="15" hidden="false" customHeight="false" outlineLevel="0" collapsed="false">
      <c r="A686" s="32"/>
      <c r="B686" s="19"/>
      <c r="C686" s="19"/>
      <c r="D686" s="19"/>
      <c r="E686" s="21"/>
      <c r="F686" s="19"/>
      <c r="G686" s="27" t="str">
        <f aca="false">IF(B686="","",IFERROR(INDEX(Jeux!$C$2:$C$3001,MATCH(B686,Jeux!$A$2:$A$3001,0))&amp;"","⚠ jeu inconnu"))</f>
        <v/>
      </c>
      <c r="H686" s="27" t="str">
        <f aca="false">IF(B686="","",IFERROR(INDEX(Jeux!$D$2:$D$3001,MATCH(B686,Jeux!$A$2:$A$3001,0))&amp;"",""))</f>
        <v/>
      </c>
      <c r="I686" s="26" t="str">
        <f aca="false">IF(A686="","",COUNTIF(Apparitions!$G$2:$G$5001,A686))</f>
        <v/>
      </c>
      <c r="J686" s="26" t="str">
        <f aca="false">IF(A686="","",COUNTIFS(Apparitions!$G$2:$G$5001,A686,Apparitions!$E$2:$E$5001,"○"))</f>
        <v/>
      </c>
      <c r="K686" s="29" t="str">
        <f aca="false">IF(A686="","",IFERROR(1/(1/_xlfn.MINIFS(Apparitions!$L$2:$L$5001,Apparitions!$G$2:$G$5001,A686)),""))</f>
        <v/>
      </c>
      <c r="L686" s="27" t="str">
        <f aca="false">IF(A686="","",A686&amp;" | "&amp;B686&amp;IF(C686="",""," ("&amp;C686&amp;")")&amp;IF(D686="",""," - "&amp;D686))</f>
        <v/>
      </c>
    </row>
    <row r="687" customFormat="false" ht="15" hidden="false" customHeight="false" outlineLevel="0" collapsed="false">
      <c r="A687" s="32"/>
      <c r="B687" s="19"/>
      <c r="C687" s="19"/>
      <c r="D687" s="19"/>
      <c r="E687" s="21"/>
      <c r="F687" s="19"/>
      <c r="G687" s="27" t="str">
        <f aca="false">IF(B687="","",IFERROR(INDEX(Jeux!$C$2:$C$3001,MATCH(B687,Jeux!$A$2:$A$3001,0))&amp;"","⚠ jeu inconnu"))</f>
        <v/>
      </c>
      <c r="H687" s="27" t="str">
        <f aca="false">IF(B687="","",IFERROR(INDEX(Jeux!$D$2:$D$3001,MATCH(B687,Jeux!$A$2:$A$3001,0))&amp;"",""))</f>
        <v/>
      </c>
      <c r="I687" s="26" t="str">
        <f aca="false">IF(A687="","",COUNTIF(Apparitions!$G$2:$G$5001,A687))</f>
        <v/>
      </c>
      <c r="J687" s="26" t="str">
        <f aca="false">IF(A687="","",COUNTIFS(Apparitions!$G$2:$G$5001,A687,Apparitions!$E$2:$E$5001,"○"))</f>
        <v/>
      </c>
      <c r="K687" s="29" t="str">
        <f aca="false">IF(A687="","",IFERROR(1/(1/_xlfn.MINIFS(Apparitions!$L$2:$L$5001,Apparitions!$G$2:$G$5001,A687)),""))</f>
        <v/>
      </c>
      <c r="L687" s="27" t="str">
        <f aca="false">IF(A687="","",A687&amp;" | "&amp;B687&amp;IF(C687="",""," ("&amp;C687&amp;")")&amp;IF(D687="",""," - "&amp;D687))</f>
        <v/>
      </c>
    </row>
    <row r="688" customFormat="false" ht="15" hidden="false" customHeight="false" outlineLevel="0" collapsed="false">
      <c r="A688" s="32"/>
      <c r="B688" s="19"/>
      <c r="C688" s="19"/>
      <c r="D688" s="19"/>
      <c r="E688" s="21"/>
      <c r="F688" s="19"/>
      <c r="G688" s="27" t="str">
        <f aca="false">IF(B688="","",IFERROR(INDEX(Jeux!$C$2:$C$3001,MATCH(B688,Jeux!$A$2:$A$3001,0))&amp;"","⚠ jeu inconnu"))</f>
        <v/>
      </c>
      <c r="H688" s="27" t="str">
        <f aca="false">IF(B688="","",IFERROR(INDEX(Jeux!$D$2:$D$3001,MATCH(B688,Jeux!$A$2:$A$3001,0))&amp;"",""))</f>
        <v/>
      </c>
      <c r="I688" s="26" t="str">
        <f aca="false">IF(A688="","",COUNTIF(Apparitions!$G$2:$G$5001,A688))</f>
        <v/>
      </c>
      <c r="J688" s="26" t="str">
        <f aca="false">IF(A688="","",COUNTIFS(Apparitions!$G$2:$G$5001,A688,Apparitions!$E$2:$E$5001,"○"))</f>
        <v/>
      </c>
      <c r="K688" s="29" t="str">
        <f aca="false">IF(A688="","",IFERROR(1/(1/_xlfn.MINIFS(Apparitions!$L$2:$L$5001,Apparitions!$G$2:$G$5001,A688)),""))</f>
        <v/>
      </c>
      <c r="L688" s="27" t="str">
        <f aca="false">IF(A688="","",A688&amp;" | "&amp;B688&amp;IF(C688="",""," ("&amp;C688&amp;")")&amp;IF(D688="",""," - "&amp;D688))</f>
        <v/>
      </c>
    </row>
    <row r="689" customFormat="false" ht="15" hidden="false" customHeight="false" outlineLevel="0" collapsed="false">
      <c r="A689" s="32"/>
      <c r="B689" s="19"/>
      <c r="C689" s="19"/>
      <c r="D689" s="19"/>
      <c r="E689" s="21"/>
      <c r="F689" s="19"/>
      <c r="G689" s="27" t="str">
        <f aca="false">IF(B689="","",IFERROR(INDEX(Jeux!$C$2:$C$3001,MATCH(B689,Jeux!$A$2:$A$3001,0))&amp;"","⚠ jeu inconnu"))</f>
        <v/>
      </c>
      <c r="H689" s="27" t="str">
        <f aca="false">IF(B689="","",IFERROR(INDEX(Jeux!$D$2:$D$3001,MATCH(B689,Jeux!$A$2:$A$3001,0))&amp;"",""))</f>
        <v/>
      </c>
      <c r="I689" s="26" t="str">
        <f aca="false">IF(A689="","",COUNTIF(Apparitions!$G$2:$G$5001,A689))</f>
        <v/>
      </c>
      <c r="J689" s="26" t="str">
        <f aca="false">IF(A689="","",COUNTIFS(Apparitions!$G$2:$G$5001,A689,Apparitions!$E$2:$E$5001,"○"))</f>
        <v/>
      </c>
      <c r="K689" s="29" t="str">
        <f aca="false">IF(A689="","",IFERROR(1/(1/_xlfn.MINIFS(Apparitions!$L$2:$L$5001,Apparitions!$G$2:$G$5001,A689)),""))</f>
        <v/>
      </c>
      <c r="L689" s="27" t="str">
        <f aca="false">IF(A689="","",A689&amp;" | "&amp;B689&amp;IF(C689="",""," ("&amp;C689&amp;")")&amp;IF(D689="",""," - "&amp;D689))</f>
        <v/>
      </c>
    </row>
    <row r="690" customFormat="false" ht="15" hidden="false" customHeight="false" outlineLevel="0" collapsed="false">
      <c r="A690" s="32"/>
      <c r="B690" s="19"/>
      <c r="C690" s="19"/>
      <c r="D690" s="19"/>
      <c r="E690" s="21"/>
      <c r="F690" s="19"/>
      <c r="G690" s="27" t="str">
        <f aca="false">IF(B690="","",IFERROR(INDEX(Jeux!$C$2:$C$3001,MATCH(B690,Jeux!$A$2:$A$3001,0))&amp;"","⚠ jeu inconnu"))</f>
        <v/>
      </c>
      <c r="H690" s="27" t="str">
        <f aca="false">IF(B690="","",IFERROR(INDEX(Jeux!$D$2:$D$3001,MATCH(B690,Jeux!$A$2:$A$3001,0))&amp;"",""))</f>
        <v/>
      </c>
      <c r="I690" s="26" t="str">
        <f aca="false">IF(A690="","",COUNTIF(Apparitions!$G$2:$G$5001,A690))</f>
        <v/>
      </c>
      <c r="J690" s="26" t="str">
        <f aca="false">IF(A690="","",COUNTIFS(Apparitions!$G$2:$G$5001,A690,Apparitions!$E$2:$E$5001,"○"))</f>
        <v/>
      </c>
      <c r="K690" s="29" t="str">
        <f aca="false">IF(A690="","",IFERROR(1/(1/_xlfn.MINIFS(Apparitions!$L$2:$L$5001,Apparitions!$G$2:$G$5001,A690)),""))</f>
        <v/>
      </c>
      <c r="L690" s="27" t="str">
        <f aca="false">IF(A690="","",A690&amp;" | "&amp;B690&amp;IF(C690="",""," ("&amp;C690&amp;")")&amp;IF(D690="",""," - "&amp;D690))</f>
        <v/>
      </c>
    </row>
    <row r="691" customFormat="false" ht="15" hidden="false" customHeight="false" outlineLevel="0" collapsed="false">
      <c r="A691" s="32"/>
      <c r="B691" s="19"/>
      <c r="C691" s="19"/>
      <c r="D691" s="19"/>
      <c r="E691" s="21"/>
      <c r="F691" s="19"/>
      <c r="G691" s="27" t="str">
        <f aca="false">IF(B691="","",IFERROR(INDEX(Jeux!$C$2:$C$3001,MATCH(B691,Jeux!$A$2:$A$3001,0))&amp;"","⚠ jeu inconnu"))</f>
        <v/>
      </c>
      <c r="H691" s="27" t="str">
        <f aca="false">IF(B691="","",IFERROR(INDEX(Jeux!$D$2:$D$3001,MATCH(B691,Jeux!$A$2:$A$3001,0))&amp;"",""))</f>
        <v/>
      </c>
      <c r="I691" s="26" t="str">
        <f aca="false">IF(A691="","",COUNTIF(Apparitions!$G$2:$G$5001,A691))</f>
        <v/>
      </c>
      <c r="J691" s="26" t="str">
        <f aca="false">IF(A691="","",COUNTIFS(Apparitions!$G$2:$G$5001,A691,Apparitions!$E$2:$E$5001,"○"))</f>
        <v/>
      </c>
      <c r="K691" s="29" t="str">
        <f aca="false">IF(A691="","",IFERROR(1/(1/_xlfn.MINIFS(Apparitions!$L$2:$L$5001,Apparitions!$G$2:$G$5001,A691)),""))</f>
        <v/>
      </c>
      <c r="L691" s="27" t="str">
        <f aca="false">IF(A691="","",A691&amp;" | "&amp;B691&amp;IF(C691="",""," ("&amp;C691&amp;")")&amp;IF(D691="",""," - "&amp;D691))</f>
        <v/>
      </c>
    </row>
    <row r="692" customFormat="false" ht="15" hidden="false" customHeight="false" outlineLevel="0" collapsed="false">
      <c r="A692" s="32"/>
      <c r="B692" s="19"/>
      <c r="C692" s="19"/>
      <c r="D692" s="19"/>
      <c r="E692" s="21"/>
      <c r="F692" s="19"/>
      <c r="G692" s="27" t="str">
        <f aca="false">IF(B692="","",IFERROR(INDEX(Jeux!$C$2:$C$3001,MATCH(B692,Jeux!$A$2:$A$3001,0))&amp;"","⚠ jeu inconnu"))</f>
        <v/>
      </c>
      <c r="H692" s="27" t="str">
        <f aca="false">IF(B692="","",IFERROR(INDEX(Jeux!$D$2:$D$3001,MATCH(B692,Jeux!$A$2:$A$3001,0))&amp;"",""))</f>
        <v/>
      </c>
      <c r="I692" s="26" t="str">
        <f aca="false">IF(A692="","",COUNTIF(Apparitions!$G$2:$G$5001,A692))</f>
        <v/>
      </c>
      <c r="J692" s="26" t="str">
        <f aca="false">IF(A692="","",COUNTIFS(Apparitions!$G$2:$G$5001,A692,Apparitions!$E$2:$E$5001,"○"))</f>
        <v/>
      </c>
      <c r="K692" s="29" t="str">
        <f aca="false">IF(A692="","",IFERROR(1/(1/_xlfn.MINIFS(Apparitions!$L$2:$L$5001,Apparitions!$G$2:$G$5001,A692)),""))</f>
        <v/>
      </c>
      <c r="L692" s="27" t="str">
        <f aca="false">IF(A692="","",A692&amp;" | "&amp;B692&amp;IF(C692="",""," ("&amp;C692&amp;")")&amp;IF(D692="",""," - "&amp;D692))</f>
        <v/>
      </c>
    </row>
    <row r="693" customFormat="false" ht="15" hidden="false" customHeight="false" outlineLevel="0" collapsed="false">
      <c r="A693" s="32"/>
      <c r="B693" s="19"/>
      <c r="C693" s="19"/>
      <c r="D693" s="19"/>
      <c r="E693" s="21"/>
      <c r="F693" s="19"/>
      <c r="G693" s="27" t="str">
        <f aca="false">IF(B693="","",IFERROR(INDEX(Jeux!$C$2:$C$3001,MATCH(B693,Jeux!$A$2:$A$3001,0))&amp;"","⚠ jeu inconnu"))</f>
        <v/>
      </c>
      <c r="H693" s="27" t="str">
        <f aca="false">IF(B693="","",IFERROR(INDEX(Jeux!$D$2:$D$3001,MATCH(B693,Jeux!$A$2:$A$3001,0))&amp;"",""))</f>
        <v/>
      </c>
      <c r="I693" s="26" t="str">
        <f aca="false">IF(A693="","",COUNTIF(Apparitions!$G$2:$G$5001,A693))</f>
        <v/>
      </c>
      <c r="J693" s="26" t="str">
        <f aca="false">IF(A693="","",COUNTIFS(Apparitions!$G$2:$G$5001,A693,Apparitions!$E$2:$E$5001,"○"))</f>
        <v/>
      </c>
      <c r="K693" s="29" t="str">
        <f aca="false">IF(A693="","",IFERROR(1/(1/_xlfn.MINIFS(Apparitions!$L$2:$L$5001,Apparitions!$G$2:$G$5001,A693)),""))</f>
        <v/>
      </c>
      <c r="L693" s="27" t="str">
        <f aca="false">IF(A693="","",A693&amp;" | "&amp;B693&amp;IF(C693="",""," ("&amp;C693&amp;")")&amp;IF(D693="",""," - "&amp;D693))</f>
        <v/>
      </c>
    </row>
    <row r="694" customFormat="false" ht="15" hidden="false" customHeight="false" outlineLevel="0" collapsed="false">
      <c r="A694" s="32"/>
      <c r="B694" s="19"/>
      <c r="C694" s="19"/>
      <c r="D694" s="19"/>
      <c r="E694" s="21"/>
      <c r="F694" s="19"/>
      <c r="G694" s="27" t="str">
        <f aca="false">IF(B694="","",IFERROR(INDEX(Jeux!$C$2:$C$3001,MATCH(B694,Jeux!$A$2:$A$3001,0))&amp;"","⚠ jeu inconnu"))</f>
        <v/>
      </c>
      <c r="H694" s="27" t="str">
        <f aca="false">IF(B694="","",IFERROR(INDEX(Jeux!$D$2:$D$3001,MATCH(B694,Jeux!$A$2:$A$3001,0))&amp;"",""))</f>
        <v/>
      </c>
      <c r="I694" s="26" t="str">
        <f aca="false">IF(A694="","",COUNTIF(Apparitions!$G$2:$G$5001,A694))</f>
        <v/>
      </c>
      <c r="J694" s="26" t="str">
        <f aca="false">IF(A694="","",COUNTIFS(Apparitions!$G$2:$G$5001,A694,Apparitions!$E$2:$E$5001,"○"))</f>
        <v/>
      </c>
      <c r="K694" s="29" t="str">
        <f aca="false">IF(A694="","",IFERROR(1/(1/_xlfn.MINIFS(Apparitions!$L$2:$L$5001,Apparitions!$G$2:$G$5001,A694)),""))</f>
        <v/>
      </c>
      <c r="L694" s="27" t="str">
        <f aca="false">IF(A694="","",A694&amp;" | "&amp;B694&amp;IF(C694="",""," ("&amp;C694&amp;")")&amp;IF(D694="",""," - "&amp;D694))</f>
        <v/>
      </c>
    </row>
    <row r="695" customFormat="false" ht="15" hidden="false" customHeight="false" outlineLevel="0" collapsed="false">
      <c r="A695" s="32"/>
      <c r="B695" s="19"/>
      <c r="C695" s="19"/>
      <c r="D695" s="19"/>
      <c r="E695" s="21"/>
      <c r="F695" s="19"/>
      <c r="G695" s="27" t="str">
        <f aca="false">IF(B695="","",IFERROR(INDEX(Jeux!$C$2:$C$3001,MATCH(B695,Jeux!$A$2:$A$3001,0))&amp;"","⚠ jeu inconnu"))</f>
        <v/>
      </c>
      <c r="H695" s="27" t="str">
        <f aca="false">IF(B695="","",IFERROR(INDEX(Jeux!$D$2:$D$3001,MATCH(B695,Jeux!$A$2:$A$3001,0))&amp;"",""))</f>
        <v/>
      </c>
      <c r="I695" s="26" t="str">
        <f aca="false">IF(A695="","",COUNTIF(Apparitions!$G$2:$G$5001,A695))</f>
        <v/>
      </c>
      <c r="J695" s="26" t="str">
        <f aca="false">IF(A695="","",COUNTIFS(Apparitions!$G$2:$G$5001,A695,Apparitions!$E$2:$E$5001,"○"))</f>
        <v/>
      </c>
      <c r="K695" s="29" t="str">
        <f aca="false">IF(A695="","",IFERROR(1/(1/_xlfn.MINIFS(Apparitions!$L$2:$L$5001,Apparitions!$G$2:$G$5001,A695)),""))</f>
        <v/>
      </c>
      <c r="L695" s="27" t="str">
        <f aca="false">IF(A695="","",A695&amp;" | "&amp;B695&amp;IF(C695="",""," ("&amp;C695&amp;")")&amp;IF(D695="",""," - "&amp;D695))</f>
        <v/>
      </c>
    </row>
    <row r="696" customFormat="false" ht="15" hidden="false" customHeight="false" outlineLevel="0" collapsed="false">
      <c r="A696" s="32"/>
      <c r="B696" s="19"/>
      <c r="C696" s="19"/>
      <c r="D696" s="19"/>
      <c r="E696" s="21"/>
      <c r="F696" s="19"/>
      <c r="G696" s="27" t="str">
        <f aca="false">IF(B696="","",IFERROR(INDEX(Jeux!$C$2:$C$3001,MATCH(B696,Jeux!$A$2:$A$3001,0))&amp;"","⚠ jeu inconnu"))</f>
        <v/>
      </c>
      <c r="H696" s="27" t="str">
        <f aca="false">IF(B696="","",IFERROR(INDEX(Jeux!$D$2:$D$3001,MATCH(B696,Jeux!$A$2:$A$3001,0))&amp;"",""))</f>
        <v/>
      </c>
      <c r="I696" s="26" t="str">
        <f aca="false">IF(A696="","",COUNTIF(Apparitions!$G$2:$G$5001,A696))</f>
        <v/>
      </c>
      <c r="J696" s="26" t="str">
        <f aca="false">IF(A696="","",COUNTIFS(Apparitions!$G$2:$G$5001,A696,Apparitions!$E$2:$E$5001,"○"))</f>
        <v/>
      </c>
      <c r="K696" s="29" t="str">
        <f aca="false">IF(A696="","",IFERROR(1/(1/_xlfn.MINIFS(Apparitions!$L$2:$L$5001,Apparitions!$G$2:$G$5001,A696)),""))</f>
        <v/>
      </c>
      <c r="L696" s="27" t="str">
        <f aca="false">IF(A696="","",A696&amp;" | "&amp;B696&amp;IF(C696="",""," ("&amp;C696&amp;")")&amp;IF(D696="",""," - "&amp;D696))</f>
        <v/>
      </c>
    </row>
    <row r="697" customFormat="false" ht="15" hidden="false" customHeight="false" outlineLevel="0" collapsed="false">
      <c r="A697" s="32"/>
      <c r="B697" s="19"/>
      <c r="C697" s="19"/>
      <c r="D697" s="19"/>
      <c r="E697" s="21"/>
      <c r="F697" s="19"/>
      <c r="G697" s="27" t="str">
        <f aca="false">IF(B697="","",IFERROR(INDEX(Jeux!$C$2:$C$3001,MATCH(B697,Jeux!$A$2:$A$3001,0))&amp;"","⚠ jeu inconnu"))</f>
        <v/>
      </c>
      <c r="H697" s="27" t="str">
        <f aca="false">IF(B697="","",IFERROR(INDEX(Jeux!$D$2:$D$3001,MATCH(B697,Jeux!$A$2:$A$3001,0))&amp;"",""))</f>
        <v/>
      </c>
      <c r="I697" s="26" t="str">
        <f aca="false">IF(A697="","",COUNTIF(Apparitions!$G$2:$G$5001,A697))</f>
        <v/>
      </c>
      <c r="J697" s="26" t="str">
        <f aca="false">IF(A697="","",COUNTIFS(Apparitions!$G$2:$G$5001,A697,Apparitions!$E$2:$E$5001,"○"))</f>
        <v/>
      </c>
      <c r="K697" s="29" t="str">
        <f aca="false">IF(A697="","",IFERROR(1/(1/_xlfn.MINIFS(Apparitions!$L$2:$L$5001,Apparitions!$G$2:$G$5001,A697)),""))</f>
        <v/>
      </c>
      <c r="L697" s="27" t="str">
        <f aca="false">IF(A697="","",A697&amp;" | "&amp;B697&amp;IF(C697="",""," ("&amp;C697&amp;")")&amp;IF(D697="",""," - "&amp;D697))</f>
        <v/>
      </c>
    </row>
    <row r="698" customFormat="false" ht="15" hidden="false" customHeight="false" outlineLevel="0" collapsed="false">
      <c r="A698" s="32"/>
      <c r="B698" s="19"/>
      <c r="C698" s="19"/>
      <c r="D698" s="19"/>
      <c r="E698" s="21"/>
      <c r="F698" s="19"/>
      <c r="G698" s="27" t="str">
        <f aca="false">IF(B698="","",IFERROR(INDEX(Jeux!$C$2:$C$3001,MATCH(B698,Jeux!$A$2:$A$3001,0))&amp;"","⚠ jeu inconnu"))</f>
        <v/>
      </c>
      <c r="H698" s="27" t="str">
        <f aca="false">IF(B698="","",IFERROR(INDEX(Jeux!$D$2:$D$3001,MATCH(B698,Jeux!$A$2:$A$3001,0))&amp;"",""))</f>
        <v/>
      </c>
      <c r="I698" s="26" t="str">
        <f aca="false">IF(A698="","",COUNTIF(Apparitions!$G$2:$G$5001,A698))</f>
        <v/>
      </c>
      <c r="J698" s="26" t="str">
        <f aca="false">IF(A698="","",COUNTIFS(Apparitions!$G$2:$G$5001,A698,Apparitions!$E$2:$E$5001,"○"))</f>
        <v/>
      </c>
      <c r="K698" s="29" t="str">
        <f aca="false">IF(A698="","",IFERROR(1/(1/_xlfn.MINIFS(Apparitions!$L$2:$L$5001,Apparitions!$G$2:$G$5001,A698)),""))</f>
        <v/>
      </c>
      <c r="L698" s="27" t="str">
        <f aca="false">IF(A698="","",A698&amp;" | "&amp;B698&amp;IF(C698="",""," ("&amp;C698&amp;")")&amp;IF(D698="",""," - "&amp;D698))</f>
        <v/>
      </c>
    </row>
    <row r="699" customFormat="false" ht="15" hidden="false" customHeight="false" outlineLevel="0" collapsed="false">
      <c r="A699" s="32"/>
      <c r="B699" s="19"/>
      <c r="C699" s="19"/>
      <c r="D699" s="19"/>
      <c r="E699" s="21"/>
      <c r="F699" s="19"/>
      <c r="G699" s="27" t="str">
        <f aca="false">IF(B699="","",IFERROR(INDEX(Jeux!$C$2:$C$3001,MATCH(B699,Jeux!$A$2:$A$3001,0))&amp;"","⚠ jeu inconnu"))</f>
        <v/>
      </c>
      <c r="H699" s="27" t="str">
        <f aca="false">IF(B699="","",IFERROR(INDEX(Jeux!$D$2:$D$3001,MATCH(B699,Jeux!$A$2:$A$3001,0))&amp;"",""))</f>
        <v/>
      </c>
      <c r="I699" s="26" t="str">
        <f aca="false">IF(A699="","",COUNTIF(Apparitions!$G$2:$G$5001,A699))</f>
        <v/>
      </c>
      <c r="J699" s="26" t="str">
        <f aca="false">IF(A699="","",COUNTIFS(Apparitions!$G$2:$G$5001,A699,Apparitions!$E$2:$E$5001,"○"))</f>
        <v/>
      </c>
      <c r="K699" s="29" t="str">
        <f aca="false">IF(A699="","",IFERROR(1/(1/_xlfn.MINIFS(Apparitions!$L$2:$L$5001,Apparitions!$G$2:$G$5001,A699)),""))</f>
        <v/>
      </c>
      <c r="L699" s="27" t="str">
        <f aca="false">IF(A699="","",A699&amp;" | "&amp;B699&amp;IF(C699="",""," ("&amp;C699&amp;")")&amp;IF(D699="",""," - "&amp;D699))</f>
        <v/>
      </c>
    </row>
    <row r="700" customFormat="false" ht="15" hidden="false" customHeight="false" outlineLevel="0" collapsed="false">
      <c r="A700" s="32"/>
      <c r="B700" s="19"/>
      <c r="C700" s="19"/>
      <c r="D700" s="19"/>
      <c r="E700" s="21"/>
      <c r="F700" s="19"/>
      <c r="G700" s="27" t="str">
        <f aca="false">IF(B700="","",IFERROR(INDEX(Jeux!$C$2:$C$3001,MATCH(B700,Jeux!$A$2:$A$3001,0))&amp;"","⚠ jeu inconnu"))</f>
        <v/>
      </c>
      <c r="H700" s="27" t="str">
        <f aca="false">IF(B700="","",IFERROR(INDEX(Jeux!$D$2:$D$3001,MATCH(B700,Jeux!$A$2:$A$3001,0))&amp;"",""))</f>
        <v/>
      </c>
      <c r="I700" s="26" t="str">
        <f aca="false">IF(A700="","",COUNTIF(Apparitions!$G$2:$G$5001,A700))</f>
        <v/>
      </c>
      <c r="J700" s="26" t="str">
        <f aca="false">IF(A700="","",COUNTIFS(Apparitions!$G$2:$G$5001,A700,Apparitions!$E$2:$E$5001,"○"))</f>
        <v/>
      </c>
      <c r="K700" s="29" t="str">
        <f aca="false">IF(A700="","",IFERROR(1/(1/_xlfn.MINIFS(Apparitions!$L$2:$L$5001,Apparitions!$G$2:$G$5001,A700)),""))</f>
        <v/>
      </c>
      <c r="L700" s="27" t="str">
        <f aca="false">IF(A700="","",A700&amp;" | "&amp;B700&amp;IF(C700="",""," ("&amp;C700&amp;")")&amp;IF(D700="",""," - "&amp;D700))</f>
        <v/>
      </c>
    </row>
    <row r="701" customFormat="false" ht="15" hidden="false" customHeight="false" outlineLevel="0" collapsed="false">
      <c r="A701" s="32"/>
      <c r="B701" s="19"/>
      <c r="C701" s="19"/>
      <c r="D701" s="19"/>
      <c r="E701" s="21"/>
      <c r="F701" s="19"/>
      <c r="G701" s="27" t="str">
        <f aca="false">IF(B701="","",IFERROR(INDEX(Jeux!$C$2:$C$3001,MATCH(B701,Jeux!$A$2:$A$3001,0))&amp;"","⚠ jeu inconnu"))</f>
        <v/>
      </c>
      <c r="H701" s="27" t="str">
        <f aca="false">IF(B701="","",IFERROR(INDEX(Jeux!$D$2:$D$3001,MATCH(B701,Jeux!$A$2:$A$3001,0))&amp;"",""))</f>
        <v/>
      </c>
      <c r="I701" s="26" t="str">
        <f aca="false">IF(A701="","",COUNTIF(Apparitions!$G$2:$G$5001,A701))</f>
        <v/>
      </c>
      <c r="J701" s="26" t="str">
        <f aca="false">IF(A701="","",COUNTIFS(Apparitions!$G$2:$G$5001,A701,Apparitions!$E$2:$E$5001,"○"))</f>
        <v/>
      </c>
      <c r="K701" s="29" t="str">
        <f aca="false">IF(A701="","",IFERROR(1/(1/_xlfn.MINIFS(Apparitions!$L$2:$L$5001,Apparitions!$G$2:$G$5001,A701)),""))</f>
        <v/>
      </c>
      <c r="L701" s="27" t="str">
        <f aca="false">IF(A701="","",A701&amp;" | "&amp;B701&amp;IF(C701="",""," ("&amp;C701&amp;")")&amp;IF(D701="",""," - "&amp;D701))</f>
        <v/>
      </c>
    </row>
    <row r="702" customFormat="false" ht="15" hidden="false" customHeight="false" outlineLevel="0" collapsed="false">
      <c r="A702" s="32"/>
      <c r="B702" s="19"/>
      <c r="C702" s="19"/>
      <c r="D702" s="19"/>
      <c r="E702" s="21"/>
      <c r="F702" s="19"/>
      <c r="G702" s="27" t="str">
        <f aca="false">IF(B702="","",IFERROR(INDEX(Jeux!$C$2:$C$3001,MATCH(B702,Jeux!$A$2:$A$3001,0))&amp;"","⚠ jeu inconnu"))</f>
        <v/>
      </c>
      <c r="H702" s="27" t="str">
        <f aca="false">IF(B702="","",IFERROR(INDEX(Jeux!$D$2:$D$3001,MATCH(B702,Jeux!$A$2:$A$3001,0))&amp;"",""))</f>
        <v/>
      </c>
      <c r="I702" s="26" t="str">
        <f aca="false">IF(A702="","",COUNTIF(Apparitions!$G$2:$G$5001,A702))</f>
        <v/>
      </c>
      <c r="J702" s="26" t="str">
        <f aca="false">IF(A702="","",COUNTIFS(Apparitions!$G$2:$G$5001,A702,Apparitions!$E$2:$E$5001,"○"))</f>
        <v/>
      </c>
      <c r="K702" s="29" t="str">
        <f aca="false">IF(A702="","",IFERROR(1/(1/_xlfn.MINIFS(Apparitions!$L$2:$L$5001,Apparitions!$G$2:$G$5001,A702)),""))</f>
        <v/>
      </c>
      <c r="L702" s="27" t="str">
        <f aca="false">IF(A702="","",A702&amp;" | "&amp;B702&amp;IF(C702="",""," ("&amp;C702&amp;")")&amp;IF(D702="",""," - "&amp;D702))</f>
        <v/>
      </c>
    </row>
    <row r="703" customFormat="false" ht="15" hidden="false" customHeight="false" outlineLevel="0" collapsed="false">
      <c r="A703" s="32"/>
      <c r="B703" s="19"/>
      <c r="C703" s="19"/>
      <c r="D703" s="19"/>
      <c r="E703" s="21"/>
      <c r="F703" s="19"/>
      <c r="G703" s="27" t="str">
        <f aca="false">IF(B703="","",IFERROR(INDEX(Jeux!$C$2:$C$3001,MATCH(B703,Jeux!$A$2:$A$3001,0))&amp;"","⚠ jeu inconnu"))</f>
        <v/>
      </c>
      <c r="H703" s="27" t="str">
        <f aca="false">IF(B703="","",IFERROR(INDEX(Jeux!$D$2:$D$3001,MATCH(B703,Jeux!$A$2:$A$3001,0))&amp;"",""))</f>
        <v/>
      </c>
      <c r="I703" s="26" t="str">
        <f aca="false">IF(A703="","",COUNTIF(Apparitions!$G$2:$G$5001,A703))</f>
        <v/>
      </c>
      <c r="J703" s="26" t="str">
        <f aca="false">IF(A703="","",COUNTIFS(Apparitions!$G$2:$G$5001,A703,Apparitions!$E$2:$E$5001,"○"))</f>
        <v/>
      </c>
      <c r="K703" s="29" t="str">
        <f aca="false">IF(A703="","",IFERROR(1/(1/_xlfn.MINIFS(Apparitions!$L$2:$L$5001,Apparitions!$G$2:$G$5001,A703)),""))</f>
        <v/>
      </c>
      <c r="L703" s="27" t="str">
        <f aca="false">IF(A703="","",A703&amp;" | "&amp;B703&amp;IF(C703="",""," ("&amp;C703&amp;")")&amp;IF(D703="",""," - "&amp;D703))</f>
        <v/>
      </c>
    </row>
    <row r="704" customFormat="false" ht="15" hidden="false" customHeight="false" outlineLevel="0" collapsed="false">
      <c r="A704" s="32"/>
      <c r="B704" s="19"/>
      <c r="C704" s="19"/>
      <c r="D704" s="19"/>
      <c r="E704" s="21"/>
      <c r="F704" s="19"/>
      <c r="G704" s="27" t="str">
        <f aca="false">IF(B704="","",IFERROR(INDEX(Jeux!$C$2:$C$3001,MATCH(B704,Jeux!$A$2:$A$3001,0))&amp;"","⚠ jeu inconnu"))</f>
        <v/>
      </c>
      <c r="H704" s="27" t="str">
        <f aca="false">IF(B704="","",IFERROR(INDEX(Jeux!$D$2:$D$3001,MATCH(B704,Jeux!$A$2:$A$3001,0))&amp;"",""))</f>
        <v/>
      </c>
      <c r="I704" s="26" t="str">
        <f aca="false">IF(A704="","",COUNTIF(Apparitions!$G$2:$G$5001,A704))</f>
        <v/>
      </c>
      <c r="J704" s="26" t="str">
        <f aca="false">IF(A704="","",COUNTIFS(Apparitions!$G$2:$G$5001,A704,Apparitions!$E$2:$E$5001,"○"))</f>
        <v/>
      </c>
      <c r="K704" s="29" t="str">
        <f aca="false">IF(A704="","",IFERROR(1/(1/_xlfn.MINIFS(Apparitions!$L$2:$L$5001,Apparitions!$G$2:$G$5001,A704)),""))</f>
        <v/>
      </c>
      <c r="L704" s="27" t="str">
        <f aca="false">IF(A704="","",A704&amp;" | "&amp;B704&amp;IF(C704="",""," ("&amp;C704&amp;")")&amp;IF(D704="",""," - "&amp;D704))</f>
        <v/>
      </c>
    </row>
    <row r="705" customFormat="false" ht="15" hidden="false" customHeight="false" outlineLevel="0" collapsed="false">
      <c r="A705" s="32"/>
      <c r="B705" s="19"/>
      <c r="C705" s="19"/>
      <c r="D705" s="19"/>
      <c r="E705" s="21"/>
      <c r="F705" s="19"/>
      <c r="G705" s="27" t="str">
        <f aca="false">IF(B705="","",IFERROR(INDEX(Jeux!$C$2:$C$3001,MATCH(B705,Jeux!$A$2:$A$3001,0))&amp;"","⚠ jeu inconnu"))</f>
        <v/>
      </c>
      <c r="H705" s="27" t="str">
        <f aca="false">IF(B705="","",IFERROR(INDEX(Jeux!$D$2:$D$3001,MATCH(B705,Jeux!$A$2:$A$3001,0))&amp;"",""))</f>
        <v/>
      </c>
      <c r="I705" s="26" t="str">
        <f aca="false">IF(A705="","",COUNTIF(Apparitions!$G$2:$G$5001,A705))</f>
        <v/>
      </c>
      <c r="J705" s="26" t="str">
        <f aca="false">IF(A705="","",COUNTIFS(Apparitions!$G$2:$G$5001,A705,Apparitions!$E$2:$E$5001,"○"))</f>
        <v/>
      </c>
      <c r="K705" s="29" t="str">
        <f aca="false">IF(A705="","",IFERROR(1/(1/_xlfn.MINIFS(Apparitions!$L$2:$L$5001,Apparitions!$G$2:$G$5001,A705)),""))</f>
        <v/>
      </c>
      <c r="L705" s="27" t="str">
        <f aca="false">IF(A705="","",A705&amp;" | "&amp;B705&amp;IF(C705="",""," ("&amp;C705&amp;")")&amp;IF(D705="",""," - "&amp;D705))</f>
        <v/>
      </c>
    </row>
    <row r="706" customFormat="false" ht="15" hidden="false" customHeight="false" outlineLevel="0" collapsed="false">
      <c r="A706" s="32"/>
      <c r="B706" s="19"/>
      <c r="C706" s="19"/>
      <c r="D706" s="19"/>
      <c r="E706" s="21"/>
      <c r="F706" s="19"/>
      <c r="G706" s="27" t="str">
        <f aca="false">IF(B706="","",IFERROR(INDEX(Jeux!$C$2:$C$3001,MATCH(B706,Jeux!$A$2:$A$3001,0))&amp;"","⚠ jeu inconnu"))</f>
        <v/>
      </c>
      <c r="H706" s="27" t="str">
        <f aca="false">IF(B706="","",IFERROR(INDEX(Jeux!$D$2:$D$3001,MATCH(B706,Jeux!$A$2:$A$3001,0))&amp;"",""))</f>
        <v/>
      </c>
      <c r="I706" s="26" t="str">
        <f aca="false">IF(A706="","",COUNTIF(Apparitions!$G$2:$G$5001,A706))</f>
        <v/>
      </c>
      <c r="J706" s="26" t="str">
        <f aca="false">IF(A706="","",COUNTIFS(Apparitions!$G$2:$G$5001,A706,Apparitions!$E$2:$E$5001,"○"))</f>
        <v/>
      </c>
      <c r="K706" s="29" t="str">
        <f aca="false">IF(A706="","",IFERROR(1/(1/_xlfn.MINIFS(Apparitions!$L$2:$L$5001,Apparitions!$G$2:$G$5001,A706)),""))</f>
        <v/>
      </c>
      <c r="L706" s="27" t="str">
        <f aca="false">IF(A706="","",A706&amp;" | "&amp;B706&amp;IF(C706="",""," ("&amp;C706&amp;")")&amp;IF(D706="",""," - "&amp;D706))</f>
        <v/>
      </c>
    </row>
    <row r="707" customFormat="false" ht="15" hidden="false" customHeight="false" outlineLevel="0" collapsed="false">
      <c r="A707" s="32"/>
      <c r="B707" s="19"/>
      <c r="C707" s="19"/>
      <c r="D707" s="19"/>
      <c r="E707" s="21"/>
      <c r="F707" s="19"/>
      <c r="G707" s="27" t="str">
        <f aca="false">IF(B707="","",IFERROR(INDEX(Jeux!$C$2:$C$3001,MATCH(B707,Jeux!$A$2:$A$3001,0))&amp;"","⚠ jeu inconnu"))</f>
        <v/>
      </c>
      <c r="H707" s="27" t="str">
        <f aca="false">IF(B707="","",IFERROR(INDEX(Jeux!$D$2:$D$3001,MATCH(B707,Jeux!$A$2:$A$3001,0))&amp;"",""))</f>
        <v/>
      </c>
      <c r="I707" s="26" t="str">
        <f aca="false">IF(A707="","",COUNTIF(Apparitions!$G$2:$G$5001,A707))</f>
        <v/>
      </c>
      <c r="J707" s="26" t="str">
        <f aca="false">IF(A707="","",COUNTIFS(Apparitions!$G$2:$G$5001,A707,Apparitions!$E$2:$E$5001,"○"))</f>
        <v/>
      </c>
      <c r="K707" s="29" t="str">
        <f aca="false">IF(A707="","",IFERROR(1/(1/_xlfn.MINIFS(Apparitions!$L$2:$L$5001,Apparitions!$G$2:$G$5001,A707)),""))</f>
        <v/>
      </c>
      <c r="L707" s="27" t="str">
        <f aca="false">IF(A707="","",A707&amp;" | "&amp;B707&amp;IF(C707="",""," ("&amp;C707&amp;")")&amp;IF(D707="",""," - "&amp;D707))</f>
        <v/>
      </c>
    </row>
    <row r="708" customFormat="false" ht="15" hidden="false" customHeight="false" outlineLevel="0" collapsed="false">
      <c r="A708" s="32"/>
      <c r="B708" s="19"/>
      <c r="C708" s="19"/>
      <c r="D708" s="19"/>
      <c r="E708" s="21"/>
      <c r="F708" s="19"/>
      <c r="G708" s="27" t="str">
        <f aca="false">IF(B708="","",IFERROR(INDEX(Jeux!$C$2:$C$3001,MATCH(B708,Jeux!$A$2:$A$3001,0))&amp;"","⚠ jeu inconnu"))</f>
        <v/>
      </c>
      <c r="H708" s="27" t="str">
        <f aca="false">IF(B708="","",IFERROR(INDEX(Jeux!$D$2:$D$3001,MATCH(B708,Jeux!$A$2:$A$3001,0))&amp;"",""))</f>
        <v/>
      </c>
      <c r="I708" s="26" t="str">
        <f aca="false">IF(A708="","",COUNTIF(Apparitions!$G$2:$G$5001,A708))</f>
        <v/>
      </c>
      <c r="J708" s="26" t="str">
        <f aca="false">IF(A708="","",COUNTIFS(Apparitions!$G$2:$G$5001,A708,Apparitions!$E$2:$E$5001,"○"))</f>
        <v/>
      </c>
      <c r="K708" s="29" t="str">
        <f aca="false">IF(A708="","",IFERROR(1/(1/_xlfn.MINIFS(Apparitions!$L$2:$L$5001,Apparitions!$G$2:$G$5001,A708)),""))</f>
        <v/>
      </c>
      <c r="L708" s="27" t="str">
        <f aca="false">IF(A708="","",A708&amp;" | "&amp;B708&amp;IF(C708="",""," ("&amp;C708&amp;")")&amp;IF(D708="",""," - "&amp;D708))</f>
        <v/>
      </c>
    </row>
    <row r="709" customFormat="false" ht="15" hidden="false" customHeight="false" outlineLevel="0" collapsed="false">
      <c r="A709" s="32"/>
      <c r="B709" s="19"/>
      <c r="C709" s="19"/>
      <c r="D709" s="19"/>
      <c r="E709" s="21"/>
      <c r="F709" s="19"/>
      <c r="G709" s="27" t="str">
        <f aca="false">IF(B709="","",IFERROR(INDEX(Jeux!$C$2:$C$3001,MATCH(B709,Jeux!$A$2:$A$3001,0))&amp;"","⚠ jeu inconnu"))</f>
        <v/>
      </c>
      <c r="H709" s="27" t="str">
        <f aca="false">IF(B709="","",IFERROR(INDEX(Jeux!$D$2:$D$3001,MATCH(B709,Jeux!$A$2:$A$3001,0))&amp;"",""))</f>
        <v/>
      </c>
      <c r="I709" s="26" t="str">
        <f aca="false">IF(A709="","",COUNTIF(Apparitions!$G$2:$G$5001,A709))</f>
        <v/>
      </c>
      <c r="J709" s="26" t="str">
        <f aca="false">IF(A709="","",COUNTIFS(Apparitions!$G$2:$G$5001,A709,Apparitions!$E$2:$E$5001,"○"))</f>
        <v/>
      </c>
      <c r="K709" s="29" t="str">
        <f aca="false">IF(A709="","",IFERROR(1/(1/_xlfn.MINIFS(Apparitions!$L$2:$L$5001,Apparitions!$G$2:$G$5001,A709)),""))</f>
        <v/>
      </c>
      <c r="L709" s="27" t="str">
        <f aca="false">IF(A709="","",A709&amp;" | "&amp;B709&amp;IF(C709="",""," ("&amp;C709&amp;")")&amp;IF(D709="",""," - "&amp;D709))</f>
        <v/>
      </c>
    </row>
    <row r="710" customFormat="false" ht="15" hidden="false" customHeight="false" outlineLevel="0" collapsed="false">
      <c r="A710" s="32"/>
      <c r="B710" s="19"/>
      <c r="C710" s="19"/>
      <c r="D710" s="19"/>
      <c r="E710" s="21"/>
      <c r="F710" s="19"/>
      <c r="G710" s="27" t="str">
        <f aca="false">IF(B710="","",IFERROR(INDEX(Jeux!$C$2:$C$3001,MATCH(B710,Jeux!$A$2:$A$3001,0))&amp;"","⚠ jeu inconnu"))</f>
        <v/>
      </c>
      <c r="H710" s="27" t="str">
        <f aca="false">IF(B710="","",IFERROR(INDEX(Jeux!$D$2:$D$3001,MATCH(B710,Jeux!$A$2:$A$3001,0))&amp;"",""))</f>
        <v/>
      </c>
      <c r="I710" s="26" t="str">
        <f aca="false">IF(A710="","",COUNTIF(Apparitions!$G$2:$G$5001,A710))</f>
        <v/>
      </c>
      <c r="J710" s="26" t="str">
        <f aca="false">IF(A710="","",COUNTIFS(Apparitions!$G$2:$G$5001,A710,Apparitions!$E$2:$E$5001,"○"))</f>
        <v/>
      </c>
      <c r="K710" s="29" t="str">
        <f aca="false">IF(A710="","",IFERROR(1/(1/_xlfn.MINIFS(Apparitions!$L$2:$L$5001,Apparitions!$G$2:$G$5001,A710)),""))</f>
        <v/>
      </c>
      <c r="L710" s="27" t="str">
        <f aca="false">IF(A710="","",A710&amp;" | "&amp;B710&amp;IF(C710="",""," ("&amp;C710&amp;")")&amp;IF(D710="",""," - "&amp;D710))</f>
        <v/>
      </c>
    </row>
    <row r="711" customFormat="false" ht="15" hidden="false" customHeight="false" outlineLevel="0" collapsed="false">
      <c r="A711" s="32"/>
      <c r="B711" s="19"/>
      <c r="C711" s="19"/>
      <c r="D711" s="19"/>
      <c r="E711" s="21"/>
      <c r="F711" s="19"/>
      <c r="G711" s="27" t="str">
        <f aca="false">IF(B711="","",IFERROR(INDEX(Jeux!$C$2:$C$3001,MATCH(B711,Jeux!$A$2:$A$3001,0))&amp;"","⚠ jeu inconnu"))</f>
        <v/>
      </c>
      <c r="H711" s="27" t="str">
        <f aca="false">IF(B711="","",IFERROR(INDEX(Jeux!$D$2:$D$3001,MATCH(B711,Jeux!$A$2:$A$3001,0))&amp;"",""))</f>
        <v/>
      </c>
      <c r="I711" s="26" t="str">
        <f aca="false">IF(A711="","",COUNTIF(Apparitions!$G$2:$G$5001,A711))</f>
        <v/>
      </c>
      <c r="J711" s="26" t="str">
        <f aca="false">IF(A711="","",COUNTIFS(Apparitions!$G$2:$G$5001,A711,Apparitions!$E$2:$E$5001,"○"))</f>
        <v/>
      </c>
      <c r="K711" s="29" t="str">
        <f aca="false">IF(A711="","",IFERROR(1/(1/_xlfn.MINIFS(Apparitions!$L$2:$L$5001,Apparitions!$G$2:$G$5001,A711)),""))</f>
        <v/>
      </c>
      <c r="L711" s="27" t="str">
        <f aca="false">IF(A711="","",A711&amp;" | "&amp;B711&amp;IF(C711="",""," ("&amp;C711&amp;")")&amp;IF(D711="",""," - "&amp;D711))</f>
        <v/>
      </c>
    </row>
    <row r="712" customFormat="false" ht="15" hidden="false" customHeight="false" outlineLevel="0" collapsed="false">
      <c r="A712" s="32"/>
      <c r="B712" s="19"/>
      <c r="C712" s="19"/>
      <c r="D712" s="19"/>
      <c r="E712" s="21"/>
      <c r="F712" s="19"/>
      <c r="G712" s="27" t="str">
        <f aca="false">IF(B712="","",IFERROR(INDEX(Jeux!$C$2:$C$3001,MATCH(B712,Jeux!$A$2:$A$3001,0))&amp;"","⚠ jeu inconnu"))</f>
        <v/>
      </c>
      <c r="H712" s="27" t="str">
        <f aca="false">IF(B712="","",IFERROR(INDEX(Jeux!$D$2:$D$3001,MATCH(B712,Jeux!$A$2:$A$3001,0))&amp;"",""))</f>
        <v/>
      </c>
      <c r="I712" s="26" t="str">
        <f aca="false">IF(A712="","",COUNTIF(Apparitions!$G$2:$G$5001,A712))</f>
        <v/>
      </c>
      <c r="J712" s="26" t="str">
        <f aca="false">IF(A712="","",COUNTIFS(Apparitions!$G$2:$G$5001,A712,Apparitions!$E$2:$E$5001,"○"))</f>
        <v/>
      </c>
      <c r="K712" s="29" t="str">
        <f aca="false">IF(A712="","",IFERROR(1/(1/_xlfn.MINIFS(Apparitions!$L$2:$L$5001,Apparitions!$G$2:$G$5001,A712)),""))</f>
        <v/>
      </c>
      <c r="L712" s="27" t="str">
        <f aca="false">IF(A712="","",A712&amp;" | "&amp;B712&amp;IF(C712="",""," ("&amp;C712&amp;")")&amp;IF(D712="",""," - "&amp;D712))</f>
        <v/>
      </c>
    </row>
    <row r="713" customFormat="false" ht="15" hidden="false" customHeight="false" outlineLevel="0" collapsed="false">
      <c r="A713" s="32"/>
      <c r="B713" s="19"/>
      <c r="C713" s="19"/>
      <c r="D713" s="19"/>
      <c r="E713" s="21"/>
      <c r="F713" s="19"/>
      <c r="G713" s="27" t="str">
        <f aca="false">IF(B713="","",IFERROR(INDEX(Jeux!$C$2:$C$3001,MATCH(B713,Jeux!$A$2:$A$3001,0))&amp;"","⚠ jeu inconnu"))</f>
        <v/>
      </c>
      <c r="H713" s="27" t="str">
        <f aca="false">IF(B713="","",IFERROR(INDEX(Jeux!$D$2:$D$3001,MATCH(B713,Jeux!$A$2:$A$3001,0))&amp;"",""))</f>
        <v/>
      </c>
      <c r="I713" s="26" t="str">
        <f aca="false">IF(A713="","",COUNTIF(Apparitions!$G$2:$G$5001,A713))</f>
        <v/>
      </c>
      <c r="J713" s="26" t="str">
        <f aca="false">IF(A713="","",COUNTIFS(Apparitions!$G$2:$G$5001,A713,Apparitions!$E$2:$E$5001,"○"))</f>
        <v/>
      </c>
      <c r="K713" s="29" t="str">
        <f aca="false">IF(A713="","",IFERROR(1/(1/_xlfn.MINIFS(Apparitions!$L$2:$L$5001,Apparitions!$G$2:$G$5001,A713)),""))</f>
        <v/>
      </c>
      <c r="L713" s="27" t="str">
        <f aca="false">IF(A713="","",A713&amp;" | "&amp;B713&amp;IF(C713="",""," ("&amp;C713&amp;")")&amp;IF(D713="",""," - "&amp;D713))</f>
        <v/>
      </c>
    </row>
    <row r="714" customFormat="false" ht="15" hidden="false" customHeight="false" outlineLevel="0" collapsed="false">
      <c r="A714" s="32"/>
      <c r="B714" s="19"/>
      <c r="C714" s="19"/>
      <c r="D714" s="19"/>
      <c r="E714" s="21"/>
      <c r="F714" s="19"/>
      <c r="G714" s="27" t="str">
        <f aca="false">IF(B714="","",IFERROR(INDEX(Jeux!$C$2:$C$3001,MATCH(B714,Jeux!$A$2:$A$3001,0))&amp;"","⚠ jeu inconnu"))</f>
        <v/>
      </c>
      <c r="H714" s="27" t="str">
        <f aca="false">IF(B714="","",IFERROR(INDEX(Jeux!$D$2:$D$3001,MATCH(B714,Jeux!$A$2:$A$3001,0))&amp;"",""))</f>
        <v/>
      </c>
      <c r="I714" s="26" t="str">
        <f aca="false">IF(A714="","",COUNTIF(Apparitions!$G$2:$G$5001,A714))</f>
        <v/>
      </c>
      <c r="J714" s="26" t="str">
        <f aca="false">IF(A714="","",COUNTIFS(Apparitions!$G$2:$G$5001,A714,Apparitions!$E$2:$E$5001,"○"))</f>
        <v/>
      </c>
      <c r="K714" s="29" t="str">
        <f aca="false">IF(A714="","",IFERROR(1/(1/_xlfn.MINIFS(Apparitions!$L$2:$L$5001,Apparitions!$G$2:$G$5001,A714)),""))</f>
        <v/>
      </c>
      <c r="L714" s="27" t="str">
        <f aca="false">IF(A714="","",A714&amp;" | "&amp;B714&amp;IF(C714="",""," ("&amp;C714&amp;")")&amp;IF(D714="",""," - "&amp;D714))</f>
        <v/>
      </c>
    </row>
    <row r="715" customFormat="false" ht="15" hidden="false" customHeight="false" outlineLevel="0" collapsed="false">
      <c r="A715" s="32"/>
      <c r="B715" s="19"/>
      <c r="C715" s="19"/>
      <c r="D715" s="19"/>
      <c r="E715" s="21"/>
      <c r="F715" s="19"/>
      <c r="G715" s="27" t="str">
        <f aca="false">IF(B715="","",IFERROR(INDEX(Jeux!$C$2:$C$3001,MATCH(B715,Jeux!$A$2:$A$3001,0))&amp;"","⚠ jeu inconnu"))</f>
        <v/>
      </c>
      <c r="H715" s="27" t="str">
        <f aca="false">IF(B715="","",IFERROR(INDEX(Jeux!$D$2:$D$3001,MATCH(B715,Jeux!$A$2:$A$3001,0))&amp;"",""))</f>
        <v/>
      </c>
      <c r="I715" s="26" t="str">
        <f aca="false">IF(A715="","",COUNTIF(Apparitions!$G$2:$G$5001,A715))</f>
        <v/>
      </c>
      <c r="J715" s="26" t="str">
        <f aca="false">IF(A715="","",COUNTIFS(Apparitions!$G$2:$G$5001,A715,Apparitions!$E$2:$E$5001,"○"))</f>
        <v/>
      </c>
      <c r="K715" s="29" t="str">
        <f aca="false">IF(A715="","",IFERROR(1/(1/_xlfn.MINIFS(Apparitions!$L$2:$L$5001,Apparitions!$G$2:$G$5001,A715)),""))</f>
        <v/>
      </c>
      <c r="L715" s="27" t="str">
        <f aca="false">IF(A715="","",A715&amp;" | "&amp;B715&amp;IF(C715="",""," ("&amp;C715&amp;")")&amp;IF(D715="",""," - "&amp;D715))</f>
        <v/>
      </c>
    </row>
    <row r="716" customFormat="false" ht="15" hidden="false" customHeight="false" outlineLevel="0" collapsed="false">
      <c r="A716" s="32"/>
      <c r="B716" s="19"/>
      <c r="C716" s="19"/>
      <c r="D716" s="19"/>
      <c r="E716" s="21"/>
      <c r="F716" s="19"/>
      <c r="G716" s="27" t="str">
        <f aca="false">IF(B716="","",IFERROR(INDEX(Jeux!$C$2:$C$3001,MATCH(B716,Jeux!$A$2:$A$3001,0))&amp;"","⚠ jeu inconnu"))</f>
        <v/>
      </c>
      <c r="H716" s="27" t="str">
        <f aca="false">IF(B716="","",IFERROR(INDEX(Jeux!$D$2:$D$3001,MATCH(B716,Jeux!$A$2:$A$3001,0))&amp;"",""))</f>
        <v/>
      </c>
      <c r="I716" s="26" t="str">
        <f aca="false">IF(A716="","",COUNTIF(Apparitions!$G$2:$G$5001,A716))</f>
        <v/>
      </c>
      <c r="J716" s="26" t="str">
        <f aca="false">IF(A716="","",COUNTIFS(Apparitions!$G$2:$G$5001,A716,Apparitions!$E$2:$E$5001,"○"))</f>
        <v/>
      </c>
      <c r="K716" s="29" t="str">
        <f aca="false">IF(A716="","",IFERROR(1/(1/_xlfn.MINIFS(Apparitions!$L$2:$L$5001,Apparitions!$G$2:$G$5001,A716)),""))</f>
        <v/>
      </c>
      <c r="L716" s="27" t="str">
        <f aca="false">IF(A716="","",A716&amp;" | "&amp;B716&amp;IF(C716="",""," ("&amp;C716&amp;")")&amp;IF(D716="",""," - "&amp;D716))</f>
        <v/>
      </c>
    </row>
    <row r="717" customFormat="false" ht="15" hidden="false" customHeight="false" outlineLevel="0" collapsed="false">
      <c r="A717" s="32"/>
      <c r="B717" s="19"/>
      <c r="C717" s="19"/>
      <c r="D717" s="19"/>
      <c r="E717" s="21"/>
      <c r="F717" s="19"/>
      <c r="G717" s="27" t="str">
        <f aca="false">IF(B717="","",IFERROR(INDEX(Jeux!$C$2:$C$3001,MATCH(B717,Jeux!$A$2:$A$3001,0))&amp;"","⚠ jeu inconnu"))</f>
        <v/>
      </c>
      <c r="H717" s="27" t="str">
        <f aca="false">IF(B717="","",IFERROR(INDEX(Jeux!$D$2:$D$3001,MATCH(B717,Jeux!$A$2:$A$3001,0))&amp;"",""))</f>
        <v/>
      </c>
      <c r="I717" s="26" t="str">
        <f aca="false">IF(A717="","",COUNTIF(Apparitions!$G$2:$G$5001,A717))</f>
        <v/>
      </c>
      <c r="J717" s="26" t="str">
        <f aca="false">IF(A717="","",COUNTIFS(Apparitions!$G$2:$G$5001,A717,Apparitions!$E$2:$E$5001,"○"))</f>
        <v/>
      </c>
      <c r="K717" s="29" t="str">
        <f aca="false">IF(A717="","",IFERROR(1/(1/_xlfn.MINIFS(Apparitions!$L$2:$L$5001,Apparitions!$G$2:$G$5001,A717)),""))</f>
        <v/>
      </c>
      <c r="L717" s="27" t="str">
        <f aca="false">IF(A717="","",A717&amp;" | "&amp;B717&amp;IF(C717="",""," ("&amp;C717&amp;")")&amp;IF(D717="",""," - "&amp;D717))</f>
        <v/>
      </c>
    </row>
    <row r="718" customFormat="false" ht="15" hidden="false" customHeight="false" outlineLevel="0" collapsed="false">
      <c r="A718" s="32"/>
      <c r="B718" s="19"/>
      <c r="C718" s="19"/>
      <c r="D718" s="19"/>
      <c r="E718" s="21"/>
      <c r="F718" s="19"/>
      <c r="G718" s="27" t="str">
        <f aca="false">IF(B718="","",IFERROR(INDEX(Jeux!$C$2:$C$3001,MATCH(B718,Jeux!$A$2:$A$3001,0))&amp;"","⚠ jeu inconnu"))</f>
        <v/>
      </c>
      <c r="H718" s="27" t="str">
        <f aca="false">IF(B718="","",IFERROR(INDEX(Jeux!$D$2:$D$3001,MATCH(B718,Jeux!$A$2:$A$3001,0))&amp;"",""))</f>
        <v/>
      </c>
      <c r="I718" s="26" t="str">
        <f aca="false">IF(A718="","",COUNTIF(Apparitions!$G$2:$G$5001,A718))</f>
        <v/>
      </c>
      <c r="J718" s="26" t="str">
        <f aca="false">IF(A718="","",COUNTIFS(Apparitions!$G$2:$G$5001,A718,Apparitions!$E$2:$E$5001,"○"))</f>
        <v/>
      </c>
      <c r="K718" s="29" t="str">
        <f aca="false">IF(A718="","",IFERROR(1/(1/_xlfn.MINIFS(Apparitions!$L$2:$L$5001,Apparitions!$G$2:$G$5001,A718)),""))</f>
        <v/>
      </c>
      <c r="L718" s="27" t="str">
        <f aca="false">IF(A718="","",A718&amp;" | "&amp;B718&amp;IF(C718="",""," ("&amp;C718&amp;")")&amp;IF(D718="",""," - "&amp;D718))</f>
        <v/>
      </c>
    </row>
    <row r="719" customFormat="false" ht="15" hidden="false" customHeight="false" outlineLevel="0" collapsed="false">
      <c r="A719" s="32"/>
      <c r="B719" s="19"/>
      <c r="C719" s="19"/>
      <c r="D719" s="19"/>
      <c r="E719" s="21"/>
      <c r="F719" s="19"/>
      <c r="G719" s="27" t="str">
        <f aca="false">IF(B719="","",IFERROR(INDEX(Jeux!$C$2:$C$3001,MATCH(B719,Jeux!$A$2:$A$3001,0))&amp;"","⚠ jeu inconnu"))</f>
        <v/>
      </c>
      <c r="H719" s="27" t="str">
        <f aca="false">IF(B719="","",IFERROR(INDEX(Jeux!$D$2:$D$3001,MATCH(B719,Jeux!$A$2:$A$3001,0))&amp;"",""))</f>
        <v/>
      </c>
      <c r="I719" s="26" t="str">
        <f aca="false">IF(A719="","",COUNTIF(Apparitions!$G$2:$G$5001,A719))</f>
        <v/>
      </c>
      <c r="J719" s="26" t="str">
        <f aca="false">IF(A719="","",COUNTIFS(Apparitions!$G$2:$G$5001,A719,Apparitions!$E$2:$E$5001,"○"))</f>
        <v/>
      </c>
      <c r="K719" s="29" t="str">
        <f aca="false">IF(A719="","",IFERROR(1/(1/_xlfn.MINIFS(Apparitions!$L$2:$L$5001,Apparitions!$G$2:$G$5001,A719)),""))</f>
        <v/>
      </c>
      <c r="L719" s="27" t="str">
        <f aca="false">IF(A719="","",A719&amp;" | "&amp;B719&amp;IF(C719="",""," ("&amp;C719&amp;")")&amp;IF(D719="",""," - "&amp;D719))</f>
        <v/>
      </c>
    </row>
    <row r="720" customFormat="false" ht="15" hidden="false" customHeight="false" outlineLevel="0" collapsed="false">
      <c r="A720" s="32"/>
      <c r="B720" s="19"/>
      <c r="C720" s="19"/>
      <c r="D720" s="19"/>
      <c r="E720" s="21"/>
      <c r="F720" s="19"/>
      <c r="G720" s="27" t="str">
        <f aca="false">IF(B720="","",IFERROR(INDEX(Jeux!$C$2:$C$3001,MATCH(B720,Jeux!$A$2:$A$3001,0))&amp;"","⚠ jeu inconnu"))</f>
        <v/>
      </c>
      <c r="H720" s="27" t="str">
        <f aca="false">IF(B720="","",IFERROR(INDEX(Jeux!$D$2:$D$3001,MATCH(B720,Jeux!$A$2:$A$3001,0))&amp;"",""))</f>
        <v/>
      </c>
      <c r="I720" s="26" t="str">
        <f aca="false">IF(A720="","",COUNTIF(Apparitions!$G$2:$G$5001,A720))</f>
        <v/>
      </c>
      <c r="J720" s="26" t="str">
        <f aca="false">IF(A720="","",COUNTIFS(Apparitions!$G$2:$G$5001,A720,Apparitions!$E$2:$E$5001,"○"))</f>
        <v/>
      </c>
      <c r="K720" s="29" t="str">
        <f aca="false">IF(A720="","",IFERROR(1/(1/_xlfn.MINIFS(Apparitions!$L$2:$L$5001,Apparitions!$G$2:$G$5001,A720)),""))</f>
        <v/>
      </c>
      <c r="L720" s="27" t="str">
        <f aca="false">IF(A720="","",A720&amp;" | "&amp;B720&amp;IF(C720="",""," ("&amp;C720&amp;")")&amp;IF(D720="",""," - "&amp;D720))</f>
        <v/>
      </c>
    </row>
    <row r="721" customFormat="false" ht="15" hidden="false" customHeight="false" outlineLevel="0" collapsed="false">
      <c r="A721" s="32"/>
      <c r="B721" s="19"/>
      <c r="C721" s="19"/>
      <c r="D721" s="19"/>
      <c r="E721" s="21"/>
      <c r="F721" s="19"/>
      <c r="G721" s="27" t="str">
        <f aca="false">IF(B721="","",IFERROR(INDEX(Jeux!$C$2:$C$3001,MATCH(B721,Jeux!$A$2:$A$3001,0))&amp;"","⚠ jeu inconnu"))</f>
        <v/>
      </c>
      <c r="H721" s="27" t="str">
        <f aca="false">IF(B721="","",IFERROR(INDEX(Jeux!$D$2:$D$3001,MATCH(B721,Jeux!$A$2:$A$3001,0))&amp;"",""))</f>
        <v/>
      </c>
      <c r="I721" s="26" t="str">
        <f aca="false">IF(A721="","",COUNTIF(Apparitions!$G$2:$G$5001,A721))</f>
        <v/>
      </c>
      <c r="J721" s="26" t="str">
        <f aca="false">IF(A721="","",COUNTIFS(Apparitions!$G$2:$G$5001,A721,Apparitions!$E$2:$E$5001,"○"))</f>
        <v/>
      </c>
      <c r="K721" s="29" t="str">
        <f aca="false">IF(A721="","",IFERROR(1/(1/_xlfn.MINIFS(Apparitions!$L$2:$L$5001,Apparitions!$G$2:$G$5001,A721)),""))</f>
        <v/>
      </c>
      <c r="L721" s="27" t="str">
        <f aca="false">IF(A721="","",A721&amp;" | "&amp;B721&amp;IF(C721="",""," ("&amp;C721&amp;")")&amp;IF(D721="",""," - "&amp;D721))</f>
        <v/>
      </c>
    </row>
    <row r="722" customFormat="false" ht="15" hidden="false" customHeight="false" outlineLevel="0" collapsed="false">
      <c r="A722" s="32"/>
      <c r="B722" s="19"/>
      <c r="C722" s="19"/>
      <c r="D722" s="19"/>
      <c r="E722" s="21"/>
      <c r="F722" s="19"/>
      <c r="G722" s="27" t="str">
        <f aca="false">IF(B722="","",IFERROR(INDEX(Jeux!$C$2:$C$3001,MATCH(B722,Jeux!$A$2:$A$3001,0))&amp;"","⚠ jeu inconnu"))</f>
        <v/>
      </c>
      <c r="H722" s="27" t="str">
        <f aca="false">IF(B722="","",IFERROR(INDEX(Jeux!$D$2:$D$3001,MATCH(B722,Jeux!$A$2:$A$3001,0))&amp;"",""))</f>
        <v/>
      </c>
      <c r="I722" s="26" t="str">
        <f aca="false">IF(A722="","",COUNTIF(Apparitions!$G$2:$G$5001,A722))</f>
        <v/>
      </c>
      <c r="J722" s="26" t="str">
        <f aca="false">IF(A722="","",COUNTIFS(Apparitions!$G$2:$G$5001,A722,Apparitions!$E$2:$E$5001,"○"))</f>
        <v/>
      </c>
      <c r="K722" s="29" t="str">
        <f aca="false">IF(A722="","",IFERROR(1/(1/_xlfn.MINIFS(Apparitions!$L$2:$L$5001,Apparitions!$G$2:$G$5001,A722)),""))</f>
        <v/>
      </c>
      <c r="L722" s="27" t="str">
        <f aca="false">IF(A722="","",A722&amp;" | "&amp;B722&amp;IF(C722="",""," ("&amp;C722&amp;")")&amp;IF(D722="",""," - "&amp;D722))</f>
        <v/>
      </c>
    </row>
    <row r="723" customFormat="false" ht="15" hidden="false" customHeight="false" outlineLevel="0" collapsed="false">
      <c r="A723" s="32"/>
      <c r="B723" s="19"/>
      <c r="C723" s="19"/>
      <c r="D723" s="19"/>
      <c r="E723" s="21"/>
      <c r="F723" s="19"/>
      <c r="G723" s="27" t="str">
        <f aca="false">IF(B723="","",IFERROR(INDEX(Jeux!$C$2:$C$3001,MATCH(B723,Jeux!$A$2:$A$3001,0))&amp;"","⚠ jeu inconnu"))</f>
        <v/>
      </c>
      <c r="H723" s="27" t="str">
        <f aca="false">IF(B723="","",IFERROR(INDEX(Jeux!$D$2:$D$3001,MATCH(B723,Jeux!$A$2:$A$3001,0))&amp;"",""))</f>
        <v/>
      </c>
      <c r="I723" s="26" t="str">
        <f aca="false">IF(A723="","",COUNTIF(Apparitions!$G$2:$G$5001,A723))</f>
        <v/>
      </c>
      <c r="J723" s="26" t="str">
        <f aca="false">IF(A723="","",COUNTIFS(Apparitions!$G$2:$G$5001,A723,Apparitions!$E$2:$E$5001,"○"))</f>
        <v/>
      </c>
      <c r="K723" s="29" t="str">
        <f aca="false">IF(A723="","",IFERROR(1/(1/_xlfn.MINIFS(Apparitions!$L$2:$L$5001,Apparitions!$G$2:$G$5001,A723)),""))</f>
        <v/>
      </c>
      <c r="L723" s="27" t="str">
        <f aca="false">IF(A723="","",A723&amp;" | "&amp;B723&amp;IF(C723="",""," ("&amp;C723&amp;")")&amp;IF(D723="",""," - "&amp;D723))</f>
        <v/>
      </c>
    </row>
    <row r="724" customFormat="false" ht="15" hidden="false" customHeight="false" outlineLevel="0" collapsed="false">
      <c r="A724" s="32"/>
      <c r="B724" s="19"/>
      <c r="C724" s="19"/>
      <c r="D724" s="19"/>
      <c r="E724" s="21"/>
      <c r="F724" s="19"/>
      <c r="G724" s="27" t="str">
        <f aca="false">IF(B724="","",IFERROR(INDEX(Jeux!$C$2:$C$3001,MATCH(B724,Jeux!$A$2:$A$3001,0))&amp;"","⚠ jeu inconnu"))</f>
        <v/>
      </c>
      <c r="H724" s="27" t="str">
        <f aca="false">IF(B724="","",IFERROR(INDEX(Jeux!$D$2:$D$3001,MATCH(B724,Jeux!$A$2:$A$3001,0))&amp;"",""))</f>
        <v/>
      </c>
      <c r="I724" s="26" t="str">
        <f aca="false">IF(A724="","",COUNTIF(Apparitions!$G$2:$G$5001,A724))</f>
        <v/>
      </c>
      <c r="J724" s="26" t="str">
        <f aca="false">IF(A724="","",COUNTIFS(Apparitions!$G$2:$G$5001,A724,Apparitions!$E$2:$E$5001,"○"))</f>
        <v/>
      </c>
      <c r="K724" s="29" t="str">
        <f aca="false">IF(A724="","",IFERROR(1/(1/_xlfn.MINIFS(Apparitions!$L$2:$L$5001,Apparitions!$G$2:$G$5001,A724)),""))</f>
        <v/>
      </c>
      <c r="L724" s="27" t="str">
        <f aca="false">IF(A724="","",A724&amp;" | "&amp;B724&amp;IF(C724="",""," ("&amp;C724&amp;")")&amp;IF(D724="",""," - "&amp;D724))</f>
        <v/>
      </c>
    </row>
    <row r="725" customFormat="false" ht="15" hidden="false" customHeight="false" outlineLevel="0" collapsed="false">
      <c r="A725" s="32"/>
      <c r="B725" s="19"/>
      <c r="C725" s="19"/>
      <c r="D725" s="19"/>
      <c r="E725" s="21"/>
      <c r="F725" s="19"/>
      <c r="G725" s="27" t="str">
        <f aca="false">IF(B725="","",IFERROR(INDEX(Jeux!$C$2:$C$3001,MATCH(B725,Jeux!$A$2:$A$3001,0))&amp;"","⚠ jeu inconnu"))</f>
        <v/>
      </c>
      <c r="H725" s="27" t="str">
        <f aca="false">IF(B725="","",IFERROR(INDEX(Jeux!$D$2:$D$3001,MATCH(B725,Jeux!$A$2:$A$3001,0))&amp;"",""))</f>
        <v/>
      </c>
      <c r="I725" s="26" t="str">
        <f aca="false">IF(A725="","",COUNTIF(Apparitions!$G$2:$G$5001,A725))</f>
        <v/>
      </c>
      <c r="J725" s="26" t="str">
        <f aca="false">IF(A725="","",COUNTIFS(Apparitions!$G$2:$G$5001,A725,Apparitions!$E$2:$E$5001,"○"))</f>
        <v/>
      </c>
      <c r="K725" s="29" t="str">
        <f aca="false">IF(A725="","",IFERROR(1/(1/_xlfn.MINIFS(Apparitions!$L$2:$L$5001,Apparitions!$G$2:$G$5001,A725)),""))</f>
        <v/>
      </c>
      <c r="L725" s="27" t="str">
        <f aca="false">IF(A725="","",A725&amp;" | "&amp;B725&amp;IF(C725="",""," ("&amp;C725&amp;")")&amp;IF(D725="",""," - "&amp;D725))</f>
        <v/>
      </c>
    </row>
    <row r="726" customFormat="false" ht="15" hidden="false" customHeight="false" outlineLevel="0" collapsed="false">
      <c r="A726" s="32"/>
      <c r="B726" s="19"/>
      <c r="C726" s="19"/>
      <c r="D726" s="19"/>
      <c r="E726" s="21"/>
      <c r="F726" s="19"/>
      <c r="G726" s="27" t="str">
        <f aca="false">IF(B726="","",IFERROR(INDEX(Jeux!$C$2:$C$3001,MATCH(B726,Jeux!$A$2:$A$3001,0))&amp;"","⚠ jeu inconnu"))</f>
        <v/>
      </c>
      <c r="H726" s="27" t="str">
        <f aca="false">IF(B726="","",IFERROR(INDEX(Jeux!$D$2:$D$3001,MATCH(B726,Jeux!$A$2:$A$3001,0))&amp;"",""))</f>
        <v/>
      </c>
      <c r="I726" s="26" t="str">
        <f aca="false">IF(A726="","",COUNTIF(Apparitions!$G$2:$G$5001,A726))</f>
        <v/>
      </c>
      <c r="J726" s="26" t="str">
        <f aca="false">IF(A726="","",COUNTIFS(Apparitions!$G$2:$G$5001,A726,Apparitions!$E$2:$E$5001,"○"))</f>
        <v/>
      </c>
      <c r="K726" s="29" t="str">
        <f aca="false">IF(A726="","",IFERROR(1/(1/_xlfn.MINIFS(Apparitions!$L$2:$L$5001,Apparitions!$G$2:$G$5001,A726)),""))</f>
        <v/>
      </c>
      <c r="L726" s="27" t="str">
        <f aca="false">IF(A726="","",A726&amp;" | "&amp;B726&amp;IF(C726="",""," ("&amp;C726&amp;")")&amp;IF(D726="",""," - "&amp;D726))</f>
        <v/>
      </c>
    </row>
    <row r="727" customFormat="false" ht="15" hidden="false" customHeight="false" outlineLevel="0" collapsed="false">
      <c r="A727" s="32"/>
      <c r="B727" s="19"/>
      <c r="C727" s="19"/>
      <c r="D727" s="19"/>
      <c r="E727" s="21"/>
      <c r="F727" s="19"/>
      <c r="G727" s="27" t="str">
        <f aca="false">IF(B727="","",IFERROR(INDEX(Jeux!$C$2:$C$3001,MATCH(B727,Jeux!$A$2:$A$3001,0))&amp;"","⚠ jeu inconnu"))</f>
        <v/>
      </c>
      <c r="H727" s="27" t="str">
        <f aca="false">IF(B727="","",IFERROR(INDEX(Jeux!$D$2:$D$3001,MATCH(B727,Jeux!$A$2:$A$3001,0))&amp;"",""))</f>
        <v/>
      </c>
      <c r="I727" s="26" t="str">
        <f aca="false">IF(A727="","",COUNTIF(Apparitions!$G$2:$G$5001,A727))</f>
        <v/>
      </c>
      <c r="J727" s="26" t="str">
        <f aca="false">IF(A727="","",COUNTIFS(Apparitions!$G$2:$G$5001,A727,Apparitions!$E$2:$E$5001,"○"))</f>
        <v/>
      </c>
      <c r="K727" s="29" t="str">
        <f aca="false">IF(A727="","",IFERROR(1/(1/_xlfn.MINIFS(Apparitions!$L$2:$L$5001,Apparitions!$G$2:$G$5001,A727)),""))</f>
        <v/>
      </c>
      <c r="L727" s="27" t="str">
        <f aca="false">IF(A727="","",A727&amp;" | "&amp;B727&amp;IF(C727="",""," ("&amp;C727&amp;")")&amp;IF(D727="",""," - "&amp;D727))</f>
        <v/>
      </c>
    </row>
    <row r="728" customFormat="false" ht="15" hidden="false" customHeight="false" outlineLevel="0" collapsed="false">
      <c r="A728" s="32"/>
      <c r="B728" s="19"/>
      <c r="C728" s="19"/>
      <c r="D728" s="19"/>
      <c r="E728" s="21"/>
      <c r="F728" s="19"/>
      <c r="G728" s="27" t="str">
        <f aca="false">IF(B728="","",IFERROR(INDEX(Jeux!$C$2:$C$3001,MATCH(B728,Jeux!$A$2:$A$3001,0))&amp;"","⚠ jeu inconnu"))</f>
        <v/>
      </c>
      <c r="H728" s="27" t="str">
        <f aca="false">IF(B728="","",IFERROR(INDEX(Jeux!$D$2:$D$3001,MATCH(B728,Jeux!$A$2:$A$3001,0))&amp;"",""))</f>
        <v/>
      </c>
      <c r="I728" s="26" t="str">
        <f aca="false">IF(A728="","",COUNTIF(Apparitions!$G$2:$G$5001,A728))</f>
        <v/>
      </c>
      <c r="J728" s="26" t="str">
        <f aca="false">IF(A728="","",COUNTIFS(Apparitions!$G$2:$G$5001,A728,Apparitions!$E$2:$E$5001,"○"))</f>
        <v/>
      </c>
      <c r="K728" s="29" t="str">
        <f aca="false">IF(A728="","",IFERROR(1/(1/_xlfn.MINIFS(Apparitions!$L$2:$L$5001,Apparitions!$G$2:$G$5001,A728)),""))</f>
        <v/>
      </c>
      <c r="L728" s="27" t="str">
        <f aca="false">IF(A728="","",A728&amp;" | "&amp;B728&amp;IF(C728="",""," ("&amp;C728&amp;")")&amp;IF(D728="",""," - "&amp;D728))</f>
        <v/>
      </c>
    </row>
    <row r="729" customFormat="false" ht="15" hidden="false" customHeight="false" outlineLevel="0" collapsed="false">
      <c r="A729" s="32"/>
      <c r="B729" s="19"/>
      <c r="C729" s="19"/>
      <c r="D729" s="19"/>
      <c r="E729" s="21"/>
      <c r="F729" s="19"/>
      <c r="G729" s="27" t="str">
        <f aca="false">IF(B729="","",IFERROR(INDEX(Jeux!$C$2:$C$3001,MATCH(B729,Jeux!$A$2:$A$3001,0))&amp;"","⚠ jeu inconnu"))</f>
        <v/>
      </c>
      <c r="H729" s="27" t="str">
        <f aca="false">IF(B729="","",IFERROR(INDEX(Jeux!$D$2:$D$3001,MATCH(B729,Jeux!$A$2:$A$3001,0))&amp;"",""))</f>
        <v/>
      </c>
      <c r="I729" s="26" t="str">
        <f aca="false">IF(A729="","",COUNTIF(Apparitions!$G$2:$G$5001,A729))</f>
        <v/>
      </c>
      <c r="J729" s="26" t="str">
        <f aca="false">IF(A729="","",COUNTIFS(Apparitions!$G$2:$G$5001,A729,Apparitions!$E$2:$E$5001,"○"))</f>
        <v/>
      </c>
      <c r="K729" s="29" t="str">
        <f aca="false">IF(A729="","",IFERROR(1/(1/_xlfn.MINIFS(Apparitions!$L$2:$L$5001,Apparitions!$G$2:$G$5001,A729)),""))</f>
        <v/>
      </c>
      <c r="L729" s="27" t="str">
        <f aca="false">IF(A729="","",A729&amp;" | "&amp;B729&amp;IF(C729="",""," ("&amp;C729&amp;")")&amp;IF(D729="",""," - "&amp;D729))</f>
        <v/>
      </c>
    </row>
    <row r="730" customFormat="false" ht="15" hidden="false" customHeight="false" outlineLevel="0" collapsed="false">
      <c r="A730" s="32"/>
      <c r="B730" s="19"/>
      <c r="C730" s="19"/>
      <c r="D730" s="19"/>
      <c r="E730" s="21"/>
      <c r="F730" s="19"/>
      <c r="G730" s="27" t="str">
        <f aca="false">IF(B730="","",IFERROR(INDEX(Jeux!$C$2:$C$3001,MATCH(B730,Jeux!$A$2:$A$3001,0))&amp;"","⚠ jeu inconnu"))</f>
        <v/>
      </c>
      <c r="H730" s="27" t="str">
        <f aca="false">IF(B730="","",IFERROR(INDEX(Jeux!$D$2:$D$3001,MATCH(B730,Jeux!$A$2:$A$3001,0))&amp;"",""))</f>
        <v/>
      </c>
      <c r="I730" s="26" t="str">
        <f aca="false">IF(A730="","",COUNTIF(Apparitions!$G$2:$G$5001,A730))</f>
        <v/>
      </c>
      <c r="J730" s="26" t="str">
        <f aca="false">IF(A730="","",COUNTIFS(Apparitions!$G$2:$G$5001,A730,Apparitions!$E$2:$E$5001,"○"))</f>
        <v/>
      </c>
      <c r="K730" s="29" t="str">
        <f aca="false">IF(A730="","",IFERROR(1/(1/_xlfn.MINIFS(Apparitions!$L$2:$L$5001,Apparitions!$G$2:$G$5001,A730)),""))</f>
        <v/>
      </c>
      <c r="L730" s="27" t="str">
        <f aca="false">IF(A730="","",A730&amp;" | "&amp;B730&amp;IF(C730="",""," ("&amp;C730&amp;")")&amp;IF(D730="",""," - "&amp;D730))</f>
        <v/>
      </c>
    </row>
    <row r="731" customFormat="false" ht="15" hidden="false" customHeight="false" outlineLevel="0" collapsed="false">
      <c r="A731" s="32"/>
      <c r="B731" s="19"/>
      <c r="C731" s="19"/>
      <c r="D731" s="19"/>
      <c r="E731" s="21"/>
      <c r="F731" s="19"/>
      <c r="G731" s="27" t="str">
        <f aca="false">IF(B731="","",IFERROR(INDEX(Jeux!$C$2:$C$3001,MATCH(B731,Jeux!$A$2:$A$3001,0))&amp;"","⚠ jeu inconnu"))</f>
        <v/>
      </c>
      <c r="H731" s="27" t="str">
        <f aca="false">IF(B731="","",IFERROR(INDEX(Jeux!$D$2:$D$3001,MATCH(B731,Jeux!$A$2:$A$3001,0))&amp;"",""))</f>
        <v/>
      </c>
      <c r="I731" s="26" t="str">
        <f aca="false">IF(A731="","",COUNTIF(Apparitions!$G$2:$G$5001,A731))</f>
        <v/>
      </c>
      <c r="J731" s="26" t="str">
        <f aca="false">IF(A731="","",COUNTIFS(Apparitions!$G$2:$G$5001,A731,Apparitions!$E$2:$E$5001,"○"))</f>
        <v/>
      </c>
      <c r="K731" s="29" t="str">
        <f aca="false">IF(A731="","",IFERROR(1/(1/_xlfn.MINIFS(Apparitions!$L$2:$L$5001,Apparitions!$G$2:$G$5001,A731)),""))</f>
        <v/>
      </c>
      <c r="L731" s="27" t="str">
        <f aca="false">IF(A731="","",A731&amp;" | "&amp;B731&amp;IF(C731="",""," ("&amp;C731&amp;")")&amp;IF(D731="",""," - "&amp;D731))</f>
        <v/>
      </c>
    </row>
    <row r="732" customFormat="false" ht="15" hidden="false" customHeight="false" outlineLevel="0" collapsed="false">
      <c r="A732" s="32"/>
      <c r="B732" s="19"/>
      <c r="C732" s="19"/>
      <c r="D732" s="19"/>
      <c r="E732" s="21"/>
      <c r="F732" s="19"/>
      <c r="G732" s="27" t="str">
        <f aca="false">IF(B732="","",IFERROR(INDEX(Jeux!$C$2:$C$3001,MATCH(B732,Jeux!$A$2:$A$3001,0))&amp;"","⚠ jeu inconnu"))</f>
        <v/>
      </c>
      <c r="H732" s="27" t="str">
        <f aca="false">IF(B732="","",IFERROR(INDEX(Jeux!$D$2:$D$3001,MATCH(B732,Jeux!$A$2:$A$3001,0))&amp;"",""))</f>
        <v/>
      </c>
      <c r="I732" s="26" t="str">
        <f aca="false">IF(A732="","",COUNTIF(Apparitions!$G$2:$G$5001,A732))</f>
        <v/>
      </c>
      <c r="J732" s="26" t="str">
        <f aca="false">IF(A732="","",COUNTIFS(Apparitions!$G$2:$G$5001,A732,Apparitions!$E$2:$E$5001,"○"))</f>
        <v/>
      </c>
      <c r="K732" s="29" t="str">
        <f aca="false">IF(A732="","",IFERROR(1/(1/_xlfn.MINIFS(Apparitions!$L$2:$L$5001,Apparitions!$G$2:$G$5001,A732)),""))</f>
        <v/>
      </c>
      <c r="L732" s="27" t="str">
        <f aca="false">IF(A732="","",A732&amp;" | "&amp;B732&amp;IF(C732="",""," ("&amp;C732&amp;")")&amp;IF(D732="",""," - "&amp;D732))</f>
        <v/>
      </c>
    </row>
    <row r="733" customFormat="false" ht="15" hidden="false" customHeight="false" outlineLevel="0" collapsed="false">
      <c r="A733" s="32"/>
      <c r="B733" s="19"/>
      <c r="C733" s="19"/>
      <c r="D733" s="19"/>
      <c r="E733" s="21"/>
      <c r="F733" s="19"/>
      <c r="G733" s="27" t="str">
        <f aca="false">IF(B733="","",IFERROR(INDEX(Jeux!$C$2:$C$3001,MATCH(B733,Jeux!$A$2:$A$3001,0))&amp;"","⚠ jeu inconnu"))</f>
        <v/>
      </c>
      <c r="H733" s="27" t="str">
        <f aca="false">IF(B733="","",IFERROR(INDEX(Jeux!$D$2:$D$3001,MATCH(B733,Jeux!$A$2:$A$3001,0))&amp;"",""))</f>
        <v/>
      </c>
      <c r="I733" s="26" t="str">
        <f aca="false">IF(A733="","",COUNTIF(Apparitions!$G$2:$G$5001,A733))</f>
        <v/>
      </c>
      <c r="J733" s="26" t="str">
        <f aca="false">IF(A733="","",COUNTIFS(Apparitions!$G$2:$G$5001,A733,Apparitions!$E$2:$E$5001,"○"))</f>
        <v/>
      </c>
      <c r="K733" s="29" t="str">
        <f aca="false">IF(A733="","",IFERROR(1/(1/_xlfn.MINIFS(Apparitions!$L$2:$L$5001,Apparitions!$G$2:$G$5001,A733)),""))</f>
        <v/>
      </c>
      <c r="L733" s="27" t="str">
        <f aca="false">IF(A733="","",A733&amp;" | "&amp;B733&amp;IF(C733="",""," ("&amp;C733&amp;")")&amp;IF(D733="",""," - "&amp;D733))</f>
        <v/>
      </c>
    </row>
    <row r="734" customFormat="false" ht="15" hidden="false" customHeight="false" outlineLevel="0" collapsed="false">
      <c r="A734" s="32"/>
      <c r="B734" s="19"/>
      <c r="C734" s="19"/>
      <c r="D734" s="19"/>
      <c r="E734" s="21"/>
      <c r="F734" s="19"/>
      <c r="G734" s="27" t="str">
        <f aca="false">IF(B734="","",IFERROR(INDEX(Jeux!$C$2:$C$3001,MATCH(B734,Jeux!$A$2:$A$3001,0))&amp;"","⚠ jeu inconnu"))</f>
        <v/>
      </c>
      <c r="H734" s="27" t="str">
        <f aca="false">IF(B734="","",IFERROR(INDEX(Jeux!$D$2:$D$3001,MATCH(B734,Jeux!$A$2:$A$3001,0))&amp;"",""))</f>
        <v/>
      </c>
      <c r="I734" s="26" t="str">
        <f aca="false">IF(A734="","",COUNTIF(Apparitions!$G$2:$G$5001,A734))</f>
        <v/>
      </c>
      <c r="J734" s="26" t="str">
        <f aca="false">IF(A734="","",COUNTIFS(Apparitions!$G$2:$G$5001,A734,Apparitions!$E$2:$E$5001,"○"))</f>
        <v/>
      </c>
      <c r="K734" s="29" t="str">
        <f aca="false">IF(A734="","",IFERROR(1/(1/_xlfn.MINIFS(Apparitions!$L$2:$L$5001,Apparitions!$G$2:$G$5001,A734)),""))</f>
        <v/>
      </c>
      <c r="L734" s="27" t="str">
        <f aca="false">IF(A734="","",A734&amp;" | "&amp;B734&amp;IF(C734="",""," ("&amp;C734&amp;")")&amp;IF(D734="",""," - "&amp;D734))</f>
        <v/>
      </c>
    </row>
    <row r="735" customFormat="false" ht="15" hidden="false" customHeight="false" outlineLevel="0" collapsed="false">
      <c r="A735" s="32"/>
      <c r="B735" s="19"/>
      <c r="C735" s="19"/>
      <c r="D735" s="19"/>
      <c r="E735" s="21"/>
      <c r="F735" s="19"/>
      <c r="G735" s="27" t="str">
        <f aca="false">IF(B735="","",IFERROR(INDEX(Jeux!$C$2:$C$3001,MATCH(B735,Jeux!$A$2:$A$3001,0))&amp;"","⚠ jeu inconnu"))</f>
        <v/>
      </c>
      <c r="H735" s="27" t="str">
        <f aca="false">IF(B735="","",IFERROR(INDEX(Jeux!$D$2:$D$3001,MATCH(B735,Jeux!$A$2:$A$3001,0))&amp;"",""))</f>
        <v/>
      </c>
      <c r="I735" s="26" t="str">
        <f aca="false">IF(A735="","",COUNTIF(Apparitions!$G$2:$G$5001,A735))</f>
        <v/>
      </c>
      <c r="J735" s="26" t="str">
        <f aca="false">IF(A735="","",COUNTIFS(Apparitions!$G$2:$G$5001,A735,Apparitions!$E$2:$E$5001,"○"))</f>
        <v/>
      </c>
      <c r="K735" s="29" t="str">
        <f aca="false">IF(A735="","",IFERROR(1/(1/_xlfn.MINIFS(Apparitions!$L$2:$L$5001,Apparitions!$G$2:$G$5001,A735)),""))</f>
        <v/>
      </c>
      <c r="L735" s="27" t="str">
        <f aca="false">IF(A735="","",A735&amp;" | "&amp;B735&amp;IF(C735="",""," ("&amp;C735&amp;")")&amp;IF(D735="",""," - "&amp;D735))</f>
        <v/>
      </c>
    </row>
    <row r="736" customFormat="false" ht="15" hidden="false" customHeight="false" outlineLevel="0" collapsed="false">
      <c r="A736" s="32"/>
      <c r="B736" s="19"/>
      <c r="C736" s="19"/>
      <c r="D736" s="19"/>
      <c r="E736" s="21"/>
      <c r="F736" s="19"/>
      <c r="G736" s="27" t="str">
        <f aca="false">IF(B736="","",IFERROR(INDEX(Jeux!$C$2:$C$3001,MATCH(B736,Jeux!$A$2:$A$3001,0))&amp;"","⚠ jeu inconnu"))</f>
        <v/>
      </c>
      <c r="H736" s="27" t="str">
        <f aca="false">IF(B736="","",IFERROR(INDEX(Jeux!$D$2:$D$3001,MATCH(B736,Jeux!$A$2:$A$3001,0))&amp;"",""))</f>
        <v/>
      </c>
      <c r="I736" s="26" t="str">
        <f aca="false">IF(A736="","",COUNTIF(Apparitions!$G$2:$G$5001,A736))</f>
        <v/>
      </c>
      <c r="J736" s="26" t="str">
        <f aca="false">IF(A736="","",COUNTIFS(Apparitions!$G$2:$G$5001,A736,Apparitions!$E$2:$E$5001,"○"))</f>
        <v/>
      </c>
      <c r="K736" s="29" t="str">
        <f aca="false">IF(A736="","",IFERROR(1/(1/_xlfn.MINIFS(Apparitions!$L$2:$L$5001,Apparitions!$G$2:$G$5001,A736)),""))</f>
        <v/>
      </c>
      <c r="L736" s="27" t="str">
        <f aca="false">IF(A736="","",A736&amp;" | "&amp;B736&amp;IF(C736="",""," ("&amp;C736&amp;")")&amp;IF(D736="",""," - "&amp;D736))</f>
        <v/>
      </c>
    </row>
    <row r="737" customFormat="false" ht="15" hidden="false" customHeight="false" outlineLevel="0" collapsed="false">
      <c r="A737" s="32"/>
      <c r="B737" s="19"/>
      <c r="C737" s="19"/>
      <c r="D737" s="19"/>
      <c r="E737" s="21"/>
      <c r="F737" s="19"/>
      <c r="G737" s="27" t="str">
        <f aca="false">IF(B737="","",IFERROR(INDEX(Jeux!$C$2:$C$3001,MATCH(B737,Jeux!$A$2:$A$3001,0))&amp;"","⚠ jeu inconnu"))</f>
        <v/>
      </c>
      <c r="H737" s="27" t="str">
        <f aca="false">IF(B737="","",IFERROR(INDEX(Jeux!$D$2:$D$3001,MATCH(B737,Jeux!$A$2:$A$3001,0))&amp;"",""))</f>
        <v/>
      </c>
      <c r="I737" s="26" t="str">
        <f aca="false">IF(A737="","",COUNTIF(Apparitions!$G$2:$G$5001,A737))</f>
        <v/>
      </c>
      <c r="J737" s="26" t="str">
        <f aca="false">IF(A737="","",COUNTIFS(Apparitions!$G$2:$G$5001,A737,Apparitions!$E$2:$E$5001,"○"))</f>
        <v/>
      </c>
      <c r="K737" s="29" t="str">
        <f aca="false">IF(A737="","",IFERROR(1/(1/_xlfn.MINIFS(Apparitions!$L$2:$L$5001,Apparitions!$G$2:$G$5001,A737)),""))</f>
        <v/>
      </c>
      <c r="L737" s="27" t="str">
        <f aca="false">IF(A737="","",A737&amp;" | "&amp;B737&amp;IF(C737="",""," ("&amp;C737&amp;")")&amp;IF(D737="",""," - "&amp;D737))</f>
        <v/>
      </c>
    </row>
    <row r="738" customFormat="false" ht="15" hidden="false" customHeight="false" outlineLevel="0" collapsed="false">
      <c r="A738" s="32"/>
      <c r="B738" s="19"/>
      <c r="C738" s="19"/>
      <c r="D738" s="19"/>
      <c r="E738" s="21"/>
      <c r="F738" s="19"/>
      <c r="G738" s="27" t="str">
        <f aca="false">IF(B738="","",IFERROR(INDEX(Jeux!$C$2:$C$3001,MATCH(B738,Jeux!$A$2:$A$3001,0))&amp;"","⚠ jeu inconnu"))</f>
        <v/>
      </c>
      <c r="H738" s="27" t="str">
        <f aca="false">IF(B738="","",IFERROR(INDEX(Jeux!$D$2:$D$3001,MATCH(B738,Jeux!$A$2:$A$3001,0))&amp;"",""))</f>
        <v/>
      </c>
      <c r="I738" s="26" t="str">
        <f aca="false">IF(A738="","",COUNTIF(Apparitions!$G$2:$G$5001,A738))</f>
        <v/>
      </c>
      <c r="J738" s="26" t="str">
        <f aca="false">IF(A738="","",COUNTIFS(Apparitions!$G$2:$G$5001,A738,Apparitions!$E$2:$E$5001,"○"))</f>
        <v/>
      </c>
      <c r="K738" s="29" t="str">
        <f aca="false">IF(A738="","",IFERROR(1/(1/_xlfn.MINIFS(Apparitions!$L$2:$L$5001,Apparitions!$G$2:$G$5001,A738)),""))</f>
        <v/>
      </c>
      <c r="L738" s="27" t="str">
        <f aca="false">IF(A738="","",A738&amp;" | "&amp;B738&amp;IF(C738="",""," ("&amp;C738&amp;")")&amp;IF(D738="",""," - "&amp;D738))</f>
        <v/>
      </c>
    </row>
    <row r="739" customFormat="false" ht="15" hidden="false" customHeight="false" outlineLevel="0" collapsed="false">
      <c r="A739" s="32"/>
      <c r="B739" s="19"/>
      <c r="C739" s="19"/>
      <c r="D739" s="19"/>
      <c r="E739" s="21"/>
      <c r="F739" s="19"/>
      <c r="G739" s="27" t="str">
        <f aca="false">IF(B739="","",IFERROR(INDEX(Jeux!$C$2:$C$3001,MATCH(B739,Jeux!$A$2:$A$3001,0))&amp;"","⚠ jeu inconnu"))</f>
        <v/>
      </c>
      <c r="H739" s="27" t="str">
        <f aca="false">IF(B739="","",IFERROR(INDEX(Jeux!$D$2:$D$3001,MATCH(B739,Jeux!$A$2:$A$3001,0))&amp;"",""))</f>
        <v/>
      </c>
      <c r="I739" s="26" t="str">
        <f aca="false">IF(A739="","",COUNTIF(Apparitions!$G$2:$G$5001,A739))</f>
        <v/>
      </c>
      <c r="J739" s="26" t="str">
        <f aca="false">IF(A739="","",COUNTIFS(Apparitions!$G$2:$G$5001,A739,Apparitions!$E$2:$E$5001,"○"))</f>
        <v/>
      </c>
      <c r="K739" s="29" t="str">
        <f aca="false">IF(A739="","",IFERROR(1/(1/_xlfn.MINIFS(Apparitions!$L$2:$L$5001,Apparitions!$G$2:$G$5001,A739)),""))</f>
        <v/>
      </c>
      <c r="L739" s="27" t="str">
        <f aca="false">IF(A739="","",A739&amp;" | "&amp;B739&amp;IF(C739="",""," ("&amp;C739&amp;")")&amp;IF(D739="",""," - "&amp;D739))</f>
        <v/>
      </c>
    </row>
    <row r="740" customFormat="false" ht="15" hidden="false" customHeight="false" outlineLevel="0" collapsed="false">
      <c r="A740" s="32"/>
      <c r="B740" s="19"/>
      <c r="C740" s="19"/>
      <c r="D740" s="19"/>
      <c r="E740" s="21"/>
      <c r="F740" s="19"/>
      <c r="G740" s="27" t="str">
        <f aca="false">IF(B740="","",IFERROR(INDEX(Jeux!$C$2:$C$3001,MATCH(B740,Jeux!$A$2:$A$3001,0))&amp;"","⚠ jeu inconnu"))</f>
        <v/>
      </c>
      <c r="H740" s="27" t="str">
        <f aca="false">IF(B740="","",IFERROR(INDEX(Jeux!$D$2:$D$3001,MATCH(B740,Jeux!$A$2:$A$3001,0))&amp;"",""))</f>
        <v/>
      </c>
      <c r="I740" s="26" t="str">
        <f aca="false">IF(A740="","",COUNTIF(Apparitions!$G$2:$G$5001,A740))</f>
        <v/>
      </c>
      <c r="J740" s="26" t="str">
        <f aca="false">IF(A740="","",COUNTIFS(Apparitions!$G$2:$G$5001,A740,Apparitions!$E$2:$E$5001,"○"))</f>
        <v/>
      </c>
      <c r="K740" s="29" t="str">
        <f aca="false">IF(A740="","",IFERROR(1/(1/_xlfn.MINIFS(Apparitions!$L$2:$L$5001,Apparitions!$G$2:$G$5001,A740)),""))</f>
        <v/>
      </c>
      <c r="L740" s="27" t="str">
        <f aca="false">IF(A740="","",A740&amp;" | "&amp;B740&amp;IF(C740="",""," ("&amp;C740&amp;")")&amp;IF(D740="",""," - "&amp;D740))</f>
        <v/>
      </c>
    </row>
    <row r="741" customFormat="false" ht="15" hidden="false" customHeight="false" outlineLevel="0" collapsed="false">
      <c r="A741" s="32"/>
      <c r="B741" s="19"/>
      <c r="C741" s="19"/>
      <c r="D741" s="19"/>
      <c r="E741" s="21"/>
      <c r="F741" s="19"/>
      <c r="G741" s="27" t="str">
        <f aca="false">IF(B741="","",IFERROR(INDEX(Jeux!$C$2:$C$3001,MATCH(B741,Jeux!$A$2:$A$3001,0))&amp;"","⚠ jeu inconnu"))</f>
        <v/>
      </c>
      <c r="H741" s="27" t="str">
        <f aca="false">IF(B741="","",IFERROR(INDEX(Jeux!$D$2:$D$3001,MATCH(B741,Jeux!$A$2:$A$3001,0))&amp;"",""))</f>
        <v/>
      </c>
      <c r="I741" s="26" t="str">
        <f aca="false">IF(A741="","",COUNTIF(Apparitions!$G$2:$G$5001,A741))</f>
        <v/>
      </c>
      <c r="J741" s="26" t="str">
        <f aca="false">IF(A741="","",COUNTIFS(Apparitions!$G$2:$G$5001,A741,Apparitions!$E$2:$E$5001,"○"))</f>
        <v/>
      </c>
      <c r="K741" s="29" t="str">
        <f aca="false">IF(A741="","",IFERROR(1/(1/_xlfn.MINIFS(Apparitions!$L$2:$L$5001,Apparitions!$G$2:$G$5001,A741)),""))</f>
        <v/>
      </c>
      <c r="L741" s="27" t="str">
        <f aca="false">IF(A741="","",A741&amp;" | "&amp;B741&amp;IF(C741="",""," ("&amp;C741&amp;")")&amp;IF(D741="",""," - "&amp;D741))</f>
        <v/>
      </c>
    </row>
    <row r="742" customFormat="false" ht="15" hidden="false" customHeight="false" outlineLevel="0" collapsed="false">
      <c r="A742" s="32"/>
      <c r="B742" s="19"/>
      <c r="C742" s="19"/>
      <c r="D742" s="19"/>
      <c r="E742" s="21"/>
      <c r="F742" s="19"/>
      <c r="G742" s="27" t="str">
        <f aca="false">IF(B742="","",IFERROR(INDEX(Jeux!$C$2:$C$3001,MATCH(B742,Jeux!$A$2:$A$3001,0))&amp;"","⚠ jeu inconnu"))</f>
        <v/>
      </c>
      <c r="H742" s="27" t="str">
        <f aca="false">IF(B742="","",IFERROR(INDEX(Jeux!$D$2:$D$3001,MATCH(B742,Jeux!$A$2:$A$3001,0))&amp;"",""))</f>
        <v/>
      </c>
      <c r="I742" s="26" t="str">
        <f aca="false">IF(A742="","",COUNTIF(Apparitions!$G$2:$G$5001,A742))</f>
        <v/>
      </c>
      <c r="J742" s="26" t="str">
        <f aca="false">IF(A742="","",COUNTIFS(Apparitions!$G$2:$G$5001,A742,Apparitions!$E$2:$E$5001,"○"))</f>
        <v/>
      </c>
      <c r="K742" s="29" t="str">
        <f aca="false">IF(A742="","",IFERROR(1/(1/_xlfn.MINIFS(Apparitions!$L$2:$L$5001,Apparitions!$G$2:$G$5001,A742)),""))</f>
        <v/>
      </c>
      <c r="L742" s="27" t="str">
        <f aca="false">IF(A742="","",A742&amp;" | "&amp;B742&amp;IF(C742="",""," ("&amp;C742&amp;")")&amp;IF(D742="",""," - "&amp;D742))</f>
        <v/>
      </c>
    </row>
    <row r="743" customFormat="false" ht="15" hidden="false" customHeight="false" outlineLevel="0" collapsed="false">
      <c r="A743" s="32"/>
      <c r="B743" s="19"/>
      <c r="C743" s="19"/>
      <c r="D743" s="19"/>
      <c r="E743" s="21"/>
      <c r="F743" s="19"/>
      <c r="G743" s="27" t="str">
        <f aca="false">IF(B743="","",IFERROR(INDEX(Jeux!$C$2:$C$3001,MATCH(B743,Jeux!$A$2:$A$3001,0))&amp;"","⚠ jeu inconnu"))</f>
        <v/>
      </c>
      <c r="H743" s="27" t="str">
        <f aca="false">IF(B743="","",IFERROR(INDEX(Jeux!$D$2:$D$3001,MATCH(B743,Jeux!$A$2:$A$3001,0))&amp;"",""))</f>
        <v/>
      </c>
      <c r="I743" s="26" t="str">
        <f aca="false">IF(A743="","",COUNTIF(Apparitions!$G$2:$G$5001,A743))</f>
        <v/>
      </c>
      <c r="J743" s="26" t="str">
        <f aca="false">IF(A743="","",COUNTIFS(Apparitions!$G$2:$G$5001,A743,Apparitions!$E$2:$E$5001,"○"))</f>
        <v/>
      </c>
      <c r="K743" s="29" t="str">
        <f aca="false">IF(A743="","",IFERROR(1/(1/_xlfn.MINIFS(Apparitions!$L$2:$L$5001,Apparitions!$G$2:$G$5001,A743)),""))</f>
        <v/>
      </c>
      <c r="L743" s="27" t="str">
        <f aca="false">IF(A743="","",A743&amp;" | "&amp;B743&amp;IF(C743="",""," ("&amp;C743&amp;")")&amp;IF(D743="",""," - "&amp;D743))</f>
        <v/>
      </c>
    </row>
    <row r="744" customFormat="false" ht="15" hidden="false" customHeight="false" outlineLevel="0" collapsed="false">
      <c r="A744" s="32"/>
      <c r="B744" s="19"/>
      <c r="C744" s="19"/>
      <c r="D744" s="19"/>
      <c r="E744" s="21"/>
      <c r="F744" s="19"/>
      <c r="G744" s="27" t="str">
        <f aca="false">IF(B744="","",IFERROR(INDEX(Jeux!$C$2:$C$3001,MATCH(B744,Jeux!$A$2:$A$3001,0))&amp;"","⚠ jeu inconnu"))</f>
        <v/>
      </c>
      <c r="H744" s="27" t="str">
        <f aca="false">IF(B744="","",IFERROR(INDEX(Jeux!$D$2:$D$3001,MATCH(B744,Jeux!$A$2:$A$3001,0))&amp;"",""))</f>
        <v/>
      </c>
      <c r="I744" s="26" t="str">
        <f aca="false">IF(A744="","",COUNTIF(Apparitions!$G$2:$G$5001,A744))</f>
        <v/>
      </c>
      <c r="J744" s="26" t="str">
        <f aca="false">IF(A744="","",COUNTIFS(Apparitions!$G$2:$G$5001,A744,Apparitions!$E$2:$E$5001,"○"))</f>
        <v/>
      </c>
      <c r="K744" s="29" t="str">
        <f aca="false">IF(A744="","",IFERROR(1/(1/_xlfn.MINIFS(Apparitions!$L$2:$L$5001,Apparitions!$G$2:$G$5001,A744)),""))</f>
        <v/>
      </c>
      <c r="L744" s="27" t="str">
        <f aca="false">IF(A744="","",A744&amp;" | "&amp;B744&amp;IF(C744="",""," ("&amp;C744&amp;")")&amp;IF(D744="",""," - "&amp;D744))</f>
        <v/>
      </c>
    </row>
    <row r="745" customFormat="false" ht="15" hidden="false" customHeight="false" outlineLevel="0" collapsed="false">
      <c r="A745" s="32"/>
      <c r="B745" s="19"/>
      <c r="C745" s="19"/>
      <c r="D745" s="19"/>
      <c r="E745" s="21"/>
      <c r="F745" s="19"/>
      <c r="G745" s="27" t="str">
        <f aca="false">IF(B745="","",IFERROR(INDEX(Jeux!$C$2:$C$3001,MATCH(B745,Jeux!$A$2:$A$3001,0))&amp;"","⚠ jeu inconnu"))</f>
        <v/>
      </c>
      <c r="H745" s="27" t="str">
        <f aca="false">IF(B745="","",IFERROR(INDEX(Jeux!$D$2:$D$3001,MATCH(B745,Jeux!$A$2:$A$3001,0))&amp;"",""))</f>
        <v/>
      </c>
      <c r="I745" s="26" t="str">
        <f aca="false">IF(A745="","",COUNTIF(Apparitions!$G$2:$G$5001,A745))</f>
        <v/>
      </c>
      <c r="J745" s="26" t="str">
        <f aca="false">IF(A745="","",COUNTIFS(Apparitions!$G$2:$G$5001,A745,Apparitions!$E$2:$E$5001,"○"))</f>
        <v/>
      </c>
      <c r="K745" s="29" t="str">
        <f aca="false">IF(A745="","",IFERROR(1/(1/_xlfn.MINIFS(Apparitions!$L$2:$L$5001,Apparitions!$G$2:$G$5001,A745)),""))</f>
        <v/>
      </c>
      <c r="L745" s="27" t="str">
        <f aca="false">IF(A745="","",A745&amp;" | "&amp;B745&amp;IF(C745="",""," ("&amp;C745&amp;")")&amp;IF(D745="",""," - "&amp;D745))</f>
        <v/>
      </c>
    </row>
    <row r="746" customFormat="false" ht="15" hidden="false" customHeight="false" outlineLevel="0" collapsed="false">
      <c r="A746" s="32"/>
      <c r="B746" s="19"/>
      <c r="C746" s="19"/>
      <c r="D746" s="19"/>
      <c r="E746" s="21"/>
      <c r="F746" s="19"/>
      <c r="G746" s="27" t="str">
        <f aca="false">IF(B746="","",IFERROR(INDEX(Jeux!$C$2:$C$3001,MATCH(B746,Jeux!$A$2:$A$3001,0))&amp;"","⚠ jeu inconnu"))</f>
        <v/>
      </c>
      <c r="H746" s="27" t="str">
        <f aca="false">IF(B746="","",IFERROR(INDEX(Jeux!$D$2:$D$3001,MATCH(B746,Jeux!$A$2:$A$3001,0))&amp;"",""))</f>
        <v/>
      </c>
      <c r="I746" s="26" t="str">
        <f aca="false">IF(A746="","",COUNTIF(Apparitions!$G$2:$G$5001,A746))</f>
        <v/>
      </c>
      <c r="J746" s="26" t="str">
        <f aca="false">IF(A746="","",COUNTIFS(Apparitions!$G$2:$G$5001,A746,Apparitions!$E$2:$E$5001,"○"))</f>
        <v/>
      </c>
      <c r="K746" s="29" t="str">
        <f aca="false">IF(A746="","",IFERROR(1/(1/_xlfn.MINIFS(Apparitions!$L$2:$L$5001,Apparitions!$G$2:$G$5001,A746)),""))</f>
        <v/>
      </c>
      <c r="L746" s="27" t="str">
        <f aca="false">IF(A746="","",A746&amp;" | "&amp;B746&amp;IF(C746="",""," ("&amp;C746&amp;")")&amp;IF(D746="",""," - "&amp;D746))</f>
        <v/>
      </c>
    </row>
    <row r="747" customFormat="false" ht="15" hidden="false" customHeight="false" outlineLevel="0" collapsed="false">
      <c r="A747" s="32"/>
      <c r="B747" s="19"/>
      <c r="C747" s="19"/>
      <c r="D747" s="19"/>
      <c r="E747" s="21"/>
      <c r="F747" s="19"/>
      <c r="G747" s="27" t="str">
        <f aca="false">IF(B747="","",IFERROR(INDEX(Jeux!$C$2:$C$3001,MATCH(B747,Jeux!$A$2:$A$3001,0))&amp;"","⚠ jeu inconnu"))</f>
        <v/>
      </c>
      <c r="H747" s="27" t="str">
        <f aca="false">IF(B747="","",IFERROR(INDEX(Jeux!$D$2:$D$3001,MATCH(B747,Jeux!$A$2:$A$3001,0))&amp;"",""))</f>
        <v/>
      </c>
      <c r="I747" s="26" t="str">
        <f aca="false">IF(A747="","",COUNTIF(Apparitions!$G$2:$G$5001,A747))</f>
        <v/>
      </c>
      <c r="J747" s="26" t="str">
        <f aca="false">IF(A747="","",COUNTIFS(Apparitions!$G$2:$G$5001,A747,Apparitions!$E$2:$E$5001,"○"))</f>
        <v/>
      </c>
      <c r="K747" s="29" t="str">
        <f aca="false">IF(A747="","",IFERROR(1/(1/_xlfn.MINIFS(Apparitions!$L$2:$L$5001,Apparitions!$G$2:$G$5001,A747)),""))</f>
        <v/>
      </c>
      <c r="L747" s="27" t="str">
        <f aca="false">IF(A747="","",A747&amp;" | "&amp;B747&amp;IF(C747="",""," ("&amp;C747&amp;")")&amp;IF(D747="",""," - "&amp;D747))</f>
        <v/>
      </c>
    </row>
    <row r="748" customFormat="false" ht="15" hidden="false" customHeight="false" outlineLevel="0" collapsed="false">
      <c r="A748" s="32"/>
      <c r="B748" s="19"/>
      <c r="C748" s="19"/>
      <c r="D748" s="19"/>
      <c r="E748" s="21"/>
      <c r="F748" s="19"/>
      <c r="G748" s="27" t="str">
        <f aca="false">IF(B748="","",IFERROR(INDEX(Jeux!$C$2:$C$3001,MATCH(B748,Jeux!$A$2:$A$3001,0))&amp;"","⚠ jeu inconnu"))</f>
        <v/>
      </c>
      <c r="H748" s="27" t="str">
        <f aca="false">IF(B748="","",IFERROR(INDEX(Jeux!$D$2:$D$3001,MATCH(B748,Jeux!$A$2:$A$3001,0))&amp;"",""))</f>
        <v/>
      </c>
      <c r="I748" s="26" t="str">
        <f aca="false">IF(A748="","",COUNTIF(Apparitions!$G$2:$G$5001,A748))</f>
        <v/>
      </c>
      <c r="J748" s="26" t="str">
        <f aca="false">IF(A748="","",COUNTIFS(Apparitions!$G$2:$G$5001,A748,Apparitions!$E$2:$E$5001,"○"))</f>
        <v/>
      </c>
      <c r="K748" s="29" t="str">
        <f aca="false">IF(A748="","",IFERROR(1/(1/_xlfn.MINIFS(Apparitions!$L$2:$L$5001,Apparitions!$G$2:$G$5001,A748)),""))</f>
        <v/>
      </c>
      <c r="L748" s="27" t="str">
        <f aca="false">IF(A748="","",A748&amp;" | "&amp;B748&amp;IF(C748="",""," ("&amp;C748&amp;")")&amp;IF(D748="",""," - "&amp;D748))</f>
        <v/>
      </c>
    </row>
    <row r="749" customFormat="false" ht="15" hidden="false" customHeight="false" outlineLevel="0" collapsed="false">
      <c r="A749" s="32"/>
      <c r="B749" s="19"/>
      <c r="C749" s="19"/>
      <c r="D749" s="19"/>
      <c r="E749" s="21"/>
      <c r="F749" s="19"/>
      <c r="G749" s="27" t="str">
        <f aca="false">IF(B749="","",IFERROR(INDEX(Jeux!$C$2:$C$3001,MATCH(B749,Jeux!$A$2:$A$3001,0))&amp;"","⚠ jeu inconnu"))</f>
        <v/>
      </c>
      <c r="H749" s="27" t="str">
        <f aca="false">IF(B749="","",IFERROR(INDEX(Jeux!$D$2:$D$3001,MATCH(B749,Jeux!$A$2:$A$3001,0))&amp;"",""))</f>
        <v/>
      </c>
      <c r="I749" s="26" t="str">
        <f aca="false">IF(A749="","",COUNTIF(Apparitions!$G$2:$G$5001,A749))</f>
        <v/>
      </c>
      <c r="J749" s="26" t="str">
        <f aca="false">IF(A749="","",COUNTIFS(Apparitions!$G$2:$G$5001,A749,Apparitions!$E$2:$E$5001,"○"))</f>
        <v/>
      </c>
      <c r="K749" s="29" t="str">
        <f aca="false">IF(A749="","",IFERROR(1/(1/_xlfn.MINIFS(Apparitions!$L$2:$L$5001,Apparitions!$G$2:$G$5001,A749)),""))</f>
        <v/>
      </c>
      <c r="L749" s="27" t="str">
        <f aca="false">IF(A749="","",A749&amp;" | "&amp;B749&amp;IF(C749="",""," ("&amp;C749&amp;")")&amp;IF(D749="",""," - "&amp;D749))</f>
        <v/>
      </c>
    </row>
    <row r="750" customFormat="false" ht="15" hidden="false" customHeight="false" outlineLevel="0" collapsed="false">
      <c r="A750" s="32"/>
      <c r="B750" s="19"/>
      <c r="C750" s="19"/>
      <c r="D750" s="19"/>
      <c r="E750" s="21"/>
      <c r="F750" s="19"/>
      <c r="G750" s="27" t="str">
        <f aca="false">IF(B750="","",IFERROR(INDEX(Jeux!$C$2:$C$3001,MATCH(B750,Jeux!$A$2:$A$3001,0))&amp;"","⚠ jeu inconnu"))</f>
        <v/>
      </c>
      <c r="H750" s="27" t="str">
        <f aca="false">IF(B750="","",IFERROR(INDEX(Jeux!$D$2:$D$3001,MATCH(B750,Jeux!$A$2:$A$3001,0))&amp;"",""))</f>
        <v/>
      </c>
      <c r="I750" s="26" t="str">
        <f aca="false">IF(A750="","",COUNTIF(Apparitions!$G$2:$G$5001,A750))</f>
        <v/>
      </c>
      <c r="J750" s="26" t="str">
        <f aca="false">IF(A750="","",COUNTIFS(Apparitions!$G$2:$G$5001,A750,Apparitions!$E$2:$E$5001,"○"))</f>
        <v/>
      </c>
      <c r="K750" s="29" t="str">
        <f aca="false">IF(A750="","",IFERROR(1/(1/_xlfn.MINIFS(Apparitions!$L$2:$L$5001,Apparitions!$G$2:$G$5001,A750)),""))</f>
        <v/>
      </c>
      <c r="L750" s="27" t="str">
        <f aca="false">IF(A750="","",A750&amp;" | "&amp;B750&amp;IF(C750="",""," ("&amp;C750&amp;")")&amp;IF(D750="",""," - "&amp;D750))</f>
        <v/>
      </c>
    </row>
    <row r="751" customFormat="false" ht="15" hidden="false" customHeight="false" outlineLevel="0" collapsed="false">
      <c r="A751" s="32"/>
      <c r="B751" s="19"/>
      <c r="C751" s="19"/>
      <c r="D751" s="19"/>
      <c r="E751" s="21"/>
      <c r="F751" s="19"/>
      <c r="G751" s="27" t="str">
        <f aca="false">IF(B751="","",IFERROR(INDEX(Jeux!$C$2:$C$3001,MATCH(B751,Jeux!$A$2:$A$3001,0))&amp;"","⚠ jeu inconnu"))</f>
        <v/>
      </c>
      <c r="H751" s="27" t="str">
        <f aca="false">IF(B751="","",IFERROR(INDEX(Jeux!$D$2:$D$3001,MATCH(B751,Jeux!$A$2:$A$3001,0))&amp;"",""))</f>
        <v/>
      </c>
      <c r="I751" s="26" t="str">
        <f aca="false">IF(A751="","",COUNTIF(Apparitions!$G$2:$G$5001,A751))</f>
        <v/>
      </c>
      <c r="J751" s="26" t="str">
        <f aca="false">IF(A751="","",COUNTIFS(Apparitions!$G$2:$G$5001,A751,Apparitions!$E$2:$E$5001,"○"))</f>
        <v/>
      </c>
      <c r="K751" s="29" t="str">
        <f aca="false">IF(A751="","",IFERROR(1/(1/_xlfn.MINIFS(Apparitions!$L$2:$L$5001,Apparitions!$G$2:$G$5001,A751)),""))</f>
        <v/>
      </c>
      <c r="L751" s="27" t="str">
        <f aca="false">IF(A751="","",A751&amp;" | "&amp;B751&amp;IF(C751="",""," ("&amp;C751&amp;")")&amp;IF(D751="",""," - "&amp;D751))</f>
        <v/>
      </c>
    </row>
    <row r="752" customFormat="false" ht="15" hidden="false" customHeight="false" outlineLevel="0" collapsed="false">
      <c r="A752" s="32"/>
      <c r="B752" s="19"/>
      <c r="C752" s="19"/>
      <c r="D752" s="19"/>
      <c r="E752" s="21"/>
      <c r="F752" s="19"/>
      <c r="G752" s="27" t="str">
        <f aca="false">IF(B752="","",IFERROR(INDEX(Jeux!$C$2:$C$3001,MATCH(B752,Jeux!$A$2:$A$3001,0))&amp;"","⚠ jeu inconnu"))</f>
        <v/>
      </c>
      <c r="H752" s="27" t="str">
        <f aca="false">IF(B752="","",IFERROR(INDEX(Jeux!$D$2:$D$3001,MATCH(B752,Jeux!$A$2:$A$3001,0))&amp;"",""))</f>
        <v/>
      </c>
      <c r="I752" s="26" t="str">
        <f aca="false">IF(A752="","",COUNTIF(Apparitions!$G$2:$G$5001,A752))</f>
        <v/>
      </c>
      <c r="J752" s="26" t="str">
        <f aca="false">IF(A752="","",COUNTIFS(Apparitions!$G$2:$G$5001,A752,Apparitions!$E$2:$E$5001,"○"))</f>
        <v/>
      </c>
      <c r="K752" s="29" t="str">
        <f aca="false">IF(A752="","",IFERROR(1/(1/_xlfn.MINIFS(Apparitions!$L$2:$L$5001,Apparitions!$G$2:$G$5001,A752)),""))</f>
        <v/>
      </c>
      <c r="L752" s="27" t="str">
        <f aca="false">IF(A752="","",A752&amp;" | "&amp;B752&amp;IF(C752="",""," ("&amp;C752&amp;")")&amp;IF(D752="",""," - "&amp;D752))</f>
        <v/>
      </c>
    </row>
    <row r="753" customFormat="false" ht="15" hidden="false" customHeight="false" outlineLevel="0" collapsed="false">
      <c r="A753" s="32"/>
      <c r="B753" s="19"/>
      <c r="C753" s="19"/>
      <c r="D753" s="19"/>
      <c r="E753" s="21"/>
      <c r="F753" s="19"/>
      <c r="G753" s="27" t="str">
        <f aca="false">IF(B753="","",IFERROR(INDEX(Jeux!$C$2:$C$3001,MATCH(B753,Jeux!$A$2:$A$3001,0))&amp;"","⚠ jeu inconnu"))</f>
        <v/>
      </c>
      <c r="H753" s="27" t="str">
        <f aca="false">IF(B753="","",IFERROR(INDEX(Jeux!$D$2:$D$3001,MATCH(B753,Jeux!$A$2:$A$3001,0))&amp;"",""))</f>
        <v/>
      </c>
      <c r="I753" s="26" t="str">
        <f aca="false">IF(A753="","",COUNTIF(Apparitions!$G$2:$G$5001,A753))</f>
        <v/>
      </c>
      <c r="J753" s="26" t="str">
        <f aca="false">IF(A753="","",COUNTIFS(Apparitions!$G$2:$G$5001,A753,Apparitions!$E$2:$E$5001,"○"))</f>
        <v/>
      </c>
      <c r="K753" s="29" t="str">
        <f aca="false">IF(A753="","",IFERROR(1/(1/_xlfn.MINIFS(Apparitions!$L$2:$L$5001,Apparitions!$G$2:$G$5001,A753)),""))</f>
        <v/>
      </c>
      <c r="L753" s="27" t="str">
        <f aca="false">IF(A753="","",A753&amp;" | "&amp;B753&amp;IF(C753="",""," ("&amp;C753&amp;")")&amp;IF(D753="",""," - "&amp;D753))</f>
        <v/>
      </c>
    </row>
    <row r="754" customFormat="false" ht="15" hidden="false" customHeight="false" outlineLevel="0" collapsed="false">
      <c r="A754" s="32"/>
      <c r="B754" s="19"/>
      <c r="C754" s="19"/>
      <c r="D754" s="19"/>
      <c r="E754" s="21"/>
      <c r="F754" s="19"/>
      <c r="G754" s="27" t="str">
        <f aca="false">IF(B754="","",IFERROR(INDEX(Jeux!$C$2:$C$3001,MATCH(B754,Jeux!$A$2:$A$3001,0))&amp;"","⚠ jeu inconnu"))</f>
        <v/>
      </c>
      <c r="H754" s="27" t="str">
        <f aca="false">IF(B754="","",IFERROR(INDEX(Jeux!$D$2:$D$3001,MATCH(B754,Jeux!$A$2:$A$3001,0))&amp;"",""))</f>
        <v/>
      </c>
      <c r="I754" s="26" t="str">
        <f aca="false">IF(A754="","",COUNTIF(Apparitions!$G$2:$G$5001,A754))</f>
        <v/>
      </c>
      <c r="J754" s="26" t="str">
        <f aca="false">IF(A754="","",COUNTIFS(Apparitions!$G$2:$G$5001,A754,Apparitions!$E$2:$E$5001,"○"))</f>
        <v/>
      </c>
      <c r="K754" s="29" t="str">
        <f aca="false">IF(A754="","",IFERROR(1/(1/_xlfn.MINIFS(Apparitions!$L$2:$L$5001,Apparitions!$G$2:$G$5001,A754)),""))</f>
        <v/>
      </c>
      <c r="L754" s="27" t="str">
        <f aca="false">IF(A754="","",A754&amp;" | "&amp;B754&amp;IF(C754="",""," ("&amp;C754&amp;")")&amp;IF(D754="",""," - "&amp;D754))</f>
        <v/>
      </c>
    </row>
    <row r="755" customFormat="false" ht="15" hidden="false" customHeight="false" outlineLevel="0" collapsed="false">
      <c r="A755" s="32"/>
      <c r="B755" s="19"/>
      <c r="C755" s="19"/>
      <c r="D755" s="19"/>
      <c r="E755" s="21"/>
      <c r="F755" s="19"/>
      <c r="G755" s="27" t="str">
        <f aca="false">IF(B755="","",IFERROR(INDEX(Jeux!$C$2:$C$3001,MATCH(B755,Jeux!$A$2:$A$3001,0))&amp;"","⚠ jeu inconnu"))</f>
        <v/>
      </c>
      <c r="H755" s="27" t="str">
        <f aca="false">IF(B755="","",IFERROR(INDEX(Jeux!$D$2:$D$3001,MATCH(B755,Jeux!$A$2:$A$3001,0))&amp;"",""))</f>
        <v/>
      </c>
      <c r="I755" s="26" t="str">
        <f aca="false">IF(A755="","",COUNTIF(Apparitions!$G$2:$G$5001,A755))</f>
        <v/>
      </c>
      <c r="J755" s="26" t="str">
        <f aca="false">IF(A755="","",COUNTIFS(Apparitions!$G$2:$G$5001,A755,Apparitions!$E$2:$E$5001,"○"))</f>
        <v/>
      </c>
      <c r="K755" s="29" t="str">
        <f aca="false">IF(A755="","",IFERROR(1/(1/_xlfn.MINIFS(Apparitions!$L$2:$L$5001,Apparitions!$G$2:$G$5001,A755)),""))</f>
        <v/>
      </c>
      <c r="L755" s="27" t="str">
        <f aca="false">IF(A755="","",A755&amp;" | "&amp;B755&amp;IF(C755="",""," ("&amp;C755&amp;")")&amp;IF(D755="",""," - "&amp;D755))</f>
        <v/>
      </c>
    </row>
    <row r="756" customFormat="false" ht="15" hidden="false" customHeight="false" outlineLevel="0" collapsed="false">
      <c r="A756" s="32"/>
      <c r="B756" s="19"/>
      <c r="C756" s="19"/>
      <c r="D756" s="19"/>
      <c r="E756" s="21"/>
      <c r="F756" s="19"/>
      <c r="G756" s="27" t="str">
        <f aca="false">IF(B756="","",IFERROR(INDEX(Jeux!$C$2:$C$3001,MATCH(B756,Jeux!$A$2:$A$3001,0))&amp;"","⚠ jeu inconnu"))</f>
        <v/>
      </c>
      <c r="H756" s="27" t="str">
        <f aca="false">IF(B756="","",IFERROR(INDEX(Jeux!$D$2:$D$3001,MATCH(B756,Jeux!$A$2:$A$3001,0))&amp;"",""))</f>
        <v/>
      </c>
      <c r="I756" s="26" t="str">
        <f aca="false">IF(A756="","",COUNTIF(Apparitions!$G$2:$G$5001,A756))</f>
        <v/>
      </c>
      <c r="J756" s="26" t="str">
        <f aca="false">IF(A756="","",COUNTIFS(Apparitions!$G$2:$G$5001,A756,Apparitions!$E$2:$E$5001,"○"))</f>
        <v/>
      </c>
      <c r="K756" s="29" t="str">
        <f aca="false">IF(A756="","",IFERROR(1/(1/_xlfn.MINIFS(Apparitions!$L$2:$L$5001,Apparitions!$G$2:$G$5001,A756)),""))</f>
        <v/>
      </c>
      <c r="L756" s="27" t="str">
        <f aca="false">IF(A756="","",A756&amp;" | "&amp;B756&amp;IF(C756="",""," ("&amp;C756&amp;")")&amp;IF(D756="",""," - "&amp;D756))</f>
        <v/>
      </c>
    </row>
    <row r="757" customFormat="false" ht="15" hidden="false" customHeight="false" outlineLevel="0" collapsed="false">
      <c r="A757" s="32"/>
      <c r="B757" s="19"/>
      <c r="C757" s="19"/>
      <c r="D757" s="19"/>
      <c r="E757" s="21"/>
      <c r="F757" s="19"/>
      <c r="G757" s="27" t="str">
        <f aca="false">IF(B757="","",IFERROR(INDEX(Jeux!$C$2:$C$3001,MATCH(B757,Jeux!$A$2:$A$3001,0))&amp;"","⚠ jeu inconnu"))</f>
        <v/>
      </c>
      <c r="H757" s="27" t="str">
        <f aca="false">IF(B757="","",IFERROR(INDEX(Jeux!$D$2:$D$3001,MATCH(B757,Jeux!$A$2:$A$3001,0))&amp;"",""))</f>
        <v/>
      </c>
      <c r="I757" s="26" t="str">
        <f aca="false">IF(A757="","",COUNTIF(Apparitions!$G$2:$G$5001,A757))</f>
        <v/>
      </c>
      <c r="J757" s="26" t="str">
        <f aca="false">IF(A757="","",COUNTIFS(Apparitions!$G$2:$G$5001,A757,Apparitions!$E$2:$E$5001,"○"))</f>
        <v/>
      </c>
      <c r="K757" s="29" t="str">
        <f aca="false">IF(A757="","",IFERROR(1/(1/_xlfn.MINIFS(Apparitions!$L$2:$L$5001,Apparitions!$G$2:$G$5001,A757)),""))</f>
        <v/>
      </c>
      <c r="L757" s="27" t="str">
        <f aca="false">IF(A757="","",A757&amp;" | "&amp;B757&amp;IF(C757="",""," ("&amp;C757&amp;")")&amp;IF(D757="",""," - "&amp;D757))</f>
        <v/>
      </c>
    </row>
    <row r="758" customFormat="false" ht="15" hidden="false" customHeight="false" outlineLevel="0" collapsed="false">
      <c r="A758" s="32"/>
      <c r="B758" s="19"/>
      <c r="C758" s="19"/>
      <c r="D758" s="19"/>
      <c r="E758" s="21"/>
      <c r="F758" s="19"/>
      <c r="G758" s="27" t="str">
        <f aca="false">IF(B758="","",IFERROR(INDEX(Jeux!$C$2:$C$3001,MATCH(B758,Jeux!$A$2:$A$3001,0))&amp;"","⚠ jeu inconnu"))</f>
        <v/>
      </c>
      <c r="H758" s="27" t="str">
        <f aca="false">IF(B758="","",IFERROR(INDEX(Jeux!$D$2:$D$3001,MATCH(B758,Jeux!$A$2:$A$3001,0))&amp;"",""))</f>
        <v/>
      </c>
      <c r="I758" s="26" t="str">
        <f aca="false">IF(A758="","",COUNTIF(Apparitions!$G$2:$G$5001,A758))</f>
        <v/>
      </c>
      <c r="J758" s="26" t="str">
        <f aca="false">IF(A758="","",COUNTIFS(Apparitions!$G$2:$G$5001,A758,Apparitions!$E$2:$E$5001,"○"))</f>
        <v/>
      </c>
      <c r="K758" s="29" t="str">
        <f aca="false">IF(A758="","",IFERROR(1/(1/_xlfn.MINIFS(Apparitions!$L$2:$L$5001,Apparitions!$G$2:$G$5001,A758)),""))</f>
        <v/>
      </c>
      <c r="L758" s="27" t="str">
        <f aca="false">IF(A758="","",A758&amp;" | "&amp;B758&amp;IF(C758="",""," ("&amp;C758&amp;")")&amp;IF(D758="",""," - "&amp;D758))</f>
        <v/>
      </c>
    </row>
    <row r="759" customFormat="false" ht="15" hidden="false" customHeight="false" outlineLevel="0" collapsed="false">
      <c r="A759" s="32"/>
      <c r="B759" s="19"/>
      <c r="C759" s="19"/>
      <c r="D759" s="19"/>
      <c r="E759" s="21"/>
      <c r="F759" s="19"/>
      <c r="G759" s="27" t="str">
        <f aca="false">IF(B759="","",IFERROR(INDEX(Jeux!$C$2:$C$3001,MATCH(B759,Jeux!$A$2:$A$3001,0))&amp;"","⚠ jeu inconnu"))</f>
        <v/>
      </c>
      <c r="H759" s="27" t="str">
        <f aca="false">IF(B759="","",IFERROR(INDEX(Jeux!$D$2:$D$3001,MATCH(B759,Jeux!$A$2:$A$3001,0))&amp;"",""))</f>
        <v/>
      </c>
      <c r="I759" s="26" t="str">
        <f aca="false">IF(A759="","",COUNTIF(Apparitions!$G$2:$G$5001,A759))</f>
        <v/>
      </c>
      <c r="J759" s="26" t="str">
        <f aca="false">IF(A759="","",COUNTIFS(Apparitions!$G$2:$G$5001,A759,Apparitions!$E$2:$E$5001,"○"))</f>
        <v/>
      </c>
      <c r="K759" s="29" t="str">
        <f aca="false">IF(A759="","",IFERROR(1/(1/_xlfn.MINIFS(Apparitions!$L$2:$L$5001,Apparitions!$G$2:$G$5001,A759)),""))</f>
        <v/>
      </c>
      <c r="L759" s="27" t="str">
        <f aca="false">IF(A759="","",A759&amp;" | "&amp;B759&amp;IF(C759="",""," ("&amp;C759&amp;")")&amp;IF(D759="",""," - "&amp;D759))</f>
        <v/>
      </c>
    </row>
    <row r="760" customFormat="false" ht="15" hidden="false" customHeight="false" outlineLevel="0" collapsed="false">
      <c r="A760" s="32"/>
      <c r="B760" s="19"/>
      <c r="C760" s="19"/>
      <c r="D760" s="19"/>
      <c r="E760" s="21"/>
      <c r="F760" s="19"/>
      <c r="G760" s="27" t="str">
        <f aca="false">IF(B760="","",IFERROR(INDEX(Jeux!$C$2:$C$3001,MATCH(B760,Jeux!$A$2:$A$3001,0))&amp;"","⚠ jeu inconnu"))</f>
        <v/>
      </c>
      <c r="H760" s="27" t="str">
        <f aca="false">IF(B760="","",IFERROR(INDEX(Jeux!$D$2:$D$3001,MATCH(B760,Jeux!$A$2:$A$3001,0))&amp;"",""))</f>
        <v/>
      </c>
      <c r="I760" s="26" t="str">
        <f aca="false">IF(A760="","",COUNTIF(Apparitions!$G$2:$G$5001,A760))</f>
        <v/>
      </c>
      <c r="J760" s="26" t="str">
        <f aca="false">IF(A760="","",COUNTIFS(Apparitions!$G$2:$G$5001,A760,Apparitions!$E$2:$E$5001,"○"))</f>
        <v/>
      </c>
      <c r="K760" s="29" t="str">
        <f aca="false">IF(A760="","",IFERROR(1/(1/_xlfn.MINIFS(Apparitions!$L$2:$L$5001,Apparitions!$G$2:$G$5001,A760)),""))</f>
        <v/>
      </c>
      <c r="L760" s="27" t="str">
        <f aca="false">IF(A760="","",A760&amp;" | "&amp;B760&amp;IF(C760="",""," ("&amp;C760&amp;")")&amp;IF(D760="",""," - "&amp;D760))</f>
        <v/>
      </c>
    </row>
    <row r="761" customFormat="false" ht="15" hidden="false" customHeight="false" outlineLevel="0" collapsed="false">
      <c r="A761" s="32"/>
      <c r="B761" s="19"/>
      <c r="C761" s="19"/>
      <c r="D761" s="19"/>
      <c r="E761" s="21"/>
      <c r="F761" s="19"/>
      <c r="G761" s="27" t="str">
        <f aca="false">IF(B761="","",IFERROR(INDEX(Jeux!$C$2:$C$3001,MATCH(B761,Jeux!$A$2:$A$3001,0))&amp;"","⚠ jeu inconnu"))</f>
        <v/>
      </c>
      <c r="H761" s="27" t="str">
        <f aca="false">IF(B761="","",IFERROR(INDEX(Jeux!$D$2:$D$3001,MATCH(B761,Jeux!$A$2:$A$3001,0))&amp;"",""))</f>
        <v/>
      </c>
      <c r="I761" s="26" t="str">
        <f aca="false">IF(A761="","",COUNTIF(Apparitions!$G$2:$G$5001,A761))</f>
        <v/>
      </c>
      <c r="J761" s="26" t="str">
        <f aca="false">IF(A761="","",COUNTIFS(Apparitions!$G$2:$G$5001,A761,Apparitions!$E$2:$E$5001,"○"))</f>
        <v/>
      </c>
      <c r="K761" s="29" t="str">
        <f aca="false">IF(A761="","",IFERROR(1/(1/_xlfn.MINIFS(Apparitions!$L$2:$L$5001,Apparitions!$G$2:$G$5001,A761)),""))</f>
        <v/>
      </c>
      <c r="L761" s="27" t="str">
        <f aca="false">IF(A761="","",A761&amp;" | "&amp;B761&amp;IF(C761="",""," ("&amp;C761&amp;")")&amp;IF(D761="",""," - "&amp;D761))</f>
        <v/>
      </c>
    </row>
    <row r="762" customFormat="false" ht="15" hidden="false" customHeight="false" outlineLevel="0" collapsed="false">
      <c r="A762" s="32"/>
      <c r="B762" s="19"/>
      <c r="C762" s="19"/>
      <c r="D762" s="19"/>
      <c r="E762" s="21"/>
      <c r="F762" s="19"/>
      <c r="G762" s="27" t="str">
        <f aca="false">IF(B762="","",IFERROR(INDEX(Jeux!$C$2:$C$3001,MATCH(B762,Jeux!$A$2:$A$3001,0))&amp;"","⚠ jeu inconnu"))</f>
        <v/>
      </c>
      <c r="H762" s="27" t="str">
        <f aca="false">IF(B762="","",IFERROR(INDEX(Jeux!$D$2:$D$3001,MATCH(B762,Jeux!$A$2:$A$3001,0))&amp;"",""))</f>
        <v/>
      </c>
      <c r="I762" s="26" t="str">
        <f aca="false">IF(A762="","",COUNTIF(Apparitions!$G$2:$G$5001,A762))</f>
        <v/>
      </c>
      <c r="J762" s="26" t="str">
        <f aca="false">IF(A762="","",COUNTIFS(Apparitions!$G$2:$G$5001,A762,Apparitions!$E$2:$E$5001,"○"))</f>
        <v/>
      </c>
      <c r="K762" s="29" t="str">
        <f aca="false">IF(A762="","",IFERROR(1/(1/_xlfn.MINIFS(Apparitions!$L$2:$L$5001,Apparitions!$G$2:$G$5001,A762)),""))</f>
        <v/>
      </c>
      <c r="L762" s="27" t="str">
        <f aca="false">IF(A762="","",A762&amp;" | "&amp;B762&amp;IF(C762="",""," ("&amp;C762&amp;")")&amp;IF(D762="",""," - "&amp;D762))</f>
        <v/>
      </c>
    </row>
    <row r="763" customFormat="false" ht="15" hidden="false" customHeight="false" outlineLevel="0" collapsed="false">
      <c r="A763" s="32"/>
      <c r="B763" s="19"/>
      <c r="C763" s="19"/>
      <c r="D763" s="19"/>
      <c r="E763" s="21"/>
      <c r="F763" s="19"/>
      <c r="G763" s="27" t="str">
        <f aca="false">IF(B763="","",IFERROR(INDEX(Jeux!$C$2:$C$3001,MATCH(B763,Jeux!$A$2:$A$3001,0))&amp;"","⚠ jeu inconnu"))</f>
        <v/>
      </c>
      <c r="H763" s="27" t="str">
        <f aca="false">IF(B763="","",IFERROR(INDEX(Jeux!$D$2:$D$3001,MATCH(B763,Jeux!$A$2:$A$3001,0))&amp;"",""))</f>
        <v/>
      </c>
      <c r="I763" s="26" t="str">
        <f aca="false">IF(A763="","",COUNTIF(Apparitions!$G$2:$G$5001,A763))</f>
        <v/>
      </c>
      <c r="J763" s="26" t="str">
        <f aca="false">IF(A763="","",COUNTIFS(Apparitions!$G$2:$G$5001,A763,Apparitions!$E$2:$E$5001,"○"))</f>
        <v/>
      </c>
      <c r="K763" s="29" t="str">
        <f aca="false">IF(A763="","",IFERROR(1/(1/_xlfn.MINIFS(Apparitions!$L$2:$L$5001,Apparitions!$G$2:$G$5001,A763)),""))</f>
        <v/>
      </c>
      <c r="L763" s="27" t="str">
        <f aca="false">IF(A763="","",A763&amp;" | "&amp;B763&amp;IF(C763="",""," ("&amp;C763&amp;")")&amp;IF(D763="",""," - "&amp;D763))</f>
        <v/>
      </c>
    </row>
    <row r="764" customFormat="false" ht="15" hidden="false" customHeight="false" outlineLevel="0" collapsed="false">
      <c r="A764" s="32"/>
      <c r="B764" s="19"/>
      <c r="C764" s="19"/>
      <c r="D764" s="19"/>
      <c r="E764" s="21"/>
      <c r="F764" s="19"/>
      <c r="G764" s="27" t="str">
        <f aca="false">IF(B764="","",IFERROR(INDEX(Jeux!$C$2:$C$3001,MATCH(B764,Jeux!$A$2:$A$3001,0))&amp;"","⚠ jeu inconnu"))</f>
        <v/>
      </c>
      <c r="H764" s="27" t="str">
        <f aca="false">IF(B764="","",IFERROR(INDEX(Jeux!$D$2:$D$3001,MATCH(B764,Jeux!$A$2:$A$3001,0))&amp;"",""))</f>
        <v/>
      </c>
      <c r="I764" s="26" t="str">
        <f aca="false">IF(A764="","",COUNTIF(Apparitions!$G$2:$G$5001,A764))</f>
        <v/>
      </c>
      <c r="J764" s="26" t="str">
        <f aca="false">IF(A764="","",COUNTIFS(Apparitions!$G$2:$G$5001,A764,Apparitions!$E$2:$E$5001,"○"))</f>
        <v/>
      </c>
      <c r="K764" s="29" t="str">
        <f aca="false">IF(A764="","",IFERROR(1/(1/_xlfn.MINIFS(Apparitions!$L$2:$L$5001,Apparitions!$G$2:$G$5001,A764)),""))</f>
        <v/>
      </c>
      <c r="L764" s="27" t="str">
        <f aca="false">IF(A764="","",A764&amp;" | "&amp;B764&amp;IF(C764="",""," ("&amp;C764&amp;")")&amp;IF(D764="",""," - "&amp;D764))</f>
        <v/>
      </c>
    </row>
    <row r="765" customFormat="false" ht="15" hidden="false" customHeight="false" outlineLevel="0" collapsed="false">
      <c r="A765" s="32"/>
      <c r="B765" s="19"/>
      <c r="C765" s="19"/>
      <c r="D765" s="19"/>
      <c r="E765" s="21"/>
      <c r="F765" s="19"/>
      <c r="G765" s="27" t="str">
        <f aca="false">IF(B765="","",IFERROR(INDEX(Jeux!$C$2:$C$3001,MATCH(B765,Jeux!$A$2:$A$3001,0))&amp;"","⚠ jeu inconnu"))</f>
        <v/>
      </c>
      <c r="H765" s="27" t="str">
        <f aca="false">IF(B765="","",IFERROR(INDEX(Jeux!$D$2:$D$3001,MATCH(B765,Jeux!$A$2:$A$3001,0))&amp;"",""))</f>
        <v/>
      </c>
      <c r="I765" s="26" t="str">
        <f aca="false">IF(A765="","",COUNTIF(Apparitions!$G$2:$G$5001,A765))</f>
        <v/>
      </c>
      <c r="J765" s="26" t="str">
        <f aca="false">IF(A765="","",COUNTIFS(Apparitions!$G$2:$G$5001,A765,Apparitions!$E$2:$E$5001,"○"))</f>
        <v/>
      </c>
      <c r="K765" s="29" t="str">
        <f aca="false">IF(A765="","",IFERROR(1/(1/_xlfn.MINIFS(Apparitions!$L$2:$L$5001,Apparitions!$G$2:$G$5001,A765)),""))</f>
        <v/>
      </c>
      <c r="L765" s="27" t="str">
        <f aca="false">IF(A765="","",A765&amp;" | "&amp;B765&amp;IF(C765="",""," ("&amp;C765&amp;")")&amp;IF(D765="",""," - "&amp;D765))</f>
        <v/>
      </c>
    </row>
    <row r="766" customFormat="false" ht="15" hidden="false" customHeight="false" outlineLevel="0" collapsed="false">
      <c r="A766" s="32"/>
      <c r="B766" s="19"/>
      <c r="C766" s="19"/>
      <c r="D766" s="19"/>
      <c r="E766" s="21"/>
      <c r="F766" s="19"/>
      <c r="G766" s="27" t="str">
        <f aca="false">IF(B766="","",IFERROR(INDEX(Jeux!$C$2:$C$3001,MATCH(B766,Jeux!$A$2:$A$3001,0))&amp;"","⚠ jeu inconnu"))</f>
        <v/>
      </c>
      <c r="H766" s="27" t="str">
        <f aca="false">IF(B766="","",IFERROR(INDEX(Jeux!$D$2:$D$3001,MATCH(B766,Jeux!$A$2:$A$3001,0))&amp;"",""))</f>
        <v/>
      </c>
      <c r="I766" s="26" t="str">
        <f aca="false">IF(A766="","",COUNTIF(Apparitions!$G$2:$G$5001,A766))</f>
        <v/>
      </c>
      <c r="J766" s="26" t="str">
        <f aca="false">IF(A766="","",COUNTIFS(Apparitions!$G$2:$G$5001,A766,Apparitions!$E$2:$E$5001,"○"))</f>
        <v/>
      </c>
      <c r="K766" s="29" t="str">
        <f aca="false">IF(A766="","",IFERROR(1/(1/_xlfn.MINIFS(Apparitions!$L$2:$L$5001,Apparitions!$G$2:$G$5001,A766)),""))</f>
        <v/>
      </c>
      <c r="L766" s="27" t="str">
        <f aca="false">IF(A766="","",A766&amp;" | "&amp;B766&amp;IF(C766="",""," ("&amp;C766&amp;")")&amp;IF(D766="",""," - "&amp;D766))</f>
        <v/>
      </c>
    </row>
    <row r="767" customFormat="false" ht="15" hidden="false" customHeight="false" outlineLevel="0" collapsed="false">
      <c r="A767" s="32"/>
      <c r="B767" s="19"/>
      <c r="C767" s="19"/>
      <c r="D767" s="19"/>
      <c r="E767" s="21"/>
      <c r="F767" s="19"/>
      <c r="G767" s="27" t="str">
        <f aca="false">IF(B767="","",IFERROR(INDEX(Jeux!$C$2:$C$3001,MATCH(B767,Jeux!$A$2:$A$3001,0))&amp;"","⚠ jeu inconnu"))</f>
        <v/>
      </c>
      <c r="H767" s="27" t="str">
        <f aca="false">IF(B767="","",IFERROR(INDEX(Jeux!$D$2:$D$3001,MATCH(B767,Jeux!$A$2:$A$3001,0))&amp;"",""))</f>
        <v/>
      </c>
      <c r="I767" s="26" t="str">
        <f aca="false">IF(A767="","",COUNTIF(Apparitions!$G$2:$G$5001,A767))</f>
        <v/>
      </c>
      <c r="J767" s="26" t="str">
        <f aca="false">IF(A767="","",COUNTIFS(Apparitions!$G$2:$G$5001,A767,Apparitions!$E$2:$E$5001,"○"))</f>
        <v/>
      </c>
      <c r="K767" s="29" t="str">
        <f aca="false">IF(A767="","",IFERROR(1/(1/_xlfn.MINIFS(Apparitions!$L$2:$L$5001,Apparitions!$G$2:$G$5001,A767)),""))</f>
        <v/>
      </c>
      <c r="L767" s="27" t="str">
        <f aca="false">IF(A767="","",A767&amp;" | "&amp;B767&amp;IF(C767="",""," ("&amp;C767&amp;")")&amp;IF(D767="",""," - "&amp;D767))</f>
        <v/>
      </c>
    </row>
    <row r="768" customFormat="false" ht="15" hidden="false" customHeight="false" outlineLevel="0" collapsed="false">
      <c r="A768" s="32"/>
      <c r="B768" s="19"/>
      <c r="C768" s="19"/>
      <c r="D768" s="19"/>
      <c r="E768" s="21"/>
      <c r="F768" s="19"/>
      <c r="G768" s="27" t="str">
        <f aca="false">IF(B768="","",IFERROR(INDEX(Jeux!$C$2:$C$3001,MATCH(B768,Jeux!$A$2:$A$3001,0))&amp;"","⚠ jeu inconnu"))</f>
        <v/>
      </c>
      <c r="H768" s="27" t="str">
        <f aca="false">IF(B768="","",IFERROR(INDEX(Jeux!$D$2:$D$3001,MATCH(B768,Jeux!$A$2:$A$3001,0))&amp;"",""))</f>
        <v/>
      </c>
      <c r="I768" s="26" t="str">
        <f aca="false">IF(A768="","",COUNTIF(Apparitions!$G$2:$G$5001,A768))</f>
        <v/>
      </c>
      <c r="J768" s="26" t="str">
        <f aca="false">IF(A768="","",COUNTIFS(Apparitions!$G$2:$G$5001,A768,Apparitions!$E$2:$E$5001,"○"))</f>
        <v/>
      </c>
      <c r="K768" s="29" t="str">
        <f aca="false">IF(A768="","",IFERROR(1/(1/_xlfn.MINIFS(Apparitions!$L$2:$L$5001,Apparitions!$G$2:$G$5001,A768)),""))</f>
        <v/>
      </c>
      <c r="L768" s="27" t="str">
        <f aca="false">IF(A768="","",A768&amp;" | "&amp;B768&amp;IF(C768="",""," ("&amp;C768&amp;")")&amp;IF(D768="",""," - "&amp;D768))</f>
        <v/>
      </c>
    </row>
    <row r="769" customFormat="false" ht="15" hidden="false" customHeight="false" outlineLevel="0" collapsed="false">
      <c r="A769" s="32"/>
      <c r="B769" s="19"/>
      <c r="C769" s="19"/>
      <c r="D769" s="19"/>
      <c r="E769" s="21"/>
      <c r="F769" s="19"/>
      <c r="G769" s="27" t="str">
        <f aca="false">IF(B769="","",IFERROR(INDEX(Jeux!$C$2:$C$3001,MATCH(B769,Jeux!$A$2:$A$3001,0))&amp;"","⚠ jeu inconnu"))</f>
        <v/>
      </c>
      <c r="H769" s="27" t="str">
        <f aca="false">IF(B769="","",IFERROR(INDEX(Jeux!$D$2:$D$3001,MATCH(B769,Jeux!$A$2:$A$3001,0))&amp;"",""))</f>
        <v/>
      </c>
      <c r="I769" s="26" t="str">
        <f aca="false">IF(A769="","",COUNTIF(Apparitions!$G$2:$G$5001,A769))</f>
        <v/>
      </c>
      <c r="J769" s="26" t="str">
        <f aca="false">IF(A769="","",COUNTIFS(Apparitions!$G$2:$G$5001,A769,Apparitions!$E$2:$E$5001,"○"))</f>
        <v/>
      </c>
      <c r="K769" s="29" t="str">
        <f aca="false">IF(A769="","",IFERROR(1/(1/_xlfn.MINIFS(Apparitions!$L$2:$L$5001,Apparitions!$G$2:$G$5001,A769)),""))</f>
        <v/>
      </c>
      <c r="L769" s="27" t="str">
        <f aca="false">IF(A769="","",A769&amp;" | "&amp;B769&amp;IF(C769="",""," ("&amp;C769&amp;")")&amp;IF(D769="",""," - "&amp;D769))</f>
        <v/>
      </c>
    </row>
    <row r="770" customFormat="false" ht="15" hidden="false" customHeight="false" outlineLevel="0" collapsed="false">
      <c r="A770" s="32"/>
      <c r="B770" s="19"/>
      <c r="C770" s="19"/>
      <c r="D770" s="19"/>
      <c r="E770" s="21"/>
      <c r="F770" s="19"/>
      <c r="G770" s="27" t="str">
        <f aca="false">IF(B770="","",IFERROR(INDEX(Jeux!$C$2:$C$3001,MATCH(B770,Jeux!$A$2:$A$3001,0))&amp;"","⚠ jeu inconnu"))</f>
        <v/>
      </c>
      <c r="H770" s="27" t="str">
        <f aca="false">IF(B770="","",IFERROR(INDEX(Jeux!$D$2:$D$3001,MATCH(B770,Jeux!$A$2:$A$3001,0))&amp;"",""))</f>
        <v/>
      </c>
      <c r="I770" s="26" t="str">
        <f aca="false">IF(A770="","",COUNTIF(Apparitions!$G$2:$G$5001,A770))</f>
        <v/>
      </c>
      <c r="J770" s="26" t="str">
        <f aca="false">IF(A770="","",COUNTIFS(Apparitions!$G$2:$G$5001,A770,Apparitions!$E$2:$E$5001,"○"))</f>
        <v/>
      </c>
      <c r="K770" s="29" t="str">
        <f aca="false">IF(A770="","",IFERROR(1/(1/_xlfn.MINIFS(Apparitions!$L$2:$L$5001,Apparitions!$G$2:$G$5001,A770)),""))</f>
        <v/>
      </c>
      <c r="L770" s="27" t="str">
        <f aca="false">IF(A770="","",A770&amp;" | "&amp;B770&amp;IF(C770="",""," ("&amp;C770&amp;")")&amp;IF(D770="",""," - "&amp;D770))</f>
        <v/>
      </c>
    </row>
    <row r="771" customFormat="false" ht="15" hidden="false" customHeight="false" outlineLevel="0" collapsed="false">
      <c r="A771" s="32"/>
      <c r="B771" s="19"/>
      <c r="C771" s="19"/>
      <c r="D771" s="19"/>
      <c r="E771" s="21"/>
      <c r="F771" s="19"/>
      <c r="G771" s="27" t="str">
        <f aca="false">IF(B771="","",IFERROR(INDEX(Jeux!$C$2:$C$3001,MATCH(B771,Jeux!$A$2:$A$3001,0))&amp;"","⚠ jeu inconnu"))</f>
        <v/>
      </c>
      <c r="H771" s="27" t="str">
        <f aca="false">IF(B771="","",IFERROR(INDEX(Jeux!$D$2:$D$3001,MATCH(B771,Jeux!$A$2:$A$3001,0))&amp;"",""))</f>
        <v/>
      </c>
      <c r="I771" s="26" t="str">
        <f aca="false">IF(A771="","",COUNTIF(Apparitions!$G$2:$G$5001,A771))</f>
        <v/>
      </c>
      <c r="J771" s="26" t="str">
        <f aca="false">IF(A771="","",COUNTIFS(Apparitions!$G$2:$G$5001,A771,Apparitions!$E$2:$E$5001,"○"))</f>
        <v/>
      </c>
      <c r="K771" s="29" t="str">
        <f aca="false">IF(A771="","",IFERROR(1/(1/_xlfn.MINIFS(Apparitions!$L$2:$L$5001,Apparitions!$G$2:$G$5001,A771)),""))</f>
        <v/>
      </c>
      <c r="L771" s="27" t="str">
        <f aca="false">IF(A771="","",A771&amp;" | "&amp;B771&amp;IF(C771="",""," ("&amp;C771&amp;")")&amp;IF(D771="",""," - "&amp;D771))</f>
        <v/>
      </c>
    </row>
    <row r="772" customFormat="false" ht="15" hidden="false" customHeight="false" outlineLevel="0" collapsed="false">
      <c r="A772" s="32"/>
      <c r="B772" s="19"/>
      <c r="C772" s="19"/>
      <c r="D772" s="19"/>
      <c r="E772" s="21"/>
      <c r="F772" s="19"/>
      <c r="G772" s="27" t="str">
        <f aca="false">IF(B772="","",IFERROR(INDEX(Jeux!$C$2:$C$3001,MATCH(B772,Jeux!$A$2:$A$3001,0))&amp;"","⚠ jeu inconnu"))</f>
        <v/>
      </c>
      <c r="H772" s="27" t="str">
        <f aca="false">IF(B772="","",IFERROR(INDEX(Jeux!$D$2:$D$3001,MATCH(B772,Jeux!$A$2:$A$3001,0))&amp;"",""))</f>
        <v/>
      </c>
      <c r="I772" s="26" t="str">
        <f aca="false">IF(A772="","",COUNTIF(Apparitions!$G$2:$G$5001,A772))</f>
        <v/>
      </c>
      <c r="J772" s="26" t="str">
        <f aca="false">IF(A772="","",COUNTIFS(Apparitions!$G$2:$G$5001,A772,Apparitions!$E$2:$E$5001,"○"))</f>
        <v/>
      </c>
      <c r="K772" s="29" t="str">
        <f aca="false">IF(A772="","",IFERROR(1/(1/_xlfn.MINIFS(Apparitions!$L$2:$L$5001,Apparitions!$G$2:$G$5001,A772)),""))</f>
        <v/>
      </c>
      <c r="L772" s="27" t="str">
        <f aca="false">IF(A772="","",A772&amp;" | "&amp;B772&amp;IF(C772="",""," ("&amp;C772&amp;")")&amp;IF(D772="",""," - "&amp;D772))</f>
        <v/>
      </c>
    </row>
    <row r="773" customFormat="false" ht="15" hidden="false" customHeight="false" outlineLevel="0" collapsed="false">
      <c r="A773" s="32"/>
      <c r="B773" s="19"/>
      <c r="C773" s="19"/>
      <c r="D773" s="19"/>
      <c r="E773" s="21"/>
      <c r="F773" s="19"/>
      <c r="G773" s="27" t="str">
        <f aca="false">IF(B773="","",IFERROR(INDEX(Jeux!$C$2:$C$3001,MATCH(B773,Jeux!$A$2:$A$3001,0))&amp;"","⚠ jeu inconnu"))</f>
        <v/>
      </c>
      <c r="H773" s="27" t="str">
        <f aca="false">IF(B773="","",IFERROR(INDEX(Jeux!$D$2:$D$3001,MATCH(B773,Jeux!$A$2:$A$3001,0))&amp;"",""))</f>
        <v/>
      </c>
      <c r="I773" s="26" t="str">
        <f aca="false">IF(A773="","",COUNTIF(Apparitions!$G$2:$G$5001,A773))</f>
        <v/>
      </c>
      <c r="J773" s="26" t="str">
        <f aca="false">IF(A773="","",COUNTIFS(Apparitions!$G$2:$G$5001,A773,Apparitions!$E$2:$E$5001,"○"))</f>
        <v/>
      </c>
      <c r="K773" s="29" t="str">
        <f aca="false">IF(A773="","",IFERROR(1/(1/_xlfn.MINIFS(Apparitions!$L$2:$L$5001,Apparitions!$G$2:$G$5001,A773)),""))</f>
        <v/>
      </c>
      <c r="L773" s="27" t="str">
        <f aca="false">IF(A773="","",A773&amp;" | "&amp;B773&amp;IF(C773="",""," ("&amp;C773&amp;")")&amp;IF(D773="",""," - "&amp;D773))</f>
        <v/>
      </c>
    </row>
    <row r="774" customFormat="false" ht="15" hidden="false" customHeight="false" outlineLevel="0" collapsed="false">
      <c r="A774" s="32"/>
      <c r="B774" s="19"/>
      <c r="C774" s="19"/>
      <c r="D774" s="19"/>
      <c r="E774" s="21"/>
      <c r="F774" s="19"/>
      <c r="G774" s="27" t="str">
        <f aca="false">IF(B774="","",IFERROR(INDEX(Jeux!$C$2:$C$3001,MATCH(B774,Jeux!$A$2:$A$3001,0))&amp;"","⚠ jeu inconnu"))</f>
        <v/>
      </c>
      <c r="H774" s="27" t="str">
        <f aca="false">IF(B774="","",IFERROR(INDEX(Jeux!$D$2:$D$3001,MATCH(B774,Jeux!$A$2:$A$3001,0))&amp;"",""))</f>
        <v/>
      </c>
      <c r="I774" s="26" t="str">
        <f aca="false">IF(A774="","",COUNTIF(Apparitions!$G$2:$G$5001,A774))</f>
        <v/>
      </c>
      <c r="J774" s="26" t="str">
        <f aca="false">IF(A774="","",COUNTIFS(Apparitions!$G$2:$G$5001,A774,Apparitions!$E$2:$E$5001,"○"))</f>
        <v/>
      </c>
      <c r="K774" s="29" t="str">
        <f aca="false">IF(A774="","",IFERROR(1/(1/_xlfn.MINIFS(Apparitions!$L$2:$L$5001,Apparitions!$G$2:$G$5001,A774)),""))</f>
        <v/>
      </c>
      <c r="L774" s="27" t="str">
        <f aca="false">IF(A774="","",A774&amp;" | "&amp;B774&amp;IF(C774="",""," ("&amp;C774&amp;")")&amp;IF(D774="",""," - "&amp;D774))</f>
        <v/>
      </c>
    </row>
    <row r="775" customFormat="false" ht="15" hidden="false" customHeight="false" outlineLevel="0" collapsed="false">
      <c r="A775" s="32"/>
      <c r="B775" s="19"/>
      <c r="C775" s="19"/>
      <c r="D775" s="19"/>
      <c r="E775" s="21"/>
      <c r="F775" s="19"/>
      <c r="G775" s="27" t="str">
        <f aca="false">IF(B775="","",IFERROR(INDEX(Jeux!$C$2:$C$3001,MATCH(B775,Jeux!$A$2:$A$3001,0))&amp;"","⚠ jeu inconnu"))</f>
        <v/>
      </c>
      <c r="H775" s="27" t="str">
        <f aca="false">IF(B775="","",IFERROR(INDEX(Jeux!$D$2:$D$3001,MATCH(B775,Jeux!$A$2:$A$3001,0))&amp;"",""))</f>
        <v/>
      </c>
      <c r="I775" s="26" t="str">
        <f aca="false">IF(A775="","",COUNTIF(Apparitions!$G$2:$G$5001,A775))</f>
        <v/>
      </c>
      <c r="J775" s="26" t="str">
        <f aca="false">IF(A775="","",COUNTIFS(Apparitions!$G$2:$G$5001,A775,Apparitions!$E$2:$E$5001,"○"))</f>
        <v/>
      </c>
      <c r="K775" s="29" t="str">
        <f aca="false">IF(A775="","",IFERROR(1/(1/_xlfn.MINIFS(Apparitions!$L$2:$L$5001,Apparitions!$G$2:$G$5001,A775)),""))</f>
        <v/>
      </c>
      <c r="L775" s="27" t="str">
        <f aca="false">IF(A775="","",A775&amp;" | "&amp;B775&amp;IF(C775="",""," ("&amp;C775&amp;")")&amp;IF(D775="",""," - "&amp;D775))</f>
        <v/>
      </c>
    </row>
    <row r="776" customFormat="false" ht="15" hidden="false" customHeight="false" outlineLevel="0" collapsed="false">
      <c r="A776" s="32"/>
      <c r="B776" s="19"/>
      <c r="C776" s="19"/>
      <c r="D776" s="19"/>
      <c r="E776" s="21"/>
      <c r="F776" s="19"/>
      <c r="G776" s="27" t="str">
        <f aca="false">IF(B776="","",IFERROR(INDEX(Jeux!$C$2:$C$3001,MATCH(B776,Jeux!$A$2:$A$3001,0))&amp;"","⚠ jeu inconnu"))</f>
        <v/>
      </c>
      <c r="H776" s="27" t="str">
        <f aca="false">IF(B776="","",IFERROR(INDEX(Jeux!$D$2:$D$3001,MATCH(B776,Jeux!$A$2:$A$3001,0))&amp;"",""))</f>
        <v/>
      </c>
      <c r="I776" s="26" t="str">
        <f aca="false">IF(A776="","",COUNTIF(Apparitions!$G$2:$G$5001,A776))</f>
        <v/>
      </c>
      <c r="J776" s="26" t="str">
        <f aca="false">IF(A776="","",COUNTIFS(Apparitions!$G$2:$G$5001,A776,Apparitions!$E$2:$E$5001,"○"))</f>
        <v/>
      </c>
      <c r="K776" s="29" t="str">
        <f aca="false">IF(A776="","",IFERROR(1/(1/_xlfn.MINIFS(Apparitions!$L$2:$L$5001,Apparitions!$G$2:$G$5001,A776)),""))</f>
        <v/>
      </c>
      <c r="L776" s="27" t="str">
        <f aca="false">IF(A776="","",A776&amp;" | "&amp;B776&amp;IF(C776="",""," ("&amp;C776&amp;")")&amp;IF(D776="",""," - "&amp;D776))</f>
        <v/>
      </c>
    </row>
    <row r="777" customFormat="false" ht="15" hidden="false" customHeight="false" outlineLevel="0" collapsed="false">
      <c r="A777" s="32"/>
      <c r="B777" s="19"/>
      <c r="C777" s="19"/>
      <c r="D777" s="19"/>
      <c r="E777" s="21"/>
      <c r="F777" s="19"/>
      <c r="G777" s="27" t="str">
        <f aca="false">IF(B777="","",IFERROR(INDEX(Jeux!$C$2:$C$3001,MATCH(B777,Jeux!$A$2:$A$3001,0))&amp;"","⚠ jeu inconnu"))</f>
        <v/>
      </c>
      <c r="H777" s="27" t="str">
        <f aca="false">IF(B777="","",IFERROR(INDEX(Jeux!$D$2:$D$3001,MATCH(B777,Jeux!$A$2:$A$3001,0))&amp;"",""))</f>
        <v/>
      </c>
      <c r="I777" s="26" t="str">
        <f aca="false">IF(A777="","",COUNTIF(Apparitions!$G$2:$G$5001,A777))</f>
        <v/>
      </c>
      <c r="J777" s="26" t="str">
        <f aca="false">IF(A777="","",COUNTIFS(Apparitions!$G$2:$G$5001,A777,Apparitions!$E$2:$E$5001,"○"))</f>
        <v/>
      </c>
      <c r="K777" s="29" t="str">
        <f aca="false">IF(A777="","",IFERROR(1/(1/_xlfn.MINIFS(Apparitions!$L$2:$L$5001,Apparitions!$G$2:$G$5001,A777)),""))</f>
        <v/>
      </c>
      <c r="L777" s="27" t="str">
        <f aca="false">IF(A777="","",A777&amp;" | "&amp;B777&amp;IF(C777="",""," ("&amp;C777&amp;")")&amp;IF(D777="",""," - "&amp;D777))</f>
        <v/>
      </c>
    </row>
    <row r="778" customFormat="false" ht="15" hidden="false" customHeight="false" outlineLevel="0" collapsed="false">
      <c r="A778" s="32"/>
      <c r="B778" s="19"/>
      <c r="C778" s="19"/>
      <c r="D778" s="19"/>
      <c r="E778" s="21"/>
      <c r="F778" s="19"/>
      <c r="G778" s="27" t="str">
        <f aca="false">IF(B778="","",IFERROR(INDEX(Jeux!$C$2:$C$3001,MATCH(B778,Jeux!$A$2:$A$3001,0))&amp;"","⚠ jeu inconnu"))</f>
        <v/>
      </c>
      <c r="H778" s="27" t="str">
        <f aca="false">IF(B778="","",IFERROR(INDEX(Jeux!$D$2:$D$3001,MATCH(B778,Jeux!$A$2:$A$3001,0))&amp;"",""))</f>
        <v/>
      </c>
      <c r="I778" s="26" t="str">
        <f aca="false">IF(A778="","",COUNTIF(Apparitions!$G$2:$G$5001,A778))</f>
        <v/>
      </c>
      <c r="J778" s="26" t="str">
        <f aca="false">IF(A778="","",COUNTIFS(Apparitions!$G$2:$G$5001,A778,Apparitions!$E$2:$E$5001,"○"))</f>
        <v/>
      </c>
      <c r="K778" s="29" t="str">
        <f aca="false">IF(A778="","",IFERROR(1/(1/_xlfn.MINIFS(Apparitions!$L$2:$L$5001,Apparitions!$G$2:$G$5001,A778)),""))</f>
        <v/>
      </c>
      <c r="L778" s="27" t="str">
        <f aca="false">IF(A778="","",A778&amp;" | "&amp;B778&amp;IF(C778="",""," ("&amp;C778&amp;")")&amp;IF(D778="",""," - "&amp;D778))</f>
        <v/>
      </c>
    </row>
    <row r="779" customFormat="false" ht="15" hidden="false" customHeight="false" outlineLevel="0" collapsed="false">
      <c r="A779" s="32"/>
      <c r="B779" s="19"/>
      <c r="C779" s="19"/>
      <c r="D779" s="19"/>
      <c r="E779" s="21"/>
      <c r="F779" s="19"/>
      <c r="G779" s="27" t="str">
        <f aca="false">IF(B779="","",IFERROR(INDEX(Jeux!$C$2:$C$3001,MATCH(B779,Jeux!$A$2:$A$3001,0))&amp;"","⚠ jeu inconnu"))</f>
        <v/>
      </c>
      <c r="H779" s="27" t="str">
        <f aca="false">IF(B779="","",IFERROR(INDEX(Jeux!$D$2:$D$3001,MATCH(B779,Jeux!$A$2:$A$3001,0))&amp;"",""))</f>
        <v/>
      </c>
      <c r="I779" s="26" t="str">
        <f aca="false">IF(A779="","",COUNTIF(Apparitions!$G$2:$G$5001,A779))</f>
        <v/>
      </c>
      <c r="J779" s="26" t="str">
        <f aca="false">IF(A779="","",COUNTIFS(Apparitions!$G$2:$G$5001,A779,Apparitions!$E$2:$E$5001,"○"))</f>
        <v/>
      </c>
      <c r="K779" s="29" t="str">
        <f aca="false">IF(A779="","",IFERROR(1/(1/_xlfn.MINIFS(Apparitions!$L$2:$L$5001,Apparitions!$G$2:$G$5001,A779)),""))</f>
        <v/>
      </c>
      <c r="L779" s="27" t="str">
        <f aca="false">IF(A779="","",A779&amp;" | "&amp;B779&amp;IF(C779="",""," ("&amp;C779&amp;")")&amp;IF(D779="",""," - "&amp;D779))</f>
        <v/>
      </c>
    </row>
    <row r="780" customFormat="false" ht="15" hidden="false" customHeight="false" outlineLevel="0" collapsed="false">
      <c r="A780" s="32"/>
      <c r="B780" s="19"/>
      <c r="C780" s="19"/>
      <c r="D780" s="19"/>
      <c r="E780" s="21"/>
      <c r="F780" s="19"/>
      <c r="G780" s="27" t="str">
        <f aca="false">IF(B780="","",IFERROR(INDEX(Jeux!$C$2:$C$3001,MATCH(B780,Jeux!$A$2:$A$3001,0))&amp;"","⚠ jeu inconnu"))</f>
        <v/>
      </c>
      <c r="H780" s="27" t="str">
        <f aca="false">IF(B780="","",IFERROR(INDEX(Jeux!$D$2:$D$3001,MATCH(B780,Jeux!$A$2:$A$3001,0))&amp;"",""))</f>
        <v/>
      </c>
      <c r="I780" s="26" t="str">
        <f aca="false">IF(A780="","",COUNTIF(Apparitions!$G$2:$G$5001,A780))</f>
        <v/>
      </c>
      <c r="J780" s="26" t="str">
        <f aca="false">IF(A780="","",COUNTIFS(Apparitions!$G$2:$G$5001,A780,Apparitions!$E$2:$E$5001,"○"))</f>
        <v/>
      </c>
      <c r="K780" s="29" t="str">
        <f aca="false">IF(A780="","",IFERROR(1/(1/_xlfn.MINIFS(Apparitions!$L$2:$L$5001,Apparitions!$G$2:$G$5001,A780)),""))</f>
        <v/>
      </c>
      <c r="L780" s="27" t="str">
        <f aca="false">IF(A780="","",A780&amp;" | "&amp;B780&amp;IF(C780="",""," ("&amp;C780&amp;")")&amp;IF(D780="",""," - "&amp;D780))</f>
        <v/>
      </c>
    </row>
    <row r="781" customFormat="false" ht="15" hidden="false" customHeight="false" outlineLevel="0" collapsed="false">
      <c r="A781" s="32"/>
      <c r="B781" s="19"/>
      <c r="C781" s="19"/>
      <c r="D781" s="19"/>
      <c r="E781" s="21"/>
      <c r="F781" s="19"/>
      <c r="G781" s="27" t="str">
        <f aca="false">IF(B781="","",IFERROR(INDEX(Jeux!$C$2:$C$3001,MATCH(B781,Jeux!$A$2:$A$3001,0))&amp;"","⚠ jeu inconnu"))</f>
        <v/>
      </c>
      <c r="H781" s="27" t="str">
        <f aca="false">IF(B781="","",IFERROR(INDEX(Jeux!$D$2:$D$3001,MATCH(B781,Jeux!$A$2:$A$3001,0))&amp;"",""))</f>
        <v/>
      </c>
      <c r="I781" s="26" t="str">
        <f aca="false">IF(A781="","",COUNTIF(Apparitions!$G$2:$G$5001,A781))</f>
        <v/>
      </c>
      <c r="J781" s="26" t="str">
        <f aca="false">IF(A781="","",COUNTIFS(Apparitions!$G$2:$G$5001,A781,Apparitions!$E$2:$E$5001,"○"))</f>
        <v/>
      </c>
      <c r="K781" s="29" t="str">
        <f aca="false">IF(A781="","",IFERROR(1/(1/_xlfn.MINIFS(Apparitions!$L$2:$L$5001,Apparitions!$G$2:$G$5001,A781)),""))</f>
        <v/>
      </c>
      <c r="L781" s="27" t="str">
        <f aca="false">IF(A781="","",A781&amp;" | "&amp;B781&amp;IF(C781="",""," ("&amp;C781&amp;")")&amp;IF(D781="",""," - "&amp;D781))</f>
        <v/>
      </c>
    </row>
    <row r="782" customFormat="false" ht="15" hidden="false" customHeight="false" outlineLevel="0" collapsed="false">
      <c r="A782" s="32"/>
      <c r="B782" s="19"/>
      <c r="C782" s="19"/>
      <c r="D782" s="19"/>
      <c r="E782" s="21"/>
      <c r="F782" s="19"/>
      <c r="G782" s="27" t="str">
        <f aca="false">IF(B782="","",IFERROR(INDEX(Jeux!$C$2:$C$3001,MATCH(B782,Jeux!$A$2:$A$3001,0))&amp;"","⚠ jeu inconnu"))</f>
        <v/>
      </c>
      <c r="H782" s="27" t="str">
        <f aca="false">IF(B782="","",IFERROR(INDEX(Jeux!$D$2:$D$3001,MATCH(B782,Jeux!$A$2:$A$3001,0))&amp;"",""))</f>
        <v/>
      </c>
      <c r="I782" s="26" t="str">
        <f aca="false">IF(A782="","",COUNTIF(Apparitions!$G$2:$G$5001,A782))</f>
        <v/>
      </c>
      <c r="J782" s="26" t="str">
        <f aca="false">IF(A782="","",COUNTIFS(Apparitions!$G$2:$G$5001,A782,Apparitions!$E$2:$E$5001,"○"))</f>
        <v/>
      </c>
      <c r="K782" s="29" t="str">
        <f aca="false">IF(A782="","",IFERROR(1/(1/_xlfn.MINIFS(Apparitions!$L$2:$L$5001,Apparitions!$G$2:$G$5001,A782)),""))</f>
        <v/>
      </c>
      <c r="L782" s="27" t="str">
        <f aca="false">IF(A782="","",A782&amp;" | "&amp;B782&amp;IF(C782="",""," ("&amp;C782&amp;")")&amp;IF(D782="",""," - "&amp;D782))</f>
        <v/>
      </c>
    </row>
    <row r="783" customFormat="false" ht="15" hidden="false" customHeight="false" outlineLevel="0" collapsed="false">
      <c r="A783" s="32"/>
      <c r="B783" s="19"/>
      <c r="C783" s="19"/>
      <c r="D783" s="19"/>
      <c r="E783" s="21"/>
      <c r="F783" s="19"/>
      <c r="G783" s="27" t="str">
        <f aca="false">IF(B783="","",IFERROR(INDEX(Jeux!$C$2:$C$3001,MATCH(B783,Jeux!$A$2:$A$3001,0))&amp;"","⚠ jeu inconnu"))</f>
        <v/>
      </c>
      <c r="H783" s="27" t="str">
        <f aca="false">IF(B783="","",IFERROR(INDEX(Jeux!$D$2:$D$3001,MATCH(B783,Jeux!$A$2:$A$3001,0))&amp;"",""))</f>
        <v/>
      </c>
      <c r="I783" s="26" t="str">
        <f aca="false">IF(A783="","",COUNTIF(Apparitions!$G$2:$G$5001,A783))</f>
        <v/>
      </c>
      <c r="J783" s="26" t="str">
        <f aca="false">IF(A783="","",COUNTIFS(Apparitions!$G$2:$G$5001,A783,Apparitions!$E$2:$E$5001,"○"))</f>
        <v/>
      </c>
      <c r="K783" s="29" t="str">
        <f aca="false">IF(A783="","",IFERROR(1/(1/_xlfn.MINIFS(Apparitions!$L$2:$L$5001,Apparitions!$G$2:$G$5001,A783)),""))</f>
        <v/>
      </c>
      <c r="L783" s="27" t="str">
        <f aca="false">IF(A783="","",A783&amp;" | "&amp;B783&amp;IF(C783="",""," ("&amp;C783&amp;")")&amp;IF(D783="",""," - "&amp;D783))</f>
        <v/>
      </c>
    </row>
    <row r="784" customFormat="false" ht="15" hidden="false" customHeight="false" outlineLevel="0" collapsed="false">
      <c r="A784" s="32"/>
      <c r="B784" s="19"/>
      <c r="C784" s="19"/>
      <c r="D784" s="19"/>
      <c r="E784" s="21"/>
      <c r="F784" s="19"/>
      <c r="G784" s="27" t="str">
        <f aca="false">IF(B784="","",IFERROR(INDEX(Jeux!$C$2:$C$3001,MATCH(B784,Jeux!$A$2:$A$3001,0))&amp;"","⚠ jeu inconnu"))</f>
        <v/>
      </c>
      <c r="H784" s="27" t="str">
        <f aca="false">IF(B784="","",IFERROR(INDEX(Jeux!$D$2:$D$3001,MATCH(B784,Jeux!$A$2:$A$3001,0))&amp;"",""))</f>
        <v/>
      </c>
      <c r="I784" s="26" t="str">
        <f aca="false">IF(A784="","",COUNTIF(Apparitions!$G$2:$G$5001,A784))</f>
        <v/>
      </c>
      <c r="J784" s="26" t="str">
        <f aca="false">IF(A784="","",COUNTIFS(Apparitions!$G$2:$G$5001,A784,Apparitions!$E$2:$E$5001,"○"))</f>
        <v/>
      </c>
      <c r="K784" s="29" t="str">
        <f aca="false">IF(A784="","",IFERROR(1/(1/_xlfn.MINIFS(Apparitions!$L$2:$L$5001,Apparitions!$G$2:$G$5001,A784)),""))</f>
        <v/>
      </c>
      <c r="L784" s="27" t="str">
        <f aca="false">IF(A784="","",A784&amp;" | "&amp;B784&amp;IF(C784="",""," ("&amp;C784&amp;")")&amp;IF(D784="",""," - "&amp;D784))</f>
        <v/>
      </c>
    </row>
    <row r="785" customFormat="false" ht="15" hidden="false" customHeight="false" outlineLevel="0" collapsed="false">
      <c r="A785" s="32"/>
      <c r="B785" s="19"/>
      <c r="C785" s="19"/>
      <c r="D785" s="19"/>
      <c r="E785" s="21"/>
      <c r="F785" s="19"/>
      <c r="G785" s="27" t="str">
        <f aca="false">IF(B785="","",IFERROR(INDEX(Jeux!$C$2:$C$3001,MATCH(B785,Jeux!$A$2:$A$3001,0))&amp;"","⚠ jeu inconnu"))</f>
        <v/>
      </c>
      <c r="H785" s="27" t="str">
        <f aca="false">IF(B785="","",IFERROR(INDEX(Jeux!$D$2:$D$3001,MATCH(B785,Jeux!$A$2:$A$3001,0))&amp;"",""))</f>
        <v/>
      </c>
      <c r="I785" s="26" t="str">
        <f aca="false">IF(A785="","",COUNTIF(Apparitions!$G$2:$G$5001,A785))</f>
        <v/>
      </c>
      <c r="J785" s="26" t="str">
        <f aca="false">IF(A785="","",COUNTIFS(Apparitions!$G$2:$G$5001,A785,Apparitions!$E$2:$E$5001,"○"))</f>
        <v/>
      </c>
      <c r="K785" s="29" t="str">
        <f aca="false">IF(A785="","",IFERROR(1/(1/_xlfn.MINIFS(Apparitions!$L$2:$L$5001,Apparitions!$G$2:$G$5001,A785)),""))</f>
        <v/>
      </c>
      <c r="L785" s="27" t="str">
        <f aca="false">IF(A785="","",A785&amp;" | "&amp;B785&amp;IF(C785="",""," ("&amp;C785&amp;")")&amp;IF(D785="",""," - "&amp;D785))</f>
        <v/>
      </c>
    </row>
    <row r="786" customFormat="false" ht="15" hidden="false" customHeight="false" outlineLevel="0" collapsed="false">
      <c r="A786" s="32"/>
      <c r="B786" s="19"/>
      <c r="C786" s="19"/>
      <c r="D786" s="19"/>
      <c r="E786" s="21"/>
      <c r="F786" s="19"/>
      <c r="G786" s="27" t="str">
        <f aca="false">IF(B786="","",IFERROR(INDEX(Jeux!$C$2:$C$3001,MATCH(B786,Jeux!$A$2:$A$3001,0))&amp;"","⚠ jeu inconnu"))</f>
        <v/>
      </c>
      <c r="H786" s="27" t="str">
        <f aca="false">IF(B786="","",IFERROR(INDEX(Jeux!$D$2:$D$3001,MATCH(B786,Jeux!$A$2:$A$3001,0))&amp;"",""))</f>
        <v/>
      </c>
      <c r="I786" s="26" t="str">
        <f aca="false">IF(A786="","",COUNTIF(Apparitions!$G$2:$G$5001,A786))</f>
        <v/>
      </c>
      <c r="J786" s="26" t="str">
        <f aca="false">IF(A786="","",COUNTIFS(Apparitions!$G$2:$G$5001,A786,Apparitions!$E$2:$E$5001,"○"))</f>
        <v/>
      </c>
      <c r="K786" s="29" t="str">
        <f aca="false">IF(A786="","",IFERROR(1/(1/_xlfn.MINIFS(Apparitions!$L$2:$L$5001,Apparitions!$G$2:$G$5001,A786)),""))</f>
        <v/>
      </c>
      <c r="L786" s="27" t="str">
        <f aca="false">IF(A786="","",A786&amp;" | "&amp;B786&amp;IF(C786="",""," ("&amp;C786&amp;")")&amp;IF(D786="",""," - "&amp;D786))</f>
        <v/>
      </c>
    </row>
    <row r="787" customFormat="false" ht="15" hidden="false" customHeight="false" outlineLevel="0" collapsed="false">
      <c r="A787" s="32"/>
      <c r="B787" s="19"/>
      <c r="C787" s="19"/>
      <c r="D787" s="19"/>
      <c r="E787" s="21"/>
      <c r="F787" s="19"/>
      <c r="G787" s="27" t="str">
        <f aca="false">IF(B787="","",IFERROR(INDEX(Jeux!$C$2:$C$3001,MATCH(B787,Jeux!$A$2:$A$3001,0))&amp;"","⚠ jeu inconnu"))</f>
        <v/>
      </c>
      <c r="H787" s="27" t="str">
        <f aca="false">IF(B787="","",IFERROR(INDEX(Jeux!$D$2:$D$3001,MATCH(B787,Jeux!$A$2:$A$3001,0))&amp;"",""))</f>
        <v/>
      </c>
      <c r="I787" s="26" t="str">
        <f aca="false">IF(A787="","",COUNTIF(Apparitions!$G$2:$G$5001,A787))</f>
        <v/>
      </c>
      <c r="J787" s="26" t="str">
        <f aca="false">IF(A787="","",COUNTIFS(Apparitions!$G$2:$G$5001,A787,Apparitions!$E$2:$E$5001,"○"))</f>
        <v/>
      </c>
      <c r="K787" s="29" t="str">
        <f aca="false">IF(A787="","",IFERROR(1/(1/_xlfn.MINIFS(Apparitions!$L$2:$L$5001,Apparitions!$G$2:$G$5001,A787)),""))</f>
        <v/>
      </c>
      <c r="L787" s="27" t="str">
        <f aca="false">IF(A787="","",A787&amp;" | "&amp;B787&amp;IF(C787="",""," ("&amp;C787&amp;")")&amp;IF(D787="",""," - "&amp;D787))</f>
        <v/>
      </c>
    </row>
    <row r="788" customFormat="false" ht="15" hidden="false" customHeight="false" outlineLevel="0" collapsed="false">
      <c r="A788" s="32"/>
      <c r="B788" s="19"/>
      <c r="C788" s="19"/>
      <c r="D788" s="19"/>
      <c r="E788" s="21"/>
      <c r="F788" s="19"/>
      <c r="G788" s="27" t="str">
        <f aca="false">IF(B788="","",IFERROR(INDEX(Jeux!$C$2:$C$3001,MATCH(B788,Jeux!$A$2:$A$3001,0))&amp;"","⚠ jeu inconnu"))</f>
        <v/>
      </c>
      <c r="H788" s="27" t="str">
        <f aca="false">IF(B788="","",IFERROR(INDEX(Jeux!$D$2:$D$3001,MATCH(B788,Jeux!$A$2:$A$3001,0))&amp;"",""))</f>
        <v/>
      </c>
      <c r="I788" s="26" t="str">
        <f aca="false">IF(A788="","",COUNTIF(Apparitions!$G$2:$G$5001,A788))</f>
        <v/>
      </c>
      <c r="J788" s="26" t="str">
        <f aca="false">IF(A788="","",COUNTIFS(Apparitions!$G$2:$G$5001,A788,Apparitions!$E$2:$E$5001,"○"))</f>
        <v/>
      </c>
      <c r="K788" s="29" t="str">
        <f aca="false">IF(A788="","",IFERROR(1/(1/_xlfn.MINIFS(Apparitions!$L$2:$L$5001,Apparitions!$G$2:$G$5001,A788)),""))</f>
        <v/>
      </c>
      <c r="L788" s="27" t="str">
        <f aca="false">IF(A788="","",A788&amp;" | "&amp;B788&amp;IF(C788="",""," ("&amp;C788&amp;")")&amp;IF(D788="",""," - "&amp;D788))</f>
        <v/>
      </c>
    </row>
    <row r="789" customFormat="false" ht="15" hidden="false" customHeight="false" outlineLevel="0" collapsed="false">
      <c r="A789" s="32"/>
      <c r="B789" s="19"/>
      <c r="C789" s="19"/>
      <c r="D789" s="19"/>
      <c r="E789" s="21"/>
      <c r="F789" s="19"/>
      <c r="G789" s="27" t="str">
        <f aca="false">IF(B789="","",IFERROR(INDEX(Jeux!$C$2:$C$3001,MATCH(B789,Jeux!$A$2:$A$3001,0))&amp;"","⚠ jeu inconnu"))</f>
        <v/>
      </c>
      <c r="H789" s="27" t="str">
        <f aca="false">IF(B789="","",IFERROR(INDEX(Jeux!$D$2:$D$3001,MATCH(B789,Jeux!$A$2:$A$3001,0))&amp;"",""))</f>
        <v/>
      </c>
      <c r="I789" s="26" t="str">
        <f aca="false">IF(A789="","",COUNTIF(Apparitions!$G$2:$G$5001,A789))</f>
        <v/>
      </c>
      <c r="J789" s="26" t="str">
        <f aca="false">IF(A789="","",COUNTIFS(Apparitions!$G$2:$G$5001,A789,Apparitions!$E$2:$E$5001,"○"))</f>
        <v/>
      </c>
      <c r="K789" s="29" t="str">
        <f aca="false">IF(A789="","",IFERROR(1/(1/_xlfn.MINIFS(Apparitions!$L$2:$L$5001,Apparitions!$G$2:$G$5001,A789)),""))</f>
        <v/>
      </c>
      <c r="L789" s="27" t="str">
        <f aca="false">IF(A789="","",A789&amp;" | "&amp;B789&amp;IF(C789="",""," ("&amp;C789&amp;")")&amp;IF(D789="",""," - "&amp;D789))</f>
        <v/>
      </c>
    </row>
    <row r="790" customFormat="false" ht="15" hidden="false" customHeight="false" outlineLevel="0" collapsed="false">
      <c r="A790" s="32"/>
      <c r="B790" s="19"/>
      <c r="C790" s="19"/>
      <c r="D790" s="19"/>
      <c r="E790" s="21"/>
      <c r="F790" s="19"/>
      <c r="G790" s="27" t="str">
        <f aca="false">IF(B790="","",IFERROR(INDEX(Jeux!$C$2:$C$3001,MATCH(B790,Jeux!$A$2:$A$3001,0))&amp;"","⚠ jeu inconnu"))</f>
        <v/>
      </c>
      <c r="H790" s="27" t="str">
        <f aca="false">IF(B790="","",IFERROR(INDEX(Jeux!$D$2:$D$3001,MATCH(B790,Jeux!$A$2:$A$3001,0))&amp;"",""))</f>
        <v/>
      </c>
      <c r="I790" s="26" t="str">
        <f aca="false">IF(A790="","",COUNTIF(Apparitions!$G$2:$G$5001,A790))</f>
        <v/>
      </c>
      <c r="J790" s="26" t="str">
        <f aca="false">IF(A790="","",COUNTIFS(Apparitions!$G$2:$G$5001,A790,Apparitions!$E$2:$E$5001,"○"))</f>
        <v/>
      </c>
      <c r="K790" s="29" t="str">
        <f aca="false">IF(A790="","",IFERROR(1/(1/_xlfn.MINIFS(Apparitions!$L$2:$L$5001,Apparitions!$G$2:$G$5001,A790)),""))</f>
        <v/>
      </c>
      <c r="L790" s="27" t="str">
        <f aca="false">IF(A790="","",A790&amp;" | "&amp;B790&amp;IF(C790="",""," ("&amp;C790&amp;")")&amp;IF(D790="",""," - "&amp;D790))</f>
        <v/>
      </c>
    </row>
    <row r="791" customFormat="false" ht="15" hidden="false" customHeight="false" outlineLevel="0" collapsed="false">
      <c r="A791" s="32"/>
      <c r="B791" s="19"/>
      <c r="C791" s="19"/>
      <c r="D791" s="19"/>
      <c r="E791" s="21"/>
      <c r="F791" s="19"/>
      <c r="G791" s="27" t="str">
        <f aca="false">IF(B791="","",IFERROR(INDEX(Jeux!$C$2:$C$3001,MATCH(B791,Jeux!$A$2:$A$3001,0))&amp;"","⚠ jeu inconnu"))</f>
        <v/>
      </c>
      <c r="H791" s="27" t="str">
        <f aca="false">IF(B791="","",IFERROR(INDEX(Jeux!$D$2:$D$3001,MATCH(B791,Jeux!$A$2:$A$3001,0))&amp;"",""))</f>
        <v/>
      </c>
      <c r="I791" s="26" t="str">
        <f aca="false">IF(A791="","",COUNTIF(Apparitions!$G$2:$G$5001,A791))</f>
        <v/>
      </c>
      <c r="J791" s="26" t="str">
        <f aca="false">IF(A791="","",COUNTIFS(Apparitions!$G$2:$G$5001,A791,Apparitions!$E$2:$E$5001,"○"))</f>
        <v/>
      </c>
      <c r="K791" s="29" t="str">
        <f aca="false">IF(A791="","",IFERROR(1/(1/_xlfn.MINIFS(Apparitions!$L$2:$L$5001,Apparitions!$G$2:$G$5001,A791)),""))</f>
        <v/>
      </c>
      <c r="L791" s="27" t="str">
        <f aca="false">IF(A791="","",A791&amp;" | "&amp;B791&amp;IF(C791="",""," ("&amp;C791&amp;")")&amp;IF(D791="",""," - "&amp;D791))</f>
        <v/>
      </c>
    </row>
    <row r="792" customFormat="false" ht="15" hidden="false" customHeight="false" outlineLevel="0" collapsed="false">
      <c r="A792" s="32"/>
      <c r="B792" s="19"/>
      <c r="C792" s="19"/>
      <c r="D792" s="19"/>
      <c r="E792" s="21"/>
      <c r="F792" s="19"/>
      <c r="G792" s="27" t="str">
        <f aca="false">IF(B792="","",IFERROR(INDEX(Jeux!$C$2:$C$3001,MATCH(B792,Jeux!$A$2:$A$3001,0))&amp;"","⚠ jeu inconnu"))</f>
        <v/>
      </c>
      <c r="H792" s="27" t="str">
        <f aca="false">IF(B792="","",IFERROR(INDEX(Jeux!$D$2:$D$3001,MATCH(B792,Jeux!$A$2:$A$3001,0))&amp;"",""))</f>
        <v/>
      </c>
      <c r="I792" s="26" t="str">
        <f aca="false">IF(A792="","",COUNTIF(Apparitions!$G$2:$G$5001,A792))</f>
        <v/>
      </c>
      <c r="J792" s="26" t="str">
        <f aca="false">IF(A792="","",COUNTIFS(Apparitions!$G$2:$G$5001,A792,Apparitions!$E$2:$E$5001,"○"))</f>
        <v/>
      </c>
      <c r="K792" s="29" t="str">
        <f aca="false">IF(A792="","",IFERROR(1/(1/_xlfn.MINIFS(Apparitions!$L$2:$L$5001,Apparitions!$G$2:$G$5001,A792)),""))</f>
        <v/>
      </c>
      <c r="L792" s="27" t="str">
        <f aca="false">IF(A792="","",A792&amp;" | "&amp;B792&amp;IF(C792="",""," ("&amp;C792&amp;")")&amp;IF(D792="",""," - "&amp;D792))</f>
        <v/>
      </c>
    </row>
    <row r="793" customFormat="false" ht="15" hidden="false" customHeight="false" outlineLevel="0" collapsed="false">
      <c r="A793" s="32"/>
      <c r="B793" s="19"/>
      <c r="C793" s="19"/>
      <c r="D793" s="19"/>
      <c r="E793" s="21"/>
      <c r="F793" s="19"/>
      <c r="G793" s="27" t="str">
        <f aca="false">IF(B793="","",IFERROR(INDEX(Jeux!$C$2:$C$3001,MATCH(B793,Jeux!$A$2:$A$3001,0))&amp;"","⚠ jeu inconnu"))</f>
        <v/>
      </c>
      <c r="H793" s="27" t="str">
        <f aca="false">IF(B793="","",IFERROR(INDEX(Jeux!$D$2:$D$3001,MATCH(B793,Jeux!$A$2:$A$3001,0))&amp;"",""))</f>
        <v/>
      </c>
      <c r="I793" s="26" t="str">
        <f aca="false">IF(A793="","",COUNTIF(Apparitions!$G$2:$G$5001,A793))</f>
        <v/>
      </c>
      <c r="J793" s="26" t="str">
        <f aca="false">IF(A793="","",COUNTIFS(Apparitions!$G$2:$G$5001,A793,Apparitions!$E$2:$E$5001,"○"))</f>
        <v/>
      </c>
      <c r="K793" s="29" t="str">
        <f aca="false">IF(A793="","",IFERROR(1/(1/_xlfn.MINIFS(Apparitions!$L$2:$L$5001,Apparitions!$G$2:$G$5001,A793)),""))</f>
        <v/>
      </c>
      <c r="L793" s="27" t="str">
        <f aca="false">IF(A793="","",A793&amp;" | "&amp;B793&amp;IF(C793="",""," ("&amp;C793&amp;")")&amp;IF(D793="",""," - "&amp;D793))</f>
        <v/>
      </c>
    </row>
    <row r="794" customFormat="false" ht="15" hidden="false" customHeight="false" outlineLevel="0" collapsed="false">
      <c r="A794" s="32"/>
      <c r="B794" s="19"/>
      <c r="C794" s="19"/>
      <c r="D794" s="19"/>
      <c r="E794" s="21"/>
      <c r="F794" s="19"/>
      <c r="G794" s="27" t="str">
        <f aca="false">IF(B794="","",IFERROR(INDEX(Jeux!$C$2:$C$3001,MATCH(B794,Jeux!$A$2:$A$3001,0))&amp;"","⚠ jeu inconnu"))</f>
        <v/>
      </c>
      <c r="H794" s="27" t="str">
        <f aca="false">IF(B794="","",IFERROR(INDEX(Jeux!$D$2:$D$3001,MATCH(B794,Jeux!$A$2:$A$3001,0))&amp;"",""))</f>
        <v/>
      </c>
      <c r="I794" s="26" t="str">
        <f aca="false">IF(A794="","",COUNTIF(Apparitions!$G$2:$G$5001,A794))</f>
        <v/>
      </c>
      <c r="J794" s="26" t="str">
        <f aca="false">IF(A794="","",COUNTIFS(Apparitions!$G$2:$G$5001,A794,Apparitions!$E$2:$E$5001,"○"))</f>
        <v/>
      </c>
      <c r="K794" s="29" t="str">
        <f aca="false">IF(A794="","",IFERROR(1/(1/_xlfn.MINIFS(Apparitions!$L$2:$L$5001,Apparitions!$G$2:$G$5001,A794)),""))</f>
        <v/>
      </c>
      <c r="L794" s="27" t="str">
        <f aca="false">IF(A794="","",A794&amp;" | "&amp;B794&amp;IF(C794="",""," ("&amp;C794&amp;")")&amp;IF(D794="",""," - "&amp;D794))</f>
        <v/>
      </c>
    </row>
    <row r="795" customFormat="false" ht="15" hidden="false" customHeight="false" outlineLevel="0" collapsed="false">
      <c r="A795" s="32"/>
      <c r="B795" s="19"/>
      <c r="C795" s="19"/>
      <c r="D795" s="19"/>
      <c r="E795" s="21"/>
      <c r="F795" s="19"/>
      <c r="G795" s="27" t="str">
        <f aca="false">IF(B795="","",IFERROR(INDEX(Jeux!$C$2:$C$3001,MATCH(B795,Jeux!$A$2:$A$3001,0))&amp;"","⚠ jeu inconnu"))</f>
        <v/>
      </c>
      <c r="H795" s="27" t="str">
        <f aca="false">IF(B795="","",IFERROR(INDEX(Jeux!$D$2:$D$3001,MATCH(B795,Jeux!$A$2:$A$3001,0))&amp;"",""))</f>
        <v/>
      </c>
      <c r="I795" s="26" t="str">
        <f aca="false">IF(A795="","",COUNTIF(Apparitions!$G$2:$G$5001,A795))</f>
        <v/>
      </c>
      <c r="J795" s="26" t="str">
        <f aca="false">IF(A795="","",COUNTIFS(Apparitions!$G$2:$G$5001,A795,Apparitions!$E$2:$E$5001,"○"))</f>
        <v/>
      </c>
      <c r="K795" s="29" t="str">
        <f aca="false">IF(A795="","",IFERROR(1/(1/_xlfn.MINIFS(Apparitions!$L$2:$L$5001,Apparitions!$G$2:$G$5001,A795)),""))</f>
        <v/>
      </c>
      <c r="L795" s="27" t="str">
        <f aca="false">IF(A795="","",A795&amp;" | "&amp;B795&amp;IF(C795="",""," ("&amp;C795&amp;")")&amp;IF(D795="",""," - "&amp;D795))</f>
        <v/>
      </c>
    </row>
    <row r="796" customFormat="false" ht="15" hidden="false" customHeight="false" outlineLevel="0" collapsed="false">
      <c r="A796" s="32"/>
      <c r="B796" s="19"/>
      <c r="C796" s="19"/>
      <c r="D796" s="19"/>
      <c r="E796" s="21"/>
      <c r="F796" s="19"/>
      <c r="G796" s="27" t="str">
        <f aca="false">IF(B796="","",IFERROR(INDEX(Jeux!$C$2:$C$3001,MATCH(B796,Jeux!$A$2:$A$3001,0))&amp;"","⚠ jeu inconnu"))</f>
        <v/>
      </c>
      <c r="H796" s="27" t="str">
        <f aca="false">IF(B796="","",IFERROR(INDEX(Jeux!$D$2:$D$3001,MATCH(B796,Jeux!$A$2:$A$3001,0))&amp;"",""))</f>
        <v/>
      </c>
      <c r="I796" s="26" t="str">
        <f aca="false">IF(A796="","",COUNTIF(Apparitions!$G$2:$G$5001,A796))</f>
        <v/>
      </c>
      <c r="J796" s="26" t="str">
        <f aca="false">IF(A796="","",COUNTIFS(Apparitions!$G$2:$G$5001,A796,Apparitions!$E$2:$E$5001,"○"))</f>
        <v/>
      </c>
      <c r="K796" s="29" t="str">
        <f aca="false">IF(A796="","",IFERROR(1/(1/_xlfn.MINIFS(Apparitions!$L$2:$L$5001,Apparitions!$G$2:$G$5001,A796)),""))</f>
        <v/>
      </c>
      <c r="L796" s="27" t="str">
        <f aca="false">IF(A796="","",A796&amp;" | "&amp;B796&amp;IF(C796="",""," ("&amp;C796&amp;")")&amp;IF(D796="",""," - "&amp;D796))</f>
        <v/>
      </c>
    </row>
    <row r="797" customFormat="false" ht="15" hidden="false" customHeight="false" outlineLevel="0" collapsed="false">
      <c r="A797" s="32"/>
      <c r="B797" s="19"/>
      <c r="C797" s="19"/>
      <c r="D797" s="19"/>
      <c r="E797" s="21"/>
      <c r="F797" s="19"/>
      <c r="G797" s="27" t="str">
        <f aca="false">IF(B797="","",IFERROR(INDEX(Jeux!$C$2:$C$3001,MATCH(B797,Jeux!$A$2:$A$3001,0))&amp;"","⚠ jeu inconnu"))</f>
        <v/>
      </c>
      <c r="H797" s="27" t="str">
        <f aca="false">IF(B797="","",IFERROR(INDEX(Jeux!$D$2:$D$3001,MATCH(B797,Jeux!$A$2:$A$3001,0))&amp;"",""))</f>
        <v/>
      </c>
      <c r="I797" s="26" t="str">
        <f aca="false">IF(A797="","",COUNTIF(Apparitions!$G$2:$G$5001,A797))</f>
        <v/>
      </c>
      <c r="J797" s="26" t="str">
        <f aca="false">IF(A797="","",COUNTIFS(Apparitions!$G$2:$G$5001,A797,Apparitions!$E$2:$E$5001,"○"))</f>
        <v/>
      </c>
      <c r="K797" s="29" t="str">
        <f aca="false">IF(A797="","",IFERROR(1/(1/_xlfn.MINIFS(Apparitions!$L$2:$L$5001,Apparitions!$G$2:$G$5001,A797)),""))</f>
        <v/>
      </c>
      <c r="L797" s="27" t="str">
        <f aca="false">IF(A797="","",A797&amp;" | "&amp;B797&amp;IF(C797="",""," ("&amp;C797&amp;")")&amp;IF(D797="",""," - "&amp;D797))</f>
        <v/>
      </c>
    </row>
    <row r="798" customFormat="false" ht="15" hidden="false" customHeight="false" outlineLevel="0" collapsed="false">
      <c r="A798" s="32"/>
      <c r="B798" s="19"/>
      <c r="C798" s="19"/>
      <c r="D798" s="19"/>
      <c r="E798" s="21"/>
      <c r="F798" s="19"/>
      <c r="G798" s="27" t="str">
        <f aca="false">IF(B798="","",IFERROR(INDEX(Jeux!$C$2:$C$3001,MATCH(B798,Jeux!$A$2:$A$3001,0))&amp;"","⚠ jeu inconnu"))</f>
        <v/>
      </c>
      <c r="H798" s="27" t="str">
        <f aca="false">IF(B798="","",IFERROR(INDEX(Jeux!$D$2:$D$3001,MATCH(B798,Jeux!$A$2:$A$3001,0))&amp;"",""))</f>
        <v/>
      </c>
      <c r="I798" s="26" t="str">
        <f aca="false">IF(A798="","",COUNTIF(Apparitions!$G$2:$G$5001,A798))</f>
        <v/>
      </c>
      <c r="J798" s="26" t="str">
        <f aca="false">IF(A798="","",COUNTIFS(Apparitions!$G$2:$G$5001,A798,Apparitions!$E$2:$E$5001,"○"))</f>
        <v/>
      </c>
      <c r="K798" s="29" t="str">
        <f aca="false">IF(A798="","",IFERROR(1/(1/_xlfn.MINIFS(Apparitions!$L$2:$L$5001,Apparitions!$G$2:$G$5001,A798)),""))</f>
        <v/>
      </c>
      <c r="L798" s="27" t="str">
        <f aca="false">IF(A798="","",A798&amp;" | "&amp;B798&amp;IF(C798="",""," ("&amp;C798&amp;")")&amp;IF(D798="",""," - "&amp;D798))</f>
        <v/>
      </c>
    </row>
    <row r="799" customFormat="false" ht="15" hidden="false" customHeight="false" outlineLevel="0" collapsed="false">
      <c r="A799" s="32"/>
      <c r="B799" s="19"/>
      <c r="C799" s="19"/>
      <c r="D799" s="19"/>
      <c r="E799" s="21"/>
      <c r="F799" s="19"/>
      <c r="G799" s="27" t="str">
        <f aca="false">IF(B799="","",IFERROR(INDEX(Jeux!$C$2:$C$3001,MATCH(B799,Jeux!$A$2:$A$3001,0))&amp;"","⚠ jeu inconnu"))</f>
        <v/>
      </c>
      <c r="H799" s="27" t="str">
        <f aca="false">IF(B799="","",IFERROR(INDEX(Jeux!$D$2:$D$3001,MATCH(B799,Jeux!$A$2:$A$3001,0))&amp;"",""))</f>
        <v/>
      </c>
      <c r="I799" s="26" t="str">
        <f aca="false">IF(A799="","",COUNTIF(Apparitions!$G$2:$G$5001,A799))</f>
        <v/>
      </c>
      <c r="J799" s="26" t="str">
        <f aca="false">IF(A799="","",COUNTIFS(Apparitions!$G$2:$G$5001,A799,Apparitions!$E$2:$E$5001,"○"))</f>
        <v/>
      </c>
      <c r="K799" s="29" t="str">
        <f aca="false">IF(A799="","",IFERROR(1/(1/_xlfn.MINIFS(Apparitions!$L$2:$L$5001,Apparitions!$G$2:$G$5001,A799)),""))</f>
        <v/>
      </c>
      <c r="L799" s="27" t="str">
        <f aca="false">IF(A799="","",A799&amp;" | "&amp;B799&amp;IF(C799="",""," ("&amp;C799&amp;")")&amp;IF(D799="",""," - "&amp;D799))</f>
        <v/>
      </c>
    </row>
    <row r="800" customFormat="false" ht="15" hidden="false" customHeight="false" outlineLevel="0" collapsed="false">
      <c r="A800" s="32"/>
      <c r="B800" s="19"/>
      <c r="C800" s="19"/>
      <c r="D800" s="19"/>
      <c r="E800" s="21"/>
      <c r="F800" s="19"/>
      <c r="G800" s="27" t="str">
        <f aca="false">IF(B800="","",IFERROR(INDEX(Jeux!$C$2:$C$3001,MATCH(B800,Jeux!$A$2:$A$3001,0))&amp;"","⚠ jeu inconnu"))</f>
        <v/>
      </c>
      <c r="H800" s="27" t="str">
        <f aca="false">IF(B800="","",IFERROR(INDEX(Jeux!$D$2:$D$3001,MATCH(B800,Jeux!$A$2:$A$3001,0))&amp;"",""))</f>
        <v/>
      </c>
      <c r="I800" s="26" t="str">
        <f aca="false">IF(A800="","",COUNTIF(Apparitions!$G$2:$G$5001,A800))</f>
        <v/>
      </c>
      <c r="J800" s="26" t="str">
        <f aca="false">IF(A800="","",COUNTIFS(Apparitions!$G$2:$G$5001,A800,Apparitions!$E$2:$E$5001,"○"))</f>
        <v/>
      </c>
      <c r="K800" s="29" t="str">
        <f aca="false">IF(A800="","",IFERROR(1/(1/_xlfn.MINIFS(Apparitions!$L$2:$L$5001,Apparitions!$G$2:$G$5001,A800)),""))</f>
        <v/>
      </c>
      <c r="L800" s="27" t="str">
        <f aca="false">IF(A800="","",A800&amp;" | "&amp;B800&amp;IF(C800="",""," ("&amp;C800&amp;")")&amp;IF(D800="",""," - "&amp;D800))</f>
        <v/>
      </c>
    </row>
    <row r="801" customFormat="false" ht="15" hidden="false" customHeight="false" outlineLevel="0" collapsed="false">
      <c r="A801" s="32"/>
      <c r="B801" s="19"/>
      <c r="C801" s="19"/>
      <c r="D801" s="19"/>
      <c r="E801" s="21"/>
      <c r="F801" s="19"/>
      <c r="G801" s="27" t="str">
        <f aca="false">IF(B801="","",IFERROR(INDEX(Jeux!$C$2:$C$3001,MATCH(B801,Jeux!$A$2:$A$3001,0))&amp;"","⚠ jeu inconnu"))</f>
        <v/>
      </c>
      <c r="H801" s="27" t="str">
        <f aca="false">IF(B801="","",IFERROR(INDEX(Jeux!$D$2:$D$3001,MATCH(B801,Jeux!$A$2:$A$3001,0))&amp;"",""))</f>
        <v/>
      </c>
      <c r="I801" s="26" t="str">
        <f aca="false">IF(A801="","",COUNTIF(Apparitions!$G$2:$G$5001,A801))</f>
        <v/>
      </c>
      <c r="J801" s="26" t="str">
        <f aca="false">IF(A801="","",COUNTIFS(Apparitions!$G$2:$G$5001,A801,Apparitions!$E$2:$E$5001,"○"))</f>
        <v/>
      </c>
      <c r="K801" s="29" t="str">
        <f aca="false">IF(A801="","",IFERROR(1/(1/_xlfn.MINIFS(Apparitions!$L$2:$L$5001,Apparitions!$G$2:$G$5001,A801)),""))</f>
        <v/>
      </c>
      <c r="L801" s="27" t="str">
        <f aca="false">IF(A801="","",A801&amp;" | "&amp;B801&amp;IF(C801="",""," ("&amp;C801&amp;")")&amp;IF(D801="",""," - "&amp;D801))</f>
        <v/>
      </c>
    </row>
    <row r="802" customFormat="false" ht="15" hidden="false" customHeight="false" outlineLevel="0" collapsed="false">
      <c r="A802" s="32"/>
      <c r="B802" s="19"/>
      <c r="C802" s="19"/>
      <c r="D802" s="19"/>
      <c r="E802" s="21"/>
      <c r="F802" s="19"/>
      <c r="G802" s="27" t="str">
        <f aca="false">IF(B802="","",IFERROR(INDEX(Jeux!$C$2:$C$3001,MATCH(B802,Jeux!$A$2:$A$3001,0))&amp;"","⚠ jeu inconnu"))</f>
        <v/>
      </c>
      <c r="H802" s="27" t="str">
        <f aca="false">IF(B802="","",IFERROR(INDEX(Jeux!$D$2:$D$3001,MATCH(B802,Jeux!$A$2:$A$3001,0))&amp;"",""))</f>
        <v/>
      </c>
      <c r="I802" s="26" t="str">
        <f aca="false">IF(A802="","",COUNTIF(Apparitions!$G$2:$G$5001,A802))</f>
        <v/>
      </c>
      <c r="J802" s="26" t="str">
        <f aca="false">IF(A802="","",COUNTIFS(Apparitions!$G$2:$G$5001,A802,Apparitions!$E$2:$E$5001,"○"))</f>
        <v/>
      </c>
      <c r="K802" s="29" t="str">
        <f aca="false">IF(A802="","",IFERROR(1/(1/_xlfn.MINIFS(Apparitions!$L$2:$L$5001,Apparitions!$G$2:$G$5001,A802)),""))</f>
        <v/>
      </c>
      <c r="L802" s="27" t="str">
        <f aca="false">IF(A802="","",A802&amp;" | "&amp;B802&amp;IF(C802="",""," ("&amp;C802&amp;")")&amp;IF(D802="",""," - "&amp;D802))</f>
        <v/>
      </c>
    </row>
    <row r="803" customFormat="false" ht="15" hidden="false" customHeight="false" outlineLevel="0" collapsed="false">
      <c r="A803" s="32"/>
      <c r="B803" s="19"/>
      <c r="C803" s="19"/>
      <c r="D803" s="19"/>
      <c r="E803" s="21"/>
      <c r="F803" s="19"/>
      <c r="G803" s="27" t="str">
        <f aca="false">IF(B803="","",IFERROR(INDEX(Jeux!$C$2:$C$3001,MATCH(B803,Jeux!$A$2:$A$3001,0))&amp;"","⚠ jeu inconnu"))</f>
        <v/>
      </c>
      <c r="H803" s="27" t="str">
        <f aca="false">IF(B803="","",IFERROR(INDEX(Jeux!$D$2:$D$3001,MATCH(B803,Jeux!$A$2:$A$3001,0))&amp;"",""))</f>
        <v/>
      </c>
      <c r="I803" s="26" t="str">
        <f aca="false">IF(A803="","",COUNTIF(Apparitions!$G$2:$G$5001,A803))</f>
        <v/>
      </c>
      <c r="J803" s="26" t="str">
        <f aca="false">IF(A803="","",COUNTIFS(Apparitions!$G$2:$G$5001,A803,Apparitions!$E$2:$E$5001,"○"))</f>
        <v/>
      </c>
      <c r="K803" s="29" t="str">
        <f aca="false">IF(A803="","",IFERROR(1/(1/_xlfn.MINIFS(Apparitions!$L$2:$L$5001,Apparitions!$G$2:$G$5001,A803)),""))</f>
        <v/>
      </c>
      <c r="L803" s="27" t="str">
        <f aca="false">IF(A803="","",A803&amp;" | "&amp;B803&amp;IF(C803="",""," ("&amp;C803&amp;")")&amp;IF(D803="",""," - "&amp;D803))</f>
        <v/>
      </c>
    </row>
    <row r="804" customFormat="false" ht="15" hidden="false" customHeight="false" outlineLevel="0" collapsed="false">
      <c r="A804" s="32"/>
      <c r="B804" s="19"/>
      <c r="C804" s="19"/>
      <c r="D804" s="19"/>
      <c r="E804" s="21"/>
      <c r="F804" s="19"/>
      <c r="G804" s="27" t="str">
        <f aca="false">IF(B804="","",IFERROR(INDEX(Jeux!$C$2:$C$3001,MATCH(B804,Jeux!$A$2:$A$3001,0))&amp;"","⚠ jeu inconnu"))</f>
        <v/>
      </c>
      <c r="H804" s="27" t="str">
        <f aca="false">IF(B804="","",IFERROR(INDEX(Jeux!$D$2:$D$3001,MATCH(B804,Jeux!$A$2:$A$3001,0))&amp;"",""))</f>
        <v/>
      </c>
      <c r="I804" s="26" t="str">
        <f aca="false">IF(A804="","",COUNTIF(Apparitions!$G$2:$G$5001,A804))</f>
        <v/>
      </c>
      <c r="J804" s="26" t="str">
        <f aca="false">IF(A804="","",COUNTIFS(Apparitions!$G$2:$G$5001,A804,Apparitions!$E$2:$E$5001,"○"))</f>
        <v/>
      </c>
      <c r="K804" s="29" t="str">
        <f aca="false">IF(A804="","",IFERROR(1/(1/_xlfn.MINIFS(Apparitions!$L$2:$L$5001,Apparitions!$G$2:$G$5001,A804)),""))</f>
        <v/>
      </c>
      <c r="L804" s="27" t="str">
        <f aca="false">IF(A804="","",A804&amp;" | "&amp;B804&amp;IF(C804="",""," ("&amp;C804&amp;")")&amp;IF(D804="",""," - "&amp;D804))</f>
        <v/>
      </c>
    </row>
    <row r="805" customFormat="false" ht="15" hidden="false" customHeight="false" outlineLevel="0" collapsed="false">
      <c r="A805" s="32"/>
      <c r="B805" s="19"/>
      <c r="C805" s="19"/>
      <c r="D805" s="19"/>
      <c r="E805" s="21"/>
      <c r="F805" s="19"/>
      <c r="G805" s="27" t="str">
        <f aca="false">IF(B805="","",IFERROR(INDEX(Jeux!$C$2:$C$3001,MATCH(B805,Jeux!$A$2:$A$3001,0))&amp;"","⚠ jeu inconnu"))</f>
        <v/>
      </c>
      <c r="H805" s="27" t="str">
        <f aca="false">IF(B805="","",IFERROR(INDEX(Jeux!$D$2:$D$3001,MATCH(B805,Jeux!$A$2:$A$3001,0))&amp;"",""))</f>
        <v/>
      </c>
      <c r="I805" s="26" t="str">
        <f aca="false">IF(A805="","",COUNTIF(Apparitions!$G$2:$G$5001,A805))</f>
        <v/>
      </c>
      <c r="J805" s="26" t="str">
        <f aca="false">IF(A805="","",COUNTIFS(Apparitions!$G$2:$G$5001,A805,Apparitions!$E$2:$E$5001,"○"))</f>
        <v/>
      </c>
      <c r="K805" s="29" t="str">
        <f aca="false">IF(A805="","",IFERROR(1/(1/_xlfn.MINIFS(Apparitions!$L$2:$L$5001,Apparitions!$G$2:$G$5001,A805)),""))</f>
        <v/>
      </c>
      <c r="L805" s="27" t="str">
        <f aca="false">IF(A805="","",A805&amp;" | "&amp;B805&amp;IF(C805="",""," ("&amp;C805&amp;")")&amp;IF(D805="",""," - "&amp;D805))</f>
        <v/>
      </c>
    </row>
    <row r="806" customFormat="false" ht="15" hidden="false" customHeight="false" outlineLevel="0" collapsed="false">
      <c r="A806" s="32"/>
      <c r="B806" s="19"/>
      <c r="C806" s="19"/>
      <c r="D806" s="19"/>
      <c r="E806" s="21"/>
      <c r="F806" s="19"/>
      <c r="G806" s="27" t="str">
        <f aca="false">IF(B806="","",IFERROR(INDEX(Jeux!$C$2:$C$3001,MATCH(B806,Jeux!$A$2:$A$3001,0))&amp;"","⚠ jeu inconnu"))</f>
        <v/>
      </c>
      <c r="H806" s="27" t="str">
        <f aca="false">IF(B806="","",IFERROR(INDEX(Jeux!$D$2:$D$3001,MATCH(B806,Jeux!$A$2:$A$3001,0))&amp;"",""))</f>
        <v/>
      </c>
      <c r="I806" s="26" t="str">
        <f aca="false">IF(A806="","",COUNTIF(Apparitions!$G$2:$G$5001,A806))</f>
        <v/>
      </c>
      <c r="J806" s="26" t="str">
        <f aca="false">IF(A806="","",COUNTIFS(Apparitions!$G$2:$G$5001,A806,Apparitions!$E$2:$E$5001,"○"))</f>
        <v/>
      </c>
      <c r="K806" s="29" t="str">
        <f aca="false">IF(A806="","",IFERROR(1/(1/_xlfn.MINIFS(Apparitions!$L$2:$L$5001,Apparitions!$G$2:$G$5001,A806)),""))</f>
        <v/>
      </c>
      <c r="L806" s="27" t="str">
        <f aca="false">IF(A806="","",A806&amp;" | "&amp;B806&amp;IF(C806="",""," ("&amp;C806&amp;")")&amp;IF(D806="",""," - "&amp;D806))</f>
        <v/>
      </c>
    </row>
    <row r="807" customFormat="false" ht="15" hidden="false" customHeight="false" outlineLevel="0" collapsed="false">
      <c r="A807" s="32"/>
      <c r="B807" s="19"/>
      <c r="C807" s="19"/>
      <c r="D807" s="19"/>
      <c r="E807" s="21"/>
      <c r="F807" s="19"/>
      <c r="G807" s="27" t="str">
        <f aca="false">IF(B807="","",IFERROR(INDEX(Jeux!$C$2:$C$3001,MATCH(B807,Jeux!$A$2:$A$3001,0))&amp;"","⚠ jeu inconnu"))</f>
        <v/>
      </c>
      <c r="H807" s="27" t="str">
        <f aca="false">IF(B807="","",IFERROR(INDEX(Jeux!$D$2:$D$3001,MATCH(B807,Jeux!$A$2:$A$3001,0))&amp;"",""))</f>
        <v/>
      </c>
      <c r="I807" s="26" t="str">
        <f aca="false">IF(A807="","",COUNTIF(Apparitions!$G$2:$G$5001,A807))</f>
        <v/>
      </c>
      <c r="J807" s="26" t="str">
        <f aca="false">IF(A807="","",COUNTIFS(Apparitions!$G$2:$G$5001,A807,Apparitions!$E$2:$E$5001,"○"))</f>
        <v/>
      </c>
      <c r="K807" s="29" t="str">
        <f aca="false">IF(A807="","",IFERROR(1/(1/_xlfn.MINIFS(Apparitions!$L$2:$L$5001,Apparitions!$G$2:$G$5001,A807)),""))</f>
        <v/>
      </c>
      <c r="L807" s="27" t="str">
        <f aca="false">IF(A807="","",A807&amp;" | "&amp;B807&amp;IF(C807="",""," ("&amp;C807&amp;")")&amp;IF(D807="",""," - "&amp;D807))</f>
        <v/>
      </c>
    </row>
    <row r="808" customFormat="false" ht="15" hidden="false" customHeight="false" outlineLevel="0" collapsed="false">
      <c r="A808" s="32"/>
      <c r="B808" s="19"/>
      <c r="C808" s="19"/>
      <c r="D808" s="19"/>
      <c r="E808" s="21"/>
      <c r="F808" s="19"/>
      <c r="G808" s="27" t="str">
        <f aca="false">IF(B808="","",IFERROR(INDEX(Jeux!$C$2:$C$3001,MATCH(B808,Jeux!$A$2:$A$3001,0))&amp;"","⚠ jeu inconnu"))</f>
        <v/>
      </c>
      <c r="H808" s="27" t="str">
        <f aca="false">IF(B808="","",IFERROR(INDEX(Jeux!$D$2:$D$3001,MATCH(B808,Jeux!$A$2:$A$3001,0))&amp;"",""))</f>
        <v/>
      </c>
      <c r="I808" s="26" t="str">
        <f aca="false">IF(A808="","",COUNTIF(Apparitions!$G$2:$G$5001,A808))</f>
        <v/>
      </c>
      <c r="J808" s="26" t="str">
        <f aca="false">IF(A808="","",COUNTIFS(Apparitions!$G$2:$G$5001,A808,Apparitions!$E$2:$E$5001,"○"))</f>
        <v/>
      </c>
      <c r="K808" s="29" t="str">
        <f aca="false">IF(A808="","",IFERROR(1/(1/_xlfn.MINIFS(Apparitions!$L$2:$L$5001,Apparitions!$G$2:$G$5001,A808)),""))</f>
        <v/>
      </c>
      <c r="L808" s="27" t="str">
        <f aca="false">IF(A808="","",A808&amp;" | "&amp;B808&amp;IF(C808="",""," ("&amp;C808&amp;")")&amp;IF(D808="",""," - "&amp;D808))</f>
        <v/>
      </c>
    </row>
    <row r="809" customFormat="false" ht="15" hidden="false" customHeight="false" outlineLevel="0" collapsed="false">
      <c r="A809" s="32"/>
      <c r="B809" s="19"/>
      <c r="C809" s="19"/>
      <c r="D809" s="19"/>
      <c r="E809" s="21"/>
      <c r="F809" s="19"/>
      <c r="G809" s="27" t="str">
        <f aca="false">IF(B809="","",IFERROR(INDEX(Jeux!$C$2:$C$3001,MATCH(B809,Jeux!$A$2:$A$3001,0))&amp;"","⚠ jeu inconnu"))</f>
        <v/>
      </c>
      <c r="H809" s="27" t="str">
        <f aca="false">IF(B809="","",IFERROR(INDEX(Jeux!$D$2:$D$3001,MATCH(B809,Jeux!$A$2:$A$3001,0))&amp;"",""))</f>
        <v/>
      </c>
      <c r="I809" s="26" t="str">
        <f aca="false">IF(A809="","",COUNTIF(Apparitions!$G$2:$G$5001,A809))</f>
        <v/>
      </c>
      <c r="J809" s="26" t="str">
        <f aca="false">IF(A809="","",COUNTIFS(Apparitions!$G$2:$G$5001,A809,Apparitions!$E$2:$E$5001,"○"))</f>
        <v/>
      </c>
      <c r="K809" s="29" t="str">
        <f aca="false">IF(A809="","",IFERROR(1/(1/_xlfn.MINIFS(Apparitions!$L$2:$L$5001,Apparitions!$G$2:$G$5001,A809)),""))</f>
        <v/>
      </c>
      <c r="L809" s="27" t="str">
        <f aca="false">IF(A809="","",A809&amp;" | "&amp;B809&amp;IF(C809="",""," ("&amp;C809&amp;")")&amp;IF(D809="",""," - "&amp;D809))</f>
        <v/>
      </c>
    </row>
    <row r="810" customFormat="false" ht="15" hidden="false" customHeight="false" outlineLevel="0" collapsed="false">
      <c r="A810" s="32"/>
      <c r="B810" s="19"/>
      <c r="C810" s="19"/>
      <c r="D810" s="19"/>
      <c r="E810" s="21"/>
      <c r="F810" s="19"/>
      <c r="G810" s="27" t="str">
        <f aca="false">IF(B810="","",IFERROR(INDEX(Jeux!$C$2:$C$3001,MATCH(B810,Jeux!$A$2:$A$3001,0))&amp;"","⚠ jeu inconnu"))</f>
        <v/>
      </c>
      <c r="H810" s="27" t="str">
        <f aca="false">IF(B810="","",IFERROR(INDEX(Jeux!$D$2:$D$3001,MATCH(B810,Jeux!$A$2:$A$3001,0))&amp;"",""))</f>
        <v/>
      </c>
      <c r="I810" s="26" t="str">
        <f aca="false">IF(A810="","",COUNTIF(Apparitions!$G$2:$G$5001,A810))</f>
        <v/>
      </c>
      <c r="J810" s="26" t="str">
        <f aca="false">IF(A810="","",COUNTIFS(Apparitions!$G$2:$G$5001,A810,Apparitions!$E$2:$E$5001,"○"))</f>
        <v/>
      </c>
      <c r="K810" s="29" t="str">
        <f aca="false">IF(A810="","",IFERROR(1/(1/_xlfn.MINIFS(Apparitions!$L$2:$L$5001,Apparitions!$G$2:$G$5001,A810)),""))</f>
        <v/>
      </c>
      <c r="L810" s="27" t="str">
        <f aca="false">IF(A810="","",A810&amp;" | "&amp;B810&amp;IF(C810="",""," ("&amp;C810&amp;")")&amp;IF(D810="",""," - "&amp;D810))</f>
        <v/>
      </c>
    </row>
    <row r="811" customFormat="false" ht="15" hidden="false" customHeight="false" outlineLevel="0" collapsed="false">
      <c r="A811" s="32"/>
      <c r="B811" s="19"/>
      <c r="C811" s="19"/>
      <c r="D811" s="19"/>
      <c r="E811" s="21"/>
      <c r="F811" s="19"/>
      <c r="G811" s="27" t="str">
        <f aca="false">IF(B811="","",IFERROR(INDEX(Jeux!$C$2:$C$3001,MATCH(B811,Jeux!$A$2:$A$3001,0))&amp;"","⚠ jeu inconnu"))</f>
        <v/>
      </c>
      <c r="H811" s="27" t="str">
        <f aca="false">IF(B811="","",IFERROR(INDEX(Jeux!$D$2:$D$3001,MATCH(B811,Jeux!$A$2:$A$3001,0))&amp;"",""))</f>
        <v/>
      </c>
      <c r="I811" s="26" t="str">
        <f aca="false">IF(A811="","",COUNTIF(Apparitions!$G$2:$G$5001,A811))</f>
        <v/>
      </c>
      <c r="J811" s="26" t="str">
        <f aca="false">IF(A811="","",COUNTIFS(Apparitions!$G$2:$G$5001,A811,Apparitions!$E$2:$E$5001,"○"))</f>
        <v/>
      </c>
      <c r="K811" s="29" t="str">
        <f aca="false">IF(A811="","",IFERROR(1/(1/_xlfn.MINIFS(Apparitions!$L$2:$L$5001,Apparitions!$G$2:$G$5001,A811)),""))</f>
        <v/>
      </c>
      <c r="L811" s="27" t="str">
        <f aca="false">IF(A811="","",A811&amp;" | "&amp;B811&amp;IF(C811="",""," ("&amp;C811&amp;")")&amp;IF(D811="",""," - "&amp;D811))</f>
        <v/>
      </c>
    </row>
    <row r="812" customFormat="false" ht="15" hidden="false" customHeight="false" outlineLevel="0" collapsed="false">
      <c r="A812" s="32"/>
      <c r="B812" s="19"/>
      <c r="C812" s="19"/>
      <c r="D812" s="19"/>
      <c r="E812" s="21"/>
      <c r="F812" s="19"/>
      <c r="G812" s="27" t="str">
        <f aca="false">IF(B812="","",IFERROR(INDEX(Jeux!$C$2:$C$3001,MATCH(B812,Jeux!$A$2:$A$3001,0))&amp;"","⚠ jeu inconnu"))</f>
        <v/>
      </c>
      <c r="H812" s="27" t="str">
        <f aca="false">IF(B812="","",IFERROR(INDEX(Jeux!$D$2:$D$3001,MATCH(B812,Jeux!$A$2:$A$3001,0))&amp;"",""))</f>
        <v/>
      </c>
      <c r="I812" s="26" t="str">
        <f aca="false">IF(A812="","",COUNTIF(Apparitions!$G$2:$G$5001,A812))</f>
        <v/>
      </c>
      <c r="J812" s="26" t="str">
        <f aca="false">IF(A812="","",COUNTIFS(Apparitions!$G$2:$G$5001,A812,Apparitions!$E$2:$E$5001,"○"))</f>
        <v/>
      </c>
      <c r="K812" s="29" t="str">
        <f aca="false">IF(A812="","",IFERROR(1/(1/_xlfn.MINIFS(Apparitions!$L$2:$L$5001,Apparitions!$G$2:$G$5001,A812)),""))</f>
        <v/>
      </c>
      <c r="L812" s="27" t="str">
        <f aca="false">IF(A812="","",A812&amp;" | "&amp;B812&amp;IF(C812="",""," ("&amp;C812&amp;")")&amp;IF(D812="",""," - "&amp;D812))</f>
        <v/>
      </c>
    </row>
    <row r="813" customFormat="false" ht="15" hidden="false" customHeight="false" outlineLevel="0" collapsed="false">
      <c r="A813" s="32"/>
      <c r="B813" s="19"/>
      <c r="C813" s="19"/>
      <c r="D813" s="19"/>
      <c r="E813" s="21"/>
      <c r="F813" s="19"/>
      <c r="G813" s="27" t="str">
        <f aca="false">IF(B813="","",IFERROR(INDEX(Jeux!$C$2:$C$3001,MATCH(B813,Jeux!$A$2:$A$3001,0))&amp;"","⚠ jeu inconnu"))</f>
        <v/>
      </c>
      <c r="H813" s="27" t="str">
        <f aca="false">IF(B813="","",IFERROR(INDEX(Jeux!$D$2:$D$3001,MATCH(B813,Jeux!$A$2:$A$3001,0))&amp;"",""))</f>
        <v/>
      </c>
      <c r="I813" s="26" t="str">
        <f aca="false">IF(A813="","",COUNTIF(Apparitions!$G$2:$G$5001,A813))</f>
        <v/>
      </c>
      <c r="J813" s="26" t="str">
        <f aca="false">IF(A813="","",COUNTIFS(Apparitions!$G$2:$G$5001,A813,Apparitions!$E$2:$E$5001,"○"))</f>
        <v/>
      </c>
      <c r="K813" s="29" t="str">
        <f aca="false">IF(A813="","",IFERROR(1/(1/_xlfn.MINIFS(Apparitions!$L$2:$L$5001,Apparitions!$G$2:$G$5001,A813)),""))</f>
        <v/>
      </c>
      <c r="L813" s="27" t="str">
        <f aca="false">IF(A813="","",A813&amp;" | "&amp;B813&amp;IF(C813="",""," ("&amp;C813&amp;")")&amp;IF(D813="",""," - "&amp;D813))</f>
        <v/>
      </c>
    </row>
    <row r="814" customFormat="false" ht="15" hidden="false" customHeight="false" outlineLevel="0" collapsed="false">
      <c r="A814" s="32"/>
      <c r="B814" s="19"/>
      <c r="C814" s="19"/>
      <c r="D814" s="19"/>
      <c r="E814" s="21"/>
      <c r="F814" s="19"/>
      <c r="G814" s="27" t="str">
        <f aca="false">IF(B814="","",IFERROR(INDEX(Jeux!$C$2:$C$3001,MATCH(B814,Jeux!$A$2:$A$3001,0))&amp;"","⚠ jeu inconnu"))</f>
        <v/>
      </c>
      <c r="H814" s="27" t="str">
        <f aca="false">IF(B814="","",IFERROR(INDEX(Jeux!$D$2:$D$3001,MATCH(B814,Jeux!$A$2:$A$3001,0))&amp;"",""))</f>
        <v/>
      </c>
      <c r="I814" s="26" t="str">
        <f aca="false">IF(A814="","",COUNTIF(Apparitions!$G$2:$G$5001,A814))</f>
        <v/>
      </c>
      <c r="J814" s="26" t="str">
        <f aca="false">IF(A814="","",COUNTIFS(Apparitions!$G$2:$G$5001,A814,Apparitions!$E$2:$E$5001,"○"))</f>
        <v/>
      </c>
      <c r="K814" s="29" t="str">
        <f aca="false">IF(A814="","",IFERROR(1/(1/_xlfn.MINIFS(Apparitions!$L$2:$L$5001,Apparitions!$G$2:$G$5001,A814)),""))</f>
        <v/>
      </c>
      <c r="L814" s="27" t="str">
        <f aca="false">IF(A814="","",A814&amp;" | "&amp;B814&amp;IF(C814="",""," ("&amp;C814&amp;")")&amp;IF(D814="",""," - "&amp;D814))</f>
        <v/>
      </c>
    </row>
    <row r="815" customFormat="false" ht="15" hidden="false" customHeight="false" outlineLevel="0" collapsed="false">
      <c r="A815" s="32"/>
      <c r="B815" s="19"/>
      <c r="C815" s="19"/>
      <c r="D815" s="19"/>
      <c r="E815" s="21"/>
      <c r="F815" s="19"/>
      <c r="G815" s="27" t="str">
        <f aca="false">IF(B815="","",IFERROR(INDEX(Jeux!$C$2:$C$3001,MATCH(B815,Jeux!$A$2:$A$3001,0))&amp;"","⚠ jeu inconnu"))</f>
        <v/>
      </c>
      <c r="H815" s="27" t="str">
        <f aca="false">IF(B815="","",IFERROR(INDEX(Jeux!$D$2:$D$3001,MATCH(B815,Jeux!$A$2:$A$3001,0))&amp;"",""))</f>
        <v/>
      </c>
      <c r="I815" s="26" t="str">
        <f aca="false">IF(A815="","",COUNTIF(Apparitions!$G$2:$G$5001,A815))</f>
        <v/>
      </c>
      <c r="J815" s="26" t="str">
        <f aca="false">IF(A815="","",COUNTIFS(Apparitions!$G$2:$G$5001,A815,Apparitions!$E$2:$E$5001,"○"))</f>
        <v/>
      </c>
      <c r="K815" s="29" t="str">
        <f aca="false">IF(A815="","",IFERROR(1/(1/_xlfn.MINIFS(Apparitions!$L$2:$L$5001,Apparitions!$G$2:$G$5001,A815)),""))</f>
        <v/>
      </c>
      <c r="L815" s="27" t="str">
        <f aca="false">IF(A815="","",A815&amp;" | "&amp;B815&amp;IF(C815="",""," ("&amp;C815&amp;")")&amp;IF(D815="",""," - "&amp;D815))</f>
        <v/>
      </c>
    </row>
    <row r="816" customFormat="false" ht="15" hidden="false" customHeight="false" outlineLevel="0" collapsed="false">
      <c r="A816" s="32"/>
      <c r="B816" s="19"/>
      <c r="C816" s="19"/>
      <c r="D816" s="19"/>
      <c r="E816" s="21"/>
      <c r="F816" s="19"/>
      <c r="G816" s="27" t="str">
        <f aca="false">IF(B816="","",IFERROR(INDEX(Jeux!$C$2:$C$3001,MATCH(B816,Jeux!$A$2:$A$3001,0))&amp;"","⚠ jeu inconnu"))</f>
        <v/>
      </c>
      <c r="H816" s="27" t="str">
        <f aca="false">IF(B816="","",IFERROR(INDEX(Jeux!$D$2:$D$3001,MATCH(B816,Jeux!$A$2:$A$3001,0))&amp;"",""))</f>
        <v/>
      </c>
      <c r="I816" s="26" t="str">
        <f aca="false">IF(A816="","",COUNTIF(Apparitions!$G$2:$G$5001,A816))</f>
        <v/>
      </c>
      <c r="J816" s="26" t="str">
        <f aca="false">IF(A816="","",COUNTIFS(Apparitions!$G$2:$G$5001,A816,Apparitions!$E$2:$E$5001,"○"))</f>
        <v/>
      </c>
      <c r="K816" s="29" t="str">
        <f aca="false">IF(A816="","",IFERROR(1/(1/_xlfn.MINIFS(Apparitions!$L$2:$L$5001,Apparitions!$G$2:$G$5001,A816)),""))</f>
        <v/>
      </c>
      <c r="L816" s="27" t="str">
        <f aca="false">IF(A816="","",A816&amp;" | "&amp;B816&amp;IF(C816="",""," ("&amp;C816&amp;")")&amp;IF(D816="",""," - "&amp;D816))</f>
        <v/>
      </c>
    </row>
    <row r="817" customFormat="false" ht="15" hidden="false" customHeight="false" outlineLevel="0" collapsed="false">
      <c r="A817" s="32"/>
      <c r="B817" s="19"/>
      <c r="C817" s="19"/>
      <c r="D817" s="19"/>
      <c r="E817" s="21"/>
      <c r="F817" s="19"/>
      <c r="G817" s="27" t="str">
        <f aca="false">IF(B817="","",IFERROR(INDEX(Jeux!$C$2:$C$3001,MATCH(B817,Jeux!$A$2:$A$3001,0))&amp;"","⚠ jeu inconnu"))</f>
        <v/>
      </c>
      <c r="H817" s="27" t="str">
        <f aca="false">IF(B817="","",IFERROR(INDEX(Jeux!$D$2:$D$3001,MATCH(B817,Jeux!$A$2:$A$3001,0))&amp;"",""))</f>
        <v/>
      </c>
      <c r="I817" s="26" t="str">
        <f aca="false">IF(A817="","",COUNTIF(Apparitions!$G$2:$G$5001,A817))</f>
        <v/>
      </c>
      <c r="J817" s="26" t="str">
        <f aca="false">IF(A817="","",COUNTIFS(Apparitions!$G$2:$G$5001,A817,Apparitions!$E$2:$E$5001,"○"))</f>
        <v/>
      </c>
      <c r="K817" s="29" t="str">
        <f aca="false">IF(A817="","",IFERROR(1/(1/_xlfn.MINIFS(Apparitions!$L$2:$L$5001,Apparitions!$G$2:$G$5001,A817)),""))</f>
        <v/>
      </c>
      <c r="L817" s="27" t="str">
        <f aca="false">IF(A817="","",A817&amp;" | "&amp;B817&amp;IF(C817="",""," ("&amp;C817&amp;")")&amp;IF(D817="",""," - "&amp;D817))</f>
        <v/>
      </c>
    </row>
    <row r="818" customFormat="false" ht="15" hidden="false" customHeight="false" outlineLevel="0" collapsed="false">
      <c r="A818" s="32"/>
      <c r="B818" s="19"/>
      <c r="C818" s="19"/>
      <c r="D818" s="19"/>
      <c r="E818" s="21"/>
      <c r="F818" s="19"/>
      <c r="G818" s="27" t="str">
        <f aca="false">IF(B818="","",IFERROR(INDEX(Jeux!$C$2:$C$3001,MATCH(B818,Jeux!$A$2:$A$3001,0))&amp;"","⚠ jeu inconnu"))</f>
        <v/>
      </c>
      <c r="H818" s="27" t="str">
        <f aca="false">IF(B818="","",IFERROR(INDEX(Jeux!$D$2:$D$3001,MATCH(B818,Jeux!$A$2:$A$3001,0))&amp;"",""))</f>
        <v/>
      </c>
      <c r="I818" s="26" t="str">
        <f aca="false">IF(A818="","",COUNTIF(Apparitions!$G$2:$G$5001,A818))</f>
        <v/>
      </c>
      <c r="J818" s="26" t="str">
        <f aca="false">IF(A818="","",COUNTIFS(Apparitions!$G$2:$G$5001,A818,Apparitions!$E$2:$E$5001,"○"))</f>
        <v/>
      </c>
      <c r="K818" s="29" t="str">
        <f aca="false">IF(A818="","",IFERROR(1/(1/_xlfn.MINIFS(Apparitions!$L$2:$L$5001,Apparitions!$G$2:$G$5001,A818)),""))</f>
        <v/>
      </c>
      <c r="L818" s="27" t="str">
        <f aca="false">IF(A818="","",A818&amp;" | "&amp;B818&amp;IF(C818="",""," ("&amp;C818&amp;")")&amp;IF(D818="",""," - "&amp;D818))</f>
        <v/>
      </c>
    </row>
    <row r="819" customFormat="false" ht="15" hidden="false" customHeight="false" outlineLevel="0" collapsed="false">
      <c r="A819" s="32"/>
      <c r="B819" s="19"/>
      <c r="C819" s="19"/>
      <c r="D819" s="19"/>
      <c r="E819" s="21"/>
      <c r="F819" s="19"/>
      <c r="G819" s="27" t="str">
        <f aca="false">IF(B819="","",IFERROR(INDEX(Jeux!$C$2:$C$3001,MATCH(B819,Jeux!$A$2:$A$3001,0))&amp;"","⚠ jeu inconnu"))</f>
        <v/>
      </c>
      <c r="H819" s="27" t="str">
        <f aca="false">IF(B819="","",IFERROR(INDEX(Jeux!$D$2:$D$3001,MATCH(B819,Jeux!$A$2:$A$3001,0))&amp;"",""))</f>
        <v/>
      </c>
      <c r="I819" s="26" t="str">
        <f aca="false">IF(A819="","",COUNTIF(Apparitions!$G$2:$G$5001,A819))</f>
        <v/>
      </c>
      <c r="J819" s="26" t="str">
        <f aca="false">IF(A819="","",COUNTIFS(Apparitions!$G$2:$G$5001,A819,Apparitions!$E$2:$E$5001,"○"))</f>
        <v/>
      </c>
      <c r="K819" s="29" t="str">
        <f aca="false">IF(A819="","",IFERROR(1/(1/_xlfn.MINIFS(Apparitions!$L$2:$L$5001,Apparitions!$G$2:$G$5001,A819)),""))</f>
        <v/>
      </c>
      <c r="L819" s="27" t="str">
        <f aca="false">IF(A819="","",A819&amp;" | "&amp;B819&amp;IF(C819="",""," ("&amp;C819&amp;")")&amp;IF(D819="",""," - "&amp;D819))</f>
        <v/>
      </c>
    </row>
    <row r="820" customFormat="false" ht="15" hidden="false" customHeight="false" outlineLevel="0" collapsed="false">
      <c r="A820" s="32"/>
      <c r="B820" s="19"/>
      <c r="C820" s="19"/>
      <c r="D820" s="19"/>
      <c r="E820" s="21"/>
      <c r="F820" s="19"/>
      <c r="G820" s="27" t="str">
        <f aca="false">IF(B820="","",IFERROR(INDEX(Jeux!$C$2:$C$3001,MATCH(B820,Jeux!$A$2:$A$3001,0))&amp;"","⚠ jeu inconnu"))</f>
        <v/>
      </c>
      <c r="H820" s="27" t="str">
        <f aca="false">IF(B820="","",IFERROR(INDEX(Jeux!$D$2:$D$3001,MATCH(B820,Jeux!$A$2:$A$3001,0))&amp;"",""))</f>
        <v/>
      </c>
      <c r="I820" s="26" t="str">
        <f aca="false">IF(A820="","",COUNTIF(Apparitions!$G$2:$G$5001,A820))</f>
        <v/>
      </c>
      <c r="J820" s="26" t="str">
        <f aca="false">IF(A820="","",COUNTIFS(Apparitions!$G$2:$G$5001,A820,Apparitions!$E$2:$E$5001,"○"))</f>
        <v/>
      </c>
      <c r="K820" s="29" t="str">
        <f aca="false">IF(A820="","",IFERROR(1/(1/_xlfn.MINIFS(Apparitions!$L$2:$L$5001,Apparitions!$G$2:$G$5001,A820)),""))</f>
        <v/>
      </c>
      <c r="L820" s="27" t="str">
        <f aca="false">IF(A820="","",A820&amp;" | "&amp;B820&amp;IF(C820="",""," ("&amp;C820&amp;")")&amp;IF(D820="",""," - "&amp;D820))</f>
        <v/>
      </c>
    </row>
    <row r="821" customFormat="false" ht="15" hidden="false" customHeight="false" outlineLevel="0" collapsed="false">
      <c r="A821" s="32"/>
      <c r="B821" s="19"/>
      <c r="C821" s="19"/>
      <c r="D821" s="19"/>
      <c r="E821" s="21"/>
      <c r="F821" s="19"/>
      <c r="G821" s="27" t="str">
        <f aca="false">IF(B821="","",IFERROR(INDEX(Jeux!$C$2:$C$3001,MATCH(B821,Jeux!$A$2:$A$3001,0))&amp;"","⚠ jeu inconnu"))</f>
        <v/>
      </c>
      <c r="H821" s="27" t="str">
        <f aca="false">IF(B821="","",IFERROR(INDEX(Jeux!$D$2:$D$3001,MATCH(B821,Jeux!$A$2:$A$3001,0))&amp;"",""))</f>
        <v/>
      </c>
      <c r="I821" s="26" t="str">
        <f aca="false">IF(A821="","",COUNTIF(Apparitions!$G$2:$G$5001,A821))</f>
        <v/>
      </c>
      <c r="J821" s="26" t="str">
        <f aca="false">IF(A821="","",COUNTIFS(Apparitions!$G$2:$G$5001,A821,Apparitions!$E$2:$E$5001,"○"))</f>
        <v/>
      </c>
      <c r="K821" s="29" t="str">
        <f aca="false">IF(A821="","",IFERROR(1/(1/_xlfn.MINIFS(Apparitions!$L$2:$L$5001,Apparitions!$G$2:$G$5001,A821)),""))</f>
        <v/>
      </c>
      <c r="L821" s="27" t="str">
        <f aca="false">IF(A821="","",A821&amp;" | "&amp;B821&amp;IF(C821="",""," ("&amp;C821&amp;")")&amp;IF(D821="",""," - "&amp;D821))</f>
        <v/>
      </c>
    </row>
    <row r="822" customFormat="false" ht="15" hidden="false" customHeight="false" outlineLevel="0" collapsed="false">
      <c r="A822" s="32"/>
      <c r="B822" s="19"/>
      <c r="C822" s="19"/>
      <c r="D822" s="19"/>
      <c r="E822" s="21"/>
      <c r="F822" s="19"/>
      <c r="G822" s="27" t="str">
        <f aca="false">IF(B822="","",IFERROR(INDEX(Jeux!$C$2:$C$3001,MATCH(B822,Jeux!$A$2:$A$3001,0))&amp;"","⚠ jeu inconnu"))</f>
        <v/>
      </c>
      <c r="H822" s="27" t="str">
        <f aca="false">IF(B822="","",IFERROR(INDEX(Jeux!$D$2:$D$3001,MATCH(B822,Jeux!$A$2:$A$3001,0))&amp;"",""))</f>
        <v/>
      </c>
      <c r="I822" s="26" t="str">
        <f aca="false">IF(A822="","",COUNTIF(Apparitions!$G$2:$G$5001,A822))</f>
        <v/>
      </c>
      <c r="J822" s="26" t="str">
        <f aca="false">IF(A822="","",COUNTIFS(Apparitions!$G$2:$G$5001,A822,Apparitions!$E$2:$E$5001,"○"))</f>
        <v/>
      </c>
      <c r="K822" s="29" t="str">
        <f aca="false">IF(A822="","",IFERROR(1/(1/_xlfn.MINIFS(Apparitions!$L$2:$L$5001,Apparitions!$G$2:$G$5001,A822)),""))</f>
        <v/>
      </c>
      <c r="L822" s="27" t="str">
        <f aca="false">IF(A822="","",A822&amp;" | "&amp;B822&amp;IF(C822="",""," ("&amp;C822&amp;")")&amp;IF(D822="",""," - "&amp;D822))</f>
        <v/>
      </c>
    </row>
    <row r="823" customFormat="false" ht="15" hidden="false" customHeight="false" outlineLevel="0" collapsed="false">
      <c r="A823" s="32"/>
      <c r="B823" s="19"/>
      <c r="C823" s="19"/>
      <c r="D823" s="19"/>
      <c r="E823" s="21"/>
      <c r="F823" s="19"/>
      <c r="G823" s="27" t="str">
        <f aca="false">IF(B823="","",IFERROR(INDEX(Jeux!$C$2:$C$3001,MATCH(B823,Jeux!$A$2:$A$3001,0))&amp;"","⚠ jeu inconnu"))</f>
        <v/>
      </c>
      <c r="H823" s="27" t="str">
        <f aca="false">IF(B823="","",IFERROR(INDEX(Jeux!$D$2:$D$3001,MATCH(B823,Jeux!$A$2:$A$3001,0))&amp;"",""))</f>
        <v/>
      </c>
      <c r="I823" s="26" t="str">
        <f aca="false">IF(A823="","",COUNTIF(Apparitions!$G$2:$G$5001,A823))</f>
        <v/>
      </c>
      <c r="J823" s="26" t="str">
        <f aca="false">IF(A823="","",COUNTIFS(Apparitions!$G$2:$G$5001,A823,Apparitions!$E$2:$E$5001,"○"))</f>
        <v/>
      </c>
      <c r="K823" s="29" t="str">
        <f aca="false">IF(A823="","",IFERROR(1/(1/_xlfn.MINIFS(Apparitions!$L$2:$L$5001,Apparitions!$G$2:$G$5001,A823)),""))</f>
        <v/>
      </c>
      <c r="L823" s="27" t="str">
        <f aca="false">IF(A823="","",A823&amp;" | "&amp;B823&amp;IF(C823="",""," ("&amp;C823&amp;")")&amp;IF(D823="",""," - "&amp;D823))</f>
        <v/>
      </c>
    </row>
    <row r="824" customFormat="false" ht="15" hidden="false" customHeight="false" outlineLevel="0" collapsed="false">
      <c r="A824" s="32"/>
      <c r="B824" s="19"/>
      <c r="C824" s="19"/>
      <c r="D824" s="19"/>
      <c r="E824" s="21"/>
      <c r="F824" s="19"/>
      <c r="G824" s="27" t="str">
        <f aca="false">IF(B824="","",IFERROR(INDEX(Jeux!$C$2:$C$3001,MATCH(B824,Jeux!$A$2:$A$3001,0))&amp;"","⚠ jeu inconnu"))</f>
        <v/>
      </c>
      <c r="H824" s="27" t="str">
        <f aca="false">IF(B824="","",IFERROR(INDEX(Jeux!$D$2:$D$3001,MATCH(B824,Jeux!$A$2:$A$3001,0))&amp;"",""))</f>
        <v/>
      </c>
      <c r="I824" s="26" t="str">
        <f aca="false">IF(A824="","",COUNTIF(Apparitions!$G$2:$G$5001,A824))</f>
        <v/>
      </c>
      <c r="J824" s="26" t="str">
        <f aca="false">IF(A824="","",COUNTIFS(Apparitions!$G$2:$G$5001,A824,Apparitions!$E$2:$E$5001,"○"))</f>
        <v/>
      </c>
      <c r="K824" s="29" t="str">
        <f aca="false">IF(A824="","",IFERROR(1/(1/_xlfn.MINIFS(Apparitions!$L$2:$L$5001,Apparitions!$G$2:$G$5001,A824)),""))</f>
        <v/>
      </c>
      <c r="L824" s="27" t="str">
        <f aca="false">IF(A824="","",A824&amp;" | "&amp;B824&amp;IF(C824="",""," ("&amp;C824&amp;")")&amp;IF(D824="",""," - "&amp;D824))</f>
        <v/>
      </c>
    </row>
    <row r="825" customFormat="false" ht="15" hidden="false" customHeight="false" outlineLevel="0" collapsed="false">
      <c r="A825" s="32"/>
      <c r="B825" s="19"/>
      <c r="C825" s="19"/>
      <c r="D825" s="19"/>
      <c r="E825" s="21"/>
      <c r="F825" s="19"/>
      <c r="G825" s="27" t="str">
        <f aca="false">IF(B825="","",IFERROR(INDEX(Jeux!$C$2:$C$3001,MATCH(B825,Jeux!$A$2:$A$3001,0))&amp;"","⚠ jeu inconnu"))</f>
        <v/>
      </c>
      <c r="H825" s="27" t="str">
        <f aca="false">IF(B825="","",IFERROR(INDEX(Jeux!$D$2:$D$3001,MATCH(B825,Jeux!$A$2:$A$3001,0))&amp;"",""))</f>
        <v/>
      </c>
      <c r="I825" s="26" t="str">
        <f aca="false">IF(A825="","",COUNTIF(Apparitions!$G$2:$G$5001,A825))</f>
        <v/>
      </c>
      <c r="J825" s="26" t="str">
        <f aca="false">IF(A825="","",COUNTIFS(Apparitions!$G$2:$G$5001,A825,Apparitions!$E$2:$E$5001,"○"))</f>
        <v/>
      </c>
      <c r="K825" s="29" t="str">
        <f aca="false">IF(A825="","",IFERROR(1/(1/_xlfn.MINIFS(Apparitions!$L$2:$L$5001,Apparitions!$G$2:$G$5001,A825)),""))</f>
        <v/>
      </c>
      <c r="L825" s="27" t="str">
        <f aca="false">IF(A825="","",A825&amp;" | "&amp;B825&amp;IF(C825="",""," ("&amp;C825&amp;")")&amp;IF(D825="",""," - "&amp;D825))</f>
        <v/>
      </c>
    </row>
    <row r="826" customFormat="false" ht="15" hidden="false" customHeight="false" outlineLevel="0" collapsed="false">
      <c r="A826" s="32"/>
      <c r="B826" s="19"/>
      <c r="C826" s="19"/>
      <c r="D826" s="19"/>
      <c r="E826" s="21"/>
      <c r="F826" s="19"/>
      <c r="G826" s="27" t="str">
        <f aca="false">IF(B826="","",IFERROR(INDEX(Jeux!$C$2:$C$3001,MATCH(B826,Jeux!$A$2:$A$3001,0))&amp;"","⚠ jeu inconnu"))</f>
        <v/>
      </c>
      <c r="H826" s="27" t="str">
        <f aca="false">IF(B826="","",IFERROR(INDEX(Jeux!$D$2:$D$3001,MATCH(B826,Jeux!$A$2:$A$3001,0))&amp;"",""))</f>
        <v/>
      </c>
      <c r="I826" s="26" t="str">
        <f aca="false">IF(A826="","",COUNTIF(Apparitions!$G$2:$G$5001,A826))</f>
        <v/>
      </c>
      <c r="J826" s="26" t="str">
        <f aca="false">IF(A826="","",COUNTIFS(Apparitions!$G$2:$G$5001,A826,Apparitions!$E$2:$E$5001,"○"))</f>
        <v/>
      </c>
      <c r="K826" s="29" t="str">
        <f aca="false">IF(A826="","",IFERROR(1/(1/_xlfn.MINIFS(Apparitions!$L$2:$L$5001,Apparitions!$G$2:$G$5001,A826)),""))</f>
        <v/>
      </c>
      <c r="L826" s="27" t="str">
        <f aca="false">IF(A826="","",A826&amp;" | "&amp;B826&amp;IF(C826="",""," ("&amp;C826&amp;")")&amp;IF(D826="",""," - "&amp;D826))</f>
        <v/>
      </c>
    </row>
    <row r="827" customFormat="false" ht="15" hidden="false" customHeight="false" outlineLevel="0" collapsed="false">
      <c r="A827" s="32"/>
      <c r="B827" s="19"/>
      <c r="C827" s="19"/>
      <c r="D827" s="19"/>
      <c r="E827" s="21"/>
      <c r="F827" s="19"/>
      <c r="G827" s="27" t="str">
        <f aca="false">IF(B827="","",IFERROR(INDEX(Jeux!$C$2:$C$3001,MATCH(B827,Jeux!$A$2:$A$3001,0))&amp;"","⚠ jeu inconnu"))</f>
        <v/>
      </c>
      <c r="H827" s="27" t="str">
        <f aca="false">IF(B827="","",IFERROR(INDEX(Jeux!$D$2:$D$3001,MATCH(B827,Jeux!$A$2:$A$3001,0))&amp;"",""))</f>
        <v/>
      </c>
      <c r="I827" s="26" t="str">
        <f aca="false">IF(A827="","",COUNTIF(Apparitions!$G$2:$G$5001,A827))</f>
        <v/>
      </c>
      <c r="J827" s="26" t="str">
        <f aca="false">IF(A827="","",COUNTIFS(Apparitions!$G$2:$G$5001,A827,Apparitions!$E$2:$E$5001,"○"))</f>
        <v/>
      </c>
      <c r="K827" s="29" t="str">
        <f aca="false">IF(A827="","",IFERROR(1/(1/_xlfn.MINIFS(Apparitions!$L$2:$L$5001,Apparitions!$G$2:$G$5001,A827)),""))</f>
        <v/>
      </c>
      <c r="L827" s="27" t="str">
        <f aca="false">IF(A827="","",A827&amp;" | "&amp;B827&amp;IF(C827="",""," ("&amp;C827&amp;")")&amp;IF(D827="",""," - "&amp;D827))</f>
        <v/>
      </c>
    </row>
    <row r="828" customFormat="false" ht="15" hidden="false" customHeight="false" outlineLevel="0" collapsed="false">
      <c r="A828" s="32"/>
      <c r="B828" s="19"/>
      <c r="C828" s="19"/>
      <c r="D828" s="19"/>
      <c r="E828" s="21"/>
      <c r="F828" s="19"/>
      <c r="G828" s="27" t="str">
        <f aca="false">IF(B828="","",IFERROR(INDEX(Jeux!$C$2:$C$3001,MATCH(B828,Jeux!$A$2:$A$3001,0))&amp;"","⚠ jeu inconnu"))</f>
        <v/>
      </c>
      <c r="H828" s="27" t="str">
        <f aca="false">IF(B828="","",IFERROR(INDEX(Jeux!$D$2:$D$3001,MATCH(B828,Jeux!$A$2:$A$3001,0))&amp;"",""))</f>
        <v/>
      </c>
      <c r="I828" s="26" t="str">
        <f aca="false">IF(A828="","",COUNTIF(Apparitions!$G$2:$G$5001,A828))</f>
        <v/>
      </c>
      <c r="J828" s="26" t="str">
        <f aca="false">IF(A828="","",COUNTIFS(Apparitions!$G$2:$G$5001,A828,Apparitions!$E$2:$E$5001,"○"))</f>
        <v/>
      </c>
      <c r="K828" s="29" t="str">
        <f aca="false">IF(A828="","",IFERROR(1/(1/_xlfn.MINIFS(Apparitions!$L$2:$L$5001,Apparitions!$G$2:$G$5001,A828)),""))</f>
        <v/>
      </c>
      <c r="L828" s="27" t="str">
        <f aca="false">IF(A828="","",A828&amp;" | "&amp;B828&amp;IF(C828="",""," ("&amp;C828&amp;")")&amp;IF(D828="",""," - "&amp;D828))</f>
        <v/>
      </c>
    </row>
    <row r="829" customFormat="false" ht="15" hidden="false" customHeight="false" outlineLevel="0" collapsed="false">
      <c r="A829" s="32"/>
      <c r="B829" s="19"/>
      <c r="C829" s="19"/>
      <c r="D829" s="19"/>
      <c r="E829" s="21"/>
      <c r="F829" s="19"/>
      <c r="G829" s="27" t="str">
        <f aca="false">IF(B829="","",IFERROR(INDEX(Jeux!$C$2:$C$3001,MATCH(B829,Jeux!$A$2:$A$3001,0))&amp;"","⚠ jeu inconnu"))</f>
        <v/>
      </c>
      <c r="H829" s="27" t="str">
        <f aca="false">IF(B829="","",IFERROR(INDEX(Jeux!$D$2:$D$3001,MATCH(B829,Jeux!$A$2:$A$3001,0))&amp;"",""))</f>
        <v/>
      </c>
      <c r="I829" s="26" t="str">
        <f aca="false">IF(A829="","",COUNTIF(Apparitions!$G$2:$G$5001,A829))</f>
        <v/>
      </c>
      <c r="J829" s="26" t="str">
        <f aca="false">IF(A829="","",COUNTIFS(Apparitions!$G$2:$G$5001,A829,Apparitions!$E$2:$E$5001,"○"))</f>
        <v/>
      </c>
      <c r="K829" s="29" t="str">
        <f aca="false">IF(A829="","",IFERROR(1/(1/_xlfn.MINIFS(Apparitions!$L$2:$L$5001,Apparitions!$G$2:$G$5001,A829)),""))</f>
        <v/>
      </c>
      <c r="L829" s="27" t="str">
        <f aca="false">IF(A829="","",A829&amp;" | "&amp;B829&amp;IF(C829="",""," ("&amp;C829&amp;")")&amp;IF(D829="",""," - "&amp;D829))</f>
        <v/>
      </c>
    </row>
    <row r="830" customFormat="false" ht="15" hidden="false" customHeight="false" outlineLevel="0" collapsed="false">
      <c r="A830" s="32"/>
      <c r="B830" s="19"/>
      <c r="C830" s="19"/>
      <c r="D830" s="19"/>
      <c r="E830" s="21"/>
      <c r="F830" s="19"/>
      <c r="G830" s="27" t="str">
        <f aca="false">IF(B830="","",IFERROR(INDEX(Jeux!$C$2:$C$3001,MATCH(B830,Jeux!$A$2:$A$3001,0))&amp;"","⚠ jeu inconnu"))</f>
        <v/>
      </c>
      <c r="H830" s="27" t="str">
        <f aca="false">IF(B830="","",IFERROR(INDEX(Jeux!$D$2:$D$3001,MATCH(B830,Jeux!$A$2:$A$3001,0))&amp;"",""))</f>
        <v/>
      </c>
      <c r="I830" s="26" t="str">
        <f aca="false">IF(A830="","",COUNTIF(Apparitions!$G$2:$G$5001,A830))</f>
        <v/>
      </c>
      <c r="J830" s="26" t="str">
        <f aca="false">IF(A830="","",COUNTIFS(Apparitions!$G$2:$G$5001,A830,Apparitions!$E$2:$E$5001,"○"))</f>
        <v/>
      </c>
      <c r="K830" s="29" t="str">
        <f aca="false">IF(A830="","",IFERROR(1/(1/_xlfn.MINIFS(Apparitions!$L$2:$L$5001,Apparitions!$G$2:$G$5001,A830)),""))</f>
        <v/>
      </c>
      <c r="L830" s="27" t="str">
        <f aca="false">IF(A830="","",A830&amp;" | "&amp;B830&amp;IF(C830="",""," ("&amp;C830&amp;")")&amp;IF(D830="",""," - "&amp;D830))</f>
        <v/>
      </c>
    </row>
    <row r="831" customFormat="false" ht="15" hidden="false" customHeight="false" outlineLevel="0" collapsed="false">
      <c r="A831" s="32"/>
      <c r="B831" s="19"/>
      <c r="C831" s="19"/>
      <c r="D831" s="19"/>
      <c r="E831" s="21"/>
      <c r="F831" s="19"/>
      <c r="G831" s="27" t="str">
        <f aca="false">IF(B831="","",IFERROR(INDEX(Jeux!$C$2:$C$3001,MATCH(B831,Jeux!$A$2:$A$3001,0))&amp;"","⚠ jeu inconnu"))</f>
        <v/>
      </c>
      <c r="H831" s="27" t="str">
        <f aca="false">IF(B831="","",IFERROR(INDEX(Jeux!$D$2:$D$3001,MATCH(B831,Jeux!$A$2:$A$3001,0))&amp;"",""))</f>
        <v/>
      </c>
      <c r="I831" s="26" t="str">
        <f aca="false">IF(A831="","",COUNTIF(Apparitions!$G$2:$G$5001,A831))</f>
        <v/>
      </c>
      <c r="J831" s="26" t="str">
        <f aca="false">IF(A831="","",COUNTIFS(Apparitions!$G$2:$G$5001,A831,Apparitions!$E$2:$E$5001,"○"))</f>
        <v/>
      </c>
      <c r="K831" s="29" t="str">
        <f aca="false">IF(A831="","",IFERROR(1/(1/_xlfn.MINIFS(Apparitions!$L$2:$L$5001,Apparitions!$G$2:$G$5001,A831)),""))</f>
        <v/>
      </c>
      <c r="L831" s="27" t="str">
        <f aca="false">IF(A831="","",A831&amp;" | "&amp;B831&amp;IF(C831="",""," ("&amp;C831&amp;")")&amp;IF(D831="",""," - "&amp;D831))</f>
        <v/>
      </c>
    </row>
    <row r="832" customFormat="false" ht="15" hidden="false" customHeight="false" outlineLevel="0" collapsed="false">
      <c r="A832" s="32"/>
      <c r="B832" s="19"/>
      <c r="C832" s="19"/>
      <c r="D832" s="19"/>
      <c r="E832" s="21"/>
      <c r="F832" s="19"/>
      <c r="G832" s="27" t="str">
        <f aca="false">IF(B832="","",IFERROR(INDEX(Jeux!$C$2:$C$3001,MATCH(B832,Jeux!$A$2:$A$3001,0))&amp;"","⚠ jeu inconnu"))</f>
        <v/>
      </c>
      <c r="H832" s="27" t="str">
        <f aca="false">IF(B832="","",IFERROR(INDEX(Jeux!$D$2:$D$3001,MATCH(B832,Jeux!$A$2:$A$3001,0))&amp;"",""))</f>
        <v/>
      </c>
      <c r="I832" s="26" t="str">
        <f aca="false">IF(A832="","",COUNTIF(Apparitions!$G$2:$G$5001,A832))</f>
        <v/>
      </c>
      <c r="J832" s="26" t="str">
        <f aca="false">IF(A832="","",COUNTIFS(Apparitions!$G$2:$G$5001,A832,Apparitions!$E$2:$E$5001,"○"))</f>
        <v/>
      </c>
      <c r="K832" s="29" t="str">
        <f aca="false">IF(A832="","",IFERROR(1/(1/_xlfn.MINIFS(Apparitions!$L$2:$L$5001,Apparitions!$G$2:$G$5001,A832)),""))</f>
        <v/>
      </c>
      <c r="L832" s="27" t="str">
        <f aca="false">IF(A832="","",A832&amp;" | "&amp;B832&amp;IF(C832="",""," ("&amp;C832&amp;")")&amp;IF(D832="",""," - "&amp;D832))</f>
        <v/>
      </c>
    </row>
    <row r="833" customFormat="false" ht="15" hidden="false" customHeight="false" outlineLevel="0" collapsed="false">
      <c r="A833" s="32"/>
      <c r="B833" s="19"/>
      <c r="C833" s="19"/>
      <c r="D833" s="19"/>
      <c r="E833" s="21"/>
      <c r="F833" s="19"/>
      <c r="G833" s="27" t="str">
        <f aca="false">IF(B833="","",IFERROR(INDEX(Jeux!$C$2:$C$3001,MATCH(B833,Jeux!$A$2:$A$3001,0))&amp;"","⚠ jeu inconnu"))</f>
        <v/>
      </c>
      <c r="H833" s="27" t="str">
        <f aca="false">IF(B833="","",IFERROR(INDEX(Jeux!$D$2:$D$3001,MATCH(B833,Jeux!$A$2:$A$3001,0))&amp;"",""))</f>
        <v/>
      </c>
      <c r="I833" s="26" t="str">
        <f aca="false">IF(A833="","",COUNTIF(Apparitions!$G$2:$G$5001,A833))</f>
        <v/>
      </c>
      <c r="J833" s="26" t="str">
        <f aca="false">IF(A833="","",COUNTIFS(Apparitions!$G$2:$G$5001,A833,Apparitions!$E$2:$E$5001,"○"))</f>
        <v/>
      </c>
      <c r="K833" s="29" t="str">
        <f aca="false">IF(A833="","",IFERROR(1/(1/_xlfn.MINIFS(Apparitions!$L$2:$L$5001,Apparitions!$G$2:$G$5001,A833)),""))</f>
        <v/>
      </c>
      <c r="L833" s="27" t="str">
        <f aca="false">IF(A833="","",A833&amp;" | "&amp;B833&amp;IF(C833="",""," ("&amp;C833&amp;")")&amp;IF(D833="",""," - "&amp;D833))</f>
        <v/>
      </c>
    </row>
    <row r="834" customFormat="false" ht="15" hidden="false" customHeight="false" outlineLevel="0" collapsed="false">
      <c r="A834" s="32"/>
      <c r="B834" s="19"/>
      <c r="C834" s="19"/>
      <c r="D834" s="19"/>
      <c r="E834" s="21"/>
      <c r="F834" s="19"/>
      <c r="G834" s="27" t="str">
        <f aca="false">IF(B834="","",IFERROR(INDEX(Jeux!$C$2:$C$3001,MATCH(B834,Jeux!$A$2:$A$3001,0))&amp;"","⚠ jeu inconnu"))</f>
        <v/>
      </c>
      <c r="H834" s="27" t="str">
        <f aca="false">IF(B834="","",IFERROR(INDEX(Jeux!$D$2:$D$3001,MATCH(B834,Jeux!$A$2:$A$3001,0))&amp;"",""))</f>
        <v/>
      </c>
      <c r="I834" s="26" t="str">
        <f aca="false">IF(A834="","",COUNTIF(Apparitions!$G$2:$G$5001,A834))</f>
        <v/>
      </c>
      <c r="J834" s="26" t="str">
        <f aca="false">IF(A834="","",COUNTIFS(Apparitions!$G$2:$G$5001,A834,Apparitions!$E$2:$E$5001,"○"))</f>
        <v/>
      </c>
      <c r="K834" s="29" t="str">
        <f aca="false">IF(A834="","",IFERROR(1/(1/_xlfn.MINIFS(Apparitions!$L$2:$L$5001,Apparitions!$G$2:$G$5001,A834)),""))</f>
        <v/>
      </c>
      <c r="L834" s="27" t="str">
        <f aca="false">IF(A834="","",A834&amp;" | "&amp;B834&amp;IF(C834="",""," ("&amp;C834&amp;")")&amp;IF(D834="",""," - "&amp;D834))</f>
        <v/>
      </c>
    </row>
    <row r="835" customFormat="false" ht="15" hidden="false" customHeight="false" outlineLevel="0" collapsed="false">
      <c r="A835" s="32"/>
      <c r="B835" s="19"/>
      <c r="C835" s="19"/>
      <c r="D835" s="19"/>
      <c r="E835" s="21"/>
      <c r="F835" s="19"/>
      <c r="G835" s="27" t="str">
        <f aca="false">IF(B835="","",IFERROR(INDEX(Jeux!$C$2:$C$3001,MATCH(B835,Jeux!$A$2:$A$3001,0))&amp;"","⚠ jeu inconnu"))</f>
        <v/>
      </c>
      <c r="H835" s="27" t="str">
        <f aca="false">IF(B835="","",IFERROR(INDEX(Jeux!$D$2:$D$3001,MATCH(B835,Jeux!$A$2:$A$3001,0))&amp;"",""))</f>
        <v/>
      </c>
      <c r="I835" s="26" t="str">
        <f aca="false">IF(A835="","",COUNTIF(Apparitions!$G$2:$G$5001,A835))</f>
        <v/>
      </c>
      <c r="J835" s="26" t="str">
        <f aca="false">IF(A835="","",COUNTIFS(Apparitions!$G$2:$G$5001,A835,Apparitions!$E$2:$E$5001,"○"))</f>
        <v/>
      </c>
      <c r="K835" s="29" t="str">
        <f aca="false">IF(A835="","",IFERROR(1/(1/_xlfn.MINIFS(Apparitions!$L$2:$L$5001,Apparitions!$G$2:$G$5001,A835)),""))</f>
        <v/>
      </c>
      <c r="L835" s="27" t="str">
        <f aca="false">IF(A835="","",A835&amp;" | "&amp;B835&amp;IF(C835="",""," ("&amp;C835&amp;")")&amp;IF(D835="",""," - "&amp;D835))</f>
        <v/>
      </c>
    </row>
    <row r="836" customFormat="false" ht="15" hidden="false" customHeight="false" outlineLevel="0" collapsed="false">
      <c r="A836" s="32"/>
      <c r="B836" s="19"/>
      <c r="C836" s="19"/>
      <c r="D836" s="19"/>
      <c r="E836" s="21"/>
      <c r="F836" s="19"/>
      <c r="G836" s="27" t="str">
        <f aca="false">IF(B836="","",IFERROR(INDEX(Jeux!$C$2:$C$3001,MATCH(B836,Jeux!$A$2:$A$3001,0))&amp;"","⚠ jeu inconnu"))</f>
        <v/>
      </c>
      <c r="H836" s="27" t="str">
        <f aca="false">IF(B836="","",IFERROR(INDEX(Jeux!$D$2:$D$3001,MATCH(B836,Jeux!$A$2:$A$3001,0))&amp;"",""))</f>
        <v/>
      </c>
      <c r="I836" s="26" t="str">
        <f aca="false">IF(A836="","",COUNTIF(Apparitions!$G$2:$G$5001,A836))</f>
        <v/>
      </c>
      <c r="J836" s="26" t="str">
        <f aca="false">IF(A836="","",COUNTIFS(Apparitions!$G$2:$G$5001,A836,Apparitions!$E$2:$E$5001,"○"))</f>
        <v/>
      </c>
      <c r="K836" s="29" t="str">
        <f aca="false">IF(A836="","",IFERROR(1/(1/_xlfn.MINIFS(Apparitions!$L$2:$L$5001,Apparitions!$G$2:$G$5001,A836)),""))</f>
        <v/>
      </c>
      <c r="L836" s="27" t="str">
        <f aca="false">IF(A836="","",A836&amp;" | "&amp;B836&amp;IF(C836="",""," ("&amp;C836&amp;")")&amp;IF(D836="",""," - "&amp;D836))</f>
        <v/>
      </c>
    </row>
    <row r="837" customFormat="false" ht="15" hidden="false" customHeight="false" outlineLevel="0" collapsed="false">
      <c r="A837" s="32"/>
      <c r="B837" s="19"/>
      <c r="C837" s="19"/>
      <c r="D837" s="19"/>
      <c r="E837" s="21"/>
      <c r="F837" s="19"/>
      <c r="G837" s="27" t="str">
        <f aca="false">IF(B837="","",IFERROR(INDEX(Jeux!$C$2:$C$3001,MATCH(B837,Jeux!$A$2:$A$3001,0))&amp;"","⚠ jeu inconnu"))</f>
        <v/>
      </c>
      <c r="H837" s="27" t="str">
        <f aca="false">IF(B837="","",IFERROR(INDEX(Jeux!$D$2:$D$3001,MATCH(B837,Jeux!$A$2:$A$3001,0))&amp;"",""))</f>
        <v/>
      </c>
      <c r="I837" s="26" t="str">
        <f aca="false">IF(A837="","",COUNTIF(Apparitions!$G$2:$G$5001,A837))</f>
        <v/>
      </c>
      <c r="J837" s="26" t="str">
        <f aca="false">IF(A837="","",COUNTIFS(Apparitions!$G$2:$G$5001,A837,Apparitions!$E$2:$E$5001,"○"))</f>
        <v/>
      </c>
      <c r="K837" s="29" t="str">
        <f aca="false">IF(A837="","",IFERROR(1/(1/_xlfn.MINIFS(Apparitions!$L$2:$L$5001,Apparitions!$G$2:$G$5001,A837)),""))</f>
        <v/>
      </c>
      <c r="L837" s="27" t="str">
        <f aca="false">IF(A837="","",A837&amp;" | "&amp;B837&amp;IF(C837="",""," ("&amp;C837&amp;")")&amp;IF(D837="",""," - "&amp;D837))</f>
        <v/>
      </c>
    </row>
    <row r="838" customFormat="false" ht="15" hidden="false" customHeight="false" outlineLevel="0" collapsed="false">
      <c r="A838" s="32"/>
      <c r="B838" s="19"/>
      <c r="C838" s="19"/>
      <c r="D838" s="19"/>
      <c r="E838" s="21"/>
      <c r="F838" s="19"/>
      <c r="G838" s="27" t="str">
        <f aca="false">IF(B838="","",IFERROR(INDEX(Jeux!$C$2:$C$3001,MATCH(B838,Jeux!$A$2:$A$3001,0))&amp;"","⚠ jeu inconnu"))</f>
        <v/>
      </c>
      <c r="H838" s="27" t="str">
        <f aca="false">IF(B838="","",IFERROR(INDEX(Jeux!$D$2:$D$3001,MATCH(B838,Jeux!$A$2:$A$3001,0))&amp;"",""))</f>
        <v/>
      </c>
      <c r="I838" s="26" t="str">
        <f aca="false">IF(A838="","",COUNTIF(Apparitions!$G$2:$G$5001,A838))</f>
        <v/>
      </c>
      <c r="J838" s="26" t="str">
        <f aca="false">IF(A838="","",COUNTIFS(Apparitions!$G$2:$G$5001,A838,Apparitions!$E$2:$E$5001,"○"))</f>
        <v/>
      </c>
      <c r="K838" s="29" t="str">
        <f aca="false">IF(A838="","",IFERROR(1/(1/_xlfn.MINIFS(Apparitions!$L$2:$L$5001,Apparitions!$G$2:$G$5001,A838)),""))</f>
        <v/>
      </c>
      <c r="L838" s="27" t="str">
        <f aca="false">IF(A838="","",A838&amp;" | "&amp;B838&amp;IF(C838="",""," ("&amp;C838&amp;")")&amp;IF(D838="",""," - "&amp;D838))</f>
        <v/>
      </c>
    </row>
    <row r="839" customFormat="false" ht="15" hidden="false" customHeight="false" outlineLevel="0" collapsed="false">
      <c r="A839" s="32"/>
      <c r="B839" s="19"/>
      <c r="C839" s="19"/>
      <c r="D839" s="19"/>
      <c r="E839" s="21"/>
      <c r="F839" s="19"/>
      <c r="G839" s="27" t="str">
        <f aca="false">IF(B839="","",IFERROR(INDEX(Jeux!$C$2:$C$3001,MATCH(B839,Jeux!$A$2:$A$3001,0))&amp;"","⚠ jeu inconnu"))</f>
        <v/>
      </c>
      <c r="H839" s="27" t="str">
        <f aca="false">IF(B839="","",IFERROR(INDEX(Jeux!$D$2:$D$3001,MATCH(B839,Jeux!$A$2:$A$3001,0))&amp;"",""))</f>
        <v/>
      </c>
      <c r="I839" s="26" t="str">
        <f aca="false">IF(A839="","",COUNTIF(Apparitions!$G$2:$G$5001,A839))</f>
        <v/>
      </c>
      <c r="J839" s="26" t="str">
        <f aca="false">IF(A839="","",COUNTIFS(Apparitions!$G$2:$G$5001,A839,Apparitions!$E$2:$E$5001,"○"))</f>
        <v/>
      </c>
      <c r="K839" s="29" t="str">
        <f aca="false">IF(A839="","",IFERROR(1/(1/_xlfn.MINIFS(Apparitions!$L$2:$L$5001,Apparitions!$G$2:$G$5001,A839)),""))</f>
        <v/>
      </c>
      <c r="L839" s="27" t="str">
        <f aca="false">IF(A839="","",A839&amp;" | "&amp;B839&amp;IF(C839="",""," ("&amp;C839&amp;")")&amp;IF(D839="",""," - "&amp;D839))</f>
        <v/>
      </c>
    </row>
    <row r="840" customFormat="false" ht="15" hidden="false" customHeight="false" outlineLevel="0" collapsed="false">
      <c r="A840" s="32"/>
      <c r="B840" s="19"/>
      <c r="C840" s="19"/>
      <c r="D840" s="19"/>
      <c r="E840" s="21"/>
      <c r="F840" s="19"/>
      <c r="G840" s="27" t="str">
        <f aca="false">IF(B840="","",IFERROR(INDEX(Jeux!$C$2:$C$3001,MATCH(B840,Jeux!$A$2:$A$3001,0))&amp;"","⚠ jeu inconnu"))</f>
        <v/>
      </c>
      <c r="H840" s="27" t="str">
        <f aca="false">IF(B840="","",IFERROR(INDEX(Jeux!$D$2:$D$3001,MATCH(B840,Jeux!$A$2:$A$3001,0))&amp;"",""))</f>
        <v/>
      </c>
      <c r="I840" s="26" t="str">
        <f aca="false">IF(A840="","",COUNTIF(Apparitions!$G$2:$G$5001,A840))</f>
        <v/>
      </c>
      <c r="J840" s="26" t="str">
        <f aca="false">IF(A840="","",COUNTIFS(Apparitions!$G$2:$G$5001,A840,Apparitions!$E$2:$E$5001,"○"))</f>
        <v/>
      </c>
      <c r="K840" s="29" t="str">
        <f aca="false">IF(A840="","",IFERROR(1/(1/_xlfn.MINIFS(Apparitions!$L$2:$L$5001,Apparitions!$G$2:$G$5001,A840)),""))</f>
        <v/>
      </c>
      <c r="L840" s="27" t="str">
        <f aca="false">IF(A840="","",A840&amp;" | "&amp;B840&amp;IF(C840="",""," ("&amp;C840&amp;")")&amp;IF(D840="",""," - "&amp;D840))</f>
        <v/>
      </c>
    </row>
    <row r="841" customFormat="false" ht="15" hidden="false" customHeight="false" outlineLevel="0" collapsed="false">
      <c r="A841" s="32"/>
      <c r="B841" s="19"/>
      <c r="C841" s="19"/>
      <c r="D841" s="19"/>
      <c r="E841" s="21"/>
      <c r="F841" s="19"/>
      <c r="G841" s="27" t="str">
        <f aca="false">IF(B841="","",IFERROR(INDEX(Jeux!$C$2:$C$3001,MATCH(B841,Jeux!$A$2:$A$3001,0))&amp;"","⚠ jeu inconnu"))</f>
        <v/>
      </c>
      <c r="H841" s="27" t="str">
        <f aca="false">IF(B841="","",IFERROR(INDEX(Jeux!$D$2:$D$3001,MATCH(B841,Jeux!$A$2:$A$3001,0))&amp;"",""))</f>
        <v/>
      </c>
      <c r="I841" s="26" t="str">
        <f aca="false">IF(A841="","",COUNTIF(Apparitions!$G$2:$G$5001,A841))</f>
        <v/>
      </c>
      <c r="J841" s="26" t="str">
        <f aca="false">IF(A841="","",COUNTIFS(Apparitions!$G$2:$G$5001,A841,Apparitions!$E$2:$E$5001,"○"))</f>
        <v/>
      </c>
      <c r="K841" s="29" t="str">
        <f aca="false">IF(A841="","",IFERROR(1/(1/_xlfn.MINIFS(Apparitions!$L$2:$L$5001,Apparitions!$G$2:$G$5001,A841)),""))</f>
        <v/>
      </c>
      <c r="L841" s="27" t="str">
        <f aca="false">IF(A841="","",A841&amp;" | "&amp;B841&amp;IF(C841="",""," ("&amp;C841&amp;")")&amp;IF(D841="",""," - "&amp;D841))</f>
        <v/>
      </c>
    </row>
    <row r="842" customFormat="false" ht="15" hidden="false" customHeight="false" outlineLevel="0" collapsed="false">
      <c r="A842" s="32"/>
      <c r="B842" s="19"/>
      <c r="C842" s="19"/>
      <c r="D842" s="19"/>
      <c r="E842" s="21"/>
      <c r="F842" s="19"/>
      <c r="G842" s="27" t="str">
        <f aca="false">IF(B842="","",IFERROR(INDEX(Jeux!$C$2:$C$3001,MATCH(B842,Jeux!$A$2:$A$3001,0))&amp;"","⚠ jeu inconnu"))</f>
        <v/>
      </c>
      <c r="H842" s="27" t="str">
        <f aca="false">IF(B842="","",IFERROR(INDEX(Jeux!$D$2:$D$3001,MATCH(B842,Jeux!$A$2:$A$3001,0))&amp;"",""))</f>
        <v/>
      </c>
      <c r="I842" s="26" t="str">
        <f aca="false">IF(A842="","",COUNTIF(Apparitions!$G$2:$G$5001,A842))</f>
        <v/>
      </c>
      <c r="J842" s="26" t="str">
        <f aca="false">IF(A842="","",COUNTIFS(Apparitions!$G$2:$G$5001,A842,Apparitions!$E$2:$E$5001,"○"))</f>
        <v/>
      </c>
      <c r="K842" s="29" t="str">
        <f aca="false">IF(A842="","",IFERROR(1/(1/_xlfn.MINIFS(Apparitions!$L$2:$L$5001,Apparitions!$G$2:$G$5001,A842)),""))</f>
        <v/>
      </c>
      <c r="L842" s="27" t="str">
        <f aca="false">IF(A842="","",A842&amp;" | "&amp;B842&amp;IF(C842="",""," ("&amp;C842&amp;")")&amp;IF(D842="",""," - "&amp;D842))</f>
        <v/>
      </c>
    </row>
    <row r="843" customFormat="false" ht="15" hidden="false" customHeight="false" outlineLevel="0" collapsed="false">
      <c r="A843" s="32"/>
      <c r="B843" s="19"/>
      <c r="C843" s="19"/>
      <c r="D843" s="19"/>
      <c r="E843" s="21"/>
      <c r="F843" s="19"/>
      <c r="G843" s="27" t="str">
        <f aca="false">IF(B843="","",IFERROR(INDEX(Jeux!$C$2:$C$3001,MATCH(B843,Jeux!$A$2:$A$3001,0))&amp;"","⚠ jeu inconnu"))</f>
        <v/>
      </c>
      <c r="H843" s="27" t="str">
        <f aca="false">IF(B843="","",IFERROR(INDEX(Jeux!$D$2:$D$3001,MATCH(B843,Jeux!$A$2:$A$3001,0))&amp;"",""))</f>
        <v/>
      </c>
      <c r="I843" s="26" t="str">
        <f aca="false">IF(A843="","",COUNTIF(Apparitions!$G$2:$G$5001,A843))</f>
        <v/>
      </c>
      <c r="J843" s="26" t="str">
        <f aca="false">IF(A843="","",COUNTIFS(Apparitions!$G$2:$G$5001,A843,Apparitions!$E$2:$E$5001,"○"))</f>
        <v/>
      </c>
      <c r="K843" s="29" t="str">
        <f aca="false">IF(A843="","",IFERROR(1/(1/_xlfn.MINIFS(Apparitions!$L$2:$L$5001,Apparitions!$G$2:$G$5001,A843)),""))</f>
        <v/>
      </c>
      <c r="L843" s="27" t="str">
        <f aca="false">IF(A843="","",A843&amp;" | "&amp;B843&amp;IF(C843="",""," ("&amp;C843&amp;")")&amp;IF(D843="",""," - "&amp;D843))</f>
        <v/>
      </c>
    </row>
    <row r="844" customFormat="false" ht="15" hidden="false" customHeight="false" outlineLevel="0" collapsed="false">
      <c r="A844" s="32"/>
      <c r="B844" s="19"/>
      <c r="C844" s="19"/>
      <c r="D844" s="19"/>
      <c r="E844" s="21"/>
      <c r="F844" s="19"/>
      <c r="G844" s="27" t="str">
        <f aca="false">IF(B844="","",IFERROR(INDEX(Jeux!$C$2:$C$3001,MATCH(B844,Jeux!$A$2:$A$3001,0))&amp;"","⚠ jeu inconnu"))</f>
        <v/>
      </c>
      <c r="H844" s="27" t="str">
        <f aca="false">IF(B844="","",IFERROR(INDEX(Jeux!$D$2:$D$3001,MATCH(B844,Jeux!$A$2:$A$3001,0))&amp;"",""))</f>
        <v/>
      </c>
      <c r="I844" s="26" t="str">
        <f aca="false">IF(A844="","",COUNTIF(Apparitions!$G$2:$G$5001,A844))</f>
        <v/>
      </c>
      <c r="J844" s="26" t="str">
        <f aca="false">IF(A844="","",COUNTIFS(Apparitions!$G$2:$G$5001,A844,Apparitions!$E$2:$E$5001,"○"))</f>
        <v/>
      </c>
      <c r="K844" s="29" t="str">
        <f aca="false">IF(A844="","",IFERROR(1/(1/_xlfn.MINIFS(Apparitions!$L$2:$L$5001,Apparitions!$G$2:$G$5001,A844)),""))</f>
        <v/>
      </c>
      <c r="L844" s="27" t="str">
        <f aca="false">IF(A844="","",A844&amp;" | "&amp;B844&amp;IF(C844="",""," ("&amp;C844&amp;")")&amp;IF(D844="",""," - "&amp;D844))</f>
        <v/>
      </c>
    </row>
    <row r="845" customFormat="false" ht="15" hidden="false" customHeight="false" outlineLevel="0" collapsed="false">
      <c r="A845" s="32"/>
      <c r="B845" s="19"/>
      <c r="C845" s="19"/>
      <c r="D845" s="19"/>
      <c r="E845" s="21"/>
      <c r="F845" s="19"/>
      <c r="G845" s="27" t="str">
        <f aca="false">IF(B845="","",IFERROR(INDEX(Jeux!$C$2:$C$3001,MATCH(B845,Jeux!$A$2:$A$3001,0))&amp;"","⚠ jeu inconnu"))</f>
        <v/>
      </c>
      <c r="H845" s="27" t="str">
        <f aca="false">IF(B845="","",IFERROR(INDEX(Jeux!$D$2:$D$3001,MATCH(B845,Jeux!$A$2:$A$3001,0))&amp;"",""))</f>
        <v/>
      </c>
      <c r="I845" s="26" t="str">
        <f aca="false">IF(A845="","",COUNTIF(Apparitions!$G$2:$G$5001,A845))</f>
        <v/>
      </c>
      <c r="J845" s="26" t="str">
        <f aca="false">IF(A845="","",COUNTIFS(Apparitions!$G$2:$G$5001,A845,Apparitions!$E$2:$E$5001,"○"))</f>
        <v/>
      </c>
      <c r="K845" s="29" t="str">
        <f aca="false">IF(A845="","",IFERROR(1/(1/_xlfn.MINIFS(Apparitions!$L$2:$L$5001,Apparitions!$G$2:$G$5001,A845)),""))</f>
        <v/>
      </c>
      <c r="L845" s="27" t="str">
        <f aca="false">IF(A845="","",A845&amp;" | "&amp;B845&amp;IF(C845="",""," ("&amp;C845&amp;")")&amp;IF(D845="",""," - "&amp;D845))</f>
        <v/>
      </c>
    </row>
    <row r="846" customFormat="false" ht="15" hidden="false" customHeight="false" outlineLevel="0" collapsed="false">
      <c r="A846" s="32"/>
      <c r="B846" s="19"/>
      <c r="C846" s="19"/>
      <c r="D846" s="19"/>
      <c r="E846" s="21"/>
      <c r="F846" s="19"/>
      <c r="G846" s="27" t="str">
        <f aca="false">IF(B846="","",IFERROR(INDEX(Jeux!$C$2:$C$3001,MATCH(B846,Jeux!$A$2:$A$3001,0))&amp;"","⚠ jeu inconnu"))</f>
        <v/>
      </c>
      <c r="H846" s="27" t="str">
        <f aca="false">IF(B846="","",IFERROR(INDEX(Jeux!$D$2:$D$3001,MATCH(B846,Jeux!$A$2:$A$3001,0))&amp;"",""))</f>
        <v/>
      </c>
      <c r="I846" s="26" t="str">
        <f aca="false">IF(A846="","",COUNTIF(Apparitions!$G$2:$G$5001,A846))</f>
        <v/>
      </c>
      <c r="J846" s="26" t="str">
        <f aca="false">IF(A846="","",COUNTIFS(Apparitions!$G$2:$G$5001,A846,Apparitions!$E$2:$E$5001,"○"))</f>
        <v/>
      </c>
      <c r="K846" s="29" t="str">
        <f aca="false">IF(A846="","",IFERROR(1/(1/_xlfn.MINIFS(Apparitions!$L$2:$L$5001,Apparitions!$G$2:$G$5001,A846)),""))</f>
        <v/>
      </c>
      <c r="L846" s="27" t="str">
        <f aca="false">IF(A846="","",A846&amp;" | "&amp;B846&amp;IF(C846="",""," ("&amp;C846&amp;")")&amp;IF(D846="",""," - "&amp;D846))</f>
        <v/>
      </c>
    </row>
    <row r="847" customFormat="false" ht="15" hidden="false" customHeight="false" outlineLevel="0" collapsed="false">
      <c r="A847" s="32"/>
      <c r="B847" s="19"/>
      <c r="C847" s="19"/>
      <c r="D847" s="19"/>
      <c r="E847" s="21"/>
      <c r="F847" s="19"/>
      <c r="G847" s="27" t="str">
        <f aca="false">IF(B847="","",IFERROR(INDEX(Jeux!$C$2:$C$3001,MATCH(B847,Jeux!$A$2:$A$3001,0))&amp;"","⚠ jeu inconnu"))</f>
        <v/>
      </c>
      <c r="H847" s="27" t="str">
        <f aca="false">IF(B847="","",IFERROR(INDEX(Jeux!$D$2:$D$3001,MATCH(B847,Jeux!$A$2:$A$3001,0))&amp;"",""))</f>
        <v/>
      </c>
      <c r="I847" s="26" t="str">
        <f aca="false">IF(A847="","",COUNTIF(Apparitions!$G$2:$G$5001,A847))</f>
        <v/>
      </c>
      <c r="J847" s="26" t="str">
        <f aca="false">IF(A847="","",COUNTIFS(Apparitions!$G$2:$G$5001,A847,Apparitions!$E$2:$E$5001,"○"))</f>
        <v/>
      </c>
      <c r="K847" s="29" t="str">
        <f aca="false">IF(A847="","",IFERROR(1/(1/_xlfn.MINIFS(Apparitions!$L$2:$L$5001,Apparitions!$G$2:$G$5001,A847)),""))</f>
        <v/>
      </c>
      <c r="L847" s="27" t="str">
        <f aca="false">IF(A847="","",A847&amp;" | "&amp;B847&amp;IF(C847="",""," ("&amp;C847&amp;")")&amp;IF(D847="",""," - "&amp;D847))</f>
        <v/>
      </c>
    </row>
    <row r="848" customFormat="false" ht="15" hidden="false" customHeight="false" outlineLevel="0" collapsed="false">
      <c r="A848" s="32"/>
      <c r="B848" s="19"/>
      <c r="C848" s="19"/>
      <c r="D848" s="19"/>
      <c r="E848" s="21"/>
      <c r="F848" s="19"/>
      <c r="G848" s="27" t="str">
        <f aca="false">IF(B848="","",IFERROR(INDEX(Jeux!$C$2:$C$3001,MATCH(B848,Jeux!$A$2:$A$3001,0))&amp;"","⚠ jeu inconnu"))</f>
        <v/>
      </c>
      <c r="H848" s="27" t="str">
        <f aca="false">IF(B848="","",IFERROR(INDEX(Jeux!$D$2:$D$3001,MATCH(B848,Jeux!$A$2:$A$3001,0))&amp;"",""))</f>
        <v/>
      </c>
      <c r="I848" s="26" t="str">
        <f aca="false">IF(A848="","",COUNTIF(Apparitions!$G$2:$G$5001,A848))</f>
        <v/>
      </c>
      <c r="J848" s="26" t="str">
        <f aca="false">IF(A848="","",COUNTIFS(Apparitions!$G$2:$G$5001,A848,Apparitions!$E$2:$E$5001,"○"))</f>
        <v/>
      </c>
      <c r="K848" s="29" t="str">
        <f aca="false">IF(A848="","",IFERROR(1/(1/_xlfn.MINIFS(Apparitions!$L$2:$L$5001,Apparitions!$G$2:$G$5001,A848)),""))</f>
        <v/>
      </c>
      <c r="L848" s="27" t="str">
        <f aca="false">IF(A848="","",A848&amp;" | "&amp;B848&amp;IF(C848="",""," ("&amp;C848&amp;")")&amp;IF(D848="",""," - "&amp;D848))</f>
        <v/>
      </c>
    </row>
    <row r="849" customFormat="false" ht="15" hidden="false" customHeight="false" outlineLevel="0" collapsed="false">
      <c r="A849" s="32"/>
      <c r="B849" s="19"/>
      <c r="C849" s="19"/>
      <c r="D849" s="19"/>
      <c r="E849" s="21"/>
      <c r="F849" s="19"/>
      <c r="G849" s="27" t="str">
        <f aca="false">IF(B849="","",IFERROR(INDEX(Jeux!$C$2:$C$3001,MATCH(B849,Jeux!$A$2:$A$3001,0))&amp;"","⚠ jeu inconnu"))</f>
        <v/>
      </c>
      <c r="H849" s="27" t="str">
        <f aca="false">IF(B849="","",IFERROR(INDEX(Jeux!$D$2:$D$3001,MATCH(B849,Jeux!$A$2:$A$3001,0))&amp;"",""))</f>
        <v/>
      </c>
      <c r="I849" s="26" t="str">
        <f aca="false">IF(A849="","",COUNTIF(Apparitions!$G$2:$G$5001,A849))</f>
        <v/>
      </c>
      <c r="J849" s="26" t="str">
        <f aca="false">IF(A849="","",COUNTIFS(Apparitions!$G$2:$G$5001,A849,Apparitions!$E$2:$E$5001,"○"))</f>
        <v/>
      </c>
      <c r="K849" s="29" t="str">
        <f aca="false">IF(A849="","",IFERROR(1/(1/_xlfn.MINIFS(Apparitions!$L$2:$L$5001,Apparitions!$G$2:$G$5001,A849)),""))</f>
        <v/>
      </c>
      <c r="L849" s="27" t="str">
        <f aca="false">IF(A849="","",A849&amp;" | "&amp;B849&amp;IF(C849="",""," ("&amp;C849&amp;")")&amp;IF(D849="",""," - "&amp;D849))</f>
        <v/>
      </c>
    </row>
    <row r="850" customFormat="false" ht="15" hidden="false" customHeight="false" outlineLevel="0" collapsed="false">
      <c r="A850" s="32"/>
      <c r="B850" s="19"/>
      <c r="C850" s="19"/>
      <c r="D850" s="19"/>
      <c r="E850" s="21"/>
      <c r="F850" s="19"/>
      <c r="G850" s="27" t="str">
        <f aca="false">IF(B850="","",IFERROR(INDEX(Jeux!$C$2:$C$3001,MATCH(B850,Jeux!$A$2:$A$3001,0))&amp;"","⚠ jeu inconnu"))</f>
        <v/>
      </c>
      <c r="H850" s="27" t="str">
        <f aca="false">IF(B850="","",IFERROR(INDEX(Jeux!$D$2:$D$3001,MATCH(B850,Jeux!$A$2:$A$3001,0))&amp;"",""))</f>
        <v/>
      </c>
      <c r="I850" s="26" t="str">
        <f aca="false">IF(A850="","",COUNTIF(Apparitions!$G$2:$G$5001,A850))</f>
        <v/>
      </c>
      <c r="J850" s="26" t="str">
        <f aca="false">IF(A850="","",COUNTIFS(Apparitions!$G$2:$G$5001,A850,Apparitions!$E$2:$E$5001,"○"))</f>
        <v/>
      </c>
      <c r="K850" s="29" t="str">
        <f aca="false">IF(A850="","",IFERROR(1/(1/_xlfn.MINIFS(Apparitions!$L$2:$L$5001,Apparitions!$G$2:$G$5001,A850)),""))</f>
        <v/>
      </c>
      <c r="L850" s="27" t="str">
        <f aca="false">IF(A850="","",A850&amp;" | "&amp;B850&amp;IF(C850="",""," ("&amp;C850&amp;")")&amp;IF(D850="",""," - "&amp;D850))</f>
        <v/>
      </c>
    </row>
    <row r="851" customFormat="false" ht="15" hidden="false" customHeight="false" outlineLevel="0" collapsed="false">
      <c r="A851" s="32"/>
      <c r="B851" s="19"/>
      <c r="C851" s="19"/>
      <c r="D851" s="19"/>
      <c r="E851" s="21"/>
      <c r="F851" s="19"/>
      <c r="G851" s="27" t="str">
        <f aca="false">IF(B851="","",IFERROR(INDEX(Jeux!$C$2:$C$3001,MATCH(B851,Jeux!$A$2:$A$3001,0))&amp;"","⚠ jeu inconnu"))</f>
        <v/>
      </c>
      <c r="H851" s="27" t="str">
        <f aca="false">IF(B851="","",IFERROR(INDEX(Jeux!$D$2:$D$3001,MATCH(B851,Jeux!$A$2:$A$3001,0))&amp;"",""))</f>
        <v/>
      </c>
      <c r="I851" s="26" t="str">
        <f aca="false">IF(A851="","",COUNTIF(Apparitions!$G$2:$G$5001,A851))</f>
        <v/>
      </c>
      <c r="J851" s="26" t="str">
        <f aca="false">IF(A851="","",COUNTIFS(Apparitions!$G$2:$G$5001,A851,Apparitions!$E$2:$E$5001,"○"))</f>
        <v/>
      </c>
      <c r="K851" s="29" t="str">
        <f aca="false">IF(A851="","",IFERROR(1/(1/_xlfn.MINIFS(Apparitions!$L$2:$L$5001,Apparitions!$G$2:$G$5001,A851)),""))</f>
        <v/>
      </c>
      <c r="L851" s="27" t="str">
        <f aca="false">IF(A851="","",A851&amp;" | "&amp;B851&amp;IF(C851="",""," ("&amp;C851&amp;")")&amp;IF(D851="",""," - "&amp;D851))</f>
        <v/>
      </c>
    </row>
    <row r="852" customFormat="false" ht="15" hidden="false" customHeight="false" outlineLevel="0" collapsed="false">
      <c r="A852" s="32"/>
      <c r="B852" s="19"/>
      <c r="C852" s="19"/>
      <c r="D852" s="19"/>
      <c r="E852" s="21"/>
      <c r="F852" s="19"/>
      <c r="G852" s="27" t="str">
        <f aca="false">IF(B852="","",IFERROR(INDEX(Jeux!$C$2:$C$3001,MATCH(B852,Jeux!$A$2:$A$3001,0))&amp;"","⚠ jeu inconnu"))</f>
        <v/>
      </c>
      <c r="H852" s="27" t="str">
        <f aca="false">IF(B852="","",IFERROR(INDEX(Jeux!$D$2:$D$3001,MATCH(B852,Jeux!$A$2:$A$3001,0))&amp;"",""))</f>
        <v/>
      </c>
      <c r="I852" s="26" t="str">
        <f aca="false">IF(A852="","",COUNTIF(Apparitions!$G$2:$G$5001,A852))</f>
        <v/>
      </c>
      <c r="J852" s="26" t="str">
        <f aca="false">IF(A852="","",COUNTIFS(Apparitions!$G$2:$G$5001,A852,Apparitions!$E$2:$E$5001,"○"))</f>
        <v/>
      </c>
      <c r="K852" s="29" t="str">
        <f aca="false">IF(A852="","",IFERROR(1/(1/_xlfn.MINIFS(Apparitions!$L$2:$L$5001,Apparitions!$G$2:$G$5001,A852)),""))</f>
        <v/>
      </c>
      <c r="L852" s="27" t="str">
        <f aca="false">IF(A852="","",A852&amp;" | "&amp;B852&amp;IF(C852="",""," ("&amp;C852&amp;")")&amp;IF(D852="",""," - "&amp;D852))</f>
        <v/>
      </c>
    </row>
    <row r="853" customFormat="false" ht="15" hidden="false" customHeight="false" outlineLevel="0" collapsed="false">
      <c r="A853" s="32"/>
      <c r="B853" s="19"/>
      <c r="C853" s="19"/>
      <c r="D853" s="19"/>
      <c r="E853" s="21"/>
      <c r="F853" s="19"/>
      <c r="G853" s="27" t="str">
        <f aca="false">IF(B853="","",IFERROR(INDEX(Jeux!$C$2:$C$3001,MATCH(B853,Jeux!$A$2:$A$3001,0))&amp;"","⚠ jeu inconnu"))</f>
        <v/>
      </c>
      <c r="H853" s="27" t="str">
        <f aca="false">IF(B853="","",IFERROR(INDEX(Jeux!$D$2:$D$3001,MATCH(B853,Jeux!$A$2:$A$3001,0))&amp;"",""))</f>
        <v/>
      </c>
      <c r="I853" s="26" t="str">
        <f aca="false">IF(A853="","",COUNTIF(Apparitions!$G$2:$G$5001,A853))</f>
        <v/>
      </c>
      <c r="J853" s="26" t="str">
        <f aca="false">IF(A853="","",COUNTIFS(Apparitions!$G$2:$G$5001,A853,Apparitions!$E$2:$E$5001,"○"))</f>
        <v/>
      </c>
      <c r="K853" s="29" t="str">
        <f aca="false">IF(A853="","",IFERROR(1/(1/_xlfn.MINIFS(Apparitions!$L$2:$L$5001,Apparitions!$G$2:$G$5001,A853)),""))</f>
        <v/>
      </c>
      <c r="L853" s="27" t="str">
        <f aca="false">IF(A853="","",A853&amp;" | "&amp;B853&amp;IF(C853="",""," ("&amp;C853&amp;")")&amp;IF(D853="",""," - "&amp;D853))</f>
        <v/>
      </c>
    </row>
    <row r="854" customFormat="false" ht="15" hidden="false" customHeight="false" outlineLevel="0" collapsed="false">
      <c r="A854" s="32"/>
      <c r="B854" s="19"/>
      <c r="C854" s="19"/>
      <c r="D854" s="19"/>
      <c r="E854" s="21"/>
      <c r="F854" s="19"/>
      <c r="G854" s="27" t="str">
        <f aca="false">IF(B854="","",IFERROR(INDEX(Jeux!$C$2:$C$3001,MATCH(B854,Jeux!$A$2:$A$3001,0))&amp;"","⚠ jeu inconnu"))</f>
        <v/>
      </c>
      <c r="H854" s="27" t="str">
        <f aca="false">IF(B854="","",IFERROR(INDEX(Jeux!$D$2:$D$3001,MATCH(B854,Jeux!$A$2:$A$3001,0))&amp;"",""))</f>
        <v/>
      </c>
      <c r="I854" s="26" t="str">
        <f aca="false">IF(A854="","",COUNTIF(Apparitions!$G$2:$G$5001,A854))</f>
        <v/>
      </c>
      <c r="J854" s="26" t="str">
        <f aca="false">IF(A854="","",COUNTIFS(Apparitions!$G$2:$G$5001,A854,Apparitions!$E$2:$E$5001,"○"))</f>
        <v/>
      </c>
      <c r="K854" s="29" t="str">
        <f aca="false">IF(A854="","",IFERROR(1/(1/_xlfn.MINIFS(Apparitions!$L$2:$L$5001,Apparitions!$G$2:$G$5001,A854)),""))</f>
        <v/>
      </c>
      <c r="L854" s="27" t="str">
        <f aca="false">IF(A854="","",A854&amp;" | "&amp;B854&amp;IF(C854="",""," ("&amp;C854&amp;")")&amp;IF(D854="",""," - "&amp;D854))</f>
        <v/>
      </c>
    </row>
    <row r="855" customFormat="false" ht="15" hidden="false" customHeight="false" outlineLevel="0" collapsed="false">
      <c r="A855" s="32"/>
      <c r="B855" s="19"/>
      <c r="C855" s="19"/>
      <c r="D855" s="19"/>
      <c r="E855" s="21"/>
      <c r="F855" s="19"/>
      <c r="G855" s="27" t="str">
        <f aca="false">IF(B855="","",IFERROR(INDEX(Jeux!$C$2:$C$3001,MATCH(B855,Jeux!$A$2:$A$3001,0))&amp;"","⚠ jeu inconnu"))</f>
        <v/>
      </c>
      <c r="H855" s="27" t="str">
        <f aca="false">IF(B855="","",IFERROR(INDEX(Jeux!$D$2:$D$3001,MATCH(B855,Jeux!$A$2:$A$3001,0))&amp;"",""))</f>
        <v/>
      </c>
      <c r="I855" s="26" t="str">
        <f aca="false">IF(A855="","",COUNTIF(Apparitions!$G$2:$G$5001,A855))</f>
        <v/>
      </c>
      <c r="J855" s="26" t="str">
        <f aca="false">IF(A855="","",COUNTIFS(Apparitions!$G$2:$G$5001,A855,Apparitions!$E$2:$E$5001,"○"))</f>
        <v/>
      </c>
      <c r="K855" s="29" t="str">
        <f aca="false">IF(A855="","",IFERROR(1/(1/_xlfn.MINIFS(Apparitions!$L$2:$L$5001,Apparitions!$G$2:$G$5001,A855)),""))</f>
        <v/>
      </c>
      <c r="L855" s="27" t="str">
        <f aca="false">IF(A855="","",A855&amp;" | "&amp;B855&amp;IF(C855="",""," ("&amp;C855&amp;")")&amp;IF(D855="",""," - "&amp;D855))</f>
        <v/>
      </c>
    </row>
    <row r="856" customFormat="false" ht="15" hidden="false" customHeight="false" outlineLevel="0" collapsed="false">
      <c r="A856" s="32"/>
      <c r="B856" s="19"/>
      <c r="C856" s="19"/>
      <c r="D856" s="19"/>
      <c r="E856" s="21"/>
      <c r="F856" s="19"/>
      <c r="G856" s="27" t="str">
        <f aca="false">IF(B856="","",IFERROR(INDEX(Jeux!$C$2:$C$3001,MATCH(B856,Jeux!$A$2:$A$3001,0))&amp;"","⚠ jeu inconnu"))</f>
        <v/>
      </c>
      <c r="H856" s="27" t="str">
        <f aca="false">IF(B856="","",IFERROR(INDEX(Jeux!$D$2:$D$3001,MATCH(B856,Jeux!$A$2:$A$3001,0))&amp;"",""))</f>
        <v/>
      </c>
      <c r="I856" s="26" t="str">
        <f aca="false">IF(A856="","",COUNTIF(Apparitions!$G$2:$G$5001,A856))</f>
        <v/>
      </c>
      <c r="J856" s="26" t="str">
        <f aca="false">IF(A856="","",COUNTIFS(Apparitions!$G$2:$G$5001,A856,Apparitions!$E$2:$E$5001,"○"))</f>
        <v/>
      </c>
      <c r="K856" s="29" t="str">
        <f aca="false">IF(A856="","",IFERROR(1/(1/_xlfn.MINIFS(Apparitions!$L$2:$L$5001,Apparitions!$G$2:$G$5001,A856)),""))</f>
        <v/>
      </c>
      <c r="L856" s="27" t="str">
        <f aca="false">IF(A856="","",A856&amp;" | "&amp;B856&amp;IF(C856="",""," ("&amp;C856&amp;")")&amp;IF(D856="",""," - "&amp;D856))</f>
        <v/>
      </c>
    </row>
    <row r="857" customFormat="false" ht="15" hidden="false" customHeight="false" outlineLevel="0" collapsed="false">
      <c r="A857" s="32"/>
      <c r="B857" s="19"/>
      <c r="C857" s="19"/>
      <c r="D857" s="19"/>
      <c r="E857" s="21"/>
      <c r="F857" s="19"/>
      <c r="G857" s="27" t="str">
        <f aca="false">IF(B857="","",IFERROR(INDEX(Jeux!$C$2:$C$3001,MATCH(B857,Jeux!$A$2:$A$3001,0))&amp;"","⚠ jeu inconnu"))</f>
        <v/>
      </c>
      <c r="H857" s="27" t="str">
        <f aca="false">IF(B857="","",IFERROR(INDEX(Jeux!$D$2:$D$3001,MATCH(B857,Jeux!$A$2:$A$3001,0))&amp;"",""))</f>
        <v/>
      </c>
      <c r="I857" s="26" t="str">
        <f aca="false">IF(A857="","",COUNTIF(Apparitions!$G$2:$G$5001,A857))</f>
        <v/>
      </c>
      <c r="J857" s="26" t="str">
        <f aca="false">IF(A857="","",COUNTIFS(Apparitions!$G$2:$G$5001,A857,Apparitions!$E$2:$E$5001,"○"))</f>
        <v/>
      </c>
      <c r="K857" s="29" t="str">
        <f aca="false">IF(A857="","",IFERROR(1/(1/_xlfn.MINIFS(Apparitions!$L$2:$L$5001,Apparitions!$G$2:$G$5001,A857)),""))</f>
        <v/>
      </c>
      <c r="L857" s="27" t="str">
        <f aca="false">IF(A857="","",A857&amp;" | "&amp;B857&amp;IF(C857="",""," ("&amp;C857&amp;")")&amp;IF(D857="",""," - "&amp;D857))</f>
        <v/>
      </c>
    </row>
    <row r="858" customFormat="false" ht="15" hidden="false" customHeight="false" outlineLevel="0" collapsed="false">
      <c r="A858" s="32"/>
      <c r="B858" s="19"/>
      <c r="C858" s="19"/>
      <c r="D858" s="19"/>
      <c r="E858" s="21"/>
      <c r="F858" s="19"/>
      <c r="G858" s="27" t="str">
        <f aca="false">IF(B858="","",IFERROR(INDEX(Jeux!$C$2:$C$3001,MATCH(B858,Jeux!$A$2:$A$3001,0))&amp;"","⚠ jeu inconnu"))</f>
        <v/>
      </c>
      <c r="H858" s="27" t="str">
        <f aca="false">IF(B858="","",IFERROR(INDEX(Jeux!$D$2:$D$3001,MATCH(B858,Jeux!$A$2:$A$3001,0))&amp;"",""))</f>
        <v/>
      </c>
      <c r="I858" s="26" t="str">
        <f aca="false">IF(A858="","",COUNTIF(Apparitions!$G$2:$G$5001,A858))</f>
        <v/>
      </c>
      <c r="J858" s="26" t="str">
        <f aca="false">IF(A858="","",COUNTIFS(Apparitions!$G$2:$G$5001,A858,Apparitions!$E$2:$E$5001,"○"))</f>
        <v/>
      </c>
      <c r="K858" s="29" t="str">
        <f aca="false">IF(A858="","",IFERROR(1/(1/_xlfn.MINIFS(Apparitions!$L$2:$L$5001,Apparitions!$G$2:$G$5001,A858)),""))</f>
        <v/>
      </c>
      <c r="L858" s="27" t="str">
        <f aca="false">IF(A858="","",A858&amp;" | "&amp;B858&amp;IF(C858="",""," ("&amp;C858&amp;")")&amp;IF(D858="",""," - "&amp;D858))</f>
        <v/>
      </c>
    </row>
    <row r="859" customFormat="false" ht="15" hidden="false" customHeight="false" outlineLevel="0" collapsed="false">
      <c r="A859" s="32"/>
      <c r="B859" s="19"/>
      <c r="C859" s="19"/>
      <c r="D859" s="19"/>
      <c r="E859" s="21"/>
      <c r="F859" s="19"/>
      <c r="G859" s="27" t="str">
        <f aca="false">IF(B859="","",IFERROR(INDEX(Jeux!$C$2:$C$3001,MATCH(B859,Jeux!$A$2:$A$3001,0))&amp;"","⚠ jeu inconnu"))</f>
        <v/>
      </c>
      <c r="H859" s="27" t="str">
        <f aca="false">IF(B859="","",IFERROR(INDEX(Jeux!$D$2:$D$3001,MATCH(B859,Jeux!$A$2:$A$3001,0))&amp;"",""))</f>
        <v/>
      </c>
      <c r="I859" s="26" t="str">
        <f aca="false">IF(A859="","",COUNTIF(Apparitions!$G$2:$G$5001,A859))</f>
        <v/>
      </c>
      <c r="J859" s="26" t="str">
        <f aca="false">IF(A859="","",COUNTIFS(Apparitions!$G$2:$G$5001,A859,Apparitions!$E$2:$E$5001,"○"))</f>
        <v/>
      </c>
      <c r="K859" s="29" t="str">
        <f aca="false">IF(A859="","",IFERROR(1/(1/_xlfn.MINIFS(Apparitions!$L$2:$L$5001,Apparitions!$G$2:$G$5001,A859)),""))</f>
        <v/>
      </c>
      <c r="L859" s="27" t="str">
        <f aca="false">IF(A859="","",A859&amp;" | "&amp;B859&amp;IF(C859="",""," ("&amp;C859&amp;")")&amp;IF(D859="",""," - "&amp;D859))</f>
        <v/>
      </c>
    </row>
    <row r="860" customFormat="false" ht="15" hidden="false" customHeight="false" outlineLevel="0" collapsed="false">
      <c r="A860" s="32"/>
      <c r="B860" s="19"/>
      <c r="C860" s="19"/>
      <c r="D860" s="19"/>
      <c r="E860" s="21"/>
      <c r="F860" s="19"/>
      <c r="G860" s="27" t="str">
        <f aca="false">IF(B860="","",IFERROR(INDEX(Jeux!$C$2:$C$3001,MATCH(B860,Jeux!$A$2:$A$3001,0))&amp;"","⚠ jeu inconnu"))</f>
        <v/>
      </c>
      <c r="H860" s="27" t="str">
        <f aca="false">IF(B860="","",IFERROR(INDEX(Jeux!$D$2:$D$3001,MATCH(B860,Jeux!$A$2:$A$3001,0))&amp;"",""))</f>
        <v/>
      </c>
      <c r="I860" s="26" t="str">
        <f aca="false">IF(A860="","",COUNTIF(Apparitions!$G$2:$G$5001,A860))</f>
        <v/>
      </c>
      <c r="J860" s="26" t="str">
        <f aca="false">IF(A860="","",COUNTIFS(Apparitions!$G$2:$G$5001,A860,Apparitions!$E$2:$E$5001,"○"))</f>
        <v/>
      </c>
      <c r="K860" s="29" t="str">
        <f aca="false">IF(A860="","",IFERROR(1/(1/_xlfn.MINIFS(Apparitions!$L$2:$L$5001,Apparitions!$G$2:$G$5001,A860)),""))</f>
        <v/>
      </c>
      <c r="L860" s="27" t="str">
        <f aca="false">IF(A860="","",A860&amp;" | "&amp;B860&amp;IF(C860="",""," ("&amp;C860&amp;")")&amp;IF(D860="",""," - "&amp;D860))</f>
        <v/>
      </c>
    </row>
    <row r="861" customFormat="false" ht="15" hidden="false" customHeight="false" outlineLevel="0" collapsed="false">
      <c r="A861" s="32"/>
      <c r="B861" s="19"/>
      <c r="C861" s="19"/>
      <c r="D861" s="19"/>
      <c r="E861" s="21"/>
      <c r="F861" s="19"/>
      <c r="G861" s="27" t="str">
        <f aca="false">IF(B861="","",IFERROR(INDEX(Jeux!$C$2:$C$3001,MATCH(B861,Jeux!$A$2:$A$3001,0))&amp;"","⚠ jeu inconnu"))</f>
        <v/>
      </c>
      <c r="H861" s="27" t="str">
        <f aca="false">IF(B861="","",IFERROR(INDEX(Jeux!$D$2:$D$3001,MATCH(B861,Jeux!$A$2:$A$3001,0))&amp;"",""))</f>
        <v/>
      </c>
      <c r="I861" s="26" t="str">
        <f aca="false">IF(A861="","",COUNTIF(Apparitions!$G$2:$G$5001,A861))</f>
        <v/>
      </c>
      <c r="J861" s="26" t="str">
        <f aca="false">IF(A861="","",COUNTIFS(Apparitions!$G$2:$G$5001,A861,Apparitions!$E$2:$E$5001,"○"))</f>
        <v/>
      </c>
      <c r="K861" s="29" t="str">
        <f aca="false">IF(A861="","",IFERROR(1/(1/_xlfn.MINIFS(Apparitions!$L$2:$L$5001,Apparitions!$G$2:$G$5001,A861)),""))</f>
        <v/>
      </c>
      <c r="L861" s="27" t="str">
        <f aca="false">IF(A861="","",A861&amp;" | "&amp;B861&amp;IF(C861="",""," ("&amp;C861&amp;")")&amp;IF(D861="",""," - "&amp;D861))</f>
        <v/>
      </c>
    </row>
    <row r="862" customFormat="false" ht="15" hidden="false" customHeight="false" outlineLevel="0" collapsed="false">
      <c r="A862" s="32"/>
      <c r="B862" s="19"/>
      <c r="C862" s="19"/>
      <c r="D862" s="19"/>
      <c r="E862" s="21"/>
      <c r="F862" s="19"/>
      <c r="G862" s="27" t="str">
        <f aca="false">IF(B862="","",IFERROR(INDEX(Jeux!$C$2:$C$3001,MATCH(B862,Jeux!$A$2:$A$3001,0))&amp;"","⚠ jeu inconnu"))</f>
        <v/>
      </c>
      <c r="H862" s="27" t="str">
        <f aca="false">IF(B862="","",IFERROR(INDEX(Jeux!$D$2:$D$3001,MATCH(B862,Jeux!$A$2:$A$3001,0))&amp;"",""))</f>
        <v/>
      </c>
      <c r="I862" s="26" t="str">
        <f aca="false">IF(A862="","",COUNTIF(Apparitions!$G$2:$G$5001,A862))</f>
        <v/>
      </c>
      <c r="J862" s="26" t="str">
        <f aca="false">IF(A862="","",COUNTIFS(Apparitions!$G$2:$G$5001,A862,Apparitions!$E$2:$E$5001,"○"))</f>
        <v/>
      </c>
      <c r="K862" s="29" t="str">
        <f aca="false">IF(A862="","",IFERROR(1/(1/_xlfn.MINIFS(Apparitions!$L$2:$L$5001,Apparitions!$G$2:$G$5001,A862)),""))</f>
        <v/>
      </c>
      <c r="L862" s="27" t="str">
        <f aca="false">IF(A862="","",A862&amp;" | "&amp;B862&amp;IF(C862="",""," ("&amp;C862&amp;")")&amp;IF(D862="",""," - "&amp;D862))</f>
        <v/>
      </c>
    </row>
    <row r="863" customFormat="false" ht="15" hidden="false" customHeight="false" outlineLevel="0" collapsed="false">
      <c r="A863" s="32"/>
      <c r="B863" s="19"/>
      <c r="C863" s="19"/>
      <c r="D863" s="19"/>
      <c r="E863" s="21"/>
      <c r="F863" s="19"/>
      <c r="G863" s="27" t="str">
        <f aca="false">IF(B863="","",IFERROR(INDEX(Jeux!$C$2:$C$3001,MATCH(B863,Jeux!$A$2:$A$3001,0))&amp;"","⚠ jeu inconnu"))</f>
        <v/>
      </c>
      <c r="H863" s="27" t="str">
        <f aca="false">IF(B863="","",IFERROR(INDEX(Jeux!$D$2:$D$3001,MATCH(B863,Jeux!$A$2:$A$3001,0))&amp;"",""))</f>
        <v/>
      </c>
      <c r="I863" s="26" t="str">
        <f aca="false">IF(A863="","",COUNTIF(Apparitions!$G$2:$G$5001,A863))</f>
        <v/>
      </c>
      <c r="J863" s="26" t="str">
        <f aca="false">IF(A863="","",COUNTIFS(Apparitions!$G$2:$G$5001,A863,Apparitions!$E$2:$E$5001,"○"))</f>
        <v/>
      </c>
      <c r="K863" s="29" t="str">
        <f aca="false">IF(A863="","",IFERROR(1/(1/_xlfn.MINIFS(Apparitions!$L$2:$L$5001,Apparitions!$G$2:$G$5001,A863)),""))</f>
        <v/>
      </c>
      <c r="L863" s="27" t="str">
        <f aca="false">IF(A863="","",A863&amp;" | "&amp;B863&amp;IF(C863="",""," ("&amp;C863&amp;")")&amp;IF(D863="",""," - "&amp;D863))</f>
        <v/>
      </c>
    </row>
    <row r="864" customFormat="false" ht="15" hidden="false" customHeight="false" outlineLevel="0" collapsed="false">
      <c r="A864" s="32"/>
      <c r="B864" s="19"/>
      <c r="C864" s="19"/>
      <c r="D864" s="19"/>
      <c r="E864" s="21"/>
      <c r="F864" s="19"/>
      <c r="G864" s="27" t="str">
        <f aca="false">IF(B864="","",IFERROR(INDEX(Jeux!$C$2:$C$3001,MATCH(B864,Jeux!$A$2:$A$3001,0))&amp;"","⚠ jeu inconnu"))</f>
        <v/>
      </c>
      <c r="H864" s="27" t="str">
        <f aca="false">IF(B864="","",IFERROR(INDEX(Jeux!$D$2:$D$3001,MATCH(B864,Jeux!$A$2:$A$3001,0))&amp;"",""))</f>
        <v/>
      </c>
      <c r="I864" s="26" t="str">
        <f aca="false">IF(A864="","",COUNTIF(Apparitions!$G$2:$G$5001,A864))</f>
        <v/>
      </c>
      <c r="J864" s="26" t="str">
        <f aca="false">IF(A864="","",COUNTIFS(Apparitions!$G$2:$G$5001,A864,Apparitions!$E$2:$E$5001,"○"))</f>
        <v/>
      </c>
      <c r="K864" s="29" t="str">
        <f aca="false">IF(A864="","",IFERROR(1/(1/_xlfn.MINIFS(Apparitions!$L$2:$L$5001,Apparitions!$G$2:$G$5001,A864)),""))</f>
        <v/>
      </c>
      <c r="L864" s="27" t="str">
        <f aca="false">IF(A864="","",A864&amp;" | "&amp;B864&amp;IF(C864="",""," ("&amp;C864&amp;")")&amp;IF(D864="",""," - "&amp;D864))</f>
        <v/>
      </c>
    </row>
    <row r="865" customFormat="false" ht="15" hidden="false" customHeight="false" outlineLevel="0" collapsed="false">
      <c r="A865" s="32"/>
      <c r="B865" s="19"/>
      <c r="C865" s="19"/>
      <c r="D865" s="19"/>
      <c r="E865" s="21"/>
      <c r="F865" s="19"/>
      <c r="G865" s="27" t="str">
        <f aca="false">IF(B865="","",IFERROR(INDEX(Jeux!$C$2:$C$3001,MATCH(B865,Jeux!$A$2:$A$3001,0))&amp;"","⚠ jeu inconnu"))</f>
        <v/>
      </c>
      <c r="H865" s="27" t="str">
        <f aca="false">IF(B865="","",IFERROR(INDEX(Jeux!$D$2:$D$3001,MATCH(B865,Jeux!$A$2:$A$3001,0))&amp;"",""))</f>
        <v/>
      </c>
      <c r="I865" s="26" t="str">
        <f aca="false">IF(A865="","",COUNTIF(Apparitions!$G$2:$G$5001,A865))</f>
        <v/>
      </c>
      <c r="J865" s="26" t="str">
        <f aca="false">IF(A865="","",COUNTIFS(Apparitions!$G$2:$G$5001,A865,Apparitions!$E$2:$E$5001,"○"))</f>
        <v/>
      </c>
      <c r="K865" s="29" t="str">
        <f aca="false">IF(A865="","",IFERROR(1/(1/_xlfn.MINIFS(Apparitions!$L$2:$L$5001,Apparitions!$G$2:$G$5001,A865)),""))</f>
        <v/>
      </c>
      <c r="L865" s="27" t="str">
        <f aca="false">IF(A865="","",A865&amp;" | "&amp;B865&amp;IF(C865="",""," ("&amp;C865&amp;")")&amp;IF(D865="",""," - "&amp;D865))</f>
        <v/>
      </c>
    </row>
    <row r="866" customFormat="false" ht="15" hidden="false" customHeight="false" outlineLevel="0" collapsed="false">
      <c r="A866" s="32"/>
      <c r="B866" s="19"/>
      <c r="C866" s="19"/>
      <c r="D866" s="19"/>
      <c r="E866" s="21"/>
      <c r="F866" s="19"/>
      <c r="G866" s="27" t="str">
        <f aca="false">IF(B866="","",IFERROR(INDEX(Jeux!$C$2:$C$3001,MATCH(B866,Jeux!$A$2:$A$3001,0))&amp;"","⚠ jeu inconnu"))</f>
        <v/>
      </c>
      <c r="H866" s="27" t="str">
        <f aca="false">IF(B866="","",IFERROR(INDEX(Jeux!$D$2:$D$3001,MATCH(B866,Jeux!$A$2:$A$3001,0))&amp;"",""))</f>
        <v/>
      </c>
      <c r="I866" s="26" t="str">
        <f aca="false">IF(A866="","",COUNTIF(Apparitions!$G$2:$G$5001,A866))</f>
        <v/>
      </c>
      <c r="J866" s="26" t="str">
        <f aca="false">IF(A866="","",COUNTIFS(Apparitions!$G$2:$G$5001,A866,Apparitions!$E$2:$E$5001,"○"))</f>
        <v/>
      </c>
      <c r="K866" s="29" t="str">
        <f aca="false">IF(A866="","",IFERROR(1/(1/_xlfn.MINIFS(Apparitions!$L$2:$L$5001,Apparitions!$G$2:$G$5001,A866)),""))</f>
        <v/>
      </c>
      <c r="L866" s="27" t="str">
        <f aca="false">IF(A866="","",A866&amp;" | "&amp;B866&amp;IF(C866="",""," ("&amp;C866&amp;")")&amp;IF(D866="",""," - "&amp;D866))</f>
        <v/>
      </c>
    </row>
    <row r="867" customFormat="false" ht="15" hidden="false" customHeight="false" outlineLevel="0" collapsed="false">
      <c r="A867" s="32"/>
      <c r="B867" s="19"/>
      <c r="C867" s="19"/>
      <c r="D867" s="19"/>
      <c r="E867" s="21"/>
      <c r="F867" s="19"/>
      <c r="G867" s="27" t="str">
        <f aca="false">IF(B867="","",IFERROR(INDEX(Jeux!$C$2:$C$3001,MATCH(B867,Jeux!$A$2:$A$3001,0))&amp;"","⚠ jeu inconnu"))</f>
        <v/>
      </c>
      <c r="H867" s="27" t="str">
        <f aca="false">IF(B867="","",IFERROR(INDEX(Jeux!$D$2:$D$3001,MATCH(B867,Jeux!$A$2:$A$3001,0))&amp;"",""))</f>
        <v/>
      </c>
      <c r="I867" s="26" t="str">
        <f aca="false">IF(A867="","",COUNTIF(Apparitions!$G$2:$G$5001,A867))</f>
        <v/>
      </c>
      <c r="J867" s="26" t="str">
        <f aca="false">IF(A867="","",COUNTIFS(Apparitions!$G$2:$G$5001,A867,Apparitions!$E$2:$E$5001,"○"))</f>
        <v/>
      </c>
      <c r="K867" s="29" t="str">
        <f aca="false">IF(A867="","",IFERROR(1/(1/_xlfn.MINIFS(Apparitions!$L$2:$L$5001,Apparitions!$G$2:$G$5001,A867)),""))</f>
        <v/>
      </c>
      <c r="L867" s="27" t="str">
        <f aca="false">IF(A867="","",A867&amp;" | "&amp;B867&amp;IF(C867="",""," ("&amp;C867&amp;")")&amp;IF(D867="",""," - "&amp;D867))</f>
        <v/>
      </c>
    </row>
    <row r="868" customFormat="false" ht="15" hidden="false" customHeight="false" outlineLevel="0" collapsed="false">
      <c r="A868" s="32"/>
      <c r="B868" s="19"/>
      <c r="C868" s="19"/>
      <c r="D868" s="19"/>
      <c r="E868" s="21"/>
      <c r="F868" s="19"/>
      <c r="G868" s="27" t="str">
        <f aca="false">IF(B868="","",IFERROR(INDEX(Jeux!$C$2:$C$3001,MATCH(B868,Jeux!$A$2:$A$3001,0))&amp;"","⚠ jeu inconnu"))</f>
        <v/>
      </c>
      <c r="H868" s="27" t="str">
        <f aca="false">IF(B868="","",IFERROR(INDEX(Jeux!$D$2:$D$3001,MATCH(B868,Jeux!$A$2:$A$3001,0))&amp;"",""))</f>
        <v/>
      </c>
      <c r="I868" s="26" t="str">
        <f aca="false">IF(A868="","",COUNTIF(Apparitions!$G$2:$G$5001,A868))</f>
        <v/>
      </c>
      <c r="J868" s="26" t="str">
        <f aca="false">IF(A868="","",COUNTIFS(Apparitions!$G$2:$G$5001,A868,Apparitions!$E$2:$E$5001,"○"))</f>
        <v/>
      </c>
      <c r="K868" s="29" t="str">
        <f aca="false">IF(A868="","",IFERROR(1/(1/_xlfn.MINIFS(Apparitions!$L$2:$L$5001,Apparitions!$G$2:$G$5001,A868)),""))</f>
        <v/>
      </c>
      <c r="L868" s="27" t="str">
        <f aca="false">IF(A868="","",A868&amp;" | "&amp;B868&amp;IF(C868="",""," ("&amp;C868&amp;")")&amp;IF(D868="",""," - "&amp;D868))</f>
        <v/>
      </c>
    </row>
    <row r="869" customFormat="false" ht="15" hidden="false" customHeight="false" outlineLevel="0" collapsed="false">
      <c r="A869" s="32"/>
      <c r="B869" s="19"/>
      <c r="C869" s="19"/>
      <c r="D869" s="19"/>
      <c r="E869" s="21"/>
      <c r="F869" s="19"/>
      <c r="G869" s="27" t="str">
        <f aca="false">IF(B869="","",IFERROR(INDEX(Jeux!$C$2:$C$3001,MATCH(B869,Jeux!$A$2:$A$3001,0))&amp;"","⚠ jeu inconnu"))</f>
        <v/>
      </c>
      <c r="H869" s="27" t="str">
        <f aca="false">IF(B869="","",IFERROR(INDEX(Jeux!$D$2:$D$3001,MATCH(B869,Jeux!$A$2:$A$3001,0))&amp;"",""))</f>
        <v/>
      </c>
      <c r="I869" s="26" t="str">
        <f aca="false">IF(A869="","",COUNTIF(Apparitions!$G$2:$G$5001,A869))</f>
        <v/>
      </c>
      <c r="J869" s="26" t="str">
        <f aca="false">IF(A869="","",COUNTIFS(Apparitions!$G$2:$G$5001,A869,Apparitions!$E$2:$E$5001,"○"))</f>
        <v/>
      </c>
      <c r="K869" s="29" t="str">
        <f aca="false">IF(A869="","",IFERROR(1/(1/_xlfn.MINIFS(Apparitions!$L$2:$L$5001,Apparitions!$G$2:$G$5001,A869)),""))</f>
        <v/>
      </c>
      <c r="L869" s="27" t="str">
        <f aca="false">IF(A869="","",A869&amp;" | "&amp;B869&amp;IF(C869="",""," ("&amp;C869&amp;")")&amp;IF(D869="",""," - "&amp;D869))</f>
        <v/>
      </c>
    </row>
    <row r="870" customFormat="false" ht="15" hidden="false" customHeight="false" outlineLevel="0" collapsed="false">
      <c r="A870" s="32"/>
      <c r="B870" s="19"/>
      <c r="C870" s="19"/>
      <c r="D870" s="19"/>
      <c r="E870" s="21"/>
      <c r="F870" s="19"/>
      <c r="G870" s="27" t="str">
        <f aca="false">IF(B870="","",IFERROR(INDEX(Jeux!$C$2:$C$3001,MATCH(B870,Jeux!$A$2:$A$3001,0))&amp;"","⚠ jeu inconnu"))</f>
        <v/>
      </c>
      <c r="H870" s="27" t="str">
        <f aca="false">IF(B870="","",IFERROR(INDEX(Jeux!$D$2:$D$3001,MATCH(B870,Jeux!$A$2:$A$3001,0))&amp;"",""))</f>
        <v/>
      </c>
      <c r="I870" s="26" t="str">
        <f aca="false">IF(A870="","",COUNTIF(Apparitions!$G$2:$G$5001,A870))</f>
        <v/>
      </c>
      <c r="J870" s="26" t="str">
        <f aca="false">IF(A870="","",COUNTIFS(Apparitions!$G$2:$G$5001,A870,Apparitions!$E$2:$E$5001,"○"))</f>
        <v/>
      </c>
      <c r="K870" s="29" t="str">
        <f aca="false">IF(A870="","",IFERROR(1/(1/_xlfn.MINIFS(Apparitions!$L$2:$L$5001,Apparitions!$G$2:$G$5001,A870)),""))</f>
        <v/>
      </c>
      <c r="L870" s="27" t="str">
        <f aca="false">IF(A870="","",A870&amp;" | "&amp;B870&amp;IF(C870="",""," ("&amp;C870&amp;")")&amp;IF(D870="",""," - "&amp;D870))</f>
        <v/>
      </c>
    </row>
    <row r="871" customFormat="false" ht="15" hidden="false" customHeight="false" outlineLevel="0" collapsed="false">
      <c r="A871" s="32"/>
      <c r="B871" s="19"/>
      <c r="C871" s="19"/>
      <c r="D871" s="19"/>
      <c r="E871" s="21"/>
      <c r="F871" s="19"/>
      <c r="G871" s="27" t="str">
        <f aca="false">IF(B871="","",IFERROR(INDEX(Jeux!$C$2:$C$3001,MATCH(B871,Jeux!$A$2:$A$3001,0))&amp;"","⚠ jeu inconnu"))</f>
        <v/>
      </c>
      <c r="H871" s="27" t="str">
        <f aca="false">IF(B871="","",IFERROR(INDEX(Jeux!$D$2:$D$3001,MATCH(B871,Jeux!$A$2:$A$3001,0))&amp;"",""))</f>
        <v/>
      </c>
      <c r="I871" s="26" t="str">
        <f aca="false">IF(A871="","",COUNTIF(Apparitions!$G$2:$G$5001,A871))</f>
        <v/>
      </c>
      <c r="J871" s="26" t="str">
        <f aca="false">IF(A871="","",COUNTIFS(Apparitions!$G$2:$G$5001,A871,Apparitions!$E$2:$E$5001,"○"))</f>
        <v/>
      </c>
      <c r="K871" s="29" t="str">
        <f aca="false">IF(A871="","",IFERROR(1/(1/_xlfn.MINIFS(Apparitions!$L$2:$L$5001,Apparitions!$G$2:$G$5001,A871)),""))</f>
        <v/>
      </c>
      <c r="L871" s="27" t="str">
        <f aca="false">IF(A871="","",A871&amp;" | "&amp;B871&amp;IF(C871="",""," ("&amp;C871&amp;")")&amp;IF(D871="",""," - "&amp;D871))</f>
        <v/>
      </c>
    </row>
    <row r="872" customFormat="false" ht="15" hidden="false" customHeight="false" outlineLevel="0" collapsed="false">
      <c r="A872" s="32"/>
      <c r="B872" s="19"/>
      <c r="C872" s="19"/>
      <c r="D872" s="19"/>
      <c r="E872" s="21"/>
      <c r="F872" s="19"/>
      <c r="G872" s="27" t="str">
        <f aca="false">IF(B872="","",IFERROR(INDEX(Jeux!$C$2:$C$3001,MATCH(B872,Jeux!$A$2:$A$3001,0))&amp;"","⚠ jeu inconnu"))</f>
        <v/>
      </c>
      <c r="H872" s="27" t="str">
        <f aca="false">IF(B872="","",IFERROR(INDEX(Jeux!$D$2:$D$3001,MATCH(B872,Jeux!$A$2:$A$3001,0))&amp;"",""))</f>
        <v/>
      </c>
      <c r="I872" s="26" t="str">
        <f aca="false">IF(A872="","",COUNTIF(Apparitions!$G$2:$G$5001,A872))</f>
        <v/>
      </c>
      <c r="J872" s="26" t="str">
        <f aca="false">IF(A872="","",COUNTIFS(Apparitions!$G$2:$G$5001,A872,Apparitions!$E$2:$E$5001,"○"))</f>
        <v/>
      </c>
      <c r="K872" s="29" t="str">
        <f aca="false">IF(A872="","",IFERROR(1/(1/_xlfn.MINIFS(Apparitions!$L$2:$L$5001,Apparitions!$G$2:$G$5001,A872)),""))</f>
        <v/>
      </c>
      <c r="L872" s="27" t="str">
        <f aca="false">IF(A872="","",A872&amp;" | "&amp;B872&amp;IF(C872="",""," ("&amp;C872&amp;")")&amp;IF(D872="",""," - "&amp;D872))</f>
        <v/>
      </c>
    </row>
    <row r="873" customFormat="false" ht="15" hidden="false" customHeight="false" outlineLevel="0" collapsed="false">
      <c r="A873" s="32"/>
      <c r="B873" s="19"/>
      <c r="C873" s="19"/>
      <c r="D873" s="19"/>
      <c r="E873" s="21"/>
      <c r="F873" s="19"/>
      <c r="G873" s="27" t="str">
        <f aca="false">IF(B873="","",IFERROR(INDEX(Jeux!$C$2:$C$3001,MATCH(B873,Jeux!$A$2:$A$3001,0))&amp;"","⚠ jeu inconnu"))</f>
        <v/>
      </c>
      <c r="H873" s="27" t="str">
        <f aca="false">IF(B873="","",IFERROR(INDEX(Jeux!$D$2:$D$3001,MATCH(B873,Jeux!$A$2:$A$3001,0))&amp;"",""))</f>
        <v/>
      </c>
      <c r="I873" s="26" t="str">
        <f aca="false">IF(A873="","",COUNTIF(Apparitions!$G$2:$G$5001,A873))</f>
        <v/>
      </c>
      <c r="J873" s="26" t="str">
        <f aca="false">IF(A873="","",COUNTIFS(Apparitions!$G$2:$G$5001,A873,Apparitions!$E$2:$E$5001,"○"))</f>
        <v/>
      </c>
      <c r="K873" s="29" t="str">
        <f aca="false">IF(A873="","",IFERROR(1/(1/_xlfn.MINIFS(Apparitions!$L$2:$L$5001,Apparitions!$G$2:$G$5001,A873)),""))</f>
        <v/>
      </c>
      <c r="L873" s="27" t="str">
        <f aca="false">IF(A873="","",A873&amp;" | "&amp;B873&amp;IF(C873="",""," ("&amp;C873&amp;")")&amp;IF(D873="",""," - "&amp;D873))</f>
        <v/>
      </c>
    </row>
    <row r="874" customFormat="false" ht="15" hidden="false" customHeight="false" outlineLevel="0" collapsed="false">
      <c r="A874" s="32"/>
      <c r="B874" s="19"/>
      <c r="C874" s="19"/>
      <c r="D874" s="19"/>
      <c r="E874" s="21"/>
      <c r="F874" s="19"/>
      <c r="G874" s="27" t="str">
        <f aca="false">IF(B874="","",IFERROR(INDEX(Jeux!$C$2:$C$3001,MATCH(B874,Jeux!$A$2:$A$3001,0))&amp;"","⚠ jeu inconnu"))</f>
        <v/>
      </c>
      <c r="H874" s="27" t="str">
        <f aca="false">IF(B874="","",IFERROR(INDEX(Jeux!$D$2:$D$3001,MATCH(B874,Jeux!$A$2:$A$3001,0))&amp;"",""))</f>
        <v/>
      </c>
      <c r="I874" s="26" t="str">
        <f aca="false">IF(A874="","",COUNTIF(Apparitions!$G$2:$G$5001,A874))</f>
        <v/>
      </c>
      <c r="J874" s="26" t="str">
        <f aca="false">IF(A874="","",COUNTIFS(Apparitions!$G$2:$G$5001,A874,Apparitions!$E$2:$E$5001,"○"))</f>
        <v/>
      </c>
      <c r="K874" s="29" t="str">
        <f aca="false">IF(A874="","",IFERROR(1/(1/_xlfn.MINIFS(Apparitions!$L$2:$L$5001,Apparitions!$G$2:$G$5001,A874)),""))</f>
        <v/>
      </c>
      <c r="L874" s="27" t="str">
        <f aca="false">IF(A874="","",A874&amp;" | "&amp;B874&amp;IF(C874="",""," ("&amp;C874&amp;")")&amp;IF(D874="",""," - "&amp;D874))</f>
        <v/>
      </c>
    </row>
    <row r="875" customFormat="false" ht="15" hidden="false" customHeight="false" outlineLevel="0" collapsed="false">
      <c r="A875" s="32"/>
      <c r="B875" s="19"/>
      <c r="C875" s="19"/>
      <c r="D875" s="19"/>
      <c r="E875" s="21"/>
      <c r="F875" s="19"/>
      <c r="G875" s="27" t="str">
        <f aca="false">IF(B875="","",IFERROR(INDEX(Jeux!$C$2:$C$3001,MATCH(B875,Jeux!$A$2:$A$3001,0))&amp;"","⚠ jeu inconnu"))</f>
        <v/>
      </c>
      <c r="H875" s="27" t="str">
        <f aca="false">IF(B875="","",IFERROR(INDEX(Jeux!$D$2:$D$3001,MATCH(B875,Jeux!$A$2:$A$3001,0))&amp;"",""))</f>
        <v/>
      </c>
      <c r="I875" s="26" t="str">
        <f aca="false">IF(A875="","",COUNTIF(Apparitions!$G$2:$G$5001,A875))</f>
        <v/>
      </c>
      <c r="J875" s="26" t="str">
        <f aca="false">IF(A875="","",COUNTIFS(Apparitions!$G$2:$G$5001,A875,Apparitions!$E$2:$E$5001,"○"))</f>
        <v/>
      </c>
      <c r="K875" s="29" t="str">
        <f aca="false">IF(A875="","",IFERROR(1/(1/_xlfn.MINIFS(Apparitions!$L$2:$L$5001,Apparitions!$G$2:$G$5001,A875)),""))</f>
        <v/>
      </c>
      <c r="L875" s="27" t="str">
        <f aca="false">IF(A875="","",A875&amp;" | "&amp;B875&amp;IF(C875="",""," ("&amp;C875&amp;")")&amp;IF(D875="",""," - "&amp;D875))</f>
        <v/>
      </c>
    </row>
    <row r="876" customFormat="false" ht="15" hidden="false" customHeight="false" outlineLevel="0" collapsed="false">
      <c r="A876" s="32"/>
      <c r="B876" s="19"/>
      <c r="C876" s="19"/>
      <c r="D876" s="19"/>
      <c r="E876" s="21"/>
      <c r="F876" s="19"/>
      <c r="G876" s="27" t="str">
        <f aca="false">IF(B876="","",IFERROR(INDEX(Jeux!$C$2:$C$3001,MATCH(B876,Jeux!$A$2:$A$3001,0))&amp;"","⚠ jeu inconnu"))</f>
        <v/>
      </c>
      <c r="H876" s="27" t="str">
        <f aca="false">IF(B876="","",IFERROR(INDEX(Jeux!$D$2:$D$3001,MATCH(B876,Jeux!$A$2:$A$3001,0))&amp;"",""))</f>
        <v/>
      </c>
      <c r="I876" s="26" t="str">
        <f aca="false">IF(A876="","",COUNTIF(Apparitions!$G$2:$G$5001,A876))</f>
        <v/>
      </c>
      <c r="J876" s="26" t="str">
        <f aca="false">IF(A876="","",COUNTIFS(Apparitions!$G$2:$G$5001,A876,Apparitions!$E$2:$E$5001,"○"))</f>
        <v/>
      </c>
      <c r="K876" s="29" t="str">
        <f aca="false">IF(A876="","",IFERROR(1/(1/_xlfn.MINIFS(Apparitions!$L$2:$L$5001,Apparitions!$G$2:$G$5001,A876)),""))</f>
        <v/>
      </c>
      <c r="L876" s="27" t="str">
        <f aca="false">IF(A876="","",A876&amp;" | "&amp;B876&amp;IF(C876="",""," ("&amp;C876&amp;")")&amp;IF(D876="",""," - "&amp;D876))</f>
        <v/>
      </c>
    </row>
    <row r="877" customFormat="false" ht="15" hidden="false" customHeight="false" outlineLevel="0" collapsed="false">
      <c r="A877" s="32"/>
      <c r="B877" s="19"/>
      <c r="C877" s="19"/>
      <c r="D877" s="19"/>
      <c r="E877" s="21"/>
      <c r="F877" s="19"/>
      <c r="G877" s="27" t="str">
        <f aca="false">IF(B877="","",IFERROR(INDEX(Jeux!$C$2:$C$3001,MATCH(B877,Jeux!$A$2:$A$3001,0))&amp;"","⚠ jeu inconnu"))</f>
        <v/>
      </c>
      <c r="H877" s="27" t="str">
        <f aca="false">IF(B877="","",IFERROR(INDEX(Jeux!$D$2:$D$3001,MATCH(B877,Jeux!$A$2:$A$3001,0))&amp;"",""))</f>
        <v/>
      </c>
      <c r="I877" s="26" t="str">
        <f aca="false">IF(A877="","",COUNTIF(Apparitions!$G$2:$G$5001,A877))</f>
        <v/>
      </c>
      <c r="J877" s="26" t="str">
        <f aca="false">IF(A877="","",COUNTIFS(Apparitions!$G$2:$G$5001,A877,Apparitions!$E$2:$E$5001,"○"))</f>
        <v/>
      </c>
      <c r="K877" s="29" t="str">
        <f aca="false">IF(A877="","",IFERROR(1/(1/_xlfn.MINIFS(Apparitions!$L$2:$L$5001,Apparitions!$G$2:$G$5001,A877)),""))</f>
        <v/>
      </c>
      <c r="L877" s="27" t="str">
        <f aca="false">IF(A877="","",A877&amp;" | "&amp;B877&amp;IF(C877="",""," ("&amp;C877&amp;")")&amp;IF(D877="",""," - "&amp;D877))</f>
        <v/>
      </c>
    </row>
    <row r="878" customFormat="false" ht="15" hidden="false" customHeight="false" outlineLevel="0" collapsed="false">
      <c r="A878" s="32"/>
      <c r="B878" s="19"/>
      <c r="C878" s="19"/>
      <c r="D878" s="19"/>
      <c r="E878" s="21"/>
      <c r="F878" s="19"/>
      <c r="G878" s="27" t="str">
        <f aca="false">IF(B878="","",IFERROR(INDEX(Jeux!$C$2:$C$3001,MATCH(B878,Jeux!$A$2:$A$3001,0))&amp;"","⚠ jeu inconnu"))</f>
        <v/>
      </c>
      <c r="H878" s="27" t="str">
        <f aca="false">IF(B878="","",IFERROR(INDEX(Jeux!$D$2:$D$3001,MATCH(B878,Jeux!$A$2:$A$3001,0))&amp;"",""))</f>
        <v/>
      </c>
      <c r="I878" s="26" t="str">
        <f aca="false">IF(A878="","",COUNTIF(Apparitions!$G$2:$G$5001,A878))</f>
        <v/>
      </c>
      <c r="J878" s="26" t="str">
        <f aca="false">IF(A878="","",COUNTIFS(Apparitions!$G$2:$G$5001,A878,Apparitions!$E$2:$E$5001,"○"))</f>
        <v/>
      </c>
      <c r="K878" s="29" t="str">
        <f aca="false">IF(A878="","",IFERROR(1/(1/_xlfn.MINIFS(Apparitions!$L$2:$L$5001,Apparitions!$G$2:$G$5001,A878)),""))</f>
        <v/>
      </c>
      <c r="L878" s="27" t="str">
        <f aca="false">IF(A878="","",A878&amp;" | "&amp;B878&amp;IF(C878="",""," ("&amp;C878&amp;")")&amp;IF(D878="",""," - "&amp;D878))</f>
        <v/>
      </c>
    </row>
    <row r="879" customFormat="false" ht="15" hidden="false" customHeight="false" outlineLevel="0" collapsed="false">
      <c r="A879" s="32"/>
      <c r="B879" s="19"/>
      <c r="C879" s="19"/>
      <c r="D879" s="19"/>
      <c r="E879" s="21"/>
      <c r="F879" s="19"/>
      <c r="G879" s="27" t="str">
        <f aca="false">IF(B879="","",IFERROR(INDEX(Jeux!$C$2:$C$3001,MATCH(B879,Jeux!$A$2:$A$3001,0))&amp;"","⚠ jeu inconnu"))</f>
        <v/>
      </c>
      <c r="H879" s="27" t="str">
        <f aca="false">IF(B879="","",IFERROR(INDEX(Jeux!$D$2:$D$3001,MATCH(B879,Jeux!$A$2:$A$3001,0))&amp;"",""))</f>
        <v/>
      </c>
      <c r="I879" s="26" t="str">
        <f aca="false">IF(A879="","",COUNTIF(Apparitions!$G$2:$G$5001,A879))</f>
        <v/>
      </c>
      <c r="J879" s="26" t="str">
        <f aca="false">IF(A879="","",COUNTIFS(Apparitions!$G$2:$G$5001,A879,Apparitions!$E$2:$E$5001,"○"))</f>
        <v/>
      </c>
      <c r="K879" s="29" t="str">
        <f aca="false">IF(A879="","",IFERROR(1/(1/_xlfn.MINIFS(Apparitions!$L$2:$L$5001,Apparitions!$G$2:$G$5001,A879)),""))</f>
        <v/>
      </c>
      <c r="L879" s="27" t="str">
        <f aca="false">IF(A879="","",A879&amp;" | "&amp;B879&amp;IF(C879="",""," ("&amp;C879&amp;")")&amp;IF(D879="",""," - "&amp;D879))</f>
        <v/>
      </c>
    </row>
    <row r="880" customFormat="false" ht="15" hidden="false" customHeight="false" outlineLevel="0" collapsed="false">
      <c r="A880" s="32"/>
      <c r="B880" s="19"/>
      <c r="C880" s="19"/>
      <c r="D880" s="19"/>
      <c r="E880" s="21"/>
      <c r="F880" s="19"/>
      <c r="G880" s="27" t="str">
        <f aca="false">IF(B880="","",IFERROR(INDEX(Jeux!$C$2:$C$3001,MATCH(B880,Jeux!$A$2:$A$3001,0))&amp;"","⚠ jeu inconnu"))</f>
        <v/>
      </c>
      <c r="H880" s="27" t="str">
        <f aca="false">IF(B880="","",IFERROR(INDEX(Jeux!$D$2:$D$3001,MATCH(B880,Jeux!$A$2:$A$3001,0))&amp;"",""))</f>
        <v/>
      </c>
      <c r="I880" s="26" t="str">
        <f aca="false">IF(A880="","",COUNTIF(Apparitions!$G$2:$G$5001,A880))</f>
        <v/>
      </c>
      <c r="J880" s="26" t="str">
        <f aca="false">IF(A880="","",COUNTIFS(Apparitions!$G$2:$G$5001,A880,Apparitions!$E$2:$E$5001,"○"))</f>
        <v/>
      </c>
      <c r="K880" s="29" t="str">
        <f aca="false">IF(A880="","",IFERROR(1/(1/_xlfn.MINIFS(Apparitions!$L$2:$L$5001,Apparitions!$G$2:$G$5001,A880)),""))</f>
        <v/>
      </c>
      <c r="L880" s="27" t="str">
        <f aca="false">IF(A880="","",A880&amp;" | "&amp;B880&amp;IF(C880="",""," ("&amp;C880&amp;")")&amp;IF(D880="",""," - "&amp;D880))</f>
        <v/>
      </c>
    </row>
    <row r="881" customFormat="false" ht="15" hidden="false" customHeight="false" outlineLevel="0" collapsed="false">
      <c r="A881" s="32"/>
      <c r="B881" s="19"/>
      <c r="C881" s="19"/>
      <c r="D881" s="19"/>
      <c r="E881" s="21"/>
      <c r="F881" s="19"/>
      <c r="G881" s="27" t="str">
        <f aca="false">IF(B881="","",IFERROR(INDEX(Jeux!$C$2:$C$3001,MATCH(B881,Jeux!$A$2:$A$3001,0))&amp;"","⚠ jeu inconnu"))</f>
        <v/>
      </c>
      <c r="H881" s="27" t="str">
        <f aca="false">IF(B881="","",IFERROR(INDEX(Jeux!$D$2:$D$3001,MATCH(B881,Jeux!$A$2:$A$3001,0))&amp;"",""))</f>
        <v/>
      </c>
      <c r="I881" s="26" t="str">
        <f aca="false">IF(A881="","",COUNTIF(Apparitions!$G$2:$G$5001,A881))</f>
        <v/>
      </c>
      <c r="J881" s="26" t="str">
        <f aca="false">IF(A881="","",COUNTIFS(Apparitions!$G$2:$G$5001,A881,Apparitions!$E$2:$E$5001,"○"))</f>
        <v/>
      </c>
      <c r="K881" s="29" t="str">
        <f aca="false">IF(A881="","",IFERROR(1/(1/_xlfn.MINIFS(Apparitions!$L$2:$L$5001,Apparitions!$G$2:$G$5001,A881)),""))</f>
        <v/>
      </c>
      <c r="L881" s="27" t="str">
        <f aca="false">IF(A881="","",A881&amp;" | "&amp;B881&amp;IF(C881="",""," ("&amp;C881&amp;")")&amp;IF(D881="",""," - "&amp;D881))</f>
        <v/>
      </c>
    </row>
    <row r="882" customFormat="false" ht="15" hidden="false" customHeight="false" outlineLevel="0" collapsed="false">
      <c r="A882" s="32"/>
      <c r="B882" s="19"/>
      <c r="C882" s="19"/>
      <c r="D882" s="19"/>
      <c r="E882" s="21"/>
      <c r="F882" s="19"/>
      <c r="G882" s="27" t="str">
        <f aca="false">IF(B882="","",IFERROR(INDEX(Jeux!$C$2:$C$3001,MATCH(B882,Jeux!$A$2:$A$3001,0))&amp;"","⚠ jeu inconnu"))</f>
        <v/>
      </c>
      <c r="H882" s="27" t="str">
        <f aca="false">IF(B882="","",IFERROR(INDEX(Jeux!$D$2:$D$3001,MATCH(B882,Jeux!$A$2:$A$3001,0))&amp;"",""))</f>
        <v/>
      </c>
      <c r="I882" s="26" t="str">
        <f aca="false">IF(A882="","",COUNTIF(Apparitions!$G$2:$G$5001,A882))</f>
        <v/>
      </c>
      <c r="J882" s="26" t="str">
        <f aca="false">IF(A882="","",COUNTIFS(Apparitions!$G$2:$G$5001,A882,Apparitions!$E$2:$E$5001,"○"))</f>
        <v/>
      </c>
      <c r="K882" s="29" t="str">
        <f aca="false">IF(A882="","",IFERROR(1/(1/_xlfn.MINIFS(Apparitions!$L$2:$L$5001,Apparitions!$G$2:$G$5001,A882)),""))</f>
        <v/>
      </c>
      <c r="L882" s="27" t="str">
        <f aca="false">IF(A882="","",A882&amp;" | "&amp;B882&amp;IF(C882="",""," ("&amp;C882&amp;")")&amp;IF(D882="",""," - "&amp;D882))</f>
        <v/>
      </c>
    </row>
    <row r="883" customFormat="false" ht="15" hidden="false" customHeight="false" outlineLevel="0" collapsed="false">
      <c r="A883" s="32"/>
      <c r="B883" s="19"/>
      <c r="C883" s="19"/>
      <c r="D883" s="19"/>
      <c r="E883" s="21"/>
      <c r="F883" s="19"/>
      <c r="G883" s="27" t="str">
        <f aca="false">IF(B883="","",IFERROR(INDEX(Jeux!$C$2:$C$3001,MATCH(B883,Jeux!$A$2:$A$3001,0))&amp;"","⚠ jeu inconnu"))</f>
        <v/>
      </c>
      <c r="H883" s="27" t="str">
        <f aca="false">IF(B883="","",IFERROR(INDEX(Jeux!$D$2:$D$3001,MATCH(B883,Jeux!$A$2:$A$3001,0))&amp;"",""))</f>
        <v/>
      </c>
      <c r="I883" s="26" t="str">
        <f aca="false">IF(A883="","",COUNTIF(Apparitions!$G$2:$G$5001,A883))</f>
        <v/>
      </c>
      <c r="J883" s="26" t="str">
        <f aca="false">IF(A883="","",COUNTIFS(Apparitions!$G$2:$G$5001,A883,Apparitions!$E$2:$E$5001,"○"))</f>
        <v/>
      </c>
      <c r="K883" s="29" t="str">
        <f aca="false">IF(A883="","",IFERROR(1/(1/_xlfn.MINIFS(Apparitions!$L$2:$L$5001,Apparitions!$G$2:$G$5001,A883)),""))</f>
        <v/>
      </c>
      <c r="L883" s="27" t="str">
        <f aca="false">IF(A883="","",A883&amp;" | "&amp;B883&amp;IF(C883="",""," ("&amp;C883&amp;")")&amp;IF(D883="",""," - "&amp;D883))</f>
        <v/>
      </c>
    </row>
    <row r="884" customFormat="false" ht="15" hidden="false" customHeight="false" outlineLevel="0" collapsed="false">
      <c r="A884" s="32"/>
      <c r="B884" s="19"/>
      <c r="C884" s="19"/>
      <c r="D884" s="19"/>
      <c r="E884" s="21"/>
      <c r="F884" s="19"/>
      <c r="G884" s="27" t="str">
        <f aca="false">IF(B884="","",IFERROR(INDEX(Jeux!$C$2:$C$3001,MATCH(B884,Jeux!$A$2:$A$3001,0))&amp;"","⚠ jeu inconnu"))</f>
        <v/>
      </c>
      <c r="H884" s="27" t="str">
        <f aca="false">IF(B884="","",IFERROR(INDEX(Jeux!$D$2:$D$3001,MATCH(B884,Jeux!$A$2:$A$3001,0))&amp;"",""))</f>
        <v/>
      </c>
      <c r="I884" s="26" t="str">
        <f aca="false">IF(A884="","",COUNTIF(Apparitions!$G$2:$G$5001,A884))</f>
        <v/>
      </c>
      <c r="J884" s="26" t="str">
        <f aca="false">IF(A884="","",COUNTIFS(Apparitions!$G$2:$G$5001,A884,Apparitions!$E$2:$E$5001,"○"))</f>
        <v/>
      </c>
      <c r="K884" s="29" t="str">
        <f aca="false">IF(A884="","",IFERROR(1/(1/_xlfn.MINIFS(Apparitions!$L$2:$L$5001,Apparitions!$G$2:$G$5001,A884)),""))</f>
        <v/>
      </c>
      <c r="L884" s="27" t="str">
        <f aca="false">IF(A884="","",A884&amp;" | "&amp;B884&amp;IF(C884="",""," ("&amp;C884&amp;")")&amp;IF(D884="",""," - "&amp;D884))</f>
        <v/>
      </c>
    </row>
    <row r="885" customFormat="false" ht="15" hidden="false" customHeight="false" outlineLevel="0" collapsed="false">
      <c r="A885" s="32"/>
      <c r="B885" s="19"/>
      <c r="C885" s="19"/>
      <c r="D885" s="19"/>
      <c r="E885" s="21"/>
      <c r="F885" s="19"/>
      <c r="G885" s="27" t="str">
        <f aca="false">IF(B885="","",IFERROR(INDEX(Jeux!$C$2:$C$3001,MATCH(B885,Jeux!$A$2:$A$3001,0))&amp;"","⚠ jeu inconnu"))</f>
        <v/>
      </c>
      <c r="H885" s="27" t="str">
        <f aca="false">IF(B885="","",IFERROR(INDEX(Jeux!$D$2:$D$3001,MATCH(B885,Jeux!$A$2:$A$3001,0))&amp;"",""))</f>
        <v/>
      </c>
      <c r="I885" s="26" t="str">
        <f aca="false">IF(A885="","",COUNTIF(Apparitions!$G$2:$G$5001,A885))</f>
        <v/>
      </c>
      <c r="J885" s="26" t="str">
        <f aca="false">IF(A885="","",COUNTIFS(Apparitions!$G$2:$G$5001,A885,Apparitions!$E$2:$E$5001,"○"))</f>
        <v/>
      </c>
      <c r="K885" s="29" t="str">
        <f aca="false">IF(A885="","",IFERROR(1/(1/_xlfn.MINIFS(Apparitions!$L$2:$L$5001,Apparitions!$G$2:$G$5001,A885)),""))</f>
        <v/>
      </c>
      <c r="L885" s="27" t="str">
        <f aca="false">IF(A885="","",A885&amp;" | "&amp;B885&amp;IF(C885="",""," ("&amp;C885&amp;")")&amp;IF(D885="",""," - "&amp;D885))</f>
        <v/>
      </c>
    </row>
    <row r="886" customFormat="false" ht="15" hidden="false" customHeight="false" outlineLevel="0" collapsed="false">
      <c r="A886" s="32"/>
      <c r="B886" s="19"/>
      <c r="C886" s="19"/>
      <c r="D886" s="19"/>
      <c r="E886" s="21"/>
      <c r="F886" s="19"/>
      <c r="G886" s="27" t="str">
        <f aca="false">IF(B886="","",IFERROR(INDEX(Jeux!$C$2:$C$3001,MATCH(B886,Jeux!$A$2:$A$3001,0))&amp;"","⚠ jeu inconnu"))</f>
        <v/>
      </c>
      <c r="H886" s="27" t="str">
        <f aca="false">IF(B886="","",IFERROR(INDEX(Jeux!$D$2:$D$3001,MATCH(B886,Jeux!$A$2:$A$3001,0))&amp;"",""))</f>
        <v/>
      </c>
      <c r="I886" s="26" t="str">
        <f aca="false">IF(A886="","",COUNTIF(Apparitions!$G$2:$G$5001,A886))</f>
        <v/>
      </c>
      <c r="J886" s="26" t="str">
        <f aca="false">IF(A886="","",COUNTIFS(Apparitions!$G$2:$G$5001,A886,Apparitions!$E$2:$E$5001,"○"))</f>
        <v/>
      </c>
      <c r="K886" s="29" t="str">
        <f aca="false">IF(A886="","",IFERROR(1/(1/_xlfn.MINIFS(Apparitions!$L$2:$L$5001,Apparitions!$G$2:$G$5001,A886)),""))</f>
        <v/>
      </c>
      <c r="L886" s="27" t="str">
        <f aca="false">IF(A886="","",A886&amp;" | "&amp;B886&amp;IF(C886="",""," ("&amp;C886&amp;")")&amp;IF(D886="",""," - "&amp;D886))</f>
        <v/>
      </c>
    </row>
    <row r="887" customFormat="false" ht="15" hidden="false" customHeight="false" outlineLevel="0" collapsed="false">
      <c r="A887" s="32"/>
      <c r="B887" s="19"/>
      <c r="C887" s="19"/>
      <c r="D887" s="19"/>
      <c r="E887" s="21"/>
      <c r="F887" s="19"/>
      <c r="G887" s="27" t="str">
        <f aca="false">IF(B887="","",IFERROR(INDEX(Jeux!$C$2:$C$3001,MATCH(B887,Jeux!$A$2:$A$3001,0))&amp;"","⚠ jeu inconnu"))</f>
        <v/>
      </c>
      <c r="H887" s="27" t="str">
        <f aca="false">IF(B887="","",IFERROR(INDEX(Jeux!$D$2:$D$3001,MATCH(B887,Jeux!$A$2:$A$3001,0))&amp;"",""))</f>
        <v/>
      </c>
      <c r="I887" s="26" t="str">
        <f aca="false">IF(A887="","",COUNTIF(Apparitions!$G$2:$G$5001,A887))</f>
        <v/>
      </c>
      <c r="J887" s="26" t="str">
        <f aca="false">IF(A887="","",COUNTIFS(Apparitions!$G$2:$G$5001,A887,Apparitions!$E$2:$E$5001,"○"))</f>
        <v/>
      </c>
      <c r="K887" s="29" t="str">
        <f aca="false">IF(A887="","",IFERROR(1/(1/_xlfn.MINIFS(Apparitions!$L$2:$L$5001,Apparitions!$G$2:$G$5001,A887)),""))</f>
        <v/>
      </c>
      <c r="L887" s="27" t="str">
        <f aca="false">IF(A887="","",A887&amp;" | "&amp;B887&amp;IF(C887="",""," ("&amp;C887&amp;")")&amp;IF(D887="",""," - "&amp;D887))</f>
        <v/>
      </c>
    </row>
    <row r="888" customFormat="false" ht="15" hidden="false" customHeight="false" outlineLevel="0" collapsed="false">
      <c r="A888" s="32"/>
      <c r="B888" s="19"/>
      <c r="C888" s="19"/>
      <c r="D888" s="19"/>
      <c r="E888" s="21"/>
      <c r="F888" s="19"/>
      <c r="G888" s="27" t="str">
        <f aca="false">IF(B888="","",IFERROR(INDEX(Jeux!$C$2:$C$3001,MATCH(B888,Jeux!$A$2:$A$3001,0))&amp;"","⚠ jeu inconnu"))</f>
        <v/>
      </c>
      <c r="H888" s="27" t="str">
        <f aca="false">IF(B888="","",IFERROR(INDEX(Jeux!$D$2:$D$3001,MATCH(B888,Jeux!$A$2:$A$3001,0))&amp;"",""))</f>
        <v/>
      </c>
      <c r="I888" s="26" t="str">
        <f aca="false">IF(A888="","",COUNTIF(Apparitions!$G$2:$G$5001,A888))</f>
        <v/>
      </c>
      <c r="J888" s="26" t="str">
        <f aca="false">IF(A888="","",COUNTIFS(Apparitions!$G$2:$G$5001,A888,Apparitions!$E$2:$E$5001,"○"))</f>
        <v/>
      </c>
      <c r="K888" s="29" t="str">
        <f aca="false">IF(A888="","",IFERROR(1/(1/_xlfn.MINIFS(Apparitions!$L$2:$L$5001,Apparitions!$G$2:$G$5001,A888)),""))</f>
        <v/>
      </c>
      <c r="L888" s="27" t="str">
        <f aca="false">IF(A888="","",A888&amp;" | "&amp;B888&amp;IF(C888="",""," ("&amp;C888&amp;")")&amp;IF(D888="",""," - "&amp;D888))</f>
        <v/>
      </c>
    </row>
    <row r="889" customFormat="false" ht="15" hidden="false" customHeight="false" outlineLevel="0" collapsed="false">
      <c r="A889" s="32"/>
      <c r="B889" s="19"/>
      <c r="C889" s="19"/>
      <c r="D889" s="19"/>
      <c r="E889" s="21"/>
      <c r="F889" s="19"/>
      <c r="G889" s="27" t="str">
        <f aca="false">IF(B889="","",IFERROR(INDEX(Jeux!$C$2:$C$3001,MATCH(B889,Jeux!$A$2:$A$3001,0))&amp;"","⚠ jeu inconnu"))</f>
        <v/>
      </c>
      <c r="H889" s="27" t="str">
        <f aca="false">IF(B889="","",IFERROR(INDEX(Jeux!$D$2:$D$3001,MATCH(B889,Jeux!$A$2:$A$3001,0))&amp;"",""))</f>
        <v/>
      </c>
      <c r="I889" s="26" t="str">
        <f aca="false">IF(A889="","",COUNTIF(Apparitions!$G$2:$G$5001,A889))</f>
        <v/>
      </c>
      <c r="J889" s="26" t="str">
        <f aca="false">IF(A889="","",COUNTIFS(Apparitions!$G$2:$G$5001,A889,Apparitions!$E$2:$E$5001,"○"))</f>
        <v/>
      </c>
      <c r="K889" s="29" t="str">
        <f aca="false">IF(A889="","",IFERROR(1/(1/_xlfn.MINIFS(Apparitions!$L$2:$L$5001,Apparitions!$G$2:$G$5001,A889)),""))</f>
        <v/>
      </c>
      <c r="L889" s="27" t="str">
        <f aca="false">IF(A889="","",A889&amp;" | "&amp;B889&amp;IF(C889="",""," ("&amp;C889&amp;")")&amp;IF(D889="",""," - "&amp;D889))</f>
        <v/>
      </c>
    </row>
    <row r="890" customFormat="false" ht="15" hidden="false" customHeight="false" outlineLevel="0" collapsed="false">
      <c r="A890" s="32"/>
      <c r="B890" s="19"/>
      <c r="C890" s="19"/>
      <c r="D890" s="19"/>
      <c r="E890" s="21"/>
      <c r="F890" s="19"/>
      <c r="G890" s="27" t="str">
        <f aca="false">IF(B890="","",IFERROR(INDEX(Jeux!$C$2:$C$3001,MATCH(B890,Jeux!$A$2:$A$3001,0))&amp;"","⚠ jeu inconnu"))</f>
        <v/>
      </c>
      <c r="H890" s="27" t="str">
        <f aca="false">IF(B890="","",IFERROR(INDEX(Jeux!$D$2:$D$3001,MATCH(B890,Jeux!$A$2:$A$3001,0))&amp;"",""))</f>
        <v/>
      </c>
      <c r="I890" s="26" t="str">
        <f aca="false">IF(A890="","",COUNTIF(Apparitions!$G$2:$G$5001,A890))</f>
        <v/>
      </c>
      <c r="J890" s="26" t="str">
        <f aca="false">IF(A890="","",COUNTIFS(Apparitions!$G$2:$G$5001,A890,Apparitions!$E$2:$E$5001,"○"))</f>
        <v/>
      </c>
      <c r="K890" s="29" t="str">
        <f aca="false">IF(A890="","",IFERROR(1/(1/_xlfn.MINIFS(Apparitions!$L$2:$L$5001,Apparitions!$G$2:$G$5001,A890)),""))</f>
        <v/>
      </c>
      <c r="L890" s="27" t="str">
        <f aca="false">IF(A890="","",A890&amp;" | "&amp;B890&amp;IF(C890="",""," ("&amp;C890&amp;")")&amp;IF(D890="",""," - "&amp;D890))</f>
        <v/>
      </c>
    </row>
    <row r="891" customFormat="false" ht="15" hidden="false" customHeight="false" outlineLevel="0" collapsed="false">
      <c r="A891" s="32"/>
      <c r="B891" s="19"/>
      <c r="C891" s="19"/>
      <c r="D891" s="19"/>
      <c r="E891" s="21"/>
      <c r="F891" s="19"/>
      <c r="G891" s="27" t="str">
        <f aca="false">IF(B891="","",IFERROR(INDEX(Jeux!$C$2:$C$3001,MATCH(B891,Jeux!$A$2:$A$3001,0))&amp;"","⚠ jeu inconnu"))</f>
        <v/>
      </c>
      <c r="H891" s="27" t="str">
        <f aca="false">IF(B891="","",IFERROR(INDEX(Jeux!$D$2:$D$3001,MATCH(B891,Jeux!$A$2:$A$3001,0))&amp;"",""))</f>
        <v/>
      </c>
      <c r="I891" s="26" t="str">
        <f aca="false">IF(A891="","",COUNTIF(Apparitions!$G$2:$G$5001,A891))</f>
        <v/>
      </c>
      <c r="J891" s="26" t="str">
        <f aca="false">IF(A891="","",COUNTIFS(Apparitions!$G$2:$G$5001,A891,Apparitions!$E$2:$E$5001,"○"))</f>
        <v/>
      </c>
      <c r="K891" s="29" t="str">
        <f aca="false">IF(A891="","",IFERROR(1/(1/_xlfn.MINIFS(Apparitions!$L$2:$L$5001,Apparitions!$G$2:$G$5001,A891)),""))</f>
        <v/>
      </c>
      <c r="L891" s="27" t="str">
        <f aca="false">IF(A891="","",A891&amp;" | "&amp;B891&amp;IF(C891="",""," ("&amp;C891&amp;")")&amp;IF(D891="",""," - "&amp;D891))</f>
        <v/>
      </c>
    </row>
    <row r="892" customFormat="false" ht="15" hidden="false" customHeight="false" outlineLevel="0" collapsed="false">
      <c r="A892" s="32"/>
      <c r="B892" s="19"/>
      <c r="C892" s="19"/>
      <c r="D892" s="19"/>
      <c r="E892" s="21"/>
      <c r="F892" s="19"/>
      <c r="G892" s="27" t="str">
        <f aca="false">IF(B892="","",IFERROR(INDEX(Jeux!$C$2:$C$3001,MATCH(B892,Jeux!$A$2:$A$3001,0))&amp;"","⚠ jeu inconnu"))</f>
        <v/>
      </c>
      <c r="H892" s="27" t="str">
        <f aca="false">IF(B892="","",IFERROR(INDEX(Jeux!$D$2:$D$3001,MATCH(B892,Jeux!$A$2:$A$3001,0))&amp;"",""))</f>
        <v/>
      </c>
      <c r="I892" s="26" t="str">
        <f aca="false">IF(A892="","",COUNTIF(Apparitions!$G$2:$G$5001,A892))</f>
        <v/>
      </c>
      <c r="J892" s="26" t="str">
        <f aca="false">IF(A892="","",COUNTIFS(Apparitions!$G$2:$G$5001,A892,Apparitions!$E$2:$E$5001,"○"))</f>
        <v/>
      </c>
      <c r="K892" s="29" t="str">
        <f aca="false">IF(A892="","",IFERROR(1/(1/_xlfn.MINIFS(Apparitions!$L$2:$L$5001,Apparitions!$G$2:$G$5001,A892)),""))</f>
        <v/>
      </c>
      <c r="L892" s="27" t="str">
        <f aca="false">IF(A892="","",A892&amp;" | "&amp;B892&amp;IF(C892="",""," ("&amp;C892&amp;")")&amp;IF(D892="",""," - "&amp;D892))</f>
        <v/>
      </c>
    </row>
    <row r="893" customFormat="false" ht="15" hidden="false" customHeight="false" outlineLevel="0" collapsed="false">
      <c r="A893" s="32"/>
      <c r="B893" s="19"/>
      <c r="C893" s="19"/>
      <c r="D893" s="19"/>
      <c r="E893" s="21"/>
      <c r="F893" s="19"/>
      <c r="G893" s="27" t="str">
        <f aca="false">IF(B893="","",IFERROR(INDEX(Jeux!$C$2:$C$3001,MATCH(B893,Jeux!$A$2:$A$3001,0))&amp;"","⚠ jeu inconnu"))</f>
        <v/>
      </c>
      <c r="H893" s="27" t="str">
        <f aca="false">IF(B893="","",IFERROR(INDEX(Jeux!$D$2:$D$3001,MATCH(B893,Jeux!$A$2:$A$3001,0))&amp;"",""))</f>
        <v/>
      </c>
      <c r="I893" s="26" t="str">
        <f aca="false">IF(A893="","",COUNTIF(Apparitions!$G$2:$G$5001,A893))</f>
        <v/>
      </c>
      <c r="J893" s="26" t="str">
        <f aca="false">IF(A893="","",COUNTIFS(Apparitions!$G$2:$G$5001,A893,Apparitions!$E$2:$E$5001,"○"))</f>
        <v/>
      </c>
      <c r="K893" s="29" t="str">
        <f aca="false">IF(A893="","",IFERROR(1/(1/_xlfn.MINIFS(Apparitions!$L$2:$L$5001,Apparitions!$G$2:$G$5001,A893)),""))</f>
        <v/>
      </c>
      <c r="L893" s="27" t="str">
        <f aca="false">IF(A893="","",A893&amp;" | "&amp;B893&amp;IF(C893="",""," ("&amp;C893&amp;")")&amp;IF(D893="",""," - "&amp;D893))</f>
        <v/>
      </c>
    </row>
    <row r="894" customFormat="false" ht="15" hidden="false" customHeight="false" outlineLevel="0" collapsed="false">
      <c r="A894" s="32"/>
      <c r="B894" s="19"/>
      <c r="C894" s="19"/>
      <c r="D894" s="19"/>
      <c r="E894" s="21"/>
      <c r="F894" s="19"/>
      <c r="G894" s="27" t="str">
        <f aca="false">IF(B894="","",IFERROR(INDEX(Jeux!$C$2:$C$3001,MATCH(B894,Jeux!$A$2:$A$3001,0))&amp;"","⚠ jeu inconnu"))</f>
        <v/>
      </c>
      <c r="H894" s="27" t="str">
        <f aca="false">IF(B894="","",IFERROR(INDEX(Jeux!$D$2:$D$3001,MATCH(B894,Jeux!$A$2:$A$3001,0))&amp;"",""))</f>
        <v/>
      </c>
      <c r="I894" s="26" t="str">
        <f aca="false">IF(A894="","",COUNTIF(Apparitions!$G$2:$G$5001,A894))</f>
        <v/>
      </c>
      <c r="J894" s="26" t="str">
        <f aca="false">IF(A894="","",COUNTIFS(Apparitions!$G$2:$G$5001,A894,Apparitions!$E$2:$E$5001,"○"))</f>
        <v/>
      </c>
      <c r="K894" s="29" t="str">
        <f aca="false">IF(A894="","",IFERROR(1/(1/_xlfn.MINIFS(Apparitions!$L$2:$L$5001,Apparitions!$G$2:$G$5001,A894)),""))</f>
        <v/>
      </c>
      <c r="L894" s="27" t="str">
        <f aca="false">IF(A894="","",A894&amp;" | "&amp;B894&amp;IF(C894="",""," ("&amp;C894&amp;")")&amp;IF(D894="",""," - "&amp;D894))</f>
        <v/>
      </c>
    </row>
    <row r="895" customFormat="false" ht="15" hidden="false" customHeight="false" outlineLevel="0" collapsed="false">
      <c r="A895" s="32"/>
      <c r="B895" s="19"/>
      <c r="C895" s="19"/>
      <c r="D895" s="19"/>
      <c r="E895" s="21"/>
      <c r="F895" s="19"/>
      <c r="G895" s="27" t="str">
        <f aca="false">IF(B895="","",IFERROR(INDEX(Jeux!$C$2:$C$3001,MATCH(B895,Jeux!$A$2:$A$3001,0))&amp;"","⚠ jeu inconnu"))</f>
        <v/>
      </c>
      <c r="H895" s="27" t="str">
        <f aca="false">IF(B895="","",IFERROR(INDEX(Jeux!$D$2:$D$3001,MATCH(B895,Jeux!$A$2:$A$3001,0))&amp;"",""))</f>
        <v/>
      </c>
      <c r="I895" s="26" t="str">
        <f aca="false">IF(A895="","",COUNTIF(Apparitions!$G$2:$G$5001,A895))</f>
        <v/>
      </c>
      <c r="J895" s="26" t="str">
        <f aca="false">IF(A895="","",COUNTIFS(Apparitions!$G$2:$G$5001,A895,Apparitions!$E$2:$E$5001,"○"))</f>
        <v/>
      </c>
      <c r="K895" s="29" t="str">
        <f aca="false">IF(A895="","",IFERROR(1/(1/_xlfn.MINIFS(Apparitions!$L$2:$L$5001,Apparitions!$G$2:$G$5001,A895)),""))</f>
        <v/>
      </c>
      <c r="L895" s="27" t="str">
        <f aca="false">IF(A895="","",A895&amp;" | "&amp;B895&amp;IF(C895="",""," ("&amp;C895&amp;")")&amp;IF(D895="",""," - "&amp;D895))</f>
        <v/>
      </c>
    </row>
    <row r="896" customFormat="false" ht="15" hidden="false" customHeight="false" outlineLevel="0" collapsed="false">
      <c r="A896" s="32"/>
      <c r="B896" s="19"/>
      <c r="C896" s="19"/>
      <c r="D896" s="19"/>
      <c r="E896" s="21"/>
      <c r="F896" s="19"/>
      <c r="G896" s="27" t="str">
        <f aca="false">IF(B896="","",IFERROR(INDEX(Jeux!$C$2:$C$3001,MATCH(B896,Jeux!$A$2:$A$3001,0))&amp;"","⚠ jeu inconnu"))</f>
        <v/>
      </c>
      <c r="H896" s="27" t="str">
        <f aca="false">IF(B896="","",IFERROR(INDEX(Jeux!$D$2:$D$3001,MATCH(B896,Jeux!$A$2:$A$3001,0))&amp;"",""))</f>
        <v/>
      </c>
      <c r="I896" s="26" t="str">
        <f aca="false">IF(A896="","",COUNTIF(Apparitions!$G$2:$G$5001,A896))</f>
        <v/>
      </c>
      <c r="J896" s="26" t="str">
        <f aca="false">IF(A896="","",COUNTIFS(Apparitions!$G$2:$G$5001,A896,Apparitions!$E$2:$E$5001,"○"))</f>
        <v/>
      </c>
      <c r="K896" s="29" t="str">
        <f aca="false">IF(A896="","",IFERROR(1/(1/_xlfn.MINIFS(Apparitions!$L$2:$L$5001,Apparitions!$G$2:$G$5001,A896)),""))</f>
        <v/>
      </c>
      <c r="L896" s="27" t="str">
        <f aca="false">IF(A896="","",A896&amp;" | "&amp;B896&amp;IF(C896="",""," ("&amp;C896&amp;")")&amp;IF(D896="",""," - "&amp;D896))</f>
        <v/>
      </c>
    </row>
    <row r="897" customFormat="false" ht="15" hidden="false" customHeight="false" outlineLevel="0" collapsed="false">
      <c r="A897" s="32"/>
      <c r="B897" s="19"/>
      <c r="C897" s="19"/>
      <c r="D897" s="19"/>
      <c r="E897" s="21"/>
      <c r="F897" s="19"/>
      <c r="G897" s="27" t="str">
        <f aca="false">IF(B897="","",IFERROR(INDEX(Jeux!$C$2:$C$3001,MATCH(B897,Jeux!$A$2:$A$3001,0))&amp;"","⚠ jeu inconnu"))</f>
        <v/>
      </c>
      <c r="H897" s="27" t="str">
        <f aca="false">IF(B897="","",IFERROR(INDEX(Jeux!$D$2:$D$3001,MATCH(B897,Jeux!$A$2:$A$3001,0))&amp;"",""))</f>
        <v/>
      </c>
      <c r="I897" s="26" t="str">
        <f aca="false">IF(A897="","",COUNTIF(Apparitions!$G$2:$G$5001,A897))</f>
        <v/>
      </c>
      <c r="J897" s="26" t="str">
        <f aca="false">IF(A897="","",COUNTIFS(Apparitions!$G$2:$G$5001,A897,Apparitions!$E$2:$E$5001,"○"))</f>
        <v/>
      </c>
      <c r="K897" s="29" t="str">
        <f aca="false">IF(A897="","",IFERROR(1/(1/_xlfn.MINIFS(Apparitions!$L$2:$L$5001,Apparitions!$G$2:$G$5001,A897)),""))</f>
        <v/>
      </c>
      <c r="L897" s="27" t="str">
        <f aca="false">IF(A897="","",A897&amp;" | "&amp;B897&amp;IF(C897="",""," ("&amp;C897&amp;")")&amp;IF(D897="",""," - "&amp;D897))</f>
        <v/>
      </c>
    </row>
    <row r="898" customFormat="false" ht="15" hidden="false" customHeight="false" outlineLevel="0" collapsed="false">
      <c r="A898" s="32"/>
      <c r="B898" s="19"/>
      <c r="C898" s="19"/>
      <c r="D898" s="19"/>
      <c r="E898" s="21"/>
      <c r="F898" s="19"/>
      <c r="G898" s="27" t="str">
        <f aca="false">IF(B898="","",IFERROR(INDEX(Jeux!$C$2:$C$3001,MATCH(B898,Jeux!$A$2:$A$3001,0))&amp;"","⚠ jeu inconnu"))</f>
        <v/>
      </c>
      <c r="H898" s="27" t="str">
        <f aca="false">IF(B898="","",IFERROR(INDEX(Jeux!$D$2:$D$3001,MATCH(B898,Jeux!$A$2:$A$3001,0))&amp;"",""))</f>
        <v/>
      </c>
      <c r="I898" s="26" t="str">
        <f aca="false">IF(A898="","",COUNTIF(Apparitions!$G$2:$G$5001,A898))</f>
        <v/>
      </c>
      <c r="J898" s="26" t="str">
        <f aca="false">IF(A898="","",COUNTIFS(Apparitions!$G$2:$G$5001,A898,Apparitions!$E$2:$E$5001,"○"))</f>
        <v/>
      </c>
      <c r="K898" s="29" t="str">
        <f aca="false">IF(A898="","",IFERROR(1/(1/_xlfn.MINIFS(Apparitions!$L$2:$L$5001,Apparitions!$G$2:$G$5001,A898)),""))</f>
        <v/>
      </c>
      <c r="L898" s="27" t="str">
        <f aca="false">IF(A898="","",A898&amp;" | "&amp;B898&amp;IF(C898="",""," ("&amp;C898&amp;")")&amp;IF(D898="",""," - "&amp;D898))</f>
        <v/>
      </c>
    </row>
    <row r="899" customFormat="false" ht="15" hidden="false" customHeight="false" outlineLevel="0" collapsed="false">
      <c r="A899" s="32"/>
      <c r="B899" s="19"/>
      <c r="C899" s="19"/>
      <c r="D899" s="19"/>
      <c r="E899" s="21"/>
      <c r="F899" s="19"/>
      <c r="G899" s="27" t="str">
        <f aca="false">IF(B899="","",IFERROR(INDEX(Jeux!$C$2:$C$3001,MATCH(B899,Jeux!$A$2:$A$3001,0))&amp;"","⚠ jeu inconnu"))</f>
        <v/>
      </c>
      <c r="H899" s="27" t="str">
        <f aca="false">IF(B899="","",IFERROR(INDEX(Jeux!$D$2:$D$3001,MATCH(B899,Jeux!$A$2:$A$3001,0))&amp;"",""))</f>
        <v/>
      </c>
      <c r="I899" s="26" t="str">
        <f aca="false">IF(A899="","",COUNTIF(Apparitions!$G$2:$G$5001,A899))</f>
        <v/>
      </c>
      <c r="J899" s="26" t="str">
        <f aca="false">IF(A899="","",COUNTIFS(Apparitions!$G$2:$G$5001,A899,Apparitions!$E$2:$E$5001,"○"))</f>
        <v/>
      </c>
      <c r="K899" s="29" t="str">
        <f aca="false">IF(A899="","",IFERROR(1/(1/_xlfn.MINIFS(Apparitions!$L$2:$L$5001,Apparitions!$G$2:$G$5001,A899)),""))</f>
        <v/>
      </c>
      <c r="L899" s="27" t="str">
        <f aca="false">IF(A899="","",A899&amp;" | "&amp;B899&amp;IF(C899="",""," ("&amp;C899&amp;")")&amp;IF(D899="",""," - "&amp;D899))</f>
        <v/>
      </c>
    </row>
    <row r="900" customFormat="false" ht="15" hidden="false" customHeight="false" outlineLevel="0" collapsed="false">
      <c r="A900" s="32"/>
      <c r="B900" s="19"/>
      <c r="C900" s="19"/>
      <c r="D900" s="19"/>
      <c r="E900" s="21"/>
      <c r="F900" s="19"/>
      <c r="G900" s="27" t="str">
        <f aca="false">IF(B900="","",IFERROR(INDEX(Jeux!$C$2:$C$3001,MATCH(B900,Jeux!$A$2:$A$3001,0))&amp;"","⚠ jeu inconnu"))</f>
        <v/>
      </c>
      <c r="H900" s="27" t="str">
        <f aca="false">IF(B900="","",IFERROR(INDEX(Jeux!$D$2:$D$3001,MATCH(B900,Jeux!$A$2:$A$3001,0))&amp;"",""))</f>
        <v/>
      </c>
      <c r="I900" s="26" t="str">
        <f aca="false">IF(A900="","",COUNTIF(Apparitions!$G$2:$G$5001,A900))</f>
        <v/>
      </c>
      <c r="J900" s="26" t="str">
        <f aca="false">IF(A900="","",COUNTIFS(Apparitions!$G$2:$G$5001,A900,Apparitions!$E$2:$E$5001,"○"))</f>
        <v/>
      </c>
      <c r="K900" s="29" t="str">
        <f aca="false">IF(A900="","",IFERROR(1/(1/_xlfn.MINIFS(Apparitions!$L$2:$L$5001,Apparitions!$G$2:$G$5001,A900)),""))</f>
        <v/>
      </c>
      <c r="L900" s="27" t="str">
        <f aca="false">IF(A900="","",A900&amp;" | "&amp;B900&amp;IF(C900="",""," ("&amp;C900&amp;")")&amp;IF(D900="",""," - "&amp;D900))</f>
        <v/>
      </c>
    </row>
    <row r="901" customFormat="false" ht="15" hidden="false" customHeight="false" outlineLevel="0" collapsed="false">
      <c r="A901" s="32"/>
      <c r="B901" s="19"/>
      <c r="C901" s="19"/>
      <c r="D901" s="19"/>
      <c r="E901" s="21"/>
      <c r="F901" s="19"/>
      <c r="G901" s="27" t="str">
        <f aca="false">IF(B901="","",IFERROR(INDEX(Jeux!$C$2:$C$3001,MATCH(B901,Jeux!$A$2:$A$3001,0))&amp;"","⚠ jeu inconnu"))</f>
        <v/>
      </c>
      <c r="H901" s="27" t="str">
        <f aca="false">IF(B901="","",IFERROR(INDEX(Jeux!$D$2:$D$3001,MATCH(B901,Jeux!$A$2:$A$3001,0))&amp;"",""))</f>
        <v/>
      </c>
      <c r="I901" s="26" t="str">
        <f aca="false">IF(A901="","",COUNTIF(Apparitions!$G$2:$G$5001,A901))</f>
        <v/>
      </c>
      <c r="J901" s="26" t="str">
        <f aca="false">IF(A901="","",COUNTIFS(Apparitions!$G$2:$G$5001,A901,Apparitions!$E$2:$E$5001,"○"))</f>
        <v/>
      </c>
      <c r="K901" s="29" t="str">
        <f aca="false">IF(A901="","",IFERROR(1/(1/_xlfn.MINIFS(Apparitions!$L$2:$L$5001,Apparitions!$G$2:$G$5001,A901)),""))</f>
        <v/>
      </c>
      <c r="L901" s="27" t="str">
        <f aca="false">IF(A901="","",A901&amp;" | "&amp;B901&amp;IF(C901="",""," ("&amp;C901&amp;")")&amp;IF(D901="",""," - "&amp;D901))</f>
        <v/>
      </c>
    </row>
    <row r="902" customFormat="false" ht="15" hidden="false" customHeight="false" outlineLevel="0" collapsed="false">
      <c r="A902" s="32"/>
      <c r="B902" s="19"/>
      <c r="C902" s="19"/>
      <c r="D902" s="19"/>
      <c r="E902" s="21"/>
      <c r="F902" s="19"/>
      <c r="G902" s="27" t="str">
        <f aca="false">IF(B902="","",IFERROR(INDEX(Jeux!$C$2:$C$3001,MATCH(B902,Jeux!$A$2:$A$3001,0))&amp;"","⚠ jeu inconnu"))</f>
        <v/>
      </c>
      <c r="H902" s="27" t="str">
        <f aca="false">IF(B902="","",IFERROR(INDEX(Jeux!$D$2:$D$3001,MATCH(B902,Jeux!$A$2:$A$3001,0))&amp;"",""))</f>
        <v/>
      </c>
      <c r="I902" s="26" t="str">
        <f aca="false">IF(A902="","",COUNTIF(Apparitions!$G$2:$G$5001,A902))</f>
        <v/>
      </c>
      <c r="J902" s="26" t="str">
        <f aca="false">IF(A902="","",COUNTIFS(Apparitions!$G$2:$G$5001,A902,Apparitions!$E$2:$E$5001,"○"))</f>
        <v/>
      </c>
      <c r="K902" s="29" t="str">
        <f aca="false">IF(A902="","",IFERROR(1/(1/_xlfn.MINIFS(Apparitions!$L$2:$L$5001,Apparitions!$G$2:$G$5001,A902)),""))</f>
        <v/>
      </c>
      <c r="L902" s="27" t="str">
        <f aca="false">IF(A902="","",A902&amp;" | "&amp;B902&amp;IF(C902="",""," ("&amp;C902&amp;")")&amp;IF(D902="",""," - "&amp;D902))</f>
        <v/>
      </c>
    </row>
    <row r="903" customFormat="false" ht="15" hidden="false" customHeight="false" outlineLevel="0" collapsed="false">
      <c r="A903" s="32"/>
      <c r="B903" s="19"/>
      <c r="C903" s="19"/>
      <c r="D903" s="19"/>
      <c r="E903" s="21"/>
      <c r="F903" s="19"/>
      <c r="G903" s="27" t="str">
        <f aca="false">IF(B903="","",IFERROR(INDEX(Jeux!$C$2:$C$3001,MATCH(B903,Jeux!$A$2:$A$3001,0))&amp;"","⚠ jeu inconnu"))</f>
        <v/>
      </c>
      <c r="H903" s="27" t="str">
        <f aca="false">IF(B903="","",IFERROR(INDEX(Jeux!$D$2:$D$3001,MATCH(B903,Jeux!$A$2:$A$3001,0))&amp;"",""))</f>
        <v/>
      </c>
      <c r="I903" s="26" t="str">
        <f aca="false">IF(A903="","",COUNTIF(Apparitions!$G$2:$G$5001,A903))</f>
        <v/>
      </c>
      <c r="J903" s="26" t="str">
        <f aca="false">IF(A903="","",COUNTIFS(Apparitions!$G$2:$G$5001,A903,Apparitions!$E$2:$E$5001,"○"))</f>
        <v/>
      </c>
      <c r="K903" s="29" t="str">
        <f aca="false">IF(A903="","",IFERROR(1/(1/_xlfn.MINIFS(Apparitions!$L$2:$L$5001,Apparitions!$G$2:$G$5001,A903)),""))</f>
        <v/>
      </c>
      <c r="L903" s="27" t="str">
        <f aca="false">IF(A903="","",A903&amp;" | "&amp;B903&amp;IF(C903="",""," ("&amp;C903&amp;")")&amp;IF(D903="",""," - "&amp;D903))</f>
        <v/>
      </c>
    </row>
    <row r="904" customFormat="false" ht="15" hidden="false" customHeight="false" outlineLevel="0" collapsed="false">
      <c r="A904" s="32"/>
      <c r="B904" s="19"/>
      <c r="C904" s="19"/>
      <c r="D904" s="19"/>
      <c r="E904" s="21"/>
      <c r="F904" s="19"/>
      <c r="G904" s="27" t="str">
        <f aca="false">IF(B904="","",IFERROR(INDEX(Jeux!$C$2:$C$3001,MATCH(B904,Jeux!$A$2:$A$3001,0))&amp;"","⚠ jeu inconnu"))</f>
        <v/>
      </c>
      <c r="H904" s="27" t="str">
        <f aca="false">IF(B904="","",IFERROR(INDEX(Jeux!$D$2:$D$3001,MATCH(B904,Jeux!$A$2:$A$3001,0))&amp;"",""))</f>
        <v/>
      </c>
      <c r="I904" s="26" t="str">
        <f aca="false">IF(A904="","",COUNTIF(Apparitions!$G$2:$G$5001,A904))</f>
        <v/>
      </c>
      <c r="J904" s="26" t="str">
        <f aca="false">IF(A904="","",COUNTIFS(Apparitions!$G$2:$G$5001,A904,Apparitions!$E$2:$E$5001,"○"))</f>
        <v/>
      </c>
      <c r="K904" s="29" t="str">
        <f aca="false">IF(A904="","",IFERROR(1/(1/_xlfn.MINIFS(Apparitions!$L$2:$L$5001,Apparitions!$G$2:$G$5001,A904)),""))</f>
        <v/>
      </c>
      <c r="L904" s="27" t="str">
        <f aca="false">IF(A904="","",A904&amp;" | "&amp;B904&amp;IF(C904="",""," ("&amp;C904&amp;")")&amp;IF(D904="",""," - "&amp;D904))</f>
        <v/>
      </c>
    </row>
    <row r="905" customFormat="false" ht="15" hidden="false" customHeight="false" outlineLevel="0" collapsed="false">
      <c r="A905" s="32"/>
      <c r="B905" s="19"/>
      <c r="C905" s="19"/>
      <c r="D905" s="19"/>
      <c r="E905" s="21"/>
      <c r="F905" s="19"/>
      <c r="G905" s="27" t="str">
        <f aca="false">IF(B905="","",IFERROR(INDEX(Jeux!$C$2:$C$3001,MATCH(B905,Jeux!$A$2:$A$3001,0))&amp;"","⚠ jeu inconnu"))</f>
        <v/>
      </c>
      <c r="H905" s="27" t="str">
        <f aca="false">IF(B905="","",IFERROR(INDEX(Jeux!$D$2:$D$3001,MATCH(B905,Jeux!$A$2:$A$3001,0))&amp;"",""))</f>
        <v/>
      </c>
      <c r="I905" s="26" t="str">
        <f aca="false">IF(A905="","",COUNTIF(Apparitions!$G$2:$G$5001,A905))</f>
        <v/>
      </c>
      <c r="J905" s="26" t="str">
        <f aca="false">IF(A905="","",COUNTIFS(Apparitions!$G$2:$G$5001,A905,Apparitions!$E$2:$E$5001,"○"))</f>
        <v/>
      </c>
      <c r="K905" s="29" t="str">
        <f aca="false">IF(A905="","",IFERROR(1/(1/_xlfn.MINIFS(Apparitions!$L$2:$L$5001,Apparitions!$G$2:$G$5001,A905)),""))</f>
        <v/>
      </c>
      <c r="L905" s="27" t="str">
        <f aca="false">IF(A905="","",A905&amp;" | "&amp;B905&amp;IF(C905="",""," ("&amp;C905&amp;")")&amp;IF(D905="",""," - "&amp;D905))</f>
        <v/>
      </c>
    </row>
    <row r="906" customFormat="false" ht="15" hidden="false" customHeight="false" outlineLevel="0" collapsed="false">
      <c r="A906" s="32"/>
      <c r="B906" s="19"/>
      <c r="C906" s="19"/>
      <c r="D906" s="19"/>
      <c r="E906" s="21"/>
      <c r="F906" s="19"/>
      <c r="G906" s="27" t="str">
        <f aca="false">IF(B906="","",IFERROR(INDEX(Jeux!$C$2:$C$3001,MATCH(B906,Jeux!$A$2:$A$3001,0))&amp;"","⚠ jeu inconnu"))</f>
        <v/>
      </c>
      <c r="H906" s="27" t="str">
        <f aca="false">IF(B906="","",IFERROR(INDEX(Jeux!$D$2:$D$3001,MATCH(B906,Jeux!$A$2:$A$3001,0))&amp;"",""))</f>
        <v/>
      </c>
      <c r="I906" s="26" t="str">
        <f aca="false">IF(A906="","",COUNTIF(Apparitions!$G$2:$G$5001,A906))</f>
        <v/>
      </c>
      <c r="J906" s="26" t="str">
        <f aca="false">IF(A906="","",COUNTIFS(Apparitions!$G$2:$G$5001,A906,Apparitions!$E$2:$E$5001,"○"))</f>
        <v/>
      </c>
      <c r="K906" s="29" t="str">
        <f aca="false">IF(A906="","",IFERROR(1/(1/_xlfn.MINIFS(Apparitions!$L$2:$L$5001,Apparitions!$G$2:$G$5001,A906)),""))</f>
        <v/>
      </c>
      <c r="L906" s="27" t="str">
        <f aca="false">IF(A906="","",A906&amp;" | "&amp;B906&amp;IF(C906="",""," ("&amp;C906&amp;")")&amp;IF(D906="",""," - "&amp;D906))</f>
        <v/>
      </c>
    </row>
    <row r="907" customFormat="false" ht="15" hidden="false" customHeight="false" outlineLevel="0" collapsed="false">
      <c r="A907" s="32"/>
      <c r="B907" s="19"/>
      <c r="C907" s="19"/>
      <c r="D907" s="19"/>
      <c r="E907" s="21"/>
      <c r="F907" s="19"/>
      <c r="G907" s="27" t="str">
        <f aca="false">IF(B907="","",IFERROR(INDEX(Jeux!$C$2:$C$3001,MATCH(B907,Jeux!$A$2:$A$3001,0))&amp;"","⚠ jeu inconnu"))</f>
        <v/>
      </c>
      <c r="H907" s="27" t="str">
        <f aca="false">IF(B907="","",IFERROR(INDEX(Jeux!$D$2:$D$3001,MATCH(B907,Jeux!$A$2:$A$3001,0))&amp;"",""))</f>
        <v/>
      </c>
      <c r="I907" s="26" t="str">
        <f aca="false">IF(A907="","",COUNTIF(Apparitions!$G$2:$G$5001,A907))</f>
        <v/>
      </c>
      <c r="J907" s="26" t="str">
        <f aca="false">IF(A907="","",COUNTIFS(Apparitions!$G$2:$G$5001,A907,Apparitions!$E$2:$E$5001,"○"))</f>
        <v/>
      </c>
      <c r="K907" s="29" t="str">
        <f aca="false">IF(A907="","",IFERROR(1/(1/_xlfn.MINIFS(Apparitions!$L$2:$L$5001,Apparitions!$G$2:$G$5001,A907)),""))</f>
        <v/>
      </c>
      <c r="L907" s="27" t="str">
        <f aca="false">IF(A907="","",A907&amp;" | "&amp;B907&amp;IF(C907="",""," ("&amp;C907&amp;")")&amp;IF(D907="",""," - "&amp;D907))</f>
        <v/>
      </c>
    </row>
    <row r="908" customFormat="false" ht="15" hidden="false" customHeight="false" outlineLevel="0" collapsed="false">
      <c r="A908" s="32"/>
      <c r="B908" s="19"/>
      <c r="C908" s="19"/>
      <c r="D908" s="19"/>
      <c r="E908" s="21"/>
      <c r="F908" s="19"/>
      <c r="G908" s="27" t="str">
        <f aca="false">IF(B908="","",IFERROR(INDEX(Jeux!$C$2:$C$3001,MATCH(B908,Jeux!$A$2:$A$3001,0))&amp;"","⚠ jeu inconnu"))</f>
        <v/>
      </c>
      <c r="H908" s="27" t="str">
        <f aca="false">IF(B908="","",IFERROR(INDEX(Jeux!$D$2:$D$3001,MATCH(B908,Jeux!$A$2:$A$3001,0))&amp;"",""))</f>
        <v/>
      </c>
      <c r="I908" s="26" t="str">
        <f aca="false">IF(A908="","",COUNTIF(Apparitions!$G$2:$G$5001,A908))</f>
        <v/>
      </c>
      <c r="J908" s="26" t="str">
        <f aca="false">IF(A908="","",COUNTIFS(Apparitions!$G$2:$G$5001,A908,Apparitions!$E$2:$E$5001,"○"))</f>
        <v/>
      </c>
      <c r="K908" s="29" t="str">
        <f aca="false">IF(A908="","",IFERROR(1/(1/_xlfn.MINIFS(Apparitions!$L$2:$L$5001,Apparitions!$G$2:$G$5001,A908)),""))</f>
        <v/>
      </c>
      <c r="L908" s="27" t="str">
        <f aca="false">IF(A908="","",A908&amp;" | "&amp;B908&amp;IF(C908="",""," ("&amp;C908&amp;")")&amp;IF(D908="",""," - "&amp;D908))</f>
        <v/>
      </c>
    </row>
    <row r="909" customFormat="false" ht="15" hidden="false" customHeight="false" outlineLevel="0" collapsed="false">
      <c r="A909" s="32"/>
      <c r="B909" s="19"/>
      <c r="C909" s="19"/>
      <c r="D909" s="19"/>
      <c r="E909" s="21"/>
      <c r="F909" s="19"/>
      <c r="G909" s="27" t="str">
        <f aca="false">IF(B909="","",IFERROR(INDEX(Jeux!$C$2:$C$3001,MATCH(B909,Jeux!$A$2:$A$3001,0))&amp;"","⚠ jeu inconnu"))</f>
        <v/>
      </c>
      <c r="H909" s="27" t="str">
        <f aca="false">IF(B909="","",IFERROR(INDEX(Jeux!$D$2:$D$3001,MATCH(B909,Jeux!$A$2:$A$3001,0))&amp;"",""))</f>
        <v/>
      </c>
      <c r="I909" s="26" t="str">
        <f aca="false">IF(A909="","",COUNTIF(Apparitions!$G$2:$G$5001,A909))</f>
        <v/>
      </c>
      <c r="J909" s="26" t="str">
        <f aca="false">IF(A909="","",COUNTIFS(Apparitions!$G$2:$G$5001,A909,Apparitions!$E$2:$E$5001,"○"))</f>
        <v/>
      </c>
      <c r="K909" s="29" t="str">
        <f aca="false">IF(A909="","",IFERROR(1/(1/_xlfn.MINIFS(Apparitions!$L$2:$L$5001,Apparitions!$G$2:$G$5001,A909)),""))</f>
        <v/>
      </c>
      <c r="L909" s="27" t="str">
        <f aca="false">IF(A909="","",A909&amp;" | "&amp;B909&amp;IF(C909="",""," ("&amp;C909&amp;")")&amp;IF(D909="",""," - "&amp;D909))</f>
        <v/>
      </c>
    </row>
    <row r="910" customFormat="false" ht="15" hidden="false" customHeight="false" outlineLevel="0" collapsed="false">
      <c r="A910" s="32"/>
      <c r="B910" s="19"/>
      <c r="C910" s="19"/>
      <c r="D910" s="19"/>
      <c r="E910" s="21"/>
      <c r="F910" s="19"/>
      <c r="G910" s="27" t="str">
        <f aca="false">IF(B910="","",IFERROR(INDEX(Jeux!$C$2:$C$3001,MATCH(B910,Jeux!$A$2:$A$3001,0))&amp;"","⚠ jeu inconnu"))</f>
        <v/>
      </c>
      <c r="H910" s="27" t="str">
        <f aca="false">IF(B910="","",IFERROR(INDEX(Jeux!$D$2:$D$3001,MATCH(B910,Jeux!$A$2:$A$3001,0))&amp;"",""))</f>
        <v/>
      </c>
      <c r="I910" s="26" t="str">
        <f aca="false">IF(A910="","",COUNTIF(Apparitions!$G$2:$G$5001,A910))</f>
        <v/>
      </c>
      <c r="J910" s="26" t="str">
        <f aca="false">IF(A910="","",COUNTIFS(Apparitions!$G$2:$G$5001,A910,Apparitions!$E$2:$E$5001,"○"))</f>
        <v/>
      </c>
      <c r="K910" s="29" t="str">
        <f aca="false">IF(A910="","",IFERROR(1/(1/_xlfn.MINIFS(Apparitions!$L$2:$L$5001,Apparitions!$G$2:$G$5001,A910)),""))</f>
        <v/>
      </c>
      <c r="L910" s="27" t="str">
        <f aca="false">IF(A910="","",A910&amp;" | "&amp;B910&amp;IF(C910="",""," ("&amp;C910&amp;")")&amp;IF(D910="",""," - "&amp;D910))</f>
        <v/>
      </c>
    </row>
    <row r="911" customFormat="false" ht="15" hidden="false" customHeight="false" outlineLevel="0" collapsed="false">
      <c r="A911" s="32"/>
      <c r="B911" s="19"/>
      <c r="C911" s="19"/>
      <c r="D911" s="19"/>
      <c r="E911" s="21"/>
      <c r="F911" s="19"/>
      <c r="G911" s="27" t="str">
        <f aca="false">IF(B911="","",IFERROR(INDEX(Jeux!$C$2:$C$3001,MATCH(B911,Jeux!$A$2:$A$3001,0))&amp;"","⚠ jeu inconnu"))</f>
        <v/>
      </c>
      <c r="H911" s="27" t="str">
        <f aca="false">IF(B911="","",IFERROR(INDEX(Jeux!$D$2:$D$3001,MATCH(B911,Jeux!$A$2:$A$3001,0))&amp;"",""))</f>
        <v/>
      </c>
      <c r="I911" s="26" t="str">
        <f aca="false">IF(A911="","",COUNTIF(Apparitions!$G$2:$G$5001,A911))</f>
        <v/>
      </c>
      <c r="J911" s="26" t="str">
        <f aca="false">IF(A911="","",COUNTIFS(Apparitions!$G$2:$G$5001,A911,Apparitions!$E$2:$E$5001,"○"))</f>
        <v/>
      </c>
      <c r="K911" s="29" t="str">
        <f aca="false">IF(A911="","",IFERROR(1/(1/_xlfn.MINIFS(Apparitions!$L$2:$L$5001,Apparitions!$G$2:$G$5001,A911)),""))</f>
        <v/>
      </c>
      <c r="L911" s="27" t="str">
        <f aca="false">IF(A911="","",A911&amp;" | "&amp;B911&amp;IF(C911="",""," ("&amp;C911&amp;")")&amp;IF(D911="",""," - "&amp;D911))</f>
        <v/>
      </c>
    </row>
    <row r="912" customFormat="false" ht="15" hidden="false" customHeight="false" outlineLevel="0" collapsed="false">
      <c r="A912" s="32"/>
      <c r="B912" s="19"/>
      <c r="C912" s="19"/>
      <c r="D912" s="19"/>
      <c r="E912" s="21"/>
      <c r="F912" s="19"/>
      <c r="G912" s="27" t="str">
        <f aca="false">IF(B912="","",IFERROR(INDEX(Jeux!$C$2:$C$3001,MATCH(B912,Jeux!$A$2:$A$3001,0))&amp;"","⚠ jeu inconnu"))</f>
        <v/>
      </c>
      <c r="H912" s="27" t="str">
        <f aca="false">IF(B912="","",IFERROR(INDEX(Jeux!$D$2:$D$3001,MATCH(B912,Jeux!$A$2:$A$3001,0))&amp;"",""))</f>
        <v/>
      </c>
      <c r="I912" s="26" t="str">
        <f aca="false">IF(A912="","",COUNTIF(Apparitions!$G$2:$G$5001,A912))</f>
        <v/>
      </c>
      <c r="J912" s="26" t="str">
        <f aca="false">IF(A912="","",COUNTIFS(Apparitions!$G$2:$G$5001,A912,Apparitions!$E$2:$E$5001,"○"))</f>
        <v/>
      </c>
      <c r="K912" s="29" t="str">
        <f aca="false">IF(A912="","",IFERROR(1/(1/_xlfn.MINIFS(Apparitions!$L$2:$L$5001,Apparitions!$G$2:$G$5001,A912)),""))</f>
        <v/>
      </c>
      <c r="L912" s="27" t="str">
        <f aca="false">IF(A912="","",A912&amp;" | "&amp;B912&amp;IF(C912="",""," ("&amp;C912&amp;")")&amp;IF(D912="",""," - "&amp;D912))</f>
        <v/>
      </c>
    </row>
    <row r="913" customFormat="false" ht="15" hidden="false" customHeight="false" outlineLevel="0" collapsed="false">
      <c r="A913" s="32"/>
      <c r="B913" s="19"/>
      <c r="C913" s="19"/>
      <c r="D913" s="19"/>
      <c r="E913" s="21"/>
      <c r="F913" s="19"/>
      <c r="G913" s="27" t="str">
        <f aca="false">IF(B913="","",IFERROR(INDEX(Jeux!$C$2:$C$3001,MATCH(B913,Jeux!$A$2:$A$3001,0))&amp;"","⚠ jeu inconnu"))</f>
        <v/>
      </c>
      <c r="H913" s="27" t="str">
        <f aca="false">IF(B913="","",IFERROR(INDEX(Jeux!$D$2:$D$3001,MATCH(B913,Jeux!$A$2:$A$3001,0))&amp;"",""))</f>
        <v/>
      </c>
      <c r="I913" s="26" t="str">
        <f aca="false">IF(A913="","",COUNTIF(Apparitions!$G$2:$G$5001,A913))</f>
        <v/>
      </c>
      <c r="J913" s="26" t="str">
        <f aca="false">IF(A913="","",COUNTIFS(Apparitions!$G$2:$G$5001,A913,Apparitions!$E$2:$E$5001,"○"))</f>
        <v/>
      </c>
      <c r="K913" s="29" t="str">
        <f aca="false">IF(A913="","",IFERROR(1/(1/_xlfn.MINIFS(Apparitions!$L$2:$L$5001,Apparitions!$G$2:$G$5001,A913)),""))</f>
        <v/>
      </c>
      <c r="L913" s="27" t="str">
        <f aca="false">IF(A913="","",A913&amp;" | "&amp;B913&amp;IF(C913="",""," ("&amp;C913&amp;")")&amp;IF(D913="",""," - "&amp;D913))</f>
        <v/>
      </c>
    </row>
    <row r="914" customFormat="false" ht="15" hidden="false" customHeight="false" outlineLevel="0" collapsed="false">
      <c r="A914" s="32"/>
      <c r="B914" s="19"/>
      <c r="C914" s="19"/>
      <c r="D914" s="19"/>
      <c r="E914" s="21"/>
      <c r="F914" s="19"/>
      <c r="G914" s="27" t="str">
        <f aca="false">IF(B914="","",IFERROR(INDEX(Jeux!$C$2:$C$3001,MATCH(B914,Jeux!$A$2:$A$3001,0))&amp;"","⚠ jeu inconnu"))</f>
        <v/>
      </c>
      <c r="H914" s="27" t="str">
        <f aca="false">IF(B914="","",IFERROR(INDEX(Jeux!$D$2:$D$3001,MATCH(B914,Jeux!$A$2:$A$3001,0))&amp;"",""))</f>
        <v/>
      </c>
      <c r="I914" s="26" t="str">
        <f aca="false">IF(A914="","",COUNTIF(Apparitions!$G$2:$G$5001,A914))</f>
        <v/>
      </c>
      <c r="J914" s="26" t="str">
        <f aca="false">IF(A914="","",COUNTIFS(Apparitions!$G$2:$G$5001,A914,Apparitions!$E$2:$E$5001,"○"))</f>
        <v/>
      </c>
      <c r="K914" s="29" t="str">
        <f aca="false">IF(A914="","",IFERROR(1/(1/_xlfn.MINIFS(Apparitions!$L$2:$L$5001,Apparitions!$G$2:$G$5001,A914)),""))</f>
        <v/>
      </c>
      <c r="L914" s="27" t="str">
        <f aca="false">IF(A914="","",A914&amp;" | "&amp;B914&amp;IF(C914="",""," ("&amp;C914&amp;")")&amp;IF(D914="",""," - "&amp;D914))</f>
        <v/>
      </c>
    </row>
    <row r="915" customFormat="false" ht="15" hidden="false" customHeight="false" outlineLevel="0" collapsed="false">
      <c r="A915" s="32"/>
      <c r="B915" s="19"/>
      <c r="C915" s="19"/>
      <c r="D915" s="19"/>
      <c r="E915" s="21"/>
      <c r="F915" s="19"/>
      <c r="G915" s="27" t="str">
        <f aca="false">IF(B915="","",IFERROR(INDEX(Jeux!$C$2:$C$3001,MATCH(B915,Jeux!$A$2:$A$3001,0))&amp;"","⚠ jeu inconnu"))</f>
        <v/>
      </c>
      <c r="H915" s="27" t="str">
        <f aca="false">IF(B915="","",IFERROR(INDEX(Jeux!$D$2:$D$3001,MATCH(B915,Jeux!$A$2:$A$3001,0))&amp;"",""))</f>
        <v/>
      </c>
      <c r="I915" s="26" t="str">
        <f aca="false">IF(A915="","",COUNTIF(Apparitions!$G$2:$G$5001,A915))</f>
        <v/>
      </c>
      <c r="J915" s="26" t="str">
        <f aca="false">IF(A915="","",COUNTIFS(Apparitions!$G$2:$G$5001,A915,Apparitions!$E$2:$E$5001,"○"))</f>
        <v/>
      </c>
      <c r="K915" s="29" t="str">
        <f aca="false">IF(A915="","",IFERROR(1/(1/_xlfn.MINIFS(Apparitions!$L$2:$L$5001,Apparitions!$G$2:$G$5001,A915)),""))</f>
        <v/>
      </c>
      <c r="L915" s="27" t="str">
        <f aca="false">IF(A915="","",A915&amp;" | "&amp;B915&amp;IF(C915="",""," ("&amp;C915&amp;")")&amp;IF(D915="",""," - "&amp;D915))</f>
        <v/>
      </c>
    </row>
    <row r="916" customFormat="false" ht="15" hidden="false" customHeight="false" outlineLevel="0" collapsed="false">
      <c r="A916" s="32"/>
      <c r="B916" s="19"/>
      <c r="C916" s="19"/>
      <c r="D916" s="19"/>
      <c r="E916" s="21"/>
      <c r="F916" s="19"/>
      <c r="G916" s="27" t="str">
        <f aca="false">IF(B916="","",IFERROR(INDEX(Jeux!$C$2:$C$3001,MATCH(B916,Jeux!$A$2:$A$3001,0))&amp;"","⚠ jeu inconnu"))</f>
        <v/>
      </c>
      <c r="H916" s="27" t="str">
        <f aca="false">IF(B916="","",IFERROR(INDEX(Jeux!$D$2:$D$3001,MATCH(B916,Jeux!$A$2:$A$3001,0))&amp;"",""))</f>
        <v/>
      </c>
      <c r="I916" s="26" t="str">
        <f aca="false">IF(A916="","",COUNTIF(Apparitions!$G$2:$G$5001,A916))</f>
        <v/>
      </c>
      <c r="J916" s="26" t="str">
        <f aca="false">IF(A916="","",COUNTIFS(Apparitions!$G$2:$G$5001,A916,Apparitions!$E$2:$E$5001,"○"))</f>
        <v/>
      </c>
      <c r="K916" s="29" t="str">
        <f aca="false">IF(A916="","",IFERROR(1/(1/_xlfn.MINIFS(Apparitions!$L$2:$L$5001,Apparitions!$G$2:$G$5001,A916)),""))</f>
        <v/>
      </c>
      <c r="L916" s="27" t="str">
        <f aca="false">IF(A916="","",A916&amp;" | "&amp;B916&amp;IF(C916="",""," ("&amp;C916&amp;")")&amp;IF(D916="",""," - "&amp;D916))</f>
        <v/>
      </c>
    </row>
    <row r="917" customFormat="false" ht="15" hidden="false" customHeight="false" outlineLevel="0" collapsed="false">
      <c r="A917" s="32"/>
      <c r="B917" s="19"/>
      <c r="C917" s="19"/>
      <c r="D917" s="19"/>
      <c r="E917" s="21"/>
      <c r="F917" s="19"/>
      <c r="G917" s="27" t="str">
        <f aca="false">IF(B917="","",IFERROR(INDEX(Jeux!$C$2:$C$3001,MATCH(B917,Jeux!$A$2:$A$3001,0))&amp;"","⚠ jeu inconnu"))</f>
        <v/>
      </c>
      <c r="H917" s="27" t="str">
        <f aca="false">IF(B917="","",IFERROR(INDEX(Jeux!$D$2:$D$3001,MATCH(B917,Jeux!$A$2:$A$3001,0))&amp;"",""))</f>
        <v/>
      </c>
      <c r="I917" s="26" t="str">
        <f aca="false">IF(A917="","",COUNTIF(Apparitions!$G$2:$G$5001,A917))</f>
        <v/>
      </c>
      <c r="J917" s="26" t="str">
        <f aca="false">IF(A917="","",COUNTIFS(Apparitions!$G$2:$G$5001,A917,Apparitions!$E$2:$E$5001,"○"))</f>
        <v/>
      </c>
      <c r="K917" s="29" t="str">
        <f aca="false">IF(A917="","",IFERROR(1/(1/_xlfn.MINIFS(Apparitions!$L$2:$L$5001,Apparitions!$G$2:$G$5001,A917)),""))</f>
        <v/>
      </c>
      <c r="L917" s="27" t="str">
        <f aca="false">IF(A917="","",A917&amp;" | "&amp;B917&amp;IF(C917="",""," ("&amp;C917&amp;")")&amp;IF(D917="",""," - "&amp;D917))</f>
        <v/>
      </c>
    </row>
    <row r="918" customFormat="false" ht="15" hidden="false" customHeight="false" outlineLevel="0" collapsed="false">
      <c r="A918" s="32"/>
      <c r="B918" s="19"/>
      <c r="C918" s="19"/>
      <c r="D918" s="19"/>
      <c r="E918" s="21"/>
      <c r="F918" s="19"/>
      <c r="G918" s="27" t="str">
        <f aca="false">IF(B918="","",IFERROR(INDEX(Jeux!$C$2:$C$3001,MATCH(B918,Jeux!$A$2:$A$3001,0))&amp;"","⚠ jeu inconnu"))</f>
        <v/>
      </c>
      <c r="H918" s="27" t="str">
        <f aca="false">IF(B918="","",IFERROR(INDEX(Jeux!$D$2:$D$3001,MATCH(B918,Jeux!$A$2:$A$3001,0))&amp;"",""))</f>
        <v/>
      </c>
      <c r="I918" s="26" t="str">
        <f aca="false">IF(A918="","",COUNTIF(Apparitions!$G$2:$G$5001,A918))</f>
        <v/>
      </c>
      <c r="J918" s="26" t="str">
        <f aca="false">IF(A918="","",COUNTIFS(Apparitions!$G$2:$G$5001,A918,Apparitions!$E$2:$E$5001,"○"))</f>
        <v/>
      </c>
      <c r="K918" s="29" t="str">
        <f aca="false">IF(A918="","",IFERROR(1/(1/_xlfn.MINIFS(Apparitions!$L$2:$L$5001,Apparitions!$G$2:$G$5001,A918)),""))</f>
        <v/>
      </c>
      <c r="L918" s="27" t="str">
        <f aca="false">IF(A918="","",A918&amp;" | "&amp;B918&amp;IF(C918="",""," ("&amp;C918&amp;")")&amp;IF(D918="",""," - "&amp;D918))</f>
        <v/>
      </c>
    </row>
    <row r="919" customFormat="false" ht="15" hidden="false" customHeight="false" outlineLevel="0" collapsed="false">
      <c r="A919" s="32"/>
      <c r="B919" s="19"/>
      <c r="C919" s="19"/>
      <c r="D919" s="19"/>
      <c r="E919" s="21"/>
      <c r="F919" s="19"/>
      <c r="G919" s="27" t="str">
        <f aca="false">IF(B919="","",IFERROR(INDEX(Jeux!$C$2:$C$3001,MATCH(B919,Jeux!$A$2:$A$3001,0))&amp;"","⚠ jeu inconnu"))</f>
        <v/>
      </c>
      <c r="H919" s="27" t="str">
        <f aca="false">IF(B919="","",IFERROR(INDEX(Jeux!$D$2:$D$3001,MATCH(B919,Jeux!$A$2:$A$3001,0))&amp;"",""))</f>
        <v/>
      </c>
      <c r="I919" s="26" t="str">
        <f aca="false">IF(A919="","",COUNTIF(Apparitions!$G$2:$G$5001,A919))</f>
        <v/>
      </c>
      <c r="J919" s="26" t="str">
        <f aca="false">IF(A919="","",COUNTIFS(Apparitions!$G$2:$G$5001,A919,Apparitions!$E$2:$E$5001,"○"))</f>
        <v/>
      </c>
      <c r="K919" s="29" t="str">
        <f aca="false">IF(A919="","",IFERROR(1/(1/_xlfn.MINIFS(Apparitions!$L$2:$L$5001,Apparitions!$G$2:$G$5001,A919)),""))</f>
        <v/>
      </c>
      <c r="L919" s="27" t="str">
        <f aca="false">IF(A919="","",A919&amp;" | "&amp;B919&amp;IF(C919="",""," ("&amp;C919&amp;")")&amp;IF(D919="",""," - "&amp;D919))</f>
        <v/>
      </c>
    </row>
    <row r="920" customFormat="false" ht="15" hidden="false" customHeight="false" outlineLevel="0" collapsed="false">
      <c r="A920" s="32"/>
      <c r="B920" s="19"/>
      <c r="C920" s="19"/>
      <c r="D920" s="19"/>
      <c r="E920" s="21"/>
      <c r="F920" s="19"/>
      <c r="G920" s="27" t="str">
        <f aca="false">IF(B920="","",IFERROR(INDEX(Jeux!$C$2:$C$3001,MATCH(B920,Jeux!$A$2:$A$3001,0))&amp;"","⚠ jeu inconnu"))</f>
        <v/>
      </c>
      <c r="H920" s="27" t="str">
        <f aca="false">IF(B920="","",IFERROR(INDEX(Jeux!$D$2:$D$3001,MATCH(B920,Jeux!$A$2:$A$3001,0))&amp;"",""))</f>
        <v/>
      </c>
      <c r="I920" s="26" t="str">
        <f aca="false">IF(A920="","",COUNTIF(Apparitions!$G$2:$G$5001,A920))</f>
        <v/>
      </c>
      <c r="J920" s="26" t="str">
        <f aca="false">IF(A920="","",COUNTIFS(Apparitions!$G$2:$G$5001,A920,Apparitions!$E$2:$E$5001,"○"))</f>
        <v/>
      </c>
      <c r="K920" s="29" t="str">
        <f aca="false">IF(A920="","",IFERROR(1/(1/_xlfn.MINIFS(Apparitions!$L$2:$L$5001,Apparitions!$G$2:$G$5001,A920)),""))</f>
        <v/>
      </c>
      <c r="L920" s="27" t="str">
        <f aca="false">IF(A920="","",A920&amp;" | "&amp;B920&amp;IF(C920="",""," ("&amp;C920&amp;")")&amp;IF(D920="",""," - "&amp;D920))</f>
        <v/>
      </c>
    </row>
    <row r="921" customFormat="false" ht="15" hidden="false" customHeight="false" outlineLevel="0" collapsed="false">
      <c r="A921" s="32"/>
      <c r="B921" s="19"/>
      <c r="C921" s="19"/>
      <c r="D921" s="19"/>
      <c r="E921" s="21"/>
      <c r="F921" s="19"/>
      <c r="G921" s="27" t="str">
        <f aca="false">IF(B921="","",IFERROR(INDEX(Jeux!$C$2:$C$3001,MATCH(B921,Jeux!$A$2:$A$3001,0))&amp;"","⚠ jeu inconnu"))</f>
        <v/>
      </c>
      <c r="H921" s="27" t="str">
        <f aca="false">IF(B921="","",IFERROR(INDEX(Jeux!$D$2:$D$3001,MATCH(B921,Jeux!$A$2:$A$3001,0))&amp;"",""))</f>
        <v/>
      </c>
      <c r="I921" s="26" t="str">
        <f aca="false">IF(A921="","",COUNTIF(Apparitions!$G$2:$G$5001,A921))</f>
        <v/>
      </c>
      <c r="J921" s="26" t="str">
        <f aca="false">IF(A921="","",COUNTIFS(Apparitions!$G$2:$G$5001,A921,Apparitions!$E$2:$E$5001,"○"))</f>
        <v/>
      </c>
      <c r="K921" s="29" t="str">
        <f aca="false">IF(A921="","",IFERROR(1/(1/_xlfn.MINIFS(Apparitions!$L$2:$L$5001,Apparitions!$G$2:$G$5001,A921)),""))</f>
        <v/>
      </c>
      <c r="L921" s="27" t="str">
        <f aca="false">IF(A921="","",A921&amp;" | "&amp;B921&amp;IF(C921="",""," ("&amp;C921&amp;")")&amp;IF(D921="",""," - "&amp;D921))</f>
        <v/>
      </c>
    </row>
    <row r="922" customFormat="false" ht="15" hidden="false" customHeight="false" outlineLevel="0" collapsed="false">
      <c r="A922" s="32"/>
      <c r="B922" s="19"/>
      <c r="C922" s="19"/>
      <c r="D922" s="19"/>
      <c r="E922" s="21"/>
      <c r="F922" s="19"/>
      <c r="G922" s="27" t="str">
        <f aca="false">IF(B922="","",IFERROR(INDEX(Jeux!$C$2:$C$3001,MATCH(B922,Jeux!$A$2:$A$3001,0))&amp;"","⚠ jeu inconnu"))</f>
        <v/>
      </c>
      <c r="H922" s="27" t="str">
        <f aca="false">IF(B922="","",IFERROR(INDEX(Jeux!$D$2:$D$3001,MATCH(B922,Jeux!$A$2:$A$3001,0))&amp;"",""))</f>
        <v/>
      </c>
      <c r="I922" s="26" t="str">
        <f aca="false">IF(A922="","",COUNTIF(Apparitions!$G$2:$G$5001,A922))</f>
        <v/>
      </c>
      <c r="J922" s="26" t="str">
        <f aca="false">IF(A922="","",COUNTIFS(Apparitions!$G$2:$G$5001,A922,Apparitions!$E$2:$E$5001,"○"))</f>
        <v/>
      </c>
      <c r="K922" s="29" t="str">
        <f aca="false">IF(A922="","",IFERROR(1/(1/_xlfn.MINIFS(Apparitions!$L$2:$L$5001,Apparitions!$G$2:$G$5001,A922)),""))</f>
        <v/>
      </c>
      <c r="L922" s="27" t="str">
        <f aca="false">IF(A922="","",A922&amp;" | "&amp;B922&amp;IF(C922="",""," ("&amp;C922&amp;")")&amp;IF(D922="",""," - "&amp;D922))</f>
        <v/>
      </c>
    </row>
    <row r="923" customFormat="false" ht="15" hidden="false" customHeight="false" outlineLevel="0" collapsed="false">
      <c r="A923" s="32"/>
      <c r="B923" s="19"/>
      <c r="C923" s="19"/>
      <c r="D923" s="19"/>
      <c r="E923" s="21"/>
      <c r="F923" s="19"/>
      <c r="G923" s="27" t="str">
        <f aca="false">IF(B923="","",IFERROR(INDEX(Jeux!$C$2:$C$3001,MATCH(B923,Jeux!$A$2:$A$3001,0))&amp;"","⚠ jeu inconnu"))</f>
        <v/>
      </c>
      <c r="H923" s="27" t="str">
        <f aca="false">IF(B923="","",IFERROR(INDEX(Jeux!$D$2:$D$3001,MATCH(B923,Jeux!$A$2:$A$3001,0))&amp;"",""))</f>
        <v/>
      </c>
      <c r="I923" s="26" t="str">
        <f aca="false">IF(A923="","",COUNTIF(Apparitions!$G$2:$G$5001,A923))</f>
        <v/>
      </c>
      <c r="J923" s="26" t="str">
        <f aca="false">IF(A923="","",COUNTIFS(Apparitions!$G$2:$G$5001,A923,Apparitions!$E$2:$E$5001,"○"))</f>
        <v/>
      </c>
      <c r="K923" s="29" t="str">
        <f aca="false">IF(A923="","",IFERROR(1/(1/_xlfn.MINIFS(Apparitions!$L$2:$L$5001,Apparitions!$G$2:$G$5001,A923)),""))</f>
        <v/>
      </c>
      <c r="L923" s="27" t="str">
        <f aca="false">IF(A923="","",A923&amp;" | "&amp;B923&amp;IF(C923="",""," ("&amp;C923&amp;")")&amp;IF(D923="",""," - "&amp;D923))</f>
        <v/>
      </c>
    </row>
    <row r="924" customFormat="false" ht="15" hidden="false" customHeight="false" outlineLevel="0" collapsed="false">
      <c r="A924" s="32"/>
      <c r="B924" s="19"/>
      <c r="C924" s="19"/>
      <c r="D924" s="19"/>
      <c r="E924" s="21"/>
      <c r="F924" s="19"/>
      <c r="G924" s="27" t="str">
        <f aca="false">IF(B924="","",IFERROR(INDEX(Jeux!$C$2:$C$3001,MATCH(B924,Jeux!$A$2:$A$3001,0))&amp;"","⚠ jeu inconnu"))</f>
        <v/>
      </c>
      <c r="H924" s="27" t="str">
        <f aca="false">IF(B924="","",IFERROR(INDEX(Jeux!$D$2:$D$3001,MATCH(B924,Jeux!$A$2:$A$3001,0))&amp;"",""))</f>
        <v/>
      </c>
      <c r="I924" s="26" t="str">
        <f aca="false">IF(A924="","",COUNTIF(Apparitions!$G$2:$G$5001,A924))</f>
        <v/>
      </c>
      <c r="J924" s="26" t="str">
        <f aca="false">IF(A924="","",COUNTIFS(Apparitions!$G$2:$G$5001,A924,Apparitions!$E$2:$E$5001,"○"))</f>
        <v/>
      </c>
      <c r="K924" s="29" t="str">
        <f aca="false">IF(A924="","",IFERROR(1/(1/_xlfn.MINIFS(Apparitions!$L$2:$L$5001,Apparitions!$G$2:$G$5001,A924)),""))</f>
        <v/>
      </c>
      <c r="L924" s="27" t="str">
        <f aca="false">IF(A924="","",A924&amp;" | "&amp;B924&amp;IF(C924="",""," ("&amp;C924&amp;")")&amp;IF(D924="",""," - "&amp;D924))</f>
        <v/>
      </c>
    </row>
    <row r="925" customFormat="false" ht="15" hidden="false" customHeight="false" outlineLevel="0" collapsed="false">
      <c r="A925" s="32"/>
      <c r="B925" s="19"/>
      <c r="C925" s="19"/>
      <c r="D925" s="19"/>
      <c r="E925" s="21"/>
      <c r="F925" s="19"/>
      <c r="G925" s="27" t="str">
        <f aca="false">IF(B925="","",IFERROR(INDEX(Jeux!$C$2:$C$3001,MATCH(B925,Jeux!$A$2:$A$3001,0))&amp;"","⚠ jeu inconnu"))</f>
        <v/>
      </c>
      <c r="H925" s="27" t="str">
        <f aca="false">IF(B925="","",IFERROR(INDEX(Jeux!$D$2:$D$3001,MATCH(B925,Jeux!$A$2:$A$3001,0))&amp;"",""))</f>
        <v/>
      </c>
      <c r="I925" s="26" t="str">
        <f aca="false">IF(A925="","",COUNTIF(Apparitions!$G$2:$G$5001,A925))</f>
        <v/>
      </c>
      <c r="J925" s="26" t="str">
        <f aca="false">IF(A925="","",COUNTIFS(Apparitions!$G$2:$G$5001,A925,Apparitions!$E$2:$E$5001,"○"))</f>
        <v/>
      </c>
      <c r="K925" s="29" t="str">
        <f aca="false">IF(A925="","",IFERROR(1/(1/_xlfn.MINIFS(Apparitions!$L$2:$L$5001,Apparitions!$G$2:$G$5001,A925)),""))</f>
        <v/>
      </c>
      <c r="L925" s="27" t="str">
        <f aca="false">IF(A925="","",A925&amp;" | "&amp;B925&amp;IF(C925="",""," ("&amp;C925&amp;")")&amp;IF(D925="",""," - "&amp;D925))</f>
        <v/>
      </c>
    </row>
    <row r="926" customFormat="false" ht="15" hidden="false" customHeight="false" outlineLevel="0" collapsed="false">
      <c r="A926" s="32"/>
      <c r="B926" s="19"/>
      <c r="C926" s="19"/>
      <c r="D926" s="19"/>
      <c r="E926" s="21"/>
      <c r="F926" s="19"/>
      <c r="G926" s="27" t="str">
        <f aca="false">IF(B926="","",IFERROR(INDEX(Jeux!$C$2:$C$3001,MATCH(B926,Jeux!$A$2:$A$3001,0))&amp;"","⚠ jeu inconnu"))</f>
        <v/>
      </c>
      <c r="H926" s="27" t="str">
        <f aca="false">IF(B926="","",IFERROR(INDEX(Jeux!$D$2:$D$3001,MATCH(B926,Jeux!$A$2:$A$3001,0))&amp;"",""))</f>
        <v/>
      </c>
      <c r="I926" s="26" t="str">
        <f aca="false">IF(A926="","",COUNTIF(Apparitions!$G$2:$G$5001,A926))</f>
        <v/>
      </c>
      <c r="J926" s="26" t="str">
        <f aca="false">IF(A926="","",COUNTIFS(Apparitions!$G$2:$G$5001,A926,Apparitions!$E$2:$E$5001,"○"))</f>
        <v/>
      </c>
      <c r="K926" s="29" t="str">
        <f aca="false">IF(A926="","",IFERROR(1/(1/_xlfn.MINIFS(Apparitions!$L$2:$L$5001,Apparitions!$G$2:$G$5001,A926)),""))</f>
        <v/>
      </c>
      <c r="L926" s="27" t="str">
        <f aca="false">IF(A926="","",A926&amp;" | "&amp;B926&amp;IF(C926="",""," ("&amp;C926&amp;")")&amp;IF(D926="",""," - "&amp;D926))</f>
        <v/>
      </c>
    </row>
    <row r="927" customFormat="false" ht="15" hidden="false" customHeight="false" outlineLevel="0" collapsed="false">
      <c r="A927" s="32"/>
      <c r="B927" s="19"/>
      <c r="C927" s="19"/>
      <c r="D927" s="19"/>
      <c r="E927" s="21"/>
      <c r="F927" s="19"/>
      <c r="G927" s="27" t="str">
        <f aca="false">IF(B927="","",IFERROR(INDEX(Jeux!$C$2:$C$3001,MATCH(B927,Jeux!$A$2:$A$3001,0))&amp;"","⚠ jeu inconnu"))</f>
        <v/>
      </c>
      <c r="H927" s="27" t="str">
        <f aca="false">IF(B927="","",IFERROR(INDEX(Jeux!$D$2:$D$3001,MATCH(B927,Jeux!$A$2:$A$3001,0))&amp;"",""))</f>
        <v/>
      </c>
      <c r="I927" s="26" t="str">
        <f aca="false">IF(A927="","",COUNTIF(Apparitions!$G$2:$G$5001,A927))</f>
        <v/>
      </c>
      <c r="J927" s="26" t="str">
        <f aca="false">IF(A927="","",COUNTIFS(Apparitions!$G$2:$G$5001,A927,Apparitions!$E$2:$E$5001,"○"))</f>
        <v/>
      </c>
      <c r="K927" s="29" t="str">
        <f aca="false">IF(A927="","",IFERROR(1/(1/_xlfn.MINIFS(Apparitions!$L$2:$L$5001,Apparitions!$G$2:$G$5001,A927)),""))</f>
        <v/>
      </c>
      <c r="L927" s="27" t="str">
        <f aca="false">IF(A927="","",A927&amp;" | "&amp;B927&amp;IF(C927="",""," ("&amp;C927&amp;")")&amp;IF(D927="",""," - "&amp;D927))</f>
        <v/>
      </c>
    </row>
    <row r="928" customFormat="false" ht="15" hidden="false" customHeight="false" outlineLevel="0" collapsed="false">
      <c r="A928" s="32"/>
      <c r="B928" s="19"/>
      <c r="C928" s="19"/>
      <c r="D928" s="19"/>
      <c r="E928" s="21"/>
      <c r="F928" s="19"/>
      <c r="G928" s="27" t="str">
        <f aca="false">IF(B928="","",IFERROR(INDEX(Jeux!$C$2:$C$3001,MATCH(B928,Jeux!$A$2:$A$3001,0))&amp;"","⚠ jeu inconnu"))</f>
        <v/>
      </c>
      <c r="H928" s="27" t="str">
        <f aca="false">IF(B928="","",IFERROR(INDEX(Jeux!$D$2:$D$3001,MATCH(B928,Jeux!$A$2:$A$3001,0))&amp;"",""))</f>
        <v/>
      </c>
      <c r="I928" s="26" t="str">
        <f aca="false">IF(A928="","",COUNTIF(Apparitions!$G$2:$G$5001,A928))</f>
        <v/>
      </c>
      <c r="J928" s="26" t="str">
        <f aca="false">IF(A928="","",COUNTIFS(Apparitions!$G$2:$G$5001,A928,Apparitions!$E$2:$E$5001,"○"))</f>
        <v/>
      </c>
      <c r="K928" s="29" t="str">
        <f aca="false">IF(A928="","",IFERROR(1/(1/_xlfn.MINIFS(Apparitions!$L$2:$L$5001,Apparitions!$G$2:$G$5001,A928)),""))</f>
        <v/>
      </c>
      <c r="L928" s="27" t="str">
        <f aca="false">IF(A928="","",A928&amp;" | "&amp;B928&amp;IF(C928="",""," ("&amp;C928&amp;")")&amp;IF(D928="",""," - "&amp;D928))</f>
        <v/>
      </c>
    </row>
    <row r="929" customFormat="false" ht="15" hidden="false" customHeight="false" outlineLevel="0" collapsed="false">
      <c r="A929" s="32"/>
      <c r="B929" s="19"/>
      <c r="C929" s="19"/>
      <c r="D929" s="19"/>
      <c r="E929" s="21"/>
      <c r="F929" s="19"/>
      <c r="G929" s="27" t="str">
        <f aca="false">IF(B929="","",IFERROR(INDEX(Jeux!$C$2:$C$3001,MATCH(B929,Jeux!$A$2:$A$3001,0))&amp;"","⚠ jeu inconnu"))</f>
        <v/>
      </c>
      <c r="H929" s="27" t="str">
        <f aca="false">IF(B929="","",IFERROR(INDEX(Jeux!$D$2:$D$3001,MATCH(B929,Jeux!$A$2:$A$3001,0))&amp;"",""))</f>
        <v/>
      </c>
      <c r="I929" s="26" t="str">
        <f aca="false">IF(A929="","",COUNTIF(Apparitions!$G$2:$G$5001,A929))</f>
        <v/>
      </c>
      <c r="J929" s="26" t="str">
        <f aca="false">IF(A929="","",COUNTIFS(Apparitions!$G$2:$G$5001,A929,Apparitions!$E$2:$E$5001,"○"))</f>
        <v/>
      </c>
      <c r="K929" s="29" t="str">
        <f aca="false">IF(A929="","",IFERROR(1/(1/_xlfn.MINIFS(Apparitions!$L$2:$L$5001,Apparitions!$G$2:$G$5001,A929)),""))</f>
        <v/>
      </c>
      <c r="L929" s="27" t="str">
        <f aca="false">IF(A929="","",A929&amp;" | "&amp;B929&amp;IF(C929="",""," ("&amp;C929&amp;")")&amp;IF(D929="",""," - "&amp;D929))</f>
        <v/>
      </c>
    </row>
    <row r="930" customFormat="false" ht="15" hidden="false" customHeight="false" outlineLevel="0" collapsed="false">
      <c r="A930" s="32"/>
      <c r="B930" s="19"/>
      <c r="C930" s="19"/>
      <c r="D930" s="19"/>
      <c r="E930" s="21"/>
      <c r="F930" s="19"/>
      <c r="G930" s="27" t="str">
        <f aca="false">IF(B930="","",IFERROR(INDEX(Jeux!$C$2:$C$3001,MATCH(B930,Jeux!$A$2:$A$3001,0))&amp;"","⚠ jeu inconnu"))</f>
        <v/>
      </c>
      <c r="H930" s="27" t="str">
        <f aca="false">IF(B930="","",IFERROR(INDEX(Jeux!$D$2:$D$3001,MATCH(B930,Jeux!$A$2:$A$3001,0))&amp;"",""))</f>
        <v/>
      </c>
      <c r="I930" s="26" t="str">
        <f aca="false">IF(A930="","",COUNTIF(Apparitions!$G$2:$G$5001,A930))</f>
        <v/>
      </c>
      <c r="J930" s="26" t="str">
        <f aca="false">IF(A930="","",COUNTIFS(Apparitions!$G$2:$G$5001,A930,Apparitions!$E$2:$E$5001,"○"))</f>
        <v/>
      </c>
      <c r="K930" s="29" t="str">
        <f aca="false">IF(A930="","",IFERROR(1/(1/_xlfn.MINIFS(Apparitions!$L$2:$L$5001,Apparitions!$G$2:$G$5001,A930)),""))</f>
        <v/>
      </c>
      <c r="L930" s="27" t="str">
        <f aca="false">IF(A930="","",A930&amp;" | "&amp;B930&amp;IF(C930="",""," ("&amp;C930&amp;")")&amp;IF(D930="",""," - "&amp;D930))</f>
        <v/>
      </c>
    </row>
    <row r="931" customFormat="false" ht="15" hidden="false" customHeight="false" outlineLevel="0" collapsed="false">
      <c r="A931" s="32"/>
      <c r="B931" s="19"/>
      <c r="C931" s="19"/>
      <c r="D931" s="19"/>
      <c r="E931" s="21"/>
      <c r="F931" s="19"/>
      <c r="G931" s="27" t="str">
        <f aca="false">IF(B931="","",IFERROR(INDEX(Jeux!$C$2:$C$3001,MATCH(B931,Jeux!$A$2:$A$3001,0))&amp;"","⚠ jeu inconnu"))</f>
        <v/>
      </c>
      <c r="H931" s="27" t="str">
        <f aca="false">IF(B931="","",IFERROR(INDEX(Jeux!$D$2:$D$3001,MATCH(B931,Jeux!$A$2:$A$3001,0))&amp;"",""))</f>
        <v/>
      </c>
      <c r="I931" s="26" t="str">
        <f aca="false">IF(A931="","",COUNTIF(Apparitions!$G$2:$G$5001,A931))</f>
        <v/>
      </c>
      <c r="J931" s="26" t="str">
        <f aca="false">IF(A931="","",COUNTIFS(Apparitions!$G$2:$G$5001,A931,Apparitions!$E$2:$E$5001,"○"))</f>
        <v/>
      </c>
      <c r="K931" s="29" t="str">
        <f aca="false">IF(A931="","",IFERROR(1/(1/_xlfn.MINIFS(Apparitions!$L$2:$L$5001,Apparitions!$G$2:$G$5001,A931)),""))</f>
        <v/>
      </c>
      <c r="L931" s="27" t="str">
        <f aca="false">IF(A931="","",A931&amp;" | "&amp;B931&amp;IF(C931="",""," ("&amp;C931&amp;")")&amp;IF(D931="",""," - "&amp;D931))</f>
        <v/>
      </c>
    </row>
    <row r="932" customFormat="false" ht="15" hidden="false" customHeight="false" outlineLevel="0" collapsed="false">
      <c r="A932" s="32"/>
      <c r="B932" s="19"/>
      <c r="C932" s="19"/>
      <c r="D932" s="19"/>
      <c r="E932" s="21"/>
      <c r="F932" s="19"/>
      <c r="G932" s="27" t="str">
        <f aca="false">IF(B932="","",IFERROR(INDEX(Jeux!$C$2:$C$3001,MATCH(B932,Jeux!$A$2:$A$3001,0))&amp;"","⚠ jeu inconnu"))</f>
        <v/>
      </c>
      <c r="H932" s="27" t="str">
        <f aca="false">IF(B932="","",IFERROR(INDEX(Jeux!$D$2:$D$3001,MATCH(B932,Jeux!$A$2:$A$3001,0))&amp;"",""))</f>
        <v/>
      </c>
      <c r="I932" s="26" t="str">
        <f aca="false">IF(A932="","",COUNTIF(Apparitions!$G$2:$G$5001,A932))</f>
        <v/>
      </c>
      <c r="J932" s="26" t="str">
        <f aca="false">IF(A932="","",COUNTIFS(Apparitions!$G$2:$G$5001,A932,Apparitions!$E$2:$E$5001,"○"))</f>
        <v/>
      </c>
      <c r="K932" s="29" t="str">
        <f aca="false">IF(A932="","",IFERROR(1/(1/_xlfn.MINIFS(Apparitions!$L$2:$L$5001,Apparitions!$G$2:$G$5001,A932)),""))</f>
        <v/>
      </c>
      <c r="L932" s="27" t="str">
        <f aca="false">IF(A932="","",A932&amp;" | "&amp;B932&amp;IF(C932="",""," ("&amp;C932&amp;")")&amp;IF(D932="",""," - "&amp;D932))</f>
        <v/>
      </c>
    </row>
    <row r="933" customFormat="false" ht="15" hidden="false" customHeight="false" outlineLevel="0" collapsed="false">
      <c r="A933" s="32"/>
      <c r="B933" s="19"/>
      <c r="C933" s="19"/>
      <c r="D933" s="19"/>
      <c r="E933" s="21"/>
      <c r="F933" s="19"/>
      <c r="G933" s="27" t="str">
        <f aca="false">IF(B933="","",IFERROR(INDEX(Jeux!$C$2:$C$3001,MATCH(B933,Jeux!$A$2:$A$3001,0))&amp;"","⚠ jeu inconnu"))</f>
        <v/>
      </c>
      <c r="H933" s="27" t="str">
        <f aca="false">IF(B933="","",IFERROR(INDEX(Jeux!$D$2:$D$3001,MATCH(B933,Jeux!$A$2:$A$3001,0))&amp;"",""))</f>
        <v/>
      </c>
      <c r="I933" s="26" t="str">
        <f aca="false">IF(A933="","",COUNTIF(Apparitions!$G$2:$G$5001,A933))</f>
        <v/>
      </c>
      <c r="J933" s="26" t="str">
        <f aca="false">IF(A933="","",COUNTIFS(Apparitions!$G$2:$G$5001,A933,Apparitions!$E$2:$E$5001,"○"))</f>
        <v/>
      </c>
      <c r="K933" s="29" t="str">
        <f aca="false">IF(A933="","",IFERROR(1/(1/_xlfn.MINIFS(Apparitions!$L$2:$L$5001,Apparitions!$G$2:$G$5001,A933)),""))</f>
        <v/>
      </c>
      <c r="L933" s="27" t="str">
        <f aca="false">IF(A933="","",A933&amp;" | "&amp;B933&amp;IF(C933="",""," ("&amp;C933&amp;")")&amp;IF(D933="",""," - "&amp;D933))</f>
        <v/>
      </c>
    </row>
    <row r="934" customFormat="false" ht="15" hidden="false" customHeight="false" outlineLevel="0" collapsed="false">
      <c r="A934" s="32"/>
      <c r="B934" s="19"/>
      <c r="C934" s="19"/>
      <c r="D934" s="19"/>
      <c r="E934" s="21"/>
      <c r="F934" s="19"/>
      <c r="G934" s="27" t="str">
        <f aca="false">IF(B934="","",IFERROR(INDEX(Jeux!$C$2:$C$3001,MATCH(B934,Jeux!$A$2:$A$3001,0))&amp;"","⚠ jeu inconnu"))</f>
        <v/>
      </c>
      <c r="H934" s="27" t="str">
        <f aca="false">IF(B934="","",IFERROR(INDEX(Jeux!$D$2:$D$3001,MATCH(B934,Jeux!$A$2:$A$3001,0))&amp;"",""))</f>
        <v/>
      </c>
      <c r="I934" s="26" t="str">
        <f aca="false">IF(A934="","",COUNTIF(Apparitions!$G$2:$G$5001,A934))</f>
        <v/>
      </c>
      <c r="J934" s="26" t="str">
        <f aca="false">IF(A934="","",COUNTIFS(Apparitions!$G$2:$G$5001,A934,Apparitions!$E$2:$E$5001,"○"))</f>
        <v/>
      </c>
      <c r="K934" s="29" t="str">
        <f aca="false">IF(A934="","",IFERROR(1/(1/_xlfn.MINIFS(Apparitions!$L$2:$L$5001,Apparitions!$G$2:$G$5001,A934)),""))</f>
        <v/>
      </c>
      <c r="L934" s="27" t="str">
        <f aca="false">IF(A934="","",A934&amp;" | "&amp;B934&amp;IF(C934="",""," ("&amp;C934&amp;")")&amp;IF(D934="",""," - "&amp;D934))</f>
        <v/>
      </c>
    </row>
    <row r="935" customFormat="false" ht="15" hidden="false" customHeight="false" outlineLevel="0" collapsed="false">
      <c r="A935" s="32"/>
      <c r="B935" s="19"/>
      <c r="C935" s="19"/>
      <c r="D935" s="19"/>
      <c r="E935" s="21"/>
      <c r="F935" s="19"/>
      <c r="G935" s="27" t="str">
        <f aca="false">IF(B935="","",IFERROR(INDEX(Jeux!$C$2:$C$3001,MATCH(B935,Jeux!$A$2:$A$3001,0))&amp;"","⚠ jeu inconnu"))</f>
        <v/>
      </c>
      <c r="H935" s="27" t="str">
        <f aca="false">IF(B935="","",IFERROR(INDEX(Jeux!$D$2:$D$3001,MATCH(B935,Jeux!$A$2:$A$3001,0))&amp;"",""))</f>
        <v/>
      </c>
      <c r="I935" s="26" t="str">
        <f aca="false">IF(A935="","",COUNTIF(Apparitions!$G$2:$G$5001,A935))</f>
        <v/>
      </c>
      <c r="J935" s="26" t="str">
        <f aca="false">IF(A935="","",COUNTIFS(Apparitions!$G$2:$G$5001,A935,Apparitions!$E$2:$E$5001,"○"))</f>
        <v/>
      </c>
      <c r="K935" s="29" t="str">
        <f aca="false">IF(A935="","",IFERROR(1/(1/_xlfn.MINIFS(Apparitions!$L$2:$L$5001,Apparitions!$G$2:$G$5001,A935)),""))</f>
        <v/>
      </c>
      <c r="L935" s="27" t="str">
        <f aca="false">IF(A935="","",A935&amp;" | "&amp;B935&amp;IF(C935="",""," ("&amp;C935&amp;")")&amp;IF(D935="",""," - "&amp;D935))</f>
        <v/>
      </c>
    </row>
    <row r="936" customFormat="false" ht="15" hidden="false" customHeight="false" outlineLevel="0" collapsed="false">
      <c r="A936" s="32"/>
      <c r="B936" s="19"/>
      <c r="C936" s="19"/>
      <c r="D936" s="19"/>
      <c r="E936" s="21"/>
      <c r="F936" s="19"/>
      <c r="G936" s="27" t="str">
        <f aca="false">IF(B936="","",IFERROR(INDEX(Jeux!$C$2:$C$3001,MATCH(B936,Jeux!$A$2:$A$3001,0))&amp;"","⚠ jeu inconnu"))</f>
        <v/>
      </c>
      <c r="H936" s="27" t="str">
        <f aca="false">IF(B936="","",IFERROR(INDEX(Jeux!$D$2:$D$3001,MATCH(B936,Jeux!$A$2:$A$3001,0))&amp;"",""))</f>
        <v/>
      </c>
      <c r="I936" s="26" t="str">
        <f aca="false">IF(A936="","",COUNTIF(Apparitions!$G$2:$G$5001,A936))</f>
        <v/>
      </c>
      <c r="J936" s="26" t="str">
        <f aca="false">IF(A936="","",COUNTIFS(Apparitions!$G$2:$G$5001,A936,Apparitions!$E$2:$E$5001,"○"))</f>
        <v/>
      </c>
      <c r="K936" s="29" t="str">
        <f aca="false">IF(A936="","",IFERROR(1/(1/_xlfn.MINIFS(Apparitions!$L$2:$L$5001,Apparitions!$G$2:$G$5001,A936)),""))</f>
        <v/>
      </c>
      <c r="L936" s="27" t="str">
        <f aca="false">IF(A936="","",A936&amp;" | "&amp;B936&amp;IF(C936="",""," ("&amp;C936&amp;")")&amp;IF(D936="",""," - "&amp;D936))</f>
        <v/>
      </c>
    </row>
    <row r="937" customFormat="false" ht="15" hidden="false" customHeight="false" outlineLevel="0" collapsed="false">
      <c r="A937" s="32"/>
      <c r="B937" s="19"/>
      <c r="C937" s="19"/>
      <c r="D937" s="19"/>
      <c r="E937" s="21"/>
      <c r="F937" s="19"/>
      <c r="G937" s="27" t="str">
        <f aca="false">IF(B937="","",IFERROR(INDEX(Jeux!$C$2:$C$3001,MATCH(B937,Jeux!$A$2:$A$3001,0))&amp;"","⚠ jeu inconnu"))</f>
        <v/>
      </c>
      <c r="H937" s="27" t="str">
        <f aca="false">IF(B937="","",IFERROR(INDEX(Jeux!$D$2:$D$3001,MATCH(B937,Jeux!$A$2:$A$3001,0))&amp;"",""))</f>
        <v/>
      </c>
      <c r="I937" s="26" t="str">
        <f aca="false">IF(A937="","",COUNTIF(Apparitions!$G$2:$G$5001,A937))</f>
        <v/>
      </c>
      <c r="J937" s="26" t="str">
        <f aca="false">IF(A937="","",COUNTIFS(Apparitions!$G$2:$G$5001,A937,Apparitions!$E$2:$E$5001,"○"))</f>
        <v/>
      </c>
      <c r="K937" s="29" t="str">
        <f aca="false">IF(A937="","",IFERROR(1/(1/_xlfn.MINIFS(Apparitions!$L$2:$L$5001,Apparitions!$G$2:$G$5001,A937)),""))</f>
        <v/>
      </c>
      <c r="L937" s="27" t="str">
        <f aca="false">IF(A937="","",A937&amp;" | "&amp;B937&amp;IF(C937="",""," ("&amp;C937&amp;")")&amp;IF(D937="",""," - "&amp;D937))</f>
        <v/>
      </c>
    </row>
    <row r="938" customFormat="false" ht="15" hidden="false" customHeight="false" outlineLevel="0" collapsed="false">
      <c r="A938" s="32"/>
      <c r="B938" s="19"/>
      <c r="C938" s="19"/>
      <c r="D938" s="19"/>
      <c r="E938" s="21"/>
      <c r="F938" s="19"/>
      <c r="G938" s="27" t="str">
        <f aca="false">IF(B938="","",IFERROR(INDEX(Jeux!$C$2:$C$3001,MATCH(B938,Jeux!$A$2:$A$3001,0))&amp;"","⚠ jeu inconnu"))</f>
        <v/>
      </c>
      <c r="H938" s="27" t="str">
        <f aca="false">IF(B938="","",IFERROR(INDEX(Jeux!$D$2:$D$3001,MATCH(B938,Jeux!$A$2:$A$3001,0))&amp;"",""))</f>
        <v/>
      </c>
      <c r="I938" s="26" t="str">
        <f aca="false">IF(A938="","",COUNTIF(Apparitions!$G$2:$G$5001,A938))</f>
        <v/>
      </c>
      <c r="J938" s="26" t="str">
        <f aca="false">IF(A938="","",COUNTIFS(Apparitions!$G$2:$G$5001,A938,Apparitions!$E$2:$E$5001,"○"))</f>
        <v/>
      </c>
      <c r="K938" s="29" t="str">
        <f aca="false">IF(A938="","",IFERROR(1/(1/_xlfn.MINIFS(Apparitions!$L$2:$L$5001,Apparitions!$G$2:$G$5001,A938)),""))</f>
        <v/>
      </c>
      <c r="L938" s="27" t="str">
        <f aca="false">IF(A938="","",A938&amp;" | "&amp;B938&amp;IF(C938="",""," ("&amp;C938&amp;")")&amp;IF(D938="",""," - "&amp;D938))</f>
        <v/>
      </c>
    </row>
    <row r="939" customFormat="false" ht="15" hidden="false" customHeight="false" outlineLevel="0" collapsed="false">
      <c r="A939" s="32"/>
      <c r="B939" s="19"/>
      <c r="C939" s="19"/>
      <c r="D939" s="19"/>
      <c r="E939" s="21"/>
      <c r="F939" s="19"/>
      <c r="G939" s="27" t="str">
        <f aca="false">IF(B939="","",IFERROR(INDEX(Jeux!$C$2:$C$3001,MATCH(B939,Jeux!$A$2:$A$3001,0))&amp;"","⚠ jeu inconnu"))</f>
        <v/>
      </c>
      <c r="H939" s="27" t="str">
        <f aca="false">IF(B939="","",IFERROR(INDEX(Jeux!$D$2:$D$3001,MATCH(B939,Jeux!$A$2:$A$3001,0))&amp;"",""))</f>
        <v/>
      </c>
      <c r="I939" s="26" t="str">
        <f aca="false">IF(A939="","",COUNTIF(Apparitions!$G$2:$G$5001,A939))</f>
        <v/>
      </c>
      <c r="J939" s="26" t="str">
        <f aca="false">IF(A939="","",COUNTIFS(Apparitions!$G$2:$G$5001,A939,Apparitions!$E$2:$E$5001,"○"))</f>
        <v/>
      </c>
      <c r="K939" s="29" t="str">
        <f aca="false">IF(A939="","",IFERROR(1/(1/_xlfn.MINIFS(Apparitions!$L$2:$L$5001,Apparitions!$G$2:$G$5001,A939)),""))</f>
        <v/>
      </c>
      <c r="L939" s="27" t="str">
        <f aca="false">IF(A939="","",A939&amp;" | "&amp;B939&amp;IF(C939="",""," ("&amp;C939&amp;")")&amp;IF(D939="",""," - "&amp;D939))</f>
        <v/>
      </c>
    </row>
    <row r="940" customFormat="false" ht="15" hidden="false" customHeight="false" outlineLevel="0" collapsed="false">
      <c r="A940" s="32"/>
      <c r="B940" s="19"/>
      <c r="C940" s="19"/>
      <c r="D940" s="19"/>
      <c r="E940" s="21"/>
      <c r="F940" s="19"/>
      <c r="G940" s="27" t="str">
        <f aca="false">IF(B940="","",IFERROR(INDEX(Jeux!$C$2:$C$3001,MATCH(B940,Jeux!$A$2:$A$3001,0))&amp;"","⚠ jeu inconnu"))</f>
        <v/>
      </c>
      <c r="H940" s="27" t="str">
        <f aca="false">IF(B940="","",IFERROR(INDEX(Jeux!$D$2:$D$3001,MATCH(B940,Jeux!$A$2:$A$3001,0))&amp;"",""))</f>
        <v/>
      </c>
      <c r="I940" s="26" t="str">
        <f aca="false">IF(A940="","",COUNTIF(Apparitions!$G$2:$G$5001,A940))</f>
        <v/>
      </c>
      <c r="J940" s="26" t="str">
        <f aca="false">IF(A940="","",COUNTIFS(Apparitions!$G$2:$G$5001,A940,Apparitions!$E$2:$E$5001,"○"))</f>
        <v/>
      </c>
      <c r="K940" s="29" t="str">
        <f aca="false">IF(A940="","",IFERROR(1/(1/_xlfn.MINIFS(Apparitions!$L$2:$L$5001,Apparitions!$G$2:$G$5001,A940)),""))</f>
        <v/>
      </c>
      <c r="L940" s="27" t="str">
        <f aca="false">IF(A940="","",A940&amp;" | "&amp;B940&amp;IF(C940="",""," ("&amp;C940&amp;")")&amp;IF(D940="",""," - "&amp;D940))</f>
        <v/>
      </c>
    </row>
    <row r="941" customFormat="false" ht="15" hidden="false" customHeight="false" outlineLevel="0" collapsed="false">
      <c r="A941" s="32"/>
      <c r="B941" s="19"/>
      <c r="C941" s="19"/>
      <c r="D941" s="19"/>
      <c r="E941" s="21"/>
      <c r="F941" s="19"/>
      <c r="G941" s="27" t="str">
        <f aca="false">IF(B941="","",IFERROR(INDEX(Jeux!$C$2:$C$3001,MATCH(B941,Jeux!$A$2:$A$3001,0))&amp;"","⚠ jeu inconnu"))</f>
        <v/>
      </c>
      <c r="H941" s="27" t="str">
        <f aca="false">IF(B941="","",IFERROR(INDEX(Jeux!$D$2:$D$3001,MATCH(B941,Jeux!$A$2:$A$3001,0))&amp;"",""))</f>
        <v/>
      </c>
      <c r="I941" s="26" t="str">
        <f aca="false">IF(A941="","",COUNTIF(Apparitions!$G$2:$G$5001,A941))</f>
        <v/>
      </c>
      <c r="J941" s="26" t="str">
        <f aca="false">IF(A941="","",COUNTIFS(Apparitions!$G$2:$G$5001,A941,Apparitions!$E$2:$E$5001,"○"))</f>
        <v/>
      </c>
      <c r="K941" s="29" t="str">
        <f aca="false">IF(A941="","",IFERROR(1/(1/_xlfn.MINIFS(Apparitions!$L$2:$L$5001,Apparitions!$G$2:$G$5001,A941)),""))</f>
        <v/>
      </c>
      <c r="L941" s="27" t="str">
        <f aca="false">IF(A941="","",A941&amp;" | "&amp;B941&amp;IF(C941="",""," ("&amp;C941&amp;")")&amp;IF(D941="",""," - "&amp;D941))</f>
        <v/>
      </c>
    </row>
    <row r="942" customFormat="false" ht="15" hidden="false" customHeight="false" outlineLevel="0" collapsed="false">
      <c r="A942" s="32"/>
      <c r="B942" s="19"/>
      <c r="C942" s="19"/>
      <c r="D942" s="19"/>
      <c r="E942" s="21"/>
      <c r="F942" s="19"/>
      <c r="G942" s="27" t="str">
        <f aca="false">IF(B942="","",IFERROR(INDEX(Jeux!$C$2:$C$3001,MATCH(B942,Jeux!$A$2:$A$3001,0))&amp;"","⚠ jeu inconnu"))</f>
        <v/>
      </c>
      <c r="H942" s="27" t="str">
        <f aca="false">IF(B942="","",IFERROR(INDEX(Jeux!$D$2:$D$3001,MATCH(B942,Jeux!$A$2:$A$3001,0))&amp;"",""))</f>
        <v/>
      </c>
      <c r="I942" s="26" t="str">
        <f aca="false">IF(A942="","",COUNTIF(Apparitions!$G$2:$G$5001,A942))</f>
        <v/>
      </c>
      <c r="J942" s="26" t="str">
        <f aca="false">IF(A942="","",COUNTIFS(Apparitions!$G$2:$G$5001,A942,Apparitions!$E$2:$E$5001,"○"))</f>
        <v/>
      </c>
      <c r="K942" s="29" t="str">
        <f aca="false">IF(A942="","",IFERROR(1/(1/_xlfn.MINIFS(Apparitions!$L$2:$L$5001,Apparitions!$G$2:$G$5001,A942)),""))</f>
        <v/>
      </c>
      <c r="L942" s="27" t="str">
        <f aca="false">IF(A942="","",A942&amp;" | "&amp;B942&amp;IF(C942="",""," ("&amp;C942&amp;")")&amp;IF(D942="",""," - "&amp;D942))</f>
        <v/>
      </c>
    </row>
    <row r="943" customFormat="false" ht="15" hidden="false" customHeight="false" outlineLevel="0" collapsed="false">
      <c r="A943" s="32"/>
      <c r="B943" s="19"/>
      <c r="C943" s="19"/>
      <c r="D943" s="19"/>
      <c r="E943" s="21"/>
      <c r="F943" s="19"/>
      <c r="G943" s="27" t="str">
        <f aca="false">IF(B943="","",IFERROR(INDEX(Jeux!$C$2:$C$3001,MATCH(B943,Jeux!$A$2:$A$3001,0))&amp;"","⚠ jeu inconnu"))</f>
        <v/>
      </c>
      <c r="H943" s="27" t="str">
        <f aca="false">IF(B943="","",IFERROR(INDEX(Jeux!$D$2:$D$3001,MATCH(B943,Jeux!$A$2:$A$3001,0))&amp;"",""))</f>
        <v/>
      </c>
      <c r="I943" s="26" t="str">
        <f aca="false">IF(A943="","",COUNTIF(Apparitions!$G$2:$G$5001,A943))</f>
        <v/>
      </c>
      <c r="J943" s="26" t="str">
        <f aca="false">IF(A943="","",COUNTIFS(Apparitions!$G$2:$G$5001,A943,Apparitions!$E$2:$E$5001,"○"))</f>
        <v/>
      </c>
      <c r="K943" s="29" t="str">
        <f aca="false">IF(A943="","",IFERROR(1/(1/_xlfn.MINIFS(Apparitions!$L$2:$L$5001,Apparitions!$G$2:$G$5001,A943)),""))</f>
        <v/>
      </c>
      <c r="L943" s="27" t="str">
        <f aca="false">IF(A943="","",A943&amp;" | "&amp;B943&amp;IF(C943="",""," ("&amp;C943&amp;")")&amp;IF(D943="",""," - "&amp;D943))</f>
        <v/>
      </c>
    </row>
    <row r="944" customFormat="false" ht="15" hidden="false" customHeight="false" outlineLevel="0" collapsed="false">
      <c r="A944" s="32"/>
      <c r="B944" s="19"/>
      <c r="C944" s="19"/>
      <c r="D944" s="19"/>
      <c r="E944" s="21"/>
      <c r="F944" s="19"/>
      <c r="G944" s="27" t="str">
        <f aca="false">IF(B944="","",IFERROR(INDEX(Jeux!$C$2:$C$3001,MATCH(B944,Jeux!$A$2:$A$3001,0))&amp;"","⚠ jeu inconnu"))</f>
        <v/>
      </c>
      <c r="H944" s="27" t="str">
        <f aca="false">IF(B944="","",IFERROR(INDEX(Jeux!$D$2:$D$3001,MATCH(B944,Jeux!$A$2:$A$3001,0))&amp;"",""))</f>
        <v/>
      </c>
      <c r="I944" s="26" t="str">
        <f aca="false">IF(A944="","",COUNTIF(Apparitions!$G$2:$G$5001,A944))</f>
        <v/>
      </c>
      <c r="J944" s="26" t="str">
        <f aca="false">IF(A944="","",COUNTIFS(Apparitions!$G$2:$G$5001,A944,Apparitions!$E$2:$E$5001,"○"))</f>
        <v/>
      </c>
      <c r="K944" s="29" t="str">
        <f aca="false">IF(A944="","",IFERROR(1/(1/_xlfn.MINIFS(Apparitions!$L$2:$L$5001,Apparitions!$G$2:$G$5001,A944)),""))</f>
        <v/>
      </c>
      <c r="L944" s="27" t="str">
        <f aca="false">IF(A944="","",A944&amp;" | "&amp;B944&amp;IF(C944="",""," ("&amp;C944&amp;")")&amp;IF(D944="",""," - "&amp;D944))</f>
        <v/>
      </c>
    </row>
    <row r="945" customFormat="false" ht="15" hidden="false" customHeight="false" outlineLevel="0" collapsed="false">
      <c r="A945" s="32"/>
      <c r="B945" s="19"/>
      <c r="C945" s="19"/>
      <c r="D945" s="19"/>
      <c r="E945" s="21"/>
      <c r="F945" s="19"/>
      <c r="G945" s="27" t="str">
        <f aca="false">IF(B945="","",IFERROR(INDEX(Jeux!$C$2:$C$3001,MATCH(B945,Jeux!$A$2:$A$3001,0))&amp;"","⚠ jeu inconnu"))</f>
        <v/>
      </c>
      <c r="H945" s="27" t="str">
        <f aca="false">IF(B945="","",IFERROR(INDEX(Jeux!$D$2:$D$3001,MATCH(B945,Jeux!$A$2:$A$3001,0))&amp;"",""))</f>
        <v/>
      </c>
      <c r="I945" s="26" t="str">
        <f aca="false">IF(A945="","",COUNTIF(Apparitions!$G$2:$G$5001,A945))</f>
        <v/>
      </c>
      <c r="J945" s="26" t="str">
        <f aca="false">IF(A945="","",COUNTIFS(Apparitions!$G$2:$G$5001,A945,Apparitions!$E$2:$E$5001,"○"))</f>
        <v/>
      </c>
      <c r="K945" s="29" t="str">
        <f aca="false">IF(A945="","",IFERROR(1/(1/_xlfn.MINIFS(Apparitions!$L$2:$L$5001,Apparitions!$G$2:$G$5001,A945)),""))</f>
        <v/>
      </c>
      <c r="L945" s="27" t="str">
        <f aca="false">IF(A945="","",A945&amp;" | "&amp;B945&amp;IF(C945="",""," ("&amp;C945&amp;")")&amp;IF(D945="",""," - "&amp;D945))</f>
        <v/>
      </c>
    </row>
    <row r="946" customFormat="false" ht="15" hidden="false" customHeight="false" outlineLevel="0" collapsed="false">
      <c r="A946" s="32"/>
      <c r="B946" s="19"/>
      <c r="C946" s="19"/>
      <c r="D946" s="19"/>
      <c r="E946" s="21"/>
      <c r="F946" s="19"/>
      <c r="G946" s="27" t="str">
        <f aca="false">IF(B946="","",IFERROR(INDEX(Jeux!$C$2:$C$3001,MATCH(B946,Jeux!$A$2:$A$3001,0))&amp;"","⚠ jeu inconnu"))</f>
        <v/>
      </c>
      <c r="H946" s="27" t="str">
        <f aca="false">IF(B946="","",IFERROR(INDEX(Jeux!$D$2:$D$3001,MATCH(B946,Jeux!$A$2:$A$3001,0))&amp;"",""))</f>
        <v/>
      </c>
      <c r="I946" s="26" t="str">
        <f aca="false">IF(A946="","",COUNTIF(Apparitions!$G$2:$G$5001,A946))</f>
        <v/>
      </c>
      <c r="J946" s="26" t="str">
        <f aca="false">IF(A946="","",COUNTIFS(Apparitions!$G$2:$G$5001,A946,Apparitions!$E$2:$E$5001,"○"))</f>
        <v/>
      </c>
      <c r="K946" s="29" t="str">
        <f aca="false">IF(A946="","",IFERROR(1/(1/_xlfn.MINIFS(Apparitions!$L$2:$L$5001,Apparitions!$G$2:$G$5001,A946)),""))</f>
        <v/>
      </c>
      <c r="L946" s="27" t="str">
        <f aca="false">IF(A946="","",A946&amp;" | "&amp;B946&amp;IF(C946="",""," ("&amp;C946&amp;")")&amp;IF(D946="",""," - "&amp;D946))</f>
        <v/>
      </c>
    </row>
    <row r="947" customFormat="false" ht="15" hidden="false" customHeight="false" outlineLevel="0" collapsed="false">
      <c r="A947" s="32"/>
      <c r="B947" s="19"/>
      <c r="C947" s="19"/>
      <c r="D947" s="19"/>
      <c r="E947" s="21"/>
      <c r="F947" s="19"/>
      <c r="G947" s="27" t="str">
        <f aca="false">IF(B947="","",IFERROR(INDEX(Jeux!$C$2:$C$3001,MATCH(B947,Jeux!$A$2:$A$3001,0))&amp;"","⚠ jeu inconnu"))</f>
        <v/>
      </c>
      <c r="H947" s="27" t="str">
        <f aca="false">IF(B947="","",IFERROR(INDEX(Jeux!$D$2:$D$3001,MATCH(B947,Jeux!$A$2:$A$3001,0))&amp;"",""))</f>
        <v/>
      </c>
      <c r="I947" s="26" t="str">
        <f aca="false">IF(A947="","",COUNTIF(Apparitions!$G$2:$G$5001,A947))</f>
        <v/>
      </c>
      <c r="J947" s="26" t="str">
        <f aca="false">IF(A947="","",COUNTIFS(Apparitions!$G$2:$G$5001,A947,Apparitions!$E$2:$E$5001,"○"))</f>
        <v/>
      </c>
      <c r="K947" s="29" t="str">
        <f aca="false">IF(A947="","",IFERROR(1/(1/_xlfn.MINIFS(Apparitions!$L$2:$L$5001,Apparitions!$G$2:$G$5001,A947)),""))</f>
        <v/>
      </c>
      <c r="L947" s="27" t="str">
        <f aca="false">IF(A947="","",A947&amp;" | "&amp;B947&amp;IF(C947="",""," ("&amp;C947&amp;")")&amp;IF(D947="",""," - "&amp;D947))</f>
        <v/>
      </c>
    </row>
    <row r="948" customFormat="false" ht="15" hidden="false" customHeight="false" outlineLevel="0" collapsed="false">
      <c r="A948" s="32"/>
      <c r="B948" s="19"/>
      <c r="C948" s="19"/>
      <c r="D948" s="19"/>
      <c r="E948" s="21"/>
      <c r="F948" s="19"/>
      <c r="G948" s="27" t="str">
        <f aca="false">IF(B948="","",IFERROR(INDEX(Jeux!$C$2:$C$3001,MATCH(B948,Jeux!$A$2:$A$3001,0))&amp;"","⚠ jeu inconnu"))</f>
        <v/>
      </c>
      <c r="H948" s="27" t="str">
        <f aca="false">IF(B948="","",IFERROR(INDEX(Jeux!$D$2:$D$3001,MATCH(B948,Jeux!$A$2:$A$3001,0))&amp;"",""))</f>
        <v/>
      </c>
      <c r="I948" s="26" t="str">
        <f aca="false">IF(A948="","",COUNTIF(Apparitions!$G$2:$G$5001,A948))</f>
        <v/>
      </c>
      <c r="J948" s="26" t="str">
        <f aca="false">IF(A948="","",COUNTIFS(Apparitions!$G$2:$G$5001,A948,Apparitions!$E$2:$E$5001,"○"))</f>
        <v/>
      </c>
      <c r="K948" s="29" t="str">
        <f aca="false">IF(A948="","",IFERROR(1/(1/_xlfn.MINIFS(Apparitions!$L$2:$L$5001,Apparitions!$G$2:$G$5001,A948)),""))</f>
        <v/>
      </c>
      <c r="L948" s="27" t="str">
        <f aca="false">IF(A948="","",A948&amp;" | "&amp;B948&amp;IF(C948="",""," ("&amp;C948&amp;")")&amp;IF(D948="",""," - "&amp;D948))</f>
        <v/>
      </c>
    </row>
    <row r="949" customFormat="false" ht="15" hidden="false" customHeight="false" outlineLevel="0" collapsed="false">
      <c r="A949" s="32"/>
      <c r="B949" s="19"/>
      <c r="C949" s="19"/>
      <c r="D949" s="19"/>
      <c r="E949" s="21"/>
      <c r="F949" s="19"/>
      <c r="G949" s="27" t="str">
        <f aca="false">IF(B949="","",IFERROR(INDEX(Jeux!$C$2:$C$3001,MATCH(B949,Jeux!$A$2:$A$3001,0))&amp;"","⚠ jeu inconnu"))</f>
        <v/>
      </c>
      <c r="H949" s="27" t="str">
        <f aca="false">IF(B949="","",IFERROR(INDEX(Jeux!$D$2:$D$3001,MATCH(B949,Jeux!$A$2:$A$3001,0))&amp;"",""))</f>
        <v/>
      </c>
      <c r="I949" s="26" t="str">
        <f aca="false">IF(A949="","",COUNTIF(Apparitions!$G$2:$G$5001,A949))</f>
        <v/>
      </c>
      <c r="J949" s="26" t="str">
        <f aca="false">IF(A949="","",COUNTIFS(Apparitions!$G$2:$G$5001,A949,Apparitions!$E$2:$E$5001,"○"))</f>
        <v/>
      </c>
      <c r="K949" s="29" t="str">
        <f aca="false">IF(A949="","",IFERROR(1/(1/_xlfn.MINIFS(Apparitions!$L$2:$L$5001,Apparitions!$G$2:$G$5001,A949)),""))</f>
        <v/>
      </c>
      <c r="L949" s="27" t="str">
        <f aca="false">IF(A949="","",A949&amp;" | "&amp;B949&amp;IF(C949="",""," ("&amp;C949&amp;")")&amp;IF(D949="",""," - "&amp;D949))</f>
        <v/>
      </c>
    </row>
    <row r="950" customFormat="false" ht="15" hidden="false" customHeight="false" outlineLevel="0" collapsed="false">
      <c r="A950" s="32"/>
      <c r="B950" s="19"/>
      <c r="C950" s="19"/>
      <c r="D950" s="19"/>
      <c r="E950" s="21"/>
      <c r="F950" s="19"/>
      <c r="G950" s="27" t="str">
        <f aca="false">IF(B950="","",IFERROR(INDEX(Jeux!$C$2:$C$3001,MATCH(B950,Jeux!$A$2:$A$3001,0))&amp;"","⚠ jeu inconnu"))</f>
        <v/>
      </c>
      <c r="H950" s="27" t="str">
        <f aca="false">IF(B950="","",IFERROR(INDEX(Jeux!$D$2:$D$3001,MATCH(B950,Jeux!$A$2:$A$3001,0))&amp;"",""))</f>
        <v/>
      </c>
      <c r="I950" s="26" t="str">
        <f aca="false">IF(A950="","",COUNTIF(Apparitions!$G$2:$G$5001,A950))</f>
        <v/>
      </c>
      <c r="J950" s="26" t="str">
        <f aca="false">IF(A950="","",COUNTIFS(Apparitions!$G$2:$G$5001,A950,Apparitions!$E$2:$E$5001,"○"))</f>
        <v/>
      </c>
      <c r="K950" s="29" t="str">
        <f aca="false">IF(A950="","",IFERROR(1/(1/_xlfn.MINIFS(Apparitions!$L$2:$L$5001,Apparitions!$G$2:$G$5001,A950)),""))</f>
        <v/>
      </c>
      <c r="L950" s="27" t="str">
        <f aca="false">IF(A950="","",A950&amp;" | "&amp;B950&amp;IF(C950="",""," ("&amp;C950&amp;")")&amp;IF(D950="",""," - "&amp;D950))</f>
        <v/>
      </c>
    </row>
    <row r="951" customFormat="false" ht="15" hidden="false" customHeight="false" outlineLevel="0" collapsed="false">
      <c r="A951" s="32"/>
      <c r="B951" s="19"/>
      <c r="C951" s="19"/>
      <c r="D951" s="19"/>
      <c r="E951" s="21"/>
      <c r="F951" s="19"/>
      <c r="G951" s="27" t="str">
        <f aca="false">IF(B951="","",IFERROR(INDEX(Jeux!$C$2:$C$3001,MATCH(B951,Jeux!$A$2:$A$3001,0))&amp;"","⚠ jeu inconnu"))</f>
        <v/>
      </c>
      <c r="H951" s="27" t="str">
        <f aca="false">IF(B951="","",IFERROR(INDEX(Jeux!$D$2:$D$3001,MATCH(B951,Jeux!$A$2:$A$3001,0))&amp;"",""))</f>
        <v/>
      </c>
      <c r="I951" s="26" t="str">
        <f aca="false">IF(A951="","",COUNTIF(Apparitions!$G$2:$G$5001,A951))</f>
        <v/>
      </c>
      <c r="J951" s="26" t="str">
        <f aca="false">IF(A951="","",COUNTIFS(Apparitions!$G$2:$G$5001,A951,Apparitions!$E$2:$E$5001,"○"))</f>
        <v/>
      </c>
      <c r="K951" s="29" t="str">
        <f aca="false">IF(A951="","",IFERROR(1/(1/_xlfn.MINIFS(Apparitions!$L$2:$L$5001,Apparitions!$G$2:$G$5001,A951)),""))</f>
        <v/>
      </c>
      <c r="L951" s="27" t="str">
        <f aca="false">IF(A951="","",A951&amp;" | "&amp;B951&amp;IF(C951="",""," ("&amp;C951&amp;")")&amp;IF(D951="",""," - "&amp;D951))</f>
        <v/>
      </c>
    </row>
    <row r="952" customFormat="false" ht="15" hidden="false" customHeight="false" outlineLevel="0" collapsed="false">
      <c r="A952" s="32"/>
      <c r="B952" s="19"/>
      <c r="C952" s="19"/>
      <c r="D952" s="19"/>
      <c r="E952" s="21"/>
      <c r="F952" s="19"/>
      <c r="G952" s="27" t="str">
        <f aca="false">IF(B952="","",IFERROR(INDEX(Jeux!$C$2:$C$3001,MATCH(B952,Jeux!$A$2:$A$3001,0))&amp;"","⚠ jeu inconnu"))</f>
        <v/>
      </c>
      <c r="H952" s="27" t="str">
        <f aca="false">IF(B952="","",IFERROR(INDEX(Jeux!$D$2:$D$3001,MATCH(B952,Jeux!$A$2:$A$3001,0))&amp;"",""))</f>
        <v/>
      </c>
      <c r="I952" s="26" t="str">
        <f aca="false">IF(A952="","",COUNTIF(Apparitions!$G$2:$G$5001,A952))</f>
        <v/>
      </c>
      <c r="J952" s="26" t="str">
        <f aca="false">IF(A952="","",COUNTIFS(Apparitions!$G$2:$G$5001,A952,Apparitions!$E$2:$E$5001,"○"))</f>
        <v/>
      </c>
      <c r="K952" s="29" t="str">
        <f aca="false">IF(A952="","",IFERROR(1/(1/_xlfn.MINIFS(Apparitions!$L$2:$L$5001,Apparitions!$G$2:$G$5001,A952)),""))</f>
        <v/>
      </c>
      <c r="L952" s="27" t="str">
        <f aca="false">IF(A952="","",A952&amp;" | "&amp;B952&amp;IF(C952="",""," ("&amp;C952&amp;")")&amp;IF(D952="",""," - "&amp;D952))</f>
        <v/>
      </c>
    </row>
    <row r="953" customFormat="false" ht="15" hidden="false" customHeight="false" outlineLevel="0" collapsed="false">
      <c r="A953" s="32"/>
      <c r="B953" s="19"/>
      <c r="C953" s="19"/>
      <c r="D953" s="19"/>
      <c r="E953" s="21"/>
      <c r="F953" s="19"/>
      <c r="G953" s="27" t="str">
        <f aca="false">IF(B953="","",IFERROR(INDEX(Jeux!$C$2:$C$3001,MATCH(B953,Jeux!$A$2:$A$3001,0))&amp;"","⚠ jeu inconnu"))</f>
        <v/>
      </c>
      <c r="H953" s="27" t="str">
        <f aca="false">IF(B953="","",IFERROR(INDEX(Jeux!$D$2:$D$3001,MATCH(B953,Jeux!$A$2:$A$3001,0))&amp;"",""))</f>
        <v/>
      </c>
      <c r="I953" s="26" t="str">
        <f aca="false">IF(A953="","",COUNTIF(Apparitions!$G$2:$G$5001,A953))</f>
        <v/>
      </c>
      <c r="J953" s="26" t="str">
        <f aca="false">IF(A953="","",COUNTIFS(Apparitions!$G$2:$G$5001,A953,Apparitions!$E$2:$E$5001,"○"))</f>
        <v/>
      </c>
      <c r="K953" s="29" t="str">
        <f aca="false">IF(A953="","",IFERROR(1/(1/_xlfn.MINIFS(Apparitions!$L$2:$L$5001,Apparitions!$G$2:$G$5001,A953)),""))</f>
        <v/>
      </c>
      <c r="L953" s="27" t="str">
        <f aca="false">IF(A953="","",A953&amp;" | "&amp;B953&amp;IF(C953="",""," ("&amp;C953&amp;")")&amp;IF(D953="",""," - "&amp;D953))</f>
        <v/>
      </c>
    </row>
    <row r="954" customFormat="false" ht="15" hidden="false" customHeight="false" outlineLevel="0" collapsed="false">
      <c r="A954" s="32"/>
      <c r="B954" s="19"/>
      <c r="C954" s="19"/>
      <c r="D954" s="19"/>
      <c r="E954" s="21"/>
      <c r="F954" s="19"/>
      <c r="G954" s="27" t="str">
        <f aca="false">IF(B954="","",IFERROR(INDEX(Jeux!$C$2:$C$3001,MATCH(B954,Jeux!$A$2:$A$3001,0))&amp;"","⚠ jeu inconnu"))</f>
        <v/>
      </c>
      <c r="H954" s="27" t="str">
        <f aca="false">IF(B954="","",IFERROR(INDEX(Jeux!$D$2:$D$3001,MATCH(B954,Jeux!$A$2:$A$3001,0))&amp;"",""))</f>
        <v/>
      </c>
      <c r="I954" s="26" t="str">
        <f aca="false">IF(A954="","",COUNTIF(Apparitions!$G$2:$G$5001,A954))</f>
        <v/>
      </c>
      <c r="J954" s="26" t="str">
        <f aca="false">IF(A954="","",COUNTIFS(Apparitions!$G$2:$G$5001,A954,Apparitions!$E$2:$E$5001,"○"))</f>
        <v/>
      </c>
      <c r="K954" s="29" t="str">
        <f aca="false">IF(A954="","",IFERROR(1/(1/_xlfn.MINIFS(Apparitions!$L$2:$L$5001,Apparitions!$G$2:$G$5001,A954)),""))</f>
        <v/>
      </c>
      <c r="L954" s="27" t="str">
        <f aca="false">IF(A954="","",A954&amp;" | "&amp;B954&amp;IF(C954="",""," ("&amp;C954&amp;")")&amp;IF(D954="",""," - "&amp;D954))</f>
        <v/>
      </c>
    </row>
    <row r="955" customFormat="false" ht="15" hidden="false" customHeight="false" outlineLevel="0" collapsed="false">
      <c r="A955" s="32"/>
      <c r="B955" s="19"/>
      <c r="C955" s="19"/>
      <c r="D955" s="19"/>
      <c r="E955" s="21"/>
      <c r="F955" s="19"/>
      <c r="G955" s="27" t="str">
        <f aca="false">IF(B955="","",IFERROR(INDEX(Jeux!$C$2:$C$3001,MATCH(B955,Jeux!$A$2:$A$3001,0))&amp;"","⚠ jeu inconnu"))</f>
        <v/>
      </c>
      <c r="H955" s="27" t="str">
        <f aca="false">IF(B955="","",IFERROR(INDEX(Jeux!$D$2:$D$3001,MATCH(B955,Jeux!$A$2:$A$3001,0))&amp;"",""))</f>
        <v/>
      </c>
      <c r="I955" s="26" t="str">
        <f aca="false">IF(A955="","",COUNTIF(Apparitions!$G$2:$G$5001,A955))</f>
        <v/>
      </c>
      <c r="J955" s="26" t="str">
        <f aca="false">IF(A955="","",COUNTIFS(Apparitions!$G$2:$G$5001,A955,Apparitions!$E$2:$E$5001,"○"))</f>
        <v/>
      </c>
      <c r="K955" s="29" t="str">
        <f aca="false">IF(A955="","",IFERROR(1/(1/_xlfn.MINIFS(Apparitions!$L$2:$L$5001,Apparitions!$G$2:$G$5001,A955)),""))</f>
        <v/>
      </c>
      <c r="L955" s="27" t="str">
        <f aca="false">IF(A955="","",A955&amp;" | "&amp;B955&amp;IF(C955="",""," ("&amp;C955&amp;")")&amp;IF(D955="",""," - "&amp;D955))</f>
        <v/>
      </c>
    </row>
    <row r="956" customFormat="false" ht="15" hidden="false" customHeight="false" outlineLevel="0" collapsed="false">
      <c r="A956" s="32"/>
      <c r="B956" s="19"/>
      <c r="C956" s="19"/>
      <c r="D956" s="19"/>
      <c r="E956" s="21"/>
      <c r="F956" s="19"/>
      <c r="G956" s="27" t="str">
        <f aca="false">IF(B956="","",IFERROR(INDEX(Jeux!$C$2:$C$3001,MATCH(B956,Jeux!$A$2:$A$3001,0))&amp;"","⚠ jeu inconnu"))</f>
        <v/>
      </c>
      <c r="H956" s="27" t="str">
        <f aca="false">IF(B956="","",IFERROR(INDEX(Jeux!$D$2:$D$3001,MATCH(B956,Jeux!$A$2:$A$3001,0))&amp;"",""))</f>
        <v/>
      </c>
      <c r="I956" s="26" t="str">
        <f aca="false">IF(A956="","",COUNTIF(Apparitions!$G$2:$G$5001,A956))</f>
        <v/>
      </c>
      <c r="J956" s="26" t="str">
        <f aca="false">IF(A956="","",COUNTIFS(Apparitions!$G$2:$G$5001,A956,Apparitions!$E$2:$E$5001,"○"))</f>
        <v/>
      </c>
      <c r="K956" s="29" t="str">
        <f aca="false">IF(A956="","",IFERROR(1/(1/_xlfn.MINIFS(Apparitions!$L$2:$L$5001,Apparitions!$G$2:$G$5001,A956)),""))</f>
        <v/>
      </c>
      <c r="L956" s="27" t="str">
        <f aca="false">IF(A956="","",A956&amp;" | "&amp;B956&amp;IF(C956="",""," ("&amp;C956&amp;")")&amp;IF(D956="",""," - "&amp;D956))</f>
        <v/>
      </c>
    </row>
    <row r="957" customFormat="false" ht="15" hidden="false" customHeight="false" outlineLevel="0" collapsed="false">
      <c r="A957" s="32"/>
      <c r="B957" s="19"/>
      <c r="C957" s="19"/>
      <c r="D957" s="19"/>
      <c r="E957" s="21"/>
      <c r="F957" s="19"/>
      <c r="G957" s="27" t="str">
        <f aca="false">IF(B957="","",IFERROR(INDEX(Jeux!$C$2:$C$3001,MATCH(B957,Jeux!$A$2:$A$3001,0))&amp;"","⚠ jeu inconnu"))</f>
        <v/>
      </c>
      <c r="H957" s="27" t="str">
        <f aca="false">IF(B957="","",IFERROR(INDEX(Jeux!$D$2:$D$3001,MATCH(B957,Jeux!$A$2:$A$3001,0))&amp;"",""))</f>
        <v/>
      </c>
      <c r="I957" s="26" t="str">
        <f aca="false">IF(A957="","",COUNTIF(Apparitions!$G$2:$G$5001,A957))</f>
        <v/>
      </c>
      <c r="J957" s="26" t="str">
        <f aca="false">IF(A957="","",COUNTIFS(Apparitions!$G$2:$G$5001,A957,Apparitions!$E$2:$E$5001,"○"))</f>
        <v/>
      </c>
      <c r="K957" s="29" t="str">
        <f aca="false">IF(A957="","",IFERROR(1/(1/_xlfn.MINIFS(Apparitions!$L$2:$L$5001,Apparitions!$G$2:$G$5001,A957)),""))</f>
        <v/>
      </c>
      <c r="L957" s="27" t="str">
        <f aca="false">IF(A957="","",A957&amp;" | "&amp;B957&amp;IF(C957="",""," ("&amp;C957&amp;")")&amp;IF(D957="",""," - "&amp;D957))</f>
        <v/>
      </c>
    </row>
    <row r="958" customFormat="false" ht="15" hidden="false" customHeight="false" outlineLevel="0" collapsed="false">
      <c r="A958" s="32"/>
      <c r="B958" s="19"/>
      <c r="C958" s="19"/>
      <c r="D958" s="19"/>
      <c r="E958" s="21"/>
      <c r="F958" s="19"/>
      <c r="G958" s="27" t="str">
        <f aca="false">IF(B958="","",IFERROR(INDEX(Jeux!$C$2:$C$3001,MATCH(B958,Jeux!$A$2:$A$3001,0))&amp;"","⚠ jeu inconnu"))</f>
        <v/>
      </c>
      <c r="H958" s="27" t="str">
        <f aca="false">IF(B958="","",IFERROR(INDEX(Jeux!$D$2:$D$3001,MATCH(B958,Jeux!$A$2:$A$3001,0))&amp;"",""))</f>
        <v/>
      </c>
      <c r="I958" s="26" t="str">
        <f aca="false">IF(A958="","",COUNTIF(Apparitions!$G$2:$G$5001,A958))</f>
        <v/>
      </c>
      <c r="J958" s="26" t="str">
        <f aca="false">IF(A958="","",COUNTIFS(Apparitions!$G$2:$G$5001,A958,Apparitions!$E$2:$E$5001,"○"))</f>
        <v/>
      </c>
      <c r="K958" s="29" t="str">
        <f aca="false">IF(A958="","",IFERROR(1/(1/_xlfn.MINIFS(Apparitions!$L$2:$L$5001,Apparitions!$G$2:$G$5001,A958)),""))</f>
        <v/>
      </c>
      <c r="L958" s="27" t="str">
        <f aca="false">IF(A958="","",A958&amp;" | "&amp;B958&amp;IF(C958="",""," ("&amp;C958&amp;")")&amp;IF(D958="",""," - "&amp;D958))</f>
        <v/>
      </c>
    </row>
    <row r="959" customFormat="false" ht="15" hidden="false" customHeight="false" outlineLevel="0" collapsed="false">
      <c r="A959" s="32"/>
      <c r="B959" s="19"/>
      <c r="C959" s="19"/>
      <c r="D959" s="19"/>
      <c r="E959" s="21"/>
      <c r="F959" s="19"/>
      <c r="G959" s="27" t="str">
        <f aca="false">IF(B959="","",IFERROR(INDEX(Jeux!$C$2:$C$3001,MATCH(B959,Jeux!$A$2:$A$3001,0))&amp;"","⚠ jeu inconnu"))</f>
        <v/>
      </c>
      <c r="H959" s="27" t="str">
        <f aca="false">IF(B959="","",IFERROR(INDEX(Jeux!$D$2:$D$3001,MATCH(B959,Jeux!$A$2:$A$3001,0))&amp;"",""))</f>
        <v/>
      </c>
      <c r="I959" s="26" t="str">
        <f aca="false">IF(A959="","",COUNTIF(Apparitions!$G$2:$G$5001,A959))</f>
        <v/>
      </c>
      <c r="J959" s="26" t="str">
        <f aca="false">IF(A959="","",COUNTIFS(Apparitions!$G$2:$G$5001,A959,Apparitions!$E$2:$E$5001,"○"))</f>
        <v/>
      </c>
      <c r="K959" s="29" t="str">
        <f aca="false">IF(A959="","",IFERROR(1/(1/_xlfn.MINIFS(Apparitions!$L$2:$L$5001,Apparitions!$G$2:$G$5001,A959)),""))</f>
        <v/>
      </c>
      <c r="L959" s="27" t="str">
        <f aca="false">IF(A959="","",A959&amp;" | "&amp;B959&amp;IF(C959="",""," ("&amp;C959&amp;")")&amp;IF(D959="",""," - "&amp;D959))</f>
        <v/>
      </c>
    </row>
    <row r="960" customFormat="false" ht="15" hidden="false" customHeight="false" outlineLevel="0" collapsed="false">
      <c r="A960" s="32"/>
      <c r="B960" s="19"/>
      <c r="C960" s="19"/>
      <c r="D960" s="19"/>
      <c r="E960" s="21"/>
      <c r="F960" s="19"/>
      <c r="G960" s="27" t="str">
        <f aca="false">IF(B960="","",IFERROR(INDEX(Jeux!$C$2:$C$3001,MATCH(B960,Jeux!$A$2:$A$3001,0))&amp;"","⚠ jeu inconnu"))</f>
        <v/>
      </c>
      <c r="H960" s="27" t="str">
        <f aca="false">IF(B960="","",IFERROR(INDEX(Jeux!$D$2:$D$3001,MATCH(B960,Jeux!$A$2:$A$3001,0))&amp;"",""))</f>
        <v/>
      </c>
      <c r="I960" s="26" t="str">
        <f aca="false">IF(A960="","",COUNTIF(Apparitions!$G$2:$G$5001,A960))</f>
        <v/>
      </c>
      <c r="J960" s="26" t="str">
        <f aca="false">IF(A960="","",COUNTIFS(Apparitions!$G$2:$G$5001,A960,Apparitions!$E$2:$E$5001,"○"))</f>
        <v/>
      </c>
      <c r="K960" s="29" t="str">
        <f aca="false">IF(A960="","",IFERROR(1/(1/_xlfn.MINIFS(Apparitions!$L$2:$L$5001,Apparitions!$G$2:$G$5001,A960)),""))</f>
        <v/>
      </c>
      <c r="L960" s="27" t="str">
        <f aca="false">IF(A960="","",A960&amp;" | "&amp;B960&amp;IF(C960="",""," ("&amp;C960&amp;")")&amp;IF(D960="",""," - "&amp;D960))</f>
        <v/>
      </c>
    </row>
    <row r="961" customFormat="false" ht="15" hidden="false" customHeight="false" outlineLevel="0" collapsed="false">
      <c r="A961" s="32"/>
      <c r="B961" s="19"/>
      <c r="C961" s="19"/>
      <c r="D961" s="19"/>
      <c r="E961" s="21"/>
      <c r="F961" s="19"/>
      <c r="G961" s="27" t="str">
        <f aca="false">IF(B961="","",IFERROR(INDEX(Jeux!$C$2:$C$3001,MATCH(B961,Jeux!$A$2:$A$3001,0))&amp;"","⚠ jeu inconnu"))</f>
        <v/>
      </c>
      <c r="H961" s="27" t="str">
        <f aca="false">IF(B961="","",IFERROR(INDEX(Jeux!$D$2:$D$3001,MATCH(B961,Jeux!$A$2:$A$3001,0))&amp;"",""))</f>
        <v/>
      </c>
      <c r="I961" s="26" t="str">
        <f aca="false">IF(A961="","",COUNTIF(Apparitions!$G$2:$G$5001,A961))</f>
        <v/>
      </c>
      <c r="J961" s="26" t="str">
        <f aca="false">IF(A961="","",COUNTIFS(Apparitions!$G$2:$G$5001,A961,Apparitions!$E$2:$E$5001,"○"))</f>
        <v/>
      </c>
      <c r="K961" s="29" t="str">
        <f aca="false">IF(A961="","",IFERROR(1/(1/_xlfn.MINIFS(Apparitions!$L$2:$L$5001,Apparitions!$G$2:$G$5001,A961)),""))</f>
        <v/>
      </c>
      <c r="L961" s="27" t="str">
        <f aca="false">IF(A961="","",A961&amp;" | "&amp;B961&amp;IF(C961="",""," ("&amp;C961&amp;")")&amp;IF(D961="",""," - "&amp;D961))</f>
        <v/>
      </c>
    </row>
    <row r="962" customFormat="false" ht="15" hidden="false" customHeight="false" outlineLevel="0" collapsed="false">
      <c r="A962" s="32"/>
      <c r="B962" s="19"/>
      <c r="C962" s="19"/>
      <c r="D962" s="19"/>
      <c r="E962" s="21"/>
      <c r="F962" s="19"/>
      <c r="G962" s="27" t="str">
        <f aca="false">IF(B962="","",IFERROR(INDEX(Jeux!$C$2:$C$3001,MATCH(B962,Jeux!$A$2:$A$3001,0))&amp;"","⚠ jeu inconnu"))</f>
        <v/>
      </c>
      <c r="H962" s="27" t="str">
        <f aca="false">IF(B962="","",IFERROR(INDEX(Jeux!$D$2:$D$3001,MATCH(B962,Jeux!$A$2:$A$3001,0))&amp;"",""))</f>
        <v/>
      </c>
      <c r="I962" s="26" t="str">
        <f aca="false">IF(A962="","",COUNTIF(Apparitions!$G$2:$G$5001,A962))</f>
        <v/>
      </c>
      <c r="J962" s="26" t="str">
        <f aca="false">IF(A962="","",COUNTIFS(Apparitions!$G$2:$G$5001,A962,Apparitions!$E$2:$E$5001,"○"))</f>
        <v/>
      </c>
      <c r="K962" s="29" t="str">
        <f aca="false">IF(A962="","",IFERROR(1/(1/_xlfn.MINIFS(Apparitions!$L$2:$L$5001,Apparitions!$G$2:$G$5001,A962)),""))</f>
        <v/>
      </c>
      <c r="L962" s="27" t="str">
        <f aca="false">IF(A962="","",A962&amp;" | "&amp;B962&amp;IF(C962="",""," ("&amp;C962&amp;")")&amp;IF(D962="",""," - "&amp;D962))</f>
        <v/>
      </c>
    </row>
    <row r="963" customFormat="false" ht="15" hidden="false" customHeight="false" outlineLevel="0" collapsed="false">
      <c r="A963" s="32"/>
      <c r="B963" s="19"/>
      <c r="C963" s="19"/>
      <c r="D963" s="19"/>
      <c r="E963" s="21"/>
      <c r="F963" s="19"/>
      <c r="G963" s="27" t="str">
        <f aca="false">IF(B963="","",IFERROR(INDEX(Jeux!$C$2:$C$3001,MATCH(B963,Jeux!$A$2:$A$3001,0))&amp;"","⚠ jeu inconnu"))</f>
        <v/>
      </c>
      <c r="H963" s="27" t="str">
        <f aca="false">IF(B963="","",IFERROR(INDEX(Jeux!$D$2:$D$3001,MATCH(B963,Jeux!$A$2:$A$3001,0))&amp;"",""))</f>
        <v/>
      </c>
      <c r="I963" s="26" t="str">
        <f aca="false">IF(A963="","",COUNTIF(Apparitions!$G$2:$G$5001,A963))</f>
        <v/>
      </c>
      <c r="J963" s="26" t="str">
        <f aca="false">IF(A963="","",COUNTIFS(Apparitions!$G$2:$G$5001,A963,Apparitions!$E$2:$E$5001,"○"))</f>
        <v/>
      </c>
      <c r="K963" s="29" t="str">
        <f aca="false">IF(A963="","",IFERROR(1/(1/_xlfn.MINIFS(Apparitions!$L$2:$L$5001,Apparitions!$G$2:$G$5001,A963)),""))</f>
        <v/>
      </c>
      <c r="L963" s="27" t="str">
        <f aca="false">IF(A963="","",A963&amp;" | "&amp;B963&amp;IF(C963="",""," ("&amp;C963&amp;")")&amp;IF(D963="",""," - "&amp;D963))</f>
        <v/>
      </c>
    </row>
    <row r="964" customFormat="false" ht="15" hidden="false" customHeight="false" outlineLevel="0" collapsed="false">
      <c r="A964" s="32"/>
      <c r="B964" s="19"/>
      <c r="C964" s="19"/>
      <c r="D964" s="19"/>
      <c r="E964" s="21"/>
      <c r="F964" s="19"/>
      <c r="G964" s="27" t="str">
        <f aca="false">IF(B964="","",IFERROR(INDEX(Jeux!$C$2:$C$3001,MATCH(B964,Jeux!$A$2:$A$3001,0))&amp;"","⚠ jeu inconnu"))</f>
        <v/>
      </c>
      <c r="H964" s="27" t="str">
        <f aca="false">IF(B964="","",IFERROR(INDEX(Jeux!$D$2:$D$3001,MATCH(B964,Jeux!$A$2:$A$3001,0))&amp;"",""))</f>
        <v/>
      </c>
      <c r="I964" s="26" t="str">
        <f aca="false">IF(A964="","",COUNTIF(Apparitions!$G$2:$G$5001,A964))</f>
        <v/>
      </c>
      <c r="J964" s="26" t="str">
        <f aca="false">IF(A964="","",COUNTIFS(Apparitions!$G$2:$G$5001,A964,Apparitions!$E$2:$E$5001,"○"))</f>
        <v/>
      </c>
      <c r="K964" s="29" t="str">
        <f aca="false">IF(A964="","",IFERROR(1/(1/_xlfn.MINIFS(Apparitions!$L$2:$L$5001,Apparitions!$G$2:$G$5001,A964)),""))</f>
        <v/>
      </c>
      <c r="L964" s="27" t="str">
        <f aca="false">IF(A964="","",A964&amp;" | "&amp;B964&amp;IF(C964="",""," ("&amp;C964&amp;")")&amp;IF(D964="",""," - "&amp;D964))</f>
        <v/>
      </c>
    </row>
    <row r="965" customFormat="false" ht="15" hidden="false" customHeight="false" outlineLevel="0" collapsed="false">
      <c r="A965" s="32"/>
      <c r="B965" s="19"/>
      <c r="C965" s="19"/>
      <c r="D965" s="19"/>
      <c r="E965" s="21"/>
      <c r="F965" s="19"/>
      <c r="G965" s="27" t="str">
        <f aca="false">IF(B965="","",IFERROR(INDEX(Jeux!$C$2:$C$3001,MATCH(B965,Jeux!$A$2:$A$3001,0))&amp;"","⚠ jeu inconnu"))</f>
        <v/>
      </c>
      <c r="H965" s="27" t="str">
        <f aca="false">IF(B965="","",IFERROR(INDEX(Jeux!$D$2:$D$3001,MATCH(B965,Jeux!$A$2:$A$3001,0))&amp;"",""))</f>
        <v/>
      </c>
      <c r="I965" s="26" t="str">
        <f aca="false">IF(A965="","",COUNTIF(Apparitions!$G$2:$G$5001,A965))</f>
        <v/>
      </c>
      <c r="J965" s="26" t="str">
        <f aca="false">IF(A965="","",COUNTIFS(Apparitions!$G$2:$G$5001,A965,Apparitions!$E$2:$E$5001,"○"))</f>
        <v/>
      </c>
      <c r="K965" s="29" t="str">
        <f aca="false">IF(A965="","",IFERROR(1/(1/_xlfn.MINIFS(Apparitions!$L$2:$L$5001,Apparitions!$G$2:$G$5001,A965)),""))</f>
        <v/>
      </c>
      <c r="L965" s="27" t="str">
        <f aca="false">IF(A965="","",A965&amp;" | "&amp;B965&amp;IF(C965="",""," ("&amp;C965&amp;")")&amp;IF(D965="",""," - "&amp;D965))</f>
        <v/>
      </c>
    </row>
    <row r="966" customFormat="false" ht="15" hidden="false" customHeight="false" outlineLevel="0" collapsed="false">
      <c r="A966" s="32"/>
      <c r="B966" s="19"/>
      <c r="C966" s="19"/>
      <c r="D966" s="19"/>
      <c r="E966" s="21"/>
      <c r="F966" s="19"/>
      <c r="G966" s="27" t="str">
        <f aca="false">IF(B966="","",IFERROR(INDEX(Jeux!$C$2:$C$3001,MATCH(B966,Jeux!$A$2:$A$3001,0))&amp;"","⚠ jeu inconnu"))</f>
        <v/>
      </c>
      <c r="H966" s="27" t="str">
        <f aca="false">IF(B966="","",IFERROR(INDEX(Jeux!$D$2:$D$3001,MATCH(B966,Jeux!$A$2:$A$3001,0))&amp;"",""))</f>
        <v/>
      </c>
      <c r="I966" s="26" t="str">
        <f aca="false">IF(A966="","",COUNTIF(Apparitions!$G$2:$G$5001,A966))</f>
        <v/>
      </c>
      <c r="J966" s="26" t="str">
        <f aca="false">IF(A966="","",COUNTIFS(Apparitions!$G$2:$G$5001,A966,Apparitions!$E$2:$E$5001,"○"))</f>
        <v/>
      </c>
      <c r="K966" s="29" t="str">
        <f aca="false">IF(A966="","",IFERROR(1/(1/_xlfn.MINIFS(Apparitions!$L$2:$L$5001,Apparitions!$G$2:$G$5001,A966)),""))</f>
        <v/>
      </c>
      <c r="L966" s="27" t="str">
        <f aca="false">IF(A966="","",A966&amp;" | "&amp;B966&amp;IF(C966="",""," ("&amp;C966&amp;")")&amp;IF(D966="",""," - "&amp;D966))</f>
        <v/>
      </c>
    </row>
    <row r="967" customFormat="false" ht="15" hidden="false" customHeight="false" outlineLevel="0" collapsed="false">
      <c r="A967" s="32"/>
      <c r="B967" s="19"/>
      <c r="C967" s="19"/>
      <c r="D967" s="19"/>
      <c r="E967" s="21"/>
      <c r="F967" s="19"/>
      <c r="G967" s="27" t="str">
        <f aca="false">IF(B967="","",IFERROR(INDEX(Jeux!$C$2:$C$3001,MATCH(B967,Jeux!$A$2:$A$3001,0))&amp;"","⚠ jeu inconnu"))</f>
        <v/>
      </c>
      <c r="H967" s="27" t="str">
        <f aca="false">IF(B967="","",IFERROR(INDEX(Jeux!$D$2:$D$3001,MATCH(B967,Jeux!$A$2:$A$3001,0))&amp;"",""))</f>
        <v/>
      </c>
      <c r="I967" s="26" t="str">
        <f aca="false">IF(A967="","",COUNTIF(Apparitions!$G$2:$G$5001,A967))</f>
        <v/>
      </c>
      <c r="J967" s="26" t="str">
        <f aca="false">IF(A967="","",COUNTIFS(Apparitions!$G$2:$G$5001,A967,Apparitions!$E$2:$E$5001,"○"))</f>
        <v/>
      </c>
      <c r="K967" s="29" t="str">
        <f aca="false">IF(A967="","",IFERROR(1/(1/_xlfn.MINIFS(Apparitions!$L$2:$L$5001,Apparitions!$G$2:$G$5001,A967)),""))</f>
        <v/>
      </c>
      <c r="L967" s="27" t="str">
        <f aca="false">IF(A967="","",A967&amp;" | "&amp;B967&amp;IF(C967="",""," ("&amp;C967&amp;")")&amp;IF(D967="",""," - "&amp;D967))</f>
        <v/>
      </c>
    </row>
    <row r="968" customFormat="false" ht="15" hidden="false" customHeight="false" outlineLevel="0" collapsed="false">
      <c r="A968" s="32"/>
      <c r="B968" s="19"/>
      <c r="C968" s="19"/>
      <c r="D968" s="19"/>
      <c r="E968" s="21"/>
      <c r="F968" s="19"/>
      <c r="G968" s="27" t="str">
        <f aca="false">IF(B968="","",IFERROR(INDEX(Jeux!$C$2:$C$3001,MATCH(B968,Jeux!$A$2:$A$3001,0))&amp;"","⚠ jeu inconnu"))</f>
        <v/>
      </c>
      <c r="H968" s="27" t="str">
        <f aca="false">IF(B968="","",IFERROR(INDEX(Jeux!$D$2:$D$3001,MATCH(B968,Jeux!$A$2:$A$3001,0))&amp;"",""))</f>
        <v/>
      </c>
      <c r="I968" s="26" t="str">
        <f aca="false">IF(A968="","",COUNTIF(Apparitions!$G$2:$G$5001,A968))</f>
        <v/>
      </c>
      <c r="J968" s="26" t="str">
        <f aca="false">IF(A968="","",COUNTIFS(Apparitions!$G$2:$G$5001,A968,Apparitions!$E$2:$E$5001,"○"))</f>
        <v/>
      </c>
      <c r="K968" s="29" t="str">
        <f aca="false">IF(A968="","",IFERROR(1/(1/_xlfn.MINIFS(Apparitions!$L$2:$L$5001,Apparitions!$G$2:$G$5001,A968)),""))</f>
        <v/>
      </c>
      <c r="L968" s="27" t="str">
        <f aca="false">IF(A968="","",A968&amp;" | "&amp;B968&amp;IF(C968="",""," ("&amp;C968&amp;")")&amp;IF(D968="",""," - "&amp;D968))</f>
        <v/>
      </c>
    </row>
    <row r="969" customFormat="false" ht="15" hidden="false" customHeight="false" outlineLevel="0" collapsed="false">
      <c r="A969" s="32"/>
      <c r="B969" s="19"/>
      <c r="C969" s="19"/>
      <c r="D969" s="19"/>
      <c r="E969" s="21"/>
      <c r="F969" s="19"/>
      <c r="G969" s="27" t="str">
        <f aca="false">IF(B969="","",IFERROR(INDEX(Jeux!$C$2:$C$3001,MATCH(B969,Jeux!$A$2:$A$3001,0))&amp;"","⚠ jeu inconnu"))</f>
        <v/>
      </c>
      <c r="H969" s="27" t="str">
        <f aca="false">IF(B969="","",IFERROR(INDEX(Jeux!$D$2:$D$3001,MATCH(B969,Jeux!$A$2:$A$3001,0))&amp;"",""))</f>
        <v/>
      </c>
      <c r="I969" s="26" t="str">
        <f aca="false">IF(A969="","",COUNTIF(Apparitions!$G$2:$G$5001,A969))</f>
        <v/>
      </c>
      <c r="J969" s="26" t="str">
        <f aca="false">IF(A969="","",COUNTIFS(Apparitions!$G$2:$G$5001,A969,Apparitions!$E$2:$E$5001,"○"))</f>
        <v/>
      </c>
      <c r="K969" s="29" t="str">
        <f aca="false">IF(A969="","",IFERROR(1/(1/_xlfn.MINIFS(Apparitions!$L$2:$L$5001,Apparitions!$G$2:$G$5001,A969)),""))</f>
        <v/>
      </c>
      <c r="L969" s="27" t="str">
        <f aca="false">IF(A969="","",A969&amp;" | "&amp;B969&amp;IF(C969="",""," ("&amp;C969&amp;")")&amp;IF(D969="",""," - "&amp;D969))</f>
        <v/>
      </c>
    </row>
    <row r="970" customFormat="false" ht="15" hidden="false" customHeight="false" outlineLevel="0" collapsed="false">
      <c r="A970" s="32"/>
      <c r="B970" s="19"/>
      <c r="C970" s="19"/>
      <c r="D970" s="19"/>
      <c r="E970" s="21"/>
      <c r="F970" s="19"/>
      <c r="G970" s="27" t="str">
        <f aca="false">IF(B970="","",IFERROR(INDEX(Jeux!$C$2:$C$3001,MATCH(B970,Jeux!$A$2:$A$3001,0))&amp;"","⚠ jeu inconnu"))</f>
        <v/>
      </c>
      <c r="H970" s="27" t="str">
        <f aca="false">IF(B970="","",IFERROR(INDEX(Jeux!$D$2:$D$3001,MATCH(B970,Jeux!$A$2:$A$3001,0))&amp;"",""))</f>
        <v/>
      </c>
      <c r="I970" s="26" t="str">
        <f aca="false">IF(A970="","",COUNTIF(Apparitions!$G$2:$G$5001,A970))</f>
        <v/>
      </c>
      <c r="J970" s="26" t="str">
        <f aca="false">IF(A970="","",COUNTIFS(Apparitions!$G$2:$G$5001,A970,Apparitions!$E$2:$E$5001,"○"))</f>
        <v/>
      </c>
      <c r="K970" s="29" t="str">
        <f aca="false">IF(A970="","",IFERROR(1/(1/_xlfn.MINIFS(Apparitions!$L$2:$L$5001,Apparitions!$G$2:$G$5001,A970)),""))</f>
        <v/>
      </c>
      <c r="L970" s="27" t="str">
        <f aca="false">IF(A970="","",A970&amp;" | "&amp;B970&amp;IF(C970="",""," ("&amp;C970&amp;")")&amp;IF(D970="",""," - "&amp;D970))</f>
        <v/>
      </c>
    </row>
    <row r="971" customFormat="false" ht="15" hidden="false" customHeight="false" outlineLevel="0" collapsed="false">
      <c r="A971" s="32"/>
      <c r="B971" s="19"/>
      <c r="C971" s="19"/>
      <c r="D971" s="19"/>
      <c r="E971" s="21"/>
      <c r="F971" s="19"/>
      <c r="G971" s="27" t="str">
        <f aca="false">IF(B971="","",IFERROR(INDEX(Jeux!$C$2:$C$3001,MATCH(B971,Jeux!$A$2:$A$3001,0))&amp;"","⚠ jeu inconnu"))</f>
        <v/>
      </c>
      <c r="H971" s="27" t="str">
        <f aca="false">IF(B971="","",IFERROR(INDEX(Jeux!$D$2:$D$3001,MATCH(B971,Jeux!$A$2:$A$3001,0))&amp;"",""))</f>
        <v/>
      </c>
      <c r="I971" s="26" t="str">
        <f aca="false">IF(A971="","",COUNTIF(Apparitions!$G$2:$G$5001,A971))</f>
        <v/>
      </c>
      <c r="J971" s="26" t="str">
        <f aca="false">IF(A971="","",COUNTIFS(Apparitions!$G$2:$G$5001,A971,Apparitions!$E$2:$E$5001,"○"))</f>
        <v/>
      </c>
      <c r="K971" s="29" t="str">
        <f aca="false">IF(A971="","",IFERROR(1/(1/_xlfn.MINIFS(Apparitions!$L$2:$L$5001,Apparitions!$G$2:$G$5001,A971)),""))</f>
        <v/>
      </c>
      <c r="L971" s="27" t="str">
        <f aca="false">IF(A971="","",A971&amp;" | "&amp;B971&amp;IF(C971="",""," ("&amp;C971&amp;")")&amp;IF(D971="",""," - "&amp;D971))</f>
        <v/>
      </c>
    </row>
    <row r="972" customFormat="false" ht="15" hidden="false" customHeight="false" outlineLevel="0" collapsed="false">
      <c r="A972" s="32"/>
      <c r="B972" s="19"/>
      <c r="C972" s="19"/>
      <c r="D972" s="19"/>
      <c r="E972" s="21"/>
      <c r="F972" s="19"/>
      <c r="G972" s="27" t="str">
        <f aca="false">IF(B972="","",IFERROR(INDEX(Jeux!$C$2:$C$3001,MATCH(B972,Jeux!$A$2:$A$3001,0))&amp;"","⚠ jeu inconnu"))</f>
        <v/>
      </c>
      <c r="H972" s="27" t="str">
        <f aca="false">IF(B972="","",IFERROR(INDEX(Jeux!$D$2:$D$3001,MATCH(B972,Jeux!$A$2:$A$3001,0))&amp;"",""))</f>
        <v/>
      </c>
      <c r="I972" s="26" t="str">
        <f aca="false">IF(A972="","",COUNTIF(Apparitions!$G$2:$G$5001,A972))</f>
        <v/>
      </c>
      <c r="J972" s="26" t="str">
        <f aca="false">IF(A972="","",COUNTIFS(Apparitions!$G$2:$G$5001,A972,Apparitions!$E$2:$E$5001,"○"))</f>
        <v/>
      </c>
      <c r="K972" s="29" t="str">
        <f aca="false">IF(A972="","",IFERROR(1/(1/_xlfn.MINIFS(Apparitions!$L$2:$L$5001,Apparitions!$G$2:$G$5001,A972)),""))</f>
        <v/>
      </c>
      <c r="L972" s="27" t="str">
        <f aca="false">IF(A972="","",A972&amp;" | "&amp;B972&amp;IF(C972="",""," ("&amp;C972&amp;")")&amp;IF(D972="",""," - "&amp;D972))</f>
        <v/>
      </c>
    </row>
    <row r="973" customFormat="false" ht="15" hidden="false" customHeight="false" outlineLevel="0" collapsed="false">
      <c r="A973" s="32"/>
      <c r="B973" s="19"/>
      <c r="C973" s="19"/>
      <c r="D973" s="19"/>
      <c r="E973" s="21"/>
      <c r="F973" s="19"/>
      <c r="G973" s="27" t="str">
        <f aca="false">IF(B973="","",IFERROR(INDEX(Jeux!$C$2:$C$3001,MATCH(B973,Jeux!$A$2:$A$3001,0))&amp;"","⚠ jeu inconnu"))</f>
        <v/>
      </c>
      <c r="H973" s="27" t="str">
        <f aca="false">IF(B973="","",IFERROR(INDEX(Jeux!$D$2:$D$3001,MATCH(B973,Jeux!$A$2:$A$3001,0))&amp;"",""))</f>
        <v/>
      </c>
      <c r="I973" s="26" t="str">
        <f aca="false">IF(A973="","",COUNTIF(Apparitions!$G$2:$G$5001,A973))</f>
        <v/>
      </c>
      <c r="J973" s="26" t="str">
        <f aca="false">IF(A973="","",COUNTIFS(Apparitions!$G$2:$G$5001,A973,Apparitions!$E$2:$E$5001,"○"))</f>
        <v/>
      </c>
      <c r="K973" s="29" t="str">
        <f aca="false">IF(A973="","",IFERROR(1/(1/_xlfn.MINIFS(Apparitions!$L$2:$L$5001,Apparitions!$G$2:$G$5001,A973)),""))</f>
        <v/>
      </c>
      <c r="L973" s="27" t="str">
        <f aca="false">IF(A973="","",A973&amp;" | "&amp;B973&amp;IF(C973="",""," ("&amp;C973&amp;")")&amp;IF(D973="",""," - "&amp;D973))</f>
        <v/>
      </c>
    </row>
    <row r="974" customFormat="false" ht="15" hidden="false" customHeight="false" outlineLevel="0" collapsed="false">
      <c r="A974" s="32"/>
      <c r="B974" s="19"/>
      <c r="C974" s="19"/>
      <c r="D974" s="19"/>
      <c r="E974" s="21"/>
      <c r="F974" s="19"/>
      <c r="G974" s="27" t="str">
        <f aca="false">IF(B974="","",IFERROR(INDEX(Jeux!$C$2:$C$3001,MATCH(B974,Jeux!$A$2:$A$3001,0))&amp;"","⚠ jeu inconnu"))</f>
        <v/>
      </c>
      <c r="H974" s="27" t="str">
        <f aca="false">IF(B974="","",IFERROR(INDEX(Jeux!$D$2:$D$3001,MATCH(B974,Jeux!$A$2:$A$3001,0))&amp;"",""))</f>
        <v/>
      </c>
      <c r="I974" s="26" t="str">
        <f aca="false">IF(A974="","",COUNTIF(Apparitions!$G$2:$G$5001,A974))</f>
        <v/>
      </c>
      <c r="J974" s="26" t="str">
        <f aca="false">IF(A974="","",COUNTIFS(Apparitions!$G$2:$G$5001,A974,Apparitions!$E$2:$E$5001,"○"))</f>
        <v/>
      </c>
      <c r="K974" s="29" t="str">
        <f aca="false">IF(A974="","",IFERROR(1/(1/_xlfn.MINIFS(Apparitions!$L$2:$L$5001,Apparitions!$G$2:$G$5001,A974)),""))</f>
        <v/>
      </c>
      <c r="L974" s="27" t="str">
        <f aca="false">IF(A974="","",A974&amp;" | "&amp;B974&amp;IF(C974="",""," ("&amp;C974&amp;")")&amp;IF(D974="",""," - "&amp;D974))</f>
        <v/>
      </c>
    </row>
    <row r="975" customFormat="false" ht="15" hidden="false" customHeight="false" outlineLevel="0" collapsed="false">
      <c r="A975" s="32"/>
      <c r="B975" s="19"/>
      <c r="C975" s="19"/>
      <c r="D975" s="19"/>
      <c r="E975" s="21"/>
      <c r="F975" s="19"/>
      <c r="G975" s="27" t="str">
        <f aca="false">IF(B975="","",IFERROR(INDEX(Jeux!$C$2:$C$3001,MATCH(B975,Jeux!$A$2:$A$3001,0))&amp;"","⚠ jeu inconnu"))</f>
        <v/>
      </c>
      <c r="H975" s="27" t="str">
        <f aca="false">IF(B975="","",IFERROR(INDEX(Jeux!$D$2:$D$3001,MATCH(B975,Jeux!$A$2:$A$3001,0))&amp;"",""))</f>
        <v/>
      </c>
      <c r="I975" s="26" t="str">
        <f aca="false">IF(A975="","",COUNTIF(Apparitions!$G$2:$G$5001,A975))</f>
        <v/>
      </c>
      <c r="J975" s="26" t="str">
        <f aca="false">IF(A975="","",COUNTIFS(Apparitions!$G$2:$G$5001,A975,Apparitions!$E$2:$E$5001,"○"))</f>
        <v/>
      </c>
      <c r="K975" s="29" t="str">
        <f aca="false">IF(A975="","",IFERROR(1/(1/_xlfn.MINIFS(Apparitions!$L$2:$L$5001,Apparitions!$G$2:$G$5001,A975)),""))</f>
        <v/>
      </c>
      <c r="L975" s="27" t="str">
        <f aca="false">IF(A975="","",A975&amp;" | "&amp;B975&amp;IF(C975="",""," ("&amp;C975&amp;")")&amp;IF(D975="",""," - "&amp;D975))</f>
        <v/>
      </c>
    </row>
    <row r="976" customFormat="false" ht="15" hidden="false" customHeight="false" outlineLevel="0" collapsed="false">
      <c r="A976" s="32"/>
      <c r="B976" s="19"/>
      <c r="C976" s="19"/>
      <c r="D976" s="19"/>
      <c r="E976" s="21"/>
      <c r="F976" s="19"/>
      <c r="G976" s="27" t="str">
        <f aca="false">IF(B976="","",IFERROR(INDEX(Jeux!$C$2:$C$3001,MATCH(B976,Jeux!$A$2:$A$3001,0))&amp;"","⚠ jeu inconnu"))</f>
        <v/>
      </c>
      <c r="H976" s="27" t="str">
        <f aca="false">IF(B976="","",IFERROR(INDEX(Jeux!$D$2:$D$3001,MATCH(B976,Jeux!$A$2:$A$3001,0))&amp;"",""))</f>
        <v/>
      </c>
      <c r="I976" s="26" t="str">
        <f aca="false">IF(A976="","",COUNTIF(Apparitions!$G$2:$G$5001,A976))</f>
        <v/>
      </c>
      <c r="J976" s="26" t="str">
        <f aca="false">IF(A976="","",COUNTIFS(Apparitions!$G$2:$G$5001,A976,Apparitions!$E$2:$E$5001,"○"))</f>
        <v/>
      </c>
      <c r="K976" s="29" t="str">
        <f aca="false">IF(A976="","",IFERROR(1/(1/_xlfn.MINIFS(Apparitions!$L$2:$L$5001,Apparitions!$G$2:$G$5001,A976)),""))</f>
        <v/>
      </c>
      <c r="L976" s="27" t="str">
        <f aca="false">IF(A976="","",A976&amp;" | "&amp;B976&amp;IF(C976="",""," ("&amp;C976&amp;")")&amp;IF(D976="",""," - "&amp;D976))</f>
        <v/>
      </c>
    </row>
    <row r="977" customFormat="false" ht="15" hidden="false" customHeight="false" outlineLevel="0" collapsed="false">
      <c r="A977" s="32"/>
      <c r="B977" s="19"/>
      <c r="C977" s="19"/>
      <c r="D977" s="19"/>
      <c r="E977" s="21"/>
      <c r="F977" s="19"/>
      <c r="G977" s="27" t="str">
        <f aca="false">IF(B977="","",IFERROR(INDEX(Jeux!$C$2:$C$3001,MATCH(B977,Jeux!$A$2:$A$3001,0))&amp;"","⚠ jeu inconnu"))</f>
        <v/>
      </c>
      <c r="H977" s="27" t="str">
        <f aca="false">IF(B977="","",IFERROR(INDEX(Jeux!$D$2:$D$3001,MATCH(B977,Jeux!$A$2:$A$3001,0))&amp;"",""))</f>
        <v/>
      </c>
      <c r="I977" s="26" t="str">
        <f aca="false">IF(A977="","",COUNTIF(Apparitions!$G$2:$G$5001,A977))</f>
        <v/>
      </c>
      <c r="J977" s="26" t="str">
        <f aca="false">IF(A977="","",COUNTIFS(Apparitions!$G$2:$G$5001,A977,Apparitions!$E$2:$E$5001,"○"))</f>
        <v/>
      </c>
      <c r="K977" s="29" t="str">
        <f aca="false">IF(A977="","",IFERROR(1/(1/_xlfn.MINIFS(Apparitions!$L$2:$L$5001,Apparitions!$G$2:$G$5001,A977)),""))</f>
        <v/>
      </c>
      <c r="L977" s="27" t="str">
        <f aca="false">IF(A977="","",A977&amp;" | "&amp;B977&amp;IF(C977="",""," ("&amp;C977&amp;")")&amp;IF(D977="",""," - "&amp;D977))</f>
        <v/>
      </c>
    </row>
    <row r="978" customFormat="false" ht="15" hidden="false" customHeight="false" outlineLevel="0" collapsed="false">
      <c r="A978" s="32"/>
      <c r="B978" s="19"/>
      <c r="C978" s="19"/>
      <c r="D978" s="19"/>
      <c r="E978" s="21"/>
      <c r="F978" s="19"/>
      <c r="G978" s="27" t="str">
        <f aca="false">IF(B978="","",IFERROR(INDEX(Jeux!$C$2:$C$3001,MATCH(B978,Jeux!$A$2:$A$3001,0))&amp;"","⚠ jeu inconnu"))</f>
        <v/>
      </c>
      <c r="H978" s="27" t="str">
        <f aca="false">IF(B978="","",IFERROR(INDEX(Jeux!$D$2:$D$3001,MATCH(B978,Jeux!$A$2:$A$3001,0))&amp;"",""))</f>
        <v/>
      </c>
      <c r="I978" s="26" t="str">
        <f aca="false">IF(A978="","",COUNTIF(Apparitions!$G$2:$G$5001,A978))</f>
        <v/>
      </c>
      <c r="J978" s="26" t="str">
        <f aca="false">IF(A978="","",COUNTIFS(Apparitions!$G$2:$G$5001,A978,Apparitions!$E$2:$E$5001,"○"))</f>
        <v/>
      </c>
      <c r="K978" s="29" t="str">
        <f aca="false">IF(A978="","",IFERROR(1/(1/_xlfn.MINIFS(Apparitions!$L$2:$L$5001,Apparitions!$G$2:$G$5001,A978)),""))</f>
        <v/>
      </c>
      <c r="L978" s="27" t="str">
        <f aca="false">IF(A978="","",A978&amp;" | "&amp;B978&amp;IF(C978="",""," ("&amp;C978&amp;")")&amp;IF(D978="",""," - "&amp;D978))</f>
        <v/>
      </c>
    </row>
    <row r="979" customFormat="false" ht="15" hidden="false" customHeight="false" outlineLevel="0" collapsed="false">
      <c r="A979" s="32"/>
      <c r="B979" s="19"/>
      <c r="C979" s="19"/>
      <c r="D979" s="19"/>
      <c r="E979" s="21"/>
      <c r="F979" s="19"/>
      <c r="G979" s="27" t="str">
        <f aca="false">IF(B979="","",IFERROR(INDEX(Jeux!$C$2:$C$3001,MATCH(B979,Jeux!$A$2:$A$3001,0))&amp;"","⚠ jeu inconnu"))</f>
        <v/>
      </c>
      <c r="H979" s="27" t="str">
        <f aca="false">IF(B979="","",IFERROR(INDEX(Jeux!$D$2:$D$3001,MATCH(B979,Jeux!$A$2:$A$3001,0))&amp;"",""))</f>
        <v/>
      </c>
      <c r="I979" s="26" t="str">
        <f aca="false">IF(A979="","",COUNTIF(Apparitions!$G$2:$G$5001,A979))</f>
        <v/>
      </c>
      <c r="J979" s="26" t="str">
        <f aca="false">IF(A979="","",COUNTIFS(Apparitions!$G$2:$G$5001,A979,Apparitions!$E$2:$E$5001,"○"))</f>
        <v/>
      </c>
      <c r="K979" s="29" t="str">
        <f aca="false">IF(A979="","",IFERROR(1/(1/_xlfn.MINIFS(Apparitions!$L$2:$L$5001,Apparitions!$G$2:$G$5001,A979)),""))</f>
        <v/>
      </c>
      <c r="L979" s="27" t="str">
        <f aca="false">IF(A979="","",A979&amp;" | "&amp;B979&amp;IF(C979="",""," ("&amp;C979&amp;")")&amp;IF(D979="",""," - "&amp;D979))</f>
        <v/>
      </c>
    </row>
    <row r="980" customFormat="false" ht="15" hidden="false" customHeight="false" outlineLevel="0" collapsed="false">
      <c r="A980" s="32"/>
      <c r="B980" s="19"/>
      <c r="C980" s="19"/>
      <c r="D980" s="19"/>
      <c r="E980" s="21"/>
      <c r="F980" s="19"/>
      <c r="G980" s="27" t="str">
        <f aca="false">IF(B980="","",IFERROR(INDEX(Jeux!$C$2:$C$3001,MATCH(B980,Jeux!$A$2:$A$3001,0))&amp;"","⚠ jeu inconnu"))</f>
        <v/>
      </c>
      <c r="H980" s="27" t="str">
        <f aca="false">IF(B980="","",IFERROR(INDEX(Jeux!$D$2:$D$3001,MATCH(B980,Jeux!$A$2:$A$3001,0))&amp;"",""))</f>
        <v/>
      </c>
      <c r="I980" s="26" t="str">
        <f aca="false">IF(A980="","",COUNTIF(Apparitions!$G$2:$G$5001,A980))</f>
        <v/>
      </c>
      <c r="J980" s="26" t="str">
        <f aca="false">IF(A980="","",COUNTIFS(Apparitions!$G$2:$G$5001,A980,Apparitions!$E$2:$E$5001,"○"))</f>
        <v/>
      </c>
      <c r="K980" s="29" t="str">
        <f aca="false">IF(A980="","",IFERROR(1/(1/_xlfn.MINIFS(Apparitions!$L$2:$L$5001,Apparitions!$G$2:$G$5001,A980)),""))</f>
        <v/>
      </c>
      <c r="L980" s="27" t="str">
        <f aca="false">IF(A980="","",A980&amp;" | "&amp;B980&amp;IF(C980="",""," ("&amp;C980&amp;")")&amp;IF(D980="",""," - "&amp;D980))</f>
        <v/>
      </c>
    </row>
    <row r="981" customFormat="false" ht="15" hidden="false" customHeight="false" outlineLevel="0" collapsed="false">
      <c r="A981" s="32"/>
      <c r="B981" s="19"/>
      <c r="C981" s="19"/>
      <c r="D981" s="19"/>
      <c r="E981" s="21"/>
      <c r="F981" s="19"/>
      <c r="G981" s="27" t="str">
        <f aca="false">IF(B981="","",IFERROR(INDEX(Jeux!$C$2:$C$3001,MATCH(B981,Jeux!$A$2:$A$3001,0))&amp;"","⚠ jeu inconnu"))</f>
        <v/>
      </c>
      <c r="H981" s="27" t="str">
        <f aca="false">IF(B981="","",IFERROR(INDEX(Jeux!$D$2:$D$3001,MATCH(B981,Jeux!$A$2:$A$3001,0))&amp;"",""))</f>
        <v/>
      </c>
      <c r="I981" s="26" t="str">
        <f aca="false">IF(A981="","",COUNTIF(Apparitions!$G$2:$G$5001,A981))</f>
        <v/>
      </c>
      <c r="J981" s="26" t="str">
        <f aca="false">IF(A981="","",COUNTIFS(Apparitions!$G$2:$G$5001,A981,Apparitions!$E$2:$E$5001,"○"))</f>
        <v/>
      </c>
      <c r="K981" s="29" t="str">
        <f aca="false">IF(A981="","",IFERROR(1/(1/_xlfn.MINIFS(Apparitions!$L$2:$L$5001,Apparitions!$G$2:$G$5001,A981)),""))</f>
        <v/>
      </c>
      <c r="L981" s="27" t="str">
        <f aca="false">IF(A981="","",A981&amp;" | "&amp;B981&amp;IF(C981="",""," ("&amp;C981&amp;")")&amp;IF(D981="",""," - "&amp;D981))</f>
        <v/>
      </c>
    </row>
    <row r="982" customFormat="false" ht="15" hidden="false" customHeight="false" outlineLevel="0" collapsed="false">
      <c r="A982" s="32"/>
      <c r="B982" s="19"/>
      <c r="C982" s="19"/>
      <c r="D982" s="19"/>
      <c r="E982" s="21"/>
      <c r="F982" s="19"/>
      <c r="G982" s="27" t="str">
        <f aca="false">IF(B982="","",IFERROR(INDEX(Jeux!$C$2:$C$3001,MATCH(B982,Jeux!$A$2:$A$3001,0))&amp;"","⚠ jeu inconnu"))</f>
        <v/>
      </c>
      <c r="H982" s="27" t="str">
        <f aca="false">IF(B982="","",IFERROR(INDEX(Jeux!$D$2:$D$3001,MATCH(B982,Jeux!$A$2:$A$3001,0))&amp;"",""))</f>
        <v/>
      </c>
      <c r="I982" s="26" t="str">
        <f aca="false">IF(A982="","",COUNTIF(Apparitions!$G$2:$G$5001,A982))</f>
        <v/>
      </c>
      <c r="J982" s="26" t="str">
        <f aca="false">IF(A982="","",COUNTIFS(Apparitions!$G$2:$G$5001,A982,Apparitions!$E$2:$E$5001,"○"))</f>
        <v/>
      </c>
      <c r="K982" s="29" t="str">
        <f aca="false">IF(A982="","",IFERROR(1/(1/_xlfn.MINIFS(Apparitions!$L$2:$L$5001,Apparitions!$G$2:$G$5001,A982)),""))</f>
        <v/>
      </c>
      <c r="L982" s="27" t="str">
        <f aca="false">IF(A982="","",A982&amp;" | "&amp;B982&amp;IF(C982="",""," ("&amp;C982&amp;")")&amp;IF(D982="",""," - "&amp;D982))</f>
        <v/>
      </c>
    </row>
    <row r="983" customFormat="false" ht="15" hidden="false" customHeight="false" outlineLevel="0" collapsed="false">
      <c r="A983" s="32"/>
      <c r="B983" s="19"/>
      <c r="C983" s="19"/>
      <c r="D983" s="19"/>
      <c r="E983" s="21"/>
      <c r="F983" s="19"/>
      <c r="G983" s="27" t="str">
        <f aca="false">IF(B983="","",IFERROR(INDEX(Jeux!$C$2:$C$3001,MATCH(B983,Jeux!$A$2:$A$3001,0))&amp;"","⚠ jeu inconnu"))</f>
        <v/>
      </c>
      <c r="H983" s="27" t="str">
        <f aca="false">IF(B983="","",IFERROR(INDEX(Jeux!$D$2:$D$3001,MATCH(B983,Jeux!$A$2:$A$3001,0))&amp;"",""))</f>
        <v/>
      </c>
      <c r="I983" s="26" t="str">
        <f aca="false">IF(A983="","",COUNTIF(Apparitions!$G$2:$G$5001,A983))</f>
        <v/>
      </c>
      <c r="J983" s="26" t="str">
        <f aca="false">IF(A983="","",COUNTIFS(Apparitions!$G$2:$G$5001,A983,Apparitions!$E$2:$E$5001,"○"))</f>
        <v/>
      </c>
      <c r="K983" s="29" t="str">
        <f aca="false">IF(A983="","",IFERROR(1/(1/_xlfn.MINIFS(Apparitions!$L$2:$L$5001,Apparitions!$G$2:$G$5001,A983)),""))</f>
        <v/>
      </c>
      <c r="L983" s="27" t="str">
        <f aca="false">IF(A983="","",A983&amp;" | "&amp;B983&amp;IF(C983="",""," ("&amp;C983&amp;")")&amp;IF(D983="",""," - "&amp;D983))</f>
        <v/>
      </c>
    </row>
    <row r="984" customFormat="false" ht="15" hidden="false" customHeight="false" outlineLevel="0" collapsed="false">
      <c r="A984" s="32"/>
      <c r="B984" s="19"/>
      <c r="C984" s="19"/>
      <c r="D984" s="19"/>
      <c r="E984" s="21"/>
      <c r="F984" s="19"/>
      <c r="G984" s="27" t="str">
        <f aca="false">IF(B984="","",IFERROR(INDEX(Jeux!$C$2:$C$3001,MATCH(B984,Jeux!$A$2:$A$3001,0))&amp;"","⚠ jeu inconnu"))</f>
        <v/>
      </c>
      <c r="H984" s="27" t="str">
        <f aca="false">IF(B984="","",IFERROR(INDEX(Jeux!$D$2:$D$3001,MATCH(B984,Jeux!$A$2:$A$3001,0))&amp;"",""))</f>
        <v/>
      </c>
      <c r="I984" s="26" t="str">
        <f aca="false">IF(A984="","",COUNTIF(Apparitions!$G$2:$G$5001,A984))</f>
        <v/>
      </c>
      <c r="J984" s="26" t="str">
        <f aca="false">IF(A984="","",COUNTIFS(Apparitions!$G$2:$G$5001,A984,Apparitions!$E$2:$E$5001,"○"))</f>
        <v/>
      </c>
      <c r="K984" s="29" t="str">
        <f aca="false">IF(A984="","",IFERROR(1/(1/_xlfn.MINIFS(Apparitions!$L$2:$L$5001,Apparitions!$G$2:$G$5001,A984)),""))</f>
        <v/>
      </c>
      <c r="L984" s="27" t="str">
        <f aca="false">IF(A984="","",A984&amp;" | "&amp;B984&amp;IF(C984="",""," ("&amp;C984&amp;")")&amp;IF(D984="",""," - "&amp;D984))</f>
        <v/>
      </c>
    </row>
    <row r="985" customFormat="false" ht="15" hidden="false" customHeight="false" outlineLevel="0" collapsed="false">
      <c r="A985" s="32"/>
      <c r="B985" s="19"/>
      <c r="C985" s="19"/>
      <c r="D985" s="19"/>
      <c r="E985" s="21"/>
      <c r="F985" s="19"/>
      <c r="G985" s="27" t="str">
        <f aca="false">IF(B985="","",IFERROR(INDEX(Jeux!$C$2:$C$3001,MATCH(B985,Jeux!$A$2:$A$3001,0))&amp;"","⚠ jeu inconnu"))</f>
        <v/>
      </c>
      <c r="H985" s="27" t="str">
        <f aca="false">IF(B985="","",IFERROR(INDEX(Jeux!$D$2:$D$3001,MATCH(B985,Jeux!$A$2:$A$3001,0))&amp;"",""))</f>
        <v/>
      </c>
      <c r="I985" s="26" t="str">
        <f aca="false">IF(A985="","",COUNTIF(Apparitions!$G$2:$G$5001,A985))</f>
        <v/>
      </c>
      <c r="J985" s="26" t="str">
        <f aca="false">IF(A985="","",COUNTIFS(Apparitions!$G$2:$G$5001,A985,Apparitions!$E$2:$E$5001,"○"))</f>
        <v/>
      </c>
      <c r="K985" s="29" t="str">
        <f aca="false">IF(A985="","",IFERROR(1/(1/_xlfn.MINIFS(Apparitions!$L$2:$L$5001,Apparitions!$G$2:$G$5001,A985)),""))</f>
        <v/>
      </c>
      <c r="L985" s="27" t="str">
        <f aca="false">IF(A985="","",A985&amp;" | "&amp;B985&amp;IF(C985="",""," ("&amp;C985&amp;")")&amp;IF(D985="",""," - "&amp;D985))</f>
        <v/>
      </c>
    </row>
    <row r="986" customFormat="false" ht="15" hidden="false" customHeight="false" outlineLevel="0" collapsed="false">
      <c r="A986" s="32"/>
      <c r="B986" s="19"/>
      <c r="C986" s="19"/>
      <c r="D986" s="19"/>
      <c r="E986" s="21"/>
      <c r="F986" s="19"/>
      <c r="G986" s="27" t="str">
        <f aca="false">IF(B986="","",IFERROR(INDEX(Jeux!$C$2:$C$3001,MATCH(B986,Jeux!$A$2:$A$3001,0))&amp;"","⚠ jeu inconnu"))</f>
        <v/>
      </c>
      <c r="H986" s="27" t="str">
        <f aca="false">IF(B986="","",IFERROR(INDEX(Jeux!$D$2:$D$3001,MATCH(B986,Jeux!$A$2:$A$3001,0))&amp;"",""))</f>
        <v/>
      </c>
      <c r="I986" s="26" t="str">
        <f aca="false">IF(A986="","",COUNTIF(Apparitions!$G$2:$G$5001,A986))</f>
        <v/>
      </c>
      <c r="J986" s="26" t="str">
        <f aca="false">IF(A986="","",COUNTIFS(Apparitions!$G$2:$G$5001,A986,Apparitions!$E$2:$E$5001,"○"))</f>
        <v/>
      </c>
      <c r="K986" s="29" t="str">
        <f aca="false">IF(A986="","",IFERROR(1/(1/_xlfn.MINIFS(Apparitions!$L$2:$L$5001,Apparitions!$G$2:$G$5001,A986)),""))</f>
        <v/>
      </c>
      <c r="L986" s="27" t="str">
        <f aca="false">IF(A986="","",A986&amp;" | "&amp;B986&amp;IF(C986="",""," ("&amp;C986&amp;")")&amp;IF(D986="",""," - "&amp;D986))</f>
        <v/>
      </c>
    </row>
    <row r="987" customFormat="false" ht="15" hidden="false" customHeight="false" outlineLevel="0" collapsed="false">
      <c r="A987" s="32"/>
      <c r="B987" s="19"/>
      <c r="C987" s="19"/>
      <c r="D987" s="19"/>
      <c r="E987" s="21"/>
      <c r="F987" s="19"/>
      <c r="G987" s="27" t="str">
        <f aca="false">IF(B987="","",IFERROR(INDEX(Jeux!$C$2:$C$3001,MATCH(B987,Jeux!$A$2:$A$3001,0))&amp;"","⚠ jeu inconnu"))</f>
        <v/>
      </c>
      <c r="H987" s="27" t="str">
        <f aca="false">IF(B987="","",IFERROR(INDEX(Jeux!$D$2:$D$3001,MATCH(B987,Jeux!$A$2:$A$3001,0))&amp;"",""))</f>
        <v/>
      </c>
      <c r="I987" s="26" t="str">
        <f aca="false">IF(A987="","",COUNTIF(Apparitions!$G$2:$G$5001,A987))</f>
        <v/>
      </c>
      <c r="J987" s="26" t="str">
        <f aca="false">IF(A987="","",COUNTIFS(Apparitions!$G$2:$G$5001,A987,Apparitions!$E$2:$E$5001,"○"))</f>
        <v/>
      </c>
      <c r="K987" s="29" t="str">
        <f aca="false">IF(A987="","",IFERROR(1/(1/_xlfn.MINIFS(Apparitions!$L$2:$L$5001,Apparitions!$G$2:$G$5001,A987)),""))</f>
        <v/>
      </c>
      <c r="L987" s="27" t="str">
        <f aca="false">IF(A987="","",A987&amp;" | "&amp;B987&amp;IF(C987="",""," ("&amp;C987&amp;")")&amp;IF(D987="",""," - "&amp;D987))</f>
        <v/>
      </c>
    </row>
    <row r="988" customFormat="false" ht="15" hidden="false" customHeight="false" outlineLevel="0" collapsed="false">
      <c r="A988" s="32"/>
      <c r="B988" s="19"/>
      <c r="C988" s="19"/>
      <c r="D988" s="19"/>
      <c r="E988" s="21"/>
      <c r="F988" s="19"/>
      <c r="G988" s="27" t="str">
        <f aca="false">IF(B988="","",IFERROR(INDEX(Jeux!$C$2:$C$3001,MATCH(B988,Jeux!$A$2:$A$3001,0))&amp;"","⚠ jeu inconnu"))</f>
        <v/>
      </c>
      <c r="H988" s="27" t="str">
        <f aca="false">IF(B988="","",IFERROR(INDEX(Jeux!$D$2:$D$3001,MATCH(B988,Jeux!$A$2:$A$3001,0))&amp;"",""))</f>
        <v/>
      </c>
      <c r="I988" s="26" t="str">
        <f aca="false">IF(A988="","",COUNTIF(Apparitions!$G$2:$G$5001,A988))</f>
        <v/>
      </c>
      <c r="J988" s="26" t="str">
        <f aca="false">IF(A988="","",COUNTIFS(Apparitions!$G$2:$G$5001,A988,Apparitions!$E$2:$E$5001,"○"))</f>
        <v/>
      </c>
      <c r="K988" s="29" t="str">
        <f aca="false">IF(A988="","",IFERROR(1/(1/_xlfn.MINIFS(Apparitions!$L$2:$L$5001,Apparitions!$G$2:$G$5001,A988)),""))</f>
        <v/>
      </c>
      <c r="L988" s="27" t="str">
        <f aca="false">IF(A988="","",A988&amp;" | "&amp;B988&amp;IF(C988="",""," ("&amp;C988&amp;")")&amp;IF(D988="",""," - "&amp;D988))</f>
        <v/>
      </c>
    </row>
    <row r="989" customFormat="false" ht="15" hidden="false" customHeight="false" outlineLevel="0" collapsed="false">
      <c r="A989" s="32"/>
      <c r="B989" s="19"/>
      <c r="C989" s="19"/>
      <c r="D989" s="19"/>
      <c r="E989" s="21"/>
      <c r="F989" s="19"/>
      <c r="G989" s="27" t="str">
        <f aca="false">IF(B989="","",IFERROR(INDEX(Jeux!$C$2:$C$3001,MATCH(B989,Jeux!$A$2:$A$3001,0))&amp;"","⚠ jeu inconnu"))</f>
        <v/>
      </c>
      <c r="H989" s="27" t="str">
        <f aca="false">IF(B989="","",IFERROR(INDEX(Jeux!$D$2:$D$3001,MATCH(B989,Jeux!$A$2:$A$3001,0))&amp;"",""))</f>
        <v/>
      </c>
      <c r="I989" s="26" t="str">
        <f aca="false">IF(A989="","",COUNTIF(Apparitions!$G$2:$G$5001,A989))</f>
        <v/>
      </c>
      <c r="J989" s="26" t="str">
        <f aca="false">IF(A989="","",COUNTIFS(Apparitions!$G$2:$G$5001,A989,Apparitions!$E$2:$E$5001,"○"))</f>
        <v/>
      </c>
      <c r="K989" s="29" t="str">
        <f aca="false">IF(A989="","",IFERROR(1/(1/_xlfn.MINIFS(Apparitions!$L$2:$L$5001,Apparitions!$G$2:$G$5001,A989)),""))</f>
        <v/>
      </c>
      <c r="L989" s="27" t="str">
        <f aca="false">IF(A989="","",A989&amp;" | "&amp;B989&amp;IF(C989="",""," ("&amp;C989&amp;")")&amp;IF(D989="",""," - "&amp;D989))</f>
        <v/>
      </c>
    </row>
    <row r="990" customFormat="false" ht="15" hidden="false" customHeight="false" outlineLevel="0" collapsed="false">
      <c r="A990" s="32"/>
      <c r="B990" s="19"/>
      <c r="C990" s="19"/>
      <c r="D990" s="19"/>
      <c r="E990" s="21"/>
      <c r="F990" s="19"/>
      <c r="G990" s="27" t="str">
        <f aca="false">IF(B990="","",IFERROR(INDEX(Jeux!$C$2:$C$3001,MATCH(B990,Jeux!$A$2:$A$3001,0))&amp;"","⚠ jeu inconnu"))</f>
        <v/>
      </c>
      <c r="H990" s="27" t="str">
        <f aca="false">IF(B990="","",IFERROR(INDEX(Jeux!$D$2:$D$3001,MATCH(B990,Jeux!$A$2:$A$3001,0))&amp;"",""))</f>
        <v/>
      </c>
      <c r="I990" s="26" t="str">
        <f aca="false">IF(A990="","",COUNTIF(Apparitions!$G$2:$G$5001,A990))</f>
        <v/>
      </c>
      <c r="J990" s="26" t="str">
        <f aca="false">IF(A990="","",COUNTIFS(Apparitions!$G$2:$G$5001,A990,Apparitions!$E$2:$E$5001,"○"))</f>
        <v/>
      </c>
      <c r="K990" s="29" t="str">
        <f aca="false">IF(A990="","",IFERROR(1/(1/_xlfn.MINIFS(Apparitions!$L$2:$L$5001,Apparitions!$G$2:$G$5001,A990)),""))</f>
        <v/>
      </c>
      <c r="L990" s="27" t="str">
        <f aca="false">IF(A990="","",A990&amp;" | "&amp;B990&amp;IF(C990="",""," ("&amp;C990&amp;")")&amp;IF(D990="",""," - "&amp;D990))</f>
        <v/>
      </c>
    </row>
    <row r="991" customFormat="false" ht="15" hidden="false" customHeight="false" outlineLevel="0" collapsed="false">
      <c r="A991" s="32"/>
      <c r="B991" s="19"/>
      <c r="C991" s="19"/>
      <c r="D991" s="19"/>
      <c r="E991" s="21"/>
      <c r="F991" s="19"/>
      <c r="G991" s="27" t="str">
        <f aca="false">IF(B991="","",IFERROR(INDEX(Jeux!$C$2:$C$3001,MATCH(B991,Jeux!$A$2:$A$3001,0))&amp;"","⚠ jeu inconnu"))</f>
        <v/>
      </c>
      <c r="H991" s="27" t="str">
        <f aca="false">IF(B991="","",IFERROR(INDEX(Jeux!$D$2:$D$3001,MATCH(B991,Jeux!$A$2:$A$3001,0))&amp;"",""))</f>
        <v/>
      </c>
      <c r="I991" s="26" t="str">
        <f aca="false">IF(A991="","",COUNTIF(Apparitions!$G$2:$G$5001,A991))</f>
        <v/>
      </c>
      <c r="J991" s="26" t="str">
        <f aca="false">IF(A991="","",COUNTIFS(Apparitions!$G$2:$G$5001,A991,Apparitions!$E$2:$E$5001,"○"))</f>
        <v/>
      </c>
      <c r="K991" s="29" t="str">
        <f aca="false">IF(A991="","",IFERROR(1/(1/_xlfn.MINIFS(Apparitions!$L$2:$L$5001,Apparitions!$G$2:$G$5001,A991)),""))</f>
        <v/>
      </c>
      <c r="L991" s="27" t="str">
        <f aca="false">IF(A991="","",A991&amp;" | "&amp;B991&amp;IF(C991="",""," ("&amp;C991&amp;")")&amp;IF(D991="",""," - "&amp;D991))</f>
        <v/>
      </c>
    </row>
    <row r="992" customFormat="false" ht="15" hidden="false" customHeight="false" outlineLevel="0" collapsed="false">
      <c r="A992" s="32"/>
      <c r="B992" s="19"/>
      <c r="C992" s="19"/>
      <c r="D992" s="19"/>
      <c r="E992" s="21"/>
      <c r="F992" s="19"/>
      <c r="G992" s="27" t="str">
        <f aca="false">IF(B992="","",IFERROR(INDEX(Jeux!$C$2:$C$3001,MATCH(B992,Jeux!$A$2:$A$3001,0))&amp;"","⚠ jeu inconnu"))</f>
        <v/>
      </c>
      <c r="H992" s="27" t="str">
        <f aca="false">IF(B992="","",IFERROR(INDEX(Jeux!$D$2:$D$3001,MATCH(B992,Jeux!$A$2:$A$3001,0))&amp;"",""))</f>
        <v/>
      </c>
      <c r="I992" s="26" t="str">
        <f aca="false">IF(A992="","",COUNTIF(Apparitions!$G$2:$G$5001,A992))</f>
        <v/>
      </c>
      <c r="J992" s="26" t="str">
        <f aca="false">IF(A992="","",COUNTIFS(Apparitions!$G$2:$G$5001,A992,Apparitions!$E$2:$E$5001,"○"))</f>
        <v/>
      </c>
      <c r="K992" s="29" t="str">
        <f aca="false">IF(A992="","",IFERROR(1/(1/_xlfn.MINIFS(Apparitions!$L$2:$L$5001,Apparitions!$G$2:$G$5001,A992)),""))</f>
        <v/>
      </c>
      <c r="L992" s="27" t="str">
        <f aca="false">IF(A992="","",A992&amp;" | "&amp;B992&amp;IF(C992="",""," ("&amp;C992&amp;")")&amp;IF(D992="",""," - "&amp;D992))</f>
        <v/>
      </c>
    </row>
    <row r="993" customFormat="false" ht="15" hidden="false" customHeight="false" outlineLevel="0" collapsed="false">
      <c r="A993" s="32"/>
      <c r="B993" s="19"/>
      <c r="C993" s="19"/>
      <c r="D993" s="19"/>
      <c r="E993" s="21"/>
      <c r="F993" s="19"/>
      <c r="G993" s="27" t="str">
        <f aca="false">IF(B993="","",IFERROR(INDEX(Jeux!$C$2:$C$3001,MATCH(B993,Jeux!$A$2:$A$3001,0))&amp;"","⚠ jeu inconnu"))</f>
        <v/>
      </c>
      <c r="H993" s="27" t="str">
        <f aca="false">IF(B993="","",IFERROR(INDEX(Jeux!$D$2:$D$3001,MATCH(B993,Jeux!$A$2:$A$3001,0))&amp;"",""))</f>
        <v/>
      </c>
      <c r="I993" s="26" t="str">
        <f aca="false">IF(A993="","",COUNTIF(Apparitions!$G$2:$G$5001,A993))</f>
        <v/>
      </c>
      <c r="J993" s="26" t="str">
        <f aca="false">IF(A993="","",COUNTIFS(Apparitions!$G$2:$G$5001,A993,Apparitions!$E$2:$E$5001,"○"))</f>
        <v/>
      </c>
      <c r="K993" s="29" t="str">
        <f aca="false">IF(A993="","",IFERROR(1/(1/_xlfn.MINIFS(Apparitions!$L$2:$L$5001,Apparitions!$G$2:$G$5001,A993)),""))</f>
        <v/>
      </c>
      <c r="L993" s="27" t="str">
        <f aca="false">IF(A993="","",A993&amp;" | "&amp;B993&amp;IF(C993="",""," ("&amp;C993&amp;")")&amp;IF(D993="",""," - "&amp;D993))</f>
        <v/>
      </c>
    </row>
    <row r="994" customFormat="false" ht="15" hidden="false" customHeight="false" outlineLevel="0" collapsed="false">
      <c r="A994" s="32"/>
      <c r="B994" s="19"/>
      <c r="C994" s="19"/>
      <c r="D994" s="19"/>
      <c r="E994" s="21"/>
      <c r="F994" s="19"/>
      <c r="G994" s="27" t="str">
        <f aca="false">IF(B994="","",IFERROR(INDEX(Jeux!$C$2:$C$3001,MATCH(B994,Jeux!$A$2:$A$3001,0))&amp;"","⚠ jeu inconnu"))</f>
        <v/>
      </c>
      <c r="H994" s="27" t="str">
        <f aca="false">IF(B994="","",IFERROR(INDEX(Jeux!$D$2:$D$3001,MATCH(B994,Jeux!$A$2:$A$3001,0))&amp;"",""))</f>
        <v/>
      </c>
      <c r="I994" s="26" t="str">
        <f aca="false">IF(A994="","",COUNTIF(Apparitions!$G$2:$G$5001,A994))</f>
        <v/>
      </c>
      <c r="J994" s="26" t="str">
        <f aca="false">IF(A994="","",COUNTIFS(Apparitions!$G$2:$G$5001,A994,Apparitions!$E$2:$E$5001,"○"))</f>
        <v/>
      </c>
      <c r="K994" s="29" t="str">
        <f aca="false">IF(A994="","",IFERROR(1/(1/_xlfn.MINIFS(Apparitions!$L$2:$L$5001,Apparitions!$G$2:$G$5001,A994)),""))</f>
        <v/>
      </c>
      <c r="L994" s="27" t="str">
        <f aca="false">IF(A994="","",A994&amp;" | "&amp;B994&amp;IF(C994="",""," ("&amp;C994&amp;")")&amp;IF(D994="",""," - "&amp;D994))</f>
        <v/>
      </c>
    </row>
    <row r="995" customFormat="false" ht="15" hidden="false" customHeight="false" outlineLevel="0" collapsed="false">
      <c r="A995" s="32"/>
      <c r="B995" s="19"/>
      <c r="C995" s="19"/>
      <c r="D995" s="19"/>
      <c r="E995" s="21"/>
      <c r="F995" s="19"/>
      <c r="G995" s="27" t="str">
        <f aca="false">IF(B995="","",IFERROR(INDEX(Jeux!$C$2:$C$3001,MATCH(B995,Jeux!$A$2:$A$3001,0))&amp;"","⚠ jeu inconnu"))</f>
        <v/>
      </c>
      <c r="H995" s="27" t="str">
        <f aca="false">IF(B995="","",IFERROR(INDEX(Jeux!$D$2:$D$3001,MATCH(B995,Jeux!$A$2:$A$3001,0))&amp;"",""))</f>
        <v/>
      </c>
      <c r="I995" s="26" t="str">
        <f aca="false">IF(A995="","",COUNTIF(Apparitions!$G$2:$G$5001,A995))</f>
        <v/>
      </c>
      <c r="J995" s="26" t="str">
        <f aca="false">IF(A995="","",COUNTIFS(Apparitions!$G$2:$G$5001,A995,Apparitions!$E$2:$E$5001,"○"))</f>
        <v/>
      </c>
      <c r="K995" s="29" t="str">
        <f aca="false">IF(A995="","",IFERROR(1/(1/_xlfn.MINIFS(Apparitions!$L$2:$L$5001,Apparitions!$G$2:$G$5001,A995)),""))</f>
        <v/>
      </c>
      <c r="L995" s="27" t="str">
        <f aca="false">IF(A995="","",A995&amp;" | "&amp;B995&amp;IF(C995="",""," ("&amp;C995&amp;")")&amp;IF(D995="",""," - "&amp;D995))</f>
        <v/>
      </c>
    </row>
    <row r="996" customFormat="false" ht="15" hidden="false" customHeight="false" outlineLevel="0" collapsed="false">
      <c r="A996" s="32"/>
      <c r="B996" s="19"/>
      <c r="C996" s="19"/>
      <c r="D996" s="19"/>
      <c r="E996" s="21"/>
      <c r="F996" s="19"/>
      <c r="G996" s="27" t="str">
        <f aca="false">IF(B996="","",IFERROR(INDEX(Jeux!$C$2:$C$3001,MATCH(B996,Jeux!$A$2:$A$3001,0))&amp;"","⚠ jeu inconnu"))</f>
        <v/>
      </c>
      <c r="H996" s="27" t="str">
        <f aca="false">IF(B996="","",IFERROR(INDEX(Jeux!$D$2:$D$3001,MATCH(B996,Jeux!$A$2:$A$3001,0))&amp;"",""))</f>
        <v/>
      </c>
      <c r="I996" s="26" t="str">
        <f aca="false">IF(A996="","",COUNTIF(Apparitions!$G$2:$G$5001,A996))</f>
        <v/>
      </c>
      <c r="J996" s="26" t="str">
        <f aca="false">IF(A996="","",COUNTIFS(Apparitions!$G$2:$G$5001,A996,Apparitions!$E$2:$E$5001,"○"))</f>
        <v/>
      </c>
      <c r="K996" s="29" t="str">
        <f aca="false">IF(A996="","",IFERROR(1/(1/_xlfn.MINIFS(Apparitions!$L$2:$L$5001,Apparitions!$G$2:$G$5001,A996)),""))</f>
        <v/>
      </c>
      <c r="L996" s="27" t="str">
        <f aca="false">IF(A996="","",A996&amp;" | "&amp;B996&amp;IF(C996="",""," ("&amp;C996&amp;")")&amp;IF(D996="",""," - "&amp;D996))</f>
        <v/>
      </c>
    </row>
    <row r="997" customFormat="false" ht="15" hidden="false" customHeight="false" outlineLevel="0" collapsed="false">
      <c r="A997" s="32"/>
      <c r="B997" s="19"/>
      <c r="C997" s="19"/>
      <c r="D997" s="19"/>
      <c r="E997" s="21"/>
      <c r="F997" s="19"/>
      <c r="G997" s="27" t="str">
        <f aca="false">IF(B997="","",IFERROR(INDEX(Jeux!$C$2:$C$3001,MATCH(B997,Jeux!$A$2:$A$3001,0))&amp;"","⚠ jeu inconnu"))</f>
        <v/>
      </c>
      <c r="H997" s="27" t="str">
        <f aca="false">IF(B997="","",IFERROR(INDEX(Jeux!$D$2:$D$3001,MATCH(B997,Jeux!$A$2:$A$3001,0))&amp;"",""))</f>
        <v/>
      </c>
      <c r="I997" s="26" t="str">
        <f aca="false">IF(A997="","",COUNTIF(Apparitions!$G$2:$G$5001,A997))</f>
        <v/>
      </c>
      <c r="J997" s="26" t="str">
        <f aca="false">IF(A997="","",COUNTIFS(Apparitions!$G$2:$G$5001,A997,Apparitions!$E$2:$E$5001,"○"))</f>
        <v/>
      </c>
      <c r="K997" s="29" t="str">
        <f aca="false">IF(A997="","",IFERROR(1/(1/_xlfn.MINIFS(Apparitions!$L$2:$L$5001,Apparitions!$G$2:$G$5001,A997)),""))</f>
        <v/>
      </c>
      <c r="L997" s="27" t="str">
        <f aca="false">IF(A997="","",A997&amp;" | "&amp;B997&amp;IF(C997="",""," ("&amp;C997&amp;")")&amp;IF(D997="",""," - "&amp;D997))</f>
        <v/>
      </c>
    </row>
    <row r="998" customFormat="false" ht="15" hidden="false" customHeight="false" outlineLevel="0" collapsed="false">
      <c r="A998" s="32"/>
      <c r="B998" s="19"/>
      <c r="C998" s="19"/>
      <c r="D998" s="19"/>
      <c r="E998" s="21"/>
      <c r="F998" s="19"/>
      <c r="G998" s="27" t="str">
        <f aca="false">IF(B998="","",IFERROR(INDEX(Jeux!$C$2:$C$3001,MATCH(B998,Jeux!$A$2:$A$3001,0))&amp;"","⚠ jeu inconnu"))</f>
        <v/>
      </c>
      <c r="H998" s="27" t="str">
        <f aca="false">IF(B998="","",IFERROR(INDEX(Jeux!$D$2:$D$3001,MATCH(B998,Jeux!$A$2:$A$3001,0))&amp;"",""))</f>
        <v/>
      </c>
      <c r="I998" s="26" t="str">
        <f aca="false">IF(A998="","",COUNTIF(Apparitions!$G$2:$G$5001,A998))</f>
        <v/>
      </c>
      <c r="J998" s="26" t="str">
        <f aca="false">IF(A998="","",COUNTIFS(Apparitions!$G$2:$G$5001,A998,Apparitions!$E$2:$E$5001,"○"))</f>
        <v/>
      </c>
      <c r="K998" s="29" t="str">
        <f aca="false">IF(A998="","",IFERROR(1/(1/_xlfn.MINIFS(Apparitions!$L$2:$L$5001,Apparitions!$G$2:$G$5001,A998)),""))</f>
        <v/>
      </c>
      <c r="L998" s="27" t="str">
        <f aca="false">IF(A998="","",A998&amp;" | "&amp;B998&amp;IF(C998="",""," ("&amp;C998&amp;")")&amp;IF(D998="",""," - "&amp;D998))</f>
        <v/>
      </c>
    </row>
    <row r="999" customFormat="false" ht="15" hidden="false" customHeight="false" outlineLevel="0" collapsed="false">
      <c r="A999" s="32"/>
      <c r="B999" s="19"/>
      <c r="C999" s="19"/>
      <c r="D999" s="19"/>
      <c r="E999" s="21"/>
      <c r="F999" s="19"/>
      <c r="G999" s="27" t="str">
        <f aca="false">IF(B999="","",IFERROR(INDEX(Jeux!$C$2:$C$3001,MATCH(B999,Jeux!$A$2:$A$3001,0))&amp;"","⚠ jeu inconnu"))</f>
        <v/>
      </c>
      <c r="H999" s="27" t="str">
        <f aca="false">IF(B999="","",IFERROR(INDEX(Jeux!$D$2:$D$3001,MATCH(B999,Jeux!$A$2:$A$3001,0))&amp;"",""))</f>
        <v/>
      </c>
      <c r="I999" s="26" t="str">
        <f aca="false">IF(A999="","",COUNTIF(Apparitions!$G$2:$G$5001,A999))</f>
        <v/>
      </c>
      <c r="J999" s="26" t="str">
        <f aca="false">IF(A999="","",COUNTIFS(Apparitions!$G$2:$G$5001,A999,Apparitions!$E$2:$E$5001,"○"))</f>
        <v/>
      </c>
      <c r="K999" s="29" t="str">
        <f aca="false">IF(A999="","",IFERROR(1/(1/_xlfn.MINIFS(Apparitions!$L$2:$L$5001,Apparitions!$G$2:$G$5001,A999)),""))</f>
        <v/>
      </c>
      <c r="L999" s="27" t="str">
        <f aca="false">IF(A999="","",A999&amp;" | "&amp;B999&amp;IF(C999="",""," ("&amp;C999&amp;")")&amp;IF(D999="",""," - "&amp;D999))</f>
        <v/>
      </c>
    </row>
    <row r="1000" customFormat="false" ht="15" hidden="false" customHeight="false" outlineLevel="0" collapsed="false">
      <c r="A1000" s="32"/>
      <c r="B1000" s="19"/>
      <c r="C1000" s="19"/>
      <c r="D1000" s="19"/>
      <c r="E1000" s="21"/>
      <c r="F1000" s="19"/>
      <c r="G1000" s="27" t="str">
        <f aca="false">IF(B1000="","",IFERROR(INDEX(Jeux!$C$2:$C$3001,MATCH(B1000,Jeux!$A$2:$A$3001,0))&amp;"","⚠ jeu inconnu"))</f>
        <v/>
      </c>
      <c r="H1000" s="27" t="str">
        <f aca="false">IF(B1000="","",IFERROR(INDEX(Jeux!$D$2:$D$3001,MATCH(B1000,Jeux!$A$2:$A$3001,0))&amp;"",""))</f>
        <v/>
      </c>
      <c r="I1000" s="26" t="str">
        <f aca="false">IF(A1000="","",COUNTIF(Apparitions!$G$2:$G$5001,A1000))</f>
        <v/>
      </c>
      <c r="J1000" s="26" t="str">
        <f aca="false">IF(A1000="","",COUNTIFS(Apparitions!$G$2:$G$5001,A1000,Apparitions!$E$2:$E$5001,"○"))</f>
        <v/>
      </c>
      <c r="K1000" s="29" t="str">
        <f aca="false">IF(A1000="","",IFERROR(1/(1/_xlfn.MINIFS(Apparitions!$L$2:$L$5001,Apparitions!$G$2:$G$5001,A1000)),""))</f>
        <v/>
      </c>
      <c r="L1000" s="27" t="str">
        <f aca="false">IF(A1000="","",A1000&amp;" | "&amp;B1000&amp;IF(C1000="",""," ("&amp;C1000&amp;")")&amp;IF(D1000="",""," - "&amp;D1000))</f>
        <v/>
      </c>
    </row>
    <row r="1001" customFormat="false" ht="15" hidden="false" customHeight="false" outlineLevel="0" collapsed="false">
      <c r="A1001" s="32"/>
      <c r="B1001" s="19"/>
      <c r="C1001" s="19"/>
      <c r="D1001" s="19"/>
      <c r="E1001" s="21"/>
      <c r="F1001" s="19"/>
      <c r="G1001" s="27" t="str">
        <f aca="false">IF(B1001="","",IFERROR(INDEX(Jeux!$C$2:$C$3001,MATCH(B1001,Jeux!$A$2:$A$3001,0))&amp;"","⚠ jeu inconnu"))</f>
        <v/>
      </c>
      <c r="H1001" s="27" t="str">
        <f aca="false">IF(B1001="","",IFERROR(INDEX(Jeux!$D$2:$D$3001,MATCH(B1001,Jeux!$A$2:$A$3001,0))&amp;"",""))</f>
        <v/>
      </c>
      <c r="I1001" s="26" t="str">
        <f aca="false">IF(A1001="","",COUNTIF(Apparitions!$G$2:$G$5001,A1001))</f>
        <v/>
      </c>
      <c r="J1001" s="26" t="str">
        <f aca="false">IF(A1001="","",COUNTIFS(Apparitions!$G$2:$G$5001,A1001,Apparitions!$E$2:$E$5001,"○"))</f>
        <v/>
      </c>
      <c r="K1001" s="29" t="str">
        <f aca="false">IF(A1001="","",IFERROR(1/(1/_xlfn.MINIFS(Apparitions!$L$2:$L$5001,Apparitions!$G$2:$G$5001,A1001)),""))</f>
        <v/>
      </c>
      <c r="L1001" s="27" t="str">
        <f aca="false">IF(A1001="","",A1001&amp;" | "&amp;B1001&amp;IF(C1001="",""," ("&amp;C1001&amp;")")&amp;IF(D1001="",""," - "&amp;D1001))</f>
        <v/>
      </c>
    </row>
    <row r="1002" customFormat="false" ht="15" hidden="false" customHeight="false" outlineLevel="0" collapsed="false">
      <c r="A1002" s="32"/>
      <c r="B1002" s="19"/>
      <c r="C1002" s="19"/>
      <c r="D1002" s="19"/>
      <c r="E1002" s="21"/>
      <c r="F1002" s="19"/>
      <c r="G1002" s="27" t="str">
        <f aca="false">IF(B1002="","",IFERROR(INDEX(Jeux!$C$2:$C$3001,MATCH(B1002,Jeux!$A$2:$A$3001,0))&amp;"","⚠ jeu inconnu"))</f>
        <v/>
      </c>
      <c r="H1002" s="27" t="str">
        <f aca="false">IF(B1002="","",IFERROR(INDEX(Jeux!$D$2:$D$3001,MATCH(B1002,Jeux!$A$2:$A$3001,0))&amp;"",""))</f>
        <v/>
      </c>
      <c r="I1002" s="26" t="str">
        <f aca="false">IF(A1002="","",COUNTIF(Apparitions!$G$2:$G$5001,A1002))</f>
        <v/>
      </c>
      <c r="J1002" s="26" t="str">
        <f aca="false">IF(A1002="","",COUNTIFS(Apparitions!$G$2:$G$5001,A1002,Apparitions!$E$2:$E$5001,"○"))</f>
        <v/>
      </c>
      <c r="K1002" s="29" t="str">
        <f aca="false">IF(A1002="","",IFERROR(1/(1/_xlfn.MINIFS(Apparitions!$L$2:$L$5001,Apparitions!$G$2:$G$5001,A1002)),""))</f>
        <v/>
      </c>
      <c r="L1002" s="27" t="str">
        <f aca="false">IF(A1002="","",A1002&amp;" | "&amp;B1002&amp;IF(C1002="",""," ("&amp;C1002&amp;")")&amp;IF(D1002="",""," - "&amp;D1002))</f>
        <v/>
      </c>
    </row>
    <row r="1003" customFormat="false" ht="15" hidden="false" customHeight="false" outlineLevel="0" collapsed="false">
      <c r="A1003" s="32"/>
      <c r="B1003" s="19"/>
      <c r="C1003" s="19"/>
      <c r="D1003" s="19"/>
      <c r="E1003" s="21"/>
      <c r="F1003" s="19"/>
      <c r="G1003" s="27" t="str">
        <f aca="false">IF(B1003="","",IFERROR(INDEX(Jeux!$C$2:$C$3001,MATCH(B1003,Jeux!$A$2:$A$3001,0))&amp;"","⚠ jeu inconnu"))</f>
        <v/>
      </c>
      <c r="H1003" s="27" t="str">
        <f aca="false">IF(B1003="","",IFERROR(INDEX(Jeux!$D$2:$D$3001,MATCH(B1003,Jeux!$A$2:$A$3001,0))&amp;"",""))</f>
        <v/>
      </c>
      <c r="I1003" s="26" t="str">
        <f aca="false">IF(A1003="","",COUNTIF(Apparitions!$G$2:$G$5001,A1003))</f>
        <v/>
      </c>
      <c r="J1003" s="26" t="str">
        <f aca="false">IF(A1003="","",COUNTIFS(Apparitions!$G$2:$G$5001,A1003,Apparitions!$E$2:$E$5001,"○"))</f>
        <v/>
      </c>
      <c r="K1003" s="29" t="str">
        <f aca="false">IF(A1003="","",IFERROR(1/(1/_xlfn.MINIFS(Apparitions!$L$2:$L$5001,Apparitions!$G$2:$G$5001,A1003)),""))</f>
        <v/>
      </c>
      <c r="L1003" s="27" t="str">
        <f aca="false">IF(A1003="","",A1003&amp;" | "&amp;B1003&amp;IF(C1003="",""," ("&amp;C1003&amp;")")&amp;IF(D1003="",""," - "&amp;D1003))</f>
        <v/>
      </c>
    </row>
    <row r="1004" customFormat="false" ht="15" hidden="false" customHeight="false" outlineLevel="0" collapsed="false">
      <c r="A1004" s="32"/>
      <c r="B1004" s="19"/>
      <c r="C1004" s="19"/>
      <c r="D1004" s="19"/>
      <c r="E1004" s="21"/>
      <c r="F1004" s="19"/>
      <c r="G1004" s="27" t="str">
        <f aca="false">IF(B1004="","",IFERROR(INDEX(Jeux!$C$2:$C$3001,MATCH(B1004,Jeux!$A$2:$A$3001,0))&amp;"","⚠ jeu inconnu"))</f>
        <v/>
      </c>
      <c r="H1004" s="27" t="str">
        <f aca="false">IF(B1004="","",IFERROR(INDEX(Jeux!$D$2:$D$3001,MATCH(B1004,Jeux!$A$2:$A$3001,0))&amp;"",""))</f>
        <v/>
      </c>
      <c r="I1004" s="26" t="str">
        <f aca="false">IF(A1004="","",COUNTIF(Apparitions!$G$2:$G$5001,A1004))</f>
        <v/>
      </c>
      <c r="J1004" s="26" t="str">
        <f aca="false">IF(A1004="","",COUNTIFS(Apparitions!$G$2:$G$5001,A1004,Apparitions!$E$2:$E$5001,"○"))</f>
        <v/>
      </c>
      <c r="K1004" s="29" t="str">
        <f aca="false">IF(A1004="","",IFERROR(1/(1/_xlfn.MINIFS(Apparitions!$L$2:$L$5001,Apparitions!$G$2:$G$5001,A1004)),""))</f>
        <v/>
      </c>
      <c r="L1004" s="27" t="str">
        <f aca="false">IF(A1004="","",A1004&amp;" | "&amp;B1004&amp;IF(C1004="",""," ("&amp;C1004&amp;")")&amp;IF(D1004="",""," - "&amp;D1004))</f>
        <v/>
      </c>
    </row>
    <row r="1005" customFormat="false" ht="15" hidden="false" customHeight="false" outlineLevel="0" collapsed="false">
      <c r="A1005" s="32"/>
      <c r="B1005" s="19"/>
      <c r="C1005" s="19"/>
      <c r="D1005" s="19"/>
      <c r="E1005" s="21"/>
      <c r="F1005" s="19"/>
      <c r="G1005" s="27" t="str">
        <f aca="false">IF(B1005="","",IFERROR(INDEX(Jeux!$C$2:$C$3001,MATCH(B1005,Jeux!$A$2:$A$3001,0))&amp;"","⚠ jeu inconnu"))</f>
        <v/>
      </c>
      <c r="H1005" s="27" t="str">
        <f aca="false">IF(B1005="","",IFERROR(INDEX(Jeux!$D$2:$D$3001,MATCH(B1005,Jeux!$A$2:$A$3001,0))&amp;"",""))</f>
        <v/>
      </c>
      <c r="I1005" s="26" t="str">
        <f aca="false">IF(A1005="","",COUNTIF(Apparitions!$G$2:$G$5001,A1005))</f>
        <v/>
      </c>
      <c r="J1005" s="26" t="str">
        <f aca="false">IF(A1005="","",COUNTIFS(Apparitions!$G$2:$G$5001,A1005,Apparitions!$E$2:$E$5001,"○"))</f>
        <v/>
      </c>
      <c r="K1005" s="29" t="str">
        <f aca="false">IF(A1005="","",IFERROR(1/(1/_xlfn.MINIFS(Apparitions!$L$2:$L$5001,Apparitions!$G$2:$G$5001,A1005)),""))</f>
        <v/>
      </c>
      <c r="L1005" s="27" t="str">
        <f aca="false">IF(A1005="","",A1005&amp;" | "&amp;B1005&amp;IF(C1005="",""," ("&amp;C1005&amp;")")&amp;IF(D1005="",""," - "&amp;D1005))</f>
        <v/>
      </c>
    </row>
    <row r="1006" customFormat="false" ht="15" hidden="false" customHeight="false" outlineLevel="0" collapsed="false">
      <c r="A1006" s="32"/>
      <c r="B1006" s="19"/>
      <c r="C1006" s="19"/>
      <c r="D1006" s="19"/>
      <c r="E1006" s="21"/>
      <c r="F1006" s="19"/>
      <c r="G1006" s="27" t="str">
        <f aca="false">IF(B1006="","",IFERROR(INDEX(Jeux!$C$2:$C$3001,MATCH(B1006,Jeux!$A$2:$A$3001,0))&amp;"","⚠ jeu inconnu"))</f>
        <v/>
      </c>
      <c r="H1006" s="27" t="str">
        <f aca="false">IF(B1006="","",IFERROR(INDEX(Jeux!$D$2:$D$3001,MATCH(B1006,Jeux!$A$2:$A$3001,0))&amp;"",""))</f>
        <v/>
      </c>
      <c r="I1006" s="26" t="str">
        <f aca="false">IF(A1006="","",COUNTIF(Apparitions!$G$2:$G$5001,A1006))</f>
        <v/>
      </c>
      <c r="J1006" s="26" t="str">
        <f aca="false">IF(A1006="","",COUNTIFS(Apparitions!$G$2:$G$5001,A1006,Apparitions!$E$2:$E$5001,"○"))</f>
        <v/>
      </c>
      <c r="K1006" s="29" t="str">
        <f aca="false">IF(A1006="","",IFERROR(1/(1/_xlfn.MINIFS(Apparitions!$L$2:$L$5001,Apparitions!$G$2:$G$5001,A1006)),""))</f>
        <v/>
      </c>
      <c r="L1006" s="27" t="str">
        <f aca="false">IF(A1006="","",A1006&amp;" | "&amp;B1006&amp;IF(C1006="",""," ("&amp;C1006&amp;")")&amp;IF(D1006="",""," - "&amp;D1006))</f>
        <v/>
      </c>
    </row>
    <row r="1007" customFormat="false" ht="15" hidden="false" customHeight="false" outlineLevel="0" collapsed="false">
      <c r="A1007" s="32"/>
      <c r="B1007" s="19"/>
      <c r="C1007" s="19"/>
      <c r="D1007" s="19"/>
      <c r="E1007" s="21"/>
      <c r="F1007" s="19"/>
      <c r="G1007" s="27" t="str">
        <f aca="false">IF(B1007="","",IFERROR(INDEX(Jeux!$C$2:$C$3001,MATCH(B1007,Jeux!$A$2:$A$3001,0))&amp;"","⚠ jeu inconnu"))</f>
        <v/>
      </c>
      <c r="H1007" s="27" t="str">
        <f aca="false">IF(B1007="","",IFERROR(INDEX(Jeux!$D$2:$D$3001,MATCH(B1007,Jeux!$A$2:$A$3001,0))&amp;"",""))</f>
        <v/>
      </c>
      <c r="I1007" s="26" t="str">
        <f aca="false">IF(A1007="","",COUNTIF(Apparitions!$G$2:$G$5001,A1007))</f>
        <v/>
      </c>
      <c r="J1007" s="26" t="str">
        <f aca="false">IF(A1007="","",COUNTIFS(Apparitions!$G$2:$G$5001,A1007,Apparitions!$E$2:$E$5001,"○"))</f>
        <v/>
      </c>
      <c r="K1007" s="29" t="str">
        <f aca="false">IF(A1007="","",IFERROR(1/(1/_xlfn.MINIFS(Apparitions!$L$2:$L$5001,Apparitions!$G$2:$G$5001,A1007)),""))</f>
        <v/>
      </c>
      <c r="L1007" s="27" t="str">
        <f aca="false">IF(A1007="","",A1007&amp;" | "&amp;B1007&amp;IF(C1007="",""," ("&amp;C1007&amp;")")&amp;IF(D1007="",""," - "&amp;D1007))</f>
        <v/>
      </c>
    </row>
    <row r="1008" customFormat="false" ht="15" hidden="false" customHeight="false" outlineLevel="0" collapsed="false">
      <c r="A1008" s="32"/>
      <c r="B1008" s="19"/>
      <c r="C1008" s="19"/>
      <c r="D1008" s="19"/>
      <c r="E1008" s="21"/>
      <c r="F1008" s="19"/>
      <c r="G1008" s="27" t="str">
        <f aca="false">IF(B1008="","",IFERROR(INDEX(Jeux!$C$2:$C$3001,MATCH(B1008,Jeux!$A$2:$A$3001,0))&amp;"","⚠ jeu inconnu"))</f>
        <v/>
      </c>
      <c r="H1008" s="27" t="str">
        <f aca="false">IF(B1008="","",IFERROR(INDEX(Jeux!$D$2:$D$3001,MATCH(B1008,Jeux!$A$2:$A$3001,0))&amp;"",""))</f>
        <v/>
      </c>
      <c r="I1008" s="26" t="str">
        <f aca="false">IF(A1008="","",COUNTIF(Apparitions!$G$2:$G$5001,A1008))</f>
        <v/>
      </c>
      <c r="J1008" s="26" t="str">
        <f aca="false">IF(A1008="","",COUNTIFS(Apparitions!$G$2:$G$5001,A1008,Apparitions!$E$2:$E$5001,"○"))</f>
        <v/>
      </c>
      <c r="K1008" s="29" t="str">
        <f aca="false">IF(A1008="","",IFERROR(1/(1/_xlfn.MINIFS(Apparitions!$L$2:$L$5001,Apparitions!$G$2:$G$5001,A1008)),""))</f>
        <v/>
      </c>
      <c r="L1008" s="27" t="str">
        <f aca="false">IF(A1008="","",A1008&amp;" | "&amp;B1008&amp;IF(C1008="",""," ("&amp;C1008&amp;")")&amp;IF(D1008="",""," - "&amp;D1008))</f>
        <v/>
      </c>
    </row>
    <row r="1009" customFormat="false" ht="15" hidden="false" customHeight="false" outlineLevel="0" collapsed="false">
      <c r="A1009" s="32"/>
      <c r="B1009" s="19"/>
      <c r="C1009" s="19"/>
      <c r="D1009" s="19"/>
      <c r="E1009" s="21"/>
      <c r="F1009" s="19"/>
      <c r="G1009" s="27" t="str">
        <f aca="false">IF(B1009="","",IFERROR(INDEX(Jeux!$C$2:$C$3001,MATCH(B1009,Jeux!$A$2:$A$3001,0))&amp;"","⚠ jeu inconnu"))</f>
        <v/>
      </c>
      <c r="H1009" s="27" t="str">
        <f aca="false">IF(B1009="","",IFERROR(INDEX(Jeux!$D$2:$D$3001,MATCH(B1009,Jeux!$A$2:$A$3001,0))&amp;"",""))</f>
        <v/>
      </c>
      <c r="I1009" s="26" t="str">
        <f aca="false">IF(A1009="","",COUNTIF(Apparitions!$G$2:$G$5001,A1009))</f>
        <v/>
      </c>
      <c r="J1009" s="26" t="str">
        <f aca="false">IF(A1009="","",COUNTIFS(Apparitions!$G$2:$G$5001,A1009,Apparitions!$E$2:$E$5001,"○"))</f>
        <v/>
      </c>
      <c r="K1009" s="29" t="str">
        <f aca="false">IF(A1009="","",IFERROR(1/(1/_xlfn.MINIFS(Apparitions!$L$2:$L$5001,Apparitions!$G$2:$G$5001,A1009)),""))</f>
        <v/>
      </c>
      <c r="L1009" s="27" t="str">
        <f aca="false">IF(A1009="","",A1009&amp;" | "&amp;B1009&amp;IF(C1009="",""," ("&amp;C1009&amp;")")&amp;IF(D1009="",""," - "&amp;D1009))</f>
        <v/>
      </c>
    </row>
    <row r="1010" customFormat="false" ht="15" hidden="false" customHeight="false" outlineLevel="0" collapsed="false">
      <c r="A1010" s="32"/>
      <c r="B1010" s="19"/>
      <c r="C1010" s="19"/>
      <c r="D1010" s="19"/>
      <c r="E1010" s="21"/>
      <c r="F1010" s="19"/>
      <c r="G1010" s="27" t="str">
        <f aca="false">IF(B1010="","",IFERROR(INDEX(Jeux!$C$2:$C$3001,MATCH(B1010,Jeux!$A$2:$A$3001,0))&amp;"","⚠ jeu inconnu"))</f>
        <v/>
      </c>
      <c r="H1010" s="27" t="str">
        <f aca="false">IF(B1010="","",IFERROR(INDEX(Jeux!$D$2:$D$3001,MATCH(B1010,Jeux!$A$2:$A$3001,0))&amp;"",""))</f>
        <v/>
      </c>
      <c r="I1010" s="26" t="str">
        <f aca="false">IF(A1010="","",COUNTIF(Apparitions!$G$2:$G$5001,A1010))</f>
        <v/>
      </c>
      <c r="J1010" s="26" t="str">
        <f aca="false">IF(A1010="","",COUNTIFS(Apparitions!$G$2:$G$5001,A1010,Apparitions!$E$2:$E$5001,"○"))</f>
        <v/>
      </c>
      <c r="K1010" s="29" t="str">
        <f aca="false">IF(A1010="","",IFERROR(1/(1/_xlfn.MINIFS(Apparitions!$L$2:$L$5001,Apparitions!$G$2:$G$5001,A1010)),""))</f>
        <v/>
      </c>
      <c r="L1010" s="27" t="str">
        <f aca="false">IF(A1010="","",A1010&amp;" | "&amp;B1010&amp;IF(C1010="",""," ("&amp;C1010&amp;")")&amp;IF(D1010="",""," - "&amp;D1010))</f>
        <v/>
      </c>
    </row>
    <row r="1011" customFormat="false" ht="15" hidden="false" customHeight="false" outlineLevel="0" collapsed="false">
      <c r="A1011" s="32"/>
      <c r="B1011" s="19"/>
      <c r="C1011" s="19"/>
      <c r="D1011" s="19"/>
      <c r="E1011" s="21"/>
      <c r="F1011" s="19"/>
      <c r="G1011" s="27" t="str">
        <f aca="false">IF(B1011="","",IFERROR(INDEX(Jeux!$C$2:$C$3001,MATCH(B1011,Jeux!$A$2:$A$3001,0))&amp;"","⚠ jeu inconnu"))</f>
        <v/>
      </c>
      <c r="H1011" s="27" t="str">
        <f aca="false">IF(B1011="","",IFERROR(INDEX(Jeux!$D$2:$D$3001,MATCH(B1011,Jeux!$A$2:$A$3001,0))&amp;"",""))</f>
        <v/>
      </c>
      <c r="I1011" s="26" t="str">
        <f aca="false">IF(A1011="","",COUNTIF(Apparitions!$G$2:$G$5001,A1011))</f>
        <v/>
      </c>
      <c r="J1011" s="26" t="str">
        <f aca="false">IF(A1011="","",COUNTIFS(Apparitions!$G$2:$G$5001,A1011,Apparitions!$E$2:$E$5001,"○"))</f>
        <v/>
      </c>
      <c r="K1011" s="29" t="str">
        <f aca="false">IF(A1011="","",IFERROR(1/(1/_xlfn.MINIFS(Apparitions!$L$2:$L$5001,Apparitions!$G$2:$G$5001,A1011)),""))</f>
        <v/>
      </c>
      <c r="L1011" s="27" t="str">
        <f aca="false">IF(A1011="","",A1011&amp;" | "&amp;B1011&amp;IF(C1011="",""," ("&amp;C1011&amp;")")&amp;IF(D1011="",""," - "&amp;D1011))</f>
        <v/>
      </c>
    </row>
    <row r="1012" customFormat="false" ht="15" hidden="false" customHeight="false" outlineLevel="0" collapsed="false">
      <c r="A1012" s="32"/>
      <c r="B1012" s="19"/>
      <c r="C1012" s="19"/>
      <c r="D1012" s="19"/>
      <c r="E1012" s="21"/>
      <c r="F1012" s="19"/>
      <c r="G1012" s="27" t="str">
        <f aca="false">IF(B1012="","",IFERROR(INDEX(Jeux!$C$2:$C$3001,MATCH(B1012,Jeux!$A$2:$A$3001,0))&amp;"","⚠ jeu inconnu"))</f>
        <v/>
      </c>
      <c r="H1012" s="27" t="str">
        <f aca="false">IF(B1012="","",IFERROR(INDEX(Jeux!$D$2:$D$3001,MATCH(B1012,Jeux!$A$2:$A$3001,0))&amp;"",""))</f>
        <v/>
      </c>
      <c r="I1012" s="26" t="str">
        <f aca="false">IF(A1012="","",COUNTIF(Apparitions!$G$2:$G$5001,A1012))</f>
        <v/>
      </c>
      <c r="J1012" s="26" t="str">
        <f aca="false">IF(A1012="","",COUNTIFS(Apparitions!$G$2:$G$5001,A1012,Apparitions!$E$2:$E$5001,"○"))</f>
        <v/>
      </c>
      <c r="K1012" s="29" t="str">
        <f aca="false">IF(A1012="","",IFERROR(1/(1/_xlfn.MINIFS(Apparitions!$L$2:$L$5001,Apparitions!$G$2:$G$5001,A1012)),""))</f>
        <v/>
      </c>
      <c r="L1012" s="27" t="str">
        <f aca="false">IF(A1012="","",A1012&amp;" | "&amp;B1012&amp;IF(C1012="",""," ("&amp;C1012&amp;")")&amp;IF(D1012="",""," - "&amp;D1012))</f>
        <v/>
      </c>
    </row>
    <row r="1013" customFormat="false" ht="15" hidden="false" customHeight="false" outlineLevel="0" collapsed="false">
      <c r="A1013" s="32"/>
      <c r="B1013" s="19"/>
      <c r="C1013" s="19"/>
      <c r="D1013" s="19"/>
      <c r="E1013" s="21"/>
      <c r="F1013" s="19"/>
      <c r="G1013" s="27" t="str">
        <f aca="false">IF(B1013="","",IFERROR(INDEX(Jeux!$C$2:$C$3001,MATCH(B1013,Jeux!$A$2:$A$3001,0))&amp;"","⚠ jeu inconnu"))</f>
        <v/>
      </c>
      <c r="H1013" s="27" t="str">
        <f aca="false">IF(B1013="","",IFERROR(INDEX(Jeux!$D$2:$D$3001,MATCH(B1013,Jeux!$A$2:$A$3001,0))&amp;"",""))</f>
        <v/>
      </c>
      <c r="I1013" s="26" t="str">
        <f aca="false">IF(A1013="","",COUNTIF(Apparitions!$G$2:$G$5001,A1013))</f>
        <v/>
      </c>
      <c r="J1013" s="26" t="str">
        <f aca="false">IF(A1013="","",COUNTIFS(Apparitions!$G$2:$G$5001,A1013,Apparitions!$E$2:$E$5001,"○"))</f>
        <v/>
      </c>
      <c r="K1013" s="29" t="str">
        <f aca="false">IF(A1013="","",IFERROR(1/(1/_xlfn.MINIFS(Apparitions!$L$2:$L$5001,Apparitions!$G$2:$G$5001,A1013)),""))</f>
        <v/>
      </c>
      <c r="L1013" s="27" t="str">
        <f aca="false">IF(A1013="","",A1013&amp;" | "&amp;B1013&amp;IF(C1013="",""," ("&amp;C1013&amp;")")&amp;IF(D1013="",""," - "&amp;D1013))</f>
        <v/>
      </c>
    </row>
    <row r="1014" customFormat="false" ht="15" hidden="false" customHeight="false" outlineLevel="0" collapsed="false">
      <c r="A1014" s="32"/>
      <c r="B1014" s="19"/>
      <c r="C1014" s="19"/>
      <c r="D1014" s="19"/>
      <c r="E1014" s="21"/>
      <c r="F1014" s="19"/>
      <c r="G1014" s="27" t="str">
        <f aca="false">IF(B1014="","",IFERROR(INDEX(Jeux!$C$2:$C$3001,MATCH(B1014,Jeux!$A$2:$A$3001,0))&amp;"","⚠ jeu inconnu"))</f>
        <v/>
      </c>
      <c r="H1014" s="27" t="str">
        <f aca="false">IF(B1014="","",IFERROR(INDEX(Jeux!$D$2:$D$3001,MATCH(B1014,Jeux!$A$2:$A$3001,0))&amp;"",""))</f>
        <v/>
      </c>
      <c r="I1014" s="26" t="str">
        <f aca="false">IF(A1014="","",COUNTIF(Apparitions!$G$2:$G$5001,A1014))</f>
        <v/>
      </c>
      <c r="J1014" s="26" t="str">
        <f aca="false">IF(A1014="","",COUNTIFS(Apparitions!$G$2:$G$5001,A1014,Apparitions!$E$2:$E$5001,"○"))</f>
        <v/>
      </c>
      <c r="K1014" s="29" t="str">
        <f aca="false">IF(A1014="","",IFERROR(1/(1/_xlfn.MINIFS(Apparitions!$L$2:$L$5001,Apparitions!$G$2:$G$5001,A1014)),""))</f>
        <v/>
      </c>
      <c r="L1014" s="27" t="str">
        <f aca="false">IF(A1014="","",A1014&amp;" | "&amp;B1014&amp;IF(C1014="",""," ("&amp;C1014&amp;")")&amp;IF(D1014="",""," - "&amp;D1014))</f>
        <v/>
      </c>
    </row>
    <row r="1015" customFormat="false" ht="15" hidden="false" customHeight="false" outlineLevel="0" collapsed="false">
      <c r="A1015" s="32"/>
      <c r="B1015" s="19"/>
      <c r="C1015" s="19"/>
      <c r="D1015" s="19"/>
      <c r="E1015" s="21"/>
      <c r="F1015" s="19"/>
      <c r="G1015" s="27" t="str">
        <f aca="false">IF(B1015="","",IFERROR(INDEX(Jeux!$C$2:$C$3001,MATCH(B1015,Jeux!$A$2:$A$3001,0))&amp;"","⚠ jeu inconnu"))</f>
        <v/>
      </c>
      <c r="H1015" s="27" t="str">
        <f aca="false">IF(B1015="","",IFERROR(INDEX(Jeux!$D$2:$D$3001,MATCH(B1015,Jeux!$A$2:$A$3001,0))&amp;"",""))</f>
        <v/>
      </c>
      <c r="I1015" s="26" t="str">
        <f aca="false">IF(A1015="","",COUNTIF(Apparitions!$G$2:$G$5001,A1015))</f>
        <v/>
      </c>
      <c r="J1015" s="26" t="str">
        <f aca="false">IF(A1015="","",COUNTIFS(Apparitions!$G$2:$G$5001,A1015,Apparitions!$E$2:$E$5001,"○"))</f>
        <v/>
      </c>
      <c r="K1015" s="29" t="str">
        <f aca="false">IF(A1015="","",IFERROR(1/(1/_xlfn.MINIFS(Apparitions!$L$2:$L$5001,Apparitions!$G$2:$G$5001,A1015)),""))</f>
        <v/>
      </c>
      <c r="L1015" s="27" t="str">
        <f aca="false">IF(A1015="","",A1015&amp;" | "&amp;B1015&amp;IF(C1015="",""," ("&amp;C1015&amp;")")&amp;IF(D1015="",""," - "&amp;D1015))</f>
        <v/>
      </c>
    </row>
    <row r="1016" customFormat="false" ht="15" hidden="false" customHeight="false" outlineLevel="0" collapsed="false">
      <c r="A1016" s="32"/>
      <c r="B1016" s="19"/>
      <c r="C1016" s="19"/>
      <c r="D1016" s="19"/>
      <c r="E1016" s="21"/>
      <c r="F1016" s="19"/>
      <c r="G1016" s="27" t="str">
        <f aca="false">IF(B1016="","",IFERROR(INDEX(Jeux!$C$2:$C$3001,MATCH(B1016,Jeux!$A$2:$A$3001,0))&amp;"","⚠ jeu inconnu"))</f>
        <v/>
      </c>
      <c r="H1016" s="27" t="str">
        <f aca="false">IF(B1016="","",IFERROR(INDEX(Jeux!$D$2:$D$3001,MATCH(B1016,Jeux!$A$2:$A$3001,0))&amp;"",""))</f>
        <v/>
      </c>
      <c r="I1016" s="26" t="str">
        <f aca="false">IF(A1016="","",COUNTIF(Apparitions!$G$2:$G$5001,A1016))</f>
        <v/>
      </c>
      <c r="J1016" s="26" t="str">
        <f aca="false">IF(A1016="","",COUNTIFS(Apparitions!$G$2:$G$5001,A1016,Apparitions!$E$2:$E$5001,"○"))</f>
        <v/>
      </c>
      <c r="K1016" s="29" t="str">
        <f aca="false">IF(A1016="","",IFERROR(1/(1/_xlfn.MINIFS(Apparitions!$L$2:$L$5001,Apparitions!$G$2:$G$5001,A1016)),""))</f>
        <v/>
      </c>
      <c r="L1016" s="27" t="str">
        <f aca="false">IF(A1016="","",A1016&amp;" | "&amp;B1016&amp;IF(C1016="",""," ("&amp;C1016&amp;")")&amp;IF(D1016="",""," - "&amp;D1016))</f>
        <v/>
      </c>
    </row>
    <row r="1017" customFormat="false" ht="15" hidden="false" customHeight="false" outlineLevel="0" collapsed="false">
      <c r="A1017" s="32"/>
      <c r="B1017" s="19"/>
      <c r="C1017" s="19"/>
      <c r="D1017" s="19"/>
      <c r="E1017" s="21"/>
      <c r="F1017" s="19"/>
      <c r="G1017" s="27" t="str">
        <f aca="false">IF(B1017="","",IFERROR(INDEX(Jeux!$C$2:$C$3001,MATCH(B1017,Jeux!$A$2:$A$3001,0))&amp;"","⚠ jeu inconnu"))</f>
        <v/>
      </c>
      <c r="H1017" s="27" t="str">
        <f aca="false">IF(B1017="","",IFERROR(INDEX(Jeux!$D$2:$D$3001,MATCH(B1017,Jeux!$A$2:$A$3001,0))&amp;"",""))</f>
        <v/>
      </c>
      <c r="I1017" s="26" t="str">
        <f aca="false">IF(A1017="","",COUNTIF(Apparitions!$G$2:$G$5001,A1017))</f>
        <v/>
      </c>
      <c r="J1017" s="26" t="str">
        <f aca="false">IF(A1017="","",COUNTIFS(Apparitions!$G$2:$G$5001,A1017,Apparitions!$E$2:$E$5001,"○"))</f>
        <v/>
      </c>
      <c r="K1017" s="29" t="str">
        <f aca="false">IF(A1017="","",IFERROR(1/(1/_xlfn.MINIFS(Apparitions!$L$2:$L$5001,Apparitions!$G$2:$G$5001,A1017)),""))</f>
        <v/>
      </c>
      <c r="L1017" s="27" t="str">
        <f aca="false">IF(A1017="","",A1017&amp;" | "&amp;B1017&amp;IF(C1017="",""," ("&amp;C1017&amp;")")&amp;IF(D1017="",""," - "&amp;D1017))</f>
        <v/>
      </c>
    </row>
    <row r="1018" customFormat="false" ht="15" hidden="false" customHeight="false" outlineLevel="0" collapsed="false">
      <c r="A1018" s="32"/>
      <c r="B1018" s="19"/>
      <c r="C1018" s="19"/>
      <c r="D1018" s="19"/>
      <c r="E1018" s="21"/>
      <c r="F1018" s="19"/>
      <c r="G1018" s="27" t="str">
        <f aca="false">IF(B1018="","",IFERROR(INDEX(Jeux!$C$2:$C$3001,MATCH(B1018,Jeux!$A$2:$A$3001,0))&amp;"","⚠ jeu inconnu"))</f>
        <v/>
      </c>
      <c r="H1018" s="27" t="str">
        <f aca="false">IF(B1018="","",IFERROR(INDEX(Jeux!$D$2:$D$3001,MATCH(B1018,Jeux!$A$2:$A$3001,0))&amp;"",""))</f>
        <v/>
      </c>
      <c r="I1018" s="26" t="str">
        <f aca="false">IF(A1018="","",COUNTIF(Apparitions!$G$2:$G$5001,A1018))</f>
        <v/>
      </c>
      <c r="J1018" s="26" t="str">
        <f aca="false">IF(A1018="","",COUNTIFS(Apparitions!$G$2:$G$5001,A1018,Apparitions!$E$2:$E$5001,"○"))</f>
        <v/>
      </c>
      <c r="K1018" s="29" t="str">
        <f aca="false">IF(A1018="","",IFERROR(1/(1/_xlfn.MINIFS(Apparitions!$L$2:$L$5001,Apparitions!$G$2:$G$5001,A1018)),""))</f>
        <v/>
      </c>
      <c r="L1018" s="27" t="str">
        <f aca="false">IF(A1018="","",A1018&amp;" | "&amp;B1018&amp;IF(C1018="",""," ("&amp;C1018&amp;")")&amp;IF(D1018="",""," - "&amp;D1018))</f>
        <v/>
      </c>
    </row>
    <row r="1019" customFormat="false" ht="15" hidden="false" customHeight="false" outlineLevel="0" collapsed="false">
      <c r="A1019" s="32"/>
      <c r="B1019" s="19"/>
      <c r="C1019" s="19"/>
      <c r="D1019" s="19"/>
      <c r="E1019" s="21"/>
      <c r="F1019" s="19"/>
      <c r="G1019" s="27" t="str">
        <f aca="false">IF(B1019="","",IFERROR(INDEX(Jeux!$C$2:$C$3001,MATCH(B1019,Jeux!$A$2:$A$3001,0))&amp;"","⚠ jeu inconnu"))</f>
        <v/>
      </c>
      <c r="H1019" s="27" t="str">
        <f aca="false">IF(B1019="","",IFERROR(INDEX(Jeux!$D$2:$D$3001,MATCH(B1019,Jeux!$A$2:$A$3001,0))&amp;"",""))</f>
        <v/>
      </c>
      <c r="I1019" s="26" t="str">
        <f aca="false">IF(A1019="","",COUNTIF(Apparitions!$G$2:$G$5001,A1019))</f>
        <v/>
      </c>
      <c r="J1019" s="26" t="str">
        <f aca="false">IF(A1019="","",COUNTIFS(Apparitions!$G$2:$G$5001,A1019,Apparitions!$E$2:$E$5001,"○"))</f>
        <v/>
      </c>
      <c r="K1019" s="29" t="str">
        <f aca="false">IF(A1019="","",IFERROR(1/(1/_xlfn.MINIFS(Apparitions!$L$2:$L$5001,Apparitions!$G$2:$G$5001,A1019)),""))</f>
        <v/>
      </c>
      <c r="L1019" s="27" t="str">
        <f aca="false">IF(A1019="","",A1019&amp;" | "&amp;B1019&amp;IF(C1019="",""," ("&amp;C1019&amp;")")&amp;IF(D1019="",""," - "&amp;D1019))</f>
        <v/>
      </c>
    </row>
    <row r="1020" customFormat="false" ht="15" hidden="false" customHeight="false" outlineLevel="0" collapsed="false">
      <c r="A1020" s="32"/>
      <c r="B1020" s="19"/>
      <c r="C1020" s="19"/>
      <c r="D1020" s="19"/>
      <c r="E1020" s="21"/>
      <c r="F1020" s="19"/>
      <c r="G1020" s="27" t="str">
        <f aca="false">IF(B1020="","",IFERROR(INDEX(Jeux!$C$2:$C$3001,MATCH(B1020,Jeux!$A$2:$A$3001,0))&amp;"","⚠ jeu inconnu"))</f>
        <v/>
      </c>
      <c r="H1020" s="27" t="str">
        <f aca="false">IF(B1020="","",IFERROR(INDEX(Jeux!$D$2:$D$3001,MATCH(B1020,Jeux!$A$2:$A$3001,0))&amp;"",""))</f>
        <v/>
      </c>
      <c r="I1020" s="26" t="str">
        <f aca="false">IF(A1020="","",COUNTIF(Apparitions!$G$2:$G$5001,A1020))</f>
        <v/>
      </c>
      <c r="J1020" s="26" t="str">
        <f aca="false">IF(A1020="","",COUNTIFS(Apparitions!$G$2:$G$5001,A1020,Apparitions!$E$2:$E$5001,"○"))</f>
        <v/>
      </c>
      <c r="K1020" s="29" t="str">
        <f aca="false">IF(A1020="","",IFERROR(1/(1/_xlfn.MINIFS(Apparitions!$L$2:$L$5001,Apparitions!$G$2:$G$5001,A1020)),""))</f>
        <v/>
      </c>
      <c r="L1020" s="27" t="str">
        <f aca="false">IF(A1020="","",A1020&amp;" | "&amp;B1020&amp;IF(C1020="",""," ("&amp;C1020&amp;")")&amp;IF(D1020="",""," - "&amp;D1020))</f>
        <v/>
      </c>
    </row>
    <row r="1021" customFormat="false" ht="15" hidden="false" customHeight="false" outlineLevel="0" collapsed="false">
      <c r="A1021" s="32"/>
      <c r="B1021" s="19"/>
      <c r="C1021" s="19"/>
      <c r="D1021" s="19"/>
      <c r="E1021" s="21"/>
      <c r="F1021" s="19"/>
      <c r="G1021" s="27" t="str">
        <f aca="false">IF(B1021="","",IFERROR(INDEX(Jeux!$C$2:$C$3001,MATCH(B1021,Jeux!$A$2:$A$3001,0))&amp;"","⚠ jeu inconnu"))</f>
        <v/>
      </c>
      <c r="H1021" s="27" t="str">
        <f aca="false">IF(B1021="","",IFERROR(INDEX(Jeux!$D$2:$D$3001,MATCH(B1021,Jeux!$A$2:$A$3001,0))&amp;"",""))</f>
        <v/>
      </c>
      <c r="I1021" s="26" t="str">
        <f aca="false">IF(A1021="","",COUNTIF(Apparitions!$G$2:$G$5001,A1021))</f>
        <v/>
      </c>
      <c r="J1021" s="26" t="str">
        <f aca="false">IF(A1021="","",COUNTIFS(Apparitions!$G$2:$G$5001,A1021,Apparitions!$E$2:$E$5001,"○"))</f>
        <v/>
      </c>
      <c r="K1021" s="29" t="str">
        <f aca="false">IF(A1021="","",IFERROR(1/(1/_xlfn.MINIFS(Apparitions!$L$2:$L$5001,Apparitions!$G$2:$G$5001,A1021)),""))</f>
        <v/>
      </c>
      <c r="L1021" s="27" t="str">
        <f aca="false">IF(A1021="","",A1021&amp;" | "&amp;B1021&amp;IF(C1021="",""," ("&amp;C1021&amp;")")&amp;IF(D1021="",""," - "&amp;D1021))</f>
        <v/>
      </c>
    </row>
    <row r="1022" customFormat="false" ht="15" hidden="false" customHeight="false" outlineLevel="0" collapsed="false">
      <c r="A1022" s="32"/>
      <c r="B1022" s="19"/>
      <c r="C1022" s="19"/>
      <c r="D1022" s="19"/>
      <c r="E1022" s="21"/>
      <c r="F1022" s="19"/>
      <c r="G1022" s="27" t="str">
        <f aca="false">IF(B1022="","",IFERROR(INDEX(Jeux!$C$2:$C$3001,MATCH(B1022,Jeux!$A$2:$A$3001,0))&amp;"","⚠ jeu inconnu"))</f>
        <v/>
      </c>
      <c r="H1022" s="27" t="str">
        <f aca="false">IF(B1022="","",IFERROR(INDEX(Jeux!$D$2:$D$3001,MATCH(B1022,Jeux!$A$2:$A$3001,0))&amp;"",""))</f>
        <v/>
      </c>
      <c r="I1022" s="26" t="str">
        <f aca="false">IF(A1022="","",COUNTIF(Apparitions!$G$2:$G$5001,A1022))</f>
        <v/>
      </c>
      <c r="J1022" s="26" t="str">
        <f aca="false">IF(A1022="","",COUNTIFS(Apparitions!$G$2:$G$5001,A1022,Apparitions!$E$2:$E$5001,"○"))</f>
        <v/>
      </c>
      <c r="K1022" s="29" t="str">
        <f aca="false">IF(A1022="","",IFERROR(1/(1/_xlfn.MINIFS(Apparitions!$L$2:$L$5001,Apparitions!$G$2:$G$5001,A1022)),""))</f>
        <v/>
      </c>
      <c r="L1022" s="27" t="str">
        <f aca="false">IF(A1022="","",A1022&amp;" | "&amp;B1022&amp;IF(C1022="",""," ("&amp;C1022&amp;")")&amp;IF(D1022="",""," - "&amp;D1022))</f>
        <v/>
      </c>
    </row>
    <row r="1023" customFormat="false" ht="15" hidden="false" customHeight="false" outlineLevel="0" collapsed="false">
      <c r="A1023" s="32"/>
      <c r="B1023" s="19"/>
      <c r="C1023" s="19"/>
      <c r="D1023" s="19"/>
      <c r="E1023" s="21"/>
      <c r="F1023" s="19"/>
      <c r="G1023" s="27" t="str">
        <f aca="false">IF(B1023="","",IFERROR(INDEX(Jeux!$C$2:$C$3001,MATCH(B1023,Jeux!$A$2:$A$3001,0))&amp;"","⚠ jeu inconnu"))</f>
        <v/>
      </c>
      <c r="H1023" s="27" t="str">
        <f aca="false">IF(B1023="","",IFERROR(INDEX(Jeux!$D$2:$D$3001,MATCH(B1023,Jeux!$A$2:$A$3001,0))&amp;"",""))</f>
        <v/>
      </c>
      <c r="I1023" s="26" t="str">
        <f aca="false">IF(A1023="","",COUNTIF(Apparitions!$G$2:$G$5001,A1023))</f>
        <v/>
      </c>
      <c r="J1023" s="26" t="str">
        <f aca="false">IF(A1023="","",COUNTIFS(Apparitions!$G$2:$G$5001,A1023,Apparitions!$E$2:$E$5001,"○"))</f>
        <v/>
      </c>
      <c r="K1023" s="29" t="str">
        <f aca="false">IF(A1023="","",IFERROR(1/(1/_xlfn.MINIFS(Apparitions!$L$2:$L$5001,Apparitions!$G$2:$G$5001,A1023)),""))</f>
        <v/>
      </c>
      <c r="L1023" s="27" t="str">
        <f aca="false">IF(A1023="","",A1023&amp;" | "&amp;B1023&amp;IF(C1023="",""," ("&amp;C1023&amp;")")&amp;IF(D1023="",""," - "&amp;D1023))</f>
        <v/>
      </c>
    </row>
    <row r="1024" customFormat="false" ht="15" hidden="false" customHeight="false" outlineLevel="0" collapsed="false">
      <c r="A1024" s="32"/>
      <c r="B1024" s="19"/>
      <c r="C1024" s="19"/>
      <c r="D1024" s="19"/>
      <c r="E1024" s="21"/>
      <c r="F1024" s="19"/>
      <c r="G1024" s="27" t="str">
        <f aca="false">IF(B1024="","",IFERROR(INDEX(Jeux!$C$2:$C$3001,MATCH(B1024,Jeux!$A$2:$A$3001,0))&amp;"","⚠ jeu inconnu"))</f>
        <v/>
      </c>
      <c r="H1024" s="27" t="str">
        <f aca="false">IF(B1024="","",IFERROR(INDEX(Jeux!$D$2:$D$3001,MATCH(B1024,Jeux!$A$2:$A$3001,0))&amp;"",""))</f>
        <v/>
      </c>
      <c r="I1024" s="26" t="str">
        <f aca="false">IF(A1024="","",COUNTIF(Apparitions!$G$2:$G$5001,A1024))</f>
        <v/>
      </c>
      <c r="J1024" s="26" t="str">
        <f aca="false">IF(A1024="","",COUNTIFS(Apparitions!$G$2:$G$5001,A1024,Apparitions!$E$2:$E$5001,"○"))</f>
        <v/>
      </c>
      <c r="K1024" s="29" t="str">
        <f aca="false">IF(A1024="","",IFERROR(1/(1/_xlfn.MINIFS(Apparitions!$L$2:$L$5001,Apparitions!$G$2:$G$5001,A1024)),""))</f>
        <v/>
      </c>
      <c r="L1024" s="27" t="str">
        <f aca="false">IF(A1024="","",A1024&amp;" | "&amp;B1024&amp;IF(C1024="",""," ("&amp;C1024&amp;")")&amp;IF(D1024="",""," - "&amp;D1024))</f>
        <v/>
      </c>
    </row>
    <row r="1025" customFormat="false" ht="15" hidden="false" customHeight="false" outlineLevel="0" collapsed="false">
      <c r="A1025" s="32"/>
      <c r="B1025" s="19"/>
      <c r="C1025" s="19"/>
      <c r="D1025" s="19"/>
      <c r="E1025" s="21"/>
      <c r="F1025" s="19"/>
      <c r="G1025" s="27" t="str">
        <f aca="false">IF(B1025="","",IFERROR(INDEX(Jeux!$C$2:$C$3001,MATCH(B1025,Jeux!$A$2:$A$3001,0))&amp;"","⚠ jeu inconnu"))</f>
        <v/>
      </c>
      <c r="H1025" s="27" t="str">
        <f aca="false">IF(B1025="","",IFERROR(INDEX(Jeux!$D$2:$D$3001,MATCH(B1025,Jeux!$A$2:$A$3001,0))&amp;"",""))</f>
        <v/>
      </c>
      <c r="I1025" s="26" t="str">
        <f aca="false">IF(A1025="","",COUNTIF(Apparitions!$G$2:$G$5001,A1025))</f>
        <v/>
      </c>
      <c r="J1025" s="26" t="str">
        <f aca="false">IF(A1025="","",COUNTIFS(Apparitions!$G$2:$G$5001,A1025,Apparitions!$E$2:$E$5001,"○"))</f>
        <v/>
      </c>
      <c r="K1025" s="29" t="str">
        <f aca="false">IF(A1025="","",IFERROR(1/(1/_xlfn.MINIFS(Apparitions!$L$2:$L$5001,Apparitions!$G$2:$G$5001,A1025)),""))</f>
        <v/>
      </c>
      <c r="L1025" s="27" t="str">
        <f aca="false">IF(A1025="","",A1025&amp;" | "&amp;B1025&amp;IF(C1025="",""," ("&amp;C1025&amp;")")&amp;IF(D1025="",""," - "&amp;D1025))</f>
        <v/>
      </c>
    </row>
    <row r="1026" customFormat="false" ht="15" hidden="false" customHeight="false" outlineLevel="0" collapsed="false">
      <c r="A1026" s="32"/>
      <c r="B1026" s="19"/>
      <c r="C1026" s="19"/>
      <c r="D1026" s="19"/>
      <c r="E1026" s="21"/>
      <c r="F1026" s="19"/>
      <c r="G1026" s="27" t="str">
        <f aca="false">IF(B1026="","",IFERROR(INDEX(Jeux!$C$2:$C$3001,MATCH(B1026,Jeux!$A$2:$A$3001,0))&amp;"","⚠ jeu inconnu"))</f>
        <v/>
      </c>
      <c r="H1026" s="27" t="str">
        <f aca="false">IF(B1026="","",IFERROR(INDEX(Jeux!$D$2:$D$3001,MATCH(B1026,Jeux!$A$2:$A$3001,0))&amp;"",""))</f>
        <v/>
      </c>
      <c r="I1026" s="26" t="str">
        <f aca="false">IF(A1026="","",COUNTIF(Apparitions!$G$2:$G$5001,A1026))</f>
        <v/>
      </c>
      <c r="J1026" s="26" t="str">
        <f aca="false">IF(A1026="","",COUNTIFS(Apparitions!$G$2:$G$5001,A1026,Apparitions!$E$2:$E$5001,"○"))</f>
        <v/>
      </c>
      <c r="K1026" s="29" t="str">
        <f aca="false">IF(A1026="","",IFERROR(1/(1/_xlfn.MINIFS(Apparitions!$L$2:$L$5001,Apparitions!$G$2:$G$5001,A1026)),""))</f>
        <v/>
      </c>
      <c r="L1026" s="27" t="str">
        <f aca="false">IF(A1026="","",A1026&amp;" | "&amp;B1026&amp;IF(C1026="",""," ("&amp;C1026&amp;")")&amp;IF(D1026="",""," - "&amp;D1026))</f>
        <v/>
      </c>
    </row>
    <row r="1027" customFormat="false" ht="15" hidden="false" customHeight="false" outlineLevel="0" collapsed="false">
      <c r="A1027" s="32"/>
      <c r="B1027" s="19"/>
      <c r="C1027" s="19"/>
      <c r="D1027" s="19"/>
      <c r="E1027" s="21"/>
      <c r="F1027" s="19"/>
      <c r="G1027" s="27" t="str">
        <f aca="false">IF(B1027="","",IFERROR(INDEX(Jeux!$C$2:$C$3001,MATCH(B1027,Jeux!$A$2:$A$3001,0))&amp;"","⚠ jeu inconnu"))</f>
        <v/>
      </c>
      <c r="H1027" s="27" t="str">
        <f aca="false">IF(B1027="","",IFERROR(INDEX(Jeux!$D$2:$D$3001,MATCH(B1027,Jeux!$A$2:$A$3001,0))&amp;"",""))</f>
        <v/>
      </c>
      <c r="I1027" s="26" t="str">
        <f aca="false">IF(A1027="","",COUNTIF(Apparitions!$G$2:$G$5001,A1027))</f>
        <v/>
      </c>
      <c r="J1027" s="26" t="str">
        <f aca="false">IF(A1027="","",COUNTIFS(Apparitions!$G$2:$G$5001,A1027,Apparitions!$E$2:$E$5001,"○"))</f>
        <v/>
      </c>
      <c r="K1027" s="29" t="str">
        <f aca="false">IF(A1027="","",IFERROR(1/(1/_xlfn.MINIFS(Apparitions!$L$2:$L$5001,Apparitions!$G$2:$G$5001,A1027)),""))</f>
        <v/>
      </c>
      <c r="L1027" s="27" t="str">
        <f aca="false">IF(A1027="","",A1027&amp;" | "&amp;B1027&amp;IF(C1027="",""," ("&amp;C1027&amp;")")&amp;IF(D1027="",""," - "&amp;D1027))</f>
        <v/>
      </c>
    </row>
    <row r="1028" customFormat="false" ht="15" hidden="false" customHeight="false" outlineLevel="0" collapsed="false">
      <c r="A1028" s="32"/>
      <c r="B1028" s="19"/>
      <c r="C1028" s="19"/>
      <c r="D1028" s="19"/>
      <c r="E1028" s="21"/>
      <c r="F1028" s="19"/>
      <c r="G1028" s="27" t="str">
        <f aca="false">IF(B1028="","",IFERROR(INDEX(Jeux!$C$2:$C$3001,MATCH(B1028,Jeux!$A$2:$A$3001,0))&amp;"","⚠ jeu inconnu"))</f>
        <v/>
      </c>
      <c r="H1028" s="27" t="str">
        <f aca="false">IF(B1028="","",IFERROR(INDEX(Jeux!$D$2:$D$3001,MATCH(B1028,Jeux!$A$2:$A$3001,0))&amp;"",""))</f>
        <v/>
      </c>
      <c r="I1028" s="26" t="str">
        <f aca="false">IF(A1028="","",COUNTIF(Apparitions!$G$2:$G$5001,A1028))</f>
        <v/>
      </c>
      <c r="J1028" s="26" t="str">
        <f aca="false">IF(A1028="","",COUNTIFS(Apparitions!$G$2:$G$5001,A1028,Apparitions!$E$2:$E$5001,"○"))</f>
        <v/>
      </c>
      <c r="K1028" s="29" t="str">
        <f aca="false">IF(A1028="","",IFERROR(1/(1/_xlfn.MINIFS(Apparitions!$L$2:$L$5001,Apparitions!$G$2:$G$5001,A1028)),""))</f>
        <v/>
      </c>
      <c r="L1028" s="27" t="str">
        <f aca="false">IF(A1028="","",A1028&amp;" | "&amp;B1028&amp;IF(C1028="",""," ("&amp;C1028&amp;")")&amp;IF(D1028="",""," - "&amp;D1028))</f>
        <v/>
      </c>
    </row>
    <row r="1029" customFormat="false" ht="15" hidden="false" customHeight="false" outlineLevel="0" collapsed="false">
      <c r="A1029" s="32"/>
      <c r="B1029" s="19"/>
      <c r="C1029" s="19"/>
      <c r="D1029" s="19"/>
      <c r="E1029" s="21"/>
      <c r="F1029" s="19"/>
      <c r="G1029" s="27" t="str">
        <f aca="false">IF(B1029="","",IFERROR(INDEX(Jeux!$C$2:$C$3001,MATCH(B1029,Jeux!$A$2:$A$3001,0))&amp;"","⚠ jeu inconnu"))</f>
        <v/>
      </c>
      <c r="H1029" s="27" t="str">
        <f aca="false">IF(B1029="","",IFERROR(INDEX(Jeux!$D$2:$D$3001,MATCH(B1029,Jeux!$A$2:$A$3001,0))&amp;"",""))</f>
        <v/>
      </c>
      <c r="I1029" s="26" t="str">
        <f aca="false">IF(A1029="","",COUNTIF(Apparitions!$G$2:$G$5001,A1029))</f>
        <v/>
      </c>
      <c r="J1029" s="26" t="str">
        <f aca="false">IF(A1029="","",COUNTIFS(Apparitions!$G$2:$G$5001,A1029,Apparitions!$E$2:$E$5001,"○"))</f>
        <v/>
      </c>
      <c r="K1029" s="29" t="str">
        <f aca="false">IF(A1029="","",IFERROR(1/(1/_xlfn.MINIFS(Apparitions!$L$2:$L$5001,Apparitions!$G$2:$G$5001,A1029)),""))</f>
        <v/>
      </c>
      <c r="L1029" s="27" t="str">
        <f aca="false">IF(A1029="","",A1029&amp;" | "&amp;B1029&amp;IF(C1029="",""," ("&amp;C1029&amp;")")&amp;IF(D1029="",""," - "&amp;D1029))</f>
        <v/>
      </c>
    </row>
    <row r="1030" customFormat="false" ht="15" hidden="false" customHeight="false" outlineLevel="0" collapsed="false">
      <c r="A1030" s="32"/>
      <c r="B1030" s="19"/>
      <c r="C1030" s="19"/>
      <c r="D1030" s="19"/>
      <c r="E1030" s="21"/>
      <c r="F1030" s="19"/>
      <c r="G1030" s="27" t="str">
        <f aca="false">IF(B1030="","",IFERROR(INDEX(Jeux!$C$2:$C$3001,MATCH(B1030,Jeux!$A$2:$A$3001,0))&amp;"","⚠ jeu inconnu"))</f>
        <v/>
      </c>
      <c r="H1030" s="27" t="str">
        <f aca="false">IF(B1030="","",IFERROR(INDEX(Jeux!$D$2:$D$3001,MATCH(B1030,Jeux!$A$2:$A$3001,0))&amp;"",""))</f>
        <v/>
      </c>
      <c r="I1030" s="26" t="str">
        <f aca="false">IF(A1030="","",COUNTIF(Apparitions!$G$2:$G$5001,A1030))</f>
        <v/>
      </c>
      <c r="J1030" s="26" t="str">
        <f aca="false">IF(A1030="","",COUNTIFS(Apparitions!$G$2:$G$5001,A1030,Apparitions!$E$2:$E$5001,"○"))</f>
        <v/>
      </c>
      <c r="K1030" s="29" t="str">
        <f aca="false">IF(A1030="","",IFERROR(1/(1/_xlfn.MINIFS(Apparitions!$L$2:$L$5001,Apparitions!$G$2:$G$5001,A1030)),""))</f>
        <v/>
      </c>
      <c r="L1030" s="27" t="str">
        <f aca="false">IF(A1030="","",A1030&amp;" | "&amp;B1030&amp;IF(C1030="",""," ("&amp;C1030&amp;")")&amp;IF(D1030="",""," - "&amp;D1030))</f>
        <v/>
      </c>
    </row>
    <row r="1031" customFormat="false" ht="15" hidden="false" customHeight="false" outlineLevel="0" collapsed="false">
      <c r="A1031" s="32"/>
      <c r="B1031" s="19"/>
      <c r="C1031" s="19"/>
      <c r="D1031" s="19"/>
      <c r="E1031" s="21"/>
      <c r="F1031" s="19"/>
      <c r="G1031" s="27" t="str">
        <f aca="false">IF(B1031="","",IFERROR(INDEX(Jeux!$C$2:$C$3001,MATCH(B1031,Jeux!$A$2:$A$3001,0))&amp;"","⚠ jeu inconnu"))</f>
        <v/>
      </c>
      <c r="H1031" s="27" t="str">
        <f aca="false">IF(B1031="","",IFERROR(INDEX(Jeux!$D$2:$D$3001,MATCH(B1031,Jeux!$A$2:$A$3001,0))&amp;"",""))</f>
        <v/>
      </c>
      <c r="I1031" s="26" t="str">
        <f aca="false">IF(A1031="","",COUNTIF(Apparitions!$G$2:$G$5001,A1031))</f>
        <v/>
      </c>
      <c r="J1031" s="26" t="str">
        <f aca="false">IF(A1031="","",COUNTIFS(Apparitions!$G$2:$G$5001,A1031,Apparitions!$E$2:$E$5001,"○"))</f>
        <v/>
      </c>
      <c r="K1031" s="29" t="str">
        <f aca="false">IF(A1031="","",IFERROR(1/(1/_xlfn.MINIFS(Apparitions!$L$2:$L$5001,Apparitions!$G$2:$G$5001,A1031)),""))</f>
        <v/>
      </c>
      <c r="L1031" s="27" t="str">
        <f aca="false">IF(A1031="","",A1031&amp;" | "&amp;B1031&amp;IF(C1031="",""," ("&amp;C1031&amp;")")&amp;IF(D1031="",""," - "&amp;D1031))</f>
        <v/>
      </c>
    </row>
    <row r="1032" customFormat="false" ht="15" hidden="false" customHeight="false" outlineLevel="0" collapsed="false">
      <c r="A1032" s="32"/>
      <c r="B1032" s="19"/>
      <c r="C1032" s="19"/>
      <c r="D1032" s="19"/>
      <c r="E1032" s="21"/>
      <c r="F1032" s="19"/>
      <c r="G1032" s="27" t="str">
        <f aca="false">IF(B1032="","",IFERROR(INDEX(Jeux!$C$2:$C$3001,MATCH(B1032,Jeux!$A$2:$A$3001,0))&amp;"","⚠ jeu inconnu"))</f>
        <v/>
      </c>
      <c r="H1032" s="27" t="str">
        <f aca="false">IF(B1032="","",IFERROR(INDEX(Jeux!$D$2:$D$3001,MATCH(B1032,Jeux!$A$2:$A$3001,0))&amp;"",""))</f>
        <v/>
      </c>
      <c r="I1032" s="26" t="str">
        <f aca="false">IF(A1032="","",COUNTIF(Apparitions!$G$2:$G$5001,A1032))</f>
        <v/>
      </c>
      <c r="J1032" s="26" t="str">
        <f aca="false">IF(A1032="","",COUNTIFS(Apparitions!$G$2:$G$5001,A1032,Apparitions!$E$2:$E$5001,"○"))</f>
        <v/>
      </c>
      <c r="K1032" s="29" t="str">
        <f aca="false">IF(A1032="","",IFERROR(1/(1/_xlfn.MINIFS(Apparitions!$L$2:$L$5001,Apparitions!$G$2:$G$5001,A1032)),""))</f>
        <v/>
      </c>
      <c r="L1032" s="27" t="str">
        <f aca="false">IF(A1032="","",A1032&amp;" | "&amp;B1032&amp;IF(C1032="",""," ("&amp;C1032&amp;")")&amp;IF(D1032="",""," - "&amp;D1032))</f>
        <v/>
      </c>
    </row>
    <row r="1033" customFormat="false" ht="15" hidden="false" customHeight="false" outlineLevel="0" collapsed="false">
      <c r="A1033" s="32"/>
      <c r="B1033" s="19"/>
      <c r="C1033" s="19"/>
      <c r="D1033" s="19"/>
      <c r="E1033" s="21"/>
      <c r="F1033" s="19"/>
      <c r="G1033" s="27" t="str">
        <f aca="false">IF(B1033="","",IFERROR(INDEX(Jeux!$C$2:$C$3001,MATCH(B1033,Jeux!$A$2:$A$3001,0))&amp;"","⚠ jeu inconnu"))</f>
        <v/>
      </c>
      <c r="H1033" s="27" t="str">
        <f aca="false">IF(B1033="","",IFERROR(INDEX(Jeux!$D$2:$D$3001,MATCH(B1033,Jeux!$A$2:$A$3001,0))&amp;"",""))</f>
        <v/>
      </c>
      <c r="I1033" s="26" t="str">
        <f aca="false">IF(A1033="","",COUNTIF(Apparitions!$G$2:$G$5001,A1033))</f>
        <v/>
      </c>
      <c r="J1033" s="26" t="str">
        <f aca="false">IF(A1033="","",COUNTIFS(Apparitions!$G$2:$G$5001,A1033,Apparitions!$E$2:$E$5001,"○"))</f>
        <v/>
      </c>
      <c r="K1033" s="29" t="str">
        <f aca="false">IF(A1033="","",IFERROR(1/(1/_xlfn.MINIFS(Apparitions!$L$2:$L$5001,Apparitions!$G$2:$G$5001,A1033)),""))</f>
        <v/>
      </c>
      <c r="L1033" s="27" t="str">
        <f aca="false">IF(A1033="","",A1033&amp;" | "&amp;B1033&amp;IF(C1033="",""," ("&amp;C1033&amp;")")&amp;IF(D1033="",""," - "&amp;D1033))</f>
        <v/>
      </c>
    </row>
    <row r="1034" customFormat="false" ht="15" hidden="false" customHeight="false" outlineLevel="0" collapsed="false">
      <c r="A1034" s="32"/>
      <c r="B1034" s="19"/>
      <c r="C1034" s="19"/>
      <c r="D1034" s="19"/>
      <c r="E1034" s="21"/>
      <c r="F1034" s="19"/>
      <c r="G1034" s="27" t="str">
        <f aca="false">IF(B1034="","",IFERROR(INDEX(Jeux!$C$2:$C$3001,MATCH(B1034,Jeux!$A$2:$A$3001,0))&amp;"","⚠ jeu inconnu"))</f>
        <v/>
      </c>
      <c r="H1034" s="27" t="str">
        <f aca="false">IF(B1034="","",IFERROR(INDEX(Jeux!$D$2:$D$3001,MATCH(B1034,Jeux!$A$2:$A$3001,0))&amp;"",""))</f>
        <v/>
      </c>
      <c r="I1034" s="26" t="str">
        <f aca="false">IF(A1034="","",COUNTIF(Apparitions!$G$2:$G$5001,A1034))</f>
        <v/>
      </c>
      <c r="J1034" s="26" t="str">
        <f aca="false">IF(A1034="","",COUNTIFS(Apparitions!$G$2:$G$5001,A1034,Apparitions!$E$2:$E$5001,"○"))</f>
        <v/>
      </c>
      <c r="K1034" s="29" t="str">
        <f aca="false">IF(A1034="","",IFERROR(1/(1/_xlfn.MINIFS(Apparitions!$L$2:$L$5001,Apparitions!$G$2:$G$5001,A1034)),""))</f>
        <v/>
      </c>
      <c r="L1034" s="27" t="str">
        <f aca="false">IF(A1034="","",A1034&amp;" | "&amp;B1034&amp;IF(C1034="",""," ("&amp;C1034&amp;")")&amp;IF(D1034="",""," - "&amp;D1034))</f>
        <v/>
      </c>
    </row>
    <row r="1035" customFormat="false" ht="15" hidden="false" customHeight="false" outlineLevel="0" collapsed="false">
      <c r="A1035" s="32"/>
      <c r="B1035" s="19"/>
      <c r="C1035" s="19"/>
      <c r="D1035" s="19"/>
      <c r="E1035" s="21"/>
      <c r="F1035" s="19"/>
      <c r="G1035" s="27" t="str">
        <f aca="false">IF(B1035="","",IFERROR(INDEX(Jeux!$C$2:$C$3001,MATCH(B1035,Jeux!$A$2:$A$3001,0))&amp;"","⚠ jeu inconnu"))</f>
        <v/>
      </c>
      <c r="H1035" s="27" t="str">
        <f aca="false">IF(B1035="","",IFERROR(INDEX(Jeux!$D$2:$D$3001,MATCH(B1035,Jeux!$A$2:$A$3001,0))&amp;"",""))</f>
        <v/>
      </c>
      <c r="I1035" s="26" t="str">
        <f aca="false">IF(A1035="","",COUNTIF(Apparitions!$G$2:$G$5001,A1035))</f>
        <v/>
      </c>
      <c r="J1035" s="26" t="str">
        <f aca="false">IF(A1035="","",COUNTIFS(Apparitions!$G$2:$G$5001,A1035,Apparitions!$E$2:$E$5001,"○"))</f>
        <v/>
      </c>
      <c r="K1035" s="29" t="str">
        <f aca="false">IF(A1035="","",IFERROR(1/(1/_xlfn.MINIFS(Apparitions!$L$2:$L$5001,Apparitions!$G$2:$G$5001,A1035)),""))</f>
        <v/>
      </c>
      <c r="L1035" s="27" t="str">
        <f aca="false">IF(A1035="","",A1035&amp;" | "&amp;B1035&amp;IF(C1035="",""," ("&amp;C1035&amp;")")&amp;IF(D1035="",""," - "&amp;D1035))</f>
        <v/>
      </c>
    </row>
    <row r="1036" customFormat="false" ht="15" hidden="false" customHeight="false" outlineLevel="0" collapsed="false">
      <c r="A1036" s="32"/>
      <c r="B1036" s="19"/>
      <c r="C1036" s="19"/>
      <c r="D1036" s="19"/>
      <c r="E1036" s="21"/>
      <c r="F1036" s="19"/>
      <c r="G1036" s="27" t="str">
        <f aca="false">IF(B1036="","",IFERROR(INDEX(Jeux!$C$2:$C$3001,MATCH(B1036,Jeux!$A$2:$A$3001,0))&amp;"","⚠ jeu inconnu"))</f>
        <v/>
      </c>
      <c r="H1036" s="27" t="str">
        <f aca="false">IF(B1036="","",IFERROR(INDEX(Jeux!$D$2:$D$3001,MATCH(B1036,Jeux!$A$2:$A$3001,0))&amp;"",""))</f>
        <v/>
      </c>
      <c r="I1036" s="26" t="str">
        <f aca="false">IF(A1036="","",COUNTIF(Apparitions!$G$2:$G$5001,A1036))</f>
        <v/>
      </c>
      <c r="J1036" s="26" t="str">
        <f aca="false">IF(A1036="","",COUNTIFS(Apparitions!$G$2:$G$5001,A1036,Apparitions!$E$2:$E$5001,"○"))</f>
        <v/>
      </c>
      <c r="K1036" s="29" t="str">
        <f aca="false">IF(A1036="","",IFERROR(1/(1/_xlfn.MINIFS(Apparitions!$L$2:$L$5001,Apparitions!$G$2:$G$5001,A1036)),""))</f>
        <v/>
      </c>
      <c r="L1036" s="27" t="str">
        <f aca="false">IF(A1036="","",A1036&amp;" | "&amp;B1036&amp;IF(C1036="",""," ("&amp;C1036&amp;")")&amp;IF(D1036="",""," - "&amp;D1036))</f>
        <v/>
      </c>
    </row>
    <row r="1037" customFormat="false" ht="15" hidden="false" customHeight="false" outlineLevel="0" collapsed="false">
      <c r="A1037" s="32"/>
      <c r="B1037" s="19"/>
      <c r="C1037" s="19"/>
      <c r="D1037" s="19"/>
      <c r="E1037" s="21"/>
      <c r="F1037" s="19"/>
      <c r="G1037" s="27" t="str">
        <f aca="false">IF(B1037="","",IFERROR(INDEX(Jeux!$C$2:$C$3001,MATCH(B1037,Jeux!$A$2:$A$3001,0))&amp;"","⚠ jeu inconnu"))</f>
        <v/>
      </c>
      <c r="H1037" s="27" t="str">
        <f aca="false">IF(B1037="","",IFERROR(INDEX(Jeux!$D$2:$D$3001,MATCH(B1037,Jeux!$A$2:$A$3001,0))&amp;"",""))</f>
        <v/>
      </c>
      <c r="I1037" s="26" t="str">
        <f aca="false">IF(A1037="","",COUNTIF(Apparitions!$G$2:$G$5001,A1037))</f>
        <v/>
      </c>
      <c r="J1037" s="26" t="str">
        <f aca="false">IF(A1037="","",COUNTIFS(Apparitions!$G$2:$G$5001,A1037,Apparitions!$E$2:$E$5001,"○"))</f>
        <v/>
      </c>
      <c r="K1037" s="29" t="str">
        <f aca="false">IF(A1037="","",IFERROR(1/(1/_xlfn.MINIFS(Apparitions!$L$2:$L$5001,Apparitions!$G$2:$G$5001,A1037)),""))</f>
        <v/>
      </c>
      <c r="L1037" s="27" t="str">
        <f aca="false">IF(A1037="","",A1037&amp;" | "&amp;B1037&amp;IF(C1037="",""," ("&amp;C1037&amp;")")&amp;IF(D1037="",""," - "&amp;D1037))</f>
        <v/>
      </c>
    </row>
    <row r="1038" customFormat="false" ht="15" hidden="false" customHeight="false" outlineLevel="0" collapsed="false">
      <c r="A1038" s="32"/>
      <c r="B1038" s="19"/>
      <c r="C1038" s="19"/>
      <c r="D1038" s="19"/>
      <c r="E1038" s="21"/>
      <c r="F1038" s="19"/>
      <c r="G1038" s="27" t="str">
        <f aca="false">IF(B1038="","",IFERROR(INDEX(Jeux!$C$2:$C$3001,MATCH(B1038,Jeux!$A$2:$A$3001,0))&amp;"","⚠ jeu inconnu"))</f>
        <v/>
      </c>
      <c r="H1038" s="27" t="str">
        <f aca="false">IF(B1038="","",IFERROR(INDEX(Jeux!$D$2:$D$3001,MATCH(B1038,Jeux!$A$2:$A$3001,0))&amp;"",""))</f>
        <v/>
      </c>
      <c r="I1038" s="26" t="str">
        <f aca="false">IF(A1038="","",COUNTIF(Apparitions!$G$2:$G$5001,A1038))</f>
        <v/>
      </c>
      <c r="J1038" s="26" t="str">
        <f aca="false">IF(A1038="","",COUNTIFS(Apparitions!$G$2:$G$5001,A1038,Apparitions!$E$2:$E$5001,"○"))</f>
        <v/>
      </c>
      <c r="K1038" s="29" t="str">
        <f aca="false">IF(A1038="","",IFERROR(1/(1/_xlfn.MINIFS(Apparitions!$L$2:$L$5001,Apparitions!$G$2:$G$5001,A1038)),""))</f>
        <v/>
      </c>
      <c r="L1038" s="27" t="str">
        <f aca="false">IF(A1038="","",A1038&amp;" | "&amp;B1038&amp;IF(C1038="",""," ("&amp;C1038&amp;")")&amp;IF(D1038="",""," - "&amp;D1038))</f>
        <v/>
      </c>
    </row>
    <row r="1039" customFormat="false" ht="15" hidden="false" customHeight="false" outlineLevel="0" collapsed="false">
      <c r="A1039" s="32"/>
      <c r="B1039" s="19"/>
      <c r="C1039" s="19"/>
      <c r="D1039" s="19"/>
      <c r="E1039" s="21"/>
      <c r="F1039" s="19"/>
      <c r="G1039" s="27" t="str">
        <f aca="false">IF(B1039="","",IFERROR(INDEX(Jeux!$C$2:$C$3001,MATCH(B1039,Jeux!$A$2:$A$3001,0))&amp;"","⚠ jeu inconnu"))</f>
        <v/>
      </c>
      <c r="H1039" s="27" t="str">
        <f aca="false">IF(B1039="","",IFERROR(INDEX(Jeux!$D$2:$D$3001,MATCH(B1039,Jeux!$A$2:$A$3001,0))&amp;"",""))</f>
        <v/>
      </c>
      <c r="I1039" s="26" t="str">
        <f aca="false">IF(A1039="","",COUNTIF(Apparitions!$G$2:$G$5001,A1039))</f>
        <v/>
      </c>
      <c r="J1039" s="26" t="str">
        <f aca="false">IF(A1039="","",COUNTIFS(Apparitions!$G$2:$G$5001,A1039,Apparitions!$E$2:$E$5001,"○"))</f>
        <v/>
      </c>
      <c r="K1039" s="29" t="str">
        <f aca="false">IF(A1039="","",IFERROR(1/(1/_xlfn.MINIFS(Apparitions!$L$2:$L$5001,Apparitions!$G$2:$G$5001,A1039)),""))</f>
        <v/>
      </c>
      <c r="L1039" s="27" t="str">
        <f aca="false">IF(A1039="","",A1039&amp;" | "&amp;B1039&amp;IF(C1039="",""," ("&amp;C1039&amp;")")&amp;IF(D1039="",""," - "&amp;D1039))</f>
        <v/>
      </c>
    </row>
    <row r="1040" customFormat="false" ht="15" hidden="false" customHeight="false" outlineLevel="0" collapsed="false">
      <c r="A1040" s="32"/>
      <c r="B1040" s="19"/>
      <c r="C1040" s="19"/>
      <c r="D1040" s="19"/>
      <c r="E1040" s="21"/>
      <c r="F1040" s="19"/>
      <c r="G1040" s="27" t="str">
        <f aca="false">IF(B1040="","",IFERROR(INDEX(Jeux!$C$2:$C$3001,MATCH(B1040,Jeux!$A$2:$A$3001,0))&amp;"","⚠ jeu inconnu"))</f>
        <v/>
      </c>
      <c r="H1040" s="27" t="str">
        <f aca="false">IF(B1040="","",IFERROR(INDEX(Jeux!$D$2:$D$3001,MATCH(B1040,Jeux!$A$2:$A$3001,0))&amp;"",""))</f>
        <v/>
      </c>
      <c r="I1040" s="26" t="str">
        <f aca="false">IF(A1040="","",COUNTIF(Apparitions!$G$2:$G$5001,A1040))</f>
        <v/>
      </c>
      <c r="J1040" s="26" t="str">
        <f aca="false">IF(A1040="","",COUNTIFS(Apparitions!$G$2:$G$5001,A1040,Apparitions!$E$2:$E$5001,"○"))</f>
        <v/>
      </c>
      <c r="K1040" s="29" t="str">
        <f aca="false">IF(A1040="","",IFERROR(1/(1/_xlfn.MINIFS(Apparitions!$L$2:$L$5001,Apparitions!$G$2:$G$5001,A1040)),""))</f>
        <v/>
      </c>
      <c r="L1040" s="27" t="str">
        <f aca="false">IF(A1040="","",A1040&amp;" | "&amp;B1040&amp;IF(C1040="",""," ("&amp;C1040&amp;")")&amp;IF(D1040="",""," - "&amp;D1040))</f>
        <v/>
      </c>
    </row>
    <row r="1041" customFormat="false" ht="15" hidden="false" customHeight="false" outlineLevel="0" collapsed="false">
      <c r="A1041" s="32"/>
      <c r="B1041" s="19"/>
      <c r="C1041" s="19"/>
      <c r="D1041" s="19"/>
      <c r="E1041" s="21"/>
      <c r="F1041" s="19"/>
      <c r="G1041" s="27" t="str">
        <f aca="false">IF(B1041="","",IFERROR(INDEX(Jeux!$C$2:$C$3001,MATCH(B1041,Jeux!$A$2:$A$3001,0))&amp;"","⚠ jeu inconnu"))</f>
        <v/>
      </c>
      <c r="H1041" s="27" t="str">
        <f aca="false">IF(B1041="","",IFERROR(INDEX(Jeux!$D$2:$D$3001,MATCH(B1041,Jeux!$A$2:$A$3001,0))&amp;"",""))</f>
        <v/>
      </c>
      <c r="I1041" s="26" t="str">
        <f aca="false">IF(A1041="","",COUNTIF(Apparitions!$G$2:$G$5001,A1041))</f>
        <v/>
      </c>
      <c r="J1041" s="26" t="str">
        <f aca="false">IF(A1041="","",COUNTIFS(Apparitions!$G$2:$G$5001,A1041,Apparitions!$E$2:$E$5001,"○"))</f>
        <v/>
      </c>
      <c r="K1041" s="29" t="str">
        <f aca="false">IF(A1041="","",IFERROR(1/(1/_xlfn.MINIFS(Apparitions!$L$2:$L$5001,Apparitions!$G$2:$G$5001,A1041)),""))</f>
        <v/>
      </c>
      <c r="L1041" s="27" t="str">
        <f aca="false">IF(A1041="","",A1041&amp;" | "&amp;B1041&amp;IF(C1041="",""," ("&amp;C1041&amp;")")&amp;IF(D1041="",""," - "&amp;D1041))</f>
        <v/>
      </c>
    </row>
    <row r="1042" customFormat="false" ht="15" hidden="false" customHeight="false" outlineLevel="0" collapsed="false">
      <c r="A1042" s="32"/>
      <c r="B1042" s="19"/>
      <c r="C1042" s="19"/>
      <c r="D1042" s="19"/>
      <c r="E1042" s="21"/>
      <c r="F1042" s="19"/>
      <c r="G1042" s="27" t="str">
        <f aca="false">IF(B1042="","",IFERROR(INDEX(Jeux!$C$2:$C$3001,MATCH(B1042,Jeux!$A$2:$A$3001,0))&amp;"","⚠ jeu inconnu"))</f>
        <v/>
      </c>
      <c r="H1042" s="27" t="str">
        <f aca="false">IF(B1042="","",IFERROR(INDEX(Jeux!$D$2:$D$3001,MATCH(B1042,Jeux!$A$2:$A$3001,0))&amp;"",""))</f>
        <v/>
      </c>
      <c r="I1042" s="26" t="str">
        <f aca="false">IF(A1042="","",COUNTIF(Apparitions!$G$2:$G$5001,A1042))</f>
        <v/>
      </c>
      <c r="J1042" s="26" t="str">
        <f aca="false">IF(A1042="","",COUNTIFS(Apparitions!$G$2:$G$5001,A1042,Apparitions!$E$2:$E$5001,"○"))</f>
        <v/>
      </c>
      <c r="K1042" s="29" t="str">
        <f aca="false">IF(A1042="","",IFERROR(1/(1/_xlfn.MINIFS(Apparitions!$L$2:$L$5001,Apparitions!$G$2:$G$5001,A1042)),""))</f>
        <v/>
      </c>
      <c r="L1042" s="27" t="str">
        <f aca="false">IF(A1042="","",A1042&amp;" | "&amp;B1042&amp;IF(C1042="",""," ("&amp;C1042&amp;")")&amp;IF(D1042="",""," - "&amp;D1042))</f>
        <v/>
      </c>
    </row>
    <row r="1043" customFormat="false" ht="15" hidden="false" customHeight="false" outlineLevel="0" collapsed="false">
      <c r="A1043" s="32"/>
      <c r="B1043" s="19"/>
      <c r="C1043" s="19"/>
      <c r="D1043" s="19"/>
      <c r="E1043" s="21"/>
      <c r="F1043" s="19"/>
      <c r="G1043" s="27" t="str">
        <f aca="false">IF(B1043="","",IFERROR(INDEX(Jeux!$C$2:$C$3001,MATCH(B1043,Jeux!$A$2:$A$3001,0))&amp;"","⚠ jeu inconnu"))</f>
        <v/>
      </c>
      <c r="H1043" s="27" t="str">
        <f aca="false">IF(B1043="","",IFERROR(INDEX(Jeux!$D$2:$D$3001,MATCH(B1043,Jeux!$A$2:$A$3001,0))&amp;"",""))</f>
        <v/>
      </c>
      <c r="I1043" s="26" t="str">
        <f aca="false">IF(A1043="","",COUNTIF(Apparitions!$G$2:$G$5001,A1043))</f>
        <v/>
      </c>
      <c r="J1043" s="26" t="str">
        <f aca="false">IF(A1043="","",COUNTIFS(Apparitions!$G$2:$G$5001,A1043,Apparitions!$E$2:$E$5001,"○"))</f>
        <v/>
      </c>
      <c r="K1043" s="29" t="str">
        <f aca="false">IF(A1043="","",IFERROR(1/(1/_xlfn.MINIFS(Apparitions!$L$2:$L$5001,Apparitions!$G$2:$G$5001,A1043)),""))</f>
        <v/>
      </c>
      <c r="L1043" s="27" t="str">
        <f aca="false">IF(A1043="","",A1043&amp;" | "&amp;B1043&amp;IF(C1043="",""," ("&amp;C1043&amp;")")&amp;IF(D1043="",""," - "&amp;D1043))</f>
        <v/>
      </c>
    </row>
    <row r="1044" customFormat="false" ht="15" hidden="false" customHeight="false" outlineLevel="0" collapsed="false">
      <c r="A1044" s="32"/>
      <c r="B1044" s="19"/>
      <c r="C1044" s="19"/>
      <c r="D1044" s="19"/>
      <c r="E1044" s="21"/>
      <c r="F1044" s="19"/>
      <c r="G1044" s="27" t="str">
        <f aca="false">IF(B1044="","",IFERROR(INDEX(Jeux!$C$2:$C$3001,MATCH(B1044,Jeux!$A$2:$A$3001,0))&amp;"","⚠ jeu inconnu"))</f>
        <v/>
      </c>
      <c r="H1044" s="27" t="str">
        <f aca="false">IF(B1044="","",IFERROR(INDEX(Jeux!$D$2:$D$3001,MATCH(B1044,Jeux!$A$2:$A$3001,0))&amp;"",""))</f>
        <v/>
      </c>
      <c r="I1044" s="26" t="str">
        <f aca="false">IF(A1044="","",COUNTIF(Apparitions!$G$2:$G$5001,A1044))</f>
        <v/>
      </c>
      <c r="J1044" s="26" t="str">
        <f aca="false">IF(A1044="","",COUNTIFS(Apparitions!$G$2:$G$5001,A1044,Apparitions!$E$2:$E$5001,"○"))</f>
        <v/>
      </c>
      <c r="K1044" s="29" t="str">
        <f aca="false">IF(A1044="","",IFERROR(1/(1/_xlfn.MINIFS(Apparitions!$L$2:$L$5001,Apparitions!$G$2:$G$5001,A1044)),""))</f>
        <v/>
      </c>
      <c r="L1044" s="27" t="str">
        <f aca="false">IF(A1044="","",A1044&amp;" | "&amp;B1044&amp;IF(C1044="",""," ("&amp;C1044&amp;")")&amp;IF(D1044="",""," - "&amp;D1044))</f>
        <v/>
      </c>
    </row>
    <row r="1045" customFormat="false" ht="15" hidden="false" customHeight="false" outlineLevel="0" collapsed="false">
      <c r="A1045" s="32"/>
      <c r="B1045" s="19"/>
      <c r="C1045" s="19"/>
      <c r="D1045" s="19"/>
      <c r="E1045" s="21"/>
      <c r="F1045" s="19"/>
      <c r="G1045" s="27" t="str">
        <f aca="false">IF(B1045="","",IFERROR(INDEX(Jeux!$C$2:$C$3001,MATCH(B1045,Jeux!$A$2:$A$3001,0))&amp;"","⚠ jeu inconnu"))</f>
        <v/>
      </c>
      <c r="H1045" s="27" t="str">
        <f aca="false">IF(B1045="","",IFERROR(INDEX(Jeux!$D$2:$D$3001,MATCH(B1045,Jeux!$A$2:$A$3001,0))&amp;"",""))</f>
        <v/>
      </c>
      <c r="I1045" s="26" t="str">
        <f aca="false">IF(A1045="","",COUNTIF(Apparitions!$G$2:$G$5001,A1045))</f>
        <v/>
      </c>
      <c r="J1045" s="26" t="str">
        <f aca="false">IF(A1045="","",COUNTIFS(Apparitions!$G$2:$G$5001,A1045,Apparitions!$E$2:$E$5001,"○"))</f>
        <v/>
      </c>
      <c r="K1045" s="29" t="str">
        <f aca="false">IF(A1045="","",IFERROR(1/(1/_xlfn.MINIFS(Apparitions!$L$2:$L$5001,Apparitions!$G$2:$G$5001,A1045)),""))</f>
        <v/>
      </c>
      <c r="L1045" s="27" t="str">
        <f aca="false">IF(A1045="","",A1045&amp;" | "&amp;B1045&amp;IF(C1045="",""," ("&amp;C1045&amp;")")&amp;IF(D1045="",""," - "&amp;D1045))</f>
        <v/>
      </c>
    </row>
    <row r="1046" customFormat="false" ht="15" hidden="false" customHeight="false" outlineLevel="0" collapsed="false">
      <c r="A1046" s="32"/>
      <c r="B1046" s="19"/>
      <c r="C1046" s="19"/>
      <c r="D1046" s="19"/>
      <c r="E1046" s="21"/>
      <c r="F1046" s="19"/>
      <c r="G1046" s="27" t="str">
        <f aca="false">IF(B1046="","",IFERROR(INDEX(Jeux!$C$2:$C$3001,MATCH(B1046,Jeux!$A$2:$A$3001,0))&amp;"","⚠ jeu inconnu"))</f>
        <v/>
      </c>
      <c r="H1046" s="27" t="str">
        <f aca="false">IF(B1046="","",IFERROR(INDEX(Jeux!$D$2:$D$3001,MATCH(B1046,Jeux!$A$2:$A$3001,0))&amp;"",""))</f>
        <v/>
      </c>
      <c r="I1046" s="26" t="str">
        <f aca="false">IF(A1046="","",COUNTIF(Apparitions!$G$2:$G$5001,A1046))</f>
        <v/>
      </c>
      <c r="J1046" s="26" t="str">
        <f aca="false">IF(A1046="","",COUNTIFS(Apparitions!$G$2:$G$5001,A1046,Apparitions!$E$2:$E$5001,"○"))</f>
        <v/>
      </c>
      <c r="K1046" s="29" t="str">
        <f aca="false">IF(A1046="","",IFERROR(1/(1/_xlfn.MINIFS(Apparitions!$L$2:$L$5001,Apparitions!$G$2:$G$5001,A1046)),""))</f>
        <v/>
      </c>
      <c r="L1046" s="27" t="str">
        <f aca="false">IF(A1046="","",A1046&amp;" | "&amp;B1046&amp;IF(C1046="",""," ("&amp;C1046&amp;")")&amp;IF(D1046="",""," - "&amp;D1046))</f>
        <v/>
      </c>
    </row>
    <row r="1047" customFormat="false" ht="15" hidden="false" customHeight="false" outlineLevel="0" collapsed="false">
      <c r="A1047" s="32"/>
      <c r="B1047" s="19"/>
      <c r="C1047" s="19"/>
      <c r="D1047" s="19"/>
      <c r="E1047" s="21"/>
      <c r="F1047" s="19"/>
      <c r="G1047" s="27" t="str">
        <f aca="false">IF(B1047="","",IFERROR(INDEX(Jeux!$C$2:$C$3001,MATCH(B1047,Jeux!$A$2:$A$3001,0))&amp;"","⚠ jeu inconnu"))</f>
        <v/>
      </c>
      <c r="H1047" s="27" t="str">
        <f aca="false">IF(B1047="","",IFERROR(INDEX(Jeux!$D$2:$D$3001,MATCH(B1047,Jeux!$A$2:$A$3001,0))&amp;"",""))</f>
        <v/>
      </c>
      <c r="I1047" s="26" t="str">
        <f aca="false">IF(A1047="","",COUNTIF(Apparitions!$G$2:$G$5001,A1047))</f>
        <v/>
      </c>
      <c r="J1047" s="26" t="str">
        <f aca="false">IF(A1047="","",COUNTIFS(Apparitions!$G$2:$G$5001,A1047,Apparitions!$E$2:$E$5001,"○"))</f>
        <v/>
      </c>
      <c r="K1047" s="29" t="str">
        <f aca="false">IF(A1047="","",IFERROR(1/(1/_xlfn.MINIFS(Apparitions!$L$2:$L$5001,Apparitions!$G$2:$G$5001,A1047)),""))</f>
        <v/>
      </c>
      <c r="L1047" s="27" t="str">
        <f aca="false">IF(A1047="","",A1047&amp;" | "&amp;B1047&amp;IF(C1047="",""," ("&amp;C1047&amp;")")&amp;IF(D1047="",""," - "&amp;D1047))</f>
        <v/>
      </c>
    </row>
    <row r="1048" customFormat="false" ht="15" hidden="false" customHeight="false" outlineLevel="0" collapsed="false">
      <c r="A1048" s="32"/>
      <c r="B1048" s="19"/>
      <c r="C1048" s="19"/>
      <c r="D1048" s="19"/>
      <c r="E1048" s="21"/>
      <c r="F1048" s="19"/>
      <c r="G1048" s="27" t="str">
        <f aca="false">IF(B1048="","",IFERROR(INDEX(Jeux!$C$2:$C$3001,MATCH(B1048,Jeux!$A$2:$A$3001,0))&amp;"","⚠ jeu inconnu"))</f>
        <v/>
      </c>
      <c r="H1048" s="27" t="str">
        <f aca="false">IF(B1048="","",IFERROR(INDEX(Jeux!$D$2:$D$3001,MATCH(B1048,Jeux!$A$2:$A$3001,0))&amp;"",""))</f>
        <v/>
      </c>
      <c r="I1048" s="26" t="str">
        <f aca="false">IF(A1048="","",COUNTIF(Apparitions!$G$2:$G$5001,A1048))</f>
        <v/>
      </c>
      <c r="J1048" s="26" t="str">
        <f aca="false">IF(A1048="","",COUNTIFS(Apparitions!$G$2:$G$5001,A1048,Apparitions!$E$2:$E$5001,"○"))</f>
        <v/>
      </c>
      <c r="K1048" s="29" t="str">
        <f aca="false">IF(A1048="","",IFERROR(1/(1/_xlfn.MINIFS(Apparitions!$L$2:$L$5001,Apparitions!$G$2:$G$5001,A1048)),""))</f>
        <v/>
      </c>
      <c r="L1048" s="27" t="str">
        <f aca="false">IF(A1048="","",A1048&amp;" | "&amp;B1048&amp;IF(C1048="",""," ("&amp;C1048&amp;")")&amp;IF(D1048="",""," - "&amp;D1048))</f>
        <v/>
      </c>
    </row>
    <row r="1049" customFormat="false" ht="15" hidden="false" customHeight="false" outlineLevel="0" collapsed="false">
      <c r="A1049" s="32"/>
      <c r="B1049" s="19"/>
      <c r="C1049" s="19"/>
      <c r="D1049" s="19"/>
      <c r="E1049" s="21"/>
      <c r="F1049" s="19"/>
      <c r="G1049" s="27" t="str">
        <f aca="false">IF(B1049="","",IFERROR(INDEX(Jeux!$C$2:$C$3001,MATCH(B1049,Jeux!$A$2:$A$3001,0))&amp;"","⚠ jeu inconnu"))</f>
        <v/>
      </c>
      <c r="H1049" s="27" t="str">
        <f aca="false">IF(B1049="","",IFERROR(INDEX(Jeux!$D$2:$D$3001,MATCH(B1049,Jeux!$A$2:$A$3001,0))&amp;"",""))</f>
        <v/>
      </c>
      <c r="I1049" s="26" t="str">
        <f aca="false">IF(A1049="","",COUNTIF(Apparitions!$G$2:$G$5001,A1049))</f>
        <v/>
      </c>
      <c r="J1049" s="26" t="str">
        <f aca="false">IF(A1049="","",COUNTIFS(Apparitions!$G$2:$G$5001,A1049,Apparitions!$E$2:$E$5001,"○"))</f>
        <v/>
      </c>
      <c r="K1049" s="29" t="str">
        <f aca="false">IF(A1049="","",IFERROR(1/(1/_xlfn.MINIFS(Apparitions!$L$2:$L$5001,Apparitions!$G$2:$G$5001,A1049)),""))</f>
        <v/>
      </c>
      <c r="L1049" s="27" t="str">
        <f aca="false">IF(A1049="","",A1049&amp;" | "&amp;B1049&amp;IF(C1049="",""," ("&amp;C1049&amp;")")&amp;IF(D1049="",""," - "&amp;D1049))</f>
        <v/>
      </c>
    </row>
    <row r="1050" customFormat="false" ht="15" hidden="false" customHeight="false" outlineLevel="0" collapsed="false">
      <c r="A1050" s="32"/>
      <c r="B1050" s="19"/>
      <c r="C1050" s="19"/>
      <c r="D1050" s="19"/>
      <c r="E1050" s="21"/>
      <c r="F1050" s="19"/>
      <c r="G1050" s="27" t="str">
        <f aca="false">IF(B1050="","",IFERROR(INDEX(Jeux!$C$2:$C$3001,MATCH(B1050,Jeux!$A$2:$A$3001,0))&amp;"","⚠ jeu inconnu"))</f>
        <v/>
      </c>
      <c r="H1050" s="27" t="str">
        <f aca="false">IF(B1050="","",IFERROR(INDEX(Jeux!$D$2:$D$3001,MATCH(B1050,Jeux!$A$2:$A$3001,0))&amp;"",""))</f>
        <v/>
      </c>
      <c r="I1050" s="26" t="str">
        <f aca="false">IF(A1050="","",COUNTIF(Apparitions!$G$2:$G$5001,A1050))</f>
        <v/>
      </c>
      <c r="J1050" s="26" t="str">
        <f aca="false">IF(A1050="","",COUNTIFS(Apparitions!$G$2:$G$5001,A1050,Apparitions!$E$2:$E$5001,"○"))</f>
        <v/>
      </c>
      <c r="K1050" s="29" t="str">
        <f aca="false">IF(A1050="","",IFERROR(1/(1/_xlfn.MINIFS(Apparitions!$L$2:$L$5001,Apparitions!$G$2:$G$5001,A1050)),""))</f>
        <v/>
      </c>
      <c r="L1050" s="27" t="str">
        <f aca="false">IF(A1050="","",A1050&amp;" | "&amp;B1050&amp;IF(C1050="",""," ("&amp;C1050&amp;")")&amp;IF(D1050="",""," - "&amp;D1050))</f>
        <v/>
      </c>
    </row>
    <row r="1051" customFormat="false" ht="15" hidden="false" customHeight="false" outlineLevel="0" collapsed="false">
      <c r="A1051" s="32"/>
      <c r="B1051" s="19"/>
      <c r="C1051" s="19"/>
      <c r="D1051" s="19"/>
      <c r="E1051" s="21"/>
      <c r="F1051" s="19"/>
      <c r="G1051" s="27" t="str">
        <f aca="false">IF(B1051="","",IFERROR(INDEX(Jeux!$C$2:$C$3001,MATCH(B1051,Jeux!$A$2:$A$3001,0))&amp;"","⚠ jeu inconnu"))</f>
        <v/>
      </c>
      <c r="H1051" s="27" t="str">
        <f aca="false">IF(B1051="","",IFERROR(INDEX(Jeux!$D$2:$D$3001,MATCH(B1051,Jeux!$A$2:$A$3001,0))&amp;"",""))</f>
        <v/>
      </c>
      <c r="I1051" s="26" t="str">
        <f aca="false">IF(A1051="","",COUNTIF(Apparitions!$G$2:$G$5001,A1051))</f>
        <v/>
      </c>
      <c r="J1051" s="26" t="str">
        <f aca="false">IF(A1051="","",COUNTIFS(Apparitions!$G$2:$G$5001,A1051,Apparitions!$E$2:$E$5001,"○"))</f>
        <v/>
      </c>
      <c r="K1051" s="29" t="str">
        <f aca="false">IF(A1051="","",IFERROR(1/(1/_xlfn.MINIFS(Apparitions!$L$2:$L$5001,Apparitions!$G$2:$G$5001,A1051)),""))</f>
        <v/>
      </c>
      <c r="L1051" s="27" t="str">
        <f aca="false">IF(A1051="","",A1051&amp;" | "&amp;B1051&amp;IF(C1051="",""," ("&amp;C1051&amp;")")&amp;IF(D1051="",""," - "&amp;D1051))</f>
        <v/>
      </c>
    </row>
    <row r="1052" customFormat="false" ht="15" hidden="false" customHeight="false" outlineLevel="0" collapsed="false">
      <c r="A1052" s="32"/>
      <c r="B1052" s="19"/>
      <c r="C1052" s="19"/>
      <c r="D1052" s="19"/>
      <c r="E1052" s="21"/>
      <c r="F1052" s="19"/>
      <c r="G1052" s="27" t="str">
        <f aca="false">IF(B1052="","",IFERROR(INDEX(Jeux!$C$2:$C$3001,MATCH(B1052,Jeux!$A$2:$A$3001,0))&amp;"","⚠ jeu inconnu"))</f>
        <v/>
      </c>
      <c r="H1052" s="27" t="str">
        <f aca="false">IF(B1052="","",IFERROR(INDEX(Jeux!$D$2:$D$3001,MATCH(B1052,Jeux!$A$2:$A$3001,0))&amp;"",""))</f>
        <v/>
      </c>
      <c r="I1052" s="26" t="str">
        <f aca="false">IF(A1052="","",COUNTIF(Apparitions!$G$2:$G$5001,A1052))</f>
        <v/>
      </c>
      <c r="J1052" s="26" t="str">
        <f aca="false">IF(A1052="","",COUNTIFS(Apparitions!$G$2:$G$5001,A1052,Apparitions!$E$2:$E$5001,"○"))</f>
        <v/>
      </c>
      <c r="K1052" s="29" t="str">
        <f aca="false">IF(A1052="","",IFERROR(1/(1/_xlfn.MINIFS(Apparitions!$L$2:$L$5001,Apparitions!$G$2:$G$5001,A1052)),""))</f>
        <v/>
      </c>
      <c r="L1052" s="27" t="str">
        <f aca="false">IF(A1052="","",A1052&amp;" | "&amp;B1052&amp;IF(C1052="",""," ("&amp;C1052&amp;")")&amp;IF(D1052="",""," - "&amp;D1052))</f>
        <v/>
      </c>
    </row>
    <row r="1053" customFormat="false" ht="15" hidden="false" customHeight="false" outlineLevel="0" collapsed="false">
      <c r="A1053" s="32"/>
      <c r="B1053" s="19"/>
      <c r="C1053" s="19"/>
      <c r="D1053" s="19"/>
      <c r="E1053" s="21"/>
      <c r="F1053" s="19"/>
      <c r="G1053" s="27" t="str">
        <f aca="false">IF(B1053="","",IFERROR(INDEX(Jeux!$C$2:$C$3001,MATCH(B1053,Jeux!$A$2:$A$3001,0))&amp;"","⚠ jeu inconnu"))</f>
        <v/>
      </c>
      <c r="H1053" s="27" t="str">
        <f aca="false">IF(B1053="","",IFERROR(INDEX(Jeux!$D$2:$D$3001,MATCH(B1053,Jeux!$A$2:$A$3001,0))&amp;"",""))</f>
        <v/>
      </c>
      <c r="I1053" s="26" t="str">
        <f aca="false">IF(A1053="","",COUNTIF(Apparitions!$G$2:$G$5001,A1053))</f>
        <v/>
      </c>
      <c r="J1053" s="26" t="str">
        <f aca="false">IF(A1053="","",COUNTIFS(Apparitions!$G$2:$G$5001,A1053,Apparitions!$E$2:$E$5001,"○"))</f>
        <v/>
      </c>
      <c r="K1053" s="29" t="str">
        <f aca="false">IF(A1053="","",IFERROR(1/(1/_xlfn.MINIFS(Apparitions!$L$2:$L$5001,Apparitions!$G$2:$G$5001,A1053)),""))</f>
        <v/>
      </c>
      <c r="L1053" s="27" t="str">
        <f aca="false">IF(A1053="","",A1053&amp;" | "&amp;B1053&amp;IF(C1053="",""," ("&amp;C1053&amp;")")&amp;IF(D1053="",""," - "&amp;D1053))</f>
        <v/>
      </c>
    </row>
    <row r="1054" customFormat="false" ht="15" hidden="false" customHeight="false" outlineLevel="0" collapsed="false">
      <c r="A1054" s="32"/>
      <c r="B1054" s="19"/>
      <c r="C1054" s="19"/>
      <c r="D1054" s="19"/>
      <c r="E1054" s="21"/>
      <c r="F1054" s="19"/>
      <c r="G1054" s="27" t="str">
        <f aca="false">IF(B1054="","",IFERROR(INDEX(Jeux!$C$2:$C$3001,MATCH(B1054,Jeux!$A$2:$A$3001,0))&amp;"","⚠ jeu inconnu"))</f>
        <v/>
      </c>
      <c r="H1054" s="27" t="str">
        <f aca="false">IF(B1054="","",IFERROR(INDEX(Jeux!$D$2:$D$3001,MATCH(B1054,Jeux!$A$2:$A$3001,0))&amp;"",""))</f>
        <v/>
      </c>
      <c r="I1054" s="26" t="str">
        <f aca="false">IF(A1054="","",COUNTIF(Apparitions!$G$2:$G$5001,A1054))</f>
        <v/>
      </c>
      <c r="J1054" s="26" t="str">
        <f aca="false">IF(A1054="","",COUNTIFS(Apparitions!$G$2:$G$5001,A1054,Apparitions!$E$2:$E$5001,"○"))</f>
        <v/>
      </c>
      <c r="K1054" s="29" t="str">
        <f aca="false">IF(A1054="","",IFERROR(1/(1/_xlfn.MINIFS(Apparitions!$L$2:$L$5001,Apparitions!$G$2:$G$5001,A1054)),""))</f>
        <v/>
      </c>
      <c r="L1054" s="27" t="str">
        <f aca="false">IF(A1054="","",A1054&amp;" | "&amp;B1054&amp;IF(C1054="",""," ("&amp;C1054&amp;")")&amp;IF(D1054="",""," - "&amp;D1054))</f>
        <v/>
      </c>
    </row>
    <row r="1055" customFormat="false" ht="15" hidden="false" customHeight="false" outlineLevel="0" collapsed="false">
      <c r="A1055" s="32"/>
      <c r="B1055" s="19"/>
      <c r="C1055" s="19"/>
      <c r="D1055" s="19"/>
      <c r="E1055" s="21"/>
      <c r="F1055" s="19"/>
      <c r="G1055" s="27" t="str">
        <f aca="false">IF(B1055="","",IFERROR(INDEX(Jeux!$C$2:$C$3001,MATCH(B1055,Jeux!$A$2:$A$3001,0))&amp;"","⚠ jeu inconnu"))</f>
        <v/>
      </c>
      <c r="H1055" s="27" t="str">
        <f aca="false">IF(B1055="","",IFERROR(INDEX(Jeux!$D$2:$D$3001,MATCH(B1055,Jeux!$A$2:$A$3001,0))&amp;"",""))</f>
        <v/>
      </c>
      <c r="I1055" s="26" t="str">
        <f aca="false">IF(A1055="","",COUNTIF(Apparitions!$G$2:$G$5001,A1055))</f>
        <v/>
      </c>
      <c r="J1055" s="26" t="str">
        <f aca="false">IF(A1055="","",COUNTIFS(Apparitions!$G$2:$G$5001,A1055,Apparitions!$E$2:$E$5001,"○"))</f>
        <v/>
      </c>
      <c r="K1055" s="29" t="str">
        <f aca="false">IF(A1055="","",IFERROR(1/(1/_xlfn.MINIFS(Apparitions!$L$2:$L$5001,Apparitions!$G$2:$G$5001,A1055)),""))</f>
        <v/>
      </c>
      <c r="L1055" s="27" t="str">
        <f aca="false">IF(A1055="","",A1055&amp;" | "&amp;B1055&amp;IF(C1055="",""," ("&amp;C1055&amp;")")&amp;IF(D1055="",""," - "&amp;D1055))</f>
        <v/>
      </c>
    </row>
    <row r="1056" customFormat="false" ht="15" hidden="false" customHeight="false" outlineLevel="0" collapsed="false">
      <c r="A1056" s="32"/>
      <c r="B1056" s="19"/>
      <c r="C1056" s="19"/>
      <c r="D1056" s="19"/>
      <c r="E1056" s="21"/>
      <c r="F1056" s="19"/>
      <c r="G1056" s="27" t="str">
        <f aca="false">IF(B1056="","",IFERROR(INDEX(Jeux!$C$2:$C$3001,MATCH(B1056,Jeux!$A$2:$A$3001,0))&amp;"","⚠ jeu inconnu"))</f>
        <v/>
      </c>
      <c r="H1056" s="27" t="str">
        <f aca="false">IF(B1056="","",IFERROR(INDEX(Jeux!$D$2:$D$3001,MATCH(B1056,Jeux!$A$2:$A$3001,0))&amp;"",""))</f>
        <v/>
      </c>
      <c r="I1056" s="26" t="str">
        <f aca="false">IF(A1056="","",COUNTIF(Apparitions!$G$2:$G$5001,A1056))</f>
        <v/>
      </c>
      <c r="J1056" s="26" t="str">
        <f aca="false">IF(A1056="","",COUNTIFS(Apparitions!$G$2:$G$5001,A1056,Apparitions!$E$2:$E$5001,"○"))</f>
        <v/>
      </c>
      <c r="K1056" s="29" t="str">
        <f aca="false">IF(A1056="","",IFERROR(1/(1/_xlfn.MINIFS(Apparitions!$L$2:$L$5001,Apparitions!$G$2:$G$5001,A1056)),""))</f>
        <v/>
      </c>
      <c r="L1056" s="27" t="str">
        <f aca="false">IF(A1056="","",A1056&amp;" | "&amp;B1056&amp;IF(C1056="",""," ("&amp;C1056&amp;")")&amp;IF(D1056="",""," - "&amp;D1056))</f>
        <v/>
      </c>
    </row>
    <row r="1057" customFormat="false" ht="15" hidden="false" customHeight="false" outlineLevel="0" collapsed="false">
      <c r="A1057" s="32"/>
      <c r="B1057" s="19"/>
      <c r="C1057" s="19"/>
      <c r="D1057" s="19"/>
      <c r="E1057" s="21"/>
      <c r="F1057" s="19"/>
      <c r="G1057" s="27" t="str">
        <f aca="false">IF(B1057="","",IFERROR(INDEX(Jeux!$C$2:$C$3001,MATCH(B1057,Jeux!$A$2:$A$3001,0))&amp;"","⚠ jeu inconnu"))</f>
        <v/>
      </c>
      <c r="H1057" s="27" t="str">
        <f aca="false">IF(B1057="","",IFERROR(INDEX(Jeux!$D$2:$D$3001,MATCH(B1057,Jeux!$A$2:$A$3001,0))&amp;"",""))</f>
        <v/>
      </c>
      <c r="I1057" s="26" t="str">
        <f aca="false">IF(A1057="","",COUNTIF(Apparitions!$G$2:$G$5001,A1057))</f>
        <v/>
      </c>
      <c r="J1057" s="26" t="str">
        <f aca="false">IF(A1057="","",COUNTIFS(Apparitions!$G$2:$G$5001,A1057,Apparitions!$E$2:$E$5001,"○"))</f>
        <v/>
      </c>
      <c r="K1057" s="29" t="str">
        <f aca="false">IF(A1057="","",IFERROR(1/(1/_xlfn.MINIFS(Apparitions!$L$2:$L$5001,Apparitions!$G$2:$G$5001,A1057)),""))</f>
        <v/>
      </c>
      <c r="L1057" s="27" t="str">
        <f aca="false">IF(A1057="","",A1057&amp;" | "&amp;B1057&amp;IF(C1057="",""," ("&amp;C1057&amp;")")&amp;IF(D1057="",""," - "&amp;D1057))</f>
        <v/>
      </c>
    </row>
    <row r="1058" customFormat="false" ht="15" hidden="false" customHeight="false" outlineLevel="0" collapsed="false">
      <c r="A1058" s="32"/>
      <c r="B1058" s="19"/>
      <c r="C1058" s="19"/>
      <c r="D1058" s="19"/>
      <c r="E1058" s="21"/>
      <c r="F1058" s="19"/>
      <c r="G1058" s="27" t="str">
        <f aca="false">IF(B1058="","",IFERROR(INDEX(Jeux!$C$2:$C$3001,MATCH(B1058,Jeux!$A$2:$A$3001,0))&amp;"","⚠ jeu inconnu"))</f>
        <v/>
      </c>
      <c r="H1058" s="27" t="str">
        <f aca="false">IF(B1058="","",IFERROR(INDEX(Jeux!$D$2:$D$3001,MATCH(B1058,Jeux!$A$2:$A$3001,0))&amp;"",""))</f>
        <v/>
      </c>
      <c r="I1058" s="26" t="str">
        <f aca="false">IF(A1058="","",COUNTIF(Apparitions!$G$2:$G$5001,A1058))</f>
        <v/>
      </c>
      <c r="J1058" s="26" t="str">
        <f aca="false">IF(A1058="","",COUNTIFS(Apparitions!$G$2:$G$5001,A1058,Apparitions!$E$2:$E$5001,"○"))</f>
        <v/>
      </c>
      <c r="K1058" s="29" t="str">
        <f aca="false">IF(A1058="","",IFERROR(1/(1/_xlfn.MINIFS(Apparitions!$L$2:$L$5001,Apparitions!$G$2:$G$5001,A1058)),""))</f>
        <v/>
      </c>
      <c r="L1058" s="27" t="str">
        <f aca="false">IF(A1058="","",A1058&amp;" | "&amp;B1058&amp;IF(C1058="",""," ("&amp;C1058&amp;")")&amp;IF(D1058="",""," - "&amp;D1058))</f>
        <v/>
      </c>
    </row>
    <row r="1059" customFormat="false" ht="15" hidden="false" customHeight="false" outlineLevel="0" collapsed="false">
      <c r="A1059" s="32"/>
      <c r="B1059" s="19"/>
      <c r="C1059" s="19"/>
      <c r="D1059" s="19"/>
      <c r="E1059" s="21"/>
      <c r="F1059" s="19"/>
      <c r="G1059" s="27" t="str">
        <f aca="false">IF(B1059="","",IFERROR(INDEX(Jeux!$C$2:$C$3001,MATCH(B1059,Jeux!$A$2:$A$3001,0))&amp;"","⚠ jeu inconnu"))</f>
        <v/>
      </c>
      <c r="H1059" s="27" t="str">
        <f aca="false">IF(B1059="","",IFERROR(INDEX(Jeux!$D$2:$D$3001,MATCH(B1059,Jeux!$A$2:$A$3001,0))&amp;"",""))</f>
        <v/>
      </c>
      <c r="I1059" s="26" t="str">
        <f aca="false">IF(A1059="","",COUNTIF(Apparitions!$G$2:$G$5001,A1059))</f>
        <v/>
      </c>
      <c r="J1059" s="26" t="str">
        <f aca="false">IF(A1059="","",COUNTIFS(Apparitions!$G$2:$G$5001,A1059,Apparitions!$E$2:$E$5001,"○"))</f>
        <v/>
      </c>
      <c r="K1059" s="29" t="str">
        <f aca="false">IF(A1059="","",IFERROR(1/(1/_xlfn.MINIFS(Apparitions!$L$2:$L$5001,Apparitions!$G$2:$G$5001,A1059)),""))</f>
        <v/>
      </c>
      <c r="L1059" s="27" t="str">
        <f aca="false">IF(A1059="","",A1059&amp;" | "&amp;B1059&amp;IF(C1059="",""," ("&amp;C1059&amp;")")&amp;IF(D1059="",""," - "&amp;D1059))</f>
        <v/>
      </c>
    </row>
    <row r="1060" customFormat="false" ht="15" hidden="false" customHeight="false" outlineLevel="0" collapsed="false">
      <c r="A1060" s="32"/>
      <c r="B1060" s="19"/>
      <c r="C1060" s="19"/>
      <c r="D1060" s="19"/>
      <c r="E1060" s="21"/>
      <c r="F1060" s="19"/>
      <c r="G1060" s="27" t="str">
        <f aca="false">IF(B1060="","",IFERROR(INDEX(Jeux!$C$2:$C$3001,MATCH(B1060,Jeux!$A$2:$A$3001,0))&amp;"","⚠ jeu inconnu"))</f>
        <v/>
      </c>
      <c r="H1060" s="27" t="str">
        <f aca="false">IF(B1060="","",IFERROR(INDEX(Jeux!$D$2:$D$3001,MATCH(B1060,Jeux!$A$2:$A$3001,0))&amp;"",""))</f>
        <v/>
      </c>
      <c r="I1060" s="26" t="str">
        <f aca="false">IF(A1060="","",COUNTIF(Apparitions!$G$2:$G$5001,A1060))</f>
        <v/>
      </c>
      <c r="J1060" s="26" t="str">
        <f aca="false">IF(A1060="","",COUNTIFS(Apparitions!$G$2:$G$5001,A1060,Apparitions!$E$2:$E$5001,"○"))</f>
        <v/>
      </c>
      <c r="K1060" s="29" t="str">
        <f aca="false">IF(A1060="","",IFERROR(1/(1/_xlfn.MINIFS(Apparitions!$L$2:$L$5001,Apparitions!$G$2:$G$5001,A1060)),""))</f>
        <v/>
      </c>
      <c r="L1060" s="27" t="str">
        <f aca="false">IF(A1060="","",A1060&amp;" | "&amp;B1060&amp;IF(C1060="",""," ("&amp;C1060&amp;")")&amp;IF(D1060="",""," - "&amp;D1060))</f>
        <v/>
      </c>
    </row>
    <row r="1061" customFormat="false" ht="15" hidden="false" customHeight="false" outlineLevel="0" collapsed="false">
      <c r="A1061" s="32"/>
      <c r="B1061" s="19"/>
      <c r="C1061" s="19"/>
      <c r="D1061" s="19"/>
      <c r="E1061" s="21"/>
      <c r="F1061" s="19"/>
      <c r="G1061" s="27" t="str">
        <f aca="false">IF(B1061="","",IFERROR(INDEX(Jeux!$C$2:$C$3001,MATCH(B1061,Jeux!$A$2:$A$3001,0))&amp;"","⚠ jeu inconnu"))</f>
        <v/>
      </c>
      <c r="H1061" s="27" t="str">
        <f aca="false">IF(B1061="","",IFERROR(INDEX(Jeux!$D$2:$D$3001,MATCH(B1061,Jeux!$A$2:$A$3001,0))&amp;"",""))</f>
        <v/>
      </c>
      <c r="I1061" s="26" t="str">
        <f aca="false">IF(A1061="","",COUNTIF(Apparitions!$G$2:$G$5001,A1061))</f>
        <v/>
      </c>
      <c r="J1061" s="26" t="str">
        <f aca="false">IF(A1061="","",COUNTIFS(Apparitions!$G$2:$G$5001,A1061,Apparitions!$E$2:$E$5001,"○"))</f>
        <v/>
      </c>
      <c r="K1061" s="29" t="str">
        <f aca="false">IF(A1061="","",IFERROR(1/(1/_xlfn.MINIFS(Apparitions!$L$2:$L$5001,Apparitions!$G$2:$G$5001,A1061)),""))</f>
        <v/>
      </c>
      <c r="L1061" s="27" t="str">
        <f aca="false">IF(A1061="","",A1061&amp;" | "&amp;B1061&amp;IF(C1061="",""," ("&amp;C1061&amp;")")&amp;IF(D1061="",""," - "&amp;D1061))</f>
        <v/>
      </c>
    </row>
    <row r="1062" customFormat="false" ht="15" hidden="false" customHeight="false" outlineLevel="0" collapsed="false">
      <c r="A1062" s="32"/>
      <c r="B1062" s="19"/>
      <c r="C1062" s="19"/>
      <c r="D1062" s="19"/>
      <c r="E1062" s="21"/>
      <c r="F1062" s="19"/>
      <c r="G1062" s="27" t="str">
        <f aca="false">IF(B1062="","",IFERROR(INDEX(Jeux!$C$2:$C$3001,MATCH(B1062,Jeux!$A$2:$A$3001,0))&amp;"","⚠ jeu inconnu"))</f>
        <v/>
      </c>
      <c r="H1062" s="27" t="str">
        <f aca="false">IF(B1062="","",IFERROR(INDEX(Jeux!$D$2:$D$3001,MATCH(B1062,Jeux!$A$2:$A$3001,0))&amp;"",""))</f>
        <v/>
      </c>
      <c r="I1062" s="26" t="str">
        <f aca="false">IF(A1062="","",COUNTIF(Apparitions!$G$2:$G$5001,A1062))</f>
        <v/>
      </c>
      <c r="J1062" s="26" t="str">
        <f aca="false">IF(A1062="","",COUNTIFS(Apparitions!$G$2:$G$5001,A1062,Apparitions!$E$2:$E$5001,"○"))</f>
        <v/>
      </c>
      <c r="K1062" s="29" t="str">
        <f aca="false">IF(A1062="","",IFERROR(1/(1/_xlfn.MINIFS(Apparitions!$L$2:$L$5001,Apparitions!$G$2:$G$5001,A1062)),""))</f>
        <v/>
      </c>
      <c r="L1062" s="27" t="str">
        <f aca="false">IF(A1062="","",A1062&amp;" | "&amp;B1062&amp;IF(C1062="",""," ("&amp;C1062&amp;")")&amp;IF(D1062="",""," - "&amp;D1062))</f>
        <v/>
      </c>
    </row>
    <row r="1063" customFormat="false" ht="15" hidden="false" customHeight="false" outlineLevel="0" collapsed="false">
      <c r="A1063" s="32"/>
      <c r="B1063" s="19"/>
      <c r="C1063" s="19"/>
      <c r="D1063" s="19"/>
      <c r="E1063" s="21"/>
      <c r="F1063" s="19"/>
      <c r="G1063" s="27" t="str">
        <f aca="false">IF(B1063="","",IFERROR(INDEX(Jeux!$C$2:$C$3001,MATCH(B1063,Jeux!$A$2:$A$3001,0))&amp;"","⚠ jeu inconnu"))</f>
        <v/>
      </c>
      <c r="H1063" s="27" t="str">
        <f aca="false">IF(B1063="","",IFERROR(INDEX(Jeux!$D$2:$D$3001,MATCH(B1063,Jeux!$A$2:$A$3001,0))&amp;"",""))</f>
        <v/>
      </c>
      <c r="I1063" s="26" t="str">
        <f aca="false">IF(A1063="","",COUNTIF(Apparitions!$G$2:$G$5001,A1063))</f>
        <v/>
      </c>
      <c r="J1063" s="26" t="str">
        <f aca="false">IF(A1063="","",COUNTIFS(Apparitions!$G$2:$G$5001,A1063,Apparitions!$E$2:$E$5001,"○"))</f>
        <v/>
      </c>
      <c r="K1063" s="29" t="str">
        <f aca="false">IF(A1063="","",IFERROR(1/(1/_xlfn.MINIFS(Apparitions!$L$2:$L$5001,Apparitions!$G$2:$G$5001,A1063)),""))</f>
        <v/>
      </c>
      <c r="L1063" s="27" t="str">
        <f aca="false">IF(A1063="","",A1063&amp;" | "&amp;B1063&amp;IF(C1063="",""," ("&amp;C1063&amp;")")&amp;IF(D1063="",""," - "&amp;D1063))</f>
        <v/>
      </c>
    </row>
    <row r="1064" customFormat="false" ht="15" hidden="false" customHeight="false" outlineLevel="0" collapsed="false">
      <c r="A1064" s="32"/>
      <c r="B1064" s="19"/>
      <c r="C1064" s="19"/>
      <c r="D1064" s="19"/>
      <c r="E1064" s="21"/>
      <c r="F1064" s="19"/>
      <c r="G1064" s="27" t="str">
        <f aca="false">IF(B1064="","",IFERROR(INDEX(Jeux!$C$2:$C$3001,MATCH(B1064,Jeux!$A$2:$A$3001,0))&amp;"","⚠ jeu inconnu"))</f>
        <v/>
      </c>
      <c r="H1064" s="27" t="str">
        <f aca="false">IF(B1064="","",IFERROR(INDEX(Jeux!$D$2:$D$3001,MATCH(B1064,Jeux!$A$2:$A$3001,0))&amp;"",""))</f>
        <v/>
      </c>
      <c r="I1064" s="26" t="str">
        <f aca="false">IF(A1064="","",COUNTIF(Apparitions!$G$2:$G$5001,A1064))</f>
        <v/>
      </c>
      <c r="J1064" s="26" t="str">
        <f aca="false">IF(A1064="","",COUNTIFS(Apparitions!$G$2:$G$5001,A1064,Apparitions!$E$2:$E$5001,"○"))</f>
        <v/>
      </c>
      <c r="K1064" s="29" t="str">
        <f aca="false">IF(A1064="","",IFERROR(1/(1/_xlfn.MINIFS(Apparitions!$L$2:$L$5001,Apparitions!$G$2:$G$5001,A1064)),""))</f>
        <v/>
      </c>
      <c r="L1064" s="27" t="str">
        <f aca="false">IF(A1064="","",A1064&amp;" | "&amp;B1064&amp;IF(C1064="",""," ("&amp;C1064&amp;")")&amp;IF(D1064="",""," - "&amp;D1064))</f>
        <v/>
      </c>
    </row>
    <row r="1065" customFormat="false" ht="15" hidden="false" customHeight="false" outlineLevel="0" collapsed="false">
      <c r="A1065" s="32"/>
      <c r="B1065" s="19"/>
      <c r="C1065" s="19"/>
      <c r="D1065" s="19"/>
      <c r="E1065" s="21"/>
      <c r="F1065" s="19"/>
      <c r="G1065" s="27" t="str">
        <f aca="false">IF(B1065="","",IFERROR(INDEX(Jeux!$C$2:$C$3001,MATCH(B1065,Jeux!$A$2:$A$3001,0))&amp;"","⚠ jeu inconnu"))</f>
        <v/>
      </c>
      <c r="H1065" s="27" t="str">
        <f aca="false">IF(B1065="","",IFERROR(INDEX(Jeux!$D$2:$D$3001,MATCH(B1065,Jeux!$A$2:$A$3001,0))&amp;"",""))</f>
        <v/>
      </c>
      <c r="I1065" s="26" t="str">
        <f aca="false">IF(A1065="","",COUNTIF(Apparitions!$G$2:$G$5001,A1065))</f>
        <v/>
      </c>
      <c r="J1065" s="26" t="str">
        <f aca="false">IF(A1065="","",COUNTIFS(Apparitions!$G$2:$G$5001,A1065,Apparitions!$E$2:$E$5001,"○"))</f>
        <v/>
      </c>
      <c r="K1065" s="29" t="str">
        <f aca="false">IF(A1065="","",IFERROR(1/(1/_xlfn.MINIFS(Apparitions!$L$2:$L$5001,Apparitions!$G$2:$G$5001,A1065)),""))</f>
        <v/>
      </c>
      <c r="L1065" s="27" t="str">
        <f aca="false">IF(A1065="","",A1065&amp;" | "&amp;B1065&amp;IF(C1065="",""," ("&amp;C1065&amp;")")&amp;IF(D1065="",""," - "&amp;D1065))</f>
        <v/>
      </c>
    </row>
    <row r="1066" customFormat="false" ht="15" hidden="false" customHeight="false" outlineLevel="0" collapsed="false">
      <c r="A1066" s="32"/>
      <c r="B1066" s="19"/>
      <c r="C1066" s="19"/>
      <c r="D1066" s="19"/>
      <c r="E1066" s="21"/>
      <c r="F1066" s="19"/>
      <c r="G1066" s="27" t="str">
        <f aca="false">IF(B1066="","",IFERROR(INDEX(Jeux!$C$2:$C$3001,MATCH(B1066,Jeux!$A$2:$A$3001,0))&amp;"","⚠ jeu inconnu"))</f>
        <v/>
      </c>
      <c r="H1066" s="27" t="str">
        <f aca="false">IF(B1066="","",IFERROR(INDEX(Jeux!$D$2:$D$3001,MATCH(B1066,Jeux!$A$2:$A$3001,0))&amp;"",""))</f>
        <v/>
      </c>
      <c r="I1066" s="26" t="str">
        <f aca="false">IF(A1066="","",COUNTIF(Apparitions!$G$2:$G$5001,A1066))</f>
        <v/>
      </c>
      <c r="J1066" s="26" t="str">
        <f aca="false">IF(A1066="","",COUNTIFS(Apparitions!$G$2:$G$5001,A1066,Apparitions!$E$2:$E$5001,"○"))</f>
        <v/>
      </c>
      <c r="K1066" s="29" t="str">
        <f aca="false">IF(A1066="","",IFERROR(1/(1/_xlfn.MINIFS(Apparitions!$L$2:$L$5001,Apparitions!$G$2:$G$5001,A1066)),""))</f>
        <v/>
      </c>
      <c r="L1066" s="27" t="str">
        <f aca="false">IF(A1066="","",A1066&amp;" | "&amp;B1066&amp;IF(C1066="",""," ("&amp;C1066&amp;")")&amp;IF(D1066="",""," - "&amp;D1066))</f>
        <v/>
      </c>
    </row>
    <row r="1067" customFormat="false" ht="15" hidden="false" customHeight="false" outlineLevel="0" collapsed="false">
      <c r="A1067" s="32"/>
      <c r="B1067" s="19"/>
      <c r="C1067" s="19"/>
      <c r="D1067" s="19"/>
      <c r="E1067" s="21"/>
      <c r="F1067" s="19"/>
      <c r="G1067" s="27" t="str">
        <f aca="false">IF(B1067="","",IFERROR(INDEX(Jeux!$C$2:$C$3001,MATCH(B1067,Jeux!$A$2:$A$3001,0))&amp;"","⚠ jeu inconnu"))</f>
        <v/>
      </c>
      <c r="H1067" s="27" t="str">
        <f aca="false">IF(B1067="","",IFERROR(INDEX(Jeux!$D$2:$D$3001,MATCH(B1067,Jeux!$A$2:$A$3001,0))&amp;"",""))</f>
        <v/>
      </c>
      <c r="I1067" s="26" t="str">
        <f aca="false">IF(A1067="","",COUNTIF(Apparitions!$G$2:$G$5001,A1067))</f>
        <v/>
      </c>
      <c r="J1067" s="26" t="str">
        <f aca="false">IF(A1067="","",COUNTIFS(Apparitions!$G$2:$G$5001,A1067,Apparitions!$E$2:$E$5001,"○"))</f>
        <v/>
      </c>
      <c r="K1067" s="29" t="str">
        <f aca="false">IF(A1067="","",IFERROR(1/(1/_xlfn.MINIFS(Apparitions!$L$2:$L$5001,Apparitions!$G$2:$G$5001,A1067)),""))</f>
        <v/>
      </c>
      <c r="L1067" s="27" t="str">
        <f aca="false">IF(A1067="","",A1067&amp;" | "&amp;B1067&amp;IF(C1067="",""," ("&amp;C1067&amp;")")&amp;IF(D1067="",""," - "&amp;D1067))</f>
        <v/>
      </c>
    </row>
    <row r="1068" customFormat="false" ht="15" hidden="false" customHeight="false" outlineLevel="0" collapsed="false">
      <c r="A1068" s="32"/>
      <c r="B1068" s="19"/>
      <c r="C1068" s="19"/>
      <c r="D1068" s="19"/>
      <c r="E1068" s="21"/>
      <c r="F1068" s="19"/>
      <c r="G1068" s="27" t="str">
        <f aca="false">IF(B1068="","",IFERROR(INDEX(Jeux!$C$2:$C$3001,MATCH(B1068,Jeux!$A$2:$A$3001,0))&amp;"","⚠ jeu inconnu"))</f>
        <v/>
      </c>
      <c r="H1068" s="27" t="str">
        <f aca="false">IF(B1068="","",IFERROR(INDEX(Jeux!$D$2:$D$3001,MATCH(B1068,Jeux!$A$2:$A$3001,0))&amp;"",""))</f>
        <v/>
      </c>
      <c r="I1068" s="26" t="str">
        <f aca="false">IF(A1068="","",COUNTIF(Apparitions!$G$2:$G$5001,A1068))</f>
        <v/>
      </c>
      <c r="J1068" s="26" t="str">
        <f aca="false">IF(A1068="","",COUNTIFS(Apparitions!$G$2:$G$5001,A1068,Apparitions!$E$2:$E$5001,"○"))</f>
        <v/>
      </c>
      <c r="K1068" s="29" t="str">
        <f aca="false">IF(A1068="","",IFERROR(1/(1/_xlfn.MINIFS(Apparitions!$L$2:$L$5001,Apparitions!$G$2:$G$5001,A1068)),""))</f>
        <v/>
      </c>
      <c r="L1068" s="27" t="str">
        <f aca="false">IF(A1068="","",A1068&amp;" | "&amp;B1068&amp;IF(C1068="",""," ("&amp;C1068&amp;")")&amp;IF(D1068="",""," - "&amp;D1068))</f>
        <v/>
      </c>
    </row>
    <row r="1069" customFormat="false" ht="15" hidden="false" customHeight="false" outlineLevel="0" collapsed="false">
      <c r="A1069" s="32"/>
      <c r="B1069" s="19"/>
      <c r="C1069" s="19"/>
      <c r="D1069" s="19"/>
      <c r="E1069" s="21"/>
      <c r="F1069" s="19"/>
      <c r="G1069" s="27" t="str">
        <f aca="false">IF(B1069="","",IFERROR(INDEX(Jeux!$C$2:$C$3001,MATCH(B1069,Jeux!$A$2:$A$3001,0))&amp;"","⚠ jeu inconnu"))</f>
        <v/>
      </c>
      <c r="H1069" s="27" t="str">
        <f aca="false">IF(B1069="","",IFERROR(INDEX(Jeux!$D$2:$D$3001,MATCH(B1069,Jeux!$A$2:$A$3001,0))&amp;"",""))</f>
        <v/>
      </c>
      <c r="I1069" s="26" t="str">
        <f aca="false">IF(A1069="","",COUNTIF(Apparitions!$G$2:$G$5001,A1069))</f>
        <v/>
      </c>
      <c r="J1069" s="26" t="str">
        <f aca="false">IF(A1069="","",COUNTIFS(Apparitions!$G$2:$G$5001,A1069,Apparitions!$E$2:$E$5001,"○"))</f>
        <v/>
      </c>
      <c r="K1069" s="29" t="str">
        <f aca="false">IF(A1069="","",IFERROR(1/(1/_xlfn.MINIFS(Apparitions!$L$2:$L$5001,Apparitions!$G$2:$G$5001,A1069)),""))</f>
        <v/>
      </c>
      <c r="L1069" s="27" t="str">
        <f aca="false">IF(A1069="","",A1069&amp;" | "&amp;B1069&amp;IF(C1069="",""," ("&amp;C1069&amp;")")&amp;IF(D1069="",""," - "&amp;D1069))</f>
        <v/>
      </c>
    </row>
    <row r="1070" customFormat="false" ht="15" hidden="false" customHeight="false" outlineLevel="0" collapsed="false">
      <c r="A1070" s="32"/>
      <c r="B1070" s="19"/>
      <c r="C1070" s="19"/>
      <c r="D1070" s="19"/>
      <c r="E1070" s="21"/>
      <c r="F1070" s="19"/>
      <c r="G1070" s="27" t="str">
        <f aca="false">IF(B1070="","",IFERROR(INDEX(Jeux!$C$2:$C$3001,MATCH(B1070,Jeux!$A$2:$A$3001,0))&amp;"","⚠ jeu inconnu"))</f>
        <v/>
      </c>
      <c r="H1070" s="27" t="str">
        <f aca="false">IF(B1070="","",IFERROR(INDEX(Jeux!$D$2:$D$3001,MATCH(B1070,Jeux!$A$2:$A$3001,0))&amp;"",""))</f>
        <v/>
      </c>
      <c r="I1070" s="26" t="str">
        <f aca="false">IF(A1070="","",COUNTIF(Apparitions!$G$2:$G$5001,A1070))</f>
        <v/>
      </c>
      <c r="J1070" s="26" t="str">
        <f aca="false">IF(A1070="","",COUNTIFS(Apparitions!$G$2:$G$5001,A1070,Apparitions!$E$2:$E$5001,"○"))</f>
        <v/>
      </c>
      <c r="K1070" s="29" t="str">
        <f aca="false">IF(A1070="","",IFERROR(1/(1/_xlfn.MINIFS(Apparitions!$L$2:$L$5001,Apparitions!$G$2:$G$5001,A1070)),""))</f>
        <v/>
      </c>
      <c r="L1070" s="27" t="str">
        <f aca="false">IF(A1070="","",A1070&amp;" | "&amp;B1070&amp;IF(C1070="",""," ("&amp;C1070&amp;")")&amp;IF(D1070="",""," - "&amp;D1070))</f>
        <v/>
      </c>
    </row>
    <row r="1071" customFormat="false" ht="15" hidden="false" customHeight="false" outlineLevel="0" collapsed="false">
      <c r="A1071" s="32"/>
      <c r="B1071" s="19"/>
      <c r="C1071" s="19"/>
      <c r="D1071" s="19"/>
      <c r="E1071" s="21"/>
      <c r="F1071" s="19"/>
      <c r="G1071" s="27" t="str">
        <f aca="false">IF(B1071="","",IFERROR(INDEX(Jeux!$C$2:$C$3001,MATCH(B1071,Jeux!$A$2:$A$3001,0))&amp;"","⚠ jeu inconnu"))</f>
        <v/>
      </c>
      <c r="H1071" s="27" t="str">
        <f aca="false">IF(B1071="","",IFERROR(INDEX(Jeux!$D$2:$D$3001,MATCH(B1071,Jeux!$A$2:$A$3001,0))&amp;"",""))</f>
        <v/>
      </c>
      <c r="I1071" s="26" t="str">
        <f aca="false">IF(A1071="","",COUNTIF(Apparitions!$G$2:$G$5001,A1071))</f>
        <v/>
      </c>
      <c r="J1071" s="26" t="str">
        <f aca="false">IF(A1071="","",COUNTIFS(Apparitions!$G$2:$G$5001,A1071,Apparitions!$E$2:$E$5001,"○"))</f>
        <v/>
      </c>
      <c r="K1071" s="29" t="str">
        <f aca="false">IF(A1071="","",IFERROR(1/(1/_xlfn.MINIFS(Apparitions!$L$2:$L$5001,Apparitions!$G$2:$G$5001,A1071)),""))</f>
        <v/>
      </c>
      <c r="L1071" s="27" t="str">
        <f aca="false">IF(A1071="","",A1071&amp;" | "&amp;B1071&amp;IF(C1071="",""," ("&amp;C1071&amp;")")&amp;IF(D1071="",""," - "&amp;D1071))</f>
        <v/>
      </c>
    </row>
    <row r="1072" customFormat="false" ht="15" hidden="false" customHeight="false" outlineLevel="0" collapsed="false">
      <c r="A1072" s="32"/>
      <c r="B1072" s="19"/>
      <c r="C1072" s="19"/>
      <c r="D1072" s="19"/>
      <c r="E1072" s="21"/>
      <c r="F1072" s="19"/>
      <c r="G1072" s="27" t="str">
        <f aca="false">IF(B1072="","",IFERROR(INDEX(Jeux!$C$2:$C$3001,MATCH(B1072,Jeux!$A$2:$A$3001,0))&amp;"","⚠ jeu inconnu"))</f>
        <v/>
      </c>
      <c r="H1072" s="27" t="str">
        <f aca="false">IF(B1072="","",IFERROR(INDEX(Jeux!$D$2:$D$3001,MATCH(B1072,Jeux!$A$2:$A$3001,0))&amp;"",""))</f>
        <v/>
      </c>
      <c r="I1072" s="26" t="str">
        <f aca="false">IF(A1072="","",COUNTIF(Apparitions!$G$2:$G$5001,A1072))</f>
        <v/>
      </c>
      <c r="J1072" s="26" t="str">
        <f aca="false">IF(A1072="","",COUNTIFS(Apparitions!$G$2:$G$5001,A1072,Apparitions!$E$2:$E$5001,"○"))</f>
        <v/>
      </c>
      <c r="K1072" s="29" t="str">
        <f aca="false">IF(A1072="","",IFERROR(1/(1/_xlfn.MINIFS(Apparitions!$L$2:$L$5001,Apparitions!$G$2:$G$5001,A1072)),""))</f>
        <v/>
      </c>
      <c r="L1072" s="27" t="str">
        <f aca="false">IF(A1072="","",A1072&amp;" | "&amp;B1072&amp;IF(C1072="",""," ("&amp;C1072&amp;")")&amp;IF(D1072="",""," - "&amp;D1072))</f>
        <v/>
      </c>
    </row>
    <row r="1073" customFormat="false" ht="15" hidden="false" customHeight="false" outlineLevel="0" collapsed="false">
      <c r="A1073" s="32"/>
      <c r="B1073" s="19"/>
      <c r="C1073" s="19"/>
      <c r="D1073" s="19"/>
      <c r="E1073" s="21"/>
      <c r="F1073" s="19"/>
      <c r="G1073" s="27" t="str">
        <f aca="false">IF(B1073="","",IFERROR(INDEX(Jeux!$C$2:$C$3001,MATCH(B1073,Jeux!$A$2:$A$3001,0))&amp;"","⚠ jeu inconnu"))</f>
        <v/>
      </c>
      <c r="H1073" s="27" t="str">
        <f aca="false">IF(B1073="","",IFERROR(INDEX(Jeux!$D$2:$D$3001,MATCH(B1073,Jeux!$A$2:$A$3001,0))&amp;"",""))</f>
        <v/>
      </c>
      <c r="I1073" s="26" t="str">
        <f aca="false">IF(A1073="","",COUNTIF(Apparitions!$G$2:$G$5001,A1073))</f>
        <v/>
      </c>
      <c r="J1073" s="26" t="str">
        <f aca="false">IF(A1073="","",COUNTIFS(Apparitions!$G$2:$G$5001,A1073,Apparitions!$E$2:$E$5001,"○"))</f>
        <v/>
      </c>
      <c r="K1073" s="29" t="str">
        <f aca="false">IF(A1073="","",IFERROR(1/(1/_xlfn.MINIFS(Apparitions!$L$2:$L$5001,Apparitions!$G$2:$G$5001,A1073)),""))</f>
        <v/>
      </c>
      <c r="L1073" s="27" t="str">
        <f aca="false">IF(A1073="","",A1073&amp;" | "&amp;B1073&amp;IF(C1073="",""," ("&amp;C1073&amp;")")&amp;IF(D1073="",""," - "&amp;D1073))</f>
        <v/>
      </c>
    </row>
    <row r="1074" customFormat="false" ht="15" hidden="false" customHeight="false" outlineLevel="0" collapsed="false">
      <c r="A1074" s="32"/>
      <c r="B1074" s="19"/>
      <c r="C1074" s="19"/>
      <c r="D1074" s="19"/>
      <c r="E1074" s="21"/>
      <c r="F1074" s="19"/>
      <c r="G1074" s="27" t="str">
        <f aca="false">IF(B1074="","",IFERROR(INDEX(Jeux!$C$2:$C$3001,MATCH(B1074,Jeux!$A$2:$A$3001,0))&amp;"","⚠ jeu inconnu"))</f>
        <v/>
      </c>
      <c r="H1074" s="27" t="str">
        <f aca="false">IF(B1074="","",IFERROR(INDEX(Jeux!$D$2:$D$3001,MATCH(B1074,Jeux!$A$2:$A$3001,0))&amp;"",""))</f>
        <v/>
      </c>
      <c r="I1074" s="26" t="str">
        <f aca="false">IF(A1074="","",COUNTIF(Apparitions!$G$2:$G$5001,A1074))</f>
        <v/>
      </c>
      <c r="J1074" s="26" t="str">
        <f aca="false">IF(A1074="","",COUNTIFS(Apparitions!$G$2:$G$5001,A1074,Apparitions!$E$2:$E$5001,"○"))</f>
        <v/>
      </c>
      <c r="K1074" s="29" t="str">
        <f aca="false">IF(A1074="","",IFERROR(1/(1/_xlfn.MINIFS(Apparitions!$L$2:$L$5001,Apparitions!$G$2:$G$5001,A1074)),""))</f>
        <v/>
      </c>
      <c r="L1074" s="27" t="str">
        <f aca="false">IF(A1074="","",A1074&amp;" | "&amp;B1074&amp;IF(C1074="",""," ("&amp;C1074&amp;")")&amp;IF(D1074="",""," - "&amp;D1074))</f>
        <v/>
      </c>
    </row>
    <row r="1075" customFormat="false" ht="15" hidden="false" customHeight="false" outlineLevel="0" collapsed="false">
      <c r="A1075" s="32"/>
      <c r="B1075" s="19"/>
      <c r="C1075" s="19"/>
      <c r="D1075" s="19"/>
      <c r="E1075" s="21"/>
      <c r="F1075" s="19"/>
      <c r="G1075" s="27" t="str">
        <f aca="false">IF(B1075="","",IFERROR(INDEX(Jeux!$C$2:$C$3001,MATCH(B1075,Jeux!$A$2:$A$3001,0))&amp;"","⚠ jeu inconnu"))</f>
        <v/>
      </c>
      <c r="H1075" s="27" t="str">
        <f aca="false">IF(B1075="","",IFERROR(INDEX(Jeux!$D$2:$D$3001,MATCH(B1075,Jeux!$A$2:$A$3001,0))&amp;"",""))</f>
        <v/>
      </c>
      <c r="I1075" s="26" t="str">
        <f aca="false">IF(A1075="","",COUNTIF(Apparitions!$G$2:$G$5001,A1075))</f>
        <v/>
      </c>
      <c r="J1075" s="26" t="str">
        <f aca="false">IF(A1075="","",COUNTIFS(Apparitions!$G$2:$G$5001,A1075,Apparitions!$E$2:$E$5001,"○"))</f>
        <v/>
      </c>
      <c r="K1075" s="29" t="str">
        <f aca="false">IF(A1075="","",IFERROR(1/(1/_xlfn.MINIFS(Apparitions!$L$2:$L$5001,Apparitions!$G$2:$G$5001,A1075)),""))</f>
        <v/>
      </c>
      <c r="L1075" s="27" t="str">
        <f aca="false">IF(A1075="","",A1075&amp;" | "&amp;B1075&amp;IF(C1075="",""," ("&amp;C1075&amp;")")&amp;IF(D1075="",""," - "&amp;D1075))</f>
        <v/>
      </c>
    </row>
    <row r="1076" customFormat="false" ht="15" hidden="false" customHeight="false" outlineLevel="0" collapsed="false">
      <c r="A1076" s="32"/>
      <c r="B1076" s="19"/>
      <c r="C1076" s="19"/>
      <c r="D1076" s="19"/>
      <c r="E1076" s="21"/>
      <c r="F1076" s="19"/>
      <c r="G1076" s="27" t="str">
        <f aca="false">IF(B1076="","",IFERROR(INDEX(Jeux!$C$2:$C$3001,MATCH(B1076,Jeux!$A$2:$A$3001,0))&amp;"","⚠ jeu inconnu"))</f>
        <v/>
      </c>
      <c r="H1076" s="27" t="str">
        <f aca="false">IF(B1076="","",IFERROR(INDEX(Jeux!$D$2:$D$3001,MATCH(B1076,Jeux!$A$2:$A$3001,0))&amp;"",""))</f>
        <v/>
      </c>
      <c r="I1076" s="26" t="str">
        <f aca="false">IF(A1076="","",COUNTIF(Apparitions!$G$2:$G$5001,A1076))</f>
        <v/>
      </c>
      <c r="J1076" s="26" t="str">
        <f aca="false">IF(A1076="","",COUNTIFS(Apparitions!$G$2:$G$5001,A1076,Apparitions!$E$2:$E$5001,"○"))</f>
        <v/>
      </c>
      <c r="K1076" s="29" t="str">
        <f aca="false">IF(A1076="","",IFERROR(1/(1/_xlfn.MINIFS(Apparitions!$L$2:$L$5001,Apparitions!$G$2:$G$5001,A1076)),""))</f>
        <v/>
      </c>
      <c r="L1076" s="27" t="str">
        <f aca="false">IF(A1076="","",A1076&amp;" | "&amp;B1076&amp;IF(C1076="",""," ("&amp;C1076&amp;")")&amp;IF(D1076="",""," - "&amp;D1076))</f>
        <v/>
      </c>
    </row>
    <row r="1077" customFormat="false" ht="15" hidden="false" customHeight="false" outlineLevel="0" collapsed="false">
      <c r="A1077" s="32"/>
      <c r="B1077" s="19"/>
      <c r="C1077" s="19"/>
      <c r="D1077" s="19"/>
      <c r="E1077" s="21"/>
      <c r="F1077" s="19"/>
      <c r="G1077" s="27" t="str">
        <f aca="false">IF(B1077="","",IFERROR(INDEX(Jeux!$C$2:$C$3001,MATCH(B1077,Jeux!$A$2:$A$3001,0))&amp;"","⚠ jeu inconnu"))</f>
        <v/>
      </c>
      <c r="H1077" s="27" t="str">
        <f aca="false">IF(B1077="","",IFERROR(INDEX(Jeux!$D$2:$D$3001,MATCH(B1077,Jeux!$A$2:$A$3001,0))&amp;"",""))</f>
        <v/>
      </c>
      <c r="I1077" s="26" t="str">
        <f aca="false">IF(A1077="","",COUNTIF(Apparitions!$G$2:$G$5001,A1077))</f>
        <v/>
      </c>
      <c r="J1077" s="26" t="str">
        <f aca="false">IF(A1077="","",COUNTIFS(Apparitions!$G$2:$G$5001,A1077,Apparitions!$E$2:$E$5001,"○"))</f>
        <v/>
      </c>
      <c r="K1077" s="29" t="str">
        <f aca="false">IF(A1077="","",IFERROR(1/(1/_xlfn.MINIFS(Apparitions!$L$2:$L$5001,Apparitions!$G$2:$G$5001,A1077)),""))</f>
        <v/>
      </c>
      <c r="L1077" s="27" t="str">
        <f aca="false">IF(A1077="","",A1077&amp;" | "&amp;B1077&amp;IF(C1077="",""," ("&amp;C1077&amp;")")&amp;IF(D1077="",""," - "&amp;D1077))</f>
        <v/>
      </c>
    </row>
    <row r="1078" customFormat="false" ht="15" hidden="false" customHeight="false" outlineLevel="0" collapsed="false">
      <c r="A1078" s="32"/>
      <c r="B1078" s="19"/>
      <c r="C1078" s="19"/>
      <c r="D1078" s="19"/>
      <c r="E1078" s="21"/>
      <c r="F1078" s="19"/>
      <c r="G1078" s="27" t="str">
        <f aca="false">IF(B1078="","",IFERROR(INDEX(Jeux!$C$2:$C$3001,MATCH(B1078,Jeux!$A$2:$A$3001,0))&amp;"","⚠ jeu inconnu"))</f>
        <v/>
      </c>
      <c r="H1078" s="27" t="str">
        <f aca="false">IF(B1078="","",IFERROR(INDEX(Jeux!$D$2:$D$3001,MATCH(B1078,Jeux!$A$2:$A$3001,0))&amp;"",""))</f>
        <v/>
      </c>
      <c r="I1078" s="26" t="str">
        <f aca="false">IF(A1078="","",COUNTIF(Apparitions!$G$2:$G$5001,A1078))</f>
        <v/>
      </c>
      <c r="J1078" s="26" t="str">
        <f aca="false">IF(A1078="","",COUNTIFS(Apparitions!$G$2:$G$5001,A1078,Apparitions!$E$2:$E$5001,"○"))</f>
        <v/>
      </c>
      <c r="K1078" s="29" t="str">
        <f aca="false">IF(A1078="","",IFERROR(1/(1/_xlfn.MINIFS(Apparitions!$L$2:$L$5001,Apparitions!$G$2:$G$5001,A1078)),""))</f>
        <v/>
      </c>
      <c r="L1078" s="27" t="str">
        <f aca="false">IF(A1078="","",A1078&amp;" | "&amp;B1078&amp;IF(C1078="",""," ("&amp;C1078&amp;")")&amp;IF(D1078="",""," - "&amp;D1078))</f>
        <v/>
      </c>
    </row>
    <row r="1079" customFormat="false" ht="15" hidden="false" customHeight="false" outlineLevel="0" collapsed="false">
      <c r="A1079" s="32"/>
      <c r="B1079" s="19"/>
      <c r="C1079" s="19"/>
      <c r="D1079" s="19"/>
      <c r="E1079" s="21"/>
      <c r="F1079" s="19"/>
      <c r="G1079" s="27" t="str">
        <f aca="false">IF(B1079="","",IFERROR(INDEX(Jeux!$C$2:$C$3001,MATCH(B1079,Jeux!$A$2:$A$3001,0))&amp;"","⚠ jeu inconnu"))</f>
        <v/>
      </c>
      <c r="H1079" s="27" t="str">
        <f aca="false">IF(B1079="","",IFERROR(INDEX(Jeux!$D$2:$D$3001,MATCH(B1079,Jeux!$A$2:$A$3001,0))&amp;"",""))</f>
        <v/>
      </c>
      <c r="I1079" s="26" t="str">
        <f aca="false">IF(A1079="","",COUNTIF(Apparitions!$G$2:$G$5001,A1079))</f>
        <v/>
      </c>
      <c r="J1079" s="26" t="str">
        <f aca="false">IF(A1079="","",COUNTIFS(Apparitions!$G$2:$G$5001,A1079,Apparitions!$E$2:$E$5001,"○"))</f>
        <v/>
      </c>
      <c r="K1079" s="29" t="str">
        <f aca="false">IF(A1079="","",IFERROR(1/(1/_xlfn.MINIFS(Apparitions!$L$2:$L$5001,Apparitions!$G$2:$G$5001,A1079)),""))</f>
        <v/>
      </c>
      <c r="L1079" s="27" t="str">
        <f aca="false">IF(A1079="","",A1079&amp;" | "&amp;B1079&amp;IF(C1079="",""," ("&amp;C1079&amp;")")&amp;IF(D1079="",""," - "&amp;D1079))</f>
        <v/>
      </c>
    </row>
    <row r="1080" customFormat="false" ht="15" hidden="false" customHeight="false" outlineLevel="0" collapsed="false">
      <c r="A1080" s="32"/>
      <c r="B1080" s="19"/>
      <c r="C1080" s="19"/>
      <c r="D1080" s="19"/>
      <c r="E1080" s="21"/>
      <c r="F1080" s="19"/>
      <c r="G1080" s="27" t="str">
        <f aca="false">IF(B1080="","",IFERROR(INDEX(Jeux!$C$2:$C$3001,MATCH(B1080,Jeux!$A$2:$A$3001,0))&amp;"","⚠ jeu inconnu"))</f>
        <v/>
      </c>
      <c r="H1080" s="27" t="str">
        <f aca="false">IF(B1080="","",IFERROR(INDEX(Jeux!$D$2:$D$3001,MATCH(B1080,Jeux!$A$2:$A$3001,0))&amp;"",""))</f>
        <v/>
      </c>
      <c r="I1080" s="26" t="str">
        <f aca="false">IF(A1080="","",COUNTIF(Apparitions!$G$2:$G$5001,A1080))</f>
        <v/>
      </c>
      <c r="J1080" s="26" t="str">
        <f aca="false">IF(A1080="","",COUNTIFS(Apparitions!$G$2:$G$5001,A1080,Apparitions!$E$2:$E$5001,"○"))</f>
        <v/>
      </c>
      <c r="K1080" s="29" t="str">
        <f aca="false">IF(A1080="","",IFERROR(1/(1/_xlfn.MINIFS(Apparitions!$L$2:$L$5001,Apparitions!$G$2:$G$5001,A1080)),""))</f>
        <v/>
      </c>
      <c r="L1080" s="27" t="str">
        <f aca="false">IF(A1080="","",A1080&amp;" | "&amp;B1080&amp;IF(C1080="",""," ("&amp;C1080&amp;")")&amp;IF(D1080="",""," - "&amp;D1080))</f>
        <v/>
      </c>
    </row>
    <row r="1081" customFormat="false" ht="15" hidden="false" customHeight="false" outlineLevel="0" collapsed="false">
      <c r="A1081" s="32"/>
      <c r="B1081" s="19"/>
      <c r="C1081" s="19"/>
      <c r="D1081" s="19"/>
      <c r="E1081" s="21"/>
      <c r="F1081" s="19"/>
      <c r="G1081" s="27" t="str">
        <f aca="false">IF(B1081="","",IFERROR(INDEX(Jeux!$C$2:$C$3001,MATCH(B1081,Jeux!$A$2:$A$3001,0))&amp;"","⚠ jeu inconnu"))</f>
        <v/>
      </c>
      <c r="H1081" s="27" t="str">
        <f aca="false">IF(B1081="","",IFERROR(INDEX(Jeux!$D$2:$D$3001,MATCH(B1081,Jeux!$A$2:$A$3001,0))&amp;"",""))</f>
        <v/>
      </c>
      <c r="I1081" s="26" t="str">
        <f aca="false">IF(A1081="","",COUNTIF(Apparitions!$G$2:$G$5001,A1081))</f>
        <v/>
      </c>
      <c r="J1081" s="26" t="str">
        <f aca="false">IF(A1081="","",COUNTIFS(Apparitions!$G$2:$G$5001,A1081,Apparitions!$E$2:$E$5001,"○"))</f>
        <v/>
      </c>
      <c r="K1081" s="29" t="str">
        <f aca="false">IF(A1081="","",IFERROR(1/(1/_xlfn.MINIFS(Apparitions!$L$2:$L$5001,Apparitions!$G$2:$G$5001,A1081)),""))</f>
        <v/>
      </c>
      <c r="L1081" s="27" t="str">
        <f aca="false">IF(A1081="","",A1081&amp;" | "&amp;B1081&amp;IF(C1081="",""," ("&amp;C1081&amp;")")&amp;IF(D1081="",""," - "&amp;D1081))</f>
        <v/>
      </c>
    </row>
    <row r="1082" customFormat="false" ht="15" hidden="false" customHeight="false" outlineLevel="0" collapsed="false">
      <c r="A1082" s="32"/>
      <c r="B1082" s="19"/>
      <c r="C1082" s="19"/>
      <c r="D1082" s="19"/>
      <c r="E1082" s="21"/>
      <c r="F1082" s="19"/>
      <c r="G1082" s="27" t="str">
        <f aca="false">IF(B1082="","",IFERROR(INDEX(Jeux!$C$2:$C$3001,MATCH(B1082,Jeux!$A$2:$A$3001,0))&amp;"","⚠ jeu inconnu"))</f>
        <v/>
      </c>
      <c r="H1082" s="27" t="str">
        <f aca="false">IF(B1082="","",IFERROR(INDEX(Jeux!$D$2:$D$3001,MATCH(B1082,Jeux!$A$2:$A$3001,0))&amp;"",""))</f>
        <v/>
      </c>
      <c r="I1082" s="26" t="str">
        <f aca="false">IF(A1082="","",COUNTIF(Apparitions!$G$2:$G$5001,A1082))</f>
        <v/>
      </c>
      <c r="J1082" s="26" t="str">
        <f aca="false">IF(A1082="","",COUNTIFS(Apparitions!$G$2:$G$5001,A1082,Apparitions!$E$2:$E$5001,"○"))</f>
        <v/>
      </c>
      <c r="K1082" s="29" t="str">
        <f aca="false">IF(A1082="","",IFERROR(1/(1/_xlfn.MINIFS(Apparitions!$L$2:$L$5001,Apparitions!$G$2:$G$5001,A1082)),""))</f>
        <v/>
      </c>
      <c r="L1082" s="27" t="str">
        <f aca="false">IF(A1082="","",A1082&amp;" | "&amp;B1082&amp;IF(C1082="",""," ("&amp;C1082&amp;")")&amp;IF(D1082="",""," - "&amp;D1082))</f>
        <v/>
      </c>
    </row>
    <row r="1083" customFormat="false" ht="15" hidden="false" customHeight="false" outlineLevel="0" collapsed="false">
      <c r="A1083" s="32"/>
      <c r="B1083" s="19"/>
      <c r="C1083" s="19"/>
      <c r="D1083" s="19"/>
      <c r="E1083" s="21"/>
      <c r="F1083" s="19"/>
      <c r="G1083" s="27" t="str">
        <f aca="false">IF(B1083="","",IFERROR(INDEX(Jeux!$C$2:$C$3001,MATCH(B1083,Jeux!$A$2:$A$3001,0))&amp;"","⚠ jeu inconnu"))</f>
        <v/>
      </c>
      <c r="H1083" s="27" t="str">
        <f aca="false">IF(B1083="","",IFERROR(INDEX(Jeux!$D$2:$D$3001,MATCH(B1083,Jeux!$A$2:$A$3001,0))&amp;"",""))</f>
        <v/>
      </c>
      <c r="I1083" s="26" t="str">
        <f aca="false">IF(A1083="","",COUNTIF(Apparitions!$G$2:$G$5001,A1083))</f>
        <v/>
      </c>
      <c r="J1083" s="26" t="str">
        <f aca="false">IF(A1083="","",COUNTIFS(Apparitions!$G$2:$G$5001,A1083,Apparitions!$E$2:$E$5001,"○"))</f>
        <v/>
      </c>
      <c r="K1083" s="29" t="str">
        <f aca="false">IF(A1083="","",IFERROR(1/(1/_xlfn.MINIFS(Apparitions!$L$2:$L$5001,Apparitions!$G$2:$G$5001,A1083)),""))</f>
        <v/>
      </c>
      <c r="L1083" s="27" t="str">
        <f aca="false">IF(A1083="","",A1083&amp;" | "&amp;B1083&amp;IF(C1083="",""," ("&amp;C1083&amp;")")&amp;IF(D1083="",""," - "&amp;D1083))</f>
        <v/>
      </c>
    </row>
    <row r="1084" customFormat="false" ht="15" hidden="false" customHeight="false" outlineLevel="0" collapsed="false">
      <c r="A1084" s="32"/>
      <c r="B1084" s="19"/>
      <c r="C1084" s="19"/>
      <c r="D1084" s="19"/>
      <c r="E1084" s="21"/>
      <c r="F1084" s="19"/>
      <c r="G1084" s="27" t="str">
        <f aca="false">IF(B1084="","",IFERROR(INDEX(Jeux!$C$2:$C$3001,MATCH(B1084,Jeux!$A$2:$A$3001,0))&amp;"","⚠ jeu inconnu"))</f>
        <v/>
      </c>
      <c r="H1084" s="27" t="str">
        <f aca="false">IF(B1084="","",IFERROR(INDEX(Jeux!$D$2:$D$3001,MATCH(B1084,Jeux!$A$2:$A$3001,0))&amp;"",""))</f>
        <v/>
      </c>
      <c r="I1084" s="26" t="str">
        <f aca="false">IF(A1084="","",COUNTIF(Apparitions!$G$2:$G$5001,A1084))</f>
        <v/>
      </c>
      <c r="J1084" s="26" t="str">
        <f aca="false">IF(A1084="","",COUNTIFS(Apparitions!$G$2:$G$5001,A1084,Apparitions!$E$2:$E$5001,"○"))</f>
        <v/>
      </c>
      <c r="K1084" s="29" t="str">
        <f aca="false">IF(A1084="","",IFERROR(1/(1/_xlfn.MINIFS(Apparitions!$L$2:$L$5001,Apparitions!$G$2:$G$5001,A1084)),""))</f>
        <v/>
      </c>
      <c r="L1084" s="27" t="str">
        <f aca="false">IF(A1084="","",A1084&amp;" | "&amp;B1084&amp;IF(C1084="",""," ("&amp;C1084&amp;")")&amp;IF(D1084="",""," - "&amp;D1084))</f>
        <v/>
      </c>
    </row>
    <row r="1085" customFormat="false" ht="15" hidden="false" customHeight="false" outlineLevel="0" collapsed="false">
      <c r="A1085" s="32"/>
      <c r="B1085" s="19"/>
      <c r="C1085" s="19"/>
      <c r="D1085" s="19"/>
      <c r="E1085" s="21"/>
      <c r="F1085" s="19"/>
      <c r="G1085" s="27" t="str">
        <f aca="false">IF(B1085="","",IFERROR(INDEX(Jeux!$C$2:$C$3001,MATCH(B1085,Jeux!$A$2:$A$3001,0))&amp;"","⚠ jeu inconnu"))</f>
        <v/>
      </c>
      <c r="H1085" s="27" t="str">
        <f aca="false">IF(B1085="","",IFERROR(INDEX(Jeux!$D$2:$D$3001,MATCH(B1085,Jeux!$A$2:$A$3001,0))&amp;"",""))</f>
        <v/>
      </c>
      <c r="I1085" s="26" t="str">
        <f aca="false">IF(A1085="","",COUNTIF(Apparitions!$G$2:$G$5001,A1085))</f>
        <v/>
      </c>
      <c r="J1085" s="26" t="str">
        <f aca="false">IF(A1085="","",COUNTIFS(Apparitions!$G$2:$G$5001,A1085,Apparitions!$E$2:$E$5001,"○"))</f>
        <v/>
      </c>
      <c r="K1085" s="29" t="str">
        <f aca="false">IF(A1085="","",IFERROR(1/(1/_xlfn.MINIFS(Apparitions!$L$2:$L$5001,Apparitions!$G$2:$G$5001,A1085)),""))</f>
        <v/>
      </c>
      <c r="L1085" s="27" t="str">
        <f aca="false">IF(A1085="","",A1085&amp;" | "&amp;B1085&amp;IF(C1085="",""," ("&amp;C1085&amp;")")&amp;IF(D1085="",""," - "&amp;D1085))</f>
        <v/>
      </c>
    </row>
    <row r="1086" customFormat="false" ht="15" hidden="false" customHeight="false" outlineLevel="0" collapsed="false">
      <c r="A1086" s="32"/>
      <c r="B1086" s="19"/>
      <c r="C1086" s="19"/>
      <c r="D1086" s="19"/>
      <c r="E1086" s="21"/>
      <c r="F1086" s="19"/>
      <c r="G1086" s="27" t="str">
        <f aca="false">IF(B1086="","",IFERROR(INDEX(Jeux!$C$2:$C$3001,MATCH(B1086,Jeux!$A$2:$A$3001,0))&amp;"","⚠ jeu inconnu"))</f>
        <v/>
      </c>
      <c r="H1086" s="27" t="str">
        <f aca="false">IF(B1086="","",IFERROR(INDEX(Jeux!$D$2:$D$3001,MATCH(B1086,Jeux!$A$2:$A$3001,0))&amp;"",""))</f>
        <v/>
      </c>
      <c r="I1086" s="26" t="str">
        <f aca="false">IF(A1086="","",COUNTIF(Apparitions!$G$2:$G$5001,A1086))</f>
        <v/>
      </c>
      <c r="J1086" s="26" t="str">
        <f aca="false">IF(A1086="","",COUNTIFS(Apparitions!$G$2:$G$5001,A1086,Apparitions!$E$2:$E$5001,"○"))</f>
        <v/>
      </c>
      <c r="K1086" s="29" t="str">
        <f aca="false">IF(A1086="","",IFERROR(1/(1/_xlfn.MINIFS(Apparitions!$L$2:$L$5001,Apparitions!$G$2:$G$5001,A1086)),""))</f>
        <v/>
      </c>
      <c r="L1086" s="27" t="str">
        <f aca="false">IF(A1086="","",A1086&amp;" | "&amp;B1086&amp;IF(C1086="",""," ("&amp;C1086&amp;")")&amp;IF(D1086="",""," - "&amp;D1086))</f>
        <v/>
      </c>
    </row>
    <row r="1087" customFormat="false" ht="15" hidden="false" customHeight="false" outlineLevel="0" collapsed="false">
      <c r="A1087" s="32"/>
      <c r="B1087" s="19"/>
      <c r="C1087" s="19"/>
      <c r="D1087" s="19"/>
      <c r="E1087" s="21"/>
      <c r="F1087" s="19"/>
      <c r="G1087" s="27" t="str">
        <f aca="false">IF(B1087="","",IFERROR(INDEX(Jeux!$C$2:$C$3001,MATCH(B1087,Jeux!$A$2:$A$3001,0))&amp;"","⚠ jeu inconnu"))</f>
        <v/>
      </c>
      <c r="H1087" s="27" t="str">
        <f aca="false">IF(B1087="","",IFERROR(INDEX(Jeux!$D$2:$D$3001,MATCH(B1087,Jeux!$A$2:$A$3001,0))&amp;"",""))</f>
        <v/>
      </c>
      <c r="I1087" s="26" t="str">
        <f aca="false">IF(A1087="","",COUNTIF(Apparitions!$G$2:$G$5001,A1087))</f>
        <v/>
      </c>
      <c r="J1087" s="26" t="str">
        <f aca="false">IF(A1087="","",COUNTIFS(Apparitions!$G$2:$G$5001,A1087,Apparitions!$E$2:$E$5001,"○"))</f>
        <v/>
      </c>
      <c r="K1087" s="29" t="str">
        <f aca="false">IF(A1087="","",IFERROR(1/(1/_xlfn.MINIFS(Apparitions!$L$2:$L$5001,Apparitions!$G$2:$G$5001,A1087)),""))</f>
        <v/>
      </c>
      <c r="L1087" s="27" t="str">
        <f aca="false">IF(A1087="","",A1087&amp;" | "&amp;B1087&amp;IF(C1087="",""," ("&amp;C1087&amp;")")&amp;IF(D1087="",""," - "&amp;D1087))</f>
        <v/>
      </c>
    </row>
    <row r="1088" customFormat="false" ht="15" hidden="false" customHeight="false" outlineLevel="0" collapsed="false">
      <c r="A1088" s="32"/>
      <c r="B1088" s="19"/>
      <c r="C1088" s="19"/>
      <c r="D1088" s="19"/>
      <c r="E1088" s="21"/>
      <c r="F1088" s="19"/>
      <c r="G1088" s="27" t="str">
        <f aca="false">IF(B1088="","",IFERROR(INDEX(Jeux!$C$2:$C$3001,MATCH(B1088,Jeux!$A$2:$A$3001,0))&amp;"","⚠ jeu inconnu"))</f>
        <v/>
      </c>
      <c r="H1088" s="27" t="str">
        <f aca="false">IF(B1088="","",IFERROR(INDEX(Jeux!$D$2:$D$3001,MATCH(B1088,Jeux!$A$2:$A$3001,0))&amp;"",""))</f>
        <v/>
      </c>
      <c r="I1088" s="26" t="str">
        <f aca="false">IF(A1088="","",COUNTIF(Apparitions!$G$2:$G$5001,A1088))</f>
        <v/>
      </c>
      <c r="J1088" s="26" t="str">
        <f aca="false">IF(A1088="","",COUNTIFS(Apparitions!$G$2:$G$5001,A1088,Apparitions!$E$2:$E$5001,"○"))</f>
        <v/>
      </c>
      <c r="K1088" s="29" t="str">
        <f aca="false">IF(A1088="","",IFERROR(1/(1/_xlfn.MINIFS(Apparitions!$L$2:$L$5001,Apparitions!$G$2:$G$5001,A1088)),""))</f>
        <v/>
      </c>
      <c r="L1088" s="27" t="str">
        <f aca="false">IF(A1088="","",A1088&amp;" | "&amp;B1088&amp;IF(C1088="",""," ("&amp;C1088&amp;")")&amp;IF(D1088="",""," - "&amp;D1088))</f>
        <v/>
      </c>
    </row>
    <row r="1089" customFormat="false" ht="15" hidden="false" customHeight="false" outlineLevel="0" collapsed="false">
      <c r="A1089" s="32"/>
      <c r="B1089" s="19"/>
      <c r="C1089" s="19"/>
      <c r="D1089" s="19"/>
      <c r="E1089" s="21"/>
      <c r="F1089" s="19"/>
      <c r="G1089" s="27" t="str">
        <f aca="false">IF(B1089="","",IFERROR(INDEX(Jeux!$C$2:$C$3001,MATCH(B1089,Jeux!$A$2:$A$3001,0))&amp;"","⚠ jeu inconnu"))</f>
        <v/>
      </c>
      <c r="H1089" s="27" t="str">
        <f aca="false">IF(B1089="","",IFERROR(INDEX(Jeux!$D$2:$D$3001,MATCH(B1089,Jeux!$A$2:$A$3001,0))&amp;"",""))</f>
        <v/>
      </c>
      <c r="I1089" s="26" t="str">
        <f aca="false">IF(A1089="","",COUNTIF(Apparitions!$G$2:$G$5001,A1089))</f>
        <v/>
      </c>
      <c r="J1089" s="26" t="str">
        <f aca="false">IF(A1089="","",COUNTIFS(Apparitions!$G$2:$G$5001,A1089,Apparitions!$E$2:$E$5001,"○"))</f>
        <v/>
      </c>
      <c r="K1089" s="29" t="str">
        <f aca="false">IF(A1089="","",IFERROR(1/(1/_xlfn.MINIFS(Apparitions!$L$2:$L$5001,Apparitions!$G$2:$G$5001,A1089)),""))</f>
        <v/>
      </c>
      <c r="L1089" s="27" t="str">
        <f aca="false">IF(A1089="","",A1089&amp;" | "&amp;B1089&amp;IF(C1089="",""," ("&amp;C1089&amp;")")&amp;IF(D1089="",""," - "&amp;D1089))</f>
        <v/>
      </c>
    </row>
    <row r="1090" customFormat="false" ht="15" hidden="false" customHeight="false" outlineLevel="0" collapsed="false">
      <c r="A1090" s="32"/>
      <c r="B1090" s="19"/>
      <c r="C1090" s="19"/>
      <c r="D1090" s="19"/>
      <c r="E1090" s="21"/>
      <c r="F1090" s="19"/>
      <c r="G1090" s="27" t="str">
        <f aca="false">IF(B1090="","",IFERROR(INDEX(Jeux!$C$2:$C$3001,MATCH(B1090,Jeux!$A$2:$A$3001,0))&amp;"","⚠ jeu inconnu"))</f>
        <v/>
      </c>
      <c r="H1090" s="27" t="str">
        <f aca="false">IF(B1090="","",IFERROR(INDEX(Jeux!$D$2:$D$3001,MATCH(B1090,Jeux!$A$2:$A$3001,0))&amp;"",""))</f>
        <v/>
      </c>
      <c r="I1090" s="26" t="str">
        <f aca="false">IF(A1090="","",COUNTIF(Apparitions!$G$2:$G$5001,A1090))</f>
        <v/>
      </c>
      <c r="J1090" s="26" t="str">
        <f aca="false">IF(A1090="","",COUNTIFS(Apparitions!$G$2:$G$5001,A1090,Apparitions!$E$2:$E$5001,"○"))</f>
        <v/>
      </c>
      <c r="K1090" s="29" t="str">
        <f aca="false">IF(A1090="","",IFERROR(1/(1/_xlfn.MINIFS(Apparitions!$L$2:$L$5001,Apparitions!$G$2:$G$5001,A1090)),""))</f>
        <v/>
      </c>
      <c r="L1090" s="27" t="str">
        <f aca="false">IF(A1090="","",A1090&amp;" | "&amp;B1090&amp;IF(C1090="",""," ("&amp;C1090&amp;")")&amp;IF(D1090="",""," - "&amp;D1090))</f>
        <v/>
      </c>
    </row>
    <row r="1091" customFormat="false" ht="15" hidden="false" customHeight="false" outlineLevel="0" collapsed="false">
      <c r="A1091" s="32"/>
      <c r="B1091" s="19"/>
      <c r="C1091" s="19"/>
      <c r="D1091" s="19"/>
      <c r="E1091" s="21"/>
      <c r="F1091" s="19"/>
      <c r="G1091" s="27" t="str">
        <f aca="false">IF(B1091="","",IFERROR(INDEX(Jeux!$C$2:$C$3001,MATCH(B1091,Jeux!$A$2:$A$3001,0))&amp;"","⚠ jeu inconnu"))</f>
        <v/>
      </c>
      <c r="H1091" s="27" t="str">
        <f aca="false">IF(B1091="","",IFERROR(INDEX(Jeux!$D$2:$D$3001,MATCH(B1091,Jeux!$A$2:$A$3001,0))&amp;"",""))</f>
        <v/>
      </c>
      <c r="I1091" s="26" t="str">
        <f aca="false">IF(A1091="","",COUNTIF(Apparitions!$G$2:$G$5001,A1091))</f>
        <v/>
      </c>
      <c r="J1091" s="26" t="str">
        <f aca="false">IF(A1091="","",COUNTIFS(Apparitions!$G$2:$G$5001,A1091,Apparitions!$E$2:$E$5001,"○"))</f>
        <v/>
      </c>
      <c r="K1091" s="29" t="str">
        <f aca="false">IF(A1091="","",IFERROR(1/(1/_xlfn.MINIFS(Apparitions!$L$2:$L$5001,Apparitions!$G$2:$G$5001,A1091)),""))</f>
        <v/>
      </c>
      <c r="L1091" s="27" t="str">
        <f aca="false">IF(A1091="","",A1091&amp;" | "&amp;B1091&amp;IF(C1091="",""," ("&amp;C1091&amp;")")&amp;IF(D1091="",""," - "&amp;D1091))</f>
        <v/>
      </c>
    </row>
    <row r="1092" customFormat="false" ht="15" hidden="false" customHeight="false" outlineLevel="0" collapsed="false">
      <c r="A1092" s="32"/>
      <c r="B1092" s="19"/>
      <c r="C1092" s="19"/>
      <c r="D1092" s="19"/>
      <c r="E1092" s="21"/>
      <c r="F1092" s="19"/>
      <c r="G1092" s="27" t="str">
        <f aca="false">IF(B1092="","",IFERROR(INDEX(Jeux!$C$2:$C$3001,MATCH(B1092,Jeux!$A$2:$A$3001,0))&amp;"","⚠ jeu inconnu"))</f>
        <v/>
      </c>
      <c r="H1092" s="27" t="str">
        <f aca="false">IF(B1092="","",IFERROR(INDEX(Jeux!$D$2:$D$3001,MATCH(B1092,Jeux!$A$2:$A$3001,0))&amp;"",""))</f>
        <v/>
      </c>
      <c r="I1092" s="26" t="str">
        <f aca="false">IF(A1092="","",COUNTIF(Apparitions!$G$2:$G$5001,A1092))</f>
        <v/>
      </c>
      <c r="J1092" s="26" t="str">
        <f aca="false">IF(A1092="","",COUNTIFS(Apparitions!$G$2:$G$5001,A1092,Apparitions!$E$2:$E$5001,"○"))</f>
        <v/>
      </c>
      <c r="K1092" s="29" t="str">
        <f aca="false">IF(A1092="","",IFERROR(1/(1/_xlfn.MINIFS(Apparitions!$L$2:$L$5001,Apparitions!$G$2:$G$5001,A1092)),""))</f>
        <v/>
      </c>
      <c r="L1092" s="27" t="str">
        <f aca="false">IF(A1092="","",A1092&amp;" | "&amp;B1092&amp;IF(C1092="",""," ("&amp;C1092&amp;")")&amp;IF(D1092="",""," - "&amp;D1092))</f>
        <v/>
      </c>
    </row>
    <row r="1093" customFormat="false" ht="15" hidden="false" customHeight="false" outlineLevel="0" collapsed="false">
      <c r="A1093" s="32"/>
      <c r="B1093" s="19"/>
      <c r="C1093" s="19"/>
      <c r="D1093" s="19"/>
      <c r="E1093" s="21"/>
      <c r="F1093" s="19"/>
      <c r="G1093" s="27" t="str">
        <f aca="false">IF(B1093="","",IFERROR(INDEX(Jeux!$C$2:$C$3001,MATCH(B1093,Jeux!$A$2:$A$3001,0))&amp;"","⚠ jeu inconnu"))</f>
        <v/>
      </c>
      <c r="H1093" s="27" t="str">
        <f aca="false">IF(B1093="","",IFERROR(INDEX(Jeux!$D$2:$D$3001,MATCH(B1093,Jeux!$A$2:$A$3001,0))&amp;"",""))</f>
        <v/>
      </c>
      <c r="I1093" s="26" t="str">
        <f aca="false">IF(A1093="","",COUNTIF(Apparitions!$G$2:$G$5001,A1093))</f>
        <v/>
      </c>
      <c r="J1093" s="26" t="str">
        <f aca="false">IF(A1093="","",COUNTIFS(Apparitions!$G$2:$G$5001,A1093,Apparitions!$E$2:$E$5001,"○"))</f>
        <v/>
      </c>
      <c r="K1093" s="29" t="str">
        <f aca="false">IF(A1093="","",IFERROR(1/(1/_xlfn.MINIFS(Apparitions!$L$2:$L$5001,Apparitions!$G$2:$G$5001,A1093)),""))</f>
        <v/>
      </c>
      <c r="L1093" s="27" t="str">
        <f aca="false">IF(A1093="","",A1093&amp;" | "&amp;B1093&amp;IF(C1093="",""," ("&amp;C1093&amp;")")&amp;IF(D1093="",""," - "&amp;D1093))</f>
        <v/>
      </c>
    </row>
    <row r="1094" customFormat="false" ht="15" hidden="false" customHeight="false" outlineLevel="0" collapsed="false">
      <c r="A1094" s="32"/>
      <c r="B1094" s="19"/>
      <c r="C1094" s="19"/>
      <c r="D1094" s="19"/>
      <c r="E1094" s="21"/>
      <c r="F1094" s="19"/>
      <c r="G1094" s="27" t="str">
        <f aca="false">IF(B1094="","",IFERROR(INDEX(Jeux!$C$2:$C$3001,MATCH(B1094,Jeux!$A$2:$A$3001,0))&amp;"","⚠ jeu inconnu"))</f>
        <v/>
      </c>
      <c r="H1094" s="27" t="str">
        <f aca="false">IF(B1094="","",IFERROR(INDEX(Jeux!$D$2:$D$3001,MATCH(B1094,Jeux!$A$2:$A$3001,0))&amp;"",""))</f>
        <v/>
      </c>
      <c r="I1094" s="26" t="str">
        <f aca="false">IF(A1094="","",COUNTIF(Apparitions!$G$2:$G$5001,A1094))</f>
        <v/>
      </c>
      <c r="J1094" s="26" t="str">
        <f aca="false">IF(A1094="","",COUNTIFS(Apparitions!$G$2:$G$5001,A1094,Apparitions!$E$2:$E$5001,"○"))</f>
        <v/>
      </c>
      <c r="K1094" s="29" t="str">
        <f aca="false">IF(A1094="","",IFERROR(1/(1/_xlfn.MINIFS(Apparitions!$L$2:$L$5001,Apparitions!$G$2:$G$5001,A1094)),""))</f>
        <v/>
      </c>
      <c r="L1094" s="27" t="str">
        <f aca="false">IF(A1094="","",A1094&amp;" | "&amp;B1094&amp;IF(C1094="",""," ("&amp;C1094&amp;")")&amp;IF(D1094="",""," - "&amp;D1094))</f>
        <v/>
      </c>
    </row>
    <row r="1095" customFormat="false" ht="15" hidden="false" customHeight="false" outlineLevel="0" collapsed="false">
      <c r="A1095" s="32"/>
      <c r="B1095" s="19"/>
      <c r="C1095" s="19"/>
      <c r="D1095" s="19"/>
      <c r="E1095" s="21"/>
      <c r="F1095" s="19"/>
      <c r="G1095" s="27" t="str">
        <f aca="false">IF(B1095="","",IFERROR(INDEX(Jeux!$C$2:$C$3001,MATCH(B1095,Jeux!$A$2:$A$3001,0))&amp;"","⚠ jeu inconnu"))</f>
        <v/>
      </c>
      <c r="H1095" s="27" t="str">
        <f aca="false">IF(B1095="","",IFERROR(INDEX(Jeux!$D$2:$D$3001,MATCH(B1095,Jeux!$A$2:$A$3001,0))&amp;"",""))</f>
        <v/>
      </c>
      <c r="I1095" s="26" t="str">
        <f aca="false">IF(A1095="","",COUNTIF(Apparitions!$G$2:$G$5001,A1095))</f>
        <v/>
      </c>
      <c r="J1095" s="26" t="str">
        <f aca="false">IF(A1095="","",COUNTIFS(Apparitions!$G$2:$G$5001,A1095,Apparitions!$E$2:$E$5001,"○"))</f>
        <v/>
      </c>
      <c r="K1095" s="29" t="str">
        <f aca="false">IF(A1095="","",IFERROR(1/(1/_xlfn.MINIFS(Apparitions!$L$2:$L$5001,Apparitions!$G$2:$G$5001,A1095)),""))</f>
        <v/>
      </c>
      <c r="L1095" s="27" t="str">
        <f aca="false">IF(A1095="","",A1095&amp;" | "&amp;B1095&amp;IF(C1095="",""," ("&amp;C1095&amp;")")&amp;IF(D1095="",""," - "&amp;D1095))</f>
        <v/>
      </c>
    </row>
    <row r="1096" customFormat="false" ht="15" hidden="false" customHeight="false" outlineLevel="0" collapsed="false">
      <c r="A1096" s="32"/>
      <c r="B1096" s="19"/>
      <c r="C1096" s="19"/>
      <c r="D1096" s="19"/>
      <c r="E1096" s="21"/>
      <c r="F1096" s="19"/>
      <c r="G1096" s="27" t="str">
        <f aca="false">IF(B1096="","",IFERROR(INDEX(Jeux!$C$2:$C$3001,MATCH(B1096,Jeux!$A$2:$A$3001,0))&amp;"","⚠ jeu inconnu"))</f>
        <v/>
      </c>
      <c r="H1096" s="27" t="str">
        <f aca="false">IF(B1096="","",IFERROR(INDEX(Jeux!$D$2:$D$3001,MATCH(B1096,Jeux!$A$2:$A$3001,0))&amp;"",""))</f>
        <v/>
      </c>
      <c r="I1096" s="26" t="str">
        <f aca="false">IF(A1096="","",COUNTIF(Apparitions!$G$2:$G$5001,A1096))</f>
        <v/>
      </c>
      <c r="J1096" s="26" t="str">
        <f aca="false">IF(A1096="","",COUNTIFS(Apparitions!$G$2:$G$5001,A1096,Apparitions!$E$2:$E$5001,"○"))</f>
        <v/>
      </c>
      <c r="K1096" s="29" t="str">
        <f aca="false">IF(A1096="","",IFERROR(1/(1/_xlfn.MINIFS(Apparitions!$L$2:$L$5001,Apparitions!$G$2:$G$5001,A1096)),""))</f>
        <v/>
      </c>
      <c r="L1096" s="27" t="str">
        <f aca="false">IF(A1096="","",A1096&amp;" | "&amp;B1096&amp;IF(C1096="",""," ("&amp;C1096&amp;")")&amp;IF(D1096="",""," - "&amp;D1096))</f>
        <v/>
      </c>
    </row>
    <row r="1097" customFormat="false" ht="15" hidden="false" customHeight="false" outlineLevel="0" collapsed="false">
      <c r="A1097" s="32"/>
      <c r="B1097" s="19"/>
      <c r="C1097" s="19"/>
      <c r="D1097" s="19"/>
      <c r="E1097" s="21"/>
      <c r="F1097" s="19"/>
      <c r="G1097" s="27" t="str">
        <f aca="false">IF(B1097="","",IFERROR(INDEX(Jeux!$C$2:$C$3001,MATCH(B1097,Jeux!$A$2:$A$3001,0))&amp;"","⚠ jeu inconnu"))</f>
        <v/>
      </c>
      <c r="H1097" s="27" t="str">
        <f aca="false">IF(B1097="","",IFERROR(INDEX(Jeux!$D$2:$D$3001,MATCH(B1097,Jeux!$A$2:$A$3001,0))&amp;"",""))</f>
        <v/>
      </c>
      <c r="I1097" s="26" t="str">
        <f aca="false">IF(A1097="","",COUNTIF(Apparitions!$G$2:$G$5001,A1097))</f>
        <v/>
      </c>
      <c r="J1097" s="26" t="str">
        <f aca="false">IF(A1097="","",COUNTIFS(Apparitions!$G$2:$G$5001,A1097,Apparitions!$E$2:$E$5001,"○"))</f>
        <v/>
      </c>
      <c r="K1097" s="29" t="str">
        <f aca="false">IF(A1097="","",IFERROR(1/(1/_xlfn.MINIFS(Apparitions!$L$2:$L$5001,Apparitions!$G$2:$G$5001,A1097)),""))</f>
        <v/>
      </c>
      <c r="L1097" s="27" t="str">
        <f aca="false">IF(A1097="","",A1097&amp;" | "&amp;B1097&amp;IF(C1097="",""," ("&amp;C1097&amp;")")&amp;IF(D1097="",""," - "&amp;D1097))</f>
        <v/>
      </c>
    </row>
    <row r="1098" customFormat="false" ht="15" hidden="false" customHeight="false" outlineLevel="0" collapsed="false">
      <c r="A1098" s="32"/>
      <c r="B1098" s="19"/>
      <c r="C1098" s="19"/>
      <c r="D1098" s="19"/>
      <c r="E1098" s="21"/>
      <c r="F1098" s="19"/>
      <c r="G1098" s="27" t="str">
        <f aca="false">IF(B1098="","",IFERROR(INDEX(Jeux!$C$2:$C$3001,MATCH(B1098,Jeux!$A$2:$A$3001,0))&amp;"","⚠ jeu inconnu"))</f>
        <v/>
      </c>
      <c r="H1098" s="27" t="str">
        <f aca="false">IF(B1098="","",IFERROR(INDEX(Jeux!$D$2:$D$3001,MATCH(B1098,Jeux!$A$2:$A$3001,0))&amp;"",""))</f>
        <v/>
      </c>
      <c r="I1098" s="26" t="str">
        <f aca="false">IF(A1098="","",COUNTIF(Apparitions!$G$2:$G$5001,A1098))</f>
        <v/>
      </c>
      <c r="J1098" s="26" t="str">
        <f aca="false">IF(A1098="","",COUNTIFS(Apparitions!$G$2:$G$5001,A1098,Apparitions!$E$2:$E$5001,"○"))</f>
        <v/>
      </c>
      <c r="K1098" s="29" t="str">
        <f aca="false">IF(A1098="","",IFERROR(1/(1/_xlfn.MINIFS(Apparitions!$L$2:$L$5001,Apparitions!$G$2:$G$5001,A1098)),""))</f>
        <v/>
      </c>
      <c r="L1098" s="27" t="str">
        <f aca="false">IF(A1098="","",A1098&amp;" | "&amp;B1098&amp;IF(C1098="",""," ("&amp;C1098&amp;")")&amp;IF(D1098="",""," - "&amp;D1098))</f>
        <v/>
      </c>
    </row>
    <row r="1099" customFormat="false" ht="15" hidden="false" customHeight="false" outlineLevel="0" collapsed="false">
      <c r="A1099" s="32"/>
      <c r="B1099" s="19"/>
      <c r="C1099" s="19"/>
      <c r="D1099" s="19"/>
      <c r="E1099" s="21"/>
      <c r="F1099" s="19"/>
      <c r="G1099" s="27" t="str">
        <f aca="false">IF(B1099="","",IFERROR(INDEX(Jeux!$C$2:$C$3001,MATCH(B1099,Jeux!$A$2:$A$3001,0))&amp;"","⚠ jeu inconnu"))</f>
        <v/>
      </c>
      <c r="H1099" s="27" t="str">
        <f aca="false">IF(B1099="","",IFERROR(INDEX(Jeux!$D$2:$D$3001,MATCH(B1099,Jeux!$A$2:$A$3001,0))&amp;"",""))</f>
        <v/>
      </c>
      <c r="I1099" s="26" t="str">
        <f aca="false">IF(A1099="","",COUNTIF(Apparitions!$G$2:$G$5001,A1099))</f>
        <v/>
      </c>
      <c r="J1099" s="26" t="str">
        <f aca="false">IF(A1099="","",COUNTIFS(Apparitions!$G$2:$G$5001,A1099,Apparitions!$E$2:$E$5001,"○"))</f>
        <v/>
      </c>
      <c r="K1099" s="29" t="str">
        <f aca="false">IF(A1099="","",IFERROR(1/(1/_xlfn.MINIFS(Apparitions!$L$2:$L$5001,Apparitions!$G$2:$G$5001,A1099)),""))</f>
        <v/>
      </c>
      <c r="L1099" s="27" t="str">
        <f aca="false">IF(A1099="","",A1099&amp;" | "&amp;B1099&amp;IF(C1099="",""," ("&amp;C1099&amp;")")&amp;IF(D1099="",""," - "&amp;D1099))</f>
        <v/>
      </c>
    </row>
    <row r="1100" customFormat="false" ht="15" hidden="false" customHeight="false" outlineLevel="0" collapsed="false">
      <c r="A1100" s="32"/>
      <c r="B1100" s="19"/>
      <c r="C1100" s="19"/>
      <c r="D1100" s="19"/>
      <c r="E1100" s="21"/>
      <c r="F1100" s="19"/>
      <c r="G1100" s="27" t="str">
        <f aca="false">IF(B1100="","",IFERROR(INDEX(Jeux!$C$2:$C$3001,MATCH(B1100,Jeux!$A$2:$A$3001,0))&amp;"","⚠ jeu inconnu"))</f>
        <v/>
      </c>
      <c r="H1100" s="27" t="str">
        <f aca="false">IF(B1100="","",IFERROR(INDEX(Jeux!$D$2:$D$3001,MATCH(B1100,Jeux!$A$2:$A$3001,0))&amp;"",""))</f>
        <v/>
      </c>
      <c r="I1100" s="26" t="str">
        <f aca="false">IF(A1100="","",COUNTIF(Apparitions!$G$2:$G$5001,A1100))</f>
        <v/>
      </c>
      <c r="J1100" s="26" t="str">
        <f aca="false">IF(A1100="","",COUNTIFS(Apparitions!$G$2:$G$5001,A1100,Apparitions!$E$2:$E$5001,"○"))</f>
        <v/>
      </c>
      <c r="K1100" s="29" t="str">
        <f aca="false">IF(A1100="","",IFERROR(1/(1/_xlfn.MINIFS(Apparitions!$L$2:$L$5001,Apparitions!$G$2:$G$5001,A1100)),""))</f>
        <v/>
      </c>
      <c r="L1100" s="27" t="str">
        <f aca="false">IF(A1100="","",A1100&amp;" | "&amp;B1100&amp;IF(C1100="",""," ("&amp;C1100&amp;")")&amp;IF(D1100="",""," - "&amp;D1100))</f>
        <v/>
      </c>
    </row>
    <row r="1101" customFormat="false" ht="15" hidden="false" customHeight="false" outlineLevel="0" collapsed="false">
      <c r="A1101" s="32"/>
      <c r="B1101" s="19"/>
      <c r="C1101" s="19"/>
      <c r="D1101" s="19"/>
      <c r="E1101" s="21"/>
      <c r="F1101" s="19"/>
      <c r="G1101" s="27" t="str">
        <f aca="false">IF(B1101="","",IFERROR(INDEX(Jeux!$C$2:$C$3001,MATCH(B1101,Jeux!$A$2:$A$3001,0))&amp;"","⚠ jeu inconnu"))</f>
        <v/>
      </c>
      <c r="H1101" s="27" t="str">
        <f aca="false">IF(B1101="","",IFERROR(INDEX(Jeux!$D$2:$D$3001,MATCH(B1101,Jeux!$A$2:$A$3001,0))&amp;"",""))</f>
        <v/>
      </c>
      <c r="I1101" s="26" t="str">
        <f aca="false">IF(A1101="","",COUNTIF(Apparitions!$G$2:$G$5001,A1101))</f>
        <v/>
      </c>
      <c r="J1101" s="26" t="str">
        <f aca="false">IF(A1101="","",COUNTIFS(Apparitions!$G$2:$G$5001,A1101,Apparitions!$E$2:$E$5001,"○"))</f>
        <v/>
      </c>
      <c r="K1101" s="29" t="str">
        <f aca="false">IF(A1101="","",IFERROR(1/(1/_xlfn.MINIFS(Apparitions!$L$2:$L$5001,Apparitions!$G$2:$G$5001,A1101)),""))</f>
        <v/>
      </c>
      <c r="L1101" s="27" t="str">
        <f aca="false">IF(A1101="","",A1101&amp;" | "&amp;B1101&amp;IF(C1101="",""," ("&amp;C1101&amp;")")&amp;IF(D1101="",""," - "&amp;D1101))</f>
        <v/>
      </c>
    </row>
    <row r="1102" customFormat="false" ht="15" hidden="false" customHeight="false" outlineLevel="0" collapsed="false">
      <c r="A1102" s="32"/>
      <c r="B1102" s="19"/>
      <c r="C1102" s="19"/>
      <c r="D1102" s="19"/>
      <c r="E1102" s="21"/>
      <c r="F1102" s="19"/>
      <c r="G1102" s="27" t="str">
        <f aca="false">IF(B1102="","",IFERROR(INDEX(Jeux!$C$2:$C$3001,MATCH(B1102,Jeux!$A$2:$A$3001,0))&amp;"","⚠ jeu inconnu"))</f>
        <v/>
      </c>
      <c r="H1102" s="27" t="str">
        <f aca="false">IF(B1102="","",IFERROR(INDEX(Jeux!$D$2:$D$3001,MATCH(B1102,Jeux!$A$2:$A$3001,0))&amp;"",""))</f>
        <v/>
      </c>
      <c r="I1102" s="26" t="str">
        <f aca="false">IF(A1102="","",COUNTIF(Apparitions!$G$2:$G$5001,A1102))</f>
        <v/>
      </c>
      <c r="J1102" s="26" t="str">
        <f aca="false">IF(A1102="","",COUNTIFS(Apparitions!$G$2:$G$5001,A1102,Apparitions!$E$2:$E$5001,"○"))</f>
        <v/>
      </c>
      <c r="K1102" s="29" t="str">
        <f aca="false">IF(A1102="","",IFERROR(1/(1/_xlfn.MINIFS(Apparitions!$L$2:$L$5001,Apparitions!$G$2:$G$5001,A1102)),""))</f>
        <v/>
      </c>
      <c r="L1102" s="27" t="str">
        <f aca="false">IF(A1102="","",A1102&amp;" | "&amp;B1102&amp;IF(C1102="",""," ("&amp;C1102&amp;")")&amp;IF(D1102="",""," - "&amp;D1102))</f>
        <v/>
      </c>
    </row>
    <row r="1103" customFormat="false" ht="15" hidden="false" customHeight="false" outlineLevel="0" collapsed="false">
      <c r="A1103" s="32"/>
      <c r="B1103" s="19"/>
      <c r="C1103" s="19"/>
      <c r="D1103" s="19"/>
      <c r="E1103" s="21"/>
      <c r="F1103" s="19"/>
      <c r="G1103" s="27" t="str">
        <f aca="false">IF(B1103="","",IFERROR(INDEX(Jeux!$C$2:$C$3001,MATCH(B1103,Jeux!$A$2:$A$3001,0))&amp;"","⚠ jeu inconnu"))</f>
        <v/>
      </c>
      <c r="H1103" s="27" t="str">
        <f aca="false">IF(B1103="","",IFERROR(INDEX(Jeux!$D$2:$D$3001,MATCH(B1103,Jeux!$A$2:$A$3001,0))&amp;"",""))</f>
        <v/>
      </c>
      <c r="I1103" s="26" t="str">
        <f aca="false">IF(A1103="","",COUNTIF(Apparitions!$G$2:$G$5001,A1103))</f>
        <v/>
      </c>
      <c r="J1103" s="26" t="str">
        <f aca="false">IF(A1103="","",COUNTIFS(Apparitions!$G$2:$G$5001,A1103,Apparitions!$E$2:$E$5001,"○"))</f>
        <v/>
      </c>
      <c r="K1103" s="29" t="str">
        <f aca="false">IF(A1103="","",IFERROR(1/(1/_xlfn.MINIFS(Apparitions!$L$2:$L$5001,Apparitions!$G$2:$G$5001,A1103)),""))</f>
        <v/>
      </c>
      <c r="L1103" s="27" t="str">
        <f aca="false">IF(A1103="","",A1103&amp;" | "&amp;B1103&amp;IF(C1103="",""," ("&amp;C1103&amp;")")&amp;IF(D1103="",""," - "&amp;D1103))</f>
        <v/>
      </c>
    </row>
    <row r="1104" customFormat="false" ht="15" hidden="false" customHeight="false" outlineLevel="0" collapsed="false">
      <c r="A1104" s="32"/>
      <c r="B1104" s="19"/>
      <c r="C1104" s="19"/>
      <c r="D1104" s="19"/>
      <c r="E1104" s="21"/>
      <c r="F1104" s="19"/>
      <c r="G1104" s="27" t="str">
        <f aca="false">IF(B1104="","",IFERROR(INDEX(Jeux!$C$2:$C$3001,MATCH(B1104,Jeux!$A$2:$A$3001,0))&amp;"","⚠ jeu inconnu"))</f>
        <v/>
      </c>
      <c r="H1104" s="27" t="str">
        <f aca="false">IF(B1104="","",IFERROR(INDEX(Jeux!$D$2:$D$3001,MATCH(B1104,Jeux!$A$2:$A$3001,0))&amp;"",""))</f>
        <v/>
      </c>
      <c r="I1104" s="26" t="str">
        <f aca="false">IF(A1104="","",COUNTIF(Apparitions!$G$2:$G$5001,A1104))</f>
        <v/>
      </c>
      <c r="J1104" s="26" t="str">
        <f aca="false">IF(A1104="","",COUNTIFS(Apparitions!$G$2:$G$5001,A1104,Apparitions!$E$2:$E$5001,"○"))</f>
        <v/>
      </c>
      <c r="K1104" s="29" t="str">
        <f aca="false">IF(A1104="","",IFERROR(1/(1/_xlfn.MINIFS(Apparitions!$L$2:$L$5001,Apparitions!$G$2:$G$5001,A1104)),""))</f>
        <v/>
      </c>
      <c r="L1104" s="27" t="str">
        <f aca="false">IF(A1104="","",A1104&amp;" | "&amp;B1104&amp;IF(C1104="",""," ("&amp;C1104&amp;")")&amp;IF(D1104="",""," - "&amp;D1104))</f>
        <v/>
      </c>
    </row>
    <row r="1105" customFormat="false" ht="15" hidden="false" customHeight="false" outlineLevel="0" collapsed="false">
      <c r="A1105" s="32"/>
      <c r="B1105" s="19"/>
      <c r="C1105" s="19"/>
      <c r="D1105" s="19"/>
      <c r="E1105" s="21"/>
      <c r="F1105" s="19"/>
      <c r="G1105" s="27" t="str">
        <f aca="false">IF(B1105="","",IFERROR(INDEX(Jeux!$C$2:$C$3001,MATCH(B1105,Jeux!$A$2:$A$3001,0))&amp;"","⚠ jeu inconnu"))</f>
        <v/>
      </c>
      <c r="H1105" s="27" t="str">
        <f aca="false">IF(B1105="","",IFERROR(INDEX(Jeux!$D$2:$D$3001,MATCH(B1105,Jeux!$A$2:$A$3001,0))&amp;"",""))</f>
        <v/>
      </c>
      <c r="I1105" s="26" t="str">
        <f aca="false">IF(A1105="","",COUNTIF(Apparitions!$G$2:$G$5001,A1105))</f>
        <v/>
      </c>
      <c r="J1105" s="26" t="str">
        <f aca="false">IF(A1105="","",COUNTIFS(Apparitions!$G$2:$G$5001,A1105,Apparitions!$E$2:$E$5001,"○"))</f>
        <v/>
      </c>
      <c r="K1105" s="29" t="str">
        <f aca="false">IF(A1105="","",IFERROR(1/(1/_xlfn.MINIFS(Apparitions!$L$2:$L$5001,Apparitions!$G$2:$G$5001,A1105)),""))</f>
        <v/>
      </c>
      <c r="L1105" s="27" t="str">
        <f aca="false">IF(A1105="","",A1105&amp;" | "&amp;B1105&amp;IF(C1105="",""," ("&amp;C1105&amp;")")&amp;IF(D1105="",""," - "&amp;D1105))</f>
        <v/>
      </c>
    </row>
    <row r="1106" customFormat="false" ht="15" hidden="false" customHeight="false" outlineLevel="0" collapsed="false">
      <c r="A1106" s="32"/>
      <c r="B1106" s="19"/>
      <c r="C1106" s="19"/>
      <c r="D1106" s="19"/>
      <c r="E1106" s="21"/>
      <c r="F1106" s="19"/>
      <c r="G1106" s="27" t="str">
        <f aca="false">IF(B1106="","",IFERROR(INDEX(Jeux!$C$2:$C$3001,MATCH(B1106,Jeux!$A$2:$A$3001,0))&amp;"","⚠ jeu inconnu"))</f>
        <v/>
      </c>
      <c r="H1106" s="27" t="str">
        <f aca="false">IF(B1106="","",IFERROR(INDEX(Jeux!$D$2:$D$3001,MATCH(B1106,Jeux!$A$2:$A$3001,0))&amp;"",""))</f>
        <v/>
      </c>
      <c r="I1106" s="26" t="str">
        <f aca="false">IF(A1106="","",COUNTIF(Apparitions!$G$2:$G$5001,A1106))</f>
        <v/>
      </c>
      <c r="J1106" s="26" t="str">
        <f aca="false">IF(A1106="","",COUNTIFS(Apparitions!$G$2:$G$5001,A1106,Apparitions!$E$2:$E$5001,"○"))</f>
        <v/>
      </c>
      <c r="K1106" s="29" t="str">
        <f aca="false">IF(A1106="","",IFERROR(1/(1/_xlfn.MINIFS(Apparitions!$L$2:$L$5001,Apparitions!$G$2:$G$5001,A1106)),""))</f>
        <v/>
      </c>
      <c r="L1106" s="27" t="str">
        <f aca="false">IF(A1106="","",A1106&amp;" | "&amp;B1106&amp;IF(C1106="",""," ("&amp;C1106&amp;")")&amp;IF(D1106="",""," - "&amp;D1106))</f>
        <v/>
      </c>
    </row>
    <row r="1107" customFormat="false" ht="15" hidden="false" customHeight="false" outlineLevel="0" collapsed="false">
      <c r="A1107" s="32"/>
      <c r="B1107" s="19"/>
      <c r="C1107" s="19"/>
      <c r="D1107" s="19"/>
      <c r="E1107" s="21"/>
      <c r="F1107" s="19"/>
      <c r="G1107" s="27" t="str">
        <f aca="false">IF(B1107="","",IFERROR(INDEX(Jeux!$C$2:$C$3001,MATCH(B1107,Jeux!$A$2:$A$3001,0))&amp;"","⚠ jeu inconnu"))</f>
        <v/>
      </c>
      <c r="H1107" s="27" t="str">
        <f aca="false">IF(B1107="","",IFERROR(INDEX(Jeux!$D$2:$D$3001,MATCH(B1107,Jeux!$A$2:$A$3001,0))&amp;"",""))</f>
        <v/>
      </c>
      <c r="I1107" s="26" t="str">
        <f aca="false">IF(A1107="","",COUNTIF(Apparitions!$G$2:$G$5001,A1107))</f>
        <v/>
      </c>
      <c r="J1107" s="26" t="str">
        <f aca="false">IF(A1107="","",COUNTIFS(Apparitions!$G$2:$G$5001,A1107,Apparitions!$E$2:$E$5001,"○"))</f>
        <v/>
      </c>
      <c r="K1107" s="29" t="str">
        <f aca="false">IF(A1107="","",IFERROR(1/(1/_xlfn.MINIFS(Apparitions!$L$2:$L$5001,Apparitions!$G$2:$G$5001,A1107)),""))</f>
        <v/>
      </c>
      <c r="L1107" s="27" t="str">
        <f aca="false">IF(A1107="","",A1107&amp;" | "&amp;B1107&amp;IF(C1107="",""," ("&amp;C1107&amp;")")&amp;IF(D1107="",""," - "&amp;D1107))</f>
        <v/>
      </c>
    </row>
    <row r="1108" customFormat="false" ht="15" hidden="false" customHeight="false" outlineLevel="0" collapsed="false">
      <c r="A1108" s="32"/>
      <c r="B1108" s="19"/>
      <c r="C1108" s="19"/>
      <c r="D1108" s="19"/>
      <c r="E1108" s="21"/>
      <c r="F1108" s="19"/>
      <c r="G1108" s="27" t="str">
        <f aca="false">IF(B1108="","",IFERROR(INDEX(Jeux!$C$2:$C$3001,MATCH(B1108,Jeux!$A$2:$A$3001,0))&amp;"","⚠ jeu inconnu"))</f>
        <v/>
      </c>
      <c r="H1108" s="27" t="str">
        <f aca="false">IF(B1108="","",IFERROR(INDEX(Jeux!$D$2:$D$3001,MATCH(B1108,Jeux!$A$2:$A$3001,0))&amp;"",""))</f>
        <v/>
      </c>
      <c r="I1108" s="26" t="str">
        <f aca="false">IF(A1108="","",COUNTIF(Apparitions!$G$2:$G$5001,A1108))</f>
        <v/>
      </c>
      <c r="J1108" s="26" t="str">
        <f aca="false">IF(A1108="","",COUNTIFS(Apparitions!$G$2:$G$5001,A1108,Apparitions!$E$2:$E$5001,"○"))</f>
        <v/>
      </c>
      <c r="K1108" s="29" t="str">
        <f aca="false">IF(A1108="","",IFERROR(1/(1/_xlfn.MINIFS(Apparitions!$L$2:$L$5001,Apparitions!$G$2:$G$5001,A1108)),""))</f>
        <v/>
      </c>
      <c r="L1108" s="27" t="str">
        <f aca="false">IF(A1108="","",A1108&amp;" | "&amp;B1108&amp;IF(C1108="",""," ("&amp;C1108&amp;")")&amp;IF(D1108="",""," - "&amp;D1108))</f>
        <v/>
      </c>
    </row>
    <row r="1109" customFormat="false" ht="15" hidden="false" customHeight="false" outlineLevel="0" collapsed="false">
      <c r="A1109" s="32"/>
      <c r="B1109" s="19"/>
      <c r="C1109" s="19"/>
      <c r="D1109" s="19"/>
      <c r="E1109" s="21"/>
      <c r="F1109" s="19"/>
      <c r="G1109" s="27" t="str">
        <f aca="false">IF(B1109="","",IFERROR(INDEX(Jeux!$C$2:$C$3001,MATCH(B1109,Jeux!$A$2:$A$3001,0))&amp;"","⚠ jeu inconnu"))</f>
        <v/>
      </c>
      <c r="H1109" s="27" t="str">
        <f aca="false">IF(B1109="","",IFERROR(INDEX(Jeux!$D$2:$D$3001,MATCH(B1109,Jeux!$A$2:$A$3001,0))&amp;"",""))</f>
        <v/>
      </c>
      <c r="I1109" s="26" t="str">
        <f aca="false">IF(A1109="","",COUNTIF(Apparitions!$G$2:$G$5001,A1109))</f>
        <v/>
      </c>
      <c r="J1109" s="26" t="str">
        <f aca="false">IF(A1109="","",COUNTIFS(Apparitions!$G$2:$G$5001,A1109,Apparitions!$E$2:$E$5001,"○"))</f>
        <v/>
      </c>
      <c r="K1109" s="29" t="str">
        <f aca="false">IF(A1109="","",IFERROR(1/(1/_xlfn.MINIFS(Apparitions!$L$2:$L$5001,Apparitions!$G$2:$G$5001,A1109)),""))</f>
        <v/>
      </c>
      <c r="L1109" s="27" t="str">
        <f aca="false">IF(A1109="","",A1109&amp;" | "&amp;B1109&amp;IF(C1109="",""," ("&amp;C1109&amp;")")&amp;IF(D1109="",""," - "&amp;D1109))</f>
        <v/>
      </c>
    </row>
    <row r="1110" customFormat="false" ht="15" hidden="false" customHeight="false" outlineLevel="0" collapsed="false">
      <c r="A1110" s="32"/>
      <c r="B1110" s="19"/>
      <c r="C1110" s="19"/>
      <c r="D1110" s="19"/>
      <c r="E1110" s="21"/>
      <c r="F1110" s="19"/>
      <c r="G1110" s="27" t="str">
        <f aca="false">IF(B1110="","",IFERROR(INDEX(Jeux!$C$2:$C$3001,MATCH(B1110,Jeux!$A$2:$A$3001,0))&amp;"","⚠ jeu inconnu"))</f>
        <v/>
      </c>
      <c r="H1110" s="27" t="str">
        <f aca="false">IF(B1110="","",IFERROR(INDEX(Jeux!$D$2:$D$3001,MATCH(B1110,Jeux!$A$2:$A$3001,0))&amp;"",""))</f>
        <v/>
      </c>
      <c r="I1110" s="26" t="str">
        <f aca="false">IF(A1110="","",COUNTIF(Apparitions!$G$2:$G$5001,A1110))</f>
        <v/>
      </c>
      <c r="J1110" s="26" t="str">
        <f aca="false">IF(A1110="","",COUNTIFS(Apparitions!$G$2:$G$5001,A1110,Apparitions!$E$2:$E$5001,"○"))</f>
        <v/>
      </c>
      <c r="K1110" s="29" t="str">
        <f aca="false">IF(A1110="","",IFERROR(1/(1/_xlfn.MINIFS(Apparitions!$L$2:$L$5001,Apparitions!$G$2:$G$5001,A1110)),""))</f>
        <v/>
      </c>
      <c r="L1110" s="27" t="str">
        <f aca="false">IF(A1110="","",A1110&amp;" | "&amp;B1110&amp;IF(C1110="",""," ("&amp;C1110&amp;")")&amp;IF(D1110="",""," - "&amp;D1110))</f>
        <v/>
      </c>
    </row>
    <row r="1111" customFormat="false" ht="15" hidden="false" customHeight="false" outlineLevel="0" collapsed="false">
      <c r="A1111" s="32"/>
      <c r="B1111" s="19"/>
      <c r="C1111" s="19"/>
      <c r="D1111" s="19"/>
      <c r="E1111" s="21"/>
      <c r="F1111" s="19"/>
      <c r="G1111" s="27" t="str">
        <f aca="false">IF(B1111="","",IFERROR(INDEX(Jeux!$C$2:$C$3001,MATCH(B1111,Jeux!$A$2:$A$3001,0))&amp;"","⚠ jeu inconnu"))</f>
        <v/>
      </c>
      <c r="H1111" s="27" t="str">
        <f aca="false">IF(B1111="","",IFERROR(INDEX(Jeux!$D$2:$D$3001,MATCH(B1111,Jeux!$A$2:$A$3001,0))&amp;"",""))</f>
        <v/>
      </c>
      <c r="I1111" s="26" t="str">
        <f aca="false">IF(A1111="","",COUNTIF(Apparitions!$G$2:$G$5001,A1111))</f>
        <v/>
      </c>
      <c r="J1111" s="26" t="str">
        <f aca="false">IF(A1111="","",COUNTIFS(Apparitions!$G$2:$G$5001,A1111,Apparitions!$E$2:$E$5001,"○"))</f>
        <v/>
      </c>
      <c r="K1111" s="29" t="str">
        <f aca="false">IF(A1111="","",IFERROR(1/(1/_xlfn.MINIFS(Apparitions!$L$2:$L$5001,Apparitions!$G$2:$G$5001,A1111)),""))</f>
        <v/>
      </c>
      <c r="L1111" s="27" t="str">
        <f aca="false">IF(A1111="","",A1111&amp;" | "&amp;B1111&amp;IF(C1111="",""," ("&amp;C1111&amp;")")&amp;IF(D1111="",""," - "&amp;D1111))</f>
        <v/>
      </c>
    </row>
    <row r="1112" customFormat="false" ht="15" hidden="false" customHeight="false" outlineLevel="0" collapsed="false">
      <c r="A1112" s="32"/>
      <c r="B1112" s="19"/>
      <c r="C1112" s="19"/>
      <c r="D1112" s="19"/>
      <c r="E1112" s="21"/>
      <c r="F1112" s="19"/>
      <c r="G1112" s="27" t="str">
        <f aca="false">IF(B1112="","",IFERROR(INDEX(Jeux!$C$2:$C$3001,MATCH(B1112,Jeux!$A$2:$A$3001,0))&amp;"","⚠ jeu inconnu"))</f>
        <v/>
      </c>
      <c r="H1112" s="27" t="str">
        <f aca="false">IF(B1112="","",IFERROR(INDEX(Jeux!$D$2:$D$3001,MATCH(B1112,Jeux!$A$2:$A$3001,0))&amp;"",""))</f>
        <v/>
      </c>
      <c r="I1112" s="26" t="str">
        <f aca="false">IF(A1112="","",COUNTIF(Apparitions!$G$2:$G$5001,A1112))</f>
        <v/>
      </c>
      <c r="J1112" s="26" t="str">
        <f aca="false">IF(A1112="","",COUNTIFS(Apparitions!$G$2:$G$5001,A1112,Apparitions!$E$2:$E$5001,"○"))</f>
        <v/>
      </c>
      <c r="K1112" s="29" t="str">
        <f aca="false">IF(A1112="","",IFERROR(1/(1/_xlfn.MINIFS(Apparitions!$L$2:$L$5001,Apparitions!$G$2:$G$5001,A1112)),""))</f>
        <v/>
      </c>
      <c r="L1112" s="27" t="str">
        <f aca="false">IF(A1112="","",A1112&amp;" | "&amp;B1112&amp;IF(C1112="",""," ("&amp;C1112&amp;")")&amp;IF(D1112="",""," - "&amp;D1112))</f>
        <v/>
      </c>
    </row>
    <row r="1113" customFormat="false" ht="15" hidden="false" customHeight="false" outlineLevel="0" collapsed="false">
      <c r="A1113" s="32"/>
      <c r="B1113" s="19"/>
      <c r="C1113" s="19"/>
      <c r="D1113" s="19"/>
      <c r="E1113" s="21"/>
      <c r="F1113" s="19"/>
      <c r="G1113" s="27" t="str">
        <f aca="false">IF(B1113="","",IFERROR(INDEX(Jeux!$C$2:$C$3001,MATCH(B1113,Jeux!$A$2:$A$3001,0))&amp;"","⚠ jeu inconnu"))</f>
        <v/>
      </c>
      <c r="H1113" s="27" t="str">
        <f aca="false">IF(B1113="","",IFERROR(INDEX(Jeux!$D$2:$D$3001,MATCH(B1113,Jeux!$A$2:$A$3001,0))&amp;"",""))</f>
        <v/>
      </c>
      <c r="I1113" s="26" t="str">
        <f aca="false">IF(A1113="","",COUNTIF(Apparitions!$G$2:$G$5001,A1113))</f>
        <v/>
      </c>
      <c r="J1113" s="26" t="str">
        <f aca="false">IF(A1113="","",COUNTIFS(Apparitions!$G$2:$G$5001,A1113,Apparitions!$E$2:$E$5001,"○"))</f>
        <v/>
      </c>
      <c r="K1113" s="29" t="str">
        <f aca="false">IF(A1113="","",IFERROR(1/(1/_xlfn.MINIFS(Apparitions!$L$2:$L$5001,Apparitions!$G$2:$G$5001,A1113)),""))</f>
        <v/>
      </c>
      <c r="L1113" s="27" t="str">
        <f aca="false">IF(A1113="","",A1113&amp;" | "&amp;B1113&amp;IF(C1113="",""," ("&amp;C1113&amp;")")&amp;IF(D1113="",""," - "&amp;D1113))</f>
        <v/>
      </c>
    </row>
    <row r="1114" customFormat="false" ht="15" hidden="false" customHeight="false" outlineLevel="0" collapsed="false">
      <c r="A1114" s="32"/>
      <c r="B1114" s="19"/>
      <c r="C1114" s="19"/>
      <c r="D1114" s="19"/>
      <c r="E1114" s="21"/>
      <c r="F1114" s="19"/>
      <c r="G1114" s="27" t="str">
        <f aca="false">IF(B1114="","",IFERROR(INDEX(Jeux!$C$2:$C$3001,MATCH(B1114,Jeux!$A$2:$A$3001,0))&amp;"","⚠ jeu inconnu"))</f>
        <v/>
      </c>
      <c r="H1114" s="27" t="str">
        <f aca="false">IF(B1114="","",IFERROR(INDEX(Jeux!$D$2:$D$3001,MATCH(B1114,Jeux!$A$2:$A$3001,0))&amp;"",""))</f>
        <v/>
      </c>
      <c r="I1114" s="26" t="str">
        <f aca="false">IF(A1114="","",COUNTIF(Apparitions!$G$2:$G$5001,A1114))</f>
        <v/>
      </c>
      <c r="J1114" s="26" t="str">
        <f aca="false">IF(A1114="","",COUNTIFS(Apparitions!$G$2:$G$5001,A1114,Apparitions!$E$2:$E$5001,"○"))</f>
        <v/>
      </c>
      <c r="K1114" s="29" t="str">
        <f aca="false">IF(A1114="","",IFERROR(1/(1/_xlfn.MINIFS(Apparitions!$L$2:$L$5001,Apparitions!$G$2:$G$5001,A1114)),""))</f>
        <v/>
      </c>
      <c r="L1114" s="27" t="str">
        <f aca="false">IF(A1114="","",A1114&amp;" | "&amp;B1114&amp;IF(C1114="",""," ("&amp;C1114&amp;")")&amp;IF(D1114="",""," - "&amp;D1114))</f>
        <v/>
      </c>
    </row>
    <row r="1115" customFormat="false" ht="15" hidden="false" customHeight="false" outlineLevel="0" collapsed="false">
      <c r="A1115" s="32"/>
      <c r="B1115" s="19"/>
      <c r="C1115" s="19"/>
      <c r="D1115" s="19"/>
      <c r="E1115" s="21"/>
      <c r="F1115" s="19"/>
      <c r="G1115" s="27" t="str">
        <f aca="false">IF(B1115="","",IFERROR(INDEX(Jeux!$C$2:$C$3001,MATCH(B1115,Jeux!$A$2:$A$3001,0))&amp;"","⚠ jeu inconnu"))</f>
        <v/>
      </c>
      <c r="H1115" s="27" t="str">
        <f aca="false">IF(B1115="","",IFERROR(INDEX(Jeux!$D$2:$D$3001,MATCH(B1115,Jeux!$A$2:$A$3001,0))&amp;"",""))</f>
        <v/>
      </c>
      <c r="I1115" s="26" t="str">
        <f aca="false">IF(A1115="","",COUNTIF(Apparitions!$G$2:$G$5001,A1115))</f>
        <v/>
      </c>
      <c r="J1115" s="26" t="str">
        <f aca="false">IF(A1115="","",COUNTIFS(Apparitions!$G$2:$G$5001,A1115,Apparitions!$E$2:$E$5001,"○"))</f>
        <v/>
      </c>
      <c r="K1115" s="29" t="str">
        <f aca="false">IF(A1115="","",IFERROR(1/(1/_xlfn.MINIFS(Apparitions!$L$2:$L$5001,Apparitions!$G$2:$G$5001,A1115)),""))</f>
        <v/>
      </c>
      <c r="L1115" s="27" t="str">
        <f aca="false">IF(A1115="","",A1115&amp;" | "&amp;B1115&amp;IF(C1115="",""," ("&amp;C1115&amp;")")&amp;IF(D1115="",""," - "&amp;D1115))</f>
        <v/>
      </c>
    </row>
    <row r="1116" customFormat="false" ht="15" hidden="false" customHeight="false" outlineLevel="0" collapsed="false">
      <c r="A1116" s="32"/>
      <c r="B1116" s="19"/>
      <c r="C1116" s="19"/>
      <c r="D1116" s="19"/>
      <c r="E1116" s="21"/>
      <c r="F1116" s="19"/>
      <c r="G1116" s="27" t="str">
        <f aca="false">IF(B1116="","",IFERROR(INDEX(Jeux!$C$2:$C$3001,MATCH(B1116,Jeux!$A$2:$A$3001,0))&amp;"","⚠ jeu inconnu"))</f>
        <v/>
      </c>
      <c r="H1116" s="27" t="str">
        <f aca="false">IF(B1116="","",IFERROR(INDEX(Jeux!$D$2:$D$3001,MATCH(B1116,Jeux!$A$2:$A$3001,0))&amp;"",""))</f>
        <v/>
      </c>
      <c r="I1116" s="26" t="str">
        <f aca="false">IF(A1116="","",COUNTIF(Apparitions!$G$2:$G$5001,A1116))</f>
        <v/>
      </c>
      <c r="J1116" s="26" t="str">
        <f aca="false">IF(A1116="","",COUNTIFS(Apparitions!$G$2:$G$5001,A1116,Apparitions!$E$2:$E$5001,"○"))</f>
        <v/>
      </c>
      <c r="K1116" s="29" t="str">
        <f aca="false">IF(A1116="","",IFERROR(1/(1/_xlfn.MINIFS(Apparitions!$L$2:$L$5001,Apparitions!$G$2:$G$5001,A1116)),""))</f>
        <v/>
      </c>
      <c r="L1116" s="27" t="str">
        <f aca="false">IF(A1116="","",A1116&amp;" | "&amp;B1116&amp;IF(C1116="",""," ("&amp;C1116&amp;")")&amp;IF(D1116="",""," - "&amp;D1116))</f>
        <v/>
      </c>
    </row>
    <row r="1117" customFormat="false" ht="15" hidden="false" customHeight="false" outlineLevel="0" collapsed="false">
      <c r="A1117" s="32"/>
      <c r="B1117" s="19"/>
      <c r="C1117" s="19"/>
      <c r="D1117" s="19"/>
      <c r="E1117" s="21"/>
      <c r="F1117" s="19"/>
      <c r="G1117" s="27" t="str">
        <f aca="false">IF(B1117="","",IFERROR(INDEX(Jeux!$C$2:$C$3001,MATCH(B1117,Jeux!$A$2:$A$3001,0))&amp;"","⚠ jeu inconnu"))</f>
        <v/>
      </c>
      <c r="H1117" s="27" t="str">
        <f aca="false">IF(B1117="","",IFERROR(INDEX(Jeux!$D$2:$D$3001,MATCH(B1117,Jeux!$A$2:$A$3001,0))&amp;"",""))</f>
        <v/>
      </c>
      <c r="I1117" s="26" t="str">
        <f aca="false">IF(A1117="","",COUNTIF(Apparitions!$G$2:$G$5001,A1117))</f>
        <v/>
      </c>
      <c r="J1117" s="26" t="str">
        <f aca="false">IF(A1117="","",COUNTIFS(Apparitions!$G$2:$G$5001,A1117,Apparitions!$E$2:$E$5001,"○"))</f>
        <v/>
      </c>
      <c r="K1117" s="29" t="str">
        <f aca="false">IF(A1117="","",IFERROR(1/(1/_xlfn.MINIFS(Apparitions!$L$2:$L$5001,Apparitions!$G$2:$G$5001,A1117)),""))</f>
        <v/>
      </c>
      <c r="L1117" s="27" t="str">
        <f aca="false">IF(A1117="","",A1117&amp;" | "&amp;B1117&amp;IF(C1117="",""," ("&amp;C1117&amp;")")&amp;IF(D1117="",""," - "&amp;D1117))</f>
        <v/>
      </c>
    </row>
    <row r="1118" customFormat="false" ht="15" hidden="false" customHeight="false" outlineLevel="0" collapsed="false">
      <c r="A1118" s="32"/>
      <c r="B1118" s="19"/>
      <c r="C1118" s="19"/>
      <c r="D1118" s="19"/>
      <c r="E1118" s="21"/>
      <c r="F1118" s="19"/>
      <c r="G1118" s="27" t="str">
        <f aca="false">IF(B1118="","",IFERROR(INDEX(Jeux!$C$2:$C$3001,MATCH(B1118,Jeux!$A$2:$A$3001,0))&amp;"","⚠ jeu inconnu"))</f>
        <v/>
      </c>
      <c r="H1118" s="27" t="str">
        <f aca="false">IF(B1118="","",IFERROR(INDEX(Jeux!$D$2:$D$3001,MATCH(B1118,Jeux!$A$2:$A$3001,0))&amp;"",""))</f>
        <v/>
      </c>
      <c r="I1118" s="26" t="str">
        <f aca="false">IF(A1118="","",COUNTIF(Apparitions!$G$2:$G$5001,A1118))</f>
        <v/>
      </c>
      <c r="J1118" s="26" t="str">
        <f aca="false">IF(A1118="","",COUNTIFS(Apparitions!$G$2:$G$5001,A1118,Apparitions!$E$2:$E$5001,"○"))</f>
        <v/>
      </c>
      <c r="K1118" s="29" t="str">
        <f aca="false">IF(A1118="","",IFERROR(1/(1/_xlfn.MINIFS(Apparitions!$L$2:$L$5001,Apparitions!$G$2:$G$5001,A1118)),""))</f>
        <v/>
      </c>
      <c r="L1118" s="27" t="str">
        <f aca="false">IF(A1118="","",A1118&amp;" | "&amp;B1118&amp;IF(C1118="",""," ("&amp;C1118&amp;")")&amp;IF(D1118="",""," - "&amp;D1118))</f>
        <v/>
      </c>
    </row>
    <row r="1119" customFormat="false" ht="15" hidden="false" customHeight="false" outlineLevel="0" collapsed="false">
      <c r="A1119" s="32"/>
      <c r="B1119" s="19"/>
      <c r="C1119" s="19"/>
      <c r="D1119" s="19"/>
      <c r="E1119" s="21"/>
      <c r="F1119" s="19"/>
      <c r="G1119" s="27" t="str">
        <f aca="false">IF(B1119="","",IFERROR(INDEX(Jeux!$C$2:$C$3001,MATCH(B1119,Jeux!$A$2:$A$3001,0))&amp;"","⚠ jeu inconnu"))</f>
        <v/>
      </c>
      <c r="H1119" s="27" t="str">
        <f aca="false">IF(B1119="","",IFERROR(INDEX(Jeux!$D$2:$D$3001,MATCH(B1119,Jeux!$A$2:$A$3001,0))&amp;"",""))</f>
        <v/>
      </c>
      <c r="I1119" s="26" t="str">
        <f aca="false">IF(A1119="","",COUNTIF(Apparitions!$G$2:$G$5001,A1119))</f>
        <v/>
      </c>
      <c r="J1119" s="26" t="str">
        <f aca="false">IF(A1119="","",COUNTIFS(Apparitions!$G$2:$G$5001,A1119,Apparitions!$E$2:$E$5001,"○"))</f>
        <v/>
      </c>
      <c r="K1119" s="29" t="str">
        <f aca="false">IF(A1119="","",IFERROR(1/(1/_xlfn.MINIFS(Apparitions!$L$2:$L$5001,Apparitions!$G$2:$G$5001,A1119)),""))</f>
        <v/>
      </c>
      <c r="L1119" s="27" t="str">
        <f aca="false">IF(A1119="","",A1119&amp;" | "&amp;B1119&amp;IF(C1119="",""," ("&amp;C1119&amp;")")&amp;IF(D1119="",""," - "&amp;D1119))</f>
        <v/>
      </c>
    </row>
    <row r="1120" customFormat="false" ht="15" hidden="false" customHeight="false" outlineLevel="0" collapsed="false">
      <c r="A1120" s="32"/>
      <c r="B1120" s="19"/>
      <c r="C1120" s="19"/>
      <c r="D1120" s="19"/>
      <c r="E1120" s="21"/>
      <c r="F1120" s="19"/>
      <c r="G1120" s="27" t="str">
        <f aca="false">IF(B1120="","",IFERROR(INDEX(Jeux!$C$2:$C$3001,MATCH(B1120,Jeux!$A$2:$A$3001,0))&amp;"","⚠ jeu inconnu"))</f>
        <v/>
      </c>
      <c r="H1120" s="27" t="str">
        <f aca="false">IF(B1120="","",IFERROR(INDEX(Jeux!$D$2:$D$3001,MATCH(B1120,Jeux!$A$2:$A$3001,0))&amp;"",""))</f>
        <v/>
      </c>
      <c r="I1120" s="26" t="str">
        <f aca="false">IF(A1120="","",COUNTIF(Apparitions!$G$2:$G$5001,A1120))</f>
        <v/>
      </c>
      <c r="J1120" s="26" t="str">
        <f aca="false">IF(A1120="","",COUNTIFS(Apparitions!$G$2:$G$5001,A1120,Apparitions!$E$2:$E$5001,"○"))</f>
        <v/>
      </c>
      <c r="K1120" s="29" t="str">
        <f aca="false">IF(A1120="","",IFERROR(1/(1/_xlfn.MINIFS(Apparitions!$L$2:$L$5001,Apparitions!$G$2:$G$5001,A1120)),""))</f>
        <v/>
      </c>
      <c r="L1120" s="27" t="str">
        <f aca="false">IF(A1120="","",A1120&amp;" | "&amp;B1120&amp;IF(C1120="",""," ("&amp;C1120&amp;")")&amp;IF(D1120="",""," - "&amp;D1120))</f>
        <v/>
      </c>
    </row>
    <row r="1121" customFormat="false" ht="15" hidden="false" customHeight="false" outlineLevel="0" collapsed="false">
      <c r="A1121" s="32"/>
      <c r="B1121" s="19"/>
      <c r="C1121" s="19"/>
      <c r="D1121" s="19"/>
      <c r="E1121" s="21"/>
      <c r="F1121" s="19"/>
      <c r="G1121" s="27" t="str">
        <f aca="false">IF(B1121="","",IFERROR(INDEX(Jeux!$C$2:$C$3001,MATCH(B1121,Jeux!$A$2:$A$3001,0))&amp;"","⚠ jeu inconnu"))</f>
        <v/>
      </c>
      <c r="H1121" s="27" t="str">
        <f aca="false">IF(B1121="","",IFERROR(INDEX(Jeux!$D$2:$D$3001,MATCH(B1121,Jeux!$A$2:$A$3001,0))&amp;"",""))</f>
        <v/>
      </c>
      <c r="I1121" s="26" t="str">
        <f aca="false">IF(A1121="","",COUNTIF(Apparitions!$G$2:$G$5001,A1121))</f>
        <v/>
      </c>
      <c r="J1121" s="26" t="str">
        <f aca="false">IF(A1121="","",COUNTIFS(Apparitions!$G$2:$G$5001,A1121,Apparitions!$E$2:$E$5001,"○"))</f>
        <v/>
      </c>
      <c r="K1121" s="29" t="str">
        <f aca="false">IF(A1121="","",IFERROR(1/(1/_xlfn.MINIFS(Apparitions!$L$2:$L$5001,Apparitions!$G$2:$G$5001,A1121)),""))</f>
        <v/>
      </c>
      <c r="L1121" s="27" t="str">
        <f aca="false">IF(A1121="","",A1121&amp;" | "&amp;B1121&amp;IF(C1121="",""," ("&amp;C1121&amp;")")&amp;IF(D1121="",""," - "&amp;D1121))</f>
        <v/>
      </c>
    </row>
    <row r="1122" customFormat="false" ht="15" hidden="false" customHeight="false" outlineLevel="0" collapsed="false">
      <c r="A1122" s="32"/>
      <c r="B1122" s="19"/>
      <c r="C1122" s="19"/>
      <c r="D1122" s="19"/>
      <c r="E1122" s="21"/>
      <c r="F1122" s="19"/>
      <c r="G1122" s="27" t="str">
        <f aca="false">IF(B1122="","",IFERROR(INDEX(Jeux!$C$2:$C$3001,MATCH(B1122,Jeux!$A$2:$A$3001,0))&amp;"","⚠ jeu inconnu"))</f>
        <v/>
      </c>
      <c r="H1122" s="27" t="str">
        <f aca="false">IF(B1122="","",IFERROR(INDEX(Jeux!$D$2:$D$3001,MATCH(B1122,Jeux!$A$2:$A$3001,0))&amp;"",""))</f>
        <v/>
      </c>
      <c r="I1122" s="26" t="str">
        <f aca="false">IF(A1122="","",COUNTIF(Apparitions!$G$2:$G$5001,A1122))</f>
        <v/>
      </c>
      <c r="J1122" s="26" t="str">
        <f aca="false">IF(A1122="","",COUNTIFS(Apparitions!$G$2:$G$5001,A1122,Apparitions!$E$2:$E$5001,"○"))</f>
        <v/>
      </c>
      <c r="K1122" s="29" t="str">
        <f aca="false">IF(A1122="","",IFERROR(1/(1/_xlfn.MINIFS(Apparitions!$L$2:$L$5001,Apparitions!$G$2:$G$5001,A1122)),""))</f>
        <v/>
      </c>
      <c r="L1122" s="27" t="str">
        <f aca="false">IF(A1122="","",A1122&amp;" | "&amp;B1122&amp;IF(C1122="",""," ("&amp;C1122&amp;")")&amp;IF(D1122="",""," - "&amp;D1122))</f>
        <v/>
      </c>
    </row>
    <row r="1123" customFormat="false" ht="15" hidden="false" customHeight="false" outlineLevel="0" collapsed="false">
      <c r="A1123" s="32"/>
      <c r="B1123" s="19"/>
      <c r="C1123" s="19"/>
      <c r="D1123" s="19"/>
      <c r="E1123" s="21"/>
      <c r="F1123" s="19"/>
      <c r="G1123" s="27" t="str">
        <f aca="false">IF(B1123="","",IFERROR(INDEX(Jeux!$C$2:$C$3001,MATCH(B1123,Jeux!$A$2:$A$3001,0))&amp;"","⚠ jeu inconnu"))</f>
        <v/>
      </c>
      <c r="H1123" s="27" t="str">
        <f aca="false">IF(B1123="","",IFERROR(INDEX(Jeux!$D$2:$D$3001,MATCH(B1123,Jeux!$A$2:$A$3001,0))&amp;"",""))</f>
        <v/>
      </c>
      <c r="I1123" s="26" t="str">
        <f aca="false">IF(A1123="","",COUNTIF(Apparitions!$G$2:$G$5001,A1123))</f>
        <v/>
      </c>
      <c r="J1123" s="26" t="str">
        <f aca="false">IF(A1123="","",COUNTIFS(Apparitions!$G$2:$G$5001,A1123,Apparitions!$E$2:$E$5001,"○"))</f>
        <v/>
      </c>
      <c r="K1123" s="29" t="str">
        <f aca="false">IF(A1123="","",IFERROR(1/(1/_xlfn.MINIFS(Apparitions!$L$2:$L$5001,Apparitions!$G$2:$G$5001,A1123)),""))</f>
        <v/>
      </c>
      <c r="L1123" s="27" t="str">
        <f aca="false">IF(A1123="","",A1123&amp;" | "&amp;B1123&amp;IF(C1123="",""," ("&amp;C1123&amp;")")&amp;IF(D1123="",""," - "&amp;D1123))</f>
        <v/>
      </c>
    </row>
    <row r="1124" customFormat="false" ht="15" hidden="false" customHeight="false" outlineLevel="0" collapsed="false">
      <c r="A1124" s="32"/>
      <c r="B1124" s="19"/>
      <c r="C1124" s="19"/>
      <c r="D1124" s="19"/>
      <c r="E1124" s="21"/>
      <c r="F1124" s="19"/>
      <c r="G1124" s="27" t="str">
        <f aca="false">IF(B1124="","",IFERROR(INDEX(Jeux!$C$2:$C$3001,MATCH(B1124,Jeux!$A$2:$A$3001,0))&amp;"","⚠ jeu inconnu"))</f>
        <v/>
      </c>
      <c r="H1124" s="27" t="str">
        <f aca="false">IF(B1124="","",IFERROR(INDEX(Jeux!$D$2:$D$3001,MATCH(B1124,Jeux!$A$2:$A$3001,0))&amp;"",""))</f>
        <v/>
      </c>
      <c r="I1124" s="26" t="str">
        <f aca="false">IF(A1124="","",COUNTIF(Apparitions!$G$2:$G$5001,A1124))</f>
        <v/>
      </c>
      <c r="J1124" s="26" t="str">
        <f aca="false">IF(A1124="","",COUNTIFS(Apparitions!$G$2:$G$5001,A1124,Apparitions!$E$2:$E$5001,"○"))</f>
        <v/>
      </c>
      <c r="K1124" s="29" t="str">
        <f aca="false">IF(A1124="","",IFERROR(1/(1/_xlfn.MINIFS(Apparitions!$L$2:$L$5001,Apparitions!$G$2:$G$5001,A1124)),""))</f>
        <v/>
      </c>
      <c r="L1124" s="27" t="str">
        <f aca="false">IF(A1124="","",A1124&amp;" | "&amp;B1124&amp;IF(C1124="",""," ("&amp;C1124&amp;")")&amp;IF(D1124="",""," - "&amp;D1124))</f>
        <v/>
      </c>
    </row>
    <row r="1125" customFormat="false" ht="15" hidden="false" customHeight="false" outlineLevel="0" collapsed="false">
      <c r="A1125" s="32"/>
      <c r="B1125" s="19"/>
      <c r="C1125" s="19"/>
      <c r="D1125" s="19"/>
      <c r="E1125" s="21"/>
      <c r="F1125" s="19"/>
      <c r="G1125" s="27" t="str">
        <f aca="false">IF(B1125="","",IFERROR(INDEX(Jeux!$C$2:$C$3001,MATCH(B1125,Jeux!$A$2:$A$3001,0))&amp;"","⚠ jeu inconnu"))</f>
        <v/>
      </c>
      <c r="H1125" s="27" t="str">
        <f aca="false">IF(B1125="","",IFERROR(INDEX(Jeux!$D$2:$D$3001,MATCH(B1125,Jeux!$A$2:$A$3001,0))&amp;"",""))</f>
        <v/>
      </c>
      <c r="I1125" s="26" t="str">
        <f aca="false">IF(A1125="","",COUNTIF(Apparitions!$G$2:$G$5001,A1125))</f>
        <v/>
      </c>
      <c r="J1125" s="26" t="str">
        <f aca="false">IF(A1125="","",COUNTIFS(Apparitions!$G$2:$G$5001,A1125,Apparitions!$E$2:$E$5001,"○"))</f>
        <v/>
      </c>
      <c r="K1125" s="29" t="str">
        <f aca="false">IF(A1125="","",IFERROR(1/(1/_xlfn.MINIFS(Apparitions!$L$2:$L$5001,Apparitions!$G$2:$G$5001,A1125)),""))</f>
        <v/>
      </c>
      <c r="L1125" s="27" t="str">
        <f aca="false">IF(A1125="","",A1125&amp;" | "&amp;B1125&amp;IF(C1125="",""," ("&amp;C1125&amp;")")&amp;IF(D1125="",""," - "&amp;D1125))</f>
        <v/>
      </c>
    </row>
    <row r="1126" customFormat="false" ht="15" hidden="false" customHeight="false" outlineLevel="0" collapsed="false">
      <c r="A1126" s="32"/>
      <c r="B1126" s="19"/>
      <c r="C1126" s="19"/>
      <c r="D1126" s="19"/>
      <c r="E1126" s="21"/>
      <c r="F1126" s="19"/>
      <c r="G1126" s="27" t="str">
        <f aca="false">IF(B1126="","",IFERROR(INDEX(Jeux!$C$2:$C$3001,MATCH(B1126,Jeux!$A$2:$A$3001,0))&amp;"","⚠ jeu inconnu"))</f>
        <v/>
      </c>
      <c r="H1126" s="27" t="str">
        <f aca="false">IF(B1126="","",IFERROR(INDEX(Jeux!$D$2:$D$3001,MATCH(B1126,Jeux!$A$2:$A$3001,0))&amp;"",""))</f>
        <v/>
      </c>
      <c r="I1126" s="26" t="str">
        <f aca="false">IF(A1126="","",COUNTIF(Apparitions!$G$2:$G$5001,A1126))</f>
        <v/>
      </c>
      <c r="J1126" s="26" t="str">
        <f aca="false">IF(A1126="","",COUNTIFS(Apparitions!$G$2:$G$5001,A1126,Apparitions!$E$2:$E$5001,"○"))</f>
        <v/>
      </c>
      <c r="K1126" s="29" t="str">
        <f aca="false">IF(A1126="","",IFERROR(1/(1/_xlfn.MINIFS(Apparitions!$L$2:$L$5001,Apparitions!$G$2:$G$5001,A1126)),""))</f>
        <v/>
      </c>
      <c r="L1126" s="27" t="str">
        <f aca="false">IF(A1126="","",A1126&amp;" | "&amp;B1126&amp;IF(C1126="",""," ("&amp;C1126&amp;")")&amp;IF(D1126="",""," - "&amp;D1126))</f>
        <v/>
      </c>
    </row>
    <row r="1127" customFormat="false" ht="15" hidden="false" customHeight="false" outlineLevel="0" collapsed="false">
      <c r="A1127" s="32"/>
      <c r="B1127" s="19"/>
      <c r="C1127" s="19"/>
      <c r="D1127" s="19"/>
      <c r="E1127" s="21"/>
      <c r="F1127" s="19"/>
      <c r="G1127" s="27" t="str">
        <f aca="false">IF(B1127="","",IFERROR(INDEX(Jeux!$C$2:$C$3001,MATCH(B1127,Jeux!$A$2:$A$3001,0))&amp;"","⚠ jeu inconnu"))</f>
        <v/>
      </c>
      <c r="H1127" s="27" t="str">
        <f aca="false">IF(B1127="","",IFERROR(INDEX(Jeux!$D$2:$D$3001,MATCH(B1127,Jeux!$A$2:$A$3001,0))&amp;"",""))</f>
        <v/>
      </c>
      <c r="I1127" s="26" t="str">
        <f aca="false">IF(A1127="","",COUNTIF(Apparitions!$G$2:$G$5001,A1127))</f>
        <v/>
      </c>
      <c r="J1127" s="26" t="str">
        <f aca="false">IF(A1127="","",COUNTIFS(Apparitions!$G$2:$G$5001,A1127,Apparitions!$E$2:$E$5001,"○"))</f>
        <v/>
      </c>
      <c r="K1127" s="29" t="str">
        <f aca="false">IF(A1127="","",IFERROR(1/(1/_xlfn.MINIFS(Apparitions!$L$2:$L$5001,Apparitions!$G$2:$G$5001,A1127)),""))</f>
        <v/>
      </c>
      <c r="L1127" s="27" t="str">
        <f aca="false">IF(A1127="","",A1127&amp;" | "&amp;B1127&amp;IF(C1127="",""," ("&amp;C1127&amp;")")&amp;IF(D1127="",""," - "&amp;D1127))</f>
        <v/>
      </c>
    </row>
    <row r="1128" customFormat="false" ht="15" hidden="false" customHeight="false" outlineLevel="0" collapsed="false">
      <c r="A1128" s="32"/>
      <c r="B1128" s="19"/>
      <c r="C1128" s="19"/>
      <c r="D1128" s="19"/>
      <c r="E1128" s="21"/>
      <c r="F1128" s="19"/>
      <c r="G1128" s="27" t="str">
        <f aca="false">IF(B1128="","",IFERROR(INDEX(Jeux!$C$2:$C$3001,MATCH(B1128,Jeux!$A$2:$A$3001,0))&amp;"","⚠ jeu inconnu"))</f>
        <v/>
      </c>
      <c r="H1128" s="27" t="str">
        <f aca="false">IF(B1128="","",IFERROR(INDEX(Jeux!$D$2:$D$3001,MATCH(B1128,Jeux!$A$2:$A$3001,0))&amp;"",""))</f>
        <v/>
      </c>
      <c r="I1128" s="26" t="str">
        <f aca="false">IF(A1128="","",COUNTIF(Apparitions!$G$2:$G$5001,A1128))</f>
        <v/>
      </c>
      <c r="J1128" s="26" t="str">
        <f aca="false">IF(A1128="","",COUNTIFS(Apparitions!$G$2:$G$5001,A1128,Apparitions!$E$2:$E$5001,"○"))</f>
        <v/>
      </c>
      <c r="K1128" s="29" t="str">
        <f aca="false">IF(A1128="","",IFERROR(1/(1/_xlfn.MINIFS(Apparitions!$L$2:$L$5001,Apparitions!$G$2:$G$5001,A1128)),""))</f>
        <v/>
      </c>
      <c r="L1128" s="27" t="str">
        <f aca="false">IF(A1128="","",A1128&amp;" | "&amp;B1128&amp;IF(C1128="",""," ("&amp;C1128&amp;")")&amp;IF(D1128="",""," - "&amp;D1128))</f>
        <v/>
      </c>
    </row>
    <row r="1129" customFormat="false" ht="15" hidden="false" customHeight="false" outlineLevel="0" collapsed="false">
      <c r="A1129" s="32"/>
      <c r="B1129" s="19"/>
      <c r="C1129" s="19"/>
      <c r="D1129" s="19"/>
      <c r="E1129" s="21"/>
      <c r="F1129" s="19"/>
      <c r="G1129" s="27" t="str">
        <f aca="false">IF(B1129="","",IFERROR(INDEX(Jeux!$C$2:$C$3001,MATCH(B1129,Jeux!$A$2:$A$3001,0))&amp;"","⚠ jeu inconnu"))</f>
        <v/>
      </c>
      <c r="H1129" s="27" t="str">
        <f aca="false">IF(B1129="","",IFERROR(INDEX(Jeux!$D$2:$D$3001,MATCH(B1129,Jeux!$A$2:$A$3001,0))&amp;"",""))</f>
        <v/>
      </c>
      <c r="I1129" s="26" t="str">
        <f aca="false">IF(A1129="","",COUNTIF(Apparitions!$G$2:$G$5001,A1129))</f>
        <v/>
      </c>
      <c r="J1129" s="26" t="str">
        <f aca="false">IF(A1129="","",COUNTIFS(Apparitions!$G$2:$G$5001,A1129,Apparitions!$E$2:$E$5001,"○"))</f>
        <v/>
      </c>
      <c r="K1129" s="29" t="str">
        <f aca="false">IF(A1129="","",IFERROR(1/(1/_xlfn.MINIFS(Apparitions!$L$2:$L$5001,Apparitions!$G$2:$G$5001,A1129)),""))</f>
        <v/>
      </c>
      <c r="L1129" s="27" t="str">
        <f aca="false">IF(A1129="","",A1129&amp;" | "&amp;B1129&amp;IF(C1129="",""," ("&amp;C1129&amp;")")&amp;IF(D1129="",""," - "&amp;D1129))</f>
        <v/>
      </c>
    </row>
    <row r="1130" customFormat="false" ht="15" hidden="false" customHeight="false" outlineLevel="0" collapsed="false">
      <c r="A1130" s="32"/>
      <c r="B1130" s="19"/>
      <c r="C1130" s="19"/>
      <c r="D1130" s="19"/>
      <c r="E1130" s="21"/>
      <c r="F1130" s="19"/>
      <c r="G1130" s="27" t="str">
        <f aca="false">IF(B1130="","",IFERROR(INDEX(Jeux!$C$2:$C$3001,MATCH(B1130,Jeux!$A$2:$A$3001,0))&amp;"","⚠ jeu inconnu"))</f>
        <v/>
      </c>
      <c r="H1130" s="27" t="str">
        <f aca="false">IF(B1130="","",IFERROR(INDEX(Jeux!$D$2:$D$3001,MATCH(B1130,Jeux!$A$2:$A$3001,0))&amp;"",""))</f>
        <v/>
      </c>
      <c r="I1130" s="26" t="str">
        <f aca="false">IF(A1130="","",COUNTIF(Apparitions!$G$2:$G$5001,A1130))</f>
        <v/>
      </c>
      <c r="J1130" s="26" t="str">
        <f aca="false">IF(A1130="","",COUNTIFS(Apparitions!$G$2:$G$5001,A1130,Apparitions!$E$2:$E$5001,"○"))</f>
        <v/>
      </c>
      <c r="K1130" s="29" t="str">
        <f aca="false">IF(A1130="","",IFERROR(1/(1/_xlfn.MINIFS(Apparitions!$L$2:$L$5001,Apparitions!$G$2:$G$5001,A1130)),""))</f>
        <v/>
      </c>
      <c r="L1130" s="27" t="str">
        <f aca="false">IF(A1130="","",A1130&amp;" | "&amp;B1130&amp;IF(C1130="",""," ("&amp;C1130&amp;")")&amp;IF(D1130="",""," - "&amp;D1130))</f>
        <v/>
      </c>
    </row>
    <row r="1131" customFormat="false" ht="15" hidden="false" customHeight="false" outlineLevel="0" collapsed="false">
      <c r="A1131" s="32"/>
      <c r="B1131" s="19"/>
      <c r="C1131" s="19"/>
      <c r="D1131" s="19"/>
      <c r="E1131" s="21"/>
      <c r="F1131" s="19"/>
      <c r="G1131" s="27" t="str">
        <f aca="false">IF(B1131="","",IFERROR(INDEX(Jeux!$C$2:$C$3001,MATCH(B1131,Jeux!$A$2:$A$3001,0))&amp;"","⚠ jeu inconnu"))</f>
        <v/>
      </c>
      <c r="H1131" s="27" t="str">
        <f aca="false">IF(B1131="","",IFERROR(INDEX(Jeux!$D$2:$D$3001,MATCH(B1131,Jeux!$A$2:$A$3001,0))&amp;"",""))</f>
        <v/>
      </c>
      <c r="I1131" s="26" t="str">
        <f aca="false">IF(A1131="","",COUNTIF(Apparitions!$G$2:$G$5001,A1131))</f>
        <v/>
      </c>
      <c r="J1131" s="26" t="str">
        <f aca="false">IF(A1131="","",COUNTIFS(Apparitions!$G$2:$G$5001,A1131,Apparitions!$E$2:$E$5001,"○"))</f>
        <v/>
      </c>
      <c r="K1131" s="29" t="str">
        <f aca="false">IF(A1131="","",IFERROR(1/(1/_xlfn.MINIFS(Apparitions!$L$2:$L$5001,Apparitions!$G$2:$G$5001,A1131)),""))</f>
        <v/>
      </c>
      <c r="L1131" s="27" t="str">
        <f aca="false">IF(A1131="","",A1131&amp;" | "&amp;B1131&amp;IF(C1131="",""," ("&amp;C1131&amp;")")&amp;IF(D1131="",""," - "&amp;D1131))</f>
        <v/>
      </c>
    </row>
    <row r="1132" customFormat="false" ht="15" hidden="false" customHeight="false" outlineLevel="0" collapsed="false">
      <c r="A1132" s="32"/>
      <c r="B1132" s="19"/>
      <c r="C1132" s="19"/>
      <c r="D1132" s="19"/>
      <c r="E1132" s="21"/>
      <c r="F1132" s="19"/>
      <c r="G1132" s="27" t="str">
        <f aca="false">IF(B1132="","",IFERROR(INDEX(Jeux!$C$2:$C$3001,MATCH(B1132,Jeux!$A$2:$A$3001,0))&amp;"","⚠ jeu inconnu"))</f>
        <v/>
      </c>
      <c r="H1132" s="27" t="str">
        <f aca="false">IF(B1132="","",IFERROR(INDEX(Jeux!$D$2:$D$3001,MATCH(B1132,Jeux!$A$2:$A$3001,0))&amp;"",""))</f>
        <v/>
      </c>
      <c r="I1132" s="26" t="str">
        <f aca="false">IF(A1132="","",COUNTIF(Apparitions!$G$2:$G$5001,A1132))</f>
        <v/>
      </c>
      <c r="J1132" s="26" t="str">
        <f aca="false">IF(A1132="","",COUNTIFS(Apparitions!$G$2:$G$5001,A1132,Apparitions!$E$2:$E$5001,"○"))</f>
        <v/>
      </c>
      <c r="K1132" s="29" t="str">
        <f aca="false">IF(A1132="","",IFERROR(1/(1/_xlfn.MINIFS(Apparitions!$L$2:$L$5001,Apparitions!$G$2:$G$5001,A1132)),""))</f>
        <v/>
      </c>
      <c r="L1132" s="27" t="str">
        <f aca="false">IF(A1132="","",A1132&amp;" | "&amp;B1132&amp;IF(C1132="",""," ("&amp;C1132&amp;")")&amp;IF(D1132="",""," - "&amp;D1132))</f>
        <v/>
      </c>
    </row>
    <row r="1133" customFormat="false" ht="15" hidden="false" customHeight="false" outlineLevel="0" collapsed="false">
      <c r="A1133" s="32"/>
      <c r="B1133" s="19"/>
      <c r="C1133" s="19"/>
      <c r="D1133" s="19"/>
      <c r="E1133" s="21"/>
      <c r="F1133" s="19"/>
      <c r="G1133" s="27" t="str">
        <f aca="false">IF(B1133="","",IFERROR(INDEX(Jeux!$C$2:$C$3001,MATCH(B1133,Jeux!$A$2:$A$3001,0))&amp;"","⚠ jeu inconnu"))</f>
        <v/>
      </c>
      <c r="H1133" s="27" t="str">
        <f aca="false">IF(B1133="","",IFERROR(INDEX(Jeux!$D$2:$D$3001,MATCH(B1133,Jeux!$A$2:$A$3001,0))&amp;"",""))</f>
        <v/>
      </c>
      <c r="I1133" s="26" t="str">
        <f aca="false">IF(A1133="","",COUNTIF(Apparitions!$G$2:$G$5001,A1133))</f>
        <v/>
      </c>
      <c r="J1133" s="26" t="str">
        <f aca="false">IF(A1133="","",COUNTIFS(Apparitions!$G$2:$G$5001,A1133,Apparitions!$E$2:$E$5001,"○"))</f>
        <v/>
      </c>
      <c r="K1133" s="29" t="str">
        <f aca="false">IF(A1133="","",IFERROR(1/(1/_xlfn.MINIFS(Apparitions!$L$2:$L$5001,Apparitions!$G$2:$G$5001,A1133)),""))</f>
        <v/>
      </c>
      <c r="L1133" s="27" t="str">
        <f aca="false">IF(A1133="","",A1133&amp;" | "&amp;B1133&amp;IF(C1133="",""," ("&amp;C1133&amp;")")&amp;IF(D1133="",""," - "&amp;D1133))</f>
        <v/>
      </c>
    </row>
    <row r="1134" customFormat="false" ht="15" hidden="false" customHeight="false" outlineLevel="0" collapsed="false">
      <c r="A1134" s="32"/>
      <c r="B1134" s="19"/>
      <c r="C1134" s="19"/>
      <c r="D1134" s="19"/>
      <c r="E1134" s="21"/>
      <c r="F1134" s="19"/>
      <c r="G1134" s="27" t="str">
        <f aca="false">IF(B1134="","",IFERROR(INDEX(Jeux!$C$2:$C$3001,MATCH(B1134,Jeux!$A$2:$A$3001,0))&amp;"","⚠ jeu inconnu"))</f>
        <v/>
      </c>
      <c r="H1134" s="27" t="str">
        <f aca="false">IF(B1134="","",IFERROR(INDEX(Jeux!$D$2:$D$3001,MATCH(B1134,Jeux!$A$2:$A$3001,0))&amp;"",""))</f>
        <v/>
      </c>
      <c r="I1134" s="26" t="str">
        <f aca="false">IF(A1134="","",COUNTIF(Apparitions!$G$2:$G$5001,A1134))</f>
        <v/>
      </c>
      <c r="J1134" s="26" t="str">
        <f aca="false">IF(A1134="","",COUNTIFS(Apparitions!$G$2:$G$5001,A1134,Apparitions!$E$2:$E$5001,"○"))</f>
        <v/>
      </c>
      <c r="K1134" s="29" t="str">
        <f aca="false">IF(A1134="","",IFERROR(1/(1/_xlfn.MINIFS(Apparitions!$L$2:$L$5001,Apparitions!$G$2:$G$5001,A1134)),""))</f>
        <v/>
      </c>
      <c r="L1134" s="27" t="str">
        <f aca="false">IF(A1134="","",A1134&amp;" | "&amp;B1134&amp;IF(C1134="",""," ("&amp;C1134&amp;")")&amp;IF(D1134="",""," - "&amp;D1134))</f>
        <v/>
      </c>
    </row>
    <row r="1135" customFormat="false" ht="15" hidden="false" customHeight="false" outlineLevel="0" collapsed="false">
      <c r="A1135" s="32"/>
      <c r="B1135" s="19"/>
      <c r="C1135" s="19"/>
      <c r="D1135" s="19"/>
      <c r="E1135" s="21"/>
      <c r="F1135" s="19"/>
      <c r="G1135" s="27" t="str">
        <f aca="false">IF(B1135="","",IFERROR(INDEX(Jeux!$C$2:$C$3001,MATCH(B1135,Jeux!$A$2:$A$3001,0))&amp;"","⚠ jeu inconnu"))</f>
        <v/>
      </c>
      <c r="H1135" s="27" t="str">
        <f aca="false">IF(B1135="","",IFERROR(INDEX(Jeux!$D$2:$D$3001,MATCH(B1135,Jeux!$A$2:$A$3001,0))&amp;"",""))</f>
        <v/>
      </c>
      <c r="I1135" s="26" t="str">
        <f aca="false">IF(A1135="","",COUNTIF(Apparitions!$G$2:$G$5001,A1135))</f>
        <v/>
      </c>
      <c r="J1135" s="26" t="str">
        <f aca="false">IF(A1135="","",COUNTIFS(Apparitions!$G$2:$G$5001,A1135,Apparitions!$E$2:$E$5001,"○"))</f>
        <v/>
      </c>
      <c r="K1135" s="29" t="str">
        <f aca="false">IF(A1135="","",IFERROR(1/(1/_xlfn.MINIFS(Apparitions!$L$2:$L$5001,Apparitions!$G$2:$G$5001,A1135)),""))</f>
        <v/>
      </c>
      <c r="L1135" s="27" t="str">
        <f aca="false">IF(A1135="","",A1135&amp;" | "&amp;B1135&amp;IF(C1135="",""," ("&amp;C1135&amp;")")&amp;IF(D1135="",""," - "&amp;D1135))</f>
        <v/>
      </c>
    </row>
    <row r="1136" customFormat="false" ht="15" hidden="false" customHeight="false" outlineLevel="0" collapsed="false">
      <c r="A1136" s="32"/>
      <c r="B1136" s="19"/>
      <c r="C1136" s="19"/>
      <c r="D1136" s="19"/>
      <c r="E1136" s="21"/>
      <c r="F1136" s="19"/>
      <c r="G1136" s="27" t="str">
        <f aca="false">IF(B1136="","",IFERROR(INDEX(Jeux!$C$2:$C$3001,MATCH(B1136,Jeux!$A$2:$A$3001,0))&amp;"","⚠ jeu inconnu"))</f>
        <v/>
      </c>
      <c r="H1136" s="27" t="str">
        <f aca="false">IF(B1136="","",IFERROR(INDEX(Jeux!$D$2:$D$3001,MATCH(B1136,Jeux!$A$2:$A$3001,0))&amp;"",""))</f>
        <v/>
      </c>
      <c r="I1136" s="26" t="str">
        <f aca="false">IF(A1136="","",COUNTIF(Apparitions!$G$2:$G$5001,A1136))</f>
        <v/>
      </c>
      <c r="J1136" s="26" t="str">
        <f aca="false">IF(A1136="","",COUNTIFS(Apparitions!$G$2:$G$5001,A1136,Apparitions!$E$2:$E$5001,"○"))</f>
        <v/>
      </c>
      <c r="K1136" s="29" t="str">
        <f aca="false">IF(A1136="","",IFERROR(1/(1/_xlfn.MINIFS(Apparitions!$L$2:$L$5001,Apparitions!$G$2:$G$5001,A1136)),""))</f>
        <v/>
      </c>
      <c r="L1136" s="27" t="str">
        <f aca="false">IF(A1136="","",A1136&amp;" | "&amp;B1136&amp;IF(C1136="",""," ("&amp;C1136&amp;")")&amp;IF(D1136="",""," - "&amp;D1136))</f>
        <v/>
      </c>
    </row>
    <row r="1137" customFormat="false" ht="15" hidden="false" customHeight="false" outlineLevel="0" collapsed="false">
      <c r="A1137" s="32"/>
      <c r="B1137" s="19"/>
      <c r="C1137" s="19"/>
      <c r="D1137" s="19"/>
      <c r="E1137" s="21"/>
      <c r="F1137" s="19"/>
      <c r="G1137" s="27" t="str">
        <f aca="false">IF(B1137="","",IFERROR(INDEX(Jeux!$C$2:$C$3001,MATCH(B1137,Jeux!$A$2:$A$3001,0))&amp;"","⚠ jeu inconnu"))</f>
        <v/>
      </c>
      <c r="H1137" s="27" t="str">
        <f aca="false">IF(B1137="","",IFERROR(INDEX(Jeux!$D$2:$D$3001,MATCH(B1137,Jeux!$A$2:$A$3001,0))&amp;"",""))</f>
        <v/>
      </c>
      <c r="I1137" s="26" t="str">
        <f aca="false">IF(A1137="","",COUNTIF(Apparitions!$G$2:$G$5001,A1137))</f>
        <v/>
      </c>
      <c r="J1137" s="26" t="str">
        <f aca="false">IF(A1137="","",COUNTIFS(Apparitions!$G$2:$G$5001,A1137,Apparitions!$E$2:$E$5001,"○"))</f>
        <v/>
      </c>
      <c r="K1137" s="29" t="str">
        <f aca="false">IF(A1137="","",IFERROR(1/(1/_xlfn.MINIFS(Apparitions!$L$2:$L$5001,Apparitions!$G$2:$G$5001,A1137)),""))</f>
        <v/>
      </c>
      <c r="L1137" s="27" t="str">
        <f aca="false">IF(A1137="","",A1137&amp;" | "&amp;B1137&amp;IF(C1137="",""," ("&amp;C1137&amp;")")&amp;IF(D1137="",""," - "&amp;D1137))</f>
        <v/>
      </c>
    </row>
    <row r="1138" customFormat="false" ht="15" hidden="false" customHeight="false" outlineLevel="0" collapsed="false">
      <c r="A1138" s="32"/>
      <c r="B1138" s="19"/>
      <c r="C1138" s="19"/>
      <c r="D1138" s="19"/>
      <c r="E1138" s="21"/>
      <c r="F1138" s="19"/>
      <c r="G1138" s="27" t="str">
        <f aca="false">IF(B1138="","",IFERROR(INDEX(Jeux!$C$2:$C$3001,MATCH(B1138,Jeux!$A$2:$A$3001,0))&amp;"","⚠ jeu inconnu"))</f>
        <v/>
      </c>
      <c r="H1138" s="27" t="str">
        <f aca="false">IF(B1138="","",IFERROR(INDEX(Jeux!$D$2:$D$3001,MATCH(B1138,Jeux!$A$2:$A$3001,0))&amp;"",""))</f>
        <v/>
      </c>
      <c r="I1138" s="26" t="str">
        <f aca="false">IF(A1138="","",COUNTIF(Apparitions!$G$2:$G$5001,A1138))</f>
        <v/>
      </c>
      <c r="J1138" s="26" t="str">
        <f aca="false">IF(A1138="","",COUNTIFS(Apparitions!$G$2:$G$5001,A1138,Apparitions!$E$2:$E$5001,"○"))</f>
        <v/>
      </c>
      <c r="K1138" s="29" t="str">
        <f aca="false">IF(A1138="","",IFERROR(1/(1/_xlfn.MINIFS(Apparitions!$L$2:$L$5001,Apparitions!$G$2:$G$5001,A1138)),""))</f>
        <v/>
      </c>
      <c r="L1138" s="27" t="str">
        <f aca="false">IF(A1138="","",A1138&amp;" | "&amp;B1138&amp;IF(C1138="",""," ("&amp;C1138&amp;")")&amp;IF(D1138="",""," - "&amp;D1138))</f>
        <v/>
      </c>
    </row>
    <row r="1139" customFormat="false" ht="15" hidden="false" customHeight="false" outlineLevel="0" collapsed="false">
      <c r="A1139" s="32"/>
      <c r="B1139" s="19"/>
      <c r="C1139" s="19"/>
      <c r="D1139" s="19"/>
      <c r="E1139" s="21"/>
      <c r="F1139" s="19"/>
      <c r="G1139" s="27" t="str">
        <f aca="false">IF(B1139="","",IFERROR(INDEX(Jeux!$C$2:$C$3001,MATCH(B1139,Jeux!$A$2:$A$3001,0))&amp;"","⚠ jeu inconnu"))</f>
        <v/>
      </c>
      <c r="H1139" s="27" t="str">
        <f aca="false">IF(B1139="","",IFERROR(INDEX(Jeux!$D$2:$D$3001,MATCH(B1139,Jeux!$A$2:$A$3001,0))&amp;"",""))</f>
        <v/>
      </c>
      <c r="I1139" s="26" t="str">
        <f aca="false">IF(A1139="","",COUNTIF(Apparitions!$G$2:$G$5001,A1139))</f>
        <v/>
      </c>
      <c r="J1139" s="26" t="str">
        <f aca="false">IF(A1139="","",COUNTIFS(Apparitions!$G$2:$G$5001,A1139,Apparitions!$E$2:$E$5001,"○"))</f>
        <v/>
      </c>
      <c r="K1139" s="29" t="str">
        <f aca="false">IF(A1139="","",IFERROR(1/(1/_xlfn.MINIFS(Apparitions!$L$2:$L$5001,Apparitions!$G$2:$G$5001,A1139)),""))</f>
        <v/>
      </c>
      <c r="L1139" s="27" t="str">
        <f aca="false">IF(A1139="","",A1139&amp;" | "&amp;B1139&amp;IF(C1139="",""," ("&amp;C1139&amp;")")&amp;IF(D1139="",""," - "&amp;D1139))</f>
        <v/>
      </c>
    </row>
    <row r="1140" customFormat="false" ht="15" hidden="false" customHeight="false" outlineLevel="0" collapsed="false">
      <c r="A1140" s="32"/>
      <c r="B1140" s="19"/>
      <c r="C1140" s="19"/>
      <c r="D1140" s="19"/>
      <c r="E1140" s="21"/>
      <c r="F1140" s="19"/>
      <c r="G1140" s="27" t="str">
        <f aca="false">IF(B1140="","",IFERROR(INDEX(Jeux!$C$2:$C$3001,MATCH(B1140,Jeux!$A$2:$A$3001,0))&amp;"","⚠ jeu inconnu"))</f>
        <v/>
      </c>
      <c r="H1140" s="27" t="str">
        <f aca="false">IF(B1140="","",IFERROR(INDEX(Jeux!$D$2:$D$3001,MATCH(B1140,Jeux!$A$2:$A$3001,0))&amp;"",""))</f>
        <v/>
      </c>
      <c r="I1140" s="26" t="str">
        <f aca="false">IF(A1140="","",COUNTIF(Apparitions!$G$2:$G$5001,A1140))</f>
        <v/>
      </c>
      <c r="J1140" s="26" t="str">
        <f aca="false">IF(A1140="","",COUNTIFS(Apparitions!$G$2:$G$5001,A1140,Apparitions!$E$2:$E$5001,"○"))</f>
        <v/>
      </c>
      <c r="K1140" s="29" t="str">
        <f aca="false">IF(A1140="","",IFERROR(1/(1/_xlfn.MINIFS(Apparitions!$L$2:$L$5001,Apparitions!$G$2:$G$5001,A1140)),""))</f>
        <v/>
      </c>
      <c r="L1140" s="27" t="str">
        <f aca="false">IF(A1140="","",A1140&amp;" | "&amp;B1140&amp;IF(C1140="",""," ("&amp;C1140&amp;")")&amp;IF(D1140="",""," - "&amp;D1140))</f>
        <v/>
      </c>
    </row>
    <row r="1141" customFormat="false" ht="15" hidden="false" customHeight="false" outlineLevel="0" collapsed="false">
      <c r="A1141" s="32"/>
      <c r="B1141" s="19"/>
      <c r="C1141" s="19"/>
      <c r="D1141" s="19"/>
      <c r="E1141" s="21"/>
      <c r="F1141" s="19"/>
      <c r="G1141" s="27" t="str">
        <f aca="false">IF(B1141="","",IFERROR(INDEX(Jeux!$C$2:$C$3001,MATCH(B1141,Jeux!$A$2:$A$3001,0))&amp;"","⚠ jeu inconnu"))</f>
        <v/>
      </c>
      <c r="H1141" s="27" t="str">
        <f aca="false">IF(B1141="","",IFERROR(INDEX(Jeux!$D$2:$D$3001,MATCH(B1141,Jeux!$A$2:$A$3001,0))&amp;"",""))</f>
        <v/>
      </c>
      <c r="I1141" s="26" t="str">
        <f aca="false">IF(A1141="","",COUNTIF(Apparitions!$G$2:$G$5001,A1141))</f>
        <v/>
      </c>
      <c r="J1141" s="26" t="str">
        <f aca="false">IF(A1141="","",COUNTIFS(Apparitions!$G$2:$G$5001,A1141,Apparitions!$E$2:$E$5001,"○"))</f>
        <v/>
      </c>
      <c r="K1141" s="29" t="str">
        <f aca="false">IF(A1141="","",IFERROR(1/(1/_xlfn.MINIFS(Apparitions!$L$2:$L$5001,Apparitions!$G$2:$G$5001,A1141)),""))</f>
        <v/>
      </c>
      <c r="L1141" s="27" t="str">
        <f aca="false">IF(A1141="","",A1141&amp;" | "&amp;B1141&amp;IF(C1141="",""," ("&amp;C1141&amp;")")&amp;IF(D1141="",""," - "&amp;D1141))</f>
        <v/>
      </c>
    </row>
    <row r="1142" customFormat="false" ht="15" hidden="false" customHeight="false" outlineLevel="0" collapsed="false">
      <c r="A1142" s="32"/>
      <c r="B1142" s="19"/>
      <c r="C1142" s="19"/>
      <c r="D1142" s="19"/>
      <c r="E1142" s="21"/>
      <c r="F1142" s="19"/>
      <c r="G1142" s="27" t="str">
        <f aca="false">IF(B1142="","",IFERROR(INDEX(Jeux!$C$2:$C$3001,MATCH(B1142,Jeux!$A$2:$A$3001,0))&amp;"","⚠ jeu inconnu"))</f>
        <v/>
      </c>
      <c r="H1142" s="27" t="str">
        <f aca="false">IF(B1142="","",IFERROR(INDEX(Jeux!$D$2:$D$3001,MATCH(B1142,Jeux!$A$2:$A$3001,0))&amp;"",""))</f>
        <v/>
      </c>
      <c r="I1142" s="26" t="str">
        <f aca="false">IF(A1142="","",COUNTIF(Apparitions!$G$2:$G$5001,A1142))</f>
        <v/>
      </c>
      <c r="J1142" s="26" t="str">
        <f aca="false">IF(A1142="","",COUNTIFS(Apparitions!$G$2:$G$5001,A1142,Apparitions!$E$2:$E$5001,"○"))</f>
        <v/>
      </c>
      <c r="K1142" s="29" t="str">
        <f aca="false">IF(A1142="","",IFERROR(1/(1/_xlfn.MINIFS(Apparitions!$L$2:$L$5001,Apparitions!$G$2:$G$5001,A1142)),""))</f>
        <v/>
      </c>
      <c r="L1142" s="27" t="str">
        <f aca="false">IF(A1142="","",A1142&amp;" | "&amp;B1142&amp;IF(C1142="",""," ("&amp;C1142&amp;")")&amp;IF(D1142="",""," - "&amp;D1142))</f>
        <v/>
      </c>
    </row>
    <row r="1143" customFormat="false" ht="15" hidden="false" customHeight="false" outlineLevel="0" collapsed="false">
      <c r="A1143" s="32"/>
      <c r="B1143" s="19"/>
      <c r="C1143" s="19"/>
      <c r="D1143" s="19"/>
      <c r="E1143" s="21"/>
      <c r="F1143" s="19"/>
      <c r="G1143" s="27" t="str">
        <f aca="false">IF(B1143="","",IFERROR(INDEX(Jeux!$C$2:$C$3001,MATCH(B1143,Jeux!$A$2:$A$3001,0))&amp;"","⚠ jeu inconnu"))</f>
        <v/>
      </c>
      <c r="H1143" s="27" t="str">
        <f aca="false">IF(B1143="","",IFERROR(INDEX(Jeux!$D$2:$D$3001,MATCH(B1143,Jeux!$A$2:$A$3001,0))&amp;"",""))</f>
        <v/>
      </c>
      <c r="I1143" s="26" t="str">
        <f aca="false">IF(A1143="","",COUNTIF(Apparitions!$G$2:$G$5001,A1143))</f>
        <v/>
      </c>
      <c r="J1143" s="26" t="str">
        <f aca="false">IF(A1143="","",COUNTIFS(Apparitions!$G$2:$G$5001,A1143,Apparitions!$E$2:$E$5001,"○"))</f>
        <v/>
      </c>
      <c r="K1143" s="29" t="str">
        <f aca="false">IF(A1143="","",IFERROR(1/(1/_xlfn.MINIFS(Apparitions!$L$2:$L$5001,Apparitions!$G$2:$G$5001,A1143)),""))</f>
        <v/>
      </c>
      <c r="L1143" s="27" t="str">
        <f aca="false">IF(A1143="","",A1143&amp;" | "&amp;B1143&amp;IF(C1143="",""," ("&amp;C1143&amp;")")&amp;IF(D1143="",""," - "&amp;D1143))</f>
        <v/>
      </c>
    </row>
    <row r="1144" customFormat="false" ht="15" hidden="false" customHeight="false" outlineLevel="0" collapsed="false">
      <c r="A1144" s="32"/>
      <c r="B1144" s="19"/>
      <c r="C1144" s="19"/>
      <c r="D1144" s="19"/>
      <c r="E1144" s="21"/>
      <c r="F1144" s="19"/>
      <c r="G1144" s="27" t="str">
        <f aca="false">IF(B1144="","",IFERROR(INDEX(Jeux!$C$2:$C$3001,MATCH(B1144,Jeux!$A$2:$A$3001,0))&amp;"","⚠ jeu inconnu"))</f>
        <v/>
      </c>
      <c r="H1144" s="27" t="str">
        <f aca="false">IF(B1144="","",IFERROR(INDEX(Jeux!$D$2:$D$3001,MATCH(B1144,Jeux!$A$2:$A$3001,0))&amp;"",""))</f>
        <v/>
      </c>
      <c r="I1144" s="26" t="str">
        <f aca="false">IF(A1144="","",COUNTIF(Apparitions!$G$2:$G$5001,A1144))</f>
        <v/>
      </c>
      <c r="J1144" s="26" t="str">
        <f aca="false">IF(A1144="","",COUNTIFS(Apparitions!$G$2:$G$5001,A1144,Apparitions!$E$2:$E$5001,"○"))</f>
        <v/>
      </c>
      <c r="K1144" s="29" t="str">
        <f aca="false">IF(A1144="","",IFERROR(1/(1/_xlfn.MINIFS(Apparitions!$L$2:$L$5001,Apparitions!$G$2:$G$5001,A1144)),""))</f>
        <v/>
      </c>
      <c r="L1144" s="27" t="str">
        <f aca="false">IF(A1144="","",A1144&amp;" | "&amp;B1144&amp;IF(C1144="",""," ("&amp;C1144&amp;")")&amp;IF(D1144="",""," - "&amp;D1144))</f>
        <v/>
      </c>
    </row>
    <row r="1145" customFormat="false" ht="15" hidden="false" customHeight="false" outlineLevel="0" collapsed="false">
      <c r="A1145" s="32"/>
      <c r="B1145" s="19"/>
      <c r="C1145" s="19"/>
      <c r="D1145" s="19"/>
      <c r="E1145" s="21"/>
      <c r="F1145" s="19"/>
      <c r="G1145" s="27" t="str">
        <f aca="false">IF(B1145="","",IFERROR(INDEX(Jeux!$C$2:$C$3001,MATCH(B1145,Jeux!$A$2:$A$3001,0))&amp;"","⚠ jeu inconnu"))</f>
        <v/>
      </c>
      <c r="H1145" s="27" t="str">
        <f aca="false">IF(B1145="","",IFERROR(INDEX(Jeux!$D$2:$D$3001,MATCH(B1145,Jeux!$A$2:$A$3001,0))&amp;"",""))</f>
        <v/>
      </c>
      <c r="I1145" s="26" t="str">
        <f aca="false">IF(A1145="","",COUNTIF(Apparitions!$G$2:$G$5001,A1145))</f>
        <v/>
      </c>
      <c r="J1145" s="26" t="str">
        <f aca="false">IF(A1145="","",COUNTIFS(Apparitions!$G$2:$G$5001,A1145,Apparitions!$E$2:$E$5001,"○"))</f>
        <v/>
      </c>
      <c r="K1145" s="29" t="str">
        <f aca="false">IF(A1145="","",IFERROR(1/(1/_xlfn.MINIFS(Apparitions!$L$2:$L$5001,Apparitions!$G$2:$G$5001,A1145)),""))</f>
        <v/>
      </c>
      <c r="L1145" s="27" t="str">
        <f aca="false">IF(A1145="","",A1145&amp;" | "&amp;B1145&amp;IF(C1145="",""," ("&amp;C1145&amp;")")&amp;IF(D1145="",""," - "&amp;D1145))</f>
        <v/>
      </c>
    </row>
    <row r="1146" customFormat="false" ht="15" hidden="false" customHeight="false" outlineLevel="0" collapsed="false">
      <c r="A1146" s="32"/>
      <c r="B1146" s="19"/>
      <c r="C1146" s="19"/>
      <c r="D1146" s="19"/>
      <c r="E1146" s="21"/>
      <c r="F1146" s="19"/>
      <c r="G1146" s="27" t="str">
        <f aca="false">IF(B1146="","",IFERROR(INDEX(Jeux!$C$2:$C$3001,MATCH(B1146,Jeux!$A$2:$A$3001,0))&amp;"","⚠ jeu inconnu"))</f>
        <v/>
      </c>
      <c r="H1146" s="27" t="str">
        <f aca="false">IF(B1146="","",IFERROR(INDEX(Jeux!$D$2:$D$3001,MATCH(B1146,Jeux!$A$2:$A$3001,0))&amp;"",""))</f>
        <v/>
      </c>
      <c r="I1146" s="26" t="str">
        <f aca="false">IF(A1146="","",COUNTIF(Apparitions!$G$2:$G$5001,A1146))</f>
        <v/>
      </c>
      <c r="J1146" s="26" t="str">
        <f aca="false">IF(A1146="","",COUNTIFS(Apparitions!$G$2:$G$5001,A1146,Apparitions!$E$2:$E$5001,"○"))</f>
        <v/>
      </c>
      <c r="K1146" s="29" t="str">
        <f aca="false">IF(A1146="","",IFERROR(1/(1/_xlfn.MINIFS(Apparitions!$L$2:$L$5001,Apparitions!$G$2:$G$5001,A1146)),""))</f>
        <v/>
      </c>
      <c r="L1146" s="27" t="str">
        <f aca="false">IF(A1146="","",A1146&amp;" | "&amp;B1146&amp;IF(C1146="",""," ("&amp;C1146&amp;")")&amp;IF(D1146="",""," - "&amp;D1146))</f>
        <v/>
      </c>
    </row>
    <row r="1147" customFormat="false" ht="15" hidden="false" customHeight="false" outlineLevel="0" collapsed="false">
      <c r="A1147" s="32"/>
      <c r="B1147" s="19"/>
      <c r="C1147" s="19"/>
      <c r="D1147" s="19"/>
      <c r="E1147" s="21"/>
      <c r="F1147" s="19"/>
      <c r="G1147" s="27" t="str">
        <f aca="false">IF(B1147="","",IFERROR(INDEX(Jeux!$C$2:$C$3001,MATCH(B1147,Jeux!$A$2:$A$3001,0))&amp;"","⚠ jeu inconnu"))</f>
        <v/>
      </c>
      <c r="H1147" s="27" t="str">
        <f aca="false">IF(B1147="","",IFERROR(INDEX(Jeux!$D$2:$D$3001,MATCH(B1147,Jeux!$A$2:$A$3001,0))&amp;"",""))</f>
        <v/>
      </c>
      <c r="I1147" s="26" t="str">
        <f aca="false">IF(A1147="","",COUNTIF(Apparitions!$G$2:$G$5001,A1147))</f>
        <v/>
      </c>
      <c r="J1147" s="26" t="str">
        <f aca="false">IF(A1147="","",COUNTIFS(Apparitions!$G$2:$G$5001,A1147,Apparitions!$E$2:$E$5001,"○"))</f>
        <v/>
      </c>
      <c r="K1147" s="29" t="str">
        <f aca="false">IF(A1147="","",IFERROR(1/(1/_xlfn.MINIFS(Apparitions!$L$2:$L$5001,Apparitions!$G$2:$G$5001,A1147)),""))</f>
        <v/>
      </c>
      <c r="L1147" s="27" t="str">
        <f aca="false">IF(A1147="","",A1147&amp;" | "&amp;B1147&amp;IF(C1147="",""," ("&amp;C1147&amp;")")&amp;IF(D1147="",""," - "&amp;D1147))</f>
        <v/>
      </c>
    </row>
    <row r="1148" customFormat="false" ht="15" hidden="false" customHeight="false" outlineLevel="0" collapsed="false">
      <c r="A1148" s="32"/>
      <c r="B1148" s="19"/>
      <c r="C1148" s="19"/>
      <c r="D1148" s="19"/>
      <c r="E1148" s="21"/>
      <c r="F1148" s="19"/>
      <c r="G1148" s="27" t="str">
        <f aca="false">IF(B1148="","",IFERROR(INDEX(Jeux!$C$2:$C$3001,MATCH(B1148,Jeux!$A$2:$A$3001,0))&amp;"","⚠ jeu inconnu"))</f>
        <v/>
      </c>
      <c r="H1148" s="27" t="str">
        <f aca="false">IF(B1148="","",IFERROR(INDEX(Jeux!$D$2:$D$3001,MATCH(B1148,Jeux!$A$2:$A$3001,0))&amp;"",""))</f>
        <v/>
      </c>
      <c r="I1148" s="26" t="str">
        <f aca="false">IF(A1148="","",COUNTIF(Apparitions!$G$2:$G$5001,A1148))</f>
        <v/>
      </c>
      <c r="J1148" s="26" t="str">
        <f aca="false">IF(A1148="","",COUNTIFS(Apparitions!$G$2:$G$5001,A1148,Apparitions!$E$2:$E$5001,"○"))</f>
        <v/>
      </c>
      <c r="K1148" s="29" t="str">
        <f aca="false">IF(A1148="","",IFERROR(1/(1/_xlfn.MINIFS(Apparitions!$L$2:$L$5001,Apparitions!$G$2:$G$5001,A1148)),""))</f>
        <v/>
      </c>
      <c r="L1148" s="27" t="str">
        <f aca="false">IF(A1148="","",A1148&amp;" | "&amp;B1148&amp;IF(C1148="",""," ("&amp;C1148&amp;")")&amp;IF(D1148="",""," - "&amp;D1148))</f>
        <v/>
      </c>
    </row>
    <row r="1149" customFormat="false" ht="15" hidden="false" customHeight="false" outlineLevel="0" collapsed="false">
      <c r="A1149" s="32"/>
      <c r="B1149" s="19"/>
      <c r="C1149" s="19"/>
      <c r="D1149" s="19"/>
      <c r="E1149" s="21"/>
      <c r="F1149" s="19"/>
      <c r="G1149" s="27" t="str">
        <f aca="false">IF(B1149="","",IFERROR(INDEX(Jeux!$C$2:$C$3001,MATCH(B1149,Jeux!$A$2:$A$3001,0))&amp;"","⚠ jeu inconnu"))</f>
        <v/>
      </c>
      <c r="H1149" s="27" t="str">
        <f aca="false">IF(B1149="","",IFERROR(INDEX(Jeux!$D$2:$D$3001,MATCH(B1149,Jeux!$A$2:$A$3001,0))&amp;"",""))</f>
        <v/>
      </c>
      <c r="I1149" s="26" t="str">
        <f aca="false">IF(A1149="","",COUNTIF(Apparitions!$G$2:$G$5001,A1149))</f>
        <v/>
      </c>
      <c r="J1149" s="26" t="str">
        <f aca="false">IF(A1149="","",COUNTIFS(Apparitions!$G$2:$G$5001,A1149,Apparitions!$E$2:$E$5001,"○"))</f>
        <v/>
      </c>
      <c r="K1149" s="29" t="str">
        <f aca="false">IF(A1149="","",IFERROR(1/(1/_xlfn.MINIFS(Apparitions!$L$2:$L$5001,Apparitions!$G$2:$G$5001,A1149)),""))</f>
        <v/>
      </c>
      <c r="L1149" s="27" t="str">
        <f aca="false">IF(A1149="","",A1149&amp;" | "&amp;B1149&amp;IF(C1149="",""," ("&amp;C1149&amp;")")&amp;IF(D1149="",""," - "&amp;D1149))</f>
        <v/>
      </c>
    </row>
    <row r="1150" customFormat="false" ht="15" hidden="false" customHeight="false" outlineLevel="0" collapsed="false">
      <c r="A1150" s="32"/>
      <c r="B1150" s="19"/>
      <c r="C1150" s="19"/>
      <c r="D1150" s="19"/>
      <c r="E1150" s="21"/>
      <c r="F1150" s="19"/>
      <c r="G1150" s="27" t="str">
        <f aca="false">IF(B1150="","",IFERROR(INDEX(Jeux!$C$2:$C$3001,MATCH(B1150,Jeux!$A$2:$A$3001,0))&amp;"","⚠ jeu inconnu"))</f>
        <v/>
      </c>
      <c r="H1150" s="27" t="str">
        <f aca="false">IF(B1150="","",IFERROR(INDEX(Jeux!$D$2:$D$3001,MATCH(B1150,Jeux!$A$2:$A$3001,0))&amp;"",""))</f>
        <v/>
      </c>
      <c r="I1150" s="26" t="str">
        <f aca="false">IF(A1150="","",COUNTIF(Apparitions!$G$2:$G$5001,A1150))</f>
        <v/>
      </c>
      <c r="J1150" s="26" t="str">
        <f aca="false">IF(A1150="","",COUNTIFS(Apparitions!$G$2:$G$5001,A1150,Apparitions!$E$2:$E$5001,"○"))</f>
        <v/>
      </c>
      <c r="K1150" s="29" t="str">
        <f aca="false">IF(A1150="","",IFERROR(1/(1/_xlfn.MINIFS(Apparitions!$L$2:$L$5001,Apparitions!$G$2:$G$5001,A1150)),""))</f>
        <v/>
      </c>
      <c r="L1150" s="27" t="str">
        <f aca="false">IF(A1150="","",A1150&amp;" | "&amp;B1150&amp;IF(C1150="",""," ("&amp;C1150&amp;")")&amp;IF(D1150="",""," - "&amp;D1150))</f>
        <v/>
      </c>
    </row>
    <row r="1151" customFormat="false" ht="15" hidden="false" customHeight="false" outlineLevel="0" collapsed="false">
      <c r="A1151" s="32"/>
      <c r="B1151" s="19"/>
      <c r="C1151" s="19"/>
      <c r="D1151" s="19"/>
      <c r="E1151" s="21"/>
      <c r="F1151" s="19"/>
      <c r="G1151" s="27" t="str">
        <f aca="false">IF(B1151="","",IFERROR(INDEX(Jeux!$C$2:$C$3001,MATCH(B1151,Jeux!$A$2:$A$3001,0))&amp;"","⚠ jeu inconnu"))</f>
        <v/>
      </c>
      <c r="H1151" s="27" t="str">
        <f aca="false">IF(B1151="","",IFERROR(INDEX(Jeux!$D$2:$D$3001,MATCH(B1151,Jeux!$A$2:$A$3001,0))&amp;"",""))</f>
        <v/>
      </c>
      <c r="I1151" s="26" t="str">
        <f aca="false">IF(A1151="","",COUNTIF(Apparitions!$G$2:$G$5001,A1151))</f>
        <v/>
      </c>
      <c r="J1151" s="26" t="str">
        <f aca="false">IF(A1151="","",COUNTIFS(Apparitions!$G$2:$G$5001,A1151,Apparitions!$E$2:$E$5001,"○"))</f>
        <v/>
      </c>
      <c r="K1151" s="29" t="str">
        <f aca="false">IF(A1151="","",IFERROR(1/(1/_xlfn.MINIFS(Apparitions!$L$2:$L$5001,Apparitions!$G$2:$G$5001,A1151)),""))</f>
        <v/>
      </c>
      <c r="L1151" s="27" t="str">
        <f aca="false">IF(A1151="","",A1151&amp;" | "&amp;B1151&amp;IF(C1151="",""," ("&amp;C1151&amp;")")&amp;IF(D1151="",""," - "&amp;D1151))</f>
        <v/>
      </c>
    </row>
    <row r="1152" customFormat="false" ht="15" hidden="false" customHeight="false" outlineLevel="0" collapsed="false">
      <c r="A1152" s="32"/>
      <c r="B1152" s="19"/>
      <c r="C1152" s="19"/>
      <c r="D1152" s="19"/>
      <c r="E1152" s="21"/>
      <c r="F1152" s="19"/>
      <c r="G1152" s="27" t="str">
        <f aca="false">IF(B1152="","",IFERROR(INDEX(Jeux!$C$2:$C$3001,MATCH(B1152,Jeux!$A$2:$A$3001,0))&amp;"","⚠ jeu inconnu"))</f>
        <v/>
      </c>
      <c r="H1152" s="27" t="str">
        <f aca="false">IF(B1152="","",IFERROR(INDEX(Jeux!$D$2:$D$3001,MATCH(B1152,Jeux!$A$2:$A$3001,0))&amp;"",""))</f>
        <v/>
      </c>
      <c r="I1152" s="26" t="str">
        <f aca="false">IF(A1152="","",COUNTIF(Apparitions!$G$2:$G$5001,A1152))</f>
        <v/>
      </c>
      <c r="J1152" s="26" t="str">
        <f aca="false">IF(A1152="","",COUNTIFS(Apparitions!$G$2:$G$5001,A1152,Apparitions!$E$2:$E$5001,"○"))</f>
        <v/>
      </c>
      <c r="K1152" s="29" t="str">
        <f aca="false">IF(A1152="","",IFERROR(1/(1/_xlfn.MINIFS(Apparitions!$L$2:$L$5001,Apparitions!$G$2:$G$5001,A1152)),""))</f>
        <v/>
      </c>
      <c r="L1152" s="27" t="str">
        <f aca="false">IF(A1152="","",A1152&amp;" | "&amp;B1152&amp;IF(C1152="",""," ("&amp;C1152&amp;")")&amp;IF(D1152="",""," - "&amp;D1152))</f>
        <v/>
      </c>
    </row>
    <row r="1153" customFormat="false" ht="15" hidden="false" customHeight="false" outlineLevel="0" collapsed="false">
      <c r="A1153" s="32"/>
      <c r="B1153" s="19"/>
      <c r="C1153" s="19"/>
      <c r="D1153" s="19"/>
      <c r="E1153" s="21"/>
      <c r="F1153" s="19"/>
      <c r="G1153" s="27" t="str">
        <f aca="false">IF(B1153="","",IFERROR(INDEX(Jeux!$C$2:$C$3001,MATCH(B1153,Jeux!$A$2:$A$3001,0))&amp;"","⚠ jeu inconnu"))</f>
        <v/>
      </c>
      <c r="H1153" s="27" t="str">
        <f aca="false">IF(B1153="","",IFERROR(INDEX(Jeux!$D$2:$D$3001,MATCH(B1153,Jeux!$A$2:$A$3001,0))&amp;"",""))</f>
        <v/>
      </c>
      <c r="I1153" s="26" t="str">
        <f aca="false">IF(A1153="","",COUNTIF(Apparitions!$G$2:$G$5001,A1153))</f>
        <v/>
      </c>
      <c r="J1153" s="26" t="str">
        <f aca="false">IF(A1153="","",COUNTIFS(Apparitions!$G$2:$G$5001,A1153,Apparitions!$E$2:$E$5001,"○"))</f>
        <v/>
      </c>
      <c r="K1153" s="29" t="str">
        <f aca="false">IF(A1153="","",IFERROR(1/(1/_xlfn.MINIFS(Apparitions!$L$2:$L$5001,Apparitions!$G$2:$G$5001,A1153)),""))</f>
        <v/>
      </c>
      <c r="L1153" s="27" t="str">
        <f aca="false">IF(A1153="","",A1153&amp;" | "&amp;B1153&amp;IF(C1153="",""," ("&amp;C1153&amp;")")&amp;IF(D1153="",""," - "&amp;D1153))</f>
        <v/>
      </c>
    </row>
    <row r="1154" customFormat="false" ht="15" hidden="false" customHeight="false" outlineLevel="0" collapsed="false">
      <c r="A1154" s="32"/>
      <c r="B1154" s="19"/>
      <c r="C1154" s="19"/>
      <c r="D1154" s="19"/>
      <c r="E1154" s="21"/>
      <c r="F1154" s="19"/>
      <c r="G1154" s="27" t="str">
        <f aca="false">IF(B1154="","",IFERROR(INDEX(Jeux!$C$2:$C$3001,MATCH(B1154,Jeux!$A$2:$A$3001,0))&amp;"","⚠ jeu inconnu"))</f>
        <v/>
      </c>
      <c r="H1154" s="27" t="str">
        <f aca="false">IF(B1154="","",IFERROR(INDEX(Jeux!$D$2:$D$3001,MATCH(B1154,Jeux!$A$2:$A$3001,0))&amp;"",""))</f>
        <v/>
      </c>
      <c r="I1154" s="26" t="str">
        <f aca="false">IF(A1154="","",COUNTIF(Apparitions!$G$2:$G$5001,A1154))</f>
        <v/>
      </c>
      <c r="J1154" s="26" t="str">
        <f aca="false">IF(A1154="","",COUNTIFS(Apparitions!$G$2:$G$5001,A1154,Apparitions!$E$2:$E$5001,"○"))</f>
        <v/>
      </c>
      <c r="K1154" s="29" t="str">
        <f aca="false">IF(A1154="","",IFERROR(1/(1/_xlfn.MINIFS(Apparitions!$L$2:$L$5001,Apparitions!$G$2:$G$5001,A1154)),""))</f>
        <v/>
      </c>
      <c r="L1154" s="27" t="str">
        <f aca="false">IF(A1154="","",A1154&amp;" | "&amp;B1154&amp;IF(C1154="",""," ("&amp;C1154&amp;")")&amp;IF(D1154="",""," - "&amp;D1154))</f>
        <v/>
      </c>
    </row>
    <row r="1155" customFormat="false" ht="15" hidden="false" customHeight="false" outlineLevel="0" collapsed="false">
      <c r="A1155" s="32"/>
      <c r="B1155" s="19"/>
      <c r="C1155" s="19"/>
      <c r="D1155" s="19"/>
      <c r="E1155" s="21"/>
      <c r="F1155" s="19"/>
      <c r="G1155" s="27" t="str">
        <f aca="false">IF(B1155="","",IFERROR(INDEX(Jeux!$C$2:$C$3001,MATCH(B1155,Jeux!$A$2:$A$3001,0))&amp;"","⚠ jeu inconnu"))</f>
        <v/>
      </c>
      <c r="H1155" s="27" t="str">
        <f aca="false">IF(B1155="","",IFERROR(INDEX(Jeux!$D$2:$D$3001,MATCH(B1155,Jeux!$A$2:$A$3001,0))&amp;"",""))</f>
        <v/>
      </c>
      <c r="I1155" s="26" t="str">
        <f aca="false">IF(A1155="","",COUNTIF(Apparitions!$G$2:$G$5001,A1155))</f>
        <v/>
      </c>
      <c r="J1155" s="26" t="str">
        <f aca="false">IF(A1155="","",COUNTIFS(Apparitions!$G$2:$G$5001,A1155,Apparitions!$E$2:$E$5001,"○"))</f>
        <v/>
      </c>
      <c r="K1155" s="29" t="str">
        <f aca="false">IF(A1155="","",IFERROR(1/(1/_xlfn.MINIFS(Apparitions!$L$2:$L$5001,Apparitions!$G$2:$G$5001,A1155)),""))</f>
        <v/>
      </c>
      <c r="L1155" s="27" t="str">
        <f aca="false">IF(A1155="","",A1155&amp;" | "&amp;B1155&amp;IF(C1155="",""," ("&amp;C1155&amp;")")&amp;IF(D1155="",""," - "&amp;D1155))</f>
        <v/>
      </c>
    </row>
    <row r="1156" customFormat="false" ht="15" hidden="false" customHeight="false" outlineLevel="0" collapsed="false">
      <c r="A1156" s="32"/>
      <c r="B1156" s="19"/>
      <c r="C1156" s="19"/>
      <c r="D1156" s="19"/>
      <c r="E1156" s="21"/>
      <c r="F1156" s="19"/>
      <c r="G1156" s="27" t="str">
        <f aca="false">IF(B1156="","",IFERROR(INDEX(Jeux!$C$2:$C$3001,MATCH(B1156,Jeux!$A$2:$A$3001,0))&amp;"","⚠ jeu inconnu"))</f>
        <v/>
      </c>
      <c r="H1156" s="27" t="str">
        <f aca="false">IF(B1156="","",IFERROR(INDEX(Jeux!$D$2:$D$3001,MATCH(B1156,Jeux!$A$2:$A$3001,0))&amp;"",""))</f>
        <v/>
      </c>
      <c r="I1156" s="26" t="str">
        <f aca="false">IF(A1156="","",COUNTIF(Apparitions!$G$2:$G$5001,A1156))</f>
        <v/>
      </c>
      <c r="J1156" s="26" t="str">
        <f aca="false">IF(A1156="","",COUNTIFS(Apparitions!$G$2:$G$5001,A1156,Apparitions!$E$2:$E$5001,"○"))</f>
        <v/>
      </c>
      <c r="K1156" s="29" t="str">
        <f aca="false">IF(A1156="","",IFERROR(1/(1/_xlfn.MINIFS(Apparitions!$L$2:$L$5001,Apparitions!$G$2:$G$5001,A1156)),""))</f>
        <v/>
      </c>
      <c r="L1156" s="27" t="str">
        <f aca="false">IF(A1156="","",A1156&amp;" | "&amp;B1156&amp;IF(C1156="",""," ("&amp;C1156&amp;")")&amp;IF(D1156="",""," - "&amp;D1156))</f>
        <v/>
      </c>
    </row>
    <row r="1157" customFormat="false" ht="15" hidden="false" customHeight="false" outlineLevel="0" collapsed="false">
      <c r="A1157" s="32"/>
      <c r="B1157" s="19"/>
      <c r="C1157" s="19"/>
      <c r="D1157" s="19"/>
      <c r="E1157" s="21"/>
      <c r="F1157" s="19"/>
      <c r="G1157" s="27" t="str">
        <f aca="false">IF(B1157="","",IFERROR(INDEX(Jeux!$C$2:$C$3001,MATCH(B1157,Jeux!$A$2:$A$3001,0))&amp;"","⚠ jeu inconnu"))</f>
        <v/>
      </c>
      <c r="H1157" s="27" t="str">
        <f aca="false">IF(B1157="","",IFERROR(INDEX(Jeux!$D$2:$D$3001,MATCH(B1157,Jeux!$A$2:$A$3001,0))&amp;"",""))</f>
        <v/>
      </c>
      <c r="I1157" s="26" t="str">
        <f aca="false">IF(A1157="","",COUNTIF(Apparitions!$G$2:$G$5001,A1157))</f>
        <v/>
      </c>
      <c r="J1157" s="26" t="str">
        <f aca="false">IF(A1157="","",COUNTIFS(Apparitions!$G$2:$G$5001,A1157,Apparitions!$E$2:$E$5001,"○"))</f>
        <v/>
      </c>
      <c r="K1157" s="29" t="str">
        <f aca="false">IF(A1157="","",IFERROR(1/(1/_xlfn.MINIFS(Apparitions!$L$2:$L$5001,Apparitions!$G$2:$G$5001,A1157)),""))</f>
        <v/>
      </c>
      <c r="L1157" s="27" t="str">
        <f aca="false">IF(A1157="","",A1157&amp;" | "&amp;B1157&amp;IF(C1157="",""," ("&amp;C1157&amp;")")&amp;IF(D1157="",""," - "&amp;D1157))</f>
        <v/>
      </c>
    </row>
    <row r="1158" customFormat="false" ht="15" hidden="false" customHeight="false" outlineLevel="0" collapsed="false">
      <c r="A1158" s="32"/>
      <c r="B1158" s="19"/>
      <c r="C1158" s="19"/>
      <c r="D1158" s="19"/>
      <c r="E1158" s="21"/>
      <c r="F1158" s="19"/>
      <c r="G1158" s="27" t="str">
        <f aca="false">IF(B1158="","",IFERROR(INDEX(Jeux!$C$2:$C$3001,MATCH(B1158,Jeux!$A$2:$A$3001,0))&amp;"","⚠ jeu inconnu"))</f>
        <v/>
      </c>
      <c r="H1158" s="27" t="str">
        <f aca="false">IF(B1158="","",IFERROR(INDEX(Jeux!$D$2:$D$3001,MATCH(B1158,Jeux!$A$2:$A$3001,0))&amp;"",""))</f>
        <v/>
      </c>
      <c r="I1158" s="26" t="str">
        <f aca="false">IF(A1158="","",COUNTIF(Apparitions!$G$2:$G$5001,A1158))</f>
        <v/>
      </c>
      <c r="J1158" s="26" t="str">
        <f aca="false">IF(A1158="","",COUNTIFS(Apparitions!$G$2:$G$5001,A1158,Apparitions!$E$2:$E$5001,"○"))</f>
        <v/>
      </c>
      <c r="K1158" s="29" t="str">
        <f aca="false">IF(A1158="","",IFERROR(1/(1/_xlfn.MINIFS(Apparitions!$L$2:$L$5001,Apparitions!$G$2:$G$5001,A1158)),""))</f>
        <v/>
      </c>
      <c r="L1158" s="27" t="str">
        <f aca="false">IF(A1158="","",A1158&amp;" | "&amp;B1158&amp;IF(C1158="",""," ("&amp;C1158&amp;")")&amp;IF(D1158="",""," - "&amp;D1158))</f>
        <v/>
      </c>
    </row>
    <row r="1159" customFormat="false" ht="15" hidden="false" customHeight="false" outlineLevel="0" collapsed="false">
      <c r="A1159" s="32"/>
      <c r="B1159" s="19"/>
      <c r="C1159" s="19"/>
      <c r="D1159" s="19"/>
      <c r="E1159" s="21"/>
      <c r="F1159" s="19"/>
      <c r="G1159" s="27" t="str">
        <f aca="false">IF(B1159="","",IFERROR(INDEX(Jeux!$C$2:$C$3001,MATCH(B1159,Jeux!$A$2:$A$3001,0))&amp;"","⚠ jeu inconnu"))</f>
        <v/>
      </c>
      <c r="H1159" s="27" t="str">
        <f aca="false">IF(B1159="","",IFERROR(INDEX(Jeux!$D$2:$D$3001,MATCH(B1159,Jeux!$A$2:$A$3001,0))&amp;"",""))</f>
        <v/>
      </c>
      <c r="I1159" s="26" t="str">
        <f aca="false">IF(A1159="","",COUNTIF(Apparitions!$G$2:$G$5001,A1159))</f>
        <v/>
      </c>
      <c r="J1159" s="26" t="str">
        <f aca="false">IF(A1159="","",COUNTIFS(Apparitions!$G$2:$G$5001,A1159,Apparitions!$E$2:$E$5001,"○"))</f>
        <v/>
      </c>
      <c r="K1159" s="29" t="str">
        <f aca="false">IF(A1159="","",IFERROR(1/(1/_xlfn.MINIFS(Apparitions!$L$2:$L$5001,Apparitions!$G$2:$G$5001,A1159)),""))</f>
        <v/>
      </c>
      <c r="L1159" s="27" t="str">
        <f aca="false">IF(A1159="","",A1159&amp;" | "&amp;B1159&amp;IF(C1159="",""," ("&amp;C1159&amp;")")&amp;IF(D1159="",""," - "&amp;D1159))</f>
        <v/>
      </c>
    </row>
    <row r="1160" customFormat="false" ht="15" hidden="false" customHeight="false" outlineLevel="0" collapsed="false">
      <c r="A1160" s="32"/>
      <c r="B1160" s="19"/>
      <c r="C1160" s="19"/>
      <c r="D1160" s="19"/>
      <c r="E1160" s="21"/>
      <c r="F1160" s="19"/>
      <c r="G1160" s="27" t="str">
        <f aca="false">IF(B1160="","",IFERROR(INDEX(Jeux!$C$2:$C$3001,MATCH(B1160,Jeux!$A$2:$A$3001,0))&amp;"","⚠ jeu inconnu"))</f>
        <v/>
      </c>
      <c r="H1160" s="27" t="str">
        <f aca="false">IF(B1160="","",IFERROR(INDEX(Jeux!$D$2:$D$3001,MATCH(B1160,Jeux!$A$2:$A$3001,0))&amp;"",""))</f>
        <v/>
      </c>
      <c r="I1160" s="26" t="str">
        <f aca="false">IF(A1160="","",COUNTIF(Apparitions!$G$2:$G$5001,A1160))</f>
        <v/>
      </c>
      <c r="J1160" s="26" t="str">
        <f aca="false">IF(A1160="","",COUNTIFS(Apparitions!$G$2:$G$5001,A1160,Apparitions!$E$2:$E$5001,"○"))</f>
        <v/>
      </c>
      <c r="K1160" s="29" t="str">
        <f aca="false">IF(A1160="","",IFERROR(1/(1/_xlfn.MINIFS(Apparitions!$L$2:$L$5001,Apparitions!$G$2:$G$5001,A1160)),""))</f>
        <v/>
      </c>
      <c r="L1160" s="27" t="str">
        <f aca="false">IF(A1160="","",A1160&amp;" | "&amp;B1160&amp;IF(C1160="",""," ("&amp;C1160&amp;")")&amp;IF(D1160="",""," - "&amp;D1160))</f>
        <v/>
      </c>
    </row>
    <row r="1161" customFormat="false" ht="15" hidden="false" customHeight="false" outlineLevel="0" collapsed="false">
      <c r="A1161" s="32"/>
      <c r="B1161" s="19"/>
      <c r="C1161" s="19"/>
      <c r="D1161" s="19"/>
      <c r="E1161" s="21"/>
      <c r="F1161" s="19"/>
      <c r="G1161" s="27" t="str">
        <f aca="false">IF(B1161="","",IFERROR(INDEX(Jeux!$C$2:$C$3001,MATCH(B1161,Jeux!$A$2:$A$3001,0))&amp;"","⚠ jeu inconnu"))</f>
        <v/>
      </c>
      <c r="H1161" s="27" t="str">
        <f aca="false">IF(B1161="","",IFERROR(INDEX(Jeux!$D$2:$D$3001,MATCH(B1161,Jeux!$A$2:$A$3001,0))&amp;"",""))</f>
        <v/>
      </c>
      <c r="I1161" s="26" t="str">
        <f aca="false">IF(A1161="","",COUNTIF(Apparitions!$G$2:$G$5001,A1161))</f>
        <v/>
      </c>
      <c r="J1161" s="26" t="str">
        <f aca="false">IF(A1161="","",COUNTIFS(Apparitions!$G$2:$G$5001,A1161,Apparitions!$E$2:$E$5001,"○"))</f>
        <v/>
      </c>
      <c r="K1161" s="29" t="str">
        <f aca="false">IF(A1161="","",IFERROR(1/(1/_xlfn.MINIFS(Apparitions!$L$2:$L$5001,Apparitions!$G$2:$G$5001,A1161)),""))</f>
        <v/>
      </c>
      <c r="L1161" s="27" t="str">
        <f aca="false">IF(A1161="","",A1161&amp;" | "&amp;B1161&amp;IF(C1161="",""," ("&amp;C1161&amp;")")&amp;IF(D1161="",""," - "&amp;D1161))</f>
        <v/>
      </c>
    </row>
    <row r="1162" customFormat="false" ht="15" hidden="false" customHeight="false" outlineLevel="0" collapsed="false">
      <c r="A1162" s="32"/>
      <c r="B1162" s="19"/>
      <c r="C1162" s="19"/>
      <c r="D1162" s="19"/>
      <c r="E1162" s="21"/>
      <c r="F1162" s="19"/>
      <c r="G1162" s="27" t="str">
        <f aca="false">IF(B1162="","",IFERROR(INDEX(Jeux!$C$2:$C$3001,MATCH(B1162,Jeux!$A$2:$A$3001,0))&amp;"","⚠ jeu inconnu"))</f>
        <v/>
      </c>
      <c r="H1162" s="27" t="str">
        <f aca="false">IF(B1162="","",IFERROR(INDEX(Jeux!$D$2:$D$3001,MATCH(B1162,Jeux!$A$2:$A$3001,0))&amp;"",""))</f>
        <v/>
      </c>
      <c r="I1162" s="26" t="str">
        <f aca="false">IF(A1162="","",COUNTIF(Apparitions!$G$2:$G$5001,A1162))</f>
        <v/>
      </c>
      <c r="J1162" s="26" t="str">
        <f aca="false">IF(A1162="","",COUNTIFS(Apparitions!$G$2:$G$5001,A1162,Apparitions!$E$2:$E$5001,"○"))</f>
        <v/>
      </c>
      <c r="K1162" s="29" t="str">
        <f aca="false">IF(A1162="","",IFERROR(1/(1/_xlfn.MINIFS(Apparitions!$L$2:$L$5001,Apparitions!$G$2:$G$5001,A1162)),""))</f>
        <v/>
      </c>
      <c r="L1162" s="27" t="str">
        <f aca="false">IF(A1162="","",A1162&amp;" | "&amp;B1162&amp;IF(C1162="",""," ("&amp;C1162&amp;")")&amp;IF(D1162="",""," - "&amp;D1162))</f>
        <v/>
      </c>
    </row>
    <row r="1163" customFormat="false" ht="15" hidden="false" customHeight="false" outlineLevel="0" collapsed="false">
      <c r="A1163" s="32"/>
      <c r="B1163" s="19"/>
      <c r="C1163" s="19"/>
      <c r="D1163" s="19"/>
      <c r="E1163" s="21"/>
      <c r="F1163" s="19"/>
      <c r="G1163" s="27" t="str">
        <f aca="false">IF(B1163="","",IFERROR(INDEX(Jeux!$C$2:$C$3001,MATCH(B1163,Jeux!$A$2:$A$3001,0))&amp;"","⚠ jeu inconnu"))</f>
        <v/>
      </c>
      <c r="H1163" s="27" t="str">
        <f aca="false">IF(B1163="","",IFERROR(INDEX(Jeux!$D$2:$D$3001,MATCH(B1163,Jeux!$A$2:$A$3001,0))&amp;"",""))</f>
        <v/>
      </c>
      <c r="I1163" s="26" t="str">
        <f aca="false">IF(A1163="","",COUNTIF(Apparitions!$G$2:$G$5001,A1163))</f>
        <v/>
      </c>
      <c r="J1163" s="26" t="str">
        <f aca="false">IF(A1163="","",COUNTIFS(Apparitions!$G$2:$G$5001,A1163,Apparitions!$E$2:$E$5001,"○"))</f>
        <v/>
      </c>
      <c r="K1163" s="29" t="str">
        <f aca="false">IF(A1163="","",IFERROR(1/(1/_xlfn.MINIFS(Apparitions!$L$2:$L$5001,Apparitions!$G$2:$G$5001,A1163)),""))</f>
        <v/>
      </c>
      <c r="L1163" s="27" t="str">
        <f aca="false">IF(A1163="","",A1163&amp;" | "&amp;B1163&amp;IF(C1163="",""," ("&amp;C1163&amp;")")&amp;IF(D1163="",""," - "&amp;D1163))</f>
        <v/>
      </c>
    </row>
    <row r="1164" customFormat="false" ht="15" hidden="false" customHeight="false" outlineLevel="0" collapsed="false">
      <c r="A1164" s="32"/>
      <c r="B1164" s="19"/>
      <c r="C1164" s="19"/>
      <c r="D1164" s="19"/>
      <c r="E1164" s="21"/>
      <c r="F1164" s="19"/>
      <c r="G1164" s="27" t="str">
        <f aca="false">IF(B1164="","",IFERROR(INDEX(Jeux!$C$2:$C$3001,MATCH(B1164,Jeux!$A$2:$A$3001,0))&amp;"","⚠ jeu inconnu"))</f>
        <v/>
      </c>
      <c r="H1164" s="27" t="str">
        <f aca="false">IF(B1164="","",IFERROR(INDEX(Jeux!$D$2:$D$3001,MATCH(B1164,Jeux!$A$2:$A$3001,0))&amp;"",""))</f>
        <v/>
      </c>
      <c r="I1164" s="26" t="str">
        <f aca="false">IF(A1164="","",COUNTIF(Apparitions!$G$2:$G$5001,A1164))</f>
        <v/>
      </c>
      <c r="J1164" s="26" t="str">
        <f aca="false">IF(A1164="","",COUNTIFS(Apparitions!$G$2:$G$5001,A1164,Apparitions!$E$2:$E$5001,"○"))</f>
        <v/>
      </c>
      <c r="K1164" s="29" t="str">
        <f aca="false">IF(A1164="","",IFERROR(1/(1/_xlfn.MINIFS(Apparitions!$L$2:$L$5001,Apparitions!$G$2:$G$5001,A1164)),""))</f>
        <v/>
      </c>
      <c r="L1164" s="27" t="str">
        <f aca="false">IF(A1164="","",A1164&amp;" | "&amp;B1164&amp;IF(C1164="",""," ("&amp;C1164&amp;")")&amp;IF(D1164="",""," - "&amp;D1164))</f>
        <v/>
      </c>
    </row>
    <row r="1165" customFormat="false" ht="15" hidden="false" customHeight="false" outlineLevel="0" collapsed="false">
      <c r="A1165" s="32"/>
      <c r="B1165" s="19"/>
      <c r="C1165" s="19"/>
      <c r="D1165" s="19"/>
      <c r="E1165" s="21"/>
      <c r="F1165" s="19"/>
      <c r="G1165" s="27" t="str">
        <f aca="false">IF(B1165="","",IFERROR(INDEX(Jeux!$C$2:$C$3001,MATCH(B1165,Jeux!$A$2:$A$3001,0))&amp;"","⚠ jeu inconnu"))</f>
        <v/>
      </c>
      <c r="H1165" s="27" t="str">
        <f aca="false">IF(B1165="","",IFERROR(INDEX(Jeux!$D$2:$D$3001,MATCH(B1165,Jeux!$A$2:$A$3001,0))&amp;"",""))</f>
        <v/>
      </c>
      <c r="I1165" s="26" t="str">
        <f aca="false">IF(A1165="","",COUNTIF(Apparitions!$G$2:$G$5001,A1165))</f>
        <v/>
      </c>
      <c r="J1165" s="26" t="str">
        <f aca="false">IF(A1165="","",COUNTIFS(Apparitions!$G$2:$G$5001,A1165,Apparitions!$E$2:$E$5001,"○"))</f>
        <v/>
      </c>
      <c r="K1165" s="29" t="str">
        <f aca="false">IF(A1165="","",IFERROR(1/(1/_xlfn.MINIFS(Apparitions!$L$2:$L$5001,Apparitions!$G$2:$G$5001,A1165)),""))</f>
        <v/>
      </c>
      <c r="L1165" s="27" t="str">
        <f aca="false">IF(A1165="","",A1165&amp;" | "&amp;B1165&amp;IF(C1165="",""," ("&amp;C1165&amp;")")&amp;IF(D1165="",""," - "&amp;D1165))</f>
        <v/>
      </c>
    </row>
    <row r="1166" customFormat="false" ht="15" hidden="false" customHeight="false" outlineLevel="0" collapsed="false">
      <c r="A1166" s="32"/>
      <c r="B1166" s="19"/>
      <c r="C1166" s="19"/>
      <c r="D1166" s="19"/>
      <c r="E1166" s="21"/>
      <c r="F1166" s="19"/>
      <c r="G1166" s="27" t="str">
        <f aca="false">IF(B1166="","",IFERROR(INDEX(Jeux!$C$2:$C$3001,MATCH(B1166,Jeux!$A$2:$A$3001,0))&amp;"","⚠ jeu inconnu"))</f>
        <v/>
      </c>
      <c r="H1166" s="27" t="str">
        <f aca="false">IF(B1166="","",IFERROR(INDEX(Jeux!$D$2:$D$3001,MATCH(B1166,Jeux!$A$2:$A$3001,0))&amp;"",""))</f>
        <v/>
      </c>
      <c r="I1166" s="26" t="str">
        <f aca="false">IF(A1166="","",COUNTIF(Apparitions!$G$2:$G$5001,A1166))</f>
        <v/>
      </c>
      <c r="J1166" s="26" t="str">
        <f aca="false">IF(A1166="","",COUNTIFS(Apparitions!$G$2:$G$5001,A1166,Apparitions!$E$2:$E$5001,"○"))</f>
        <v/>
      </c>
      <c r="K1166" s="29" t="str">
        <f aca="false">IF(A1166="","",IFERROR(1/(1/_xlfn.MINIFS(Apparitions!$L$2:$L$5001,Apparitions!$G$2:$G$5001,A1166)),""))</f>
        <v/>
      </c>
      <c r="L1166" s="27" t="str">
        <f aca="false">IF(A1166="","",A1166&amp;" | "&amp;B1166&amp;IF(C1166="",""," ("&amp;C1166&amp;")")&amp;IF(D1166="",""," - "&amp;D1166))</f>
        <v/>
      </c>
    </row>
    <row r="1167" customFormat="false" ht="15" hidden="false" customHeight="false" outlineLevel="0" collapsed="false">
      <c r="A1167" s="32"/>
      <c r="B1167" s="19"/>
      <c r="C1167" s="19"/>
      <c r="D1167" s="19"/>
      <c r="E1167" s="21"/>
      <c r="F1167" s="19"/>
      <c r="G1167" s="27" t="str">
        <f aca="false">IF(B1167="","",IFERROR(INDEX(Jeux!$C$2:$C$3001,MATCH(B1167,Jeux!$A$2:$A$3001,0))&amp;"","⚠ jeu inconnu"))</f>
        <v/>
      </c>
      <c r="H1167" s="27" t="str">
        <f aca="false">IF(B1167="","",IFERROR(INDEX(Jeux!$D$2:$D$3001,MATCH(B1167,Jeux!$A$2:$A$3001,0))&amp;"",""))</f>
        <v/>
      </c>
      <c r="I1167" s="26" t="str">
        <f aca="false">IF(A1167="","",COUNTIF(Apparitions!$G$2:$G$5001,A1167))</f>
        <v/>
      </c>
      <c r="J1167" s="26" t="str">
        <f aca="false">IF(A1167="","",COUNTIFS(Apparitions!$G$2:$G$5001,A1167,Apparitions!$E$2:$E$5001,"○"))</f>
        <v/>
      </c>
      <c r="K1167" s="29" t="str">
        <f aca="false">IF(A1167="","",IFERROR(1/(1/_xlfn.MINIFS(Apparitions!$L$2:$L$5001,Apparitions!$G$2:$G$5001,A1167)),""))</f>
        <v/>
      </c>
      <c r="L1167" s="27" t="str">
        <f aca="false">IF(A1167="","",A1167&amp;" | "&amp;B1167&amp;IF(C1167="",""," ("&amp;C1167&amp;")")&amp;IF(D1167="",""," - "&amp;D1167))</f>
        <v/>
      </c>
    </row>
    <row r="1168" customFormat="false" ht="15" hidden="false" customHeight="false" outlineLevel="0" collapsed="false">
      <c r="A1168" s="32"/>
      <c r="B1168" s="19"/>
      <c r="C1168" s="19"/>
      <c r="D1168" s="19"/>
      <c r="E1168" s="21"/>
      <c r="F1168" s="19"/>
      <c r="G1168" s="27" t="str">
        <f aca="false">IF(B1168="","",IFERROR(INDEX(Jeux!$C$2:$C$3001,MATCH(B1168,Jeux!$A$2:$A$3001,0))&amp;"","⚠ jeu inconnu"))</f>
        <v/>
      </c>
      <c r="H1168" s="27" t="str">
        <f aca="false">IF(B1168="","",IFERROR(INDEX(Jeux!$D$2:$D$3001,MATCH(B1168,Jeux!$A$2:$A$3001,0))&amp;"",""))</f>
        <v/>
      </c>
      <c r="I1168" s="26" t="str">
        <f aca="false">IF(A1168="","",COUNTIF(Apparitions!$G$2:$G$5001,A1168))</f>
        <v/>
      </c>
      <c r="J1168" s="26" t="str">
        <f aca="false">IF(A1168="","",COUNTIFS(Apparitions!$G$2:$G$5001,A1168,Apparitions!$E$2:$E$5001,"○"))</f>
        <v/>
      </c>
      <c r="K1168" s="29" t="str">
        <f aca="false">IF(A1168="","",IFERROR(1/(1/_xlfn.MINIFS(Apparitions!$L$2:$L$5001,Apparitions!$G$2:$G$5001,A1168)),""))</f>
        <v/>
      </c>
      <c r="L1168" s="27" t="str">
        <f aca="false">IF(A1168="","",A1168&amp;" | "&amp;B1168&amp;IF(C1168="",""," ("&amp;C1168&amp;")")&amp;IF(D1168="",""," - "&amp;D1168))</f>
        <v/>
      </c>
    </row>
    <row r="1169" customFormat="false" ht="15" hidden="false" customHeight="false" outlineLevel="0" collapsed="false">
      <c r="A1169" s="32"/>
      <c r="B1169" s="19"/>
      <c r="C1169" s="19"/>
      <c r="D1169" s="19"/>
      <c r="E1169" s="21"/>
      <c r="F1169" s="19"/>
      <c r="G1169" s="27" t="str">
        <f aca="false">IF(B1169="","",IFERROR(INDEX(Jeux!$C$2:$C$3001,MATCH(B1169,Jeux!$A$2:$A$3001,0))&amp;"","⚠ jeu inconnu"))</f>
        <v/>
      </c>
      <c r="H1169" s="27" t="str">
        <f aca="false">IF(B1169="","",IFERROR(INDEX(Jeux!$D$2:$D$3001,MATCH(B1169,Jeux!$A$2:$A$3001,0))&amp;"",""))</f>
        <v/>
      </c>
      <c r="I1169" s="26" t="str">
        <f aca="false">IF(A1169="","",COUNTIF(Apparitions!$G$2:$G$5001,A1169))</f>
        <v/>
      </c>
      <c r="J1169" s="26" t="str">
        <f aca="false">IF(A1169="","",COUNTIFS(Apparitions!$G$2:$G$5001,A1169,Apparitions!$E$2:$E$5001,"○"))</f>
        <v/>
      </c>
      <c r="K1169" s="29" t="str">
        <f aca="false">IF(A1169="","",IFERROR(1/(1/_xlfn.MINIFS(Apparitions!$L$2:$L$5001,Apparitions!$G$2:$G$5001,A1169)),""))</f>
        <v/>
      </c>
      <c r="L1169" s="27" t="str">
        <f aca="false">IF(A1169="","",A1169&amp;" | "&amp;B1169&amp;IF(C1169="",""," ("&amp;C1169&amp;")")&amp;IF(D1169="",""," - "&amp;D1169))</f>
        <v/>
      </c>
    </row>
    <row r="1170" customFormat="false" ht="15" hidden="false" customHeight="false" outlineLevel="0" collapsed="false">
      <c r="A1170" s="32"/>
      <c r="B1170" s="19"/>
      <c r="C1170" s="19"/>
      <c r="D1170" s="19"/>
      <c r="E1170" s="21"/>
      <c r="F1170" s="19"/>
      <c r="G1170" s="27" t="str">
        <f aca="false">IF(B1170="","",IFERROR(INDEX(Jeux!$C$2:$C$3001,MATCH(B1170,Jeux!$A$2:$A$3001,0))&amp;"","⚠ jeu inconnu"))</f>
        <v/>
      </c>
      <c r="H1170" s="27" t="str">
        <f aca="false">IF(B1170="","",IFERROR(INDEX(Jeux!$D$2:$D$3001,MATCH(B1170,Jeux!$A$2:$A$3001,0))&amp;"",""))</f>
        <v/>
      </c>
      <c r="I1170" s="26" t="str">
        <f aca="false">IF(A1170="","",COUNTIF(Apparitions!$G$2:$G$5001,A1170))</f>
        <v/>
      </c>
      <c r="J1170" s="26" t="str">
        <f aca="false">IF(A1170="","",COUNTIFS(Apparitions!$G$2:$G$5001,A1170,Apparitions!$E$2:$E$5001,"○"))</f>
        <v/>
      </c>
      <c r="K1170" s="29" t="str">
        <f aca="false">IF(A1170="","",IFERROR(1/(1/_xlfn.MINIFS(Apparitions!$L$2:$L$5001,Apparitions!$G$2:$G$5001,A1170)),""))</f>
        <v/>
      </c>
      <c r="L1170" s="27" t="str">
        <f aca="false">IF(A1170="","",A1170&amp;" | "&amp;B1170&amp;IF(C1170="",""," ("&amp;C1170&amp;")")&amp;IF(D1170="",""," - "&amp;D1170))</f>
        <v/>
      </c>
    </row>
    <row r="1171" customFormat="false" ht="15" hidden="false" customHeight="false" outlineLevel="0" collapsed="false">
      <c r="A1171" s="32"/>
      <c r="B1171" s="19"/>
      <c r="C1171" s="19"/>
      <c r="D1171" s="19"/>
      <c r="E1171" s="21"/>
      <c r="F1171" s="19"/>
      <c r="G1171" s="27" t="str">
        <f aca="false">IF(B1171="","",IFERROR(INDEX(Jeux!$C$2:$C$3001,MATCH(B1171,Jeux!$A$2:$A$3001,0))&amp;"","⚠ jeu inconnu"))</f>
        <v/>
      </c>
      <c r="H1171" s="27" t="str">
        <f aca="false">IF(B1171="","",IFERROR(INDEX(Jeux!$D$2:$D$3001,MATCH(B1171,Jeux!$A$2:$A$3001,0))&amp;"",""))</f>
        <v/>
      </c>
      <c r="I1171" s="26" t="str">
        <f aca="false">IF(A1171="","",COUNTIF(Apparitions!$G$2:$G$5001,A1171))</f>
        <v/>
      </c>
      <c r="J1171" s="26" t="str">
        <f aca="false">IF(A1171="","",COUNTIFS(Apparitions!$G$2:$G$5001,A1171,Apparitions!$E$2:$E$5001,"○"))</f>
        <v/>
      </c>
      <c r="K1171" s="29" t="str">
        <f aca="false">IF(A1171="","",IFERROR(1/(1/_xlfn.MINIFS(Apparitions!$L$2:$L$5001,Apparitions!$G$2:$G$5001,A1171)),""))</f>
        <v/>
      </c>
      <c r="L1171" s="27" t="str">
        <f aca="false">IF(A1171="","",A1171&amp;" | "&amp;B1171&amp;IF(C1171="",""," ("&amp;C1171&amp;")")&amp;IF(D1171="",""," - "&amp;D1171))</f>
        <v/>
      </c>
    </row>
    <row r="1172" customFormat="false" ht="15" hidden="false" customHeight="false" outlineLevel="0" collapsed="false">
      <c r="A1172" s="32"/>
      <c r="B1172" s="19"/>
      <c r="C1172" s="19"/>
      <c r="D1172" s="19"/>
      <c r="E1172" s="21"/>
      <c r="F1172" s="19"/>
      <c r="G1172" s="27" t="str">
        <f aca="false">IF(B1172="","",IFERROR(INDEX(Jeux!$C$2:$C$3001,MATCH(B1172,Jeux!$A$2:$A$3001,0))&amp;"","⚠ jeu inconnu"))</f>
        <v/>
      </c>
      <c r="H1172" s="27" t="str">
        <f aca="false">IF(B1172="","",IFERROR(INDEX(Jeux!$D$2:$D$3001,MATCH(B1172,Jeux!$A$2:$A$3001,0))&amp;"",""))</f>
        <v/>
      </c>
      <c r="I1172" s="26" t="str">
        <f aca="false">IF(A1172="","",COUNTIF(Apparitions!$G$2:$G$5001,A1172))</f>
        <v/>
      </c>
      <c r="J1172" s="26" t="str">
        <f aca="false">IF(A1172="","",COUNTIFS(Apparitions!$G$2:$G$5001,A1172,Apparitions!$E$2:$E$5001,"○"))</f>
        <v/>
      </c>
      <c r="K1172" s="29" t="str">
        <f aca="false">IF(A1172="","",IFERROR(1/(1/_xlfn.MINIFS(Apparitions!$L$2:$L$5001,Apparitions!$G$2:$G$5001,A1172)),""))</f>
        <v/>
      </c>
      <c r="L1172" s="27" t="str">
        <f aca="false">IF(A1172="","",A1172&amp;" | "&amp;B1172&amp;IF(C1172="",""," ("&amp;C1172&amp;")")&amp;IF(D1172="",""," - "&amp;D1172))</f>
        <v/>
      </c>
    </row>
    <row r="1173" customFormat="false" ht="15" hidden="false" customHeight="false" outlineLevel="0" collapsed="false">
      <c r="A1173" s="32"/>
      <c r="B1173" s="19"/>
      <c r="C1173" s="19"/>
      <c r="D1173" s="19"/>
      <c r="E1173" s="21"/>
      <c r="F1173" s="19"/>
      <c r="G1173" s="27" t="str">
        <f aca="false">IF(B1173="","",IFERROR(INDEX(Jeux!$C$2:$C$3001,MATCH(B1173,Jeux!$A$2:$A$3001,0))&amp;"","⚠ jeu inconnu"))</f>
        <v/>
      </c>
      <c r="H1173" s="27" t="str">
        <f aca="false">IF(B1173="","",IFERROR(INDEX(Jeux!$D$2:$D$3001,MATCH(B1173,Jeux!$A$2:$A$3001,0))&amp;"",""))</f>
        <v/>
      </c>
      <c r="I1173" s="26" t="str">
        <f aca="false">IF(A1173="","",COUNTIF(Apparitions!$G$2:$G$5001,A1173))</f>
        <v/>
      </c>
      <c r="J1173" s="26" t="str">
        <f aca="false">IF(A1173="","",COUNTIFS(Apparitions!$G$2:$G$5001,A1173,Apparitions!$E$2:$E$5001,"○"))</f>
        <v/>
      </c>
      <c r="K1173" s="29" t="str">
        <f aca="false">IF(A1173="","",IFERROR(1/(1/_xlfn.MINIFS(Apparitions!$L$2:$L$5001,Apparitions!$G$2:$G$5001,A1173)),""))</f>
        <v/>
      </c>
      <c r="L1173" s="27" t="str">
        <f aca="false">IF(A1173="","",A1173&amp;" | "&amp;B1173&amp;IF(C1173="",""," ("&amp;C1173&amp;")")&amp;IF(D1173="",""," - "&amp;D1173))</f>
        <v/>
      </c>
    </row>
    <row r="1174" customFormat="false" ht="15" hidden="false" customHeight="false" outlineLevel="0" collapsed="false">
      <c r="A1174" s="32"/>
      <c r="B1174" s="19"/>
      <c r="C1174" s="19"/>
      <c r="D1174" s="19"/>
      <c r="E1174" s="21"/>
      <c r="F1174" s="19"/>
      <c r="G1174" s="27" t="str">
        <f aca="false">IF(B1174="","",IFERROR(INDEX(Jeux!$C$2:$C$3001,MATCH(B1174,Jeux!$A$2:$A$3001,0))&amp;"","⚠ jeu inconnu"))</f>
        <v/>
      </c>
      <c r="H1174" s="27" t="str">
        <f aca="false">IF(B1174="","",IFERROR(INDEX(Jeux!$D$2:$D$3001,MATCH(B1174,Jeux!$A$2:$A$3001,0))&amp;"",""))</f>
        <v/>
      </c>
      <c r="I1174" s="26" t="str">
        <f aca="false">IF(A1174="","",COUNTIF(Apparitions!$G$2:$G$5001,A1174))</f>
        <v/>
      </c>
      <c r="J1174" s="26" t="str">
        <f aca="false">IF(A1174="","",COUNTIFS(Apparitions!$G$2:$G$5001,A1174,Apparitions!$E$2:$E$5001,"○"))</f>
        <v/>
      </c>
      <c r="K1174" s="29" t="str">
        <f aca="false">IF(A1174="","",IFERROR(1/(1/_xlfn.MINIFS(Apparitions!$L$2:$L$5001,Apparitions!$G$2:$G$5001,A1174)),""))</f>
        <v/>
      </c>
      <c r="L1174" s="27" t="str">
        <f aca="false">IF(A1174="","",A1174&amp;" | "&amp;B1174&amp;IF(C1174="",""," ("&amp;C1174&amp;")")&amp;IF(D1174="",""," - "&amp;D1174))</f>
        <v/>
      </c>
    </row>
    <row r="1175" customFormat="false" ht="15" hidden="false" customHeight="false" outlineLevel="0" collapsed="false">
      <c r="A1175" s="32"/>
      <c r="B1175" s="19"/>
      <c r="C1175" s="19"/>
      <c r="D1175" s="19"/>
      <c r="E1175" s="21"/>
      <c r="F1175" s="19"/>
      <c r="G1175" s="27" t="str">
        <f aca="false">IF(B1175="","",IFERROR(INDEX(Jeux!$C$2:$C$3001,MATCH(B1175,Jeux!$A$2:$A$3001,0))&amp;"","⚠ jeu inconnu"))</f>
        <v/>
      </c>
      <c r="H1175" s="27" t="str">
        <f aca="false">IF(B1175="","",IFERROR(INDEX(Jeux!$D$2:$D$3001,MATCH(B1175,Jeux!$A$2:$A$3001,0))&amp;"",""))</f>
        <v/>
      </c>
      <c r="I1175" s="26" t="str">
        <f aca="false">IF(A1175="","",COUNTIF(Apparitions!$G$2:$G$5001,A1175))</f>
        <v/>
      </c>
      <c r="J1175" s="26" t="str">
        <f aca="false">IF(A1175="","",COUNTIFS(Apparitions!$G$2:$G$5001,A1175,Apparitions!$E$2:$E$5001,"○"))</f>
        <v/>
      </c>
      <c r="K1175" s="29" t="str">
        <f aca="false">IF(A1175="","",IFERROR(1/(1/_xlfn.MINIFS(Apparitions!$L$2:$L$5001,Apparitions!$G$2:$G$5001,A1175)),""))</f>
        <v/>
      </c>
      <c r="L1175" s="27" t="str">
        <f aca="false">IF(A1175="","",A1175&amp;" | "&amp;B1175&amp;IF(C1175="",""," ("&amp;C1175&amp;")")&amp;IF(D1175="",""," - "&amp;D1175))</f>
        <v/>
      </c>
    </row>
    <row r="1176" customFormat="false" ht="15" hidden="false" customHeight="false" outlineLevel="0" collapsed="false">
      <c r="A1176" s="32"/>
      <c r="B1176" s="19"/>
      <c r="C1176" s="19"/>
      <c r="D1176" s="19"/>
      <c r="E1176" s="21"/>
      <c r="F1176" s="19"/>
      <c r="G1176" s="27" t="str">
        <f aca="false">IF(B1176="","",IFERROR(INDEX(Jeux!$C$2:$C$3001,MATCH(B1176,Jeux!$A$2:$A$3001,0))&amp;"","⚠ jeu inconnu"))</f>
        <v/>
      </c>
      <c r="H1176" s="27" t="str">
        <f aca="false">IF(B1176="","",IFERROR(INDEX(Jeux!$D$2:$D$3001,MATCH(B1176,Jeux!$A$2:$A$3001,0))&amp;"",""))</f>
        <v/>
      </c>
      <c r="I1176" s="26" t="str">
        <f aca="false">IF(A1176="","",COUNTIF(Apparitions!$G$2:$G$5001,A1176))</f>
        <v/>
      </c>
      <c r="J1176" s="26" t="str">
        <f aca="false">IF(A1176="","",COUNTIFS(Apparitions!$G$2:$G$5001,A1176,Apparitions!$E$2:$E$5001,"○"))</f>
        <v/>
      </c>
      <c r="K1176" s="29" t="str">
        <f aca="false">IF(A1176="","",IFERROR(1/(1/_xlfn.MINIFS(Apparitions!$L$2:$L$5001,Apparitions!$G$2:$G$5001,A1176)),""))</f>
        <v/>
      </c>
      <c r="L1176" s="27" t="str">
        <f aca="false">IF(A1176="","",A1176&amp;" | "&amp;B1176&amp;IF(C1176="",""," ("&amp;C1176&amp;")")&amp;IF(D1176="",""," - "&amp;D1176))</f>
        <v/>
      </c>
    </row>
    <row r="1177" customFormat="false" ht="15" hidden="false" customHeight="false" outlineLevel="0" collapsed="false">
      <c r="A1177" s="32"/>
      <c r="B1177" s="19"/>
      <c r="C1177" s="19"/>
      <c r="D1177" s="19"/>
      <c r="E1177" s="21"/>
      <c r="F1177" s="19"/>
      <c r="G1177" s="27" t="str">
        <f aca="false">IF(B1177="","",IFERROR(INDEX(Jeux!$C$2:$C$3001,MATCH(B1177,Jeux!$A$2:$A$3001,0))&amp;"","⚠ jeu inconnu"))</f>
        <v/>
      </c>
      <c r="H1177" s="27" t="str">
        <f aca="false">IF(B1177="","",IFERROR(INDEX(Jeux!$D$2:$D$3001,MATCH(B1177,Jeux!$A$2:$A$3001,0))&amp;"",""))</f>
        <v/>
      </c>
      <c r="I1177" s="26" t="str">
        <f aca="false">IF(A1177="","",COUNTIF(Apparitions!$G$2:$G$5001,A1177))</f>
        <v/>
      </c>
      <c r="J1177" s="26" t="str">
        <f aca="false">IF(A1177="","",COUNTIFS(Apparitions!$G$2:$G$5001,A1177,Apparitions!$E$2:$E$5001,"○"))</f>
        <v/>
      </c>
      <c r="K1177" s="29" t="str">
        <f aca="false">IF(A1177="","",IFERROR(1/(1/_xlfn.MINIFS(Apparitions!$L$2:$L$5001,Apparitions!$G$2:$G$5001,A1177)),""))</f>
        <v/>
      </c>
      <c r="L1177" s="27" t="str">
        <f aca="false">IF(A1177="","",A1177&amp;" | "&amp;B1177&amp;IF(C1177="",""," ("&amp;C1177&amp;")")&amp;IF(D1177="",""," - "&amp;D1177))</f>
        <v/>
      </c>
    </row>
    <row r="1178" customFormat="false" ht="15" hidden="false" customHeight="false" outlineLevel="0" collapsed="false">
      <c r="A1178" s="32"/>
      <c r="B1178" s="19"/>
      <c r="C1178" s="19"/>
      <c r="D1178" s="19"/>
      <c r="E1178" s="21"/>
      <c r="F1178" s="19"/>
      <c r="G1178" s="27" t="str">
        <f aca="false">IF(B1178="","",IFERROR(INDEX(Jeux!$C$2:$C$3001,MATCH(B1178,Jeux!$A$2:$A$3001,0))&amp;"","⚠ jeu inconnu"))</f>
        <v/>
      </c>
      <c r="H1178" s="27" t="str">
        <f aca="false">IF(B1178="","",IFERROR(INDEX(Jeux!$D$2:$D$3001,MATCH(B1178,Jeux!$A$2:$A$3001,0))&amp;"",""))</f>
        <v/>
      </c>
      <c r="I1178" s="26" t="str">
        <f aca="false">IF(A1178="","",COUNTIF(Apparitions!$G$2:$G$5001,A1178))</f>
        <v/>
      </c>
      <c r="J1178" s="26" t="str">
        <f aca="false">IF(A1178="","",COUNTIFS(Apparitions!$G$2:$G$5001,A1178,Apparitions!$E$2:$E$5001,"○"))</f>
        <v/>
      </c>
      <c r="K1178" s="29" t="str">
        <f aca="false">IF(A1178="","",IFERROR(1/(1/_xlfn.MINIFS(Apparitions!$L$2:$L$5001,Apparitions!$G$2:$G$5001,A1178)),""))</f>
        <v/>
      </c>
      <c r="L1178" s="27" t="str">
        <f aca="false">IF(A1178="","",A1178&amp;" | "&amp;B1178&amp;IF(C1178="",""," ("&amp;C1178&amp;")")&amp;IF(D1178="",""," - "&amp;D1178))</f>
        <v/>
      </c>
    </row>
    <row r="1179" customFormat="false" ht="15" hidden="false" customHeight="false" outlineLevel="0" collapsed="false">
      <c r="A1179" s="32"/>
      <c r="B1179" s="19"/>
      <c r="C1179" s="19"/>
      <c r="D1179" s="19"/>
      <c r="E1179" s="21"/>
      <c r="F1179" s="19"/>
      <c r="G1179" s="27" t="str">
        <f aca="false">IF(B1179="","",IFERROR(INDEX(Jeux!$C$2:$C$3001,MATCH(B1179,Jeux!$A$2:$A$3001,0))&amp;"","⚠ jeu inconnu"))</f>
        <v/>
      </c>
      <c r="H1179" s="27" t="str">
        <f aca="false">IF(B1179="","",IFERROR(INDEX(Jeux!$D$2:$D$3001,MATCH(B1179,Jeux!$A$2:$A$3001,0))&amp;"",""))</f>
        <v/>
      </c>
      <c r="I1179" s="26" t="str">
        <f aca="false">IF(A1179="","",COUNTIF(Apparitions!$G$2:$G$5001,A1179))</f>
        <v/>
      </c>
      <c r="J1179" s="26" t="str">
        <f aca="false">IF(A1179="","",COUNTIFS(Apparitions!$G$2:$G$5001,A1179,Apparitions!$E$2:$E$5001,"○"))</f>
        <v/>
      </c>
      <c r="K1179" s="29" t="str">
        <f aca="false">IF(A1179="","",IFERROR(1/(1/_xlfn.MINIFS(Apparitions!$L$2:$L$5001,Apparitions!$G$2:$G$5001,A1179)),""))</f>
        <v/>
      </c>
      <c r="L1179" s="27" t="str">
        <f aca="false">IF(A1179="","",A1179&amp;" | "&amp;B1179&amp;IF(C1179="",""," ("&amp;C1179&amp;")")&amp;IF(D1179="",""," - "&amp;D1179))</f>
        <v/>
      </c>
    </row>
    <row r="1180" customFormat="false" ht="15" hidden="false" customHeight="false" outlineLevel="0" collapsed="false">
      <c r="A1180" s="32"/>
      <c r="B1180" s="19"/>
      <c r="C1180" s="19"/>
      <c r="D1180" s="19"/>
      <c r="E1180" s="21"/>
      <c r="F1180" s="19"/>
      <c r="G1180" s="27" t="str">
        <f aca="false">IF(B1180="","",IFERROR(INDEX(Jeux!$C$2:$C$3001,MATCH(B1180,Jeux!$A$2:$A$3001,0))&amp;"","⚠ jeu inconnu"))</f>
        <v/>
      </c>
      <c r="H1180" s="27" t="str">
        <f aca="false">IF(B1180="","",IFERROR(INDEX(Jeux!$D$2:$D$3001,MATCH(B1180,Jeux!$A$2:$A$3001,0))&amp;"",""))</f>
        <v/>
      </c>
      <c r="I1180" s="26" t="str">
        <f aca="false">IF(A1180="","",COUNTIF(Apparitions!$G$2:$G$5001,A1180))</f>
        <v/>
      </c>
      <c r="J1180" s="26" t="str">
        <f aca="false">IF(A1180="","",COUNTIFS(Apparitions!$G$2:$G$5001,A1180,Apparitions!$E$2:$E$5001,"○"))</f>
        <v/>
      </c>
      <c r="K1180" s="29" t="str">
        <f aca="false">IF(A1180="","",IFERROR(1/(1/_xlfn.MINIFS(Apparitions!$L$2:$L$5001,Apparitions!$G$2:$G$5001,A1180)),""))</f>
        <v/>
      </c>
      <c r="L1180" s="27" t="str">
        <f aca="false">IF(A1180="","",A1180&amp;" | "&amp;B1180&amp;IF(C1180="",""," ("&amp;C1180&amp;")")&amp;IF(D1180="",""," - "&amp;D1180))</f>
        <v/>
      </c>
    </row>
    <row r="1181" customFormat="false" ht="15" hidden="false" customHeight="false" outlineLevel="0" collapsed="false">
      <c r="A1181" s="32"/>
      <c r="B1181" s="19"/>
      <c r="C1181" s="19"/>
      <c r="D1181" s="19"/>
      <c r="E1181" s="21"/>
      <c r="F1181" s="19"/>
      <c r="G1181" s="27" t="str">
        <f aca="false">IF(B1181="","",IFERROR(INDEX(Jeux!$C$2:$C$3001,MATCH(B1181,Jeux!$A$2:$A$3001,0))&amp;"","⚠ jeu inconnu"))</f>
        <v/>
      </c>
      <c r="H1181" s="27" t="str">
        <f aca="false">IF(B1181="","",IFERROR(INDEX(Jeux!$D$2:$D$3001,MATCH(B1181,Jeux!$A$2:$A$3001,0))&amp;"",""))</f>
        <v/>
      </c>
      <c r="I1181" s="26" t="str">
        <f aca="false">IF(A1181="","",COUNTIF(Apparitions!$G$2:$G$5001,A1181))</f>
        <v/>
      </c>
      <c r="J1181" s="26" t="str">
        <f aca="false">IF(A1181="","",COUNTIFS(Apparitions!$G$2:$G$5001,A1181,Apparitions!$E$2:$E$5001,"○"))</f>
        <v/>
      </c>
      <c r="K1181" s="29" t="str">
        <f aca="false">IF(A1181="","",IFERROR(1/(1/_xlfn.MINIFS(Apparitions!$L$2:$L$5001,Apparitions!$G$2:$G$5001,A1181)),""))</f>
        <v/>
      </c>
      <c r="L1181" s="27" t="str">
        <f aca="false">IF(A1181="","",A1181&amp;" | "&amp;B1181&amp;IF(C1181="",""," ("&amp;C1181&amp;")")&amp;IF(D1181="",""," - "&amp;D1181))</f>
        <v/>
      </c>
    </row>
    <row r="1182" customFormat="false" ht="15" hidden="false" customHeight="false" outlineLevel="0" collapsed="false">
      <c r="A1182" s="32"/>
      <c r="B1182" s="19"/>
      <c r="C1182" s="19"/>
      <c r="D1182" s="19"/>
      <c r="E1182" s="21"/>
      <c r="F1182" s="19"/>
      <c r="G1182" s="27" t="str">
        <f aca="false">IF(B1182="","",IFERROR(INDEX(Jeux!$C$2:$C$3001,MATCH(B1182,Jeux!$A$2:$A$3001,0))&amp;"","⚠ jeu inconnu"))</f>
        <v/>
      </c>
      <c r="H1182" s="27" t="str">
        <f aca="false">IF(B1182="","",IFERROR(INDEX(Jeux!$D$2:$D$3001,MATCH(B1182,Jeux!$A$2:$A$3001,0))&amp;"",""))</f>
        <v/>
      </c>
      <c r="I1182" s="26" t="str">
        <f aca="false">IF(A1182="","",COUNTIF(Apparitions!$G$2:$G$5001,A1182))</f>
        <v/>
      </c>
      <c r="J1182" s="26" t="str">
        <f aca="false">IF(A1182="","",COUNTIFS(Apparitions!$G$2:$G$5001,A1182,Apparitions!$E$2:$E$5001,"○"))</f>
        <v/>
      </c>
      <c r="K1182" s="29" t="str">
        <f aca="false">IF(A1182="","",IFERROR(1/(1/_xlfn.MINIFS(Apparitions!$L$2:$L$5001,Apparitions!$G$2:$G$5001,A1182)),""))</f>
        <v/>
      </c>
      <c r="L1182" s="27" t="str">
        <f aca="false">IF(A1182="","",A1182&amp;" | "&amp;B1182&amp;IF(C1182="",""," ("&amp;C1182&amp;")")&amp;IF(D1182="",""," - "&amp;D1182))</f>
        <v/>
      </c>
    </row>
    <row r="1183" customFormat="false" ht="15" hidden="false" customHeight="false" outlineLevel="0" collapsed="false">
      <c r="A1183" s="32"/>
      <c r="B1183" s="19"/>
      <c r="C1183" s="19"/>
      <c r="D1183" s="19"/>
      <c r="E1183" s="21"/>
      <c r="F1183" s="19"/>
      <c r="G1183" s="27" t="str">
        <f aca="false">IF(B1183="","",IFERROR(INDEX(Jeux!$C$2:$C$3001,MATCH(B1183,Jeux!$A$2:$A$3001,0))&amp;"","⚠ jeu inconnu"))</f>
        <v/>
      </c>
      <c r="H1183" s="27" t="str">
        <f aca="false">IF(B1183="","",IFERROR(INDEX(Jeux!$D$2:$D$3001,MATCH(B1183,Jeux!$A$2:$A$3001,0))&amp;"",""))</f>
        <v/>
      </c>
      <c r="I1183" s="26" t="str">
        <f aca="false">IF(A1183="","",COUNTIF(Apparitions!$G$2:$G$5001,A1183))</f>
        <v/>
      </c>
      <c r="J1183" s="26" t="str">
        <f aca="false">IF(A1183="","",COUNTIFS(Apparitions!$G$2:$G$5001,A1183,Apparitions!$E$2:$E$5001,"○"))</f>
        <v/>
      </c>
      <c r="K1183" s="29" t="str">
        <f aca="false">IF(A1183="","",IFERROR(1/(1/_xlfn.MINIFS(Apparitions!$L$2:$L$5001,Apparitions!$G$2:$G$5001,A1183)),""))</f>
        <v/>
      </c>
      <c r="L1183" s="27" t="str">
        <f aca="false">IF(A1183="","",A1183&amp;" | "&amp;B1183&amp;IF(C1183="",""," ("&amp;C1183&amp;")")&amp;IF(D1183="",""," - "&amp;D1183))</f>
        <v/>
      </c>
    </row>
    <row r="1184" customFormat="false" ht="15" hidden="false" customHeight="false" outlineLevel="0" collapsed="false">
      <c r="A1184" s="32"/>
      <c r="B1184" s="19"/>
      <c r="C1184" s="19"/>
      <c r="D1184" s="19"/>
      <c r="E1184" s="21"/>
      <c r="F1184" s="19"/>
      <c r="G1184" s="27" t="str">
        <f aca="false">IF(B1184="","",IFERROR(INDEX(Jeux!$C$2:$C$3001,MATCH(B1184,Jeux!$A$2:$A$3001,0))&amp;"","⚠ jeu inconnu"))</f>
        <v/>
      </c>
      <c r="H1184" s="27" t="str">
        <f aca="false">IF(B1184="","",IFERROR(INDEX(Jeux!$D$2:$D$3001,MATCH(B1184,Jeux!$A$2:$A$3001,0))&amp;"",""))</f>
        <v/>
      </c>
      <c r="I1184" s="26" t="str">
        <f aca="false">IF(A1184="","",COUNTIF(Apparitions!$G$2:$G$5001,A1184))</f>
        <v/>
      </c>
      <c r="J1184" s="26" t="str">
        <f aca="false">IF(A1184="","",COUNTIFS(Apparitions!$G$2:$G$5001,A1184,Apparitions!$E$2:$E$5001,"○"))</f>
        <v/>
      </c>
      <c r="K1184" s="29" t="str">
        <f aca="false">IF(A1184="","",IFERROR(1/(1/_xlfn.MINIFS(Apparitions!$L$2:$L$5001,Apparitions!$G$2:$G$5001,A1184)),""))</f>
        <v/>
      </c>
      <c r="L1184" s="27" t="str">
        <f aca="false">IF(A1184="","",A1184&amp;" | "&amp;B1184&amp;IF(C1184="",""," ("&amp;C1184&amp;")")&amp;IF(D1184="",""," - "&amp;D1184))</f>
        <v/>
      </c>
    </row>
    <row r="1185" customFormat="false" ht="15" hidden="false" customHeight="false" outlineLevel="0" collapsed="false">
      <c r="A1185" s="32"/>
      <c r="B1185" s="19"/>
      <c r="C1185" s="19"/>
      <c r="D1185" s="19"/>
      <c r="E1185" s="21"/>
      <c r="F1185" s="19"/>
      <c r="G1185" s="27" t="str">
        <f aca="false">IF(B1185="","",IFERROR(INDEX(Jeux!$C$2:$C$3001,MATCH(B1185,Jeux!$A$2:$A$3001,0))&amp;"","⚠ jeu inconnu"))</f>
        <v/>
      </c>
      <c r="H1185" s="27" t="str">
        <f aca="false">IF(B1185="","",IFERROR(INDEX(Jeux!$D$2:$D$3001,MATCH(B1185,Jeux!$A$2:$A$3001,0))&amp;"",""))</f>
        <v/>
      </c>
      <c r="I1185" s="26" t="str">
        <f aca="false">IF(A1185="","",COUNTIF(Apparitions!$G$2:$G$5001,A1185))</f>
        <v/>
      </c>
      <c r="J1185" s="26" t="str">
        <f aca="false">IF(A1185="","",COUNTIFS(Apparitions!$G$2:$G$5001,A1185,Apparitions!$E$2:$E$5001,"○"))</f>
        <v/>
      </c>
      <c r="K1185" s="29" t="str">
        <f aca="false">IF(A1185="","",IFERROR(1/(1/_xlfn.MINIFS(Apparitions!$L$2:$L$5001,Apparitions!$G$2:$G$5001,A1185)),""))</f>
        <v/>
      </c>
      <c r="L1185" s="27" t="str">
        <f aca="false">IF(A1185="","",A1185&amp;" | "&amp;B1185&amp;IF(C1185="",""," ("&amp;C1185&amp;")")&amp;IF(D1185="",""," - "&amp;D1185))</f>
        <v/>
      </c>
    </row>
    <row r="1186" customFormat="false" ht="15" hidden="false" customHeight="false" outlineLevel="0" collapsed="false">
      <c r="A1186" s="32"/>
      <c r="B1186" s="19"/>
      <c r="C1186" s="19"/>
      <c r="D1186" s="19"/>
      <c r="E1186" s="21"/>
      <c r="F1186" s="19"/>
      <c r="G1186" s="27" t="str">
        <f aca="false">IF(B1186="","",IFERROR(INDEX(Jeux!$C$2:$C$3001,MATCH(B1186,Jeux!$A$2:$A$3001,0))&amp;"","⚠ jeu inconnu"))</f>
        <v/>
      </c>
      <c r="H1186" s="27" t="str">
        <f aca="false">IF(B1186="","",IFERROR(INDEX(Jeux!$D$2:$D$3001,MATCH(B1186,Jeux!$A$2:$A$3001,0))&amp;"",""))</f>
        <v/>
      </c>
      <c r="I1186" s="26" t="str">
        <f aca="false">IF(A1186="","",COUNTIF(Apparitions!$G$2:$G$5001,A1186))</f>
        <v/>
      </c>
      <c r="J1186" s="26" t="str">
        <f aca="false">IF(A1186="","",COUNTIFS(Apparitions!$G$2:$G$5001,A1186,Apparitions!$E$2:$E$5001,"○"))</f>
        <v/>
      </c>
      <c r="K1186" s="29" t="str">
        <f aca="false">IF(A1186="","",IFERROR(1/(1/_xlfn.MINIFS(Apparitions!$L$2:$L$5001,Apparitions!$G$2:$G$5001,A1186)),""))</f>
        <v/>
      </c>
      <c r="L1186" s="27" t="str">
        <f aca="false">IF(A1186="","",A1186&amp;" | "&amp;B1186&amp;IF(C1186="",""," ("&amp;C1186&amp;")")&amp;IF(D1186="",""," - "&amp;D1186))</f>
        <v/>
      </c>
    </row>
    <row r="1187" customFormat="false" ht="15" hidden="false" customHeight="false" outlineLevel="0" collapsed="false">
      <c r="A1187" s="32"/>
      <c r="B1187" s="19"/>
      <c r="C1187" s="19"/>
      <c r="D1187" s="19"/>
      <c r="E1187" s="21"/>
      <c r="F1187" s="19"/>
      <c r="G1187" s="27" t="str">
        <f aca="false">IF(B1187="","",IFERROR(INDEX(Jeux!$C$2:$C$3001,MATCH(B1187,Jeux!$A$2:$A$3001,0))&amp;"","⚠ jeu inconnu"))</f>
        <v/>
      </c>
      <c r="H1187" s="27" t="str">
        <f aca="false">IF(B1187="","",IFERROR(INDEX(Jeux!$D$2:$D$3001,MATCH(B1187,Jeux!$A$2:$A$3001,0))&amp;"",""))</f>
        <v/>
      </c>
      <c r="I1187" s="26" t="str">
        <f aca="false">IF(A1187="","",COUNTIF(Apparitions!$G$2:$G$5001,A1187))</f>
        <v/>
      </c>
      <c r="J1187" s="26" t="str">
        <f aca="false">IF(A1187="","",COUNTIFS(Apparitions!$G$2:$G$5001,A1187,Apparitions!$E$2:$E$5001,"○"))</f>
        <v/>
      </c>
      <c r="K1187" s="29" t="str">
        <f aca="false">IF(A1187="","",IFERROR(1/(1/_xlfn.MINIFS(Apparitions!$L$2:$L$5001,Apparitions!$G$2:$G$5001,A1187)),""))</f>
        <v/>
      </c>
      <c r="L1187" s="27" t="str">
        <f aca="false">IF(A1187="","",A1187&amp;" | "&amp;B1187&amp;IF(C1187="",""," ("&amp;C1187&amp;")")&amp;IF(D1187="",""," - "&amp;D1187))</f>
        <v/>
      </c>
    </row>
    <row r="1188" customFormat="false" ht="15" hidden="false" customHeight="false" outlineLevel="0" collapsed="false">
      <c r="A1188" s="32"/>
      <c r="B1188" s="19"/>
      <c r="C1188" s="19"/>
      <c r="D1188" s="19"/>
      <c r="E1188" s="21"/>
      <c r="F1188" s="19"/>
      <c r="G1188" s="27" t="str">
        <f aca="false">IF(B1188="","",IFERROR(INDEX(Jeux!$C$2:$C$3001,MATCH(B1188,Jeux!$A$2:$A$3001,0))&amp;"","⚠ jeu inconnu"))</f>
        <v/>
      </c>
      <c r="H1188" s="27" t="str">
        <f aca="false">IF(B1188="","",IFERROR(INDEX(Jeux!$D$2:$D$3001,MATCH(B1188,Jeux!$A$2:$A$3001,0))&amp;"",""))</f>
        <v/>
      </c>
      <c r="I1188" s="26" t="str">
        <f aca="false">IF(A1188="","",COUNTIF(Apparitions!$G$2:$G$5001,A1188))</f>
        <v/>
      </c>
      <c r="J1188" s="26" t="str">
        <f aca="false">IF(A1188="","",COUNTIFS(Apparitions!$G$2:$G$5001,A1188,Apparitions!$E$2:$E$5001,"○"))</f>
        <v/>
      </c>
      <c r="K1188" s="29" t="str">
        <f aca="false">IF(A1188="","",IFERROR(1/(1/_xlfn.MINIFS(Apparitions!$L$2:$L$5001,Apparitions!$G$2:$G$5001,A1188)),""))</f>
        <v/>
      </c>
      <c r="L1188" s="27" t="str">
        <f aca="false">IF(A1188="","",A1188&amp;" | "&amp;B1188&amp;IF(C1188="",""," ("&amp;C1188&amp;")")&amp;IF(D1188="",""," - "&amp;D1188))</f>
        <v/>
      </c>
    </row>
    <row r="1189" customFormat="false" ht="15" hidden="false" customHeight="false" outlineLevel="0" collapsed="false">
      <c r="A1189" s="32"/>
      <c r="B1189" s="19"/>
      <c r="C1189" s="19"/>
      <c r="D1189" s="19"/>
      <c r="E1189" s="21"/>
      <c r="F1189" s="19"/>
      <c r="G1189" s="27" t="str">
        <f aca="false">IF(B1189="","",IFERROR(INDEX(Jeux!$C$2:$C$3001,MATCH(B1189,Jeux!$A$2:$A$3001,0))&amp;"","⚠ jeu inconnu"))</f>
        <v/>
      </c>
      <c r="H1189" s="27" t="str">
        <f aca="false">IF(B1189="","",IFERROR(INDEX(Jeux!$D$2:$D$3001,MATCH(B1189,Jeux!$A$2:$A$3001,0))&amp;"",""))</f>
        <v/>
      </c>
      <c r="I1189" s="26" t="str">
        <f aca="false">IF(A1189="","",COUNTIF(Apparitions!$G$2:$G$5001,A1189))</f>
        <v/>
      </c>
      <c r="J1189" s="26" t="str">
        <f aca="false">IF(A1189="","",COUNTIFS(Apparitions!$G$2:$G$5001,A1189,Apparitions!$E$2:$E$5001,"○"))</f>
        <v/>
      </c>
      <c r="K1189" s="29" t="str">
        <f aca="false">IF(A1189="","",IFERROR(1/(1/_xlfn.MINIFS(Apparitions!$L$2:$L$5001,Apparitions!$G$2:$G$5001,A1189)),""))</f>
        <v/>
      </c>
      <c r="L1189" s="27" t="str">
        <f aca="false">IF(A1189="","",A1189&amp;" | "&amp;B1189&amp;IF(C1189="",""," ("&amp;C1189&amp;")")&amp;IF(D1189="",""," - "&amp;D1189))</f>
        <v/>
      </c>
    </row>
    <row r="1190" customFormat="false" ht="15" hidden="false" customHeight="false" outlineLevel="0" collapsed="false">
      <c r="A1190" s="32"/>
      <c r="B1190" s="19"/>
      <c r="C1190" s="19"/>
      <c r="D1190" s="19"/>
      <c r="E1190" s="21"/>
      <c r="F1190" s="19"/>
      <c r="G1190" s="27" t="str">
        <f aca="false">IF(B1190="","",IFERROR(INDEX(Jeux!$C$2:$C$3001,MATCH(B1190,Jeux!$A$2:$A$3001,0))&amp;"","⚠ jeu inconnu"))</f>
        <v/>
      </c>
      <c r="H1190" s="27" t="str">
        <f aca="false">IF(B1190="","",IFERROR(INDEX(Jeux!$D$2:$D$3001,MATCH(B1190,Jeux!$A$2:$A$3001,0))&amp;"",""))</f>
        <v/>
      </c>
      <c r="I1190" s="26" t="str">
        <f aca="false">IF(A1190="","",COUNTIF(Apparitions!$G$2:$G$5001,A1190))</f>
        <v/>
      </c>
      <c r="J1190" s="26" t="str">
        <f aca="false">IF(A1190="","",COUNTIFS(Apparitions!$G$2:$G$5001,A1190,Apparitions!$E$2:$E$5001,"○"))</f>
        <v/>
      </c>
      <c r="K1190" s="29" t="str">
        <f aca="false">IF(A1190="","",IFERROR(1/(1/_xlfn.MINIFS(Apparitions!$L$2:$L$5001,Apparitions!$G$2:$G$5001,A1190)),""))</f>
        <v/>
      </c>
      <c r="L1190" s="27" t="str">
        <f aca="false">IF(A1190="","",A1190&amp;" | "&amp;B1190&amp;IF(C1190="",""," ("&amp;C1190&amp;")")&amp;IF(D1190="",""," - "&amp;D1190))</f>
        <v/>
      </c>
    </row>
    <row r="1191" customFormat="false" ht="15" hidden="false" customHeight="false" outlineLevel="0" collapsed="false">
      <c r="A1191" s="32"/>
      <c r="B1191" s="19"/>
      <c r="C1191" s="19"/>
      <c r="D1191" s="19"/>
      <c r="E1191" s="21"/>
      <c r="F1191" s="19"/>
      <c r="G1191" s="27" t="str">
        <f aca="false">IF(B1191="","",IFERROR(INDEX(Jeux!$C$2:$C$3001,MATCH(B1191,Jeux!$A$2:$A$3001,0))&amp;"","⚠ jeu inconnu"))</f>
        <v/>
      </c>
      <c r="H1191" s="27" t="str">
        <f aca="false">IF(B1191="","",IFERROR(INDEX(Jeux!$D$2:$D$3001,MATCH(B1191,Jeux!$A$2:$A$3001,0))&amp;"",""))</f>
        <v/>
      </c>
      <c r="I1191" s="26" t="str">
        <f aca="false">IF(A1191="","",COUNTIF(Apparitions!$G$2:$G$5001,A1191))</f>
        <v/>
      </c>
      <c r="J1191" s="26" t="str">
        <f aca="false">IF(A1191="","",COUNTIFS(Apparitions!$G$2:$G$5001,A1191,Apparitions!$E$2:$E$5001,"○"))</f>
        <v/>
      </c>
      <c r="K1191" s="29" t="str">
        <f aca="false">IF(A1191="","",IFERROR(1/(1/_xlfn.MINIFS(Apparitions!$L$2:$L$5001,Apparitions!$G$2:$G$5001,A1191)),""))</f>
        <v/>
      </c>
      <c r="L1191" s="27" t="str">
        <f aca="false">IF(A1191="","",A1191&amp;" | "&amp;B1191&amp;IF(C1191="",""," ("&amp;C1191&amp;")")&amp;IF(D1191="",""," - "&amp;D1191))</f>
        <v/>
      </c>
    </row>
    <row r="1192" customFormat="false" ht="15" hidden="false" customHeight="false" outlineLevel="0" collapsed="false">
      <c r="A1192" s="32"/>
      <c r="B1192" s="19"/>
      <c r="C1192" s="19"/>
      <c r="D1192" s="19"/>
      <c r="E1192" s="21"/>
      <c r="F1192" s="19"/>
      <c r="G1192" s="27" t="str">
        <f aca="false">IF(B1192="","",IFERROR(INDEX(Jeux!$C$2:$C$3001,MATCH(B1192,Jeux!$A$2:$A$3001,0))&amp;"","⚠ jeu inconnu"))</f>
        <v/>
      </c>
      <c r="H1192" s="27" t="str">
        <f aca="false">IF(B1192="","",IFERROR(INDEX(Jeux!$D$2:$D$3001,MATCH(B1192,Jeux!$A$2:$A$3001,0))&amp;"",""))</f>
        <v/>
      </c>
      <c r="I1192" s="26" t="str">
        <f aca="false">IF(A1192="","",COUNTIF(Apparitions!$G$2:$G$5001,A1192))</f>
        <v/>
      </c>
      <c r="J1192" s="26" t="str">
        <f aca="false">IF(A1192="","",COUNTIFS(Apparitions!$G$2:$G$5001,A1192,Apparitions!$E$2:$E$5001,"○"))</f>
        <v/>
      </c>
      <c r="K1192" s="29" t="str">
        <f aca="false">IF(A1192="","",IFERROR(1/(1/_xlfn.MINIFS(Apparitions!$L$2:$L$5001,Apparitions!$G$2:$G$5001,A1192)),""))</f>
        <v/>
      </c>
      <c r="L1192" s="27" t="str">
        <f aca="false">IF(A1192="","",A1192&amp;" | "&amp;B1192&amp;IF(C1192="",""," ("&amp;C1192&amp;")")&amp;IF(D1192="",""," - "&amp;D1192))</f>
        <v/>
      </c>
    </row>
    <row r="1193" customFormat="false" ht="15" hidden="false" customHeight="false" outlineLevel="0" collapsed="false">
      <c r="A1193" s="32"/>
      <c r="B1193" s="19"/>
      <c r="C1193" s="19"/>
      <c r="D1193" s="19"/>
      <c r="E1193" s="21"/>
      <c r="F1193" s="19"/>
      <c r="G1193" s="27" t="str">
        <f aca="false">IF(B1193="","",IFERROR(INDEX(Jeux!$C$2:$C$3001,MATCH(B1193,Jeux!$A$2:$A$3001,0))&amp;"","⚠ jeu inconnu"))</f>
        <v/>
      </c>
      <c r="H1193" s="27" t="str">
        <f aca="false">IF(B1193="","",IFERROR(INDEX(Jeux!$D$2:$D$3001,MATCH(B1193,Jeux!$A$2:$A$3001,0))&amp;"",""))</f>
        <v/>
      </c>
      <c r="I1193" s="26" t="str">
        <f aca="false">IF(A1193="","",COUNTIF(Apparitions!$G$2:$G$5001,A1193))</f>
        <v/>
      </c>
      <c r="J1193" s="26" t="str">
        <f aca="false">IF(A1193="","",COUNTIFS(Apparitions!$G$2:$G$5001,A1193,Apparitions!$E$2:$E$5001,"○"))</f>
        <v/>
      </c>
      <c r="K1193" s="29" t="str">
        <f aca="false">IF(A1193="","",IFERROR(1/(1/_xlfn.MINIFS(Apparitions!$L$2:$L$5001,Apparitions!$G$2:$G$5001,A1193)),""))</f>
        <v/>
      </c>
      <c r="L1193" s="27" t="str">
        <f aca="false">IF(A1193="","",A1193&amp;" | "&amp;B1193&amp;IF(C1193="",""," ("&amp;C1193&amp;")")&amp;IF(D1193="",""," - "&amp;D1193))</f>
        <v/>
      </c>
    </row>
    <row r="1194" customFormat="false" ht="15" hidden="false" customHeight="false" outlineLevel="0" collapsed="false">
      <c r="A1194" s="32"/>
      <c r="B1194" s="19"/>
      <c r="C1194" s="19"/>
      <c r="D1194" s="19"/>
      <c r="E1194" s="21"/>
      <c r="F1194" s="19"/>
      <c r="G1194" s="27" t="str">
        <f aca="false">IF(B1194="","",IFERROR(INDEX(Jeux!$C$2:$C$3001,MATCH(B1194,Jeux!$A$2:$A$3001,0))&amp;"","⚠ jeu inconnu"))</f>
        <v/>
      </c>
      <c r="H1194" s="27" t="str">
        <f aca="false">IF(B1194="","",IFERROR(INDEX(Jeux!$D$2:$D$3001,MATCH(B1194,Jeux!$A$2:$A$3001,0))&amp;"",""))</f>
        <v/>
      </c>
      <c r="I1194" s="26" t="str">
        <f aca="false">IF(A1194="","",COUNTIF(Apparitions!$G$2:$G$5001,A1194))</f>
        <v/>
      </c>
      <c r="J1194" s="26" t="str">
        <f aca="false">IF(A1194="","",COUNTIFS(Apparitions!$G$2:$G$5001,A1194,Apparitions!$E$2:$E$5001,"○"))</f>
        <v/>
      </c>
      <c r="K1194" s="29" t="str">
        <f aca="false">IF(A1194="","",IFERROR(1/(1/_xlfn.MINIFS(Apparitions!$L$2:$L$5001,Apparitions!$G$2:$G$5001,A1194)),""))</f>
        <v/>
      </c>
      <c r="L1194" s="27" t="str">
        <f aca="false">IF(A1194="","",A1194&amp;" | "&amp;B1194&amp;IF(C1194="",""," ("&amp;C1194&amp;")")&amp;IF(D1194="",""," - "&amp;D1194))</f>
        <v/>
      </c>
    </row>
    <row r="1195" customFormat="false" ht="15" hidden="false" customHeight="false" outlineLevel="0" collapsed="false">
      <c r="A1195" s="32"/>
      <c r="B1195" s="19"/>
      <c r="C1195" s="19"/>
      <c r="D1195" s="19"/>
      <c r="E1195" s="21"/>
      <c r="F1195" s="19"/>
      <c r="G1195" s="27" t="str">
        <f aca="false">IF(B1195="","",IFERROR(INDEX(Jeux!$C$2:$C$3001,MATCH(B1195,Jeux!$A$2:$A$3001,0))&amp;"","⚠ jeu inconnu"))</f>
        <v/>
      </c>
      <c r="H1195" s="27" t="str">
        <f aca="false">IF(B1195="","",IFERROR(INDEX(Jeux!$D$2:$D$3001,MATCH(B1195,Jeux!$A$2:$A$3001,0))&amp;"",""))</f>
        <v/>
      </c>
      <c r="I1195" s="26" t="str">
        <f aca="false">IF(A1195="","",COUNTIF(Apparitions!$G$2:$G$5001,A1195))</f>
        <v/>
      </c>
      <c r="J1195" s="26" t="str">
        <f aca="false">IF(A1195="","",COUNTIFS(Apparitions!$G$2:$G$5001,A1195,Apparitions!$E$2:$E$5001,"○"))</f>
        <v/>
      </c>
      <c r="K1195" s="29" t="str">
        <f aca="false">IF(A1195="","",IFERROR(1/(1/_xlfn.MINIFS(Apparitions!$L$2:$L$5001,Apparitions!$G$2:$G$5001,A1195)),""))</f>
        <v/>
      </c>
      <c r="L1195" s="27" t="str">
        <f aca="false">IF(A1195="","",A1195&amp;" | "&amp;B1195&amp;IF(C1195="",""," ("&amp;C1195&amp;")")&amp;IF(D1195="",""," - "&amp;D1195))</f>
        <v/>
      </c>
    </row>
    <row r="1196" customFormat="false" ht="15" hidden="false" customHeight="false" outlineLevel="0" collapsed="false">
      <c r="A1196" s="32"/>
      <c r="B1196" s="19"/>
      <c r="C1196" s="19"/>
      <c r="D1196" s="19"/>
      <c r="E1196" s="21"/>
      <c r="F1196" s="19"/>
      <c r="G1196" s="27" t="str">
        <f aca="false">IF(B1196="","",IFERROR(INDEX(Jeux!$C$2:$C$3001,MATCH(B1196,Jeux!$A$2:$A$3001,0))&amp;"","⚠ jeu inconnu"))</f>
        <v/>
      </c>
      <c r="H1196" s="27" t="str">
        <f aca="false">IF(B1196="","",IFERROR(INDEX(Jeux!$D$2:$D$3001,MATCH(B1196,Jeux!$A$2:$A$3001,0))&amp;"",""))</f>
        <v/>
      </c>
      <c r="I1196" s="26" t="str">
        <f aca="false">IF(A1196="","",COUNTIF(Apparitions!$G$2:$G$5001,A1196))</f>
        <v/>
      </c>
      <c r="J1196" s="26" t="str">
        <f aca="false">IF(A1196="","",COUNTIFS(Apparitions!$G$2:$G$5001,A1196,Apparitions!$E$2:$E$5001,"○"))</f>
        <v/>
      </c>
      <c r="K1196" s="29" t="str">
        <f aca="false">IF(A1196="","",IFERROR(1/(1/_xlfn.MINIFS(Apparitions!$L$2:$L$5001,Apparitions!$G$2:$G$5001,A1196)),""))</f>
        <v/>
      </c>
      <c r="L1196" s="27" t="str">
        <f aca="false">IF(A1196="","",A1196&amp;" | "&amp;B1196&amp;IF(C1196="",""," ("&amp;C1196&amp;")")&amp;IF(D1196="",""," - "&amp;D1196))</f>
        <v/>
      </c>
    </row>
    <row r="1197" customFormat="false" ht="15" hidden="false" customHeight="false" outlineLevel="0" collapsed="false">
      <c r="A1197" s="32"/>
      <c r="B1197" s="19"/>
      <c r="C1197" s="19"/>
      <c r="D1197" s="19"/>
      <c r="E1197" s="21"/>
      <c r="F1197" s="19"/>
      <c r="G1197" s="27" t="str">
        <f aca="false">IF(B1197="","",IFERROR(INDEX(Jeux!$C$2:$C$3001,MATCH(B1197,Jeux!$A$2:$A$3001,0))&amp;"","⚠ jeu inconnu"))</f>
        <v/>
      </c>
      <c r="H1197" s="27" t="str">
        <f aca="false">IF(B1197="","",IFERROR(INDEX(Jeux!$D$2:$D$3001,MATCH(B1197,Jeux!$A$2:$A$3001,0))&amp;"",""))</f>
        <v/>
      </c>
      <c r="I1197" s="26" t="str">
        <f aca="false">IF(A1197="","",COUNTIF(Apparitions!$G$2:$G$5001,A1197))</f>
        <v/>
      </c>
      <c r="J1197" s="26" t="str">
        <f aca="false">IF(A1197="","",COUNTIFS(Apparitions!$G$2:$G$5001,A1197,Apparitions!$E$2:$E$5001,"○"))</f>
        <v/>
      </c>
      <c r="K1197" s="29" t="str">
        <f aca="false">IF(A1197="","",IFERROR(1/(1/_xlfn.MINIFS(Apparitions!$L$2:$L$5001,Apparitions!$G$2:$G$5001,A1197)),""))</f>
        <v/>
      </c>
      <c r="L1197" s="27" t="str">
        <f aca="false">IF(A1197="","",A1197&amp;" | "&amp;B1197&amp;IF(C1197="",""," ("&amp;C1197&amp;")")&amp;IF(D1197="",""," - "&amp;D1197))</f>
        <v/>
      </c>
    </row>
    <row r="1198" customFormat="false" ht="15" hidden="false" customHeight="false" outlineLevel="0" collapsed="false">
      <c r="A1198" s="32"/>
      <c r="B1198" s="19"/>
      <c r="C1198" s="19"/>
      <c r="D1198" s="19"/>
      <c r="E1198" s="21"/>
      <c r="F1198" s="19"/>
      <c r="G1198" s="27" t="str">
        <f aca="false">IF(B1198="","",IFERROR(INDEX(Jeux!$C$2:$C$3001,MATCH(B1198,Jeux!$A$2:$A$3001,0))&amp;"","⚠ jeu inconnu"))</f>
        <v/>
      </c>
      <c r="H1198" s="27" t="str">
        <f aca="false">IF(B1198="","",IFERROR(INDEX(Jeux!$D$2:$D$3001,MATCH(B1198,Jeux!$A$2:$A$3001,0))&amp;"",""))</f>
        <v/>
      </c>
      <c r="I1198" s="26" t="str">
        <f aca="false">IF(A1198="","",COUNTIF(Apparitions!$G$2:$G$5001,A1198))</f>
        <v/>
      </c>
      <c r="J1198" s="26" t="str">
        <f aca="false">IF(A1198="","",COUNTIFS(Apparitions!$G$2:$G$5001,A1198,Apparitions!$E$2:$E$5001,"○"))</f>
        <v/>
      </c>
      <c r="K1198" s="29" t="str">
        <f aca="false">IF(A1198="","",IFERROR(1/(1/_xlfn.MINIFS(Apparitions!$L$2:$L$5001,Apparitions!$G$2:$G$5001,A1198)),""))</f>
        <v/>
      </c>
      <c r="L1198" s="27" t="str">
        <f aca="false">IF(A1198="","",A1198&amp;" | "&amp;B1198&amp;IF(C1198="",""," ("&amp;C1198&amp;")")&amp;IF(D1198="",""," - "&amp;D1198))</f>
        <v/>
      </c>
    </row>
    <row r="1199" customFormat="false" ht="15" hidden="false" customHeight="false" outlineLevel="0" collapsed="false">
      <c r="A1199" s="32"/>
      <c r="B1199" s="19"/>
      <c r="C1199" s="19"/>
      <c r="D1199" s="19"/>
      <c r="E1199" s="21"/>
      <c r="F1199" s="19"/>
      <c r="G1199" s="27" t="str">
        <f aca="false">IF(B1199="","",IFERROR(INDEX(Jeux!$C$2:$C$3001,MATCH(B1199,Jeux!$A$2:$A$3001,0))&amp;"","⚠ jeu inconnu"))</f>
        <v/>
      </c>
      <c r="H1199" s="27" t="str">
        <f aca="false">IF(B1199="","",IFERROR(INDEX(Jeux!$D$2:$D$3001,MATCH(B1199,Jeux!$A$2:$A$3001,0))&amp;"",""))</f>
        <v/>
      </c>
      <c r="I1199" s="26" t="str">
        <f aca="false">IF(A1199="","",COUNTIF(Apparitions!$G$2:$G$5001,A1199))</f>
        <v/>
      </c>
      <c r="J1199" s="26" t="str">
        <f aca="false">IF(A1199="","",COUNTIFS(Apparitions!$G$2:$G$5001,A1199,Apparitions!$E$2:$E$5001,"○"))</f>
        <v/>
      </c>
      <c r="K1199" s="29" t="str">
        <f aca="false">IF(A1199="","",IFERROR(1/(1/_xlfn.MINIFS(Apparitions!$L$2:$L$5001,Apparitions!$G$2:$G$5001,A1199)),""))</f>
        <v/>
      </c>
      <c r="L1199" s="27" t="str">
        <f aca="false">IF(A1199="","",A1199&amp;" | "&amp;B1199&amp;IF(C1199="",""," ("&amp;C1199&amp;")")&amp;IF(D1199="",""," - "&amp;D1199))</f>
        <v/>
      </c>
    </row>
    <row r="1200" customFormat="false" ht="15" hidden="false" customHeight="false" outlineLevel="0" collapsed="false">
      <c r="A1200" s="32"/>
      <c r="B1200" s="19"/>
      <c r="C1200" s="19"/>
      <c r="D1200" s="19"/>
      <c r="E1200" s="21"/>
      <c r="F1200" s="19"/>
      <c r="G1200" s="27" t="str">
        <f aca="false">IF(B1200="","",IFERROR(INDEX(Jeux!$C$2:$C$3001,MATCH(B1200,Jeux!$A$2:$A$3001,0))&amp;"","⚠ jeu inconnu"))</f>
        <v/>
      </c>
      <c r="H1200" s="27" t="str">
        <f aca="false">IF(B1200="","",IFERROR(INDEX(Jeux!$D$2:$D$3001,MATCH(B1200,Jeux!$A$2:$A$3001,0))&amp;"",""))</f>
        <v/>
      </c>
      <c r="I1200" s="26" t="str">
        <f aca="false">IF(A1200="","",COUNTIF(Apparitions!$G$2:$G$5001,A1200))</f>
        <v/>
      </c>
      <c r="J1200" s="26" t="str">
        <f aca="false">IF(A1200="","",COUNTIFS(Apparitions!$G$2:$G$5001,A1200,Apparitions!$E$2:$E$5001,"○"))</f>
        <v/>
      </c>
      <c r="K1200" s="29" t="str">
        <f aca="false">IF(A1200="","",IFERROR(1/(1/_xlfn.MINIFS(Apparitions!$L$2:$L$5001,Apparitions!$G$2:$G$5001,A1200)),""))</f>
        <v/>
      </c>
      <c r="L1200" s="27" t="str">
        <f aca="false">IF(A1200="","",A1200&amp;" | "&amp;B1200&amp;IF(C1200="",""," ("&amp;C1200&amp;")")&amp;IF(D1200="",""," - "&amp;D1200))</f>
        <v/>
      </c>
    </row>
    <row r="1201" customFormat="false" ht="15" hidden="false" customHeight="false" outlineLevel="0" collapsed="false">
      <c r="A1201" s="32"/>
      <c r="B1201" s="19"/>
      <c r="C1201" s="19"/>
      <c r="D1201" s="19"/>
      <c r="E1201" s="21"/>
      <c r="F1201" s="19"/>
      <c r="G1201" s="27" t="str">
        <f aca="false">IF(B1201="","",IFERROR(INDEX(Jeux!$C$2:$C$3001,MATCH(B1201,Jeux!$A$2:$A$3001,0))&amp;"","⚠ jeu inconnu"))</f>
        <v/>
      </c>
      <c r="H1201" s="27" t="str">
        <f aca="false">IF(B1201="","",IFERROR(INDEX(Jeux!$D$2:$D$3001,MATCH(B1201,Jeux!$A$2:$A$3001,0))&amp;"",""))</f>
        <v/>
      </c>
      <c r="I1201" s="26" t="str">
        <f aca="false">IF(A1201="","",COUNTIF(Apparitions!$G$2:$G$5001,A1201))</f>
        <v/>
      </c>
      <c r="J1201" s="26" t="str">
        <f aca="false">IF(A1201="","",COUNTIFS(Apparitions!$G$2:$G$5001,A1201,Apparitions!$E$2:$E$5001,"○"))</f>
        <v/>
      </c>
      <c r="K1201" s="29" t="str">
        <f aca="false">IF(A1201="","",IFERROR(1/(1/_xlfn.MINIFS(Apparitions!$L$2:$L$5001,Apparitions!$G$2:$G$5001,A1201)),""))</f>
        <v/>
      </c>
      <c r="L1201" s="27" t="str">
        <f aca="false">IF(A1201="","",A1201&amp;" | "&amp;B1201&amp;IF(C1201="",""," ("&amp;C1201&amp;")")&amp;IF(D1201="",""," - "&amp;D1201))</f>
        <v/>
      </c>
    </row>
    <row r="1202" customFormat="false" ht="15" hidden="false" customHeight="false" outlineLevel="0" collapsed="false">
      <c r="A1202" s="32"/>
      <c r="B1202" s="19"/>
      <c r="C1202" s="19"/>
      <c r="D1202" s="19"/>
      <c r="E1202" s="21"/>
      <c r="F1202" s="19"/>
      <c r="G1202" s="27" t="str">
        <f aca="false">IF(B1202="","",IFERROR(INDEX(Jeux!$C$2:$C$3001,MATCH(B1202,Jeux!$A$2:$A$3001,0))&amp;"","⚠ jeu inconnu"))</f>
        <v/>
      </c>
      <c r="H1202" s="27" t="str">
        <f aca="false">IF(B1202="","",IFERROR(INDEX(Jeux!$D$2:$D$3001,MATCH(B1202,Jeux!$A$2:$A$3001,0))&amp;"",""))</f>
        <v/>
      </c>
      <c r="I1202" s="26" t="str">
        <f aca="false">IF(A1202="","",COUNTIF(Apparitions!$G$2:$G$5001,A1202))</f>
        <v/>
      </c>
      <c r="J1202" s="26" t="str">
        <f aca="false">IF(A1202="","",COUNTIFS(Apparitions!$G$2:$G$5001,A1202,Apparitions!$E$2:$E$5001,"○"))</f>
        <v/>
      </c>
      <c r="K1202" s="29" t="str">
        <f aca="false">IF(A1202="","",IFERROR(1/(1/_xlfn.MINIFS(Apparitions!$L$2:$L$5001,Apparitions!$G$2:$G$5001,A1202)),""))</f>
        <v/>
      </c>
      <c r="L1202" s="27" t="str">
        <f aca="false">IF(A1202="","",A1202&amp;" | "&amp;B1202&amp;IF(C1202="",""," ("&amp;C1202&amp;")")&amp;IF(D1202="",""," - "&amp;D1202))</f>
        <v/>
      </c>
    </row>
    <row r="1203" customFormat="false" ht="15" hidden="false" customHeight="false" outlineLevel="0" collapsed="false">
      <c r="A1203" s="32"/>
      <c r="B1203" s="19"/>
      <c r="C1203" s="19"/>
      <c r="D1203" s="19"/>
      <c r="E1203" s="21"/>
      <c r="F1203" s="19"/>
      <c r="G1203" s="27" t="str">
        <f aca="false">IF(B1203="","",IFERROR(INDEX(Jeux!$C$2:$C$3001,MATCH(B1203,Jeux!$A$2:$A$3001,0))&amp;"","⚠ jeu inconnu"))</f>
        <v/>
      </c>
      <c r="H1203" s="27" t="str">
        <f aca="false">IF(B1203="","",IFERROR(INDEX(Jeux!$D$2:$D$3001,MATCH(B1203,Jeux!$A$2:$A$3001,0))&amp;"",""))</f>
        <v/>
      </c>
      <c r="I1203" s="26" t="str">
        <f aca="false">IF(A1203="","",COUNTIF(Apparitions!$G$2:$G$5001,A1203))</f>
        <v/>
      </c>
      <c r="J1203" s="26" t="str">
        <f aca="false">IF(A1203="","",COUNTIFS(Apparitions!$G$2:$G$5001,A1203,Apparitions!$E$2:$E$5001,"○"))</f>
        <v/>
      </c>
      <c r="K1203" s="29" t="str">
        <f aca="false">IF(A1203="","",IFERROR(1/(1/_xlfn.MINIFS(Apparitions!$L$2:$L$5001,Apparitions!$G$2:$G$5001,A1203)),""))</f>
        <v/>
      </c>
      <c r="L1203" s="27" t="str">
        <f aca="false">IF(A1203="","",A1203&amp;" | "&amp;B1203&amp;IF(C1203="",""," ("&amp;C1203&amp;")")&amp;IF(D1203="",""," - "&amp;D1203))</f>
        <v/>
      </c>
    </row>
    <row r="1204" customFormat="false" ht="15" hidden="false" customHeight="false" outlineLevel="0" collapsed="false">
      <c r="A1204" s="32"/>
      <c r="B1204" s="19"/>
      <c r="C1204" s="19"/>
      <c r="D1204" s="19"/>
      <c r="E1204" s="21"/>
      <c r="F1204" s="19"/>
      <c r="G1204" s="27" t="str">
        <f aca="false">IF(B1204="","",IFERROR(INDEX(Jeux!$C$2:$C$3001,MATCH(B1204,Jeux!$A$2:$A$3001,0))&amp;"","⚠ jeu inconnu"))</f>
        <v/>
      </c>
      <c r="H1204" s="27" t="str">
        <f aca="false">IF(B1204="","",IFERROR(INDEX(Jeux!$D$2:$D$3001,MATCH(B1204,Jeux!$A$2:$A$3001,0))&amp;"",""))</f>
        <v/>
      </c>
      <c r="I1204" s="26" t="str">
        <f aca="false">IF(A1204="","",COUNTIF(Apparitions!$G$2:$G$5001,A1204))</f>
        <v/>
      </c>
      <c r="J1204" s="26" t="str">
        <f aca="false">IF(A1204="","",COUNTIFS(Apparitions!$G$2:$G$5001,A1204,Apparitions!$E$2:$E$5001,"○"))</f>
        <v/>
      </c>
      <c r="K1204" s="29" t="str">
        <f aca="false">IF(A1204="","",IFERROR(1/(1/_xlfn.MINIFS(Apparitions!$L$2:$L$5001,Apparitions!$G$2:$G$5001,A1204)),""))</f>
        <v/>
      </c>
      <c r="L1204" s="27" t="str">
        <f aca="false">IF(A1204="","",A1204&amp;" | "&amp;B1204&amp;IF(C1204="",""," ("&amp;C1204&amp;")")&amp;IF(D1204="",""," - "&amp;D1204))</f>
        <v/>
      </c>
    </row>
    <row r="1205" customFormat="false" ht="15" hidden="false" customHeight="false" outlineLevel="0" collapsed="false">
      <c r="A1205" s="32"/>
      <c r="B1205" s="19"/>
      <c r="C1205" s="19"/>
      <c r="D1205" s="19"/>
      <c r="E1205" s="21"/>
      <c r="F1205" s="19"/>
      <c r="G1205" s="27" t="str">
        <f aca="false">IF(B1205="","",IFERROR(INDEX(Jeux!$C$2:$C$3001,MATCH(B1205,Jeux!$A$2:$A$3001,0))&amp;"","⚠ jeu inconnu"))</f>
        <v/>
      </c>
      <c r="H1205" s="27" t="str">
        <f aca="false">IF(B1205="","",IFERROR(INDEX(Jeux!$D$2:$D$3001,MATCH(B1205,Jeux!$A$2:$A$3001,0))&amp;"",""))</f>
        <v/>
      </c>
      <c r="I1205" s="26" t="str">
        <f aca="false">IF(A1205="","",COUNTIF(Apparitions!$G$2:$G$5001,A1205))</f>
        <v/>
      </c>
      <c r="J1205" s="26" t="str">
        <f aca="false">IF(A1205="","",COUNTIFS(Apparitions!$G$2:$G$5001,A1205,Apparitions!$E$2:$E$5001,"○"))</f>
        <v/>
      </c>
      <c r="K1205" s="29" t="str">
        <f aca="false">IF(A1205="","",IFERROR(1/(1/_xlfn.MINIFS(Apparitions!$L$2:$L$5001,Apparitions!$G$2:$G$5001,A1205)),""))</f>
        <v/>
      </c>
      <c r="L1205" s="27" t="str">
        <f aca="false">IF(A1205="","",A1205&amp;" | "&amp;B1205&amp;IF(C1205="",""," ("&amp;C1205&amp;")")&amp;IF(D1205="",""," - "&amp;D1205))</f>
        <v/>
      </c>
    </row>
    <row r="1206" customFormat="false" ht="15" hidden="false" customHeight="false" outlineLevel="0" collapsed="false">
      <c r="A1206" s="32"/>
      <c r="B1206" s="19"/>
      <c r="C1206" s="19"/>
      <c r="D1206" s="19"/>
      <c r="E1206" s="21"/>
      <c r="F1206" s="19"/>
      <c r="G1206" s="27" t="str">
        <f aca="false">IF(B1206="","",IFERROR(INDEX(Jeux!$C$2:$C$3001,MATCH(B1206,Jeux!$A$2:$A$3001,0))&amp;"","⚠ jeu inconnu"))</f>
        <v/>
      </c>
      <c r="H1206" s="27" t="str">
        <f aca="false">IF(B1206="","",IFERROR(INDEX(Jeux!$D$2:$D$3001,MATCH(B1206,Jeux!$A$2:$A$3001,0))&amp;"",""))</f>
        <v/>
      </c>
      <c r="I1206" s="26" t="str">
        <f aca="false">IF(A1206="","",COUNTIF(Apparitions!$G$2:$G$5001,A1206))</f>
        <v/>
      </c>
      <c r="J1206" s="26" t="str">
        <f aca="false">IF(A1206="","",COUNTIFS(Apparitions!$G$2:$G$5001,A1206,Apparitions!$E$2:$E$5001,"○"))</f>
        <v/>
      </c>
      <c r="K1206" s="29" t="str">
        <f aca="false">IF(A1206="","",IFERROR(1/(1/_xlfn.MINIFS(Apparitions!$L$2:$L$5001,Apparitions!$G$2:$G$5001,A1206)),""))</f>
        <v/>
      </c>
      <c r="L1206" s="27" t="str">
        <f aca="false">IF(A1206="","",A1206&amp;" | "&amp;B1206&amp;IF(C1206="",""," ("&amp;C1206&amp;")")&amp;IF(D1206="",""," - "&amp;D1206))</f>
        <v/>
      </c>
    </row>
    <row r="1207" customFormat="false" ht="15" hidden="false" customHeight="false" outlineLevel="0" collapsed="false">
      <c r="A1207" s="32"/>
      <c r="B1207" s="19"/>
      <c r="C1207" s="19"/>
      <c r="D1207" s="19"/>
      <c r="E1207" s="21"/>
      <c r="F1207" s="19"/>
      <c r="G1207" s="27" t="str">
        <f aca="false">IF(B1207="","",IFERROR(INDEX(Jeux!$C$2:$C$3001,MATCH(B1207,Jeux!$A$2:$A$3001,0))&amp;"","⚠ jeu inconnu"))</f>
        <v/>
      </c>
      <c r="H1207" s="27" t="str">
        <f aca="false">IF(B1207="","",IFERROR(INDEX(Jeux!$D$2:$D$3001,MATCH(B1207,Jeux!$A$2:$A$3001,0))&amp;"",""))</f>
        <v/>
      </c>
      <c r="I1207" s="26" t="str">
        <f aca="false">IF(A1207="","",COUNTIF(Apparitions!$G$2:$G$5001,A1207))</f>
        <v/>
      </c>
      <c r="J1207" s="26" t="str">
        <f aca="false">IF(A1207="","",COUNTIFS(Apparitions!$G$2:$G$5001,A1207,Apparitions!$E$2:$E$5001,"○"))</f>
        <v/>
      </c>
      <c r="K1207" s="29" t="str">
        <f aca="false">IF(A1207="","",IFERROR(1/(1/_xlfn.MINIFS(Apparitions!$L$2:$L$5001,Apparitions!$G$2:$G$5001,A1207)),""))</f>
        <v/>
      </c>
      <c r="L1207" s="27" t="str">
        <f aca="false">IF(A1207="","",A1207&amp;" | "&amp;B1207&amp;IF(C1207="",""," ("&amp;C1207&amp;")")&amp;IF(D1207="",""," - "&amp;D1207))</f>
        <v/>
      </c>
    </row>
    <row r="1208" customFormat="false" ht="15" hidden="false" customHeight="false" outlineLevel="0" collapsed="false">
      <c r="A1208" s="32"/>
      <c r="B1208" s="19"/>
      <c r="C1208" s="19"/>
      <c r="D1208" s="19"/>
      <c r="E1208" s="21"/>
      <c r="F1208" s="19"/>
      <c r="G1208" s="27" t="str">
        <f aca="false">IF(B1208="","",IFERROR(INDEX(Jeux!$C$2:$C$3001,MATCH(B1208,Jeux!$A$2:$A$3001,0))&amp;"","⚠ jeu inconnu"))</f>
        <v/>
      </c>
      <c r="H1208" s="27" t="str">
        <f aca="false">IF(B1208="","",IFERROR(INDEX(Jeux!$D$2:$D$3001,MATCH(B1208,Jeux!$A$2:$A$3001,0))&amp;"",""))</f>
        <v/>
      </c>
      <c r="I1208" s="26" t="str">
        <f aca="false">IF(A1208="","",COUNTIF(Apparitions!$G$2:$G$5001,A1208))</f>
        <v/>
      </c>
      <c r="J1208" s="26" t="str">
        <f aca="false">IF(A1208="","",COUNTIFS(Apparitions!$G$2:$G$5001,A1208,Apparitions!$E$2:$E$5001,"○"))</f>
        <v/>
      </c>
      <c r="K1208" s="29" t="str">
        <f aca="false">IF(A1208="","",IFERROR(1/(1/_xlfn.MINIFS(Apparitions!$L$2:$L$5001,Apparitions!$G$2:$G$5001,A1208)),""))</f>
        <v/>
      </c>
      <c r="L1208" s="27" t="str">
        <f aca="false">IF(A1208="","",A1208&amp;" | "&amp;B1208&amp;IF(C1208="",""," ("&amp;C1208&amp;")")&amp;IF(D1208="",""," - "&amp;D1208))</f>
        <v/>
      </c>
    </row>
    <row r="1209" customFormat="false" ht="15" hidden="false" customHeight="false" outlineLevel="0" collapsed="false">
      <c r="A1209" s="32"/>
      <c r="B1209" s="19"/>
      <c r="C1209" s="19"/>
      <c r="D1209" s="19"/>
      <c r="E1209" s="21"/>
      <c r="F1209" s="19"/>
      <c r="G1209" s="27" t="str">
        <f aca="false">IF(B1209="","",IFERROR(INDEX(Jeux!$C$2:$C$3001,MATCH(B1209,Jeux!$A$2:$A$3001,0))&amp;"","⚠ jeu inconnu"))</f>
        <v/>
      </c>
      <c r="H1209" s="27" t="str">
        <f aca="false">IF(B1209="","",IFERROR(INDEX(Jeux!$D$2:$D$3001,MATCH(B1209,Jeux!$A$2:$A$3001,0))&amp;"",""))</f>
        <v/>
      </c>
      <c r="I1209" s="26" t="str">
        <f aca="false">IF(A1209="","",COUNTIF(Apparitions!$G$2:$G$5001,A1209))</f>
        <v/>
      </c>
      <c r="J1209" s="26" t="str">
        <f aca="false">IF(A1209="","",COUNTIFS(Apparitions!$G$2:$G$5001,A1209,Apparitions!$E$2:$E$5001,"○"))</f>
        <v/>
      </c>
      <c r="K1209" s="29" t="str">
        <f aca="false">IF(A1209="","",IFERROR(1/(1/_xlfn.MINIFS(Apparitions!$L$2:$L$5001,Apparitions!$G$2:$G$5001,A1209)),""))</f>
        <v/>
      </c>
      <c r="L1209" s="27" t="str">
        <f aca="false">IF(A1209="","",A1209&amp;" | "&amp;B1209&amp;IF(C1209="",""," ("&amp;C1209&amp;")")&amp;IF(D1209="",""," - "&amp;D1209))</f>
        <v/>
      </c>
    </row>
    <row r="1210" customFormat="false" ht="15" hidden="false" customHeight="false" outlineLevel="0" collapsed="false">
      <c r="A1210" s="32"/>
      <c r="B1210" s="19"/>
      <c r="C1210" s="19"/>
      <c r="D1210" s="19"/>
      <c r="E1210" s="21"/>
      <c r="F1210" s="19"/>
      <c r="G1210" s="27" t="str">
        <f aca="false">IF(B1210="","",IFERROR(INDEX(Jeux!$C$2:$C$3001,MATCH(B1210,Jeux!$A$2:$A$3001,0))&amp;"","⚠ jeu inconnu"))</f>
        <v/>
      </c>
      <c r="H1210" s="27" t="str">
        <f aca="false">IF(B1210="","",IFERROR(INDEX(Jeux!$D$2:$D$3001,MATCH(B1210,Jeux!$A$2:$A$3001,0))&amp;"",""))</f>
        <v/>
      </c>
      <c r="I1210" s="26" t="str">
        <f aca="false">IF(A1210="","",COUNTIF(Apparitions!$G$2:$G$5001,A1210))</f>
        <v/>
      </c>
      <c r="J1210" s="26" t="str">
        <f aca="false">IF(A1210="","",COUNTIFS(Apparitions!$G$2:$G$5001,A1210,Apparitions!$E$2:$E$5001,"○"))</f>
        <v/>
      </c>
      <c r="K1210" s="29" t="str">
        <f aca="false">IF(A1210="","",IFERROR(1/(1/_xlfn.MINIFS(Apparitions!$L$2:$L$5001,Apparitions!$G$2:$G$5001,A1210)),""))</f>
        <v/>
      </c>
      <c r="L1210" s="27" t="str">
        <f aca="false">IF(A1210="","",A1210&amp;" | "&amp;B1210&amp;IF(C1210="",""," ("&amp;C1210&amp;")")&amp;IF(D1210="",""," - "&amp;D1210))</f>
        <v/>
      </c>
    </row>
    <row r="1211" customFormat="false" ht="15" hidden="false" customHeight="false" outlineLevel="0" collapsed="false">
      <c r="A1211" s="32"/>
      <c r="B1211" s="19"/>
      <c r="C1211" s="19"/>
      <c r="D1211" s="19"/>
      <c r="E1211" s="21"/>
      <c r="F1211" s="19"/>
      <c r="G1211" s="27" t="str">
        <f aca="false">IF(B1211="","",IFERROR(INDEX(Jeux!$C$2:$C$3001,MATCH(B1211,Jeux!$A$2:$A$3001,0))&amp;"","⚠ jeu inconnu"))</f>
        <v/>
      </c>
      <c r="H1211" s="27" t="str">
        <f aca="false">IF(B1211="","",IFERROR(INDEX(Jeux!$D$2:$D$3001,MATCH(B1211,Jeux!$A$2:$A$3001,0))&amp;"",""))</f>
        <v/>
      </c>
      <c r="I1211" s="26" t="str">
        <f aca="false">IF(A1211="","",COUNTIF(Apparitions!$G$2:$G$5001,A1211))</f>
        <v/>
      </c>
      <c r="J1211" s="26" t="str">
        <f aca="false">IF(A1211="","",COUNTIFS(Apparitions!$G$2:$G$5001,A1211,Apparitions!$E$2:$E$5001,"○"))</f>
        <v/>
      </c>
      <c r="K1211" s="29" t="str">
        <f aca="false">IF(A1211="","",IFERROR(1/(1/_xlfn.MINIFS(Apparitions!$L$2:$L$5001,Apparitions!$G$2:$G$5001,A1211)),""))</f>
        <v/>
      </c>
      <c r="L1211" s="27" t="str">
        <f aca="false">IF(A1211="","",A1211&amp;" | "&amp;B1211&amp;IF(C1211="",""," ("&amp;C1211&amp;")")&amp;IF(D1211="",""," - "&amp;D1211))</f>
        <v/>
      </c>
    </row>
    <row r="1212" customFormat="false" ht="15" hidden="false" customHeight="false" outlineLevel="0" collapsed="false">
      <c r="A1212" s="32"/>
      <c r="B1212" s="19"/>
      <c r="C1212" s="19"/>
      <c r="D1212" s="19"/>
      <c r="E1212" s="21"/>
      <c r="F1212" s="19"/>
      <c r="G1212" s="27" t="str">
        <f aca="false">IF(B1212="","",IFERROR(INDEX(Jeux!$C$2:$C$3001,MATCH(B1212,Jeux!$A$2:$A$3001,0))&amp;"","⚠ jeu inconnu"))</f>
        <v/>
      </c>
      <c r="H1212" s="27" t="str">
        <f aca="false">IF(B1212="","",IFERROR(INDEX(Jeux!$D$2:$D$3001,MATCH(B1212,Jeux!$A$2:$A$3001,0))&amp;"",""))</f>
        <v/>
      </c>
      <c r="I1212" s="26" t="str">
        <f aca="false">IF(A1212="","",COUNTIF(Apparitions!$G$2:$G$5001,A1212))</f>
        <v/>
      </c>
      <c r="J1212" s="26" t="str">
        <f aca="false">IF(A1212="","",COUNTIFS(Apparitions!$G$2:$G$5001,A1212,Apparitions!$E$2:$E$5001,"○"))</f>
        <v/>
      </c>
      <c r="K1212" s="29" t="str">
        <f aca="false">IF(A1212="","",IFERROR(1/(1/_xlfn.MINIFS(Apparitions!$L$2:$L$5001,Apparitions!$G$2:$G$5001,A1212)),""))</f>
        <v/>
      </c>
      <c r="L1212" s="27" t="str">
        <f aca="false">IF(A1212="","",A1212&amp;" | "&amp;B1212&amp;IF(C1212="",""," ("&amp;C1212&amp;")")&amp;IF(D1212="",""," - "&amp;D1212))</f>
        <v/>
      </c>
    </row>
    <row r="1213" customFormat="false" ht="15" hidden="false" customHeight="false" outlineLevel="0" collapsed="false">
      <c r="A1213" s="32"/>
      <c r="B1213" s="19"/>
      <c r="C1213" s="19"/>
      <c r="D1213" s="19"/>
      <c r="E1213" s="21"/>
      <c r="F1213" s="19"/>
      <c r="G1213" s="27" t="str">
        <f aca="false">IF(B1213="","",IFERROR(INDEX(Jeux!$C$2:$C$3001,MATCH(B1213,Jeux!$A$2:$A$3001,0))&amp;"","⚠ jeu inconnu"))</f>
        <v/>
      </c>
      <c r="H1213" s="27" t="str">
        <f aca="false">IF(B1213="","",IFERROR(INDEX(Jeux!$D$2:$D$3001,MATCH(B1213,Jeux!$A$2:$A$3001,0))&amp;"",""))</f>
        <v/>
      </c>
      <c r="I1213" s="26" t="str">
        <f aca="false">IF(A1213="","",COUNTIF(Apparitions!$G$2:$G$5001,A1213))</f>
        <v/>
      </c>
      <c r="J1213" s="26" t="str">
        <f aca="false">IF(A1213="","",COUNTIFS(Apparitions!$G$2:$G$5001,A1213,Apparitions!$E$2:$E$5001,"○"))</f>
        <v/>
      </c>
      <c r="K1213" s="29" t="str">
        <f aca="false">IF(A1213="","",IFERROR(1/(1/_xlfn.MINIFS(Apparitions!$L$2:$L$5001,Apparitions!$G$2:$G$5001,A1213)),""))</f>
        <v/>
      </c>
      <c r="L1213" s="27" t="str">
        <f aca="false">IF(A1213="","",A1213&amp;" | "&amp;B1213&amp;IF(C1213="",""," ("&amp;C1213&amp;")")&amp;IF(D1213="",""," - "&amp;D1213))</f>
        <v/>
      </c>
    </row>
    <row r="1214" customFormat="false" ht="15" hidden="false" customHeight="false" outlineLevel="0" collapsed="false">
      <c r="A1214" s="32"/>
      <c r="B1214" s="19"/>
      <c r="C1214" s="19"/>
      <c r="D1214" s="19"/>
      <c r="E1214" s="21"/>
      <c r="F1214" s="19"/>
      <c r="G1214" s="27" t="str">
        <f aca="false">IF(B1214="","",IFERROR(INDEX(Jeux!$C$2:$C$3001,MATCH(B1214,Jeux!$A$2:$A$3001,0))&amp;"","⚠ jeu inconnu"))</f>
        <v/>
      </c>
      <c r="H1214" s="27" t="str">
        <f aca="false">IF(B1214="","",IFERROR(INDEX(Jeux!$D$2:$D$3001,MATCH(B1214,Jeux!$A$2:$A$3001,0))&amp;"",""))</f>
        <v/>
      </c>
      <c r="I1214" s="26" t="str">
        <f aca="false">IF(A1214="","",COUNTIF(Apparitions!$G$2:$G$5001,A1214))</f>
        <v/>
      </c>
      <c r="J1214" s="26" t="str">
        <f aca="false">IF(A1214="","",COUNTIFS(Apparitions!$G$2:$G$5001,A1214,Apparitions!$E$2:$E$5001,"○"))</f>
        <v/>
      </c>
      <c r="K1214" s="29" t="str">
        <f aca="false">IF(A1214="","",IFERROR(1/(1/_xlfn.MINIFS(Apparitions!$L$2:$L$5001,Apparitions!$G$2:$G$5001,A1214)),""))</f>
        <v/>
      </c>
      <c r="L1214" s="27" t="str">
        <f aca="false">IF(A1214="","",A1214&amp;" | "&amp;B1214&amp;IF(C1214="",""," ("&amp;C1214&amp;")")&amp;IF(D1214="",""," - "&amp;D1214))</f>
        <v/>
      </c>
    </row>
    <row r="1215" customFormat="false" ht="15" hidden="false" customHeight="false" outlineLevel="0" collapsed="false">
      <c r="A1215" s="32"/>
      <c r="B1215" s="19"/>
      <c r="C1215" s="19"/>
      <c r="D1215" s="19"/>
      <c r="E1215" s="21"/>
      <c r="F1215" s="19"/>
      <c r="G1215" s="27" t="str">
        <f aca="false">IF(B1215="","",IFERROR(INDEX(Jeux!$C$2:$C$3001,MATCH(B1215,Jeux!$A$2:$A$3001,0))&amp;"","⚠ jeu inconnu"))</f>
        <v/>
      </c>
      <c r="H1215" s="27" t="str">
        <f aca="false">IF(B1215="","",IFERROR(INDEX(Jeux!$D$2:$D$3001,MATCH(B1215,Jeux!$A$2:$A$3001,0))&amp;"",""))</f>
        <v/>
      </c>
      <c r="I1215" s="26" t="str">
        <f aca="false">IF(A1215="","",COUNTIF(Apparitions!$G$2:$G$5001,A1215))</f>
        <v/>
      </c>
      <c r="J1215" s="26" t="str">
        <f aca="false">IF(A1215="","",COUNTIFS(Apparitions!$G$2:$G$5001,A1215,Apparitions!$E$2:$E$5001,"○"))</f>
        <v/>
      </c>
      <c r="K1215" s="29" t="str">
        <f aca="false">IF(A1215="","",IFERROR(1/(1/_xlfn.MINIFS(Apparitions!$L$2:$L$5001,Apparitions!$G$2:$G$5001,A1215)),""))</f>
        <v/>
      </c>
      <c r="L1215" s="27" t="str">
        <f aca="false">IF(A1215="","",A1215&amp;" | "&amp;B1215&amp;IF(C1215="",""," ("&amp;C1215&amp;")")&amp;IF(D1215="",""," - "&amp;D1215))</f>
        <v/>
      </c>
    </row>
    <row r="1216" customFormat="false" ht="15" hidden="false" customHeight="false" outlineLevel="0" collapsed="false">
      <c r="A1216" s="32"/>
      <c r="B1216" s="19"/>
      <c r="C1216" s="19"/>
      <c r="D1216" s="19"/>
      <c r="E1216" s="21"/>
      <c r="F1216" s="19"/>
      <c r="G1216" s="27" t="str">
        <f aca="false">IF(B1216="","",IFERROR(INDEX(Jeux!$C$2:$C$3001,MATCH(B1216,Jeux!$A$2:$A$3001,0))&amp;"","⚠ jeu inconnu"))</f>
        <v/>
      </c>
      <c r="H1216" s="27" t="str">
        <f aca="false">IF(B1216="","",IFERROR(INDEX(Jeux!$D$2:$D$3001,MATCH(B1216,Jeux!$A$2:$A$3001,0))&amp;"",""))</f>
        <v/>
      </c>
      <c r="I1216" s="26" t="str">
        <f aca="false">IF(A1216="","",COUNTIF(Apparitions!$G$2:$G$5001,A1216))</f>
        <v/>
      </c>
      <c r="J1216" s="26" t="str">
        <f aca="false">IF(A1216="","",COUNTIFS(Apparitions!$G$2:$G$5001,A1216,Apparitions!$E$2:$E$5001,"○"))</f>
        <v/>
      </c>
      <c r="K1216" s="29" t="str">
        <f aca="false">IF(A1216="","",IFERROR(1/(1/_xlfn.MINIFS(Apparitions!$L$2:$L$5001,Apparitions!$G$2:$G$5001,A1216)),""))</f>
        <v/>
      </c>
      <c r="L1216" s="27" t="str">
        <f aca="false">IF(A1216="","",A1216&amp;" | "&amp;B1216&amp;IF(C1216="",""," ("&amp;C1216&amp;")")&amp;IF(D1216="",""," - "&amp;D1216))</f>
        <v/>
      </c>
    </row>
    <row r="1217" customFormat="false" ht="15" hidden="false" customHeight="false" outlineLevel="0" collapsed="false">
      <c r="A1217" s="32"/>
      <c r="B1217" s="19"/>
      <c r="C1217" s="19"/>
      <c r="D1217" s="19"/>
      <c r="E1217" s="21"/>
      <c r="F1217" s="19"/>
      <c r="G1217" s="27" t="str">
        <f aca="false">IF(B1217="","",IFERROR(INDEX(Jeux!$C$2:$C$3001,MATCH(B1217,Jeux!$A$2:$A$3001,0))&amp;"","⚠ jeu inconnu"))</f>
        <v/>
      </c>
      <c r="H1217" s="27" t="str">
        <f aca="false">IF(B1217="","",IFERROR(INDEX(Jeux!$D$2:$D$3001,MATCH(B1217,Jeux!$A$2:$A$3001,0))&amp;"",""))</f>
        <v/>
      </c>
      <c r="I1217" s="26" t="str">
        <f aca="false">IF(A1217="","",COUNTIF(Apparitions!$G$2:$G$5001,A1217))</f>
        <v/>
      </c>
      <c r="J1217" s="26" t="str">
        <f aca="false">IF(A1217="","",COUNTIFS(Apparitions!$G$2:$G$5001,A1217,Apparitions!$E$2:$E$5001,"○"))</f>
        <v/>
      </c>
      <c r="K1217" s="29" t="str">
        <f aca="false">IF(A1217="","",IFERROR(1/(1/_xlfn.MINIFS(Apparitions!$L$2:$L$5001,Apparitions!$G$2:$G$5001,A1217)),""))</f>
        <v/>
      </c>
      <c r="L1217" s="27" t="str">
        <f aca="false">IF(A1217="","",A1217&amp;" | "&amp;B1217&amp;IF(C1217="",""," ("&amp;C1217&amp;")")&amp;IF(D1217="",""," - "&amp;D1217))</f>
        <v/>
      </c>
    </row>
    <row r="1218" customFormat="false" ht="15" hidden="false" customHeight="false" outlineLevel="0" collapsed="false">
      <c r="A1218" s="32"/>
      <c r="B1218" s="19"/>
      <c r="C1218" s="19"/>
      <c r="D1218" s="19"/>
      <c r="E1218" s="21"/>
      <c r="F1218" s="19"/>
      <c r="G1218" s="27" t="str">
        <f aca="false">IF(B1218="","",IFERROR(INDEX(Jeux!$C$2:$C$3001,MATCH(B1218,Jeux!$A$2:$A$3001,0))&amp;"","⚠ jeu inconnu"))</f>
        <v/>
      </c>
      <c r="H1218" s="27" t="str">
        <f aca="false">IF(B1218="","",IFERROR(INDEX(Jeux!$D$2:$D$3001,MATCH(B1218,Jeux!$A$2:$A$3001,0))&amp;"",""))</f>
        <v/>
      </c>
      <c r="I1218" s="26" t="str">
        <f aca="false">IF(A1218="","",COUNTIF(Apparitions!$G$2:$G$5001,A1218))</f>
        <v/>
      </c>
      <c r="J1218" s="26" t="str">
        <f aca="false">IF(A1218="","",COUNTIFS(Apparitions!$G$2:$G$5001,A1218,Apparitions!$E$2:$E$5001,"○"))</f>
        <v/>
      </c>
      <c r="K1218" s="29" t="str">
        <f aca="false">IF(A1218="","",IFERROR(1/(1/_xlfn.MINIFS(Apparitions!$L$2:$L$5001,Apparitions!$G$2:$G$5001,A1218)),""))</f>
        <v/>
      </c>
      <c r="L1218" s="27" t="str">
        <f aca="false">IF(A1218="","",A1218&amp;" | "&amp;B1218&amp;IF(C1218="",""," ("&amp;C1218&amp;")")&amp;IF(D1218="",""," - "&amp;D1218))</f>
        <v/>
      </c>
    </row>
    <row r="1219" customFormat="false" ht="15" hidden="false" customHeight="false" outlineLevel="0" collapsed="false">
      <c r="A1219" s="32"/>
      <c r="B1219" s="19"/>
      <c r="C1219" s="19"/>
      <c r="D1219" s="19"/>
      <c r="E1219" s="21"/>
      <c r="F1219" s="19"/>
      <c r="G1219" s="27" t="str">
        <f aca="false">IF(B1219="","",IFERROR(INDEX(Jeux!$C$2:$C$3001,MATCH(B1219,Jeux!$A$2:$A$3001,0))&amp;"","⚠ jeu inconnu"))</f>
        <v/>
      </c>
      <c r="H1219" s="27" t="str">
        <f aca="false">IF(B1219="","",IFERROR(INDEX(Jeux!$D$2:$D$3001,MATCH(B1219,Jeux!$A$2:$A$3001,0))&amp;"",""))</f>
        <v/>
      </c>
      <c r="I1219" s="26" t="str">
        <f aca="false">IF(A1219="","",COUNTIF(Apparitions!$G$2:$G$5001,A1219))</f>
        <v/>
      </c>
      <c r="J1219" s="26" t="str">
        <f aca="false">IF(A1219="","",COUNTIFS(Apparitions!$G$2:$G$5001,A1219,Apparitions!$E$2:$E$5001,"○"))</f>
        <v/>
      </c>
      <c r="K1219" s="29" t="str">
        <f aca="false">IF(A1219="","",IFERROR(1/(1/_xlfn.MINIFS(Apparitions!$L$2:$L$5001,Apparitions!$G$2:$G$5001,A1219)),""))</f>
        <v/>
      </c>
      <c r="L1219" s="27" t="str">
        <f aca="false">IF(A1219="","",A1219&amp;" | "&amp;B1219&amp;IF(C1219="",""," ("&amp;C1219&amp;")")&amp;IF(D1219="",""," - "&amp;D1219))</f>
        <v/>
      </c>
    </row>
    <row r="1220" customFormat="false" ht="15" hidden="false" customHeight="false" outlineLevel="0" collapsed="false">
      <c r="A1220" s="32"/>
      <c r="B1220" s="19"/>
      <c r="C1220" s="19"/>
      <c r="D1220" s="19"/>
      <c r="E1220" s="21"/>
      <c r="F1220" s="19"/>
      <c r="G1220" s="27" t="str">
        <f aca="false">IF(B1220="","",IFERROR(INDEX(Jeux!$C$2:$C$3001,MATCH(B1220,Jeux!$A$2:$A$3001,0))&amp;"","⚠ jeu inconnu"))</f>
        <v/>
      </c>
      <c r="H1220" s="27" t="str">
        <f aca="false">IF(B1220="","",IFERROR(INDEX(Jeux!$D$2:$D$3001,MATCH(B1220,Jeux!$A$2:$A$3001,0))&amp;"",""))</f>
        <v/>
      </c>
      <c r="I1220" s="26" t="str">
        <f aca="false">IF(A1220="","",COUNTIF(Apparitions!$G$2:$G$5001,A1220))</f>
        <v/>
      </c>
      <c r="J1220" s="26" t="str">
        <f aca="false">IF(A1220="","",COUNTIFS(Apparitions!$G$2:$G$5001,A1220,Apparitions!$E$2:$E$5001,"○"))</f>
        <v/>
      </c>
      <c r="K1220" s="29" t="str">
        <f aca="false">IF(A1220="","",IFERROR(1/(1/_xlfn.MINIFS(Apparitions!$L$2:$L$5001,Apparitions!$G$2:$G$5001,A1220)),""))</f>
        <v/>
      </c>
      <c r="L1220" s="27" t="str">
        <f aca="false">IF(A1220="","",A1220&amp;" | "&amp;B1220&amp;IF(C1220="",""," ("&amp;C1220&amp;")")&amp;IF(D1220="",""," - "&amp;D1220))</f>
        <v/>
      </c>
    </row>
    <row r="1221" customFormat="false" ht="15" hidden="false" customHeight="false" outlineLevel="0" collapsed="false">
      <c r="A1221" s="32"/>
      <c r="B1221" s="19"/>
      <c r="C1221" s="19"/>
      <c r="D1221" s="19"/>
      <c r="E1221" s="21"/>
      <c r="F1221" s="19"/>
      <c r="G1221" s="27" t="str">
        <f aca="false">IF(B1221="","",IFERROR(INDEX(Jeux!$C$2:$C$3001,MATCH(B1221,Jeux!$A$2:$A$3001,0))&amp;"","⚠ jeu inconnu"))</f>
        <v/>
      </c>
      <c r="H1221" s="27" t="str">
        <f aca="false">IF(B1221="","",IFERROR(INDEX(Jeux!$D$2:$D$3001,MATCH(B1221,Jeux!$A$2:$A$3001,0))&amp;"",""))</f>
        <v/>
      </c>
      <c r="I1221" s="26" t="str">
        <f aca="false">IF(A1221="","",COUNTIF(Apparitions!$G$2:$G$5001,A1221))</f>
        <v/>
      </c>
      <c r="J1221" s="26" t="str">
        <f aca="false">IF(A1221="","",COUNTIFS(Apparitions!$G$2:$G$5001,A1221,Apparitions!$E$2:$E$5001,"○"))</f>
        <v/>
      </c>
      <c r="K1221" s="29" t="str">
        <f aca="false">IF(A1221="","",IFERROR(1/(1/_xlfn.MINIFS(Apparitions!$L$2:$L$5001,Apparitions!$G$2:$G$5001,A1221)),""))</f>
        <v/>
      </c>
      <c r="L1221" s="27" t="str">
        <f aca="false">IF(A1221="","",A1221&amp;" | "&amp;B1221&amp;IF(C1221="",""," ("&amp;C1221&amp;")")&amp;IF(D1221="",""," - "&amp;D1221))</f>
        <v/>
      </c>
    </row>
    <row r="1222" customFormat="false" ht="15" hidden="false" customHeight="false" outlineLevel="0" collapsed="false">
      <c r="A1222" s="32"/>
      <c r="B1222" s="19"/>
      <c r="C1222" s="19"/>
      <c r="D1222" s="19"/>
      <c r="E1222" s="21"/>
      <c r="F1222" s="19"/>
      <c r="G1222" s="27" t="str">
        <f aca="false">IF(B1222="","",IFERROR(INDEX(Jeux!$C$2:$C$3001,MATCH(B1222,Jeux!$A$2:$A$3001,0))&amp;"","⚠ jeu inconnu"))</f>
        <v/>
      </c>
      <c r="H1222" s="27" t="str">
        <f aca="false">IF(B1222="","",IFERROR(INDEX(Jeux!$D$2:$D$3001,MATCH(B1222,Jeux!$A$2:$A$3001,0))&amp;"",""))</f>
        <v/>
      </c>
      <c r="I1222" s="26" t="str">
        <f aca="false">IF(A1222="","",COUNTIF(Apparitions!$G$2:$G$5001,A1222))</f>
        <v/>
      </c>
      <c r="J1222" s="26" t="str">
        <f aca="false">IF(A1222="","",COUNTIFS(Apparitions!$G$2:$G$5001,A1222,Apparitions!$E$2:$E$5001,"○"))</f>
        <v/>
      </c>
      <c r="K1222" s="29" t="str">
        <f aca="false">IF(A1222="","",IFERROR(1/(1/_xlfn.MINIFS(Apparitions!$L$2:$L$5001,Apparitions!$G$2:$G$5001,A1222)),""))</f>
        <v/>
      </c>
      <c r="L1222" s="27" t="str">
        <f aca="false">IF(A1222="","",A1222&amp;" | "&amp;B1222&amp;IF(C1222="",""," ("&amp;C1222&amp;")")&amp;IF(D1222="",""," - "&amp;D1222))</f>
        <v/>
      </c>
    </row>
    <row r="1223" customFormat="false" ht="15" hidden="false" customHeight="false" outlineLevel="0" collapsed="false">
      <c r="A1223" s="32"/>
      <c r="B1223" s="19"/>
      <c r="C1223" s="19"/>
      <c r="D1223" s="19"/>
      <c r="E1223" s="21"/>
      <c r="F1223" s="19"/>
      <c r="G1223" s="27" t="str">
        <f aca="false">IF(B1223="","",IFERROR(INDEX(Jeux!$C$2:$C$3001,MATCH(B1223,Jeux!$A$2:$A$3001,0))&amp;"","⚠ jeu inconnu"))</f>
        <v/>
      </c>
      <c r="H1223" s="27" t="str">
        <f aca="false">IF(B1223="","",IFERROR(INDEX(Jeux!$D$2:$D$3001,MATCH(B1223,Jeux!$A$2:$A$3001,0))&amp;"",""))</f>
        <v/>
      </c>
      <c r="I1223" s="26" t="str">
        <f aca="false">IF(A1223="","",COUNTIF(Apparitions!$G$2:$G$5001,A1223))</f>
        <v/>
      </c>
      <c r="J1223" s="26" t="str">
        <f aca="false">IF(A1223="","",COUNTIFS(Apparitions!$G$2:$G$5001,A1223,Apparitions!$E$2:$E$5001,"○"))</f>
        <v/>
      </c>
      <c r="K1223" s="29" t="str">
        <f aca="false">IF(A1223="","",IFERROR(1/(1/_xlfn.MINIFS(Apparitions!$L$2:$L$5001,Apparitions!$G$2:$G$5001,A1223)),""))</f>
        <v/>
      </c>
      <c r="L1223" s="27" t="str">
        <f aca="false">IF(A1223="","",A1223&amp;" | "&amp;B1223&amp;IF(C1223="",""," ("&amp;C1223&amp;")")&amp;IF(D1223="",""," - "&amp;D1223))</f>
        <v/>
      </c>
    </row>
    <row r="1224" customFormat="false" ht="15" hidden="false" customHeight="false" outlineLevel="0" collapsed="false">
      <c r="A1224" s="32"/>
      <c r="B1224" s="19"/>
      <c r="C1224" s="19"/>
      <c r="D1224" s="19"/>
      <c r="E1224" s="21"/>
      <c r="F1224" s="19"/>
      <c r="G1224" s="27" t="str">
        <f aca="false">IF(B1224="","",IFERROR(INDEX(Jeux!$C$2:$C$3001,MATCH(B1224,Jeux!$A$2:$A$3001,0))&amp;"","⚠ jeu inconnu"))</f>
        <v/>
      </c>
      <c r="H1224" s="27" t="str">
        <f aca="false">IF(B1224="","",IFERROR(INDEX(Jeux!$D$2:$D$3001,MATCH(B1224,Jeux!$A$2:$A$3001,0))&amp;"",""))</f>
        <v/>
      </c>
      <c r="I1224" s="26" t="str">
        <f aca="false">IF(A1224="","",COUNTIF(Apparitions!$G$2:$G$5001,A1224))</f>
        <v/>
      </c>
      <c r="J1224" s="26" t="str">
        <f aca="false">IF(A1224="","",COUNTIFS(Apparitions!$G$2:$G$5001,A1224,Apparitions!$E$2:$E$5001,"○"))</f>
        <v/>
      </c>
      <c r="K1224" s="29" t="str">
        <f aca="false">IF(A1224="","",IFERROR(1/(1/_xlfn.MINIFS(Apparitions!$L$2:$L$5001,Apparitions!$G$2:$G$5001,A1224)),""))</f>
        <v/>
      </c>
      <c r="L1224" s="27" t="str">
        <f aca="false">IF(A1224="","",A1224&amp;" | "&amp;B1224&amp;IF(C1224="",""," ("&amp;C1224&amp;")")&amp;IF(D1224="",""," - "&amp;D1224))</f>
        <v/>
      </c>
    </row>
    <row r="1225" customFormat="false" ht="15" hidden="false" customHeight="false" outlineLevel="0" collapsed="false">
      <c r="A1225" s="32"/>
      <c r="B1225" s="19"/>
      <c r="C1225" s="19"/>
      <c r="D1225" s="19"/>
      <c r="E1225" s="21"/>
      <c r="F1225" s="19"/>
      <c r="G1225" s="27" t="str">
        <f aca="false">IF(B1225="","",IFERROR(INDEX(Jeux!$C$2:$C$3001,MATCH(B1225,Jeux!$A$2:$A$3001,0))&amp;"","⚠ jeu inconnu"))</f>
        <v/>
      </c>
      <c r="H1225" s="27" t="str">
        <f aca="false">IF(B1225="","",IFERROR(INDEX(Jeux!$D$2:$D$3001,MATCH(B1225,Jeux!$A$2:$A$3001,0))&amp;"",""))</f>
        <v/>
      </c>
      <c r="I1225" s="26" t="str">
        <f aca="false">IF(A1225="","",COUNTIF(Apparitions!$G$2:$G$5001,A1225))</f>
        <v/>
      </c>
      <c r="J1225" s="26" t="str">
        <f aca="false">IF(A1225="","",COUNTIFS(Apparitions!$G$2:$G$5001,A1225,Apparitions!$E$2:$E$5001,"○"))</f>
        <v/>
      </c>
      <c r="K1225" s="29" t="str">
        <f aca="false">IF(A1225="","",IFERROR(1/(1/_xlfn.MINIFS(Apparitions!$L$2:$L$5001,Apparitions!$G$2:$G$5001,A1225)),""))</f>
        <v/>
      </c>
      <c r="L1225" s="27" t="str">
        <f aca="false">IF(A1225="","",A1225&amp;" | "&amp;B1225&amp;IF(C1225="",""," ("&amp;C1225&amp;")")&amp;IF(D1225="",""," - "&amp;D1225))</f>
        <v/>
      </c>
    </row>
    <row r="1226" customFormat="false" ht="15" hidden="false" customHeight="false" outlineLevel="0" collapsed="false">
      <c r="A1226" s="32"/>
      <c r="B1226" s="19"/>
      <c r="C1226" s="19"/>
      <c r="D1226" s="19"/>
      <c r="E1226" s="21"/>
      <c r="F1226" s="19"/>
      <c r="G1226" s="27" t="str">
        <f aca="false">IF(B1226="","",IFERROR(INDEX(Jeux!$C$2:$C$3001,MATCH(B1226,Jeux!$A$2:$A$3001,0))&amp;"","⚠ jeu inconnu"))</f>
        <v/>
      </c>
      <c r="H1226" s="27" t="str">
        <f aca="false">IF(B1226="","",IFERROR(INDEX(Jeux!$D$2:$D$3001,MATCH(B1226,Jeux!$A$2:$A$3001,0))&amp;"",""))</f>
        <v/>
      </c>
      <c r="I1226" s="26" t="str">
        <f aca="false">IF(A1226="","",COUNTIF(Apparitions!$G$2:$G$5001,A1226))</f>
        <v/>
      </c>
      <c r="J1226" s="26" t="str">
        <f aca="false">IF(A1226="","",COUNTIFS(Apparitions!$G$2:$G$5001,A1226,Apparitions!$E$2:$E$5001,"○"))</f>
        <v/>
      </c>
      <c r="K1226" s="29" t="str">
        <f aca="false">IF(A1226="","",IFERROR(1/(1/_xlfn.MINIFS(Apparitions!$L$2:$L$5001,Apparitions!$G$2:$G$5001,A1226)),""))</f>
        <v/>
      </c>
      <c r="L1226" s="27" t="str">
        <f aca="false">IF(A1226="","",A1226&amp;" | "&amp;B1226&amp;IF(C1226="",""," ("&amp;C1226&amp;")")&amp;IF(D1226="",""," - "&amp;D1226))</f>
        <v/>
      </c>
    </row>
    <row r="1227" customFormat="false" ht="15" hidden="false" customHeight="false" outlineLevel="0" collapsed="false">
      <c r="A1227" s="32"/>
      <c r="B1227" s="19"/>
      <c r="C1227" s="19"/>
      <c r="D1227" s="19"/>
      <c r="E1227" s="21"/>
      <c r="F1227" s="19"/>
      <c r="G1227" s="27" t="str">
        <f aca="false">IF(B1227="","",IFERROR(INDEX(Jeux!$C$2:$C$3001,MATCH(B1227,Jeux!$A$2:$A$3001,0))&amp;"","⚠ jeu inconnu"))</f>
        <v/>
      </c>
      <c r="H1227" s="27" t="str">
        <f aca="false">IF(B1227="","",IFERROR(INDEX(Jeux!$D$2:$D$3001,MATCH(B1227,Jeux!$A$2:$A$3001,0))&amp;"",""))</f>
        <v/>
      </c>
      <c r="I1227" s="26" t="str">
        <f aca="false">IF(A1227="","",COUNTIF(Apparitions!$G$2:$G$5001,A1227))</f>
        <v/>
      </c>
      <c r="J1227" s="26" t="str">
        <f aca="false">IF(A1227="","",COUNTIFS(Apparitions!$G$2:$G$5001,A1227,Apparitions!$E$2:$E$5001,"○"))</f>
        <v/>
      </c>
      <c r="K1227" s="29" t="str">
        <f aca="false">IF(A1227="","",IFERROR(1/(1/_xlfn.MINIFS(Apparitions!$L$2:$L$5001,Apparitions!$G$2:$G$5001,A1227)),""))</f>
        <v/>
      </c>
      <c r="L1227" s="27" t="str">
        <f aca="false">IF(A1227="","",A1227&amp;" | "&amp;B1227&amp;IF(C1227="",""," ("&amp;C1227&amp;")")&amp;IF(D1227="",""," - "&amp;D1227))</f>
        <v/>
      </c>
    </row>
    <row r="1228" customFormat="false" ht="15" hidden="false" customHeight="false" outlineLevel="0" collapsed="false">
      <c r="A1228" s="32"/>
      <c r="B1228" s="19"/>
      <c r="C1228" s="19"/>
      <c r="D1228" s="19"/>
      <c r="E1228" s="21"/>
      <c r="F1228" s="19"/>
      <c r="G1228" s="27" t="str">
        <f aca="false">IF(B1228="","",IFERROR(INDEX(Jeux!$C$2:$C$3001,MATCH(B1228,Jeux!$A$2:$A$3001,0))&amp;"","⚠ jeu inconnu"))</f>
        <v/>
      </c>
      <c r="H1228" s="27" t="str">
        <f aca="false">IF(B1228="","",IFERROR(INDEX(Jeux!$D$2:$D$3001,MATCH(B1228,Jeux!$A$2:$A$3001,0))&amp;"",""))</f>
        <v/>
      </c>
      <c r="I1228" s="26" t="str">
        <f aca="false">IF(A1228="","",COUNTIF(Apparitions!$G$2:$G$5001,A1228))</f>
        <v/>
      </c>
      <c r="J1228" s="26" t="str">
        <f aca="false">IF(A1228="","",COUNTIFS(Apparitions!$G$2:$G$5001,A1228,Apparitions!$E$2:$E$5001,"○"))</f>
        <v/>
      </c>
      <c r="K1228" s="29" t="str">
        <f aca="false">IF(A1228="","",IFERROR(1/(1/_xlfn.MINIFS(Apparitions!$L$2:$L$5001,Apparitions!$G$2:$G$5001,A1228)),""))</f>
        <v/>
      </c>
      <c r="L1228" s="27" t="str">
        <f aca="false">IF(A1228="","",A1228&amp;" | "&amp;B1228&amp;IF(C1228="",""," ("&amp;C1228&amp;")")&amp;IF(D1228="",""," - "&amp;D1228))</f>
        <v/>
      </c>
    </row>
    <row r="1229" customFormat="false" ht="15" hidden="false" customHeight="false" outlineLevel="0" collapsed="false">
      <c r="A1229" s="32"/>
      <c r="B1229" s="19"/>
      <c r="C1229" s="19"/>
      <c r="D1229" s="19"/>
      <c r="E1229" s="21"/>
      <c r="F1229" s="19"/>
      <c r="G1229" s="27" t="str">
        <f aca="false">IF(B1229="","",IFERROR(INDEX(Jeux!$C$2:$C$3001,MATCH(B1229,Jeux!$A$2:$A$3001,0))&amp;"","⚠ jeu inconnu"))</f>
        <v/>
      </c>
      <c r="H1229" s="27" t="str">
        <f aca="false">IF(B1229="","",IFERROR(INDEX(Jeux!$D$2:$D$3001,MATCH(B1229,Jeux!$A$2:$A$3001,0))&amp;"",""))</f>
        <v/>
      </c>
      <c r="I1229" s="26" t="str">
        <f aca="false">IF(A1229="","",COUNTIF(Apparitions!$G$2:$G$5001,A1229))</f>
        <v/>
      </c>
      <c r="J1229" s="26" t="str">
        <f aca="false">IF(A1229="","",COUNTIFS(Apparitions!$G$2:$G$5001,A1229,Apparitions!$E$2:$E$5001,"○"))</f>
        <v/>
      </c>
      <c r="K1229" s="29" t="str">
        <f aca="false">IF(A1229="","",IFERROR(1/(1/_xlfn.MINIFS(Apparitions!$L$2:$L$5001,Apparitions!$G$2:$G$5001,A1229)),""))</f>
        <v/>
      </c>
      <c r="L1229" s="27" t="str">
        <f aca="false">IF(A1229="","",A1229&amp;" | "&amp;B1229&amp;IF(C1229="",""," ("&amp;C1229&amp;")")&amp;IF(D1229="",""," - "&amp;D1229))</f>
        <v/>
      </c>
    </row>
    <row r="1230" customFormat="false" ht="15" hidden="false" customHeight="false" outlineLevel="0" collapsed="false">
      <c r="A1230" s="32"/>
      <c r="B1230" s="19"/>
      <c r="C1230" s="19"/>
      <c r="D1230" s="19"/>
      <c r="E1230" s="21"/>
      <c r="F1230" s="19"/>
      <c r="G1230" s="27" t="str">
        <f aca="false">IF(B1230="","",IFERROR(INDEX(Jeux!$C$2:$C$3001,MATCH(B1230,Jeux!$A$2:$A$3001,0))&amp;"","⚠ jeu inconnu"))</f>
        <v/>
      </c>
      <c r="H1230" s="27" t="str">
        <f aca="false">IF(B1230="","",IFERROR(INDEX(Jeux!$D$2:$D$3001,MATCH(B1230,Jeux!$A$2:$A$3001,0))&amp;"",""))</f>
        <v/>
      </c>
      <c r="I1230" s="26" t="str">
        <f aca="false">IF(A1230="","",COUNTIF(Apparitions!$G$2:$G$5001,A1230))</f>
        <v/>
      </c>
      <c r="J1230" s="26" t="str">
        <f aca="false">IF(A1230="","",COUNTIFS(Apparitions!$G$2:$G$5001,A1230,Apparitions!$E$2:$E$5001,"○"))</f>
        <v/>
      </c>
      <c r="K1230" s="29" t="str">
        <f aca="false">IF(A1230="","",IFERROR(1/(1/_xlfn.MINIFS(Apparitions!$L$2:$L$5001,Apparitions!$G$2:$G$5001,A1230)),""))</f>
        <v/>
      </c>
      <c r="L1230" s="27" t="str">
        <f aca="false">IF(A1230="","",A1230&amp;" | "&amp;B1230&amp;IF(C1230="",""," ("&amp;C1230&amp;")")&amp;IF(D1230="",""," - "&amp;D1230))</f>
        <v/>
      </c>
    </row>
    <row r="1231" customFormat="false" ht="15" hidden="false" customHeight="false" outlineLevel="0" collapsed="false">
      <c r="A1231" s="32"/>
      <c r="B1231" s="19"/>
      <c r="C1231" s="19"/>
      <c r="D1231" s="19"/>
      <c r="E1231" s="21"/>
      <c r="F1231" s="19"/>
      <c r="G1231" s="27" t="str">
        <f aca="false">IF(B1231="","",IFERROR(INDEX(Jeux!$C$2:$C$3001,MATCH(B1231,Jeux!$A$2:$A$3001,0))&amp;"","⚠ jeu inconnu"))</f>
        <v/>
      </c>
      <c r="H1231" s="27" t="str">
        <f aca="false">IF(B1231="","",IFERROR(INDEX(Jeux!$D$2:$D$3001,MATCH(B1231,Jeux!$A$2:$A$3001,0))&amp;"",""))</f>
        <v/>
      </c>
      <c r="I1231" s="26" t="str">
        <f aca="false">IF(A1231="","",COUNTIF(Apparitions!$G$2:$G$5001,A1231))</f>
        <v/>
      </c>
      <c r="J1231" s="26" t="str">
        <f aca="false">IF(A1231="","",COUNTIFS(Apparitions!$G$2:$G$5001,A1231,Apparitions!$E$2:$E$5001,"○"))</f>
        <v/>
      </c>
      <c r="K1231" s="29" t="str">
        <f aca="false">IF(A1231="","",IFERROR(1/(1/_xlfn.MINIFS(Apparitions!$L$2:$L$5001,Apparitions!$G$2:$G$5001,A1231)),""))</f>
        <v/>
      </c>
      <c r="L1231" s="27" t="str">
        <f aca="false">IF(A1231="","",A1231&amp;" | "&amp;B1231&amp;IF(C1231="",""," ("&amp;C1231&amp;")")&amp;IF(D1231="",""," - "&amp;D1231))</f>
        <v/>
      </c>
    </row>
    <row r="1232" customFormat="false" ht="15" hidden="false" customHeight="false" outlineLevel="0" collapsed="false">
      <c r="A1232" s="32"/>
      <c r="B1232" s="19"/>
      <c r="C1232" s="19"/>
      <c r="D1232" s="19"/>
      <c r="E1232" s="21"/>
      <c r="F1232" s="19"/>
      <c r="G1232" s="27" t="str">
        <f aca="false">IF(B1232="","",IFERROR(INDEX(Jeux!$C$2:$C$3001,MATCH(B1232,Jeux!$A$2:$A$3001,0))&amp;"","⚠ jeu inconnu"))</f>
        <v/>
      </c>
      <c r="H1232" s="27" t="str">
        <f aca="false">IF(B1232="","",IFERROR(INDEX(Jeux!$D$2:$D$3001,MATCH(B1232,Jeux!$A$2:$A$3001,0))&amp;"",""))</f>
        <v/>
      </c>
      <c r="I1232" s="26" t="str">
        <f aca="false">IF(A1232="","",COUNTIF(Apparitions!$G$2:$G$5001,A1232))</f>
        <v/>
      </c>
      <c r="J1232" s="26" t="str">
        <f aca="false">IF(A1232="","",COUNTIFS(Apparitions!$G$2:$G$5001,A1232,Apparitions!$E$2:$E$5001,"○"))</f>
        <v/>
      </c>
      <c r="K1232" s="29" t="str">
        <f aca="false">IF(A1232="","",IFERROR(1/(1/_xlfn.MINIFS(Apparitions!$L$2:$L$5001,Apparitions!$G$2:$G$5001,A1232)),""))</f>
        <v/>
      </c>
      <c r="L1232" s="27" t="str">
        <f aca="false">IF(A1232="","",A1232&amp;" | "&amp;B1232&amp;IF(C1232="",""," ("&amp;C1232&amp;")")&amp;IF(D1232="",""," - "&amp;D1232))</f>
        <v/>
      </c>
    </row>
    <row r="1233" customFormat="false" ht="15" hidden="false" customHeight="false" outlineLevel="0" collapsed="false">
      <c r="A1233" s="32"/>
      <c r="B1233" s="19"/>
      <c r="C1233" s="19"/>
      <c r="D1233" s="19"/>
      <c r="E1233" s="21"/>
      <c r="F1233" s="19"/>
      <c r="G1233" s="27" t="str">
        <f aca="false">IF(B1233="","",IFERROR(INDEX(Jeux!$C$2:$C$3001,MATCH(B1233,Jeux!$A$2:$A$3001,0))&amp;"","⚠ jeu inconnu"))</f>
        <v/>
      </c>
      <c r="H1233" s="27" t="str">
        <f aca="false">IF(B1233="","",IFERROR(INDEX(Jeux!$D$2:$D$3001,MATCH(B1233,Jeux!$A$2:$A$3001,0))&amp;"",""))</f>
        <v/>
      </c>
      <c r="I1233" s="26" t="str">
        <f aca="false">IF(A1233="","",COUNTIF(Apparitions!$G$2:$G$5001,A1233))</f>
        <v/>
      </c>
      <c r="J1233" s="26" t="str">
        <f aca="false">IF(A1233="","",COUNTIFS(Apparitions!$G$2:$G$5001,A1233,Apparitions!$E$2:$E$5001,"○"))</f>
        <v/>
      </c>
      <c r="K1233" s="29" t="str">
        <f aca="false">IF(A1233="","",IFERROR(1/(1/_xlfn.MINIFS(Apparitions!$L$2:$L$5001,Apparitions!$G$2:$G$5001,A1233)),""))</f>
        <v/>
      </c>
      <c r="L1233" s="27" t="str">
        <f aca="false">IF(A1233="","",A1233&amp;" | "&amp;B1233&amp;IF(C1233="",""," ("&amp;C1233&amp;")")&amp;IF(D1233="",""," - "&amp;D1233))</f>
        <v/>
      </c>
    </row>
    <row r="1234" customFormat="false" ht="15" hidden="false" customHeight="false" outlineLevel="0" collapsed="false">
      <c r="A1234" s="32"/>
      <c r="B1234" s="19"/>
      <c r="C1234" s="19"/>
      <c r="D1234" s="19"/>
      <c r="E1234" s="21"/>
      <c r="F1234" s="19"/>
      <c r="G1234" s="27" t="str">
        <f aca="false">IF(B1234="","",IFERROR(INDEX(Jeux!$C$2:$C$3001,MATCH(B1234,Jeux!$A$2:$A$3001,0))&amp;"","⚠ jeu inconnu"))</f>
        <v/>
      </c>
      <c r="H1234" s="27" t="str">
        <f aca="false">IF(B1234="","",IFERROR(INDEX(Jeux!$D$2:$D$3001,MATCH(B1234,Jeux!$A$2:$A$3001,0))&amp;"",""))</f>
        <v/>
      </c>
      <c r="I1234" s="26" t="str">
        <f aca="false">IF(A1234="","",COUNTIF(Apparitions!$G$2:$G$5001,A1234))</f>
        <v/>
      </c>
      <c r="J1234" s="26" t="str">
        <f aca="false">IF(A1234="","",COUNTIFS(Apparitions!$G$2:$G$5001,A1234,Apparitions!$E$2:$E$5001,"○"))</f>
        <v/>
      </c>
      <c r="K1234" s="29" t="str">
        <f aca="false">IF(A1234="","",IFERROR(1/(1/_xlfn.MINIFS(Apparitions!$L$2:$L$5001,Apparitions!$G$2:$G$5001,A1234)),""))</f>
        <v/>
      </c>
      <c r="L1234" s="27" t="str">
        <f aca="false">IF(A1234="","",A1234&amp;" | "&amp;B1234&amp;IF(C1234="",""," ("&amp;C1234&amp;")")&amp;IF(D1234="",""," - "&amp;D1234))</f>
        <v/>
      </c>
    </row>
    <row r="1235" customFormat="false" ht="15" hidden="false" customHeight="false" outlineLevel="0" collapsed="false">
      <c r="A1235" s="32"/>
      <c r="B1235" s="19"/>
      <c r="C1235" s="19"/>
      <c r="D1235" s="19"/>
      <c r="E1235" s="21"/>
      <c r="F1235" s="19"/>
      <c r="G1235" s="27" t="str">
        <f aca="false">IF(B1235="","",IFERROR(INDEX(Jeux!$C$2:$C$3001,MATCH(B1235,Jeux!$A$2:$A$3001,0))&amp;"","⚠ jeu inconnu"))</f>
        <v/>
      </c>
      <c r="H1235" s="27" t="str">
        <f aca="false">IF(B1235="","",IFERROR(INDEX(Jeux!$D$2:$D$3001,MATCH(B1235,Jeux!$A$2:$A$3001,0))&amp;"",""))</f>
        <v/>
      </c>
      <c r="I1235" s="26" t="str">
        <f aca="false">IF(A1235="","",COUNTIF(Apparitions!$G$2:$G$5001,A1235))</f>
        <v/>
      </c>
      <c r="J1235" s="26" t="str">
        <f aca="false">IF(A1235="","",COUNTIFS(Apparitions!$G$2:$G$5001,A1235,Apparitions!$E$2:$E$5001,"○"))</f>
        <v/>
      </c>
      <c r="K1235" s="29" t="str">
        <f aca="false">IF(A1235="","",IFERROR(1/(1/_xlfn.MINIFS(Apparitions!$L$2:$L$5001,Apparitions!$G$2:$G$5001,A1235)),""))</f>
        <v/>
      </c>
      <c r="L1235" s="27" t="str">
        <f aca="false">IF(A1235="","",A1235&amp;" | "&amp;B1235&amp;IF(C1235="",""," ("&amp;C1235&amp;")")&amp;IF(D1235="",""," - "&amp;D1235))</f>
        <v/>
      </c>
    </row>
    <row r="1236" customFormat="false" ht="15" hidden="false" customHeight="false" outlineLevel="0" collapsed="false">
      <c r="A1236" s="32"/>
      <c r="B1236" s="19"/>
      <c r="C1236" s="19"/>
      <c r="D1236" s="19"/>
      <c r="E1236" s="21"/>
      <c r="F1236" s="19"/>
      <c r="G1236" s="27" t="str">
        <f aca="false">IF(B1236="","",IFERROR(INDEX(Jeux!$C$2:$C$3001,MATCH(B1236,Jeux!$A$2:$A$3001,0))&amp;"","⚠ jeu inconnu"))</f>
        <v/>
      </c>
      <c r="H1236" s="27" t="str">
        <f aca="false">IF(B1236="","",IFERROR(INDEX(Jeux!$D$2:$D$3001,MATCH(B1236,Jeux!$A$2:$A$3001,0))&amp;"",""))</f>
        <v/>
      </c>
      <c r="I1236" s="26" t="str">
        <f aca="false">IF(A1236="","",COUNTIF(Apparitions!$G$2:$G$5001,A1236))</f>
        <v/>
      </c>
      <c r="J1236" s="26" t="str">
        <f aca="false">IF(A1236="","",COUNTIFS(Apparitions!$G$2:$G$5001,A1236,Apparitions!$E$2:$E$5001,"○"))</f>
        <v/>
      </c>
      <c r="K1236" s="29" t="str">
        <f aca="false">IF(A1236="","",IFERROR(1/(1/_xlfn.MINIFS(Apparitions!$L$2:$L$5001,Apparitions!$G$2:$G$5001,A1236)),""))</f>
        <v/>
      </c>
      <c r="L1236" s="27" t="str">
        <f aca="false">IF(A1236="","",A1236&amp;" | "&amp;B1236&amp;IF(C1236="",""," ("&amp;C1236&amp;")")&amp;IF(D1236="",""," - "&amp;D1236))</f>
        <v/>
      </c>
    </row>
    <row r="1237" customFormat="false" ht="15" hidden="false" customHeight="false" outlineLevel="0" collapsed="false">
      <c r="A1237" s="32"/>
      <c r="B1237" s="19"/>
      <c r="C1237" s="19"/>
      <c r="D1237" s="19"/>
      <c r="E1237" s="21"/>
      <c r="F1237" s="19"/>
      <c r="G1237" s="27" t="str">
        <f aca="false">IF(B1237="","",IFERROR(INDEX(Jeux!$C$2:$C$3001,MATCH(B1237,Jeux!$A$2:$A$3001,0))&amp;"","⚠ jeu inconnu"))</f>
        <v/>
      </c>
      <c r="H1237" s="27" t="str">
        <f aca="false">IF(B1237="","",IFERROR(INDEX(Jeux!$D$2:$D$3001,MATCH(B1237,Jeux!$A$2:$A$3001,0))&amp;"",""))</f>
        <v/>
      </c>
      <c r="I1237" s="26" t="str">
        <f aca="false">IF(A1237="","",COUNTIF(Apparitions!$G$2:$G$5001,A1237))</f>
        <v/>
      </c>
      <c r="J1237" s="26" t="str">
        <f aca="false">IF(A1237="","",COUNTIFS(Apparitions!$G$2:$G$5001,A1237,Apparitions!$E$2:$E$5001,"○"))</f>
        <v/>
      </c>
      <c r="K1237" s="29" t="str">
        <f aca="false">IF(A1237="","",IFERROR(1/(1/_xlfn.MINIFS(Apparitions!$L$2:$L$5001,Apparitions!$G$2:$G$5001,A1237)),""))</f>
        <v/>
      </c>
      <c r="L1237" s="27" t="str">
        <f aca="false">IF(A1237="","",A1237&amp;" | "&amp;B1237&amp;IF(C1237="",""," ("&amp;C1237&amp;")")&amp;IF(D1237="",""," - "&amp;D1237))</f>
        <v/>
      </c>
    </row>
    <row r="1238" customFormat="false" ht="15" hidden="false" customHeight="false" outlineLevel="0" collapsed="false">
      <c r="A1238" s="32"/>
      <c r="B1238" s="19"/>
      <c r="C1238" s="19"/>
      <c r="D1238" s="19"/>
      <c r="E1238" s="21"/>
      <c r="F1238" s="19"/>
      <c r="G1238" s="27" t="str">
        <f aca="false">IF(B1238="","",IFERROR(INDEX(Jeux!$C$2:$C$3001,MATCH(B1238,Jeux!$A$2:$A$3001,0))&amp;"","⚠ jeu inconnu"))</f>
        <v/>
      </c>
      <c r="H1238" s="27" t="str">
        <f aca="false">IF(B1238="","",IFERROR(INDEX(Jeux!$D$2:$D$3001,MATCH(B1238,Jeux!$A$2:$A$3001,0))&amp;"",""))</f>
        <v/>
      </c>
      <c r="I1238" s="26" t="str">
        <f aca="false">IF(A1238="","",COUNTIF(Apparitions!$G$2:$G$5001,A1238))</f>
        <v/>
      </c>
      <c r="J1238" s="26" t="str">
        <f aca="false">IF(A1238="","",COUNTIFS(Apparitions!$G$2:$G$5001,A1238,Apparitions!$E$2:$E$5001,"○"))</f>
        <v/>
      </c>
      <c r="K1238" s="29" t="str">
        <f aca="false">IF(A1238="","",IFERROR(1/(1/_xlfn.MINIFS(Apparitions!$L$2:$L$5001,Apparitions!$G$2:$G$5001,A1238)),""))</f>
        <v/>
      </c>
      <c r="L1238" s="27" t="str">
        <f aca="false">IF(A1238="","",A1238&amp;" | "&amp;B1238&amp;IF(C1238="",""," ("&amp;C1238&amp;")")&amp;IF(D1238="",""," - "&amp;D1238))</f>
        <v/>
      </c>
    </row>
    <row r="1239" customFormat="false" ht="15" hidden="false" customHeight="false" outlineLevel="0" collapsed="false">
      <c r="A1239" s="32"/>
      <c r="B1239" s="19"/>
      <c r="C1239" s="19"/>
      <c r="D1239" s="19"/>
      <c r="E1239" s="21"/>
      <c r="F1239" s="19"/>
      <c r="G1239" s="27" t="str">
        <f aca="false">IF(B1239="","",IFERROR(INDEX(Jeux!$C$2:$C$3001,MATCH(B1239,Jeux!$A$2:$A$3001,0))&amp;"","⚠ jeu inconnu"))</f>
        <v/>
      </c>
      <c r="H1239" s="27" t="str">
        <f aca="false">IF(B1239="","",IFERROR(INDEX(Jeux!$D$2:$D$3001,MATCH(B1239,Jeux!$A$2:$A$3001,0))&amp;"",""))</f>
        <v/>
      </c>
      <c r="I1239" s="26" t="str">
        <f aca="false">IF(A1239="","",COUNTIF(Apparitions!$G$2:$G$5001,A1239))</f>
        <v/>
      </c>
      <c r="J1239" s="26" t="str">
        <f aca="false">IF(A1239="","",COUNTIFS(Apparitions!$G$2:$G$5001,A1239,Apparitions!$E$2:$E$5001,"○"))</f>
        <v/>
      </c>
      <c r="K1239" s="29" t="str">
        <f aca="false">IF(A1239="","",IFERROR(1/(1/_xlfn.MINIFS(Apparitions!$L$2:$L$5001,Apparitions!$G$2:$G$5001,A1239)),""))</f>
        <v/>
      </c>
      <c r="L1239" s="27" t="str">
        <f aca="false">IF(A1239="","",A1239&amp;" | "&amp;B1239&amp;IF(C1239="",""," ("&amp;C1239&amp;")")&amp;IF(D1239="",""," - "&amp;D1239))</f>
        <v/>
      </c>
    </row>
    <row r="1240" customFormat="false" ht="15" hidden="false" customHeight="false" outlineLevel="0" collapsed="false">
      <c r="A1240" s="32"/>
      <c r="B1240" s="19"/>
      <c r="C1240" s="19"/>
      <c r="D1240" s="19"/>
      <c r="E1240" s="21"/>
      <c r="F1240" s="19"/>
      <c r="G1240" s="27" t="str">
        <f aca="false">IF(B1240="","",IFERROR(INDEX(Jeux!$C$2:$C$3001,MATCH(B1240,Jeux!$A$2:$A$3001,0))&amp;"","⚠ jeu inconnu"))</f>
        <v/>
      </c>
      <c r="H1240" s="27" t="str">
        <f aca="false">IF(B1240="","",IFERROR(INDEX(Jeux!$D$2:$D$3001,MATCH(B1240,Jeux!$A$2:$A$3001,0))&amp;"",""))</f>
        <v/>
      </c>
      <c r="I1240" s="26" t="str">
        <f aca="false">IF(A1240="","",COUNTIF(Apparitions!$G$2:$G$5001,A1240))</f>
        <v/>
      </c>
      <c r="J1240" s="26" t="str">
        <f aca="false">IF(A1240="","",COUNTIFS(Apparitions!$G$2:$G$5001,A1240,Apparitions!$E$2:$E$5001,"○"))</f>
        <v/>
      </c>
      <c r="K1240" s="29" t="str">
        <f aca="false">IF(A1240="","",IFERROR(1/(1/_xlfn.MINIFS(Apparitions!$L$2:$L$5001,Apparitions!$G$2:$G$5001,A1240)),""))</f>
        <v/>
      </c>
      <c r="L1240" s="27" t="str">
        <f aca="false">IF(A1240="","",A1240&amp;" | "&amp;B1240&amp;IF(C1240="",""," ("&amp;C1240&amp;")")&amp;IF(D1240="",""," - "&amp;D1240))</f>
        <v/>
      </c>
    </row>
    <row r="1241" customFormat="false" ht="15" hidden="false" customHeight="false" outlineLevel="0" collapsed="false">
      <c r="A1241" s="32"/>
      <c r="B1241" s="19"/>
      <c r="C1241" s="19"/>
      <c r="D1241" s="19"/>
      <c r="E1241" s="21"/>
      <c r="F1241" s="19"/>
      <c r="G1241" s="27" t="str">
        <f aca="false">IF(B1241="","",IFERROR(INDEX(Jeux!$C$2:$C$3001,MATCH(B1241,Jeux!$A$2:$A$3001,0))&amp;"","⚠ jeu inconnu"))</f>
        <v/>
      </c>
      <c r="H1241" s="27" t="str">
        <f aca="false">IF(B1241="","",IFERROR(INDEX(Jeux!$D$2:$D$3001,MATCH(B1241,Jeux!$A$2:$A$3001,0))&amp;"",""))</f>
        <v/>
      </c>
      <c r="I1241" s="26" t="str">
        <f aca="false">IF(A1241="","",COUNTIF(Apparitions!$G$2:$G$5001,A1241))</f>
        <v/>
      </c>
      <c r="J1241" s="26" t="str">
        <f aca="false">IF(A1241="","",COUNTIFS(Apparitions!$G$2:$G$5001,A1241,Apparitions!$E$2:$E$5001,"○"))</f>
        <v/>
      </c>
      <c r="K1241" s="29" t="str">
        <f aca="false">IF(A1241="","",IFERROR(1/(1/_xlfn.MINIFS(Apparitions!$L$2:$L$5001,Apparitions!$G$2:$G$5001,A1241)),""))</f>
        <v/>
      </c>
      <c r="L1241" s="27" t="str">
        <f aca="false">IF(A1241="","",A1241&amp;" | "&amp;B1241&amp;IF(C1241="",""," ("&amp;C1241&amp;")")&amp;IF(D1241="",""," - "&amp;D1241))</f>
        <v/>
      </c>
    </row>
    <row r="1242" customFormat="false" ht="15" hidden="false" customHeight="false" outlineLevel="0" collapsed="false">
      <c r="A1242" s="32"/>
      <c r="B1242" s="19"/>
      <c r="C1242" s="19"/>
      <c r="D1242" s="19"/>
      <c r="E1242" s="21"/>
      <c r="F1242" s="19"/>
      <c r="G1242" s="27" t="str">
        <f aca="false">IF(B1242="","",IFERROR(INDEX(Jeux!$C$2:$C$3001,MATCH(B1242,Jeux!$A$2:$A$3001,0))&amp;"","⚠ jeu inconnu"))</f>
        <v/>
      </c>
      <c r="H1242" s="27" t="str">
        <f aca="false">IF(B1242="","",IFERROR(INDEX(Jeux!$D$2:$D$3001,MATCH(B1242,Jeux!$A$2:$A$3001,0))&amp;"",""))</f>
        <v/>
      </c>
      <c r="I1242" s="26" t="str">
        <f aca="false">IF(A1242="","",COUNTIF(Apparitions!$G$2:$G$5001,A1242))</f>
        <v/>
      </c>
      <c r="J1242" s="26" t="str">
        <f aca="false">IF(A1242="","",COUNTIFS(Apparitions!$G$2:$G$5001,A1242,Apparitions!$E$2:$E$5001,"○"))</f>
        <v/>
      </c>
      <c r="K1242" s="29" t="str">
        <f aca="false">IF(A1242="","",IFERROR(1/(1/_xlfn.MINIFS(Apparitions!$L$2:$L$5001,Apparitions!$G$2:$G$5001,A1242)),""))</f>
        <v/>
      </c>
      <c r="L1242" s="27" t="str">
        <f aca="false">IF(A1242="","",A1242&amp;" | "&amp;B1242&amp;IF(C1242="",""," ("&amp;C1242&amp;")")&amp;IF(D1242="",""," - "&amp;D1242))</f>
        <v/>
      </c>
    </row>
    <row r="1243" customFormat="false" ht="15" hidden="false" customHeight="false" outlineLevel="0" collapsed="false">
      <c r="A1243" s="32"/>
      <c r="B1243" s="19"/>
      <c r="C1243" s="19"/>
      <c r="D1243" s="19"/>
      <c r="E1243" s="21"/>
      <c r="F1243" s="19"/>
      <c r="G1243" s="27" t="str">
        <f aca="false">IF(B1243="","",IFERROR(INDEX(Jeux!$C$2:$C$3001,MATCH(B1243,Jeux!$A$2:$A$3001,0))&amp;"","⚠ jeu inconnu"))</f>
        <v/>
      </c>
      <c r="H1243" s="27" t="str">
        <f aca="false">IF(B1243="","",IFERROR(INDEX(Jeux!$D$2:$D$3001,MATCH(B1243,Jeux!$A$2:$A$3001,0))&amp;"",""))</f>
        <v/>
      </c>
      <c r="I1243" s="26" t="str">
        <f aca="false">IF(A1243="","",COUNTIF(Apparitions!$G$2:$G$5001,A1243))</f>
        <v/>
      </c>
      <c r="J1243" s="26" t="str">
        <f aca="false">IF(A1243="","",COUNTIFS(Apparitions!$G$2:$G$5001,A1243,Apparitions!$E$2:$E$5001,"○"))</f>
        <v/>
      </c>
      <c r="K1243" s="29" t="str">
        <f aca="false">IF(A1243="","",IFERROR(1/(1/_xlfn.MINIFS(Apparitions!$L$2:$L$5001,Apparitions!$G$2:$G$5001,A1243)),""))</f>
        <v/>
      </c>
      <c r="L1243" s="27" t="str">
        <f aca="false">IF(A1243="","",A1243&amp;" | "&amp;B1243&amp;IF(C1243="",""," ("&amp;C1243&amp;")")&amp;IF(D1243="",""," - "&amp;D1243))</f>
        <v/>
      </c>
    </row>
    <row r="1244" customFormat="false" ht="15" hidden="false" customHeight="false" outlineLevel="0" collapsed="false">
      <c r="A1244" s="32"/>
      <c r="B1244" s="19"/>
      <c r="C1244" s="19"/>
      <c r="D1244" s="19"/>
      <c r="E1244" s="21"/>
      <c r="F1244" s="19"/>
      <c r="G1244" s="27" t="str">
        <f aca="false">IF(B1244="","",IFERROR(INDEX(Jeux!$C$2:$C$3001,MATCH(B1244,Jeux!$A$2:$A$3001,0))&amp;"","⚠ jeu inconnu"))</f>
        <v/>
      </c>
      <c r="H1244" s="27" t="str">
        <f aca="false">IF(B1244="","",IFERROR(INDEX(Jeux!$D$2:$D$3001,MATCH(B1244,Jeux!$A$2:$A$3001,0))&amp;"",""))</f>
        <v/>
      </c>
      <c r="I1244" s="26" t="str">
        <f aca="false">IF(A1244="","",COUNTIF(Apparitions!$G$2:$G$5001,A1244))</f>
        <v/>
      </c>
      <c r="J1244" s="26" t="str">
        <f aca="false">IF(A1244="","",COUNTIFS(Apparitions!$G$2:$G$5001,A1244,Apparitions!$E$2:$E$5001,"○"))</f>
        <v/>
      </c>
      <c r="K1244" s="29" t="str">
        <f aca="false">IF(A1244="","",IFERROR(1/(1/_xlfn.MINIFS(Apparitions!$L$2:$L$5001,Apparitions!$G$2:$G$5001,A1244)),""))</f>
        <v/>
      </c>
      <c r="L1244" s="27" t="str">
        <f aca="false">IF(A1244="","",A1244&amp;" | "&amp;B1244&amp;IF(C1244="",""," ("&amp;C1244&amp;")")&amp;IF(D1244="",""," - "&amp;D1244))</f>
        <v/>
      </c>
    </row>
    <row r="1245" customFormat="false" ht="15" hidden="false" customHeight="false" outlineLevel="0" collapsed="false">
      <c r="A1245" s="32"/>
      <c r="B1245" s="19"/>
      <c r="C1245" s="19"/>
      <c r="D1245" s="19"/>
      <c r="E1245" s="21"/>
      <c r="F1245" s="19"/>
      <c r="G1245" s="27" t="str">
        <f aca="false">IF(B1245="","",IFERROR(INDEX(Jeux!$C$2:$C$3001,MATCH(B1245,Jeux!$A$2:$A$3001,0))&amp;"","⚠ jeu inconnu"))</f>
        <v/>
      </c>
      <c r="H1245" s="27" t="str">
        <f aca="false">IF(B1245="","",IFERROR(INDEX(Jeux!$D$2:$D$3001,MATCH(B1245,Jeux!$A$2:$A$3001,0))&amp;"",""))</f>
        <v/>
      </c>
      <c r="I1245" s="26" t="str">
        <f aca="false">IF(A1245="","",COUNTIF(Apparitions!$G$2:$G$5001,A1245))</f>
        <v/>
      </c>
      <c r="J1245" s="26" t="str">
        <f aca="false">IF(A1245="","",COUNTIFS(Apparitions!$G$2:$G$5001,A1245,Apparitions!$E$2:$E$5001,"○"))</f>
        <v/>
      </c>
      <c r="K1245" s="29" t="str">
        <f aca="false">IF(A1245="","",IFERROR(1/(1/_xlfn.MINIFS(Apparitions!$L$2:$L$5001,Apparitions!$G$2:$G$5001,A1245)),""))</f>
        <v/>
      </c>
      <c r="L1245" s="27" t="str">
        <f aca="false">IF(A1245="","",A1245&amp;" | "&amp;B1245&amp;IF(C1245="",""," ("&amp;C1245&amp;")")&amp;IF(D1245="",""," - "&amp;D1245))</f>
        <v/>
      </c>
    </row>
    <row r="1246" customFormat="false" ht="15" hidden="false" customHeight="false" outlineLevel="0" collapsed="false">
      <c r="A1246" s="32"/>
      <c r="B1246" s="19"/>
      <c r="C1246" s="19"/>
      <c r="D1246" s="19"/>
      <c r="E1246" s="21"/>
      <c r="F1246" s="19"/>
      <c r="G1246" s="27" t="str">
        <f aca="false">IF(B1246="","",IFERROR(INDEX(Jeux!$C$2:$C$3001,MATCH(B1246,Jeux!$A$2:$A$3001,0))&amp;"","⚠ jeu inconnu"))</f>
        <v/>
      </c>
      <c r="H1246" s="27" t="str">
        <f aca="false">IF(B1246="","",IFERROR(INDEX(Jeux!$D$2:$D$3001,MATCH(B1246,Jeux!$A$2:$A$3001,0))&amp;"",""))</f>
        <v/>
      </c>
      <c r="I1246" s="26" t="str">
        <f aca="false">IF(A1246="","",COUNTIF(Apparitions!$G$2:$G$5001,A1246))</f>
        <v/>
      </c>
      <c r="J1246" s="26" t="str">
        <f aca="false">IF(A1246="","",COUNTIFS(Apparitions!$G$2:$G$5001,A1246,Apparitions!$E$2:$E$5001,"○"))</f>
        <v/>
      </c>
      <c r="K1246" s="29" t="str">
        <f aca="false">IF(A1246="","",IFERROR(1/(1/_xlfn.MINIFS(Apparitions!$L$2:$L$5001,Apparitions!$G$2:$G$5001,A1246)),""))</f>
        <v/>
      </c>
      <c r="L1246" s="27" t="str">
        <f aca="false">IF(A1246="","",A1246&amp;" | "&amp;B1246&amp;IF(C1246="",""," ("&amp;C1246&amp;")")&amp;IF(D1246="",""," - "&amp;D1246))</f>
        <v/>
      </c>
    </row>
    <row r="1247" customFormat="false" ht="15" hidden="false" customHeight="false" outlineLevel="0" collapsed="false">
      <c r="A1247" s="32"/>
      <c r="B1247" s="19"/>
      <c r="C1247" s="19"/>
      <c r="D1247" s="19"/>
      <c r="E1247" s="21"/>
      <c r="F1247" s="19"/>
      <c r="G1247" s="27" t="str">
        <f aca="false">IF(B1247="","",IFERROR(INDEX(Jeux!$C$2:$C$3001,MATCH(B1247,Jeux!$A$2:$A$3001,0))&amp;"","⚠ jeu inconnu"))</f>
        <v/>
      </c>
      <c r="H1247" s="27" t="str">
        <f aca="false">IF(B1247="","",IFERROR(INDEX(Jeux!$D$2:$D$3001,MATCH(B1247,Jeux!$A$2:$A$3001,0))&amp;"",""))</f>
        <v/>
      </c>
      <c r="I1247" s="26" t="str">
        <f aca="false">IF(A1247="","",COUNTIF(Apparitions!$G$2:$G$5001,A1247))</f>
        <v/>
      </c>
      <c r="J1247" s="26" t="str">
        <f aca="false">IF(A1247="","",COUNTIFS(Apparitions!$G$2:$G$5001,A1247,Apparitions!$E$2:$E$5001,"○"))</f>
        <v/>
      </c>
      <c r="K1247" s="29" t="str">
        <f aca="false">IF(A1247="","",IFERROR(1/(1/_xlfn.MINIFS(Apparitions!$L$2:$L$5001,Apparitions!$G$2:$G$5001,A1247)),""))</f>
        <v/>
      </c>
      <c r="L1247" s="27" t="str">
        <f aca="false">IF(A1247="","",A1247&amp;" | "&amp;B1247&amp;IF(C1247="",""," ("&amp;C1247&amp;")")&amp;IF(D1247="",""," - "&amp;D1247))</f>
        <v/>
      </c>
    </row>
    <row r="1248" customFormat="false" ht="15" hidden="false" customHeight="false" outlineLevel="0" collapsed="false">
      <c r="A1248" s="32"/>
      <c r="B1248" s="19"/>
      <c r="C1248" s="19"/>
      <c r="D1248" s="19"/>
      <c r="E1248" s="21"/>
      <c r="F1248" s="19"/>
      <c r="G1248" s="27" t="str">
        <f aca="false">IF(B1248="","",IFERROR(INDEX(Jeux!$C$2:$C$3001,MATCH(B1248,Jeux!$A$2:$A$3001,0))&amp;"","⚠ jeu inconnu"))</f>
        <v/>
      </c>
      <c r="H1248" s="27" t="str">
        <f aca="false">IF(B1248="","",IFERROR(INDEX(Jeux!$D$2:$D$3001,MATCH(B1248,Jeux!$A$2:$A$3001,0))&amp;"",""))</f>
        <v/>
      </c>
      <c r="I1248" s="26" t="str">
        <f aca="false">IF(A1248="","",COUNTIF(Apparitions!$G$2:$G$5001,A1248))</f>
        <v/>
      </c>
      <c r="J1248" s="26" t="str">
        <f aca="false">IF(A1248="","",COUNTIFS(Apparitions!$G$2:$G$5001,A1248,Apparitions!$E$2:$E$5001,"○"))</f>
        <v/>
      </c>
      <c r="K1248" s="29" t="str">
        <f aca="false">IF(A1248="","",IFERROR(1/(1/_xlfn.MINIFS(Apparitions!$L$2:$L$5001,Apparitions!$G$2:$G$5001,A1248)),""))</f>
        <v/>
      </c>
      <c r="L1248" s="27" t="str">
        <f aca="false">IF(A1248="","",A1248&amp;" | "&amp;B1248&amp;IF(C1248="",""," ("&amp;C1248&amp;")")&amp;IF(D1248="",""," - "&amp;D1248))</f>
        <v/>
      </c>
    </row>
    <row r="1249" customFormat="false" ht="15" hidden="false" customHeight="false" outlineLevel="0" collapsed="false">
      <c r="A1249" s="32"/>
      <c r="B1249" s="19"/>
      <c r="C1249" s="19"/>
      <c r="D1249" s="19"/>
      <c r="E1249" s="21"/>
      <c r="F1249" s="19"/>
      <c r="G1249" s="27" t="str">
        <f aca="false">IF(B1249="","",IFERROR(INDEX(Jeux!$C$2:$C$3001,MATCH(B1249,Jeux!$A$2:$A$3001,0))&amp;"","⚠ jeu inconnu"))</f>
        <v/>
      </c>
      <c r="H1249" s="27" t="str">
        <f aca="false">IF(B1249="","",IFERROR(INDEX(Jeux!$D$2:$D$3001,MATCH(B1249,Jeux!$A$2:$A$3001,0))&amp;"",""))</f>
        <v/>
      </c>
      <c r="I1249" s="26" t="str">
        <f aca="false">IF(A1249="","",COUNTIF(Apparitions!$G$2:$G$5001,A1249))</f>
        <v/>
      </c>
      <c r="J1249" s="26" t="str">
        <f aca="false">IF(A1249="","",COUNTIFS(Apparitions!$G$2:$G$5001,A1249,Apparitions!$E$2:$E$5001,"○"))</f>
        <v/>
      </c>
      <c r="K1249" s="29" t="str">
        <f aca="false">IF(A1249="","",IFERROR(1/(1/_xlfn.MINIFS(Apparitions!$L$2:$L$5001,Apparitions!$G$2:$G$5001,A1249)),""))</f>
        <v/>
      </c>
      <c r="L1249" s="27" t="str">
        <f aca="false">IF(A1249="","",A1249&amp;" | "&amp;B1249&amp;IF(C1249="",""," ("&amp;C1249&amp;")")&amp;IF(D1249="",""," - "&amp;D1249))</f>
        <v/>
      </c>
    </row>
    <row r="1250" customFormat="false" ht="15" hidden="false" customHeight="false" outlineLevel="0" collapsed="false">
      <c r="A1250" s="32"/>
      <c r="B1250" s="19"/>
      <c r="C1250" s="19"/>
      <c r="D1250" s="19"/>
      <c r="E1250" s="21"/>
      <c r="F1250" s="19"/>
      <c r="G1250" s="27" t="str">
        <f aca="false">IF(B1250="","",IFERROR(INDEX(Jeux!$C$2:$C$3001,MATCH(B1250,Jeux!$A$2:$A$3001,0))&amp;"","⚠ jeu inconnu"))</f>
        <v/>
      </c>
      <c r="H1250" s="27" t="str">
        <f aca="false">IF(B1250="","",IFERROR(INDEX(Jeux!$D$2:$D$3001,MATCH(B1250,Jeux!$A$2:$A$3001,0))&amp;"",""))</f>
        <v/>
      </c>
      <c r="I1250" s="26" t="str">
        <f aca="false">IF(A1250="","",COUNTIF(Apparitions!$G$2:$G$5001,A1250))</f>
        <v/>
      </c>
      <c r="J1250" s="26" t="str">
        <f aca="false">IF(A1250="","",COUNTIFS(Apparitions!$G$2:$G$5001,A1250,Apparitions!$E$2:$E$5001,"○"))</f>
        <v/>
      </c>
      <c r="K1250" s="29" t="str">
        <f aca="false">IF(A1250="","",IFERROR(1/(1/_xlfn.MINIFS(Apparitions!$L$2:$L$5001,Apparitions!$G$2:$G$5001,A1250)),""))</f>
        <v/>
      </c>
      <c r="L1250" s="27" t="str">
        <f aca="false">IF(A1250="","",A1250&amp;" | "&amp;B1250&amp;IF(C1250="",""," ("&amp;C1250&amp;")")&amp;IF(D1250="",""," - "&amp;D1250))</f>
        <v/>
      </c>
    </row>
    <row r="1251" customFormat="false" ht="15" hidden="false" customHeight="false" outlineLevel="0" collapsed="false">
      <c r="A1251" s="32"/>
      <c r="B1251" s="19"/>
      <c r="C1251" s="19"/>
      <c r="D1251" s="19"/>
      <c r="E1251" s="21"/>
      <c r="F1251" s="19"/>
      <c r="G1251" s="27" t="str">
        <f aca="false">IF(B1251="","",IFERROR(INDEX(Jeux!$C$2:$C$3001,MATCH(B1251,Jeux!$A$2:$A$3001,0))&amp;"","⚠ jeu inconnu"))</f>
        <v/>
      </c>
      <c r="H1251" s="27" t="str">
        <f aca="false">IF(B1251="","",IFERROR(INDEX(Jeux!$D$2:$D$3001,MATCH(B1251,Jeux!$A$2:$A$3001,0))&amp;"",""))</f>
        <v/>
      </c>
      <c r="I1251" s="26" t="str">
        <f aca="false">IF(A1251="","",COUNTIF(Apparitions!$G$2:$G$5001,A1251))</f>
        <v/>
      </c>
      <c r="J1251" s="26" t="str">
        <f aca="false">IF(A1251="","",COUNTIFS(Apparitions!$G$2:$G$5001,A1251,Apparitions!$E$2:$E$5001,"○"))</f>
        <v/>
      </c>
      <c r="K1251" s="29" t="str">
        <f aca="false">IF(A1251="","",IFERROR(1/(1/_xlfn.MINIFS(Apparitions!$L$2:$L$5001,Apparitions!$G$2:$G$5001,A1251)),""))</f>
        <v/>
      </c>
      <c r="L1251" s="27" t="str">
        <f aca="false">IF(A1251="","",A1251&amp;" | "&amp;B1251&amp;IF(C1251="",""," ("&amp;C1251&amp;")")&amp;IF(D1251="",""," - "&amp;D1251))</f>
        <v/>
      </c>
    </row>
    <row r="1252" customFormat="false" ht="15" hidden="false" customHeight="false" outlineLevel="0" collapsed="false">
      <c r="A1252" s="32"/>
      <c r="B1252" s="19"/>
      <c r="C1252" s="19"/>
      <c r="D1252" s="19"/>
      <c r="E1252" s="21"/>
      <c r="F1252" s="19"/>
      <c r="G1252" s="27" t="str">
        <f aca="false">IF(B1252="","",IFERROR(INDEX(Jeux!$C$2:$C$3001,MATCH(B1252,Jeux!$A$2:$A$3001,0))&amp;"","⚠ jeu inconnu"))</f>
        <v/>
      </c>
      <c r="H1252" s="27" t="str">
        <f aca="false">IF(B1252="","",IFERROR(INDEX(Jeux!$D$2:$D$3001,MATCH(B1252,Jeux!$A$2:$A$3001,0))&amp;"",""))</f>
        <v/>
      </c>
      <c r="I1252" s="26" t="str">
        <f aca="false">IF(A1252="","",COUNTIF(Apparitions!$G$2:$G$5001,A1252))</f>
        <v/>
      </c>
      <c r="J1252" s="26" t="str">
        <f aca="false">IF(A1252="","",COUNTIFS(Apparitions!$G$2:$G$5001,A1252,Apparitions!$E$2:$E$5001,"○"))</f>
        <v/>
      </c>
      <c r="K1252" s="29" t="str">
        <f aca="false">IF(A1252="","",IFERROR(1/(1/_xlfn.MINIFS(Apparitions!$L$2:$L$5001,Apparitions!$G$2:$G$5001,A1252)),""))</f>
        <v/>
      </c>
      <c r="L1252" s="27" t="str">
        <f aca="false">IF(A1252="","",A1252&amp;" | "&amp;B1252&amp;IF(C1252="",""," ("&amp;C1252&amp;")")&amp;IF(D1252="",""," - "&amp;D1252))</f>
        <v/>
      </c>
    </row>
    <row r="1253" customFormat="false" ht="15" hidden="false" customHeight="false" outlineLevel="0" collapsed="false">
      <c r="A1253" s="32"/>
      <c r="B1253" s="19"/>
      <c r="C1253" s="19"/>
      <c r="D1253" s="19"/>
      <c r="E1253" s="21"/>
      <c r="F1253" s="19"/>
      <c r="G1253" s="27" t="str">
        <f aca="false">IF(B1253="","",IFERROR(INDEX(Jeux!$C$2:$C$3001,MATCH(B1253,Jeux!$A$2:$A$3001,0))&amp;"","⚠ jeu inconnu"))</f>
        <v/>
      </c>
      <c r="H1253" s="27" t="str">
        <f aca="false">IF(B1253="","",IFERROR(INDEX(Jeux!$D$2:$D$3001,MATCH(B1253,Jeux!$A$2:$A$3001,0))&amp;"",""))</f>
        <v/>
      </c>
      <c r="I1253" s="26" t="str">
        <f aca="false">IF(A1253="","",COUNTIF(Apparitions!$G$2:$G$5001,A1253))</f>
        <v/>
      </c>
      <c r="J1253" s="26" t="str">
        <f aca="false">IF(A1253="","",COUNTIFS(Apparitions!$G$2:$G$5001,A1253,Apparitions!$E$2:$E$5001,"○"))</f>
        <v/>
      </c>
      <c r="K1253" s="29" t="str">
        <f aca="false">IF(A1253="","",IFERROR(1/(1/_xlfn.MINIFS(Apparitions!$L$2:$L$5001,Apparitions!$G$2:$G$5001,A1253)),""))</f>
        <v/>
      </c>
      <c r="L1253" s="27" t="str">
        <f aca="false">IF(A1253="","",A1253&amp;" | "&amp;B1253&amp;IF(C1253="",""," ("&amp;C1253&amp;")")&amp;IF(D1253="",""," - "&amp;D1253))</f>
        <v/>
      </c>
    </row>
    <row r="1254" customFormat="false" ht="15" hidden="false" customHeight="false" outlineLevel="0" collapsed="false">
      <c r="A1254" s="32"/>
      <c r="B1254" s="19"/>
      <c r="C1254" s="19"/>
      <c r="D1254" s="19"/>
      <c r="E1254" s="21"/>
      <c r="F1254" s="19"/>
      <c r="G1254" s="27" t="str">
        <f aca="false">IF(B1254="","",IFERROR(INDEX(Jeux!$C$2:$C$3001,MATCH(B1254,Jeux!$A$2:$A$3001,0))&amp;"","⚠ jeu inconnu"))</f>
        <v/>
      </c>
      <c r="H1254" s="27" t="str">
        <f aca="false">IF(B1254="","",IFERROR(INDEX(Jeux!$D$2:$D$3001,MATCH(B1254,Jeux!$A$2:$A$3001,0))&amp;"",""))</f>
        <v/>
      </c>
      <c r="I1254" s="26" t="str">
        <f aca="false">IF(A1254="","",COUNTIF(Apparitions!$G$2:$G$5001,A1254))</f>
        <v/>
      </c>
      <c r="J1254" s="26" t="str">
        <f aca="false">IF(A1254="","",COUNTIFS(Apparitions!$G$2:$G$5001,A1254,Apparitions!$E$2:$E$5001,"○"))</f>
        <v/>
      </c>
      <c r="K1254" s="29" t="str">
        <f aca="false">IF(A1254="","",IFERROR(1/(1/_xlfn.MINIFS(Apparitions!$L$2:$L$5001,Apparitions!$G$2:$G$5001,A1254)),""))</f>
        <v/>
      </c>
      <c r="L1254" s="27" t="str">
        <f aca="false">IF(A1254="","",A1254&amp;" | "&amp;B1254&amp;IF(C1254="",""," ("&amp;C1254&amp;")")&amp;IF(D1254="",""," - "&amp;D1254))</f>
        <v/>
      </c>
    </row>
    <row r="1255" customFormat="false" ht="15" hidden="false" customHeight="false" outlineLevel="0" collapsed="false">
      <c r="A1255" s="32"/>
      <c r="B1255" s="19"/>
      <c r="C1255" s="19"/>
      <c r="D1255" s="19"/>
      <c r="E1255" s="21"/>
      <c r="F1255" s="19"/>
      <c r="G1255" s="27" t="str">
        <f aca="false">IF(B1255="","",IFERROR(INDEX(Jeux!$C$2:$C$3001,MATCH(B1255,Jeux!$A$2:$A$3001,0))&amp;"","⚠ jeu inconnu"))</f>
        <v/>
      </c>
      <c r="H1255" s="27" t="str">
        <f aca="false">IF(B1255="","",IFERROR(INDEX(Jeux!$D$2:$D$3001,MATCH(B1255,Jeux!$A$2:$A$3001,0))&amp;"",""))</f>
        <v/>
      </c>
      <c r="I1255" s="26" t="str">
        <f aca="false">IF(A1255="","",COUNTIF(Apparitions!$G$2:$G$5001,A1255))</f>
        <v/>
      </c>
      <c r="J1255" s="26" t="str">
        <f aca="false">IF(A1255="","",COUNTIFS(Apparitions!$G$2:$G$5001,A1255,Apparitions!$E$2:$E$5001,"○"))</f>
        <v/>
      </c>
      <c r="K1255" s="29" t="str">
        <f aca="false">IF(A1255="","",IFERROR(1/(1/_xlfn.MINIFS(Apparitions!$L$2:$L$5001,Apparitions!$G$2:$G$5001,A1255)),""))</f>
        <v/>
      </c>
      <c r="L1255" s="27" t="str">
        <f aca="false">IF(A1255="","",A1255&amp;" | "&amp;B1255&amp;IF(C1255="",""," ("&amp;C1255&amp;")")&amp;IF(D1255="",""," - "&amp;D1255))</f>
        <v/>
      </c>
    </row>
    <row r="1256" customFormat="false" ht="15" hidden="false" customHeight="false" outlineLevel="0" collapsed="false">
      <c r="A1256" s="32"/>
      <c r="B1256" s="19"/>
      <c r="C1256" s="19"/>
      <c r="D1256" s="19"/>
      <c r="E1256" s="21"/>
      <c r="F1256" s="19"/>
      <c r="G1256" s="27" t="str">
        <f aca="false">IF(B1256="","",IFERROR(INDEX(Jeux!$C$2:$C$3001,MATCH(B1256,Jeux!$A$2:$A$3001,0))&amp;"","⚠ jeu inconnu"))</f>
        <v/>
      </c>
      <c r="H1256" s="27" t="str">
        <f aca="false">IF(B1256="","",IFERROR(INDEX(Jeux!$D$2:$D$3001,MATCH(B1256,Jeux!$A$2:$A$3001,0))&amp;"",""))</f>
        <v/>
      </c>
      <c r="I1256" s="26" t="str">
        <f aca="false">IF(A1256="","",COUNTIF(Apparitions!$G$2:$G$5001,A1256))</f>
        <v/>
      </c>
      <c r="J1256" s="26" t="str">
        <f aca="false">IF(A1256="","",COUNTIFS(Apparitions!$G$2:$G$5001,A1256,Apparitions!$E$2:$E$5001,"○"))</f>
        <v/>
      </c>
      <c r="K1256" s="29" t="str">
        <f aca="false">IF(A1256="","",IFERROR(1/(1/_xlfn.MINIFS(Apparitions!$L$2:$L$5001,Apparitions!$G$2:$G$5001,A1256)),""))</f>
        <v/>
      </c>
      <c r="L1256" s="27" t="str">
        <f aca="false">IF(A1256="","",A1256&amp;" | "&amp;B1256&amp;IF(C1256="",""," ("&amp;C1256&amp;")")&amp;IF(D1256="",""," - "&amp;D1256))</f>
        <v/>
      </c>
    </row>
    <row r="1257" customFormat="false" ht="15" hidden="false" customHeight="false" outlineLevel="0" collapsed="false">
      <c r="A1257" s="32"/>
      <c r="B1257" s="19"/>
      <c r="C1257" s="19"/>
      <c r="D1257" s="19"/>
      <c r="E1257" s="21"/>
      <c r="F1257" s="19"/>
      <c r="G1257" s="27" t="str">
        <f aca="false">IF(B1257="","",IFERROR(INDEX(Jeux!$C$2:$C$3001,MATCH(B1257,Jeux!$A$2:$A$3001,0))&amp;"","⚠ jeu inconnu"))</f>
        <v/>
      </c>
      <c r="H1257" s="27" t="str">
        <f aca="false">IF(B1257="","",IFERROR(INDEX(Jeux!$D$2:$D$3001,MATCH(B1257,Jeux!$A$2:$A$3001,0))&amp;"",""))</f>
        <v/>
      </c>
      <c r="I1257" s="26" t="str">
        <f aca="false">IF(A1257="","",COUNTIF(Apparitions!$G$2:$G$5001,A1257))</f>
        <v/>
      </c>
      <c r="J1257" s="26" t="str">
        <f aca="false">IF(A1257="","",COUNTIFS(Apparitions!$G$2:$G$5001,A1257,Apparitions!$E$2:$E$5001,"○"))</f>
        <v/>
      </c>
      <c r="K1257" s="29" t="str">
        <f aca="false">IF(A1257="","",IFERROR(1/(1/_xlfn.MINIFS(Apparitions!$L$2:$L$5001,Apparitions!$G$2:$G$5001,A1257)),""))</f>
        <v/>
      </c>
      <c r="L1257" s="27" t="str">
        <f aca="false">IF(A1257="","",A1257&amp;" | "&amp;B1257&amp;IF(C1257="",""," ("&amp;C1257&amp;")")&amp;IF(D1257="",""," - "&amp;D1257))</f>
        <v/>
      </c>
    </row>
    <row r="1258" customFormat="false" ht="15" hidden="false" customHeight="false" outlineLevel="0" collapsed="false">
      <c r="A1258" s="32"/>
      <c r="B1258" s="19"/>
      <c r="C1258" s="19"/>
      <c r="D1258" s="19"/>
      <c r="E1258" s="21"/>
      <c r="F1258" s="19"/>
      <c r="G1258" s="27" t="str">
        <f aca="false">IF(B1258="","",IFERROR(INDEX(Jeux!$C$2:$C$3001,MATCH(B1258,Jeux!$A$2:$A$3001,0))&amp;"","⚠ jeu inconnu"))</f>
        <v/>
      </c>
      <c r="H1258" s="27" t="str">
        <f aca="false">IF(B1258="","",IFERROR(INDEX(Jeux!$D$2:$D$3001,MATCH(B1258,Jeux!$A$2:$A$3001,0))&amp;"",""))</f>
        <v/>
      </c>
      <c r="I1258" s="26" t="str">
        <f aca="false">IF(A1258="","",COUNTIF(Apparitions!$G$2:$G$5001,A1258))</f>
        <v/>
      </c>
      <c r="J1258" s="26" t="str">
        <f aca="false">IF(A1258="","",COUNTIFS(Apparitions!$G$2:$G$5001,A1258,Apparitions!$E$2:$E$5001,"○"))</f>
        <v/>
      </c>
      <c r="K1258" s="29" t="str">
        <f aca="false">IF(A1258="","",IFERROR(1/(1/_xlfn.MINIFS(Apparitions!$L$2:$L$5001,Apparitions!$G$2:$G$5001,A1258)),""))</f>
        <v/>
      </c>
      <c r="L1258" s="27" t="str">
        <f aca="false">IF(A1258="","",A1258&amp;" | "&amp;B1258&amp;IF(C1258="",""," ("&amp;C1258&amp;")")&amp;IF(D1258="",""," - "&amp;D1258))</f>
        <v/>
      </c>
    </row>
    <row r="1259" customFormat="false" ht="15" hidden="false" customHeight="false" outlineLevel="0" collapsed="false">
      <c r="A1259" s="32"/>
      <c r="B1259" s="19"/>
      <c r="C1259" s="19"/>
      <c r="D1259" s="19"/>
      <c r="E1259" s="21"/>
      <c r="F1259" s="19"/>
      <c r="G1259" s="27" t="str">
        <f aca="false">IF(B1259="","",IFERROR(INDEX(Jeux!$C$2:$C$3001,MATCH(B1259,Jeux!$A$2:$A$3001,0))&amp;"","⚠ jeu inconnu"))</f>
        <v/>
      </c>
      <c r="H1259" s="27" t="str">
        <f aca="false">IF(B1259="","",IFERROR(INDEX(Jeux!$D$2:$D$3001,MATCH(B1259,Jeux!$A$2:$A$3001,0))&amp;"",""))</f>
        <v/>
      </c>
      <c r="I1259" s="26" t="str">
        <f aca="false">IF(A1259="","",COUNTIF(Apparitions!$G$2:$G$5001,A1259))</f>
        <v/>
      </c>
      <c r="J1259" s="26" t="str">
        <f aca="false">IF(A1259="","",COUNTIFS(Apparitions!$G$2:$G$5001,A1259,Apparitions!$E$2:$E$5001,"○"))</f>
        <v/>
      </c>
      <c r="K1259" s="29" t="str">
        <f aca="false">IF(A1259="","",IFERROR(1/(1/_xlfn.MINIFS(Apparitions!$L$2:$L$5001,Apparitions!$G$2:$G$5001,A1259)),""))</f>
        <v/>
      </c>
      <c r="L1259" s="27" t="str">
        <f aca="false">IF(A1259="","",A1259&amp;" | "&amp;B1259&amp;IF(C1259="",""," ("&amp;C1259&amp;")")&amp;IF(D1259="",""," - "&amp;D1259))</f>
        <v/>
      </c>
    </row>
    <row r="1260" customFormat="false" ht="15" hidden="false" customHeight="false" outlineLevel="0" collapsed="false">
      <c r="A1260" s="32"/>
      <c r="B1260" s="19"/>
      <c r="C1260" s="19"/>
      <c r="D1260" s="19"/>
      <c r="E1260" s="21"/>
      <c r="F1260" s="19"/>
      <c r="G1260" s="27" t="str">
        <f aca="false">IF(B1260="","",IFERROR(INDEX(Jeux!$C$2:$C$3001,MATCH(B1260,Jeux!$A$2:$A$3001,0))&amp;"","⚠ jeu inconnu"))</f>
        <v/>
      </c>
      <c r="H1260" s="27" t="str">
        <f aca="false">IF(B1260="","",IFERROR(INDEX(Jeux!$D$2:$D$3001,MATCH(B1260,Jeux!$A$2:$A$3001,0))&amp;"",""))</f>
        <v/>
      </c>
      <c r="I1260" s="26" t="str">
        <f aca="false">IF(A1260="","",COUNTIF(Apparitions!$G$2:$G$5001,A1260))</f>
        <v/>
      </c>
      <c r="J1260" s="26" t="str">
        <f aca="false">IF(A1260="","",COUNTIFS(Apparitions!$G$2:$G$5001,A1260,Apparitions!$E$2:$E$5001,"○"))</f>
        <v/>
      </c>
      <c r="K1260" s="29" t="str">
        <f aca="false">IF(A1260="","",IFERROR(1/(1/_xlfn.MINIFS(Apparitions!$L$2:$L$5001,Apparitions!$G$2:$G$5001,A1260)),""))</f>
        <v/>
      </c>
      <c r="L1260" s="27" t="str">
        <f aca="false">IF(A1260="","",A1260&amp;" | "&amp;B1260&amp;IF(C1260="",""," ("&amp;C1260&amp;")")&amp;IF(D1260="",""," - "&amp;D1260))</f>
        <v/>
      </c>
    </row>
    <row r="1261" customFormat="false" ht="15" hidden="false" customHeight="false" outlineLevel="0" collapsed="false">
      <c r="A1261" s="32"/>
      <c r="B1261" s="19"/>
      <c r="C1261" s="19"/>
      <c r="D1261" s="19"/>
      <c r="E1261" s="21"/>
      <c r="F1261" s="19"/>
      <c r="G1261" s="27" t="str">
        <f aca="false">IF(B1261="","",IFERROR(INDEX(Jeux!$C$2:$C$3001,MATCH(B1261,Jeux!$A$2:$A$3001,0))&amp;"","⚠ jeu inconnu"))</f>
        <v/>
      </c>
      <c r="H1261" s="27" t="str">
        <f aca="false">IF(B1261="","",IFERROR(INDEX(Jeux!$D$2:$D$3001,MATCH(B1261,Jeux!$A$2:$A$3001,0))&amp;"",""))</f>
        <v/>
      </c>
      <c r="I1261" s="26" t="str">
        <f aca="false">IF(A1261="","",COUNTIF(Apparitions!$G$2:$G$5001,A1261))</f>
        <v/>
      </c>
      <c r="J1261" s="26" t="str">
        <f aca="false">IF(A1261="","",COUNTIFS(Apparitions!$G$2:$G$5001,A1261,Apparitions!$E$2:$E$5001,"○"))</f>
        <v/>
      </c>
      <c r="K1261" s="29" t="str">
        <f aca="false">IF(A1261="","",IFERROR(1/(1/_xlfn.MINIFS(Apparitions!$L$2:$L$5001,Apparitions!$G$2:$G$5001,A1261)),""))</f>
        <v/>
      </c>
      <c r="L1261" s="27" t="str">
        <f aca="false">IF(A1261="","",A1261&amp;" | "&amp;B1261&amp;IF(C1261="",""," ("&amp;C1261&amp;")")&amp;IF(D1261="",""," - "&amp;D1261))</f>
        <v/>
      </c>
    </row>
    <row r="1262" customFormat="false" ht="15" hidden="false" customHeight="false" outlineLevel="0" collapsed="false">
      <c r="A1262" s="32"/>
      <c r="B1262" s="19"/>
      <c r="C1262" s="19"/>
      <c r="D1262" s="19"/>
      <c r="E1262" s="21"/>
      <c r="F1262" s="19"/>
      <c r="G1262" s="27" t="str">
        <f aca="false">IF(B1262="","",IFERROR(INDEX(Jeux!$C$2:$C$3001,MATCH(B1262,Jeux!$A$2:$A$3001,0))&amp;"","⚠ jeu inconnu"))</f>
        <v/>
      </c>
      <c r="H1262" s="27" t="str">
        <f aca="false">IF(B1262="","",IFERROR(INDEX(Jeux!$D$2:$D$3001,MATCH(B1262,Jeux!$A$2:$A$3001,0))&amp;"",""))</f>
        <v/>
      </c>
      <c r="I1262" s="26" t="str">
        <f aca="false">IF(A1262="","",COUNTIF(Apparitions!$G$2:$G$5001,A1262))</f>
        <v/>
      </c>
      <c r="J1262" s="26" t="str">
        <f aca="false">IF(A1262="","",COUNTIFS(Apparitions!$G$2:$G$5001,A1262,Apparitions!$E$2:$E$5001,"○"))</f>
        <v/>
      </c>
      <c r="K1262" s="29" t="str">
        <f aca="false">IF(A1262="","",IFERROR(1/(1/_xlfn.MINIFS(Apparitions!$L$2:$L$5001,Apparitions!$G$2:$G$5001,A1262)),""))</f>
        <v/>
      </c>
      <c r="L1262" s="27" t="str">
        <f aca="false">IF(A1262="","",A1262&amp;" | "&amp;B1262&amp;IF(C1262="",""," ("&amp;C1262&amp;")")&amp;IF(D1262="",""," - "&amp;D1262))</f>
        <v/>
      </c>
    </row>
    <row r="1263" customFormat="false" ht="15" hidden="false" customHeight="false" outlineLevel="0" collapsed="false">
      <c r="A1263" s="32"/>
      <c r="B1263" s="19"/>
      <c r="C1263" s="19"/>
      <c r="D1263" s="19"/>
      <c r="E1263" s="21"/>
      <c r="F1263" s="19"/>
      <c r="G1263" s="27" t="str">
        <f aca="false">IF(B1263="","",IFERROR(INDEX(Jeux!$C$2:$C$3001,MATCH(B1263,Jeux!$A$2:$A$3001,0))&amp;"","⚠ jeu inconnu"))</f>
        <v/>
      </c>
      <c r="H1263" s="27" t="str">
        <f aca="false">IF(B1263="","",IFERROR(INDEX(Jeux!$D$2:$D$3001,MATCH(B1263,Jeux!$A$2:$A$3001,0))&amp;"",""))</f>
        <v/>
      </c>
      <c r="I1263" s="26" t="str">
        <f aca="false">IF(A1263="","",COUNTIF(Apparitions!$G$2:$G$5001,A1263))</f>
        <v/>
      </c>
      <c r="J1263" s="26" t="str">
        <f aca="false">IF(A1263="","",COUNTIFS(Apparitions!$G$2:$G$5001,A1263,Apparitions!$E$2:$E$5001,"○"))</f>
        <v/>
      </c>
      <c r="K1263" s="29" t="str">
        <f aca="false">IF(A1263="","",IFERROR(1/(1/_xlfn.MINIFS(Apparitions!$L$2:$L$5001,Apparitions!$G$2:$G$5001,A1263)),""))</f>
        <v/>
      </c>
      <c r="L1263" s="27" t="str">
        <f aca="false">IF(A1263="","",A1263&amp;" | "&amp;B1263&amp;IF(C1263="",""," ("&amp;C1263&amp;")")&amp;IF(D1263="",""," - "&amp;D1263))</f>
        <v/>
      </c>
    </row>
    <row r="1264" customFormat="false" ht="15" hidden="false" customHeight="false" outlineLevel="0" collapsed="false">
      <c r="A1264" s="32"/>
      <c r="B1264" s="19"/>
      <c r="C1264" s="19"/>
      <c r="D1264" s="19"/>
      <c r="E1264" s="21"/>
      <c r="F1264" s="19"/>
      <c r="G1264" s="27" t="str">
        <f aca="false">IF(B1264="","",IFERROR(INDEX(Jeux!$C$2:$C$3001,MATCH(B1264,Jeux!$A$2:$A$3001,0))&amp;"","⚠ jeu inconnu"))</f>
        <v/>
      </c>
      <c r="H1264" s="27" t="str">
        <f aca="false">IF(B1264="","",IFERROR(INDEX(Jeux!$D$2:$D$3001,MATCH(B1264,Jeux!$A$2:$A$3001,0))&amp;"",""))</f>
        <v/>
      </c>
      <c r="I1264" s="26" t="str">
        <f aca="false">IF(A1264="","",COUNTIF(Apparitions!$G$2:$G$5001,A1264))</f>
        <v/>
      </c>
      <c r="J1264" s="26" t="str">
        <f aca="false">IF(A1264="","",COUNTIFS(Apparitions!$G$2:$G$5001,A1264,Apparitions!$E$2:$E$5001,"○"))</f>
        <v/>
      </c>
      <c r="K1264" s="29" t="str">
        <f aca="false">IF(A1264="","",IFERROR(1/(1/_xlfn.MINIFS(Apparitions!$L$2:$L$5001,Apparitions!$G$2:$G$5001,A1264)),""))</f>
        <v/>
      </c>
      <c r="L1264" s="27" t="str">
        <f aca="false">IF(A1264="","",A1264&amp;" | "&amp;B1264&amp;IF(C1264="",""," ("&amp;C1264&amp;")")&amp;IF(D1264="",""," - "&amp;D1264))</f>
        <v/>
      </c>
    </row>
    <row r="1265" customFormat="false" ht="15" hidden="false" customHeight="false" outlineLevel="0" collapsed="false">
      <c r="A1265" s="32"/>
      <c r="B1265" s="19"/>
      <c r="C1265" s="19"/>
      <c r="D1265" s="19"/>
      <c r="E1265" s="21"/>
      <c r="F1265" s="19"/>
      <c r="G1265" s="27" t="str">
        <f aca="false">IF(B1265="","",IFERROR(INDEX(Jeux!$C$2:$C$3001,MATCH(B1265,Jeux!$A$2:$A$3001,0))&amp;"","⚠ jeu inconnu"))</f>
        <v/>
      </c>
      <c r="H1265" s="27" t="str">
        <f aca="false">IF(B1265="","",IFERROR(INDEX(Jeux!$D$2:$D$3001,MATCH(B1265,Jeux!$A$2:$A$3001,0))&amp;"",""))</f>
        <v/>
      </c>
      <c r="I1265" s="26" t="str">
        <f aca="false">IF(A1265="","",COUNTIF(Apparitions!$G$2:$G$5001,A1265))</f>
        <v/>
      </c>
      <c r="J1265" s="26" t="str">
        <f aca="false">IF(A1265="","",COUNTIFS(Apparitions!$G$2:$G$5001,A1265,Apparitions!$E$2:$E$5001,"○"))</f>
        <v/>
      </c>
      <c r="K1265" s="29" t="str">
        <f aca="false">IF(A1265="","",IFERROR(1/(1/_xlfn.MINIFS(Apparitions!$L$2:$L$5001,Apparitions!$G$2:$G$5001,A1265)),""))</f>
        <v/>
      </c>
      <c r="L1265" s="27" t="str">
        <f aca="false">IF(A1265="","",A1265&amp;" | "&amp;B1265&amp;IF(C1265="",""," ("&amp;C1265&amp;")")&amp;IF(D1265="",""," - "&amp;D1265))</f>
        <v/>
      </c>
    </row>
    <row r="1266" customFormat="false" ht="15" hidden="false" customHeight="false" outlineLevel="0" collapsed="false">
      <c r="A1266" s="32"/>
      <c r="B1266" s="19"/>
      <c r="C1266" s="19"/>
      <c r="D1266" s="19"/>
      <c r="E1266" s="21"/>
      <c r="F1266" s="19"/>
      <c r="G1266" s="27" t="str">
        <f aca="false">IF(B1266="","",IFERROR(INDEX(Jeux!$C$2:$C$3001,MATCH(B1266,Jeux!$A$2:$A$3001,0))&amp;"","⚠ jeu inconnu"))</f>
        <v/>
      </c>
      <c r="H1266" s="27" t="str">
        <f aca="false">IF(B1266="","",IFERROR(INDEX(Jeux!$D$2:$D$3001,MATCH(B1266,Jeux!$A$2:$A$3001,0))&amp;"",""))</f>
        <v/>
      </c>
      <c r="I1266" s="26" t="str">
        <f aca="false">IF(A1266="","",COUNTIF(Apparitions!$G$2:$G$5001,A1266))</f>
        <v/>
      </c>
      <c r="J1266" s="26" t="str">
        <f aca="false">IF(A1266="","",COUNTIFS(Apparitions!$G$2:$G$5001,A1266,Apparitions!$E$2:$E$5001,"○"))</f>
        <v/>
      </c>
      <c r="K1266" s="29" t="str">
        <f aca="false">IF(A1266="","",IFERROR(1/(1/_xlfn.MINIFS(Apparitions!$L$2:$L$5001,Apparitions!$G$2:$G$5001,A1266)),""))</f>
        <v/>
      </c>
      <c r="L1266" s="27" t="str">
        <f aca="false">IF(A1266="","",A1266&amp;" | "&amp;B1266&amp;IF(C1266="",""," ("&amp;C1266&amp;")")&amp;IF(D1266="",""," - "&amp;D1266))</f>
        <v/>
      </c>
    </row>
    <row r="1267" customFormat="false" ht="15" hidden="false" customHeight="false" outlineLevel="0" collapsed="false">
      <c r="A1267" s="32"/>
      <c r="B1267" s="19"/>
      <c r="C1267" s="19"/>
      <c r="D1267" s="19"/>
      <c r="E1267" s="21"/>
      <c r="F1267" s="19"/>
      <c r="G1267" s="27" t="str">
        <f aca="false">IF(B1267="","",IFERROR(INDEX(Jeux!$C$2:$C$3001,MATCH(B1267,Jeux!$A$2:$A$3001,0))&amp;"","⚠ jeu inconnu"))</f>
        <v/>
      </c>
      <c r="H1267" s="27" t="str">
        <f aca="false">IF(B1267="","",IFERROR(INDEX(Jeux!$D$2:$D$3001,MATCH(B1267,Jeux!$A$2:$A$3001,0))&amp;"",""))</f>
        <v/>
      </c>
      <c r="I1267" s="26" t="str">
        <f aca="false">IF(A1267="","",COUNTIF(Apparitions!$G$2:$G$5001,A1267))</f>
        <v/>
      </c>
      <c r="J1267" s="26" t="str">
        <f aca="false">IF(A1267="","",COUNTIFS(Apparitions!$G$2:$G$5001,A1267,Apparitions!$E$2:$E$5001,"○"))</f>
        <v/>
      </c>
      <c r="K1267" s="29" t="str">
        <f aca="false">IF(A1267="","",IFERROR(1/(1/_xlfn.MINIFS(Apparitions!$L$2:$L$5001,Apparitions!$G$2:$G$5001,A1267)),""))</f>
        <v/>
      </c>
      <c r="L1267" s="27" t="str">
        <f aca="false">IF(A1267="","",A1267&amp;" | "&amp;B1267&amp;IF(C1267="",""," ("&amp;C1267&amp;")")&amp;IF(D1267="",""," - "&amp;D1267))</f>
        <v/>
      </c>
    </row>
    <row r="1268" customFormat="false" ht="15" hidden="false" customHeight="false" outlineLevel="0" collapsed="false">
      <c r="A1268" s="32"/>
      <c r="B1268" s="19"/>
      <c r="C1268" s="19"/>
      <c r="D1268" s="19"/>
      <c r="E1268" s="21"/>
      <c r="F1268" s="19"/>
      <c r="G1268" s="27" t="str">
        <f aca="false">IF(B1268="","",IFERROR(INDEX(Jeux!$C$2:$C$3001,MATCH(B1268,Jeux!$A$2:$A$3001,0))&amp;"","⚠ jeu inconnu"))</f>
        <v/>
      </c>
      <c r="H1268" s="27" t="str">
        <f aca="false">IF(B1268="","",IFERROR(INDEX(Jeux!$D$2:$D$3001,MATCH(B1268,Jeux!$A$2:$A$3001,0))&amp;"",""))</f>
        <v/>
      </c>
      <c r="I1268" s="26" t="str">
        <f aca="false">IF(A1268="","",COUNTIF(Apparitions!$G$2:$G$5001,A1268))</f>
        <v/>
      </c>
      <c r="J1268" s="26" t="str">
        <f aca="false">IF(A1268="","",COUNTIFS(Apparitions!$G$2:$G$5001,A1268,Apparitions!$E$2:$E$5001,"○"))</f>
        <v/>
      </c>
      <c r="K1268" s="29" t="str">
        <f aca="false">IF(A1268="","",IFERROR(1/(1/_xlfn.MINIFS(Apparitions!$L$2:$L$5001,Apparitions!$G$2:$G$5001,A1268)),""))</f>
        <v/>
      </c>
      <c r="L1268" s="27" t="str">
        <f aca="false">IF(A1268="","",A1268&amp;" | "&amp;B1268&amp;IF(C1268="",""," ("&amp;C1268&amp;")")&amp;IF(D1268="",""," - "&amp;D1268))</f>
        <v/>
      </c>
    </row>
    <row r="1269" customFormat="false" ht="15" hidden="false" customHeight="false" outlineLevel="0" collapsed="false">
      <c r="A1269" s="32"/>
      <c r="B1269" s="19"/>
      <c r="C1269" s="19"/>
      <c r="D1269" s="19"/>
      <c r="E1269" s="21"/>
      <c r="F1269" s="19"/>
      <c r="G1269" s="27" t="str">
        <f aca="false">IF(B1269="","",IFERROR(INDEX(Jeux!$C$2:$C$3001,MATCH(B1269,Jeux!$A$2:$A$3001,0))&amp;"","⚠ jeu inconnu"))</f>
        <v/>
      </c>
      <c r="H1269" s="27" t="str">
        <f aca="false">IF(B1269="","",IFERROR(INDEX(Jeux!$D$2:$D$3001,MATCH(B1269,Jeux!$A$2:$A$3001,0))&amp;"",""))</f>
        <v/>
      </c>
      <c r="I1269" s="26" t="str">
        <f aca="false">IF(A1269="","",COUNTIF(Apparitions!$G$2:$G$5001,A1269))</f>
        <v/>
      </c>
      <c r="J1269" s="26" t="str">
        <f aca="false">IF(A1269="","",COUNTIFS(Apparitions!$G$2:$G$5001,A1269,Apparitions!$E$2:$E$5001,"○"))</f>
        <v/>
      </c>
      <c r="K1269" s="29" t="str">
        <f aca="false">IF(A1269="","",IFERROR(1/(1/_xlfn.MINIFS(Apparitions!$L$2:$L$5001,Apparitions!$G$2:$G$5001,A1269)),""))</f>
        <v/>
      </c>
      <c r="L1269" s="27" t="str">
        <f aca="false">IF(A1269="","",A1269&amp;" | "&amp;B1269&amp;IF(C1269="",""," ("&amp;C1269&amp;")")&amp;IF(D1269="",""," - "&amp;D1269))</f>
        <v/>
      </c>
    </row>
    <row r="1270" customFormat="false" ht="15" hidden="false" customHeight="false" outlineLevel="0" collapsed="false">
      <c r="A1270" s="32"/>
      <c r="B1270" s="19"/>
      <c r="C1270" s="19"/>
      <c r="D1270" s="19"/>
      <c r="E1270" s="21"/>
      <c r="F1270" s="19"/>
      <c r="G1270" s="27" t="str">
        <f aca="false">IF(B1270="","",IFERROR(INDEX(Jeux!$C$2:$C$3001,MATCH(B1270,Jeux!$A$2:$A$3001,0))&amp;"","⚠ jeu inconnu"))</f>
        <v/>
      </c>
      <c r="H1270" s="27" t="str">
        <f aca="false">IF(B1270="","",IFERROR(INDEX(Jeux!$D$2:$D$3001,MATCH(B1270,Jeux!$A$2:$A$3001,0))&amp;"",""))</f>
        <v/>
      </c>
      <c r="I1270" s="26" t="str">
        <f aca="false">IF(A1270="","",COUNTIF(Apparitions!$G$2:$G$5001,A1270))</f>
        <v/>
      </c>
      <c r="J1270" s="26" t="str">
        <f aca="false">IF(A1270="","",COUNTIFS(Apparitions!$G$2:$G$5001,A1270,Apparitions!$E$2:$E$5001,"○"))</f>
        <v/>
      </c>
      <c r="K1270" s="29" t="str">
        <f aca="false">IF(A1270="","",IFERROR(1/(1/_xlfn.MINIFS(Apparitions!$L$2:$L$5001,Apparitions!$G$2:$G$5001,A1270)),""))</f>
        <v/>
      </c>
      <c r="L1270" s="27" t="str">
        <f aca="false">IF(A1270="","",A1270&amp;" | "&amp;B1270&amp;IF(C1270="",""," ("&amp;C1270&amp;")")&amp;IF(D1270="",""," - "&amp;D1270))</f>
        <v/>
      </c>
    </row>
    <row r="1271" customFormat="false" ht="15" hidden="false" customHeight="false" outlineLevel="0" collapsed="false">
      <c r="A1271" s="32"/>
      <c r="B1271" s="19"/>
      <c r="C1271" s="19"/>
      <c r="D1271" s="19"/>
      <c r="E1271" s="21"/>
      <c r="F1271" s="19"/>
      <c r="G1271" s="27" t="str">
        <f aca="false">IF(B1271="","",IFERROR(INDEX(Jeux!$C$2:$C$3001,MATCH(B1271,Jeux!$A$2:$A$3001,0))&amp;"","⚠ jeu inconnu"))</f>
        <v/>
      </c>
      <c r="H1271" s="27" t="str">
        <f aca="false">IF(B1271="","",IFERROR(INDEX(Jeux!$D$2:$D$3001,MATCH(B1271,Jeux!$A$2:$A$3001,0))&amp;"",""))</f>
        <v/>
      </c>
      <c r="I1271" s="26" t="str">
        <f aca="false">IF(A1271="","",COUNTIF(Apparitions!$G$2:$G$5001,A1271))</f>
        <v/>
      </c>
      <c r="J1271" s="26" t="str">
        <f aca="false">IF(A1271="","",COUNTIFS(Apparitions!$G$2:$G$5001,A1271,Apparitions!$E$2:$E$5001,"○"))</f>
        <v/>
      </c>
      <c r="K1271" s="29" t="str">
        <f aca="false">IF(A1271="","",IFERROR(1/(1/_xlfn.MINIFS(Apparitions!$L$2:$L$5001,Apparitions!$G$2:$G$5001,A1271)),""))</f>
        <v/>
      </c>
      <c r="L1271" s="27" t="str">
        <f aca="false">IF(A1271="","",A1271&amp;" | "&amp;B1271&amp;IF(C1271="",""," ("&amp;C1271&amp;")")&amp;IF(D1271="",""," - "&amp;D1271))</f>
        <v/>
      </c>
    </row>
    <row r="1272" customFormat="false" ht="15" hidden="false" customHeight="false" outlineLevel="0" collapsed="false">
      <c r="A1272" s="32"/>
      <c r="B1272" s="19"/>
      <c r="C1272" s="19"/>
      <c r="D1272" s="19"/>
      <c r="E1272" s="21"/>
      <c r="F1272" s="19"/>
      <c r="G1272" s="27" t="str">
        <f aca="false">IF(B1272="","",IFERROR(INDEX(Jeux!$C$2:$C$3001,MATCH(B1272,Jeux!$A$2:$A$3001,0))&amp;"","⚠ jeu inconnu"))</f>
        <v/>
      </c>
      <c r="H1272" s="27" t="str">
        <f aca="false">IF(B1272="","",IFERROR(INDEX(Jeux!$D$2:$D$3001,MATCH(B1272,Jeux!$A$2:$A$3001,0))&amp;"",""))</f>
        <v/>
      </c>
      <c r="I1272" s="26" t="str">
        <f aca="false">IF(A1272="","",COUNTIF(Apparitions!$G$2:$G$5001,A1272))</f>
        <v/>
      </c>
      <c r="J1272" s="26" t="str">
        <f aca="false">IF(A1272="","",COUNTIFS(Apparitions!$G$2:$G$5001,A1272,Apparitions!$E$2:$E$5001,"○"))</f>
        <v/>
      </c>
      <c r="K1272" s="29" t="str">
        <f aca="false">IF(A1272="","",IFERROR(1/(1/_xlfn.MINIFS(Apparitions!$L$2:$L$5001,Apparitions!$G$2:$G$5001,A1272)),""))</f>
        <v/>
      </c>
      <c r="L1272" s="27" t="str">
        <f aca="false">IF(A1272="","",A1272&amp;" | "&amp;B1272&amp;IF(C1272="",""," ("&amp;C1272&amp;")")&amp;IF(D1272="",""," - "&amp;D1272))</f>
        <v/>
      </c>
    </row>
    <row r="1273" customFormat="false" ht="15" hidden="false" customHeight="false" outlineLevel="0" collapsed="false">
      <c r="A1273" s="32"/>
      <c r="B1273" s="19"/>
      <c r="C1273" s="19"/>
      <c r="D1273" s="19"/>
      <c r="E1273" s="21"/>
      <c r="F1273" s="19"/>
      <c r="G1273" s="27" t="str">
        <f aca="false">IF(B1273="","",IFERROR(INDEX(Jeux!$C$2:$C$3001,MATCH(B1273,Jeux!$A$2:$A$3001,0))&amp;"","⚠ jeu inconnu"))</f>
        <v/>
      </c>
      <c r="H1273" s="27" t="str">
        <f aca="false">IF(B1273="","",IFERROR(INDEX(Jeux!$D$2:$D$3001,MATCH(B1273,Jeux!$A$2:$A$3001,0))&amp;"",""))</f>
        <v/>
      </c>
      <c r="I1273" s="26" t="str">
        <f aca="false">IF(A1273="","",COUNTIF(Apparitions!$G$2:$G$5001,A1273))</f>
        <v/>
      </c>
      <c r="J1273" s="26" t="str">
        <f aca="false">IF(A1273="","",COUNTIFS(Apparitions!$G$2:$G$5001,A1273,Apparitions!$E$2:$E$5001,"○"))</f>
        <v/>
      </c>
      <c r="K1273" s="29" t="str">
        <f aca="false">IF(A1273="","",IFERROR(1/(1/_xlfn.MINIFS(Apparitions!$L$2:$L$5001,Apparitions!$G$2:$G$5001,A1273)),""))</f>
        <v/>
      </c>
      <c r="L1273" s="27" t="str">
        <f aca="false">IF(A1273="","",A1273&amp;" | "&amp;B1273&amp;IF(C1273="",""," ("&amp;C1273&amp;")")&amp;IF(D1273="",""," - "&amp;D1273))</f>
        <v/>
      </c>
    </row>
    <row r="1274" customFormat="false" ht="15" hidden="false" customHeight="false" outlineLevel="0" collapsed="false">
      <c r="A1274" s="32"/>
      <c r="B1274" s="19"/>
      <c r="C1274" s="19"/>
      <c r="D1274" s="19"/>
      <c r="E1274" s="21"/>
      <c r="F1274" s="19"/>
      <c r="G1274" s="27" t="str">
        <f aca="false">IF(B1274="","",IFERROR(INDEX(Jeux!$C$2:$C$3001,MATCH(B1274,Jeux!$A$2:$A$3001,0))&amp;"","⚠ jeu inconnu"))</f>
        <v/>
      </c>
      <c r="H1274" s="27" t="str">
        <f aca="false">IF(B1274="","",IFERROR(INDEX(Jeux!$D$2:$D$3001,MATCH(B1274,Jeux!$A$2:$A$3001,0))&amp;"",""))</f>
        <v/>
      </c>
      <c r="I1274" s="26" t="str">
        <f aca="false">IF(A1274="","",COUNTIF(Apparitions!$G$2:$G$5001,A1274))</f>
        <v/>
      </c>
      <c r="J1274" s="26" t="str">
        <f aca="false">IF(A1274="","",COUNTIFS(Apparitions!$G$2:$G$5001,A1274,Apparitions!$E$2:$E$5001,"○"))</f>
        <v/>
      </c>
      <c r="K1274" s="29" t="str">
        <f aca="false">IF(A1274="","",IFERROR(1/(1/_xlfn.MINIFS(Apparitions!$L$2:$L$5001,Apparitions!$G$2:$G$5001,A1274)),""))</f>
        <v/>
      </c>
      <c r="L1274" s="27" t="str">
        <f aca="false">IF(A1274="","",A1274&amp;" | "&amp;B1274&amp;IF(C1274="",""," ("&amp;C1274&amp;")")&amp;IF(D1274="",""," - "&amp;D1274))</f>
        <v/>
      </c>
    </row>
    <row r="1275" customFormat="false" ht="15" hidden="false" customHeight="false" outlineLevel="0" collapsed="false">
      <c r="A1275" s="32"/>
      <c r="B1275" s="19"/>
      <c r="C1275" s="19"/>
      <c r="D1275" s="19"/>
      <c r="E1275" s="21"/>
      <c r="F1275" s="19"/>
      <c r="G1275" s="27" t="str">
        <f aca="false">IF(B1275="","",IFERROR(INDEX(Jeux!$C$2:$C$3001,MATCH(B1275,Jeux!$A$2:$A$3001,0))&amp;"","⚠ jeu inconnu"))</f>
        <v/>
      </c>
      <c r="H1275" s="27" t="str">
        <f aca="false">IF(B1275="","",IFERROR(INDEX(Jeux!$D$2:$D$3001,MATCH(B1275,Jeux!$A$2:$A$3001,0))&amp;"",""))</f>
        <v/>
      </c>
      <c r="I1275" s="26" t="str">
        <f aca="false">IF(A1275="","",COUNTIF(Apparitions!$G$2:$G$5001,A1275))</f>
        <v/>
      </c>
      <c r="J1275" s="26" t="str">
        <f aca="false">IF(A1275="","",COUNTIFS(Apparitions!$G$2:$G$5001,A1275,Apparitions!$E$2:$E$5001,"○"))</f>
        <v/>
      </c>
      <c r="K1275" s="29" t="str">
        <f aca="false">IF(A1275="","",IFERROR(1/(1/_xlfn.MINIFS(Apparitions!$L$2:$L$5001,Apparitions!$G$2:$G$5001,A1275)),""))</f>
        <v/>
      </c>
      <c r="L1275" s="27" t="str">
        <f aca="false">IF(A1275="","",A1275&amp;" | "&amp;B1275&amp;IF(C1275="",""," ("&amp;C1275&amp;")")&amp;IF(D1275="",""," - "&amp;D1275))</f>
        <v/>
      </c>
    </row>
    <row r="1276" customFormat="false" ht="15" hidden="false" customHeight="false" outlineLevel="0" collapsed="false">
      <c r="A1276" s="32"/>
      <c r="B1276" s="19"/>
      <c r="C1276" s="19"/>
      <c r="D1276" s="19"/>
      <c r="E1276" s="21"/>
      <c r="F1276" s="19"/>
      <c r="G1276" s="27" t="str">
        <f aca="false">IF(B1276="","",IFERROR(INDEX(Jeux!$C$2:$C$3001,MATCH(B1276,Jeux!$A$2:$A$3001,0))&amp;"","⚠ jeu inconnu"))</f>
        <v/>
      </c>
      <c r="H1276" s="27" t="str">
        <f aca="false">IF(B1276="","",IFERROR(INDEX(Jeux!$D$2:$D$3001,MATCH(B1276,Jeux!$A$2:$A$3001,0))&amp;"",""))</f>
        <v/>
      </c>
      <c r="I1276" s="26" t="str">
        <f aca="false">IF(A1276="","",COUNTIF(Apparitions!$G$2:$G$5001,A1276))</f>
        <v/>
      </c>
      <c r="J1276" s="26" t="str">
        <f aca="false">IF(A1276="","",COUNTIFS(Apparitions!$G$2:$G$5001,A1276,Apparitions!$E$2:$E$5001,"○"))</f>
        <v/>
      </c>
      <c r="K1276" s="29" t="str">
        <f aca="false">IF(A1276="","",IFERROR(1/(1/_xlfn.MINIFS(Apparitions!$L$2:$L$5001,Apparitions!$G$2:$G$5001,A1276)),""))</f>
        <v/>
      </c>
      <c r="L1276" s="27" t="str">
        <f aca="false">IF(A1276="","",A1276&amp;" | "&amp;B1276&amp;IF(C1276="",""," ("&amp;C1276&amp;")")&amp;IF(D1276="",""," - "&amp;D1276))</f>
        <v/>
      </c>
    </row>
    <row r="1277" customFormat="false" ht="15" hidden="false" customHeight="false" outlineLevel="0" collapsed="false">
      <c r="A1277" s="32"/>
      <c r="B1277" s="19"/>
      <c r="C1277" s="19"/>
      <c r="D1277" s="19"/>
      <c r="E1277" s="21"/>
      <c r="F1277" s="19"/>
      <c r="G1277" s="27" t="str">
        <f aca="false">IF(B1277="","",IFERROR(INDEX(Jeux!$C$2:$C$3001,MATCH(B1277,Jeux!$A$2:$A$3001,0))&amp;"","⚠ jeu inconnu"))</f>
        <v/>
      </c>
      <c r="H1277" s="27" t="str">
        <f aca="false">IF(B1277="","",IFERROR(INDEX(Jeux!$D$2:$D$3001,MATCH(B1277,Jeux!$A$2:$A$3001,0))&amp;"",""))</f>
        <v/>
      </c>
      <c r="I1277" s="26" t="str">
        <f aca="false">IF(A1277="","",COUNTIF(Apparitions!$G$2:$G$5001,A1277))</f>
        <v/>
      </c>
      <c r="J1277" s="26" t="str">
        <f aca="false">IF(A1277="","",COUNTIFS(Apparitions!$G$2:$G$5001,A1277,Apparitions!$E$2:$E$5001,"○"))</f>
        <v/>
      </c>
      <c r="K1277" s="29" t="str">
        <f aca="false">IF(A1277="","",IFERROR(1/(1/_xlfn.MINIFS(Apparitions!$L$2:$L$5001,Apparitions!$G$2:$G$5001,A1277)),""))</f>
        <v/>
      </c>
      <c r="L1277" s="27" t="str">
        <f aca="false">IF(A1277="","",A1277&amp;" | "&amp;B1277&amp;IF(C1277="",""," ("&amp;C1277&amp;")")&amp;IF(D1277="",""," - "&amp;D1277))</f>
        <v/>
      </c>
    </row>
    <row r="1278" customFormat="false" ht="15" hidden="false" customHeight="false" outlineLevel="0" collapsed="false">
      <c r="A1278" s="32"/>
      <c r="B1278" s="19"/>
      <c r="C1278" s="19"/>
      <c r="D1278" s="19"/>
      <c r="E1278" s="21"/>
      <c r="F1278" s="19"/>
      <c r="G1278" s="27" t="str">
        <f aca="false">IF(B1278="","",IFERROR(INDEX(Jeux!$C$2:$C$3001,MATCH(B1278,Jeux!$A$2:$A$3001,0))&amp;"","⚠ jeu inconnu"))</f>
        <v/>
      </c>
      <c r="H1278" s="27" t="str">
        <f aca="false">IF(B1278="","",IFERROR(INDEX(Jeux!$D$2:$D$3001,MATCH(B1278,Jeux!$A$2:$A$3001,0))&amp;"",""))</f>
        <v/>
      </c>
      <c r="I1278" s="26" t="str">
        <f aca="false">IF(A1278="","",COUNTIF(Apparitions!$G$2:$G$5001,A1278))</f>
        <v/>
      </c>
      <c r="J1278" s="26" t="str">
        <f aca="false">IF(A1278="","",COUNTIFS(Apparitions!$G$2:$G$5001,A1278,Apparitions!$E$2:$E$5001,"○"))</f>
        <v/>
      </c>
      <c r="K1278" s="29" t="str">
        <f aca="false">IF(A1278="","",IFERROR(1/(1/_xlfn.MINIFS(Apparitions!$L$2:$L$5001,Apparitions!$G$2:$G$5001,A1278)),""))</f>
        <v/>
      </c>
      <c r="L1278" s="27" t="str">
        <f aca="false">IF(A1278="","",A1278&amp;" | "&amp;B1278&amp;IF(C1278="",""," ("&amp;C1278&amp;")")&amp;IF(D1278="",""," - "&amp;D1278))</f>
        <v/>
      </c>
    </row>
    <row r="1279" customFormat="false" ht="15" hidden="false" customHeight="false" outlineLevel="0" collapsed="false">
      <c r="A1279" s="32"/>
      <c r="B1279" s="19"/>
      <c r="C1279" s="19"/>
      <c r="D1279" s="19"/>
      <c r="E1279" s="21"/>
      <c r="F1279" s="19"/>
      <c r="G1279" s="27" t="str">
        <f aca="false">IF(B1279="","",IFERROR(INDEX(Jeux!$C$2:$C$3001,MATCH(B1279,Jeux!$A$2:$A$3001,0))&amp;"","⚠ jeu inconnu"))</f>
        <v/>
      </c>
      <c r="H1279" s="27" t="str">
        <f aca="false">IF(B1279="","",IFERROR(INDEX(Jeux!$D$2:$D$3001,MATCH(B1279,Jeux!$A$2:$A$3001,0))&amp;"",""))</f>
        <v/>
      </c>
      <c r="I1279" s="26" t="str">
        <f aca="false">IF(A1279="","",COUNTIF(Apparitions!$G$2:$G$5001,A1279))</f>
        <v/>
      </c>
      <c r="J1279" s="26" t="str">
        <f aca="false">IF(A1279="","",COUNTIFS(Apparitions!$G$2:$G$5001,A1279,Apparitions!$E$2:$E$5001,"○"))</f>
        <v/>
      </c>
      <c r="K1279" s="29" t="str">
        <f aca="false">IF(A1279="","",IFERROR(1/(1/_xlfn.MINIFS(Apparitions!$L$2:$L$5001,Apparitions!$G$2:$G$5001,A1279)),""))</f>
        <v/>
      </c>
      <c r="L1279" s="27" t="str">
        <f aca="false">IF(A1279="","",A1279&amp;" | "&amp;B1279&amp;IF(C1279="",""," ("&amp;C1279&amp;")")&amp;IF(D1279="",""," - "&amp;D1279))</f>
        <v/>
      </c>
    </row>
    <row r="1280" customFormat="false" ht="15" hidden="false" customHeight="false" outlineLevel="0" collapsed="false">
      <c r="A1280" s="32"/>
      <c r="B1280" s="19"/>
      <c r="C1280" s="19"/>
      <c r="D1280" s="19"/>
      <c r="E1280" s="21"/>
      <c r="F1280" s="19"/>
      <c r="G1280" s="27" t="str">
        <f aca="false">IF(B1280="","",IFERROR(INDEX(Jeux!$C$2:$C$3001,MATCH(B1280,Jeux!$A$2:$A$3001,0))&amp;"","⚠ jeu inconnu"))</f>
        <v/>
      </c>
      <c r="H1280" s="27" t="str">
        <f aca="false">IF(B1280="","",IFERROR(INDEX(Jeux!$D$2:$D$3001,MATCH(B1280,Jeux!$A$2:$A$3001,0))&amp;"",""))</f>
        <v/>
      </c>
      <c r="I1280" s="26" t="str">
        <f aca="false">IF(A1280="","",COUNTIF(Apparitions!$G$2:$G$5001,A1280))</f>
        <v/>
      </c>
      <c r="J1280" s="26" t="str">
        <f aca="false">IF(A1280="","",COUNTIFS(Apparitions!$G$2:$G$5001,A1280,Apparitions!$E$2:$E$5001,"○"))</f>
        <v/>
      </c>
      <c r="K1280" s="29" t="str">
        <f aca="false">IF(A1280="","",IFERROR(1/(1/_xlfn.MINIFS(Apparitions!$L$2:$L$5001,Apparitions!$G$2:$G$5001,A1280)),""))</f>
        <v/>
      </c>
      <c r="L1280" s="27" t="str">
        <f aca="false">IF(A1280="","",A1280&amp;" | "&amp;B1280&amp;IF(C1280="",""," ("&amp;C1280&amp;")")&amp;IF(D1280="",""," - "&amp;D1280))</f>
        <v/>
      </c>
    </row>
    <row r="1281" customFormat="false" ht="15" hidden="false" customHeight="false" outlineLevel="0" collapsed="false">
      <c r="A1281" s="32"/>
      <c r="B1281" s="19"/>
      <c r="C1281" s="19"/>
      <c r="D1281" s="19"/>
      <c r="E1281" s="21"/>
      <c r="F1281" s="19"/>
      <c r="G1281" s="27" t="str">
        <f aca="false">IF(B1281="","",IFERROR(INDEX(Jeux!$C$2:$C$3001,MATCH(B1281,Jeux!$A$2:$A$3001,0))&amp;"","⚠ jeu inconnu"))</f>
        <v/>
      </c>
      <c r="H1281" s="27" t="str">
        <f aca="false">IF(B1281="","",IFERROR(INDEX(Jeux!$D$2:$D$3001,MATCH(B1281,Jeux!$A$2:$A$3001,0))&amp;"",""))</f>
        <v/>
      </c>
      <c r="I1281" s="26" t="str">
        <f aca="false">IF(A1281="","",COUNTIF(Apparitions!$G$2:$G$5001,A1281))</f>
        <v/>
      </c>
      <c r="J1281" s="26" t="str">
        <f aca="false">IF(A1281="","",COUNTIFS(Apparitions!$G$2:$G$5001,A1281,Apparitions!$E$2:$E$5001,"○"))</f>
        <v/>
      </c>
      <c r="K1281" s="29" t="str">
        <f aca="false">IF(A1281="","",IFERROR(1/(1/_xlfn.MINIFS(Apparitions!$L$2:$L$5001,Apparitions!$G$2:$G$5001,A1281)),""))</f>
        <v/>
      </c>
      <c r="L1281" s="27" t="str">
        <f aca="false">IF(A1281="","",A1281&amp;" | "&amp;B1281&amp;IF(C1281="",""," ("&amp;C1281&amp;")")&amp;IF(D1281="",""," - "&amp;D1281))</f>
        <v/>
      </c>
    </row>
    <row r="1282" customFormat="false" ht="15" hidden="false" customHeight="false" outlineLevel="0" collapsed="false">
      <c r="A1282" s="32"/>
      <c r="B1282" s="19"/>
      <c r="C1282" s="19"/>
      <c r="D1282" s="19"/>
      <c r="E1282" s="21"/>
      <c r="F1282" s="19"/>
      <c r="G1282" s="27" t="str">
        <f aca="false">IF(B1282="","",IFERROR(INDEX(Jeux!$C$2:$C$3001,MATCH(B1282,Jeux!$A$2:$A$3001,0))&amp;"","⚠ jeu inconnu"))</f>
        <v/>
      </c>
      <c r="H1282" s="27" t="str">
        <f aca="false">IF(B1282="","",IFERROR(INDEX(Jeux!$D$2:$D$3001,MATCH(B1282,Jeux!$A$2:$A$3001,0))&amp;"",""))</f>
        <v/>
      </c>
      <c r="I1282" s="26" t="str">
        <f aca="false">IF(A1282="","",COUNTIF(Apparitions!$G$2:$G$5001,A1282))</f>
        <v/>
      </c>
      <c r="J1282" s="26" t="str">
        <f aca="false">IF(A1282="","",COUNTIFS(Apparitions!$G$2:$G$5001,A1282,Apparitions!$E$2:$E$5001,"○"))</f>
        <v/>
      </c>
      <c r="K1282" s="29" t="str">
        <f aca="false">IF(A1282="","",IFERROR(1/(1/_xlfn.MINIFS(Apparitions!$L$2:$L$5001,Apparitions!$G$2:$G$5001,A1282)),""))</f>
        <v/>
      </c>
      <c r="L1282" s="27" t="str">
        <f aca="false">IF(A1282="","",A1282&amp;" | "&amp;B1282&amp;IF(C1282="",""," ("&amp;C1282&amp;")")&amp;IF(D1282="",""," - "&amp;D1282))</f>
        <v/>
      </c>
    </row>
    <row r="1283" customFormat="false" ht="15" hidden="false" customHeight="false" outlineLevel="0" collapsed="false">
      <c r="A1283" s="32"/>
      <c r="B1283" s="19"/>
      <c r="C1283" s="19"/>
      <c r="D1283" s="19"/>
      <c r="E1283" s="21"/>
      <c r="F1283" s="19"/>
      <c r="G1283" s="27" t="str">
        <f aca="false">IF(B1283="","",IFERROR(INDEX(Jeux!$C$2:$C$3001,MATCH(B1283,Jeux!$A$2:$A$3001,0))&amp;"","⚠ jeu inconnu"))</f>
        <v/>
      </c>
      <c r="H1283" s="27" t="str">
        <f aca="false">IF(B1283="","",IFERROR(INDEX(Jeux!$D$2:$D$3001,MATCH(B1283,Jeux!$A$2:$A$3001,0))&amp;"",""))</f>
        <v/>
      </c>
      <c r="I1283" s="26" t="str">
        <f aca="false">IF(A1283="","",COUNTIF(Apparitions!$G$2:$G$5001,A1283))</f>
        <v/>
      </c>
      <c r="J1283" s="26" t="str">
        <f aca="false">IF(A1283="","",COUNTIFS(Apparitions!$G$2:$G$5001,A1283,Apparitions!$E$2:$E$5001,"○"))</f>
        <v/>
      </c>
      <c r="K1283" s="29" t="str">
        <f aca="false">IF(A1283="","",IFERROR(1/(1/_xlfn.MINIFS(Apparitions!$L$2:$L$5001,Apparitions!$G$2:$G$5001,A1283)),""))</f>
        <v/>
      </c>
      <c r="L1283" s="27" t="str">
        <f aca="false">IF(A1283="","",A1283&amp;" | "&amp;B1283&amp;IF(C1283="",""," ("&amp;C1283&amp;")")&amp;IF(D1283="",""," - "&amp;D1283))</f>
        <v/>
      </c>
    </row>
    <row r="1284" customFormat="false" ht="15" hidden="false" customHeight="false" outlineLevel="0" collapsed="false">
      <c r="A1284" s="32"/>
      <c r="B1284" s="19"/>
      <c r="C1284" s="19"/>
      <c r="D1284" s="19"/>
      <c r="E1284" s="21"/>
      <c r="F1284" s="19"/>
      <c r="G1284" s="27" t="str">
        <f aca="false">IF(B1284="","",IFERROR(INDEX(Jeux!$C$2:$C$3001,MATCH(B1284,Jeux!$A$2:$A$3001,0))&amp;"","⚠ jeu inconnu"))</f>
        <v/>
      </c>
      <c r="H1284" s="27" t="str">
        <f aca="false">IF(B1284="","",IFERROR(INDEX(Jeux!$D$2:$D$3001,MATCH(B1284,Jeux!$A$2:$A$3001,0))&amp;"",""))</f>
        <v/>
      </c>
      <c r="I1284" s="26" t="str">
        <f aca="false">IF(A1284="","",COUNTIF(Apparitions!$G$2:$G$5001,A1284))</f>
        <v/>
      </c>
      <c r="J1284" s="26" t="str">
        <f aca="false">IF(A1284="","",COUNTIFS(Apparitions!$G$2:$G$5001,A1284,Apparitions!$E$2:$E$5001,"○"))</f>
        <v/>
      </c>
      <c r="K1284" s="29" t="str">
        <f aca="false">IF(A1284="","",IFERROR(1/(1/_xlfn.MINIFS(Apparitions!$L$2:$L$5001,Apparitions!$G$2:$G$5001,A1284)),""))</f>
        <v/>
      </c>
      <c r="L1284" s="27" t="str">
        <f aca="false">IF(A1284="","",A1284&amp;" | "&amp;B1284&amp;IF(C1284="",""," ("&amp;C1284&amp;")")&amp;IF(D1284="",""," - "&amp;D1284))</f>
        <v/>
      </c>
    </row>
    <row r="1285" customFormat="false" ht="15" hidden="false" customHeight="false" outlineLevel="0" collapsed="false">
      <c r="A1285" s="32"/>
      <c r="B1285" s="19"/>
      <c r="C1285" s="19"/>
      <c r="D1285" s="19"/>
      <c r="E1285" s="21"/>
      <c r="F1285" s="19"/>
      <c r="G1285" s="27" t="str">
        <f aca="false">IF(B1285="","",IFERROR(INDEX(Jeux!$C$2:$C$3001,MATCH(B1285,Jeux!$A$2:$A$3001,0))&amp;"","⚠ jeu inconnu"))</f>
        <v/>
      </c>
      <c r="H1285" s="27" t="str">
        <f aca="false">IF(B1285="","",IFERROR(INDEX(Jeux!$D$2:$D$3001,MATCH(B1285,Jeux!$A$2:$A$3001,0))&amp;"",""))</f>
        <v/>
      </c>
      <c r="I1285" s="26" t="str">
        <f aca="false">IF(A1285="","",COUNTIF(Apparitions!$G$2:$G$5001,A1285))</f>
        <v/>
      </c>
      <c r="J1285" s="26" t="str">
        <f aca="false">IF(A1285="","",COUNTIFS(Apparitions!$G$2:$G$5001,A1285,Apparitions!$E$2:$E$5001,"○"))</f>
        <v/>
      </c>
      <c r="K1285" s="29" t="str">
        <f aca="false">IF(A1285="","",IFERROR(1/(1/_xlfn.MINIFS(Apparitions!$L$2:$L$5001,Apparitions!$G$2:$G$5001,A1285)),""))</f>
        <v/>
      </c>
      <c r="L1285" s="27" t="str">
        <f aca="false">IF(A1285="","",A1285&amp;" | "&amp;B1285&amp;IF(C1285="",""," ("&amp;C1285&amp;")")&amp;IF(D1285="",""," - "&amp;D1285))</f>
        <v/>
      </c>
    </row>
    <row r="1286" customFormat="false" ht="15" hidden="false" customHeight="false" outlineLevel="0" collapsed="false">
      <c r="A1286" s="32"/>
      <c r="B1286" s="19"/>
      <c r="C1286" s="19"/>
      <c r="D1286" s="19"/>
      <c r="E1286" s="21"/>
      <c r="F1286" s="19"/>
      <c r="G1286" s="27" t="str">
        <f aca="false">IF(B1286="","",IFERROR(INDEX(Jeux!$C$2:$C$3001,MATCH(B1286,Jeux!$A$2:$A$3001,0))&amp;"","⚠ jeu inconnu"))</f>
        <v/>
      </c>
      <c r="H1286" s="27" t="str">
        <f aca="false">IF(B1286="","",IFERROR(INDEX(Jeux!$D$2:$D$3001,MATCH(B1286,Jeux!$A$2:$A$3001,0))&amp;"",""))</f>
        <v/>
      </c>
      <c r="I1286" s="26" t="str">
        <f aca="false">IF(A1286="","",COUNTIF(Apparitions!$G$2:$G$5001,A1286))</f>
        <v/>
      </c>
      <c r="J1286" s="26" t="str">
        <f aca="false">IF(A1286="","",COUNTIFS(Apparitions!$G$2:$G$5001,A1286,Apparitions!$E$2:$E$5001,"○"))</f>
        <v/>
      </c>
      <c r="K1286" s="29" t="str">
        <f aca="false">IF(A1286="","",IFERROR(1/(1/_xlfn.MINIFS(Apparitions!$L$2:$L$5001,Apparitions!$G$2:$G$5001,A1286)),""))</f>
        <v/>
      </c>
      <c r="L1286" s="27" t="str">
        <f aca="false">IF(A1286="","",A1286&amp;" | "&amp;B1286&amp;IF(C1286="",""," ("&amp;C1286&amp;")")&amp;IF(D1286="",""," - "&amp;D1286))</f>
        <v/>
      </c>
    </row>
    <row r="1287" customFormat="false" ht="15" hidden="false" customHeight="false" outlineLevel="0" collapsed="false">
      <c r="A1287" s="32"/>
      <c r="B1287" s="19"/>
      <c r="C1287" s="19"/>
      <c r="D1287" s="19"/>
      <c r="E1287" s="21"/>
      <c r="F1287" s="19"/>
      <c r="G1287" s="27" t="str">
        <f aca="false">IF(B1287="","",IFERROR(INDEX(Jeux!$C$2:$C$3001,MATCH(B1287,Jeux!$A$2:$A$3001,0))&amp;"","⚠ jeu inconnu"))</f>
        <v/>
      </c>
      <c r="H1287" s="27" t="str">
        <f aca="false">IF(B1287="","",IFERROR(INDEX(Jeux!$D$2:$D$3001,MATCH(B1287,Jeux!$A$2:$A$3001,0))&amp;"",""))</f>
        <v/>
      </c>
      <c r="I1287" s="26" t="str">
        <f aca="false">IF(A1287="","",COUNTIF(Apparitions!$G$2:$G$5001,A1287))</f>
        <v/>
      </c>
      <c r="J1287" s="26" t="str">
        <f aca="false">IF(A1287="","",COUNTIFS(Apparitions!$G$2:$G$5001,A1287,Apparitions!$E$2:$E$5001,"○"))</f>
        <v/>
      </c>
      <c r="K1287" s="29" t="str">
        <f aca="false">IF(A1287="","",IFERROR(1/(1/_xlfn.MINIFS(Apparitions!$L$2:$L$5001,Apparitions!$G$2:$G$5001,A1287)),""))</f>
        <v/>
      </c>
      <c r="L1287" s="27" t="str">
        <f aca="false">IF(A1287="","",A1287&amp;" | "&amp;B1287&amp;IF(C1287="",""," ("&amp;C1287&amp;")")&amp;IF(D1287="",""," - "&amp;D1287))</f>
        <v/>
      </c>
    </row>
    <row r="1288" customFormat="false" ht="15" hidden="false" customHeight="false" outlineLevel="0" collapsed="false">
      <c r="A1288" s="32"/>
      <c r="B1288" s="19"/>
      <c r="C1288" s="19"/>
      <c r="D1288" s="19"/>
      <c r="E1288" s="21"/>
      <c r="F1288" s="19"/>
      <c r="G1288" s="27" t="str">
        <f aca="false">IF(B1288="","",IFERROR(INDEX(Jeux!$C$2:$C$3001,MATCH(B1288,Jeux!$A$2:$A$3001,0))&amp;"","⚠ jeu inconnu"))</f>
        <v/>
      </c>
      <c r="H1288" s="27" t="str">
        <f aca="false">IF(B1288="","",IFERROR(INDEX(Jeux!$D$2:$D$3001,MATCH(B1288,Jeux!$A$2:$A$3001,0))&amp;"",""))</f>
        <v/>
      </c>
      <c r="I1288" s="26" t="str">
        <f aca="false">IF(A1288="","",COUNTIF(Apparitions!$G$2:$G$5001,A1288))</f>
        <v/>
      </c>
      <c r="J1288" s="26" t="str">
        <f aca="false">IF(A1288="","",COUNTIFS(Apparitions!$G$2:$G$5001,A1288,Apparitions!$E$2:$E$5001,"○"))</f>
        <v/>
      </c>
      <c r="K1288" s="29" t="str">
        <f aca="false">IF(A1288="","",IFERROR(1/(1/_xlfn.MINIFS(Apparitions!$L$2:$L$5001,Apparitions!$G$2:$G$5001,A1288)),""))</f>
        <v/>
      </c>
      <c r="L1288" s="27" t="str">
        <f aca="false">IF(A1288="","",A1288&amp;" | "&amp;B1288&amp;IF(C1288="",""," ("&amp;C1288&amp;")")&amp;IF(D1288="",""," - "&amp;D1288))</f>
        <v/>
      </c>
    </row>
    <row r="1289" customFormat="false" ht="15" hidden="false" customHeight="false" outlineLevel="0" collapsed="false">
      <c r="A1289" s="32"/>
      <c r="B1289" s="19"/>
      <c r="C1289" s="19"/>
      <c r="D1289" s="19"/>
      <c r="E1289" s="21"/>
      <c r="F1289" s="19"/>
      <c r="G1289" s="27" t="str">
        <f aca="false">IF(B1289="","",IFERROR(INDEX(Jeux!$C$2:$C$3001,MATCH(B1289,Jeux!$A$2:$A$3001,0))&amp;"","⚠ jeu inconnu"))</f>
        <v/>
      </c>
      <c r="H1289" s="27" t="str">
        <f aca="false">IF(B1289="","",IFERROR(INDEX(Jeux!$D$2:$D$3001,MATCH(B1289,Jeux!$A$2:$A$3001,0))&amp;"",""))</f>
        <v/>
      </c>
      <c r="I1289" s="26" t="str">
        <f aca="false">IF(A1289="","",COUNTIF(Apparitions!$G$2:$G$5001,A1289))</f>
        <v/>
      </c>
      <c r="J1289" s="26" t="str">
        <f aca="false">IF(A1289="","",COUNTIFS(Apparitions!$G$2:$G$5001,A1289,Apparitions!$E$2:$E$5001,"○"))</f>
        <v/>
      </c>
      <c r="K1289" s="29" t="str">
        <f aca="false">IF(A1289="","",IFERROR(1/(1/_xlfn.MINIFS(Apparitions!$L$2:$L$5001,Apparitions!$G$2:$G$5001,A1289)),""))</f>
        <v/>
      </c>
      <c r="L1289" s="27" t="str">
        <f aca="false">IF(A1289="","",A1289&amp;" | "&amp;B1289&amp;IF(C1289="",""," ("&amp;C1289&amp;")")&amp;IF(D1289="",""," - "&amp;D1289))</f>
        <v/>
      </c>
    </row>
    <row r="1290" customFormat="false" ht="15" hidden="false" customHeight="false" outlineLevel="0" collapsed="false">
      <c r="A1290" s="32"/>
      <c r="B1290" s="19"/>
      <c r="C1290" s="19"/>
      <c r="D1290" s="19"/>
      <c r="E1290" s="21"/>
      <c r="F1290" s="19"/>
      <c r="G1290" s="27" t="str">
        <f aca="false">IF(B1290="","",IFERROR(INDEX(Jeux!$C$2:$C$3001,MATCH(B1290,Jeux!$A$2:$A$3001,0))&amp;"","⚠ jeu inconnu"))</f>
        <v/>
      </c>
      <c r="H1290" s="27" t="str">
        <f aca="false">IF(B1290="","",IFERROR(INDEX(Jeux!$D$2:$D$3001,MATCH(B1290,Jeux!$A$2:$A$3001,0))&amp;"",""))</f>
        <v/>
      </c>
      <c r="I1290" s="26" t="str">
        <f aca="false">IF(A1290="","",COUNTIF(Apparitions!$G$2:$G$5001,A1290))</f>
        <v/>
      </c>
      <c r="J1290" s="26" t="str">
        <f aca="false">IF(A1290="","",COUNTIFS(Apparitions!$G$2:$G$5001,A1290,Apparitions!$E$2:$E$5001,"○"))</f>
        <v/>
      </c>
      <c r="K1290" s="29" t="str">
        <f aca="false">IF(A1290="","",IFERROR(1/(1/_xlfn.MINIFS(Apparitions!$L$2:$L$5001,Apparitions!$G$2:$G$5001,A1290)),""))</f>
        <v/>
      </c>
      <c r="L1290" s="27" t="str">
        <f aca="false">IF(A1290="","",A1290&amp;" | "&amp;B1290&amp;IF(C1290="",""," ("&amp;C1290&amp;")")&amp;IF(D1290="",""," - "&amp;D1290))</f>
        <v/>
      </c>
    </row>
    <row r="1291" customFormat="false" ht="15" hidden="false" customHeight="false" outlineLevel="0" collapsed="false">
      <c r="A1291" s="32"/>
      <c r="B1291" s="19"/>
      <c r="C1291" s="19"/>
      <c r="D1291" s="19"/>
      <c r="E1291" s="21"/>
      <c r="F1291" s="19"/>
      <c r="G1291" s="27" t="str">
        <f aca="false">IF(B1291="","",IFERROR(INDEX(Jeux!$C$2:$C$3001,MATCH(B1291,Jeux!$A$2:$A$3001,0))&amp;"","⚠ jeu inconnu"))</f>
        <v/>
      </c>
      <c r="H1291" s="27" t="str">
        <f aca="false">IF(B1291="","",IFERROR(INDEX(Jeux!$D$2:$D$3001,MATCH(B1291,Jeux!$A$2:$A$3001,0))&amp;"",""))</f>
        <v/>
      </c>
      <c r="I1291" s="26" t="str">
        <f aca="false">IF(A1291="","",COUNTIF(Apparitions!$G$2:$G$5001,A1291))</f>
        <v/>
      </c>
      <c r="J1291" s="26" t="str">
        <f aca="false">IF(A1291="","",COUNTIFS(Apparitions!$G$2:$G$5001,A1291,Apparitions!$E$2:$E$5001,"○"))</f>
        <v/>
      </c>
      <c r="K1291" s="29" t="str">
        <f aca="false">IF(A1291="","",IFERROR(1/(1/_xlfn.MINIFS(Apparitions!$L$2:$L$5001,Apparitions!$G$2:$G$5001,A1291)),""))</f>
        <v/>
      </c>
      <c r="L1291" s="27" t="str">
        <f aca="false">IF(A1291="","",A1291&amp;" | "&amp;B1291&amp;IF(C1291="",""," ("&amp;C1291&amp;")")&amp;IF(D1291="",""," - "&amp;D1291))</f>
        <v/>
      </c>
    </row>
    <row r="1292" customFormat="false" ht="15" hidden="false" customHeight="false" outlineLevel="0" collapsed="false">
      <c r="A1292" s="32"/>
      <c r="B1292" s="19"/>
      <c r="C1292" s="19"/>
      <c r="D1292" s="19"/>
      <c r="E1292" s="21"/>
      <c r="F1292" s="19"/>
      <c r="G1292" s="27" t="str">
        <f aca="false">IF(B1292="","",IFERROR(INDEX(Jeux!$C$2:$C$3001,MATCH(B1292,Jeux!$A$2:$A$3001,0))&amp;"","⚠ jeu inconnu"))</f>
        <v/>
      </c>
      <c r="H1292" s="27" t="str">
        <f aca="false">IF(B1292="","",IFERROR(INDEX(Jeux!$D$2:$D$3001,MATCH(B1292,Jeux!$A$2:$A$3001,0))&amp;"",""))</f>
        <v/>
      </c>
      <c r="I1292" s="26" t="str">
        <f aca="false">IF(A1292="","",COUNTIF(Apparitions!$G$2:$G$5001,A1292))</f>
        <v/>
      </c>
      <c r="J1292" s="26" t="str">
        <f aca="false">IF(A1292="","",COUNTIFS(Apparitions!$G$2:$G$5001,A1292,Apparitions!$E$2:$E$5001,"○"))</f>
        <v/>
      </c>
      <c r="K1292" s="29" t="str">
        <f aca="false">IF(A1292="","",IFERROR(1/(1/_xlfn.MINIFS(Apparitions!$L$2:$L$5001,Apparitions!$G$2:$G$5001,A1292)),""))</f>
        <v/>
      </c>
      <c r="L1292" s="27" t="str">
        <f aca="false">IF(A1292="","",A1292&amp;" | "&amp;B1292&amp;IF(C1292="",""," ("&amp;C1292&amp;")")&amp;IF(D1292="",""," - "&amp;D1292))</f>
        <v/>
      </c>
    </row>
    <row r="1293" customFormat="false" ht="15" hidden="false" customHeight="false" outlineLevel="0" collapsed="false">
      <c r="A1293" s="32"/>
      <c r="B1293" s="19"/>
      <c r="C1293" s="19"/>
      <c r="D1293" s="19"/>
      <c r="E1293" s="21"/>
      <c r="F1293" s="19"/>
      <c r="G1293" s="27" t="str">
        <f aca="false">IF(B1293="","",IFERROR(INDEX(Jeux!$C$2:$C$3001,MATCH(B1293,Jeux!$A$2:$A$3001,0))&amp;"","⚠ jeu inconnu"))</f>
        <v/>
      </c>
      <c r="H1293" s="27" t="str">
        <f aca="false">IF(B1293="","",IFERROR(INDEX(Jeux!$D$2:$D$3001,MATCH(B1293,Jeux!$A$2:$A$3001,0))&amp;"",""))</f>
        <v/>
      </c>
      <c r="I1293" s="26" t="str">
        <f aca="false">IF(A1293="","",COUNTIF(Apparitions!$G$2:$G$5001,A1293))</f>
        <v/>
      </c>
      <c r="J1293" s="26" t="str">
        <f aca="false">IF(A1293="","",COUNTIFS(Apparitions!$G$2:$G$5001,A1293,Apparitions!$E$2:$E$5001,"○"))</f>
        <v/>
      </c>
      <c r="K1293" s="29" t="str">
        <f aca="false">IF(A1293="","",IFERROR(1/(1/_xlfn.MINIFS(Apparitions!$L$2:$L$5001,Apparitions!$G$2:$G$5001,A1293)),""))</f>
        <v/>
      </c>
      <c r="L1293" s="27" t="str">
        <f aca="false">IF(A1293="","",A1293&amp;" | "&amp;B1293&amp;IF(C1293="",""," ("&amp;C1293&amp;")")&amp;IF(D1293="",""," - "&amp;D1293))</f>
        <v/>
      </c>
    </row>
    <row r="1294" customFormat="false" ht="15" hidden="false" customHeight="false" outlineLevel="0" collapsed="false">
      <c r="A1294" s="32"/>
      <c r="B1294" s="19"/>
      <c r="C1294" s="19"/>
      <c r="D1294" s="19"/>
      <c r="E1294" s="21"/>
      <c r="F1294" s="19"/>
      <c r="G1294" s="27" t="str">
        <f aca="false">IF(B1294="","",IFERROR(INDEX(Jeux!$C$2:$C$3001,MATCH(B1294,Jeux!$A$2:$A$3001,0))&amp;"","⚠ jeu inconnu"))</f>
        <v/>
      </c>
      <c r="H1294" s="27" t="str">
        <f aca="false">IF(B1294="","",IFERROR(INDEX(Jeux!$D$2:$D$3001,MATCH(B1294,Jeux!$A$2:$A$3001,0))&amp;"",""))</f>
        <v/>
      </c>
      <c r="I1294" s="26" t="str">
        <f aca="false">IF(A1294="","",COUNTIF(Apparitions!$G$2:$G$5001,A1294))</f>
        <v/>
      </c>
      <c r="J1294" s="26" t="str">
        <f aca="false">IF(A1294="","",COUNTIFS(Apparitions!$G$2:$G$5001,A1294,Apparitions!$E$2:$E$5001,"○"))</f>
        <v/>
      </c>
      <c r="K1294" s="29" t="str">
        <f aca="false">IF(A1294="","",IFERROR(1/(1/_xlfn.MINIFS(Apparitions!$L$2:$L$5001,Apparitions!$G$2:$G$5001,A1294)),""))</f>
        <v/>
      </c>
      <c r="L1294" s="27" t="str">
        <f aca="false">IF(A1294="","",A1294&amp;" | "&amp;B1294&amp;IF(C1294="",""," ("&amp;C1294&amp;")")&amp;IF(D1294="",""," - "&amp;D1294))</f>
        <v/>
      </c>
    </row>
    <row r="1295" customFormat="false" ht="15" hidden="false" customHeight="false" outlineLevel="0" collapsed="false">
      <c r="A1295" s="32"/>
      <c r="B1295" s="19"/>
      <c r="C1295" s="19"/>
      <c r="D1295" s="19"/>
      <c r="E1295" s="21"/>
      <c r="F1295" s="19"/>
      <c r="G1295" s="27" t="str">
        <f aca="false">IF(B1295="","",IFERROR(INDEX(Jeux!$C$2:$C$3001,MATCH(B1295,Jeux!$A$2:$A$3001,0))&amp;"","⚠ jeu inconnu"))</f>
        <v/>
      </c>
      <c r="H1295" s="27" t="str">
        <f aca="false">IF(B1295="","",IFERROR(INDEX(Jeux!$D$2:$D$3001,MATCH(B1295,Jeux!$A$2:$A$3001,0))&amp;"",""))</f>
        <v/>
      </c>
      <c r="I1295" s="26" t="str">
        <f aca="false">IF(A1295="","",COUNTIF(Apparitions!$G$2:$G$5001,A1295))</f>
        <v/>
      </c>
      <c r="J1295" s="26" t="str">
        <f aca="false">IF(A1295="","",COUNTIFS(Apparitions!$G$2:$G$5001,A1295,Apparitions!$E$2:$E$5001,"○"))</f>
        <v/>
      </c>
      <c r="K1295" s="29" t="str">
        <f aca="false">IF(A1295="","",IFERROR(1/(1/_xlfn.MINIFS(Apparitions!$L$2:$L$5001,Apparitions!$G$2:$G$5001,A1295)),""))</f>
        <v/>
      </c>
      <c r="L1295" s="27" t="str">
        <f aca="false">IF(A1295="","",A1295&amp;" | "&amp;B1295&amp;IF(C1295="",""," ("&amp;C1295&amp;")")&amp;IF(D1295="",""," - "&amp;D1295))</f>
        <v/>
      </c>
    </row>
    <row r="1296" customFormat="false" ht="15" hidden="false" customHeight="false" outlineLevel="0" collapsed="false">
      <c r="A1296" s="32"/>
      <c r="B1296" s="19"/>
      <c r="C1296" s="19"/>
      <c r="D1296" s="19"/>
      <c r="E1296" s="21"/>
      <c r="F1296" s="19"/>
      <c r="G1296" s="27" t="str">
        <f aca="false">IF(B1296="","",IFERROR(INDEX(Jeux!$C$2:$C$3001,MATCH(B1296,Jeux!$A$2:$A$3001,0))&amp;"","⚠ jeu inconnu"))</f>
        <v/>
      </c>
      <c r="H1296" s="27" t="str">
        <f aca="false">IF(B1296="","",IFERROR(INDEX(Jeux!$D$2:$D$3001,MATCH(B1296,Jeux!$A$2:$A$3001,0))&amp;"",""))</f>
        <v/>
      </c>
      <c r="I1296" s="26" t="str">
        <f aca="false">IF(A1296="","",COUNTIF(Apparitions!$G$2:$G$5001,A1296))</f>
        <v/>
      </c>
      <c r="J1296" s="26" t="str">
        <f aca="false">IF(A1296="","",COUNTIFS(Apparitions!$G$2:$G$5001,A1296,Apparitions!$E$2:$E$5001,"○"))</f>
        <v/>
      </c>
      <c r="K1296" s="29" t="str">
        <f aca="false">IF(A1296="","",IFERROR(1/(1/_xlfn.MINIFS(Apparitions!$L$2:$L$5001,Apparitions!$G$2:$G$5001,A1296)),""))</f>
        <v/>
      </c>
      <c r="L1296" s="27" t="str">
        <f aca="false">IF(A1296="","",A1296&amp;" | "&amp;B1296&amp;IF(C1296="",""," ("&amp;C1296&amp;")")&amp;IF(D1296="",""," - "&amp;D1296))</f>
        <v/>
      </c>
    </row>
    <row r="1297" customFormat="false" ht="15" hidden="false" customHeight="false" outlineLevel="0" collapsed="false">
      <c r="A1297" s="32"/>
      <c r="B1297" s="19"/>
      <c r="C1297" s="19"/>
      <c r="D1297" s="19"/>
      <c r="E1297" s="21"/>
      <c r="F1297" s="19"/>
      <c r="G1297" s="27" t="str">
        <f aca="false">IF(B1297="","",IFERROR(INDEX(Jeux!$C$2:$C$3001,MATCH(B1297,Jeux!$A$2:$A$3001,0))&amp;"","⚠ jeu inconnu"))</f>
        <v/>
      </c>
      <c r="H1297" s="27" t="str">
        <f aca="false">IF(B1297="","",IFERROR(INDEX(Jeux!$D$2:$D$3001,MATCH(B1297,Jeux!$A$2:$A$3001,0))&amp;"",""))</f>
        <v/>
      </c>
      <c r="I1297" s="26" t="str">
        <f aca="false">IF(A1297="","",COUNTIF(Apparitions!$G$2:$G$5001,A1297))</f>
        <v/>
      </c>
      <c r="J1297" s="26" t="str">
        <f aca="false">IF(A1297="","",COUNTIFS(Apparitions!$G$2:$G$5001,A1297,Apparitions!$E$2:$E$5001,"○"))</f>
        <v/>
      </c>
      <c r="K1297" s="29" t="str">
        <f aca="false">IF(A1297="","",IFERROR(1/(1/_xlfn.MINIFS(Apparitions!$L$2:$L$5001,Apparitions!$G$2:$G$5001,A1297)),""))</f>
        <v/>
      </c>
      <c r="L1297" s="27" t="str">
        <f aca="false">IF(A1297="","",A1297&amp;" | "&amp;B1297&amp;IF(C1297="",""," ("&amp;C1297&amp;")")&amp;IF(D1297="",""," - "&amp;D1297))</f>
        <v/>
      </c>
    </row>
    <row r="1298" customFormat="false" ht="15" hidden="false" customHeight="false" outlineLevel="0" collapsed="false">
      <c r="A1298" s="32"/>
      <c r="B1298" s="19"/>
      <c r="C1298" s="19"/>
      <c r="D1298" s="19"/>
      <c r="E1298" s="21"/>
      <c r="F1298" s="19"/>
      <c r="G1298" s="27" t="str">
        <f aca="false">IF(B1298="","",IFERROR(INDEX(Jeux!$C$2:$C$3001,MATCH(B1298,Jeux!$A$2:$A$3001,0))&amp;"","⚠ jeu inconnu"))</f>
        <v/>
      </c>
      <c r="H1298" s="27" t="str">
        <f aca="false">IF(B1298="","",IFERROR(INDEX(Jeux!$D$2:$D$3001,MATCH(B1298,Jeux!$A$2:$A$3001,0))&amp;"",""))</f>
        <v/>
      </c>
      <c r="I1298" s="26" t="str">
        <f aca="false">IF(A1298="","",COUNTIF(Apparitions!$G$2:$G$5001,A1298))</f>
        <v/>
      </c>
      <c r="J1298" s="26" t="str">
        <f aca="false">IF(A1298="","",COUNTIFS(Apparitions!$G$2:$G$5001,A1298,Apparitions!$E$2:$E$5001,"○"))</f>
        <v/>
      </c>
      <c r="K1298" s="29" t="str">
        <f aca="false">IF(A1298="","",IFERROR(1/(1/_xlfn.MINIFS(Apparitions!$L$2:$L$5001,Apparitions!$G$2:$G$5001,A1298)),""))</f>
        <v/>
      </c>
      <c r="L1298" s="27" t="str">
        <f aca="false">IF(A1298="","",A1298&amp;" | "&amp;B1298&amp;IF(C1298="",""," ("&amp;C1298&amp;")")&amp;IF(D1298="",""," - "&amp;D1298))</f>
        <v/>
      </c>
    </row>
    <row r="1299" customFormat="false" ht="15" hidden="false" customHeight="false" outlineLevel="0" collapsed="false">
      <c r="A1299" s="32"/>
      <c r="B1299" s="19"/>
      <c r="C1299" s="19"/>
      <c r="D1299" s="19"/>
      <c r="E1299" s="21"/>
      <c r="F1299" s="19"/>
      <c r="G1299" s="27" t="str">
        <f aca="false">IF(B1299="","",IFERROR(INDEX(Jeux!$C$2:$C$3001,MATCH(B1299,Jeux!$A$2:$A$3001,0))&amp;"","⚠ jeu inconnu"))</f>
        <v/>
      </c>
      <c r="H1299" s="27" t="str">
        <f aca="false">IF(B1299="","",IFERROR(INDEX(Jeux!$D$2:$D$3001,MATCH(B1299,Jeux!$A$2:$A$3001,0))&amp;"",""))</f>
        <v/>
      </c>
      <c r="I1299" s="26" t="str">
        <f aca="false">IF(A1299="","",COUNTIF(Apparitions!$G$2:$G$5001,A1299))</f>
        <v/>
      </c>
      <c r="J1299" s="26" t="str">
        <f aca="false">IF(A1299="","",COUNTIFS(Apparitions!$G$2:$G$5001,A1299,Apparitions!$E$2:$E$5001,"○"))</f>
        <v/>
      </c>
      <c r="K1299" s="29" t="str">
        <f aca="false">IF(A1299="","",IFERROR(1/(1/_xlfn.MINIFS(Apparitions!$L$2:$L$5001,Apparitions!$G$2:$G$5001,A1299)),""))</f>
        <v/>
      </c>
      <c r="L1299" s="27" t="str">
        <f aca="false">IF(A1299="","",A1299&amp;" | "&amp;B1299&amp;IF(C1299="",""," ("&amp;C1299&amp;")")&amp;IF(D1299="",""," - "&amp;D1299))</f>
        <v/>
      </c>
    </row>
    <row r="1300" customFormat="false" ht="15" hidden="false" customHeight="false" outlineLevel="0" collapsed="false">
      <c r="A1300" s="32"/>
      <c r="B1300" s="19"/>
      <c r="C1300" s="19"/>
      <c r="D1300" s="19"/>
      <c r="E1300" s="21"/>
      <c r="F1300" s="19"/>
      <c r="G1300" s="27" t="str">
        <f aca="false">IF(B1300="","",IFERROR(INDEX(Jeux!$C$2:$C$3001,MATCH(B1300,Jeux!$A$2:$A$3001,0))&amp;"","⚠ jeu inconnu"))</f>
        <v/>
      </c>
      <c r="H1300" s="27" t="str">
        <f aca="false">IF(B1300="","",IFERROR(INDEX(Jeux!$D$2:$D$3001,MATCH(B1300,Jeux!$A$2:$A$3001,0))&amp;"",""))</f>
        <v/>
      </c>
      <c r="I1300" s="26" t="str">
        <f aca="false">IF(A1300="","",COUNTIF(Apparitions!$G$2:$G$5001,A1300))</f>
        <v/>
      </c>
      <c r="J1300" s="26" t="str">
        <f aca="false">IF(A1300="","",COUNTIFS(Apparitions!$G$2:$G$5001,A1300,Apparitions!$E$2:$E$5001,"○"))</f>
        <v/>
      </c>
      <c r="K1300" s="29" t="str">
        <f aca="false">IF(A1300="","",IFERROR(1/(1/_xlfn.MINIFS(Apparitions!$L$2:$L$5001,Apparitions!$G$2:$G$5001,A1300)),""))</f>
        <v/>
      </c>
      <c r="L1300" s="27" t="str">
        <f aca="false">IF(A1300="","",A1300&amp;" | "&amp;B1300&amp;IF(C1300="",""," ("&amp;C1300&amp;")")&amp;IF(D1300="",""," - "&amp;D1300))</f>
        <v/>
      </c>
    </row>
    <row r="1301" customFormat="false" ht="15" hidden="false" customHeight="false" outlineLevel="0" collapsed="false">
      <c r="A1301" s="32"/>
      <c r="B1301" s="19"/>
      <c r="C1301" s="19"/>
      <c r="D1301" s="19"/>
      <c r="E1301" s="21"/>
      <c r="F1301" s="19"/>
      <c r="G1301" s="27" t="str">
        <f aca="false">IF(B1301="","",IFERROR(INDEX(Jeux!$C$2:$C$3001,MATCH(B1301,Jeux!$A$2:$A$3001,0))&amp;"","⚠ jeu inconnu"))</f>
        <v/>
      </c>
      <c r="H1301" s="27" t="str">
        <f aca="false">IF(B1301="","",IFERROR(INDEX(Jeux!$D$2:$D$3001,MATCH(B1301,Jeux!$A$2:$A$3001,0))&amp;"",""))</f>
        <v/>
      </c>
      <c r="I1301" s="26" t="str">
        <f aca="false">IF(A1301="","",COUNTIF(Apparitions!$G$2:$G$5001,A1301))</f>
        <v/>
      </c>
      <c r="J1301" s="26" t="str">
        <f aca="false">IF(A1301="","",COUNTIFS(Apparitions!$G$2:$G$5001,A1301,Apparitions!$E$2:$E$5001,"○"))</f>
        <v/>
      </c>
      <c r="K1301" s="29" t="str">
        <f aca="false">IF(A1301="","",IFERROR(1/(1/_xlfn.MINIFS(Apparitions!$L$2:$L$5001,Apparitions!$G$2:$G$5001,A1301)),""))</f>
        <v/>
      </c>
      <c r="L1301" s="27" t="str">
        <f aca="false">IF(A1301="","",A1301&amp;" | "&amp;B1301&amp;IF(C1301="",""," ("&amp;C1301&amp;")")&amp;IF(D1301="",""," - "&amp;D1301))</f>
        <v/>
      </c>
    </row>
    <row r="1302" customFormat="false" ht="15" hidden="false" customHeight="false" outlineLevel="0" collapsed="false">
      <c r="A1302" s="32"/>
      <c r="B1302" s="19"/>
      <c r="C1302" s="19"/>
      <c r="D1302" s="19"/>
      <c r="E1302" s="21"/>
      <c r="F1302" s="19"/>
      <c r="G1302" s="27" t="str">
        <f aca="false">IF(B1302="","",IFERROR(INDEX(Jeux!$C$2:$C$3001,MATCH(B1302,Jeux!$A$2:$A$3001,0))&amp;"","⚠ jeu inconnu"))</f>
        <v/>
      </c>
      <c r="H1302" s="27" t="str">
        <f aca="false">IF(B1302="","",IFERROR(INDEX(Jeux!$D$2:$D$3001,MATCH(B1302,Jeux!$A$2:$A$3001,0))&amp;"",""))</f>
        <v/>
      </c>
      <c r="I1302" s="26" t="str">
        <f aca="false">IF(A1302="","",COUNTIF(Apparitions!$G$2:$G$5001,A1302))</f>
        <v/>
      </c>
      <c r="J1302" s="26" t="str">
        <f aca="false">IF(A1302="","",COUNTIFS(Apparitions!$G$2:$G$5001,A1302,Apparitions!$E$2:$E$5001,"○"))</f>
        <v/>
      </c>
      <c r="K1302" s="29" t="str">
        <f aca="false">IF(A1302="","",IFERROR(1/(1/_xlfn.MINIFS(Apparitions!$L$2:$L$5001,Apparitions!$G$2:$G$5001,A1302)),""))</f>
        <v/>
      </c>
      <c r="L1302" s="27" t="str">
        <f aca="false">IF(A1302="","",A1302&amp;" | "&amp;B1302&amp;IF(C1302="",""," ("&amp;C1302&amp;")")&amp;IF(D1302="",""," - "&amp;D1302))</f>
        <v/>
      </c>
    </row>
    <row r="1303" customFormat="false" ht="15" hidden="false" customHeight="false" outlineLevel="0" collapsed="false">
      <c r="A1303" s="32"/>
      <c r="B1303" s="19"/>
      <c r="C1303" s="19"/>
      <c r="D1303" s="19"/>
      <c r="E1303" s="21"/>
      <c r="F1303" s="19"/>
      <c r="G1303" s="27" t="str">
        <f aca="false">IF(B1303="","",IFERROR(INDEX(Jeux!$C$2:$C$3001,MATCH(B1303,Jeux!$A$2:$A$3001,0))&amp;"","⚠ jeu inconnu"))</f>
        <v/>
      </c>
      <c r="H1303" s="27" t="str">
        <f aca="false">IF(B1303="","",IFERROR(INDEX(Jeux!$D$2:$D$3001,MATCH(B1303,Jeux!$A$2:$A$3001,0))&amp;"",""))</f>
        <v/>
      </c>
      <c r="I1303" s="26" t="str">
        <f aca="false">IF(A1303="","",COUNTIF(Apparitions!$G$2:$G$5001,A1303))</f>
        <v/>
      </c>
      <c r="J1303" s="26" t="str">
        <f aca="false">IF(A1303="","",COUNTIFS(Apparitions!$G$2:$G$5001,A1303,Apparitions!$E$2:$E$5001,"○"))</f>
        <v/>
      </c>
      <c r="K1303" s="29" t="str">
        <f aca="false">IF(A1303="","",IFERROR(1/(1/_xlfn.MINIFS(Apparitions!$L$2:$L$5001,Apparitions!$G$2:$G$5001,A1303)),""))</f>
        <v/>
      </c>
      <c r="L1303" s="27" t="str">
        <f aca="false">IF(A1303="","",A1303&amp;" | "&amp;B1303&amp;IF(C1303="",""," ("&amp;C1303&amp;")")&amp;IF(D1303="",""," - "&amp;D1303))</f>
        <v/>
      </c>
    </row>
    <row r="1304" customFormat="false" ht="15" hidden="false" customHeight="false" outlineLevel="0" collapsed="false">
      <c r="A1304" s="32"/>
      <c r="B1304" s="19"/>
      <c r="C1304" s="19"/>
      <c r="D1304" s="19"/>
      <c r="E1304" s="21"/>
      <c r="F1304" s="19"/>
      <c r="G1304" s="27" t="str">
        <f aca="false">IF(B1304="","",IFERROR(INDEX(Jeux!$C$2:$C$3001,MATCH(B1304,Jeux!$A$2:$A$3001,0))&amp;"","⚠ jeu inconnu"))</f>
        <v/>
      </c>
      <c r="H1304" s="27" t="str">
        <f aca="false">IF(B1304="","",IFERROR(INDEX(Jeux!$D$2:$D$3001,MATCH(B1304,Jeux!$A$2:$A$3001,0))&amp;"",""))</f>
        <v/>
      </c>
      <c r="I1304" s="26" t="str">
        <f aca="false">IF(A1304="","",COUNTIF(Apparitions!$G$2:$G$5001,A1304))</f>
        <v/>
      </c>
      <c r="J1304" s="26" t="str">
        <f aca="false">IF(A1304="","",COUNTIFS(Apparitions!$G$2:$G$5001,A1304,Apparitions!$E$2:$E$5001,"○"))</f>
        <v/>
      </c>
      <c r="K1304" s="29" t="str">
        <f aca="false">IF(A1304="","",IFERROR(1/(1/_xlfn.MINIFS(Apparitions!$L$2:$L$5001,Apparitions!$G$2:$G$5001,A1304)),""))</f>
        <v/>
      </c>
      <c r="L1304" s="27" t="str">
        <f aca="false">IF(A1304="","",A1304&amp;" | "&amp;B1304&amp;IF(C1304="",""," ("&amp;C1304&amp;")")&amp;IF(D1304="",""," - "&amp;D1304))</f>
        <v/>
      </c>
    </row>
    <row r="1305" customFormat="false" ht="15" hidden="false" customHeight="false" outlineLevel="0" collapsed="false">
      <c r="A1305" s="32"/>
      <c r="B1305" s="19"/>
      <c r="C1305" s="19"/>
      <c r="D1305" s="19"/>
      <c r="E1305" s="21"/>
      <c r="F1305" s="19"/>
      <c r="G1305" s="27" t="str">
        <f aca="false">IF(B1305="","",IFERROR(INDEX(Jeux!$C$2:$C$3001,MATCH(B1305,Jeux!$A$2:$A$3001,0))&amp;"","⚠ jeu inconnu"))</f>
        <v/>
      </c>
      <c r="H1305" s="27" t="str">
        <f aca="false">IF(B1305="","",IFERROR(INDEX(Jeux!$D$2:$D$3001,MATCH(B1305,Jeux!$A$2:$A$3001,0))&amp;"",""))</f>
        <v/>
      </c>
      <c r="I1305" s="26" t="str">
        <f aca="false">IF(A1305="","",COUNTIF(Apparitions!$G$2:$G$5001,A1305))</f>
        <v/>
      </c>
      <c r="J1305" s="26" t="str">
        <f aca="false">IF(A1305="","",COUNTIFS(Apparitions!$G$2:$G$5001,A1305,Apparitions!$E$2:$E$5001,"○"))</f>
        <v/>
      </c>
      <c r="K1305" s="29" t="str">
        <f aca="false">IF(A1305="","",IFERROR(1/(1/_xlfn.MINIFS(Apparitions!$L$2:$L$5001,Apparitions!$G$2:$G$5001,A1305)),""))</f>
        <v/>
      </c>
      <c r="L1305" s="27" t="str">
        <f aca="false">IF(A1305="","",A1305&amp;" | "&amp;B1305&amp;IF(C1305="",""," ("&amp;C1305&amp;")")&amp;IF(D1305="",""," - "&amp;D1305))</f>
        <v/>
      </c>
    </row>
    <row r="1306" customFormat="false" ht="15" hidden="false" customHeight="false" outlineLevel="0" collapsed="false">
      <c r="A1306" s="32"/>
      <c r="B1306" s="19"/>
      <c r="C1306" s="19"/>
      <c r="D1306" s="19"/>
      <c r="E1306" s="21"/>
      <c r="F1306" s="19"/>
      <c r="G1306" s="27" t="str">
        <f aca="false">IF(B1306="","",IFERROR(INDEX(Jeux!$C$2:$C$3001,MATCH(B1306,Jeux!$A$2:$A$3001,0))&amp;"","⚠ jeu inconnu"))</f>
        <v/>
      </c>
      <c r="H1306" s="27" t="str">
        <f aca="false">IF(B1306="","",IFERROR(INDEX(Jeux!$D$2:$D$3001,MATCH(B1306,Jeux!$A$2:$A$3001,0))&amp;"",""))</f>
        <v/>
      </c>
      <c r="I1306" s="26" t="str">
        <f aca="false">IF(A1306="","",COUNTIF(Apparitions!$G$2:$G$5001,A1306))</f>
        <v/>
      </c>
      <c r="J1306" s="26" t="str">
        <f aca="false">IF(A1306="","",COUNTIFS(Apparitions!$G$2:$G$5001,A1306,Apparitions!$E$2:$E$5001,"○"))</f>
        <v/>
      </c>
      <c r="K1306" s="29" t="str">
        <f aca="false">IF(A1306="","",IFERROR(1/(1/_xlfn.MINIFS(Apparitions!$L$2:$L$5001,Apparitions!$G$2:$G$5001,A1306)),""))</f>
        <v/>
      </c>
      <c r="L1306" s="27" t="str">
        <f aca="false">IF(A1306="","",A1306&amp;" | "&amp;B1306&amp;IF(C1306="",""," ("&amp;C1306&amp;")")&amp;IF(D1306="",""," - "&amp;D1306))</f>
        <v/>
      </c>
    </row>
    <row r="1307" customFormat="false" ht="15" hidden="false" customHeight="false" outlineLevel="0" collapsed="false">
      <c r="A1307" s="32"/>
      <c r="B1307" s="19"/>
      <c r="C1307" s="19"/>
      <c r="D1307" s="19"/>
      <c r="E1307" s="21"/>
      <c r="F1307" s="19"/>
      <c r="G1307" s="27" t="str">
        <f aca="false">IF(B1307="","",IFERROR(INDEX(Jeux!$C$2:$C$3001,MATCH(B1307,Jeux!$A$2:$A$3001,0))&amp;"","⚠ jeu inconnu"))</f>
        <v/>
      </c>
      <c r="H1307" s="27" t="str">
        <f aca="false">IF(B1307="","",IFERROR(INDEX(Jeux!$D$2:$D$3001,MATCH(B1307,Jeux!$A$2:$A$3001,0))&amp;"",""))</f>
        <v/>
      </c>
      <c r="I1307" s="26" t="str">
        <f aca="false">IF(A1307="","",COUNTIF(Apparitions!$G$2:$G$5001,A1307))</f>
        <v/>
      </c>
      <c r="J1307" s="26" t="str">
        <f aca="false">IF(A1307="","",COUNTIFS(Apparitions!$G$2:$G$5001,A1307,Apparitions!$E$2:$E$5001,"○"))</f>
        <v/>
      </c>
      <c r="K1307" s="29" t="str">
        <f aca="false">IF(A1307="","",IFERROR(1/(1/_xlfn.MINIFS(Apparitions!$L$2:$L$5001,Apparitions!$G$2:$G$5001,A1307)),""))</f>
        <v/>
      </c>
      <c r="L1307" s="27" t="str">
        <f aca="false">IF(A1307="","",A1307&amp;" | "&amp;B1307&amp;IF(C1307="",""," ("&amp;C1307&amp;")")&amp;IF(D1307="",""," - "&amp;D1307))</f>
        <v/>
      </c>
    </row>
    <row r="1308" customFormat="false" ht="15" hidden="false" customHeight="false" outlineLevel="0" collapsed="false">
      <c r="A1308" s="32"/>
      <c r="B1308" s="19"/>
      <c r="C1308" s="19"/>
      <c r="D1308" s="19"/>
      <c r="E1308" s="21"/>
      <c r="F1308" s="19"/>
      <c r="G1308" s="27" t="str">
        <f aca="false">IF(B1308="","",IFERROR(INDEX(Jeux!$C$2:$C$3001,MATCH(B1308,Jeux!$A$2:$A$3001,0))&amp;"","⚠ jeu inconnu"))</f>
        <v/>
      </c>
      <c r="H1308" s="27" t="str">
        <f aca="false">IF(B1308="","",IFERROR(INDEX(Jeux!$D$2:$D$3001,MATCH(B1308,Jeux!$A$2:$A$3001,0))&amp;"",""))</f>
        <v/>
      </c>
      <c r="I1308" s="26" t="str">
        <f aca="false">IF(A1308="","",COUNTIF(Apparitions!$G$2:$G$5001,A1308))</f>
        <v/>
      </c>
      <c r="J1308" s="26" t="str">
        <f aca="false">IF(A1308="","",COUNTIFS(Apparitions!$G$2:$G$5001,A1308,Apparitions!$E$2:$E$5001,"○"))</f>
        <v/>
      </c>
      <c r="K1308" s="29" t="str">
        <f aca="false">IF(A1308="","",IFERROR(1/(1/_xlfn.MINIFS(Apparitions!$L$2:$L$5001,Apparitions!$G$2:$G$5001,A1308)),""))</f>
        <v/>
      </c>
      <c r="L1308" s="27" t="str">
        <f aca="false">IF(A1308="","",A1308&amp;" | "&amp;B1308&amp;IF(C1308="",""," ("&amp;C1308&amp;")")&amp;IF(D1308="",""," - "&amp;D1308))</f>
        <v/>
      </c>
    </row>
    <row r="1309" customFormat="false" ht="15" hidden="false" customHeight="false" outlineLevel="0" collapsed="false">
      <c r="A1309" s="32"/>
      <c r="B1309" s="19"/>
      <c r="C1309" s="19"/>
      <c r="D1309" s="19"/>
      <c r="E1309" s="21"/>
      <c r="F1309" s="19"/>
      <c r="G1309" s="27" t="str">
        <f aca="false">IF(B1309="","",IFERROR(INDEX(Jeux!$C$2:$C$3001,MATCH(B1309,Jeux!$A$2:$A$3001,0))&amp;"","⚠ jeu inconnu"))</f>
        <v/>
      </c>
      <c r="H1309" s="27" t="str">
        <f aca="false">IF(B1309="","",IFERROR(INDEX(Jeux!$D$2:$D$3001,MATCH(B1309,Jeux!$A$2:$A$3001,0))&amp;"",""))</f>
        <v/>
      </c>
      <c r="I1309" s="26" t="str">
        <f aca="false">IF(A1309="","",COUNTIF(Apparitions!$G$2:$G$5001,A1309))</f>
        <v/>
      </c>
      <c r="J1309" s="26" t="str">
        <f aca="false">IF(A1309="","",COUNTIFS(Apparitions!$G$2:$G$5001,A1309,Apparitions!$E$2:$E$5001,"○"))</f>
        <v/>
      </c>
      <c r="K1309" s="29" t="str">
        <f aca="false">IF(A1309="","",IFERROR(1/(1/_xlfn.MINIFS(Apparitions!$L$2:$L$5001,Apparitions!$G$2:$G$5001,A1309)),""))</f>
        <v/>
      </c>
      <c r="L1309" s="27" t="str">
        <f aca="false">IF(A1309="","",A1309&amp;" | "&amp;B1309&amp;IF(C1309="",""," ("&amp;C1309&amp;")")&amp;IF(D1309="",""," - "&amp;D1309))</f>
        <v/>
      </c>
    </row>
    <row r="1310" customFormat="false" ht="15" hidden="false" customHeight="false" outlineLevel="0" collapsed="false">
      <c r="A1310" s="32"/>
      <c r="B1310" s="19"/>
      <c r="C1310" s="19"/>
      <c r="D1310" s="19"/>
      <c r="E1310" s="21"/>
      <c r="F1310" s="19"/>
      <c r="G1310" s="27" t="str">
        <f aca="false">IF(B1310="","",IFERROR(INDEX(Jeux!$C$2:$C$3001,MATCH(B1310,Jeux!$A$2:$A$3001,0))&amp;"","⚠ jeu inconnu"))</f>
        <v/>
      </c>
      <c r="H1310" s="27" t="str">
        <f aca="false">IF(B1310="","",IFERROR(INDEX(Jeux!$D$2:$D$3001,MATCH(B1310,Jeux!$A$2:$A$3001,0))&amp;"",""))</f>
        <v/>
      </c>
      <c r="I1310" s="26" t="str">
        <f aca="false">IF(A1310="","",COUNTIF(Apparitions!$G$2:$G$5001,A1310))</f>
        <v/>
      </c>
      <c r="J1310" s="26" t="str">
        <f aca="false">IF(A1310="","",COUNTIFS(Apparitions!$G$2:$G$5001,A1310,Apparitions!$E$2:$E$5001,"○"))</f>
        <v/>
      </c>
      <c r="K1310" s="29" t="str">
        <f aca="false">IF(A1310="","",IFERROR(1/(1/_xlfn.MINIFS(Apparitions!$L$2:$L$5001,Apparitions!$G$2:$G$5001,A1310)),""))</f>
        <v/>
      </c>
      <c r="L1310" s="27" t="str">
        <f aca="false">IF(A1310="","",A1310&amp;" | "&amp;B1310&amp;IF(C1310="",""," ("&amp;C1310&amp;")")&amp;IF(D1310="",""," - "&amp;D1310))</f>
        <v/>
      </c>
    </row>
    <row r="1311" customFormat="false" ht="15" hidden="false" customHeight="false" outlineLevel="0" collapsed="false">
      <c r="A1311" s="32"/>
      <c r="B1311" s="19"/>
      <c r="C1311" s="19"/>
      <c r="D1311" s="19"/>
      <c r="E1311" s="21"/>
      <c r="F1311" s="19"/>
      <c r="G1311" s="27" t="str">
        <f aca="false">IF(B1311="","",IFERROR(INDEX(Jeux!$C$2:$C$3001,MATCH(B1311,Jeux!$A$2:$A$3001,0))&amp;"","⚠ jeu inconnu"))</f>
        <v/>
      </c>
      <c r="H1311" s="27" t="str">
        <f aca="false">IF(B1311="","",IFERROR(INDEX(Jeux!$D$2:$D$3001,MATCH(B1311,Jeux!$A$2:$A$3001,0))&amp;"",""))</f>
        <v/>
      </c>
      <c r="I1311" s="26" t="str">
        <f aca="false">IF(A1311="","",COUNTIF(Apparitions!$G$2:$G$5001,A1311))</f>
        <v/>
      </c>
      <c r="J1311" s="26" t="str">
        <f aca="false">IF(A1311="","",COUNTIFS(Apparitions!$G$2:$G$5001,A1311,Apparitions!$E$2:$E$5001,"○"))</f>
        <v/>
      </c>
      <c r="K1311" s="29" t="str">
        <f aca="false">IF(A1311="","",IFERROR(1/(1/_xlfn.MINIFS(Apparitions!$L$2:$L$5001,Apparitions!$G$2:$G$5001,A1311)),""))</f>
        <v/>
      </c>
      <c r="L1311" s="27" t="str">
        <f aca="false">IF(A1311="","",A1311&amp;" | "&amp;B1311&amp;IF(C1311="",""," ("&amp;C1311&amp;")")&amp;IF(D1311="",""," - "&amp;D1311))</f>
        <v/>
      </c>
    </row>
    <row r="1312" customFormat="false" ht="15" hidden="false" customHeight="false" outlineLevel="0" collapsed="false">
      <c r="A1312" s="32"/>
      <c r="B1312" s="19"/>
      <c r="C1312" s="19"/>
      <c r="D1312" s="19"/>
      <c r="E1312" s="21"/>
      <c r="F1312" s="19"/>
      <c r="G1312" s="27" t="str">
        <f aca="false">IF(B1312="","",IFERROR(INDEX(Jeux!$C$2:$C$3001,MATCH(B1312,Jeux!$A$2:$A$3001,0))&amp;"","⚠ jeu inconnu"))</f>
        <v/>
      </c>
      <c r="H1312" s="27" t="str">
        <f aca="false">IF(B1312="","",IFERROR(INDEX(Jeux!$D$2:$D$3001,MATCH(B1312,Jeux!$A$2:$A$3001,0))&amp;"",""))</f>
        <v/>
      </c>
      <c r="I1312" s="26" t="str">
        <f aca="false">IF(A1312="","",COUNTIF(Apparitions!$G$2:$G$5001,A1312))</f>
        <v/>
      </c>
      <c r="J1312" s="26" t="str">
        <f aca="false">IF(A1312="","",COUNTIFS(Apparitions!$G$2:$G$5001,A1312,Apparitions!$E$2:$E$5001,"○"))</f>
        <v/>
      </c>
      <c r="K1312" s="29" t="str">
        <f aca="false">IF(A1312="","",IFERROR(1/(1/_xlfn.MINIFS(Apparitions!$L$2:$L$5001,Apparitions!$G$2:$G$5001,A1312)),""))</f>
        <v/>
      </c>
      <c r="L1312" s="27" t="str">
        <f aca="false">IF(A1312="","",A1312&amp;" | "&amp;B1312&amp;IF(C1312="",""," ("&amp;C1312&amp;")")&amp;IF(D1312="",""," - "&amp;D1312))</f>
        <v/>
      </c>
    </row>
    <row r="1313" customFormat="false" ht="15" hidden="false" customHeight="false" outlineLevel="0" collapsed="false">
      <c r="A1313" s="32"/>
      <c r="B1313" s="19"/>
      <c r="C1313" s="19"/>
      <c r="D1313" s="19"/>
      <c r="E1313" s="21"/>
      <c r="F1313" s="19"/>
      <c r="G1313" s="27" t="str">
        <f aca="false">IF(B1313="","",IFERROR(INDEX(Jeux!$C$2:$C$3001,MATCH(B1313,Jeux!$A$2:$A$3001,0))&amp;"","⚠ jeu inconnu"))</f>
        <v/>
      </c>
      <c r="H1313" s="27" t="str">
        <f aca="false">IF(B1313="","",IFERROR(INDEX(Jeux!$D$2:$D$3001,MATCH(B1313,Jeux!$A$2:$A$3001,0))&amp;"",""))</f>
        <v/>
      </c>
      <c r="I1313" s="26" t="str">
        <f aca="false">IF(A1313="","",COUNTIF(Apparitions!$G$2:$G$5001,A1313))</f>
        <v/>
      </c>
      <c r="J1313" s="26" t="str">
        <f aca="false">IF(A1313="","",COUNTIFS(Apparitions!$G$2:$G$5001,A1313,Apparitions!$E$2:$E$5001,"○"))</f>
        <v/>
      </c>
      <c r="K1313" s="29" t="str">
        <f aca="false">IF(A1313="","",IFERROR(1/(1/_xlfn.MINIFS(Apparitions!$L$2:$L$5001,Apparitions!$G$2:$G$5001,A1313)),""))</f>
        <v/>
      </c>
      <c r="L1313" s="27" t="str">
        <f aca="false">IF(A1313="","",A1313&amp;" | "&amp;B1313&amp;IF(C1313="",""," ("&amp;C1313&amp;")")&amp;IF(D1313="",""," - "&amp;D1313))</f>
        <v/>
      </c>
    </row>
    <row r="1314" customFormat="false" ht="15" hidden="false" customHeight="false" outlineLevel="0" collapsed="false">
      <c r="A1314" s="32"/>
      <c r="B1314" s="19"/>
      <c r="C1314" s="19"/>
      <c r="D1314" s="19"/>
      <c r="E1314" s="21"/>
      <c r="F1314" s="19"/>
      <c r="G1314" s="27" t="str">
        <f aca="false">IF(B1314="","",IFERROR(INDEX(Jeux!$C$2:$C$3001,MATCH(B1314,Jeux!$A$2:$A$3001,0))&amp;"","⚠ jeu inconnu"))</f>
        <v/>
      </c>
      <c r="H1314" s="27" t="str">
        <f aca="false">IF(B1314="","",IFERROR(INDEX(Jeux!$D$2:$D$3001,MATCH(B1314,Jeux!$A$2:$A$3001,0))&amp;"",""))</f>
        <v/>
      </c>
      <c r="I1314" s="26" t="str">
        <f aca="false">IF(A1314="","",COUNTIF(Apparitions!$G$2:$G$5001,A1314))</f>
        <v/>
      </c>
      <c r="J1314" s="26" t="str">
        <f aca="false">IF(A1314="","",COUNTIFS(Apparitions!$G$2:$G$5001,A1314,Apparitions!$E$2:$E$5001,"○"))</f>
        <v/>
      </c>
      <c r="K1314" s="29" t="str">
        <f aca="false">IF(A1314="","",IFERROR(1/(1/_xlfn.MINIFS(Apparitions!$L$2:$L$5001,Apparitions!$G$2:$G$5001,A1314)),""))</f>
        <v/>
      </c>
      <c r="L1314" s="27" t="str">
        <f aca="false">IF(A1314="","",A1314&amp;" | "&amp;B1314&amp;IF(C1314="",""," ("&amp;C1314&amp;")")&amp;IF(D1314="",""," - "&amp;D1314))</f>
        <v/>
      </c>
    </row>
    <row r="1315" customFormat="false" ht="15" hidden="false" customHeight="false" outlineLevel="0" collapsed="false">
      <c r="A1315" s="32"/>
      <c r="B1315" s="19"/>
      <c r="C1315" s="19"/>
      <c r="D1315" s="19"/>
      <c r="E1315" s="21"/>
      <c r="F1315" s="19"/>
      <c r="G1315" s="27" t="str">
        <f aca="false">IF(B1315="","",IFERROR(INDEX(Jeux!$C$2:$C$3001,MATCH(B1315,Jeux!$A$2:$A$3001,0))&amp;"","⚠ jeu inconnu"))</f>
        <v/>
      </c>
      <c r="H1315" s="27" t="str">
        <f aca="false">IF(B1315="","",IFERROR(INDEX(Jeux!$D$2:$D$3001,MATCH(B1315,Jeux!$A$2:$A$3001,0))&amp;"",""))</f>
        <v/>
      </c>
      <c r="I1315" s="26" t="str">
        <f aca="false">IF(A1315="","",COUNTIF(Apparitions!$G$2:$G$5001,A1315))</f>
        <v/>
      </c>
      <c r="J1315" s="26" t="str">
        <f aca="false">IF(A1315="","",COUNTIFS(Apparitions!$G$2:$G$5001,A1315,Apparitions!$E$2:$E$5001,"○"))</f>
        <v/>
      </c>
      <c r="K1315" s="29" t="str">
        <f aca="false">IF(A1315="","",IFERROR(1/(1/_xlfn.MINIFS(Apparitions!$L$2:$L$5001,Apparitions!$G$2:$G$5001,A1315)),""))</f>
        <v/>
      </c>
      <c r="L1315" s="27" t="str">
        <f aca="false">IF(A1315="","",A1315&amp;" | "&amp;B1315&amp;IF(C1315="",""," ("&amp;C1315&amp;")")&amp;IF(D1315="",""," - "&amp;D1315))</f>
        <v/>
      </c>
    </row>
    <row r="1316" customFormat="false" ht="15" hidden="false" customHeight="false" outlineLevel="0" collapsed="false">
      <c r="A1316" s="32"/>
      <c r="B1316" s="19"/>
      <c r="C1316" s="19"/>
      <c r="D1316" s="19"/>
      <c r="E1316" s="21"/>
      <c r="F1316" s="19"/>
      <c r="G1316" s="27" t="str">
        <f aca="false">IF(B1316="","",IFERROR(INDEX(Jeux!$C$2:$C$3001,MATCH(B1316,Jeux!$A$2:$A$3001,0))&amp;"","⚠ jeu inconnu"))</f>
        <v/>
      </c>
      <c r="H1316" s="27" t="str">
        <f aca="false">IF(B1316="","",IFERROR(INDEX(Jeux!$D$2:$D$3001,MATCH(B1316,Jeux!$A$2:$A$3001,0))&amp;"",""))</f>
        <v/>
      </c>
      <c r="I1316" s="26" t="str">
        <f aca="false">IF(A1316="","",COUNTIF(Apparitions!$G$2:$G$5001,A1316))</f>
        <v/>
      </c>
      <c r="J1316" s="26" t="str">
        <f aca="false">IF(A1316="","",COUNTIFS(Apparitions!$G$2:$G$5001,A1316,Apparitions!$E$2:$E$5001,"○"))</f>
        <v/>
      </c>
      <c r="K1316" s="29" t="str">
        <f aca="false">IF(A1316="","",IFERROR(1/(1/_xlfn.MINIFS(Apparitions!$L$2:$L$5001,Apparitions!$G$2:$G$5001,A1316)),""))</f>
        <v/>
      </c>
      <c r="L1316" s="27" t="str">
        <f aca="false">IF(A1316="","",A1316&amp;" | "&amp;B1316&amp;IF(C1316="",""," ("&amp;C1316&amp;")")&amp;IF(D1316="",""," - "&amp;D1316))</f>
        <v/>
      </c>
    </row>
    <row r="1317" customFormat="false" ht="15" hidden="false" customHeight="false" outlineLevel="0" collapsed="false">
      <c r="A1317" s="32"/>
      <c r="B1317" s="19"/>
      <c r="C1317" s="19"/>
      <c r="D1317" s="19"/>
      <c r="E1317" s="21"/>
      <c r="F1317" s="19"/>
      <c r="G1317" s="27" t="str">
        <f aca="false">IF(B1317="","",IFERROR(INDEX(Jeux!$C$2:$C$3001,MATCH(B1317,Jeux!$A$2:$A$3001,0))&amp;"","⚠ jeu inconnu"))</f>
        <v/>
      </c>
      <c r="H1317" s="27" t="str">
        <f aca="false">IF(B1317="","",IFERROR(INDEX(Jeux!$D$2:$D$3001,MATCH(B1317,Jeux!$A$2:$A$3001,0))&amp;"",""))</f>
        <v/>
      </c>
      <c r="I1317" s="26" t="str">
        <f aca="false">IF(A1317="","",COUNTIF(Apparitions!$G$2:$G$5001,A1317))</f>
        <v/>
      </c>
      <c r="J1317" s="26" t="str">
        <f aca="false">IF(A1317="","",COUNTIFS(Apparitions!$G$2:$G$5001,A1317,Apparitions!$E$2:$E$5001,"○"))</f>
        <v/>
      </c>
      <c r="K1317" s="29" t="str">
        <f aca="false">IF(A1317="","",IFERROR(1/(1/_xlfn.MINIFS(Apparitions!$L$2:$L$5001,Apparitions!$G$2:$G$5001,A1317)),""))</f>
        <v/>
      </c>
      <c r="L1317" s="27" t="str">
        <f aca="false">IF(A1317="","",A1317&amp;" | "&amp;B1317&amp;IF(C1317="",""," ("&amp;C1317&amp;")")&amp;IF(D1317="",""," - "&amp;D1317))</f>
        <v/>
      </c>
    </row>
    <row r="1318" customFormat="false" ht="15" hidden="false" customHeight="false" outlineLevel="0" collapsed="false">
      <c r="A1318" s="32"/>
      <c r="B1318" s="19"/>
      <c r="C1318" s="19"/>
      <c r="D1318" s="19"/>
      <c r="E1318" s="21"/>
      <c r="F1318" s="19"/>
      <c r="G1318" s="27" t="str">
        <f aca="false">IF(B1318="","",IFERROR(INDEX(Jeux!$C$2:$C$3001,MATCH(B1318,Jeux!$A$2:$A$3001,0))&amp;"","⚠ jeu inconnu"))</f>
        <v/>
      </c>
      <c r="H1318" s="27" t="str">
        <f aca="false">IF(B1318="","",IFERROR(INDEX(Jeux!$D$2:$D$3001,MATCH(B1318,Jeux!$A$2:$A$3001,0))&amp;"",""))</f>
        <v/>
      </c>
      <c r="I1318" s="26" t="str">
        <f aca="false">IF(A1318="","",COUNTIF(Apparitions!$G$2:$G$5001,A1318))</f>
        <v/>
      </c>
      <c r="J1318" s="26" t="str">
        <f aca="false">IF(A1318="","",COUNTIFS(Apparitions!$G$2:$G$5001,A1318,Apparitions!$E$2:$E$5001,"○"))</f>
        <v/>
      </c>
      <c r="K1318" s="29" t="str">
        <f aca="false">IF(A1318="","",IFERROR(1/(1/_xlfn.MINIFS(Apparitions!$L$2:$L$5001,Apparitions!$G$2:$G$5001,A1318)),""))</f>
        <v/>
      </c>
      <c r="L1318" s="27" t="str">
        <f aca="false">IF(A1318="","",A1318&amp;" | "&amp;B1318&amp;IF(C1318="",""," ("&amp;C1318&amp;")")&amp;IF(D1318="",""," - "&amp;D1318))</f>
        <v/>
      </c>
    </row>
    <row r="1319" customFormat="false" ht="15" hidden="false" customHeight="false" outlineLevel="0" collapsed="false">
      <c r="A1319" s="32"/>
      <c r="B1319" s="19"/>
      <c r="C1319" s="19"/>
      <c r="D1319" s="19"/>
      <c r="E1319" s="21"/>
      <c r="F1319" s="19"/>
      <c r="G1319" s="27" t="str">
        <f aca="false">IF(B1319="","",IFERROR(INDEX(Jeux!$C$2:$C$3001,MATCH(B1319,Jeux!$A$2:$A$3001,0))&amp;"","⚠ jeu inconnu"))</f>
        <v/>
      </c>
      <c r="H1319" s="27" t="str">
        <f aca="false">IF(B1319="","",IFERROR(INDEX(Jeux!$D$2:$D$3001,MATCH(B1319,Jeux!$A$2:$A$3001,0))&amp;"",""))</f>
        <v/>
      </c>
      <c r="I1319" s="26" t="str">
        <f aca="false">IF(A1319="","",COUNTIF(Apparitions!$G$2:$G$5001,A1319))</f>
        <v/>
      </c>
      <c r="J1319" s="26" t="str">
        <f aca="false">IF(A1319="","",COUNTIFS(Apparitions!$G$2:$G$5001,A1319,Apparitions!$E$2:$E$5001,"○"))</f>
        <v/>
      </c>
      <c r="K1319" s="29" t="str">
        <f aca="false">IF(A1319="","",IFERROR(1/(1/_xlfn.MINIFS(Apparitions!$L$2:$L$5001,Apparitions!$G$2:$G$5001,A1319)),""))</f>
        <v/>
      </c>
      <c r="L1319" s="27" t="str">
        <f aca="false">IF(A1319="","",A1319&amp;" | "&amp;B1319&amp;IF(C1319="",""," ("&amp;C1319&amp;")")&amp;IF(D1319="",""," - "&amp;D1319))</f>
        <v/>
      </c>
    </row>
    <row r="1320" customFormat="false" ht="15" hidden="false" customHeight="false" outlineLevel="0" collapsed="false">
      <c r="A1320" s="32"/>
      <c r="B1320" s="19"/>
      <c r="C1320" s="19"/>
      <c r="D1320" s="19"/>
      <c r="E1320" s="21"/>
      <c r="F1320" s="19"/>
      <c r="G1320" s="27" t="str">
        <f aca="false">IF(B1320="","",IFERROR(INDEX(Jeux!$C$2:$C$3001,MATCH(B1320,Jeux!$A$2:$A$3001,0))&amp;"","⚠ jeu inconnu"))</f>
        <v/>
      </c>
      <c r="H1320" s="27" t="str">
        <f aca="false">IF(B1320="","",IFERROR(INDEX(Jeux!$D$2:$D$3001,MATCH(B1320,Jeux!$A$2:$A$3001,0))&amp;"",""))</f>
        <v/>
      </c>
      <c r="I1320" s="26" t="str">
        <f aca="false">IF(A1320="","",COUNTIF(Apparitions!$G$2:$G$5001,A1320))</f>
        <v/>
      </c>
      <c r="J1320" s="26" t="str">
        <f aca="false">IF(A1320="","",COUNTIFS(Apparitions!$G$2:$G$5001,A1320,Apparitions!$E$2:$E$5001,"○"))</f>
        <v/>
      </c>
      <c r="K1320" s="29" t="str">
        <f aca="false">IF(A1320="","",IFERROR(1/(1/_xlfn.MINIFS(Apparitions!$L$2:$L$5001,Apparitions!$G$2:$G$5001,A1320)),""))</f>
        <v/>
      </c>
      <c r="L1320" s="27" t="str">
        <f aca="false">IF(A1320="","",A1320&amp;" | "&amp;B1320&amp;IF(C1320="",""," ("&amp;C1320&amp;")")&amp;IF(D1320="",""," - "&amp;D1320))</f>
        <v/>
      </c>
    </row>
    <row r="1321" customFormat="false" ht="15" hidden="false" customHeight="false" outlineLevel="0" collapsed="false">
      <c r="A1321" s="32"/>
      <c r="B1321" s="19"/>
      <c r="C1321" s="19"/>
      <c r="D1321" s="19"/>
      <c r="E1321" s="21"/>
      <c r="F1321" s="19"/>
      <c r="G1321" s="27" t="str">
        <f aca="false">IF(B1321="","",IFERROR(INDEX(Jeux!$C$2:$C$3001,MATCH(B1321,Jeux!$A$2:$A$3001,0))&amp;"","⚠ jeu inconnu"))</f>
        <v/>
      </c>
      <c r="H1321" s="27" t="str">
        <f aca="false">IF(B1321="","",IFERROR(INDEX(Jeux!$D$2:$D$3001,MATCH(B1321,Jeux!$A$2:$A$3001,0))&amp;"",""))</f>
        <v/>
      </c>
      <c r="I1321" s="26" t="str">
        <f aca="false">IF(A1321="","",COUNTIF(Apparitions!$G$2:$G$5001,A1321))</f>
        <v/>
      </c>
      <c r="J1321" s="26" t="str">
        <f aca="false">IF(A1321="","",COUNTIFS(Apparitions!$G$2:$G$5001,A1321,Apparitions!$E$2:$E$5001,"○"))</f>
        <v/>
      </c>
      <c r="K1321" s="29" t="str">
        <f aca="false">IF(A1321="","",IFERROR(1/(1/_xlfn.MINIFS(Apparitions!$L$2:$L$5001,Apparitions!$G$2:$G$5001,A1321)),""))</f>
        <v/>
      </c>
      <c r="L1321" s="27" t="str">
        <f aca="false">IF(A1321="","",A1321&amp;" | "&amp;B1321&amp;IF(C1321="",""," ("&amp;C1321&amp;")")&amp;IF(D1321="",""," - "&amp;D1321))</f>
        <v/>
      </c>
    </row>
    <row r="1322" customFormat="false" ht="15" hidden="false" customHeight="false" outlineLevel="0" collapsed="false">
      <c r="A1322" s="32"/>
      <c r="B1322" s="19"/>
      <c r="C1322" s="19"/>
      <c r="D1322" s="19"/>
      <c r="E1322" s="21"/>
      <c r="F1322" s="19"/>
      <c r="G1322" s="27" t="str">
        <f aca="false">IF(B1322="","",IFERROR(INDEX(Jeux!$C$2:$C$3001,MATCH(B1322,Jeux!$A$2:$A$3001,0))&amp;"","⚠ jeu inconnu"))</f>
        <v/>
      </c>
      <c r="H1322" s="27" t="str">
        <f aca="false">IF(B1322="","",IFERROR(INDEX(Jeux!$D$2:$D$3001,MATCH(B1322,Jeux!$A$2:$A$3001,0))&amp;"",""))</f>
        <v/>
      </c>
      <c r="I1322" s="26" t="str">
        <f aca="false">IF(A1322="","",COUNTIF(Apparitions!$G$2:$G$5001,A1322))</f>
        <v/>
      </c>
      <c r="J1322" s="26" t="str">
        <f aca="false">IF(A1322="","",COUNTIFS(Apparitions!$G$2:$G$5001,A1322,Apparitions!$E$2:$E$5001,"○"))</f>
        <v/>
      </c>
      <c r="K1322" s="29" t="str">
        <f aca="false">IF(A1322="","",IFERROR(1/(1/_xlfn.MINIFS(Apparitions!$L$2:$L$5001,Apparitions!$G$2:$G$5001,A1322)),""))</f>
        <v/>
      </c>
      <c r="L1322" s="27" t="str">
        <f aca="false">IF(A1322="","",A1322&amp;" | "&amp;B1322&amp;IF(C1322="",""," ("&amp;C1322&amp;")")&amp;IF(D1322="",""," - "&amp;D1322))</f>
        <v/>
      </c>
    </row>
    <row r="1323" customFormat="false" ht="15" hidden="false" customHeight="false" outlineLevel="0" collapsed="false">
      <c r="A1323" s="32"/>
      <c r="B1323" s="19"/>
      <c r="C1323" s="19"/>
      <c r="D1323" s="19"/>
      <c r="E1323" s="21"/>
      <c r="F1323" s="19"/>
      <c r="G1323" s="27" t="str">
        <f aca="false">IF(B1323="","",IFERROR(INDEX(Jeux!$C$2:$C$3001,MATCH(B1323,Jeux!$A$2:$A$3001,0))&amp;"","⚠ jeu inconnu"))</f>
        <v/>
      </c>
      <c r="H1323" s="27" t="str">
        <f aca="false">IF(B1323="","",IFERROR(INDEX(Jeux!$D$2:$D$3001,MATCH(B1323,Jeux!$A$2:$A$3001,0))&amp;"",""))</f>
        <v/>
      </c>
      <c r="I1323" s="26" t="str">
        <f aca="false">IF(A1323="","",COUNTIF(Apparitions!$G$2:$G$5001,A1323))</f>
        <v/>
      </c>
      <c r="J1323" s="26" t="str">
        <f aca="false">IF(A1323="","",COUNTIFS(Apparitions!$G$2:$G$5001,A1323,Apparitions!$E$2:$E$5001,"○"))</f>
        <v/>
      </c>
      <c r="K1323" s="29" t="str">
        <f aca="false">IF(A1323="","",IFERROR(1/(1/_xlfn.MINIFS(Apparitions!$L$2:$L$5001,Apparitions!$G$2:$G$5001,A1323)),""))</f>
        <v/>
      </c>
      <c r="L1323" s="27" t="str">
        <f aca="false">IF(A1323="","",A1323&amp;" | "&amp;B1323&amp;IF(C1323="",""," ("&amp;C1323&amp;")")&amp;IF(D1323="",""," - "&amp;D1323))</f>
        <v/>
      </c>
    </row>
    <row r="1324" customFormat="false" ht="15" hidden="false" customHeight="false" outlineLevel="0" collapsed="false">
      <c r="A1324" s="32"/>
      <c r="B1324" s="19"/>
      <c r="C1324" s="19"/>
      <c r="D1324" s="19"/>
      <c r="E1324" s="21"/>
      <c r="F1324" s="19"/>
      <c r="G1324" s="27" t="str">
        <f aca="false">IF(B1324="","",IFERROR(INDEX(Jeux!$C$2:$C$3001,MATCH(B1324,Jeux!$A$2:$A$3001,0))&amp;"","⚠ jeu inconnu"))</f>
        <v/>
      </c>
      <c r="H1324" s="27" t="str">
        <f aca="false">IF(B1324="","",IFERROR(INDEX(Jeux!$D$2:$D$3001,MATCH(B1324,Jeux!$A$2:$A$3001,0))&amp;"",""))</f>
        <v/>
      </c>
      <c r="I1324" s="26" t="str">
        <f aca="false">IF(A1324="","",COUNTIF(Apparitions!$G$2:$G$5001,A1324))</f>
        <v/>
      </c>
      <c r="J1324" s="26" t="str">
        <f aca="false">IF(A1324="","",COUNTIFS(Apparitions!$G$2:$G$5001,A1324,Apparitions!$E$2:$E$5001,"○"))</f>
        <v/>
      </c>
      <c r="K1324" s="29" t="str">
        <f aca="false">IF(A1324="","",IFERROR(1/(1/_xlfn.MINIFS(Apparitions!$L$2:$L$5001,Apparitions!$G$2:$G$5001,A1324)),""))</f>
        <v/>
      </c>
      <c r="L1324" s="27" t="str">
        <f aca="false">IF(A1324="","",A1324&amp;" | "&amp;B1324&amp;IF(C1324="",""," ("&amp;C1324&amp;")")&amp;IF(D1324="",""," - "&amp;D1324))</f>
        <v/>
      </c>
    </row>
    <row r="1325" customFormat="false" ht="15" hidden="false" customHeight="false" outlineLevel="0" collapsed="false">
      <c r="A1325" s="32"/>
      <c r="B1325" s="19"/>
      <c r="C1325" s="19"/>
      <c r="D1325" s="19"/>
      <c r="E1325" s="21"/>
      <c r="F1325" s="19"/>
      <c r="G1325" s="27" t="str">
        <f aca="false">IF(B1325="","",IFERROR(INDEX(Jeux!$C$2:$C$3001,MATCH(B1325,Jeux!$A$2:$A$3001,0))&amp;"","⚠ jeu inconnu"))</f>
        <v/>
      </c>
      <c r="H1325" s="27" t="str">
        <f aca="false">IF(B1325="","",IFERROR(INDEX(Jeux!$D$2:$D$3001,MATCH(B1325,Jeux!$A$2:$A$3001,0))&amp;"",""))</f>
        <v/>
      </c>
      <c r="I1325" s="26" t="str">
        <f aca="false">IF(A1325="","",COUNTIF(Apparitions!$G$2:$G$5001,A1325))</f>
        <v/>
      </c>
      <c r="J1325" s="26" t="str">
        <f aca="false">IF(A1325="","",COUNTIFS(Apparitions!$G$2:$G$5001,A1325,Apparitions!$E$2:$E$5001,"○"))</f>
        <v/>
      </c>
      <c r="K1325" s="29" t="str">
        <f aca="false">IF(A1325="","",IFERROR(1/(1/_xlfn.MINIFS(Apparitions!$L$2:$L$5001,Apparitions!$G$2:$G$5001,A1325)),""))</f>
        <v/>
      </c>
      <c r="L1325" s="27" t="str">
        <f aca="false">IF(A1325="","",A1325&amp;" | "&amp;B1325&amp;IF(C1325="",""," ("&amp;C1325&amp;")")&amp;IF(D1325="",""," - "&amp;D1325))</f>
        <v/>
      </c>
    </row>
    <row r="1326" customFormat="false" ht="15" hidden="false" customHeight="false" outlineLevel="0" collapsed="false">
      <c r="A1326" s="32"/>
      <c r="B1326" s="19"/>
      <c r="C1326" s="19"/>
      <c r="D1326" s="19"/>
      <c r="E1326" s="21"/>
      <c r="F1326" s="19"/>
      <c r="G1326" s="27" t="str">
        <f aca="false">IF(B1326="","",IFERROR(INDEX(Jeux!$C$2:$C$3001,MATCH(B1326,Jeux!$A$2:$A$3001,0))&amp;"","⚠ jeu inconnu"))</f>
        <v/>
      </c>
      <c r="H1326" s="27" t="str">
        <f aca="false">IF(B1326="","",IFERROR(INDEX(Jeux!$D$2:$D$3001,MATCH(B1326,Jeux!$A$2:$A$3001,0))&amp;"",""))</f>
        <v/>
      </c>
      <c r="I1326" s="26" t="str">
        <f aca="false">IF(A1326="","",COUNTIF(Apparitions!$G$2:$G$5001,A1326))</f>
        <v/>
      </c>
      <c r="J1326" s="26" t="str">
        <f aca="false">IF(A1326="","",COUNTIFS(Apparitions!$G$2:$G$5001,A1326,Apparitions!$E$2:$E$5001,"○"))</f>
        <v/>
      </c>
      <c r="K1326" s="29" t="str">
        <f aca="false">IF(A1326="","",IFERROR(1/(1/_xlfn.MINIFS(Apparitions!$L$2:$L$5001,Apparitions!$G$2:$G$5001,A1326)),""))</f>
        <v/>
      </c>
      <c r="L1326" s="27" t="str">
        <f aca="false">IF(A1326="","",A1326&amp;" | "&amp;B1326&amp;IF(C1326="",""," ("&amp;C1326&amp;")")&amp;IF(D1326="",""," - "&amp;D1326))</f>
        <v/>
      </c>
    </row>
    <row r="1327" customFormat="false" ht="15" hidden="false" customHeight="false" outlineLevel="0" collapsed="false">
      <c r="A1327" s="32"/>
      <c r="B1327" s="19"/>
      <c r="C1327" s="19"/>
      <c r="D1327" s="19"/>
      <c r="E1327" s="21"/>
      <c r="F1327" s="19"/>
      <c r="G1327" s="27" t="str">
        <f aca="false">IF(B1327="","",IFERROR(INDEX(Jeux!$C$2:$C$3001,MATCH(B1327,Jeux!$A$2:$A$3001,0))&amp;"","⚠ jeu inconnu"))</f>
        <v/>
      </c>
      <c r="H1327" s="27" t="str">
        <f aca="false">IF(B1327="","",IFERROR(INDEX(Jeux!$D$2:$D$3001,MATCH(B1327,Jeux!$A$2:$A$3001,0))&amp;"",""))</f>
        <v/>
      </c>
      <c r="I1327" s="26" t="str">
        <f aca="false">IF(A1327="","",COUNTIF(Apparitions!$G$2:$G$5001,A1327))</f>
        <v/>
      </c>
      <c r="J1327" s="26" t="str">
        <f aca="false">IF(A1327="","",COUNTIFS(Apparitions!$G$2:$G$5001,A1327,Apparitions!$E$2:$E$5001,"○"))</f>
        <v/>
      </c>
      <c r="K1327" s="29" t="str">
        <f aca="false">IF(A1327="","",IFERROR(1/(1/_xlfn.MINIFS(Apparitions!$L$2:$L$5001,Apparitions!$G$2:$G$5001,A1327)),""))</f>
        <v/>
      </c>
      <c r="L1327" s="27" t="str">
        <f aca="false">IF(A1327="","",A1327&amp;" | "&amp;B1327&amp;IF(C1327="",""," ("&amp;C1327&amp;")")&amp;IF(D1327="",""," - "&amp;D1327))</f>
        <v/>
      </c>
    </row>
    <row r="1328" customFormat="false" ht="15" hidden="false" customHeight="false" outlineLevel="0" collapsed="false">
      <c r="A1328" s="32"/>
      <c r="B1328" s="19"/>
      <c r="C1328" s="19"/>
      <c r="D1328" s="19"/>
      <c r="E1328" s="21"/>
      <c r="F1328" s="19"/>
      <c r="G1328" s="27" t="str">
        <f aca="false">IF(B1328="","",IFERROR(INDEX(Jeux!$C$2:$C$3001,MATCH(B1328,Jeux!$A$2:$A$3001,0))&amp;"","⚠ jeu inconnu"))</f>
        <v/>
      </c>
      <c r="H1328" s="27" t="str">
        <f aca="false">IF(B1328="","",IFERROR(INDEX(Jeux!$D$2:$D$3001,MATCH(B1328,Jeux!$A$2:$A$3001,0))&amp;"",""))</f>
        <v/>
      </c>
      <c r="I1328" s="26" t="str">
        <f aca="false">IF(A1328="","",COUNTIF(Apparitions!$G$2:$G$5001,A1328))</f>
        <v/>
      </c>
      <c r="J1328" s="26" t="str">
        <f aca="false">IF(A1328="","",COUNTIFS(Apparitions!$G$2:$G$5001,A1328,Apparitions!$E$2:$E$5001,"○"))</f>
        <v/>
      </c>
      <c r="K1328" s="29" t="str">
        <f aca="false">IF(A1328="","",IFERROR(1/(1/_xlfn.MINIFS(Apparitions!$L$2:$L$5001,Apparitions!$G$2:$G$5001,A1328)),""))</f>
        <v/>
      </c>
      <c r="L1328" s="27" t="str">
        <f aca="false">IF(A1328="","",A1328&amp;" | "&amp;B1328&amp;IF(C1328="",""," ("&amp;C1328&amp;")")&amp;IF(D1328="",""," - "&amp;D1328))</f>
        <v/>
      </c>
    </row>
    <row r="1329" customFormat="false" ht="15" hidden="false" customHeight="false" outlineLevel="0" collapsed="false">
      <c r="A1329" s="32"/>
      <c r="B1329" s="19"/>
      <c r="C1329" s="19"/>
      <c r="D1329" s="19"/>
      <c r="E1329" s="21"/>
      <c r="F1329" s="19"/>
      <c r="G1329" s="27" t="str">
        <f aca="false">IF(B1329="","",IFERROR(INDEX(Jeux!$C$2:$C$3001,MATCH(B1329,Jeux!$A$2:$A$3001,0))&amp;"","⚠ jeu inconnu"))</f>
        <v/>
      </c>
      <c r="H1329" s="27" t="str">
        <f aca="false">IF(B1329="","",IFERROR(INDEX(Jeux!$D$2:$D$3001,MATCH(B1329,Jeux!$A$2:$A$3001,0))&amp;"",""))</f>
        <v/>
      </c>
      <c r="I1329" s="26" t="str">
        <f aca="false">IF(A1329="","",COUNTIF(Apparitions!$G$2:$G$5001,A1329))</f>
        <v/>
      </c>
      <c r="J1329" s="26" t="str">
        <f aca="false">IF(A1329="","",COUNTIFS(Apparitions!$G$2:$G$5001,A1329,Apparitions!$E$2:$E$5001,"○"))</f>
        <v/>
      </c>
      <c r="K1329" s="29" t="str">
        <f aca="false">IF(A1329="","",IFERROR(1/(1/_xlfn.MINIFS(Apparitions!$L$2:$L$5001,Apparitions!$G$2:$G$5001,A1329)),""))</f>
        <v/>
      </c>
      <c r="L1329" s="27" t="str">
        <f aca="false">IF(A1329="","",A1329&amp;" | "&amp;B1329&amp;IF(C1329="",""," ("&amp;C1329&amp;")")&amp;IF(D1329="",""," - "&amp;D1329))</f>
        <v/>
      </c>
    </row>
    <row r="1330" customFormat="false" ht="15" hidden="false" customHeight="false" outlineLevel="0" collapsed="false">
      <c r="A1330" s="32"/>
      <c r="B1330" s="19"/>
      <c r="C1330" s="19"/>
      <c r="D1330" s="19"/>
      <c r="E1330" s="21"/>
      <c r="F1330" s="19"/>
      <c r="G1330" s="27" t="str">
        <f aca="false">IF(B1330="","",IFERROR(INDEX(Jeux!$C$2:$C$3001,MATCH(B1330,Jeux!$A$2:$A$3001,0))&amp;"","⚠ jeu inconnu"))</f>
        <v/>
      </c>
      <c r="H1330" s="27" t="str">
        <f aca="false">IF(B1330="","",IFERROR(INDEX(Jeux!$D$2:$D$3001,MATCH(B1330,Jeux!$A$2:$A$3001,0))&amp;"",""))</f>
        <v/>
      </c>
      <c r="I1330" s="26" t="str">
        <f aca="false">IF(A1330="","",COUNTIF(Apparitions!$G$2:$G$5001,A1330))</f>
        <v/>
      </c>
      <c r="J1330" s="26" t="str">
        <f aca="false">IF(A1330="","",COUNTIFS(Apparitions!$G$2:$G$5001,A1330,Apparitions!$E$2:$E$5001,"○"))</f>
        <v/>
      </c>
      <c r="K1330" s="29" t="str">
        <f aca="false">IF(A1330="","",IFERROR(1/(1/_xlfn.MINIFS(Apparitions!$L$2:$L$5001,Apparitions!$G$2:$G$5001,A1330)),""))</f>
        <v/>
      </c>
      <c r="L1330" s="27" t="str">
        <f aca="false">IF(A1330="","",A1330&amp;" | "&amp;B1330&amp;IF(C1330="",""," ("&amp;C1330&amp;")")&amp;IF(D1330="",""," - "&amp;D1330))</f>
        <v/>
      </c>
    </row>
    <row r="1331" customFormat="false" ht="15" hidden="false" customHeight="false" outlineLevel="0" collapsed="false">
      <c r="A1331" s="32"/>
      <c r="B1331" s="19"/>
      <c r="C1331" s="19"/>
      <c r="D1331" s="19"/>
      <c r="E1331" s="21"/>
      <c r="F1331" s="19"/>
      <c r="G1331" s="27" t="str">
        <f aca="false">IF(B1331="","",IFERROR(INDEX(Jeux!$C$2:$C$3001,MATCH(B1331,Jeux!$A$2:$A$3001,0))&amp;"","⚠ jeu inconnu"))</f>
        <v/>
      </c>
      <c r="H1331" s="27" t="str">
        <f aca="false">IF(B1331="","",IFERROR(INDEX(Jeux!$D$2:$D$3001,MATCH(B1331,Jeux!$A$2:$A$3001,0))&amp;"",""))</f>
        <v/>
      </c>
      <c r="I1331" s="26" t="str">
        <f aca="false">IF(A1331="","",COUNTIF(Apparitions!$G$2:$G$5001,A1331))</f>
        <v/>
      </c>
      <c r="J1331" s="26" t="str">
        <f aca="false">IF(A1331="","",COUNTIFS(Apparitions!$G$2:$G$5001,A1331,Apparitions!$E$2:$E$5001,"○"))</f>
        <v/>
      </c>
      <c r="K1331" s="29" t="str">
        <f aca="false">IF(A1331="","",IFERROR(1/(1/_xlfn.MINIFS(Apparitions!$L$2:$L$5001,Apparitions!$G$2:$G$5001,A1331)),""))</f>
        <v/>
      </c>
      <c r="L1331" s="27" t="str">
        <f aca="false">IF(A1331="","",A1331&amp;" | "&amp;B1331&amp;IF(C1331="",""," ("&amp;C1331&amp;")")&amp;IF(D1331="",""," - "&amp;D1331))</f>
        <v/>
      </c>
    </row>
    <row r="1332" customFormat="false" ht="15" hidden="false" customHeight="false" outlineLevel="0" collapsed="false">
      <c r="A1332" s="32"/>
      <c r="B1332" s="19"/>
      <c r="C1332" s="19"/>
      <c r="D1332" s="19"/>
      <c r="E1332" s="21"/>
      <c r="F1332" s="19"/>
      <c r="G1332" s="27" t="str">
        <f aca="false">IF(B1332="","",IFERROR(INDEX(Jeux!$C$2:$C$3001,MATCH(B1332,Jeux!$A$2:$A$3001,0))&amp;"","⚠ jeu inconnu"))</f>
        <v/>
      </c>
      <c r="H1332" s="27" t="str">
        <f aca="false">IF(B1332="","",IFERROR(INDEX(Jeux!$D$2:$D$3001,MATCH(B1332,Jeux!$A$2:$A$3001,0))&amp;"",""))</f>
        <v/>
      </c>
      <c r="I1332" s="26" t="str">
        <f aca="false">IF(A1332="","",COUNTIF(Apparitions!$G$2:$G$5001,A1332))</f>
        <v/>
      </c>
      <c r="J1332" s="26" t="str">
        <f aca="false">IF(A1332="","",COUNTIFS(Apparitions!$G$2:$G$5001,A1332,Apparitions!$E$2:$E$5001,"○"))</f>
        <v/>
      </c>
      <c r="K1332" s="29" t="str">
        <f aca="false">IF(A1332="","",IFERROR(1/(1/_xlfn.MINIFS(Apparitions!$L$2:$L$5001,Apparitions!$G$2:$G$5001,A1332)),""))</f>
        <v/>
      </c>
      <c r="L1332" s="27" t="str">
        <f aca="false">IF(A1332="","",A1332&amp;" | "&amp;B1332&amp;IF(C1332="",""," ("&amp;C1332&amp;")")&amp;IF(D1332="",""," - "&amp;D1332))</f>
        <v/>
      </c>
    </row>
    <row r="1333" customFormat="false" ht="15" hidden="false" customHeight="false" outlineLevel="0" collapsed="false">
      <c r="A1333" s="32"/>
      <c r="B1333" s="19"/>
      <c r="C1333" s="19"/>
      <c r="D1333" s="19"/>
      <c r="E1333" s="21"/>
      <c r="F1333" s="19"/>
      <c r="G1333" s="27" t="str">
        <f aca="false">IF(B1333="","",IFERROR(INDEX(Jeux!$C$2:$C$3001,MATCH(B1333,Jeux!$A$2:$A$3001,0))&amp;"","⚠ jeu inconnu"))</f>
        <v/>
      </c>
      <c r="H1333" s="27" t="str">
        <f aca="false">IF(B1333="","",IFERROR(INDEX(Jeux!$D$2:$D$3001,MATCH(B1333,Jeux!$A$2:$A$3001,0))&amp;"",""))</f>
        <v/>
      </c>
      <c r="I1333" s="26" t="str">
        <f aca="false">IF(A1333="","",COUNTIF(Apparitions!$G$2:$G$5001,A1333))</f>
        <v/>
      </c>
      <c r="J1333" s="26" t="str">
        <f aca="false">IF(A1333="","",COUNTIFS(Apparitions!$G$2:$G$5001,A1333,Apparitions!$E$2:$E$5001,"○"))</f>
        <v/>
      </c>
      <c r="K1333" s="29" t="str">
        <f aca="false">IF(A1333="","",IFERROR(1/(1/_xlfn.MINIFS(Apparitions!$L$2:$L$5001,Apparitions!$G$2:$G$5001,A1333)),""))</f>
        <v/>
      </c>
      <c r="L1333" s="27" t="str">
        <f aca="false">IF(A1333="","",A1333&amp;" | "&amp;B1333&amp;IF(C1333="",""," ("&amp;C1333&amp;")")&amp;IF(D1333="",""," - "&amp;D1333))</f>
        <v/>
      </c>
    </row>
    <row r="1334" customFormat="false" ht="15" hidden="false" customHeight="false" outlineLevel="0" collapsed="false">
      <c r="A1334" s="32"/>
      <c r="B1334" s="19"/>
      <c r="C1334" s="19"/>
      <c r="D1334" s="19"/>
      <c r="E1334" s="21"/>
      <c r="F1334" s="19"/>
      <c r="G1334" s="27" t="str">
        <f aca="false">IF(B1334="","",IFERROR(INDEX(Jeux!$C$2:$C$3001,MATCH(B1334,Jeux!$A$2:$A$3001,0))&amp;"","⚠ jeu inconnu"))</f>
        <v/>
      </c>
      <c r="H1334" s="27" t="str">
        <f aca="false">IF(B1334="","",IFERROR(INDEX(Jeux!$D$2:$D$3001,MATCH(B1334,Jeux!$A$2:$A$3001,0))&amp;"",""))</f>
        <v/>
      </c>
      <c r="I1334" s="26" t="str">
        <f aca="false">IF(A1334="","",COUNTIF(Apparitions!$G$2:$G$5001,A1334))</f>
        <v/>
      </c>
      <c r="J1334" s="26" t="str">
        <f aca="false">IF(A1334="","",COUNTIFS(Apparitions!$G$2:$G$5001,A1334,Apparitions!$E$2:$E$5001,"○"))</f>
        <v/>
      </c>
      <c r="K1334" s="29" t="str">
        <f aca="false">IF(A1334="","",IFERROR(1/(1/_xlfn.MINIFS(Apparitions!$L$2:$L$5001,Apparitions!$G$2:$G$5001,A1334)),""))</f>
        <v/>
      </c>
      <c r="L1334" s="27" t="str">
        <f aca="false">IF(A1334="","",A1334&amp;" | "&amp;B1334&amp;IF(C1334="",""," ("&amp;C1334&amp;")")&amp;IF(D1334="",""," - "&amp;D1334))</f>
        <v/>
      </c>
    </row>
    <row r="1335" customFormat="false" ht="15" hidden="false" customHeight="false" outlineLevel="0" collapsed="false">
      <c r="A1335" s="32"/>
      <c r="B1335" s="19"/>
      <c r="C1335" s="19"/>
      <c r="D1335" s="19"/>
      <c r="E1335" s="21"/>
      <c r="F1335" s="19"/>
      <c r="G1335" s="27" t="str">
        <f aca="false">IF(B1335="","",IFERROR(INDEX(Jeux!$C$2:$C$3001,MATCH(B1335,Jeux!$A$2:$A$3001,0))&amp;"","⚠ jeu inconnu"))</f>
        <v/>
      </c>
      <c r="H1335" s="27" t="str">
        <f aca="false">IF(B1335="","",IFERROR(INDEX(Jeux!$D$2:$D$3001,MATCH(B1335,Jeux!$A$2:$A$3001,0))&amp;"",""))</f>
        <v/>
      </c>
      <c r="I1335" s="26" t="str">
        <f aca="false">IF(A1335="","",COUNTIF(Apparitions!$G$2:$G$5001,A1335))</f>
        <v/>
      </c>
      <c r="J1335" s="26" t="str">
        <f aca="false">IF(A1335="","",COUNTIFS(Apparitions!$G$2:$G$5001,A1335,Apparitions!$E$2:$E$5001,"○"))</f>
        <v/>
      </c>
      <c r="K1335" s="29" t="str">
        <f aca="false">IF(A1335="","",IFERROR(1/(1/_xlfn.MINIFS(Apparitions!$L$2:$L$5001,Apparitions!$G$2:$G$5001,A1335)),""))</f>
        <v/>
      </c>
      <c r="L1335" s="27" t="str">
        <f aca="false">IF(A1335="","",A1335&amp;" | "&amp;B1335&amp;IF(C1335="",""," ("&amp;C1335&amp;")")&amp;IF(D1335="",""," - "&amp;D1335))</f>
        <v/>
      </c>
    </row>
    <row r="1336" customFormat="false" ht="15" hidden="false" customHeight="false" outlineLevel="0" collapsed="false">
      <c r="A1336" s="32"/>
      <c r="B1336" s="19"/>
      <c r="C1336" s="19"/>
      <c r="D1336" s="19"/>
      <c r="E1336" s="21"/>
      <c r="F1336" s="19"/>
      <c r="G1336" s="27" t="str">
        <f aca="false">IF(B1336="","",IFERROR(INDEX(Jeux!$C$2:$C$3001,MATCH(B1336,Jeux!$A$2:$A$3001,0))&amp;"","⚠ jeu inconnu"))</f>
        <v/>
      </c>
      <c r="H1336" s="27" t="str">
        <f aca="false">IF(B1336="","",IFERROR(INDEX(Jeux!$D$2:$D$3001,MATCH(B1336,Jeux!$A$2:$A$3001,0))&amp;"",""))</f>
        <v/>
      </c>
      <c r="I1336" s="26" t="str">
        <f aca="false">IF(A1336="","",COUNTIF(Apparitions!$G$2:$G$5001,A1336))</f>
        <v/>
      </c>
      <c r="J1336" s="26" t="str">
        <f aca="false">IF(A1336="","",COUNTIFS(Apparitions!$G$2:$G$5001,A1336,Apparitions!$E$2:$E$5001,"○"))</f>
        <v/>
      </c>
      <c r="K1336" s="29" t="str">
        <f aca="false">IF(A1336="","",IFERROR(1/(1/_xlfn.MINIFS(Apparitions!$L$2:$L$5001,Apparitions!$G$2:$G$5001,A1336)),""))</f>
        <v/>
      </c>
      <c r="L1336" s="27" t="str">
        <f aca="false">IF(A1336="","",A1336&amp;" | "&amp;B1336&amp;IF(C1336="",""," ("&amp;C1336&amp;")")&amp;IF(D1336="",""," - "&amp;D1336))</f>
        <v/>
      </c>
    </row>
    <row r="1337" customFormat="false" ht="15" hidden="false" customHeight="false" outlineLevel="0" collapsed="false">
      <c r="A1337" s="32"/>
      <c r="B1337" s="19"/>
      <c r="C1337" s="19"/>
      <c r="D1337" s="19"/>
      <c r="E1337" s="21"/>
      <c r="F1337" s="19"/>
      <c r="G1337" s="27" t="str">
        <f aca="false">IF(B1337="","",IFERROR(INDEX(Jeux!$C$2:$C$3001,MATCH(B1337,Jeux!$A$2:$A$3001,0))&amp;"","⚠ jeu inconnu"))</f>
        <v/>
      </c>
      <c r="H1337" s="27" t="str">
        <f aca="false">IF(B1337="","",IFERROR(INDEX(Jeux!$D$2:$D$3001,MATCH(B1337,Jeux!$A$2:$A$3001,0))&amp;"",""))</f>
        <v/>
      </c>
      <c r="I1337" s="26" t="str">
        <f aca="false">IF(A1337="","",COUNTIF(Apparitions!$G$2:$G$5001,A1337))</f>
        <v/>
      </c>
      <c r="J1337" s="26" t="str">
        <f aca="false">IF(A1337="","",COUNTIFS(Apparitions!$G$2:$G$5001,A1337,Apparitions!$E$2:$E$5001,"○"))</f>
        <v/>
      </c>
      <c r="K1337" s="29" t="str">
        <f aca="false">IF(A1337="","",IFERROR(1/(1/_xlfn.MINIFS(Apparitions!$L$2:$L$5001,Apparitions!$G$2:$G$5001,A1337)),""))</f>
        <v/>
      </c>
      <c r="L1337" s="27" t="str">
        <f aca="false">IF(A1337="","",A1337&amp;" | "&amp;B1337&amp;IF(C1337="",""," ("&amp;C1337&amp;")")&amp;IF(D1337="",""," - "&amp;D1337))</f>
        <v/>
      </c>
    </row>
    <row r="1338" customFormat="false" ht="15" hidden="false" customHeight="false" outlineLevel="0" collapsed="false">
      <c r="A1338" s="32"/>
      <c r="B1338" s="19"/>
      <c r="C1338" s="19"/>
      <c r="D1338" s="19"/>
      <c r="E1338" s="21"/>
      <c r="F1338" s="19"/>
      <c r="G1338" s="27" t="str">
        <f aca="false">IF(B1338="","",IFERROR(INDEX(Jeux!$C$2:$C$3001,MATCH(B1338,Jeux!$A$2:$A$3001,0))&amp;"","⚠ jeu inconnu"))</f>
        <v/>
      </c>
      <c r="H1338" s="27" t="str">
        <f aca="false">IF(B1338="","",IFERROR(INDEX(Jeux!$D$2:$D$3001,MATCH(B1338,Jeux!$A$2:$A$3001,0))&amp;"",""))</f>
        <v/>
      </c>
      <c r="I1338" s="26" t="str">
        <f aca="false">IF(A1338="","",COUNTIF(Apparitions!$G$2:$G$5001,A1338))</f>
        <v/>
      </c>
      <c r="J1338" s="26" t="str">
        <f aca="false">IF(A1338="","",COUNTIFS(Apparitions!$G$2:$G$5001,A1338,Apparitions!$E$2:$E$5001,"○"))</f>
        <v/>
      </c>
      <c r="K1338" s="29" t="str">
        <f aca="false">IF(A1338="","",IFERROR(1/(1/_xlfn.MINIFS(Apparitions!$L$2:$L$5001,Apparitions!$G$2:$G$5001,A1338)),""))</f>
        <v/>
      </c>
      <c r="L1338" s="27" t="str">
        <f aca="false">IF(A1338="","",A1338&amp;" | "&amp;B1338&amp;IF(C1338="",""," ("&amp;C1338&amp;")")&amp;IF(D1338="",""," - "&amp;D1338))</f>
        <v/>
      </c>
    </row>
    <row r="1339" customFormat="false" ht="15" hidden="false" customHeight="false" outlineLevel="0" collapsed="false">
      <c r="A1339" s="32"/>
      <c r="B1339" s="19"/>
      <c r="C1339" s="19"/>
      <c r="D1339" s="19"/>
      <c r="E1339" s="21"/>
      <c r="F1339" s="19"/>
      <c r="G1339" s="27" t="str">
        <f aca="false">IF(B1339="","",IFERROR(INDEX(Jeux!$C$2:$C$3001,MATCH(B1339,Jeux!$A$2:$A$3001,0))&amp;"","⚠ jeu inconnu"))</f>
        <v/>
      </c>
      <c r="H1339" s="27" t="str">
        <f aca="false">IF(B1339="","",IFERROR(INDEX(Jeux!$D$2:$D$3001,MATCH(B1339,Jeux!$A$2:$A$3001,0))&amp;"",""))</f>
        <v/>
      </c>
      <c r="I1339" s="26" t="str">
        <f aca="false">IF(A1339="","",COUNTIF(Apparitions!$G$2:$G$5001,A1339))</f>
        <v/>
      </c>
      <c r="J1339" s="26" t="str">
        <f aca="false">IF(A1339="","",COUNTIFS(Apparitions!$G$2:$G$5001,A1339,Apparitions!$E$2:$E$5001,"○"))</f>
        <v/>
      </c>
      <c r="K1339" s="29" t="str">
        <f aca="false">IF(A1339="","",IFERROR(1/(1/_xlfn.MINIFS(Apparitions!$L$2:$L$5001,Apparitions!$G$2:$G$5001,A1339)),""))</f>
        <v/>
      </c>
      <c r="L1339" s="27" t="str">
        <f aca="false">IF(A1339="","",A1339&amp;" | "&amp;B1339&amp;IF(C1339="",""," ("&amp;C1339&amp;")")&amp;IF(D1339="",""," - "&amp;D1339))</f>
        <v/>
      </c>
    </row>
    <row r="1340" customFormat="false" ht="15" hidden="false" customHeight="false" outlineLevel="0" collapsed="false">
      <c r="A1340" s="32"/>
      <c r="B1340" s="19"/>
      <c r="C1340" s="19"/>
      <c r="D1340" s="19"/>
      <c r="E1340" s="21"/>
      <c r="F1340" s="19"/>
      <c r="G1340" s="27" t="str">
        <f aca="false">IF(B1340="","",IFERROR(INDEX(Jeux!$C$2:$C$3001,MATCH(B1340,Jeux!$A$2:$A$3001,0))&amp;"","⚠ jeu inconnu"))</f>
        <v/>
      </c>
      <c r="H1340" s="27" t="str">
        <f aca="false">IF(B1340="","",IFERROR(INDEX(Jeux!$D$2:$D$3001,MATCH(B1340,Jeux!$A$2:$A$3001,0))&amp;"",""))</f>
        <v/>
      </c>
      <c r="I1340" s="26" t="str">
        <f aca="false">IF(A1340="","",COUNTIF(Apparitions!$G$2:$G$5001,A1340))</f>
        <v/>
      </c>
      <c r="J1340" s="26" t="str">
        <f aca="false">IF(A1340="","",COUNTIFS(Apparitions!$G$2:$G$5001,A1340,Apparitions!$E$2:$E$5001,"○"))</f>
        <v/>
      </c>
      <c r="K1340" s="29" t="str">
        <f aca="false">IF(A1340="","",IFERROR(1/(1/_xlfn.MINIFS(Apparitions!$L$2:$L$5001,Apparitions!$G$2:$G$5001,A1340)),""))</f>
        <v/>
      </c>
      <c r="L1340" s="27" t="str">
        <f aca="false">IF(A1340="","",A1340&amp;" | "&amp;B1340&amp;IF(C1340="",""," ("&amp;C1340&amp;")")&amp;IF(D1340="",""," - "&amp;D1340))</f>
        <v/>
      </c>
    </row>
    <row r="1341" customFormat="false" ht="15" hidden="false" customHeight="false" outlineLevel="0" collapsed="false">
      <c r="A1341" s="32"/>
      <c r="B1341" s="19"/>
      <c r="C1341" s="19"/>
      <c r="D1341" s="19"/>
      <c r="E1341" s="21"/>
      <c r="F1341" s="19"/>
      <c r="G1341" s="27" t="str">
        <f aca="false">IF(B1341="","",IFERROR(INDEX(Jeux!$C$2:$C$3001,MATCH(B1341,Jeux!$A$2:$A$3001,0))&amp;"","⚠ jeu inconnu"))</f>
        <v/>
      </c>
      <c r="H1341" s="27" t="str">
        <f aca="false">IF(B1341="","",IFERROR(INDEX(Jeux!$D$2:$D$3001,MATCH(B1341,Jeux!$A$2:$A$3001,0))&amp;"",""))</f>
        <v/>
      </c>
      <c r="I1341" s="26" t="str">
        <f aca="false">IF(A1341="","",COUNTIF(Apparitions!$G$2:$G$5001,A1341))</f>
        <v/>
      </c>
      <c r="J1341" s="26" t="str">
        <f aca="false">IF(A1341="","",COUNTIFS(Apparitions!$G$2:$G$5001,A1341,Apparitions!$E$2:$E$5001,"○"))</f>
        <v/>
      </c>
      <c r="K1341" s="29" t="str">
        <f aca="false">IF(A1341="","",IFERROR(1/(1/_xlfn.MINIFS(Apparitions!$L$2:$L$5001,Apparitions!$G$2:$G$5001,A1341)),""))</f>
        <v/>
      </c>
      <c r="L1341" s="27" t="str">
        <f aca="false">IF(A1341="","",A1341&amp;" | "&amp;B1341&amp;IF(C1341="",""," ("&amp;C1341&amp;")")&amp;IF(D1341="",""," - "&amp;D1341))</f>
        <v/>
      </c>
    </row>
    <row r="1342" customFormat="false" ht="15" hidden="false" customHeight="false" outlineLevel="0" collapsed="false">
      <c r="A1342" s="32"/>
      <c r="B1342" s="19"/>
      <c r="C1342" s="19"/>
      <c r="D1342" s="19"/>
      <c r="E1342" s="21"/>
      <c r="F1342" s="19"/>
      <c r="G1342" s="27" t="str">
        <f aca="false">IF(B1342="","",IFERROR(INDEX(Jeux!$C$2:$C$3001,MATCH(B1342,Jeux!$A$2:$A$3001,0))&amp;"","⚠ jeu inconnu"))</f>
        <v/>
      </c>
      <c r="H1342" s="27" t="str">
        <f aca="false">IF(B1342="","",IFERROR(INDEX(Jeux!$D$2:$D$3001,MATCH(B1342,Jeux!$A$2:$A$3001,0))&amp;"",""))</f>
        <v/>
      </c>
      <c r="I1342" s="26" t="str">
        <f aca="false">IF(A1342="","",COUNTIF(Apparitions!$G$2:$G$5001,A1342))</f>
        <v/>
      </c>
      <c r="J1342" s="26" t="str">
        <f aca="false">IF(A1342="","",COUNTIFS(Apparitions!$G$2:$G$5001,A1342,Apparitions!$E$2:$E$5001,"○"))</f>
        <v/>
      </c>
      <c r="K1342" s="29" t="str">
        <f aca="false">IF(A1342="","",IFERROR(1/(1/_xlfn.MINIFS(Apparitions!$L$2:$L$5001,Apparitions!$G$2:$G$5001,A1342)),""))</f>
        <v/>
      </c>
      <c r="L1342" s="27" t="str">
        <f aca="false">IF(A1342="","",A1342&amp;" | "&amp;B1342&amp;IF(C1342="",""," ("&amp;C1342&amp;")")&amp;IF(D1342="",""," - "&amp;D1342))</f>
        <v/>
      </c>
    </row>
    <row r="1343" customFormat="false" ht="15" hidden="false" customHeight="false" outlineLevel="0" collapsed="false">
      <c r="A1343" s="32"/>
      <c r="B1343" s="19"/>
      <c r="C1343" s="19"/>
      <c r="D1343" s="19"/>
      <c r="E1343" s="21"/>
      <c r="F1343" s="19"/>
      <c r="G1343" s="27" t="str">
        <f aca="false">IF(B1343="","",IFERROR(INDEX(Jeux!$C$2:$C$3001,MATCH(B1343,Jeux!$A$2:$A$3001,0))&amp;"","⚠ jeu inconnu"))</f>
        <v/>
      </c>
      <c r="H1343" s="27" t="str">
        <f aca="false">IF(B1343="","",IFERROR(INDEX(Jeux!$D$2:$D$3001,MATCH(B1343,Jeux!$A$2:$A$3001,0))&amp;"",""))</f>
        <v/>
      </c>
      <c r="I1343" s="26" t="str">
        <f aca="false">IF(A1343="","",COUNTIF(Apparitions!$G$2:$G$5001,A1343))</f>
        <v/>
      </c>
      <c r="J1343" s="26" t="str">
        <f aca="false">IF(A1343="","",COUNTIFS(Apparitions!$G$2:$G$5001,A1343,Apparitions!$E$2:$E$5001,"○"))</f>
        <v/>
      </c>
      <c r="K1343" s="29" t="str">
        <f aca="false">IF(A1343="","",IFERROR(1/(1/_xlfn.MINIFS(Apparitions!$L$2:$L$5001,Apparitions!$G$2:$G$5001,A1343)),""))</f>
        <v/>
      </c>
      <c r="L1343" s="27" t="str">
        <f aca="false">IF(A1343="","",A1343&amp;" | "&amp;B1343&amp;IF(C1343="",""," ("&amp;C1343&amp;")")&amp;IF(D1343="",""," - "&amp;D1343))</f>
        <v/>
      </c>
    </row>
    <row r="1344" customFormat="false" ht="15" hidden="false" customHeight="false" outlineLevel="0" collapsed="false">
      <c r="A1344" s="32"/>
      <c r="B1344" s="19"/>
      <c r="C1344" s="19"/>
      <c r="D1344" s="19"/>
      <c r="E1344" s="21"/>
      <c r="F1344" s="19"/>
      <c r="G1344" s="27" t="str">
        <f aca="false">IF(B1344="","",IFERROR(INDEX(Jeux!$C$2:$C$3001,MATCH(B1344,Jeux!$A$2:$A$3001,0))&amp;"","⚠ jeu inconnu"))</f>
        <v/>
      </c>
      <c r="H1344" s="27" t="str">
        <f aca="false">IF(B1344="","",IFERROR(INDEX(Jeux!$D$2:$D$3001,MATCH(B1344,Jeux!$A$2:$A$3001,0))&amp;"",""))</f>
        <v/>
      </c>
      <c r="I1344" s="26" t="str">
        <f aca="false">IF(A1344="","",COUNTIF(Apparitions!$G$2:$G$5001,A1344))</f>
        <v/>
      </c>
      <c r="J1344" s="26" t="str">
        <f aca="false">IF(A1344="","",COUNTIFS(Apparitions!$G$2:$G$5001,A1344,Apparitions!$E$2:$E$5001,"○"))</f>
        <v/>
      </c>
      <c r="K1344" s="29" t="str">
        <f aca="false">IF(A1344="","",IFERROR(1/(1/_xlfn.MINIFS(Apparitions!$L$2:$L$5001,Apparitions!$G$2:$G$5001,A1344)),""))</f>
        <v/>
      </c>
      <c r="L1344" s="27" t="str">
        <f aca="false">IF(A1344="","",A1344&amp;" | "&amp;B1344&amp;IF(C1344="",""," ("&amp;C1344&amp;")")&amp;IF(D1344="",""," - "&amp;D1344))</f>
        <v/>
      </c>
    </row>
    <row r="1345" customFormat="false" ht="15" hidden="false" customHeight="false" outlineLevel="0" collapsed="false">
      <c r="A1345" s="32"/>
      <c r="B1345" s="19"/>
      <c r="C1345" s="19"/>
      <c r="D1345" s="19"/>
      <c r="E1345" s="21"/>
      <c r="F1345" s="19"/>
      <c r="G1345" s="27" t="str">
        <f aca="false">IF(B1345="","",IFERROR(INDEX(Jeux!$C$2:$C$3001,MATCH(B1345,Jeux!$A$2:$A$3001,0))&amp;"","⚠ jeu inconnu"))</f>
        <v/>
      </c>
      <c r="H1345" s="27" t="str">
        <f aca="false">IF(B1345="","",IFERROR(INDEX(Jeux!$D$2:$D$3001,MATCH(B1345,Jeux!$A$2:$A$3001,0))&amp;"",""))</f>
        <v/>
      </c>
      <c r="I1345" s="26" t="str">
        <f aca="false">IF(A1345="","",COUNTIF(Apparitions!$G$2:$G$5001,A1345))</f>
        <v/>
      </c>
      <c r="J1345" s="26" t="str">
        <f aca="false">IF(A1345="","",COUNTIFS(Apparitions!$G$2:$G$5001,A1345,Apparitions!$E$2:$E$5001,"○"))</f>
        <v/>
      </c>
      <c r="K1345" s="29" t="str">
        <f aca="false">IF(A1345="","",IFERROR(1/(1/_xlfn.MINIFS(Apparitions!$L$2:$L$5001,Apparitions!$G$2:$G$5001,A1345)),""))</f>
        <v/>
      </c>
      <c r="L1345" s="27" t="str">
        <f aca="false">IF(A1345="","",A1345&amp;" | "&amp;B1345&amp;IF(C1345="",""," ("&amp;C1345&amp;")")&amp;IF(D1345="",""," - "&amp;D1345))</f>
        <v/>
      </c>
    </row>
    <row r="1346" customFormat="false" ht="15" hidden="false" customHeight="false" outlineLevel="0" collapsed="false">
      <c r="A1346" s="32"/>
      <c r="B1346" s="19"/>
      <c r="C1346" s="19"/>
      <c r="D1346" s="19"/>
      <c r="E1346" s="21"/>
      <c r="F1346" s="19"/>
      <c r="G1346" s="27" t="str">
        <f aca="false">IF(B1346="","",IFERROR(INDEX(Jeux!$C$2:$C$3001,MATCH(B1346,Jeux!$A$2:$A$3001,0))&amp;"","⚠ jeu inconnu"))</f>
        <v/>
      </c>
      <c r="H1346" s="27" t="str">
        <f aca="false">IF(B1346="","",IFERROR(INDEX(Jeux!$D$2:$D$3001,MATCH(B1346,Jeux!$A$2:$A$3001,0))&amp;"",""))</f>
        <v/>
      </c>
      <c r="I1346" s="26" t="str">
        <f aca="false">IF(A1346="","",COUNTIF(Apparitions!$G$2:$G$5001,A1346))</f>
        <v/>
      </c>
      <c r="J1346" s="26" t="str">
        <f aca="false">IF(A1346="","",COUNTIFS(Apparitions!$G$2:$G$5001,A1346,Apparitions!$E$2:$E$5001,"○"))</f>
        <v/>
      </c>
      <c r="K1346" s="29" t="str">
        <f aca="false">IF(A1346="","",IFERROR(1/(1/_xlfn.MINIFS(Apparitions!$L$2:$L$5001,Apparitions!$G$2:$G$5001,A1346)),""))</f>
        <v/>
      </c>
      <c r="L1346" s="27" t="str">
        <f aca="false">IF(A1346="","",A1346&amp;" | "&amp;B1346&amp;IF(C1346="",""," ("&amp;C1346&amp;")")&amp;IF(D1346="",""," - "&amp;D1346))</f>
        <v/>
      </c>
    </row>
    <row r="1347" customFormat="false" ht="15" hidden="false" customHeight="false" outlineLevel="0" collapsed="false">
      <c r="A1347" s="32"/>
      <c r="B1347" s="19"/>
      <c r="C1347" s="19"/>
      <c r="D1347" s="19"/>
      <c r="E1347" s="21"/>
      <c r="F1347" s="19"/>
      <c r="G1347" s="27" t="str">
        <f aca="false">IF(B1347="","",IFERROR(INDEX(Jeux!$C$2:$C$3001,MATCH(B1347,Jeux!$A$2:$A$3001,0))&amp;"","⚠ jeu inconnu"))</f>
        <v/>
      </c>
      <c r="H1347" s="27" t="str">
        <f aca="false">IF(B1347="","",IFERROR(INDEX(Jeux!$D$2:$D$3001,MATCH(B1347,Jeux!$A$2:$A$3001,0))&amp;"",""))</f>
        <v/>
      </c>
      <c r="I1347" s="26" t="str">
        <f aca="false">IF(A1347="","",COUNTIF(Apparitions!$G$2:$G$5001,A1347))</f>
        <v/>
      </c>
      <c r="J1347" s="26" t="str">
        <f aca="false">IF(A1347="","",COUNTIFS(Apparitions!$G$2:$G$5001,A1347,Apparitions!$E$2:$E$5001,"○"))</f>
        <v/>
      </c>
      <c r="K1347" s="29" t="str">
        <f aca="false">IF(A1347="","",IFERROR(1/(1/_xlfn.MINIFS(Apparitions!$L$2:$L$5001,Apparitions!$G$2:$G$5001,A1347)),""))</f>
        <v/>
      </c>
      <c r="L1347" s="27" t="str">
        <f aca="false">IF(A1347="","",A1347&amp;" | "&amp;B1347&amp;IF(C1347="",""," ("&amp;C1347&amp;")")&amp;IF(D1347="",""," - "&amp;D1347))</f>
        <v/>
      </c>
    </row>
    <row r="1348" customFormat="false" ht="15" hidden="false" customHeight="false" outlineLevel="0" collapsed="false">
      <c r="A1348" s="32"/>
      <c r="B1348" s="19"/>
      <c r="C1348" s="19"/>
      <c r="D1348" s="19"/>
      <c r="E1348" s="21"/>
      <c r="F1348" s="19"/>
      <c r="G1348" s="27" t="str">
        <f aca="false">IF(B1348="","",IFERROR(INDEX(Jeux!$C$2:$C$3001,MATCH(B1348,Jeux!$A$2:$A$3001,0))&amp;"","⚠ jeu inconnu"))</f>
        <v/>
      </c>
      <c r="H1348" s="27" t="str">
        <f aca="false">IF(B1348="","",IFERROR(INDEX(Jeux!$D$2:$D$3001,MATCH(B1348,Jeux!$A$2:$A$3001,0))&amp;"",""))</f>
        <v/>
      </c>
      <c r="I1348" s="26" t="str">
        <f aca="false">IF(A1348="","",COUNTIF(Apparitions!$G$2:$G$5001,A1348))</f>
        <v/>
      </c>
      <c r="J1348" s="26" t="str">
        <f aca="false">IF(A1348="","",COUNTIFS(Apparitions!$G$2:$G$5001,A1348,Apparitions!$E$2:$E$5001,"○"))</f>
        <v/>
      </c>
      <c r="K1348" s="29" t="str">
        <f aca="false">IF(A1348="","",IFERROR(1/(1/_xlfn.MINIFS(Apparitions!$L$2:$L$5001,Apparitions!$G$2:$G$5001,A1348)),""))</f>
        <v/>
      </c>
      <c r="L1348" s="27" t="str">
        <f aca="false">IF(A1348="","",A1348&amp;" | "&amp;B1348&amp;IF(C1348="",""," ("&amp;C1348&amp;")")&amp;IF(D1348="",""," - "&amp;D1348))</f>
        <v/>
      </c>
    </row>
    <row r="1349" customFormat="false" ht="15" hidden="false" customHeight="false" outlineLevel="0" collapsed="false">
      <c r="A1349" s="32"/>
      <c r="B1349" s="19"/>
      <c r="C1349" s="19"/>
      <c r="D1349" s="19"/>
      <c r="E1349" s="21"/>
      <c r="F1349" s="19"/>
      <c r="G1349" s="27" t="str">
        <f aca="false">IF(B1349="","",IFERROR(INDEX(Jeux!$C$2:$C$3001,MATCH(B1349,Jeux!$A$2:$A$3001,0))&amp;"","⚠ jeu inconnu"))</f>
        <v/>
      </c>
      <c r="H1349" s="27" t="str">
        <f aca="false">IF(B1349="","",IFERROR(INDEX(Jeux!$D$2:$D$3001,MATCH(B1349,Jeux!$A$2:$A$3001,0))&amp;"",""))</f>
        <v/>
      </c>
      <c r="I1349" s="26" t="str">
        <f aca="false">IF(A1349="","",COUNTIF(Apparitions!$G$2:$G$5001,A1349))</f>
        <v/>
      </c>
      <c r="J1349" s="26" t="str">
        <f aca="false">IF(A1349="","",COUNTIFS(Apparitions!$G$2:$G$5001,A1349,Apparitions!$E$2:$E$5001,"○"))</f>
        <v/>
      </c>
      <c r="K1349" s="29" t="str">
        <f aca="false">IF(A1349="","",IFERROR(1/(1/_xlfn.MINIFS(Apparitions!$L$2:$L$5001,Apparitions!$G$2:$G$5001,A1349)),""))</f>
        <v/>
      </c>
      <c r="L1349" s="27" t="str">
        <f aca="false">IF(A1349="","",A1349&amp;" | "&amp;B1349&amp;IF(C1349="",""," ("&amp;C1349&amp;")")&amp;IF(D1349="",""," - "&amp;D1349))</f>
        <v/>
      </c>
    </row>
    <row r="1350" customFormat="false" ht="15" hidden="false" customHeight="false" outlineLevel="0" collapsed="false">
      <c r="A1350" s="32"/>
      <c r="B1350" s="19"/>
      <c r="C1350" s="19"/>
      <c r="D1350" s="19"/>
      <c r="E1350" s="21"/>
      <c r="F1350" s="19"/>
      <c r="G1350" s="27" t="str">
        <f aca="false">IF(B1350="","",IFERROR(INDEX(Jeux!$C$2:$C$3001,MATCH(B1350,Jeux!$A$2:$A$3001,0))&amp;"","⚠ jeu inconnu"))</f>
        <v/>
      </c>
      <c r="H1350" s="27" t="str">
        <f aca="false">IF(B1350="","",IFERROR(INDEX(Jeux!$D$2:$D$3001,MATCH(B1350,Jeux!$A$2:$A$3001,0))&amp;"",""))</f>
        <v/>
      </c>
      <c r="I1350" s="26" t="str">
        <f aca="false">IF(A1350="","",COUNTIF(Apparitions!$G$2:$G$5001,A1350))</f>
        <v/>
      </c>
      <c r="J1350" s="26" t="str">
        <f aca="false">IF(A1350="","",COUNTIFS(Apparitions!$G$2:$G$5001,A1350,Apparitions!$E$2:$E$5001,"○"))</f>
        <v/>
      </c>
      <c r="K1350" s="29" t="str">
        <f aca="false">IF(A1350="","",IFERROR(1/(1/_xlfn.MINIFS(Apparitions!$L$2:$L$5001,Apparitions!$G$2:$G$5001,A1350)),""))</f>
        <v/>
      </c>
      <c r="L1350" s="27" t="str">
        <f aca="false">IF(A1350="","",A1350&amp;" | "&amp;B1350&amp;IF(C1350="",""," ("&amp;C1350&amp;")")&amp;IF(D1350="",""," - "&amp;D1350))</f>
        <v/>
      </c>
    </row>
    <row r="1351" customFormat="false" ht="15" hidden="false" customHeight="false" outlineLevel="0" collapsed="false">
      <c r="A1351" s="32"/>
      <c r="B1351" s="19"/>
      <c r="C1351" s="19"/>
      <c r="D1351" s="19"/>
      <c r="E1351" s="21"/>
      <c r="F1351" s="19"/>
      <c r="G1351" s="27" t="str">
        <f aca="false">IF(B1351="","",IFERROR(INDEX(Jeux!$C$2:$C$3001,MATCH(B1351,Jeux!$A$2:$A$3001,0))&amp;"","⚠ jeu inconnu"))</f>
        <v/>
      </c>
      <c r="H1351" s="27" t="str">
        <f aca="false">IF(B1351="","",IFERROR(INDEX(Jeux!$D$2:$D$3001,MATCH(B1351,Jeux!$A$2:$A$3001,0))&amp;"",""))</f>
        <v/>
      </c>
      <c r="I1351" s="26" t="str">
        <f aca="false">IF(A1351="","",COUNTIF(Apparitions!$G$2:$G$5001,A1351))</f>
        <v/>
      </c>
      <c r="J1351" s="26" t="str">
        <f aca="false">IF(A1351="","",COUNTIFS(Apparitions!$G$2:$G$5001,A1351,Apparitions!$E$2:$E$5001,"○"))</f>
        <v/>
      </c>
      <c r="K1351" s="29" t="str">
        <f aca="false">IF(A1351="","",IFERROR(1/(1/_xlfn.MINIFS(Apparitions!$L$2:$L$5001,Apparitions!$G$2:$G$5001,A1351)),""))</f>
        <v/>
      </c>
      <c r="L1351" s="27" t="str">
        <f aca="false">IF(A1351="","",A1351&amp;" | "&amp;B1351&amp;IF(C1351="",""," ("&amp;C1351&amp;")")&amp;IF(D1351="",""," - "&amp;D1351))</f>
        <v/>
      </c>
    </row>
    <row r="1352" customFormat="false" ht="15" hidden="false" customHeight="false" outlineLevel="0" collapsed="false">
      <c r="A1352" s="32"/>
      <c r="B1352" s="19"/>
      <c r="C1352" s="19"/>
      <c r="D1352" s="19"/>
      <c r="E1352" s="21"/>
      <c r="F1352" s="19"/>
      <c r="G1352" s="27" t="str">
        <f aca="false">IF(B1352="","",IFERROR(INDEX(Jeux!$C$2:$C$3001,MATCH(B1352,Jeux!$A$2:$A$3001,0))&amp;"","⚠ jeu inconnu"))</f>
        <v/>
      </c>
      <c r="H1352" s="27" t="str">
        <f aca="false">IF(B1352="","",IFERROR(INDEX(Jeux!$D$2:$D$3001,MATCH(B1352,Jeux!$A$2:$A$3001,0))&amp;"",""))</f>
        <v/>
      </c>
      <c r="I1352" s="26" t="str">
        <f aca="false">IF(A1352="","",COUNTIF(Apparitions!$G$2:$G$5001,A1352))</f>
        <v/>
      </c>
      <c r="J1352" s="26" t="str">
        <f aca="false">IF(A1352="","",COUNTIFS(Apparitions!$G$2:$G$5001,A1352,Apparitions!$E$2:$E$5001,"○"))</f>
        <v/>
      </c>
      <c r="K1352" s="29" t="str">
        <f aca="false">IF(A1352="","",IFERROR(1/(1/_xlfn.MINIFS(Apparitions!$L$2:$L$5001,Apparitions!$G$2:$G$5001,A1352)),""))</f>
        <v/>
      </c>
      <c r="L1352" s="27" t="str">
        <f aca="false">IF(A1352="","",A1352&amp;" | "&amp;B1352&amp;IF(C1352="",""," ("&amp;C1352&amp;")")&amp;IF(D1352="",""," - "&amp;D1352))</f>
        <v/>
      </c>
    </row>
    <row r="1353" customFormat="false" ht="15" hidden="false" customHeight="false" outlineLevel="0" collapsed="false">
      <c r="A1353" s="32"/>
      <c r="B1353" s="19"/>
      <c r="C1353" s="19"/>
      <c r="D1353" s="19"/>
      <c r="E1353" s="21"/>
      <c r="F1353" s="19"/>
      <c r="G1353" s="27" t="str">
        <f aca="false">IF(B1353="","",IFERROR(INDEX(Jeux!$C$2:$C$3001,MATCH(B1353,Jeux!$A$2:$A$3001,0))&amp;"","⚠ jeu inconnu"))</f>
        <v/>
      </c>
      <c r="H1353" s="27" t="str">
        <f aca="false">IF(B1353="","",IFERROR(INDEX(Jeux!$D$2:$D$3001,MATCH(B1353,Jeux!$A$2:$A$3001,0))&amp;"",""))</f>
        <v/>
      </c>
      <c r="I1353" s="26" t="str">
        <f aca="false">IF(A1353="","",COUNTIF(Apparitions!$G$2:$G$5001,A1353))</f>
        <v/>
      </c>
      <c r="J1353" s="26" t="str">
        <f aca="false">IF(A1353="","",COUNTIFS(Apparitions!$G$2:$G$5001,A1353,Apparitions!$E$2:$E$5001,"○"))</f>
        <v/>
      </c>
      <c r="K1353" s="29" t="str">
        <f aca="false">IF(A1353="","",IFERROR(1/(1/_xlfn.MINIFS(Apparitions!$L$2:$L$5001,Apparitions!$G$2:$G$5001,A1353)),""))</f>
        <v/>
      </c>
      <c r="L1353" s="27" t="str">
        <f aca="false">IF(A1353="","",A1353&amp;" | "&amp;B1353&amp;IF(C1353="",""," ("&amp;C1353&amp;")")&amp;IF(D1353="",""," - "&amp;D1353))</f>
        <v/>
      </c>
    </row>
    <row r="1354" customFormat="false" ht="15" hidden="false" customHeight="false" outlineLevel="0" collapsed="false">
      <c r="A1354" s="32"/>
      <c r="B1354" s="19"/>
      <c r="C1354" s="19"/>
      <c r="D1354" s="19"/>
      <c r="E1354" s="21"/>
      <c r="F1354" s="19"/>
      <c r="G1354" s="27" t="str">
        <f aca="false">IF(B1354="","",IFERROR(INDEX(Jeux!$C$2:$C$3001,MATCH(B1354,Jeux!$A$2:$A$3001,0))&amp;"","⚠ jeu inconnu"))</f>
        <v/>
      </c>
      <c r="H1354" s="27" t="str">
        <f aca="false">IF(B1354="","",IFERROR(INDEX(Jeux!$D$2:$D$3001,MATCH(B1354,Jeux!$A$2:$A$3001,0))&amp;"",""))</f>
        <v/>
      </c>
      <c r="I1354" s="26" t="str">
        <f aca="false">IF(A1354="","",COUNTIF(Apparitions!$G$2:$G$5001,A1354))</f>
        <v/>
      </c>
      <c r="J1354" s="26" t="str">
        <f aca="false">IF(A1354="","",COUNTIFS(Apparitions!$G$2:$G$5001,A1354,Apparitions!$E$2:$E$5001,"○"))</f>
        <v/>
      </c>
      <c r="K1354" s="29" t="str">
        <f aca="false">IF(A1354="","",IFERROR(1/(1/_xlfn.MINIFS(Apparitions!$L$2:$L$5001,Apparitions!$G$2:$G$5001,A1354)),""))</f>
        <v/>
      </c>
      <c r="L1354" s="27" t="str">
        <f aca="false">IF(A1354="","",A1354&amp;" | "&amp;B1354&amp;IF(C1354="",""," ("&amp;C1354&amp;")")&amp;IF(D1354="",""," - "&amp;D1354))</f>
        <v/>
      </c>
    </row>
    <row r="1355" customFormat="false" ht="15" hidden="false" customHeight="false" outlineLevel="0" collapsed="false">
      <c r="A1355" s="32"/>
      <c r="B1355" s="19"/>
      <c r="C1355" s="19"/>
      <c r="D1355" s="19"/>
      <c r="E1355" s="21"/>
      <c r="F1355" s="19"/>
      <c r="G1355" s="27" t="str">
        <f aca="false">IF(B1355="","",IFERROR(INDEX(Jeux!$C$2:$C$3001,MATCH(B1355,Jeux!$A$2:$A$3001,0))&amp;"","⚠ jeu inconnu"))</f>
        <v/>
      </c>
      <c r="H1355" s="27" t="str">
        <f aca="false">IF(B1355="","",IFERROR(INDEX(Jeux!$D$2:$D$3001,MATCH(B1355,Jeux!$A$2:$A$3001,0))&amp;"",""))</f>
        <v/>
      </c>
      <c r="I1355" s="26" t="str">
        <f aca="false">IF(A1355="","",COUNTIF(Apparitions!$G$2:$G$5001,A1355))</f>
        <v/>
      </c>
      <c r="J1355" s="26" t="str">
        <f aca="false">IF(A1355="","",COUNTIFS(Apparitions!$G$2:$G$5001,A1355,Apparitions!$E$2:$E$5001,"○"))</f>
        <v/>
      </c>
      <c r="K1355" s="29" t="str">
        <f aca="false">IF(A1355="","",IFERROR(1/(1/_xlfn.MINIFS(Apparitions!$L$2:$L$5001,Apparitions!$G$2:$G$5001,A1355)),""))</f>
        <v/>
      </c>
      <c r="L1355" s="27" t="str">
        <f aca="false">IF(A1355="","",A1355&amp;" | "&amp;B1355&amp;IF(C1355="",""," ("&amp;C1355&amp;")")&amp;IF(D1355="",""," - "&amp;D1355))</f>
        <v/>
      </c>
    </row>
    <row r="1356" customFormat="false" ht="15" hidden="false" customHeight="false" outlineLevel="0" collapsed="false">
      <c r="A1356" s="32"/>
      <c r="B1356" s="19"/>
      <c r="C1356" s="19"/>
      <c r="D1356" s="19"/>
      <c r="E1356" s="21"/>
      <c r="F1356" s="19"/>
      <c r="G1356" s="27" t="str">
        <f aca="false">IF(B1356="","",IFERROR(INDEX(Jeux!$C$2:$C$3001,MATCH(B1356,Jeux!$A$2:$A$3001,0))&amp;"","⚠ jeu inconnu"))</f>
        <v/>
      </c>
      <c r="H1356" s="27" t="str">
        <f aca="false">IF(B1356="","",IFERROR(INDEX(Jeux!$D$2:$D$3001,MATCH(B1356,Jeux!$A$2:$A$3001,0))&amp;"",""))</f>
        <v/>
      </c>
      <c r="I1356" s="26" t="str">
        <f aca="false">IF(A1356="","",COUNTIF(Apparitions!$G$2:$G$5001,A1356))</f>
        <v/>
      </c>
      <c r="J1356" s="26" t="str">
        <f aca="false">IF(A1356="","",COUNTIFS(Apparitions!$G$2:$G$5001,A1356,Apparitions!$E$2:$E$5001,"○"))</f>
        <v/>
      </c>
      <c r="K1356" s="29" t="str">
        <f aca="false">IF(A1356="","",IFERROR(1/(1/_xlfn.MINIFS(Apparitions!$L$2:$L$5001,Apparitions!$G$2:$G$5001,A1356)),""))</f>
        <v/>
      </c>
      <c r="L1356" s="27" t="str">
        <f aca="false">IF(A1356="","",A1356&amp;" | "&amp;B1356&amp;IF(C1356="",""," ("&amp;C1356&amp;")")&amp;IF(D1356="",""," - "&amp;D1356))</f>
        <v/>
      </c>
    </row>
    <row r="1357" customFormat="false" ht="15" hidden="false" customHeight="false" outlineLevel="0" collapsed="false">
      <c r="A1357" s="32"/>
      <c r="B1357" s="19"/>
      <c r="C1357" s="19"/>
      <c r="D1357" s="19"/>
      <c r="E1357" s="21"/>
      <c r="F1357" s="19"/>
      <c r="G1357" s="27" t="str">
        <f aca="false">IF(B1357="","",IFERROR(INDEX(Jeux!$C$2:$C$3001,MATCH(B1357,Jeux!$A$2:$A$3001,0))&amp;"","⚠ jeu inconnu"))</f>
        <v/>
      </c>
      <c r="H1357" s="27" t="str">
        <f aca="false">IF(B1357="","",IFERROR(INDEX(Jeux!$D$2:$D$3001,MATCH(B1357,Jeux!$A$2:$A$3001,0))&amp;"",""))</f>
        <v/>
      </c>
      <c r="I1357" s="26" t="str">
        <f aca="false">IF(A1357="","",COUNTIF(Apparitions!$G$2:$G$5001,A1357))</f>
        <v/>
      </c>
      <c r="J1357" s="26" t="str">
        <f aca="false">IF(A1357="","",COUNTIFS(Apparitions!$G$2:$G$5001,A1357,Apparitions!$E$2:$E$5001,"○"))</f>
        <v/>
      </c>
      <c r="K1357" s="29" t="str">
        <f aca="false">IF(A1357="","",IFERROR(1/(1/_xlfn.MINIFS(Apparitions!$L$2:$L$5001,Apparitions!$G$2:$G$5001,A1357)),""))</f>
        <v/>
      </c>
      <c r="L1357" s="27" t="str">
        <f aca="false">IF(A1357="","",A1357&amp;" | "&amp;B1357&amp;IF(C1357="",""," ("&amp;C1357&amp;")")&amp;IF(D1357="",""," - "&amp;D1357))</f>
        <v/>
      </c>
    </row>
    <row r="1358" customFormat="false" ht="15" hidden="false" customHeight="false" outlineLevel="0" collapsed="false">
      <c r="A1358" s="32"/>
      <c r="B1358" s="19"/>
      <c r="C1358" s="19"/>
      <c r="D1358" s="19"/>
      <c r="E1358" s="21"/>
      <c r="F1358" s="19"/>
      <c r="G1358" s="27" t="str">
        <f aca="false">IF(B1358="","",IFERROR(INDEX(Jeux!$C$2:$C$3001,MATCH(B1358,Jeux!$A$2:$A$3001,0))&amp;"","⚠ jeu inconnu"))</f>
        <v/>
      </c>
      <c r="H1358" s="27" t="str">
        <f aca="false">IF(B1358="","",IFERROR(INDEX(Jeux!$D$2:$D$3001,MATCH(B1358,Jeux!$A$2:$A$3001,0))&amp;"",""))</f>
        <v/>
      </c>
      <c r="I1358" s="26" t="str">
        <f aca="false">IF(A1358="","",COUNTIF(Apparitions!$G$2:$G$5001,A1358))</f>
        <v/>
      </c>
      <c r="J1358" s="26" t="str">
        <f aca="false">IF(A1358="","",COUNTIFS(Apparitions!$G$2:$G$5001,A1358,Apparitions!$E$2:$E$5001,"○"))</f>
        <v/>
      </c>
      <c r="K1358" s="29" t="str">
        <f aca="false">IF(A1358="","",IFERROR(1/(1/_xlfn.MINIFS(Apparitions!$L$2:$L$5001,Apparitions!$G$2:$G$5001,A1358)),""))</f>
        <v/>
      </c>
      <c r="L1358" s="27" t="str">
        <f aca="false">IF(A1358="","",A1358&amp;" | "&amp;B1358&amp;IF(C1358="",""," ("&amp;C1358&amp;")")&amp;IF(D1358="",""," - "&amp;D1358))</f>
        <v/>
      </c>
    </row>
    <row r="1359" customFormat="false" ht="15" hidden="false" customHeight="false" outlineLevel="0" collapsed="false">
      <c r="A1359" s="32"/>
      <c r="B1359" s="19"/>
      <c r="C1359" s="19"/>
      <c r="D1359" s="19"/>
      <c r="E1359" s="21"/>
      <c r="F1359" s="19"/>
      <c r="G1359" s="27" t="str">
        <f aca="false">IF(B1359="","",IFERROR(INDEX(Jeux!$C$2:$C$3001,MATCH(B1359,Jeux!$A$2:$A$3001,0))&amp;"","⚠ jeu inconnu"))</f>
        <v/>
      </c>
      <c r="H1359" s="27" t="str">
        <f aca="false">IF(B1359="","",IFERROR(INDEX(Jeux!$D$2:$D$3001,MATCH(B1359,Jeux!$A$2:$A$3001,0))&amp;"",""))</f>
        <v/>
      </c>
      <c r="I1359" s="26" t="str">
        <f aca="false">IF(A1359="","",COUNTIF(Apparitions!$G$2:$G$5001,A1359))</f>
        <v/>
      </c>
      <c r="J1359" s="26" t="str">
        <f aca="false">IF(A1359="","",COUNTIFS(Apparitions!$G$2:$G$5001,A1359,Apparitions!$E$2:$E$5001,"○"))</f>
        <v/>
      </c>
      <c r="K1359" s="29" t="str">
        <f aca="false">IF(A1359="","",IFERROR(1/(1/_xlfn.MINIFS(Apparitions!$L$2:$L$5001,Apparitions!$G$2:$G$5001,A1359)),""))</f>
        <v/>
      </c>
      <c r="L1359" s="27" t="str">
        <f aca="false">IF(A1359="","",A1359&amp;" | "&amp;B1359&amp;IF(C1359="",""," ("&amp;C1359&amp;")")&amp;IF(D1359="",""," - "&amp;D1359))</f>
        <v/>
      </c>
    </row>
    <row r="1360" customFormat="false" ht="15" hidden="false" customHeight="false" outlineLevel="0" collapsed="false">
      <c r="A1360" s="32"/>
      <c r="B1360" s="19"/>
      <c r="C1360" s="19"/>
      <c r="D1360" s="19"/>
      <c r="E1360" s="21"/>
      <c r="F1360" s="19"/>
      <c r="G1360" s="27" t="str">
        <f aca="false">IF(B1360="","",IFERROR(INDEX(Jeux!$C$2:$C$3001,MATCH(B1360,Jeux!$A$2:$A$3001,0))&amp;"","⚠ jeu inconnu"))</f>
        <v/>
      </c>
      <c r="H1360" s="27" t="str">
        <f aca="false">IF(B1360="","",IFERROR(INDEX(Jeux!$D$2:$D$3001,MATCH(B1360,Jeux!$A$2:$A$3001,0))&amp;"",""))</f>
        <v/>
      </c>
      <c r="I1360" s="26" t="str">
        <f aca="false">IF(A1360="","",COUNTIF(Apparitions!$G$2:$G$5001,A1360))</f>
        <v/>
      </c>
      <c r="J1360" s="26" t="str">
        <f aca="false">IF(A1360="","",COUNTIFS(Apparitions!$G$2:$G$5001,A1360,Apparitions!$E$2:$E$5001,"○"))</f>
        <v/>
      </c>
      <c r="K1360" s="29" t="str">
        <f aca="false">IF(A1360="","",IFERROR(1/(1/_xlfn.MINIFS(Apparitions!$L$2:$L$5001,Apparitions!$G$2:$G$5001,A1360)),""))</f>
        <v/>
      </c>
      <c r="L1360" s="27" t="str">
        <f aca="false">IF(A1360="","",A1360&amp;" | "&amp;B1360&amp;IF(C1360="",""," ("&amp;C1360&amp;")")&amp;IF(D1360="",""," - "&amp;D1360))</f>
        <v/>
      </c>
    </row>
    <row r="1361" customFormat="false" ht="15" hidden="false" customHeight="false" outlineLevel="0" collapsed="false">
      <c r="A1361" s="32"/>
      <c r="B1361" s="19"/>
      <c r="C1361" s="19"/>
      <c r="D1361" s="19"/>
      <c r="E1361" s="21"/>
      <c r="F1361" s="19"/>
      <c r="G1361" s="27" t="str">
        <f aca="false">IF(B1361="","",IFERROR(INDEX(Jeux!$C$2:$C$3001,MATCH(B1361,Jeux!$A$2:$A$3001,0))&amp;"","⚠ jeu inconnu"))</f>
        <v/>
      </c>
      <c r="H1361" s="27" t="str">
        <f aca="false">IF(B1361="","",IFERROR(INDEX(Jeux!$D$2:$D$3001,MATCH(B1361,Jeux!$A$2:$A$3001,0))&amp;"",""))</f>
        <v/>
      </c>
      <c r="I1361" s="26" t="str">
        <f aca="false">IF(A1361="","",COUNTIF(Apparitions!$G$2:$G$5001,A1361))</f>
        <v/>
      </c>
      <c r="J1361" s="26" t="str">
        <f aca="false">IF(A1361="","",COUNTIFS(Apparitions!$G$2:$G$5001,A1361,Apparitions!$E$2:$E$5001,"○"))</f>
        <v/>
      </c>
      <c r="K1361" s="29" t="str">
        <f aca="false">IF(A1361="","",IFERROR(1/(1/_xlfn.MINIFS(Apparitions!$L$2:$L$5001,Apparitions!$G$2:$G$5001,A1361)),""))</f>
        <v/>
      </c>
      <c r="L1361" s="27" t="str">
        <f aca="false">IF(A1361="","",A1361&amp;" | "&amp;B1361&amp;IF(C1361="",""," ("&amp;C1361&amp;")")&amp;IF(D1361="",""," - "&amp;D1361))</f>
        <v/>
      </c>
    </row>
    <row r="1362" customFormat="false" ht="15" hidden="false" customHeight="false" outlineLevel="0" collapsed="false">
      <c r="A1362" s="32"/>
      <c r="B1362" s="19"/>
      <c r="C1362" s="19"/>
      <c r="D1362" s="19"/>
      <c r="E1362" s="21"/>
      <c r="F1362" s="19"/>
      <c r="G1362" s="27" t="str">
        <f aca="false">IF(B1362="","",IFERROR(INDEX(Jeux!$C$2:$C$3001,MATCH(B1362,Jeux!$A$2:$A$3001,0))&amp;"","⚠ jeu inconnu"))</f>
        <v/>
      </c>
      <c r="H1362" s="27" t="str">
        <f aca="false">IF(B1362="","",IFERROR(INDEX(Jeux!$D$2:$D$3001,MATCH(B1362,Jeux!$A$2:$A$3001,0))&amp;"",""))</f>
        <v/>
      </c>
      <c r="I1362" s="26" t="str">
        <f aca="false">IF(A1362="","",COUNTIF(Apparitions!$G$2:$G$5001,A1362))</f>
        <v/>
      </c>
      <c r="J1362" s="26" t="str">
        <f aca="false">IF(A1362="","",COUNTIFS(Apparitions!$G$2:$G$5001,A1362,Apparitions!$E$2:$E$5001,"○"))</f>
        <v/>
      </c>
      <c r="K1362" s="29" t="str">
        <f aca="false">IF(A1362="","",IFERROR(1/(1/_xlfn.MINIFS(Apparitions!$L$2:$L$5001,Apparitions!$G$2:$G$5001,A1362)),""))</f>
        <v/>
      </c>
      <c r="L1362" s="27" t="str">
        <f aca="false">IF(A1362="","",A1362&amp;" | "&amp;B1362&amp;IF(C1362="",""," ("&amp;C1362&amp;")")&amp;IF(D1362="",""," - "&amp;D1362))</f>
        <v/>
      </c>
    </row>
    <row r="1363" customFormat="false" ht="15" hidden="false" customHeight="false" outlineLevel="0" collapsed="false">
      <c r="A1363" s="32"/>
      <c r="B1363" s="19"/>
      <c r="C1363" s="19"/>
      <c r="D1363" s="19"/>
      <c r="E1363" s="21"/>
      <c r="F1363" s="19"/>
      <c r="G1363" s="27" t="str">
        <f aca="false">IF(B1363="","",IFERROR(INDEX(Jeux!$C$2:$C$3001,MATCH(B1363,Jeux!$A$2:$A$3001,0))&amp;"","⚠ jeu inconnu"))</f>
        <v/>
      </c>
      <c r="H1363" s="27" t="str">
        <f aca="false">IF(B1363="","",IFERROR(INDEX(Jeux!$D$2:$D$3001,MATCH(B1363,Jeux!$A$2:$A$3001,0))&amp;"",""))</f>
        <v/>
      </c>
      <c r="I1363" s="26" t="str">
        <f aca="false">IF(A1363="","",COUNTIF(Apparitions!$G$2:$G$5001,A1363))</f>
        <v/>
      </c>
      <c r="J1363" s="26" t="str">
        <f aca="false">IF(A1363="","",COUNTIFS(Apparitions!$G$2:$G$5001,A1363,Apparitions!$E$2:$E$5001,"○"))</f>
        <v/>
      </c>
      <c r="K1363" s="29" t="str">
        <f aca="false">IF(A1363="","",IFERROR(1/(1/_xlfn.MINIFS(Apparitions!$L$2:$L$5001,Apparitions!$G$2:$G$5001,A1363)),""))</f>
        <v/>
      </c>
      <c r="L1363" s="27" t="str">
        <f aca="false">IF(A1363="","",A1363&amp;" | "&amp;B1363&amp;IF(C1363="",""," ("&amp;C1363&amp;")")&amp;IF(D1363="",""," - "&amp;D1363))</f>
        <v/>
      </c>
    </row>
    <row r="1364" customFormat="false" ht="15" hidden="false" customHeight="false" outlineLevel="0" collapsed="false">
      <c r="A1364" s="32"/>
      <c r="B1364" s="19"/>
      <c r="C1364" s="19"/>
      <c r="D1364" s="19"/>
      <c r="E1364" s="21"/>
      <c r="F1364" s="19"/>
      <c r="G1364" s="27" t="str">
        <f aca="false">IF(B1364="","",IFERROR(INDEX(Jeux!$C$2:$C$3001,MATCH(B1364,Jeux!$A$2:$A$3001,0))&amp;"","⚠ jeu inconnu"))</f>
        <v/>
      </c>
      <c r="H1364" s="27" t="str">
        <f aca="false">IF(B1364="","",IFERROR(INDEX(Jeux!$D$2:$D$3001,MATCH(B1364,Jeux!$A$2:$A$3001,0))&amp;"",""))</f>
        <v/>
      </c>
      <c r="I1364" s="26" t="str">
        <f aca="false">IF(A1364="","",COUNTIF(Apparitions!$G$2:$G$5001,A1364))</f>
        <v/>
      </c>
      <c r="J1364" s="26" t="str">
        <f aca="false">IF(A1364="","",COUNTIFS(Apparitions!$G$2:$G$5001,A1364,Apparitions!$E$2:$E$5001,"○"))</f>
        <v/>
      </c>
      <c r="K1364" s="29" t="str">
        <f aca="false">IF(A1364="","",IFERROR(1/(1/_xlfn.MINIFS(Apparitions!$L$2:$L$5001,Apparitions!$G$2:$G$5001,A1364)),""))</f>
        <v/>
      </c>
      <c r="L1364" s="27" t="str">
        <f aca="false">IF(A1364="","",A1364&amp;" | "&amp;B1364&amp;IF(C1364="",""," ("&amp;C1364&amp;")")&amp;IF(D1364="",""," - "&amp;D1364))</f>
        <v/>
      </c>
    </row>
    <row r="1365" customFormat="false" ht="15" hidden="false" customHeight="false" outlineLevel="0" collapsed="false">
      <c r="A1365" s="32"/>
      <c r="B1365" s="19"/>
      <c r="C1365" s="19"/>
      <c r="D1365" s="19"/>
      <c r="E1365" s="21"/>
      <c r="F1365" s="19"/>
      <c r="G1365" s="27" t="str">
        <f aca="false">IF(B1365="","",IFERROR(INDEX(Jeux!$C$2:$C$3001,MATCH(B1365,Jeux!$A$2:$A$3001,0))&amp;"","⚠ jeu inconnu"))</f>
        <v/>
      </c>
      <c r="H1365" s="27" t="str">
        <f aca="false">IF(B1365="","",IFERROR(INDEX(Jeux!$D$2:$D$3001,MATCH(B1365,Jeux!$A$2:$A$3001,0))&amp;"",""))</f>
        <v/>
      </c>
      <c r="I1365" s="26" t="str">
        <f aca="false">IF(A1365="","",COUNTIF(Apparitions!$G$2:$G$5001,A1365))</f>
        <v/>
      </c>
      <c r="J1365" s="26" t="str">
        <f aca="false">IF(A1365="","",COUNTIFS(Apparitions!$G$2:$G$5001,A1365,Apparitions!$E$2:$E$5001,"○"))</f>
        <v/>
      </c>
      <c r="K1365" s="29" t="str">
        <f aca="false">IF(A1365="","",IFERROR(1/(1/_xlfn.MINIFS(Apparitions!$L$2:$L$5001,Apparitions!$G$2:$G$5001,A1365)),""))</f>
        <v/>
      </c>
      <c r="L1365" s="27" t="str">
        <f aca="false">IF(A1365="","",A1365&amp;" | "&amp;B1365&amp;IF(C1365="",""," ("&amp;C1365&amp;")")&amp;IF(D1365="",""," - "&amp;D1365))</f>
        <v/>
      </c>
    </row>
    <row r="1366" customFormat="false" ht="15" hidden="false" customHeight="false" outlineLevel="0" collapsed="false">
      <c r="A1366" s="32"/>
      <c r="B1366" s="19"/>
      <c r="C1366" s="19"/>
      <c r="D1366" s="19"/>
      <c r="E1366" s="21"/>
      <c r="F1366" s="19"/>
      <c r="G1366" s="27" t="str">
        <f aca="false">IF(B1366="","",IFERROR(INDEX(Jeux!$C$2:$C$3001,MATCH(B1366,Jeux!$A$2:$A$3001,0))&amp;"","⚠ jeu inconnu"))</f>
        <v/>
      </c>
      <c r="H1366" s="27" t="str">
        <f aca="false">IF(B1366="","",IFERROR(INDEX(Jeux!$D$2:$D$3001,MATCH(B1366,Jeux!$A$2:$A$3001,0))&amp;"",""))</f>
        <v/>
      </c>
      <c r="I1366" s="26" t="str">
        <f aca="false">IF(A1366="","",COUNTIF(Apparitions!$G$2:$G$5001,A1366))</f>
        <v/>
      </c>
      <c r="J1366" s="26" t="str">
        <f aca="false">IF(A1366="","",COUNTIFS(Apparitions!$G$2:$G$5001,A1366,Apparitions!$E$2:$E$5001,"○"))</f>
        <v/>
      </c>
      <c r="K1366" s="29" t="str">
        <f aca="false">IF(A1366="","",IFERROR(1/(1/_xlfn.MINIFS(Apparitions!$L$2:$L$5001,Apparitions!$G$2:$G$5001,A1366)),""))</f>
        <v/>
      </c>
      <c r="L1366" s="27" t="str">
        <f aca="false">IF(A1366="","",A1366&amp;" | "&amp;B1366&amp;IF(C1366="",""," ("&amp;C1366&amp;")")&amp;IF(D1366="",""," - "&amp;D1366))</f>
        <v/>
      </c>
    </row>
    <row r="1367" customFormat="false" ht="15" hidden="false" customHeight="false" outlineLevel="0" collapsed="false">
      <c r="A1367" s="32"/>
      <c r="B1367" s="19"/>
      <c r="C1367" s="19"/>
      <c r="D1367" s="19"/>
      <c r="E1367" s="21"/>
      <c r="F1367" s="19"/>
      <c r="G1367" s="27" t="str">
        <f aca="false">IF(B1367="","",IFERROR(INDEX(Jeux!$C$2:$C$3001,MATCH(B1367,Jeux!$A$2:$A$3001,0))&amp;"","⚠ jeu inconnu"))</f>
        <v/>
      </c>
      <c r="H1367" s="27" t="str">
        <f aca="false">IF(B1367="","",IFERROR(INDEX(Jeux!$D$2:$D$3001,MATCH(B1367,Jeux!$A$2:$A$3001,0))&amp;"",""))</f>
        <v/>
      </c>
      <c r="I1367" s="26" t="str">
        <f aca="false">IF(A1367="","",COUNTIF(Apparitions!$G$2:$G$5001,A1367))</f>
        <v/>
      </c>
      <c r="J1367" s="26" t="str">
        <f aca="false">IF(A1367="","",COUNTIFS(Apparitions!$G$2:$G$5001,A1367,Apparitions!$E$2:$E$5001,"○"))</f>
        <v/>
      </c>
      <c r="K1367" s="29" t="str">
        <f aca="false">IF(A1367="","",IFERROR(1/(1/_xlfn.MINIFS(Apparitions!$L$2:$L$5001,Apparitions!$G$2:$G$5001,A1367)),""))</f>
        <v/>
      </c>
      <c r="L1367" s="27" t="str">
        <f aca="false">IF(A1367="","",A1367&amp;" | "&amp;B1367&amp;IF(C1367="",""," ("&amp;C1367&amp;")")&amp;IF(D1367="",""," - "&amp;D1367))</f>
        <v/>
      </c>
    </row>
    <row r="1368" customFormat="false" ht="15" hidden="false" customHeight="false" outlineLevel="0" collapsed="false">
      <c r="A1368" s="32"/>
      <c r="B1368" s="19"/>
      <c r="C1368" s="19"/>
      <c r="D1368" s="19"/>
      <c r="E1368" s="21"/>
      <c r="F1368" s="19"/>
      <c r="G1368" s="27" t="str">
        <f aca="false">IF(B1368="","",IFERROR(INDEX(Jeux!$C$2:$C$3001,MATCH(B1368,Jeux!$A$2:$A$3001,0))&amp;"","⚠ jeu inconnu"))</f>
        <v/>
      </c>
      <c r="H1368" s="27" t="str">
        <f aca="false">IF(B1368="","",IFERROR(INDEX(Jeux!$D$2:$D$3001,MATCH(B1368,Jeux!$A$2:$A$3001,0))&amp;"",""))</f>
        <v/>
      </c>
      <c r="I1368" s="26" t="str">
        <f aca="false">IF(A1368="","",COUNTIF(Apparitions!$G$2:$G$5001,A1368))</f>
        <v/>
      </c>
      <c r="J1368" s="26" t="str">
        <f aca="false">IF(A1368="","",COUNTIFS(Apparitions!$G$2:$G$5001,A1368,Apparitions!$E$2:$E$5001,"○"))</f>
        <v/>
      </c>
      <c r="K1368" s="29" t="str">
        <f aca="false">IF(A1368="","",IFERROR(1/(1/_xlfn.MINIFS(Apparitions!$L$2:$L$5001,Apparitions!$G$2:$G$5001,A1368)),""))</f>
        <v/>
      </c>
      <c r="L1368" s="27" t="str">
        <f aca="false">IF(A1368="","",A1368&amp;" | "&amp;B1368&amp;IF(C1368="",""," ("&amp;C1368&amp;")")&amp;IF(D1368="",""," - "&amp;D1368))</f>
        <v/>
      </c>
    </row>
    <row r="1369" customFormat="false" ht="15" hidden="false" customHeight="false" outlineLevel="0" collapsed="false">
      <c r="A1369" s="32"/>
      <c r="B1369" s="19"/>
      <c r="C1369" s="19"/>
      <c r="D1369" s="19"/>
      <c r="E1369" s="21"/>
      <c r="F1369" s="19"/>
      <c r="G1369" s="27" t="str">
        <f aca="false">IF(B1369="","",IFERROR(INDEX(Jeux!$C$2:$C$3001,MATCH(B1369,Jeux!$A$2:$A$3001,0))&amp;"","⚠ jeu inconnu"))</f>
        <v/>
      </c>
      <c r="H1369" s="27" t="str">
        <f aca="false">IF(B1369="","",IFERROR(INDEX(Jeux!$D$2:$D$3001,MATCH(B1369,Jeux!$A$2:$A$3001,0))&amp;"",""))</f>
        <v/>
      </c>
      <c r="I1369" s="26" t="str">
        <f aca="false">IF(A1369="","",COUNTIF(Apparitions!$G$2:$G$5001,A1369))</f>
        <v/>
      </c>
      <c r="J1369" s="26" t="str">
        <f aca="false">IF(A1369="","",COUNTIFS(Apparitions!$G$2:$G$5001,A1369,Apparitions!$E$2:$E$5001,"○"))</f>
        <v/>
      </c>
      <c r="K1369" s="29" t="str">
        <f aca="false">IF(A1369="","",IFERROR(1/(1/_xlfn.MINIFS(Apparitions!$L$2:$L$5001,Apparitions!$G$2:$G$5001,A1369)),""))</f>
        <v/>
      </c>
      <c r="L1369" s="27" t="str">
        <f aca="false">IF(A1369="","",A1369&amp;" | "&amp;B1369&amp;IF(C1369="",""," ("&amp;C1369&amp;")")&amp;IF(D1369="",""," - "&amp;D1369))</f>
        <v/>
      </c>
    </row>
    <row r="1370" customFormat="false" ht="15" hidden="false" customHeight="false" outlineLevel="0" collapsed="false">
      <c r="A1370" s="32"/>
      <c r="B1370" s="19"/>
      <c r="C1370" s="19"/>
      <c r="D1370" s="19"/>
      <c r="E1370" s="21"/>
      <c r="F1370" s="19"/>
      <c r="G1370" s="27" t="str">
        <f aca="false">IF(B1370="","",IFERROR(INDEX(Jeux!$C$2:$C$3001,MATCH(B1370,Jeux!$A$2:$A$3001,0))&amp;"","⚠ jeu inconnu"))</f>
        <v/>
      </c>
      <c r="H1370" s="27" t="str">
        <f aca="false">IF(B1370="","",IFERROR(INDEX(Jeux!$D$2:$D$3001,MATCH(B1370,Jeux!$A$2:$A$3001,0))&amp;"",""))</f>
        <v/>
      </c>
      <c r="I1370" s="26" t="str">
        <f aca="false">IF(A1370="","",COUNTIF(Apparitions!$G$2:$G$5001,A1370))</f>
        <v/>
      </c>
      <c r="J1370" s="26" t="str">
        <f aca="false">IF(A1370="","",COUNTIFS(Apparitions!$G$2:$G$5001,A1370,Apparitions!$E$2:$E$5001,"○"))</f>
        <v/>
      </c>
      <c r="K1370" s="29" t="str">
        <f aca="false">IF(A1370="","",IFERROR(1/(1/_xlfn.MINIFS(Apparitions!$L$2:$L$5001,Apparitions!$G$2:$G$5001,A1370)),""))</f>
        <v/>
      </c>
      <c r="L1370" s="27" t="str">
        <f aca="false">IF(A1370="","",A1370&amp;" | "&amp;B1370&amp;IF(C1370="",""," ("&amp;C1370&amp;")")&amp;IF(D1370="",""," - "&amp;D1370))</f>
        <v/>
      </c>
    </row>
    <row r="1371" customFormat="false" ht="15" hidden="false" customHeight="false" outlineLevel="0" collapsed="false">
      <c r="A1371" s="32"/>
      <c r="B1371" s="19"/>
      <c r="C1371" s="19"/>
      <c r="D1371" s="19"/>
      <c r="E1371" s="21"/>
      <c r="F1371" s="19"/>
      <c r="G1371" s="27" t="str">
        <f aca="false">IF(B1371="","",IFERROR(INDEX(Jeux!$C$2:$C$3001,MATCH(B1371,Jeux!$A$2:$A$3001,0))&amp;"","⚠ jeu inconnu"))</f>
        <v/>
      </c>
      <c r="H1371" s="27" t="str">
        <f aca="false">IF(B1371="","",IFERROR(INDEX(Jeux!$D$2:$D$3001,MATCH(B1371,Jeux!$A$2:$A$3001,0))&amp;"",""))</f>
        <v/>
      </c>
      <c r="I1371" s="26" t="str">
        <f aca="false">IF(A1371="","",COUNTIF(Apparitions!$G$2:$G$5001,A1371))</f>
        <v/>
      </c>
      <c r="J1371" s="26" t="str">
        <f aca="false">IF(A1371="","",COUNTIFS(Apparitions!$G$2:$G$5001,A1371,Apparitions!$E$2:$E$5001,"○"))</f>
        <v/>
      </c>
      <c r="K1371" s="29" t="str">
        <f aca="false">IF(A1371="","",IFERROR(1/(1/_xlfn.MINIFS(Apparitions!$L$2:$L$5001,Apparitions!$G$2:$G$5001,A1371)),""))</f>
        <v/>
      </c>
      <c r="L1371" s="27" t="str">
        <f aca="false">IF(A1371="","",A1371&amp;" | "&amp;B1371&amp;IF(C1371="",""," ("&amp;C1371&amp;")")&amp;IF(D1371="",""," - "&amp;D1371))</f>
        <v/>
      </c>
    </row>
    <row r="1372" customFormat="false" ht="15" hidden="false" customHeight="false" outlineLevel="0" collapsed="false">
      <c r="A1372" s="32"/>
      <c r="B1372" s="19"/>
      <c r="C1372" s="19"/>
      <c r="D1372" s="19"/>
      <c r="E1372" s="21"/>
      <c r="F1372" s="19"/>
      <c r="G1372" s="27" t="str">
        <f aca="false">IF(B1372="","",IFERROR(INDEX(Jeux!$C$2:$C$3001,MATCH(B1372,Jeux!$A$2:$A$3001,0))&amp;"","⚠ jeu inconnu"))</f>
        <v/>
      </c>
      <c r="H1372" s="27" t="str">
        <f aca="false">IF(B1372="","",IFERROR(INDEX(Jeux!$D$2:$D$3001,MATCH(B1372,Jeux!$A$2:$A$3001,0))&amp;"",""))</f>
        <v/>
      </c>
      <c r="I1372" s="26" t="str">
        <f aca="false">IF(A1372="","",COUNTIF(Apparitions!$G$2:$G$5001,A1372))</f>
        <v/>
      </c>
      <c r="J1372" s="26" t="str">
        <f aca="false">IF(A1372="","",COUNTIFS(Apparitions!$G$2:$G$5001,A1372,Apparitions!$E$2:$E$5001,"○"))</f>
        <v/>
      </c>
      <c r="K1372" s="29" t="str">
        <f aca="false">IF(A1372="","",IFERROR(1/(1/_xlfn.MINIFS(Apparitions!$L$2:$L$5001,Apparitions!$G$2:$G$5001,A1372)),""))</f>
        <v/>
      </c>
      <c r="L1372" s="27" t="str">
        <f aca="false">IF(A1372="","",A1372&amp;" | "&amp;B1372&amp;IF(C1372="",""," ("&amp;C1372&amp;")")&amp;IF(D1372="",""," - "&amp;D1372))</f>
        <v/>
      </c>
    </row>
    <row r="1373" customFormat="false" ht="15" hidden="false" customHeight="false" outlineLevel="0" collapsed="false">
      <c r="A1373" s="32"/>
      <c r="B1373" s="19"/>
      <c r="C1373" s="19"/>
      <c r="D1373" s="19"/>
      <c r="E1373" s="21"/>
      <c r="F1373" s="19"/>
      <c r="G1373" s="27" t="str">
        <f aca="false">IF(B1373="","",IFERROR(INDEX(Jeux!$C$2:$C$3001,MATCH(B1373,Jeux!$A$2:$A$3001,0))&amp;"","⚠ jeu inconnu"))</f>
        <v/>
      </c>
      <c r="H1373" s="27" t="str">
        <f aca="false">IF(B1373="","",IFERROR(INDEX(Jeux!$D$2:$D$3001,MATCH(B1373,Jeux!$A$2:$A$3001,0))&amp;"",""))</f>
        <v/>
      </c>
      <c r="I1373" s="26" t="str">
        <f aca="false">IF(A1373="","",COUNTIF(Apparitions!$G$2:$G$5001,A1373))</f>
        <v/>
      </c>
      <c r="J1373" s="26" t="str">
        <f aca="false">IF(A1373="","",COUNTIFS(Apparitions!$G$2:$G$5001,A1373,Apparitions!$E$2:$E$5001,"○"))</f>
        <v/>
      </c>
      <c r="K1373" s="29" t="str">
        <f aca="false">IF(A1373="","",IFERROR(1/(1/_xlfn.MINIFS(Apparitions!$L$2:$L$5001,Apparitions!$G$2:$G$5001,A1373)),""))</f>
        <v/>
      </c>
      <c r="L1373" s="27" t="str">
        <f aca="false">IF(A1373="","",A1373&amp;" | "&amp;B1373&amp;IF(C1373="",""," ("&amp;C1373&amp;")")&amp;IF(D1373="",""," - "&amp;D1373))</f>
        <v/>
      </c>
    </row>
    <row r="1374" customFormat="false" ht="15" hidden="false" customHeight="false" outlineLevel="0" collapsed="false">
      <c r="A1374" s="32"/>
      <c r="B1374" s="19"/>
      <c r="C1374" s="19"/>
      <c r="D1374" s="19"/>
      <c r="E1374" s="21"/>
      <c r="F1374" s="19"/>
      <c r="G1374" s="27" t="str">
        <f aca="false">IF(B1374="","",IFERROR(INDEX(Jeux!$C$2:$C$3001,MATCH(B1374,Jeux!$A$2:$A$3001,0))&amp;"","⚠ jeu inconnu"))</f>
        <v/>
      </c>
      <c r="H1374" s="27" t="str">
        <f aca="false">IF(B1374="","",IFERROR(INDEX(Jeux!$D$2:$D$3001,MATCH(B1374,Jeux!$A$2:$A$3001,0))&amp;"",""))</f>
        <v/>
      </c>
      <c r="I1374" s="26" t="str">
        <f aca="false">IF(A1374="","",COUNTIF(Apparitions!$G$2:$G$5001,A1374))</f>
        <v/>
      </c>
      <c r="J1374" s="26" t="str">
        <f aca="false">IF(A1374="","",COUNTIFS(Apparitions!$G$2:$G$5001,A1374,Apparitions!$E$2:$E$5001,"○"))</f>
        <v/>
      </c>
      <c r="K1374" s="29" t="str">
        <f aca="false">IF(A1374="","",IFERROR(1/(1/_xlfn.MINIFS(Apparitions!$L$2:$L$5001,Apparitions!$G$2:$G$5001,A1374)),""))</f>
        <v/>
      </c>
      <c r="L1374" s="27" t="str">
        <f aca="false">IF(A1374="","",A1374&amp;" | "&amp;B1374&amp;IF(C1374="",""," ("&amp;C1374&amp;")")&amp;IF(D1374="",""," - "&amp;D1374))</f>
        <v/>
      </c>
    </row>
    <row r="1375" customFormat="false" ht="15" hidden="false" customHeight="false" outlineLevel="0" collapsed="false">
      <c r="A1375" s="32"/>
      <c r="B1375" s="19"/>
      <c r="C1375" s="19"/>
      <c r="D1375" s="19"/>
      <c r="E1375" s="21"/>
      <c r="F1375" s="19"/>
      <c r="G1375" s="27" t="str">
        <f aca="false">IF(B1375="","",IFERROR(INDEX(Jeux!$C$2:$C$3001,MATCH(B1375,Jeux!$A$2:$A$3001,0))&amp;"","⚠ jeu inconnu"))</f>
        <v/>
      </c>
      <c r="H1375" s="27" t="str">
        <f aca="false">IF(B1375="","",IFERROR(INDEX(Jeux!$D$2:$D$3001,MATCH(B1375,Jeux!$A$2:$A$3001,0))&amp;"",""))</f>
        <v/>
      </c>
      <c r="I1375" s="26" t="str">
        <f aca="false">IF(A1375="","",COUNTIF(Apparitions!$G$2:$G$5001,A1375))</f>
        <v/>
      </c>
      <c r="J1375" s="26" t="str">
        <f aca="false">IF(A1375="","",COUNTIFS(Apparitions!$G$2:$G$5001,A1375,Apparitions!$E$2:$E$5001,"○"))</f>
        <v/>
      </c>
      <c r="K1375" s="29" t="str">
        <f aca="false">IF(A1375="","",IFERROR(1/(1/_xlfn.MINIFS(Apparitions!$L$2:$L$5001,Apparitions!$G$2:$G$5001,A1375)),""))</f>
        <v/>
      </c>
      <c r="L1375" s="27" t="str">
        <f aca="false">IF(A1375="","",A1375&amp;" | "&amp;B1375&amp;IF(C1375="",""," ("&amp;C1375&amp;")")&amp;IF(D1375="",""," - "&amp;D1375))</f>
        <v/>
      </c>
    </row>
    <row r="1376" customFormat="false" ht="15" hidden="false" customHeight="false" outlineLevel="0" collapsed="false">
      <c r="A1376" s="32"/>
      <c r="B1376" s="19"/>
      <c r="C1376" s="19"/>
      <c r="D1376" s="19"/>
      <c r="E1376" s="21"/>
      <c r="F1376" s="19"/>
      <c r="G1376" s="27" t="str">
        <f aca="false">IF(B1376="","",IFERROR(INDEX(Jeux!$C$2:$C$3001,MATCH(B1376,Jeux!$A$2:$A$3001,0))&amp;"","⚠ jeu inconnu"))</f>
        <v/>
      </c>
      <c r="H1376" s="27" t="str">
        <f aca="false">IF(B1376="","",IFERROR(INDEX(Jeux!$D$2:$D$3001,MATCH(B1376,Jeux!$A$2:$A$3001,0))&amp;"",""))</f>
        <v/>
      </c>
      <c r="I1376" s="26" t="str">
        <f aca="false">IF(A1376="","",COUNTIF(Apparitions!$G$2:$G$5001,A1376))</f>
        <v/>
      </c>
      <c r="J1376" s="26" t="str">
        <f aca="false">IF(A1376="","",COUNTIFS(Apparitions!$G$2:$G$5001,A1376,Apparitions!$E$2:$E$5001,"○"))</f>
        <v/>
      </c>
      <c r="K1376" s="29" t="str">
        <f aca="false">IF(A1376="","",IFERROR(1/(1/_xlfn.MINIFS(Apparitions!$L$2:$L$5001,Apparitions!$G$2:$G$5001,A1376)),""))</f>
        <v/>
      </c>
      <c r="L1376" s="27" t="str">
        <f aca="false">IF(A1376="","",A1376&amp;" | "&amp;B1376&amp;IF(C1376="",""," ("&amp;C1376&amp;")")&amp;IF(D1376="",""," - "&amp;D1376))</f>
        <v/>
      </c>
    </row>
    <row r="1377" customFormat="false" ht="15" hidden="false" customHeight="false" outlineLevel="0" collapsed="false">
      <c r="A1377" s="32"/>
      <c r="B1377" s="19"/>
      <c r="C1377" s="19"/>
      <c r="D1377" s="19"/>
      <c r="E1377" s="21"/>
      <c r="F1377" s="19"/>
      <c r="G1377" s="27" t="str">
        <f aca="false">IF(B1377="","",IFERROR(INDEX(Jeux!$C$2:$C$3001,MATCH(B1377,Jeux!$A$2:$A$3001,0))&amp;"","⚠ jeu inconnu"))</f>
        <v/>
      </c>
      <c r="H1377" s="27" t="str">
        <f aca="false">IF(B1377="","",IFERROR(INDEX(Jeux!$D$2:$D$3001,MATCH(B1377,Jeux!$A$2:$A$3001,0))&amp;"",""))</f>
        <v/>
      </c>
      <c r="I1377" s="26" t="str">
        <f aca="false">IF(A1377="","",COUNTIF(Apparitions!$G$2:$G$5001,A1377))</f>
        <v/>
      </c>
      <c r="J1377" s="26" t="str">
        <f aca="false">IF(A1377="","",COUNTIFS(Apparitions!$G$2:$G$5001,A1377,Apparitions!$E$2:$E$5001,"○"))</f>
        <v/>
      </c>
      <c r="K1377" s="29" t="str">
        <f aca="false">IF(A1377="","",IFERROR(1/(1/_xlfn.MINIFS(Apparitions!$L$2:$L$5001,Apparitions!$G$2:$G$5001,A1377)),""))</f>
        <v/>
      </c>
      <c r="L1377" s="27" t="str">
        <f aca="false">IF(A1377="","",A1377&amp;" | "&amp;B1377&amp;IF(C1377="",""," ("&amp;C1377&amp;")")&amp;IF(D1377="",""," - "&amp;D1377))</f>
        <v/>
      </c>
    </row>
    <row r="1378" customFormat="false" ht="15" hidden="false" customHeight="false" outlineLevel="0" collapsed="false">
      <c r="A1378" s="32"/>
      <c r="B1378" s="19"/>
      <c r="C1378" s="19"/>
      <c r="D1378" s="19"/>
      <c r="E1378" s="21"/>
      <c r="F1378" s="19"/>
      <c r="G1378" s="27" t="str">
        <f aca="false">IF(B1378="","",IFERROR(INDEX(Jeux!$C$2:$C$3001,MATCH(B1378,Jeux!$A$2:$A$3001,0))&amp;"","⚠ jeu inconnu"))</f>
        <v/>
      </c>
      <c r="H1378" s="27" t="str">
        <f aca="false">IF(B1378="","",IFERROR(INDEX(Jeux!$D$2:$D$3001,MATCH(B1378,Jeux!$A$2:$A$3001,0))&amp;"",""))</f>
        <v/>
      </c>
      <c r="I1378" s="26" t="str">
        <f aca="false">IF(A1378="","",COUNTIF(Apparitions!$G$2:$G$5001,A1378))</f>
        <v/>
      </c>
      <c r="J1378" s="26" t="str">
        <f aca="false">IF(A1378="","",COUNTIFS(Apparitions!$G$2:$G$5001,A1378,Apparitions!$E$2:$E$5001,"○"))</f>
        <v/>
      </c>
      <c r="K1378" s="29" t="str">
        <f aca="false">IF(A1378="","",IFERROR(1/(1/_xlfn.MINIFS(Apparitions!$L$2:$L$5001,Apparitions!$G$2:$G$5001,A1378)),""))</f>
        <v/>
      </c>
      <c r="L1378" s="27" t="str">
        <f aca="false">IF(A1378="","",A1378&amp;" | "&amp;B1378&amp;IF(C1378="",""," ("&amp;C1378&amp;")")&amp;IF(D1378="",""," - "&amp;D1378))</f>
        <v/>
      </c>
    </row>
    <row r="1379" customFormat="false" ht="15" hidden="false" customHeight="false" outlineLevel="0" collapsed="false">
      <c r="A1379" s="32"/>
      <c r="B1379" s="19"/>
      <c r="C1379" s="19"/>
      <c r="D1379" s="19"/>
      <c r="E1379" s="21"/>
      <c r="F1379" s="19"/>
      <c r="G1379" s="27" t="str">
        <f aca="false">IF(B1379="","",IFERROR(INDEX(Jeux!$C$2:$C$3001,MATCH(B1379,Jeux!$A$2:$A$3001,0))&amp;"","⚠ jeu inconnu"))</f>
        <v/>
      </c>
      <c r="H1379" s="27" t="str">
        <f aca="false">IF(B1379="","",IFERROR(INDEX(Jeux!$D$2:$D$3001,MATCH(B1379,Jeux!$A$2:$A$3001,0))&amp;"",""))</f>
        <v/>
      </c>
      <c r="I1379" s="26" t="str">
        <f aca="false">IF(A1379="","",COUNTIF(Apparitions!$G$2:$G$5001,A1379))</f>
        <v/>
      </c>
      <c r="J1379" s="26" t="str">
        <f aca="false">IF(A1379="","",COUNTIFS(Apparitions!$G$2:$G$5001,A1379,Apparitions!$E$2:$E$5001,"○"))</f>
        <v/>
      </c>
      <c r="K1379" s="29" t="str">
        <f aca="false">IF(A1379="","",IFERROR(1/(1/_xlfn.MINIFS(Apparitions!$L$2:$L$5001,Apparitions!$G$2:$G$5001,A1379)),""))</f>
        <v/>
      </c>
      <c r="L1379" s="27" t="str">
        <f aca="false">IF(A1379="","",A1379&amp;" | "&amp;B1379&amp;IF(C1379="",""," ("&amp;C1379&amp;")")&amp;IF(D1379="",""," - "&amp;D1379))</f>
        <v/>
      </c>
    </row>
    <row r="1380" customFormat="false" ht="15" hidden="false" customHeight="false" outlineLevel="0" collapsed="false">
      <c r="A1380" s="32"/>
      <c r="B1380" s="19"/>
      <c r="C1380" s="19"/>
      <c r="D1380" s="19"/>
      <c r="E1380" s="21"/>
      <c r="F1380" s="19"/>
      <c r="G1380" s="27" t="str">
        <f aca="false">IF(B1380="","",IFERROR(INDEX(Jeux!$C$2:$C$3001,MATCH(B1380,Jeux!$A$2:$A$3001,0))&amp;"","⚠ jeu inconnu"))</f>
        <v/>
      </c>
      <c r="H1380" s="27" t="str">
        <f aca="false">IF(B1380="","",IFERROR(INDEX(Jeux!$D$2:$D$3001,MATCH(B1380,Jeux!$A$2:$A$3001,0))&amp;"",""))</f>
        <v/>
      </c>
      <c r="I1380" s="26" t="str">
        <f aca="false">IF(A1380="","",COUNTIF(Apparitions!$G$2:$G$5001,A1380))</f>
        <v/>
      </c>
      <c r="J1380" s="26" t="str">
        <f aca="false">IF(A1380="","",COUNTIFS(Apparitions!$G$2:$G$5001,A1380,Apparitions!$E$2:$E$5001,"○"))</f>
        <v/>
      </c>
      <c r="K1380" s="29" t="str">
        <f aca="false">IF(A1380="","",IFERROR(1/(1/_xlfn.MINIFS(Apparitions!$L$2:$L$5001,Apparitions!$G$2:$G$5001,A1380)),""))</f>
        <v/>
      </c>
      <c r="L1380" s="27" t="str">
        <f aca="false">IF(A1380="","",A1380&amp;" | "&amp;B1380&amp;IF(C1380="",""," ("&amp;C1380&amp;")")&amp;IF(D1380="",""," - "&amp;D1380))</f>
        <v/>
      </c>
    </row>
    <row r="1381" customFormat="false" ht="15" hidden="false" customHeight="false" outlineLevel="0" collapsed="false">
      <c r="A1381" s="32"/>
      <c r="B1381" s="19"/>
      <c r="C1381" s="19"/>
      <c r="D1381" s="19"/>
      <c r="E1381" s="21"/>
      <c r="F1381" s="19"/>
      <c r="G1381" s="27" t="str">
        <f aca="false">IF(B1381="","",IFERROR(INDEX(Jeux!$C$2:$C$3001,MATCH(B1381,Jeux!$A$2:$A$3001,0))&amp;"","⚠ jeu inconnu"))</f>
        <v/>
      </c>
      <c r="H1381" s="27" t="str">
        <f aca="false">IF(B1381="","",IFERROR(INDEX(Jeux!$D$2:$D$3001,MATCH(B1381,Jeux!$A$2:$A$3001,0))&amp;"",""))</f>
        <v/>
      </c>
      <c r="I1381" s="26" t="str">
        <f aca="false">IF(A1381="","",COUNTIF(Apparitions!$G$2:$G$5001,A1381))</f>
        <v/>
      </c>
      <c r="J1381" s="26" t="str">
        <f aca="false">IF(A1381="","",COUNTIFS(Apparitions!$G$2:$G$5001,A1381,Apparitions!$E$2:$E$5001,"○"))</f>
        <v/>
      </c>
      <c r="K1381" s="29" t="str">
        <f aca="false">IF(A1381="","",IFERROR(1/(1/_xlfn.MINIFS(Apparitions!$L$2:$L$5001,Apparitions!$G$2:$G$5001,A1381)),""))</f>
        <v/>
      </c>
      <c r="L1381" s="27" t="str">
        <f aca="false">IF(A1381="","",A1381&amp;" | "&amp;B1381&amp;IF(C1381="",""," ("&amp;C1381&amp;")")&amp;IF(D1381="",""," - "&amp;D1381))</f>
        <v/>
      </c>
    </row>
    <row r="1382" customFormat="false" ht="15" hidden="false" customHeight="false" outlineLevel="0" collapsed="false">
      <c r="A1382" s="32"/>
      <c r="B1382" s="19"/>
      <c r="C1382" s="19"/>
      <c r="D1382" s="19"/>
      <c r="E1382" s="21"/>
      <c r="F1382" s="19"/>
      <c r="G1382" s="27" t="str">
        <f aca="false">IF(B1382="","",IFERROR(INDEX(Jeux!$C$2:$C$3001,MATCH(B1382,Jeux!$A$2:$A$3001,0))&amp;"","⚠ jeu inconnu"))</f>
        <v/>
      </c>
      <c r="H1382" s="27" t="str">
        <f aca="false">IF(B1382="","",IFERROR(INDEX(Jeux!$D$2:$D$3001,MATCH(B1382,Jeux!$A$2:$A$3001,0))&amp;"",""))</f>
        <v/>
      </c>
      <c r="I1382" s="26" t="str">
        <f aca="false">IF(A1382="","",COUNTIF(Apparitions!$G$2:$G$5001,A1382))</f>
        <v/>
      </c>
      <c r="J1382" s="26" t="str">
        <f aca="false">IF(A1382="","",COUNTIFS(Apparitions!$G$2:$G$5001,A1382,Apparitions!$E$2:$E$5001,"○"))</f>
        <v/>
      </c>
      <c r="K1382" s="29" t="str">
        <f aca="false">IF(A1382="","",IFERROR(1/(1/_xlfn.MINIFS(Apparitions!$L$2:$L$5001,Apparitions!$G$2:$G$5001,A1382)),""))</f>
        <v/>
      </c>
      <c r="L1382" s="27" t="str">
        <f aca="false">IF(A1382="","",A1382&amp;" | "&amp;B1382&amp;IF(C1382="",""," ("&amp;C1382&amp;")")&amp;IF(D1382="",""," - "&amp;D1382))</f>
        <v/>
      </c>
    </row>
    <row r="1383" customFormat="false" ht="15" hidden="false" customHeight="false" outlineLevel="0" collapsed="false">
      <c r="A1383" s="32"/>
      <c r="B1383" s="19"/>
      <c r="C1383" s="19"/>
      <c r="D1383" s="19"/>
      <c r="E1383" s="21"/>
      <c r="F1383" s="19"/>
      <c r="G1383" s="27" t="str">
        <f aca="false">IF(B1383="","",IFERROR(INDEX(Jeux!$C$2:$C$3001,MATCH(B1383,Jeux!$A$2:$A$3001,0))&amp;"","⚠ jeu inconnu"))</f>
        <v/>
      </c>
      <c r="H1383" s="27" t="str">
        <f aca="false">IF(B1383="","",IFERROR(INDEX(Jeux!$D$2:$D$3001,MATCH(B1383,Jeux!$A$2:$A$3001,0))&amp;"",""))</f>
        <v/>
      </c>
      <c r="I1383" s="26" t="str">
        <f aca="false">IF(A1383="","",COUNTIF(Apparitions!$G$2:$G$5001,A1383))</f>
        <v/>
      </c>
      <c r="J1383" s="26" t="str">
        <f aca="false">IF(A1383="","",COUNTIFS(Apparitions!$G$2:$G$5001,A1383,Apparitions!$E$2:$E$5001,"○"))</f>
        <v/>
      </c>
      <c r="K1383" s="29" t="str">
        <f aca="false">IF(A1383="","",IFERROR(1/(1/_xlfn.MINIFS(Apparitions!$L$2:$L$5001,Apparitions!$G$2:$G$5001,A1383)),""))</f>
        <v/>
      </c>
      <c r="L1383" s="27" t="str">
        <f aca="false">IF(A1383="","",A1383&amp;" | "&amp;B1383&amp;IF(C1383="",""," ("&amp;C1383&amp;")")&amp;IF(D1383="",""," - "&amp;D1383))</f>
        <v/>
      </c>
    </row>
    <row r="1384" customFormat="false" ht="15" hidden="false" customHeight="false" outlineLevel="0" collapsed="false">
      <c r="A1384" s="32"/>
      <c r="B1384" s="19"/>
      <c r="C1384" s="19"/>
      <c r="D1384" s="19"/>
      <c r="E1384" s="21"/>
      <c r="F1384" s="19"/>
      <c r="G1384" s="27" t="str">
        <f aca="false">IF(B1384="","",IFERROR(INDEX(Jeux!$C$2:$C$3001,MATCH(B1384,Jeux!$A$2:$A$3001,0))&amp;"","⚠ jeu inconnu"))</f>
        <v/>
      </c>
      <c r="H1384" s="27" t="str">
        <f aca="false">IF(B1384="","",IFERROR(INDEX(Jeux!$D$2:$D$3001,MATCH(B1384,Jeux!$A$2:$A$3001,0))&amp;"",""))</f>
        <v/>
      </c>
      <c r="I1384" s="26" t="str">
        <f aca="false">IF(A1384="","",COUNTIF(Apparitions!$G$2:$G$5001,A1384))</f>
        <v/>
      </c>
      <c r="J1384" s="26" t="str">
        <f aca="false">IF(A1384="","",COUNTIFS(Apparitions!$G$2:$G$5001,A1384,Apparitions!$E$2:$E$5001,"○"))</f>
        <v/>
      </c>
      <c r="K1384" s="29" t="str">
        <f aca="false">IF(A1384="","",IFERROR(1/(1/_xlfn.MINIFS(Apparitions!$L$2:$L$5001,Apparitions!$G$2:$G$5001,A1384)),""))</f>
        <v/>
      </c>
      <c r="L1384" s="27" t="str">
        <f aca="false">IF(A1384="","",A1384&amp;" | "&amp;B1384&amp;IF(C1384="",""," ("&amp;C1384&amp;")")&amp;IF(D1384="",""," - "&amp;D1384))</f>
        <v/>
      </c>
    </row>
    <row r="1385" customFormat="false" ht="15" hidden="false" customHeight="false" outlineLevel="0" collapsed="false">
      <c r="A1385" s="32"/>
      <c r="B1385" s="19"/>
      <c r="C1385" s="19"/>
      <c r="D1385" s="19"/>
      <c r="E1385" s="21"/>
      <c r="F1385" s="19"/>
      <c r="G1385" s="27" t="str">
        <f aca="false">IF(B1385="","",IFERROR(INDEX(Jeux!$C$2:$C$3001,MATCH(B1385,Jeux!$A$2:$A$3001,0))&amp;"","⚠ jeu inconnu"))</f>
        <v/>
      </c>
      <c r="H1385" s="27" t="str">
        <f aca="false">IF(B1385="","",IFERROR(INDEX(Jeux!$D$2:$D$3001,MATCH(B1385,Jeux!$A$2:$A$3001,0))&amp;"",""))</f>
        <v/>
      </c>
      <c r="I1385" s="26" t="str">
        <f aca="false">IF(A1385="","",COUNTIF(Apparitions!$G$2:$G$5001,A1385))</f>
        <v/>
      </c>
      <c r="J1385" s="26" t="str">
        <f aca="false">IF(A1385="","",COUNTIFS(Apparitions!$G$2:$G$5001,A1385,Apparitions!$E$2:$E$5001,"○"))</f>
        <v/>
      </c>
      <c r="K1385" s="29" t="str">
        <f aca="false">IF(A1385="","",IFERROR(1/(1/_xlfn.MINIFS(Apparitions!$L$2:$L$5001,Apparitions!$G$2:$G$5001,A1385)),""))</f>
        <v/>
      </c>
      <c r="L1385" s="27" t="str">
        <f aca="false">IF(A1385="","",A1385&amp;" | "&amp;B1385&amp;IF(C1385="",""," ("&amp;C1385&amp;")")&amp;IF(D1385="",""," - "&amp;D1385))</f>
        <v/>
      </c>
    </row>
    <row r="1386" customFormat="false" ht="15" hidden="false" customHeight="false" outlineLevel="0" collapsed="false">
      <c r="A1386" s="32"/>
      <c r="B1386" s="19"/>
      <c r="C1386" s="19"/>
      <c r="D1386" s="19"/>
      <c r="E1386" s="21"/>
      <c r="F1386" s="19"/>
      <c r="G1386" s="27" t="str">
        <f aca="false">IF(B1386="","",IFERROR(INDEX(Jeux!$C$2:$C$3001,MATCH(B1386,Jeux!$A$2:$A$3001,0))&amp;"","⚠ jeu inconnu"))</f>
        <v/>
      </c>
      <c r="H1386" s="27" t="str">
        <f aca="false">IF(B1386="","",IFERROR(INDEX(Jeux!$D$2:$D$3001,MATCH(B1386,Jeux!$A$2:$A$3001,0))&amp;"",""))</f>
        <v/>
      </c>
      <c r="I1386" s="26" t="str">
        <f aca="false">IF(A1386="","",COUNTIF(Apparitions!$G$2:$G$5001,A1386))</f>
        <v/>
      </c>
      <c r="J1386" s="26" t="str">
        <f aca="false">IF(A1386="","",COUNTIFS(Apparitions!$G$2:$G$5001,A1386,Apparitions!$E$2:$E$5001,"○"))</f>
        <v/>
      </c>
      <c r="K1386" s="29" t="str">
        <f aca="false">IF(A1386="","",IFERROR(1/(1/_xlfn.MINIFS(Apparitions!$L$2:$L$5001,Apparitions!$G$2:$G$5001,A1386)),""))</f>
        <v/>
      </c>
      <c r="L1386" s="27" t="str">
        <f aca="false">IF(A1386="","",A1386&amp;" | "&amp;B1386&amp;IF(C1386="",""," ("&amp;C1386&amp;")")&amp;IF(D1386="",""," - "&amp;D1386))</f>
        <v/>
      </c>
    </row>
    <row r="1387" customFormat="false" ht="15" hidden="false" customHeight="false" outlineLevel="0" collapsed="false">
      <c r="A1387" s="32"/>
      <c r="B1387" s="19"/>
      <c r="C1387" s="19"/>
      <c r="D1387" s="19"/>
      <c r="E1387" s="21"/>
      <c r="F1387" s="19"/>
      <c r="G1387" s="27" t="str">
        <f aca="false">IF(B1387="","",IFERROR(INDEX(Jeux!$C$2:$C$3001,MATCH(B1387,Jeux!$A$2:$A$3001,0))&amp;"","⚠ jeu inconnu"))</f>
        <v/>
      </c>
      <c r="H1387" s="27" t="str">
        <f aca="false">IF(B1387="","",IFERROR(INDEX(Jeux!$D$2:$D$3001,MATCH(B1387,Jeux!$A$2:$A$3001,0))&amp;"",""))</f>
        <v/>
      </c>
      <c r="I1387" s="26" t="str">
        <f aca="false">IF(A1387="","",COUNTIF(Apparitions!$G$2:$G$5001,A1387))</f>
        <v/>
      </c>
      <c r="J1387" s="26" t="str">
        <f aca="false">IF(A1387="","",COUNTIFS(Apparitions!$G$2:$G$5001,A1387,Apparitions!$E$2:$E$5001,"○"))</f>
        <v/>
      </c>
      <c r="K1387" s="29" t="str">
        <f aca="false">IF(A1387="","",IFERROR(1/(1/_xlfn.MINIFS(Apparitions!$L$2:$L$5001,Apparitions!$G$2:$G$5001,A1387)),""))</f>
        <v/>
      </c>
      <c r="L1387" s="27" t="str">
        <f aca="false">IF(A1387="","",A1387&amp;" | "&amp;B1387&amp;IF(C1387="",""," ("&amp;C1387&amp;")")&amp;IF(D1387="",""," - "&amp;D1387))</f>
        <v/>
      </c>
    </row>
    <row r="1388" customFormat="false" ht="15" hidden="false" customHeight="false" outlineLevel="0" collapsed="false">
      <c r="A1388" s="32"/>
      <c r="B1388" s="19"/>
      <c r="C1388" s="19"/>
      <c r="D1388" s="19"/>
      <c r="E1388" s="21"/>
      <c r="F1388" s="19"/>
      <c r="G1388" s="27" t="str">
        <f aca="false">IF(B1388="","",IFERROR(INDEX(Jeux!$C$2:$C$3001,MATCH(B1388,Jeux!$A$2:$A$3001,0))&amp;"","⚠ jeu inconnu"))</f>
        <v/>
      </c>
      <c r="H1388" s="27" t="str">
        <f aca="false">IF(B1388="","",IFERROR(INDEX(Jeux!$D$2:$D$3001,MATCH(B1388,Jeux!$A$2:$A$3001,0))&amp;"",""))</f>
        <v/>
      </c>
      <c r="I1388" s="26" t="str">
        <f aca="false">IF(A1388="","",COUNTIF(Apparitions!$G$2:$G$5001,A1388))</f>
        <v/>
      </c>
      <c r="J1388" s="26" t="str">
        <f aca="false">IF(A1388="","",COUNTIFS(Apparitions!$G$2:$G$5001,A1388,Apparitions!$E$2:$E$5001,"○"))</f>
        <v/>
      </c>
      <c r="K1388" s="29" t="str">
        <f aca="false">IF(A1388="","",IFERROR(1/(1/_xlfn.MINIFS(Apparitions!$L$2:$L$5001,Apparitions!$G$2:$G$5001,A1388)),""))</f>
        <v/>
      </c>
      <c r="L1388" s="27" t="str">
        <f aca="false">IF(A1388="","",A1388&amp;" | "&amp;B1388&amp;IF(C1388="",""," ("&amp;C1388&amp;")")&amp;IF(D1388="",""," - "&amp;D1388))</f>
        <v/>
      </c>
    </row>
    <row r="1389" customFormat="false" ht="15" hidden="false" customHeight="false" outlineLevel="0" collapsed="false">
      <c r="A1389" s="32"/>
      <c r="B1389" s="19"/>
      <c r="C1389" s="19"/>
      <c r="D1389" s="19"/>
      <c r="E1389" s="21"/>
      <c r="F1389" s="19"/>
      <c r="G1389" s="27" t="str">
        <f aca="false">IF(B1389="","",IFERROR(INDEX(Jeux!$C$2:$C$3001,MATCH(B1389,Jeux!$A$2:$A$3001,0))&amp;"","⚠ jeu inconnu"))</f>
        <v/>
      </c>
      <c r="H1389" s="27" t="str">
        <f aca="false">IF(B1389="","",IFERROR(INDEX(Jeux!$D$2:$D$3001,MATCH(B1389,Jeux!$A$2:$A$3001,0))&amp;"",""))</f>
        <v/>
      </c>
      <c r="I1389" s="26" t="str">
        <f aca="false">IF(A1389="","",COUNTIF(Apparitions!$G$2:$G$5001,A1389))</f>
        <v/>
      </c>
      <c r="J1389" s="26" t="str">
        <f aca="false">IF(A1389="","",COUNTIFS(Apparitions!$G$2:$G$5001,A1389,Apparitions!$E$2:$E$5001,"○"))</f>
        <v/>
      </c>
      <c r="K1389" s="29" t="str">
        <f aca="false">IF(A1389="","",IFERROR(1/(1/_xlfn.MINIFS(Apparitions!$L$2:$L$5001,Apparitions!$G$2:$G$5001,A1389)),""))</f>
        <v/>
      </c>
      <c r="L1389" s="27" t="str">
        <f aca="false">IF(A1389="","",A1389&amp;" | "&amp;B1389&amp;IF(C1389="",""," ("&amp;C1389&amp;")")&amp;IF(D1389="",""," - "&amp;D1389))</f>
        <v/>
      </c>
    </row>
    <row r="1390" customFormat="false" ht="15" hidden="false" customHeight="false" outlineLevel="0" collapsed="false">
      <c r="A1390" s="32"/>
      <c r="B1390" s="19"/>
      <c r="C1390" s="19"/>
      <c r="D1390" s="19"/>
      <c r="E1390" s="21"/>
      <c r="F1390" s="19"/>
      <c r="G1390" s="27" t="str">
        <f aca="false">IF(B1390="","",IFERROR(INDEX(Jeux!$C$2:$C$3001,MATCH(B1390,Jeux!$A$2:$A$3001,0))&amp;"","⚠ jeu inconnu"))</f>
        <v/>
      </c>
      <c r="H1390" s="27" t="str">
        <f aca="false">IF(B1390="","",IFERROR(INDEX(Jeux!$D$2:$D$3001,MATCH(B1390,Jeux!$A$2:$A$3001,0))&amp;"",""))</f>
        <v/>
      </c>
      <c r="I1390" s="26" t="str">
        <f aca="false">IF(A1390="","",COUNTIF(Apparitions!$G$2:$G$5001,A1390))</f>
        <v/>
      </c>
      <c r="J1390" s="26" t="str">
        <f aca="false">IF(A1390="","",COUNTIFS(Apparitions!$G$2:$G$5001,A1390,Apparitions!$E$2:$E$5001,"○"))</f>
        <v/>
      </c>
      <c r="K1390" s="29" t="str">
        <f aca="false">IF(A1390="","",IFERROR(1/(1/_xlfn.MINIFS(Apparitions!$L$2:$L$5001,Apparitions!$G$2:$G$5001,A1390)),""))</f>
        <v/>
      </c>
      <c r="L1390" s="27" t="str">
        <f aca="false">IF(A1390="","",A1390&amp;" | "&amp;B1390&amp;IF(C1390="",""," ("&amp;C1390&amp;")")&amp;IF(D1390="",""," - "&amp;D1390))</f>
        <v/>
      </c>
    </row>
    <row r="1391" customFormat="false" ht="15" hidden="false" customHeight="false" outlineLevel="0" collapsed="false">
      <c r="A1391" s="32"/>
      <c r="B1391" s="19"/>
      <c r="C1391" s="19"/>
      <c r="D1391" s="19"/>
      <c r="E1391" s="21"/>
      <c r="F1391" s="19"/>
      <c r="G1391" s="27" t="str">
        <f aca="false">IF(B1391="","",IFERROR(INDEX(Jeux!$C$2:$C$3001,MATCH(B1391,Jeux!$A$2:$A$3001,0))&amp;"","⚠ jeu inconnu"))</f>
        <v/>
      </c>
      <c r="H1391" s="27" t="str">
        <f aca="false">IF(B1391="","",IFERROR(INDEX(Jeux!$D$2:$D$3001,MATCH(B1391,Jeux!$A$2:$A$3001,0))&amp;"",""))</f>
        <v/>
      </c>
      <c r="I1391" s="26" t="str">
        <f aca="false">IF(A1391="","",COUNTIF(Apparitions!$G$2:$G$5001,A1391))</f>
        <v/>
      </c>
      <c r="J1391" s="26" t="str">
        <f aca="false">IF(A1391="","",COUNTIFS(Apparitions!$G$2:$G$5001,A1391,Apparitions!$E$2:$E$5001,"○"))</f>
        <v/>
      </c>
      <c r="K1391" s="29" t="str">
        <f aca="false">IF(A1391="","",IFERROR(1/(1/_xlfn.MINIFS(Apparitions!$L$2:$L$5001,Apparitions!$G$2:$G$5001,A1391)),""))</f>
        <v/>
      </c>
      <c r="L1391" s="27" t="str">
        <f aca="false">IF(A1391="","",A1391&amp;" | "&amp;B1391&amp;IF(C1391="",""," ("&amp;C1391&amp;")")&amp;IF(D1391="",""," - "&amp;D1391))</f>
        <v/>
      </c>
    </row>
    <row r="1392" customFormat="false" ht="15" hidden="false" customHeight="false" outlineLevel="0" collapsed="false">
      <c r="A1392" s="32"/>
      <c r="B1392" s="19"/>
      <c r="C1392" s="19"/>
      <c r="D1392" s="19"/>
      <c r="E1392" s="21"/>
      <c r="F1392" s="19"/>
      <c r="G1392" s="27" t="str">
        <f aca="false">IF(B1392="","",IFERROR(INDEX(Jeux!$C$2:$C$3001,MATCH(B1392,Jeux!$A$2:$A$3001,0))&amp;"","⚠ jeu inconnu"))</f>
        <v/>
      </c>
      <c r="H1392" s="27" t="str">
        <f aca="false">IF(B1392="","",IFERROR(INDEX(Jeux!$D$2:$D$3001,MATCH(B1392,Jeux!$A$2:$A$3001,0))&amp;"",""))</f>
        <v/>
      </c>
      <c r="I1392" s="26" t="str">
        <f aca="false">IF(A1392="","",COUNTIF(Apparitions!$G$2:$G$5001,A1392))</f>
        <v/>
      </c>
      <c r="J1392" s="26" t="str">
        <f aca="false">IF(A1392="","",COUNTIFS(Apparitions!$G$2:$G$5001,A1392,Apparitions!$E$2:$E$5001,"○"))</f>
        <v/>
      </c>
      <c r="K1392" s="29" t="str">
        <f aca="false">IF(A1392="","",IFERROR(1/(1/_xlfn.MINIFS(Apparitions!$L$2:$L$5001,Apparitions!$G$2:$G$5001,A1392)),""))</f>
        <v/>
      </c>
      <c r="L1392" s="27" t="str">
        <f aca="false">IF(A1392="","",A1392&amp;" | "&amp;B1392&amp;IF(C1392="",""," ("&amp;C1392&amp;")")&amp;IF(D1392="",""," - "&amp;D1392))</f>
        <v/>
      </c>
    </row>
    <row r="1393" customFormat="false" ht="15" hidden="false" customHeight="false" outlineLevel="0" collapsed="false">
      <c r="A1393" s="32"/>
      <c r="B1393" s="19"/>
      <c r="C1393" s="19"/>
      <c r="D1393" s="19"/>
      <c r="E1393" s="21"/>
      <c r="F1393" s="19"/>
      <c r="G1393" s="27" t="str">
        <f aca="false">IF(B1393="","",IFERROR(INDEX(Jeux!$C$2:$C$3001,MATCH(B1393,Jeux!$A$2:$A$3001,0))&amp;"","⚠ jeu inconnu"))</f>
        <v/>
      </c>
      <c r="H1393" s="27" t="str">
        <f aca="false">IF(B1393="","",IFERROR(INDEX(Jeux!$D$2:$D$3001,MATCH(B1393,Jeux!$A$2:$A$3001,0))&amp;"",""))</f>
        <v/>
      </c>
      <c r="I1393" s="26" t="str">
        <f aca="false">IF(A1393="","",COUNTIF(Apparitions!$G$2:$G$5001,A1393))</f>
        <v/>
      </c>
      <c r="J1393" s="26" t="str">
        <f aca="false">IF(A1393="","",COUNTIFS(Apparitions!$G$2:$G$5001,A1393,Apparitions!$E$2:$E$5001,"○"))</f>
        <v/>
      </c>
      <c r="K1393" s="29" t="str">
        <f aca="false">IF(A1393="","",IFERROR(1/(1/_xlfn.MINIFS(Apparitions!$L$2:$L$5001,Apparitions!$G$2:$G$5001,A1393)),""))</f>
        <v/>
      </c>
      <c r="L1393" s="27" t="str">
        <f aca="false">IF(A1393="","",A1393&amp;" | "&amp;B1393&amp;IF(C1393="",""," ("&amp;C1393&amp;")")&amp;IF(D1393="",""," - "&amp;D1393))</f>
        <v/>
      </c>
    </row>
    <row r="1394" customFormat="false" ht="15" hidden="false" customHeight="false" outlineLevel="0" collapsed="false">
      <c r="A1394" s="32"/>
      <c r="B1394" s="19"/>
      <c r="C1394" s="19"/>
      <c r="D1394" s="19"/>
      <c r="E1394" s="21"/>
      <c r="F1394" s="19"/>
      <c r="G1394" s="27" t="str">
        <f aca="false">IF(B1394="","",IFERROR(INDEX(Jeux!$C$2:$C$3001,MATCH(B1394,Jeux!$A$2:$A$3001,0))&amp;"","⚠ jeu inconnu"))</f>
        <v/>
      </c>
      <c r="H1394" s="27" t="str">
        <f aca="false">IF(B1394="","",IFERROR(INDEX(Jeux!$D$2:$D$3001,MATCH(B1394,Jeux!$A$2:$A$3001,0))&amp;"",""))</f>
        <v/>
      </c>
      <c r="I1394" s="26" t="str">
        <f aca="false">IF(A1394="","",COUNTIF(Apparitions!$G$2:$G$5001,A1394))</f>
        <v/>
      </c>
      <c r="J1394" s="26" t="str">
        <f aca="false">IF(A1394="","",COUNTIFS(Apparitions!$G$2:$G$5001,A1394,Apparitions!$E$2:$E$5001,"○"))</f>
        <v/>
      </c>
      <c r="K1394" s="29" t="str">
        <f aca="false">IF(A1394="","",IFERROR(1/(1/_xlfn.MINIFS(Apparitions!$L$2:$L$5001,Apparitions!$G$2:$G$5001,A1394)),""))</f>
        <v/>
      </c>
      <c r="L1394" s="27" t="str">
        <f aca="false">IF(A1394="","",A1394&amp;" | "&amp;B1394&amp;IF(C1394="",""," ("&amp;C1394&amp;")")&amp;IF(D1394="",""," - "&amp;D1394))</f>
        <v/>
      </c>
    </row>
    <row r="1395" customFormat="false" ht="15" hidden="false" customHeight="false" outlineLevel="0" collapsed="false">
      <c r="A1395" s="32"/>
      <c r="B1395" s="19"/>
      <c r="C1395" s="19"/>
      <c r="D1395" s="19"/>
      <c r="E1395" s="21"/>
      <c r="F1395" s="19"/>
      <c r="G1395" s="27" t="str">
        <f aca="false">IF(B1395="","",IFERROR(INDEX(Jeux!$C$2:$C$3001,MATCH(B1395,Jeux!$A$2:$A$3001,0))&amp;"","⚠ jeu inconnu"))</f>
        <v/>
      </c>
      <c r="H1395" s="27" t="str">
        <f aca="false">IF(B1395="","",IFERROR(INDEX(Jeux!$D$2:$D$3001,MATCH(B1395,Jeux!$A$2:$A$3001,0))&amp;"",""))</f>
        <v/>
      </c>
      <c r="I1395" s="26" t="str">
        <f aca="false">IF(A1395="","",COUNTIF(Apparitions!$G$2:$G$5001,A1395))</f>
        <v/>
      </c>
      <c r="J1395" s="26" t="str">
        <f aca="false">IF(A1395="","",COUNTIFS(Apparitions!$G$2:$G$5001,A1395,Apparitions!$E$2:$E$5001,"○"))</f>
        <v/>
      </c>
      <c r="K1395" s="29" t="str">
        <f aca="false">IF(A1395="","",IFERROR(1/(1/_xlfn.MINIFS(Apparitions!$L$2:$L$5001,Apparitions!$G$2:$G$5001,A1395)),""))</f>
        <v/>
      </c>
      <c r="L1395" s="27" t="str">
        <f aca="false">IF(A1395="","",A1395&amp;" | "&amp;B1395&amp;IF(C1395="",""," ("&amp;C1395&amp;")")&amp;IF(D1395="",""," - "&amp;D1395))</f>
        <v/>
      </c>
    </row>
    <row r="1396" customFormat="false" ht="15" hidden="false" customHeight="false" outlineLevel="0" collapsed="false">
      <c r="A1396" s="32"/>
      <c r="B1396" s="19"/>
      <c r="C1396" s="19"/>
      <c r="D1396" s="19"/>
      <c r="E1396" s="21"/>
      <c r="F1396" s="19"/>
      <c r="G1396" s="27" t="str">
        <f aca="false">IF(B1396="","",IFERROR(INDEX(Jeux!$C$2:$C$3001,MATCH(B1396,Jeux!$A$2:$A$3001,0))&amp;"","⚠ jeu inconnu"))</f>
        <v/>
      </c>
      <c r="H1396" s="27" t="str">
        <f aca="false">IF(B1396="","",IFERROR(INDEX(Jeux!$D$2:$D$3001,MATCH(B1396,Jeux!$A$2:$A$3001,0))&amp;"",""))</f>
        <v/>
      </c>
      <c r="I1396" s="26" t="str">
        <f aca="false">IF(A1396="","",COUNTIF(Apparitions!$G$2:$G$5001,A1396))</f>
        <v/>
      </c>
      <c r="J1396" s="26" t="str">
        <f aca="false">IF(A1396="","",COUNTIFS(Apparitions!$G$2:$G$5001,A1396,Apparitions!$E$2:$E$5001,"○"))</f>
        <v/>
      </c>
      <c r="K1396" s="29" t="str">
        <f aca="false">IF(A1396="","",IFERROR(1/(1/_xlfn.MINIFS(Apparitions!$L$2:$L$5001,Apparitions!$G$2:$G$5001,A1396)),""))</f>
        <v/>
      </c>
      <c r="L1396" s="27" t="str">
        <f aca="false">IF(A1396="","",A1396&amp;" | "&amp;B1396&amp;IF(C1396="",""," ("&amp;C1396&amp;")")&amp;IF(D1396="",""," - "&amp;D1396))</f>
        <v/>
      </c>
    </row>
    <row r="1397" customFormat="false" ht="15" hidden="false" customHeight="false" outlineLevel="0" collapsed="false">
      <c r="A1397" s="32"/>
      <c r="B1397" s="19"/>
      <c r="C1397" s="19"/>
      <c r="D1397" s="19"/>
      <c r="E1397" s="21"/>
      <c r="F1397" s="19"/>
      <c r="G1397" s="27" t="str">
        <f aca="false">IF(B1397="","",IFERROR(INDEX(Jeux!$C$2:$C$3001,MATCH(B1397,Jeux!$A$2:$A$3001,0))&amp;"","⚠ jeu inconnu"))</f>
        <v/>
      </c>
      <c r="H1397" s="27" t="str">
        <f aca="false">IF(B1397="","",IFERROR(INDEX(Jeux!$D$2:$D$3001,MATCH(B1397,Jeux!$A$2:$A$3001,0))&amp;"",""))</f>
        <v/>
      </c>
      <c r="I1397" s="26" t="str">
        <f aca="false">IF(A1397="","",COUNTIF(Apparitions!$G$2:$G$5001,A1397))</f>
        <v/>
      </c>
      <c r="J1397" s="26" t="str">
        <f aca="false">IF(A1397="","",COUNTIFS(Apparitions!$G$2:$G$5001,A1397,Apparitions!$E$2:$E$5001,"○"))</f>
        <v/>
      </c>
      <c r="K1397" s="29" t="str">
        <f aca="false">IF(A1397="","",IFERROR(1/(1/_xlfn.MINIFS(Apparitions!$L$2:$L$5001,Apparitions!$G$2:$G$5001,A1397)),""))</f>
        <v/>
      </c>
      <c r="L1397" s="27" t="str">
        <f aca="false">IF(A1397="","",A1397&amp;" | "&amp;B1397&amp;IF(C1397="",""," ("&amp;C1397&amp;")")&amp;IF(D1397="",""," - "&amp;D1397))</f>
        <v/>
      </c>
    </row>
    <row r="1398" customFormat="false" ht="15" hidden="false" customHeight="false" outlineLevel="0" collapsed="false">
      <c r="A1398" s="32"/>
      <c r="B1398" s="19"/>
      <c r="C1398" s="19"/>
      <c r="D1398" s="19"/>
      <c r="E1398" s="21"/>
      <c r="F1398" s="19"/>
      <c r="G1398" s="27" t="str">
        <f aca="false">IF(B1398="","",IFERROR(INDEX(Jeux!$C$2:$C$3001,MATCH(B1398,Jeux!$A$2:$A$3001,0))&amp;"","⚠ jeu inconnu"))</f>
        <v/>
      </c>
      <c r="H1398" s="27" t="str">
        <f aca="false">IF(B1398="","",IFERROR(INDEX(Jeux!$D$2:$D$3001,MATCH(B1398,Jeux!$A$2:$A$3001,0))&amp;"",""))</f>
        <v/>
      </c>
      <c r="I1398" s="26" t="str">
        <f aca="false">IF(A1398="","",COUNTIF(Apparitions!$G$2:$G$5001,A1398))</f>
        <v/>
      </c>
      <c r="J1398" s="26" t="str">
        <f aca="false">IF(A1398="","",COUNTIFS(Apparitions!$G$2:$G$5001,A1398,Apparitions!$E$2:$E$5001,"○"))</f>
        <v/>
      </c>
      <c r="K1398" s="29" t="str">
        <f aca="false">IF(A1398="","",IFERROR(1/(1/_xlfn.MINIFS(Apparitions!$L$2:$L$5001,Apparitions!$G$2:$G$5001,A1398)),""))</f>
        <v/>
      </c>
      <c r="L1398" s="27" t="str">
        <f aca="false">IF(A1398="","",A1398&amp;" | "&amp;B1398&amp;IF(C1398="",""," ("&amp;C1398&amp;")")&amp;IF(D1398="",""," - "&amp;D1398))</f>
        <v/>
      </c>
    </row>
    <row r="1399" customFormat="false" ht="15" hidden="false" customHeight="false" outlineLevel="0" collapsed="false">
      <c r="A1399" s="32"/>
      <c r="B1399" s="19"/>
      <c r="C1399" s="19"/>
      <c r="D1399" s="19"/>
      <c r="E1399" s="21"/>
      <c r="F1399" s="19"/>
      <c r="G1399" s="27" t="str">
        <f aca="false">IF(B1399="","",IFERROR(INDEX(Jeux!$C$2:$C$3001,MATCH(B1399,Jeux!$A$2:$A$3001,0))&amp;"","⚠ jeu inconnu"))</f>
        <v/>
      </c>
      <c r="H1399" s="27" t="str">
        <f aca="false">IF(B1399="","",IFERROR(INDEX(Jeux!$D$2:$D$3001,MATCH(B1399,Jeux!$A$2:$A$3001,0))&amp;"",""))</f>
        <v/>
      </c>
      <c r="I1399" s="26" t="str">
        <f aca="false">IF(A1399="","",COUNTIF(Apparitions!$G$2:$G$5001,A1399))</f>
        <v/>
      </c>
      <c r="J1399" s="26" t="str">
        <f aca="false">IF(A1399="","",COUNTIFS(Apparitions!$G$2:$G$5001,A1399,Apparitions!$E$2:$E$5001,"○"))</f>
        <v/>
      </c>
      <c r="K1399" s="29" t="str">
        <f aca="false">IF(A1399="","",IFERROR(1/(1/_xlfn.MINIFS(Apparitions!$L$2:$L$5001,Apparitions!$G$2:$G$5001,A1399)),""))</f>
        <v/>
      </c>
      <c r="L1399" s="27" t="str">
        <f aca="false">IF(A1399="","",A1399&amp;" | "&amp;B1399&amp;IF(C1399="",""," ("&amp;C1399&amp;")")&amp;IF(D1399="",""," - "&amp;D1399))</f>
        <v/>
      </c>
    </row>
    <row r="1400" customFormat="false" ht="15" hidden="false" customHeight="false" outlineLevel="0" collapsed="false">
      <c r="A1400" s="32"/>
      <c r="B1400" s="19"/>
      <c r="C1400" s="19"/>
      <c r="D1400" s="19"/>
      <c r="E1400" s="21"/>
      <c r="F1400" s="19"/>
      <c r="G1400" s="27" t="str">
        <f aca="false">IF(B1400="","",IFERROR(INDEX(Jeux!$C$2:$C$3001,MATCH(B1400,Jeux!$A$2:$A$3001,0))&amp;"","⚠ jeu inconnu"))</f>
        <v/>
      </c>
      <c r="H1400" s="27" t="str">
        <f aca="false">IF(B1400="","",IFERROR(INDEX(Jeux!$D$2:$D$3001,MATCH(B1400,Jeux!$A$2:$A$3001,0))&amp;"",""))</f>
        <v/>
      </c>
      <c r="I1400" s="26" t="str">
        <f aca="false">IF(A1400="","",COUNTIF(Apparitions!$G$2:$G$5001,A1400))</f>
        <v/>
      </c>
      <c r="J1400" s="26" t="str">
        <f aca="false">IF(A1400="","",COUNTIFS(Apparitions!$G$2:$G$5001,A1400,Apparitions!$E$2:$E$5001,"○"))</f>
        <v/>
      </c>
      <c r="K1400" s="29" t="str">
        <f aca="false">IF(A1400="","",IFERROR(1/(1/_xlfn.MINIFS(Apparitions!$L$2:$L$5001,Apparitions!$G$2:$G$5001,A1400)),""))</f>
        <v/>
      </c>
      <c r="L1400" s="27" t="str">
        <f aca="false">IF(A1400="","",A1400&amp;" | "&amp;B1400&amp;IF(C1400="",""," ("&amp;C1400&amp;")")&amp;IF(D1400="",""," - "&amp;D1400))</f>
        <v/>
      </c>
    </row>
    <row r="1401" customFormat="false" ht="15" hidden="false" customHeight="false" outlineLevel="0" collapsed="false">
      <c r="A1401" s="32"/>
      <c r="B1401" s="19"/>
      <c r="C1401" s="19"/>
      <c r="D1401" s="19"/>
      <c r="E1401" s="21"/>
      <c r="F1401" s="19"/>
      <c r="G1401" s="27" t="str">
        <f aca="false">IF(B1401="","",IFERROR(INDEX(Jeux!$C$2:$C$3001,MATCH(B1401,Jeux!$A$2:$A$3001,0))&amp;"","⚠ jeu inconnu"))</f>
        <v/>
      </c>
      <c r="H1401" s="27" t="str">
        <f aca="false">IF(B1401="","",IFERROR(INDEX(Jeux!$D$2:$D$3001,MATCH(B1401,Jeux!$A$2:$A$3001,0))&amp;"",""))</f>
        <v/>
      </c>
      <c r="I1401" s="26" t="str">
        <f aca="false">IF(A1401="","",COUNTIF(Apparitions!$G$2:$G$5001,A1401))</f>
        <v/>
      </c>
      <c r="J1401" s="26" t="str">
        <f aca="false">IF(A1401="","",COUNTIFS(Apparitions!$G$2:$G$5001,A1401,Apparitions!$E$2:$E$5001,"○"))</f>
        <v/>
      </c>
      <c r="K1401" s="29" t="str">
        <f aca="false">IF(A1401="","",IFERROR(1/(1/_xlfn.MINIFS(Apparitions!$L$2:$L$5001,Apparitions!$G$2:$G$5001,A1401)),""))</f>
        <v/>
      </c>
      <c r="L1401" s="27" t="str">
        <f aca="false">IF(A1401="","",A1401&amp;" | "&amp;B1401&amp;IF(C1401="",""," ("&amp;C1401&amp;")")&amp;IF(D1401="",""," - "&amp;D1401))</f>
        <v/>
      </c>
    </row>
    <row r="1402" customFormat="false" ht="15" hidden="false" customHeight="false" outlineLevel="0" collapsed="false">
      <c r="A1402" s="32"/>
      <c r="B1402" s="19"/>
      <c r="C1402" s="19"/>
      <c r="D1402" s="19"/>
      <c r="E1402" s="21"/>
      <c r="F1402" s="19"/>
      <c r="G1402" s="27" t="str">
        <f aca="false">IF(B1402="","",IFERROR(INDEX(Jeux!$C$2:$C$3001,MATCH(B1402,Jeux!$A$2:$A$3001,0))&amp;"","⚠ jeu inconnu"))</f>
        <v/>
      </c>
      <c r="H1402" s="27" t="str">
        <f aca="false">IF(B1402="","",IFERROR(INDEX(Jeux!$D$2:$D$3001,MATCH(B1402,Jeux!$A$2:$A$3001,0))&amp;"",""))</f>
        <v/>
      </c>
      <c r="I1402" s="26" t="str">
        <f aca="false">IF(A1402="","",COUNTIF(Apparitions!$G$2:$G$5001,A1402))</f>
        <v/>
      </c>
      <c r="J1402" s="26" t="str">
        <f aca="false">IF(A1402="","",COUNTIFS(Apparitions!$G$2:$G$5001,A1402,Apparitions!$E$2:$E$5001,"○"))</f>
        <v/>
      </c>
      <c r="K1402" s="29" t="str">
        <f aca="false">IF(A1402="","",IFERROR(1/(1/_xlfn.MINIFS(Apparitions!$L$2:$L$5001,Apparitions!$G$2:$G$5001,A1402)),""))</f>
        <v/>
      </c>
      <c r="L1402" s="27" t="str">
        <f aca="false">IF(A1402="","",A1402&amp;" | "&amp;B1402&amp;IF(C1402="",""," ("&amp;C1402&amp;")")&amp;IF(D1402="",""," - "&amp;D1402))</f>
        <v/>
      </c>
    </row>
    <row r="1403" customFormat="false" ht="15" hidden="false" customHeight="false" outlineLevel="0" collapsed="false">
      <c r="A1403" s="32"/>
      <c r="B1403" s="19"/>
      <c r="C1403" s="19"/>
      <c r="D1403" s="19"/>
      <c r="E1403" s="21"/>
      <c r="F1403" s="19"/>
      <c r="G1403" s="27" t="str">
        <f aca="false">IF(B1403="","",IFERROR(INDEX(Jeux!$C$2:$C$3001,MATCH(B1403,Jeux!$A$2:$A$3001,0))&amp;"","⚠ jeu inconnu"))</f>
        <v/>
      </c>
      <c r="H1403" s="27" t="str">
        <f aca="false">IF(B1403="","",IFERROR(INDEX(Jeux!$D$2:$D$3001,MATCH(B1403,Jeux!$A$2:$A$3001,0))&amp;"",""))</f>
        <v/>
      </c>
      <c r="I1403" s="26" t="str">
        <f aca="false">IF(A1403="","",COUNTIF(Apparitions!$G$2:$G$5001,A1403))</f>
        <v/>
      </c>
      <c r="J1403" s="26" t="str">
        <f aca="false">IF(A1403="","",COUNTIFS(Apparitions!$G$2:$G$5001,A1403,Apparitions!$E$2:$E$5001,"○"))</f>
        <v/>
      </c>
      <c r="K1403" s="29" t="str">
        <f aca="false">IF(A1403="","",IFERROR(1/(1/_xlfn.MINIFS(Apparitions!$L$2:$L$5001,Apparitions!$G$2:$G$5001,A1403)),""))</f>
        <v/>
      </c>
      <c r="L1403" s="27" t="str">
        <f aca="false">IF(A1403="","",A1403&amp;" | "&amp;B1403&amp;IF(C1403="",""," ("&amp;C1403&amp;")")&amp;IF(D1403="",""," - "&amp;D1403))</f>
        <v/>
      </c>
    </row>
    <row r="1404" customFormat="false" ht="15" hidden="false" customHeight="false" outlineLevel="0" collapsed="false">
      <c r="A1404" s="32"/>
      <c r="B1404" s="19"/>
      <c r="C1404" s="19"/>
      <c r="D1404" s="19"/>
      <c r="E1404" s="21"/>
      <c r="F1404" s="19"/>
      <c r="G1404" s="27" t="str">
        <f aca="false">IF(B1404="","",IFERROR(INDEX(Jeux!$C$2:$C$3001,MATCH(B1404,Jeux!$A$2:$A$3001,0))&amp;"","⚠ jeu inconnu"))</f>
        <v/>
      </c>
      <c r="H1404" s="27" t="str">
        <f aca="false">IF(B1404="","",IFERROR(INDEX(Jeux!$D$2:$D$3001,MATCH(B1404,Jeux!$A$2:$A$3001,0))&amp;"",""))</f>
        <v/>
      </c>
      <c r="I1404" s="26" t="str">
        <f aca="false">IF(A1404="","",COUNTIF(Apparitions!$G$2:$G$5001,A1404))</f>
        <v/>
      </c>
      <c r="J1404" s="26" t="str">
        <f aca="false">IF(A1404="","",COUNTIFS(Apparitions!$G$2:$G$5001,A1404,Apparitions!$E$2:$E$5001,"○"))</f>
        <v/>
      </c>
      <c r="K1404" s="29" t="str">
        <f aca="false">IF(A1404="","",IFERROR(1/(1/_xlfn.MINIFS(Apparitions!$L$2:$L$5001,Apparitions!$G$2:$G$5001,A1404)),""))</f>
        <v/>
      </c>
      <c r="L1404" s="27" t="str">
        <f aca="false">IF(A1404="","",A1404&amp;" | "&amp;B1404&amp;IF(C1404="",""," ("&amp;C1404&amp;")")&amp;IF(D1404="",""," - "&amp;D1404))</f>
        <v/>
      </c>
    </row>
    <row r="1405" customFormat="false" ht="15" hidden="false" customHeight="false" outlineLevel="0" collapsed="false">
      <c r="A1405" s="32"/>
      <c r="B1405" s="19"/>
      <c r="C1405" s="19"/>
      <c r="D1405" s="19"/>
      <c r="E1405" s="21"/>
      <c r="F1405" s="19"/>
      <c r="G1405" s="27" t="str">
        <f aca="false">IF(B1405="","",IFERROR(INDEX(Jeux!$C$2:$C$3001,MATCH(B1405,Jeux!$A$2:$A$3001,0))&amp;"","⚠ jeu inconnu"))</f>
        <v/>
      </c>
      <c r="H1405" s="27" t="str">
        <f aca="false">IF(B1405="","",IFERROR(INDEX(Jeux!$D$2:$D$3001,MATCH(B1405,Jeux!$A$2:$A$3001,0))&amp;"",""))</f>
        <v/>
      </c>
      <c r="I1405" s="26" t="str">
        <f aca="false">IF(A1405="","",COUNTIF(Apparitions!$G$2:$G$5001,A1405))</f>
        <v/>
      </c>
      <c r="J1405" s="26" t="str">
        <f aca="false">IF(A1405="","",COUNTIFS(Apparitions!$G$2:$G$5001,A1405,Apparitions!$E$2:$E$5001,"○"))</f>
        <v/>
      </c>
      <c r="K1405" s="29" t="str">
        <f aca="false">IF(A1405="","",IFERROR(1/(1/_xlfn.MINIFS(Apparitions!$L$2:$L$5001,Apparitions!$G$2:$G$5001,A1405)),""))</f>
        <v/>
      </c>
      <c r="L1405" s="27" t="str">
        <f aca="false">IF(A1405="","",A1405&amp;" | "&amp;B1405&amp;IF(C1405="",""," ("&amp;C1405&amp;")")&amp;IF(D1405="",""," - "&amp;D1405))</f>
        <v/>
      </c>
    </row>
    <row r="1406" customFormat="false" ht="15" hidden="false" customHeight="false" outlineLevel="0" collapsed="false">
      <c r="A1406" s="32"/>
      <c r="B1406" s="19"/>
      <c r="C1406" s="19"/>
      <c r="D1406" s="19"/>
      <c r="E1406" s="21"/>
      <c r="F1406" s="19"/>
      <c r="G1406" s="27" t="str">
        <f aca="false">IF(B1406="","",IFERROR(INDEX(Jeux!$C$2:$C$3001,MATCH(B1406,Jeux!$A$2:$A$3001,0))&amp;"","⚠ jeu inconnu"))</f>
        <v/>
      </c>
      <c r="H1406" s="27" t="str">
        <f aca="false">IF(B1406="","",IFERROR(INDEX(Jeux!$D$2:$D$3001,MATCH(B1406,Jeux!$A$2:$A$3001,0))&amp;"",""))</f>
        <v/>
      </c>
      <c r="I1406" s="26" t="str">
        <f aca="false">IF(A1406="","",COUNTIF(Apparitions!$G$2:$G$5001,A1406))</f>
        <v/>
      </c>
      <c r="J1406" s="26" t="str">
        <f aca="false">IF(A1406="","",COUNTIFS(Apparitions!$G$2:$G$5001,A1406,Apparitions!$E$2:$E$5001,"○"))</f>
        <v/>
      </c>
      <c r="K1406" s="29" t="str">
        <f aca="false">IF(A1406="","",IFERROR(1/(1/_xlfn.MINIFS(Apparitions!$L$2:$L$5001,Apparitions!$G$2:$G$5001,A1406)),""))</f>
        <v/>
      </c>
      <c r="L1406" s="27" t="str">
        <f aca="false">IF(A1406="","",A1406&amp;" | "&amp;B1406&amp;IF(C1406="",""," ("&amp;C1406&amp;")")&amp;IF(D1406="",""," - "&amp;D1406))</f>
        <v/>
      </c>
    </row>
    <row r="1407" customFormat="false" ht="15" hidden="false" customHeight="false" outlineLevel="0" collapsed="false">
      <c r="A1407" s="32"/>
      <c r="B1407" s="19"/>
      <c r="C1407" s="19"/>
      <c r="D1407" s="19"/>
      <c r="E1407" s="21"/>
      <c r="F1407" s="19"/>
      <c r="G1407" s="27" t="str">
        <f aca="false">IF(B1407="","",IFERROR(INDEX(Jeux!$C$2:$C$3001,MATCH(B1407,Jeux!$A$2:$A$3001,0))&amp;"","⚠ jeu inconnu"))</f>
        <v/>
      </c>
      <c r="H1407" s="27" t="str">
        <f aca="false">IF(B1407="","",IFERROR(INDEX(Jeux!$D$2:$D$3001,MATCH(B1407,Jeux!$A$2:$A$3001,0))&amp;"",""))</f>
        <v/>
      </c>
      <c r="I1407" s="26" t="str">
        <f aca="false">IF(A1407="","",COUNTIF(Apparitions!$G$2:$G$5001,A1407))</f>
        <v/>
      </c>
      <c r="J1407" s="26" t="str">
        <f aca="false">IF(A1407="","",COUNTIFS(Apparitions!$G$2:$G$5001,A1407,Apparitions!$E$2:$E$5001,"○"))</f>
        <v/>
      </c>
      <c r="K1407" s="29" t="str">
        <f aca="false">IF(A1407="","",IFERROR(1/(1/_xlfn.MINIFS(Apparitions!$L$2:$L$5001,Apparitions!$G$2:$G$5001,A1407)),""))</f>
        <v/>
      </c>
      <c r="L1407" s="27" t="str">
        <f aca="false">IF(A1407="","",A1407&amp;" | "&amp;B1407&amp;IF(C1407="",""," ("&amp;C1407&amp;")")&amp;IF(D1407="",""," - "&amp;D1407))</f>
        <v/>
      </c>
    </row>
    <row r="1408" customFormat="false" ht="15" hidden="false" customHeight="false" outlineLevel="0" collapsed="false">
      <c r="A1408" s="32"/>
      <c r="B1408" s="19"/>
      <c r="C1408" s="19"/>
      <c r="D1408" s="19"/>
      <c r="E1408" s="21"/>
      <c r="F1408" s="19"/>
      <c r="G1408" s="27" t="str">
        <f aca="false">IF(B1408="","",IFERROR(INDEX(Jeux!$C$2:$C$3001,MATCH(B1408,Jeux!$A$2:$A$3001,0))&amp;"","⚠ jeu inconnu"))</f>
        <v/>
      </c>
      <c r="H1408" s="27" t="str">
        <f aca="false">IF(B1408="","",IFERROR(INDEX(Jeux!$D$2:$D$3001,MATCH(B1408,Jeux!$A$2:$A$3001,0))&amp;"",""))</f>
        <v/>
      </c>
      <c r="I1408" s="26" t="str">
        <f aca="false">IF(A1408="","",COUNTIF(Apparitions!$G$2:$G$5001,A1408))</f>
        <v/>
      </c>
      <c r="J1408" s="26" t="str">
        <f aca="false">IF(A1408="","",COUNTIFS(Apparitions!$G$2:$G$5001,A1408,Apparitions!$E$2:$E$5001,"○"))</f>
        <v/>
      </c>
      <c r="K1408" s="29" t="str">
        <f aca="false">IF(A1408="","",IFERROR(1/(1/_xlfn.MINIFS(Apparitions!$L$2:$L$5001,Apparitions!$G$2:$G$5001,A1408)),""))</f>
        <v/>
      </c>
      <c r="L1408" s="27" t="str">
        <f aca="false">IF(A1408="","",A1408&amp;" | "&amp;B1408&amp;IF(C1408="",""," ("&amp;C1408&amp;")")&amp;IF(D1408="",""," - "&amp;D1408))</f>
        <v/>
      </c>
    </row>
    <row r="1409" customFormat="false" ht="15" hidden="false" customHeight="false" outlineLevel="0" collapsed="false">
      <c r="A1409" s="32"/>
      <c r="B1409" s="19"/>
      <c r="C1409" s="19"/>
      <c r="D1409" s="19"/>
      <c r="E1409" s="21"/>
      <c r="F1409" s="19"/>
      <c r="G1409" s="27" t="str">
        <f aca="false">IF(B1409="","",IFERROR(INDEX(Jeux!$C$2:$C$3001,MATCH(B1409,Jeux!$A$2:$A$3001,0))&amp;"","⚠ jeu inconnu"))</f>
        <v/>
      </c>
      <c r="H1409" s="27" t="str">
        <f aca="false">IF(B1409="","",IFERROR(INDEX(Jeux!$D$2:$D$3001,MATCH(B1409,Jeux!$A$2:$A$3001,0))&amp;"",""))</f>
        <v/>
      </c>
      <c r="I1409" s="26" t="str">
        <f aca="false">IF(A1409="","",COUNTIF(Apparitions!$G$2:$G$5001,A1409))</f>
        <v/>
      </c>
      <c r="J1409" s="26" t="str">
        <f aca="false">IF(A1409="","",COUNTIFS(Apparitions!$G$2:$G$5001,A1409,Apparitions!$E$2:$E$5001,"○"))</f>
        <v/>
      </c>
      <c r="K1409" s="29" t="str">
        <f aca="false">IF(A1409="","",IFERROR(1/(1/_xlfn.MINIFS(Apparitions!$L$2:$L$5001,Apparitions!$G$2:$G$5001,A1409)),""))</f>
        <v/>
      </c>
      <c r="L1409" s="27" t="str">
        <f aca="false">IF(A1409="","",A1409&amp;" | "&amp;B1409&amp;IF(C1409="",""," ("&amp;C1409&amp;")")&amp;IF(D1409="",""," - "&amp;D1409))</f>
        <v/>
      </c>
    </row>
    <row r="1410" customFormat="false" ht="15" hidden="false" customHeight="false" outlineLevel="0" collapsed="false">
      <c r="A1410" s="32"/>
      <c r="B1410" s="19"/>
      <c r="C1410" s="19"/>
      <c r="D1410" s="19"/>
      <c r="E1410" s="21"/>
      <c r="F1410" s="19"/>
      <c r="G1410" s="27" t="str">
        <f aca="false">IF(B1410="","",IFERROR(INDEX(Jeux!$C$2:$C$3001,MATCH(B1410,Jeux!$A$2:$A$3001,0))&amp;"","⚠ jeu inconnu"))</f>
        <v/>
      </c>
      <c r="H1410" s="27" t="str">
        <f aca="false">IF(B1410="","",IFERROR(INDEX(Jeux!$D$2:$D$3001,MATCH(B1410,Jeux!$A$2:$A$3001,0))&amp;"",""))</f>
        <v/>
      </c>
      <c r="I1410" s="26" t="str">
        <f aca="false">IF(A1410="","",COUNTIF(Apparitions!$G$2:$G$5001,A1410))</f>
        <v/>
      </c>
      <c r="J1410" s="26" t="str">
        <f aca="false">IF(A1410="","",COUNTIFS(Apparitions!$G$2:$G$5001,A1410,Apparitions!$E$2:$E$5001,"○"))</f>
        <v/>
      </c>
      <c r="K1410" s="29" t="str">
        <f aca="false">IF(A1410="","",IFERROR(1/(1/_xlfn.MINIFS(Apparitions!$L$2:$L$5001,Apparitions!$G$2:$G$5001,A1410)),""))</f>
        <v/>
      </c>
      <c r="L1410" s="27" t="str">
        <f aca="false">IF(A1410="","",A1410&amp;" | "&amp;B1410&amp;IF(C1410="",""," ("&amp;C1410&amp;")")&amp;IF(D1410="",""," - "&amp;D1410))</f>
        <v/>
      </c>
    </row>
    <row r="1411" customFormat="false" ht="15" hidden="false" customHeight="false" outlineLevel="0" collapsed="false">
      <c r="A1411" s="32"/>
      <c r="B1411" s="19"/>
      <c r="C1411" s="19"/>
      <c r="D1411" s="19"/>
      <c r="E1411" s="21"/>
      <c r="F1411" s="19"/>
      <c r="G1411" s="27" t="str">
        <f aca="false">IF(B1411="","",IFERROR(INDEX(Jeux!$C$2:$C$3001,MATCH(B1411,Jeux!$A$2:$A$3001,0))&amp;"","⚠ jeu inconnu"))</f>
        <v/>
      </c>
      <c r="H1411" s="27" t="str">
        <f aca="false">IF(B1411="","",IFERROR(INDEX(Jeux!$D$2:$D$3001,MATCH(B1411,Jeux!$A$2:$A$3001,0))&amp;"",""))</f>
        <v/>
      </c>
      <c r="I1411" s="26" t="str">
        <f aca="false">IF(A1411="","",COUNTIF(Apparitions!$G$2:$G$5001,A1411))</f>
        <v/>
      </c>
      <c r="J1411" s="26" t="str">
        <f aca="false">IF(A1411="","",COUNTIFS(Apparitions!$G$2:$G$5001,A1411,Apparitions!$E$2:$E$5001,"○"))</f>
        <v/>
      </c>
      <c r="K1411" s="29" t="str">
        <f aca="false">IF(A1411="","",IFERROR(1/(1/_xlfn.MINIFS(Apparitions!$L$2:$L$5001,Apparitions!$G$2:$G$5001,A1411)),""))</f>
        <v/>
      </c>
      <c r="L1411" s="27" t="str">
        <f aca="false">IF(A1411="","",A1411&amp;" | "&amp;B1411&amp;IF(C1411="",""," ("&amp;C1411&amp;")")&amp;IF(D1411="",""," - "&amp;D1411))</f>
        <v/>
      </c>
    </row>
    <row r="1412" customFormat="false" ht="15" hidden="false" customHeight="false" outlineLevel="0" collapsed="false">
      <c r="A1412" s="32"/>
      <c r="B1412" s="19"/>
      <c r="C1412" s="19"/>
      <c r="D1412" s="19"/>
      <c r="E1412" s="21"/>
      <c r="F1412" s="19"/>
      <c r="G1412" s="27" t="str">
        <f aca="false">IF(B1412="","",IFERROR(INDEX(Jeux!$C$2:$C$3001,MATCH(B1412,Jeux!$A$2:$A$3001,0))&amp;"","⚠ jeu inconnu"))</f>
        <v/>
      </c>
      <c r="H1412" s="27" t="str">
        <f aca="false">IF(B1412="","",IFERROR(INDEX(Jeux!$D$2:$D$3001,MATCH(B1412,Jeux!$A$2:$A$3001,0))&amp;"",""))</f>
        <v/>
      </c>
      <c r="I1412" s="26" t="str">
        <f aca="false">IF(A1412="","",COUNTIF(Apparitions!$G$2:$G$5001,A1412))</f>
        <v/>
      </c>
      <c r="J1412" s="26" t="str">
        <f aca="false">IF(A1412="","",COUNTIFS(Apparitions!$G$2:$G$5001,A1412,Apparitions!$E$2:$E$5001,"○"))</f>
        <v/>
      </c>
      <c r="K1412" s="29" t="str">
        <f aca="false">IF(A1412="","",IFERROR(1/(1/_xlfn.MINIFS(Apparitions!$L$2:$L$5001,Apparitions!$G$2:$G$5001,A1412)),""))</f>
        <v/>
      </c>
      <c r="L1412" s="27" t="str">
        <f aca="false">IF(A1412="","",A1412&amp;" | "&amp;B1412&amp;IF(C1412="",""," ("&amp;C1412&amp;")")&amp;IF(D1412="",""," - "&amp;D1412))</f>
        <v/>
      </c>
    </row>
    <row r="1413" customFormat="false" ht="15" hidden="false" customHeight="false" outlineLevel="0" collapsed="false">
      <c r="A1413" s="32"/>
      <c r="B1413" s="19"/>
      <c r="C1413" s="19"/>
      <c r="D1413" s="19"/>
      <c r="E1413" s="21"/>
      <c r="F1413" s="19"/>
      <c r="G1413" s="27" t="str">
        <f aca="false">IF(B1413="","",IFERROR(INDEX(Jeux!$C$2:$C$3001,MATCH(B1413,Jeux!$A$2:$A$3001,0))&amp;"","⚠ jeu inconnu"))</f>
        <v/>
      </c>
      <c r="H1413" s="27" t="str">
        <f aca="false">IF(B1413="","",IFERROR(INDEX(Jeux!$D$2:$D$3001,MATCH(B1413,Jeux!$A$2:$A$3001,0))&amp;"",""))</f>
        <v/>
      </c>
      <c r="I1413" s="26" t="str">
        <f aca="false">IF(A1413="","",COUNTIF(Apparitions!$G$2:$G$5001,A1413))</f>
        <v/>
      </c>
      <c r="J1413" s="26" t="str">
        <f aca="false">IF(A1413="","",COUNTIFS(Apparitions!$G$2:$G$5001,A1413,Apparitions!$E$2:$E$5001,"○"))</f>
        <v/>
      </c>
      <c r="K1413" s="29" t="str">
        <f aca="false">IF(A1413="","",IFERROR(1/(1/_xlfn.MINIFS(Apparitions!$L$2:$L$5001,Apparitions!$G$2:$G$5001,A1413)),""))</f>
        <v/>
      </c>
      <c r="L1413" s="27" t="str">
        <f aca="false">IF(A1413="","",A1413&amp;" | "&amp;B1413&amp;IF(C1413="",""," ("&amp;C1413&amp;")")&amp;IF(D1413="",""," - "&amp;D1413))</f>
        <v/>
      </c>
    </row>
    <row r="1414" customFormat="false" ht="15" hidden="false" customHeight="false" outlineLevel="0" collapsed="false">
      <c r="A1414" s="32"/>
      <c r="B1414" s="19"/>
      <c r="C1414" s="19"/>
      <c r="D1414" s="19"/>
      <c r="E1414" s="21"/>
      <c r="F1414" s="19"/>
      <c r="G1414" s="27" t="str">
        <f aca="false">IF(B1414="","",IFERROR(INDEX(Jeux!$C$2:$C$3001,MATCH(B1414,Jeux!$A$2:$A$3001,0))&amp;"","⚠ jeu inconnu"))</f>
        <v/>
      </c>
      <c r="H1414" s="27" t="str">
        <f aca="false">IF(B1414="","",IFERROR(INDEX(Jeux!$D$2:$D$3001,MATCH(B1414,Jeux!$A$2:$A$3001,0))&amp;"",""))</f>
        <v/>
      </c>
      <c r="I1414" s="26" t="str">
        <f aca="false">IF(A1414="","",COUNTIF(Apparitions!$G$2:$G$5001,A1414))</f>
        <v/>
      </c>
      <c r="J1414" s="26" t="str">
        <f aca="false">IF(A1414="","",COUNTIFS(Apparitions!$G$2:$G$5001,A1414,Apparitions!$E$2:$E$5001,"○"))</f>
        <v/>
      </c>
      <c r="K1414" s="29" t="str">
        <f aca="false">IF(A1414="","",IFERROR(1/(1/_xlfn.MINIFS(Apparitions!$L$2:$L$5001,Apparitions!$G$2:$G$5001,A1414)),""))</f>
        <v/>
      </c>
      <c r="L1414" s="27" t="str">
        <f aca="false">IF(A1414="","",A1414&amp;" | "&amp;B1414&amp;IF(C1414="",""," ("&amp;C1414&amp;")")&amp;IF(D1414="",""," - "&amp;D1414))</f>
        <v/>
      </c>
    </row>
    <row r="1415" customFormat="false" ht="15" hidden="false" customHeight="false" outlineLevel="0" collapsed="false">
      <c r="A1415" s="32"/>
      <c r="B1415" s="19"/>
      <c r="C1415" s="19"/>
      <c r="D1415" s="19"/>
      <c r="E1415" s="21"/>
      <c r="F1415" s="19"/>
      <c r="G1415" s="27" t="str">
        <f aca="false">IF(B1415="","",IFERROR(INDEX(Jeux!$C$2:$C$3001,MATCH(B1415,Jeux!$A$2:$A$3001,0))&amp;"","⚠ jeu inconnu"))</f>
        <v/>
      </c>
      <c r="H1415" s="27" t="str">
        <f aca="false">IF(B1415="","",IFERROR(INDEX(Jeux!$D$2:$D$3001,MATCH(B1415,Jeux!$A$2:$A$3001,0))&amp;"",""))</f>
        <v/>
      </c>
      <c r="I1415" s="26" t="str">
        <f aca="false">IF(A1415="","",COUNTIF(Apparitions!$G$2:$G$5001,A1415))</f>
        <v/>
      </c>
      <c r="J1415" s="26" t="str">
        <f aca="false">IF(A1415="","",COUNTIFS(Apparitions!$G$2:$G$5001,A1415,Apparitions!$E$2:$E$5001,"○"))</f>
        <v/>
      </c>
      <c r="K1415" s="29" t="str">
        <f aca="false">IF(A1415="","",IFERROR(1/(1/_xlfn.MINIFS(Apparitions!$L$2:$L$5001,Apparitions!$G$2:$G$5001,A1415)),""))</f>
        <v/>
      </c>
      <c r="L1415" s="27" t="str">
        <f aca="false">IF(A1415="","",A1415&amp;" | "&amp;B1415&amp;IF(C1415="",""," ("&amp;C1415&amp;")")&amp;IF(D1415="",""," - "&amp;D1415))</f>
        <v/>
      </c>
    </row>
    <row r="1416" customFormat="false" ht="15" hidden="false" customHeight="false" outlineLevel="0" collapsed="false">
      <c r="A1416" s="32"/>
      <c r="B1416" s="19"/>
      <c r="C1416" s="19"/>
      <c r="D1416" s="19"/>
      <c r="E1416" s="21"/>
      <c r="F1416" s="19"/>
      <c r="G1416" s="27" t="str">
        <f aca="false">IF(B1416="","",IFERROR(INDEX(Jeux!$C$2:$C$3001,MATCH(B1416,Jeux!$A$2:$A$3001,0))&amp;"","⚠ jeu inconnu"))</f>
        <v/>
      </c>
      <c r="H1416" s="27" t="str">
        <f aca="false">IF(B1416="","",IFERROR(INDEX(Jeux!$D$2:$D$3001,MATCH(B1416,Jeux!$A$2:$A$3001,0))&amp;"",""))</f>
        <v/>
      </c>
      <c r="I1416" s="26" t="str">
        <f aca="false">IF(A1416="","",COUNTIF(Apparitions!$G$2:$G$5001,A1416))</f>
        <v/>
      </c>
      <c r="J1416" s="26" t="str">
        <f aca="false">IF(A1416="","",COUNTIFS(Apparitions!$G$2:$G$5001,A1416,Apparitions!$E$2:$E$5001,"○"))</f>
        <v/>
      </c>
      <c r="K1416" s="29" t="str">
        <f aca="false">IF(A1416="","",IFERROR(1/(1/_xlfn.MINIFS(Apparitions!$L$2:$L$5001,Apparitions!$G$2:$G$5001,A1416)),""))</f>
        <v/>
      </c>
      <c r="L1416" s="27" t="str">
        <f aca="false">IF(A1416="","",A1416&amp;" | "&amp;B1416&amp;IF(C1416="",""," ("&amp;C1416&amp;")")&amp;IF(D1416="",""," - "&amp;D1416))</f>
        <v/>
      </c>
    </row>
    <row r="1417" customFormat="false" ht="15" hidden="false" customHeight="false" outlineLevel="0" collapsed="false">
      <c r="A1417" s="32"/>
      <c r="B1417" s="19"/>
      <c r="C1417" s="19"/>
      <c r="D1417" s="19"/>
      <c r="E1417" s="21"/>
      <c r="F1417" s="19"/>
      <c r="G1417" s="27" t="str">
        <f aca="false">IF(B1417="","",IFERROR(INDEX(Jeux!$C$2:$C$3001,MATCH(B1417,Jeux!$A$2:$A$3001,0))&amp;"","⚠ jeu inconnu"))</f>
        <v/>
      </c>
      <c r="H1417" s="27" t="str">
        <f aca="false">IF(B1417="","",IFERROR(INDEX(Jeux!$D$2:$D$3001,MATCH(B1417,Jeux!$A$2:$A$3001,0))&amp;"",""))</f>
        <v/>
      </c>
      <c r="I1417" s="26" t="str">
        <f aca="false">IF(A1417="","",COUNTIF(Apparitions!$G$2:$G$5001,A1417))</f>
        <v/>
      </c>
      <c r="J1417" s="26" t="str">
        <f aca="false">IF(A1417="","",COUNTIFS(Apparitions!$G$2:$G$5001,A1417,Apparitions!$E$2:$E$5001,"○"))</f>
        <v/>
      </c>
      <c r="K1417" s="29" t="str">
        <f aca="false">IF(A1417="","",IFERROR(1/(1/_xlfn.MINIFS(Apparitions!$L$2:$L$5001,Apparitions!$G$2:$G$5001,A1417)),""))</f>
        <v/>
      </c>
      <c r="L1417" s="27" t="str">
        <f aca="false">IF(A1417="","",A1417&amp;" | "&amp;B1417&amp;IF(C1417="",""," ("&amp;C1417&amp;")")&amp;IF(D1417="",""," - "&amp;D1417))</f>
        <v/>
      </c>
    </row>
    <row r="1418" customFormat="false" ht="15" hidden="false" customHeight="false" outlineLevel="0" collapsed="false">
      <c r="A1418" s="32"/>
      <c r="B1418" s="19"/>
      <c r="C1418" s="19"/>
      <c r="D1418" s="19"/>
      <c r="E1418" s="21"/>
      <c r="F1418" s="19"/>
      <c r="G1418" s="27" t="str">
        <f aca="false">IF(B1418="","",IFERROR(INDEX(Jeux!$C$2:$C$3001,MATCH(B1418,Jeux!$A$2:$A$3001,0))&amp;"","⚠ jeu inconnu"))</f>
        <v/>
      </c>
      <c r="H1418" s="27" t="str">
        <f aca="false">IF(B1418="","",IFERROR(INDEX(Jeux!$D$2:$D$3001,MATCH(B1418,Jeux!$A$2:$A$3001,0))&amp;"",""))</f>
        <v/>
      </c>
      <c r="I1418" s="26" t="str">
        <f aca="false">IF(A1418="","",COUNTIF(Apparitions!$G$2:$G$5001,A1418))</f>
        <v/>
      </c>
      <c r="J1418" s="26" t="str">
        <f aca="false">IF(A1418="","",COUNTIFS(Apparitions!$G$2:$G$5001,A1418,Apparitions!$E$2:$E$5001,"○"))</f>
        <v/>
      </c>
      <c r="K1418" s="29" t="str">
        <f aca="false">IF(A1418="","",IFERROR(1/(1/_xlfn.MINIFS(Apparitions!$L$2:$L$5001,Apparitions!$G$2:$G$5001,A1418)),""))</f>
        <v/>
      </c>
      <c r="L1418" s="27" t="str">
        <f aca="false">IF(A1418="","",A1418&amp;" | "&amp;B1418&amp;IF(C1418="",""," ("&amp;C1418&amp;")")&amp;IF(D1418="",""," - "&amp;D1418))</f>
        <v/>
      </c>
    </row>
    <row r="1419" customFormat="false" ht="15" hidden="false" customHeight="false" outlineLevel="0" collapsed="false">
      <c r="A1419" s="32"/>
      <c r="B1419" s="19"/>
      <c r="C1419" s="19"/>
      <c r="D1419" s="19"/>
      <c r="E1419" s="21"/>
      <c r="F1419" s="19"/>
      <c r="G1419" s="27" t="str">
        <f aca="false">IF(B1419="","",IFERROR(INDEX(Jeux!$C$2:$C$3001,MATCH(B1419,Jeux!$A$2:$A$3001,0))&amp;"","⚠ jeu inconnu"))</f>
        <v/>
      </c>
      <c r="H1419" s="27" t="str">
        <f aca="false">IF(B1419="","",IFERROR(INDEX(Jeux!$D$2:$D$3001,MATCH(B1419,Jeux!$A$2:$A$3001,0))&amp;"",""))</f>
        <v/>
      </c>
      <c r="I1419" s="26" t="str">
        <f aca="false">IF(A1419="","",COUNTIF(Apparitions!$G$2:$G$5001,A1419))</f>
        <v/>
      </c>
      <c r="J1419" s="26" t="str">
        <f aca="false">IF(A1419="","",COUNTIFS(Apparitions!$G$2:$G$5001,A1419,Apparitions!$E$2:$E$5001,"○"))</f>
        <v/>
      </c>
      <c r="K1419" s="29" t="str">
        <f aca="false">IF(A1419="","",IFERROR(1/(1/_xlfn.MINIFS(Apparitions!$L$2:$L$5001,Apparitions!$G$2:$G$5001,A1419)),""))</f>
        <v/>
      </c>
      <c r="L1419" s="27" t="str">
        <f aca="false">IF(A1419="","",A1419&amp;" | "&amp;B1419&amp;IF(C1419="",""," ("&amp;C1419&amp;")")&amp;IF(D1419="",""," - "&amp;D1419))</f>
        <v/>
      </c>
    </row>
    <row r="1420" customFormat="false" ht="15" hidden="false" customHeight="false" outlineLevel="0" collapsed="false">
      <c r="A1420" s="32"/>
      <c r="B1420" s="19"/>
      <c r="C1420" s="19"/>
      <c r="D1420" s="19"/>
      <c r="E1420" s="21"/>
      <c r="F1420" s="19"/>
      <c r="G1420" s="27" t="str">
        <f aca="false">IF(B1420="","",IFERROR(INDEX(Jeux!$C$2:$C$3001,MATCH(B1420,Jeux!$A$2:$A$3001,0))&amp;"","⚠ jeu inconnu"))</f>
        <v/>
      </c>
      <c r="H1420" s="27" t="str">
        <f aca="false">IF(B1420="","",IFERROR(INDEX(Jeux!$D$2:$D$3001,MATCH(B1420,Jeux!$A$2:$A$3001,0))&amp;"",""))</f>
        <v/>
      </c>
      <c r="I1420" s="26" t="str">
        <f aca="false">IF(A1420="","",COUNTIF(Apparitions!$G$2:$G$5001,A1420))</f>
        <v/>
      </c>
      <c r="J1420" s="26" t="str">
        <f aca="false">IF(A1420="","",COUNTIFS(Apparitions!$G$2:$G$5001,A1420,Apparitions!$E$2:$E$5001,"○"))</f>
        <v/>
      </c>
      <c r="K1420" s="29" t="str">
        <f aca="false">IF(A1420="","",IFERROR(1/(1/_xlfn.MINIFS(Apparitions!$L$2:$L$5001,Apparitions!$G$2:$G$5001,A1420)),""))</f>
        <v/>
      </c>
      <c r="L1420" s="27" t="str">
        <f aca="false">IF(A1420="","",A1420&amp;" | "&amp;B1420&amp;IF(C1420="",""," ("&amp;C1420&amp;")")&amp;IF(D1420="",""," - "&amp;D1420))</f>
        <v/>
      </c>
    </row>
    <row r="1421" customFormat="false" ht="15" hidden="false" customHeight="false" outlineLevel="0" collapsed="false">
      <c r="A1421" s="32"/>
      <c r="B1421" s="19"/>
      <c r="C1421" s="19"/>
      <c r="D1421" s="19"/>
      <c r="E1421" s="21"/>
      <c r="F1421" s="19"/>
      <c r="G1421" s="27" t="str">
        <f aca="false">IF(B1421="","",IFERROR(INDEX(Jeux!$C$2:$C$3001,MATCH(B1421,Jeux!$A$2:$A$3001,0))&amp;"","⚠ jeu inconnu"))</f>
        <v/>
      </c>
      <c r="H1421" s="27" t="str">
        <f aca="false">IF(B1421="","",IFERROR(INDEX(Jeux!$D$2:$D$3001,MATCH(B1421,Jeux!$A$2:$A$3001,0))&amp;"",""))</f>
        <v/>
      </c>
      <c r="I1421" s="26" t="str">
        <f aca="false">IF(A1421="","",COUNTIF(Apparitions!$G$2:$G$5001,A1421))</f>
        <v/>
      </c>
      <c r="J1421" s="26" t="str">
        <f aca="false">IF(A1421="","",COUNTIFS(Apparitions!$G$2:$G$5001,A1421,Apparitions!$E$2:$E$5001,"○"))</f>
        <v/>
      </c>
      <c r="K1421" s="29" t="str">
        <f aca="false">IF(A1421="","",IFERROR(1/(1/_xlfn.MINIFS(Apparitions!$L$2:$L$5001,Apparitions!$G$2:$G$5001,A1421)),""))</f>
        <v/>
      </c>
      <c r="L1421" s="27" t="str">
        <f aca="false">IF(A1421="","",A1421&amp;" | "&amp;B1421&amp;IF(C1421="",""," ("&amp;C1421&amp;")")&amp;IF(D1421="",""," - "&amp;D1421))</f>
        <v/>
      </c>
    </row>
    <row r="1422" customFormat="false" ht="15" hidden="false" customHeight="false" outlineLevel="0" collapsed="false">
      <c r="A1422" s="32"/>
      <c r="B1422" s="19"/>
      <c r="C1422" s="19"/>
      <c r="D1422" s="19"/>
      <c r="E1422" s="21"/>
      <c r="F1422" s="19"/>
      <c r="G1422" s="27" t="str">
        <f aca="false">IF(B1422="","",IFERROR(INDEX(Jeux!$C$2:$C$3001,MATCH(B1422,Jeux!$A$2:$A$3001,0))&amp;"","⚠ jeu inconnu"))</f>
        <v/>
      </c>
      <c r="H1422" s="27" t="str">
        <f aca="false">IF(B1422="","",IFERROR(INDEX(Jeux!$D$2:$D$3001,MATCH(B1422,Jeux!$A$2:$A$3001,0))&amp;"",""))</f>
        <v/>
      </c>
      <c r="I1422" s="26" t="str">
        <f aca="false">IF(A1422="","",COUNTIF(Apparitions!$G$2:$G$5001,A1422))</f>
        <v/>
      </c>
      <c r="J1422" s="26" t="str">
        <f aca="false">IF(A1422="","",COUNTIFS(Apparitions!$G$2:$G$5001,A1422,Apparitions!$E$2:$E$5001,"○"))</f>
        <v/>
      </c>
      <c r="K1422" s="29" t="str">
        <f aca="false">IF(A1422="","",IFERROR(1/(1/_xlfn.MINIFS(Apparitions!$L$2:$L$5001,Apparitions!$G$2:$G$5001,A1422)),""))</f>
        <v/>
      </c>
      <c r="L1422" s="27" t="str">
        <f aca="false">IF(A1422="","",A1422&amp;" | "&amp;B1422&amp;IF(C1422="",""," ("&amp;C1422&amp;")")&amp;IF(D1422="",""," - "&amp;D1422))</f>
        <v/>
      </c>
    </row>
    <row r="1423" customFormat="false" ht="15" hidden="false" customHeight="false" outlineLevel="0" collapsed="false">
      <c r="A1423" s="32"/>
      <c r="B1423" s="19"/>
      <c r="C1423" s="19"/>
      <c r="D1423" s="19"/>
      <c r="E1423" s="21"/>
      <c r="F1423" s="19"/>
      <c r="G1423" s="27" t="str">
        <f aca="false">IF(B1423="","",IFERROR(INDEX(Jeux!$C$2:$C$3001,MATCH(B1423,Jeux!$A$2:$A$3001,0))&amp;"","⚠ jeu inconnu"))</f>
        <v/>
      </c>
      <c r="H1423" s="27" t="str">
        <f aca="false">IF(B1423="","",IFERROR(INDEX(Jeux!$D$2:$D$3001,MATCH(B1423,Jeux!$A$2:$A$3001,0))&amp;"",""))</f>
        <v/>
      </c>
      <c r="I1423" s="26" t="str">
        <f aca="false">IF(A1423="","",COUNTIF(Apparitions!$G$2:$G$5001,A1423))</f>
        <v/>
      </c>
      <c r="J1423" s="26" t="str">
        <f aca="false">IF(A1423="","",COUNTIFS(Apparitions!$G$2:$G$5001,A1423,Apparitions!$E$2:$E$5001,"○"))</f>
        <v/>
      </c>
      <c r="K1423" s="29" t="str">
        <f aca="false">IF(A1423="","",IFERROR(1/(1/_xlfn.MINIFS(Apparitions!$L$2:$L$5001,Apparitions!$G$2:$G$5001,A1423)),""))</f>
        <v/>
      </c>
      <c r="L1423" s="27" t="str">
        <f aca="false">IF(A1423="","",A1423&amp;" | "&amp;B1423&amp;IF(C1423="",""," ("&amp;C1423&amp;")")&amp;IF(D1423="",""," - "&amp;D1423))</f>
        <v/>
      </c>
    </row>
    <row r="1424" customFormat="false" ht="15" hidden="false" customHeight="false" outlineLevel="0" collapsed="false">
      <c r="A1424" s="32"/>
      <c r="B1424" s="19"/>
      <c r="C1424" s="19"/>
      <c r="D1424" s="19"/>
      <c r="E1424" s="21"/>
      <c r="F1424" s="19"/>
      <c r="G1424" s="27" t="str">
        <f aca="false">IF(B1424="","",IFERROR(INDEX(Jeux!$C$2:$C$3001,MATCH(B1424,Jeux!$A$2:$A$3001,0))&amp;"","⚠ jeu inconnu"))</f>
        <v/>
      </c>
      <c r="H1424" s="27" t="str">
        <f aca="false">IF(B1424="","",IFERROR(INDEX(Jeux!$D$2:$D$3001,MATCH(B1424,Jeux!$A$2:$A$3001,0))&amp;"",""))</f>
        <v/>
      </c>
      <c r="I1424" s="26" t="str">
        <f aca="false">IF(A1424="","",COUNTIF(Apparitions!$G$2:$G$5001,A1424))</f>
        <v/>
      </c>
      <c r="J1424" s="26" t="str">
        <f aca="false">IF(A1424="","",COUNTIFS(Apparitions!$G$2:$G$5001,A1424,Apparitions!$E$2:$E$5001,"○"))</f>
        <v/>
      </c>
      <c r="K1424" s="29" t="str">
        <f aca="false">IF(A1424="","",IFERROR(1/(1/_xlfn.MINIFS(Apparitions!$L$2:$L$5001,Apparitions!$G$2:$G$5001,A1424)),""))</f>
        <v/>
      </c>
      <c r="L1424" s="27" t="str">
        <f aca="false">IF(A1424="","",A1424&amp;" | "&amp;B1424&amp;IF(C1424="",""," ("&amp;C1424&amp;")")&amp;IF(D1424="",""," - "&amp;D1424))</f>
        <v/>
      </c>
    </row>
    <row r="1425" customFormat="false" ht="15" hidden="false" customHeight="false" outlineLevel="0" collapsed="false">
      <c r="A1425" s="32"/>
      <c r="B1425" s="19"/>
      <c r="C1425" s="19"/>
      <c r="D1425" s="19"/>
      <c r="E1425" s="21"/>
      <c r="F1425" s="19"/>
      <c r="G1425" s="27" t="str">
        <f aca="false">IF(B1425="","",IFERROR(INDEX(Jeux!$C$2:$C$3001,MATCH(B1425,Jeux!$A$2:$A$3001,0))&amp;"","⚠ jeu inconnu"))</f>
        <v/>
      </c>
      <c r="H1425" s="27" t="str">
        <f aca="false">IF(B1425="","",IFERROR(INDEX(Jeux!$D$2:$D$3001,MATCH(B1425,Jeux!$A$2:$A$3001,0))&amp;"",""))</f>
        <v/>
      </c>
      <c r="I1425" s="26" t="str">
        <f aca="false">IF(A1425="","",COUNTIF(Apparitions!$G$2:$G$5001,A1425))</f>
        <v/>
      </c>
      <c r="J1425" s="26" t="str">
        <f aca="false">IF(A1425="","",COUNTIFS(Apparitions!$G$2:$G$5001,A1425,Apparitions!$E$2:$E$5001,"○"))</f>
        <v/>
      </c>
      <c r="K1425" s="29" t="str">
        <f aca="false">IF(A1425="","",IFERROR(1/(1/_xlfn.MINIFS(Apparitions!$L$2:$L$5001,Apparitions!$G$2:$G$5001,A1425)),""))</f>
        <v/>
      </c>
      <c r="L1425" s="27" t="str">
        <f aca="false">IF(A1425="","",A1425&amp;" | "&amp;B1425&amp;IF(C1425="",""," ("&amp;C1425&amp;")")&amp;IF(D1425="",""," - "&amp;D1425))</f>
        <v/>
      </c>
    </row>
    <row r="1426" customFormat="false" ht="15" hidden="false" customHeight="false" outlineLevel="0" collapsed="false">
      <c r="A1426" s="32"/>
      <c r="B1426" s="19"/>
      <c r="C1426" s="19"/>
      <c r="D1426" s="19"/>
      <c r="E1426" s="21"/>
      <c r="F1426" s="19"/>
      <c r="G1426" s="27" t="str">
        <f aca="false">IF(B1426="","",IFERROR(INDEX(Jeux!$C$2:$C$3001,MATCH(B1426,Jeux!$A$2:$A$3001,0))&amp;"","⚠ jeu inconnu"))</f>
        <v/>
      </c>
      <c r="H1426" s="27" t="str">
        <f aca="false">IF(B1426="","",IFERROR(INDEX(Jeux!$D$2:$D$3001,MATCH(B1426,Jeux!$A$2:$A$3001,0))&amp;"",""))</f>
        <v/>
      </c>
      <c r="I1426" s="26" t="str">
        <f aca="false">IF(A1426="","",COUNTIF(Apparitions!$G$2:$G$5001,A1426))</f>
        <v/>
      </c>
      <c r="J1426" s="26" t="str">
        <f aca="false">IF(A1426="","",COUNTIFS(Apparitions!$G$2:$G$5001,A1426,Apparitions!$E$2:$E$5001,"○"))</f>
        <v/>
      </c>
      <c r="K1426" s="29" t="str">
        <f aca="false">IF(A1426="","",IFERROR(1/(1/_xlfn.MINIFS(Apparitions!$L$2:$L$5001,Apparitions!$G$2:$G$5001,A1426)),""))</f>
        <v/>
      </c>
      <c r="L1426" s="27" t="str">
        <f aca="false">IF(A1426="","",A1426&amp;" | "&amp;B1426&amp;IF(C1426="",""," ("&amp;C1426&amp;")")&amp;IF(D1426="",""," - "&amp;D1426))</f>
        <v/>
      </c>
    </row>
    <row r="1427" customFormat="false" ht="15" hidden="false" customHeight="false" outlineLevel="0" collapsed="false">
      <c r="A1427" s="32"/>
      <c r="B1427" s="19"/>
      <c r="C1427" s="19"/>
      <c r="D1427" s="19"/>
      <c r="E1427" s="21"/>
      <c r="F1427" s="19"/>
      <c r="G1427" s="27" t="str">
        <f aca="false">IF(B1427="","",IFERROR(INDEX(Jeux!$C$2:$C$3001,MATCH(B1427,Jeux!$A$2:$A$3001,0))&amp;"","⚠ jeu inconnu"))</f>
        <v/>
      </c>
      <c r="H1427" s="27" t="str">
        <f aca="false">IF(B1427="","",IFERROR(INDEX(Jeux!$D$2:$D$3001,MATCH(B1427,Jeux!$A$2:$A$3001,0))&amp;"",""))</f>
        <v/>
      </c>
      <c r="I1427" s="26" t="str">
        <f aca="false">IF(A1427="","",COUNTIF(Apparitions!$G$2:$G$5001,A1427))</f>
        <v/>
      </c>
      <c r="J1427" s="26" t="str">
        <f aca="false">IF(A1427="","",COUNTIFS(Apparitions!$G$2:$G$5001,A1427,Apparitions!$E$2:$E$5001,"○"))</f>
        <v/>
      </c>
      <c r="K1427" s="29" t="str">
        <f aca="false">IF(A1427="","",IFERROR(1/(1/_xlfn.MINIFS(Apparitions!$L$2:$L$5001,Apparitions!$G$2:$G$5001,A1427)),""))</f>
        <v/>
      </c>
      <c r="L1427" s="27" t="str">
        <f aca="false">IF(A1427="","",A1427&amp;" | "&amp;B1427&amp;IF(C1427="",""," ("&amp;C1427&amp;")")&amp;IF(D1427="",""," - "&amp;D1427))</f>
        <v/>
      </c>
    </row>
    <row r="1428" customFormat="false" ht="15" hidden="false" customHeight="false" outlineLevel="0" collapsed="false">
      <c r="A1428" s="32"/>
      <c r="B1428" s="19"/>
      <c r="C1428" s="19"/>
      <c r="D1428" s="19"/>
      <c r="E1428" s="21"/>
      <c r="F1428" s="19"/>
      <c r="G1428" s="27" t="str">
        <f aca="false">IF(B1428="","",IFERROR(INDEX(Jeux!$C$2:$C$3001,MATCH(B1428,Jeux!$A$2:$A$3001,0))&amp;"","⚠ jeu inconnu"))</f>
        <v/>
      </c>
      <c r="H1428" s="27" t="str">
        <f aca="false">IF(B1428="","",IFERROR(INDEX(Jeux!$D$2:$D$3001,MATCH(B1428,Jeux!$A$2:$A$3001,0))&amp;"",""))</f>
        <v/>
      </c>
      <c r="I1428" s="26" t="str">
        <f aca="false">IF(A1428="","",COUNTIF(Apparitions!$G$2:$G$5001,A1428))</f>
        <v/>
      </c>
      <c r="J1428" s="26" t="str">
        <f aca="false">IF(A1428="","",COUNTIFS(Apparitions!$G$2:$G$5001,A1428,Apparitions!$E$2:$E$5001,"○"))</f>
        <v/>
      </c>
      <c r="K1428" s="29" t="str">
        <f aca="false">IF(A1428="","",IFERROR(1/(1/_xlfn.MINIFS(Apparitions!$L$2:$L$5001,Apparitions!$G$2:$G$5001,A1428)),""))</f>
        <v/>
      </c>
      <c r="L1428" s="27" t="str">
        <f aca="false">IF(A1428="","",A1428&amp;" | "&amp;B1428&amp;IF(C1428="",""," ("&amp;C1428&amp;")")&amp;IF(D1428="",""," - "&amp;D1428))</f>
        <v/>
      </c>
    </row>
    <row r="1429" customFormat="false" ht="15" hidden="false" customHeight="false" outlineLevel="0" collapsed="false">
      <c r="A1429" s="32"/>
      <c r="B1429" s="19"/>
      <c r="C1429" s="19"/>
      <c r="D1429" s="19"/>
      <c r="E1429" s="21"/>
      <c r="F1429" s="19"/>
      <c r="G1429" s="27" t="str">
        <f aca="false">IF(B1429="","",IFERROR(INDEX(Jeux!$C$2:$C$3001,MATCH(B1429,Jeux!$A$2:$A$3001,0))&amp;"","⚠ jeu inconnu"))</f>
        <v/>
      </c>
      <c r="H1429" s="27" t="str">
        <f aca="false">IF(B1429="","",IFERROR(INDEX(Jeux!$D$2:$D$3001,MATCH(B1429,Jeux!$A$2:$A$3001,0))&amp;"",""))</f>
        <v/>
      </c>
      <c r="I1429" s="26" t="str">
        <f aca="false">IF(A1429="","",COUNTIF(Apparitions!$G$2:$G$5001,A1429))</f>
        <v/>
      </c>
      <c r="J1429" s="26" t="str">
        <f aca="false">IF(A1429="","",COUNTIFS(Apparitions!$G$2:$G$5001,A1429,Apparitions!$E$2:$E$5001,"○"))</f>
        <v/>
      </c>
      <c r="K1429" s="29" t="str">
        <f aca="false">IF(A1429="","",IFERROR(1/(1/_xlfn.MINIFS(Apparitions!$L$2:$L$5001,Apparitions!$G$2:$G$5001,A1429)),""))</f>
        <v/>
      </c>
      <c r="L1429" s="27" t="str">
        <f aca="false">IF(A1429="","",A1429&amp;" | "&amp;B1429&amp;IF(C1429="",""," ("&amp;C1429&amp;")")&amp;IF(D1429="",""," - "&amp;D1429))</f>
        <v/>
      </c>
    </row>
    <row r="1430" customFormat="false" ht="15" hidden="false" customHeight="false" outlineLevel="0" collapsed="false">
      <c r="A1430" s="32"/>
      <c r="B1430" s="19"/>
      <c r="C1430" s="19"/>
      <c r="D1430" s="19"/>
      <c r="E1430" s="21"/>
      <c r="F1430" s="19"/>
      <c r="G1430" s="27" t="str">
        <f aca="false">IF(B1430="","",IFERROR(INDEX(Jeux!$C$2:$C$3001,MATCH(B1430,Jeux!$A$2:$A$3001,0))&amp;"","⚠ jeu inconnu"))</f>
        <v/>
      </c>
      <c r="H1430" s="27" t="str">
        <f aca="false">IF(B1430="","",IFERROR(INDEX(Jeux!$D$2:$D$3001,MATCH(B1430,Jeux!$A$2:$A$3001,0))&amp;"",""))</f>
        <v/>
      </c>
      <c r="I1430" s="26" t="str">
        <f aca="false">IF(A1430="","",COUNTIF(Apparitions!$G$2:$G$5001,A1430))</f>
        <v/>
      </c>
      <c r="J1430" s="26" t="str">
        <f aca="false">IF(A1430="","",COUNTIFS(Apparitions!$G$2:$G$5001,A1430,Apparitions!$E$2:$E$5001,"○"))</f>
        <v/>
      </c>
      <c r="K1430" s="29" t="str">
        <f aca="false">IF(A1430="","",IFERROR(1/(1/_xlfn.MINIFS(Apparitions!$L$2:$L$5001,Apparitions!$G$2:$G$5001,A1430)),""))</f>
        <v/>
      </c>
      <c r="L1430" s="27" t="str">
        <f aca="false">IF(A1430="","",A1430&amp;" | "&amp;B1430&amp;IF(C1430="",""," ("&amp;C1430&amp;")")&amp;IF(D1430="",""," - "&amp;D1430))</f>
        <v/>
      </c>
    </row>
    <row r="1431" customFormat="false" ht="15" hidden="false" customHeight="false" outlineLevel="0" collapsed="false">
      <c r="A1431" s="32"/>
      <c r="B1431" s="19"/>
      <c r="C1431" s="19"/>
      <c r="D1431" s="19"/>
      <c r="E1431" s="21"/>
      <c r="F1431" s="19"/>
      <c r="G1431" s="27" t="str">
        <f aca="false">IF(B1431="","",IFERROR(INDEX(Jeux!$C$2:$C$3001,MATCH(B1431,Jeux!$A$2:$A$3001,0))&amp;"","⚠ jeu inconnu"))</f>
        <v/>
      </c>
      <c r="H1431" s="27" t="str">
        <f aca="false">IF(B1431="","",IFERROR(INDEX(Jeux!$D$2:$D$3001,MATCH(B1431,Jeux!$A$2:$A$3001,0))&amp;"",""))</f>
        <v/>
      </c>
      <c r="I1431" s="26" t="str">
        <f aca="false">IF(A1431="","",COUNTIF(Apparitions!$G$2:$G$5001,A1431))</f>
        <v/>
      </c>
      <c r="J1431" s="26" t="str">
        <f aca="false">IF(A1431="","",COUNTIFS(Apparitions!$G$2:$G$5001,A1431,Apparitions!$E$2:$E$5001,"○"))</f>
        <v/>
      </c>
      <c r="K1431" s="29" t="str">
        <f aca="false">IF(A1431="","",IFERROR(1/(1/_xlfn.MINIFS(Apparitions!$L$2:$L$5001,Apparitions!$G$2:$G$5001,A1431)),""))</f>
        <v/>
      </c>
      <c r="L1431" s="27" t="str">
        <f aca="false">IF(A1431="","",A1431&amp;" | "&amp;B1431&amp;IF(C1431="",""," ("&amp;C1431&amp;")")&amp;IF(D1431="",""," - "&amp;D1431))</f>
        <v/>
      </c>
    </row>
    <row r="1432" customFormat="false" ht="15" hidden="false" customHeight="false" outlineLevel="0" collapsed="false">
      <c r="A1432" s="32"/>
      <c r="B1432" s="19"/>
      <c r="C1432" s="19"/>
      <c r="D1432" s="19"/>
      <c r="E1432" s="21"/>
      <c r="F1432" s="19"/>
      <c r="G1432" s="27" t="str">
        <f aca="false">IF(B1432="","",IFERROR(INDEX(Jeux!$C$2:$C$3001,MATCH(B1432,Jeux!$A$2:$A$3001,0))&amp;"","⚠ jeu inconnu"))</f>
        <v/>
      </c>
      <c r="H1432" s="27" t="str">
        <f aca="false">IF(B1432="","",IFERROR(INDEX(Jeux!$D$2:$D$3001,MATCH(B1432,Jeux!$A$2:$A$3001,0))&amp;"",""))</f>
        <v/>
      </c>
      <c r="I1432" s="26" t="str">
        <f aca="false">IF(A1432="","",COUNTIF(Apparitions!$G$2:$G$5001,A1432))</f>
        <v/>
      </c>
      <c r="J1432" s="26" t="str">
        <f aca="false">IF(A1432="","",COUNTIFS(Apparitions!$G$2:$G$5001,A1432,Apparitions!$E$2:$E$5001,"○"))</f>
        <v/>
      </c>
      <c r="K1432" s="29" t="str">
        <f aca="false">IF(A1432="","",IFERROR(1/(1/_xlfn.MINIFS(Apparitions!$L$2:$L$5001,Apparitions!$G$2:$G$5001,A1432)),""))</f>
        <v/>
      </c>
      <c r="L1432" s="27" t="str">
        <f aca="false">IF(A1432="","",A1432&amp;" | "&amp;B1432&amp;IF(C1432="",""," ("&amp;C1432&amp;")")&amp;IF(D1432="",""," - "&amp;D1432))</f>
        <v/>
      </c>
    </row>
    <row r="1433" customFormat="false" ht="15" hidden="false" customHeight="false" outlineLevel="0" collapsed="false">
      <c r="A1433" s="32"/>
      <c r="B1433" s="19"/>
      <c r="C1433" s="19"/>
      <c r="D1433" s="19"/>
      <c r="E1433" s="21"/>
      <c r="F1433" s="19"/>
      <c r="G1433" s="27" t="str">
        <f aca="false">IF(B1433="","",IFERROR(INDEX(Jeux!$C$2:$C$3001,MATCH(B1433,Jeux!$A$2:$A$3001,0))&amp;"","⚠ jeu inconnu"))</f>
        <v/>
      </c>
      <c r="H1433" s="27" t="str">
        <f aca="false">IF(B1433="","",IFERROR(INDEX(Jeux!$D$2:$D$3001,MATCH(B1433,Jeux!$A$2:$A$3001,0))&amp;"",""))</f>
        <v/>
      </c>
      <c r="I1433" s="26" t="str">
        <f aca="false">IF(A1433="","",COUNTIF(Apparitions!$G$2:$G$5001,A1433))</f>
        <v/>
      </c>
      <c r="J1433" s="26" t="str">
        <f aca="false">IF(A1433="","",COUNTIFS(Apparitions!$G$2:$G$5001,A1433,Apparitions!$E$2:$E$5001,"○"))</f>
        <v/>
      </c>
      <c r="K1433" s="29" t="str">
        <f aca="false">IF(A1433="","",IFERROR(1/(1/_xlfn.MINIFS(Apparitions!$L$2:$L$5001,Apparitions!$G$2:$G$5001,A1433)),""))</f>
        <v/>
      </c>
      <c r="L1433" s="27" t="str">
        <f aca="false">IF(A1433="","",A1433&amp;" | "&amp;B1433&amp;IF(C1433="",""," ("&amp;C1433&amp;")")&amp;IF(D1433="",""," - "&amp;D1433))</f>
        <v/>
      </c>
    </row>
    <row r="1434" customFormat="false" ht="15" hidden="false" customHeight="false" outlineLevel="0" collapsed="false">
      <c r="A1434" s="32"/>
      <c r="B1434" s="19"/>
      <c r="C1434" s="19"/>
      <c r="D1434" s="19"/>
      <c r="E1434" s="21"/>
      <c r="F1434" s="19"/>
      <c r="G1434" s="27" t="str">
        <f aca="false">IF(B1434="","",IFERROR(INDEX(Jeux!$C$2:$C$3001,MATCH(B1434,Jeux!$A$2:$A$3001,0))&amp;"","⚠ jeu inconnu"))</f>
        <v/>
      </c>
      <c r="H1434" s="27" t="str">
        <f aca="false">IF(B1434="","",IFERROR(INDEX(Jeux!$D$2:$D$3001,MATCH(B1434,Jeux!$A$2:$A$3001,0))&amp;"",""))</f>
        <v/>
      </c>
      <c r="I1434" s="26" t="str">
        <f aca="false">IF(A1434="","",COUNTIF(Apparitions!$G$2:$G$5001,A1434))</f>
        <v/>
      </c>
      <c r="J1434" s="26" t="str">
        <f aca="false">IF(A1434="","",COUNTIFS(Apparitions!$G$2:$G$5001,A1434,Apparitions!$E$2:$E$5001,"○"))</f>
        <v/>
      </c>
      <c r="K1434" s="29" t="str">
        <f aca="false">IF(A1434="","",IFERROR(1/(1/_xlfn.MINIFS(Apparitions!$L$2:$L$5001,Apparitions!$G$2:$G$5001,A1434)),""))</f>
        <v/>
      </c>
      <c r="L1434" s="27" t="str">
        <f aca="false">IF(A1434="","",A1434&amp;" | "&amp;B1434&amp;IF(C1434="",""," ("&amp;C1434&amp;")")&amp;IF(D1434="",""," - "&amp;D1434))</f>
        <v/>
      </c>
    </row>
    <row r="1435" customFormat="false" ht="15" hidden="false" customHeight="false" outlineLevel="0" collapsed="false">
      <c r="A1435" s="32"/>
      <c r="B1435" s="19"/>
      <c r="C1435" s="19"/>
      <c r="D1435" s="19"/>
      <c r="E1435" s="21"/>
      <c r="F1435" s="19"/>
      <c r="G1435" s="27" t="str">
        <f aca="false">IF(B1435="","",IFERROR(INDEX(Jeux!$C$2:$C$3001,MATCH(B1435,Jeux!$A$2:$A$3001,0))&amp;"","⚠ jeu inconnu"))</f>
        <v/>
      </c>
      <c r="H1435" s="27" t="str">
        <f aca="false">IF(B1435="","",IFERROR(INDEX(Jeux!$D$2:$D$3001,MATCH(B1435,Jeux!$A$2:$A$3001,0))&amp;"",""))</f>
        <v/>
      </c>
      <c r="I1435" s="26" t="str">
        <f aca="false">IF(A1435="","",COUNTIF(Apparitions!$G$2:$G$5001,A1435))</f>
        <v/>
      </c>
      <c r="J1435" s="26" t="str">
        <f aca="false">IF(A1435="","",COUNTIFS(Apparitions!$G$2:$G$5001,A1435,Apparitions!$E$2:$E$5001,"○"))</f>
        <v/>
      </c>
      <c r="K1435" s="29" t="str">
        <f aca="false">IF(A1435="","",IFERROR(1/(1/_xlfn.MINIFS(Apparitions!$L$2:$L$5001,Apparitions!$G$2:$G$5001,A1435)),""))</f>
        <v/>
      </c>
      <c r="L1435" s="27" t="str">
        <f aca="false">IF(A1435="","",A1435&amp;" | "&amp;B1435&amp;IF(C1435="",""," ("&amp;C1435&amp;")")&amp;IF(D1435="",""," - "&amp;D1435))</f>
        <v/>
      </c>
    </row>
    <row r="1436" customFormat="false" ht="15" hidden="false" customHeight="false" outlineLevel="0" collapsed="false">
      <c r="A1436" s="32"/>
      <c r="B1436" s="19"/>
      <c r="C1436" s="19"/>
      <c r="D1436" s="19"/>
      <c r="E1436" s="21"/>
      <c r="F1436" s="19"/>
      <c r="G1436" s="27" t="str">
        <f aca="false">IF(B1436="","",IFERROR(INDEX(Jeux!$C$2:$C$3001,MATCH(B1436,Jeux!$A$2:$A$3001,0))&amp;"","⚠ jeu inconnu"))</f>
        <v/>
      </c>
      <c r="H1436" s="27" t="str">
        <f aca="false">IF(B1436="","",IFERROR(INDEX(Jeux!$D$2:$D$3001,MATCH(B1436,Jeux!$A$2:$A$3001,0))&amp;"",""))</f>
        <v/>
      </c>
      <c r="I1436" s="26" t="str">
        <f aca="false">IF(A1436="","",COUNTIF(Apparitions!$G$2:$G$5001,A1436))</f>
        <v/>
      </c>
      <c r="J1436" s="26" t="str">
        <f aca="false">IF(A1436="","",COUNTIFS(Apparitions!$G$2:$G$5001,A1436,Apparitions!$E$2:$E$5001,"○"))</f>
        <v/>
      </c>
      <c r="K1436" s="29" t="str">
        <f aca="false">IF(A1436="","",IFERROR(1/(1/_xlfn.MINIFS(Apparitions!$L$2:$L$5001,Apparitions!$G$2:$G$5001,A1436)),""))</f>
        <v/>
      </c>
      <c r="L1436" s="27" t="str">
        <f aca="false">IF(A1436="","",A1436&amp;" | "&amp;B1436&amp;IF(C1436="",""," ("&amp;C1436&amp;")")&amp;IF(D1436="",""," - "&amp;D1436))</f>
        <v/>
      </c>
    </row>
    <row r="1437" customFormat="false" ht="15" hidden="false" customHeight="false" outlineLevel="0" collapsed="false">
      <c r="A1437" s="32"/>
      <c r="B1437" s="19"/>
      <c r="C1437" s="19"/>
      <c r="D1437" s="19"/>
      <c r="E1437" s="21"/>
      <c r="F1437" s="19"/>
      <c r="G1437" s="27" t="str">
        <f aca="false">IF(B1437="","",IFERROR(INDEX(Jeux!$C$2:$C$3001,MATCH(B1437,Jeux!$A$2:$A$3001,0))&amp;"","⚠ jeu inconnu"))</f>
        <v/>
      </c>
      <c r="H1437" s="27" t="str">
        <f aca="false">IF(B1437="","",IFERROR(INDEX(Jeux!$D$2:$D$3001,MATCH(B1437,Jeux!$A$2:$A$3001,0))&amp;"",""))</f>
        <v/>
      </c>
      <c r="I1437" s="26" t="str">
        <f aca="false">IF(A1437="","",COUNTIF(Apparitions!$G$2:$G$5001,A1437))</f>
        <v/>
      </c>
      <c r="J1437" s="26" t="str">
        <f aca="false">IF(A1437="","",COUNTIFS(Apparitions!$G$2:$G$5001,A1437,Apparitions!$E$2:$E$5001,"○"))</f>
        <v/>
      </c>
      <c r="K1437" s="29" t="str">
        <f aca="false">IF(A1437="","",IFERROR(1/(1/_xlfn.MINIFS(Apparitions!$L$2:$L$5001,Apparitions!$G$2:$G$5001,A1437)),""))</f>
        <v/>
      </c>
      <c r="L1437" s="27" t="str">
        <f aca="false">IF(A1437="","",A1437&amp;" | "&amp;B1437&amp;IF(C1437="",""," ("&amp;C1437&amp;")")&amp;IF(D1437="",""," - "&amp;D1437))</f>
        <v/>
      </c>
    </row>
    <row r="1438" customFormat="false" ht="15" hidden="false" customHeight="false" outlineLevel="0" collapsed="false">
      <c r="A1438" s="32"/>
      <c r="B1438" s="19"/>
      <c r="C1438" s="19"/>
      <c r="D1438" s="19"/>
      <c r="E1438" s="21"/>
      <c r="F1438" s="19"/>
      <c r="G1438" s="27" t="str">
        <f aca="false">IF(B1438="","",IFERROR(INDEX(Jeux!$C$2:$C$3001,MATCH(B1438,Jeux!$A$2:$A$3001,0))&amp;"","⚠ jeu inconnu"))</f>
        <v/>
      </c>
      <c r="H1438" s="27" t="str">
        <f aca="false">IF(B1438="","",IFERROR(INDEX(Jeux!$D$2:$D$3001,MATCH(B1438,Jeux!$A$2:$A$3001,0))&amp;"",""))</f>
        <v/>
      </c>
      <c r="I1438" s="26" t="str">
        <f aca="false">IF(A1438="","",COUNTIF(Apparitions!$G$2:$G$5001,A1438))</f>
        <v/>
      </c>
      <c r="J1438" s="26" t="str">
        <f aca="false">IF(A1438="","",COUNTIFS(Apparitions!$G$2:$G$5001,A1438,Apparitions!$E$2:$E$5001,"○"))</f>
        <v/>
      </c>
      <c r="K1438" s="29" t="str">
        <f aca="false">IF(A1438="","",IFERROR(1/(1/_xlfn.MINIFS(Apparitions!$L$2:$L$5001,Apparitions!$G$2:$G$5001,A1438)),""))</f>
        <v/>
      </c>
      <c r="L1438" s="27" t="str">
        <f aca="false">IF(A1438="","",A1438&amp;" | "&amp;B1438&amp;IF(C1438="",""," ("&amp;C1438&amp;")")&amp;IF(D1438="",""," - "&amp;D1438))</f>
        <v/>
      </c>
    </row>
    <row r="1439" customFormat="false" ht="15" hidden="false" customHeight="false" outlineLevel="0" collapsed="false">
      <c r="A1439" s="32"/>
      <c r="B1439" s="19"/>
      <c r="C1439" s="19"/>
      <c r="D1439" s="19"/>
      <c r="E1439" s="21"/>
      <c r="F1439" s="19"/>
      <c r="G1439" s="27" t="str">
        <f aca="false">IF(B1439="","",IFERROR(INDEX(Jeux!$C$2:$C$3001,MATCH(B1439,Jeux!$A$2:$A$3001,0))&amp;"","⚠ jeu inconnu"))</f>
        <v/>
      </c>
      <c r="H1439" s="27" t="str">
        <f aca="false">IF(B1439="","",IFERROR(INDEX(Jeux!$D$2:$D$3001,MATCH(B1439,Jeux!$A$2:$A$3001,0))&amp;"",""))</f>
        <v/>
      </c>
      <c r="I1439" s="26" t="str">
        <f aca="false">IF(A1439="","",COUNTIF(Apparitions!$G$2:$G$5001,A1439))</f>
        <v/>
      </c>
      <c r="J1439" s="26" t="str">
        <f aca="false">IF(A1439="","",COUNTIFS(Apparitions!$G$2:$G$5001,A1439,Apparitions!$E$2:$E$5001,"○"))</f>
        <v/>
      </c>
      <c r="K1439" s="29" t="str">
        <f aca="false">IF(A1439="","",IFERROR(1/(1/_xlfn.MINIFS(Apparitions!$L$2:$L$5001,Apparitions!$G$2:$G$5001,A1439)),""))</f>
        <v/>
      </c>
      <c r="L1439" s="27" t="str">
        <f aca="false">IF(A1439="","",A1439&amp;" | "&amp;B1439&amp;IF(C1439="",""," ("&amp;C1439&amp;")")&amp;IF(D1439="",""," - "&amp;D1439))</f>
        <v/>
      </c>
    </row>
    <row r="1440" customFormat="false" ht="15" hidden="false" customHeight="false" outlineLevel="0" collapsed="false">
      <c r="A1440" s="32"/>
      <c r="B1440" s="19"/>
      <c r="C1440" s="19"/>
      <c r="D1440" s="19"/>
      <c r="E1440" s="21"/>
      <c r="F1440" s="19"/>
      <c r="G1440" s="27" t="str">
        <f aca="false">IF(B1440="","",IFERROR(INDEX(Jeux!$C$2:$C$3001,MATCH(B1440,Jeux!$A$2:$A$3001,0))&amp;"","⚠ jeu inconnu"))</f>
        <v/>
      </c>
      <c r="H1440" s="27" t="str">
        <f aca="false">IF(B1440="","",IFERROR(INDEX(Jeux!$D$2:$D$3001,MATCH(B1440,Jeux!$A$2:$A$3001,0))&amp;"",""))</f>
        <v/>
      </c>
      <c r="I1440" s="26" t="str">
        <f aca="false">IF(A1440="","",COUNTIF(Apparitions!$G$2:$G$5001,A1440))</f>
        <v/>
      </c>
      <c r="J1440" s="26" t="str">
        <f aca="false">IF(A1440="","",COUNTIFS(Apparitions!$G$2:$G$5001,A1440,Apparitions!$E$2:$E$5001,"○"))</f>
        <v/>
      </c>
      <c r="K1440" s="29" t="str">
        <f aca="false">IF(A1440="","",IFERROR(1/(1/_xlfn.MINIFS(Apparitions!$L$2:$L$5001,Apparitions!$G$2:$G$5001,A1440)),""))</f>
        <v/>
      </c>
      <c r="L1440" s="27" t="str">
        <f aca="false">IF(A1440="","",A1440&amp;" | "&amp;B1440&amp;IF(C1440="",""," ("&amp;C1440&amp;")")&amp;IF(D1440="",""," - "&amp;D1440))</f>
        <v/>
      </c>
    </row>
    <row r="1441" customFormat="false" ht="15" hidden="false" customHeight="false" outlineLevel="0" collapsed="false">
      <c r="A1441" s="32"/>
      <c r="B1441" s="19"/>
      <c r="C1441" s="19"/>
      <c r="D1441" s="19"/>
      <c r="E1441" s="21"/>
      <c r="F1441" s="19"/>
      <c r="G1441" s="27" t="str">
        <f aca="false">IF(B1441="","",IFERROR(INDEX(Jeux!$C$2:$C$3001,MATCH(B1441,Jeux!$A$2:$A$3001,0))&amp;"","⚠ jeu inconnu"))</f>
        <v/>
      </c>
      <c r="H1441" s="27" t="str">
        <f aca="false">IF(B1441="","",IFERROR(INDEX(Jeux!$D$2:$D$3001,MATCH(B1441,Jeux!$A$2:$A$3001,0))&amp;"",""))</f>
        <v/>
      </c>
      <c r="I1441" s="26" t="str">
        <f aca="false">IF(A1441="","",COUNTIF(Apparitions!$G$2:$G$5001,A1441))</f>
        <v/>
      </c>
      <c r="J1441" s="26" t="str">
        <f aca="false">IF(A1441="","",COUNTIFS(Apparitions!$G$2:$G$5001,A1441,Apparitions!$E$2:$E$5001,"○"))</f>
        <v/>
      </c>
      <c r="K1441" s="29" t="str">
        <f aca="false">IF(A1441="","",IFERROR(1/(1/_xlfn.MINIFS(Apparitions!$L$2:$L$5001,Apparitions!$G$2:$G$5001,A1441)),""))</f>
        <v/>
      </c>
      <c r="L1441" s="27" t="str">
        <f aca="false">IF(A1441="","",A1441&amp;" | "&amp;B1441&amp;IF(C1441="",""," ("&amp;C1441&amp;")")&amp;IF(D1441="",""," - "&amp;D1441))</f>
        <v/>
      </c>
    </row>
    <row r="1442" customFormat="false" ht="15" hidden="false" customHeight="false" outlineLevel="0" collapsed="false">
      <c r="A1442" s="32"/>
      <c r="B1442" s="19"/>
      <c r="C1442" s="19"/>
      <c r="D1442" s="19"/>
      <c r="E1442" s="21"/>
      <c r="F1442" s="19"/>
      <c r="G1442" s="27" t="str">
        <f aca="false">IF(B1442="","",IFERROR(INDEX(Jeux!$C$2:$C$3001,MATCH(B1442,Jeux!$A$2:$A$3001,0))&amp;"","⚠ jeu inconnu"))</f>
        <v/>
      </c>
      <c r="H1442" s="27" t="str">
        <f aca="false">IF(B1442="","",IFERROR(INDEX(Jeux!$D$2:$D$3001,MATCH(B1442,Jeux!$A$2:$A$3001,0))&amp;"",""))</f>
        <v/>
      </c>
      <c r="I1442" s="26" t="str">
        <f aca="false">IF(A1442="","",COUNTIF(Apparitions!$G$2:$G$5001,A1442))</f>
        <v/>
      </c>
      <c r="J1442" s="26" t="str">
        <f aca="false">IF(A1442="","",COUNTIFS(Apparitions!$G$2:$G$5001,A1442,Apparitions!$E$2:$E$5001,"○"))</f>
        <v/>
      </c>
      <c r="K1442" s="29" t="str">
        <f aca="false">IF(A1442="","",IFERROR(1/(1/_xlfn.MINIFS(Apparitions!$L$2:$L$5001,Apparitions!$G$2:$G$5001,A1442)),""))</f>
        <v/>
      </c>
      <c r="L1442" s="27" t="str">
        <f aca="false">IF(A1442="","",A1442&amp;" | "&amp;B1442&amp;IF(C1442="",""," ("&amp;C1442&amp;")")&amp;IF(D1442="",""," - "&amp;D1442))</f>
        <v/>
      </c>
    </row>
    <row r="1443" customFormat="false" ht="15" hidden="false" customHeight="false" outlineLevel="0" collapsed="false">
      <c r="A1443" s="32"/>
      <c r="B1443" s="19"/>
      <c r="C1443" s="19"/>
      <c r="D1443" s="19"/>
      <c r="E1443" s="21"/>
      <c r="F1443" s="19"/>
      <c r="G1443" s="27" t="str">
        <f aca="false">IF(B1443="","",IFERROR(INDEX(Jeux!$C$2:$C$3001,MATCH(B1443,Jeux!$A$2:$A$3001,0))&amp;"","⚠ jeu inconnu"))</f>
        <v/>
      </c>
      <c r="H1443" s="27" t="str">
        <f aca="false">IF(B1443="","",IFERROR(INDEX(Jeux!$D$2:$D$3001,MATCH(B1443,Jeux!$A$2:$A$3001,0))&amp;"",""))</f>
        <v/>
      </c>
      <c r="I1443" s="26" t="str">
        <f aca="false">IF(A1443="","",COUNTIF(Apparitions!$G$2:$G$5001,A1443))</f>
        <v/>
      </c>
      <c r="J1443" s="26" t="str">
        <f aca="false">IF(A1443="","",COUNTIFS(Apparitions!$G$2:$G$5001,A1443,Apparitions!$E$2:$E$5001,"○"))</f>
        <v/>
      </c>
      <c r="K1443" s="29" t="str">
        <f aca="false">IF(A1443="","",IFERROR(1/(1/_xlfn.MINIFS(Apparitions!$L$2:$L$5001,Apparitions!$G$2:$G$5001,A1443)),""))</f>
        <v/>
      </c>
      <c r="L1443" s="27" t="str">
        <f aca="false">IF(A1443="","",A1443&amp;" | "&amp;B1443&amp;IF(C1443="",""," ("&amp;C1443&amp;")")&amp;IF(D1443="",""," - "&amp;D1443))</f>
        <v/>
      </c>
    </row>
    <row r="1444" customFormat="false" ht="15" hidden="false" customHeight="false" outlineLevel="0" collapsed="false">
      <c r="A1444" s="32"/>
      <c r="B1444" s="19"/>
      <c r="C1444" s="19"/>
      <c r="D1444" s="19"/>
      <c r="E1444" s="21"/>
      <c r="F1444" s="19"/>
      <c r="G1444" s="27" t="str">
        <f aca="false">IF(B1444="","",IFERROR(INDEX(Jeux!$C$2:$C$3001,MATCH(B1444,Jeux!$A$2:$A$3001,0))&amp;"","⚠ jeu inconnu"))</f>
        <v/>
      </c>
      <c r="H1444" s="27" t="str">
        <f aca="false">IF(B1444="","",IFERROR(INDEX(Jeux!$D$2:$D$3001,MATCH(B1444,Jeux!$A$2:$A$3001,0))&amp;"",""))</f>
        <v/>
      </c>
      <c r="I1444" s="26" t="str">
        <f aca="false">IF(A1444="","",COUNTIF(Apparitions!$G$2:$G$5001,A1444))</f>
        <v/>
      </c>
      <c r="J1444" s="26" t="str">
        <f aca="false">IF(A1444="","",COUNTIFS(Apparitions!$G$2:$G$5001,A1444,Apparitions!$E$2:$E$5001,"○"))</f>
        <v/>
      </c>
      <c r="K1444" s="29" t="str">
        <f aca="false">IF(A1444="","",IFERROR(1/(1/_xlfn.MINIFS(Apparitions!$L$2:$L$5001,Apparitions!$G$2:$G$5001,A1444)),""))</f>
        <v/>
      </c>
      <c r="L1444" s="27" t="str">
        <f aca="false">IF(A1444="","",A1444&amp;" | "&amp;B1444&amp;IF(C1444="",""," ("&amp;C1444&amp;")")&amp;IF(D1444="",""," - "&amp;D1444))</f>
        <v/>
      </c>
    </row>
    <row r="1445" customFormat="false" ht="15" hidden="false" customHeight="false" outlineLevel="0" collapsed="false">
      <c r="A1445" s="32"/>
      <c r="B1445" s="19"/>
      <c r="C1445" s="19"/>
      <c r="D1445" s="19"/>
      <c r="E1445" s="21"/>
      <c r="F1445" s="19"/>
      <c r="G1445" s="27" t="str">
        <f aca="false">IF(B1445="","",IFERROR(INDEX(Jeux!$C$2:$C$3001,MATCH(B1445,Jeux!$A$2:$A$3001,0))&amp;"","⚠ jeu inconnu"))</f>
        <v/>
      </c>
      <c r="H1445" s="27" t="str">
        <f aca="false">IF(B1445="","",IFERROR(INDEX(Jeux!$D$2:$D$3001,MATCH(B1445,Jeux!$A$2:$A$3001,0))&amp;"",""))</f>
        <v/>
      </c>
      <c r="I1445" s="26" t="str">
        <f aca="false">IF(A1445="","",COUNTIF(Apparitions!$G$2:$G$5001,A1445))</f>
        <v/>
      </c>
      <c r="J1445" s="26" t="str">
        <f aca="false">IF(A1445="","",COUNTIFS(Apparitions!$G$2:$G$5001,A1445,Apparitions!$E$2:$E$5001,"○"))</f>
        <v/>
      </c>
      <c r="K1445" s="29" t="str">
        <f aca="false">IF(A1445="","",IFERROR(1/(1/_xlfn.MINIFS(Apparitions!$L$2:$L$5001,Apparitions!$G$2:$G$5001,A1445)),""))</f>
        <v/>
      </c>
      <c r="L1445" s="27" t="str">
        <f aca="false">IF(A1445="","",A1445&amp;" | "&amp;B1445&amp;IF(C1445="",""," ("&amp;C1445&amp;")")&amp;IF(D1445="",""," - "&amp;D1445))</f>
        <v/>
      </c>
    </row>
    <row r="1446" customFormat="false" ht="15" hidden="false" customHeight="false" outlineLevel="0" collapsed="false">
      <c r="A1446" s="32"/>
      <c r="B1446" s="19"/>
      <c r="C1446" s="19"/>
      <c r="D1446" s="19"/>
      <c r="E1446" s="21"/>
      <c r="F1446" s="19"/>
      <c r="G1446" s="27" t="str">
        <f aca="false">IF(B1446="","",IFERROR(INDEX(Jeux!$C$2:$C$3001,MATCH(B1446,Jeux!$A$2:$A$3001,0))&amp;"","⚠ jeu inconnu"))</f>
        <v/>
      </c>
      <c r="H1446" s="27" t="str">
        <f aca="false">IF(B1446="","",IFERROR(INDEX(Jeux!$D$2:$D$3001,MATCH(B1446,Jeux!$A$2:$A$3001,0))&amp;"",""))</f>
        <v/>
      </c>
      <c r="I1446" s="26" t="str">
        <f aca="false">IF(A1446="","",COUNTIF(Apparitions!$G$2:$G$5001,A1446))</f>
        <v/>
      </c>
      <c r="J1446" s="26" t="str">
        <f aca="false">IF(A1446="","",COUNTIFS(Apparitions!$G$2:$G$5001,A1446,Apparitions!$E$2:$E$5001,"○"))</f>
        <v/>
      </c>
      <c r="K1446" s="29" t="str">
        <f aca="false">IF(A1446="","",IFERROR(1/(1/_xlfn.MINIFS(Apparitions!$L$2:$L$5001,Apparitions!$G$2:$G$5001,A1446)),""))</f>
        <v/>
      </c>
      <c r="L1446" s="27" t="str">
        <f aca="false">IF(A1446="","",A1446&amp;" | "&amp;B1446&amp;IF(C1446="",""," ("&amp;C1446&amp;")")&amp;IF(D1446="",""," - "&amp;D1446))</f>
        <v/>
      </c>
    </row>
    <row r="1447" customFormat="false" ht="15" hidden="false" customHeight="false" outlineLevel="0" collapsed="false">
      <c r="A1447" s="32"/>
      <c r="B1447" s="19"/>
      <c r="C1447" s="19"/>
      <c r="D1447" s="19"/>
      <c r="E1447" s="21"/>
      <c r="F1447" s="19"/>
      <c r="G1447" s="27" t="str">
        <f aca="false">IF(B1447="","",IFERROR(INDEX(Jeux!$C$2:$C$3001,MATCH(B1447,Jeux!$A$2:$A$3001,0))&amp;"","⚠ jeu inconnu"))</f>
        <v/>
      </c>
      <c r="H1447" s="27" t="str">
        <f aca="false">IF(B1447="","",IFERROR(INDEX(Jeux!$D$2:$D$3001,MATCH(B1447,Jeux!$A$2:$A$3001,0))&amp;"",""))</f>
        <v/>
      </c>
      <c r="I1447" s="26" t="str">
        <f aca="false">IF(A1447="","",COUNTIF(Apparitions!$G$2:$G$5001,A1447))</f>
        <v/>
      </c>
      <c r="J1447" s="26" t="str">
        <f aca="false">IF(A1447="","",COUNTIFS(Apparitions!$G$2:$G$5001,A1447,Apparitions!$E$2:$E$5001,"○"))</f>
        <v/>
      </c>
      <c r="K1447" s="29" t="str">
        <f aca="false">IF(A1447="","",IFERROR(1/(1/_xlfn.MINIFS(Apparitions!$L$2:$L$5001,Apparitions!$G$2:$G$5001,A1447)),""))</f>
        <v/>
      </c>
      <c r="L1447" s="27" t="str">
        <f aca="false">IF(A1447="","",A1447&amp;" | "&amp;B1447&amp;IF(C1447="",""," ("&amp;C1447&amp;")")&amp;IF(D1447="",""," - "&amp;D1447))</f>
        <v/>
      </c>
    </row>
    <row r="1448" customFormat="false" ht="15" hidden="false" customHeight="false" outlineLevel="0" collapsed="false">
      <c r="A1448" s="32"/>
      <c r="B1448" s="19"/>
      <c r="C1448" s="19"/>
      <c r="D1448" s="19"/>
      <c r="E1448" s="21"/>
      <c r="F1448" s="19"/>
      <c r="G1448" s="27" t="str">
        <f aca="false">IF(B1448="","",IFERROR(INDEX(Jeux!$C$2:$C$3001,MATCH(B1448,Jeux!$A$2:$A$3001,0))&amp;"","⚠ jeu inconnu"))</f>
        <v/>
      </c>
      <c r="H1448" s="27" t="str">
        <f aca="false">IF(B1448="","",IFERROR(INDEX(Jeux!$D$2:$D$3001,MATCH(B1448,Jeux!$A$2:$A$3001,0))&amp;"",""))</f>
        <v/>
      </c>
      <c r="I1448" s="26" t="str">
        <f aca="false">IF(A1448="","",COUNTIF(Apparitions!$G$2:$G$5001,A1448))</f>
        <v/>
      </c>
      <c r="J1448" s="26" t="str">
        <f aca="false">IF(A1448="","",COUNTIFS(Apparitions!$G$2:$G$5001,A1448,Apparitions!$E$2:$E$5001,"○"))</f>
        <v/>
      </c>
      <c r="K1448" s="29" t="str">
        <f aca="false">IF(A1448="","",IFERROR(1/(1/_xlfn.MINIFS(Apparitions!$L$2:$L$5001,Apparitions!$G$2:$G$5001,A1448)),""))</f>
        <v/>
      </c>
      <c r="L1448" s="27" t="str">
        <f aca="false">IF(A1448="","",A1448&amp;" | "&amp;B1448&amp;IF(C1448="",""," ("&amp;C1448&amp;")")&amp;IF(D1448="",""," - "&amp;D1448))</f>
        <v/>
      </c>
    </row>
    <row r="1449" customFormat="false" ht="15" hidden="false" customHeight="false" outlineLevel="0" collapsed="false">
      <c r="A1449" s="32"/>
      <c r="B1449" s="19"/>
      <c r="C1449" s="19"/>
      <c r="D1449" s="19"/>
      <c r="E1449" s="21"/>
      <c r="F1449" s="19"/>
      <c r="G1449" s="27" t="str">
        <f aca="false">IF(B1449="","",IFERROR(INDEX(Jeux!$C$2:$C$3001,MATCH(B1449,Jeux!$A$2:$A$3001,0))&amp;"","⚠ jeu inconnu"))</f>
        <v/>
      </c>
      <c r="H1449" s="27" t="str">
        <f aca="false">IF(B1449="","",IFERROR(INDEX(Jeux!$D$2:$D$3001,MATCH(B1449,Jeux!$A$2:$A$3001,0))&amp;"",""))</f>
        <v/>
      </c>
      <c r="I1449" s="26" t="str">
        <f aca="false">IF(A1449="","",COUNTIF(Apparitions!$G$2:$G$5001,A1449))</f>
        <v/>
      </c>
      <c r="J1449" s="26" t="str">
        <f aca="false">IF(A1449="","",COUNTIFS(Apparitions!$G$2:$G$5001,A1449,Apparitions!$E$2:$E$5001,"○"))</f>
        <v/>
      </c>
      <c r="K1449" s="29" t="str">
        <f aca="false">IF(A1449="","",IFERROR(1/(1/_xlfn.MINIFS(Apparitions!$L$2:$L$5001,Apparitions!$G$2:$G$5001,A1449)),""))</f>
        <v/>
      </c>
      <c r="L1449" s="27" t="str">
        <f aca="false">IF(A1449="","",A1449&amp;" | "&amp;B1449&amp;IF(C1449="",""," ("&amp;C1449&amp;")")&amp;IF(D1449="",""," - "&amp;D1449))</f>
        <v/>
      </c>
    </row>
    <row r="1450" customFormat="false" ht="15" hidden="false" customHeight="false" outlineLevel="0" collapsed="false">
      <c r="A1450" s="32"/>
      <c r="B1450" s="19"/>
      <c r="C1450" s="19"/>
      <c r="D1450" s="19"/>
      <c r="E1450" s="21"/>
      <c r="F1450" s="19"/>
      <c r="G1450" s="27" t="str">
        <f aca="false">IF(B1450="","",IFERROR(INDEX(Jeux!$C$2:$C$3001,MATCH(B1450,Jeux!$A$2:$A$3001,0))&amp;"","⚠ jeu inconnu"))</f>
        <v/>
      </c>
      <c r="H1450" s="27" t="str">
        <f aca="false">IF(B1450="","",IFERROR(INDEX(Jeux!$D$2:$D$3001,MATCH(B1450,Jeux!$A$2:$A$3001,0))&amp;"",""))</f>
        <v/>
      </c>
      <c r="I1450" s="26" t="str">
        <f aca="false">IF(A1450="","",COUNTIF(Apparitions!$G$2:$G$5001,A1450))</f>
        <v/>
      </c>
      <c r="J1450" s="26" t="str">
        <f aca="false">IF(A1450="","",COUNTIFS(Apparitions!$G$2:$G$5001,A1450,Apparitions!$E$2:$E$5001,"○"))</f>
        <v/>
      </c>
      <c r="K1450" s="29" t="str">
        <f aca="false">IF(A1450="","",IFERROR(1/(1/_xlfn.MINIFS(Apparitions!$L$2:$L$5001,Apparitions!$G$2:$G$5001,A1450)),""))</f>
        <v/>
      </c>
      <c r="L1450" s="27" t="str">
        <f aca="false">IF(A1450="","",A1450&amp;" | "&amp;B1450&amp;IF(C1450="",""," ("&amp;C1450&amp;")")&amp;IF(D1450="",""," - "&amp;D1450))</f>
        <v/>
      </c>
    </row>
    <row r="1451" customFormat="false" ht="15" hidden="false" customHeight="false" outlineLevel="0" collapsed="false">
      <c r="A1451" s="32"/>
      <c r="B1451" s="19"/>
      <c r="C1451" s="19"/>
      <c r="D1451" s="19"/>
      <c r="E1451" s="21"/>
      <c r="F1451" s="19"/>
      <c r="G1451" s="27" t="str">
        <f aca="false">IF(B1451="","",IFERROR(INDEX(Jeux!$C$2:$C$3001,MATCH(B1451,Jeux!$A$2:$A$3001,0))&amp;"","⚠ jeu inconnu"))</f>
        <v/>
      </c>
      <c r="H1451" s="27" t="str">
        <f aca="false">IF(B1451="","",IFERROR(INDEX(Jeux!$D$2:$D$3001,MATCH(B1451,Jeux!$A$2:$A$3001,0))&amp;"",""))</f>
        <v/>
      </c>
      <c r="I1451" s="26" t="str">
        <f aca="false">IF(A1451="","",COUNTIF(Apparitions!$G$2:$G$5001,A1451))</f>
        <v/>
      </c>
      <c r="J1451" s="26" t="str">
        <f aca="false">IF(A1451="","",COUNTIFS(Apparitions!$G$2:$G$5001,A1451,Apparitions!$E$2:$E$5001,"○"))</f>
        <v/>
      </c>
      <c r="K1451" s="29" t="str">
        <f aca="false">IF(A1451="","",IFERROR(1/(1/_xlfn.MINIFS(Apparitions!$L$2:$L$5001,Apparitions!$G$2:$G$5001,A1451)),""))</f>
        <v/>
      </c>
      <c r="L1451" s="27" t="str">
        <f aca="false">IF(A1451="","",A1451&amp;" | "&amp;B1451&amp;IF(C1451="",""," ("&amp;C1451&amp;")")&amp;IF(D1451="",""," - "&amp;D1451))</f>
        <v/>
      </c>
    </row>
    <row r="1452" customFormat="false" ht="15" hidden="false" customHeight="false" outlineLevel="0" collapsed="false">
      <c r="A1452" s="32"/>
      <c r="B1452" s="19"/>
      <c r="C1452" s="19"/>
      <c r="D1452" s="19"/>
      <c r="E1452" s="21"/>
      <c r="F1452" s="19"/>
      <c r="G1452" s="27" t="str">
        <f aca="false">IF(B1452="","",IFERROR(INDEX(Jeux!$C$2:$C$3001,MATCH(B1452,Jeux!$A$2:$A$3001,0))&amp;"","⚠ jeu inconnu"))</f>
        <v/>
      </c>
      <c r="H1452" s="27" t="str">
        <f aca="false">IF(B1452="","",IFERROR(INDEX(Jeux!$D$2:$D$3001,MATCH(B1452,Jeux!$A$2:$A$3001,0))&amp;"",""))</f>
        <v/>
      </c>
      <c r="I1452" s="26" t="str">
        <f aca="false">IF(A1452="","",COUNTIF(Apparitions!$G$2:$G$5001,A1452))</f>
        <v/>
      </c>
      <c r="J1452" s="26" t="str">
        <f aca="false">IF(A1452="","",COUNTIFS(Apparitions!$G$2:$G$5001,A1452,Apparitions!$E$2:$E$5001,"○"))</f>
        <v/>
      </c>
      <c r="K1452" s="29" t="str">
        <f aca="false">IF(A1452="","",IFERROR(1/(1/_xlfn.MINIFS(Apparitions!$L$2:$L$5001,Apparitions!$G$2:$G$5001,A1452)),""))</f>
        <v/>
      </c>
      <c r="L1452" s="27" t="str">
        <f aca="false">IF(A1452="","",A1452&amp;" | "&amp;B1452&amp;IF(C1452="",""," ("&amp;C1452&amp;")")&amp;IF(D1452="",""," - "&amp;D1452))</f>
        <v/>
      </c>
    </row>
    <row r="1453" customFormat="false" ht="15" hidden="false" customHeight="false" outlineLevel="0" collapsed="false">
      <c r="A1453" s="32"/>
      <c r="B1453" s="19"/>
      <c r="C1453" s="19"/>
      <c r="D1453" s="19"/>
      <c r="E1453" s="21"/>
      <c r="F1453" s="19"/>
      <c r="G1453" s="27" t="str">
        <f aca="false">IF(B1453="","",IFERROR(INDEX(Jeux!$C$2:$C$3001,MATCH(B1453,Jeux!$A$2:$A$3001,0))&amp;"","⚠ jeu inconnu"))</f>
        <v/>
      </c>
      <c r="H1453" s="27" t="str">
        <f aca="false">IF(B1453="","",IFERROR(INDEX(Jeux!$D$2:$D$3001,MATCH(B1453,Jeux!$A$2:$A$3001,0))&amp;"",""))</f>
        <v/>
      </c>
      <c r="I1453" s="26" t="str">
        <f aca="false">IF(A1453="","",COUNTIF(Apparitions!$G$2:$G$5001,A1453))</f>
        <v/>
      </c>
      <c r="J1453" s="26" t="str">
        <f aca="false">IF(A1453="","",COUNTIFS(Apparitions!$G$2:$G$5001,A1453,Apparitions!$E$2:$E$5001,"○"))</f>
        <v/>
      </c>
      <c r="K1453" s="29" t="str">
        <f aca="false">IF(A1453="","",IFERROR(1/(1/_xlfn.MINIFS(Apparitions!$L$2:$L$5001,Apparitions!$G$2:$G$5001,A1453)),""))</f>
        <v/>
      </c>
      <c r="L1453" s="27" t="str">
        <f aca="false">IF(A1453="","",A1453&amp;" | "&amp;B1453&amp;IF(C1453="",""," ("&amp;C1453&amp;")")&amp;IF(D1453="",""," - "&amp;D1453))</f>
        <v/>
      </c>
    </row>
    <row r="1454" customFormat="false" ht="15" hidden="false" customHeight="false" outlineLevel="0" collapsed="false">
      <c r="A1454" s="32"/>
      <c r="B1454" s="19"/>
      <c r="C1454" s="19"/>
      <c r="D1454" s="19"/>
      <c r="E1454" s="21"/>
      <c r="F1454" s="19"/>
      <c r="G1454" s="27" t="str">
        <f aca="false">IF(B1454="","",IFERROR(INDEX(Jeux!$C$2:$C$3001,MATCH(B1454,Jeux!$A$2:$A$3001,0))&amp;"","⚠ jeu inconnu"))</f>
        <v/>
      </c>
      <c r="H1454" s="27" t="str">
        <f aca="false">IF(B1454="","",IFERROR(INDEX(Jeux!$D$2:$D$3001,MATCH(B1454,Jeux!$A$2:$A$3001,0))&amp;"",""))</f>
        <v/>
      </c>
      <c r="I1454" s="26" t="str">
        <f aca="false">IF(A1454="","",COUNTIF(Apparitions!$G$2:$G$5001,A1454))</f>
        <v/>
      </c>
      <c r="J1454" s="26" t="str">
        <f aca="false">IF(A1454="","",COUNTIFS(Apparitions!$G$2:$G$5001,A1454,Apparitions!$E$2:$E$5001,"○"))</f>
        <v/>
      </c>
      <c r="K1454" s="29" t="str">
        <f aca="false">IF(A1454="","",IFERROR(1/(1/_xlfn.MINIFS(Apparitions!$L$2:$L$5001,Apparitions!$G$2:$G$5001,A1454)),""))</f>
        <v/>
      </c>
      <c r="L1454" s="27" t="str">
        <f aca="false">IF(A1454="","",A1454&amp;" | "&amp;B1454&amp;IF(C1454="",""," ("&amp;C1454&amp;")")&amp;IF(D1454="",""," - "&amp;D1454))</f>
        <v/>
      </c>
    </row>
    <row r="1455" customFormat="false" ht="15" hidden="false" customHeight="false" outlineLevel="0" collapsed="false">
      <c r="A1455" s="32"/>
      <c r="B1455" s="19"/>
      <c r="C1455" s="19"/>
      <c r="D1455" s="19"/>
      <c r="E1455" s="21"/>
      <c r="F1455" s="19"/>
      <c r="G1455" s="27" t="str">
        <f aca="false">IF(B1455="","",IFERROR(INDEX(Jeux!$C$2:$C$3001,MATCH(B1455,Jeux!$A$2:$A$3001,0))&amp;"","⚠ jeu inconnu"))</f>
        <v/>
      </c>
      <c r="H1455" s="27" t="str">
        <f aca="false">IF(B1455="","",IFERROR(INDEX(Jeux!$D$2:$D$3001,MATCH(B1455,Jeux!$A$2:$A$3001,0))&amp;"",""))</f>
        <v/>
      </c>
      <c r="I1455" s="26" t="str">
        <f aca="false">IF(A1455="","",COUNTIF(Apparitions!$G$2:$G$5001,A1455))</f>
        <v/>
      </c>
      <c r="J1455" s="26" t="str">
        <f aca="false">IF(A1455="","",COUNTIFS(Apparitions!$G$2:$G$5001,A1455,Apparitions!$E$2:$E$5001,"○"))</f>
        <v/>
      </c>
      <c r="K1455" s="29" t="str">
        <f aca="false">IF(A1455="","",IFERROR(1/(1/_xlfn.MINIFS(Apparitions!$L$2:$L$5001,Apparitions!$G$2:$G$5001,A1455)),""))</f>
        <v/>
      </c>
      <c r="L1455" s="27" t="str">
        <f aca="false">IF(A1455="","",A1455&amp;" | "&amp;B1455&amp;IF(C1455="",""," ("&amp;C1455&amp;")")&amp;IF(D1455="",""," - "&amp;D1455))</f>
        <v/>
      </c>
    </row>
    <row r="1456" customFormat="false" ht="15" hidden="false" customHeight="false" outlineLevel="0" collapsed="false">
      <c r="A1456" s="32"/>
      <c r="B1456" s="19"/>
      <c r="C1456" s="19"/>
      <c r="D1456" s="19"/>
      <c r="E1456" s="21"/>
      <c r="F1456" s="19"/>
      <c r="G1456" s="27" t="str">
        <f aca="false">IF(B1456="","",IFERROR(INDEX(Jeux!$C$2:$C$3001,MATCH(B1456,Jeux!$A$2:$A$3001,0))&amp;"","⚠ jeu inconnu"))</f>
        <v/>
      </c>
      <c r="H1456" s="27" t="str">
        <f aca="false">IF(B1456="","",IFERROR(INDEX(Jeux!$D$2:$D$3001,MATCH(B1456,Jeux!$A$2:$A$3001,0))&amp;"",""))</f>
        <v/>
      </c>
      <c r="I1456" s="26" t="str">
        <f aca="false">IF(A1456="","",COUNTIF(Apparitions!$G$2:$G$5001,A1456))</f>
        <v/>
      </c>
      <c r="J1456" s="26" t="str">
        <f aca="false">IF(A1456="","",COUNTIFS(Apparitions!$G$2:$G$5001,A1456,Apparitions!$E$2:$E$5001,"○"))</f>
        <v/>
      </c>
      <c r="K1456" s="29" t="str">
        <f aca="false">IF(A1456="","",IFERROR(1/(1/_xlfn.MINIFS(Apparitions!$L$2:$L$5001,Apparitions!$G$2:$G$5001,A1456)),""))</f>
        <v/>
      </c>
      <c r="L1456" s="27" t="str">
        <f aca="false">IF(A1456="","",A1456&amp;" | "&amp;B1456&amp;IF(C1456="",""," ("&amp;C1456&amp;")")&amp;IF(D1456="",""," - "&amp;D1456))</f>
        <v/>
      </c>
    </row>
    <row r="1457" customFormat="false" ht="15" hidden="false" customHeight="false" outlineLevel="0" collapsed="false">
      <c r="A1457" s="32"/>
      <c r="B1457" s="19"/>
      <c r="C1457" s="19"/>
      <c r="D1457" s="19"/>
      <c r="E1457" s="21"/>
      <c r="F1457" s="19"/>
      <c r="G1457" s="27" t="str">
        <f aca="false">IF(B1457="","",IFERROR(INDEX(Jeux!$C$2:$C$3001,MATCH(B1457,Jeux!$A$2:$A$3001,0))&amp;"","⚠ jeu inconnu"))</f>
        <v/>
      </c>
      <c r="H1457" s="27" t="str">
        <f aca="false">IF(B1457="","",IFERROR(INDEX(Jeux!$D$2:$D$3001,MATCH(B1457,Jeux!$A$2:$A$3001,0))&amp;"",""))</f>
        <v/>
      </c>
      <c r="I1457" s="26" t="str">
        <f aca="false">IF(A1457="","",COUNTIF(Apparitions!$G$2:$G$5001,A1457))</f>
        <v/>
      </c>
      <c r="J1457" s="26" t="str">
        <f aca="false">IF(A1457="","",COUNTIFS(Apparitions!$G$2:$G$5001,A1457,Apparitions!$E$2:$E$5001,"○"))</f>
        <v/>
      </c>
      <c r="K1457" s="29" t="str">
        <f aca="false">IF(A1457="","",IFERROR(1/(1/_xlfn.MINIFS(Apparitions!$L$2:$L$5001,Apparitions!$G$2:$G$5001,A1457)),""))</f>
        <v/>
      </c>
      <c r="L1457" s="27" t="str">
        <f aca="false">IF(A1457="","",A1457&amp;" | "&amp;B1457&amp;IF(C1457="",""," ("&amp;C1457&amp;")")&amp;IF(D1457="",""," - "&amp;D1457))</f>
        <v/>
      </c>
    </row>
    <row r="1458" customFormat="false" ht="15" hidden="false" customHeight="false" outlineLevel="0" collapsed="false">
      <c r="A1458" s="32"/>
      <c r="B1458" s="19"/>
      <c r="C1458" s="19"/>
      <c r="D1458" s="19"/>
      <c r="E1458" s="21"/>
      <c r="F1458" s="19"/>
      <c r="G1458" s="27" t="str">
        <f aca="false">IF(B1458="","",IFERROR(INDEX(Jeux!$C$2:$C$3001,MATCH(B1458,Jeux!$A$2:$A$3001,0))&amp;"","⚠ jeu inconnu"))</f>
        <v/>
      </c>
      <c r="H1458" s="27" t="str">
        <f aca="false">IF(B1458="","",IFERROR(INDEX(Jeux!$D$2:$D$3001,MATCH(B1458,Jeux!$A$2:$A$3001,0))&amp;"",""))</f>
        <v/>
      </c>
      <c r="I1458" s="26" t="str">
        <f aca="false">IF(A1458="","",COUNTIF(Apparitions!$G$2:$G$5001,A1458))</f>
        <v/>
      </c>
      <c r="J1458" s="26" t="str">
        <f aca="false">IF(A1458="","",COUNTIFS(Apparitions!$G$2:$G$5001,A1458,Apparitions!$E$2:$E$5001,"○"))</f>
        <v/>
      </c>
      <c r="K1458" s="29" t="str">
        <f aca="false">IF(A1458="","",IFERROR(1/(1/_xlfn.MINIFS(Apparitions!$L$2:$L$5001,Apparitions!$G$2:$G$5001,A1458)),""))</f>
        <v/>
      </c>
      <c r="L1458" s="27" t="str">
        <f aca="false">IF(A1458="","",A1458&amp;" | "&amp;B1458&amp;IF(C1458="",""," ("&amp;C1458&amp;")")&amp;IF(D1458="",""," - "&amp;D1458))</f>
        <v/>
      </c>
    </row>
    <row r="1459" customFormat="false" ht="15" hidden="false" customHeight="false" outlineLevel="0" collapsed="false">
      <c r="A1459" s="32"/>
      <c r="B1459" s="19"/>
      <c r="C1459" s="19"/>
      <c r="D1459" s="19"/>
      <c r="E1459" s="21"/>
      <c r="F1459" s="19"/>
      <c r="G1459" s="27" t="str">
        <f aca="false">IF(B1459="","",IFERROR(INDEX(Jeux!$C$2:$C$3001,MATCH(B1459,Jeux!$A$2:$A$3001,0))&amp;"","⚠ jeu inconnu"))</f>
        <v/>
      </c>
      <c r="H1459" s="27" t="str">
        <f aca="false">IF(B1459="","",IFERROR(INDEX(Jeux!$D$2:$D$3001,MATCH(B1459,Jeux!$A$2:$A$3001,0))&amp;"",""))</f>
        <v/>
      </c>
      <c r="I1459" s="26" t="str">
        <f aca="false">IF(A1459="","",COUNTIF(Apparitions!$G$2:$G$5001,A1459))</f>
        <v/>
      </c>
      <c r="J1459" s="26" t="str">
        <f aca="false">IF(A1459="","",COUNTIFS(Apparitions!$G$2:$G$5001,A1459,Apparitions!$E$2:$E$5001,"○"))</f>
        <v/>
      </c>
      <c r="K1459" s="29" t="str">
        <f aca="false">IF(A1459="","",IFERROR(1/(1/_xlfn.MINIFS(Apparitions!$L$2:$L$5001,Apparitions!$G$2:$G$5001,A1459)),""))</f>
        <v/>
      </c>
      <c r="L1459" s="27" t="str">
        <f aca="false">IF(A1459="","",A1459&amp;" | "&amp;B1459&amp;IF(C1459="",""," ("&amp;C1459&amp;")")&amp;IF(D1459="",""," - "&amp;D1459))</f>
        <v/>
      </c>
    </row>
    <row r="1460" customFormat="false" ht="15" hidden="false" customHeight="false" outlineLevel="0" collapsed="false">
      <c r="A1460" s="32"/>
      <c r="B1460" s="19"/>
      <c r="C1460" s="19"/>
      <c r="D1460" s="19"/>
      <c r="E1460" s="21"/>
      <c r="F1460" s="19"/>
      <c r="G1460" s="27" t="str">
        <f aca="false">IF(B1460="","",IFERROR(INDEX(Jeux!$C$2:$C$3001,MATCH(B1460,Jeux!$A$2:$A$3001,0))&amp;"","⚠ jeu inconnu"))</f>
        <v/>
      </c>
      <c r="H1460" s="27" t="str">
        <f aca="false">IF(B1460="","",IFERROR(INDEX(Jeux!$D$2:$D$3001,MATCH(B1460,Jeux!$A$2:$A$3001,0))&amp;"",""))</f>
        <v/>
      </c>
      <c r="I1460" s="26" t="str">
        <f aca="false">IF(A1460="","",COUNTIF(Apparitions!$G$2:$G$5001,A1460))</f>
        <v/>
      </c>
      <c r="J1460" s="26" t="str">
        <f aca="false">IF(A1460="","",COUNTIFS(Apparitions!$G$2:$G$5001,A1460,Apparitions!$E$2:$E$5001,"○"))</f>
        <v/>
      </c>
      <c r="K1460" s="29" t="str">
        <f aca="false">IF(A1460="","",IFERROR(1/(1/_xlfn.MINIFS(Apparitions!$L$2:$L$5001,Apparitions!$G$2:$G$5001,A1460)),""))</f>
        <v/>
      </c>
      <c r="L1460" s="27" t="str">
        <f aca="false">IF(A1460="","",A1460&amp;" | "&amp;B1460&amp;IF(C1460="",""," ("&amp;C1460&amp;")")&amp;IF(D1460="",""," - "&amp;D1460))</f>
        <v/>
      </c>
    </row>
    <row r="1461" customFormat="false" ht="15" hidden="false" customHeight="false" outlineLevel="0" collapsed="false">
      <c r="A1461" s="32"/>
      <c r="B1461" s="19"/>
      <c r="C1461" s="19"/>
      <c r="D1461" s="19"/>
      <c r="E1461" s="21"/>
      <c r="F1461" s="19"/>
      <c r="G1461" s="27" t="str">
        <f aca="false">IF(B1461="","",IFERROR(INDEX(Jeux!$C$2:$C$3001,MATCH(B1461,Jeux!$A$2:$A$3001,0))&amp;"","⚠ jeu inconnu"))</f>
        <v/>
      </c>
      <c r="H1461" s="27" t="str">
        <f aca="false">IF(B1461="","",IFERROR(INDEX(Jeux!$D$2:$D$3001,MATCH(B1461,Jeux!$A$2:$A$3001,0))&amp;"",""))</f>
        <v/>
      </c>
      <c r="I1461" s="26" t="str">
        <f aca="false">IF(A1461="","",COUNTIF(Apparitions!$G$2:$G$5001,A1461))</f>
        <v/>
      </c>
      <c r="J1461" s="26" t="str">
        <f aca="false">IF(A1461="","",COUNTIFS(Apparitions!$G$2:$G$5001,A1461,Apparitions!$E$2:$E$5001,"○"))</f>
        <v/>
      </c>
      <c r="K1461" s="29" t="str">
        <f aca="false">IF(A1461="","",IFERROR(1/(1/_xlfn.MINIFS(Apparitions!$L$2:$L$5001,Apparitions!$G$2:$G$5001,A1461)),""))</f>
        <v/>
      </c>
      <c r="L1461" s="27" t="str">
        <f aca="false">IF(A1461="","",A1461&amp;" | "&amp;B1461&amp;IF(C1461="",""," ("&amp;C1461&amp;")")&amp;IF(D1461="",""," - "&amp;D1461))</f>
        <v/>
      </c>
    </row>
    <row r="1462" customFormat="false" ht="15" hidden="false" customHeight="false" outlineLevel="0" collapsed="false">
      <c r="A1462" s="32"/>
      <c r="B1462" s="19"/>
      <c r="C1462" s="19"/>
      <c r="D1462" s="19"/>
      <c r="E1462" s="21"/>
      <c r="F1462" s="19"/>
      <c r="G1462" s="27" t="str">
        <f aca="false">IF(B1462="","",IFERROR(INDEX(Jeux!$C$2:$C$3001,MATCH(B1462,Jeux!$A$2:$A$3001,0))&amp;"","⚠ jeu inconnu"))</f>
        <v/>
      </c>
      <c r="H1462" s="27" t="str">
        <f aca="false">IF(B1462="","",IFERROR(INDEX(Jeux!$D$2:$D$3001,MATCH(B1462,Jeux!$A$2:$A$3001,0))&amp;"",""))</f>
        <v/>
      </c>
      <c r="I1462" s="26" t="str">
        <f aca="false">IF(A1462="","",COUNTIF(Apparitions!$G$2:$G$5001,A1462))</f>
        <v/>
      </c>
      <c r="J1462" s="26" t="str">
        <f aca="false">IF(A1462="","",COUNTIFS(Apparitions!$G$2:$G$5001,A1462,Apparitions!$E$2:$E$5001,"○"))</f>
        <v/>
      </c>
      <c r="K1462" s="29" t="str">
        <f aca="false">IF(A1462="","",IFERROR(1/(1/_xlfn.MINIFS(Apparitions!$L$2:$L$5001,Apparitions!$G$2:$G$5001,A1462)),""))</f>
        <v/>
      </c>
      <c r="L1462" s="27" t="str">
        <f aca="false">IF(A1462="","",A1462&amp;" | "&amp;B1462&amp;IF(C1462="",""," ("&amp;C1462&amp;")")&amp;IF(D1462="",""," - "&amp;D1462))</f>
        <v/>
      </c>
    </row>
    <row r="1463" customFormat="false" ht="15" hidden="false" customHeight="false" outlineLevel="0" collapsed="false">
      <c r="A1463" s="32"/>
      <c r="B1463" s="19"/>
      <c r="C1463" s="19"/>
      <c r="D1463" s="19"/>
      <c r="E1463" s="21"/>
      <c r="F1463" s="19"/>
      <c r="G1463" s="27" t="str">
        <f aca="false">IF(B1463="","",IFERROR(INDEX(Jeux!$C$2:$C$3001,MATCH(B1463,Jeux!$A$2:$A$3001,0))&amp;"","⚠ jeu inconnu"))</f>
        <v/>
      </c>
      <c r="H1463" s="27" t="str">
        <f aca="false">IF(B1463="","",IFERROR(INDEX(Jeux!$D$2:$D$3001,MATCH(B1463,Jeux!$A$2:$A$3001,0))&amp;"",""))</f>
        <v/>
      </c>
      <c r="I1463" s="26" t="str">
        <f aca="false">IF(A1463="","",COUNTIF(Apparitions!$G$2:$G$5001,A1463))</f>
        <v/>
      </c>
      <c r="J1463" s="26" t="str">
        <f aca="false">IF(A1463="","",COUNTIFS(Apparitions!$G$2:$G$5001,A1463,Apparitions!$E$2:$E$5001,"○"))</f>
        <v/>
      </c>
      <c r="K1463" s="29" t="str">
        <f aca="false">IF(A1463="","",IFERROR(1/(1/_xlfn.MINIFS(Apparitions!$L$2:$L$5001,Apparitions!$G$2:$G$5001,A1463)),""))</f>
        <v/>
      </c>
      <c r="L1463" s="27" t="str">
        <f aca="false">IF(A1463="","",A1463&amp;" | "&amp;B1463&amp;IF(C1463="",""," ("&amp;C1463&amp;")")&amp;IF(D1463="",""," - "&amp;D1463))</f>
        <v/>
      </c>
    </row>
    <row r="1464" customFormat="false" ht="15" hidden="false" customHeight="false" outlineLevel="0" collapsed="false">
      <c r="A1464" s="32"/>
      <c r="B1464" s="19"/>
      <c r="C1464" s="19"/>
      <c r="D1464" s="19"/>
      <c r="E1464" s="21"/>
      <c r="F1464" s="19"/>
      <c r="G1464" s="27" t="str">
        <f aca="false">IF(B1464="","",IFERROR(INDEX(Jeux!$C$2:$C$3001,MATCH(B1464,Jeux!$A$2:$A$3001,0))&amp;"","⚠ jeu inconnu"))</f>
        <v/>
      </c>
      <c r="H1464" s="27" t="str">
        <f aca="false">IF(B1464="","",IFERROR(INDEX(Jeux!$D$2:$D$3001,MATCH(B1464,Jeux!$A$2:$A$3001,0))&amp;"",""))</f>
        <v/>
      </c>
      <c r="I1464" s="26" t="str">
        <f aca="false">IF(A1464="","",COUNTIF(Apparitions!$G$2:$G$5001,A1464))</f>
        <v/>
      </c>
      <c r="J1464" s="26" t="str">
        <f aca="false">IF(A1464="","",COUNTIFS(Apparitions!$G$2:$G$5001,A1464,Apparitions!$E$2:$E$5001,"○"))</f>
        <v/>
      </c>
      <c r="K1464" s="29" t="str">
        <f aca="false">IF(A1464="","",IFERROR(1/(1/_xlfn.MINIFS(Apparitions!$L$2:$L$5001,Apparitions!$G$2:$G$5001,A1464)),""))</f>
        <v/>
      </c>
      <c r="L1464" s="27" t="str">
        <f aca="false">IF(A1464="","",A1464&amp;" | "&amp;B1464&amp;IF(C1464="",""," ("&amp;C1464&amp;")")&amp;IF(D1464="",""," - "&amp;D1464))</f>
        <v/>
      </c>
    </row>
    <row r="1465" customFormat="false" ht="15" hidden="false" customHeight="false" outlineLevel="0" collapsed="false">
      <c r="A1465" s="32"/>
      <c r="B1465" s="19"/>
      <c r="C1465" s="19"/>
      <c r="D1465" s="19"/>
      <c r="E1465" s="21"/>
      <c r="F1465" s="19"/>
      <c r="G1465" s="27" t="str">
        <f aca="false">IF(B1465="","",IFERROR(INDEX(Jeux!$C$2:$C$3001,MATCH(B1465,Jeux!$A$2:$A$3001,0))&amp;"","⚠ jeu inconnu"))</f>
        <v/>
      </c>
      <c r="H1465" s="27" t="str">
        <f aca="false">IF(B1465="","",IFERROR(INDEX(Jeux!$D$2:$D$3001,MATCH(B1465,Jeux!$A$2:$A$3001,0))&amp;"",""))</f>
        <v/>
      </c>
      <c r="I1465" s="26" t="str">
        <f aca="false">IF(A1465="","",COUNTIF(Apparitions!$G$2:$G$5001,A1465))</f>
        <v/>
      </c>
      <c r="J1465" s="26" t="str">
        <f aca="false">IF(A1465="","",COUNTIFS(Apparitions!$G$2:$G$5001,A1465,Apparitions!$E$2:$E$5001,"○"))</f>
        <v/>
      </c>
      <c r="K1465" s="29" t="str">
        <f aca="false">IF(A1465="","",IFERROR(1/(1/_xlfn.MINIFS(Apparitions!$L$2:$L$5001,Apparitions!$G$2:$G$5001,A1465)),""))</f>
        <v/>
      </c>
      <c r="L1465" s="27" t="str">
        <f aca="false">IF(A1465="","",A1465&amp;" | "&amp;B1465&amp;IF(C1465="",""," ("&amp;C1465&amp;")")&amp;IF(D1465="",""," - "&amp;D1465))</f>
        <v/>
      </c>
    </row>
    <row r="1466" customFormat="false" ht="15" hidden="false" customHeight="false" outlineLevel="0" collapsed="false">
      <c r="A1466" s="32"/>
      <c r="B1466" s="19"/>
      <c r="C1466" s="19"/>
      <c r="D1466" s="19"/>
      <c r="E1466" s="21"/>
      <c r="F1466" s="19"/>
      <c r="G1466" s="27" t="str">
        <f aca="false">IF(B1466="","",IFERROR(INDEX(Jeux!$C$2:$C$3001,MATCH(B1466,Jeux!$A$2:$A$3001,0))&amp;"","⚠ jeu inconnu"))</f>
        <v/>
      </c>
      <c r="H1466" s="27" t="str">
        <f aca="false">IF(B1466="","",IFERROR(INDEX(Jeux!$D$2:$D$3001,MATCH(B1466,Jeux!$A$2:$A$3001,0))&amp;"",""))</f>
        <v/>
      </c>
      <c r="I1466" s="26" t="str">
        <f aca="false">IF(A1466="","",COUNTIF(Apparitions!$G$2:$G$5001,A1466))</f>
        <v/>
      </c>
      <c r="J1466" s="26" t="str">
        <f aca="false">IF(A1466="","",COUNTIFS(Apparitions!$G$2:$G$5001,A1466,Apparitions!$E$2:$E$5001,"○"))</f>
        <v/>
      </c>
      <c r="K1466" s="29" t="str">
        <f aca="false">IF(A1466="","",IFERROR(1/(1/_xlfn.MINIFS(Apparitions!$L$2:$L$5001,Apparitions!$G$2:$G$5001,A1466)),""))</f>
        <v/>
      </c>
      <c r="L1466" s="27" t="str">
        <f aca="false">IF(A1466="","",A1466&amp;" | "&amp;B1466&amp;IF(C1466="",""," ("&amp;C1466&amp;")")&amp;IF(D1466="",""," - "&amp;D1466))</f>
        <v/>
      </c>
    </row>
    <row r="1467" customFormat="false" ht="15" hidden="false" customHeight="false" outlineLevel="0" collapsed="false">
      <c r="A1467" s="32"/>
      <c r="B1467" s="19"/>
      <c r="C1467" s="19"/>
      <c r="D1467" s="19"/>
      <c r="E1467" s="21"/>
      <c r="F1467" s="19"/>
      <c r="G1467" s="27" t="str">
        <f aca="false">IF(B1467="","",IFERROR(INDEX(Jeux!$C$2:$C$3001,MATCH(B1467,Jeux!$A$2:$A$3001,0))&amp;"","⚠ jeu inconnu"))</f>
        <v/>
      </c>
      <c r="H1467" s="27" t="str">
        <f aca="false">IF(B1467="","",IFERROR(INDEX(Jeux!$D$2:$D$3001,MATCH(B1467,Jeux!$A$2:$A$3001,0))&amp;"",""))</f>
        <v/>
      </c>
      <c r="I1467" s="26" t="str">
        <f aca="false">IF(A1467="","",COUNTIF(Apparitions!$G$2:$G$5001,A1467))</f>
        <v/>
      </c>
      <c r="J1467" s="26" t="str">
        <f aca="false">IF(A1467="","",COUNTIFS(Apparitions!$G$2:$G$5001,A1467,Apparitions!$E$2:$E$5001,"○"))</f>
        <v/>
      </c>
      <c r="K1467" s="29" t="str">
        <f aca="false">IF(A1467="","",IFERROR(1/(1/_xlfn.MINIFS(Apparitions!$L$2:$L$5001,Apparitions!$G$2:$G$5001,A1467)),""))</f>
        <v/>
      </c>
      <c r="L1467" s="27" t="str">
        <f aca="false">IF(A1467="","",A1467&amp;" | "&amp;B1467&amp;IF(C1467="",""," ("&amp;C1467&amp;")")&amp;IF(D1467="",""," - "&amp;D1467))</f>
        <v/>
      </c>
    </row>
    <row r="1468" customFormat="false" ht="15" hidden="false" customHeight="false" outlineLevel="0" collapsed="false">
      <c r="A1468" s="32"/>
      <c r="B1468" s="19"/>
      <c r="C1468" s="19"/>
      <c r="D1468" s="19"/>
      <c r="E1468" s="21"/>
      <c r="F1468" s="19"/>
      <c r="G1468" s="27" t="str">
        <f aca="false">IF(B1468="","",IFERROR(INDEX(Jeux!$C$2:$C$3001,MATCH(B1468,Jeux!$A$2:$A$3001,0))&amp;"","⚠ jeu inconnu"))</f>
        <v/>
      </c>
      <c r="H1468" s="27" t="str">
        <f aca="false">IF(B1468="","",IFERROR(INDEX(Jeux!$D$2:$D$3001,MATCH(B1468,Jeux!$A$2:$A$3001,0))&amp;"",""))</f>
        <v/>
      </c>
      <c r="I1468" s="26" t="str">
        <f aca="false">IF(A1468="","",COUNTIF(Apparitions!$G$2:$G$5001,A1468))</f>
        <v/>
      </c>
      <c r="J1468" s="26" t="str">
        <f aca="false">IF(A1468="","",COUNTIFS(Apparitions!$G$2:$G$5001,A1468,Apparitions!$E$2:$E$5001,"○"))</f>
        <v/>
      </c>
      <c r="K1468" s="29" t="str">
        <f aca="false">IF(A1468="","",IFERROR(1/(1/_xlfn.MINIFS(Apparitions!$L$2:$L$5001,Apparitions!$G$2:$G$5001,A1468)),""))</f>
        <v/>
      </c>
      <c r="L1468" s="27" t="str">
        <f aca="false">IF(A1468="","",A1468&amp;" | "&amp;B1468&amp;IF(C1468="",""," ("&amp;C1468&amp;")")&amp;IF(D1468="",""," - "&amp;D1468))</f>
        <v/>
      </c>
    </row>
    <row r="1469" customFormat="false" ht="15" hidden="false" customHeight="false" outlineLevel="0" collapsed="false">
      <c r="A1469" s="32"/>
      <c r="B1469" s="19"/>
      <c r="C1469" s="19"/>
      <c r="D1469" s="19"/>
      <c r="E1469" s="21"/>
      <c r="F1469" s="19"/>
      <c r="G1469" s="27" t="str">
        <f aca="false">IF(B1469="","",IFERROR(INDEX(Jeux!$C$2:$C$3001,MATCH(B1469,Jeux!$A$2:$A$3001,0))&amp;"","⚠ jeu inconnu"))</f>
        <v/>
      </c>
      <c r="H1469" s="27" t="str">
        <f aca="false">IF(B1469="","",IFERROR(INDEX(Jeux!$D$2:$D$3001,MATCH(B1469,Jeux!$A$2:$A$3001,0))&amp;"",""))</f>
        <v/>
      </c>
      <c r="I1469" s="26" t="str">
        <f aca="false">IF(A1469="","",COUNTIF(Apparitions!$G$2:$G$5001,A1469))</f>
        <v/>
      </c>
      <c r="J1469" s="26" t="str">
        <f aca="false">IF(A1469="","",COUNTIFS(Apparitions!$G$2:$G$5001,A1469,Apparitions!$E$2:$E$5001,"○"))</f>
        <v/>
      </c>
      <c r="K1469" s="29" t="str">
        <f aca="false">IF(A1469="","",IFERROR(1/(1/_xlfn.MINIFS(Apparitions!$L$2:$L$5001,Apparitions!$G$2:$G$5001,A1469)),""))</f>
        <v/>
      </c>
      <c r="L1469" s="27" t="str">
        <f aca="false">IF(A1469="","",A1469&amp;" | "&amp;B1469&amp;IF(C1469="",""," ("&amp;C1469&amp;")")&amp;IF(D1469="",""," - "&amp;D1469))</f>
        <v/>
      </c>
    </row>
    <row r="1470" customFormat="false" ht="15" hidden="false" customHeight="false" outlineLevel="0" collapsed="false">
      <c r="A1470" s="32"/>
      <c r="B1470" s="19"/>
      <c r="C1470" s="19"/>
      <c r="D1470" s="19"/>
      <c r="E1470" s="21"/>
      <c r="F1470" s="19"/>
      <c r="G1470" s="27" t="str">
        <f aca="false">IF(B1470="","",IFERROR(INDEX(Jeux!$C$2:$C$3001,MATCH(B1470,Jeux!$A$2:$A$3001,0))&amp;"","⚠ jeu inconnu"))</f>
        <v/>
      </c>
      <c r="H1470" s="27" t="str">
        <f aca="false">IF(B1470="","",IFERROR(INDEX(Jeux!$D$2:$D$3001,MATCH(B1470,Jeux!$A$2:$A$3001,0))&amp;"",""))</f>
        <v/>
      </c>
      <c r="I1470" s="26" t="str">
        <f aca="false">IF(A1470="","",COUNTIF(Apparitions!$G$2:$G$5001,A1470))</f>
        <v/>
      </c>
      <c r="J1470" s="26" t="str">
        <f aca="false">IF(A1470="","",COUNTIFS(Apparitions!$G$2:$G$5001,A1470,Apparitions!$E$2:$E$5001,"○"))</f>
        <v/>
      </c>
      <c r="K1470" s="29" t="str">
        <f aca="false">IF(A1470="","",IFERROR(1/(1/_xlfn.MINIFS(Apparitions!$L$2:$L$5001,Apparitions!$G$2:$G$5001,A1470)),""))</f>
        <v/>
      </c>
      <c r="L1470" s="27" t="str">
        <f aca="false">IF(A1470="","",A1470&amp;" | "&amp;B1470&amp;IF(C1470="",""," ("&amp;C1470&amp;")")&amp;IF(D1470="",""," - "&amp;D1470))</f>
        <v/>
      </c>
    </row>
    <row r="1471" customFormat="false" ht="15" hidden="false" customHeight="false" outlineLevel="0" collapsed="false">
      <c r="A1471" s="32"/>
      <c r="B1471" s="19"/>
      <c r="C1471" s="19"/>
      <c r="D1471" s="19"/>
      <c r="E1471" s="21"/>
      <c r="F1471" s="19"/>
      <c r="G1471" s="27" t="str">
        <f aca="false">IF(B1471="","",IFERROR(INDEX(Jeux!$C$2:$C$3001,MATCH(B1471,Jeux!$A$2:$A$3001,0))&amp;"","⚠ jeu inconnu"))</f>
        <v/>
      </c>
      <c r="H1471" s="27" t="str">
        <f aca="false">IF(B1471="","",IFERROR(INDEX(Jeux!$D$2:$D$3001,MATCH(B1471,Jeux!$A$2:$A$3001,0))&amp;"",""))</f>
        <v/>
      </c>
      <c r="I1471" s="26" t="str">
        <f aca="false">IF(A1471="","",COUNTIF(Apparitions!$G$2:$G$5001,A1471))</f>
        <v/>
      </c>
      <c r="J1471" s="26" t="str">
        <f aca="false">IF(A1471="","",COUNTIFS(Apparitions!$G$2:$G$5001,A1471,Apparitions!$E$2:$E$5001,"○"))</f>
        <v/>
      </c>
      <c r="K1471" s="29" t="str">
        <f aca="false">IF(A1471="","",IFERROR(1/(1/_xlfn.MINIFS(Apparitions!$L$2:$L$5001,Apparitions!$G$2:$G$5001,A1471)),""))</f>
        <v/>
      </c>
      <c r="L1471" s="27" t="str">
        <f aca="false">IF(A1471="","",A1471&amp;" | "&amp;B1471&amp;IF(C1471="",""," ("&amp;C1471&amp;")")&amp;IF(D1471="",""," - "&amp;D1471))</f>
        <v/>
      </c>
    </row>
    <row r="1472" customFormat="false" ht="15" hidden="false" customHeight="false" outlineLevel="0" collapsed="false">
      <c r="A1472" s="32"/>
      <c r="B1472" s="19"/>
      <c r="C1472" s="19"/>
      <c r="D1472" s="19"/>
      <c r="E1472" s="21"/>
      <c r="F1472" s="19"/>
      <c r="G1472" s="27" t="str">
        <f aca="false">IF(B1472="","",IFERROR(INDEX(Jeux!$C$2:$C$3001,MATCH(B1472,Jeux!$A$2:$A$3001,0))&amp;"","⚠ jeu inconnu"))</f>
        <v/>
      </c>
      <c r="H1472" s="27" t="str">
        <f aca="false">IF(B1472="","",IFERROR(INDEX(Jeux!$D$2:$D$3001,MATCH(B1472,Jeux!$A$2:$A$3001,0))&amp;"",""))</f>
        <v/>
      </c>
      <c r="I1472" s="26" t="str">
        <f aca="false">IF(A1472="","",COUNTIF(Apparitions!$G$2:$G$5001,A1472))</f>
        <v/>
      </c>
      <c r="J1472" s="26" t="str">
        <f aca="false">IF(A1472="","",COUNTIFS(Apparitions!$G$2:$G$5001,A1472,Apparitions!$E$2:$E$5001,"○"))</f>
        <v/>
      </c>
      <c r="K1472" s="29" t="str">
        <f aca="false">IF(A1472="","",IFERROR(1/(1/_xlfn.MINIFS(Apparitions!$L$2:$L$5001,Apparitions!$G$2:$G$5001,A1472)),""))</f>
        <v/>
      </c>
      <c r="L1472" s="27" t="str">
        <f aca="false">IF(A1472="","",A1472&amp;" | "&amp;B1472&amp;IF(C1472="",""," ("&amp;C1472&amp;")")&amp;IF(D1472="",""," - "&amp;D1472))</f>
        <v/>
      </c>
    </row>
    <row r="1473" customFormat="false" ht="15" hidden="false" customHeight="false" outlineLevel="0" collapsed="false">
      <c r="A1473" s="32"/>
      <c r="B1473" s="19"/>
      <c r="C1473" s="19"/>
      <c r="D1473" s="19"/>
      <c r="E1473" s="21"/>
      <c r="F1473" s="19"/>
      <c r="G1473" s="27" t="str">
        <f aca="false">IF(B1473="","",IFERROR(INDEX(Jeux!$C$2:$C$3001,MATCH(B1473,Jeux!$A$2:$A$3001,0))&amp;"","⚠ jeu inconnu"))</f>
        <v/>
      </c>
      <c r="H1473" s="27" t="str">
        <f aca="false">IF(B1473="","",IFERROR(INDEX(Jeux!$D$2:$D$3001,MATCH(B1473,Jeux!$A$2:$A$3001,0))&amp;"",""))</f>
        <v/>
      </c>
      <c r="I1473" s="26" t="str">
        <f aca="false">IF(A1473="","",COUNTIF(Apparitions!$G$2:$G$5001,A1473))</f>
        <v/>
      </c>
      <c r="J1473" s="26" t="str">
        <f aca="false">IF(A1473="","",COUNTIFS(Apparitions!$G$2:$G$5001,A1473,Apparitions!$E$2:$E$5001,"○"))</f>
        <v/>
      </c>
      <c r="K1473" s="29" t="str">
        <f aca="false">IF(A1473="","",IFERROR(1/(1/_xlfn.MINIFS(Apparitions!$L$2:$L$5001,Apparitions!$G$2:$G$5001,A1473)),""))</f>
        <v/>
      </c>
      <c r="L1473" s="27" t="str">
        <f aca="false">IF(A1473="","",A1473&amp;" | "&amp;B1473&amp;IF(C1473="",""," ("&amp;C1473&amp;")")&amp;IF(D1473="",""," - "&amp;D1473))</f>
        <v/>
      </c>
    </row>
    <row r="1474" customFormat="false" ht="15" hidden="false" customHeight="false" outlineLevel="0" collapsed="false">
      <c r="A1474" s="32"/>
      <c r="B1474" s="19"/>
      <c r="C1474" s="19"/>
      <c r="D1474" s="19"/>
      <c r="E1474" s="21"/>
      <c r="F1474" s="19"/>
      <c r="G1474" s="27" t="str">
        <f aca="false">IF(B1474="","",IFERROR(INDEX(Jeux!$C$2:$C$3001,MATCH(B1474,Jeux!$A$2:$A$3001,0))&amp;"","⚠ jeu inconnu"))</f>
        <v/>
      </c>
      <c r="H1474" s="27" t="str">
        <f aca="false">IF(B1474="","",IFERROR(INDEX(Jeux!$D$2:$D$3001,MATCH(B1474,Jeux!$A$2:$A$3001,0))&amp;"",""))</f>
        <v/>
      </c>
      <c r="I1474" s="26" t="str">
        <f aca="false">IF(A1474="","",COUNTIF(Apparitions!$G$2:$G$5001,A1474))</f>
        <v/>
      </c>
      <c r="J1474" s="26" t="str">
        <f aca="false">IF(A1474="","",COUNTIFS(Apparitions!$G$2:$G$5001,A1474,Apparitions!$E$2:$E$5001,"○"))</f>
        <v/>
      </c>
      <c r="K1474" s="29" t="str">
        <f aca="false">IF(A1474="","",IFERROR(1/(1/_xlfn.MINIFS(Apparitions!$L$2:$L$5001,Apparitions!$G$2:$G$5001,A1474)),""))</f>
        <v/>
      </c>
      <c r="L1474" s="27" t="str">
        <f aca="false">IF(A1474="","",A1474&amp;" | "&amp;B1474&amp;IF(C1474="",""," ("&amp;C1474&amp;")")&amp;IF(D1474="",""," - "&amp;D1474))</f>
        <v/>
      </c>
    </row>
    <row r="1475" customFormat="false" ht="15" hidden="false" customHeight="false" outlineLevel="0" collapsed="false">
      <c r="A1475" s="32"/>
      <c r="B1475" s="19"/>
      <c r="C1475" s="19"/>
      <c r="D1475" s="19"/>
      <c r="E1475" s="21"/>
      <c r="F1475" s="19"/>
      <c r="G1475" s="27" t="str">
        <f aca="false">IF(B1475="","",IFERROR(INDEX(Jeux!$C$2:$C$3001,MATCH(B1475,Jeux!$A$2:$A$3001,0))&amp;"","⚠ jeu inconnu"))</f>
        <v/>
      </c>
      <c r="H1475" s="27" t="str">
        <f aca="false">IF(B1475="","",IFERROR(INDEX(Jeux!$D$2:$D$3001,MATCH(B1475,Jeux!$A$2:$A$3001,0))&amp;"",""))</f>
        <v/>
      </c>
      <c r="I1475" s="26" t="str">
        <f aca="false">IF(A1475="","",COUNTIF(Apparitions!$G$2:$G$5001,A1475))</f>
        <v/>
      </c>
      <c r="J1475" s="26" t="str">
        <f aca="false">IF(A1475="","",COUNTIFS(Apparitions!$G$2:$G$5001,A1475,Apparitions!$E$2:$E$5001,"○"))</f>
        <v/>
      </c>
      <c r="K1475" s="29" t="str">
        <f aca="false">IF(A1475="","",IFERROR(1/(1/_xlfn.MINIFS(Apparitions!$L$2:$L$5001,Apparitions!$G$2:$G$5001,A1475)),""))</f>
        <v/>
      </c>
      <c r="L1475" s="27" t="str">
        <f aca="false">IF(A1475="","",A1475&amp;" | "&amp;B1475&amp;IF(C1475="",""," ("&amp;C1475&amp;")")&amp;IF(D1475="",""," - "&amp;D1475))</f>
        <v/>
      </c>
    </row>
    <row r="1476" customFormat="false" ht="15" hidden="false" customHeight="false" outlineLevel="0" collapsed="false">
      <c r="A1476" s="32"/>
      <c r="B1476" s="19"/>
      <c r="C1476" s="19"/>
      <c r="D1476" s="19"/>
      <c r="E1476" s="21"/>
      <c r="F1476" s="19"/>
      <c r="G1476" s="27" t="str">
        <f aca="false">IF(B1476="","",IFERROR(INDEX(Jeux!$C$2:$C$3001,MATCH(B1476,Jeux!$A$2:$A$3001,0))&amp;"","⚠ jeu inconnu"))</f>
        <v/>
      </c>
      <c r="H1476" s="27" t="str">
        <f aca="false">IF(B1476="","",IFERROR(INDEX(Jeux!$D$2:$D$3001,MATCH(B1476,Jeux!$A$2:$A$3001,0))&amp;"",""))</f>
        <v/>
      </c>
      <c r="I1476" s="26" t="str">
        <f aca="false">IF(A1476="","",COUNTIF(Apparitions!$G$2:$G$5001,A1476))</f>
        <v/>
      </c>
      <c r="J1476" s="26" t="str">
        <f aca="false">IF(A1476="","",COUNTIFS(Apparitions!$G$2:$G$5001,A1476,Apparitions!$E$2:$E$5001,"○"))</f>
        <v/>
      </c>
      <c r="K1476" s="29" t="str">
        <f aca="false">IF(A1476="","",IFERROR(1/(1/_xlfn.MINIFS(Apparitions!$L$2:$L$5001,Apparitions!$G$2:$G$5001,A1476)),""))</f>
        <v/>
      </c>
      <c r="L1476" s="27" t="str">
        <f aca="false">IF(A1476="","",A1476&amp;" | "&amp;B1476&amp;IF(C1476="",""," ("&amp;C1476&amp;")")&amp;IF(D1476="",""," - "&amp;D1476))</f>
        <v/>
      </c>
    </row>
    <row r="1477" customFormat="false" ht="15" hidden="false" customHeight="false" outlineLevel="0" collapsed="false">
      <c r="A1477" s="32"/>
      <c r="B1477" s="19"/>
      <c r="C1477" s="19"/>
      <c r="D1477" s="19"/>
      <c r="E1477" s="21"/>
      <c r="F1477" s="19"/>
      <c r="G1477" s="27" t="str">
        <f aca="false">IF(B1477="","",IFERROR(INDEX(Jeux!$C$2:$C$3001,MATCH(B1477,Jeux!$A$2:$A$3001,0))&amp;"","⚠ jeu inconnu"))</f>
        <v/>
      </c>
      <c r="H1477" s="27" t="str">
        <f aca="false">IF(B1477="","",IFERROR(INDEX(Jeux!$D$2:$D$3001,MATCH(B1477,Jeux!$A$2:$A$3001,0))&amp;"",""))</f>
        <v/>
      </c>
      <c r="I1477" s="26" t="str">
        <f aca="false">IF(A1477="","",COUNTIF(Apparitions!$G$2:$G$5001,A1477))</f>
        <v/>
      </c>
      <c r="J1477" s="26" t="str">
        <f aca="false">IF(A1477="","",COUNTIFS(Apparitions!$G$2:$G$5001,A1477,Apparitions!$E$2:$E$5001,"○"))</f>
        <v/>
      </c>
      <c r="K1477" s="29" t="str">
        <f aca="false">IF(A1477="","",IFERROR(1/(1/_xlfn.MINIFS(Apparitions!$L$2:$L$5001,Apparitions!$G$2:$G$5001,A1477)),""))</f>
        <v/>
      </c>
      <c r="L1477" s="27" t="str">
        <f aca="false">IF(A1477="","",A1477&amp;" | "&amp;B1477&amp;IF(C1477="",""," ("&amp;C1477&amp;")")&amp;IF(D1477="",""," - "&amp;D1477))</f>
        <v/>
      </c>
    </row>
    <row r="1478" customFormat="false" ht="15" hidden="false" customHeight="false" outlineLevel="0" collapsed="false">
      <c r="A1478" s="32"/>
      <c r="B1478" s="19"/>
      <c r="C1478" s="19"/>
      <c r="D1478" s="19"/>
      <c r="E1478" s="21"/>
      <c r="F1478" s="19"/>
      <c r="G1478" s="27" t="str">
        <f aca="false">IF(B1478="","",IFERROR(INDEX(Jeux!$C$2:$C$3001,MATCH(B1478,Jeux!$A$2:$A$3001,0))&amp;"","⚠ jeu inconnu"))</f>
        <v/>
      </c>
      <c r="H1478" s="27" t="str">
        <f aca="false">IF(B1478="","",IFERROR(INDEX(Jeux!$D$2:$D$3001,MATCH(B1478,Jeux!$A$2:$A$3001,0))&amp;"",""))</f>
        <v/>
      </c>
      <c r="I1478" s="26" t="str">
        <f aca="false">IF(A1478="","",COUNTIF(Apparitions!$G$2:$G$5001,A1478))</f>
        <v/>
      </c>
      <c r="J1478" s="26" t="str">
        <f aca="false">IF(A1478="","",COUNTIFS(Apparitions!$G$2:$G$5001,A1478,Apparitions!$E$2:$E$5001,"○"))</f>
        <v/>
      </c>
      <c r="K1478" s="29" t="str">
        <f aca="false">IF(A1478="","",IFERROR(1/(1/_xlfn.MINIFS(Apparitions!$L$2:$L$5001,Apparitions!$G$2:$G$5001,A1478)),""))</f>
        <v/>
      </c>
      <c r="L1478" s="27" t="str">
        <f aca="false">IF(A1478="","",A1478&amp;" | "&amp;B1478&amp;IF(C1478="",""," ("&amp;C1478&amp;")")&amp;IF(D1478="",""," - "&amp;D1478))</f>
        <v/>
      </c>
    </row>
    <row r="1479" customFormat="false" ht="15" hidden="false" customHeight="false" outlineLevel="0" collapsed="false">
      <c r="A1479" s="32"/>
      <c r="B1479" s="19"/>
      <c r="C1479" s="19"/>
      <c r="D1479" s="19"/>
      <c r="E1479" s="21"/>
      <c r="F1479" s="19"/>
      <c r="G1479" s="27" t="str">
        <f aca="false">IF(B1479="","",IFERROR(INDEX(Jeux!$C$2:$C$3001,MATCH(B1479,Jeux!$A$2:$A$3001,0))&amp;"","⚠ jeu inconnu"))</f>
        <v/>
      </c>
      <c r="H1479" s="27" t="str">
        <f aca="false">IF(B1479="","",IFERROR(INDEX(Jeux!$D$2:$D$3001,MATCH(B1479,Jeux!$A$2:$A$3001,0))&amp;"",""))</f>
        <v/>
      </c>
      <c r="I1479" s="26" t="str">
        <f aca="false">IF(A1479="","",COUNTIF(Apparitions!$G$2:$G$5001,A1479))</f>
        <v/>
      </c>
      <c r="J1479" s="26" t="str">
        <f aca="false">IF(A1479="","",COUNTIFS(Apparitions!$G$2:$G$5001,A1479,Apparitions!$E$2:$E$5001,"○"))</f>
        <v/>
      </c>
      <c r="K1479" s="29" t="str">
        <f aca="false">IF(A1479="","",IFERROR(1/(1/_xlfn.MINIFS(Apparitions!$L$2:$L$5001,Apparitions!$G$2:$G$5001,A1479)),""))</f>
        <v/>
      </c>
      <c r="L1479" s="27" t="str">
        <f aca="false">IF(A1479="","",A1479&amp;" | "&amp;B1479&amp;IF(C1479="",""," ("&amp;C1479&amp;")")&amp;IF(D1479="",""," - "&amp;D1479))</f>
        <v/>
      </c>
    </row>
    <row r="1480" customFormat="false" ht="15" hidden="false" customHeight="false" outlineLevel="0" collapsed="false">
      <c r="A1480" s="32"/>
      <c r="B1480" s="19"/>
      <c r="C1480" s="19"/>
      <c r="D1480" s="19"/>
      <c r="E1480" s="21"/>
      <c r="F1480" s="19"/>
      <c r="G1480" s="27" t="str">
        <f aca="false">IF(B1480="","",IFERROR(INDEX(Jeux!$C$2:$C$3001,MATCH(B1480,Jeux!$A$2:$A$3001,0))&amp;"","⚠ jeu inconnu"))</f>
        <v/>
      </c>
      <c r="H1480" s="27" t="str">
        <f aca="false">IF(B1480="","",IFERROR(INDEX(Jeux!$D$2:$D$3001,MATCH(B1480,Jeux!$A$2:$A$3001,0))&amp;"",""))</f>
        <v/>
      </c>
      <c r="I1480" s="26" t="str">
        <f aca="false">IF(A1480="","",COUNTIF(Apparitions!$G$2:$G$5001,A1480))</f>
        <v/>
      </c>
      <c r="J1480" s="26" t="str">
        <f aca="false">IF(A1480="","",COUNTIFS(Apparitions!$G$2:$G$5001,A1480,Apparitions!$E$2:$E$5001,"○"))</f>
        <v/>
      </c>
      <c r="K1480" s="29" t="str">
        <f aca="false">IF(A1480="","",IFERROR(1/(1/_xlfn.MINIFS(Apparitions!$L$2:$L$5001,Apparitions!$G$2:$G$5001,A1480)),""))</f>
        <v/>
      </c>
      <c r="L1480" s="27" t="str">
        <f aca="false">IF(A1480="","",A1480&amp;" | "&amp;B1480&amp;IF(C1480="",""," ("&amp;C1480&amp;")")&amp;IF(D1480="",""," - "&amp;D1480))</f>
        <v/>
      </c>
    </row>
    <row r="1481" customFormat="false" ht="15" hidden="false" customHeight="false" outlineLevel="0" collapsed="false">
      <c r="A1481" s="32"/>
      <c r="B1481" s="19"/>
      <c r="C1481" s="19"/>
      <c r="D1481" s="19"/>
      <c r="E1481" s="21"/>
      <c r="F1481" s="19"/>
      <c r="G1481" s="27" t="str">
        <f aca="false">IF(B1481="","",IFERROR(INDEX(Jeux!$C$2:$C$3001,MATCH(B1481,Jeux!$A$2:$A$3001,0))&amp;"","⚠ jeu inconnu"))</f>
        <v/>
      </c>
      <c r="H1481" s="27" t="str">
        <f aca="false">IF(B1481="","",IFERROR(INDEX(Jeux!$D$2:$D$3001,MATCH(B1481,Jeux!$A$2:$A$3001,0))&amp;"",""))</f>
        <v/>
      </c>
      <c r="I1481" s="26" t="str">
        <f aca="false">IF(A1481="","",COUNTIF(Apparitions!$G$2:$G$5001,A1481))</f>
        <v/>
      </c>
      <c r="J1481" s="26" t="str">
        <f aca="false">IF(A1481="","",COUNTIFS(Apparitions!$G$2:$G$5001,A1481,Apparitions!$E$2:$E$5001,"○"))</f>
        <v/>
      </c>
      <c r="K1481" s="29" t="str">
        <f aca="false">IF(A1481="","",IFERROR(1/(1/_xlfn.MINIFS(Apparitions!$L$2:$L$5001,Apparitions!$G$2:$G$5001,A1481)),""))</f>
        <v/>
      </c>
      <c r="L1481" s="27" t="str">
        <f aca="false">IF(A1481="","",A1481&amp;" | "&amp;B1481&amp;IF(C1481="",""," ("&amp;C1481&amp;")")&amp;IF(D1481="",""," - "&amp;D1481))</f>
        <v/>
      </c>
    </row>
    <row r="1482" customFormat="false" ht="15" hidden="false" customHeight="false" outlineLevel="0" collapsed="false">
      <c r="A1482" s="32"/>
      <c r="B1482" s="19"/>
      <c r="C1482" s="19"/>
      <c r="D1482" s="19"/>
      <c r="E1482" s="21"/>
      <c r="F1482" s="19"/>
      <c r="G1482" s="27" t="str">
        <f aca="false">IF(B1482="","",IFERROR(INDEX(Jeux!$C$2:$C$3001,MATCH(B1482,Jeux!$A$2:$A$3001,0))&amp;"","⚠ jeu inconnu"))</f>
        <v/>
      </c>
      <c r="H1482" s="27" t="str">
        <f aca="false">IF(B1482="","",IFERROR(INDEX(Jeux!$D$2:$D$3001,MATCH(B1482,Jeux!$A$2:$A$3001,0))&amp;"",""))</f>
        <v/>
      </c>
      <c r="I1482" s="26" t="str">
        <f aca="false">IF(A1482="","",COUNTIF(Apparitions!$G$2:$G$5001,A1482))</f>
        <v/>
      </c>
      <c r="J1482" s="26" t="str">
        <f aca="false">IF(A1482="","",COUNTIFS(Apparitions!$G$2:$G$5001,A1482,Apparitions!$E$2:$E$5001,"○"))</f>
        <v/>
      </c>
      <c r="K1482" s="29" t="str">
        <f aca="false">IF(A1482="","",IFERROR(1/(1/_xlfn.MINIFS(Apparitions!$L$2:$L$5001,Apparitions!$G$2:$G$5001,A1482)),""))</f>
        <v/>
      </c>
      <c r="L1482" s="27" t="str">
        <f aca="false">IF(A1482="","",A1482&amp;" | "&amp;B1482&amp;IF(C1482="",""," ("&amp;C1482&amp;")")&amp;IF(D1482="",""," - "&amp;D1482))</f>
        <v/>
      </c>
    </row>
    <row r="1483" customFormat="false" ht="15" hidden="false" customHeight="false" outlineLevel="0" collapsed="false">
      <c r="A1483" s="32"/>
      <c r="B1483" s="19"/>
      <c r="C1483" s="19"/>
      <c r="D1483" s="19"/>
      <c r="E1483" s="21"/>
      <c r="F1483" s="19"/>
      <c r="G1483" s="27" t="str">
        <f aca="false">IF(B1483="","",IFERROR(INDEX(Jeux!$C$2:$C$3001,MATCH(B1483,Jeux!$A$2:$A$3001,0))&amp;"","⚠ jeu inconnu"))</f>
        <v/>
      </c>
      <c r="H1483" s="27" t="str">
        <f aca="false">IF(B1483="","",IFERROR(INDEX(Jeux!$D$2:$D$3001,MATCH(B1483,Jeux!$A$2:$A$3001,0))&amp;"",""))</f>
        <v/>
      </c>
      <c r="I1483" s="26" t="str">
        <f aca="false">IF(A1483="","",COUNTIF(Apparitions!$G$2:$G$5001,A1483))</f>
        <v/>
      </c>
      <c r="J1483" s="26" t="str">
        <f aca="false">IF(A1483="","",COUNTIFS(Apparitions!$G$2:$G$5001,A1483,Apparitions!$E$2:$E$5001,"○"))</f>
        <v/>
      </c>
      <c r="K1483" s="29" t="str">
        <f aca="false">IF(A1483="","",IFERROR(1/(1/_xlfn.MINIFS(Apparitions!$L$2:$L$5001,Apparitions!$G$2:$G$5001,A1483)),""))</f>
        <v/>
      </c>
      <c r="L1483" s="27" t="str">
        <f aca="false">IF(A1483="","",A1483&amp;" | "&amp;B1483&amp;IF(C1483="",""," ("&amp;C1483&amp;")")&amp;IF(D1483="",""," - "&amp;D1483))</f>
        <v/>
      </c>
    </row>
    <row r="1484" customFormat="false" ht="15" hidden="false" customHeight="false" outlineLevel="0" collapsed="false">
      <c r="A1484" s="32"/>
      <c r="B1484" s="19"/>
      <c r="C1484" s="19"/>
      <c r="D1484" s="19"/>
      <c r="E1484" s="21"/>
      <c r="F1484" s="19"/>
      <c r="G1484" s="27" t="str">
        <f aca="false">IF(B1484="","",IFERROR(INDEX(Jeux!$C$2:$C$3001,MATCH(B1484,Jeux!$A$2:$A$3001,0))&amp;"","⚠ jeu inconnu"))</f>
        <v/>
      </c>
      <c r="H1484" s="27" t="str">
        <f aca="false">IF(B1484="","",IFERROR(INDEX(Jeux!$D$2:$D$3001,MATCH(B1484,Jeux!$A$2:$A$3001,0))&amp;"",""))</f>
        <v/>
      </c>
      <c r="I1484" s="26" t="str">
        <f aca="false">IF(A1484="","",COUNTIF(Apparitions!$G$2:$G$5001,A1484))</f>
        <v/>
      </c>
      <c r="J1484" s="26" t="str">
        <f aca="false">IF(A1484="","",COUNTIFS(Apparitions!$G$2:$G$5001,A1484,Apparitions!$E$2:$E$5001,"○"))</f>
        <v/>
      </c>
      <c r="K1484" s="29" t="str">
        <f aca="false">IF(A1484="","",IFERROR(1/(1/_xlfn.MINIFS(Apparitions!$L$2:$L$5001,Apparitions!$G$2:$G$5001,A1484)),""))</f>
        <v/>
      </c>
      <c r="L1484" s="27" t="str">
        <f aca="false">IF(A1484="","",A1484&amp;" | "&amp;B1484&amp;IF(C1484="",""," ("&amp;C1484&amp;")")&amp;IF(D1484="",""," - "&amp;D1484))</f>
        <v/>
      </c>
    </row>
    <row r="1485" customFormat="false" ht="15" hidden="false" customHeight="false" outlineLevel="0" collapsed="false">
      <c r="A1485" s="32"/>
      <c r="B1485" s="19"/>
      <c r="C1485" s="19"/>
      <c r="D1485" s="19"/>
      <c r="E1485" s="21"/>
      <c r="F1485" s="19"/>
      <c r="G1485" s="27" t="str">
        <f aca="false">IF(B1485="","",IFERROR(INDEX(Jeux!$C$2:$C$3001,MATCH(B1485,Jeux!$A$2:$A$3001,0))&amp;"","⚠ jeu inconnu"))</f>
        <v/>
      </c>
      <c r="H1485" s="27" t="str">
        <f aca="false">IF(B1485="","",IFERROR(INDEX(Jeux!$D$2:$D$3001,MATCH(B1485,Jeux!$A$2:$A$3001,0))&amp;"",""))</f>
        <v/>
      </c>
      <c r="I1485" s="26" t="str">
        <f aca="false">IF(A1485="","",COUNTIF(Apparitions!$G$2:$G$5001,A1485))</f>
        <v/>
      </c>
      <c r="J1485" s="26" t="str">
        <f aca="false">IF(A1485="","",COUNTIFS(Apparitions!$G$2:$G$5001,A1485,Apparitions!$E$2:$E$5001,"○"))</f>
        <v/>
      </c>
      <c r="K1485" s="29" t="str">
        <f aca="false">IF(A1485="","",IFERROR(1/(1/_xlfn.MINIFS(Apparitions!$L$2:$L$5001,Apparitions!$G$2:$G$5001,A1485)),""))</f>
        <v/>
      </c>
      <c r="L1485" s="27" t="str">
        <f aca="false">IF(A1485="","",A1485&amp;" | "&amp;B1485&amp;IF(C1485="",""," ("&amp;C1485&amp;")")&amp;IF(D1485="",""," - "&amp;D1485))</f>
        <v/>
      </c>
    </row>
    <row r="1486" customFormat="false" ht="15" hidden="false" customHeight="false" outlineLevel="0" collapsed="false">
      <c r="A1486" s="32"/>
      <c r="B1486" s="19"/>
      <c r="C1486" s="19"/>
      <c r="D1486" s="19"/>
      <c r="E1486" s="21"/>
      <c r="F1486" s="19"/>
      <c r="G1486" s="27" t="str">
        <f aca="false">IF(B1486="","",IFERROR(INDEX(Jeux!$C$2:$C$3001,MATCH(B1486,Jeux!$A$2:$A$3001,0))&amp;"","⚠ jeu inconnu"))</f>
        <v/>
      </c>
      <c r="H1486" s="27" t="str">
        <f aca="false">IF(B1486="","",IFERROR(INDEX(Jeux!$D$2:$D$3001,MATCH(B1486,Jeux!$A$2:$A$3001,0))&amp;"",""))</f>
        <v/>
      </c>
      <c r="I1486" s="26" t="str">
        <f aca="false">IF(A1486="","",COUNTIF(Apparitions!$G$2:$G$5001,A1486))</f>
        <v/>
      </c>
      <c r="J1486" s="26" t="str">
        <f aca="false">IF(A1486="","",COUNTIFS(Apparitions!$G$2:$G$5001,A1486,Apparitions!$E$2:$E$5001,"○"))</f>
        <v/>
      </c>
      <c r="K1486" s="29" t="str">
        <f aca="false">IF(A1486="","",IFERROR(1/(1/_xlfn.MINIFS(Apparitions!$L$2:$L$5001,Apparitions!$G$2:$G$5001,A1486)),""))</f>
        <v/>
      </c>
      <c r="L1486" s="27" t="str">
        <f aca="false">IF(A1486="","",A1486&amp;" | "&amp;B1486&amp;IF(C1486="",""," ("&amp;C1486&amp;")")&amp;IF(D1486="",""," - "&amp;D1486))</f>
        <v/>
      </c>
    </row>
    <row r="1487" customFormat="false" ht="15" hidden="false" customHeight="false" outlineLevel="0" collapsed="false">
      <c r="A1487" s="32"/>
      <c r="B1487" s="19"/>
      <c r="C1487" s="19"/>
      <c r="D1487" s="19"/>
      <c r="E1487" s="21"/>
      <c r="F1487" s="19"/>
      <c r="G1487" s="27" t="str">
        <f aca="false">IF(B1487="","",IFERROR(INDEX(Jeux!$C$2:$C$3001,MATCH(B1487,Jeux!$A$2:$A$3001,0))&amp;"","⚠ jeu inconnu"))</f>
        <v/>
      </c>
      <c r="H1487" s="27" t="str">
        <f aca="false">IF(B1487="","",IFERROR(INDEX(Jeux!$D$2:$D$3001,MATCH(B1487,Jeux!$A$2:$A$3001,0))&amp;"",""))</f>
        <v/>
      </c>
      <c r="I1487" s="26" t="str">
        <f aca="false">IF(A1487="","",COUNTIF(Apparitions!$G$2:$G$5001,A1487))</f>
        <v/>
      </c>
      <c r="J1487" s="26" t="str">
        <f aca="false">IF(A1487="","",COUNTIFS(Apparitions!$G$2:$G$5001,A1487,Apparitions!$E$2:$E$5001,"○"))</f>
        <v/>
      </c>
      <c r="K1487" s="29" t="str">
        <f aca="false">IF(A1487="","",IFERROR(1/(1/_xlfn.MINIFS(Apparitions!$L$2:$L$5001,Apparitions!$G$2:$G$5001,A1487)),""))</f>
        <v/>
      </c>
      <c r="L1487" s="27" t="str">
        <f aca="false">IF(A1487="","",A1487&amp;" | "&amp;B1487&amp;IF(C1487="",""," ("&amp;C1487&amp;")")&amp;IF(D1487="",""," - "&amp;D1487))</f>
        <v/>
      </c>
    </row>
    <row r="1488" customFormat="false" ht="15" hidden="false" customHeight="false" outlineLevel="0" collapsed="false">
      <c r="A1488" s="32"/>
      <c r="B1488" s="19"/>
      <c r="C1488" s="19"/>
      <c r="D1488" s="19"/>
      <c r="E1488" s="21"/>
      <c r="F1488" s="19"/>
      <c r="G1488" s="27" t="str">
        <f aca="false">IF(B1488="","",IFERROR(INDEX(Jeux!$C$2:$C$3001,MATCH(B1488,Jeux!$A$2:$A$3001,0))&amp;"","⚠ jeu inconnu"))</f>
        <v/>
      </c>
      <c r="H1488" s="27" t="str">
        <f aca="false">IF(B1488="","",IFERROR(INDEX(Jeux!$D$2:$D$3001,MATCH(B1488,Jeux!$A$2:$A$3001,0))&amp;"",""))</f>
        <v/>
      </c>
      <c r="I1488" s="26" t="str">
        <f aca="false">IF(A1488="","",COUNTIF(Apparitions!$G$2:$G$5001,A1488))</f>
        <v/>
      </c>
      <c r="J1488" s="26" t="str">
        <f aca="false">IF(A1488="","",COUNTIFS(Apparitions!$G$2:$G$5001,A1488,Apparitions!$E$2:$E$5001,"○"))</f>
        <v/>
      </c>
      <c r="K1488" s="29" t="str">
        <f aca="false">IF(A1488="","",IFERROR(1/(1/_xlfn.MINIFS(Apparitions!$L$2:$L$5001,Apparitions!$G$2:$G$5001,A1488)),""))</f>
        <v/>
      </c>
      <c r="L1488" s="27" t="str">
        <f aca="false">IF(A1488="","",A1488&amp;" | "&amp;B1488&amp;IF(C1488="",""," ("&amp;C1488&amp;")")&amp;IF(D1488="",""," - "&amp;D1488))</f>
        <v/>
      </c>
    </row>
    <row r="1489" customFormat="false" ht="15" hidden="false" customHeight="false" outlineLevel="0" collapsed="false">
      <c r="A1489" s="32"/>
      <c r="B1489" s="19"/>
      <c r="C1489" s="19"/>
      <c r="D1489" s="19"/>
      <c r="E1489" s="21"/>
      <c r="F1489" s="19"/>
      <c r="G1489" s="27" t="str">
        <f aca="false">IF(B1489="","",IFERROR(INDEX(Jeux!$C$2:$C$3001,MATCH(B1489,Jeux!$A$2:$A$3001,0))&amp;"","⚠ jeu inconnu"))</f>
        <v/>
      </c>
      <c r="H1489" s="27" t="str">
        <f aca="false">IF(B1489="","",IFERROR(INDEX(Jeux!$D$2:$D$3001,MATCH(B1489,Jeux!$A$2:$A$3001,0))&amp;"",""))</f>
        <v/>
      </c>
      <c r="I1489" s="26" t="str">
        <f aca="false">IF(A1489="","",COUNTIF(Apparitions!$G$2:$G$5001,A1489))</f>
        <v/>
      </c>
      <c r="J1489" s="26" t="str">
        <f aca="false">IF(A1489="","",COUNTIFS(Apparitions!$G$2:$G$5001,A1489,Apparitions!$E$2:$E$5001,"○"))</f>
        <v/>
      </c>
      <c r="K1489" s="29" t="str">
        <f aca="false">IF(A1489="","",IFERROR(1/(1/_xlfn.MINIFS(Apparitions!$L$2:$L$5001,Apparitions!$G$2:$G$5001,A1489)),""))</f>
        <v/>
      </c>
      <c r="L1489" s="27" t="str">
        <f aca="false">IF(A1489="","",A1489&amp;" | "&amp;B1489&amp;IF(C1489="",""," ("&amp;C1489&amp;")")&amp;IF(D1489="",""," - "&amp;D1489))</f>
        <v/>
      </c>
    </row>
    <row r="1490" customFormat="false" ht="15" hidden="false" customHeight="false" outlineLevel="0" collapsed="false">
      <c r="A1490" s="32"/>
      <c r="B1490" s="19"/>
      <c r="C1490" s="19"/>
      <c r="D1490" s="19"/>
      <c r="E1490" s="21"/>
      <c r="F1490" s="19"/>
      <c r="G1490" s="27" t="str">
        <f aca="false">IF(B1490="","",IFERROR(INDEX(Jeux!$C$2:$C$3001,MATCH(B1490,Jeux!$A$2:$A$3001,0))&amp;"","⚠ jeu inconnu"))</f>
        <v/>
      </c>
      <c r="H1490" s="27" t="str">
        <f aca="false">IF(B1490="","",IFERROR(INDEX(Jeux!$D$2:$D$3001,MATCH(B1490,Jeux!$A$2:$A$3001,0))&amp;"",""))</f>
        <v/>
      </c>
      <c r="I1490" s="26" t="str">
        <f aca="false">IF(A1490="","",COUNTIF(Apparitions!$G$2:$G$5001,A1490))</f>
        <v/>
      </c>
      <c r="J1490" s="26" t="str">
        <f aca="false">IF(A1490="","",COUNTIFS(Apparitions!$G$2:$G$5001,A1490,Apparitions!$E$2:$E$5001,"○"))</f>
        <v/>
      </c>
      <c r="K1490" s="29" t="str">
        <f aca="false">IF(A1490="","",IFERROR(1/(1/_xlfn.MINIFS(Apparitions!$L$2:$L$5001,Apparitions!$G$2:$G$5001,A1490)),""))</f>
        <v/>
      </c>
      <c r="L1490" s="27" t="str">
        <f aca="false">IF(A1490="","",A1490&amp;" | "&amp;B1490&amp;IF(C1490="",""," ("&amp;C1490&amp;")")&amp;IF(D1490="",""," - "&amp;D1490))</f>
        <v/>
      </c>
    </row>
    <row r="1491" customFormat="false" ht="15" hidden="false" customHeight="false" outlineLevel="0" collapsed="false">
      <c r="A1491" s="32"/>
      <c r="B1491" s="19"/>
      <c r="C1491" s="19"/>
      <c r="D1491" s="19"/>
      <c r="E1491" s="21"/>
      <c r="F1491" s="19"/>
      <c r="G1491" s="27" t="str">
        <f aca="false">IF(B1491="","",IFERROR(INDEX(Jeux!$C$2:$C$3001,MATCH(B1491,Jeux!$A$2:$A$3001,0))&amp;"","⚠ jeu inconnu"))</f>
        <v/>
      </c>
      <c r="H1491" s="27" t="str">
        <f aca="false">IF(B1491="","",IFERROR(INDEX(Jeux!$D$2:$D$3001,MATCH(B1491,Jeux!$A$2:$A$3001,0))&amp;"",""))</f>
        <v/>
      </c>
      <c r="I1491" s="26" t="str">
        <f aca="false">IF(A1491="","",COUNTIF(Apparitions!$G$2:$G$5001,A1491))</f>
        <v/>
      </c>
      <c r="J1491" s="26" t="str">
        <f aca="false">IF(A1491="","",COUNTIFS(Apparitions!$G$2:$G$5001,A1491,Apparitions!$E$2:$E$5001,"○"))</f>
        <v/>
      </c>
      <c r="K1491" s="29" t="str">
        <f aca="false">IF(A1491="","",IFERROR(1/(1/_xlfn.MINIFS(Apparitions!$L$2:$L$5001,Apparitions!$G$2:$G$5001,A1491)),""))</f>
        <v/>
      </c>
      <c r="L1491" s="27" t="str">
        <f aca="false">IF(A1491="","",A1491&amp;" | "&amp;B1491&amp;IF(C1491="",""," ("&amp;C1491&amp;")")&amp;IF(D1491="",""," - "&amp;D1491))</f>
        <v/>
      </c>
    </row>
    <row r="1492" customFormat="false" ht="15" hidden="false" customHeight="false" outlineLevel="0" collapsed="false">
      <c r="A1492" s="32"/>
      <c r="B1492" s="19"/>
      <c r="C1492" s="19"/>
      <c r="D1492" s="19"/>
      <c r="E1492" s="21"/>
      <c r="F1492" s="19"/>
      <c r="G1492" s="27" t="str">
        <f aca="false">IF(B1492="","",IFERROR(INDEX(Jeux!$C$2:$C$3001,MATCH(B1492,Jeux!$A$2:$A$3001,0))&amp;"","⚠ jeu inconnu"))</f>
        <v/>
      </c>
      <c r="H1492" s="27" t="str">
        <f aca="false">IF(B1492="","",IFERROR(INDEX(Jeux!$D$2:$D$3001,MATCH(B1492,Jeux!$A$2:$A$3001,0))&amp;"",""))</f>
        <v/>
      </c>
      <c r="I1492" s="26" t="str">
        <f aca="false">IF(A1492="","",COUNTIF(Apparitions!$G$2:$G$5001,A1492))</f>
        <v/>
      </c>
      <c r="J1492" s="26" t="str">
        <f aca="false">IF(A1492="","",COUNTIFS(Apparitions!$G$2:$G$5001,A1492,Apparitions!$E$2:$E$5001,"○"))</f>
        <v/>
      </c>
      <c r="K1492" s="29" t="str">
        <f aca="false">IF(A1492="","",IFERROR(1/(1/_xlfn.MINIFS(Apparitions!$L$2:$L$5001,Apparitions!$G$2:$G$5001,A1492)),""))</f>
        <v/>
      </c>
      <c r="L1492" s="27" t="str">
        <f aca="false">IF(A1492="","",A1492&amp;" | "&amp;B1492&amp;IF(C1492="",""," ("&amp;C1492&amp;")")&amp;IF(D1492="",""," - "&amp;D1492))</f>
        <v/>
      </c>
    </row>
    <row r="1493" customFormat="false" ht="15" hidden="false" customHeight="false" outlineLevel="0" collapsed="false">
      <c r="A1493" s="32"/>
      <c r="B1493" s="19"/>
      <c r="C1493" s="19"/>
      <c r="D1493" s="19"/>
      <c r="E1493" s="21"/>
      <c r="F1493" s="19"/>
      <c r="G1493" s="27" t="str">
        <f aca="false">IF(B1493="","",IFERROR(INDEX(Jeux!$C$2:$C$3001,MATCH(B1493,Jeux!$A$2:$A$3001,0))&amp;"","⚠ jeu inconnu"))</f>
        <v/>
      </c>
      <c r="H1493" s="27" t="str">
        <f aca="false">IF(B1493="","",IFERROR(INDEX(Jeux!$D$2:$D$3001,MATCH(B1493,Jeux!$A$2:$A$3001,0))&amp;"",""))</f>
        <v/>
      </c>
      <c r="I1493" s="26" t="str">
        <f aca="false">IF(A1493="","",COUNTIF(Apparitions!$G$2:$G$5001,A1493))</f>
        <v/>
      </c>
      <c r="J1493" s="26" t="str">
        <f aca="false">IF(A1493="","",COUNTIFS(Apparitions!$G$2:$G$5001,A1493,Apparitions!$E$2:$E$5001,"○"))</f>
        <v/>
      </c>
      <c r="K1493" s="29" t="str">
        <f aca="false">IF(A1493="","",IFERROR(1/(1/_xlfn.MINIFS(Apparitions!$L$2:$L$5001,Apparitions!$G$2:$G$5001,A1493)),""))</f>
        <v/>
      </c>
      <c r="L1493" s="27" t="str">
        <f aca="false">IF(A1493="","",A1493&amp;" | "&amp;B1493&amp;IF(C1493="",""," ("&amp;C1493&amp;")")&amp;IF(D1493="",""," - "&amp;D1493))</f>
        <v/>
      </c>
    </row>
    <row r="1494" customFormat="false" ht="15" hidden="false" customHeight="false" outlineLevel="0" collapsed="false">
      <c r="A1494" s="32"/>
      <c r="B1494" s="19"/>
      <c r="C1494" s="19"/>
      <c r="D1494" s="19"/>
      <c r="E1494" s="21"/>
      <c r="F1494" s="19"/>
      <c r="G1494" s="27" t="str">
        <f aca="false">IF(B1494="","",IFERROR(INDEX(Jeux!$C$2:$C$3001,MATCH(B1494,Jeux!$A$2:$A$3001,0))&amp;"","⚠ jeu inconnu"))</f>
        <v/>
      </c>
      <c r="H1494" s="27" t="str">
        <f aca="false">IF(B1494="","",IFERROR(INDEX(Jeux!$D$2:$D$3001,MATCH(B1494,Jeux!$A$2:$A$3001,0))&amp;"",""))</f>
        <v/>
      </c>
      <c r="I1494" s="26" t="str">
        <f aca="false">IF(A1494="","",COUNTIF(Apparitions!$G$2:$G$5001,A1494))</f>
        <v/>
      </c>
      <c r="J1494" s="26" t="str">
        <f aca="false">IF(A1494="","",COUNTIFS(Apparitions!$G$2:$G$5001,A1494,Apparitions!$E$2:$E$5001,"○"))</f>
        <v/>
      </c>
      <c r="K1494" s="29" t="str">
        <f aca="false">IF(A1494="","",IFERROR(1/(1/_xlfn.MINIFS(Apparitions!$L$2:$L$5001,Apparitions!$G$2:$G$5001,A1494)),""))</f>
        <v/>
      </c>
      <c r="L1494" s="27" t="str">
        <f aca="false">IF(A1494="","",A1494&amp;" | "&amp;B1494&amp;IF(C1494="",""," ("&amp;C1494&amp;")")&amp;IF(D1494="",""," - "&amp;D1494))</f>
        <v/>
      </c>
    </row>
    <row r="1495" customFormat="false" ht="15" hidden="false" customHeight="false" outlineLevel="0" collapsed="false">
      <c r="A1495" s="32"/>
      <c r="B1495" s="19"/>
      <c r="C1495" s="19"/>
      <c r="D1495" s="19"/>
      <c r="E1495" s="21"/>
      <c r="F1495" s="19"/>
      <c r="G1495" s="27" t="str">
        <f aca="false">IF(B1495="","",IFERROR(INDEX(Jeux!$C$2:$C$3001,MATCH(B1495,Jeux!$A$2:$A$3001,0))&amp;"","⚠ jeu inconnu"))</f>
        <v/>
      </c>
      <c r="H1495" s="27" t="str">
        <f aca="false">IF(B1495="","",IFERROR(INDEX(Jeux!$D$2:$D$3001,MATCH(B1495,Jeux!$A$2:$A$3001,0))&amp;"",""))</f>
        <v/>
      </c>
      <c r="I1495" s="26" t="str">
        <f aca="false">IF(A1495="","",COUNTIF(Apparitions!$G$2:$G$5001,A1495))</f>
        <v/>
      </c>
      <c r="J1495" s="26" t="str">
        <f aca="false">IF(A1495="","",COUNTIFS(Apparitions!$G$2:$G$5001,A1495,Apparitions!$E$2:$E$5001,"○"))</f>
        <v/>
      </c>
      <c r="K1495" s="29" t="str">
        <f aca="false">IF(A1495="","",IFERROR(1/(1/_xlfn.MINIFS(Apparitions!$L$2:$L$5001,Apparitions!$G$2:$G$5001,A1495)),""))</f>
        <v/>
      </c>
      <c r="L1495" s="27" t="str">
        <f aca="false">IF(A1495="","",A1495&amp;" | "&amp;B1495&amp;IF(C1495="",""," ("&amp;C1495&amp;")")&amp;IF(D1495="",""," - "&amp;D1495))</f>
        <v/>
      </c>
    </row>
    <row r="1496" customFormat="false" ht="15" hidden="false" customHeight="false" outlineLevel="0" collapsed="false">
      <c r="A1496" s="32"/>
      <c r="B1496" s="19"/>
      <c r="C1496" s="19"/>
      <c r="D1496" s="19"/>
      <c r="E1496" s="21"/>
      <c r="F1496" s="19"/>
      <c r="G1496" s="27" t="str">
        <f aca="false">IF(B1496="","",IFERROR(INDEX(Jeux!$C$2:$C$3001,MATCH(B1496,Jeux!$A$2:$A$3001,0))&amp;"","⚠ jeu inconnu"))</f>
        <v/>
      </c>
      <c r="H1496" s="27" t="str">
        <f aca="false">IF(B1496="","",IFERROR(INDEX(Jeux!$D$2:$D$3001,MATCH(B1496,Jeux!$A$2:$A$3001,0))&amp;"",""))</f>
        <v/>
      </c>
      <c r="I1496" s="26" t="str">
        <f aca="false">IF(A1496="","",COUNTIF(Apparitions!$G$2:$G$5001,A1496))</f>
        <v/>
      </c>
      <c r="J1496" s="26" t="str">
        <f aca="false">IF(A1496="","",COUNTIFS(Apparitions!$G$2:$G$5001,A1496,Apparitions!$E$2:$E$5001,"○"))</f>
        <v/>
      </c>
      <c r="K1496" s="29" t="str">
        <f aca="false">IF(A1496="","",IFERROR(1/(1/_xlfn.MINIFS(Apparitions!$L$2:$L$5001,Apparitions!$G$2:$G$5001,A1496)),""))</f>
        <v/>
      </c>
      <c r="L1496" s="27" t="str">
        <f aca="false">IF(A1496="","",A1496&amp;" | "&amp;B1496&amp;IF(C1496="",""," ("&amp;C1496&amp;")")&amp;IF(D1496="",""," - "&amp;D1496))</f>
        <v/>
      </c>
    </row>
    <row r="1497" customFormat="false" ht="15" hidden="false" customHeight="false" outlineLevel="0" collapsed="false">
      <c r="A1497" s="32"/>
      <c r="B1497" s="19"/>
      <c r="C1497" s="19"/>
      <c r="D1497" s="19"/>
      <c r="E1497" s="21"/>
      <c r="F1497" s="19"/>
      <c r="G1497" s="27" t="str">
        <f aca="false">IF(B1497="","",IFERROR(INDEX(Jeux!$C$2:$C$3001,MATCH(B1497,Jeux!$A$2:$A$3001,0))&amp;"","⚠ jeu inconnu"))</f>
        <v/>
      </c>
      <c r="H1497" s="27" t="str">
        <f aca="false">IF(B1497="","",IFERROR(INDEX(Jeux!$D$2:$D$3001,MATCH(B1497,Jeux!$A$2:$A$3001,0))&amp;"",""))</f>
        <v/>
      </c>
      <c r="I1497" s="26" t="str">
        <f aca="false">IF(A1497="","",COUNTIF(Apparitions!$G$2:$G$5001,A1497))</f>
        <v/>
      </c>
      <c r="J1497" s="26" t="str">
        <f aca="false">IF(A1497="","",COUNTIFS(Apparitions!$G$2:$G$5001,A1497,Apparitions!$E$2:$E$5001,"○"))</f>
        <v/>
      </c>
      <c r="K1497" s="29" t="str">
        <f aca="false">IF(A1497="","",IFERROR(1/(1/_xlfn.MINIFS(Apparitions!$L$2:$L$5001,Apparitions!$G$2:$G$5001,A1497)),""))</f>
        <v/>
      </c>
      <c r="L1497" s="27" t="str">
        <f aca="false">IF(A1497="","",A1497&amp;" | "&amp;B1497&amp;IF(C1497="",""," ("&amp;C1497&amp;")")&amp;IF(D1497="",""," - "&amp;D1497))</f>
        <v/>
      </c>
    </row>
    <row r="1498" customFormat="false" ht="15" hidden="false" customHeight="false" outlineLevel="0" collapsed="false">
      <c r="A1498" s="32"/>
      <c r="B1498" s="19"/>
      <c r="C1498" s="19"/>
      <c r="D1498" s="19"/>
      <c r="E1498" s="21"/>
      <c r="F1498" s="19"/>
      <c r="G1498" s="27" t="str">
        <f aca="false">IF(B1498="","",IFERROR(INDEX(Jeux!$C$2:$C$3001,MATCH(B1498,Jeux!$A$2:$A$3001,0))&amp;"","⚠ jeu inconnu"))</f>
        <v/>
      </c>
      <c r="H1498" s="27" t="str">
        <f aca="false">IF(B1498="","",IFERROR(INDEX(Jeux!$D$2:$D$3001,MATCH(B1498,Jeux!$A$2:$A$3001,0))&amp;"",""))</f>
        <v/>
      </c>
      <c r="I1498" s="26" t="str">
        <f aca="false">IF(A1498="","",COUNTIF(Apparitions!$G$2:$G$5001,A1498))</f>
        <v/>
      </c>
      <c r="J1498" s="26" t="str">
        <f aca="false">IF(A1498="","",COUNTIFS(Apparitions!$G$2:$G$5001,A1498,Apparitions!$E$2:$E$5001,"○"))</f>
        <v/>
      </c>
      <c r="K1498" s="29" t="str">
        <f aca="false">IF(A1498="","",IFERROR(1/(1/_xlfn.MINIFS(Apparitions!$L$2:$L$5001,Apparitions!$G$2:$G$5001,A1498)),""))</f>
        <v/>
      </c>
      <c r="L1498" s="27" t="str">
        <f aca="false">IF(A1498="","",A1498&amp;" | "&amp;B1498&amp;IF(C1498="",""," ("&amp;C1498&amp;")")&amp;IF(D1498="",""," - "&amp;D1498))</f>
        <v/>
      </c>
    </row>
    <row r="1499" customFormat="false" ht="15" hidden="false" customHeight="false" outlineLevel="0" collapsed="false">
      <c r="A1499" s="32"/>
      <c r="B1499" s="19"/>
      <c r="C1499" s="19"/>
      <c r="D1499" s="19"/>
      <c r="E1499" s="21"/>
      <c r="F1499" s="19"/>
      <c r="G1499" s="27" t="str">
        <f aca="false">IF(B1499="","",IFERROR(INDEX(Jeux!$C$2:$C$3001,MATCH(B1499,Jeux!$A$2:$A$3001,0))&amp;"","⚠ jeu inconnu"))</f>
        <v/>
      </c>
      <c r="H1499" s="27" t="str">
        <f aca="false">IF(B1499="","",IFERROR(INDEX(Jeux!$D$2:$D$3001,MATCH(B1499,Jeux!$A$2:$A$3001,0))&amp;"",""))</f>
        <v/>
      </c>
      <c r="I1499" s="26" t="str">
        <f aca="false">IF(A1499="","",COUNTIF(Apparitions!$G$2:$G$5001,A1499))</f>
        <v/>
      </c>
      <c r="J1499" s="26" t="str">
        <f aca="false">IF(A1499="","",COUNTIFS(Apparitions!$G$2:$G$5001,A1499,Apparitions!$E$2:$E$5001,"○"))</f>
        <v/>
      </c>
      <c r="K1499" s="29" t="str">
        <f aca="false">IF(A1499="","",IFERROR(1/(1/_xlfn.MINIFS(Apparitions!$L$2:$L$5001,Apparitions!$G$2:$G$5001,A1499)),""))</f>
        <v/>
      </c>
      <c r="L1499" s="27" t="str">
        <f aca="false">IF(A1499="","",A1499&amp;" | "&amp;B1499&amp;IF(C1499="",""," ("&amp;C1499&amp;")")&amp;IF(D1499="",""," - "&amp;D1499))</f>
        <v/>
      </c>
    </row>
    <row r="1500" customFormat="false" ht="15" hidden="false" customHeight="false" outlineLevel="0" collapsed="false">
      <c r="A1500" s="32"/>
      <c r="B1500" s="19"/>
      <c r="C1500" s="19"/>
      <c r="D1500" s="19"/>
      <c r="E1500" s="21"/>
      <c r="F1500" s="19"/>
      <c r="G1500" s="27" t="str">
        <f aca="false">IF(B1500="","",IFERROR(INDEX(Jeux!$C$2:$C$3001,MATCH(B1500,Jeux!$A$2:$A$3001,0))&amp;"","⚠ jeu inconnu"))</f>
        <v/>
      </c>
      <c r="H1500" s="27" t="str">
        <f aca="false">IF(B1500="","",IFERROR(INDEX(Jeux!$D$2:$D$3001,MATCH(B1500,Jeux!$A$2:$A$3001,0))&amp;"",""))</f>
        <v/>
      </c>
      <c r="I1500" s="26" t="str">
        <f aca="false">IF(A1500="","",COUNTIF(Apparitions!$G$2:$G$5001,A1500))</f>
        <v/>
      </c>
      <c r="J1500" s="26" t="str">
        <f aca="false">IF(A1500="","",COUNTIFS(Apparitions!$G$2:$G$5001,A1500,Apparitions!$E$2:$E$5001,"○"))</f>
        <v/>
      </c>
      <c r="K1500" s="29" t="str">
        <f aca="false">IF(A1500="","",IFERROR(1/(1/_xlfn.MINIFS(Apparitions!$L$2:$L$5001,Apparitions!$G$2:$G$5001,A1500)),""))</f>
        <v/>
      </c>
      <c r="L1500" s="27" t="str">
        <f aca="false">IF(A1500="","",A1500&amp;" | "&amp;B1500&amp;IF(C1500="",""," ("&amp;C1500&amp;")")&amp;IF(D1500="",""," - "&amp;D1500))</f>
        <v/>
      </c>
    </row>
    <row r="1501" customFormat="false" ht="15" hidden="false" customHeight="false" outlineLevel="0" collapsed="false">
      <c r="A1501" s="32"/>
      <c r="B1501" s="19"/>
      <c r="C1501" s="19"/>
      <c r="D1501" s="19"/>
      <c r="E1501" s="21"/>
      <c r="F1501" s="19"/>
      <c r="G1501" s="27" t="str">
        <f aca="false">IF(B1501="","",IFERROR(INDEX(Jeux!$C$2:$C$3001,MATCH(B1501,Jeux!$A$2:$A$3001,0))&amp;"","⚠ jeu inconnu"))</f>
        <v/>
      </c>
      <c r="H1501" s="27" t="str">
        <f aca="false">IF(B1501="","",IFERROR(INDEX(Jeux!$D$2:$D$3001,MATCH(B1501,Jeux!$A$2:$A$3001,0))&amp;"",""))</f>
        <v/>
      </c>
      <c r="I1501" s="26" t="str">
        <f aca="false">IF(A1501="","",COUNTIF(Apparitions!$G$2:$G$5001,A1501))</f>
        <v/>
      </c>
      <c r="J1501" s="26" t="str">
        <f aca="false">IF(A1501="","",COUNTIFS(Apparitions!$G$2:$G$5001,A1501,Apparitions!$E$2:$E$5001,"○"))</f>
        <v/>
      </c>
      <c r="K1501" s="29" t="str">
        <f aca="false">IF(A1501="","",IFERROR(1/(1/_xlfn.MINIFS(Apparitions!$L$2:$L$5001,Apparitions!$G$2:$G$5001,A1501)),""))</f>
        <v/>
      </c>
      <c r="L1501" s="27" t="str">
        <f aca="false">IF(A1501="","",A1501&amp;" | "&amp;B1501&amp;IF(C1501="",""," ("&amp;C1501&amp;")")&amp;IF(D1501="",""," - "&amp;D1501))</f>
        <v/>
      </c>
    </row>
    <row r="1502" customFormat="false" ht="15" hidden="false" customHeight="false" outlineLevel="0" collapsed="false">
      <c r="A1502" s="32"/>
      <c r="B1502" s="19"/>
      <c r="C1502" s="19"/>
      <c r="D1502" s="19"/>
      <c r="E1502" s="21"/>
      <c r="F1502" s="19"/>
      <c r="G1502" s="27" t="str">
        <f aca="false">IF(B1502="","",IFERROR(INDEX(Jeux!$C$2:$C$3001,MATCH(B1502,Jeux!$A$2:$A$3001,0))&amp;"","⚠ jeu inconnu"))</f>
        <v/>
      </c>
      <c r="H1502" s="27" t="str">
        <f aca="false">IF(B1502="","",IFERROR(INDEX(Jeux!$D$2:$D$3001,MATCH(B1502,Jeux!$A$2:$A$3001,0))&amp;"",""))</f>
        <v/>
      </c>
      <c r="I1502" s="26" t="str">
        <f aca="false">IF(A1502="","",COUNTIF(Apparitions!$G$2:$G$5001,A1502))</f>
        <v/>
      </c>
      <c r="J1502" s="26" t="str">
        <f aca="false">IF(A1502="","",COUNTIFS(Apparitions!$G$2:$G$5001,A1502,Apparitions!$E$2:$E$5001,"○"))</f>
        <v/>
      </c>
      <c r="K1502" s="29" t="str">
        <f aca="false">IF(A1502="","",IFERROR(1/(1/_xlfn.MINIFS(Apparitions!$L$2:$L$5001,Apparitions!$G$2:$G$5001,A1502)),""))</f>
        <v/>
      </c>
      <c r="L1502" s="27" t="str">
        <f aca="false">IF(A1502="","",A1502&amp;" | "&amp;B1502&amp;IF(C1502="",""," ("&amp;C1502&amp;")")&amp;IF(D1502="",""," - "&amp;D1502))</f>
        <v/>
      </c>
    </row>
    <row r="1503" customFormat="false" ht="15" hidden="false" customHeight="false" outlineLevel="0" collapsed="false">
      <c r="A1503" s="32"/>
      <c r="B1503" s="19"/>
      <c r="C1503" s="19"/>
      <c r="D1503" s="19"/>
      <c r="E1503" s="21"/>
      <c r="F1503" s="19"/>
      <c r="G1503" s="27" t="str">
        <f aca="false">IF(B1503="","",IFERROR(INDEX(Jeux!$C$2:$C$3001,MATCH(B1503,Jeux!$A$2:$A$3001,0))&amp;"","⚠ jeu inconnu"))</f>
        <v/>
      </c>
      <c r="H1503" s="27" t="str">
        <f aca="false">IF(B1503="","",IFERROR(INDEX(Jeux!$D$2:$D$3001,MATCH(B1503,Jeux!$A$2:$A$3001,0))&amp;"",""))</f>
        <v/>
      </c>
      <c r="I1503" s="26" t="str">
        <f aca="false">IF(A1503="","",COUNTIF(Apparitions!$G$2:$G$5001,A1503))</f>
        <v/>
      </c>
      <c r="J1503" s="26" t="str">
        <f aca="false">IF(A1503="","",COUNTIFS(Apparitions!$G$2:$G$5001,A1503,Apparitions!$E$2:$E$5001,"○"))</f>
        <v/>
      </c>
      <c r="K1503" s="29" t="str">
        <f aca="false">IF(A1503="","",IFERROR(1/(1/_xlfn.MINIFS(Apparitions!$L$2:$L$5001,Apparitions!$G$2:$G$5001,A1503)),""))</f>
        <v/>
      </c>
      <c r="L1503" s="27" t="str">
        <f aca="false">IF(A1503="","",A1503&amp;" | "&amp;B1503&amp;IF(C1503="",""," ("&amp;C1503&amp;")")&amp;IF(D1503="",""," - "&amp;D1503))</f>
        <v/>
      </c>
    </row>
    <row r="1504" customFormat="false" ht="15" hidden="false" customHeight="false" outlineLevel="0" collapsed="false">
      <c r="A1504" s="32"/>
      <c r="B1504" s="19"/>
      <c r="C1504" s="19"/>
      <c r="D1504" s="19"/>
      <c r="E1504" s="21"/>
      <c r="F1504" s="19"/>
      <c r="G1504" s="27" t="str">
        <f aca="false">IF(B1504="","",IFERROR(INDEX(Jeux!$C$2:$C$3001,MATCH(B1504,Jeux!$A$2:$A$3001,0))&amp;"","⚠ jeu inconnu"))</f>
        <v/>
      </c>
      <c r="H1504" s="27" t="str">
        <f aca="false">IF(B1504="","",IFERROR(INDEX(Jeux!$D$2:$D$3001,MATCH(B1504,Jeux!$A$2:$A$3001,0))&amp;"",""))</f>
        <v/>
      </c>
      <c r="I1504" s="26" t="str">
        <f aca="false">IF(A1504="","",COUNTIF(Apparitions!$G$2:$G$5001,A1504))</f>
        <v/>
      </c>
      <c r="J1504" s="26" t="str">
        <f aca="false">IF(A1504="","",COUNTIFS(Apparitions!$G$2:$G$5001,A1504,Apparitions!$E$2:$E$5001,"○"))</f>
        <v/>
      </c>
      <c r="K1504" s="29" t="str">
        <f aca="false">IF(A1504="","",IFERROR(1/(1/_xlfn.MINIFS(Apparitions!$L$2:$L$5001,Apparitions!$G$2:$G$5001,A1504)),""))</f>
        <v/>
      </c>
      <c r="L1504" s="27" t="str">
        <f aca="false">IF(A1504="","",A1504&amp;" | "&amp;B1504&amp;IF(C1504="",""," ("&amp;C1504&amp;")")&amp;IF(D1504="",""," - "&amp;D1504))</f>
        <v/>
      </c>
    </row>
    <row r="1505" customFormat="false" ht="15" hidden="false" customHeight="false" outlineLevel="0" collapsed="false">
      <c r="A1505" s="32"/>
      <c r="B1505" s="19"/>
      <c r="C1505" s="19"/>
      <c r="D1505" s="19"/>
      <c r="E1505" s="21"/>
      <c r="F1505" s="19"/>
      <c r="G1505" s="27" t="str">
        <f aca="false">IF(B1505="","",IFERROR(INDEX(Jeux!$C$2:$C$3001,MATCH(B1505,Jeux!$A$2:$A$3001,0))&amp;"","⚠ jeu inconnu"))</f>
        <v/>
      </c>
      <c r="H1505" s="27" t="str">
        <f aca="false">IF(B1505="","",IFERROR(INDEX(Jeux!$D$2:$D$3001,MATCH(B1505,Jeux!$A$2:$A$3001,0))&amp;"",""))</f>
        <v/>
      </c>
      <c r="I1505" s="26" t="str">
        <f aca="false">IF(A1505="","",COUNTIF(Apparitions!$G$2:$G$5001,A1505))</f>
        <v/>
      </c>
      <c r="J1505" s="26" t="str">
        <f aca="false">IF(A1505="","",COUNTIFS(Apparitions!$G$2:$G$5001,A1505,Apparitions!$E$2:$E$5001,"○"))</f>
        <v/>
      </c>
      <c r="K1505" s="29" t="str">
        <f aca="false">IF(A1505="","",IFERROR(1/(1/_xlfn.MINIFS(Apparitions!$L$2:$L$5001,Apparitions!$G$2:$G$5001,A1505)),""))</f>
        <v/>
      </c>
      <c r="L1505" s="27" t="str">
        <f aca="false">IF(A1505="","",A1505&amp;" | "&amp;B1505&amp;IF(C1505="",""," ("&amp;C1505&amp;")")&amp;IF(D1505="",""," - "&amp;D1505))</f>
        <v/>
      </c>
    </row>
    <row r="1506" customFormat="false" ht="15" hidden="false" customHeight="false" outlineLevel="0" collapsed="false">
      <c r="A1506" s="32"/>
      <c r="B1506" s="19"/>
      <c r="C1506" s="19"/>
      <c r="D1506" s="19"/>
      <c r="E1506" s="21"/>
      <c r="F1506" s="19"/>
      <c r="G1506" s="27" t="str">
        <f aca="false">IF(B1506="","",IFERROR(INDEX(Jeux!$C$2:$C$3001,MATCH(B1506,Jeux!$A$2:$A$3001,0))&amp;"","⚠ jeu inconnu"))</f>
        <v/>
      </c>
      <c r="H1506" s="27" t="str">
        <f aca="false">IF(B1506="","",IFERROR(INDEX(Jeux!$D$2:$D$3001,MATCH(B1506,Jeux!$A$2:$A$3001,0))&amp;"",""))</f>
        <v/>
      </c>
      <c r="I1506" s="26" t="str">
        <f aca="false">IF(A1506="","",COUNTIF(Apparitions!$G$2:$G$5001,A1506))</f>
        <v/>
      </c>
      <c r="J1506" s="26" t="str">
        <f aca="false">IF(A1506="","",COUNTIFS(Apparitions!$G$2:$G$5001,A1506,Apparitions!$E$2:$E$5001,"○"))</f>
        <v/>
      </c>
      <c r="K1506" s="29" t="str">
        <f aca="false">IF(A1506="","",IFERROR(1/(1/_xlfn.MINIFS(Apparitions!$L$2:$L$5001,Apparitions!$G$2:$G$5001,A1506)),""))</f>
        <v/>
      </c>
      <c r="L1506" s="27" t="str">
        <f aca="false">IF(A1506="","",A1506&amp;" | "&amp;B1506&amp;IF(C1506="",""," ("&amp;C1506&amp;")")&amp;IF(D1506="",""," - "&amp;D1506))</f>
        <v/>
      </c>
    </row>
    <row r="1507" customFormat="false" ht="15" hidden="false" customHeight="false" outlineLevel="0" collapsed="false">
      <c r="A1507" s="32"/>
      <c r="B1507" s="19"/>
      <c r="C1507" s="19"/>
      <c r="D1507" s="19"/>
      <c r="E1507" s="21"/>
      <c r="F1507" s="19"/>
      <c r="G1507" s="27" t="str">
        <f aca="false">IF(B1507="","",IFERROR(INDEX(Jeux!$C$2:$C$3001,MATCH(B1507,Jeux!$A$2:$A$3001,0))&amp;"","⚠ jeu inconnu"))</f>
        <v/>
      </c>
      <c r="H1507" s="27" t="str">
        <f aca="false">IF(B1507="","",IFERROR(INDEX(Jeux!$D$2:$D$3001,MATCH(B1507,Jeux!$A$2:$A$3001,0))&amp;"",""))</f>
        <v/>
      </c>
      <c r="I1507" s="26" t="str">
        <f aca="false">IF(A1507="","",COUNTIF(Apparitions!$G$2:$G$5001,A1507))</f>
        <v/>
      </c>
      <c r="J1507" s="26" t="str">
        <f aca="false">IF(A1507="","",COUNTIFS(Apparitions!$G$2:$G$5001,A1507,Apparitions!$E$2:$E$5001,"○"))</f>
        <v/>
      </c>
      <c r="K1507" s="29" t="str">
        <f aca="false">IF(A1507="","",IFERROR(1/(1/_xlfn.MINIFS(Apparitions!$L$2:$L$5001,Apparitions!$G$2:$G$5001,A1507)),""))</f>
        <v/>
      </c>
      <c r="L1507" s="27" t="str">
        <f aca="false">IF(A1507="","",A1507&amp;" | "&amp;B1507&amp;IF(C1507="",""," ("&amp;C1507&amp;")")&amp;IF(D1507="",""," - "&amp;D1507))</f>
        <v/>
      </c>
    </row>
    <row r="1508" customFormat="false" ht="15" hidden="false" customHeight="false" outlineLevel="0" collapsed="false">
      <c r="A1508" s="32"/>
      <c r="B1508" s="19"/>
      <c r="C1508" s="19"/>
      <c r="D1508" s="19"/>
      <c r="E1508" s="21"/>
      <c r="F1508" s="19"/>
      <c r="G1508" s="27" t="str">
        <f aca="false">IF(B1508="","",IFERROR(INDEX(Jeux!$C$2:$C$3001,MATCH(B1508,Jeux!$A$2:$A$3001,0))&amp;"","⚠ jeu inconnu"))</f>
        <v/>
      </c>
      <c r="H1508" s="27" t="str">
        <f aca="false">IF(B1508="","",IFERROR(INDEX(Jeux!$D$2:$D$3001,MATCH(B1508,Jeux!$A$2:$A$3001,0))&amp;"",""))</f>
        <v/>
      </c>
      <c r="I1508" s="26" t="str">
        <f aca="false">IF(A1508="","",COUNTIF(Apparitions!$G$2:$G$5001,A1508))</f>
        <v/>
      </c>
      <c r="J1508" s="26" t="str">
        <f aca="false">IF(A1508="","",COUNTIFS(Apparitions!$G$2:$G$5001,A1508,Apparitions!$E$2:$E$5001,"○"))</f>
        <v/>
      </c>
      <c r="K1508" s="29" t="str">
        <f aca="false">IF(A1508="","",IFERROR(1/(1/_xlfn.MINIFS(Apparitions!$L$2:$L$5001,Apparitions!$G$2:$G$5001,A1508)),""))</f>
        <v/>
      </c>
      <c r="L1508" s="27" t="str">
        <f aca="false">IF(A1508="","",A1508&amp;" | "&amp;B1508&amp;IF(C1508="",""," ("&amp;C1508&amp;")")&amp;IF(D1508="",""," - "&amp;D1508))</f>
        <v/>
      </c>
    </row>
    <row r="1509" customFormat="false" ht="15" hidden="false" customHeight="false" outlineLevel="0" collapsed="false">
      <c r="A1509" s="32"/>
      <c r="B1509" s="19"/>
      <c r="C1509" s="19"/>
      <c r="D1509" s="19"/>
      <c r="E1509" s="21"/>
      <c r="F1509" s="19"/>
      <c r="G1509" s="27" t="str">
        <f aca="false">IF(B1509="","",IFERROR(INDEX(Jeux!$C$2:$C$3001,MATCH(B1509,Jeux!$A$2:$A$3001,0))&amp;"","⚠ jeu inconnu"))</f>
        <v/>
      </c>
      <c r="H1509" s="27" t="str">
        <f aca="false">IF(B1509="","",IFERROR(INDEX(Jeux!$D$2:$D$3001,MATCH(B1509,Jeux!$A$2:$A$3001,0))&amp;"",""))</f>
        <v/>
      </c>
      <c r="I1509" s="26" t="str">
        <f aca="false">IF(A1509="","",COUNTIF(Apparitions!$G$2:$G$5001,A1509))</f>
        <v/>
      </c>
      <c r="J1509" s="26" t="str">
        <f aca="false">IF(A1509="","",COUNTIFS(Apparitions!$G$2:$G$5001,A1509,Apparitions!$E$2:$E$5001,"○"))</f>
        <v/>
      </c>
      <c r="K1509" s="29" t="str">
        <f aca="false">IF(A1509="","",IFERROR(1/(1/_xlfn.MINIFS(Apparitions!$L$2:$L$5001,Apparitions!$G$2:$G$5001,A1509)),""))</f>
        <v/>
      </c>
      <c r="L1509" s="27" t="str">
        <f aca="false">IF(A1509="","",A1509&amp;" | "&amp;B1509&amp;IF(C1509="",""," ("&amp;C1509&amp;")")&amp;IF(D1509="",""," - "&amp;D1509))</f>
        <v/>
      </c>
    </row>
    <row r="1510" customFormat="false" ht="15" hidden="false" customHeight="false" outlineLevel="0" collapsed="false">
      <c r="A1510" s="32"/>
      <c r="B1510" s="19"/>
      <c r="C1510" s="19"/>
      <c r="D1510" s="19"/>
      <c r="E1510" s="21"/>
      <c r="F1510" s="19"/>
      <c r="G1510" s="27" t="str">
        <f aca="false">IF(B1510="","",IFERROR(INDEX(Jeux!$C$2:$C$3001,MATCH(B1510,Jeux!$A$2:$A$3001,0))&amp;"","⚠ jeu inconnu"))</f>
        <v/>
      </c>
      <c r="H1510" s="27" t="str">
        <f aca="false">IF(B1510="","",IFERROR(INDEX(Jeux!$D$2:$D$3001,MATCH(B1510,Jeux!$A$2:$A$3001,0))&amp;"",""))</f>
        <v/>
      </c>
      <c r="I1510" s="26" t="str">
        <f aca="false">IF(A1510="","",COUNTIF(Apparitions!$G$2:$G$5001,A1510))</f>
        <v/>
      </c>
      <c r="J1510" s="26" t="str">
        <f aca="false">IF(A1510="","",COUNTIFS(Apparitions!$G$2:$G$5001,A1510,Apparitions!$E$2:$E$5001,"○"))</f>
        <v/>
      </c>
      <c r="K1510" s="29" t="str">
        <f aca="false">IF(A1510="","",IFERROR(1/(1/_xlfn.MINIFS(Apparitions!$L$2:$L$5001,Apparitions!$G$2:$G$5001,A1510)),""))</f>
        <v/>
      </c>
      <c r="L1510" s="27" t="str">
        <f aca="false">IF(A1510="","",A1510&amp;" | "&amp;B1510&amp;IF(C1510="",""," ("&amp;C1510&amp;")")&amp;IF(D1510="",""," - "&amp;D1510))</f>
        <v/>
      </c>
    </row>
    <row r="1511" customFormat="false" ht="15" hidden="false" customHeight="false" outlineLevel="0" collapsed="false">
      <c r="A1511" s="32"/>
      <c r="B1511" s="19"/>
      <c r="C1511" s="19"/>
      <c r="D1511" s="19"/>
      <c r="E1511" s="21"/>
      <c r="F1511" s="19"/>
      <c r="G1511" s="27" t="str">
        <f aca="false">IF(B1511="","",IFERROR(INDEX(Jeux!$C$2:$C$3001,MATCH(B1511,Jeux!$A$2:$A$3001,0))&amp;"","⚠ jeu inconnu"))</f>
        <v/>
      </c>
      <c r="H1511" s="27" t="str">
        <f aca="false">IF(B1511="","",IFERROR(INDEX(Jeux!$D$2:$D$3001,MATCH(B1511,Jeux!$A$2:$A$3001,0))&amp;"",""))</f>
        <v/>
      </c>
      <c r="I1511" s="26" t="str">
        <f aca="false">IF(A1511="","",COUNTIF(Apparitions!$G$2:$G$5001,A1511))</f>
        <v/>
      </c>
      <c r="J1511" s="26" t="str">
        <f aca="false">IF(A1511="","",COUNTIFS(Apparitions!$G$2:$G$5001,A1511,Apparitions!$E$2:$E$5001,"○"))</f>
        <v/>
      </c>
      <c r="K1511" s="29" t="str">
        <f aca="false">IF(A1511="","",IFERROR(1/(1/_xlfn.MINIFS(Apparitions!$L$2:$L$5001,Apparitions!$G$2:$G$5001,A1511)),""))</f>
        <v/>
      </c>
      <c r="L1511" s="27" t="str">
        <f aca="false">IF(A1511="","",A1511&amp;" | "&amp;B1511&amp;IF(C1511="",""," ("&amp;C1511&amp;")")&amp;IF(D1511="",""," - "&amp;D1511))</f>
        <v/>
      </c>
    </row>
    <row r="1512" customFormat="false" ht="15" hidden="false" customHeight="false" outlineLevel="0" collapsed="false">
      <c r="A1512" s="32"/>
      <c r="B1512" s="19"/>
      <c r="C1512" s="19"/>
      <c r="D1512" s="19"/>
      <c r="E1512" s="21"/>
      <c r="F1512" s="19"/>
      <c r="G1512" s="27" t="str">
        <f aca="false">IF(B1512="","",IFERROR(INDEX(Jeux!$C$2:$C$3001,MATCH(B1512,Jeux!$A$2:$A$3001,0))&amp;"","⚠ jeu inconnu"))</f>
        <v/>
      </c>
      <c r="H1512" s="27" t="str">
        <f aca="false">IF(B1512="","",IFERROR(INDEX(Jeux!$D$2:$D$3001,MATCH(B1512,Jeux!$A$2:$A$3001,0))&amp;"",""))</f>
        <v/>
      </c>
      <c r="I1512" s="26" t="str">
        <f aca="false">IF(A1512="","",COUNTIF(Apparitions!$G$2:$G$5001,A1512))</f>
        <v/>
      </c>
      <c r="J1512" s="26" t="str">
        <f aca="false">IF(A1512="","",COUNTIFS(Apparitions!$G$2:$G$5001,A1512,Apparitions!$E$2:$E$5001,"○"))</f>
        <v/>
      </c>
      <c r="K1512" s="29" t="str">
        <f aca="false">IF(A1512="","",IFERROR(1/(1/_xlfn.MINIFS(Apparitions!$L$2:$L$5001,Apparitions!$G$2:$G$5001,A1512)),""))</f>
        <v/>
      </c>
      <c r="L1512" s="27" t="str">
        <f aca="false">IF(A1512="","",A1512&amp;" | "&amp;B1512&amp;IF(C1512="",""," ("&amp;C1512&amp;")")&amp;IF(D1512="",""," - "&amp;D1512))</f>
        <v/>
      </c>
    </row>
    <row r="1513" customFormat="false" ht="15" hidden="false" customHeight="false" outlineLevel="0" collapsed="false">
      <c r="A1513" s="32"/>
      <c r="B1513" s="19"/>
      <c r="C1513" s="19"/>
      <c r="D1513" s="19"/>
      <c r="E1513" s="21"/>
      <c r="F1513" s="19"/>
      <c r="G1513" s="27" t="str">
        <f aca="false">IF(B1513="","",IFERROR(INDEX(Jeux!$C$2:$C$3001,MATCH(B1513,Jeux!$A$2:$A$3001,0))&amp;"","⚠ jeu inconnu"))</f>
        <v/>
      </c>
      <c r="H1513" s="27" t="str">
        <f aca="false">IF(B1513="","",IFERROR(INDEX(Jeux!$D$2:$D$3001,MATCH(B1513,Jeux!$A$2:$A$3001,0))&amp;"",""))</f>
        <v/>
      </c>
      <c r="I1513" s="26" t="str">
        <f aca="false">IF(A1513="","",COUNTIF(Apparitions!$G$2:$G$5001,A1513))</f>
        <v/>
      </c>
      <c r="J1513" s="26" t="str">
        <f aca="false">IF(A1513="","",COUNTIFS(Apparitions!$G$2:$G$5001,A1513,Apparitions!$E$2:$E$5001,"○"))</f>
        <v/>
      </c>
      <c r="K1513" s="29" t="str">
        <f aca="false">IF(A1513="","",IFERROR(1/(1/_xlfn.MINIFS(Apparitions!$L$2:$L$5001,Apparitions!$G$2:$G$5001,A1513)),""))</f>
        <v/>
      </c>
      <c r="L1513" s="27" t="str">
        <f aca="false">IF(A1513="","",A1513&amp;" | "&amp;B1513&amp;IF(C1513="",""," ("&amp;C1513&amp;")")&amp;IF(D1513="",""," - "&amp;D1513))</f>
        <v/>
      </c>
    </row>
    <row r="1514" customFormat="false" ht="15" hidden="false" customHeight="false" outlineLevel="0" collapsed="false">
      <c r="A1514" s="32"/>
      <c r="B1514" s="19"/>
      <c r="C1514" s="19"/>
      <c r="D1514" s="19"/>
      <c r="E1514" s="21"/>
      <c r="F1514" s="19"/>
      <c r="G1514" s="27" t="str">
        <f aca="false">IF(B1514="","",IFERROR(INDEX(Jeux!$C$2:$C$3001,MATCH(B1514,Jeux!$A$2:$A$3001,0))&amp;"","⚠ jeu inconnu"))</f>
        <v/>
      </c>
      <c r="H1514" s="27" t="str">
        <f aca="false">IF(B1514="","",IFERROR(INDEX(Jeux!$D$2:$D$3001,MATCH(B1514,Jeux!$A$2:$A$3001,0))&amp;"",""))</f>
        <v/>
      </c>
      <c r="I1514" s="26" t="str">
        <f aca="false">IF(A1514="","",COUNTIF(Apparitions!$G$2:$G$5001,A1514))</f>
        <v/>
      </c>
      <c r="J1514" s="26" t="str">
        <f aca="false">IF(A1514="","",COUNTIFS(Apparitions!$G$2:$G$5001,A1514,Apparitions!$E$2:$E$5001,"○"))</f>
        <v/>
      </c>
      <c r="K1514" s="29" t="str">
        <f aca="false">IF(A1514="","",IFERROR(1/(1/_xlfn.MINIFS(Apparitions!$L$2:$L$5001,Apparitions!$G$2:$G$5001,A1514)),""))</f>
        <v/>
      </c>
      <c r="L1514" s="27" t="str">
        <f aca="false">IF(A1514="","",A1514&amp;" | "&amp;B1514&amp;IF(C1514="",""," ("&amp;C1514&amp;")")&amp;IF(D1514="",""," - "&amp;D1514))</f>
        <v/>
      </c>
    </row>
    <row r="1515" customFormat="false" ht="15" hidden="false" customHeight="false" outlineLevel="0" collapsed="false">
      <c r="A1515" s="32"/>
      <c r="B1515" s="19"/>
      <c r="C1515" s="19"/>
      <c r="D1515" s="19"/>
      <c r="E1515" s="21"/>
      <c r="F1515" s="19"/>
      <c r="G1515" s="27" t="str">
        <f aca="false">IF(B1515="","",IFERROR(INDEX(Jeux!$C$2:$C$3001,MATCH(B1515,Jeux!$A$2:$A$3001,0))&amp;"","⚠ jeu inconnu"))</f>
        <v/>
      </c>
      <c r="H1515" s="27" t="str">
        <f aca="false">IF(B1515="","",IFERROR(INDEX(Jeux!$D$2:$D$3001,MATCH(B1515,Jeux!$A$2:$A$3001,0))&amp;"",""))</f>
        <v/>
      </c>
      <c r="I1515" s="26" t="str">
        <f aca="false">IF(A1515="","",COUNTIF(Apparitions!$G$2:$G$5001,A1515))</f>
        <v/>
      </c>
      <c r="J1515" s="26" t="str">
        <f aca="false">IF(A1515="","",COUNTIFS(Apparitions!$G$2:$G$5001,A1515,Apparitions!$E$2:$E$5001,"○"))</f>
        <v/>
      </c>
      <c r="K1515" s="29" t="str">
        <f aca="false">IF(A1515="","",IFERROR(1/(1/_xlfn.MINIFS(Apparitions!$L$2:$L$5001,Apparitions!$G$2:$G$5001,A1515)),""))</f>
        <v/>
      </c>
      <c r="L1515" s="27" t="str">
        <f aca="false">IF(A1515="","",A1515&amp;" | "&amp;B1515&amp;IF(C1515="",""," ("&amp;C1515&amp;")")&amp;IF(D1515="",""," - "&amp;D1515))</f>
        <v/>
      </c>
    </row>
    <row r="1516" customFormat="false" ht="15" hidden="false" customHeight="false" outlineLevel="0" collapsed="false">
      <c r="A1516" s="32"/>
      <c r="B1516" s="19"/>
      <c r="C1516" s="19"/>
      <c r="D1516" s="19"/>
      <c r="E1516" s="21"/>
      <c r="F1516" s="19"/>
      <c r="G1516" s="27" t="str">
        <f aca="false">IF(B1516="","",IFERROR(INDEX(Jeux!$C$2:$C$3001,MATCH(B1516,Jeux!$A$2:$A$3001,0))&amp;"","⚠ jeu inconnu"))</f>
        <v/>
      </c>
      <c r="H1516" s="27" t="str">
        <f aca="false">IF(B1516="","",IFERROR(INDEX(Jeux!$D$2:$D$3001,MATCH(B1516,Jeux!$A$2:$A$3001,0))&amp;"",""))</f>
        <v/>
      </c>
      <c r="I1516" s="26" t="str">
        <f aca="false">IF(A1516="","",COUNTIF(Apparitions!$G$2:$G$5001,A1516))</f>
        <v/>
      </c>
      <c r="J1516" s="26" t="str">
        <f aca="false">IF(A1516="","",COUNTIFS(Apparitions!$G$2:$G$5001,A1516,Apparitions!$E$2:$E$5001,"○"))</f>
        <v/>
      </c>
      <c r="K1516" s="29" t="str">
        <f aca="false">IF(A1516="","",IFERROR(1/(1/_xlfn.MINIFS(Apparitions!$L$2:$L$5001,Apparitions!$G$2:$G$5001,A1516)),""))</f>
        <v/>
      </c>
      <c r="L1516" s="27" t="str">
        <f aca="false">IF(A1516="","",A1516&amp;" | "&amp;B1516&amp;IF(C1516="",""," ("&amp;C1516&amp;")")&amp;IF(D1516="",""," - "&amp;D1516))</f>
        <v/>
      </c>
    </row>
    <row r="1517" customFormat="false" ht="15" hidden="false" customHeight="false" outlineLevel="0" collapsed="false">
      <c r="A1517" s="32"/>
      <c r="B1517" s="19"/>
      <c r="C1517" s="19"/>
      <c r="D1517" s="19"/>
      <c r="E1517" s="21"/>
      <c r="F1517" s="19"/>
      <c r="G1517" s="27" t="str">
        <f aca="false">IF(B1517="","",IFERROR(INDEX(Jeux!$C$2:$C$3001,MATCH(B1517,Jeux!$A$2:$A$3001,0))&amp;"","⚠ jeu inconnu"))</f>
        <v/>
      </c>
      <c r="H1517" s="27" t="str">
        <f aca="false">IF(B1517="","",IFERROR(INDEX(Jeux!$D$2:$D$3001,MATCH(B1517,Jeux!$A$2:$A$3001,0))&amp;"",""))</f>
        <v/>
      </c>
      <c r="I1517" s="26" t="str">
        <f aca="false">IF(A1517="","",COUNTIF(Apparitions!$G$2:$G$5001,A1517))</f>
        <v/>
      </c>
      <c r="J1517" s="26" t="str">
        <f aca="false">IF(A1517="","",COUNTIFS(Apparitions!$G$2:$G$5001,A1517,Apparitions!$E$2:$E$5001,"○"))</f>
        <v/>
      </c>
      <c r="K1517" s="29" t="str">
        <f aca="false">IF(A1517="","",IFERROR(1/(1/_xlfn.MINIFS(Apparitions!$L$2:$L$5001,Apparitions!$G$2:$G$5001,A1517)),""))</f>
        <v/>
      </c>
      <c r="L1517" s="27" t="str">
        <f aca="false">IF(A1517="","",A1517&amp;" | "&amp;B1517&amp;IF(C1517="",""," ("&amp;C1517&amp;")")&amp;IF(D1517="",""," - "&amp;D1517))</f>
        <v/>
      </c>
    </row>
    <row r="1518" customFormat="false" ht="15" hidden="false" customHeight="false" outlineLevel="0" collapsed="false">
      <c r="A1518" s="32"/>
      <c r="B1518" s="19"/>
      <c r="C1518" s="19"/>
      <c r="D1518" s="19"/>
      <c r="E1518" s="21"/>
      <c r="F1518" s="19"/>
      <c r="G1518" s="27" t="str">
        <f aca="false">IF(B1518="","",IFERROR(INDEX(Jeux!$C$2:$C$3001,MATCH(B1518,Jeux!$A$2:$A$3001,0))&amp;"","⚠ jeu inconnu"))</f>
        <v/>
      </c>
      <c r="H1518" s="27" t="str">
        <f aca="false">IF(B1518="","",IFERROR(INDEX(Jeux!$D$2:$D$3001,MATCH(B1518,Jeux!$A$2:$A$3001,0))&amp;"",""))</f>
        <v/>
      </c>
      <c r="I1518" s="26" t="str">
        <f aca="false">IF(A1518="","",COUNTIF(Apparitions!$G$2:$G$5001,A1518))</f>
        <v/>
      </c>
      <c r="J1518" s="26" t="str">
        <f aca="false">IF(A1518="","",COUNTIFS(Apparitions!$G$2:$G$5001,A1518,Apparitions!$E$2:$E$5001,"○"))</f>
        <v/>
      </c>
      <c r="K1518" s="29" t="str">
        <f aca="false">IF(A1518="","",IFERROR(1/(1/_xlfn.MINIFS(Apparitions!$L$2:$L$5001,Apparitions!$G$2:$G$5001,A1518)),""))</f>
        <v/>
      </c>
      <c r="L1518" s="27" t="str">
        <f aca="false">IF(A1518="","",A1518&amp;" | "&amp;B1518&amp;IF(C1518="",""," ("&amp;C1518&amp;")")&amp;IF(D1518="",""," - "&amp;D1518))</f>
        <v/>
      </c>
    </row>
    <row r="1519" customFormat="false" ht="15" hidden="false" customHeight="false" outlineLevel="0" collapsed="false">
      <c r="A1519" s="32"/>
      <c r="B1519" s="19"/>
      <c r="C1519" s="19"/>
      <c r="D1519" s="19"/>
      <c r="E1519" s="21"/>
      <c r="F1519" s="19"/>
      <c r="G1519" s="27" t="str">
        <f aca="false">IF(B1519="","",IFERROR(INDEX(Jeux!$C$2:$C$3001,MATCH(B1519,Jeux!$A$2:$A$3001,0))&amp;"","⚠ jeu inconnu"))</f>
        <v/>
      </c>
      <c r="H1519" s="27" t="str">
        <f aca="false">IF(B1519="","",IFERROR(INDEX(Jeux!$D$2:$D$3001,MATCH(B1519,Jeux!$A$2:$A$3001,0))&amp;"",""))</f>
        <v/>
      </c>
      <c r="I1519" s="26" t="str">
        <f aca="false">IF(A1519="","",COUNTIF(Apparitions!$G$2:$G$5001,A1519))</f>
        <v/>
      </c>
      <c r="J1519" s="26" t="str">
        <f aca="false">IF(A1519="","",COUNTIFS(Apparitions!$G$2:$G$5001,A1519,Apparitions!$E$2:$E$5001,"○"))</f>
        <v/>
      </c>
      <c r="K1519" s="29" t="str">
        <f aca="false">IF(A1519="","",IFERROR(1/(1/_xlfn.MINIFS(Apparitions!$L$2:$L$5001,Apparitions!$G$2:$G$5001,A1519)),""))</f>
        <v/>
      </c>
      <c r="L1519" s="27" t="str">
        <f aca="false">IF(A1519="","",A1519&amp;" | "&amp;B1519&amp;IF(C1519="",""," ("&amp;C1519&amp;")")&amp;IF(D1519="",""," - "&amp;D1519))</f>
        <v/>
      </c>
    </row>
    <row r="1520" customFormat="false" ht="15" hidden="false" customHeight="false" outlineLevel="0" collapsed="false">
      <c r="A1520" s="32"/>
      <c r="B1520" s="19"/>
      <c r="C1520" s="19"/>
      <c r="D1520" s="19"/>
      <c r="E1520" s="21"/>
      <c r="F1520" s="19"/>
      <c r="G1520" s="27" t="str">
        <f aca="false">IF(B1520="","",IFERROR(INDEX(Jeux!$C$2:$C$3001,MATCH(B1520,Jeux!$A$2:$A$3001,0))&amp;"","⚠ jeu inconnu"))</f>
        <v/>
      </c>
      <c r="H1520" s="27" t="str">
        <f aca="false">IF(B1520="","",IFERROR(INDEX(Jeux!$D$2:$D$3001,MATCH(B1520,Jeux!$A$2:$A$3001,0))&amp;"",""))</f>
        <v/>
      </c>
      <c r="I1520" s="26" t="str">
        <f aca="false">IF(A1520="","",COUNTIF(Apparitions!$G$2:$G$5001,A1520))</f>
        <v/>
      </c>
      <c r="J1520" s="26" t="str">
        <f aca="false">IF(A1520="","",COUNTIFS(Apparitions!$G$2:$G$5001,A1520,Apparitions!$E$2:$E$5001,"○"))</f>
        <v/>
      </c>
      <c r="K1520" s="29" t="str">
        <f aca="false">IF(A1520="","",IFERROR(1/(1/_xlfn.MINIFS(Apparitions!$L$2:$L$5001,Apparitions!$G$2:$G$5001,A1520)),""))</f>
        <v/>
      </c>
      <c r="L1520" s="27" t="str">
        <f aca="false">IF(A1520="","",A1520&amp;" | "&amp;B1520&amp;IF(C1520="",""," ("&amp;C1520&amp;")")&amp;IF(D1520="",""," - "&amp;D1520))</f>
        <v/>
      </c>
    </row>
    <row r="1521" customFormat="false" ht="15" hidden="false" customHeight="false" outlineLevel="0" collapsed="false">
      <c r="A1521" s="32"/>
      <c r="B1521" s="19"/>
      <c r="C1521" s="19"/>
      <c r="D1521" s="19"/>
      <c r="E1521" s="21"/>
      <c r="F1521" s="19"/>
      <c r="G1521" s="27" t="str">
        <f aca="false">IF(B1521="","",IFERROR(INDEX(Jeux!$C$2:$C$3001,MATCH(B1521,Jeux!$A$2:$A$3001,0))&amp;"","⚠ jeu inconnu"))</f>
        <v/>
      </c>
      <c r="H1521" s="27" t="str">
        <f aca="false">IF(B1521="","",IFERROR(INDEX(Jeux!$D$2:$D$3001,MATCH(B1521,Jeux!$A$2:$A$3001,0))&amp;"",""))</f>
        <v/>
      </c>
      <c r="I1521" s="26" t="str">
        <f aca="false">IF(A1521="","",COUNTIF(Apparitions!$G$2:$G$5001,A1521))</f>
        <v/>
      </c>
      <c r="J1521" s="26" t="str">
        <f aca="false">IF(A1521="","",COUNTIFS(Apparitions!$G$2:$G$5001,A1521,Apparitions!$E$2:$E$5001,"○"))</f>
        <v/>
      </c>
      <c r="K1521" s="29" t="str">
        <f aca="false">IF(A1521="","",IFERROR(1/(1/_xlfn.MINIFS(Apparitions!$L$2:$L$5001,Apparitions!$G$2:$G$5001,A1521)),""))</f>
        <v/>
      </c>
      <c r="L1521" s="27" t="str">
        <f aca="false">IF(A1521="","",A1521&amp;" | "&amp;B1521&amp;IF(C1521="",""," ("&amp;C1521&amp;")")&amp;IF(D1521="",""," - "&amp;D1521))</f>
        <v/>
      </c>
    </row>
    <row r="1522" customFormat="false" ht="15" hidden="false" customHeight="false" outlineLevel="0" collapsed="false">
      <c r="A1522" s="32"/>
      <c r="B1522" s="19"/>
      <c r="C1522" s="19"/>
      <c r="D1522" s="19"/>
      <c r="E1522" s="21"/>
      <c r="F1522" s="19"/>
      <c r="G1522" s="27" t="str">
        <f aca="false">IF(B1522="","",IFERROR(INDEX(Jeux!$C$2:$C$3001,MATCH(B1522,Jeux!$A$2:$A$3001,0))&amp;"","⚠ jeu inconnu"))</f>
        <v/>
      </c>
      <c r="H1522" s="27" t="str">
        <f aca="false">IF(B1522="","",IFERROR(INDEX(Jeux!$D$2:$D$3001,MATCH(B1522,Jeux!$A$2:$A$3001,0))&amp;"",""))</f>
        <v/>
      </c>
      <c r="I1522" s="26" t="str">
        <f aca="false">IF(A1522="","",COUNTIF(Apparitions!$G$2:$G$5001,A1522))</f>
        <v/>
      </c>
      <c r="J1522" s="26" t="str">
        <f aca="false">IF(A1522="","",COUNTIFS(Apparitions!$G$2:$G$5001,A1522,Apparitions!$E$2:$E$5001,"○"))</f>
        <v/>
      </c>
      <c r="K1522" s="29" t="str">
        <f aca="false">IF(A1522="","",IFERROR(1/(1/_xlfn.MINIFS(Apparitions!$L$2:$L$5001,Apparitions!$G$2:$G$5001,A1522)),""))</f>
        <v/>
      </c>
      <c r="L1522" s="27" t="str">
        <f aca="false">IF(A1522="","",A1522&amp;" | "&amp;B1522&amp;IF(C1522="",""," ("&amp;C1522&amp;")")&amp;IF(D1522="",""," - "&amp;D1522))</f>
        <v/>
      </c>
    </row>
    <row r="1523" customFormat="false" ht="15" hidden="false" customHeight="false" outlineLevel="0" collapsed="false">
      <c r="A1523" s="32"/>
      <c r="B1523" s="19"/>
      <c r="C1523" s="19"/>
      <c r="D1523" s="19"/>
      <c r="E1523" s="21"/>
      <c r="F1523" s="19"/>
      <c r="G1523" s="27" t="str">
        <f aca="false">IF(B1523="","",IFERROR(INDEX(Jeux!$C$2:$C$3001,MATCH(B1523,Jeux!$A$2:$A$3001,0))&amp;"","⚠ jeu inconnu"))</f>
        <v/>
      </c>
      <c r="H1523" s="27" t="str">
        <f aca="false">IF(B1523="","",IFERROR(INDEX(Jeux!$D$2:$D$3001,MATCH(B1523,Jeux!$A$2:$A$3001,0))&amp;"",""))</f>
        <v/>
      </c>
      <c r="I1523" s="26" t="str">
        <f aca="false">IF(A1523="","",COUNTIF(Apparitions!$G$2:$G$5001,A1523))</f>
        <v/>
      </c>
      <c r="J1523" s="26" t="str">
        <f aca="false">IF(A1523="","",COUNTIFS(Apparitions!$G$2:$G$5001,A1523,Apparitions!$E$2:$E$5001,"○"))</f>
        <v/>
      </c>
      <c r="K1523" s="29" t="str">
        <f aca="false">IF(A1523="","",IFERROR(1/(1/_xlfn.MINIFS(Apparitions!$L$2:$L$5001,Apparitions!$G$2:$G$5001,A1523)),""))</f>
        <v/>
      </c>
      <c r="L1523" s="27" t="str">
        <f aca="false">IF(A1523="","",A1523&amp;" | "&amp;B1523&amp;IF(C1523="",""," ("&amp;C1523&amp;")")&amp;IF(D1523="",""," - "&amp;D1523))</f>
        <v/>
      </c>
    </row>
    <row r="1524" customFormat="false" ht="15" hidden="false" customHeight="false" outlineLevel="0" collapsed="false">
      <c r="A1524" s="32"/>
      <c r="B1524" s="19"/>
      <c r="C1524" s="19"/>
      <c r="D1524" s="19"/>
      <c r="E1524" s="21"/>
      <c r="F1524" s="19"/>
      <c r="G1524" s="27" t="str">
        <f aca="false">IF(B1524="","",IFERROR(INDEX(Jeux!$C$2:$C$3001,MATCH(B1524,Jeux!$A$2:$A$3001,0))&amp;"","⚠ jeu inconnu"))</f>
        <v/>
      </c>
      <c r="H1524" s="27" t="str">
        <f aca="false">IF(B1524="","",IFERROR(INDEX(Jeux!$D$2:$D$3001,MATCH(B1524,Jeux!$A$2:$A$3001,0))&amp;"",""))</f>
        <v/>
      </c>
      <c r="I1524" s="26" t="str">
        <f aca="false">IF(A1524="","",COUNTIF(Apparitions!$G$2:$G$5001,A1524))</f>
        <v/>
      </c>
      <c r="J1524" s="26" t="str">
        <f aca="false">IF(A1524="","",COUNTIFS(Apparitions!$G$2:$G$5001,A1524,Apparitions!$E$2:$E$5001,"○"))</f>
        <v/>
      </c>
      <c r="K1524" s="29" t="str">
        <f aca="false">IF(A1524="","",IFERROR(1/(1/_xlfn.MINIFS(Apparitions!$L$2:$L$5001,Apparitions!$G$2:$G$5001,A1524)),""))</f>
        <v/>
      </c>
      <c r="L1524" s="27" t="str">
        <f aca="false">IF(A1524="","",A1524&amp;" | "&amp;B1524&amp;IF(C1524="",""," ("&amp;C1524&amp;")")&amp;IF(D1524="",""," - "&amp;D1524))</f>
        <v/>
      </c>
    </row>
    <row r="1525" customFormat="false" ht="15" hidden="false" customHeight="false" outlineLevel="0" collapsed="false">
      <c r="A1525" s="32"/>
      <c r="B1525" s="19"/>
      <c r="C1525" s="19"/>
      <c r="D1525" s="19"/>
      <c r="E1525" s="21"/>
      <c r="F1525" s="19"/>
      <c r="G1525" s="27" t="str">
        <f aca="false">IF(B1525="","",IFERROR(INDEX(Jeux!$C$2:$C$3001,MATCH(B1525,Jeux!$A$2:$A$3001,0))&amp;"","⚠ jeu inconnu"))</f>
        <v/>
      </c>
      <c r="H1525" s="27" t="str">
        <f aca="false">IF(B1525="","",IFERROR(INDEX(Jeux!$D$2:$D$3001,MATCH(B1525,Jeux!$A$2:$A$3001,0))&amp;"",""))</f>
        <v/>
      </c>
      <c r="I1525" s="26" t="str">
        <f aca="false">IF(A1525="","",COUNTIF(Apparitions!$G$2:$G$5001,A1525))</f>
        <v/>
      </c>
      <c r="J1525" s="26" t="str">
        <f aca="false">IF(A1525="","",COUNTIFS(Apparitions!$G$2:$G$5001,A1525,Apparitions!$E$2:$E$5001,"○"))</f>
        <v/>
      </c>
      <c r="K1525" s="29" t="str">
        <f aca="false">IF(A1525="","",IFERROR(1/(1/_xlfn.MINIFS(Apparitions!$L$2:$L$5001,Apparitions!$G$2:$G$5001,A1525)),""))</f>
        <v/>
      </c>
      <c r="L1525" s="27" t="str">
        <f aca="false">IF(A1525="","",A1525&amp;" | "&amp;B1525&amp;IF(C1525="",""," ("&amp;C1525&amp;")")&amp;IF(D1525="",""," - "&amp;D1525))</f>
        <v/>
      </c>
    </row>
    <row r="1526" customFormat="false" ht="15" hidden="false" customHeight="false" outlineLevel="0" collapsed="false">
      <c r="A1526" s="32"/>
      <c r="B1526" s="19"/>
      <c r="C1526" s="19"/>
      <c r="D1526" s="19"/>
      <c r="E1526" s="21"/>
      <c r="F1526" s="19"/>
      <c r="G1526" s="27" t="str">
        <f aca="false">IF(B1526="","",IFERROR(INDEX(Jeux!$C$2:$C$3001,MATCH(B1526,Jeux!$A$2:$A$3001,0))&amp;"","⚠ jeu inconnu"))</f>
        <v/>
      </c>
      <c r="H1526" s="27" t="str">
        <f aca="false">IF(B1526="","",IFERROR(INDEX(Jeux!$D$2:$D$3001,MATCH(B1526,Jeux!$A$2:$A$3001,0))&amp;"",""))</f>
        <v/>
      </c>
      <c r="I1526" s="26" t="str">
        <f aca="false">IF(A1526="","",COUNTIF(Apparitions!$G$2:$G$5001,A1526))</f>
        <v/>
      </c>
      <c r="J1526" s="26" t="str">
        <f aca="false">IF(A1526="","",COUNTIFS(Apparitions!$G$2:$G$5001,A1526,Apparitions!$E$2:$E$5001,"○"))</f>
        <v/>
      </c>
      <c r="K1526" s="29" t="str">
        <f aca="false">IF(A1526="","",IFERROR(1/(1/_xlfn.MINIFS(Apparitions!$L$2:$L$5001,Apparitions!$G$2:$G$5001,A1526)),""))</f>
        <v/>
      </c>
      <c r="L1526" s="27" t="str">
        <f aca="false">IF(A1526="","",A1526&amp;" | "&amp;B1526&amp;IF(C1526="",""," ("&amp;C1526&amp;")")&amp;IF(D1526="",""," - "&amp;D1526))</f>
        <v/>
      </c>
    </row>
    <row r="1527" customFormat="false" ht="15" hidden="false" customHeight="false" outlineLevel="0" collapsed="false">
      <c r="A1527" s="32"/>
      <c r="B1527" s="19"/>
      <c r="C1527" s="19"/>
      <c r="D1527" s="19"/>
      <c r="E1527" s="21"/>
      <c r="F1527" s="19"/>
      <c r="G1527" s="27" t="str">
        <f aca="false">IF(B1527="","",IFERROR(INDEX(Jeux!$C$2:$C$3001,MATCH(B1527,Jeux!$A$2:$A$3001,0))&amp;"","⚠ jeu inconnu"))</f>
        <v/>
      </c>
      <c r="H1527" s="27" t="str">
        <f aca="false">IF(B1527="","",IFERROR(INDEX(Jeux!$D$2:$D$3001,MATCH(B1527,Jeux!$A$2:$A$3001,0))&amp;"",""))</f>
        <v/>
      </c>
      <c r="I1527" s="26" t="str">
        <f aca="false">IF(A1527="","",COUNTIF(Apparitions!$G$2:$G$5001,A1527))</f>
        <v/>
      </c>
      <c r="J1527" s="26" t="str">
        <f aca="false">IF(A1527="","",COUNTIFS(Apparitions!$G$2:$G$5001,A1527,Apparitions!$E$2:$E$5001,"○"))</f>
        <v/>
      </c>
      <c r="K1527" s="29" t="str">
        <f aca="false">IF(A1527="","",IFERROR(1/(1/_xlfn.MINIFS(Apparitions!$L$2:$L$5001,Apparitions!$G$2:$G$5001,A1527)),""))</f>
        <v/>
      </c>
      <c r="L1527" s="27" t="str">
        <f aca="false">IF(A1527="","",A1527&amp;" | "&amp;B1527&amp;IF(C1527="",""," ("&amp;C1527&amp;")")&amp;IF(D1527="",""," - "&amp;D1527))</f>
        <v/>
      </c>
    </row>
    <row r="1528" customFormat="false" ht="15" hidden="false" customHeight="false" outlineLevel="0" collapsed="false">
      <c r="A1528" s="32"/>
      <c r="B1528" s="19"/>
      <c r="C1528" s="19"/>
      <c r="D1528" s="19"/>
      <c r="E1528" s="21"/>
      <c r="F1528" s="19"/>
      <c r="G1528" s="27" t="str">
        <f aca="false">IF(B1528="","",IFERROR(INDEX(Jeux!$C$2:$C$3001,MATCH(B1528,Jeux!$A$2:$A$3001,0))&amp;"","⚠ jeu inconnu"))</f>
        <v/>
      </c>
      <c r="H1528" s="27" t="str">
        <f aca="false">IF(B1528="","",IFERROR(INDEX(Jeux!$D$2:$D$3001,MATCH(B1528,Jeux!$A$2:$A$3001,0))&amp;"",""))</f>
        <v/>
      </c>
      <c r="I1528" s="26" t="str">
        <f aca="false">IF(A1528="","",COUNTIF(Apparitions!$G$2:$G$5001,A1528))</f>
        <v/>
      </c>
      <c r="J1528" s="26" t="str">
        <f aca="false">IF(A1528="","",COUNTIFS(Apparitions!$G$2:$G$5001,A1528,Apparitions!$E$2:$E$5001,"○"))</f>
        <v/>
      </c>
      <c r="K1528" s="29" t="str">
        <f aca="false">IF(A1528="","",IFERROR(1/(1/_xlfn.MINIFS(Apparitions!$L$2:$L$5001,Apparitions!$G$2:$G$5001,A1528)),""))</f>
        <v/>
      </c>
      <c r="L1528" s="27" t="str">
        <f aca="false">IF(A1528="","",A1528&amp;" | "&amp;B1528&amp;IF(C1528="",""," ("&amp;C1528&amp;")")&amp;IF(D1528="",""," - "&amp;D1528))</f>
        <v/>
      </c>
    </row>
    <row r="1529" customFormat="false" ht="15" hidden="false" customHeight="false" outlineLevel="0" collapsed="false">
      <c r="A1529" s="32"/>
      <c r="B1529" s="19"/>
      <c r="C1529" s="19"/>
      <c r="D1529" s="19"/>
      <c r="E1529" s="21"/>
      <c r="F1529" s="19"/>
      <c r="G1529" s="27" t="str">
        <f aca="false">IF(B1529="","",IFERROR(INDEX(Jeux!$C$2:$C$3001,MATCH(B1529,Jeux!$A$2:$A$3001,0))&amp;"","⚠ jeu inconnu"))</f>
        <v/>
      </c>
      <c r="H1529" s="27" t="str">
        <f aca="false">IF(B1529="","",IFERROR(INDEX(Jeux!$D$2:$D$3001,MATCH(B1529,Jeux!$A$2:$A$3001,0))&amp;"",""))</f>
        <v/>
      </c>
      <c r="I1529" s="26" t="str">
        <f aca="false">IF(A1529="","",COUNTIF(Apparitions!$G$2:$G$5001,A1529))</f>
        <v/>
      </c>
      <c r="J1529" s="26" t="str">
        <f aca="false">IF(A1529="","",COUNTIFS(Apparitions!$G$2:$G$5001,A1529,Apparitions!$E$2:$E$5001,"○"))</f>
        <v/>
      </c>
      <c r="K1529" s="29" t="str">
        <f aca="false">IF(A1529="","",IFERROR(1/(1/_xlfn.MINIFS(Apparitions!$L$2:$L$5001,Apparitions!$G$2:$G$5001,A1529)),""))</f>
        <v/>
      </c>
      <c r="L1529" s="27" t="str">
        <f aca="false">IF(A1529="","",A1529&amp;" | "&amp;B1529&amp;IF(C1529="",""," ("&amp;C1529&amp;")")&amp;IF(D1529="",""," - "&amp;D1529))</f>
        <v/>
      </c>
    </row>
    <row r="1530" customFormat="false" ht="15" hidden="false" customHeight="false" outlineLevel="0" collapsed="false">
      <c r="A1530" s="32"/>
      <c r="B1530" s="19"/>
      <c r="C1530" s="19"/>
      <c r="D1530" s="19"/>
      <c r="E1530" s="21"/>
      <c r="F1530" s="19"/>
      <c r="G1530" s="27" t="str">
        <f aca="false">IF(B1530="","",IFERROR(INDEX(Jeux!$C$2:$C$3001,MATCH(B1530,Jeux!$A$2:$A$3001,0))&amp;"","⚠ jeu inconnu"))</f>
        <v/>
      </c>
      <c r="H1530" s="27" t="str">
        <f aca="false">IF(B1530="","",IFERROR(INDEX(Jeux!$D$2:$D$3001,MATCH(B1530,Jeux!$A$2:$A$3001,0))&amp;"",""))</f>
        <v/>
      </c>
      <c r="I1530" s="26" t="str">
        <f aca="false">IF(A1530="","",COUNTIF(Apparitions!$G$2:$G$5001,A1530))</f>
        <v/>
      </c>
      <c r="J1530" s="26" t="str">
        <f aca="false">IF(A1530="","",COUNTIFS(Apparitions!$G$2:$G$5001,A1530,Apparitions!$E$2:$E$5001,"○"))</f>
        <v/>
      </c>
      <c r="K1530" s="29" t="str">
        <f aca="false">IF(A1530="","",IFERROR(1/(1/_xlfn.MINIFS(Apparitions!$L$2:$L$5001,Apparitions!$G$2:$G$5001,A1530)),""))</f>
        <v/>
      </c>
      <c r="L1530" s="27" t="str">
        <f aca="false">IF(A1530="","",A1530&amp;" | "&amp;B1530&amp;IF(C1530="",""," ("&amp;C1530&amp;")")&amp;IF(D1530="",""," - "&amp;D1530))</f>
        <v/>
      </c>
    </row>
    <row r="1531" customFormat="false" ht="15" hidden="false" customHeight="false" outlineLevel="0" collapsed="false">
      <c r="A1531" s="32"/>
      <c r="B1531" s="19"/>
      <c r="C1531" s="19"/>
      <c r="D1531" s="19"/>
      <c r="E1531" s="21"/>
      <c r="F1531" s="19"/>
      <c r="G1531" s="27" t="str">
        <f aca="false">IF(B1531="","",IFERROR(INDEX(Jeux!$C$2:$C$3001,MATCH(B1531,Jeux!$A$2:$A$3001,0))&amp;"","⚠ jeu inconnu"))</f>
        <v/>
      </c>
      <c r="H1531" s="27" t="str">
        <f aca="false">IF(B1531="","",IFERROR(INDEX(Jeux!$D$2:$D$3001,MATCH(B1531,Jeux!$A$2:$A$3001,0))&amp;"",""))</f>
        <v/>
      </c>
      <c r="I1531" s="26" t="str">
        <f aca="false">IF(A1531="","",COUNTIF(Apparitions!$G$2:$G$5001,A1531))</f>
        <v/>
      </c>
      <c r="J1531" s="26" t="str">
        <f aca="false">IF(A1531="","",COUNTIFS(Apparitions!$G$2:$G$5001,A1531,Apparitions!$E$2:$E$5001,"○"))</f>
        <v/>
      </c>
      <c r="K1531" s="29" t="str">
        <f aca="false">IF(A1531="","",IFERROR(1/(1/_xlfn.MINIFS(Apparitions!$L$2:$L$5001,Apparitions!$G$2:$G$5001,A1531)),""))</f>
        <v/>
      </c>
      <c r="L1531" s="27" t="str">
        <f aca="false">IF(A1531="","",A1531&amp;" | "&amp;B1531&amp;IF(C1531="",""," ("&amp;C1531&amp;")")&amp;IF(D1531="",""," - "&amp;D1531))</f>
        <v/>
      </c>
    </row>
    <row r="1532" customFormat="false" ht="15" hidden="false" customHeight="false" outlineLevel="0" collapsed="false">
      <c r="A1532" s="32"/>
      <c r="B1532" s="19"/>
      <c r="C1532" s="19"/>
      <c r="D1532" s="19"/>
      <c r="E1532" s="21"/>
      <c r="F1532" s="19"/>
      <c r="G1532" s="27" t="str">
        <f aca="false">IF(B1532="","",IFERROR(INDEX(Jeux!$C$2:$C$3001,MATCH(B1532,Jeux!$A$2:$A$3001,0))&amp;"","⚠ jeu inconnu"))</f>
        <v/>
      </c>
      <c r="H1532" s="27" t="str">
        <f aca="false">IF(B1532="","",IFERROR(INDEX(Jeux!$D$2:$D$3001,MATCH(B1532,Jeux!$A$2:$A$3001,0))&amp;"",""))</f>
        <v/>
      </c>
      <c r="I1532" s="26" t="str">
        <f aca="false">IF(A1532="","",COUNTIF(Apparitions!$G$2:$G$5001,A1532))</f>
        <v/>
      </c>
      <c r="J1532" s="26" t="str">
        <f aca="false">IF(A1532="","",COUNTIFS(Apparitions!$G$2:$G$5001,A1532,Apparitions!$E$2:$E$5001,"○"))</f>
        <v/>
      </c>
      <c r="K1532" s="29" t="str">
        <f aca="false">IF(A1532="","",IFERROR(1/(1/_xlfn.MINIFS(Apparitions!$L$2:$L$5001,Apparitions!$G$2:$G$5001,A1532)),""))</f>
        <v/>
      </c>
      <c r="L1532" s="27" t="str">
        <f aca="false">IF(A1532="","",A1532&amp;" | "&amp;B1532&amp;IF(C1532="",""," ("&amp;C1532&amp;")")&amp;IF(D1532="",""," - "&amp;D1532))</f>
        <v/>
      </c>
    </row>
    <row r="1533" customFormat="false" ht="15" hidden="false" customHeight="false" outlineLevel="0" collapsed="false">
      <c r="A1533" s="32"/>
      <c r="B1533" s="19"/>
      <c r="C1533" s="19"/>
      <c r="D1533" s="19"/>
      <c r="E1533" s="21"/>
      <c r="F1533" s="19"/>
      <c r="G1533" s="27" t="str">
        <f aca="false">IF(B1533="","",IFERROR(INDEX(Jeux!$C$2:$C$3001,MATCH(B1533,Jeux!$A$2:$A$3001,0))&amp;"","⚠ jeu inconnu"))</f>
        <v/>
      </c>
      <c r="H1533" s="27" t="str">
        <f aca="false">IF(B1533="","",IFERROR(INDEX(Jeux!$D$2:$D$3001,MATCH(B1533,Jeux!$A$2:$A$3001,0))&amp;"",""))</f>
        <v/>
      </c>
      <c r="I1533" s="26" t="str">
        <f aca="false">IF(A1533="","",COUNTIF(Apparitions!$G$2:$G$5001,A1533))</f>
        <v/>
      </c>
      <c r="J1533" s="26" t="str">
        <f aca="false">IF(A1533="","",COUNTIFS(Apparitions!$G$2:$G$5001,A1533,Apparitions!$E$2:$E$5001,"○"))</f>
        <v/>
      </c>
      <c r="K1533" s="29" t="str">
        <f aca="false">IF(A1533="","",IFERROR(1/(1/_xlfn.MINIFS(Apparitions!$L$2:$L$5001,Apparitions!$G$2:$G$5001,A1533)),""))</f>
        <v/>
      </c>
      <c r="L1533" s="27" t="str">
        <f aca="false">IF(A1533="","",A1533&amp;" | "&amp;B1533&amp;IF(C1533="",""," ("&amp;C1533&amp;")")&amp;IF(D1533="",""," - "&amp;D1533))</f>
        <v/>
      </c>
    </row>
    <row r="1534" customFormat="false" ht="15" hidden="false" customHeight="false" outlineLevel="0" collapsed="false">
      <c r="A1534" s="32"/>
      <c r="B1534" s="19"/>
      <c r="C1534" s="19"/>
      <c r="D1534" s="19"/>
      <c r="E1534" s="21"/>
      <c r="F1534" s="19"/>
      <c r="G1534" s="27" t="str">
        <f aca="false">IF(B1534="","",IFERROR(INDEX(Jeux!$C$2:$C$3001,MATCH(B1534,Jeux!$A$2:$A$3001,0))&amp;"","⚠ jeu inconnu"))</f>
        <v/>
      </c>
      <c r="H1534" s="27" t="str">
        <f aca="false">IF(B1534="","",IFERROR(INDEX(Jeux!$D$2:$D$3001,MATCH(B1534,Jeux!$A$2:$A$3001,0))&amp;"",""))</f>
        <v/>
      </c>
      <c r="I1534" s="26" t="str">
        <f aca="false">IF(A1534="","",COUNTIF(Apparitions!$G$2:$G$5001,A1534))</f>
        <v/>
      </c>
      <c r="J1534" s="26" t="str">
        <f aca="false">IF(A1534="","",COUNTIFS(Apparitions!$G$2:$G$5001,A1534,Apparitions!$E$2:$E$5001,"○"))</f>
        <v/>
      </c>
      <c r="K1534" s="29" t="str">
        <f aca="false">IF(A1534="","",IFERROR(1/(1/_xlfn.MINIFS(Apparitions!$L$2:$L$5001,Apparitions!$G$2:$G$5001,A1534)),""))</f>
        <v/>
      </c>
      <c r="L1534" s="27" t="str">
        <f aca="false">IF(A1534="","",A1534&amp;" | "&amp;B1534&amp;IF(C1534="",""," ("&amp;C1534&amp;")")&amp;IF(D1534="",""," - "&amp;D1534))</f>
        <v/>
      </c>
    </row>
    <row r="1535" customFormat="false" ht="15" hidden="false" customHeight="false" outlineLevel="0" collapsed="false">
      <c r="A1535" s="32"/>
      <c r="B1535" s="19"/>
      <c r="C1535" s="19"/>
      <c r="D1535" s="19"/>
      <c r="E1535" s="21"/>
      <c r="F1535" s="19"/>
      <c r="G1535" s="27" t="str">
        <f aca="false">IF(B1535="","",IFERROR(INDEX(Jeux!$C$2:$C$3001,MATCH(B1535,Jeux!$A$2:$A$3001,0))&amp;"","⚠ jeu inconnu"))</f>
        <v/>
      </c>
      <c r="H1535" s="27" t="str">
        <f aca="false">IF(B1535="","",IFERROR(INDEX(Jeux!$D$2:$D$3001,MATCH(B1535,Jeux!$A$2:$A$3001,0))&amp;"",""))</f>
        <v/>
      </c>
      <c r="I1535" s="26" t="str">
        <f aca="false">IF(A1535="","",COUNTIF(Apparitions!$G$2:$G$5001,A1535))</f>
        <v/>
      </c>
      <c r="J1535" s="26" t="str">
        <f aca="false">IF(A1535="","",COUNTIFS(Apparitions!$G$2:$G$5001,A1535,Apparitions!$E$2:$E$5001,"○"))</f>
        <v/>
      </c>
      <c r="K1535" s="29" t="str">
        <f aca="false">IF(A1535="","",IFERROR(1/(1/_xlfn.MINIFS(Apparitions!$L$2:$L$5001,Apparitions!$G$2:$G$5001,A1535)),""))</f>
        <v/>
      </c>
      <c r="L1535" s="27" t="str">
        <f aca="false">IF(A1535="","",A1535&amp;" | "&amp;B1535&amp;IF(C1535="",""," ("&amp;C1535&amp;")")&amp;IF(D1535="",""," - "&amp;D1535))</f>
        <v/>
      </c>
    </row>
    <row r="1536" customFormat="false" ht="15" hidden="false" customHeight="false" outlineLevel="0" collapsed="false">
      <c r="A1536" s="32"/>
      <c r="B1536" s="19"/>
      <c r="C1536" s="19"/>
      <c r="D1536" s="19"/>
      <c r="E1536" s="21"/>
      <c r="F1536" s="19"/>
      <c r="G1536" s="27" t="str">
        <f aca="false">IF(B1536="","",IFERROR(INDEX(Jeux!$C$2:$C$3001,MATCH(B1536,Jeux!$A$2:$A$3001,0))&amp;"","⚠ jeu inconnu"))</f>
        <v/>
      </c>
      <c r="H1536" s="27" t="str">
        <f aca="false">IF(B1536="","",IFERROR(INDEX(Jeux!$D$2:$D$3001,MATCH(B1536,Jeux!$A$2:$A$3001,0))&amp;"",""))</f>
        <v/>
      </c>
      <c r="I1536" s="26" t="str">
        <f aca="false">IF(A1536="","",COUNTIF(Apparitions!$G$2:$G$5001,A1536))</f>
        <v/>
      </c>
      <c r="J1536" s="26" t="str">
        <f aca="false">IF(A1536="","",COUNTIFS(Apparitions!$G$2:$G$5001,A1536,Apparitions!$E$2:$E$5001,"○"))</f>
        <v/>
      </c>
      <c r="K1536" s="29" t="str">
        <f aca="false">IF(A1536="","",IFERROR(1/(1/_xlfn.MINIFS(Apparitions!$L$2:$L$5001,Apparitions!$G$2:$G$5001,A1536)),""))</f>
        <v/>
      </c>
      <c r="L1536" s="27" t="str">
        <f aca="false">IF(A1536="","",A1536&amp;" | "&amp;B1536&amp;IF(C1536="",""," ("&amp;C1536&amp;")")&amp;IF(D1536="",""," - "&amp;D1536))</f>
        <v/>
      </c>
    </row>
    <row r="1537" customFormat="false" ht="15" hidden="false" customHeight="false" outlineLevel="0" collapsed="false">
      <c r="A1537" s="32"/>
      <c r="B1537" s="19"/>
      <c r="C1537" s="19"/>
      <c r="D1537" s="19"/>
      <c r="E1537" s="21"/>
      <c r="F1537" s="19"/>
      <c r="G1537" s="27" t="str">
        <f aca="false">IF(B1537="","",IFERROR(INDEX(Jeux!$C$2:$C$3001,MATCH(B1537,Jeux!$A$2:$A$3001,0))&amp;"","⚠ jeu inconnu"))</f>
        <v/>
      </c>
      <c r="H1537" s="27" t="str">
        <f aca="false">IF(B1537="","",IFERROR(INDEX(Jeux!$D$2:$D$3001,MATCH(B1537,Jeux!$A$2:$A$3001,0))&amp;"",""))</f>
        <v/>
      </c>
      <c r="I1537" s="26" t="str">
        <f aca="false">IF(A1537="","",COUNTIF(Apparitions!$G$2:$G$5001,A1537))</f>
        <v/>
      </c>
      <c r="J1537" s="26" t="str">
        <f aca="false">IF(A1537="","",COUNTIFS(Apparitions!$G$2:$G$5001,A1537,Apparitions!$E$2:$E$5001,"○"))</f>
        <v/>
      </c>
      <c r="K1537" s="29" t="str">
        <f aca="false">IF(A1537="","",IFERROR(1/(1/_xlfn.MINIFS(Apparitions!$L$2:$L$5001,Apparitions!$G$2:$G$5001,A1537)),""))</f>
        <v/>
      </c>
      <c r="L1537" s="27" t="str">
        <f aca="false">IF(A1537="","",A1537&amp;" | "&amp;B1537&amp;IF(C1537="",""," ("&amp;C1537&amp;")")&amp;IF(D1537="",""," - "&amp;D1537))</f>
        <v/>
      </c>
    </row>
    <row r="1538" customFormat="false" ht="15" hidden="false" customHeight="false" outlineLevel="0" collapsed="false">
      <c r="A1538" s="32"/>
      <c r="B1538" s="19"/>
      <c r="C1538" s="19"/>
      <c r="D1538" s="19"/>
      <c r="E1538" s="21"/>
      <c r="F1538" s="19"/>
      <c r="G1538" s="27" t="str">
        <f aca="false">IF(B1538="","",IFERROR(INDEX(Jeux!$C$2:$C$3001,MATCH(B1538,Jeux!$A$2:$A$3001,0))&amp;"","⚠ jeu inconnu"))</f>
        <v/>
      </c>
      <c r="H1538" s="27" t="str">
        <f aca="false">IF(B1538="","",IFERROR(INDEX(Jeux!$D$2:$D$3001,MATCH(B1538,Jeux!$A$2:$A$3001,0))&amp;"",""))</f>
        <v/>
      </c>
      <c r="I1538" s="26" t="str">
        <f aca="false">IF(A1538="","",COUNTIF(Apparitions!$G$2:$G$5001,A1538))</f>
        <v/>
      </c>
      <c r="J1538" s="26" t="str">
        <f aca="false">IF(A1538="","",COUNTIFS(Apparitions!$G$2:$G$5001,A1538,Apparitions!$E$2:$E$5001,"○"))</f>
        <v/>
      </c>
      <c r="K1538" s="29" t="str">
        <f aca="false">IF(A1538="","",IFERROR(1/(1/_xlfn.MINIFS(Apparitions!$L$2:$L$5001,Apparitions!$G$2:$G$5001,A1538)),""))</f>
        <v/>
      </c>
      <c r="L1538" s="27" t="str">
        <f aca="false">IF(A1538="","",A1538&amp;" | "&amp;B1538&amp;IF(C1538="",""," ("&amp;C1538&amp;")")&amp;IF(D1538="",""," - "&amp;D1538))</f>
        <v/>
      </c>
    </row>
    <row r="1539" customFormat="false" ht="15" hidden="false" customHeight="false" outlineLevel="0" collapsed="false">
      <c r="A1539" s="32"/>
      <c r="B1539" s="19"/>
      <c r="C1539" s="19"/>
      <c r="D1539" s="19"/>
      <c r="E1539" s="21"/>
      <c r="F1539" s="19"/>
      <c r="G1539" s="27" t="str">
        <f aca="false">IF(B1539="","",IFERROR(INDEX(Jeux!$C$2:$C$3001,MATCH(B1539,Jeux!$A$2:$A$3001,0))&amp;"","⚠ jeu inconnu"))</f>
        <v/>
      </c>
      <c r="H1539" s="27" t="str">
        <f aca="false">IF(B1539="","",IFERROR(INDEX(Jeux!$D$2:$D$3001,MATCH(B1539,Jeux!$A$2:$A$3001,0))&amp;"",""))</f>
        <v/>
      </c>
      <c r="I1539" s="26" t="str">
        <f aca="false">IF(A1539="","",COUNTIF(Apparitions!$G$2:$G$5001,A1539))</f>
        <v/>
      </c>
      <c r="J1539" s="26" t="str">
        <f aca="false">IF(A1539="","",COUNTIFS(Apparitions!$G$2:$G$5001,A1539,Apparitions!$E$2:$E$5001,"○"))</f>
        <v/>
      </c>
      <c r="K1539" s="29" t="str">
        <f aca="false">IF(A1539="","",IFERROR(1/(1/_xlfn.MINIFS(Apparitions!$L$2:$L$5001,Apparitions!$G$2:$G$5001,A1539)),""))</f>
        <v/>
      </c>
      <c r="L1539" s="27" t="str">
        <f aca="false">IF(A1539="","",A1539&amp;" | "&amp;B1539&amp;IF(C1539="",""," ("&amp;C1539&amp;")")&amp;IF(D1539="",""," - "&amp;D1539))</f>
        <v/>
      </c>
    </row>
    <row r="1540" customFormat="false" ht="15" hidden="false" customHeight="false" outlineLevel="0" collapsed="false">
      <c r="A1540" s="32"/>
      <c r="B1540" s="19"/>
      <c r="C1540" s="19"/>
      <c r="D1540" s="19"/>
      <c r="E1540" s="21"/>
      <c r="F1540" s="19"/>
      <c r="G1540" s="27" t="str">
        <f aca="false">IF(B1540="","",IFERROR(INDEX(Jeux!$C$2:$C$3001,MATCH(B1540,Jeux!$A$2:$A$3001,0))&amp;"","⚠ jeu inconnu"))</f>
        <v/>
      </c>
      <c r="H1540" s="27" t="str">
        <f aca="false">IF(B1540="","",IFERROR(INDEX(Jeux!$D$2:$D$3001,MATCH(B1540,Jeux!$A$2:$A$3001,0))&amp;"",""))</f>
        <v/>
      </c>
      <c r="I1540" s="26" t="str">
        <f aca="false">IF(A1540="","",COUNTIF(Apparitions!$G$2:$G$5001,A1540))</f>
        <v/>
      </c>
      <c r="J1540" s="26" t="str">
        <f aca="false">IF(A1540="","",COUNTIFS(Apparitions!$G$2:$G$5001,A1540,Apparitions!$E$2:$E$5001,"○"))</f>
        <v/>
      </c>
      <c r="K1540" s="29" t="str">
        <f aca="false">IF(A1540="","",IFERROR(1/(1/_xlfn.MINIFS(Apparitions!$L$2:$L$5001,Apparitions!$G$2:$G$5001,A1540)),""))</f>
        <v/>
      </c>
      <c r="L1540" s="27" t="str">
        <f aca="false">IF(A1540="","",A1540&amp;" | "&amp;B1540&amp;IF(C1540="",""," ("&amp;C1540&amp;")")&amp;IF(D1540="",""," - "&amp;D1540))</f>
        <v/>
      </c>
    </row>
    <row r="1541" customFormat="false" ht="15" hidden="false" customHeight="false" outlineLevel="0" collapsed="false">
      <c r="A1541" s="32"/>
      <c r="B1541" s="19"/>
      <c r="C1541" s="19"/>
      <c r="D1541" s="19"/>
      <c r="E1541" s="21"/>
      <c r="F1541" s="19"/>
      <c r="G1541" s="27" t="str">
        <f aca="false">IF(B1541="","",IFERROR(INDEX(Jeux!$C$2:$C$3001,MATCH(B1541,Jeux!$A$2:$A$3001,0))&amp;"","⚠ jeu inconnu"))</f>
        <v/>
      </c>
      <c r="H1541" s="27" t="str">
        <f aca="false">IF(B1541="","",IFERROR(INDEX(Jeux!$D$2:$D$3001,MATCH(B1541,Jeux!$A$2:$A$3001,0))&amp;"",""))</f>
        <v/>
      </c>
      <c r="I1541" s="26" t="str">
        <f aca="false">IF(A1541="","",COUNTIF(Apparitions!$G$2:$G$5001,A1541))</f>
        <v/>
      </c>
      <c r="J1541" s="26" t="str">
        <f aca="false">IF(A1541="","",COUNTIFS(Apparitions!$G$2:$G$5001,A1541,Apparitions!$E$2:$E$5001,"○"))</f>
        <v/>
      </c>
      <c r="K1541" s="29" t="str">
        <f aca="false">IF(A1541="","",IFERROR(1/(1/_xlfn.MINIFS(Apparitions!$L$2:$L$5001,Apparitions!$G$2:$G$5001,A1541)),""))</f>
        <v/>
      </c>
      <c r="L1541" s="27" t="str">
        <f aca="false">IF(A1541="","",A1541&amp;" | "&amp;B1541&amp;IF(C1541="",""," ("&amp;C1541&amp;")")&amp;IF(D1541="",""," - "&amp;D1541))</f>
        <v/>
      </c>
    </row>
    <row r="1542" customFormat="false" ht="15" hidden="false" customHeight="false" outlineLevel="0" collapsed="false">
      <c r="A1542" s="32"/>
      <c r="B1542" s="19"/>
      <c r="C1542" s="19"/>
      <c r="D1542" s="19"/>
      <c r="E1542" s="21"/>
      <c r="F1542" s="19"/>
      <c r="G1542" s="27" t="str">
        <f aca="false">IF(B1542="","",IFERROR(INDEX(Jeux!$C$2:$C$3001,MATCH(B1542,Jeux!$A$2:$A$3001,0))&amp;"","⚠ jeu inconnu"))</f>
        <v/>
      </c>
      <c r="H1542" s="27" t="str">
        <f aca="false">IF(B1542="","",IFERROR(INDEX(Jeux!$D$2:$D$3001,MATCH(B1542,Jeux!$A$2:$A$3001,0))&amp;"",""))</f>
        <v/>
      </c>
      <c r="I1542" s="26" t="str">
        <f aca="false">IF(A1542="","",COUNTIF(Apparitions!$G$2:$G$5001,A1542))</f>
        <v/>
      </c>
      <c r="J1542" s="26" t="str">
        <f aca="false">IF(A1542="","",COUNTIFS(Apparitions!$G$2:$G$5001,A1542,Apparitions!$E$2:$E$5001,"○"))</f>
        <v/>
      </c>
      <c r="K1542" s="29" t="str">
        <f aca="false">IF(A1542="","",IFERROR(1/(1/_xlfn.MINIFS(Apparitions!$L$2:$L$5001,Apparitions!$G$2:$G$5001,A1542)),""))</f>
        <v/>
      </c>
      <c r="L1542" s="27" t="str">
        <f aca="false">IF(A1542="","",A1542&amp;" | "&amp;B1542&amp;IF(C1542="",""," ("&amp;C1542&amp;")")&amp;IF(D1542="",""," - "&amp;D1542))</f>
        <v/>
      </c>
    </row>
    <row r="1543" customFormat="false" ht="15" hidden="false" customHeight="false" outlineLevel="0" collapsed="false">
      <c r="A1543" s="32"/>
      <c r="B1543" s="19"/>
      <c r="C1543" s="19"/>
      <c r="D1543" s="19"/>
      <c r="E1543" s="21"/>
      <c r="F1543" s="19"/>
      <c r="G1543" s="27" t="str">
        <f aca="false">IF(B1543="","",IFERROR(INDEX(Jeux!$C$2:$C$3001,MATCH(B1543,Jeux!$A$2:$A$3001,0))&amp;"","⚠ jeu inconnu"))</f>
        <v/>
      </c>
      <c r="H1543" s="27" t="str">
        <f aca="false">IF(B1543="","",IFERROR(INDEX(Jeux!$D$2:$D$3001,MATCH(B1543,Jeux!$A$2:$A$3001,0))&amp;"",""))</f>
        <v/>
      </c>
      <c r="I1543" s="26" t="str">
        <f aca="false">IF(A1543="","",COUNTIF(Apparitions!$G$2:$G$5001,A1543))</f>
        <v/>
      </c>
      <c r="J1543" s="26" t="str">
        <f aca="false">IF(A1543="","",COUNTIFS(Apparitions!$G$2:$G$5001,A1543,Apparitions!$E$2:$E$5001,"○"))</f>
        <v/>
      </c>
      <c r="K1543" s="29" t="str">
        <f aca="false">IF(A1543="","",IFERROR(1/(1/_xlfn.MINIFS(Apparitions!$L$2:$L$5001,Apparitions!$G$2:$G$5001,A1543)),""))</f>
        <v/>
      </c>
      <c r="L1543" s="27" t="str">
        <f aca="false">IF(A1543="","",A1543&amp;" | "&amp;B1543&amp;IF(C1543="",""," ("&amp;C1543&amp;")")&amp;IF(D1543="",""," - "&amp;D1543))</f>
        <v/>
      </c>
    </row>
    <row r="1544" customFormat="false" ht="15" hidden="false" customHeight="false" outlineLevel="0" collapsed="false">
      <c r="A1544" s="32"/>
      <c r="B1544" s="19"/>
      <c r="C1544" s="19"/>
      <c r="D1544" s="19"/>
      <c r="E1544" s="21"/>
      <c r="F1544" s="19"/>
      <c r="G1544" s="27" t="str">
        <f aca="false">IF(B1544="","",IFERROR(INDEX(Jeux!$C$2:$C$3001,MATCH(B1544,Jeux!$A$2:$A$3001,0))&amp;"","⚠ jeu inconnu"))</f>
        <v/>
      </c>
      <c r="H1544" s="27" t="str">
        <f aca="false">IF(B1544="","",IFERROR(INDEX(Jeux!$D$2:$D$3001,MATCH(B1544,Jeux!$A$2:$A$3001,0))&amp;"",""))</f>
        <v/>
      </c>
      <c r="I1544" s="26" t="str">
        <f aca="false">IF(A1544="","",COUNTIF(Apparitions!$G$2:$G$5001,A1544))</f>
        <v/>
      </c>
      <c r="J1544" s="26" t="str">
        <f aca="false">IF(A1544="","",COUNTIFS(Apparitions!$G$2:$G$5001,A1544,Apparitions!$E$2:$E$5001,"○"))</f>
        <v/>
      </c>
      <c r="K1544" s="29" t="str">
        <f aca="false">IF(A1544="","",IFERROR(1/(1/_xlfn.MINIFS(Apparitions!$L$2:$L$5001,Apparitions!$G$2:$G$5001,A1544)),""))</f>
        <v/>
      </c>
      <c r="L1544" s="27" t="str">
        <f aca="false">IF(A1544="","",A1544&amp;" | "&amp;B1544&amp;IF(C1544="",""," ("&amp;C1544&amp;")")&amp;IF(D1544="",""," - "&amp;D1544))</f>
        <v/>
      </c>
    </row>
    <row r="1545" customFormat="false" ht="15" hidden="false" customHeight="false" outlineLevel="0" collapsed="false">
      <c r="A1545" s="32"/>
      <c r="B1545" s="19"/>
      <c r="C1545" s="19"/>
      <c r="D1545" s="19"/>
      <c r="E1545" s="21"/>
      <c r="F1545" s="19"/>
      <c r="G1545" s="27" t="str">
        <f aca="false">IF(B1545="","",IFERROR(INDEX(Jeux!$C$2:$C$3001,MATCH(B1545,Jeux!$A$2:$A$3001,0))&amp;"","⚠ jeu inconnu"))</f>
        <v/>
      </c>
      <c r="H1545" s="27" t="str">
        <f aca="false">IF(B1545="","",IFERROR(INDEX(Jeux!$D$2:$D$3001,MATCH(B1545,Jeux!$A$2:$A$3001,0))&amp;"",""))</f>
        <v/>
      </c>
      <c r="I1545" s="26" t="str">
        <f aca="false">IF(A1545="","",COUNTIF(Apparitions!$G$2:$G$5001,A1545))</f>
        <v/>
      </c>
      <c r="J1545" s="26" t="str">
        <f aca="false">IF(A1545="","",COUNTIFS(Apparitions!$G$2:$G$5001,A1545,Apparitions!$E$2:$E$5001,"○"))</f>
        <v/>
      </c>
      <c r="K1545" s="29" t="str">
        <f aca="false">IF(A1545="","",IFERROR(1/(1/_xlfn.MINIFS(Apparitions!$L$2:$L$5001,Apparitions!$G$2:$G$5001,A1545)),""))</f>
        <v/>
      </c>
      <c r="L1545" s="27" t="str">
        <f aca="false">IF(A1545="","",A1545&amp;" | "&amp;B1545&amp;IF(C1545="",""," ("&amp;C1545&amp;")")&amp;IF(D1545="",""," - "&amp;D1545))</f>
        <v/>
      </c>
    </row>
    <row r="1546" customFormat="false" ht="15" hidden="false" customHeight="false" outlineLevel="0" collapsed="false">
      <c r="A1546" s="32"/>
      <c r="B1546" s="19"/>
      <c r="C1546" s="19"/>
      <c r="D1546" s="19"/>
      <c r="E1546" s="21"/>
      <c r="F1546" s="19"/>
      <c r="G1546" s="27" t="str">
        <f aca="false">IF(B1546="","",IFERROR(INDEX(Jeux!$C$2:$C$3001,MATCH(B1546,Jeux!$A$2:$A$3001,0))&amp;"","⚠ jeu inconnu"))</f>
        <v/>
      </c>
      <c r="H1546" s="27" t="str">
        <f aca="false">IF(B1546="","",IFERROR(INDEX(Jeux!$D$2:$D$3001,MATCH(B1546,Jeux!$A$2:$A$3001,0))&amp;"",""))</f>
        <v/>
      </c>
      <c r="I1546" s="26" t="str">
        <f aca="false">IF(A1546="","",COUNTIF(Apparitions!$G$2:$G$5001,A1546))</f>
        <v/>
      </c>
      <c r="J1546" s="26" t="str">
        <f aca="false">IF(A1546="","",COUNTIFS(Apparitions!$G$2:$G$5001,A1546,Apparitions!$E$2:$E$5001,"○"))</f>
        <v/>
      </c>
      <c r="K1546" s="29" t="str">
        <f aca="false">IF(A1546="","",IFERROR(1/(1/_xlfn.MINIFS(Apparitions!$L$2:$L$5001,Apparitions!$G$2:$G$5001,A1546)),""))</f>
        <v/>
      </c>
      <c r="L1546" s="27" t="str">
        <f aca="false">IF(A1546="","",A1546&amp;" | "&amp;B1546&amp;IF(C1546="",""," ("&amp;C1546&amp;")")&amp;IF(D1546="",""," - "&amp;D1546))</f>
        <v/>
      </c>
    </row>
    <row r="1547" customFormat="false" ht="15" hidden="false" customHeight="false" outlineLevel="0" collapsed="false">
      <c r="A1547" s="32"/>
      <c r="B1547" s="19"/>
      <c r="C1547" s="19"/>
      <c r="D1547" s="19"/>
      <c r="E1547" s="21"/>
      <c r="F1547" s="19"/>
      <c r="G1547" s="27" t="str">
        <f aca="false">IF(B1547="","",IFERROR(INDEX(Jeux!$C$2:$C$3001,MATCH(B1547,Jeux!$A$2:$A$3001,0))&amp;"","⚠ jeu inconnu"))</f>
        <v/>
      </c>
      <c r="H1547" s="27" t="str">
        <f aca="false">IF(B1547="","",IFERROR(INDEX(Jeux!$D$2:$D$3001,MATCH(B1547,Jeux!$A$2:$A$3001,0))&amp;"",""))</f>
        <v/>
      </c>
      <c r="I1547" s="26" t="str">
        <f aca="false">IF(A1547="","",COUNTIF(Apparitions!$G$2:$G$5001,A1547))</f>
        <v/>
      </c>
      <c r="J1547" s="26" t="str">
        <f aca="false">IF(A1547="","",COUNTIFS(Apparitions!$G$2:$G$5001,A1547,Apparitions!$E$2:$E$5001,"○"))</f>
        <v/>
      </c>
      <c r="K1547" s="29" t="str">
        <f aca="false">IF(A1547="","",IFERROR(1/(1/_xlfn.MINIFS(Apparitions!$L$2:$L$5001,Apparitions!$G$2:$G$5001,A1547)),""))</f>
        <v/>
      </c>
      <c r="L1547" s="27" t="str">
        <f aca="false">IF(A1547="","",A1547&amp;" | "&amp;B1547&amp;IF(C1547="",""," ("&amp;C1547&amp;")")&amp;IF(D1547="",""," - "&amp;D1547))</f>
        <v/>
      </c>
    </row>
    <row r="1548" customFormat="false" ht="15" hidden="false" customHeight="false" outlineLevel="0" collapsed="false">
      <c r="A1548" s="32"/>
      <c r="B1548" s="19"/>
      <c r="C1548" s="19"/>
      <c r="D1548" s="19"/>
      <c r="E1548" s="21"/>
      <c r="F1548" s="19"/>
      <c r="G1548" s="27" t="str">
        <f aca="false">IF(B1548="","",IFERROR(INDEX(Jeux!$C$2:$C$3001,MATCH(B1548,Jeux!$A$2:$A$3001,0))&amp;"","⚠ jeu inconnu"))</f>
        <v/>
      </c>
      <c r="H1548" s="27" t="str">
        <f aca="false">IF(B1548="","",IFERROR(INDEX(Jeux!$D$2:$D$3001,MATCH(B1548,Jeux!$A$2:$A$3001,0))&amp;"",""))</f>
        <v/>
      </c>
      <c r="I1548" s="26" t="str">
        <f aca="false">IF(A1548="","",COUNTIF(Apparitions!$G$2:$G$5001,A1548))</f>
        <v/>
      </c>
      <c r="J1548" s="26" t="str">
        <f aca="false">IF(A1548="","",COUNTIFS(Apparitions!$G$2:$G$5001,A1548,Apparitions!$E$2:$E$5001,"○"))</f>
        <v/>
      </c>
      <c r="K1548" s="29" t="str">
        <f aca="false">IF(A1548="","",IFERROR(1/(1/_xlfn.MINIFS(Apparitions!$L$2:$L$5001,Apparitions!$G$2:$G$5001,A1548)),""))</f>
        <v/>
      </c>
      <c r="L1548" s="27" t="str">
        <f aca="false">IF(A1548="","",A1548&amp;" | "&amp;B1548&amp;IF(C1548="",""," ("&amp;C1548&amp;")")&amp;IF(D1548="",""," - "&amp;D1548))</f>
        <v/>
      </c>
    </row>
    <row r="1549" customFormat="false" ht="15" hidden="false" customHeight="false" outlineLevel="0" collapsed="false">
      <c r="A1549" s="32"/>
      <c r="B1549" s="19"/>
      <c r="C1549" s="19"/>
      <c r="D1549" s="19"/>
      <c r="E1549" s="21"/>
      <c r="F1549" s="19"/>
      <c r="G1549" s="27" t="str">
        <f aca="false">IF(B1549="","",IFERROR(INDEX(Jeux!$C$2:$C$3001,MATCH(B1549,Jeux!$A$2:$A$3001,0))&amp;"","⚠ jeu inconnu"))</f>
        <v/>
      </c>
      <c r="H1549" s="27" t="str">
        <f aca="false">IF(B1549="","",IFERROR(INDEX(Jeux!$D$2:$D$3001,MATCH(B1549,Jeux!$A$2:$A$3001,0))&amp;"",""))</f>
        <v/>
      </c>
      <c r="I1549" s="26" t="str">
        <f aca="false">IF(A1549="","",COUNTIF(Apparitions!$G$2:$G$5001,A1549))</f>
        <v/>
      </c>
      <c r="J1549" s="26" t="str">
        <f aca="false">IF(A1549="","",COUNTIFS(Apparitions!$G$2:$G$5001,A1549,Apparitions!$E$2:$E$5001,"○"))</f>
        <v/>
      </c>
      <c r="K1549" s="29" t="str">
        <f aca="false">IF(A1549="","",IFERROR(1/(1/_xlfn.MINIFS(Apparitions!$L$2:$L$5001,Apparitions!$G$2:$G$5001,A1549)),""))</f>
        <v/>
      </c>
      <c r="L1549" s="27" t="str">
        <f aca="false">IF(A1549="","",A1549&amp;" | "&amp;B1549&amp;IF(C1549="",""," ("&amp;C1549&amp;")")&amp;IF(D1549="",""," - "&amp;D1549))</f>
        <v/>
      </c>
    </row>
    <row r="1550" customFormat="false" ht="15" hidden="false" customHeight="false" outlineLevel="0" collapsed="false">
      <c r="A1550" s="32"/>
      <c r="B1550" s="19"/>
      <c r="C1550" s="19"/>
      <c r="D1550" s="19"/>
      <c r="E1550" s="21"/>
      <c r="F1550" s="19"/>
      <c r="G1550" s="27" t="str">
        <f aca="false">IF(B1550="","",IFERROR(INDEX(Jeux!$C$2:$C$3001,MATCH(B1550,Jeux!$A$2:$A$3001,0))&amp;"","⚠ jeu inconnu"))</f>
        <v/>
      </c>
      <c r="H1550" s="27" t="str">
        <f aca="false">IF(B1550="","",IFERROR(INDEX(Jeux!$D$2:$D$3001,MATCH(B1550,Jeux!$A$2:$A$3001,0))&amp;"",""))</f>
        <v/>
      </c>
      <c r="I1550" s="26" t="str">
        <f aca="false">IF(A1550="","",COUNTIF(Apparitions!$G$2:$G$5001,A1550))</f>
        <v/>
      </c>
      <c r="J1550" s="26" t="str">
        <f aca="false">IF(A1550="","",COUNTIFS(Apparitions!$G$2:$G$5001,A1550,Apparitions!$E$2:$E$5001,"○"))</f>
        <v/>
      </c>
      <c r="K1550" s="29" t="str">
        <f aca="false">IF(A1550="","",IFERROR(1/(1/_xlfn.MINIFS(Apparitions!$L$2:$L$5001,Apparitions!$G$2:$G$5001,A1550)),""))</f>
        <v/>
      </c>
      <c r="L1550" s="27" t="str">
        <f aca="false">IF(A1550="","",A1550&amp;" | "&amp;B1550&amp;IF(C1550="",""," ("&amp;C1550&amp;")")&amp;IF(D1550="",""," - "&amp;D1550))</f>
        <v/>
      </c>
    </row>
    <row r="1551" customFormat="false" ht="15" hidden="false" customHeight="false" outlineLevel="0" collapsed="false">
      <c r="A1551" s="32"/>
      <c r="B1551" s="19"/>
      <c r="C1551" s="19"/>
      <c r="D1551" s="19"/>
      <c r="E1551" s="21"/>
      <c r="F1551" s="19"/>
      <c r="G1551" s="27" t="str">
        <f aca="false">IF(B1551="","",IFERROR(INDEX(Jeux!$C$2:$C$3001,MATCH(B1551,Jeux!$A$2:$A$3001,0))&amp;"","⚠ jeu inconnu"))</f>
        <v/>
      </c>
      <c r="H1551" s="27" t="str">
        <f aca="false">IF(B1551="","",IFERROR(INDEX(Jeux!$D$2:$D$3001,MATCH(B1551,Jeux!$A$2:$A$3001,0))&amp;"",""))</f>
        <v/>
      </c>
      <c r="I1551" s="26" t="str">
        <f aca="false">IF(A1551="","",COUNTIF(Apparitions!$G$2:$G$5001,A1551))</f>
        <v/>
      </c>
      <c r="J1551" s="26" t="str">
        <f aca="false">IF(A1551="","",COUNTIFS(Apparitions!$G$2:$G$5001,A1551,Apparitions!$E$2:$E$5001,"○"))</f>
        <v/>
      </c>
      <c r="K1551" s="29" t="str">
        <f aca="false">IF(A1551="","",IFERROR(1/(1/_xlfn.MINIFS(Apparitions!$L$2:$L$5001,Apparitions!$G$2:$G$5001,A1551)),""))</f>
        <v/>
      </c>
      <c r="L1551" s="27" t="str">
        <f aca="false">IF(A1551="","",A1551&amp;" | "&amp;B1551&amp;IF(C1551="",""," ("&amp;C1551&amp;")")&amp;IF(D1551="",""," - "&amp;D1551))</f>
        <v/>
      </c>
    </row>
    <row r="1552" customFormat="false" ht="15" hidden="false" customHeight="false" outlineLevel="0" collapsed="false">
      <c r="A1552" s="32"/>
      <c r="B1552" s="19"/>
      <c r="C1552" s="19"/>
      <c r="D1552" s="19"/>
      <c r="E1552" s="21"/>
      <c r="F1552" s="19"/>
      <c r="G1552" s="27" t="str">
        <f aca="false">IF(B1552="","",IFERROR(INDEX(Jeux!$C$2:$C$3001,MATCH(B1552,Jeux!$A$2:$A$3001,0))&amp;"","⚠ jeu inconnu"))</f>
        <v/>
      </c>
      <c r="H1552" s="27" t="str">
        <f aca="false">IF(B1552="","",IFERROR(INDEX(Jeux!$D$2:$D$3001,MATCH(B1552,Jeux!$A$2:$A$3001,0))&amp;"",""))</f>
        <v/>
      </c>
      <c r="I1552" s="26" t="str">
        <f aca="false">IF(A1552="","",COUNTIF(Apparitions!$G$2:$G$5001,A1552))</f>
        <v/>
      </c>
      <c r="J1552" s="26" t="str">
        <f aca="false">IF(A1552="","",COUNTIFS(Apparitions!$G$2:$G$5001,A1552,Apparitions!$E$2:$E$5001,"○"))</f>
        <v/>
      </c>
      <c r="K1552" s="29" t="str">
        <f aca="false">IF(A1552="","",IFERROR(1/(1/_xlfn.MINIFS(Apparitions!$L$2:$L$5001,Apparitions!$G$2:$G$5001,A1552)),""))</f>
        <v/>
      </c>
      <c r="L1552" s="27" t="str">
        <f aca="false">IF(A1552="","",A1552&amp;" | "&amp;B1552&amp;IF(C1552="",""," ("&amp;C1552&amp;")")&amp;IF(D1552="",""," - "&amp;D1552))</f>
        <v/>
      </c>
    </row>
    <row r="1553" customFormat="false" ht="15" hidden="false" customHeight="false" outlineLevel="0" collapsed="false">
      <c r="A1553" s="32"/>
      <c r="B1553" s="19"/>
      <c r="C1553" s="19"/>
      <c r="D1553" s="19"/>
      <c r="E1553" s="21"/>
      <c r="F1553" s="19"/>
      <c r="G1553" s="27" t="str">
        <f aca="false">IF(B1553="","",IFERROR(INDEX(Jeux!$C$2:$C$3001,MATCH(B1553,Jeux!$A$2:$A$3001,0))&amp;"","⚠ jeu inconnu"))</f>
        <v/>
      </c>
      <c r="H1553" s="27" t="str">
        <f aca="false">IF(B1553="","",IFERROR(INDEX(Jeux!$D$2:$D$3001,MATCH(B1553,Jeux!$A$2:$A$3001,0))&amp;"",""))</f>
        <v/>
      </c>
      <c r="I1553" s="26" t="str">
        <f aca="false">IF(A1553="","",COUNTIF(Apparitions!$G$2:$G$5001,A1553))</f>
        <v/>
      </c>
      <c r="J1553" s="26" t="str">
        <f aca="false">IF(A1553="","",COUNTIFS(Apparitions!$G$2:$G$5001,A1553,Apparitions!$E$2:$E$5001,"○"))</f>
        <v/>
      </c>
      <c r="K1553" s="29" t="str">
        <f aca="false">IF(A1553="","",IFERROR(1/(1/_xlfn.MINIFS(Apparitions!$L$2:$L$5001,Apparitions!$G$2:$G$5001,A1553)),""))</f>
        <v/>
      </c>
      <c r="L1553" s="27" t="str">
        <f aca="false">IF(A1553="","",A1553&amp;" | "&amp;B1553&amp;IF(C1553="",""," ("&amp;C1553&amp;")")&amp;IF(D1553="",""," - "&amp;D1553))</f>
        <v/>
      </c>
    </row>
    <row r="1554" customFormat="false" ht="15" hidden="false" customHeight="false" outlineLevel="0" collapsed="false">
      <c r="A1554" s="32"/>
      <c r="B1554" s="19"/>
      <c r="C1554" s="19"/>
      <c r="D1554" s="19"/>
      <c r="E1554" s="21"/>
      <c r="F1554" s="19"/>
      <c r="G1554" s="27" t="str">
        <f aca="false">IF(B1554="","",IFERROR(INDEX(Jeux!$C$2:$C$3001,MATCH(B1554,Jeux!$A$2:$A$3001,0))&amp;"","⚠ jeu inconnu"))</f>
        <v/>
      </c>
      <c r="H1554" s="27" t="str">
        <f aca="false">IF(B1554="","",IFERROR(INDEX(Jeux!$D$2:$D$3001,MATCH(B1554,Jeux!$A$2:$A$3001,0))&amp;"",""))</f>
        <v/>
      </c>
      <c r="I1554" s="26" t="str">
        <f aca="false">IF(A1554="","",COUNTIF(Apparitions!$G$2:$G$5001,A1554))</f>
        <v/>
      </c>
      <c r="J1554" s="26" t="str">
        <f aca="false">IF(A1554="","",COUNTIFS(Apparitions!$G$2:$G$5001,A1554,Apparitions!$E$2:$E$5001,"○"))</f>
        <v/>
      </c>
      <c r="K1554" s="29" t="str">
        <f aca="false">IF(A1554="","",IFERROR(1/(1/_xlfn.MINIFS(Apparitions!$L$2:$L$5001,Apparitions!$G$2:$G$5001,A1554)),""))</f>
        <v/>
      </c>
      <c r="L1554" s="27" t="str">
        <f aca="false">IF(A1554="","",A1554&amp;" | "&amp;B1554&amp;IF(C1554="",""," ("&amp;C1554&amp;")")&amp;IF(D1554="",""," - "&amp;D1554))</f>
        <v/>
      </c>
    </row>
    <row r="1555" customFormat="false" ht="15" hidden="false" customHeight="false" outlineLevel="0" collapsed="false">
      <c r="A1555" s="32"/>
      <c r="B1555" s="19"/>
      <c r="C1555" s="19"/>
      <c r="D1555" s="19"/>
      <c r="E1555" s="21"/>
      <c r="F1555" s="19"/>
      <c r="G1555" s="27" t="str">
        <f aca="false">IF(B1555="","",IFERROR(INDEX(Jeux!$C$2:$C$3001,MATCH(B1555,Jeux!$A$2:$A$3001,0))&amp;"","⚠ jeu inconnu"))</f>
        <v/>
      </c>
      <c r="H1555" s="27" t="str">
        <f aca="false">IF(B1555="","",IFERROR(INDEX(Jeux!$D$2:$D$3001,MATCH(B1555,Jeux!$A$2:$A$3001,0))&amp;"",""))</f>
        <v/>
      </c>
      <c r="I1555" s="26" t="str">
        <f aca="false">IF(A1555="","",COUNTIF(Apparitions!$G$2:$G$5001,A1555))</f>
        <v/>
      </c>
      <c r="J1555" s="26" t="str">
        <f aca="false">IF(A1555="","",COUNTIFS(Apparitions!$G$2:$G$5001,A1555,Apparitions!$E$2:$E$5001,"○"))</f>
        <v/>
      </c>
      <c r="K1555" s="29" t="str">
        <f aca="false">IF(A1555="","",IFERROR(1/(1/_xlfn.MINIFS(Apparitions!$L$2:$L$5001,Apparitions!$G$2:$G$5001,A1555)),""))</f>
        <v/>
      </c>
      <c r="L1555" s="27" t="str">
        <f aca="false">IF(A1555="","",A1555&amp;" | "&amp;B1555&amp;IF(C1555="",""," ("&amp;C1555&amp;")")&amp;IF(D1555="",""," - "&amp;D1555))</f>
        <v/>
      </c>
    </row>
    <row r="1556" customFormat="false" ht="15" hidden="false" customHeight="false" outlineLevel="0" collapsed="false">
      <c r="A1556" s="32"/>
      <c r="B1556" s="19"/>
      <c r="C1556" s="19"/>
      <c r="D1556" s="19"/>
      <c r="E1556" s="21"/>
      <c r="F1556" s="19"/>
      <c r="G1556" s="27" t="str">
        <f aca="false">IF(B1556="","",IFERROR(INDEX(Jeux!$C$2:$C$3001,MATCH(B1556,Jeux!$A$2:$A$3001,0))&amp;"","⚠ jeu inconnu"))</f>
        <v/>
      </c>
      <c r="H1556" s="27" t="str">
        <f aca="false">IF(B1556="","",IFERROR(INDEX(Jeux!$D$2:$D$3001,MATCH(B1556,Jeux!$A$2:$A$3001,0))&amp;"",""))</f>
        <v/>
      </c>
      <c r="I1556" s="26" t="str">
        <f aca="false">IF(A1556="","",COUNTIF(Apparitions!$G$2:$G$5001,A1556))</f>
        <v/>
      </c>
      <c r="J1556" s="26" t="str">
        <f aca="false">IF(A1556="","",COUNTIFS(Apparitions!$G$2:$G$5001,A1556,Apparitions!$E$2:$E$5001,"○"))</f>
        <v/>
      </c>
      <c r="K1556" s="29" t="str">
        <f aca="false">IF(A1556="","",IFERROR(1/(1/_xlfn.MINIFS(Apparitions!$L$2:$L$5001,Apparitions!$G$2:$G$5001,A1556)),""))</f>
        <v/>
      </c>
      <c r="L1556" s="27" t="str">
        <f aca="false">IF(A1556="","",A1556&amp;" | "&amp;B1556&amp;IF(C1556="",""," ("&amp;C1556&amp;")")&amp;IF(D1556="",""," - "&amp;D1556))</f>
        <v/>
      </c>
    </row>
    <row r="1557" customFormat="false" ht="15" hidden="false" customHeight="false" outlineLevel="0" collapsed="false">
      <c r="A1557" s="32"/>
      <c r="B1557" s="19"/>
      <c r="C1557" s="19"/>
      <c r="D1557" s="19"/>
      <c r="E1557" s="21"/>
      <c r="F1557" s="19"/>
      <c r="G1557" s="27" t="str">
        <f aca="false">IF(B1557="","",IFERROR(INDEX(Jeux!$C$2:$C$3001,MATCH(B1557,Jeux!$A$2:$A$3001,0))&amp;"","⚠ jeu inconnu"))</f>
        <v/>
      </c>
      <c r="H1557" s="27" t="str">
        <f aca="false">IF(B1557="","",IFERROR(INDEX(Jeux!$D$2:$D$3001,MATCH(B1557,Jeux!$A$2:$A$3001,0))&amp;"",""))</f>
        <v/>
      </c>
      <c r="I1557" s="26" t="str">
        <f aca="false">IF(A1557="","",COUNTIF(Apparitions!$G$2:$G$5001,A1557))</f>
        <v/>
      </c>
      <c r="J1557" s="26" t="str">
        <f aca="false">IF(A1557="","",COUNTIFS(Apparitions!$G$2:$G$5001,A1557,Apparitions!$E$2:$E$5001,"○"))</f>
        <v/>
      </c>
      <c r="K1557" s="29" t="str">
        <f aca="false">IF(A1557="","",IFERROR(1/(1/_xlfn.MINIFS(Apparitions!$L$2:$L$5001,Apparitions!$G$2:$G$5001,A1557)),""))</f>
        <v/>
      </c>
      <c r="L1557" s="27" t="str">
        <f aca="false">IF(A1557="","",A1557&amp;" | "&amp;B1557&amp;IF(C1557="",""," ("&amp;C1557&amp;")")&amp;IF(D1557="",""," - "&amp;D1557))</f>
        <v/>
      </c>
    </row>
    <row r="1558" customFormat="false" ht="15" hidden="false" customHeight="false" outlineLevel="0" collapsed="false">
      <c r="A1558" s="32"/>
      <c r="B1558" s="19"/>
      <c r="C1558" s="19"/>
      <c r="D1558" s="19"/>
      <c r="E1558" s="21"/>
      <c r="F1558" s="19"/>
      <c r="G1558" s="27" t="str">
        <f aca="false">IF(B1558="","",IFERROR(INDEX(Jeux!$C$2:$C$3001,MATCH(B1558,Jeux!$A$2:$A$3001,0))&amp;"","⚠ jeu inconnu"))</f>
        <v/>
      </c>
      <c r="H1558" s="27" t="str">
        <f aca="false">IF(B1558="","",IFERROR(INDEX(Jeux!$D$2:$D$3001,MATCH(B1558,Jeux!$A$2:$A$3001,0))&amp;"",""))</f>
        <v/>
      </c>
      <c r="I1558" s="26" t="str">
        <f aca="false">IF(A1558="","",COUNTIF(Apparitions!$G$2:$G$5001,A1558))</f>
        <v/>
      </c>
      <c r="J1558" s="26" t="str">
        <f aca="false">IF(A1558="","",COUNTIFS(Apparitions!$G$2:$G$5001,A1558,Apparitions!$E$2:$E$5001,"○"))</f>
        <v/>
      </c>
      <c r="K1558" s="29" t="str">
        <f aca="false">IF(A1558="","",IFERROR(1/(1/_xlfn.MINIFS(Apparitions!$L$2:$L$5001,Apparitions!$G$2:$G$5001,A1558)),""))</f>
        <v/>
      </c>
      <c r="L1558" s="27" t="str">
        <f aca="false">IF(A1558="","",A1558&amp;" | "&amp;B1558&amp;IF(C1558="",""," ("&amp;C1558&amp;")")&amp;IF(D1558="",""," - "&amp;D1558))</f>
        <v/>
      </c>
    </row>
    <row r="1559" customFormat="false" ht="15" hidden="false" customHeight="false" outlineLevel="0" collapsed="false">
      <c r="A1559" s="32"/>
      <c r="B1559" s="19"/>
      <c r="C1559" s="19"/>
      <c r="D1559" s="19"/>
      <c r="E1559" s="21"/>
      <c r="F1559" s="19"/>
      <c r="G1559" s="27" t="str">
        <f aca="false">IF(B1559="","",IFERROR(INDEX(Jeux!$C$2:$C$3001,MATCH(B1559,Jeux!$A$2:$A$3001,0))&amp;"","⚠ jeu inconnu"))</f>
        <v/>
      </c>
      <c r="H1559" s="27" t="str">
        <f aca="false">IF(B1559="","",IFERROR(INDEX(Jeux!$D$2:$D$3001,MATCH(B1559,Jeux!$A$2:$A$3001,0))&amp;"",""))</f>
        <v/>
      </c>
      <c r="I1559" s="26" t="str">
        <f aca="false">IF(A1559="","",COUNTIF(Apparitions!$G$2:$G$5001,A1559))</f>
        <v/>
      </c>
      <c r="J1559" s="26" t="str">
        <f aca="false">IF(A1559="","",COUNTIFS(Apparitions!$G$2:$G$5001,A1559,Apparitions!$E$2:$E$5001,"○"))</f>
        <v/>
      </c>
      <c r="K1559" s="29" t="str">
        <f aca="false">IF(A1559="","",IFERROR(1/(1/_xlfn.MINIFS(Apparitions!$L$2:$L$5001,Apparitions!$G$2:$G$5001,A1559)),""))</f>
        <v/>
      </c>
      <c r="L1559" s="27" t="str">
        <f aca="false">IF(A1559="","",A1559&amp;" | "&amp;B1559&amp;IF(C1559="",""," ("&amp;C1559&amp;")")&amp;IF(D1559="",""," - "&amp;D1559))</f>
        <v/>
      </c>
    </row>
    <row r="1560" customFormat="false" ht="15" hidden="false" customHeight="false" outlineLevel="0" collapsed="false">
      <c r="A1560" s="32"/>
      <c r="B1560" s="19"/>
      <c r="C1560" s="19"/>
      <c r="D1560" s="19"/>
      <c r="E1560" s="21"/>
      <c r="F1560" s="19"/>
      <c r="G1560" s="27" t="str">
        <f aca="false">IF(B1560="","",IFERROR(INDEX(Jeux!$C$2:$C$3001,MATCH(B1560,Jeux!$A$2:$A$3001,0))&amp;"","⚠ jeu inconnu"))</f>
        <v/>
      </c>
      <c r="H1560" s="27" t="str">
        <f aca="false">IF(B1560="","",IFERROR(INDEX(Jeux!$D$2:$D$3001,MATCH(B1560,Jeux!$A$2:$A$3001,0))&amp;"",""))</f>
        <v/>
      </c>
      <c r="I1560" s="26" t="str">
        <f aca="false">IF(A1560="","",COUNTIF(Apparitions!$G$2:$G$5001,A1560))</f>
        <v/>
      </c>
      <c r="J1560" s="26" t="str">
        <f aca="false">IF(A1560="","",COUNTIFS(Apparitions!$G$2:$G$5001,A1560,Apparitions!$E$2:$E$5001,"○"))</f>
        <v/>
      </c>
      <c r="K1560" s="29" t="str">
        <f aca="false">IF(A1560="","",IFERROR(1/(1/_xlfn.MINIFS(Apparitions!$L$2:$L$5001,Apparitions!$G$2:$G$5001,A1560)),""))</f>
        <v/>
      </c>
      <c r="L1560" s="27" t="str">
        <f aca="false">IF(A1560="","",A1560&amp;" | "&amp;B1560&amp;IF(C1560="",""," ("&amp;C1560&amp;")")&amp;IF(D1560="",""," - "&amp;D1560))</f>
        <v/>
      </c>
    </row>
    <row r="1561" customFormat="false" ht="15" hidden="false" customHeight="false" outlineLevel="0" collapsed="false">
      <c r="A1561" s="32"/>
      <c r="B1561" s="19"/>
      <c r="C1561" s="19"/>
      <c r="D1561" s="19"/>
      <c r="E1561" s="21"/>
      <c r="F1561" s="19"/>
      <c r="G1561" s="27" t="str">
        <f aca="false">IF(B1561="","",IFERROR(INDEX(Jeux!$C$2:$C$3001,MATCH(B1561,Jeux!$A$2:$A$3001,0))&amp;"","⚠ jeu inconnu"))</f>
        <v/>
      </c>
      <c r="H1561" s="27" t="str">
        <f aca="false">IF(B1561="","",IFERROR(INDEX(Jeux!$D$2:$D$3001,MATCH(B1561,Jeux!$A$2:$A$3001,0))&amp;"",""))</f>
        <v/>
      </c>
      <c r="I1561" s="26" t="str">
        <f aca="false">IF(A1561="","",COUNTIF(Apparitions!$G$2:$G$5001,A1561))</f>
        <v/>
      </c>
      <c r="J1561" s="26" t="str">
        <f aca="false">IF(A1561="","",COUNTIFS(Apparitions!$G$2:$G$5001,A1561,Apparitions!$E$2:$E$5001,"○"))</f>
        <v/>
      </c>
      <c r="K1561" s="29" t="str">
        <f aca="false">IF(A1561="","",IFERROR(1/(1/_xlfn.MINIFS(Apparitions!$L$2:$L$5001,Apparitions!$G$2:$G$5001,A1561)),""))</f>
        <v/>
      </c>
      <c r="L1561" s="27" t="str">
        <f aca="false">IF(A1561="","",A1561&amp;" | "&amp;B1561&amp;IF(C1561="",""," ("&amp;C1561&amp;")")&amp;IF(D1561="",""," - "&amp;D1561))</f>
        <v/>
      </c>
    </row>
    <row r="1562" customFormat="false" ht="15" hidden="false" customHeight="false" outlineLevel="0" collapsed="false">
      <c r="A1562" s="32"/>
      <c r="B1562" s="19"/>
      <c r="C1562" s="19"/>
      <c r="D1562" s="19"/>
      <c r="E1562" s="21"/>
      <c r="F1562" s="19"/>
      <c r="G1562" s="27" t="str">
        <f aca="false">IF(B1562="","",IFERROR(INDEX(Jeux!$C$2:$C$3001,MATCH(B1562,Jeux!$A$2:$A$3001,0))&amp;"","⚠ jeu inconnu"))</f>
        <v/>
      </c>
      <c r="H1562" s="27" t="str">
        <f aca="false">IF(B1562="","",IFERROR(INDEX(Jeux!$D$2:$D$3001,MATCH(B1562,Jeux!$A$2:$A$3001,0))&amp;"",""))</f>
        <v/>
      </c>
      <c r="I1562" s="26" t="str">
        <f aca="false">IF(A1562="","",COUNTIF(Apparitions!$G$2:$G$5001,A1562))</f>
        <v/>
      </c>
      <c r="J1562" s="26" t="str">
        <f aca="false">IF(A1562="","",COUNTIFS(Apparitions!$G$2:$G$5001,A1562,Apparitions!$E$2:$E$5001,"○"))</f>
        <v/>
      </c>
      <c r="K1562" s="29" t="str">
        <f aca="false">IF(A1562="","",IFERROR(1/(1/_xlfn.MINIFS(Apparitions!$L$2:$L$5001,Apparitions!$G$2:$G$5001,A1562)),""))</f>
        <v/>
      </c>
      <c r="L1562" s="27" t="str">
        <f aca="false">IF(A1562="","",A1562&amp;" | "&amp;B1562&amp;IF(C1562="",""," ("&amp;C1562&amp;")")&amp;IF(D1562="",""," - "&amp;D1562))</f>
        <v/>
      </c>
    </row>
    <row r="1563" customFormat="false" ht="15" hidden="false" customHeight="false" outlineLevel="0" collapsed="false">
      <c r="A1563" s="32"/>
      <c r="B1563" s="19"/>
      <c r="C1563" s="19"/>
      <c r="D1563" s="19"/>
      <c r="E1563" s="21"/>
      <c r="F1563" s="19"/>
      <c r="G1563" s="27" t="str">
        <f aca="false">IF(B1563="","",IFERROR(INDEX(Jeux!$C$2:$C$3001,MATCH(B1563,Jeux!$A$2:$A$3001,0))&amp;"","⚠ jeu inconnu"))</f>
        <v/>
      </c>
      <c r="H1563" s="27" t="str">
        <f aca="false">IF(B1563="","",IFERROR(INDEX(Jeux!$D$2:$D$3001,MATCH(B1563,Jeux!$A$2:$A$3001,0))&amp;"",""))</f>
        <v/>
      </c>
      <c r="I1563" s="26" t="str">
        <f aca="false">IF(A1563="","",COUNTIF(Apparitions!$G$2:$G$5001,A1563))</f>
        <v/>
      </c>
      <c r="J1563" s="26" t="str">
        <f aca="false">IF(A1563="","",COUNTIFS(Apparitions!$G$2:$G$5001,A1563,Apparitions!$E$2:$E$5001,"○"))</f>
        <v/>
      </c>
      <c r="K1563" s="29" t="str">
        <f aca="false">IF(A1563="","",IFERROR(1/(1/_xlfn.MINIFS(Apparitions!$L$2:$L$5001,Apparitions!$G$2:$G$5001,A1563)),""))</f>
        <v/>
      </c>
      <c r="L1563" s="27" t="str">
        <f aca="false">IF(A1563="","",A1563&amp;" | "&amp;B1563&amp;IF(C1563="",""," ("&amp;C1563&amp;")")&amp;IF(D1563="",""," - "&amp;D1563))</f>
        <v/>
      </c>
    </row>
    <row r="1564" customFormat="false" ht="15" hidden="false" customHeight="false" outlineLevel="0" collapsed="false">
      <c r="A1564" s="32"/>
      <c r="B1564" s="19"/>
      <c r="C1564" s="19"/>
      <c r="D1564" s="19"/>
      <c r="E1564" s="21"/>
      <c r="F1564" s="19"/>
      <c r="G1564" s="27" t="str">
        <f aca="false">IF(B1564="","",IFERROR(INDEX(Jeux!$C$2:$C$3001,MATCH(B1564,Jeux!$A$2:$A$3001,0))&amp;"","⚠ jeu inconnu"))</f>
        <v/>
      </c>
      <c r="H1564" s="27" t="str">
        <f aca="false">IF(B1564="","",IFERROR(INDEX(Jeux!$D$2:$D$3001,MATCH(B1564,Jeux!$A$2:$A$3001,0))&amp;"",""))</f>
        <v/>
      </c>
      <c r="I1564" s="26" t="str">
        <f aca="false">IF(A1564="","",COUNTIF(Apparitions!$G$2:$G$5001,A1564))</f>
        <v/>
      </c>
      <c r="J1564" s="26" t="str">
        <f aca="false">IF(A1564="","",COUNTIFS(Apparitions!$G$2:$G$5001,A1564,Apparitions!$E$2:$E$5001,"○"))</f>
        <v/>
      </c>
      <c r="K1564" s="29" t="str">
        <f aca="false">IF(A1564="","",IFERROR(1/(1/_xlfn.MINIFS(Apparitions!$L$2:$L$5001,Apparitions!$G$2:$G$5001,A1564)),""))</f>
        <v/>
      </c>
      <c r="L1564" s="27" t="str">
        <f aca="false">IF(A1564="","",A1564&amp;" | "&amp;B1564&amp;IF(C1564="",""," ("&amp;C1564&amp;")")&amp;IF(D1564="",""," - "&amp;D1564))</f>
        <v/>
      </c>
    </row>
    <row r="1565" customFormat="false" ht="15" hidden="false" customHeight="false" outlineLevel="0" collapsed="false">
      <c r="A1565" s="32"/>
      <c r="B1565" s="19"/>
      <c r="C1565" s="19"/>
      <c r="D1565" s="19"/>
      <c r="E1565" s="21"/>
      <c r="F1565" s="19"/>
      <c r="G1565" s="27" t="str">
        <f aca="false">IF(B1565="","",IFERROR(INDEX(Jeux!$C$2:$C$3001,MATCH(B1565,Jeux!$A$2:$A$3001,0))&amp;"","⚠ jeu inconnu"))</f>
        <v/>
      </c>
      <c r="H1565" s="27" t="str">
        <f aca="false">IF(B1565="","",IFERROR(INDEX(Jeux!$D$2:$D$3001,MATCH(B1565,Jeux!$A$2:$A$3001,0))&amp;"",""))</f>
        <v/>
      </c>
      <c r="I1565" s="26" t="str">
        <f aca="false">IF(A1565="","",COUNTIF(Apparitions!$G$2:$G$5001,A1565))</f>
        <v/>
      </c>
      <c r="J1565" s="26" t="str">
        <f aca="false">IF(A1565="","",COUNTIFS(Apparitions!$G$2:$G$5001,A1565,Apparitions!$E$2:$E$5001,"○"))</f>
        <v/>
      </c>
      <c r="K1565" s="29" t="str">
        <f aca="false">IF(A1565="","",IFERROR(1/(1/_xlfn.MINIFS(Apparitions!$L$2:$L$5001,Apparitions!$G$2:$G$5001,A1565)),""))</f>
        <v/>
      </c>
      <c r="L1565" s="27" t="str">
        <f aca="false">IF(A1565="","",A1565&amp;" | "&amp;B1565&amp;IF(C1565="",""," ("&amp;C1565&amp;")")&amp;IF(D1565="",""," - "&amp;D1565))</f>
        <v/>
      </c>
    </row>
    <row r="1566" customFormat="false" ht="15" hidden="false" customHeight="false" outlineLevel="0" collapsed="false">
      <c r="A1566" s="32"/>
      <c r="B1566" s="19"/>
      <c r="C1566" s="19"/>
      <c r="D1566" s="19"/>
      <c r="E1566" s="21"/>
      <c r="F1566" s="19"/>
      <c r="G1566" s="27" t="str">
        <f aca="false">IF(B1566="","",IFERROR(INDEX(Jeux!$C$2:$C$3001,MATCH(B1566,Jeux!$A$2:$A$3001,0))&amp;"","⚠ jeu inconnu"))</f>
        <v/>
      </c>
      <c r="H1566" s="27" t="str">
        <f aca="false">IF(B1566="","",IFERROR(INDEX(Jeux!$D$2:$D$3001,MATCH(B1566,Jeux!$A$2:$A$3001,0))&amp;"",""))</f>
        <v/>
      </c>
      <c r="I1566" s="26" t="str">
        <f aca="false">IF(A1566="","",COUNTIF(Apparitions!$G$2:$G$5001,A1566))</f>
        <v/>
      </c>
      <c r="J1566" s="26" t="str">
        <f aca="false">IF(A1566="","",COUNTIFS(Apparitions!$G$2:$G$5001,A1566,Apparitions!$E$2:$E$5001,"○"))</f>
        <v/>
      </c>
      <c r="K1566" s="29" t="str">
        <f aca="false">IF(A1566="","",IFERROR(1/(1/_xlfn.MINIFS(Apparitions!$L$2:$L$5001,Apparitions!$G$2:$G$5001,A1566)),""))</f>
        <v/>
      </c>
      <c r="L1566" s="27" t="str">
        <f aca="false">IF(A1566="","",A1566&amp;" | "&amp;B1566&amp;IF(C1566="",""," ("&amp;C1566&amp;")")&amp;IF(D1566="",""," - "&amp;D1566))</f>
        <v/>
      </c>
    </row>
    <row r="1567" customFormat="false" ht="15" hidden="false" customHeight="false" outlineLevel="0" collapsed="false">
      <c r="A1567" s="32"/>
      <c r="B1567" s="19"/>
      <c r="C1567" s="19"/>
      <c r="D1567" s="19"/>
      <c r="E1567" s="21"/>
      <c r="F1567" s="19"/>
      <c r="G1567" s="27" t="str">
        <f aca="false">IF(B1567="","",IFERROR(INDEX(Jeux!$C$2:$C$3001,MATCH(B1567,Jeux!$A$2:$A$3001,0))&amp;"","⚠ jeu inconnu"))</f>
        <v/>
      </c>
      <c r="H1567" s="27" t="str">
        <f aca="false">IF(B1567="","",IFERROR(INDEX(Jeux!$D$2:$D$3001,MATCH(B1567,Jeux!$A$2:$A$3001,0))&amp;"",""))</f>
        <v/>
      </c>
      <c r="I1567" s="26" t="str">
        <f aca="false">IF(A1567="","",COUNTIF(Apparitions!$G$2:$G$5001,A1567))</f>
        <v/>
      </c>
      <c r="J1567" s="26" t="str">
        <f aca="false">IF(A1567="","",COUNTIFS(Apparitions!$G$2:$G$5001,A1567,Apparitions!$E$2:$E$5001,"○"))</f>
        <v/>
      </c>
      <c r="K1567" s="29" t="str">
        <f aca="false">IF(A1567="","",IFERROR(1/(1/_xlfn.MINIFS(Apparitions!$L$2:$L$5001,Apparitions!$G$2:$G$5001,A1567)),""))</f>
        <v/>
      </c>
      <c r="L1567" s="27" t="str">
        <f aca="false">IF(A1567="","",A1567&amp;" | "&amp;B1567&amp;IF(C1567="",""," ("&amp;C1567&amp;")")&amp;IF(D1567="",""," - "&amp;D1567))</f>
        <v/>
      </c>
    </row>
    <row r="1568" customFormat="false" ht="15" hidden="false" customHeight="false" outlineLevel="0" collapsed="false">
      <c r="A1568" s="32"/>
      <c r="B1568" s="19"/>
      <c r="C1568" s="19"/>
      <c r="D1568" s="19"/>
      <c r="E1568" s="21"/>
      <c r="F1568" s="19"/>
      <c r="G1568" s="27" t="str">
        <f aca="false">IF(B1568="","",IFERROR(INDEX(Jeux!$C$2:$C$3001,MATCH(B1568,Jeux!$A$2:$A$3001,0))&amp;"","⚠ jeu inconnu"))</f>
        <v/>
      </c>
      <c r="H1568" s="27" t="str">
        <f aca="false">IF(B1568="","",IFERROR(INDEX(Jeux!$D$2:$D$3001,MATCH(B1568,Jeux!$A$2:$A$3001,0))&amp;"",""))</f>
        <v/>
      </c>
      <c r="I1568" s="26" t="str">
        <f aca="false">IF(A1568="","",COUNTIF(Apparitions!$G$2:$G$5001,A1568))</f>
        <v/>
      </c>
      <c r="J1568" s="26" t="str">
        <f aca="false">IF(A1568="","",COUNTIFS(Apparitions!$G$2:$G$5001,A1568,Apparitions!$E$2:$E$5001,"○"))</f>
        <v/>
      </c>
      <c r="K1568" s="29" t="str">
        <f aca="false">IF(A1568="","",IFERROR(1/(1/_xlfn.MINIFS(Apparitions!$L$2:$L$5001,Apparitions!$G$2:$G$5001,A1568)),""))</f>
        <v/>
      </c>
      <c r="L1568" s="27" t="str">
        <f aca="false">IF(A1568="","",A1568&amp;" | "&amp;B1568&amp;IF(C1568="",""," ("&amp;C1568&amp;")")&amp;IF(D1568="",""," - "&amp;D1568))</f>
        <v/>
      </c>
    </row>
    <row r="1569" customFormat="false" ht="15" hidden="false" customHeight="false" outlineLevel="0" collapsed="false">
      <c r="A1569" s="32"/>
      <c r="B1569" s="19"/>
      <c r="C1569" s="19"/>
      <c r="D1569" s="19"/>
      <c r="E1569" s="21"/>
      <c r="F1569" s="19"/>
      <c r="G1569" s="27" t="str">
        <f aca="false">IF(B1569="","",IFERROR(INDEX(Jeux!$C$2:$C$3001,MATCH(B1569,Jeux!$A$2:$A$3001,0))&amp;"","⚠ jeu inconnu"))</f>
        <v/>
      </c>
      <c r="H1569" s="27" t="str">
        <f aca="false">IF(B1569="","",IFERROR(INDEX(Jeux!$D$2:$D$3001,MATCH(B1569,Jeux!$A$2:$A$3001,0))&amp;"",""))</f>
        <v/>
      </c>
      <c r="I1569" s="26" t="str">
        <f aca="false">IF(A1569="","",COUNTIF(Apparitions!$G$2:$G$5001,A1569))</f>
        <v/>
      </c>
      <c r="J1569" s="26" t="str">
        <f aca="false">IF(A1569="","",COUNTIFS(Apparitions!$G$2:$G$5001,A1569,Apparitions!$E$2:$E$5001,"○"))</f>
        <v/>
      </c>
      <c r="K1569" s="29" t="str">
        <f aca="false">IF(A1569="","",IFERROR(1/(1/_xlfn.MINIFS(Apparitions!$L$2:$L$5001,Apparitions!$G$2:$G$5001,A1569)),""))</f>
        <v/>
      </c>
      <c r="L1569" s="27" t="str">
        <f aca="false">IF(A1569="","",A1569&amp;" | "&amp;B1569&amp;IF(C1569="",""," ("&amp;C1569&amp;")")&amp;IF(D1569="",""," - "&amp;D1569))</f>
        <v/>
      </c>
    </row>
    <row r="1570" customFormat="false" ht="15" hidden="false" customHeight="false" outlineLevel="0" collapsed="false">
      <c r="A1570" s="32"/>
      <c r="B1570" s="19"/>
      <c r="C1570" s="19"/>
      <c r="D1570" s="19"/>
      <c r="E1570" s="21"/>
      <c r="F1570" s="19"/>
      <c r="G1570" s="27" t="str">
        <f aca="false">IF(B1570="","",IFERROR(INDEX(Jeux!$C$2:$C$3001,MATCH(B1570,Jeux!$A$2:$A$3001,0))&amp;"","⚠ jeu inconnu"))</f>
        <v/>
      </c>
      <c r="H1570" s="27" t="str">
        <f aca="false">IF(B1570="","",IFERROR(INDEX(Jeux!$D$2:$D$3001,MATCH(B1570,Jeux!$A$2:$A$3001,0))&amp;"",""))</f>
        <v/>
      </c>
      <c r="I1570" s="26" t="str">
        <f aca="false">IF(A1570="","",COUNTIF(Apparitions!$G$2:$G$5001,A1570))</f>
        <v/>
      </c>
      <c r="J1570" s="26" t="str">
        <f aca="false">IF(A1570="","",COUNTIFS(Apparitions!$G$2:$G$5001,A1570,Apparitions!$E$2:$E$5001,"○"))</f>
        <v/>
      </c>
      <c r="K1570" s="29" t="str">
        <f aca="false">IF(A1570="","",IFERROR(1/(1/_xlfn.MINIFS(Apparitions!$L$2:$L$5001,Apparitions!$G$2:$G$5001,A1570)),""))</f>
        <v/>
      </c>
      <c r="L1570" s="27" t="str">
        <f aca="false">IF(A1570="","",A1570&amp;" | "&amp;B1570&amp;IF(C1570="",""," ("&amp;C1570&amp;")")&amp;IF(D1570="",""," - "&amp;D1570))</f>
        <v/>
      </c>
    </row>
    <row r="1571" customFormat="false" ht="15" hidden="false" customHeight="false" outlineLevel="0" collapsed="false">
      <c r="A1571" s="32"/>
      <c r="B1571" s="19"/>
      <c r="C1571" s="19"/>
      <c r="D1571" s="19"/>
      <c r="E1571" s="21"/>
      <c r="F1571" s="19"/>
      <c r="G1571" s="27" t="str">
        <f aca="false">IF(B1571="","",IFERROR(INDEX(Jeux!$C$2:$C$3001,MATCH(B1571,Jeux!$A$2:$A$3001,0))&amp;"","⚠ jeu inconnu"))</f>
        <v/>
      </c>
      <c r="H1571" s="27" t="str">
        <f aca="false">IF(B1571="","",IFERROR(INDEX(Jeux!$D$2:$D$3001,MATCH(B1571,Jeux!$A$2:$A$3001,0))&amp;"",""))</f>
        <v/>
      </c>
      <c r="I1571" s="26" t="str">
        <f aca="false">IF(A1571="","",COUNTIF(Apparitions!$G$2:$G$5001,A1571))</f>
        <v/>
      </c>
      <c r="J1571" s="26" t="str">
        <f aca="false">IF(A1571="","",COUNTIFS(Apparitions!$G$2:$G$5001,A1571,Apparitions!$E$2:$E$5001,"○"))</f>
        <v/>
      </c>
      <c r="K1571" s="29" t="str">
        <f aca="false">IF(A1571="","",IFERROR(1/(1/_xlfn.MINIFS(Apparitions!$L$2:$L$5001,Apparitions!$G$2:$G$5001,A1571)),""))</f>
        <v/>
      </c>
      <c r="L1571" s="27" t="str">
        <f aca="false">IF(A1571="","",A1571&amp;" | "&amp;B1571&amp;IF(C1571="",""," ("&amp;C1571&amp;")")&amp;IF(D1571="",""," - "&amp;D1571))</f>
        <v/>
      </c>
    </row>
    <row r="1572" customFormat="false" ht="15" hidden="false" customHeight="false" outlineLevel="0" collapsed="false">
      <c r="A1572" s="32"/>
      <c r="B1572" s="19"/>
      <c r="C1572" s="19"/>
      <c r="D1572" s="19"/>
      <c r="E1572" s="21"/>
      <c r="F1572" s="19"/>
      <c r="G1572" s="27" t="str">
        <f aca="false">IF(B1572="","",IFERROR(INDEX(Jeux!$C$2:$C$3001,MATCH(B1572,Jeux!$A$2:$A$3001,0))&amp;"","⚠ jeu inconnu"))</f>
        <v/>
      </c>
      <c r="H1572" s="27" t="str">
        <f aca="false">IF(B1572="","",IFERROR(INDEX(Jeux!$D$2:$D$3001,MATCH(B1572,Jeux!$A$2:$A$3001,0))&amp;"",""))</f>
        <v/>
      </c>
      <c r="I1572" s="26" t="str">
        <f aca="false">IF(A1572="","",COUNTIF(Apparitions!$G$2:$G$5001,A1572))</f>
        <v/>
      </c>
      <c r="J1572" s="26" t="str">
        <f aca="false">IF(A1572="","",COUNTIFS(Apparitions!$G$2:$G$5001,A1572,Apparitions!$E$2:$E$5001,"○"))</f>
        <v/>
      </c>
      <c r="K1572" s="29" t="str">
        <f aca="false">IF(A1572="","",IFERROR(1/(1/_xlfn.MINIFS(Apparitions!$L$2:$L$5001,Apparitions!$G$2:$G$5001,A1572)),""))</f>
        <v/>
      </c>
      <c r="L1572" s="27" t="str">
        <f aca="false">IF(A1572="","",A1572&amp;" | "&amp;B1572&amp;IF(C1572="",""," ("&amp;C1572&amp;")")&amp;IF(D1572="",""," - "&amp;D1572))</f>
        <v/>
      </c>
    </row>
    <row r="1573" customFormat="false" ht="15" hidden="false" customHeight="false" outlineLevel="0" collapsed="false">
      <c r="A1573" s="32"/>
      <c r="B1573" s="19"/>
      <c r="C1573" s="19"/>
      <c r="D1573" s="19"/>
      <c r="E1573" s="21"/>
      <c r="F1573" s="19"/>
      <c r="G1573" s="27" t="str">
        <f aca="false">IF(B1573="","",IFERROR(INDEX(Jeux!$C$2:$C$3001,MATCH(B1573,Jeux!$A$2:$A$3001,0))&amp;"","⚠ jeu inconnu"))</f>
        <v/>
      </c>
      <c r="H1573" s="27" t="str">
        <f aca="false">IF(B1573="","",IFERROR(INDEX(Jeux!$D$2:$D$3001,MATCH(B1573,Jeux!$A$2:$A$3001,0))&amp;"",""))</f>
        <v/>
      </c>
      <c r="I1573" s="26" t="str">
        <f aca="false">IF(A1573="","",COUNTIF(Apparitions!$G$2:$G$5001,A1573))</f>
        <v/>
      </c>
      <c r="J1573" s="26" t="str">
        <f aca="false">IF(A1573="","",COUNTIFS(Apparitions!$G$2:$G$5001,A1573,Apparitions!$E$2:$E$5001,"○"))</f>
        <v/>
      </c>
      <c r="K1573" s="29" t="str">
        <f aca="false">IF(A1573="","",IFERROR(1/(1/_xlfn.MINIFS(Apparitions!$L$2:$L$5001,Apparitions!$G$2:$G$5001,A1573)),""))</f>
        <v/>
      </c>
      <c r="L1573" s="27" t="str">
        <f aca="false">IF(A1573="","",A1573&amp;" | "&amp;B1573&amp;IF(C1573="",""," ("&amp;C1573&amp;")")&amp;IF(D1573="",""," - "&amp;D1573))</f>
        <v/>
      </c>
    </row>
    <row r="1574" customFormat="false" ht="15" hidden="false" customHeight="false" outlineLevel="0" collapsed="false">
      <c r="A1574" s="32"/>
      <c r="B1574" s="19"/>
      <c r="C1574" s="19"/>
      <c r="D1574" s="19"/>
      <c r="E1574" s="21"/>
      <c r="F1574" s="19"/>
      <c r="G1574" s="27" t="str">
        <f aca="false">IF(B1574="","",IFERROR(INDEX(Jeux!$C$2:$C$3001,MATCH(B1574,Jeux!$A$2:$A$3001,0))&amp;"","⚠ jeu inconnu"))</f>
        <v/>
      </c>
      <c r="H1574" s="27" t="str">
        <f aca="false">IF(B1574="","",IFERROR(INDEX(Jeux!$D$2:$D$3001,MATCH(B1574,Jeux!$A$2:$A$3001,0))&amp;"",""))</f>
        <v/>
      </c>
      <c r="I1574" s="26" t="str">
        <f aca="false">IF(A1574="","",COUNTIF(Apparitions!$G$2:$G$5001,A1574))</f>
        <v/>
      </c>
      <c r="J1574" s="26" t="str">
        <f aca="false">IF(A1574="","",COUNTIFS(Apparitions!$G$2:$G$5001,A1574,Apparitions!$E$2:$E$5001,"○"))</f>
        <v/>
      </c>
      <c r="K1574" s="29" t="str">
        <f aca="false">IF(A1574="","",IFERROR(1/(1/_xlfn.MINIFS(Apparitions!$L$2:$L$5001,Apparitions!$G$2:$G$5001,A1574)),""))</f>
        <v/>
      </c>
      <c r="L1574" s="27" t="str">
        <f aca="false">IF(A1574="","",A1574&amp;" | "&amp;B1574&amp;IF(C1574="",""," ("&amp;C1574&amp;")")&amp;IF(D1574="",""," - "&amp;D1574))</f>
        <v/>
      </c>
    </row>
    <row r="1575" customFormat="false" ht="15" hidden="false" customHeight="false" outlineLevel="0" collapsed="false">
      <c r="A1575" s="32"/>
      <c r="B1575" s="19"/>
      <c r="C1575" s="19"/>
      <c r="D1575" s="19"/>
      <c r="E1575" s="21"/>
      <c r="F1575" s="19"/>
      <c r="G1575" s="27" t="str">
        <f aca="false">IF(B1575="","",IFERROR(INDEX(Jeux!$C$2:$C$3001,MATCH(B1575,Jeux!$A$2:$A$3001,0))&amp;"","⚠ jeu inconnu"))</f>
        <v/>
      </c>
      <c r="H1575" s="27" t="str">
        <f aca="false">IF(B1575="","",IFERROR(INDEX(Jeux!$D$2:$D$3001,MATCH(B1575,Jeux!$A$2:$A$3001,0))&amp;"",""))</f>
        <v/>
      </c>
      <c r="I1575" s="26" t="str">
        <f aca="false">IF(A1575="","",COUNTIF(Apparitions!$G$2:$G$5001,A1575))</f>
        <v/>
      </c>
      <c r="J1575" s="26" t="str">
        <f aca="false">IF(A1575="","",COUNTIFS(Apparitions!$G$2:$G$5001,A1575,Apparitions!$E$2:$E$5001,"○"))</f>
        <v/>
      </c>
      <c r="K1575" s="29" t="str">
        <f aca="false">IF(A1575="","",IFERROR(1/(1/_xlfn.MINIFS(Apparitions!$L$2:$L$5001,Apparitions!$G$2:$G$5001,A1575)),""))</f>
        <v/>
      </c>
      <c r="L1575" s="27" t="str">
        <f aca="false">IF(A1575="","",A1575&amp;" | "&amp;B1575&amp;IF(C1575="",""," ("&amp;C1575&amp;")")&amp;IF(D1575="",""," - "&amp;D1575))</f>
        <v/>
      </c>
    </row>
    <row r="1576" customFormat="false" ht="15" hidden="false" customHeight="false" outlineLevel="0" collapsed="false">
      <c r="A1576" s="32"/>
      <c r="B1576" s="19"/>
      <c r="C1576" s="19"/>
      <c r="D1576" s="19"/>
      <c r="E1576" s="21"/>
      <c r="F1576" s="19"/>
      <c r="G1576" s="27" t="str">
        <f aca="false">IF(B1576="","",IFERROR(INDEX(Jeux!$C$2:$C$3001,MATCH(B1576,Jeux!$A$2:$A$3001,0))&amp;"","⚠ jeu inconnu"))</f>
        <v/>
      </c>
      <c r="H1576" s="27" t="str">
        <f aca="false">IF(B1576="","",IFERROR(INDEX(Jeux!$D$2:$D$3001,MATCH(B1576,Jeux!$A$2:$A$3001,0))&amp;"",""))</f>
        <v/>
      </c>
      <c r="I1576" s="26" t="str">
        <f aca="false">IF(A1576="","",COUNTIF(Apparitions!$G$2:$G$5001,A1576))</f>
        <v/>
      </c>
      <c r="J1576" s="26" t="str">
        <f aca="false">IF(A1576="","",COUNTIFS(Apparitions!$G$2:$G$5001,A1576,Apparitions!$E$2:$E$5001,"○"))</f>
        <v/>
      </c>
      <c r="K1576" s="29" t="str">
        <f aca="false">IF(A1576="","",IFERROR(1/(1/_xlfn.MINIFS(Apparitions!$L$2:$L$5001,Apparitions!$G$2:$G$5001,A1576)),""))</f>
        <v/>
      </c>
      <c r="L1576" s="27" t="str">
        <f aca="false">IF(A1576="","",A1576&amp;" | "&amp;B1576&amp;IF(C1576="",""," ("&amp;C1576&amp;")")&amp;IF(D1576="",""," - "&amp;D1576))</f>
        <v/>
      </c>
    </row>
    <row r="1577" customFormat="false" ht="15" hidden="false" customHeight="false" outlineLevel="0" collapsed="false">
      <c r="A1577" s="32"/>
      <c r="B1577" s="19"/>
      <c r="C1577" s="19"/>
      <c r="D1577" s="19"/>
      <c r="E1577" s="21"/>
      <c r="F1577" s="19"/>
      <c r="G1577" s="27" t="str">
        <f aca="false">IF(B1577="","",IFERROR(INDEX(Jeux!$C$2:$C$3001,MATCH(B1577,Jeux!$A$2:$A$3001,0))&amp;"","⚠ jeu inconnu"))</f>
        <v/>
      </c>
      <c r="H1577" s="27" t="str">
        <f aca="false">IF(B1577="","",IFERROR(INDEX(Jeux!$D$2:$D$3001,MATCH(B1577,Jeux!$A$2:$A$3001,0))&amp;"",""))</f>
        <v/>
      </c>
      <c r="I1577" s="26" t="str">
        <f aca="false">IF(A1577="","",COUNTIF(Apparitions!$G$2:$G$5001,A1577))</f>
        <v/>
      </c>
      <c r="J1577" s="26" t="str">
        <f aca="false">IF(A1577="","",COUNTIFS(Apparitions!$G$2:$G$5001,A1577,Apparitions!$E$2:$E$5001,"○"))</f>
        <v/>
      </c>
      <c r="K1577" s="29" t="str">
        <f aca="false">IF(A1577="","",IFERROR(1/(1/_xlfn.MINIFS(Apparitions!$L$2:$L$5001,Apparitions!$G$2:$G$5001,A1577)),""))</f>
        <v/>
      </c>
      <c r="L1577" s="27" t="str">
        <f aca="false">IF(A1577="","",A1577&amp;" | "&amp;B1577&amp;IF(C1577="",""," ("&amp;C1577&amp;")")&amp;IF(D1577="",""," - "&amp;D1577))</f>
        <v/>
      </c>
    </row>
    <row r="1578" customFormat="false" ht="15" hidden="false" customHeight="false" outlineLevel="0" collapsed="false">
      <c r="A1578" s="32"/>
      <c r="B1578" s="19"/>
      <c r="C1578" s="19"/>
      <c r="D1578" s="19"/>
      <c r="E1578" s="21"/>
      <c r="F1578" s="19"/>
      <c r="G1578" s="27" t="str">
        <f aca="false">IF(B1578="","",IFERROR(INDEX(Jeux!$C$2:$C$3001,MATCH(B1578,Jeux!$A$2:$A$3001,0))&amp;"","⚠ jeu inconnu"))</f>
        <v/>
      </c>
      <c r="H1578" s="27" t="str">
        <f aca="false">IF(B1578="","",IFERROR(INDEX(Jeux!$D$2:$D$3001,MATCH(B1578,Jeux!$A$2:$A$3001,0))&amp;"",""))</f>
        <v/>
      </c>
      <c r="I1578" s="26" t="str">
        <f aca="false">IF(A1578="","",COUNTIF(Apparitions!$G$2:$G$5001,A1578))</f>
        <v/>
      </c>
      <c r="J1578" s="26" t="str">
        <f aca="false">IF(A1578="","",COUNTIFS(Apparitions!$G$2:$G$5001,A1578,Apparitions!$E$2:$E$5001,"○"))</f>
        <v/>
      </c>
      <c r="K1578" s="29" t="str">
        <f aca="false">IF(A1578="","",IFERROR(1/(1/_xlfn.MINIFS(Apparitions!$L$2:$L$5001,Apparitions!$G$2:$G$5001,A1578)),""))</f>
        <v/>
      </c>
      <c r="L1578" s="27" t="str">
        <f aca="false">IF(A1578="","",A1578&amp;" | "&amp;B1578&amp;IF(C1578="",""," ("&amp;C1578&amp;")")&amp;IF(D1578="",""," - "&amp;D1578))</f>
        <v/>
      </c>
    </row>
    <row r="1579" customFormat="false" ht="15" hidden="false" customHeight="false" outlineLevel="0" collapsed="false">
      <c r="A1579" s="32"/>
      <c r="B1579" s="19"/>
      <c r="C1579" s="19"/>
      <c r="D1579" s="19"/>
      <c r="E1579" s="21"/>
      <c r="F1579" s="19"/>
      <c r="G1579" s="27" t="str">
        <f aca="false">IF(B1579="","",IFERROR(INDEX(Jeux!$C$2:$C$3001,MATCH(B1579,Jeux!$A$2:$A$3001,0))&amp;"","⚠ jeu inconnu"))</f>
        <v/>
      </c>
      <c r="H1579" s="27" t="str">
        <f aca="false">IF(B1579="","",IFERROR(INDEX(Jeux!$D$2:$D$3001,MATCH(B1579,Jeux!$A$2:$A$3001,0))&amp;"",""))</f>
        <v/>
      </c>
      <c r="I1579" s="26" t="str">
        <f aca="false">IF(A1579="","",COUNTIF(Apparitions!$G$2:$G$5001,A1579))</f>
        <v/>
      </c>
      <c r="J1579" s="26" t="str">
        <f aca="false">IF(A1579="","",COUNTIFS(Apparitions!$G$2:$G$5001,A1579,Apparitions!$E$2:$E$5001,"○"))</f>
        <v/>
      </c>
      <c r="K1579" s="29" t="str">
        <f aca="false">IF(A1579="","",IFERROR(1/(1/_xlfn.MINIFS(Apparitions!$L$2:$L$5001,Apparitions!$G$2:$G$5001,A1579)),""))</f>
        <v/>
      </c>
      <c r="L1579" s="27" t="str">
        <f aca="false">IF(A1579="","",A1579&amp;" | "&amp;B1579&amp;IF(C1579="",""," ("&amp;C1579&amp;")")&amp;IF(D1579="",""," - "&amp;D1579))</f>
        <v/>
      </c>
    </row>
    <row r="1580" customFormat="false" ht="15" hidden="false" customHeight="false" outlineLevel="0" collapsed="false">
      <c r="A1580" s="32"/>
      <c r="B1580" s="19"/>
      <c r="C1580" s="19"/>
      <c r="D1580" s="19"/>
      <c r="E1580" s="21"/>
      <c r="F1580" s="19"/>
      <c r="G1580" s="27" t="str">
        <f aca="false">IF(B1580="","",IFERROR(INDEX(Jeux!$C$2:$C$3001,MATCH(B1580,Jeux!$A$2:$A$3001,0))&amp;"","⚠ jeu inconnu"))</f>
        <v/>
      </c>
      <c r="H1580" s="27" t="str">
        <f aca="false">IF(B1580="","",IFERROR(INDEX(Jeux!$D$2:$D$3001,MATCH(B1580,Jeux!$A$2:$A$3001,0))&amp;"",""))</f>
        <v/>
      </c>
      <c r="I1580" s="26" t="str">
        <f aca="false">IF(A1580="","",COUNTIF(Apparitions!$G$2:$G$5001,A1580))</f>
        <v/>
      </c>
      <c r="J1580" s="26" t="str">
        <f aca="false">IF(A1580="","",COUNTIFS(Apparitions!$G$2:$G$5001,A1580,Apparitions!$E$2:$E$5001,"○"))</f>
        <v/>
      </c>
      <c r="K1580" s="29" t="str">
        <f aca="false">IF(A1580="","",IFERROR(1/(1/_xlfn.MINIFS(Apparitions!$L$2:$L$5001,Apparitions!$G$2:$G$5001,A1580)),""))</f>
        <v/>
      </c>
      <c r="L1580" s="27" t="str">
        <f aca="false">IF(A1580="","",A1580&amp;" | "&amp;B1580&amp;IF(C1580="",""," ("&amp;C1580&amp;")")&amp;IF(D1580="",""," - "&amp;D1580))</f>
        <v/>
      </c>
    </row>
    <row r="1581" customFormat="false" ht="15" hidden="false" customHeight="false" outlineLevel="0" collapsed="false">
      <c r="A1581" s="32"/>
      <c r="B1581" s="19"/>
      <c r="C1581" s="19"/>
      <c r="D1581" s="19"/>
      <c r="E1581" s="21"/>
      <c r="F1581" s="19"/>
      <c r="G1581" s="27" t="str">
        <f aca="false">IF(B1581="","",IFERROR(INDEX(Jeux!$C$2:$C$3001,MATCH(B1581,Jeux!$A$2:$A$3001,0))&amp;"","⚠ jeu inconnu"))</f>
        <v/>
      </c>
      <c r="H1581" s="27" t="str">
        <f aca="false">IF(B1581="","",IFERROR(INDEX(Jeux!$D$2:$D$3001,MATCH(B1581,Jeux!$A$2:$A$3001,0))&amp;"",""))</f>
        <v/>
      </c>
      <c r="I1581" s="26" t="str">
        <f aca="false">IF(A1581="","",COUNTIF(Apparitions!$G$2:$G$5001,A1581))</f>
        <v/>
      </c>
      <c r="J1581" s="26" t="str">
        <f aca="false">IF(A1581="","",COUNTIFS(Apparitions!$G$2:$G$5001,A1581,Apparitions!$E$2:$E$5001,"○"))</f>
        <v/>
      </c>
      <c r="K1581" s="29" t="str">
        <f aca="false">IF(A1581="","",IFERROR(1/(1/_xlfn.MINIFS(Apparitions!$L$2:$L$5001,Apparitions!$G$2:$G$5001,A1581)),""))</f>
        <v/>
      </c>
      <c r="L1581" s="27" t="str">
        <f aca="false">IF(A1581="","",A1581&amp;" | "&amp;B1581&amp;IF(C1581="",""," ("&amp;C1581&amp;")")&amp;IF(D1581="",""," - "&amp;D1581))</f>
        <v/>
      </c>
    </row>
    <row r="1582" customFormat="false" ht="15" hidden="false" customHeight="false" outlineLevel="0" collapsed="false">
      <c r="A1582" s="32"/>
      <c r="B1582" s="19"/>
      <c r="C1582" s="19"/>
      <c r="D1582" s="19"/>
      <c r="E1582" s="21"/>
      <c r="F1582" s="19"/>
      <c r="G1582" s="27" t="str">
        <f aca="false">IF(B1582="","",IFERROR(INDEX(Jeux!$C$2:$C$3001,MATCH(B1582,Jeux!$A$2:$A$3001,0))&amp;"","⚠ jeu inconnu"))</f>
        <v/>
      </c>
      <c r="H1582" s="27" t="str">
        <f aca="false">IF(B1582="","",IFERROR(INDEX(Jeux!$D$2:$D$3001,MATCH(B1582,Jeux!$A$2:$A$3001,0))&amp;"",""))</f>
        <v/>
      </c>
      <c r="I1582" s="26" t="str">
        <f aca="false">IF(A1582="","",COUNTIF(Apparitions!$G$2:$G$5001,A1582))</f>
        <v/>
      </c>
      <c r="J1582" s="26" t="str">
        <f aca="false">IF(A1582="","",COUNTIFS(Apparitions!$G$2:$G$5001,A1582,Apparitions!$E$2:$E$5001,"○"))</f>
        <v/>
      </c>
      <c r="K1582" s="29" t="str">
        <f aca="false">IF(A1582="","",IFERROR(1/(1/_xlfn.MINIFS(Apparitions!$L$2:$L$5001,Apparitions!$G$2:$G$5001,A1582)),""))</f>
        <v/>
      </c>
      <c r="L1582" s="27" t="str">
        <f aca="false">IF(A1582="","",A1582&amp;" | "&amp;B1582&amp;IF(C1582="",""," ("&amp;C1582&amp;")")&amp;IF(D1582="",""," - "&amp;D1582))</f>
        <v/>
      </c>
    </row>
    <row r="1583" customFormat="false" ht="15" hidden="false" customHeight="false" outlineLevel="0" collapsed="false">
      <c r="A1583" s="32"/>
      <c r="B1583" s="19"/>
      <c r="C1583" s="19"/>
      <c r="D1583" s="19"/>
      <c r="E1583" s="21"/>
      <c r="F1583" s="19"/>
      <c r="G1583" s="27" t="str">
        <f aca="false">IF(B1583="","",IFERROR(INDEX(Jeux!$C$2:$C$3001,MATCH(B1583,Jeux!$A$2:$A$3001,0))&amp;"","⚠ jeu inconnu"))</f>
        <v/>
      </c>
      <c r="H1583" s="27" t="str">
        <f aca="false">IF(B1583="","",IFERROR(INDEX(Jeux!$D$2:$D$3001,MATCH(B1583,Jeux!$A$2:$A$3001,0))&amp;"",""))</f>
        <v/>
      </c>
      <c r="I1583" s="26" t="str">
        <f aca="false">IF(A1583="","",COUNTIF(Apparitions!$G$2:$G$5001,A1583))</f>
        <v/>
      </c>
      <c r="J1583" s="26" t="str">
        <f aca="false">IF(A1583="","",COUNTIFS(Apparitions!$G$2:$G$5001,A1583,Apparitions!$E$2:$E$5001,"○"))</f>
        <v/>
      </c>
      <c r="K1583" s="29" t="str">
        <f aca="false">IF(A1583="","",IFERROR(1/(1/_xlfn.MINIFS(Apparitions!$L$2:$L$5001,Apparitions!$G$2:$G$5001,A1583)),""))</f>
        <v/>
      </c>
      <c r="L1583" s="27" t="str">
        <f aca="false">IF(A1583="","",A1583&amp;" | "&amp;B1583&amp;IF(C1583="",""," ("&amp;C1583&amp;")")&amp;IF(D1583="",""," - "&amp;D1583))</f>
        <v/>
      </c>
    </row>
    <row r="1584" customFormat="false" ht="15" hidden="false" customHeight="false" outlineLevel="0" collapsed="false">
      <c r="A1584" s="32"/>
      <c r="B1584" s="19"/>
      <c r="C1584" s="19"/>
      <c r="D1584" s="19"/>
      <c r="E1584" s="21"/>
      <c r="F1584" s="19"/>
      <c r="G1584" s="27" t="str">
        <f aca="false">IF(B1584="","",IFERROR(INDEX(Jeux!$C$2:$C$3001,MATCH(B1584,Jeux!$A$2:$A$3001,0))&amp;"","⚠ jeu inconnu"))</f>
        <v/>
      </c>
      <c r="H1584" s="27" t="str">
        <f aca="false">IF(B1584="","",IFERROR(INDEX(Jeux!$D$2:$D$3001,MATCH(B1584,Jeux!$A$2:$A$3001,0))&amp;"",""))</f>
        <v/>
      </c>
      <c r="I1584" s="26" t="str">
        <f aca="false">IF(A1584="","",COUNTIF(Apparitions!$G$2:$G$5001,A1584))</f>
        <v/>
      </c>
      <c r="J1584" s="26" t="str">
        <f aca="false">IF(A1584="","",COUNTIFS(Apparitions!$G$2:$G$5001,A1584,Apparitions!$E$2:$E$5001,"○"))</f>
        <v/>
      </c>
      <c r="K1584" s="29" t="str">
        <f aca="false">IF(A1584="","",IFERROR(1/(1/_xlfn.MINIFS(Apparitions!$L$2:$L$5001,Apparitions!$G$2:$G$5001,A1584)),""))</f>
        <v/>
      </c>
      <c r="L1584" s="27" t="str">
        <f aca="false">IF(A1584="","",A1584&amp;" | "&amp;B1584&amp;IF(C1584="",""," ("&amp;C1584&amp;")")&amp;IF(D1584="",""," - "&amp;D1584))</f>
        <v/>
      </c>
    </row>
    <row r="1585" customFormat="false" ht="15" hidden="false" customHeight="false" outlineLevel="0" collapsed="false">
      <c r="A1585" s="32"/>
      <c r="B1585" s="19"/>
      <c r="C1585" s="19"/>
      <c r="D1585" s="19"/>
      <c r="E1585" s="21"/>
      <c r="F1585" s="19"/>
      <c r="G1585" s="27" t="str">
        <f aca="false">IF(B1585="","",IFERROR(INDEX(Jeux!$C$2:$C$3001,MATCH(B1585,Jeux!$A$2:$A$3001,0))&amp;"","⚠ jeu inconnu"))</f>
        <v/>
      </c>
      <c r="H1585" s="27" t="str">
        <f aca="false">IF(B1585="","",IFERROR(INDEX(Jeux!$D$2:$D$3001,MATCH(B1585,Jeux!$A$2:$A$3001,0))&amp;"",""))</f>
        <v/>
      </c>
      <c r="I1585" s="26" t="str">
        <f aca="false">IF(A1585="","",COUNTIF(Apparitions!$G$2:$G$5001,A1585))</f>
        <v/>
      </c>
      <c r="J1585" s="26" t="str">
        <f aca="false">IF(A1585="","",COUNTIFS(Apparitions!$G$2:$G$5001,A1585,Apparitions!$E$2:$E$5001,"○"))</f>
        <v/>
      </c>
      <c r="K1585" s="29" t="str">
        <f aca="false">IF(A1585="","",IFERROR(1/(1/_xlfn.MINIFS(Apparitions!$L$2:$L$5001,Apparitions!$G$2:$G$5001,A1585)),""))</f>
        <v/>
      </c>
      <c r="L1585" s="27" t="str">
        <f aca="false">IF(A1585="","",A1585&amp;" | "&amp;B1585&amp;IF(C1585="",""," ("&amp;C1585&amp;")")&amp;IF(D1585="",""," - "&amp;D1585))</f>
        <v/>
      </c>
    </row>
    <row r="1586" customFormat="false" ht="15" hidden="false" customHeight="false" outlineLevel="0" collapsed="false">
      <c r="A1586" s="32"/>
      <c r="B1586" s="19"/>
      <c r="C1586" s="19"/>
      <c r="D1586" s="19"/>
      <c r="E1586" s="21"/>
      <c r="F1586" s="19"/>
      <c r="G1586" s="27" t="str">
        <f aca="false">IF(B1586="","",IFERROR(INDEX(Jeux!$C$2:$C$3001,MATCH(B1586,Jeux!$A$2:$A$3001,0))&amp;"","⚠ jeu inconnu"))</f>
        <v/>
      </c>
      <c r="H1586" s="27" t="str">
        <f aca="false">IF(B1586="","",IFERROR(INDEX(Jeux!$D$2:$D$3001,MATCH(B1586,Jeux!$A$2:$A$3001,0))&amp;"",""))</f>
        <v/>
      </c>
      <c r="I1586" s="26" t="str">
        <f aca="false">IF(A1586="","",COUNTIF(Apparitions!$G$2:$G$5001,A1586))</f>
        <v/>
      </c>
      <c r="J1586" s="26" t="str">
        <f aca="false">IF(A1586="","",COUNTIFS(Apparitions!$G$2:$G$5001,A1586,Apparitions!$E$2:$E$5001,"○"))</f>
        <v/>
      </c>
      <c r="K1586" s="29" t="str">
        <f aca="false">IF(A1586="","",IFERROR(1/(1/_xlfn.MINIFS(Apparitions!$L$2:$L$5001,Apparitions!$G$2:$G$5001,A1586)),""))</f>
        <v/>
      </c>
      <c r="L1586" s="27" t="str">
        <f aca="false">IF(A1586="","",A1586&amp;" | "&amp;B1586&amp;IF(C1586="",""," ("&amp;C1586&amp;")")&amp;IF(D1586="",""," - "&amp;D1586))</f>
        <v/>
      </c>
    </row>
    <row r="1587" customFormat="false" ht="15" hidden="false" customHeight="false" outlineLevel="0" collapsed="false">
      <c r="A1587" s="32"/>
      <c r="B1587" s="19"/>
      <c r="C1587" s="19"/>
      <c r="D1587" s="19"/>
      <c r="E1587" s="21"/>
      <c r="F1587" s="19"/>
      <c r="G1587" s="27" t="str">
        <f aca="false">IF(B1587="","",IFERROR(INDEX(Jeux!$C$2:$C$3001,MATCH(B1587,Jeux!$A$2:$A$3001,0))&amp;"","⚠ jeu inconnu"))</f>
        <v/>
      </c>
      <c r="H1587" s="27" t="str">
        <f aca="false">IF(B1587="","",IFERROR(INDEX(Jeux!$D$2:$D$3001,MATCH(B1587,Jeux!$A$2:$A$3001,0))&amp;"",""))</f>
        <v/>
      </c>
      <c r="I1587" s="26" t="str">
        <f aca="false">IF(A1587="","",COUNTIF(Apparitions!$G$2:$G$5001,A1587))</f>
        <v/>
      </c>
      <c r="J1587" s="26" t="str">
        <f aca="false">IF(A1587="","",COUNTIFS(Apparitions!$G$2:$G$5001,A1587,Apparitions!$E$2:$E$5001,"○"))</f>
        <v/>
      </c>
      <c r="K1587" s="29" t="str">
        <f aca="false">IF(A1587="","",IFERROR(1/(1/_xlfn.MINIFS(Apparitions!$L$2:$L$5001,Apparitions!$G$2:$G$5001,A1587)),""))</f>
        <v/>
      </c>
      <c r="L1587" s="27" t="str">
        <f aca="false">IF(A1587="","",A1587&amp;" | "&amp;B1587&amp;IF(C1587="",""," ("&amp;C1587&amp;")")&amp;IF(D1587="",""," - "&amp;D1587))</f>
        <v/>
      </c>
    </row>
    <row r="1588" customFormat="false" ht="15" hidden="false" customHeight="false" outlineLevel="0" collapsed="false">
      <c r="A1588" s="32"/>
      <c r="B1588" s="19"/>
      <c r="C1588" s="19"/>
      <c r="D1588" s="19"/>
      <c r="E1588" s="21"/>
      <c r="F1588" s="19"/>
      <c r="G1588" s="27" t="str">
        <f aca="false">IF(B1588="","",IFERROR(INDEX(Jeux!$C$2:$C$3001,MATCH(B1588,Jeux!$A$2:$A$3001,0))&amp;"","⚠ jeu inconnu"))</f>
        <v/>
      </c>
      <c r="H1588" s="27" t="str">
        <f aca="false">IF(B1588="","",IFERROR(INDEX(Jeux!$D$2:$D$3001,MATCH(B1588,Jeux!$A$2:$A$3001,0))&amp;"",""))</f>
        <v/>
      </c>
      <c r="I1588" s="26" t="str">
        <f aca="false">IF(A1588="","",COUNTIF(Apparitions!$G$2:$G$5001,A1588))</f>
        <v/>
      </c>
      <c r="J1588" s="26" t="str">
        <f aca="false">IF(A1588="","",COUNTIFS(Apparitions!$G$2:$G$5001,A1588,Apparitions!$E$2:$E$5001,"○"))</f>
        <v/>
      </c>
      <c r="K1588" s="29" t="str">
        <f aca="false">IF(A1588="","",IFERROR(1/(1/_xlfn.MINIFS(Apparitions!$L$2:$L$5001,Apparitions!$G$2:$G$5001,A1588)),""))</f>
        <v/>
      </c>
      <c r="L1588" s="27" t="str">
        <f aca="false">IF(A1588="","",A1588&amp;" | "&amp;B1588&amp;IF(C1588="",""," ("&amp;C1588&amp;")")&amp;IF(D1588="",""," - "&amp;D1588))</f>
        <v/>
      </c>
    </row>
    <row r="1589" customFormat="false" ht="15" hidden="false" customHeight="false" outlineLevel="0" collapsed="false">
      <c r="A1589" s="32"/>
      <c r="B1589" s="19"/>
      <c r="C1589" s="19"/>
      <c r="D1589" s="19"/>
      <c r="E1589" s="21"/>
      <c r="F1589" s="19"/>
      <c r="G1589" s="27" t="str">
        <f aca="false">IF(B1589="","",IFERROR(INDEX(Jeux!$C$2:$C$3001,MATCH(B1589,Jeux!$A$2:$A$3001,0))&amp;"","⚠ jeu inconnu"))</f>
        <v/>
      </c>
      <c r="H1589" s="27" t="str">
        <f aca="false">IF(B1589="","",IFERROR(INDEX(Jeux!$D$2:$D$3001,MATCH(B1589,Jeux!$A$2:$A$3001,0))&amp;"",""))</f>
        <v/>
      </c>
      <c r="I1589" s="26" t="str">
        <f aca="false">IF(A1589="","",COUNTIF(Apparitions!$G$2:$G$5001,A1589))</f>
        <v/>
      </c>
      <c r="J1589" s="26" t="str">
        <f aca="false">IF(A1589="","",COUNTIFS(Apparitions!$G$2:$G$5001,A1589,Apparitions!$E$2:$E$5001,"○"))</f>
        <v/>
      </c>
      <c r="K1589" s="29" t="str">
        <f aca="false">IF(A1589="","",IFERROR(1/(1/_xlfn.MINIFS(Apparitions!$L$2:$L$5001,Apparitions!$G$2:$G$5001,A1589)),""))</f>
        <v/>
      </c>
      <c r="L1589" s="27" t="str">
        <f aca="false">IF(A1589="","",A1589&amp;" | "&amp;B1589&amp;IF(C1589="",""," ("&amp;C1589&amp;")")&amp;IF(D1589="",""," - "&amp;D1589))</f>
        <v/>
      </c>
    </row>
    <row r="1590" customFormat="false" ht="15" hidden="false" customHeight="false" outlineLevel="0" collapsed="false">
      <c r="A1590" s="32"/>
      <c r="B1590" s="19"/>
      <c r="C1590" s="19"/>
      <c r="D1590" s="19"/>
      <c r="E1590" s="21"/>
      <c r="F1590" s="19"/>
      <c r="G1590" s="27" t="str">
        <f aca="false">IF(B1590="","",IFERROR(INDEX(Jeux!$C$2:$C$3001,MATCH(B1590,Jeux!$A$2:$A$3001,0))&amp;"","⚠ jeu inconnu"))</f>
        <v/>
      </c>
      <c r="H1590" s="27" t="str">
        <f aca="false">IF(B1590="","",IFERROR(INDEX(Jeux!$D$2:$D$3001,MATCH(B1590,Jeux!$A$2:$A$3001,0))&amp;"",""))</f>
        <v/>
      </c>
      <c r="I1590" s="26" t="str">
        <f aca="false">IF(A1590="","",COUNTIF(Apparitions!$G$2:$G$5001,A1590))</f>
        <v/>
      </c>
      <c r="J1590" s="26" t="str">
        <f aca="false">IF(A1590="","",COUNTIFS(Apparitions!$G$2:$G$5001,A1590,Apparitions!$E$2:$E$5001,"○"))</f>
        <v/>
      </c>
      <c r="K1590" s="29" t="str">
        <f aca="false">IF(A1590="","",IFERROR(1/(1/_xlfn.MINIFS(Apparitions!$L$2:$L$5001,Apparitions!$G$2:$G$5001,A1590)),""))</f>
        <v/>
      </c>
      <c r="L1590" s="27" t="str">
        <f aca="false">IF(A1590="","",A1590&amp;" | "&amp;B1590&amp;IF(C1590="",""," ("&amp;C1590&amp;")")&amp;IF(D1590="",""," - "&amp;D1590))</f>
        <v/>
      </c>
    </row>
    <row r="1591" customFormat="false" ht="15" hidden="false" customHeight="false" outlineLevel="0" collapsed="false">
      <c r="A1591" s="32"/>
      <c r="B1591" s="19"/>
      <c r="C1591" s="19"/>
      <c r="D1591" s="19"/>
      <c r="E1591" s="21"/>
      <c r="F1591" s="19"/>
      <c r="G1591" s="27" t="str">
        <f aca="false">IF(B1591="","",IFERROR(INDEX(Jeux!$C$2:$C$3001,MATCH(B1591,Jeux!$A$2:$A$3001,0))&amp;"","⚠ jeu inconnu"))</f>
        <v/>
      </c>
      <c r="H1591" s="27" t="str">
        <f aca="false">IF(B1591="","",IFERROR(INDEX(Jeux!$D$2:$D$3001,MATCH(B1591,Jeux!$A$2:$A$3001,0))&amp;"",""))</f>
        <v/>
      </c>
      <c r="I1591" s="26" t="str">
        <f aca="false">IF(A1591="","",COUNTIF(Apparitions!$G$2:$G$5001,A1591))</f>
        <v/>
      </c>
      <c r="J1591" s="26" t="str">
        <f aca="false">IF(A1591="","",COUNTIFS(Apparitions!$G$2:$G$5001,A1591,Apparitions!$E$2:$E$5001,"○"))</f>
        <v/>
      </c>
      <c r="K1591" s="29" t="str">
        <f aca="false">IF(A1591="","",IFERROR(1/(1/_xlfn.MINIFS(Apparitions!$L$2:$L$5001,Apparitions!$G$2:$G$5001,A1591)),""))</f>
        <v/>
      </c>
      <c r="L1591" s="27" t="str">
        <f aca="false">IF(A1591="","",A1591&amp;" | "&amp;B1591&amp;IF(C1591="",""," ("&amp;C1591&amp;")")&amp;IF(D1591="",""," - "&amp;D1591))</f>
        <v/>
      </c>
    </row>
    <row r="1592" customFormat="false" ht="15" hidden="false" customHeight="false" outlineLevel="0" collapsed="false">
      <c r="A1592" s="32"/>
      <c r="B1592" s="19"/>
      <c r="C1592" s="19"/>
      <c r="D1592" s="19"/>
      <c r="E1592" s="21"/>
      <c r="F1592" s="19"/>
      <c r="G1592" s="27" t="str">
        <f aca="false">IF(B1592="","",IFERROR(INDEX(Jeux!$C$2:$C$3001,MATCH(B1592,Jeux!$A$2:$A$3001,0))&amp;"","⚠ jeu inconnu"))</f>
        <v/>
      </c>
      <c r="H1592" s="27" t="str">
        <f aca="false">IF(B1592="","",IFERROR(INDEX(Jeux!$D$2:$D$3001,MATCH(B1592,Jeux!$A$2:$A$3001,0))&amp;"",""))</f>
        <v/>
      </c>
      <c r="I1592" s="26" t="str">
        <f aca="false">IF(A1592="","",COUNTIF(Apparitions!$G$2:$G$5001,A1592))</f>
        <v/>
      </c>
      <c r="J1592" s="26" t="str">
        <f aca="false">IF(A1592="","",COUNTIFS(Apparitions!$G$2:$G$5001,A1592,Apparitions!$E$2:$E$5001,"○"))</f>
        <v/>
      </c>
      <c r="K1592" s="29" t="str">
        <f aca="false">IF(A1592="","",IFERROR(1/(1/_xlfn.MINIFS(Apparitions!$L$2:$L$5001,Apparitions!$G$2:$G$5001,A1592)),""))</f>
        <v/>
      </c>
      <c r="L1592" s="27" t="str">
        <f aca="false">IF(A1592="","",A1592&amp;" | "&amp;B1592&amp;IF(C1592="",""," ("&amp;C1592&amp;")")&amp;IF(D1592="",""," - "&amp;D1592))</f>
        <v/>
      </c>
    </row>
    <row r="1593" customFormat="false" ht="15" hidden="false" customHeight="false" outlineLevel="0" collapsed="false">
      <c r="A1593" s="32"/>
      <c r="B1593" s="19"/>
      <c r="C1593" s="19"/>
      <c r="D1593" s="19"/>
      <c r="E1593" s="21"/>
      <c r="F1593" s="19"/>
      <c r="G1593" s="27" t="str">
        <f aca="false">IF(B1593="","",IFERROR(INDEX(Jeux!$C$2:$C$3001,MATCH(B1593,Jeux!$A$2:$A$3001,0))&amp;"","⚠ jeu inconnu"))</f>
        <v/>
      </c>
      <c r="H1593" s="27" t="str">
        <f aca="false">IF(B1593="","",IFERROR(INDEX(Jeux!$D$2:$D$3001,MATCH(B1593,Jeux!$A$2:$A$3001,0))&amp;"",""))</f>
        <v/>
      </c>
      <c r="I1593" s="26" t="str">
        <f aca="false">IF(A1593="","",COUNTIF(Apparitions!$G$2:$G$5001,A1593))</f>
        <v/>
      </c>
      <c r="J1593" s="26" t="str">
        <f aca="false">IF(A1593="","",COUNTIFS(Apparitions!$G$2:$G$5001,A1593,Apparitions!$E$2:$E$5001,"○"))</f>
        <v/>
      </c>
      <c r="K1593" s="29" t="str">
        <f aca="false">IF(A1593="","",IFERROR(1/(1/_xlfn.MINIFS(Apparitions!$L$2:$L$5001,Apparitions!$G$2:$G$5001,A1593)),""))</f>
        <v/>
      </c>
      <c r="L1593" s="27" t="str">
        <f aca="false">IF(A1593="","",A1593&amp;" | "&amp;B1593&amp;IF(C1593="",""," ("&amp;C1593&amp;")")&amp;IF(D1593="",""," - "&amp;D1593))</f>
        <v/>
      </c>
    </row>
    <row r="1594" customFormat="false" ht="15" hidden="false" customHeight="false" outlineLevel="0" collapsed="false">
      <c r="A1594" s="32"/>
      <c r="B1594" s="19"/>
      <c r="C1594" s="19"/>
      <c r="D1594" s="19"/>
      <c r="E1594" s="21"/>
      <c r="F1594" s="19"/>
      <c r="G1594" s="27" t="str">
        <f aca="false">IF(B1594="","",IFERROR(INDEX(Jeux!$C$2:$C$3001,MATCH(B1594,Jeux!$A$2:$A$3001,0))&amp;"","⚠ jeu inconnu"))</f>
        <v/>
      </c>
      <c r="H1594" s="27" t="str">
        <f aca="false">IF(B1594="","",IFERROR(INDEX(Jeux!$D$2:$D$3001,MATCH(B1594,Jeux!$A$2:$A$3001,0))&amp;"",""))</f>
        <v/>
      </c>
      <c r="I1594" s="26" t="str">
        <f aca="false">IF(A1594="","",COUNTIF(Apparitions!$G$2:$G$5001,A1594))</f>
        <v/>
      </c>
      <c r="J1594" s="26" t="str">
        <f aca="false">IF(A1594="","",COUNTIFS(Apparitions!$G$2:$G$5001,A1594,Apparitions!$E$2:$E$5001,"○"))</f>
        <v/>
      </c>
      <c r="K1594" s="29" t="str">
        <f aca="false">IF(A1594="","",IFERROR(1/(1/_xlfn.MINIFS(Apparitions!$L$2:$L$5001,Apparitions!$G$2:$G$5001,A1594)),""))</f>
        <v/>
      </c>
      <c r="L1594" s="27" t="str">
        <f aca="false">IF(A1594="","",A1594&amp;" | "&amp;B1594&amp;IF(C1594="",""," ("&amp;C1594&amp;")")&amp;IF(D1594="",""," - "&amp;D1594))</f>
        <v/>
      </c>
    </row>
    <row r="1595" customFormat="false" ht="15" hidden="false" customHeight="false" outlineLevel="0" collapsed="false">
      <c r="A1595" s="32"/>
      <c r="B1595" s="19"/>
      <c r="C1595" s="19"/>
      <c r="D1595" s="19"/>
      <c r="E1595" s="21"/>
      <c r="F1595" s="19"/>
      <c r="G1595" s="27" t="str">
        <f aca="false">IF(B1595="","",IFERROR(INDEX(Jeux!$C$2:$C$3001,MATCH(B1595,Jeux!$A$2:$A$3001,0))&amp;"","⚠ jeu inconnu"))</f>
        <v/>
      </c>
      <c r="H1595" s="27" t="str">
        <f aca="false">IF(B1595="","",IFERROR(INDEX(Jeux!$D$2:$D$3001,MATCH(B1595,Jeux!$A$2:$A$3001,0))&amp;"",""))</f>
        <v/>
      </c>
      <c r="I1595" s="26" t="str">
        <f aca="false">IF(A1595="","",COUNTIF(Apparitions!$G$2:$G$5001,A1595))</f>
        <v/>
      </c>
      <c r="J1595" s="26" t="str">
        <f aca="false">IF(A1595="","",COUNTIFS(Apparitions!$G$2:$G$5001,A1595,Apparitions!$E$2:$E$5001,"○"))</f>
        <v/>
      </c>
      <c r="K1595" s="29" t="str">
        <f aca="false">IF(A1595="","",IFERROR(1/(1/_xlfn.MINIFS(Apparitions!$L$2:$L$5001,Apparitions!$G$2:$G$5001,A1595)),""))</f>
        <v/>
      </c>
      <c r="L1595" s="27" t="str">
        <f aca="false">IF(A1595="","",A1595&amp;" | "&amp;B1595&amp;IF(C1595="",""," ("&amp;C1595&amp;")")&amp;IF(D1595="",""," - "&amp;D1595))</f>
        <v/>
      </c>
    </row>
    <row r="1596" customFormat="false" ht="15" hidden="false" customHeight="false" outlineLevel="0" collapsed="false">
      <c r="A1596" s="32"/>
      <c r="B1596" s="19"/>
      <c r="C1596" s="19"/>
      <c r="D1596" s="19"/>
      <c r="E1596" s="21"/>
      <c r="F1596" s="19"/>
      <c r="G1596" s="27" t="str">
        <f aca="false">IF(B1596="","",IFERROR(INDEX(Jeux!$C$2:$C$3001,MATCH(B1596,Jeux!$A$2:$A$3001,0))&amp;"","⚠ jeu inconnu"))</f>
        <v/>
      </c>
      <c r="H1596" s="27" t="str">
        <f aca="false">IF(B1596="","",IFERROR(INDEX(Jeux!$D$2:$D$3001,MATCH(B1596,Jeux!$A$2:$A$3001,0))&amp;"",""))</f>
        <v/>
      </c>
      <c r="I1596" s="26" t="str">
        <f aca="false">IF(A1596="","",COUNTIF(Apparitions!$G$2:$G$5001,A1596))</f>
        <v/>
      </c>
      <c r="J1596" s="26" t="str">
        <f aca="false">IF(A1596="","",COUNTIFS(Apparitions!$G$2:$G$5001,A1596,Apparitions!$E$2:$E$5001,"○"))</f>
        <v/>
      </c>
      <c r="K1596" s="29" t="str">
        <f aca="false">IF(A1596="","",IFERROR(1/(1/_xlfn.MINIFS(Apparitions!$L$2:$L$5001,Apparitions!$G$2:$G$5001,A1596)),""))</f>
        <v/>
      </c>
      <c r="L1596" s="27" t="str">
        <f aca="false">IF(A1596="","",A1596&amp;" | "&amp;B1596&amp;IF(C1596="",""," ("&amp;C1596&amp;")")&amp;IF(D1596="",""," - "&amp;D1596))</f>
        <v/>
      </c>
    </row>
    <row r="1597" customFormat="false" ht="15" hidden="false" customHeight="false" outlineLevel="0" collapsed="false">
      <c r="A1597" s="32"/>
      <c r="B1597" s="19"/>
      <c r="C1597" s="19"/>
      <c r="D1597" s="19"/>
      <c r="E1597" s="21"/>
      <c r="F1597" s="19"/>
      <c r="G1597" s="27" t="str">
        <f aca="false">IF(B1597="","",IFERROR(INDEX(Jeux!$C$2:$C$3001,MATCH(B1597,Jeux!$A$2:$A$3001,0))&amp;"","⚠ jeu inconnu"))</f>
        <v/>
      </c>
      <c r="H1597" s="27" t="str">
        <f aca="false">IF(B1597="","",IFERROR(INDEX(Jeux!$D$2:$D$3001,MATCH(B1597,Jeux!$A$2:$A$3001,0))&amp;"",""))</f>
        <v/>
      </c>
      <c r="I1597" s="26" t="str">
        <f aca="false">IF(A1597="","",COUNTIF(Apparitions!$G$2:$G$5001,A1597))</f>
        <v/>
      </c>
      <c r="J1597" s="26" t="str">
        <f aca="false">IF(A1597="","",COUNTIFS(Apparitions!$G$2:$G$5001,A1597,Apparitions!$E$2:$E$5001,"○"))</f>
        <v/>
      </c>
      <c r="K1597" s="29" t="str">
        <f aca="false">IF(A1597="","",IFERROR(1/(1/_xlfn.MINIFS(Apparitions!$L$2:$L$5001,Apparitions!$G$2:$G$5001,A1597)),""))</f>
        <v/>
      </c>
      <c r="L1597" s="27" t="str">
        <f aca="false">IF(A1597="","",A1597&amp;" | "&amp;B1597&amp;IF(C1597="",""," ("&amp;C1597&amp;")")&amp;IF(D1597="",""," - "&amp;D1597))</f>
        <v/>
      </c>
    </row>
    <row r="1598" customFormat="false" ht="15" hidden="false" customHeight="false" outlineLevel="0" collapsed="false">
      <c r="A1598" s="32"/>
      <c r="B1598" s="19"/>
      <c r="C1598" s="19"/>
      <c r="D1598" s="19"/>
      <c r="E1598" s="21"/>
      <c r="F1598" s="19"/>
      <c r="G1598" s="27" t="str">
        <f aca="false">IF(B1598="","",IFERROR(INDEX(Jeux!$C$2:$C$3001,MATCH(B1598,Jeux!$A$2:$A$3001,0))&amp;"","⚠ jeu inconnu"))</f>
        <v/>
      </c>
      <c r="H1598" s="27" t="str">
        <f aca="false">IF(B1598="","",IFERROR(INDEX(Jeux!$D$2:$D$3001,MATCH(B1598,Jeux!$A$2:$A$3001,0))&amp;"",""))</f>
        <v/>
      </c>
      <c r="I1598" s="26" t="str">
        <f aca="false">IF(A1598="","",COUNTIF(Apparitions!$G$2:$G$5001,A1598))</f>
        <v/>
      </c>
      <c r="J1598" s="26" t="str">
        <f aca="false">IF(A1598="","",COUNTIFS(Apparitions!$G$2:$G$5001,A1598,Apparitions!$E$2:$E$5001,"○"))</f>
        <v/>
      </c>
      <c r="K1598" s="29" t="str">
        <f aca="false">IF(A1598="","",IFERROR(1/(1/_xlfn.MINIFS(Apparitions!$L$2:$L$5001,Apparitions!$G$2:$G$5001,A1598)),""))</f>
        <v/>
      </c>
      <c r="L1598" s="27" t="str">
        <f aca="false">IF(A1598="","",A1598&amp;" | "&amp;B1598&amp;IF(C1598="",""," ("&amp;C1598&amp;")")&amp;IF(D1598="",""," - "&amp;D1598))</f>
        <v/>
      </c>
    </row>
    <row r="1599" customFormat="false" ht="15" hidden="false" customHeight="false" outlineLevel="0" collapsed="false">
      <c r="A1599" s="32"/>
      <c r="B1599" s="19"/>
      <c r="C1599" s="19"/>
      <c r="D1599" s="19"/>
      <c r="E1599" s="21"/>
      <c r="F1599" s="19"/>
      <c r="G1599" s="27" t="str">
        <f aca="false">IF(B1599="","",IFERROR(INDEX(Jeux!$C$2:$C$3001,MATCH(B1599,Jeux!$A$2:$A$3001,0))&amp;"","⚠ jeu inconnu"))</f>
        <v/>
      </c>
      <c r="H1599" s="27" t="str">
        <f aca="false">IF(B1599="","",IFERROR(INDEX(Jeux!$D$2:$D$3001,MATCH(B1599,Jeux!$A$2:$A$3001,0))&amp;"",""))</f>
        <v/>
      </c>
      <c r="I1599" s="26" t="str">
        <f aca="false">IF(A1599="","",COUNTIF(Apparitions!$G$2:$G$5001,A1599))</f>
        <v/>
      </c>
      <c r="J1599" s="26" t="str">
        <f aca="false">IF(A1599="","",COUNTIFS(Apparitions!$G$2:$G$5001,A1599,Apparitions!$E$2:$E$5001,"○"))</f>
        <v/>
      </c>
      <c r="K1599" s="29" t="str">
        <f aca="false">IF(A1599="","",IFERROR(1/(1/_xlfn.MINIFS(Apparitions!$L$2:$L$5001,Apparitions!$G$2:$G$5001,A1599)),""))</f>
        <v/>
      </c>
      <c r="L1599" s="27" t="str">
        <f aca="false">IF(A1599="","",A1599&amp;" | "&amp;B1599&amp;IF(C1599="",""," ("&amp;C1599&amp;")")&amp;IF(D1599="",""," - "&amp;D1599))</f>
        <v/>
      </c>
    </row>
    <row r="1600" customFormat="false" ht="15" hidden="false" customHeight="false" outlineLevel="0" collapsed="false">
      <c r="A1600" s="32"/>
      <c r="B1600" s="19"/>
      <c r="C1600" s="19"/>
      <c r="D1600" s="19"/>
      <c r="E1600" s="21"/>
      <c r="F1600" s="19"/>
      <c r="G1600" s="27" t="str">
        <f aca="false">IF(B1600="","",IFERROR(INDEX(Jeux!$C$2:$C$3001,MATCH(B1600,Jeux!$A$2:$A$3001,0))&amp;"","⚠ jeu inconnu"))</f>
        <v/>
      </c>
      <c r="H1600" s="27" t="str">
        <f aca="false">IF(B1600="","",IFERROR(INDEX(Jeux!$D$2:$D$3001,MATCH(B1600,Jeux!$A$2:$A$3001,0))&amp;"",""))</f>
        <v/>
      </c>
      <c r="I1600" s="26" t="str">
        <f aca="false">IF(A1600="","",COUNTIF(Apparitions!$G$2:$G$5001,A1600))</f>
        <v/>
      </c>
      <c r="J1600" s="26" t="str">
        <f aca="false">IF(A1600="","",COUNTIFS(Apparitions!$G$2:$G$5001,A1600,Apparitions!$E$2:$E$5001,"○"))</f>
        <v/>
      </c>
      <c r="K1600" s="29" t="str">
        <f aca="false">IF(A1600="","",IFERROR(1/(1/_xlfn.MINIFS(Apparitions!$L$2:$L$5001,Apparitions!$G$2:$G$5001,A1600)),""))</f>
        <v/>
      </c>
      <c r="L1600" s="27" t="str">
        <f aca="false">IF(A1600="","",A1600&amp;" | "&amp;B1600&amp;IF(C1600="",""," ("&amp;C1600&amp;")")&amp;IF(D1600="",""," - "&amp;D1600))</f>
        <v/>
      </c>
    </row>
    <row r="1601" customFormat="false" ht="15" hidden="false" customHeight="false" outlineLevel="0" collapsed="false">
      <c r="A1601" s="32"/>
      <c r="B1601" s="19"/>
      <c r="C1601" s="19"/>
      <c r="D1601" s="19"/>
      <c r="E1601" s="21"/>
      <c r="F1601" s="19"/>
      <c r="G1601" s="27" t="str">
        <f aca="false">IF(B1601="","",IFERROR(INDEX(Jeux!$C$2:$C$3001,MATCH(B1601,Jeux!$A$2:$A$3001,0))&amp;"","⚠ jeu inconnu"))</f>
        <v/>
      </c>
      <c r="H1601" s="27" t="str">
        <f aca="false">IF(B1601="","",IFERROR(INDEX(Jeux!$D$2:$D$3001,MATCH(B1601,Jeux!$A$2:$A$3001,0))&amp;"",""))</f>
        <v/>
      </c>
      <c r="I1601" s="26" t="str">
        <f aca="false">IF(A1601="","",COUNTIF(Apparitions!$G$2:$G$5001,A1601))</f>
        <v/>
      </c>
      <c r="J1601" s="26" t="str">
        <f aca="false">IF(A1601="","",COUNTIFS(Apparitions!$G$2:$G$5001,A1601,Apparitions!$E$2:$E$5001,"○"))</f>
        <v/>
      </c>
      <c r="K1601" s="29" t="str">
        <f aca="false">IF(A1601="","",IFERROR(1/(1/_xlfn.MINIFS(Apparitions!$L$2:$L$5001,Apparitions!$G$2:$G$5001,A1601)),""))</f>
        <v/>
      </c>
      <c r="L1601" s="27" t="str">
        <f aca="false">IF(A1601="","",A1601&amp;" | "&amp;B1601&amp;IF(C1601="",""," ("&amp;C1601&amp;")")&amp;IF(D1601="",""," - "&amp;D1601))</f>
        <v/>
      </c>
    </row>
    <row r="1602" customFormat="false" ht="15" hidden="false" customHeight="false" outlineLevel="0" collapsed="false">
      <c r="A1602" s="32"/>
      <c r="B1602" s="19"/>
      <c r="C1602" s="19"/>
      <c r="D1602" s="19"/>
      <c r="E1602" s="21"/>
      <c r="F1602" s="19"/>
      <c r="G1602" s="27" t="str">
        <f aca="false">IF(B1602="","",IFERROR(INDEX(Jeux!$C$2:$C$3001,MATCH(B1602,Jeux!$A$2:$A$3001,0))&amp;"","⚠ jeu inconnu"))</f>
        <v/>
      </c>
      <c r="H1602" s="27" t="str">
        <f aca="false">IF(B1602="","",IFERROR(INDEX(Jeux!$D$2:$D$3001,MATCH(B1602,Jeux!$A$2:$A$3001,0))&amp;"",""))</f>
        <v/>
      </c>
      <c r="I1602" s="26" t="str">
        <f aca="false">IF(A1602="","",COUNTIF(Apparitions!$G$2:$G$5001,A1602))</f>
        <v/>
      </c>
      <c r="J1602" s="26" t="str">
        <f aca="false">IF(A1602="","",COUNTIFS(Apparitions!$G$2:$G$5001,A1602,Apparitions!$E$2:$E$5001,"○"))</f>
        <v/>
      </c>
      <c r="K1602" s="29" t="str">
        <f aca="false">IF(A1602="","",IFERROR(1/(1/_xlfn.MINIFS(Apparitions!$L$2:$L$5001,Apparitions!$G$2:$G$5001,A1602)),""))</f>
        <v/>
      </c>
      <c r="L1602" s="27" t="str">
        <f aca="false">IF(A1602="","",A1602&amp;" | "&amp;B1602&amp;IF(C1602="",""," ("&amp;C1602&amp;")")&amp;IF(D1602="",""," - "&amp;D1602))</f>
        <v/>
      </c>
    </row>
    <row r="1603" customFormat="false" ht="15" hidden="false" customHeight="false" outlineLevel="0" collapsed="false">
      <c r="A1603" s="32"/>
      <c r="B1603" s="19"/>
      <c r="C1603" s="19"/>
      <c r="D1603" s="19"/>
      <c r="E1603" s="21"/>
      <c r="F1603" s="19"/>
      <c r="G1603" s="27" t="str">
        <f aca="false">IF(B1603="","",IFERROR(INDEX(Jeux!$C$2:$C$3001,MATCH(B1603,Jeux!$A$2:$A$3001,0))&amp;"","⚠ jeu inconnu"))</f>
        <v/>
      </c>
      <c r="H1603" s="27" t="str">
        <f aca="false">IF(B1603="","",IFERROR(INDEX(Jeux!$D$2:$D$3001,MATCH(B1603,Jeux!$A$2:$A$3001,0))&amp;"",""))</f>
        <v/>
      </c>
      <c r="I1603" s="26" t="str">
        <f aca="false">IF(A1603="","",COUNTIF(Apparitions!$G$2:$G$5001,A1603))</f>
        <v/>
      </c>
      <c r="J1603" s="26" t="str">
        <f aca="false">IF(A1603="","",COUNTIFS(Apparitions!$G$2:$G$5001,A1603,Apparitions!$E$2:$E$5001,"○"))</f>
        <v/>
      </c>
      <c r="K1603" s="29" t="str">
        <f aca="false">IF(A1603="","",IFERROR(1/(1/_xlfn.MINIFS(Apparitions!$L$2:$L$5001,Apparitions!$G$2:$G$5001,A1603)),""))</f>
        <v/>
      </c>
      <c r="L1603" s="27" t="str">
        <f aca="false">IF(A1603="","",A1603&amp;" | "&amp;B1603&amp;IF(C1603="",""," ("&amp;C1603&amp;")")&amp;IF(D1603="",""," - "&amp;D1603))</f>
        <v/>
      </c>
    </row>
    <row r="1604" customFormat="false" ht="15" hidden="false" customHeight="false" outlineLevel="0" collapsed="false">
      <c r="A1604" s="32"/>
      <c r="B1604" s="19"/>
      <c r="C1604" s="19"/>
      <c r="D1604" s="19"/>
      <c r="E1604" s="21"/>
      <c r="F1604" s="19"/>
      <c r="G1604" s="27" t="str">
        <f aca="false">IF(B1604="","",IFERROR(INDEX(Jeux!$C$2:$C$3001,MATCH(B1604,Jeux!$A$2:$A$3001,0))&amp;"","⚠ jeu inconnu"))</f>
        <v/>
      </c>
      <c r="H1604" s="27" t="str">
        <f aca="false">IF(B1604="","",IFERROR(INDEX(Jeux!$D$2:$D$3001,MATCH(B1604,Jeux!$A$2:$A$3001,0))&amp;"",""))</f>
        <v/>
      </c>
      <c r="I1604" s="26" t="str">
        <f aca="false">IF(A1604="","",COUNTIF(Apparitions!$G$2:$G$5001,A1604))</f>
        <v/>
      </c>
      <c r="J1604" s="26" t="str">
        <f aca="false">IF(A1604="","",COUNTIFS(Apparitions!$G$2:$G$5001,A1604,Apparitions!$E$2:$E$5001,"○"))</f>
        <v/>
      </c>
      <c r="K1604" s="29" t="str">
        <f aca="false">IF(A1604="","",IFERROR(1/(1/_xlfn.MINIFS(Apparitions!$L$2:$L$5001,Apparitions!$G$2:$G$5001,A1604)),""))</f>
        <v/>
      </c>
      <c r="L1604" s="27" t="str">
        <f aca="false">IF(A1604="","",A1604&amp;" | "&amp;B1604&amp;IF(C1604="",""," ("&amp;C1604&amp;")")&amp;IF(D1604="",""," - "&amp;D1604))</f>
        <v/>
      </c>
    </row>
    <row r="1605" customFormat="false" ht="15" hidden="false" customHeight="false" outlineLevel="0" collapsed="false">
      <c r="A1605" s="32"/>
      <c r="B1605" s="19"/>
      <c r="C1605" s="19"/>
      <c r="D1605" s="19"/>
      <c r="E1605" s="21"/>
      <c r="F1605" s="19"/>
      <c r="G1605" s="27" t="str">
        <f aca="false">IF(B1605="","",IFERROR(INDEX(Jeux!$C$2:$C$3001,MATCH(B1605,Jeux!$A$2:$A$3001,0))&amp;"","⚠ jeu inconnu"))</f>
        <v/>
      </c>
      <c r="H1605" s="27" t="str">
        <f aca="false">IF(B1605="","",IFERROR(INDEX(Jeux!$D$2:$D$3001,MATCH(B1605,Jeux!$A$2:$A$3001,0))&amp;"",""))</f>
        <v/>
      </c>
      <c r="I1605" s="26" t="str">
        <f aca="false">IF(A1605="","",COUNTIF(Apparitions!$G$2:$G$5001,A1605))</f>
        <v/>
      </c>
      <c r="J1605" s="26" t="str">
        <f aca="false">IF(A1605="","",COUNTIFS(Apparitions!$G$2:$G$5001,A1605,Apparitions!$E$2:$E$5001,"○"))</f>
        <v/>
      </c>
      <c r="K1605" s="29" t="str">
        <f aca="false">IF(A1605="","",IFERROR(1/(1/_xlfn.MINIFS(Apparitions!$L$2:$L$5001,Apparitions!$G$2:$G$5001,A1605)),""))</f>
        <v/>
      </c>
      <c r="L1605" s="27" t="str">
        <f aca="false">IF(A1605="","",A1605&amp;" | "&amp;B1605&amp;IF(C1605="",""," ("&amp;C1605&amp;")")&amp;IF(D1605="",""," - "&amp;D1605))</f>
        <v/>
      </c>
    </row>
    <row r="1606" customFormat="false" ht="15" hidden="false" customHeight="false" outlineLevel="0" collapsed="false">
      <c r="A1606" s="32"/>
      <c r="B1606" s="19"/>
      <c r="C1606" s="19"/>
      <c r="D1606" s="19"/>
      <c r="E1606" s="21"/>
      <c r="F1606" s="19"/>
      <c r="G1606" s="27" t="str">
        <f aca="false">IF(B1606="","",IFERROR(INDEX(Jeux!$C$2:$C$3001,MATCH(B1606,Jeux!$A$2:$A$3001,0))&amp;"","⚠ jeu inconnu"))</f>
        <v/>
      </c>
      <c r="H1606" s="27" t="str">
        <f aca="false">IF(B1606="","",IFERROR(INDEX(Jeux!$D$2:$D$3001,MATCH(B1606,Jeux!$A$2:$A$3001,0))&amp;"",""))</f>
        <v/>
      </c>
      <c r="I1606" s="26" t="str">
        <f aca="false">IF(A1606="","",COUNTIF(Apparitions!$G$2:$G$5001,A1606))</f>
        <v/>
      </c>
      <c r="J1606" s="26" t="str">
        <f aca="false">IF(A1606="","",COUNTIFS(Apparitions!$G$2:$G$5001,A1606,Apparitions!$E$2:$E$5001,"○"))</f>
        <v/>
      </c>
      <c r="K1606" s="29" t="str">
        <f aca="false">IF(A1606="","",IFERROR(1/(1/_xlfn.MINIFS(Apparitions!$L$2:$L$5001,Apparitions!$G$2:$G$5001,A1606)),""))</f>
        <v/>
      </c>
      <c r="L1606" s="27" t="str">
        <f aca="false">IF(A1606="","",A1606&amp;" | "&amp;B1606&amp;IF(C1606="",""," ("&amp;C1606&amp;")")&amp;IF(D1606="",""," - "&amp;D1606))</f>
        <v/>
      </c>
    </row>
    <row r="1607" customFormat="false" ht="15" hidden="false" customHeight="false" outlineLevel="0" collapsed="false">
      <c r="A1607" s="32"/>
      <c r="B1607" s="19"/>
      <c r="C1607" s="19"/>
      <c r="D1607" s="19"/>
      <c r="E1607" s="21"/>
      <c r="F1607" s="19"/>
      <c r="G1607" s="27" t="str">
        <f aca="false">IF(B1607="","",IFERROR(INDEX(Jeux!$C$2:$C$3001,MATCH(B1607,Jeux!$A$2:$A$3001,0))&amp;"","⚠ jeu inconnu"))</f>
        <v/>
      </c>
      <c r="H1607" s="27" t="str">
        <f aca="false">IF(B1607="","",IFERROR(INDEX(Jeux!$D$2:$D$3001,MATCH(B1607,Jeux!$A$2:$A$3001,0))&amp;"",""))</f>
        <v/>
      </c>
      <c r="I1607" s="26" t="str">
        <f aca="false">IF(A1607="","",COUNTIF(Apparitions!$G$2:$G$5001,A1607))</f>
        <v/>
      </c>
      <c r="J1607" s="26" t="str">
        <f aca="false">IF(A1607="","",COUNTIFS(Apparitions!$G$2:$G$5001,A1607,Apparitions!$E$2:$E$5001,"○"))</f>
        <v/>
      </c>
      <c r="K1607" s="29" t="str">
        <f aca="false">IF(A1607="","",IFERROR(1/(1/_xlfn.MINIFS(Apparitions!$L$2:$L$5001,Apparitions!$G$2:$G$5001,A1607)),""))</f>
        <v/>
      </c>
      <c r="L1607" s="27" t="str">
        <f aca="false">IF(A1607="","",A1607&amp;" | "&amp;B1607&amp;IF(C1607="",""," ("&amp;C1607&amp;")")&amp;IF(D1607="",""," - "&amp;D1607))</f>
        <v/>
      </c>
    </row>
    <row r="1608" customFormat="false" ht="15" hidden="false" customHeight="false" outlineLevel="0" collapsed="false">
      <c r="A1608" s="32"/>
      <c r="B1608" s="19"/>
      <c r="C1608" s="19"/>
      <c r="D1608" s="19"/>
      <c r="E1608" s="21"/>
      <c r="F1608" s="19"/>
      <c r="G1608" s="27" t="str">
        <f aca="false">IF(B1608="","",IFERROR(INDEX(Jeux!$C$2:$C$3001,MATCH(B1608,Jeux!$A$2:$A$3001,0))&amp;"","⚠ jeu inconnu"))</f>
        <v/>
      </c>
      <c r="H1608" s="27" t="str">
        <f aca="false">IF(B1608="","",IFERROR(INDEX(Jeux!$D$2:$D$3001,MATCH(B1608,Jeux!$A$2:$A$3001,0))&amp;"",""))</f>
        <v/>
      </c>
      <c r="I1608" s="26" t="str">
        <f aca="false">IF(A1608="","",COUNTIF(Apparitions!$G$2:$G$5001,A1608))</f>
        <v/>
      </c>
      <c r="J1608" s="26" t="str">
        <f aca="false">IF(A1608="","",COUNTIFS(Apparitions!$G$2:$G$5001,A1608,Apparitions!$E$2:$E$5001,"○"))</f>
        <v/>
      </c>
      <c r="K1608" s="29" t="str">
        <f aca="false">IF(A1608="","",IFERROR(1/(1/_xlfn.MINIFS(Apparitions!$L$2:$L$5001,Apparitions!$G$2:$G$5001,A1608)),""))</f>
        <v/>
      </c>
      <c r="L1608" s="27" t="str">
        <f aca="false">IF(A1608="","",A1608&amp;" | "&amp;B1608&amp;IF(C1608="",""," ("&amp;C1608&amp;")")&amp;IF(D1608="",""," - "&amp;D1608))</f>
        <v/>
      </c>
    </row>
    <row r="1609" customFormat="false" ht="15" hidden="false" customHeight="false" outlineLevel="0" collapsed="false">
      <c r="A1609" s="32"/>
      <c r="B1609" s="19"/>
      <c r="C1609" s="19"/>
      <c r="D1609" s="19"/>
      <c r="E1609" s="21"/>
      <c r="F1609" s="19"/>
      <c r="G1609" s="27" t="str">
        <f aca="false">IF(B1609="","",IFERROR(INDEX(Jeux!$C$2:$C$3001,MATCH(B1609,Jeux!$A$2:$A$3001,0))&amp;"","⚠ jeu inconnu"))</f>
        <v/>
      </c>
      <c r="H1609" s="27" t="str">
        <f aca="false">IF(B1609="","",IFERROR(INDEX(Jeux!$D$2:$D$3001,MATCH(B1609,Jeux!$A$2:$A$3001,0))&amp;"",""))</f>
        <v/>
      </c>
      <c r="I1609" s="26" t="str">
        <f aca="false">IF(A1609="","",COUNTIF(Apparitions!$G$2:$G$5001,A1609))</f>
        <v/>
      </c>
      <c r="J1609" s="26" t="str">
        <f aca="false">IF(A1609="","",COUNTIFS(Apparitions!$G$2:$G$5001,A1609,Apparitions!$E$2:$E$5001,"○"))</f>
        <v/>
      </c>
      <c r="K1609" s="29" t="str">
        <f aca="false">IF(A1609="","",IFERROR(1/(1/_xlfn.MINIFS(Apparitions!$L$2:$L$5001,Apparitions!$G$2:$G$5001,A1609)),""))</f>
        <v/>
      </c>
      <c r="L1609" s="27" t="str">
        <f aca="false">IF(A1609="","",A1609&amp;" | "&amp;B1609&amp;IF(C1609="",""," ("&amp;C1609&amp;")")&amp;IF(D1609="",""," - "&amp;D1609))</f>
        <v/>
      </c>
    </row>
    <row r="1610" customFormat="false" ht="15" hidden="false" customHeight="false" outlineLevel="0" collapsed="false">
      <c r="A1610" s="32"/>
      <c r="B1610" s="19"/>
      <c r="C1610" s="19"/>
      <c r="D1610" s="19"/>
      <c r="E1610" s="21"/>
      <c r="F1610" s="19"/>
      <c r="G1610" s="27" t="str">
        <f aca="false">IF(B1610="","",IFERROR(INDEX(Jeux!$C$2:$C$3001,MATCH(B1610,Jeux!$A$2:$A$3001,0))&amp;"","⚠ jeu inconnu"))</f>
        <v/>
      </c>
      <c r="H1610" s="27" t="str">
        <f aca="false">IF(B1610="","",IFERROR(INDEX(Jeux!$D$2:$D$3001,MATCH(B1610,Jeux!$A$2:$A$3001,0))&amp;"",""))</f>
        <v/>
      </c>
      <c r="I1610" s="26" t="str">
        <f aca="false">IF(A1610="","",COUNTIF(Apparitions!$G$2:$G$5001,A1610))</f>
        <v/>
      </c>
      <c r="J1610" s="26" t="str">
        <f aca="false">IF(A1610="","",COUNTIFS(Apparitions!$G$2:$G$5001,A1610,Apparitions!$E$2:$E$5001,"○"))</f>
        <v/>
      </c>
      <c r="K1610" s="29" t="str">
        <f aca="false">IF(A1610="","",IFERROR(1/(1/_xlfn.MINIFS(Apparitions!$L$2:$L$5001,Apparitions!$G$2:$G$5001,A1610)),""))</f>
        <v/>
      </c>
      <c r="L1610" s="27" t="str">
        <f aca="false">IF(A1610="","",A1610&amp;" | "&amp;B1610&amp;IF(C1610="",""," ("&amp;C1610&amp;")")&amp;IF(D1610="",""," - "&amp;D1610))</f>
        <v/>
      </c>
    </row>
    <row r="1611" customFormat="false" ht="15" hidden="false" customHeight="false" outlineLevel="0" collapsed="false">
      <c r="A1611" s="32"/>
      <c r="B1611" s="19"/>
      <c r="C1611" s="19"/>
      <c r="D1611" s="19"/>
      <c r="E1611" s="21"/>
      <c r="F1611" s="19"/>
      <c r="G1611" s="27" t="str">
        <f aca="false">IF(B1611="","",IFERROR(INDEX(Jeux!$C$2:$C$3001,MATCH(B1611,Jeux!$A$2:$A$3001,0))&amp;"","⚠ jeu inconnu"))</f>
        <v/>
      </c>
      <c r="H1611" s="27" t="str">
        <f aca="false">IF(B1611="","",IFERROR(INDEX(Jeux!$D$2:$D$3001,MATCH(B1611,Jeux!$A$2:$A$3001,0))&amp;"",""))</f>
        <v/>
      </c>
      <c r="I1611" s="26" t="str">
        <f aca="false">IF(A1611="","",COUNTIF(Apparitions!$G$2:$G$5001,A1611))</f>
        <v/>
      </c>
      <c r="J1611" s="26" t="str">
        <f aca="false">IF(A1611="","",COUNTIFS(Apparitions!$G$2:$G$5001,A1611,Apparitions!$E$2:$E$5001,"○"))</f>
        <v/>
      </c>
      <c r="K1611" s="29" t="str">
        <f aca="false">IF(A1611="","",IFERROR(1/(1/_xlfn.MINIFS(Apparitions!$L$2:$L$5001,Apparitions!$G$2:$G$5001,A1611)),""))</f>
        <v/>
      </c>
      <c r="L1611" s="27" t="str">
        <f aca="false">IF(A1611="","",A1611&amp;" | "&amp;B1611&amp;IF(C1611="",""," ("&amp;C1611&amp;")")&amp;IF(D1611="",""," - "&amp;D1611))</f>
        <v/>
      </c>
    </row>
    <row r="1612" customFormat="false" ht="15" hidden="false" customHeight="false" outlineLevel="0" collapsed="false">
      <c r="A1612" s="32"/>
      <c r="B1612" s="19"/>
      <c r="C1612" s="19"/>
      <c r="D1612" s="19"/>
      <c r="E1612" s="21"/>
      <c r="F1612" s="19"/>
      <c r="G1612" s="27" t="str">
        <f aca="false">IF(B1612="","",IFERROR(INDEX(Jeux!$C$2:$C$3001,MATCH(B1612,Jeux!$A$2:$A$3001,0))&amp;"","⚠ jeu inconnu"))</f>
        <v/>
      </c>
      <c r="H1612" s="27" t="str">
        <f aca="false">IF(B1612="","",IFERROR(INDEX(Jeux!$D$2:$D$3001,MATCH(B1612,Jeux!$A$2:$A$3001,0))&amp;"",""))</f>
        <v/>
      </c>
      <c r="I1612" s="26" t="str">
        <f aca="false">IF(A1612="","",COUNTIF(Apparitions!$G$2:$G$5001,A1612))</f>
        <v/>
      </c>
      <c r="J1612" s="26" t="str">
        <f aca="false">IF(A1612="","",COUNTIFS(Apparitions!$G$2:$G$5001,A1612,Apparitions!$E$2:$E$5001,"○"))</f>
        <v/>
      </c>
      <c r="K1612" s="29" t="str">
        <f aca="false">IF(A1612="","",IFERROR(1/(1/_xlfn.MINIFS(Apparitions!$L$2:$L$5001,Apparitions!$G$2:$G$5001,A1612)),""))</f>
        <v/>
      </c>
      <c r="L1612" s="27" t="str">
        <f aca="false">IF(A1612="","",A1612&amp;" | "&amp;B1612&amp;IF(C1612="",""," ("&amp;C1612&amp;")")&amp;IF(D1612="",""," - "&amp;D1612))</f>
        <v/>
      </c>
    </row>
    <row r="1613" customFormat="false" ht="15" hidden="false" customHeight="false" outlineLevel="0" collapsed="false">
      <c r="A1613" s="32"/>
      <c r="B1613" s="19"/>
      <c r="C1613" s="19"/>
      <c r="D1613" s="19"/>
      <c r="E1613" s="21"/>
      <c r="F1613" s="19"/>
      <c r="G1613" s="27" t="str">
        <f aca="false">IF(B1613="","",IFERROR(INDEX(Jeux!$C$2:$C$3001,MATCH(B1613,Jeux!$A$2:$A$3001,0))&amp;"","⚠ jeu inconnu"))</f>
        <v/>
      </c>
      <c r="H1613" s="27" t="str">
        <f aca="false">IF(B1613="","",IFERROR(INDEX(Jeux!$D$2:$D$3001,MATCH(B1613,Jeux!$A$2:$A$3001,0))&amp;"",""))</f>
        <v/>
      </c>
      <c r="I1613" s="26" t="str">
        <f aca="false">IF(A1613="","",COUNTIF(Apparitions!$G$2:$G$5001,A1613))</f>
        <v/>
      </c>
      <c r="J1613" s="26" t="str">
        <f aca="false">IF(A1613="","",COUNTIFS(Apparitions!$G$2:$G$5001,A1613,Apparitions!$E$2:$E$5001,"○"))</f>
        <v/>
      </c>
      <c r="K1613" s="29" t="str">
        <f aca="false">IF(A1613="","",IFERROR(1/(1/_xlfn.MINIFS(Apparitions!$L$2:$L$5001,Apparitions!$G$2:$G$5001,A1613)),""))</f>
        <v/>
      </c>
      <c r="L1613" s="27" t="str">
        <f aca="false">IF(A1613="","",A1613&amp;" | "&amp;B1613&amp;IF(C1613="",""," ("&amp;C1613&amp;")")&amp;IF(D1613="",""," - "&amp;D1613))</f>
        <v/>
      </c>
    </row>
    <row r="1614" customFormat="false" ht="15" hidden="false" customHeight="false" outlineLevel="0" collapsed="false">
      <c r="A1614" s="32"/>
      <c r="B1614" s="19"/>
      <c r="C1614" s="19"/>
      <c r="D1614" s="19"/>
      <c r="E1614" s="21"/>
      <c r="F1614" s="19"/>
      <c r="G1614" s="27" t="str">
        <f aca="false">IF(B1614="","",IFERROR(INDEX(Jeux!$C$2:$C$3001,MATCH(B1614,Jeux!$A$2:$A$3001,0))&amp;"","⚠ jeu inconnu"))</f>
        <v/>
      </c>
      <c r="H1614" s="27" t="str">
        <f aca="false">IF(B1614="","",IFERROR(INDEX(Jeux!$D$2:$D$3001,MATCH(B1614,Jeux!$A$2:$A$3001,0))&amp;"",""))</f>
        <v/>
      </c>
      <c r="I1614" s="26" t="str">
        <f aca="false">IF(A1614="","",COUNTIF(Apparitions!$G$2:$G$5001,A1614))</f>
        <v/>
      </c>
      <c r="J1614" s="26" t="str">
        <f aca="false">IF(A1614="","",COUNTIFS(Apparitions!$G$2:$G$5001,A1614,Apparitions!$E$2:$E$5001,"○"))</f>
        <v/>
      </c>
      <c r="K1614" s="29" t="str">
        <f aca="false">IF(A1614="","",IFERROR(1/(1/_xlfn.MINIFS(Apparitions!$L$2:$L$5001,Apparitions!$G$2:$G$5001,A1614)),""))</f>
        <v/>
      </c>
      <c r="L1614" s="27" t="str">
        <f aca="false">IF(A1614="","",A1614&amp;" | "&amp;B1614&amp;IF(C1614="",""," ("&amp;C1614&amp;")")&amp;IF(D1614="",""," - "&amp;D1614))</f>
        <v/>
      </c>
    </row>
    <row r="1615" customFormat="false" ht="15" hidden="false" customHeight="false" outlineLevel="0" collapsed="false">
      <c r="A1615" s="32"/>
      <c r="B1615" s="19"/>
      <c r="C1615" s="19"/>
      <c r="D1615" s="19"/>
      <c r="E1615" s="21"/>
      <c r="F1615" s="19"/>
      <c r="G1615" s="27" t="str">
        <f aca="false">IF(B1615="","",IFERROR(INDEX(Jeux!$C$2:$C$3001,MATCH(B1615,Jeux!$A$2:$A$3001,0))&amp;"","⚠ jeu inconnu"))</f>
        <v/>
      </c>
      <c r="H1615" s="27" t="str">
        <f aca="false">IF(B1615="","",IFERROR(INDEX(Jeux!$D$2:$D$3001,MATCH(B1615,Jeux!$A$2:$A$3001,0))&amp;"",""))</f>
        <v/>
      </c>
      <c r="I1615" s="26" t="str">
        <f aca="false">IF(A1615="","",COUNTIF(Apparitions!$G$2:$G$5001,A1615))</f>
        <v/>
      </c>
      <c r="J1615" s="26" t="str">
        <f aca="false">IF(A1615="","",COUNTIFS(Apparitions!$G$2:$G$5001,A1615,Apparitions!$E$2:$E$5001,"○"))</f>
        <v/>
      </c>
      <c r="K1615" s="29" t="str">
        <f aca="false">IF(A1615="","",IFERROR(1/(1/_xlfn.MINIFS(Apparitions!$L$2:$L$5001,Apparitions!$G$2:$G$5001,A1615)),""))</f>
        <v/>
      </c>
      <c r="L1615" s="27" t="str">
        <f aca="false">IF(A1615="","",A1615&amp;" | "&amp;B1615&amp;IF(C1615="",""," ("&amp;C1615&amp;")")&amp;IF(D1615="",""," - "&amp;D1615))</f>
        <v/>
      </c>
    </row>
    <row r="1616" customFormat="false" ht="15" hidden="false" customHeight="false" outlineLevel="0" collapsed="false">
      <c r="A1616" s="32"/>
      <c r="B1616" s="19"/>
      <c r="C1616" s="19"/>
      <c r="D1616" s="19"/>
      <c r="E1616" s="21"/>
      <c r="F1616" s="19"/>
      <c r="G1616" s="27" t="str">
        <f aca="false">IF(B1616="","",IFERROR(INDEX(Jeux!$C$2:$C$3001,MATCH(B1616,Jeux!$A$2:$A$3001,0))&amp;"","⚠ jeu inconnu"))</f>
        <v/>
      </c>
      <c r="H1616" s="27" t="str">
        <f aca="false">IF(B1616="","",IFERROR(INDEX(Jeux!$D$2:$D$3001,MATCH(B1616,Jeux!$A$2:$A$3001,0))&amp;"",""))</f>
        <v/>
      </c>
      <c r="I1616" s="26" t="str">
        <f aca="false">IF(A1616="","",COUNTIF(Apparitions!$G$2:$G$5001,A1616))</f>
        <v/>
      </c>
      <c r="J1616" s="26" t="str">
        <f aca="false">IF(A1616="","",COUNTIFS(Apparitions!$G$2:$G$5001,A1616,Apparitions!$E$2:$E$5001,"○"))</f>
        <v/>
      </c>
      <c r="K1616" s="29" t="str">
        <f aca="false">IF(A1616="","",IFERROR(1/(1/_xlfn.MINIFS(Apparitions!$L$2:$L$5001,Apparitions!$G$2:$G$5001,A1616)),""))</f>
        <v/>
      </c>
      <c r="L1616" s="27" t="str">
        <f aca="false">IF(A1616="","",A1616&amp;" | "&amp;B1616&amp;IF(C1616="",""," ("&amp;C1616&amp;")")&amp;IF(D1616="",""," - "&amp;D1616))</f>
        <v/>
      </c>
    </row>
    <row r="1617" customFormat="false" ht="15" hidden="false" customHeight="false" outlineLevel="0" collapsed="false">
      <c r="A1617" s="32"/>
      <c r="B1617" s="19"/>
      <c r="C1617" s="19"/>
      <c r="D1617" s="19"/>
      <c r="E1617" s="21"/>
      <c r="F1617" s="19"/>
      <c r="G1617" s="27" t="str">
        <f aca="false">IF(B1617="","",IFERROR(INDEX(Jeux!$C$2:$C$3001,MATCH(B1617,Jeux!$A$2:$A$3001,0))&amp;"","⚠ jeu inconnu"))</f>
        <v/>
      </c>
      <c r="H1617" s="27" t="str">
        <f aca="false">IF(B1617="","",IFERROR(INDEX(Jeux!$D$2:$D$3001,MATCH(B1617,Jeux!$A$2:$A$3001,0))&amp;"",""))</f>
        <v/>
      </c>
      <c r="I1617" s="26" t="str">
        <f aca="false">IF(A1617="","",COUNTIF(Apparitions!$G$2:$G$5001,A1617))</f>
        <v/>
      </c>
      <c r="J1617" s="26" t="str">
        <f aca="false">IF(A1617="","",COUNTIFS(Apparitions!$G$2:$G$5001,A1617,Apparitions!$E$2:$E$5001,"○"))</f>
        <v/>
      </c>
      <c r="K1617" s="29" t="str">
        <f aca="false">IF(A1617="","",IFERROR(1/(1/_xlfn.MINIFS(Apparitions!$L$2:$L$5001,Apparitions!$G$2:$G$5001,A1617)),""))</f>
        <v/>
      </c>
      <c r="L1617" s="27" t="str">
        <f aca="false">IF(A1617="","",A1617&amp;" | "&amp;B1617&amp;IF(C1617="",""," ("&amp;C1617&amp;")")&amp;IF(D1617="",""," - "&amp;D1617))</f>
        <v/>
      </c>
    </row>
    <row r="1618" customFormat="false" ht="15" hidden="false" customHeight="false" outlineLevel="0" collapsed="false">
      <c r="A1618" s="32"/>
      <c r="B1618" s="19"/>
      <c r="C1618" s="19"/>
      <c r="D1618" s="19"/>
      <c r="E1618" s="21"/>
      <c r="F1618" s="19"/>
      <c r="G1618" s="27" t="str">
        <f aca="false">IF(B1618="","",IFERROR(INDEX(Jeux!$C$2:$C$3001,MATCH(B1618,Jeux!$A$2:$A$3001,0))&amp;"","⚠ jeu inconnu"))</f>
        <v/>
      </c>
      <c r="H1618" s="27" t="str">
        <f aca="false">IF(B1618="","",IFERROR(INDEX(Jeux!$D$2:$D$3001,MATCH(B1618,Jeux!$A$2:$A$3001,0))&amp;"",""))</f>
        <v/>
      </c>
      <c r="I1618" s="26" t="str">
        <f aca="false">IF(A1618="","",COUNTIF(Apparitions!$G$2:$G$5001,A1618))</f>
        <v/>
      </c>
      <c r="J1618" s="26" t="str">
        <f aca="false">IF(A1618="","",COUNTIFS(Apparitions!$G$2:$G$5001,A1618,Apparitions!$E$2:$E$5001,"○"))</f>
        <v/>
      </c>
      <c r="K1618" s="29" t="str">
        <f aca="false">IF(A1618="","",IFERROR(1/(1/_xlfn.MINIFS(Apparitions!$L$2:$L$5001,Apparitions!$G$2:$G$5001,A1618)),""))</f>
        <v/>
      </c>
      <c r="L1618" s="27" t="str">
        <f aca="false">IF(A1618="","",A1618&amp;" | "&amp;B1618&amp;IF(C1618="",""," ("&amp;C1618&amp;")")&amp;IF(D1618="",""," - "&amp;D1618))</f>
        <v/>
      </c>
    </row>
    <row r="1619" customFormat="false" ht="15" hidden="false" customHeight="false" outlineLevel="0" collapsed="false">
      <c r="A1619" s="32"/>
      <c r="B1619" s="19"/>
      <c r="C1619" s="19"/>
      <c r="D1619" s="19"/>
      <c r="E1619" s="21"/>
      <c r="F1619" s="19"/>
      <c r="G1619" s="27" t="str">
        <f aca="false">IF(B1619="","",IFERROR(INDEX(Jeux!$C$2:$C$3001,MATCH(B1619,Jeux!$A$2:$A$3001,0))&amp;"","⚠ jeu inconnu"))</f>
        <v/>
      </c>
      <c r="H1619" s="27" t="str">
        <f aca="false">IF(B1619="","",IFERROR(INDEX(Jeux!$D$2:$D$3001,MATCH(B1619,Jeux!$A$2:$A$3001,0))&amp;"",""))</f>
        <v/>
      </c>
      <c r="I1619" s="26" t="str">
        <f aca="false">IF(A1619="","",COUNTIF(Apparitions!$G$2:$G$5001,A1619))</f>
        <v/>
      </c>
      <c r="J1619" s="26" t="str">
        <f aca="false">IF(A1619="","",COUNTIFS(Apparitions!$G$2:$G$5001,A1619,Apparitions!$E$2:$E$5001,"○"))</f>
        <v/>
      </c>
      <c r="K1619" s="29" t="str">
        <f aca="false">IF(A1619="","",IFERROR(1/(1/_xlfn.MINIFS(Apparitions!$L$2:$L$5001,Apparitions!$G$2:$G$5001,A1619)),""))</f>
        <v/>
      </c>
      <c r="L1619" s="27" t="str">
        <f aca="false">IF(A1619="","",A1619&amp;" | "&amp;B1619&amp;IF(C1619="",""," ("&amp;C1619&amp;")")&amp;IF(D1619="",""," - "&amp;D1619))</f>
        <v/>
      </c>
    </row>
    <row r="1620" customFormat="false" ht="15" hidden="false" customHeight="false" outlineLevel="0" collapsed="false">
      <c r="A1620" s="32"/>
      <c r="B1620" s="19"/>
      <c r="C1620" s="19"/>
      <c r="D1620" s="19"/>
      <c r="E1620" s="21"/>
      <c r="F1620" s="19"/>
      <c r="G1620" s="27" t="str">
        <f aca="false">IF(B1620="","",IFERROR(INDEX(Jeux!$C$2:$C$3001,MATCH(B1620,Jeux!$A$2:$A$3001,0))&amp;"","⚠ jeu inconnu"))</f>
        <v/>
      </c>
      <c r="H1620" s="27" t="str">
        <f aca="false">IF(B1620="","",IFERROR(INDEX(Jeux!$D$2:$D$3001,MATCH(B1620,Jeux!$A$2:$A$3001,0))&amp;"",""))</f>
        <v/>
      </c>
      <c r="I1620" s="26" t="str">
        <f aca="false">IF(A1620="","",COUNTIF(Apparitions!$G$2:$G$5001,A1620))</f>
        <v/>
      </c>
      <c r="J1620" s="26" t="str">
        <f aca="false">IF(A1620="","",COUNTIFS(Apparitions!$G$2:$G$5001,A1620,Apparitions!$E$2:$E$5001,"○"))</f>
        <v/>
      </c>
      <c r="K1620" s="29" t="str">
        <f aca="false">IF(A1620="","",IFERROR(1/(1/_xlfn.MINIFS(Apparitions!$L$2:$L$5001,Apparitions!$G$2:$G$5001,A1620)),""))</f>
        <v/>
      </c>
      <c r="L1620" s="27" t="str">
        <f aca="false">IF(A1620="","",A1620&amp;" | "&amp;B1620&amp;IF(C1620="",""," ("&amp;C1620&amp;")")&amp;IF(D1620="",""," - "&amp;D1620))</f>
        <v/>
      </c>
    </row>
    <row r="1621" customFormat="false" ht="15" hidden="false" customHeight="false" outlineLevel="0" collapsed="false">
      <c r="A1621" s="32"/>
      <c r="B1621" s="19"/>
      <c r="C1621" s="19"/>
      <c r="D1621" s="19"/>
      <c r="E1621" s="21"/>
      <c r="F1621" s="19"/>
      <c r="G1621" s="27" t="str">
        <f aca="false">IF(B1621="","",IFERROR(INDEX(Jeux!$C$2:$C$3001,MATCH(B1621,Jeux!$A$2:$A$3001,0))&amp;"","⚠ jeu inconnu"))</f>
        <v/>
      </c>
      <c r="H1621" s="27" t="str">
        <f aca="false">IF(B1621="","",IFERROR(INDEX(Jeux!$D$2:$D$3001,MATCH(B1621,Jeux!$A$2:$A$3001,0))&amp;"",""))</f>
        <v/>
      </c>
      <c r="I1621" s="26" t="str">
        <f aca="false">IF(A1621="","",COUNTIF(Apparitions!$G$2:$G$5001,A1621))</f>
        <v/>
      </c>
      <c r="J1621" s="26" t="str">
        <f aca="false">IF(A1621="","",COUNTIFS(Apparitions!$G$2:$G$5001,A1621,Apparitions!$E$2:$E$5001,"○"))</f>
        <v/>
      </c>
      <c r="K1621" s="29" t="str">
        <f aca="false">IF(A1621="","",IFERROR(1/(1/_xlfn.MINIFS(Apparitions!$L$2:$L$5001,Apparitions!$G$2:$G$5001,A1621)),""))</f>
        <v/>
      </c>
      <c r="L1621" s="27" t="str">
        <f aca="false">IF(A1621="","",A1621&amp;" | "&amp;B1621&amp;IF(C1621="",""," ("&amp;C1621&amp;")")&amp;IF(D1621="",""," - "&amp;D1621))</f>
        <v/>
      </c>
    </row>
    <row r="1622" customFormat="false" ht="15" hidden="false" customHeight="false" outlineLevel="0" collapsed="false">
      <c r="A1622" s="32"/>
      <c r="B1622" s="19"/>
      <c r="C1622" s="19"/>
      <c r="D1622" s="19"/>
      <c r="E1622" s="21"/>
      <c r="F1622" s="19"/>
      <c r="G1622" s="27" t="str">
        <f aca="false">IF(B1622="","",IFERROR(INDEX(Jeux!$C$2:$C$3001,MATCH(B1622,Jeux!$A$2:$A$3001,0))&amp;"","⚠ jeu inconnu"))</f>
        <v/>
      </c>
      <c r="H1622" s="27" t="str">
        <f aca="false">IF(B1622="","",IFERROR(INDEX(Jeux!$D$2:$D$3001,MATCH(B1622,Jeux!$A$2:$A$3001,0))&amp;"",""))</f>
        <v/>
      </c>
      <c r="I1622" s="26" t="str">
        <f aca="false">IF(A1622="","",COUNTIF(Apparitions!$G$2:$G$5001,A1622))</f>
        <v/>
      </c>
      <c r="J1622" s="26" t="str">
        <f aca="false">IF(A1622="","",COUNTIFS(Apparitions!$G$2:$G$5001,A1622,Apparitions!$E$2:$E$5001,"○"))</f>
        <v/>
      </c>
      <c r="K1622" s="29" t="str">
        <f aca="false">IF(A1622="","",IFERROR(1/(1/_xlfn.MINIFS(Apparitions!$L$2:$L$5001,Apparitions!$G$2:$G$5001,A1622)),""))</f>
        <v/>
      </c>
      <c r="L1622" s="27" t="str">
        <f aca="false">IF(A1622="","",A1622&amp;" | "&amp;B1622&amp;IF(C1622="",""," ("&amp;C1622&amp;")")&amp;IF(D1622="",""," - "&amp;D1622))</f>
        <v/>
      </c>
    </row>
    <row r="1623" customFormat="false" ht="15" hidden="false" customHeight="false" outlineLevel="0" collapsed="false">
      <c r="A1623" s="32"/>
      <c r="B1623" s="19"/>
      <c r="C1623" s="19"/>
      <c r="D1623" s="19"/>
      <c r="E1623" s="21"/>
      <c r="F1623" s="19"/>
      <c r="G1623" s="27" t="str">
        <f aca="false">IF(B1623="","",IFERROR(INDEX(Jeux!$C$2:$C$3001,MATCH(B1623,Jeux!$A$2:$A$3001,0))&amp;"","⚠ jeu inconnu"))</f>
        <v/>
      </c>
      <c r="H1623" s="27" t="str">
        <f aca="false">IF(B1623="","",IFERROR(INDEX(Jeux!$D$2:$D$3001,MATCH(B1623,Jeux!$A$2:$A$3001,0))&amp;"",""))</f>
        <v/>
      </c>
      <c r="I1623" s="26" t="str">
        <f aca="false">IF(A1623="","",COUNTIF(Apparitions!$G$2:$G$5001,A1623))</f>
        <v/>
      </c>
      <c r="J1623" s="26" t="str">
        <f aca="false">IF(A1623="","",COUNTIFS(Apparitions!$G$2:$G$5001,A1623,Apparitions!$E$2:$E$5001,"○"))</f>
        <v/>
      </c>
      <c r="K1623" s="29" t="str">
        <f aca="false">IF(A1623="","",IFERROR(1/(1/_xlfn.MINIFS(Apparitions!$L$2:$L$5001,Apparitions!$G$2:$G$5001,A1623)),""))</f>
        <v/>
      </c>
      <c r="L1623" s="27" t="str">
        <f aca="false">IF(A1623="","",A1623&amp;" | "&amp;B1623&amp;IF(C1623="",""," ("&amp;C1623&amp;")")&amp;IF(D1623="",""," - "&amp;D1623))</f>
        <v/>
      </c>
    </row>
    <row r="1624" customFormat="false" ht="15" hidden="false" customHeight="false" outlineLevel="0" collapsed="false">
      <c r="A1624" s="32"/>
      <c r="B1624" s="19"/>
      <c r="C1624" s="19"/>
      <c r="D1624" s="19"/>
      <c r="E1624" s="21"/>
      <c r="F1624" s="19"/>
      <c r="G1624" s="27" t="str">
        <f aca="false">IF(B1624="","",IFERROR(INDEX(Jeux!$C$2:$C$3001,MATCH(B1624,Jeux!$A$2:$A$3001,0))&amp;"","⚠ jeu inconnu"))</f>
        <v/>
      </c>
      <c r="H1624" s="27" t="str">
        <f aca="false">IF(B1624="","",IFERROR(INDEX(Jeux!$D$2:$D$3001,MATCH(B1624,Jeux!$A$2:$A$3001,0))&amp;"",""))</f>
        <v/>
      </c>
      <c r="I1624" s="26" t="str">
        <f aca="false">IF(A1624="","",COUNTIF(Apparitions!$G$2:$G$5001,A1624))</f>
        <v/>
      </c>
      <c r="J1624" s="26" t="str">
        <f aca="false">IF(A1624="","",COUNTIFS(Apparitions!$G$2:$G$5001,A1624,Apparitions!$E$2:$E$5001,"○"))</f>
        <v/>
      </c>
      <c r="K1624" s="29" t="str">
        <f aca="false">IF(A1624="","",IFERROR(1/(1/_xlfn.MINIFS(Apparitions!$L$2:$L$5001,Apparitions!$G$2:$G$5001,A1624)),""))</f>
        <v/>
      </c>
      <c r="L1624" s="27" t="str">
        <f aca="false">IF(A1624="","",A1624&amp;" | "&amp;B1624&amp;IF(C1624="",""," ("&amp;C1624&amp;")")&amp;IF(D1624="",""," - "&amp;D1624))</f>
        <v/>
      </c>
    </row>
    <row r="1625" customFormat="false" ht="15" hidden="false" customHeight="false" outlineLevel="0" collapsed="false">
      <c r="A1625" s="32"/>
      <c r="B1625" s="19"/>
      <c r="C1625" s="19"/>
      <c r="D1625" s="19"/>
      <c r="E1625" s="21"/>
      <c r="F1625" s="19"/>
      <c r="G1625" s="27" t="str">
        <f aca="false">IF(B1625="","",IFERROR(INDEX(Jeux!$C$2:$C$3001,MATCH(B1625,Jeux!$A$2:$A$3001,0))&amp;"","⚠ jeu inconnu"))</f>
        <v/>
      </c>
      <c r="H1625" s="27" t="str">
        <f aca="false">IF(B1625="","",IFERROR(INDEX(Jeux!$D$2:$D$3001,MATCH(B1625,Jeux!$A$2:$A$3001,0))&amp;"",""))</f>
        <v/>
      </c>
      <c r="I1625" s="26" t="str">
        <f aca="false">IF(A1625="","",COUNTIF(Apparitions!$G$2:$G$5001,A1625))</f>
        <v/>
      </c>
      <c r="J1625" s="26" t="str">
        <f aca="false">IF(A1625="","",COUNTIFS(Apparitions!$G$2:$G$5001,A1625,Apparitions!$E$2:$E$5001,"○"))</f>
        <v/>
      </c>
      <c r="K1625" s="29" t="str">
        <f aca="false">IF(A1625="","",IFERROR(1/(1/_xlfn.MINIFS(Apparitions!$L$2:$L$5001,Apparitions!$G$2:$G$5001,A1625)),""))</f>
        <v/>
      </c>
      <c r="L1625" s="27" t="str">
        <f aca="false">IF(A1625="","",A1625&amp;" | "&amp;B1625&amp;IF(C1625="",""," ("&amp;C1625&amp;")")&amp;IF(D1625="",""," - "&amp;D1625))</f>
        <v/>
      </c>
    </row>
    <row r="1626" customFormat="false" ht="15" hidden="false" customHeight="false" outlineLevel="0" collapsed="false">
      <c r="A1626" s="32"/>
      <c r="B1626" s="19"/>
      <c r="C1626" s="19"/>
      <c r="D1626" s="19"/>
      <c r="E1626" s="21"/>
      <c r="F1626" s="19"/>
      <c r="G1626" s="27" t="str">
        <f aca="false">IF(B1626="","",IFERROR(INDEX(Jeux!$C$2:$C$3001,MATCH(B1626,Jeux!$A$2:$A$3001,0))&amp;"","⚠ jeu inconnu"))</f>
        <v/>
      </c>
      <c r="H1626" s="27" t="str">
        <f aca="false">IF(B1626="","",IFERROR(INDEX(Jeux!$D$2:$D$3001,MATCH(B1626,Jeux!$A$2:$A$3001,0))&amp;"",""))</f>
        <v/>
      </c>
      <c r="I1626" s="26" t="str">
        <f aca="false">IF(A1626="","",COUNTIF(Apparitions!$G$2:$G$5001,A1626))</f>
        <v/>
      </c>
      <c r="J1626" s="26" t="str">
        <f aca="false">IF(A1626="","",COUNTIFS(Apparitions!$G$2:$G$5001,A1626,Apparitions!$E$2:$E$5001,"○"))</f>
        <v/>
      </c>
      <c r="K1626" s="29" t="str">
        <f aca="false">IF(A1626="","",IFERROR(1/(1/_xlfn.MINIFS(Apparitions!$L$2:$L$5001,Apparitions!$G$2:$G$5001,A1626)),""))</f>
        <v/>
      </c>
      <c r="L1626" s="27" t="str">
        <f aca="false">IF(A1626="","",A1626&amp;" | "&amp;B1626&amp;IF(C1626="",""," ("&amp;C1626&amp;")")&amp;IF(D1626="",""," - "&amp;D1626))</f>
        <v/>
      </c>
    </row>
    <row r="1627" customFormat="false" ht="15" hidden="false" customHeight="false" outlineLevel="0" collapsed="false">
      <c r="A1627" s="32"/>
      <c r="B1627" s="19"/>
      <c r="C1627" s="19"/>
      <c r="D1627" s="19"/>
      <c r="E1627" s="21"/>
      <c r="F1627" s="19"/>
      <c r="G1627" s="27" t="str">
        <f aca="false">IF(B1627="","",IFERROR(INDEX(Jeux!$C$2:$C$3001,MATCH(B1627,Jeux!$A$2:$A$3001,0))&amp;"","⚠ jeu inconnu"))</f>
        <v/>
      </c>
      <c r="H1627" s="27" t="str">
        <f aca="false">IF(B1627="","",IFERROR(INDEX(Jeux!$D$2:$D$3001,MATCH(B1627,Jeux!$A$2:$A$3001,0))&amp;"",""))</f>
        <v/>
      </c>
      <c r="I1627" s="26" t="str">
        <f aca="false">IF(A1627="","",COUNTIF(Apparitions!$G$2:$G$5001,A1627))</f>
        <v/>
      </c>
      <c r="J1627" s="26" t="str">
        <f aca="false">IF(A1627="","",COUNTIFS(Apparitions!$G$2:$G$5001,A1627,Apparitions!$E$2:$E$5001,"○"))</f>
        <v/>
      </c>
      <c r="K1627" s="29" t="str">
        <f aca="false">IF(A1627="","",IFERROR(1/(1/_xlfn.MINIFS(Apparitions!$L$2:$L$5001,Apparitions!$G$2:$G$5001,A1627)),""))</f>
        <v/>
      </c>
      <c r="L1627" s="27" t="str">
        <f aca="false">IF(A1627="","",A1627&amp;" | "&amp;B1627&amp;IF(C1627="",""," ("&amp;C1627&amp;")")&amp;IF(D1627="",""," - "&amp;D1627))</f>
        <v/>
      </c>
    </row>
    <row r="1628" customFormat="false" ht="15" hidden="false" customHeight="false" outlineLevel="0" collapsed="false">
      <c r="A1628" s="32"/>
      <c r="B1628" s="19"/>
      <c r="C1628" s="19"/>
      <c r="D1628" s="19"/>
      <c r="E1628" s="21"/>
      <c r="F1628" s="19"/>
      <c r="G1628" s="27" t="str">
        <f aca="false">IF(B1628="","",IFERROR(INDEX(Jeux!$C$2:$C$3001,MATCH(B1628,Jeux!$A$2:$A$3001,0))&amp;"","⚠ jeu inconnu"))</f>
        <v/>
      </c>
      <c r="H1628" s="27" t="str">
        <f aca="false">IF(B1628="","",IFERROR(INDEX(Jeux!$D$2:$D$3001,MATCH(B1628,Jeux!$A$2:$A$3001,0))&amp;"",""))</f>
        <v/>
      </c>
      <c r="I1628" s="26" t="str">
        <f aca="false">IF(A1628="","",COUNTIF(Apparitions!$G$2:$G$5001,A1628))</f>
        <v/>
      </c>
      <c r="J1628" s="26" t="str">
        <f aca="false">IF(A1628="","",COUNTIFS(Apparitions!$G$2:$G$5001,A1628,Apparitions!$E$2:$E$5001,"○"))</f>
        <v/>
      </c>
      <c r="K1628" s="29" t="str">
        <f aca="false">IF(A1628="","",IFERROR(1/(1/_xlfn.MINIFS(Apparitions!$L$2:$L$5001,Apparitions!$G$2:$G$5001,A1628)),""))</f>
        <v/>
      </c>
      <c r="L1628" s="27" t="str">
        <f aca="false">IF(A1628="","",A1628&amp;" | "&amp;B1628&amp;IF(C1628="",""," ("&amp;C1628&amp;")")&amp;IF(D1628="",""," - "&amp;D1628))</f>
        <v/>
      </c>
    </row>
    <row r="1629" customFormat="false" ht="15" hidden="false" customHeight="false" outlineLevel="0" collapsed="false">
      <c r="A1629" s="32"/>
      <c r="B1629" s="19"/>
      <c r="C1629" s="19"/>
      <c r="D1629" s="19"/>
      <c r="E1629" s="21"/>
      <c r="F1629" s="19"/>
      <c r="G1629" s="27" t="str">
        <f aca="false">IF(B1629="","",IFERROR(INDEX(Jeux!$C$2:$C$3001,MATCH(B1629,Jeux!$A$2:$A$3001,0))&amp;"","⚠ jeu inconnu"))</f>
        <v/>
      </c>
      <c r="H1629" s="27" t="str">
        <f aca="false">IF(B1629="","",IFERROR(INDEX(Jeux!$D$2:$D$3001,MATCH(B1629,Jeux!$A$2:$A$3001,0))&amp;"",""))</f>
        <v/>
      </c>
      <c r="I1629" s="26" t="str">
        <f aca="false">IF(A1629="","",COUNTIF(Apparitions!$G$2:$G$5001,A1629))</f>
        <v/>
      </c>
      <c r="J1629" s="26" t="str">
        <f aca="false">IF(A1629="","",COUNTIFS(Apparitions!$G$2:$G$5001,A1629,Apparitions!$E$2:$E$5001,"○"))</f>
        <v/>
      </c>
      <c r="K1629" s="29" t="str">
        <f aca="false">IF(A1629="","",IFERROR(1/(1/_xlfn.MINIFS(Apparitions!$L$2:$L$5001,Apparitions!$G$2:$G$5001,A1629)),""))</f>
        <v/>
      </c>
      <c r="L1629" s="27" t="str">
        <f aca="false">IF(A1629="","",A1629&amp;" | "&amp;B1629&amp;IF(C1629="",""," ("&amp;C1629&amp;")")&amp;IF(D1629="",""," - "&amp;D1629))</f>
        <v/>
      </c>
    </row>
    <row r="1630" customFormat="false" ht="15" hidden="false" customHeight="false" outlineLevel="0" collapsed="false">
      <c r="A1630" s="32"/>
      <c r="B1630" s="19"/>
      <c r="C1630" s="19"/>
      <c r="D1630" s="19"/>
      <c r="E1630" s="21"/>
      <c r="F1630" s="19"/>
      <c r="G1630" s="27" t="str">
        <f aca="false">IF(B1630="","",IFERROR(INDEX(Jeux!$C$2:$C$3001,MATCH(B1630,Jeux!$A$2:$A$3001,0))&amp;"","⚠ jeu inconnu"))</f>
        <v/>
      </c>
      <c r="H1630" s="27" t="str">
        <f aca="false">IF(B1630="","",IFERROR(INDEX(Jeux!$D$2:$D$3001,MATCH(B1630,Jeux!$A$2:$A$3001,0))&amp;"",""))</f>
        <v/>
      </c>
      <c r="I1630" s="26" t="str">
        <f aca="false">IF(A1630="","",COUNTIF(Apparitions!$G$2:$G$5001,A1630))</f>
        <v/>
      </c>
      <c r="J1630" s="26" t="str">
        <f aca="false">IF(A1630="","",COUNTIFS(Apparitions!$G$2:$G$5001,A1630,Apparitions!$E$2:$E$5001,"○"))</f>
        <v/>
      </c>
      <c r="K1630" s="29" t="str">
        <f aca="false">IF(A1630="","",IFERROR(1/(1/_xlfn.MINIFS(Apparitions!$L$2:$L$5001,Apparitions!$G$2:$G$5001,A1630)),""))</f>
        <v/>
      </c>
      <c r="L1630" s="27" t="str">
        <f aca="false">IF(A1630="","",A1630&amp;" | "&amp;B1630&amp;IF(C1630="",""," ("&amp;C1630&amp;")")&amp;IF(D1630="",""," - "&amp;D1630))</f>
        <v/>
      </c>
    </row>
    <row r="1631" customFormat="false" ht="15" hidden="false" customHeight="false" outlineLevel="0" collapsed="false">
      <c r="A1631" s="32"/>
      <c r="B1631" s="19"/>
      <c r="C1631" s="19"/>
      <c r="D1631" s="19"/>
      <c r="E1631" s="21"/>
      <c r="F1631" s="19"/>
      <c r="G1631" s="27" t="str">
        <f aca="false">IF(B1631="","",IFERROR(INDEX(Jeux!$C$2:$C$3001,MATCH(B1631,Jeux!$A$2:$A$3001,0))&amp;"","⚠ jeu inconnu"))</f>
        <v/>
      </c>
      <c r="H1631" s="27" t="str">
        <f aca="false">IF(B1631="","",IFERROR(INDEX(Jeux!$D$2:$D$3001,MATCH(B1631,Jeux!$A$2:$A$3001,0))&amp;"",""))</f>
        <v/>
      </c>
      <c r="I1631" s="26" t="str">
        <f aca="false">IF(A1631="","",COUNTIF(Apparitions!$G$2:$G$5001,A1631))</f>
        <v/>
      </c>
      <c r="J1631" s="26" t="str">
        <f aca="false">IF(A1631="","",COUNTIFS(Apparitions!$G$2:$G$5001,A1631,Apparitions!$E$2:$E$5001,"○"))</f>
        <v/>
      </c>
      <c r="K1631" s="29" t="str">
        <f aca="false">IF(A1631="","",IFERROR(1/(1/_xlfn.MINIFS(Apparitions!$L$2:$L$5001,Apparitions!$G$2:$G$5001,A1631)),""))</f>
        <v/>
      </c>
      <c r="L1631" s="27" t="str">
        <f aca="false">IF(A1631="","",A1631&amp;" | "&amp;B1631&amp;IF(C1631="",""," ("&amp;C1631&amp;")")&amp;IF(D1631="",""," - "&amp;D1631))</f>
        <v/>
      </c>
    </row>
    <row r="1632" customFormat="false" ht="15" hidden="false" customHeight="false" outlineLevel="0" collapsed="false">
      <c r="A1632" s="32"/>
      <c r="B1632" s="19"/>
      <c r="C1632" s="19"/>
      <c r="D1632" s="19"/>
      <c r="E1632" s="21"/>
      <c r="F1632" s="19"/>
      <c r="G1632" s="27" t="str">
        <f aca="false">IF(B1632="","",IFERROR(INDEX(Jeux!$C$2:$C$3001,MATCH(B1632,Jeux!$A$2:$A$3001,0))&amp;"","⚠ jeu inconnu"))</f>
        <v/>
      </c>
      <c r="H1632" s="27" t="str">
        <f aca="false">IF(B1632="","",IFERROR(INDEX(Jeux!$D$2:$D$3001,MATCH(B1632,Jeux!$A$2:$A$3001,0))&amp;"",""))</f>
        <v/>
      </c>
      <c r="I1632" s="26" t="str">
        <f aca="false">IF(A1632="","",COUNTIF(Apparitions!$G$2:$G$5001,A1632))</f>
        <v/>
      </c>
      <c r="J1632" s="26" t="str">
        <f aca="false">IF(A1632="","",COUNTIFS(Apparitions!$G$2:$G$5001,A1632,Apparitions!$E$2:$E$5001,"○"))</f>
        <v/>
      </c>
      <c r="K1632" s="29" t="str">
        <f aca="false">IF(A1632="","",IFERROR(1/(1/_xlfn.MINIFS(Apparitions!$L$2:$L$5001,Apparitions!$G$2:$G$5001,A1632)),""))</f>
        <v/>
      </c>
      <c r="L1632" s="27" t="str">
        <f aca="false">IF(A1632="","",A1632&amp;" | "&amp;B1632&amp;IF(C1632="",""," ("&amp;C1632&amp;")")&amp;IF(D1632="",""," - "&amp;D1632))</f>
        <v/>
      </c>
    </row>
    <row r="1633" customFormat="false" ht="15" hidden="false" customHeight="false" outlineLevel="0" collapsed="false">
      <c r="A1633" s="32"/>
      <c r="B1633" s="19"/>
      <c r="C1633" s="19"/>
      <c r="D1633" s="19"/>
      <c r="E1633" s="21"/>
      <c r="F1633" s="19"/>
      <c r="G1633" s="27" t="str">
        <f aca="false">IF(B1633="","",IFERROR(INDEX(Jeux!$C$2:$C$3001,MATCH(B1633,Jeux!$A$2:$A$3001,0))&amp;"","⚠ jeu inconnu"))</f>
        <v/>
      </c>
      <c r="H1633" s="27" t="str">
        <f aca="false">IF(B1633="","",IFERROR(INDEX(Jeux!$D$2:$D$3001,MATCH(B1633,Jeux!$A$2:$A$3001,0))&amp;"",""))</f>
        <v/>
      </c>
      <c r="I1633" s="26" t="str">
        <f aca="false">IF(A1633="","",COUNTIF(Apparitions!$G$2:$G$5001,A1633))</f>
        <v/>
      </c>
      <c r="J1633" s="26" t="str">
        <f aca="false">IF(A1633="","",COUNTIFS(Apparitions!$G$2:$G$5001,A1633,Apparitions!$E$2:$E$5001,"○"))</f>
        <v/>
      </c>
      <c r="K1633" s="29" t="str">
        <f aca="false">IF(A1633="","",IFERROR(1/(1/_xlfn.MINIFS(Apparitions!$L$2:$L$5001,Apparitions!$G$2:$G$5001,A1633)),""))</f>
        <v/>
      </c>
      <c r="L1633" s="27" t="str">
        <f aca="false">IF(A1633="","",A1633&amp;" | "&amp;B1633&amp;IF(C1633="",""," ("&amp;C1633&amp;")")&amp;IF(D1633="",""," - "&amp;D1633))</f>
        <v/>
      </c>
    </row>
    <row r="1634" customFormat="false" ht="15" hidden="false" customHeight="false" outlineLevel="0" collapsed="false">
      <c r="A1634" s="32"/>
      <c r="B1634" s="19"/>
      <c r="C1634" s="19"/>
      <c r="D1634" s="19"/>
      <c r="E1634" s="21"/>
      <c r="F1634" s="19"/>
      <c r="G1634" s="27" t="str">
        <f aca="false">IF(B1634="","",IFERROR(INDEX(Jeux!$C$2:$C$3001,MATCH(B1634,Jeux!$A$2:$A$3001,0))&amp;"","⚠ jeu inconnu"))</f>
        <v/>
      </c>
      <c r="H1634" s="27" t="str">
        <f aca="false">IF(B1634="","",IFERROR(INDEX(Jeux!$D$2:$D$3001,MATCH(B1634,Jeux!$A$2:$A$3001,0))&amp;"",""))</f>
        <v/>
      </c>
      <c r="I1634" s="26" t="str">
        <f aca="false">IF(A1634="","",COUNTIF(Apparitions!$G$2:$G$5001,A1634))</f>
        <v/>
      </c>
      <c r="J1634" s="26" t="str">
        <f aca="false">IF(A1634="","",COUNTIFS(Apparitions!$G$2:$G$5001,A1634,Apparitions!$E$2:$E$5001,"○"))</f>
        <v/>
      </c>
      <c r="K1634" s="29" t="str">
        <f aca="false">IF(A1634="","",IFERROR(1/(1/_xlfn.MINIFS(Apparitions!$L$2:$L$5001,Apparitions!$G$2:$G$5001,A1634)),""))</f>
        <v/>
      </c>
      <c r="L1634" s="27" t="str">
        <f aca="false">IF(A1634="","",A1634&amp;" | "&amp;B1634&amp;IF(C1634="",""," ("&amp;C1634&amp;")")&amp;IF(D1634="",""," - "&amp;D1634))</f>
        <v/>
      </c>
    </row>
    <row r="1635" customFormat="false" ht="15" hidden="false" customHeight="false" outlineLevel="0" collapsed="false">
      <c r="A1635" s="32"/>
      <c r="B1635" s="19"/>
      <c r="C1635" s="19"/>
      <c r="D1635" s="19"/>
      <c r="E1635" s="21"/>
      <c r="F1635" s="19"/>
      <c r="G1635" s="27" t="str">
        <f aca="false">IF(B1635="","",IFERROR(INDEX(Jeux!$C$2:$C$3001,MATCH(B1635,Jeux!$A$2:$A$3001,0))&amp;"","⚠ jeu inconnu"))</f>
        <v/>
      </c>
      <c r="H1635" s="27" t="str">
        <f aca="false">IF(B1635="","",IFERROR(INDEX(Jeux!$D$2:$D$3001,MATCH(B1635,Jeux!$A$2:$A$3001,0))&amp;"",""))</f>
        <v/>
      </c>
      <c r="I1635" s="26" t="str">
        <f aca="false">IF(A1635="","",COUNTIF(Apparitions!$G$2:$G$5001,A1635))</f>
        <v/>
      </c>
      <c r="J1635" s="26" t="str">
        <f aca="false">IF(A1635="","",COUNTIFS(Apparitions!$G$2:$G$5001,A1635,Apparitions!$E$2:$E$5001,"○"))</f>
        <v/>
      </c>
      <c r="K1635" s="29" t="str">
        <f aca="false">IF(A1635="","",IFERROR(1/(1/_xlfn.MINIFS(Apparitions!$L$2:$L$5001,Apparitions!$G$2:$G$5001,A1635)),""))</f>
        <v/>
      </c>
      <c r="L1635" s="27" t="str">
        <f aca="false">IF(A1635="","",A1635&amp;" | "&amp;B1635&amp;IF(C1635="",""," ("&amp;C1635&amp;")")&amp;IF(D1635="",""," - "&amp;D1635))</f>
        <v/>
      </c>
    </row>
    <row r="1636" customFormat="false" ht="15" hidden="false" customHeight="false" outlineLevel="0" collapsed="false">
      <c r="A1636" s="32"/>
      <c r="B1636" s="19"/>
      <c r="C1636" s="19"/>
      <c r="D1636" s="19"/>
      <c r="E1636" s="21"/>
      <c r="F1636" s="19"/>
      <c r="G1636" s="27" t="str">
        <f aca="false">IF(B1636="","",IFERROR(INDEX(Jeux!$C$2:$C$3001,MATCH(B1636,Jeux!$A$2:$A$3001,0))&amp;"","⚠ jeu inconnu"))</f>
        <v/>
      </c>
      <c r="H1636" s="27" t="str">
        <f aca="false">IF(B1636="","",IFERROR(INDEX(Jeux!$D$2:$D$3001,MATCH(B1636,Jeux!$A$2:$A$3001,0))&amp;"",""))</f>
        <v/>
      </c>
      <c r="I1636" s="26" t="str">
        <f aca="false">IF(A1636="","",COUNTIF(Apparitions!$G$2:$G$5001,A1636))</f>
        <v/>
      </c>
      <c r="J1636" s="26" t="str">
        <f aca="false">IF(A1636="","",COUNTIFS(Apparitions!$G$2:$G$5001,A1636,Apparitions!$E$2:$E$5001,"○"))</f>
        <v/>
      </c>
      <c r="K1636" s="29" t="str">
        <f aca="false">IF(A1636="","",IFERROR(1/(1/_xlfn.MINIFS(Apparitions!$L$2:$L$5001,Apparitions!$G$2:$G$5001,A1636)),""))</f>
        <v/>
      </c>
      <c r="L1636" s="27" t="str">
        <f aca="false">IF(A1636="","",A1636&amp;" | "&amp;B1636&amp;IF(C1636="",""," ("&amp;C1636&amp;")")&amp;IF(D1636="",""," - "&amp;D1636))</f>
        <v/>
      </c>
    </row>
    <row r="1637" customFormat="false" ht="15" hidden="false" customHeight="false" outlineLevel="0" collapsed="false">
      <c r="A1637" s="32"/>
      <c r="B1637" s="19"/>
      <c r="C1637" s="19"/>
      <c r="D1637" s="19"/>
      <c r="E1637" s="21"/>
      <c r="F1637" s="19"/>
      <c r="G1637" s="27" t="str">
        <f aca="false">IF(B1637="","",IFERROR(INDEX(Jeux!$C$2:$C$3001,MATCH(B1637,Jeux!$A$2:$A$3001,0))&amp;"","⚠ jeu inconnu"))</f>
        <v/>
      </c>
      <c r="H1637" s="27" t="str">
        <f aca="false">IF(B1637="","",IFERROR(INDEX(Jeux!$D$2:$D$3001,MATCH(B1637,Jeux!$A$2:$A$3001,0))&amp;"",""))</f>
        <v/>
      </c>
      <c r="I1637" s="26" t="str">
        <f aca="false">IF(A1637="","",COUNTIF(Apparitions!$G$2:$G$5001,A1637))</f>
        <v/>
      </c>
      <c r="J1637" s="26" t="str">
        <f aca="false">IF(A1637="","",COUNTIFS(Apparitions!$G$2:$G$5001,A1637,Apparitions!$E$2:$E$5001,"○"))</f>
        <v/>
      </c>
      <c r="K1637" s="29" t="str">
        <f aca="false">IF(A1637="","",IFERROR(1/(1/_xlfn.MINIFS(Apparitions!$L$2:$L$5001,Apparitions!$G$2:$G$5001,A1637)),""))</f>
        <v/>
      </c>
      <c r="L1637" s="27" t="str">
        <f aca="false">IF(A1637="","",A1637&amp;" | "&amp;B1637&amp;IF(C1637="",""," ("&amp;C1637&amp;")")&amp;IF(D1637="",""," - "&amp;D1637))</f>
        <v/>
      </c>
    </row>
    <row r="1638" customFormat="false" ht="15" hidden="false" customHeight="false" outlineLevel="0" collapsed="false">
      <c r="A1638" s="32"/>
      <c r="B1638" s="19"/>
      <c r="C1638" s="19"/>
      <c r="D1638" s="19"/>
      <c r="E1638" s="21"/>
      <c r="F1638" s="19"/>
      <c r="G1638" s="27" t="str">
        <f aca="false">IF(B1638="","",IFERROR(INDEX(Jeux!$C$2:$C$3001,MATCH(B1638,Jeux!$A$2:$A$3001,0))&amp;"","⚠ jeu inconnu"))</f>
        <v/>
      </c>
      <c r="H1638" s="27" t="str">
        <f aca="false">IF(B1638="","",IFERROR(INDEX(Jeux!$D$2:$D$3001,MATCH(B1638,Jeux!$A$2:$A$3001,0))&amp;"",""))</f>
        <v/>
      </c>
      <c r="I1638" s="26" t="str">
        <f aca="false">IF(A1638="","",COUNTIF(Apparitions!$G$2:$G$5001,A1638))</f>
        <v/>
      </c>
      <c r="J1638" s="26" t="str">
        <f aca="false">IF(A1638="","",COUNTIFS(Apparitions!$G$2:$G$5001,A1638,Apparitions!$E$2:$E$5001,"○"))</f>
        <v/>
      </c>
      <c r="K1638" s="29" t="str">
        <f aca="false">IF(A1638="","",IFERROR(1/(1/_xlfn.MINIFS(Apparitions!$L$2:$L$5001,Apparitions!$G$2:$G$5001,A1638)),""))</f>
        <v/>
      </c>
      <c r="L1638" s="27" t="str">
        <f aca="false">IF(A1638="","",A1638&amp;" | "&amp;B1638&amp;IF(C1638="",""," ("&amp;C1638&amp;")")&amp;IF(D1638="",""," - "&amp;D1638))</f>
        <v/>
      </c>
    </row>
    <row r="1639" customFormat="false" ht="15" hidden="false" customHeight="false" outlineLevel="0" collapsed="false">
      <c r="A1639" s="32"/>
      <c r="B1639" s="19"/>
      <c r="C1639" s="19"/>
      <c r="D1639" s="19"/>
      <c r="E1639" s="21"/>
      <c r="F1639" s="19"/>
      <c r="G1639" s="27" t="str">
        <f aca="false">IF(B1639="","",IFERROR(INDEX(Jeux!$C$2:$C$3001,MATCH(B1639,Jeux!$A$2:$A$3001,0))&amp;"","⚠ jeu inconnu"))</f>
        <v/>
      </c>
      <c r="H1639" s="27" t="str">
        <f aca="false">IF(B1639="","",IFERROR(INDEX(Jeux!$D$2:$D$3001,MATCH(B1639,Jeux!$A$2:$A$3001,0))&amp;"",""))</f>
        <v/>
      </c>
      <c r="I1639" s="26" t="str">
        <f aca="false">IF(A1639="","",COUNTIF(Apparitions!$G$2:$G$5001,A1639))</f>
        <v/>
      </c>
      <c r="J1639" s="26" t="str">
        <f aca="false">IF(A1639="","",COUNTIFS(Apparitions!$G$2:$G$5001,A1639,Apparitions!$E$2:$E$5001,"○"))</f>
        <v/>
      </c>
      <c r="K1639" s="29" t="str">
        <f aca="false">IF(A1639="","",IFERROR(1/(1/_xlfn.MINIFS(Apparitions!$L$2:$L$5001,Apparitions!$G$2:$G$5001,A1639)),""))</f>
        <v/>
      </c>
      <c r="L1639" s="27" t="str">
        <f aca="false">IF(A1639="","",A1639&amp;" | "&amp;B1639&amp;IF(C1639="",""," ("&amp;C1639&amp;")")&amp;IF(D1639="",""," - "&amp;D1639))</f>
        <v/>
      </c>
    </row>
    <row r="1640" customFormat="false" ht="15" hidden="false" customHeight="false" outlineLevel="0" collapsed="false">
      <c r="A1640" s="32"/>
      <c r="B1640" s="19"/>
      <c r="C1640" s="19"/>
      <c r="D1640" s="19"/>
      <c r="E1640" s="21"/>
      <c r="F1640" s="19"/>
      <c r="G1640" s="27" t="str">
        <f aca="false">IF(B1640="","",IFERROR(INDEX(Jeux!$C$2:$C$3001,MATCH(B1640,Jeux!$A$2:$A$3001,0))&amp;"","⚠ jeu inconnu"))</f>
        <v/>
      </c>
      <c r="H1640" s="27" t="str">
        <f aca="false">IF(B1640="","",IFERROR(INDEX(Jeux!$D$2:$D$3001,MATCH(B1640,Jeux!$A$2:$A$3001,0))&amp;"",""))</f>
        <v/>
      </c>
      <c r="I1640" s="26" t="str">
        <f aca="false">IF(A1640="","",COUNTIF(Apparitions!$G$2:$G$5001,A1640))</f>
        <v/>
      </c>
      <c r="J1640" s="26" t="str">
        <f aca="false">IF(A1640="","",COUNTIFS(Apparitions!$G$2:$G$5001,A1640,Apparitions!$E$2:$E$5001,"○"))</f>
        <v/>
      </c>
      <c r="K1640" s="29" t="str">
        <f aca="false">IF(A1640="","",IFERROR(1/(1/_xlfn.MINIFS(Apparitions!$L$2:$L$5001,Apparitions!$G$2:$G$5001,A1640)),""))</f>
        <v/>
      </c>
      <c r="L1640" s="27" t="str">
        <f aca="false">IF(A1640="","",A1640&amp;" | "&amp;B1640&amp;IF(C1640="",""," ("&amp;C1640&amp;")")&amp;IF(D1640="",""," - "&amp;D1640))</f>
        <v/>
      </c>
    </row>
    <row r="1641" customFormat="false" ht="15" hidden="false" customHeight="false" outlineLevel="0" collapsed="false">
      <c r="A1641" s="32"/>
      <c r="B1641" s="19"/>
      <c r="C1641" s="19"/>
      <c r="D1641" s="19"/>
      <c r="E1641" s="21"/>
      <c r="F1641" s="19"/>
      <c r="G1641" s="27" t="str">
        <f aca="false">IF(B1641="","",IFERROR(INDEX(Jeux!$C$2:$C$3001,MATCH(B1641,Jeux!$A$2:$A$3001,0))&amp;"","⚠ jeu inconnu"))</f>
        <v/>
      </c>
      <c r="H1641" s="27" t="str">
        <f aca="false">IF(B1641="","",IFERROR(INDEX(Jeux!$D$2:$D$3001,MATCH(B1641,Jeux!$A$2:$A$3001,0))&amp;"",""))</f>
        <v/>
      </c>
      <c r="I1641" s="26" t="str">
        <f aca="false">IF(A1641="","",COUNTIF(Apparitions!$G$2:$G$5001,A1641))</f>
        <v/>
      </c>
      <c r="J1641" s="26" t="str">
        <f aca="false">IF(A1641="","",COUNTIFS(Apparitions!$G$2:$G$5001,A1641,Apparitions!$E$2:$E$5001,"○"))</f>
        <v/>
      </c>
      <c r="K1641" s="29" t="str">
        <f aca="false">IF(A1641="","",IFERROR(1/(1/_xlfn.MINIFS(Apparitions!$L$2:$L$5001,Apparitions!$G$2:$G$5001,A1641)),""))</f>
        <v/>
      </c>
      <c r="L1641" s="27" t="str">
        <f aca="false">IF(A1641="","",A1641&amp;" | "&amp;B1641&amp;IF(C1641="",""," ("&amp;C1641&amp;")")&amp;IF(D1641="",""," - "&amp;D1641))</f>
        <v/>
      </c>
    </row>
    <row r="1642" customFormat="false" ht="15" hidden="false" customHeight="false" outlineLevel="0" collapsed="false">
      <c r="A1642" s="32"/>
      <c r="B1642" s="19"/>
      <c r="C1642" s="19"/>
      <c r="D1642" s="19"/>
      <c r="E1642" s="21"/>
      <c r="F1642" s="19"/>
      <c r="G1642" s="27" t="str">
        <f aca="false">IF(B1642="","",IFERROR(INDEX(Jeux!$C$2:$C$3001,MATCH(B1642,Jeux!$A$2:$A$3001,0))&amp;"","⚠ jeu inconnu"))</f>
        <v/>
      </c>
      <c r="H1642" s="27" t="str">
        <f aca="false">IF(B1642="","",IFERROR(INDEX(Jeux!$D$2:$D$3001,MATCH(B1642,Jeux!$A$2:$A$3001,0))&amp;"",""))</f>
        <v/>
      </c>
      <c r="I1642" s="26" t="str">
        <f aca="false">IF(A1642="","",COUNTIF(Apparitions!$G$2:$G$5001,A1642))</f>
        <v/>
      </c>
      <c r="J1642" s="26" t="str">
        <f aca="false">IF(A1642="","",COUNTIFS(Apparitions!$G$2:$G$5001,A1642,Apparitions!$E$2:$E$5001,"○"))</f>
        <v/>
      </c>
      <c r="K1642" s="29" t="str">
        <f aca="false">IF(A1642="","",IFERROR(1/(1/_xlfn.MINIFS(Apparitions!$L$2:$L$5001,Apparitions!$G$2:$G$5001,A1642)),""))</f>
        <v/>
      </c>
      <c r="L1642" s="27" t="str">
        <f aca="false">IF(A1642="","",A1642&amp;" | "&amp;B1642&amp;IF(C1642="",""," ("&amp;C1642&amp;")")&amp;IF(D1642="",""," - "&amp;D1642))</f>
        <v/>
      </c>
    </row>
    <row r="1643" customFormat="false" ht="15" hidden="false" customHeight="false" outlineLevel="0" collapsed="false">
      <c r="A1643" s="32"/>
      <c r="B1643" s="19"/>
      <c r="C1643" s="19"/>
      <c r="D1643" s="19"/>
      <c r="E1643" s="21"/>
      <c r="F1643" s="19"/>
      <c r="G1643" s="27" t="str">
        <f aca="false">IF(B1643="","",IFERROR(INDEX(Jeux!$C$2:$C$3001,MATCH(B1643,Jeux!$A$2:$A$3001,0))&amp;"","⚠ jeu inconnu"))</f>
        <v/>
      </c>
      <c r="H1643" s="27" t="str">
        <f aca="false">IF(B1643="","",IFERROR(INDEX(Jeux!$D$2:$D$3001,MATCH(B1643,Jeux!$A$2:$A$3001,0))&amp;"",""))</f>
        <v/>
      </c>
      <c r="I1643" s="26" t="str">
        <f aca="false">IF(A1643="","",COUNTIF(Apparitions!$G$2:$G$5001,A1643))</f>
        <v/>
      </c>
      <c r="J1643" s="26" t="str">
        <f aca="false">IF(A1643="","",COUNTIFS(Apparitions!$G$2:$G$5001,A1643,Apparitions!$E$2:$E$5001,"○"))</f>
        <v/>
      </c>
      <c r="K1643" s="29" t="str">
        <f aca="false">IF(A1643="","",IFERROR(1/(1/_xlfn.MINIFS(Apparitions!$L$2:$L$5001,Apparitions!$G$2:$G$5001,A1643)),""))</f>
        <v/>
      </c>
      <c r="L1643" s="27" t="str">
        <f aca="false">IF(A1643="","",A1643&amp;" | "&amp;B1643&amp;IF(C1643="",""," ("&amp;C1643&amp;")")&amp;IF(D1643="",""," - "&amp;D1643))</f>
        <v/>
      </c>
    </row>
    <row r="1644" customFormat="false" ht="15" hidden="false" customHeight="false" outlineLevel="0" collapsed="false">
      <c r="A1644" s="32"/>
      <c r="B1644" s="19"/>
      <c r="C1644" s="19"/>
      <c r="D1644" s="19"/>
      <c r="E1644" s="21"/>
      <c r="F1644" s="19"/>
      <c r="G1644" s="27" t="str">
        <f aca="false">IF(B1644="","",IFERROR(INDEX(Jeux!$C$2:$C$3001,MATCH(B1644,Jeux!$A$2:$A$3001,0))&amp;"","⚠ jeu inconnu"))</f>
        <v/>
      </c>
      <c r="H1644" s="27" t="str">
        <f aca="false">IF(B1644="","",IFERROR(INDEX(Jeux!$D$2:$D$3001,MATCH(B1644,Jeux!$A$2:$A$3001,0))&amp;"",""))</f>
        <v/>
      </c>
      <c r="I1644" s="26" t="str">
        <f aca="false">IF(A1644="","",COUNTIF(Apparitions!$G$2:$G$5001,A1644))</f>
        <v/>
      </c>
      <c r="J1644" s="26" t="str">
        <f aca="false">IF(A1644="","",COUNTIFS(Apparitions!$G$2:$G$5001,A1644,Apparitions!$E$2:$E$5001,"○"))</f>
        <v/>
      </c>
      <c r="K1644" s="29" t="str">
        <f aca="false">IF(A1644="","",IFERROR(1/(1/_xlfn.MINIFS(Apparitions!$L$2:$L$5001,Apparitions!$G$2:$G$5001,A1644)),""))</f>
        <v/>
      </c>
      <c r="L1644" s="27" t="str">
        <f aca="false">IF(A1644="","",A1644&amp;" | "&amp;B1644&amp;IF(C1644="",""," ("&amp;C1644&amp;")")&amp;IF(D1644="",""," - "&amp;D1644))</f>
        <v/>
      </c>
    </row>
    <row r="1645" customFormat="false" ht="15" hidden="false" customHeight="false" outlineLevel="0" collapsed="false">
      <c r="A1645" s="32"/>
      <c r="B1645" s="19"/>
      <c r="C1645" s="19"/>
      <c r="D1645" s="19"/>
      <c r="E1645" s="21"/>
      <c r="F1645" s="19"/>
      <c r="G1645" s="27" t="str">
        <f aca="false">IF(B1645="","",IFERROR(INDEX(Jeux!$C$2:$C$3001,MATCH(B1645,Jeux!$A$2:$A$3001,0))&amp;"","⚠ jeu inconnu"))</f>
        <v/>
      </c>
      <c r="H1645" s="27" t="str">
        <f aca="false">IF(B1645="","",IFERROR(INDEX(Jeux!$D$2:$D$3001,MATCH(B1645,Jeux!$A$2:$A$3001,0))&amp;"",""))</f>
        <v/>
      </c>
      <c r="I1645" s="26" t="str">
        <f aca="false">IF(A1645="","",COUNTIF(Apparitions!$G$2:$G$5001,A1645))</f>
        <v/>
      </c>
      <c r="J1645" s="26" t="str">
        <f aca="false">IF(A1645="","",COUNTIFS(Apparitions!$G$2:$G$5001,A1645,Apparitions!$E$2:$E$5001,"○"))</f>
        <v/>
      </c>
      <c r="K1645" s="29" t="str">
        <f aca="false">IF(A1645="","",IFERROR(1/(1/_xlfn.MINIFS(Apparitions!$L$2:$L$5001,Apparitions!$G$2:$G$5001,A1645)),""))</f>
        <v/>
      </c>
      <c r="L1645" s="27" t="str">
        <f aca="false">IF(A1645="","",A1645&amp;" | "&amp;B1645&amp;IF(C1645="",""," ("&amp;C1645&amp;")")&amp;IF(D1645="",""," - "&amp;D1645))</f>
        <v/>
      </c>
    </row>
    <row r="1646" customFormat="false" ht="15" hidden="false" customHeight="false" outlineLevel="0" collapsed="false">
      <c r="A1646" s="32"/>
      <c r="B1646" s="19"/>
      <c r="C1646" s="19"/>
      <c r="D1646" s="19"/>
      <c r="E1646" s="21"/>
      <c r="F1646" s="19"/>
      <c r="G1646" s="27" t="str">
        <f aca="false">IF(B1646="","",IFERROR(INDEX(Jeux!$C$2:$C$3001,MATCH(B1646,Jeux!$A$2:$A$3001,0))&amp;"","⚠ jeu inconnu"))</f>
        <v/>
      </c>
      <c r="H1646" s="27" t="str">
        <f aca="false">IF(B1646="","",IFERROR(INDEX(Jeux!$D$2:$D$3001,MATCH(B1646,Jeux!$A$2:$A$3001,0))&amp;"",""))</f>
        <v/>
      </c>
      <c r="I1646" s="26" t="str">
        <f aca="false">IF(A1646="","",COUNTIF(Apparitions!$G$2:$G$5001,A1646))</f>
        <v/>
      </c>
      <c r="J1646" s="26" t="str">
        <f aca="false">IF(A1646="","",COUNTIFS(Apparitions!$G$2:$G$5001,A1646,Apparitions!$E$2:$E$5001,"○"))</f>
        <v/>
      </c>
      <c r="K1646" s="29" t="str">
        <f aca="false">IF(A1646="","",IFERROR(1/(1/_xlfn.MINIFS(Apparitions!$L$2:$L$5001,Apparitions!$G$2:$G$5001,A1646)),""))</f>
        <v/>
      </c>
      <c r="L1646" s="27" t="str">
        <f aca="false">IF(A1646="","",A1646&amp;" | "&amp;B1646&amp;IF(C1646="",""," ("&amp;C1646&amp;")")&amp;IF(D1646="",""," - "&amp;D1646))</f>
        <v/>
      </c>
    </row>
    <row r="1647" customFormat="false" ht="15" hidden="false" customHeight="false" outlineLevel="0" collapsed="false">
      <c r="A1647" s="32"/>
      <c r="B1647" s="19"/>
      <c r="C1647" s="19"/>
      <c r="D1647" s="19"/>
      <c r="E1647" s="21"/>
      <c r="F1647" s="19"/>
      <c r="G1647" s="27" t="str">
        <f aca="false">IF(B1647="","",IFERROR(INDEX(Jeux!$C$2:$C$3001,MATCH(B1647,Jeux!$A$2:$A$3001,0))&amp;"","⚠ jeu inconnu"))</f>
        <v/>
      </c>
      <c r="H1647" s="27" t="str">
        <f aca="false">IF(B1647="","",IFERROR(INDEX(Jeux!$D$2:$D$3001,MATCH(B1647,Jeux!$A$2:$A$3001,0))&amp;"",""))</f>
        <v/>
      </c>
      <c r="I1647" s="26" t="str">
        <f aca="false">IF(A1647="","",COUNTIF(Apparitions!$G$2:$G$5001,A1647))</f>
        <v/>
      </c>
      <c r="J1647" s="26" t="str">
        <f aca="false">IF(A1647="","",COUNTIFS(Apparitions!$G$2:$G$5001,A1647,Apparitions!$E$2:$E$5001,"○"))</f>
        <v/>
      </c>
      <c r="K1647" s="29" t="str">
        <f aca="false">IF(A1647="","",IFERROR(1/(1/_xlfn.MINIFS(Apparitions!$L$2:$L$5001,Apparitions!$G$2:$G$5001,A1647)),""))</f>
        <v/>
      </c>
      <c r="L1647" s="27" t="str">
        <f aca="false">IF(A1647="","",A1647&amp;" | "&amp;B1647&amp;IF(C1647="",""," ("&amp;C1647&amp;")")&amp;IF(D1647="",""," - "&amp;D1647))</f>
        <v/>
      </c>
    </row>
    <row r="1648" customFormat="false" ht="15" hidden="false" customHeight="false" outlineLevel="0" collapsed="false">
      <c r="A1648" s="32"/>
      <c r="B1648" s="19"/>
      <c r="C1648" s="19"/>
      <c r="D1648" s="19"/>
      <c r="E1648" s="21"/>
      <c r="F1648" s="19"/>
      <c r="G1648" s="27" t="str">
        <f aca="false">IF(B1648="","",IFERROR(INDEX(Jeux!$C$2:$C$3001,MATCH(B1648,Jeux!$A$2:$A$3001,0))&amp;"","⚠ jeu inconnu"))</f>
        <v/>
      </c>
      <c r="H1648" s="27" t="str">
        <f aca="false">IF(B1648="","",IFERROR(INDEX(Jeux!$D$2:$D$3001,MATCH(B1648,Jeux!$A$2:$A$3001,0))&amp;"",""))</f>
        <v/>
      </c>
      <c r="I1648" s="26" t="str">
        <f aca="false">IF(A1648="","",COUNTIF(Apparitions!$G$2:$G$5001,A1648))</f>
        <v/>
      </c>
      <c r="J1648" s="26" t="str">
        <f aca="false">IF(A1648="","",COUNTIFS(Apparitions!$G$2:$G$5001,A1648,Apparitions!$E$2:$E$5001,"○"))</f>
        <v/>
      </c>
      <c r="K1648" s="29" t="str">
        <f aca="false">IF(A1648="","",IFERROR(1/(1/_xlfn.MINIFS(Apparitions!$L$2:$L$5001,Apparitions!$G$2:$G$5001,A1648)),""))</f>
        <v/>
      </c>
      <c r="L1648" s="27" t="str">
        <f aca="false">IF(A1648="","",A1648&amp;" | "&amp;B1648&amp;IF(C1648="",""," ("&amp;C1648&amp;")")&amp;IF(D1648="",""," - "&amp;D1648))</f>
        <v/>
      </c>
    </row>
    <row r="1649" customFormat="false" ht="15" hidden="false" customHeight="false" outlineLevel="0" collapsed="false">
      <c r="A1649" s="32"/>
      <c r="B1649" s="19"/>
      <c r="C1649" s="19"/>
      <c r="D1649" s="19"/>
      <c r="E1649" s="21"/>
      <c r="F1649" s="19"/>
      <c r="G1649" s="27" t="str">
        <f aca="false">IF(B1649="","",IFERROR(INDEX(Jeux!$C$2:$C$3001,MATCH(B1649,Jeux!$A$2:$A$3001,0))&amp;"","⚠ jeu inconnu"))</f>
        <v/>
      </c>
      <c r="H1649" s="27" t="str">
        <f aca="false">IF(B1649="","",IFERROR(INDEX(Jeux!$D$2:$D$3001,MATCH(B1649,Jeux!$A$2:$A$3001,0))&amp;"",""))</f>
        <v/>
      </c>
      <c r="I1649" s="26" t="str">
        <f aca="false">IF(A1649="","",COUNTIF(Apparitions!$G$2:$G$5001,A1649))</f>
        <v/>
      </c>
      <c r="J1649" s="26" t="str">
        <f aca="false">IF(A1649="","",COUNTIFS(Apparitions!$G$2:$G$5001,A1649,Apparitions!$E$2:$E$5001,"○"))</f>
        <v/>
      </c>
      <c r="K1649" s="29" t="str">
        <f aca="false">IF(A1649="","",IFERROR(1/(1/_xlfn.MINIFS(Apparitions!$L$2:$L$5001,Apparitions!$G$2:$G$5001,A1649)),""))</f>
        <v/>
      </c>
      <c r="L1649" s="27" t="str">
        <f aca="false">IF(A1649="","",A1649&amp;" | "&amp;B1649&amp;IF(C1649="",""," ("&amp;C1649&amp;")")&amp;IF(D1649="",""," - "&amp;D1649))</f>
        <v/>
      </c>
    </row>
    <row r="1650" customFormat="false" ht="15" hidden="false" customHeight="false" outlineLevel="0" collapsed="false">
      <c r="A1650" s="32"/>
      <c r="B1650" s="19"/>
      <c r="C1650" s="19"/>
      <c r="D1650" s="19"/>
      <c r="E1650" s="21"/>
      <c r="F1650" s="19"/>
      <c r="G1650" s="27" t="str">
        <f aca="false">IF(B1650="","",IFERROR(INDEX(Jeux!$C$2:$C$3001,MATCH(B1650,Jeux!$A$2:$A$3001,0))&amp;"","⚠ jeu inconnu"))</f>
        <v/>
      </c>
      <c r="H1650" s="27" t="str">
        <f aca="false">IF(B1650="","",IFERROR(INDEX(Jeux!$D$2:$D$3001,MATCH(B1650,Jeux!$A$2:$A$3001,0))&amp;"",""))</f>
        <v/>
      </c>
      <c r="I1650" s="26" t="str">
        <f aca="false">IF(A1650="","",COUNTIF(Apparitions!$G$2:$G$5001,A1650))</f>
        <v/>
      </c>
      <c r="J1650" s="26" t="str">
        <f aca="false">IF(A1650="","",COUNTIFS(Apparitions!$G$2:$G$5001,A1650,Apparitions!$E$2:$E$5001,"○"))</f>
        <v/>
      </c>
      <c r="K1650" s="29" t="str">
        <f aca="false">IF(A1650="","",IFERROR(1/(1/_xlfn.MINIFS(Apparitions!$L$2:$L$5001,Apparitions!$G$2:$G$5001,A1650)),""))</f>
        <v/>
      </c>
      <c r="L1650" s="27" t="str">
        <f aca="false">IF(A1650="","",A1650&amp;" | "&amp;B1650&amp;IF(C1650="",""," ("&amp;C1650&amp;")")&amp;IF(D1650="",""," - "&amp;D1650))</f>
        <v/>
      </c>
    </row>
    <row r="1651" customFormat="false" ht="15" hidden="false" customHeight="false" outlineLevel="0" collapsed="false">
      <c r="A1651" s="32"/>
      <c r="B1651" s="19"/>
      <c r="C1651" s="19"/>
      <c r="D1651" s="19"/>
      <c r="E1651" s="21"/>
      <c r="F1651" s="19"/>
      <c r="G1651" s="27" t="str">
        <f aca="false">IF(B1651="","",IFERROR(INDEX(Jeux!$C$2:$C$3001,MATCH(B1651,Jeux!$A$2:$A$3001,0))&amp;"","⚠ jeu inconnu"))</f>
        <v/>
      </c>
      <c r="H1651" s="27" t="str">
        <f aca="false">IF(B1651="","",IFERROR(INDEX(Jeux!$D$2:$D$3001,MATCH(B1651,Jeux!$A$2:$A$3001,0))&amp;"",""))</f>
        <v/>
      </c>
      <c r="I1651" s="26" t="str">
        <f aca="false">IF(A1651="","",COUNTIF(Apparitions!$G$2:$G$5001,A1651))</f>
        <v/>
      </c>
      <c r="J1651" s="26" t="str">
        <f aca="false">IF(A1651="","",COUNTIFS(Apparitions!$G$2:$G$5001,A1651,Apparitions!$E$2:$E$5001,"○"))</f>
        <v/>
      </c>
      <c r="K1651" s="29" t="str">
        <f aca="false">IF(A1651="","",IFERROR(1/(1/_xlfn.MINIFS(Apparitions!$L$2:$L$5001,Apparitions!$G$2:$G$5001,A1651)),""))</f>
        <v/>
      </c>
      <c r="L1651" s="27" t="str">
        <f aca="false">IF(A1651="","",A1651&amp;" | "&amp;B1651&amp;IF(C1651="",""," ("&amp;C1651&amp;")")&amp;IF(D1651="",""," - "&amp;D1651))</f>
        <v/>
      </c>
    </row>
    <row r="1652" customFormat="false" ht="15" hidden="false" customHeight="false" outlineLevel="0" collapsed="false">
      <c r="A1652" s="32"/>
      <c r="B1652" s="19"/>
      <c r="C1652" s="19"/>
      <c r="D1652" s="19"/>
      <c r="E1652" s="21"/>
      <c r="F1652" s="19"/>
      <c r="G1652" s="27" t="str">
        <f aca="false">IF(B1652="","",IFERROR(INDEX(Jeux!$C$2:$C$3001,MATCH(B1652,Jeux!$A$2:$A$3001,0))&amp;"","⚠ jeu inconnu"))</f>
        <v/>
      </c>
      <c r="H1652" s="27" t="str">
        <f aca="false">IF(B1652="","",IFERROR(INDEX(Jeux!$D$2:$D$3001,MATCH(B1652,Jeux!$A$2:$A$3001,0))&amp;"",""))</f>
        <v/>
      </c>
      <c r="I1652" s="26" t="str">
        <f aca="false">IF(A1652="","",COUNTIF(Apparitions!$G$2:$G$5001,A1652))</f>
        <v/>
      </c>
      <c r="J1652" s="26" t="str">
        <f aca="false">IF(A1652="","",COUNTIFS(Apparitions!$G$2:$G$5001,A1652,Apparitions!$E$2:$E$5001,"○"))</f>
        <v/>
      </c>
      <c r="K1652" s="29" t="str">
        <f aca="false">IF(A1652="","",IFERROR(1/(1/_xlfn.MINIFS(Apparitions!$L$2:$L$5001,Apparitions!$G$2:$G$5001,A1652)),""))</f>
        <v/>
      </c>
      <c r="L1652" s="27" t="str">
        <f aca="false">IF(A1652="","",A1652&amp;" | "&amp;B1652&amp;IF(C1652="",""," ("&amp;C1652&amp;")")&amp;IF(D1652="",""," - "&amp;D1652))</f>
        <v/>
      </c>
    </row>
    <row r="1653" customFormat="false" ht="15" hidden="false" customHeight="false" outlineLevel="0" collapsed="false">
      <c r="A1653" s="32"/>
      <c r="B1653" s="19"/>
      <c r="C1653" s="19"/>
      <c r="D1653" s="19"/>
      <c r="E1653" s="21"/>
      <c r="F1653" s="19"/>
      <c r="G1653" s="27" t="str">
        <f aca="false">IF(B1653="","",IFERROR(INDEX(Jeux!$C$2:$C$3001,MATCH(B1653,Jeux!$A$2:$A$3001,0))&amp;"","⚠ jeu inconnu"))</f>
        <v/>
      </c>
      <c r="H1653" s="27" t="str">
        <f aca="false">IF(B1653="","",IFERROR(INDEX(Jeux!$D$2:$D$3001,MATCH(B1653,Jeux!$A$2:$A$3001,0))&amp;"",""))</f>
        <v/>
      </c>
      <c r="I1653" s="26" t="str">
        <f aca="false">IF(A1653="","",COUNTIF(Apparitions!$G$2:$G$5001,A1653))</f>
        <v/>
      </c>
      <c r="J1653" s="26" t="str">
        <f aca="false">IF(A1653="","",COUNTIFS(Apparitions!$G$2:$G$5001,A1653,Apparitions!$E$2:$E$5001,"○"))</f>
        <v/>
      </c>
      <c r="K1653" s="29" t="str">
        <f aca="false">IF(A1653="","",IFERROR(1/(1/_xlfn.MINIFS(Apparitions!$L$2:$L$5001,Apparitions!$G$2:$G$5001,A1653)),""))</f>
        <v/>
      </c>
      <c r="L1653" s="27" t="str">
        <f aca="false">IF(A1653="","",A1653&amp;" | "&amp;B1653&amp;IF(C1653="",""," ("&amp;C1653&amp;")")&amp;IF(D1653="",""," - "&amp;D1653))</f>
        <v/>
      </c>
    </row>
    <row r="1654" customFormat="false" ht="15" hidden="false" customHeight="false" outlineLevel="0" collapsed="false">
      <c r="A1654" s="32"/>
      <c r="B1654" s="19"/>
      <c r="C1654" s="19"/>
      <c r="D1654" s="19"/>
      <c r="E1654" s="21"/>
      <c r="F1654" s="19"/>
      <c r="G1654" s="27" t="str">
        <f aca="false">IF(B1654="","",IFERROR(INDEX(Jeux!$C$2:$C$3001,MATCH(B1654,Jeux!$A$2:$A$3001,0))&amp;"","⚠ jeu inconnu"))</f>
        <v/>
      </c>
      <c r="H1654" s="27" t="str">
        <f aca="false">IF(B1654="","",IFERROR(INDEX(Jeux!$D$2:$D$3001,MATCH(B1654,Jeux!$A$2:$A$3001,0))&amp;"",""))</f>
        <v/>
      </c>
      <c r="I1654" s="26" t="str">
        <f aca="false">IF(A1654="","",COUNTIF(Apparitions!$G$2:$G$5001,A1654))</f>
        <v/>
      </c>
      <c r="J1654" s="26" t="str">
        <f aca="false">IF(A1654="","",COUNTIFS(Apparitions!$G$2:$G$5001,A1654,Apparitions!$E$2:$E$5001,"○"))</f>
        <v/>
      </c>
      <c r="K1654" s="29" t="str">
        <f aca="false">IF(A1654="","",IFERROR(1/(1/_xlfn.MINIFS(Apparitions!$L$2:$L$5001,Apparitions!$G$2:$G$5001,A1654)),""))</f>
        <v/>
      </c>
      <c r="L1654" s="27" t="str">
        <f aca="false">IF(A1654="","",A1654&amp;" | "&amp;B1654&amp;IF(C1654="",""," ("&amp;C1654&amp;")")&amp;IF(D1654="",""," - "&amp;D1654))</f>
        <v/>
      </c>
    </row>
    <row r="1655" customFormat="false" ht="15" hidden="false" customHeight="false" outlineLevel="0" collapsed="false">
      <c r="A1655" s="32"/>
      <c r="B1655" s="19"/>
      <c r="C1655" s="19"/>
      <c r="D1655" s="19"/>
      <c r="E1655" s="21"/>
      <c r="F1655" s="19"/>
      <c r="G1655" s="27" t="str">
        <f aca="false">IF(B1655="","",IFERROR(INDEX(Jeux!$C$2:$C$3001,MATCH(B1655,Jeux!$A$2:$A$3001,0))&amp;"","⚠ jeu inconnu"))</f>
        <v/>
      </c>
      <c r="H1655" s="27" t="str">
        <f aca="false">IF(B1655="","",IFERROR(INDEX(Jeux!$D$2:$D$3001,MATCH(B1655,Jeux!$A$2:$A$3001,0))&amp;"",""))</f>
        <v/>
      </c>
      <c r="I1655" s="26" t="str">
        <f aca="false">IF(A1655="","",COUNTIF(Apparitions!$G$2:$G$5001,A1655))</f>
        <v/>
      </c>
      <c r="J1655" s="26" t="str">
        <f aca="false">IF(A1655="","",COUNTIFS(Apparitions!$G$2:$G$5001,A1655,Apparitions!$E$2:$E$5001,"○"))</f>
        <v/>
      </c>
      <c r="K1655" s="29" t="str">
        <f aca="false">IF(A1655="","",IFERROR(1/(1/_xlfn.MINIFS(Apparitions!$L$2:$L$5001,Apparitions!$G$2:$G$5001,A1655)),""))</f>
        <v/>
      </c>
      <c r="L1655" s="27" t="str">
        <f aca="false">IF(A1655="","",A1655&amp;" | "&amp;B1655&amp;IF(C1655="",""," ("&amp;C1655&amp;")")&amp;IF(D1655="",""," - "&amp;D1655))</f>
        <v/>
      </c>
    </row>
    <row r="1656" customFormat="false" ht="15" hidden="false" customHeight="false" outlineLevel="0" collapsed="false">
      <c r="A1656" s="32"/>
      <c r="B1656" s="19"/>
      <c r="C1656" s="19"/>
      <c r="D1656" s="19"/>
      <c r="E1656" s="21"/>
      <c r="F1656" s="19"/>
      <c r="G1656" s="27" t="str">
        <f aca="false">IF(B1656="","",IFERROR(INDEX(Jeux!$C$2:$C$3001,MATCH(B1656,Jeux!$A$2:$A$3001,0))&amp;"","⚠ jeu inconnu"))</f>
        <v/>
      </c>
      <c r="H1656" s="27" t="str">
        <f aca="false">IF(B1656="","",IFERROR(INDEX(Jeux!$D$2:$D$3001,MATCH(B1656,Jeux!$A$2:$A$3001,0))&amp;"",""))</f>
        <v/>
      </c>
      <c r="I1656" s="26" t="str">
        <f aca="false">IF(A1656="","",COUNTIF(Apparitions!$G$2:$G$5001,A1656))</f>
        <v/>
      </c>
      <c r="J1656" s="26" t="str">
        <f aca="false">IF(A1656="","",COUNTIFS(Apparitions!$G$2:$G$5001,A1656,Apparitions!$E$2:$E$5001,"○"))</f>
        <v/>
      </c>
      <c r="K1656" s="29" t="str">
        <f aca="false">IF(A1656="","",IFERROR(1/(1/_xlfn.MINIFS(Apparitions!$L$2:$L$5001,Apparitions!$G$2:$G$5001,A1656)),""))</f>
        <v/>
      </c>
      <c r="L1656" s="27" t="str">
        <f aca="false">IF(A1656="","",A1656&amp;" | "&amp;B1656&amp;IF(C1656="",""," ("&amp;C1656&amp;")")&amp;IF(D1656="",""," - "&amp;D1656))</f>
        <v/>
      </c>
    </row>
    <row r="1657" customFormat="false" ht="15" hidden="false" customHeight="false" outlineLevel="0" collapsed="false">
      <c r="A1657" s="32"/>
      <c r="B1657" s="19"/>
      <c r="C1657" s="19"/>
      <c r="D1657" s="19"/>
      <c r="E1657" s="21"/>
      <c r="F1657" s="19"/>
      <c r="G1657" s="27" t="str">
        <f aca="false">IF(B1657="","",IFERROR(INDEX(Jeux!$C$2:$C$3001,MATCH(B1657,Jeux!$A$2:$A$3001,0))&amp;"","⚠ jeu inconnu"))</f>
        <v/>
      </c>
      <c r="H1657" s="27" t="str">
        <f aca="false">IF(B1657="","",IFERROR(INDEX(Jeux!$D$2:$D$3001,MATCH(B1657,Jeux!$A$2:$A$3001,0))&amp;"",""))</f>
        <v/>
      </c>
      <c r="I1657" s="26" t="str">
        <f aca="false">IF(A1657="","",COUNTIF(Apparitions!$G$2:$G$5001,A1657))</f>
        <v/>
      </c>
      <c r="J1657" s="26" t="str">
        <f aca="false">IF(A1657="","",COUNTIFS(Apparitions!$G$2:$G$5001,A1657,Apparitions!$E$2:$E$5001,"○"))</f>
        <v/>
      </c>
      <c r="K1657" s="29" t="str">
        <f aca="false">IF(A1657="","",IFERROR(1/(1/_xlfn.MINIFS(Apparitions!$L$2:$L$5001,Apparitions!$G$2:$G$5001,A1657)),""))</f>
        <v/>
      </c>
      <c r="L1657" s="27" t="str">
        <f aca="false">IF(A1657="","",A1657&amp;" | "&amp;B1657&amp;IF(C1657="",""," ("&amp;C1657&amp;")")&amp;IF(D1657="",""," - "&amp;D1657))</f>
        <v/>
      </c>
    </row>
    <row r="1658" customFormat="false" ht="15" hidden="false" customHeight="false" outlineLevel="0" collapsed="false">
      <c r="A1658" s="32"/>
      <c r="B1658" s="19"/>
      <c r="C1658" s="19"/>
      <c r="D1658" s="19"/>
      <c r="E1658" s="21"/>
      <c r="F1658" s="19"/>
      <c r="G1658" s="27" t="str">
        <f aca="false">IF(B1658="","",IFERROR(INDEX(Jeux!$C$2:$C$3001,MATCH(B1658,Jeux!$A$2:$A$3001,0))&amp;"","⚠ jeu inconnu"))</f>
        <v/>
      </c>
      <c r="H1658" s="27" t="str">
        <f aca="false">IF(B1658="","",IFERROR(INDEX(Jeux!$D$2:$D$3001,MATCH(B1658,Jeux!$A$2:$A$3001,0))&amp;"",""))</f>
        <v/>
      </c>
      <c r="I1658" s="26" t="str">
        <f aca="false">IF(A1658="","",COUNTIF(Apparitions!$G$2:$G$5001,A1658))</f>
        <v/>
      </c>
      <c r="J1658" s="26" t="str">
        <f aca="false">IF(A1658="","",COUNTIFS(Apparitions!$G$2:$G$5001,A1658,Apparitions!$E$2:$E$5001,"○"))</f>
        <v/>
      </c>
      <c r="K1658" s="29" t="str">
        <f aca="false">IF(A1658="","",IFERROR(1/(1/_xlfn.MINIFS(Apparitions!$L$2:$L$5001,Apparitions!$G$2:$G$5001,A1658)),""))</f>
        <v/>
      </c>
      <c r="L1658" s="27" t="str">
        <f aca="false">IF(A1658="","",A1658&amp;" | "&amp;B1658&amp;IF(C1658="",""," ("&amp;C1658&amp;")")&amp;IF(D1658="",""," - "&amp;D1658))</f>
        <v/>
      </c>
    </row>
    <row r="1659" customFormat="false" ht="15" hidden="false" customHeight="false" outlineLevel="0" collapsed="false">
      <c r="A1659" s="32"/>
      <c r="B1659" s="19"/>
      <c r="C1659" s="19"/>
      <c r="D1659" s="19"/>
      <c r="E1659" s="21"/>
      <c r="F1659" s="19"/>
      <c r="G1659" s="27" t="str">
        <f aca="false">IF(B1659="","",IFERROR(INDEX(Jeux!$C$2:$C$3001,MATCH(B1659,Jeux!$A$2:$A$3001,0))&amp;"","⚠ jeu inconnu"))</f>
        <v/>
      </c>
      <c r="H1659" s="27" t="str">
        <f aca="false">IF(B1659="","",IFERROR(INDEX(Jeux!$D$2:$D$3001,MATCH(B1659,Jeux!$A$2:$A$3001,0))&amp;"",""))</f>
        <v/>
      </c>
      <c r="I1659" s="26" t="str">
        <f aca="false">IF(A1659="","",COUNTIF(Apparitions!$G$2:$G$5001,A1659))</f>
        <v/>
      </c>
      <c r="J1659" s="26" t="str">
        <f aca="false">IF(A1659="","",COUNTIFS(Apparitions!$G$2:$G$5001,A1659,Apparitions!$E$2:$E$5001,"○"))</f>
        <v/>
      </c>
      <c r="K1659" s="29" t="str">
        <f aca="false">IF(A1659="","",IFERROR(1/(1/_xlfn.MINIFS(Apparitions!$L$2:$L$5001,Apparitions!$G$2:$G$5001,A1659)),""))</f>
        <v/>
      </c>
      <c r="L1659" s="27" t="str">
        <f aca="false">IF(A1659="","",A1659&amp;" | "&amp;B1659&amp;IF(C1659="",""," ("&amp;C1659&amp;")")&amp;IF(D1659="",""," - "&amp;D1659))</f>
        <v/>
      </c>
    </row>
    <row r="1660" customFormat="false" ht="15" hidden="false" customHeight="false" outlineLevel="0" collapsed="false">
      <c r="A1660" s="32"/>
      <c r="B1660" s="19"/>
      <c r="C1660" s="19"/>
      <c r="D1660" s="19"/>
      <c r="E1660" s="21"/>
      <c r="F1660" s="19"/>
      <c r="G1660" s="27" t="str">
        <f aca="false">IF(B1660="","",IFERROR(INDEX(Jeux!$C$2:$C$3001,MATCH(B1660,Jeux!$A$2:$A$3001,0))&amp;"","⚠ jeu inconnu"))</f>
        <v/>
      </c>
      <c r="H1660" s="27" t="str">
        <f aca="false">IF(B1660="","",IFERROR(INDEX(Jeux!$D$2:$D$3001,MATCH(B1660,Jeux!$A$2:$A$3001,0))&amp;"",""))</f>
        <v/>
      </c>
      <c r="I1660" s="26" t="str">
        <f aca="false">IF(A1660="","",COUNTIF(Apparitions!$G$2:$G$5001,A1660))</f>
        <v/>
      </c>
      <c r="J1660" s="26" t="str">
        <f aca="false">IF(A1660="","",COUNTIFS(Apparitions!$G$2:$G$5001,A1660,Apparitions!$E$2:$E$5001,"○"))</f>
        <v/>
      </c>
      <c r="K1660" s="29" t="str">
        <f aca="false">IF(A1660="","",IFERROR(1/(1/_xlfn.MINIFS(Apparitions!$L$2:$L$5001,Apparitions!$G$2:$G$5001,A1660)),""))</f>
        <v/>
      </c>
      <c r="L1660" s="27" t="str">
        <f aca="false">IF(A1660="","",A1660&amp;" | "&amp;B1660&amp;IF(C1660="",""," ("&amp;C1660&amp;")")&amp;IF(D1660="",""," - "&amp;D1660))</f>
        <v/>
      </c>
    </row>
    <row r="1661" customFormat="false" ht="15" hidden="false" customHeight="false" outlineLevel="0" collapsed="false">
      <c r="A1661" s="32"/>
      <c r="B1661" s="19"/>
      <c r="C1661" s="19"/>
      <c r="D1661" s="19"/>
      <c r="E1661" s="21"/>
      <c r="F1661" s="19"/>
      <c r="G1661" s="27" t="str">
        <f aca="false">IF(B1661="","",IFERROR(INDEX(Jeux!$C$2:$C$3001,MATCH(B1661,Jeux!$A$2:$A$3001,0))&amp;"","⚠ jeu inconnu"))</f>
        <v/>
      </c>
      <c r="H1661" s="27" t="str">
        <f aca="false">IF(B1661="","",IFERROR(INDEX(Jeux!$D$2:$D$3001,MATCH(B1661,Jeux!$A$2:$A$3001,0))&amp;"",""))</f>
        <v/>
      </c>
      <c r="I1661" s="26" t="str">
        <f aca="false">IF(A1661="","",COUNTIF(Apparitions!$G$2:$G$5001,A1661))</f>
        <v/>
      </c>
      <c r="J1661" s="26" t="str">
        <f aca="false">IF(A1661="","",COUNTIFS(Apparitions!$G$2:$G$5001,A1661,Apparitions!$E$2:$E$5001,"○"))</f>
        <v/>
      </c>
      <c r="K1661" s="29" t="str">
        <f aca="false">IF(A1661="","",IFERROR(1/(1/_xlfn.MINIFS(Apparitions!$L$2:$L$5001,Apparitions!$G$2:$G$5001,A1661)),""))</f>
        <v/>
      </c>
      <c r="L1661" s="27" t="str">
        <f aca="false">IF(A1661="","",A1661&amp;" | "&amp;B1661&amp;IF(C1661="",""," ("&amp;C1661&amp;")")&amp;IF(D1661="",""," - "&amp;D1661))</f>
        <v/>
      </c>
    </row>
    <row r="1662" customFormat="false" ht="15" hidden="false" customHeight="false" outlineLevel="0" collapsed="false">
      <c r="A1662" s="32"/>
      <c r="B1662" s="19"/>
      <c r="C1662" s="19"/>
      <c r="D1662" s="19"/>
      <c r="E1662" s="21"/>
      <c r="F1662" s="19"/>
      <c r="G1662" s="27" t="str">
        <f aca="false">IF(B1662="","",IFERROR(INDEX(Jeux!$C$2:$C$3001,MATCH(B1662,Jeux!$A$2:$A$3001,0))&amp;"","⚠ jeu inconnu"))</f>
        <v/>
      </c>
      <c r="H1662" s="27" t="str">
        <f aca="false">IF(B1662="","",IFERROR(INDEX(Jeux!$D$2:$D$3001,MATCH(B1662,Jeux!$A$2:$A$3001,0))&amp;"",""))</f>
        <v/>
      </c>
      <c r="I1662" s="26" t="str">
        <f aca="false">IF(A1662="","",COUNTIF(Apparitions!$G$2:$G$5001,A1662))</f>
        <v/>
      </c>
      <c r="J1662" s="26" t="str">
        <f aca="false">IF(A1662="","",COUNTIFS(Apparitions!$G$2:$G$5001,A1662,Apparitions!$E$2:$E$5001,"○"))</f>
        <v/>
      </c>
      <c r="K1662" s="29" t="str">
        <f aca="false">IF(A1662="","",IFERROR(1/(1/_xlfn.MINIFS(Apparitions!$L$2:$L$5001,Apparitions!$G$2:$G$5001,A1662)),""))</f>
        <v/>
      </c>
      <c r="L1662" s="27" t="str">
        <f aca="false">IF(A1662="","",A1662&amp;" | "&amp;B1662&amp;IF(C1662="",""," ("&amp;C1662&amp;")")&amp;IF(D1662="",""," - "&amp;D1662))</f>
        <v/>
      </c>
    </row>
    <row r="1663" customFormat="false" ht="15" hidden="false" customHeight="false" outlineLevel="0" collapsed="false">
      <c r="A1663" s="32"/>
      <c r="B1663" s="19"/>
      <c r="C1663" s="19"/>
      <c r="D1663" s="19"/>
      <c r="E1663" s="21"/>
      <c r="F1663" s="19"/>
      <c r="G1663" s="27" t="str">
        <f aca="false">IF(B1663="","",IFERROR(INDEX(Jeux!$C$2:$C$3001,MATCH(B1663,Jeux!$A$2:$A$3001,0))&amp;"","⚠ jeu inconnu"))</f>
        <v/>
      </c>
      <c r="H1663" s="27" t="str">
        <f aca="false">IF(B1663="","",IFERROR(INDEX(Jeux!$D$2:$D$3001,MATCH(B1663,Jeux!$A$2:$A$3001,0))&amp;"",""))</f>
        <v/>
      </c>
      <c r="I1663" s="26" t="str">
        <f aca="false">IF(A1663="","",COUNTIF(Apparitions!$G$2:$G$5001,A1663))</f>
        <v/>
      </c>
      <c r="J1663" s="26" t="str">
        <f aca="false">IF(A1663="","",COUNTIFS(Apparitions!$G$2:$G$5001,A1663,Apparitions!$E$2:$E$5001,"○"))</f>
        <v/>
      </c>
      <c r="K1663" s="29" t="str">
        <f aca="false">IF(A1663="","",IFERROR(1/(1/_xlfn.MINIFS(Apparitions!$L$2:$L$5001,Apparitions!$G$2:$G$5001,A1663)),""))</f>
        <v/>
      </c>
      <c r="L1663" s="27" t="str">
        <f aca="false">IF(A1663="","",A1663&amp;" | "&amp;B1663&amp;IF(C1663="",""," ("&amp;C1663&amp;")")&amp;IF(D1663="",""," - "&amp;D1663))</f>
        <v/>
      </c>
    </row>
    <row r="1664" customFormat="false" ht="15" hidden="false" customHeight="false" outlineLevel="0" collapsed="false">
      <c r="A1664" s="32"/>
      <c r="B1664" s="19"/>
      <c r="C1664" s="19"/>
      <c r="D1664" s="19"/>
      <c r="E1664" s="21"/>
      <c r="F1664" s="19"/>
      <c r="G1664" s="27" t="str">
        <f aca="false">IF(B1664="","",IFERROR(INDEX(Jeux!$C$2:$C$3001,MATCH(B1664,Jeux!$A$2:$A$3001,0))&amp;"","⚠ jeu inconnu"))</f>
        <v/>
      </c>
      <c r="H1664" s="27" t="str">
        <f aca="false">IF(B1664="","",IFERROR(INDEX(Jeux!$D$2:$D$3001,MATCH(B1664,Jeux!$A$2:$A$3001,0))&amp;"",""))</f>
        <v/>
      </c>
      <c r="I1664" s="26" t="str">
        <f aca="false">IF(A1664="","",COUNTIF(Apparitions!$G$2:$G$5001,A1664))</f>
        <v/>
      </c>
      <c r="J1664" s="26" t="str">
        <f aca="false">IF(A1664="","",COUNTIFS(Apparitions!$G$2:$G$5001,A1664,Apparitions!$E$2:$E$5001,"○"))</f>
        <v/>
      </c>
      <c r="K1664" s="29" t="str">
        <f aca="false">IF(A1664="","",IFERROR(1/(1/_xlfn.MINIFS(Apparitions!$L$2:$L$5001,Apparitions!$G$2:$G$5001,A1664)),""))</f>
        <v/>
      </c>
      <c r="L1664" s="27" t="str">
        <f aca="false">IF(A1664="","",A1664&amp;" | "&amp;B1664&amp;IF(C1664="",""," ("&amp;C1664&amp;")")&amp;IF(D1664="",""," - "&amp;D1664))</f>
        <v/>
      </c>
    </row>
    <row r="1665" customFormat="false" ht="15" hidden="false" customHeight="false" outlineLevel="0" collapsed="false">
      <c r="A1665" s="32"/>
      <c r="B1665" s="19"/>
      <c r="C1665" s="19"/>
      <c r="D1665" s="19"/>
      <c r="E1665" s="21"/>
      <c r="F1665" s="19"/>
      <c r="G1665" s="27" t="str">
        <f aca="false">IF(B1665="","",IFERROR(INDEX(Jeux!$C$2:$C$3001,MATCH(B1665,Jeux!$A$2:$A$3001,0))&amp;"","⚠ jeu inconnu"))</f>
        <v/>
      </c>
      <c r="H1665" s="27" t="str">
        <f aca="false">IF(B1665="","",IFERROR(INDEX(Jeux!$D$2:$D$3001,MATCH(B1665,Jeux!$A$2:$A$3001,0))&amp;"",""))</f>
        <v/>
      </c>
      <c r="I1665" s="26" t="str">
        <f aca="false">IF(A1665="","",COUNTIF(Apparitions!$G$2:$G$5001,A1665))</f>
        <v/>
      </c>
      <c r="J1665" s="26" t="str">
        <f aca="false">IF(A1665="","",COUNTIFS(Apparitions!$G$2:$G$5001,A1665,Apparitions!$E$2:$E$5001,"○"))</f>
        <v/>
      </c>
      <c r="K1665" s="29" t="str">
        <f aca="false">IF(A1665="","",IFERROR(1/(1/_xlfn.MINIFS(Apparitions!$L$2:$L$5001,Apparitions!$G$2:$G$5001,A1665)),""))</f>
        <v/>
      </c>
      <c r="L1665" s="27" t="str">
        <f aca="false">IF(A1665="","",A1665&amp;" | "&amp;B1665&amp;IF(C1665="",""," ("&amp;C1665&amp;")")&amp;IF(D1665="",""," - "&amp;D1665))</f>
        <v/>
      </c>
    </row>
    <row r="1666" customFormat="false" ht="15" hidden="false" customHeight="false" outlineLevel="0" collapsed="false">
      <c r="A1666" s="32"/>
      <c r="B1666" s="19"/>
      <c r="C1666" s="19"/>
      <c r="D1666" s="19"/>
      <c r="E1666" s="21"/>
      <c r="F1666" s="19"/>
      <c r="G1666" s="27" t="str">
        <f aca="false">IF(B1666="","",IFERROR(INDEX(Jeux!$C$2:$C$3001,MATCH(B1666,Jeux!$A$2:$A$3001,0))&amp;"","⚠ jeu inconnu"))</f>
        <v/>
      </c>
      <c r="H1666" s="27" t="str">
        <f aca="false">IF(B1666="","",IFERROR(INDEX(Jeux!$D$2:$D$3001,MATCH(B1666,Jeux!$A$2:$A$3001,0))&amp;"",""))</f>
        <v/>
      </c>
      <c r="I1666" s="26" t="str">
        <f aca="false">IF(A1666="","",COUNTIF(Apparitions!$G$2:$G$5001,A1666))</f>
        <v/>
      </c>
      <c r="J1666" s="26" t="str">
        <f aca="false">IF(A1666="","",COUNTIFS(Apparitions!$G$2:$G$5001,A1666,Apparitions!$E$2:$E$5001,"○"))</f>
        <v/>
      </c>
      <c r="K1666" s="29" t="str">
        <f aca="false">IF(A1666="","",IFERROR(1/(1/_xlfn.MINIFS(Apparitions!$L$2:$L$5001,Apparitions!$G$2:$G$5001,A1666)),""))</f>
        <v/>
      </c>
      <c r="L1666" s="27" t="str">
        <f aca="false">IF(A1666="","",A1666&amp;" | "&amp;B1666&amp;IF(C1666="",""," ("&amp;C1666&amp;")")&amp;IF(D1666="",""," - "&amp;D1666))</f>
        <v/>
      </c>
    </row>
    <row r="1667" customFormat="false" ht="15" hidden="false" customHeight="false" outlineLevel="0" collapsed="false">
      <c r="A1667" s="32"/>
      <c r="B1667" s="19"/>
      <c r="C1667" s="19"/>
      <c r="D1667" s="19"/>
      <c r="E1667" s="21"/>
      <c r="F1667" s="19"/>
      <c r="G1667" s="27" t="str">
        <f aca="false">IF(B1667="","",IFERROR(INDEX(Jeux!$C$2:$C$3001,MATCH(B1667,Jeux!$A$2:$A$3001,0))&amp;"","⚠ jeu inconnu"))</f>
        <v/>
      </c>
      <c r="H1667" s="27" t="str">
        <f aca="false">IF(B1667="","",IFERROR(INDEX(Jeux!$D$2:$D$3001,MATCH(B1667,Jeux!$A$2:$A$3001,0))&amp;"",""))</f>
        <v/>
      </c>
      <c r="I1667" s="26" t="str">
        <f aca="false">IF(A1667="","",COUNTIF(Apparitions!$G$2:$G$5001,A1667))</f>
        <v/>
      </c>
      <c r="J1667" s="26" t="str">
        <f aca="false">IF(A1667="","",COUNTIFS(Apparitions!$G$2:$G$5001,A1667,Apparitions!$E$2:$E$5001,"○"))</f>
        <v/>
      </c>
      <c r="K1667" s="29" t="str">
        <f aca="false">IF(A1667="","",IFERROR(1/(1/_xlfn.MINIFS(Apparitions!$L$2:$L$5001,Apparitions!$G$2:$G$5001,A1667)),""))</f>
        <v/>
      </c>
      <c r="L1667" s="27" t="str">
        <f aca="false">IF(A1667="","",A1667&amp;" | "&amp;B1667&amp;IF(C1667="",""," ("&amp;C1667&amp;")")&amp;IF(D1667="",""," - "&amp;D1667))</f>
        <v/>
      </c>
    </row>
    <row r="1668" customFormat="false" ht="15" hidden="false" customHeight="false" outlineLevel="0" collapsed="false">
      <c r="A1668" s="32"/>
      <c r="B1668" s="19"/>
      <c r="C1668" s="19"/>
      <c r="D1668" s="19"/>
      <c r="E1668" s="21"/>
      <c r="F1668" s="19"/>
      <c r="G1668" s="27" t="str">
        <f aca="false">IF(B1668="","",IFERROR(INDEX(Jeux!$C$2:$C$3001,MATCH(B1668,Jeux!$A$2:$A$3001,0))&amp;"","⚠ jeu inconnu"))</f>
        <v/>
      </c>
      <c r="H1668" s="27" t="str">
        <f aca="false">IF(B1668="","",IFERROR(INDEX(Jeux!$D$2:$D$3001,MATCH(B1668,Jeux!$A$2:$A$3001,0))&amp;"",""))</f>
        <v/>
      </c>
      <c r="I1668" s="26" t="str">
        <f aca="false">IF(A1668="","",COUNTIF(Apparitions!$G$2:$G$5001,A1668))</f>
        <v/>
      </c>
      <c r="J1668" s="26" t="str">
        <f aca="false">IF(A1668="","",COUNTIFS(Apparitions!$G$2:$G$5001,A1668,Apparitions!$E$2:$E$5001,"○"))</f>
        <v/>
      </c>
      <c r="K1668" s="29" t="str">
        <f aca="false">IF(A1668="","",IFERROR(1/(1/_xlfn.MINIFS(Apparitions!$L$2:$L$5001,Apparitions!$G$2:$G$5001,A1668)),""))</f>
        <v/>
      </c>
      <c r="L1668" s="27" t="str">
        <f aca="false">IF(A1668="","",A1668&amp;" | "&amp;B1668&amp;IF(C1668="",""," ("&amp;C1668&amp;")")&amp;IF(D1668="",""," - "&amp;D1668))</f>
        <v/>
      </c>
    </row>
    <row r="1669" customFormat="false" ht="15" hidden="false" customHeight="false" outlineLevel="0" collapsed="false">
      <c r="A1669" s="32"/>
      <c r="B1669" s="19"/>
      <c r="C1669" s="19"/>
      <c r="D1669" s="19"/>
      <c r="E1669" s="21"/>
      <c r="F1669" s="19"/>
      <c r="G1669" s="27" t="str">
        <f aca="false">IF(B1669="","",IFERROR(INDEX(Jeux!$C$2:$C$3001,MATCH(B1669,Jeux!$A$2:$A$3001,0))&amp;"","⚠ jeu inconnu"))</f>
        <v/>
      </c>
      <c r="H1669" s="27" t="str">
        <f aca="false">IF(B1669="","",IFERROR(INDEX(Jeux!$D$2:$D$3001,MATCH(B1669,Jeux!$A$2:$A$3001,0))&amp;"",""))</f>
        <v/>
      </c>
      <c r="I1669" s="26" t="str">
        <f aca="false">IF(A1669="","",COUNTIF(Apparitions!$G$2:$G$5001,A1669))</f>
        <v/>
      </c>
      <c r="J1669" s="26" t="str">
        <f aca="false">IF(A1669="","",COUNTIFS(Apparitions!$G$2:$G$5001,A1669,Apparitions!$E$2:$E$5001,"○"))</f>
        <v/>
      </c>
      <c r="K1669" s="29" t="str">
        <f aca="false">IF(A1669="","",IFERROR(1/(1/_xlfn.MINIFS(Apparitions!$L$2:$L$5001,Apparitions!$G$2:$G$5001,A1669)),""))</f>
        <v/>
      </c>
      <c r="L1669" s="27" t="str">
        <f aca="false">IF(A1669="","",A1669&amp;" | "&amp;B1669&amp;IF(C1669="",""," ("&amp;C1669&amp;")")&amp;IF(D1669="",""," - "&amp;D1669))</f>
        <v/>
      </c>
    </row>
    <row r="1670" customFormat="false" ht="15" hidden="false" customHeight="false" outlineLevel="0" collapsed="false">
      <c r="A1670" s="32"/>
      <c r="B1670" s="19"/>
      <c r="C1670" s="19"/>
      <c r="D1670" s="19"/>
      <c r="E1670" s="21"/>
      <c r="F1670" s="19"/>
      <c r="G1670" s="27" t="str">
        <f aca="false">IF(B1670="","",IFERROR(INDEX(Jeux!$C$2:$C$3001,MATCH(B1670,Jeux!$A$2:$A$3001,0))&amp;"","⚠ jeu inconnu"))</f>
        <v/>
      </c>
      <c r="H1670" s="27" t="str">
        <f aca="false">IF(B1670="","",IFERROR(INDEX(Jeux!$D$2:$D$3001,MATCH(B1670,Jeux!$A$2:$A$3001,0))&amp;"",""))</f>
        <v/>
      </c>
      <c r="I1670" s="26" t="str">
        <f aca="false">IF(A1670="","",COUNTIF(Apparitions!$G$2:$G$5001,A1670))</f>
        <v/>
      </c>
      <c r="J1670" s="26" t="str">
        <f aca="false">IF(A1670="","",COUNTIFS(Apparitions!$G$2:$G$5001,A1670,Apparitions!$E$2:$E$5001,"○"))</f>
        <v/>
      </c>
      <c r="K1670" s="29" t="str">
        <f aca="false">IF(A1670="","",IFERROR(1/(1/_xlfn.MINIFS(Apparitions!$L$2:$L$5001,Apparitions!$G$2:$G$5001,A1670)),""))</f>
        <v/>
      </c>
      <c r="L1670" s="27" t="str">
        <f aca="false">IF(A1670="","",A1670&amp;" | "&amp;B1670&amp;IF(C1670="",""," ("&amp;C1670&amp;")")&amp;IF(D1670="",""," - "&amp;D1670))</f>
        <v/>
      </c>
    </row>
    <row r="1671" customFormat="false" ht="15" hidden="false" customHeight="false" outlineLevel="0" collapsed="false">
      <c r="A1671" s="32"/>
      <c r="B1671" s="19"/>
      <c r="C1671" s="19"/>
      <c r="D1671" s="19"/>
      <c r="E1671" s="21"/>
      <c r="F1671" s="19"/>
      <c r="G1671" s="27" t="str">
        <f aca="false">IF(B1671="","",IFERROR(INDEX(Jeux!$C$2:$C$3001,MATCH(B1671,Jeux!$A$2:$A$3001,0))&amp;"","⚠ jeu inconnu"))</f>
        <v/>
      </c>
      <c r="H1671" s="27" t="str">
        <f aca="false">IF(B1671="","",IFERROR(INDEX(Jeux!$D$2:$D$3001,MATCH(B1671,Jeux!$A$2:$A$3001,0))&amp;"",""))</f>
        <v/>
      </c>
      <c r="I1671" s="26" t="str">
        <f aca="false">IF(A1671="","",COUNTIF(Apparitions!$G$2:$G$5001,A1671))</f>
        <v/>
      </c>
      <c r="J1671" s="26" t="str">
        <f aca="false">IF(A1671="","",COUNTIFS(Apparitions!$G$2:$G$5001,A1671,Apparitions!$E$2:$E$5001,"○"))</f>
        <v/>
      </c>
      <c r="K1671" s="29" t="str">
        <f aca="false">IF(A1671="","",IFERROR(1/(1/_xlfn.MINIFS(Apparitions!$L$2:$L$5001,Apparitions!$G$2:$G$5001,A1671)),""))</f>
        <v/>
      </c>
      <c r="L1671" s="27" t="str">
        <f aca="false">IF(A1671="","",A1671&amp;" | "&amp;B1671&amp;IF(C1671="",""," ("&amp;C1671&amp;")")&amp;IF(D1671="",""," - "&amp;D1671))</f>
        <v/>
      </c>
    </row>
    <row r="1672" customFormat="false" ht="15" hidden="false" customHeight="false" outlineLevel="0" collapsed="false">
      <c r="A1672" s="32"/>
      <c r="B1672" s="19"/>
      <c r="C1672" s="19"/>
      <c r="D1672" s="19"/>
      <c r="E1672" s="21"/>
      <c r="F1672" s="19"/>
      <c r="G1672" s="27" t="str">
        <f aca="false">IF(B1672="","",IFERROR(INDEX(Jeux!$C$2:$C$3001,MATCH(B1672,Jeux!$A$2:$A$3001,0))&amp;"","⚠ jeu inconnu"))</f>
        <v/>
      </c>
      <c r="H1672" s="27" t="str">
        <f aca="false">IF(B1672="","",IFERROR(INDEX(Jeux!$D$2:$D$3001,MATCH(B1672,Jeux!$A$2:$A$3001,0))&amp;"",""))</f>
        <v/>
      </c>
      <c r="I1672" s="26" t="str">
        <f aca="false">IF(A1672="","",COUNTIF(Apparitions!$G$2:$G$5001,A1672))</f>
        <v/>
      </c>
      <c r="J1672" s="26" t="str">
        <f aca="false">IF(A1672="","",COUNTIFS(Apparitions!$G$2:$G$5001,A1672,Apparitions!$E$2:$E$5001,"○"))</f>
        <v/>
      </c>
      <c r="K1672" s="29" t="str">
        <f aca="false">IF(A1672="","",IFERROR(1/(1/_xlfn.MINIFS(Apparitions!$L$2:$L$5001,Apparitions!$G$2:$G$5001,A1672)),""))</f>
        <v/>
      </c>
      <c r="L1672" s="27" t="str">
        <f aca="false">IF(A1672="","",A1672&amp;" | "&amp;B1672&amp;IF(C1672="",""," ("&amp;C1672&amp;")")&amp;IF(D1672="",""," - "&amp;D1672))</f>
        <v/>
      </c>
    </row>
    <row r="1673" customFormat="false" ht="15" hidden="false" customHeight="false" outlineLevel="0" collapsed="false">
      <c r="A1673" s="32"/>
      <c r="B1673" s="19"/>
      <c r="C1673" s="19"/>
      <c r="D1673" s="19"/>
      <c r="E1673" s="21"/>
      <c r="F1673" s="19"/>
      <c r="G1673" s="27" t="str">
        <f aca="false">IF(B1673="","",IFERROR(INDEX(Jeux!$C$2:$C$3001,MATCH(B1673,Jeux!$A$2:$A$3001,0))&amp;"","⚠ jeu inconnu"))</f>
        <v/>
      </c>
      <c r="H1673" s="27" t="str">
        <f aca="false">IF(B1673="","",IFERROR(INDEX(Jeux!$D$2:$D$3001,MATCH(B1673,Jeux!$A$2:$A$3001,0))&amp;"",""))</f>
        <v/>
      </c>
      <c r="I1673" s="26" t="str">
        <f aca="false">IF(A1673="","",COUNTIF(Apparitions!$G$2:$G$5001,A1673))</f>
        <v/>
      </c>
      <c r="J1673" s="26" t="str">
        <f aca="false">IF(A1673="","",COUNTIFS(Apparitions!$G$2:$G$5001,A1673,Apparitions!$E$2:$E$5001,"○"))</f>
        <v/>
      </c>
      <c r="K1673" s="29" t="str">
        <f aca="false">IF(A1673="","",IFERROR(1/(1/_xlfn.MINIFS(Apparitions!$L$2:$L$5001,Apparitions!$G$2:$G$5001,A1673)),""))</f>
        <v/>
      </c>
      <c r="L1673" s="27" t="str">
        <f aca="false">IF(A1673="","",A1673&amp;" | "&amp;B1673&amp;IF(C1673="",""," ("&amp;C1673&amp;")")&amp;IF(D1673="",""," - "&amp;D1673))</f>
        <v/>
      </c>
    </row>
    <row r="1674" customFormat="false" ht="15" hidden="false" customHeight="false" outlineLevel="0" collapsed="false">
      <c r="A1674" s="32"/>
      <c r="B1674" s="19"/>
      <c r="C1674" s="19"/>
      <c r="D1674" s="19"/>
      <c r="E1674" s="21"/>
      <c r="F1674" s="19"/>
      <c r="G1674" s="27" t="str">
        <f aca="false">IF(B1674="","",IFERROR(INDEX(Jeux!$C$2:$C$3001,MATCH(B1674,Jeux!$A$2:$A$3001,0))&amp;"","⚠ jeu inconnu"))</f>
        <v/>
      </c>
      <c r="H1674" s="27" t="str">
        <f aca="false">IF(B1674="","",IFERROR(INDEX(Jeux!$D$2:$D$3001,MATCH(B1674,Jeux!$A$2:$A$3001,0))&amp;"",""))</f>
        <v/>
      </c>
      <c r="I1674" s="26" t="str">
        <f aca="false">IF(A1674="","",COUNTIF(Apparitions!$G$2:$G$5001,A1674))</f>
        <v/>
      </c>
      <c r="J1674" s="26" t="str">
        <f aca="false">IF(A1674="","",COUNTIFS(Apparitions!$G$2:$G$5001,A1674,Apparitions!$E$2:$E$5001,"○"))</f>
        <v/>
      </c>
      <c r="K1674" s="29" t="str">
        <f aca="false">IF(A1674="","",IFERROR(1/(1/_xlfn.MINIFS(Apparitions!$L$2:$L$5001,Apparitions!$G$2:$G$5001,A1674)),""))</f>
        <v/>
      </c>
      <c r="L1674" s="27" t="str">
        <f aca="false">IF(A1674="","",A1674&amp;" | "&amp;B1674&amp;IF(C1674="",""," ("&amp;C1674&amp;")")&amp;IF(D1674="",""," - "&amp;D1674))</f>
        <v/>
      </c>
    </row>
    <row r="1675" customFormat="false" ht="15" hidden="false" customHeight="false" outlineLevel="0" collapsed="false">
      <c r="A1675" s="32"/>
      <c r="B1675" s="19"/>
      <c r="C1675" s="19"/>
      <c r="D1675" s="19"/>
      <c r="E1675" s="21"/>
      <c r="F1675" s="19"/>
      <c r="G1675" s="27" t="str">
        <f aca="false">IF(B1675="","",IFERROR(INDEX(Jeux!$C$2:$C$3001,MATCH(B1675,Jeux!$A$2:$A$3001,0))&amp;"","⚠ jeu inconnu"))</f>
        <v/>
      </c>
      <c r="H1675" s="27" t="str">
        <f aca="false">IF(B1675="","",IFERROR(INDEX(Jeux!$D$2:$D$3001,MATCH(B1675,Jeux!$A$2:$A$3001,0))&amp;"",""))</f>
        <v/>
      </c>
      <c r="I1675" s="26" t="str">
        <f aca="false">IF(A1675="","",COUNTIF(Apparitions!$G$2:$G$5001,A1675))</f>
        <v/>
      </c>
      <c r="J1675" s="26" t="str">
        <f aca="false">IF(A1675="","",COUNTIFS(Apparitions!$G$2:$G$5001,A1675,Apparitions!$E$2:$E$5001,"○"))</f>
        <v/>
      </c>
      <c r="K1675" s="29" t="str">
        <f aca="false">IF(A1675="","",IFERROR(1/(1/_xlfn.MINIFS(Apparitions!$L$2:$L$5001,Apparitions!$G$2:$G$5001,A1675)),""))</f>
        <v/>
      </c>
      <c r="L1675" s="27" t="str">
        <f aca="false">IF(A1675="","",A1675&amp;" | "&amp;B1675&amp;IF(C1675="",""," ("&amp;C1675&amp;")")&amp;IF(D1675="",""," - "&amp;D1675))</f>
        <v/>
      </c>
    </row>
    <row r="1676" customFormat="false" ht="15" hidden="false" customHeight="false" outlineLevel="0" collapsed="false">
      <c r="A1676" s="32"/>
      <c r="B1676" s="19"/>
      <c r="C1676" s="19"/>
      <c r="D1676" s="19"/>
      <c r="E1676" s="21"/>
      <c r="F1676" s="19"/>
      <c r="G1676" s="27" t="str">
        <f aca="false">IF(B1676="","",IFERROR(INDEX(Jeux!$C$2:$C$3001,MATCH(B1676,Jeux!$A$2:$A$3001,0))&amp;"","⚠ jeu inconnu"))</f>
        <v/>
      </c>
      <c r="H1676" s="27" t="str">
        <f aca="false">IF(B1676="","",IFERROR(INDEX(Jeux!$D$2:$D$3001,MATCH(B1676,Jeux!$A$2:$A$3001,0))&amp;"",""))</f>
        <v/>
      </c>
      <c r="I1676" s="26" t="str">
        <f aca="false">IF(A1676="","",COUNTIF(Apparitions!$G$2:$G$5001,A1676))</f>
        <v/>
      </c>
      <c r="J1676" s="26" t="str">
        <f aca="false">IF(A1676="","",COUNTIFS(Apparitions!$G$2:$G$5001,A1676,Apparitions!$E$2:$E$5001,"○"))</f>
        <v/>
      </c>
      <c r="K1676" s="29" t="str">
        <f aca="false">IF(A1676="","",IFERROR(1/(1/_xlfn.MINIFS(Apparitions!$L$2:$L$5001,Apparitions!$G$2:$G$5001,A1676)),""))</f>
        <v/>
      </c>
      <c r="L1676" s="27" t="str">
        <f aca="false">IF(A1676="","",A1676&amp;" | "&amp;B1676&amp;IF(C1676="",""," ("&amp;C1676&amp;")")&amp;IF(D1676="",""," - "&amp;D1676))</f>
        <v/>
      </c>
    </row>
    <row r="1677" customFormat="false" ht="15" hidden="false" customHeight="false" outlineLevel="0" collapsed="false">
      <c r="A1677" s="32"/>
      <c r="B1677" s="19"/>
      <c r="C1677" s="19"/>
      <c r="D1677" s="19"/>
      <c r="E1677" s="21"/>
      <c r="F1677" s="19"/>
      <c r="G1677" s="27" t="str">
        <f aca="false">IF(B1677="","",IFERROR(INDEX(Jeux!$C$2:$C$3001,MATCH(B1677,Jeux!$A$2:$A$3001,0))&amp;"","⚠ jeu inconnu"))</f>
        <v/>
      </c>
      <c r="H1677" s="27" t="str">
        <f aca="false">IF(B1677="","",IFERROR(INDEX(Jeux!$D$2:$D$3001,MATCH(B1677,Jeux!$A$2:$A$3001,0))&amp;"",""))</f>
        <v/>
      </c>
      <c r="I1677" s="26" t="str">
        <f aca="false">IF(A1677="","",COUNTIF(Apparitions!$G$2:$G$5001,A1677))</f>
        <v/>
      </c>
      <c r="J1677" s="26" t="str">
        <f aca="false">IF(A1677="","",COUNTIFS(Apparitions!$G$2:$G$5001,A1677,Apparitions!$E$2:$E$5001,"○"))</f>
        <v/>
      </c>
      <c r="K1677" s="29" t="str">
        <f aca="false">IF(A1677="","",IFERROR(1/(1/_xlfn.MINIFS(Apparitions!$L$2:$L$5001,Apparitions!$G$2:$G$5001,A1677)),""))</f>
        <v/>
      </c>
      <c r="L1677" s="27" t="str">
        <f aca="false">IF(A1677="","",A1677&amp;" | "&amp;B1677&amp;IF(C1677="",""," ("&amp;C1677&amp;")")&amp;IF(D1677="",""," - "&amp;D1677))</f>
        <v/>
      </c>
    </row>
    <row r="1678" customFormat="false" ht="15" hidden="false" customHeight="false" outlineLevel="0" collapsed="false">
      <c r="A1678" s="32"/>
      <c r="B1678" s="19"/>
      <c r="C1678" s="19"/>
      <c r="D1678" s="19"/>
      <c r="E1678" s="21"/>
      <c r="F1678" s="19"/>
      <c r="G1678" s="27" t="str">
        <f aca="false">IF(B1678="","",IFERROR(INDEX(Jeux!$C$2:$C$3001,MATCH(B1678,Jeux!$A$2:$A$3001,0))&amp;"","⚠ jeu inconnu"))</f>
        <v/>
      </c>
      <c r="H1678" s="27" t="str">
        <f aca="false">IF(B1678="","",IFERROR(INDEX(Jeux!$D$2:$D$3001,MATCH(B1678,Jeux!$A$2:$A$3001,0))&amp;"",""))</f>
        <v/>
      </c>
      <c r="I1678" s="26" t="str">
        <f aca="false">IF(A1678="","",COUNTIF(Apparitions!$G$2:$G$5001,A1678))</f>
        <v/>
      </c>
      <c r="J1678" s="26" t="str">
        <f aca="false">IF(A1678="","",COUNTIFS(Apparitions!$G$2:$G$5001,A1678,Apparitions!$E$2:$E$5001,"○"))</f>
        <v/>
      </c>
      <c r="K1678" s="29" t="str">
        <f aca="false">IF(A1678="","",IFERROR(1/(1/_xlfn.MINIFS(Apparitions!$L$2:$L$5001,Apparitions!$G$2:$G$5001,A1678)),""))</f>
        <v/>
      </c>
      <c r="L1678" s="27" t="str">
        <f aca="false">IF(A1678="","",A1678&amp;" | "&amp;B1678&amp;IF(C1678="",""," ("&amp;C1678&amp;")")&amp;IF(D1678="",""," - "&amp;D1678))</f>
        <v/>
      </c>
    </row>
    <row r="1679" customFormat="false" ht="15" hidden="false" customHeight="false" outlineLevel="0" collapsed="false">
      <c r="A1679" s="32"/>
      <c r="B1679" s="19"/>
      <c r="C1679" s="19"/>
      <c r="D1679" s="19"/>
      <c r="E1679" s="21"/>
      <c r="F1679" s="19"/>
      <c r="G1679" s="27" t="str">
        <f aca="false">IF(B1679="","",IFERROR(INDEX(Jeux!$C$2:$C$3001,MATCH(B1679,Jeux!$A$2:$A$3001,0))&amp;"","⚠ jeu inconnu"))</f>
        <v/>
      </c>
      <c r="H1679" s="27" t="str">
        <f aca="false">IF(B1679="","",IFERROR(INDEX(Jeux!$D$2:$D$3001,MATCH(B1679,Jeux!$A$2:$A$3001,0))&amp;"",""))</f>
        <v/>
      </c>
      <c r="I1679" s="26" t="str">
        <f aca="false">IF(A1679="","",COUNTIF(Apparitions!$G$2:$G$5001,A1679))</f>
        <v/>
      </c>
      <c r="J1679" s="26" t="str">
        <f aca="false">IF(A1679="","",COUNTIFS(Apparitions!$G$2:$G$5001,A1679,Apparitions!$E$2:$E$5001,"○"))</f>
        <v/>
      </c>
      <c r="K1679" s="29" t="str">
        <f aca="false">IF(A1679="","",IFERROR(1/(1/_xlfn.MINIFS(Apparitions!$L$2:$L$5001,Apparitions!$G$2:$G$5001,A1679)),""))</f>
        <v/>
      </c>
      <c r="L1679" s="27" t="str">
        <f aca="false">IF(A1679="","",A1679&amp;" | "&amp;B1679&amp;IF(C1679="",""," ("&amp;C1679&amp;")")&amp;IF(D1679="",""," - "&amp;D1679))</f>
        <v/>
      </c>
    </row>
    <row r="1680" customFormat="false" ht="15" hidden="false" customHeight="false" outlineLevel="0" collapsed="false">
      <c r="A1680" s="32"/>
      <c r="B1680" s="19"/>
      <c r="C1680" s="19"/>
      <c r="D1680" s="19"/>
      <c r="E1680" s="21"/>
      <c r="F1680" s="19"/>
      <c r="G1680" s="27" t="str">
        <f aca="false">IF(B1680="","",IFERROR(INDEX(Jeux!$C$2:$C$3001,MATCH(B1680,Jeux!$A$2:$A$3001,0))&amp;"","⚠ jeu inconnu"))</f>
        <v/>
      </c>
      <c r="H1680" s="27" t="str">
        <f aca="false">IF(B1680="","",IFERROR(INDEX(Jeux!$D$2:$D$3001,MATCH(B1680,Jeux!$A$2:$A$3001,0))&amp;"",""))</f>
        <v/>
      </c>
      <c r="I1680" s="26" t="str">
        <f aca="false">IF(A1680="","",COUNTIF(Apparitions!$G$2:$G$5001,A1680))</f>
        <v/>
      </c>
      <c r="J1680" s="26" t="str">
        <f aca="false">IF(A1680="","",COUNTIFS(Apparitions!$G$2:$G$5001,A1680,Apparitions!$E$2:$E$5001,"○"))</f>
        <v/>
      </c>
      <c r="K1680" s="29" t="str">
        <f aca="false">IF(A1680="","",IFERROR(1/(1/_xlfn.MINIFS(Apparitions!$L$2:$L$5001,Apparitions!$G$2:$G$5001,A1680)),""))</f>
        <v/>
      </c>
      <c r="L1680" s="27" t="str">
        <f aca="false">IF(A1680="","",A1680&amp;" | "&amp;B1680&amp;IF(C1680="",""," ("&amp;C1680&amp;")")&amp;IF(D1680="",""," - "&amp;D1680))</f>
        <v/>
      </c>
    </row>
    <row r="1681" customFormat="false" ht="15" hidden="false" customHeight="false" outlineLevel="0" collapsed="false">
      <c r="A1681" s="32"/>
      <c r="B1681" s="19"/>
      <c r="C1681" s="19"/>
      <c r="D1681" s="19"/>
      <c r="E1681" s="21"/>
      <c r="F1681" s="19"/>
      <c r="G1681" s="27" t="str">
        <f aca="false">IF(B1681="","",IFERROR(INDEX(Jeux!$C$2:$C$3001,MATCH(B1681,Jeux!$A$2:$A$3001,0))&amp;"","⚠ jeu inconnu"))</f>
        <v/>
      </c>
      <c r="H1681" s="27" t="str">
        <f aca="false">IF(B1681="","",IFERROR(INDEX(Jeux!$D$2:$D$3001,MATCH(B1681,Jeux!$A$2:$A$3001,0))&amp;"",""))</f>
        <v/>
      </c>
      <c r="I1681" s="26" t="str">
        <f aca="false">IF(A1681="","",COUNTIF(Apparitions!$G$2:$G$5001,A1681))</f>
        <v/>
      </c>
      <c r="J1681" s="26" t="str">
        <f aca="false">IF(A1681="","",COUNTIFS(Apparitions!$G$2:$G$5001,A1681,Apparitions!$E$2:$E$5001,"○"))</f>
        <v/>
      </c>
      <c r="K1681" s="29" t="str">
        <f aca="false">IF(A1681="","",IFERROR(1/(1/_xlfn.MINIFS(Apparitions!$L$2:$L$5001,Apparitions!$G$2:$G$5001,A1681)),""))</f>
        <v/>
      </c>
      <c r="L1681" s="27" t="str">
        <f aca="false">IF(A1681="","",A1681&amp;" | "&amp;B1681&amp;IF(C1681="",""," ("&amp;C1681&amp;")")&amp;IF(D1681="",""," - "&amp;D1681))</f>
        <v/>
      </c>
    </row>
    <row r="1682" customFormat="false" ht="15" hidden="false" customHeight="false" outlineLevel="0" collapsed="false">
      <c r="A1682" s="32"/>
      <c r="B1682" s="19"/>
      <c r="C1682" s="19"/>
      <c r="D1682" s="19"/>
      <c r="E1682" s="21"/>
      <c r="F1682" s="19"/>
      <c r="G1682" s="27" t="str">
        <f aca="false">IF(B1682="","",IFERROR(INDEX(Jeux!$C$2:$C$3001,MATCH(B1682,Jeux!$A$2:$A$3001,0))&amp;"","⚠ jeu inconnu"))</f>
        <v/>
      </c>
      <c r="H1682" s="27" t="str">
        <f aca="false">IF(B1682="","",IFERROR(INDEX(Jeux!$D$2:$D$3001,MATCH(B1682,Jeux!$A$2:$A$3001,0))&amp;"",""))</f>
        <v/>
      </c>
      <c r="I1682" s="26" t="str">
        <f aca="false">IF(A1682="","",COUNTIF(Apparitions!$G$2:$G$5001,A1682))</f>
        <v/>
      </c>
      <c r="J1682" s="26" t="str">
        <f aca="false">IF(A1682="","",COUNTIFS(Apparitions!$G$2:$G$5001,A1682,Apparitions!$E$2:$E$5001,"○"))</f>
        <v/>
      </c>
      <c r="K1682" s="29" t="str">
        <f aca="false">IF(A1682="","",IFERROR(1/(1/_xlfn.MINIFS(Apparitions!$L$2:$L$5001,Apparitions!$G$2:$G$5001,A1682)),""))</f>
        <v/>
      </c>
      <c r="L1682" s="27" t="str">
        <f aca="false">IF(A1682="","",A1682&amp;" | "&amp;B1682&amp;IF(C1682="",""," ("&amp;C1682&amp;")")&amp;IF(D1682="",""," - "&amp;D1682))</f>
        <v/>
      </c>
    </row>
    <row r="1683" customFormat="false" ht="15" hidden="false" customHeight="false" outlineLevel="0" collapsed="false">
      <c r="A1683" s="32"/>
      <c r="B1683" s="19"/>
      <c r="C1683" s="19"/>
      <c r="D1683" s="19"/>
      <c r="E1683" s="21"/>
      <c r="F1683" s="19"/>
      <c r="G1683" s="27" t="str">
        <f aca="false">IF(B1683="","",IFERROR(INDEX(Jeux!$C$2:$C$3001,MATCH(B1683,Jeux!$A$2:$A$3001,0))&amp;"","⚠ jeu inconnu"))</f>
        <v/>
      </c>
      <c r="H1683" s="27" t="str">
        <f aca="false">IF(B1683="","",IFERROR(INDEX(Jeux!$D$2:$D$3001,MATCH(B1683,Jeux!$A$2:$A$3001,0))&amp;"",""))</f>
        <v/>
      </c>
      <c r="I1683" s="26" t="str">
        <f aca="false">IF(A1683="","",COUNTIF(Apparitions!$G$2:$G$5001,A1683))</f>
        <v/>
      </c>
      <c r="J1683" s="26" t="str">
        <f aca="false">IF(A1683="","",COUNTIFS(Apparitions!$G$2:$G$5001,A1683,Apparitions!$E$2:$E$5001,"○"))</f>
        <v/>
      </c>
      <c r="K1683" s="29" t="str">
        <f aca="false">IF(A1683="","",IFERROR(1/(1/_xlfn.MINIFS(Apparitions!$L$2:$L$5001,Apparitions!$G$2:$G$5001,A1683)),""))</f>
        <v/>
      </c>
      <c r="L1683" s="27" t="str">
        <f aca="false">IF(A1683="","",A1683&amp;" | "&amp;B1683&amp;IF(C1683="",""," ("&amp;C1683&amp;")")&amp;IF(D1683="",""," - "&amp;D1683))</f>
        <v/>
      </c>
    </row>
    <row r="1684" customFormat="false" ht="15" hidden="false" customHeight="false" outlineLevel="0" collapsed="false">
      <c r="A1684" s="32"/>
      <c r="B1684" s="19"/>
      <c r="C1684" s="19"/>
      <c r="D1684" s="19"/>
      <c r="E1684" s="21"/>
      <c r="F1684" s="19"/>
      <c r="G1684" s="27" t="str">
        <f aca="false">IF(B1684="","",IFERROR(INDEX(Jeux!$C$2:$C$3001,MATCH(B1684,Jeux!$A$2:$A$3001,0))&amp;"","⚠ jeu inconnu"))</f>
        <v/>
      </c>
      <c r="H1684" s="27" t="str">
        <f aca="false">IF(B1684="","",IFERROR(INDEX(Jeux!$D$2:$D$3001,MATCH(B1684,Jeux!$A$2:$A$3001,0))&amp;"",""))</f>
        <v/>
      </c>
      <c r="I1684" s="26" t="str">
        <f aca="false">IF(A1684="","",COUNTIF(Apparitions!$G$2:$G$5001,A1684))</f>
        <v/>
      </c>
      <c r="J1684" s="26" t="str">
        <f aca="false">IF(A1684="","",COUNTIFS(Apparitions!$G$2:$G$5001,A1684,Apparitions!$E$2:$E$5001,"○"))</f>
        <v/>
      </c>
      <c r="K1684" s="29" t="str">
        <f aca="false">IF(A1684="","",IFERROR(1/(1/_xlfn.MINIFS(Apparitions!$L$2:$L$5001,Apparitions!$G$2:$G$5001,A1684)),""))</f>
        <v/>
      </c>
      <c r="L1684" s="27" t="str">
        <f aca="false">IF(A1684="","",A1684&amp;" | "&amp;B1684&amp;IF(C1684="",""," ("&amp;C1684&amp;")")&amp;IF(D1684="",""," - "&amp;D1684))</f>
        <v/>
      </c>
    </row>
    <row r="1685" customFormat="false" ht="15" hidden="false" customHeight="false" outlineLevel="0" collapsed="false">
      <c r="A1685" s="32"/>
      <c r="B1685" s="19"/>
      <c r="C1685" s="19"/>
      <c r="D1685" s="19"/>
      <c r="E1685" s="21"/>
      <c r="F1685" s="19"/>
      <c r="G1685" s="27" t="str">
        <f aca="false">IF(B1685="","",IFERROR(INDEX(Jeux!$C$2:$C$3001,MATCH(B1685,Jeux!$A$2:$A$3001,0))&amp;"","⚠ jeu inconnu"))</f>
        <v/>
      </c>
      <c r="H1685" s="27" t="str">
        <f aca="false">IF(B1685="","",IFERROR(INDEX(Jeux!$D$2:$D$3001,MATCH(B1685,Jeux!$A$2:$A$3001,0))&amp;"",""))</f>
        <v/>
      </c>
      <c r="I1685" s="26" t="str">
        <f aca="false">IF(A1685="","",COUNTIF(Apparitions!$G$2:$G$5001,A1685))</f>
        <v/>
      </c>
      <c r="J1685" s="26" t="str">
        <f aca="false">IF(A1685="","",COUNTIFS(Apparitions!$G$2:$G$5001,A1685,Apparitions!$E$2:$E$5001,"○"))</f>
        <v/>
      </c>
      <c r="K1685" s="29" t="str">
        <f aca="false">IF(A1685="","",IFERROR(1/(1/_xlfn.MINIFS(Apparitions!$L$2:$L$5001,Apparitions!$G$2:$G$5001,A1685)),""))</f>
        <v/>
      </c>
      <c r="L1685" s="27" t="str">
        <f aca="false">IF(A1685="","",A1685&amp;" | "&amp;B1685&amp;IF(C1685="",""," ("&amp;C1685&amp;")")&amp;IF(D1685="",""," - "&amp;D1685))</f>
        <v/>
      </c>
    </row>
    <row r="1686" customFormat="false" ht="15" hidden="false" customHeight="false" outlineLevel="0" collapsed="false">
      <c r="A1686" s="32"/>
      <c r="B1686" s="19"/>
      <c r="C1686" s="19"/>
      <c r="D1686" s="19"/>
      <c r="E1686" s="21"/>
      <c r="F1686" s="19"/>
      <c r="G1686" s="27" t="str">
        <f aca="false">IF(B1686="","",IFERROR(INDEX(Jeux!$C$2:$C$3001,MATCH(B1686,Jeux!$A$2:$A$3001,0))&amp;"","⚠ jeu inconnu"))</f>
        <v/>
      </c>
      <c r="H1686" s="27" t="str">
        <f aca="false">IF(B1686="","",IFERROR(INDEX(Jeux!$D$2:$D$3001,MATCH(B1686,Jeux!$A$2:$A$3001,0))&amp;"",""))</f>
        <v/>
      </c>
      <c r="I1686" s="26" t="str">
        <f aca="false">IF(A1686="","",COUNTIF(Apparitions!$G$2:$G$5001,A1686))</f>
        <v/>
      </c>
      <c r="J1686" s="26" t="str">
        <f aca="false">IF(A1686="","",COUNTIFS(Apparitions!$G$2:$G$5001,A1686,Apparitions!$E$2:$E$5001,"○"))</f>
        <v/>
      </c>
      <c r="K1686" s="29" t="str">
        <f aca="false">IF(A1686="","",IFERROR(1/(1/_xlfn.MINIFS(Apparitions!$L$2:$L$5001,Apparitions!$G$2:$G$5001,A1686)),""))</f>
        <v/>
      </c>
      <c r="L1686" s="27" t="str">
        <f aca="false">IF(A1686="","",A1686&amp;" | "&amp;B1686&amp;IF(C1686="",""," ("&amp;C1686&amp;")")&amp;IF(D1686="",""," - "&amp;D1686))</f>
        <v/>
      </c>
    </row>
    <row r="1687" customFormat="false" ht="15" hidden="false" customHeight="false" outlineLevel="0" collapsed="false">
      <c r="A1687" s="32"/>
      <c r="B1687" s="19"/>
      <c r="C1687" s="19"/>
      <c r="D1687" s="19"/>
      <c r="E1687" s="21"/>
      <c r="F1687" s="19"/>
      <c r="G1687" s="27" t="str">
        <f aca="false">IF(B1687="","",IFERROR(INDEX(Jeux!$C$2:$C$3001,MATCH(B1687,Jeux!$A$2:$A$3001,0))&amp;"","⚠ jeu inconnu"))</f>
        <v/>
      </c>
      <c r="H1687" s="27" t="str">
        <f aca="false">IF(B1687="","",IFERROR(INDEX(Jeux!$D$2:$D$3001,MATCH(B1687,Jeux!$A$2:$A$3001,0))&amp;"",""))</f>
        <v/>
      </c>
      <c r="I1687" s="26" t="str">
        <f aca="false">IF(A1687="","",COUNTIF(Apparitions!$G$2:$G$5001,A1687))</f>
        <v/>
      </c>
      <c r="J1687" s="26" t="str">
        <f aca="false">IF(A1687="","",COUNTIFS(Apparitions!$G$2:$G$5001,A1687,Apparitions!$E$2:$E$5001,"○"))</f>
        <v/>
      </c>
      <c r="K1687" s="29" t="str">
        <f aca="false">IF(A1687="","",IFERROR(1/(1/_xlfn.MINIFS(Apparitions!$L$2:$L$5001,Apparitions!$G$2:$G$5001,A1687)),""))</f>
        <v/>
      </c>
      <c r="L1687" s="27" t="str">
        <f aca="false">IF(A1687="","",A1687&amp;" | "&amp;B1687&amp;IF(C1687="",""," ("&amp;C1687&amp;")")&amp;IF(D1687="",""," - "&amp;D1687))</f>
        <v/>
      </c>
    </row>
    <row r="1688" customFormat="false" ht="15" hidden="false" customHeight="false" outlineLevel="0" collapsed="false">
      <c r="A1688" s="32"/>
      <c r="B1688" s="19"/>
      <c r="C1688" s="19"/>
      <c r="D1688" s="19"/>
      <c r="E1688" s="21"/>
      <c r="F1688" s="19"/>
      <c r="G1688" s="27" t="str">
        <f aca="false">IF(B1688="","",IFERROR(INDEX(Jeux!$C$2:$C$3001,MATCH(B1688,Jeux!$A$2:$A$3001,0))&amp;"","⚠ jeu inconnu"))</f>
        <v/>
      </c>
      <c r="H1688" s="27" t="str">
        <f aca="false">IF(B1688="","",IFERROR(INDEX(Jeux!$D$2:$D$3001,MATCH(B1688,Jeux!$A$2:$A$3001,0))&amp;"",""))</f>
        <v/>
      </c>
      <c r="I1688" s="26" t="str">
        <f aca="false">IF(A1688="","",COUNTIF(Apparitions!$G$2:$G$5001,A1688))</f>
        <v/>
      </c>
      <c r="J1688" s="26" t="str">
        <f aca="false">IF(A1688="","",COUNTIFS(Apparitions!$G$2:$G$5001,A1688,Apparitions!$E$2:$E$5001,"○"))</f>
        <v/>
      </c>
      <c r="K1688" s="29" t="str">
        <f aca="false">IF(A1688="","",IFERROR(1/(1/_xlfn.MINIFS(Apparitions!$L$2:$L$5001,Apparitions!$G$2:$G$5001,A1688)),""))</f>
        <v/>
      </c>
      <c r="L1688" s="27" t="str">
        <f aca="false">IF(A1688="","",A1688&amp;" | "&amp;B1688&amp;IF(C1688="",""," ("&amp;C1688&amp;")")&amp;IF(D1688="",""," - "&amp;D1688))</f>
        <v/>
      </c>
    </row>
    <row r="1689" customFormat="false" ht="15" hidden="false" customHeight="false" outlineLevel="0" collapsed="false">
      <c r="A1689" s="32"/>
      <c r="B1689" s="19"/>
      <c r="C1689" s="19"/>
      <c r="D1689" s="19"/>
      <c r="E1689" s="21"/>
      <c r="F1689" s="19"/>
      <c r="G1689" s="27" t="str">
        <f aca="false">IF(B1689="","",IFERROR(INDEX(Jeux!$C$2:$C$3001,MATCH(B1689,Jeux!$A$2:$A$3001,0))&amp;"","⚠ jeu inconnu"))</f>
        <v/>
      </c>
      <c r="H1689" s="27" t="str">
        <f aca="false">IF(B1689="","",IFERROR(INDEX(Jeux!$D$2:$D$3001,MATCH(B1689,Jeux!$A$2:$A$3001,0))&amp;"",""))</f>
        <v/>
      </c>
      <c r="I1689" s="26" t="str">
        <f aca="false">IF(A1689="","",COUNTIF(Apparitions!$G$2:$G$5001,A1689))</f>
        <v/>
      </c>
      <c r="J1689" s="26" t="str">
        <f aca="false">IF(A1689="","",COUNTIFS(Apparitions!$G$2:$G$5001,A1689,Apparitions!$E$2:$E$5001,"○"))</f>
        <v/>
      </c>
      <c r="K1689" s="29" t="str">
        <f aca="false">IF(A1689="","",IFERROR(1/(1/_xlfn.MINIFS(Apparitions!$L$2:$L$5001,Apparitions!$G$2:$G$5001,A1689)),""))</f>
        <v/>
      </c>
      <c r="L1689" s="27" t="str">
        <f aca="false">IF(A1689="","",A1689&amp;" | "&amp;B1689&amp;IF(C1689="",""," ("&amp;C1689&amp;")")&amp;IF(D1689="",""," - "&amp;D1689))</f>
        <v/>
      </c>
    </row>
    <row r="1690" customFormat="false" ht="15" hidden="false" customHeight="false" outlineLevel="0" collapsed="false">
      <c r="A1690" s="32"/>
      <c r="B1690" s="19"/>
      <c r="C1690" s="19"/>
      <c r="D1690" s="19"/>
      <c r="E1690" s="21"/>
      <c r="F1690" s="19"/>
      <c r="G1690" s="27" t="str">
        <f aca="false">IF(B1690="","",IFERROR(INDEX(Jeux!$C$2:$C$3001,MATCH(B1690,Jeux!$A$2:$A$3001,0))&amp;"","⚠ jeu inconnu"))</f>
        <v/>
      </c>
      <c r="H1690" s="27" t="str">
        <f aca="false">IF(B1690="","",IFERROR(INDEX(Jeux!$D$2:$D$3001,MATCH(B1690,Jeux!$A$2:$A$3001,0))&amp;"",""))</f>
        <v/>
      </c>
      <c r="I1690" s="26" t="str">
        <f aca="false">IF(A1690="","",COUNTIF(Apparitions!$G$2:$G$5001,A1690))</f>
        <v/>
      </c>
      <c r="J1690" s="26" t="str">
        <f aca="false">IF(A1690="","",COUNTIFS(Apparitions!$G$2:$G$5001,A1690,Apparitions!$E$2:$E$5001,"○"))</f>
        <v/>
      </c>
      <c r="K1690" s="29" t="str">
        <f aca="false">IF(A1690="","",IFERROR(1/(1/_xlfn.MINIFS(Apparitions!$L$2:$L$5001,Apparitions!$G$2:$G$5001,A1690)),""))</f>
        <v/>
      </c>
      <c r="L1690" s="27" t="str">
        <f aca="false">IF(A1690="","",A1690&amp;" | "&amp;B1690&amp;IF(C1690="",""," ("&amp;C1690&amp;")")&amp;IF(D1690="",""," - "&amp;D1690))</f>
        <v/>
      </c>
    </row>
    <row r="1691" customFormat="false" ht="15" hidden="false" customHeight="false" outlineLevel="0" collapsed="false">
      <c r="A1691" s="32"/>
      <c r="B1691" s="19"/>
      <c r="C1691" s="19"/>
      <c r="D1691" s="19"/>
      <c r="E1691" s="21"/>
      <c r="F1691" s="19"/>
      <c r="G1691" s="27" t="str">
        <f aca="false">IF(B1691="","",IFERROR(INDEX(Jeux!$C$2:$C$3001,MATCH(B1691,Jeux!$A$2:$A$3001,0))&amp;"","⚠ jeu inconnu"))</f>
        <v/>
      </c>
      <c r="H1691" s="27" t="str">
        <f aca="false">IF(B1691="","",IFERROR(INDEX(Jeux!$D$2:$D$3001,MATCH(B1691,Jeux!$A$2:$A$3001,0))&amp;"",""))</f>
        <v/>
      </c>
      <c r="I1691" s="26" t="str">
        <f aca="false">IF(A1691="","",COUNTIF(Apparitions!$G$2:$G$5001,A1691))</f>
        <v/>
      </c>
      <c r="J1691" s="26" t="str">
        <f aca="false">IF(A1691="","",COUNTIFS(Apparitions!$G$2:$G$5001,A1691,Apparitions!$E$2:$E$5001,"○"))</f>
        <v/>
      </c>
      <c r="K1691" s="29" t="str">
        <f aca="false">IF(A1691="","",IFERROR(1/(1/_xlfn.MINIFS(Apparitions!$L$2:$L$5001,Apparitions!$G$2:$G$5001,A1691)),""))</f>
        <v/>
      </c>
      <c r="L1691" s="27" t="str">
        <f aca="false">IF(A1691="","",A1691&amp;" | "&amp;B1691&amp;IF(C1691="",""," ("&amp;C1691&amp;")")&amp;IF(D1691="",""," - "&amp;D1691))</f>
        <v/>
      </c>
    </row>
    <row r="1692" customFormat="false" ht="15" hidden="false" customHeight="false" outlineLevel="0" collapsed="false">
      <c r="A1692" s="32"/>
      <c r="B1692" s="19"/>
      <c r="C1692" s="19"/>
      <c r="D1692" s="19"/>
      <c r="E1692" s="21"/>
      <c r="F1692" s="19"/>
      <c r="G1692" s="27" t="str">
        <f aca="false">IF(B1692="","",IFERROR(INDEX(Jeux!$C$2:$C$3001,MATCH(B1692,Jeux!$A$2:$A$3001,0))&amp;"","⚠ jeu inconnu"))</f>
        <v/>
      </c>
      <c r="H1692" s="27" t="str">
        <f aca="false">IF(B1692="","",IFERROR(INDEX(Jeux!$D$2:$D$3001,MATCH(B1692,Jeux!$A$2:$A$3001,0))&amp;"",""))</f>
        <v/>
      </c>
      <c r="I1692" s="26" t="str">
        <f aca="false">IF(A1692="","",COUNTIF(Apparitions!$G$2:$G$5001,A1692))</f>
        <v/>
      </c>
      <c r="J1692" s="26" t="str">
        <f aca="false">IF(A1692="","",COUNTIFS(Apparitions!$G$2:$G$5001,A1692,Apparitions!$E$2:$E$5001,"○"))</f>
        <v/>
      </c>
      <c r="K1692" s="29" t="str">
        <f aca="false">IF(A1692="","",IFERROR(1/(1/_xlfn.MINIFS(Apparitions!$L$2:$L$5001,Apparitions!$G$2:$G$5001,A1692)),""))</f>
        <v/>
      </c>
      <c r="L1692" s="27" t="str">
        <f aca="false">IF(A1692="","",A1692&amp;" | "&amp;B1692&amp;IF(C1692="",""," ("&amp;C1692&amp;")")&amp;IF(D1692="",""," - "&amp;D1692))</f>
        <v/>
      </c>
    </row>
    <row r="1693" customFormat="false" ht="15" hidden="false" customHeight="false" outlineLevel="0" collapsed="false">
      <c r="A1693" s="32"/>
      <c r="B1693" s="19"/>
      <c r="C1693" s="19"/>
      <c r="D1693" s="19"/>
      <c r="E1693" s="21"/>
      <c r="F1693" s="19"/>
      <c r="G1693" s="27" t="str">
        <f aca="false">IF(B1693="","",IFERROR(INDEX(Jeux!$C$2:$C$3001,MATCH(B1693,Jeux!$A$2:$A$3001,0))&amp;"","⚠ jeu inconnu"))</f>
        <v/>
      </c>
      <c r="H1693" s="27" t="str">
        <f aca="false">IF(B1693="","",IFERROR(INDEX(Jeux!$D$2:$D$3001,MATCH(B1693,Jeux!$A$2:$A$3001,0))&amp;"",""))</f>
        <v/>
      </c>
      <c r="I1693" s="26" t="str">
        <f aca="false">IF(A1693="","",COUNTIF(Apparitions!$G$2:$G$5001,A1693))</f>
        <v/>
      </c>
      <c r="J1693" s="26" t="str">
        <f aca="false">IF(A1693="","",COUNTIFS(Apparitions!$G$2:$G$5001,A1693,Apparitions!$E$2:$E$5001,"○"))</f>
        <v/>
      </c>
      <c r="K1693" s="29" t="str">
        <f aca="false">IF(A1693="","",IFERROR(1/(1/_xlfn.MINIFS(Apparitions!$L$2:$L$5001,Apparitions!$G$2:$G$5001,A1693)),""))</f>
        <v/>
      </c>
      <c r="L1693" s="27" t="str">
        <f aca="false">IF(A1693="","",A1693&amp;" | "&amp;B1693&amp;IF(C1693="",""," ("&amp;C1693&amp;")")&amp;IF(D1693="",""," - "&amp;D1693))</f>
        <v/>
      </c>
    </row>
    <row r="1694" customFormat="false" ht="15" hidden="false" customHeight="false" outlineLevel="0" collapsed="false">
      <c r="A1694" s="32"/>
      <c r="B1694" s="19"/>
      <c r="C1694" s="19"/>
      <c r="D1694" s="19"/>
      <c r="E1694" s="21"/>
      <c r="F1694" s="19"/>
      <c r="G1694" s="27" t="str">
        <f aca="false">IF(B1694="","",IFERROR(INDEX(Jeux!$C$2:$C$3001,MATCH(B1694,Jeux!$A$2:$A$3001,0))&amp;"","⚠ jeu inconnu"))</f>
        <v/>
      </c>
      <c r="H1694" s="27" t="str">
        <f aca="false">IF(B1694="","",IFERROR(INDEX(Jeux!$D$2:$D$3001,MATCH(B1694,Jeux!$A$2:$A$3001,0))&amp;"",""))</f>
        <v/>
      </c>
      <c r="I1694" s="26" t="str">
        <f aca="false">IF(A1694="","",COUNTIF(Apparitions!$G$2:$G$5001,A1694))</f>
        <v/>
      </c>
      <c r="J1694" s="26" t="str">
        <f aca="false">IF(A1694="","",COUNTIFS(Apparitions!$G$2:$G$5001,A1694,Apparitions!$E$2:$E$5001,"○"))</f>
        <v/>
      </c>
      <c r="K1694" s="29" t="str">
        <f aca="false">IF(A1694="","",IFERROR(1/(1/_xlfn.MINIFS(Apparitions!$L$2:$L$5001,Apparitions!$G$2:$G$5001,A1694)),""))</f>
        <v/>
      </c>
      <c r="L1694" s="27" t="str">
        <f aca="false">IF(A1694="","",A1694&amp;" | "&amp;B1694&amp;IF(C1694="",""," ("&amp;C1694&amp;")")&amp;IF(D1694="",""," - "&amp;D1694))</f>
        <v/>
      </c>
    </row>
    <row r="1695" customFormat="false" ht="15" hidden="false" customHeight="false" outlineLevel="0" collapsed="false">
      <c r="A1695" s="32"/>
      <c r="B1695" s="19"/>
      <c r="C1695" s="19"/>
      <c r="D1695" s="19"/>
      <c r="E1695" s="21"/>
      <c r="F1695" s="19"/>
      <c r="G1695" s="27" t="str">
        <f aca="false">IF(B1695="","",IFERROR(INDEX(Jeux!$C$2:$C$3001,MATCH(B1695,Jeux!$A$2:$A$3001,0))&amp;"","⚠ jeu inconnu"))</f>
        <v/>
      </c>
      <c r="H1695" s="27" t="str">
        <f aca="false">IF(B1695="","",IFERROR(INDEX(Jeux!$D$2:$D$3001,MATCH(B1695,Jeux!$A$2:$A$3001,0))&amp;"",""))</f>
        <v/>
      </c>
      <c r="I1695" s="26" t="str">
        <f aca="false">IF(A1695="","",COUNTIF(Apparitions!$G$2:$G$5001,A1695))</f>
        <v/>
      </c>
      <c r="J1695" s="26" t="str">
        <f aca="false">IF(A1695="","",COUNTIFS(Apparitions!$G$2:$G$5001,A1695,Apparitions!$E$2:$E$5001,"○"))</f>
        <v/>
      </c>
      <c r="K1695" s="29" t="str">
        <f aca="false">IF(A1695="","",IFERROR(1/(1/_xlfn.MINIFS(Apparitions!$L$2:$L$5001,Apparitions!$G$2:$G$5001,A1695)),""))</f>
        <v/>
      </c>
      <c r="L1695" s="27" t="str">
        <f aca="false">IF(A1695="","",A1695&amp;" | "&amp;B1695&amp;IF(C1695="",""," ("&amp;C1695&amp;")")&amp;IF(D1695="",""," - "&amp;D1695))</f>
        <v/>
      </c>
    </row>
    <row r="1696" customFormat="false" ht="15" hidden="false" customHeight="false" outlineLevel="0" collapsed="false">
      <c r="A1696" s="32"/>
      <c r="B1696" s="19"/>
      <c r="C1696" s="19"/>
      <c r="D1696" s="19"/>
      <c r="E1696" s="21"/>
      <c r="F1696" s="19"/>
      <c r="G1696" s="27" t="str">
        <f aca="false">IF(B1696="","",IFERROR(INDEX(Jeux!$C$2:$C$3001,MATCH(B1696,Jeux!$A$2:$A$3001,0))&amp;"","⚠ jeu inconnu"))</f>
        <v/>
      </c>
      <c r="H1696" s="27" t="str">
        <f aca="false">IF(B1696="","",IFERROR(INDEX(Jeux!$D$2:$D$3001,MATCH(B1696,Jeux!$A$2:$A$3001,0))&amp;"",""))</f>
        <v/>
      </c>
      <c r="I1696" s="26" t="str">
        <f aca="false">IF(A1696="","",COUNTIF(Apparitions!$G$2:$G$5001,A1696))</f>
        <v/>
      </c>
      <c r="J1696" s="26" t="str">
        <f aca="false">IF(A1696="","",COUNTIFS(Apparitions!$G$2:$G$5001,A1696,Apparitions!$E$2:$E$5001,"○"))</f>
        <v/>
      </c>
      <c r="K1696" s="29" t="str">
        <f aca="false">IF(A1696="","",IFERROR(1/(1/_xlfn.MINIFS(Apparitions!$L$2:$L$5001,Apparitions!$G$2:$G$5001,A1696)),""))</f>
        <v/>
      </c>
      <c r="L1696" s="27" t="str">
        <f aca="false">IF(A1696="","",A1696&amp;" | "&amp;B1696&amp;IF(C1696="",""," ("&amp;C1696&amp;")")&amp;IF(D1696="",""," - "&amp;D1696))</f>
        <v/>
      </c>
    </row>
    <row r="1697" customFormat="false" ht="15" hidden="false" customHeight="false" outlineLevel="0" collapsed="false">
      <c r="A1697" s="32"/>
      <c r="B1697" s="19"/>
      <c r="C1697" s="19"/>
      <c r="D1697" s="19"/>
      <c r="E1697" s="21"/>
      <c r="F1697" s="19"/>
      <c r="G1697" s="27" t="str">
        <f aca="false">IF(B1697="","",IFERROR(INDEX(Jeux!$C$2:$C$3001,MATCH(B1697,Jeux!$A$2:$A$3001,0))&amp;"","⚠ jeu inconnu"))</f>
        <v/>
      </c>
      <c r="H1697" s="27" t="str">
        <f aca="false">IF(B1697="","",IFERROR(INDEX(Jeux!$D$2:$D$3001,MATCH(B1697,Jeux!$A$2:$A$3001,0))&amp;"",""))</f>
        <v/>
      </c>
      <c r="I1697" s="26" t="str">
        <f aca="false">IF(A1697="","",COUNTIF(Apparitions!$G$2:$G$5001,A1697))</f>
        <v/>
      </c>
      <c r="J1697" s="26" t="str">
        <f aca="false">IF(A1697="","",COUNTIFS(Apparitions!$G$2:$G$5001,A1697,Apparitions!$E$2:$E$5001,"○"))</f>
        <v/>
      </c>
      <c r="K1697" s="29" t="str">
        <f aca="false">IF(A1697="","",IFERROR(1/(1/_xlfn.MINIFS(Apparitions!$L$2:$L$5001,Apparitions!$G$2:$G$5001,A1697)),""))</f>
        <v/>
      </c>
      <c r="L1697" s="27" t="str">
        <f aca="false">IF(A1697="","",A1697&amp;" | "&amp;B1697&amp;IF(C1697="",""," ("&amp;C1697&amp;")")&amp;IF(D1697="",""," - "&amp;D1697))</f>
        <v/>
      </c>
    </row>
    <row r="1698" customFormat="false" ht="15" hidden="false" customHeight="false" outlineLevel="0" collapsed="false">
      <c r="A1698" s="32"/>
      <c r="B1698" s="19"/>
      <c r="C1698" s="19"/>
      <c r="D1698" s="19"/>
      <c r="E1698" s="21"/>
      <c r="F1698" s="19"/>
      <c r="G1698" s="27" t="str">
        <f aca="false">IF(B1698="","",IFERROR(INDEX(Jeux!$C$2:$C$3001,MATCH(B1698,Jeux!$A$2:$A$3001,0))&amp;"","⚠ jeu inconnu"))</f>
        <v/>
      </c>
      <c r="H1698" s="27" t="str">
        <f aca="false">IF(B1698="","",IFERROR(INDEX(Jeux!$D$2:$D$3001,MATCH(B1698,Jeux!$A$2:$A$3001,0))&amp;"",""))</f>
        <v/>
      </c>
      <c r="I1698" s="26" t="str">
        <f aca="false">IF(A1698="","",COUNTIF(Apparitions!$G$2:$G$5001,A1698))</f>
        <v/>
      </c>
      <c r="J1698" s="26" t="str">
        <f aca="false">IF(A1698="","",COUNTIFS(Apparitions!$G$2:$G$5001,A1698,Apparitions!$E$2:$E$5001,"○"))</f>
        <v/>
      </c>
      <c r="K1698" s="29" t="str">
        <f aca="false">IF(A1698="","",IFERROR(1/(1/_xlfn.MINIFS(Apparitions!$L$2:$L$5001,Apparitions!$G$2:$G$5001,A1698)),""))</f>
        <v/>
      </c>
      <c r="L1698" s="27" t="str">
        <f aca="false">IF(A1698="","",A1698&amp;" | "&amp;B1698&amp;IF(C1698="",""," ("&amp;C1698&amp;")")&amp;IF(D1698="",""," - "&amp;D1698))</f>
        <v/>
      </c>
    </row>
    <row r="1699" customFormat="false" ht="15" hidden="false" customHeight="false" outlineLevel="0" collapsed="false">
      <c r="A1699" s="32"/>
      <c r="B1699" s="19"/>
      <c r="C1699" s="19"/>
      <c r="D1699" s="19"/>
      <c r="E1699" s="21"/>
      <c r="F1699" s="19"/>
      <c r="G1699" s="27" t="str">
        <f aca="false">IF(B1699="","",IFERROR(INDEX(Jeux!$C$2:$C$3001,MATCH(B1699,Jeux!$A$2:$A$3001,0))&amp;"","⚠ jeu inconnu"))</f>
        <v/>
      </c>
      <c r="H1699" s="27" t="str">
        <f aca="false">IF(B1699="","",IFERROR(INDEX(Jeux!$D$2:$D$3001,MATCH(B1699,Jeux!$A$2:$A$3001,0))&amp;"",""))</f>
        <v/>
      </c>
      <c r="I1699" s="26" t="str">
        <f aca="false">IF(A1699="","",COUNTIF(Apparitions!$G$2:$G$5001,A1699))</f>
        <v/>
      </c>
      <c r="J1699" s="26" t="str">
        <f aca="false">IF(A1699="","",COUNTIFS(Apparitions!$G$2:$G$5001,A1699,Apparitions!$E$2:$E$5001,"○"))</f>
        <v/>
      </c>
      <c r="K1699" s="29" t="str">
        <f aca="false">IF(A1699="","",IFERROR(1/(1/_xlfn.MINIFS(Apparitions!$L$2:$L$5001,Apparitions!$G$2:$G$5001,A1699)),""))</f>
        <v/>
      </c>
      <c r="L1699" s="27" t="str">
        <f aca="false">IF(A1699="","",A1699&amp;" | "&amp;B1699&amp;IF(C1699="",""," ("&amp;C1699&amp;")")&amp;IF(D1699="",""," - "&amp;D1699))</f>
        <v/>
      </c>
    </row>
    <row r="1700" customFormat="false" ht="15" hidden="false" customHeight="false" outlineLevel="0" collapsed="false">
      <c r="A1700" s="32"/>
      <c r="B1700" s="19"/>
      <c r="C1700" s="19"/>
      <c r="D1700" s="19"/>
      <c r="E1700" s="21"/>
      <c r="F1700" s="19"/>
      <c r="G1700" s="27" t="str">
        <f aca="false">IF(B1700="","",IFERROR(INDEX(Jeux!$C$2:$C$3001,MATCH(B1700,Jeux!$A$2:$A$3001,0))&amp;"","⚠ jeu inconnu"))</f>
        <v/>
      </c>
      <c r="H1700" s="27" t="str">
        <f aca="false">IF(B1700="","",IFERROR(INDEX(Jeux!$D$2:$D$3001,MATCH(B1700,Jeux!$A$2:$A$3001,0))&amp;"",""))</f>
        <v/>
      </c>
      <c r="I1700" s="26" t="str">
        <f aca="false">IF(A1700="","",COUNTIF(Apparitions!$G$2:$G$5001,A1700))</f>
        <v/>
      </c>
      <c r="J1700" s="26" t="str">
        <f aca="false">IF(A1700="","",COUNTIFS(Apparitions!$G$2:$G$5001,A1700,Apparitions!$E$2:$E$5001,"○"))</f>
        <v/>
      </c>
      <c r="K1700" s="29" t="str">
        <f aca="false">IF(A1700="","",IFERROR(1/(1/_xlfn.MINIFS(Apparitions!$L$2:$L$5001,Apparitions!$G$2:$G$5001,A1700)),""))</f>
        <v/>
      </c>
      <c r="L1700" s="27" t="str">
        <f aca="false">IF(A1700="","",A1700&amp;" | "&amp;B1700&amp;IF(C1700="",""," ("&amp;C1700&amp;")")&amp;IF(D1700="",""," - "&amp;D1700))</f>
        <v/>
      </c>
    </row>
    <row r="1701" customFormat="false" ht="15" hidden="false" customHeight="false" outlineLevel="0" collapsed="false">
      <c r="A1701" s="32"/>
      <c r="B1701" s="19"/>
      <c r="C1701" s="19"/>
      <c r="D1701" s="19"/>
      <c r="E1701" s="21"/>
      <c r="F1701" s="19"/>
      <c r="G1701" s="27" t="str">
        <f aca="false">IF(B1701="","",IFERROR(INDEX(Jeux!$C$2:$C$3001,MATCH(B1701,Jeux!$A$2:$A$3001,0))&amp;"","⚠ jeu inconnu"))</f>
        <v/>
      </c>
      <c r="H1701" s="27" t="str">
        <f aca="false">IF(B1701="","",IFERROR(INDEX(Jeux!$D$2:$D$3001,MATCH(B1701,Jeux!$A$2:$A$3001,0))&amp;"",""))</f>
        <v/>
      </c>
      <c r="I1701" s="26" t="str">
        <f aca="false">IF(A1701="","",COUNTIF(Apparitions!$G$2:$G$5001,A1701))</f>
        <v/>
      </c>
      <c r="J1701" s="26" t="str">
        <f aca="false">IF(A1701="","",COUNTIFS(Apparitions!$G$2:$G$5001,A1701,Apparitions!$E$2:$E$5001,"○"))</f>
        <v/>
      </c>
      <c r="K1701" s="29" t="str">
        <f aca="false">IF(A1701="","",IFERROR(1/(1/_xlfn.MINIFS(Apparitions!$L$2:$L$5001,Apparitions!$G$2:$G$5001,A1701)),""))</f>
        <v/>
      </c>
      <c r="L1701" s="27" t="str">
        <f aca="false">IF(A1701="","",A1701&amp;" | "&amp;B1701&amp;IF(C1701="",""," ("&amp;C1701&amp;")")&amp;IF(D1701="",""," - "&amp;D1701))</f>
        <v/>
      </c>
    </row>
    <row r="1702" customFormat="false" ht="15" hidden="false" customHeight="false" outlineLevel="0" collapsed="false">
      <c r="A1702" s="32"/>
      <c r="B1702" s="19"/>
      <c r="C1702" s="19"/>
      <c r="D1702" s="19"/>
      <c r="E1702" s="21"/>
      <c r="F1702" s="19"/>
      <c r="G1702" s="27" t="str">
        <f aca="false">IF(B1702="","",IFERROR(INDEX(Jeux!$C$2:$C$3001,MATCH(B1702,Jeux!$A$2:$A$3001,0))&amp;"","⚠ jeu inconnu"))</f>
        <v/>
      </c>
      <c r="H1702" s="27" t="str">
        <f aca="false">IF(B1702="","",IFERROR(INDEX(Jeux!$D$2:$D$3001,MATCH(B1702,Jeux!$A$2:$A$3001,0))&amp;"",""))</f>
        <v/>
      </c>
      <c r="I1702" s="26" t="str">
        <f aca="false">IF(A1702="","",COUNTIF(Apparitions!$G$2:$G$5001,A1702))</f>
        <v/>
      </c>
      <c r="J1702" s="26" t="str">
        <f aca="false">IF(A1702="","",COUNTIFS(Apparitions!$G$2:$G$5001,A1702,Apparitions!$E$2:$E$5001,"○"))</f>
        <v/>
      </c>
      <c r="K1702" s="29" t="str">
        <f aca="false">IF(A1702="","",IFERROR(1/(1/_xlfn.MINIFS(Apparitions!$L$2:$L$5001,Apparitions!$G$2:$G$5001,A1702)),""))</f>
        <v/>
      </c>
      <c r="L1702" s="27" t="str">
        <f aca="false">IF(A1702="","",A1702&amp;" | "&amp;B1702&amp;IF(C1702="",""," ("&amp;C1702&amp;")")&amp;IF(D1702="",""," - "&amp;D1702))</f>
        <v/>
      </c>
    </row>
    <row r="1703" customFormat="false" ht="15" hidden="false" customHeight="false" outlineLevel="0" collapsed="false">
      <c r="A1703" s="32"/>
      <c r="B1703" s="19"/>
      <c r="C1703" s="19"/>
      <c r="D1703" s="19"/>
      <c r="E1703" s="21"/>
      <c r="F1703" s="19"/>
      <c r="G1703" s="27" t="str">
        <f aca="false">IF(B1703="","",IFERROR(INDEX(Jeux!$C$2:$C$3001,MATCH(B1703,Jeux!$A$2:$A$3001,0))&amp;"","⚠ jeu inconnu"))</f>
        <v/>
      </c>
      <c r="H1703" s="27" t="str">
        <f aca="false">IF(B1703="","",IFERROR(INDEX(Jeux!$D$2:$D$3001,MATCH(B1703,Jeux!$A$2:$A$3001,0))&amp;"",""))</f>
        <v/>
      </c>
      <c r="I1703" s="26" t="str">
        <f aca="false">IF(A1703="","",COUNTIF(Apparitions!$G$2:$G$5001,A1703))</f>
        <v/>
      </c>
      <c r="J1703" s="26" t="str">
        <f aca="false">IF(A1703="","",COUNTIFS(Apparitions!$G$2:$G$5001,A1703,Apparitions!$E$2:$E$5001,"○"))</f>
        <v/>
      </c>
      <c r="K1703" s="29" t="str">
        <f aca="false">IF(A1703="","",IFERROR(1/(1/_xlfn.MINIFS(Apparitions!$L$2:$L$5001,Apparitions!$G$2:$G$5001,A1703)),""))</f>
        <v/>
      </c>
      <c r="L1703" s="27" t="str">
        <f aca="false">IF(A1703="","",A1703&amp;" | "&amp;B1703&amp;IF(C1703="",""," ("&amp;C1703&amp;")")&amp;IF(D1703="",""," - "&amp;D1703))</f>
        <v/>
      </c>
    </row>
    <row r="1704" customFormat="false" ht="15" hidden="false" customHeight="false" outlineLevel="0" collapsed="false">
      <c r="A1704" s="32"/>
      <c r="B1704" s="19"/>
      <c r="C1704" s="19"/>
      <c r="D1704" s="19"/>
      <c r="E1704" s="21"/>
      <c r="F1704" s="19"/>
      <c r="G1704" s="27" t="str">
        <f aca="false">IF(B1704="","",IFERROR(INDEX(Jeux!$C$2:$C$3001,MATCH(B1704,Jeux!$A$2:$A$3001,0))&amp;"","⚠ jeu inconnu"))</f>
        <v/>
      </c>
      <c r="H1704" s="27" t="str">
        <f aca="false">IF(B1704="","",IFERROR(INDEX(Jeux!$D$2:$D$3001,MATCH(B1704,Jeux!$A$2:$A$3001,0))&amp;"",""))</f>
        <v/>
      </c>
      <c r="I1704" s="26" t="str">
        <f aca="false">IF(A1704="","",COUNTIF(Apparitions!$G$2:$G$5001,A1704))</f>
        <v/>
      </c>
      <c r="J1704" s="26" t="str">
        <f aca="false">IF(A1704="","",COUNTIFS(Apparitions!$G$2:$G$5001,A1704,Apparitions!$E$2:$E$5001,"○"))</f>
        <v/>
      </c>
      <c r="K1704" s="29" t="str">
        <f aca="false">IF(A1704="","",IFERROR(1/(1/_xlfn.MINIFS(Apparitions!$L$2:$L$5001,Apparitions!$G$2:$G$5001,A1704)),""))</f>
        <v/>
      </c>
      <c r="L1704" s="27" t="str">
        <f aca="false">IF(A1704="","",A1704&amp;" | "&amp;B1704&amp;IF(C1704="",""," ("&amp;C1704&amp;")")&amp;IF(D1704="",""," - "&amp;D1704))</f>
        <v/>
      </c>
    </row>
    <row r="1705" customFormat="false" ht="15" hidden="false" customHeight="false" outlineLevel="0" collapsed="false">
      <c r="A1705" s="32"/>
      <c r="B1705" s="19"/>
      <c r="C1705" s="19"/>
      <c r="D1705" s="19"/>
      <c r="E1705" s="21"/>
      <c r="F1705" s="19"/>
      <c r="G1705" s="27" t="str">
        <f aca="false">IF(B1705="","",IFERROR(INDEX(Jeux!$C$2:$C$3001,MATCH(B1705,Jeux!$A$2:$A$3001,0))&amp;"","⚠ jeu inconnu"))</f>
        <v/>
      </c>
      <c r="H1705" s="27" t="str">
        <f aca="false">IF(B1705="","",IFERROR(INDEX(Jeux!$D$2:$D$3001,MATCH(B1705,Jeux!$A$2:$A$3001,0))&amp;"",""))</f>
        <v/>
      </c>
      <c r="I1705" s="26" t="str">
        <f aca="false">IF(A1705="","",COUNTIF(Apparitions!$G$2:$G$5001,A1705))</f>
        <v/>
      </c>
      <c r="J1705" s="26" t="str">
        <f aca="false">IF(A1705="","",COUNTIFS(Apparitions!$G$2:$G$5001,A1705,Apparitions!$E$2:$E$5001,"○"))</f>
        <v/>
      </c>
      <c r="K1705" s="29" t="str">
        <f aca="false">IF(A1705="","",IFERROR(1/(1/_xlfn.MINIFS(Apparitions!$L$2:$L$5001,Apparitions!$G$2:$G$5001,A1705)),""))</f>
        <v/>
      </c>
      <c r="L1705" s="27" t="str">
        <f aca="false">IF(A1705="","",A1705&amp;" | "&amp;B1705&amp;IF(C1705="",""," ("&amp;C1705&amp;")")&amp;IF(D1705="",""," - "&amp;D1705))</f>
        <v/>
      </c>
    </row>
    <row r="1706" customFormat="false" ht="15" hidden="false" customHeight="false" outlineLevel="0" collapsed="false">
      <c r="A1706" s="32"/>
      <c r="B1706" s="19"/>
      <c r="C1706" s="19"/>
      <c r="D1706" s="19"/>
      <c r="E1706" s="21"/>
      <c r="F1706" s="19"/>
      <c r="G1706" s="27" t="str">
        <f aca="false">IF(B1706="","",IFERROR(INDEX(Jeux!$C$2:$C$3001,MATCH(B1706,Jeux!$A$2:$A$3001,0))&amp;"","⚠ jeu inconnu"))</f>
        <v/>
      </c>
      <c r="H1706" s="27" t="str">
        <f aca="false">IF(B1706="","",IFERROR(INDEX(Jeux!$D$2:$D$3001,MATCH(B1706,Jeux!$A$2:$A$3001,0))&amp;"",""))</f>
        <v/>
      </c>
      <c r="I1706" s="26" t="str">
        <f aca="false">IF(A1706="","",COUNTIF(Apparitions!$G$2:$G$5001,A1706))</f>
        <v/>
      </c>
      <c r="J1706" s="26" t="str">
        <f aca="false">IF(A1706="","",COUNTIFS(Apparitions!$G$2:$G$5001,A1706,Apparitions!$E$2:$E$5001,"○"))</f>
        <v/>
      </c>
      <c r="K1706" s="29" t="str">
        <f aca="false">IF(A1706="","",IFERROR(1/(1/_xlfn.MINIFS(Apparitions!$L$2:$L$5001,Apparitions!$G$2:$G$5001,A1706)),""))</f>
        <v/>
      </c>
      <c r="L1706" s="27" t="str">
        <f aca="false">IF(A1706="","",A1706&amp;" | "&amp;B1706&amp;IF(C1706="",""," ("&amp;C1706&amp;")")&amp;IF(D1706="",""," - "&amp;D1706))</f>
        <v/>
      </c>
    </row>
    <row r="1707" customFormat="false" ht="15" hidden="false" customHeight="false" outlineLevel="0" collapsed="false">
      <c r="A1707" s="32"/>
      <c r="B1707" s="19"/>
      <c r="C1707" s="19"/>
      <c r="D1707" s="19"/>
      <c r="E1707" s="21"/>
      <c r="F1707" s="19"/>
      <c r="G1707" s="27" t="str">
        <f aca="false">IF(B1707="","",IFERROR(INDEX(Jeux!$C$2:$C$3001,MATCH(B1707,Jeux!$A$2:$A$3001,0))&amp;"","⚠ jeu inconnu"))</f>
        <v/>
      </c>
      <c r="H1707" s="27" t="str">
        <f aca="false">IF(B1707="","",IFERROR(INDEX(Jeux!$D$2:$D$3001,MATCH(B1707,Jeux!$A$2:$A$3001,0))&amp;"",""))</f>
        <v/>
      </c>
      <c r="I1707" s="26" t="str">
        <f aca="false">IF(A1707="","",COUNTIF(Apparitions!$G$2:$G$5001,A1707))</f>
        <v/>
      </c>
      <c r="J1707" s="26" t="str">
        <f aca="false">IF(A1707="","",COUNTIFS(Apparitions!$G$2:$G$5001,A1707,Apparitions!$E$2:$E$5001,"○"))</f>
        <v/>
      </c>
      <c r="K1707" s="29" t="str">
        <f aca="false">IF(A1707="","",IFERROR(1/(1/_xlfn.MINIFS(Apparitions!$L$2:$L$5001,Apparitions!$G$2:$G$5001,A1707)),""))</f>
        <v/>
      </c>
      <c r="L1707" s="27" t="str">
        <f aca="false">IF(A1707="","",A1707&amp;" | "&amp;B1707&amp;IF(C1707="",""," ("&amp;C1707&amp;")")&amp;IF(D1707="",""," - "&amp;D1707))</f>
        <v/>
      </c>
    </row>
    <row r="1708" customFormat="false" ht="15" hidden="false" customHeight="false" outlineLevel="0" collapsed="false">
      <c r="A1708" s="32"/>
      <c r="B1708" s="19"/>
      <c r="C1708" s="19"/>
      <c r="D1708" s="19"/>
      <c r="E1708" s="21"/>
      <c r="F1708" s="19"/>
      <c r="G1708" s="27" t="str">
        <f aca="false">IF(B1708="","",IFERROR(INDEX(Jeux!$C$2:$C$3001,MATCH(B1708,Jeux!$A$2:$A$3001,0))&amp;"","⚠ jeu inconnu"))</f>
        <v/>
      </c>
      <c r="H1708" s="27" t="str">
        <f aca="false">IF(B1708="","",IFERROR(INDEX(Jeux!$D$2:$D$3001,MATCH(B1708,Jeux!$A$2:$A$3001,0))&amp;"",""))</f>
        <v/>
      </c>
      <c r="I1708" s="26" t="str">
        <f aca="false">IF(A1708="","",COUNTIF(Apparitions!$G$2:$G$5001,A1708))</f>
        <v/>
      </c>
      <c r="J1708" s="26" t="str">
        <f aca="false">IF(A1708="","",COUNTIFS(Apparitions!$G$2:$G$5001,A1708,Apparitions!$E$2:$E$5001,"○"))</f>
        <v/>
      </c>
      <c r="K1708" s="29" t="str">
        <f aca="false">IF(A1708="","",IFERROR(1/(1/_xlfn.MINIFS(Apparitions!$L$2:$L$5001,Apparitions!$G$2:$G$5001,A1708)),""))</f>
        <v/>
      </c>
      <c r="L1708" s="27" t="str">
        <f aca="false">IF(A1708="","",A1708&amp;" | "&amp;B1708&amp;IF(C1708="",""," ("&amp;C1708&amp;")")&amp;IF(D1708="",""," - "&amp;D1708))</f>
        <v/>
      </c>
    </row>
    <row r="1709" customFormat="false" ht="15" hidden="false" customHeight="false" outlineLevel="0" collapsed="false">
      <c r="A1709" s="32"/>
      <c r="B1709" s="19"/>
      <c r="C1709" s="19"/>
      <c r="D1709" s="19"/>
      <c r="E1709" s="21"/>
      <c r="F1709" s="19"/>
      <c r="G1709" s="27" t="str">
        <f aca="false">IF(B1709="","",IFERROR(INDEX(Jeux!$C$2:$C$3001,MATCH(B1709,Jeux!$A$2:$A$3001,0))&amp;"","⚠ jeu inconnu"))</f>
        <v/>
      </c>
      <c r="H1709" s="27" t="str">
        <f aca="false">IF(B1709="","",IFERROR(INDEX(Jeux!$D$2:$D$3001,MATCH(B1709,Jeux!$A$2:$A$3001,0))&amp;"",""))</f>
        <v/>
      </c>
      <c r="I1709" s="26" t="str">
        <f aca="false">IF(A1709="","",COUNTIF(Apparitions!$G$2:$G$5001,A1709))</f>
        <v/>
      </c>
      <c r="J1709" s="26" t="str">
        <f aca="false">IF(A1709="","",COUNTIFS(Apparitions!$G$2:$G$5001,A1709,Apparitions!$E$2:$E$5001,"○"))</f>
        <v/>
      </c>
      <c r="K1709" s="29" t="str">
        <f aca="false">IF(A1709="","",IFERROR(1/(1/_xlfn.MINIFS(Apparitions!$L$2:$L$5001,Apparitions!$G$2:$G$5001,A1709)),""))</f>
        <v/>
      </c>
      <c r="L1709" s="27" t="str">
        <f aca="false">IF(A1709="","",A1709&amp;" | "&amp;B1709&amp;IF(C1709="",""," ("&amp;C1709&amp;")")&amp;IF(D1709="",""," - "&amp;D1709))</f>
        <v/>
      </c>
    </row>
    <row r="1710" customFormat="false" ht="15" hidden="false" customHeight="false" outlineLevel="0" collapsed="false">
      <c r="A1710" s="32"/>
      <c r="B1710" s="19"/>
      <c r="C1710" s="19"/>
      <c r="D1710" s="19"/>
      <c r="E1710" s="21"/>
      <c r="F1710" s="19"/>
      <c r="G1710" s="27" t="str">
        <f aca="false">IF(B1710="","",IFERROR(INDEX(Jeux!$C$2:$C$3001,MATCH(B1710,Jeux!$A$2:$A$3001,0))&amp;"","⚠ jeu inconnu"))</f>
        <v/>
      </c>
      <c r="H1710" s="27" t="str">
        <f aca="false">IF(B1710="","",IFERROR(INDEX(Jeux!$D$2:$D$3001,MATCH(B1710,Jeux!$A$2:$A$3001,0))&amp;"",""))</f>
        <v/>
      </c>
      <c r="I1710" s="26" t="str">
        <f aca="false">IF(A1710="","",COUNTIF(Apparitions!$G$2:$G$5001,A1710))</f>
        <v/>
      </c>
      <c r="J1710" s="26" t="str">
        <f aca="false">IF(A1710="","",COUNTIFS(Apparitions!$G$2:$G$5001,A1710,Apparitions!$E$2:$E$5001,"○"))</f>
        <v/>
      </c>
      <c r="K1710" s="29" t="str">
        <f aca="false">IF(A1710="","",IFERROR(1/(1/_xlfn.MINIFS(Apparitions!$L$2:$L$5001,Apparitions!$G$2:$G$5001,A1710)),""))</f>
        <v/>
      </c>
      <c r="L1710" s="27" t="str">
        <f aca="false">IF(A1710="","",A1710&amp;" | "&amp;B1710&amp;IF(C1710="",""," ("&amp;C1710&amp;")")&amp;IF(D1710="",""," - "&amp;D1710))</f>
        <v/>
      </c>
    </row>
    <row r="1711" customFormat="false" ht="15" hidden="false" customHeight="false" outlineLevel="0" collapsed="false">
      <c r="A1711" s="32"/>
      <c r="B1711" s="19"/>
      <c r="C1711" s="19"/>
      <c r="D1711" s="19"/>
      <c r="E1711" s="21"/>
      <c r="F1711" s="19"/>
      <c r="G1711" s="27" t="str">
        <f aca="false">IF(B1711="","",IFERROR(INDEX(Jeux!$C$2:$C$3001,MATCH(B1711,Jeux!$A$2:$A$3001,0))&amp;"","⚠ jeu inconnu"))</f>
        <v/>
      </c>
      <c r="H1711" s="27" t="str">
        <f aca="false">IF(B1711="","",IFERROR(INDEX(Jeux!$D$2:$D$3001,MATCH(B1711,Jeux!$A$2:$A$3001,0))&amp;"",""))</f>
        <v/>
      </c>
      <c r="I1711" s="26" t="str">
        <f aca="false">IF(A1711="","",COUNTIF(Apparitions!$G$2:$G$5001,A1711))</f>
        <v/>
      </c>
      <c r="J1711" s="26" t="str">
        <f aca="false">IF(A1711="","",COUNTIFS(Apparitions!$G$2:$G$5001,A1711,Apparitions!$E$2:$E$5001,"○"))</f>
        <v/>
      </c>
      <c r="K1711" s="29" t="str">
        <f aca="false">IF(A1711="","",IFERROR(1/(1/_xlfn.MINIFS(Apparitions!$L$2:$L$5001,Apparitions!$G$2:$G$5001,A1711)),""))</f>
        <v/>
      </c>
      <c r="L1711" s="27" t="str">
        <f aca="false">IF(A1711="","",A1711&amp;" | "&amp;B1711&amp;IF(C1711="",""," ("&amp;C1711&amp;")")&amp;IF(D1711="",""," - "&amp;D1711))</f>
        <v/>
      </c>
    </row>
    <row r="1712" customFormat="false" ht="15" hidden="false" customHeight="false" outlineLevel="0" collapsed="false">
      <c r="A1712" s="32"/>
      <c r="B1712" s="19"/>
      <c r="C1712" s="19"/>
      <c r="D1712" s="19"/>
      <c r="E1712" s="21"/>
      <c r="F1712" s="19"/>
      <c r="G1712" s="27" t="str">
        <f aca="false">IF(B1712="","",IFERROR(INDEX(Jeux!$C$2:$C$3001,MATCH(B1712,Jeux!$A$2:$A$3001,0))&amp;"","⚠ jeu inconnu"))</f>
        <v/>
      </c>
      <c r="H1712" s="27" t="str">
        <f aca="false">IF(B1712="","",IFERROR(INDEX(Jeux!$D$2:$D$3001,MATCH(B1712,Jeux!$A$2:$A$3001,0))&amp;"",""))</f>
        <v/>
      </c>
      <c r="I1712" s="26" t="str">
        <f aca="false">IF(A1712="","",COUNTIF(Apparitions!$G$2:$G$5001,A1712))</f>
        <v/>
      </c>
      <c r="J1712" s="26" t="str">
        <f aca="false">IF(A1712="","",COUNTIFS(Apparitions!$G$2:$G$5001,A1712,Apparitions!$E$2:$E$5001,"○"))</f>
        <v/>
      </c>
      <c r="K1712" s="29" t="str">
        <f aca="false">IF(A1712="","",IFERROR(1/(1/_xlfn.MINIFS(Apparitions!$L$2:$L$5001,Apparitions!$G$2:$G$5001,A1712)),""))</f>
        <v/>
      </c>
      <c r="L1712" s="27" t="str">
        <f aca="false">IF(A1712="","",A1712&amp;" | "&amp;B1712&amp;IF(C1712="",""," ("&amp;C1712&amp;")")&amp;IF(D1712="",""," - "&amp;D1712))</f>
        <v/>
      </c>
    </row>
    <row r="1713" customFormat="false" ht="15" hidden="false" customHeight="false" outlineLevel="0" collapsed="false">
      <c r="A1713" s="32"/>
      <c r="B1713" s="19"/>
      <c r="C1713" s="19"/>
      <c r="D1713" s="19"/>
      <c r="E1713" s="21"/>
      <c r="F1713" s="19"/>
      <c r="G1713" s="27" t="str">
        <f aca="false">IF(B1713="","",IFERROR(INDEX(Jeux!$C$2:$C$3001,MATCH(B1713,Jeux!$A$2:$A$3001,0))&amp;"","⚠ jeu inconnu"))</f>
        <v/>
      </c>
      <c r="H1713" s="27" t="str">
        <f aca="false">IF(B1713="","",IFERROR(INDEX(Jeux!$D$2:$D$3001,MATCH(B1713,Jeux!$A$2:$A$3001,0))&amp;"",""))</f>
        <v/>
      </c>
      <c r="I1713" s="26" t="str">
        <f aca="false">IF(A1713="","",COUNTIF(Apparitions!$G$2:$G$5001,A1713))</f>
        <v/>
      </c>
      <c r="J1713" s="26" t="str">
        <f aca="false">IF(A1713="","",COUNTIFS(Apparitions!$G$2:$G$5001,A1713,Apparitions!$E$2:$E$5001,"○"))</f>
        <v/>
      </c>
      <c r="K1713" s="29" t="str">
        <f aca="false">IF(A1713="","",IFERROR(1/(1/_xlfn.MINIFS(Apparitions!$L$2:$L$5001,Apparitions!$G$2:$G$5001,A1713)),""))</f>
        <v/>
      </c>
      <c r="L1713" s="27" t="str">
        <f aca="false">IF(A1713="","",A1713&amp;" | "&amp;B1713&amp;IF(C1713="",""," ("&amp;C1713&amp;")")&amp;IF(D1713="",""," - "&amp;D1713))</f>
        <v/>
      </c>
    </row>
    <row r="1714" customFormat="false" ht="15" hidden="false" customHeight="false" outlineLevel="0" collapsed="false">
      <c r="A1714" s="32"/>
      <c r="B1714" s="19"/>
      <c r="C1714" s="19"/>
      <c r="D1714" s="19"/>
      <c r="E1714" s="21"/>
      <c r="F1714" s="19"/>
      <c r="G1714" s="27" t="str">
        <f aca="false">IF(B1714="","",IFERROR(INDEX(Jeux!$C$2:$C$3001,MATCH(B1714,Jeux!$A$2:$A$3001,0))&amp;"","⚠ jeu inconnu"))</f>
        <v/>
      </c>
      <c r="H1714" s="27" t="str">
        <f aca="false">IF(B1714="","",IFERROR(INDEX(Jeux!$D$2:$D$3001,MATCH(B1714,Jeux!$A$2:$A$3001,0))&amp;"",""))</f>
        <v/>
      </c>
      <c r="I1714" s="26" t="str">
        <f aca="false">IF(A1714="","",COUNTIF(Apparitions!$G$2:$G$5001,A1714))</f>
        <v/>
      </c>
      <c r="J1714" s="26" t="str">
        <f aca="false">IF(A1714="","",COUNTIFS(Apparitions!$G$2:$G$5001,A1714,Apparitions!$E$2:$E$5001,"○"))</f>
        <v/>
      </c>
      <c r="K1714" s="29" t="str">
        <f aca="false">IF(A1714="","",IFERROR(1/(1/_xlfn.MINIFS(Apparitions!$L$2:$L$5001,Apparitions!$G$2:$G$5001,A1714)),""))</f>
        <v/>
      </c>
      <c r="L1714" s="27" t="str">
        <f aca="false">IF(A1714="","",A1714&amp;" | "&amp;B1714&amp;IF(C1714="",""," ("&amp;C1714&amp;")")&amp;IF(D1714="",""," - "&amp;D1714))</f>
        <v/>
      </c>
    </row>
    <row r="1715" customFormat="false" ht="15" hidden="false" customHeight="false" outlineLevel="0" collapsed="false">
      <c r="A1715" s="32"/>
      <c r="B1715" s="19"/>
      <c r="C1715" s="19"/>
      <c r="D1715" s="19"/>
      <c r="E1715" s="21"/>
      <c r="F1715" s="19"/>
      <c r="G1715" s="27" t="str">
        <f aca="false">IF(B1715="","",IFERROR(INDEX(Jeux!$C$2:$C$3001,MATCH(B1715,Jeux!$A$2:$A$3001,0))&amp;"","⚠ jeu inconnu"))</f>
        <v/>
      </c>
      <c r="H1715" s="27" t="str">
        <f aca="false">IF(B1715="","",IFERROR(INDEX(Jeux!$D$2:$D$3001,MATCH(B1715,Jeux!$A$2:$A$3001,0))&amp;"",""))</f>
        <v/>
      </c>
      <c r="I1715" s="26" t="str">
        <f aca="false">IF(A1715="","",COUNTIF(Apparitions!$G$2:$G$5001,A1715))</f>
        <v/>
      </c>
      <c r="J1715" s="26" t="str">
        <f aca="false">IF(A1715="","",COUNTIFS(Apparitions!$G$2:$G$5001,A1715,Apparitions!$E$2:$E$5001,"○"))</f>
        <v/>
      </c>
      <c r="K1715" s="29" t="str">
        <f aca="false">IF(A1715="","",IFERROR(1/(1/_xlfn.MINIFS(Apparitions!$L$2:$L$5001,Apparitions!$G$2:$G$5001,A1715)),""))</f>
        <v/>
      </c>
      <c r="L1715" s="27" t="str">
        <f aca="false">IF(A1715="","",A1715&amp;" | "&amp;B1715&amp;IF(C1715="",""," ("&amp;C1715&amp;")")&amp;IF(D1715="",""," - "&amp;D1715))</f>
        <v/>
      </c>
    </row>
    <row r="1716" customFormat="false" ht="15" hidden="false" customHeight="false" outlineLevel="0" collapsed="false">
      <c r="A1716" s="32"/>
      <c r="B1716" s="19"/>
      <c r="C1716" s="19"/>
      <c r="D1716" s="19"/>
      <c r="E1716" s="21"/>
      <c r="F1716" s="19"/>
      <c r="G1716" s="27" t="str">
        <f aca="false">IF(B1716="","",IFERROR(INDEX(Jeux!$C$2:$C$3001,MATCH(B1716,Jeux!$A$2:$A$3001,0))&amp;"","⚠ jeu inconnu"))</f>
        <v/>
      </c>
      <c r="H1716" s="27" t="str">
        <f aca="false">IF(B1716="","",IFERROR(INDEX(Jeux!$D$2:$D$3001,MATCH(B1716,Jeux!$A$2:$A$3001,0))&amp;"",""))</f>
        <v/>
      </c>
      <c r="I1716" s="26" t="str">
        <f aca="false">IF(A1716="","",COUNTIF(Apparitions!$G$2:$G$5001,A1716))</f>
        <v/>
      </c>
      <c r="J1716" s="26" t="str">
        <f aca="false">IF(A1716="","",COUNTIFS(Apparitions!$G$2:$G$5001,A1716,Apparitions!$E$2:$E$5001,"○"))</f>
        <v/>
      </c>
      <c r="K1716" s="29" t="str">
        <f aca="false">IF(A1716="","",IFERROR(1/(1/_xlfn.MINIFS(Apparitions!$L$2:$L$5001,Apparitions!$G$2:$G$5001,A1716)),""))</f>
        <v/>
      </c>
      <c r="L1716" s="27" t="str">
        <f aca="false">IF(A1716="","",A1716&amp;" | "&amp;B1716&amp;IF(C1716="",""," ("&amp;C1716&amp;")")&amp;IF(D1716="",""," - "&amp;D1716))</f>
        <v/>
      </c>
    </row>
    <row r="1717" customFormat="false" ht="15" hidden="false" customHeight="false" outlineLevel="0" collapsed="false">
      <c r="A1717" s="32"/>
      <c r="B1717" s="19"/>
      <c r="C1717" s="19"/>
      <c r="D1717" s="19"/>
      <c r="E1717" s="21"/>
      <c r="F1717" s="19"/>
      <c r="G1717" s="27" t="str">
        <f aca="false">IF(B1717="","",IFERROR(INDEX(Jeux!$C$2:$C$3001,MATCH(B1717,Jeux!$A$2:$A$3001,0))&amp;"","⚠ jeu inconnu"))</f>
        <v/>
      </c>
      <c r="H1717" s="27" t="str">
        <f aca="false">IF(B1717="","",IFERROR(INDEX(Jeux!$D$2:$D$3001,MATCH(B1717,Jeux!$A$2:$A$3001,0))&amp;"",""))</f>
        <v/>
      </c>
      <c r="I1717" s="26" t="str">
        <f aca="false">IF(A1717="","",COUNTIF(Apparitions!$G$2:$G$5001,A1717))</f>
        <v/>
      </c>
      <c r="J1717" s="26" t="str">
        <f aca="false">IF(A1717="","",COUNTIFS(Apparitions!$G$2:$G$5001,A1717,Apparitions!$E$2:$E$5001,"○"))</f>
        <v/>
      </c>
      <c r="K1717" s="29" t="str">
        <f aca="false">IF(A1717="","",IFERROR(1/(1/_xlfn.MINIFS(Apparitions!$L$2:$L$5001,Apparitions!$G$2:$G$5001,A1717)),""))</f>
        <v/>
      </c>
      <c r="L1717" s="27" t="str">
        <f aca="false">IF(A1717="","",A1717&amp;" | "&amp;B1717&amp;IF(C1717="",""," ("&amp;C1717&amp;")")&amp;IF(D1717="",""," - "&amp;D1717))</f>
        <v/>
      </c>
    </row>
    <row r="1718" customFormat="false" ht="15" hidden="false" customHeight="false" outlineLevel="0" collapsed="false">
      <c r="A1718" s="32"/>
      <c r="B1718" s="19"/>
      <c r="C1718" s="19"/>
      <c r="D1718" s="19"/>
      <c r="E1718" s="21"/>
      <c r="F1718" s="19"/>
      <c r="G1718" s="27" t="str">
        <f aca="false">IF(B1718="","",IFERROR(INDEX(Jeux!$C$2:$C$3001,MATCH(B1718,Jeux!$A$2:$A$3001,0))&amp;"","⚠ jeu inconnu"))</f>
        <v/>
      </c>
      <c r="H1718" s="27" t="str">
        <f aca="false">IF(B1718="","",IFERROR(INDEX(Jeux!$D$2:$D$3001,MATCH(B1718,Jeux!$A$2:$A$3001,0))&amp;"",""))</f>
        <v/>
      </c>
      <c r="I1718" s="26" t="str">
        <f aca="false">IF(A1718="","",COUNTIF(Apparitions!$G$2:$G$5001,A1718))</f>
        <v/>
      </c>
      <c r="J1718" s="26" t="str">
        <f aca="false">IF(A1718="","",COUNTIFS(Apparitions!$G$2:$G$5001,A1718,Apparitions!$E$2:$E$5001,"○"))</f>
        <v/>
      </c>
      <c r="K1718" s="29" t="str">
        <f aca="false">IF(A1718="","",IFERROR(1/(1/_xlfn.MINIFS(Apparitions!$L$2:$L$5001,Apparitions!$G$2:$G$5001,A1718)),""))</f>
        <v/>
      </c>
      <c r="L1718" s="27" t="str">
        <f aca="false">IF(A1718="","",A1718&amp;" | "&amp;B1718&amp;IF(C1718="",""," ("&amp;C1718&amp;")")&amp;IF(D1718="",""," - "&amp;D1718))</f>
        <v/>
      </c>
    </row>
    <row r="1719" customFormat="false" ht="15" hidden="false" customHeight="false" outlineLevel="0" collapsed="false">
      <c r="A1719" s="32"/>
      <c r="B1719" s="19"/>
      <c r="C1719" s="19"/>
      <c r="D1719" s="19"/>
      <c r="E1719" s="21"/>
      <c r="F1719" s="19"/>
      <c r="G1719" s="27" t="str">
        <f aca="false">IF(B1719="","",IFERROR(INDEX(Jeux!$C$2:$C$3001,MATCH(B1719,Jeux!$A$2:$A$3001,0))&amp;"","⚠ jeu inconnu"))</f>
        <v/>
      </c>
      <c r="H1719" s="27" t="str">
        <f aca="false">IF(B1719="","",IFERROR(INDEX(Jeux!$D$2:$D$3001,MATCH(B1719,Jeux!$A$2:$A$3001,0))&amp;"",""))</f>
        <v/>
      </c>
      <c r="I1719" s="26" t="str">
        <f aca="false">IF(A1719="","",COUNTIF(Apparitions!$G$2:$G$5001,A1719))</f>
        <v/>
      </c>
      <c r="J1719" s="26" t="str">
        <f aca="false">IF(A1719="","",COUNTIFS(Apparitions!$G$2:$G$5001,A1719,Apparitions!$E$2:$E$5001,"○"))</f>
        <v/>
      </c>
      <c r="K1719" s="29" t="str">
        <f aca="false">IF(A1719="","",IFERROR(1/(1/_xlfn.MINIFS(Apparitions!$L$2:$L$5001,Apparitions!$G$2:$G$5001,A1719)),""))</f>
        <v/>
      </c>
      <c r="L1719" s="27" t="str">
        <f aca="false">IF(A1719="","",A1719&amp;" | "&amp;B1719&amp;IF(C1719="",""," ("&amp;C1719&amp;")")&amp;IF(D1719="",""," - "&amp;D1719))</f>
        <v/>
      </c>
    </row>
    <row r="1720" customFormat="false" ht="15" hidden="false" customHeight="false" outlineLevel="0" collapsed="false">
      <c r="A1720" s="32"/>
      <c r="B1720" s="19"/>
      <c r="C1720" s="19"/>
      <c r="D1720" s="19"/>
      <c r="E1720" s="21"/>
      <c r="F1720" s="19"/>
      <c r="G1720" s="27" t="str">
        <f aca="false">IF(B1720="","",IFERROR(INDEX(Jeux!$C$2:$C$3001,MATCH(B1720,Jeux!$A$2:$A$3001,0))&amp;"","⚠ jeu inconnu"))</f>
        <v/>
      </c>
      <c r="H1720" s="27" t="str">
        <f aca="false">IF(B1720="","",IFERROR(INDEX(Jeux!$D$2:$D$3001,MATCH(B1720,Jeux!$A$2:$A$3001,0))&amp;"",""))</f>
        <v/>
      </c>
      <c r="I1720" s="26" t="str">
        <f aca="false">IF(A1720="","",COUNTIF(Apparitions!$G$2:$G$5001,A1720))</f>
        <v/>
      </c>
      <c r="J1720" s="26" t="str">
        <f aca="false">IF(A1720="","",COUNTIFS(Apparitions!$G$2:$G$5001,A1720,Apparitions!$E$2:$E$5001,"○"))</f>
        <v/>
      </c>
      <c r="K1720" s="29" t="str">
        <f aca="false">IF(A1720="","",IFERROR(1/(1/_xlfn.MINIFS(Apparitions!$L$2:$L$5001,Apparitions!$G$2:$G$5001,A1720)),""))</f>
        <v/>
      </c>
      <c r="L1720" s="27" t="str">
        <f aca="false">IF(A1720="","",A1720&amp;" | "&amp;B1720&amp;IF(C1720="",""," ("&amp;C1720&amp;")")&amp;IF(D1720="",""," - "&amp;D1720))</f>
        <v/>
      </c>
    </row>
    <row r="1721" customFormat="false" ht="15" hidden="false" customHeight="false" outlineLevel="0" collapsed="false">
      <c r="A1721" s="32"/>
      <c r="B1721" s="19"/>
      <c r="C1721" s="19"/>
      <c r="D1721" s="19"/>
      <c r="E1721" s="21"/>
      <c r="F1721" s="19"/>
      <c r="G1721" s="27" t="str">
        <f aca="false">IF(B1721="","",IFERROR(INDEX(Jeux!$C$2:$C$3001,MATCH(B1721,Jeux!$A$2:$A$3001,0))&amp;"","⚠ jeu inconnu"))</f>
        <v/>
      </c>
      <c r="H1721" s="27" t="str">
        <f aca="false">IF(B1721="","",IFERROR(INDEX(Jeux!$D$2:$D$3001,MATCH(B1721,Jeux!$A$2:$A$3001,0))&amp;"",""))</f>
        <v/>
      </c>
      <c r="I1721" s="26" t="str">
        <f aca="false">IF(A1721="","",COUNTIF(Apparitions!$G$2:$G$5001,A1721))</f>
        <v/>
      </c>
      <c r="J1721" s="26" t="str">
        <f aca="false">IF(A1721="","",COUNTIFS(Apparitions!$G$2:$G$5001,A1721,Apparitions!$E$2:$E$5001,"○"))</f>
        <v/>
      </c>
      <c r="K1721" s="29" t="str">
        <f aca="false">IF(A1721="","",IFERROR(1/(1/_xlfn.MINIFS(Apparitions!$L$2:$L$5001,Apparitions!$G$2:$G$5001,A1721)),""))</f>
        <v/>
      </c>
      <c r="L1721" s="27" t="str">
        <f aca="false">IF(A1721="","",A1721&amp;" | "&amp;B1721&amp;IF(C1721="",""," ("&amp;C1721&amp;")")&amp;IF(D1721="",""," - "&amp;D1721))</f>
        <v/>
      </c>
    </row>
    <row r="1722" customFormat="false" ht="15" hidden="false" customHeight="false" outlineLevel="0" collapsed="false">
      <c r="A1722" s="32"/>
      <c r="B1722" s="19"/>
      <c r="C1722" s="19"/>
      <c r="D1722" s="19"/>
      <c r="E1722" s="21"/>
      <c r="F1722" s="19"/>
      <c r="G1722" s="27" t="str">
        <f aca="false">IF(B1722="","",IFERROR(INDEX(Jeux!$C$2:$C$3001,MATCH(B1722,Jeux!$A$2:$A$3001,0))&amp;"","⚠ jeu inconnu"))</f>
        <v/>
      </c>
      <c r="H1722" s="27" t="str">
        <f aca="false">IF(B1722="","",IFERROR(INDEX(Jeux!$D$2:$D$3001,MATCH(B1722,Jeux!$A$2:$A$3001,0))&amp;"",""))</f>
        <v/>
      </c>
      <c r="I1722" s="26" t="str">
        <f aca="false">IF(A1722="","",COUNTIF(Apparitions!$G$2:$G$5001,A1722))</f>
        <v/>
      </c>
      <c r="J1722" s="26" t="str">
        <f aca="false">IF(A1722="","",COUNTIFS(Apparitions!$G$2:$G$5001,A1722,Apparitions!$E$2:$E$5001,"○"))</f>
        <v/>
      </c>
      <c r="K1722" s="29" t="str">
        <f aca="false">IF(A1722="","",IFERROR(1/(1/_xlfn.MINIFS(Apparitions!$L$2:$L$5001,Apparitions!$G$2:$G$5001,A1722)),""))</f>
        <v/>
      </c>
      <c r="L1722" s="27" t="str">
        <f aca="false">IF(A1722="","",A1722&amp;" | "&amp;B1722&amp;IF(C1722="",""," ("&amp;C1722&amp;")")&amp;IF(D1722="",""," - "&amp;D1722))</f>
        <v/>
      </c>
    </row>
    <row r="1723" customFormat="false" ht="15" hidden="false" customHeight="false" outlineLevel="0" collapsed="false">
      <c r="A1723" s="32"/>
      <c r="B1723" s="19"/>
      <c r="C1723" s="19"/>
      <c r="D1723" s="19"/>
      <c r="E1723" s="21"/>
      <c r="F1723" s="19"/>
      <c r="G1723" s="27" t="str">
        <f aca="false">IF(B1723="","",IFERROR(INDEX(Jeux!$C$2:$C$3001,MATCH(B1723,Jeux!$A$2:$A$3001,0))&amp;"","⚠ jeu inconnu"))</f>
        <v/>
      </c>
      <c r="H1723" s="27" t="str">
        <f aca="false">IF(B1723="","",IFERROR(INDEX(Jeux!$D$2:$D$3001,MATCH(B1723,Jeux!$A$2:$A$3001,0))&amp;"",""))</f>
        <v/>
      </c>
      <c r="I1723" s="26" t="str">
        <f aca="false">IF(A1723="","",COUNTIF(Apparitions!$G$2:$G$5001,A1723))</f>
        <v/>
      </c>
      <c r="J1723" s="26" t="str">
        <f aca="false">IF(A1723="","",COUNTIFS(Apparitions!$G$2:$G$5001,A1723,Apparitions!$E$2:$E$5001,"○"))</f>
        <v/>
      </c>
      <c r="K1723" s="29" t="str">
        <f aca="false">IF(A1723="","",IFERROR(1/(1/_xlfn.MINIFS(Apparitions!$L$2:$L$5001,Apparitions!$G$2:$G$5001,A1723)),""))</f>
        <v/>
      </c>
      <c r="L1723" s="27" t="str">
        <f aca="false">IF(A1723="","",A1723&amp;" | "&amp;B1723&amp;IF(C1723="",""," ("&amp;C1723&amp;")")&amp;IF(D1723="",""," - "&amp;D1723))</f>
        <v/>
      </c>
    </row>
    <row r="1724" customFormat="false" ht="15" hidden="false" customHeight="false" outlineLevel="0" collapsed="false">
      <c r="A1724" s="32"/>
      <c r="B1724" s="19"/>
      <c r="C1724" s="19"/>
      <c r="D1724" s="19"/>
      <c r="E1724" s="21"/>
      <c r="F1724" s="19"/>
      <c r="G1724" s="27" t="str">
        <f aca="false">IF(B1724="","",IFERROR(INDEX(Jeux!$C$2:$C$3001,MATCH(B1724,Jeux!$A$2:$A$3001,0))&amp;"","⚠ jeu inconnu"))</f>
        <v/>
      </c>
      <c r="H1724" s="27" t="str">
        <f aca="false">IF(B1724="","",IFERROR(INDEX(Jeux!$D$2:$D$3001,MATCH(B1724,Jeux!$A$2:$A$3001,0))&amp;"",""))</f>
        <v/>
      </c>
      <c r="I1724" s="26" t="str">
        <f aca="false">IF(A1724="","",COUNTIF(Apparitions!$G$2:$G$5001,A1724))</f>
        <v/>
      </c>
      <c r="J1724" s="26" t="str">
        <f aca="false">IF(A1724="","",COUNTIFS(Apparitions!$G$2:$G$5001,A1724,Apparitions!$E$2:$E$5001,"○"))</f>
        <v/>
      </c>
      <c r="K1724" s="29" t="str">
        <f aca="false">IF(A1724="","",IFERROR(1/(1/_xlfn.MINIFS(Apparitions!$L$2:$L$5001,Apparitions!$G$2:$G$5001,A1724)),""))</f>
        <v/>
      </c>
      <c r="L1724" s="27" t="str">
        <f aca="false">IF(A1724="","",A1724&amp;" | "&amp;B1724&amp;IF(C1724="",""," ("&amp;C1724&amp;")")&amp;IF(D1724="",""," - "&amp;D1724))</f>
        <v/>
      </c>
    </row>
    <row r="1725" customFormat="false" ht="15" hidden="false" customHeight="false" outlineLevel="0" collapsed="false">
      <c r="A1725" s="32"/>
      <c r="B1725" s="19"/>
      <c r="C1725" s="19"/>
      <c r="D1725" s="19"/>
      <c r="E1725" s="21"/>
      <c r="F1725" s="19"/>
      <c r="G1725" s="27" t="str">
        <f aca="false">IF(B1725="","",IFERROR(INDEX(Jeux!$C$2:$C$3001,MATCH(B1725,Jeux!$A$2:$A$3001,0))&amp;"","⚠ jeu inconnu"))</f>
        <v/>
      </c>
      <c r="H1725" s="27" t="str">
        <f aca="false">IF(B1725="","",IFERROR(INDEX(Jeux!$D$2:$D$3001,MATCH(B1725,Jeux!$A$2:$A$3001,0))&amp;"",""))</f>
        <v/>
      </c>
      <c r="I1725" s="26" t="str">
        <f aca="false">IF(A1725="","",COUNTIF(Apparitions!$G$2:$G$5001,A1725))</f>
        <v/>
      </c>
      <c r="J1725" s="26" t="str">
        <f aca="false">IF(A1725="","",COUNTIFS(Apparitions!$G$2:$G$5001,A1725,Apparitions!$E$2:$E$5001,"○"))</f>
        <v/>
      </c>
      <c r="K1725" s="29" t="str">
        <f aca="false">IF(A1725="","",IFERROR(1/(1/_xlfn.MINIFS(Apparitions!$L$2:$L$5001,Apparitions!$G$2:$G$5001,A1725)),""))</f>
        <v/>
      </c>
      <c r="L1725" s="27" t="str">
        <f aca="false">IF(A1725="","",A1725&amp;" | "&amp;B1725&amp;IF(C1725="",""," ("&amp;C1725&amp;")")&amp;IF(D1725="",""," - "&amp;D1725))</f>
        <v/>
      </c>
    </row>
    <row r="1726" customFormat="false" ht="15" hidden="false" customHeight="false" outlineLevel="0" collapsed="false">
      <c r="A1726" s="32"/>
      <c r="B1726" s="19"/>
      <c r="C1726" s="19"/>
      <c r="D1726" s="19"/>
      <c r="E1726" s="21"/>
      <c r="F1726" s="19"/>
      <c r="G1726" s="27" t="str">
        <f aca="false">IF(B1726="","",IFERROR(INDEX(Jeux!$C$2:$C$3001,MATCH(B1726,Jeux!$A$2:$A$3001,0))&amp;"","⚠ jeu inconnu"))</f>
        <v/>
      </c>
      <c r="H1726" s="27" t="str">
        <f aca="false">IF(B1726="","",IFERROR(INDEX(Jeux!$D$2:$D$3001,MATCH(B1726,Jeux!$A$2:$A$3001,0))&amp;"",""))</f>
        <v/>
      </c>
      <c r="I1726" s="26" t="str">
        <f aca="false">IF(A1726="","",COUNTIF(Apparitions!$G$2:$G$5001,A1726))</f>
        <v/>
      </c>
      <c r="J1726" s="26" t="str">
        <f aca="false">IF(A1726="","",COUNTIFS(Apparitions!$G$2:$G$5001,A1726,Apparitions!$E$2:$E$5001,"○"))</f>
        <v/>
      </c>
      <c r="K1726" s="29" t="str">
        <f aca="false">IF(A1726="","",IFERROR(1/(1/_xlfn.MINIFS(Apparitions!$L$2:$L$5001,Apparitions!$G$2:$G$5001,A1726)),""))</f>
        <v/>
      </c>
      <c r="L1726" s="27" t="str">
        <f aca="false">IF(A1726="","",A1726&amp;" | "&amp;B1726&amp;IF(C1726="",""," ("&amp;C1726&amp;")")&amp;IF(D1726="",""," - "&amp;D1726))</f>
        <v/>
      </c>
    </row>
    <row r="1727" customFormat="false" ht="15" hidden="false" customHeight="false" outlineLevel="0" collapsed="false">
      <c r="A1727" s="32"/>
      <c r="B1727" s="19"/>
      <c r="C1727" s="19"/>
      <c r="D1727" s="19"/>
      <c r="E1727" s="21"/>
      <c r="F1727" s="19"/>
      <c r="G1727" s="27" t="str">
        <f aca="false">IF(B1727="","",IFERROR(INDEX(Jeux!$C$2:$C$3001,MATCH(B1727,Jeux!$A$2:$A$3001,0))&amp;"","⚠ jeu inconnu"))</f>
        <v/>
      </c>
      <c r="H1727" s="27" t="str">
        <f aca="false">IF(B1727="","",IFERROR(INDEX(Jeux!$D$2:$D$3001,MATCH(B1727,Jeux!$A$2:$A$3001,0))&amp;"",""))</f>
        <v/>
      </c>
      <c r="I1727" s="26" t="str">
        <f aca="false">IF(A1727="","",COUNTIF(Apparitions!$G$2:$G$5001,A1727))</f>
        <v/>
      </c>
      <c r="J1727" s="26" t="str">
        <f aca="false">IF(A1727="","",COUNTIFS(Apparitions!$G$2:$G$5001,A1727,Apparitions!$E$2:$E$5001,"○"))</f>
        <v/>
      </c>
      <c r="K1727" s="29" t="str">
        <f aca="false">IF(A1727="","",IFERROR(1/(1/_xlfn.MINIFS(Apparitions!$L$2:$L$5001,Apparitions!$G$2:$G$5001,A1727)),""))</f>
        <v/>
      </c>
      <c r="L1727" s="27" t="str">
        <f aca="false">IF(A1727="","",A1727&amp;" | "&amp;B1727&amp;IF(C1727="",""," ("&amp;C1727&amp;")")&amp;IF(D1727="",""," - "&amp;D1727))</f>
        <v/>
      </c>
    </row>
    <row r="1728" customFormat="false" ht="15" hidden="false" customHeight="false" outlineLevel="0" collapsed="false">
      <c r="A1728" s="32"/>
      <c r="B1728" s="19"/>
      <c r="C1728" s="19"/>
      <c r="D1728" s="19"/>
      <c r="E1728" s="21"/>
      <c r="F1728" s="19"/>
      <c r="G1728" s="27" t="str">
        <f aca="false">IF(B1728="","",IFERROR(INDEX(Jeux!$C$2:$C$3001,MATCH(B1728,Jeux!$A$2:$A$3001,0))&amp;"","⚠ jeu inconnu"))</f>
        <v/>
      </c>
      <c r="H1728" s="27" t="str">
        <f aca="false">IF(B1728="","",IFERROR(INDEX(Jeux!$D$2:$D$3001,MATCH(B1728,Jeux!$A$2:$A$3001,0))&amp;"",""))</f>
        <v/>
      </c>
      <c r="I1728" s="26" t="str">
        <f aca="false">IF(A1728="","",COUNTIF(Apparitions!$G$2:$G$5001,A1728))</f>
        <v/>
      </c>
      <c r="J1728" s="26" t="str">
        <f aca="false">IF(A1728="","",COUNTIFS(Apparitions!$G$2:$G$5001,A1728,Apparitions!$E$2:$E$5001,"○"))</f>
        <v/>
      </c>
      <c r="K1728" s="29" t="str">
        <f aca="false">IF(A1728="","",IFERROR(1/(1/_xlfn.MINIFS(Apparitions!$L$2:$L$5001,Apparitions!$G$2:$G$5001,A1728)),""))</f>
        <v/>
      </c>
      <c r="L1728" s="27" t="str">
        <f aca="false">IF(A1728="","",A1728&amp;" | "&amp;B1728&amp;IF(C1728="",""," ("&amp;C1728&amp;")")&amp;IF(D1728="",""," - "&amp;D1728))</f>
        <v/>
      </c>
    </row>
    <row r="1729" customFormat="false" ht="15" hidden="false" customHeight="false" outlineLevel="0" collapsed="false">
      <c r="A1729" s="32"/>
      <c r="B1729" s="19"/>
      <c r="C1729" s="19"/>
      <c r="D1729" s="19"/>
      <c r="E1729" s="21"/>
      <c r="F1729" s="19"/>
      <c r="G1729" s="27" t="str">
        <f aca="false">IF(B1729="","",IFERROR(INDEX(Jeux!$C$2:$C$3001,MATCH(B1729,Jeux!$A$2:$A$3001,0))&amp;"","⚠ jeu inconnu"))</f>
        <v/>
      </c>
      <c r="H1729" s="27" t="str">
        <f aca="false">IF(B1729="","",IFERROR(INDEX(Jeux!$D$2:$D$3001,MATCH(B1729,Jeux!$A$2:$A$3001,0))&amp;"",""))</f>
        <v/>
      </c>
      <c r="I1729" s="26" t="str">
        <f aca="false">IF(A1729="","",COUNTIF(Apparitions!$G$2:$G$5001,A1729))</f>
        <v/>
      </c>
      <c r="J1729" s="26" t="str">
        <f aca="false">IF(A1729="","",COUNTIFS(Apparitions!$G$2:$G$5001,A1729,Apparitions!$E$2:$E$5001,"○"))</f>
        <v/>
      </c>
      <c r="K1729" s="29" t="str">
        <f aca="false">IF(A1729="","",IFERROR(1/(1/_xlfn.MINIFS(Apparitions!$L$2:$L$5001,Apparitions!$G$2:$G$5001,A1729)),""))</f>
        <v/>
      </c>
      <c r="L1729" s="27" t="str">
        <f aca="false">IF(A1729="","",A1729&amp;" | "&amp;B1729&amp;IF(C1729="",""," ("&amp;C1729&amp;")")&amp;IF(D1729="",""," - "&amp;D1729))</f>
        <v/>
      </c>
    </row>
    <row r="1730" customFormat="false" ht="15" hidden="false" customHeight="false" outlineLevel="0" collapsed="false">
      <c r="A1730" s="32"/>
      <c r="B1730" s="19"/>
      <c r="C1730" s="19"/>
      <c r="D1730" s="19"/>
      <c r="E1730" s="21"/>
      <c r="F1730" s="19"/>
      <c r="G1730" s="27" t="str">
        <f aca="false">IF(B1730="","",IFERROR(INDEX(Jeux!$C$2:$C$3001,MATCH(B1730,Jeux!$A$2:$A$3001,0))&amp;"","⚠ jeu inconnu"))</f>
        <v/>
      </c>
      <c r="H1730" s="27" t="str">
        <f aca="false">IF(B1730="","",IFERROR(INDEX(Jeux!$D$2:$D$3001,MATCH(B1730,Jeux!$A$2:$A$3001,0))&amp;"",""))</f>
        <v/>
      </c>
      <c r="I1730" s="26" t="str">
        <f aca="false">IF(A1730="","",COUNTIF(Apparitions!$G$2:$G$5001,A1730))</f>
        <v/>
      </c>
      <c r="J1730" s="26" t="str">
        <f aca="false">IF(A1730="","",COUNTIFS(Apparitions!$G$2:$G$5001,A1730,Apparitions!$E$2:$E$5001,"○"))</f>
        <v/>
      </c>
      <c r="K1730" s="29" t="str">
        <f aca="false">IF(A1730="","",IFERROR(1/(1/_xlfn.MINIFS(Apparitions!$L$2:$L$5001,Apparitions!$G$2:$G$5001,A1730)),""))</f>
        <v/>
      </c>
      <c r="L1730" s="27" t="str">
        <f aca="false">IF(A1730="","",A1730&amp;" | "&amp;B1730&amp;IF(C1730="",""," ("&amp;C1730&amp;")")&amp;IF(D1730="",""," - "&amp;D1730))</f>
        <v/>
      </c>
    </row>
    <row r="1731" customFormat="false" ht="15" hidden="false" customHeight="false" outlineLevel="0" collapsed="false">
      <c r="A1731" s="32"/>
      <c r="B1731" s="19"/>
      <c r="C1731" s="19"/>
      <c r="D1731" s="19"/>
      <c r="E1731" s="21"/>
      <c r="F1731" s="19"/>
      <c r="G1731" s="27" t="str">
        <f aca="false">IF(B1731="","",IFERROR(INDEX(Jeux!$C$2:$C$3001,MATCH(B1731,Jeux!$A$2:$A$3001,0))&amp;"","⚠ jeu inconnu"))</f>
        <v/>
      </c>
      <c r="H1731" s="27" t="str">
        <f aca="false">IF(B1731="","",IFERROR(INDEX(Jeux!$D$2:$D$3001,MATCH(B1731,Jeux!$A$2:$A$3001,0))&amp;"",""))</f>
        <v/>
      </c>
      <c r="I1731" s="26" t="str">
        <f aca="false">IF(A1731="","",COUNTIF(Apparitions!$G$2:$G$5001,A1731))</f>
        <v/>
      </c>
      <c r="J1731" s="26" t="str">
        <f aca="false">IF(A1731="","",COUNTIFS(Apparitions!$G$2:$G$5001,A1731,Apparitions!$E$2:$E$5001,"○"))</f>
        <v/>
      </c>
      <c r="K1731" s="29" t="str">
        <f aca="false">IF(A1731="","",IFERROR(1/(1/_xlfn.MINIFS(Apparitions!$L$2:$L$5001,Apparitions!$G$2:$G$5001,A1731)),""))</f>
        <v/>
      </c>
      <c r="L1731" s="27" t="str">
        <f aca="false">IF(A1731="","",A1731&amp;" | "&amp;B1731&amp;IF(C1731="",""," ("&amp;C1731&amp;")")&amp;IF(D1731="",""," - "&amp;D1731))</f>
        <v/>
      </c>
    </row>
    <row r="1732" customFormat="false" ht="15" hidden="false" customHeight="false" outlineLevel="0" collapsed="false">
      <c r="A1732" s="32"/>
      <c r="B1732" s="19"/>
      <c r="C1732" s="19"/>
      <c r="D1732" s="19"/>
      <c r="E1732" s="21"/>
      <c r="F1732" s="19"/>
      <c r="G1732" s="27" t="str">
        <f aca="false">IF(B1732="","",IFERROR(INDEX(Jeux!$C$2:$C$3001,MATCH(B1732,Jeux!$A$2:$A$3001,0))&amp;"","⚠ jeu inconnu"))</f>
        <v/>
      </c>
      <c r="H1732" s="27" t="str">
        <f aca="false">IF(B1732="","",IFERROR(INDEX(Jeux!$D$2:$D$3001,MATCH(B1732,Jeux!$A$2:$A$3001,0))&amp;"",""))</f>
        <v/>
      </c>
      <c r="I1732" s="26" t="str">
        <f aca="false">IF(A1732="","",COUNTIF(Apparitions!$G$2:$G$5001,A1732))</f>
        <v/>
      </c>
      <c r="J1732" s="26" t="str">
        <f aca="false">IF(A1732="","",COUNTIFS(Apparitions!$G$2:$G$5001,A1732,Apparitions!$E$2:$E$5001,"○"))</f>
        <v/>
      </c>
      <c r="K1732" s="29" t="str">
        <f aca="false">IF(A1732="","",IFERROR(1/(1/_xlfn.MINIFS(Apparitions!$L$2:$L$5001,Apparitions!$G$2:$G$5001,A1732)),""))</f>
        <v/>
      </c>
      <c r="L1732" s="27" t="str">
        <f aca="false">IF(A1732="","",A1732&amp;" | "&amp;B1732&amp;IF(C1732="",""," ("&amp;C1732&amp;")")&amp;IF(D1732="",""," - "&amp;D1732))</f>
        <v/>
      </c>
    </row>
    <row r="1733" customFormat="false" ht="15" hidden="false" customHeight="false" outlineLevel="0" collapsed="false">
      <c r="A1733" s="32"/>
      <c r="B1733" s="19"/>
      <c r="C1733" s="19"/>
      <c r="D1733" s="19"/>
      <c r="E1733" s="21"/>
      <c r="F1733" s="19"/>
      <c r="G1733" s="27" t="str">
        <f aca="false">IF(B1733="","",IFERROR(INDEX(Jeux!$C$2:$C$3001,MATCH(B1733,Jeux!$A$2:$A$3001,0))&amp;"","⚠ jeu inconnu"))</f>
        <v/>
      </c>
      <c r="H1733" s="27" t="str">
        <f aca="false">IF(B1733="","",IFERROR(INDEX(Jeux!$D$2:$D$3001,MATCH(B1733,Jeux!$A$2:$A$3001,0))&amp;"",""))</f>
        <v/>
      </c>
      <c r="I1733" s="26" t="str">
        <f aca="false">IF(A1733="","",COUNTIF(Apparitions!$G$2:$G$5001,A1733))</f>
        <v/>
      </c>
      <c r="J1733" s="26" t="str">
        <f aca="false">IF(A1733="","",COUNTIFS(Apparitions!$G$2:$G$5001,A1733,Apparitions!$E$2:$E$5001,"○"))</f>
        <v/>
      </c>
      <c r="K1733" s="29" t="str">
        <f aca="false">IF(A1733="","",IFERROR(1/(1/_xlfn.MINIFS(Apparitions!$L$2:$L$5001,Apparitions!$G$2:$G$5001,A1733)),""))</f>
        <v/>
      </c>
      <c r="L1733" s="27" t="str">
        <f aca="false">IF(A1733="","",A1733&amp;" | "&amp;B1733&amp;IF(C1733="",""," ("&amp;C1733&amp;")")&amp;IF(D1733="",""," - "&amp;D1733))</f>
        <v/>
      </c>
    </row>
    <row r="1734" customFormat="false" ht="15" hidden="false" customHeight="false" outlineLevel="0" collapsed="false">
      <c r="A1734" s="32"/>
      <c r="B1734" s="19"/>
      <c r="C1734" s="19"/>
      <c r="D1734" s="19"/>
      <c r="E1734" s="21"/>
      <c r="F1734" s="19"/>
      <c r="G1734" s="27" t="str">
        <f aca="false">IF(B1734="","",IFERROR(INDEX(Jeux!$C$2:$C$3001,MATCH(B1734,Jeux!$A$2:$A$3001,0))&amp;"","⚠ jeu inconnu"))</f>
        <v/>
      </c>
      <c r="H1734" s="27" t="str">
        <f aca="false">IF(B1734="","",IFERROR(INDEX(Jeux!$D$2:$D$3001,MATCH(B1734,Jeux!$A$2:$A$3001,0))&amp;"",""))</f>
        <v/>
      </c>
      <c r="I1734" s="26" t="str">
        <f aca="false">IF(A1734="","",COUNTIF(Apparitions!$G$2:$G$5001,A1734))</f>
        <v/>
      </c>
      <c r="J1734" s="26" t="str">
        <f aca="false">IF(A1734="","",COUNTIFS(Apparitions!$G$2:$G$5001,A1734,Apparitions!$E$2:$E$5001,"○"))</f>
        <v/>
      </c>
      <c r="K1734" s="29" t="str">
        <f aca="false">IF(A1734="","",IFERROR(1/(1/_xlfn.MINIFS(Apparitions!$L$2:$L$5001,Apparitions!$G$2:$G$5001,A1734)),""))</f>
        <v/>
      </c>
      <c r="L1734" s="27" t="str">
        <f aca="false">IF(A1734="","",A1734&amp;" | "&amp;B1734&amp;IF(C1734="",""," ("&amp;C1734&amp;")")&amp;IF(D1734="",""," - "&amp;D1734))</f>
        <v/>
      </c>
    </row>
    <row r="1735" customFormat="false" ht="15" hidden="false" customHeight="false" outlineLevel="0" collapsed="false">
      <c r="A1735" s="32"/>
      <c r="B1735" s="19"/>
      <c r="C1735" s="19"/>
      <c r="D1735" s="19"/>
      <c r="E1735" s="21"/>
      <c r="F1735" s="19"/>
      <c r="G1735" s="27" t="str">
        <f aca="false">IF(B1735="","",IFERROR(INDEX(Jeux!$C$2:$C$3001,MATCH(B1735,Jeux!$A$2:$A$3001,0))&amp;"","⚠ jeu inconnu"))</f>
        <v/>
      </c>
      <c r="H1735" s="27" t="str">
        <f aca="false">IF(B1735="","",IFERROR(INDEX(Jeux!$D$2:$D$3001,MATCH(B1735,Jeux!$A$2:$A$3001,0))&amp;"",""))</f>
        <v/>
      </c>
      <c r="I1735" s="26" t="str">
        <f aca="false">IF(A1735="","",COUNTIF(Apparitions!$G$2:$G$5001,A1735))</f>
        <v/>
      </c>
      <c r="J1735" s="26" t="str">
        <f aca="false">IF(A1735="","",COUNTIFS(Apparitions!$G$2:$G$5001,A1735,Apparitions!$E$2:$E$5001,"○"))</f>
        <v/>
      </c>
      <c r="K1735" s="29" t="str">
        <f aca="false">IF(A1735="","",IFERROR(1/(1/_xlfn.MINIFS(Apparitions!$L$2:$L$5001,Apparitions!$G$2:$G$5001,A1735)),""))</f>
        <v/>
      </c>
      <c r="L1735" s="27" t="str">
        <f aca="false">IF(A1735="","",A1735&amp;" | "&amp;B1735&amp;IF(C1735="",""," ("&amp;C1735&amp;")")&amp;IF(D1735="",""," - "&amp;D1735))</f>
        <v/>
      </c>
    </row>
    <row r="1736" customFormat="false" ht="15" hidden="false" customHeight="false" outlineLevel="0" collapsed="false">
      <c r="A1736" s="32"/>
      <c r="B1736" s="19"/>
      <c r="C1736" s="19"/>
      <c r="D1736" s="19"/>
      <c r="E1736" s="21"/>
      <c r="F1736" s="19"/>
      <c r="G1736" s="27" t="str">
        <f aca="false">IF(B1736="","",IFERROR(INDEX(Jeux!$C$2:$C$3001,MATCH(B1736,Jeux!$A$2:$A$3001,0))&amp;"","⚠ jeu inconnu"))</f>
        <v/>
      </c>
      <c r="H1736" s="27" t="str">
        <f aca="false">IF(B1736="","",IFERROR(INDEX(Jeux!$D$2:$D$3001,MATCH(B1736,Jeux!$A$2:$A$3001,0))&amp;"",""))</f>
        <v/>
      </c>
      <c r="I1736" s="26" t="str">
        <f aca="false">IF(A1736="","",COUNTIF(Apparitions!$G$2:$G$5001,A1736))</f>
        <v/>
      </c>
      <c r="J1736" s="26" t="str">
        <f aca="false">IF(A1736="","",COUNTIFS(Apparitions!$G$2:$G$5001,A1736,Apparitions!$E$2:$E$5001,"○"))</f>
        <v/>
      </c>
      <c r="K1736" s="29" t="str">
        <f aca="false">IF(A1736="","",IFERROR(1/(1/_xlfn.MINIFS(Apparitions!$L$2:$L$5001,Apparitions!$G$2:$G$5001,A1736)),""))</f>
        <v/>
      </c>
      <c r="L1736" s="27" t="str">
        <f aca="false">IF(A1736="","",A1736&amp;" | "&amp;B1736&amp;IF(C1736="",""," ("&amp;C1736&amp;")")&amp;IF(D1736="",""," - "&amp;D1736))</f>
        <v/>
      </c>
    </row>
    <row r="1737" customFormat="false" ht="15" hidden="false" customHeight="false" outlineLevel="0" collapsed="false">
      <c r="A1737" s="32"/>
      <c r="B1737" s="19"/>
      <c r="C1737" s="19"/>
      <c r="D1737" s="19"/>
      <c r="E1737" s="21"/>
      <c r="F1737" s="19"/>
      <c r="G1737" s="27" t="str">
        <f aca="false">IF(B1737="","",IFERROR(INDEX(Jeux!$C$2:$C$3001,MATCH(B1737,Jeux!$A$2:$A$3001,0))&amp;"","⚠ jeu inconnu"))</f>
        <v/>
      </c>
      <c r="H1737" s="27" t="str">
        <f aca="false">IF(B1737="","",IFERROR(INDEX(Jeux!$D$2:$D$3001,MATCH(B1737,Jeux!$A$2:$A$3001,0))&amp;"",""))</f>
        <v/>
      </c>
      <c r="I1737" s="26" t="str">
        <f aca="false">IF(A1737="","",COUNTIF(Apparitions!$G$2:$G$5001,A1737))</f>
        <v/>
      </c>
      <c r="J1737" s="26" t="str">
        <f aca="false">IF(A1737="","",COUNTIFS(Apparitions!$G$2:$G$5001,A1737,Apparitions!$E$2:$E$5001,"○"))</f>
        <v/>
      </c>
      <c r="K1737" s="29" t="str">
        <f aca="false">IF(A1737="","",IFERROR(1/(1/_xlfn.MINIFS(Apparitions!$L$2:$L$5001,Apparitions!$G$2:$G$5001,A1737)),""))</f>
        <v/>
      </c>
      <c r="L1737" s="27" t="str">
        <f aca="false">IF(A1737="","",A1737&amp;" | "&amp;B1737&amp;IF(C1737="",""," ("&amp;C1737&amp;")")&amp;IF(D1737="",""," - "&amp;D1737))</f>
        <v/>
      </c>
    </row>
    <row r="1738" customFormat="false" ht="15" hidden="false" customHeight="false" outlineLevel="0" collapsed="false">
      <c r="A1738" s="32"/>
      <c r="B1738" s="19"/>
      <c r="C1738" s="19"/>
      <c r="D1738" s="19"/>
      <c r="E1738" s="21"/>
      <c r="F1738" s="19"/>
      <c r="G1738" s="27" t="str">
        <f aca="false">IF(B1738="","",IFERROR(INDEX(Jeux!$C$2:$C$3001,MATCH(B1738,Jeux!$A$2:$A$3001,0))&amp;"","⚠ jeu inconnu"))</f>
        <v/>
      </c>
      <c r="H1738" s="27" t="str">
        <f aca="false">IF(B1738="","",IFERROR(INDEX(Jeux!$D$2:$D$3001,MATCH(B1738,Jeux!$A$2:$A$3001,0))&amp;"",""))</f>
        <v/>
      </c>
      <c r="I1738" s="26" t="str">
        <f aca="false">IF(A1738="","",COUNTIF(Apparitions!$G$2:$G$5001,A1738))</f>
        <v/>
      </c>
      <c r="J1738" s="26" t="str">
        <f aca="false">IF(A1738="","",COUNTIFS(Apparitions!$G$2:$G$5001,A1738,Apparitions!$E$2:$E$5001,"○"))</f>
        <v/>
      </c>
      <c r="K1738" s="29" t="str">
        <f aca="false">IF(A1738="","",IFERROR(1/(1/_xlfn.MINIFS(Apparitions!$L$2:$L$5001,Apparitions!$G$2:$G$5001,A1738)),""))</f>
        <v/>
      </c>
      <c r="L1738" s="27" t="str">
        <f aca="false">IF(A1738="","",A1738&amp;" | "&amp;B1738&amp;IF(C1738="",""," ("&amp;C1738&amp;")")&amp;IF(D1738="",""," - "&amp;D1738))</f>
        <v/>
      </c>
    </row>
    <row r="1739" customFormat="false" ht="15" hidden="false" customHeight="false" outlineLevel="0" collapsed="false">
      <c r="A1739" s="32"/>
      <c r="B1739" s="19"/>
      <c r="C1739" s="19"/>
      <c r="D1739" s="19"/>
      <c r="E1739" s="21"/>
      <c r="F1739" s="19"/>
      <c r="G1739" s="27" t="str">
        <f aca="false">IF(B1739="","",IFERROR(INDEX(Jeux!$C$2:$C$3001,MATCH(B1739,Jeux!$A$2:$A$3001,0))&amp;"","⚠ jeu inconnu"))</f>
        <v/>
      </c>
      <c r="H1739" s="27" t="str">
        <f aca="false">IF(B1739="","",IFERROR(INDEX(Jeux!$D$2:$D$3001,MATCH(B1739,Jeux!$A$2:$A$3001,0))&amp;"",""))</f>
        <v/>
      </c>
      <c r="I1739" s="26" t="str">
        <f aca="false">IF(A1739="","",COUNTIF(Apparitions!$G$2:$G$5001,A1739))</f>
        <v/>
      </c>
      <c r="J1739" s="26" t="str">
        <f aca="false">IF(A1739="","",COUNTIFS(Apparitions!$G$2:$G$5001,A1739,Apparitions!$E$2:$E$5001,"○"))</f>
        <v/>
      </c>
      <c r="K1739" s="29" t="str">
        <f aca="false">IF(A1739="","",IFERROR(1/(1/_xlfn.MINIFS(Apparitions!$L$2:$L$5001,Apparitions!$G$2:$G$5001,A1739)),""))</f>
        <v/>
      </c>
      <c r="L1739" s="27" t="str">
        <f aca="false">IF(A1739="","",A1739&amp;" | "&amp;B1739&amp;IF(C1739="",""," ("&amp;C1739&amp;")")&amp;IF(D1739="",""," - "&amp;D1739))</f>
        <v/>
      </c>
    </row>
    <row r="1740" customFormat="false" ht="15" hidden="false" customHeight="false" outlineLevel="0" collapsed="false">
      <c r="A1740" s="32"/>
      <c r="B1740" s="19"/>
      <c r="C1740" s="19"/>
      <c r="D1740" s="19"/>
      <c r="E1740" s="21"/>
      <c r="F1740" s="19"/>
      <c r="G1740" s="27" t="str">
        <f aca="false">IF(B1740="","",IFERROR(INDEX(Jeux!$C$2:$C$3001,MATCH(B1740,Jeux!$A$2:$A$3001,0))&amp;"","⚠ jeu inconnu"))</f>
        <v/>
      </c>
      <c r="H1740" s="27" t="str">
        <f aca="false">IF(B1740="","",IFERROR(INDEX(Jeux!$D$2:$D$3001,MATCH(B1740,Jeux!$A$2:$A$3001,0))&amp;"",""))</f>
        <v/>
      </c>
      <c r="I1740" s="26" t="str">
        <f aca="false">IF(A1740="","",COUNTIF(Apparitions!$G$2:$G$5001,A1740))</f>
        <v/>
      </c>
      <c r="J1740" s="26" t="str">
        <f aca="false">IF(A1740="","",COUNTIFS(Apparitions!$G$2:$G$5001,A1740,Apparitions!$E$2:$E$5001,"○"))</f>
        <v/>
      </c>
      <c r="K1740" s="29" t="str">
        <f aca="false">IF(A1740="","",IFERROR(1/(1/_xlfn.MINIFS(Apparitions!$L$2:$L$5001,Apparitions!$G$2:$G$5001,A1740)),""))</f>
        <v/>
      </c>
      <c r="L1740" s="27" t="str">
        <f aca="false">IF(A1740="","",A1740&amp;" | "&amp;B1740&amp;IF(C1740="",""," ("&amp;C1740&amp;")")&amp;IF(D1740="",""," - "&amp;D1740))</f>
        <v/>
      </c>
    </row>
    <row r="1741" customFormat="false" ht="15" hidden="false" customHeight="false" outlineLevel="0" collapsed="false">
      <c r="A1741" s="32"/>
      <c r="B1741" s="19"/>
      <c r="C1741" s="19"/>
      <c r="D1741" s="19"/>
      <c r="E1741" s="21"/>
      <c r="F1741" s="19"/>
      <c r="G1741" s="27" t="str">
        <f aca="false">IF(B1741="","",IFERROR(INDEX(Jeux!$C$2:$C$3001,MATCH(B1741,Jeux!$A$2:$A$3001,0))&amp;"","⚠ jeu inconnu"))</f>
        <v/>
      </c>
      <c r="H1741" s="27" t="str">
        <f aca="false">IF(B1741="","",IFERROR(INDEX(Jeux!$D$2:$D$3001,MATCH(B1741,Jeux!$A$2:$A$3001,0))&amp;"",""))</f>
        <v/>
      </c>
      <c r="I1741" s="26" t="str">
        <f aca="false">IF(A1741="","",COUNTIF(Apparitions!$G$2:$G$5001,A1741))</f>
        <v/>
      </c>
      <c r="J1741" s="26" t="str">
        <f aca="false">IF(A1741="","",COUNTIFS(Apparitions!$G$2:$G$5001,A1741,Apparitions!$E$2:$E$5001,"○"))</f>
        <v/>
      </c>
      <c r="K1741" s="29" t="str">
        <f aca="false">IF(A1741="","",IFERROR(1/(1/_xlfn.MINIFS(Apparitions!$L$2:$L$5001,Apparitions!$G$2:$G$5001,A1741)),""))</f>
        <v/>
      </c>
      <c r="L1741" s="27" t="str">
        <f aca="false">IF(A1741="","",A1741&amp;" | "&amp;B1741&amp;IF(C1741="",""," ("&amp;C1741&amp;")")&amp;IF(D1741="",""," - "&amp;D1741))</f>
        <v/>
      </c>
    </row>
    <row r="1742" customFormat="false" ht="15" hidden="false" customHeight="false" outlineLevel="0" collapsed="false">
      <c r="A1742" s="32"/>
      <c r="B1742" s="19"/>
      <c r="C1742" s="19"/>
      <c r="D1742" s="19"/>
      <c r="E1742" s="21"/>
      <c r="F1742" s="19"/>
      <c r="G1742" s="27" t="str">
        <f aca="false">IF(B1742="","",IFERROR(INDEX(Jeux!$C$2:$C$3001,MATCH(B1742,Jeux!$A$2:$A$3001,0))&amp;"","⚠ jeu inconnu"))</f>
        <v/>
      </c>
      <c r="H1742" s="27" t="str">
        <f aca="false">IF(B1742="","",IFERROR(INDEX(Jeux!$D$2:$D$3001,MATCH(B1742,Jeux!$A$2:$A$3001,0))&amp;"",""))</f>
        <v/>
      </c>
      <c r="I1742" s="26" t="str">
        <f aca="false">IF(A1742="","",COUNTIF(Apparitions!$G$2:$G$5001,A1742))</f>
        <v/>
      </c>
      <c r="J1742" s="26" t="str">
        <f aca="false">IF(A1742="","",COUNTIFS(Apparitions!$G$2:$G$5001,A1742,Apparitions!$E$2:$E$5001,"○"))</f>
        <v/>
      </c>
      <c r="K1742" s="29" t="str">
        <f aca="false">IF(A1742="","",IFERROR(1/(1/_xlfn.MINIFS(Apparitions!$L$2:$L$5001,Apparitions!$G$2:$G$5001,A1742)),""))</f>
        <v/>
      </c>
      <c r="L1742" s="27" t="str">
        <f aca="false">IF(A1742="","",A1742&amp;" | "&amp;B1742&amp;IF(C1742="",""," ("&amp;C1742&amp;")")&amp;IF(D1742="",""," - "&amp;D1742))</f>
        <v/>
      </c>
    </row>
    <row r="1743" customFormat="false" ht="15" hidden="false" customHeight="false" outlineLevel="0" collapsed="false">
      <c r="A1743" s="32"/>
      <c r="B1743" s="19"/>
      <c r="C1743" s="19"/>
      <c r="D1743" s="19"/>
      <c r="E1743" s="21"/>
      <c r="F1743" s="19"/>
      <c r="G1743" s="27" t="str">
        <f aca="false">IF(B1743="","",IFERROR(INDEX(Jeux!$C$2:$C$3001,MATCH(B1743,Jeux!$A$2:$A$3001,0))&amp;"","⚠ jeu inconnu"))</f>
        <v/>
      </c>
      <c r="H1743" s="27" t="str">
        <f aca="false">IF(B1743="","",IFERROR(INDEX(Jeux!$D$2:$D$3001,MATCH(B1743,Jeux!$A$2:$A$3001,0))&amp;"",""))</f>
        <v/>
      </c>
      <c r="I1743" s="26" t="str">
        <f aca="false">IF(A1743="","",COUNTIF(Apparitions!$G$2:$G$5001,A1743))</f>
        <v/>
      </c>
      <c r="J1743" s="26" t="str">
        <f aca="false">IF(A1743="","",COUNTIFS(Apparitions!$G$2:$G$5001,A1743,Apparitions!$E$2:$E$5001,"○"))</f>
        <v/>
      </c>
      <c r="K1743" s="29" t="str">
        <f aca="false">IF(A1743="","",IFERROR(1/(1/_xlfn.MINIFS(Apparitions!$L$2:$L$5001,Apparitions!$G$2:$G$5001,A1743)),""))</f>
        <v/>
      </c>
      <c r="L1743" s="27" t="str">
        <f aca="false">IF(A1743="","",A1743&amp;" | "&amp;B1743&amp;IF(C1743="",""," ("&amp;C1743&amp;")")&amp;IF(D1743="",""," - "&amp;D1743))</f>
        <v/>
      </c>
    </row>
    <row r="1744" customFormat="false" ht="15" hidden="false" customHeight="false" outlineLevel="0" collapsed="false">
      <c r="A1744" s="32"/>
      <c r="B1744" s="19"/>
      <c r="C1744" s="19"/>
      <c r="D1744" s="19"/>
      <c r="E1744" s="21"/>
      <c r="F1744" s="19"/>
      <c r="G1744" s="27" t="str">
        <f aca="false">IF(B1744="","",IFERROR(INDEX(Jeux!$C$2:$C$3001,MATCH(B1744,Jeux!$A$2:$A$3001,0))&amp;"","⚠ jeu inconnu"))</f>
        <v/>
      </c>
      <c r="H1744" s="27" t="str">
        <f aca="false">IF(B1744="","",IFERROR(INDEX(Jeux!$D$2:$D$3001,MATCH(B1744,Jeux!$A$2:$A$3001,0))&amp;"",""))</f>
        <v/>
      </c>
      <c r="I1744" s="26" t="str">
        <f aca="false">IF(A1744="","",COUNTIF(Apparitions!$G$2:$G$5001,A1744))</f>
        <v/>
      </c>
      <c r="J1744" s="26" t="str">
        <f aca="false">IF(A1744="","",COUNTIFS(Apparitions!$G$2:$G$5001,A1744,Apparitions!$E$2:$E$5001,"○"))</f>
        <v/>
      </c>
      <c r="K1744" s="29" t="str">
        <f aca="false">IF(A1744="","",IFERROR(1/(1/_xlfn.MINIFS(Apparitions!$L$2:$L$5001,Apparitions!$G$2:$G$5001,A1744)),""))</f>
        <v/>
      </c>
      <c r="L1744" s="27" t="str">
        <f aca="false">IF(A1744="","",A1744&amp;" | "&amp;B1744&amp;IF(C1744="",""," ("&amp;C1744&amp;")")&amp;IF(D1744="",""," - "&amp;D1744))</f>
        <v/>
      </c>
    </row>
    <row r="1745" customFormat="false" ht="15" hidden="false" customHeight="false" outlineLevel="0" collapsed="false">
      <c r="A1745" s="32"/>
      <c r="B1745" s="19"/>
      <c r="C1745" s="19"/>
      <c r="D1745" s="19"/>
      <c r="E1745" s="21"/>
      <c r="F1745" s="19"/>
      <c r="G1745" s="27" t="str">
        <f aca="false">IF(B1745="","",IFERROR(INDEX(Jeux!$C$2:$C$3001,MATCH(B1745,Jeux!$A$2:$A$3001,0))&amp;"","⚠ jeu inconnu"))</f>
        <v/>
      </c>
      <c r="H1745" s="27" t="str">
        <f aca="false">IF(B1745="","",IFERROR(INDEX(Jeux!$D$2:$D$3001,MATCH(B1745,Jeux!$A$2:$A$3001,0))&amp;"",""))</f>
        <v/>
      </c>
      <c r="I1745" s="26" t="str">
        <f aca="false">IF(A1745="","",COUNTIF(Apparitions!$G$2:$G$5001,A1745))</f>
        <v/>
      </c>
      <c r="J1745" s="26" t="str">
        <f aca="false">IF(A1745="","",COUNTIFS(Apparitions!$G$2:$G$5001,A1745,Apparitions!$E$2:$E$5001,"○"))</f>
        <v/>
      </c>
      <c r="K1745" s="29" t="str">
        <f aca="false">IF(A1745="","",IFERROR(1/(1/_xlfn.MINIFS(Apparitions!$L$2:$L$5001,Apparitions!$G$2:$G$5001,A1745)),""))</f>
        <v/>
      </c>
      <c r="L1745" s="27" t="str">
        <f aca="false">IF(A1745="","",A1745&amp;" | "&amp;B1745&amp;IF(C1745="",""," ("&amp;C1745&amp;")")&amp;IF(D1745="",""," - "&amp;D1745))</f>
        <v/>
      </c>
    </row>
    <row r="1746" customFormat="false" ht="15" hidden="false" customHeight="false" outlineLevel="0" collapsed="false">
      <c r="A1746" s="32"/>
      <c r="B1746" s="19"/>
      <c r="C1746" s="19"/>
      <c r="D1746" s="19"/>
      <c r="E1746" s="21"/>
      <c r="F1746" s="19"/>
      <c r="G1746" s="27" t="str">
        <f aca="false">IF(B1746="","",IFERROR(INDEX(Jeux!$C$2:$C$3001,MATCH(B1746,Jeux!$A$2:$A$3001,0))&amp;"","⚠ jeu inconnu"))</f>
        <v/>
      </c>
      <c r="H1746" s="27" t="str">
        <f aca="false">IF(B1746="","",IFERROR(INDEX(Jeux!$D$2:$D$3001,MATCH(B1746,Jeux!$A$2:$A$3001,0))&amp;"",""))</f>
        <v/>
      </c>
      <c r="I1746" s="26" t="str">
        <f aca="false">IF(A1746="","",COUNTIF(Apparitions!$G$2:$G$5001,A1746))</f>
        <v/>
      </c>
      <c r="J1746" s="26" t="str">
        <f aca="false">IF(A1746="","",COUNTIFS(Apparitions!$G$2:$G$5001,A1746,Apparitions!$E$2:$E$5001,"○"))</f>
        <v/>
      </c>
      <c r="K1746" s="29" t="str">
        <f aca="false">IF(A1746="","",IFERROR(1/(1/_xlfn.MINIFS(Apparitions!$L$2:$L$5001,Apparitions!$G$2:$G$5001,A1746)),""))</f>
        <v/>
      </c>
      <c r="L1746" s="27" t="str">
        <f aca="false">IF(A1746="","",A1746&amp;" | "&amp;B1746&amp;IF(C1746="",""," ("&amp;C1746&amp;")")&amp;IF(D1746="",""," - "&amp;D1746))</f>
        <v/>
      </c>
    </row>
    <row r="1747" customFormat="false" ht="15" hidden="false" customHeight="false" outlineLevel="0" collapsed="false">
      <c r="A1747" s="32"/>
      <c r="B1747" s="19"/>
      <c r="C1747" s="19"/>
      <c r="D1747" s="19"/>
      <c r="E1747" s="21"/>
      <c r="F1747" s="19"/>
      <c r="G1747" s="27" t="str">
        <f aca="false">IF(B1747="","",IFERROR(INDEX(Jeux!$C$2:$C$3001,MATCH(B1747,Jeux!$A$2:$A$3001,0))&amp;"","⚠ jeu inconnu"))</f>
        <v/>
      </c>
      <c r="H1747" s="27" t="str">
        <f aca="false">IF(B1747="","",IFERROR(INDEX(Jeux!$D$2:$D$3001,MATCH(B1747,Jeux!$A$2:$A$3001,0))&amp;"",""))</f>
        <v/>
      </c>
      <c r="I1747" s="26" t="str">
        <f aca="false">IF(A1747="","",COUNTIF(Apparitions!$G$2:$G$5001,A1747))</f>
        <v/>
      </c>
      <c r="J1747" s="26" t="str">
        <f aca="false">IF(A1747="","",COUNTIFS(Apparitions!$G$2:$G$5001,A1747,Apparitions!$E$2:$E$5001,"○"))</f>
        <v/>
      </c>
      <c r="K1747" s="29" t="str">
        <f aca="false">IF(A1747="","",IFERROR(1/(1/_xlfn.MINIFS(Apparitions!$L$2:$L$5001,Apparitions!$G$2:$G$5001,A1747)),""))</f>
        <v/>
      </c>
      <c r="L1747" s="27" t="str">
        <f aca="false">IF(A1747="","",A1747&amp;" | "&amp;B1747&amp;IF(C1747="",""," ("&amp;C1747&amp;")")&amp;IF(D1747="",""," - "&amp;D1747))</f>
        <v/>
      </c>
    </row>
    <row r="1748" customFormat="false" ht="15" hidden="false" customHeight="false" outlineLevel="0" collapsed="false">
      <c r="A1748" s="32"/>
      <c r="B1748" s="19"/>
      <c r="C1748" s="19"/>
      <c r="D1748" s="19"/>
      <c r="E1748" s="21"/>
      <c r="F1748" s="19"/>
      <c r="G1748" s="27" t="str">
        <f aca="false">IF(B1748="","",IFERROR(INDEX(Jeux!$C$2:$C$3001,MATCH(B1748,Jeux!$A$2:$A$3001,0))&amp;"","⚠ jeu inconnu"))</f>
        <v/>
      </c>
      <c r="H1748" s="27" t="str">
        <f aca="false">IF(B1748="","",IFERROR(INDEX(Jeux!$D$2:$D$3001,MATCH(B1748,Jeux!$A$2:$A$3001,0))&amp;"",""))</f>
        <v/>
      </c>
      <c r="I1748" s="26" t="str">
        <f aca="false">IF(A1748="","",COUNTIF(Apparitions!$G$2:$G$5001,A1748))</f>
        <v/>
      </c>
      <c r="J1748" s="26" t="str">
        <f aca="false">IF(A1748="","",COUNTIFS(Apparitions!$G$2:$G$5001,A1748,Apparitions!$E$2:$E$5001,"○"))</f>
        <v/>
      </c>
      <c r="K1748" s="29" t="str">
        <f aca="false">IF(A1748="","",IFERROR(1/(1/_xlfn.MINIFS(Apparitions!$L$2:$L$5001,Apparitions!$G$2:$G$5001,A1748)),""))</f>
        <v/>
      </c>
      <c r="L1748" s="27" t="str">
        <f aca="false">IF(A1748="","",A1748&amp;" | "&amp;B1748&amp;IF(C1748="",""," ("&amp;C1748&amp;")")&amp;IF(D1748="",""," - "&amp;D1748))</f>
        <v/>
      </c>
    </row>
    <row r="1749" customFormat="false" ht="15" hidden="false" customHeight="false" outlineLevel="0" collapsed="false">
      <c r="A1749" s="32"/>
      <c r="B1749" s="19"/>
      <c r="C1749" s="19"/>
      <c r="D1749" s="19"/>
      <c r="E1749" s="21"/>
      <c r="F1749" s="19"/>
      <c r="G1749" s="27" t="str">
        <f aca="false">IF(B1749="","",IFERROR(INDEX(Jeux!$C$2:$C$3001,MATCH(B1749,Jeux!$A$2:$A$3001,0))&amp;"","⚠ jeu inconnu"))</f>
        <v/>
      </c>
      <c r="H1749" s="27" t="str">
        <f aca="false">IF(B1749="","",IFERROR(INDEX(Jeux!$D$2:$D$3001,MATCH(B1749,Jeux!$A$2:$A$3001,0))&amp;"",""))</f>
        <v/>
      </c>
      <c r="I1749" s="26" t="str">
        <f aca="false">IF(A1749="","",COUNTIF(Apparitions!$G$2:$G$5001,A1749))</f>
        <v/>
      </c>
      <c r="J1749" s="26" t="str">
        <f aca="false">IF(A1749="","",COUNTIFS(Apparitions!$G$2:$G$5001,A1749,Apparitions!$E$2:$E$5001,"○"))</f>
        <v/>
      </c>
      <c r="K1749" s="29" t="str">
        <f aca="false">IF(A1749="","",IFERROR(1/(1/_xlfn.MINIFS(Apparitions!$L$2:$L$5001,Apparitions!$G$2:$G$5001,A1749)),""))</f>
        <v/>
      </c>
      <c r="L1749" s="27" t="str">
        <f aca="false">IF(A1749="","",A1749&amp;" | "&amp;B1749&amp;IF(C1749="",""," ("&amp;C1749&amp;")")&amp;IF(D1749="",""," - "&amp;D1749))</f>
        <v/>
      </c>
    </row>
    <row r="1750" customFormat="false" ht="15" hidden="false" customHeight="false" outlineLevel="0" collapsed="false">
      <c r="A1750" s="32"/>
      <c r="B1750" s="19"/>
      <c r="C1750" s="19"/>
      <c r="D1750" s="19"/>
      <c r="E1750" s="21"/>
      <c r="F1750" s="19"/>
      <c r="G1750" s="27" t="str">
        <f aca="false">IF(B1750="","",IFERROR(INDEX(Jeux!$C$2:$C$3001,MATCH(B1750,Jeux!$A$2:$A$3001,0))&amp;"","⚠ jeu inconnu"))</f>
        <v/>
      </c>
      <c r="H1750" s="27" t="str">
        <f aca="false">IF(B1750="","",IFERROR(INDEX(Jeux!$D$2:$D$3001,MATCH(B1750,Jeux!$A$2:$A$3001,0))&amp;"",""))</f>
        <v/>
      </c>
      <c r="I1750" s="26" t="str">
        <f aca="false">IF(A1750="","",COUNTIF(Apparitions!$G$2:$G$5001,A1750))</f>
        <v/>
      </c>
      <c r="J1750" s="26" t="str">
        <f aca="false">IF(A1750="","",COUNTIFS(Apparitions!$G$2:$G$5001,A1750,Apparitions!$E$2:$E$5001,"○"))</f>
        <v/>
      </c>
      <c r="K1750" s="29" t="str">
        <f aca="false">IF(A1750="","",IFERROR(1/(1/_xlfn.MINIFS(Apparitions!$L$2:$L$5001,Apparitions!$G$2:$G$5001,A1750)),""))</f>
        <v/>
      </c>
      <c r="L1750" s="27" t="str">
        <f aca="false">IF(A1750="","",A1750&amp;" | "&amp;B1750&amp;IF(C1750="",""," ("&amp;C1750&amp;")")&amp;IF(D1750="",""," - "&amp;D1750))</f>
        <v/>
      </c>
    </row>
    <row r="1751" customFormat="false" ht="15" hidden="false" customHeight="false" outlineLevel="0" collapsed="false">
      <c r="A1751" s="32"/>
      <c r="B1751" s="19"/>
      <c r="C1751" s="19"/>
      <c r="D1751" s="19"/>
      <c r="E1751" s="21"/>
      <c r="F1751" s="19"/>
      <c r="G1751" s="27" t="str">
        <f aca="false">IF(B1751="","",IFERROR(INDEX(Jeux!$C$2:$C$3001,MATCH(B1751,Jeux!$A$2:$A$3001,0))&amp;"","⚠ jeu inconnu"))</f>
        <v/>
      </c>
      <c r="H1751" s="27" t="str">
        <f aca="false">IF(B1751="","",IFERROR(INDEX(Jeux!$D$2:$D$3001,MATCH(B1751,Jeux!$A$2:$A$3001,0))&amp;"",""))</f>
        <v/>
      </c>
      <c r="I1751" s="26" t="str">
        <f aca="false">IF(A1751="","",COUNTIF(Apparitions!$G$2:$G$5001,A1751))</f>
        <v/>
      </c>
      <c r="J1751" s="26" t="str">
        <f aca="false">IF(A1751="","",COUNTIFS(Apparitions!$G$2:$G$5001,A1751,Apparitions!$E$2:$E$5001,"○"))</f>
        <v/>
      </c>
      <c r="K1751" s="29" t="str">
        <f aca="false">IF(A1751="","",IFERROR(1/(1/_xlfn.MINIFS(Apparitions!$L$2:$L$5001,Apparitions!$G$2:$G$5001,A1751)),""))</f>
        <v/>
      </c>
      <c r="L1751" s="27" t="str">
        <f aca="false">IF(A1751="","",A1751&amp;" | "&amp;B1751&amp;IF(C1751="",""," ("&amp;C1751&amp;")")&amp;IF(D1751="",""," - "&amp;D1751))</f>
        <v/>
      </c>
    </row>
    <row r="1752" customFormat="false" ht="15" hidden="false" customHeight="false" outlineLevel="0" collapsed="false">
      <c r="A1752" s="32"/>
      <c r="B1752" s="19"/>
      <c r="C1752" s="19"/>
      <c r="D1752" s="19"/>
      <c r="E1752" s="21"/>
      <c r="F1752" s="19"/>
      <c r="G1752" s="27" t="str">
        <f aca="false">IF(B1752="","",IFERROR(INDEX(Jeux!$C$2:$C$3001,MATCH(B1752,Jeux!$A$2:$A$3001,0))&amp;"","⚠ jeu inconnu"))</f>
        <v/>
      </c>
      <c r="H1752" s="27" t="str">
        <f aca="false">IF(B1752="","",IFERROR(INDEX(Jeux!$D$2:$D$3001,MATCH(B1752,Jeux!$A$2:$A$3001,0))&amp;"",""))</f>
        <v/>
      </c>
      <c r="I1752" s="26" t="str">
        <f aca="false">IF(A1752="","",COUNTIF(Apparitions!$G$2:$G$5001,A1752))</f>
        <v/>
      </c>
      <c r="J1752" s="26" t="str">
        <f aca="false">IF(A1752="","",COUNTIFS(Apparitions!$G$2:$G$5001,A1752,Apparitions!$E$2:$E$5001,"○"))</f>
        <v/>
      </c>
      <c r="K1752" s="29" t="str">
        <f aca="false">IF(A1752="","",IFERROR(1/(1/_xlfn.MINIFS(Apparitions!$L$2:$L$5001,Apparitions!$G$2:$G$5001,A1752)),""))</f>
        <v/>
      </c>
      <c r="L1752" s="27" t="str">
        <f aca="false">IF(A1752="","",A1752&amp;" | "&amp;B1752&amp;IF(C1752="",""," ("&amp;C1752&amp;")")&amp;IF(D1752="",""," - "&amp;D1752))</f>
        <v/>
      </c>
    </row>
    <row r="1753" customFormat="false" ht="15" hidden="false" customHeight="false" outlineLevel="0" collapsed="false">
      <c r="A1753" s="32"/>
      <c r="B1753" s="19"/>
      <c r="C1753" s="19"/>
      <c r="D1753" s="19"/>
      <c r="E1753" s="21"/>
      <c r="F1753" s="19"/>
      <c r="G1753" s="27" t="str">
        <f aca="false">IF(B1753="","",IFERROR(INDEX(Jeux!$C$2:$C$3001,MATCH(B1753,Jeux!$A$2:$A$3001,0))&amp;"","⚠ jeu inconnu"))</f>
        <v/>
      </c>
      <c r="H1753" s="27" t="str">
        <f aca="false">IF(B1753="","",IFERROR(INDEX(Jeux!$D$2:$D$3001,MATCH(B1753,Jeux!$A$2:$A$3001,0))&amp;"",""))</f>
        <v/>
      </c>
      <c r="I1753" s="26" t="str">
        <f aca="false">IF(A1753="","",COUNTIF(Apparitions!$G$2:$G$5001,A1753))</f>
        <v/>
      </c>
      <c r="J1753" s="26" t="str">
        <f aca="false">IF(A1753="","",COUNTIFS(Apparitions!$G$2:$G$5001,A1753,Apparitions!$E$2:$E$5001,"○"))</f>
        <v/>
      </c>
      <c r="K1753" s="29" t="str">
        <f aca="false">IF(A1753="","",IFERROR(1/(1/_xlfn.MINIFS(Apparitions!$L$2:$L$5001,Apparitions!$G$2:$G$5001,A1753)),""))</f>
        <v/>
      </c>
      <c r="L1753" s="27" t="str">
        <f aca="false">IF(A1753="","",A1753&amp;" | "&amp;B1753&amp;IF(C1753="",""," ("&amp;C1753&amp;")")&amp;IF(D1753="",""," - "&amp;D1753))</f>
        <v/>
      </c>
    </row>
    <row r="1754" customFormat="false" ht="15" hidden="false" customHeight="false" outlineLevel="0" collapsed="false">
      <c r="A1754" s="32"/>
      <c r="B1754" s="19"/>
      <c r="C1754" s="19"/>
      <c r="D1754" s="19"/>
      <c r="E1754" s="21"/>
      <c r="F1754" s="19"/>
      <c r="G1754" s="27" t="str">
        <f aca="false">IF(B1754="","",IFERROR(INDEX(Jeux!$C$2:$C$3001,MATCH(B1754,Jeux!$A$2:$A$3001,0))&amp;"","⚠ jeu inconnu"))</f>
        <v/>
      </c>
      <c r="H1754" s="27" t="str">
        <f aca="false">IF(B1754="","",IFERROR(INDEX(Jeux!$D$2:$D$3001,MATCH(B1754,Jeux!$A$2:$A$3001,0))&amp;"",""))</f>
        <v/>
      </c>
      <c r="I1754" s="26" t="str">
        <f aca="false">IF(A1754="","",COUNTIF(Apparitions!$G$2:$G$5001,A1754))</f>
        <v/>
      </c>
      <c r="J1754" s="26" t="str">
        <f aca="false">IF(A1754="","",COUNTIFS(Apparitions!$G$2:$G$5001,A1754,Apparitions!$E$2:$E$5001,"○"))</f>
        <v/>
      </c>
      <c r="K1754" s="29" t="str">
        <f aca="false">IF(A1754="","",IFERROR(1/(1/_xlfn.MINIFS(Apparitions!$L$2:$L$5001,Apparitions!$G$2:$G$5001,A1754)),""))</f>
        <v/>
      </c>
      <c r="L1754" s="27" t="str">
        <f aca="false">IF(A1754="","",A1754&amp;" | "&amp;B1754&amp;IF(C1754="",""," ("&amp;C1754&amp;")")&amp;IF(D1754="",""," - "&amp;D1754))</f>
        <v/>
      </c>
    </row>
    <row r="1755" customFormat="false" ht="15" hidden="false" customHeight="false" outlineLevel="0" collapsed="false">
      <c r="A1755" s="32"/>
      <c r="B1755" s="19"/>
      <c r="C1755" s="19"/>
      <c r="D1755" s="19"/>
      <c r="E1755" s="21"/>
      <c r="F1755" s="19"/>
      <c r="G1755" s="27" t="str">
        <f aca="false">IF(B1755="","",IFERROR(INDEX(Jeux!$C$2:$C$3001,MATCH(B1755,Jeux!$A$2:$A$3001,0))&amp;"","⚠ jeu inconnu"))</f>
        <v/>
      </c>
      <c r="H1755" s="27" t="str">
        <f aca="false">IF(B1755="","",IFERROR(INDEX(Jeux!$D$2:$D$3001,MATCH(B1755,Jeux!$A$2:$A$3001,0))&amp;"",""))</f>
        <v/>
      </c>
      <c r="I1755" s="26" t="str">
        <f aca="false">IF(A1755="","",COUNTIF(Apparitions!$G$2:$G$5001,A1755))</f>
        <v/>
      </c>
      <c r="J1755" s="26" t="str">
        <f aca="false">IF(A1755="","",COUNTIFS(Apparitions!$G$2:$G$5001,A1755,Apparitions!$E$2:$E$5001,"○"))</f>
        <v/>
      </c>
      <c r="K1755" s="29" t="str">
        <f aca="false">IF(A1755="","",IFERROR(1/(1/_xlfn.MINIFS(Apparitions!$L$2:$L$5001,Apparitions!$G$2:$G$5001,A1755)),""))</f>
        <v/>
      </c>
      <c r="L1755" s="27" t="str">
        <f aca="false">IF(A1755="","",A1755&amp;" | "&amp;B1755&amp;IF(C1755="",""," ("&amp;C1755&amp;")")&amp;IF(D1755="",""," - "&amp;D1755))</f>
        <v/>
      </c>
    </row>
    <row r="1756" customFormat="false" ht="15" hidden="false" customHeight="false" outlineLevel="0" collapsed="false">
      <c r="A1756" s="32"/>
      <c r="B1756" s="19"/>
      <c r="C1756" s="19"/>
      <c r="D1756" s="19"/>
      <c r="E1756" s="21"/>
      <c r="F1756" s="19"/>
      <c r="G1756" s="27" t="str">
        <f aca="false">IF(B1756="","",IFERROR(INDEX(Jeux!$C$2:$C$3001,MATCH(B1756,Jeux!$A$2:$A$3001,0))&amp;"","⚠ jeu inconnu"))</f>
        <v/>
      </c>
      <c r="H1756" s="27" t="str">
        <f aca="false">IF(B1756="","",IFERROR(INDEX(Jeux!$D$2:$D$3001,MATCH(B1756,Jeux!$A$2:$A$3001,0))&amp;"",""))</f>
        <v/>
      </c>
      <c r="I1756" s="26" t="str">
        <f aca="false">IF(A1756="","",COUNTIF(Apparitions!$G$2:$G$5001,A1756))</f>
        <v/>
      </c>
      <c r="J1756" s="26" t="str">
        <f aca="false">IF(A1756="","",COUNTIFS(Apparitions!$G$2:$G$5001,A1756,Apparitions!$E$2:$E$5001,"○"))</f>
        <v/>
      </c>
      <c r="K1756" s="29" t="str">
        <f aca="false">IF(A1756="","",IFERROR(1/(1/_xlfn.MINIFS(Apparitions!$L$2:$L$5001,Apparitions!$G$2:$G$5001,A1756)),""))</f>
        <v/>
      </c>
      <c r="L1756" s="27" t="str">
        <f aca="false">IF(A1756="","",A1756&amp;" | "&amp;B1756&amp;IF(C1756="",""," ("&amp;C1756&amp;")")&amp;IF(D1756="",""," - "&amp;D1756))</f>
        <v/>
      </c>
    </row>
    <row r="1757" customFormat="false" ht="15" hidden="false" customHeight="false" outlineLevel="0" collapsed="false">
      <c r="A1757" s="32"/>
      <c r="B1757" s="19"/>
      <c r="C1757" s="19"/>
      <c r="D1757" s="19"/>
      <c r="E1757" s="21"/>
      <c r="F1757" s="19"/>
      <c r="G1757" s="27" t="str">
        <f aca="false">IF(B1757="","",IFERROR(INDEX(Jeux!$C$2:$C$3001,MATCH(B1757,Jeux!$A$2:$A$3001,0))&amp;"","⚠ jeu inconnu"))</f>
        <v/>
      </c>
      <c r="H1757" s="27" t="str">
        <f aca="false">IF(B1757="","",IFERROR(INDEX(Jeux!$D$2:$D$3001,MATCH(B1757,Jeux!$A$2:$A$3001,0))&amp;"",""))</f>
        <v/>
      </c>
      <c r="I1757" s="26" t="str">
        <f aca="false">IF(A1757="","",COUNTIF(Apparitions!$G$2:$G$5001,A1757))</f>
        <v/>
      </c>
      <c r="J1757" s="26" t="str">
        <f aca="false">IF(A1757="","",COUNTIFS(Apparitions!$G$2:$G$5001,A1757,Apparitions!$E$2:$E$5001,"○"))</f>
        <v/>
      </c>
      <c r="K1757" s="29" t="str">
        <f aca="false">IF(A1757="","",IFERROR(1/(1/_xlfn.MINIFS(Apparitions!$L$2:$L$5001,Apparitions!$G$2:$G$5001,A1757)),""))</f>
        <v/>
      </c>
      <c r="L1757" s="27" t="str">
        <f aca="false">IF(A1757="","",A1757&amp;" | "&amp;B1757&amp;IF(C1757="",""," ("&amp;C1757&amp;")")&amp;IF(D1757="",""," - "&amp;D1757))</f>
        <v/>
      </c>
    </row>
    <row r="1758" customFormat="false" ht="15" hidden="false" customHeight="false" outlineLevel="0" collapsed="false">
      <c r="A1758" s="32"/>
      <c r="B1758" s="19"/>
      <c r="C1758" s="19"/>
      <c r="D1758" s="19"/>
      <c r="E1758" s="21"/>
      <c r="F1758" s="19"/>
      <c r="G1758" s="27" t="str">
        <f aca="false">IF(B1758="","",IFERROR(INDEX(Jeux!$C$2:$C$3001,MATCH(B1758,Jeux!$A$2:$A$3001,0))&amp;"","⚠ jeu inconnu"))</f>
        <v/>
      </c>
      <c r="H1758" s="27" t="str">
        <f aca="false">IF(B1758="","",IFERROR(INDEX(Jeux!$D$2:$D$3001,MATCH(B1758,Jeux!$A$2:$A$3001,0))&amp;"",""))</f>
        <v/>
      </c>
      <c r="I1758" s="26" t="str">
        <f aca="false">IF(A1758="","",COUNTIF(Apparitions!$G$2:$G$5001,A1758))</f>
        <v/>
      </c>
      <c r="J1758" s="26" t="str">
        <f aca="false">IF(A1758="","",COUNTIFS(Apparitions!$G$2:$G$5001,A1758,Apparitions!$E$2:$E$5001,"○"))</f>
        <v/>
      </c>
      <c r="K1758" s="29" t="str">
        <f aca="false">IF(A1758="","",IFERROR(1/(1/_xlfn.MINIFS(Apparitions!$L$2:$L$5001,Apparitions!$G$2:$G$5001,A1758)),""))</f>
        <v/>
      </c>
      <c r="L1758" s="27" t="str">
        <f aca="false">IF(A1758="","",A1758&amp;" | "&amp;B1758&amp;IF(C1758="",""," ("&amp;C1758&amp;")")&amp;IF(D1758="",""," - "&amp;D1758))</f>
        <v/>
      </c>
    </row>
    <row r="1759" customFormat="false" ht="15" hidden="false" customHeight="false" outlineLevel="0" collapsed="false">
      <c r="A1759" s="32"/>
      <c r="B1759" s="19"/>
      <c r="C1759" s="19"/>
      <c r="D1759" s="19"/>
      <c r="E1759" s="21"/>
      <c r="F1759" s="19"/>
      <c r="G1759" s="27" t="str">
        <f aca="false">IF(B1759="","",IFERROR(INDEX(Jeux!$C$2:$C$3001,MATCH(B1759,Jeux!$A$2:$A$3001,0))&amp;"","⚠ jeu inconnu"))</f>
        <v/>
      </c>
      <c r="H1759" s="27" t="str">
        <f aca="false">IF(B1759="","",IFERROR(INDEX(Jeux!$D$2:$D$3001,MATCH(B1759,Jeux!$A$2:$A$3001,0))&amp;"",""))</f>
        <v/>
      </c>
      <c r="I1759" s="26" t="str">
        <f aca="false">IF(A1759="","",COUNTIF(Apparitions!$G$2:$G$5001,A1759))</f>
        <v/>
      </c>
      <c r="J1759" s="26" t="str">
        <f aca="false">IF(A1759="","",COUNTIFS(Apparitions!$G$2:$G$5001,A1759,Apparitions!$E$2:$E$5001,"○"))</f>
        <v/>
      </c>
      <c r="K1759" s="29" t="str">
        <f aca="false">IF(A1759="","",IFERROR(1/(1/_xlfn.MINIFS(Apparitions!$L$2:$L$5001,Apparitions!$G$2:$G$5001,A1759)),""))</f>
        <v/>
      </c>
      <c r="L1759" s="27" t="str">
        <f aca="false">IF(A1759="","",A1759&amp;" | "&amp;B1759&amp;IF(C1759="",""," ("&amp;C1759&amp;")")&amp;IF(D1759="",""," - "&amp;D1759))</f>
        <v/>
      </c>
    </row>
    <row r="1760" customFormat="false" ht="15" hidden="false" customHeight="false" outlineLevel="0" collapsed="false">
      <c r="A1760" s="32"/>
      <c r="B1760" s="19"/>
      <c r="C1760" s="19"/>
      <c r="D1760" s="19"/>
      <c r="E1760" s="21"/>
      <c r="F1760" s="19"/>
      <c r="G1760" s="27" t="str">
        <f aca="false">IF(B1760="","",IFERROR(INDEX(Jeux!$C$2:$C$3001,MATCH(B1760,Jeux!$A$2:$A$3001,0))&amp;"","⚠ jeu inconnu"))</f>
        <v/>
      </c>
      <c r="H1760" s="27" t="str">
        <f aca="false">IF(B1760="","",IFERROR(INDEX(Jeux!$D$2:$D$3001,MATCH(B1760,Jeux!$A$2:$A$3001,0))&amp;"",""))</f>
        <v/>
      </c>
      <c r="I1760" s="26" t="str">
        <f aca="false">IF(A1760="","",COUNTIF(Apparitions!$G$2:$G$5001,A1760))</f>
        <v/>
      </c>
      <c r="J1760" s="26" t="str">
        <f aca="false">IF(A1760="","",COUNTIFS(Apparitions!$G$2:$G$5001,A1760,Apparitions!$E$2:$E$5001,"○"))</f>
        <v/>
      </c>
      <c r="K1760" s="29" t="str">
        <f aca="false">IF(A1760="","",IFERROR(1/(1/_xlfn.MINIFS(Apparitions!$L$2:$L$5001,Apparitions!$G$2:$G$5001,A1760)),""))</f>
        <v/>
      </c>
      <c r="L1760" s="27" t="str">
        <f aca="false">IF(A1760="","",A1760&amp;" | "&amp;B1760&amp;IF(C1760="",""," ("&amp;C1760&amp;")")&amp;IF(D1760="",""," - "&amp;D1760))</f>
        <v/>
      </c>
    </row>
    <row r="1761" customFormat="false" ht="15" hidden="false" customHeight="false" outlineLevel="0" collapsed="false">
      <c r="A1761" s="32"/>
      <c r="B1761" s="19"/>
      <c r="C1761" s="19"/>
      <c r="D1761" s="19"/>
      <c r="E1761" s="21"/>
      <c r="F1761" s="19"/>
      <c r="G1761" s="27" t="str">
        <f aca="false">IF(B1761="","",IFERROR(INDEX(Jeux!$C$2:$C$3001,MATCH(B1761,Jeux!$A$2:$A$3001,0))&amp;"","⚠ jeu inconnu"))</f>
        <v/>
      </c>
      <c r="H1761" s="27" t="str">
        <f aca="false">IF(B1761="","",IFERROR(INDEX(Jeux!$D$2:$D$3001,MATCH(B1761,Jeux!$A$2:$A$3001,0))&amp;"",""))</f>
        <v/>
      </c>
      <c r="I1761" s="26" t="str">
        <f aca="false">IF(A1761="","",COUNTIF(Apparitions!$G$2:$G$5001,A1761))</f>
        <v/>
      </c>
      <c r="J1761" s="26" t="str">
        <f aca="false">IF(A1761="","",COUNTIFS(Apparitions!$G$2:$G$5001,A1761,Apparitions!$E$2:$E$5001,"○"))</f>
        <v/>
      </c>
      <c r="K1761" s="29" t="str">
        <f aca="false">IF(A1761="","",IFERROR(1/(1/_xlfn.MINIFS(Apparitions!$L$2:$L$5001,Apparitions!$G$2:$G$5001,A1761)),""))</f>
        <v/>
      </c>
      <c r="L1761" s="27" t="str">
        <f aca="false">IF(A1761="","",A1761&amp;" | "&amp;B1761&amp;IF(C1761="",""," ("&amp;C1761&amp;")")&amp;IF(D1761="",""," - "&amp;D1761))</f>
        <v/>
      </c>
    </row>
    <row r="1762" customFormat="false" ht="15" hidden="false" customHeight="false" outlineLevel="0" collapsed="false">
      <c r="A1762" s="32"/>
      <c r="B1762" s="19"/>
      <c r="C1762" s="19"/>
      <c r="D1762" s="19"/>
      <c r="E1762" s="21"/>
      <c r="F1762" s="19"/>
      <c r="G1762" s="27" t="str">
        <f aca="false">IF(B1762="","",IFERROR(INDEX(Jeux!$C$2:$C$3001,MATCH(B1762,Jeux!$A$2:$A$3001,0))&amp;"","⚠ jeu inconnu"))</f>
        <v/>
      </c>
      <c r="H1762" s="27" t="str">
        <f aca="false">IF(B1762="","",IFERROR(INDEX(Jeux!$D$2:$D$3001,MATCH(B1762,Jeux!$A$2:$A$3001,0))&amp;"",""))</f>
        <v/>
      </c>
      <c r="I1762" s="26" t="str">
        <f aca="false">IF(A1762="","",COUNTIF(Apparitions!$G$2:$G$5001,A1762))</f>
        <v/>
      </c>
      <c r="J1762" s="26" t="str">
        <f aca="false">IF(A1762="","",COUNTIFS(Apparitions!$G$2:$G$5001,A1762,Apparitions!$E$2:$E$5001,"○"))</f>
        <v/>
      </c>
      <c r="K1762" s="29" t="str">
        <f aca="false">IF(A1762="","",IFERROR(1/(1/_xlfn.MINIFS(Apparitions!$L$2:$L$5001,Apparitions!$G$2:$G$5001,A1762)),""))</f>
        <v/>
      </c>
      <c r="L1762" s="27" t="str">
        <f aca="false">IF(A1762="","",A1762&amp;" | "&amp;B1762&amp;IF(C1762="",""," ("&amp;C1762&amp;")")&amp;IF(D1762="",""," - "&amp;D1762))</f>
        <v/>
      </c>
    </row>
    <row r="1763" customFormat="false" ht="15" hidden="false" customHeight="false" outlineLevel="0" collapsed="false">
      <c r="A1763" s="32"/>
      <c r="B1763" s="19"/>
      <c r="C1763" s="19"/>
      <c r="D1763" s="19"/>
      <c r="E1763" s="21"/>
      <c r="F1763" s="19"/>
      <c r="G1763" s="27" t="str">
        <f aca="false">IF(B1763="","",IFERROR(INDEX(Jeux!$C$2:$C$3001,MATCH(B1763,Jeux!$A$2:$A$3001,0))&amp;"","⚠ jeu inconnu"))</f>
        <v/>
      </c>
      <c r="H1763" s="27" t="str">
        <f aca="false">IF(B1763="","",IFERROR(INDEX(Jeux!$D$2:$D$3001,MATCH(B1763,Jeux!$A$2:$A$3001,0))&amp;"",""))</f>
        <v/>
      </c>
      <c r="I1763" s="26" t="str">
        <f aca="false">IF(A1763="","",COUNTIF(Apparitions!$G$2:$G$5001,A1763))</f>
        <v/>
      </c>
      <c r="J1763" s="26" t="str">
        <f aca="false">IF(A1763="","",COUNTIFS(Apparitions!$G$2:$G$5001,A1763,Apparitions!$E$2:$E$5001,"○"))</f>
        <v/>
      </c>
      <c r="K1763" s="29" t="str">
        <f aca="false">IF(A1763="","",IFERROR(1/(1/_xlfn.MINIFS(Apparitions!$L$2:$L$5001,Apparitions!$G$2:$G$5001,A1763)),""))</f>
        <v/>
      </c>
      <c r="L1763" s="27" t="str">
        <f aca="false">IF(A1763="","",A1763&amp;" | "&amp;B1763&amp;IF(C1763="",""," ("&amp;C1763&amp;")")&amp;IF(D1763="",""," - "&amp;D1763))</f>
        <v/>
      </c>
    </row>
    <row r="1764" customFormat="false" ht="15" hidden="false" customHeight="false" outlineLevel="0" collapsed="false">
      <c r="A1764" s="32"/>
      <c r="B1764" s="19"/>
      <c r="C1764" s="19"/>
      <c r="D1764" s="19"/>
      <c r="E1764" s="21"/>
      <c r="F1764" s="19"/>
      <c r="G1764" s="27" t="str">
        <f aca="false">IF(B1764="","",IFERROR(INDEX(Jeux!$C$2:$C$3001,MATCH(B1764,Jeux!$A$2:$A$3001,0))&amp;"","⚠ jeu inconnu"))</f>
        <v/>
      </c>
      <c r="H1764" s="27" t="str">
        <f aca="false">IF(B1764="","",IFERROR(INDEX(Jeux!$D$2:$D$3001,MATCH(B1764,Jeux!$A$2:$A$3001,0))&amp;"",""))</f>
        <v/>
      </c>
      <c r="I1764" s="26" t="str">
        <f aca="false">IF(A1764="","",COUNTIF(Apparitions!$G$2:$G$5001,A1764))</f>
        <v/>
      </c>
      <c r="J1764" s="26" t="str">
        <f aca="false">IF(A1764="","",COUNTIFS(Apparitions!$G$2:$G$5001,A1764,Apparitions!$E$2:$E$5001,"○"))</f>
        <v/>
      </c>
      <c r="K1764" s="29" t="str">
        <f aca="false">IF(A1764="","",IFERROR(1/(1/_xlfn.MINIFS(Apparitions!$L$2:$L$5001,Apparitions!$G$2:$G$5001,A1764)),""))</f>
        <v/>
      </c>
      <c r="L1764" s="27" t="str">
        <f aca="false">IF(A1764="","",A1764&amp;" | "&amp;B1764&amp;IF(C1764="",""," ("&amp;C1764&amp;")")&amp;IF(D1764="",""," - "&amp;D1764))</f>
        <v/>
      </c>
    </row>
    <row r="1765" customFormat="false" ht="15" hidden="false" customHeight="false" outlineLevel="0" collapsed="false">
      <c r="A1765" s="32"/>
      <c r="B1765" s="19"/>
      <c r="C1765" s="19"/>
      <c r="D1765" s="19"/>
      <c r="E1765" s="21"/>
      <c r="F1765" s="19"/>
      <c r="G1765" s="27" t="str">
        <f aca="false">IF(B1765="","",IFERROR(INDEX(Jeux!$C$2:$C$3001,MATCH(B1765,Jeux!$A$2:$A$3001,0))&amp;"","⚠ jeu inconnu"))</f>
        <v/>
      </c>
      <c r="H1765" s="27" t="str">
        <f aca="false">IF(B1765="","",IFERROR(INDEX(Jeux!$D$2:$D$3001,MATCH(B1765,Jeux!$A$2:$A$3001,0))&amp;"",""))</f>
        <v/>
      </c>
      <c r="I1765" s="26" t="str">
        <f aca="false">IF(A1765="","",COUNTIF(Apparitions!$G$2:$G$5001,A1765))</f>
        <v/>
      </c>
      <c r="J1765" s="26" t="str">
        <f aca="false">IF(A1765="","",COUNTIFS(Apparitions!$G$2:$G$5001,A1765,Apparitions!$E$2:$E$5001,"○"))</f>
        <v/>
      </c>
      <c r="K1765" s="29" t="str">
        <f aca="false">IF(A1765="","",IFERROR(1/(1/_xlfn.MINIFS(Apparitions!$L$2:$L$5001,Apparitions!$G$2:$G$5001,A1765)),""))</f>
        <v/>
      </c>
      <c r="L1765" s="27" t="str">
        <f aca="false">IF(A1765="","",A1765&amp;" | "&amp;B1765&amp;IF(C1765="",""," ("&amp;C1765&amp;")")&amp;IF(D1765="",""," - "&amp;D1765))</f>
        <v/>
      </c>
    </row>
    <row r="1766" customFormat="false" ht="15" hidden="false" customHeight="false" outlineLevel="0" collapsed="false">
      <c r="A1766" s="32"/>
      <c r="B1766" s="19"/>
      <c r="C1766" s="19"/>
      <c r="D1766" s="19"/>
      <c r="E1766" s="21"/>
      <c r="F1766" s="19"/>
      <c r="G1766" s="27" t="str">
        <f aca="false">IF(B1766="","",IFERROR(INDEX(Jeux!$C$2:$C$3001,MATCH(B1766,Jeux!$A$2:$A$3001,0))&amp;"","⚠ jeu inconnu"))</f>
        <v/>
      </c>
      <c r="H1766" s="27" t="str">
        <f aca="false">IF(B1766="","",IFERROR(INDEX(Jeux!$D$2:$D$3001,MATCH(B1766,Jeux!$A$2:$A$3001,0))&amp;"",""))</f>
        <v/>
      </c>
      <c r="I1766" s="26" t="str">
        <f aca="false">IF(A1766="","",COUNTIF(Apparitions!$G$2:$G$5001,A1766))</f>
        <v/>
      </c>
      <c r="J1766" s="26" t="str">
        <f aca="false">IF(A1766="","",COUNTIFS(Apparitions!$G$2:$G$5001,A1766,Apparitions!$E$2:$E$5001,"○"))</f>
        <v/>
      </c>
      <c r="K1766" s="29" t="str">
        <f aca="false">IF(A1766="","",IFERROR(1/(1/_xlfn.MINIFS(Apparitions!$L$2:$L$5001,Apparitions!$G$2:$G$5001,A1766)),""))</f>
        <v/>
      </c>
      <c r="L1766" s="27" t="str">
        <f aca="false">IF(A1766="","",A1766&amp;" | "&amp;B1766&amp;IF(C1766="",""," ("&amp;C1766&amp;")")&amp;IF(D1766="",""," - "&amp;D1766))</f>
        <v/>
      </c>
    </row>
    <row r="1767" customFormat="false" ht="15" hidden="false" customHeight="false" outlineLevel="0" collapsed="false">
      <c r="A1767" s="32"/>
      <c r="B1767" s="19"/>
      <c r="C1767" s="19"/>
      <c r="D1767" s="19"/>
      <c r="E1767" s="21"/>
      <c r="F1767" s="19"/>
      <c r="G1767" s="27" t="str">
        <f aca="false">IF(B1767="","",IFERROR(INDEX(Jeux!$C$2:$C$3001,MATCH(B1767,Jeux!$A$2:$A$3001,0))&amp;"","⚠ jeu inconnu"))</f>
        <v/>
      </c>
      <c r="H1767" s="27" t="str">
        <f aca="false">IF(B1767="","",IFERROR(INDEX(Jeux!$D$2:$D$3001,MATCH(B1767,Jeux!$A$2:$A$3001,0))&amp;"",""))</f>
        <v/>
      </c>
      <c r="I1767" s="26" t="str">
        <f aca="false">IF(A1767="","",COUNTIF(Apparitions!$G$2:$G$5001,A1767))</f>
        <v/>
      </c>
      <c r="J1767" s="26" t="str">
        <f aca="false">IF(A1767="","",COUNTIFS(Apparitions!$G$2:$G$5001,A1767,Apparitions!$E$2:$E$5001,"○"))</f>
        <v/>
      </c>
      <c r="K1767" s="29" t="str">
        <f aca="false">IF(A1767="","",IFERROR(1/(1/_xlfn.MINIFS(Apparitions!$L$2:$L$5001,Apparitions!$G$2:$G$5001,A1767)),""))</f>
        <v/>
      </c>
      <c r="L1767" s="27" t="str">
        <f aca="false">IF(A1767="","",A1767&amp;" | "&amp;B1767&amp;IF(C1767="",""," ("&amp;C1767&amp;")")&amp;IF(D1767="",""," - "&amp;D1767))</f>
        <v/>
      </c>
    </row>
    <row r="1768" customFormat="false" ht="15" hidden="false" customHeight="false" outlineLevel="0" collapsed="false">
      <c r="A1768" s="32"/>
      <c r="B1768" s="19"/>
      <c r="C1768" s="19"/>
      <c r="D1768" s="19"/>
      <c r="E1768" s="21"/>
      <c r="F1768" s="19"/>
      <c r="G1768" s="27" t="str">
        <f aca="false">IF(B1768="","",IFERROR(INDEX(Jeux!$C$2:$C$3001,MATCH(B1768,Jeux!$A$2:$A$3001,0))&amp;"","⚠ jeu inconnu"))</f>
        <v/>
      </c>
      <c r="H1768" s="27" t="str">
        <f aca="false">IF(B1768="","",IFERROR(INDEX(Jeux!$D$2:$D$3001,MATCH(B1768,Jeux!$A$2:$A$3001,0))&amp;"",""))</f>
        <v/>
      </c>
      <c r="I1768" s="26" t="str">
        <f aca="false">IF(A1768="","",COUNTIF(Apparitions!$G$2:$G$5001,A1768))</f>
        <v/>
      </c>
      <c r="J1768" s="26" t="str">
        <f aca="false">IF(A1768="","",COUNTIFS(Apparitions!$G$2:$G$5001,A1768,Apparitions!$E$2:$E$5001,"○"))</f>
        <v/>
      </c>
      <c r="K1768" s="29" t="str">
        <f aca="false">IF(A1768="","",IFERROR(1/(1/_xlfn.MINIFS(Apparitions!$L$2:$L$5001,Apparitions!$G$2:$G$5001,A1768)),""))</f>
        <v/>
      </c>
      <c r="L1768" s="27" t="str">
        <f aca="false">IF(A1768="","",A1768&amp;" | "&amp;B1768&amp;IF(C1768="",""," ("&amp;C1768&amp;")")&amp;IF(D1768="",""," - "&amp;D1768))</f>
        <v/>
      </c>
    </row>
    <row r="1769" customFormat="false" ht="15" hidden="false" customHeight="false" outlineLevel="0" collapsed="false">
      <c r="A1769" s="32"/>
      <c r="B1769" s="19"/>
      <c r="C1769" s="19"/>
      <c r="D1769" s="19"/>
      <c r="E1769" s="21"/>
      <c r="F1769" s="19"/>
      <c r="G1769" s="27" t="str">
        <f aca="false">IF(B1769="","",IFERROR(INDEX(Jeux!$C$2:$C$3001,MATCH(B1769,Jeux!$A$2:$A$3001,0))&amp;"","⚠ jeu inconnu"))</f>
        <v/>
      </c>
      <c r="H1769" s="27" t="str">
        <f aca="false">IF(B1769="","",IFERROR(INDEX(Jeux!$D$2:$D$3001,MATCH(B1769,Jeux!$A$2:$A$3001,0))&amp;"",""))</f>
        <v/>
      </c>
      <c r="I1769" s="26" t="str">
        <f aca="false">IF(A1769="","",COUNTIF(Apparitions!$G$2:$G$5001,A1769))</f>
        <v/>
      </c>
      <c r="J1769" s="26" t="str">
        <f aca="false">IF(A1769="","",COUNTIFS(Apparitions!$G$2:$G$5001,A1769,Apparitions!$E$2:$E$5001,"○"))</f>
        <v/>
      </c>
      <c r="K1769" s="29" t="str">
        <f aca="false">IF(A1769="","",IFERROR(1/(1/_xlfn.MINIFS(Apparitions!$L$2:$L$5001,Apparitions!$G$2:$G$5001,A1769)),""))</f>
        <v/>
      </c>
      <c r="L1769" s="27" t="str">
        <f aca="false">IF(A1769="","",A1769&amp;" | "&amp;B1769&amp;IF(C1769="",""," ("&amp;C1769&amp;")")&amp;IF(D1769="",""," - "&amp;D1769))</f>
        <v/>
      </c>
    </row>
    <row r="1770" customFormat="false" ht="15" hidden="false" customHeight="false" outlineLevel="0" collapsed="false">
      <c r="A1770" s="32"/>
      <c r="B1770" s="19"/>
      <c r="C1770" s="19"/>
      <c r="D1770" s="19"/>
      <c r="E1770" s="21"/>
      <c r="F1770" s="19"/>
      <c r="G1770" s="27" t="str">
        <f aca="false">IF(B1770="","",IFERROR(INDEX(Jeux!$C$2:$C$3001,MATCH(B1770,Jeux!$A$2:$A$3001,0))&amp;"","⚠ jeu inconnu"))</f>
        <v/>
      </c>
      <c r="H1770" s="27" t="str">
        <f aca="false">IF(B1770="","",IFERROR(INDEX(Jeux!$D$2:$D$3001,MATCH(B1770,Jeux!$A$2:$A$3001,0))&amp;"",""))</f>
        <v/>
      </c>
      <c r="I1770" s="26" t="str">
        <f aca="false">IF(A1770="","",COUNTIF(Apparitions!$G$2:$G$5001,A1770))</f>
        <v/>
      </c>
      <c r="J1770" s="26" t="str">
        <f aca="false">IF(A1770="","",COUNTIFS(Apparitions!$G$2:$G$5001,A1770,Apparitions!$E$2:$E$5001,"○"))</f>
        <v/>
      </c>
      <c r="K1770" s="29" t="str">
        <f aca="false">IF(A1770="","",IFERROR(1/(1/_xlfn.MINIFS(Apparitions!$L$2:$L$5001,Apparitions!$G$2:$G$5001,A1770)),""))</f>
        <v/>
      </c>
      <c r="L1770" s="27" t="str">
        <f aca="false">IF(A1770="","",A1770&amp;" | "&amp;B1770&amp;IF(C1770="",""," ("&amp;C1770&amp;")")&amp;IF(D1770="",""," - "&amp;D1770))</f>
        <v/>
      </c>
    </row>
    <row r="1771" customFormat="false" ht="15" hidden="false" customHeight="false" outlineLevel="0" collapsed="false">
      <c r="A1771" s="32"/>
      <c r="B1771" s="19"/>
      <c r="C1771" s="19"/>
      <c r="D1771" s="19"/>
      <c r="E1771" s="21"/>
      <c r="F1771" s="19"/>
      <c r="G1771" s="27" t="str">
        <f aca="false">IF(B1771="","",IFERROR(INDEX(Jeux!$C$2:$C$3001,MATCH(B1771,Jeux!$A$2:$A$3001,0))&amp;"","⚠ jeu inconnu"))</f>
        <v/>
      </c>
      <c r="H1771" s="27" t="str">
        <f aca="false">IF(B1771="","",IFERROR(INDEX(Jeux!$D$2:$D$3001,MATCH(B1771,Jeux!$A$2:$A$3001,0))&amp;"",""))</f>
        <v/>
      </c>
      <c r="I1771" s="26" t="str">
        <f aca="false">IF(A1771="","",COUNTIF(Apparitions!$G$2:$G$5001,A1771))</f>
        <v/>
      </c>
      <c r="J1771" s="26" t="str">
        <f aca="false">IF(A1771="","",COUNTIFS(Apparitions!$G$2:$G$5001,A1771,Apparitions!$E$2:$E$5001,"○"))</f>
        <v/>
      </c>
      <c r="K1771" s="29" t="str">
        <f aca="false">IF(A1771="","",IFERROR(1/(1/_xlfn.MINIFS(Apparitions!$L$2:$L$5001,Apparitions!$G$2:$G$5001,A1771)),""))</f>
        <v/>
      </c>
      <c r="L1771" s="27" t="str">
        <f aca="false">IF(A1771="","",A1771&amp;" | "&amp;B1771&amp;IF(C1771="",""," ("&amp;C1771&amp;")")&amp;IF(D1771="",""," - "&amp;D1771))</f>
        <v/>
      </c>
    </row>
    <row r="1772" customFormat="false" ht="15" hidden="false" customHeight="false" outlineLevel="0" collapsed="false">
      <c r="A1772" s="32"/>
      <c r="B1772" s="19"/>
      <c r="C1772" s="19"/>
      <c r="D1772" s="19"/>
      <c r="E1772" s="21"/>
      <c r="F1772" s="19"/>
      <c r="G1772" s="27" t="str">
        <f aca="false">IF(B1772="","",IFERROR(INDEX(Jeux!$C$2:$C$3001,MATCH(B1772,Jeux!$A$2:$A$3001,0))&amp;"","⚠ jeu inconnu"))</f>
        <v/>
      </c>
      <c r="H1772" s="27" t="str">
        <f aca="false">IF(B1772="","",IFERROR(INDEX(Jeux!$D$2:$D$3001,MATCH(B1772,Jeux!$A$2:$A$3001,0))&amp;"",""))</f>
        <v/>
      </c>
      <c r="I1772" s="26" t="str">
        <f aca="false">IF(A1772="","",COUNTIF(Apparitions!$G$2:$G$5001,A1772))</f>
        <v/>
      </c>
      <c r="J1772" s="26" t="str">
        <f aca="false">IF(A1772="","",COUNTIFS(Apparitions!$G$2:$G$5001,A1772,Apparitions!$E$2:$E$5001,"○"))</f>
        <v/>
      </c>
      <c r="K1772" s="29" t="str">
        <f aca="false">IF(A1772="","",IFERROR(1/(1/_xlfn.MINIFS(Apparitions!$L$2:$L$5001,Apparitions!$G$2:$G$5001,A1772)),""))</f>
        <v/>
      </c>
      <c r="L1772" s="27" t="str">
        <f aca="false">IF(A1772="","",A1772&amp;" | "&amp;B1772&amp;IF(C1772="",""," ("&amp;C1772&amp;")")&amp;IF(D1772="",""," - "&amp;D1772))</f>
        <v/>
      </c>
    </row>
    <row r="1773" customFormat="false" ht="15" hidden="false" customHeight="false" outlineLevel="0" collapsed="false">
      <c r="A1773" s="32"/>
      <c r="B1773" s="19"/>
      <c r="C1773" s="19"/>
      <c r="D1773" s="19"/>
      <c r="E1773" s="21"/>
      <c r="F1773" s="19"/>
      <c r="G1773" s="27" t="str">
        <f aca="false">IF(B1773="","",IFERROR(INDEX(Jeux!$C$2:$C$3001,MATCH(B1773,Jeux!$A$2:$A$3001,0))&amp;"","⚠ jeu inconnu"))</f>
        <v/>
      </c>
      <c r="H1773" s="27" t="str">
        <f aca="false">IF(B1773="","",IFERROR(INDEX(Jeux!$D$2:$D$3001,MATCH(B1773,Jeux!$A$2:$A$3001,0))&amp;"",""))</f>
        <v/>
      </c>
      <c r="I1773" s="26" t="str">
        <f aca="false">IF(A1773="","",COUNTIF(Apparitions!$G$2:$G$5001,A1773))</f>
        <v/>
      </c>
      <c r="J1773" s="26" t="str">
        <f aca="false">IF(A1773="","",COUNTIFS(Apparitions!$G$2:$G$5001,A1773,Apparitions!$E$2:$E$5001,"○"))</f>
        <v/>
      </c>
      <c r="K1773" s="29" t="str">
        <f aca="false">IF(A1773="","",IFERROR(1/(1/_xlfn.MINIFS(Apparitions!$L$2:$L$5001,Apparitions!$G$2:$G$5001,A1773)),""))</f>
        <v/>
      </c>
      <c r="L1773" s="27" t="str">
        <f aca="false">IF(A1773="","",A1773&amp;" | "&amp;B1773&amp;IF(C1773="",""," ("&amp;C1773&amp;")")&amp;IF(D1773="",""," - "&amp;D1773))</f>
        <v/>
      </c>
    </row>
    <row r="1774" customFormat="false" ht="15" hidden="false" customHeight="false" outlineLevel="0" collapsed="false">
      <c r="A1774" s="32"/>
      <c r="B1774" s="19"/>
      <c r="C1774" s="19"/>
      <c r="D1774" s="19"/>
      <c r="E1774" s="21"/>
      <c r="F1774" s="19"/>
      <c r="G1774" s="27" t="str">
        <f aca="false">IF(B1774="","",IFERROR(INDEX(Jeux!$C$2:$C$3001,MATCH(B1774,Jeux!$A$2:$A$3001,0))&amp;"","⚠ jeu inconnu"))</f>
        <v/>
      </c>
      <c r="H1774" s="27" t="str">
        <f aca="false">IF(B1774="","",IFERROR(INDEX(Jeux!$D$2:$D$3001,MATCH(B1774,Jeux!$A$2:$A$3001,0))&amp;"",""))</f>
        <v/>
      </c>
      <c r="I1774" s="26" t="str">
        <f aca="false">IF(A1774="","",COUNTIF(Apparitions!$G$2:$G$5001,A1774))</f>
        <v/>
      </c>
      <c r="J1774" s="26" t="str">
        <f aca="false">IF(A1774="","",COUNTIFS(Apparitions!$G$2:$G$5001,A1774,Apparitions!$E$2:$E$5001,"○"))</f>
        <v/>
      </c>
      <c r="K1774" s="29" t="str">
        <f aca="false">IF(A1774="","",IFERROR(1/(1/_xlfn.MINIFS(Apparitions!$L$2:$L$5001,Apparitions!$G$2:$G$5001,A1774)),""))</f>
        <v/>
      </c>
      <c r="L1774" s="27" t="str">
        <f aca="false">IF(A1774="","",A1774&amp;" | "&amp;B1774&amp;IF(C1774="",""," ("&amp;C1774&amp;")")&amp;IF(D1774="",""," - "&amp;D1774))</f>
        <v/>
      </c>
    </row>
    <row r="1775" customFormat="false" ht="15" hidden="false" customHeight="false" outlineLevel="0" collapsed="false">
      <c r="A1775" s="32"/>
      <c r="B1775" s="19"/>
      <c r="C1775" s="19"/>
      <c r="D1775" s="19"/>
      <c r="E1775" s="21"/>
      <c r="F1775" s="19"/>
      <c r="G1775" s="27" t="str">
        <f aca="false">IF(B1775="","",IFERROR(INDEX(Jeux!$C$2:$C$3001,MATCH(B1775,Jeux!$A$2:$A$3001,0))&amp;"","⚠ jeu inconnu"))</f>
        <v/>
      </c>
      <c r="H1775" s="27" t="str">
        <f aca="false">IF(B1775="","",IFERROR(INDEX(Jeux!$D$2:$D$3001,MATCH(B1775,Jeux!$A$2:$A$3001,0))&amp;"",""))</f>
        <v/>
      </c>
      <c r="I1775" s="26" t="str">
        <f aca="false">IF(A1775="","",COUNTIF(Apparitions!$G$2:$G$5001,A1775))</f>
        <v/>
      </c>
      <c r="J1775" s="26" t="str">
        <f aca="false">IF(A1775="","",COUNTIFS(Apparitions!$G$2:$G$5001,A1775,Apparitions!$E$2:$E$5001,"○"))</f>
        <v/>
      </c>
      <c r="K1775" s="29" t="str">
        <f aca="false">IF(A1775="","",IFERROR(1/(1/_xlfn.MINIFS(Apparitions!$L$2:$L$5001,Apparitions!$G$2:$G$5001,A1775)),""))</f>
        <v/>
      </c>
      <c r="L1775" s="27" t="str">
        <f aca="false">IF(A1775="","",A1775&amp;" | "&amp;B1775&amp;IF(C1775="",""," ("&amp;C1775&amp;")")&amp;IF(D1775="",""," - "&amp;D1775))</f>
        <v/>
      </c>
    </row>
    <row r="1776" customFormat="false" ht="15" hidden="false" customHeight="false" outlineLevel="0" collapsed="false">
      <c r="A1776" s="32"/>
      <c r="B1776" s="19"/>
      <c r="C1776" s="19"/>
      <c r="D1776" s="19"/>
      <c r="E1776" s="21"/>
      <c r="F1776" s="19"/>
      <c r="G1776" s="27" t="str">
        <f aca="false">IF(B1776="","",IFERROR(INDEX(Jeux!$C$2:$C$3001,MATCH(B1776,Jeux!$A$2:$A$3001,0))&amp;"","⚠ jeu inconnu"))</f>
        <v/>
      </c>
      <c r="H1776" s="27" t="str">
        <f aca="false">IF(B1776="","",IFERROR(INDEX(Jeux!$D$2:$D$3001,MATCH(B1776,Jeux!$A$2:$A$3001,0))&amp;"",""))</f>
        <v/>
      </c>
      <c r="I1776" s="26" t="str">
        <f aca="false">IF(A1776="","",COUNTIF(Apparitions!$G$2:$G$5001,A1776))</f>
        <v/>
      </c>
      <c r="J1776" s="26" t="str">
        <f aca="false">IF(A1776="","",COUNTIFS(Apparitions!$G$2:$G$5001,A1776,Apparitions!$E$2:$E$5001,"○"))</f>
        <v/>
      </c>
      <c r="K1776" s="29" t="str">
        <f aca="false">IF(A1776="","",IFERROR(1/(1/_xlfn.MINIFS(Apparitions!$L$2:$L$5001,Apparitions!$G$2:$G$5001,A1776)),""))</f>
        <v/>
      </c>
      <c r="L1776" s="27" t="str">
        <f aca="false">IF(A1776="","",A1776&amp;" | "&amp;B1776&amp;IF(C1776="",""," ("&amp;C1776&amp;")")&amp;IF(D1776="",""," - "&amp;D1776))</f>
        <v/>
      </c>
    </row>
    <row r="1777" customFormat="false" ht="15" hidden="false" customHeight="false" outlineLevel="0" collapsed="false">
      <c r="A1777" s="32"/>
      <c r="B1777" s="19"/>
      <c r="C1777" s="19"/>
      <c r="D1777" s="19"/>
      <c r="E1777" s="21"/>
      <c r="F1777" s="19"/>
      <c r="G1777" s="27" t="str">
        <f aca="false">IF(B1777="","",IFERROR(INDEX(Jeux!$C$2:$C$3001,MATCH(B1777,Jeux!$A$2:$A$3001,0))&amp;"","⚠ jeu inconnu"))</f>
        <v/>
      </c>
      <c r="H1777" s="27" t="str">
        <f aca="false">IF(B1777="","",IFERROR(INDEX(Jeux!$D$2:$D$3001,MATCH(B1777,Jeux!$A$2:$A$3001,0))&amp;"",""))</f>
        <v/>
      </c>
      <c r="I1777" s="26" t="str">
        <f aca="false">IF(A1777="","",COUNTIF(Apparitions!$G$2:$G$5001,A1777))</f>
        <v/>
      </c>
      <c r="J1777" s="26" t="str">
        <f aca="false">IF(A1777="","",COUNTIFS(Apparitions!$G$2:$G$5001,A1777,Apparitions!$E$2:$E$5001,"○"))</f>
        <v/>
      </c>
      <c r="K1777" s="29" t="str">
        <f aca="false">IF(A1777="","",IFERROR(1/(1/_xlfn.MINIFS(Apparitions!$L$2:$L$5001,Apparitions!$G$2:$G$5001,A1777)),""))</f>
        <v/>
      </c>
      <c r="L1777" s="27" t="str">
        <f aca="false">IF(A1777="","",A1777&amp;" | "&amp;B1777&amp;IF(C1777="",""," ("&amp;C1777&amp;")")&amp;IF(D1777="",""," - "&amp;D1777))</f>
        <v/>
      </c>
    </row>
    <row r="1778" customFormat="false" ht="15" hidden="false" customHeight="false" outlineLevel="0" collapsed="false">
      <c r="A1778" s="32"/>
      <c r="B1778" s="19"/>
      <c r="C1778" s="19"/>
      <c r="D1778" s="19"/>
      <c r="E1778" s="21"/>
      <c r="F1778" s="19"/>
      <c r="G1778" s="27" t="str">
        <f aca="false">IF(B1778="","",IFERROR(INDEX(Jeux!$C$2:$C$3001,MATCH(B1778,Jeux!$A$2:$A$3001,0))&amp;"","⚠ jeu inconnu"))</f>
        <v/>
      </c>
      <c r="H1778" s="27" t="str">
        <f aca="false">IF(B1778="","",IFERROR(INDEX(Jeux!$D$2:$D$3001,MATCH(B1778,Jeux!$A$2:$A$3001,0))&amp;"",""))</f>
        <v/>
      </c>
      <c r="I1778" s="26" t="str">
        <f aca="false">IF(A1778="","",COUNTIF(Apparitions!$G$2:$G$5001,A1778))</f>
        <v/>
      </c>
      <c r="J1778" s="26" t="str">
        <f aca="false">IF(A1778="","",COUNTIFS(Apparitions!$G$2:$G$5001,A1778,Apparitions!$E$2:$E$5001,"○"))</f>
        <v/>
      </c>
      <c r="K1778" s="29" t="str">
        <f aca="false">IF(A1778="","",IFERROR(1/(1/_xlfn.MINIFS(Apparitions!$L$2:$L$5001,Apparitions!$G$2:$G$5001,A1778)),""))</f>
        <v/>
      </c>
      <c r="L1778" s="27" t="str">
        <f aca="false">IF(A1778="","",A1778&amp;" | "&amp;B1778&amp;IF(C1778="",""," ("&amp;C1778&amp;")")&amp;IF(D1778="",""," - "&amp;D1778))</f>
        <v/>
      </c>
    </row>
    <row r="1779" customFormat="false" ht="15" hidden="false" customHeight="false" outlineLevel="0" collapsed="false">
      <c r="A1779" s="32"/>
      <c r="B1779" s="19"/>
      <c r="C1779" s="19"/>
      <c r="D1779" s="19"/>
      <c r="E1779" s="21"/>
      <c r="F1779" s="19"/>
      <c r="G1779" s="27" t="str">
        <f aca="false">IF(B1779="","",IFERROR(INDEX(Jeux!$C$2:$C$3001,MATCH(B1779,Jeux!$A$2:$A$3001,0))&amp;"","⚠ jeu inconnu"))</f>
        <v/>
      </c>
      <c r="H1779" s="27" t="str">
        <f aca="false">IF(B1779="","",IFERROR(INDEX(Jeux!$D$2:$D$3001,MATCH(B1779,Jeux!$A$2:$A$3001,0))&amp;"",""))</f>
        <v/>
      </c>
      <c r="I1779" s="26" t="str">
        <f aca="false">IF(A1779="","",COUNTIF(Apparitions!$G$2:$G$5001,A1779))</f>
        <v/>
      </c>
      <c r="J1779" s="26" t="str">
        <f aca="false">IF(A1779="","",COUNTIFS(Apparitions!$G$2:$G$5001,A1779,Apparitions!$E$2:$E$5001,"○"))</f>
        <v/>
      </c>
      <c r="K1779" s="29" t="str">
        <f aca="false">IF(A1779="","",IFERROR(1/(1/_xlfn.MINIFS(Apparitions!$L$2:$L$5001,Apparitions!$G$2:$G$5001,A1779)),""))</f>
        <v/>
      </c>
      <c r="L1779" s="27" t="str">
        <f aca="false">IF(A1779="","",A1779&amp;" | "&amp;B1779&amp;IF(C1779="",""," ("&amp;C1779&amp;")")&amp;IF(D1779="",""," - "&amp;D1779))</f>
        <v/>
      </c>
    </row>
    <row r="1780" customFormat="false" ht="15" hidden="false" customHeight="false" outlineLevel="0" collapsed="false">
      <c r="A1780" s="32"/>
      <c r="B1780" s="19"/>
      <c r="C1780" s="19"/>
      <c r="D1780" s="19"/>
      <c r="E1780" s="21"/>
      <c r="F1780" s="19"/>
      <c r="G1780" s="27" t="str">
        <f aca="false">IF(B1780="","",IFERROR(INDEX(Jeux!$C$2:$C$3001,MATCH(B1780,Jeux!$A$2:$A$3001,0))&amp;"","⚠ jeu inconnu"))</f>
        <v/>
      </c>
      <c r="H1780" s="27" t="str">
        <f aca="false">IF(B1780="","",IFERROR(INDEX(Jeux!$D$2:$D$3001,MATCH(B1780,Jeux!$A$2:$A$3001,0))&amp;"",""))</f>
        <v/>
      </c>
      <c r="I1780" s="26" t="str">
        <f aca="false">IF(A1780="","",COUNTIF(Apparitions!$G$2:$G$5001,A1780))</f>
        <v/>
      </c>
      <c r="J1780" s="26" t="str">
        <f aca="false">IF(A1780="","",COUNTIFS(Apparitions!$G$2:$G$5001,A1780,Apparitions!$E$2:$E$5001,"○"))</f>
        <v/>
      </c>
      <c r="K1780" s="29" t="str">
        <f aca="false">IF(A1780="","",IFERROR(1/(1/_xlfn.MINIFS(Apparitions!$L$2:$L$5001,Apparitions!$G$2:$G$5001,A1780)),""))</f>
        <v/>
      </c>
      <c r="L1780" s="27" t="str">
        <f aca="false">IF(A1780="","",A1780&amp;" | "&amp;B1780&amp;IF(C1780="",""," ("&amp;C1780&amp;")")&amp;IF(D1780="",""," - "&amp;D1780))</f>
        <v/>
      </c>
    </row>
    <row r="1781" customFormat="false" ht="15" hidden="false" customHeight="false" outlineLevel="0" collapsed="false">
      <c r="A1781" s="32"/>
      <c r="B1781" s="19"/>
      <c r="C1781" s="19"/>
      <c r="D1781" s="19"/>
      <c r="E1781" s="21"/>
      <c r="F1781" s="19"/>
      <c r="G1781" s="27" t="str">
        <f aca="false">IF(B1781="","",IFERROR(INDEX(Jeux!$C$2:$C$3001,MATCH(B1781,Jeux!$A$2:$A$3001,0))&amp;"","⚠ jeu inconnu"))</f>
        <v/>
      </c>
      <c r="H1781" s="27" t="str">
        <f aca="false">IF(B1781="","",IFERROR(INDEX(Jeux!$D$2:$D$3001,MATCH(B1781,Jeux!$A$2:$A$3001,0))&amp;"",""))</f>
        <v/>
      </c>
      <c r="I1781" s="26" t="str">
        <f aca="false">IF(A1781="","",COUNTIF(Apparitions!$G$2:$G$5001,A1781))</f>
        <v/>
      </c>
      <c r="J1781" s="26" t="str">
        <f aca="false">IF(A1781="","",COUNTIFS(Apparitions!$G$2:$G$5001,A1781,Apparitions!$E$2:$E$5001,"○"))</f>
        <v/>
      </c>
      <c r="K1781" s="29" t="str">
        <f aca="false">IF(A1781="","",IFERROR(1/(1/_xlfn.MINIFS(Apparitions!$L$2:$L$5001,Apparitions!$G$2:$G$5001,A1781)),""))</f>
        <v/>
      </c>
      <c r="L1781" s="27" t="str">
        <f aca="false">IF(A1781="","",A1781&amp;" | "&amp;B1781&amp;IF(C1781="",""," ("&amp;C1781&amp;")")&amp;IF(D1781="",""," - "&amp;D1781))</f>
        <v/>
      </c>
    </row>
    <row r="1782" customFormat="false" ht="15" hidden="false" customHeight="false" outlineLevel="0" collapsed="false">
      <c r="A1782" s="32"/>
      <c r="B1782" s="19"/>
      <c r="C1782" s="19"/>
      <c r="D1782" s="19"/>
      <c r="E1782" s="21"/>
      <c r="F1782" s="19"/>
      <c r="G1782" s="27" t="str">
        <f aca="false">IF(B1782="","",IFERROR(INDEX(Jeux!$C$2:$C$3001,MATCH(B1782,Jeux!$A$2:$A$3001,0))&amp;"","⚠ jeu inconnu"))</f>
        <v/>
      </c>
      <c r="H1782" s="27" t="str">
        <f aca="false">IF(B1782="","",IFERROR(INDEX(Jeux!$D$2:$D$3001,MATCH(B1782,Jeux!$A$2:$A$3001,0))&amp;"",""))</f>
        <v/>
      </c>
      <c r="I1782" s="26" t="str">
        <f aca="false">IF(A1782="","",COUNTIF(Apparitions!$G$2:$G$5001,A1782))</f>
        <v/>
      </c>
      <c r="J1782" s="26" t="str">
        <f aca="false">IF(A1782="","",COUNTIFS(Apparitions!$G$2:$G$5001,A1782,Apparitions!$E$2:$E$5001,"○"))</f>
        <v/>
      </c>
      <c r="K1782" s="29" t="str">
        <f aca="false">IF(A1782="","",IFERROR(1/(1/_xlfn.MINIFS(Apparitions!$L$2:$L$5001,Apparitions!$G$2:$G$5001,A1782)),""))</f>
        <v/>
      </c>
      <c r="L1782" s="27" t="str">
        <f aca="false">IF(A1782="","",A1782&amp;" | "&amp;B1782&amp;IF(C1782="",""," ("&amp;C1782&amp;")")&amp;IF(D1782="",""," - "&amp;D1782))</f>
        <v/>
      </c>
    </row>
    <row r="1783" customFormat="false" ht="15" hidden="false" customHeight="false" outlineLevel="0" collapsed="false">
      <c r="A1783" s="32"/>
      <c r="B1783" s="19"/>
      <c r="C1783" s="19"/>
      <c r="D1783" s="19"/>
      <c r="E1783" s="21"/>
      <c r="F1783" s="19"/>
      <c r="G1783" s="27" t="str">
        <f aca="false">IF(B1783="","",IFERROR(INDEX(Jeux!$C$2:$C$3001,MATCH(B1783,Jeux!$A$2:$A$3001,0))&amp;"","⚠ jeu inconnu"))</f>
        <v/>
      </c>
      <c r="H1783" s="27" t="str">
        <f aca="false">IF(B1783="","",IFERROR(INDEX(Jeux!$D$2:$D$3001,MATCH(B1783,Jeux!$A$2:$A$3001,0))&amp;"",""))</f>
        <v/>
      </c>
      <c r="I1783" s="26" t="str">
        <f aca="false">IF(A1783="","",COUNTIF(Apparitions!$G$2:$G$5001,A1783))</f>
        <v/>
      </c>
      <c r="J1783" s="26" t="str">
        <f aca="false">IF(A1783="","",COUNTIFS(Apparitions!$G$2:$G$5001,A1783,Apparitions!$E$2:$E$5001,"○"))</f>
        <v/>
      </c>
      <c r="K1783" s="29" t="str">
        <f aca="false">IF(A1783="","",IFERROR(1/(1/_xlfn.MINIFS(Apparitions!$L$2:$L$5001,Apparitions!$G$2:$G$5001,A1783)),""))</f>
        <v/>
      </c>
      <c r="L1783" s="27" t="str">
        <f aca="false">IF(A1783="","",A1783&amp;" | "&amp;B1783&amp;IF(C1783="",""," ("&amp;C1783&amp;")")&amp;IF(D1783="",""," - "&amp;D1783))</f>
        <v/>
      </c>
    </row>
    <row r="1784" customFormat="false" ht="15" hidden="false" customHeight="false" outlineLevel="0" collapsed="false">
      <c r="A1784" s="32"/>
      <c r="B1784" s="19"/>
      <c r="C1784" s="19"/>
      <c r="D1784" s="19"/>
      <c r="E1784" s="21"/>
      <c r="F1784" s="19"/>
      <c r="G1784" s="27" t="str">
        <f aca="false">IF(B1784="","",IFERROR(INDEX(Jeux!$C$2:$C$3001,MATCH(B1784,Jeux!$A$2:$A$3001,0))&amp;"","⚠ jeu inconnu"))</f>
        <v/>
      </c>
      <c r="H1784" s="27" t="str">
        <f aca="false">IF(B1784="","",IFERROR(INDEX(Jeux!$D$2:$D$3001,MATCH(B1784,Jeux!$A$2:$A$3001,0))&amp;"",""))</f>
        <v/>
      </c>
      <c r="I1784" s="26" t="str">
        <f aca="false">IF(A1784="","",COUNTIF(Apparitions!$G$2:$G$5001,A1784))</f>
        <v/>
      </c>
      <c r="J1784" s="26" t="str">
        <f aca="false">IF(A1784="","",COUNTIFS(Apparitions!$G$2:$G$5001,A1784,Apparitions!$E$2:$E$5001,"○"))</f>
        <v/>
      </c>
      <c r="K1784" s="29" t="str">
        <f aca="false">IF(A1784="","",IFERROR(1/(1/_xlfn.MINIFS(Apparitions!$L$2:$L$5001,Apparitions!$G$2:$G$5001,A1784)),""))</f>
        <v/>
      </c>
      <c r="L1784" s="27" t="str">
        <f aca="false">IF(A1784="","",A1784&amp;" | "&amp;B1784&amp;IF(C1784="",""," ("&amp;C1784&amp;")")&amp;IF(D1784="",""," - "&amp;D1784))</f>
        <v/>
      </c>
    </row>
    <row r="1785" customFormat="false" ht="15" hidden="false" customHeight="false" outlineLevel="0" collapsed="false">
      <c r="A1785" s="32"/>
      <c r="B1785" s="19"/>
      <c r="C1785" s="19"/>
      <c r="D1785" s="19"/>
      <c r="E1785" s="21"/>
      <c r="F1785" s="19"/>
      <c r="G1785" s="27" t="str">
        <f aca="false">IF(B1785="","",IFERROR(INDEX(Jeux!$C$2:$C$3001,MATCH(B1785,Jeux!$A$2:$A$3001,0))&amp;"","⚠ jeu inconnu"))</f>
        <v/>
      </c>
      <c r="H1785" s="27" t="str">
        <f aca="false">IF(B1785="","",IFERROR(INDEX(Jeux!$D$2:$D$3001,MATCH(B1785,Jeux!$A$2:$A$3001,0))&amp;"",""))</f>
        <v/>
      </c>
      <c r="I1785" s="26" t="str">
        <f aca="false">IF(A1785="","",COUNTIF(Apparitions!$G$2:$G$5001,A1785))</f>
        <v/>
      </c>
      <c r="J1785" s="26" t="str">
        <f aca="false">IF(A1785="","",COUNTIFS(Apparitions!$G$2:$G$5001,A1785,Apparitions!$E$2:$E$5001,"○"))</f>
        <v/>
      </c>
      <c r="K1785" s="29" t="str">
        <f aca="false">IF(A1785="","",IFERROR(1/(1/_xlfn.MINIFS(Apparitions!$L$2:$L$5001,Apparitions!$G$2:$G$5001,A1785)),""))</f>
        <v/>
      </c>
      <c r="L1785" s="27" t="str">
        <f aca="false">IF(A1785="","",A1785&amp;" | "&amp;B1785&amp;IF(C1785="",""," ("&amp;C1785&amp;")")&amp;IF(D1785="",""," - "&amp;D1785))</f>
        <v/>
      </c>
    </row>
    <row r="1786" customFormat="false" ht="15" hidden="false" customHeight="false" outlineLevel="0" collapsed="false">
      <c r="A1786" s="32"/>
      <c r="B1786" s="19"/>
      <c r="C1786" s="19"/>
      <c r="D1786" s="19"/>
      <c r="E1786" s="21"/>
      <c r="F1786" s="19"/>
      <c r="G1786" s="27" t="str">
        <f aca="false">IF(B1786="","",IFERROR(INDEX(Jeux!$C$2:$C$3001,MATCH(B1786,Jeux!$A$2:$A$3001,0))&amp;"","⚠ jeu inconnu"))</f>
        <v/>
      </c>
      <c r="H1786" s="27" t="str">
        <f aca="false">IF(B1786="","",IFERROR(INDEX(Jeux!$D$2:$D$3001,MATCH(B1786,Jeux!$A$2:$A$3001,0))&amp;"",""))</f>
        <v/>
      </c>
      <c r="I1786" s="26" t="str">
        <f aca="false">IF(A1786="","",COUNTIF(Apparitions!$G$2:$G$5001,A1786))</f>
        <v/>
      </c>
      <c r="J1786" s="26" t="str">
        <f aca="false">IF(A1786="","",COUNTIFS(Apparitions!$G$2:$G$5001,A1786,Apparitions!$E$2:$E$5001,"○"))</f>
        <v/>
      </c>
      <c r="K1786" s="29" t="str">
        <f aca="false">IF(A1786="","",IFERROR(1/(1/_xlfn.MINIFS(Apparitions!$L$2:$L$5001,Apparitions!$G$2:$G$5001,A1786)),""))</f>
        <v/>
      </c>
      <c r="L1786" s="27" t="str">
        <f aca="false">IF(A1786="","",A1786&amp;" | "&amp;B1786&amp;IF(C1786="",""," ("&amp;C1786&amp;")")&amp;IF(D1786="",""," - "&amp;D1786))</f>
        <v/>
      </c>
    </row>
    <row r="1787" customFormat="false" ht="15" hidden="false" customHeight="false" outlineLevel="0" collapsed="false">
      <c r="A1787" s="32"/>
      <c r="B1787" s="19"/>
      <c r="C1787" s="19"/>
      <c r="D1787" s="19"/>
      <c r="E1787" s="21"/>
      <c r="F1787" s="19"/>
      <c r="G1787" s="27" t="str">
        <f aca="false">IF(B1787="","",IFERROR(INDEX(Jeux!$C$2:$C$3001,MATCH(B1787,Jeux!$A$2:$A$3001,0))&amp;"","⚠ jeu inconnu"))</f>
        <v/>
      </c>
      <c r="H1787" s="27" t="str">
        <f aca="false">IF(B1787="","",IFERROR(INDEX(Jeux!$D$2:$D$3001,MATCH(B1787,Jeux!$A$2:$A$3001,0))&amp;"",""))</f>
        <v/>
      </c>
      <c r="I1787" s="26" t="str">
        <f aca="false">IF(A1787="","",COUNTIF(Apparitions!$G$2:$G$5001,A1787))</f>
        <v/>
      </c>
      <c r="J1787" s="26" t="str">
        <f aca="false">IF(A1787="","",COUNTIFS(Apparitions!$G$2:$G$5001,A1787,Apparitions!$E$2:$E$5001,"○"))</f>
        <v/>
      </c>
      <c r="K1787" s="29" t="str">
        <f aca="false">IF(A1787="","",IFERROR(1/(1/_xlfn.MINIFS(Apparitions!$L$2:$L$5001,Apparitions!$G$2:$G$5001,A1787)),""))</f>
        <v/>
      </c>
      <c r="L1787" s="27" t="str">
        <f aca="false">IF(A1787="","",A1787&amp;" | "&amp;B1787&amp;IF(C1787="",""," ("&amp;C1787&amp;")")&amp;IF(D1787="",""," - "&amp;D1787))</f>
        <v/>
      </c>
    </row>
    <row r="1788" customFormat="false" ht="15" hidden="false" customHeight="false" outlineLevel="0" collapsed="false">
      <c r="A1788" s="32"/>
      <c r="B1788" s="19"/>
      <c r="C1788" s="19"/>
      <c r="D1788" s="19"/>
      <c r="E1788" s="21"/>
      <c r="F1788" s="19"/>
      <c r="G1788" s="27" t="str">
        <f aca="false">IF(B1788="","",IFERROR(INDEX(Jeux!$C$2:$C$3001,MATCH(B1788,Jeux!$A$2:$A$3001,0))&amp;"","⚠ jeu inconnu"))</f>
        <v/>
      </c>
      <c r="H1788" s="27" t="str">
        <f aca="false">IF(B1788="","",IFERROR(INDEX(Jeux!$D$2:$D$3001,MATCH(B1788,Jeux!$A$2:$A$3001,0))&amp;"",""))</f>
        <v/>
      </c>
      <c r="I1788" s="26" t="str">
        <f aca="false">IF(A1788="","",COUNTIF(Apparitions!$G$2:$G$5001,A1788))</f>
        <v/>
      </c>
      <c r="J1788" s="26" t="str">
        <f aca="false">IF(A1788="","",COUNTIFS(Apparitions!$G$2:$G$5001,A1788,Apparitions!$E$2:$E$5001,"○"))</f>
        <v/>
      </c>
      <c r="K1788" s="29" t="str">
        <f aca="false">IF(A1788="","",IFERROR(1/(1/_xlfn.MINIFS(Apparitions!$L$2:$L$5001,Apparitions!$G$2:$G$5001,A1788)),""))</f>
        <v/>
      </c>
      <c r="L1788" s="27" t="str">
        <f aca="false">IF(A1788="","",A1788&amp;" | "&amp;B1788&amp;IF(C1788="",""," ("&amp;C1788&amp;")")&amp;IF(D1788="",""," - "&amp;D1788))</f>
        <v/>
      </c>
    </row>
    <row r="1789" customFormat="false" ht="15" hidden="false" customHeight="false" outlineLevel="0" collapsed="false">
      <c r="A1789" s="32"/>
      <c r="B1789" s="19"/>
      <c r="C1789" s="19"/>
      <c r="D1789" s="19"/>
      <c r="E1789" s="21"/>
      <c r="F1789" s="19"/>
      <c r="G1789" s="27" t="str">
        <f aca="false">IF(B1789="","",IFERROR(INDEX(Jeux!$C$2:$C$3001,MATCH(B1789,Jeux!$A$2:$A$3001,0))&amp;"","⚠ jeu inconnu"))</f>
        <v/>
      </c>
      <c r="H1789" s="27" t="str">
        <f aca="false">IF(B1789="","",IFERROR(INDEX(Jeux!$D$2:$D$3001,MATCH(B1789,Jeux!$A$2:$A$3001,0))&amp;"",""))</f>
        <v/>
      </c>
      <c r="I1789" s="26" t="str">
        <f aca="false">IF(A1789="","",COUNTIF(Apparitions!$G$2:$G$5001,A1789))</f>
        <v/>
      </c>
      <c r="J1789" s="26" t="str">
        <f aca="false">IF(A1789="","",COUNTIFS(Apparitions!$G$2:$G$5001,A1789,Apparitions!$E$2:$E$5001,"○"))</f>
        <v/>
      </c>
      <c r="K1789" s="29" t="str">
        <f aca="false">IF(A1789="","",IFERROR(1/(1/_xlfn.MINIFS(Apparitions!$L$2:$L$5001,Apparitions!$G$2:$G$5001,A1789)),""))</f>
        <v/>
      </c>
      <c r="L1789" s="27" t="str">
        <f aca="false">IF(A1789="","",A1789&amp;" | "&amp;B1789&amp;IF(C1789="",""," ("&amp;C1789&amp;")")&amp;IF(D1789="",""," - "&amp;D1789))</f>
        <v/>
      </c>
    </row>
    <row r="1790" customFormat="false" ht="15" hidden="false" customHeight="false" outlineLevel="0" collapsed="false">
      <c r="A1790" s="32"/>
      <c r="B1790" s="19"/>
      <c r="C1790" s="19"/>
      <c r="D1790" s="19"/>
      <c r="E1790" s="21"/>
      <c r="F1790" s="19"/>
      <c r="G1790" s="27" t="str">
        <f aca="false">IF(B1790="","",IFERROR(INDEX(Jeux!$C$2:$C$3001,MATCH(B1790,Jeux!$A$2:$A$3001,0))&amp;"","⚠ jeu inconnu"))</f>
        <v/>
      </c>
      <c r="H1790" s="27" t="str">
        <f aca="false">IF(B1790="","",IFERROR(INDEX(Jeux!$D$2:$D$3001,MATCH(B1790,Jeux!$A$2:$A$3001,0))&amp;"",""))</f>
        <v/>
      </c>
      <c r="I1790" s="26" t="str">
        <f aca="false">IF(A1790="","",COUNTIF(Apparitions!$G$2:$G$5001,A1790))</f>
        <v/>
      </c>
      <c r="J1790" s="26" t="str">
        <f aca="false">IF(A1790="","",COUNTIFS(Apparitions!$G$2:$G$5001,A1790,Apparitions!$E$2:$E$5001,"○"))</f>
        <v/>
      </c>
      <c r="K1790" s="29" t="str">
        <f aca="false">IF(A1790="","",IFERROR(1/(1/_xlfn.MINIFS(Apparitions!$L$2:$L$5001,Apparitions!$G$2:$G$5001,A1790)),""))</f>
        <v/>
      </c>
      <c r="L1790" s="27" t="str">
        <f aca="false">IF(A1790="","",A1790&amp;" | "&amp;B1790&amp;IF(C1790="",""," ("&amp;C1790&amp;")")&amp;IF(D1790="",""," - "&amp;D1790))</f>
        <v/>
      </c>
    </row>
    <row r="1791" customFormat="false" ht="15" hidden="false" customHeight="false" outlineLevel="0" collapsed="false">
      <c r="A1791" s="32"/>
      <c r="B1791" s="19"/>
      <c r="C1791" s="19"/>
      <c r="D1791" s="19"/>
      <c r="E1791" s="21"/>
      <c r="F1791" s="19"/>
      <c r="G1791" s="27" t="str">
        <f aca="false">IF(B1791="","",IFERROR(INDEX(Jeux!$C$2:$C$3001,MATCH(B1791,Jeux!$A$2:$A$3001,0))&amp;"","⚠ jeu inconnu"))</f>
        <v/>
      </c>
      <c r="H1791" s="27" t="str">
        <f aca="false">IF(B1791="","",IFERROR(INDEX(Jeux!$D$2:$D$3001,MATCH(B1791,Jeux!$A$2:$A$3001,0))&amp;"",""))</f>
        <v/>
      </c>
      <c r="I1791" s="26" t="str">
        <f aca="false">IF(A1791="","",COUNTIF(Apparitions!$G$2:$G$5001,A1791))</f>
        <v/>
      </c>
      <c r="J1791" s="26" t="str">
        <f aca="false">IF(A1791="","",COUNTIFS(Apparitions!$G$2:$G$5001,A1791,Apparitions!$E$2:$E$5001,"○"))</f>
        <v/>
      </c>
      <c r="K1791" s="29" t="str">
        <f aca="false">IF(A1791="","",IFERROR(1/(1/_xlfn.MINIFS(Apparitions!$L$2:$L$5001,Apparitions!$G$2:$G$5001,A1791)),""))</f>
        <v/>
      </c>
      <c r="L1791" s="27" t="str">
        <f aca="false">IF(A1791="","",A1791&amp;" | "&amp;B1791&amp;IF(C1791="",""," ("&amp;C1791&amp;")")&amp;IF(D1791="",""," - "&amp;D1791))</f>
        <v/>
      </c>
    </row>
    <row r="1792" customFormat="false" ht="15" hidden="false" customHeight="false" outlineLevel="0" collapsed="false">
      <c r="A1792" s="32"/>
      <c r="B1792" s="19"/>
      <c r="C1792" s="19"/>
      <c r="D1792" s="19"/>
      <c r="E1792" s="21"/>
      <c r="F1792" s="19"/>
      <c r="G1792" s="27" t="str">
        <f aca="false">IF(B1792="","",IFERROR(INDEX(Jeux!$C$2:$C$3001,MATCH(B1792,Jeux!$A$2:$A$3001,0))&amp;"","⚠ jeu inconnu"))</f>
        <v/>
      </c>
      <c r="H1792" s="27" t="str">
        <f aca="false">IF(B1792="","",IFERROR(INDEX(Jeux!$D$2:$D$3001,MATCH(B1792,Jeux!$A$2:$A$3001,0))&amp;"",""))</f>
        <v/>
      </c>
      <c r="I1792" s="26" t="str">
        <f aca="false">IF(A1792="","",COUNTIF(Apparitions!$G$2:$G$5001,A1792))</f>
        <v/>
      </c>
      <c r="J1792" s="26" t="str">
        <f aca="false">IF(A1792="","",COUNTIFS(Apparitions!$G$2:$G$5001,A1792,Apparitions!$E$2:$E$5001,"○"))</f>
        <v/>
      </c>
      <c r="K1792" s="29" t="str">
        <f aca="false">IF(A1792="","",IFERROR(1/(1/_xlfn.MINIFS(Apparitions!$L$2:$L$5001,Apparitions!$G$2:$G$5001,A1792)),""))</f>
        <v/>
      </c>
      <c r="L1792" s="27" t="str">
        <f aca="false">IF(A1792="","",A1792&amp;" | "&amp;B1792&amp;IF(C1792="",""," ("&amp;C1792&amp;")")&amp;IF(D1792="",""," - "&amp;D1792))</f>
        <v/>
      </c>
    </row>
    <row r="1793" customFormat="false" ht="15" hidden="false" customHeight="false" outlineLevel="0" collapsed="false">
      <c r="A1793" s="32"/>
      <c r="B1793" s="19"/>
      <c r="C1793" s="19"/>
      <c r="D1793" s="19"/>
      <c r="E1793" s="21"/>
      <c r="F1793" s="19"/>
      <c r="G1793" s="27" t="str">
        <f aca="false">IF(B1793="","",IFERROR(INDEX(Jeux!$C$2:$C$3001,MATCH(B1793,Jeux!$A$2:$A$3001,0))&amp;"","⚠ jeu inconnu"))</f>
        <v/>
      </c>
      <c r="H1793" s="27" t="str">
        <f aca="false">IF(B1793="","",IFERROR(INDEX(Jeux!$D$2:$D$3001,MATCH(B1793,Jeux!$A$2:$A$3001,0))&amp;"",""))</f>
        <v/>
      </c>
      <c r="I1793" s="26" t="str">
        <f aca="false">IF(A1793="","",COUNTIF(Apparitions!$G$2:$G$5001,A1793))</f>
        <v/>
      </c>
      <c r="J1793" s="26" t="str">
        <f aca="false">IF(A1793="","",COUNTIFS(Apparitions!$G$2:$G$5001,A1793,Apparitions!$E$2:$E$5001,"○"))</f>
        <v/>
      </c>
      <c r="K1793" s="29" t="str">
        <f aca="false">IF(A1793="","",IFERROR(1/(1/_xlfn.MINIFS(Apparitions!$L$2:$L$5001,Apparitions!$G$2:$G$5001,A1793)),""))</f>
        <v/>
      </c>
      <c r="L1793" s="27" t="str">
        <f aca="false">IF(A1793="","",A1793&amp;" | "&amp;B1793&amp;IF(C1793="",""," ("&amp;C1793&amp;")")&amp;IF(D1793="",""," - "&amp;D1793))</f>
        <v/>
      </c>
    </row>
    <row r="1794" customFormat="false" ht="15" hidden="false" customHeight="false" outlineLevel="0" collapsed="false">
      <c r="A1794" s="32"/>
      <c r="B1794" s="19"/>
      <c r="C1794" s="19"/>
      <c r="D1794" s="19"/>
      <c r="E1794" s="21"/>
      <c r="F1794" s="19"/>
      <c r="G1794" s="27" t="str">
        <f aca="false">IF(B1794="","",IFERROR(INDEX(Jeux!$C$2:$C$3001,MATCH(B1794,Jeux!$A$2:$A$3001,0))&amp;"","⚠ jeu inconnu"))</f>
        <v/>
      </c>
      <c r="H1794" s="27" t="str">
        <f aca="false">IF(B1794="","",IFERROR(INDEX(Jeux!$D$2:$D$3001,MATCH(B1794,Jeux!$A$2:$A$3001,0))&amp;"",""))</f>
        <v/>
      </c>
      <c r="I1794" s="26" t="str">
        <f aca="false">IF(A1794="","",COUNTIF(Apparitions!$G$2:$G$5001,A1794))</f>
        <v/>
      </c>
      <c r="J1794" s="26" t="str">
        <f aca="false">IF(A1794="","",COUNTIFS(Apparitions!$G$2:$G$5001,A1794,Apparitions!$E$2:$E$5001,"○"))</f>
        <v/>
      </c>
      <c r="K1794" s="29" t="str">
        <f aca="false">IF(A1794="","",IFERROR(1/(1/_xlfn.MINIFS(Apparitions!$L$2:$L$5001,Apparitions!$G$2:$G$5001,A1794)),""))</f>
        <v/>
      </c>
      <c r="L1794" s="27" t="str">
        <f aca="false">IF(A1794="","",A1794&amp;" | "&amp;B1794&amp;IF(C1794="",""," ("&amp;C1794&amp;")")&amp;IF(D1794="",""," - "&amp;D1794))</f>
        <v/>
      </c>
    </row>
    <row r="1795" customFormat="false" ht="15" hidden="false" customHeight="false" outlineLevel="0" collapsed="false">
      <c r="A1795" s="32"/>
      <c r="B1795" s="19"/>
      <c r="C1795" s="19"/>
      <c r="D1795" s="19"/>
      <c r="E1795" s="21"/>
      <c r="F1795" s="19"/>
      <c r="G1795" s="27" t="str">
        <f aca="false">IF(B1795="","",IFERROR(INDEX(Jeux!$C$2:$C$3001,MATCH(B1795,Jeux!$A$2:$A$3001,0))&amp;"","⚠ jeu inconnu"))</f>
        <v/>
      </c>
      <c r="H1795" s="27" t="str">
        <f aca="false">IF(B1795="","",IFERROR(INDEX(Jeux!$D$2:$D$3001,MATCH(B1795,Jeux!$A$2:$A$3001,0))&amp;"",""))</f>
        <v/>
      </c>
      <c r="I1795" s="26" t="str">
        <f aca="false">IF(A1795="","",COUNTIF(Apparitions!$G$2:$G$5001,A1795))</f>
        <v/>
      </c>
      <c r="J1795" s="26" t="str">
        <f aca="false">IF(A1795="","",COUNTIFS(Apparitions!$G$2:$G$5001,A1795,Apparitions!$E$2:$E$5001,"○"))</f>
        <v/>
      </c>
      <c r="K1795" s="29" t="str">
        <f aca="false">IF(A1795="","",IFERROR(1/(1/_xlfn.MINIFS(Apparitions!$L$2:$L$5001,Apparitions!$G$2:$G$5001,A1795)),""))</f>
        <v/>
      </c>
      <c r="L1795" s="27" t="str">
        <f aca="false">IF(A1795="","",A1795&amp;" | "&amp;B1795&amp;IF(C1795="",""," ("&amp;C1795&amp;")")&amp;IF(D1795="",""," - "&amp;D1795))</f>
        <v/>
      </c>
    </row>
    <row r="1796" customFormat="false" ht="15" hidden="false" customHeight="false" outlineLevel="0" collapsed="false">
      <c r="A1796" s="32"/>
      <c r="B1796" s="19"/>
      <c r="C1796" s="19"/>
      <c r="D1796" s="19"/>
      <c r="E1796" s="21"/>
      <c r="F1796" s="19"/>
      <c r="G1796" s="27" t="str">
        <f aca="false">IF(B1796="","",IFERROR(INDEX(Jeux!$C$2:$C$3001,MATCH(B1796,Jeux!$A$2:$A$3001,0))&amp;"","⚠ jeu inconnu"))</f>
        <v/>
      </c>
      <c r="H1796" s="27" t="str">
        <f aca="false">IF(B1796="","",IFERROR(INDEX(Jeux!$D$2:$D$3001,MATCH(B1796,Jeux!$A$2:$A$3001,0))&amp;"",""))</f>
        <v/>
      </c>
      <c r="I1796" s="26" t="str">
        <f aca="false">IF(A1796="","",COUNTIF(Apparitions!$G$2:$G$5001,A1796))</f>
        <v/>
      </c>
      <c r="J1796" s="26" t="str">
        <f aca="false">IF(A1796="","",COUNTIFS(Apparitions!$G$2:$G$5001,A1796,Apparitions!$E$2:$E$5001,"○"))</f>
        <v/>
      </c>
      <c r="K1796" s="29" t="str">
        <f aca="false">IF(A1796="","",IFERROR(1/(1/_xlfn.MINIFS(Apparitions!$L$2:$L$5001,Apparitions!$G$2:$G$5001,A1796)),""))</f>
        <v/>
      </c>
      <c r="L1796" s="27" t="str">
        <f aca="false">IF(A1796="","",A1796&amp;" | "&amp;B1796&amp;IF(C1796="",""," ("&amp;C1796&amp;")")&amp;IF(D1796="",""," - "&amp;D1796))</f>
        <v/>
      </c>
    </row>
    <row r="1797" customFormat="false" ht="15" hidden="false" customHeight="false" outlineLevel="0" collapsed="false">
      <c r="A1797" s="32"/>
      <c r="B1797" s="19"/>
      <c r="C1797" s="19"/>
      <c r="D1797" s="19"/>
      <c r="E1797" s="21"/>
      <c r="F1797" s="19"/>
      <c r="G1797" s="27" t="str">
        <f aca="false">IF(B1797="","",IFERROR(INDEX(Jeux!$C$2:$C$3001,MATCH(B1797,Jeux!$A$2:$A$3001,0))&amp;"","⚠ jeu inconnu"))</f>
        <v/>
      </c>
      <c r="H1797" s="27" t="str">
        <f aca="false">IF(B1797="","",IFERROR(INDEX(Jeux!$D$2:$D$3001,MATCH(B1797,Jeux!$A$2:$A$3001,0))&amp;"",""))</f>
        <v/>
      </c>
      <c r="I1797" s="26" t="str">
        <f aca="false">IF(A1797="","",COUNTIF(Apparitions!$G$2:$G$5001,A1797))</f>
        <v/>
      </c>
      <c r="J1797" s="26" t="str">
        <f aca="false">IF(A1797="","",COUNTIFS(Apparitions!$G$2:$G$5001,A1797,Apparitions!$E$2:$E$5001,"○"))</f>
        <v/>
      </c>
      <c r="K1797" s="29" t="str">
        <f aca="false">IF(A1797="","",IFERROR(1/(1/_xlfn.MINIFS(Apparitions!$L$2:$L$5001,Apparitions!$G$2:$G$5001,A1797)),""))</f>
        <v/>
      </c>
      <c r="L1797" s="27" t="str">
        <f aca="false">IF(A1797="","",A1797&amp;" | "&amp;B1797&amp;IF(C1797="",""," ("&amp;C1797&amp;")")&amp;IF(D1797="",""," - "&amp;D1797))</f>
        <v/>
      </c>
    </row>
    <row r="1798" customFormat="false" ht="15" hidden="false" customHeight="false" outlineLevel="0" collapsed="false">
      <c r="A1798" s="32"/>
      <c r="B1798" s="19"/>
      <c r="C1798" s="19"/>
      <c r="D1798" s="19"/>
      <c r="E1798" s="21"/>
      <c r="F1798" s="19"/>
      <c r="G1798" s="27" t="str">
        <f aca="false">IF(B1798="","",IFERROR(INDEX(Jeux!$C$2:$C$3001,MATCH(B1798,Jeux!$A$2:$A$3001,0))&amp;"","⚠ jeu inconnu"))</f>
        <v/>
      </c>
      <c r="H1798" s="27" t="str">
        <f aca="false">IF(B1798="","",IFERROR(INDEX(Jeux!$D$2:$D$3001,MATCH(B1798,Jeux!$A$2:$A$3001,0))&amp;"",""))</f>
        <v/>
      </c>
      <c r="I1798" s="26" t="str">
        <f aca="false">IF(A1798="","",COUNTIF(Apparitions!$G$2:$G$5001,A1798))</f>
        <v/>
      </c>
      <c r="J1798" s="26" t="str">
        <f aca="false">IF(A1798="","",COUNTIFS(Apparitions!$G$2:$G$5001,A1798,Apparitions!$E$2:$E$5001,"○"))</f>
        <v/>
      </c>
      <c r="K1798" s="29" t="str">
        <f aca="false">IF(A1798="","",IFERROR(1/(1/_xlfn.MINIFS(Apparitions!$L$2:$L$5001,Apparitions!$G$2:$G$5001,A1798)),""))</f>
        <v/>
      </c>
      <c r="L1798" s="27" t="str">
        <f aca="false">IF(A1798="","",A1798&amp;" | "&amp;B1798&amp;IF(C1798="",""," ("&amp;C1798&amp;")")&amp;IF(D1798="",""," - "&amp;D1798))</f>
        <v/>
      </c>
    </row>
    <row r="1799" customFormat="false" ht="15" hidden="false" customHeight="false" outlineLevel="0" collapsed="false">
      <c r="A1799" s="32"/>
      <c r="B1799" s="19"/>
      <c r="C1799" s="19"/>
      <c r="D1799" s="19"/>
      <c r="E1799" s="21"/>
      <c r="F1799" s="19"/>
      <c r="G1799" s="27" t="str">
        <f aca="false">IF(B1799="","",IFERROR(INDEX(Jeux!$C$2:$C$3001,MATCH(B1799,Jeux!$A$2:$A$3001,0))&amp;"","⚠ jeu inconnu"))</f>
        <v/>
      </c>
      <c r="H1799" s="27" t="str">
        <f aca="false">IF(B1799="","",IFERROR(INDEX(Jeux!$D$2:$D$3001,MATCH(B1799,Jeux!$A$2:$A$3001,0))&amp;"",""))</f>
        <v/>
      </c>
      <c r="I1799" s="26" t="str">
        <f aca="false">IF(A1799="","",COUNTIF(Apparitions!$G$2:$G$5001,A1799))</f>
        <v/>
      </c>
      <c r="J1799" s="26" t="str">
        <f aca="false">IF(A1799="","",COUNTIFS(Apparitions!$G$2:$G$5001,A1799,Apparitions!$E$2:$E$5001,"○"))</f>
        <v/>
      </c>
      <c r="K1799" s="29" t="str">
        <f aca="false">IF(A1799="","",IFERROR(1/(1/_xlfn.MINIFS(Apparitions!$L$2:$L$5001,Apparitions!$G$2:$G$5001,A1799)),""))</f>
        <v/>
      </c>
      <c r="L1799" s="27" t="str">
        <f aca="false">IF(A1799="","",A1799&amp;" | "&amp;B1799&amp;IF(C1799="",""," ("&amp;C1799&amp;")")&amp;IF(D1799="",""," - "&amp;D1799))</f>
        <v/>
      </c>
    </row>
    <row r="1800" customFormat="false" ht="15" hidden="false" customHeight="false" outlineLevel="0" collapsed="false">
      <c r="A1800" s="32"/>
      <c r="B1800" s="19"/>
      <c r="C1800" s="19"/>
      <c r="D1800" s="19"/>
      <c r="E1800" s="21"/>
      <c r="F1800" s="19"/>
      <c r="G1800" s="27" t="str">
        <f aca="false">IF(B1800="","",IFERROR(INDEX(Jeux!$C$2:$C$3001,MATCH(B1800,Jeux!$A$2:$A$3001,0))&amp;"","⚠ jeu inconnu"))</f>
        <v/>
      </c>
      <c r="H1800" s="27" t="str">
        <f aca="false">IF(B1800="","",IFERROR(INDEX(Jeux!$D$2:$D$3001,MATCH(B1800,Jeux!$A$2:$A$3001,0))&amp;"",""))</f>
        <v/>
      </c>
      <c r="I1800" s="26" t="str">
        <f aca="false">IF(A1800="","",COUNTIF(Apparitions!$G$2:$G$5001,A1800))</f>
        <v/>
      </c>
      <c r="J1800" s="26" t="str">
        <f aca="false">IF(A1800="","",COUNTIFS(Apparitions!$G$2:$G$5001,A1800,Apparitions!$E$2:$E$5001,"○"))</f>
        <v/>
      </c>
      <c r="K1800" s="29" t="str">
        <f aca="false">IF(A1800="","",IFERROR(1/(1/_xlfn.MINIFS(Apparitions!$L$2:$L$5001,Apparitions!$G$2:$G$5001,A1800)),""))</f>
        <v/>
      </c>
      <c r="L1800" s="27" t="str">
        <f aca="false">IF(A1800="","",A1800&amp;" | "&amp;B1800&amp;IF(C1800="",""," ("&amp;C1800&amp;")")&amp;IF(D1800="",""," - "&amp;D1800))</f>
        <v/>
      </c>
    </row>
    <row r="1801" customFormat="false" ht="15" hidden="false" customHeight="false" outlineLevel="0" collapsed="false">
      <c r="A1801" s="32"/>
      <c r="B1801" s="19"/>
      <c r="C1801" s="19"/>
      <c r="D1801" s="19"/>
      <c r="E1801" s="21"/>
      <c r="F1801" s="19"/>
      <c r="G1801" s="27" t="str">
        <f aca="false">IF(B1801="","",IFERROR(INDEX(Jeux!$C$2:$C$3001,MATCH(B1801,Jeux!$A$2:$A$3001,0))&amp;"","⚠ jeu inconnu"))</f>
        <v/>
      </c>
      <c r="H1801" s="27" t="str">
        <f aca="false">IF(B1801="","",IFERROR(INDEX(Jeux!$D$2:$D$3001,MATCH(B1801,Jeux!$A$2:$A$3001,0))&amp;"",""))</f>
        <v/>
      </c>
      <c r="I1801" s="26" t="str">
        <f aca="false">IF(A1801="","",COUNTIF(Apparitions!$G$2:$G$5001,A1801))</f>
        <v/>
      </c>
      <c r="J1801" s="26" t="str">
        <f aca="false">IF(A1801="","",COUNTIFS(Apparitions!$G$2:$G$5001,A1801,Apparitions!$E$2:$E$5001,"○"))</f>
        <v/>
      </c>
      <c r="K1801" s="29" t="str">
        <f aca="false">IF(A1801="","",IFERROR(1/(1/_xlfn.MINIFS(Apparitions!$L$2:$L$5001,Apparitions!$G$2:$G$5001,A1801)),""))</f>
        <v/>
      </c>
      <c r="L1801" s="27" t="str">
        <f aca="false">IF(A1801="","",A1801&amp;" | "&amp;B1801&amp;IF(C1801="",""," ("&amp;C1801&amp;")")&amp;IF(D1801="",""," - "&amp;D1801))</f>
        <v/>
      </c>
    </row>
    <row r="1802" customFormat="false" ht="15" hidden="false" customHeight="false" outlineLevel="0" collapsed="false">
      <c r="A1802" s="32"/>
      <c r="B1802" s="19"/>
      <c r="C1802" s="19"/>
      <c r="D1802" s="19"/>
      <c r="E1802" s="21"/>
      <c r="F1802" s="19"/>
      <c r="G1802" s="27" t="str">
        <f aca="false">IF(B1802="","",IFERROR(INDEX(Jeux!$C$2:$C$3001,MATCH(B1802,Jeux!$A$2:$A$3001,0))&amp;"","⚠ jeu inconnu"))</f>
        <v/>
      </c>
      <c r="H1802" s="27" t="str">
        <f aca="false">IF(B1802="","",IFERROR(INDEX(Jeux!$D$2:$D$3001,MATCH(B1802,Jeux!$A$2:$A$3001,0))&amp;"",""))</f>
        <v/>
      </c>
      <c r="I1802" s="26" t="str">
        <f aca="false">IF(A1802="","",COUNTIF(Apparitions!$G$2:$G$5001,A1802))</f>
        <v/>
      </c>
      <c r="J1802" s="26" t="str">
        <f aca="false">IF(A1802="","",COUNTIFS(Apparitions!$G$2:$G$5001,A1802,Apparitions!$E$2:$E$5001,"○"))</f>
        <v/>
      </c>
      <c r="K1802" s="29" t="str">
        <f aca="false">IF(A1802="","",IFERROR(1/(1/_xlfn.MINIFS(Apparitions!$L$2:$L$5001,Apparitions!$G$2:$G$5001,A1802)),""))</f>
        <v/>
      </c>
      <c r="L1802" s="27" t="str">
        <f aca="false">IF(A1802="","",A1802&amp;" | "&amp;B1802&amp;IF(C1802="",""," ("&amp;C1802&amp;")")&amp;IF(D1802="",""," - "&amp;D1802))</f>
        <v/>
      </c>
    </row>
    <row r="1803" customFormat="false" ht="15" hidden="false" customHeight="false" outlineLevel="0" collapsed="false">
      <c r="A1803" s="32"/>
      <c r="B1803" s="19"/>
      <c r="C1803" s="19"/>
      <c r="D1803" s="19"/>
      <c r="E1803" s="21"/>
      <c r="F1803" s="19"/>
      <c r="G1803" s="27" t="str">
        <f aca="false">IF(B1803="","",IFERROR(INDEX(Jeux!$C$2:$C$3001,MATCH(B1803,Jeux!$A$2:$A$3001,0))&amp;"","⚠ jeu inconnu"))</f>
        <v/>
      </c>
      <c r="H1803" s="27" t="str">
        <f aca="false">IF(B1803="","",IFERROR(INDEX(Jeux!$D$2:$D$3001,MATCH(B1803,Jeux!$A$2:$A$3001,0))&amp;"",""))</f>
        <v/>
      </c>
      <c r="I1803" s="26" t="str">
        <f aca="false">IF(A1803="","",COUNTIF(Apparitions!$G$2:$G$5001,A1803))</f>
        <v/>
      </c>
      <c r="J1803" s="26" t="str">
        <f aca="false">IF(A1803="","",COUNTIFS(Apparitions!$G$2:$G$5001,A1803,Apparitions!$E$2:$E$5001,"○"))</f>
        <v/>
      </c>
      <c r="K1803" s="29" t="str">
        <f aca="false">IF(A1803="","",IFERROR(1/(1/_xlfn.MINIFS(Apparitions!$L$2:$L$5001,Apparitions!$G$2:$G$5001,A1803)),""))</f>
        <v/>
      </c>
      <c r="L1803" s="27" t="str">
        <f aca="false">IF(A1803="","",A1803&amp;" | "&amp;B1803&amp;IF(C1803="",""," ("&amp;C1803&amp;")")&amp;IF(D1803="",""," - "&amp;D1803))</f>
        <v/>
      </c>
    </row>
    <row r="1804" customFormat="false" ht="15" hidden="false" customHeight="false" outlineLevel="0" collapsed="false">
      <c r="A1804" s="32"/>
      <c r="B1804" s="19"/>
      <c r="C1804" s="19"/>
      <c r="D1804" s="19"/>
      <c r="E1804" s="21"/>
      <c r="F1804" s="19"/>
      <c r="G1804" s="27" t="str">
        <f aca="false">IF(B1804="","",IFERROR(INDEX(Jeux!$C$2:$C$3001,MATCH(B1804,Jeux!$A$2:$A$3001,0))&amp;"","⚠ jeu inconnu"))</f>
        <v/>
      </c>
      <c r="H1804" s="27" t="str">
        <f aca="false">IF(B1804="","",IFERROR(INDEX(Jeux!$D$2:$D$3001,MATCH(B1804,Jeux!$A$2:$A$3001,0))&amp;"",""))</f>
        <v/>
      </c>
      <c r="I1804" s="26" t="str">
        <f aca="false">IF(A1804="","",COUNTIF(Apparitions!$G$2:$G$5001,A1804))</f>
        <v/>
      </c>
      <c r="J1804" s="26" t="str">
        <f aca="false">IF(A1804="","",COUNTIFS(Apparitions!$G$2:$G$5001,A1804,Apparitions!$E$2:$E$5001,"○"))</f>
        <v/>
      </c>
      <c r="K1804" s="29" t="str">
        <f aca="false">IF(A1804="","",IFERROR(1/(1/_xlfn.MINIFS(Apparitions!$L$2:$L$5001,Apparitions!$G$2:$G$5001,A1804)),""))</f>
        <v/>
      </c>
      <c r="L1804" s="27" t="str">
        <f aca="false">IF(A1804="","",A1804&amp;" | "&amp;B1804&amp;IF(C1804="",""," ("&amp;C1804&amp;")")&amp;IF(D1804="",""," - "&amp;D1804))</f>
        <v/>
      </c>
    </row>
    <row r="1805" customFormat="false" ht="15" hidden="false" customHeight="false" outlineLevel="0" collapsed="false">
      <c r="A1805" s="32"/>
      <c r="B1805" s="19"/>
      <c r="C1805" s="19"/>
      <c r="D1805" s="19"/>
      <c r="E1805" s="21"/>
      <c r="F1805" s="19"/>
      <c r="G1805" s="27" t="str">
        <f aca="false">IF(B1805="","",IFERROR(INDEX(Jeux!$C$2:$C$3001,MATCH(B1805,Jeux!$A$2:$A$3001,0))&amp;"","⚠ jeu inconnu"))</f>
        <v/>
      </c>
      <c r="H1805" s="27" t="str">
        <f aca="false">IF(B1805="","",IFERROR(INDEX(Jeux!$D$2:$D$3001,MATCH(B1805,Jeux!$A$2:$A$3001,0))&amp;"",""))</f>
        <v/>
      </c>
      <c r="I1805" s="26" t="str">
        <f aca="false">IF(A1805="","",COUNTIF(Apparitions!$G$2:$G$5001,A1805))</f>
        <v/>
      </c>
      <c r="J1805" s="26" t="str">
        <f aca="false">IF(A1805="","",COUNTIFS(Apparitions!$G$2:$G$5001,A1805,Apparitions!$E$2:$E$5001,"○"))</f>
        <v/>
      </c>
      <c r="K1805" s="29" t="str">
        <f aca="false">IF(A1805="","",IFERROR(1/(1/_xlfn.MINIFS(Apparitions!$L$2:$L$5001,Apparitions!$G$2:$G$5001,A1805)),""))</f>
        <v/>
      </c>
      <c r="L1805" s="27" t="str">
        <f aca="false">IF(A1805="","",A1805&amp;" | "&amp;B1805&amp;IF(C1805="",""," ("&amp;C1805&amp;")")&amp;IF(D1805="",""," - "&amp;D1805))</f>
        <v/>
      </c>
    </row>
    <row r="1806" customFormat="false" ht="15" hidden="false" customHeight="false" outlineLevel="0" collapsed="false">
      <c r="A1806" s="32"/>
      <c r="B1806" s="19"/>
      <c r="C1806" s="19"/>
      <c r="D1806" s="19"/>
      <c r="E1806" s="21"/>
      <c r="F1806" s="19"/>
      <c r="G1806" s="27" t="str">
        <f aca="false">IF(B1806="","",IFERROR(INDEX(Jeux!$C$2:$C$3001,MATCH(B1806,Jeux!$A$2:$A$3001,0))&amp;"","⚠ jeu inconnu"))</f>
        <v/>
      </c>
      <c r="H1806" s="27" t="str">
        <f aca="false">IF(B1806="","",IFERROR(INDEX(Jeux!$D$2:$D$3001,MATCH(B1806,Jeux!$A$2:$A$3001,0))&amp;"",""))</f>
        <v/>
      </c>
      <c r="I1806" s="26" t="str">
        <f aca="false">IF(A1806="","",COUNTIF(Apparitions!$G$2:$G$5001,A1806))</f>
        <v/>
      </c>
      <c r="J1806" s="26" t="str">
        <f aca="false">IF(A1806="","",COUNTIFS(Apparitions!$G$2:$G$5001,A1806,Apparitions!$E$2:$E$5001,"○"))</f>
        <v/>
      </c>
      <c r="K1806" s="29" t="str">
        <f aca="false">IF(A1806="","",IFERROR(1/(1/_xlfn.MINIFS(Apparitions!$L$2:$L$5001,Apparitions!$G$2:$G$5001,A1806)),""))</f>
        <v/>
      </c>
      <c r="L1806" s="27" t="str">
        <f aca="false">IF(A1806="","",A1806&amp;" | "&amp;B1806&amp;IF(C1806="",""," ("&amp;C1806&amp;")")&amp;IF(D1806="",""," - "&amp;D1806))</f>
        <v/>
      </c>
    </row>
    <row r="1807" customFormat="false" ht="15" hidden="false" customHeight="false" outlineLevel="0" collapsed="false">
      <c r="A1807" s="32"/>
      <c r="B1807" s="19"/>
      <c r="C1807" s="19"/>
      <c r="D1807" s="19"/>
      <c r="E1807" s="21"/>
      <c r="F1807" s="19"/>
      <c r="G1807" s="27" t="str">
        <f aca="false">IF(B1807="","",IFERROR(INDEX(Jeux!$C$2:$C$3001,MATCH(B1807,Jeux!$A$2:$A$3001,0))&amp;"","⚠ jeu inconnu"))</f>
        <v/>
      </c>
      <c r="H1807" s="27" t="str">
        <f aca="false">IF(B1807="","",IFERROR(INDEX(Jeux!$D$2:$D$3001,MATCH(B1807,Jeux!$A$2:$A$3001,0))&amp;"",""))</f>
        <v/>
      </c>
      <c r="I1807" s="26" t="str">
        <f aca="false">IF(A1807="","",COUNTIF(Apparitions!$G$2:$G$5001,A1807))</f>
        <v/>
      </c>
      <c r="J1807" s="26" t="str">
        <f aca="false">IF(A1807="","",COUNTIFS(Apparitions!$G$2:$G$5001,A1807,Apparitions!$E$2:$E$5001,"○"))</f>
        <v/>
      </c>
      <c r="K1807" s="29" t="str">
        <f aca="false">IF(A1807="","",IFERROR(1/(1/_xlfn.MINIFS(Apparitions!$L$2:$L$5001,Apparitions!$G$2:$G$5001,A1807)),""))</f>
        <v/>
      </c>
      <c r="L1807" s="27" t="str">
        <f aca="false">IF(A1807="","",A1807&amp;" | "&amp;B1807&amp;IF(C1807="",""," ("&amp;C1807&amp;")")&amp;IF(D1807="",""," - "&amp;D1807))</f>
        <v/>
      </c>
    </row>
    <row r="1808" customFormat="false" ht="15" hidden="false" customHeight="false" outlineLevel="0" collapsed="false">
      <c r="A1808" s="32"/>
      <c r="B1808" s="19"/>
      <c r="C1808" s="19"/>
      <c r="D1808" s="19"/>
      <c r="E1808" s="21"/>
      <c r="F1808" s="19"/>
      <c r="G1808" s="27" t="str">
        <f aca="false">IF(B1808="","",IFERROR(INDEX(Jeux!$C$2:$C$3001,MATCH(B1808,Jeux!$A$2:$A$3001,0))&amp;"","⚠ jeu inconnu"))</f>
        <v/>
      </c>
      <c r="H1808" s="27" t="str">
        <f aca="false">IF(B1808="","",IFERROR(INDEX(Jeux!$D$2:$D$3001,MATCH(B1808,Jeux!$A$2:$A$3001,0))&amp;"",""))</f>
        <v/>
      </c>
      <c r="I1808" s="26" t="str">
        <f aca="false">IF(A1808="","",COUNTIF(Apparitions!$G$2:$G$5001,A1808))</f>
        <v/>
      </c>
      <c r="J1808" s="26" t="str">
        <f aca="false">IF(A1808="","",COUNTIFS(Apparitions!$G$2:$G$5001,A1808,Apparitions!$E$2:$E$5001,"○"))</f>
        <v/>
      </c>
      <c r="K1808" s="29" t="str">
        <f aca="false">IF(A1808="","",IFERROR(1/(1/_xlfn.MINIFS(Apparitions!$L$2:$L$5001,Apparitions!$G$2:$G$5001,A1808)),""))</f>
        <v/>
      </c>
      <c r="L1808" s="27" t="str">
        <f aca="false">IF(A1808="","",A1808&amp;" | "&amp;B1808&amp;IF(C1808="",""," ("&amp;C1808&amp;")")&amp;IF(D1808="",""," - "&amp;D1808))</f>
        <v/>
      </c>
    </row>
    <row r="1809" customFormat="false" ht="15" hidden="false" customHeight="false" outlineLevel="0" collapsed="false">
      <c r="A1809" s="32"/>
      <c r="B1809" s="19"/>
      <c r="C1809" s="19"/>
      <c r="D1809" s="19"/>
      <c r="E1809" s="21"/>
      <c r="F1809" s="19"/>
      <c r="G1809" s="27" t="str">
        <f aca="false">IF(B1809="","",IFERROR(INDEX(Jeux!$C$2:$C$3001,MATCH(B1809,Jeux!$A$2:$A$3001,0))&amp;"","⚠ jeu inconnu"))</f>
        <v/>
      </c>
      <c r="H1809" s="27" t="str">
        <f aca="false">IF(B1809="","",IFERROR(INDEX(Jeux!$D$2:$D$3001,MATCH(B1809,Jeux!$A$2:$A$3001,0))&amp;"",""))</f>
        <v/>
      </c>
      <c r="I1809" s="26" t="str">
        <f aca="false">IF(A1809="","",COUNTIF(Apparitions!$G$2:$G$5001,A1809))</f>
        <v/>
      </c>
      <c r="J1809" s="26" t="str">
        <f aca="false">IF(A1809="","",COUNTIFS(Apparitions!$G$2:$G$5001,A1809,Apparitions!$E$2:$E$5001,"○"))</f>
        <v/>
      </c>
      <c r="K1809" s="29" t="str">
        <f aca="false">IF(A1809="","",IFERROR(1/(1/_xlfn.MINIFS(Apparitions!$L$2:$L$5001,Apparitions!$G$2:$G$5001,A1809)),""))</f>
        <v/>
      </c>
      <c r="L1809" s="27" t="str">
        <f aca="false">IF(A1809="","",A1809&amp;" | "&amp;B1809&amp;IF(C1809="",""," ("&amp;C1809&amp;")")&amp;IF(D1809="",""," - "&amp;D1809))</f>
        <v/>
      </c>
    </row>
    <row r="1810" customFormat="false" ht="15" hidden="false" customHeight="false" outlineLevel="0" collapsed="false">
      <c r="A1810" s="32"/>
      <c r="B1810" s="19"/>
      <c r="C1810" s="19"/>
      <c r="D1810" s="19"/>
      <c r="E1810" s="21"/>
      <c r="F1810" s="19"/>
      <c r="G1810" s="27" t="str">
        <f aca="false">IF(B1810="","",IFERROR(INDEX(Jeux!$C$2:$C$3001,MATCH(B1810,Jeux!$A$2:$A$3001,0))&amp;"","⚠ jeu inconnu"))</f>
        <v/>
      </c>
      <c r="H1810" s="27" t="str">
        <f aca="false">IF(B1810="","",IFERROR(INDEX(Jeux!$D$2:$D$3001,MATCH(B1810,Jeux!$A$2:$A$3001,0))&amp;"",""))</f>
        <v/>
      </c>
      <c r="I1810" s="26" t="str">
        <f aca="false">IF(A1810="","",COUNTIF(Apparitions!$G$2:$G$5001,A1810))</f>
        <v/>
      </c>
      <c r="J1810" s="26" t="str">
        <f aca="false">IF(A1810="","",COUNTIFS(Apparitions!$G$2:$G$5001,A1810,Apparitions!$E$2:$E$5001,"○"))</f>
        <v/>
      </c>
      <c r="K1810" s="29" t="str">
        <f aca="false">IF(A1810="","",IFERROR(1/(1/_xlfn.MINIFS(Apparitions!$L$2:$L$5001,Apparitions!$G$2:$G$5001,A1810)),""))</f>
        <v/>
      </c>
      <c r="L1810" s="27" t="str">
        <f aca="false">IF(A1810="","",A1810&amp;" | "&amp;B1810&amp;IF(C1810="",""," ("&amp;C1810&amp;")")&amp;IF(D1810="",""," - "&amp;D1810))</f>
        <v/>
      </c>
    </row>
    <row r="1811" customFormat="false" ht="15" hidden="false" customHeight="false" outlineLevel="0" collapsed="false">
      <c r="A1811" s="32"/>
      <c r="B1811" s="19"/>
      <c r="C1811" s="19"/>
      <c r="D1811" s="19"/>
      <c r="E1811" s="21"/>
      <c r="F1811" s="19"/>
      <c r="G1811" s="27" t="str">
        <f aca="false">IF(B1811="","",IFERROR(INDEX(Jeux!$C$2:$C$3001,MATCH(B1811,Jeux!$A$2:$A$3001,0))&amp;"","⚠ jeu inconnu"))</f>
        <v/>
      </c>
      <c r="H1811" s="27" t="str">
        <f aca="false">IF(B1811="","",IFERROR(INDEX(Jeux!$D$2:$D$3001,MATCH(B1811,Jeux!$A$2:$A$3001,0))&amp;"",""))</f>
        <v/>
      </c>
      <c r="I1811" s="26" t="str">
        <f aca="false">IF(A1811="","",COUNTIF(Apparitions!$G$2:$G$5001,A1811))</f>
        <v/>
      </c>
      <c r="J1811" s="26" t="str">
        <f aca="false">IF(A1811="","",COUNTIFS(Apparitions!$G$2:$G$5001,A1811,Apparitions!$E$2:$E$5001,"○"))</f>
        <v/>
      </c>
      <c r="K1811" s="29" t="str">
        <f aca="false">IF(A1811="","",IFERROR(1/(1/_xlfn.MINIFS(Apparitions!$L$2:$L$5001,Apparitions!$G$2:$G$5001,A1811)),""))</f>
        <v/>
      </c>
      <c r="L1811" s="27" t="str">
        <f aca="false">IF(A1811="","",A1811&amp;" | "&amp;B1811&amp;IF(C1811="",""," ("&amp;C1811&amp;")")&amp;IF(D1811="",""," - "&amp;D1811))</f>
        <v/>
      </c>
    </row>
    <row r="1812" customFormat="false" ht="15" hidden="false" customHeight="false" outlineLevel="0" collapsed="false">
      <c r="A1812" s="32"/>
      <c r="B1812" s="19"/>
      <c r="C1812" s="19"/>
      <c r="D1812" s="19"/>
      <c r="E1812" s="21"/>
      <c r="F1812" s="19"/>
      <c r="G1812" s="27" t="str">
        <f aca="false">IF(B1812="","",IFERROR(INDEX(Jeux!$C$2:$C$3001,MATCH(B1812,Jeux!$A$2:$A$3001,0))&amp;"","⚠ jeu inconnu"))</f>
        <v/>
      </c>
      <c r="H1812" s="27" t="str">
        <f aca="false">IF(B1812="","",IFERROR(INDEX(Jeux!$D$2:$D$3001,MATCH(B1812,Jeux!$A$2:$A$3001,0))&amp;"",""))</f>
        <v/>
      </c>
      <c r="I1812" s="26" t="str">
        <f aca="false">IF(A1812="","",COUNTIF(Apparitions!$G$2:$G$5001,A1812))</f>
        <v/>
      </c>
      <c r="J1812" s="26" t="str">
        <f aca="false">IF(A1812="","",COUNTIFS(Apparitions!$G$2:$G$5001,A1812,Apparitions!$E$2:$E$5001,"○"))</f>
        <v/>
      </c>
      <c r="K1812" s="29" t="str">
        <f aca="false">IF(A1812="","",IFERROR(1/(1/_xlfn.MINIFS(Apparitions!$L$2:$L$5001,Apparitions!$G$2:$G$5001,A1812)),""))</f>
        <v/>
      </c>
      <c r="L1812" s="27" t="str">
        <f aca="false">IF(A1812="","",A1812&amp;" | "&amp;B1812&amp;IF(C1812="",""," ("&amp;C1812&amp;")")&amp;IF(D1812="",""," - "&amp;D1812))</f>
        <v/>
      </c>
    </row>
    <row r="1813" customFormat="false" ht="15" hidden="false" customHeight="false" outlineLevel="0" collapsed="false">
      <c r="A1813" s="32"/>
      <c r="B1813" s="19"/>
      <c r="C1813" s="19"/>
      <c r="D1813" s="19"/>
      <c r="E1813" s="21"/>
      <c r="F1813" s="19"/>
      <c r="G1813" s="27" t="str">
        <f aca="false">IF(B1813="","",IFERROR(INDEX(Jeux!$C$2:$C$3001,MATCH(B1813,Jeux!$A$2:$A$3001,0))&amp;"","⚠ jeu inconnu"))</f>
        <v/>
      </c>
      <c r="H1813" s="27" t="str">
        <f aca="false">IF(B1813="","",IFERROR(INDEX(Jeux!$D$2:$D$3001,MATCH(B1813,Jeux!$A$2:$A$3001,0))&amp;"",""))</f>
        <v/>
      </c>
      <c r="I1813" s="26" t="str">
        <f aca="false">IF(A1813="","",COUNTIF(Apparitions!$G$2:$G$5001,A1813))</f>
        <v/>
      </c>
      <c r="J1813" s="26" t="str">
        <f aca="false">IF(A1813="","",COUNTIFS(Apparitions!$G$2:$G$5001,A1813,Apparitions!$E$2:$E$5001,"○"))</f>
        <v/>
      </c>
      <c r="K1813" s="29" t="str">
        <f aca="false">IF(A1813="","",IFERROR(1/(1/_xlfn.MINIFS(Apparitions!$L$2:$L$5001,Apparitions!$G$2:$G$5001,A1813)),""))</f>
        <v/>
      </c>
      <c r="L1813" s="27" t="str">
        <f aca="false">IF(A1813="","",A1813&amp;" | "&amp;B1813&amp;IF(C1813="",""," ("&amp;C1813&amp;")")&amp;IF(D1813="",""," - "&amp;D1813))</f>
        <v/>
      </c>
    </row>
    <row r="1814" customFormat="false" ht="15" hidden="false" customHeight="false" outlineLevel="0" collapsed="false">
      <c r="A1814" s="32"/>
      <c r="B1814" s="19"/>
      <c r="C1814" s="19"/>
      <c r="D1814" s="19"/>
      <c r="E1814" s="21"/>
      <c r="F1814" s="19"/>
      <c r="G1814" s="27" t="str">
        <f aca="false">IF(B1814="","",IFERROR(INDEX(Jeux!$C$2:$C$3001,MATCH(B1814,Jeux!$A$2:$A$3001,0))&amp;"","⚠ jeu inconnu"))</f>
        <v/>
      </c>
      <c r="H1814" s="27" t="str">
        <f aca="false">IF(B1814="","",IFERROR(INDEX(Jeux!$D$2:$D$3001,MATCH(B1814,Jeux!$A$2:$A$3001,0))&amp;"",""))</f>
        <v/>
      </c>
      <c r="I1814" s="26" t="str">
        <f aca="false">IF(A1814="","",COUNTIF(Apparitions!$G$2:$G$5001,A1814))</f>
        <v/>
      </c>
      <c r="J1814" s="26" t="str">
        <f aca="false">IF(A1814="","",COUNTIFS(Apparitions!$G$2:$G$5001,A1814,Apparitions!$E$2:$E$5001,"○"))</f>
        <v/>
      </c>
      <c r="K1814" s="29" t="str">
        <f aca="false">IF(A1814="","",IFERROR(1/(1/_xlfn.MINIFS(Apparitions!$L$2:$L$5001,Apparitions!$G$2:$G$5001,A1814)),""))</f>
        <v/>
      </c>
      <c r="L1814" s="27" t="str">
        <f aca="false">IF(A1814="","",A1814&amp;" | "&amp;B1814&amp;IF(C1814="",""," ("&amp;C1814&amp;")")&amp;IF(D1814="",""," - "&amp;D1814))</f>
        <v/>
      </c>
    </row>
    <row r="1815" customFormat="false" ht="15" hidden="false" customHeight="false" outlineLevel="0" collapsed="false">
      <c r="A1815" s="32"/>
      <c r="B1815" s="19"/>
      <c r="C1815" s="19"/>
      <c r="D1815" s="19"/>
      <c r="E1815" s="21"/>
      <c r="F1815" s="19"/>
      <c r="G1815" s="27" t="str">
        <f aca="false">IF(B1815="","",IFERROR(INDEX(Jeux!$C$2:$C$3001,MATCH(B1815,Jeux!$A$2:$A$3001,0))&amp;"","⚠ jeu inconnu"))</f>
        <v/>
      </c>
      <c r="H1815" s="27" t="str">
        <f aca="false">IF(B1815="","",IFERROR(INDEX(Jeux!$D$2:$D$3001,MATCH(B1815,Jeux!$A$2:$A$3001,0))&amp;"",""))</f>
        <v/>
      </c>
      <c r="I1815" s="26" t="str">
        <f aca="false">IF(A1815="","",COUNTIF(Apparitions!$G$2:$G$5001,A1815))</f>
        <v/>
      </c>
      <c r="J1815" s="26" t="str">
        <f aca="false">IF(A1815="","",COUNTIFS(Apparitions!$G$2:$G$5001,A1815,Apparitions!$E$2:$E$5001,"○"))</f>
        <v/>
      </c>
      <c r="K1815" s="29" t="str">
        <f aca="false">IF(A1815="","",IFERROR(1/(1/_xlfn.MINIFS(Apparitions!$L$2:$L$5001,Apparitions!$G$2:$G$5001,A1815)),""))</f>
        <v/>
      </c>
      <c r="L1815" s="27" t="str">
        <f aca="false">IF(A1815="","",A1815&amp;" | "&amp;B1815&amp;IF(C1815="",""," ("&amp;C1815&amp;")")&amp;IF(D1815="",""," - "&amp;D1815))</f>
        <v/>
      </c>
    </row>
    <row r="1816" customFormat="false" ht="15" hidden="false" customHeight="false" outlineLevel="0" collapsed="false">
      <c r="A1816" s="32"/>
      <c r="B1816" s="19"/>
      <c r="C1816" s="19"/>
      <c r="D1816" s="19"/>
      <c r="E1816" s="21"/>
      <c r="F1816" s="19"/>
      <c r="G1816" s="27" t="str">
        <f aca="false">IF(B1816="","",IFERROR(INDEX(Jeux!$C$2:$C$3001,MATCH(B1816,Jeux!$A$2:$A$3001,0))&amp;"","⚠ jeu inconnu"))</f>
        <v/>
      </c>
      <c r="H1816" s="27" t="str">
        <f aca="false">IF(B1816="","",IFERROR(INDEX(Jeux!$D$2:$D$3001,MATCH(B1816,Jeux!$A$2:$A$3001,0))&amp;"",""))</f>
        <v/>
      </c>
      <c r="I1816" s="26" t="str">
        <f aca="false">IF(A1816="","",COUNTIF(Apparitions!$G$2:$G$5001,A1816))</f>
        <v/>
      </c>
      <c r="J1816" s="26" t="str">
        <f aca="false">IF(A1816="","",COUNTIFS(Apparitions!$G$2:$G$5001,A1816,Apparitions!$E$2:$E$5001,"○"))</f>
        <v/>
      </c>
      <c r="K1816" s="29" t="str">
        <f aca="false">IF(A1816="","",IFERROR(1/(1/_xlfn.MINIFS(Apparitions!$L$2:$L$5001,Apparitions!$G$2:$G$5001,A1816)),""))</f>
        <v/>
      </c>
      <c r="L1816" s="27" t="str">
        <f aca="false">IF(A1816="","",A1816&amp;" | "&amp;B1816&amp;IF(C1816="",""," ("&amp;C1816&amp;")")&amp;IF(D1816="",""," - "&amp;D1816))</f>
        <v/>
      </c>
    </row>
    <row r="1817" customFormat="false" ht="15" hidden="false" customHeight="false" outlineLevel="0" collapsed="false">
      <c r="A1817" s="32"/>
      <c r="B1817" s="19"/>
      <c r="C1817" s="19"/>
      <c r="D1817" s="19"/>
      <c r="E1817" s="21"/>
      <c r="F1817" s="19"/>
      <c r="G1817" s="27" t="str">
        <f aca="false">IF(B1817="","",IFERROR(INDEX(Jeux!$C$2:$C$3001,MATCH(B1817,Jeux!$A$2:$A$3001,0))&amp;"","⚠ jeu inconnu"))</f>
        <v/>
      </c>
      <c r="H1817" s="27" t="str">
        <f aca="false">IF(B1817="","",IFERROR(INDEX(Jeux!$D$2:$D$3001,MATCH(B1817,Jeux!$A$2:$A$3001,0))&amp;"",""))</f>
        <v/>
      </c>
      <c r="I1817" s="26" t="str">
        <f aca="false">IF(A1817="","",COUNTIF(Apparitions!$G$2:$G$5001,A1817))</f>
        <v/>
      </c>
      <c r="J1817" s="26" t="str">
        <f aca="false">IF(A1817="","",COUNTIFS(Apparitions!$G$2:$G$5001,A1817,Apparitions!$E$2:$E$5001,"○"))</f>
        <v/>
      </c>
      <c r="K1817" s="29" t="str">
        <f aca="false">IF(A1817="","",IFERROR(1/(1/_xlfn.MINIFS(Apparitions!$L$2:$L$5001,Apparitions!$G$2:$G$5001,A1817)),""))</f>
        <v/>
      </c>
      <c r="L1817" s="27" t="str">
        <f aca="false">IF(A1817="","",A1817&amp;" | "&amp;B1817&amp;IF(C1817="",""," ("&amp;C1817&amp;")")&amp;IF(D1817="",""," - "&amp;D1817))</f>
        <v/>
      </c>
    </row>
    <row r="1818" customFormat="false" ht="15" hidden="false" customHeight="false" outlineLevel="0" collapsed="false">
      <c r="A1818" s="32"/>
      <c r="B1818" s="19"/>
      <c r="C1818" s="19"/>
      <c r="D1818" s="19"/>
      <c r="E1818" s="21"/>
      <c r="F1818" s="19"/>
      <c r="G1818" s="27" t="str">
        <f aca="false">IF(B1818="","",IFERROR(INDEX(Jeux!$C$2:$C$3001,MATCH(B1818,Jeux!$A$2:$A$3001,0))&amp;"","⚠ jeu inconnu"))</f>
        <v/>
      </c>
      <c r="H1818" s="27" t="str">
        <f aca="false">IF(B1818="","",IFERROR(INDEX(Jeux!$D$2:$D$3001,MATCH(B1818,Jeux!$A$2:$A$3001,0))&amp;"",""))</f>
        <v/>
      </c>
      <c r="I1818" s="26" t="str">
        <f aca="false">IF(A1818="","",COUNTIF(Apparitions!$G$2:$G$5001,A1818))</f>
        <v/>
      </c>
      <c r="J1818" s="26" t="str">
        <f aca="false">IF(A1818="","",COUNTIFS(Apparitions!$G$2:$G$5001,A1818,Apparitions!$E$2:$E$5001,"○"))</f>
        <v/>
      </c>
      <c r="K1818" s="29" t="str">
        <f aca="false">IF(A1818="","",IFERROR(1/(1/_xlfn.MINIFS(Apparitions!$L$2:$L$5001,Apparitions!$G$2:$G$5001,A1818)),""))</f>
        <v/>
      </c>
      <c r="L1818" s="27" t="str">
        <f aca="false">IF(A1818="","",A1818&amp;" | "&amp;B1818&amp;IF(C1818="",""," ("&amp;C1818&amp;")")&amp;IF(D1818="",""," - "&amp;D1818))</f>
        <v/>
      </c>
    </row>
    <row r="1819" customFormat="false" ht="15" hidden="false" customHeight="false" outlineLevel="0" collapsed="false">
      <c r="A1819" s="32"/>
      <c r="B1819" s="19"/>
      <c r="C1819" s="19"/>
      <c r="D1819" s="19"/>
      <c r="E1819" s="21"/>
      <c r="F1819" s="19"/>
      <c r="G1819" s="27" t="str">
        <f aca="false">IF(B1819="","",IFERROR(INDEX(Jeux!$C$2:$C$3001,MATCH(B1819,Jeux!$A$2:$A$3001,0))&amp;"","⚠ jeu inconnu"))</f>
        <v/>
      </c>
      <c r="H1819" s="27" t="str">
        <f aca="false">IF(B1819="","",IFERROR(INDEX(Jeux!$D$2:$D$3001,MATCH(B1819,Jeux!$A$2:$A$3001,0))&amp;"",""))</f>
        <v/>
      </c>
      <c r="I1819" s="26" t="str">
        <f aca="false">IF(A1819="","",COUNTIF(Apparitions!$G$2:$G$5001,A1819))</f>
        <v/>
      </c>
      <c r="J1819" s="26" t="str">
        <f aca="false">IF(A1819="","",COUNTIFS(Apparitions!$G$2:$G$5001,A1819,Apparitions!$E$2:$E$5001,"○"))</f>
        <v/>
      </c>
      <c r="K1819" s="29" t="str">
        <f aca="false">IF(A1819="","",IFERROR(1/(1/_xlfn.MINIFS(Apparitions!$L$2:$L$5001,Apparitions!$G$2:$G$5001,A1819)),""))</f>
        <v/>
      </c>
      <c r="L1819" s="27" t="str">
        <f aca="false">IF(A1819="","",A1819&amp;" | "&amp;B1819&amp;IF(C1819="",""," ("&amp;C1819&amp;")")&amp;IF(D1819="",""," - "&amp;D1819))</f>
        <v/>
      </c>
    </row>
    <row r="1820" customFormat="false" ht="15" hidden="false" customHeight="false" outlineLevel="0" collapsed="false">
      <c r="A1820" s="32"/>
      <c r="B1820" s="19"/>
      <c r="C1820" s="19"/>
      <c r="D1820" s="19"/>
      <c r="E1820" s="21"/>
      <c r="F1820" s="19"/>
      <c r="G1820" s="27" t="str">
        <f aca="false">IF(B1820="","",IFERROR(INDEX(Jeux!$C$2:$C$3001,MATCH(B1820,Jeux!$A$2:$A$3001,0))&amp;"","⚠ jeu inconnu"))</f>
        <v/>
      </c>
      <c r="H1820" s="27" t="str">
        <f aca="false">IF(B1820="","",IFERROR(INDEX(Jeux!$D$2:$D$3001,MATCH(B1820,Jeux!$A$2:$A$3001,0))&amp;"",""))</f>
        <v/>
      </c>
      <c r="I1820" s="26" t="str">
        <f aca="false">IF(A1820="","",COUNTIF(Apparitions!$G$2:$G$5001,A1820))</f>
        <v/>
      </c>
      <c r="J1820" s="26" t="str">
        <f aca="false">IF(A1820="","",COUNTIFS(Apparitions!$G$2:$G$5001,A1820,Apparitions!$E$2:$E$5001,"○"))</f>
        <v/>
      </c>
      <c r="K1820" s="29" t="str">
        <f aca="false">IF(A1820="","",IFERROR(1/(1/_xlfn.MINIFS(Apparitions!$L$2:$L$5001,Apparitions!$G$2:$G$5001,A1820)),""))</f>
        <v/>
      </c>
      <c r="L1820" s="27" t="str">
        <f aca="false">IF(A1820="","",A1820&amp;" | "&amp;B1820&amp;IF(C1820="",""," ("&amp;C1820&amp;")")&amp;IF(D1820="",""," - "&amp;D1820))</f>
        <v/>
      </c>
    </row>
    <row r="1821" customFormat="false" ht="15" hidden="false" customHeight="false" outlineLevel="0" collapsed="false">
      <c r="A1821" s="32"/>
      <c r="B1821" s="19"/>
      <c r="C1821" s="19"/>
      <c r="D1821" s="19"/>
      <c r="E1821" s="21"/>
      <c r="F1821" s="19"/>
      <c r="G1821" s="27" t="str">
        <f aca="false">IF(B1821="","",IFERROR(INDEX(Jeux!$C$2:$C$3001,MATCH(B1821,Jeux!$A$2:$A$3001,0))&amp;"","⚠ jeu inconnu"))</f>
        <v/>
      </c>
      <c r="H1821" s="27" t="str">
        <f aca="false">IF(B1821="","",IFERROR(INDEX(Jeux!$D$2:$D$3001,MATCH(B1821,Jeux!$A$2:$A$3001,0))&amp;"",""))</f>
        <v/>
      </c>
      <c r="I1821" s="26" t="str">
        <f aca="false">IF(A1821="","",COUNTIF(Apparitions!$G$2:$G$5001,A1821))</f>
        <v/>
      </c>
      <c r="J1821" s="26" t="str">
        <f aca="false">IF(A1821="","",COUNTIFS(Apparitions!$G$2:$G$5001,A1821,Apparitions!$E$2:$E$5001,"○"))</f>
        <v/>
      </c>
      <c r="K1821" s="29" t="str">
        <f aca="false">IF(A1821="","",IFERROR(1/(1/_xlfn.MINIFS(Apparitions!$L$2:$L$5001,Apparitions!$G$2:$G$5001,A1821)),""))</f>
        <v/>
      </c>
      <c r="L1821" s="27" t="str">
        <f aca="false">IF(A1821="","",A1821&amp;" | "&amp;B1821&amp;IF(C1821="",""," ("&amp;C1821&amp;")")&amp;IF(D1821="",""," - "&amp;D1821))</f>
        <v/>
      </c>
    </row>
    <row r="1822" customFormat="false" ht="15" hidden="false" customHeight="false" outlineLevel="0" collapsed="false">
      <c r="A1822" s="32"/>
      <c r="B1822" s="19"/>
      <c r="C1822" s="19"/>
      <c r="D1822" s="19"/>
      <c r="E1822" s="21"/>
      <c r="F1822" s="19"/>
      <c r="G1822" s="27" t="str">
        <f aca="false">IF(B1822="","",IFERROR(INDEX(Jeux!$C$2:$C$3001,MATCH(B1822,Jeux!$A$2:$A$3001,0))&amp;"","⚠ jeu inconnu"))</f>
        <v/>
      </c>
      <c r="H1822" s="27" t="str">
        <f aca="false">IF(B1822="","",IFERROR(INDEX(Jeux!$D$2:$D$3001,MATCH(B1822,Jeux!$A$2:$A$3001,0))&amp;"",""))</f>
        <v/>
      </c>
      <c r="I1822" s="26" t="str">
        <f aca="false">IF(A1822="","",COUNTIF(Apparitions!$G$2:$G$5001,A1822))</f>
        <v/>
      </c>
      <c r="J1822" s="26" t="str">
        <f aca="false">IF(A1822="","",COUNTIFS(Apparitions!$G$2:$G$5001,A1822,Apparitions!$E$2:$E$5001,"○"))</f>
        <v/>
      </c>
      <c r="K1822" s="29" t="str">
        <f aca="false">IF(A1822="","",IFERROR(1/(1/_xlfn.MINIFS(Apparitions!$L$2:$L$5001,Apparitions!$G$2:$G$5001,A1822)),""))</f>
        <v/>
      </c>
      <c r="L1822" s="27" t="str">
        <f aca="false">IF(A1822="","",A1822&amp;" | "&amp;B1822&amp;IF(C1822="",""," ("&amp;C1822&amp;")")&amp;IF(D1822="",""," - "&amp;D1822))</f>
        <v/>
      </c>
    </row>
    <row r="1823" customFormat="false" ht="15" hidden="false" customHeight="false" outlineLevel="0" collapsed="false">
      <c r="A1823" s="32"/>
      <c r="B1823" s="19"/>
      <c r="C1823" s="19"/>
      <c r="D1823" s="19"/>
      <c r="E1823" s="21"/>
      <c r="F1823" s="19"/>
      <c r="G1823" s="27" t="str">
        <f aca="false">IF(B1823="","",IFERROR(INDEX(Jeux!$C$2:$C$3001,MATCH(B1823,Jeux!$A$2:$A$3001,0))&amp;"","⚠ jeu inconnu"))</f>
        <v/>
      </c>
      <c r="H1823" s="27" t="str">
        <f aca="false">IF(B1823="","",IFERROR(INDEX(Jeux!$D$2:$D$3001,MATCH(B1823,Jeux!$A$2:$A$3001,0))&amp;"",""))</f>
        <v/>
      </c>
      <c r="I1823" s="26" t="str">
        <f aca="false">IF(A1823="","",COUNTIF(Apparitions!$G$2:$G$5001,A1823))</f>
        <v/>
      </c>
      <c r="J1823" s="26" t="str">
        <f aca="false">IF(A1823="","",COUNTIFS(Apparitions!$G$2:$G$5001,A1823,Apparitions!$E$2:$E$5001,"○"))</f>
        <v/>
      </c>
      <c r="K1823" s="29" t="str">
        <f aca="false">IF(A1823="","",IFERROR(1/(1/_xlfn.MINIFS(Apparitions!$L$2:$L$5001,Apparitions!$G$2:$G$5001,A1823)),""))</f>
        <v/>
      </c>
      <c r="L1823" s="27" t="str">
        <f aca="false">IF(A1823="","",A1823&amp;" | "&amp;B1823&amp;IF(C1823="",""," ("&amp;C1823&amp;")")&amp;IF(D1823="",""," - "&amp;D1823))</f>
        <v/>
      </c>
    </row>
    <row r="1824" customFormat="false" ht="15" hidden="false" customHeight="false" outlineLevel="0" collapsed="false">
      <c r="A1824" s="32"/>
      <c r="B1824" s="19"/>
      <c r="C1824" s="19"/>
      <c r="D1824" s="19"/>
      <c r="E1824" s="21"/>
      <c r="F1824" s="19"/>
      <c r="G1824" s="27" t="str">
        <f aca="false">IF(B1824="","",IFERROR(INDEX(Jeux!$C$2:$C$3001,MATCH(B1824,Jeux!$A$2:$A$3001,0))&amp;"","⚠ jeu inconnu"))</f>
        <v/>
      </c>
      <c r="H1824" s="27" t="str">
        <f aca="false">IF(B1824="","",IFERROR(INDEX(Jeux!$D$2:$D$3001,MATCH(B1824,Jeux!$A$2:$A$3001,0))&amp;"",""))</f>
        <v/>
      </c>
      <c r="I1824" s="26" t="str">
        <f aca="false">IF(A1824="","",COUNTIF(Apparitions!$G$2:$G$5001,A1824))</f>
        <v/>
      </c>
      <c r="J1824" s="26" t="str">
        <f aca="false">IF(A1824="","",COUNTIFS(Apparitions!$G$2:$G$5001,A1824,Apparitions!$E$2:$E$5001,"○"))</f>
        <v/>
      </c>
      <c r="K1824" s="29" t="str">
        <f aca="false">IF(A1824="","",IFERROR(1/(1/_xlfn.MINIFS(Apparitions!$L$2:$L$5001,Apparitions!$G$2:$G$5001,A1824)),""))</f>
        <v/>
      </c>
      <c r="L1824" s="27" t="str">
        <f aca="false">IF(A1824="","",A1824&amp;" | "&amp;B1824&amp;IF(C1824="",""," ("&amp;C1824&amp;")")&amp;IF(D1824="",""," - "&amp;D1824))</f>
        <v/>
      </c>
    </row>
    <row r="1825" customFormat="false" ht="15" hidden="false" customHeight="false" outlineLevel="0" collapsed="false">
      <c r="A1825" s="32"/>
      <c r="B1825" s="19"/>
      <c r="C1825" s="19"/>
      <c r="D1825" s="19"/>
      <c r="E1825" s="21"/>
      <c r="F1825" s="19"/>
      <c r="G1825" s="27" t="str">
        <f aca="false">IF(B1825="","",IFERROR(INDEX(Jeux!$C$2:$C$3001,MATCH(B1825,Jeux!$A$2:$A$3001,0))&amp;"","⚠ jeu inconnu"))</f>
        <v/>
      </c>
      <c r="H1825" s="27" t="str">
        <f aca="false">IF(B1825="","",IFERROR(INDEX(Jeux!$D$2:$D$3001,MATCH(B1825,Jeux!$A$2:$A$3001,0))&amp;"",""))</f>
        <v/>
      </c>
      <c r="I1825" s="26" t="str">
        <f aca="false">IF(A1825="","",COUNTIF(Apparitions!$G$2:$G$5001,A1825))</f>
        <v/>
      </c>
      <c r="J1825" s="26" t="str">
        <f aca="false">IF(A1825="","",COUNTIFS(Apparitions!$G$2:$G$5001,A1825,Apparitions!$E$2:$E$5001,"○"))</f>
        <v/>
      </c>
      <c r="K1825" s="29" t="str">
        <f aca="false">IF(A1825="","",IFERROR(1/(1/_xlfn.MINIFS(Apparitions!$L$2:$L$5001,Apparitions!$G$2:$G$5001,A1825)),""))</f>
        <v/>
      </c>
      <c r="L1825" s="27" t="str">
        <f aca="false">IF(A1825="","",A1825&amp;" | "&amp;B1825&amp;IF(C1825="",""," ("&amp;C1825&amp;")")&amp;IF(D1825="",""," - "&amp;D1825))</f>
        <v/>
      </c>
    </row>
    <row r="1826" customFormat="false" ht="15" hidden="false" customHeight="false" outlineLevel="0" collapsed="false">
      <c r="A1826" s="32"/>
      <c r="B1826" s="19"/>
      <c r="C1826" s="19"/>
      <c r="D1826" s="19"/>
      <c r="E1826" s="21"/>
      <c r="F1826" s="19"/>
      <c r="G1826" s="27" t="str">
        <f aca="false">IF(B1826="","",IFERROR(INDEX(Jeux!$C$2:$C$3001,MATCH(B1826,Jeux!$A$2:$A$3001,0))&amp;"","⚠ jeu inconnu"))</f>
        <v/>
      </c>
      <c r="H1826" s="27" t="str">
        <f aca="false">IF(B1826="","",IFERROR(INDEX(Jeux!$D$2:$D$3001,MATCH(B1826,Jeux!$A$2:$A$3001,0))&amp;"",""))</f>
        <v/>
      </c>
      <c r="I1826" s="26" t="str">
        <f aca="false">IF(A1826="","",COUNTIF(Apparitions!$G$2:$G$5001,A1826))</f>
        <v/>
      </c>
      <c r="J1826" s="26" t="str">
        <f aca="false">IF(A1826="","",COUNTIFS(Apparitions!$G$2:$G$5001,A1826,Apparitions!$E$2:$E$5001,"○"))</f>
        <v/>
      </c>
      <c r="K1826" s="29" t="str">
        <f aca="false">IF(A1826="","",IFERROR(1/(1/_xlfn.MINIFS(Apparitions!$L$2:$L$5001,Apparitions!$G$2:$G$5001,A1826)),""))</f>
        <v/>
      </c>
      <c r="L1826" s="27" t="str">
        <f aca="false">IF(A1826="","",A1826&amp;" | "&amp;B1826&amp;IF(C1826="",""," ("&amp;C1826&amp;")")&amp;IF(D1826="",""," - "&amp;D1826))</f>
        <v/>
      </c>
    </row>
    <row r="1827" customFormat="false" ht="15" hidden="false" customHeight="false" outlineLevel="0" collapsed="false">
      <c r="A1827" s="32"/>
      <c r="B1827" s="19"/>
      <c r="C1827" s="19"/>
      <c r="D1827" s="19"/>
      <c r="E1827" s="21"/>
      <c r="F1827" s="19"/>
      <c r="G1827" s="27" t="str">
        <f aca="false">IF(B1827="","",IFERROR(INDEX(Jeux!$C$2:$C$3001,MATCH(B1827,Jeux!$A$2:$A$3001,0))&amp;"","⚠ jeu inconnu"))</f>
        <v/>
      </c>
      <c r="H1827" s="27" t="str">
        <f aca="false">IF(B1827="","",IFERROR(INDEX(Jeux!$D$2:$D$3001,MATCH(B1827,Jeux!$A$2:$A$3001,0))&amp;"",""))</f>
        <v/>
      </c>
      <c r="I1827" s="26" t="str">
        <f aca="false">IF(A1827="","",COUNTIF(Apparitions!$G$2:$G$5001,A1827))</f>
        <v/>
      </c>
      <c r="J1827" s="26" t="str">
        <f aca="false">IF(A1827="","",COUNTIFS(Apparitions!$G$2:$G$5001,A1827,Apparitions!$E$2:$E$5001,"○"))</f>
        <v/>
      </c>
      <c r="K1827" s="29" t="str">
        <f aca="false">IF(A1827="","",IFERROR(1/(1/_xlfn.MINIFS(Apparitions!$L$2:$L$5001,Apparitions!$G$2:$G$5001,A1827)),""))</f>
        <v/>
      </c>
      <c r="L1827" s="27" t="str">
        <f aca="false">IF(A1827="","",A1827&amp;" | "&amp;B1827&amp;IF(C1827="",""," ("&amp;C1827&amp;")")&amp;IF(D1827="",""," - "&amp;D1827))</f>
        <v/>
      </c>
    </row>
    <row r="1828" customFormat="false" ht="15" hidden="false" customHeight="false" outlineLevel="0" collapsed="false">
      <c r="A1828" s="32"/>
      <c r="B1828" s="19"/>
      <c r="C1828" s="19"/>
      <c r="D1828" s="19"/>
      <c r="E1828" s="21"/>
      <c r="F1828" s="19"/>
      <c r="G1828" s="27" t="str">
        <f aca="false">IF(B1828="","",IFERROR(INDEX(Jeux!$C$2:$C$3001,MATCH(B1828,Jeux!$A$2:$A$3001,0))&amp;"","⚠ jeu inconnu"))</f>
        <v/>
      </c>
      <c r="H1828" s="27" t="str">
        <f aca="false">IF(B1828="","",IFERROR(INDEX(Jeux!$D$2:$D$3001,MATCH(B1828,Jeux!$A$2:$A$3001,0))&amp;"",""))</f>
        <v/>
      </c>
      <c r="I1828" s="26" t="str">
        <f aca="false">IF(A1828="","",COUNTIF(Apparitions!$G$2:$G$5001,A1828))</f>
        <v/>
      </c>
      <c r="J1828" s="26" t="str">
        <f aca="false">IF(A1828="","",COUNTIFS(Apparitions!$G$2:$G$5001,A1828,Apparitions!$E$2:$E$5001,"○"))</f>
        <v/>
      </c>
      <c r="K1828" s="29" t="str">
        <f aca="false">IF(A1828="","",IFERROR(1/(1/_xlfn.MINIFS(Apparitions!$L$2:$L$5001,Apparitions!$G$2:$G$5001,A1828)),""))</f>
        <v/>
      </c>
      <c r="L1828" s="27" t="str">
        <f aca="false">IF(A1828="","",A1828&amp;" | "&amp;B1828&amp;IF(C1828="",""," ("&amp;C1828&amp;")")&amp;IF(D1828="",""," - "&amp;D1828))</f>
        <v/>
      </c>
    </row>
    <row r="1829" customFormat="false" ht="15" hidden="false" customHeight="false" outlineLevel="0" collapsed="false">
      <c r="A1829" s="32"/>
      <c r="B1829" s="19"/>
      <c r="C1829" s="19"/>
      <c r="D1829" s="19"/>
      <c r="E1829" s="21"/>
      <c r="F1829" s="19"/>
      <c r="G1829" s="27" t="str">
        <f aca="false">IF(B1829="","",IFERROR(INDEX(Jeux!$C$2:$C$3001,MATCH(B1829,Jeux!$A$2:$A$3001,0))&amp;"","⚠ jeu inconnu"))</f>
        <v/>
      </c>
      <c r="H1829" s="27" t="str">
        <f aca="false">IF(B1829="","",IFERROR(INDEX(Jeux!$D$2:$D$3001,MATCH(B1829,Jeux!$A$2:$A$3001,0))&amp;"",""))</f>
        <v/>
      </c>
      <c r="I1829" s="26" t="str">
        <f aca="false">IF(A1829="","",COUNTIF(Apparitions!$G$2:$G$5001,A1829))</f>
        <v/>
      </c>
      <c r="J1829" s="26" t="str">
        <f aca="false">IF(A1829="","",COUNTIFS(Apparitions!$G$2:$G$5001,A1829,Apparitions!$E$2:$E$5001,"○"))</f>
        <v/>
      </c>
      <c r="K1829" s="29" t="str">
        <f aca="false">IF(A1829="","",IFERROR(1/(1/_xlfn.MINIFS(Apparitions!$L$2:$L$5001,Apparitions!$G$2:$G$5001,A1829)),""))</f>
        <v/>
      </c>
      <c r="L1829" s="27" t="str">
        <f aca="false">IF(A1829="","",A1829&amp;" | "&amp;B1829&amp;IF(C1829="",""," ("&amp;C1829&amp;")")&amp;IF(D1829="",""," - "&amp;D1829))</f>
        <v/>
      </c>
    </row>
    <row r="1830" customFormat="false" ht="15" hidden="false" customHeight="false" outlineLevel="0" collapsed="false">
      <c r="A1830" s="32"/>
      <c r="B1830" s="19"/>
      <c r="C1830" s="19"/>
      <c r="D1830" s="19"/>
      <c r="E1830" s="21"/>
      <c r="F1830" s="19"/>
      <c r="G1830" s="27" t="str">
        <f aca="false">IF(B1830="","",IFERROR(INDEX(Jeux!$C$2:$C$3001,MATCH(B1830,Jeux!$A$2:$A$3001,0))&amp;"","⚠ jeu inconnu"))</f>
        <v/>
      </c>
      <c r="H1830" s="27" t="str">
        <f aca="false">IF(B1830="","",IFERROR(INDEX(Jeux!$D$2:$D$3001,MATCH(B1830,Jeux!$A$2:$A$3001,0))&amp;"",""))</f>
        <v/>
      </c>
      <c r="I1830" s="26" t="str">
        <f aca="false">IF(A1830="","",COUNTIF(Apparitions!$G$2:$G$5001,A1830))</f>
        <v/>
      </c>
      <c r="J1830" s="26" t="str">
        <f aca="false">IF(A1830="","",COUNTIFS(Apparitions!$G$2:$G$5001,A1830,Apparitions!$E$2:$E$5001,"○"))</f>
        <v/>
      </c>
      <c r="K1830" s="29" t="str">
        <f aca="false">IF(A1830="","",IFERROR(1/(1/_xlfn.MINIFS(Apparitions!$L$2:$L$5001,Apparitions!$G$2:$G$5001,A1830)),""))</f>
        <v/>
      </c>
      <c r="L1830" s="27" t="str">
        <f aca="false">IF(A1830="","",A1830&amp;" | "&amp;B1830&amp;IF(C1830="",""," ("&amp;C1830&amp;")")&amp;IF(D1830="",""," - "&amp;D1830))</f>
        <v/>
      </c>
    </row>
    <row r="1831" customFormat="false" ht="15" hidden="false" customHeight="false" outlineLevel="0" collapsed="false">
      <c r="A1831" s="32"/>
      <c r="B1831" s="19"/>
      <c r="C1831" s="19"/>
      <c r="D1831" s="19"/>
      <c r="E1831" s="21"/>
      <c r="F1831" s="19"/>
      <c r="G1831" s="27" t="str">
        <f aca="false">IF(B1831="","",IFERROR(INDEX(Jeux!$C$2:$C$3001,MATCH(B1831,Jeux!$A$2:$A$3001,0))&amp;"","⚠ jeu inconnu"))</f>
        <v/>
      </c>
      <c r="H1831" s="27" t="str">
        <f aca="false">IF(B1831="","",IFERROR(INDEX(Jeux!$D$2:$D$3001,MATCH(B1831,Jeux!$A$2:$A$3001,0))&amp;"",""))</f>
        <v/>
      </c>
      <c r="I1831" s="26" t="str">
        <f aca="false">IF(A1831="","",COUNTIF(Apparitions!$G$2:$G$5001,A1831))</f>
        <v/>
      </c>
      <c r="J1831" s="26" t="str">
        <f aca="false">IF(A1831="","",COUNTIFS(Apparitions!$G$2:$G$5001,A1831,Apparitions!$E$2:$E$5001,"○"))</f>
        <v/>
      </c>
      <c r="K1831" s="29" t="str">
        <f aca="false">IF(A1831="","",IFERROR(1/(1/_xlfn.MINIFS(Apparitions!$L$2:$L$5001,Apparitions!$G$2:$G$5001,A1831)),""))</f>
        <v/>
      </c>
      <c r="L1831" s="27" t="str">
        <f aca="false">IF(A1831="","",A1831&amp;" | "&amp;B1831&amp;IF(C1831="",""," ("&amp;C1831&amp;")")&amp;IF(D1831="",""," - "&amp;D1831))</f>
        <v/>
      </c>
    </row>
    <row r="1832" customFormat="false" ht="15" hidden="false" customHeight="false" outlineLevel="0" collapsed="false">
      <c r="A1832" s="32"/>
      <c r="B1832" s="19"/>
      <c r="C1832" s="19"/>
      <c r="D1832" s="19"/>
      <c r="E1832" s="21"/>
      <c r="F1832" s="19"/>
      <c r="G1832" s="27" t="str">
        <f aca="false">IF(B1832="","",IFERROR(INDEX(Jeux!$C$2:$C$3001,MATCH(B1832,Jeux!$A$2:$A$3001,0))&amp;"","⚠ jeu inconnu"))</f>
        <v/>
      </c>
      <c r="H1832" s="27" t="str">
        <f aca="false">IF(B1832="","",IFERROR(INDEX(Jeux!$D$2:$D$3001,MATCH(B1832,Jeux!$A$2:$A$3001,0))&amp;"",""))</f>
        <v/>
      </c>
      <c r="I1832" s="26" t="str">
        <f aca="false">IF(A1832="","",COUNTIF(Apparitions!$G$2:$G$5001,A1832))</f>
        <v/>
      </c>
      <c r="J1832" s="26" t="str">
        <f aca="false">IF(A1832="","",COUNTIFS(Apparitions!$G$2:$G$5001,A1832,Apparitions!$E$2:$E$5001,"○"))</f>
        <v/>
      </c>
      <c r="K1832" s="29" t="str">
        <f aca="false">IF(A1832="","",IFERROR(1/(1/_xlfn.MINIFS(Apparitions!$L$2:$L$5001,Apparitions!$G$2:$G$5001,A1832)),""))</f>
        <v/>
      </c>
      <c r="L1832" s="27" t="str">
        <f aca="false">IF(A1832="","",A1832&amp;" | "&amp;B1832&amp;IF(C1832="",""," ("&amp;C1832&amp;")")&amp;IF(D1832="",""," - "&amp;D1832))</f>
        <v/>
      </c>
    </row>
    <row r="1833" customFormat="false" ht="15" hidden="false" customHeight="false" outlineLevel="0" collapsed="false">
      <c r="A1833" s="32"/>
      <c r="B1833" s="19"/>
      <c r="C1833" s="19"/>
      <c r="D1833" s="19"/>
      <c r="E1833" s="21"/>
      <c r="F1833" s="19"/>
      <c r="G1833" s="27" t="str">
        <f aca="false">IF(B1833="","",IFERROR(INDEX(Jeux!$C$2:$C$3001,MATCH(B1833,Jeux!$A$2:$A$3001,0))&amp;"","⚠ jeu inconnu"))</f>
        <v/>
      </c>
      <c r="H1833" s="27" t="str">
        <f aca="false">IF(B1833="","",IFERROR(INDEX(Jeux!$D$2:$D$3001,MATCH(B1833,Jeux!$A$2:$A$3001,0))&amp;"",""))</f>
        <v/>
      </c>
      <c r="I1833" s="26" t="str">
        <f aca="false">IF(A1833="","",COUNTIF(Apparitions!$G$2:$G$5001,A1833))</f>
        <v/>
      </c>
      <c r="J1833" s="26" t="str">
        <f aca="false">IF(A1833="","",COUNTIFS(Apparitions!$G$2:$G$5001,A1833,Apparitions!$E$2:$E$5001,"○"))</f>
        <v/>
      </c>
      <c r="K1833" s="29" t="str">
        <f aca="false">IF(A1833="","",IFERROR(1/(1/_xlfn.MINIFS(Apparitions!$L$2:$L$5001,Apparitions!$G$2:$G$5001,A1833)),""))</f>
        <v/>
      </c>
      <c r="L1833" s="27" t="str">
        <f aca="false">IF(A1833="","",A1833&amp;" | "&amp;B1833&amp;IF(C1833="",""," ("&amp;C1833&amp;")")&amp;IF(D1833="",""," - "&amp;D1833))</f>
        <v/>
      </c>
    </row>
    <row r="1834" customFormat="false" ht="15" hidden="false" customHeight="false" outlineLevel="0" collapsed="false">
      <c r="A1834" s="32"/>
      <c r="B1834" s="19"/>
      <c r="C1834" s="19"/>
      <c r="D1834" s="19"/>
      <c r="E1834" s="21"/>
      <c r="F1834" s="19"/>
      <c r="G1834" s="27" t="str">
        <f aca="false">IF(B1834="","",IFERROR(INDEX(Jeux!$C$2:$C$3001,MATCH(B1834,Jeux!$A$2:$A$3001,0))&amp;"","⚠ jeu inconnu"))</f>
        <v/>
      </c>
      <c r="H1834" s="27" t="str">
        <f aca="false">IF(B1834="","",IFERROR(INDEX(Jeux!$D$2:$D$3001,MATCH(B1834,Jeux!$A$2:$A$3001,0))&amp;"",""))</f>
        <v/>
      </c>
      <c r="I1834" s="26" t="str">
        <f aca="false">IF(A1834="","",COUNTIF(Apparitions!$G$2:$G$5001,A1834))</f>
        <v/>
      </c>
      <c r="J1834" s="26" t="str">
        <f aca="false">IF(A1834="","",COUNTIFS(Apparitions!$G$2:$G$5001,A1834,Apparitions!$E$2:$E$5001,"○"))</f>
        <v/>
      </c>
      <c r="K1834" s="29" t="str">
        <f aca="false">IF(A1834="","",IFERROR(1/(1/_xlfn.MINIFS(Apparitions!$L$2:$L$5001,Apparitions!$G$2:$G$5001,A1834)),""))</f>
        <v/>
      </c>
      <c r="L1834" s="27" t="str">
        <f aca="false">IF(A1834="","",A1834&amp;" | "&amp;B1834&amp;IF(C1834="",""," ("&amp;C1834&amp;")")&amp;IF(D1834="",""," - "&amp;D1834))</f>
        <v/>
      </c>
    </row>
    <row r="1835" customFormat="false" ht="15" hidden="false" customHeight="false" outlineLevel="0" collapsed="false">
      <c r="A1835" s="32"/>
      <c r="B1835" s="19"/>
      <c r="C1835" s="19"/>
      <c r="D1835" s="19"/>
      <c r="E1835" s="21"/>
      <c r="F1835" s="19"/>
      <c r="G1835" s="27" t="str">
        <f aca="false">IF(B1835="","",IFERROR(INDEX(Jeux!$C$2:$C$3001,MATCH(B1835,Jeux!$A$2:$A$3001,0))&amp;"","⚠ jeu inconnu"))</f>
        <v/>
      </c>
      <c r="H1835" s="27" t="str">
        <f aca="false">IF(B1835="","",IFERROR(INDEX(Jeux!$D$2:$D$3001,MATCH(B1835,Jeux!$A$2:$A$3001,0))&amp;"",""))</f>
        <v/>
      </c>
      <c r="I1835" s="26" t="str">
        <f aca="false">IF(A1835="","",COUNTIF(Apparitions!$G$2:$G$5001,A1835))</f>
        <v/>
      </c>
      <c r="J1835" s="26" t="str">
        <f aca="false">IF(A1835="","",COUNTIFS(Apparitions!$G$2:$G$5001,A1835,Apparitions!$E$2:$E$5001,"○"))</f>
        <v/>
      </c>
      <c r="K1835" s="29" t="str">
        <f aca="false">IF(A1835="","",IFERROR(1/(1/_xlfn.MINIFS(Apparitions!$L$2:$L$5001,Apparitions!$G$2:$G$5001,A1835)),""))</f>
        <v/>
      </c>
      <c r="L1835" s="27" t="str">
        <f aca="false">IF(A1835="","",A1835&amp;" | "&amp;B1835&amp;IF(C1835="",""," ("&amp;C1835&amp;")")&amp;IF(D1835="",""," - "&amp;D1835))</f>
        <v/>
      </c>
    </row>
    <row r="1836" customFormat="false" ht="15" hidden="false" customHeight="false" outlineLevel="0" collapsed="false">
      <c r="A1836" s="32"/>
      <c r="B1836" s="19"/>
      <c r="C1836" s="19"/>
      <c r="D1836" s="19"/>
      <c r="E1836" s="21"/>
      <c r="F1836" s="19"/>
      <c r="G1836" s="27" t="str">
        <f aca="false">IF(B1836="","",IFERROR(INDEX(Jeux!$C$2:$C$3001,MATCH(B1836,Jeux!$A$2:$A$3001,0))&amp;"","⚠ jeu inconnu"))</f>
        <v/>
      </c>
      <c r="H1836" s="27" t="str">
        <f aca="false">IF(B1836="","",IFERROR(INDEX(Jeux!$D$2:$D$3001,MATCH(B1836,Jeux!$A$2:$A$3001,0))&amp;"",""))</f>
        <v/>
      </c>
      <c r="I1836" s="26" t="str">
        <f aca="false">IF(A1836="","",COUNTIF(Apparitions!$G$2:$G$5001,A1836))</f>
        <v/>
      </c>
      <c r="J1836" s="26" t="str">
        <f aca="false">IF(A1836="","",COUNTIFS(Apparitions!$G$2:$G$5001,A1836,Apparitions!$E$2:$E$5001,"○"))</f>
        <v/>
      </c>
      <c r="K1836" s="29" t="str">
        <f aca="false">IF(A1836="","",IFERROR(1/(1/_xlfn.MINIFS(Apparitions!$L$2:$L$5001,Apparitions!$G$2:$G$5001,A1836)),""))</f>
        <v/>
      </c>
      <c r="L1836" s="27" t="str">
        <f aca="false">IF(A1836="","",A1836&amp;" | "&amp;B1836&amp;IF(C1836="",""," ("&amp;C1836&amp;")")&amp;IF(D1836="",""," - "&amp;D1836))</f>
        <v/>
      </c>
    </row>
    <row r="1837" customFormat="false" ht="15" hidden="false" customHeight="false" outlineLevel="0" collapsed="false">
      <c r="A1837" s="32"/>
      <c r="B1837" s="19"/>
      <c r="C1837" s="19"/>
      <c r="D1837" s="19"/>
      <c r="E1837" s="21"/>
      <c r="F1837" s="19"/>
      <c r="G1837" s="27" t="str">
        <f aca="false">IF(B1837="","",IFERROR(INDEX(Jeux!$C$2:$C$3001,MATCH(B1837,Jeux!$A$2:$A$3001,0))&amp;"","⚠ jeu inconnu"))</f>
        <v/>
      </c>
      <c r="H1837" s="27" t="str">
        <f aca="false">IF(B1837="","",IFERROR(INDEX(Jeux!$D$2:$D$3001,MATCH(B1837,Jeux!$A$2:$A$3001,0))&amp;"",""))</f>
        <v/>
      </c>
      <c r="I1837" s="26" t="str">
        <f aca="false">IF(A1837="","",COUNTIF(Apparitions!$G$2:$G$5001,A1837))</f>
        <v/>
      </c>
      <c r="J1837" s="26" t="str">
        <f aca="false">IF(A1837="","",COUNTIFS(Apparitions!$G$2:$G$5001,A1837,Apparitions!$E$2:$E$5001,"○"))</f>
        <v/>
      </c>
      <c r="K1837" s="29" t="str">
        <f aca="false">IF(A1837="","",IFERROR(1/(1/_xlfn.MINIFS(Apparitions!$L$2:$L$5001,Apparitions!$G$2:$G$5001,A1837)),""))</f>
        <v/>
      </c>
      <c r="L1837" s="27" t="str">
        <f aca="false">IF(A1837="","",A1837&amp;" | "&amp;B1837&amp;IF(C1837="",""," ("&amp;C1837&amp;")")&amp;IF(D1837="",""," - "&amp;D1837))</f>
        <v/>
      </c>
    </row>
    <row r="1838" customFormat="false" ht="15" hidden="false" customHeight="false" outlineLevel="0" collapsed="false">
      <c r="A1838" s="32"/>
      <c r="B1838" s="19"/>
      <c r="C1838" s="19"/>
      <c r="D1838" s="19"/>
      <c r="E1838" s="21"/>
      <c r="F1838" s="19"/>
      <c r="G1838" s="27" t="str">
        <f aca="false">IF(B1838="","",IFERROR(INDEX(Jeux!$C$2:$C$3001,MATCH(B1838,Jeux!$A$2:$A$3001,0))&amp;"","⚠ jeu inconnu"))</f>
        <v/>
      </c>
      <c r="H1838" s="27" t="str">
        <f aca="false">IF(B1838="","",IFERROR(INDEX(Jeux!$D$2:$D$3001,MATCH(B1838,Jeux!$A$2:$A$3001,0))&amp;"",""))</f>
        <v/>
      </c>
      <c r="I1838" s="26" t="str">
        <f aca="false">IF(A1838="","",COUNTIF(Apparitions!$G$2:$G$5001,A1838))</f>
        <v/>
      </c>
      <c r="J1838" s="26" t="str">
        <f aca="false">IF(A1838="","",COUNTIFS(Apparitions!$G$2:$G$5001,A1838,Apparitions!$E$2:$E$5001,"○"))</f>
        <v/>
      </c>
      <c r="K1838" s="29" t="str">
        <f aca="false">IF(A1838="","",IFERROR(1/(1/_xlfn.MINIFS(Apparitions!$L$2:$L$5001,Apparitions!$G$2:$G$5001,A1838)),""))</f>
        <v/>
      </c>
      <c r="L1838" s="27" t="str">
        <f aca="false">IF(A1838="","",A1838&amp;" | "&amp;B1838&amp;IF(C1838="",""," ("&amp;C1838&amp;")")&amp;IF(D1838="",""," - "&amp;D1838))</f>
        <v/>
      </c>
    </row>
    <row r="1839" customFormat="false" ht="15" hidden="false" customHeight="false" outlineLevel="0" collapsed="false">
      <c r="A1839" s="32"/>
      <c r="B1839" s="19"/>
      <c r="C1839" s="19"/>
      <c r="D1839" s="19"/>
      <c r="E1839" s="21"/>
      <c r="F1839" s="19"/>
      <c r="G1839" s="27" t="str">
        <f aca="false">IF(B1839="","",IFERROR(INDEX(Jeux!$C$2:$C$3001,MATCH(B1839,Jeux!$A$2:$A$3001,0))&amp;"","⚠ jeu inconnu"))</f>
        <v/>
      </c>
      <c r="H1839" s="27" t="str">
        <f aca="false">IF(B1839="","",IFERROR(INDEX(Jeux!$D$2:$D$3001,MATCH(B1839,Jeux!$A$2:$A$3001,0))&amp;"",""))</f>
        <v/>
      </c>
      <c r="I1839" s="26" t="str">
        <f aca="false">IF(A1839="","",COUNTIF(Apparitions!$G$2:$G$5001,A1839))</f>
        <v/>
      </c>
      <c r="J1839" s="26" t="str">
        <f aca="false">IF(A1839="","",COUNTIFS(Apparitions!$G$2:$G$5001,A1839,Apparitions!$E$2:$E$5001,"○"))</f>
        <v/>
      </c>
      <c r="K1839" s="29" t="str">
        <f aca="false">IF(A1839="","",IFERROR(1/(1/_xlfn.MINIFS(Apparitions!$L$2:$L$5001,Apparitions!$G$2:$G$5001,A1839)),""))</f>
        <v/>
      </c>
      <c r="L1839" s="27" t="str">
        <f aca="false">IF(A1839="","",A1839&amp;" | "&amp;B1839&amp;IF(C1839="",""," ("&amp;C1839&amp;")")&amp;IF(D1839="",""," - "&amp;D1839))</f>
        <v/>
      </c>
    </row>
    <row r="1840" customFormat="false" ht="15" hidden="false" customHeight="false" outlineLevel="0" collapsed="false">
      <c r="A1840" s="32"/>
      <c r="B1840" s="19"/>
      <c r="C1840" s="19"/>
      <c r="D1840" s="19"/>
      <c r="E1840" s="21"/>
      <c r="F1840" s="19"/>
      <c r="G1840" s="27" t="str">
        <f aca="false">IF(B1840="","",IFERROR(INDEX(Jeux!$C$2:$C$3001,MATCH(B1840,Jeux!$A$2:$A$3001,0))&amp;"","⚠ jeu inconnu"))</f>
        <v/>
      </c>
      <c r="H1840" s="27" t="str">
        <f aca="false">IF(B1840="","",IFERROR(INDEX(Jeux!$D$2:$D$3001,MATCH(B1840,Jeux!$A$2:$A$3001,0))&amp;"",""))</f>
        <v/>
      </c>
      <c r="I1840" s="26" t="str">
        <f aca="false">IF(A1840="","",COUNTIF(Apparitions!$G$2:$G$5001,A1840))</f>
        <v/>
      </c>
      <c r="J1840" s="26" t="str">
        <f aca="false">IF(A1840="","",COUNTIFS(Apparitions!$G$2:$G$5001,A1840,Apparitions!$E$2:$E$5001,"○"))</f>
        <v/>
      </c>
      <c r="K1840" s="29" t="str">
        <f aca="false">IF(A1840="","",IFERROR(1/(1/_xlfn.MINIFS(Apparitions!$L$2:$L$5001,Apparitions!$G$2:$G$5001,A1840)),""))</f>
        <v/>
      </c>
      <c r="L1840" s="27" t="str">
        <f aca="false">IF(A1840="","",A1840&amp;" | "&amp;B1840&amp;IF(C1840="",""," ("&amp;C1840&amp;")")&amp;IF(D1840="",""," - "&amp;D1840))</f>
        <v/>
      </c>
    </row>
    <row r="1841" customFormat="false" ht="15" hidden="false" customHeight="false" outlineLevel="0" collapsed="false">
      <c r="A1841" s="32"/>
      <c r="B1841" s="19"/>
      <c r="C1841" s="19"/>
      <c r="D1841" s="19"/>
      <c r="E1841" s="21"/>
      <c r="F1841" s="19"/>
      <c r="G1841" s="27" t="str">
        <f aca="false">IF(B1841="","",IFERROR(INDEX(Jeux!$C$2:$C$3001,MATCH(B1841,Jeux!$A$2:$A$3001,0))&amp;"","⚠ jeu inconnu"))</f>
        <v/>
      </c>
      <c r="H1841" s="27" t="str">
        <f aca="false">IF(B1841="","",IFERROR(INDEX(Jeux!$D$2:$D$3001,MATCH(B1841,Jeux!$A$2:$A$3001,0))&amp;"",""))</f>
        <v/>
      </c>
      <c r="I1841" s="26" t="str">
        <f aca="false">IF(A1841="","",COUNTIF(Apparitions!$G$2:$G$5001,A1841))</f>
        <v/>
      </c>
      <c r="J1841" s="26" t="str">
        <f aca="false">IF(A1841="","",COUNTIFS(Apparitions!$G$2:$G$5001,A1841,Apparitions!$E$2:$E$5001,"○"))</f>
        <v/>
      </c>
      <c r="K1841" s="29" t="str">
        <f aca="false">IF(A1841="","",IFERROR(1/(1/_xlfn.MINIFS(Apparitions!$L$2:$L$5001,Apparitions!$G$2:$G$5001,A1841)),""))</f>
        <v/>
      </c>
      <c r="L1841" s="27" t="str">
        <f aca="false">IF(A1841="","",A1841&amp;" | "&amp;B1841&amp;IF(C1841="",""," ("&amp;C1841&amp;")")&amp;IF(D1841="",""," - "&amp;D1841))</f>
        <v/>
      </c>
    </row>
    <row r="1842" customFormat="false" ht="15" hidden="false" customHeight="false" outlineLevel="0" collapsed="false">
      <c r="A1842" s="32"/>
      <c r="B1842" s="19"/>
      <c r="C1842" s="19"/>
      <c r="D1842" s="19"/>
      <c r="E1842" s="21"/>
      <c r="F1842" s="19"/>
      <c r="G1842" s="27" t="str">
        <f aca="false">IF(B1842="","",IFERROR(INDEX(Jeux!$C$2:$C$3001,MATCH(B1842,Jeux!$A$2:$A$3001,0))&amp;"","⚠ jeu inconnu"))</f>
        <v/>
      </c>
      <c r="H1842" s="27" t="str">
        <f aca="false">IF(B1842="","",IFERROR(INDEX(Jeux!$D$2:$D$3001,MATCH(B1842,Jeux!$A$2:$A$3001,0))&amp;"",""))</f>
        <v/>
      </c>
      <c r="I1842" s="26" t="str">
        <f aca="false">IF(A1842="","",COUNTIF(Apparitions!$G$2:$G$5001,A1842))</f>
        <v/>
      </c>
      <c r="J1842" s="26" t="str">
        <f aca="false">IF(A1842="","",COUNTIFS(Apparitions!$G$2:$G$5001,A1842,Apparitions!$E$2:$E$5001,"○"))</f>
        <v/>
      </c>
      <c r="K1842" s="29" t="str">
        <f aca="false">IF(A1842="","",IFERROR(1/(1/_xlfn.MINIFS(Apparitions!$L$2:$L$5001,Apparitions!$G$2:$G$5001,A1842)),""))</f>
        <v/>
      </c>
      <c r="L1842" s="27" t="str">
        <f aca="false">IF(A1842="","",A1842&amp;" | "&amp;B1842&amp;IF(C1842="",""," ("&amp;C1842&amp;")")&amp;IF(D1842="",""," - "&amp;D1842))</f>
        <v/>
      </c>
    </row>
    <row r="1843" customFormat="false" ht="15" hidden="false" customHeight="false" outlineLevel="0" collapsed="false">
      <c r="A1843" s="32"/>
      <c r="B1843" s="19"/>
      <c r="C1843" s="19"/>
      <c r="D1843" s="19"/>
      <c r="E1843" s="21"/>
      <c r="F1843" s="19"/>
      <c r="G1843" s="27" t="str">
        <f aca="false">IF(B1843="","",IFERROR(INDEX(Jeux!$C$2:$C$3001,MATCH(B1843,Jeux!$A$2:$A$3001,0))&amp;"","⚠ jeu inconnu"))</f>
        <v/>
      </c>
      <c r="H1843" s="27" t="str">
        <f aca="false">IF(B1843="","",IFERROR(INDEX(Jeux!$D$2:$D$3001,MATCH(B1843,Jeux!$A$2:$A$3001,0))&amp;"",""))</f>
        <v/>
      </c>
      <c r="I1843" s="26" t="str">
        <f aca="false">IF(A1843="","",COUNTIF(Apparitions!$G$2:$G$5001,A1843))</f>
        <v/>
      </c>
      <c r="J1843" s="26" t="str">
        <f aca="false">IF(A1843="","",COUNTIFS(Apparitions!$G$2:$G$5001,A1843,Apparitions!$E$2:$E$5001,"○"))</f>
        <v/>
      </c>
      <c r="K1843" s="29" t="str">
        <f aca="false">IF(A1843="","",IFERROR(1/(1/_xlfn.MINIFS(Apparitions!$L$2:$L$5001,Apparitions!$G$2:$G$5001,A1843)),""))</f>
        <v/>
      </c>
      <c r="L1843" s="27" t="str">
        <f aca="false">IF(A1843="","",A1843&amp;" | "&amp;B1843&amp;IF(C1843="",""," ("&amp;C1843&amp;")")&amp;IF(D1843="",""," - "&amp;D1843))</f>
        <v/>
      </c>
    </row>
    <row r="1844" customFormat="false" ht="15" hidden="false" customHeight="false" outlineLevel="0" collapsed="false">
      <c r="A1844" s="32"/>
      <c r="B1844" s="19"/>
      <c r="C1844" s="19"/>
      <c r="D1844" s="19"/>
      <c r="E1844" s="21"/>
      <c r="F1844" s="19"/>
      <c r="G1844" s="27" t="str">
        <f aca="false">IF(B1844="","",IFERROR(INDEX(Jeux!$C$2:$C$3001,MATCH(B1844,Jeux!$A$2:$A$3001,0))&amp;"","⚠ jeu inconnu"))</f>
        <v/>
      </c>
      <c r="H1844" s="27" t="str">
        <f aca="false">IF(B1844="","",IFERROR(INDEX(Jeux!$D$2:$D$3001,MATCH(B1844,Jeux!$A$2:$A$3001,0))&amp;"",""))</f>
        <v/>
      </c>
      <c r="I1844" s="26" t="str">
        <f aca="false">IF(A1844="","",COUNTIF(Apparitions!$G$2:$G$5001,A1844))</f>
        <v/>
      </c>
      <c r="J1844" s="26" t="str">
        <f aca="false">IF(A1844="","",COUNTIFS(Apparitions!$G$2:$G$5001,A1844,Apparitions!$E$2:$E$5001,"○"))</f>
        <v/>
      </c>
      <c r="K1844" s="29" t="str">
        <f aca="false">IF(A1844="","",IFERROR(1/(1/_xlfn.MINIFS(Apparitions!$L$2:$L$5001,Apparitions!$G$2:$G$5001,A1844)),""))</f>
        <v/>
      </c>
      <c r="L1844" s="27" t="str">
        <f aca="false">IF(A1844="","",A1844&amp;" | "&amp;B1844&amp;IF(C1844="",""," ("&amp;C1844&amp;")")&amp;IF(D1844="",""," - "&amp;D1844))</f>
        <v/>
      </c>
    </row>
    <row r="1845" customFormat="false" ht="15" hidden="false" customHeight="false" outlineLevel="0" collapsed="false">
      <c r="A1845" s="32"/>
      <c r="B1845" s="19"/>
      <c r="C1845" s="19"/>
      <c r="D1845" s="19"/>
      <c r="E1845" s="21"/>
      <c r="F1845" s="19"/>
      <c r="G1845" s="27" t="str">
        <f aca="false">IF(B1845="","",IFERROR(INDEX(Jeux!$C$2:$C$3001,MATCH(B1845,Jeux!$A$2:$A$3001,0))&amp;"","⚠ jeu inconnu"))</f>
        <v/>
      </c>
      <c r="H1845" s="27" t="str">
        <f aca="false">IF(B1845="","",IFERROR(INDEX(Jeux!$D$2:$D$3001,MATCH(B1845,Jeux!$A$2:$A$3001,0))&amp;"",""))</f>
        <v/>
      </c>
      <c r="I1845" s="26" t="str">
        <f aca="false">IF(A1845="","",COUNTIF(Apparitions!$G$2:$G$5001,A1845))</f>
        <v/>
      </c>
      <c r="J1845" s="26" t="str">
        <f aca="false">IF(A1845="","",COUNTIFS(Apparitions!$G$2:$G$5001,A1845,Apparitions!$E$2:$E$5001,"○"))</f>
        <v/>
      </c>
      <c r="K1845" s="29" t="str">
        <f aca="false">IF(A1845="","",IFERROR(1/(1/_xlfn.MINIFS(Apparitions!$L$2:$L$5001,Apparitions!$G$2:$G$5001,A1845)),""))</f>
        <v/>
      </c>
      <c r="L1845" s="27" t="str">
        <f aca="false">IF(A1845="","",A1845&amp;" | "&amp;B1845&amp;IF(C1845="",""," ("&amp;C1845&amp;")")&amp;IF(D1845="",""," - "&amp;D1845))</f>
        <v/>
      </c>
    </row>
    <row r="1846" customFormat="false" ht="15" hidden="false" customHeight="false" outlineLevel="0" collapsed="false">
      <c r="A1846" s="32"/>
      <c r="B1846" s="19"/>
      <c r="C1846" s="19"/>
      <c r="D1846" s="19"/>
      <c r="E1846" s="21"/>
      <c r="F1846" s="19"/>
      <c r="G1846" s="27" t="str">
        <f aca="false">IF(B1846="","",IFERROR(INDEX(Jeux!$C$2:$C$3001,MATCH(B1846,Jeux!$A$2:$A$3001,0))&amp;"","⚠ jeu inconnu"))</f>
        <v/>
      </c>
      <c r="H1846" s="27" t="str">
        <f aca="false">IF(B1846="","",IFERROR(INDEX(Jeux!$D$2:$D$3001,MATCH(B1846,Jeux!$A$2:$A$3001,0))&amp;"",""))</f>
        <v/>
      </c>
      <c r="I1846" s="26" t="str">
        <f aca="false">IF(A1846="","",COUNTIF(Apparitions!$G$2:$G$5001,A1846))</f>
        <v/>
      </c>
      <c r="J1846" s="26" t="str">
        <f aca="false">IF(A1846="","",COUNTIFS(Apparitions!$G$2:$G$5001,A1846,Apparitions!$E$2:$E$5001,"○"))</f>
        <v/>
      </c>
      <c r="K1846" s="29" t="str">
        <f aca="false">IF(A1846="","",IFERROR(1/(1/_xlfn.MINIFS(Apparitions!$L$2:$L$5001,Apparitions!$G$2:$G$5001,A1846)),""))</f>
        <v/>
      </c>
      <c r="L1846" s="27" t="str">
        <f aca="false">IF(A1846="","",A1846&amp;" | "&amp;B1846&amp;IF(C1846="",""," ("&amp;C1846&amp;")")&amp;IF(D1846="",""," - "&amp;D1846))</f>
        <v/>
      </c>
    </row>
    <row r="1847" customFormat="false" ht="15" hidden="false" customHeight="false" outlineLevel="0" collapsed="false">
      <c r="A1847" s="32"/>
      <c r="B1847" s="19"/>
      <c r="C1847" s="19"/>
      <c r="D1847" s="19"/>
      <c r="E1847" s="21"/>
      <c r="F1847" s="19"/>
      <c r="G1847" s="27" t="str">
        <f aca="false">IF(B1847="","",IFERROR(INDEX(Jeux!$C$2:$C$3001,MATCH(B1847,Jeux!$A$2:$A$3001,0))&amp;"","⚠ jeu inconnu"))</f>
        <v/>
      </c>
      <c r="H1847" s="27" t="str">
        <f aca="false">IF(B1847="","",IFERROR(INDEX(Jeux!$D$2:$D$3001,MATCH(B1847,Jeux!$A$2:$A$3001,0))&amp;"",""))</f>
        <v/>
      </c>
      <c r="I1847" s="26" t="str">
        <f aca="false">IF(A1847="","",COUNTIF(Apparitions!$G$2:$G$5001,A1847))</f>
        <v/>
      </c>
      <c r="J1847" s="26" t="str">
        <f aca="false">IF(A1847="","",COUNTIFS(Apparitions!$G$2:$G$5001,A1847,Apparitions!$E$2:$E$5001,"○"))</f>
        <v/>
      </c>
      <c r="K1847" s="29" t="str">
        <f aca="false">IF(A1847="","",IFERROR(1/(1/_xlfn.MINIFS(Apparitions!$L$2:$L$5001,Apparitions!$G$2:$G$5001,A1847)),""))</f>
        <v/>
      </c>
      <c r="L1847" s="27" t="str">
        <f aca="false">IF(A1847="","",A1847&amp;" | "&amp;B1847&amp;IF(C1847="",""," ("&amp;C1847&amp;")")&amp;IF(D1847="",""," - "&amp;D1847))</f>
        <v/>
      </c>
    </row>
    <row r="1848" customFormat="false" ht="15" hidden="false" customHeight="false" outlineLevel="0" collapsed="false">
      <c r="A1848" s="32"/>
      <c r="B1848" s="19"/>
      <c r="C1848" s="19"/>
      <c r="D1848" s="19"/>
      <c r="E1848" s="21"/>
      <c r="F1848" s="19"/>
      <c r="G1848" s="27" t="str">
        <f aca="false">IF(B1848="","",IFERROR(INDEX(Jeux!$C$2:$C$3001,MATCH(B1848,Jeux!$A$2:$A$3001,0))&amp;"","⚠ jeu inconnu"))</f>
        <v/>
      </c>
      <c r="H1848" s="27" t="str">
        <f aca="false">IF(B1848="","",IFERROR(INDEX(Jeux!$D$2:$D$3001,MATCH(B1848,Jeux!$A$2:$A$3001,0))&amp;"",""))</f>
        <v/>
      </c>
      <c r="I1848" s="26" t="str">
        <f aca="false">IF(A1848="","",COUNTIF(Apparitions!$G$2:$G$5001,A1848))</f>
        <v/>
      </c>
      <c r="J1848" s="26" t="str">
        <f aca="false">IF(A1848="","",COUNTIFS(Apparitions!$G$2:$G$5001,A1848,Apparitions!$E$2:$E$5001,"○"))</f>
        <v/>
      </c>
      <c r="K1848" s="29" t="str">
        <f aca="false">IF(A1848="","",IFERROR(1/(1/_xlfn.MINIFS(Apparitions!$L$2:$L$5001,Apparitions!$G$2:$G$5001,A1848)),""))</f>
        <v/>
      </c>
      <c r="L1848" s="27" t="str">
        <f aca="false">IF(A1848="","",A1848&amp;" | "&amp;B1848&amp;IF(C1848="",""," ("&amp;C1848&amp;")")&amp;IF(D1848="",""," - "&amp;D1848))</f>
        <v/>
      </c>
    </row>
    <row r="1849" customFormat="false" ht="15" hidden="false" customHeight="false" outlineLevel="0" collapsed="false">
      <c r="A1849" s="32"/>
      <c r="B1849" s="19"/>
      <c r="C1849" s="19"/>
      <c r="D1849" s="19"/>
      <c r="E1849" s="21"/>
      <c r="F1849" s="19"/>
      <c r="G1849" s="27" t="str">
        <f aca="false">IF(B1849="","",IFERROR(INDEX(Jeux!$C$2:$C$3001,MATCH(B1849,Jeux!$A$2:$A$3001,0))&amp;"","⚠ jeu inconnu"))</f>
        <v/>
      </c>
      <c r="H1849" s="27" t="str">
        <f aca="false">IF(B1849="","",IFERROR(INDEX(Jeux!$D$2:$D$3001,MATCH(B1849,Jeux!$A$2:$A$3001,0))&amp;"",""))</f>
        <v/>
      </c>
      <c r="I1849" s="26" t="str">
        <f aca="false">IF(A1849="","",COUNTIF(Apparitions!$G$2:$G$5001,A1849))</f>
        <v/>
      </c>
      <c r="J1849" s="26" t="str">
        <f aca="false">IF(A1849="","",COUNTIFS(Apparitions!$G$2:$G$5001,A1849,Apparitions!$E$2:$E$5001,"○"))</f>
        <v/>
      </c>
      <c r="K1849" s="29" t="str">
        <f aca="false">IF(A1849="","",IFERROR(1/(1/_xlfn.MINIFS(Apparitions!$L$2:$L$5001,Apparitions!$G$2:$G$5001,A1849)),""))</f>
        <v/>
      </c>
      <c r="L1849" s="27" t="str">
        <f aca="false">IF(A1849="","",A1849&amp;" | "&amp;B1849&amp;IF(C1849="",""," ("&amp;C1849&amp;")")&amp;IF(D1849="",""," - "&amp;D1849))</f>
        <v/>
      </c>
    </row>
    <row r="1850" customFormat="false" ht="15" hidden="false" customHeight="false" outlineLevel="0" collapsed="false">
      <c r="A1850" s="32"/>
      <c r="B1850" s="19"/>
      <c r="C1850" s="19"/>
      <c r="D1850" s="19"/>
      <c r="E1850" s="21"/>
      <c r="F1850" s="19"/>
      <c r="G1850" s="27" t="str">
        <f aca="false">IF(B1850="","",IFERROR(INDEX(Jeux!$C$2:$C$3001,MATCH(B1850,Jeux!$A$2:$A$3001,0))&amp;"","⚠ jeu inconnu"))</f>
        <v/>
      </c>
      <c r="H1850" s="27" t="str">
        <f aca="false">IF(B1850="","",IFERROR(INDEX(Jeux!$D$2:$D$3001,MATCH(B1850,Jeux!$A$2:$A$3001,0))&amp;"",""))</f>
        <v/>
      </c>
      <c r="I1850" s="26" t="str">
        <f aca="false">IF(A1850="","",COUNTIF(Apparitions!$G$2:$G$5001,A1850))</f>
        <v/>
      </c>
      <c r="J1850" s="26" t="str">
        <f aca="false">IF(A1850="","",COUNTIFS(Apparitions!$G$2:$G$5001,A1850,Apparitions!$E$2:$E$5001,"○"))</f>
        <v/>
      </c>
      <c r="K1850" s="29" t="str">
        <f aca="false">IF(A1850="","",IFERROR(1/(1/_xlfn.MINIFS(Apparitions!$L$2:$L$5001,Apparitions!$G$2:$G$5001,A1850)),""))</f>
        <v/>
      </c>
      <c r="L1850" s="27" t="str">
        <f aca="false">IF(A1850="","",A1850&amp;" | "&amp;B1850&amp;IF(C1850="",""," ("&amp;C1850&amp;")")&amp;IF(D1850="",""," - "&amp;D1850))</f>
        <v/>
      </c>
    </row>
    <row r="1851" customFormat="false" ht="15" hidden="false" customHeight="false" outlineLevel="0" collapsed="false">
      <c r="A1851" s="32"/>
      <c r="B1851" s="19"/>
      <c r="C1851" s="19"/>
      <c r="D1851" s="19"/>
      <c r="E1851" s="21"/>
      <c r="F1851" s="19"/>
      <c r="G1851" s="27" t="str">
        <f aca="false">IF(B1851="","",IFERROR(INDEX(Jeux!$C$2:$C$3001,MATCH(B1851,Jeux!$A$2:$A$3001,0))&amp;"","⚠ jeu inconnu"))</f>
        <v/>
      </c>
      <c r="H1851" s="27" t="str">
        <f aca="false">IF(B1851="","",IFERROR(INDEX(Jeux!$D$2:$D$3001,MATCH(B1851,Jeux!$A$2:$A$3001,0))&amp;"",""))</f>
        <v/>
      </c>
      <c r="I1851" s="26" t="str">
        <f aca="false">IF(A1851="","",COUNTIF(Apparitions!$G$2:$G$5001,A1851))</f>
        <v/>
      </c>
      <c r="J1851" s="26" t="str">
        <f aca="false">IF(A1851="","",COUNTIFS(Apparitions!$G$2:$G$5001,A1851,Apparitions!$E$2:$E$5001,"○"))</f>
        <v/>
      </c>
      <c r="K1851" s="29" t="str">
        <f aca="false">IF(A1851="","",IFERROR(1/(1/_xlfn.MINIFS(Apparitions!$L$2:$L$5001,Apparitions!$G$2:$G$5001,A1851)),""))</f>
        <v/>
      </c>
      <c r="L1851" s="27" t="str">
        <f aca="false">IF(A1851="","",A1851&amp;" | "&amp;B1851&amp;IF(C1851="",""," ("&amp;C1851&amp;")")&amp;IF(D1851="",""," - "&amp;D1851))</f>
        <v/>
      </c>
    </row>
    <row r="1852" customFormat="false" ht="15" hidden="false" customHeight="false" outlineLevel="0" collapsed="false">
      <c r="A1852" s="32"/>
      <c r="B1852" s="19"/>
      <c r="C1852" s="19"/>
      <c r="D1852" s="19"/>
      <c r="E1852" s="21"/>
      <c r="F1852" s="19"/>
      <c r="G1852" s="27" t="str">
        <f aca="false">IF(B1852="","",IFERROR(INDEX(Jeux!$C$2:$C$3001,MATCH(B1852,Jeux!$A$2:$A$3001,0))&amp;"","⚠ jeu inconnu"))</f>
        <v/>
      </c>
      <c r="H1852" s="27" t="str">
        <f aca="false">IF(B1852="","",IFERROR(INDEX(Jeux!$D$2:$D$3001,MATCH(B1852,Jeux!$A$2:$A$3001,0))&amp;"",""))</f>
        <v/>
      </c>
      <c r="I1852" s="26" t="str">
        <f aca="false">IF(A1852="","",COUNTIF(Apparitions!$G$2:$G$5001,A1852))</f>
        <v/>
      </c>
      <c r="J1852" s="26" t="str">
        <f aca="false">IF(A1852="","",COUNTIFS(Apparitions!$G$2:$G$5001,A1852,Apparitions!$E$2:$E$5001,"○"))</f>
        <v/>
      </c>
      <c r="K1852" s="29" t="str">
        <f aca="false">IF(A1852="","",IFERROR(1/(1/_xlfn.MINIFS(Apparitions!$L$2:$L$5001,Apparitions!$G$2:$G$5001,A1852)),""))</f>
        <v/>
      </c>
      <c r="L1852" s="27" t="str">
        <f aca="false">IF(A1852="","",A1852&amp;" | "&amp;B1852&amp;IF(C1852="",""," ("&amp;C1852&amp;")")&amp;IF(D1852="",""," - "&amp;D1852))</f>
        <v/>
      </c>
    </row>
    <row r="1853" customFormat="false" ht="15" hidden="false" customHeight="false" outlineLevel="0" collapsed="false">
      <c r="A1853" s="32"/>
      <c r="B1853" s="19"/>
      <c r="C1853" s="19"/>
      <c r="D1853" s="19"/>
      <c r="E1853" s="21"/>
      <c r="F1853" s="19"/>
      <c r="G1853" s="27" t="str">
        <f aca="false">IF(B1853="","",IFERROR(INDEX(Jeux!$C$2:$C$3001,MATCH(B1853,Jeux!$A$2:$A$3001,0))&amp;"","⚠ jeu inconnu"))</f>
        <v/>
      </c>
      <c r="H1853" s="27" t="str">
        <f aca="false">IF(B1853="","",IFERROR(INDEX(Jeux!$D$2:$D$3001,MATCH(B1853,Jeux!$A$2:$A$3001,0))&amp;"",""))</f>
        <v/>
      </c>
      <c r="I1853" s="26" t="str">
        <f aca="false">IF(A1853="","",COUNTIF(Apparitions!$G$2:$G$5001,A1853))</f>
        <v/>
      </c>
      <c r="J1853" s="26" t="str">
        <f aca="false">IF(A1853="","",COUNTIFS(Apparitions!$G$2:$G$5001,A1853,Apparitions!$E$2:$E$5001,"○"))</f>
        <v/>
      </c>
      <c r="K1853" s="29" t="str">
        <f aca="false">IF(A1853="","",IFERROR(1/(1/_xlfn.MINIFS(Apparitions!$L$2:$L$5001,Apparitions!$G$2:$G$5001,A1853)),""))</f>
        <v/>
      </c>
      <c r="L1853" s="27" t="str">
        <f aca="false">IF(A1853="","",A1853&amp;" | "&amp;B1853&amp;IF(C1853="",""," ("&amp;C1853&amp;")")&amp;IF(D1853="",""," - "&amp;D1853))</f>
        <v/>
      </c>
    </row>
    <row r="1854" customFormat="false" ht="15" hidden="false" customHeight="false" outlineLevel="0" collapsed="false">
      <c r="A1854" s="32"/>
      <c r="B1854" s="19"/>
      <c r="C1854" s="19"/>
      <c r="D1854" s="19"/>
      <c r="E1854" s="21"/>
      <c r="F1854" s="19"/>
      <c r="G1854" s="27" t="str">
        <f aca="false">IF(B1854="","",IFERROR(INDEX(Jeux!$C$2:$C$3001,MATCH(B1854,Jeux!$A$2:$A$3001,0))&amp;"","⚠ jeu inconnu"))</f>
        <v/>
      </c>
      <c r="H1854" s="27" t="str">
        <f aca="false">IF(B1854="","",IFERROR(INDEX(Jeux!$D$2:$D$3001,MATCH(B1854,Jeux!$A$2:$A$3001,0))&amp;"",""))</f>
        <v/>
      </c>
      <c r="I1854" s="26" t="str">
        <f aca="false">IF(A1854="","",COUNTIF(Apparitions!$G$2:$G$5001,A1854))</f>
        <v/>
      </c>
      <c r="J1854" s="26" t="str">
        <f aca="false">IF(A1854="","",COUNTIFS(Apparitions!$G$2:$G$5001,A1854,Apparitions!$E$2:$E$5001,"○"))</f>
        <v/>
      </c>
      <c r="K1854" s="29" t="str">
        <f aca="false">IF(A1854="","",IFERROR(1/(1/_xlfn.MINIFS(Apparitions!$L$2:$L$5001,Apparitions!$G$2:$G$5001,A1854)),""))</f>
        <v/>
      </c>
      <c r="L1854" s="27" t="str">
        <f aca="false">IF(A1854="","",A1854&amp;" | "&amp;B1854&amp;IF(C1854="",""," ("&amp;C1854&amp;")")&amp;IF(D1854="",""," - "&amp;D1854))</f>
        <v/>
      </c>
    </row>
    <row r="1855" customFormat="false" ht="15" hidden="false" customHeight="false" outlineLevel="0" collapsed="false">
      <c r="A1855" s="32"/>
      <c r="B1855" s="19"/>
      <c r="C1855" s="19"/>
      <c r="D1855" s="19"/>
      <c r="E1855" s="21"/>
      <c r="F1855" s="19"/>
      <c r="G1855" s="27" t="str">
        <f aca="false">IF(B1855="","",IFERROR(INDEX(Jeux!$C$2:$C$3001,MATCH(B1855,Jeux!$A$2:$A$3001,0))&amp;"","⚠ jeu inconnu"))</f>
        <v/>
      </c>
      <c r="H1855" s="27" t="str">
        <f aca="false">IF(B1855="","",IFERROR(INDEX(Jeux!$D$2:$D$3001,MATCH(B1855,Jeux!$A$2:$A$3001,0))&amp;"",""))</f>
        <v/>
      </c>
      <c r="I1855" s="26" t="str">
        <f aca="false">IF(A1855="","",COUNTIF(Apparitions!$G$2:$G$5001,A1855))</f>
        <v/>
      </c>
      <c r="J1855" s="26" t="str">
        <f aca="false">IF(A1855="","",COUNTIFS(Apparitions!$G$2:$G$5001,A1855,Apparitions!$E$2:$E$5001,"○"))</f>
        <v/>
      </c>
      <c r="K1855" s="29" t="str">
        <f aca="false">IF(A1855="","",IFERROR(1/(1/_xlfn.MINIFS(Apparitions!$L$2:$L$5001,Apparitions!$G$2:$G$5001,A1855)),""))</f>
        <v/>
      </c>
      <c r="L1855" s="27" t="str">
        <f aca="false">IF(A1855="","",A1855&amp;" | "&amp;B1855&amp;IF(C1855="",""," ("&amp;C1855&amp;")")&amp;IF(D1855="",""," - "&amp;D1855))</f>
        <v/>
      </c>
    </row>
    <row r="1856" customFormat="false" ht="15" hidden="false" customHeight="false" outlineLevel="0" collapsed="false">
      <c r="A1856" s="32"/>
      <c r="B1856" s="19"/>
      <c r="C1856" s="19"/>
      <c r="D1856" s="19"/>
      <c r="E1856" s="21"/>
      <c r="F1856" s="19"/>
      <c r="G1856" s="27" t="str">
        <f aca="false">IF(B1856="","",IFERROR(INDEX(Jeux!$C$2:$C$3001,MATCH(B1856,Jeux!$A$2:$A$3001,0))&amp;"","⚠ jeu inconnu"))</f>
        <v/>
      </c>
      <c r="H1856" s="27" t="str">
        <f aca="false">IF(B1856="","",IFERROR(INDEX(Jeux!$D$2:$D$3001,MATCH(B1856,Jeux!$A$2:$A$3001,0))&amp;"",""))</f>
        <v/>
      </c>
      <c r="I1856" s="26" t="str">
        <f aca="false">IF(A1856="","",COUNTIF(Apparitions!$G$2:$G$5001,A1856))</f>
        <v/>
      </c>
      <c r="J1856" s="26" t="str">
        <f aca="false">IF(A1856="","",COUNTIFS(Apparitions!$G$2:$G$5001,A1856,Apparitions!$E$2:$E$5001,"○"))</f>
        <v/>
      </c>
      <c r="K1856" s="29" t="str">
        <f aca="false">IF(A1856="","",IFERROR(1/(1/_xlfn.MINIFS(Apparitions!$L$2:$L$5001,Apparitions!$G$2:$G$5001,A1856)),""))</f>
        <v/>
      </c>
      <c r="L1856" s="27" t="str">
        <f aca="false">IF(A1856="","",A1856&amp;" | "&amp;B1856&amp;IF(C1856="",""," ("&amp;C1856&amp;")")&amp;IF(D1856="",""," - "&amp;D1856))</f>
        <v/>
      </c>
    </row>
    <row r="1857" customFormat="false" ht="15" hidden="false" customHeight="false" outlineLevel="0" collapsed="false">
      <c r="A1857" s="32"/>
      <c r="B1857" s="19"/>
      <c r="C1857" s="19"/>
      <c r="D1857" s="19"/>
      <c r="E1857" s="21"/>
      <c r="F1857" s="19"/>
      <c r="G1857" s="27" t="str">
        <f aca="false">IF(B1857="","",IFERROR(INDEX(Jeux!$C$2:$C$3001,MATCH(B1857,Jeux!$A$2:$A$3001,0))&amp;"","⚠ jeu inconnu"))</f>
        <v/>
      </c>
      <c r="H1857" s="27" t="str">
        <f aca="false">IF(B1857="","",IFERROR(INDEX(Jeux!$D$2:$D$3001,MATCH(B1857,Jeux!$A$2:$A$3001,0))&amp;"",""))</f>
        <v/>
      </c>
      <c r="I1857" s="26" t="str">
        <f aca="false">IF(A1857="","",COUNTIF(Apparitions!$G$2:$G$5001,A1857))</f>
        <v/>
      </c>
      <c r="J1857" s="26" t="str">
        <f aca="false">IF(A1857="","",COUNTIFS(Apparitions!$G$2:$G$5001,A1857,Apparitions!$E$2:$E$5001,"○"))</f>
        <v/>
      </c>
      <c r="K1857" s="29" t="str">
        <f aca="false">IF(A1857="","",IFERROR(1/(1/_xlfn.MINIFS(Apparitions!$L$2:$L$5001,Apparitions!$G$2:$G$5001,A1857)),""))</f>
        <v/>
      </c>
      <c r="L1857" s="27" t="str">
        <f aca="false">IF(A1857="","",A1857&amp;" | "&amp;B1857&amp;IF(C1857="",""," ("&amp;C1857&amp;")")&amp;IF(D1857="",""," - "&amp;D1857))</f>
        <v/>
      </c>
    </row>
    <row r="1858" customFormat="false" ht="15" hidden="false" customHeight="false" outlineLevel="0" collapsed="false">
      <c r="A1858" s="32"/>
      <c r="B1858" s="19"/>
      <c r="C1858" s="19"/>
      <c r="D1858" s="19"/>
      <c r="E1858" s="21"/>
      <c r="F1858" s="19"/>
      <c r="G1858" s="27" t="str">
        <f aca="false">IF(B1858="","",IFERROR(INDEX(Jeux!$C$2:$C$3001,MATCH(B1858,Jeux!$A$2:$A$3001,0))&amp;"","⚠ jeu inconnu"))</f>
        <v/>
      </c>
      <c r="H1858" s="27" t="str">
        <f aca="false">IF(B1858="","",IFERROR(INDEX(Jeux!$D$2:$D$3001,MATCH(B1858,Jeux!$A$2:$A$3001,0))&amp;"",""))</f>
        <v/>
      </c>
      <c r="I1858" s="26" t="str">
        <f aca="false">IF(A1858="","",COUNTIF(Apparitions!$G$2:$G$5001,A1858))</f>
        <v/>
      </c>
      <c r="J1858" s="26" t="str">
        <f aca="false">IF(A1858="","",COUNTIFS(Apparitions!$G$2:$G$5001,A1858,Apparitions!$E$2:$E$5001,"○"))</f>
        <v/>
      </c>
      <c r="K1858" s="29" t="str">
        <f aca="false">IF(A1858="","",IFERROR(1/(1/_xlfn.MINIFS(Apparitions!$L$2:$L$5001,Apparitions!$G$2:$G$5001,A1858)),""))</f>
        <v/>
      </c>
      <c r="L1858" s="27" t="str">
        <f aca="false">IF(A1858="","",A1858&amp;" | "&amp;B1858&amp;IF(C1858="",""," ("&amp;C1858&amp;")")&amp;IF(D1858="",""," - "&amp;D1858))</f>
        <v/>
      </c>
    </row>
    <row r="1859" customFormat="false" ht="15" hidden="false" customHeight="false" outlineLevel="0" collapsed="false">
      <c r="A1859" s="32"/>
      <c r="B1859" s="19"/>
      <c r="C1859" s="19"/>
      <c r="D1859" s="19"/>
      <c r="E1859" s="21"/>
      <c r="F1859" s="19"/>
      <c r="G1859" s="27" t="str">
        <f aca="false">IF(B1859="","",IFERROR(INDEX(Jeux!$C$2:$C$3001,MATCH(B1859,Jeux!$A$2:$A$3001,0))&amp;"","⚠ jeu inconnu"))</f>
        <v/>
      </c>
      <c r="H1859" s="27" t="str">
        <f aca="false">IF(B1859="","",IFERROR(INDEX(Jeux!$D$2:$D$3001,MATCH(B1859,Jeux!$A$2:$A$3001,0))&amp;"",""))</f>
        <v/>
      </c>
      <c r="I1859" s="26" t="str">
        <f aca="false">IF(A1859="","",COUNTIF(Apparitions!$G$2:$G$5001,A1859))</f>
        <v/>
      </c>
      <c r="J1859" s="26" t="str">
        <f aca="false">IF(A1859="","",COUNTIFS(Apparitions!$G$2:$G$5001,A1859,Apparitions!$E$2:$E$5001,"○"))</f>
        <v/>
      </c>
      <c r="K1859" s="29" t="str">
        <f aca="false">IF(A1859="","",IFERROR(1/(1/_xlfn.MINIFS(Apparitions!$L$2:$L$5001,Apparitions!$G$2:$G$5001,A1859)),""))</f>
        <v/>
      </c>
      <c r="L1859" s="27" t="str">
        <f aca="false">IF(A1859="","",A1859&amp;" | "&amp;B1859&amp;IF(C1859="",""," ("&amp;C1859&amp;")")&amp;IF(D1859="",""," - "&amp;D1859))</f>
        <v/>
      </c>
    </row>
    <row r="1860" customFormat="false" ht="15" hidden="false" customHeight="false" outlineLevel="0" collapsed="false">
      <c r="A1860" s="32"/>
      <c r="B1860" s="19"/>
      <c r="C1860" s="19"/>
      <c r="D1860" s="19"/>
      <c r="E1860" s="21"/>
      <c r="F1860" s="19"/>
      <c r="G1860" s="27" t="str">
        <f aca="false">IF(B1860="","",IFERROR(INDEX(Jeux!$C$2:$C$3001,MATCH(B1860,Jeux!$A$2:$A$3001,0))&amp;"","⚠ jeu inconnu"))</f>
        <v/>
      </c>
      <c r="H1860" s="27" t="str">
        <f aca="false">IF(B1860="","",IFERROR(INDEX(Jeux!$D$2:$D$3001,MATCH(B1860,Jeux!$A$2:$A$3001,0))&amp;"",""))</f>
        <v/>
      </c>
      <c r="I1860" s="26" t="str">
        <f aca="false">IF(A1860="","",COUNTIF(Apparitions!$G$2:$G$5001,A1860))</f>
        <v/>
      </c>
      <c r="J1860" s="26" t="str">
        <f aca="false">IF(A1860="","",COUNTIFS(Apparitions!$G$2:$G$5001,A1860,Apparitions!$E$2:$E$5001,"○"))</f>
        <v/>
      </c>
      <c r="K1860" s="29" t="str">
        <f aca="false">IF(A1860="","",IFERROR(1/(1/_xlfn.MINIFS(Apparitions!$L$2:$L$5001,Apparitions!$G$2:$G$5001,A1860)),""))</f>
        <v/>
      </c>
      <c r="L1860" s="27" t="str">
        <f aca="false">IF(A1860="","",A1860&amp;" | "&amp;B1860&amp;IF(C1860="",""," ("&amp;C1860&amp;")")&amp;IF(D1860="",""," - "&amp;D1860))</f>
        <v/>
      </c>
    </row>
    <row r="1861" customFormat="false" ht="15" hidden="false" customHeight="false" outlineLevel="0" collapsed="false">
      <c r="A1861" s="32"/>
      <c r="B1861" s="19"/>
      <c r="C1861" s="19"/>
      <c r="D1861" s="19"/>
      <c r="E1861" s="21"/>
      <c r="F1861" s="19"/>
      <c r="G1861" s="27" t="str">
        <f aca="false">IF(B1861="","",IFERROR(INDEX(Jeux!$C$2:$C$3001,MATCH(B1861,Jeux!$A$2:$A$3001,0))&amp;"","⚠ jeu inconnu"))</f>
        <v/>
      </c>
      <c r="H1861" s="27" t="str">
        <f aca="false">IF(B1861="","",IFERROR(INDEX(Jeux!$D$2:$D$3001,MATCH(B1861,Jeux!$A$2:$A$3001,0))&amp;"",""))</f>
        <v/>
      </c>
      <c r="I1861" s="26" t="str">
        <f aca="false">IF(A1861="","",COUNTIF(Apparitions!$G$2:$G$5001,A1861))</f>
        <v/>
      </c>
      <c r="J1861" s="26" t="str">
        <f aca="false">IF(A1861="","",COUNTIFS(Apparitions!$G$2:$G$5001,A1861,Apparitions!$E$2:$E$5001,"○"))</f>
        <v/>
      </c>
      <c r="K1861" s="29" t="str">
        <f aca="false">IF(A1861="","",IFERROR(1/(1/_xlfn.MINIFS(Apparitions!$L$2:$L$5001,Apparitions!$G$2:$G$5001,A1861)),""))</f>
        <v/>
      </c>
      <c r="L1861" s="27" t="str">
        <f aca="false">IF(A1861="","",A1861&amp;" | "&amp;B1861&amp;IF(C1861="",""," ("&amp;C1861&amp;")")&amp;IF(D1861="",""," - "&amp;D1861))</f>
        <v/>
      </c>
    </row>
    <row r="1862" customFormat="false" ht="15" hidden="false" customHeight="false" outlineLevel="0" collapsed="false">
      <c r="A1862" s="32"/>
      <c r="B1862" s="19"/>
      <c r="C1862" s="19"/>
      <c r="D1862" s="19"/>
      <c r="E1862" s="21"/>
      <c r="F1862" s="19"/>
      <c r="G1862" s="27" t="str">
        <f aca="false">IF(B1862="","",IFERROR(INDEX(Jeux!$C$2:$C$3001,MATCH(B1862,Jeux!$A$2:$A$3001,0))&amp;"","⚠ jeu inconnu"))</f>
        <v/>
      </c>
      <c r="H1862" s="27" t="str">
        <f aca="false">IF(B1862="","",IFERROR(INDEX(Jeux!$D$2:$D$3001,MATCH(B1862,Jeux!$A$2:$A$3001,0))&amp;"",""))</f>
        <v/>
      </c>
      <c r="I1862" s="26" t="str">
        <f aca="false">IF(A1862="","",COUNTIF(Apparitions!$G$2:$G$5001,A1862))</f>
        <v/>
      </c>
      <c r="J1862" s="26" t="str">
        <f aca="false">IF(A1862="","",COUNTIFS(Apparitions!$G$2:$G$5001,A1862,Apparitions!$E$2:$E$5001,"○"))</f>
        <v/>
      </c>
      <c r="K1862" s="29" t="str">
        <f aca="false">IF(A1862="","",IFERROR(1/(1/_xlfn.MINIFS(Apparitions!$L$2:$L$5001,Apparitions!$G$2:$G$5001,A1862)),""))</f>
        <v/>
      </c>
      <c r="L1862" s="27" t="str">
        <f aca="false">IF(A1862="","",A1862&amp;" | "&amp;B1862&amp;IF(C1862="",""," ("&amp;C1862&amp;")")&amp;IF(D1862="",""," - "&amp;D1862))</f>
        <v/>
      </c>
    </row>
    <row r="1863" customFormat="false" ht="15" hidden="false" customHeight="false" outlineLevel="0" collapsed="false">
      <c r="A1863" s="32"/>
      <c r="B1863" s="19"/>
      <c r="C1863" s="19"/>
      <c r="D1863" s="19"/>
      <c r="E1863" s="21"/>
      <c r="F1863" s="19"/>
      <c r="G1863" s="27" t="str">
        <f aca="false">IF(B1863="","",IFERROR(INDEX(Jeux!$C$2:$C$3001,MATCH(B1863,Jeux!$A$2:$A$3001,0))&amp;"","⚠ jeu inconnu"))</f>
        <v/>
      </c>
      <c r="H1863" s="27" t="str">
        <f aca="false">IF(B1863="","",IFERROR(INDEX(Jeux!$D$2:$D$3001,MATCH(B1863,Jeux!$A$2:$A$3001,0))&amp;"",""))</f>
        <v/>
      </c>
      <c r="I1863" s="26" t="str">
        <f aca="false">IF(A1863="","",COUNTIF(Apparitions!$G$2:$G$5001,A1863))</f>
        <v/>
      </c>
      <c r="J1863" s="26" t="str">
        <f aca="false">IF(A1863="","",COUNTIFS(Apparitions!$G$2:$G$5001,A1863,Apparitions!$E$2:$E$5001,"○"))</f>
        <v/>
      </c>
      <c r="K1863" s="29" t="str">
        <f aca="false">IF(A1863="","",IFERROR(1/(1/_xlfn.MINIFS(Apparitions!$L$2:$L$5001,Apparitions!$G$2:$G$5001,A1863)),""))</f>
        <v/>
      </c>
      <c r="L1863" s="27" t="str">
        <f aca="false">IF(A1863="","",A1863&amp;" | "&amp;B1863&amp;IF(C1863="",""," ("&amp;C1863&amp;")")&amp;IF(D1863="",""," - "&amp;D1863))</f>
        <v/>
      </c>
    </row>
    <row r="1864" customFormat="false" ht="15" hidden="false" customHeight="false" outlineLevel="0" collapsed="false">
      <c r="A1864" s="32"/>
      <c r="B1864" s="19"/>
      <c r="C1864" s="19"/>
      <c r="D1864" s="19"/>
      <c r="E1864" s="21"/>
      <c r="F1864" s="19"/>
      <c r="G1864" s="27" t="str">
        <f aca="false">IF(B1864="","",IFERROR(INDEX(Jeux!$C$2:$C$3001,MATCH(B1864,Jeux!$A$2:$A$3001,0))&amp;"","⚠ jeu inconnu"))</f>
        <v/>
      </c>
      <c r="H1864" s="27" t="str">
        <f aca="false">IF(B1864="","",IFERROR(INDEX(Jeux!$D$2:$D$3001,MATCH(B1864,Jeux!$A$2:$A$3001,0))&amp;"",""))</f>
        <v/>
      </c>
      <c r="I1864" s="26" t="str">
        <f aca="false">IF(A1864="","",COUNTIF(Apparitions!$G$2:$G$5001,A1864))</f>
        <v/>
      </c>
      <c r="J1864" s="26" t="str">
        <f aca="false">IF(A1864="","",COUNTIFS(Apparitions!$G$2:$G$5001,A1864,Apparitions!$E$2:$E$5001,"○"))</f>
        <v/>
      </c>
      <c r="K1864" s="29" t="str">
        <f aca="false">IF(A1864="","",IFERROR(1/(1/_xlfn.MINIFS(Apparitions!$L$2:$L$5001,Apparitions!$G$2:$G$5001,A1864)),""))</f>
        <v/>
      </c>
      <c r="L1864" s="27" t="str">
        <f aca="false">IF(A1864="","",A1864&amp;" | "&amp;B1864&amp;IF(C1864="",""," ("&amp;C1864&amp;")")&amp;IF(D1864="",""," - "&amp;D1864))</f>
        <v/>
      </c>
    </row>
    <row r="1865" customFormat="false" ht="15" hidden="false" customHeight="false" outlineLevel="0" collapsed="false">
      <c r="A1865" s="32"/>
      <c r="B1865" s="19"/>
      <c r="C1865" s="19"/>
      <c r="D1865" s="19"/>
      <c r="E1865" s="21"/>
      <c r="F1865" s="19"/>
      <c r="G1865" s="27" t="str">
        <f aca="false">IF(B1865="","",IFERROR(INDEX(Jeux!$C$2:$C$3001,MATCH(B1865,Jeux!$A$2:$A$3001,0))&amp;"","⚠ jeu inconnu"))</f>
        <v/>
      </c>
      <c r="H1865" s="27" t="str">
        <f aca="false">IF(B1865="","",IFERROR(INDEX(Jeux!$D$2:$D$3001,MATCH(B1865,Jeux!$A$2:$A$3001,0))&amp;"",""))</f>
        <v/>
      </c>
      <c r="I1865" s="26" t="str">
        <f aca="false">IF(A1865="","",COUNTIF(Apparitions!$G$2:$G$5001,A1865))</f>
        <v/>
      </c>
      <c r="J1865" s="26" t="str">
        <f aca="false">IF(A1865="","",COUNTIFS(Apparitions!$G$2:$G$5001,A1865,Apparitions!$E$2:$E$5001,"○"))</f>
        <v/>
      </c>
      <c r="K1865" s="29" t="str">
        <f aca="false">IF(A1865="","",IFERROR(1/(1/_xlfn.MINIFS(Apparitions!$L$2:$L$5001,Apparitions!$G$2:$G$5001,A1865)),""))</f>
        <v/>
      </c>
      <c r="L1865" s="27" t="str">
        <f aca="false">IF(A1865="","",A1865&amp;" | "&amp;B1865&amp;IF(C1865="",""," ("&amp;C1865&amp;")")&amp;IF(D1865="",""," - "&amp;D1865))</f>
        <v/>
      </c>
    </row>
    <row r="1866" customFormat="false" ht="15" hidden="false" customHeight="false" outlineLevel="0" collapsed="false">
      <c r="A1866" s="32"/>
      <c r="B1866" s="19"/>
      <c r="C1866" s="19"/>
      <c r="D1866" s="19"/>
      <c r="E1866" s="21"/>
      <c r="F1866" s="19"/>
      <c r="G1866" s="27" t="str">
        <f aca="false">IF(B1866="","",IFERROR(INDEX(Jeux!$C$2:$C$3001,MATCH(B1866,Jeux!$A$2:$A$3001,0))&amp;"","⚠ jeu inconnu"))</f>
        <v/>
      </c>
      <c r="H1866" s="27" t="str">
        <f aca="false">IF(B1866="","",IFERROR(INDEX(Jeux!$D$2:$D$3001,MATCH(B1866,Jeux!$A$2:$A$3001,0))&amp;"",""))</f>
        <v/>
      </c>
      <c r="I1866" s="26" t="str">
        <f aca="false">IF(A1866="","",COUNTIF(Apparitions!$G$2:$G$5001,A1866))</f>
        <v/>
      </c>
      <c r="J1866" s="26" t="str">
        <f aca="false">IF(A1866="","",COUNTIFS(Apparitions!$G$2:$G$5001,A1866,Apparitions!$E$2:$E$5001,"○"))</f>
        <v/>
      </c>
      <c r="K1866" s="29" t="str">
        <f aca="false">IF(A1866="","",IFERROR(1/(1/_xlfn.MINIFS(Apparitions!$L$2:$L$5001,Apparitions!$G$2:$G$5001,A1866)),""))</f>
        <v/>
      </c>
      <c r="L1866" s="27" t="str">
        <f aca="false">IF(A1866="","",A1866&amp;" | "&amp;B1866&amp;IF(C1866="",""," ("&amp;C1866&amp;")")&amp;IF(D1866="",""," - "&amp;D1866))</f>
        <v/>
      </c>
    </row>
    <row r="1867" customFormat="false" ht="15" hidden="false" customHeight="false" outlineLevel="0" collapsed="false">
      <c r="A1867" s="32"/>
      <c r="B1867" s="19"/>
      <c r="C1867" s="19"/>
      <c r="D1867" s="19"/>
      <c r="E1867" s="21"/>
      <c r="F1867" s="19"/>
      <c r="G1867" s="27" t="str">
        <f aca="false">IF(B1867="","",IFERROR(INDEX(Jeux!$C$2:$C$3001,MATCH(B1867,Jeux!$A$2:$A$3001,0))&amp;"","⚠ jeu inconnu"))</f>
        <v/>
      </c>
      <c r="H1867" s="27" t="str">
        <f aca="false">IF(B1867="","",IFERROR(INDEX(Jeux!$D$2:$D$3001,MATCH(B1867,Jeux!$A$2:$A$3001,0))&amp;"",""))</f>
        <v/>
      </c>
      <c r="I1867" s="26" t="str">
        <f aca="false">IF(A1867="","",COUNTIF(Apparitions!$G$2:$G$5001,A1867))</f>
        <v/>
      </c>
      <c r="J1867" s="26" t="str">
        <f aca="false">IF(A1867="","",COUNTIFS(Apparitions!$G$2:$G$5001,A1867,Apparitions!$E$2:$E$5001,"○"))</f>
        <v/>
      </c>
      <c r="K1867" s="29" t="str">
        <f aca="false">IF(A1867="","",IFERROR(1/(1/_xlfn.MINIFS(Apparitions!$L$2:$L$5001,Apparitions!$G$2:$G$5001,A1867)),""))</f>
        <v/>
      </c>
      <c r="L1867" s="27" t="str">
        <f aca="false">IF(A1867="","",A1867&amp;" | "&amp;B1867&amp;IF(C1867="",""," ("&amp;C1867&amp;")")&amp;IF(D1867="",""," - "&amp;D1867))</f>
        <v/>
      </c>
    </row>
    <row r="1868" customFormat="false" ht="15" hidden="false" customHeight="false" outlineLevel="0" collapsed="false">
      <c r="A1868" s="32"/>
      <c r="B1868" s="19"/>
      <c r="C1868" s="19"/>
      <c r="D1868" s="19"/>
      <c r="E1868" s="21"/>
      <c r="F1868" s="19"/>
      <c r="G1868" s="27" t="str">
        <f aca="false">IF(B1868="","",IFERROR(INDEX(Jeux!$C$2:$C$3001,MATCH(B1868,Jeux!$A$2:$A$3001,0))&amp;"","⚠ jeu inconnu"))</f>
        <v/>
      </c>
      <c r="H1868" s="27" t="str">
        <f aca="false">IF(B1868="","",IFERROR(INDEX(Jeux!$D$2:$D$3001,MATCH(B1868,Jeux!$A$2:$A$3001,0))&amp;"",""))</f>
        <v/>
      </c>
      <c r="I1868" s="26" t="str">
        <f aca="false">IF(A1868="","",COUNTIF(Apparitions!$G$2:$G$5001,A1868))</f>
        <v/>
      </c>
      <c r="J1868" s="26" t="str">
        <f aca="false">IF(A1868="","",COUNTIFS(Apparitions!$G$2:$G$5001,A1868,Apparitions!$E$2:$E$5001,"○"))</f>
        <v/>
      </c>
      <c r="K1868" s="29" t="str">
        <f aca="false">IF(A1868="","",IFERROR(1/(1/_xlfn.MINIFS(Apparitions!$L$2:$L$5001,Apparitions!$G$2:$G$5001,A1868)),""))</f>
        <v/>
      </c>
      <c r="L1868" s="27" t="str">
        <f aca="false">IF(A1868="","",A1868&amp;" | "&amp;B1868&amp;IF(C1868="",""," ("&amp;C1868&amp;")")&amp;IF(D1868="",""," - "&amp;D1868))</f>
        <v/>
      </c>
    </row>
    <row r="1869" customFormat="false" ht="15" hidden="false" customHeight="false" outlineLevel="0" collapsed="false">
      <c r="A1869" s="32"/>
      <c r="B1869" s="19"/>
      <c r="C1869" s="19"/>
      <c r="D1869" s="19"/>
      <c r="E1869" s="21"/>
      <c r="F1869" s="19"/>
      <c r="G1869" s="27" t="str">
        <f aca="false">IF(B1869="","",IFERROR(INDEX(Jeux!$C$2:$C$3001,MATCH(B1869,Jeux!$A$2:$A$3001,0))&amp;"","⚠ jeu inconnu"))</f>
        <v/>
      </c>
      <c r="H1869" s="27" t="str">
        <f aca="false">IF(B1869="","",IFERROR(INDEX(Jeux!$D$2:$D$3001,MATCH(B1869,Jeux!$A$2:$A$3001,0))&amp;"",""))</f>
        <v/>
      </c>
      <c r="I1869" s="26" t="str">
        <f aca="false">IF(A1869="","",COUNTIF(Apparitions!$G$2:$G$5001,A1869))</f>
        <v/>
      </c>
      <c r="J1869" s="26" t="str">
        <f aca="false">IF(A1869="","",COUNTIFS(Apparitions!$G$2:$G$5001,A1869,Apparitions!$E$2:$E$5001,"○"))</f>
        <v/>
      </c>
      <c r="K1869" s="29" t="str">
        <f aca="false">IF(A1869="","",IFERROR(1/(1/_xlfn.MINIFS(Apparitions!$L$2:$L$5001,Apparitions!$G$2:$G$5001,A1869)),""))</f>
        <v/>
      </c>
      <c r="L1869" s="27" t="str">
        <f aca="false">IF(A1869="","",A1869&amp;" | "&amp;B1869&amp;IF(C1869="",""," ("&amp;C1869&amp;")")&amp;IF(D1869="",""," - "&amp;D1869))</f>
        <v/>
      </c>
    </row>
    <row r="1870" customFormat="false" ht="15" hidden="false" customHeight="false" outlineLevel="0" collapsed="false">
      <c r="A1870" s="32"/>
      <c r="B1870" s="19"/>
      <c r="C1870" s="19"/>
      <c r="D1870" s="19"/>
      <c r="E1870" s="21"/>
      <c r="F1870" s="19"/>
      <c r="G1870" s="27" t="str">
        <f aca="false">IF(B1870="","",IFERROR(INDEX(Jeux!$C$2:$C$3001,MATCH(B1870,Jeux!$A$2:$A$3001,0))&amp;"","⚠ jeu inconnu"))</f>
        <v/>
      </c>
      <c r="H1870" s="27" t="str">
        <f aca="false">IF(B1870="","",IFERROR(INDEX(Jeux!$D$2:$D$3001,MATCH(B1870,Jeux!$A$2:$A$3001,0))&amp;"",""))</f>
        <v/>
      </c>
      <c r="I1870" s="26" t="str">
        <f aca="false">IF(A1870="","",COUNTIF(Apparitions!$G$2:$G$5001,A1870))</f>
        <v/>
      </c>
      <c r="J1870" s="26" t="str">
        <f aca="false">IF(A1870="","",COUNTIFS(Apparitions!$G$2:$G$5001,A1870,Apparitions!$E$2:$E$5001,"○"))</f>
        <v/>
      </c>
      <c r="K1870" s="29" t="str">
        <f aca="false">IF(A1870="","",IFERROR(1/(1/_xlfn.MINIFS(Apparitions!$L$2:$L$5001,Apparitions!$G$2:$G$5001,A1870)),""))</f>
        <v/>
      </c>
      <c r="L1870" s="27" t="str">
        <f aca="false">IF(A1870="","",A1870&amp;" | "&amp;B1870&amp;IF(C1870="",""," ("&amp;C1870&amp;")")&amp;IF(D1870="",""," - "&amp;D1870))</f>
        <v/>
      </c>
    </row>
    <row r="1871" customFormat="false" ht="15" hidden="false" customHeight="false" outlineLevel="0" collapsed="false">
      <c r="A1871" s="32"/>
      <c r="B1871" s="19"/>
      <c r="C1871" s="19"/>
      <c r="D1871" s="19"/>
      <c r="E1871" s="21"/>
      <c r="F1871" s="19"/>
      <c r="G1871" s="27" t="str">
        <f aca="false">IF(B1871="","",IFERROR(INDEX(Jeux!$C$2:$C$3001,MATCH(B1871,Jeux!$A$2:$A$3001,0))&amp;"","⚠ jeu inconnu"))</f>
        <v/>
      </c>
      <c r="H1871" s="27" t="str">
        <f aca="false">IF(B1871="","",IFERROR(INDEX(Jeux!$D$2:$D$3001,MATCH(B1871,Jeux!$A$2:$A$3001,0))&amp;"",""))</f>
        <v/>
      </c>
      <c r="I1871" s="26" t="str">
        <f aca="false">IF(A1871="","",COUNTIF(Apparitions!$G$2:$G$5001,A1871))</f>
        <v/>
      </c>
      <c r="J1871" s="26" t="str">
        <f aca="false">IF(A1871="","",COUNTIFS(Apparitions!$G$2:$G$5001,A1871,Apparitions!$E$2:$E$5001,"○"))</f>
        <v/>
      </c>
      <c r="K1871" s="29" t="str">
        <f aca="false">IF(A1871="","",IFERROR(1/(1/_xlfn.MINIFS(Apparitions!$L$2:$L$5001,Apparitions!$G$2:$G$5001,A1871)),""))</f>
        <v/>
      </c>
      <c r="L1871" s="27" t="str">
        <f aca="false">IF(A1871="","",A1871&amp;" | "&amp;B1871&amp;IF(C1871="",""," ("&amp;C1871&amp;")")&amp;IF(D1871="",""," - "&amp;D1871))</f>
        <v/>
      </c>
    </row>
    <row r="1872" customFormat="false" ht="15" hidden="false" customHeight="false" outlineLevel="0" collapsed="false">
      <c r="A1872" s="32"/>
      <c r="B1872" s="19"/>
      <c r="C1872" s="19"/>
      <c r="D1872" s="19"/>
      <c r="E1872" s="21"/>
      <c r="F1872" s="19"/>
      <c r="G1872" s="27" t="str">
        <f aca="false">IF(B1872="","",IFERROR(INDEX(Jeux!$C$2:$C$3001,MATCH(B1872,Jeux!$A$2:$A$3001,0))&amp;"","⚠ jeu inconnu"))</f>
        <v/>
      </c>
      <c r="H1872" s="27" t="str">
        <f aca="false">IF(B1872="","",IFERROR(INDEX(Jeux!$D$2:$D$3001,MATCH(B1872,Jeux!$A$2:$A$3001,0))&amp;"",""))</f>
        <v/>
      </c>
      <c r="I1872" s="26" t="str">
        <f aca="false">IF(A1872="","",COUNTIF(Apparitions!$G$2:$G$5001,A1872))</f>
        <v/>
      </c>
      <c r="J1872" s="26" t="str">
        <f aca="false">IF(A1872="","",COUNTIFS(Apparitions!$G$2:$G$5001,A1872,Apparitions!$E$2:$E$5001,"○"))</f>
        <v/>
      </c>
      <c r="K1872" s="29" t="str">
        <f aca="false">IF(A1872="","",IFERROR(1/(1/_xlfn.MINIFS(Apparitions!$L$2:$L$5001,Apparitions!$G$2:$G$5001,A1872)),""))</f>
        <v/>
      </c>
      <c r="L1872" s="27" t="str">
        <f aca="false">IF(A1872="","",A1872&amp;" | "&amp;B1872&amp;IF(C1872="",""," ("&amp;C1872&amp;")")&amp;IF(D1872="",""," - "&amp;D1872))</f>
        <v/>
      </c>
    </row>
    <row r="1873" customFormat="false" ht="15" hidden="false" customHeight="false" outlineLevel="0" collapsed="false">
      <c r="A1873" s="32"/>
      <c r="B1873" s="19"/>
      <c r="C1873" s="19"/>
      <c r="D1873" s="19"/>
      <c r="E1873" s="21"/>
      <c r="F1873" s="19"/>
      <c r="G1873" s="27" t="str">
        <f aca="false">IF(B1873="","",IFERROR(INDEX(Jeux!$C$2:$C$3001,MATCH(B1873,Jeux!$A$2:$A$3001,0))&amp;"","⚠ jeu inconnu"))</f>
        <v/>
      </c>
      <c r="H1873" s="27" t="str">
        <f aca="false">IF(B1873="","",IFERROR(INDEX(Jeux!$D$2:$D$3001,MATCH(B1873,Jeux!$A$2:$A$3001,0))&amp;"",""))</f>
        <v/>
      </c>
      <c r="I1873" s="26" t="str">
        <f aca="false">IF(A1873="","",COUNTIF(Apparitions!$G$2:$G$5001,A1873))</f>
        <v/>
      </c>
      <c r="J1873" s="26" t="str">
        <f aca="false">IF(A1873="","",COUNTIFS(Apparitions!$G$2:$G$5001,A1873,Apparitions!$E$2:$E$5001,"○"))</f>
        <v/>
      </c>
      <c r="K1873" s="29" t="str">
        <f aca="false">IF(A1873="","",IFERROR(1/(1/_xlfn.MINIFS(Apparitions!$L$2:$L$5001,Apparitions!$G$2:$G$5001,A1873)),""))</f>
        <v/>
      </c>
      <c r="L1873" s="27" t="str">
        <f aca="false">IF(A1873="","",A1873&amp;" | "&amp;B1873&amp;IF(C1873="",""," ("&amp;C1873&amp;")")&amp;IF(D1873="",""," - "&amp;D1873))</f>
        <v/>
      </c>
    </row>
    <row r="1874" customFormat="false" ht="15" hidden="false" customHeight="false" outlineLevel="0" collapsed="false">
      <c r="A1874" s="32"/>
      <c r="B1874" s="19"/>
      <c r="C1874" s="19"/>
      <c r="D1874" s="19"/>
      <c r="E1874" s="21"/>
      <c r="F1874" s="19"/>
      <c r="G1874" s="27" t="str">
        <f aca="false">IF(B1874="","",IFERROR(INDEX(Jeux!$C$2:$C$3001,MATCH(B1874,Jeux!$A$2:$A$3001,0))&amp;"","⚠ jeu inconnu"))</f>
        <v/>
      </c>
      <c r="H1874" s="27" t="str">
        <f aca="false">IF(B1874="","",IFERROR(INDEX(Jeux!$D$2:$D$3001,MATCH(B1874,Jeux!$A$2:$A$3001,0))&amp;"",""))</f>
        <v/>
      </c>
      <c r="I1874" s="26" t="str">
        <f aca="false">IF(A1874="","",COUNTIF(Apparitions!$G$2:$G$5001,A1874))</f>
        <v/>
      </c>
      <c r="J1874" s="26" t="str">
        <f aca="false">IF(A1874="","",COUNTIFS(Apparitions!$G$2:$G$5001,A1874,Apparitions!$E$2:$E$5001,"○"))</f>
        <v/>
      </c>
      <c r="K1874" s="29" t="str">
        <f aca="false">IF(A1874="","",IFERROR(1/(1/_xlfn.MINIFS(Apparitions!$L$2:$L$5001,Apparitions!$G$2:$G$5001,A1874)),""))</f>
        <v/>
      </c>
      <c r="L1874" s="27" t="str">
        <f aca="false">IF(A1874="","",A1874&amp;" | "&amp;B1874&amp;IF(C1874="",""," ("&amp;C1874&amp;")")&amp;IF(D1874="",""," - "&amp;D1874))</f>
        <v/>
      </c>
    </row>
    <row r="1875" customFormat="false" ht="15" hidden="false" customHeight="false" outlineLevel="0" collapsed="false">
      <c r="A1875" s="32"/>
      <c r="B1875" s="19"/>
      <c r="C1875" s="19"/>
      <c r="D1875" s="19"/>
      <c r="E1875" s="21"/>
      <c r="F1875" s="19"/>
      <c r="G1875" s="27" t="str">
        <f aca="false">IF(B1875="","",IFERROR(INDEX(Jeux!$C$2:$C$3001,MATCH(B1875,Jeux!$A$2:$A$3001,0))&amp;"","⚠ jeu inconnu"))</f>
        <v/>
      </c>
      <c r="H1875" s="27" t="str">
        <f aca="false">IF(B1875="","",IFERROR(INDEX(Jeux!$D$2:$D$3001,MATCH(B1875,Jeux!$A$2:$A$3001,0))&amp;"",""))</f>
        <v/>
      </c>
      <c r="I1875" s="26" t="str">
        <f aca="false">IF(A1875="","",COUNTIF(Apparitions!$G$2:$G$5001,A1875))</f>
        <v/>
      </c>
      <c r="J1875" s="26" t="str">
        <f aca="false">IF(A1875="","",COUNTIFS(Apparitions!$G$2:$G$5001,A1875,Apparitions!$E$2:$E$5001,"○"))</f>
        <v/>
      </c>
      <c r="K1875" s="29" t="str">
        <f aca="false">IF(A1875="","",IFERROR(1/(1/_xlfn.MINIFS(Apparitions!$L$2:$L$5001,Apparitions!$G$2:$G$5001,A1875)),""))</f>
        <v/>
      </c>
      <c r="L1875" s="27" t="str">
        <f aca="false">IF(A1875="","",A1875&amp;" | "&amp;B1875&amp;IF(C1875="",""," ("&amp;C1875&amp;")")&amp;IF(D1875="",""," - "&amp;D1875))</f>
        <v/>
      </c>
    </row>
    <row r="1876" customFormat="false" ht="15" hidden="false" customHeight="false" outlineLevel="0" collapsed="false">
      <c r="A1876" s="32"/>
      <c r="B1876" s="19"/>
      <c r="C1876" s="19"/>
      <c r="D1876" s="19"/>
      <c r="E1876" s="21"/>
      <c r="F1876" s="19"/>
      <c r="G1876" s="27" t="str">
        <f aca="false">IF(B1876="","",IFERROR(INDEX(Jeux!$C$2:$C$3001,MATCH(B1876,Jeux!$A$2:$A$3001,0))&amp;"","⚠ jeu inconnu"))</f>
        <v/>
      </c>
      <c r="H1876" s="27" t="str">
        <f aca="false">IF(B1876="","",IFERROR(INDEX(Jeux!$D$2:$D$3001,MATCH(B1876,Jeux!$A$2:$A$3001,0))&amp;"",""))</f>
        <v/>
      </c>
      <c r="I1876" s="26" t="str">
        <f aca="false">IF(A1876="","",COUNTIF(Apparitions!$G$2:$G$5001,A1876))</f>
        <v/>
      </c>
      <c r="J1876" s="26" t="str">
        <f aca="false">IF(A1876="","",COUNTIFS(Apparitions!$G$2:$G$5001,A1876,Apparitions!$E$2:$E$5001,"○"))</f>
        <v/>
      </c>
      <c r="K1876" s="29" t="str">
        <f aca="false">IF(A1876="","",IFERROR(1/(1/_xlfn.MINIFS(Apparitions!$L$2:$L$5001,Apparitions!$G$2:$G$5001,A1876)),""))</f>
        <v/>
      </c>
      <c r="L1876" s="27" t="str">
        <f aca="false">IF(A1876="","",A1876&amp;" | "&amp;B1876&amp;IF(C1876="",""," ("&amp;C1876&amp;")")&amp;IF(D1876="",""," - "&amp;D1876))</f>
        <v/>
      </c>
    </row>
    <row r="1877" customFormat="false" ht="15" hidden="false" customHeight="false" outlineLevel="0" collapsed="false">
      <c r="A1877" s="32"/>
      <c r="B1877" s="19"/>
      <c r="C1877" s="19"/>
      <c r="D1877" s="19"/>
      <c r="E1877" s="21"/>
      <c r="F1877" s="19"/>
      <c r="G1877" s="27" t="str">
        <f aca="false">IF(B1877="","",IFERROR(INDEX(Jeux!$C$2:$C$3001,MATCH(B1877,Jeux!$A$2:$A$3001,0))&amp;"","⚠ jeu inconnu"))</f>
        <v/>
      </c>
      <c r="H1877" s="27" t="str">
        <f aca="false">IF(B1877="","",IFERROR(INDEX(Jeux!$D$2:$D$3001,MATCH(B1877,Jeux!$A$2:$A$3001,0))&amp;"",""))</f>
        <v/>
      </c>
      <c r="I1877" s="26" t="str">
        <f aca="false">IF(A1877="","",COUNTIF(Apparitions!$G$2:$G$5001,A1877))</f>
        <v/>
      </c>
      <c r="J1877" s="26" t="str">
        <f aca="false">IF(A1877="","",COUNTIFS(Apparitions!$G$2:$G$5001,A1877,Apparitions!$E$2:$E$5001,"○"))</f>
        <v/>
      </c>
      <c r="K1877" s="29" t="str">
        <f aca="false">IF(A1877="","",IFERROR(1/(1/_xlfn.MINIFS(Apparitions!$L$2:$L$5001,Apparitions!$G$2:$G$5001,A1877)),""))</f>
        <v/>
      </c>
      <c r="L1877" s="27" t="str">
        <f aca="false">IF(A1877="","",A1877&amp;" | "&amp;B1877&amp;IF(C1877="",""," ("&amp;C1877&amp;")")&amp;IF(D1877="",""," - "&amp;D1877))</f>
        <v/>
      </c>
    </row>
    <row r="1878" customFormat="false" ht="15" hidden="false" customHeight="false" outlineLevel="0" collapsed="false">
      <c r="A1878" s="32"/>
      <c r="B1878" s="19"/>
      <c r="C1878" s="19"/>
      <c r="D1878" s="19"/>
      <c r="E1878" s="21"/>
      <c r="F1878" s="19"/>
      <c r="G1878" s="27" t="str">
        <f aca="false">IF(B1878="","",IFERROR(INDEX(Jeux!$C$2:$C$3001,MATCH(B1878,Jeux!$A$2:$A$3001,0))&amp;"","⚠ jeu inconnu"))</f>
        <v/>
      </c>
      <c r="H1878" s="27" t="str">
        <f aca="false">IF(B1878="","",IFERROR(INDEX(Jeux!$D$2:$D$3001,MATCH(B1878,Jeux!$A$2:$A$3001,0))&amp;"",""))</f>
        <v/>
      </c>
      <c r="I1878" s="26" t="str">
        <f aca="false">IF(A1878="","",COUNTIF(Apparitions!$G$2:$G$5001,A1878))</f>
        <v/>
      </c>
      <c r="J1878" s="26" t="str">
        <f aca="false">IF(A1878="","",COUNTIFS(Apparitions!$G$2:$G$5001,A1878,Apparitions!$E$2:$E$5001,"○"))</f>
        <v/>
      </c>
      <c r="K1878" s="29" t="str">
        <f aca="false">IF(A1878="","",IFERROR(1/(1/_xlfn.MINIFS(Apparitions!$L$2:$L$5001,Apparitions!$G$2:$G$5001,A1878)),""))</f>
        <v/>
      </c>
      <c r="L1878" s="27" t="str">
        <f aca="false">IF(A1878="","",A1878&amp;" | "&amp;B1878&amp;IF(C1878="",""," ("&amp;C1878&amp;")")&amp;IF(D1878="",""," - "&amp;D1878))</f>
        <v/>
      </c>
    </row>
    <row r="1879" customFormat="false" ht="15" hidden="false" customHeight="false" outlineLevel="0" collapsed="false">
      <c r="A1879" s="32"/>
      <c r="B1879" s="19"/>
      <c r="C1879" s="19"/>
      <c r="D1879" s="19"/>
      <c r="E1879" s="21"/>
      <c r="F1879" s="19"/>
      <c r="G1879" s="27" t="str">
        <f aca="false">IF(B1879="","",IFERROR(INDEX(Jeux!$C$2:$C$3001,MATCH(B1879,Jeux!$A$2:$A$3001,0))&amp;"","⚠ jeu inconnu"))</f>
        <v/>
      </c>
      <c r="H1879" s="27" t="str">
        <f aca="false">IF(B1879="","",IFERROR(INDEX(Jeux!$D$2:$D$3001,MATCH(B1879,Jeux!$A$2:$A$3001,0))&amp;"",""))</f>
        <v/>
      </c>
      <c r="I1879" s="26" t="str">
        <f aca="false">IF(A1879="","",COUNTIF(Apparitions!$G$2:$G$5001,A1879))</f>
        <v/>
      </c>
      <c r="J1879" s="26" t="str">
        <f aca="false">IF(A1879="","",COUNTIFS(Apparitions!$G$2:$G$5001,A1879,Apparitions!$E$2:$E$5001,"○"))</f>
        <v/>
      </c>
      <c r="K1879" s="29" t="str">
        <f aca="false">IF(A1879="","",IFERROR(1/(1/_xlfn.MINIFS(Apparitions!$L$2:$L$5001,Apparitions!$G$2:$G$5001,A1879)),""))</f>
        <v/>
      </c>
      <c r="L1879" s="27" t="str">
        <f aca="false">IF(A1879="","",A1879&amp;" | "&amp;B1879&amp;IF(C1879="",""," ("&amp;C1879&amp;")")&amp;IF(D1879="",""," - "&amp;D1879))</f>
        <v/>
      </c>
    </row>
    <row r="1880" customFormat="false" ht="15" hidden="false" customHeight="false" outlineLevel="0" collapsed="false">
      <c r="A1880" s="32"/>
      <c r="B1880" s="19"/>
      <c r="C1880" s="19"/>
      <c r="D1880" s="19"/>
      <c r="E1880" s="21"/>
      <c r="F1880" s="19"/>
      <c r="G1880" s="27" t="str">
        <f aca="false">IF(B1880="","",IFERROR(INDEX(Jeux!$C$2:$C$3001,MATCH(B1880,Jeux!$A$2:$A$3001,0))&amp;"","⚠ jeu inconnu"))</f>
        <v/>
      </c>
      <c r="H1880" s="27" t="str">
        <f aca="false">IF(B1880="","",IFERROR(INDEX(Jeux!$D$2:$D$3001,MATCH(B1880,Jeux!$A$2:$A$3001,0))&amp;"",""))</f>
        <v/>
      </c>
      <c r="I1880" s="26" t="str">
        <f aca="false">IF(A1880="","",COUNTIF(Apparitions!$G$2:$G$5001,A1880))</f>
        <v/>
      </c>
      <c r="J1880" s="26" t="str">
        <f aca="false">IF(A1880="","",COUNTIFS(Apparitions!$G$2:$G$5001,A1880,Apparitions!$E$2:$E$5001,"○"))</f>
        <v/>
      </c>
      <c r="K1880" s="29" t="str">
        <f aca="false">IF(A1880="","",IFERROR(1/(1/_xlfn.MINIFS(Apparitions!$L$2:$L$5001,Apparitions!$G$2:$G$5001,A1880)),""))</f>
        <v/>
      </c>
      <c r="L1880" s="27" t="str">
        <f aca="false">IF(A1880="","",A1880&amp;" | "&amp;B1880&amp;IF(C1880="",""," ("&amp;C1880&amp;")")&amp;IF(D1880="",""," - "&amp;D1880))</f>
        <v/>
      </c>
    </row>
    <row r="1881" customFormat="false" ht="15" hidden="false" customHeight="false" outlineLevel="0" collapsed="false">
      <c r="A1881" s="32"/>
      <c r="B1881" s="19"/>
      <c r="C1881" s="19"/>
      <c r="D1881" s="19"/>
      <c r="E1881" s="21"/>
      <c r="F1881" s="19"/>
      <c r="G1881" s="27" t="str">
        <f aca="false">IF(B1881="","",IFERROR(INDEX(Jeux!$C$2:$C$3001,MATCH(B1881,Jeux!$A$2:$A$3001,0))&amp;"","⚠ jeu inconnu"))</f>
        <v/>
      </c>
      <c r="H1881" s="27" t="str">
        <f aca="false">IF(B1881="","",IFERROR(INDEX(Jeux!$D$2:$D$3001,MATCH(B1881,Jeux!$A$2:$A$3001,0))&amp;"",""))</f>
        <v/>
      </c>
      <c r="I1881" s="26" t="str">
        <f aca="false">IF(A1881="","",COUNTIF(Apparitions!$G$2:$G$5001,A1881))</f>
        <v/>
      </c>
      <c r="J1881" s="26" t="str">
        <f aca="false">IF(A1881="","",COUNTIFS(Apparitions!$G$2:$G$5001,A1881,Apparitions!$E$2:$E$5001,"○"))</f>
        <v/>
      </c>
      <c r="K1881" s="29" t="str">
        <f aca="false">IF(A1881="","",IFERROR(1/(1/_xlfn.MINIFS(Apparitions!$L$2:$L$5001,Apparitions!$G$2:$G$5001,A1881)),""))</f>
        <v/>
      </c>
      <c r="L1881" s="27" t="str">
        <f aca="false">IF(A1881="","",A1881&amp;" | "&amp;B1881&amp;IF(C1881="",""," ("&amp;C1881&amp;")")&amp;IF(D1881="",""," - "&amp;D1881))</f>
        <v/>
      </c>
    </row>
    <row r="1882" customFormat="false" ht="15" hidden="false" customHeight="false" outlineLevel="0" collapsed="false">
      <c r="A1882" s="32"/>
      <c r="B1882" s="19"/>
      <c r="C1882" s="19"/>
      <c r="D1882" s="19"/>
      <c r="E1882" s="21"/>
      <c r="F1882" s="19"/>
      <c r="G1882" s="27" t="str">
        <f aca="false">IF(B1882="","",IFERROR(INDEX(Jeux!$C$2:$C$3001,MATCH(B1882,Jeux!$A$2:$A$3001,0))&amp;"","⚠ jeu inconnu"))</f>
        <v/>
      </c>
      <c r="H1882" s="27" t="str">
        <f aca="false">IF(B1882="","",IFERROR(INDEX(Jeux!$D$2:$D$3001,MATCH(B1882,Jeux!$A$2:$A$3001,0))&amp;"",""))</f>
        <v/>
      </c>
      <c r="I1882" s="26" t="str">
        <f aca="false">IF(A1882="","",COUNTIF(Apparitions!$G$2:$G$5001,A1882))</f>
        <v/>
      </c>
      <c r="J1882" s="26" t="str">
        <f aca="false">IF(A1882="","",COUNTIFS(Apparitions!$G$2:$G$5001,A1882,Apparitions!$E$2:$E$5001,"○"))</f>
        <v/>
      </c>
      <c r="K1882" s="29" t="str">
        <f aca="false">IF(A1882="","",IFERROR(1/(1/_xlfn.MINIFS(Apparitions!$L$2:$L$5001,Apparitions!$G$2:$G$5001,A1882)),""))</f>
        <v/>
      </c>
      <c r="L1882" s="27" t="str">
        <f aca="false">IF(A1882="","",A1882&amp;" | "&amp;B1882&amp;IF(C1882="",""," ("&amp;C1882&amp;")")&amp;IF(D1882="",""," - "&amp;D1882))</f>
        <v/>
      </c>
    </row>
    <row r="1883" customFormat="false" ht="15" hidden="false" customHeight="false" outlineLevel="0" collapsed="false">
      <c r="A1883" s="32"/>
      <c r="B1883" s="19"/>
      <c r="C1883" s="19"/>
      <c r="D1883" s="19"/>
      <c r="E1883" s="21"/>
      <c r="F1883" s="19"/>
      <c r="G1883" s="27" t="str">
        <f aca="false">IF(B1883="","",IFERROR(INDEX(Jeux!$C$2:$C$3001,MATCH(B1883,Jeux!$A$2:$A$3001,0))&amp;"","⚠ jeu inconnu"))</f>
        <v/>
      </c>
      <c r="H1883" s="27" t="str">
        <f aca="false">IF(B1883="","",IFERROR(INDEX(Jeux!$D$2:$D$3001,MATCH(B1883,Jeux!$A$2:$A$3001,0))&amp;"",""))</f>
        <v/>
      </c>
      <c r="I1883" s="26" t="str">
        <f aca="false">IF(A1883="","",COUNTIF(Apparitions!$G$2:$G$5001,A1883))</f>
        <v/>
      </c>
      <c r="J1883" s="26" t="str">
        <f aca="false">IF(A1883="","",COUNTIFS(Apparitions!$G$2:$G$5001,A1883,Apparitions!$E$2:$E$5001,"○"))</f>
        <v/>
      </c>
      <c r="K1883" s="29" t="str">
        <f aca="false">IF(A1883="","",IFERROR(1/(1/_xlfn.MINIFS(Apparitions!$L$2:$L$5001,Apparitions!$G$2:$G$5001,A1883)),""))</f>
        <v/>
      </c>
      <c r="L1883" s="27" t="str">
        <f aca="false">IF(A1883="","",A1883&amp;" | "&amp;B1883&amp;IF(C1883="",""," ("&amp;C1883&amp;")")&amp;IF(D1883="",""," - "&amp;D1883))</f>
        <v/>
      </c>
    </row>
    <row r="1884" customFormat="false" ht="15" hidden="false" customHeight="false" outlineLevel="0" collapsed="false">
      <c r="A1884" s="32"/>
      <c r="B1884" s="19"/>
      <c r="C1884" s="19"/>
      <c r="D1884" s="19"/>
      <c r="E1884" s="21"/>
      <c r="F1884" s="19"/>
      <c r="G1884" s="27" t="str">
        <f aca="false">IF(B1884="","",IFERROR(INDEX(Jeux!$C$2:$C$3001,MATCH(B1884,Jeux!$A$2:$A$3001,0))&amp;"","⚠ jeu inconnu"))</f>
        <v/>
      </c>
      <c r="H1884" s="27" t="str">
        <f aca="false">IF(B1884="","",IFERROR(INDEX(Jeux!$D$2:$D$3001,MATCH(B1884,Jeux!$A$2:$A$3001,0))&amp;"",""))</f>
        <v/>
      </c>
      <c r="I1884" s="26" t="str">
        <f aca="false">IF(A1884="","",COUNTIF(Apparitions!$G$2:$G$5001,A1884))</f>
        <v/>
      </c>
      <c r="J1884" s="26" t="str">
        <f aca="false">IF(A1884="","",COUNTIFS(Apparitions!$G$2:$G$5001,A1884,Apparitions!$E$2:$E$5001,"○"))</f>
        <v/>
      </c>
      <c r="K1884" s="29" t="str">
        <f aca="false">IF(A1884="","",IFERROR(1/(1/_xlfn.MINIFS(Apparitions!$L$2:$L$5001,Apparitions!$G$2:$G$5001,A1884)),""))</f>
        <v/>
      </c>
      <c r="L1884" s="27" t="str">
        <f aca="false">IF(A1884="","",A1884&amp;" | "&amp;B1884&amp;IF(C1884="",""," ("&amp;C1884&amp;")")&amp;IF(D1884="",""," - "&amp;D1884))</f>
        <v/>
      </c>
    </row>
    <row r="1885" customFormat="false" ht="15" hidden="false" customHeight="false" outlineLevel="0" collapsed="false">
      <c r="A1885" s="32"/>
      <c r="B1885" s="19"/>
      <c r="C1885" s="19"/>
      <c r="D1885" s="19"/>
      <c r="E1885" s="21"/>
      <c r="F1885" s="19"/>
      <c r="G1885" s="27" t="str">
        <f aca="false">IF(B1885="","",IFERROR(INDEX(Jeux!$C$2:$C$3001,MATCH(B1885,Jeux!$A$2:$A$3001,0))&amp;"","⚠ jeu inconnu"))</f>
        <v/>
      </c>
      <c r="H1885" s="27" t="str">
        <f aca="false">IF(B1885="","",IFERROR(INDEX(Jeux!$D$2:$D$3001,MATCH(B1885,Jeux!$A$2:$A$3001,0))&amp;"",""))</f>
        <v/>
      </c>
      <c r="I1885" s="26" t="str">
        <f aca="false">IF(A1885="","",COUNTIF(Apparitions!$G$2:$G$5001,A1885))</f>
        <v/>
      </c>
      <c r="J1885" s="26" t="str">
        <f aca="false">IF(A1885="","",COUNTIFS(Apparitions!$G$2:$G$5001,A1885,Apparitions!$E$2:$E$5001,"○"))</f>
        <v/>
      </c>
      <c r="K1885" s="29" t="str">
        <f aca="false">IF(A1885="","",IFERROR(1/(1/_xlfn.MINIFS(Apparitions!$L$2:$L$5001,Apparitions!$G$2:$G$5001,A1885)),""))</f>
        <v/>
      </c>
      <c r="L1885" s="27" t="str">
        <f aca="false">IF(A1885="","",A1885&amp;" | "&amp;B1885&amp;IF(C1885="",""," ("&amp;C1885&amp;")")&amp;IF(D1885="",""," - "&amp;D1885))</f>
        <v/>
      </c>
    </row>
    <row r="1886" customFormat="false" ht="15" hidden="false" customHeight="false" outlineLevel="0" collapsed="false">
      <c r="A1886" s="32"/>
      <c r="B1886" s="19"/>
      <c r="C1886" s="19"/>
      <c r="D1886" s="19"/>
      <c r="E1886" s="21"/>
      <c r="F1886" s="19"/>
      <c r="G1886" s="27" t="str">
        <f aca="false">IF(B1886="","",IFERROR(INDEX(Jeux!$C$2:$C$3001,MATCH(B1886,Jeux!$A$2:$A$3001,0))&amp;"","⚠ jeu inconnu"))</f>
        <v/>
      </c>
      <c r="H1886" s="27" t="str">
        <f aca="false">IF(B1886="","",IFERROR(INDEX(Jeux!$D$2:$D$3001,MATCH(B1886,Jeux!$A$2:$A$3001,0))&amp;"",""))</f>
        <v/>
      </c>
      <c r="I1886" s="26" t="str">
        <f aca="false">IF(A1886="","",COUNTIF(Apparitions!$G$2:$G$5001,A1886))</f>
        <v/>
      </c>
      <c r="J1886" s="26" t="str">
        <f aca="false">IF(A1886="","",COUNTIFS(Apparitions!$G$2:$G$5001,A1886,Apparitions!$E$2:$E$5001,"○"))</f>
        <v/>
      </c>
      <c r="K1886" s="29" t="str">
        <f aca="false">IF(A1886="","",IFERROR(1/(1/_xlfn.MINIFS(Apparitions!$L$2:$L$5001,Apparitions!$G$2:$G$5001,A1886)),""))</f>
        <v/>
      </c>
      <c r="L1886" s="27" t="str">
        <f aca="false">IF(A1886="","",A1886&amp;" | "&amp;B1886&amp;IF(C1886="",""," ("&amp;C1886&amp;")")&amp;IF(D1886="",""," - "&amp;D1886))</f>
        <v/>
      </c>
    </row>
    <row r="1887" customFormat="false" ht="15" hidden="false" customHeight="false" outlineLevel="0" collapsed="false">
      <c r="A1887" s="32"/>
      <c r="B1887" s="19"/>
      <c r="C1887" s="19"/>
      <c r="D1887" s="19"/>
      <c r="E1887" s="21"/>
      <c r="F1887" s="19"/>
      <c r="G1887" s="27" t="str">
        <f aca="false">IF(B1887="","",IFERROR(INDEX(Jeux!$C$2:$C$3001,MATCH(B1887,Jeux!$A$2:$A$3001,0))&amp;"","⚠ jeu inconnu"))</f>
        <v/>
      </c>
      <c r="H1887" s="27" t="str">
        <f aca="false">IF(B1887="","",IFERROR(INDEX(Jeux!$D$2:$D$3001,MATCH(B1887,Jeux!$A$2:$A$3001,0))&amp;"",""))</f>
        <v/>
      </c>
      <c r="I1887" s="26" t="str">
        <f aca="false">IF(A1887="","",COUNTIF(Apparitions!$G$2:$G$5001,A1887))</f>
        <v/>
      </c>
      <c r="J1887" s="26" t="str">
        <f aca="false">IF(A1887="","",COUNTIFS(Apparitions!$G$2:$G$5001,A1887,Apparitions!$E$2:$E$5001,"○"))</f>
        <v/>
      </c>
      <c r="K1887" s="29" t="str">
        <f aca="false">IF(A1887="","",IFERROR(1/(1/_xlfn.MINIFS(Apparitions!$L$2:$L$5001,Apparitions!$G$2:$G$5001,A1887)),""))</f>
        <v/>
      </c>
      <c r="L1887" s="27" t="str">
        <f aca="false">IF(A1887="","",A1887&amp;" | "&amp;B1887&amp;IF(C1887="",""," ("&amp;C1887&amp;")")&amp;IF(D1887="",""," - "&amp;D1887))</f>
        <v/>
      </c>
    </row>
    <row r="1888" customFormat="false" ht="15" hidden="false" customHeight="false" outlineLevel="0" collapsed="false">
      <c r="A1888" s="32"/>
      <c r="B1888" s="19"/>
      <c r="C1888" s="19"/>
      <c r="D1888" s="19"/>
      <c r="E1888" s="21"/>
      <c r="F1888" s="19"/>
      <c r="G1888" s="27" t="str">
        <f aca="false">IF(B1888="","",IFERROR(INDEX(Jeux!$C$2:$C$3001,MATCH(B1888,Jeux!$A$2:$A$3001,0))&amp;"","⚠ jeu inconnu"))</f>
        <v/>
      </c>
      <c r="H1888" s="27" t="str">
        <f aca="false">IF(B1888="","",IFERROR(INDEX(Jeux!$D$2:$D$3001,MATCH(B1888,Jeux!$A$2:$A$3001,0))&amp;"",""))</f>
        <v/>
      </c>
      <c r="I1888" s="26" t="str">
        <f aca="false">IF(A1888="","",COUNTIF(Apparitions!$G$2:$G$5001,A1888))</f>
        <v/>
      </c>
      <c r="J1888" s="26" t="str">
        <f aca="false">IF(A1888="","",COUNTIFS(Apparitions!$G$2:$G$5001,A1888,Apparitions!$E$2:$E$5001,"○"))</f>
        <v/>
      </c>
      <c r="K1888" s="29" t="str">
        <f aca="false">IF(A1888="","",IFERROR(1/(1/_xlfn.MINIFS(Apparitions!$L$2:$L$5001,Apparitions!$G$2:$G$5001,A1888)),""))</f>
        <v/>
      </c>
      <c r="L1888" s="27" t="str">
        <f aca="false">IF(A1888="","",A1888&amp;" | "&amp;B1888&amp;IF(C1888="",""," ("&amp;C1888&amp;")")&amp;IF(D1888="",""," - "&amp;D1888))</f>
        <v/>
      </c>
    </row>
    <row r="1889" customFormat="false" ht="15" hidden="false" customHeight="false" outlineLevel="0" collapsed="false">
      <c r="A1889" s="32"/>
      <c r="B1889" s="19"/>
      <c r="C1889" s="19"/>
      <c r="D1889" s="19"/>
      <c r="E1889" s="21"/>
      <c r="F1889" s="19"/>
      <c r="G1889" s="27" t="str">
        <f aca="false">IF(B1889="","",IFERROR(INDEX(Jeux!$C$2:$C$3001,MATCH(B1889,Jeux!$A$2:$A$3001,0))&amp;"","⚠ jeu inconnu"))</f>
        <v/>
      </c>
      <c r="H1889" s="27" t="str">
        <f aca="false">IF(B1889="","",IFERROR(INDEX(Jeux!$D$2:$D$3001,MATCH(B1889,Jeux!$A$2:$A$3001,0))&amp;"",""))</f>
        <v/>
      </c>
      <c r="I1889" s="26" t="str">
        <f aca="false">IF(A1889="","",COUNTIF(Apparitions!$G$2:$G$5001,A1889))</f>
        <v/>
      </c>
      <c r="J1889" s="26" t="str">
        <f aca="false">IF(A1889="","",COUNTIFS(Apparitions!$G$2:$G$5001,A1889,Apparitions!$E$2:$E$5001,"○"))</f>
        <v/>
      </c>
      <c r="K1889" s="29" t="str">
        <f aca="false">IF(A1889="","",IFERROR(1/(1/_xlfn.MINIFS(Apparitions!$L$2:$L$5001,Apparitions!$G$2:$G$5001,A1889)),""))</f>
        <v/>
      </c>
      <c r="L1889" s="27" t="str">
        <f aca="false">IF(A1889="","",A1889&amp;" | "&amp;B1889&amp;IF(C1889="",""," ("&amp;C1889&amp;")")&amp;IF(D1889="",""," - "&amp;D1889))</f>
        <v/>
      </c>
    </row>
    <row r="1890" customFormat="false" ht="15" hidden="false" customHeight="false" outlineLevel="0" collapsed="false">
      <c r="A1890" s="32"/>
      <c r="B1890" s="19"/>
      <c r="C1890" s="19"/>
      <c r="D1890" s="19"/>
      <c r="E1890" s="21"/>
      <c r="F1890" s="19"/>
      <c r="G1890" s="27" t="str">
        <f aca="false">IF(B1890="","",IFERROR(INDEX(Jeux!$C$2:$C$3001,MATCH(B1890,Jeux!$A$2:$A$3001,0))&amp;"","⚠ jeu inconnu"))</f>
        <v/>
      </c>
      <c r="H1890" s="27" t="str">
        <f aca="false">IF(B1890="","",IFERROR(INDEX(Jeux!$D$2:$D$3001,MATCH(B1890,Jeux!$A$2:$A$3001,0))&amp;"",""))</f>
        <v/>
      </c>
      <c r="I1890" s="26" t="str">
        <f aca="false">IF(A1890="","",COUNTIF(Apparitions!$G$2:$G$5001,A1890))</f>
        <v/>
      </c>
      <c r="J1890" s="26" t="str">
        <f aca="false">IF(A1890="","",COUNTIFS(Apparitions!$G$2:$G$5001,A1890,Apparitions!$E$2:$E$5001,"○"))</f>
        <v/>
      </c>
      <c r="K1890" s="29" t="str">
        <f aca="false">IF(A1890="","",IFERROR(1/(1/_xlfn.MINIFS(Apparitions!$L$2:$L$5001,Apparitions!$G$2:$G$5001,A1890)),""))</f>
        <v/>
      </c>
      <c r="L1890" s="27" t="str">
        <f aca="false">IF(A1890="","",A1890&amp;" | "&amp;B1890&amp;IF(C1890="",""," ("&amp;C1890&amp;")")&amp;IF(D1890="",""," - "&amp;D1890))</f>
        <v/>
      </c>
    </row>
    <row r="1891" customFormat="false" ht="15" hidden="false" customHeight="false" outlineLevel="0" collapsed="false">
      <c r="A1891" s="32"/>
      <c r="B1891" s="19"/>
      <c r="C1891" s="19"/>
      <c r="D1891" s="19"/>
      <c r="E1891" s="21"/>
      <c r="F1891" s="19"/>
      <c r="G1891" s="27" t="str">
        <f aca="false">IF(B1891="","",IFERROR(INDEX(Jeux!$C$2:$C$3001,MATCH(B1891,Jeux!$A$2:$A$3001,0))&amp;"","⚠ jeu inconnu"))</f>
        <v/>
      </c>
      <c r="H1891" s="27" t="str">
        <f aca="false">IF(B1891="","",IFERROR(INDEX(Jeux!$D$2:$D$3001,MATCH(B1891,Jeux!$A$2:$A$3001,0))&amp;"",""))</f>
        <v/>
      </c>
      <c r="I1891" s="26" t="str">
        <f aca="false">IF(A1891="","",COUNTIF(Apparitions!$G$2:$G$5001,A1891))</f>
        <v/>
      </c>
      <c r="J1891" s="26" t="str">
        <f aca="false">IF(A1891="","",COUNTIFS(Apparitions!$G$2:$G$5001,A1891,Apparitions!$E$2:$E$5001,"○"))</f>
        <v/>
      </c>
      <c r="K1891" s="29" t="str">
        <f aca="false">IF(A1891="","",IFERROR(1/(1/_xlfn.MINIFS(Apparitions!$L$2:$L$5001,Apparitions!$G$2:$G$5001,A1891)),""))</f>
        <v/>
      </c>
      <c r="L1891" s="27" t="str">
        <f aca="false">IF(A1891="","",A1891&amp;" | "&amp;B1891&amp;IF(C1891="",""," ("&amp;C1891&amp;")")&amp;IF(D1891="",""," - "&amp;D1891))</f>
        <v/>
      </c>
    </row>
    <row r="1892" customFormat="false" ht="15" hidden="false" customHeight="false" outlineLevel="0" collapsed="false">
      <c r="A1892" s="32"/>
      <c r="B1892" s="19"/>
      <c r="C1892" s="19"/>
      <c r="D1892" s="19"/>
      <c r="E1892" s="21"/>
      <c r="F1892" s="19"/>
      <c r="G1892" s="27" t="str">
        <f aca="false">IF(B1892="","",IFERROR(INDEX(Jeux!$C$2:$C$3001,MATCH(B1892,Jeux!$A$2:$A$3001,0))&amp;"","⚠ jeu inconnu"))</f>
        <v/>
      </c>
      <c r="H1892" s="27" t="str">
        <f aca="false">IF(B1892="","",IFERROR(INDEX(Jeux!$D$2:$D$3001,MATCH(B1892,Jeux!$A$2:$A$3001,0))&amp;"",""))</f>
        <v/>
      </c>
      <c r="I1892" s="26" t="str">
        <f aca="false">IF(A1892="","",COUNTIF(Apparitions!$G$2:$G$5001,A1892))</f>
        <v/>
      </c>
      <c r="J1892" s="26" t="str">
        <f aca="false">IF(A1892="","",COUNTIFS(Apparitions!$G$2:$G$5001,A1892,Apparitions!$E$2:$E$5001,"○"))</f>
        <v/>
      </c>
      <c r="K1892" s="29" t="str">
        <f aca="false">IF(A1892="","",IFERROR(1/(1/_xlfn.MINIFS(Apparitions!$L$2:$L$5001,Apparitions!$G$2:$G$5001,A1892)),""))</f>
        <v/>
      </c>
      <c r="L1892" s="27" t="str">
        <f aca="false">IF(A1892="","",A1892&amp;" | "&amp;B1892&amp;IF(C1892="",""," ("&amp;C1892&amp;")")&amp;IF(D1892="",""," - "&amp;D1892))</f>
        <v/>
      </c>
    </row>
    <row r="1893" customFormat="false" ht="15" hidden="false" customHeight="false" outlineLevel="0" collapsed="false">
      <c r="A1893" s="32"/>
      <c r="B1893" s="19"/>
      <c r="C1893" s="19"/>
      <c r="D1893" s="19"/>
      <c r="E1893" s="21"/>
      <c r="F1893" s="19"/>
      <c r="G1893" s="27" t="str">
        <f aca="false">IF(B1893="","",IFERROR(INDEX(Jeux!$C$2:$C$3001,MATCH(B1893,Jeux!$A$2:$A$3001,0))&amp;"","⚠ jeu inconnu"))</f>
        <v/>
      </c>
      <c r="H1893" s="27" t="str">
        <f aca="false">IF(B1893="","",IFERROR(INDEX(Jeux!$D$2:$D$3001,MATCH(B1893,Jeux!$A$2:$A$3001,0))&amp;"",""))</f>
        <v/>
      </c>
      <c r="I1893" s="26" t="str">
        <f aca="false">IF(A1893="","",COUNTIF(Apparitions!$G$2:$G$5001,A1893))</f>
        <v/>
      </c>
      <c r="J1893" s="26" t="str">
        <f aca="false">IF(A1893="","",COUNTIFS(Apparitions!$G$2:$G$5001,A1893,Apparitions!$E$2:$E$5001,"○"))</f>
        <v/>
      </c>
      <c r="K1893" s="29" t="str">
        <f aca="false">IF(A1893="","",IFERROR(1/(1/_xlfn.MINIFS(Apparitions!$L$2:$L$5001,Apparitions!$G$2:$G$5001,A1893)),""))</f>
        <v/>
      </c>
      <c r="L1893" s="27" t="str">
        <f aca="false">IF(A1893="","",A1893&amp;" | "&amp;B1893&amp;IF(C1893="",""," ("&amp;C1893&amp;")")&amp;IF(D1893="",""," - "&amp;D1893))</f>
        <v/>
      </c>
    </row>
    <row r="1894" customFormat="false" ht="15" hidden="false" customHeight="false" outlineLevel="0" collapsed="false">
      <c r="A1894" s="32"/>
      <c r="B1894" s="19"/>
      <c r="C1894" s="19"/>
      <c r="D1894" s="19"/>
      <c r="E1894" s="21"/>
      <c r="F1894" s="19"/>
      <c r="G1894" s="27" t="str">
        <f aca="false">IF(B1894="","",IFERROR(INDEX(Jeux!$C$2:$C$3001,MATCH(B1894,Jeux!$A$2:$A$3001,0))&amp;"","⚠ jeu inconnu"))</f>
        <v/>
      </c>
      <c r="H1894" s="27" t="str">
        <f aca="false">IF(B1894="","",IFERROR(INDEX(Jeux!$D$2:$D$3001,MATCH(B1894,Jeux!$A$2:$A$3001,0))&amp;"",""))</f>
        <v/>
      </c>
      <c r="I1894" s="26" t="str">
        <f aca="false">IF(A1894="","",COUNTIF(Apparitions!$G$2:$G$5001,A1894))</f>
        <v/>
      </c>
      <c r="J1894" s="26" t="str">
        <f aca="false">IF(A1894="","",COUNTIFS(Apparitions!$G$2:$G$5001,A1894,Apparitions!$E$2:$E$5001,"○"))</f>
        <v/>
      </c>
      <c r="K1894" s="29" t="str">
        <f aca="false">IF(A1894="","",IFERROR(1/(1/_xlfn.MINIFS(Apparitions!$L$2:$L$5001,Apparitions!$G$2:$G$5001,A1894)),""))</f>
        <v/>
      </c>
      <c r="L1894" s="27" t="str">
        <f aca="false">IF(A1894="","",A1894&amp;" | "&amp;B1894&amp;IF(C1894="",""," ("&amp;C1894&amp;")")&amp;IF(D1894="",""," - "&amp;D1894))</f>
        <v/>
      </c>
    </row>
    <row r="1895" customFormat="false" ht="15" hidden="false" customHeight="false" outlineLevel="0" collapsed="false">
      <c r="A1895" s="32"/>
      <c r="B1895" s="19"/>
      <c r="C1895" s="19"/>
      <c r="D1895" s="19"/>
      <c r="E1895" s="21"/>
      <c r="F1895" s="19"/>
      <c r="G1895" s="27" t="str">
        <f aca="false">IF(B1895="","",IFERROR(INDEX(Jeux!$C$2:$C$3001,MATCH(B1895,Jeux!$A$2:$A$3001,0))&amp;"","⚠ jeu inconnu"))</f>
        <v/>
      </c>
      <c r="H1895" s="27" t="str">
        <f aca="false">IF(B1895="","",IFERROR(INDEX(Jeux!$D$2:$D$3001,MATCH(B1895,Jeux!$A$2:$A$3001,0))&amp;"",""))</f>
        <v/>
      </c>
      <c r="I1895" s="26" t="str">
        <f aca="false">IF(A1895="","",COUNTIF(Apparitions!$G$2:$G$5001,A1895))</f>
        <v/>
      </c>
      <c r="J1895" s="26" t="str">
        <f aca="false">IF(A1895="","",COUNTIFS(Apparitions!$G$2:$G$5001,A1895,Apparitions!$E$2:$E$5001,"○"))</f>
        <v/>
      </c>
      <c r="K1895" s="29" t="str">
        <f aca="false">IF(A1895="","",IFERROR(1/(1/_xlfn.MINIFS(Apparitions!$L$2:$L$5001,Apparitions!$G$2:$G$5001,A1895)),""))</f>
        <v/>
      </c>
      <c r="L1895" s="27" t="str">
        <f aca="false">IF(A1895="","",A1895&amp;" | "&amp;B1895&amp;IF(C1895="",""," ("&amp;C1895&amp;")")&amp;IF(D1895="",""," - "&amp;D1895))</f>
        <v/>
      </c>
    </row>
    <row r="1896" customFormat="false" ht="15" hidden="false" customHeight="false" outlineLevel="0" collapsed="false">
      <c r="A1896" s="32"/>
      <c r="B1896" s="19"/>
      <c r="C1896" s="19"/>
      <c r="D1896" s="19"/>
      <c r="E1896" s="21"/>
      <c r="F1896" s="19"/>
      <c r="G1896" s="27" t="str">
        <f aca="false">IF(B1896="","",IFERROR(INDEX(Jeux!$C$2:$C$3001,MATCH(B1896,Jeux!$A$2:$A$3001,0))&amp;"","⚠ jeu inconnu"))</f>
        <v/>
      </c>
      <c r="H1896" s="27" t="str">
        <f aca="false">IF(B1896="","",IFERROR(INDEX(Jeux!$D$2:$D$3001,MATCH(B1896,Jeux!$A$2:$A$3001,0))&amp;"",""))</f>
        <v/>
      </c>
      <c r="I1896" s="26" t="str">
        <f aca="false">IF(A1896="","",COUNTIF(Apparitions!$G$2:$G$5001,A1896))</f>
        <v/>
      </c>
      <c r="J1896" s="26" t="str">
        <f aca="false">IF(A1896="","",COUNTIFS(Apparitions!$G$2:$G$5001,A1896,Apparitions!$E$2:$E$5001,"○"))</f>
        <v/>
      </c>
      <c r="K1896" s="29" t="str">
        <f aca="false">IF(A1896="","",IFERROR(1/(1/_xlfn.MINIFS(Apparitions!$L$2:$L$5001,Apparitions!$G$2:$G$5001,A1896)),""))</f>
        <v/>
      </c>
      <c r="L1896" s="27" t="str">
        <f aca="false">IF(A1896="","",A1896&amp;" | "&amp;B1896&amp;IF(C1896="",""," ("&amp;C1896&amp;")")&amp;IF(D1896="",""," - "&amp;D1896))</f>
        <v/>
      </c>
    </row>
    <row r="1897" customFormat="false" ht="15" hidden="false" customHeight="false" outlineLevel="0" collapsed="false">
      <c r="A1897" s="32"/>
      <c r="B1897" s="19"/>
      <c r="C1897" s="19"/>
      <c r="D1897" s="19"/>
      <c r="E1897" s="21"/>
      <c r="F1897" s="19"/>
      <c r="G1897" s="27" t="str">
        <f aca="false">IF(B1897="","",IFERROR(INDEX(Jeux!$C$2:$C$3001,MATCH(B1897,Jeux!$A$2:$A$3001,0))&amp;"","⚠ jeu inconnu"))</f>
        <v/>
      </c>
      <c r="H1897" s="27" t="str">
        <f aca="false">IF(B1897="","",IFERROR(INDEX(Jeux!$D$2:$D$3001,MATCH(B1897,Jeux!$A$2:$A$3001,0))&amp;"",""))</f>
        <v/>
      </c>
      <c r="I1897" s="26" t="str">
        <f aca="false">IF(A1897="","",COUNTIF(Apparitions!$G$2:$G$5001,A1897))</f>
        <v/>
      </c>
      <c r="J1897" s="26" t="str">
        <f aca="false">IF(A1897="","",COUNTIFS(Apparitions!$G$2:$G$5001,A1897,Apparitions!$E$2:$E$5001,"○"))</f>
        <v/>
      </c>
      <c r="K1897" s="29" t="str">
        <f aca="false">IF(A1897="","",IFERROR(1/(1/_xlfn.MINIFS(Apparitions!$L$2:$L$5001,Apparitions!$G$2:$G$5001,A1897)),""))</f>
        <v/>
      </c>
      <c r="L1897" s="27" t="str">
        <f aca="false">IF(A1897="","",A1897&amp;" | "&amp;B1897&amp;IF(C1897="",""," ("&amp;C1897&amp;")")&amp;IF(D1897="",""," - "&amp;D1897))</f>
        <v/>
      </c>
    </row>
    <row r="1898" customFormat="false" ht="15" hidden="false" customHeight="false" outlineLevel="0" collapsed="false">
      <c r="A1898" s="32"/>
      <c r="B1898" s="19"/>
      <c r="C1898" s="19"/>
      <c r="D1898" s="19"/>
      <c r="E1898" s="21"/>
      <c r="F1898" s="19"/>
      <c r="G1898" s="27" t="str">
        <f aca="false">IF(B1898="","",IFERROR(INDEX(Jeux!$C$2:$C$3001,MATCH(B1898,Jeux!$A$2:$A$3001,0))&amp;"","⚠ jeu inconnu"))</f>
        <v/>
      </c>
      <c r="H1898" s="27" t="str">
        <f aca="false">IF(B1898="","",IFERROR(INDEX(Jeux!$D$2:$D$3001,MATCH(B1898,Jeux!$A$2:$A$3001,0))&amp;"",""))</f>
        <v/>
      </c>
      <c r="I1898" s="26" t="str">
        <f aca="false">IF(A1898="","",COUNTIF(Apparitions!$G$2:$G$5001,A1898))</f>
        <v/>
      </c>
      <c r="J1898" s="26" t="str">
        <f aca="false">IF(A1898="","",COUNTIFS(Apparitions!$G$2:$G$5001,A1898,Apparitions!$E$2:$E$5001,"○"))</f>
        <v/>
      </c>
      <c r="K1898" s="29" t="str">
        <f aca="false">IF(A1898="","",IFERROR(1/(1/_xlfn.MINIFS(Apparitions!$L$2:$L$5001,Apparitions!$G$2:$G$5001,A1898)),""))</f>
        <v/>
      </c>
      <c r="L1898" s="27" t="str">
        <f aca="false">IF(A1898="","",A1898&amp;" | "&amp;B1898&amp;IF(C1898="",""," ("&amp;C1898&amp;")")&amp;IF(D1898="",""," - "&amp;D1898))</f>
        <v/>
      </c>
    </row>
    <row r="1899" customFormat="false" ht="15" hidden="false" customHeight="false" outlineLevel="0" collapsed="false">
      <c r="A1899" s="32"/>
      <c r="B1899" s="19"/>
      <c r="C1899" s="19"/>
      <c r="D1899" s="19"/>
      <c r="E1899" s="21"/>
      <c r="F1899" s="19"/>
      <c r="G1899" s="27" t="str">
        <f aca="false">IF(B1899="","",IFERROR(INDEX(Jeux!$C$2:$C$3001,MATCH(B1899,Jeux!$A$2:$A$3001,0))&amp;"","⚠ jeu inconnu"))</f>
        <v/>
      </c>
      <c r="H1899" s="27" t="str">
        <f aca="false">IF(B1899="","",IFERROR(INDEX(Jeux!$D$2:$D$3001,MATCH(B1899,Jeux!$A$2:$A$3001,0))&amp;"",""))</f>
        <v/>
      </c>
      <c r="I1899" s="26" t="str">
        <f aca="false">IF(A1899="","",COUNTIF(Apparitions!$G$2:$G$5001,A1899))</f>
        <v/>
      </c>
      <c r="J1899" s="26" t="str">
        <f aca="false">IF(A1899="","",COUNTIFS(Apparitions!$G$2:$G$5001,A1899,Apparitions!$E$2:$E$5001,"○"))</f>
        <v/>
      </c>
      <c r="K1899" s="29" t="str">
        <f aca="false">IF(A1899="","",IFERROR(1/(1/_xlfn.MINIFS(Apparitions!$L$2:$L$5001,Apparitions!$G$2:$G$5001,A1899)),""))</f>
        <v/>
      </c>
      <c r="L1899" s="27" t="str">
        <f aca="false">IF(A1899="","",A1899&amp;" | "&amp;B1899&amp;IF(C1899="",""," ("&amp;C1899&amp;")")&amp;IF(D1899="",""," - "&amp;D1899))</f>
        <v/>
      </c>
    </row>
    <row r="1900" customFormat="false" ht="15" hidden="false" customHeight="false" outlineLevel="0" collapsed="false">
      <c r="A1900" s="32"/>
      <c r="B1900" s="19"/>
      <c r="C1900" s="19"/>
      <c r="D1900" s="19"/>
      <c r="E1900" s="21"/>
      <c r="F1900" s="19"/>
      <c r="G1900" s="27" t="str">
        <f aca="false">IF(B1900="","",IFERROR(INDEX(Jeux!$C$2:$C$3001,MATCH(B1900,Jeux!$A$2:$A$3001,0))&amp;"","⚠ jeu inconnu"))</f>
        <v/>
      </c>
      <c r="H1900" s="27" t="str">
        <f aca="false">IF(B1900="","",IFERROR(INDEX(Jeux!$D$2:$D$3001,MATCH(B1900,Jeux!$A$2:$A$3001,0))&amp;"",""))</f>
        <v/>
      </c>
      <c r="I1900" s="26" t="str">
        <f aca="false">IF(A1900="","",COUNTIF(Apparitions!$G$2:$G$5001,A1900))</f>
        <v/>
      </c>
      <c r="J1900" s="26" t="str">
        <f aca="false">IF(A1900="","",COUNTIFS(Apparitions!$G$2:$G$5001,A1900,Apparitions!$E$2:$E$5001,"○"))</f>
        <v/>
      </c>
      <c r="K1900" s="29" t="str">
        <f aca="false">IF(A1900="","",IFERROR(1/(1/_xlfn.MINIFS(Apparitions!$L$2:$L$5001,Apparitions!$G$2:$G$5001,A1900)),""))</f>
        <v/>
      </c>
      <c r="L1900" s="27" t="str">
        <f aca="false">IF(A1900="","",A1900&amp;" | "&amp;B1900&amp;IF(C1900="",""," ("&amp;C1900&amp;")")&amp;IF(D1900="",""," - "&amp;D1900))</f>
        <v/>
      </c>
    </row>
    <row r="1901" customFormat="false" ht="15" hidden="false" customHeight="false" outlineLevel="0" collapsed="false">
      <c r="A1901" s="32"/>
      <c r="B1901" s="19"/>
      <c r="C1901" s="19"/>
      <c r="D1901" s="19"/>
      <c r="E1901" s="21"/>
      <c r="F1901" s="19"/>
      <c r="G1901" s="27" t="str">
        <f aca="false">IF(B1901="","",IFERROR(INDEX(Jeux!$C$2:$C$3001,MATCH(B1901,Jeux!$A$2:$A$3001,0))&amp;"","⚠ jeu inconnu"))</f>
        <v/>
      </c>
      <c r="H1901" s="27" t="str">
        <f aca="false">IF(B1901="","",IFERROR(INDEX(Jeux!$D$2:$D$3001,MATCH(B1901,Jeux!$A$2:$A$3001,0))&amp;"",""))</f>
        <v/>
      </c>
      <c r="I1901" s="26" t="str">
        <f aca="false">IF(A1901="","",COUNTIF(Apparitions!$G$2:$G$5001,A1901))</f>
        <v/>
      </c>
      <c r="J1901" s="26" t="str">
        <f aca="false">IF(A1901="","",COUNTIFS(Apparitions!$G$2:$G$5001,A1901,Apparitions!$E$2:$E$5001,"○"))</f>
        <v/>
      </c>
      <c r="K1901" s="29" t="str">
        <f aca="false">IF(A1901="","",IFERROR(1/(1/_xlfn.MINIFS(Apparitions!$L$2:$L$5001,Apparitions!$G$2:$G$5001,A1901)),""))</f>
        <v/>
      </c>
      <c r="L1901" s="27" t="str">
        <f aca="false">IF(A1901="","",A1901&amp;" | "&amp;B1901&amp;IF(C1901="",""," ("&amp;C1901&amp;")")&amp;IF(D1901="",""," - "&amp;D1901))</f>
        <v/>
      </c>
    </row>
    <row r="1902" customFormat="false" ht="15" hidden="false" customHeight="false" outlineLevel="0" collapsed="false">
      <c r="A1902" s="32"/>
      <c r="B1902" s="19"/>
      <c r="C1902" s="19"/>
      <c r="D1902" s="19"/>
      <c r="E1902" s="21"/>
      <c r="F1902" s="19"/>
      <c r="G1902" s="27" t="str">
        <f aca="false">IF(B1902="","",IFERROR(INDEX(Jeux!$C$2:$C$3001,MATCH(B1902,Jeux!$A$2:$A$3001,0))&amp;"","⚠ jeu inconnu"))</f>
        <v/>
      </c>
      <c r="H1902" s="27" t="str">
        <f aca="false">IF(B1902="","",IFERROR(INDEX(Jeux!$D$2:$D$3001,MATCH(B1902,Jeux!$A$2:$A$3001,0))&amp;"",""))</f>
        <v/>
      </c>
      <c r="I1902" s="26" t="str">
        <f aca="false">IF(A1902="","",COUNTIF(Apparitions!$G$2:$G$5001,A1902))</f>
        <v/>
      </c>
      <c r="J1902" s="26" t="str">
        <f aca="false">IF(A1902="","",COUNTIFS(Apparitions!$G$2:$G$5001,A1902,Apparitions!$E$2:$E$5001,"○"))</f>
        <v/>
      </c>
      <c r="K1902" s="29" t="str">
        <f aca="false">IF(A1902="","",IFERROR(1/(1/_xlfn.MINIFS(Apparitions!$L$2:$L$5001,Apparitions!$G$2:$G$5001,A1902)),""))</f>
        <v/>
      </c>
      <c r="L1902" s="27" t="str">
        <f aca="false">IF(A1902="","",A1902&amp;" | "&amp;B1902&amp;IF(C1902="",""," ("&amp;C1902&amp;")")&amp;IF(D1902="",""," - "&amp;D1902))</f>
        <v/>
      </c>
    </row>
    <row r="1903" customFormat="false" ht="15" hidden="false" customHeight="false" outlineLevel="0" collapsed="false">
      <c r="A1903" s="32"/>
      <c r="B1903" s="19"/>
      <c r="C1903" s="19"/>
      <c r="D1903" s="19"/>
      <c r="E1903" s="21"/>
      <c r="F1903" s="19"/>
      <c r="G1903" s="27" t="str">
        <f aca="false">IF(B1903="","",IFERROR(INDEX(Jeux!$C$2:$C$3001,MATCH(B1903,Jeux!$A$2:$A$3001,0))&amp;"","⚠ jeu inconnu"))</f>
        <v/>
      </c>
      <c r="H1903" s="27" t="str">
        <f aca="false">IF(B1903="","",IFERROR(INDEX(Jeux!$D$2:$D$3001,MATCH(B1903,Jeux!$A$2:$A$3001,0))&amp;"",""))</f>
        <v/>
      </c>
      <c r="I1903" s="26" t="str">
        <f aca="false">IF(A1903="","",COUNTIF(Apparitions!$G$2:$G$5001,A1903))</f>
        <v/>
      </c>
      <c r="J1903" s="26" t="str">
        <f aca="false">IF(A1903="","",COUNTIFS(Apparitions!$G$2:$G$5001,A1903,Apparitions!$E$2:$E$5001,"○"))</f>
        <v/>
      </c>
      <c r="K1903" s="29" t="str">
        <f aca="false">IF(A1903="","",IFERROR(1/(1/_xlfn.MINIFS(Apparitions!$L$2:$L$5001,Apparitions!$G$2:$G$5001,A1903)),""))</f>
        <v/>
      </c>
      <c r="L1903" s="27" t="str">
        <f aca="false">IF(A1903="","",A1903&amp;" | "&amp;B1903&amp;IF(C1903="",""," ("&amp;C1903&amp;")")&amp;IF(D1903="",""," - "&amp;D1903))</f>
        <v/>
      </c>
    </row>
    <row r="1904" customFormat="false" ht="15" hidden="false" customHeight="false" outlineLevel="0" collapsed="false">
      <c r="A1904" s="32"/>
      <c r="B1904" s="19"/>
      <c r="C1904" s="19"/>
      <c r="D1904" s="19"/>
      <c r="E1904" s="21"/>
      <c r="F1904" s="19"/>
      <c r="G1904" s="27" t="str">
        <f aca="false">IF(B1904="","",IFERROR(INDEX(Jeux!$C$2:$C$3001,MATCH(B1904,Jeux!$A$2:$A$3001,0))&amp;"","⚠ jeu inconnu"))</f>
        <v/>
      </c>
      <c r="H1904" s="27" t="str">
        <f aca="false">IF(B1904="","",IFERROR(INDEX(Jeux!$D$2:$D$3001,MATCH(B1904,Jeux!$A$2:$A$3001,0))&amp;"",""))</f>
        <v/>
      </c>
      <c r="I1904" s="26" t="str">
        <f aca="false">IF(A1904="","",COUNTIF(Apparitions!$G$2:$G$5001,A1904))</f>
        <v/>
      </c>
      <c r="J1904" s="26" t="str">
        <f aca="false">IF(A1904="","",COUNTIFS(Apparitions!$G$2:$G$5001,A1904,Apparitions!$E$2:$E$5001,"○"))</f>
        <v/>
      </c>
      <c r="K1904" s="29" t="str">
        <f aca="false">IF(A1904="","",IFERROR(1/(1/_xlfn.MINIFS(Apparitions!$L$2:$L$5001,Apparitions!$G$2:$G$5001,A1904)),""))</f>
        <v/>
      </c>
      <c r="L1904" s="27" t="str">
        <f aca="false">IF(A1904="","",A1904&amp;" | "&amp;B1904&amp;IF(C1904="",""," ("&amp;C1904&amp;")")&amp;IF(D1904="",""," - "&amp;D1904))</f>
        <v/>
      </c>
    </row>
    <row r="1905" customFormat="false" ht="15" hidden="false" customHeight="false" outlineLevel="0" collapsed="false">
      <c r="A1905" s="32"/>
      <c r="B1905" s="19"/>
      <c r="C1905" s="19"/>
      <c r="D1905" s="19"/>
      <c r="E1905" s="21"/>
      <c r="F1905" s="19"/>
      <c r="G1905" s="27" t="str">
        <f aca="false">IF(B1905="","",IFERROR(INDEX(Jeux!$C$2:$C$3001,MATCH(B1905,Jeux!$A$2:$A$3001,0))&amp;"","⚠ jeu inconnu"))</f>
        <v/>
      </c>
      <c r="H1905" s="27" t="str">
        <f aca="false">IF(B1905="","",IFERROR(INDEX(Jeux!$D$2:$D$3001,MATCH(B1905,Jeux!$A$2:$A$3001,0))&amp;"",""))</f>
        <v/>
      </c>
      <c r="I1905" s="26" t="str">
        <f aca="false">IF(A1905="","",COUNTIF(Apparitions!$G$2:$G$5001,A1905))</f>
        <v/>
      </c>
      <c r="J1905" s="26" t="str">
        <f aca="false">IF(A1905="","",COUNTIFS(Apparitions!$G$2:$G$5001,A1905,Apparitions!$E$2:$E$5001,"○"))</f>
        <v/>
      </c>
      <c r="K1905" s="29" t="str">
        <f aca="false">IF(A1905="","",IFERROR(1/(1/_xlfn.MINIFS(Apparitions!$L$2:$L$5001,Apparitions!$G$2:$G$5001,A1905)),""))</f>
        <v/>
      </c>
      <c r="L1905" s="27" t="str">
        <f aca="false">IF(A1905="","",A1905&amp;" | "&amp;B1905&amp;IF(C1905="",""," ("&amp;C1905&amp;")")&amp;IF(D1905="",""," - "&amp;D1905))</f>
        <v/>
      </c>
    </row>
    <row r="1906" customFormat="false" ht="15" hidden="false" customHeight="false" outlineLevel="0" collapsed="false">
      <c r="A1906" s="32"/>
      <c r="B1906" s="19"/>
      <c r="C1906" s="19"/>
      <c r="D1906" s="19"/>
      <c r="E1906" s="21"/>
      <c r="F1906" s="19"/>
      <c r="G1906" s="27" t="str">
        <f aca="false">IF(B1906="","",IFERROR(INDEX(Jeux!$C$2:$C$3001,MATCH(B1906,Jeux!$A$2:$A$3001,0))&amp;"","⚠ jeu inconnu"))</f>
        <v/>
      </c>
      <c r="H1906" s="27" t="str">
        <f aca="false">IF(B1906="","",IFERROR(INDEX(Jeux!$D$2:$D$3001,MATCH(B1906,Jeux!$A$2:$A$3001,0))&amp;"",""))</f>
        <v/>
      </c>
      <c r="I1906" s="26" t="str">
        <f aca="false">IF(A1906="","",COUNTIF(Apparitions!$G$2:$G$5001,A1906))</f>
        <v/>
      </c>
      <c r="J1906" s="26" t="str">
        <f aca="false">IF(A1906="","",COUNTIFS(Apparitions!$G$2:$G$5001,A1906,Apparitions!$E$2:$E$5001,"○"))</f>
        <v/>
      </c>
      <c r="K1906" s="29" t="str">
        <f aca="false">IF(A1906="","",IFERROR(1/(1/_xlfn.MINIFS(Apparitions!$L$2:$L$5001,Apparitions!$G$2:$G$5001,A1906)),""))</f>
        <v/>
      </c>
      <c r="L1906" s="27" t="str">
        <f aca="false">IF(A1906="","",A1906&amp;" | "&amp;B1906&amp;IF(C1906="",""," ("&amp;C1906&amp;")")&amp;IF(D1906="",""," - "&amp;D1906))</f>
        <v/>
      </c>
    </row>
    <row r="1907" customFormat="false" ht="15" hidden="false" customHeight="false" outlineLevel="0" collapsed="false">
      <c r="A1907" s="32"/>
      <c r="B1907" s="19"/>
      <c r="C1907" s="19"/>
      <c r="D1907" s="19"/>
      <c r="E1907" s="21"/>
      <c r="F1907" s="19"/>
      <c r="G1907" s="27" t="str">
        <f aca="false">IF(B1907="","",IFERROR(INDEX(Jeux!$C$2:$C$3001,MATCH(B1907,Jeux!$A$2:$A$3001,0))&amp;"","⚠ jeu inconnu"))</f>
        <v/>
      </c>
      <c r="H1907" s="27" t="str">
        <f aca="false">IF(B1907="","",IFERROR(INDEX(Jeux!$D$2:$D$3001,MATCH(B1907,Jeux!$A$2:$A$3001,0))&amp;"",""))</f>
        <v/>
      </c>
      <c r="I1907" s="26" t="str">
        <f aca="false">IF(A1907="","",COUNTIF(Apparitions!$G$2:$G$5001,A1907))</f>
        <v/>
      </c>
      <c r="J1907" s="26" t="str">
        <f aca="false">IF(A1907="","",COUNTIFS(Apparitions!$G$2:$G$5001,A1907,Apparitions!$E$2:$E$5001,"○"))</f>
        <v/>
      </c>
      <c r="K1907" s="29" t="str">
        <f aca="false">IF(A1907="","",IFERROR(1/(1/_xlfn.MINIFS(Apparitions!$L$2:$L$5001,Apparitions!$G$2:$G$5001,A1907)),""))</f>
        <v/>
      </c>
      <c r="L1907" s="27" t="str">
        <f aca="false">IF(A1907="","",A1907&amp;" | "&amp;B1907&amp;IF(C1907="",""," ("&amp;C1907&amp;")")&amp;IF(D1907="",""," - "&amp;D1907))</f>
        <v/>
      </c>
    </row>
    <row r="1908" customFormat="false" ht="15" hidden="false" customHeight="false" outlineLevel="0" collapsed="false">
      <c r="A1908" s="32"/>
      <c r="B1908" s="19"/>
      <c r="C1908" s="19"/>
      <c r="D1908" s="19"/>
      <c r="E1908" s="21"/>
      <c r="F1908" s="19"/>
      <c r="G1908" s="27" t="str">
        <f aca="false">IF(B1908="","",IFERROR(INDEX(Jeux!$C$2:$C$3001,MATCH(B1908,Jeux!$A$2:$A$3001,0))&amp;"","⚠ jeu inconnu"))</f>
        <v/>
      </c>
      <c r="H1908" s="27" t="str">
        <f aca="false">IF(B1908="","",IFERROR(INDEX(Jeux!$D$2:$D$3001,MATCH(B1908,Jeux!$A$2:$A$3001,0))&amp;"",""))</f>
        <v/>
      </c>
      <c r="I1908" s="26" t="str">
        <f aca="false">IF(A1908="","",COUNTIF(Apparitions!$G$2:$G$5001,A1908))</f>
        <v/>
      </c>
      <c r="J1908" s="26" t="str">
        <f aca="false">IF(A1908="","",COUNTIFS(Apparitions!$G$2:$G$5001,A1908,Apparitions!$E$2:$E$5001,"○"))</f>
        <v/>
      </c>
      <c r="K1908" s="29" t="str">
        <f aca="false">IF(A1908="","",IFERROR(1/(1/_xlfn.MINIFS(Apparitions!$L$2:$L$5001,Apparitions!$G$2:$G$5001,A1908)),""))</f>
        <v/>
      </c>
      <c r="L1908" s="27" t="str">
        <f aca="false">IF(A1908="","",A1908&amp;" | "&amp;B1908&amp;IF(C1908="",""," ("&amp;C1908&amp;")")&amp;IF(D1908="",""," - "&amp;D1908))</f>
        <v/>
      </c>
    </row>
    <row r="1909" customFormat="false" ht="15" hidden="false" customHeight="false" outlineLevel="0" collapsed="false">
      <c r="A1909" s="32"/>
      <c r="B1909" s="19"/>
      <c r="C1909" s="19"/>
      <c r="D1909" s="19"/>
      <c r="E1909" s="21"/>
      <c r="F1909" s="19"/>
      <c r="G1909" s="27" t="str">
        <f aca="false">IF(B1909="","",IFERROR(INDEX(Jeux!$C$2:$C$3001,MATCH(B1909,Jeux!$A$2:$A$3001,0))&amp;"","⚠ jeu inconnu"))</f>
        <v/>
      </c>
      <c r="H1909" s="27" t="str">
        <f aca="false">IF(B1909="","",IFERROR(INDEX(Jeux!$D$2:$D$3001,MATCH(B1909,Jeux!$A$2:$A$3001,0))&amp;"",""))</f>
        <v/>
      </c>
      <c r="I1909" s="26" t="str">
        <f aca="false">IF(A1909="","",COUNTIF(Apparitions!$G$2:$G$5001,A1909))</f>
        <v/>
      </c>
      <c r="J1909" s="26" t="str">
        <f aca="false">IF(A1909="","",COUNTIFS(Apparitions!$G$2:$G$5001,A1909,Apparitions!$E$2:$E$5001,"○"))</f>
        <v/>
      </c>
      <c r="K1909" s="29" t="str">
        <f aca="false">IF(A1909="","",IFERROR(1/(1/_xlfn.MINIFS(Apparitions!$L$2:$L$5001,Apparitions!$G$2:$G$5001,A1909)),""))</f>
        <v/>
      </c>
      <c r="L1909" s="27" t="str">
        <f aca="false">IF(A1909="","",A1909&amp;" | "&amp;B1909&amp;IF(C1909="",""," ("&amp;C1909&amp;")")&amp;IF(D1909="",""," - "&amp;D1909))</f>
        <v/>
      </c>
    </row>
    <row r="1910" customFormat="false" ht="15" hidden="false" customHeight="false" outlineLevel="0" collapsed="false">
      <c r="A1910" s="32"/>
      <c r="B1910" s="19"/>
      <c r="C1910" s="19"/>
      <c r="D1910" s="19"/>
      <c r="E1910" s="21"/>
      <c r="F1910" s="19"/>
      <c r="G1910" s="27" t="str">
        <f aca="false">IF(B1910="","",IFERROR(INDEX(Jeux!$C$2:$C$3001,MATCH(B1910,Jeux!$A$2:$A$3001,0))&amp;"","⚠ jeu inconnu"))</f>
        <v/>
      </c>
      <c r="H1910" s="27" t="str">
        <f aca="false">IF(B1910="","",IFERROR(INDEX(Jeux!$D$2:$D$3001,MATCH(B1910,Jeux!$A$2:$A$3001,0))&amp;"",""))</f>
        <v/>
      </c>
      <c r="I1910" s="26" t="str">
        <f aca="false">IF(A1910="","",COUNTIF(Apparitions!$G$2:$G$5001,A1910))</f>
        <v/>
      </c>
      <c r="J1910" s="26" t="str">
        <f aca="false">IF(A1910="","",COUNTIFS(Apparitions!$G$2:$G$5001,A1910,Apparitions!$E$2:$E$5001,"○"))</f>
        <v/>
      </c>
      <c r="K1910" s="29" t="str">
        <f aca="false">IF(A1910="","",IFERROR(1/(1/_xlfn.MINIFS(Apparitions!$L$2:$L$5001,Apparitions!$G$2:$G$5001,A1910)),""))</f>
        <v/>
      </c>
      <c r="L1910" s="27" t="str">
        <f aca="false">IF(A1910="","",A1910&amp;" | "&amp;B1910&amp;IF(C1910="",""," ("&amp;C1910&amp;")")&amp;IF(D1910="",""," - "&amp;D1910))</f>
        <v/>
      </c>
    </row>
    <row r="1911" customFormat="false" ht="15" hidden="false" customHeight="false" outlineLevel="0" collapsed="false">
      <c r="A1911" s="32"/>
      <c r="B1911" s="19"/>
      <c r="C1911" s="19"/>
      <c r="D1911" s="19"/>
      <c r="E1911" s="21"/>
      <c r="F1911" s="19"/>
      <c r="G1911" s="27" t="str">
        <f aca="false">IF(B1911="","",IFERROR(INDEX(Jeux!$C$2:$C$3001,MATCH(B1911,Jeux!$A$2:$A$3001,0))&amp;"","⚠ jeu inconnu"))</f>
        <v/>
      </c>
      <c r="H1911" s="27" t="str">
        <f aca="false">IF(B1911="","",IFERROR(INDEX(Jeux!$D$2:$D$3001,MATCH(B1911,Jeux!$A$2:$A$3001,0))&amp;"",""))</f>
        <v/>
      </c>
      <c r="I1911" s="26" t="str">
        <f aca="false">IF(A1911="","",COUNTIF(Apparitions!$G$2:$G$5001,A1911))</f>
        <v/>
      </c>
      <c r="J1911" s="26" t="str">
        <f aca="false">IF(A1911="","",COUNTIFS(Apparitions!$G$2:$G$5001,A1911,Apparitions!$E$2:$E$5001,"○"))</f>
        <v/>
      </c>
      <c r="K1911" s="29" t="str">
        <f aca="false">IF(A1911="","",IFERROR(1/(1/_xlfn.MINIFS(Apparitions!$L$2:$L$5001,Apparitions!$G$2:$G$5001,A1911)),""))</f>
        <v/>
      </c>
      <c r="L1911" s="27" t="str">
        <f aca="false">IF(A1911="","",A1911&amp;" | "&amp;B1911&amp;IF(C1911="",""," ("&amp;C1911&amp;")")&amp;IF(D1911="",""," - "&amp;D1911))</f>
        <v/>
      </c>
    </row>
    <row r="1912" customFormat="false" ht="15" hidden="false" customHeight="false" outlineLevel="0" collapsed="false">
      <c r="A1912" s="32"/>
      <c r="B1912" s="19"/>
      <c r="C1912" s="19"/>
      <c r="D1912" s="19"/>
      <c r="E1912" s="21"/>
      <c r="F1912" s="19"/>
      <c r="G1912" s="27" t="str">
        <f aca="false">IF(B1912="","",IFERROR(INDEX(Jeux!$C$2:$C$3001,MATCH(B1912,Jeux!$A$2:$A$3001,0))&amp;"","⚠ jeu inconnu"))</f>
        <v/>
      </c>
      <c r="H1912" s="27" t="str">
        <f aca="false">IF(B1912="","",IFERROR(INDEX(Jeux!$D$2:$D$3001,MATCH(B1912,Jeux!$A$2:$A$3001,0))&amp;"",""))</f>
        <v/>
      </c>
      <c r="I1912" s="26" t="str">
        <f aca="false">IF(A1912="","",COUNTIF(Apparitions!$G$2:$G$5001,A1912))</f>
        <v/>
      </c>
      <c r="J1912" s="26" t="str">
        <f aca="false">IF(A1912="","",COUNTIFS(Apparitions!$G$2:$G$5001,A1912,Apparitions!$E$2:$E$5001,"○"))</f>
        <v/>
      </c>
      <c r="K1912" s="29" t="str">
        <f aca="false">IF(A1912="","",IFERROR(1/(1/_xlfn.MINIFS(Apparitions!$L$2:$L$5001,Apparitions!$G$2:$G$5001,A1912)),""))</f>
        <v/>
      </c>
      <c r="L1912" s="27" t="str">
        <f aca="false">IF(A1912="","",A1912&amp;" | "&amp;B1912&amp;IF(C1912="",""," ("&amp;C1912&amp;")")&amp;IF(D1912="",""," - "&amp;D1912))</f>
        <v/>
      </c>
    </row>
    <row r="1913" customFormat="false" ht="15" hidden="false" customHeight="false" outlineLevel="0" collapsed="false">
      <c r="A1913" s="32"/>
      <c r="B1913" s="19"/>
      <c r="C1913" s="19"/>
      <c r="D1913" s="19"/>
      <c r="E1913" s="21"/>
      <c r="F1913" s="19"/>
      <c r="G1913" s="27" t="str">
        <f aca="false">IF(B1913="","",IFERROR(INDEX(Jeux!$C$2:$C$3001,MATCH(B1913,Jeux!$A$2:$A$3001,0))&amp;"","⚠ jeu inconnu"))</f>
        <v/>
      </c>
      <c r="H1913" s="27" t="str">
        <f aca="false">IF(B1913="","",IFERROR(INDEX(Jeux!$D$2:$D$3001,MATCH(B1913,Jeux!$A$2:$A$3001,0))&amp;"",""))</f>
        <v/>
      </c>
      <c r="I1913" s="26" t="str">
        <f aca="false">IF(A1913="","",COUNTIF(Apparitions!$G$2:$G$5001,A1913))</f>
        <v/>
      </c>
      <c r="J1913" s="26" t="str">
        <f aca="false">IF(A1913="","",COUNTIFS(Apparitions!$G$2:$G$5001,A1913,Apparitions!$E$2:$E$5001,"○"))</f>
        <v/>
      </c>
      <c r="K1913" s="29" t="str">
        <f aca="false">IF(A1913="","",IFERROR(1/(1/_xlfn.MINIFS(Apparitions!$L$2:$L$5001,Apparitions!$G$2:$G$5001,A1913)),""))</f>
        <v/>
      </c>
      <c r="L1913" s="27" t="str">
        <f aca="false">IF(A1913="","",A1913&amp;" | "&amp;B1913&amp;IF(C1913="",""," ("&amp;C1913&amp;")")&amp;IF(D1913="",""," - "&amp;D1913))</f>
        <v/>
      </c>
    </row>
    <row r="1914" customFormat="false" ht="15" hidden="false" customHeight="false" outlineLevel="0" collapsed="false">
      <c r="A1914" s="32"/>
      <c r="B1914" s="19"/>
      <c r="C1914" s="19"/>
      <c r="D1914" s="19"/>
      <c r="E1914" s="21"/>
      <c r="F1914" s="19"/>
      <c r="G1914" s="27" t="str">
        <f aca="false">IF(B1914="","",IFERROR(INDEX(Jeux!$C$2:$C$3001,MATCH(B1914,Jeux!$A$2:$A$3001,0))&amp;"","⚠ jeu inconnu"))</f>
        <v/>
      </c>
      <c r="H1914" s="27" t="str">
        <f aca="false">IF(B1914="","",IFERROR(INDEX(Jeux!$D$2:$D$3001,MATCH(B1914,Jeux!$A$2:$A$3001,0))&amp;"",""))</f>
        <v/>
      </c>
      <c r="I1914" s="26" t="str">
        <f aca="false">IF(A1914="","",COUNTIF(Apparitions!$G$2:$G$5001,A1914))</f>
        <v/>
      </c>
      <c r="J1914" s="26" t="str">
        <f aca="false">IF(A1914="","",COUNTIFS(Apparitions!$G$2:$G$5001,A1914,Apparitions!$E$2:$E$5001,"○"))</f>
        <v/>
      </c>
      <c r="K1914" s="29" t="str">
        <f aca="false">IF(A1914="","",IFERROR(1/(1/_xlfn.MINIFS(Apparitions!$L$2:$L$5001,Apparitions!$G$2:$G$5001,A1914)),""))</f>
        <v/>
      </c>
      <c r="L1914" s="27" t="str">
        <f aca="false">IF(A1914="","",A1914&amp;" | "&amp;B1914&amp;IF(C1914="",""," ("&amp;C1914&amp;")")&amp;IF(D1914="",""," - "&amp;D1914))</f>
        <v/>
      </c>
    </row>
    <row r="1915" customFormat="false" ht="15" hidden="false" customHeight="false" outlineLevel="0" collapsed="false">
      <c r="A1915" s="32"/>
      <c r="B1915" s="19"/>
      <c r="C1915" s="19"/>
      <c r="D1915" s="19"/>
      <c r="E1915" s="21"/>
      <c r="F1915" s="19"/>
      <c r="G1915" s="27" t="str">
        <f aca="false">IF(B1915="","",IFERROR(INDEX(Jeux!$C$2:$C$3001,MATCH(B1915,Jeux!$A$2:$A$3001,0))&amp;"","⚠ jeu inconnu"))</f>
        <v/>
      </c>
      <c r="H1915" s="27" t="str">
        <f aca="false">IF(B1915="","",IFERROR(INDEX(Jeux!$D$2:$D$3001,MATCH(B1915,Jeux!$A$2:$A$3001,0))&amp;"",""))</f>
        <v/>
      </c>
      <c r="I1915" s="26" t="str">
        <f aca="false">IF(A1915="","",COUNTIF(Apparitions!$G$2:$G$5001,A1915))</f>
        <v/>
      </c>
      <c r="J1915" s="26" t="str">
        <f aca="false">IF(A1915="","",COUNTIFS(Apparitions!$G$2:$G$5001,A1915,Apparitions!$E$2:$E$5001,"○"))</f>
        <v/>
      </c>
      <c r="K1915" s="29" t="str">
        <f aca="false">IF(A1915="","",IFERROR(1/(1/_xlfn.MINIFS(Apparitions!$L$2:$L$5001,Apparitions!$G$2:$G$5001,A1915)),""))</f>
        <v/>
      </c>
      <c r="L1915" s="27" t="str">
        <f aca="false">IF(A1915="","",A1915&amp;" | "&amp;B1915&amp;IF(C1915="",""," ("&amp;C1915&amp;")")&amp;IF(D1915="",""," - "&amp;D1915))</f>
        <v/>
      </c>
    </row>
    <row r="1916" customFormat="false" ht="15" hidden="false" customHeight="false" outlineLevel="0" collapsed="false">
      <c r="A1916" s="32"/>
      <c r="B1916" s="19"/>
      <c r="C1916" s="19"/>
      <c r="D1916" s="19"/>
      <c r="E1916" s="21"/>
      <c r="F1916" s="19"/>
      <c r="G1916" s="27" t="str">
        <f aca="false">IF(B1916="","",IFERROR(INDEX(Jeux!$C$2:$C$3001,MATCH(B1916,Jeux!$A$2:$A$3001,0))&amp;"","⚠ jeu inconnu"))</f>
        <v/>
      </c>
      <c r="H1916" s="27" t="str">
        <f aca="false">IF(B1916="","",IFERROR(INDEX(Jeux!$D$2:$D$3001,MATCH(B1916,Jeux!$A$2:$A$3001,0))&amp;"",""))</f>
        <v/>
      </c>
      <c r="I1916" s="26" t="str">
        <f aca="false">IF(A1916="","",COUNTIF(Apparitions!$G$2:$G$5001,A1916))</f>
        <v/>
      </c>
      <c r="J1916" s="26" t="str">
        <f aca="false">IF(A1916="","",COUNTIFS(Apparitions!$G$2:$G$5001,A1916,Apparitions!$E$2:$E$5001,"○"))</f>
        <v/>
      </c>
      <c r="K1916" s="29" t="str">
        <f aca="false">IF(A1916="","",IFERROR(1/(1/_xlfn.MINIFS(Apparitions!$L$2:$L$5001,Apparitions!$G$2:$G$5001,A1916)),""))</f>
        <v/>
      </c>
      <c r="L1916" s="27" t="str">
        <f aca="false">IF(A1916="","",A1916&amp;" | "&amp;B1916&amp;IF(C1916="",""," ("&amp;C1916&amp;")")&amp;IF(D1916="",""," - "&amp;D1916))</f>
        <v/>
      </c>
    </row>
    <row r="1917" customFormat="false" ht="15" hidden="false" customHeight="false" outlineLevel="0" collapsed="false">
      <c r="A1917" s="32"/>
      <c r="B1917" s="19"/>
      <c r="C1917" s="19"/>
      <c r="D1917" s="19"/>
      <c r="E1917" s="21"/>
      <c r="F1917" s="19"/>
      <c r="G1917" s="27" t="str">
        <f aca="false">IF(B1917="","",IFERROR(INDEX(Jeux!$C$2:$C$3001,MATCH(B1917,Jeux!$A$2:$A$3001,0))&amp;"","⚠ jeu inconnu"))</f>
        <v/>
      </c>
      <c r="H1917" s="27" t="str">
        <f aca="false">IF(B1917="","",IFERROR(INDEX(Jeux!$D$2:$D$3001,MATCH(B1917,Jeux!$A$2:$A$3001,0))&amp;"",""))</f>
        <v/>
      </c>
      <c r="I1917" s="26" t="str">
        <f aca="false">IF(A1917="","",COUNTIF(Apparitions!$G$2:$G$5001,A1917))</f>
        <v/>
      </c>
      <c r="J1917" s="26" t="str">
        <f aca="false">IF(A1917="","",COUNTIFS(Apparitions!$G$2:$G$5001,A1917,Apparitions!$E$2:$E$5001,"○"))</f>
        <v/>
      </c>
      <c r="K1917" s="29" t="str">
        <f aca="false">IF(A1917="","",IFERROR(1/(1/_xlfn.MINIFS(Apparitions!$L$2:$L$5001,Apparitions!$G$2:$G$5001,A1917)),""))</f>
        <v/>
      </c>
      <c r="L1917" s="27" t="str">
        <f aca="false">IF(A1917="","",A1917&amp;" | "&amp;B1917&amp;IF(C1917="",""," ("&amp;C1917&amp;")")&amp;IF(D1917="",""," - "&amp;D1917))</f>
        <v/>
      </c>
    </row>
    <row r="1918" customFormat="false" ht="15" hidden="false" customHeight="false" outlineLevel="0" collapsed="false">
      <c r="A1918" s="32"/>
      <c r="B1918" s="19"/>
      <c r="C1918" s="19"/>
      <c r="D1918" s="19"/>
      <c r="E1918" s="21"/>
      <c r="F1918" s="19"/>
      <c r="G1918" s="27" t="str">
        <f aca="false">IF(B1918="","",IFERROR(INDEX(Jeux!$C$2:$C$3001,MATCH(B1918,Jeux!$A$2:$A$3001,0))&amp;"","⚠ jeu inconnu"))</f>
        <v/>
      </c>
      <c r="H1918" s="27" t="str">
        <f aca="false">IF(B1918="","",IFERROR(INDEX(Jeux!$D$2:$D$3001,MATCH(B1918,Jeux!$A$2:$A$3001,0))&amp;"",""))</f>
        <v/>
      </c>
      <c r="I1918" s="26" t="str">
        <f aca="false">IF(A1918="","",COUNTIF(Apparitions!$G$2:$G$5001,A1918))</f>
        <v/>
      </c>
      <c r="J1918" s="26" t="str">
        <f aca="false">IF(A1918="","",COUNTIFS(Apparitions!$G$2:$G$5001,A1918,Apparitions!$E$2:$E$5001,"○"))</f>
        <v/>
      </c>
      <c r="K1918" s="29" t="str">
        <f aca="false">IF(A1918="","",IFERROR(1/(1/_xlfn.MINIFS(Apparitions!$L$2:$L$5001,Apparitions!$G$2:$G$5001,A1918)),""))</f>
        <v/>
      </c>
      <c r="L1918" s="27" t="str">
        <f aca="false">IF(A1918="","",A1918&amp;" | "&amp;B1918&amp;IF(C1918="",""," ("&amp;C1918&amp;")")&amp;IF(D1918="",""," - "&amp;D1918))</f>
        <v/>
      </c>
    </row>
    <row r="1919" customFormat="false" ht="15" hidden="false" customHeight="false" outlineLevel="0" collapsed="false">
      <c r="A1919" s="32"/>
      <c r="B1919" s="19"/>
      <c r="C1919" s="19"/>
      <c r="D1919" s="19"/>
      <c r="E1919" s="21"/>
      <c r="F1919" s="19"/>
      <c r="G1919" s="27" t="str">
        <f aca="false">IF(B1919="","",IFERROR(INDEX(Jeux!$C$2:$C$3001,MATCH(B1919,Jeux!$A$2:$A$3001,0))&amp;"","⚠ jeu inconnu"))</f>
        <v/>
      </c>
      <c r="H1919" s="27" t="str">
        <f aca="false">IF(B1919="","",IFERROR(INDEX(Jeux!$D$2:$D$3001,MATCH(B1919,Jeux!$A$2:$A$3001,0))&amp;"",""))</f>
        <v/>
      </c>
      <c r="I1919" s="26" t="str">
        <f aca="false">IF(A1919="","",COUNTIF(Apparitions!$G$2:$G$5001,A1919))</f>
        <v/>
      </c>
      <c r="J1919" s="26" t="str">
        <f aca="false">IF(A1919="","",COUNTIFS(Apparitions!$G$2:$G$5001,A1919,Apparitions!$E$2:$E$5001,"○"))</f>
        <v/>
      </c>
      <c r="K1919" s="29" t="str">
        <f aca="false">IF(A1919="","",IFERROR(1/(1/_xlfn.MINIFS(Apparitions!$L$2:$L$5001,Apparitions!$G$2:$G$5001,A1919)),""))</f>
        <v/>
      </c>
      <c r="L1919" s="27" t="str">
        <f aca="false">IF(A1919="","",A1919&amp;" | "&amp;B1919&amp;IF(C1919="",""," ("&amp;C1919&amp;")")&amp;IF(D1919="",""," - "&amp;D1919))</f>
        <v/>
      </c>
    </row>
    <row r="1920" customFormat="false" ht="15" hidden="false" customHeight="false" outlineLevel="0" collapsed="false">
      <c r="A1920" s="32"/>
      <c r="B1920" s="19"/>
      <c r="C1920" s="19"/>
      <c r="D1920" s="19"/>
      <c r="E1920" s="21"/>
      <c r="F1920" s="19"/>
      <c r="G1920" s="27" t="str">
        <f aca="false">IF(B1920="","",IFERROR(INDEX(Jeux!$C$2:$C$3001,MATCH(B1920,Jeux!$A$2:$A$3001,0))&amp;"","⚠ jeu inconnu"))</f>
        <v/>
      </c>
      <c r="H1920" s="27" t="str">
        <f aca="false">IF(B1920="","",IFERROR(INDEX(Jeux!$D$2:$D$3001,MATCH(B1920,Jeux!$A$2:$A$3001,0))&amp;"",""))</f>
        <v/>
      </c>
      <c r="I1920" s="26" t="str">
        <f aca="false">IF(A1920="","",COUNTIF(Apparitions!$G$2:$G$5001,A1920))</f>
        <v/>
      </c>
      <c r="J1920" s="26" t="str">
        <f aca="false">IF(A1920="","",COUNTIFS(Apparitions!$G$2:$G$5001,A1920,Apparitions!$E$2:$E$5001,"○"))</f>
        <v/>
      </c>
      <c r="K1920" s="29" t="str">
        <f aca="false">IF(A1920="","",IFERROR(1/(1/_xlfn.MINIFS(Apparitions!$L$2:$L$5001,Apparitions!$G$2:$G$5001,A1920)),""))</f>
        <v/>
      </c>
      <c r="L1920" s="27" t="str">
        <f aca="false">IF(A1920="","",A1920&amp;" | "&amp;B1920&amp;IF(C1920="",""," ("&amp;C1920&amp;")")&amp;IF(D1920="",""," - "&amp;D1920))</f>
        <v/>
      </c>
    </row>
    <row r="1921" customFormat="false" ht="15" hidden="false" customHeight="false" outlineLevel="0" collapsed="false">
      <c r="A1921" s="32"/>
      <c r="B1921" s="19"/>
      <c r="C1921" s="19"/>
      <c r="D1921" s="19"/>
      <c r="E1921" s="21"/>
      <c r="F1921" s="19"/>
      <c r="G1921" s="27" t="str">
        <f aca="false">IF(B1921="","",IFERROR(INDEX(Jeux!$C$2:$C$3001,MATCH(B1921,Jeux!$A$2:$A$3001,0))&amp;"","⚠ jeu inconnu"))</f>
        <v/>
      </c>
      <c r="H1921" s="27" t="str">
        <f aca="false">IF(B1921="","",IFERROR(INDEX(Jeux!$D$2:$D$3001,MATCH(B1921,Jeux!$A$2:$A$3001,0))&amp;"",""))</f>
        <v/>
      </c>
      <c r="I1921" s="26" t="str">
        <f aca="false">IF(A1921="","",COUNTIF(Apparitions!$G$2:$G$5001,A1921))</f>
        <v/>
      </c>
      <c r="J1921" s="26" t="str">
        <f aca="false">IF(A1921="","",COUNTIFS(Apparitions!$G$2:$G$5001,A1921,Apparitions!$E$2:$E$5001,"○"))</f>
        <v/>
      </c>
      <c r="K1921" s="29" t="str">
        <f aca="false">IF(A1921="","",IFERROR(1/(1/_xlfn.MINIFS(Apparitions!$L$2:$L$5001,Apparitions!$G$2:$G$5001,A1921)),""))</f>
        <v/>
      </c>
      <c r="L1921" s="27" t="str">
        <f aca="false">IF(A1921="","",A1921&amp;" | "&amp;B1921&amp;IF(C1921="",""," ("&amp;C1921&amp;")")&amp;IF(D1921="",""," - "&amp;D1921))</f>
        <v/>
      </c>
    </row>
    <row r="1922" customFormat="false" ht="15" hidden="false" customHeight="false" outlineLevel="0" collapsed="false">
      <c r="A1922" s="32"/>
      <c r="B1922" s="19"/>
      <c r="C1922" s="19"/>
      <c r="D1922" s="19"/>
      <c r="E1922" s="21"/>
      <c r="F1922" s="19"/>
      <c r="G1922" s="27" t="str">
        <f aca="false">IF(B1922="","",IFERROR(INDEX(Jeux!$C$2:$C$3001,MATCH(B1922,Jeux!$A$2:$A$3001,0))&amp;"","⚠ jeu inconnu"))</f>
        <v/>
      </c>
      <c r="H1922" s="27" t="str">
        <f aca="false">IF(B1922="","",IFERROR(INDEX(Jeux!$D$2:$D$3001,MATCH(B1922,Jeux!$A$2:$A$3001,0))&amp;"",""))</f>
        <v/>
      </c>
      <c r="I1922" s="26" t="str">
        <f aca="false">IF(A1922="","",COUNTIF(Apparitions!$G$2:$G$5001,A1922))</f>
        <v/>
      </c>
      <c r="J1922" s="26" t="str">
        <f aca="false">IF(A1922="","",COUNTIFS(Apparitions!$G$2:$G$5001,A1922,Apparitions!$E$2:$E$5001,"○"))</f>
        <v/>
      </c>
      <c r="K1922" s="29" t="str">
        <f aca="false">IF(A1922="","",IFERROR(1/(1/_xlfn.MINIFS(Apparitions!$L$2:$L$5001,Apparitions!$G$2:$G$5001,A1922)),""))</f>
        <v/>
      </c>
      <c r="L1922" s="27" t="str">
        <f aca="false">IF(A1922="","",A1922&amp;" | "&amp;B1922&amp;IF(C1922="",""," ("&amp;C1922&amp;")")&amp;IF(D1922="",""," - "&amp;D1922))</f>
        <v/>
      </c>
    </row>
    <row r="1923" customFormat="false" ht="15" hidden="false" customHeight="false" outlineLevel="0" collapsed="false">
      <c r="A1923" s="32"/>
      <c r="B1923" s="19"/>
      <c r="C1923" s="19"/>
      <c r="D1923" s="19"/>
      <c r="E1923" s="21"/>
      <c r="F1923" s="19"/>
      <c r="G1923" s="27" t="str">
        <f aca="false">IF(B1923="","",IFERROR(INDEX(Jeux!$C$2:$C$3001,MATCH(B1923,Jeux!$A$2:$A$3001,0))&amp;"","⚠ jeu inconnu"))</f>
        <v/>
      </c>
      <c r="H1923" s="27" t="str">
        <f aca="false">IF(B1923="","",IFERROR(INDEX(Jeux!$D$2:$D$3001,MATCH(B1923,Jeux!$A$2:$A$3001,0))&amp;"",""))</f>
        <v/>
      </c>
      <c r="I1923" s="26" t="str">
        <f aca="false">IF(A1923="","",COUNTIF(Apparitions!$G$2:$G$5001,A1923))</f>
        <v/>
      </c>
      <c r="J1923" s="26" t="str">
        <f aca="false">IF(A1923="","",COUNTIFS(Apparitions!$G$2:$G$5001,A1923,Apparitions!$E$2:$E$5001,"○"))</f>
        <v/>
      </c>
      <c r="K1923" s="29" t="str">
        <f aca="false">IF(A1923="","",IFERROR(1/(1/_xlfn.MINIFS(Apparitions!$L$2:$L$5001,Apparitions!$G$2:$G$5001,A1923)),""))</f>
        <v/>
      </c>
      <c r="L1923" s="27" t="str">
        <f aca="false">IF(A1923="","",A1923&amp;" | "&amp;B1923&amp;IF(C1923="",""," ("&amp;C1923&amp;")")&amp;IF(D1923="",""," - "&amp;D1923))</f>
        <v/>
      </c>
    </row>
    <row r="1924" customFormat="false" ht="15" hidden="false" customHeight="false" outlineLevel="0" collapsed="false">
      <c r="A1924" s="32"/>
      <c r="B1924" s="19"/>
      <c r="C1924" s="19"/>
      <c r="D1924" s="19"/>
      <c r="E1924" s="21"/>
      <c r="F1924" s="19"/>
      <c r="G1924" s="27" t="str">
        <f aca="false">IF(B1924="","",IFERROR(INDEX(Jeux!$C$2:$C$3001,MATCH(B1924,Jeux!$A$2:$A$3001,0))&amp;"","⚠ jeu inconnu"))</f>
        <v/>
      </c>
      <c r="H1924" s="27" t="str">
        <f aca="false">IF(B1924="","",IFERROR(INDEX(Jeux!$D$2:$D$3001,MATCH(B1924,Jeux!$A$2:$A$3001,0))&amp;"",""))</f>
        <v/>
      </c>
      <c r="I1924" s="26" t="str">
        <f aca="false">IF(A1924="","",COUNTIF(Apparitions!$G$2:$G$5001,A1924))</f>
        <v/>
      </c>
      <c r="J1924" s="26" t="str">
        <f aca="false">IF(A1924="","",COUNTIFS(Apparitions!$G$2:$G$5001,A1924,Apparitions!$E$2:$E$5001,"○"))</f>
        <v/>
      </c>
      <c r="K1924" s="29" t="str">
        <f aca="false">IF(A1924="","",IFERROR(1/(1/_xlfn.MINIFS(Apparitions!$L$2:$L$5001,Apparitions!$G$2:$G$5001,A1924)),""))</f>
        <v/>
      </c>
      <c r="L1924" s="27" t="str">
        <f aca="false">IF(A1924="","",A1924&amp;" | "&amp;B1924&amp;IF(C1924="",""," ("&amp;C1924&amp;")")&amp;IF(D1924="",""," - "&amp;D1924))</f>
        <v/>
      </c>
    </row>
    <row r="1925" customFormat="false" ht="15" hidden="false" customHeight="false" outlineLevel="0" collapsed="false">
      <c r="A1925" s="32"/>
      <c r="B1925" s="19"/>
      <c r="C1925" s="19"/>
      <c r="D1925" s="19"/>
      <c r="E1925" s="21"/>
      <c r="F1925" s="19"/>
      <c r="G1925" s="27" t="str">
        <f aca="false">IF(B1925="","",IFERROR(INDEX(Jeux!$C$2:$C$3001,MATCH(B1925,Jeux!$A$2:$A$3001,0))&amp;"","⚠ jeu inconnu"))</f>
        <v/>
      </c>
      <c r="H1925" s="27" t="str">
        <f aca="false">IF(B1925="","",IFERROR(INDEX(Jeux!$D$2:$D$3001,MATCH(B1925,Jeux!$A$2:$A$3001,0))&amp;"",""))</f>
        <v/>
      </c>
      <c r="I1925" s="26" t="str">
        <f aca="false">IF(A1925="","",COUNTIF(Apparitions!$G$2:$G$5001,A1925))</f>
        <v/>
      </c>
      <c r="J1925" s="26" t="str">
        <f aca="false">IF(A1925="","",COUNTIFS(Apparitions!$G$2:$G$5001,A1925,Apparitions!$E$2:$E$5001,"○"))</f>
        <v/>
      </c>
      <c r="K1925" s="29" t="str">
        <f aca="false">IF(A1925="","",IFERROR(1/(1/_xlfn.MINIFS(Apparitions!$L$2:$L$5001,Apparitions!$G$2:$G$5001,A1925)),""))</f>
        <v/>
      </c>
      <c r="L1925" s="27" t="str">
        <f aca="false">IF(A1925="","",A1925&amp;" | "&amp;B1925&amp;IF(C1925="",""," ("&amp;C1925&amp;")")&amp;IF(D1925="",""," - "&amp;D1925))</f>
        <v/>
      </c>
    </row>
    <row r="1926" customFormat="false" ht="15" hidden="false" customHeight="false" outlineLevel="0" collapsed="false">
      <c r="A1926" s="32"/>
      <c r="B1926" s="19"/>
      <c r="C1926" s="19"/>
      <c r="D1926" s="19"/>
      <c r="E1926" s="21"/>
      <c r="F1926" s="19"/>
      <c r="G1926" s="27" t="str">
        <f aca="false">IF(B1926="","",IFERROR(INDEX(Jeux!$C$2:$C$3001,MATCH(B1926,Jeux!$A$2:$A$3001,0))&amp;"","⚠ jeu inconnu"))</f>
        <v/>
      </c>
      <c r="H1926" s="27" t="str">
        <f aca="false">IF(B1926="","",IFERROR(INDEX(Jeux!$D$2:$D$3001,MATCH(B1926,Jeux!$A$2:$A$3001,0))&amp;"",""))</f>
        <v/>
      </c>
      <c r="I1926" s="26" t="str">
        <f aca="false">IF(A1926="","",COUNTIF(Apparitions!$G$2:$G$5001,A1926))</f>
        <v/>
      </c>
      <c r="J1926" s="26" t="str">
        <f aca="false">IF(A1926="","",COUNTIFS(Apparitions!$G$2:$G$5001,A1926,Apparitions!$E$2:$E$5001,"○"))</f>
        <v/>
      </c>
      <c r="K1926" s="29" t="str">
        <f aca="false">IF(A1926="","",IFERROR(1/(1/_xlfn.MINIFS(Apparitions!$L$2:$L$5001,Apparitions!$G$2:$G$5001,A1926)),""))</f>
        <v/>
      </c>
      <c r="L1926" s="27" t="str">
        <f aca="false">IF(A1926="","",A1926&amp;" | "&amp;B1926&amp;IF(C1926="",""," ("&amp;C1926&amp;")")&amp;IF(D1926="",""," - "&amp;D1926))</f>
        <v/>
      </c>
    </row>
    <row r="1927" customFormat="false" ht="15" hidden="false" customHeight="false" outlineLevel="0" collapsed="false">
      <c r="A1927" s="32"/>
      <c r="B1927" s="19"/>
      <c r="C1927" s="19"/>
      <c r="D1927" s="19"/>
      <c r="E1927" s="21"/>
      <c r="F1927" s="19"/>
      <c r="G1927" s="27" t="str">
        <f aca="false">IF(B1927="","",IFERROR(INDEX(Jeux!$C$2:$C$3001,MATCH(B1927,Jeux!$A$2:$A$3001,0))&amp;"","⚠ jeu inconnu"))</f>
        <v/>
      </c>
      <c r="H1927" s="27" t="str">
        <f aca="false">IF(B1927="","",IFERROR(INDEX(Jeux!$D$2:$D$3001,MATCH(B1927,Jeux!$A$2:$A$3001,0))&amp;"",""))</f>
        <v/>
      </c>
      <c r="I1927" s="26" t="str">
        <f aca="false">IF(A1927="","",COUNTIF(Apparitions!$G$2:$G$5001,A1927))</f>
        <v/>
      </c>
      <c r="J1927" s="26" t="str">
        <f aca="false">IF(A1927="","",COUNTIFS(Apparitions!$G$2:$G$5001,A1927,Apparitions!$E$2:$E$5001,"○"))</f>
        <v/>
      </c>
      <c r="K1927" s="29" t="str">
        <f aca="false">IF(A1927="","",IFERROR(1/(1/_xlfn.MINIFS(Apparitions!$L$2:$L$5001,Apparitions!$G$2:$G$5001,A1927)),""))</f>
        <v/>
      </c>
      <c r="L1927" s="27" t="str">
        <f aca="false">IF(A1927="","",A1927&amp;" | "&amp;B1927&amp;IF(C1927="",""," ("&amp;C1927&amp;")")&amp;IF(D1927="",""," - "&amp;D1927))</f>
        <v/>
      </c>
    </row>
    <row r="1928" customFormat="false" ht="15" hidden="false" customHeight="false" outlineLevel="0" collapsed="false">
      <c r="A1928" s="32"/>
      <c r="B1928" s="19"/>
      <c r="C1928" s="19"/>
      <c r="D1928" s="19"/>
      <c r="E1928" s="21"/>
      <c r="F1928" s="19"/>
      <c r="G1928" s="27" t="str">
        <f aca="false">IF(B1928="","",IFERROR(INDEX(Jeux!$C$2:$C$3001,MATCH(B1928,Jeux!$A$2:$A$3001,0))&amp;"","⚠ jeu inconnu"))</f>
        <v/>
      </c>
      <c r="H1928" s="27" t="str">
        <f aca="false">IF(B1928="","",IFERROR(INDEX(Jeux!$D$2:$D$3001,MATCH(B1928,Jeux!$A$2:$A$3001,0))&amp;"",""))</f>
        <v/>
      </c>
      <c r="I1928" s="26" t="str">
        <f aca="false">IF(A1928="","",COUNTIF(Apparitions!$G$2:$G$5001,A1928))</f>
        <v/>
      </c>
      <c r="J1928" s="26" t="str">
        <f aca="false">IF(A1928="","",COUNTIFS(Apparitions!$G$2:$G$5001,A1928,Apparitions!$E$2:$E$5001,"○"))</f>
        <v/>
      </c>
      <c r="K1928" s="29" t="str">
        <f aca="false">IF(A1928="","",IFERROR(1/(1/_xlfn.MINIFS(Apparitions!$L$2:$L$5001,Apparitions!$G$2:$G$5001,A1928)),""))</f>
        <v/>
      </c>
      <c r="L1928" s="27" t="str">
        <f aca="false">IF(A1928="","",A1928&amp;" | "&amp;B1928&amp;IF(C1928="",""," ("&amp;C1928&amp;")")&amp;IF(D1928="",""," - "&amp;D1928))</f>
        <v/>
      </c>
    </row>
    <row r="1929" customFormat="false" ht="15" hidden="false" customHeight="false" outlineLevel="0" collapsed="false">
      <c r="A1929" s="32"/>
      <c r="B1929" s="19"/>
      <c r="C1929" s="19"/>
      <c r="D1929" s="19"/>
      <c r="E1929" s="21"/>
      <c r="F1929" s="19"/>
      <c r="G1929" s="27" t="str">
        <f aca="false">IF(B1929="","",IFERROR(INDEX(Jeux!$C$2:$C$3001,MATCH(B1929,Jeux!$A$2:$A$3001,0))&amp;"","⚠ jeu inconnu"))</f>
        <v/>
      </c>
      <c r="H1929" s="27" t="str">
        <f aca="false">IF(B1929="","",IFERROR(INDEX(Jeux!$D$2:$D$3001,MATCH(B1929,Jeux!$A$2:$A$3001,0))&amp;"",""))</f>
        <v/>
      </c>
      <c r="I1929" s="26" t="str">
        <f aca="false">IF(A1929="","",COUNTIF(Apparitions!$G$2:$G$5001,A1929))</f>
        <v/>
      </c>
      <c r="J1929" s="26" t="str">
        <f aca="false">IF(A1929="","",COUNTIFS(Apparitions!$G$2:$G$5001,A1929,Apparitions!$E$2:$E$5001,"○"))</f>
        <v/>
      </c>
      <c r="K1929" s="29" t="str">
        <f aca="false">IF(A1929="","",IFERROR(1/(1/_xlfn.MINIFS(Apparitions!$L$2:$L$5001,Apparitions!$G$2:$G$5001,A1929)),""))</f>
        <v/>
      </c>
      <c r="L1929" s="27" t="str">
        <f aca="false">IF(A1929="","",A1929&amp;" | "&amp;B1929&amp;IF(C1929="",""," ("&amp;C1929&amp;")")&amp;IF(D1929="",""," - "&amp;D1929))</f>
        <v/>
      </c>
    </row>
    <row r="1930" customFormat="false" ht="15" hidden="false" customHeight="false" outlineLevel="0" collapsed="false">
      <c r="A1930" s="32"/>
      <c r="B1930" s="19"/>
      <c r="C1930" s="19"/>
      <c r="D1930" s="19"/>
      <c r="E1930" s="21"/>
      <c r="F1930" s="19"/>
      <c r="G1930" s="27" t="str">
        <f aca="false">IF(B1930="","",IFERROR(INDEX(Jeux!$C$2:$C$3001,MATCH(B1930,Jeux!$A$2:$A$3001,0))&amp;"","⚠ jeu inconnu"))</f>
        <v/>
      </c>
      <c r="H1930" s="27" t="str">
        <f aca="false">IF(B1930="","",IFERROR(INDEX(Jeux!$D$2:$D$3001,MATCH(B1930,Jeux!$A$2:$A$3001,0))&amp;"",""))</f>
        <v/>
      </c>
      <c r="I1930" s="26" t="str">
        <f aca="false">IF(A1930="","",COUNTIF(Apparitions!$G$2:$G$5001,A1930))</f>
        <v/>
      </c>
      <c r="J1930" s="26" t="str">
        <f aca="false">IF(A1930="","",COUNTIFS(Apparitions!$G$2:$G$5001,A1930,Apparitions!$E$2:$E$5001,"○"))</f>
        <v/>
      </c>
      <c r="K1930" s="29" t="str">
        <f aca="false">IF(A1930="","",IFERROR(1/(1/_xlfn.MINIFS(Apparitions!$L$2:$L$5001,Apparitions!$G$2:$G$5001,A1930)),""))</f>
        <v/>
      </c>
      <c r="L1930" s="27" t="str">
        <f aca="false">IF(A1930="","",A1930&amp;" | "&amp;B1930&amp;IF(C1930="",""," ("&amp;C1930&amp;")")&amp;IF(D1930="",""," - "&amp;D1930))</f>
        <v/>
      </c>
    </row>
    <row r="1931" customFormat="false" ht="15" hidden="false" customHeight="false" outlineLevel="0" collapsed="false">
      <c r="A1931" s="32"/>
      <c r="B1931" s="19"/>
      <c r="C1931" s="19"/>
      <c r="D1931" s="19"/>
      <c r="E1931" s="21"/>
      <c r="F1931" s="19"/>
      <c r="G1931" s="27" t="str">
        <f aca="false">IF(B1931="","",IFERROR(INDEX(Jeux!$C$2:$C$3001,MATCH(B1931,Jeux!$A$2:$A$3001,0))&amp;"","⚠ jeu inconnu"))</f>
        <v/>
      </c>
      <c r="H1931" s="27" t="str">
        <f aca="false">IF(B1931="","",IFERROR(INDEX(Jeux!$D$2:$D$3001,MATCH(B1931,Jeux!$A$2:$A$3001,0))&amp;"",""))</f>
        <v/>
      </c>
      <c r="I1931" s="26" t="str">
        <f aca="false">IF(A1931="","",COUNTIF(Apparitions!$G$2:$G$5001,A1931))</f>
        <v/>
      </c>
      <c r="J1931" s="26" t="str">
        <f aca="false">IF(A1931="","",COUNTIFS(Apparitions!$G$2:$G$5001,A1931,Apparitions!$E$2:$E$5001,"○"))</f>
        <v/>
      </c>
      <c r="K1931" s="29" t="str">
        <f aca="false">IF(A1931="","",IFERROR(1/(1/_xlfn.MINIFS(Apparitions!$L$2:$L$5001,Apparitions!$G$2:$G$5001,A1931)),""))</f>
        <v/>
      </c>
      <c r="L1931" s="27" t="str">
        <f aca="false">IF(A1931="","",A1931&amp;" | "&amp;B1931&amp;IF(C1931="",""," ("&amp;C1931&amp;")")&amp;IF(D1931="",""," - "&amp;D1931))</f>
        <v/>
      </c>
    </row>
    <row r="1932" customFormat="false" ht="15" hidden="false" customHeight="false" outlineLevel="0" collapsed="false">
      <c r="A1932" s="32"/>
      <c r="B1932" s="19"/>
      <c r="C1932" s="19"/>
      <c r="D1932" s="19"/>
      <c r="E1932" s="21"/>
      <c r="F1932" s="19"/>
      <c r="G1932" s="27" t="str">
        <f aca="false">IF(B1932="","",IFERROR(INDEX(Jeux!$C$2:$C$3001,MATCH(B1932,Jeux!$A$2:$A$3001,0))&amp;"","⚠ jeu inconnu"))</f>
        <v/>
      </c>
      <c r="H1932" s="27" t="str">
        <f aca="false">IF(B1932="","",IFERROR(INDEX(Jeux!$D$2:$D$3001,MATCH(B1932,Jeux!$A$2:$A$3001,0))&amp;"",""))</f>
        <v/>
      </c>
      <c r="I1932" s="26" t="str">
        <f aca="false">IF(A1932="","",COUNTIF(Apparitions!$G$2:$G$5001,A1932))</f>
        <v/>
      </c>
      <c r="J1932" s="26" t="str">
        <f aca="false">IF(A1932="","",COUNTIFS(Apparitions!$G$2:$G$5001,A1932,Apparitions!$E$2:$E$5001,"○"))</f>
        <v/>
      </c>
      <c r="K1932" s="29" t="str">
        <f aca="false">IF(A1932="","",IFERROR(1/(1/_xlfn.MINIFS(Apparitions!$L$2:$L$5001,Apparitions!$G$2:$G$5001,A1932)),""))</f>
        <v/>
      </c>
      <c r="L1932" s="27" t="str">
        <f aca="false">IF(A1932="","",A1932&amp;" | "&amp;B1932&amp;IF(C1932="",""," ("&amp;C1932&amp;")")&amp;IF(D1932="",""," - "&amp;D1932))</f>
        <v/>
      </c>
    </row>
    <row r="1933" customFormat="false" ht="15" hidden="false" customHeight="false" outlineLevel="0" collapsed="false">
      <c r="A1933" s="32"/>
      <c r="B1933" s="19"/>
      <c r="C1933" s="19"/>
      <c r="D1933" s="19"/>
      <c r="E1933" s="21"/>
      <c r="F1933" s="19"/>
      <c r="G1933" s="27" t="str">
        <f aca="false">IF(B1933="","",IFERROR(INDEX(Jeux!$C$2:$C$3001,MATCH(B1933,Jeux!$A$2:$A$3001,0))&amp;"","⚠ jeu inconnu"))</f>
        <v/>
      </c>
      <c r="H1933" s="27" t="str">
        <f aca="false">IF(B1933="","",IFERROR(INDEX(Jeux!$D$2:$D$3001,MATCH(B1933,Jeux!$A$2:$A$3001,0))&amp;"",""))</f>
        <v/>
      </c>
      <c r="I1933" s="26" t="str">
        <f aca="false">IF(A1933="","",COUNTIF(Apparitions!$G$2:$G$5001,A1933))</f>
        <v/>
      </c>
      <c r="J1933" s="26" t="str">
        <f aca="false">IF(A1933="","",COUNTIFS(Apparitions!$G$2:$G$5001,A1933,Apparitions!$E$2:$E$5001,"○"))</f>
        <v/>
      </c>
      <c r="K1933" s="29" t="str">
        <f aca="false">IF(A1933="","",IFERROR(1/(1/_xlfn.MINIFS(Apparitions!$L$2:$L$5001,Apparitions!$G$2:$G$5001,A1933)),""))</f>
        <v/>
      </c>
      <c r="L1933" s="27" t="str">
        <f aca="false">IF(A1933="","",A1933&amp;" | "&amp;B1933&amp;IF(C1933="",""," ("&amp;C1933&amp;")")&amp;IF(D1933="",""," - "&amp;D1933))</f>
        <v/>
      </c>
    </row>
    <row r="1934" customFormat="false" ht="15" hidden="false" customHeight="false" outlineLevel="0" collapsed="false">
      <c r="A1934" s="32"/>
      <c r="B1934" s="19"/>
      <c r="C1934" s="19"/>
      <c r="D1934" s="19"/>
      <c r="E1934" s="21"/>
      <c r="F1934" s="19"/>
      <c r="G1934" s="27" t="str">
        <f aca="false">IF(B1934="","",IFERROR(INDEX(Jeux!$C$2:$C$3001,MATCH(B1934,Jeux!$A$2:$A$3001,0))&amp;"","⚠ jeu inconnu"))</f>
        <v/>
      </c>
      <c r="H1934" s="27" t="str">
        <f aca="false">IF(B1934="","",IFERROR(INDEX(Jeux!$D$2:$D$3001,MATCH(B1934,Jeux!$A$2:$A$3001,0))&amp;"",""))</f>
        <v/>
      </c>
      <c r="I1934" s="26" t="str">
        <f aca="false">IF(A1934="","",COUNTIF(Apparitions!$G$2:$G$5001,A1934))</f>
        <v/>
      </c>
      <c r="J1934" s="26" t="str">
        <f aca="false">IF(A1934="","",COUNTIFS(Apparitions!$G$2:$G$5001,A1934,Apparitions!$E$2:$E$5001,"○"))</f>
        <v/>
      </c>
      <c r="K1934" s="29" t="str">
        <f aca="false">IF(A1934="","",IFERROR(1/(1/_xlfn.MINIFS(Apparitions!$L$2:$L$5001,Apparitions!$G$2:$G$5001,A1934)),""))</f>
        <v/>
      </c>
      <c r="L1934" s="27" t="str">
        <f aca="false">IF(A1934="","",A1934&amp;" | "&amp;B1934&amp;IF(C1934="",""," ("&amp;C1934&amp;")")&amp;IF(D1934="",""," - "&amp;D1934))</f>
        <v/>
      </c>
    </row>
    <row r="1935" customFormat="false" ht="15" hidden="false" customHeight="false" outlineLevel="0" collapsed="false">
      <c r="A1935" s="32"/>
      <c r="B1935" s="19"/>
      <c r="C1935" s="19"/>
      <c r="D1935" s="19"/>
      <c r="E1935" s="21"/>
      <c r="F1935" s="19"/>
      <c r="G1935" s="27" t="str">
        <f aca="false">IF(B1935="","",IFERROR(INDEX(Jeux!$C$2:$C$3001,MATCH(B1935,Jeux!$A$2:$A$3001,0))&amp;"","⚠ jeu inconnu"))</f>
        <v/>
      </c>
      <c r="H1935" s="27" t="str">
        <f aca="false">IF(B1935="","",IFERROR(INDEX(Jeux!$D$2:$D$3001,MATCH(B1935,Jeux!$A$2:$A$3001,0))&amp;"",""))</f>
        <v/>
      </c>
      <c r="I1935" s="26" t="str">
        <f aca="false">IF(A1935="","",COUNTIF(Apparitions!$G$2:$G$5001,A1935))</f>
        <v/>
      </c>
      <c r="J1935" s="26" t="str">
        <f aca="false">IF(A1935="","",COUNTIFS(Apparitions!$G$2:$G$5001,A1935,Apparitions!$E$2:$E$5001,"○"))</f>
        <v/>
      </c>
      <c r="K1935" s="29" t="str">
        <f aca="false">IF(A1935="","",IFERROR(1/(1/_xlfn.MINIFS(Apparitions!$L$2:$L$5001,Apparitions!$G$2:$G$5001,A1935)),""))</f>
        <v/>
      </c>
      <c r="L1935" s="27" t="str">
        <f aca="false">IF(A1935="","",A1935&amp;" | "&amp;B1935&amp;IF(C1935="",""," ("&amp;C1935&amp;")")&amp;IF(D1935="",""," - "&amp;D1935))</f>
        <v/>
      </c>
    </row>
    <row r="1936" customFormat="false" ht="15" hidden="false" customHeight="false" outlineLevel="0" collapsed="false">
      <c r="A1936" s="32"/>
      <c r="B1936" s="19"/>
      <c r="C1936" s="19"/>
      <c r="D1936" s="19"/>
      <c r="E1936" s="21"/>
      <c r="F1936" s="19"/>
      <c r="G1936" s="27" t="str">
        <f aca="false">IF(B1936="","",IFERROR(INDEX(Jeux!$C$2:$C$3001,MATCH(B1936,Jeux!$A$2:$A$3001,0))&amp;"","⚠ jeu inconnu"))</f>
        <v/>
      </c>
      <c r="H1936" s="27" t="str">
        <f aca="false">IF(B1936="","",IFERROR(INDEX(Jeux!$D$2:$D$3001,MATCH(B1936,Jeux!$A$2:$A$3001,0))&amp;"",""))</f>
        <v/>
      </c>
      <c r="I1936" s="26" t="str">
        <f aca="false">IF(A1936="","",COUNTIF(Apparitions!$G$2:$G$5001,A1936))</f>
        <v/>
      </c>
      <c r="J1936" s="26" t="str">
        <f aca="false">IF(A1936="","",COUNTIFS(Apparitions!$G$2:$G$5001,A1936,Apparitions!$E$2:$E$5001,"○"))</f>
        <v/>
      </c>
      <c r="K1936" s="29" t="str">
        <f aca="false">IF(A1936="","",IFERROR(1/(1/_xlfn.MINIFS(Apparitions!$L$2:$L$5001,Apparitions!$G$2:$G$5001,A1936)),""))</f>
        <v/>
      </c>
      <c r="L1936" s="27" t="str">
        <f aca="false">IF(A1936="","",A1936&amp;" | "&amp;B1936&amp;IF(C1936="",""," ("&amp;C1936&amp;")")&amp;IF(D1936="",""," - "&amp;D1936))</f>
        <v/>
      </c>
    </row>
    <row r="1937" customFormat="false" ht="15" hidden="false" customHeight="false" outlineLevel="0" collapsed="false">
      <c r="A1937" s="32"/>
      <c r="B1937" s="19"/>
      <c r="C1937" s="19"/>
      <c r="D1937" s="19"/>
      <c r="E1937" s="21"/>
      <c r="F1937" s="19"/>
      <c r="G1937" s="27" t="str">
        <f aca="false">IF(B1937="","",IFERROR(INDEX(Jeux!$C$2:$C$3001,MATCH(B1937,Jeux!$A$2:$A$3001,0))&amp;"","⚠ jeu inconnu"))</f>
        <v/>
      </c>
      <c r="H1937" s="27" t="str">
        <f aca="false">IF(B1937="","",IFERROR(INDEX(Jeux!$D$2:$D$3001,MATCH(B1937,Jeux!$A$2:$A$3001,0))&amp;"",""))</f>
        <v/>
      </c>
      <c r="I1937" s="26" t="str">
        <f aca="false">IF(A1937="","",COUNTIF(Apparitions!$G$2:$G$5001,A1937))</f>
        <v/>
      </c>
      <c r="J1937" s="26" t="str">
        <f aca="false">IF(A1937="","",COUNTIFS(Apparitions!$G$2:$G$5001,A1937,Apparitions!$E$2:$E$5001,"○"))</f>
        <v/>
      </c>
      <c r="K1937" s="29" t="str">
        <f aca="false">IF(A1937="","",IFERROR(1/(1/_xlfn.MINIFS(Apparitions!$L$2:$L$5001,Apparitions!$G$2:$G$5001,A1937)),""))</f>
        <v/>
      </c>
      <c r="L1937" s="27" t="str">
        <f aca="false">IF(A1937="","",A1937&amp;" | "&amp;B1937&amp;IF(C1937="",""," ("&amp;C1937&amp;")")&amp;IF(D1937="",""," - "&amp;D1937))</f>
        <v/>
      </c>
    </row>
    <row r="1938" customFormat="false" ht="15" hidden="false" customHeight="false" outlineLevel="0" collapsed="false">
      <c r="A1938" s="32"/>
      <c r="B1938" s="19"/>
      <c r="C1938" s="19"/>
      <c r="D1938" s="19"/>
      <c r="E1938" s="21"/>
      <c r="F1938" s="19"/>
      <c r="G1938" s="27" t="str">
        <f aca="false">IF(B1938="","",IFERROR(INDEX(Jeux!$C$2:$C$3001,MATCH(B1938,Jeux!$A$2:$A$3001,0))&amp;"","⚠ jeu inconnu"))</f>
        <v/>
      </c>
      <c r="H1938" s="27" t="str">
        <f aca="false">IF(B1938="","",IFERROR(INDEX(Jeux!$D$2:$D$3001,MATCH(B1938,Jeux!$A$2:$A$3001,0))&amp;"",""))</f>
        <v/>
      </c>
      <c r="I1938" s="26" t="str">
        <f aca="false">IF(A1938="","",COUNTIF(Apparitions!$G$2:$G$5001,A1938))</f>
        <v/>
      </c>
      <c r="J1938" s="26" t="str">
        <f aca="false">IF(A1938="","",COUNTIFS(Apparitions!$G$2:$G$5001,A1938,Apparitions!$E$2:$E$5001,"○"))</f>
        <v/>
      </c>
      <c r="K1938" s="29" t="str">
        <f aca="false">IF(A1938="","",IFERROR(1/(1/_xlfn.MINIFS(Apparitions!$L$2:$L$5001,Apparitions!$G$2:$G$5001,A1938)),""))</f>
        <v/>
      </c>
      <c r="L1938" s="27" t="str">
        <f aca="false">IF(A1938="","",A1938&amp;" | "&amp;B1938&amp;IF(C1938="",""," ("&amp;C1938&amp;")")&amp;IF(D1938="",""," - "&amp;D1938))</f>
        <v/>
      </c>
    </row>
    <row r="1939" customFormat="false" ht="15" hidden="false" customHeight="false" outlineLevel="0" collapsed="false">
      <c r="A1939" s="32"/>
      <c r="B1939" s="19"/>
      <c r="C1939" s="19"/>
      <c r="D1939" s="19"/>
      <c r="E1939" s="21"/>
      <c r="F1939" s="19"/>
      <c r="G1939" s="27" t="str">
        <f aca="false">IF(B1939="","",IFERROR(INDEX(Jeux!$C$2:$C$3001,MATCH(B1939,Jeux!$A$2:$A$3001,0))&amp;"","⚠ jeu inconnu"))</f>
        <v/>
      </c>
      <c r="H1939" s="27" t="str">
        <f aca="false">IF(B1939="","",IFERROR(INDEX(Jeux!$D$2:$D$3001,MATCH(B1939,Jeux!$A$2:$A$3001,0))&amp;"",""))</f>
        <v/>
      </c>
      <c r="I1939" s="26" t="str">
        <f aca="false">IF(A1939="","",COUNTIF(Apparitions!$G$2:$G$5001,A1939))</f>
        <v/>
      </c>
      <c r="J1939" s="26" t="str">
        <f aca="false">IF(A1939="","",COUNTIFS(Apparitions!$G$2:$G$5001,A1939,Apparitions!$E$2:$E$5001,"○"))</f>
        <v/>
      </c>
      <c r="K1939" s="29" t="str">
        <f aca="false">IF(A1939="","",IFERROR(1/(1/_xlfn.MINIFS(Apparitions!$L$2:$L$5001,Apparitions!$G$2:$G$5001,A1939)),""))</f>
        <v/>
      </c>
      <c r="L1939" s="27" t="str">
        <f aca="false">IF(A1939="","",A1939&amp;" | "&amp;B1939&amp;IF(C1939="",""," ("&amp;C1939&amp;")")&amp;IF(D1939="",""," - "&amp;D1939))</f>
        <v/>
      </c>
    </row>
    <row r="1940" customFormat="false" ht="15" hidden="false" customHeight="false" outlineLevel="0" collapsed="false">
      <c r="A1940" s="32"/>
      <c r="B1940" s="19"/>
      <c r="C1940" s="19"/>
      <c r="D1940" s="19"/>
      <c r="E1940" s="21"/>
      <c r="F1940" s="19"/>
      <c r="G1940" s="27" t="str">
        <f aca="false">IF(B1940="","",IFERROR(INDEX(Jeux!$C$2:$C$3001,MATCH(B1940,Jeux!$A$2:$A$3001,0))&amp;"","⚠ jeu inconnu"))</f>
        <v/>
      </c>
      <c r="H1940" s="27" t="str">
        <f aca="false">IF(B1940="","",IFERROR(INDEX(Jeux!$D$2:$D$3001,MATCH(B1940,Jeux!$A$2:$A$3001,0))&amp;"",""))</f>
        <v/>
      </c>
      <c r="I1940" s="26" t="str">
        <f aca="false">IF(A1940="","",COUNTIF(Apparitions!$G$2:$G$5001,A1940))</f>
        <v/>
      </c>
      <c r="J1940" s="26" t="str">
        <f aca="false">IF(A1940="","",COUNTIFS(Apparitions!$G$2:$G$5001,A1940,Apparitions!$E$2:$E$5001,"○"))</f>
        <v/>
      </c>
      <c r="K1940" s="29" t="str">
        <f aca="false">IF(A1940="","",IFERROR(1/(1/_xlfn.MINIFS(Apparitions!$L$2:$L$5001,Apparitions!$G$2:$G$5001,A1940)),""))</f>
        <v/>
      </c>
      <c r="L1940" s="27" t="str">
        <f aca="false">IF(A1940="","",A1940&amp;" | "&amp;B1940&amp;IF(C1940="",""," ("&amp;C1940&amp;")")&amp;IF(D1940="",""," - "&amp;D1940))</f>
        <v/>
      </c>
    </row>
    <row r="1941" customFormat="false" ht="15" hidden="false" customHeight="false" outlineLevel="0" collapsed="false">
      <c r="A1941" s="32"/>
      <c r="B1941" s="19"/>
      <c r="C1941" s="19"/>
      <c r="D1941" s="19"/>
      <c r="E1941" s="21"/>
      <c r="F1941" s="19"/>
      <c r="G1941" s="27" t="str">
        <f aca="false">IF(B1941="","",IFERROR(INDEX(Jeux!$C$2:$C$3001,MATCH(B1941,Jeux!$A$2:$A$3001,0))&amp;"","⚠ jeu inconnu"))</f>
        <v/>
      </c>
      <c r="H1941" s="27" t="str">
        <f aca="false">IF(B1941="","",IFERROR(INDEX(Jeux!$D$2:$D$3001,MATCH(B1941,Jeux!$A$2:$A$3001,0))&amp;"",""))</f>
        <v/>
      </c>
      <c r="I1941" s="26" t="str">
        <f aca="false">IF(A1941="","",COUNTIF(Apparitions!$G$2:$G$5001,A1941))</f>
        <v/>
      </c>
      <c r="J1941" s="26" t="str">
        <f aca="false">IF(A1941="","",COUNTIFS(Apparitions!$G$2:$G$5001,A1941,Apparitions!$E$2:$E$5001,"○"))</f>
        <v/>
      </c>
      <c r="K1941" s="29" t="str">
        <f aca="false">IF(A1941="","",IFERROR(1/(1/_xlfn.MINIFS(Apparitions!$L$2:$L$5001,Apparitions!$G$2:$G$5001,A1941)),""))</f>
        <v/>
      </c>
      <c r="L1941" s="27" t="str">
        <f aca="false">IF(A1941="","",A1941&amp;" | "&amp;B1941&amp;IF(C1941="",""," ("&amp;C1941&amp;")")&amp;IF(D1941="",""," - "&amp;D1941))</f>
        <v/>
      </c>
    </row>
    <row r="1942" customFormat="false" ht="15" hidden="false" customHeight="false" outlineLevel="0" collapsed="false">
      <c r="A1942" s="32"/>
      <c r="B1942" s="19"/>
      <c r="C1942" s="19"/>
      <c r="D1942" s="19"/>
      <c r="E1942" s="21"/>
      <c r="F1942" s="19"/>
      <c r="G1942" s="27" t="str">
        <f aca="false">IF(B1942="","",IFERROR(INDEX(Jeux!$C$2:$C$3001,MATCH(B1942,Jeux!$A$2:$A$3001,0))&amp;"","⚠ jeu inconnu"))</f>
        <v/>
      </c>
      <c r="H1942" s="27" t="str">
        <f aca="false">IF(B1942="","",IFERROR(INDEX(Jeux!$D$2:$D$3001,MATCH(B1942,Jeux!$A$2:$A$3001,0))&amp;"",""))</f>
        <v/>
      </c>
      <c r="I1942" s="26" t="str">
        <f aca="false">IF(A1942="","",COUNTIF(Apparitions!$G$2:$G$5001,A1942))</f>
        <v/>
      </c>
      <c r="J1942" s="26" t="str">
        <f aca="false">IF(A1942="","",COUNTIFS(Apparitions!$G$2:$G$5001,A1942,Apparitions!$E$2:$E$5001,"○"))</f>
        <v/>
      </c>
      <c r="K1942" s="29" t="str">
        <f aca="false">IF(A1942="","",IFERROR(1/(1/_xlfn.MINIFS(Apparitions!$L$2:$L$5001,Apparitions!$G$2:$G$5001,A1942)),""))</f>
        <v/>
      </c>
      <c r="L1942" s="27" t="str">
        <f aca="false">IF(A1942="","",A1942&amp;" | "&amp;B1942&amp;IF(C1942="",""," ("&amp;C1942&amp;")")&amp;IF(D1942="",""," - "&amp;D1942))</f>
        <v/>
      </c>
    </row>
    <row r="1943" customFormat="false" ht="15" hidden="false" customHeight="false" outlineLevel="0" collapsed="false">
      <c r="A1943" s="32"/>
      <c r="B1943" s="19"/>
      <c r="C1943" s="19"/>
      <c r="D1943" s="19"/>
      <c r="E1943" s="21"/>
      <c r="F1943" s="19"/>
      <c r="G1943" s="27" t="str">
        <f aca="false">IF(B1943="","",IFERROR(INDEX(Jeux!$C$2:$C$3001,MATCH(B1943,Jeux!$A$2:$A$3001,0))&amp;"","⚠ jeu inconnu"))</f>
        <v/>
      </c>
      <c r="H1943" s="27" t="str">
        <f aca="false">IF(B1943="","",IFERROR(INDEX(Jeux!$D$2:$D$3001,MATCH(B1943,Jeux!$A$2:$A$3001,0))&amp;"",""))</f>
        <v/>
      </c>
      <c r="I1943" s="26" t="str">
        <f aca="false">IF(A1943="","",COUNTIF(Apparitions!$G$2:$G$5001,A1943))</f>
        <v/>
      </c>
      <c r="J1943" s="26" t="str">
        <f aca="false">IF(A1943="","",COUNTIFS(Apparitions!$G$2:$G$5001,A1943,Apparitions!$E$2:$E$5001,"○"))</f>
        <v/>
      </c>
      <c r="K1943" s="29" t="str">
        <f aca="false">IF(A1943="","",IFERROR(1/(1/_xlfn.MINIFS(Apparitions!$L$2:$L$5001,Apparitions!$G$2:$G$5001,A1943)),""))</f>
        <v/>
      </c>
      <c r="L1943" s="27" t="str">
        <f aca="false">IF(A1943="","",A1943&amp;" | "&amp;B1943&amp;IF(C1943="",""," ("&amp;C1943&amp;")")&amp;IF(D1943="",""," - "&amp;D1943))</f>
        <v/>
      </c>
    </row>
    <row r="1944" customFormat="false" ht="15" hidden="false" customHeight="false" outlineLevel="0" collapsed="false">
      <c r="A1944" s="32"/>
      <c r="B1944" s="19"/>
      <c r="C1944" s="19"/>
      <c r="D1944" s="19"/>
      <c r="E1944" s="21"/>
      <c r="F1944" s="19"/>
      <c r="G1944" s="27" t="str">
        <f aca="false">IF(B1944="","",IFERROR(INDEX(Jeux!$C$2:$C$3001,MATCH(B1944,Jeux!$A$2:$A$3001,0))&amp;"","⚠ jeu inconnu"))</f>
        <v/>
      </c>
      <c r="H1944" s="27" t="str">
        <f aca="false">IF(B1944="","",IFERROR(INDEX(Jeux!$D$2:$D$3001,MATCH(B1944,Jeux!$A$2:$A$3001,0))&amp;"",""))</f>
        <v/>
      </c>
      <c r="I1944" s="26" t="str">
        <f aca="false">IF(A1944="","",COUNTIF(Apparitions!$G$2:$G$5001,A1944))</f>
        <v/>
      </c>
      <c r="J1944" s="26" t="str">
        <f aca="false">IF(A1944="","",COUNTIFS(Apparitions!$G$2:$G$5001,A1944,Apparitions!$E$2:$E$5001,"○"))</f>
        <v/>
      </c>
      <c r="K1944" s="29" t="str">
        <f aca="false">IF(A1944="","",IFERROR(1/(1/_xlfn.MINIFS(Apparitions!$L$2:$L$5001,Apparitions!$G$2:$G$5001,A1944)),""))</f>
        <v/>
      </c>
      <c r="L1944" s="27" t="str">
        <f aca="false">IF(A1944="","",A1944&amp;" | "&amp;B1944&amp;IF(C1944="",""," ("&amp;C1944&amp;")")&amp;IF(D1944="",""," - "&amp;D1944))</f>
        <v/>
      </c>
    </row>
    <row r="1945" customFormat="false" ht="15" hidden="false" customHeight="false" outlineLevel="0" collapsed="false">
      <c r="A1945" s="32"/>
      <c r="B1945" s="19"/>
      <c r="C1945" s="19"/>
      <c r="D1945" s="19"/>
      <c r="E1945" s="21"/>
      <c r="F1945" s="19"/>
      <c r="G1945" s="27" t="str">
        <f aca="false">IF(B1945="","",IFERROR(INDEX(Jeux!$C$2:$C$3001,MATCH(B1945,Jeux!$A$2:$A$3001,0))&amp;"","⚠ jeu inconnu"))</f>
        <v/>
      </c>
      <c r="H1945" s="27" t="str">
        <f aca="false">IF(B1945="","",IFERROR(INDEX(Jeux!$D$2:$D$3001,MATCH(B1945,Jeux!$A$2:$A$3001,0))&amp;"",""))</f>
        <v/>
      </c>
      <c r="I1945" s="26" t="str">
        <f aca="false">IF(A1945="","",COUNTIF(Apparitions!$G$2:$G$5001,A1945))</f>
        <v/>
      </c>
      <c r="J1945" s="26" t="str">
        <f aca="false">IF(A1945="","",COUNTIFS(Apparitions!$G$2:$G$5001,A1945,Apparitions!$E$2:$E$5001,"○"))</f>
        <v/>
      </c>
      <c r="K1945" s="29" t="str">
        <f aca="false">IF(A1945="","",IFERROR(1/(1/_xlfn.MINIFS(Apparitions!$L$2:$L$5001,Apparitions!$G$2:$G$5001,A1945)),""))</f>
        <v/>
      </c>
      <c r="L1945" s="27" t="str">
        <f aca="false">IF(A1945="","",A1945&amp;" | "&amp;B1945&amp;IF(C1945="",""," ("&amp;C1945&amp;")")&amp;IF(D1945="",""," - "&amp;D1945))</f>
        <v/>
      </c>
    </row>
    <row r="1946" customFormat="false" ht="15" hidden="false" customHeight="false" outlineLevel="0" collapsed="false">
      <c r="A1946" s="32"/>
      <c r="B1946" s="19"/>
      <c r="C1946" s="19"/>
      <c r="D1946" s="19"/>
      <c r="E1946" s="21"/>
      <c r="F1946" s="19"/>
      <c r="G1946" s="27" t="str">
        <f aca="false">IF(B1946="","",IFERROR(INDEX(Jeux!$C$2:$C$3001,MATCH(B1946,Jeux!$A$2:$A$3001,0))&amp;"","⚠ jeu inconnu"))</f>
        <v/>
      </c>
      <c r="H1946" s="27" t="str">
        <f aca="false">IF(B1946="","",IFERROR(INDEX(Jeux!$D$2:$D$3001,MATCH(B1946,Jeux!$A$2:$A$3001,0))&amp;"",""))</f>
        <v/>
      </c>
      <c r="I1946" s="26" t="str">
        <f aca="false">IF(A1946="","",COUNTIF(Apparitions!$G$2:$G$5001,A1946))</f>
        <v/>
      </c>
      <c r="J1946" s="26" t="str">
        <f aca="false">IF(A1946="","",COUNTIFS(Apparitions!$G$2:$G$5001,A1946,Apparitions!$E$2:$E$5001,"○"))</f>
        <v/>
      </c>
      <c r="K1946" s="29" t="str">
        <f aca="false">IF(A1946="","",IFERROR(1/(1/_xlfn.MINIFS(Apparitions!$L$2:$L$5001,Apparitions!$G$2:$G$5001,A1946)),""))</f>
        <v/>
      </c>
      <c r="L1946" s="27" t="str">
        <f aca="false">IF(A1946="","",A1946&amp;" | "&amp;B1946&amp;IF(C1946="",""," ("&amp;C1946&amp;")")&amp;IF(D1946="",""," - "&amp;D1946))</f>
        <v/>
      </c>
    </row>
    <row r="1947" customFormat="false" ht="15" hidden="false" customHeight="false" outlineLevel="0" collapsed="false">
      <c r="A1947" s="32"/>
      <c r="B1947" s="19"/>
      <c r="C1947" s="19"/>
      <c r="D1947" s="19"/>
      <c r="E1947" s="21"/>
      <c r="F1947" s="19"/>
      <c r="G1947" s="27" t="str">
        <f aca="false">IF(B1947="","",IFERROR(INDEX(Jeux!$C$2:$C$3001,MATCH(B1947,Jeux!$A$2:$A$3001,0))&amp;"","⚠ jeu inconnu"))</f>
        <v/>
      </c>
      <c r="H1947" s="27" t="str">
        <f aca="false">IF(B1947="","",IFERROR(INDEX(Jeux!$D$2:$D$3001,MATCH(B1947,Jeux!$A$2:$A$3001,0))&amp;"",""))</f>
        <v/>
      </c>
      <c r="I1947" s="26" t="str">
        <f aca="false">IF(A1947="","",COUNTIF(Apparitions!$G$2:$G$5001,A1947))</f>
        <v/>
      </c>
      <c r="J1947" s="26" t="str">
        <f aca="false">IF(A1947="","",COUNTIFS(Apparitions!$G$2:$G$5001,A1947,Apparitions!$E$2:$E$5001,"○"))</f>
        <v/>
      </c>
      <c r="K1947" s="29" t="str">
        <f aca="false">IF(A1947="","",IFERROR(1/(1/_xlfn.MINIFS(Apparitions!$L$2:$L$5001,Apparitions!$G$2:$G$5001,A1947)),""))</f>
        <v/>
      </c>
      <c r="L1947" s="27" t="str">
        <f aca="false">IF(A1947="","",A1947&amp;" | "&amp;B1947&amp;IF(C1947="",""," ("&amp;C1947&amp;")")&amp;IF(D1947="",""," - "&amp;D1947))</f>
        <v/>
      </c>
    </row>
    <row r="1948" customFormat="false" ht="15" hidden="false" customHeight="false" outlineLevel="0" collapsed="false">
      <c r="A1948" s="32"/>
      <c r="B1948" s="19"/>
      <c r="C1948" s="19"/>
      <c r="D1948" s="19"/>
      <c r="E1948" s="21"/>
      <c r="F1948" s="19"/>
      <c r="G1948" s="27" t="str">
        <f aca="false">IF(B1948="","",IFERROR(INDEX(Jeux!$C$2:$C$3001,MATCH(B1948,Jeux!$A$2:$A$3001,0))&amp;"","⚠ jeu inconnu"))</f>
        <v/>
      </c>
      <c r="H1948" s="27" t="str">
        <f aca="false">IF(B1948="","",IFERROR(INDEX(Jeux!$D$2:$D$3001,MATCH(B1948,Jeux!$A$2:$A$3001,0))&amp;"",""))</f>
        <v/>
      </c>
      <c r="I1948" s="26" t="str">
        <f aca="false">IF(A1948="","",COUNTIF(Apparitions!$G$2:$G$5001,A1948))</f>
        <v/>
      </c>
      <c r="J1948" s="26" t="str">
        <f aca="false">IF(A1948="","",COUNTIFS(Apparitions!$G$2:$G$5001,A1948,Apparitions!$E$2:$E$5001,"○"))</f>
        <v/>
      </c>
      <c r="K1948" s="29" t="str">
        <f aca="false">IF(A1948="","",IFERROR(1/(1/_xlfn.MINIFS(Apparitions!$L$2:$L$5001,Apparitions!$G$2:$G$5001,A1948)),""))</f>
        <v/>
      </c>
      <c r="L1948" s="27" t="str">
        <f aca="false">IF(A1948="","",A1948&amp;" | "&amp;B1948&amp;IF(C1948="",""," ("&amp;C1948&amp;")")&amp;IF(D1948="",""," - "&amp;D1948))</f>
        <v/>
      </c>
    </row>
    <row r="1949" customFormat="false" ht="15" hidden="false" customHeight="false" outlineLevel="0" collapsed="false">
      <c r="A1949" s="32"/>
      <c r="B1949" s="19"/>
      <c r="C1949" s="19"/>
      <c r="D1949" s="19"/>
      <c r="E1949" s="21"/>
      <c r="F1949" s="19"/>
      <c r="G1949" s="27" t="str">
        <f aca="false">IF(B1949="","",IFERROR(INDEX(Jeux!$C$2:$C$3001,MATCH(B1949,Jeux!$A$2:$A$3001,0))&amp;"","⚠ jeu inconnu"))</f>
        <v/>
      </c>
      <c r="H1949" s="27" t="str">
        <f aca="false">IF(B1949="","",IFERROR(INDEX(Jeux!$D$2:$D$3001,MATCH(B1949,Jeux!$A$2:$A$3001,0))&amp;"",""))</f>
        <v/>
      </c>
      <c r="I1949" s="26" t="str">
        <f aca="false">IF(A1949="","",COUNTIF(Apparitions!$G$2:$G$5001,A1949))</f>
        <v/>
      </c>
      <c r="J1949" s="26" t="str">
        <f aca="false">IF(A1949="","",COUNTIFS(Apparitions!$G$2:$G$5001,A1949,Apparitions!$E$2:$E$5001,"○"))</f>
        <v/>
      </c>
      <c r="K1949" s="29" t="str">
        <f aca="false">IF(A1949="","",IFERROR(1/(1/_xlfn.MINIFS(Apparitions!$L$2:$L$5001,Apparitions!$G$2:$G$5001,A1949)),""))</f>
        <v/>
      </c>
      <c r="L1949" s="27" t="str">
        <f aca="false">IF(A1949="","",A1949&amp;" | "&amp;B1949&amp;IF(C1949="",""," ("&amp;C1949&amp;")")&amp;IF(D1949="",""," - "&amp;D1949))</f>
        <v/>
      </c>
    </row>
    <row r="1950" customFormat="false" ht="15" hidden="false" customHeight="false" outlineLevel="0" collapsed="false">
      <c r="A1950" s="32"/>
      <c r="B1950" s="19"/>
      <c r="C1950" s="19"/>
      <c r="D1950" s="19"/>
      <c r="E1950" s="21"/>
      <c r="F1950" s="19"/>
      <c r="G1950" s="27" t="str">
        <f aca="false">IF(B1950="","",IFERROR(INDEX(Jeux!$C$2:$C$3001,MATCH(B1950,Jeux!$A$2:$A$3001,0))&amp;"","⚠ jeu inconnu"))</f>
        <v/>
      </c>
      <c r="H1950" s="27" t="str">
        <f aca="false">IF(B1950="","",IFERROR(INDEX(Jeux!$D$2:$D$3001,MATCH(B1950,Jeux!$A$2:$A$3001,0))&amp;"",""))</f>
        <v/>
      </c>
      <c r="I1950" s="26" t="str">
        <f aca="false">IF(A1950="","",COUNTIF(Apparitions!$G$2:$G$5001,A1950))</f>
        <v/>
      </c>
      <c r="J1950" s="26" t="str">
        <f aca="false">IF(A1950="","",COUNTIFS(Apparitions!$G$2:$G$5001,A1950,Apparitions!$E$2:$E$5001,"○"))</f>
        <v/>
      </c>
      <c r="K1950" s="29" t="str">
        <f aca="false">IF(A1950="","",IFERROR(1/(1/_xlfn.MINIFS(Apparitions!$L$2:$L$5001,Apparitions!$G$2:$G$5001,A1950)),""))</f>
        <v/>
      </c>
      <c r="L1950" s="27" t="str">
        <f aca="false">IF(A1950="","",A1950&amp;" | "&amp;B1950&amp;IF(C1950="",""," ("&amp;C1950&amp;")")&amp;IF(D1950="",""," - "&amp;D1950))</f>
        <v/>
      </c>
    </row>
    <row r="1951" customFormat="false" ht="15" hidden="false" customHeight="false" outlineLevel="0" collapsed="false">
      <c r="A1951" s="32"/>
      <c r="B1951" s="19"/>
      <c r="C1951" s="19"/>
      <c r="D1951" s="19"/>
      <c r="E1951" s="21"/>
      <c r="F1951" s="19"/>
      <c r="G1951" s="27" t="str">
        <f aca="false">IF(B1951="","",IFERROR(INDEX(Jeux!$C$2:$C$3001,MATCH(B1951,Jeux!$A$2:$A$3001,0))&amp;"","⚠ jeu inconnu"))</f>
        <v/>
      </c>
      <c r="H1951" s="27" t="str">
        <f aca="false">IF(B1951="","",IFERROR(INDEX(Jeux!$D$2:$D$3001,MATCH(B1951,Jeux!$A$2:$A$3001,0))&amp;"",""))</f>
        <v/>
      </c>
      <c r="I1951" s="26" t="str">
        <f aca="false">IF(A1951="","",COUNTIF(Apparitions!$G$2:$G$5001,A1951))</f>
        <v/>
      </c>
      <c r="J1951" s="26" t="str">
        <f aca="false">IF(A1951="","",COUNTIFS(Apparitions!$G$2:$G$5001,A1951,Apparitions!$E$2:$E$5001,"○"))</f>
        <v/>
      </c>
      <c r="K1951" s="29" t="str">
        <f aca="false">IF(A1951="","",IFERROR(1/(1/_xlfn.MINIFS(Apparitions!$L$2:$L$5001,Apparitions!$G$2:$G$5001,A1951)),""))</f>
        <v/>
      </c>
      <c r="L1951" s="27" t="str">
        <f aca="false">IF(A1951="","",A1951&amp;" | "&amp;B1951&amp;IF(C1951="",""," ("&amp;C1951&amp;")")&amp;IF(D1951="",""," - "&amp;D1951))</f>
        <v/>
      </c>
    </row>
    <row r="1952" customFormat="false" ht="15" hidden="false" customHeight="false" outlineLevel="0" collapsed="false">
      <c r="A1952" s="32"/>
      <c r="B1952" s="19"/>
      <c r="C1952" s="19"/>
      <c r="D1952" s="19"/>
      <c r="E1952" s="21"/>
      <c r="F1952" s="19"/>
      <c r="G1952" s="27" t="str">
        <f aca="false">IF(B1952="","",IFERROR(INDEX(Jeux!$C$2:$C$3001,MATCH(B1952,Jeux!$A$2:$A$3001,0))&amp;"","⚠ jeu inconnu"))</f>
        <v/>
      </c>
      <c r="H1952" s="27" t="str">
        <f aca="false">IF(B1952="","",IFERROR(INDEX(Jeux!$D$2:$D$3001,MATCH(B1952,Jeux!$A$2:$A$3001,0))&amp;"",""))</f>
        <v/>
      </c>
      <c r="I1952" s="26" t="str">
        <f aca="false">IF(A1952="","",COUNTIF(Apparitions!$G$2:$G$5001,A1952))</f>
        <v/>
      </c>
      <c r="J1952" s="26" t="str">
        <f aca="false">IF(A1952="","",COUNTIFS(Apparitions!$G$2:$G$5001,A1952,Apparitions!$E$2:$E$5001,"○"))</f>
        <v/>
      </c>
      <c r="K1952" s="29" t="str">
        <f aca="false">IF(A1952="","",IFERROR(1/(1/_xlfn.MINIFS(Apparitions!$L$2:$L$5001,Apparitions!$G$2:$G$5001,A1952)),""))</f>
        <v/>
      </c>
      <c r="L1952" s="27" t="str">
        <f aca="false">IF(A1952="","",A1952&amp;" | "&amp;B1952&amp;IF(C1952="",""," ("&amp;C1952&amp;")")&amp;IF(D1952="",""," - "&amp;D1952))</f>
        <v/>
      </c>
    </row>
    <row r="1953" customFormat="false" ht="15" hidden="false" customHeight="false" outlineLevel="0" collapsed="false">
      <c r="A1953" s="32"/>
      <c r="B1953" s="19"/>
      <c r="C1953" s="19"/>
      <c r="D1953" s="19"/>
      <c r="E1953" s="21"/>
      <c r="F1953" s="19"/>
      <c r="G1953" s="27" t="str">
        <f aca="false">IF(B1953="","",IFERROR(INDEX(Jeux!$C$2:$C$3001,MATCH(B1953,Jeux!$A$2:$A$3001,0))&amp;"","⚠ jeu inconnu"))</f>
        <v/>
      </c>
      <c r="H1953" s="27" t="str">
        <f aca="false">IF(B1953="","",IFERROR(INDEX(Jeux!$D$2:$D$3001,MATCH(B1953,Jeux!$A$2:$A$3001,0))&amp;"",""))</f>
        <v/>
      </c>
      <c r="I1953" s="26" t="str">
        <f aca="false">IF(A1953="","",COUNTIF(Apparitions!$G$2:$G$5001,A1953))</f>
        <v/>
      </c>
      <c r="J1953" s="26" t="str">
        <f aca="false">IF(A1953="","",COUNTIFS(Apparitions!$G$2:$G$5001,A1953,Apparitions!$E$2:$E$5001,"○"))</f>
        <v/>
      </c>
      <c r="K1953" s="29" t="str">
        <f aca="false">IF(A1953="","",IFERROR(1/(1/_xlfn.MINIFS(Apparitions!$L$2:$L$5001,Apparitions!$G$2:$G$5001,A1953)),""))</f>
        <v/>
      </c>
      <c r="L1953" s="27" t="str">
        <f aca="false">IF(A1953="","",A1953&amp;" | "&amp;B1953&amp;IF(C1953="",""," ("&amp;C1953&amp;")")&amp;IF(D1953="",""," - "&amp;D1953))</f>
        <v/>
      </c>
    </row>
    <row r="1954" customFormat="false" ht="15" hidden="false" customHeight="false" outlineLevel="0" collapsed="false">
      <c r="A1954" s="32"/>
      <c r="B1954" s="19"/>
      <c r="C1954" s="19"/>
      <c r="D1954" s="19"/>
      <c r="E1954" s="21"/>
      <c r="F1954" s="19"/>
      <c r="G1954" s="27" t="str">
        <f aca="false">IF(B1954="","",IFERROR(INDEX(Jeux!$C$2:$C$3001,MATCH(B1954,Jeux!$A$2:$A$3001,0))&amp;"","⚠ jeu inconnu"))</f>
        <v/>
      </c>
      <c r="H1954" s="27" t="str">
        <f aca="false">IF(B1954="","",IFERROR(INDEX(Jeux!$D$2:$D$3001,MATCH(B1954,Jeux!$A$2:$A$3001,0))&amp;"",""))</f>
        <v/>
      </c>
      <c r="I1954" s="26" t="str">
        <f aca="false">IF(A1954="","",COUNTIF(Apparitions!$G$2:$G$5001,A1954))</f>
        <v/>
      </c>
      <c r="J1954" s="26" t="str">
        <f aca="false">IF(A1954="","",COUNTIFS(Apparitions!$G$2:$G$5001,A1954,Apparitions!$E$2:$E$5001,"○"))</f>
        <v/>
      </c>
      <c r="K1954" s="29" t="str">
        <f aca="false">IF(A1954="","",IFERROR(1/(1/_xlfn.MINIFS(Apparitions!$L$2:$L$5001,Apparitions!$G$2:$G$5001,A1954)),""))</f>
        <v/>
      </c>
      <c r="L1954" s="27" t="str">
        <f aca="false">IF(A1954="","",A1954&amp;" | "&amp;B1954&amp;IF(C1954="",""," ("&amp;C1954&amp;")")&amp;IF(D1954="",""," - "&amp;D1954))</f>
        <v/>
      </c>
    </row>
    <row r="1955" customFormat="false" ht="15" hidden="false" customHeight="false" outlineLevel="0" collapsed="false">
      <c r="A1955" s="32"/>
      <c r="B1955" s="19"/>
      <c r="C1955" s="19"/>
      <c r="D1955" s="19"/>
      <c r="E1955" s="21"/>
      <c r="F1955" s="19"/>
      <c r="G1955" s="27" t="str">
        <f aca="false">IF(B1955="","",IFERROR(INDEX(Jeux!$C$2:$C$3001,MATCH(B1955,Jeux!$A$2:$A$3001,0))&amp;"","⚠ jeu inconnu"))</f>
        <v/>
      </c>
      <c r="H1955" s="27" t="str">
        <f aca="false">IF(B1955="","",IFERROR(INDEX(Jeux!$D$2:$D$3001,MATCH(B1955,Jeux!$A$2:$A$3001,0))&amp;"",""))</f>
        <v/>
      </c>
      <c r="I1955" s="26" t="str">
        <f aca="false">IF(A1955="","",COUNTIF(Apparitions!$G$2:$G$5001,A1955))</f>
        <v/>
      </c>
      <c r="J1955" s="26" t="str">
        <f aca="false">IF(A1955="","",COUNTIFS(Apparitions!$G$2:$G$5001,A1955,Apparitions!$E$2:$E$5001,"○"))</f>
        <v/>
      </c>
      <c r="K1955" s="29" t="str">
        <f aca="false">IF(A1955="","",IFERROR(1/(1/_xlfn.MINIFS(Apparitions!$L$2:$L$5001,Apparitions!$G$2:$G$5001,A1955)),""))</f>
        <v/>
      </c>
      <c r="L1955" s="27" t="str">
        <f aca="false">IF(A1955="","",A1955&amp;" | "&amp;B1955&amp;IF(C1955="",""," ("&amp;C1955&amp;")")&amp;IF(D1955="",""," - "&amp;D1955))</f>
        <v/>
      </c>
    </row>
    <row r="1956" customFormat="false" ht="15" hidden="false" customHeight="false" outlineLevel="0" collapsed="false">
      <c r="A1956" s="32"/>
      <c r="B1956" s="19"/>
      <c r="C1956" s="19"/>
      <c r="D1956" s="19"/>
      <c r="E1956" s="21"/>
      <c r="F1956" s="19"/>
      <c r="G1956" s="27" t="str">
        <f aca="false">IF(B1956="","",IFERROR(INDEX(Jeux!$C$2:$C$3001,MATCH(B1956,Jeux!$A$2:$A$3001,0))&amp;"","⚠ jeu inconnu"))</f>
        <v/>
      </c>
      <c r="H1956" s="27" t="str">
        <f aca="false">IF(B1956="","",IFERROR(INDEX(Jeux!$D$2:$D$3001,MATCH(B1956,Jeux!$A$2:$A$3001,0))&amp;"",""))</f>
        <v/>
      </c>
      <c r="I1956" s="26" t="str">
        <f aca="false">IF(A1956="","",COUNTIF(Apparitions!$G$2:$G$5001,A1956))</f>
        <v/>
      </c>
      <c r="J1956" s="26" t="str">
        <f aca="false">IF(A1956="","",COUNTIFS(Apparitions!$G$2:$G$5001,A1956,Apparitions!$E$2:$E$5001,"○"))</f>
        <v/>
      </c>
      <c r="K1956" s="29" t="str">
        <f aca="false">IF(A1956="","",IFERROR(1/(1/_xlfn.MINIFS(Apparitions!$L$2:$L$5001,Apparitions!$G$2:$G$5001,A1956)),""))</f>
        <v/>
      </c>
      <c r="L1956" s="27" t="str">
        <f aca="false">IF(A1956="","",A1956&amp;" | "&amp;B1956&amp;IF(C1956="",""," ("&amp;C1956&amp;")")&amp;IF(D1956="",""," - "&amp;D1956))</f>
        <v/>
      </c>
    </row>
    <row r="1957" customFormat="false" ht="15" hidden="false" customHeight="false" outlineLevel="0" collapsed="false">
      <c r="A1957" s="32"/>
      <c r="B1957" s="19"/>
      <c r="C1957" s="19"/>
      <c r="D1957" s="19"/>
      <c r="E1957" s="21"/>
      <c r="F1957" s="19"/>
      <c r="G1957" s="27" t="str">
        <f aca="false">IF(B1957="","",IFERROR(INDEX(Jeux!$C$2:$C$3001,MATCH(B1957,Jeux!$A$2:$A$3001,0))&amp;"","⚠ jeu inconnu"))</f>
        <v/>
      </c>
      <c r="H1957" s="27" t="str">
        <f aca="false">IF(B1957="","",IFERROR(INDEX(Jeux!$D$2:$D$3001,MATCH(B1957,Jeux!$A$2:$A$3001,0))&amp;"",""))</f>
        <v/>
      </c>
      <c r="I1957" s="26" t="str">
        <f aca="false">IF(A1957="","",COUNTIF(Apparitions!$G$2:$G$5001,A1957))</f>
        <v/>
      </c>
      <c r="J1957" s="26" t="str">
        <f aca="false">IF(A1957="","",COUNTIFS(Apparitions!$G$2:$G$5001,A1957,Apparitions!$E$2:$E$5001,"○"))</f>
        <v/>
      </c>
      <c r="K1957" s="29" t="str">
        <f aca="false">IF(A1957="","",IFERROR(1/(1/_xlfn.MINIFS(Apparitions!$L$2:$L$5001,Apparitions!$G$2:$G$5001,A1957)),""))</f>
        <v/>
      </c>
      <c r="L1957" s="27" t="str">
        <f aca="false">IF(A1957="","",A1957&amp;" | "&amp;B1957&amp;IF(C1957="",""," ("&amp;C1957&amp;")")&amp;IF(D1957="",""," - "&amp;D1957))</f>
        <v/>
      </c>
    </row>
    <row r="1958" customFormat="false" ht="15" hidden="false" customHeight="false" outlineLevel="0" collapsed="false">
      <c r="A1958" s="32"/>
      <c r="B1958" s="19"/>
      <c r="C1958" s="19"/>
      <c r="D1958" s="19"/>
      <c r="E1958" s="21"/>
      <c r="F1958" s="19"/>
      <c r="G1958" s="27" t="str">
        <f aca="false">IF(B1958="","",IFERROR(INDEX(Jeux!$C$2:$C$3001,MATCH(B1958,Jeux!$A$2:$A$3001,0))&amp;"","⚠ jeu inconnu"))</f>
        <v/>
      </c>
      <c r="H1958" s="27" t="str">
        <f aca="false">IF(B1958="","",IFERROR(INDEX(Jeux!$D$2:$D$3001,MATCH(B1958,Jeux!$A$2:$A$3001,0))&amp;"",""))</f>
        <v/>
      </c>
      <c r="I1958" s="26" t="str">
        <f aca="false">IF(A1958="","",COUNTIF(Apparitions!$G$2:$G$5001,A1958))</f>
        <v/>
      </c>
      <c r="J1958" s="26" t="str">
        <f aca="false">IF(A1958="","",COUNTIFS(Apparitions!$G$2:$G$5001,A1958,Apparitions!$E$2:$E$5001,"○"))</f>
        <v/>
      </c>
      <c r="K1958" s="29" t="str">
        <f aca="false">IF(A1958="","",IFERROR(1/(1/_xlfn.MINIFS(Apparitions!$L$2:$L$5001,Apparitions!$G$2:$G$5001,A1958)),""))</f>
        <v/>
      </c>
      <c r="L1958" s="27" t="str">
        <f aca="false">IF(A1958="","",A1958&amp;" | "&amp;B1958&amp;IF(C1958="",""," ("&amp;C1958&amp;")")&amp;IF(D1958="",""," - "&amp;D1958))</f>
        <v/>
      </c>
    </row>
    <row r="1959" customFormat="false" ht="15" hidden="false" customHeight="false" outlineLevel="0" collapsed="false">
      <c r="A1959" s="32"/>
      <c r="B1959" s="19"/>
      <c r="C1959" s="19"/>
      <c r="D1959" s="19"/>
      <c r="E1959" s="21"/>
      <c r="F1959" s="19"/>
      <c r="G1959" s="27" t="str">
        <f aca="false">IF(B1959="","",IFERROR(INDEX(Jeux!$C$2:$C$3001,MATCH(B1959,Jeux!$A$2:$A$3001,0))&amp;"","⚠ jeu inconnu"))</f>
        <v/>
      </c>
      <c r="H1959" s="27" t="str">
        <f aca="false">IF(B1959="","",IFERROR(INDEX(Jeux!$D$2:$D$3001,MATCH(B1959,Jeux!$A$2:$A$3001,0))&amp;"",""))</f>
        <v/>
      </c>
      <c r="I1959" s="26" t="str">
        <f aca="false">IF(A1959="","",COUNTIF(Apparitions!$G$2:$G$5001,A1959))</f>
        <v/>
      </c>
      <c r="J1959" s="26" t="str">
        <f aca="false">IF(A1959="","",COUNTIFS(Apparitions!$G$2:$G$5001,A1959,Apparitions!$E$2:$E$5001,"○"))</f>
        <v/>
      </c>
      <c r="K1959" s="29" t="str">
        <f aca="false">IF(A1959="","",IFERROR(1/(1/_xlfn.MINIFS(Apparitions!$L$2:$L$5001,Apparitions!$G$2:$G$5001,A1959)),""))</f>
        <v/>
      </c>
      <c r="L1959" s="27" t="str">
        <f aca="false">IF(A1959="","",A1959&amp;" | "&amp;B1959&amp;IF(C1959="",""," ("&amp;C1959&amp;")")&amp;IF(D1959="",""," - "&amp;D1959))</f>
        <v/>
      </c>
    </row>
    <row r="1960" customFormat="false" ht="15" hidden="false" customHeight="false" outlineLevel="0" collapsed="false">
      <c r="A1960" s="32"/>
      <c r="B1960" s="19"/>
      <c r="C1960" s="19"/>
      <c r="D1960" s="19"/>
      <c r="E1960" s="21"/>
      <c r="F1960" s="19"/>
      <c r="G1960" s="27" t="str">
        <f aca="false">IF(B1960="","",IFERROR(INDEX(Jeux!$C$2:$C$3001,MATCH(B1960,Jeux!$A$2:$A$3001,0))&amp;"","⚠ jeu inconnu"))</f>
        <v/>
      </c>
      <c r="H1960" s="27" t="str">
        <f aca="false">IF(B1960="","",IFERROR(INDEX(Jeux!$D$2:$D$3001,MATCH(B1960,Jeux!$A$2:$A$3001,0))&amp;"",""))</f>
        <v/>
      </c>
      <c r="I1960" s="26" t="str">
        <f aca="false">IF(A1960="","",COUNTIF(Apparitions!$G$2:$G$5001,A1960))</f>
        <v/>
      </c>
      <c r="J1960" s="26" t="str">
        <f aca="false">IF(A1960="","",COUNTIFS(Apparitions!$G$2:$G$5001,A1960,Apparitions!$E$2:$E$5001,"○"))</f>
        <v/>
      </c>
      <c r="K1960" s="29" t="str">
        <f aca="false">IF(A1960="","",IFERROR(1/(1/_xlfn.MINIFS(Apparitions!$L$2:$L$5001,Apparitions!$G$2:$G$5001,A1960)),""))</f>
        <v/>
      </c>
      <c r="L1960" s="27" t="str">
        <f aca="false">IF(A1960="","",A1960&amp;" | "&amp;B1960&amp;IF(C1960="",""," ("&amp;C1960&amp;")")&amp;IF(D1960="",""," - "&amp;D1960))</f>
        <v/>
      </c>
    </row>
    <row r="1961" customFormat="false" ht="15" hidden="false" customHeight="false" outlineLevel="0" collapsed="false">
      <c r="A1961" s="32"/>
      <c r="B1961" s="19"/>
      <c r="C1961" s="19"/>
      <c r="D1961" s="19"/>
      <c r="E1961" s="21"/>
      <c r="F1961" s="19"/>
      <c r="G1961" s="27" t="str">
        <f aca="false">IF(B1961="","",IFERROR(INDEX(Jeux!$C$2:$C$3001,MATCH(B1961,Jeux!$A$2:$A$3001,0))&amp;"","⚠ jeu inconnu"))</f>
        <v/>
      </c>
      <c r="H1961" s="27" t="str">
        <f aca="false">IF(B1961="","",IFERROR(INDEX(Jeux!$D$2:$D$3001,MATCH(B1961,Jeux!$A$2:$A$3001,0))&amp;"",""))</f>
        <v/>
      </c>
      <c r="I1961" s="26" t="str">
        <f aca="false">IF(A1961="","",COUNTIF(Apparitions!$G$2:$G$5001,A1961))</f>
        <v/>
      </c>
      <c r="J1961" s="26" t="str">
        <f aca="false">IF(A1961="","",COUNTIFS(Apparitions!$G$2:$G$5001,A1961,Apparitions!$E$2:$E$5001,"○"))</f>
        <v/>
      </c>
      <c r="K1961" s="29" t="str">
        <f aca="false">IF(A1961="","",IFERROR(1/(1/_xlfn.MINIFS(Apparitions!$L$2:$L$5001,Apparitions!$G$2:$G$5001,A1961)),""))</f>
        <v/>
      </c>
      <c r="L1961" s="27" t="str">
        <f aca="false">IF(A1961="","",A1961&amp;" | "&amp;B1961&amp;IF(C1961="",""," ("&amp;C1961&amp;")")&amp;IF(D1961="",""," - "&amp;D1961))</f>
        <v/>
      </c>
    </row>
    <row r="1962" customFormat="false" ht="15" hidden="false" customHeight="false" outlineLevel="0" collapsed="false">
      <c r="A1962" s="32"/>
      <c r="B1962" s="19"/>
      <c r="C1962" s="19"/>
      <c r="D1962" s="19"/>
      <c r="E1962" s="21"/>
      <c r="F1962" s="19"/>
      <c r="G1962" s="27" t="str">
        <f aca="false">IF(B1962="","",IFERROR(INDEX(Jeux!$C$2:$C$3001,MATCH(B1962,Jeux!$A$2:$A$3001,0))&amp;"","⚠ jeu inconnu"))</f>
        <v/>
      </c>
      <c r="H1962" s="27" t="str">
        <f aca="false">IF(B1962="","",IFERROR(INDEX(Jeux!$D$2:$D$3001,MATCH(B1962,Jeux!$A$2:$A$3001,0))&amp;"",""))</f>
        <v/>
      </c>
      <c r="I1962" s="26" t="str">
        <f aca="false">IF(A1962="","",COUNTIF(Apparitions!$G$2:$G$5001,A1962))</f>
        <v/>
      </c>
      <c r="J1962" s="26" t="str">
        <f aca="false">IF(A1962="","",COUNTIFS(Apparitions!$G$2:$G$5001,A1962,Apparitions!$E$2:$E$5001,"○"))</f>
        <v/>
      </c>
      <c r="K1962" s="29" t="str">
        <f aca="false">IF(A1962="","",IFERROR(1/(1/_xlfn.MINIFS(Apparitions!$L$2:$L$5001,Apparitions!$G$2:$G$5001,A1962)),""))</f>
        <v/>
      </c>
      <c r="L1962" s="27" t="str">
        <f aca="false">IF(A1962="","",A1962&amp;" | "&amp;B1962&amp;IF(C1962="",""," ("&amp;C1962&amp;")")&amp;IF(D1962="",""," - "&amp;D1962))</f>
        <v/>
      </c>
    </row>
    <row r="1963" customFormat="false" ht="15" hidden="false" customHeight="false" outlineLevel="0" collapsed="false">
      <c r="A1963" s="32"/>
      <c r="B1963" s="19"/>
      <c r="C1963" s="19"/>
      <c r="D1963" s="19"/>
      <c r="E1963" s="21"/>
      <c r="F1963" s="19"/>
      <c r="G1963" s="27" t="str">
        <f aca="false">IF(B1963="","",IFERROR(INDEX(Jeux!$C$2:$C$3001,MATCH(B1963,Jeux!$A$2:$A$3001,0))&amp;"","⚠ jeu inconnu"))</f>
        <v/>
      </c>
      <c r="H1963" s="27" t="str">
        <f aca="false">IF(B1963="","",IFERROR(INDEX(Jeux!$D$2:$D$3001,MATCH(B1963,Jeux!$A$2:$A$3001,0))&amp;"",""))</f>
        <v/>
      </c>
      <c r="I1963" s="26" t="str">
        <f aca="false">IF(A1963="","",COUNTIF(Apparitions!$G$2:$G$5001,A1963))</f>
        <v/>
      </c>
      <c r="J1963" s="26" t="str">
        <f aca="false">IF(A1963="","",COUNTIFS(Apparitions!$G$2:$G$5001,A1963,Apparitions!$E$2:$E$5001,"○"))</f>
        <v/>
      </c>
      <c r="K1963" s="29" t="str">
        <f aca="false">IF(A1963="","",IFERROR(1/(1/_xlfn.MINIFS(Apparitions!$L$2:$L$5001,Apparitions!$G$2:$G$5001,A1963)),""))</f>
        <v/>
      </c>
      <c r="L1963" s="27" t="str">
        <f aca="false">IF(A1963="","",A1963&amp;" | "&amp;B1963&amp;IF(C1963="",""," ("&amp;C1963&amp;")")&amp;IF(D1963="",""," - "&amp;D1963))</f>
        <v/>
      </c>
    </row>
    <row r="1964" customFormat="false" ht="15" hidden="false" customHeight="false" outlineLevel="0" collapsed="false">
      <c r="A1964" s="32"/>
      <c r="B1964" s="19"/>
      <c r="C1964" s="19"/>
      <c r="D1964" s="19"/>
      <c r="E1964" s="21"/>
      <c r="F1964" s="19"/>
      <c r="G1964" s="27" t="str">
        <f aca="false">IF(B1964="","",IFERROR(INDEX(Jeux!$C$2:$C$3001,MATCH(B1964,Jeux!$A$2:$A$3001,0))&amp;"","⚠ jeu inconnu"))</f>
        <v/>
      </c>
      <c r="H1964" s="27" t="str">
        <f aca="false">IF(B1964="","",IFERROR(INDEX(Jeux!$D$2:$D$3001,MATCH(B1964,Jeux!$A$2:$A$3001,0))&amp;"",""))</f>
        <v/>
      </c>
      <c r="I1964" s="26" t="str">
        <f aca="false">IF(A1964="","",COUNTIF(Apparitions!$G$2:$G$5001,A1964))</f>
        <v/>
      </c>
      <c r="J1964" s="26" t="str">
        <f aca="false">IF(A1964="","",COUNTIFS(Apparitions!$G$2:$G$5001,A1964,Apparitions!$E$2:$E$5001,"○"))</f>
        <v/>
      </c>
      <c r="K1964" s="29" t="str">
        <f aca="false">IF(A1964="","",IFERROR(1/(1/_xlfn.MINIFS(Apparitions!$L$2:$L$5001,Apparitions!$G$2:$G$5001,A1964)),""))</f>
        <v/>
      </c>
      <c r="L1964" s="27" t="str">
        <f aca="false">IF(A1964="","",A1964&amp;" | "&amp;B1964&amp;IF(C1964="",""," ("&amp;C1964&amp;")")&amp;IF(D1964="",""," - "&amp;D1964))</f>
        <v/>
      </c>
    </row>
    <row r="1965" customFormat="false" ht="15" hidden="false" customHeight="false" outlineLevel="0" collapsed="false">
      <c r="A1965" s="32"/>
      <c r="B1965" s="19"/>
      <c r="C1965" s="19"/>
      <c r="D1965" s="19"/>
      <c r="E1965" s="21"/>
      <c r="F1965" s="19"/>
      <c r="G1965" s="27" t="str">
        <f aca="false">IF(B1965="","",IFERROR(INDEX(Jeux!$C$2:$C$3001,MATCH(B1965,Jeux!$A$2:$A$3001,0))&amp;"","⚠ jeu inconnu"))</f>
        <v/>
      </c>
      <c r="H1965" s="27" t="str">
        <f aca="false">IF(B1965="","",IFERROR(INDEX(Jeux!$D$2:$D$3001,MATCH(B1965,Jeux!$A$2:$A$3001,0))&amp;"",""))</f>
        <v/>
      </c>
      <c r="I1965" s="26" t="str">
        <f aca="false">IF(A1965="","",COUNTIF(Apparitions!$G$2:$G$5001,A1965))</f>
        <v/>
      </c>
      <c r="J1965" s="26" t="str">
        <f aca="false">IF(A1965="","",COUNTIFS(Apparitions!$G$2:$G$5001,A1965,Apparitions!$E$2:$E$5001,"○"))</f>
        <v/>
      </c>
      <c r="K1965" s="29" t="str">
        <f aca="false">IF(A1965="","",IFERROR(1/(1/_xlfn.MINIFS(Apparitions!$L$2:$L$5001,Apparitions!$G$2:$G$5001,A1965)),""))</f>
        <v/>
      </c>
      <c r="L1965" s="27" t="str">
        <f aca="false">IF(A1965="","",A1965&amp;" | "&amp;B1965&amp;IF(C1965="",""," ("&amp;C1965&amp;")")&amp;IF(D1965="",""," - "&amp;D1965))</f>
        <v/>
      </c>
    </row>
    <row r="1966" customFormat="false" ht="15" hidden="false" customHeight="false" outlineLevel="0" collapsed="false">
      <c r="A1966" s="32"/>
      <c r="B1966" s="19"/>
      <c r="C1966" s="19"/>
      <c r="D1966" s="19"/>
      <c r="E1966" s="21"/>
      <c r="F1966" s="19"/>
      <c r="G1966" s="27" t="str">
        <f aca="false">IF(B1966="","",IFERROR(INDEX(Jeux!$C$2:$C$3001,MATCH(B1966,Jeux!$A$2:$A$3001,0))&amp;"","⚠ jeu inconnu"))</f>
        <v/>
      </c>
      <c r="H1966" s="27" t="str">
        <f aca="false">IF(B1966="","",IFERROR(INDEX(Jeux!$D$2:$D$3001,MATCH(B1966,Jeux!$A$2:$A$3001,0))&amp;"",""))</f>
        <v/>
      </c>
      <c r="I1966" s="26" t="str">
        <f aca="false">IF(A1966="","",COUNTIF(Apparitions!$G$2:$G$5001,A1966))</f>
        <v/>
      </c>
      <c r="J1966" s="26" t="str">
        <f aca="false">IF(A1966="","",COUNTIFS(Apparitions!$G$2:$G$5001,A1966,Apparitions!$E$2:$E$5001,"○"))</f>
        <v/>
      </c>
      <c r="K1966" s="29" t="str">
        <f aca="false">IF(A1966="","",IFERROR(1/(1/_xlfn.MINIFS(Apparitions!$L$2:$L$5001,Apparitions!$G$2:$G$5001,A1966)),""))</f>
        <v/>
      </c>
      <c r="L1966" s="27" t="str">
        <f aca="false">IF(A1966="","",A1966&amp;" | "&amp;B1966&amp;IF(C1966="",""," ("&amp;C1966&amp;")")&amp;IF(D1966="",""," - "&amp;D1966))</f>
        <v/>
      </c>
    </row>
    <row r="1967" customFormat="false" ht="15" hidden="false" customHeight="false" outlineLevel="0" collapsed="false">
      <c r="A1967" s="32"/>
      <c r="B1967" s="19"/>
      <c r="C1967" s="19"/>
      <c r="D1967" s="19"/>
      <c r="E1967" s="21"/>
      <c r="F1967" s="19"/>
      <c r="G1967" s="27" t="str">
        <f aca="false">IF(B1967="","",IFERROR(INDEX(Jeux!$C$2:$C$3001,MATCH(B1967,Jeux!$A$2:$A$3001,0))&amp;"","⚠ jeu inconnu"))</f>
        <v/>
      </c>
      <c r="H1967" s="27" t="str">
        <f aca="false">IF(B1967="","",IFERROR(INDEX(Jeux!$D$2:$D$3001,MATCH(B1967,Jeux!$A$2:$A$3001,0))&amp;"",""))</f>
        <v/>
      </c>
      <c r="I1967" s="26" t="str">
        <f aca="false">IF(A1967="","",COUNTIF(Apparitions!$G$2:$G$5001,A1967))</f>
        <v/>
      </c>
      <c r="J1967" s="26" t="str">
        <f aca="false">IF(A1967="","",COUNTIFS(Apparitions!$G$2:$G$5001,A1967,Apparitions!$E$2:$E$5001,"○"))</f>
        <v/>
      </c>
      <c r="K1967" s="29" t="str">
        <f aca="false">IF(A1967="","",IFERROR(1/(1/_xlfn.MINIFS(Apparitions!$L$2:$L$5001,Apparitions!$G$2:$G$5001,A1967)),""))</f>
        <v/>
      </c>
      <c r="L1967" s="27" t="str">
        <f aca="false">IF(A1967="","",A1967&amp;" | "&amp;B1967&amp;IF(C1967="",""," ("&amp;C1967&amp;")")&amp;IF(D1967="",""," - "&amp;D1967))</f>
        <v/>
      </c>
    </row>
    <row r="1968" customFormat="false" ht="15" hidden="false" customHeight="false" outlineLevel="0" collapsed="false">
      <c r="A1968" s="32"/>
      <c r="B1968" s="19"/>
      <c r="C1968" s="19"/>
      <c r="D1968" s="19"/>
      <c r="E1968" s="21"/>
      <c r="F1968" s="19"/>
      <c r="G1968" s="27" t="str">
        <f aca="false">IF(B1968="","",IFERROR(INDEX(Jeux!$C$2:$C$3001,MATCH(B1968,Jeux!$A$2:$A$3001,0))&amp;"","⚠ jeu inconnu"))</f>
        <v/>
      </c>
      <c r="H1968" s="27" t="str">
        <f aca="false">IF(B1968="","",IFERROR(INDEX(Jeux!$D$2:$D$3001,MATCH(B1968,Jeux!$A$2:$A$3001,0))&amp;"",""))</f>
        <v/>
      </c>
      <c r="I1968" s="26" t="str">
        <f aca="false">IF(A1968="","",COUNTIF(Apparitions!$G$2:$G$5001,A1968))</f>
        <v/>
      </c>
      <c r="J1968" s="26" t="str">
        <f aca="false">IF(A1968="","",COUNTIFS(Apparitions!$G$2:$G$5001,A1968,Apparitions!$E$2:$E$5001,"○"))</f>
        <v/>
      </c>
      <c r="K1968" s="29" t="str">
        <f aca="false">IF(A1968="","",IFERROR(1/(1/_xlfn.MINIFS(Apparitions!$L$2:$L$5001,Apparitions!$G$2:$G$5001,A1968)),""))</f>
        <v/>
      </c>
      <c r="L1968" s="27" t="str">
        <f aca="false">IF(A1968="","",A1968&amp;" | "&amp;B1968&amp;IF(C1968="",""," ("&amp;C1968&amp;")")&amp;IF(D1968="",""," - "&amp;D1968))</f>
        <v/>
      </c>
    </row>
    <row r="1969" customFormat="false" ht="15" hidden="false" customHeight="false" outlineLevel="0" collapsed="false">
      <c r="A1969" s="32"/>
      <c r="B1969" s="19"/>
      <c r="C1969" s="19"/>
      <c r="D1969" s="19"/>
      <c r="E1969" s="21"/>
      <c r="F1969" s="19"/>
      <c r="G1969" s="27" t="str">
        <f aca="false">IF(B1969="","",IFERROR(INDEX(Jeux!$C$2:$C$3001,MATCH(B1969,Jeux!$A$2:$A$3001,0))&amp;"","⚠ jeu inconnu"))</f>
        <v/>
      </c>
      <c r="H1969" s="27" t="str">
        <f aca="false">IF(B1969="","",IFERROR(INDEX(Jeux!$D$2:$D$3001,MATCH(B1969,Jeux!$A$2:$A$3001,0))&amp;"",""))</f>
        <v/>
      </c>
      <c r="I1969" s="26" t="str">
        <f aca="false">IF(A1969="","",COUNTIF(Apparitions!$G$2:$G$5001,A1969))</f>
        <v/>
      </c>
      <c r="J1969" s="26" t="str">
        <f aca="false">IF(A1969="","",COUNTIFS(Apparitions!$G$2:$G$5001,A1969,Apparitions!$E$2:$E$5001,"○"))</f>
        <v/>
      </c>
      <c r="K1969" s="29" t="str">
        <f aca="false">IF(A1969="","",IFERROR(1/(1/_xlfn.MINIFS(Apparitions!$L$2:$L$5001,Apparitions!$G$2:$G$5001,A1969)),""))</f>
        <v/>
      </c>
      <c r="L1969" s="27" t="str">
        <f aca="false">IF(A1969="","",A1969&amp;" | "&amp;B1969&amp;IF(C1969="",""," ("&amp;C1969&amp;")")&amp;IF(D1969="",""," - "&amp;D1969))</f>
        <v/>
      </c>
    </row>
    <row r="1970" customFormat="false" ht="15" hidden="false" customHeight="false" outlineLevel="0" collapsed="false">
      <c r="A1970" s="32"/>
      <c r="B1970" s="19"/>
      <c r="C1970" s="19"/>
      <c r="D1970" s="19"/>
      <c r="E1970" s="21"/>
      <c r="F1970" s="19"/>
      <c r="G1970" s="27" t="str">
        <f aca="false">IF(B1970="","",IFERROR(INDEX(Jeux!$C$2:$C$3001,MATCH(B1970,Jeux!$A$2:$A$3001,0))&amp;"","⚠ jeu inconnu"))</f>
        <v/>
      </c>
      <c r="H1970" s="27" t="str">
        <f aca="false">IF(B1970="","",IFERROR(INDEX(Jeux!$D$2:$D$3001,MATCH(B1970,Jeux!$A$2:$A$3001,0))&amp;"",""))</f>
        <v/>
      </c>
      <c r="I1970" s="26" t="str">
        <f aca="false">IF(A1970="","",COUNTIF(Apparitions!$G$2:$G$5001,A1970))</f>
        <v/>
      </c>
      <c r="J1970" s="26" t="str">
        <f aca="false">IF(A1970="","",COUNTIFS(Apparitions!$G$2:$G$5001,A1970,Apparitions!$E$2:$E$5001,"○"))</f>
        <v/>
      </c>
      <c r="K1970" s="29" t="str">
        <f aca="false">IF(A1970="","",IFERROR(1/(1/_xlfn.MINIFS(Apparitions!$L$2:$L$5001,Apparitions!$G$2:$G$5001,A1970)),""))</f>
        <v/>
      </c>
      <c r="L1970" s="27" t="str">
        <f aca="false">IF(A1970="","",A1970&amp;" | "&amp;B1970&amp;IF(C1970="",""," ("&amp;C1970&amp;")")&amp;IF(D1970="",""," - "&amp;D1970))</f>
        <v/>
      </c>
    </row>
    <row r="1971" customFormat="false" ht="15" hidden="false" customHeight="false" outlineLevel="0" collapsed="false">
      <c r="A1971" s="32"/>
      <c r="B1971" s="19"/>
      <c r="C1971" s="19"/>
      <c r="D1971" s="19"/>
      <c r="E1971" s="21"/>
      <c r="F1971" s="19"/>
      <c r="G1971" s="27" t="str">
        <f aca="false">IF(B1971="","",IFERROR(INDEX(Jeux!$C$2:$C$3001,MATCH(B1971,Jeux!$A$2:$A$3001,0))&amp;"","⚠ jeu inconnu"))</f>
        <v/>
      </c>
      <c r="H1971" s="27" t="str">
        <f aca="false">IF(B1971="","",IFERROR(INDEX(Jeux!$D$2:$D$3001,MATCH(B1971,Jeux!$A$2:$A$3001,0))&amp;"",""))</f>
        <v/>
      </c>
      <c r="I1971" s="26" t="str">
        <f aca="false">IF(A1971="","",COUNTIF(Apparitions!$G$2:$G$5001,A1971))</f>
        <v/>
      </c>
      <c r="J1971" s="26" t="str">
        <f aca="false">IF(A1971="","",COUNTIFS(Apparitions!$G$2:$G$5001,A1971,Apparitions!$E$2:$E$5001,"○"))</f>
        <v/>
      </c>
      <c r="K1971" s="29" t="str">
        <f aca="false">IF(A1971="","",IFERROR(1/(1/_xlfn.MINIFS(Apparitions!$L$2:$L$5001,Apparitions!$G$2:$G$5001,A1971)),""))</f>
        <v/>
      </c>
      <c r="L1971" s="27" t="str">
        <f aca="false">IF(A1971="","",A1971&amp;" | "&amp;B1971&amp;IF(C1971="",""," ("&amp;C1971&amp;")")&amp;IF(D1971="",""," - "&amp;D1971))</f>
        <v/>
      </c>
    </row>
    <row r="1972" customFormat="false" ht="15" hidden="false" customHeight="false" outlineLevel="0" collapsed="false">
      <c r="A1972" s="32"/>
      <c r="B1972" s="19"/>
      <c r="C1972" s="19"/>
      <c r="D1972" s="19"/>
      <c r="E1972" s="21"/>
      <c r="F1972" s="19"/>
      <c r="G1972" s="27" t="str">
        <f aca="false">IF(B1972="","",IFERROR(INDEX(Jeux!$C$2:$C$3001,MATCH(B1972,Jeux!$A$2:$A$3001,0))&amp;"","⚠ jeu inconnu"))</f>
        <v/>
      </c>
      <c r="H1972" s="27" t="str">
        <f aca="false">IF(B1972="","",IFERROR(INDEX(Jeux!$D$2:$D$3001,MATCH(B1972,Jeux!$A$2:$A$3001,0))&amp;"",""))</f>
        <v/>
      </c>
      <c r="I1972" s="26" t="str">
        <f aca="false">IF(A1972="","",COUNTIF(Apparitions!$G$2:$G$5001,A1972))</f>
        <v/>
      </c>
      <c r="J1972" s="26" t="str">
        <f aca="false">IF(A1972="","",COUNTIFS(Apparitions!$G$2:$G$5001,A1972,Apparitions!$E$2:$E$5001,"○"))</f>
        <v/>
      </c>
      <c r="K1972" s="29" t="str">
        <f aca="false">IF(A1972="","",IFERROR(1/(1/_xlfn.MINIFS(Apparitions!$L$2:$L$5001,Apparitions!$G$2:$G$5001,A1972)),""))</f>
        <v/>
      </c>
      <c r="L1972" s="27" t="str">
        <f aca="false">IF(A1972="","",A1972&amp;" | "&amp;B1972&amp;IF(C1972="",""," ("&amp;C1972&amp;")")&amp;IF(D1972="",""," - "&amp;D1972))</f>
        <v/>
      </c>
    </row>
    <row r="1973" customFormat="false" ht="15" hidden="false" customHeight="false" outlineLevel="0" collapsed="false">
      <c r="A1973" s="32"/>
      <c r="B1973" s="19"/>
      <c r="C1973" s="19"/>
      <c r="D1973" s="19"/>
      <c r="E1973" s="21"/>
      <c r="F1973" s="19"/>
      <c r="G1973" s="27" t="str">
        <f aca="false">IF(B1973="","",IFERROR(INDEX(Jeux!$C$2:$C$3001,MATCH(B1973,Jeux!$A$2:$A$3001,0))&amp;"","⚠ jeu inconnu"))</f>
        <v/>
      </c>
      <c r="H1973" s="27" t="str">
        <f aca="false">IF(B1973="","",IFERROR(INDEX(Jeux!$D$2:$D$3001,MATCH(B1973,Jeux!$A$2:$A$3001,0))&amp;"",""))</f>
        <v/>
      </c>
      <c r="I1973" s="26" t="str">
        <f aca="false">IF(A1973="","",COUNTIF(Apparitions!$G$2:$G$5001,A1973))</f>
        <v/>
      </c>
      <c r="J1973" s="26" t="str">
        <f aca="false">IF(A1973="","",COUNTIFS(Apparitions!$G$2:$G$5001,A1973,Apparitions!$E$2:$E$5001,"○"))</f>
        <v/>
      </c>
      <c r="K1973" s="29" t="str">
        <f aca="false">IF(A1973="","",IFERROR(1/(1/_xlfn.MINIFS(Apparitions!$L$2:$L$5001,Apparitions!$G$2:$G$5001,A1973)),""))</f>
        <v/>
      </c>
      <c r="L1973" s="27" t="str">
        <f aca="false">IF(A1973="","",A1973&amp;" | "&amp;B1973&amp;IF(C1973="",""," ("&amp;C1973&amp;")")&amp;IF(D1973="",""," - "&amp;D1973))</f>
        <v/>
      </c>
    </row>
    <row r="1974" customFormat="false" ht="15" hidden="false" customHeight="false" outlineLevel="0" collapsed="false">
      <c r="A1974" s="32"/>
      <c r="B1974" s="19"/>
      <c r="C1974" s="19"/>
      <c r="D1974" s="19"/>
      <c r="E1974" s="21"/>
      <c r="F1974" s="19"/>
      <c r="G1974" s="27" t="str">
        <f aca="false">IF(B1974="","",IFERROR(INDEX(Jeux!$C$2:$C$3001,MATCH(B1974,Jeux!$A$2:$A$3001,0))&amp;"","⚠ jeu inconnu"))</f>
        <v/>
      </c>
      <c r="H1974" s="27" t="str">
        <f aca="false">IF(B1974="","",IFERROR(INDEX(Jeux!$D$2:$D$3001,MATCH(B1974,Jeux!$A$2:$A$3001,0))&amp;"",""))</f>
        <v/>
      </c>
      <c r="I1974" s="26" t="str">
        <f aca="false">IF(A1974="","",COUNTIF(Apparitions!$G$2:$G$5001,A1974))</f>
        <v/>
      </c>
      <c r="J1974" s="26" t="str">
        <f aca="false">IF(A1974="","",COUNTIFS(Apparitions!$G$2:$G$5001,A1974,Apparitions!$E$2:$E$5001,"○"))</f>
        <v/>
      </c>
      <c r="K1974" s="29" t="str">
        <f aca="false">IF(A1974="","",IFERROR(1/(1/_xlfn.MINIFS(Apparitions!$L$2:$L$5001,Apparitions!$G$2:$G$5001,A1974)),""))</f>
        <v/>
      </c>
      <c r="L1974" s="27" t="str">
        <f aca="false">IF(A1974="","",A1974&amp;" | "&amp;B1974&amp;IF(C1974="",""," ("&amp;C1974&amp;")")&amp;IF(D1974="",""," - "&amp;D1974))</f>
        <v/>
      </c>
    </row>
    <row r="1975" customFormat="false" ht="15" hidden="false" customHeight="false" outlineLevel="0" collapsed="false">
      <c r="A1975" s="32"/>
      <c r="B1975" s="19"/>
      <c r="C1975" s="19"/>
      <c r="D1975" s="19"/>
      <c r="E1975" s="21"/>
      <c r="F1975" s="19"/>
      <c r="G1975" s="27" t="str">
        <f aca="false">IF(B1975="","",IFERROR(INDEX(Jeux!$C$2:$C$3001,MATCH(B1975,Jeux!$A$2:$A$3001,0))&amp;"","⚠ jeu inconnu"))</f>
        <v/>
      </c>
      <c r="H1975" s="27" t="str">
        <f aca="false">IF(B1975="","",IFERROR(INDEX(Jeux!$D$2:$D$3001,MATCH(B1975,Jeux!$A$2:$A$3001,0))&amp;"",""))</f>
        <v/>
      </c>
      <c r="I1975" s="26" t="str">
        <f aca="false">IF(A1975="","",COUNTIF(Apparitions!$G$2:$G$5001,A1975))</f>
        <v/>
      </c>
      <c r="J1975" s="26" t="str">
        <f aca="false">IF(A1975="","",COUNTIFS(Apparitions!$G$2:$G$5001,A1975,Apparitions!$E$2:$E$5001,"○"))</f>
        <v/>
      </c>
      <c r="K1975" s="29" t="str">
        <f aca="false">IF(A1975="","",IFERROR(1/(1/_xlfn.MINIFS(Apparitions!$L$2:$L$5001,Apparitions!$G$2:$G$5001,A1975)),""))</f>
        <v/>
      </c>
      <c r="L1975" s="27" t="str">
        <f aca="false">IF(A1975="","",A1975&amp;" | "&amp;B1975&amp;IF(C1975="",""," ("&amp;C1975&amp;")")&amp;IF(D1975="",""," - "&amp;D1975))</f>
        <v/>
      </c>
    </row>
    <row r="1976" customFormat="false" ht="15" hidden="false" customHeight="false" outlineLevel="0" collapsed="false">
      <c r="A1976" s="32"/>
      <c r="B1976" s="19"/>
      <c r="C1976" s="19"/>
      <c r="D1976" s="19"/>
      <c r="E1976" s="21"/>
      <c r="F1976" s="19"/>
      <c r="G1976" s="27" t="str">
        <f aca="false">IF(B1976="","",IFERROR(INDEX(Jeux!$C$2:$C$3001,MATCH(B1976,Jeux!$A$2:$A$3001,0))&amp;"","⚠ jeu inconnu"))</f>
        <v/>
      </c>
      <c r="H1976" s="27" t="str">
        <f aca="false">IF(B1976="","",IFERROR(INDEX(Jeux!$D$2:$D$3001,MATCH(B1976,Jeux!$A$2:$A$3001,0))&amp;"",""))</f>
        <v/>
      </c>
      <c r="I1976" s="26" t="str">
        <f aca="false">IF(A1976="","",COUNTIF(Apparitions!$G$2:$G$5001,A1976))</f>
        <v/>
      </c>
      <c r="J1976" s="26" t="str">
        <f aca="false">IF(A1976="","",COUNTIFS(Apparitions!$G$2:$G$5001,A1976,Apparitions!$E$2:$E$5001,"○"))</f>
        <v/>
      </c>
      <c r="K1976" s="29" t="str">
        <f aca="false">IF(A1976="","",IFERROR(1/(1/_xlfn.MINIFS(Apparitions!$L$2:$L$5001,Apparitions!$G$2:$G$5001,A1976)),""))</f>
        <v/>
      </c>
      <c r="L1976" s="27" t="str">
        <f aca="false">IF(A1976="","",A1976&amp;" | "&amp;B1976&amp;IF(C1976="",""," ("&amp;C1976&amp;")")&amp;IF(D1976="",""," - "&amp;D1976))</f>
        <v/>
      </c>
    </row>
    <row r="1977" customFormat="false" ht="15" hidden="false" customHeight="false" outlineLevel="0" collapsed="false">
      <c r="A1977" s="32"/>
      <c r="B1977" s="19"/>
      <c r="C1977" s="19"/>
      <c r="D1977" s="19"/>
      <c r="E1977" s="21"/>
      <c r="F1977" s="19"/>
      <c r="G1977" s="27" t="str">
        <f aca="false">IF(B1977="","",IFERROR(INDEX(Jeux!$C$2:$C$3001,MATCH(B1977,Jeux!$A$2:$A$3001,0))&amp;"","⚠ jeu inconnu"))</f>
        <v/>
      </c>
      <c r="H1977" s="27" t="str">
        <f aca="false">IF(B1977="","",IFERROR(INDEX(Jeux!$D$2:$D$3001,MATCH(B1977,Jeux!$A$2:$A$3001,0))&amp;"",""))</f>
        <v/>
      </c>
      <c r="I1977" s="26" t="str">
        <f aca="false">IF(A1977="","",COUNTIF(Apparitions!$G$2:$G$5001,A1977))</f>
        <v/>
      </c>
      <c r="J1977" s="26" t="str">
        <f aca="false">IF(A1977="","",COUNTIFS(Apparitions!$G$2:$G$5001,A1977,Apparitions!$E$2:$E$5001,"○"))</f>
        <v/>
      </c>
      <c r="K1977" s="29" t="str">
        <f aca="false">IF(A1977="","",IFERROR(1/(1/_xlfn.MINIFS(Apparitions!$L$2:$L$5001,Apparitions!$G$2:$G$5001,A1977)),""))</f>
        <v/>
      </c>
      <c r="L1977" s="27" t="str">
        <f aca="false">IF(A1977="","",A1977&amp;" | "&amp;B1977&amp;IF(C1977="",""," ("&amp;C1977&amp;")")&amp;IF(D1977="",""," - "&amp;D1977))</f>
        <v/>
      </c>
    </row>
    <row r="1978" customFormat="false" ht="15" hidden="false" customHeight="false" outlineLevel="0" collapsed="false">
      <c r="A1978" s="32"/>
      <c r="B1978" s="19"/>
      <c r="C1978" s="19"/>
      <c r="D1978" s="19"/>
      <c r="E1978" s="21"/>
      <c r="F1978" s="19"/>
      <c r="G1978" s="27" t="str">
        <f aca="false">IF(B1978="","",IFERROR(INDEX(Jeux!$C$2:$C$3001,MATCH(B1978,Jeux!$A$2:$A$3001,0))&amp;"","⚠ jeu inconnu"))</f>
        <v/>
      </c>
      <c r="H1978" s="27" t="str">
        <f aca="false">IF(B1978="","",IFERROR(INDEX(Jeux!$D$2:$D$3001,MATCH(B1978,Jeux!$A$2:$A$3001,0))&amp;"",""))</f>
        <v/>
      </c>
      <c r="I1978" s="26" t="str">
        <f aca="false">IF(A1978="","",COUNTIF(Apparitions!$G$2:$G$5001,A1978))</f>
        <v/>
      </c>
      <c r="J1978" s="26" t="str">
        <f aca="false">IF(A1978="","",COUNTIFS(Apparitions!$G$2:$G$5001,A1978,Apparitions!$E$2:$E$5001,"○"))</f>
        <v/>
      </c>
      <c r="K1978" s="29" t="str">
        <f aca="false">IF(A1978="","",IFERROR(1/(1/_xlfn.MINIFS(Apparitions!$L$2:$L$5001,Apparitions!$G$2:$G$5001,A1978)),""))</f>
        <v/>
      </c>
      <c r="L1978" s="27" t="str">
        <f aca="false">IF(A1978="","",A1978&amp;" | "&amp;B1978&amp;IF(C1978="",""," ("&amp;C1978&amp;")")&amp;IF(D1978="",""," - "&amp;D1978))</f>
        <v/>
      </c>
    </row>
    <row r="1979" customFormat="false" ht="15" hidden="false" customHeight="false" outlineLevel="0" collapsed="false">
      <c r="A1979" s="32"/>
      <c r="B1979" s="19"/>
      <c r="C1979" s="19"/>
      <c r="D1979" s="19"/>
      <c r="E1979" s="21"/>
      <c r="F1979" s="19"/>
      <c r="G1979" s="27" t="str">
        <f aca="false">IF(B1979="","",IFERROR(INDEX(Jeux!$C$2:$C$3001,MATCH(B1979,Jeux!$A$2:$A$3001,0))&amp;"","⚠ jeu inconnu"))</f>
        <v/>
      </c>
      <c r="H1979" s="27" t="str">
        <f aca="false">IF(B1979="","",IFERROR(INDEX(Jeux!$D$2:$D$3001,MATCH(B1979,Jeux!$A$2:$A$3001,0))&amp;"",""))</f>
        <v/>
      </c>
      <c r="I1979" s="26" t="str">
        <f aca="false">IF(A1979="","",COUNTIF(Apparitions!$G$2:$G$5001,A1979))</f>
        <v/>
      </c>
      <c r="J1979" s="26" t="str">
        <f aca="false">IF(A1979="","",COUNTIFS(Apparitions!$G$2:$G$5001,A1979,Apparitions!$E$2:$E$5001,"○"))</f>
        <v/>
      </c>
      <c r="K1979" s="29" t="str">
        <f aca="false">IF(A1979="","",IFERROR(1/(1/_xlfn.MINIFS(Apparitions!$L$2:$L$5001,Apparitions!$G$2:$G$5001,A1979)),""))</f>
        <v/>
      </c>
      <c r="L1979" s="27" t="str">
        <f aca="false">IF(A1979="","",A1979&amp;" | "&amp;B1979&amp;IF(C1979="",""," ("&amp;C1979&amp;")")&amp;IF(D1979="",""," - "&amp;D1979))</f>
        <v/>
      </c>
    </row>
    <row r="1980" customFormat="false" ht="15" hidden="false" customHeight="false" outlineLevel="0" collapsed="false">
      <c r="A1980" s="32"/>
      <c r="B1980" s="19"/>
      <c r="C1980" s="19"/>
      <c r="D1980" s="19"/>
      <c r="E1980" s="21"/>
      <c r="F1980" s="19"/>
      <c r="G1980" s="27" t="str">
        <f aca="false">IF(B1980="","",IFERROR(INDEX(Jeux!$C$2:$C$3001,MATCH(B1980,Jeux!$A$2:$A$3001,0))&amp;"","⚠ jeu inconnu"))</f>
        <v/>
      </c>
      <c r="H1980" s="27" t="str">
        <f aca="false">IF(B1980="","",IFERROR(INDEX(Jeux!$D$2:$D$3001,MATCH(B1980,Jeux!$A$2:$A$3001,0))&amp;"",""))</f>
        <v/>
      </c>
      <c r="I1980" s="26" t="str">
        <f aca="false">IF(A1980="","",COUNTIF(Apparitions!$G$2:$G$5001,A1980))</f>
        <v/>
      </c>
      <c r="J1980" s="26" t="str">
        <f aca="false">IF(A1980="","",COUNTIFS(Apparitions!$G$2:$G$5001,A1980,Apparitions!$E$2:$E$5001,"○"))</f>
        <v/>
      </c>
      <c r="K1980" s="29" t="str">
        <f aca="false">IF(A1980="","",IFERROR(1/(1/_xlfn.MINIFS(Apparitions!$L$2:$L$5001,Apparitions!$G$2:$G$5001,A1980)),""))</f>
        <v/>
      </c>
      <c r="L1980" s="27" t="str">
        <f aca="false">IF(A1980="","",A1980&amp;" | "&amp;B1980&amp;IF(C1980="",""," ("&amp;C1980&amp;")")&amp;IF(D1980="",""," - "&amp;D1980))</f>
        <v/>
      </c>
    </row>
    <row r="1981" customFormat="false" ht="15" hidden="false" customHeight="false" outlineLevel="0" collapsed="false">
      <c r="A1981" s="32"/>
      <c r="B1981" s="19"/>
      <c r="C1981" s="19"/>
      <c r="D1981" s="19"/>
      <c r="E1981" s="21"/>
      <c r="F1981" s="19"/>
      <c r="G1981" s="27" t="str">
        <f aca="false">IF(B1981="","",IFERROR(INDEX(Jeux!$C$2:$C$3001,MATCH(B1981,Jeux!$A$2:$A$3001,0))&amp;"","⚠ jeu inconnu"))</f>
        <v/>
      </c>
      <c r="H1981" s="27" t="str">
        <f aca="false">IF(B1981="","",IFERROR(INDEX(Jeux!$D$2:$D$3001,MATCH(B1981,Jeux!$A$2:$A$3001,0))&amp;"",""))</f>
        <v/>
      </c>
      <c r="I1981" s="26" t="str">
        <f aca="false">IF(A1981="","",COUNTIF(Apparitions!$G$2:$G$5001,A1981))</f>
        <v/>
      </c>
      <c r="J1981" s="26" t="str">
        <f aca="false">IF(A1981="","",COUNTIFS(Apparitions!$G$2:$G$5001,A1981,Apparitions!$E$2:$E$5001,"○"))</f>
        <v/>
      </c>
      <c r="K1981" s="29" t="str">
        <f aca="false">IF(A1981="","",IFERROR(1/(1/_xlfn.MINIFS(Apparitions!$L$2:$L$5001,Apparitions!$G$2:$G$5001,A1981)),""))</f>
        <v/>
      </c>
      <c r="L1981" s="27" t="str">
        <f aca="false">IF(A1981="","",A1981&amp;" | "&amp;B1981&amp;IF(C1981="",""," ("&amp;C1981&amp;")")&amp;IF(D1981="",""," - "&amp;D1981))</f>
        <v/>
      </c>
    </row>
    <row r="1982" customFormat="false" ht="15" hidden="false" customHeight="false" outlineLevel="0" collapsed="false">
      <c r="A1982" s="32"/>
      <c r="B1982" s="19"/>
      <c r="C1982" s="19"/>
      <c r="D1982" s="19"/>
      <c r="E1982" s="21"/>
      <c r="F1982" s="19"/>
      <c r="G1982" s="27" t="str">
        <f aca="false">IF(B1982="","",IFERROR(INDEX(Jeux!$C$2:$C$3001,MATCH(B1982,Jeux!$A$2:$A$3001,0))&amp;"","⚠ jeu inconnu"))</f>
        <v/>
      </c>
      <c r="H1982" s="27" t="str">
        <f aca="false">IF(B1982="","",IFERROR(INDEX(Jeux!$D$2:$D$3001,MATCH(B1982,Jeux!$A$2:$A$3001,0))&amp;"",""))</f>
        <v/>
      </c>
      <c r="I1982" s="26" t="str">
        <f aca="false">IF(A1982="","",COUNTIF(Apparitions!$G$2:$G$5001,A1982))</f>
        <v/>
      </c>
      <c r="J1982" s="26" t="str">
        <f aca="false">IF(A1982="","",COUNTIFS(Apparitions!$G$2:$G$5001,A1982,Apparitions!$E$2:$E$5001,"○"))</f>
        <v/>
      </c>
      <c r="K1982" s="29" t="str">
        <f aca="false">IF(A1982="","",IFERROR(1/(1/_xlfn.MINIFS(Apparitions!$L$2:$L$5001,Apparitions!$G$2:$G$5001,A1982)),""))</f>
        <v/>
      </c>
      <c r="L1982" s="27" t="str">
        <f aca="false">IF(A1982="","",A1982&amp;" | "&amp;B1982&amp;IF(C1982="",""," ("&amp;C1982&amp;")")&amp;IF(D1982="",""," - "&amp;D1982))</f>
        <v/>
      </c>
    </row>
    <row r="1983" customFormat="false" ht="15" hidden="false" customHeight="false" outlineLevel="0" collapsed="false">
      <c r="A1983" s="32"/>
      <c r="B1983" s="19"/>
      <c r="C1983" s="19"/>
      <c r="D1983" s="19"/>
      <c r="E1983" s="21"/>
      <c r="F1983" s="19"/>
      <c r="G1983" s="27" t="str">
        <f aca="false">IF(B1983="","",IFERROR(INDEX(Jeux!$C$2:$C$3001,MATCH(B1983,Jeux!$A$2:$A$3001,0))&amp;"","⚠ jeu inconnu"))</f>
        <v/>
      </c>
      <c r="H1983" s="27" t="str">
        <f aca="false">IF(B1983="","",IFERROR(INDEX(Jeux!$D$2:$D$3001,MATCH(B1983,Jeux!$A$2:$A$3001,0))&amp;"",""))</f>
        <v/>
      </c>
      <c r="I1983" s="26" t="str">
        <f aca="false">IF(A1983="","",COUNTIF(Apparitions!$G$2:$G$5001,A1983))</f>
        <v/>
      </c>
      <c r="J1983" s="26" t="str">
        <f aca="false">IF(A1983="","",COUNTIFS(Apparitions!$G$2:$G$5001,A1983,Apparitions!$E$2:$E$5001,"○"))</f>
        <v/>
      </c>
      <c r="K1983" s="29" t="str">
        <f aca="false">IF(A1983="","",IFERROR(1/(1/_xlfn.MINIFS(Apparitions!$L$2:$L$5001,Apparitions!$G$2:$G$5001,A1983)),""))</f>
        <v/>
      </c>
      <c r="L1983" s="27" t="str">
        <f aca="false">IF(A1983="","",A1983&amp;" | "&amp;B1983&amp;IF(C1983="",""," ("&amp;C1983&amp;")")&amp;IF(D1983="",""," - "&amp;D1983))</f>
        <v/>
      </c>
    </row>
    <row r="1984" customFormat="false" ht="15" hidden="false" customHeight="false" outlineLevel="0" collapsed="false">
      <c r="A1984" s="32"/>
      <c r="B1984" s="19"/>
      <c r="C1984" s="19"/>
      <c r="D1984" s="19"/>
      <c r="E1984" s="21"/>
      <c r="F1984" s="19"/>
      <c r="G1984" s="27" t="str">
        <f aca="false">IF(B1984="","",IFERROR(INDEX(Jeux!$C$2:$C$3001,MATCH(B1984,Jeux!$A$2:$A$3001,0))&amp;"","⚠ jeu inconnu"))</f>
        <v/>
      </c>
      <c r="H1984" s="27" t="str">
        <f aca="false">IF(B1984="","",IFERROR(INDEX(Jeux!$D$2:$D$3001,MATCH(B1984,Jeux!$A$2:$A$3001,0))&amp;"",""))</f>
        <v/>
      </c>
      <c r="I1984" s="26" t="str">
        <f aca="false">IF(A1984="","",COUNTIF(Apparitions!$G$2:$G$5001,A1984))</f>
        <v/>
      </c>
      <c r="J1984" s="26" t="str">
        <f aca="false">IF(A1984="","",COUNTIFS(Apparitions!$G$2:$G$5001,A1984,Apparitions!$E$2:$E$5001,"○"))</f>
        <v/>
      </c>
      <c r="K1984" s="29" t="str">
        <f aca="false">IF(A1984="","",IFERROR(1/(1/_xlfn.MINIFS(Apparitions!$L$2:$L$5001,Apparitions!$G$2:$G$5001,A1984)),""))</f>
        <v/>
      </c>
      <c r="L1984" s="27" t="str">
        <f aca="false">IF(A1984="","",A1984&amp;" | "&amp;B1984&amp;IF(C1984="",""," ("&amp;C1984&amp;")")&amp;IF(D1984="",""," - "&amp;D1984))</f>
        <v/>
      </c>
    </row>
    <row r="1985" customFormat="false" ht="15" hidden="false" customHeight="false" outlineLevel="0" collapsed="false">
      <c r="A1985" s="32"/>
      <c r="B1985" s="19"/>
      <c r="C1985" s="19"/>
      <c r="D1985" s="19"/>
      <c r="E1985" s="21"/>
      <c r="F1985" s="19"/>
      <c r="G1985" s="27" t="str">
        <f aca="false">IF(B1985="","",IFERROR(INDEX(Jeux!$C$2:$C$3001,MATCH(B1985,Jeux!$A$2:$A$3001,0))&amp;"","⚠ jeu inconnu"))</f>
        <v/>
      </c>
      <c r="H1985" s="27" t="str">
        <f aca="false">IF(B1985="","",IFERROR(INDEX(Jeux!$D$2:$D$3001,MATCH(B1985,Jeux!$A$2:$A$3001,0))&amp;"",""))</f>
        <v/>
      </c>
      <c r="I1985" s="26" t="str">
        <f aca="false">IF(A1985="","",COUNTIF(Apparitions!$G$2:$G$5001,A1985))</f>
        <v/>
      </c>
      <c r="J1985" s="26" t="str">
        <f aca="false">IF(A1985="","",COUNTIFS(Apparitions!$G$2:$G$5001,A1985,Apparitions!$E$2:$E$5001,"○"))</f>
        <v/>
      </c>
      <c r="K1985" s="29" t="str">
        <f aca="false">IF(A1985="","",IFERROR(1/(1/_xlfn.MINIFS(Apparitions!$L$2:$L$5001,Apparitions!$G$2:$G$5001,A1985)),""))</f>
        <v/>
      </c>
      <c r="L1985" s="27" t="str">
        <f aca="false">IF(A1985="","",A1985&amp;" | "&amp;B1985&amp;IF(C1985="",""," ("&amp;C1985&amp;")")&amp;IF(D1985="",""," - "&amp;D1985))</f>
        <v/>
      </c>
    </row>
    <row r="1986" customFormat="false" ht="15" hidden="false" customHeight="false" outlineLevel="0" collapsed="false">
      <c r="A1986" s="32"/>
      <c r="B1986" s="19"/>
      <c r="C1986" s="19"/>
      <c r="D1986" s="19"/>
      <c r="E1986" s="21"/>
      <c r="F1986" s="19"/>
      <c r="G1986" s="27" t="str">
        <f aca="false">IF(B1986="","",IFERROR(INDEX(Jeux!$C$2:$C$3001,MATCH(B1986,Jeux!$A$2:$A$3001,0))&amp;"","⚠ jeu inconnu"))</f>
        <v/>
      </c>
      <c r="H1986" s="27" t="str">
        <f aca="false">IF(B1986="","",IFERROR(INDEX(Jeux!$D$2:$D$3001,MATCH(B1986,Jeux!$A$2:$A$3001,0))&amp;"",""))</f>
        <v/>
      </c>
      <c r="I1986" s="26" t="str">
        <f aca="false">IF(A1986="","",COUNTIF(Apparitions!$G$2:$G$5001,A1986))</f>
        <v/>
      </c>
      <c r="J1986" s="26" t="str">
        <f aca="false">IF(A1986="","",COUNTIFS(Apparitions!$G$2:$G$5001,A1986,Apparitions!$E$2:$E$5001,"○"))</f>
        <v/>
      </c>
      <c r="K1986" s="29" t="str">
        <f aca="false">IF(A1986="","",IFERROR(1/(1/_xlfn.MINIFS(Apparitions!$L$2:$L$5001,Apparitions!$G$2:$G$5001,A1986)),""))</f>
        <v/>
      </c>
      <c r="L1986" s="27" t="str">
        <f aca="false">IF(A1986="","",A1986&amp;" | "&amp;B1986&amp;IF(C1986="",""," ("&amp;C1986&amp;")")&amp;IF(D1986="",""," - "&amp;D1986))</f>
        <v/>
      </c>
    </row>
    <row r="1987" customFormat="false" ht="15" hidden="false" customHeight="false" outlineLevel="0" collapsed="false">
      <c r="A1987" s="32"/>
      <c r="B1987" s="19"/>
      <c r="C1987" s="19"/>
      <c r="D1987" s="19"/>
      <c r="E1987" s="21"/>
      <c r="F1987" s="19"/>
      <c r="G1987" s="27" t="str">
        <f aca="false">IF(B1987="","",IFERROR(INDEX(Jeux!$C$2:$C$3001,MATCH(B1987,Jeux!$A$2:$A$3001,0))&amp;"","⚠ jeu inconnu"))</f>
        <v/>
      </c>
      <c r="H1987" s="27" t="str">
        <f aca="false">IF(B1987="","",IFERROR(INDEX(Jeux!$D$2:$D$3001,MATCH(B1987,Jeux!$A$2:$A$3001,0))&amp;"",""))</f>
        <v/>
      </c>
      <c r="I1987" s="26" t="str">
        <f aca="false">IF(A1987="","",COUNTIF(Apparitions!$G$2:$G$5001,A1987))</f>
        <v/>
      </c>
      <c r="J1987" s="26" t="str">
        <f aca="false">IF(A1987="","",COUNTIFS(Apparitions!$G$2:$G$5001,A1987,Apparitions!$E$2:$E$5001,"○"))</f>
        <v/>
      </c>
      <c r="K1987" s="29" t="str">
        <f aca="false">IF(A1987="","",IFERROR(1/(1/_xlfn.MINIFS(Apparitions!$L$2:$L$5001,Apparitions!$G$2:$G$5001,A1987)),""))</f>
        <v/>
      </c>
      <c r="L1987" s="27" t="str">
        <f aca="false">IF(A1987="","",A1987&amp;" | "&amp;B1987&amp;IF(C1987="",""," ("&amp;C1987&amp;")")&amp;IF(D1987="",""," - "&amp;D1987))</f>
        <v/>
      </c>
    </row>
    <row r="1988" customFormat="false" ht="15" hidden="false" customHeight="false" outlineLevel="0" collapsed="false">
      <c r="A1988" s="32"/>
      <c r="B1988" s="19"/>
      <c r="C1988" s="19"/>
      <c r="D1988" s="19"/>
      <c r="E1988" s="21"/>
      <c r="F1988" s="19"/>
      <c r="G1988" s="27" t="str">
        <f aca="false">IF(B1988="","",IFERROR(INDEX(Jeux!$C$2:$C$3001,MATCH(B1988,Jeux!$A$2:$A$3001,0))&amp;"","⚠ jeu inconnu"))</f>
        <v/>
      </c>
      <c r="H1988" s="27" t="str">
        <f aca="false">IF(B1988="","",IFERROR(INDEX(Jeux!$D$2:$D$3001,MATCH(B1988,Jeux!$A$2:$A$3001,0))&amp;"",""))</f>
        <v/>
      </c>
      <c r="I1988" s="26" t="str">
        <f aca="false">IF(A1988="","",COUNTIF(Apparitions!$G$2:$G$5001,A1988))</f>
        <v/>
      </c>
      <c r="J1988" s="26" t="str">
        <f aca="false">IF(A1988="","",COUNTIFS(Apparitions!$G$2:$G$5001,A1988,Apparitions!$E$2:$E$5001,"○"))</f>
        <v/>
      </c>
      <c r="K1988" s="29" t="str">
        <f aca="false">IF(A1988="","",IFERROR(1/(1/_xlfn.MINIFS(Apparitions!$L$2:$L$5001,Apparitions!$G$2:$G$5001,A1988)),""))</f>
        <v/>
      </c>
      <c r="L1988" s="27" t="str">
        <f aca="false">IF(A1988="","",A1988&amp;" | "&amp;B1988&amp;IF(C1988="",""," ("&amp;C1988&amp;")")&amp;IF(D1988="",""," - "&amp;D1988))</f>
        <v/>
      </c>
    </row>
    <row r="1989" customFormat="false" ht="15" hidden="false" customHeight="false" outlineLevel="0" collapsed="false">
      <c r="A1989" s="32"/>
      <c r="B1989" s="19"/>
      <c r="C1989" s="19"/>
      <c r="D1989" s="19"/>
      <c r="E1989" s="21"/>
      <c r="F1989" s="19"/>
      <c r="G1989" s="27" t="str">
        <f aca="false">IF(B1989="","",IFERROR(INDEX(Jeux!$C$2:$C$3001,MATCH(B1989,Jeux!$A$2:$A$3001,0))&amp;"","⚠ jeu inconnu"))</f>
        <v/>
      </c>
      <c r="H1989" s="27" t="str">
        <f aca="false">IF(B1989="","",IFERROR(INDEX(Jeux!$D$2:$D$3001,MATCH(B1989,Jeux!$A$2:$A$3001,0))&amp;"",""))</f>
        <v/>
      </c>
      <c r="I1989" s="26" t="str">
        <f aca="false">IF(A1989="","",COUNTIF(Apparitions!$G$2:$G$5001,A1989))</f>
        <v/>
      </c>
      <c r="J1989" s="26" t="str">
        <f aca="false">IF(A1989="","",COUNTIFS(Apparitions!$G$2:$G$5001,A1989,Apparitions!$E$2:$E$5001,"○"))</f>
        <v/>
      </c>
      <c r="K1989" s="29" t="str">
        <f aca="false">IF(A1989="","",IFERROR(1/(1/_xlfn.MINIFS(Apparitions!$L$2:$L$5001,Apparitions!$G$2:$G$5001,A1989)),""))</f>
        <v/>
      </c>
      <c r="L1989" s="27" t="str">
        <f aca="false">IF(A1989="","",A1989&amp;" | "&amp;B1989&amp;IF(C1989="",""," ("&amp;C1989&amp;")")&amp;IF(D1989="",""," - "&amp;D1989))</f>
        <v/>
      </c>
    </row>
    <row r="1990" customFormat="false" ht="15" hidden="false" customHeight="false" outlineLevel="0" collapsed="false">
      <c r="A1990" s="32"/>
      <c r="B1990" s="19"/>
      <c r="C1990" s="19"/>
      <c r="D1990" s="19"/>
      <c r="E1990" s="21"/>
      <c r="F1990" s="19"/>
      <c r="G1990" s="27" t="str">
        <f aca="false">IF(B1990="","",IFERROR(INDEX(Jeux!$C$2:$C$3001,MATCH(B1990,Jeux!$A$2:$A$3001,0))&amp;"","⚠ jeu inconnu"))</f>
        <v/>
      </c>
      <c r="H1990" s="27" t="str">
        <f aca="false">IF(B1990="","",IFERROR(INDEX(Jeux!$D$2:$D$3001,MATCH(B1990,Jeux!$A$2:$A$3001,0))&amp;"",""))</f>
        <v/>
      </c>
      <c r="I1990" s="26" t="str">
        <f aca="false">IF(A1990="","",COUNTIF(Apparitions!$G$2:$G$5001,A1990))</f>
        <v/>
      </c>
      <c r="J1990" s="26" t="str">
        <f aca="false">IF(A1990="","",COUNTIFS(Apparitions!$G$2:$G$5001,A1990,Apparitions!$E$2:$E$5001,"○"))</f>
        <v/>
      </c>
      <c r="K1990" s="29" t="str">
        <f aca="false">IF(A1990="","",IFERROR(1/(1/_xlfn.MINIFS(Apparitions!$L$2:$L$5001,Apparitions!$G$2:$G$5001,A1990)),""))</f>
        <v/>
      </c>
      <c r="L1990" s="27" t="str">
        <f aca="false">IF(A1990="","",A1990&amp;" | "&amp;B1990&amp;IF(C1990="",""," ("&amp;C1990&amp;")")&amp;IF(D1990="",""," - "&amp;D1990))</f>
        <v/>
      </c>
    </row>
    <row r="1991" customFormat="false" ht="15" hidden="false" customHeight="false" outlineLevel="0" collapsed="false">
      <c r="A1991" s="32"/>
      <c r="B1991" s="19"/>
      <c r="C1991" s="19"/>
      <c r="D1991" s="19"/>
      <c r="E1991" s="21"/>
      <c r="F1991" s="19"/>
      <c r="G1991" s="27" t="str">
        <f aca="false">IF(B1991="","",IFERROR(INDEX(Jeux!$C$2:$C$3001,MATCH(B1991,Jeux!$A$2:$A$3001,0))&amp;"","⚠ jeu inconnu"))</f>
        <v/>
      </c>
      <c r="H1991" s="27" t="str">
        <f aca="false">IF(B1991="","",IFERROR(INDEX(Jeux!$D$2:$D$3001,MATCH(B1991,Jeux!$A$2:$A$3001,0))&amp;"",""))</f>
        <v/>
      </c>
      <c r="I1991" s="26" t="str">
        <f aca="false">IF(A1991="","",COUNTIF(Apparitions!$G$2:$G$5001,A1991))</f>
        <v/>
      </c>
      <c r="J1991" s="26" t="str">
        <f aca="false">IF(A1991="","",COUNTIFS(Apparitions!$G$2:$G$5001,A1991,Apparitions!$E$2:$E$5001,"○"))</f>
        <v/>
      </c>
      <c r="K1991" s="29" t="str">
        <f aca="false">IF(A1991="","",IFERROR(1/(1/_xlfn.MINIFS(Apparitions!$L$2:$L$5001,Apparitions!$G$2:$G$5001,A1991)),""))</f>
        <v/>
      </c>
      <c r="L1991" s="27" t="str">
        <f aca="false">IF(A1991="","",A1991&amp;" | "&amp;B1991&amp;IF(C1991="",""," ("&amp;C1991&amp;")")&amp;IF(D1991="",""," - "&amp;D1991))</f>
        <v/>
      </c>
    </row>
    <row r="1992" customFormat="false" ht="15" hidden="false" customHeight="false" outlineLevel="0" collapsed="false">
      <c r="A1992" s="32"/>
      <c r="B1992" s="19"/>
      <c r="C1992" s="19"/>
      <c r="D1992" s="19"/>
      <c r="E1992" s="21"/>
      <c r="F1992" s="19"/>
      <c r="G1992" s="27" t="str">
        <f aca="false">IF(B1992="","",IFERROR(INDEX(Jeux!$C$2:$C$3001,MATCH(B1992,Jeux!$A$2:$A$3001,0))&amp;"","⚠ jeu inconnu"))</f>
        <v/>
      </c>
      <c r="H1992" s="27" t="str">
        <f aca="false">IF(B1992="","",IFERROR(INDEX(Jeux!$D$2:$D$3001,MATCH(B1992,Jeux!$A$2:$A$3001,0))&amp;"",""))</f>
        <v/>
      </c>
      <c r="I1992" s="26" t="str">
        <f aca="false">IF(A1992="","",COUNTIF(Apparitions!$G$2:$G$5001,A1992))</f>
        <v/>
      </c>
      <c r="J1992" s="26" t="str">
        <f aca="false">IF(A1992="","",COUNTIFS(Apparitions!$G$2:$G$5001,A1992,Apparitions!$E$2:$E$5001,"○"))</f>
        <v/>
      </c>
      <c r="K1992" s="29" t="str">
        <f aca="false">IF(A1992="","",IFERROR(1/(1/_xlfn.MINIFS(Apparitions!$L$2:$L$5001,Apparitions!$G$2:$G$5001,A1992)),""))</f>
        <v/>
      </c>
      <c r="L1992" s="27" t="str">
        <f aca="false">IF(A1992="","",A1992&amp;" | "&amp;B1992&amp;IF(C1992="",""," ("&amp;C1992&amp;")")&amp;IF(D1992="",""," - "&amp;D1992))</f>
        <v/>
      </c>
    </row>
    <row r="1993" customFormat="false" ht="15" hidden="false" customHeight="false" outlineLevel="0" collapsed="false">
      <c r="A1993" s="32"/>
      <c r="B1993" s="19"/>
      <c r="C1993" s="19"/>
      <c r="D1993" s="19"/>
      <c r="E1993" s="21"/>
      <c r="F1993" s="19"/>
      <c r="G1993" s="27" t="str">
        <f aca="false">IF(B1993="","",IFERROR(INDEX(Jeux!$C$2:$C$3001,MATCH(B1993,Jeux!$A$2:$A$3001,0))&amp;"","⚠ jeu inconnu"))</f>
        <v/>
      </c>
      <c r="H1993" s="27" t="str">
        <f aca="false">IF(B1993="","",IFERROR(INDEX(Jeux!$D$2:$D$3001,MATCH(B1993,Jeux!$A$2:$A$3001,0))&amp;"",""))</f>
        <v/>
      </c>
      <c r="I1993" s="26" t="str">
        <f aca="false">IF(A1993="","",COUNTIF(Apparitions!$G$2:$G$5001,A1993))</f>
        <v/>
      </c>
      <c r="J1993" s="26" t="str">
        <f aca="false">IF(A1993="","",COUNTIFS(Apparitions!$G$2:$G$5001,A1993,Apparitions!$E$2:$E$5001,"○"))</f>
        <v/>
      </c>
      <c r="K1993" s="29" t="str">
        <f aca="false">IF(A1993="","",IFERROR(1/(1/_xlfn.MINIFS(Apparitions!$L$2:$L$5001,Apparitions!$G$2:$G$5001,A1993)),""))</f>
        <v/>
      </c>
      <c r="L1993" s="27" t="str">
        <f aca="false">IF(A1993="","",A1993&amp;" | "&amp;B1993&amp;IF(C1993="",""," ("&amp;C1993&amp;")")&amp;IF(D1993="",""," - "&amp;D1993))</f>
        <v/>
      </c>
    </row>
    <row r="1994" customFormat="false" ht="15" hidden="false" customHeight="false" outlineLevel="0" collapsed="false">
      <c r="A1994" s="32"/>
      <c r="B1994" s="19"/>
      <c r="C1994" s="19"/>
      <c r="D1994" s="19"/>
      <c r="E1994" s="21"/>
      <c r="F1994" s="19"/>
      <c r="G1994" s="27" t="str">
        <f aca="false">IF(B1994="","",IFERROR(INDEX(Jeux!$C$2:$C$3001,MATCH(B1994,Jeux!$A$2:$A$3001,0))&amp;"","⚠ jeu inconnu"))</f>
        <v/>
      </c>
      <c r="H1994" s="27" t="str">
        <f aca="false">IF(B1994="","",IFERROR(INDEX(Jeux!$D$2:$D$3001,MATCH(B1994,Jeux!$A$2:$A$3001,0))&amp;"",""))</f>
        <v/>
      </c>
      <c r="I1994" s="26" t="str">
        <f aca="false">IF(A1994="","",COUNTIF(Apparitions!$G$2:$G$5001,A1994))</f>
        <v/>
      </c>
      <c r="J1994" s="26" t="str">
        <f aca="false">IF(A1994="","",COUNTIFS(Apparitions!$G$2:$G$5001,A1994,Apparitions!$E$2:$E$5001,"○"))</f>
        <v/>
      </c>
      <c r="K1994" s="29" t="str">
        <f aca="false">IF(A1994="","",IFERROR(1/(1/_xlfn.MINIFS(Apparitions!$L$2:$L$5001,Apparitions!$G$2:$G$5001,A1994)),""))</f>
        <v/>
      </c>
      <c r="L1994" s="27" t="str">
        <f aca="false">IF(A1994="","",A1994&amp;" | "&amp;B1994&amp;IF(C1994="",""," ("&amp;C1994&amp;")")&amp;IF(D1994="",""," - "&amp;D1994))</f>
        <v/>
      </c>
    </row>
    <row r="1995" customFormat="false" ht="15" hidden="false" customHeight="false" outlineLevel="0" collapsed="false">
      <c r="A1995" s="32"/>
      <c r="B1995" s="19"/>
      <c r="C1995" s="19"/>
      <c r="D1995" s="19"/>
      <c r="E1995" s="21"/>
      <c r="F1995" s="19"/>
      <c r="G1995" s="27" t="str">
        <f aca="false">IF(B1995="","",IFERROR(INDEX(Jeux!$C$2:$C$3001,MATCH(B1995,Jeux!$A$2:$A$3001,0))&amp;"","⚠ jeu inconnu"))</f>
        <v/>
      </c>
      <c r="H1995" s="27" t="str">
        <f aca="false">IF(B1995="","",IFERROR(INDEX(Jeux!$D$2:$D$3001,MATCH(B1995,Jeux!$A$2:$A$3001,0))&amp;"",""))</f>
        <v/>
      </c>
      <c r="I1995" s="26" t="str">
        <f aca="false">IF(A1995="","",COUNTIF(Apparitions!$G$2:$G$5001,A1995))</f>
        <v/>
      </c>
      <c r="J1995" s="26" t="str">
        <f aca="false">IF(A1995="","",COUNTIFS(Apparitions!$G$2:$G$5001,A1995,Apparitions!$E$2:$E$5001,"○"))</f>
        <v/>
      </c>
      <c r="K1995" s="29" t="str">
        <f aca="false">IF(A1995="","",IFERROR(1/(1/_xlfn.MINIFS(Apparitions!$L$2:$L$5001,Apparitions!$G$2:$G$5001,A1995)),""))</f>
        <v/>
      </c>
      <c r="L1995" s="27" t="str">
        <f aca="false">IF(A1995="","",A1995&amp;" | "&amp;B1995&amp;IF(C1995="",""," ("&amp;C1995&amp;")")&amp;IF(D1995="",""," - "&amp;D1995))</f>
        <v/>
      </c>
    </row>
    <row r="1996" customFormat="false" ht="15" hidden="false" customHeight="false" outlineLevel="0" collapsed="false">
      <c r="A1996" s="32"/>
      <c r="B1996" s="19"/>
      <c r="C1996" s="19"/>
      <c r="D1996" s="19"/>
      <c r="E1996" s="21"/>
      <c r="F1996" s="19"/>
      <c r="G1996" s="27" t="str">
        <f aca="false">IF(B1996="","",IFERROR(INDEX(Jeux!$C$2:$C$3001,MATCH(B1996,Jeux!$A$2:$A$3001,0))&amp;"","⚠ jeu inconnu"))</f>
        <v/>
      </c>
      <c r="H1996" s="27" t="str">
        <f aca="false">IF(B1996="","",IFERROR(INDEX(Jeux!$D$2:$D$3001,MATCH(B1996,Jeux!$A$2:$A$3001,0))&amp;"",""))</f>
        <v/>
      </c>
      <c r="I1996" s="26" t="str">
        <f aca="false">IF(A1996="","",COUNTIF(Apparitions!$G$2:$G$5001,A1996))</f>
        <v/>
      </c>
      <c r="J1996" s="26" t="str">
        <f aca="false">IF(A1996="","",COUNTIFS(Apparitions!$G$2:$G$5001,A1996,Apparitions!$E$2:$E$5001,"○"))</f>
        <v/>
      </c>
      <c r="K1996" s="29" t="str">
        <f aca="false">IF(A1996="","",IFERROR(1/(1/_xlfn.MINIFS(Apparitions!$L$2:$L$5001,Apparitions!$G$2:$G$5001,A1996)),""))</f>
        <v/>
      </c>
      <c r="L1996" s="27" t="str">
        <f aca="false">IF(A1996="","",A1996&amp;" | "&amp;B1996&amp;IF(C1996="",""," ("&amp;C1996&amp;")")&amp;IF(D1996="",""," - "&amp;D1996))</f>
        <v/>
      </c>
    </row>
    <row r="1997" customFormat="false" ht="15" hidden="false" customHeight="false" outlineLevel="0" collapsed="false">
      <c r="A1997" s="32"/>
      <c r="B1997" s="19"/>
      <c r="C1997" s="19"/>
      <c r="D1997" s="19"/>
      <c r="E1997" s="21"/>
      <c r="F1997" s="19"/>
      <c r="G1997" s="27" t="str">
        <f aca="false">IF(B1997="","",IFERROR(INDEX(Jeux!$C$2:$C$3001,MATCH(B1997,Jeux!$A$2:$A$3001,0))&amp;"","⚠ jeu inconnu"))</f>
        <v/>
      </c>
      <c r="H1997" s="27" t="str">
        <f aca="false">IF(B1997="","",IFERROR(INDEX(Jeux!$D$2:$D$3001,MATCH(B1997,Jeux!$A$2:$A$3001,0))&amp;"",""))</f>
        <v/>
      </c>
      <c r="I1997" s="26" t="str">
        <f aca="false">IF(A1997="","",COUNTIF(Apparitions!$G$2:$G$5001,A1997))</f>
        <v/>
      </c>
      <c r="J1997" s="26" t="str">
        <f aca="false">IF(A1997="","",COUNTIFS(Apparitions!$G$2:$G$5001,A1997,Apparitions!$E$2:$E$5001,"○"))</f>
        <v/>
      </c>
      <c r="K1997" s="29" t="str">
        <f aca="false">IF(A1997="","",IFERROR(1/(1/_xlfn.MINIFS(Apparitions!$L$2:$L$5001,Apparitions!$G$2:$G$5001,A1997)),""))</f>
        <v/>
      </c>
      <c r="L1997" s="27" t="str">
        <f aca="false">IF(A1997="","",A1997&amp;" | "&amp;B1997&amp;IF(C1997="",""," ("&amp;C1997&amp;")")&amp;IF(D1997="",""," - "&amp;D1997))</f>
        <v/>
      </c>
    </row>
    <row r="1998" customFormat="false" ht="15" hidden="false" customHeight="false" outlineLevel="0" collapsed="false">
      <c r="A1998" s="32"/>
      <c r="B1998" s="19"/>
      <c r="C1998" s="19"/>
      <c r="D1998" s="19"/>
      <c r="E1998" s="21"/>
      <c r="F1998" s="19"/>
      <c r="G1998" s="27" t="str">
        <f aca="false">IF(B1998="","",IFERROR(INDEX(Jeux!$C$2:$C$3001,MATCH(B1998,Jeux!$A$2:$A$3001,0))&amp;"","⚠ jeu inconnu"))</f>
        <v/>
      </c>
      <c r="H1998" s="27" t="str">
        <f aca="false">IF(B1998="","",IFERROR(INDEX(Jeux!$D$2:$D$3001,MATCH(B1998,Jeux!$A$2:$A$3001,0))&amp;"",""))</f>
        <v/>
      </c>
      <c r="I1998" s="26" t="str">
        <f aca="false">IF(A1998="","",COUNTIF(Apparitions!$G$2:$G$5001,A1998))</f>
        <v/>
      </c>
      <c r="J1998" s="26" t="str">
        <f aca="false">IF(A1998="","",COUNTIFS(Apparitions!$G$2:$G$5001,A1998,Apparitions!$E$2:$E$5001,"○"))</f>
        <v/>
      </c>
      <c r="K1998" s="29" t="str">
        <f aca="false">IF(A1998="","",IFERROR(1/(1/_xlfn.MINIFS(Apparitions!$L$2:$L$5001,Apparitions!$G$2:$G$5001,A1998)),""))</f>
        <v/>
      </c>
      <c r="L1998" s="27" t="str">
        <f aca="false">IF(A1998="","",A1998&amp;" | "&amp;B1998&amp;IF(C1998="",""," ("&amp;C1998&amp;")")&amp;IF(D1998="",""," - "&amp;D1998))</f>
        <v/>
      </c>
    </row>
    <row r="1999" customFormat="false" ht="15" hidden="false" customHeight="false" outlineLevel="0" collapsed="false">
      <c r="A1999" s="32"/>
      <c r="B1999" s="19"/>
      <c r="C1999" s="19"/>
      <c r="D1999" s="19"/>
      <c r="E1999" s="21"/>
      <c r="F1999" s="19"/>
      <c r="G1999" s="27" t="str">
        <f aca="false">IF(B1999="","",IFERROR(INDEX(Jeux!$C$2:$C$3001,MATCH(B1999,Jeux!$A$2:$A$3001,0))&amp;"","⚠ jeu inconnu"))</f>
        <v/>
      </c>
      <c r="H1999" s="27" t="str">
        <f aca="false">IF(B1999="","",IFERROR(INDEX(Jeux!$D$2:$D$3001,MATCH(B1999,Jeux!$A$2:$A$3001,0))&amp;"",""))</f>
        <v/>
      </c>
      <c r="I1999" s="26" t="str">
        <f aca="false">IF(A1999="","",COUNTIF(Apparitions!$G$2:$G$5001,A1999))</f>
        <v/>
      </c>
      <c r="J1999" s="26" t="str">
        <f aca="false">IF(A1999="","",COUNTIFS(Apparitions!$G$2:$G$5001,A1999,Apparitions!$E$2:$E$5001,"○"))</f>
        <v/>
      </c>
      <c r="K1999" s="29" t="str">
        <f aca="false">IF(A1999="","",IFERROR(1/(1/_xlfn.MINIFS(Apparitions!$L$2:$L$5001,Apparitions!$G$2:$G$5001,A1999)),""))</f>
        <v/>
      </c>
      <c r="L1999" s="27" t="str">
        <f aca="false">IF(A1999="","",A1999&amp;" | "&amp;B1999&amp;IF(C1999="",""," ("&amp;C1999&amp;")")&amp;IF(D1999="",""," - "&amp;D1999))</f>
        <v/>
      </c>
    </row>
    <row r="2000" customFormat="false" ht="15" hidden="false" customHeight="false" outlineLevel="0" collapsed="false">
      <c r="A2000" s="32"/>
      <c r="B2000" s="19"/>
      <c r="C2000" s="19"/>
      <c r="D2000" s="19"/>
      <c r="E2000" s="21"/>
      <c r="F2000" s="19"/>
      <c r="G2000" s="27" t="str">
        <f aca="false">IF(B2000="","",IFERROR(INDEX(Jeux!$C$2:$C$3001,MATCH(B2000,Jeux!$A$2:$A$3001,0))&amp;"","⚠ jeu inconnu"))</f>
        <v/>
      </c>
      <c r="H2000" s="27" t="str">
        <f aca="false">IF(B2000="","",IFERROR(INDEX(Jeux!$D$2:$D$3001,MATCH(B2000,Jeux!$A$2:$A$3001,0))&amp;"",""))</f>
        <v/>
      </c>
      <c r="I2000" s="26" t="str">
        <f aca="false">IF(A2000="","",COUNTIF(Apparitions!$G$2:$G$5001,A2000))</f>
        <v/>
      </c>
      <c r="J2000" s="26" t="str">
        <f aca="false">IF(A2000="","",COUNTIFS(Apparitions!$G$2:$G$5001,A2000,Apparitions!$E$2:$E$5001,"○"))</f>
        <v/>
      </c>
      <c r="K2000" s="29" t="str">
        <f aca="false">IF(A2000="","",IFERROR(1/(1/_xlfn.MINIFS(Apparitions!$L$2:$L$5001,Apparitions!$G$2:$G$5001,A2000)),""))</f>
        <v/>
      </c>
      <c r="L2000" s="27" t="str">
        <f aca="false">IF(A2000="","",A2000&amp;" | "&amp;B2000&amp;IF(C2000="",""," ("&amp;C2000&amp;")")&amp;IF(D2000="",""," - "&amp;D2000))</f>
        <v/>
      </c>
    </row>
    <row r="2001" customFormat="false" ht="15" hidden="false" customHeight="false" outlineLevel="0" collapsed="false">
      <c r="A2001" s="32"/>
      <c r="B2001" s="19"/>
      <c r="C2001" s="19"/>
      <c r="D2001" s="19"/>
      <c r="E2001" s="21"/>
      <c r="F2001" s="19"/>
      <c r="G2001" s="27" t="str">
        <f aca="false">IF(B2001="","",IFERROR(INDEX(Jeux!$C$2:$C$3001,MATCH(B2001,Jeux!$A$2:$A$3001,0))&amp;"","⚠ jeu inconnu"))</f>
        <v/>
      </c>
      <c r="H2001" s="27" t="str">
        <f aca="false">IF(B2001="","",IFERROR(INDEX(Jeux!$D$2:$D$3001,MATCH(B2001,Jeux!$A$2:$A$3001,0))&amp;"",""))</f>
        <v/>
      </c>
      <c r="I2001" s="26" t="str">
        <f aca="false">IF(A2001="","",COUNTIF(Apparitions!$G$2:$G$5001,A2001))</f>
        <v/>
      </c>
      <c r="J2001" s="26" t="str">
        <f aca="false">IF(A2001="","",COUNTIFS(Apparitions!$G$2:$G$5001,A2001,Apparitions!$E$2:$E$5001,"○"))</f>
        <v/>
      </c>
      <c r="K2001" s="29" t="str">
        <f aca="false">IF(A2001="","",IFERROR(1/(1/_xlfn.MINIFS(Apparitions!$L$2:$L$5001,Apparitions!$G$2:$G$5001,A2001)),""))</f>
        <v/>
      </c>
      <c r="L2001" s="27" t="str">
        <f aca="false">IF(A2001="","",A2001&amp;" | "&amp;B2001&amp;IF(C2001="",""," ("&amp;C2001&amp;")")&amp;IF(D2001="",""," - "&amp;D2001))</f>
        <v/>
      </c>
    </row>
    <row r="2002" customFormat="false" ht="15" hidden="false" customHeight="false" outlineLevel="0" collapsed="false">
      <c r="A2002" s="32"/>
      <c r="B2002" s="19"/>
      <c r="C2002" s="19"/>
      <c r="D2002" s="19"/>
      <c r="E2002" s="21"/>
      <c r="F2002" s="19"/>
      <c r="G2002" s="27" t="str">
        <f aca="false">IF(B2002="","",IFERROR(INDEX(Jeux!$C$2:$C$3001,MATCH(B2002,Jeux!$A$2:$A$3001,0))&amp;"","⚠ jeu inconnu"))</f>
        <v/>
      </c>
      <c r="H2002" s="27" t="str">
        <f aca="false">IF(B2002="","",IFERROR(INDEX(Jeux!$D$2:$D$3001,MATCH(B2002,Jeux!$A$2:$A$3001,0))&amp;"",""))</f>
        <v/>
      </c>
      <c r="I2002" s="26" t="str">
        <f aca="false">IF(A2002="","",COUNTIF(Apparitions!$G$2:$G$5001,A2002))</f>
        <v/>
      </c>
      <c r="J2002" s="26" t="str">
        <f aca="false">IF(A2002="","",COUNTIFS(Apparitions!$G$2:$G$5001,A2002,Apparitions!$E$2:$E$5001,"○"))</f>
        <v/>
      </c>
      <c r="K2002" s="29" t="str">
        <f aca="false">IF(A2002="","",IFERROR(1/(1/_xlfn.MINIFS(Apparitions!$L$2:$L$5001,Apparitions!$G$2:$G$5001,A2002)),""))</f>
        <v/>
      </c>
      <c r="L2002" s="27" t="str">
        <f aca="false">IF(A2002="","",A2002&amp;" | "&amp;B2002&amp;IF(C2002="",""," ("&amp;C2002&amp;")")&amp;IF(D2002="",""," - "&amp;D2002))</f>
        <v/>
      </c>
    </row>
    <row r="2003" customFormat="false" ht="15" hidden="false" customHeight="false" outlineLevel="0" collapsed="false">
      <c r="A2003" s="32"/>
      <c r="B2003" s="19"/>
      <c r="C2003" s="19"/>
      <c r="D2003" s="19"/>
      <c r="E2003" s="21"/>
      <c r="F2003" s="19"/>
      <c r="G2003" s="27" t="str">
        <f aca="false">IF(B2003="","",IFERROR(INDEX(Jeux!$C$2:$C$3001,MATCH(B2003,Jeux!$A$2:$A$3001,0))&amp;"","⚠ jeu inconnu"))</f>
        <v/>
      </c>
      <c r="H2003" s="27" t="str">
        <f aca="false">IF(B2003="","",IFERROR(INDEX(Jeux!$D$2:$D$3001,MATCH(B2003,Jeux!$A$2:$A$3001,0))&amp;"",""))</f>
        <v/>
      </c>
      <c r="I2003" s="26" t="str">
        <f aca="false">IF(A2003="","",COUNTIF(Apparitions!$G$2:$G$5001,A2003))</f>
        <v/>
      </c>
      <c r="J2003" s="26" t="str">
        <f aca="false">IF(A2003="","",COUNTIFS(Apparitions!$G$2:$G$5001,A2003,Apparitions!$E$2:$E$5001,"○"))</f>
        <v/>
      </c>
      <c r="K2003" s="29" t="str">
        <f aca="false">IF(A2003="","",IFERROR(1/(1/_xlfn.MINIFS(Apparitions!$L$2:$L$5001,Apparitions!$G$2:$G$5001,A2003)),""))</f>
        <v/>
      </c>
      <c r="L2003" s="27" t="str">
        <f aca="false">IF(A2003="","",A2003&amp;" | "&amp;B2003&amp;IF(C2003="",""," ("&amp;C2003&amp;")")&amp;IF(D2003="",""," - "&amp;D2003))</f>
        <v/>
      </c>
    </row>
    <row r="2004" customFormat="false" ht="15" hidden="false" customHeight="false" outlineLevel="0" collapsed="false">
      <c r="A2004" s="32"/>
      <c r="B2004" s="19"/>
      <c r="C2004" s="19"/>
      <c r="D2004" s="19"/>
      <c r="E2004" s="21"/>
      <c r="F2004" s="19"/>
      <c r="G2004" s="27" t="str">
        <f aca="false">IF(B2004="","",IFERROR(INDEX(Jeux!$C$2:$C$3001,MATCH(B2004,Jeux!$A$2:$A$3001,0))&amp;"","⚠ jeu inconnu"))</f>
        <v/>
      </c>
      <c r="H2004" s="27" t="str">
        <f aca="false">IF(B2004="","",IFERROR(INDEX(Jeux!$D$2:$D$3001,MATCH(B2004,Jeux!$A$2:$A$3001,0))&amp;"",""))</f>
        <v/>
      </c>
      <c r="I2004" s="26" t="str">
        <f aca="false">IF(A2004="","",COUNTIF(Apparitions!$G$2:$G$5001,A2004))</f>
        <v/>
      </c>
      <c r="J2004" s="26" t="str">
        <f aca="false">IF(A2004="","",COUNTIFS(Apparitions!$G$2:$G$5001,A2004,Apparitions!$E$2:$E$5001,"○"))</f>
        <v/>
      </c>
      <c r="K2004" s="29" t="str">
        <f aca="false">IF(A2004="","",IFERROR(1/(1/_xlfn.MINIFS(Apparitions!$L$2:$L$5001,Apparitions!$G$2:$G$5001,A2004)),""))</f>
        <v/>
      </c>
      <c r="L2004" s="27" t="str">
        <f aca="false">IF(A2004="","",A2004&amp;" | "&amp;B2004&amp;IF(C2004="",""," ("&amp;C2004&amp;")")&amp;IF(D2004="",""," - "&amp;D2004))</f>
        <v/>
      </c>
    </row>
    <row r="2005" customFormat="false" ht="15" hidden="false" customHeight="false" outlineLevel="0" collapsed="false">
      <c r="A2005" s="32"/>
      <c r="B2005" s="19"/>
      <c r="C2005" s="19"/>
      <c r="D2005" s="19"/>
      <c r="E2005" s="21"/>
      <c r="F2005" s="19"/>
      <c r="G2005" s="27" t="str">
        <f aca="false">IF(B2005="","",IFERROR(INDEX(Jeux!$C$2:$C$3001,MATCH(B2005,Jeux!$A$2:$A$3001,0))&amp;"","⚠ jeu inconnu"))</f>
        <v/>
      </c>
      <c r="H2005" s="27" t="str">
        <f aca="false">IF(B2005="","",IFERROR(INDEX(Jeux!$D$2:$D$3001,MATCH(B2005,Jeux!$A$2:$A$3001,0))&amp;"",""))</f>
        <v/>
      </c>
      <c r="I2005" s="26" t="str">
        <f aca="false">IF(A2005="","",COUNTIF(Apparitions!$G$2:$G$5001,A2005))</f>
        <v/>
      </c>
      <c r="J2005" s="26" t="str">
        <f aca="false">IF(A2005="","",COUNTIFS(Apparitions!$G$2:$G$5001,A2005,Apparitions!$E$2:$E$5001,"○"))</f>
        <v/>
      </c>
      <c r="K2005" s="29" t="str">
        <f aca="false">IF(A2005="","",IFERROR(1/(1/_xlfn.MINIFS(Apparitions!$L$2:$L$5001,Apparitions!$G$2:$G$5001,A2005)),""))</f>
        <v/>
      </c>
      <c r="L2005" s="27" t="str">
        <f aca="false">IF(A2005="","",A2005&amp;" | "&amp;B2005&amp;IF(C2005="",""," ("&amp;C2005&amp;")")&amp;IF(D2005="",""," - "&amp;D2005))</f>
        <v/>
      </c>
    </row>
    <row r="2006" customFormat="false" ht="15" hidden="false" customHeight="false" outlineLevel="0" collapsed="false">
      <c r="A2006" s="32"/>
      <c r="B2006" s="19"/>
      <c r="C2006" s="19"/>
      <c r="D2006" s="19"/>
      <c r="E2006" s="21"/>
      <c r="F2006" s="19"/>
      <c r="G2006" s="27" t="str">
        <f aca="false">IF(B2006="","",IFERROR(INDEX(Jeux!$C$2:$C$3001,MATCH(B2006,Jeux!$A$2:$A$3001,0))&amp;"","⚠ jeu inconnu"))</f>
        <v/>
      </c>
      <c r="H2006" s="27" t="str">
        <f aca="false">IF(B2006="","",IFERROR(INDEX(Jeux!$D$2:$D$3001,MATCH(B2006,Jeux!$A$2:$A$3001,0))&amp;"",""))</f>
        <v/>
      </c>
      <c r="I2006" s="26" t="str">
        <f aca="false">IF(A2006="","",COUNTIF(Apparitions!$G$2:$G$5001,A2006))</f>
        <v/>
      </c>
      <c r="J2006" s="26" t="str">
        <f aca="false">IF(A2006="","",COUNTIFS(Apparitions!$G$2:$G$5001,A2006,Apparitions!$E$2:$E$5001,"○"))</f>
        <v/>
      </c>
      <c r="K2006" s="29" t="str">
        <f aca="false">IF(A2006="","",IFERROR(1/(1/_xlfn.MINIFS(Apparitions!$L$2:$L$5001,Apparitions!$G$2:$G$5001,A2006)),""))</f>
        <v/>
      </c>
      <c r="L2006" s="27" t="str">
        <f aca="false">IF(A2006="","",A2006&amp;" | "&amp;B2006&amp;IF(C2006="",""," ("&amp;C2006&amp;")")&amp;IF(D2006="",""," - "&amp;D2006))</f>
        <v/>
      </c>
    </row>
    <row r="2007" customFormat="false" ht="15" hidden="false" customHeight="false" outlineLevel="0" collapsed="false">
      <c r="A2007" s="32"/>
      <c r="B2007" s="19"/>
      <c r="C2007" s="19"/>
      <c r="D2007" s="19"/>
      <c r="E2007" s="21"/>
      <c r="F2007" s="19"/>
      <c r="G2007" s="27" t="str">
        <f aca="false">IF(B2007="","",IFERROR(INDEX(Jeux!$C$2:$C$3001,MATCH(B2007,Jeux!$A$2:$A$3001,0))&amp;"","⚠ jeu inconnu"))</f>
        <v/>
      </c>
      <c r="H2007" s="27" t="str">
        <f aca="false">IF(B2007="","",IFERROR(INDEX(Jeux!$D$2:$D$3001,MATCH(B2007,Jeux!$A$2:$A$3001,0))&amp;"",""))</f>
        <v/>
      </c>
      <c r="I2007" s="26" t="str">
        <f aca="false">IF(A2007="","",COUNTIF(Apparitions!$G$2:$G$5001,A2007))</f>
        <v/>
      </c>
      <c r="J2007" s="26" t="str">
        <f aca="false">IF(A2007="","",COUNTIFS(Apparitions!$G$2:$G$5001,A2007,Apparitions!$E$2:$E$5001,"○"))</f>
        <v/>
      </c>
      <c r="K2007" s="29" t="str">
        <f aca="false">IF(A2007="","",IFERROR(1/(1/_xlfn.MINIFS(Apparitions!$L$2:$L$5001,Apparitions!$G$2:$G$5001,A2007)),""))</f>
        <v/>
      </c>
      <c r="L2007" s="27" t="str">
        <f aca="false">IF(A2007="","",A2007&amp;" | "&amp;B2007&amp;IF(C2007="",""," ("&amp;C2007&amp;")")&amp;IF(D2007="",""," - "&amp;D2007))</f>
        <v/>
      </c>
    </row>
    <row r="2008" customFormat="false" ht="15" hidden="false" customHeight="false" outlineLevel="0" collapsed="false">
      <c r="A2008" s="32"/>
      <c r="B2008" s="19"/>
      <c r="C2008" s="19"/>
      <c r="D2008" s="19"/>
      <c r="E2008" s="21"/>
      <c r="F2008" s="19"/>
      <c r="G2008" s="27" t="str">
        <f aca="false">IF(B2008="","",IFERROR(INDEX(Jeux!$C$2:$C$3001,MATCH(B2008,Jeux!$A$2:$A$3001,0))&amp;"","⚠ jeu inconnu"))</f>
        <v/>
      </c>
      <c r="H2008" s="27" t="str">
        <f aca="false">IF(B2008="","",IFERROR(INDEX(Jeux!$D$2:$D$3001,MATCH(B2008,Jeux!$A$2:$A$3001,0))&amp;"",""))</f>
        <v/>
      </c>
      <c r="I2008" s="26" t="str">
        <f aca="false">IF(A2008="","",COUNTIF(Apparitions!$G$2:$G$5001,A2008))</f>
        <v/>
      </c>
      <c r="J2008" s="26" t="str">
        <f aca="false">IF(A2008="","",COUNTIFS(Apparitions!$G$2:$G$5001,A2008,Apparitions!$E$2:$E$5001,"○"))</f>
        <v/>
      </c>
      <c r="K2008" s="29" t="str">
        <f aca="false">IF(A2008="","",IFERROR(1/(1/_xlfn.MINIFS(Apparitions!$L$2:$L$5001,Apparitions!$G$2:$G$5001,A2008)),""))</f>
        <v/>
      </c>
      <c r="L2008" s="27" t="str">
        <f aca="false">IF(A2008="","",A2008&amp;" | "&amp;B2008&amp;IF(C2008="",""," ("&amp;C2008&amp;")")&amp;IF(D2008="",""," - "&amp;D2008))</f>
        <v/>
      </c>
    </row>
    <row r="2009" customFormat="false" ht="15" hidden="false" customHeight="false" outlineLevel="0" collapsed="false">
      <c r="A2009" s="32"/>
      <c r="B2009" s="19"/>
      <c r="C2009" s="19"/>
      <c r="D2009" s="19"/>
      <c r="E2009" s="21"/>
      <c r="F2009" s="19"/>
      <c r="G2009" s="27" t="str">
        <f aca="false">IF(B2009="","",IFERROR(INDEX(Jeux!$C$2:$C$3001,MATCH(B2009,Jeux!$A$2:$A$3001,0))&amp;"","⚠ jeu inconnu"))</f>
        <v/>
      </c>
      <c r="H2009" s="27" t="str">
        <f aca="false">IF(B2009="","",IFERROR(INDEX(Jeux!$D$2:$D$3001,MATCH(B2009,Jeux!$A$2:$A$3001,0))&amp;"",""))</f>
        <v/>
      </c>
      <c r="I2009" s="26" t="str">
        <f aca="false">IF(A2009="","",COUNTIF(Apparitions!$G$2:$G$5001,A2009))</f>
        <v/>
      </c>
      <c r="J2009" s="26" t="str">
        <f aca="false">IF(A2009="","",COUNTIFS(Apparitions!$G$2:$G$5001,A2009,Apparitions!$E$2:$E$5001,"○"))</f>
        <v/>
      </c>
      <c r="K2009" s="29" t="str">
        <f aca="false">IF(A2009="","",IFERROR(1/(1/_xlfn.MINIFS(Apparitions!$L$2:$L$5001,Apparitions!$G$2:$G$5001,A2009)),""))</f>
        <v/>
      </c>
      <c r="L2009" s="27" t="str">
        <f aca="false">IF(A2009="","",A2009&amp;" | "&amp;B2009&amp;IF(C2009="",""," ("&amp;C2009&amp;")")&amp;IF(D2009="",""," - "&amp;D2009))</f>
        <v/>
      </c>
    </row>
    <row r="2010" customFormat="false" ht="15" hidden="false" customHeight="false" outlineLevel="0" collapsed="false">
      <c r="A2010" s="32"/>
      <c r="B2010" s="19"/>
      <c r="C2010" s="19"/>
      <c r="D2010" s="19"/>
      <c r="E2010" s="21"/>
      <c r="F2010" s="19"/>
      <c r="G2010" s="27" t="str">
        <f aca="false">IF(B2010="","",IFERROR(INDEX(Jeux!$C$2:$C$3001,MATCH(B2010,Jeux!$A$2:$A$3001,0))&amp;"","⚠ jeu inconnu"))</f>
        <v/>
      </c>
      <c r="H2010" s="27" t="str">
        <f aca="false">IF(B2010="","",IFERROR(INDEX(Jeux!$D$2:$D$3001,MATCH(B2010,Jeux!$A$2:$A$3001,0))&amp;"",""))</f>
        <v/>
      </c>
      <c r="I2010" s="26" t="str">
        <f aca="false">IF(A2010="","",COUNTIF(Apparitions!$G$2:$G$5001,A2010))</f>
        <v/>
      </c>
      <c r="J2010" s="26" t="str">
        <f aca="false">IF(A2010="","",COUNTIFS(Apparitions!$G$2:$G$5001,A2010,Apparitions!$E$2:$E$5001,"○"))</f>
        <v/>
      </c>
      <c r="K2010" s="29" t="str">
        <f aca="false">IF(A2010="","",IFERROR(1/(1/_xlfn.MINIFS(Apparitions!$L$2:$L$5001,Apparitions!$G$2:$G$5001,A2010)),""))</f>
        <v/>
      </c>
      <c r="L2010" s="27" t="str">
        <f aca="false">IF(A2010="","",A2010&amp;" | "&amp;B2010&amp;IF(C2010="",""," ("&amp;C2010&amp;")")&amp;IF(D2010="",""," - "&amp;D2010))</f>
        <v/>
      </c>
    </row>
    <row r="2011" customFormat="false" ht="15" hidden="false" customHeight="false" outlineLevel="0" collapsed="false">
      <c r="A2011" s="32"/>
      <c r="B2011" s="19"/>
      <c r="C2011" s="19"/>
      <c r="D2011" s="19"/>
      <c r="E2011" s="21"/>
      <c r="F2011" s="19"/>
      <c r="G2011" s="27" t="str">
        <f aca="false">IF(B2011="","",IFERROR(INDEX(Jeux!$C$2:$C$3001,MATCH(B2011,Jeux!$A$2:$A$3001,0))&amp;"","⚠ jeu inconnu"))</f>
        <v/>
      </c>
      <c r="H2011" s="27" t="str">
        <f aca="false">IF(B2011="","",IFERROR(INDEX(Jeux!$D$2:$D$3001,MATCH(B2011,Jeux!$A$2:$A$3001,0))&amp;"",""))</f>
        <v/>
      </c>
      <c r="I2011" s="26" t="str">
        <f aca="false">IF(A2011="","",COUNTIF(Apparitions!$G$2:$G$5001,A2011))</f>
        <v/>
      </c>
      <c r="J2011" s="26" t="str">
        <f aca="false">IF(A2011="","",COUNTIFS(Apparitions!$G$2:$G$5001,A2011,Apparitions!$E$2:$E$5001,"○"))</f>
        <v/>
      </c>
      <c r="K2011" s="29" t="str">
        <f aca="false">IF(A2011="","",IFERROR(1/(1/_xlfn.MINIFS(Apparitions!$L$2:$L$5001,Apparitions!$G$2:$G$5001,A2011)),""))</f>
        <v/>
      </c>
      <c r="L2011" s="27" t="str">
        <f aca="false">IF(A2011="","",A2011&amp;" | "&amp;B2011&amp;IF(C2011="",""," ("&amp;C2011&amp;")")&amp;IF(D2011="",""," - "&amp;D2011))</f>
        <v/>
      </c>
    </row>
    <row r="2012" customFormat="false" ht="15" hidden="false" customHeight="false" outlineLevel="0" collapsed="false">
      <c r="A2012" s="32"/>
      <c r="B2012" s="19"/>
      <c r="C2012" s="19"/>
      <c r="D2012" s="19"/>
      <c r="E2012" s="21"/>
      <c r="F2012" s="19"/>
      <c r="G2012" s="27" t="str">
        <f aca="false">IF(B2012="","",IFERROR(INDEX(Jeux!$C$2:$C$3001,MATCH(B2012,Jeux!$A$2:$A$3001,0))&amp;"","⚠ jeu inconnu"))</f>
        <v/>
      </c>
      <c r="H2012" s="27" t="str">
        <f aca="false">IF(B2012="","",IFERROR(INDEX(Jeux!$D$2:$D$3001,MATCH(B2012,Jeux!$A$2:$A$3001,0))&amp;"",""))</f>
        <v/>
      </c>
      <c r="I2012" s="26" t="str">
        <f aca="false">IF(A2012="","",COUNTIF(Apparitions!$G$2:$G$5001,A2012))</f>
        <v/>
      </c>
      <c r="J2012" s="26" t="str">
        <f aca="false">IF(A2012="","",COUNTIFS(Apparitions!$G$2:$G$5001,A2012,Apparitions!$E$2:$E$5001,"○"))</f>
        <v/>
      </c>
      <c r="K2012" s="29" t="str">
        <f aca="false">IF(A2012="","",IFERROR(1/(1/_xlfn.MINIFS(Apparitions!$L$2:$L$5001,Apparitions!$G$2:$G$5001,A2012)),""))</f>
        <v/>
      </c>
      <c r="L2012" s="27" t="str">
        <f aca="false">IF(A2012="","",A2012&amp;" | "&amp;B2012&amp;IF(C2012="",""," ("&amp;C2012&amp;")")&amp;IF(D2012="",""," - "&amp;D2012))</f>
        <v/>
      </c>
    </row>
    <row r="2013" customFormat="false" ht="15" hidden="false" customHeight="false" outlineLevel="0" collapsed="false">
      <c r="A2013" s="32"/>
      <c r="B2013" s="19"/>
      <c r="C2013" s="19"/>
      <c r="D2013" s="19"/>
      <c r="E2013" s="21"/>
      <c r="F2013" s="19"/>
      <c r="G2013" s="27" t="str">
        <f aca="false">IF(B2013="","",IFERROR(INDEX(Jeux!$C$2:$C$3001,MATCH(B2013,Jeux!$A$2:$A$3001,0))&amp;"","⚠ jeu inconnu"))</f>
        <v/>
      </c>
      <c r="H2013" s="27" t="str">
        <f aca="false">IF(B2013="","",IFERROR(INDEX(Jeux!$D$2:$D$3001,MATCH(B2013,Jeux!$A$2:$A$3001,0))&amp;"",""))</f>
        <v/>
      </c>
      <c r="I2013" s="26" t="str">
        <f aca="false">IF(A2013="","",COUNTIF(Apparitions!$G$2:$G$5001,A2013))</f>
        <v/>
      </c>
      <c r="J2013" s="26" t="str">
        <f aca="false">IF(A2013="","",COUNTIFS(Apparitions!$G$2:$G$5001,A2013,Apparitions!$E$2:$E$5001,"○"))</f>
        <v/>
      </c>
      <c r="K2013" s="29" t="str">
        <f aca="false">IF(A2013="","",IFERROR(1/(1/_xlfn.MINIFS(Apparitions!$L$2:$L$5001,Apparitions!$G$2:$G$5001,A2013)),""))</f>
        <v/>
      </c>
      <c r="L2013" s="27" t="str">
        <f aca="false">IF(A2013="","",A2013&amp;" | "&amp;B2013&amp;IF(C2013="",""," ("&amp;C2013&amp;")")&amp;IF(D2013="",""," - "&amp;D2013))</f>
        <v/>
      </c>
    </row>
    <row r="2014" customFormat="false" ht="15" hidden="false" customHeight="false" outlineLevel="0" collapsed="false">
      <c r="A2014" s="32"/>
      <c r="B2014" s="19"/>
      <c r="C2014" s="19"/>
      <c r="D2014" s="19"/>
      <c r="E2014" s="21"/>
      <c r="F2014" s="19"/>
      <c r="G2014" s="27" t="str">
        <f aca="false">IF(B2014="","",IFERROR(INDEX(Jeux!$C$2:$C$3001,MATCH(B2014,Jeux!$A$2:$A$3001,0))&amp;"","⚠ jeu inconnu"))</f>
        <v/>
      </c>
      <c r="H2014" s="27" t="str">
        <f aca="false">IF(B2014="","",IFERROR(INDEX(Jeux!$D$2:$D$3001,MATCH(B2014,Jeux!$A$2:$A$3001,0))&amp;"",""))</f>
        <v/>
      </c>
      <c r="I2014" s="26" t="str">
        <f aca="false">IF(A2014="","",COUNTIF(Apparitions!$G$2:$G$5001,A2014))</f>
        <v/>
      </c>
      <c r="J2014" s="26" t="str">
        <f aca="false">IF(A2014="","",COUNTIFS(Apparitions!$G$2:$G$5001,A2014,Apparitions!$E$2:$E$5001,"○"))</f>
        <v/>
      </c>
      <c r="K2014" s="29" t="str">
        <f aca="false">IF(A2014="","",IFERROR(1/(1/_xlfn.MINIFS(Apparitions!$L$2:$L$5001,Apparitions!$G$2:$G$5001,A2014)),""))</f>
        <v/>
      </c>
      <c r="L2014" s="27" t="str">
        <f aca="false">IF(A2014="","",A2014&amp;" | "&amp;B2014&amp;IF(C2014="",""," ("&amp;C2014&amp;")")&amp;IF(D2014="",""," - "&amp;D2014))</f>
        <v/>
      </c>
    </row>
    <row r="2015" customFormat="false" ht="15" hidden="false" customHeight="false" outlineLevel="0" collapsed="false">
      <c r="A2015" s="32"/>
      <c r="B2015" s="19"/>
      <c r="C2015" s="19"/>
      <c r="D2015" s="19"/>
      <c r="E2015" s="21"/>
      <c r="F2015" s="19"/>
      <c r="G2015" s="27" t="str">
        <f aca="false">IF(B2015="","",IFERROR(INDEX(Jeux!$C$2:$C$3001,MATCH(B2015,Jeux!$A$2:$A$3001,0))&amp;"","⚠ jeu inconnu"))</f>
        <v/>
      </c>
      <c r="H2015" s="27" t="str">
        <f aca="false">IF(B2015="","",IFERROR(INDEX(Jeux!$D$2:$D$3001,MATCH(B2015,Jeux!$A$2:$A$3001,0))&amp;"",""))</f>
        <v/>
      </c>
      <c r="I2015" s="26" t="str">
        <f aca="false">IF(A2015="","",COUNTIF(Apparitions!$G$2:$G$5001,A2015))</f>
        <v/>
      </c>
      <c r="J2015" s="26" t="str">
        <f aca="false">IF(A2015="","",COUNTIFS(Apparitions!$G$2:$G$5001,A2015,Apparitions!$E$2:$E$5001,"○"))</f>
        <v/>
      </c>
      <c r="K2015" s="29" t="str">
        <f aca="false">IF(A2015="","",IFERROR(1/(1/_xlfn.MINIFS(Apparitions!$L$2:$L$5001,Apparitions!$G$2:$G$5001,A2015)),""))</f>
        <v/>
      </c>
      <c r="L2015" s="27" t="str">
        <f aca="false">IF(A2015="","",A2015&amp;" | "&amp;B2015&amp;IF(C2015="",""," ("&amp;C2015&amp;")")&amp;IF(D2015="",""," - "&amp;D2015))</f>
        <v/>
      </c>
    </row>
    <row r="2016" customFormat="false" ht="15" hidden="false" customHeight="false" outlineLevel="0" collapsed="false">
      <c r="A2016" s="32"/>
      <c r="B2016" s="19"/>
      <c r="C2016" s="19"/>
      <c r="D2016" s="19"/>
      <c r="E2016" s="21"/>
      <c r="F2016" s="19"/>
      <c r="G2016" s="27" t="str">
        <f aca="false">IF(B2016="","",IFERROR(INDEX(Jeux!$C$2:$C$3001,MATCH(B2016,Jeux!$A$2:$A$3001,0))&amp;"","⚠ jeu inconnu"))</f>
        <v/>
      </c>
      <c r="H2016" s="27" t="str">
        <f aca="false">IF(B2016="","",IFERROR(INDEX(Jeux!$D$2:$D$3001,MATCH(B2016,Jeux!$A$2:$A$3001,0))&amp;"",""))</f>
        <v/>
      </c>
      <c r="I2016" s="26" t="str">
        <f aca="false">IF(A2016="","",COUNTIF(Apparitions!$G$2:$G$5001,A2016))</f>
        <v/>
      </c>
      <c r="J2016" s="26" t="str">
        <f aca="false">IF(A2016="","",COUNTIFS(Apparitions!$G$2:$G$5001,A2016,Apparitions!$E$2:$E$5001,"○"))</f>
        <v/>
      </c>
      <c r="K2016" s="29" t="str">
        <f aca="false">IF(A2016="","",IFERROR(1/(1/_xlfn.MINIFS(Apparitions!$L$2:$L$5001,Apparitions!$G$2:$G$5001,A2016)),""))</f>
        <v/>
      </c>
      <c r="L2016" s="27" t="str">
        <f aca="false">IF(A2016="","",A2016&amp;" | "&amp;B2016&amp;IF(C2016="",""," ("&amp;C2016&amp;")")&amp;IF(D2016="",""," - "&amp;D2016))</f>
        <v/>
      </c>
    </row>
    <row r="2017" customFormat="false" ht="15" hidden="false" customHeight="false" outlineLevel="0" collapsed="false">
      <c r="A2017" s="32"/>
      <c r="B2017" s="19"/>
      <c r="C2017" s="19"/>
      <c r="D2017" s="19"/>
      <c r="E2017" s="21"/>
      <c r="F2017" s="19"/>
      <c r="G2017" s="27" t="str">
        <f aca="false">IF(B2017="","",IFERROR(INDEX(Jeux!$C$2:$C$3001,MATCH(B2017,Jeux!$A$2:$A$3001,0))&amp;"","⚠ jeu inconnu"))</f>
        <v/>
      </c>
      <c r="H2017" s="27" t="str">
        <f aca="false">IF(B2017="","",IFERROR(INDEX(Jeux!$D$2:$D$3001,MATCH(B2017,Jeux!$A$2:$A$3001,0))&amp;"",""))</f>
        <v/>
      </c>
      <c r="I2017" s="26" t="str">
        <f aca="false">IF(A2017="","",COUNTIF(Apparitions!$G$2:$G$5001,A2017))</f>
        <v/>
      </c>
      <c r="J2017" s="26" t="str">
        <f aca="false">IF(A2017="","",COUNTIFS(Apparitions!$G$2:$G$5001,A2017,Apparitions!$E$2:$E$5001,"○"))</f>
        <v/>
      </c>
      <c r="K2017" s="29" t="str">
        <f aca="false">IF(A2017="","",IFERROR(1/(1/_xlfn.MINIFS(Apparitions!$L$2:$L$5001,Apparitions!$G$2:$G$5001,A2017)),""))</f>
        <v/>
      </c>
      <c r="L2017" s="27" t="str">
        <f aca="false">IF(A2017="","",A2017&amp;" | "&amp;B2017&amp;IF(C2017="",""," ("&amp;C2017&amp;")")&amp;IF(D2017="",""," - "&amp;D2017))</f>
        <v/>
      </c>
    </row>
    <row r="2018" customFormat="false" ht="15" hidden="false" customHeight="false" outlineLevel="0" collapsed="false">
      <c r="A2018" s="32"/>
      <c r="B2018" s="19"/>
      <c r="C2018" s="19"/>
      <c r="D2018" s="19"/>
      <c r="E2018" s="21"/>
      <c r="F2018" s="19"/>
      <c r="G2018" s="27" t="str">
        <f aca="false">IF(B2018="","",IFERROR(INDEX(Jeux!$C$2:$C$3001,MATCH(B2018,Jeux!$A$2:$A$3001,0))&amp;"","⚠ jeu inconnu"))</f>
        <v/>
      </c>
      <c r="H2018" s="27" t="str">
        <f aca="false">IF(B2018="","",IFERROR(INDEX(Jeux!$D$2:$D$3001,MATCH(B2018,Jeux!$A$2:$A$3001,0))&amp;"",""))</f>
        <v/>
      </c>
      <c r="I2018" s="26" t="str">
        <f aca="false">IF(A2018="","",COUNTIF(Apparitions!$G$2:$G$5001,A2018))</f>
        <v/>
      </c>
      <c r="J2018" s="26" t="str">
        <f aca="false">IF(A2018="","",COUNTIFS(Apparitions!$G$2:$G$5001,A2018,Apparitions!$E$2:$E$5001,"○"))</f>
        <v/>
      </c>
      <c r="K2018" s="29" t="str">
        <f aca="false">IF(A2018="","",IFERROR(1/(1/_xlfn.MINIFS(Apparitions!$L$2:$L$5001,Apparitions!$G$2:$G$5001,A2018)),""))</f>
        <v/>
      </c>
      <c r="L2018" s="27" t="str">
        <f aca="false">IF(A2018="","",A2018&amp;" | "&amp;B2018&amp;IF(C2018="",""," ("&amp;C2018&amp;")")&amp;IF(D2018="",""," - "&amp;D2018))</f>
        <v/>
      </c>
    </row>
    <row r="2019" customFormat="false" ht="15" hidden="false" customHeight="false" outlineLevel="0" collapsed="false">
      <c r="A2019" s="32"/>
      <c r="B2019" s="19"/>
      <c r="C2019" s="19"/>
      <c r="D2019" s="19"/>
      <c r="E2019" s="21"/>
      <c r="F2019" s="19"/>
      <c r="G2019" s="27" t="str">
        <f aca="false">IF(B2019="","",IFERROR(INDEX(Jeux!$C$2:$C$3001,MATCH(B2019,Jeux!$A$2:$A$3001,0))&amp;"","⚠ jeu inconnu"))</f>
        <v/>
      </c>
      <c r="H2019" s="27" t="str">
        <f aca="false">IF(B2019="","",IFERROR(INDEX(Jeux!$D$2:$D$3001,MATCH(B2019,Jeux!$A$2:$A$3001,0))&amp;"",""))</f>
        <v/>
      </c>
      <c r="I2019" s="26" t="str">
        <f aca="false">IF(A2019="","",COUNTIF(Apparitions!$G$2:$G$5001,A2019))</f>
        <v/>
      </c>
      <c r="J2019" s="26" t="str">
        <f aca="false">IF(A2019="","",COUNTIFS(Apparitions!$G$2:$G$5001,A2019,Apparitions!$E$2:$E$5001,"○"))</f>
        <v/>
      </c>
      <c r="K2019" s="29" t="str">
        <f aca="false">IF(A2019="","",IFERROR(1/(1/_xlfn.MINIFS(Apparitions!$L$2:$L$5001,Apparitions!$G$2:$G$5001,A2019)),""))</f>
        <v/>
      </c>
      <c r="L2019" s="27" t="str">
        <f aca="false">IF(A2019="","",A2019&amp;" | "&amp;B2019&amp;IF(C2019="",""," ("&amp;C2019&amp;")")&amp;IF(D2019="",""," - "&amp;D2019))</f>
        <v/>
      </c>
    </row>
    <row r="2020" customFormat="false" ht="15" hidden="false" customHeight="false" outlineLevel="0" collapsed="false">
      <c r="A2020" s="32"/>
      <c r="B2020" s="19"/>
      <c r="C2020" s="19"/>
      <c r="D2020" s="19"/>
      <c r="E2020" s="21"/>
      <c r="F2020" s="19"/>
      <c r="G2020" s="27" t="str">
        <f aca="false">IF(B2020="","",IFERROR(INDEX(Jeux!$C$2:$C$3001,MATCH(B2020,Jeux!$A$2:$A$3001,0))&amp;"","⚠ jeu inconnu"))</f>
        <v/>
      </c>
      <c r="H2020" s="27" t="str">
        <f aca="false">IF(B2020="","",IFERROR(INDEX(Jeux!$D$2:$D$3001,MATCH(B2020,Jeux!$A$2:$A$3001,0))&amp;"",""))</f>
        <v/>
      </c>
      <c r="I2020" s="26" t="str">
        <f aca="false">IF(A2020="","",COUNTIF(Apparitions!$G$2:$G$5001,A2020))</f>
        <v/>
      </c>
      <c r="J2020" s="26" t="str">
        <f aca="false">IF(A2020="","",COUNTIFS(Apparitions!$G$2:$G$5001,A2020,Apparitions!$E$2:$E$5001,"○"))</f>
        <v/>
      </c>
      <c r="K2020" s="29" t="str">
        <f aca="false">IF(A2020="","",IFERROR(1/(1/_xlfn.MINIFS(Apparitions!$L$2:$L$5001,Apparitions!$G$2:$G$5001,A2020)),""))</f>
        <v/>
      </c>
      <c r="L2020" s="27" t="str">
        <f aca="false">IF(A2020="","",A2020&amp;" | "&amp;B2020&amp;IF(C2020="",""," ("&amp;C2020&amp;")")&amp;IF(D2020="",""," - "&amp;D2020))</f>
        <v/>
      </c>
    </row>
    <row r="2021" customFormat="false" ht="15" hidden="false" customHeight="false" outlineLevel="0" collapsed="false">
      <c r="A2021" s="32"/>
      <c r="B2021" s="19"/>
      <c r="C2021" s="19"/>
      <c r="D2021" s="19"/>
      <c r="E2021" s="21"/>
      <c r="F2021" s="19"/>
      <c r="G2021" s="27" t="str">
        <f aca="false">IF(B2021="","",IFERROR(INDEX(Jeux!$C$2:$C$3001,MATCH(B2021,Jeux!$A$2:$A$3001,0))&amp;"","⚠ jeu inconnu"))</f>
        <v/>
      </c>
      <c r="H2021" s="27" t="str">
        <f aca="false">IF(B2021="","",IFERROR(INDEX(Jeux!$D$2:$D$3001,MATCH(B2021,Jeux!$A$2:$A$3001,0))&amp;"",""))</f>
        <v/>
      </c>
      <c r="I2021" s="26" t="str">
        <f aca="false">IF(A2021="","",COUNTIF(Apparitions!$G$2:$G$5001,A2021))</f>
        <v/>
      </c>
      <c r="J2021" s="26" t="str">
        <f aca="false">IF(A2021="","",COUNTIFS(Apparitions!$G$2:$G$5001,A2021,Apparitions!$E$2:$E$5001,"○"))</f>
        <v/>
      </c>
      <c r="K2021" s="29" t="str">
        <f aca="false">IF(A2021="","",IFERROR(1/(1/_xlfn.MINIFS(Apparitions!$L$2:$L$5001,Apparitions!$G$2:$G$5001,A2021)),""))</f>
        <v/>
      </c>
      <c r="L2021" s="27" t="str">
        <f aca="false">IF(A2021="","",A2021&amp;" | "&amp;B2021&amp;IF(C2021="",""," ("&amp;C2021&amp;")")&amp;IF(D2021="",""," - "&amp;D2021))</f>
        <v/>
      </c>
    </row>
    <row r="2022" customFormat="false" ht="15" hidden="false" customHeight="false" outlineLevel="0" collapsed="false">
      <c r="A2022" s="32"/>
      <c r="B2022" s="19"/>
      <c r="C2022" s="19"/>
      <c r="D2022" s="19"/>
      <c r="E2022" s="21"/>
      <c r="F2022" s="19"/>
      <c r="G2022" s="27" t="str">
        <f aca="false">IF(B2022="","",IFERROR(INDEX(Jeux!$C$2:$C$3001,MATCH(B2022,Jeux!$A$2:$A$3001,0))&amp;"","⚠ jeu inconnu"))</f>
        <v/>
      </c>
      <c r="H2022" s="27" t="str">
        <f aca="false">IF(B2022="","",IFERROR(INDEX(Jeux!$D$2:$D$3001,MATCH(B2022,Jeux!$A$2:$A$3001,0))&amp;"",""))</f>
        <v/>
      </c>
      <c r="I2022" s="26" t="str">
        <f aca="false">IF(A2022="","",COUNTIF(Apparitions!$G$2:$G$5001,A2022))</f>
        <v/>
      </c>
      <c r="J2022" s="26" t="str">
        <f aca="false">IF(A2022="","",COUNTIFS(Apparitions!$G$2:$G$5001,A2022,Apparitions!$E$2:$E$5001,"○"))</f>
        <v/>
      </c>
      <c r="K2022" s="29" t="str">
        <f aca="false">IF(A2022="","",IFERROR(1/(1/_xlfn.MINIFS(Apparitions!$L$2:$L$5001,Apparitions!$G$2:$G$5001,A2022)),""))</f>
        <v/>
      </c>
      <c r="L2022" s="27" t="str">
        <f aca="false">IF(A2022="","",A2022&amp;" | "&amp;B2022&amp;IF(C2022="",""," ("&amp;C2022&amp;")")&amp;IF(D2022="",""," - "&amp;D2022))</f>
        <v/>
      </c>
    </row>
    <row r="2023" customFormat="false" ht="15" hidden="false" customHeight="false" outlineLevel="0" collapsed="false">
      <c r="A2023" s="32"/>
      <c r="B2023" s="19"/>
      <c r="C2023" s="19"/>
      <c r="D2023" s="19"/>
      <c r="E2023" s="21"/>
      <c r="F2023" s="19"/>
      <c r="G2023" s="27" t="str">
        <f aca="false">IF(B2023="","",IFERROR(INDEX(Jeux!$C$2:$C$3001,MATCH(B2023,Jeux!$A$2:$A$3001,0))&amp;"","⚠ jeu inconnu"))</f>
        <v/>
      </c>
      <c r="H2023" s="27" t="str">
        <f aca="false">IF(B2023="","",IFERROR(INDEX(Jeux!$D$2:$D$3001,MATCH(B2023,Jeux!$A$2:$A$3001,0))&amp;"",""))</f>
        <v/>
      </c>
      <c r="I2023" s="26" t="str">
        <f aca="false">IF(A2023="","",COUNTIF(Apparitions!$G$2:$G$5001,A2023))</f>
        <v/>
      </c>
      <c r="J2023" s="26" t="str">
        <f aca="false">IF(A2023="","",COUNTIFS(Apparitions!$G$2:$G$5001,A2023,Apparitions!$E$2:$E$5001,"○"))</f>
        <v/>
      </c>
      <c r="K2023" s="29" t="str">
        <f aca="false">IF(A2023="","",IFERROR(1/(1/_xlfn.MINIFS(Apparitions!$L$2:$L$5001,Apparitions!$G$2:$G$5001,A2023)),""))</f>
        <v/>
      </c>
      <c r="L2023" s="27" t="str">
        <f aca="false">IF(A2023="","",A2023&amp;" | "&amp;B2023&amp;IF(C2023="",""," ("&amp;C2023&amp;")")&amp;IF(D2023="",""," - "&amp;D2023))</f>
        <v/>
      </c>
    </row>
    <row r="2024" customFormat="false" ht="15" hidden="false" customHeight="false" outlineLevel="0" collapsed="false">
      <c r="A2024" s="32"/>
      <c r="B2024" s="19"/>
      <c r="C2024" s="19"/>
      <c r="D2024" s="19"/>
      <c r="E2024" s="21"/>
      <c r="F2024" s="19"/>
      <c r="G2024" s="27" t="str">
        <f aca="false">IF(B2024="","",IFERROR(INDEX(Jeux!$C$2:$C$3001,MATCH(B2024,Jeux!$A$2:$A$3001,0))&amp;"","⚠ jeu inconnu"))</f>
        <v/>
      </c>
      <c r="H2024" s="27" t="str">
        <f aca="false">IF(B2024="","",IFERROR(INDEX(Jeux!$D$2:$D$3001,MATCH(B2024,Jeux!$A$2:$A$3001,0))&amp;"",""))</f>
        <v/>
      </c>
      <c r="I2024" s="26" t="str">
        <f aca="false">IF(A2024="","",COUNTIF(Apparitions!$G$2:$G$5001,A2024))</f>
        <v/>
      </c>
      <c r="J2024" s="26" t="str">
        <f aca="false">IF(A2024="","",COUNTIFS(Apparitions!$G$2:$G$5001,A2024,Apparitions!$E$2:$E$5001,"○"))</f>
        <v/>
      </c>
      <c r="K2024" s="29" t="str">
        <f aca="false">IF(A2024="","",IFERROR(1/(1/_xlfn.MINIFS(Apparitions!$L$2:$L$5001,Apparitions!$G$2:$G$5001,A2024)),""))</f>
        <v/>
      </c>
      <c r="L2024" s="27" t="str">
        <f aca="false">IF(A2024="","",A2024&amp;" | "&amp;B2024&amp;IF(C2024="",""," ("&amp;C2024&amp;")")&amp;IF(D2024="",""," - "&amp;D2024))</f>
        <v/>
      </c>
    </row>
    <row r="2025" customFormat="false" ht="15" hidden="false" customHeight="false" outlineLevel="0" collapsed="false">
      <c r="A2025" s="32"/>
      <c r="B2025" s="19"/>
      <c r="C2025" s="19"/>
      <c r="D2025" s="19"/>
      <c r="E2025" s="21"/>
      <c r="F2025" s="19"/>
      <c r="G2025" s="27" t="str">
        <f aca="false">IF(B2025="","",IFERROR(INDEX(Jeux!$C$2:$C$3001,MATCH(B2025,Jeux!$A$2:$A$3001,0))&amp;"","⚠ jeu inconnu"))</f>
        <v/>
      </c>
      <c r="H2025" s="27" t="str">
        <f aca="false">IF(B2025="","",IFERROR(INDEX(Jeux!$D$2:$D$3001,MATCH(B2025,Jeux!$A$2:$A$3001,0))&amp;"",""))</f>
        <v/>
      </c>
      <c r="I2025" s="26" t="str">
        <f aca="false">IF(A2025="","",COUNTIF(Apparitions!$G$2:$G$5001,A2025))</f>
        <v/>
      </c>
      <c r="J2025" s="26" t="str">
        <f aca="false">IF(A2025="","",COUNTIFS(Apparitions!$G$2:$G$5001,A2025,Apparitions!$E$2:$E$5001,"○"))</f>
        <v/>
      </c>
      <c r="K2025" s="29" t="str">
        <f aca="false">IF(A2025="","",IFERROR(1/(1/_xlfn.MINIFS(Apparitions!$L$2:$L$5001,Apparitions!$G$2:$G$5001,A2025)),""))</f>
        <v/>
      </c>
      <c r="L2025" s="27" t="str">
        <f aca="false">IF(A2025="","",A2025&amp;" | "&amp;B2025&amp;IF(C2025="",""," ("&amp;C2025&amp;")")&amp;IF(D2025="",""," - "&amp;D2025))</f>
        <v/>
      </c>
    </row>
    <row r="2026" customFormat="false" ht="15" hidden="false" customHeight="false" outlineLevel="0" collapsed="false">
      <c r="A2026" s="32"/>
      <c r="B2026" s="19"/>
      <c r="C2026" s="19"/>
      <c r="D2026" s="19"/>
      <c r="E2026" s="21"/>
      <c r="F2026" s="19"/>
      <c r="G2026" s="27" t="str">
        <f aca="false">IF(B2026="","",IFERROR(INDEX(Jeux!$C$2:$C$3001,MATCH(B2026,Jeux!$A$2:$A$3001,0))&amp;"","⚠ jeu inconnu"))</f>
        <v/>
      </c>
      <c r="H2026" s="27" t="str">
        <f aca="false">IF(B2026="","",IFERROR(INDEX(Jeux!$D$2:$D$3001,MATCH(B2026,Jeux!$A$2:$A$3001,0))&amp;"",""))</f>
        <v/>
      </c>
      <c r="I2026" s="26" t="str">
        <f aca="false">IF(A2026="","",COUNTIF(Apparitions!$G$2:$G$5001,A2026))</f>
        <v/>
      </c>
      <c r="J2026" s="26" t="str">
        <f aca="false">IF(A2026="","",COUNTIFS(Apparitions!$G$2:$G$5001,A2026,Apparitions!$E$2:$E$5001,"○"))</f>
        <v/>
      </c>
      <c r="K2026" s="29" t="str">
        <f aca="false">IF(A2026="","",IFERROR(1/(1/_xlfn.MINIFS(Apparitions!$L$2:$L$5001,Apparitions!$G$2:$G$5001,A2026)),""))</f>
        <v/>
      </c>
      <c r="L2026" s="27" t="str">
        <f aca="false">IF(A2026="","",A2026&amp;" | "&amp;B2026&amp;IF(C2026="",""," ("&amp;C2026&amp;")")&amp;IF(D2026="",""," - "&amp;D2026))</f>
        <v/>
      </c>
    </row>
    <row r="2027" customFormat="false" ht="15" hidden="false" customHeight="false" outlineLevel="0" collapsed="false">
      <c r="A2027" s="32"/>
      <c r="B2027" s="19"/>
      <c r="C2027" s="19"/>
      <c r="D2027" s="19"/>
      <c r="E2027" s="21"/>
      <c r="F2027" s="19"/>
      <c r="G2027" s="27" t="str">
        <f aca="false">IF(B2027="","",IFERROR(INDEX(Jeux!$C$2:$C$3001,MATCH(B2027,Jeux!$A$2:$A$3001,0))&amp;"","⚠ jeu inconnu"))</f>
        <v/>
      </c>
      <c r="H2027" s="27" t="str">
        <f aca="false">IF(B2027="","",IFERROR(INDEX(Jeux!$D$2:$D$3001,MATCH(B2027,Jeux!$A$2:$A$3001,0))&amp;"",""))</f>
        <v/>
      </c>
      <c r="I2027" s="26" t="str">
        <f aca="false">IF(A2027="","",COUNTIF(Apparitions!$G$2:$G$5001,A2027))</f>
        <v/>
      </c>
      <c r="J2027" s="26" t="str">
        <f aca="false">IF(A2027="","",COUNTIFS(Apparitions!$G$2:$G$5001,A2027,Apparitions!$E$2:$E$5001,"○"))</f>
        <v/>
      </c>
      <c r="K2027" s="29" t="str">
        <f aca="false">IF(A2027="","",IFERROR(1/(1/_xlfn.MINIFS(Apparitions!$L$2:$L$5001,Apparitions!$G$2:$G$5001,A2027)),""))</f>
        <v/>
      </c>
      <c r="L2027" s="27" t="str">
        <f aca="false">IF(A2027="","",A2027&amp;" | "&amp;B2027&amp;IF(C2027="",""," ("&amp;C2027&amp;")")&amp;IF(D2027="",""," - "&amp;D2027))</f>
        <v/>
      </c>
    </row>
    <row r="2028" customFormat="false" ht="15" hidden="false" customHeight="false" outlineLevel="0" collapsed="false">
      <c r="A2028" s="32"/>
      <c r="B2028" s="19"/>
      <c r="C2028" s="19"/>
      <c r="D2028" s="19"/>
      <c r="E2028" s="21"/>
      <c r="F2028" s="19"/>
      <c r="G2028" s="27" t="str">
        <f aca="false">IF(B2028="","",IFERROR(INDEX(Jeux!$C$2:$C$3001,MATCH(B2028,Jeux!$A$2:$A$3001,0))&amp;"","⚠ jeu inconnu"))</f>
        <v/>
      </c>
      <c r="H2028" s="27" t="str">
        <f aca="false">IF(B2028="","",IFERROR(INDEX(Jeux!$D$2:$D$3001,MATCH(B2028,Jeux!$A$2:$A$3001,0))&amp;"",""))</f>
        <v/>
      </c>
      <c r="I2028" s="26" t="str">
        <f aca="false">IF(A2028="","",COUNTIF(Apparitions!$G$2:$G$5001,A2028))</f>
        <v/>
      </c>
      <c r="J2028" s="26" t="str">
        <f aca="false">IF(A2028="","",COUNTIFS(Apparitions!$G$2:$G$5001,A2028,Apparitions!$E$2:$E$5001,"○"))</f>
        <v/>
      </c>
      <c r="K2028" s="29" t="str">
        <f aca="false">IF(A2028="","",IFERROR(1/(1/_xlfn.MINIFS(Apparitions!$L$2:$L$5001,Apparitions!$G$2:$G$5001,A2028)),""))</f>
        <v/>
      </c>
      <c r="L2028" s="27" t="str">
        <f aca="false">IF(A2028="","",A2028&amp;" | "&amp;B2028&amp;IF(C2028="",""," ("&amp;C2028&amp;")")&amp;IF(D2028="",""," - "&amp;D2028))</f>
        <v/>
      </c>
    </row>
    <row r="2029" customFormat="false" ht="15" hidden="false" customHeight="false" outlineLevel="0" collapsed="false">
      <c r="A2029" s="32"/>
      <c r="B2029" s="19"/>
      <c r="C2029" s="19"/>
      <c r="D2029" s="19"/>
      <c r="E2029" s="21"/>
      <c r="F2029" s="19"/>
      <c r="G2029" s="27" t="str">
        <f aca="false">IF(B2029="","",IFERROR(INDEX(Jeux!$C$2:$C$3001,MATCH(B2029,Jeux!$A$2:$A$3001,0))&amp;"","⚠ jeu inconnu"))</f>
        <v/>
      </c>
      <c r="H2029" s="27" t="str">
        <f aca="false">IF(B2029="","",IFERROR(INDEX(Jeux!$D$2:$D$3001,MATCH(B2029,Jeux!$A$2:$A$3001,0))&amp;"",""))</f>
        <v/>
      </c>
      <c r="I2029" s="26" t="str">
        <f aca="false">IF(A2029="","",COUNTIF(Apparitions!$G$2:$G$5001,A2029))</f>
        <v/>
      </c>
      <c r="J2029" s="26" t="str">
        <f aca="false">IF(A2029="","",COUNTIFS(Apparitions!$G$2:$G$5001,A2029,Apparitions!$E$2:$E$5001,"○"))</f>
        <v/>
      </c>
      <c r="K2029" s="29" t="str">
        <f aca="false">IF(A2029="","",IFERROR(1/(1/_xlfn.MINIFS(Apparitions!$L$2:$L$5001,Apparitions!$G$2:$G$5001,A2029)),""))</f>
        <v/>
      </c>
      <c r="L2029" s="27" t="str">
        <f aca="false">IF(A2029="","",A2029&amp;" | "&amp;B2029&amp;IF(C2029="",""," ("&amp;C2029&amp;")")&amp;IF(D2029="",""," - "&amp;D2029))</f>
        <v/>
      </c>
    </row>
    <row r="2030" customFormat="false" ht="15" hidden="false" customHeight="false" outlineLevel="0" collapsed="false">
      <c r="A2030" s="32"/>
      <c r="B2030" s="19"/>
      <c r="C2030" s="19"/>
      <c r="D2030" s="19"/>
      <c r="E2030" s="21"/>
      <c r="F2030" s="19"/>
      <c r="G2030" s="27" t="str">
        <f aca="false">IF(B2030="","",IFERROR(INDEX(Jeux!$C$2:$C$3001,MATCH(B2030,Jeux!$A$2:$A$3001,0))&amp;"","⚠ jeu inconnu"))</f>
        <v/>
      </c>
      <c r="H2030" s="27" t="str">
        <f aca="false">IF(B2030="","",IFERROR(INDEX(Jeux!$D$2:$D$3001,MATCH(B2030,Jeux!$A$2:$A$3001,0))&amp;"",""))</f>
        <v/>
      </c>
      <c r="I2030" s="26" t="str">
        <f aca="false">IF(A2030="","",COUNTIF(Apparitions!$G$2:$G$5001,A2030))</f>
        <v/>
      </c>
      <c r="J2030" s="26" t="str">
        <f aca="false">IF(A2030="","",COUNTIFS(Apparitions!$G$2:$G$5001,A2030,Apparitions!$E$2:$E$5001,"○"))</f>
        <v/>
      </c>
      <c r="K2030" s="29" t="str">
        <f aca="false">IF(A2030="","",IFERROR(1/(1/_xlfn.MINIFS(Apparitions!$L$2:$L$5001,Apparitions!$G$2:$G$5001,A2030)),""))</f>
        <v/>
      </c>
      <c r="L2030" s="27" t="str">
        <f aca="false">IF(A2030="","",A2030&amp;" | "&amp;B2030&amp;IF(C2030="",""," ("&amp;C2030&amp;")")&amp;IF(D2030="",""," - "&amp;D2030))</f>
        <v/>
      </c>
    </row>
    <row r="2031" customFormat="false" ht="15" hidden="false" customHeight="false" outlineLevel="0" collapsed="false">
      <c r="A2031" s="32"/>
      <c r="B2031" s="19"/>
      <c r="C2031" s="19"/>
      <c r="D2031" s="19"/>
      <c r="E2031" s="21"/>
      <c r="F2031" s="19"/>
      <c r="G2031" s="27" t="str">
        <f aca="false">IF(B2031="","",IFERROR(INDEX(Jeux!$C$2:$C$3001,MATCH(B2031,Jeux!$A$2:$A$3001,0))&amp;"","⚠ jeu inconnu"))</f>
        <v/>
      </c>
      <c r="H2031" s="27" t="str">
        <f aca="false">IF(B2031="","",IFERROR(INDEX(Jeux!$D$2:$D$3001,MATCH(B2031,Jeux!$A$2:$A$3001,0))&amp;"",""))</f>
        <v/>
      </c>
      <c r="I2031" s="26" t="str">
        <f aca="false">IF(A2031="","",COUNTIF(Apparitions!$G$2:$G$5001,A2031))</f>
        <v/>
      </c>
      <c r="J2031" s="26" t="str">
        <f aca="false">IF(A2031="","",COUNTIFS(Apparitions!$G$2:$G$5001,A2031,Apparitions!$E$2:$E$5001,"○"))</f>
        <v/>
      </c>
      <c r="K2031" s="29" t="str">
        <f aca="false">IF(A2031="","",IFERROR(1/(1/_xlfn.MINIFS(Apparitions!$L$2:$L$5001,Apparitions!$G$2:$G$5001,A2031)),""))</f>
        <v/>
      </c>
      <c r="L2031" s="27" t="str">
        <f aca="false">IF(A2031="","",A2031&amp;" | "&amp;B2031&amp;IF(C2031="",""," ("&amp;C2031&amp;")")&amp;IF(D2031="",""," - "&amp;D2031))</f>
        <v/>
      </c>
    </row>
    <row r="2032" customFormat="false" ht="15" hidden="false" customHeight="false" outlineLevel="0" collapsed="false">
      <c r="A2032" s="32"/>
      <c r="B2032" s="19"/>
      <c r="C2032" s="19"/>
      <c r="D2032" s="19"/>
      <c r="E2032" s="21"/>
      <c r="F2032" s="19"/>
      <c r="G2032" s="27" t="str">
        <f aca="false">IF(B2032="","",IFERROR(INDEX(Jeux!$C$2:$C$3001,MATCH(B2032,Jeux!$A$2:$A$3001,0))&amp;"","⚠ jeu inconnu"))</f>
        <v/>
      </c>
      <c r="H2032" s="27" t="str">
        <f aca="false">IF(B2032="","",IFERROR(INDEX(Jeux!$D$2:$D$3001,MATCH(B2032,Jeux!$A$2:$A$3001,0))&amp;"",""))</f>
        <v/>
      </c>
      <c r="I2032" s="26" t="str">
        <f aca="false">IF(A2032="","",COUNTIF(Apparitions!$G$2:$G$5001,A2032))</f>
        <v/>
      </c>
      <c r="J2032" s="26" t="str">
        <f aca="false">IF(A2032="","",COUNTIFS(Apparitions!$G$2:$G$5001,A2032,Apparitions!$E$2:$E$5001,"○"))</f>
        <v/>
      </c>
      <c r="K2032" s="29" t="str">
        <f aca="false">IF(A2032="","",IFERROR(1/(1/_xlfn.MINIFS(Apparitions!$L$2:$L$5001,Apparitions!$G$2:$G$5001,A2032)),""))</f>
        <v/>
      </c>
      <c r="L2032" s="27" t="str">
        <f aca="false">IF(A2032="","",A2032&amp;" | "&amp;B2032&amp;IF(C2032="",""," ("&amp;C2032&amp;")")&amp;IF(D2032="",""," - "&amp;D2032))</f>
        <v/>
      </c>
    </row>
    <row r="2033" customFormat="false" ht="15" hidden="false" customHeight="false" outlineLevel="0" collapsed="false">
      <c r="A2033" s="32"/>
      <c r="B2033" s="19"/>
      <c r="C2033" s="19"/>
      <c r="D2033" s="19"/>
      <c r="E2033" s="21"/>
      <c r="F2033" s="19"/>
      <c r="G2033" s="27" t="str">
        <f aca="false">IF(B2033="","",IFERROR(INDEX(Jeux!$C$2:$C$3001,MATCH(B2033,Jeux!$A$2:$A$3001,0))&amp;"","⚠ jeu inconnu"))</f>
        <v/>
      </c>
      <c r="H2033" s="27" t="str">
        <f aca="false">IF(B2033="","",IFERROR(INDEX(Jeux!$D$2:$D$3001,MATCH(B2033,Jeux!$A$2:$A$3001,0))&amp;"",""))</f>
        <v/>
      </c>
      <c r="I2033" s="26" t="str">
        <f aca="false">IF(A2033="","",COUNTIF(Apparitions!$G$2:$G$5001,A2033))</f>
        <v/>
      </c>
      <c r="J2033" s="26" t="str">
        <f aca="false">IF(A2033="","",COUNTIFS(Apparitions!$G$2:$G$5001,A2033,Apparitions!$E$2:$E$5001,"○"))</f>
        <v/>
      </c>
      <c r="K2033" s="29" t="str">
        <f aca="false">IF(A2033="","",IFERROR(1/(1/_xlfn.MINIFS(Apparitions!$L$2:$L$5001,Apparitions!$G$2:$G$5001,A2033)),""))</f>
        <v/>
      </c>
      <c r="L2033" s="27" t="str">
        <f aca="false">IF(A2033="","",A2033&amp;" | "&amp;B2033&amp;IF(C2033="",""," ("&amp;C2033&amp;")")&amp;IF(D2033="",""," - "&amp;D2033))</f>
        <v/>
      </c>
    </row>
    <row r="2034" customFormat="false" ht="15" hidden="false" customHeight="false" outlineLevel="0" collapsed="false">
      <c r="A2034" s="32"/>
      <c r="B2034" s="19"/>
      <c r="C2034" s="19"/>
      <c r="D2034" s="19"/>
      <c r="E2034" s="21"/>
      <c r="F2034" s="19"/>
      <c r="G2034" s="27" t="str">
        <f aca="false">IF(B2034="","",IFERROR(INDEX(Jeux!$C$2:$C$3001,MATCH(B2034,Jeux!$A$2:$A$3001,0))&amp;"","⚠ jeu inconnu"))</f>
        <v/>
      </c>
      <c r="H2034" s="27" t="str">
        <f aca="false">IF(B2034="","",IFERROR(INDEX(Jeux!$D$2:$D$3001,MATCH(B2034,Jeux!$A$2:$A$3001,0))&amp;"",""))</f>
        <v/>
      </c>
      <c r="I2034" s="26" t="str">
        <f aca="false">IF(A2034="","",COUNTIF(Apparitions!$G$2:$G$5001,A2034))</f>
        <v/>
      </c>
      <c r="J2034" s="26" t="str">
        <f aca="false">IF(A2034="","",COUNTIFS(Apparitions!$G$2:$G$5001,A2034,Apparitions!$E$2:$E$5001,"○"))</f>
        <v/>
      </c>
      <c r="K2034" s="29" t="str">
        <f aca="false">IF(A2034="","",IFERROR(1/(1/_xlfn.MINIFS(Apparitions!$L$2:$L$5001,Apparitions!$G$2:$G$5001,A2034)),""))</f>
        <v/>
      </c>
      <c r="L2034" s="27" t="str">
        <f aca="false">IF(A2034="","",A2034&amp;" | "&amp;B2034&amp;IF(C2034="",""," ("&amp;C2034&amp;")")&amp;IF(D2034="",""," - "&amp;D2034))</f>
        <v/>
      </c>
    </row>
    <row r="2035" customFormat="false" ht="15" hidden="false" customHeight="false" outlineLevel="0" collapsed="false">
      <c r="A2035" s="32"/>
      <c r="B2035" s="19"/>
      <c r="C2035" s="19"/>
      <c r="D2035" s="19"/>
      <c r="E2035" s="21"/>
      <c r="F2035" s="19"/>
      <c r="G2035" s="27" t="str">
        <f aca="false">IF(B2035="","",IFERROR(INDEX(Jeux!$C$2:$C$3001,MATCH(B2035,Jeux!$A$2:$A$3001,0))&amp;"","⚠ jeu inconnu"))</f>
        <v/>
      </c>
      <c r="H2035" s="27" t="str">
        <f aca="false">IF(B2035="","",IFERROR(INDEX(Jeux!$D$2:$D$3001,MATCH(B2035,Jeux!$A$2:$A$3001,0))&amp;"",""))</f>
        <v/>
      </c>
      <c r="I2035" s="26" t="str">
        <f aca="false">IF(A2035="","",COUNTIF(Apparitions!$G$2:$G$5001,A2035))</f>
        <v/>
      </c>
      <c r="J2035" s="26" t="str">
        <f aca="false">IF(A2035="","",COUNTIFS(Apparitions!$G$2:$G$5001,A2035,Apparitions!$E$2:$E$5001,"○"))</f>
        <v/>
      </c>
      <c r="K2035" s="29" t="str">
        <f aca="false">IF(A2035="","",IFERROR(1/(1/_xlfn.MINIFS(Apparitions!$L$2:$L$5001,Apparitions!$G$2:$G$5001,A2035)),""))</f>
        <v/>
      </c>
      <c r="L2035" s="27" t="str">
        <f aca="false">IF(A2035="","",A2035&amp;" | "&amp;B2035&amp;IF(C2035="",""," ("&amp;C2035&amp;")")&amp;IF(D2035="",""," - "&amp;D2035))</f>
        <v/>
      </c>
    </row>
    <row r="2036" customFormat="false" ht="15" hidden="false" customHeight="false" outlineLevel="0" collapsed="false">
      <c r="A2036" s="32"/>
      <c r="B2036" s="19"/>
      <c r="C2036" s="19"/>
      <c r="D2036" s="19"/>
      <c r="E2036" s="21"/>
      <c r="F2036" s="19"/>
      <c r="G2036" s="27" t="str">
        <f aca="false">IF(B2036="","",IFERROR(INDEX(Jeux!$C$2:$C$3001,MATCH(B2036,Jeux!$A$2:$A$3001,0))&amp;"","⚠ jeu inconnu"))</f>
        <v/>
      </c>
      <c r="H2036" s="27" t="str">
        <f aca="false">IF(B2036="","",IFERROR(INDEX(Jeux!$D$2:$D$3001,MATCH(B2036,Jeux!$A$2:$A$3001,0))&amp;"",""))</f>
        <v/>
      </c>
      <c r="I2036" s="26" t="str">
        <f aca="false">IF(A2036="","",COUNTIF(Apparitions!$G$2:$G$5001,A2036))</f>
        <v/>
      </c>
      <c r="J2036" s="26" t="str">
        <f aca="false">IF(A2036="","",COUNTIFS(Apparitions!$G$2:$G$5001,A2036,Apparitions!$E$2:$E$5001,"○"))</f>
        <v/>
      </c>
      <c r="K2036" s="29" t="str">
        <f aca="false">IF(A2036="","",IFERROR(1/(1/_xlfn.MINIFS(Apparitions!$L$2:$L$5001,Apparitions!$G$2:$G$5001,A2036)),""))</f>
        <v/>
      </c>
      <c r="L2036" s="27" t="str">
        <f aca="false">IF(A2036="","",A2036&amp;" | "&amp;B2036&amp;IF(C2036="",""," ("&amp;C2036&amp;")")&amp;IF(D2036="",""," - "&amp;D2036))</f>
        <v/>
      </c>
    </row>
    <row r="2037" customFormat="false" ht="15" hidden="false" customHeight="false" outlineLevel="0" collapsed="false">
      <c r="A2037" s="32"/>
      <c r="B2037" s="19"/>
      <c r="C2037" s="19"/>
      <c r="D2037" s="19"/>
      <c r="E2037" s="21"/>
      <c r="F2037" s="19"/>
      <c r="G2037" s="27" t="str">
        <f aca="false">IF(B2037="","",IFERROR(INDEX(Jeux!$C$2:$C$3001,MATCH(B2037,Jeux!$A$2:$A$3001,0))&amp;"","⚠ jeu inconnu"))</f>
        <v/>
      </c>
      <c r="H2037" s="27" t="str">
        <f aca="false">IF(B2037="","",IFERROR(INDEX(Jeux!$D$2:$D$3001,MATCH(B2037,Jeux!$A$2:$A$3001,0))&amp;"",""))</f>
        <v/>
      </c>
      <c r="I2037" s="26" t="str">
        <f aca="false">IF(A2037="","",COUNTIF(Apparitions!$G$2:$G$5001,A2037))</f>
        <v/>
      </c>
      <c r="J2037" s="26" t="str">
        <f aca="false">IF(A2037="","",COUNTIFS(Apparitions!$G$2:$G$5001,A2037,Apparitions!$E$2:$E$5001,"○"))</f>
        <v/>
      </c>
      <c r="K2037" s="29" t="str">
        <f aca="false">IF(A2037="","",IFERROR(1/(1/_xlfn.MINIFS(Apparitions!$L$2:$L$5001,Apparitions!$G$2:$G$5001,A2037)),""))</f>
        <v/>
      </c>
      <c r="L2037" s="27" t="str">
        <f aca="false">IF(A2037="","",A2037&amp;" | "&amp;B2037&amp;IF(C2037="",""," ("&amp;C2037&amp;")")&amp;IF(D2037="",""," - "&amp;D2037))</f>
        <v/>
      </c>
    </row>
    <row r="2038" customFormat="false" ht="15" hidden="false" customHeight="false" outlineLevel="0" collapsed="false">
      <c r="A2038" s="32"/>
      <c r="B2038" s="19"/>
      <c r="C2038" s="19"/>
      <c r="D2038" s="19"/>
      <c r="E2038" s="21"/>
      <c r="F2038" s="19"/>
      <c r="G2038" s="27" t="str">
        <f aca="false">IF(B2038="","",IFERROR(INDEX(Jeux!$C$2:$C$3001,MATCH(B2038,Jeux!$A$2:$A$3001,0))&amp;"","⚠ jeu inconnu"))</f>
        <v/>
      </c>
      <c r="H2038" s="27" t="str">
        <f aca="false">IF(B2038="","",IFERROR(INDEX(Jeux!$D$2:$D$3001,MATCH(B2038,Jeux!$A$2:$A$3001,0))&amp;"",""))</f>
        <v/>
      </c>
      <c r="I2038" s="26" t="str">
        <f aca="false">IF(A2038="","",COUNTIF(Apparitions!$G$2:$G$5001,A2038))</f>
        <v/>
      </c>
      <c r="J2038" s="26" t="str">
        <f aca="false">IF(A2038="","",COUNTIFS(Apparitions!$G$2:$G$5001,A2038,Apparitions!$E$2:$E$5001,"○"))</f>
        <v/>
      </c>
      <c r="K2038" s="29" t="str">
        <f aca="false">IF(A2038="","",IFERROR(1/(1/_xlfn.MINIFS(Apparitions!$L$2:$L$5001,Apparitions!$G$2:$G$5001,A2038)),""))</f>
        <v/>
      </c>
      <c r="L2038" s="27" t="str">
        <f aca="false">IF(A2038="","",A2038&amp;" | "&amp;B2038&amp;IF(C2038="",""," ("&amp;C2038&amp;")")&amp;IF(D2038="",""," - "&amp;D2038))</f>
        <v/>
      </c>
    </row>
    <row r="2039" customFormat="false" ht="15" hidden="false" customHeight="false" outlineLevel="0" collapsed="false">
      <c r="A2039" s="32"/>
      <c r="B2039" s="19"/>
      <c r="C2039" s="19"/>
      <c r="D2039" s="19"/>
      <c r="E2039" s="21"/>
      <c r="F2039" s="19"/>
      <c r="G2039" s="27" t="str">
        <f aca="false">IF(B2039="","",IFERROR(INDEX(Jeux!$C$2:$C$3001,MATCH(B2039,Jeux!$A$2:$A$3001,0))&amp;"","⚠ jeu inconnu"))</f>
        <v/>
      </c>
      <c r="H2039" s="27" t="str">
        <f aca="false">IF(B2039="","",IFERROR(INDEX(Jeux!$D$2:$D$3001,MATCH(B2039,Jeux!$A$2:$A$3001,0))&amp;"",""))</f>
        <v/>
      </c>
      <c r="I2039" s="26" t="str">
        <f aca="false">IF(A2039="","",COUNTIF(Apparitions!$G$2:$G$5001,A2039))</f>
        <v/>
      </c>
      <c r="J2039" s="26" t="str">
        <f aca="false">IF(A2039="","",COUNTIFS(Apparitions!$G$2:$G$5001,A2039,Apparitions!$E$2:$E$5001,"○"))</f>
        <v/>
      </c>
      <c r="K2039" s="29" t="str">
        <f aca="false">IF(A2039="","",IFERROR(1/(1/_xlfn.MINIFS(Apparitions!$L$2:$L$5001,Apparitions!$G$2:$G$5001,A2039)),""))</f>
        <v/>
      </c>
      <c r="L2039" s="27" t="str">
        <f aca="false">IF(A2039="","",A2039&amp;" | "&amp;B2039&amp;IF(C2039="",""," ("&amp;C2039&amp;")")&amp;IF(D2039="",""," - "&amp;D2039))</f>
        <v/>
      </c>
    </row>
    <row r="2040" customFormat="false" ht="15" hidden="false" customHeight="false" outlineLevel="0" collapsed="false">
      <c r="A2040" s="32"/>
      <c r="B2040" s="19"/>
      <c r="C2040" s="19"/>
      <c r="D2040" s="19"/>
      <c r="E2040" s="21"/>
      <c r="F2040" s="19"/>
      <c r="G2040" s="27" t="str">
        <f aca="false">IF(B2040="","",IFERROR(INDEX(Jeux!$C$2:$C$3001,MATCH(B2040,Jeux!$A$2:$A$3001,0))&amp;"","⚠ jeu inconnu"))</f>
        <v/>
      </c>
      <c r="H2040" s="27" t="str">
        <f aca="false">IF(B2040="","",IFERROR(INDEX(Jeux!$D$2:$D$3001,MATCH(B2040,Jeux!$A$2:$A$3001,0))&amp;"",""))</f>
        <v/>
      </c>
      <c r="I2040" s="26" t="str">
        <f aca="false">IF(A2040="","",COUNTIF(Apparitions!$G$2:$G$5001,A2040))</f>
        <v/>
      </c>
      <c r="J2040" s="26" t="str">
        <f aca="false">IF(A2040="","",COUNTIFS(Apparitions!$G$2:$G$5001,A2040,Apparitions!$E$2:$E$5001,"○"))</f>
        <v/>
      </c>
      <c r="K2040" s="29" t="str">
        <f aca="false">IF(A2040="","",IFERROR(1/(1/_xlfn.MINIFS(Apparitions!$L$2:$L$5001,Apparitions!$G$2:$G$5001,A2040)),""))</f>
        <v/>
      </c>
      <c r="L2040" s="27" t="str">
        <f aca="false">IF(A2040="","",A2040&amp;" | "&amp;B2040&amp;IF(C2040="",""," ("&amp;C2040&amp;")")&amp;IF(D2040="",""," - "&amp;D2040))</f>
        <v/>
      </c>
    </row>
    <row r="2041" customFormat="false" ht="15" hidden="false" customHeight="false" outlineLevel="0" collapsed="false">
      <c r="A2041" s="32"/>
      <c r="B2041" s="19"/>
      <c r="C2041" s="19"/>
      <c r="D2041" s="19"/>
      <c r="E2041" s="21"/>
      <c r="F2041" s="19"/>
      <c r="G2041" s="27" t="str">
        <f aca="false">IF(B2041="","",IFERROR(INDEX(Jeux!$C$2:$C$3001,MATCH(B2041,Jeux!$A$2:$A$3001,0))&amp;"","⚠ jeu inconnu"))</f>
        <v/>
      </c>
      <c r="H2041" s="27" t="str">
        <f aca="false">IF(B2041="","",IFERROR(INDEX(Jeux!$D$2:$D$3001,MATCH(B2041,Jeux!$A$2:$A$3001,0))&amp;"",""))</f>
        <v/>
      </c>
      <c r="I2041" s="26" t="str">
        <f aca="false">IF(A2041="","",COUNTIF(Apparitions!$G$2:$G$5001,A2041))</f>
        <v/>
      </c>
      <c r="J2041" s="26" t="str">
        <f aca="false">IF(A2041="","",COUNTIFS(Apparitions!$G$2:$G$5001,A2041,Apparitions!$E$2:$E$5001,"○"))</f>
        <v/>
      </c>
      <c r="K2041" s="29" t="str">
        <f aca="false">IF(A2041="","",IFERROR(1/(1/_xlfn.MINIFS(Apparitions!$L$2:$L$5001,Apparitions!$G$2:$G$5001,A2041)),""))</f>
        <v/>
      </c>
      <c r="L2041" s="27" t="str">
        <f aca="false">IF(A2041="","",A2041&amp;" | "&amp;B2041&amp;IF(C2041="",""," ("&amp;C2041&amp;")")&amp;IF(D2041="",""," - "&amp;D2041))</f>
        <v/>
      </c>
    </row>
    <row r="2042" customFormat="false" ht="15" hidden="false" customHeight="false" outlineLevel="0" collapsed="false">
      <c r="A2042" s="32"/>
      <c r="B2042" s="19"/>
      <c r="C2042" s="19"/>
      <c r="D2042" s="19"/>
      <c r="E2042" s="21"/>
      <c r="F2042" s="19"/>
      <c r="G2042" s="27" t="str">
        <f aca="false">IF(B2042="","",IFERROR(INDEX(Jeux!$C$2:$C$3001,MATCH(B2042,Jeux!$A$2:$A$3001,0))&amp;"","⚠ jeu inconnu"))</f>
        <v/>
      </c>
      <c r="H2042" s="27" t="str">
        <f aca="false">IF(B2042="","",IFERROR(INDEX(Jeux!$D$2:$D$3001,MATCH(B2042,Jeux!$A$2:$A$3001,0))&amp;"",""))</f>
        <v/>
      </c>
      <c r="I2042" s="26" t="str">
        <f aca="false">IF(A2042="","",COUNTIF(Apparitions!$G$2:$G$5001,A2042))</f>
        <v/>
      </c>
      <c r="J2042" s="26" t="str">
        <f aca="false">IF(A2042="","",COUNTIFS(Apparitions!$G$2:$G$5001,A2042,Apparitions!$E$2:$E$5001,"○"))</f>
        <v/>
      </c>
      <c r="K2042" s="29" t="str">
        <f aca="false">IF(A2042="","",IFERROR(1/(1/_xlfn.MINIFS(Apparitions!$L$2:$L$5001,Apparitions!$G$2:$G$5001,A2042)),""))</f>
        <v/>
      </c>
      <c r="L2042" s="27" t="str">
        <f aca="false">IF(A2042="","",A2042&amp;" | "&amp;B2042&amp;IF(C2042="",""," ("&amp;C2042&amp;")")&amp;IF(D2042="",""," - "&amp;D2042))</f>
        <v/>
      </c>
    </row>
    <row r="2043" customFormat="false" ht="15" hidden="false" customHeight="false" outlineLevel="0" collapsed="false">
      <c r="A2043" s="32"/>
      <c r="B2043" s="19"/>
      <c r="C2043" s="19"/>
      <c r="D2043" s="19"/>
      <c r="E2043" s="21"/>
      <c r="F2043" s="19"/>
      <c r="G2043" s="27" t="str">
        <f aca="false">IF(B2043="","",IFERROR(INDEX(Jeux!$C$2:$C$3001,MATCH(B2043,Jeux!$A$2:$A$3001,0))&amp;"","⚠ jeu inconnu"))</f>
        <v/>
      </c>
      <c r="H2043" s="27" t="str">
        <f aca="false">IF(B2043="","",IFERROR(INDEX(Jeux!$D$2:$D$3001,MATCH(B2043,Jeux!$A$2:$A$3001,0))&amp;"",""))</f>
        <v/>
      </c>
      <c r="I2043" s="26" t="str">
        <f aca="false">IF(A2043="","",COUNTIF(Apparitions!$G$2:$G$5001,A2043))</f>
        <v/>
      </c>
      <c r="J2043" s="26" t="str">
        <f aca="false">IF(A2043="","",COUNTIFS(Apparitions!$G$2:$G$5001,A2043,Apparitions!$E$2:$E$5001,"○"))</f>
        <v/>
      </c>
      <c r="K2043" s="29" t="str">
        <f aca="false">IF(A2043="","",IFERROR(1/(1/_xlfn.MINIFS(Apparitions!$L$2:$L$5001,Apparitions!$G$2:$G$5001,A2043)),""))</f>
        <v/>
      </c>
      <c r="L2043" s="27" t="str">
        <f aca="false">IF(A2043="","",A2043&amp;" | "&amp;B2043&amp;IF(C2043="",""," ("&amp;C2043&amp;")")&amp;IF(D2043="",""," - "&amp;D2043))</f>
        <v/>
      </c>
    </row>
    <row r="2044" customFormat="false" ht="15" hidden="false" customHeight="false" outlineLevel="0" collapsed="false">
      <c r="A2044" s="32"/>
      <c r="B2044" s="19"/>
      <c r="C2044" s="19"/>
      <c r="D2044" s="19"/>
      <c r="E2044" s="21"/>
      <c r="F2044" s="19"/>
      <c r="G2044" s="27" t="str">
        <f aca="false">IF(B2044="","",IFERROR(INDEX(Jeux!$C$2:$C$3001,MATCH(B2044,Jeux!$A$2:$A$3001,0))&amp;"","⚠ jeu inconnu"))</f>
        <v/>
      </c>
      <c r="H2044" s="27" t="str">
        <f aca="false">IF(B2044="","",IFERROR(INDEX(Jeux!$D$2:$D$3001,MATCH(B2044,Jeux!$A$2:$A$3001,0))&amp;"",""))</f>
        <v/>
      </c>
      <c r="I2044" s="26" t="str">
        <f aca="false">IF(A2044="","",COUNTIF(Apparitions!$G$2:$G$5001,A2044))</f>
        <v/>
      </c>
      <c r="J2044" s="26" t="str">
        <f aca="false">IF(A2044="","",COUNTIFS(Apparitions!$G$2:$G$5001,A2044,Apparitions!$E$2:$E$5001,"○"))</f>
        <v/>
      </c>
      <c r="K2044" s="29" t="str">
        <f aca="false">IF(A2044="","",IFERROR(1/(1/_xlfn.MINIFS(Apparitions!$L$2:$L$5001,Apparitions!$G$2:$G$5001,A2044)),""))</f>
        <v/>
      </c>
      <c r="L2044" s="27" t="str">
        <f aca="false">IF(A2044="","",A2044&amp;" | "&amp;B2044&amp;IF(C2044="",""," ("&amp;C2044&amp;")")&amp;IF(D2044="",""," - "&amp;D2044))</f>
        <v/>
      </c>
    </row>
    <row r="2045" customFormat="false" ht="15" hidden="false" customHeight="false" outlineLevel="0" collapsed="false">
      <c r="A2045" s="32"/>
      <c r="B2045" s="19"/>
      <c r="C2045" s="19"/>
      <c r="D2045" s="19"/>
      <c r="E2045" s="21"/>
      <c r="F2045" s="19"/>
      <c r="G2045" s="27" t="str">
        <f aca="false">IF(B2045="","",IFERROR(INDEX(Jeux!$C$2:$C$3001,MATCH(B2045,Jeux!$A$2:$A$3001,0))&amp;"","⚠ jeu inconnu"))</f>
        <v/>
      </c>
      <c r="H2045" s="27" t="str">
        <f aca="false">IF(B2045="","",IFERROR(INDEX(Jeux!$D$2:$D$3001,MATCH(B2045,Jeux!$A$2:$A$3001,0))&amp;"",""))</f>
        <v/>
      </c>
      <c r="I2045" s="26" t="str">
        <f aca="false">IF(A2045="","",COUNTIF(Apparitions!$G$2:$G$5001,A2045))</f>
        <v/>
      </c>
      <c r="J2045" s="26" t="str">
        <f aca="false">IF(A2045="","",COUNTIFS(Apparitions!$G$2:$G$5001,A2045,Apparitions!$E$2:$E$5001,"○"))</f>
        <v/>
      </c>
      <c r="K2045" s="29" t="str">
        <f aca="false">IF(A2045="","",IFERROR(1/(1/_xlfn.MINIFS(Apparitions!$L$2:$L$5001,Apparitions!$G$2:$G$5001,A2045)),""))</f>
        <v/>
      </c>
      <c r="L2045" s="27" t="str">
        <f aca="false">IF(A2045="","",A2045&amp;" | "&amp;B2045&amp;IF(C2045="",""," ("&amp;C2045&amp;")")&amp;IF(D2045="",""," - "&amp;D2045))</f>
        <v/>
      </c>
    </row>
    <row r="2046" customFormat="false" ht="15" hidden="false" customHeight="false" outlineLevel="0" collapsed="false">
      <c r="A2046" s="32"/>
      <c r="B2046" s="19"/>
      <c r="C2046" s="19"/>
      <c r="D2046" s="19"/>
      <c r="E2046" s="21"/>
      <c r="F2046" s="19"/>
      <c r="G2046" s="27" t="str">
        <f aca="false">IF(B2046="","",IFERROR(INDEX(Jeux!$C$2:$C$3001,MATCH(B2046,Jeux!$A$2:$A$3001,0))&amp;"","⚠ jeu inconnu"))</f>
        <v/>
      </c>
      <c r="H2046" s="27" t="str">
        <f aca="false">IF(B2046="","",IFERROR(INDEX(Jeux!$D$2:$D$3001,MATCH(B2046,Jeux!$A$2:$A$3001,0))&amp;"",""))</f>
        <v/>
      </c>
      <c r="I2046" s="26" t="str">
        <f aca="false">IF(A2046="","",COUNTIF(Apparitions!$G$2:$G$5001,A2046))</f>
        <v/>
      </c>
      <c r="J2046" s="26" t="str">
        <f aca="false">IF(A2046="","",COUNTIFS(Apparitions!$G$2:$G$5001,A2046,Apparitions!$E$2:$E$5001,"○"))</f>
        <v/>
      </c>
      <c r="K2046" s="29" t="str">
        <f aca="false">IF(A2046="","",IFERROR(1/(1/_xlfn.MINIFS(Apparitions!$L$2:$L$5001,Apparitions!$G$2:$G$5001,A2046)),""))</f>
        <v/>
      </c>
      <c r="L2046" s="27" t="str">
        <f aca="false">IF(A2046="","",A2046&amp;" | "&amp;B2046&amp;IF(C2046="",""," ("&amp;C2046&amp;")")&amp;IF(D2046="",""," - "&amp;D2046))</f>
        <v/>
      </c>
    </row>
    <row r="2047" customFormat="false" ht="15" hidden="false" customHeight="false" outlineLevel="0" collapsed="false">
      <c r="A2047" s="32"/>
      <c r="B2047" s="19"/>
      <c r="C2047" s="19"/>
      <c r="D2047" s="19"/>
      <c r="E2047" s="21"/>
      <c r="F2047" s="19"/>
      <c r="G2047" s="27" t="str">
        <f aca="false">IF(B2047="","",IFERROR(INDEX(Jeux!$C$2:$C$3001,MATCH(B2047,Jeux!$A$2:$A$3001,0))&amp;"","⚠ jeu inconnu"))</f>
        <v/>
      </c>
      <c r="H2047" s="27" t="str">
        <f aca="false">IF(B2047="","",IFERROR(INDEX(Jeux!$D$2:$D$3001,MATCH(B2047,Jeux!$A$2:$A$3001,0))&amp;"",""))</f>
        <v/>
      </c>
      <c r="I2047" s="26" t="str">
        <f aca="false">IF(A2047="","",COUNTIF(Apparitions!$G$2:$G$5001,A2047))</f>
        <v/>
      </c>
      <c r="J2047" s="26" t="str">
        <f aca="false">IF(A2047="","",COUNTIFS(Apparitions!$G$2:$G$5001,A2047,Apparitions!$E$2:$E$5001,"○"))</f>
        <v/>
      </c>
      <c r="K2047" s="29" t="str">
        <f aca="false">IF(A2047="","",IFERROR(1/(1/_xlfn.MINIFS(Apparitions!$L$2:$L$5001,Apparitions!$G$2:$G$5001,A2047)),""))</f>
        <v/>
      </c>
      <c r="L2047" s="27" t="str">
        <f aca="false">IF(A2047="","",A2047&amp;" | "&amp;B2047&amp;IF(C2047="",""," ("&amp;C2047&amp;")")&amp;IF(D2047="",""," - "&amp;D2047))</f>
        <v/>
      </c>
    </row>
    <row r="2048" customFormat="false" ht="15" hidden="false" customHeight="false" outlineLevel="0" collapsed="false">
      <c r="A2048" s="32"/>
      <c r="B2048" s="19"/>
      <c r="C2048" s="19"/>
      <c r="D2048" s="19"/>
      <c r="E2048" s="21"/>
      <c r="F2048" s="19"/>
      <c r="G2048" s="27" t="str">
        <f aca="false">IF(B2048="","",IFERROR(INDEX(Jeux!$C$2:$C$3001,MATCH(B2048,Jeux!$A$2:$A$3001,0))&amp;"","⚠ jeu inconnu"))</f>
        <v/>
      </c>
      <c r="H2048" s="27" t="str">
        <f aca="false">IF(B2048="","",IFERROR(INDEX(Jeux!$D$2:$D$3001,MATCH(B2048,Jeux!$A$2:$A$3001,0))&amp;"",""))</f>
        <v/>
      </c>
      <c r="I2048" s="26" t="str">
        <f aca="false">IF(A2048="","",COUNTIF(Apparitions!$G$2:$G$5001,A2048))</f>
        <v/>
      </c>
      <c r="J2048" s="26" t="str">
        <f aca="false">IF(A2048="","",COUNTIFS(Apparitions!$G$2:$G$5001,A2048,Apparitions!$E$2:$E$5001,"○"))</f>
        <v/>
      </c>
      <c r="K2048" s="29" t="str">
        <f aca="false">IF(A2048="","",IFERROR(1/(1/_xlfn.MINIFS(Apparitions!$L$2:$L$5001,Apparitions!$G$2:$G$5001,A2048)),""))</f>
        <v/>
      </c>
      <c r="L2048" s="27" t="str">
        <f aca="false">IF(A2048="","",A2048&amp;" | "&amp;B2048&amp;IF(C2048="",""," ("&amp;C2048&amp;")")&amp;IF(D2048="",""," - "&amp;D2048))</f>
        <v/>
      </c>
    </row>
    <row r="2049" customFormat="false" ht="15" hidden="false" customHeight="false" outlineLevel="0" collapsed="false">
      <c r="A2049" s="32"/>
      <c r="B2049" s="19"/>
      <c r="C2049" s="19"/>
      <c r="D2049" s="19"/>
      <c r="E2049" s="21"/>
      <c r="F2049" s="19"/>
      <c r="G2049" s="27" t="str">
        <f aca="false">IF(B2049="","",IFERROR(INDEX(Jeux!$C$2:$C$3001,MATCH(B2049,Jeux!$A$2:$A$3001,0))&amp;"","⚠ jeu inconnu"))</f>
        <v/>
      </c>
      <c r="H2049" s="27" t="str">
        <f aca="false">IF(B2049="","",IFERROR(INDEX(Jeux!$D$2:$D$3001,MATCH(B2049,Jeux!$A$2:$A$3001,0))&amp;"",""))</f>
        <v/>
      </c>
      <c r="I2049" s="26" t="str">
        <f aca="false">IF(A2049="","",COUNTIF(Apparitions!$G$2:$G$5001,A2049))</f>
        <v/>
      </c>
      <c r="J2049" s="26" t="str">
        <f aca="false">IF(A2049="","",COUNTIFS(Apparitions!$G$2:$G$5001,A2049,Apparitions!$E$2:$E$5001,"○"))</f>
        <v/>
      </c>
      <c r="K2049" s="29" t="str">
        <f aca="false">IF(A2049="","",IFERROR(1/(1/_xlfn.MINIFS(Apparitions!$L$2:$L$5001,Apparitions!$G$2:$G$5001,A2049)),""))</f>
        <v/>
      </c>
      <c r="L2049" s="27" t="str">
        <f aca="false">IF(A2049="","",A2049&amp;" | "&amp;B2049&amp;IF(C2049="",""," ("&amp;C2049&amp;")")&amp;IF(D2049="",""," - "&amp;D2049))</f>
        <v/>
      </c>
    </row>
    <row r="2050" customFormat="false" ht="15" hidden="false" customHeight="false" outlineLevel="0" collapsed="false">
      <c r="A2050" s="32"/>
      <c r="B2050" s="19"/>
      <c r="C2050" s="19"/>
      <c r="D2050" s="19"/>
      <c r="E2050" s="21"/>
      <c r="F2050" s="19"/>
      <c r="G2050" s="27" t="str">
        <f aca="false">IF(B2050="","",IFERROR(INDEX(Jeux!$C$2:$C$3001,MATCH(B2050,Jeux!$A$2:$A$3001,0))&amp;"","⚠ jeu inconnu"))</f>
        <v/>
      </c>
      <c r="H2050" s="27" t="str">
        <f aca="false">IF(B2050="","",IFERROR(INDEX(Jeux!$D$2:$D$3001,MATCH(B2050,Jeux!$A$2:$A$3001,0))&amp;"",""))</f>
        <v/>
      </c>
      <c r="I2050" s="26" t="str">
        <f aca="false">IF(A2050="","",COUNTIF(Apparitions!$G$2:$G$5001,A2050))</f>
        <v/>
      </c>
      <c r="J2050" s="26" t="str">
        <f aca="false">IF(A2050="","",COUNTIFS(Apparitions!$G$2:$G$5001,A2050,Apparitions!$E$2:$E$5001,"○"))</f>
        <v/>
      </c>
      <c r="K2050" s="29" t="str">
        <f aca="false">IF(A2050="","",IFERROR(1/(1/_xlfn.MINIFS(Apparitions!$L$2:$L$5001,Apparitions!$G$2:$G$5001,A2050)),""))</f>
        <v/>
      </c>
      <c r="L2050" s="27" t="str">
        <f aca="false">IF(A2050="","",A2050&amp;" | "&amp;B2050&amp;IF(C2050="",""," ("&amp;C2050&amp;")")&amp;IF(D2050="",""," - "&amp;D2050))</f>
        <v/>
      </c>
    </row>
    <row r="2051" customFormat="false" ht="15" hidden="false" customHeight="false" outlineLevel="0" collapsed="false">
      <c r="A2051" s="32"/>
      <c r="B2051" s="19"/>
      <c r="C2051" s="19"/>
      <c r="D2051" s="19"/>
      <c r="E2051" s="21"/>
      <c r="F2051" s="19"/>
      <c r="G2051" s="27" t="str">
        <f aca="false">IF(B2051="","",IFERROR(INDEX(Jeux!$C$2:$C$3001,MATCH(B2051,Jeux!$A$2:$A$3001,0))&amp;"","⚠ jeu inconnu"))</f>
        <v/>
      </c>
      <c r="H2051" s="27" t="str">
        <f aca="false">IF(B2051="","",IFERROR(INDEX(Jeux!$D$2:$D$3001,MATCH(B2051,Jeux!$A$2:$A$3001,0))&amp;"",""))</f>
        <v/>
      </c>
      <c r="I2051" s="26" t="str">
        <f aca="false">IF(A2051="","",COUNTIF(Apparitions!$G$2:$G$5001,A2051))</f>
        <v/>
      </c>
      <c r="J2051" s="26" t="str">
        <f aca="false">IF(A2051="","",COUNTIFS(Apparitions!$G$2:$G$5001,A2051,Apparitions!$E$2:$E$5001,"○"))</f>
        <v/>
      </c>
      <c r="K2051" s="29" t="str">
        <f aca="false">IF(A2051="","",IFERROR(1/(1/_xlfn.MINIFS(Apparitions!$L$2:$L$5001,Apparitions!$G$2:$G$5001,A2051)),""))</f>
        <v/>
      </c>
      <c r="L2051" s="27" t="str">
        <f aca="false">IF(A2051="","",A2051&amp;" | "&amp;B2051&amp;IF(C2051="",""," ("&amp;C2051&amp;")")&amp;IF(D2051="",""," - "&amp;D2051))</f>
        <v/>
      </c>
    </row>
    <row r="2052" customFormat="false" ht="15" hidden="false" customHeight="false" outlineLevel="0" collapsed="false">
      <c r="A2052" s="32"/>
      <c r="B2052" s="19"/>
      <c r="C2052" s="19"/>
      <c r="D2052" s="19"/>
      <c r="E2052" s="21"/>
      <c r="F2052" s="19"/>
      <c r="G2052" s="27" t="str">
        <f aca="false">IF(B2052="","",IFERROR(INDEX(Jeux!$C$2:$C$3001,MATCH(B2052,Jeux!$A$2:$A$3001,0))&amp;"","⚠ jeu inconnu"))</f>
        <v/>
      </c>
      <c r="H2052" s="27" t="str">
        <f aca="false">IF(B2052="","",IFERROR(INDEX(Jeux!$D$2:$D$3001,MATCH(B2052,Jeux!$A$2:$A$3001,0))&amp;"",""))</f>
        <v/>
      </c>
      <c r="I2052" s="26" t="str">
        <f aca="false">IF(A2052="","",COUNTIF(Apparitions!$G$2:$G$5001,A2052))</f>
        <v/>
      </c>
      <c r="J2052" s="26" t="str">
        <f aca="false">IF(A2052="","",COUNTIFS(Apparitions!$G$2:$G$5001,A2052,Apparitions!$E$2:$E$5001,"○"))</f>
        <v/>
      </c>
      <c r="K2052" s="29" t="str">
        <f aca="false">IF(A2052="","",IFERROR(1/(1/_xlfn.MINIFS(Apparitions!$L$2:$L$5001,Apparitions!$G$2:$G$5001,A2052)),""))</f>
        <v/>
      </c>
      <c r="L2052" s="27" t="str">
        <f aca="false">IF(A2052="","",A2052&amp;" | "&amp;B2052&amp;IF(C2052="",""," ("&amp;C2052&amp;")")&amp;IF(D2052="",""," - "&amp;D2052))</f>
        <v/>
      </c>
    </row>
    <row r="2053" customFormat="false" ht="15" hidden="false" customHeight="false" outlineLevel="0" collapsed="false">
      <c r="A2053" s="32"/>
      <c r="B2053" s="19"/>
      <c r="C2053" s="19"/>
      <c r="D2053" s="19"/>
      <c r="E2053" s="21"/>
      <c r="F2053" s="19"/>
      <c r="G2053" s="27" t="str">
        <f aca="false">IF(B2053="","",IFERROR(INDEX(Jeux!$C$2:$C$3001,MATCH(B2053,Jeux!$A$2:$A$3001,0))&amp;"","⚠ jeu inconnu"))</f>
        <v/>
      </c>
      <c r="H2053" s="27" t="str">
        <f aca="false">IF(B2053="","",IFERROR(INDEX(Jeux!$D$2:$D$3001,MATCH(B2053,Jeux!$A$2:$A$3001,0))&amp;"",""))</f>
        <v/>
      </c>
      <c r="I2053" s="26" t="str">
        <f aca="false">IF(A2053="","",COUNTIF(Apparitions!$G$2:$G$5001,A2053))</f>
        <v/>
      </c>
      <c r="J2053" s="26" t="str">
        <f aca="false">IF(A2053="","",COUNTIFS(Apparitions!$G$2:$G$5001,A2053,Apparitions!$E$2:$E$5001,"○"))</f>
        <v/>
      </c>
      <c r="K2053" s="29" t="str">
        <f aca="false">IF(A2053="","",IFERROR(1/(1/_xlfn.MINIFS(Apparitions!$L$2:$L$5001,Apparitions!$G$2:$G$5001,A2053)),""))</f>
        <v/>
      </c>
      <c r="L2053" s="27" t="str">
        <f aca="false">IF(A2053="","",A2053&amp;" | "&amp;B2053&amp;IF(C2053="",""," ("&amp;C2053&amp;")")&amp;IF(D2053="",""," - "&amp;D2053))</f>
        <v/>
      </c>
    </row>
    <row r="2054" customFormat="false" ht="15" hidden="false" customHeight="false" outlineLevel="0" collapsed="false">
      <c r="A2054" s="32"/>
      <c r="B2054" s="19"/>
      <c r="C2054" s="19"/>
      <c r="D2054" s="19"/>
      <c r="E2054" s="21"/>
      <c r="F2054" s="19"/>
      <c r="G2054" s="27" t="str">
        <f aca="false">IF(B2054="","",IFERROR(INDEX(Jeux!$C$2:$C$3001,MATCH(B2054,Jeux!$A$2:$A$3001,0))&amp;"","⚠ jeu inconnu"))</f>
        <v/>
      </c>
      <c r="H2054" s="27" t="str">
        <f aca="false">IF(B2054="","",IFERROR(INDEX(Jeux!$D$2:$D$3001,MATCH(B2054,Jeux!$A$2:$A$3001,0))&amp;"",""))</f>
        <v/>
      </c>
      <c r="I2054" s="26" t="str">
        <f aca="false">IF(A2054="","",COUNTIF(Apparitions!$G$2:$G$5001,A2054))</f>
        <v/>
      </c>
      <c r="J2054" s="26" t="str">
        <f aca="false">IF(A2054="","",COUNTIFS(Apparitions!$G$2:$G$5001,A2054,Apparitions!$E$2:$E$5001,"○"))</f>
        <v/>
      </c>
      <c r="K2054" s="29" t="str">
        <f aca="false">IF(A2054="","",IFERROR(1/(1/_xlfn.MINIFS(Apparitions!$L$2:$L$5001,Apparitions!$G$2:$G$5001,A2054)),""))</f>
        <v/>
      </c>
      <c r="L2054" s="27" t="str">
        <f aca="false">IF(A2054="","",A2054&amp;" | "&amp;B2054&amp;IF(C2054="",""," ("&amp;C2054&amp;")")&amp;IF(D2054="",""," - "&amp;D2054))</f>
        <v/>
      </c>
    </row>
    <row r="2055" customFormat="false" ht="15" hidden="false" customHeight="false" outlineLevel="0" collapsed="false">
      <c r="A2055" s="32"/>
      <c r="B2055" s="19"/>
      <c r="C2055" s="19"/>
      <c r="D2055" s="19"/>
      <c r="E2055" s="21"/>
      <c r="F2055" s="19"/>
      <c r="G2055" s="27" t="str">
        <f aca="false">IF(B2055="","",IFERROR(INDEX(Jeux!$C$2:$C$3001,MATCH(B2055,Jeux!$A$2:$A$3001,0))&amp;"","⚠ jeu inconnu"))</f>
        <v/>
      </c>
      <c r="H2055" s="27" t="str">
        <f aca="false">IF(B2055="","",IFERROR(INDEX(Jeux!$D$2:$D$3001,MATCH(B2055,Jeux!$A$2:$A$3001,0))&amp;"",""))</f>
        <v/>
      </c>
      <c r="I2055" s="26" t="str">
        <f aca="false">IF(A2055="","",COUNTIF(Apparitions!$G$2:$G$5001,A2055))</f>
        <v/>
      </c>
      <c r="J2055" s="26" t="str">
        <f aca="false">IF(A2055="","",COUNTIFS(Apparitions!$G$2:$G$5001,A2055,Apparitions!$E$2:$E$5001,"○"))</f>
        <v/>
      </c>
      <c r="K2055" s="29" t="str">
        <f aca="false">IF(A2055="","",IFERROR(1/(1/_xlfn.MINIFS(Apparitions!$L$2:$L$5001,Apparitions!$G$2:$G$5001,A2055)),""))</f>
        <v/>
      </c>
      <c r="L2055" s="27" t="str">
        <f aca="false">IF(A2055="","",A2055&amp;" | "&amp;B2055&amp;IF(C2055="",""," ("&amp;C2055&amp;")")&amp;IF(D2055="",""," - "&amp;D2055))</f>
        <v/>
      </c>
    </row>
    <row r="2056" customFormat="false" ht="15" hidden="false" customHeight="false" outlineLevel="0" collapsed="false">
      <c r="A2056" s="32"/>
      <c r="B2056" s="19"/>
      <c r="C2056" s="19"/>
      <c r="D2056" s="19"/>
      <c r="E2056" s="21"/>
      <c r="F2056" s="19"/>
      <c r="G2056" s="27" t="str">
        <f aca="false">IF(B2056="","",IFERROR(INDEX(Jeux!$C$2:$C$3001,MATCH(B2056,Jeux!$A$2:$A$3001,0))&amp;"","⚠ jeu inconnu"))</f>
        <v/>
      </c>
      <c r="H2056" s="27" t="str">
        <f aca="false">IF(B2056="","",IFERROR(INDEX(Jeux!$D$2:$D$3001,MATCH(B2056,Jeux!$A$2:$A$3001,0))&amp;"",""))</f>
        <v/>
      </c>
      <c r="I2056" s="26" t="str">
        <f aca="false">IF(A2056="","",COUNTIF(Apparitions!$G$2:$G$5001,A2056))</f>
        <v/>
      </c>
      <c r="J2056" s="26" t="str">
        <f aca="false">IF(A2056="","",COUNTIFS(Apparitions!$G$2:$G$5001,A2056,Apparitions!$E$2:$E$5001,"○"))</f>
        <v/>
      </c>
      <c r="K2056" s="29" t="str">
        <f aca="false">IF(A2056="","",IFERROR(1/(1/_xlfn.MINIFS(Apparitions!$L$2:$L$5001,Apparitions!$G$2:$G$5001,A2056)),""))</f>
        <v/>
      </c>
      <c r="L2056" s="27" t="str">
        <f aca="false">IF(A2056="","",A2056&amp;" | "&amp;B2056&amp;IF(C2056="",""," ("&amp;C2056&amp;")")&amp;IF(D2056="",""," - "&amp;D2056))</f>
        <v/>
      </c>
    </row>
    <row r="2057" customFormat="false" ht="15" hidden="false" customHeight="false" outlineLevel="0" collapsed="false">
      <c r="A2057" s="32"/>
      <c r="B2057" s="19"/>
      <c r="C2057" s="19"/>
      <c r="D2057" s="19"/>
      <c r="E2057" s="21"/>
      <c r="F2057" s="19"/>
      <c r="G2057" s="27" t="str">
        <f aca="false">IF(B2057="","",IFERROR(INDEX(Jeux!$C$2:$C$3001,MATCH(B2057,Jeux!$A$2:$A$3001,0))&amp;"","⚠ jeu inconnu"))</f>
        <v/>
      </c>
      <c r="H2057" s="27" t="str">
        <f aca="false">IF(B2057="","",IFERROR(INDEX(Jeux!$D$2:$D$3001,MATCH(B2057,Jeux!$A$2:$A$3001,0))&amp;"",""))</f>
        <v/>
      </c>
      <c r="I2057" s="26" t="str">
        <f aca="false">IF(A2057="","",COUNTIF(Apparitions!$G$2:$G$5001,A2057))</f>
        <v/>
      </c>
      <c r="J2057" s="26" t="str">
        <f aca="false">IF(A2057="","",COUNTIFS(Apparitions!$G$2:$G$5001,A2057,Apparitions!$E$2:$E$5001,"○"))</f>
        <v/>
      </c>
      <c r="K2057" s="29" t="str">
        <f aca="false">IF(A2057="","",IFERROR(1/(1/_xlfn.MINIFS(Apparitions!$L$2:$L$5001,Apparitions!$G$2:$G$5001,A2057)),""))</f>
        <v/>
      </c>
      <c r="L2057" s="27" t="str">
        <f aca="false">IF(A2057="","",A2057&amp;" | "&amp;B2057&amp;IF(C2057="",""," ("&amp;C2057&amp;")")&amp;IF(D2057="",""," - "&amp;D2057))</f>
        <v/>
      </c>
    </row>
    <row r="2058" customFormat="false" ht="15" hidden="false" customHeight="false" outlineLevel="0" collapsed="false">
      <c r="A2058" s="32"/>
      <c r="B2058" s="19"/>
      <c r="C2058" s="19"/>
      <c r="D2058" s="19"/>
      <c r="E2058" s="21"/>
      <c r="F2058" s="19"/>
      <c r="G2058" s="27" t="str">
        <f aca="false">IF(B2058="","",IFERROR(INDEX(Jeux!$C$2:$C$3001,MATCH(B2058,Jeux!$A$2:$A$3001,0))&amp;"","⚠ jeu inconnu"))</f>
        <v/>
      </c>
      <c r="H2058" s="27" t="str">
        <f aca="false">IF(B2058="","",IFERROR(INDEX(Jeux!$D$2:$D$3001,MATCH(B2058,Jeux!$A$2:$A$3001,0))&amp;"",""))</f>
        <v/>
      </c>
      <c r="I2058" s="26" t="str">
        <f aca="false">IF(A2058="","",COUNTIF(Apparitions!$G$2:$G$5001,A2058))</f>
        <v/>
      </c>
      <c r="J2058" s="26" t="str">
        <f aca="false">IF(A2058="","",COUNTIFS(Apparitions!$G$2:$G$5001,A2058,Apparitions!$E$2:$E$5001,"○"))</f>
        <v/>
      </c>
      <c r="K2058" s="29" t="str">
        <f aca="false">IF(A2058="","",IFERROR(1/(1/_xlfn.MINIFS(Apparitions!$L$2:$L$5001,Apparitions!$G$2:$G$5001,A2058)),""))</f>
        <v/>
      </c>
      <c r="L2058" s="27" t="str">
        <f aca="false">IF(A2058="","",A2058&amp;" | "&amp;B2058&amp;IF(C2058="",""," ("&amp;C2058&amp;")")&amp;IF(D2058="",""," - "&amp;D2058))</f>
        <v/>
      </c>
    </row>
    <row r="2059" customFormat="false" ht="15" hidden="false" customHeight="false" outlineLevel="0" collapsed="false">
      <c r="A2059" s="32"/>
      <c r="B2059" s="19"/>
      <c r="C2059" s="19"/>
      <c r="D2059" s="19"/>
      <c r="E2059" s="21"/>
      <c r="F2059" s="19"/>
      <c r="G2059" s="27" t="str">
        <f aca="false">IF(B2059="","",IFERROR(INDEX(Jeux!$C$2:$C$3001,MATCH(B2059,Jeux!$A$2:$A$3001,0))&amp;"","⚠ jeu inconnu"))</f>
        <v/>
      </c>
      <c r="H2059" s="27" t="str">
        <f aca="false">IF(B2059="","",IFERROR(INDEX(Jeux!$D$2:$D$3001,MATCH(B2059,Jeux!$A$2:$A$3001,0))&amp;"",""))</f>
        <v/>
      </c>
      <c r="I2059" s="26" t="str">
        <f aca="false">IF(A2059="","",COUNTIF(Apparitions!$G$2:$G$5001,A2059))</f>
        <v/>
      </c>
      <c r="J2059" s="26" t="str">
        <f aca="false">IF(A2059="","",COUNTIFS(Apparitions!$G$2:$G$5001,A2059,Apparitions!$E$2:$E$5001,"○"))</f>
        <v/>
      </c>
      <c r="K2059" s="29" t="str">
        <f aca="false">IF(A2059="","",IFERROR(1/(1/_xlfn.MINIFS(Apparitions!$L$2:$L$5001,Apparitions!$G$2:$G$5001,A2059)),""))</f>
        <v/>
      </c>
      <c r="L2059" s="27" t="str">
        <f aca="false">IF(A2059="","",A2059&amp;" | "&amp;B2059&amp;IF(C2059="",""," ("&amp;C2059&amp;")")&amp;IF(D2059="",""," - "&amp;D2059))</f>
        <v/>
      </c>
    </row>
    <row r="2060" customFormat="false" ht="15" hidden="false" customHeight="false" outlineLevel="0" collapsed="false">
      <c r="A2060" s="32"/>
      <c r="B2060" s="19"/>
      <c r="C2060" s="19"/>
      <c r="D2060" s="19"/>
      <c r="E2060" s="21"/>
      <c r="F2060" s="19"/>
      <c r="G2060" s="27" t="str">
        <f aca="false">IF(B2060="","",IFERROR(INDEX(Jeux!$C$2:$C$3001,MATCH(B2060,Jeux!$A$2:$A$3001,0))&amp;"","⚠ jeu inconnu"))</f>
        <v/>
      </c>
      <c r="H2060" s="27" t="str">
        <f aca="false">IF(B2060="","",IFERROR(INDEX(Jeux!$D$2:$D$3001,MATCH(B2060,Jeux!$A$2:$A$3001,0))&amp;"",""))</f>
        <v/>
      </c>
      <c r="I2060" s="26" t="str">
        <f aca="false">IF(A2060="","",COUNTIF(Apparitions!$G$2:$G$5001,A2060))</f>
        <v/>
      </c>
      <c r="J2060" s="26" t="str">
        <f aca="false">IF(A2060="","",COUNTIFS(Apparitions!$G$2:$G$5001,A2060,Apparitions!$E$2:$E$5001,"○"))</f>
        <v/>
      </c>
      <c r="K2060" s="29" t="str">
        <f aca="false">IF(A2060="","",IFERROR(1/(1/_xlfn.MINIFS(Apparitions!$L$2:$L$5001,Apparitions!$G$2:$G$5001,A2060)),""))</f>
        <v/>
      </c>
      <c r="L2060" s="27" t="str">
        <f aca="false">IF(A2060="","",A2060&amp;" | "&amp;B2060&amp;IF(C2060="",""," ("&amp;C2060&amp;")")&amp;IF(D2060="",""," - "&amp;D2060))</f>
        <v/>
      </c>
    </row>
    <row r="2061" customFormat="false" ht="15" hidden="false" customHeight="false" outlineLevel="0" collapsed="false">
      <c r="A2061" s="32"/>
      <c r="B2061" s="19"/>
      <c r="C2061" s="19"/>
      <c r="D2061" s="19"/>
      <c r="E2061" s="21"/>
      <c r="F2061" s="19"/>
      <c r="G2061" s="27" t="str">
        <f aca="false">IF(B2061="","",IFERROR(INDEX(Jeux!$C$2:$C$3001,MATCH(B2061,Jeux!$A$2:$A$3001,0))&amp;"","⚠ jeu inconnu"))</f>
        <v/>
      </c>
      <c r="H2061" s="27" t="str">
        <f aca="false">IF(B2061="","",IFERROR(INDEX(Jeux!$D$2:$D$3001,MATCH(B2061,Jeux!$A$2:$A$3001,0))&amp;"",""))</f>
        <v/>
      </c>
      <c r="I2061" s="26" t="str">
        <f aca="false">IF(A2061="","",COUNTIF(Apparitions!$G$2:$G$5001,A2061))</f>
        <v/>
      </c>
      <c r="J2061" s="26" t="str">
        <f aca="false">IF(A2061="","",COUNTIFS(Apparitions!$G$2:$G$5001,A2061,Apparitions!$E$2:$E$5001,"○"))</f>
        <v/>
      </c>
      <c r="K2061" s="29" t="str">
        <f aca="false">IF(A2061="","",IFERROR(1/(1/_xlfn.MINIFS(Apparitions!$L$2:$L$5001,Apparitions!$G$2:$G$5001,A2061)),""))</f>
        <v/>
      </c>
      <c r="L2061" s="27" t="str">
        <f aca="false">IF(A2061="","",A2061&amp;" | "&amp;B2061&amp;IF(C2061="",""," ("&amp;C2061&amp;")")&amp;IF(D2061="",""," - "&amp;D2061))</f>
        <v/>
      </c>
    </row>
    <row r="2062" customFormat="false" ht="15" hidden="false" customHeight="false" outlineLevel="0" collapsed="false">
      <c r="A2062" s="32"/>
      <c r="B2062" s="19"/>
      <c r="C2062" s="19"/>
      <c r="D2062" s="19"/>
      <c r="E2062" s="21"/>
      <c r="F2062" s="19"/>
      <c r="G2062" s="27" t="str">
        <f aca="false">IF(B2062="","",IFERROR(INDEX(Jeux!$C$2:$C$3001,MATCH(B2062,Jeux!$A$2:$A$3001,0))&amp;"","⚠ jeu inconnu"))</f>
        <v/>
      </c>
      <c r="H2062" s="27" t="str">
        <f aca="false">IF(B2062="","",IFERROR(INDEX(Jeux!$D$2:$D$3001,MATCH(B2062,Jeux!$A$2:$A$3001,0))&amp;"",""))</f>
        <v/>
      </c>
      <c r="I2062" s="26" t="str">
        <f aca="false">IF(A2062="","",COUNTIF(Apparitions!$G$2:$G$5001,A2062))</f>
        <v/>
      </c>
      <c r="J2062" s="26" t="str">
        <f aca="false">IF(A2062="","",COUNTIFS(Apparitions!$G$2:$G$5001,A2062,Apparitions!$E$2:$E$5001,"○"))</f>
        <v/>
      </c>
      <c r="K2062" s="29" t="str">
        <f aca="false">IF(A2062="","",IFERROR(1/(1/_xlfn.MINIFS(Apparitions!$L$2:$L$5001,Apparitions!$G$2:$G$5001,A2062)),""))</f>
        <v/>
      </c>
      <c r="L2062" s="27" t="str">
        <f aca="false">IF(A2062="","",A2062&amp;" | "&amp;B2062&amp;IF(C2062="",""," ("&amp;C2062&amp;")")&amp;IF(D2062="",""," - "&amp;D2062))</f>
        <v/>
      </c>
    </row>
    <row r="2063" customFormat="false" ht="15" hidden="false" customHeight="false" outlineLevel="0" collapsed="false">
      <c r="A2063" s="32"/>
      <c r="B2063" s="19"/>
      <c r="C2063" s="19"/>
      <c r="D2063" s="19"/>
      <c r="E2063" s="21"/>
      <c r="F2063" s="19"/>
      <c r="G2063" s="27" t="str">
        <f aca="false">IF(B2063="","",IFERROR(INDEX(Jeux!$C$2:$C$3001,MATCH(B2063,Jeux!$A$2:$A$3001,0))&amp;"","⚠ jeu inconnu"))</f>
        <v/>
      </c>
      <c r="H2063" s="27" t="str">
        <f aca="false">IF(B2063="","",IFERROR(INDEX(Jeux!$D$2:$D$3001,MATCH(B2063,Jeux!$A$2:$A$3001,0))&amp;"",""))</f>
        <v/>
      </c>
      <c r="I2063" s="26" t="str">
        <f aca="false">IF(A2063="","",COUNTIF(Apparitions!$G$2:$G$5001,A2063))</f>
        <v/>
      </c>
      <c r="J2063" s="26" t="str">
        <f aca="false">IF(A2063="","",COUNTIFS(Apparitions!$G$2:$G$5001,A2063,Apparitions!$E$2:$E$5001,"○"))</f>
        <v/>
      </c>
      <c r="K2063" s="29" t="str">
        <f aca="false">IF(A2063="","",IFERROR(1/(1/_xlfn.MINIFS(Apparitions!$L$2:$L$5001,Apparitions!$G$2:$G$5001,A2063)),""))</f>
        <v/>
      </c>
      <c r="L2063" s="27" t="str">
        <f aca="false">IF(A2063="","",A2063&amp;" | "&amp;B2063&amp;IF(C2063="",""," ("&amp;C2063&amp;")")&amp;IF(D2063="",""," - "&amp;D2063))</f>
        <v/>
      </c>
    </row>
    <row r="2064" customFormat="false" ht="15" hidden="false" customHeight="false" outlineLevel="0" collapsed="false">
      <c r="A2064" s="32"/>
      <c r="B2064" s="19"/>
      <c r="C2064" s="19"/>
      <c r="D2064" s="19"/>
      <c r="E2064" s="21"/>
      <c r="F2064" s="19"/>
      <c r="G2064" s="27" t="str">
        <f aca="false">IF(B2064="","",IFERROR(INDEX(Jeux!$C$2:$C$3001,MATCH(B2064,Jeux!$A$2:$A$3001,0))&amp;"","⚠ jeu inconnu"))</f>
        <v/>
      </c>
      <c r="H2064" s="27" t="str">
        <f aca="false">IF(B2064="","",IFERROR(INDEX(Jeux!$D$2:$D$3001,MATCH(B2064,Jeux!$A$2:$A$3001,0))&amp;"",""))</f>
        <v/>
      </c>
      <c r="I2064" s="26" t="str">
        <f aca="false">IF(A2064="","",COUNTIF(Apparitions!$G$2:$G$5001,A2064))</f>
        <v/>
      </c>
      <c r="J2064" s="26" t="str">
        <f aca="false">IF(A2064="","",COUNTIFS(Apparitions!$G$2:$G$5001,A2064,Apparitions!$E$2:$E$5001,"○"))</f>
        <v/>
      </c>
      <c r="K2064" s="29" t="str">
        <f aca="false">IF(A2064="","",IFERROR(1/(1/_xlfn.MINIFS(Apparitions!$L$2:$L$5001,Apparitions!$G$2:$G$5001,A2064)),""))</f>
        <v/>
      </c>
      <c r="L2064" s="27" t="str">
        <f aca="false">IF(A2064="","",A2064&amp;" | "&amp;B2064&amp;IF(C2064="",""," ("&amp;C2064&amp;")")&amp;IF(D2064="",""," - "&amp;D2064))</f>
        <v/>
      </c>
    </row>
    <row r="2065" customFormat="false" ht="15" hidden="false" customHeight="false" outlineLevel="0" collapsed="false">
      <c r="A2065" s="32"/>
      <c r="B2065" s="19"/>
      <c r="C2065" s="19"/>
      <c r="D2065" s="19"/>
      <c r="E2065" s="21"/>
      <c r="F2065" s="19"/>
      <c r="G2065" s="27" t="str">
        <f aca="false">IF(B2065="","",IFERROR(INDEX(Jeux!$C$2:$C$3001,MATCH(B2065,Jeux!$A$2:$A$3001,0))&amp;"","⚠ jeu inconnu"))</f>
        <v/>
      </c>
      <c r="H2065" s="27" t="str">
        <f aca="false">IF(B2065="","",IFERROR(INDEX(Jeux!$D$2:$D$3001,MATCH(B2065,Jeux!$A$2:$A$3001,0))&amp;"",""))</f>
        <v/>
      </c>
      <c r="I2065" s="26" t="str">
        <f aca="false">IF(A2065="","",COUNTIF(Apparitions!$G$2:$G$5001,A2065))</f>
        <v/>
      </c>
      <c r="J2065" s="26" t="str">
        <f aca="false">IF(A2065="","",COUNTIFS(Apparitions!$G$2:$G$5001,A2065,Apparitions!$E$2:$E$5001,"○"))</f>
        <v/>
      </c>
      <c r="K2065" s="29" t="str">
        <f aca="false">IF(A2065="","",IFERROR(1/(1/_xlfn.MINIFS(Apparitions!$L$2:$L$5001,Apparitions!$G$2:$G$5001,A2065)),""))</f>
        <v/>
      </c>
      <c r="L2065" s="27" t="str">
        <f aca="false">IF(A2065="","",A2065&amp;" | "&amp;B2065&amp;IF(C2065="",""," ("&amp;C2065&amp;")")&amp;IF(D2065="",""," - "&amp;D2065))</f>
        <v/>
      </c>
    </row>
    <row r="2066" customFormat="false" ht="15" hidden="false" customHeight="false" outlineLevel="0" collapsed="false">
      <c r="A2066" s="32"/>
      <c r="B2066" s="19"/>
      <c r="C2066" s="19"/>
      <c r="D2066" s="19"/>
      <c r="E2066" s="21"/>
      <c r="F2066" s="19"/>
      <c r="G2066" s="27" t="str">
        <f aca="false">IF(B2066="","",IFERROR(INDEX(Jeux!$C$2:$C$3001,MATCH(B2066,Jeux!$A$2:$A$3001,0))&amp;"","⚠ jeu inconnu"))</f>
        <v/>
      </c>
      <c r="H2066" s="27" t="str">
        <f aca="false">IF(B2066="","",IFERROR(INDEX(Jeux!$D$2:$D$3001,MATCH(B2066,Jeux!$A$2:$A$3001,0))&amp;"",""))</f>
        <v/>
      </c>
      <c r="I2066" s="26" t="str">
        <f aca="false">IF(A2066="","",COUNTIF(Apparitions!$G$2:$G$5001,A2066))</f>
        <v/>
      </c>
      <c r="J2066" s="26" t="str">
        <f aca="false">IF(A2066="","",COUNTIFS(Apparitions!$G$2:$G$5001,A2066,Apparitions!$E$2:$E$5001,"○"))</f>
        <v/>
      </c>
      <c r="K2066" s="29" t="str">
        <f aca="false">IF(A2066="","",IFERROR(1/(1/_xlfn.MINIFS(Apparitions!$L$2:$L$5001,Apparitions!$G$2:$G$5001,A2066)),""))</f>
        <v/>
      </c>
      <c r="L2066" s="27" t="str">
        <f aca="false">IF(A2066="","",A2066&amp;" | "&amp;B2066&amp;IF(C2066="",""," ("&amp;C2066&amp;")")&amp;IF(D2066="",""," - "&amp;D2066))</f>
        <v/>
      </c>
    </row>
    <row r="2067" customFormat="false" ht="15" hidden="false" customHeight="false" outlineLevel="0" collapsed="false">
      <c r="A2067" s="32"/>
      <c r="B2067" s="19"/>
      <c r="C2067" s="19"/>
      <c r="D2067" s="19"/>
      <c r="E2067" s="21"/>
      <c r="F2067" s="19"/>
      <c r="G2067" s="27" t="str">
        <f aca="false">IF(B2067="","",IFERROR(INDEX(Jeux!$C$2:$C$3001,MATCH(B2067,Jeux!$A$2:$A$3001,0))&amp;"","⚠ jeu inconnu"))</f>
        <v/>
      </c>
      <c r="H2067" s="27" t="str">
        <f aca="false">IF(B2067="","",IFERROR(INDEX(Jeux!$D$2:$D$3001,MATCH(B2067,Jeux!$A$2:$A$3001,0))&amp;"",""))</f>
        <v/>
      </c>
      <c r="I2067" s="26" t="str">
        <f aca="false">IF(A2067="","",COUNTIF(Apparitions!$G$2:$G$5001,A2067))</f>
        <v/>
      </c>
      <c r="J2067" s="26" t="str">
        <f aca="false">IF(A2067="","",COUNTIFS(Apparitions!$G$2:$G$5001,A2067,Apparitions!$E$2:$E$5001,"○"))</f>
        <v/>
      </c>
      <c r="K2067" s="29" t="str">
        <f aca="false">IF(A2067="","",IFERROR(1/(1/_xlfn.MINIFS(Apparitions!$L$2:$L$5001,Apparitions!$G$2:$G$5001,A2067)),""))</f>
        <v/>
      </c>
      <c r="L2067" s="27" t="str">
        <f aca="false">IF(A2067="","",A2067&amp;" | "&amp;B2067&amp;IF(C2067="",""," ("&amp;C2067&amp;")")&amp;IF(D2067="",""," - "&amp;D2067))</f>
        <v/>
      </c>
    </row>
    <row r="2068" customFormat="false" ht="15" hidden="false" customHeight="false" outlineLevel="0" collapsed="false">
      <c r="A2068" s="32"/>
      <c r="B2068" s="19"/>
      <c r="C2068" s="19"/>
      <c r="D2068" s="19"/>
      <c r="E2068" s="21"/>
      <c r="F2068" s="19"/>
      <c r="G2068" s="27" t="str">
        <f aca="false">IF(B2068="","",IFERROR(INDEX(Jeux!$C$2:$C$3001,MATCH(B2068,Jeux!$A$2:$A$3001,0))&amp;"","⚠ jeu inconnu"))</f>
        <v/>
      </c>
      <c r="H2068" s="27" t="str">
        <f aca="false">IF(B2068="","",IFERROR(INDEX(Jeux!$D$2:$D$3001,MATCH(B2068,Jeux!$A$2:$A$3001,0))&amp;"",""))</f>
        <v/>
      </c>
      <c r="I2068" s="26" t="str">
        <f aca="false">IF(A2068="","",COUNTIF(Apparitions!$G$2:$G$5001,A2068))</f>
        <v/>
      </c>
      <c r="J2068" s="26" t="str">
        <f aca="false">IF(A2068="","",COUNTIFS(Apparitions!$G$2:$G$5001,A2068,Apparitions!$E$2:$E$5001,"○"))</f>
        <v/>
      </c>
      <c r="K2068" s="29" t="str">
        <f aca="false">IF(A2068="","",IFERROR(1/(1/_xlfn.MINIFS(Apparitions!$L$2:$L$5001,Apparitions!$G$2:$G$5001,A2068)),""))</f>
        <v/>
      </c>
      <c r="L2068" s="27" t="str">
        <f aca="false">IF(A2068="","",A2068&amp;" | "&amp;B2068&amp;IF(C2068="",""," ("&amp;C2068&amp;")")&amp;IF(D2068="",""," - "&amp;D2068))</f>
        <v/>
      </c>
    </row>
    <row r="2069" customFormat="false" ht="15" hidden="false" customHeight="false" outlineLevel="0" collapsed="false">
      <c r="A2069" s="32"/>
      <c r="B2069" s="19"/>
      <c r="C2069" s="19"/>
      <c r="D2069" s="19"/>
      <c r="E2069" s="21"/>
      <c r="F2069" s="19"/>
      <c r="G2069" s="27" t="str">
        <f aca="false">IF(B2069="","",IFERROR(INDEX(Jeux!$C$2:$C$3001,MATCH(B2069,Jeux!$A$2:$A$3001,0))&amp;"","⚠ jeu inconnu"))</f>
        <v/>
      </c>
      <c r="H2069" s="27" t="str">
        <f aca="false">IF(B2069="","",IFERROR(INDEX(Jeux!$D$2:$D$3001,MATCH(B2069,Jeux!$A$2:$A$3001,0))&amp;"",""))</f>
        <v/>
      </c>
      <c r="I2069" s="26" t="str">
        <f aca="false">IF(A2069="","",COUNTIF(Apparitions!$G$2:$G$5001,A2069))</f>
        <v/>
      </c>
      <c r="J2069" s="26" t="str">
        <f aca="false">IF(A2069="","",COUNTIFS(Apparitions!$G$2:$G$5001,A2069,Apparitions!$E$2:$E$5001,"○"))</f>
        <v/>
      </c>
      <c r="K2069" s="29" t="str">
        <f aca="false">IF(A2069="","",IFERROR(1/(1/_xlfn.MINIFS(Apparitions!$L$2:$L$5001,Apparitions!$G$2:$G$5001,A2069)),""))</f>
        <v/>
      </c>
      <c r="L2069" s="27" t="str">
        <f aca="false">IF(A2069="","",A2069&amp;" | "&amp;B2069&amp;IF(C2069="",""," ("&amp;C2069&amp;")")&amp;IF(D2069="",""," - "&amp;D2069))</f>
        <v/>
      </c>
    </row>
    <row r="2070" customFormat="false" ht="15" hidden="false" customHeight="false" outlineLevel="0" collapsed="false">
      <c r="A2070" s="32"/>
      <c r="B2070" s="19"/>
      <c r="C2070" s="19"/>
      <c r="D2070" s="19"/>
      <c r="E2070" s="21"/>
      <c r="F2070" s="19"/>
      <c r="G2070" s="27" t="str">
        <f aca="false">IF(B2070="","",IFERROR(INDEX(Jeux!$C$2:$C$3001,MATCH(B2070,Jeux!$A$2:$A$3001,0))&amp;"","⚠ jeu inconnu"))</f>
        <v/>
      </c>
      <c r="H2070" s="27" t="str">
        <f aca="false">IF(B2070="","",IFERROR(INDEX(Jeux!$D$2:$D$3001,MATCH(B2070,Jeux!$A$2:$A$3001,0))&amp;"",""))</f>
        <v/>
      </c>
      <c r="I2070" s="26" t="str">
        <f aca="false">IF(A2070="","",COUNTIF(Apparitions!$G$2:$G$5001,A2070))</f>
        <v/>
      </c>
      <c r="J2070" s="26" t="str">
        <f aca="false">IF(A2070="","",COUNTIFS(Apparitions!$G$2:$G$5001,A2070,Apparitions!$E$2:$E$5001,"○"))</f>
        <v/>
      </c>
      <c r="K2070" s="29" t="str">
        <f aca="false">IF(A2070="","",IFERROR(1/(1/_xlfn.MINIFS(Apparitions!$L$2:$L$5001,Apparitions!$G$2:$G$5001,A2070)),""))</f>
        <v/>
      </c>
      <c r="L2070" s="27" t="str">
        <f aca="false">IF(A2070="","",A2070&amp;" | "&amp;B2070&amp;IF(C2070="",""," ("&amp;C2070&amp;")")&amp;IF(D2070="",""," - "&amp;D2070))</f>
        <v/>
      </c>
    </row>
    <row r="2071" customFormat="false" ht="15" hidden="false" customHeight="false" outlineLevel="0" collapsed="false">
      <c r="A2071" s="32"/>
      <c r="B2071" s="19"/>
      <c r="C2071" s="19"/>
      <c r="D2071" s="19"/>
      <c r="E2071" s="21"/>
      <c r="F2071" s="19"/>
      <c r="G2071" s="27" t="str">
        <f aca="false">IF(B2071="","",IFERROR(INDEX(Jeux!$C$2:$C$3001,MATCH(B2071,Jeux!$A$2:$A$3001,0))&amp;"","⚠ jeu inconnu"))</f>
        <v/>
      </c>
      <c r="H2071" s="27" t="str">
        <f aca="false">IF(B2071="","",IFERROR(INDEX(Jeux!$D$2:$D$3001,MATCH(B2071,Jeux!$A$2:$A$3001,0))&amp;"",""))</f>
        <v/>
      </c>
      <c r="I2071" s="26" t="str">
        <f aca="false">IF(A2071="","",COUNTIF(Apparitions!$G$2:$G$5001,A2071))</f>
        <v/>
      </c>
      <c r="J2071" s="26" t="str">
        <f aca="false">IF(A2071="","",COUNTIFS(Apparitions!$G$2:$G$5001,A2071,Apparitions!$E$2:$E$5001,"○"))</f>
        <v/>
      </c>
      <c r="K2071" s="29" t="str">
        <f aca="false">IF(A2071="","",IFERROR(1/(1/_xlfn.MINIFS(Apparitions!$L$2:$L$5001,Apparitions!$G$2:$G$5001,A2071)),""))</f>
        <v/>
      </c>
      <c r="L2071" s="27" t="str">
        <f aca="false">IF(A2071="","",A2071&amp;" | "&amp;B2071&amp;IF(C2071="",""," ("&amp;C2071&amp;")")&amp;IF(D2071="",""," - "&amp;D2071))</f>
        <v/>
      </c>
    </row>
    <row r="2072" customFormat="false" ht="15" hidden="false" customHeight="false" outlineLevel="0" collapsed="false">
      <c r="A2072" s="32"/>
      <c r="B2072" s="19"/>
      <c r="C2072" s="19"/>
      <c r="D2072" s="19"/>
      <c r="E2072" s="21"/>
      <c r="F2072" s="19"/>
      <c r="G2072" s="27" t="str">
        <f aca="false">IF(B2072="","",IFERROR(INDEX(Jeux!$C$2:$C$3001,MATCH(B2072,Jeux!$A$2:$A$3001,0))&amp;"","⚠ jeu inconnu"))</f>
        <v/>
      </c>
      <c r="H2072" s="27" t="str">
        <f aca="false">IF(B2072="","",IFERROR(INDEX(Jeux!$D$2:$D$3001,MATCH(B2072,Jeux!$A$2:$A$3001,0))&amp;"",""))</f>
        <v/>
      </c>
      <c r="I2072" s="26" t="str">
        <f aca="false">IF(A2072="","",COUNTIF(Apparitions!$G$2:$G$5001,A2072))</f>
        <v/>
      </c>
      <c r="J2072" s="26" t="str">
        <f aca="false">IF(A2072="","",COUNTIFS(Apparitions!$G$2:$G$5001,A2072,Apparitions!$E$2:$E$5001,"○"))</f>
        <v/>
      </c>
      <c r="K2072" s="29" t="str">
        <f aca="false">IF(A2072="","",IFERROR(1/(1/_xlfn.MINIFS(Apparitions!$L$2:$L$5001,Apparitions!$G$2:$G$5001,A2072)),""))</f>
        <v/>
      </c>
      <c r="L2072" s="27" t="str">
        <f aca="false">IF(A2072="","",A2072&amp;" | "&amp;B2072&amp;IF(C2072="",""," ("&amp;C2072&amp;")")&amp;IF(D2072="",""," - "&amp;D2072))</f>
        <v/>
      </c>
    </row>
    <row r="2073" customFormat="false" ht="15" hidden="false" customHeight="false" outlineLevel="0" collapsed="false">
      <c r="A2073" s="32"/>
      <c r="B2073" s="19"/>
      <c r="C2073" s="19"/>
      <c r="D2073" s="19"/>
      <c r="E2073" s="21"/>
      <c r="F2073" s="19"/>
      <c r="G2073" s="27" t="str">
        <f aca="false">IF(B2073="","",IFERROR(INDEX(Jeux!$C$2:$C$3001,MATCH(B2073,Jeux!$A$2:$A$3001,0))&amp;"","⚠ jeu inconnu"))</f>
        <v/>
      </c>
      <c r="H2073" s="27" t="str">
        <f aca="false">IF(B2073="","",IFERROR(INDEX(Jeux!$D$2:$D$3001,MATCH(B2073,Jeux!$A$2:$A$3001,0))&amp;"",""))</f>
        <v/>
      </c>
      <c r="I2073" s="26" t="str">
        <f aca="false">IF(A2073="","",COUNTIF(Apparitions!$G$2:$G$5001,A2073))</f>
        <v/>
      </c>
      <c r="J2073" s="26" t="str">
        <f aca="false">IF(A2073="","",COUNTIFS(Apparitions!$G$2:$G$5001,A2073,Apparitions!$E$2:$E$5001,"○"))</f>
        <v/>
      </c>
      <c r="K2073" s="29" t="str">
        <f aca="false">IF(A2073="","",IFERROR(1/(1/_xlfn.MINIFS(Apparitions!$L$2:$L$5001,Apparitions!$G$2:$G$5001,A2073)),""))</f>
        <v/>
      </c>
      <c r="L2073" s="27" t="str">
        <f aca="false">IF(A2073="","",A2073&amp;" | "&amp;B2073&amp;IF(C2073="",""," ("&amp;C2073&amp;")")&amp;IF(D2073="",""," - "&amp;D2073))</f>
        <v/>
      </c>
    </row>
    <row r="2074" customFormat="false" ht="15" hidden="false" customHeight="false" outlineLevel="0" collapsed="false">
      <c r="A2074" s="32"/>
      <c r="B2074" s="19"/>
      <c r="C2074" s="19"/>
      <c r="D2074" s="19"/>
      <c r="E2074" s="21"/>
      <c r="F2074" s="19"/>
      <c r="G2074" s="27" t="str">
        <f aca="false">IF(B2074="","",IFERROR(INDEX(Jeux!$C$2:$C$3001,MATCH(B2074,Jeux!$A$2:$A$3001,0))&amp;"","⚠ jeu inconnu"))</f>
        <v/>
      </c>
      <c r="H2074" s="27" t="str">
        <f aca="false">IF(B2074="","",IFERROR(INDEX(Jeux!$D$2:$D$3001,MATCH(B2074,Jeux!$A$2:$A$3001,0))&amp;"",""))</f>
        <v/>
      </c>
      <c r="I2074" s="26" t="str">
        <f aca="false">IF(A2074="","",COUNTIF(Apparitions!$G$2:$G$5001,A2074))</f>
        <v/>
      </c>
      <c r="J2074" s="26" t="str">
        <f aca="false">IF(A2074="","",COUNTIFS(Apparitions!$G$2:$G$5001,A2074,Apparitions!$E$2:$E$5001,"○"))</f>
        <v/>
      </c>
      <c r="K2074" s="29" t="str">
        <f aca="false">IF(A2074="","",IFERROR(1/(1/_xlfn.MINIFS(Apparitions!$L$2:$L$5001,Apparitions!$G$2:$G$5001,A2074)),""))</f>
        <v/>
      </c>
      <c r="L2074" s="27" t="str">
        <f aca="false">IF(A2074="","",A2074&amp;" | "&amp;B2074&amp;IF(C2074="",""," ("&amp;C2074&amp;")")&amp;IF(D2074="",""," - "&amp;D2074))</f>
        <v/>
      </c>
    </row>
    <row r="2075" customFormat="false" ht="15" hidden="false" customHeight="false" outlineLevel="0" collapsed="false">
      <c r="A2075" s="32"/>
      <c r="B2075" s="19"/>
      <c r="C2075" s="19"/>
      <c r="D2075" s="19"/>
      <c r="E2075" s="21"/>
      <c r="F2075" s="19"/>
      <c r="G2075" s="27" t="str">
        <f aca="false">IF(B2075="","",IFERROR(INDEX(Jeux!$C$2:$C$3001,MATCH(B2075,Jeux!$A$2:$A$3001,0))&amp;"","⚠ jeu inconnu"))</f>
        <v/>
      </c>
      <c r="H2075" s="27" t="str">
        <f aca="false">IF(B2075="","",IFERROR(INDEX(Jeux!$D$2:$D$3001,MATCH(B2075,Jeux!$A$2:$A$3001,0))&amp;"",""))</f>
        <v/>
      </c>
      <c r="I2075" s="26" t="str">
        <f aca="false">IF(A2075="","",COUNTIF(Apparitions!$G$2:$G$5001,A2075))</f>
        <v/>
      </c>
      <c r="J2075" s="26" t="str">
        <f aca="false">IF(A2075="","",COUNTIFS(Apparitions!$G$2:$G$5001,A2075,Apparitions!$E$2:$E$5001,"○"))</f>
        <v/>
      </c>
      <c r="K2075" s="29" t="str">
        <f aca="false">IF(A2075="","",IFERROR(1/(1/_xlfn.MINIFS(Apparitions!$L$2:$L$5001,Apparitions!$G$2:$G$5001,A2075)),""))</f>
        <v/>
      </c>
      <c r="L2075" s="27" t="str">
        <f aca="false">IF(A2075="","",A2075&amp;" | "&amp;B2075&amp;IF(C2075="",""," ("&amp;C2075&amp;")")&amp;IF(D2075="",""," - "&amp;D2075))</f>
        <v/>
      </c>
    </row>
    <row r="2076" customFormat="false" ht="15" hidden="false" customHeight="false" outlineLevel="0" collapsed="false">
      <c r="A2076" s="32"/>
      <c r="B2076" s="19"/>
      <c r="C2076" s="19"/>
      <c r="D2076" s="19"/>
      <c r="E2076" s="21"/>
      <c r="F2076" s="19"/>
      <c r="G2076" s="27" t="str">
        <f aca="false">IF(B2076="","",IFERROR(INDEX(Jeux!$C$2:$C$3001,MATCH(B2076,Jeux!$A$2:$A$3001,0))&amp;"","⚠ jeu inconnu"))</f>
        <v/>
      </c>
      <c r="H2076" s="27" t="str">
        <f aca="false">IF(B2076="","",IFERROR(INDEX(Jeux!$D$2:$D$3001,MATCH(B2076,Jeux!$A$2:$A$3001,0))&amp;"",""))</f>
        <v/>
      </c>
      <c r="I2076" s="26" t="str">
        <f aca="false">IF(A2076="","",COUNTIF(Apparitions!$G$2:$G$5001,A2076))</f>
        <v/>
      </c>
      <c r="J2076" s="26" t="str">
        <f aca="false">IF(A2076="","",COUNTIFS(Apparitions!$G$2:$G$5001,A2076,Apparitions!$E$2:$E$5001,"○"))</f>
        <v/>
      </c>
      <c r="K2076" s="29" t="str">
        <f aca="false">IF(A2076="","",IFERROR(1/(1/_xlfn.MINIFS(Apparitions!$L$2:$L$5001,Apparitions!$G$2:$G$5001,A2076)),""))</f>
        <v/>
      </c>
      <c r="L2076" s="27" t="str">
        <f aca="false">IF(A2076="","",A2076&amp;" | "&amp;B2076&amp;IF(C2076="",""," ("&amp;C2076&amp;")")&amp;IF(D2076="",""," - "&amp;D2076))</f>
        <v/>
      </c>
    </row>
    <row r="2077" customFormat="false" ht="15" hidden="false" customHeight="false" outlineLevel="0" collapsed="false">
      <c r="A2077" s="32"/>
      <c r="B2077" s="19"/>
      <c r="C2077" s="19"/>
      <c r="D2077" s="19"/>
      <c r="E2077" s="21"/>
      <c r="F2077" s="19"/>
      <c r="G2077" s="27" t="str">
        <f aca="false">IF(B2077="","",IFERROR(INDEX(Jeux!$C$2:$C$3001,MATCH(B2077,Jeux!$A$2:$A$3001,0))&amp;"","⚠ jeu inconnu"))</f>
        <v/>
      </c>
      <c r="H2077" s="27" t="str">
        <f aca="false">IF(B2077="","",IFERROR(INDEX(Jeux!$D$2:$D$3001,MATCH(B2077,Jeux!$A$2:$A$3001,0))&amp;"",""))</f>
        <v/>
      </c>
      <c r="I2077" s="26" t="str">
        <f aca="false">IF(A2077="","",COUNTIF(Apparitions!$G$2:$G$5001,A2077))</f>
        <v/>
      </c>
      <c r="J2077" s="26" t="str">
        <f aca="false">IF(A2077="","",COUNTIFS(Apparitions!$G$2:$G$5001,A2077,Apparitions!$E$2:$E$5001,"○"))</f>
        <v/>
      </c>
      <c r="K2077" s="29" t="str">
        <f aca="false">IF(A2077="","",IFERROR(1/(1/_xlfn.MINIFS(Apparitions!$L$2:$L$5001,Apparitions!$G$2:$G$5001,A2077)),""))</f>
        <v/>
      </c>
      <c r="L2077" s="27" t="str">
        <f aca="false">IF(A2077="","",A2077&amp;" | "&amp;B2077&amp;IF(C2077="",""," ("&amp;C2077&amp;")")&amp;IF(D2077="",""," - "&amp;D2077))</f>
        <v/>
      </c>
    </row>
    <row r="2078" customFormat="false" ht="15" hidden="false" customHeight="false" outlineLevel="0" collapsed="false">
      <c r="A2078" s="32"/>
      <c r="B2078" s="19"/>
      <c r="C2078" s="19"/>
      <c r="D2078" s="19"/>
      <c r="E2078" s="21"/>
      <c r="F2078" s="19"/>
      <c r="G2078" s="27" t="str">
        <f aca="false">IF(B2078="","",IFERROR(INDEX(Jeux!$C$2:$C$3001,MATCH(B2078,Jeux!$A$2:$A$3001,0))&amp;"","⚠ jeu inconnu"))</f>
        <v/>
      </c>
      <c r="H2078" s="27" t="str">
        <f aca="false">IF(B2078="","",IFERROR(INDEX(Jeux!$D$2:$D$3001,MATCH(B2078,Jeux!$A$2:$A$3001,0))&amp;"",""))</f>
        <v/>
      </c>
      <c r="I2078" s="26" t="str">
        <f aca="false">IF(A2078="","",COUNTIF(Apparitions!$G$2:$G$5001,A2078))</f>
        <v/>
      </c>
      <c r="J2078" s="26" t="str">
        <f aca="false">IF(A2078="","",COUNTIFS(Apparitions!$G$2:$G$5001,A2078,Apparitions!$E$2:$E$5001,"○"))</f>
        <v/>
      </c>
      <c r="K2078" s="29" t="str">
        <f aca="false">IF(A2078="","",IFERROR(1/(1/_xlfn.MINIFS(Apparitions!$L$2:$L$5001,Apparitions!$G$2:$G$5001,A2078)),""))</f>
        <v/>
      </c>
      <c r="L2078" s="27" t="str">
        <f aca="false">IF(A2078="","",A2078&amp;" | "&amp;B2078&amp;IF(C2078="",""," ("&amp;C2078&amp;")")&amp;IF(D2078="",""," - "&amp;D2078))</f>
        <v/>
      </c>
    </row>
    <row r="2079" customFormat="false" ht="15" hidden="false" customHeight="false" outlineLevel="0" collapsed="false">
      <c r="A2079" s="32"/>
      <c r="B2079" s="19"/>
      <c r="C2079" s="19"/>
      <c r="D2079" s="19"/>
      <c r="E2079" s="21"/>
      <c r="F2079" s="19"/>
      <c r="G2079" s="27" t="str">
        <f aca="false">IF(B2079="","",IFERROR(INDEX(Jeux!$C$2:$C$3001,MATCH(B2079,Jeux!$A$2:$A$3001,0))&amp;"","⚠ jeu inconnu"))</f>
        <v/>
      </c>
      <c r="H2079" s="27" t="str">
        <f aca="false">IF(B2079="","",IFERROR(INDEX(Jeux!$D$2:$D$3001,MATCH(B2079,Jeux!$A$2:$A$3001,0))&amp;"",""))</f>
        <v/>
      </c>
      <c r="I2079" s="26" t="str">
        <f aca="false">IF(A2079="","",COUNTIF(Apparitions!$G$2:$G$5001,A2079))</f>
        <v/>
      </c>
      <c r="J2079" s="26" t="str">
        <f aca="false">IF(A2079="","",COUNTIFS(Apparitions!$G$2:$G$5001,A2079,Apparitions!$E$2:$E$5001,"○"))</f>
        <v/>
      </c>
      <c r="K2079" s="29" t="str">
        <f aca="false">IF(A2079="","",IFERROR(1/(1/_xlfn.MINIFS(Apparitions!$L$2:$L$5001,Apparitions!$G$2:$G$5001,A2079)),""))</f>
        <v/>
      </c>
      <c r="L2079" s="27" t="str">
        <f aca="false">IF(A2079="","",A2079&amp;" | "&amp;B2079&amp;IF(C2079="",""," ("&amp;C2079&amp;")")&amp;IF(D2079="",""," - "&amp;D2079))</f>
        <v/>
      </c>
    </row>
    <row r="2080" customFormat="false" ht="15" hidden="false" customHeight="false" outlineLevel="0" collapsed="false">
      <c r="A2080" s="32"/>
      <c r="B2080" s="19"/>
      <c r="C2080" s="19"/>
      <c r="D2080" s="19"/>
      <c r="E2080" s="21"/>
      <c r="F2080" s="19"/>
      <c r="G2080" s="27" t="str">
        <f aca="false">IF(B2080="","",IFERROR(INDEX(Jeux!$C$2:$C$3001,MATCH(B2080,Jeux!$A$2:$A$3001,0))&amp;"","⚠ jeu inconnu"))</f>
        <v/>
      </c>
      <c r="H2080" s="27" t="str">
        <f aca="false">IF(B2080="","",IFERROR(INDEX(Jeux!$D$2:$D$3001,MATCH(B2080,Jeux!$A$2:$A$3001,0))&amp;"",""))</f>
        <v/>
      </c>
      <c r="I2080" s="26" t="str">
        <f aca="false">IF(A2080="","",COUNTIF(Apparitions!$G$2:$G$5001,A2080))</f>
        <v/>
      </c>
      <c r="J2080" s="26" t="str">
        <f aca="false">IF(A2080="","",COUNTIFS(Apparitions!$G$2:$G$5001,A2080,Apparitions!$E$2:$E$5001,"○"))</f>
        <v/>
      </c>
      <c r="K2080" s="29" t="str">
        <f aca="false">IF(A2080="","",IFERROR(1/(1/_xlfn.MINIFS(Apparitions!$L$2:$L$5001,Apparitions!$G$2:$G$5001,A2080)),""))</f>
        <v/>
      </c>
      <c r="L2080" s="27" t="str">
        <f aca="false">IF(A2080="","",A2080&amp;" | "&amp;B2080&amp;IF(C2080="",""," ("&amp;C2080&amp;")")&amp;IF(D2080="",""," - "&amp;D2080))</f>
        <v/>
      </c>
    </row>
    <row r="2081" customFormat="false" ht="15" hidden="false" customHeight="false" outlineLevel="0" collapsed="false">
      <c r="A2081" s="32"/>
      <c r="B2081" s="19"/>
      <c r="C2081" s="19"/>
      <c r="D2081" s="19"/>
      <c r="E2081" s="21"/>
      <c r="F2081" s="19"/>
      <c r="G2081" s="27" t="str">
        <f aca="false">IF(B2081="","",IFERROR(INDEX(Jeux!$C$2:$C$3001,MATCH(B2081,Jeux!$A$2:$A$3001,0))&amp;"","⚠ jeu inconnu"))</f>
        <v/>
      </c>
      <c r="H2081" s="27" t="str">
        <f aca="false">IF(B2081="","",IFERROR(INDEX(Jeux!$D$2:$D$3001,MATCH(B2081,Jeux!$A$2:$A$3001,0))&amp;"",""))</f>
        <v/>
      </c>
      <c r="I2081" s="26" t="str">
        <f aca="false">IF(A2081="","",COUNTIF(Apparitions!$G$2:$G$5001,A2081))</f>
        <v/>
      </c>
      <c r="J2081" s="26" t="str">
        <f aca="false">IF(A2081="","",COUNTIFS(Apparitions!$G$2:$G$5001,A2081,Apparitions!$E$2:$E$5001,"○"))</f>
        <v/>
      </c>
      <c r="K2081" s="29" t="str">
        <f aca="false">IF(A2081="","",IFERROR(1/(1/_xlfn.MINIFS(Apparitions!$L$2:$L$5001,Apparitions!$G$2:$G$5001,A2081)),""))</f>
        <v/>
      </c>
      <c r="L2081" s="27" t="str">
        <f aca="false">IF(A2081="","",A2081&amp;" | "&amp;B2081&amp;IF(C2081="",""," ("&amp;C2081&amp;")")&amp;IF(D2081="",""," - "&amp;D2081))</f>
        <v/>
      </c>
    </row>
    <row r="2082" customFormat="false" ht="15" hidden="false" customHeight="false" outlineLevel="0" collapsed="false">
      <c r="A2082" s="32"/>
      <c r="B2082" s="19"/>
      <c r="C2082" s="19"/>
      <c r="D2082" s="19"/>
      <c r="E2082" s="21"/>
      <c r="F2082" s="19"/>
      <c r="G2082" s="27" t="str">
        <f aca="false">IF(B2082="","",IFERROR(INDEX(Jeux!$C$2:$C$3001,MATCH(B2082,Jeux!$A$2:$A$3001,0))&amp;"","⚠ jeu inconnu"))</f>
        <v/>
      </c>
      <c r="H2082" s="27" t="str">
        <f aca="false">IF(B2082="","",IFERROR(INDEX(Jeux!$D$2:$D$3001,MATCH(B2082,Jeux!$A$2:$A$3001,0))&amp;"",""))</f>
        <v/>
      </c>
      <c r="I2082" s="26" t="str">
        <f aca="false">IF(A2082="","",COUNTIF(Apparitions!$G$2:$G$5001,A2082))</f>
        <v/>
      </c>
      <c r="J2082" s="26" t="str">
        <f aca="false">IF(A2082="","",COUNTIFS(Apparitions!$G$2:$G$5001,A2082,Apparitions!$E$2:$E$5001,"○"))</f>
        <v/>
      </c>
      <c r="K2082" s="29" t="str">
        <f aca="false">IF(A2082="","",IFERROR(1/(1/_xlfn.MINIFS(Apparitions!$L$2:$L$5001,Apparitions!$G$2:$G$5001,A2082)),""))</f>
        <v/>
      </c>
      <c r="L2082" s="27" t="str">
        <f aca="false">IF(A2082="","",A2082&amp;" | "&amp;B2082&amp;IF(C2082="",""," ("&amp;C2082&amp;")")&amp;IF(D2082="",""," - "&amp;D2082))</f>
        <v/>
      </c>
    </row>
    <row r="2083" customFormat="false" ht="15" hidden="false" customHeight="false" outlineLevel="0" collapsed="false">
      <c r="A2083" s="32"/>
      <c r="B2083" s="19"/>
      <c r="C2083" s="19"/>
      <c r="D2083" s="19"/>
      <c r="E2083" s="21"/>
      <c r="F2083" s="19"/>
      <c r="G2083" s="27" t="str">
        <f aca="false">IF(B2083="","",IFERROR(INDEX(Jeux!$C$2:$C$3001,MATCH(B2083,Jeux!$A$2:$A$3001,0))&amp;"","⚠ jeu inconnu"))</f>
        <v/>
      </c>
      <c r="H2083" s="27" t="str">
        <f aca="false">IF(B2083="","",IFERROR(INDEX(Jeux!$D$2:$D$3001,MATCH(B2083,Jeux!$A$2:$A$3001,0))&amp;"",""))</f>
        <v/>
      </c>
      <c r="I2083" s="26" t="str">
        <f aca="false">IF(A2083="","",COUNTIF(Apparitions!$G$2:$G$5001,A2083))</f>
        <v/>
      </c>
      <c r="J2083" s="26" t="str">
        <f aca="false">IF(A2083="","",COUNTIFS(Apparitions!$G$2:$G$5001,A2083,Apparitions!$E$2:$E$5001,"○"))</f>
        <v/>
      </c>
      <c r="K2083" s="29" t="str">
        <f aca="false">IF(A2083="","",IFERROR(1/(1/_xlfn.MINIFS(Apparitions!$L$2:$L$5001,Apparitions!$G$2:$G$5001,A2083)),""))</f>
        <v/>
      </c>
      <c r="L2083" s="27" t="str">
        <f aca="false">IF(A2083="","",A2083&amp;" | "&amp;B2083&amp;IF(C2083="",""," ("&amp;C2083&amp;")")&amp;IF(D2083="",""," - "&amp;D2083))</f>
        <v/>
      </c>
    </row>
    <row r="2084" customFormat="false" ht="15" hidden="false" customHeight="false" outlineLevel="0" collapsed="false">
      <c r="A2084" s="32"/>
      <c r="B2084" s="19"/>
      <c r="C2084" s="19"/>
      <c r="D2084" s="19"/>
      <c r="E2084" s="21"/>
      <c r="F2084" s="19"/>
      <c r="G2084" s="27" t="str">
        <f aca="false">IF(B2084="","",IFERROR(INDEX(Jeux!$C$2:$C$3001,MATCH(B2084,Jeux!$A$2:$A$3001,0))&amp;"","⚠ jeu inconnu"))</f>
        <v/>
      </c>
      <c r="H2084" s="27" t="str">
        <f aca="false">IF(B2084="","",IFERROR(INDEX(Jeux!$D$2:$D$3001,MATCH(B2084,Jeux!$A$2:$A$3001,0))&amp;"",""))</f>
        <v/>
      </c>
      <c r="I2084" s="26" t="str">
        <f aca="false">IF(A2084="","",COUNTIF(Apparitions!$G$2:$G$5001,A2084))</f>
        <v/>
      </c>
      <c r="J2084" s="26" t="str">
        <f aca="false">IF(A2084="","",COUNTIFS(Apparitions!$G$2:$G$5001,A2084,Apparitions!$E$2:$E$5001,"○"))</f>
        <v/>
      </c>
      <c r="K2084" s="29" t="str">
        <f aca="false">IF(A2084="","",IFERROR(1/(1/_xlfn.MINIFS(Apparitions!$L$2:$L$5001,Apparitions!$G$2:$G$5001,A2084)),""))</f>
        <v/>
      </c>
      <c r="L2084" s="27" t="str">
        <f aca="false">IF(A2084="","",A2084&amp;" | "&amp;B2084&amp;IF(C2084="",""," ("&amp;C2084&amp;")")&amp;IF(D2084="",""," - "&amp;D2084))</f>
        <v/>
      </c>
    </row>
    <row r="2085" customFormat="false" ht="15" hidden="false" customHeight="false" outlineLevel="0" collapsed="false">
      <c r="A2085" s="32"/>
      <c r="B2085" s="19"/>
      <c r="C2085" s="19"/>
      <c r="D2085" s="19"/>
      <c r="E2085" s="21"/>
      <c r="F2085" s="19"/>
      <c r="G2085" s="27" t="str">
        <f aca="false">IF(B2085="","",IFERROR(INDEX(Jeux!$C$2:$C$3001,MATCH(B2085,Jeux!$A$2:$A$3001,0))&amp;"","⚠ jeu inconnu"))</f>
        <v/>
      </c>
      <c r="H2085" s="27" t="str">
        <f aca="false">IF(B2085="","",IFERROR(INDEX(Jeux!$D$2:$D$3001,MATCH(B2085,Jeux!$A$2:$A$3001,0))&amp;"",""))</f>
        <v/>
      </c>
      <c r="I2085" s="26" t="str">
        <f aca="false">IF(A2085="","",COUNTIF(Apparitions!$G$2:$G$5001,A2085))</f>
        <v/>
      </c>
      <c r="J2085" s="26" t="str">
        <f aca="false">IF(A2085="","",COUNTIFS(Apparitions!$G$2:$G$5001,A2085,Apparitions!$E$2:$E$5001,"○"))</f>
        <v/>
      </c>
      <c r="K2085" s="29" t="str">
        <f aca="false">IF(A2085="","",IFERROR(1/(1/_xlfn.MINIFS(Apparitions!$L$2:$L$5001,Apparitions!$G$2:$G$5001,A2085)),""))</f>
        <v/>
      </c>
      <c r="L2085" s="27" t="str">
        <f aca="false">IF(A2085="","",A2085&amp;" | "&amp;B2085&amp;IF(C2085="",""," ("&amp;C2085&amp;")")&amp;IF(D2085="",""," - "&amp;D2085))</f>
        <v/>
      </c>
    </row>
    <row r="2086" customFormat="false" ht="15" hidden="false" customHeight="false" outlineLevel="0" collapsed="false">
      <c r="A2086" s="32"/>
      <c r="B2086" s="19"/>
      <c r="C2086" s="19"/>
      <c r="D2086" s="19"/>
      <c r="E2086" s="21"/>
      <c r="F2086" s="19"/>
      <c r="G2086" s="27" t="str">
        <f aca="false">IF(B2086="","",IFERROR(INDEX(Jeux!$C$2:$C$3001,MATCH(B2086,Jeux!$A$2:$A$3001,0))&amp;"","⚠ jeu inconnu"))</f>
        <v/>
      </c>
      <c r="H2086" s="27" t="str">
        <f aca="false">IF(B2086="","",IFERROR(INDEX(Jeux!$D$2:$D$3001,MATCH(B2086,Jeux!$A$2:$A$3001,0))&amp;"",""))</f>
        <v/>
      </c>
      <c r="I2086" s="26" t="str">
        <f aca="false">IF(A2086="","",COUNTIF(Apparitions!$G$2:$G$5001,A2086))</f>
        <v/>
      </c>
      <c r="J2086" s="26" t="str">
        <f aca="false">IF(A2086="","",COUNTIFS(Apparitions!$G$2:$G$5001,A2086,Apparitions!$E$2:$E$5001,"○"))</f>
        <v/>
      </c>
      <c r="K2086" s="29" t="str">
        <f aca="false">IF(A2086="","",IFERROR(1/(1/_xlfn.MINIFS(Apparitions!$L$2:$L$5001,Apparitions!$G$2:$G$5001,A2086)),""))</f>
        <v/>
      </c>
      <c r="L2086" s="27" t="str">
        <f aca="false">IF(A2086="","",A2086&amp;" | "&amp;B2086&amp;IF(C2086="",""," ("&amp;C2086&amp;")")&amp;IF(D2086="",""," - "&amp;D2086))</f>
        <v/>
      </c>
    </row>
    <row r="2087" customFormat="false" ht="15" hidden="false" customHeight="false" outlineLevel="0" collapsed="false">
      <c r="A2087" s="32"/>
      <c r="B2087" s="19"/>
      <c r="C2087" s="19"/>
      <c r="D2087" s="19"/>
      <c r="E2087" s="21"/>
      <c r="F2087" s="19"/>
      <c r="G2087" s="27" t="str">
        <f aca="false">IF(B2087="","",IFERROR(INDEX(Jeux!$C$2:$C$3001,MATCH(B2087,Jeux!$A$2:$A$3001,0))&amp;"","⚠ jeu inconnu"))</f>
        <v/>
      </c>
      <c r="H2087" s="27" t="str">
        <f aca="false">IF(B2087="","",IFERROR(INDEX(Jeux!$D$2:$D$3001,MATCH(B2087,Jeux!$A$2:$A$3001,0))&amp;"",""))</f>
        <v/>
      </c>
      <c r="I2087" s="26" t="str">
        <f aca="false">IF(A2087="","",COUNTIF(Apparitions!$G$2:$G$5001,A2087))</f>
        <v/>
      </c>
      <c r="J2087" s="26" t="str">
        <f aca="false">IF(A2087="","",COUNTIFS(Apparitions!$G$2:$G$5001,A2087,Apparitions!$E$2:$E$5001,"○"))</f>
        <v/>
      </c>
      <c r="K2087" s="29" t="str">
        <f aca="false">IF(A2087="","",IFERROR(1/(1/_xlfn.MINIFS(Apparitions!$L$2:$L$5001,Apparitions!$G$2:$G$5001,A2087)),""))</f>
        <v/>
      </c>
      <c r="L2087" s="27" t="str">
        <f aca="false">IF(A2087="","",A2087&amp;" | "&amp;B2087&amp;IF(C2087="",""," ("&amp;C2087&amp;")")&amp;IF(D2087="",""," - "&amp;D2087))</f>
        <v/>
      </c>
    </row>
    <row r="2088" customFormat="false" ht="15" hidden="false" customHeight="false" outlineLevel="0" collapsed="false">
      <c r="A2088" s="32"/>
      <c r="B2088" s="19"/>
      <c r="C2088" s="19"/>
      <c r="D2088" s="19"/>
      <c r="E2088" s="21"/>
      <c r="F2088" s="19"/>
      <c r="G2088" s="27" t="str">
        <f aca="false">IF(B2088="","",IFERROR(INDEX(Jeux!$C$2:$C$3001,MATCH(B2088,Jeux!$A$2:$A$3001,0))&amp;"","⚠ jeu inconnu"))</f>
        <v/>
      </c>
      <c r="H2088" s="27" t="str">
        <f aca="false">IF(B2088="","",IFERROR(INDEX(Jeux!$D$2:$D$3001,MATCH(B2088,Jeux!$A$2:$A$3001,0))&amp;"",""))</f>
        <v/>
      </c>
      <c r="I2088" s="26" t="str">
        <f aca="false">IF(A2088="","",COUNTIF(Apparitions!$G$2:$G$5001,A2088))</f>
        <v/>
      </c>
      <c r="J2088" s="26" t="str">
        <f aca="false">IF(A2088="","",COUNTIFS(Apparitions!$G$2:$G$5001,A2088,Apparitions!$E$2:$E$5001,"○"))</f>
        <v/>
      </c>
      <c r="K2088" s="29" t="str">
        <f aca="false">IF(A2088="","",IFERROR(1/(1/_xlfn.MINIFS(Apparitions!$L$2:$L$5001,Apparitions!$G$2:$G$5001,A2088)),""))</f>
        <v/>
      </c>
      <c r="L2088" s="27" t="str">
        <f aca="false">IF(A2088="","",A2088&amp;" | "&amp;B2088&amp;IF(C2088="",""," ("&amp;C2088&amp;")")&amp;IF(D2088="",""," - "&amp;D2088))</f>
        <v/>
      </c>
    </row>
    <row r="2089" customFormat="false" ht="15" hidden="false" customHeight="false" outlineLevel="0" collapsed="false">
      <c r="A2089" s="32"/>
      <c r="B2089" s="19"/>
      <c r="C2089" s="19"/>
      <c r="D2089" s="19"/>
      <c r="E2089" s="21"/>
      <c r="F2089" s="19"/>
      <c r="G2089" s="27" t="str">
        <f aca="false">IF(B2089="","",IFERROR(INDEX(Jeux!$C$2:$C$3001,MATCH(B2089,Jeux!$A$2:$A$3001,0))&amp;"","⚠ jeu inconnu"))</f>
        <v/>
      </c>
      <c r="H2089" s="27" t="str">
        <f aca="false">IF(B2089="","",IFERROR(INDEX(Jeux!$D$2:$D$3001,MATCH(B2089,Jeux!$A$2:$A$3001,0))&amp;"",""))</f>
        <v/>
      </c>
      <c r="I2089" s="26" t="str">
        <f aca="false">IF(A2089="","",COUNTIF(Apparitions!$G$2:$G$5001,A2089))</f>
        <v/>
      </c>
      <c r="J2089" s="26" t="str">
        <f aca="false">IF(A2089="","",COUNTIFS(Apparitions!$G$2:$G$5001,A2089,Apparitions!$E$2:$E$5001,"○"))</f>
        <v/>
      </c>
      <c r="K2089" s="29" t="str">
        <f aca="false">IF(A2089="","",IFERROR(1/(1/_xlfn.MINIFS(Apparitions!$L$2:$L$5001,Apparitions!$G$2:$G$5001,A2089)),""))</f>
        <v/>
      </c>
      <c r="L2089" s="27" t="str">
        <f aca="false">IF(A2089="","",A2089&amp;" | "&amp;B2089&amp;IF(C2089="",""," ("&amp;C2089&amp;")")&amp;IF(D2089="",""," - "&amp;D2089))</f>
        <v/>
      </c>
    </row>
    <row r="2090" customFormat="false" ht="15" hidden="false" customHeight="false" outlineLevel="0" collapsed="false">
      <c r="A2090" s="32"/>
      <c r="B2090" s="19"/>
      <c r="C2090" s="19"/>
      <c r="D2090" s="19"/>
      <c r="E2090" s="21"/>
      <c r="F2090" s="19"/>
      <c r="G2090" s="27" t="str">
        <f aca="false">IF(B2090="","",IFERROR(INDEX(Jeux!$C$2:$C$3001,MATCH(B2090,Jeux!$A$2:$A$3001,0))&amp;"","⚠ jeu inconnu"))</f>
        <v/>
      </c>
      <c r="H2090" s="27" t="str">
        <f aca="false">IF(B2090="","",IFERROR(INDEX(Jeux!$D$2:$D$3001,MATCH(B2090,Jeux!$A$2:$A$3001,0))&amp;"",""))</f>
        <v/>
      </c>
      <c r="I2090" s="26" t="str">
        <f aca="false">IF(A2090="","",COUNTIF(Apparitions!$G$2:$G$5001,A2090))</f>
        <v/>
      </c>
      <c r="J2090" s="26" t="str">
        <f aca="false">IF(A2090="","",COUNTIFS(Apparitions!$G$2:$G$5001,A2090,Apparitions!$E$2:$E$5001,"○"))</f>
        <v/>
      </c>
      <c r="K2090" s="29" t="str">
        <f aca="false">IF(A2090="","",IFERROR(1/(1/_xlfn.MINIFS(Apparitions!$L$2:$L$5001,Apparitions!$G$2:$G$5001,A2090)),""))</f>
        <v/>
      </c>
      <c r="L2090" s="27" t="str">
        <f aca="false">IF(A2090="","",A2090&amp;" | "&amp;B2090&amp;IF(C2090="",""," ("&amp;C2090&amp;")")&amp;IF(D2090="",""," - "&amp;D2090))</f>
        <v/>
      </c>
    </row>
    <row r="2091" customFormat="false" ht="15" hidden="false" customHeight="false" outlineLevel="0" collapsed="false">
      <c r="A2091" s="32"/>
      <c r="B2091" s="19"/>
      <c r="C2091" s="19"/>
      <c r="D2091" s="19"/>
      <c r="E2091" s="21"/>
      <c r="F2091" s="19"/>
      <c r="G2091" s="27" t="str">
        <f aca="false">IF(B2091="","",IFERROR(INDEX(Jeux!$C$2:$C$3001,MATCH(B2091,Jeux!$A$2:$A$3001,0))&amp;"","⚠ jeu inconnu"))</f>
        <v/>
      </c>
      <c r="H2091" s="27" t="str">
        <f aca="false">IF(B2091="","",IFERROR(INDEX(Jeux!$D$2:$D$3001,MATCH(B2091,Jeux!$A$2:$A$3001,0))&amp;"",""))</f>
        <v/>
      </c>
      <c r="I2091" s="26" t="str">
        <f aca="false">IF(A2091="","",COUNTIF(Apparitions!$G$2:$G$5001,A2091))</f>
        <v/>
      </c>
      <c r="J2091" s="26" t="str">
        <f aca="false">IF(A2091="","",COUNTIFS(Apparitions!$G$2:$G$5001,A2091,Apparitions!$E$2:$E$5001,"○"))</f>
        <v/>
      </c>
      <c r="K2091" s="29" t="str">
        <f aca="false">IF(A2091="","",IFERROR(1/(1/_xlfn.MINIFS(Apparitions!$L$2:$L$5001,Apparitions!$G$2:$G$5001,A2091)),""))</f>
        <v/>
      </c>
      <c r="L2091" s="27" t="str">
        <f aca="false">IF(A2091="","",A2091&amp;" | "&amp;B2091&amp;IF(C2091="",""," ("&amp;C2091&amp;")")&amp;IF(D2091="",""," - "&amp;D2091))</f>
        <v/>
      </c>
    </row>
    <row r="2092" customFormat="false" ht="15" hidden="false" customHeight="false" outlineLevel="0" collapsed="false">
      <c r="A2092" s="32"/>
      <c r="B2092" s="19"/>
      <c r="C2092" s="19"/>
      <c r="D2092" s="19"/>
      <c r="E2092" s="21"/>
      <c r="F2092" s="19"/>
      <c r="G2092" s="27" t="str">
        <f aca="false">IF(B2092="","",IFERROR(INDEX(Jeux!$C$2:$C$3001,MATCH(B2092,Jeux!$A$2:$A$3001,0))&amp;"","⚠ jeu inconnu"))</f>
        <v/>
      </c>
      <c r="H2092" s="27" t="str">
        <f aca="false">IF(B2092="","",IFERROR(INDEX(Jeux!$D$2:$D$3001,MATCH(B2092,Jeux!$A$2:$A$3001,0))&amp;"",""))</f>
        <v/>
      </c>
      <c r="I2092" s="26" t="str">
        <f aca="false">IF(A2092="","",COUNTIF(Apparitions!$G$2:$G$5001,A2092))</f>
        <v/>
      </c>
      <c r="J2092" s="26" t="str">
        <f aca="false">IF(A2092="","",COUNTIFS(Apparitions!$G$2:$G$5001,A2092,Apparitions!$E$2:$E$5001,"○"))</f>
        <v/>
      </c>
      <c r="K2092" s="29" t="str">
        <f aca="false">IF(A2092="","",IFERROR(1/(1/_xlfn.MINIFS(Apparitions!$L$2:$L$5001,Apparitions!$G$2:$G$5001,A2092)),""))</f>
        <v/>
      </c>
      <c r="L2092" s="27" t="str">
        <f aca="false">IF(A2092="","",A2092&amp;" | "&amp;B2092&amp;IF(C2092="",""," ("&amp;C2092&amp;")")&amp;IF(D2092="",""," - "&amp;D2092))</f>
        <v/>
      </c>
    </row>
    <row r="2093" customFormat="false" ht="15" hidden="false" customHeight="false" outlineLevel="0" collapsed="false">
      <c r="A2093" s="32"/>
      <c r="B2093" s="19"/>
      <c r="C2093" s="19"/>
      <c r="D2093" s="19"/>
      <c r="E2093" s="21"/>
      <c r="F2093" s="19"/>
      <c r="G2093" s="27" t="str">
        <f aca="false">IF(B2093="","",IFERROR(INDEX(Jeux!$C$2:$C$3001,MATCH(B2093,Jeux!$A$2:$A$3001,0))&amp;"","⚠ jeu inconnu"))</f>
        <v/>
      </c>
      <c r="H2093" s="27" t="str">
        <f aca="false">IF(B2093="","",IFERROR(INDEX(Jeux!$D$2:$D$3001,MATCH(B2093,Jeux!$A$2:$A$3001,0))&amp;"",""))</f>
        <v/>
      </c>
      <c r="I2093" s="26" t="str">
        <f aca="false">IF(A2093="","",COUNTIF(Apparitions!$G$2:$G$5001,A2093))</f>
        <v/>
      </c>
      <c r="J2093" s="26" t="str">
        <f aca="false">IF(A2093="","",COUNTIFS(Apparitions!$G$2:$G$5001,A2093,Apparitions!$E$2:$E$5001,"○"))</f>
        <v/>
      </c>
      <c r="K2093" s="29" t="str">
        <f aca="false">IF(A2093="","",IFERROR(1/(1/_xlfn.MINIFS(Apparitions!$L$2:$L$5001,Apparitions!$G$2:$G$5001,A2093)),""))</f>
        <v/>
      </c>
      <c r="L2093" s="27" t="str">
        <f aca="false">IF(A2093="","",A2093&amp;" | "&amp;B2093&amp;IF(C2093="",""," ("&amp;C2093&amp;")")&amp;IF(D2093="",""," - "&amp;D2093))</f>
        <v/>
      </c>
    </row>
    <row r="2094" customFormat="false" ht="15" hidden="false" customHeight="false" outlineLevel="0" collapsed="false">
      <c r="A2094" s="32"/>
      <c r="B2094" s="19"/>
      <c r="C2094" s="19"/>
      <c r="D2094" s="19"/>
      <c r="E2094" s="21"/>
      <c r="F2094" s="19"/>
      <c r="G2094" s="27" t="str">
        <f aca="false">IF(B2094="","",IFERROR(INDEX(Jeux!$C$2:$C$3001,MATCH(B2094,Jeux!$A$2:$A$3001,0))&amp;"","⚠ jeu inconnu"))</f>
        <v/>
      </c>
      <c r="H2094" s="27" t="str">
        <f aca="false">IF(B2094="","",IFERROR(INDEX(Jeux!$D$2:$D$3001,MATCH(B2094,Jeux!$A$2:$A$3001,0))&amp;"",""))</f>
        <v/>
      </c>
      <c r="I2094" s="26" t="str">
        <f aca="false">IF(A2094="","",COUNTIF(Apparitions!$G$2:$G$5001,A2094))</f>
        <v/>
      </c>
      <c r="J2094" s="26" t="str">
        <f aca="false">IF(A2094="","",COUNTIFS(Apparitions!$G$2:$G$5001,A2094,Apparitions!$E$2:$E$5001,"○"))</f>
        <v/>
      </c>
      <c r="K2094" s="29" t="str">
        <f aca="false">IF(A2094="","",IFERROR(1/(1/_xlfn.MINIFS(Apparitions!$L$2:$L$5001,Apparitions!$G$2:$G$5001,A2094)),""))</f>
        <v/>
      </c>
      <c r="L2094" s="27" t="str">
        <f aca="false">IF(A2094="","",A2094&amp;" | "&amp;B2094&amp;IF(C2094="",""," ("&amp;C2094&amp;")")&amp;IF(D2094="",""," - "&amp;D2094))</f>
        <v/>
      </c>
    </row>
    <row r="2095" customFormat="false" ht="15" hidden="false" customHeight="false" outlineLevel="0" collapsed="false">
      <c r="A2095" s="32"/>
      <c r="B2095" s="19"/>
      <c r="C2095" s="19"/>
      <c r="D2095" s="19"/>
      <c r="E2095" s="21"/>
      <c r="F2095" s="19"/>
      <c r="G2095" s="27" t="str">
        <f aca="false">IF(B2095="","",IFERROR(INDEX(Jeux!$C$2:$C$3001,MATCH(B2095,Jeux!$A$2:$A$3001,0))&amp;"","⚠ jeu inconnu"))</f>
        <v/>
      </c>
      <c r="H2095" s="27" t="str">
        <f aca="false">IF(B2095="","",IFERROR(INDEX(Jeux!$D$2:$D$3001,MATCH(B2095,Jeux!$A$2:$A$3001,0))&amp;"",""))</f>
        <v/>
      </c>
      <c r="I2095" s="26" t="str">
        <f aca="false">IF(A2095="","",COUNTIF(Apparitions!$G$2:$G$5001,A2095))</f>
        <v/>
      </c>
      <c r="J2095" s="26" t="str">
        <f aca="false">IF(A2095="","",COUNTIFS(Apparitions!$G$2:$G$5001,A2095,Apparitions!$E$2:$E$5001,"○"))</f>
        <v/>
      </c>
      <c r="K2095" s="29" t="str">
        <f aca="false">IF(A2095="","",IFERROR(1/(1/_xlfn.MINIFS(Apparitions!$L$2:$L$5001,Apparitions!$G$2:$G$5001,A2095)),""))</f>
        <v/>
      </c>
      <c r="L2095" s="27" t="str">
        <f aca="false">IF(A2095="","",A2095&amp;" | "&amp;B2095&amp;IF(C2095="",""," ("&amp;C2095&amp;")")&amp;IF(D2095="",""," - "&amp;D2095))</f>
        <v/>
      </c>
    </row>
    <row r="2096" customFormat="false" ht="15" hidden="false" customHeight="false" outlineLevel="0" collapsed="false">
      <c r="A2096" s="32"/>
      <c r="B2096" s="19"/>
      <c r="C2096" s="19"/>
      <c r="D2096" s="19"/>
      <c r="E2096" s="21"/>
      <c r="F2096" s="19"/>
      <c r="G2096" s="27" t="str">
        <f aca="false">IF(B2096="","",IFERROR(INDEX(Jeux!$C$2:$C$3001,MATCH(B2096,Jeux!$A$2:$A$3001,0))&amp;"","⚠ jeu inconnu"))</f>
        <v/>
      </c>
      <c r="H2096" s="27" t="str">
        <f aca="false">IF(B2096="","",IFERROR(INDEX(Jeux!$D$2:$D$3001,MATCH(B2096,Jeux!$A$2:$A$3001,0))&amp;"",""))</f>
        <v/>
      </c>
      <c r="I2096" s="26" t="str">
        <f aca="false">IF(A2096="","",COUNTIF(Apparitions!$G$2:$G$5001,A2096))</f>
        <v/>
      </c>
      <c r="J2096" s="26" t="str">
        <f aca="false">IF(A2096="","",COUNTIFS(Apparitions!$G$2:$G$5001,A2096,Apparitions!$E$2:$E$5001,"○"))</f>
        <v/>
      </c>
      <c r="K2096" s="29" t="str">
        <f aca="false">IF(A2096="","",IFERROR(1/(1/_xlfn.MINIFS(Apparitions!$L$2:$L$5001,Apparitions!$G$2:$G$5001,A2096)),""))</f>
        <v/>
      </c>
      <c r="L2096" s="27" t="str">
        <f aca="false">IF(A2096="","",A2096&amp;" | "&amp;B2096&amp;IF(C2096="",""," ("&amp;C2096&amp;")")&amp;IF(D2096="",""," - "&amp;D2096))</f>
        <v/>
      </c>
    </row>
    <row r="2097" customFormat="false" ht="15" hidden="false" customHeight="false" outlineLevel="0" collapsed="false">
      <c r="A2097" s="32"/>
      <c r="B2097" s="19"/>
      <c r="C2097" s="19"/>
      <c r="D2097" s="19"/>
      <c r="E2097" s="21"/>
      <c r="F2097" s="19"/>
      <c r="G2097" s="27" t="str">
        <f aca="false">IF(B2097="","",IFERROR(INDEX(Jeux!$C$2:$C$3001,MATCH(B2097,Jeux!$A$2:$A$3001,0))&amp;"","⚠ jeu inconnu"))</f>
        <v/>
      </c>
      <c r="H2097" s="27" t="str">
        <f aca="false">IF(B2097="","",IFERROR(INDEX(Jeux!$D$2:$D$3001,MATCH(B2097,Jeux!$A$2:$A$3001,0))&amp;"",""))</f>
        <v/>
      </c>
      <c r="I2097" s="26" t="str">
        <f aca="false">IF(A2097="","",COUNTIF(Apparitions!$G$2:$G$5001,A2097))</f>
        <v/>
      </c>
      <c r="J2097" s="26" t="str">
        <f aca="false">IF(A2097="","",COUNTIFS(Apparitions!$G$2:$G$5001,A2097,Apparitions!$E$2:$E$5001,"○"))</f>
        <v/>
      </c>
      <c r="K2097" s="29" t="str">
        <f aca="false">IF(A2097="","",IFERROR(1/(1/_xlfn.MINIFS(Apparitions!$L$2:$L$5001,Apparitions!$G$2:$G$5001,A2097)),""))</f>
        <v/>
      </c>
      <c r="L2097" s="27" t="str">
        <f aca="false">IF(A2097="","",A2097&amp;" | "&amp;B2097&amp;IF(C2097="",""," ("&amp;C2097&amp;")")&amp;IF(D2097="",""," - "&amp;D2097))</f>
        <v/>
      </c>
    </row>
    <row r="2098" customFormat="false" ht="15" hidden="false" customHeight="false" outlineLevel="0" collapsed="false">
      <c r="A2098" s="32"/>
      <c r="B2098" s="19"/>
      <c r="C2098" s="19"/>
      <c r="D2098" s="19"/>
      <c r="E2098" s="21"/>
      <c r="F2098" s="19"/>
      <c r="G2098" s="27" t="str">
        <f aca="false">IF(B2098="","",IFERROR(INDEX(Jeux!$C$2:$C$3001,MATCH(B2098,Jeux!$A$2:$A$3001,0))&amp;"","⚠ jeu inconnu"))</f>
        <v/>
      </c>
      <c r="H2098" s="27" t="str">
        <f aca="false">IF(B2098="","",IFERROR(INDEX(Jeux!$D$2:$D$3001,MATCH(B2098,Jeux!$A$2:$A$3001,0))&amp;"",""))</f>
        <v/>
      </c>
      <c r="I2098" s="26" t="str">
        <f aca="false">IF(A2098="","",COUNTIF(Apparitions!$G$2:$G$5001,A2098))</f>
        <v/>
      </c>
      <c r="J2098" s="26" t="str">
        <f aca="false">IF(A2098="","",COUNTIFS(Apparitions!$G$2:$G$5001,A2098,Apparitions!$E$2:$E$5001,"○"))</f>
        <v/>
      </c>
      <c r="K2098" s="29" t="str">
        <f aca="false">IF(A2098="","",IFERROR(1/(1/_xlfn.MINIFS(Apparitions!$L$2:$L$5001,Apparitions!$G$2:$G$5001,A2098)),""))</f>
        <v/>
      </c>
      <c r="L2098" s="27" t="str">
        <f aca="false">IF(A2098="","",A2098&amp;" | "&amp;B2098&amp;IF(C2098="",""," ("&amp;C2098&amp;")")&amp;IF(D2098="",""," - "&amp;D2098))</f>
        <v/>
      </c>
    </row>
    <row r="2099" customFormat="false" ht="15" hidden="false" customHeight="false" outlineLevel="0" collapsed="false">
      <c r="A2099" s="32"/>
      <c r="B2099" s="19"/>
      <c r="C2099" s="19"/>
      <c r="D2099" s="19"/>
      <c r="E2099" s="21"/>
      <c r="F2099" s="19"/>
      <c r="G2099" s="27" t="str">
        <f aca="false">IF(B2099="","",IFERROR(INDEX(Jeux!$C$2:$C$3001,MATCH(B2099,Jeux!$A$2:$A$3001,0))&amp;"","⚠ jeu inconnu"))</f>
        <v/>
      </c>
      <c r="H2099" s="27" t="str">
        <f aca="false">IF(B2099="","",IFERROR(INDEX(Jeux!$D$2:$D$3001,MATCH(B2099,Jeux!$A$2:$A$3001,0))&amp;"",""))</f>
        <v/>
      </c>
      <c r="I2099" s="26" t="str">
        <f aca="false">IF(A2099="","",COUNTIF(Apparitions!$G$2:$G$5001,A2099))</f>
        <v/>
      </c>
      <c r="J2099" s="26" t="str">
        <f aca="false">IF(A2099="","",COUNTIFS(Apparitions!$G$2:$G$5001,A2099,Apparitions!$E$2:$E$5001,"○"))</f>
        <v/>
      </c>
      <c r="K2099" s="29" t="str">
        <f aca="false">IF(A2099="","",IFERROR(1/(1/_xlfn.MINIFS(Apparitions!$L$2:$L$5001,Apparitions!$G$2:$G$5001,A2099)),""))</f>
        <v/>
      </c>
      <c r="L2099" s="27" t="str">
        <f aca="false">IF(A2099="","",A2099&amp;" | "&amp;B2099&amp;IF(C2099="",""," ("&amp;C2099&amp;")")&amp;IF(D2099="",""," - "&amp;D2099))</f>
        <v/>
      </c>
    </row>
    <row r="2100" customFormat="false" ht="15" hidden="false" customHeight="false" outlineLevel="0" collapsed="false">
      <c r="A2100" s="32"/>
      <c r="B2100" s="19"/>
      <c r="C2100" s="19"/>
      <c r="D2100" s="19"/>
      <c r="E2100" s="21"/>
      <c r="F2100" s="19"/>
      <c r="G2100" s="27" t="str">
        <f aca="false">IF(B2100="","",IFERROR(INDEX(Jeux!$C$2:$C$3001,MATCH(B2100,Jeux!$A$2:$A$3001,0))&amp;"","⚠ jeu inconnu"))</f>
        <v/>
      </c>
      <c r="H2100" s="27" t="str">
        <f aca="false">IF(B2100="","",IFERROR(INDEX(Jeux!$D$2:$D$3001,MATCH(B2100,Jeux!$A$2:$A$3001,0))&amp;"",""))</f>
        <v/>
      </c>
      <c r="I2100" s="26" t="str">
        <f aca="false">IF(A2100="","",COUNTIF(Apparitions!$G$2:$G$5001,A2100))</f>
        <v/>
      </c>
      <c r="J2100" s="26" t="str">
        <f aca="false">IF(A2100="","",COUNTIFS(Apparitions!$G$2:$G$5001,A2100,Apparitions!$E$2:$E$5001,"○"))</f>
        <v/>
      </c>
      <c r="K2100" s="29" t="str">
        <f aca="false">IF(A2100="","",IFERROR(1/(1/_xlfn.MINIFS(Apparitions!$L$2:$L$5001,Apparitions!$G$2:$G$5001,A2100)),""))</f>
        <v/>
      </c>
      <c r="L2100" s="27" t="str">
        <f aca="false">IF(A2100="","",A2100&amp;" | "&amp;B2100&amp;IF(C2100="",""," ("&amp;C2100&amp;")")&amp;IF(D2100="",""," - "&amp;D2100))</f>
        <v/>
      </c>
    </row>
    <row r="2101" customFormat="false" ht="15" hidden="false" customHeight="false" outlineLevel="0" collapsed="false">
      <c r="A2101" s="32"/>
      <c r="B2101" s="19"/>
      <c r="C2101" s="19"/>
      <c r="D2101" s="19"/>
      <c r="E2101" s="21"/>
      <c r="F2101" s="19"/>
      <c r="G2101" s="27" t="str">
        <f aca="false">IF(B2101="","",IFERROR(INDEX(Jeux!$C$2:$C$3001,MATCH(B2101,Jeux!$A$2:$A$3001,0))&amp;"","⚠ jeu inconnu"))</f>
        <v/>
      </c>
      <c r="H2101" s="27" t="str">
        <f aca="false">IF(B2101="","",IFERROR(INDEX(Jeux!$D$2:$D$3001,MATCH(B2101,Jeux!$A$2:$A$3001,0))&amp;"",""))</f>
        <v/>
      </c>
      <c r="I2101" s="26" t="str">
        <f aca="false">IF(A2101="","",COUNTIF(Apparitions!$G$2:$G$5001,A2101))</f>
        <v/>
      </c>
      <c r="J2101" s="26" t="str">
        <f aca="false">IF(A2101="","",COUNTIFS(Apparitions!$G$2:$G$5001,A2101,Apparitions!$E$2:$E$5001,"○"))</f>
        <v/>
      </c>
      <c r="K2101" s="29" t="str">
        <f aca="false">IF(A2101="","",IFERROR(1/(1/_xlfn.MINIFS(Apparitions!$L$2:$L$5001,Apparitions!$G$2:$G$5001,A2101)),""))</f>
        <v/>
      </c>
      <c r="L2101" s="27" t="str">
        <f aca="false">IF(A2101="","",A2101&amp;" | "&amp;B2101&amp;IF(C2101="",""," ("&amp;C2101&amp;")")&amp;IF(D2101="",""," - "&amp;D2101))</f>
        <v/>
      </c>
    </row>
    <row r="2102" customFormat="false" ht="15" hidden="false" customHeight="false" outlineLevel="0" collapsed="false">
      <c r="A2102" s="32"/>
      <c r="B2102" s="19"/>
      <c r="C2102" s="19"/>
      <c r="D2102" s="19"/>
      <c r="E2102" s="21"/>
      <c r="F2102" s="19"/>
      <c r="G2102" s="27" t="str">
        <f aca="false">IF(B2102="","",IFERROR(INDEX(Jeux!$C$2:$C$3001,MATCH(B2102,Jeux!$A$2:$A$3001,0))&amp;"","⚠ jeu inconnu"))</f>
        <v/>
      </c>
      <c r="H2102" s="27" t="str">
        <f aca="false">IF(B2102="","",IFERROR(INDEX(Jeux!$D$2:$D$3001,MATCH(B2102,Jeux!$A$2:$A$3001,0))&amp;"",""))</f>
        <v/>
      </c>
      <c r="I2102" s="26" t="str">
        <f aca="false">IF(A2102="","",COUNTIF(Apparitions!$G$2:$G$5001,A2102))</f>
        <v/>
      </c>
      <c r="J2102" s="26" t="str">
        <f aca="false">IF(A2102="","",COUNTIFS(Apparitions!$G$2:$G$5001,A2102,Apparitions!$E$2:$E$5001,"○"))</f>
        <v/>
      </c>
      <c r="K2102" s="29" t="str">
        <f aca="false">IF(A2102="","",IFERROR(1/(1/_xlfn.MINIFS(Apparitions!$L$2:$L$5001,Apparitions!$G$2:$G$5001,A2102)),""))</f>
        <v/>
      </c>
      <c r="L2102" s="27" t="str">
        <f aca="false">IF(A2102="","",A2102&amp;" | "&amp;B2102&amp;IF(C2102="",""," ("&amp;C2102&amp;")")&amp;IF(D2102="",""," - "&amp;D2102))</f>
        <v/>
      </c>
    </row>
    <row r="2103" customFormat="false" ht="15" hidden="false" customHeight="false" outlineLevel="0" collapsed="false">
      <c r="A2103" s="32"/>
      <c r="B2103" s="19"/>
      <c r="C2103" s="19"/>
      <c r="D2103" s="19"/>
      <c r="E2103" s="21"/>
      <c r="F2103" s="19"/>
      <c r="G2103" s="27" t="str">
        <f aca="false">IF(B2103="","",IFERROR(INDEX(Jeux!$C$2:$C$3001,MATCH(B2103,Jeux!$A$2:$A$3001,0))&amp;"","⚠ jeu inconnu"))</f>
        <v/>
      </c>
      <c r="H2103" s="27" t="str">
        <f aca="false">IF(B2103="","",IFERROR(INDEX(Jeux!$D$2:$D$3001,MATCH(B2103,Jeux!$A$2:$A$3001,0))&amp;"",""))</f>
        <v/>
      </c>
      <c r="I2103" s="26" t="str">
        <f aca="false">IF(A2103="","",COUNTIF(Apparitions!$G$2:$G$5001,A2103))</f>
        <v/>
      </c>
      <c r="J2103" s="26" t="str">
        <f aca="false">IF(A2103="","",COUNTIFS(Apparitions!$G$2:$G$5001,A2103,Apparitions!$E$2:$E$5001,"○"))</f>
        <v/>
      </c>
      <c r="K2103" s="29" t="str">
        <f aca="false">IF(A2103="","",IFERROR(1/(1/_xlfn.MINIFS(Apparitions!$L$2:$L$5001,Apparitions!$G$2:$G$5001,A2103)),""))</f>
        <v/>
      </c>
      <c r="L2103" s="27" t="str">
        <f aca="false">IF(A2103="","",A2103&amp;" | "&amp;B2103&amp;IF(C2103="",""," ("&amp;C2103&amp;")")&amp;IF(D2103="",""," - "&amp;D2103))</f>
        <v/>
      </c>
    </row>
    <row r="2104" customFormat="false" ht="15" hidden="false" customHeight="false" outlineLevel="0" collapsed="false">
      <c r="A2104" s="32"/>
      <c r="B2104" s="19"/>
      <c r="C2104" s="19"/>
      <c r="D2104" s="19"/>
      <c r="E2104" s="21"/>
      <c r="F2104" s="19"/>
      <c r="G2104" s="27" t="str">
        <f aca="false">IF(B2104="","",IFERROR(INDEX(Jeux!$C$2:$C$3001,MATCH(B2104,Jeux!$A$2:$A$3001,0))&amp;"","⚠ jeu inconnu"))</f>
        <v/>
      </c>
      <c r="H2104" s="27" t="str">
        <f aca="false">IF(B2104="","",IFERROR(INDEX(Jeux!$D$2:$D$3001,MATCH(B2104,Jeux!$A$2:$A$3001,0))&amp;"",""))</f>
        <v/>
      </c>
      <c r="I2104" s="26" t="str">
        <f aca="false">IF(A2104="","",COUNTIF(Apparitions!$G$2:$G$5001,A2104))</f>
        <v/>
      </c>
      <c r="J2104" s="26" t="str">
        <f aca="false">IF(A2104="","",COUNTIFS(Apparitions!$G$2:$G$5001,A2104,Apparitions!$E$2:$E$5001,"○"))</f>
        <v/>
      </c>
      <c r="K2104" s="29" t="str">
        <f aca="false">IF(A2104="","",IFERROR(1/(1/_xlfn.MINIFS(Apparitions!$L$2:$L$5001,Apparitions!$G$2:$G$5001,A2104)),""))</f>
        <v/>
      </c>
      <c r="L2104" s="27" t="str">
        <f aca="false">IF(A2104="","",A2104&amp;" | "&amp;B2104&amp;IF(C2104="",""," ("&amp;C2104&amp;")")&amp;IF(D2104="",""," - "&amp;D2104))</f>
        <v/>
      </c>
    </row>
    <row r="2105" customFormat="false" ht="15" hidden="false" customHeight="false" outlineLevel="0" collapsed="false">
      <c r="A2105" s="32"/>
      <c r="B2105" s="19"/>
      <c r="C2105" s="19"/>
      <c r="D2105" s="19"/>
      <c r="E2105" s="21"/>
      <c r="F2105" s="19"/>
      <c r="G2105" s="27" t="str">
        <f aca="false">IF(B2105="","",IFERROR(INDEX(Jeux!$C$2:$C$3001,MATCH(B2105,Jeux!$A$2:$A$3001,0))&amp;"","⚠ jeu inconnu"))</f>
        <v/>
      </c>
      <c r="H2105" s="27" t="str">
        <f aca="false">IF(B2105="","",IFERROR(INDEX(Jeux!$D$2:$D$3001,MATCH(B2105,Jeux!$A$2:$A$3001,0))&amp;"",""))</f>
        <v/>
      </c>
      <c r="I2105" s="26" t="str">
        <f aca="false">IF(A2105="","",COUNTIF(Apparitions!$G$2:$G$5001,A2105))</f>
        <v/>
      </c>
      <c r="J2105" s="26" t="str">
        <f aca="false">IF(A2105="","",COUNTIFS(Apparitions!$G$2:$G$5001,A2105,Apparitions!$E$2:$E$5001,"○"))</f>
        <v/>
      </c>
      <c r="K2105" s="29" t="str">
        <f aca="false">IF(A2105="","",IFERROR(1/(1/_xlfn.MINIFS(Apparitions!$L$2:$L$5001,Apparitions!$G$2:$G$5001,A2105)),""))</f>
        <v/>
      </c>
      <c r="L2105" s="27" t="str">
        <f aca="false">IF(A2105="","",A2105&amp;" | "&amp;B2105&amp;IF(C2105="",""," ("&amp;C2105&amp;")")&amp;IF(D2105="",""," - "&amp;D2105))</f>
        <v/>
      </c>
    </row>
    <row r="2106" customFormat="false" ht="15" hidden="false" customHeight="false" outlineLevel="0" collapsed="false">
      <c r="A2106" s="32"/>
      <c r="B2106" s="19"/>
      <c r="C2106" s="19"/>
      <c r="D2106" s="19"/>
      <c r="E2106" s="21"/>
      <c r="F2106" s="19"/>
      <c r="G2106" s="27" t="str">
        <f aca="false">IF(B2106="","",IFERROR(INDEX(Jeux!$C$2:$C$3001,MATCH(B2106,Jeux!$A$2:$A$3001,0))&amp;"","⚠ jeu inconnu"))</f>
        <v/>
      </c>
      <c r="H2106" s="27" t="str">
        <f aca="false">IF(B2106="","",IFERROR(INDEX(Jeux!$D$2:$D$3001,MATCH(B2106,Jeux!$A$2:$A$3001,0))&amp;"",""))</f>
        <v/>
      </c>
      <c r="I2106" s="26" t="str">
        <f aca="false">IF(A2106="","",COUNTIF(Apparitions!$G$2:$G$5001,A2106))</f>
        <v/>
      </c>
      <c r="J2106" s="26" t="str">
        <f aca="false">IF(A2106="","",COUNTIFS(Apparitions!$G$2:$G$5001,A2106,Apparitions!$E$2:$E$5001,"○"))</f>
        <v/>
      </c>
      <c r="K2106" s="29" t="str">
        <f aca="false">IF(A2106="","",IFERROR(1/(1/_xlfn.MINIFS(Apparitions!$L$2:$L$5001,Apparitions!$G$2:$G$5001,A2106)),""))</f>
        <v/>
      </c>
      <c r="L2106" s="27" t="str">
        <f aca="false">IF(A2106="","",A2106&amp;" | "&amp;B2106&amp;IF(C2106="",""," ("&amp;C2106&amp;")")&amp;IF(D2106="",""," - "&amp;D2106))</f>
        <v/>
      </c>
    </row>
    <row r="2107" customFormat="false" ht="15" hidden="false" customHeight="false" outlineLevel="0" collapsed="false">
      <c r="A2107" s="32"/>
      <c r="B2107" s="19"/>
      <c r="C2107" s="19"/>
      <c r="D2107" s="19"/>
      <c r="E2107" s="21"/>
      <c r="F2107" s="19"/>
      <c r="G2107" s="27" t="str">
        <f aca="false">IF(B2107="","",IFERROR(INDEX(Jeux!$C$2:$C$3001,MATCH(B2107,Jeux!$A$2:$A$3001,0))&amp;"","⚠ jeu inconnu"))</f>
        <v/>
      </c>
      <c r="H2107" s="27" t="str">
        <f aca="false">IF(B2107="","",IFERROR(INDEX(Jeux!$D$2:$D$3001,MATCH(B2107,Jeux!$A$2:$A$3001,0))&amp;"",""))</f>
        <v/>
      </c>
      <c r="I2107" s="26" t="str">
        <f aca="false">IF(A2107="","",COUNTIF(Apparitions!$G$2:$G$5001,A2107))</f>
        <v/>
      </c>
      <c r="J2107" s="26" t="str">
        <f aca="false">IF(A2107="","",COUNTIFS(Apparitions!$G$2:$G$5001,A2107,Apparitions!$E$2:$E$5001,"○"))</f>
        <v/>
      </c>
      <c r="K2107" s="29" t="str">
        <f aca="false">IF(A2107="","",IFERROR(1/(1/_xlfn.MINIFS(Apparitions!$L$2:$L$5001,Apparitions!$G$2:$G$5001,A2107)),""))</f>
        <v/>
      </c>
      <c r="L2107" s="27" t="str">
        <f aca="false">IF(A2107="","",A2107&amp;" | "&amp;B2107&amp;IF(C2107="",""," ("&amp;C2107&amp;")")&amp;IF(D2107="",""," - "&amp;D2107))</f>
        <v/>
      </c>
    </row>
    <row r="2108" customFormat="false" ht="15" hidden="false" customHeight="false" outlineLevel="0" collapsed="false">
      <c r="A2108" s="32"/>
      <c r="B2108" s="19"/>
      <c r="C2108" s="19"/>
      <c r="D2108" s="19"/>
      <c r="E2108" s="21"/>
      <c r="F2108" s="19"/>
      <c r="G2108" s="27" t="str">
        <f aca="false">IF(B2108="","",IFERROR(INDEX(Jeux!$C$2:$C$3001,MATCH(B2108,Jeux!$A$2:$A$3001,0))&amp;"","⚠ jeu inconnu"))</f>
        <v/>
      </c>
      <c r="H2108" s="27" t="str">
        <f aca="false">IF(B2108="","",IFERROR(INDEX(Jeux!$D$2:$D$3001,MATCH(B2108,Jeux!$A$2:$A$3001,0))&amp;"",""))</f>
        <v/>
      </c>
      <c r="I2108" s="26" t="str">
        <f aca="false">IF(A2108="","",COUNTIF(Apparitions!$G$2:$G$5001,A2108))</f>
        <v/>
      </c>
      <c r="J2108" s="26" t="str">
        <f aca="false">IF(A2108="","",COUNTIFS(Apparitions!$G$2:$G$5001,A2108,Apparitions!$E$2:$E$5001,"○"))</f>
        <v/>
      </c>
      <c r="K2108" s="29" t="str">
        <f aca="false">IF(A2108="","",IFERROR(1/(1/_xlfn.MINIFS(Apparitions!$L$2:$L$5001,Apparitions!$G$2:$G$5001,A2108)),""))</f>
        <v/>
      </c>
      <c r="L2108" s="27" t="str">
        <f aca="false">IF(A2108="","",A2108&amp;" | "&amp;B2108&amp;IF(C2108="",""," ("&amp;C2108&amp;")")&amp;IF(D2108="",""," - "&amp;D2108))</f>
        <v/>
      </c>
    </row>
    <row r="2109" customFormat="false" ht="15" hidden="false" customHeight="false" outlineLevel="0" collapsed="false">
      <c r="A2109" s="32"/>
      <c r="B2109" s="19"/>
      <c r="C2109" s="19"/>
      <c r="D2109" s="19"/>
      <c r="E2109" s="21"/>
      <c r="F2109" s="19"/>
      <c r="G2109" s="27" t="str">
        <f aca="false">IF(B2109="","",IFERROR(INDEX(Jeux!$C$2:$C$3001,MATCH(B2109,Jeux!$A$2:$A$3001,0))&amp;"","⚠ jeu inconnu"))</f>
        <v/>
      </c>
      <c r="H2109" s="27" t="str">
        <f aca="false">IF(B2109="","",IFERROR(INDEX(Jeux!$D$2:$D$3001,MATCH(B2109,Jeux!$A$2:$A$3001,0))&amp;"",""))</f>
        <v/>
      </c>
      <c r="I2109" s="26" t="str">
        <f aca="false">IF(A2109="","",COUNTIF(Apparitions!$G$2:$G$5001,A2109))</f>
        <v/>
      </c>
      <c r="J2109" s="26" t="str">
        <f aca="false">IF(A2109="","",COUNTIFS(Apparitions!$G$2:$G$5001,A2109,Apparitions!$E$2:$E$5001,"○"))</f>
        <v/>
      </c>
      <c r="K2109" s="29" t="str">
        <f aca="false">IF(A2109="","",IFERROR(1/(1/_xlfn.MINIFS(Apparitions!$L$2:$L$5001,Apparitions!$G$2:$G$5001,A2109)),""))</f>
        <v/>
      </c>
      <c r="L2109" s="27" t="str">
        <f aca="false">IF(A2109="","",A2109&amp;" | "&amp;B2109&amp;IF(C2109="",""," ("&amp;C2109&amp;")")&amp;IF(D2109="",""," - "&amp;D2109))</f>
        <v/>
      </c>
    </row>
    <row r="2110" customFormat="false" ht="15" hidden="false" customHeight="false" outlineLevel="0" collapsed="false">
      <c r="A2110" s="32"/>
      <c r="B2110" s="19"/>
      <c r="C2110" s="19"/>
      <c r="D2110" s="19"/>
      <c r="E2110" s="21"/>
      <c r="F2110" s="19"/>
      <c r="G2110" s="27" t="str">
        <f aca="false">IF(B2110="","",IFERROR(INDEX(Jeux!$C$2:$C$3001,MATCH(B2110,Jeux!$A$2:$A$3001,0))&amp;"","⚠ jeu inconnu"))</f>
        <v/>
      </c>
      <c r="H2110" s="27" t="str">
        <f aca="false">IF(B2110="","",IFERROR(INDEX(Jeux!$D$2:$D$3001,MATCH(B2110,Jeux!$A$2:$A$3001,0))&amp;"",""))</f>
        <v/>
      </c>
      <c r="I2110" s="26" t="str">
        <f aca="false">IF(A2110="","",COUNTIF(Apparitions!$G$2:$G$5001,A2110))</f>
        <v/>
      </c>
      <c r="J2110" s="26" t="str">
        <f aca="false">IF(A2110="","",COUNTIFS(Apparitions!$G$2:$G$5001,A2110,Apparitions!$E$2:$E$5001,"○"))</f>
        <v/>
      </c>
      <c r="K2110" s="29" t="str">
        <f aca="false">IF(A2110="","",IFERROR(1/(1/_xlfn.MINIFS(Apparitions!$L$2:$L$5001,Apparitions!$G$2:$G$5001,A2110)),""))</f>
        <v/>
      </c>
      <c r="L2110" s="27" t="str">
        <f aca="false">IF(A2110="","",A2110&amp;" | "&amp;B2110&amp;IF(C2110="",""," ("&amp;C2110&amp;")")&amp;IF(D2110="",""," - "&amp;D2110))</f>
        <v/>
      </c>
    </row>
    <row r="2111" customFormat="false" ht="15" hidden="false" customHeight="false" outlineLevel="0" collapsed="false">
      <c r="A2111" s="32"/>
      <c r="B2111" s="19"/>
      <c r="C2111" s="19"/>
      <c r="D2111" s="19"/>
      <c r="E2111" s="21"/>
      <c r="F2111" s="19"/>
      <c r="G2111" s="27" t="str">
        <f aca="false">IF(B2111="","",IFERROR(INDEX(Jeux!$C$2:$C$3001,MATCH(B2111,Jeux!$A$2:$A$3001,0))&amp;"","⚠ jeu inconnu"))</f>
        <v/>
      </c>
      <c r="H2111" s="27" t="str">
        <f aca="false">IF(B2111="","",IFERROR(INDEX(Jeux!$D$2:$D$3001,MATCH(B2111,Jeux!$A$2:$A$3001,0))&amp;"",""))</f>
        <v/>
      </c>
      <c r="I2111" s="26" t="str">
        <f aca="false">IF(A2111="","",COUNTIF(Apparitions!$G$2:$G$5001,A2111))</f>
        <v/>
      </c>
      <c r="J2111" s="26" t="str">
        <f aca="false">IF(A2111="","",COUNTIFS(Apparitions!$G$2:$G$5001,A2111,Apparitions!$E$2:$E$5001,"○"))</f>
        <v/>
      </c>
      <c r="K2111" s="29" t="str">
        <f aca="false">IF(A2111="","",IFERROR(1/(1/_xlfn.MINIFS(Apparitions!$L$2:$L$5001,Apparitions!$G$2:$G$5001,A2111)),""))</f>
        <v/>
      </c>
      <c r="L2111" s="27" t="str">
        <f aca="false">IF(A2111="","",A2111&amp;" | "&amp;B2111&amp;IF(C2111="",""," ("&amp;C2111&amp;")")&amp;IF(D2111="",""," - "&amp;D2111))</f>
        <v/>
      </c>
    </row>
    <row r="2112" customFormat="false" ht="15" hidden="false" customHeight="false" outlineLevel="0" collapsed="false">
      <c r="A2112" s="32"/>
      <c r="B2112" s="19"/>
      <c r="C2112" s="19"/>
      <c r="D2112" s="19"/>
      <c r="E2112" s="21"/>
      <c r="F2112" s="19"/>
      <c r="G2112" s="27" t="str">
        <f aca="false">IF(B2112="","",IFERROR(INDEX(Jeux!$C$2:$C$3001,MATCH(B2112,Jeux!$A$2:$A$3001,0))&amp;"","⚠ jeu inconnu"))</f>
        <v/>
      </c>
      <c r="H2112" s="27" t="str">
        <f aca="false">IF(B2112="","",IFERROR(INDEX(Jeux!$D$2:$D$3001,MATCH(B2112,Jeux!$A$2:$A$3001,0))&amp;"",""))</f>
        <v/>
      </c>
      <c r="I2112" s="26" t="str">
        <f aca="false">IF(A2112="","",COUNTIF(Apparitions!$G$2:$G$5001,A2112))</f>
        <v/>
      </c>
      <c r="J2112" s="26" t="str">
        <f aca="false">IF(A2112="","",COUNTIFS(Apparitions!$G$2:$G$5001,A2112,Apparitions!$E$2:$E$5001,"○"))</f>
        <v/>
      </c>
      <c r="K2112" s="29" t="str">
        <f aca="false">IF(A2112="","",IFERROR(1/(1/_xlfn.MINIFS(Apparitions!$L$2:$L$5001,Apparitions!$G$2:$G$5001,A2112)),""))</f>
        <v/>
      </c>
      <c r="L2112" s="27" t="str">
        <f aca="false">IF(A2112="","",A2112&amp;" | "&amp;B2112&amp;IF(C2112="",""," ("&amp;C2112&amp;")")&amp;IF(D2112="",""," - "&amp;D2112))</f>
        <v/>
      </c>
    </row>
    <row r="2113" customFormat="false" ht="15" hidden="false" customHeight="false" outlineLevel="0" collapsed="false">
      <c r="A2113" s="32"/>
      <c r="B2113" s="19"/>
      <c r="C2113" s="19"/>
      <c r="D2113" s="19"/>
      <c r="E2113" s="21"/>
      <c r="F2113" s="19"/>
      <c r="G2113" s="27" t="str">
        <f aca="false">IF(B2113="","",IFERROR(INDEX(Jeux!$C$2:$C$3001,MATCH(B2113,Jeux!$A$2:$A$3001,0))&amp;"","⚠ jeu inconnu"))</f>
        <v/>
      </c>
      <c r="H2113" s="27" t="str">
        <f aca="false">IF(B2113="","",IFERROR(INDEX(Jeux!$D$2:$D$3001,MATCH(B2113,Jeux!$A$2:$A$3001,0))&amp;"",""))</f>
        <v/>
      </c>
      <c r="I2113" s="26" t="str">
        <f aca="false">IF(A2113="","",COUNTIF(Apparitions!$G$2:$G$5001,A2113))</f>
        <v/>
      </c>
      <c r="J2113" s="26" t="str">
        <f aca="false">IF(A2113="","",COUNTIFS(Apparitions!$G$2:$G$5001,A2113,Apparitions!$E$2:$E$5001,"○"))</f>
        <v/>
      </c>
      <c r="K2113" s="29" t="str">
        <f aca="false">IF(A2113="","",IFERROR(1/(1/_xlfn.MINIFS(Apparitions!$L$2:$L$5001,Apparitions!$G$2:$G$5001,A2113)),""))</f>
        <v/>
      </c>
      <c r="L2113" s="27" t="str">
        <f aca="false">IF(A2113="","",A2113&amp;" | "&amp;B2113&amp;IF(C2113="",""," ("&amp;C2113&amp;")")&amp;IF(D2113="",""," - "&amp;D2113))</f>
        <v/>
      </c>
    </row>
    <row r="2114" customFormat="false" ht="15" hidden="false" customHeight="false" outlineLevel="0" collapsed="false">
      <c r="A2114" s="32"/>
      <c r="B2114" s="19"/>
      <c r="C2114" s="19"/>
      <c r="D2114" s="19"/>
      <c r="E2114" s="21"/>
      <c r="F2114" s="19"/>
      <c r="G2114" s="27" t="str">
        <f aca="false">IF(B2114="","",IFERROR(INDEX(Jeux!$C$2:$C$3001,MATCH(B2114,Jeux!$A$2:$A$3001,0))&amp;"","⚠ jeu inconnu"))</f>
        <v/>
      </c>
      <c r="H2114" s="27" t="str">
        <f aca="false">IF(B2114="","",IFERROR(INDEX(Jeux!$D$2:$D$3001,MATCH(B2114,Jeux!$A$2:$A$3001,0))&amp;"",""))</f>
        <v/>
      </c>
      <c r="I2114" s="26" t="str">
        <f aca="false">IF(A2114="","",COUNTIF(Apparitions!$G$2:$G$5001,A2114))</f>
        <v/>
      </c>
      <c r="J2114" s="26" t="str">
        <f aca="false">IF(A2114="","",COUNTIFS(Apparitions!$G$2:$G$5001,A2114,Apparitions!$E$2:$E$5001,"○"))</f>
        <v/>
      </c>
      <c r="K2114" s="29" t="str">
        <f aca="false">IF(A2114="","",IFERROR(1/(1/_xlfn.MINIFS(Apparitions!$L$2:$L$5001,Apparitions!$G$2:$G$5001,A2114)),""))</f>
        <v/>
      </c>
      <c r="L2114" s="27" t="str">
        <f aca="false">IF(A2114="","",A2114&amp;" | "&amp;B2114&amp;IF(C2114="",""," ("&amp;C2114&amp;")")&amp;IF(D2114="",""," - "&amp;D2114))</f>
        <v/>
      </c>
    </row>
    <row r="2115" customFormat="false" ht="15" hidden="false" customHeight="false" outlineLevel="0" collapsed="false">
      <c r="A2115" s="32"/>
      <c r="B2115" s="19"/>
      <c r="C2115" s="19"/>
      <c r="D2115" s="19"/>
      <c r="E2115" s="21"/>
      <c r="F2115" s="19"/>
      <c r="G2115" s="27" t="str">
        <f aca="false">IF(B2115="","",IFERROR(INDEX(Jeux!$C$2:$C$3001,MATCH(B2115,Jeux!$A$2:$A$3001,0))&amp;"","⚠ jeu inconnu"))</f>
        <v/>
      </c>
      <c r="H2115" s="27" t="str">
        <f aca="false">IF(B2115="","",IFERROR(INDEX(Jeux!$D$2:$D$3001,MATCH(B2115,Jeux!$A$2:$A$3001,0))&amp;"",""))</f>
        <v/>
      </c>
      <c r="I2115" s="26" t="str">
        <f aca="false">IF(A2115="","",COUNTIF(Apparitions!$G$2:$G$5001,A2115))</f>
        <v/>
      </c>
      <c r="J2115" s="26" t="str">
        <f aca="false">IF(A2115="","",COUNTIFS(Apparitions!$G$2:$G$5001,A2115,Apparitions!$E$2:$E$5001,"○"))</f>
        <v/>
      </c>
      <c r="K2115" s="29" t="str">
        <f aca="false">IF(A2115="","",IFERROR(1/(1/_xlfn.MINIFS(Apparitions!$L$2:$L$5001,Apparitions!$G$2:$G$5001,A2115)),""))</f>
        <v/>
      </c>
      <c r="L2115" s="27" t="str">
        <f aca="false">IF(A2115="","",A2115&amp;" | "&amp;B2115&amp;IF(C2115="",""," ("&amp;C2115&amp;")")&amp;IF(D2115="",""," - "&amp;D2115))</f>
        <v/>
      </c>
    </row>
    <row r="2116" customFormat="false" ht="15" hidden="false" customHeight="false" outlineLevel="0" collapsed="false">
      <c r="A2116" s="32"/>
      <c r="B2116" s="19"/>
      <c r="C2116" s="19"/>
      <c r="D2116" s="19"/>
      <c r="E2116" s="21"/>
      <c r="F2116" s="19"/>
      <c r="G2116" s="27" t="str">
        <f aca="false">IF(B2116="","",IFERROR(INDEX(Jeux!$C$2:$C$3001,MATCH(B2116,Jeux!$A$2:$A$3001,0))&amp;"","⚠ jeu inconnu"))</f>
        <v/>
      </c>
      <c r="H2116" s="27" t="str">
        <f aca="false">IF(B2116="","",IFERROR(INDEX(Jeux!$D$2:$D$3001,MATCH(B2116,Jeux!$A$2:$A$3001,0))&amp;"",""))</f>
        <v/>
      </c>
      <c r="I2116" s="26" t="str">
        <f aca="false">IF(A2116="","",COUNTIF(Apparitions!$G$2:$G$5001,A2116))</f>
        <v/>
      </c>
      <c r="J2116" s="26" t="str">
        <f aca="false">IF(A2116="","",COUNTIFS(Apparitions!$G$2:$G$5001,A2116,Apparitions!$E$2:$E$5001,"○"))</f>
        <v/>
      </c>
      <c r="K2116" s="29" t="str">
        <f aca="false">IF(A2116="","",IFERROR(1/(1/_xlfn.MINIFS(Apparitions!$L$2:$L$5001,Apparitions!$G$2:$G$5001,A2116)),""))</f>
        <v/>
      </c>
      <c r="L2116" s="27" t="str">
        <f aca="false">IF(A2116="","",A2116&amp;" | "&amp;B2116&amp;IF(C2116="",""," ("&amp;C2116&amp;")")&amp;IF(D2116="",""," - "&amp;D2116))</f>
        <v/>
      </c>
    </row>
    <row r="2117" customFormat="false" ht="15" hidden="false" customHeight="false" outlineLevel="0" collapsed="false">
      <c r="A2117" s="32"/>
      <c r="B2117" s="19"/>
      <c r="C2117" s="19"/>
      <c r="D2117" s="19"/>
      <c r="E2117" s="21"/>
      <c r="F2117" s="19"/>
      <c r="G2117" s="27" t="str">
        <f aca="false">IF(B2117="","",IFERROR(INDEX(Jeux!$C$2:$C$3001,MATCH(B2117,Jeux!$A$2:$A$3001,0))&amp;"","⚠ jeu inconnu"))</f>
        <v/>
      </c>
      <c r="H2117" s="27" t="str">
        <f aca="false">IF(B2117="","",IFERROR(INDEX(Jeux!$D$2:$D$3001,MATCH(B2117,Jeux!$A$2:$A$3001,0))&amp;"",""))</f>
        <v/>
      </c>
      <c r="I2117" s="26" t="str">
        <f aca="false">IF(A2117="","",COUNTIF(Apparitions!$G$2:$G$5001,A2117))</f>
        <v/>
      </c>
      <c r="J2117" s="26" t="str">
        <f aca="false">IF(A2117="","",COUNTIFS(Apparitions!$G$2:$G$5001,A2117,Apparitions!$E$2:$E$5001,"○"))</f>
        <v/>
      </c>
      <c r="K2117" s="29" t="str">
        <f aca="false">IF(A2117="","",IFERROR(1/(1/_xlfn.MINIFS(Apparitions!$L$2:$L$5001,Apparitions!$G$2:$G$5001,A2117)),""))</f>
        <v/>
      </c>
      <c r="L2117" s="27" t="str">
        <f aca="false">IF(A2117="","",A2117&amp;" | "&amp;B2117&amp;IF(C2117="",""," ("&amp;C2117&amp;")")&amp;IF(D2117="",""," - "&amp;D2117))</f>
        <v/>
      </c>
    </row>
    <row r="2118" customFormat="false" ht="15" hidden="false" customHeight="false" outlineLevel="0" collapsed="false">
      <c r="A2118" s="32"/>
      <c r="B2118" s="19"/>
      <c r="C2118" s="19"/>
      <c r="D2118" s="19"/>
      <c r="E2118" s="21"/>
      <c r="F2118" s="19"/>
      <c r="G2118" s="27" t="str">
        <f aca="false">IF(B2118="","",IFERROR(INDEX(Jeux!$C$2:$C$3001,MATCH(B2118,Jeux!$A$2:$A$3001,0))&amp;"","⚠ jeu inconnu"))</f>
        <v/>
      </c>
      <c r="H2118" s="27" t="str">
        <f aca="false">IF(B2118="","",IFERROR(INDEX(Jeux!$D$2:$D$3001,MATCH(B2118,Jeux!$A$2:$A$3001,0))&amp;"",""))</f>
        <v/>
      </c>
      <c r="I2118" s="26" t="str">
        <f aca="false">IF(A2118="","",COUNTIF(Apparitions!$G$2:$G$5001,A2118))</f>
        <v/>
      </c>
      <c r="J2118" s="26" t="str">
        <f aca="false">IF(A2118="","",COUNTIFS(Apparitions!$G$2:$G$5001,A2118,Apparitions!$E$2:$E$5001,"○"))</f>
        <v/>
      </c>
      <c r="K2118" s="29" t="str">
        <f aca="false">IF(A2118="","",IFERROR(1/(1/_xlfn.MINIFS(Apparitions!$L$2:$L$5001,Apparitions!$G$2:$G$5001,A2118)),""))</f>
        <v/>
      </c>
      <c r="L2118" s="27" t="str">
        <f aca="false">IF(A2118="","",A2118&amp;" | "&amp;B2118&amp;IF(C2118="",""," ("&amp;C2118&amp;")")&amp;IF(D2118="",""," - "&amp;D2118))</f>
        <v/>
      </c>
    </row>
    <row r="2119" customFormat="false" ht="15" hidden="false" customHeight="false" outlineLevel="0" collapsed="false">
      <c r="A2119" s="32"/>
      <c r="B2119" s="19"/>
      <c r="C2119" s="19"/>
      <c r="D2119" s="19"/>
      <c r="E2119" s="21"/>
      <c r="F2119" s="19"/>
      <c r="G2119" s="27" t="str">
        <f aca="false">IF(B2119="","",IFERROR(INDEX(Jeux!$C$2:$C$3001,MATCH(B2119,Jeux!$A$2:$A$3001,0))&amp;"","⚠ jeu inconnu"))</f>
        <v/>
      </c>
      <c r="H2119" s="27" t="str">
        <f aca="false">IF(B2119="","",IFERROR(INDEX(Jeux!$D$2:$D$3001,MATCH(B2119,Jeux!$A$2:$A$3001,0))&amp;"",""))</f>
        <v/>
      </c>
      <c r="I2119" s="26" t="str">
        <f aca="false">IF(A2119="","",COUNTIF(Apparitions!$G$2:$G$5001,A2119))</f>
        <v/>
      </c>
      <c r="J2119" s="26" t="str">
        <f aca="false">IF(A2119="","",COUNTIFS(Apparitions!$G$2:$G$5001,A2119,Apparitions!$E$2:$E$5001,"○"))</f>
        <v/>
      </c>
      <c r="K2119" s="29" t="str">
        <f aca="false">IF(A2119="","",IFERROR(1/(1/_xlfn.MINIFS(Apparitions!$L$2:$L$5001,Apparitions!$G$2:$G$5001,A2119)),""))</f>
        <v/>
      </c>
      <c r="L2119" s="27" t="str">
        <f aca="false">IF(A2119="","",A2119&amp;" | "&amp;B2119&amp;IF(C2119="",""," ("&amp;C2119&amp;")")&amp;IF(D2119="",""," - "&amp;D2119))</f>
        <v/>
      </c>
    </row>
    <row r="2120" customFormat="false" ht="15" hidden="false" customHeight="false" outlineLevel="0" collapsed="false">
      <c r="A2120" s="32"/>
      <c r="B2120" s="19"/>
      <c r="C2120" s="19"/>
      <c r="D2120" s="19"/>
      <c r="E2120" s="21"/>
      <c r="F2120" s="19"/>
      <c r="G2120" s="27" t="str">
        <f aca="false">IF(B2120="","",IFERROR(INDEX(Jeux!$C$2:$C$3001,MATCH(B2120,Jeux!$A$2:$A$3001,0))&amp;"","⚠ jeu inconnu"))</f>
        <v/>
      </c>
      <c r="H2120" s="27" t="str">
        <f aca="false">IF(B2120="","",IFERROR(INDEX(Jeux!$D$2:$D$3001,MATCH(B2120,Jeux!$A$2:$A$3001,0))&amp;"",""))</f>
        <v/>
      </c>
      <c r="I2120" s="26" t="str">
        <f aca="false">IF(A2120="","",COUNTIF(Apparitions!$G$2:$G$5001,A2120))</f>
        <v/>
      </c>
      <c r="J2120" s="26" t="str">
        <f aca="false">IF(A2120="","",COUNTIFS(Apparitions!$G$2:$G$5001,A2120,Apparitions!$E$2:$E$5001,"○"))</f>
        <v/>
      </c>
      <c r="K2120" s="29" t="str">
        <f aca="false">IF(A2120="","",IFERROR(1/(1/_xlfn.MINIFS(Apparitions!$L$2:$L$5001,Apparitions!$G$2:$G$5001,A2120)),""))</f>
        <v/>
      </c>
      <c r="L2120" s="27" t="str">
        <f aca="false">IF(A2120="","",A2120&amp;" | "&amp;B2120&amp;IF(C2120="",""," ("&amp;C2120&amp;")")&amp;IF(D2120="",""," - "&amp;D2120))</f>
        <v/>
      </c>
    </row>
    <row r="2121" customFormat="false" ht="15" hidden="false" customHeight="false" outlineLevel="0" collapsed="false">
      <c r="A2121" s="32"/>
      <c r="B2121" s="19"/>
      <c r="C2121" s="19"/>
      <c r="D2121" s="19"/>
      <c r="E2121" s="21"/>
      <c r="F2121" s="19"/>
      <c r="G2121" s="27" t="str">
        <f aca="false">IF(B2121="","",IFERROR(INDEX(Jeux!$C$2:$C$3001,MATCH(B2121,Jeux!$A$2:$A$3001,0))&amp;"","⚠ jeu inconnu"))</f>
        <v/>
      </c>
      <c r="H2121" s="27" t="str">
        <f aca="false">IF(B2121="","",IFERROR(INDEX(Jeux!$D$2:$D$3001,MATCH(B2121,Jeux!$A$2:$A$3001,0))&amp;"",""))</f>
        <v/>
      </c>
      <c r="I2121" s="26" t="str">
        <f aca="false">IF(A2121="","",COUNTIF(Apparitions!$G$2:$G$5001,A2121))</f>
        <v/>
      </c>
      <c r="J2121" s="26" t="str">
        <f aca="false">IF(A2121="","",COUNTIFS(Apparitions!$G$2:$G$5001,A2121,Apparitions!$E$2:$E$5001,"○"))</f>
        <v/>
      </c>
      <c r="K2121" s="29" t="str">
        <f aca="false">IF(A2121="","",IFERROR(1/(1/_xlfn.MINIFS(Apparitions!$L$2:$L$5001,Apparitions!$G$2:$G$5001,A2121)),""))</f>
        <v/>
      </c>
      <c r="L2121" s="27" t="str">
        <f aca="false">IF(A2121="","",A2121&amp;" | "&amp;B2121&amp;IF(C2121="",""," ("&amp;C2121&amp;")")&amp;IF(D2121="",""," - "&amp;D2121))</f>
        <v/>
      </c>
    </row>
    <row r="2122" customFormat="false" ht="15" hidden="false" customHeight="false" outlineLevel="0" collapsed="false">
      <c r="A2122" s="32"/>
      <c r="B2122" s="19"/>
      <c r="C2122" s="19"/>
      <c r="D2122" s="19"/>
      <c r="E2122" s="21"/>
      <c r="F2122" s="19"/>
      <c r="G2122" s="27" t="str">
        <f aca="false">IF(B2122="","",IFERROR(INDEX(Jeux!$C$2:$C$3001,MATCH(B2122,Jeux!$A$2:$A$3001,0))&amp;"","⚠ jeu inconnu"))</f>
        <v/>
      </c>
      <c r="H2122" s="27" t="str">
        <f aca="false">IF(B2122="","",IFERROR(INDEX(Jeux!$D$2:$D$3001,MATCH(B2122,Jeux!$A$2:$A$3001,0))&amp;"",""))</f>
        <v/>
      </c>
      <c r="I2122" s="26" t="str">
        <f aca="false">IF(A2122="","",COUNTIF(Apparitions!$G$2:$G$5001,A2122))</f>
        <v/>
      </c>
      <c r="J2122" s="26" t="str">
        <f aca="false">IF(A2122="","",COUNTIFS(Apparitions!$G$2:$G$5001,A2122,Apparitions!$E$2:$E$5001,"○"))</f>
        <v/>
      </c>
      <c r="K2122" s="29" t="str">
        <f aca="false">IF(A2122="","",IFERROR(1/(1/_xlfn.MINIFS(Apparitions!$L$2:$L$5001,Apparitions!$G$2:$G$5001,A2122)),""))</f>
        <v/>
      </c>
      <c r="L2122" s="27" t="str">
        <f aca="false">IF(A2122="","",A2122&amp;" | "&amp;B2122&amp;IF(C2122="",""," ("&amp;C2122&amp;")")&amp;IF(D2122="",""," - "&amp;D2122))</f>
        <v/>
      </c>
    </row>
    <row r="2123" customFormat="false" ht="15" hidden="false" customHeight="false" outlineLevel="0" collapsed="false">
      <c r="A2123" s="32"/>
      <c r="B2123" s="19"/>
      <c r="C2123" s="19"/>
      <c r="D2123" s="19"/>
      <c r="E2123" s="21"/>
      <c r="F2123" s="19"/>
      <c r="G2123" s="27" t="str">
        <f aca="false">IF(B2123="","",IFERROR(INDEX(Jeux!$C$2:$C$3001,MATCH(B2123,Jeux!$A$2:$A$3001,0))&amp;"","⚠ jeu inconnu"))</f>
        <v/>
      </c>
      <c r="H2123" s="27" t="str">
        <f aca="false">IF(B2123="","",IFERROR(INDEX(Jeux!$D$2:$D$3001,MATCH(B2123,Jeux!$A$2:$A$3001,0))&amp;"",""))</f>
        <v/>
      </c>
      <c r="I2123" s="26" t="str">
        <f aca="false">IF(A2123="","",COUNTIF(Apparitions!$G$2:$G$5001,A2123))</f>
        <v/>
      </c>
      <c r="J2123" s="26" t="str">
        <f aca="false">IF(A2123="","",COUNTIFS(Apparitions!$G$2:$G$5001,A2123,Apparitions!$E$2:$E$5001,"○"))</f>
        <v/>
      </c>
      <c r="K2123" s="29" t="str">
        <f aca="false">IF(A2123="","",IFERROR(1/(1/_xlfn.MINIFS(Apparitions!$L$2:$L$5001,Apparitions!$G$2:$G$5001,A2123)),""))</f>
        <v/>
      </c>
      <c r="L2123" s="27" t="str">
        <f aca="false">IF(A2123="","",A2123&amp;" | "&amp;B2123&amp;IF(C2123="",""," ("&amp;C2123&amp;")")&amp;IF(D2123="",""," - "&amp;D2123))</f>
        <v/>
      </c>
    </row>
    <row r="2124" customFormat="false" ht="15" hidden="false" customHeight="false" outlineLevel="0" collapsed="false">
      <c r="A2124" s="32"/>
      <c r="B2124" s="19"/>
      <c r="C2124" s="19"/>
      <c r="D2124" s="19"/>
      <c r="E2124" s="21"/>
      <c r="F2124" s="19"/>
      <c r="G2124" s="27" t="str">
        <f aca="false">IF(B2124="","",IFERROR(INDEX(Jeux!$C$2:$C$3001,MATCH(B2124,Jeux!$A$2:$A$3001,0))&amp;"","⚠ jeu inconnu"))</f>
        <v/>
      </c>
      <c r="H2124" s="27" t="str">
        <f aca="false">IF(B2124="","",IFERROR(INDEX(Jeux!$D$2:$D$3001,MATCH(B2124,Jeux!$A$2:$A$3001,0))&amp;"",""))</f>
        <v/>
      </c>
      <c r="I2124" s="26" t="str">
        <f aca="false">IF(A2124="","",COUNTIF(Apparitions!$G$2:$G$5001,A2124))</f>
        <v/>
      </c>
      <c r="J2124" s="26" t="str">
        <f aca="false">IF(A2124="","",COUNTIFS(Apparitions!$G$2:$G$5001,A2124,Apparitions!$E$2:$E$5001,"○"))</f>
        <v/>
      </c>
      <c r="K2124" s="29" t="str">
        <f aca="false">IF(A2124="","",IFERROR(1/(1/_xlfn.MINIFS(Apparitions!$L$2:$L$5001,Apparitions!$G$2:$G$5001,A2124)),""))</f>
        <v/>
      </c>
      <c r="L2124" s="27" t="str">
        <f aca="false">IF(A2124="","",A2124&amp;" | "&amp;B2124&amp;IF(C2124="",""," ("&amp;C2124&amp;")")&amp;IF(D2124="",""," - "&amp;D2124))</f>
        <v/>
      </c>
    </row>
    <row r="2125" customFormat="false" ht="15" hidden="false" customHeight="false" outlineLevel="0" collapsed="false">
      <c r="A2125" s="32"/>
      <c r="B2125" s="19"/>
      <c r="C2125" s="19"/>
      <c r="D2125" s="19"/>
      <c r="E2125" s="21"/>
      <c r="F2125" s="19"/>
      <c r="G2125" s="27" t="str">
        <f aca="false">IF(B2125="","",IFERROR(INDEX(Jeux!$C$2:$C$3001,MATCH(B2125,Jeux!$A$2:$A$3001,0))&amp;"","⚠ jeu inconnu"))</f>
        <v/>
      </c>
      <c r="H2125" s="27" t="str">
        <f aca="false">IF(B2125="","",IFERROR(INDEX(Jeux!$D$2:$D$3001,MATCH(B2125,Jeux!$A$2:$A$3001,0))&amp;"",""))</f>
        <v/>
      </c>
      <c r="I2125" s="26" t="str">
        <f aca="false">IF(A2125="","",COUNTIF(Apparitions!$G$2:$G$5001,A2125))</f>
        <v/>
      </c>
      <c r="J2125" s="26" t="str">
        <f aca="false">IF(A2125="","",COUNTIFS(Apparitions!$G$2:$G$5001,A2125,Apparitions!$E$2:$E$5001,"○"))</f>
        <v/>
      </c>
      <c r="K2125" s="29" t="str">
        <f aca="false">IF(A2125="","",IFERROR(1/(1/_xlfn.MINIFS(Apparitions!$L$2:$L$5001,Apparitions!$G$2:$G$5001,A2125)),""))</f>
        <v/>
      </c>
      <c r="L2125" s="27" t="str">
        <f aca="false">IF(A2125="","",A2125&amp;" | "&amp;B2125&amp;IF(C2125="",""," ("&amp;C2125&amp;")")&amp;IF(D2125="",""," - "&amp;D2125))</f>
        <v/>
      </c>
    </row>
    <row r="2126" customFormat="false" ht="15" hidden="false" customHeight="false" outlineLevel="0" collapsed="false">
      <c r="A2126" s="32"/>
      <c r="B2126" s="19"/>
      <c r="C2126" s="19"/>
      <c r="D2126" s="19"/>
      <c r="E2126" s="21"/>
      <c r="F2126" s="19"/>
      <c r="G2126" s="27" t="str">
        <f aca="false">IF(B2126="","",IFERROR(INDEX(Jeux!$C$2:$C$3001,MATCH(B2126,Jeux!$A$2:$A$3001,0))&amp;"","⚠ jeu inconnu"))</f>
        <v/>
      </c>
      <c r="H2126" s="27" t="str">
        <f aca="false">IF(B2126="","",IFERROR(INDEX(Jeux!$D$2:$D$3001,MATCH(B2126,Jeux!$A$2:$A$3001,0))&amp;"",""))</f>
        <v/>
      </c>
      <c r="I2126" s="26" t="str">
        <f aca="false">IF(A2126="","",COUNTIF(Apparitions!$G$2:$G$5001,A2126))</f>
        <v/>
      </c>
      <c r="J2126" s="26" t="str">
        <f aca="false">IF(A2126="","",COUNTIFS(Apparitions!$G$2:$G$5001,A2126,Apparitions!$E$2:$E$5001,"○"))</f>
        <v/>
      </c>
      <c r="K2126" s="29" t="str">
        <f aca="false">IF(A2126="","",IFERROR(1/(1/_xlfn.MINIFS(Apparitions!$L$2:$L$5001,Apparitions!$G$2:$G$5001,A2126)),""))</f>
        <v/>
      </c>
      <c r="L2126" s="27" t="str">
        <f aca="false">IF(A2126="","",A2126&amp;" | "&amp;B2126&amp;IF(C2126="",""," ("&amp;C2126&amp;")")&amp;IF(D2126="",""," - "&amp;D2126))</f>
        <v/>
      </c>
    </row>
    <row r="2127" customFormat="false" ht="15" hidden="false" customHeight="false" outlineLevel="0" collapsed="false">
      <c r="A2127" s="32"/>
      <c r="B2127" s="19"/>
      <c r="C2127" s="19"/>
      <c r="D2127" s="19"/>
      <c r="E2127" s="21"/>
      <c r="F2127" s="19"/>
      <c r="G2127" s="27" t="str">
        <f aca="false">IF(B2127="","",IFERROR(INDEX(Jeux!$C$2:$C$3001,MATCH(B2127,Jeux!$A$2:$A$3001,0))&amp;"","⚠ jeu inconnu"))</f>
        <v/>
      </c>
      <c r="H2127" s="27" t="str">
        <f aca="false">IF(B2127="","",IFERROR(INDEX(Jeux!$D$2:$D$3001,MATCH(B2127,Jeux!$A$2:$A$3001,0))&amp;"",""))</f>
        <v/>
      </c>
      <c r="I2127" s="26" t="str">
        <f aca="false">IF(A2127="","",COUNTIF(Apparitions!$G$2:$G$5001,A2127))</f>
        <v/>
      </c>
      <c r="J2127" s="26" t="str">
        <f aca="false">IF(A2127="","",COUNTIFS(Apparitions!$G$2:$G$5001,A2127,Apparitions!$E$2:$E$5001,"○"))</f>
        <v/>
      </c>
      <c r="K2127" s="29" t="str">
        <f aca="false">IF(A2127="","",IFERROR(1/(1/_xlfn.MINIFS(Apparitions!$L$2:$L$5001,Apparitions!$G$2:$G$5001,A2127)),""))</f>
        <v/>
      </c>
      <c r="L2127" s="27" t="str">
        <f aca="false">IF(A2127="","",A2127&amp;" | "&amp;B2127&amp;IF(C2127="",""," ("&amp;C2127&amp;")")&amp;IF(D2127="",""," - "&amp;D2127))</f>
        <v/>
      </c>
    </row>
    <row r="2128" customFormat="false" ht="15" hidden="false" customHeight="false" outlineLevel="0" collapsed="false">
      <c r="A2128" s="32"/>
      <c r="B2128" s="19"/>
      <c r="C2128" s="19"/>
      <c r="D2128" s="19"/>
      <c r="E2128" s="21"/>
      <c r="F2128" s="19"/>
      <c r="G2128" s="27" t="str">
        <f aca="false">IF(B2128="","",IFERROR(INDEX(Jeux!$C$2:$C$3001,MATCH(B2128,Jeux!$A$2:$A$3001,0))&amp;"","⚠ jeu inconnu"))</f>
        <v/>
      </c>
      <c r="H2128" s="27" t="str">
        <f aca="false">IF(B2128="","",IFERROR(INDEX(Jeux!$D$2:$D$3001,MATCH(B2128,Jeux!$A$2:$A$3001,0))&amp;"",""))</f>
        <v/>
      </c>
      <c r="I2128" s="26" t="str">
        <f aca="false">IF(A2128="","",COUNTIF(Apparitions!$G$2:$G$5001,A2128))</f>
        <v/>
      </c>
      <c r="J2128" s="26" t="str">
        <f aca="false">IF(A2128="","",COUNTIFS(Apparitions!$G$2:$G$5001,A2128,Apparitions!$E$2:$E$5001,"○"))</f>
        <v/>
      </c>
      <c r="K2128" s="29" t="str">
        <f aca="false">IF(A2128="","",IFERROR(1/(1/_xlfn.MINIFS(Apparitions!$L$2:$L$5001,Apparitions!$G$2:$G$5001,A2128)),""))</f>
        <v/>
      </c>
      <c r="L2128" s="27" t="str">
        <f aca="false">IF(A2128="","",A2128&amp;" | "&amp;B2128&amp;IF(C2128="",""," ("&amp;C2128&amp;")")&amp;IF(D2128="",""," - "&amp;D2128))</f>
        <v/>
      </c>
    </row>
    <row r="2129" customFormat="false" ht="15" hidden="false" customHeight="false" outlineLevel="0" collapsed="false">
      <c r="A2129" s="32"/>
      <c r="B2129" s="19"/>
      <c r="C2129" s="19"/>
      <c r="D2129" s="19"/>
      <c r="E2129" s="21"/>
      <c r="F2129" s="19"/>
      <c r="G2129" s="27" t="str">
        <f aca="false">IF(B2129="","",IFERROR(INDEX(Jeux!$C$2:$C$3001,MATCH(B2129,Jeux!$A$2:$A$3001,0))&amp;"","⚠ jeu inconnu"))</f>
        <v/>
      </c>
      <c r="H2129" s="27" t="str">
        <f aca="false">IF(B2129="","",IFERROR(INDEX(Jeux!$D$2:$D$3001,MATCH(B2129,Jeux!$A$2:$A$3001,0))&amp;"",""))</f>
        <v/>
      </c>
      <c r="I2129" s="26" t="str">
        <f aca="false">IF(A2129="","",COUNTIF(Apparitions!$G$2:$G$5001,A2129))</f>
        <v/>
      </c>
      <c r="J2129" s="26" t="str">
        <f aca="false">IF(A2129="","",COUNTIFS(Apparitions!$G$2:$G$5001,A2129,Apparitions!$E$2:$E$5001,"○"))</f>
        <v/>
      </c>
      <c r="K2129" s="29" t="str">
        <f aca="false">IF(A2129="","",IFERROR(1/(1/_xlfn.MINIFS(Apparitions!$L$2:$L$5001,Apparitions!$G$2:$G$5001,A2129)),""))</f>
        <v/>
      </c>
      <c r="L2129" s="27" t="str">
        <f aca="false">IF(A2129="","",A2129&amp;" | "&amp;B2129&amp;IF(C2129="",""," ("&amp;C2129&amp;")")&amp;IF(D2129="",""," - "&amp;D2129))</f>
        <v/>
      </c>
    </row>
    <row r="2130" customFormat="false" ht="15" hidden="false" customHeight="false" outlineLevel="0" collapsed="false">
      <c r="A2130" s="32"/>
      <c r="B2130" s="19"/>
      <c r="C2130" s="19"/>
      <c r="D2130" s="19"/>
      <c r="E2130" s="21"/>
      <c r="F2130" s="19"/>
      <c r="G2130" s="27" t="str">
        <f aca="false">IF(B2130="","",IFERROR(INDEX(Jeux!$C$2:$C$3001,MATCH(B2130,Jeux!$A$2:$A$3001,0))&amp;"","⚠ jeu inconnu"))</f>
        <v/>
      </c>
      <c r="H2130" s="27" t="str">
        <f aca="false">IF(B2130="","",IFERROR(INDEX(Jeux!$D$2:$D$3001,MATCH(B2130,Jeux!$A$2:$A$3001,0))&amp;"",""))</f>
        <v/>
      </c>
      <c r="I2130" s="26" t="str">
        <f aca="false">IF(A2130="","",COUNTIF(Apparitions!$G$2:$G$5001,A2130))</f>
        <v/>
      </c>
      <c r="J2130" s="26" t="str">
        <f aca="false">IF(A2130="","",COUNTIFS(Apparitions!$G$2:$G$5001,A2130,Apparitions!$E$2:$E$5001,"○"))</f>
        <v/>
      </c>
      <c r="K2130" s="29" t="str">
        <f aca="false">IF(A2130="","",IFERROR(1/(1/_xlfn.MINIFS(Apparitions!$L$2:$L$5001,Apparitions!$G$2:$G$5001,A2130)),""))</f>
        <v/>
      </c>
      <c r="L2130" s="27" t="str">
        <f aca="false">IF(A2130="","",A2130&amp;" | "&amp;B2130&amp;IF(C2130="",""," ("&amp;C2130&amp;")")&amp;IF(D2130="",""," - "&amp;D2130))</f>
        <v/>
      </c>
    </row>
    <row r="2131" customFormat="false" ht="15" hidden="false" customHeight="false" outlineLevel="0" collapsed="false">
      <c r="A2131" s="32"/>
      <c r="B2131" s="19"/>
      <c r="C2131" s="19"/>
      <c r="D2131" s="19"/>
      <c r="E2131" s="21"/>
      <c r="F2131" s="19"/>
      <c r="G2131" s="27" t="str">
        <f aca="false">IF(B2131="","",IFERROR(INDEX(Jeux!$C$2:$C$3001,MATCH(B2131,Jeux!$A$2:$A$3001,0))&amp;"","⚠ jeu inconnu"))</f>
        <v/>
      </c>
      <c r="H2131" s="27" t="str">
        <f aca="false">IF(B2131="","",IFERROR(INDEX(Jeux!$D$2:$D$3001,MATCH(B2131,Jeux!$A$2:$A$3001,0))&amp;"",""))</f>
        <v/>
      </c>
      <c r="I2131" s="26" t="str">
        <f aca="false">IF(A2131="","",COUNTIF(Apparitions!$G$2:$G$5001,A2131))</f>
        <v/>
      </c>
      <c r="J2131" s="26" t="str">
        <f aca="false">IF(A2131="","",COUNTIFS(Apparitions!$G$2:$G$5001,A2131,Apparitions!$E$2:$E$5001,"○"))</f>
        <v/>
      </c>
      <c r="K2131" s="29" t="str">
        <f aca="false">IF(A2131="","",IFERROR(1/(1/_xlfn.MINIFS(Apparitions!$L$2:$L$5001,Apparitions!$G$2:$G$5001,A2131)),""))</f>
        <v/>
      </c>
      <c r="L2131" s="27" t="str">
        <f aca="false">IF(A2131="","",A2131&amp;" | "&amp;B2131&amp;IF(C2131="",""," ("&amp;C2131&amp;")")&amp;IF(D2131="",""," - "&amp;D2131))</f>
        <v/>
      </c>
    </row>
    <row r="2132" customFormat="false" ht="15" hidden="false" customHeight="false" outlineLevel="0" collapsed="false">
      <c r="A2132" s="32"/>
      <c r="B2132" s="19"/>
      <c r="C2132" s="19"/>
      <c r="D2132" s="19"/>
      <c r="E2132" s="21"/>
      <c r="F2132" s="19"/>
      <c r="G2132" s="27" t="str">
        <f aca="false">IF(B2132="","",IFERROR(INDEX(Jeux!$C$2:$C$3001,MATCH(B2132,Jeux!$A$2:$A$3001,0))&amp;"","⚠ jeu inconnu"))</f>
        <v/>
      </c>
      <c r="H2132" s="27" t="str">
        <f aca="false">IF(B2132="","",IFERROR(INDEX(Jeux!$D$2:$D$3001,MATCH(B2132,Jeux!$A$2:$A$3001,0))&amp;"",""))</f>
        <v/>
      </c>
      <c r="I2132" s="26" t="str">
        <f aca="false">IF(A2132="","",COUNTIF(Apparitions!$G$2:$G$5001,A2132))</f>
        <v/>
      </c>
      <c r="J2132" s="26" t="str">
        <f aca="false">IF(A2132="","",COUNTIFS(Apparitions!$G$2:$G$5001,A2132,Apparitions!$E$2:$E$5001,"○"))</f>
        <v/>
      </c>
      <c r="K2132" s="29" t="str">
        <f aca="false">IF(A2132="","",IFERROR(1/(1/_xlfn.MINIFS(Apparitions!$L$2:$L$5001,Apparitions!$G$2:$G$5001,A2132)),""))</f>
        <v/>
      </c>
      <c r="L2132" s="27" t="str">
        <f aca="false">IF(A2132="","",A2132&amp;" | "&amp;B2132&amp;IF(C2132="",""," ("&amp;C2132&amp;")")&amp;IF(D2132="",""," - "&amp;D2132))</f>
        <v/>
      </c>
    </row>
    <row r="2133" customFormat="false" ht="15" hidden="false" customHeight="false" outlineLevel="0" collapsed="false">
      <c r="A2133" s="32"/>
      <c r="B2133" s="19"/>
      <c r="C2133" s="19"/>
      <c r="D2133" s="19"/>
      <c r="E2133" s="21"/>
      <c r="F2133" s="19"/>
      <c r="G2133" s="27" t="str">
        <f aca="false">IF(B2133="","",IFERROR(INDEX(Jeux!$C$2:$C$3001,MATCH(B2133,Jeux!$A$2:$A$3001,0))&amp;"","⚠ jeu inconnu"))</f>
        <v/>
      </c>
      <c r="H2133" s="27" t="str">
        <f aca="false">IF(B2133="","",IFERROR(INDEX(Jeux!$D$2:$D$3001,MATCH(B2133,Jeux!$A$2:$A$3001,0))&amp;"",""))</f>
        <v/>
      </c>
      <c r="I2133" s="26" t="str">
        <f aca="false">IF(A2133="","",COUNTIF(Apparitions!$G$2:$G$5001,A2133))</f>
        <v/>
      </c>
      <c r="J2133" s="26" t="str">
        <f aca="false">IF(A2133="","",COUNTIFS(Apparitions!$G$2:$G$5001,A2133,Apparitions!$E$2:$E$5001,"○"))</f>
        <v/>
      </c>
      <c r="K2133" s="29" t="str">
        <f aca="false">IF(A2133="","",IFERROR(1/(1/_xlfn.MINIFS(Apparitions!$L$2:$L$5001,Apparitions!$G$2:$G$5001,A2133)),""))</f>
        <v/>
      </c>
      <c r="L2133" s="27" t="str">
        <f aca="false">IF(A2133="","",A2133&amp;" | "&amp;B2133&amp;IF(C2133="",""," ("&amp;C2133&amp;")")&amp;IF(D2133="",""," - "&amp;D2133))</f>
        <v/>
      </c>
    </row>
    <row r="2134" customFormat="false" ht="15" hidden="false" customHeight="false" outlineLevel="0" collapsed="false">
      <c r="A2134" s="32"/>
      <c r="B2134" s="19"/>
      <c r="C2134" s="19"/>
      <c r="D2134" s="19"/>
      <c r="E2134" s="21"/>
      <c r="F2134" s="19"/>
      <c r="G2134" s="27" t="str">
        <f aca="false">IF(B2134="","",IFERROR(INDEX(Jeux!$C$2:$C$3001,MATCH(B2134,Jeux!$A$2:$A$3001,0))&amp;"","⚠ jeu inconnu"))</f>
        <v/>
      </c>
      <c r="H2134" s="27" t="str">
        <f aca="false">IF(B2134="","",IFERROR(INDEX(Jeux!$D$2:$D$3001,MATCH(B2134,Jeux!$A$2:$A$3001,0))&amp;"",""))</f>
        <v/>
      </c>
      <c r="I2134" s="26" t="str">
        <f aca="false">IF(A2134="","",COUNTIF(Apparitions!$G$2:$G$5001,A2134))</f>
        <v/>
      </c>
      <c r="J2134" s="26" t="str">
        <f aca="false">IF(A2134="","",COUNTIFS(Apparitions!$G$2:$G$5001,A2134,Apparitions!$E$2:$E$5001,"○"))</f>
        <v/>
      </c>
      <c r="K2134" s="29" t="str">
        <f aca="false">IF(A2134="","",IFERROR(1/(1/_xlfn.MINIFS(Apparitions!$L$2:$L$5001,Apparitions!$G$2:$G$5001,A2134)),""))</f>
        <v/>
      </c>
      <c r="L2134" s="27" t="str">
        <f aca="false">IF(A2134="","",A2134&amp;" | "&amp;B2134&amp;IF(C2134="",""," ("&amp;C2134&amp;")")&amp;IF(D2134="",""," - "&amp;D2134))</f>
        <v/>
      </c>
    </row>
    <row r="2135" customFormat="false" ht="15" hidden="false" customHeight="false" outlineLevel="0" collapsed="false">
      <c r="A2135" s="32"/>
      <c r="B2135" s="19"/>
      <c r="C2135" s="19"/>
      <c r="D2135" s="19"/>
      <c r="E2135" s="21"/>
      <c r="F2135" s="19"/>
      <c r="G2135" s="27" t="str">
        <f aca="false">IF(B2135="","",IFERROR(INDEX(Jeux!$C$2:$C$3001,MATCH(B2135,Jeux!$A$2:$A$3001,0))&amp;"","⚠ jeu inconnu"))</f>
        <v/>
      </c>
      <c r="H2135" s="27" t="str">
        <f aca="false">IF(B2135="","",IFERROR(INDEX(Jeux!$D$2:$D$3001,MATCH(B2135,Jeux!$A$2:$A$3001,0))&amp;"",""))</f>
        <v/>
      </c>
      <c r="I2135" s="26" t="str">
        <f aca="false">IF(A2135="","",COUNTIF(Apparitions!$G$2:$G$5001,A2135))</f>
        <v/>
      </c>
      <c r="J2135" s="26" t="str">
        <f aca="false">IF(A2135="","",COUNTIFS(Apparitions!$G$2:$G$5001,A2135,Apparitions!$E$2:$E$5001,"○"))</f>
        <v/>
      </c>
      <c r="K2135" s="29" t="str">
        <f aca="false">IF(A2135="","",IFERROR(1/(1/_xlfn.MINIFS(Apparitions!$L$2:$L$5001,Apparitions!$G$2:$G$5001,A2135)),""))</f>
        <v/>
      </c>
      <c r="L2135" s="27" t="str">
        <f aca="false">IF(A2135="","",A2135&amp;" | "&amp;B2135&amp;IF(C2135="",""," ("&amp;C2135&amp;")")&amp;IF(D2135="",""," - "&amp;D2135))</f>
        <v/>
      </c>
    </row>
    <row r="2136" customFormat="false" ht="15" hidden="false" customHeight="false" outlineLevel="0" collapsed="false">
      <c r="A2136" s="32"/>
      <c r="B2136" s="19"/>
      <c r="C2136" s="19"/>
      <c r="D2136" s="19"/>
      <c r="E2136" s="21"/>
      <c r="F2136" s="19"/>
      <c r="G2136" s="27" t="str">
        <f aca="false">IF(B2136="","",IFERROR(INDEX(Jeux!$C$2:$C$3001,MATCH(B2136,Jeux!$A$2:$A$3001,0))&amp;"","⚠ jeu inconnu"))</f>
        <v/>
      </c>
      <c r="H2136" s="27" t="str">
        <f aca="false">IF(B2136="","",IFERROR(INDEX(Jeux!$D$2:$D$3001,MATCH(B2136,Jeux!$A$2:$A$3001,0))&amp;"",""))</f>
        <v/>
      </c>
      <c r="I2136" s="26" t="str">
        <f aca="false">IF(A2136="","",COUNTIF(Apparitions!$G$2:$G$5001,A2136))</f>
        <v/>
      </c>
      <c r="J2136" s="26" t="str">
        <f aca="false">IF(A2136="","",COUNTIFS(Apparitions!$G$2:$G$5001,A2136,Apparitions!$E$2:$E$5001,"○"))</f>
        <v/>
      </c>
      <c r="K2136" s="29" t="str">
        <f aca="false">IF(A2136="","",IFERROR(1/(1/_xlfn.MINIFS(Apparitions!$L$2:$L$5001,Apparitions!$G$2:$G$5001,A2136)),""))</f>
        <v/>
      </c>
      <c r="L2136" s="27" t="str">
        <f aca="false">IF(A2136="","",A2136&amp;" | "&amp;B2136&amp;IF(C2136="",""," ("&amp;C2136&amp;")")&amp;IF(D2136="",""," - "&amp;D2136))</f>
        <v/>
      </c>
    </row>
    <row r="2137" customFormat="false" ht="15" hidden="false" customHeight="false" outlineLevel="0" collapsed="false">
      <c r="A2137" s="32"/>
      <c r="B2137" s="19"/>
      <c r="C2137" s="19"/>
      <c r="D2137" s="19"/>
      <c r="E2137" s="21"/>
      <c r="F2137" s="19"/>
      <c r="G2137" s="27" t="str">
        <f aca="false">IF(B2137="","",IFERROR(INDEX(Jeux!$C$2:$C$3001,MATCH(B2137,Jeux!$A$2:$A$3001,0))&amp;"","⚠ jeu inconnu"))</f>
        <v/>
      </c>
      <c r="H2137" s="27" t="str">
        <f aca="false">IF(B2137="","",IFERROR(INDEX(Jeux!$D$2:$D$3001,MATCH(B2137,Jeux!$A$2:$A$3001,0))&amp;"",""))</f>
        <v/>
      </c>
      <c r="I2137" s="26" t="str">
        <f aca="false">IF(A2137="","",COUNTIF(Apparitions!$G$2:$G$5001,A2137))</f>
        <v/>
      </c>
      <c r="J2137" s="26" t="str">
        <f aca="false">IF(A2137="","",COUNTIFS(Apparitions!$G$2:$G$5001,A2137,Apparitions!$E$2:$E$5001,"○"))</f>
        <v/>
      </c>
      <c r="K2137" s="29" t="str">
        <f aca="false">IF(A2137="","",IFERROR(1/(1/_xlfn.MINIFS(Apparitions!$L$2:$L$5001,Apparitions!$G$2:$G$5001,A2137)),""))</f>
        <v/>
      </c>
      <c r="L2137" s="27" t="str">
        <f aca="false">IF(A2137="","",A2137&amp;" | "&amp;B2137&amp;IF(C2137="",""," ("&amp;C2137&amp;")")&amp;IF(D2137="",""," - "&amp;D2137))</f>
        <v/>
      </c>
    </row>
    <row r="2138" customFormat="false" ht="15" hidden="false" customHeight="false" outlineLevel="0" collapsed="false">
      <c r="A2138" s="32"/>
      <c r="B2138" s="19"/>
      <c r="C2138" s="19"/>
      <c r="D2138" s="19"/>
      <c r="E2138" s="21"/>
      <c r="F2138" s="19"/>
      <c r="G2138" s="27" t="str">
        <f aca="false">IF(B2138="","",IFERROR(INDEX(Jeux!$C$2:$C$3001,MATCH(B2138,Jeux!$A$2:$A$3001,0))&amp;"","⚠ jeu inconnu"))</f>
        <v/>
      </c>
      <c r="H2138" s="27" t="str">
        <f aca="false">IF(B2138="","",IFERROR(INDEX(Jeux!$D$2:$D$3001,MATCH(B2138,Jeux!$A$2:$A$3001,0))&amp;"",""))</f>
        <v/>
      </c>
      <c r="I2138" s="26" t="str">
        <f aca="false">IF(A2138="","",COUNTIF(Apparitions!$G$2:$G$5001,A2138))</f>
        <v/>
      </c>
      <c r="J2138" s="26" t="str">
        <f aca="false">IF(A2138="","",COUNTIFS(Apparitions!$G$2:$G$5001,A2138,Apparitions!$E$2:$E$5001,"○"))</f>
        <v/>
      </c>
      <c r="K2138" s="29" t="str">
        <f aca="false">IF(A2138="","",IFERROR(1/(1/_xlfn.MINIFS(Apparitions!$L$2:$L$5001,Apparitions!$G$2:$G$5001,A2138)),""))</f>
        <v/>
      </c>
      <c r="L2138" s="27" t="str">
        <f aca="false">IF(A2138="","",A2138&amp;" | "&amp;B2138&amp;IF(C2138="",""," ("&amp;C2138&amp;")")&amp;IF(D2138="",""," - "&amp;D2138))</f>
        <v/>
      </c>
    </row>
    <row r="2139" customFormat="false" ht="15" hidden="false" customHeight="false" outlineLevel="0" collapsed="false">
      <c r="A2139" s="32"/>
      <c r="B2139" s="19"/>
      <c r="C2139" s="19"/>
      <c r="D2139" s="19"/>
      <c r="E2139" s="21"/>
      <c r="F2139" s="19"/>
      <c r="G2139" s="27" t="str">
        <f aca="false">IF(B2139="","",IFERROR(INDEX(Jeux!$C$2:$C$3001,MATCH(B2139,Jeux!$A$2:$A$3001,0))&amp;"","⚠ jeu inconnu"))</f>
        <v/>
      </c>
      <c r="H2139" s="27" t="str">
        <f aca="false">IF(B2139="","",IFERROR(INDEX(Jeux!$D$2:$D$3001,MATCH(B2139,Jeux!$A$2:$A$3001,0))&amp;"",""))</f>
        <v/>
      </c>
      <c r="I2139" s="26" t="str">
        <f aca="false">IF(A2139="","",COUNTIF(Apparitions!$G$2:$G$5001,A2139))</f>
        <v/>
      </c>
      <c r="J2139" s="26" t="str">
        <f aca="false">IF(A2139="","",COUNTIFS(Apparitions!$G$2:$G$5001,A2139,Apparitions!$E$2:$E$5001,"○"))</f>
        <v/>
      </c>
      <c r="K2139" s="29" t="str">
        <f aca="false">IF(A2139="","",IFERROR(1/(1/_xlfn.MINIFS(Apparitions!$L$2:$L$5001,Apparitions!$G$2:$G$5001,A2139)),""))</f>
        <v/>
      </c>
      <c r="L2139" s="27" t="str">
        <f aca="false">IF(A2139="","",A2139&amp;" | "&amp;B2139&amp;IF(C2139="",""," ("&amp;C2139&amp;")")&amp;IF(D2139="",""," - "&amp;D2139))</f>
        <v/>
      </c>
    </row>
    <row r="2140" customFormat="false" ht="15" hidden="false" customHeight="false" outlineLevel="0" collapsed="false">
      <c r="A2140" s="32"/>
      <c r="B2140" s="19"/>
      <c r="C2140" s="19"/>
      <c r="D2140" s="19"/>
      <c r="E2140" s="21"/>
      <c r="F2140" s="19"/>
      <c r="G2140" s="27" t="str">
        <f aca="false">IF(B2140="","",IFERROR(INDEX(Jeux!$C$2:$C$3001,MATCH(B2140,Jeux!$A$2:$A$3001,0))&amp;"","⚠ jeu inconnu"))</f>
        <v/>
      </c>
      <c r="H2140" s="27" t="str">
        <f aca="false">IF(B2140="","",IFERROR(INDEX(Jeux!$D$2:$D$3001,MATCH(B2140,Jeux!$A$2:$A$3001,0))&amp;"",""))</f>
        <v/>
      </c>
      <c r="I2140" s="26" t="str">
        <f aca="false">IF(A2140="","",COUNTIF(Apparitions!$G$2:$G$5001,A2140))</f>
        <v/>
      </c>
      <c r="J2140" s="26" t="str">
        <f aca="false">IF(A2140="","",COUNTIFS(Apparitions!$G$2:$G$5001,A2140,Apparitions!$E$2:$E$5001,"○"))</f>
        <v/>
      </c>
      <c r="K2140" s="29" t="str">
        <f aca="false">IF(A2140="","",IFERROR(1/(1/_xlfn.MINIFS(Apparitions!$L$2:$L$5001,Apparitions!$G$2:$G$5001,A2140)),""))</f>
        <v/>
      </c>
      <c r="L2140" s="27" t="str">
        <f aca="false">IF(A2140="","",A2140&amp;" | "&amp;B2140&amp;IF(C2140="",""," ("&amp;C2140&amp;")")&amp;IF(D2140="",""," - "&amp;D2140))</f>
        <v/>
      </c>
    </row>
    <row r="2141" customFormat="false" ht="15" hidden="false" customHeight="false" outlineLevel="0" collapsed="false">
      <c r="A2141" s="32"/>
      <c r="B2141" s="19"/>
      <c r="C2141" s="19"/>
      <c r="D2141" s="19"/>
      <c r="E2141" s="21"/>
      <c r="F2141" s="19"/>
      <c r="G2141" s="27" t="str">
        <f aca="false">IF(B2141="","",IFERROR(INDEX(Jeux!$C$2:$C$3001,MATCH(B2141,Jeux!$A$2:$A$3001,0))&amp;"","⚠ jeu inconnu"))</f>
        <v/>
      </c>
      <c r="H2141" s="27" t="str">
        <f aca="false">IF(B2141="","",IFERROR(INDEX(Jeux!$D$2:$D$3001,MATCH(B2141,Jeux!$A$2:$A$3001,0))&amp;"",""))</f>
        <v/>
      </c>
      <c r="I2141" s="26" t="str">
        <f aca="false">IF(A2141="","",COUNTIF(Apparitions!$G$2:$G$5001,A2141))</f>
        <v/>
      </c>
      <c r="J2141" s="26" t="str">
        <f aca="false">IF(A2141="","",COUNTIFS(Apparitions!$G$2:$G$5001,A2141,Apparitions!$E$2:$E$5001,"○"))</f>
        <v/>
      </c>
      <c r="K2141" s="29" t="str">
        <f aca="false">IF(A2141="","",IFERROR(1/(1/_xlfn.MINIFS(Apparitions!$L$2:$L$5001,Apparitions!$G$2:$G$5001,A2141)),""))</f>
        <v/>
      </c>
      <c r="L2141" s="27" t="str">
        <f aca="false">IF(A2141="","",A2141&amp;" | "&amp;B2141&amp;IF(C2141="",""," ("&amp;C2141&amp;")")&amp;IF(D2141="",""," - "&amp;D2141))</f>
        <v/>
      </c>
    </row>
    <row r="2142" customFormat="false" ht="15" hidden="false" customHeight="false" outlineLevel="0" collapsed="false">
      <c r="A2142" s="32"/>
      <c r="B2142" s="19"/>
      <c r="C2142" s="19"/>
      <c r="D2142" s="19"/>
      <c r="E2142" s="21"/>
      <c r="F2142" s="19"/>
      <c r="G2142" s="27" t="str">
        <f aca="false">IF(B2142="","",IFERROR(INDEX(Jeux!$C$2:$C$3001,MATCH(B2142,Jeux!$A$2:$A$3001,0))&amp;"","⚠ jeu inconnu"))</f>
        <v/>
      </c>
      <c r="H2142" s="27" t="str">
        <f aca="false">IF(B2142="","",IFERROR(INDEX(Jeux!$D$2:$D$3001,MATCH(B2142,Jeux!$A$2:$A$3001,0))&amp;"",""))</f>
        <v/>
      </c>
      <c r="I2142" s="26" t="str">
        <f aca="false">IF(A2142="","",COUNTIF(Apparitions!$G$2:$G$5001,A2142))</f>
        <v/>
      </c>
      <c r="J2142" s="26" t="str">
        <f aca="false">IF(A2142="","",COUNTIFS(Apparitions!$G$2:$G$5001,A2142,Apparitions!$E$2:$E$5001,"○"))</f>
        <v/>
      </c>
      <c r="K2142" s="29" t="str">
        <f aca="false">IF(A2142="","",IFERROR(1/(1/_xlfn.MINIFS(Apparitions!$L$2:$L$5001,Apparitions!$G$2:$G$5001,A2142)),""))</f>
        <v/>
      </c>
      <c r="L2142" s="27" t="str">
        <f aca="false">IF(A2142="","",A2142&amp;" | "&amp;B2142&amp;IF(C2142="",""," ("&amp;C2142&amp;")")&amp;IF(D2142="",""," - "&amp;D2142))</f>
        <v/>
      </c>
    </row>
    <row r="2143" customFormat="false" ht="15" hidden="false" customHeight="false" outlineLevel="0" collapsed="false">
      <c r="A2143" s="32"/>
      <c r="B2143" s="19"/>
      <c r="C2143" s="19"/>
      <c r="D2143" s="19"/>
      <c r="E2143" s="21"/>
      <c r="F2143" s="19"/>
      <c r="G2143" s="27" t="str">
        <f aca="false">IF(B2143="","",IFERROR(INDEX(Jeux!$C$2:$C$3001,MATCH(B2143,Jeux!$A$2:$A$3001,0))&amp;"","⚠ jeu inconnu"))</f>
        <v/>
      </c>
      <c r="H2143" s="27" t="str">
        <f aca="false">IF(B2143="","",IFERROR(INDEX(Jeux!$D$2:$D$3001,MATCH(B2143,Jeux!$A$2:$A$3001,0))&amp;"",""))</f>
        <v/>
      </c>
      <c r="I2143" s="26" t="str">
        <f aca="false">IF(A2143="","",COUNTIF(Apparitions!$G$2:$G$5001,A2143))</f>
        <v/>
      </c>
      <c r="J2143" s="26" t="str">
        <f aca="false">IF(A2143="","",COUNTIFS(Apparitions!$G$2:$G$5001,A2143,Apparitions!$E$2:$E$5001,"○"))</f>
        <v/>
      </c>
      <c r="K2143" s="29" t="str">
        <f aca="false">IF(A2143="","",IFERROR(1/(1/_xlfn.MINIFS(Apparitions!$L$2:$L$5001,Apparitions!$G$2:$G$5001,A2143)),""))</f>
        <v/>
      </c>
      <c r="L2143" s="27" t="str">
        <f aca="false">IF(A2143="","",A2143&amp;" | "&amp;B2143&amp;IF(C2143="",""," ("&amp;C2143&amp;")")&amp;IF(D2143="",""," - "&amp;D2143))</f>
        <v/>
      </c>
    </row>
    <row r="2144" customFormat="false" ht="15" hidden="false" customHeight="false" outlineLevel="0" collapsed="false">
      <c r="A2144" s="32"/>
      <c r="B2144" s="19"/>
      <c r="C2144" s="19"/>
      <c r="D2144" s="19"/>
      <c r="E2144" s="21"/>
      <c r="F2144" s="19"/>
      <c r="G2144" s="27" t="str">
        <f aca="false">IF(B2144="","",IFERROR(INDEX(Jeux!$C$2:$C$3001,MATCH(B2144,Jeux!$A$2:$A$3001,0))&amp;"","⚠ jeu inconnu"))</f>
        <v/>
      </c>
      <c r="H2144" s="27" t="str">
        <f aca="false">IF(B2144="","",IFERROR(INDEX(Jeux!$D$2:$D$3001,MATCH(B2144,Jeux!$A$2:$A$3001,0))&amp;"",""))</f>
        <v/>
      </c>
      <c r="I2144" s="26" t="str">
        <f aca="false">IF(A2144="","",COUNTIF(Apparitions!$G$2:$G$5001,A2144))</f>
        <v/>
      </c>
      <c r="J2144" s="26" t="str">
        <f aca="false">IF(A2144="","",COUNTIFS(Apparitions!$G$2:$G$5001,A2144,Apparitions!$E$2:$E$5001,"○"))</f>
        <v/>
      </c>
      <c r="K2144" s="29" t="str">
        <f aca="false">IF(A2144="","",IFERROR(1/(1/_xlfn.MINIFS(Apparitions!$L$2:$L$5001,Apparitions!$G$2:$G$5001,A2144)),""))</f>
        <v/>
      </c>
      <c r="L2144" s="27" t="str">
        <f aca="false">IF(A2144="","",A2144&amp;" | "&amp;B2144&amp;IF(C2144="",""," ("&amp;C2144&amp;")")&amp;IF(D2144="",""," - "&amp;D2144))</f>
        <v/>
      </c>
    </row>
    <row r="2145" customFormat="false" ht="15" hidden="false" customHeight="false" outlineLevel="0" collapsed="false">
      <c r="A2145" s="32"/>
      <c r="B2145" s="19"/>
      <c r="C2145" s="19"/>
      <c r="D2145" s="19"/>
      <c r="E2145" s="21"/>
      <c r="F2145" s="19"/>
      <c r="G2145" s="27" t="str">
        <f aca="false">IF(B2145="","",IFERROR(INDEX(Jeux!$C$2:$C$3001,MATCH(B2145,Jeux!$A$2:$A$3001,0))&amp;"","⚠ jeu inconnu"))</f>
        <v/>
      </c>
      <c r="H2145" s="27" t="str">
        <f aca="false">IF(B2145="","",IFERROR(INDEX(Jeux!$D$2:$D$3001,MATCH(B2145,Jeux!$A$2:$A$3001,0))&amp;"",""))</f>
        <v/>
      </c>
      <c r="I2145" s="26" t="str">
        <f aca="false">IF(A2145="","",COUNTIF(Apparitions!$G$2:$G$5001,A2145))</f>
        <v/>
      </c>
      <c r="J2145" s="26" t="str">
        <f aca="false">IF(A2145="","",COUNTIFS(Apparitions!$G$2:$G$5001,A2145,Apparitions!$E$2:$E$5001,"○"))</f>
        <v/>
      </c>
      <c r="K2145" s="29" t="str">
        <f aca="false">IF(A2145="","",IFERROR(1/(1/_xlfn.MINIFS(Apparitions!$L$2:$L$5001,Apparitions!$G$2:$G$5001,A2145)),""))</f>
        <v/>
      </c>
      <c r="L2145" s="27" t="str">
        <f aca="false">IF(A2145="","",A2145&amp;" | "&amp;B2145&amp;IF(C2145="",""," ("&amp;C2145&amp;")")&amp;IF(D2145="",""," - "&amp;D2145))</f>
        <v/>
      </c>
    </row>
    <row r="2146" customFormat="false" ht="15" hidden="false" customHeight="false" outlineLevel="0" collapsed="false">
      <c r="A2146" s="32"/>
      <c r="B2146" s="19"/>
      <c r="C2146" s="19"/>
      <c r="D2146" s="19"/>
      <c r="E2146" s="21"/>
      <c r="F2146" s="19"/>
      <c r="G2146" s="27" t="str">
        <f aca="false">IF(B2146="","",IFERROR(INDEX(Jeux!$C$2:$C$3001,MATCH(B2146,Jeux!$A$2:$A$3001,0))&amp;"","⚠ jeu inconnu"))</f>
        <v/>
      </c>
      <c r="H2146" s="27" t="str">
        <f aca="false">IF(B2146="","",IFERROR(INDEX(Jeux!$D$2:$D$3001,MATCH(B2146,Jeux!$A$2:$A$3001,0))&amp;"",""))</f>
        <v/>
      </c>
      <c r="I2146" s="26" t="str">
        <f aca="false">IF(A2146="","",COUNTIF(Apparitions!$G$2:$G$5001,A2146))</f>
        <v/>
      </c>
      <c r="J2146" s="26" t="str">
        <f aca="false">IF(A2146="","",COUNTIFS(Apparitions!$G$2:$G$5001,A2146,Apparitions!$E$2:$E$5001,"○"))</f>
        <v/>
      </c>
      <c r="K2146" s="29" t="str">
        <f aca="false">IF(A2146="","",IFERROR(1/(1/_xlfn.MINIFS(Apparitions!$L$2:$L$5001,Apparitions!$G$2:$G$5001,A2146)),""))</f>
        <v/>
      </c>
      <c r="L2146" s="27" t="str">
        <f aca="false">IF(A2146="","",A2146&amp;" | "&amp;B2146&amp;IF(C2146="",""," ("&amp;C2146&amp;")")&amp;IF(D2146="",""," - "&amp;D2146))</f>
        <v/>
      </c>
    </row>
    <row r="2147" customFormat="false" ht="15" hidden="false" customHeight="false" outlineLevel="0" collapsed="false">
      <c r="A2147" s="32"/>
      <c r="B2147" s="19"/>
      <c r="C2147" s="19"/>
      <c r="D2147" s="19"/>
      <c r="E2147" s="21"/>
      <c r="F2147" s="19"/>
      <c r="G2147" s="27" t="str">
        <f aca="false">IF(B2147="","",IFERROR(INDEX(Jeux!$C$2:$C$3001,MATCH(B2147,Jeux!$A$2:$A$3001,0))&amp;"","⚠ jeu inconnu"))</f>
        <v/>
      </c>
      <c r="H2147" s="27" t="str">
        <f aca="false">IF(B2147="","",IFERROR(INDEX(Jeux!$D$2:$D$3001,MATCH(B2147,Jeux!$A$2:$A$3001,0))&amp;"",""))</f>
        <v/>
      </c>
      <c r="I2147" s="26" t="str">
        <f aca="false">IF(A2147="","",COUNTIF(Apparitions!$G$2:$G$5001,A2147))</f>
        <v/>
      </c>
      <c r="J2147" s="26" t="str">
        <f aca="false">IF(A2147="","",COUNTIFS(Apparitions!$G$2:$G$5001,A2147,Apparitions!$E$2:$E$5001,"○"))</f>
        <v/>
      </c>
      <c r="K2147" s="29" t="str">
        <f aca="false">IF(A2147="","",IFERROR(1/(1/_xlfn.MINIFS(Apparitions!$L$2:$L$5001,Apparitions!$G$2:$G$5001,A2147)),""))</f>
        <v/>
      </c>
      <c r="L2147" s="27" t="str">
        <f aca="false">IF(A2147="","",A2147&amp;" | "&amp;B2147&amp;IF(C2147="",""," ("&amp;C2147&amp;")")&amp;IF(D2147="",""," - "&amp;D2147))</f>
        <v/>
      </c>
    </row>
    <row r="2148" customFormat="false" ht="15" hidden="false" customHeight="false" outlineLevel="0" collapsed="false">
      <c r="A2148" s="32"/>
      <c r="B2148" s="19"/>
      <c r="C2148" s="19"/>
      <c r="D2148" s="19"/>
      <c r="E2148" s="21"/>
      <c r="F2148" s="19"/>
      <c r="G2148" s="27" t="str">
        <f aca="false">IF(B2148="","",IFERROR(INDEX(Jeux!$C$2:$C$3001,MATCH(B2148,Jeux!$A$2:$A$3001,0))&amp;"","⚠ jeu inconnu"))</f>
        <v/>
      </c>
      <c r="H2148" s="27" t="str">
        <f aca="false">IF(B2148="","",IFERROR(INDEX(Jeux!$D$2:$D$3001,MATCH(B2148,Jeux!$A$2:$A$3001,0))&amp;"",""))</f>
        <v/>
      </c>
      <c r="I2148" s="26" t="str">
        <f aca="false">IF(A2148="","",COUNTIF(Apparitions!$G$2:$G$5001,A2148))</f>
        <v/>
      </c>
      <c r="J2148" s="26" t="str">
        <f aca="false">IF(A2148="","",COUNTIFS(Apparitions!$G$2:$G$5001,A2148,Apparitions!$E$2:$E$5001,"○"))</f>
        <v/>
      </c>
      <c r="K2148" s="29" t="str">
        <f aca="false">IF(A2148="","",IFERROR(1/(1/_xlfn.MINIFS(Apparitions!$L$2:$L$5001,Apparitions!$G$2:$G$5001,A2148)),""))</f>
        <v/>
      </c>
      <c r="L2148" s="27" t="str">
        <f aca="false">IF(A2148="","",A2148&amp;" | "&amp;B2148&amp;IF(C2148="",""," ("&amp;C2148&amp;")")&amp;IF(D2148="",""," - "&amp;D2148))</f>
        <v/>
      </c>
    </row>
    <row r="2149" customFormat="false" ht="15" hidden="false" customHeight="false" outlineLevel="0" collapsed="false">
      <c r="A2149" s="32"/>
      <c r="B2149" s="19"/>
      <c r="C2149" s="19"/>
      <c r="D2149" s="19"/>
      <c r="E2149" s="21"/>
      <c r="F2149" s="19"/>
      <c r="G2149" s="27" t="str">
        <f aca="false">IF(B2149="","",IFERROR(INDEX(Jeux!$C$2:$C$3001,MATCH(B2149,Jeux!$A$2:$A$3001,0))&amp;"","⚠ jeu inconnu"))</f>
        <v/>
      </c>
      <c r="H2149" s="27" t="str">
        <f aca="false">IF(B2149="","",IFERROR(INDEX(Jeux!$D$2:$D$3001,MATCH(B2149,Jeux!$A$2:$A$3001,0))&amp;"",""))</f>
        <v/>
      </c>
      <c r="I2149" s="26" t="str">
        <f aca="false">IF(A2149="","",COUNTIF(Apparitions!$G$2:$G$5001,A2149))</f>
        <v/>
      </c>
      <c r="J2149" s="26" t="str">
        <f aca="false">IF(A2149="","",COUNTIFS(Apparitions!$G$2:$G$5001,A2149,Apparitions!$E$2:$E$5001,"○"))</f>
        <v/>
      </c>
      <c r="K2149" s="29" t="str">
        <f aca="false">IF(A2149="","",IFERROR(1/(1/_xlfn.MINIFS(Apparitions!$L$2:$L$5001,Apparitions!$G$2:$G$5001,A2149)),""))</f>
        <v/>
      </c>
      <c r="L2149" s="27" t="str">
        <f aca="false">IF(A2149="","",A2149&amp;" | "&amp;B2149&amp;IF(C2149="",""," ("&amp;C2149&amp;")")&amp;IF(D2149="",""," - "&amp;D2149))</f>
        <v/>
      </c>
    </row>
    <row r="2150" customFormat="false" ht="15" hidden="false" customHeight="false" outlineLevel="0" collapsed="false">
      <c r="A2150" s="32"/>
      <c r="B2150" s="19"/>
      <c r="C2150" s="19"/>
      <c r="D2150" s="19"/>
      <c r="E2150" s="21"/>
      <c r="F2150" s="19"/>
      <c r="G2150" s="27" t="str">
        <f aca="false">IF(B2150="","",IFERROR(INDEX(Jeux!$C$2:$C$3001,MATCH(B2150,Jeux!$A$2:$A$3001,0))&amp;"","⚠ jeu inconnu"))</f>
        <v/>
      </c>
      <c r="H2150" s="27" t="str">
        <f aca="false">IF(B2150="","",IFERROR(INDEX(Jeux!$D$2:$D$3001,MATCH(B2150,Jeux!$A$2:$A$3001,0))&amp;"",""))</f>
        <v/>
      </c>
      <c r="I2150" s="26" t="str">
        <f aca="false">IF(A2150="","",COUNTIF(Apparitions!$G$2:$G$5001,A2150))</f>
        <v/>
      </c>
      <c r="J2150" s="26" t="str">
        <f aca="false">IF(A2150="","",COUNTIFS(Apparitions!$G$2:$G$5001,A2150,Apparitions!$E$2:$E$5001,"○"))</f>
        <v/>
      </c>
      <c r="K2150" s="29" t="str">
        <f aca="false">IF(A2150="","",IFERROR(1/(1/_xlfn.MINIFS(Apparitions!$L$2:$L$5001,Apparitions!$G$2:$G$5001,A2150)),""))</f>
        <v/>
      </c>
      <c r="L2150" s="27" t="str">
        <f aca="false">IF(A2150="","",A2150&amp;" | "&amp;B2150&amp;IF(C2150="",""," ("&amp;C2150&amp;")")&amp;IF(D2150="",""," - "&amp;D2150))</f>
        <v/>
      </c>
    </row>
    <row r="2151" customFormat="false" ht="15" hidden="false" customHeight="false" outlineLevel="0" collapsed="false">
      <c r="A2151" s="32"/>
      <c r="B2151" s="19"/>
      <c r="C2151" s="19"/>
      <c r="D2151" s="19"/>
      <c r="E2151" s="21"/>
      <c r="F2151" s="19"/>
      <c r="G2151" s="27" t="str">
        <f aca="false">IF(B2151="","",IFERROR(INDEX(Jeux!$C$2:$C$3001,MATCH(B2151,Jeux!$A$2:$A$3001,0))&amp;"","⚠ jeu inconnu"))</f>
        <v/>
      </c>
      <c r="H2151" s="27" t="str">
        <f aca="false">IF(B2151="","",IFERROR(INDEX(Jeux!$D$2:$D$3001,MATCH(B2151,Jeux!$A$2:$A$3001,0))&amp;"",""))</f>
        <v/>
      </c>
      <c r="I2151" s="26" t="str">
        <f aca="false">IF(A2151="","",COUNTIF(Apparitions!$G$2:$G$5001,A2151))</f>
        <v/>
      </c>
      <c r="J2151" s="26" t="str">
        <f aca="false">IF(A2151="","",COUNTIFS(Apparitions!$G$2:$G$5001,A2151,Apparitions!$E$2:$E$5001,"○"))</f>
        <v/>
      </c>
      <c r="K2151" s="29" t="str">
        <f aca="false">IF(A2151="","",IFERROR(1/(1/_xlfn.MINIFS(Apparitions!$L$2:$L$5001,Apparitions!$G$2:$G$5001,A2151)),""))</f>
        <v/>
      </c>
      <c r="L2151" s="27" t="str">
        <f aca="false">IF(A2151="","",A2151&amp;" | "&amp;B2151&amp;IF(C2151="",""," ("&amp;C2151&amp;")")&amp;IF(D2151="",""," - "&amp;D2151))</f>
        <v/>
      </c>
    </row>
    <row r="2152" customFormat="false" ht="15" hidden="false" customHeight="false" outlineLevel="0" collapsed="false">
      <c r="A2152" s="32"/>
      <c r="B2152" s="19"/>
      <c r="C2152" s="19"/>
      <c r="D2152" s="19"/>
      <c r="E2152" s="21"/>
      <c r="F2152" s="19"/>
      <c r="G2152" s="27" t="str">
        <f aca="false">IF(B2152="","",IFERROR(INDEX(Jeux!$C$2:$C$3001,MATCH(B2152,Jeux!$A$2:$A$3001,0))&amp;"","⚠ jeu inconnu"))</f>
        <v/>
      </c>
      <c r="H2152" s="27" t="str">
        <f aca="false">IF(B2152="","",IFERROR(INDEX(Jeux!$D$2:$D$3001,MATCH(B2152,Jeux!$A$2:$A$3001,0))&amp;"",""))</f>
        <v/>
      </c>
      <c r="I2152" s="26" t="str">
        <f aca="false">IF(A2152="","",COUNTIF(Apparitions!$G$2:$G$5001,A2152))</f>
        <v/>
      </c>
      <c r="J2152" s="26" t="str">
        <f aca="false">IF(A2152="","",COUNTIFS(Apparitions!$G$2:$G$5001,A2152,Apparitions!$E$2:$E$5001,"○"))</f>
        <v/>
      </c>
      <c r="K2152" s="29" t="str">
        <f aca="false">IF(A2152="","",IFERROR(1/(1/_xlfn.MINIFS(Apparitions!$L$2:$L$5001,Apparitions!$G$2:$G$5001,A2152)),""))</f>
        <v/>
      </c>
      <c r="L2152" s="27" t="str">
        <f aca="false">IF(A2152="","",A2152&amp;" | "&amp;B2152&amp;IF(C2152="",""," ("&amp;C2152&amp;")")&amp;IF(D2152="",""," - "&amp;D2152))</f>
        <v/>
      </c>
    </row>
    <row r="2153" customFormat="false" ht="15" hidden="false" customHeight="false" outlineLevel="0" collapsed="false">
      <c r="A2153" s="32"/>
      <c r="B2153" s="19"/>
      <c r="C2153" s="19"/>
      <c r="D2153" s="19"/>
      <c r="E2153" s="21"/>
      <c r="F2153" s="19"/>
      <c r="G2153" s="27" t="str">
        <f aca="false">IF(B2153="","",IFERROR(INDEX(Jeux!$C$2:$C$3001,MATCH(B2153,Jeux!$A$2:$A$3001,0))&amp;"","⚠ jeu inconnu"))</f>
        <v/>
      </c>
      <c r="H2153" s="27" t="str">
        <f aca="false">IF(B2153="","",IFERROR(INDEX(Jeux!$D$2:$D$3001,MATCH(B2153,Jeux!$A$2:$A$3001,0))&amp;"",""))</f>
        <v/>
      </c>
      <c r="I2153" s="26" t="str">
        <f aca="false">IF(A2153="","",COUNTIF(Apparitions!$G$2:$G$5001,A2153))</f>
        <v/>
      </c>
      <c r="J2153" s="26" t="str">
        <f aca="false">IF(A2153="","",COUNTIFS(Apparitions!$G$2:$G$5001,A2153,Apparitions!$E$2:$E$5001,"○"))</f>
        <v/>
      </c>
      <c r="K2153" s="29" t="str">
        <f aca="false">IF(A2153="","",IFERROR(1/(1/_xlfn.MINIFS(Apparitions!$L$2:$L$5001,Apparitions!$G$2:$G$5001,A2153)),""))</f>
        <v/>
      </c>
      <c r="L2153" s="27" t="str">
        <f aca="false">IF(A2153="","",A2153&amp;" | "&amp;B2153&amp;IF(C2153="",""," ("&amp;C2153&amp;")")&amp;IF(D2153="",""," - "&amp;D2153))</f>
        <v/>
      </c>
    </row>
    <row r="2154" customFormat="false" ht="15" hidden="false" customHeight="false" outlineLevel="0" collapsed="false">
      <c r="A2154" s="32"/>
      <c r="B2154" s="19"/>
      <c r="C2154" s="19"/>
      <c r="D2154" s="19"/>
      <c r="E2154" s="21"/>
      <c r="F2154" s="19"/>
      <c r="G2154" s="27" t="str">
        <f aca="false">IF(B2154="","",IFERROR(INDEX(Jeux!$C$2:$C$3001,MATCH(B2154,Jeux!$A$2:$A$3001,0))&amp;"","⚠ jeu inconnu"))</f>
        <v/>
      </c>
      <c r="H2154" s="27" t="str">
        <f aca="false">IF(B2154="","",IFERROR(INDEX(Jeux!$D$2:$D$3001,MATCH(B2154,Jeux!$A$2:$A$3001,0))&amp;"",""))</f>
        <v/>
      </c>
      <c r="I2154" s="26" t="str">
        <f aca="false">IF(A2154="","",COUNTIF(Apparitions!$G$2:$G$5001,A2154))</f>
        <v/>
      </c>
      <c r="J2154" s="26" t="str">
        <f aca="false">IF(A2154="","",COUNTIFS(Apparitions!$G$2:$G$5001,A2154,Apparitions!$E$2:$E$5001,"○"))</f>
        <v/>
      </c>
      <c r="K2154" s="29" t="str">
        <f aca="false">IF(A2154="","",IFERROR(1/(1/_xlfn.MINIFS(Apparitions!$L$2:$L$5001,Apparitions!$G$2:$G$5001,A2154)),""))</f>
        <v/>
      </c>
      <c r="L2154" s="27" t="str">
        <f aca="false">IF(A2154="","",A2154&amp;" | "&amp;B2154&amp;IF(C2154="",""," ("&amp;C2154&amp;")")&amp;IF(D2154="",""," - "&amp;D2154))</f>
        <v/>
      </c>
    </row>
    <row r="2155" customFormat="false" ht="15" hidden="false" customHeight="false" outlineLevel="0" collapsed="false">
      <c r="A2155" s="32"/>
      <c r="B2155" s="19"/>
      <c r="C2155" s="19"/>
      <c r="D2155" s="19"/>
      <c r="E2155" s="21"/>
      <c r="F2155" s="19"/>
      <c r="G2155" s="27" t="str">
        <f aca="false">IF(B2155="","",IFERROR(INDEX(Jeux!$C$2:$C$3001,MATCH(B2155,Jeux!$A$2:$A$3001,0))&amp;"","⚠ jeu inconnu"))</f>
        <v/>
      </c>
      <c r="H2155" s="27" t="str">
        <f aca="false">IF(B2155="","",IFERROR(INDEX(Jeux!$D$2:$D$3001,MATCH(B2155,Jeux!$A$2:$A$3001,0))&amp;"",""))</f>
        <v/>
      </c>
      <c r="I2155" s="26" t="str">
        <f aca="false">IF(A2155="","",COUNTIF(Apparitions!$G$2:$G$5001,A2155))</f>
        <v/>
      </c>
      <c r="J2155" s="26" t="str">
        <f aca="false">IF(A2155="","",COUNTIFS(Apparitions!$G$2:$G$5001,A2155,Apparitions!$E$2:$E$5001,"○"))</f>
        <v/>
      </c>
      <c r="K2155" s="29" t="str">
        <f aca="false">IF(A2155="","",IFERROR(1/(1/_xlfn.MINIFS(Apparitions!$L$2:$L$5001,Apparitions!$G$2:$G$5001,A2155)),""))</f>
        <v/>
      </c>
      <c r="L2155" s="27" t="str">
        <f aca="false">IF(A2155="","",A2155&amp;" | "&amp;B2155&amp;IF(C2155="",""," ("&amp;C2155&amp;")")&amp;IF(D2155="",""," - "&amp;D2155))</f>
        <v/>
      </c>
    </row>
    <row r="2156" customFormat="false" ht="15" hidden="false" customHeight="false" outlineLevel="0" collapsed="false">
      <c r="A2156" s="32"/>
      <c r="B2156" s="19"/>
      <c r="C2156" s="19"/>
      <c r="D2156" s="19"/>
      <c r="E2156" s="21"/>
      <c r="F2156" s="19"/>
      <c r="G2156" s="27" t="str">
        <f aca="false">IF(B2156="","",IFERROR(INDEX(Jeux!$C$2:$C$3001,MATCH(B2156,Jeux!$A$2:$A$3001,0))&amp;"","⚠ jeu inconnu"))</f>
        <v/>
      </c>
      <c r="H2156" s="27" t="str">
        <f aca="false">IF(B2156="","",IFERROR(INDEX(Jeux!$D$2:$D$3001,MATCH(B2156,Jeux!$A$2:$A$3001,0))&amp;"",""))</f>
        <v/>
      </c>
      <c r="I2156" s="26" t="str">
        <f aca="false">IF(A2156="","",COUNTIF(Apparitions!$G$2:$G$5001,A2156))</f>
        <v/>
      </c>
      <c r="J2156" s="26" t="str">
        <f aca="false">IF(A2156="","",COUNTIFS(Apparitions!$G$2:$G$5001,A2156,Apparitions!$E$2:$E$5001,"○"))</f>
        <v/>
      </c>
      <c r="K2156" s="29" t="str">
        <f aca="false">IF(A2156="","",IFERROR(1/(1/_xlfn.MINIFS(Apparitions!$L$2:$L$5001,Apparitions!$G$2:$G$5001,A2156)),""))</f>
        <v/>
      </c>
      <c r="L2156" s="27" t="str">
        <f aca="false">IF(A2156="","",A2156&amp;" | "&amp;B2156&amp;IF(C2156="",""," ("&amp;C2156&amp;")")&amp;IF(D2156="",""," - "&amp;D2156))</f>
        <v/>
      </c>
    </row>
    <row r="2157" customFormat="false" ht="15" hidden="false" customHeight="false" outlineLevel="0" collapsed="false">
      <c r="A2157" s="32"/>
      <c r="B2157" s="19"/>
      <c r="C2157" s="19"/>
      <c r="D2157" s="19"/>
      <c r="E2157" s="21"/>
      <c r="F2157" s="19"/>
      <c r="G2157" s="27" t="str">
        <f aca="false">IF(B2157="","",IFERROR(INDEX(Jeux!$C$2:$C$3001,MATCH(B2157,Jeux!$A$2:$A$3001,0))&amp;"","⚠ jeu inconnu"))</f>
        <v/>
      </c>
      <c r="H2157" s="27" t="str">
        <f aca="false">IF(B2157="","",IFERROR(INDEX(Jeux!$D$2:$D$3001,MATCH(B2157,Jeux!$A$2:$A$3001,0))&amp;"",""))</f>
        <v/>
      </c>
      <c r="I2157" s="26" t="str">
        <f aca="false">IF(A2157="","",COUNTIF(Apparitions!$G$2:$G$5001,A2157))</f>
        <v/>
      </c>
      <c r="J2157" s="26" t="str">
        <f aca="false">IF(A2157="","",COUNTIFS(Apparitions!$G$2:$G$5001,A2157,Apparitions!$E$2:$E$5001,"○"))</f>
        <v/>
      </c>
      <c r="K2157" s="29" t="str">
        <f aca="false">IF(A2157="","",IFERROR(1/(1/_xlfn.MINIFS(Apparitions!$L$2:$L$5001,Apparitions!$G$2:$G$5001,A2157)),""))</f>
        <v/>
      </c>
      <c r="L2157" s="27" t="str">
        <f aca="false">IF(A2157="","",A2157&amp;" | "&amp;B2157&amp;IF(C2157="",""," ("&amp;C2157&amp;")")&amp;IF(D2157="",""," - "&amp;D2157))</f>
        <v/>
      </c>
    </row>
    <row r="2158" customFormat="false" ht="15" hidden="false" customHeight="false" outlineLevel="0" collapsed="false">
      <c r="A2158" s="32"/>
      <c r="B2158" s="19"/>
      <c r="C2158" s="19"/>
      <c r="D2158" s="19"/>
      <c r="E2158" s="21"/>
      <c r="F2158" s="19"/>
      <c r="G2158" s="27" t="str">
        <f aca="false">IF(B2158="","",IFERROR(INDEX(Jeux!$C$2:$C$3001,MATCH(B2158,Jeux!$A$2:$A$3001,0))&amp;"","⚠ jeu inconnu"))</f>
        <v/>
      </c>
      <c r="H2158" s="27" t="str">
        <f aca="false">IF(B2158="","",IFERROR(INDEX(Jeux!$D$2:$D$3001,MATCH(B2158,Jeux!$A$2:$A$3001,0))&amp;"",""))</f>
        <v/>
      </c>
      <c r="I2158" s="26" t="str">
        <f aca="false">IF(A2158="","",COUNTIF(Apparitions!$G$2:$G$5001,A2158))</f>
        <v/>
      </c>
      <c r="J2158" s="26" t="str">
        <f aca="false">IF(A2158="","",COUNTIFS(Apparitions!$G$2:$G$5001,A2158,Apparitions!$E$2:$E$5001,"○"))</f>
        <v/>
      </c>
      <c r="K2158" s="29" t="str">
        <f aca="false">IF(A2158="","",IFERROR(1/(1/_xlfn.MINIFS(Apparitions!$L$2:$L$5001,Apparitions!$G$2:$G$5001,A2158)),""))</f>
        <v/>
      </c>
      <c r="L2158" s="27" t="str">
        <f aca="false">IF(A2158="","",A2158&amp;" | "&amp;B2158&amp;IF(C2158="",""," ("&amp;C2158&amp;")")&amp;IF(D2158="",""," - "&amp;D2158))</f>
        <v/>
      </c>
    </row>
    <row r="2159" customFormat="false" ht="15" hidden="false" customHeight="false" outlineLevel="0" collapsed="false">
      <c r="A2159" s="32"/>
      <c r="B2159" s="19"/>
      <c r="C2159" s="19"/>
      <c r="D2159" s="19"/>
      <c r="E2159" s="21"/>
      <c r="F2159" s="19"/>
      <c r="G2159" s="27" t="str">
        <f aca="false">IF(B2159="","",IFERROR(INDEX(Jeux!$C$2:$C$3001,MATCH(B2159,Jeux!$A$2:$A$3001,0))&amp;"","⚠ jeu inconnu"))</f>
        <v/>
      </c>
      <c r="H2159" s="27" t="str">
        <f aca="false">IF(B2159="","",IFERROR(INDEX(Jeux!$D$2:$D$3001,MATCH(B2159,Jeux!$A$2:$A$3001,0))&amp;"",""))</f>
        <v/>
      </c>
      <c r="I2159" s="26" t="str">
        <f aca="false">IF(A2159="","",COUNTIF(Apparitions!$G$2:$G$5001,A2159))</f>
        <v/>
      </c>
      <c r="J2159" s="26" t="str">
        <f aca="false">IF(A2159="","",COUNTIFS(Apparitions!$G$2:$G$5001,A2159,Apparitions!$E$2:$E$5001,"○"))</f>
        <v/>
      </c>
      <c r="K2159" s="29" t="str">
        <f aca="false">IF(A2159="","",IFERROR(1/(1/_xlfn.MINIFS(Apparitions!$L$2:$L$5001,Apparitions!$G$2:$G$5001,A2159)),""))</f>
        <v/>
      </c>
      <c r="L2159" s="27" t="str">
        <f aca="false">IF(A2159="","",A2159&amp;" | "&amp;B2159&amp;IF(C2159="",""," ("&amp;C2159&amp;")")&amp;IF(D2159="",""," - "&amp;D2159))</f>
        <v/>
      </c>
    </row>
    <row r="2160" customFormat="false" ht="15" hidden="false" customHeight="false" outlineLevel="0" collapsed="false">
      <c r="A2160" s="32"/>
      <c r="B2160" s="19"/>
      <c r="C2160" s="19"/>
      <c r="D2160" s="19"/>
      <c r="E2160" s="21"/>
      <c r="F2160" s="19"/>
      <c r="G2160" s="27" t="str">
        <f aca="false">IF(B2160="","",IFERROR(INDEX(Jeux!$C$2:$C$3001,MATCH(B2160,Jeux!$A$2:$A$3001,0))&amp;"","⚠ jeu inconnu"))</f>
        <v/>
      </c>
      <c r="H2160" s="27" t="str">
        <f aca="false">IF(B2160="","",IFERROR(INDEX(Jeux!$D$2:$D$3001,MATCH(B2160,Jeux!$A$2:$A$3001,0))&amp;"",""))</f>
        <v/>
      </c>
      <c r="I2160" s="26" t="str">
        <f aca="false">IF(A2160="","",COUNTIF(Apparitions!$G$2:$G$5001,A2160))</f>
        <v/>
      </c>
      <c r="J2160" s="26" t="str">
        <f aca="false">IF(A2160="","",COUNTIFS(Apparitions!$G$2:$G$5001,A2160,Apparitions!$E$2:$E$5001,"○"))</f>
        <v/>
      </c>
      <c r="K2160" s="29" t="str">
        <f aca="false">IF(A2160="","",IFERROR(1/(1/_xlfn.MINIFS(Apparitions!$L$2:$L$5001,Apparitions!$G$2:$G$5001,A2160)),""))</f>
        <v/>
      </c>
      <c r="L2160" s="27" t="str">
        <f aca="false">IF(A2160="","",A2160&amp;" | "&amp;B2160&amp;IF(C2160="",""," ("&amp;C2160&amp;")")&amp;IF(D2160="",""," - "&amp;D2160))</f>
        <v/>
      </c>
    </row>
    <row r="2161" customFormat="false" ht="15" hidden="false" customHeight="false" outlineLevel="0" collapsed="false">
      <c r="A2161" s="32"/>
      <c r="B2161" s="19"/>
      <c r="C2161" s="19"/>
      <c r="D2161" s="19"/>
      <c r="E2161" s="21"/>
      <c r="F2161" s="19"/>
      <c r="G2161" s="27" t="str">
        <f aca="false">IF(B2161="","",IFERROR(INDEX(Jeux!$C$2:$C$3001,MATCH(B2161,Jeux!$A$2:$A$3001,0))&amp;"","⚠ jeu inconnu"))</f>
        <v/>
      </c>
      <c r="H2161" s="27" t="str">
        <f aca="false">IF(B2161="","",IFERROR(INDEX(Jeux!$D$2:$D$3001,MATCH(B2161,Jeux!$A$2:$A$3001,0))&amp;"",""))</f>
        <v/>
      </c>
      <c r="I2161" s="26" t="str">
        <f aca="false">IF(A2161="","",COUNTIF(Apparitions!$G$2:$G$5001,A2161))</f>
        <v/>
      </c>
      <c r="J2161" s="26" t="str">
        <f aca="false">IF(A2161="","",COUNTIFS(Apparitions!$G$2:$G$5001,A2161,Apparitions!$E$2:$E$5001,"○"))</f>
        <v/>
      </c>
      <c r="K2161" s="29" t="str">
        <f aca="false">IF(A2161="","",IFERROR(1/(1/_xlfn.MINIFS(Apparitions!$L$2:$L$5001,Apparitions!$G$2:$G$5001,A2161)),""))</f>
        <v/>
      </c>
      <c r="L2161" s="27" t="str">
        <f aca="false">IF(A2161="","",A2161&amp;" | "&amp;B2161&amp;IF(C2161="",""," ("&amp;C2161&amp;")")&amp;IF(D2161="",""," - "&amp;D2161))</f>
        <v/>
      </c>
    </row>
    <row r="2162" customFormat="false" ht="15" hidden="false" customHeight="false" outlineLevel="0" collapsed="false">
      <c r="A2162" s="32"/>
      <c r="B2162" s="19"/>
      <c r="C2162" s="19"/>
      <c r="D2162" s="19"/>
      <c r="E2162" s="21"/>
      <c r="F2162" s="19"/>
      <c r="G2162" s="27" t="str">
        <f aca="false">IF(B2162="","",IFERROR(INDEX(Jeux!$C$2:$C$3001,MATCH(B2162,Jeux!$A$2:$A$3001,0))&amp;"","⚠ jeu inconnu"))</f>
        <v/>
      </c>
      <c r="H2162" s="27" t="str">
        <f aca="false">IF(B2162="","",IFERROR(INDEX(Jeux!$D$2:$D$3001,MATCH(B2162,Jeux!$A$2:$A$3001,0))&amp;"",""))</f>
        <v/>
      </c>
      <c r="I2162" s="26" t="str">
        <f aca="false">IF(A2162="","",COUNTIF(Apparitions!$G$2:$G$5001,A2162))</f>
        <v/>
      </c>
      <c r="J2162" s="26" t="str">
        <f aca="false">IF(A2162="","",COUNTIFS(Apparitions!$G$2:$G$5001,A2162,Apparitions!$E$2:$E$5001,"○"))</f>
        <v/>
      </c>
      <c r="K2162" s="29" t="str">
        <f aca="false">IF(A2162="","",IFERROR(1/(1/_xlfn.MINIFS(Apparitions!$L$2:$L$5001,Apparitions!$G$2:$G$5001,A2162)),""))</f>
        <v/>
      </c>
      <c r="L2162" s="27" t="str">
        <f aca="false">IF(A2162="","",A2162&amp;" | "&amp;B2162&amp;IF(C2162="",""," ("&amp;C2162&amp;")")&amp;IF(D2162="",""," - "&amp;D2162))</f>
        <v/>
      </c>
    </row>
    <row r="2163" customFormat="false" ht="15" hidden="false" customHeight="false" outlineLevel="0" collapsed="false">
      <c r="A2163" s="32"/>
      <c r="B2163" s="19"/>
      <c r="C2163" s="19"/>
      <c r="D2163" s="19"/>
      <c r="E2163" s="21"/>
      <c r="F2163" s="19"/>
      <c r="G2163" s="27" t="str">
        <f aca="false">IF(B2163="","",IFERROR(INDEX(Jeux!$C$2:$C$3001,MATCH(B2163,Jeux!$A$2:$A$3001,0))&amp;"","⚠ jeu inconnu"))</f>
        <v/>
      </c>
      <c r="H2163" s="27" t="str">
        <f aca="false">IF(B2163="","",IFERROR(INDEX(Jeux!$D$2:$D$3001,MATCH(B2163,Jeux!$A$2:$A$3001,0))&amp;"",""))</f>
        <v/>
      </c>
      <c r="I2163" s="26" t="str">
        <f aca="false">IF(A2163="","",COUNTIF(Apparitions!$G$2:$G$5001,A2163))</f>
        <v/>
      </c>
      <c r="J2163" s="26" t="str">
        <f aca="false">IF(A2163="","",COUNTIFS(Apparitions!$G$2:$G$5001,A2163,Apparitions!$E$2:$E$5001,"○"))</f>
        <v/>
      </c>
      <c r="K2163" s="29" t="str">
        <f aca="false">IF(A2163="","",IFERROR(1/(1/_xlfn.MINIFS(Apparitions!$L$2:$L$5001,Apparitions!$G$2:$G$5001,A2163)),""))</f>
        <v/>
      </c>
      <c r="L2163" s="27" t="str">
        <f aca="false">IF(A2163="","",A2163&amp;" | "&amp;B2163&amp;IF(C2163="",""," ("&amp;C2163&amp;")")&amp;IF(D2163="",""," - "&amp;D2163))</f>
        <v/>
      </c>
    </row>
    <row r="2164" customFormat="false" ht="15" hidden="false" customHeight="false" outlineLevel="0" collapsed="false">
      <c r="A2164" s="32"/>
      <c r="B2164" s="19"/>
      <c r="C2164" s="19"/>
      <c r="D2164" s="19"/>
      <c r="E2164" s="21"/>
      <c r="F2164" s="19"/>
      <c r="G2164" s="27" t="str">
        <f aca="false">IF(B2164="","",IFERROR(INDEX(Jeux!$C$2:$C$3001,MATCH(B2164,Jeux!$A$2:$A$3001,0))&amp;"","⚠ jeu inconnu"))</f>
        <v/>
      </c>
      <c r="H2164" s="27" t="str">
        <f aca="false">IF(B2164="","",IFERROR(INDEX(Jeux!$D$2:$D$3001,MATCH(B2164,Jeux!$A$2:$A$3001,0))&amp;"",""))</f>
        <v/>
      </c>
      <c r="I2164" s="26" t="str">
        <f aca="false">IF(A2164="","",COUNTIF(Apparitions!$G$2:$G$5001,A2164))</f>
        <v/>
      </c>
      <c r="J2164" s="26" t="str">
        <f aca="false">IF(A2164="","",COUNTIFS(Apparitions!$G$2:$G$5001,A2164,Apparitions!$E$2:$E$5001,"○"))</f>
        <v/>
      </c>
      <c r="K2164" s="29" t="str">
        <f aca="false">IF(A2164="","",IFERROR(1/(1/_xlfn.MINIFS(Apparitions!$L$2:$L$5001,Apparitions!$G$2:$G$5001,A2164)),""))</f>
        <v/>
      </c>
      <c r="L2164" s="27" t="str">
        <f aca="false">IF(A2164="","",A2164&amp;" | "&amp;B2164&amp;IF(C2164="",""," ("&amp;C2164&amp;")")&amp;IF(D2164="",""," - "&amp;D2164))</f>
        <v/>
      </c>
    </row>
    <row r="2165" customFormat="false" ht="15" hidden="false" customHeight="false" outlineLevel="0" collapsed="false">
      <c r="A2165" s="32"/>
      <c r="B2165" s="19"/>
      <c r="C2165" s="19"/>
      <c r="D2165" s="19"/>
      <c r="E2165" s="21"/>
      <c r="F2165" s="19"/>
      <c r="G2165" s="27" t="str">
        <f aca="false">IF(B2165="","",IFERROR(INDEX(Jeux!$C$2:$C$3001,MATCH(B2165,Jeux!$A$2:$A$3001,0))&amp;"","⚠ jeu inconnu"))</f>
        <v/>
      </c>
      <c r="H2165" s="27" t="str">
        <f aca="false">IF(B2165="","",IFERROR(INDEX(Jeux!$D$2:$D$3001,MATCH(B2165,Jeux!$A$2:$A$3001,0))&amp;"",""))</f>
        <v/>
      </c>
      <c r="I2165" s="26" t="str">
        <f aca="false">IF(A2165="","",COUNTIF(Apparitions!$G$2:$G$5001,A2165))</f>
        <v/>
      </c>
      <c r="J2165" s="26" t="str">
        <f aca="false">IF(A2165="","",COUNTIFS(Apparitions!$G$2:$G$5001,A2165,Apparitions!$E$2:$E$5001,"○"))</f>
        <v/>
      </c>
      <c r="K2165" s="29" t="str">
        <f aca="false">IF(A2165="","",IFERROR(1/(1/_xlfn.MINIFS(Apparitions!$L$2:$L$5001,Apparitions!$G$2:$G$5001,A2165)),""))</f>
        <v/>
      </c>
      <c r="L2165" s="27" t="str">
        <f aca="false">IF(A2165="","",A2165&amp;" | "&amp;B2165&amp;IF(C2165="",""," ("&amp;C2165&amp;")")&amp;IF(D2165="",""," - "&amp;D2165))</f>
        <v/>
      </c>
    </row>
    <row r="2166" customFormat="false" ht="15" hidden="false" customHeight="false" outlineLevel="0" collapsed="false">
      <c r="A2166" s="32"/>
      <c r="B2166" s="19"/>
      <c r="C2166" s="19"/>
      <c r="D2166" s="19"/>
      <c r="E2166" s="21"/>
      <c r="F2166" s="19"/>
      <c r="G2166" s="27" t="str">
        <f aca="false">IF(B2166="","",IFERROR(INDEX(Jeux!$C$2:$C$3001,MATCH(B2166,Jeux!$A$2:$A$3001,0))&amp;"","⚠ jeu inconnu"))</f>
        <v/>
      </c>
      <c r="H2166" s="27" t="str">
        <f aca="false">IF(B2166="","",IFERROR(INDEX(Jeux!$D$2:$D$3001,MATCH(B2166,Jeux!$A$2:$A$3001,0))&amp;"",""))</f>
        <v/>
      </c>
      <c r="I2166" s="26" t="str">
        <f aca="false">IF(A2166="","",COUNTIF(Apparitions!$G$2:$G$5001,A2166))</f>
        <v/>
      </c>
      <c r="J2166" s="26" t="str">
        <f aca="false">IF(A2166="","",COUNTIFS(Apparitions!$G$2:$G$5001,A2166,Apparitions!$E$2:$E$5001,"○"))</f>
        <v/>
      </c>
      <c r="K2166" s="29" t="str">
        <f aca="false">IF(A2166="","",IFERROR(1/(1/_xlfn.MINIFS(Apparitions!$L$2:$L$5001,Apparitions!$G$2:$G$5001,A2166)),""))</f>
        <v/>
      </c>
      <c r="L2166" s="27" t="str">
        <f aca="false">IF(A2166="","",A2166&amp;" | "&amp;B2166&amp;IF(C2166="",""," ("&amp;C2166&amp;")")&amp;IF(D2166="",""," - "&amp;D2166))</f>
        <v/>
      </c>
    </row>
    <row r="2167" customFormat="false" ht="15" hidden="false" customHeight="false" outlineLevel="0" collapsed="false">
      <c r="A2167" s="32"/>
      <c r="B2167" s="19"/>
      <c r="C2167" s="19"/>
      <c r="D2167" s="19"/>
      <c r="E2167" s="21"/>
      <c r="F2167" s="19"/>
      <c r="G2167" s="27" t="str">
        <f aca="false">IF(B2167="","",IFERROR(INDEX(Jeux!$C$2:$C$3001,MATCH(B2167,Jeux!$A$2:$A$3001,0))&amp;"","⚠ jeu inconnu"))</f>
        <v/>
      </c>
      <c r="H2167" s="27" t="str">
        <f aca="false">IF(B2167="","",IFERROR(INDEX(Jeux!$D$2:$D$3001,MATCH(B2167,Jeux!$A$2:$A$3001,0))&amp;"",""))</f>
        <v/>
      </c>
      <c r="I2167" s="26" t="str">
        <f aca="false">IF(A2167="","",COUNTIF(Apparitions!$G$2:$G$5001,A2167))</f>
        <v/>
      </c>
      <c r="J2167" s="26" t="str">
        <f aca="false">IF(A2167="","",COUNTIFS(Apparitions!$G$2:$G$5001,A2167,Apparitions!$E$2:$E$5001,"○"))</f>
        <v/>
      </c>
      <c r="K2167" s="29" t="str">
        <f aca="false">IF(A2167="","",IFERROR(1/(1/_xlfn.MINIFS(Apparitions!$L$2:$L$5001,Apparitions!$G$2:$G$5001,A2167)),""))</f>
        <v/>
      </c>
      <c r="L2167" s="27" t="str">
        <f aca="false">IF(A2167="","",A2167&amp;" | "&amp;B2167&amp;IF(C2167="",""," ("&amp;C2167&amp;")")&amp;IF(D2167="",""," - "&amp;D2167))</f>
        <v/>
      </c>
    </row>
    <row r="2168" customFormat="false" ht="15" hidden="false" customHeight="false" outlineLevel="0" collapsed="false">
      <c r="A2168" s="32"/>
      <c r="B2168" s="19"/>
      <c r="C2168" s="19"/>
      <c r="D2168" s="19"/>
      <c r="E2168" s="21"/>
      <c r="F2168" s="19"/>
      <c r="G2168" s="27" t="str">
        <f aca="false">IF(B2168="","",IFERROR(INDEX(Jeux!$C$2:$C$3001,MATCH(B2168,Jeux!$A$2:$A$3001,0))&amp;"","⚠ jeu inconnu"))</f>
        <v/>
      </c>
      <c r="H2168" s="27" t="str">
        <f aca="false">IF(B2168="","",IFERROR(INDEX(Jeux!$D$2:$D$3001,MATCH(B2168,Jeux!$A$2:$A$3001,0))&amp;"",""))</f>
        <v/>
      </c>
      <c r="I2168" s="26" t="str">
        <f aca="false">IF(A2168="","",COUNTIF(Apparitions!$G$2:$G$5001,A2168))</f>
        <v/>
      </c>
      <c r="J2168" s="26" t="str">
        <f aca="false">IF(A2168="","",COUNTIFS(Apparitions!$G$2:$G$5001,A2168,Apparitions!$E$2:$E$5001,"○"))</f>
        <v/>
      </c>
      <c r="K2168" s="29" t="str">
        <f aca="false">IF(A2168="","",IFERROR(1/(1/_xlfn.MINIFS(Apparitions!$L$2:$L$5001,Apparitions!$G$2:$G$5001,A2168)),""))</f>
        <v/>
      </c>
      <c r="L2168" s="27" t="str">
        <f aca="false">IF(A2168="","",A2168&amp;" | "&amp;B2168&amp;IF(C2168="",""," ("&amp;C2168&amp;")")&amp;IF(D2168="",""," - "&amp;D2168))</f>
        <v/>
      </c>
    </row>
    <row r="2169" customFormat="false" ht="15" hidden="false" customHeight="false" outlineLevel="0" collapsed="false">
      <c r="A2169" s="32"/>
      <c r="B2169" s="19"/>
      <c r="C2169" s="19"/>
      <c r="D2169" s="19"/>
      <c r="E2169" s="21"/>
      <c r="F2169" s="19"/>
      <c r="G2169" s="27" t="str">
        <f aca="false">IF(B2169="","",IFERROR(INDEX(Jeux!$C$2:$C$3001,MATCH(B2169,Jeux!$A$2:$A$3001,0))&amp;"","⚠ jeu inconnu"))</f>
        <v/>
      </c>
      <c r="H2169" s="27" t="str">
        <f aca="false">IF(B2169="","",IFERROR(INDEX(Jeux!$D$2:$D$3001,MATCH(B2169,Jeux!$A$2:$A$3001,0))&amp;"",""))</f>
        <v/>
      </c>
      <c r="I2169" s="26" t="str">
        <f aca="false">IF(A2169="","",COUNTIF(Apparitions!$G$2:$G$5001,A2169))</f>
        <v/>
      </c>
      <c r="J2169" s="26" t="str">
        <f aca="false">IF(A2169="","",COUNTIFS(Apparitions!$G$2:$G$5001,A2169,Apparitions!$E$2:$E$5001,"○"))</f>
        <v/>
      </c>
      <c r="K2169" s="29" t="str">
        <f aca="false">IF(A2169="","",IFERROR(1/(1/_xlfn.MINIFS(Apparitions!$L$2:$L$5001,Apparitions!$G$2:$G$5001,A2169)),""))</f>
        <v/>
      </c>
      <c r="L2169" s="27" t="str">
        <f aca="false">IF(A2169="","",A2169&amp;" | "&amp;B2169&amp;IF(C2169="",""," ("&amp;C2169&amp;")")&amp;IF(D2169="",""," - "&amp;D2169))</f>
        <v/>
      </c>
    </row>
    <row r="2170" customFormat="false" ht="15" hidden="false" customHeight="false" outlineLevel="0" collapsed="false">
      <c r="A2170" s="32"/>
      <c r="B2170" s="19"/>
      <c r="C2170" s="19"/>
      <c r="D2170" s="19"/>
      <c r="E2170" s="21"/>
      <c r="F2170" s="19"/>
      <c r="G2170" s="27" t="str">
        <f aca="false">IF(B2170="","",IFERROR(INDEX(Jeux!$C$2:$C$3001,MATCH(B2170,Jeux!$A$2:$A$3001,0))&amp;"","⚠ jeu inconnu"))</f>
        <v/>
      </c>
      <c r="H2170" s="27" t="str">
        <f aca="false">IF(B2170="","",IFERROR(INDEX(Jeux!$D$2:$D$3001,MATCH(B2170,Jeux!$A$2:$A$3001,0))&amp;"",""))</f>
        <v/>
      </c>
      <c r="I2170" s="26" t="str">
        <f aca="false">IF(A2170="","",COUNTIF(Apparitions!$G$2:$G$5001,A2170))</f>
        <v/>
      </c>
      <c r="J2170" s="26" t="str">
        <f aca="false">IF(A2170="","",COUNTIFS(Apparitions!$G$2:$G$5001,A2170,Apparitions!$E$2:$E$5001,"○"))</f>
        <v/>
      </c>
      <c r="K2170" s="29" t="str">
        <f aca="false">IF(A2170="","",IFERROR(1/(1/_xlfn.MINIFS(Apparitions!$L$2:$L$5001,Apparitions!$G$2:$G$5001,A2170)),""))</f>
        <v/>
      </c>
      <c r="L2170" s="27" t="str">
        <f aca="false">IF(A2170="","",A2170&amp;" | "&amp;B2170&amp;IF(C2170="",""," ("&amp;C2170&amp;")")&amp;IF(D2170="",""," - "&amp;D2170))</f>
        <v/>
      </c>
    </row>
    <row r="2171" customFormat="false" ht="15" hidden="false" customHeight="false" outlineLevel="0" collapsed="false">
      <c r="A2171" s="32"/>
      <c r="B2171" s="19"/>
      <c r="C2171" s="19"/>
      <c r="D2171" s="19"/>
      <c r="E2171" s="21"/>
      <c r="F2171" s="19"/>
      <c r="G2171" s="27" t="str">
        <f aca="false">IF(B2171="","",IFERROR(INDEX(Jeux!$C$2:$C$3001,MATCH(B2171,Jeux!$A$2:$A$3001,0))&amp;"","⚠ jeu inconnu"))</f>
        <v/>
      </c>
      <c r="H2171" s="27" t="str">
        <f aca="false">IF(B2171="","",IFERROR(INDEX(Jeux!$D$2:$D$3001,MATCH(B2171,Jeux!$A$2:$A$3001,0))&amp;"",""))</f>
        <v/>
      </c>
      <c r="I2171" s="26" t="str">
        <f aca="false">IF(A2171="","",COUNTIF(Apparitions!$G$2:$G$5001,A2171))</f>
        <v/>
      </c>
      <c r="J2171" s="26" t="str">
        <f aca="false">IF(A2171="","",COUNTIFS(Apparitions!$G$2:$G$5001,A2171,Apparitions!$E$2:$E$5001,"○"))</f>
        <v/>
      </c>
      <c r="K2171" s="29" t="str">
        <f aca="false">IF(A2171="","",IFERROR(1/(1/_xlfn.MINIFS(Apparitions!$L$2:$L$5001,Apparitions!$G$2:$G$5001,A2171)),""))</f>
        <v/>
      </c>
      <c r="L2171" s="27" t="str">
        <f aca="false">IF(A2171="","",A2171&amp;" | "&amp;B2171&amp;IF(C2171="",""," ("&amp;C2171&amp;")")&amp;IF(D2171="",""," - "&amp;D2171))</f>
        <v/>
      </c>
    </row>
    <row r="2172" customFormat="false" ht="15" hidden="false" customHeight="false" outlineLevel="0" collapsed="false">
      <c r="A2172" s="32"/>
      <c r="B2172" s="19"/>
      <c r="C2172" s="19"/>
      <c r="D2172" s="19"/>
      <c r="E2172" s="21"/>
      <c r="F2172" s="19"/>
      <c r="G2172" s="27" t="str">
        <f aca="false">IF(B2172="","",IFERROR(INDEX(Jeux!$C$2:$C$3001,MATCH(B2172,Jeux!$A$2:$A$3001,0))&amp;"","⚠ jeu inconnu"))</f>
        <v/>
      </c>
      <c r="H2172" s="27" t="str">
        <f aca="false">IF(B2172="","",IFERROR(INDEX(Jeux!$D$2:$D$3001,MATCH(B2172,Jeux!$A$2:$A$3001,0))&amp;"",""))</f>
        <v/>
      </c>
      <c r="I2172" s="26" t="str">
        <f aca="false">IF(A2172="","",COUNTIF(Apparitions!$G$2:$G$5001,A2172))</f>
        <v/>
      </c>
      <c r="J2172" s="26" t="str">
        <f aca="false">IF(A2172="","",COUNTIFS(Apparitions!$G$2:$G$5001,A2172,Apparitions!$E$2:$E$5001,"○"))</f>
        <v/>
      </c>
      <c r="K2172" s="29" t="str">
        <f aca="false">IF(A2172="","",IFERROR(1/(1/_xlfn.MINIFS(Apparitions!$L$2:$L$5001,Apparitions!$G$2:$G$5001,A2172)),""))</f>
        <v/>
      </c>
      <c r="L2172" s="27" t="str">
        <f aca="false">IF(A2172="","",A2172&amp;" | "&amp;B2172&amp;IF(C2172="",""," ("&amp;C2172&amp;")")&amp;IF(D2172="",""," - "&amp;D2172))</f>
        <v/>
      </c>
    </row>
    <row r="2173" customFormat="false" ht="15" hidden="false" customHeight="false" outlineLevel="0" collapsed="false">
      <c r="A2173" s="32"/>
      <c r="B2173" s="19"/>
      <c r="C2173" s="19"/>
      <c r="D2173" s="19"/>
      <c r="E2173" s="21"/>
      <c r="F2173" s="19"/>
      <c r="G2173" s="27" t="str">
        <f aca="false">IF(B2173="","",IFERROR(INDEX(Jeux!$C$2:$C$3001,MATCH(B2173,Jeux!$A$2:$A$3001,0))&amp;"","⚠ jeu inconnu"))</f>
        <v/>
      </c>
      <c r="H2173" s="27" t="str">
        <f aca="false">IF(B2173="","",IFERROR(INDEX(Jeux!$D$2:$D$3001,MATCH(B2173,Jeux!$A$2:$A$3001,0))&amp;"",""))</f>
        <v/>
      </c>
      <c r="I2173" s="26" t="str">
        <f aca="false">IF(A2173="","",COUNTIF(Apparitions!$G$2:$G$5001,A2173))</f>
        <v/>
      </c>
      <c r="J2173" s="26" t="str">
        <f aca="false">IF(A2173="","",COUNTIFS(Apparitions!$G$2:$G$5001,A2173,Apparitions!$E$2:$E$5001,"○"))</f>
        <v/>
      </c>
      <c r="K2173" s="29" t="str">
        <f aca="false">IF(A2173="","",IFERROR(1/(1/_xlfn.MINIFS(Apparitions!$L$2:$L$5001,Apparitions!$G$2:$G$5001,A2173)),""))</f>
        <v/>
      </c>
      <c r="L2173" s="27" t="str">
        <f aca="false">IF(A2173="","",A2173&amp;" | "&amp;B2173&amp;IF(C2173="",""," ("&amp;C2173&amp;")")&amp;IF(D2173="",""," - "&amp;D2173))</f>
        <v/>
      </c>
    </row>
    <row r="2174" customFormat="false" ht="15" hidden="false" customHeight="false" outlineLevel="0" collapsed="false">
      <c r="A2174" s="32"/>
      <c r="B2174" s="19"/>
      <c r="C2174" s="19"/>
      <c r="D2174" s="19"/>
      <c r="E2174" s="21"/>
      <c r="F2174" s="19"/>
      <c r="G2174" s="27" t="str">
        <f aca="false">IF(B2174="","",IFERROR(INDEX(Jeux!$C$2:$C$3001,MATCH(B2174,Jeux!$A$2:$A$3001,0))&amp;"","⚠ jeu inconnu"))</f>
        <v/>
      </c>
      <c r="H2174" s="27" t="str">
        <f aca="false">IF(B2174="","",IFERROR(INDEX(Jeux!$D$2:$D$3001,MATCH(B2174,Jeux!$A$2:$A$3001,0))&amp;"",""))</f>
        <v/>
      </c>
      <c r="I2174" s="26" t="str">
        <f aca="false">IF(A2174="","",COUNTIF(Apparitions!$G$2:$G$5001,A2174))</f>
        <v/>
      </c>
      <c r="J2174" s="26" t="str">
        <f aca="false">IF(A2174="","",COUNTIFS(Apparitions!$G$2:$G$5001,A2174,Apparitions!$E$2:$E$5001,"○"))</f>
        <v/>
      </c>
      <c r="K2174" s="29" t="str">
        <f aca="false">IF(A2174="","",IFERROR(1/(1/_xlfn.MINIFS(Apparitions!$L$2:$L$5001,Apparitions!$G$2:$G$5001,A2174)),""))</f>
        <v/>
      </c>
      <c r="L2174" s="27" t="str">
        <f aca="false">IF(A2174="","",A2174&amp;" | "&amp;B2174&amp;IF(C2174="",""," ("&amp;C2174&amp;")")&amp;IF(D2174="",""," - "&amp;D2174))</f>
        <v/>
      </c>
    </row>
    <row r="2175" customFormat="false" ht="15" hidden="false" customHeight="false" outlineLevel="0" collapsed="false">
      <c r="A2175" s="32"/>
      <c r="B2175" s="19"/>
      <c r="C2175" s="19"/>
      <c r="D2175" s="19"/>
      <c r="E2175" s="21"/>
      <c r="F2175" s="19"/>
      <c r="G2175" s="27" t="str">
        <f aca="false">IF(B2175="","",IFERROR(INDEX(Jeux!$C$2:$C$3001,MATCH(B2175,Jeux!$A$2:$A$3001,0))&amp;"","⚠ jeu inconnu"))</f>
        <v/>
      </c>
      <c r="H2175" s="27" t="str">
        <f aca="false">IF(B2175="","",IFERROR(INDEX(Jeux!$D$2:$D$3001,MATCH(B2175,Jeux!$A$2:$A$3001,0))&amp;"",""))</f>
        <v/>
      </c>
      <c r="I2175" s="26" t="str">
        <f aca="false">IF(A2175="","",COUNTIF(Apparitions!$G$2:$G$5001,A2175))</f>
        <v/>
      </c>
      <c r="J2175" s="26" t="str">
        <f aca="false">IF(A2175="","",COUNTIFS(Apparitions!$G$2:$G$5001,A2175,Apparitions!$E$2:$E$5001,"○"))</f>
        <v/>
      </c>
      <c r="K2175" s="29" t="str">
        <f aca="false">IF(A2175="","",IFERROR(1/(1/_xlfn.MINIFS(Apparitions!$L$2:$L$5001,Apparitions!$G$2:$G$5001,A2175)),""))</f>
        <v/>
      </c>
      <c r="L2175" s="27" t="str">
        <f aca="false">IF(A2175="","",A2175&amp;" | "&amp;B2175&amp;IF(C2175="",""," ("&amp;C2175&amp;")")&amp;IF(D2175="",""," - "&amp;D2175))</f>
        <v/>
      </c>
    </row>
    <row r="2176" customFormat="false" ht="15" hidden="false" customHeight="false" outlineLevel="0" collapsed="false">
      <c r="A2176" s="32"/>
      <c r="B2176" s="19"/>
      <c r="C2176" s="19"/>
      <c r="D2176" s="19"/>
      <c r="E2176" s="21"/>
      <c r="F2176" s="19"/>
      <c r="G2176" s="27" t="str">
        <f aca="false">IF(B2176="","",IFERROR(INDEX(Jeux!$C$2:$C$3001,MATCH(B2176,Jeux!$A$2:$A$3001,0))&amp;"","⚠ jeu inconnu"))</f>
        <v/>
      </c>
      <c r="H2176" s="27" t="str">
        <f aca="false">IF(B2176="","",IFERROR(INDEX(Jeux!$D$2:$D$3001,MATCH(B2176,Jeux!$A$2:$A$3001,0))&amp;"",""))</f>
        <v/>
      </c>
      <c r="I2176" s="26" t="str">
        <f aca="false">IF(A2176="","",COUNTIF(Apparitions!$G$2:$G$5001,A2176))</f>
        <v/>
      </c>
      <c r="J2176" s="26" t="str">
        <f aca="false">IF(A2176="","",COUNTIFS(Apparitions!$G$2:$G$5001,A2176,Apparitions!$E$2:$E$5001,"○"))</f>
        <v/>
      </c>
      <c r="K2176" s="29" t="str">
        <f aca="false">IF(A2176="","",IFERROR(1/(1/_xlfn.MINIFS(Apparitions!$L$2:$L$5001,Apparitions!$G$2:$G$5001,A2176)),""))</f>
        <v/>
      </c>
      <c r="L2176" s="27" t="str">
        <f aca="false">IF(A2176="","",A2176&amp;" | "&amp;B2176&amp;IF(C2176="",""," ("&amp;C2176&amp;")")&amp;IF(D2176="",""," - "&amp;D2176))</f>
        <v/>
      </c>
    </row>
    <row r="2177" customFormat="false" ht="15" hidden="false" customHeight="false" outlineLevel="0" collapsed="false">
      <c r="A2177" s="32"/>
      <c r="B2177" s="19"/>
      <c r="C2177" s="19"/>
      <c r="D2177" s="19"/>
      <c r="E2177" s="21"/>
      <c r="F2177" s="19"/>
      <c r="G2177" s="27" t="str">
        <f aca="false">IF(B2177="","",IFERROR(INDEX(Jeux!$C$2:$C$3001,MATCH(B2177,Jeux!$A$2:$A$3001,0))&amp;"","⚠ jeu inconnu"))</f>
        <v/>
      </c>
      <c r="H2177" s="27" t="str">
        <f aca="false">IF(B2177="","",IFERROR(INDEX(Jeux!$D$2:$D$3001,MATCH(B2177,Jeux!$A$2:$A$3001,0))&amp;"",""))</f>
        <v/>
      </c>
      <c r="I2177" s="26" t="str">
        <f aca="false">IF(A2177="","",COUNTIF(Apparitions!$G$2:$G$5001,A2177))</f>
        <v/>
      </c>
      <c r="J2177" s="26" t="str">
        <f aca="false">IF(A2177="","",COUNTIFS(Apparitions!$G$2:$G$5001,A2177,Apparitions!$E$2:$E$5001,"○"))</f>
        <v/>
      </c>
      <c r="K2177" s="29" t="str">
        <f aca="false">IF(A2177="","",IFERROR(1/(1/_xlfn.MINIFS(Apparitions!$L$2:$L$5001,Apparitions!$G$2:$G$5001,A2177)),""))</f>
        <v/>
      </c>
      <c r="L2177" s="27" t="str">
        <f aca="false">IF(A2177="","",A2177&amp;" | "&amp;B2177&amp;IF(C2177="",""," ("&amp;C2177&amp;")")&amp;IF(D2177="",""," - "&amp;D2177))</f>
        <v/>
      </c>
    </row>
    <row r="2178" customFormat="false" ht="15" hidden="false" customHeight="false" outlineLevel="0" collapsed="false">
      <c r="A2178" s="32"/>
      <c r="B2178" s="19"/>
      <c r="C2178" s="19"/>
      <c r="D2178" s="19"/>
      <c r="E2178" s="21"/>
      <c r="F2178" s="19"/>
      <c r="G2178" s="27" t="str">
        <f aca="false">IF(B2178="","",IFERROR(INDEX(Jeux!$C$2:$C$3001,MATCH(B2178,Jeux!$A$2:$A$3001,0))&amp;"","⚠ jeu inconnu"))</f>
        <v/>
      </c>
      <c r="H2178" s="27" t="str">
        <f aca="false">IF(B2178="","",IFERROR(INDEX(Jeux!$D$2:$D$3001,MATCH(B2178,Jeux!$A$2:$A$3001,0))&amp;"",""))</f>
        <v/>
      </c>
      <c r="I2178" s="26" t="str">
        <f aca="false">IF(A2178="","",COUNTIF(Apparitions!$G$2:$G$5001,A2178))</f>
        <v/>
      </c>
      <c r="J2178" s="26" t="str">
        <f aca="false">IF(A2178="","",COUNTIFS(Apparitions!$G$2:$G$5001,A2178,Apparitions!$E$2:$E$5001,"○"))</f>
        <v/>
      </c>
      <c r="K2178" s="29" t="str">
        <f aca="false">IF(A2178="","",IFERROR(1/(1/_xlfn.MINIFS(Apparitions!$L$2:$L$5001,Apparitions!$G$2:$G$5001,A2178)),""))</f>
        <v/>
      </c>
      <c r="L2178" s="27" t="str">
        <f aca="false">IF(A2178="","",A2178&amp;" | "&amp;B2178&amp;IF(C2178="",""," ("&amp;C2178&amp;")")&amp;IF(D2178="",""," - "&amp;D2178))</f>
        <v/>
      </c>
    </row>
    <row r="2179" customFormat="false" ht="15" hidden="false" customHeight="false" outlineLevel="0" collapsed="false">
      <c r="A2179" s="32"/>
      <c r="B2179" s="19"/>
      <c r="C2179" s="19"/>
      <c r="D2179" s="19"/>
      <c r="E2179" s="21"/>
      <c r="F2179" s="19"/>
      <c r="G2179" s="27" t="str">
        <f aca="false">IF(B2179="","",IFERROR(INDEX(Jeux!$C$2:$C$3001,MATCH(B2179,Jeux!$A$2:$A$3001,0))&amp;"","⚠ jeu inconnu"))</f>
        <v/>
      </c>
      <c r="H2179" s="27" t="str">
        <f aca="false">IF(B2179="","",IFERROR(INDEX(Jeux!$D$2:$D$3001,MATCH(B2179,Jeux!$A$2:$A$3001,0))&amp;"",""))</f>
        <v/>
      </c>
      <c r="I2179" s="26" t="str">
        <f aca="false">IF(A2179="","",COUNTIF(Apparitions!$G$2:$G$5001,A2179))</f>
        <v/>
      </c>
      <c r="J2179" s="26" t="str">
        <f aca="false">IF(A2179="","",COUNTIFS(Apparitions!$G$2:$G$5001,A2179,Apparitions!$E$2:$E$5001,"○"))</f>
        <v/>
      </c>
      <c r="K2179" s="29" t="str">
        <f aca="false">IF(A2179="","",IFERROR(1/(1/_xlfn.MINIFS(Apparitions!$L$2:$L$5001,Apparitions!$G$2:$G$5001,A2179)),""))</f>
        <v/>
      </c>
      <c r="L2179" s="27" t="str">
        <f aca="false">IF(A2179="","",A2179&amp;" | "&amp;B2179&amp;IF(C2179="",""," ("&amp;C2179&amp;")")&amp;IF(D2179="",""," - "&amp;D2179))</f>
        <v/>
      </c>
    </row>
    <row r="2180" customFormat="false" ht="15" hidden="false" customHeight="false" outlineLevel="0" collapsed="false">
      <c r="A2180" s="32"/>
      <c r="B2180" s="19"/>
      <c r="C2180" s="19"/>
      <c r="D2180" s="19"/>
      <c r="E2180" s="21"/>
      <c r="F2180" s="19"/>
      <c r="G2180" s="27" t="str">
        <f aca="false">IF(B2180="","",IFERROR(INDEX(Jeux!$C$2:$C$3001,MATCH(B2180,Jeux!$A$2:$A$3001,0))&amp;"","⚠ jeu inconnu"))</f>
        <v/>
      </c>
      <c r="H2180" s="27" t="str">
        <f aca="false">IF(B2180="","",IFERROR(INDEX(Jeux!$D$2:$D$3001,MATCH(B2180,Jeux!$A$2:$A$3001,0))&amp;"",""))</f>
        <v/>
      </c>
      <c r="I2180" s="26" t="str">
        <f aca="false">IF(A2180="","",COUNTIF(Apparitions!$G$2:$G$5001,A2180))</f>
        <v/>
      </c>
      <c r="J2180" s="26" t="str">
        <f aca="false">IF(A2180="","",COUNTIFS(Apparitions!$G$2:$G$5001,A2180,Apparitions!$E$2:$E$5001,"○"))</f>
        <v/>
      </c>
      <c r="K2180" s="29" t="str">
        <f aca="false">IF(A2180="","",IFERROR(1/(1/_xlfn.MINIFS(Apparitions!$L$2:$L$5001,Apparitions!$G$2:$G$5001,A2180)),""))</f>
        <v/>
      </c>
      <c r="L2180" s="27" t="str">
        <f aca="false">IF(A2180="","",A2180&amp;" | "&amp;B2180&amp;IF(C2180="",""," ("&amp;C2180&amp;")")&amp;IF(D2180="",""," - "&amp;D2180))</f>
        <v/>
      </c>
    </row>
    <row r="2181" customFormat="false" ht="15" hidden="false" customHeight="false" outlineLevel="0" collapsed="false">
      <c r="A2181" s="32"/>
      <c r="B2181" s="19"/>
      <c r="C2181" s="19"/>
      <c r="D2181" s="19"/>
      <c r="E2181" s="21"/>
      <c r="F2181" s="19"/>
      <c r="G2181" s="27" t="str">
        <f aca="false">IF(B2181="","",IFERROR(INDEX(Jeux!$C$2:$C$3001,MATCH(B2181,Jeux!$A$2:$A$3001,0))&amp;"","⚠ jeu inconnu"))</f>
        <v/>
      </c>
      <c r="H2181" s="27" t="str">
        <f aca="false">IF(B2181="","",IFERROR(INDEX(Jeux!$D$2:$D$3001,MATCH(B2181,Jeux!$A$2:$A$3001,0))&amp;"",""))</f>
        <v/>
      </c>
      <c r="I2181" s="26" t="str">
        <f aca="false">IF(A2181="","",COUNTIF(Apparitions!$G$2:$G$5001,A2181))</f>
        <v/>
      </c>
      <c r="J2181" s="26" t="str">
        <f aca="false">IF(A2181="","",COUNTIFS(Apparitions!$G$2:$G$5001,A2181,Apparitions!$E$2:$E$5001,"○"))</f>
        <v/>
      </c>
      <c r="K2181" s="29" t="str">
        <f aca="false">IF(A2181="","",IFERROR(1/(1/_xlfn.MINIFS(Apparitions!$L$2:$L$5001,Apparitions!$G$2:$G$5001,A2181)),""))</f>
        <v/>
      </c>
      <c r="L2181" s="27" t="str">
        <f aca="false">IF(A2181="","",A2181&amp;" | "&amp;B2181&amp;IF(C2181="",""," ("&amp;C2181&amp;")")&amp;IF(D2181="",""," - "&amp;D2181))</f>
        <v/>
      </c>
    </row>
    <row r="2182" customFormat="false" ht="15" hidden="false" customHeight="false" outlineLevel="0" collapsed="false">
      <c r="A2182" s="32"/>
      <c r="B2182" s="19"/>
      <c r="C2182" s="19"/>
      <c r="D2182" s="19"/>
      <c r="E2182" s="21"/>
      <c r="F2182" s="19"/>
      <c r="G2182" s="27" t="str">
        <f aca="false">IF(B2182="","",IFERROR(INDEX(Jeux!$C$2:$C$3001,MATCH(B2182,Jeux!$A$2:$A$3001,0))&amp;"","⚠ jeu inconnu"))</f>
        <v/>
      </c>
      <c r="H2182" s="27" t="str">
        <f aca="false">IF(B2182="","",IFERROR(INDEX(Jeux!$D$2:$D$3001,MATCH(B2182,Jeux!$A$2:$A$3001,0))&amp;"",""))</f>
        <v/>
      </c>
      <c r="I2182" s="26" t="str">
        <f aca="false">IF(A2182="","",COUNTIF(Apparitions!$G$2:$G$5001,A2182))</f>
        <v/>
      </c>
      <c r="J2182" s="26" t="str">
        <f aca="false">IF(A2182="","",COUNTIFS(Apparitions!$G$2:$G$5001,A2182,Apparitions!$E$2:$E$5001,"○"))</f>
        <v/>
      </c>
      <c r="K2182" s="29" t="str">
        <f aca="false">IF(A2182="","",IFERROR(1/(1/_xlfn.MINIFS(Apparitions!$L$2:$L$5001,Apparitions!$G$2:$G$5001,A2182)),""))</f>
        <v/>
      </c>
      <c r="L2182" s="27" t="str">
        <f aca="false">IF(A2182="","",A2182&amp;" | "&amp;B2182&amp;IF(C2182="",""," ("&amp;C2182&amp;")")&amp;IF(D2182="",""," - "&amp;D2182))</f>
        <v/>
      </c>
    </row>
    <row r="2183" customFormat="false" ht="15" hidden="false" customHeight="false" outlineLevel="0" collapsed="false">
      <c r="A2183" s="32"/>
      <c r="B2183" s="19"/>
      <c r="C2183" s="19"/>
      <c r="D2183" s="19"/>
      <c r="E2183" s="21"/>
      <c r="F2183" s="19"/>
      <c r="G2183" s="27" t="str">
        <f aca="false">IF(B2183="","",IFERROR(INDEX(Jeux!$C$2:$C$3001,MATCH(B2183,Jeux!$A$2:$A$3001,0))&amp;"","⚠ jeu inconnu"))</f>
        <v/>
      </c>
      <c r="H2183" s="27" t="str">
        <f aca="false">IF(B2183="","",IFERROR(INDEX(Jeux!$D$2:$D$3001,MATCH(B2183,Jeux!$A$2:$A$3001,0))&amp;"",""))</f>
        <v/>
      </c>
      <c r="I2183" s="26" t="str">
        <f aca="false">IF(A2183="","",COUNTIF(Apparitions!$G$2:$G$5001,A2183))</f>
        <v/>
      </c>
      <c r="J2183" s="26" t="str">
        <f aca="false">IF(A2183="","",COUNTIFS(Apparitions!$G$2:$G$5001,A2183,Apparitions!$E$2:$E$5001,"○"))</f>
        <v/>
      </c>
      <c r="K2183" s="29" t="str">
        <f aca="false">IF(A2183="","",IFERROR(1/(1/_xlfn.MINIFS(Apparitions!$L$2:$L$5001,Apparitions!$G$2:$G$5001,A2183)),""))</f>
        <v/>
      </c>
      <c r="L2183" s="27" t="str">
        <f aca="false">IF(A2183="","",A2183&amp;" | "&amp;B2183&amp;IF(C2183="",""," ("&amp;C2183&amp;")")&amp;IF(D2183="",""," - "&amp;D2183))</f>
        <v/>
      </c>
    </row>
    <row r="2184" customFormat="false" ht="15" hidden="false" customHeight="false" outlineLevel="0" collapsed="false">
      <c r="A2184" s="32"/>
      <c r="B2184" s="19"/>
      <c r="C2184" s="19"/>
      <c r="D2184" s="19"/>
      <c r="E2184" s="21"/>
      <c r="F2184" s="19"/>
      <c r="G2184" s="27" t="str">
        <f aca="false">IF(B2184="","",IFERROR(INDEX(Jeux!$C$2:$C$3001,MATCH(B2184,Jeux!$A$2:$A$3001,0))&amp;"","⚠ jeu inconnu"))</f>
        <v/>
      </c>
      <c r="H2184" s="27" t="str">
        <f aca="false">IF(B2184="","",IFERROR(INDEX(Jeux!$D$2:$D$3001,MATCH(B2184,Jeux!$A$2:$A$3001,0))&amp;"",""))</f>
        <v/>
      </c>
      <c r="I2184" s="26" t="str">
        <f aca="false">IF(A2184="","",COUNTIF(Apparitions!$G$2:$G$5001,A2184))</f>
        <v/>
      </c>
      <c r="J2184" s="26" t="str">
        <f aca="false">IF(A2184="","",COUNTIFS(Apparitions!$G$2:$G$5001,A2184,Apparitions!$E$2:$E$5001,"○"))</f>
        <v/>
      </c>
      <c r="K2184" s="29" t="str">
        <f aca="false">IF(A2184="","",IFERROR(1/(1/_xlfn.MINIFS(Apparitions!$L$2:$L$5001,Apparitions!$G$2:$G$5001,A2184)),""))</f>
        <v/>
      </c>
      <c r="L2184" s="27" t="str">
        <f aca="false">IF(A2184="","",A2184&amp;" | "&amp;B2184&amp;IF(C2184="",""," ("&amp;C2184&amp;")")&amp;IF(D2184="",""," - "&amp;D2184))</f>
        <v/>
      </c>
    </row>
    <row r="2185" customFormat="false" ht="15" hidden="false" customHeight="false" outlineLevel="0" collapsed="false">
      <c r="A2185" s="32"/>
      <c r="B2185" s="19"/>
      <c r="C2185" s="19"/>
      <c r="D2185" s="19"/>
      <c r="E2185" s="21"/>
      <c r="F2185" s="19"/>
      <c r="G2185" s="27" t="str">
        <f aca="false">IF(B2185="","",IFERROR(INDEX(Jeux!$C$2:$C$3001,MATCH(B2185,Jeux!$A$2:$A$3001,0))&amp;"","⚠ jeu inconnu"))</f>
        <v/>
      </c>
      <c r="H2185" s="27" t="str">
        <f aca="false">IF(B2185="","",IFERROR(INDEX(Jeux!$D$2:$D$3001,MATCH(B2185,Jeux!$A$2:$A$3001,0))&amp;"",""))</f>
        <v/>
      </c>
      <c r="I2185" s="26" t="str">
        <f aca="false">IF(A2185="","",COUNTIF(Apparitions!$G$2:$G$5001,A2185))</f>
        <v/>
      </c>
      <c r="J2185" s="26" t="str">
        <f aca="false">IF(A2185="","",COUNTIFS(Apparitions!$G$2:$G$5001,A2185,Apparitions!$E$2:$E$5001,"○"))</f>
        <v/>
      </c>
      <c r="K2185" s="29" t="str">
        <f aca="false">IF(A2185="","",IFERROR(1/(1/_xlfn.MINIFS(Apparitions!$L$2:$L$5001,Apparitions!$G$2:$G$5001,A2185)),""))</f>
        <v/>
      </c>
      <c r="L2185" s="27" t="str">
        <f aca="false">IF(A2185="","",A2185&amp;" | "&amp;B2185&amp;IF(C2185="",""," ("&amp;C2185&amp;")")&amp;IF(D2185="",""," - "&amp;D2185))</f>
        <v/>
      </c>
    </row>
    <row r="2186" customFormat="false" ht="15" hidden="false" customHeight="false" outlineLevel="0" collapsed="false">
      <c r="A2186" s="32"/>
      <c r="B2186" s="19"/>
      <c r="C2186" s="19"/>
      <c r="D2186" s="19"/>
      <c r="E2186" s="21"/>
      <c r="F2186" s="19"/>
      <c r="G2186" s="27" t="str">
        <f aca="false">IF(B2186="","",IFERROR(INDEX(Jeux!$C$2:$C$3001,MATCH(B2186,Jeux!$A$2:$A$3001,0))&amp;"","⚠ jeu inconnu"))</f>
        <v/>
      </c>
      <c r="H2186" s="27" t="str">
        <f aca="false">IF(B2186="","",IFERROR(INDEX(Jeux!$D$2:$D$3001,MATCH(B2186,Jeux!$A$2:$A$3001,0))&amp;"",""))</f>
        <v/>
      </c>
      <c r="I2186" s="26" t="str">
        <f aca="false">IF(A2186="","",COUNTIF(Apparitions!$G$2:$G$5001,A2186))</f>
        <v/>
      </c>
      <c r="J2186" s="26" t="str">
        <f aca="false">IF(A2186="","",COUNTIFS(Apparitions!$G$2:$G$5001,A2186,Apparitions!$E$2:$E$5001,"○"))</f>
        <v/>
      </c>
      <c r="K2186" s="29" t="str">
        <f aca="false">IF(A2186="","",IFERROR(1/(1/_xlfn.MINIFS(Apparitions!$L$2:$L$5001,Apparitions!$G$2:$G$5001,A2186)),""))</f>
        <v/>
      </c>
      <c r="L2186" s="27" t="str">
        <f aca="false">IF(A2186="","",A2186&amp;" | "&amp;B2186&amp;IF(C2186="",""," ("&amp;C2186&amp;")")&amp;IF(D2186="",""," - "&amp;D2186))</f>
        <v/>
      </c>
    </row>
    <row r="2187" customFormat="false" ht="15" hidden="false" customHeight="false" outlineLevel="0" collapsed="false">
      <c r="A2187" s="32"/>
      <c r="B2187" s="19"/>
      <c r="C2187" s="19"/>
      <c r="D2187" s="19"/>
      <c r="E2187" s="21"/>
      <c r="F2187" s="19"/>
      <c r="G2187" s="27" t="str">
        <f aca="false">IF(B2187="","",IFERROR(INDEX(Jeux!$C$2:$C$3001,MATCH(B2187,Jeux!$A$2:$A$3001,0))&amp;"","⚠ jeu inconnu"))</f>
        <v/>
      </c>
      <c r="H2187" s="27" t="str">
        <f aca="false">IF(B2187="","",IFERROR(INDEX(Jeux!$D$2:$D$3001,MATCH(B2187,Jeux!$A$2:$A$3001,0))&amp;"",""))</f>
        <v/>
      </c>
      <c r="I2187" s="26" t="str">
        <f aca="false">IF(A2187="","",COUNTIF(Apparitions!$G$2:$G$5001,A2187))</f>
        <v/>
      </c>
      <c r="J2187" s="26" t="str">
        <f aca="false">IF(A2187="","",COUNTIFS(Apparitions!$G$2:$G$5001,A2187,Apparitions!$E$2:$E$5001,"○"))</f>
        <v/>
      </c>
      <c r="K2187" s="29" t="str">
        <f aca="false">IF(A2187="","",IFERROR(1/(1/_xlfn.MINIFS(Apparitions!$L$2:$L$5001,Apparitions!$G$2:$G$5001,A2187)),""))</f>
        <v/>
      </c>
      <c r="L2187" s="27" t="str">
        <f aca="false">IF(A2187="","",A2187&amp;" | "&amp;B2187&amp;IF(C2187="",""," ("&amp;C2187&amp;")")&amp;IF(D2187="",""," - "&amp;D2187))</f>
        <v/>
      </c>
    </row>
    <row r="2188" customFormat="false" ht="15" hidden="false" customHeight="false" outlineLevel="0" collapsed="false">
      <c r="A2188" s="32"/>
      <c r="B2188" s="19"/>
      <c r="C2188" s="19"/>
      <c r="D2188" s="19"/>
      <c r="E2188" s="21"/>
      <c r="F2188" s="19"/>
      <c r="G2188" s="27" t="str">
        <f aca="false">IF(B2188="","",IFERROR(INDEX(Jeux!$C$2:$C$3001,MATCH(B2188,Jeux!$A$2:$A$3001,0))&amp;"","⚠ jeu inconnu"))</f>
        <v/>
      </c>
      <c r="H2188" s="27" t="str">
        <f aca="false">IF(B2188="","",IFERROR(INDEX(Jeux!$D$2:$D$3001,MATCH(B2188,Jeux!$A$2:$A$3001,0))&amp;"",""))</f>
        <v/>
      </c>
      <c r="I2188" s="26" t="str">
        <f aca="false">IF(A2188="","",COUNTIF(Apparitions!$G$2:$G$5001,A2188))</f>
        <v/>
      </c>
      <c r="J2188" s="26" t="str">
        <f aca="false">IF(A2188="","",COUNTIFS(Apparitions!$G$2:$G$5001,A2188,Apparitions!$E$2:$E$5001,"○"))</f>
        <v/>
      </c>
      <c r="K2188" s="29" t="str">
        <f aca="false">IF(A2188="","",IFERROR(1/(1/_xlfn.MINIFS(Apparitions!$L$2:$L$5001,Apparitions!$G$2:$G$5001,A2188)),""))</f>
        <v/>
      </c>
      <c r="L2188" s="27" t="str">
        <f aca="false">IF(A2188="","",A2188&amp;" | "&amp;B2188&amp;IF(C2188="",""," ("&amp;C2188&amp;")")&amp;IF(D2188="",""," - "&amp;D2188))</f>
        <v/>
      </c>
    </row>
    <row r="2189" customFormat="false" ht="15" hidden="false" customHeight="false" outlineLevel="0" collapsed="false">
      <c r="A2189" s="32"/>
      <c r="B2189" s="19"/>
      <c r="C2189" s="19"/>
      <c r="D2189" s="19"/>
      <c r="E2189" s="21"/>
      <c r="F2189" s="19"/>
      <c r="G2189" s="27" t="str">
        <f aca="false">IF(B2189="","",IFERROR(INDEX(Jeux!$C$2:$C$3001,MATCH(B2189,Jeux!$A$2:$A$3001,0))&amp;"","⚠ jeu inconnu"))</f>
        <v/>
      </c>
      <c r="H2189" s="27" t="str">
        <f aca="false">IF(B2189="","",IFERROR(INDEX(Jeux!$D$2:$D$3001,MATCH(B2189,Jeux!$A$2:$A$3001,0))&amp;"",""))</f>
        <v/>
      </c>
      <c r="I2189" s="26" t="str">
        <f aca="false">IF(A2189="","",COUNTIF(Apparitions!$G$2:$G$5001,A2189))</f>
        <v/>
      </c>
      <c r="J2189" s="26" t="str">
        <f aca="false">IF(A2189="","",COUNTIFS(Apparitions!$G$2:$G$5001,A2189,Apparitions!$E$2:$E$5001,"○"))</f>
        <v/>
      </c>
      <c r="K2189" s="29" t="str">
        <f aca="false">IF(A2189="","",IFERROR(1/(1/_xlfn.MINIFS(Apparitions!$L$2:$L$5001,Apparitions!$G$2:$G$5001,A2189)),""))</f>
        <v/>
      </c>
      <c r="L2189" s="27" t="str">
        <f aca="false">IF(A2189="","",A2189&amp;" | "&amp;B2189&amp;IF(C2189="",""," ("&amp;C2189&amp;")")&amp;IF(D2189="",""," - "&amp;D2189))</f>
        <v/>
      </c>
    </row>
    <row r="2190" customFormat="false" ht="15" hidden="false" customHeight="false" outlineLevel="0" collapsed="false">
      <c r="A2190" s="32"/>
      <c r="B2190" s="19"/>
      <c r="C2190" s="19"/>
      <c r="D2190" s="19"/>
      <c r="E2190" s="21"/>
      <c r="F2190" s="19"/>
      <c r="G2190" s="27" t="str">
        <f aca="false">IF(B2190="","",IFERROR(INDEX(Jeux!$C$2:$C$3001,MATCH(B2190,Jeux!$A$2:$A$3001,0))&amp;"","⚠ jeu inconnu"))</f>
        <v/>
      </c>
      <c r="H2190" s="27" t="str">
        <f aca="false">IF(B2190="","",IFERROR(INDEX(Jeux!$D$2:$D$3001,MATCH(B2190,Jeux!$A$2:$A$3001,0))&amp;"",""))</f>
        <v/>
      </c>
      <c r="I2190" s="26" t="str">
        <f aca="false">IF(A2190="","",COUNTIF(Apparitions!$G$2:$G$5001,A2190))</f>
        <v/>
      </c>
      <c r="J2190" s="26" t="str">
        <f aca="false">IF(A2190="","",COUNTIFS(Apparitions!$G$2:$G$5001,A2190,Apparitions!$E$2:$E$5001,"○"))</f>
        <v/>
      </c>
      <c r="K2190" s="29" t="str">
        <f aca="false">IF(A2190="","",IFERROR(1/(1/_xlfn.MINIFS(Apparitions!$L$2:$L$5001,Apparitions!$G$2:$G$5001,A2190)),""))</f>
        <v/>
      </c>
      <c r="L2190" s="27" t="str">
        <f aca="false">IF(A2190="","",A2190&amp;" | "&amp;B2190&amp;IF(C2190="",""," ("&amp;C2190&amp;")")&amp;IF(D2190="",""," - "&amp;D2190))</f>
        <v/>
      </c>
    </row>
    <row r="2191" customFormat="false" ht="15" hidden="false" customHeight="false" outlineLevel="0" collapsed="false">
      <c r="A2191" s="32"/>
      <c r="B2191" s="19"/>
      <c r="C2191" s="19"/>
      <c r="D2191" s="19"/>
      <c r="E2191" s="21"/>
      <c r="F2191" s="19"/>
      <c r="G2191" s="27" t="str">
        <f aca="false">IF(B2191="","",IFERROR(INDEX(Jeux!$C$2:$C$3001,MATCH(B2191,Jeux!$A$2:$A$3001,0))&amp;"","⚠ jeu inconnu"))</f>
        <v/>
      </c>
      <c r="H2191" s="27" t="str">
        <f aca="false">IF(B2191="","",IFERROR(INDEX(Jeux!$D$2:$D$3001,MATCH(B2191,Jeux!$A$2:$A$3001,0))&amp;"",""))</f>
        <v/>
      </c>
      <c r="I2191" s="26" t="str">
        <f aca="false">IF(A2191="","",COUNTIF(Apparitions!$G$2:$G$5001,A2191))</f>
        <v/>
      </c>
      <c r="J2191" s="26" t="str">
        <f aca="false">IF(A2191="","",COUNTIFS(Apparitions!$G$2:$G$5001,A2191,Apparitions!$E$2:$E$5001,"○"))</f>
        <v/>
      </c>
      <c r="K2191" s="29" t="str">
        <f aca="false">IF(A2191="","",IFERROR(1/(1/_xlfn.MINIFS(Apparitions!$L$2:$L$5001,Apparitions!$G$2:$G$5001,A2191)),""))</f>
        <v/>
      </c>
      <c r="L2191" s="27" t="str">
        <f aca="false">IF(A2191="","",A2191&amp;" | "&amp;B2191&amp;IF(C2191="",""," ("&amp;C2191&amp;")")&amp;IF(D2191="",""," - "&amp;D2191))</f>
        <v/>
      </c>
    </row>
    <row r="2192" customFormat="false" ht="15" hidden="false" customHeight="false" outlineLevel="0" collapsed="false">
      <c r="A2192" s="32"/>
      <c r="B2192" s="19"/>
      <c r="C2192" s="19"/>
      <c r="D2192" s="19"/>
      <c r="E2192" s="21"/>
      <c r="F2192" s="19"/>
      <c r="G2192" s="27" t="str">
        <f aca="false">IF(B2192="","",IFERROR(INDEX(Jeux!$C$2:$C$3001,MATCH(B2192,Jeux!$A$2:$A$3001,0))&amp;"","⚠ jeu inconnu"))</f>
        <v/>
      </c>
      <c r="H2192" s="27" t="str">
        <f aca="false">IF(B2192="","",IFERROR(INDEX(Jeux!$D$2:$D$3001,MATCH(B2192,Jeux!$A$2:$A$3001,0))&amp;"",""))</f>
        <v/>
      </c>
      <c r="I2192" s="26" t="str">
        <f aca="false">IF(A2192="","",COUNTIF(Apparitions!$G$2:$G$5001,A2192))</f>
        <v/>
      </c>
      <c r="J2192" s="26" t="str">
        <f aca="false">IF(A2192="","",COUNTIFS(Apparitions!$G$2:$G$5001,A2192,Apparitions!$E$2:$E$5001,"○"))</f>
        <v/>
      </c>
      <c r="K2192" s="29" t="str">
        <f aca="false">IF(A2192="","",IFERROR(1/(1/_xlfn.MINIFS(Apparitions!$L$2:$L$5001,Apparitions!$G$2:$G$5001,A2192)),""))</f>
        <v/>
      </c>
      <c r="L2192" s="27" t="str">
        <f aca="false">IF(A2192="","",A2192&amp;" | "&amp;B2192&amp;IF(C2192="",""," ("&amp;C2192&amp;")")&amp;IF(D2192="",""," - "&amp;D2192))</f>
        <v/>
      </c>
    </row>
    <row r="2193" customFormat="false" ht="15" hidden="false" customHeight="false" outlineLevel="0" collapsed="false">
      <c r="A2193" s="32"/>
      <c r="B2193" s="19"/>
      <c r="C2193" s="19"/>
      <c r="D2193" s="19"/>
      <c r="E2193" s="21"/>
      <c r="F2193" s="19"/>
      <c r="G2193" s="27" t="str">
        <f aca="false">IF(B2193="","",IFERROR(INDEX(Jeux!$C$2:$C$3001,MATCH(B2193,Jeux!$A$2:$A$3001,0))&amp;"","⚠ jeu inconnu"))</f>
        <v/>
      </c>
      <c r="H2193" s="27" t="str">
        <f aca="false">IF(B2193="","",IFERROR(INDEX(Jeux!$D$2:$D$3001,MATCH(B2193,Jeux!$A$2:$A$3001,0))&amp;"",""))</f>
        <v/>
      </c>
      <c r="I2193" s="26" t="str">
        <f aca="false">IF(A2193="","",COUNTIF(Apparitions!$G$2:$G$5001,A2193))</f>
        <v/>
      </c>
      <c r="J2193" s="26" t="str">
        <f aca="false">IF(A2193="","",COUNTIFS(Apparitions!$G$2:$G$5001,A2193,Apparitions!$E$2:$E$5001,"○"))</f>
        <v/>
      </c>
      <c r="K2193" s="29" t="str">
        <f aca="false">IF(A2193="","",IFERROR(1/(1/_xlfn.MINIFS(Apparitions!$L$2:$L$5001,Apparitions!$G$2:$G$5001,A2193)),""))</f>
        <v/>
      </c>
      <c r="L2193" s="27" t="str">
        <f aca="false">IF(A2193="","",A2193&amp;" | "&amp;B2193&amp;IF(C2193="",""," ("&amp;C2193&amp;")")&amp;IF(D2193="",""," - "&amp;D2193))</f>
        <v/>
      </c>
    </row>
    <row r="2194" customFormat="false" ht="15" hidden="false" customHeight="false" outlineLevel="0" collapsed="false">
      <c r="A2194" s="32"/>
      <c r="B2194" s="19"/>
      <c r="C2194" s="19"/>
      <c r="D2194" s="19"/>
      <c r="E2194" s="21"/>
      <c r="F2194" s="19"/>
      <c r="G2194" s="27" t="str">
        <f aca="false">IF(B2194="","",IFERROR(INDEX(Jeux!$C$2:$C$3001,MATCH(B2194,Jeux!$A$2:$A$3001,0))&amp;"","⚠ jeu inconnu"))</f>
        <v/>
      </c>
      <c r="H2194" s="27" t="str">
        <f aca="false">IF(B2194="","",IFERROR(INDEX(Jeux!$D$2:$D$3001,MATCH(B2194,Jeux!$A$2:$A$3001,0))&amp;"",""))</f>
        <v/>
      </c>
      <c r="I2194" s="26" t="str">
        <f aca="false">IF(A2194="","",COUNTIF(Apparitions!$G$2:$G$5001,A2194))</f>
        <v/>
      </c>
      <c r="J2194" s="26" t="str">
        <f aca="false">IF(A2194="","",COUNTIFS(Apparitions!$G$2:$G$5001,A2194,Apparitions!$E$2:$E$5001,"○"))</f>
        <v/>
      </c>
      <c r="K2194" s="29" t="str">
        <f aca="false">IF(A2194="","",IFERROR(1/(1/_xlfn.MINIFS(Apparitions!$L$2:$L$5001,Apparitions!$G$2:$G$5001,A2194)),""))</f>
        <v/>
      </c>
      <c r="L2194" s="27" t="str">
        <f aca="false">IF(A2194="","",A2194&amp;" | "&amp;B2194&amp;IF(C2194="",""," ("&amp;C2194&amp;")")&amp;IF(D2194="",""," - "&amp;D2194))</f>
        <v/>
      </c>
    </row>
    <row r="2195" customFormat="false" ht="15" hidden="false" customHeight="false" outlineLevel="0" collapsed="false">
      <c r="A2195" s="32"/>
      <c r="B2195" s="19"/>
      <c r="C2195" s="19"/>
      <c r="D2195" s="19"/>
      <c r="E2195" s="21"/>
      <c r="F2195" s="19"/>
      <c r="G2195" s="27" t="str">
        <f aca="false">IF(B2195="","",IFERROR(INDEX(Jeux!$C$2:$C$3001,MATCH(B2195,Jeux!$A$2:$A$3001,0))&amp;"","⚠ jeu inconnu"))</f>
        <v/>
      </c>
      <c r="H2195" s="27" t="str">
        <f aca="false">IF(B2195="","",IFERROR(INDEX(Jeux!$D$2:$D$3001,MATCH(B2195,Jeux!$A$2:$A$3001,0))&amp;"",""))</f>
        <v/>
      </c>
      <c r="I2195" s="26" t="str">
        <f aca="false">IF(A2195="","",COUNTIF(Apparitions!$G$2:$G$5001,A2195))</f>
        <v/>
      </c>
      <c r="J2195" s="26" t="str">
        <f aca="false">IF(A2195="","",COUNTIFS(Apparitions!$G$2:$G$5001,A2195,Apparitions!$E$2:$E$5001,"○"))</f>
        <v/>
      </c>
      <c r="K2195" s="29" t="str">
        <f aca="false">IF(A2195="","",IFERROR(1/(1/_xlfn.MINIFS(Apparitions!$L$2:$L$5001,Apparitions!$G$2:$G$5001,A2195)),""))</f>
        <v/>
      </c>
      <c r="L2195" s="27" t="str">
        <f aca="false">IF(A2195="","",A2195&amp;" | "&amp;B2195&amp;IF(C2195="",""," ("&amp;C2195&amp;")")&amp;IF(D2195="",""," - "&amp;D2195))</f>
        <v/>
      </c>
    </row>
    <row r="2196" customFormat="false" ht="15" hidden="false" customHeight="false" outlineLevel="0" collapsed="false">
      <c r="A2196" s="32"/>
      <c r="B2196" s="19"/>
      <c r="C2196" s="19"/>
      <c r="D2196" s="19"/>
      <c r="E2196" s="21"/>
      <c r="F2196" s="19"/>
      <c r="G2196" s="27" t="str">
        <f aca="false">IF(B2196="","",IFERROR(INDEX(Jeux!$C$2:$C$3001,MATCH(B2196,Jeux!$A$2:$A$3001,0))&amp;"","⚠ jeu inconnu"))</f>
        <v/>
      </c>
      <c r="H2196" s="27" t="str">
        <f aca="false">IF(B2196="","",IFERROR(INDEX(Jeux!$D$2:$D$3001,MATCH(B2196,Jeux!$A$2:$A$3001,0))&amp;"",""))</f>
        <v/>
      </c>
      <c r="I2196" s="26" t="str">
        <f aca="false">IF(A2196="","",COUNTIF(Apparitions!$G$2:$G$5001,A2196))</f>
        <v/>
      </c>
      <c r="J2196" s="26" t="str">
        <f aca="false">IF(A2196="","",COUNTIFS(Apparitions!$G$2:$G$5001,A2196,Apparitions!$E$2:$E$5001,"○"))</f>
        <v/>
      </c>
      <c r="K2196" s="29" t="str">
        <f aca="false">IF(A2196="","",IFERROR(1/(1/_xlfn.MINIFS(Apparitions!$L$2:$L$5001,Apparitions!$G$2:$G$5001,A2196)),""))</f>
        <v/>
      </c>
      <c r="L2196" s="27" t="str">
        <f aca="false">IF(A2196="","",A2196&amp;" | "&amp;B2196&amp;IF(C2196="",""," ("&amp;C2196&amp;")")&amp;IF(D2196="",""," - "&amp;D2196))</f>
        <v/>
      </c>
    </row>
    <row r="2197" customFormat="false" ht="15" hidden="false" customHeight="false" outlineLevel="0" collapsed="false">
      <c r="A2197" s="32"/>
      <c r="B2197" s="19"/>
      <c r="C2197" s="19"/>
      <c r="D2197" s="19"/>
      <c r="E2197" s="21"/>
      <c r="F2197" s="19"/>
      <c r="G2197" s="27" t="str">
        <f aca="false">IF(B2197="","",IFERROR(INDEX(Jeux!$C$2:$C$3001,MATCH(B2197,Jeux!$A$2:$A$3001,0))&amp;"","⚠ jeu inconnu"))</f>
        <v/>
      </c>
      <c r="H2197" s="27" t="str">
        <f aca="false">IF(B2197="","",IFERROR(INDEX(Jeux!$D$2:$D$3001,MATCH(B2197,Jeux!$A$2:$A$3001,0))&amp;"",""))</f>
        <v/>
      </c>
      <c r="I2197" s="26" t="str">
        <f aca="false">IF(A2197="","",COUNTIF(Apparitions!$G$2:$G$5001,A2197))</f>
        <v/>
      </c>
      <c r="J2197" s="26" t="str">
        <f aca="false">IF(A2197="","",COUNTIFS(Apparitions!$G$2:$G$5001,A2197,Apparitions!$E$2:$E$5001,"○"))</f>
        <v/>
      </c>
      <c r="K2197" s="29" t="str">
        <f aca="false">IF(A2197="","",IFERROR(1/(1/_xlfn.MINIFS(Apparitions!$L$2:$L$5001,Apparitions!$G$2:$G$5001,A2197)),""))</f>
        <v/>
      </c>
      <c r="L2197" s="27" t="str">
        <f aca="false">IF(A2197="","",A2197&amp;" | "&amp;B2197&amp;IF(C2197="",""," ("&amp;C2197&amp;")")&amp;IF(D2197="",""," - "&amp;D2197))</f>
        <v/>
      </c>
    </row>
    <row r="2198" customFormat="false" ht="15" hidden="false" customHeight="false" outlineLevel="0" collapsed="false">
      <c r="A2198" s="32"/>
      <c r="B2198" s="19"/>
      <c r="C2198" s="19"/>
      <c r="D2198" s="19"/>
      <c r="E2198" s="21"/>
      <c r="F2198" s="19"/>
      <c r="G2198" s="27" t="str">
        <f aca="false">IF(B2198="","",IFERROR(INDEX(Jeux!$C$2:$C$3001,MATCH(B2198,Jeux!$A$2:$A$3001,0))&amp;"","⚠ jeu inconnu"))</f>
        <v/>
      </c>
      <c r="H2198" s="27" t="str">
        <f aca="false">IF(B2198="","",IFERROR(INDEX(Jeux!$D$2:$D$3001,MATCH(B2198,Jeux!$A$2:$A$3001,0))&amp;"",""))</f>
        <v/>
      </c>
      <c r="I2198" s="26" t="str">
        <f aca="false">IF(A2198="","",COUNTIF(Apparitions!$G$2:$G$5001,A2198))</f>
        <v/>
      </c>
      <c r="J2198" s="26" t="str">
        <f aca="false">IF(A2198="","",COUNTIFS(Apparitions!$G$2:$G$5001,A2198,Apparitions!$E$2:$E$5001,"○"))</f>
        <v/>
      </c>
      <c r="K2198" s="29" t="str">
        <f aca="false">IF(A2198="","",IFERROR(1/(1/_xlfn.MINIFS(Apparitions!$L$2:$L$5001,Apparitions!$G$2:$G$5001,A2198)),""))</f>
        <v/>
      </c>
      <c r="L2198" s="27" t="str">
        <f aca="false">IF(A2198="","",A2198&amp;" | "&amp;B2198&amp;IF(C2198="",""," ("&amp;C2198&amp;")")&amp;IF(D2198="",""," - "&amp;D2198))</f>
        <v/>
      </c>
    </row>
    <row r="2199" customFormat="false" ht="15" hidden="false" customHeight="false" outlineLevel="0" collapsed="false">
      <c r="A2199" s="32"/>
      <c r="B2199" s="19"/>
      <c r="C2199" s="19"/>
      <c r="D2199" s="19"/>
      <c r="E2199" s="21"/>
      <c r="F2199" s="19"/>
      <c r="G2199" s="27" t="str">
        <f aca="false">IF(B2199="","",IFERROR(INDEX(Jeux!$C$2:$C$3001,MATCH(B2199,Jeux!$A$2:$A$3001,0))&amp;"","⚠ jeu inconnu"))</f>
        <v/>
      </c>
      <c r="H2199" s="27" t="str">
        <f aca="false">IF(B2199="","",IFERROR(INDEX(Jeux!$D$2:$D$3001,MATCH(B2199,Jeux!$A$2:$A$3001,0))&amp;"",""))</f>
        <v/>
      </c>
      <c r="I2199" s="26" t="str">
        <f aca="false">IF(A2199="","",COUNTIF(Apparitions!$G$2:$G$5001,A2199))</f>
        <v/>
      </c>
      <c r="J2199" s="26" t="str">
        <f aca="false">IF(A2199="","",COUNTIFS(Apparitions!$G$2:$G$5001,A2199,Apparitions!$E$2:$E$5001,"○"))</f>
        <v/>
      </c>
      <c r="K2199" s="29" t="str">
        <f aca="false">IF(A2199="","",IFERROR(1/(1/_xlfn.MINIFS(Apparitions!$L$2:$L$5001,Apparitions!$G$2:$G$5001,A2199)),""))</f>
        <v/>
      </c>
      <c r="L2199" s="27" t="str">
        <f aca="false">IF(A2199="","",A2199&amp;" | "&amp;B2199&amp;IF(C2199="",""," ("&amp;C2199&amp;")")&amp;IF(D2199="",""," - "&amp;D2199))</f>
        <v/>
      </c>
    </row>
    <row r="2200" customFormat="false" ht="15" hidden="false" customHeight="false" outlineLevel="0" collapsed="false">
      <c r="A2200" s="32"/>
      <c r="B2200" s="19"/>
      <c r="C2200" s="19"/>
      <c r="D2200" s="19"/>
      <c r="E2200" s="21"/>
      <c r="F2200" s="19"/>
      <c r="G2200" s="27" t="str">
        <f aca="false">IF(B2200="","",IFERROR(INDEX(Jeux!$C$2:$C$3001,MATCH(B2200,Jeux!$A$2:$A$3001,0))&amp;"","⚠ jeu inconnu"))</f>
        <v/>
      </c>
      <c r="H2200" s="27" t="str">
        <f aca="false">IF(B2200="","",IFERROR(INDEX(Jeux!$D$2:$D$3001,MATCH(B2200,Jeux!$A$2:$A$3001,0))&amp;"",""))</f>
        <v/>
      </c>
      <c r="I2200" s="26" t="str">
        <f aca="false">IF(A2200="","",COUNTIF(Apparitions!$G$2:$G$5001,A2200))</f>
        <v/>
      </c>
      <c r="J2200" s="26" t="str">
        <f aca="false">IF(A2200="","",COUNTIFS(Apparitions!$G$2:$G$5001,A2200,Apparitions!$E$2:$E$5001,"○"))</f>
        <v/>
      </c>
      <c r="K2200" s="29" t="str">
        <f aca="false">IF(A2200="","",IFERROR(1/(1/_xlfn.MINIFS(Apparitions!$L$2:$L$5001,Apparitions!$G$2:$G$5001,A2200)),""))</f>
        <v/>
      </c>
      <c r="L2200" s="27" t="str">
        <f aca="false">IF(A2200="","",A2200&amp;" | "&amp;B2200&amp;IF(C2200="",""," ("&amp;C2200&amp;")")&amp;IF(D2200="",""," - "&amp;D2200))</f>
        <v/>
      </c>
    </row>
    <row r="2201" customFormat="false" ht="15" hidden="false" customHeight="false" outlineLevel="0" collapsed="false">
      <c r="A2201" s="32"/>
      <c r="B2201" s="19"/>
      <c r="C2201" s="19"/>
      <c r="D2201" s="19"/>
      <c r="E2201" s="21"/>
      <c r="F2201" s="19"/>
      <c r="G2201" s="27" t="str">
        <f aca="false">IF(B2201="","",IFERROR(INDEX(Jeux!$C$2:$C$3001,MATCH(B2201,Jeux!$A$2:$A$3001,0))&amp;"","⚠ jeu inconnu"))</f>
        <v/>
      </c>
      <c r="H2201" s="27" t="str">
        <f aca="false">IF(B2201="","",IFERROR(INDEX(Jeux!$D$2:$D$3001,MATCH(B2201,Jeux!$A$2:$A$3001,0))&amp;"",""))</f>
        <v/>
      </c>
      <c r="I2201" s="26" t="str">
        <f aca="false">IF(A2201="","",COUNTIF(Apparitions!$G$2:$G$5001,A2201))</f>
        <v/>
      </c>
      <c r="J2201" s="26" t="str">
        <f aca="false">IF(A2201="","",COUNTIFS(Apparitions!$G$2:$G$5001,A2201,Apparitions!$E$2:$E$5001,"○"))</f>
        <v/>
      </c>
      <c r="K2201" s="29" t="str">
        <f aca="false">IF(A2201="","",IFERROR(1/(1/_xlfn.MINIFS(Apparitions!$L$2:$L$5001,Apparitions!$G$2:$G$5001,A2201)),""))</f>
        <v/>
      </c>
      <c r="L2201" s="27" t="str">
        <f aca="false">IF(A2201="","",A2201&amp;" | "&amp;B2201&amp;IF(C2201="",""," ("&amp;C2201&amp;")")&amp;IF(D2201="",""," - "&amp;D2201))</f>
        <v/>
      </c>
    </row>
    <row r="2202" customFormat="false" ht="15" hidden="false" customHeight="false" outlineLevel="0" collapsed="false">
      <c r="A2202" s="32"/>
      <c r="B2202" s="19"/>
      <c r="C2202" s="19"/>
      <c r="D2202" s="19"/>
      <c r="E2202" s="21"/>
      <c r="F2202" s="19"/>
      <c r="G2202" s="27" t="str">
        <f aca="false">IF(B2202="","",IFERROR(INDEX(Jeux!$C$2:$C$3001,MATCH(B2202,Jeux!$A$2:$A$3001,0))&amp;"","⚠ jeu inconnu"))</f>
        <v/>
      </c>
      <c r="H2202" s="27" t="str">
        <f aca="false">IF(B2202="","",IFERROR(INDEX(Jeux!$D$2:$D$3001,MATCH(B2202,Jeux!$A$2:$A$3001,0))&amp;"",""))</f>
        <v/>
      </c>
      <c r="I2202" s="26" t="str">
        <f aca="false">IF(A2202="","",COUNTIF(Apparitions!$G$2:$G$5001,A2202))</f>
        <v/>
      </c>
      <c r="J2202" s="26" t="str">
        <f aca="false">IF(A2202="","",COUNTIFS(Apparitions!$G$2:$G$5001,A2202,Apparitions!$E$2:$E$5001,"○"))</f>
        <v/>
      </c>
      <c r="K2202" s="29" t="str">
        <f aca="false">IF(A2202="","",IFERROR(1/(1/_xlfn.MINIFS(Apparitions!$L$2:$L$5001,Apparitions!$G$2:$G$5001,A2202)),""))</f>
        <v/>
      </c>
      <c r="L2202" s="27" t="str">
        <f aca="false">IF(A2202="","",A2202&amp;" | "&amp;B2202&amp;IF(C2202="",""," ("&amp;C2202&amp;")")&amp;IF(D2202="",""," - "&amp;D2202))</f>
        <v/>
      </c>
    </row>
    <row r="2203" customFormat="false" ht="15" hidden="false" customHeight="false" outlineLevel="0" collapsed="false">
      <c r="A2203" s="32"/>
      <c r="B2203" s="19"/>
      <c r="C2203" s="19"/>
      <c r="D2203" s="19"/>
      <c r="E2203" s="21"/>
      <c r="F2203" s="19"/>
      <c r="G2203" s="27" t="str">
        <f aca="false">IF(B2203="","",IFERROR(INDEX(Jeux!$C$2:$C$3001,MATCH(B2203,Jeux!$A$2:$A$3001,0))&amp;"","⚠ jeu inconnu"))</f>
        <v/>
      </c>
      <c r="H2203" s="27" t="str">
        <f aca="false">IF(B2203="","",IFERROR(INDEX(Jeux!$D$2:$D$3001,MATCH(B2203,Jeux!$A$2:$A$3001,0))&amp;"",""))</f>
        <v/>
      </c>
      <c r="I2203" s="26" t="str">
        <f aca="false">IF(A2203="","",COUNTIF(Apparitions!$G$2:$G$5001,A2203))</f>
        <v/>
      </c>
      <c r="J2203" s="26" t="str">
        <f aca="false">IF(A2203="","",COUNTIFS(Apparitions!$G$2:$G$5001,A2203,Apparitions!$E$2:$E$5001,"○"))</f>
        <v/>
      </c>
      <c r="K2203" s="29" t="str">
        <f aca="false">IF(A2203="","",IFERROR(1/(1/_xlfn.MINIFS(Apparitions!$L$2:$L$5001,Apparitions!$G$2:$G$5001,A2203)),""))</f>
        <v/>
      </c>
      <c r="L2203" s="27" t="str">
        <f aca="false">IF(A2203="","",A2203&amp;" | "&amp;B2203&amp;IF(C2203="",""," ("&amp;C2203&amp;")")&amp;IF(D2203="",""," - "&amp;D2203))</f>
        <v/>
      </c>
    </row>
    <row r="2204" customFormat="false" ht="15" hidden="false" customHeight="false" outlineLevel="0" collapsed="false">
      <c r="A2204" s="32"/>
      <c r="B2204" s="19"/>
      <c r="C2204" s="19"/>
      <c r="D2204" s="19"/>
      <c r="E2204" s="21"/>
      <c r="F2204" s="19"/>
      <c r="G2204" s="27" t="str">
        <f aca="false">IF(B2204="","",IFERROR(INDEX(Jeux!$C$2:$C$3001,MATCH(B2204,Jeux!$A$2:$A$3001,0))&amp;"","⚠ jeu inconnu"))</f>
        <v/>
      </c>
      <c r="H2204" s="27" t="str">
        <f aca="false">IF(B2204="","",IFERROR(INDEX(Jeux!$D$2:$D$3001,MATCH(B2204,Jeux!$A$2:$A$3001,0))&amp;"",""))</f>
        <v/>
      </c>
      <c r="I2204" s="26" t="str">
        <f aca="false">IF(A2204="","",COUNTIF(Apparitions!$G$2:$G$5001,A2204))</f>
        <v/>
      </c>
      <c r="J2204" s="26" t="str">
        <f aca="false">IF(A2204="","",COUNTIFS(Apparitions!$G$2:$G$5001,A2204,Apparitions!$E$2:$E$5001,"○"))</f>
        <v/>
      </c>
      <c r="K2204" s="29" t="str">
        <f aca="false">IF(A2204="","",IFERROR(1/(1/_xlfn.MINIFS(Apparitions!$L$2:$L$5001,Apparitions!$G$2:$G$5001,A2204)),""))</f>
        <v/>
      </c>
      <c r="L2204" s="27" t="str">
        <f aca="false">IF(A2204="","",A2204&amp;" | "&amp;B2204&amp;IF(C2204="",""," ("&amp;C2204&amp;")")&amp;IF(D2204="",""," - "&amp;D2204))</f>
        <v/>
      </c>
    </row>
    <row r="2205" customFormat="false" ht="15" hidden="false" customHeight="false" outlineLevel="0" collapsed="false">
      <c r="A2205" s="32"/>
      <c r="B2205" s="19"/>
      <c r="C2205" s="19"/>
      <c r="D2205" s="19"/>
      <c r="E2205" s="21"/>
      <c r="F2205" s="19"/>
      <c r="G2205" s="27" t="str">
        <f aca="false">IF(B2205="","",IFERROR(INDEX(Jeux!$C$2:$C$3001,MATCH(B2205,Jeux!$A$2:$A$3001,0))&amp;"","⚠ jeu inconnu"))</f>
        <v/>
      </c>
      <c r="H2205" s="27" t="str">
        <f aca="false">IF(B2205="","",IFERROR(INDEX(Jeux!$D$2:$D$3001,MATCH(B2205,Jeux!$A$2:$A$3001,0))&amp;"",""))</f>
        <v/>
      </c>
      <c r="I2205" s="26" t="str">
        <f aca="false">IF(A2205="","",COUNTIF(Apparitions!$G$2:$G$5001,A2205))</f>
        <v/>
      </c>
      <c r="J2205" s="26" t="str">
        <f aca="false">IF(A2205="","",COUNTIFS(Apparitions!$G$2:$G$5001,A2205,Apparitions!$E$2:$E$5001,"○"))</f>
        <v/>
      </c>
      <c r="K2205" s="29" t="str">
        <f aca="false">IF(A2205="","",IFERROR(1/(1/_xlfn.MINIFS(Apparitions!$L$2:$L$5001,Apparitions!$G$2:$G$5001,A2205)),""))</f>
        <v/>
      </c>
      <c r="L2205" s="27" t="str">
        <f aca="false">IF(A2205="","",A2205&amp;" | "&amp;B2205&amp;IF(C2205="",""," ("&amp;C2205&amp;")")&amp;IF(D2205="",""," - "&amp;D2205))</f>
        <v/>
      </c>
    </row>
    <row r="2206" customFormat="false" ht="15" hidden="false" customHeight="false" outlineLevel="0" collapsed="false">
      <c r="A2206" s="32"/>
      <c r="B2206" s="19"/>
      <c r="C2206" s="19"/>
      <c r="D2206" s="19"/>
      <c r="E2206" s="21"/>
      <c r="F2206" s="19"/>
      <c r="G2206" s="27" t="str">
        <f aca="false">IF(B2206="","",IFERROR(INDEX(Jeux!$C$2:$C$3001,MATCH(B2206,Jeux!$A$2:$A$3001,0))&amp;"","⚠ jeu inconnu"))</f>
        <v/>
      </c>
      <c r="H2206" s="27" t="str">
        <f aca="false">IF(B2206="","",IFERROR(INDEX(Jeux!$D$2:$D$3001,MATCH(B2206,Jeux!$A$2:$A$3001,0))&amp;"",""))</f>
        <v/>
      </c>
      <c r="I2206" s="26" t="str">
        <f aca="false">IF(A2206="","",COUNTIF(Apparitions!$G$2:$G$5001,A2206))</f>
        <v/>
      </c>
      <c r="J2206" s="26" t="str">
        <f aca="false">IF(A2206="","",COUNTIFS(Apparitions!$G$2:$G$5001,A2206,Apparitions!$E$2:$E$5001,"○"))</f>
        <v/>
      </c>
      <c r="K2206" s="29" t="str">
        <f aca="false">IF(A2206="","",IFERROR(1/(1/_xlfn.MINIFS(Apparitions!$L$2:$L$5001,Apparitions!$G$2:$G$5001,A2206)),""))</f>
        <v/>
      </c>
      <c r="L2206" s="27" t="str">
        <f aca="false">IF(A2206="","",A2206&amp;" | "&amp;B2206&amp;IF(C2206="",""," ("&amp;C2206&amp;")")&amp;IF(D2206="",""," - "&amp;D2206))</f>
        <v/>
      </c>
    </row>
    <row r="2207" customFormat="false" ht="15" hidden="false" customHeight="false" outlineLevel="0" collapsed="false">
      <c r="A2207" s="32"/>
      <c r="B2207" s="19"/>
      <c r="C2207" s="19"/>
      <c r="D2207" s="19"/>
      <c r="E2207" s="21"/>
      <c r="F2207" s="19"/>
      <c r="G2207" s="27" t="str">
        <f aca="false">IF(B2207="","",IFERROR(INDEX(Jeux!$C$2:$C$3001,MATCH(B2207,Jeux!$A$2:$A$3001,0))&amp;"","⚠ jeu inconnu"))</f>
        <v/>
      </c>
      <c r="H2207" s="27" t="str">
        <f aca="false">IF(B2207="","",IFERROR(INDEX(Jeux!$D$2:$D$3001,MATCH(B2207,Jeux!$A$2:$A$3001,0))&amp;"",""))</f>
        <v/>
      </c>
      <c r="I2207" s="26" t="str">
        <f aca="false">IF(A2207="","",COUNTIF(Apparitions!$G$2:$G$5001,A2207))</f>
        <v/>
      </c>
      <c r="J2207" s="26" t="str">
        <f aca="false">IF(A2207="","",COUNTIFS(Apparitions!$G$2:$G$5001,A2207,Apparitions!$E$2:$E$5001,"○"))</f>
        <v/>
      </c>
      <c r="K2207" s="29" t="str">
        <f aca="false">IF(A2207="","",IFERROR(1/(1/_xlfn.MINIFS(Apparitions!$L$2:$L$5001,Apparitions!$G$2:$G$5001,A2207)),""))</f>
        <v/>
      </c>
      <c r="L2207" s="27" t="str">
        <f aca="false">IF(A2207="","",A2207&amp;" | "&amp;B2207&amp;IF(C2207="",""," ("&amp;C2207&amp;")")&amp;IF(D2207="",""," - "&amp;D2207))</f>
        <v/>
      </c>
    </row>
    <row r="2208" customFormat="false" ht="15" hidden="false" customHeight="false" outlineLevel="0" collapsed="false">
      <c r="A2208" s="32"/>
      <c r="B2208" s="19"/>
      <c r="C2208" s="19"/>
      <c r="D2208" s="19"/>
      <c r="E2208" s="21"/>
      <c r="F2208" s="19"/>
      <c r="G2208" s="27" t="str">
        <f aca="false">IF(B2208="","",IFERROR(INDEX(Jeux!$C$2:$C$3001,MATCH(B2208,Jeux!$A$2:$A$3001,0))&amp;"","⚠ jeu inconnu"))</f>
        <v/>
      </c>
      <c r="H2208" s="27" t="str">
        <f aca="false">IF(B2208="","",IFERROR(INDEX(Jeux!$D$2:$D$3001,MATCH(B2208,Jeux!$A$2:$A$3001,0))&amp;"",""))</f>
        <v/>
      </c>
      <c r="I2208" s="26" t="str">
        <f aca="false">IF(A2208="","",COUNTIF(Apparitions!$G$2:$G$5001,A2208))</f>
        <v/>
      </c>
      <c r="J2208" s="26" t="str">
        <f aca="false">IF(A2208="","",COUNTIFS(Apparitions!$G$2:$G$5001,A2208,Apparitions!$E$2:$E$5001,"○"))</f>
        <v/>
      </c>
      <c r="K2208" s="29" t="str">
        <f aca="false">IF(A2208="","",IFERROR(1/(1/_xlfn.MINIFS(Apparitions!$L$2:$L$5001,Apparitions!$G$2:$G$5001,A2208)),""))</f>
        <v/>
      </c>
      <c r="L2208" s="27" t="str">
        <f aca="false">IF(A2208="","",A2208&amp;" | "&amp;B2208&amp;IF(C2208="",""," ("&amp;C2208&amp;")")&amp;IF(D2208="",""," - "&amp;D2208))</f>
        <v/>
      </c>
    </row>
    <row r="2209" customFormat="false" ht="15" hidden="false" customHeight="false" outlineLevel="0" collapsed="false">
      <c r="A2209" s="32"/>
      <c r="B2209" s="19"/>
      <c r="C2209" s="19"/>
      <c r="D2209" s="19"/>
      <c r="E2209" s="21"/>
      <c r="F2209" s="19"/>
      <c r="G2209" s="27" t="str">
        <f aca="false">IF(B2209="","",IFERROR(INDEX(Jeux!$C$2:$C$3001,MATCH(B2209,Jeux!$A$2:$A$3001,0))&amp;"","⚠ jeu inconnu"))</f>
        <v/>
      </c>
      <c r="H2209" s="27" t="str">
        <f aca="false">IF(B2209="","",IFERROR(INDEX(Jeux!$D$2:$D$3001,MATCH(B2209,Jeux!$A$2:$A$3001,0))&amp;"",""))</f>
        <v/>
      </c>
      <c r="I2209" s="26" t="str">
        <f aca="false">IF(A2209="","",COUNTIF(Apparitions!$G$2:$G$5001,A2209))</f>
        <v/>
      </c>
      <c r="J2209" s="26" t="str">
        <f aca="false">IF(A2209="","",COUNTIFS(Apparitions!$G$2:$G$5001,A2209,Apparitions!$E$2:$E$5001,"○"))</f>
        <v/>
      </c>
      <c r="K2209" s="29" t="str">
        <f aca="false">IF(A2209="","",IFERROR(1/(1/_xlfn.MINIFS(Apparitions!$L$2:$L$5001,Apparitions!$G$2:$G$5001,A2209)),""))</f>
        <v/>
      </c>
      <c r="L2209" s="27" t="str">
        <f aca="false">IF(A2209="","",A2209&amp;" | "&amp;B2209&amp;IF(C2209="",""," ("&amp;C2209&amp;")")&amp;IF(D2209="",""," - "&amp;D2209))</f>
        <v/>
      </c>
    </row>
    <row r="2210" customFormat="false" ht="15" hidden="false" customHeight="false" outlineLevel="0" collapsed="false">
      <c r="A2210" s="32"/>
      <c r="B2210" s="19"/>
      <c r="C2210" s="19"/>
      <c r="D2210" s="19"/>
      <c r="E2210" s="21"/>
      <c r="F2210" s="19"/>
      <c r="G2210" s="27" t="str">
        <f aca="false">IF(B2210="","",IFERROR(INDEX(Jeux!$C$2:$C$3001,MATCH(B2210,Jeux!$A$2:$A$3001,0))&amp;"","⚠ jeu inconnu"))</f>
        <v/>
      </c>
      <c r="H2210" s="27" t="str">
        <f aca="false">IF(B2210="","",IFERROR(INDEX(Jeux!$D$2:$D$3001,MATCH(B2210,Jeux!$A$2:$A$3001,0))&amp;"",""))</f>
        <v/>
      </c>
      <c r="I2210" s="26" t="str">
        <f aca="false">IF(A2210="","",COUNTIF(Apparitions!$G$2:$G$5001,A2210))</f>
        <v/>
      </c>
      <c r="J2210" s="26" t="str">
        <f aca="false">IF(A2210="","",COUNTIFS(Apparitions!$G$2:$G$5001,A2210,Apparitions!$E$2:$E$5001,"○"))</f>
        <v/>
      </c>
      <c r="K2210" s="29" t="str">
        <f aca="false">IF(A2210="","",IFERROR(1/(1/_xlfn.MINIFS(Apparitions!$L$2:$L$5001,Apparitions!$G$2:$G$5001,A2210)),""))</f>
        <v/>
      </c>
      <c r="L2210" s="27" t="str">
        <f aca="false">IF(A2210="","",A2210&amp;" | "&amp;B2210&amp;IF(C2210="",""," ("&amp;C2210&amp;")")&amp;IF(D2210="",""," - "&amp;D2210))</f>
        <v/>
      </c>
    </row>
    <row r="2211" customFormat="false" ht="15" hidden="false" customHeight="false" outlineLevel="0" collapsed="false">
      <c r="A2211" s="32"/>
      <c r="B2211" s="19"/>
      <c r="C2211" s="19"/>
      <c r="D2211" s="19"/>
      <c r="E2211" s="21"/>
      <c r="F2211" s="19"/>
      <c r="G2211" s="27" t="str">
        <f aca="false">IF(B2211="","",IFERROR(INDEX(Jeux!$C$2:$C$3001,MATCH(B2211,Jeux!$A$2:$A$3001,0))&amp;"","⚠ jeu inconnu"))</f>
        <v/>
      </c>
      <c r="H2211" s="27" t="str">
        <f aca="false">IF(B2211="","",IFERROR(INDEX(Jeux!$D$2:$D$3001,MATCH(B2211,Jeux!$A$2:$A$3001,0))&amp;"",""))</f>
        <v/>
      </c>
      <c r="I2211" s="26" t="str">
        <f aca="false">IF(A2211="","",COUNTIF(Apparitions!$G$2:$G$5001,A2211))</f>
        <v/>
      </c>
      <c r="J2211" s="26" t="str">
        <f aca="false">IF(A2211="","",COUNTIFS(Apparitions!$G$2:$G$5001,A2211,Apparitions!$E$2:$E$5001,"○"))</f>
        <v/>
      </c>
      <c r="K2211" s="29" t="str">
        <f aca="false">IF(A2211="","",IFERROR(1/(1/_xlfn.MINIFS(Apparitions!$L$2:$L$5001,Apparitions!$G$2:$G$5001,A2211)),""))</f>
        <v/>
      </c>
      <c r="L2211" s="27" t="str">
        <f aca="false">IF(A2211="","",A2211&amp;" | "&amp;B2211&amp;IF(C2211="",""," ("&amp;C2211&amp;")")&amp;IF(D2211="",""," - "&amp;D2211))</f>
        <v/>
      </c>
    </row>
    <row r="2212" customFormat="false" ht="15" hidden="false" customHeight="false" outlineLevel="0" collapsed="false">
      <c r="A2212" s="32"/>
      <c r="B2212" s="19"/>
      <c r="C2212" s="19"/>
      <c r="D2212" s="19"/>
      <c r="E2212" s="21"/>
      <c r="F2212" s="19"/>
      <c r="G2212" s="27" t="str">
        <f aca="false">IF(B2212="","",IFERROR(INDEX(Jeux!$C$2:$C$3001,MATCH(B2212,Jeux!$A$2:$A$3001,0))&amp;"","⚠ jeu inconnu"))</f>
        <v/>
      </c>
      <c r="H2212" s="27" t="str">
        <f aca="false">IF(B2212="","",IFERROR(INDEX(Jeux!$D$2:$D$3001,MATCH(B2212,Jeux!$A$2:$A$3001,0))&amp;"",""))</f>
        <v/>
      </c>
      <c r="I2212" s="26" t="str">
        <f aca="false">IF(A2212="","",COUNTIF(Apparitions!$G$2:$G$5001,A2212))</f>
        <v/>
      </c>
      <c r="J2212" s="26" t="str">
        <f aca="false">IF(A2212="","",COUNTIFS(Apparitions!$G$2:$G$5001,A2212,Apparitions!$E$2:$E$5001,"○"))</f>
        <v/>
      </c>
      <c r="K2212" s="29" t="str">
        <f aca="false">IF(A2212="","",IFERROR(1/(1/_xlfn.MINIFS(Apparitions!$L$2:$L$5001,Apparitions!$G$2:$G$5001,A2212)),""))</f>
        <v/>
      </c>
      <c r="L2212" s="27" t="str">
        <f aca="false">IF(A2212="","",A2212&amp;" | "&amp;B2212&amp;IF(C2212="",""," ("&amp;C2212&amp;")")&amp;IF(D2212="",""," - "&amp;D2212))</f>
        <v/>
      </c>
    </row>
    <row r="2213" customFormat="false" ht="15" hidden="false" customHeight="false" outlineLevel="0" collapsed="false">
      <c r="A2213" s="32"/>
      <c r="B2213" s="19"/>
      <c r="C2213" s="19"/>
      <c r="D2213" s="19"/>
      <c r="E2213" s="21"/>
      <c r="F2213" s="19"/>
      <c r="G2213" s="27" t="str">
        <f aca="false">IF(B2213="","",IFERROR(INDEX(Jeux!$C$2:$C$3001,MATCH(B2213,Jeux!$A$2:$A$3001,0))&amp;"","⚠ jeu inconnu"))</f>
        <v/>
      </c>
      <c r="H2213" s="27" t="str">
        <f aca="false">IF(B2213="","",IFERROR(INDEX(Jeux!$D$2:$D$3001,MATCH(B2213,Jeux!$A$2:$A$3001,0))&amp;"",""))</f>
        <v/>
      </c>
      <c r="I2213" s="26" t="str">
        <f aca="false">IF(A2213="","",COUNTIF(Apparitions!$G$2:$G$5001,A2213))</f>
        <v/>
      </c>
      <c r="J2213" s="26" t="str">
        <f aca="false">IF(A2213="","",COUNTIFS(Apparitions!$G$2:$G$5001,A2213,Apparitions!$E$2:$E$5001,"○"))</f>
        <v/>
      </c>
      <c r="K2213" s="29" t="str">
        <f aca="false">IF(A2213="","",IFERROR(1/(1/_xlfn.MINIFS(Apparitions!$L$2:$L$5001,Apparitions!$G$2:$G$5001,A2213)),""))</f>
        <v/>
      </c>
      <c r="L2213" s="27" t="str">
        <f aca="false">IF(A2213="","",A2213&amp;" | "&amp;B2213&amp;IF(C2213="",""," ("&amp;C2213&amp;")")&amp;IF(D2213="",""," - "&amp;D2213))</f>
        <v/>
      </c>
    </row>
    <row r="2214" customFormat="false" ht="15" hidden="false" customHeight="false" outlineLevel="0" collapsed="false">
      <c r="A2214" s="32"/>
      <c r="B2214" s="19"/>
      <c r="C2214" s="19"/>
      <c r="D2214" s="19"/>
      <c r="E2214" s="21"/>
      <c r="F2214" s="19"/>
      <c r="G2214" s="27" t="str">
        <f aca="false">IF(B2214="","",IFERROR(INDEX(Jeux!$C$2:$C$3001,MATCH(B2214,Jeux!$A$2:$A$3001,0))&amp;"","⚠ jeu inconnu"))</f>
        <v/>
      </c>
      <c r="H2214" s="27" t="str">
        <f aca="false">IF(B2214="","",IFERROR(INDEX(Jeux!$D$2:$D$3001,MATCH(B2214,Jeux!$A$2:$A$3001,0))&amp;"",""))</f>
        <v/>
      </c>
      <c r="I2214" s="26" t="str">
        <f aca="false">IF(A2214="","",COUNTIF(Apparitions!$G$2:$G$5001,A2214))</f>
        <v/>
      </c>
      <c r="J2214" s="26" t="str">
        <f aca="false">IF(A2214="","",COUNTIFS(Apparitions!$G$2:$G$5001,A2214,Apparitions!$E$2:$E$5001,"○"))</f>
        <v/>
      </c>
      <c r="K2214" s="29" t="str">
        <f aca="false">IF(A2214="","",IFERROR(1/(1/_xlfn.MINIFS(Apparitions!$L$2:$L$5001,Apparitions!$G$2:$G$5001,A2214)),""))</f>
        <v/>
      </c>
      <c r="L2214" s="27" t="str">
        <f aca="false">IF(A2214="","",A2214&amp;" | "&amp;B2214&amp;IF(C2214="",""," ("&amp;C2214&amp;")")&amp;IF(D2214="",""," - "&amp;D2214))</f>
        <v/>
      </c>
    </row>
    <row r="2215" customFormat="false" ht="15" hidden="false" customHeight="false" outlineLevel="0" collapsed="false">
      <c r="A2215" s="32"/>
      <c r="B2215" s="19"/>
      <c r="C2215" s="19"/>
      <c r="D2215" s="19"/>
      <c r="E2215" s="21"/>
      <c r="F2215" s="19"/>
      <c r="G2215" s="27" t="str">
        <f aca="false">IF(B2215="","",IFERROR(INDEX(Jeux!$C$2:$C$3001,MATCH(B2215,Jeux!$A$2:$A$3001,0))&amp;"","⚠ jeu inconnu"))</f>
        <v/>
      </c>
      <c r="H2215" s="27" t="str">
        <f aca="false">IF(B2215="","",IFERROR(INDEX(Jeux!$D$2:$D$3001,MATCH(B2215,Jeux!$A$2:$A$3001,0))&amp;"",""))</f>
        <v/>
      </c>
      <c r="I2215" s="26" t="str">
        <f aca="false">IF(A2215="","",COUNTIF(Apparitions!$G$2:$G$5001,A2215))</f>
        <v/>
      </c>
      <c r="J2215" s="26" t="str">
        <f aca="false">IF(A2215="","",COUNTIFS(Apparitions!$G$2:$G$5001,A2215,Apparitions!$E$2:$E$5001,"○"))</f>
        <v/>
      </c>
      <c r="K2215" s="29" t="str">
        <f aca="false">IF(A2215="","",IFERROR(1/(1/_xlfn.MINIFS(Apparitions!$L$2:$L$5001,Apparitions!$G$2:$G$5001,A2215)),""))</f>
        <v/>
      </c>
      <c r="L2215" s="27" t="str">
        <f aca="false">IF(A2215="","",A2215&amp;" | "&amp;B2215&amp;IF(C2215="",""," ("&amp;C2215&amp;")")&amp;IF(D2215="",""," - "&amp;D2215))</f>
        <v/>
      </c>
    </row>
    <row r="2216" customFormat="false" ht="15" hidden="false" customHeight="false" outlineLevel="0" collapsed="false">
      <c r="A2216" s="32"/>
      <c r="B2216" s="19"/>
      <c r="C2216" s="19"/>
      <c r="D2216" s="19"/>
      <c r="E2216" s="21"/>
      <c r="F2216" s="19"/>
      <c r="G2216" s="27" t="str">
        <f aca="false">IF(B2216="","",IFERROR(INDEX(Jeux!$C$2:$C$3001,MATCH(B2216,Jeux!$A$2:$A$3001,0))&amp;"","⚠ jeu inconnu"))</f>
        <v/>
      </c>
      <c r="H2216" s="27" t="str">
        <f aca="false">IF(B2216="","",IFERROR(INDEX(Jeux!$D$2:$D$3001,MATCH(B2216,Jeux!$A$2:$A$3001,0))&amp;"",""))</f>
        <v/>
      </c>
      <c r="I2216" s="26" t="str">
        <f aca="false">IF(A2216="","",COUNTIF(Apparitions!$G$2:$G$5001,A2216))</f>
        <v/>
      </c>
      <c r="J2216" s="26" t="str">
        <f aca="false">IF(A2216="","",COUNTIFS(Apparitions!$G$2:$G$5001,A2216,Apparitions!$E$2:$E$5001,"○"))</f>
        <v/>
      </c>
      <c r="K2216" s="29" t="str">
        <f aca="false">IF(A2216="","",IFERROR(1/(1/_xlfn.MINIFS(Apparitions!$L$2:$L$5001,Apparitions!$G$2:$G$5001,A2216)),""))</f>
        <v/>
      </c>
      <c r="L2216" s="27" t="str">
        <f aca="false">IF(A2216="","",A2216&amp;" | "&amp;B2216&amp;IF(C2216="",""," ("&amp;C2216&amp;")")&amp;IF(D2216="",""," - "&amp;D2216))</f>
        <v/>
      </c>
    </row>
    <row r="2217" customFormat="false" ht="15" hidden="false" customHeight="false" outlineLevel="0" collapsed="false">
      <c r="A2217" s="32"/>
      <c r="B2217" s="19"/>
      <c r="C2217" s="19"/>
      <c r="D2217" s="19"/>
      <c r="E2217" s="21"/>
      <c r="F2217" s="19"/>
      <c r="G2217" s="27" t="str">
        <f aca="false">IF(B2217="","",IFERROR(INDEX(Jeux!$C$2:$C$3001,MATCH(B2217,Jeux!$A$2:$A$3001,0))&amp;"","⚠ jeu inconnu"))</f>
        <v/>
      </c>
      <c r="H2217" s="27" t="str">
        <f aca="false">IF(B2217="","",IFERROR(INDEX(Jeux!$D$2:$D$3001,MATCH(B2217,Jeux!$A$2:$A$3001,0))&amp;"",""))</f>
        <v/>
      </c>
      <c r="I2217" s="26" t="str">
        <f aca="false">IF(A2217="","",COUNTIF(Apparitions!$G$2:$G$5001,A2217))</f>
        <v/>
      </c>
      <c r="J2217" s="26" t="str">
        <f aca="false">IF(A2217="","",COUNTIFS(Apparitions!$G$2:$G$5001,A2217,Apparitions!$E$2:$E$5001,"○"))</f>
        <v/>
      </c>
      <c r="K2217" s="29" t="str">
        <f aca="false">IF(A2217="","",IFERROR(1/(1/_xlfn.MINIFS(Apparitions!$L$2:$L$5001,Apparitions!$G$2:$G$5001,A2217)),""))</f>
        <v/>
      </c>
      <c r="L2217" s="27" t="str">
        <f aca="false">IF(A2217="","",A2217&amp;" | "&amp;B2217&amp;IF(C2217="",""," ("&amp;C2217&amp;")")&amp;IF(D2217="",""," - "&amp;D2217))</f>
        <v/>
      </c>
    </row>
    <row r="2218" customFormat="false" ht="15" hidden="false" customHeight="false" outlineLevel="0" collapsed="false">
      <c r="A2218" s="32"/>
      <c r="B2218" s="19"/>
      <c r="C2218" s="19"/>
      <c r="D2218" s="19"/>
      <c r="E2218" s="21"/>
      <c r="F2218" s="19"/>
      <c r="G2218" s="27" t="str">
        <f aca="false">IF(B2218="","",IFERROR(INDEX(Jeux!$C$2:$C$3001,MATCH(B2218,Jeux!$A$2:$A$3001,0))&amp;"","⚠ jeu inconnu"))</f>
        <v/>
      </c>
      <c r="H2218" s="27" t="str">
        <f aca="false">IF(B2218="","",IFERROR(INDEX(Jeux!$D$2:$D$3001,MATCH(B2218,Jeux!$A$2:$A$3001,0))&amp;"",""))</f>
        <v/>
      </c>
      <c r="I2218" s="26" t="str">
        <f aca="false">IF(A2218="","",COUNTIF(Apparitions!$G$2:$G$5001,A2218))</f>
        <v/>
      </c>
      <c r="J2218" s="26" t="str">
        <f aca="false">IF(A2218="","",COUNTIFS(Apparitions!$G$2:$G$5001,A2218,Apparitions!$E$2:$E$5001,"○"))</f>
        <v/>
      </c>
      <c r="K2218" s="29" t="str">
        <f aca="false">IF(A2218="","",IFERROR(1/(1/_xlfn.MINIFS(Apparitions!$L$2:$L$5001,Apparitions!$G$2:$G$5001,A2218)),""))</f>
        <v/>
      </c>
      <c r="L2218" s="27" t="str">
        <f aca="false">IF(A2218="","",A2218&amp;" | "&amp;B2218&amp;IF(C2218="",""," ("&amp;C2218&amp;")")&amp;IF(D2218="",""," - "&amp;D2218))</f>
        <v/>
      </c>
    </row>
    <row r="2219" customFormat="false" ht="15" hidden="false" customHeight="false" outlineLevel="0" collapsed="false">
      <c r="A2219" s="32"/>
      <c r="B2219" s="19"/>
      <c r="C2219" s="19"/>
      <c r="D2219" s="19"/>
      <c r="E2219" s="21"/>
      <c r="F2219" s="19"/>
      <c r="G2219" s="27" t="str">
        <f aca="false">IF(B2219="","",IFERROR(INDEX(Jeux!$C$2:$C$3001,MATCH(B2219,Jeux!$A$2:$A$3001,0))&amp;"","⚠ jeu inconnu"))</f>
        <v/>
      </c>
      <c r="H2219" s="27" t="str">
        <f aca="false">IF(B2219="","",IFERROR(INDEX(Jeux!$D$2:$D$3001,MATCH(B2219,Jeux!$A$2:$A$3001,0))&amp;"",""))</f>
        <v/>
      </c>
      <c r="I2219" s="26" t="str">
        <f aca="false">IF(A2219="","",COUNTIF(Apparitions!$G$2:$G$5001,A2219))</f>
        <v/>
      </c>
      <c r="J2219" s="26" t="str">
        <f aca="false">IF(A2219="","",COUNTIFS(Apparitions!$G$2:$G$5001,A2219,Apparitions!$E$2:$E$5001,"○"))</f>
        <v/>
      </c>
      <c r="K2219" s="29" t="str">
        <f aca="false">IF(A2219="","",IFERROR(1/(1/_xlfn.MINIFS(Apparitions!$L$2:$L$5001,Apparitions!$G$2:$G$5001,A2219)),""))</f>
        <v/>
      </c>
      <c r="L2219" s="27" t="str">
        <f aca="false">IF(A2219="","",A2219&amp;" | "&amp;B2219&amp;IF(C2219="",""," ("&amp;C2219&amp;")")&amp;IF(D2219="",""," - "&amp;D2219))</f>
        <v/>
      </c>
    </row>
    <row r="2220" customFormat="false" ht="15" hidden="false" customHeight="false" outlineLevel="0" collapsed="false">
      <c r="A2220" s="32"/>
      <c r="B2220" s="19"/>
      <c r="C2220" s="19"/>
      <c r="D2220" s="19"/>
      <c r="E2220" s="21"/>
      <c r="F2220" s="19"/>
      <c r="G2220" s="27" t="str">
        <f aca="false">IF(B2220="","",IFERROR(INDEX(Jeux!$C$2:$C$3001,MATCH(B2220,Jeux!$A$2:$A$3001,0))&amp;"","⚠ jeu inconnu"))</f>
        <v/>
      </c>
      <c r="H2220" s="27" t="str">
        <f aca="false">IF(B2220="","",IFERROR(INDEX(Jeux!$D$2:$D$3001,MATCH(B2220,Jeux!$A$2:$A$3001,0))&amp;"",""))</f>
        <v/>
      </c>
      <c r="I2220" s="26" t="str">
        <f aca="false">IF(A2220="","",COUNTIF(Apparitions!$G$2:$G$5001,A2220))</f>
        <v/>
      </c>
      <c r="J2220" s="26" t="str">
        <f aca="false">IF(A2220="","",COUNTIFS(Apparitions!$G$2:$G$5001,A2220,Apparitions!$E$2:$E$5001,"○"))</f>
        <v/>
      </c>
      <c r="K2220" s="29" t="str">
        <f aca="false">IF(A2220="","",IFERROR(1/(1/_xlfn.MINIFS(Apparitions!$L$2:$L$5001,Apparitions!$G$2:$G$5001,A2220)),""))</f>
        <v/>
      </c>
      <c r="L2220" s="27" t="str">
        <f aca="false">IF(A2220="","",A2220&amp;" | "&amp;B2220&amp;IF(C2220="",""," ("&amp;C2220&amp;")")&amp;IF(D2220="",""," - "&amp;D2220))</f>
        <v/>
      </c>
    </row>
    <row r="2221" customFormat="false" ht="15" hidden="false" customHeight="false" outlineLevel="0" collapsed="false">
      <c r="A2221" s="32"/>
      <c r="B2221" s="19"/>
      <c r="C2221" s="19"/>
      <c r="D2221" s="19"/>
      <c r="E2221" s="21"/>
      <c r="F2221" s="19"/>
      <c r="G2221" s="27" t="str">
        <f aca="false">IF(B2221="","",IFERROR(INDEX(Jeux!$C$2:$C$3001,MATCH(B2221,Jeux!$A$2:$A$3001,0))&amp;"","⚠ jeu inconnu"))</f>
        <v/>
      </c>
      <c r="H2221" s="27" t="str">
        <f aca="false">IF(B2221="","",IFERROR(INDEX(Jeux!$D$2:$D$3001,MATCH(B2221,Jeux!$A$2:$A$3001,0))&amp;"",""))</f>
        <v/>
      </c>
      <c r="I2221" s="26" t="str">
        <f aca="false">IF(A2221="","",COUNTIF(Apparitions!$G$2:$G$5001,A2221))</f>
        <v/>
      </c>
      <c r="J2221" s="26" t="str">
        <f aca="false">IF(A2221="","",COUNTIFS(Apparitions!$G$2:$G$5001,A2221,Apparitions!$E$2:$E$5001,"○"))</f>
        <v/>
      </c>
      <c r="K2221" s="29" t="str">
        <f aca="false">IF(A2221="","",IFERROR(1/(1/_xlfn.MINIFS(Apparitions!$L$2:$L$5001,Apparitions!$G$2:$G$5001,A2221)),""))</f>
        <v/>
      </c>
      <c r="L2221" s="27" t="str">
        <f aca="false">IF(A2221="","",A2221&amp;" | "&amp;B2221&amp;IF(C2221="",""," ("&amp;C2221&amp;")")&amp;IF(D2221="",""," - "&amp;D2221))</f>
        <v/>
      </c>
    </row>
    <row r="2222" customFormat="false" ht="15" hidden="false" customHeight="false" outlineLevel="0" collapsed="false">
      <c r="A2222" s="32"/>
      <c r="B2222" s="19"/>
      <c r="C2222" s="19"/>
      <c r="D2222" s="19"/>
      <c r="E2222" s="21"/>
      <c r="F2222" s="19"/>
      <c r="G2222" s="27" t="str">
        <f aca="false">IF(B2222="","",IFERROR(INDEX(Jeux!$C$2:$C$3001,MATCH(B2222,Jeux!$A$2:$A$3001,0))&amp;"","⚠ jeu inconnu"))</f>
        <v/>
      </c>
      <c r="H2222" s="27" t="str">
        <f aca="false">IF(B2222="","",IFERROR(INDEX(Jeux!$D$2:$D$3001,MATCH(B2222,Jeux!$A$2:$A$3001,0))&amp;"",""))</f>
        <v/>
      </c>
      <c r="I2222" s="26" t="str">
        <f aca="false">IF(A2222="","",COUNTIF(Apparitions!$G$2:$G$5001,A2222))</f>
        <v/>
      </c>
      <c r="J2222" s="26" t="str">
        <f aca="false">IF(A2222="","",COUNTIFS(Apparitions!$G$2:$G$5001,A2222,Apparitions!$E$2:$E$5001,"○"))</f>
        <v/>
      </c>
      <c r="K2222" s="29" t="str">
        <f aca="false">IF(A2222="","",IFERROR(1/(1/_xlfn.MINIFS(Apparitions!$L$2:$L$5001,Apparitions!$G$2:$G$5001,A2222)),""))</f>
        <v/>
      </c>
      <c r="L2222" s="27" t="str">
        <f aca="false">IF(A2222="","",A2222&amp;" | "&amp;B2222&amp;IF(C2222="",""," ("&amp;C2222&amp;")")&amp;IF(D2222="",""," - "&amp;D2222))</f>
        <v/>
      </c>
    </row>
    <row r="2223" customFormat="false" ht="15" hidden="false" customHeight="false" outlineLevel="0" collapsed="false">
      <c r="A2223" s="32"/>
      <c r="B2223" s="19"/>
      <c r="C2223" s="19"/>
      <c r="D2223" s="19"/>
      <c r="E2223" s="21"/>
      <c r="F2223" s="19"/>
      <c r="G2223" s="27" t="str">
        <f aca="false">IF(B2223="","",IFERROR(INDEX(Jeux!$C$2:$C$3001,MATCH(B2223,Jeux!$A$2:$A$3001,0))&amp;"","⚠ jeu inconnu"))</f>
        <v/>
      </c>
      <c r="H2223" s="27" t="str">
        <f aca="false">IF(B2223="","",IFERROR(INDEX(Jeux!$D$2:$D$3001,MATCH(B2223,Jeux!$A$2:$A$3001,0))&amp;"",""))</f>
        <v/>
      </c>
      <c r="I2223" s="26" t="str">
        <f aca="false">IF(A2223="","",COUNTIF(Apparitions!$G$2:$G$5001,A2223))</f>
        <v/>
      </c>
      <c r="J2223" s="26" t="str">
        <f aca="false">IF(A2223="","",COUNTIFS(Apparitions!$G$2:$G$5001,A2223,Apparitions!$E$2:$E$5001,"○"))</f>
        <v/>
      </c>
      <c r="K2223" s="29" t="str">
        <f aca="false">IF(A2223="","",IFERROR(1/(1/_xlfn.MINIFS(Apparitions!$L$2:$L$5001,Apparitions!$G$2:$G$5001,A2223)),""))</f>
        <v/>
      </c>
      <c r="L2223" s="27" t="str">
        <f aca="false">IF(A2223="","",A2223&amp;" | "&amp;B2223&amp;IF(C2223="",""," ("&amp;C2223&amp;")")&amp;IF(D2223="",""," - "&amp;D2223))</f>
        <v/>
      </c>
    </row>
    <row r="2224" customFormat="false" ht="15" hidden="false" customHeight="false" outlineLevel="0" collapsed="false">
      <c r="A2224" s="32"/>
      <c r="B2224" s="19"/>
      <c r="C2224" s="19"/>
      <c r="D2224" s="19"/>
      <c r="E2224" s="21"/>
      <c r="F2224" s="19"/>
      <c r="G2224" s="27" t="str">
        <f aca="false">IF(B2224="","",IFERROR(INDEX(Jeux!$C$2:$C$3001,MATCH(B2224,Jeux!$A$2:$A$3001,0))&amp;"","⚠ jeu inconnu"))</f>
        <v/>
      </c>
      <c r="H2224" s="27" t="str">
        <f aca="false">IF(B2224="","",IFERROR(INDEX(Jeux!$D$2:$D$3001,MATCH(B2224,Jeux!$A$2:$A$3001,0))&amp;"",""))</f>
        <v/>
      </c>
      <c r="I2224" s="26" t="str">
        <f aca="false">IF(A2224="","",COUNTIF(Apparitions!$G$2:$G$5001,A2224))</f>
        <v/>
      </c>
      <c r="J2224" s="26" t="str">
        <f aca="false">IF(A2224="","",COUNTIFS(Apparitions!$G$2:$G$5001,A2224,Apparitions!$E$2:$E$5001,"○"))</f>
        <v/>
      </c>
      <c r="K2224" s="29" t="str">
        <f aca="false">IF(A2224="","",IFERROR(1/(1/_xlfn.MINIFS(Apparitions!$L$2:$L$5001,Apparitions!$G$2:$G$5001,A2224)),""))</f>
        <v/>
      </c>
      <c r="L2224" s="27" t="str">
        <f aca="false">IF(A2224="","",A2224&amp;" | "&amp;B2224&amp;IF(C2224="",""," ("&amp;C2224&amp;")")&amp;IF(D2224="",""," - "&amp;D2224))</f>
        <v/>
      </c>
    </row>
    <row r="2225" customFormat="false" ht="15" hidden="false" customHeight="false" outlineLevel="0" collapsed="false">
      <c r="A2225" s="32"/>
      <c r="B2225" s="19"/>
      <c r="C2225" s="19"/>
      <c r="D2225" s="19"/>
      <c r="E2225" s="21"/>
      <c r="F2225" s="19"/>
      <c r="G2225" s="27" t="str">
        <f aca="false">IF(B2225="","",IFERROR(INDEX(Jeux!$C$2:$C$3001,MATCH(B2225,Jeux!$A$2:$A$3001,0))&amp;"","⚠ jeu inconnu"))</f>
        <v/>
      </c>
      <c r="H2225" s="27" t="str">
        <f aca="false">IF(B2225="","",IFERROR(INDEX(Jeux!$D$2:$D$3001,MATCH(B2225,Jeux!$A$2:$A$3001,0))&amp;"",""))</f>
        <v/>
      </c>
      <c r="I2225" s="26" t="str">
        <f aca="false">IF(A2225="","",COUNTIF(Apparitions!$G$2:$G$5001,A2225))</f>
        <v/>
      </c>
      <c r="J2225" s="26" t="str">
        <f aca="false">IF(A2225="","",COUNTIFS(Apparitions!$G$2:$G$5001,A2225,Apparitions!$E$2:$E$5001,"○"))</f>
        <v/>
      </c>
      <c r="K2225" s="29" t="str">
        <f aca="false">IF(A2225="","",IFERROR(1/(1/_xlfn.MINIFS(Apparitions!$L$2:$L$5001,Apparitions!$G$2:$G$5001,A2225)),""))</f>
        <v/>
      </c>
      <c r="L2225" s="27" t="str">
        <f aca="false">IF(A2225="","",A2225&amp;" | "&amp;B2225&amp;IF(C2225="",""," ("&amp;C2225&amp;")")&amp;IF(D2225="",""," - "&amp;D2225))</f>
        <v/>
      </c>
    </row>
    <row r="2226" customFormat="false" ht="15" hidden="false" customHeight="false" outlineLevel="0" collapsed="false">
      <c r="A2226" s="32"/>
      <c r="B2226" s="19"/>
      <c r="C2226" s="19"/>
      <c r="D2226" s="19"/>
      <c r="E2226" s="21"/>
      <c r="F2226" s="19"/>
      <c r="G2226" s="27" t="str">
        <f aca="false">IF(B2226="","",IFERROR(INDEX(Jeux!$C$2:$C$3001,MATCH(B2226,Jeux!$A$2:$A$3001,0))&amp;"","⚠ jeu inconnu"))</f>
        <v/>
      </c>
      <c r="H2226" s="27" t="str">
        <f aca="false">IF(B2226="","",IFERROR(INDEX(Jeux!$D$2:$D$3001,MATCH(B2226,Jeux!$A$2:$A$3001,0))&amp;"",""))</f>
        <v/>
      </c>
      <c r="I2226" s="26" t="str">
        <f aca="false">IF(A2226="","",COUNTIF(Apparitions!$G$2:$G$5001,A2226))</f>
        <v/>
      </c>
      <c r="J2226" s="26" t="str">
        <f aca="false">IF(A2226="","",COUNTIFS(Apparitions!$G$2:$G$5001,A2226,Apparitions!$E$2:$E$5001,"○"))</f>
        <v/>
      </c>
      <c r="K2226" s="29" t="str">
        <f aca="false">IF(A2226="","",IFERROR(1/(1/_xlfn.MINIFS(Apparitions!$L$2:$L$5001,Apparitions!$G$2:$G$5001,A2226)),""))</f>
        <v/>
      </c>
      <c r="L2226" s="27" t="str">
        <f aca="false">IF(A2226="","",A2226&amp;" | "&amp;B2226&amp;IF(C2226="",""," ("&amp;C2226&amp;")")&amp;IF(D2226="",""," - "&amp;D2226))</f>
        <v/>
      </c>
    </row>
    <row r="2227" customFormat="false" ht="15" hidden="false" customHeight="false" outlineLevel="0" collapsed="false">
      <c r="A2227" s="32"/>
      <c r="B2227" s="19"/>
      <c r="C2227" s="19"/>
      <c r="D2227" s="19"/>
      <c r="E2227" s="21"/>
      <c r="F2227" s="19"/>
      <c r="G2227" s="27" t="str">
        <f aca="false">IF(B2227="","",IFERROR(INDEX(Jeux!$C$2:$C$3001,MATCH(B2227,Jeux!$A$2:$A$3001,0))&amp;"","⚠ jeu inconnu"))</f>
        <v/>
      </c>
      <c r="H2227" s="27" t="str">
        <f aca="false">IF(B2227="","",IFERROR(INDEX(Jeux!$D$2:$D$3001,MATCH(B2227,Jeux!$A$2:$A$3001,0))&amp;"",""))</f>
        <v/>
      </c>
      <c r="I2227" s="26" t="str">
        <f aca="false">IF(A2227="","",COUNTIF(Apparitions!$G$2:$G$5001,A2227))</f>
        <v/>
      </c>
      <c r="J2227" s="26" t="str">
        <f aca="false">IF(A2227="","",COUNTIFS(Apparitions!$G$2:$G$5001,A2227,Apparitions!$E$2:$E$5001,"○"))</f>
        <v/>
      </c>
      <c r="K2227" s="29" t="str">
        <f aca="false">IF(A2227="","",IFERROR(1/(1/_xlfn.MINIFS(Apparitions!$L$2:$L$5001,Apparitions!$G$2:$G$5001,A2227)),""))</f>
        <v/>
      </c>
      <c r="L2227" s="27" t="str">
        <f aca="false">IF(A2227="","",A2227&amp;" | "&amp;B2227&amp;IF(C2227="",""," ("&amp;C2227&amp;")")&amp;IF(D2227="",""," - "&amp;D2227))</f>
        <v/>
      </c>
    </row>
    <row r="2228" customFormat="false" ht="15" hidden="false" customHeight="false" outlineLevel="0" collapsed="false">
      <c r="A2228" s="32"/>
      <c r="B2228" s="19"/>
      <c r="C2228" s="19"/>
      <c r="D2228" s="19"/>
      <c r="E2228" s="21"/>
      <c r="F2228" s="19"/>
      <c r="G2228" s="27" t="str">
        <f aca="false">IF(B2228="","",IFERROR(INDEX(Jeux!$C$2:$C$3001,MATCH(B2228,Jeux!$A$2:$A$3001,0))&amp;"","⚠ jeu inconnu"))</f>
        <v/>
      </c>
      <c r="H2228" s="27" t="str">
        <f aca="false">IF(B2228="","",IFERROR(INDEX(Jeux!$D$2:$D$3001,MATCH(B2228,Jeux!$A$2:$A$3001,0))&amp;"",""))</f>
        <v/>
      </c>
      <c r="I2228" s="26" t="str">
        <f aca="false">IF(A2228="","",COUNTIF(Apparitions!$G$2:$G$5001,A2228))</f>
        <v/>
      </c>
      <c r="J2228" s="26" t="str">
        <f aca="false">IF(A2228="","",COUNTIFS(Apparitions!$G$2:$G$5001,A2228,Apparitions!$E$2:$E$5001,"○"))</f>
        <v/>
      </c>
      <c r="K2228" s="29" t="str">
        <f aca="false">IF(A2228="","",IFERROR(1/(1/_xlfn.MINIFS(Apparitions!$L$2:$L$5001,Apparitions!$G$2:$G$5001,A2228)),""))</f>
        <v/>
      </c>
      <c r="L2228" s="27" t="str">
        <f aca="false">IF(A2228="","",A2228&amp;" | "&amp;B2228&amp;IF(C2228="",""," ("&amp;C2228&amp;")")&amp;IF(D2228="",""," - "&amp;D2228))</f>
        <v/>
      </c>
    </row>
    <row r="2229" customFormat="false" ht="15" hidden="false" customHeight="false" outlineLevel="0" collapsed="false">
      <c r="A2229" s="32"/>
      <c r="B2229" s="19"/>
      <c r="C2229" s="19"/>
      <c r="D2229" s="19"/>
      <c r="E2229" s="21"/>
      <c r="F2229" s="19"/>
      <c r="G2229" s="27" t="str">
        <f aca="false">IF(B2229="","",IFERROR(INDEX(Jeux!$C$2:$C$3001,MATCH(B2229,Jeux!$A$2:$A$3001,0))&amp;"","⚠ jeu inconnu"))</f>
        <v/>
      </c>
      <c r="H2229" s="27" t="str">
        <f aca="false">IF(B2229="","",IFERROR(INDEX(Jeux!$D$2:$D$3001,MATCH(B2229,Jeux!$A$2:$A$3001,0))&amp;"",""))</f>
        <v/>
      </c>
      <c r="I2229" s="26" t="str">
        <f aca="false">IF(A2229="","",COUNTIF(Apparitions!$G$2:$G$5001,A2229))</f>
        <v/>
      </c>
      <c r="J2229" s="26" t="str">
        <f aca="false">IF(A2229="","",COUNTIFS(Apparitions!$G$2:$G$5001,A2229,Apparitions!$E$2:$E$5001,"○"))</f>
        <v/>
      </c>
      <c r="K2229" s="29" t="str">
        <f aca="false">IF(A2229="","",IFERROR(1/(1/_xlfn.MINIFS(Apparitions!$L$2:$L$5001,Apparitions!$G$2:$G$5001,A2229)),""))</f>
        <v/>
      </c>
      <c r="L2229" s="27" t="str">
        <f aca="false">IF(A2229="","",A2229&amp;" | "&amp;B2229&amp;IF(C2229="",""," ("&amp;C2229&amp;")")&amp;IF(D2229="",""," - "&amp;D2229))</f>
        <v/>
      </c>
    </row>
    <row r="2230" customFormat="false" ht="15" hidden="false" customHeight="false" outlineLevel="0" collapsed="false">
      <c r="A2230" s="32"/>
      <c r="B2230" s="19"/>
      <c r="C2230" s="19"/>
      <c r="D2230" s="19"/>
      <c r="E2230" s="21"/>
      <c r="F2230" s="19"/>
      <c r="G2230" s="27" t="str">
        <f aca="false">IF(B2230="","",IFERROR(INDEX(Jeux!$C$2:$C$3001,MATCH(B2230,Jeux!$A$2:$A$3001,0))&amp;"","⚠ jeu inconnu"))</f>
        <v/>
      </c>
      <c r="H2230" s="27" t="str">
        <f aca="false">IF(B2230="","",IFERROR(INDEX(Jeux!$D$2:$D$3001,MATCH(B2230,Jeux!$A$2:$A$3001,0))&amp;"",""))</f>
        <v/>
      </c>
      <c r="I2230" s="26" t="str">
        <f aca="false">IF(A2230="","",COUNTIF(Apparitions!$G$2:$G$5001,A2230))</f>
        <v/>
      </c>
      <c r="J2230" s="26" t="str">
        <f aca="false">IF(A2230="","",COUNTIFS(Apparitions!$G$2:$G$5001,A2230,Apparitions!$E$2:$E$5001,"○"))</f>
        <v/>
      </c>
      <c r="K2230" s="29" t="str">
        <f aca="false">IF(A2230="","",IFERROR(1/(1/_xlfn.MINIFS(Apparitions!$L$2:$L$5001,Apparitions!$G$2:$G$5001,A2230)),""))</f>
        <v/>
      </c>
      <c r="L2230" s="27" t="str">
        <f aca="false">IF(A2230="","",A2230&amp;" | "&amp;B2230&amp;IF(C2230="",""," ("&amp;C2230&amp;")")&amp;IF(D2230="",""," - "&amp;D2230))</f>
        <v/>
      </c>
    </row>
    <row r="2231" customFormat="false" ht="15" hidden="false" customHeight="false" outlineLevel="0" collapsed="false">
      <c r="A2231" s="32"/>
      <c r="B2231" s="19"/>
      <c r="C2231" s="19"/>
      <c r="D2231" s="19"/>
      <c r="E2231" s="21"/>
      <c r="F2231" s="19"/>
      <c r="G2231" s="27" t="str">
        <f aca="false">IF(B2231="","",IFERROR(INDEX(Jeux!$C$2:$C$3001,MATCH(B2231,Jeux!$A$2:$A$3001,0))&amp;"","⚠ jeu inconnu"))</f>
        <v/>
      </c>
      <c r="H2231" s="27" t="str">
        <f aca="false">IF(B2231="","",IFERROR(INDEX(Jeux!$D$2:$D$3001,MATCH(B2231,Jeux!$A$2:$A$3001,0))&amp;"",""))</f>
        <v/>
      </c>
      <c r="I2231" s="26" t="str">
        <f aca="false">IF(A2231="","",COUNTIF(Apparitions!$G$2:$G$5001,A2231))</f>
        <v/>
      </c>
      <c r="J2231" s="26" t="str">
        <f aca="false">IF(A2231="","",COUNTIFS(Apparitions!$G$2:$G$5001,A2231,Apparitions!$E$2:$E$5001,"○"))</f>
        <v/>
      </c>
      <c r="K2231" s="29" t="str">
        <f aca="false">IF(A2231="","",IFERROR(1/(1/_xlfn.MINIFS(Apparitions!$L$2:$L$5001,Apparitions!$G$2:$G$5001,A2231)),""))</f>
        <v/>
      </c>
      <c r="L2231" s="27" t="str">
        <f aca="false">IF(A2231="","",A2231&amp;" | "&amp;B2231&amp;IF(C2231="",""," ("&amp;C2231&amp;")")&amp;IF(D2231="",""," - "&amp;D2231))</f>
        <v/>
      </c>
    </row>
    <row r="2232" customFormat="false" ht="15" hidden="false" customHeight="false" outlineLevel="0" collapsed="false">
      <c r="A2232" s="32"/>
      <c r="B2232" s="19"/>
      <c r="C2232" s="19"/>
      <c r="D2232" s="19"/>
      <c r="E2232" s="21"/>
      <c r="F2232" s="19"/>
      <c r="G2232" s="27" t="str">
        <f aca="false">IF(B2232="","",IFERROR(INDEX(Jeux!$C$2:$C$3001,MATCH(B2232,Jeux!$A$2:$A$3001,0))&amp;"","⚠ jeu inconnu"))</f>
        <v/>
      </c>
      <c r="H2232" s="27" t="str">
        <f aca="false">IF(B2232="","",IFERROR(INDEX(Jeux!$D$2:$D$3001,MATCH(B2232,Jeux!$A$2:$A$3001,0))&amp;"",""))</f>
        <v/>
      </c>
      <c r="I2232" s="26" t="str">
        <f aca="false">IF(A2232="","",COUNTIF(Apparitions!$G$2:$G$5001,A2232))</f>
        <v/>
      </c>
      <c r="J2232" s="26" t="str">
        <f aca="false">IF(A2232="","",COUNTIFS(Apparitions!$G$2:$G$5001,A2232,Apparitions!$E$2:$E$5001,"○"))</f>
        <v/>
      </c>
      <c r="K2232" s="29" t="str">
        <f aca="false">IF(A2232="","",IFERROR(1/(1/_xlfn.MINIFS(Apparitions!$L$2:$L$5001,Apparitions!$G$2:$G$5001,A2232)),""))</f>
        <v/>
      </c>
      <c r="L2232" s="27" t="str">
        <f aca="false">IF(A2232="","",A2232&amp;" | "&amp;B2232&amp;IF(C2232="",""," ("&amp;C2232&amp;")")&amp;IF(D2232="",""," - "&amp;D2232))</f>
        <v/>
      </c>
    </row>
    <row r="2233" customFormat="false" ht="15" hidden="false" customHeight="false" outlineLevel="0" collapsed="false">
      <c r="A2233" s="32"/>
      <c r="B2233" s="19"/>
      <c r="C2233" s="19"/>
      <c r="D2233" s="19"/>
      <c r="E2233" s="21"/>
      <c r="F2233" s="19"/>
      <c r="G2233" s="27" t="str">
        <f aca="false">IF(B2233="","",IFERROR(INDEX(Jeux!$C$2:$C$3001,MATCH(B2233,Jeux!$A$2:$A$3001,0))&amp;"","⚠ jeu inconnu"))</f>
        <v/>
      </c>
      <c r="H2233" s="27" t="str">
        <f aca="false">IF(B2233="","",IFERROR(INDEX(Jeux!$D$2:$D$3001,MATCH(B2233,Jeux!$A$2:$A$3001,0))&amp;"",""))</f>
        <v/>
      </c>
      <c r="I2233" s="26" t="str">
        <f aca="false">IF(A2233="","",COUNTIF(Apparitions!$G$2:$G$5001,A2233))</f>
        <v/>
      </c>
      <c r="J2233" s="26" t="str">
        <f aca="false">IF(A2233="","",COUNTIFS(Apparitions!$G$2:$G$5001,A2233,Apparitions!$E$2:$E$5001,"○"))</f>
        <v/>
      </c>
      <c r="K2233" s="29" t="str">
        <f aca="false">IF(A2233="","",IFERROR(1/(1/_xlfn.MINIFS(Apparitions!$L$2:$L$5001,Apparitions!$G$2:$G$5001,A2233)),""))</f>
        <v/>
      </c>
      <c r="L2233" s="27" t="str">
        <f aca="false">IF(A2233="","",A2233&amp;" | "&amp;B2233&amp;IF(C2233="",""," ("&amp;C2233&amp;")")&amp;IF(D2233="",""," - "&amp;D2233))</f>
        <v/>
      </c>
    </row>
    <row r="2234" customFormat="false" ht="15" hidden="false" customHeight="false" outlineLevel="0" collapsed="false">
      <c r="A2234" s="32"/>
      <c r="B2234" s="19"/>
      <c r="C2234" s="19"/>
      <c r="D2234" s="19"/>
      <c r="E2234" s="21"/>
      <c r="F2234" s="19"/>
      <c r="G2234" s="27" t="str">
        <f aca="false">IF(B2234="","",IFERROR(INDEX(Jeux!$C$2:$C$3001,MATCH(B2234,Jeux!$A$2:$A$3001,0))&amp;"","⚠ jeu inconnu"))</f>
        <v/>
      </c>
      <c r="H2234" s="27" t="str">
        <f aca="false">IF(B2234="","",IFERROR(INDEX(Jeux!$D$2:$D$3001,MATCH(B2234,Jeux!$A$2:$A$3001,0))&amp;"",""))</f>
        <v/>
      </c>
      <c r="I2234" s="26" t="str">
        <f aca="false">IF(A2234="","",COUNTIF(Apparitions!$G$2:$G$5001,A2234))</f>
        <v/>
      </c>
      <c r="J2234" s="26" t="str">
        <f aca="false">IF(A2234="","",COUNTIFS(Apparitions!$G$2:$G$5001,A2234,Apparitions!$E$2:$E$5001,"○"))</f>
        <v/>
      </c>
      <c r="K2234" s="29" t="str">
        <f aca="false">IF(A2234="","",IFERROR(1/(1/_xlfn.MINIFS(Apparitions!$L$2:$L$5001,Apparitions!$G$2:$G$5001,A2234)),""))</f>
        <v/>
      </c>
      <c r="L2234" s="27" t="str">
        <f aca="false">IF(A2234="","",A2234&amp;" | "&amp;B2234&amp;IF(C2234="",""," ("&amp;C2234&amp;")")&amp;IF(D2234="",""," - "&amp;D2234))</f>
        <v/>
      </c>
    </row>
    <row r="2235" customFormat="false" ht="15" hidden="false" customHeight="false" outlineLevel="0" collapsed="false">
      <c r="A2235" s="32"/>
      <c r="B2235" s="19"/>
      <c r="C2235" s="19"/>
      <c r="D2235" s="19"/>
      <c r="E2235" s="21"/>
      <c r="F2235" s="19"/>
      <c r="G2235" s="27" t="str">
        <f aca="false">IF(B2235="","",IFERROR(INDEX(Jeux!$C$2:$C$3001,MATCH(B2235,Jeux!$A$2:$A$3001,0))&amp;"","⚠ jeu inconnu"))</f>
        <v/>
      </c>
      <c r="H2235" s="27" t="str">
        <f aca="false">IF(B2235="","",IFERROR(INDEX(Jeux!$D$2:$D$3001,MATCH(B2235,Jeux!$A$2:$A$3001,0))&amp;"",""))</f>
        <v/>
      </c>
      <c r="I2235" s="26" t="str">
        <f aca="false">IF(A2235="","",COUNTIF(Apparitions!$G$2:$G$5001,A2235))</f>
        <v/>
      </c>
      <c r="J2235" s="26" t="str">
        <f aca="false">IF(A2235="","",COUNTIFS(Apparitions!$G$2:$G$5001,A2235,Apparitions!$E$2:$E$5001,"○"))</f>
        <v/>
      </c>
      <c r="K2235" s="29" t="str">
        <f aca="false">IF(A2235="","",IFERROR(1/(1/_xlfn.MINIFS(Apparitions!$L$2:$L$5001,Apparitions!$G$2:$G$5001,A2235)),""))</f>
        <v/>
      </c>
      <c r="L2235" s="27" t="str">
        <f aca="false">IF(A2235="","",A2235&amp;" | "&amp;B2235&amp;IF(C2235="",""," ("&amp;C2235&amp;")")&amp;IF(D2235="",""," - "&amp;D2235))</f>
        <v/>
      </c>
    </row>
    <row r="2236" customFormat="false" ht="15" hidden="false" customHeight="false" outlineLevel="0" collapsed="false">
      <c r="A2236" s="32"/>
      <c r="B2236" s="19"/>
      <c r="C2236" s="19"/>
      <c r="D2236" s="19"/>
      <c r="E2236" s="21"/>
      <c r="F2236" s="19"/>
      <c r="G2236" s="27" t="str">
        <f aca="false">IF(B2236="","",IFERROR(INDEX(Jeux!$C$2:$C$3001,MATCH(B2236,Jeux!$A$2:$A$3001,0))&amp;"","⚠ jeu inconnu"))</f>
        <v/>
      </c>
      <c r="H2236" s="27" t="str">
        <f aca="false">IF(B2236="","",IFERROR(INDEX(Jeux!$D$2:$D$3001,MATCH(B2236,Jeux!$A$2:$A$3001,0))&amp;"",""))</f>
        <v/>
      </c>
      <c r="I2236" s="26" t="str">
        <f aca="false">IF(A2236="","",COUNTIF(Apparitions!$G$2:$G$5001,A2236))</f>
        <v/>
      </c>
      <c r="J2236" s="26" t="str">
        <f aca="false">IF(A2236="","",COUNTIFS(Apparitions!$G$2:$G$5001,A2236,Apparitions!$E$2:$E$5001,"○"))</f>
        <v/>
      </c>
      <c r="K2236" s="29" t="str">
        <f aca="false">IF(A2236="","",IFERROR(1/(1/_xlfn.MINIFS(Apparitions!$L$2:$L$5001,Apparitions!$G$2:$G$5001,A2236)),""))</f>
        <v/>
      </c>
      <c r="L2236" s="27" t="str">
        <f aca="false">IF(A2236="","",A2236&amp;" | "&amp;B2236&amp;IF(C2236="",""," ("&amp;C2236&amp;")")&amp;IF(D2236="",""," - "&amp;D2236))</f>
        <v/>
      </c>
    </row>
    <row r="2237" customFormat="false" ht="15" hidden="false" customHeight="false" outlineLevel="0" collapsed="false">
      <c r="A2237" s="32"/>
      <c r="B2237" s="19"/>
      <c r="C2237" s="19"/>
      <c r="D2237" s="19"/>
      <c r="E2237" s="21"/>
      <c r="F2237" s="19"/>
      <c r="G2237" s="27" t="str">
        <f aca="false">IF(B2237="","",IFERROR(INDEX(Jeux!$C$2:$C$3001,MATCH(B2237,Jeux!$A$2:$A$3001,0))&amp;"","⚠ jeu inconnu"))</f>
        <v/>
      </c>
      <c r="H2237" s="27" t="str">
        <f aca="false">IF(B2237="","",IFERROR(INDEX(Jeux!$D$2:$D$3001,MATCH(B2237,Jeux!$A$2:$A$3001,0))&amp;"",""))</f>
        <v/>
      </c>
      <c r="I2237" s="26" t="str">
        <f aca="false">IF(A2237="","",COUNTIF(Apparitions!$G$2:$G$5001,A2237))</f>
        <v/>
      </c>
      <c r="J2237" s="26" t="str">
        <f aca="false">IF(A2237="","",COUNTIFS(Apparitions!$G$2:$G$5001,A2237,Apparitions!$E$2:$E$5001,"○"))</f>
        <v/>
      </c>
      <c r="K2237" s="29" t="str">
        <f aca="false">IF(A2237="","",IFERROR(1/(1/_xlfn.MINIFS(Apparitions!$L$2:$L$5001,Apparitions!$G$2:$G$5001,A2237)),""))</f>
        <v/>
      </c>
      <c r="L2237" s="27" t="str">
        <f aca="false">IF(A2237="","",A2237&amp;" | "&amp;B2237&amp;IF(C2237="",""," ("&amp;C2237&amp;")")&amp;IF(D2237="",""," - "&amp;D2237))</f>
        <v/>
      </c>
    </row>
    <row r="2238" customFormat="false" ht="15" hidden="false" customHeight="false" outlineLevel="0" collapsed="false">
      <c r="A2238" s="32"/>
      <c r="B2238" s="19"/>
      <c r="C2238" s="19"/>
      <c r="D2238" s="19"/>
      <c r="E2238" s="21"/>
      <c r="F2238" s="19"/>
      <c r="G2238" s="27" t="str">
        <f aca="false">IF(B2238="","",IFERROR(INDEX(Jeux!$C$2:$C$3001,MATCH(B2238,Jeux!$A$2:$A$3001,0))&amp;"","⚠ jeu inconnu"))</f>
        <v/>
      </c>
      <c r="H2238" s="27" t="str">
        <f aca="false">IF(B2238="","",IFERROR(INDEX(Jeux!$D$2:$D$3001,MATCH(B2238,Jeux!$A$2:$A$3001,0))&amp;"",""))</f>
        <v/>
      </c>
      <c r="I2238" s="26" t="str">
        <f aca="false">IF(A2238="","",COUNTIF(Apparitions!$G$2:$G$5001,A2238))</f>
        <v/>
      </c>
      <c r="J2238" s="26" t="str">
        <f aca="false">IF(A2238="","",COUNTIFS(Apparitions!$G$2:$G$5001,A2238,Apparitions!$E$2:$E$5001,"○"))</f>
        <v/>
      </c>
      <c r="K2238" s="29" t="str">
        <f aca="false">IF(A2238="","",IFERROR(1/(1/_xlfn.MINIFS(Apparitions!$L$2:$L$5001,Apparitions!$G$2:$G$5001,A2238)),""))</f>
        <v/>
      </c>
      <c r="L2238" s="27" t="str">
        <f aca="false">IF(A2238="","",A2238&amp;" | "&amp;B2238&amp;IF(C2238="",""," ("&amp;C2238&amp;")")&amp;IF(D2238="",""," - "&amp;D2238))</f>
        <v/>
      </c>
    </row>
    <row r="2239" customFormat="false" ht="15" hidden="false" customHeight="false" outlineLevel="0" collapsed="false">
      <c r="A2239" s="32"/>
      <c r="B2239" s="19"/>
      <c r="C2239" s="19"/>
      <c r="D2239" s="19"/>
      <c r="E2239" s="21"/>
      <c r="F2239" s="19"/>
      <c r="G2239" s="27" t="str">
        <f aca="false">IF(B2239="","",IFERROR(INDEX(Jeux!$C$2:$C$3001,MATCH(B2239,Jeux!$A$2:$A$3001,0))&amp;"","⚠ jeu inconnu"))</f>
        <v/>
      </c>
      <c r="H2239" s="27" t="str">
        <f aca="false">IF(B2239="","",IFERROR(INDEX(Jeux!$D$2:$D$3001,MATCH(B2239,Jeux!$A$2:$A$3001,0))&amp;"",""))</f>
        <v/>
      </c>
      <c r="I2239" s="26" t="str">
        <f aca="false">IF(A2239="","",COUNTIF(Apparitions!$G$2:$G$5001,A2239))</f>
        <v/>
      </c>
      <c r="J2239" s="26" t="str">
        <f aca="false">IF(A2239="","",COUNTIFS(Apparitions!$G$2:$G$5001,A2239,Apparitions!$E$2:$E$5001,"○"))</f>
        <v/>
      </c>
      <c r="K2239" s="29" t="str">
        <f aca="false">IF(A2239="","",IFERROR(1/(1/_xlfn.MINIFS(Apparitions!$L$2:$L$5001,Apparitions!$G$2:$G$5001,A2239)),""))</f>
        <v/>
      </c>
      <c r="L2239" s="27" t="str">
        <f aca="false">IF(A2239="","",A2239&amp;" | "&amp;B2239&amp;IF(C2239="",""," ("&amp;C2239&amp;")")&amp;IF(D2239="",""," - "&amp;D2239))</f>
        <v/>
      </c>
    </row>
    <row r="2240" customFormat="false" ht="15" hidden="false" customHeight="false" outlineLevel="0" collapsed="false">
      <c r="A2240" s="32"/>
      <c r="B2240" s="19"/>
      <c r="C2240" s="19"/>
      <c r="D2240" s="19"/>
      <c r="E2240" s="21"/>
      <c r="F2240" s="19"/>
      <c r="G2240" s="27" t="str">
        <f aca="false">IF(B2240="","",IFERROR(INDEX(Jeux!$C$2:$C$3001,MATCH(B2240,Jeux!$A$2:$A$3001,0))&amp;"","⚠ jeu inconnu"))</f>
        <v/>
      </c>
      <c r="H2240" s="27" t="str">
        <f aca="false">IF(B2240="","",IFERROR(INDEX(Jeux!$D$2:$D$3001,MATCH(B2240,Jeux!$A$2:$A$3001,0))&amp;"",""))</f>
        <v/>
      </c>
      <c r="I2240" s="26" t="str">
        <f aca="false">IF(A2240="","",COUNTIF(Apparitions!$G$2:$G$5001,A2240))</f>
        <v/>
      </c>
      <c r="J2240" s="26" t="str">
        <f aca="false">IF(A2240="","",COUNTIFS(Apparitions!$G$2:$G$5001,A2240,Apparitions!$E$2:$E$5001,"○"))</f>
        <v/>
      </c>
      <c r="K2240" s="29" t="str">
        <f aca="false">IF(A2240="","",IFERROR(1/(1/_xlfn.MINIFS(Apparitions!$L$2:$L$5001,Apparitions!$G$2:$G$5001,A2240)),""))</f>
        <v/>
      </c>
      <c r="L2240" s="27" t="str">
        <f aca="false">IF(A2240="","",A2240&amp;" | "&amp;B2240&amp;IF(C2240="",""," ("&amp;C2240&amp;")")&amp;IF(D2240="",""," - "&amp;D2240))</f>
        <v/>
      </c>
    </row>
    <row r="2241" customFormat="false" ht="15" hidden="false" customHeight="false" outlineLevel="0" collapsed="false">
      <c r="A2241" s="32"/>
      <c r="B2241" s="19"/>
      <c r="C2241" s="19"/>
      <c r="D2241" s="19"/>
      <c r="E2241" s="21"/>
      <c r="F2241" s="19"/>
      <c r="G2241" s="27" t="str">
        <f aca="false">IF(B2241="","",IFERROR(INDEX(Jeux!$C$2:$C$3001,MATCH(B2241,Jeux!$A$2:$A$3001,0))&amp;"","⚠ jeu inconnu"))</f>
        <v/>
      </c>
      <c r="H2241" s="27" t="str">
        <f aca="false">IF(B2241="","",IFERROR(INDEX(Jeux!$D$2:$D$3001,MATCH(B2241,Jeux!$A$2:$A$3001,0))&amp;"",""))</f>
        <v/>
      </c>
      <c r="I2241" s="26" t="str">
        <f aca="false">IF(A2241="","",COUNTIF(Apparitions!$G$2:$G$5001,A2241))</f>
        <v/>
      </c>
      <c r="J2241" s="26" t="str">
        <f aca="false">IF(A2241="","",COUNTIFS(Apparitions!$G$2:$G$5001,A2241,Apparitions!$E$2:$E$5001,"○"))</f>
        <v/>
      </c>
      <c r="K2241" s="29" t="str">
        <f aca="false">IF(A2241="","",IFERROR(1/(1/_xlfn.MINIFS(Apparitions!$L$2:$L$5001,Apparitions!$G$2:$G$5001,A2241)),""))</f>
        <v/>
      </c>
      <c r="L2241" s="27" t="str">
        <f aca="false">IF(A2241="","",A2241&amp;" | "&amp;B2241&amp;IF(C2241="",""," ("&amp;C2241&amp;")")&amp;IF(D2241="",""," - "&amp;D2241))</f>
        <v/>
      </c>
    </row>
    <row r="2242" customFormat="false" ht="15" hidden="false" customHeight="false" outlineLevel="0" collapsed="false">
      <c r="A2242" s="32"/>
      <c r="B2242" s="19"/>
      <c r="C2242" s="19"/>
      <c r="D2242" s="19"/>
      <c r="E2242" s="21"/>
      <c r="F2242" s="19"/>
      <c r="G2242" s="27" t="str">
        <f aca="false">IF(B2242="","",IFERROR(INDEX(Jeux!$C$2:$C$3001,MATCH(B2242,Jeux!$A$2:$A$3001,0))&amp;"","⚠ jeu inconnu"))</f>
        <v/>
      </c>
      <c r="H2242" s="27" t="str">
        <f aca="false">IF(B2242="","",IFERROR(INDEX(Jeux!$D$2:$D$3001,MATCH(B2242,Jeux!$A$2:$A$3001,0))&amp;"",""))</f>
        <v/>
      </c>
      <c r="I2242" s="26" t="str">
        <f aca="false">IF(A2242="","",COUNTIF(Apparitions!$G$2:$G$5001,A2242))</f>
        <v/>
      </c>
      <c r="J2242" s="26" t="str">
        <f aca="false">IF(A2242="","",COUNTIFS(Apparitions!$G$2:$G$5001,A2242,Apparitions!$E$2:$E$5001,"○"))</f>
        <v/>
      </c>
      <c r="K2242" s="29" t="str">
        <f aca="false">IF(A2242="","",IFERROR(1/(1/_xlfn.MINIFS(Apparitions!$L$2:$L$5001,Apparitions!$G$2:$G$5001,A2242)),""))</f>
        <v/>
      </c>
      <c r="L2242" s="27" t="str">
        <f aca="false">IF(A2242="","",A2242&amp;" | "&amp;B2242&amp;IF(C2242="",""," ("&amp;C2242&amp;")")&amp;IF(D2242="",""," - "&amp;D2242))</f>
        <v/>
      </c>
    </row>
    <row r="2243" customFormat="false" ht="15" hidden="false" customHeight="false" outlineLevel="0" collapsed="false">
      <c r="A2243" s="32"/>
      <c r="B2243" s="19"/>
      <c r="C2243" s="19"/>
      <c r="D2243" s="19"/>
      <c r="E2243" s="21"/>
      <c r="F2243" s="19"/>
      <c r="G2243" s="27" t="str">
        <f aca="false">IF(B2243="","",IFERROR(INDEX(Jeux!$C$2:$C$3001,MATCH(B2243,Jeux!$A$2:$A$3001,0))&amp;"","⚠ jeu inconnu"))</f>
        <v/>
      </c>
      <c r="H2243" s="27" t="str">
        <f aca="false">IF(B2243="","",IFERROR(INDEX(Jeux!$D$2:$D$3001,MATCH(B2243,Jeux!$A$2:$A$3001,0))&amp;"",""))</f>
        <v/>
      </c>
      <c r="I2243" s="26" t="str">
        <f aca="false">IF(A2243="","",COUNTIF(Apparitions!$G$2:$G$5001,A2243))</f>
        <v/>
      </c>
      <c r="J2243" s="26" t="str">
        <f aca="false">IF(A2243="","",COUNTIFS(Apparitions!$G$2:$G$5001,A2243,Apparitions!$E$2:$E$5001,"○"))</f>
        <v/>
      </c>
      <c r="K2243" s="29" t="str">
        <f aca="false">IF(A2243="","",IFERROR(1/(1/_xlfn.MINIFS(Apparitions!$L$2:$L$5001,Apparitions!$G$2:$G$5001,A2243)),""))</f>
        <v/>
      </c>
      <c r="L2243" s="27" t="str">
        <f aca="false">IF(A2243="","",A2243&amp;" | "&amp;B2243&amp;IF(C2243="",""," ("&amp;C2243&amp;")")&amp;IF(D2243="",""," - "&amp;D2243))</f>
        <v/>
      </c>
    </row>
    <row r="2244" customFormat="false" ht="15" hidden="false" customHeight="false" outlineLevel="0" collapsed="false">
      <c r="A2244" s="32"/>
      <c r="B2244" s="19"/>
      <c r="C2244" s="19"/>
      <c r="D2244" s="19"/>
      <c r="E2244" s="21"/>
      <c r="F2244" s="19"/>
      <c r="G2244" s="27" t="str">
        <f aca="false">IF(B2244="","",IFERROR(INDEX(Jeux!$C$2:$C$3001,MATCH(B2244,Jeux!$A$2:$A$3001,0))&amp;"","⚠ jeu inconnu"))</f>
        <v/>
      </c>
      <c r="H2244" s="27" t="str">
        <f aca="false">IF(B2244="","",IFERROR(INDEX(Jeux!$D$2:$D$3001,MATCH(B2244,Jeux!$A$2:$A$3001,0))&amp;"",""))</f>
        <v/>
      </c>
      <c r="I2244" s="26" t="str">
        <f aca="false">IF(A2244="","",COUNTIF(Apparitions!$G$2:$G$5001,A2244))</f>
        <v/>
      </c>
      <c r="J2244" s="26" t="str">
        <f aca="false">IF(A2244="","",COUNTIFS(Apparitions!$G$2:$G$5001,A2244,Apparitions!$E$2:$E$5001,"○"))</f>
        <v/>
      </c>
      <c r="K2244" s="29" t="str">
        <f aca="false">IF(A2244="","",IFERROR(1/(1/_xlfn.MINIFS(Apparitions!$L$2:$L$5001,Apparitions!$G$2:$G$5001,A2244)),""))</f>
        <v/>
      </c>
      <c r="L2244" s="27" t="str">
        <f aca="false">IF(A2244="","",A2244&amp;" | "&amp;B2244&amp;IF(C2244="",""," ("&amp;C2244&amp;")")&amp;IF(D2244="",""," - "&amp;D2244))</f>
        <v/>
      </c>
    </row>
    <row r="2245" customFormat="false" ht="15" hidden="false" customHeight="false" outlineLevel="0" collapsed="false">
      <c r="A2245" s="32"/>
      <c r="B2245" s="19"/>
      <c r="C2245" s="19"/>
      <c r="D2245" s="19"/>
      <c r="E2245" s="21"/>
      <c r="F2245" s="19"/>
      <c r="G2245" s="27" t="str">
        <f aca="false">IF(B2245="","",IFERROR(INDEX(Jeux!$C$2:$C$3001,MATCH(B2245,Jeux!$A$2:$A$3001,0))&amp;"","⚠ jeu inconnu"))</f>
        <v/>
      </c>
      <c r="H2245" s="27" t="str">
        <f aca="false">IF(B2245="","",IFERROR(INDEX(Jeux!$D$2:$D$3001,MATCH(B2245,Jeux!$A$2:$A$3001,0))&amp;"",""))</f>
        <v/>
      </c>
      <c r="I2245" s="26" t="str">
        <f aca="false">IF(A2245="","",COUNTIF(Apparitions!$G$2:$G$5001,A2245))</f>
        <v/>
      </c>
      <c r="J2245" s="26" t="str">
        <f aca="false">IF(A2245="","",COUNTIFS(Apparitions!$G$2:$G$5001,A2245,Apparitions!$E$2:$E$5001,"○"))</f>
        <v/>
      </c>
      <c r="K2245" s="29" t="str">
        <f aca="false">IF(A2245="","",IFERROR(1/(1/_xlfn.MINIFS(Apparitions!$L$2:$L$5001,Apparitions!$G$2:$G$5001,A2245)),""))</f>
        <v/>
      </c>
      <c r="L2245" s="27" t="str">
        <f aca="false">IF(A2245="","",A2245&amp;" | "&amp;B2245&amp;IF(C2245="",""," ("&amp;C2245&amp;")")&amp;IF(D2245="",""," - "&amp;D2245))</f>
        <v/>
      </c>
    </row>
    <row r="2246" customFormat="false" ht="15" hidden="false" customHeight="false" outlineLevel="0" collapsed="false">
      <c r="A2246" s="32"/>
      <c r="B2246" s="19"/>
      <c r="C2246" s="19"/>
      <c r="D2246" s="19"/>
      <c r="E2246" s="21"/>
      <c r="F2246" s="19"/>
      <c r="G2246" s="27" t="str">
        <f aca="false">IF(B2246="","",IFERROR(INDEX(Jeux!$C$2:$C$3001,MATCH(B2246,Jeux!$A$2:$A$3001,0))&amp;"","⚠ jeu inconnu"))</f>
        <v/>
      </c>
      <c r="H2246" s="27" t="str">
        <f aca="false">IF(B2246="","",IFERROR(INDEX(Jeux!$D$2:$D$3001,MATCH(B2246,Jeux!$A$2:$A$3001,0))&amp;"",""))</f>
        <v/>
      </c>
      <c r="I2246" s="26" t="str">
        <f aca="false">IF(A2246="","",COUNTIF(Apparitions!$G$2:$G$5001,A2246))</f>
        <v/>
      </c>
      <c r="J2246" s="26" t="str">
        <f aca="false">IF(A2246="","",COUNTIFS(Apparitions!$G$2:$G$5001,A2246,Apparitions!$E$2:$E$5001,"○"))</f>
        <v/>
      </c>
      <c r="K2246" s="29" t="str">
        <f aca="false">IF(A2246="","",IFERROR(1/(1/_xlfn.MINIFS(Apparitions!$L$2:$L$5001,Apparitions!$G$2:$G$5001,A2246)),""))</f>
        <v/>
      </c>
      <c r="L2246" s="27" t="str">
        <f aca="false">IF(A2246="","",A2246&amp;" | "&amp;B2246&amp;IF(C2246="",""," ("&amp;C2246&amp;")")&amp;IF(D2246="",""," - "&amp;D2246))</f>
        <v/>
      </c>
    </row>
    <row r="2247" customFormat="false" ht="15" hidden="false" customHeight="false" outlineLevel="0" collapsed="false">
      <c r="A2247" s="32"/>
      <c r="B2247" s="19"/>
      <c r="C2247" s="19"/>
      <c r="D2247" s="19"/>
      <c r="E2247" s="21"/>
      <c r="F2247" s="19"/>
      <c r="G2247" s="27" t="str">
        <f aca="false">IF(B2247="","",IFERROR(INDEX(Jeux!$C$2:$C$3001,MATCH(B2247,Jeux!$A$2:$A$3001,0))&amp;"","⚠ jeu inconnu"))</f>
        <v/>
      </c>
      <c r="H2247" s="27" t="str">
        <f aca="false">IF(B2247="","",IFERROR(INDEX(Jeux!$D$2:$D$3001,MATCH(B2247,Jeux!$A$2:$A$3001,0))&amp;"",""))</f>
        <v/>
      </c>
      <c r="I2247" s="26" t="str">
        <f aca="false">IF(A2247="","",COUNTIF(Apparitions!$G$2:$G$5001,A2247))</f>
        <v/>
      </c>
      <c r="J2247" s="26" t="str">
        <f aca="false">IF(A2247="","",COUNTIFS(Apparitions!$G$2:$G$5001,A2247,Apparitions!$E$2:$E$5001,"○"))</f>
        <v/>
      </c>
      <c r="K2247" s="29" t="str">
        <f aca="false">IF(A2247="","",IFERROR(1/(1/_xlfn.MINIFS(Apparitions!$L$2:$L$5001,Apparitions!$G$2:$G$5001,A2247)),""))</f>
        <v/>
      </c>
      <c r="L2247" s="27" t="str">
        <f aca="false">IF(A2247="","",A2247&amp;" | "&amp;B2247&amp;IF(C2247="",""," ("&amp;C2247&amp;")")&amp;IF(D2247="",""," - "&amp;D2247))</f>
        <v/>
      </c>
    </row>
    <row r="2248" customFormat="false" ht="15" hidden="false" customHeight="false" outlineLevel="0" collapsed="false">
      <c r="A2248" s="32"/>
      <c r="B2248" s="19"/>
      <c r="C2248" s="19"/>
      <c r="D2248" s="19"/>
      <c r="E2248" s="21"/>
      <c r="F2248" s="19"/>
      <c r="G2248" s="27" t="str">
        <f aca="false">IF(B2248="","",IFERROR(INDEX(Jeux!$C$2:$C$3001,MATCH(B2248,Jeux!$A$2:$A$3001,0))&amp;"","⚠ jeu inconnu"))</f>
        <v/>
      </c>
      <c r="H2248" s="27" t="str">
        <f aca="false">IF(B2248="","",IFERROR(INDEX(Jeux!$D$2:$D$3001,MATCH(B2248,Jeux!$A$2:$A$3001,0))&amp;"",""))</f>
        <v/>
      </c>
      <c r="I2248" s="26" t="str">
        <f aca="false">IF(A2248="","",COUNTIF(Apparitions!$G$2:$G$5001,A2248))</f>
        <v/>
      </c>
      <c r="J2248" s="26" t="str">
        <f aca="false">IF(A2248="","",COUNTIFS(Apparitions!$G$2:$G$5001,A2248,Apparitions!$E$2:$E$5001,"○"))</f>
        <v/>
      </c>
      <c r="K2248" s="29" t="str">
        <f aca="false">IF(A2248="","",IFERROR(1/(1/_xlfn.MINIFS(Apparitions!$L$2:$L$5001,Apparitions!$G$2:$G$5001,A2248)),""))</f>
        <v/>
      </c>
      <c r="L2248" s="27" t="str">
        <f aca="false">IF(A2248="","",A2248&amp;" | "&amp;B2248&amp;IF(C2248="",""," ("&amp;C2248&amp;")")&amp;IF(D2248="",""," - "&amp;D2248))</f>
        <v/>
      </c>
    </row>
    <row r="2249" customFormat="false" ht="15" hidden="false" customHeight="false" outlineLevel="0" collapsed="false">
      <c r="A2249" s="32"/>
      <c r="B2249" s="19"/>
      <c r="C2249" s="19"/>
      <c r="D2249" s="19"/>
      <c r="E2249" s="21"/>
      <c r="F2249" s="19"/>
      <c r="G2249" s="27" t="str">
        <f aca="false">IF(B2249="","",IFERROR(INDEX(Jeux!$C$2:$C$3001,MATCH(B2249,Jeux!$A$2:$A$3001,0))&amp;"","⚠ jeu inconnu"))</f>
        <v/>
      </c>
      <c r="H2249" s="27" t="str">
        <f aca="false">IF(B2249="","",IFERROR(INDEX(Jeux!$D$2:$D$3001,MATCH(B2249,Jeux!$A$2:$A$3001,0))&amp;"",""))</f>
        <v/>
      </c>
      <c r="I2249" s="26" t="str">
        <f aca="false">IF(A2249="","",COUNTIF(Apparitions!$G$2:$G$5001,A2249))</f>
        <v/>
      </c>
      <c r="J2249" s="26" t="str">
        <f aca="false">IF(A2249="","",COUNTIFS(Apparitions!$G$2:$G$5001,A2249,Apparitions!$E$2:$E$5001,"○"))</f>
        <v/>
      </c>
      <c r="K2249" s="29" t="str">
        <f aca="false">IF(A2249="","",IFERROR(1/(1/_xlfn.MINIFS(Apparitions!$L$2:$L$5001,Apparitions!$G$2:$G$5001,A2249)),""))</f>
        <v/>
      </c>
      <c r="L2249" s="27" t="str">
        <f aca="false">IF(A2249="","",A2249&amp;" | "&amp;B2249&amp;IF(C2249="",""," ("&amp;C2249&amp;")")&amp;IF(D2249="",""," - "&amp;D2249))</f>
        <v/>
      </c>
    </row>
    <row r="2250" customFormat="false" ht="15" hidden="false" customHeight="false" outlineLevel="0" collapsed="false">
      <c r="A2250" s="32"/>
      <c r="B2250" s="19"/>
      <c r="C2250" s="19"/>
      <c r="D2250" s="19"/>
      <c r="E2250" s="21"/>
      <c r="F2250" s="19"/>
      <c r="G2250" s="27" t="str">
        <f aca="false">IF(B2250="","",IFERROR(INDEX(Jeux!$C$2:$C$3001,MATCH(B2250,Jeux!$A$2:$A$3001,0))&amp;"","⚠ jeu inconnu"))</f>
        <v/>
      </c>
      <c r="H2250" s="27" t="str">
        <f aca="false">IF(B2250="","",IFERROR(INDEX(Jeux!$D$2:$D$3001,MATCH(B2250,Jeux!$A$2:$A$3001,0))&amp;"",""))</f>
        <v/>
      </c>
      <c r="I2250" s="26" t="str">
        <f aca="false">IF(A2250="","",COUNTIF(Apparitions!$G$2:$G$5001,A2250))</f>
        <v/>
      </c>
      <c r="J2250" s="26" t="str">
        <f aca="false">IF(A2250="","",COUNTIFS(Apparitions!$G$2:$G$5001,A2250,Apparitions!$E$2:$E$5001,"○"))</f>
        <v/>
      </c>
      <c r="K2250" s="29" t="str">
        <f aca="false">IF(A2250="","",IFERROR(1/(1/_xlfn.MINIFS(Apparitions!$L$2:$L$5001,Apparitions!$G$2:$G$5001,A2250)),""))</f>
        <v/>
      </c>
      <c r="L2250" s="27" t="str">
        <f aca="false">IF(A2250="","",A2250&amp;" | "&amp;B2250&amp;IF(C2250="",""," ("&amp;C2250&amp;")")&amp;IF(D2250="",""," - "&amp;D2250))</f>
        <v/>
      </c>
    </row>
    <row r="2251" customFormat="false" ht="15" hidden="false" customHeight="false" outlineLevel="0" collapsed="false">
      <c r="A2251" s="32"/>
      <c r="B2251" s="19"/>
      <c r="C2251" s="19"/>
      <c r="D2251" s="19"/>
      <c r="E2251" s="21"/>
      <c r="F2251" s="19"/>
      <c r="G2251" s="27" t="str">
        <f aca="false">IF(B2251="","",IFERROR(INDEX(Jeux!$C$2:$C$3001,MATCH(B2251,Jeux!$A$2:$A$3001,0))&amp;"","⚠ jeu inconnu"))</f>
        <v/>
      </c>
      <c r="H2251" s="27" t="str">
        <f aca="false">IF(B2251="","",IFERROR(INDEX(Jeux!$D$2:$D$3001,MATCH(B2251,Jeux!$A$2:$A$3001,0))&amp;"",""))</f>
        <v/>
      </c>
      <c r="I2251" s="26" t="str">
        <f aca="false">IF(A2251="","",COUNTIF(Apparitions!$G$2:$G$5001,A2251))</f>
        <v/>
      </c>
      <c r="J2251" s="26" t="str">
        <f aca="false">IF(A2251="","",COUNTIFS(Apparitions!$G$2:$G$5001,A2251,Apparitions!$E$2:$E$5001,"○"))</f>
        <v/>
      </c>
      <c r="K2251" s="29" t="str">
        <f aca="false">IF(A2251="","",IFERROR(1/(1/_xlfn.MINIFS(Apparitions!$L$2:$L$5001,Apparitions!$G$2:$G$5001,A2251)),""))</f>
        <v/>
      </c>
      <c r="L2251" s="27" t="str">
        <f aca="false">IF(A2251="","",A2251&amp;" | "&amp;B2251&amp;IF(C2251="",""," ("&amp;C2251&amp;")")&amp;IF(D2251="",""," - "&amp;D2251))</f>
        <v/>
      </c>
    </row>
    <row r="2252" customFormat="false" ht="15" hidden="false" customHeight="false" outlineLevel="0" collapsed="false">
      <c r="A2252" s="32"/>
      <c r="B2252" s="19"/>
      <c r="C2252" s="19"/>
      <c r="D2252" s="19"/>
      <c r="E2252" s="21"/>
      <c r="F2252" s="19"/>
      <c r="G2252" s="27" t="str">
        <f aca="false">IF(B2252="","",IFERROR(INDEX(Jeux!$C$2:$C$3001,MATCH(B2252,Jeux!$A$2:$A$3001,0))&amp;"","⚠ jeu inconnu"))</f>
        <v/>
      </c>
      <c r="H2252" s="27" t="str">
        <f aca="false">IF(B2252="","",IFERROR(INDEX(Jeux!$D$2:$D$3001,MATCH(B2252,Jeux!$A$2:$A$3001,0))&amp;"",""))</f>
        <v/>
      </c>
      <c r="I2252" s="26" t="str">
        <f aca="false">IF(A2252="","",COUNTIF(Apparitions!$G$2:$G$5001,A2252))</f>
        <v/>
      </c>
      <c r="J2252" s="26" t="str">
        <f aca="false">IF(A2252="","",COUNTIFS(Apparitions!$G$2:$G$5001,A2252,Apparitions!$E$2:$E$5001,"○"))</f>
        <v/>
      </c>
      <c r="K2252" s="29" t="str">
        <f aca="false">IF(A2252="","",IFERROR(1/(1/_xlfn.MINIFS(Apparitions!$L$2:$L$5001,Apparitions!$G$2:$G$5001,A2252)),""))</f>
        <v/>
      </c>
      <c r="L2252" s="27" t="str">
        <f aca="false">IF(A2252="","",A2252&amp;" | "&amp;B2252&amp;IF(C2252="",""," ("&amp;C2252&amp;")")&amp;IF(D2252="",""," - "&amp;D2252))</f>
        <v/>
      </c>
    </row>
    <row r="2253" customFormat="false" ht="15" hidden="false" customHeight="false" outlineLevel="0" collapsed="false">
      <c r="A2253" s="32"/>
      <c r="B2253" s="19"/>
      <c r="C2253" s="19"/>
      <c r="D2253" s="19"/>
      <c r="E2253" s="21"/>
      <c r="F2253" s="19"/>
      <c r="G2253" s="27" t="str">
        <f aca="false">IF(B2253="","",IFERROR(INDEX(Jeux!$C$2:$C$3001,MATCH(B2253,Jeux!$A$2:$A$3001,0))&amp;"","⚠ jeu inconnu"))</f>
        <v/>
      </c>
      <c r="H2253" s="27" t="str">
        <f aca="false">IF(B2253="","",IFERROR(INDEX(Jeux!$D$2:$D$3001,MATCH(B2253,Jeux!$A$2:$A$3001,0))&amp;"",""))</f>
        <v/>
      </c>
      <c r="I2253" s="26" t="str">
        <f aca="false">IF(A2253="","",COUNTIF(Apparitions!$G$2:$G$5001,A2253))</f>
        <v/>
      </c>
      <c r="J2253" s="26" t="str">
        <f aca="false">IF(A2253="","",COUNTIFS(Apparitions!$G$2:$G$5001,A2253,Apparitions!$E$2:$E$5001,"○"))</f>
        <v/>
      </c>
      <c r="K2253" s="29" t="str">
        <f aca="false">IF(A2253="","",IFERROR(1/(1/_xlfn.MINIFS(Apparitions!$L$2:$L$5001,Apparitions!$G$2:$G$5001,A2253)),""))</f>
        <v/>
      </c>
      <c r="L2253" s="27" t="str">
        <f aca="false">IF(A2253="","",A2253&amp;" | "&amp;B2253&amp;IF(C2253="",""," ("&amp;C2253&amp;")")&amp;IF(D2253="",""," - "&amp;D2253))</f>
        <v/>
      </c>
    </row>
    <row r="2254" customFormat="false" ht="15" hidden="false" customHeight="false" outlineLevel="0" collapsed="false">
      <c r="A2254" s="32"/>
      <c r="B2254" s="19"/>
      <c r="C2254" s="19"/>
      <c r="D2254" s="19"/>
      <c r="E2254" s="21"/>
      <c r="F2254" s="19"/>
      <c r="G2254" s="27" t="str">
        <f aca="false">IF(B2254="","",IFERROR(INDEX(Jeux!$C$2:$C$3001,MATCH(B2254,Jeux!$A$2:$A$3001,0))&amp;"","⚠ jeu inconnu"))</f>
        <v/>
      </c>
      <c r="H2254" s="27" t="str">
        <f aca="false">IF(B2254="","",IFERROR(INDEX(Jeux!$D$2:$D$3001,MATCH(B2254,Jeux!$A$2:$A$3001,0))&amp;"",""))</f>
        <v/>
      </c>
      <c r="I2254" s="26" t="str">
        <f aca="false">IF(A2254="","",COUNTIF(Apparitions!$G$2:$G$5001,A2254))</f>
        <v/>
      </c>
      <c r="J2254" s="26" t="str">
        <f aca="false">IF(A2254="","",COUNTIFS(Apparitions!$G$2:$G$5001,A2254,Apparitions!$E$2:$E$5001,"○"))</f>
        <v/>
      </c>
      <c r="K2254" s="29" t="str">
        <f aca="false">IF(A2254="","",IFERROR(1/(1/_xlfn.MINIFS(Apparitions!$L$2:$L$5001,Apparitions!$G$2:$G$5001,A2254)),""))</f>
        <v/>
      </c>
      <c r="L2254" s="27" t="str">
        <f aca="false">IF(A2254="","",A2254&amp;" | "&amp;B2254&amp;IF(C2254="",""," ("&amp;C2254&amp;")")&amp;IF(D2254="",""," - "&amp;D2254))</f>
        <v/>
      </c>
    </row>
    <row r="2255" customFormat="false" ht="15" hidden="false" customHeight="false" outlineLevel="0" collapsed="false">
      <c r="A2255" s="32"/>
      <c r="B2255" s="19"/>
      <c r="C2255" s="19"/>
      <c r="D2255" s="19"/>
      <c r="E2255" s="21"/>
      <c r="F2255" s="19"/>
      <c r="G2255" s="27" t="str">
        <f aca="false">IF(B2255="","",IFERROR(INDEX(Jeux!$C$2:$C$3001,MATCH(B2255,Jeux!$A$2:$A$3001,0))&amp;"","⚠ jeu inconnu"))</f>
        <v/>
      </c>
      <c r="H2255" s="27" t="str">
        <f aca="false">IF(B2255="","",IFERROR(INDEX(Jeux!$D$2:$D$3001,MATCH(B2255,Jeux!$A$2:$A$3001,0))&amp;"",""))</f>
        <v/>
      </c>
      <c r="I2255" s="26" t="str">
        <f aca="false">IF(A2255="","",COUNTIF(Apparitions!$G$2:$G$5001,A2255))</f>
        <v/>
      </c>
      <c r="J2255" s="26" t="str">
        <f aca="false">IF(A2255="","",COUNTIFS(Apparitions!$G$2:$G$5001,A2255,Apparitions!$E$2:$E$5001,"○"))</f>
        <v/>
      </c>
      <c r="K2255" s="29" t="str">
        <f aca="false">IF(A2255="","",IFERROR(1/(1/_xlfn.MINIFS(Apparitions!$L$2:$L$5001,Apparitions!$G$2:$G$5001,A2255)),""))</f>
        <v/>
      </c>
      <c r="L2255" s="27" t="str">
        <f aca="false">IF(A2255="","",A2255&amp;" | "&amp;B2255&amp;IF(C2255="",""," ("&amp;C2255&amp;")")&amp;IF(D2255="",""," - "&amp;D2255))</f>
        <v/>
      </c>
    </row>
    <row r="2256" customFormat="false" ht="15" hidden="false" customHeight="false" outlineLevel="0" collapsed="false">
      <c r="A2256" s="32"/>
      <c r="B2256" s="19"/>
      <c r="C2256" s="19"/>
      <c r="D2256" s="19"/>
      <c r="E2256" s="21"/>
      <c r="F2256" s="19"/>
      <c r="G2256" s="27" t="str">
        <f aca="false">IF(B2256="","",IFERROR(INDEX(Jeux!$C$2:$C$3001,MATCH(B2256,Jeux!$A$2:$A$3001,0))&amp;"","⚠ jeu inconnu"))</f>
        <v/>
      </c>
      <c r="H2256" s="27" t="str">
        <f aca="false">IF(B2256="","",IFERROR(INDEX(Jeux!$D$2:$D$3001,MATCH(B2256,Jeux!$A$2:$A$3001,0))&amp;"",""))</f>
        <v/>
      </c>
      <c r="I2256" s="26" t="str">
        <f aca="false">IF(A2256="","",COUNTIF(Apparitions!$G$2:$G$5001,A2256))</f>
        <v/>
      </c>
      <c r="J2256" s="26" t="str">
        <f aca="false">IF(A2256="","",COUNTIFS(Apparitions!$G$2:$G$5001,A2256,Apparitions!$E$2:$E$5001,"○"))</f>
        <v/>
      </c>
      <c r="K2256" s="29" t="str">
        <f aca="false">IF(A2256="","",IFERROR(1/(1/_xlfn.MINIFS(Apparitions!$L$2:$L$5001,Apparitions!$G$2:$G$5001,A2256)),""))</f>
        <v/>
      </c>
      <c r="L2256" s="27" t="str">
        <f aca="false">IF(A2256="","",A2256&amp;" | "&amp;B2256&amp;IF(C2256="",""," ("&amp;C2256&amp;")")&amp;IF(D2256="",""," - "&amp;D2256))</f>
        <v/>
      </c>
    </row>
    <row r="2257" customFormat="false" ht="15" hidden="false" customHeight="false" outlineLevel="0" collapsed="false">
      <c r="A2257" s="32"/>
      <c r="B2257" s="19"/>
      <c r="C2257" s="19"/>
      <c r="D2257" s="19"/>
      <c r="E2257" s="21"/>
      <c r="F2257" s="19"/>
      <c r="G2257" s="27" t="str">
        <f aca="false">IF(B2257="","",IFERROR(INDEX(Jeux!$C$2:$C$3001,MATCH(B2257,Jeux!$A$2:$A$3001,0))&amp;"","⚠ jeu inconnu"))</f>
        <v/>
      </c>
      <c r="H2257" s="27" t="str">
        <f aca="false">IF(B2257="","",IFERROR(INDEX(Jeux!$D$2:$D$3001,MATCH(B2257,Jeux!$A$2:$A$3001,0))&amp;"",""))</f>
        <v/>
      </c>
      <c r="I2257" s="26" t="str">
        <f aca="false">IF(A2257="","",COUNTIF(Apparitions!$G$2:$G$5001,A2257))</f>
        <v/>
      </c>
      <c r="J2257" s="26" t="str">
        <f aca="false">IF(A2257="","",COUNTIFS(Apparitions!$G$2:$G$5001,A2257,Apparitions!$E$2:$E$5001,"○"))</f>
        <v/>
      </c>
      <c r="K2257" s="29" t="str">
        <f aca="false">IF(A2257="","",IFERROR(1/(1/_xlfn.MINIFS(Apparitions!$L$2:$L$5001,Apparitions!$G$2:$G$5001,A2257)),""))</f>
        <v/>
      </c>
      <c r="L2257" s="27" t="str">
        <f aca="false">IF(A2257="","",A2257&amp;" | "&amp;B2257&amp;IF(C2257="",""," ("&amp;C2257&amp;")")&amp;IF(D2257="",""," - "&amp;D2257))</f>
        <v/>
      </c>
    </row>
    <row r="2258" customFormat="false" ht="15" hidden="false" customHeight="false" outlineLevel="0" collapsed="false">
      <c r="A2258" s="32"/>
      <c r="B2258" s="19"/>
      <c r="C2258" s="19"/>
      <c r="D2258" s="19"/>
      <c r="E2258" s="21"/>
      <c r="F2258" s="19"/>
      <c r="G2258" s="27" t="str">
        <f aca="false">IF(B2258="","",IFERROR(INDEX(Jeux!$C$2:$C$3001,MATCH(B2258,Jeux!$A$2:$A$3001,0))&amp;"","⚠ jeu inconnu"))</f>
        <v/>
      </c>
      <c r="H2258" s="27" t="str">
        <f aca="false">IF(B2258="","",IFERROR(INDEX(Jeux!$D$2:$D$3001,MATCH(B2258,Jeux!$A$2:$A$3001,0))&amp;"",""))</f>
        <v/>
      </c>
      <c r="I2258" s="26" t="str">
        <f aca="false">IF(A2258="","",COUNTIF(Apparitions!$G$2:$G$5001,A2258))</f>
        <v/>
      </c>
      <c r="J2258" s="26" t="str">
        <f aca="false">IF(A2258="","",COUNTIFS(Apparitions!$G$2:$G$5001,A2258,Apparitions!$E$2:$E$5001,"○"))</f>
        <v/>
      </c>
      <c r="K2258" s="29" t="str">
        <f aca="false">IF(A2258="","",IFERROR(1/(1/_xlfn.MINIFS(Apparitions!$L$2:$L$5001,Apparitions!$G$2:$G$5001,A2258)),""))</f>
        <v/>
      </c>
      <c r="L2258" s="27" t="str">
        <f aca="false">IF(A2258="","",A2258&amp;" | "&amp;B2258&amp;IF(C2258="",""," ("&amp;C2258&amp;")")&amp;IF(D2258="",""," - "&amp;D2258))</f>
        <v/>
      </c>
    </row>
    <row r="2259" customFormat="false" ht="15" hidden="false" customHeight="false" outlineLevel="0" collapsed="false">
      <c r="A2259" s="32"/>
      <c r="B2259" s="19"/>
      <c r="C2259" s="19"/>
      <c r="D2259" s="19"/>
      <c r="E2259" s="21"/>
      <c r="F2259" s="19"/>
      <c r="G2259" s="27" t="str">
        <f aca="false">IF(B2259="","",IFERROR(INDEX(Jeux!$C$2:$C$3001,MATCH(B2259,Jeux!$A$2:$A$3001,0))&amp;"","⚠ jeu inconnu"))</f>
        <v/>
      </c>
      <c r="H2259" s="27" t="str">
        <f aca="false">IF(B2259="","",IFERROR(INDEX(Jeux!$D$2:$D$3001,MATCH(B2259,Jeux!$A$2:$A$3001,0))&amp;"",""))</f>
        <v/>
      </c>
      <c r="I2259" s="26" t="str">
        <f aca="false">IF(A2259="","",COUNTIF(Apparitions!$G$2:$G$5001,A2259))</f>
        <v/>
      </c>
      <c r="J2259" s="26" t="str">
        <f aca="false">IF(A2259="","",COUNTIFS(Apparitions!$G$2:$G$5001,A2259,Apparitions!$E$2:$E$5001,"○"))</f>
        <v/>
      </c>
      <c r="K2259" s="29" t="str">
        <f aca="false">IF(A2259="","",IFERROR(1/(1/_xlfn.MINIFS(Apparitions!$L$2:$L$5001,Apparitions!$G$2:$G$5001,A2259)),""))</f>
        <v/>
      </c>
      <c r="L2259" s="27" t="str">
        <f aca="false">IF(A2259="","",A2259&amp;" | "&amp;B2259&amp;IF(C2259="",""," ("&amp;C2259&amp;")")&amp;IF(D2259="",""," - "&amp;D2259))</f>
        <v/>
      </c>
    </row>
    <row r="2260" customFormat="false" ht="15" hidden="false" customHeight="false" outlineLevel="0" collapsed="false">
      <c r="A2260" s="32"/>
      <c r="B2260" s="19"/>
      <c r="C2260" s="19"/>
      <c r="D2260" s="19"/>
      <c r="E2260" s="21"/>
      <c r="F2260" s="19"/>
      <c r="G2260" s="27" t="str">
        <f aca="false">IF(B2260="","",IFERROR(INDEX(Jeux!$C$2:$C$3001,MATCH(B2260,Jeux!$A$2:$A$3001,0))&amp;"","⚠ jeu inconnu"))</f>
        <v/>
      </c>
      <c r="H2260" s="27" t="str">
        <f aca="false">IF(B2260="","",IFERROR(INDEX(Jeux!$D$2:$D$3001,MATCH(B2260,Jeux!$A$2:$A$3001,0))&amp;"",""))</f>
        <v/>
      </c>
      <c r="I2260" s="26" t="str">
        <f aca="false">IF(A2260="","",COUNTIF(Apparitions!$G$2:$G$5001,A2260))</f>
        <v/>
      </c>
      <c r="J2260" s="26" t="str">
        <f aca="false">IF(A2260="","",COUNTIFS(Apparitions!$G$2:$G$5001,A2260,Apparitions!$E$2:$E$5001,"○"))</f>
        <v/>
      </c>
      <c r="K2260" s="29" t="str">
        <f aca="false">IF(A2260="","",IFERROR(1/(1/_xlfn.MINIFS(Apparitions!$L$2:$L$5001,Apparitions!$G$2:$G$5001,A2260)),""))</f>
        <v/>
      </c>
      <c r="L2260" s="27" t="str">
        <f aca="false">IF(A2260="","",A2260&amp;" | "&amp;B2260&amp;IF(C2260="",""," ("&amp;C2260&amp;")")&amp;IF(D2260="",""," - "&amp;D2260))</f>
        <v/>
      </c>
    </row>
    <row r="2261" customFormat="false" ht="15" hidden="false" customHeight="false" outlineLevel="0" collapsed="false">
      <c r="A2261" s="32"/>
      <c r="B2261" s="19"/>
      <c r="C2261" s="19"/>
      <c r="D2261" s="19"/>
      <c r="E2261" s="21"/>
      <c r="F2261" s="19"/>
      <c r="G2261" s="27" t="str">
        <f aca="false">IF(B2261="","",IFERROR(INDEX(Jeux!$C$2:$C$3001,MATCH(B2261,Jeux!$A$2:$A$3001,0))&amp;"","⚠ jeu inconnu"))</f>
        <v/>
      </c>
      <c r="H2261" s="27" t="str">
        <f aca="false">IF(B2261="","",IFERROR(INDEX(Jeux!$D$2:$D$3001,MATCH(B2261,Jeux!$A$2:$A$3001,0))&amp;"",""))</f>
        <v/>
      </c>
      <c r="I2261" s="26" t="str">
        <f aca="false">IF(A2261="","",COUNTIF(Apparitions!$G$2:$G$5001,A2261))</f>
        <v/>
      </c>
      <c r="J2261" s="26" t="str">
        <f aca="false">IF(A2261="","",COUNTIFS(Apparitions!$G$2:$G$5001,A2261,Apparitions!$E$2:$E$5001,"○"))</f>
        <v/>
      </c>
      <c r="K2261" s="29" t="str">
        <f aca="false">IF(A2261="","",IFERROR(1/(1/_xlfn.MINIFS(Apparitions!$L$2:$L$5001,Apparitions!$G$2:$G$5001,A2261)),""))</f>
        <v/>
      </c>
      <c r="L2261" s="27" t="str">
        <f aca="false">IF(A2261="","",A2261&amp;" | "&amp;B2261&amp;IF(C2261="",""," ("&amp;C2261&amp;")")&amp;IF(D2261="",""," - "&amp;D2261))</f>
        <v/>
      </c>
    </row>
    <row r="2262" customFormat="false" ht="15" hidden="false" customHeight="false" outlineLevel="0" collapsed="false">
      <c r="A2262" s="32"/>
      <c r="B2262" s="19"/>
      <c r="C2262" s="19"/>
      <c r="D2262" s="19"/>
      <c r="E2262" s="21"/>
      <c r="F2262" s="19"/>
      <c r="G2262" s="27" t="str">
        <f aca="false">IF(B2262="","",IFERROR(INDEX(Jeux!$C$2:$C$3001,MATCH(B2262,Jeux!$A$2:$A$3001,0))&amp;"","⚠ jeu inconnu"))</f>
        <v/>
      </c>
      <c r="H2262" s="27" t="str">
        <f aca="false">IF(B2262="","",IFERROR(INDEX(Jeux!$D$2:$D$3001,MATCH(B2262,Jeux!$A$2:$A$3001,0))&amp;"",""))</f>
        <v/>
      </c>
      <c r="I2262" s="26" t="str">
        <f aca="false">IF(A2262="","",COUNTIF(Apparitions!$G$2:$G$5001,A2262))</f>
        <v/>
      </c>
      <c r="J2262" s="26" t="str">
        <f aca="false">IF(A2262="","",COUNTIFS(Apparitions!$G$2:$G$5001,A2262,Apparitions!$E$2:$E$5001,"○"))</f>
        <v/>
      </c>
      <c r="K2262" s="29" t="str">
        <f aca="false">IF(A2262="","",IFERROR(1/(1/_xlfn.MINIFS(Apparitions!$L$2:$L$5001,Apparitions!$G$2:$G$5001,A2262)),""))</f>
        <v/>
      </c>
      <c r="L2262" s="27" t="str">
        <f aca="false">IF(A2262="","",A2262&amp;" | "&amp;B2262&amp;IF(C2262="",""," ("&amp;C2262&amp;")")&amp;IF(D2262="",""," - "&amp;D2262))</f>
        <v/>
      </c>
    </row>
    <row r="2263" customFormat="false" ht="15" hidden="false" customHeight="false" outlineLevel="0" collapsed="false">
      <c r="A2263" s="32"/>
      <c r="B2263" s="19"/>
      <c r="C2263" s="19"/>
      <c r="D2263" s="19"/>
      <c r="E2263" s="21"/>
      <c r="F2263" s="19"/>
      <c r="G2263" s="27" t="str">
        <f aca="false">IF(B2263="","",IFERROR(INDEX(Jeux!$C$2:$C$3001,MATCH(B2263,Jeux!$A$2:$A$3001,0))&amp;"","⚠ jeu inconnu"))</f>
        <v/>
      </c>
      <c r="H2263" s="27" t="str">
        <f aca="false">IF(B2263="","",IFERROR(INDEX(Jeux!$D$2:$D$3001,MATCH(B2263,Jeux!$A$2:$A$3001,0))&amp;"",""))</f>
        <v/>
      </c>
      <c r="I2263" s="26" t="str">
        <f aca="false">IF(A2263="","",COUNTIF(Apparitions!$G$2:$G$5001,A2263))</f>
        <v/>
      </c>
      <c r="J2263" s="26" t="str">
        <f aca="false">IF(A2263="","",COUNTIFS(Apparitions!$G$2:$G$5001,A2263,Apparitions!$E$2:$E$5001,"○"))</f>
        <v/>
      </c>
      <c r="K2263" s="29" t="str">
        <f aca="false">IF(A2263="","",IFERROR(1/(1/_xlfn.MINIFS(Apparitions!$L$2:$L$5001,Apparitions!$G$2:$G$5001,A2263)),""))</f>
        <v/>
      </c>
      <c r="L2263" s="27" t="str">
        <f aca="false">IF(A2263="","",A2263&amp;" | "&amp;B2263&amp;IF(C2263="",""," ("&amp;C2263&amp;")")&amp;IF(D2263="",""," - "&amp;D2263))</f>
        <v/>
      </c>
    </row>
    <row r="2264" customFormat="false" ht="15" hidden="false" customHeight="false" outlineLevel="0" collapsed="false">
      <c r="A2264" s="32"/>
      <c r="B2264" s="19"/>
      <c r="C2264" s="19"/>
      <c r="D2264" s="19"/>
      <c r="E2264" s="21"/>
      <c r="F2264" s="19"/>
      <c r="G2264" s="27" t="str">
        <f aca="false">IF(B2264="","",IFERROR(INDEX(Jeux!$C$2:$C$3001,MATCH(B2264,Jeux!$A$2:$A$3001,0))&amp;"","⚠ jeu inconnu"))</f>
        <v/>
      </c>
      <c r="H2264" s="27" t="str">
        <f aca="false">IF(B2264="","",IFERROR(INDEX(Jeux!$D$2:$D$3001,MATCH(B2264,Jeux!$A$2:$A$3001,0))&amp;"",""))</f>
        <v/>
      </c>
      <c r="I2264" s="26" t="str">
        <f aca="false">IF(A2264="","",COUNTIF(Apparitions!$G$2:$G$5001,A2264))</f>
        <v/>
      </c>
      <c r="J2264" s="26" t="str">
        <f aca="false">IF(A2264="","",COUNTIFS(Apparitions!$G$2:$G$5001,A2264,Apparitions!$E$2:$E$5001,"○"))</f>
        <v/>
      </c>
      <c r="K2264" s="29" t="str">
        <f aca="false">IF(A2264="","",IFERROR(1/(1/_xlfn.MINIFS(Apparitions!$L$2:$L$5001,Apparitions!$G$2:$G$5001,A2264)),""))</f>
        <v/>
      </c>
      <c r="L2264" s="27" t="str">
        <f aca="false">IF(A2264="","",A2264&amp;" | "&amp;B2264&amp;IF(C2264="",""," ("&amp;C2264&amp;")")&amp;IF(D2264="",""," - "&amp;D2264))</f>
        <v/>
      </c>
    </row>
    <row r="2265" customFormat="false" ht="15" hidden="false" customHeight="false" outlineLevel="0" collapsed="false">
      <c r="A2265" s="32"/>
      <c r="B2265" s="19"/>
      <c r="C2265" s="19"/>
      <c r="D2265" s="19"/>
      <c r="E2265" s="21"/>
      <c r="F2265" s="19"/>
      <c r="G2265" s="27" t="str">
        <f aca="false">IF(B2265="","",IFERROR(INDEX(Jeux!$C$2:$C$3001,MATCH(B2265,Jeux!$A$2:$A$3001,0))&amp;"","⚠ jeu inconnu"))</f>
        <v/>
      </c>
      <c r="H2265" s="27" t="str">
        <f aca="false">IF(B2265="","",IFERROR(INDEX(Jeux!$D$2:$D$3001,MATCH(B2265,Jeux!$A$2:$A$3001,0))&amp;"",""))</f>
        <v/>
      </c>
      <c r="I2265" s="26" t="str">
        <f aca="false">IF(A2265="","",COUNTIF(Apparitions!$G$2:$G$5001,A2265))</f>
        <v/>
      </c>
      <c r="J2265" s="26" t="str">
        <f aca="false">IF(A2265="","",COUNTIFS(Apparitions!$G$2:$G$5001,A2265,Apparitions!$E$2:$E$5001,"○"))</f>
        <v/>
      </c>
      <c r="K2265" s="29" t="str">
        <f aca="false">IF(A2265="","",IFERROR(1/(1/_xlfn.MINIFS(Apparitions!$L$2:$L$5001,Apparitions!$G$2:$G$5001,A2265)),""))</f>
        <v/>
      </c>
      <c r="L2265" s="27" t="str">
        <f aca="false">IF(A2265="","",A2265&amp;" | "&amp;B2265&amp;IF(C2265="",""," ("&amp;C2265&amp;")")&amp;IF(D2265="",""," - "&amp;D2265))</f>
        <v/>
      </c>
    </row>
    <row r="2266" customFormat="false" ht="15" hidden="false" customHeight="false" outlineLevel="0" collapsed="false">
      <c r="A2266" s="32"/>
      <c r="B2266" s="19"/>
      <c r="C2266" s="19"/>
      <c r="D2266" s="19"/>
      <c r="E2266" s="21"/>
      <c r="F2266" s="19"/>
      <c r="G2266" s="27" t="str">
        <f aca="false">IF(B2266="","",IFERROR(INDEX(Jeux!$C$2:$C$3001,MATCH(B2266,Jeux!$A$2:$A$3001,0))&amp;"","⚠ jeu inconnu"))</f>
        <v/>
      </c>
      <c r="H2266" s="27" t="str">
        <f aca="false">IF(B2266="","",IFERROR(INDEX(Jeux!$D$2:$D$3001,MATCH(B2266,Jeux!$A$2:$A$3001,0))&amp;"",""))</f>
        <v/>
      </c>
      <c r="I2266" s="26" t="str">
        <f aca="false">IF(A2266="","",COUNTIF(Apparitions!$G$2:$G$5001,A2266))</f>
        <v/>
      </c>
      <c r="J2266" s="26" t="str">
        <f aca="false">IF(A2266="","",COUNTIFS(Apparitions!$G$2:$G$5001,A2266,Apparitions!$E$2:$E$5001,"○"))</f>
        <v/>
      </c>
      <c r="K2266" s="29" t="str">
        <f aca="false">IF(A2266="","",IFERROR(1/(1/_xlfn.MINIFS(Apparitions!$L$2:$L$5001,Apparitions!$G$2:$G$5001,A2266)),""))</f>
        <v/>
      </c>
      <c r="L2266" s="27" t="str">
        <f aca="false">IF(A2266="","",A2266&amp;" | "&amp;B2266&amp;IF(C2266="",""," ("&amp;C2266&amp;")")&amp;IF(D2266="",""," - "&amp;D2266))</f>
        <v/>
      </c>
    </row>
    <row r="2267" customFormat="false" ht="15" hidden="false" customHeight="false" outlineLevel="0" collapsed="false">
      <c r="A2267" s="32"/>
      <c r="B2267" s="19"/>
      <c r="C2267" s="19"/>
      <c r="D2267" s="19"/>
      <c r="E2267" s="21"/>
      <c r="F2267" s="19"/>
      <c r="G2267" s="27" t="str">
        <f aca="false">IF(B2267="","",IFERROR(INDEX(Jeux!$C$2:$C$3001,MATCH(B2267,Jeux!$A$2:$A$3001,0))&amp;"","⚠ jeu inconnu"))</f>
        <v/>
      </c>
      <c r="H2267" s="27" t="str">
        <f aca="false">IF(B2267="","",IFERROR(INDEX(Jeux!$D$2:$D$3001,MATCH(B2267,Jeux!$A$2:$A$3001,0))&amp;"",""))</f>
        <v/>
      </c>
      <c r="I2267" s="26" t="str">
        <f aca="false">IF(A2267="","",COUNTIF(Apparitions!$G$2:$G$5001,A2267))</f>
        <v/>
      </c>
      <c r="J2267" s="26" t="str">
        <f aca="false">IF(A2267="","",COUNTIFS(Apparitions!$G$2:$G$5001,A2267,Apparitions!$E$2:$E$5001,"○"))</f>
        <v/>
      </c>
      <c r="K2267" s="29" t="str">
        <f aca="false">IF(A2267="","",IFERROR(1/(1/_xlfn.MINIFS(Apparitions!$L$2:$L$5001,Apparitions!$G$2:$G$5001,A2267)),""))</f>
        <v/>
      </c>
      <c r="L2267" s="27" t="str">
        <f aca="false">IF(A2267="","",A2267&amp;" | "&amp;B2267&amp;IF(C2267="",""," ("&amp;C2267&amp;")")&amp;IF(D2267="",""," - "&amp;D2267))</f>
        <v/>
      </c>
    </row>
    <row r="2268" customFormat="false" ht="15" hidden="false" customHeight="false" outlineLevel="0" collapsed="false">
      <c r="A2268" s="32"/>
      <c r="B2268" s="19"/>
      <c r="C2268" s="19"/>
      <c r="D2268" s="19"/>
      <c r="E2268" s="21"/>
      <c r="F2268" s="19"/>
      <c r="G2268" s="27" t="str">
        <f aca="false">IF(B2268="","",IFERROR(INDEX(Jeux!$C$2:$C$3001,MATCH(B2268,Jeux!$A$2:$A$3001,0))&amp;"","⚠ jeu inconnu"))</f>
        <v/>
      </c>
      <c r="H2268" s="27" t="str">
        <f aca="false">IF(B2268="","",IFERROR(INDEX(Jeux!$D$2:$D$3001,MATCH(B2268,Jeux!$A$2:$A$3001,0))&amp;"",""))</f>
        <v/>
      </c>
      <c r="I2268" s="26" t="str">
        <f aca="false">IF(A2268="","",COUNTIF(Apparitions!$G$2:$G$5001,A2268))</f>
        <v/>
      </c>
      <c r="J2268" s="26" t="str">
        <f aca="false">IF(A2268="","",COUNTIFS(Apparitions!$G$2:$G$5001,A2268,Apparitions!$E$2:$E$5001,"○"))</f>
        <v/>
      </c>
      <c r="K2268" s="29" t="str">
        <f aca="false">IF(A2268="","",IFERROR(1/(1/_xlfn.MINIFS(Apparitions!$L$2:$L$5001,Apparitions!$G$2:$G$5001,A2268)),""))</f>
        <v/>
      </c>
      <c r="L2268" s="27" t="str">
        <f aca="false">IF(A2268="","",A2268&amp;" | "&amp;B2268&amp;IF(C2268="",""," ("&amp;C2268&amp;")")&amp;IF(D2268="",""," - "&amp;D2268))</f>
        <v/>
      </c>
    </row>
    <row r="2269" customFormat="false" ht="15" hidden="false" customHeight="false" outlineLevel="0" collapsed="false">
      <c r="A2269" s="32"/>
      <c r="B2269" s="19"/>
      <c r="C2269" s="19"/>
      <c r="D2269" s="19"/>
      <c r="E2269" s="21"/>
      <c r="F2269" s="19"/>
      <c r="G2269" s="27" t="str">
        <f aca="false">IF(B2269="","",IFERROR(INDEX(Jeux!$C$2:$C$3001,MATCH(B2269,Jeux!$A$2:$A$3001,0))&amp;"","⚠ jeu inconnu"))</f>
        <v/>
      </c>
      <c r="H2269" s="27" t="str">
        <f aca="false">IF(B2269="","",IFERROR(INDEX(Jeux!$D$2:$D$3001,MATCH(B2269,Jeux!$A$2:$A$3001,0))&amp;"",""))</f>
        <v/>
      </c>
      <c r="I2269" s="26" t="str">
        <f aca="false">IF(A2269="","",COUNTIF(Apparitions!$G$2:$G$5001,A2269))</f>
        <v/>
      </c>
      <c r="J2269" s="26" t="str">
        <f aca="false">IF(A2269="","",COUNTIFS(Apparitions!$G$2:$G$5001,A2269,Apparitions!$E$2:$E$5001,"○"))</f>
        <v/>
      </c>
      <c r="K2269" s="29" t="str">
        <f aca="false">IF(A2269="","",IFERROR(1/(1/_xlfn.MINIFS(Apparitions!$L$2:$L$5001,Apparitions!$G$2:$G$5001,A2269)),""))</f>
        <v/>
      </c>
      <c r="L2269" s="27" t="str">
        <f aca="false">IF(A2269="","",A2269&amp;" | "&amp;B2269&amp;IF(C2269="",""," ("&amp;C2269&amp;")")&amp;IF(D2269="",""," - "&amp;D2269))</f>
        <v/>
      </c>
    </row>
    <row r="2270" customFormat="false" ht="15" hidden="false" customHeight="false" outlineLevel="0" collapsed="false">
      <c r="A2270" s="32"/>
      <c r="B2270" s="19"/>
      <c r="C2270" s="19"/>
      <c r="D2270" s="19"/>
      <c r="E2270" s="21"/>
      <c r="F2270" s="19"/>
      <c r="G2270" s="27" t="str">
        <f aca="false">IF(B2270="","",IFERROR(INDEX(Jeux!$C$2:$C$3001,MATCH(B2270,Jeux!$A$2:$A$3001,0))&amp;"","⚠ jeu inconnu"))</f>
        <v/>
      </c>
      <c r="H2270" s="27" t="str">
        <f aca="false">IF(B2270="","",IFERROR(INDEX(Jeux!$D$2:$D$3001,MATCH(B2270,Jeux!$A$2:$A$3001,0))&amp;"",""))</f>
        <v/>
      </c>
      <c r="I2270" s="26" t="str">
        <f aca="false">IF(A2270="","",COUNTIF(Apparitions!$G$2:$G$5001,A2270))</f>
        <v/>
      </c>
      <c r="J2270" s="26" t="str">
        <f aca="false">IF(A2270="","",COUNTIFS(Apparitions!$G$2:$G$5001,A2270,Apparitions!$E$2:$E$5001,"○"))</f>
        <v/>
      </c>
      <c r="K2270" s="29" t="str">
        <f aca="false">IF(A2270="","",IFERROR(1/(1/_xlfn.MINIFS(Apparitions!$L$2:$L$5001,Apparitions!$G$2:$G$5001,A2270)),""))</f>
        <v/>
      </c>
      <c r="L2270" s="27" t="str">
        <f aca="false">IF(A2270="","",A2270&amp;" | "&amp;B2270&amp;IF(C2270="",""," ("&amp;C2270&amp;")")&amp;IF(D2270="",""," - "&amp;D2270))</f>
        <v/>
      </c>
    </row>
    <row r="2271" customFormat="false" ht="15" hidden="false" customHeight="false" outlineLevel="0" collapsed="false">
      <c r="A2271" s="32"/>
      <c r="B2271" s="19"/>
      <c r="C2271" s="19"/>
      <c r="D2271" s="19"/>
      <c r="E2271" s="21"/>
      <c r="F2271" s="19"/>
      <c r="G2271" s="27" t="str">
        <f aca="false">IF(B2271="","",IFERROR(INDEX(Jeux!$C$2:$C$3001,MATCH(B2271,Jeux!$A$2:$A$3001,0))&amp;"","⚠ jeu inconnu"))</f>
        <v/>
      </c>
      <c r="H2271" s="27" t="str">
        <f aca="false">IF(B2271="","",IFERROR(INDEX(Jeux!$D$2:$D$3001,MATCH(B2271,Jeux!$A$2:$A$3001,0))&amp;"",""))</f>
        <v/>
      </c>
      <c r="I2271" s="26" t="str">
        <f aca="false">IF(A2271="","",COUNTIF(Apparitions!$G$2:$G$5001,A2271))</f>
        <v/>
      </c>
      <c r="J2271" s="26" t="str">
        <f aca="false">IF(A2271="","",COUNTIFS(Apparitions!$G$2:$G$5001,A2271,Apparitions!$E$2:$E$5001,"○"))</f>
        <v/>
      </c>
      <c r="K2271" s="29" t="str">
        <f aca="false">IF(A2271="","",IFERROR(1/(1/_xlfn.MINIFS(Apparitions!$L$2:$L$5001,Apparitions!$G$2:$G$5001,A2271)),""))</f>
        <v/>
      </c>
      <c r="L2271" s="27" t="str">
        <f aca="false">IF(A2271="","",A2271&amp;" | "&amp;B2271&amp;IF(C2271="",""," ("&amp;C2271&amp;")")&amp;IF(D2271="",""," - "&amp;D2271))</f>
        <v/>
      </c>
    </row>
    <row r="2272" customFormat="false" ht="15" hidden="false" customHeight="false" outlineLevel="0" collapsed="false">
      <c r="A2272" s="32"/>
      <c r="B2272" s="19"/>
      <c r="C2272" s="19"/>
      <c r="D2272" s="19"/>
      <c r="E2272" s="21"/>
      <c r="F2272" s="19"/>
      <c r="G2272" s="27" t="str">
        <f aca="false">IF(B2272="","",IFERROR(INDEX(Jeux!$C$2:$C$3001,MATCH(B2272,Jeux!$A$2:$A$3001,0))&amp;"","⚠ jeu inconnu"))</f>
        <v/>
      </c>
      <c r="H2272" s="27" t="str">
        <f aca="false">IF(B2272="","",IFERROR(INDEX(Jeux!$D$2:$D$3001,MATCH(B2272,Jeux!$A$2:$A$3001,0))&amp;"",""))</f>
        <v/>
      </c>
      <c r="I2272" s="26" t="str">
        <f aca="false">IF(A2272="","",COUNTIF(Apparitions!$G$2:$G$5001,A2272))</f>
        <v/>
      </c>
      <c r="J2272" s="26" t="str">
        <f aca="false">IF(A2272="","",COUNTIFS(Apparitions!$G$2:$G$5001,A2272,Apparitions!$E$2:$E$5001,"○"))</f>
        <v/>
      </c>
      <c r="K2272" s="29" t="str">
        <f aca="false">IF(A2272="","",IFERROR(1/(1/_xlfn.MINIFS(Apparitions!$L$2:$L$5001,Apparitions!$G$2:$G$5001,A2272)),""))</f>
        <v/>
      </c>
      <c r="L2272" s="27" t="str">
        <f aca="false">IF(A2272="","",A2272&amp;" | "&amp;B2272&amp;IF(C2272="",""," ("&amp;C2272&amp;")")&amp;IF(D2272="",""," - "&amp;D2272))</f>
        <v/>
      </c>
    </row>
    <row r="2273" customFormat="false" ht="15" hidden="false" customHeight="false" outlineLevel="0" collapsed="false">
      <c r="A2273" s="32"/>
      <c r="B2273" s="19"/>
      <c r="C2273" s="19"/>
      <c r="D2273" s="19"/>
      <c r="E2273" s="21"/>
      <c r="F2273" s="19"/>
      <c r="G2273" s="27" t="str">
        <f aca="false">IF(B2273="","",IFERROR(INDEX(Jeux!$C$2:$C$3001,MATCH(B2273,Jeux!$A$2:$A$3001,0))&amp;"","⚠ jeu inconnu"))</f>
        <v/>
      </c>
      <c r="H2273" s="27" t="str">
        <f aca="false">IF(B2273="","",IFERROR(INDEX(Jeux!$D$2:$D$3001,MATCH(B2273,Jeux!$A$2:$A$3001,0))&amp;"",""))</f>
        <v/>
      </c>
      <c r="I2273" s="26" t="str">
        <f aca="false">IF(A2273="","",COUNTIF(Apparitions!$G$2:$G$5001,A2273))</f>
        <v/>
      </c>
      <c r="J2273" s="26" t="str">
        <f aca="false">IF(A2273="","",COUNTIFS(Apparitions!$G$2:$G$5001,A2273,Apparitions!$E$2:$E$5001,"○"))</f>
        <v/>
      </c>
      <c r="K2273" s="29" t="str">
        <f aca="false">IF(A2273="","",IFERROR(1/(1/_xlfn.MINIFS(Apparitions!$L$2:$L$5001,Apparitions!$G$2:$G$5001,A2273)),""))</f>
        <v/>
      </c>
      <c r="L2273" s="27" t="str">
        <f aca="false">IF(A2273="","",A2273&amp;" | "&amp;B2273&amp;IF(C2273="",""," ("&amp;C2273&amp;")")&amp;IF(D2273="",""," - "&amp;D2273))</f>
        <v/>
      </c>
    </row>
    <row r="2274" customFormat="false" ht="15" hidden="false" customHeight="false" outlineLevel="0" collapsed="false">
      <c r="A2274" s="32"/>
      <c r="B2274" s="19"/>
      <c r="C2274" s="19"/>
      <c r="D2274" s="19"/>
      <c r="E2274" s="21"/>
      <c r="F2274" s="19"/>
      <c r="G2274" s="27" t="str">
        <f aca="false">IF(B2274="","",IFERROR(INDEX(Jeux!$C$2:$C$3001,MATCH(B2274,Jeux!$A$2:$A$3001,0))&amp;"","⚠ jeu inconnu"))</f>
        <v/>
      </c>
      <c r="H2274" s="27" t="str">
        <f aca="false">IF(B2274="","",IFERROR(INDEX(Jeux!$D$2:$D$3001,MATCH(B2274,Jeux!$A$2:$A$3001,0))&amp;"",""))</f>
        <v/>
      </c>
      <c r="I2274" s="26" t="str">
        <f aca="false">IF(A2274="","",COUNTIF(Apparitions!$G$2:$G$5001,A2274))</f>
        <v/>
      </c>
      <c r="J2274" s="26" t="str">
        <f aca="false">IF(A2274="","",COUNTIFS(Apparitions!$G$2:$G$5001,A2274,Apparitions!$E$2:$E$5001,"○"))</f>
        <v/>
      </c>
      <c r="K2274" s="29" t="str">
        <f aca="false">IF(A2274="","",IFERROR(1/(1/_xlfn.MINIFS(Apparitions!$L$2:$L$5001,Apparitions!$G$2:$G$5001,A2274)),""))</f>
        <v/>
      </c>
      <c r="L2274" s="27" t="str">
        <f aca="false">IF(A2274="","",A2274&amp;" | "&amp;B2274&amp;IF(C2274="",""," ("&amp;C2274&amp;")")&amp;IF(D2274="",""," - "&amp;D2274))</f>
        <v/>
      </c>
    </row>
    <row r="2275" customFormat="false" ht="15" hidden="false" customHeight="false" outlineLevel="0" collapsed="false">
      <c r="A2275" s="32"/>
      <c r="B2275" s="19"/>
      <c r="C2275" s="19"/>
      <c r="D2275" s="19"/>
      <c r="E2275" s="21"/>
      <c r="F2275" s="19"/>
      <c r="G2275" s="27" t="str">
        <f aca="false">IF(B2275="","",IFERROR(INDEX(Jeux!$C$2:$C$3001,MATCH(B2275,Jeux!$A$2:$A$3001,0))&amp;"","⚠ jeu inconnu"))</f>
        <v/>
      </c>
      <c r="H2275" s="27" t="str">
        <f aca="false">IF(B2275="","",IFERROR(INDEX(Jeux!$D$2:$D$3001,MATCH(B2275,Jeux!$A$2:$A$3001,0))&amp;"",""))</f>
        <v/>
      </c>
      <c r="I2275" s="26" t="str">
        <f aca="false">IF(A2275="","",COUNTIF(Apparitions!$G$2:$G$5001,A2275))</f>
        <v/>
      </c>
      <c r="J2275" s="26" t="str">
        <f aca="false">IF(A2275="","",COUNTIFS(Apparitions!$G$2:$G$5001,A2275,Apparitions!$E$2:$E$5001,"○"))</f>
        <v/>
      </c>
      <c r="K2275" s="29" t="str">
        <f aca="false">IF(A2275="","",IFERROR(1/(1/_xlfn.MINIFS(Apparitions!$L$2:$L$5001,Apparitions!$G$2:$G$5001,A2275)),""))</f>
        <v/>
      </c>
      <c r="L2275" s="27" t="str">
        <f aca="false">IF(A2275="","",A2275&amp;" | "&amp;B2275&amp;IF(C2275="",""," ("&amp;C2275&amp;")")&amp;IF(D2275="",""," - "&amp;D2275))</f>
        <v/>
      </c>
    </row>
    <row r="2276" customFormat="false" ht="15" hidden="false" customHeight="false" outlineLevel="0" collapsed="false">
      <c r="A2276" s="32"/>
      <c r="B2276" s="19"/>
      <c r="C2276" s="19"/>
      <c r="D2276" s="19"/>
      <c r="E2276" s="21"/>
      <c r="F2276" s="19"/>
      <c r="G2276" s="27" t="str">
        <f aca="false">IF(B2276="","",IFERROR(INDEX(Jeux!$C$2:$C$3001,MATCH(B2276,Jeux!$A$2:$A$3001,0))&amp;"","⚠ jeu inconnu"))</f>
        <v/>
      </c>
      <c r="H2276" s="27" t="str">
        <f aca="false">IF(B2276="","",IFERROR(INDEX(Jeux!$D$2:$D$3001,MATCH(B2276,Jeux!$A$2:$A$3001,0))&amp;"",""))</f>
        <v/>
      </c>
      <c r="I2276" s="26" t="str">
        <f aca="false">IF(A2276="","",COUNTIF(Apparitions!$G$2:$G$5001,A2276))</f>
        <v/>
      </c>
      <c r="J2276" s="26" t="str">
        <f aca="false">IF(A2276="","",COUNTIFS(Apparitions!$G$2:$G$5001,A2276,Apparitions!$E$2:$E$5001,"○"))</f>
        <v/>
      </c>
      <c r="K2276" s="29" t="str">
        <f aca="false">IF(A2276="","",IFERROR(1/(1/_xlfn.MINIFS(Apparitions!$L$2:$L$5001,Apparitions!$G$2:$G$5001,A2276)),""))</f>
        <v/>
      </c>
      <c r="L2276" s="27" t="str">
        <f aca="false">IF(A2276="","",A2276&amp;" | "&amp;B2276&amp;IF(C2276="",""," ("&amp;C2276&amp;")")&amp;IF(D2276="",""," - "&amp;D2276))</f>
        <v/>
      </c>
    </row>
    <row r="2277" customFormat="false" ht="15" hidden="false" customHeight="false" outlineLevel="0" collapsed="false">
      <c r="A2277" s="32"/>
      <c r="B2277" s="19"/>
      <c r="C2277" s="19"/>
      <c r="D2277" s="19"/>
      <c r="E2277" s="21"/>
      <c r="F2277" s="19"/>
      <c r="G2277" s="27" t="str">
        <f aca="false">IF(B2277="","",IFERROR(INDEX(Jeux!$C$2:$C$3001,MATCH(B2277,Jeux!$A$2:$A$3001,0))&amp;"","⚠ jeu inconnu"))</f>
        <v/>
      </c>
      <c r="H2277" s="27" t="str">
        <f aca="false">IF(B2277="","",IFERROR(INDEX(Jeux!$D$2:$D$3001,MATCH(B2277,Jeux!$A$2:$A$3001,0))&amp;"",""))</f>
        <v/>
      </c>
      <c r="I2277" s="26" t="str">
        <f aca="false">IF(A2277="","",COUNTIF(Apparitions!$G$2:$G$5001,A2277))</f>
        <v/>
      </c>
      <c r="J2277" s="26" t="str">
        <f aca="false">IF(A2277="","",COUNTIFS(Apparitions!$G$2:$G$5001,A2277,Apparitions!$E$2:$E$5001,"○"))</f>
        <v/>
      </c>
      <c r="K2277" s="29" t="str">
        <f aca="false">IF(A2277="","",IFERROR(1/(1/_xlfn.MINIFS(Apparitions!$L$2:$L$5001,Apparitions!$G$2:$G$5001,A2277)),""))</f>
        <v/>
      </c>
      <c r="L2277" s="27" t="str">
        <f aca="false">IF(A2277="","",A2277&amp;" | "&amp;B2277&amp;IF(C2277="",""," ("&amp;C2277&amp;")")&amp;IF(D2277="",""," - "&amp;D2277))</f>
        <v/>
      </c>
    </row>
    <row r="2278" customFormat="false" ht="15" hidden="false" customHeight="false" outlineLevel="0" collapsed="false">
      <c r="A2278" s="32"/>
      <c r="B2278" s="19"/>
      <c r="C2278" s="19"/>
      <c r="D2278" s="19"/>
      <c r="E2278" s="21"/>
      <c r="F2278" s="19"/>
      <c r="G2278" s="27" t="str">
        <f aca="false">IF(B2278="","",IFERROR(INDEX(Jeux!$C$2:$C$3001,MATCH(B2278,Jeux!$A$2:$A$3001,0))&amp;"","⚠ jeu inconnu"))</f>
        <v/>
      </c>
      <c r="H2278" s="27" t="str">
        <f aca="false">IF(B2278="","",IFERROR(INDEX(Jeux!$D$2:$D$3001,MATCH(B2278,Jeux!$A$2:$A$3001,0))&amp;"",""))</f>
        <v/>
      </c>
      <c r="I2278" s="26" t="str">
        <f aca="false">IF(A2278="","",COUNTIF(Apparitions!$G$2:$G$5001,A2278))</f>
        <v/>
      </c>
      <c r="J2278" s="26" t="str">
        <f aca="false">IF(A2278="","",COUNTIFS(Apparitions!$G$2:$G$5001,A2278,Apparitions!$E$2:$E$5001,"○"))</f>
        <v/>
      </c>
      <c r="K2278" s="29" t="str">
        <f aca="false">IF(A2278="","",IFERROR(1/(1/_xlfn.MINIFS(Apparitions!$L$2:$L$5001,Apparitions!$G$2:$G$5001,A2278)),""))</f>
        <v/>
      </c>
      <c r="L2278" s="27" t="str">
        <f aca="false">IF(A2278="","",A2278&amp;" | "&amp;B2278&amp;IF(C2278="",""," ("&amp;C2278&amp;")")&amp;IF(D2278="",""," - "&amp;D2278))</f>
        <v/>
      </c>
    </row>
    <row r="2279" customFormat="false" ht="15" hidden="false" customHeight="false" outlineLevel="0" collapsed="false">
      <c r="A2279" s="32"/>
      <c r="B2279" s="19"/>
      <c r="C2279" s="19"/>
      <c r="D2279" s="19"/>
      <c r="E2279" s="21"/>
      <c r="F2279" s="19"/>
      <c r="G2279" s="27" t="str">
        <f aca="false">IF(B2279="","",IFERROR(INDEX(Jeux!$C$2:$C$3001,MATCH(B2279,Jeux!$A$2:$A$3001,0))&amp;"","⚠ jeu inconnu"))</f>
        <v/>
      </c>
      <c r="H2279" s="27" t="str">
        <f aca="false">IF(B2279="","",IFERROR(INDEX(Jeux!$D$2:$D$3001,MATCH(B2279,Jeux!$A$2:$A$3001,0))&amp;"",""))</f>
        <v/>
      </c>
      <c r="I2279" s="26" t="str">
        <f aca="false">IF(A2279="","",COUNTIF(Apparitions!$G$2:$G$5001,A2279))</f>
        <v/>
      </c>
      <c r="J2279" s="26" t="str">
        <f aca="false">IF(A2279="","",COUNTIFS(Apparitions!$G$2:$G$5001,A2279,Apparitions!$E$2:$E$5001,"○"))</f>
        <v/>
      </c>
      <c r="K2279" s="29" t="str">
        <f aca="false">IF(A2279="","",IFERROR(1/(1/_xlfn.MINIFS(Apparitions!$L$2:$L$5001,Apparitions!$G$2:$G$5001,A2279)),""))</f>
        <v/>
      </c>
      <c r="L2279" s="27" t="str">
        <f aca="false">IF(A2279="","",A2279&amp;" | "&amp;B2279&amp;IF(C2279="",""," ("&amp;C2279&amp;")")&amp;IF(D2279="",""," - "&amp;D2279))</f>
        <v/>
      </c>
    </row>
    <row r="2280" customFormat="false" ht="15" hidden="false" customHeight="false" outlineLevel="0" collapsed="false">
      <c r="A2280" s="32"/>
      <c r="B2280" s="19"/>
      <c r="C2280" s="19"/>
      <c r="D2280" s="19"/>
      <c r="E2280" s="21"/>
      <c r="F2280" s="19"/>
      <c r="G2280" s="27" t="str">
        <f aca="false">IF(B2280="","",IFERROR(INDEX(Jeux!$C$2:$C$3001,MATCH(B2280,Jeux!$A$2:$A$3001,0))&amp;"","⚠ jeu inconnu"))</f>
        <v/>
      </c>
      <c r="H2280" s="27" t="str">
        <f aca="false">IF(B2280="","",IFERROR(INDEX(Jeux!$D$2:$D$3001,MATCH(B2280,Jeux!$A$2:$A$3001,0))&amp;"",""))</f>
        <v/>
      </c>
      <c r="I2280" s="26" t="str">
        <f aca="false">IF(A2280="","",COUNTIF(Apparitions!$G$2:$G$5001,A2280))</f>
        <v/>
      </c>
      <c r="J2280" s="26" t="str">
        <f aca="false">IF(A2280="","",COUNTIFS(Apparitions!$G$2:$G$5001,A2280,Apparitions!$E$2:$E$5001,"○"))</f>
        <v/>
      </c>
      <c r="K2280" s="29" t="str">
        <f aca="false">IF(A2280="","",IFERROR(1/(1/_xlfn.MINIFS(Apparitions!$L$2:$L$5001,Apparitions!$G$2:$G$5001,A2280)),""))</f>
        <v/>
      </c>
      <c r="L2280" s="27" t="str">
        <f aca="false">IF(A2280="","",A2280&amp;" | "&amp;B2280&amp;IF(C2280="",""," ("&amp;C2280&amp;")")&amp;IF(D2280="",""," - "&amp;D2280))</f>
        <v/>
      </c>
    </row>
    <row r="2281" customFormat="false" ht="15" hidden="false" customHeight="false" outlineLevel="0" collapsed="false">
      <c r="A2281" s="32"/>
      <c r="B2281" s="19"/>
      <c r="C2281" s="19"/>
      <c r="D2281" s="19"/>
      <c r="E2281" s="21"/>
      <c r="F2281" s="19"/>
      <c r="G2281" s="27" t="str">
        <f aca="false">IF(B2281="","",IFERROR(INDEX(Jeux!$C$2:$C$3001,MATCH(B2281,Jeux!$A$2:$A$3001,0))&amp;"","⚠ jeu inconnu"))</f>
        <v/>
      </c>
      <c r="H2281" s="27" t="str">
        <f aca="false">IF(B2281="","",IFERROR(INDEX(Jeux!$D$2:$D$3001,MATCH(B2281,Jeux!$A$2:$A$3001,0))&amp;"",""))</f>
        <v/>
      </c>
      <c r="I2281" s="26" t="str">
        <f aca="false">IF(A2281="","",COUNTIF(Apparitions!$G$2:$G$5001,A2281))</f>
        <v/>
      </c>
      <c r="J2281" s="26" t="str">
        <f aca="false">IF(A2281="","",COUNTIFS(Apparitions!$G$2:$G$5001,A2281,Apparitions!$E$2:$E$5001,"○"))</f>
        <v/>
      </c>
      <c r="K2281" s="29" t="str">
        <f aca="false">IF(A2281="","",IFERROR(1/(1/_xlfn.MINIFS(Apparitions!$L$2:$L$5001,Apparitions!$G$2:$G$5001,A2281)),""))</f>
        <v/>
      </c>
      <c r="L2281" s="27" t="str">
        <f aca="false">IF(A2281="","",A2281&amp;" | "&amp;B2281&amp;IF(C2281="",""," ("&amp;C2281&amp;")")&amp;IF(D2281="",""," - "&amp;D2281))</f>
        <v/>
      </c>
    </row>
    <row r="2282" customFormat="false" ht="15" hidden="false" customHeight="false" outlineLevel="0" collapsed="false">
      <c r="A2282" s="32"/>
      <c r="B2282" s="19"/>
      <c r="C2282" s="19"/>
      <c r="D2282" s="19"/>
      <c r="E2282" s="21"/>
      <c r="F2282" s="19"/>
      <c r="G2282" s="27" t="str">
        <f aca="false">IF(B2282="","",IFERROR(INDEX(Jeux!$C$2:$C$3001,MATCH(B2282,Jeux!$A$2:$A$3001,0))&amp;"","⚠ jeu inconnu"))</f>
        <v/>
      </c>
      <c r="H2282" s="27" t="str">
        <f aca="false">IF(B2282="","",IFERROR(INDEX(Jeux!$D$2:$D$3001,MATCH(B2282,Jeux!$A$2:$A$3001,0))&amp;"",""))</f>
        <v/>
      </c>
      <c r="I2282" s="26" t="str">
        <f aca="false">IF(A2282="","",COUNTIF(Apparitions!$G$2:$G$5001,A2282))</f>
        <v/>
      </c>
      <c r="J2282" s="26" t="str">
        <f aca="false">IF(A2282="","",COUNTIFS(Apparitions!$G$2:$G$5001,A2282,Apparitions!$E$2:$E$5001,"○"))</f>
        <v/>
      </c>
      <c r="K2282" s="29" t="str">
        <f aca="false">IF(A2282="","",IFERROR(1/(1/_xlfn.MINIFS(Apparitions!$L$2:$L$5001,Apparitions!$G$2:$G$5001,A2282)),""))</f>
        <v/>
      </c>
      <c r="L2282" s="27" t="str">
        <f aca="false">IF(A2282="","",A2282&amp;" | "&amp;B2282&amp;IF(C2282="",""," ("&amp;C2282&amp;")")&amp;IF(D2282="",""," - "&amp;D2282))</f>
        <v/>
      </c>
    </row>
    <row r="2283" customFormat="false" ht="15" hidden="false" customHeight="false" outlineLevel="0" collapsed="false">
      <c r="A2283" s="32"/>
      <c r="B2283" s="19"/>
      <c r="C2283" s="19"/>
      <c r="D2283" s="19"/>
      <c r="E2283" s="21"/>
      <c r="F2283" s="19"/>
      <c r="G2283" s="27" t="str">
        <f aca="false">IF(B2283="","",IFERROR(INDEX(Jeux!$C$2:$C$3001,MATCH(B2283,Jeux!$A$2:$A$3001,0))&amp;"","⚠ jeu inconnu"))</f>
        <v/>
      </c>
      <c r="H2283" s="27" t="str">
        <f aca="false">IF(B2283="","",IFERROR(INDEX(Jeux!$D$2:$D$3001,MATCH(B2283,Jeux!$A$2:$A$3001,0))&amp;"",""))</f>
        <v/>
      </c>
      <c r="I2283" s="26" t="str">
        <f aca="false">IF(A2283="","",COUNTIF(Apparitions!$G$2:$G$5001,A2283))</f>
        <v/>
      </c>
      <c r="J2283" s="26" t="str">
        <f aca="false">IF(A2283="","",COUNTIFS(Apparitions!$G$2:$G$5001,A2283,Apparitions!$E$2:$E$5001,"○"))</f>
        <v/>
      </c>
      <c r="K2283" s="29" t="str">
        <f aca="false">IF(A2283="","",IFERROR(1/(1/_xlfn.MINIFS(Apparitions!$L$2:$L$5001,Apparitions!$G$2:$G$5001,A2283)),""))</f>
        <v/>
      </c>
      <c r="L2283" s="27" t="str">
        <f aca="false">IF(A2283="","",A2283&amp;" | "&amp;B2283&amp;IF(C2283="",""," ("&amp;C2283&amp;")")&amp;IF(D2283="",""," - "&amp;D2283))</f>
        <v/>
      </c>
    </row>
    <row r="2284" customFormat="false" ht="15" hidden="false" customHeight="false" outlineLevel="0" collapsed="false">
      <c r="A2284" s="32"/>
      <c r="B2284" s="19"/>
      <c r="C2284" s="19"/>
      <c r="D2284" s="19"/>
      <c r="E2284" s="21"/>
      <c r="F2284" s="19"/>
      <c r="G2284" s="27" t="str">
        <f aca="false">IF(B2284="","",IFERROR(INDEX(Jeux!$C$2:$C$3001,MATCH(B2284,Jeux!$A$2:$A$3001,0))&amp;"","⚠ jeu inconnu"))</f>
        <v/>
      </c>
      <c r="H2284" s="27" t="str">
        <f aca="false">IF(B2284="","",IFERROR(INDEX(Jeux!$D$2:$D$3001,MATCH(B2284,Jeux!$A$2:$A$3001,0))&amp;"",""))</f>
        <v/>
      </c>
      <c r="I2284" s="26" t="str">
        <f aca="false">IF(A2284="","",COUNTIF(Apparitions!$G$2:$G$5001,A2284))</f>
        <v/>
      </c>
      <c r="J2284" s="26" t="str">
        <f aca="false">IF(A2284="","",COUNTIFS(Apparitions!$G$2:$G$5001,A2284,Apparitions!$E$2:$E$5001,"○"))</f>
        <v/>
      </c>
      <c r="K2284" s="29" t="str">
        <f aca="false">IF(A2284="","",IFERROR(1/(1/_xlfn.MINIFS(Apparitions!$L$2:$L$5001,Apparitions!$G$2:$G$5001,A2284)),""))</f>
        <v/>
      </c>
      <c r="L2284" s="27" t="str">
        <f aca="false">IF(A2284="","",A2284&amp;" | "&amp;B2284&amp;IF(C2284="",""," ("&amp;C2284&amp;")")&amp;IF(D2284="",""," - "&amp;D2284))</f>
        <v/>
      </c>
    </row>
    <row r="2285" customFormat="false" ht="15" hidden="false" customHeight="false" outlineLevel="0" collapsed="false">
      <c r="A2285" s="32"/>
      <c r="B2285" s="19"/>
      <c r="C2285" s="19"/>
      <c r="D2285" s="19"/>
      <c r="E2285" s="21"/>
      <c r="F2285" s="19"/>
      <c r="G2285" s="27" t="str">
        <f aca="false">IF(B2285="","",IFERROR(INDEX(Jeux!$C$2:$C$3001,MATCH(B2285,Jeux!$A$2:$A$3001,0))&amp;"","⚠ jeu inconnu"))</f>
        <v/>
      </c>
      <c r="H2285" s="27" t="str">
        <f aca="false">IF(B2285="","",IFERROR(INDEX(Jeux!$D$2:$D$3001,MATCH(B2285,Jeux!$A$2:$A$3001,0))&amp;"",""))</f>
        <v/>
      </c>
      <c r="I2285" s="26" t="str">
        <f aca="false">IF(A2285="","",COUNTIF(Apparitions!$G$2:$G$5001,A2285))</f>
        <v/>
      </c>
      <c r="J2285" s="26" t="str">
        <f aca="false">IF(A2285="","",COUNTIFS(Apparitions!$G$2:$G$5001,A2285,Apparitions!$E$2:$E$5001,"○"))</f>
        <v/>
      </c>
      <c r="K2285" s="29" t="str">
        <f aca="false">IF(A2285="","",IFERROR(1/(1/_xlfn.MINIFS(Apparitions!$L$2:$L$5001,Apparitions!$G$2:$G$5001,A2285)),""))</f>
        <v/>
      </c>
      <c r="L2285" s="27" t="str">
        <f aca="false">IF(A2285="","",A2285&amp;" | "&amp;B2285&amp;IF(C2285="",""," ("&amp;C2285&amp;")")&amp;IF(D2285="",""," - "&amp;D2285))</f>
        <v/>
      </c>
    </row>
    <row r="2286" customFormat="false" ht="15" hidden="false" customHeight="false" outlineLevel="0" collapsed="false">
      <c r="A2286" s="32"/>
      <c r="B2286" s="19"/>
      <c r="C2286" s="19"/>
      <c r="D2286" s="19"/>
      <c r="E2286" s="21"/>
      <c r="F2286" s="19"/>
      <c r="G2286" s="27" t="str">
        <f aca="false">IF(B2286="","",IFERROR(INDEX(Jeux!$C$2:$C$3001,MATCH(B2286,Jeux!$A$2:$A$3001,0))&amp;"","⚠ jeu inconnu"))</f>
        <v/>
      </c>
      <c r="H2286" s="27" t="str">
        <f aca="false">IF(B2286="","",IFERROR(INDEX(Jeux!$D$2:$D$3001,MATCH(B2286,Jeux!$A$2:$A$3001,0))&amp;"",""))</f>
        <v/>
      </c>
      <c r="I2286" s="26" t="str">
        <f aca="false">IF(A2286="","",COUNTIF(Apparitions!$G$2:$G$5001,A2286))</f>
        <v/>
      </c>
      <c r="J2286" s="26" t="str">
        <f aca="false">IF(A2286="","",COUNTIFS(Apparitions!$G$2:$G$5001,A2286,Apparitions!$E$2:$E$5001,"○"))</f>
        <v/>
      </c>
      <c r="K2286" s="29" t="str">
        <f aca="false">IF(A2286="","",IFERROR(1/(1/_xlfn.MINIFS(Apparitions!$L$2:$L$5001,Apparitions!$G$2:$G$5001,A2286)),""))</f>
        <v/>
      </c>
      <c r="L2286" s="27" t="str">
        <f aca="false">IF(A2286="","",A2286&amp;" | "&amp;B2286&amp;IF(C2286="",""," ("&amp;C2286&amp;")")&amp;IF(D2286="",""," - "&amp;D2286))</f>
        <v/>
      </c>
    </row>
    <row r="2287" customFormat="false" ht="15" hidden="false" customHeight="false" outlineLevel="0" collapsed="false">
      <c r="A2287" s="32"/>
      <c r="B2287" s="19"/>
      <c r="C2287" s="19"/>
      <c r="D2287" s="19"/>
      <c r="E2287" s="21"/>
      <c r="F2287" s="19"/>
      <c r="G2287" s="27" t="str">
        <f aca="false">IF(B2287="","",IFERROR(INDEX(Jeux!$C$2:$C$3001,MATCH(B2287,Jeux!$A$2:$A$3001,0))&amp;"","⚠ jeu inconnu"))</f>
        <v/>
      </c>
      <c r="H2287" s="27" t="str">
        <f aca="false">IF(B2287="","",IFERROR(INDEX(Jeux!$D$2:$D$3001,MATCH(B2287,Jeux!$A$2:$A$3001,0))&amp;"",""))</f>
        <v/>
      </c>
      <c r="I2287" s="26" t="str">
        <f aca="false">IF(A2287="","",COUNTIF(Apparitions!$G$2:$G$5001,A2287))</f>
        <v/>
      </c>
      <c r="J2287" s="26" t="str">
        <f aca="false">IF(A2287="","",COUNTIFS(Apparitions!$G$2:$G$5001,A2287,Apparitions!$E$2:$E$5001,"○"))</f>
        <v/>
      </c>
      <c r="K2287" s="29" t="str">
        <f aca="false">IF(A2287="","",IFERROR(1/(1/_xlfn.MINIFS(Apparitions!$L$2:$L$5001,Apparitions!$G$2:$G$5001,A2287)),""))</f>
        <v/>
      </c>
      <c r="L2287" s="27" t="str">
        <f aca="false">IF(A2287="","",A2287&amp;" | "&amp;B2287&amp;IF(C2287="",""," ("&amp;C2287&amp;")")&amp;IF(D2287="",""," - "&amp;D2287))</f>
        <v/>
      </c>
    </row>
    <row r="2288" customFormat="false" ht="15" hidden="false" customHeight="false" outlineLevel="0" collapsed="false">
      <c r="A2288" s="32"/>
      <c r="B2288" s="19"/>
      <c r="C2288" s="19"/>
      <c r="D2288" s="19"/>
      <c r="E2288" s="21"/>
      <c r="F2288" s="19"/>
      <c r="G2288" s="27" t="str">
        <f aca="false">IF(B2288="","",IFERROR(INDEX(Jeux!$C$2:$C$3001,MATCH(B2288,Jeux!$A$2:$A$3001,0))&amp;"","⚠ jeu inconnu"))</f>
        <v/>
      </c>
      <c r="H2288" s="27" t="str">
        <f aca="false">IF(B2288="","",IFERROR(INDEX(Jeux!$D$2:$D$3001,MATCH(B2288,Jeux!$A$2:$A$3001,0))&amp;"",""))</f>
        <v/>
      </c>
      <c r="I2288" s="26" t="str">
        <f aca="false">IF(A2288="","",COUNTIF(Apparitions!$G$2:$G$5001,A2288))</f>
        <v/>
      </c>
      <c r="J2288" s="26" t="str">
        <f aca="false">IF(A2288="","",COUNTIFS(Apparitions!$G$2:$G$5001,A2288,Apparitions!$E$2:$E$5001,"○"))</f>
        <v/>
      </c>
      <c r="K2288" s="29" t="str">
        <f aca="false">IF(A2288="","",IFERROR(1/(1/_xlfn.MINIFS(Apparitions!$L$2:$L$5001,Apparitions!$G$2:$G$5001,A2288)),""))</f>
        <v/>
      </c>
      <c r="L2288" s="27" t="str">
        <f aca="false">IF(A2288="","",A2288&amp;" | "&amp;B2288&amp;IF(C2288="",""," ("&amp;C2288&amp;")")&amp;IF(D2288="",""," - "&amp;D2288))</f>
        <v/>
      </c>
    </row>
    <row r="2289" customFormat="false" ht="15" hidden="false" customHeight="false" outlineLevel="0" collapsed="false">
      <c r="A2289" s="32"/>
      <c r="B2289" s="19"/>
      <c r="C2289" s="19"/>
      <c r="D2289" s="19"/>
      <c r="E2289" s="21"/>
      <c r="F2289" s="19"/>
      <c r="G2289" s="27" t="str">
        <f aca="false">IF(B2289="","",IFERROR(INDEX(Jeux!$C$2:$C$3001,MATCH(B2289,Jeux!$A$2:$A$3001,0))&amp;"","⚠ jeu inconnu"))</f>
        <v/>
      </c>
      <c r="H2289" s="27" t="str">
        <f aca="false">IF(B2289="","",IFERROR(INDEX(Jeux!$D$2:$D$3001,MATCH(B2289,Jeux!$A$2:$A$3001,0))&amp;"",""))</f>
        <v/>
      </c>
      <c r="I2289" s="26" t="str">
        <f aca="false">IF(A2289="","",COUNTIF(Apparitions!$G$2:$G$5001,A2289))</f>
        <v/>
      </c>
      <c r="J2289" s="26" t="str">
        <f aca="false">IF(A2289="","",COUNTIFS(Apparitions!$G$2:$G$5001,A2289,Apparitions!$E$2:$E$5001,"○"))</f>
        <v/>
      </c>
      <c r="K2289" s="29" t="str">
        <f aca="false">IF(A2289="","",IFERROR(1/(1/_xlfn.MINIFS(Apparitions!$L$2:$L$5001,Apparitions!$G$2:$G$5001,A2289)),""))</f>
        <v/>
      </c>
      <c r="L2289" s="27" t="str">
        <f aca="false">IF(A2289="","",A2289&amp;" | "&amp;B2289&amp;IF(C2289="",""," ("&amp;C2289&amp;")")&amp;IF(D2289="",""," - "&amp;D2289))</f>
        <v/>
      </c>
    </row>
    <row r="2290" customFormat="false" ht="15" hidden="false" customHeight="false" outlineLevel="0" collapsed="false">
      <c r="A2290" s="32"/>
      <c r="B2290" s="19"/>
      <c r="C2290" s="19"/>
      <c r="D2290" s="19"/>
      <c r="E2290" s="21"/>
      <c r="F2290" s="19"/>
      <c r="G2290" s="27" t="str">
        <f aca="false">IF(B2290="","",IFERROR(INDEX(Jeux!$C$2:$C$3001,MATCH(B2290,Jeux!$A$2:$A$3001,0))&amp;"","⚠ jeu inconnu"))</f>
        <v/>
      </c>
      <c r="H2290" s="27" t="str">
        <f aca="false">IF(B2290="","",IFERROR(INDEX(Jeux!$D$2:$D$3001,MATCH(B2290,Jeux!$A$2:$A$3001,0))&amp;"",""))</f>
        <v/>
      </c>
      <c r="I2290" s="26" t="str">
        <f aca="false">IF(A2290="","",COUNTIF(Apparitions!$G$2:$G$5001,A2290))</f>
        <v/>
      </c>
      <c r="J2290" s="26" t="str">
        <f aca="false">IF(A2290="","",COUNTIFS(Apparitions!$G$2:$G$5001,A2290,Apparitions!$E$2:$E$5001,"○"))</f>
        <v/>
      </c>
      <c r="K2290" s="29" t="str">
        <f aca="false">IF(A2290="","",IFERROR(1/(1/_xlfn.MINIFS(Apparitions!$L$2:$L$5001,Apparitions!$G$2:$G$5001,A2290)),""))</f>
        <v/>
      </c>
      <c r="L2290" s="27" t="str">
        <f aca="false">IF(A2290="","",A2290&amp;" | "&amp;B2290&amp;IF(C2290="",""," ("&amp;C2290&amp;")")&amp;IF(D2290="",""," - "&amp;D2290))</f>
        <v/>
      </c>
    </row>
    <row r="2291" customFormat="false" ht="15" hidden="false" customHeight="false" outlineLevel="0" collapsed="false">
      <c r="A2291" s="32"/>
      <c r="B2291" s="19"/>
      <c r="C2291" s="19"/>
      <c r="D2291" s="19"/>
      <c r="E2291" s="21"/>
      <c r="F2291" s="19"/>
      <c r="G2291" s="27" t="str">
        <f aca="false">IF(B2291="","",IFERROR(INDEX(Jeux!$C$2:$C$3001,MATCH(B2291,Jeux!$A$2:$A$3001,0))&amp;"","⚠ jeu inconnu"))</f>
        <v/>
      </c>
      <c r="H2291" s="27" t="str">
        <f aca="false">IF(B2291="","",IFERROR(INDEX(Jeux!$D$2:$D$3001,MATCH(B2291,Jeux!$A$2:$A$3001,0))&amp;"",""))</f>
        <v/>
      </c>
      <c r="I2291" s="26" t="str">
        <f aca="false">IF(A2291="","",COUNTIF(Apparitions!$G$2:$G$5001,A2291))</f>
        <v/>
      </c>
      <c r="J2291" s="26" t="str">
        <f aca="false">IF(A2291="","",COUNTIFS(Apparitions!$G$2:$G$5001,A2291,Apparitions!$E$2:$E$5001,"○"))</f>
        <v/>
      </c>
      <c r="K2291" s="29" t="str">
        <f aca="false">IF(A2291="","",IFERROR(1/(1/_xlfn.MINIFS(Apparitions!$L$2:$L$5001,Apparitions!$G$2:$G$5001,A2291)),""))</f>
        <v/>
      </c>
      <c r="L2291" s="27" t="str">
        <f aca="false">IF(A2291="","",A2291&amp;" | "&amp;B2291&amp;IF(C2291="",""," ("&amp;C2291&amp;")")&amp;IF(D2291="",""," - "&amp;D2291))</f>
        <v/>
      </c>
    </row>
    <row r="2292" customFormat="false" ht="15" hidden="false" customHeight="false" outlineLevel="0" collapsed="false">
      <c r="A2292" s="32"/>
      <c r="B2292" s="19"/>
      <c r="C2292" s="19"/>
      <c r="D2292" s="19"/>
      <c r="E2292" s="21"/>
      <c r="F2292" s="19"/>
      <c r="G2292" s="27" t="str">
        <f aca="false">IF(B2292="","",IFERROR(INDEX(Jeux!$C$2:$C$3001,MATCH(B2292,Jeux!$A$2:$A$3001,0))&amp;"","⚠ jeu inconnu"))</f>
        <v/>
      </c>
      <c r="H2292" s="27" t="str">
        <f aca="false">IF(B2292="","",IFERROR(INDEX(Jeux!$D$2:$D$3001,MATCH(B2292,Jeux!$A$2:$A$3001,0))&amp;"",""))</f>
        <v/>
      </c>
      <c r="I2292" s="26" t="str">
        <f aca="false">IF(A2292="","",COUNTIF(Apparitions!$G$2:$G$5001,A2292))</f>
        <v/>
      </c>
      <c r="J2292" s="26" t="str">
        <f aca="false">IF(A2292="","",COUNTIFS(Apparitions!$G$2:$G$5001,A2292,Apparitions!$E$2:$E$5001,"○"))</f>
        <v/>
      </c>
      <c r="K2292" s="29" t="str">
        <f aca="false">IF(A2292="","",IFERROR(1/(1/_xlfn.MINIFS(Apparitions!$L$2:$L$5001,Apparitions!$G$2:$G$5001,A2292)),""))</f>
        <v/>
      </c>
      <c r="L2292" s="27" t="str">
        <f aca="false">IF(A2292="","",A2292&amp;" | "&amp;B2292&amp;IF(C2292="",""," ("&amp;C2292&amp;")")&amp;IF(D2292="",""," - "&amp;D2292))</f>
        <v/>
      </c>
    </row>
    <row r="2293" customFormat="false" ht="15" hidden="false" customHeight="false" outlineLevel="0" collapsed="false">
      <c r="A2293" s="32"/>
      <c r="B2293" s="19"/>
      <c r="C2293" s="19"/>
      <c r="D2293" s="19"/>
      <c r="E2293" s="21"/>
      <c r="F2293" s="19"/>
      <c r="G2293" s="27" t="str">
        <f aca="false">IF(B2293="","",IFERROR(INDEX(Jeux!$C$2:$C$3001,MATCH(B2293,Jeux!$A$2:$A$3001,0))&amp;"","⚠ jeu inconnu"))</f>
        <v/>
      </c>
      <c r="H2293" s="27" t="str">
        <f aca="false">IF(B2293="","",IFERROR(INDEX(Jeux!$D$2:$D$3001,MATCH(B2293,Jeux!$A$2:$A$3001,0))&amp;"",""))</f>
        <v/>
      </c>
      <c r="I2293" s="26" t="str">
        <f aca="false">IF(A2293="","",COUNTIF(Apparitions!$G$2:$G$5001,A2293))</f>
        <v/>
      </c>
      <c r="J2293" s="26" t="str">
        <f aca="false">IF(A2293="","",COUNTIFS(Apparitions!$G$2:$G$5001,A2293,Apparitions!$E$2:$E$5001,"○"))</f>
        <v/>
      </c>
      <c r="K2293" s="29" t="str">
        <f aca="false">IF(A2293="","",IFERROR(1/(1/_xlfn.MINIFS(Apparitions!$L$2:$L$5001,Apparitions!$G$2:$G$5001,A2293)),""))</f>
        <v/>
      </c>
      <c r="L2293" s="27" t="str">
        <f aca="false">IF(A2293="","",A2293&amp;" | "&amp;B2293&amp;IF(C2293="",""," ("&amp;C2293&amp;")")&amp;IF(D2293="",""," - "&amp;D2293))</f>
        <v/>
      </c>
    </row>
    <row r="2294" customFormat="false" ht="15" hidden="false" customHeight="false" outlineLevel="0" collapsed="false">
      <c r="A2294" s="32"/>
      <c r="B2294" s="19"/>
      <c r="C2294" s="19"/>
      <c r="D2294" s="19"/>
      <c r="E2294" s="21"/>
      <c r="F2294" s="19"/>
      <c r="G2294" s="27" t="str">
        <f aca="false">IF(B2294="","",IFERROR(INDEX(Jeux!$C$2:$C$3001,MATCH(B2294,Jeux!$A$2:$A$3001,0))&amp;"","⚠ jeu inconnu"))</f>
        <v/>
      </c>
      <c r="H2294" s="27" t="str">
        <f aca="false">IF(B2294="","",IFERROR(INDEX(Jeux!$D$2:$D$3001,MATCH(B2294,Jeux!$A$2:$A$3001,0))&amp;"",""))</f>
        <v/>
      </c>
      <c r="I2294" s="26" t="str">
        <f aca="false">IF(A2294="","",COUNTIF(Apparitions!$G$2:$G$5001,A2294))</f>
        <v/>
      </c>
      <c r="J2294" s="26" t="str">
        <f aca="false">IF(A2294="","",COUNTIFS(Apparitions!$G$2:$G$5001,A2294,Apparitions!$E$2:$E$5001,"○"))</f>
        <v/>
      </c>
      <c r="K2294" s="29" t="str">
        <f aca="false">IF(A2294="","",IFERROR(1/(1/_xlfn.MINIFS(Apparitions!$L$2:$L$5001,Apparitions!$G$2:$G$5001,A2294)),""))</f>
        <v/>
      </c>
      <c r="L2294" s="27" t="str">
        <f aca="false">IF(A2294="","",A2294&amp;" | "&amp;B2294&amp;IF(C2294="",""," ("&amp;C2294&amp;")")&amp;IF(D2294="",""," - "&amp;D2294))</f>
        <v/>
      </c>
    </row>
    <row r="2295" customFormat="false" ht="15" hidden="false" customHeight="false" outlineLevel="0" collapsed="false">
      <c r="A2295" s="32"/>
      <c r="B2295" s="19"/>
      <c r="C2295" s="19"/>
      <c r="D2295" s="19"/>
      <c r="E2295" s="21"/>
      <c r="F2295" s="19"/>
      <c r="G2295" s="27" t="str">
        <f aca="false">IF(B2295="","",IFERROR(INDEX(Jeux!$C$2:$C$3001,MATCH(B2295,Jeux!$A$2:$A$3001,0))&amp;"","⚠ jeu inconnu"))</f>
        <v/>
      </c>
      <c r="H2295" s="27" t="str">
        <f aca="false">IF(B2295="","",IFERROR(INDEX(Jeux!$D$2:$D$3001,MATCH(B2295,Jeux!$A$2:$A$3001,0))&amp;"",""))</f>
        <v/>
      </c>
      <c r="I2295" s="26" t="str">
        <f aca="false">IF(A2295="","",COUNTIF(Apparitions!$G$2:$G$5001,A2295))</f>
        <v/>
      </c>
      <c r="J2295" s="26" t="str">
        <f aca="false">IF(A2295="","",COUNTIFS(Apparitions!$G$2:$G$5001,A2295,Apparitions!$E$2:$E$5001,"○"))</f>
        <v/>
      </c>
      <c r="K2295" s="29" t="str">
        <f aca="false">IF(A2295="","",IFERROR(1/(1/_xlfn.MINIFS(Apparitions!$L$2:$L$5001,Apparitions!$G$2:$G$5001,A2295)),""))</f>
        <v/>
      </c>
      <c r="L2295" s="27" t="str">
        <f aca="false">IF(A2295="","",A2295&amp;" | "&amp;B2295&amp;IF(C2295="",""," ("&amp;C2295&amp;")")&amp;IF(D2295="",""," - "&amp;D2295))</f>
        <v/>
      </c>
    </row>
    <row r="2296" customFormat="false" ht="15" hidden="false" customHeight="false" outlineLevel="0" collapsed="false">
      <c r="A2296" s="32"/>
      <c r="B2296" s="19"/>
      <c r="C2296" s="19"/>
      <c r="D2296" s="19"/>
      <c r="E2296" s="21"/>
      <c r="F2296" s="19"/>
      <c r="G2296" s="27" t="str">
        <f aca="false">IF(B2296="","",IFERROR(INDEX(Jeux!$C$2:$C$3001,MATCH(B2296,Jeux!$A$2:$A$3001,0))&amp;"","⚠ jeu inconnu"))</f>
        <v/>
      </c>
      <c r="H2296" s="27" t="str">
        <f aca="false">IF(B2296="","",IFERROR(INDEX(Jeux!$D$2:$D$3001,MATCH(B2296,Jeux!$A$2:$A$3001,0))&amp;"",""))</f>
        <v/>
      </c>
      <c r="I2296" s="26" t="str">
        <f aca="false">IF(A2296="","",COUNTIF(Apparitions!$G$2:$G$5001,A2296))</f>
        <v/>
      </c>
      <c r="J2296" s="26" t="str">
        <f aca="false">IF(A2296="","",COUNTIFS(Apparitions!$G$2:$G$5001,A2296,Apparitions!$E$2:$E$5001,"○"))</f>
        <v/>
      </c>
      <c r="K2296" s="29" t="str">
        <f aca="false">IF(A2296="","",IFERROR(1/(1/_xlfn.MINIFS(Apparitions!$L$2:$L$5001,Apparitions!$G$2:$G$5001,A2296)),""))</f>
        <v/>
      </c>
      <c r="L2296" s="27" t="str">
        <f aca="false">IF(A2296="","",A2296&amp;" | "&amp;B2296&amp;IF(C2296="",""," ("&amp;C2296&amp;")")&amp;IF(D2296="",""," - "&amp;D2296))</f>
        <v/>
      </c>
    </row>
    <row r="2297" customFormat="false" ht="15" hidden="false" customHeight="false" outlineLevel="0" collapsed="false">
      <c r="A2297" s="32"/>
      <c r="B2297" s="19"/>
      <c r="C2297" s="19"/>
      <c r="D2297" s="19"/>
      <c r="E2297" s="21"/>
      <c r="F2297" s="19"/>
      <c r="G2297" s="27" t="str">
        <f aca="false">IF(B2297="","",IFERROR(INDEX(Jeux!$C$2:$C$3001,MATCH(B2297,Jeux!$A$2:$A$3001,0))&amp;"","⚠ jeu inconnu"))</f>
        <v/>
      </c>
      <c r="H2297" s="27" t="str">
        <f aca="false">IF(B2297="","",IFERROR(INDEX(Jeux!$D$2:$D$3001,MATCH(B2297,Jeux!$A$2:$A$3001,0))&amp;"",""))</f>
        <v/>
      </c>
      <c r="I2297" s="26" t="str">
        <f aca="false">IF(A2297="","",COUNTIF(Apparitions!$G$2:$G$5001,A2297))</f>
        <v/>
      </c>
      <c r="J2297" s="26" t="str">
        <f aca="false">IF(A2297="","",COUNTIFS(Apparitions!$G$2:$G$5001,A2297,Apparitions!$E$2:$E$5001,"○"))</f>
        <v/>
      </c>
      <c r="K2297" s="29" t="str">
        <f aca="false">IF(A2297="","",IFERROR(1/(1/_xlfn.MINIFS(Apparitions!$L$2:$L$5001,Apparitions!$G$2:$G$5001,A2297)),""))</f>
        <v/>
      </c>
      <c r="L2297" s="27" t="str">
        <f aca="false">IF(A2297="","",A2297&amp;" | "&amp;B2297&amp;IF(C2297="",""," ("&amp;C2297&amp;")")&amp;IF(D2297="",""," - "&amp;D2297))</f>
        <v/>
      </c>
    </row>
    <row r="2298" customFormat="false" ht="15" hidden="false" customHeight="false" outlineLevel="0" collapsed="false">
      <c r="A2298" s="32"/>
      <c r="B2298" s="19"/>
      <c r="C2298" s="19"/>
      <c r="D2298" s="19"/>
      <c r="E2298" s="21"/>
      <c r="F2298" s="19"/>
      <c r="G2298" s="27" t="str">
        <f aca="false">IF(B2298="","",IFERROR(INDEX(Jeux!$C$2:$C$3001,MATCH(B2298,Jeux!$A$2:$A$3001,0))&amp;"","⚠ jeu inconnu"))</f>
        <v/>
      </c>
      <c r="H2298" s="27" t="str">
        <f aca="false">IF(B2298="","",IFERROR(INDEX(Jeux!$D$2:$D$3001,MATCH(B2298,Jeux!$A$2:$A$3001,0))&amp;"",""))</f>
        <v/>
      </c>
      <c r="I2298" s="26" t="str">
        <f aca="false">IF(A2298="","",COUNTIF(Apparitions!$G$2:$G$5001,A2298))</f>
        <v/>
      </c>
      <c r="J2298" s="26" t="str">
        <f aca="false">IF(A2298="","",COUNTIFS(Apparitions!$G$2:$G$5001,A2298,Apparitions!$E$2:$E$5001,"○"))</f>
        <v/>
      </c>
      <c r="K2298" s="29" t="str">
        <f aca="false">IF(A2298="","",IFERROR(1/(1/_xlfn.MINIFS(Apparitions!$L$2:$L$5001,Apparitions!$G$2:$G$5001,A2298)),""))</f>
        <v/>
      </c>
      <c r="L2298" s="27" t="str">
        <f aca="false">IF(A2298="","",A2298&amp;" | "&amp;B2298&amp;IF(C2298="",""," ("&amp;C2298&amp;")")&amp;IF(D2298="",""," - "&amp;D2298))</f>
        <v/>
      </c>
    </row>
    <row r="2299" customFormat="false" ht="15" hidden="false" customHeight="false" outlineLevel="0" collapsed="false">
      <c r="A2299" s="32"/>
      <c r="B2299" s="19"/>
      <c r="C2299" s="19"/>
      <c r="D2299" s="19"/>
      <c r="E2299" s="21"/>
      <c r="F2299" s="19"/>
      <c r="G2299" s="27" t="str">
        <f aca="false">IF(B2299="","",IFERROR(INDEX(Jeux!$C$2:$C$3001,MATCH(B2299,Jeux!$A$2:$A$3001,0))&amp;"","⚠ jeu inconnu"))</f>
        <v/>
      </c>
      <c r="H2299" s="27" t="str">
        <f aca="false">IF(B2299="","",IFERROR(INDEX(Jeux!$D$2:$D$3001,MATCH(B2299,Jeux!$A$2:$A$3001,0))&amp;"",""))</f>
        <v/>
      </c>
      <c r="I2299" s="26" t="str">
        <f aca="false">IF(A2299="","",COUNTIF(Apparitions!$G$2:$G$5001,A2299))</f>
        <v/>
      </c>
      <c r="J2299" s="26" t="str">
        <f aca="false">IF(A2299="","",COUNTIFS(Apparitions!$G$2:$G$5001,A2299,Apparitions!$E$2:$E$5001,"○"))</f>
        <v/>
      </c>
      <c r="K2299" s="29" t="str">
        <f aca="false">IF(A2299="","",IFERROR(1/(1/_xlfn.MINIFS(Apparitions!$L$2:$L$5001,Apparitions!$G$2:$G$5001,A2299)),""))</f>
        <v/>
      </c>
      <c r="L2299" s="27" t="str">
        <f aca="false">IF(A2299="","",A2299&amp;" | "&amp;B2299&amp;IF(C2299="",""," ("&amp;C2299&amp;")")&amp;IF(D2299="",""," - "&amp;D2299))</f>
        <v/>
      </c>
    </row>
    <row r="2300" customFormat="false" ht="15" hidden="false" customHeight="false" outlineLevel="0" collapsed="false">
      <c r="A2300" s="32"/>
      <c r="B2300" s="19"/>
      <c r="C2300" s="19"/>
      <c r="D2300" s="19"/>
      <c r="E2300" s="21"/>
      <c r="F2300" s="19"/>
      <c r="G2300" s="27" t="str">
        <f aca="false">IF(B2300="","",IFERROR(INDEX(Jeux!$C$2:$C$3001,MATCH(B2300,Jeux!$A$2:$A$3001,0))&amp;"","⚠ jeu inconnu"))</f>
        <v/>
      </c>
      <c r="H2300" s="27" t="str">
        <f aca="false">IF(B2300="","",IFERROR(INDEX(Jeux!$D$2:$D$3001,MATCH(B2300,Jeux!$A$2:$A$3001,0))&amp;"",""))</f>
        <v/>
      </c>
      <c r="I2300" s="26" t="str">
        <f aca="false">IF(A2300="","",COUNTIF(Apparitions!$G$2:$G$5001,A2300))</f>
        <v/>
      </c>
      <c r="J2300" s="26" t="str">
        <f aca="false">IF(A2300="","",COUNTIFS(Apparitions!$G$2:$G$5001,A2300,Apparitions!$E$2:$E$5001,"○"))</f>
        <v/>
      </c>
      <c r="K2300" s="29" t="str">
        <f aca="false">IF(A2300="","",IFERROR(1/(1/_xlfn.MINIFS(Apparitions!$L$2:$L$5001,Apparitions!$G$2:$G$5001,A2300)),""))</f>
        <v/>
      </c>
      <c r="L2300" s="27" t="str">
        <f aca="false">IF(A2300="","",A2300&amp;" | "&amp;B2300&amp;IF(C2300="",""," ("&amp;C2300&amp;")")&amp;IF(D2300="",""," - "&amp;D2300))</f>
        <v/>
      </c>
    </row>
    <row r="2301" customFormat="false" ht="15" hidden="false" customHeight="false" outlineLevel="0" collapsed="false">
      <c r="A2301" s="32"/>
      <c r="B2301" s="19"/>
      <c r="C2301" s="19"/>
      <c r="D2301" s="19"/>
      <c r="E2301" s="21"/>
      <c r="F2301" s="19"/>
      <c r="G2301" s="27" t="str">
        <f aca="false">IF(B2301="","",IFERROR(INDEX(Jeux!$C$2:$C$3001,MATCH(B2301,Jeux!$A$2:$A$3001,0))&amp;"","⚠ jeu inconnu"))</f>
        <v/>
      </c>
      <c r="H2301" s="27" t="str">
        <f aca="false">IF(B2301="","",IFERROR(INDEX(Jeux!$D$2:$D$3001,MATCH(B2301,Jeux!$A$2:$A$3001,0))&amp;"",""))</f>
        <v/>
      </c>
      <c r="I2301" s="26" t="str">
        <f aca="false">IF(A2301="","",COUNTIF(Apparitions!$G$2:$G$5001,A2301))</f>
        <v/>
      </c>
      <c r="J2301" s="26" t="str">
        <f aca="false">IF(A2301="","",COUNTIFS(Apparitions!$G$2:$G$5001,A2301,Apparitions!$E$2:$E$5001,"○"))</f>
        <v/>
      </c>
      <c r="K2301" s="29" t="str">
        <f aca="false">IF(A2301="","",IFERROR(1/(1/_xlfn.MINIFS(Apparitions!$L$2:$L$5001,Apparitions!$G$2:$G$5001,A2301)),""))</f>
        <v/>
      </c>
      <c r="L2301" s="27" t="str">
        <f aca="false">IF(A2301="","",A2301&amp;" | "&amp;B2301&amp;IF(C2301="",""," ("&amp;C2301&amp;")")&amp;IF(D2301="",""," - "&amp;D2301))</f>
        <v/>
      </c>
    </row>
    <row r="2302" customFormat="false" ht="15" hidden="false" customHeight="false" outlineLevel="0" collapsed="false">
      <c r="A2302" s="32"/>
      <c r="B2302" s="19"/>
      <c r="C2302" s="19"/>
      <c r="D2302" s="19"/>
      <c r="E2302" s="21"/>
      <c r="F2302" s="19"/>
      <c r="G2302" s="27" t="str">
        <f aca="false">IF(B2302="","",IFERROR(INDEX(Jeux!$C$2:$C$3001,MATCH(B2302,Jeux!$A$2:$A$3001,0))&amp;"","⚠ jeu inconnu"))</f>
        <v/>
      </c>
      <c r="H2302" s="27" t="str">
        <f aca="false">IF(B2302="","",IFERROR(INDEX(Jeux!$D$2:$D$3001,MATCH(B2302,Jeux!$A$2:$A$3001,0))&amp;"",""))</f>
        <v/>
      </c>
      <c r="I2302" s="26" t="str">
        <f aca="false">IF(A2302="","",COUNTIF(Apparitions!$G$2:$G$5001,A2302))</f>
        <v/>
      </c>
      <c r="J2302" s="26" t="str">
        <f aca="false">IF(A2302="","",COUNTIFS(Apparitions!$G$2:$G$5001,A2302,Apparitions!$E$2:$E$5001,"○"))</f>
        <v/>
      </c>
      <c r="K2302" s="29" t="str">
        <f aca="false">IF(A2302="","",IFERROR(1/(1/_xlfn.MINIFS(Apparitions!$L$2:$L$5001,Apparitions!$G$2:$G$5001,A2302)),""))</f>
        <v/>
      </c>
      <c r="L2302" s="27" t="str">
        <f aca="false">IF(A2302="","",A2302&amp;" | "&amp;B2302&amp;IF(C2302="",""," ("&amp;C2302&amp;")")&amp;IF(D2302="",""," - "&amp;D2302))</f>
        <v/>
      </c>
    </row>
    <row r="2303" customFormat="false" ht="15" hidden="false" customHeight="false" outlineLevel="0" collapsed="false">
      <c r="A2303" s="32"/>
      <c r="B2303" s="19"/>
      <c r="C2303" s="19"/>
      <c r="D2303" s="19"/>
      <c r="E2303" s="21"/>
      <c r="F2303" s="19"/>
      <c r="G2303" s="27" t="str">
        <f aca="false">IF(B2303="","",IFERROR(INDEX(Jeux!$C$2:$C$3001,MATCH(B2303,Jeux!$A$2:$A$3001,0))&amp;"","⚠ jeu inconnu"))</f>
        <v/>
      </c>
      <c r="H2303" s="27" t="str">
        <f aca="false">IF(B2303="","",IFERROR(INDEX(Jeux!$D$2:$D$3001,MATCH(B2303,Jeux!$A$2:$A$3001,0))&amp;"",""))</f>
        <v/>
      </c>
      <c r="I2303" s="26" t="str">
        <f aca="false">IF(A2303="","",COUNTIF(Apparitions!$G$2:$G$5001,A2303))</f>
        <v/>
      </c>
      <c r="J2303" s="26" t="str">
        <f aca="false">IF(A2303="","",COUNTIFS(Apparitions!$G$2:$G$5001,A2303,Apparitions!$E$2:$E$5001,"○"))</f>
        <v/>
      </c>
      <c r="K2303" s="29" t="str">
        <f aca="false">IF(A2303="","",IFERROR(1/(1/_xlfn.MINIFS(Apparitions!$L$2:$L$5001,Apparitions!$G$2:$G$5001,A2303)),""))</f>
        <v/>
      </c>
      <c r="L2303" s="27" t="str">
        <f aca="false">IF(A2303="","",A2303&amp;" | "&amp;B2303&amp;IF(C2303="",""," ("&amp;C2303&amp;")")&amp;IF(D2303="",""," - "&amp;D2303))</f>
        <v/>
      </c>
    </row>
    <row r="2304" customFormat="false" ht="15" hidden="false" customHeight="false" outlineLevel="0" collapsed="false">
      <c r="A2304" s="32"/>
      <c r="B2304" s="19"/>
      <c r="C2304" s="19"/>
      <c r="D2304" s="19"/>
      <c r="E2304" s="21"/>
      <c r="F2304" s="19"/>
      <c r="G2304" s="27" t="str">
        <f aca="false">IF(B2304="","",IFERROR(INDEX(Jeux!$C$2:$C$3001,MATCH(B2304,Jeux!$A$2:$A$3001,0))&amp;"","⚠ jeu inconnu"))</f>
        <v/>
      </c>
      <c r="H2304" s="27" t="str">
        <f aca="false">IF(B2304="","",IFERROR(INDEX(Jeux!$D$2:$D$3001,MATCH(B2304,Jeux!$A$2:$A$3001,0))&amp;"",""))</f>
        <v/>
      </c>
      <c r="I2304" s="26" t="str">
        <f aca="false">IF(A2304="","",COUNTIF(Apparitions!$G$2:$G$5001,A2304))</f>
        <v/>
      </c>
      <c r="J2304" s="26" t="str">
        <f aca="false">IF(A2304="","",COUNTIFS(Apparitions!$G$2:$G$5001,A2304,Apparitions!$E$2:$E$5001,"○"))</f>
        <v/>
      </c>
      <c r="K2304" s="29" t="str">
        <f aca="false">IF(A2304="","",IFERROR(1/(1/_xlfn.MINIFS(Apparitions!$L$2:$L$5001,Apparitions!$G$2:$G$5001,A2304)),""))</f>
        <v/>
      </c>
      <c r="L2304" s="27" t="str">
        <f aca="false">IF(A2304="","",A2304&amp;" | "&amp;B2304&amp;IF(C2304="",""," ("&amp;C2304&amp;")")&amp;IF(D2304="",""," - "&amp;D2304))</f>
        <v/>
      </c>
    </row>
    <row r="2305" customFormat="false" ht="15" hidden="false" customHeight="false" outlineLevel="0" collapsed="false">
      <c r="A2305" s="32"/>
      <c r="B2305" s="19"/>
      <c r="C2305" s="19"/>
      <c r="D2305" s="19"/>
      <c r="E2305" s="21"/>
      <c r="F2305" s="19"/>
      <c r="G2305" s="27" t="str">
        <f aca="false">IF(B2305="","",IFERROR(INDEX(Jeux!$C$2:$C$3001,MATCH(B2305,Jeux!$A$2:$A$3001,0))&amp;"","⚠ jeu inconnu"))</f>
        <v/>
      </c>
      <c r="H2305" s="27" t="str">
        <f aca="false">IF(B2305="","",IFERROR(INDEX(Jeux!$D$2:$D$3001,MATCH(B2305,Jeux!$A$2:$A$3001,0))&amp;"",""))</f>
        <v/>
      </c>
      <c r="I2305" s="26" t="str">
        <f aca="false">IF(A2305="","",COUNTIF(Apparitions!$G$2:$G$5001,A2305))</f>
        <v/>
      </c>
      <c r="J2305" s="26" t="str">
        <f aca="false">IF(A2305="","",COUNTIFS(Apparitions!$G$2:$G$5001,A2305,Apparitions!$E$2:$E$5001,"○"))</f>
        <v/>
      </c>
      <c r="K2305" s="29" t="str">
        <f aca="false">IF(A2305="","",IFERROR(1/(1/_xlfn.MINIFS(Apparitions!$L$2:$L$5001,Apparitions!$G$2:$G$5001,A2305)),""))</f>
        <v/>
      </c>
      <c r="L2305" s="27" t="str">
        <f aca="false">IF(A2305="","",A2305&amp;" | "&amp;B2305&amp;IF(C2305="",""," ("&amp;C2305&amp;")")&amp;IF(D2305="",""," - "&amp;D2305))</f>
        <v/>
      </c>
    </row>
    <row r="2306" customFormat="false" ht="15" hidden="false" customHeight="false" outlineLevel="0" collapsed="false">
      <c r="A2306" s="32"/>
      <c r="B2306" s="19"/>
      <c r="C2306" s="19"/>
      <c r="D2306" s="19"/>
      <c r="E2306" s="21"/>
      <c r="F2306" s="19"/>
      <c r="G2306" s="27" t="str">
        <f aca="false">IF(B2306="","",IFERROR(INDEX(Jeux!$C$2:$C$3001,MATCH(B2306,Jeux!$A$2:$A$3001,0))&amp;"","⚠ jeu inconnu"))</f>
        <v/>
      </c>
      <c r="H2306" s="27" t="str">
        <f aca="false">IF(B2306="","",IFERROR(INDEX(Jeux!$D$2:$D$3001,MATCH(B2306,Jeux!$A$2:$A$3001,0))&amp;"",""))</f>
        <v/>
      </c>
      <c r="I2306" s="26" t="str">
        <f aca="false">IF(A2306="","",COUNTIF(Apparitions!$G$2:$G$5001,A2306))</f>
        <v/>
      </c>
      <c r="J2306" s="26" t="str">
        <f aca="false">IF(A2306="","",COUNTIFS(Apparitions!$G$2:$G$5001,A2306,Apparitions!$E$2:$E$5001,"○"))</f>
        <v/>
      </c>
      <c r="K2306" s="29" t="str">
        <f aca="false">IF(A2306="","",IFERROR(1/(1/_xlfn.MINIFS(Apparitions!$L$2:$L$5001,Apparitions!$G$2:$G$5001,A2306)),""))</f>
        <v/>
      </c>
      <c r="L2306" s="27" t="str">
        <f aca="false">IF(A2306="","",A2306&amp;" | "&amp;B2306&amp;IF(C2306="",""," ("&amp;C2306&amp;")")&amp;IF(D2306="",""," - "&amp;D2306))</f>
        <v/>
      </c>
    </row>
    <row r="2307" customFormat="false" ht="15" hidden="false" customHeight="false" outlineLevel="0" collapsed="false">
      <c r="A2307" s="32"/>
      <c r="B2307" s="19"/>
      <c r="C2307" s="19"/>
      <c r="D2307" s="19"/>
      <c r="E2307" s="21"/>
      <c r="F2307" s="19"/>
      <c r="G2307" s="27" t="str">
        <f aca="false">IF(B2307="","",IFERROR(INDEX(Jeux!$C$2:$C$3001,MATCH(B2307,Jeux!$A$2:$A$3001,0))&amp;"","⚠ jeu inconnu"))</f>
        <v/>
      </c>
      <c r="H2307" s="27" t="str">
        <f aca="false">IF(B2307="","",IFERROR(INDEX(Jeux!$D$2:$D$3001,MATCH(B2307,Jeux!$A$2:$A$3001,0))&amp;"",""))</f>
        <v/>
      </c>
      <c r="I2307" s="26" t="str">
        <f aca="false">IF(A2307="","",COUNTIF(Apparitions!$G$2:$G$5001,A2307))</f>
        <v/>
      </c>
      <c r="J2307" s="26" t="str">
        <f aca="false">IF(A2307="","",COUNTIFS(Apparitions!$G$2:$G$5001,A2307,Apparitions!$E$2:$E$5001,"○"))</f>
        <v/>
      </c>
      <c r="K2307" s="29" t="str">
        <f aca="false">IF(A2307="","",IFERROR(1/(1/_xlfn.MINIFS(Apparitions!$L$2:$L$5001,Apparitions!$G$2:$G$5001,A2307)),""))</f>
        <v/>
      </c>
      <c r="L2307" s="27" t="str">
        <f aca="false">IF(A2307="","",A2307&amp;" | "&amp;B2307&amp;IF(C2307="",""," ("&amp;C2307&amp;")")&amp;IF(D2307="",""," - "&amp;D2307))</f>
        <v/>
      </c>
    </row>
    <row r="2308" customFormat="false" ht="15" hidden="false" customHeight="false" outlineLevel="0" collapsed="false">
      <c r="A2308" s="32"/>
      <c r="B2308" s="19"/>
      <c r="C2308" s="19"/>
      <c r="D2308" s="19"/>
      <c r="E2308" s="21"/>
      <c r="F2308" s="19"/>
      <c r="G2308" s="27" t="str">
        <f aca="false">IF(B2308="","",IFERROR(INDEX(Jeux!$C$2:$C$3001,MATCH(B2308,Jeux!$A$2:$A$3001,0))&amp;"","⚠ jeu inconnu"))</f>
        <v/>
      </c>
      <c r="H2308" s="27" t="str">
        <f aca="false">IF(B2308="","",IFERROR(INDEX(Jeux!$D$2:$D$3001,MATCH(B2308,Jeux!$A$2:$A$3001,0))&amp;"",""))</f>
        <v/>
      </c>
      <c r="I2308" s="26" t="str">
        <f aca="false">IF(A2308="","",COUNTIF(Apparitions!$G$2:$G$5001,A2308))</f>
        <v/>
      </c>
      <c r="J2308" s="26" t="str">
        <f aca="false">IF(A2308="","",COUNTIFS(Apparitions!$G$2:$G$5001,A2308,Apparitions!$E$2:$E$5001,"○"))</f>
        <v/>
      </c>
      <c r="K2308" s="29" t="str">
        <f aca="false">IF(A2308="","",IFERROR(1/(1/_xlfn.MINIFS(Apparitions!$L$2:$L$5001,Apparitions!$G$2:$G$5001,A2308)),""))</f>
        <v/>
      </c>
      <c r="L2308" s="27" t="str">
        <f aca="false">IF(A2308="","",A2308&amp;" | "&amp;B2308&amp;IF(C2308="",""," ("&amp;C2308&amp;")")&amp;IF(D2308="",""," - "&amp;D2308))</f>
        <v/>
      </c>
    </row>
    <row r="2309" customFormat="false" ht="15" hidden="false" customHeight="false" outlineLevel="0" collapsed="false">
      <c r="A2309" s="32"/>
      <c r="B2309" s="19"/>
      <c r="C2309" s="19"/>
      <c r="D2309" s="19"/>
      <c r="E2309" s="21"/>
      <c r="F2309" s="19"/>
      <c r="G2309" s="27" t="str">
        <f aca="false">IF(B2309="","",IFERROR(INDEX(Jeux!$C$2:$C$3001,MATCH(B2309,Jeux!$A$2:$A$3001,0))&amp;"","⚠ jeu inconnu"))</f>
        <v/>
      </c>
      <c r="H2309" s="27" t="str">
        <f aca="false">IF(B2309="","",IFERROR(INDEX(Jeux!$D$2:$D$3001,MATCH(B2309,Jeux!$A$2:$A$3001,0))&amp;"",""))</f>
        <v/>
      </c>
      <c r="I2309" s="26" t="str">
        <f aca="false">IF(A2309="","",COUNTIF(Apparitions!$G$2:$G$5001,A2309))</f>
        <v/>
      </c>
      <c r="J2309" s="26" t="str">
        <f aca="false">IF(A2309="","",COUNTIFS(Apparitions!$G$2:$G$5001,A2309,Apparitions!$E$2:$E$5001,"○"))</f>
        <v/>
      </c>
      <c r="K2309" s="29" t="str">
        <f aca="false">IF(A2309="","",IFERROR(1/(1/_xlfn.MINIFS(Apparitions!$L$2:$L$5001,Apparitions!$G$2:$G$5001,A2309)),""))</f>
        <v/>
      </c>
      <c r="L2309" s="27" t="str">
        <f aca="false">IF(A2309="","",A2309&amp;" | "&amp;B2309&amp;IF(C2309="",""," ("&amp;C2309&amp;")")&amp;IF(D2309="",""," - "&amp;D2309))</f>
        <v/>
      </c>
    </row>
    <row r="2310" customFormat="false" ht="15" hidden="false" customHeight="false" outlineLevel="0" collapsed="false">
      <c r="A2310" s="32"/>
      <c r="B2310" s="19"/>
      <c r="C2310" s="19"/>
      <c r="D2310" s="19"/>
      <c r="E2310" s="21"/>
      <c r="F2310" s="19"/>
      <c r="G2310" s="27" t="str">
        <f aca="false">IF(B2310="","",IFERROR(INDEX(Jeux!$C$2:$C$3001,MATCH(B2310,Jeux!$A$2:$A$3001,0))&amp;"","⚠ jeu inconnu"))</f>
        <v/>
      </c>
      <c r="H2310" s="27" t="str">
        <f aca="false">IF(B2310="","",IFERROR(INDEX(Jeux!$D$2:$D$3001,MATCH(B2310,Jeux!$A$2:$A$3001,0))&amp;"",""))</f>
        <v/>
      </c>
      <c r="I2310" s="26" t="str">
        <f aca="false">IF(A2310="","",COUNTIF(Apparitions!$G$2:$G$5001,A2310))</f>
        <v/>
      </c>
      <c r="J2310" s="26" t="str">
        <f aca="false">IF(A2310="","",COUNTIFS(Apparitions!$G$2:$G$5001,A2310,Apparitions!$E$2:$E$5001,"○"))</f>
        <v/>
      </c>
      <c r="K2310" s="29" t="str">
        <f aca="false">IF(A2310="","",IFERROR(1/(1/_xlfn.MINIFS(Apparitions!$L$2:$L$5001,Apparitions!$G$2:$G$5001,A2310)),""))</f>
        <v/>
      </c>
      <c r="L2310" s="27" t="str">
        <f aca="false">IF(A2310="","",A2310&amp;" | "&amp;B2310&amp;IF(C2310="",""," ("&amp;C2310&amp;")")&amp;IF(D2310="",""," - "&amp;D2310))</f>
        <v/>
      </c>
    </row>
    <row r="2311" customFormat="false" ht="15" hidden="false" customHeight="false" outlineLevel="0" collapsed="false">
      <c r="A2311" s="32"/>
      <c r="B2311" s="19"/>
      <c r="C2311" s="19"/>
      <c r="D2311" s="19"/>
      <c r="E2311" s="21"/>
      <c r="F2311" s="19"/>
      <c r="G2311" s="27" t="str">
        <f aca="false">IF(B2311="","",IFERROR(INDEX(Jeux!$C$2:$C$3001,MATCH(B2311,Jeux!$A$2:$A$3001,0))&amp;"","⚠ jeu inconnu"))</f>
        <v/>
      </c>
      <c r="H2311" s="27" t="str">
        <f aca="false">IF(B2311="","",IFERROR(INDEX(Jeux!$D$2:$D$3001,MATCH(B2311,Jeux!$A$2:$A$3001,0))&amp;"",""))</f>
        <v/>
      </c>
      <c r="I2311" s="26" t="str">
        <f aca="false">IF(A2311="","",COUNTIF(Apparitions!$G$2:$G$5001,A2311))</f>
        <v/>
      </c>
      <c r="J2311" s="26" t="str">
        <f aca="false">IF(A2311="","",COUNTIFS(Apparitions!$G$2:$G$5001,A2311,Apparitions!$E$2:$E$5001,"○"))</f>
        <v/>
      </c>
      <c r="K2311" s="29" t="str">
        <f aca="false">IF(A2311="","",IFERROR(1/(1/_xlfn.MINIFS(Apparitions!$L$2:$L$5001,Apparitions!$G$2:$G$5001,A2311)),""))</f>
        <v/>
      </c>
      <c r="L2311" s="27" t="str">
        <f aca="false">IF(A2311="","",A2311&amp;" | "&amp;B2311&amp;IF(C2311="",""," ("&amp;C2311&amp;")")&amp;IF(D2311="",""," - "&amp;D2311))</f>
        <v/>
      </c>
    </row>
    <row r="2312" customFormat="false" ht="15" hidden="false" customHeight="false" outlineLevel="0" collapsed="false">
      <c r="A2312" s="32"/>
      <c r="B2312" s="19"/>
      <c r="C2312" s="19"/>
      <c r="D2312" s="19"/>
      <c r="E2312" s="21"/>
      <c r="F2312" s="19"/>
      <c r="G2312" s="27" t="str">
        <f aca="false">IF(B2312="","",IFERROR(INDEX(Jeux!$C$2:$C$3001,MATCH(B2312,Jeux!$A$2:$A$3001,0))&amp;"","⚠ jeu inconnu"))</f>
        <v/>
      </c>
      <c r="H2312" s="27" t="str">
        <f aca="false">IF(B2312="","",IFERROR(INDEX(Jeux!$D$2:$D$3001,MATCH(B2312,Jeux!$A$2:$A$3001,0))&amp;"",""))</f>
        <v/>
      </c>
      <c r="I2312" s="26" t="str">
        <f aca="false">IF(A2312="","",COUNTIF(Apparitions!$G$2:$G$5001,A2312))</f>
        <v/>
      </c>
      <c r="J2312" s="26" t="str">
        <f aca="false">IF(A2312="","",COUNTIFS(Apparitions!$G$2:$G$5001,A2312,Apparitions!$E$2:$E$5001,"○"))</f>
        <v/>
      </c>
      <c r="K2312" s="29" t="str">
        <f aca="false">IF(A2312="","",IFERROR(1/(1/_xlfn.MINIFS(Apparitions!$L$2:$L$5001,Apparitions!$G$2:$G$5001,A2312)),""))</f>
        <v/>
      </c>
      <c r="L2312" s="27" t="str">
        <f aca="false">IF(A2312="","",A2312&amp;" | "&amp;B2312&amp;IF(C2312="",""," ("&amp;C2312&amp;")")&amp;IF(D2312="",""," - "&amp;D2312))</f>
        <v/>
      </c>
    </row>
    <row r="2313" customFormat="false" ht="15" hidden="false" customHeight="false" outlineLevel="0" collapsed="false">
      <c r="A2313" s="32"/>
      <c r="B2313" s="19"/>
      <c r="C2313" s="19"/>
      <c r="D2313" s="19"/>
      <c r="E2313" s="21"/>
      <c r="F2313" s="19"/>
      <c r="G2313" s="27" t="str">
        <f aca="false">IF(B2313="","",IFERROR(INDEX(Jeux!$C$2:$C$3001,MATCH(B2313,Jeux!$A$2:$A$3001,0))&amp;"","⚠ jeu inconnu"))</f>
        <v/>
      </c>
      <c r="H2313" s="27" t="str">
        <f aca="false">IF(B2313="","",IFERROR(INDEX(Jeux!$D$2:$D$3001,MATCH(B2313,Jeux!$A$2:$A$3001,0))&amp;"",""))</f>
        <v/>
      </c>
      <c r="I2313" s="26" t="str">
        <f aca="false">IF(A2313="","",COUNTIF(Apparitions!$G$2:$G$5001,A2313))</f>
        <v/>
      </c>
      <c r="J2313" s="26" t="str">
        <f aca="false">IF(A2313="","",COUNTIFS(Apparitions!$G$2:$G$5001,A2313,Apparitions!$E$2:$E$5001,"○"))</f>
        <v/>
      </c>
      <c r="K2313" s="29" t="str">
        <f aca="false">IF(A2313="","",IFERROR(1/(1/_xlfn.MINIFS(Apparitions!$L$2:$L$5001,Apparitions!$G$2:$G$5001,A2313)),""))</f>
        <v/>
      </c>
      <c r="L2313" s="27" t="str">
        <f aca="false">IF(A2313="","",A2313&amp;" | "&amp;B2313&amp;IF(C2313="",""," ("&amp;C2313&amp;")")&amp;IF(D2313="",""," - "&amp;D2313))</f>
        <v/>
      </c>
    </row>
    <row r="2314" customFormat="false" ht="15" hidden="false" customHeight="false" outlineLevel="0" collapsed="false">
      <c r="A2314" s="32"/>
      <c r="B2314" s="19"/>
      <c r="C2314" s="19"/>
      <c r="D2314" s="19"/>
      <c r="E2314" s="21"/>
      <c r="F2314" s="19"/>
      <c r="G2314" s="27" t="str">
        <f aca="false">IF(B2314="","",IFERROR(INDEX(Jeux!$C$2:$C$3001,MATCH(B2314,Jeux!$A$2:$A$3001,0))&amp;"","⚠ jeu inconnu"))</f>
        <v/>
      </c>
      <c r="H2314" s="27" t="str">
        <f aca="false">IF(B2314="","",IFERROR(INDEX(Jeux!$D$2:$D$3001,MATCH(B2314,Jeux!$A$2:$A$3001,0))&amp;"",""))</f>
        <v/>
      </c>
      <c r="I2314" s="26" t="str">
        <f aca="false">IF(A2314="","",COUNTIF(Apparitions!$G$2:$G$5001,A2314))</f>
        <v/>
      </c>
      <c r="J2314" s="26" t="str">
        <f aca="false">IF(A2314="","",COUNTIFS(Apparitions!$G$2:$G$5001,A2314,Apparitions!$E$2:$E$5001,"○"))</f>
        <v/>
      </c>
      <c r="K2314" s="29" t="str">
        <f aca="false">IF(A2314="","",IFERROR(1/(1/_xlfn.MINIFS(Apparitions!$L$2:$L$5001,Apparitions!$G$2:$G$5001,A2314)),""))</f>
        <v/>
      </c>
      <c r="L2314" s="27" t="str">
        <f aca="false">IF(A2314="","",A2314&amp;" | "&amp;B2314&amp;IF(C2314="",""," ("&amp;C2314&amp;")")&amp;IF(D2314="",""," - "&amp;D2314))</f>
        <v/>
      </c>
    </row>
    <row r="2315" customFormat="false" ht="15" hidden="false" customHeight="false" outlineLevel="0" collapsed="false">
      <c r="A2315" s="32"/>
      <c r="B2315" s="19"/>
      <c r="C2315" s="19"/>
      <c r="D2315" s="19"/>
      <c r="E2315" s="21"/>
      <c r="F2315" s="19"/>
      <c r="G2315" s="27" t="str">
        <f aca="false">IF(B2315="","",IFERROR(INDEX(Jeux!$C$2:$C$3001,MATCH(B2315,Jeux!$A$2:$A$3001,0))&amp;"","⚠ jeu inconnu"))</f>
        <v/>
      </c>
      <c r="H2315" s="27" t="str">
        <f aca="false">IF(B2315="","",IFERROR(INDEX(Jeux!$D$2:$D$3001,MATCH(B2315,Jeux!$A$2:$A$3001,0))&amp;"",""))</f>
        <v/>
      </c>
      <c r="I2315" s="26" t="str">
        <f aca="false">IF(A2315="","",COUNTIF(Apparitions!$G$2:$G$5001,A2315))</f>
        <v/>
      </c>
      <c r="J2315" s="26" t="str">
        <f aca="false">IF(A2315="","",COUNTIFS(Apparitions!$G$2:$G$5001,A2315,Apparitions!$E$2:$E$5001,"○"))</f>
        <v/>
      </c>
      <c r="K2315" s="29" t="str">
        <f aca="false">IF(A2315="","",IFERROR(1/(1/_xlfn.MINIFS(Apparitions!$L$2:$L$5001,Apparitions!$G$2:$G$5001,A2315)),""))</f>
        <v/>
      </c>
      <c r="L2315" s="27" t="str">
        <f aca="false">IF(A2315="","",A2315&amp;" | "&amp;B2315&amp;IF(C2315="",""," ("&amp;C2315&amp;")")&amp;IF(D2315="",""," - "&amp;D2315))</f>
        <v/>
      </c>
    </row>
    <row r="2316" customFormat="false" ht="15" hidden="false" customHeight="false" outlineLevel="0" collapsed="false">
      <c r="A2316" s="32"/>
      <c r="B2316" s="19"/>
      <c r="C2316" s="19"/>
      <c r="D2316" s="19"/>
      <c r="E2316" s="21"/>
      <c r="F2316" s="19"/>
      <c r="G2316" s="27" t="str">
        <f aca="false">IF(B2316="","",IFERROR(INDEX(Jeux!$C$2:$C$3001,MATCH(B2316,Jeux!$A$2:$A$3001,0))&amp;"","⚠ jeu inconnu"))</f>
        <v/>
      </c>
      <c r="H2316" s="27" t="str">
        <f aca="false">IF(B2316="","",IFERROR(INDEX(Jeux!$D$2:$D$3001,MATCH(B2316,Jeux!$A$2:$A$3001,0))&amp;"",""))</f>
        <v/>
      </c>
      <c r="I2316" s="26" t="str">
        <f aca="false">IF(A2316="","",COUNTIF(Apparitions!$G$2:$G$5001,A2316))</f>
        <v/>
      </c>
      <c r="J2316" s="26" t="str">
        <f aca="false">IF(A2316="","",COUNTIFS(Apparitions!$G$2:$G$5001,A2316,Apparitions!$E$2:$E$5001,"○"))</f>
        <v/>
      </c>
      <c r="K2316" s="29" t="str">
        <f aca="false">IF(A2316="","",IFERROR(1/(1/_xlfn.MINIFS(Apparitions!$L$2:$L$5001,Apparitions!$G$2:$G$5001,A2316)),""))</f>
        <v/>
      </c>
      <c r="L2316" s="27" t="str">
        <f aca="false">IF(A2316="","",A2316&amp;" | "&amp;B2316&amp;IF(C2316="",""," ("&amp;C2316&amp;")")&amp;IF(D2316="",""," - "&amp;D2316))</f>
        <v/>
      </c>
    </row>
    <row r="2317" customFormat="false" ht="15" hidden="false" customHeight="false" outlineLevel="0" collapsed="false">
      <c r="A2317" s="32"/>
      <c r="B2317" s="19"/>
      <c r="C2317" s="19"/>
      <c r="D2317" s="19"/>
      <c r="E2317" s="21"/>
      <c r="F2317" s="19"/>
      <c r="G2317" s="27" t="str">
        <f aca="false">IF(B2317="","",IFERROR(INDEX(Jeux!$C$2:$C$3001,MATCH(B2317,Jeux!$A$2:$A$3001,0))&amp;"","⚠ jeu inconnu"))</f>
        <v/>
      </c>
      <c r="H2317" s="27" t="str">
        <f aca="false">IF(B2317="","",IFERROR(INDEX(Jeux!$D$2:$D$3001,MATCH(B2317,Jeux!$A$2:$A$3001,0))&amp;"",""))</f>
        <v/>
      </c>
      <c r="I2317" s="26" t="str">
        <f aca="false">IF(A2317="","",COUNTIF(Apparitions!$G$2:$G$5001,A2317))</f>
        <v/>
      </c>
      <c r="J2317" s="26" t="str">
        <f aca="false">IF(A2317="","",COUNTIFS(Apparitions!$G$2:$G$5001,A2317,Apparitions!$E$2:$E$5001,"○"))</f>
        <v/>
      </c>
      <c r="K2317" s="29" t="str">
        <f aca="false">IF(A2317="","",IFERROR(1/(1/_xlfn.MINIFS(Apparitions!$L$2:$L$5001,Apparitions!$G$2:$G$5001,A2317)),""))</f>
        <v/>
      </c>
      <c r="L2317" s="27" t="str">
        <f aca="false">IF(A2317="","",A2317&amp;" | "&amp;B2317&amp;IF(C2317="",""," ("&amp;C2317&amp;")")&amp;IF(D2317="",""," - "&amp;D2317))</f>
        <v/>
      </c>
    </row>
    <row r="2318" customFormat="false" ht="15" hidden="false" customHeight="false" outlineLevel="0" collapsed="false">
      <c r="A2318" s="32"/>
      <c r="B2318" s="19"/>
      <c r="C2318" s="19"/>
      <c r="D2318" s="19"/>
      <c r="E2318" s="21"/>
      <c r="F2318" s="19"/>
      <c r="G2318" s="27" t="str">
        <f aca="false">IF(B2318="","",IFERROR(INDEX(Jeux!$C$2:$C$3001,MATCH(B2318,Jeux!$A$2:$A$3001,0))&amp;"","⚠ jeu inconnu"))</f>
        <v/>
      </c>
      <c r="H2318" s="27" t="str">
        <f aca="false">IF(B2318="","",IFERROR(INDEX(Jeux!$D$2:$D$3001,MATCH(B2318,Jeux!$A$2:$A$3001,0))&amp;"",""))</f>
        <v/>
      </c>
      <c r="I2318" s="26" t="str">
        <f aca="false">IF(A2318="","",COUNTIF(Apparitions!$G$2:$G$5001,A2318))</f>
        <v/>
      </c>
      <c r="J2318" s="26" t="str">
        <f aca="false">IF(A2318="","",COUNTIFS(Apparitions!$G$2:$G$5001,A2318,Apparitions!$E$2:$E$5001,"○"))</f>
        <v/>
      </c>
      <c r="K2318" s="29" t="str">
        <f aca="false">IF(A2318="","",IFERROR(1/(1/_xlfn.MINIFS(Apparitions!$L$2:$L$5001,Apparitions!$G$2:$G$5001,A2318)),""))</f>
        <v/>
      </c>
      <c r="L2318" s="27" t="str">
        <f aca="false">IF(A2318="","",A2318&amp;" | "&amp;B2318&amp;IF(C2318="",""," ("&amp;C2318&amp;")")&amp;IF(D2318="",""," - "&amp;D2318))</f>
        <v/>
      </c>
    </row>
    <row r="2319" customFormat="false" ht="15" hidden="false" customHeight="false" outlineLevel="0" collapsed="false">
      <c r="A2319" s="32"/>
      <c r="B2319" s="19"/>
      <c r="C2319" s="19"/>
      <c r="D2319" s="19"/>
      <c r="E2319" s="21"/>
      <c r="F2319" s="19"/>
      <c r="G2319" s="27" t="str">
        <f aca="false">IF(B2319="","",IFERROR(INDEX(Jeux!$C$2:$C$3001,MATCH(B2319,Jeux!$A$2:$A$3001,0))&amp;"","⚠ jeu inconnu"))</f>
        <v/>
      </c>
      <c r="H2319" s="27" t="str">
        <f aca="false">IF(B2319="","",IFERROR(INDEX(Jeux!$D$2:$D$3001,MATCH(B2319,Jeux!$A$2:$A$3001,0))&amp;"",""))</f>
        <v/>
      </c>
      <c r="I2319" s="26" t="str">
        <f aca="false">IF(A2319="","",COUNTIF(Apparitions!$G$2:$G$5001,A2319))</f>
        <v/>
      </c>
      <c r="J2319" s="26" t="str">
        <f aca="false">IF(A2319="","",COUNTIFS(Apparitions!$G$2:$G$5001,A2319,Apparitions!$E$2:$E$5001,"○"))</f>
        <v/>
      </c>
      <c r="K2319" s="29" t="str">
        <f aca="false">IF(A2319="","",IFERROR(1/(1/_xlfn.MINIFS(Apparitions!$L$2:$L$5001,Apparitions!$G$2:$G$5001,A2319)),""))</f>
        <v/>
      </c>
      <c r="L2319" s="27" t="str">
        <f aca="false">IF(A2319="","",A2319&amp;" | "&amp;B2319&amp;IF(C2319="",""," ("&amp;C2319&amp;")")&amp;IF(D2319="",""," - "&amp;D2319))</f>
        <v/>
      </c>
    </row>
    <row r="2320" customFormat="false" ht="15" hidden="false" customHeight="false" outlineLevel="0" collapsed="false">
      <c r="A2320" s="32"/>
      <c r="B2320" s="19"/>
      <c r="C2320" s="19"/>
      <c r="D2320" s="19"/>
      <c r="E2320" s="21"/>
      <c r="F2320" s="19"/>
      <c r="G2320" s="27" t="str">
        <f aca="false">IF(B2320="","",IFERROR(INDEX(Jeux!$C$2:$C$3001,MATCH(B2320,Jeux!$A$2:$A$3001,0))&amp;"","⚠ jeu inconnu"))</f>
        <v/>
      </c>
      <c r="H2320" s="27" t="str">
        <f aca="false">IF(B2320="","",IFERROR(INDEX(Jeux!$D$2:$D$3001,MATCH(B2320,Jeux!$A$2:$A$3001,0))&amp;"",""))</f>
        <v/>
      </c>
      <c r="I2320" s="26" t="str">
        <f aca="false">IF(A2320="","",COUNTIF(Apparitions!$G$2:$G$5001,A2320))</f>
        <v/>
      </c>
      <c r="J2320" s="26" t="str">
        <f aca="false">IF(A2320="","",COUNTIFS(Apparitions!$G$2:$G$5001,A2320,Apparitions!$E$2:$E$5001,"○"))</f>
        <v/>
      </c>
      <c r="K2320" s="29" t="str">
        <f aca="false">IF(A2320="","",IFERROR(1/(1/_xlfn.MINIFS(Apparitions!$L$2:$L$5001,Apparitions!$G$2:$G$5001,A2320)),""))</f>
        <v/>
      </c>
      <c r="L2320" s="27" t="str">
        <f aca="false">IF(A2320="","",A2320&amp;" | "&amp;B2320&amp;IF(C2320="",""," ("&amp;C2320&amp;")")&amp;IF(D2320="",""," - "&amp;D2320))</f>
        <v/>
      </c>
    </row>
    <row r="2321" customFormat="false" ht="15" hidden="false" customHeight="false" outlineLevel="0" collapsed="false">
      <c r="A2321" s="32"/>
      <c r="B2321" s="19"/>
      <c r="C2321" s="19"/>
      <c r="D2321" s="19"/>
      <c r="E2321" s="21"/>
      <c r="F2321" s="19"/>
      <c r="G2321" s="27" t="str">
        <f aca="false">IF(B2321="","",IFERROR(INDEX(Jeux!$C$2:$C$3001,MATCH(B2321,Jeux!$A$2:$A$3001,0))&amp;"","⚠ jeu inconnu"))</f>
        <v/>
      </c>
      <c r="H2321" s="27" t="str">
        <f aca="false">IF(B2321="","",IFERROR(INDEX(Jeux!$D$2:$D$3001,MATCH(B2321,Jeux!$A$2:$A$3001,0))&amp;"",""))</f>
        <v/>
      </c>
      <c r="I2321" s="26" t="str">
        <f aca="false">IF(A2321="","",COUNTIF(Apparitions!$G$2:$G$5001,A2321))</f>
        <v/>
      </c>
      <c r="J2321" s="26" t="str">
        <f aca="false">IF(A2321="","",COUNTIFS(Apparitions!$G$2:$G$5001,A2321,Apparitions!$E$2:$E$5001,"○"))</f>
        <v/>
      </c>
      <c r="K2321" s="29" t="str">
        <f aca="false">IF(A2321="","",IFERROR(1/(1/_xlfn.MINIFS(Apparitions!$L$2:$L$5001,Apparitions!$G$2:$G$5001,A2321)),""))</f>
        <v/>
      </c>
      <c r="L2321" s="27" t="str">
        <f aca="false">IF(A2321="","",A2321&amp;" | "&amp;B2321&amp;IF(C2321="",""," ("&amp;C2321&amp;")")&amp;IF(D2321="",""," - "&amp;D2321))</f>
        <v/>
      </c>
    </row>
    <row r="2322" customFormat="false" ht="15" hidden="false" customHeight="false" outlineLevel="0" collapsed="false">
      <c r="A2322" s="32"/>
      <c r="B2322" s="19"/>
      <c r="C2322" s="19"/>
      <c r="D2322" s="19"/>
      <c r="E2322" s="21"/>
      <c r="F2322" s="19"/>
      <c r="G2322" s="27" t="str">
        <f aca="false">IF(B2322="","",IFERROR(INDEX(Jeux!$C$2:$C$3001,MATCH(B2322,Jeux!$A$2:$A$3001,0))&amp;"","⚠ jeu inconnu"))</f>
        <v/>
      </c>
      <c r="H2322" s="27" t="str">
        <f aca="false">IF(B2322="","",IFERROR(INDEX(Jeux!$D$2:$D$3001,MATCH(B2322,Jeux!$A$2:$A$3001,0))&amp;"",""))</f>
        <v/>
      </c>
      <c r="I2322" s="26" t="str">
        <f aca="false">IF(A2322="","",COUNTIF(Apparitions!$G$2:$G$5001,A2322))</f>
        <v/>
      </c>
      <c r="J2322" s="26" t="str">
        <f aca="false">IF(A2322="","",COUNTIFS(Apparitions!$G$2:$G$5001,A2322,Apparitions!$E$2:$E$5001,"○"))</f>
        <v/>
      </c>
      <c r="K2322" s="29" t="str">
        <f aca="false">IF(A2322="","",IFERROR(1/(1/_xlfn.MINIFS(Apparitions!$L$2:$L$5001,Apparitions!$G$2:$G$5001,A2322)),""))</f>
        <v/>
      </c>
      <c r="L2322" s="27" t="str">
        <f aca="false">IF(A2322="","",A2322&amp;" | "&amp;B2322&amp;IF(C2322="",""," ("&amp;C2322&amp;")")&amp;IF(D2322="",""," - "&amp;D2322))</f>
        <v/>
      </c>
    </row>
    <row r="2323" customFormat="false" ht="15" hidden="false" customHeight="false" outlineLevel="0" collapsed="false">
      <c r="A2323" s="32"/>
      <c r="B2323" s="19"/>
      <c r="C2323" s="19"/>
      <c r="D2323" s="19"/>
      <c r="E2323" s="21"/>
      <c r="F2323" s="19"/>
      <c r="G2323" s="27" t="str">
        <f aca="false">IF(B2323="","",IFERROR(INDEX(Jeux!$C$2:$C$3001,MATCH(B2323,Jeux!$A$2:$A$3001,0))&amp;"","⚠ jeu inconnu"))</f>
        <v/>
      </c>
      <c r="H2323" s="27" t="str">
        <f aca="false">IF(B2323="","",IFERROR(INDEX(Jeux!$D$2:$D$3001,MATCH(B2323,Jeux!$A$2:$A$3001,0))&amp;"",""))</f>
        <v/>
      </c>
      <c r="I2323" s="26" t="str">
        <f aca="false">IF(A2323="","",COUNTIF(Apparitions!$G$2:$G$5001,A2323))</f>
        <v/>
      </c>
      <c r="J2323" s="26" t="str">
        <f aca="false">IF(A2323="","",COUNTIFS(Apparitions!$G$2:$G$5001,A2323,Apparitions!$E$2:$E$5001,"○"))</f>
        <v/>
      </c>
      <c r="K2323" s="29" t="str">
        <f aca="false">IF(A2323="","",IFERROR(1/(1/_xlfn.MINIFS(Apparitions!$L$2:$L$5001,Apparitions!$G$2:$G$5001,A2323)),""))</f>
        <v/>
      </c>
      <c r="L2323" s="27" t="str">
        <f aca="false">IF(A2323="","",A2323&amp;" | "&amp;B2323&amp;IF(C2323="",""," ("&amp;C2323&amp;")")&amp;IF(D2323="",""," - "&amp;D2323))</f>
        <v/>
      </c>
    </row>
    <row r="2324" customFormat="false" ht="15" hidden="false" customHeight="false" outlineLevel="0" collapsed="false">
      <c r="A2324" s="32"/>
      <c r="B2324" s="19"/>
      <c r="C2324" s="19"/>
      <c r="D2324" s="19"/>
      <c r="E2324" s="21"/>
      <c r="F2324" s="19"/>
      <c r="G2324" s="27" t="str">
        <f aca="false">IF(B2324="","",IFERROR(INDEX(Jeux!$C$2:$C$3001,MATCH(B2324,Jeux!$A$2:$A$3001,0))&amp;"","⚠ jeu inconnu"))</f>
        <v/>
      </c>
      <c r="H2324" s="27" t="str">
        <f aca="false">IF(B2324="","",IFERROR(INDEX(Jeux!$D$2:$D$3001,MATCH(B2324,Jeux!$A$2:$A$3001,0))&amp;"",""))</f>
        <v/>
      </c>
      <c r="I2324" s="26" t="str">
        <f aca="false">IF(A2324="","",COUNTIF(Apparitions!$G$2:$G$5001,A2324))</f>
        <v/>
      </c>
      <c r="J2324" s="26" t="str">
        <f aca="false">IF(A2324="","",COUNTIFS(Apparitions!$G$2:$G$5001,A2324,Apparitions!$E$2:$E$5001,"○"))</f>
        <v/>
      </c>
      <c r="K2324" s="29" t="str">
        <f aca="false">IF(A2324="","",IFERROR(1/(1/_xlfn.MINIFS(Apparitions!$L$2:$L$5001,Apparitions!$G$2:$G$5001,A2324)),""))</f>
        <v/>
      </c>
      <c r="L2324" s="27" t="str">
        <f aca="false">IF(A2324="","",A2324&amp;" | "&amp;B2324&amp;IF(C2324="",""," ("&amp;C2324&amp;")")&amp;IF(D2324="",""," - "&amp;D2324))</f>
        <v/>
      </c>
    </row>
    <row r="2325" customFormat="false" ht="15" hidden="false" customHeight="false" outlineLevel="0" collapsed="false">
      <c r="A2325" s="32"/>
      <c r="B2325" s="19"/>
      <c r="C2325" s="19"/>
      <c r="D2325" s="19"/>
      <c r="E2325" s="21"/>
      <c r="F2325" s="19"/>
      <c r="G2325" s="27" t="str">
        <f aca="false">IF(B2325="","",IFERROR(INDEX(Jeux!$C$2:$C$3001,MATCH(B2325,Jeux!$A$2:$A$3001,0))&amp;"","⚠ jeu inconnu"))</f>
        <v/>
      </c>
      <c r="H2325" s="27" t="str">
        <f aca="false">IF(B2325="","",IFERROR(INDEX(Jeux!$D$2:$D$3001,MATCH(B2325,Jeux!$A$2:$A$3001,0))&amp;"",""))</f>
        <v/>
      </c>
      <c r="I2325" s="26" t="str">
        <f aca="false">IF(A2325="","",COUNTIF(Apparitions!$G$2:$G$5001,A2325))</f>
        <v/>
      </c>
      <c r="J2325" s="26" t="str">
        <f aca="false">IF(A2325="","",COUNTIFS(Apparitions!$G$2:$G$5001,A2325,Apparitions!$E$2:$E$5001,"○"))</f>
        <v/>
      </c>
      <c r="K2325" s="29" t="str">
        <f aca="false">IF(A2325="","",IFERROR(1/(1/_xlfn.MINIFS(Apparitions!$L$2:$L$5001,Apparitions!$G$2:$G$5001,A2325)),""))</f>
        <v/>
      </c>
      <c r="L2325" s="27" t="str">
        <f aca="false">IF(A2325="","",A2325&amp;" | "&amp;B2325&amp;IF(C2325="",""," ("&amp;C2325&amp;")")&amp;IF(D2325="",""," - "&amp;D2325))</f>
        <v/>
      </c>
    </row>
    <row r="2326" customFormat="false" ht="15" hidden="false" customHeight="false" outlineLevel="0" collapsed="false">
      <c r="A2326" s="32"/>
      <c r="B2326" s="19"/>
      <c r="C2326" s="19"/>
      <c r="D2326" s="19"/>
      <c r="E2326" s="21"/>
      <c r="F2326" s="19"/>
      <c r="G2326" s="27" t="str">
        <f aca="false">IF(B2326="","",IFERROR(INDEX(Jeux!$C$2:$C$3001,MATCH(B2326,Jeux!$A$2:$A$3001,0))&amp;"","⚠ jeu inconnu"))</f>
        <v/>
      </c>
      <c r="H2326" s="27" t="str">
        <f aca="false">IF(B2326="","",IFERROR(INDEX(Jeux!$D$2:$D$3001,MATCH(B2326,Jeux!$A$2:$A$3001,0))&amp;"",""))</f>
        <v/>
      </c>
      <c r="I2326" s="26" t="str">
        <f aca="false">IF(A2326="","",COUNTIF(Apparitions!$G$2:$G$5001,A2326))</f>
        <v/>
      </c>
      <c r="J2326" s="26" t="str">
        <f aca="false">IF(A2326="","",COUNTIFS(Apparitions!$G$2:$G$5001,A2326,Apparitions!$E$2:$E$5001,"○"))</f>
        <v/>
      </c>
      <c r="K2326" s="29" t="str">
        <f aca="false">IF(A2326="","",IFERROR(1/(1/_xlfn.MINIFS(Apparitions!$L$2:$L$5001,Apparitions!$G$2:$G$5001,A2326)),""))</f>
        <v/>
      </c>
      <c r="L2326" s="27" t="str">
        <f aca="false">IF(A2326="","",A2326&amp;" | "&amp;B2326&amp;IF(C2326="",""," ("&amp;C2326&amp;")")&amp;IF(D2326="",""," - "&amp;D2326))</f>
        <v/>
      </c>
    </row>
    <row r="2327" customFormat="false" ht="15" hidden="false" customHeight="false" outlineLevel="0" collapsed="false">
      <c r="A2327" s="32"/>
      <c r="B2327" s="19"/>
      <c r="C2327" s="19"/>
      <c r="D2327" s="19"/>
      <c r="E2327" s="21"/>
      <c r="F2327" s="19"/>
      <c r="G2327" s="27" t="str">
        <f aca="false">IF(B2327="","",IFERROR(INDEX(Jeux!$C$2:$C$3001,MATCH(B2327,Jeux!$A$2:$A$3001,0))&amp;"","⚠ jeu inconnu"))</f>
        <v/>
      </c>
      <c r="H2327" s="27" t="str">
        <f aca="false">IF(B2327="","",IFERROR(INDEX(Jeux!$D$2:$D$3001,MATCH(B2327,Jeux!$A$2:$A$3001,0))&amp;"",""))</f>
        <v/>
      </c>
      <c r="I2327" s="26" t="str">
        <f aca="false">IF(A2327="","",COUNTIF(Apparitions!$G$2:$G$5001,A2327))</f>
        <v/>
      </c>
      <c r="J2327" s="26" t="str">
        <f aca="false">IF(A2327="","",COUNTIFS(Apparitions!$G$2:$G$5001,A2327,Apparitions!$E$2:$E$5001,"○"))</f>
        <v/>
      </c>
      <c r="K2327" s="29" t="str">
        <f aca="false">IF(A2327="","",IFERROR(1/(1/_xlfn.MINIFS(Apparitions!$L$2:$L$5001,Apparitions!$G$2:$G$5001,A2327)),""))</f>
        <v/>
      </c>
      <c r="L2327" s="27" t="str">
        <f aca="false">IF(A2327="","",A2327&amp;" | "&amp;B2327&amp;IF(C2327="",""," ("&amp;C2327&amp;")")&amp;IF(D2327="",""," - "&amp;D2327))</f>
        <v/>
      </c>
    </row>
    <row r="2328" customFormat="false" ht="15" hidden="false" customHeight="false" outlineLevel="0" collapsed="false">
      <c r="A2328" s="32"/>
      <c r="B2328" s="19"/>
      <c r="C2328" s="19"/>
      <c r="D2328" s="19"/>
      <c r="E2328" s="21"/>
      <c r="F2328" s="19"/>
      <c r="G2328" s="27" t="str">
        <f aca="false">IF(B2328="","",IFERROR(INDEX(Jeux!$C$2:$C$3001,MATCH(B2328,Jeux!$A$2:$A$3001,0))&amp;"","⚠ jeu inconnu"))</f>
        <v/>
      </c>
      <c r="H2328" s="27" t="str">
        <f aca="false">IF(B2328="","",IFERROR(INDEX(Jeux!$D$2:$D$3001,MATCH(B2328,Jeux!$A$2:$A$3001,0))&amp;"",""))</f>
        <v/>
      </c>
      <c r="I2328" s="26" t="str">
        <f aca="false">IF(A2328="","",COUNTIF(Apparitions!$G$2:$G$5001,A2328))</f>
        <v/>
      </c>
      <c r="J2328" s="26" t="str">
        <f aca="false">IF(A2328="","",COUNTIFS(Apparitions!$G$2:$G$5001,A2328,Apparitions!$E$2:$E$5001,"○"))</f>
        <v/>
      </c>
      <c r="K2328" s="29" t="str">
        <f aca="false">IF(A2328="","",IFERROR(1/(1/_xlfn.MINIFS(Apparitions!$L$2:$L$5001,Apparitions!$G$2:$G$5001,A2328)),""))</f>
        <v/>
      </c>
      <c r="L2328" s="27" t="str">
        <f aca="false">IF(A2328="","",A2328&amp;" | "&amp;B2328&amp;IF(C2328="",""," ("&amp;C2328&amp;")")&amp;IF(D2328="",""," - "&amp;D2328))</f>
        <v/>
      </c>
    </row>
    <row r="2329" customFormat="false" ht="15" hidden="false" customHeight="false" outlineLevel="0" collapsed="false">
      <c r="A2329" s="32"/>
      <c r="B2329" s="19"/>
      <c r="C2329" s="19"/>
      <c r="D2329" s="19"/>
      <c r="E2329" s="21"/>
      <c r="F2329" s="19"/>
      <c r="G2329" s="27" t="str">
        <f aca="false">IF(B2329="","",IFERROR(INDEX(Jeux!$C$2:$C$3001,MATCH(B2329,Jeux!$A$2:$A$3001,0))&amp;"","⚠ jeu inconnu"))</f>
        <v/>
      </c>
      <c r="H2329" s="27" t="str">
        <f aca="false">IF(B2329="","",IFERROR(INDEX(Jeux!$D$2:$D$3001,MATCH(B2329,Jeux!$A$2:$A$3001,0))&amp;"",""))</f>
        <v/>
      </c>
      <c r="I2329" s="26" t="str">
        <f aca="false">IF(A2329="","",COUNTIF(Apparitions!$G$2:$G$5001,A2329))</f>
        <v/>
      </c>
      <c r="J2329" s="26" t="str">
        <f aca="false">IF(A2329="","",COUNTIFS(Apparitions!$G$2:$G$5001,A2329,Apparitions!$E$2:$E$5001,"○"))</f>
        <v/>
      </c>
      <c r="K2329" s="29" t="str">
        <f aca="false">IF(A2329="","",IFERROR(1/(1/_xlfn.MINIFS(Apparitions!$L$2:$L$5001,Apparitions!$G$2:$G$5001,A2329)),""))</f>
        <v/>
      </c>
      <c r="L2329" s="27" t="str">
        <f aca="false">IF(A2329="","",A2329&amp;" | "&amp;B2329&amp;IF(C2329="",""," ("&amp;C2329&amp;")")&amp;IF(D2329="",""," - "&amp;D2329))</f>
        <v/>
      </c>
    </row>
    <row r="2330" customFormat="false" ht="15" hidden="false" customHeight="false" outlineLevel="0" collapsed="false">
      <c r="A2330" s="32"/>
      <c r="B2330" s="19"/>
      <c r="C2330" s="19"/>
      <c r="D2330" s="19"/>
      <c r="E2330" s="21"/>
      <c r="F2330" s="19"/>
      <c r="G2330" s="27" t="str">
        <f aca="false">IF(B2330="","",IFERROR(INDEX(Jeux!$C$2:$C$3001,MATCH(B2330,Jeux!$A$2:$A$3001,0))&amp;"","⚠ jeu inconnu"))</f>
        <v/>
      </c>
      <c r="H2330" s="27" t="str">
        <f aca="false">IF(B2330="","",IFERROR(INDEX(Jeux!$D$2:$D$3001,MATCH(B2330,Jeux!$A$2:$A$3001,0))&amp;"",""))</f>
        <v/>
      </c>
      <c r="I2330" s="26" t="str">
        <f aca="false">IF(A2330="","",COUNTIF(Apparitions!$G$2:$G$5001,A2330))</f>
        <v/>
      </c>
      <c r="J2330" s="26" t="str">
        <f aca="false">IF(A2330="","",COUNTIFS(Apparitions!$G$2:$G$5001,A2330,Apparitions!$E$2:$E$5001,"○"))</f>
        <v/>
      </c>
      <c r="K2330" s="29" t="str">
        <f aca="false">IF(A2330="","",IFERROR(1/(1/_xlfn.MINIFS(Apparitions!$L$2:$L$5001,Apparitions!$G$2:$G$5001,A2330)),""))</f>
        <v/>
      </c>
      <c r="L2330" s="27" t="str">
        <f aca="false">IF(A2330="","",A2330&amp;" | "&amp;B2330&amp;IF(C2330="",""," ("&amp;C2330&amp;")")&amp;IF(D2330="",""," - "&amp;D2330))</f>
        <v/>
      </c>
    </row>
    <row r="2331" customFormat="false" ht="15" hidden="false" customHeight="false" outlineLevel="0" collapsed="false">
      <c r="A2331" s="32"/>
      <c r="B2331" s="19"/>
      <c r="C2331" s="19"/>
      <c r="D2331" s="19"/>
      <c r="E2331" s="21"/>
      <c r="F2331" s="19"/>
      <c r="G2331" s="27" t="str">
        <f aca="false">IF(B2331="","",IFERROR(INDEX(Jeux!$C$2:$C$3001,MATCH(B2331,Jeux!$A$2:$A$3001,0))&amp;"","⚠ jeu inconnu"))</f>
        <v/>
      </c>
      <c r="H2331" s="27" t="str">
        <f aca="false">IF(B2331="","",IFERROR(INDEX(Jeux!$D$2:$D$3001,MATCH(B2331,Jeux!$A$2:$A$3001,0))&amp;"",""))</f>
        <v/>
      </c>
      <c r="I2331" s="26" t="str">
        <f aca="false">IF(A2331="","",COUNTIF(Apparitions!$G$2:$G$5001,A2331))</f>
        <v/>
      </c>
      <c r="J2331" s="26" t="str">
        <f aca="false">IF(A2331="","",COUNTIFS(Apparitions!$G$2:$G$5001,A2331,Apparitions!$E$2:$E$5001,"○"))</f>
        <v/>
      </c>
      <c r="K2331" s="29" t="str">
        <f aca="false">IF(A2331="","",IFERROR(1/(1/_xlfn.MINIFS(Apparitions!$L$2:$L$5001,Apparitions!$G$2:$G$5001,A2331)),""))</f>
        <v/>
      </c>
      <c r="L2331" s="27" t="str">
        <f aca="false">IF(A2331="","",A2331&amp;" | "&amp;B2331&amp;IF(C2331="",""," ("&amp;C2331&amp;")")&amp;IF(D2331="",""," - "&amp;D2331))</f>
        <v/>
      </c>
    </row>
    <row r="2332" customFormat="false" ht="15" hidden="false" customHeight="false" outlineLevel="0" collapsed="false">
      <c r="A2332" s="32"/>
      <c r="B2332" s="19"/>
      <c r="C2332" s="19"/>
      <c r="D2332" s="19"/>
      <c r="E2332" s="21"/>
      <c r="F2332" s="19"/>
      <c r="G2332" s="27" t="str">
        <f aca="false">IF(B2332="","",IFERROR(INDEX(Jeux!$C$2:$C$3001,MATCH(B2332,Jeux!$A$2:$A$3001,0))&amp;"","⚠ jeu inconnu"))</f>
        <v/>
      </c>
      <c r="H2332" s="27" t="str">
        <f aca="false">IF(B2332="","",IFERROR(INDEX(Jeux!$D$2:$D$3001,MATCH(B2332,Jeux!$A$2:$A$3001,0))&amp;"",""))</f>
        <v/>
      </c>
      <c r="I2332" s="26" t="str">
        <f aca="false">IF(A2332="","",COUNTIF(Apparitions!$G$2:$G$5001,A2332))</f>
        <v/>
      </c>
      <c r="J2332" s="26" t="str">
        <f aca="false">IF(A2332="","",COUNTIFS(Apparitions!$G$2:$G$5001,A2332,Apparitions!$E$2:$E$5001,"○"))</f>
        <v/>
      </c>
      <c r="K2332" s="29" t="str">
        <f aca="false">IF(A2332="","",IFERROR(1/(1/_xlfn.MINIFS(Apparitions!$L$2:$L$5001,Apparitions!$G$2:$G$5001,A2332)),""))</f>
        <v/>
      </c>
      <c r="L2332" s="27" t="str">
        <f aca="false">IF(A2332="","",A2332&amp;" | "&amp;B2332&amp;IF(C2332="",""," ("&amp;C2332&amp;")")&amp;IF(D2332="",""," - "&amp;D2332))</f>
        <v/>
      </c>
    </row>
    <row r="2333" customFormat="false" ht="15" hidden="false" customHeight="false" outlineLevel="0" collapsed="false">
      <c r="A2333" s="32"/>
      <c r="B2333" s="19"/>
      <c r="C2333" s="19"/>
      <c r="D2333" s="19"/>
      <c r="E2333" s="21"/>
      <c r="F2333" s="19"/>
      <c r="G2333" s="27" t="str">
        <f aca="false">IF(B2333="","",IFERROR(INDEX(Jeux!$C$2:$C$3001,MATCH(B2333,Jeux!$A$2:$A$3001,0))&amp;"","⚠ jeu inconnu"))</f>
        <v/>
      </c>
      <c r="H2333" s="27" t="str">
        <f aca="false">IF(B2333="","",IFERROR(INDEX(Jeux!$D$2:$D$3001,MATCH(B2333,Jeux!$A$2:$A$3001,0))&amp;"",""))</f>
        <v/>
      </c>
      <c r="I2333" s="26" t="str">
        <f aca="false">IF(A2333="","",COUNTIF(Apparitions!$G$2:$G$5001,A2333))</f>
        <v/>
      </c>
      <c r="J2333" s="26" t="str">
        <f aca="false">IF(A2333="","",COUNTIFS(Apparitions!$G$2:$G$5001,A2333,Apparitions!$E$2:$E$5001,"○"))</f>
        <v/>
      </c>
      <c r="K2333" s="29" t="str">
        <f aca="false">IF(A2333="","",IFERROR(1/(1/_xlfn.MINIFS(Apparitions!$L$2:$L$5001,Apparitions!$G$2:$G$5001,A2333)),""))</f>
        <v/>
      </c>
      <c r="L2333" s="27" t="str">
        <f aca="false">IF(A2333="","",A2333&amp;" | "&amp;B2333&amp;IF(C2333="",""," ("&amp;C2333&amp;")")&amp;IF(D2333="",""," - "&amp;D2333))</f>
        <v/>
      </c>
    </row>
    <row r="2334" customFormat="false" ht="15" hidden="false" customHeight="false" outlineLevel="0" collapsed="false">
      <c r="A2334" s="32"/>
      <c r="B2334" s="19"/>
      <c r="C2334" s="19"/>
      <c r="D2334" s="19"/>
      <c r="E2334" s="21"/>
      <c r="F2334" s="19"/>
      <c r="G2334" s="27" t="str">
        <f aca="false">IF(B2334="","",IFERROR(INDEX(Jeux!$C$2:$C$3001,MATCH(B2334,Jeux!$A$2:$A$3001,0))&amp;"","⚠ jeu inconnu"))</f>
        <v/>
      </c>
      <c r="H2334" s="27" t="str">
        <f aca="false">IF(B2334="","",IFERROR(INDEX(Jeux!$D$2:$D$3001,MATCH(B2334,Jeux!$A$2:$A$3001,0))&amp;"",""))</f>
        <v/>
      </c>
      <c r="I2334" s="26" t="str">
        <f aca="false">IF(A2334="","",COUNTIF(Apparitions!$G$2:$G$5001,A2334))</f>
        <v/>
      </c>
      <c r="J2334" s="26" t="str">
        <f aca="false">IF(A2334="","",COUNTIFS(Apparitions!$G$2:$G$5001,A2334,Apparitions!$E$2:$E$5001,"○"))</f>
        <v/>
      </c>
      <c r="K2334" s="29" t="str">
        <f aca="false">IF(A2334="","",IFERROR(1/(1/_xlfn.MINIFS(Apparitions!$L$2:$L$5001,Apparitions!$G$2:$G$5001,A2334)),""))</f>
        <v/>
      </c>
      <c r="L2334" s="27" t="str">
        <f aca="false">IF(A2334="","",A2334&amp;" | "&amp;B2334&amp;IF(C2334="",""," ("&amp;C2334&amp;")")&amp;IF(D2334="",""," - "&amp;D2334))</f>
        <v/>
      </c>
    </row>
    <row r="2335" customFormat="false" ht="15" hidden="false" customHeight="false" outlineLevel="0" collapsed="false">
      <c r="A2335" s="32"/>
      <c r="B2335" s="19"/>
      <c r="C2335" s="19"/>
      <c r="D2335" s="19"/>
      <c r="E2335" s="21"/>
      <c r="F2335" s="19"/>
      <c r="G2335" s="27" t="str">
        <f aca="false">IF(B2335="","",IFERROR(INDEX(Jeux!$C$2:$C$3001,MATCH(B2335,Jeux!$A$2:$A$3001,0))&amp;"","⚠ jeu inconnu"))</f>
        <v/>
      </c>
      <c r="H2335" s="27" t="str">
        <f aca="false">IF(B2335="","",IFERROR(INDEX(Jeux!$D$2:$D$3001,MATCH(B2335,Jeux!$A$2:$A$3001,0))&amp;"",""))</f>
        <v/>
      </c>
      <c r="I2335" s="26" t="str">
        <f aca="false">IF(A2335="","",COUNTIF(Apparitions!$G$2:$G$5001,A2335))</f>
        <v/>
      </c>
      <c r="J2335" s="26" t="str">
        <f aca="false">IF(A2335="","",COUNTIFS(Apparitions!$G$2:$G$5001,A2335,Apparitions!$E$2:$E$5001,"○"))</f>
        <v/>
      </c>
      <c r="K2335" s="29" t="str">
        <f aca="false">IF(A2335="","",IFERROR(1/(1/_xlfn.MINIFS(Apparitions!$L$2:$L$5001,Apparitions!$G$2:$G$5001,A2335)),""))</f>
        <v/>
      </c>
      <c r="L2335" s="27" t="str">
        <f aca="false">IF(A2335="","",A2335&amp;" | "&amp;B2335&amp;IF(C2335="",""," ("&amp;C2335&amp;")")&amp;IF(D2335="",""," - "&amp;D2335))</f>
        <v/>
      </c>
    </row>
    <row r="2336" customFormat="false" ht="15" hidden="false" customHeight="false" outlineLevel="0" collapsed="false">
      <c r="A2336" s="32"/>
      <c r="B2336" s="19"/>
      <c r="C2336" s="19"/>
      <c r="D2336" s="19"/>
      <c r="E2336" s="21"/>
      <c r="F2336" s="19"/>
      <c r="G2336" s="27" t="str">
        <f aca="false">IF(B2336="","",IFERROR(INDEX(Jeux!$C$2:$C$3001,MATCH(B2336,Jeux!$A$2:$A$3001,0))&amp;"","⚠ jeu inconnu"))</f>
        <v/>
      </c>
      <c r="H2336" s="27" t="str">
        <f aca="false">IF(B2336="","",IFERROR(INDEX(Jeux!$D$2:$D$3001,MATCH(B2336,Jeux!$A$2:$A$3001,0))&amp;"",""))</f>
        <v/>
      </c>
      <c r="I2336" s="26" t="str">
        <f aca="false">IF(A2336="","",COUNTIF(Apparitions!$G$2:$G$5001,A2336))</f>
        <v/>
      </c>
      <c r="J2336" s="26" t="str">
        <f aca="false">IF(A2336="","",COUNTIFS(Apparitions!$G$2:$G$5001,A2336,Apparitions!$E$2:$E$5001,"○"))</f>
        <v/>
      </c>
      <c r="K2336" s="29" t="str">
        <f aca="false">IF(A2336="","",IFERROR(1/(1/_xlfn.MINIFS(Apparitions!$L$2:$L$5001,Apparitions!$G$2:$G$5001,A2336)),""))</f>
        <v/>
      </c>
      <c r="L2336" s="27" t="str">
        <f aca="false">IF(A2336="","",A2336&amp;" | "&amp;B2336&amp;IF(C2336="",""," ("&amp;C2336&amp;")")&amp;IF(D2336="",""," - "&amp;D2336))</f>
        <v/>
      </c>
    </row>
    <row r="2337" customFormat="false" ht="15" hidden="false" customHeight="false" outlineLevel="0" collapsed="false">
      <c r="A2337" s="32"/>
      <c r="B2337" s="19"/>
      <c r="C2337" s="19"/>
      <c r="D2337" s="19"/>
      <c r="E2337" s="21"/>
      <c r="F2337" s="19"/>
      <c r="G2337" s="27" t="str">
        <f aca="false">IF(B2337="","",IFERROR(INDEX(Jeux!$C$2:$C$3001,MATCH(B2337,Jeux!$A$2:$A$3001,0))&amp;"","⚠ jeu inconnu"))</f>
        <v/>
      </c>
      <c r="H2337" s="27" t="str">
        <f aca="false">IF(B2337="","",IFERROR(INDEX(Jeux!$D$2:$D$3001,MATCH(B2337,Jeux!$A$2:$A$3001,0))&amp;"",""))</f>
        <v/>
      </c>
      <c r="I2337" s="26" t="str">
        <f aca="false">IF(A2337="","",COUNTIF(Apparitions!$G$2:$G$5001,A2337))</f>
        <v/>
      </c>
      <c r="J2337" s="26" t="str">
        <f aca="false">IF(A2337="","",COUNTIFS(Apparitions!$G$2:$G$5001,A2337,Apparitions!$E$2:$E$5001,"○"))</f>
        <v/>
      </c>
      <c r="K2337" s="29" t="str">
        <f aca="false">IF(A2337="","",IFERROR(1/(1/_xlfn.MINIFS(Apparitions!$L$2:$L$5001,Apparitions!$G$2:$G$5001,A2337)),""))</f>
        <v/>
      </c>
      <c r="L2337" s="27" t="str">
        <f aca="false">IF(A2337="","",A2337&amp;" | "&amp;B2337&amp;IF(C2337="",""," ("&amp;C2337&amp;")")&amp;IF(D2337="",""," - "&amp;D2337))</f>
        <v/>
      </c>
    </row>
    <row r="2338" customFormat="false" ht="15" hidden="false" customHeight="false" outlineLevel="0" collapsed="false">
      <c r="A2338" s="32"/>
      <c r="B2338" s="19"/>
      <c r="C2338" s="19"/>
      <c r="D2338" s="19"/>
      <c r="E2338" s="21"/>
      <c r="F2338" s="19"/>
      <c r="G2338" s="27" t="str">
        <f aca="false">IF(B2338="","",IFERROR(INDEX(Jeux!$C$2:$C$3001,MATCH(B2338,Jeux!$A$2:$A$3001,0))&amp;"","⚠ jeu inconnu"))</f>
        <v/>
      </c>
      <c r="H2338" s="27" t="str">
        <f aca="false">IF(B2338="","",IFERROR(INDEX(Jeux!$D$2:$D$3001,MATCH(B2338,Jeux!$A$2:$A$3001,0))&amp;"",""))</f>
        <v/>
      </c>
      <c r="I2338" s="26" t="str">
        <f aca="false">IF(A2338="","",COUNTIF(Apparitions!$G$2:$G$5001,A2338))</f>
        <v/>
      </c>
      <c r="J2338" s="26" t="str">
        <f aca="false">IF(A2338="","",COUNTIFS(Apparitions!$G$2:$G$5001,A2338,Apparitions!$E$2:$E$5001,"○"))</f>
        <v/>
      </c>
      <c r="K2338" s="29" t="str">
        <f aca="false">IF(A2338="","",IFERROR(1/(1/_xlfn.MINIFS(Apparitions!$L$2:$L$5001,Apparitions!$G$2:$G$5001,A2338)),""))</f>
        <v/>
      </c>
      <c r="L2338" s="27" t="str">
        <f aca="false">IF(A2338="","",A2338&amp;" | "&amp;B2338&amp;IF(C2338="",""," ("&amp;C2338&amp;")")&amp;IF(D2338="",""," - "&amp;D2338))</f>
        <v/>
      </c>
    </row>
    <row r="2339" customFormat="false" ht="15" hidden="false" customHeight="false" outlineLevel="0" collapsed="false">
      <c r="A2339" s="32"/>
      <c r="B2339" s="19"/>
      <c r="C2339" s="19"/>
      <c r="D2339" s="19"/>
      <c r="E2339" s="21"/>
      <c r="F2339" s="19"/>
      <c r="G2339" s="27" t="str">
        <f aca="false">IF(B2339="","",IFERROR(INDEX(Jeux!$C$2:$C$3001,MATCH(B2339,Jeux!$A$2:$A$3001,0))&amp;"","⚠ jeu inconnu"))</f>
        <v/>
      </c>
      <c r="H2339" s="27" t="str">
        <f aca="false">IF(B2339="","",IFERROR(INDEX(Jeux!$D$2:$D$3001,MATCH(B2339,Jeux!$A$2:$A$3001,0))&amp;"",""))</f>
        <v/>
      </c>
      <c r="I2339" s="26" t="str">
        <f aca="false">IF(A2339="","",COUNTIF(Apparitions!$G$2:$G$5001,A2339))</f>
        <v/>
      </c>
      <c r="J2339" s="26" t="str">
        <f aca="false">IF(A2339="","",COUNTIFS(Apparitions!$G$2:$G$5001,A2339,Apparitions!$E$2:$E$5001,"○"))</f>
        <v/>
      </c>
      <c r="K2339" s="29" t="str">
        <f aca="false">IF(A2339="","",IFERROR(1/(1/_xlfn.MINIFS(Apparitions!$L$2:$L$5001,Apparitions!$G$2:$G$5001,A2339)),""))</f>
        <v/>
      </c>
      <c r="L2339" s="27" t="str">
        <f aca="false">IF(A2339="","",A2339&amp;" | "&amp;B2339&amp;IF(C2339="",""," ("&amp;C2339&amp;")")&amp;IF(D2339="",""," - "&amp;D2339))</f>
        <v/>
      </c>
    </row>
    <row r="2340" customFormat="false" ht="15" hidden="false" customHeight="false" outlineLevel="0" collapsed="false">
      <c r="A2340" s="32"/>
      <c r="B2340" s="19"/>
      <c r="C2340" s="19"/>
      <c r="D2340" s="19"/>
      <c r="E2340" s="21"/>
      <c r="F2340" s="19"/>
      <c r="G2340" s="27" t="str">
        <f aca="false">IF(B2340="","",IFERROR(INDEX(Jeux!$C$2:$C$3001,MATCH(B2340,Jeux!$A$2:$A$3001,0))&amp;"","⚠ jeu inconnu"))</f>
        <v/>
      </c>
      <c r="H2340" s="27" t="str">
        <f aca="false">IF(B2340="","",IFERROR(INDEX(Jeux!$D$2:$D$3001,MATCH(B2340,Jeux!$A$2:$A$3001,0))&amp;"",""))</f>
        <v/>
      </c>
      <c r="I2340" s="26" t="str">
        <f aca="false">IF(A2340="","",COUNTIF(Apparitions!$G$2:$G$5001,A2340))</f>
        <v/>
      </c>
      <c r="J2340" s="26" t="str">
        <f aca="false">IF(A2340="","",COUNTIFS(Apparitions!$G$2:$G$5001,A2340,Apparitions!$E$2:$E$5001,"○"))</f>
        <v/>
      </c>
      <c r="K2340" s="29" t="str">
        <f aca="false">IF(A2340="","",IFERROR(1/(1/_xlfn.MINIFS(Apparitions!$L$2:$L$5001,Apparitions!$G$2:$G$5001,A2340)),""))</f>
        <v/>
      </c>
      <c r="L2340" s="27" t="str">
        <f aca="false">IF(A2340="","",A2340&amp;" | "&amp;B2340&amp;IF(C2340="",""," ("&amp;C2340&amp;")")&amp;IF(D2340="",""," - "&amp;D2340))</f>
        <v/>
      </c>
    </row>
    <row r="2341" customFormat="false" ht="15" hidden="false" customHeight="false" outlineLevel="0" collapsed="false">
      <c r="A2341" s="32"/>
      <c r="B2341" s="19"/>
      <c r="C2341" s="19"/>
      <c r="D2341" s="19"/>
      <c r="E2341" s="21"/>
      <c r="F2341" s="19"/>
      <c r="G2341" s="27" t="str">
        <f aca="false">IF(B2341="","",IFERROR(INDEX(Jeux!$C$2:$C$3001,MATCH(B2341,Jeux!$A$2:$A$3001,0))&amp;"","⚠ jeu inconnu"))</f>
        <v/>
      </c>
      <c r="H2341" s="27" t="str">
        <f aca="false">IF(B2341="","",IFERROR(INDEX(Jeux!$D$2:$D$3001,MATCH(B2341,Jeux!$A$2:$A$3001,0))&amp;"",""))</f>
        <v/>
      </c>
      <c r="I2341" s="26" t="str">
        <f aca="false">IF(A2341="","",COUNTIF(Apparitions!$G$2:$G$5001,A2341))</f>
        <v/>
      </c>
      <c r="J2341" s="26" t="str">
        <f aca="false">IF(A2341="","",COUNTIFS(Apparitions!$G$2:$G$5001,A2341,Apparitions!$E$2:$E$5001,"○"))</f>
        <v/>
      </c>
      <c r="K2341" s="29" t="str">
        <f aca="false">IF(A2341="","",IFERROR(1/(1/_xlfn.MINIFS(Apparitions!$L$2:$L$5001,Apparitions!$G$2:$G$5001,A2341)),""))</f>
        <v/>
      </c>
      <c r="L2341" s="27" t="str">
        <f aca="false">IF(A2341="","",A2341&amp;" | "&amp;B2341&amp;IF(C2341="",""," ("&amp;C2341&amp;")")&amp;IF(D2341="",""," - "&amp;D2341))</f>
        <v/>
      </c>
    </row>
    <row r="2342" customFormat="false" ht="15" hidden="false" customHeight="false" outlineLevel="0" collapsed="false">
      <c r="A2342" s="32"/>
      <c r="B2342" s="19"/>
      <c r="C2342" s="19"/>
      <c r="D2342" s="19"/>
      <c r="E2342" s="21"/>
      <c r="F2342" s="19"/>
      <c r="G2342" s="27" t="str">
        <f aca="false">IF(B2342="","",IFERROR(INDEX(Jeux!$C$2:$C$3001,MATCH(B2342,Jeux!$A$2:$A$3001,0))&amp;"","⚠ jeu inconnu"))</f>
        <v/>
      </c>
      <c r="H2342" s="27" t="str">
        <f aca="false">IF(B2342="","",IFERROR(INDEX(Jeux!$D$2:$D$3001,MATCH(B2342,Jeux!$A$2:$A$3001,0))&amp;"",""))</f>
        <v/>
      </c>
      <c r="I2342" s="26" t="str">
        <f aca="false">IF(A2342="","",COUNTIF(Apparitions!$G$2:$G$5001,A2342))</f>
        <v/>
      </c>
      <c r="J2342" s="26" t="str">
        <f aca="false">IF(A2342="","",COUNTIFS(Apparitions!$G$2:$G$5001,A2342,Apparitions!$E$2:$E$5001,"○"))</f>
        <v/>
      </c>
      <c r="K2342" s="29" t="str">
        <f aca="false">IF(A2342="","",IFERROR(1/(1/_xlfn.MINIFS(Apparitions!$L$2:$L$5001,Apparitions!$G$2:$G$5001,A2342)),""))</f>
        <v/>
      </c>
      <c r="L2342" s="27" t="str">
        <f aca="false">IF(A2342="","",A2342&amp;" | "&amp;B2342&amp;IF(C2342="",""," ("&amp;C2342&amp;")")&amp;IF(D2342="",""," - "&amp;D2342))</f>
        <v/>
      </c>
    </row>
    <row r="2343" customFormat="false" ht="15" hidden="false" customHeight="false" outlineLevel="0" collapsed="false">
      <c r="A2343" s="32"/>
      <c r="B2343" s="19"/>
      <c r="C2343" s="19"/>
      <c r="D2343" s="19"/>
      <c r="E2343" s="21"/>
      <c r="F2343" s="19"/>
      <c r="G2343" s="27" t="str">
        <f aca="false">IF(B2343="","",IFERROR(INDEX(Jeux!$C$2:$C$3001,MATCH(B2343,Jeux!$A$2:$A$3001,0))&amp;"","⚠ jeu inconnu"))</f>
        <v/>
      </c>
      <c r="H2343" s="27" t="str">
        <f aca="false">IF(B2343="","",IFERROR(INDEX(Jeux!$D$2:$D$3001,MATCH(B2343,Jeux!$A$2:$A$3001,0))&amp;"",""))</f>
        <v/>
      </c>
      <c r="I2343" s="26" t="str">
        <f aca="false">IF(A2343="","",COUNTIF(Apparitions!$G$2:$G$5001,A2343))</f>
        <v/>
      </c>
      <c r="J2343" s="26" t="str">
        <f aca="false">IF(A2343="","",COUNTIFS(Apparitions!$G$2:$G$5001,A2343,Apparitions!$E$2:$E$5001,"○"))</f>
        <v/>
      </c>
      <c r="K2343" s="29" t="str">
        <f aca="false">IF(A2343="","",IFERROR(1/(1/_xlfn.MINIFS(Apparitions!$L$2:$L$5001,Apparitions!$G$2:$G$5001,A2343)),""))</f>
        <v/>
      </c>
      <c r="L2343" s="27" t="str">
        <f aca="false">IF(A2343="","",A2343&amp;" | "&amp;B2343&amp;IF(C2343="",""," ("&amp;C2343&amp;")")&amp;IF(D2343="",""," - "&amp;D2343))</f>
        <v/>
      </c>
    </row>
    <row r="2344" customFormat="false" ht="15" hidden="false" customHeight="false" outlineLevel="0" collapsed="false">
      <c r="A2344" s="32"/>
      <c r="B2344" s="19"/>
      <c r="C2344" s="19"/>
      <c r="D2344" s="19"/>
      <c r="E2344" s="21"/>
      <c r="F2344" s="19"/>
      <c r="G2344" s="27" t="str">
        <f aca="false">IF(B2344="","",IFERROR(INDEX(Jeux!$C$2:$C$3001,MATCH(B2344,Jeux!$A$2:$A$3001,0))&amp;"","⚠ jeu inconnu"))</f>
        <v/>
      </c>
      <c r="H2344" s="27" t="str">
        <f aca="false">IF(B2344="","",IFERROR(INDEX(Jeux!$D$2:$D$3001,MATCH(B2344,Jeux!$A$2:$A$3001,0))&amp;"",""))</f>
        <v/>
      </c>
      <c r="I2344" s="26" t="str">
        <f aca="false">IF(A2344="","",COUNTIF(Apparitions!$G$2:$G$5001,A2344))</f>
        <v/>
      </c>
      <c r="J2344" s="26" t="str">
        <f aca="false">IF(A2344="","",COUNTIFS(Apparitions!$G$2:$G$5001,A2344,Apparitions!$E$2:$E$5001,"○"))</f>
        <v/>
      </c>
      <c r="K2344" s="29" t="str">
        <f aca="false">IF(A2344="","",IFERROR(1/(1/_xlfn.MINIFS(Apparitions!$L$2:$L$5001,Apparitions!$G$2:$G$5001,A2344)),""))</f>
        <v/>
      </c>
      <c r="L2344" s="27" t="str">
        <f aca="false">IF(A2344="","",A2344&amp;" | "&amp;B2344&amp;IF(C2344="",""," ("&amp;C2344&amp;")")&amp;IF(D2344="",""," - "&amp;D2344))</f>
        <v/>
      </c>
    </row>
    <row r="2345" customFormat="false" ht="15" hidden="false" customHeight="false" outlineLevel="0" collapsed="false">
      <c r="A2345" s="32"/>
      <c r="B2345" s="19"/>
      <c r="C2345" s="19"/>
      <c r="D2345" s="19"/>
      <c r="E2345" s="21"/>
      <c r="F2345" s="19"/>
      <c r="G2345" s="27" t="str">
        <f aca="false">IF(B2345="","",IFERROR(INDEX(Jeux!$C$2:$C$3001,MATCH(B2345,Jeux!$A$2:$A$3001,0))&amp;"","⚠ jeu inconnu"))</f>
        <v/>
      </c>
      <c r="H2345" s="27" t="str">
        <f aca="false">IF(B2345="","",IFERROR(INDEX(Jeux!$D$2:$D$3001,MATCH(B2345,Jeux!$A$2:$A$3001,0))&amp;"",""))</f>
        <v/>
      </c>
      <c r="I2345" s="26" t="str">
        <f aca="false">IF(A2345="","",COUNTIF(Apparitions!$G$2:$G$5001,A2345))</f>
        <v/>
      </c>
      <c r="J2345" s="26" t="str">
        <f aca="false">IF(A2345="","",COUNTIFS(Apparitions!$G$2:$G$5001,A2345,Apparitions!$E$2:$E$5001,"○"))</f>
        <v/>
      </c>
      <c r="K2345" s="29" t="str">
        <f aca="false">IF(A2345="","",IFERROR(1/(1/_xlfn.MINIFS(Apparitions!$L$2:$L$5001,Apparitions!$G$2:$G$5001,A2345)),""))</f>
        <v/>
      </c>
      <c r="L2345" s="27" t="str">
        <f aca="false">IF(A2345="","",A2345&amp;" | "&amp;B2345&amp;IF(C2345="",""," ("&amp;C2345&amp;")")&amp;IF(D2345="",""," - "&amp;D2345))</f>
        <v/>
      </c>
    </row>
    <row r="2346" customFormat="false" ht="15" hidden="false" customHeight="false" outlineLevel="0" collapsed="false">
      <c r="A2346" s="32"/>
      <c r="B2346" s="19"/>
      <c r="C2346" s="19"/>
      <c r="D2346" s="19"/>
      <c r="E2346" s="21"/>
      <c r="F2346" s="19"/>
      <c r="G2346" s="27" t="str">
        <f aca="false">IF(B2346="","",IFERROR(INDEX(Jeux!$C$2:$C$3001,MATCH(B2346,Jeux!$A$2:$A$3001,0))&amp;"","⚠ jeu inconnu"))</f>
        <v/>
      </c>
      <c r="H2346" s="27" t="str">
        <f aca="false">IF(B2346="","",IFERROR(INDEX(Jeux!$D$2:$D$3001,MATCH(B2346,Jeux!$A$2:$A$3001,0))&amp;"",""))</f>
        <v/>
      </c>
      <c r="I2346" s="26" t="str">
        <f aca="false">IF(A2346="","",COUNTIF(Apparitions!$G$2:$G$5001,A2346))</f>
        <v/>
      </c>
      <c r="J2346" s="26" t="str">
        <f aca="false">IF(A2346="","",COUNTIFS(Apparitions!$G$2:$G$5001,A2346,Apparitions!$E$2:$E$5001,"○"))</f>
        <v/>
      </c>
      <c r="K2346" s="29" t="str">
        <f aca="false">IF(A2346="","",IFERROR(1/(1/_xlfn.MINIFS(Apparitions!$L$2:$L$5001,Apparitions!$G$2:$G$5001,A2346)),""))</f>
        <v/>
      </c>
      <c r="L2346" s="27" t="str">
        <f aca="false">IF(A2346="","",A2346&amp;" | "&amp;B2346&amp;IF(C2346="",""," ("&amp;C2346&amp;")")&amp;IF(D2346="",""," - "&amp;D2346))</f>
        <v/>
      </c>
    </row>
    <row r="2347" customFormat="false" ht="15" hidden="false" customHeight="false" outlineLevel="0" collapsed="false">
      <c r="A2347" s="32"/>
      <c r="B2347" s="19"/>
      <c r="C2347" s="19"/>
      <c r="D2347" s="19"/>
      <c r="E2347" s="21"/>
      <c r="F2347" s="19"/>
      <c r="G2347" s="27" t="str">
        <f aca="false">IF(B2347="","",IFERROR(INDEX(Jeux!$C$2:$C$3001,MATCH(B2347,Jeux!$A$2:$A$3001,0))&amp;"","⚠ jeu inconnu"))</f>
        <v/>
      </c>
      <c r="H2347" s="27" t="str">
        <f aca="false">IF(B2347="","",IFERROR(INDEX(Jeux!$D$2:$D$3001,MATCH(B2347,Jeux!$A$2:$A$3001,0))&amp;"",""))</f>
        <v/>
      </c>
      <c r="I2347" s="26" t="str">
        <f aca="false">IF(A2347="","",COUNTIF(Apparitions!$G$2:$G$5001,A2347))</f>
        <v/>
      </c>
      <c r="J2347" s="26" t="str">
        <f aca="false">IF(A2347="","",COUNTIFS(Apparitions!$G$2:$G$5001,A2347,Apparitions!$E$2:$E$5001,"○"))</f>
        <v/>
      </c>
      <c r="K2347" s="29" t="str">
        <f aca="false">IF(A2347="","",IFERROR(1/(1/_xlfn.MINIFS(Apparitions!$L$2:$L$5001,Apparitions!$G$2:$G$5001,A2347)),""))</f>
        <v/>
      </c>
      <c r="L2347" s="27" t="str">
        <f aca="false">IF(A2347="","",A2347&amp;" | "&amp;B2347&amp;IF(C2347="",""," ("&amp;C2347&amp;")")&amp;IF(D2347="",""," - "&amp;D2347))</f>
        <v/>
      </c>
    </row>
    <row r="2348" customFormat="false" ht="15" hidden="false" customHeight="false" outlineLevel="0" collapsed="false">
      <c r="A2348" s="32"/>
      <c r="B2348" s="19"/>
      <c r="C2348" s="19"/>
      <c r="D2348" s="19"/>
      <c r="E2348" s="21"/>
      <c r="F2348" s="19"/>
      <c r="G2348" s="27" t="str">
        <f aca="false">IF(B2348="","",IFERROR(INDEX(Jeux!$C$2:$C$3001,MATCH(B2348,Jeux!$A$2:$A$3001,0))&amp;"","⚠ jeu inconnu"))</f>
        <v/>
      </c>
      <c r="H2348" s="27" t="str">
        <f aca="false">IF(B2348="","",IFERROR(INDEX(Jeux!$D$2:$D$3001,MATCH(B2348,Jeux!$A$2:$A$3001,0))&amp;"",""))</f>
        <v/>
      </c>
      <c r="I2348" s="26" t="str">
        <f aca="false">IF(A2348="","",COUNTIF(Apparitions!$G$2:$G$5001,A2348))</f>
        <v/>
      </c>
      <c r="J2348" s="26" t="str">
        <f aca="false">IF(A2348="","",COUNTIFS(Apparitions!$G$2:$G$5001,A2348,Apparitions!$E$2:$E$5001,"○"))</f>
        <v/>
      </c>
      <c r="K2348" s="29" t="str">
        <f aca="false">IF(A2348="","",IFERROR(1/(1/_xlfn.MINIFS(Apparitions!$L$2:$L$5001,Apparitions!$G$2:$G$5001,A2348)),""))</f>
        <v/>
      </c>
      <c r="L2348" s="27" t="str">
        <f aca="false">IF(A2348="","",A2348&amp;" | "&amp;B2348&amp;IF(C2348="",""," ("&amp;C2348&amp;")")&amp;IF(D2348="",""," - "&amp;D2348))</f>
        <v/>
      </c>
    </row>
    <row r="2349" customFormat="false" ht="15" hidden="false" customHeight="false" outlineLevel="0" collapsed="false">
      <c r="A2349" s="32"/>
      <c r="B2349" s="19"/>
      <c r="C2349" s="19"/>
      <c r="D2349" s="19"/>
      <c r="E2349" s="21"/>
      <c r="F2349" s="19"/>
      <c r="G2349" s="27" t="str">
        <f aca="false">IF(B2349="","",IFERROR(INDEX(Jeux!$C$2:$C$3001,MATCH(B2349,Jeux!$A$2:$A$3001,0))&amp;"","⚠ jeu inconnu"))</f>
        <v/>
      </c>
      <c r="H2349" s="27" t="str">
        <f aca="false">IF(B2349="","",IFERROR(INDEX(Jeux!$D$2:$D$3001,MATCH(B2349,Jeux!$A$2:$A$3001,0))&amp;"",""))</f>
        <v/>
      </c>
      <c r="I2349" s="26" t="str">
        <f aca="false">IF(A2349="","",COUNTIF(Apparitions!$G$2:$G$5001,A2349))</f>
        <v/>
      </c>
      <c r="J2349" s="26" t="str">
        <f aca="false">IF(A2349="","",COUNTIFS(Apparitions!$G$2:$G$5001,A2349,Apparitions!$E$2:$E$5001,"○"))</f>
        <v/>
      </c>
      <c r="K2349" s="29" t="str">
        <f aca="false">IF(A2349="","",IFERROR(1/(1/_xlfn.MINIFS(Apparitions!$L$2:$L$5001,Apparitions!$G$2:$G$5001,A2349)),""))</f>
        <v/>
      </c>
      <c r="L2349" s="27" t="str">
        <f aca="false">IF(A2349="","",A2349&amp;" | "&amp;B2349&amp;IF(C2349="",""," ("&amp;C2349&amp;")")&amp;IF(D2349="",""," - "&amp;D2349))</f>
        <v/>
      </c>
    </row>
    <row r="2350" customFormat="false" ht="15" hidden="false" customHeight="false" outlineLevel="0" collapsed="false">
      <c r="A2350" s="32"/>
      <c r="B2350" s="19"/>
      <c r="C2350" s="19"/>
      <c r="D2350" s="19"/>
      <c r="E2350" s="21"/>
      <c r="F2350" s="19"/>
      <c r="G2350" s="27" t="str">
        <f aca="false">IF(B2350="","",IFERROR(INDEX(Jeux!$C$2:$C$3001,MATCH(B2350,Jeux!$A$2:$A$3001,0))&amp;"","⚠ jeu inconnu"))</f>
        <v/>
      </c>
      <c r="H2350" s="27" t="str">
        <f aca="false">IF(B2350="","",IFERROR(INDEX(Jeux!$D$2:$D$3001,MATCH(B2350,Jeux!$A$2:$A$3001,0))&amp;"",""))</f>
        <v/>
      </c>
      <c r="I2350" s="26" t="str">
        <f aca="false">IF(A2350="","",COUNTIF(Apparitions!$G$2:$G$5001,A2350))</f>
        <v/>
      </c>
      <c r="J2350" s="26" t="str">
        <f aca="false">IF(A2350="","",COUNTIFS(Apparitions!$G$2:$G$5001,A2350,Apparitions!$E$2:$E$5001,"○"))</f>
        <v/>
      </c>
      <c r="K2350" s="29" t="str">
        <f aca="false">IF(A2350="","",IFERROR(1/(1/_xlfn.MINIFS(Apparitions!$L$2:$L$5001,Apparitions!$G$2:$G$5001,A2350)),""))</f>
        <v/>
      </c>
      <c r="L2350" s="27" t="str">
        <f aca="false">IF(A2350="","",A2350&amp;" | "&amp;B2350&amp;IF(C2350="",""," ("&amp;C2350&amp;")")&amp;IF(D2350="",""," - "&amp;D2350))</f>
        <v/>
      </c>
    </row>
    <row r="2351" customFormat="false" ht="15" hidden="false" customHeight="false" outlineLevel="0" collapsed="false">
      <c r="A2351" s="32"/>
      <c r="B2351" s="19"/>
      <c r="C2351" s="19"/>
      <c r="D2351" s="19"/>
      <c r="E2351" s="21"/>
      <c r="F2351" s="19"/>
      <c r="G2351" s="27" t="str">
        <f aca="false">IF(B2351="","",IFERROR(INDEX(Jeux!$C$2:$C$3001,MATCH(B2351,Jeux!$A$2:$A$3001,0))&amp;"","⚠ jeu inconnu"))</f>
        <v/>
      </c>
      <c r="H2351" s="27" t="str">
        <f aca="false">IF(B2351="","",IFERROR(INDEX(Jeux!$D$2:$D$3001,MATCH(B2351,Jeux!$A$2:$A$3001,0))&amp;"",""))</f>
        <v/>
      </c>
      <c r="I2351" s="26" t="str">
        <f aca="false">IF(A2351="","",COUNTIF(Apparitions!$G$2:$G$5001,A2351))</f>
        <v/>
      </c>
      <c r="J2351" s="26" t="str">
        <f aca="false">IF(A2351="","",COUNTIFS(Apparitions!$G$2:$G$5001,A2351,Apparitions!$E$2:$E$5001,"○"))</f>
        <v/>
      </c>
      <c r="K2351" s="29" t="str">
        <f aca="false">IF(A2351="","",IFERROR(1/(1/_xlfn.MINIFS(Apparitions!$L$2:$L$5001,Apparitions!$G$2:$G$5001,A2351)),""))</f>
        <v/>
      </c>
      <c r="L2351" s="27" t="str">
        <f aca="false">IF(A2351="","",A2351&amp;" | "&amp;B2351&amp;IF(C2351="",""," ("&amp;C2351&amp;")")&amp;IF(D2351="",""," - "&amp;D2351))</f>
        <v/>
      </c>
    </row>
    <row r="2352" customFormat="false" ht="15" hidden="false" customHeight="false" outlineLevel="0" collapsed="false">
      <c r="A2352" s="32"/>
      <c r="B2352" s="19"/>
      <c r="C2352" s="19"/>
      <c r="D2352" s="19"/>
      <c r="E2352" s="21"/>
      <c r="F2352" s="19"/>
      <c r="G2352" s="27" t="str">
        <f aca="false">IF(B2352="","",IFERROR(INDEX(Jeux!$C$2:$C$3001,MATCH(B2352,Jeux!$A$2:$A$3001,0))&amp;"","⚠ jeu inconnu"))</f>
        <v/>
      </c>
      <c r="H2352" s="27" t="str">
        <f aca="false">IF(B2352="","",IFERROR(INDEX(Jeux!$D$2:$D$3001,MATCH(B2352,Jeux!$A$2:$A$3001,0))&amp;"",""))</f>
        <v/>
      </c>
      <c r="I2352" s="26" t="str">
        <f aca="false">IF(A2352="","",COUNTIF(Apparitions!$G$2:$G$5001,A2352))</f>
        <v/>
      </c>
      <c r="J2352" s="26" t="str">
        <f aca="false">IF(A2352="","",COUNTIFS(Apparitions!$G$2:$G$5001,A2352,Apparitions!$E$2:$E$5001,"○"))</f>
        <v/>
      </c>
      <c r="K2352" s="29" t="str">
        <f aca="false">IF(A2352="","",IFERROR(1/(1/_xlfn.MINIFS(Apparitions!$L$2:$L$5001,Apparitions!$G$2:$G$5001,A2352)),""))</f>
        <v/>
      </c>
      <c r="L2352" s="27" t="str">
        <f aca="false">IF(A2352="","",A2352&amp;" | "&amp;B2352&amp;IF(C2352="",""," ("&amp;C2352&amp;")")&amp;IF(D2352="",""," - "&amp;D2352))</f>
        <v/>
      </c>
    </row>
    <row r="2353" customFormat="false" ht="15" hidden="false" customHeight="false" outlineLevel="0" collapsed="false">
      <c r="A2353" s="32"/>
      <c r="B2353" s="19"/>
      <c r="C2353" s="19"/>
      <c r="D2353" s="19"/>
      <c r="E2353" s="21"/>
      <c r="F2353" s="19"/>
      <c r="G2353" s="27" t="str">
        <f aca="false">IF(B2353="","",IFERROR(INDEX(Jeux!$C$2:$C$3001,MATCH(B2353,Jeux!$A$2:$A$3001,0))&amp;"","⚠ jeu inconnu"))</f>
        <v/>
      </c>
      <c r="H2353" s="27" t="str">
        <f aca="false">IF(B2353="","",IFERROR(INDEX(Jeux!$D$2:$D$3001,MATCH(B2353,Jeux!$A$2:$A$3001,0))&amp;"",""))</f>
        <v/>
      </c>
      <c r="I2353" s="26" t="str">
        <f aca="false">IF(A2353="","",COUNTIF(Apparitions!$G$2:$G$5001,A2353))</f>
        <v/>
      </c>
      <c r="J2353" s="26" t="str">
        <f aca="false">IF(A2353="","",COUNTIFS(Apparitions!$G$2:$G$5001,A2353,Apparitions!$E$2:$E$5001,"○"))</f>
        <v/>
      </c>
      <c r="K2353" s="29" t="str">
        <f aca="false">IF(A2353="","",IFERROR(1/(1/_xlfn.MINIFS(Apparitions!$L$2:$L$5001,Apparitions!$G$2:$G$5001,A2353)),""))</f>
        <v/>
      </c>
      <c r="L2353" s="27" t="str">
        <f aca="false">IF(A2353="","",A2353&amp;" | "&amp;B2353&amp;IF(C2353="",""," ("&amp;C2353&amp;")")&amp;IF(D2353="",""," - "&amp;D2353))</f>
        <v/>
      </c>
    </row>
    <row r="2354" customFormat="false" ht="15" hidden="false" customHeight="false" outlineLevel="0" collapsed="false">
      <c r="A2354" s="32"/>
      <c r="B2354" s="19"/>
      <c r="C2354" s="19"/>
      <c r="D2354" s="19"/>
      <c r="E2354" s="21"/>
      <c r="F2354" s="19"/>
      <c r="G2354" s="27" t="str">
        <f aca="false">IF(B2354="","",IFERROR(INDEX(Jeux!$C$2:$C$3001,MATCH(B2354,Jeux!$A$2:$A$3001,0))&amp;"","⚠ jeu inconnu"))</f>
        <v/>
      </c>
      <c r="H2354" s="27" t="str">
        <f aca="false">IF(B2354="","",IFERROR(INDEX(Jeux!$D$2:$D$3001,MATCH(B2354,Jeux!$A$2:$A$3001,0))&amp;"",""))</f>
        <v/>
      </c>
      <c r="I2354" s="26" t="str">
        <f aca="false">IF(A2354="","",COUNTIF(Apparitions!$G$2:$G$5001,A2354))</f>
        <v/>
      </c>
      <c r="J2354" s="26" t="str">
        <f aca="false">IF(A2354="","",COUNTIFS(Apparitions!$G$2:$G$5001,A2354,Apparitions!$E$2:$E$5001,"○"))</f>
        <v/>
      </c>
      <c r="K2354" s="29" t="str">
        <f aca="false">IF(A2354="","",IFERROR(1/(1/_xlfn.MINIFS(Apparitions!$L$2:$L$5001,Apparitions!$G$2:$G$5001,A2354)),""))</f>
        <v/>
      </c>
      <c r="L2354" s="27" t="str">
        <f aca="false">IF(A2354="","",A2354&amp;" | "&amp;B2354&amp;IF(C2354="",""," ("&amp;C2354&amp;")")&amp;IF(D2354="",""," - "&amp;D2354))</f>
        <v/>
      </c>
    </row>
    <row r="2355" customFormat="false" ht="15" hidden="false" customHeight="false" outlineLevel="0" collapsed="false">
      <c r="A2355" s="32"/>
      <c r="B2355" s="19"/>
      <c r="C2355" s="19"/>
      <c r="D2355" s="19"/>
      <c r="E2355" s="21"/>
      <c r="F2355" s="19"/>
      <c r="G2355" s="27" t="str">
        <f aca="false">IF(B2355="","",IFERROR(INDEX(Jeux!$C$2:$C$3001,MATCH(B2355,Jeux!$A$2:$A$3001,0))&amp;"","⚠ jeu inconnu"))</f>
        <v/>
      </c>
      <c r="H2355" s="27" t="str">
        <f aca="false">IF(B2355="","",IFERROR(INDEX(Jeux!$D$2:$D$3001,MATCH(B2355,Jeux!$A$2:$A$3001,0))&amp;"",""))</f>
        <v/>
      </c>
      <c r="I2355" s="26" t="str">
        <f aca="false">IF(A2355="","",COUNTIF(Apparitions!$G$2:$G$5001,A2355))</f>
        <v/>
      </c>
      <c r="J2355" s="26" t="str">
        <f aca="false">IF(A2355="","",COUNTIFS(Apparitions!$G$2:$G$5001,A2355,Apparitions!$E$2:$E$5001,"○"))</f>
        <v/>
      </c>
      <c r="K2355" s="29" t="str">
        <f aca="false">IF(A2355="","",IFERROR(1/(1/_xlfn.MINIFS(Apparitions!$L$2:$L$5001,Apparitions!$G$2:$G$5001,A2355)),""))</f>
        <v/>
      </c>
      <c r="L2355" s="27" t="str">
        <f aca="false">IF(A2355="","",A2355&amp;" | "&amp;B2355&amp;IF(C2355="",""," ("&amp;C2355&amp;")")&amp;IF(D2355="",""," - "&amp;D2355))</f>
        <v/>
      </c>
    </row>
    <row r="2356" customFormat="false" ht="15" hidden="false" customHeight="false" outlineLevel="0" collapsed="false">
      <c r="A2356" s="32"/>
      <c r="B2356" s="19"/>
      <c r="C2356" s="19"/>
      <c r="D2356" s="19"/>
      <c r="E2356" s="21"/>
      <c r="F2356" s="19"/>
      <c r="G2356" s="27" t="str">
        <f aca="false">IF(B2356="","",IFERROR(INDEX(Jeux!$C$2:$C$3001,MATCH(B2356,Jeux!$A$2:$A$3001,0))&amp;"","⚠ jeu inconnu"))</f>
        <v/>
      </c>
      <c r="H2356" s="27" t="str">
        <f aca="false">IF(B2356="","",IFERROR(INDEX(Jeux!$D$2:$D$3001,MATCH(B2356,Jeux!$A$2:$A$3001,0))&amp;"",""))</f>
        <v/>
      </c>
      <c r="I2356" s="26" t="str">
        <f aca="false">IF(A2356="","",COUNTIF(Apparitions!$G$2:$G$5001,A2356))</f>
        <v/>
      </c>
      <c r="J2356" s="26" t="str">
        <f aca="false">IF(A2356="","",COUNTIFS(Apparitions!$G$2:$G$5001,A2356,Apparitions!$E$2:$E$5001,"○"))</f>
        <v/>
      </c>
      <c r="K2356" s="29" t="str">
        <f aca="false">IF(A2356="","",IFERROR(1/(1/_xlfn.MINIFS(Apparitions!$L$2:$L$5001,Apparitions!$G$2:$G$5001,A2356)),""))</f>
        <v/>
      </c>
      <c r="L2356" s="27" t="str">
        <f aca="false">IF(A2356="","",A2356&amp;" | "&amp;B2356&amp;IF(C2356="",""," ("&amp;C2356&amp;")")&amp;IF(D2356="",""," - "&amp;D2356))</f>
        <v/>
      </c>
    </row>
    <row r="2357" customFormat="false" ht="15" hidden="false" customHeight="false" outlineLevel="0" collapsed="false">
      <c r="A2357" s="32"/>
      <c r="B2357" s="19"/>
      <c r="C2357" s="19"/>
      <c r="D2357" s="19"/>
      <c r="E2357" s="21"/>
      <c r="F2357" s="19"/>
      <c r="G2357" s="27" t="str">
        <f aca="false">IF(B2357="","",IFERROR(INDEX(Jeux!$C$2:$C$3001,MATCH(B2357,Jeux!$A$2:$A$3001,0))&amp;"","⚠ jeu inconnu"))</f>
        <v/>
      </c>
      <c r="H2357" s="27" t="str">
        <f aca="false">IF(B2357="","",IFERROR(INDEX(Jeux!$D$2:$D$3001,MATCH(B2357,Jeux!$A$2:$A$3001,0))&amp;"",""))</f>
        <v/>
      </c>
      <c r="I2357" s="26" t="str">
        <f aca="false">IF(A2357="","",COUNTIF(Apparitions!$G$2:$G$5001,A2357))</f>
        <v/>
      </c>
      <c r="J2357" s="26" t="str">
        <f aca="false">IF(A2357="","",COUNTIFS(Apparitions!$G$2:$G$5001,A2357,Apparitions!$E$2:$E$5001,"○"))</f>
        <v/>
      </c>
      <c r="K2357" s="29" t="str">
        <f aca="false">IF(A2357="","",IFERROR(1/(1/_xlfn.MINIFS(Apparitions!$L$2:$L$5001,Apparitions!$G$2:$G$5001,A2357)),""))</f>
        <v/>
      </c>
      <c r="L2357" s="27" t="str">
        <f aca="false">IF(A2357="","",A2357&amp;" | "&amp;B2357&amp;IF(C2357="",""," ("&amp;C2357&amp;")")&amp;IF(D2357="",""," - "&amp;D2357))</f>
        <v/>
      </c>
    </row>
    <row r="2358" customFormat="false" ht="15" hidden="false" customHeight="false" outlineLevel="0" collapsed="false">
      <c r="A2358" s="32"/>
      <c r="B2358" s="19"/>
      <c r="C2358" s="19"/>
      <c r="D2358" s="19"/>
      <c r="E2358" s="21"/>
      <c r="F2358" s="19"/>
      <c r="G2358" s="27" t="str">
        <f aca="false">IF(B2358="","",IFERROR(INDEX(Jeux!$C$2:$C$3001,MATCH(B2358,Jeux!$A$2:$A$3001,0))&amp;"","⚠ jeu inconnu"))</f>
        <v/>
      </c>
      <c r="H2358" s="27" t="str">
        <f aca="false">IF(B2358="","",IFERROR(INDEX(Jeux!$D$2:$D$3001,MATCH(B2358,Jeux!$A$2:$A$3001,0))&amp;"",""))</f>
        <v/>
      </c>
      <c r="I2358" s="26" t="str">
        <f aca="false">IF(A2358="","",COUNTIF(Apparitions!$G$2:$G$5001,A2358))</f>
        <v/>
      </c>
      <c r="J2358" s="26" t="str">
        <f aca="false">IF(A2358="","",COUNTIFS(Apparitions!$G$2:$G$5001,A2358,Apparitions!$E$2:$E$5001,"○"))</f>
        <v/>
      </c>
      <c r="K2358" s="29" t="str">
        <f aca="false">IF(A2358="","",IFERROR(1/(1/_xlfn.MINIFS(Apparitions!$L$2:$L$5001,Apparitions!$G$2:$G$5001,A2358)),""))</f>
        <v/>
      </c>
      <c r="L2358" s="27" t="str">
        <f aca="false">IF(A2358="","",A2358&amp;" | "&amp;B2358&amp;IF(C2358="",""," ("&amp;C2358&amp;")")&amp;IF(D2358="",""," - "&amp;D2358))</f>
        <v/>
      </c>
    </row>
    <row r="2359" customFormat="false" ht="15" hidden="false" customHeight="false" outlineLevel="0" collapsed="false">
      <c r="A2359" s="32"/>
      <c r="B2359" s="19"/>
      <c r="C2359" s="19"/>
      <c r="D2359" s="19"/>
      <c r="E2359" s="21"/>
      <c r="F2359" s="19"/>
      <c r="G2359" s="27" t="str">
        <f aca="false">IF(B2359="","",IFERROR(INDEX(Jeux!$C$2:$C$3001,MATCH(B2359,Jeux!$A$2:$A$3001,0))&amp;"","⚠ jeu inconnu"))</f>
        <v/>
      </c>
      <c r="H2359" s="27" t="str">
        <f aca="false">IF(B2359="","",IFERROR(INDEX(Jeux!$D$2:$D$3001,MATCH(B2359,Jeux!$A$2:$A$3001,0))&amp;"",""))</f>
        <v/>
      </c>
      <c r="I2359" s="26" t="str">
        <f aca="false">IF(A2359="","",COUNTIF(Apparitions!$G$2:$G$5001,A2359))</f>
        <v/>
      </c>
      <c r="J2359" s="26" t="str">
        <f aca="false">IF(A2359="","",COUNTIFS(Apparitions!$G$2:$G$5001,A2359,Apparitions!$E$2:$E$5001,"○"))</f>
        <v/>
      </c>
      <c r="K2359" s="29" t="str">
        <f aca="false">IF(A2359="","",IFERROR(1/(1/_xlfn.MINIFS(Apparitions!$L$2:$L$5001,Apparitions!$G$2:$G$5001,A2359)),""))</f>
        <v/>
      </c>
      <c r="L2359" s="27" t="str">
        <f aca="false">IF(A2359="","",A2359&amp;" | "&amp;B2359&amp;IF(C2359="",""," ("&amp;C2359&amp;")")&amp;IF(D2359="",""," - "&amp;D2359))</f>
        <v/>
      </c>
    </row>
    <row r="2360" customFormat="false" ht="15" hidden="false" customHeight="false" outlineLevel="0" collapsed="false">
      <c r="A2360" s="32"/>
      <c r="B2360" s="19"/>
      <c r="C2360" s="19"/>
      <c r="D2360" s="19"/>
      <c r="E2360" s="21"/>
      <c r="F2360" s="19"/>
      <c r="G2360" s="27" t="str">
        <f aca="false">IF(B2360="","",IFERROR(INDEX(Jeux!$C$2:$C$3001,MATCH(B2360,Jeux!$A$2:$A$3001,0))&amp;"","⚠ jeu inconnu"))</f>
        <v/>
      </c>
      <c r="H2360" s="27" t="str">
        <f aca="false">IF(B2360="","",IFERROR(INDEX(Jeux!$D$2:$D$3001,MATCH(B2360,Jeux!$A$2:$A$3001,0))&amp;"",""))</f>
        <v/>
      </c>
      <c r="I2360" s="26" t="str">
        <f aca="false">IF(A2360="","",COUNTIF(Apparitions!$G$2:$G$5001,A2360))</f>
        <v/>
      </c>
      <c r="J2360" s="26" t="str">
        <f aca="false">IF(A2360="","",COUNTIFS(Apparitions!$G$2:$G$5001,A2360,Apparitions!$E$2:$E$5001,"○"))</f>
        <v/>
      </c>
      <c r="K2360" s="29" t="str">
        <f aca="false">IF(A2360="","",IFERROR(1/(1/_xlfn.MINIFS(Apparitions!$L$2:$L$5001,Apparitions!$G$2:$G$5001,A2360)),""))</f>
        <v/>
      </c>
      <c r="L2360" s="27" t="str">
        <f aca="false">IF(A2360="","",A2360&amp;" | "&amp;B2360&amp;IF(C2360="",""," ("&amp;C2360&amp;")")&amp;IF(D2360="",""," - "&amp;D2360))</f>
        <v/>
      </c>
    </row>
    <row r="2361" customFormat="false" ht="15" hidden="false" customHeight="false" outlineLevel="0" collapsed="false">
      <c r="A2361" s="32"/>
      <c r="B2361" s="19"/>
      <c r="C2361" s="19"/>
      <c r="D2361" s="19"/>
      <c r="E2361" s="21"/>
      <c r="F2361" s="19"/>
      <c r="G2361" s="27" t="str">
        <f aca="false">IF(B2361="","",IFERROR(INDEX(Jeux!$C$2:$C$3001,MATCH(B2361,Jeux!$A$2:$A$3001,0))&amp;"","⚠ jeu inconnu"))</f>
        <v/>
      </c>
      <c r="H2361" s="27" t="str">
        <f aca="false">IF(B2361="","",IFERROR(INDEX(Jeux!$D$2:$D$3001,MATCH(B2361,Jeux!$A$2:$A$3001,0))&amp;"",""))</f>
        <v/>
      </c>
      <c r="I2361" s="26" t="str">
        <f aca="false">IF(A2361="","",COUNTIF(Apparitions!$G$2:$G$5001,A2361))</f>
        <v/>
      </c>
      <c r="J2361" s="26" t="str">
        <f aca="false">IF(A2361="","",COUNTIFS(Apparitions!$G$2:$G$5001,A2361,Apparitions!$E$2:$E$5001,"○"))</f>
        <v/>
      </c>
      <c r="K2361" s="29" t="str">
        <f aca="false">IF(A2361="","",IFERROR(1/(1/_xlfn.MINIFS(Apparitions!$L$2:$L$5001,Apparitions!$G$2:$G$5001,A2361)),""))</f>
        <v/>
      </c>
      <c r="L2361" s="27" t="str">
        <f aca="false">IF(A2361="","",A2361&amp;" | "&amp;B2361&amp;IF(C2361="",""," ("&amp;C2361&amp;")")&amp;IF(D2361="",""," - "&amp;D2361))</f>
        <v/>
      </c>
    </row>
    <row r="2362" customFormat="false" ht="15" hidden="false" customHeight="false" outlineLevel="0" collapsed="false">
      <c r="A2362" s="32"/>
      <c r="B2362" s="19"/>
      <c r="C2362" s="19"/>
      <c r="D2362" s="19"/>
      <c r="E2362" s="21"/>
      <c r="F2362" s="19"/>
      <c r="G2362" s="27" t="str">
        <f aca="false">IF(B2362="","",IFERROR(INDEX(Jeux!$C$2:$C$3001,MATCH(B2362,Jeux!$A$2:$A$3001,0))&amp;"","⚠ jeu inconnu"))</f>
        <v/>
      </c>
      <c r="H2362" s="27" t="str">
        <f aca="false">IF(B2362="","",IFERROR(INDEX(Jeux!$D$2:$D$3001,MATCH(B2362,Jeux!$A$2:$A$3001,0))&amp;"",""))</f>
        <v/>
      </c>
      <c r="I2362" s="26" t="str">
        <f aca="false">IF(A2362="","",COUNTIF(Apparitions!$G$2:$G$5001,A2362))</f>
        <v/>
      </c>
      <c r="J2362" s="26" t="str">
        <f aca="false">IF(A2362="","",COUNTIFS(Apparitions!$G$2:$G$5001,A2362,Apparitions!$E$2:$E$5001,"○"))</f>
        <v/>
      </c>
      <c r="K2362" s="29" t="str">
        <f aca="false">IF(A2362="","",IFERROR(1/(1/_xlfn.MINIFS(Apparitions!$L$2:$L$5001,Apparitions!$G$2:$G$5001,A2362)),""))</f>
        <v/>
      </c>
      <c r="L2362" s="27" t="str">
        <f aca="false">IF(A2362="","",A2362&amp;" | "&amp;B2362&amp;IF(C2362="",""," ("&amp;C2362&amp;")")&amp;IF(D2362="",""," - "&amp;D2362))</f>
        <v/>
      </c>
    </row>
    <row r="2363" customFormat="false" ht="15" hidden="false" customHeight="false" outlineLevel="0" collapsed="false">
      <c r="A2363" s="32"/>
      <c r="B2363" s="19"/>
      <c r="C2363" s="19"/>
      <c r="D2363" s="19"/>
      <c r="E2363" s="21"/>
      <c r="F2363" s="19"/>
      <c r="G2363" s="27" t="str">
        <f aca="false">IF(B2363="","",IFERROR(INDEX(Jeux!$C$2:$C$3001,MATCH(B2363,Jeux!$A$2:$A$3001,0))&amp;"","⚠ jeu inconnu"))</f>
        <v/>
      </c>
      <c r="H2363" s="27" t="str">
        <f aca="false">IF(B2363="","",IFERROR(INDEX(Jeux!$D$2:$D$3001,MATCH(B2363,Jeux!$A$2:$A$3001,0))&amp;"",""))</f>
        <v/>
      </c>
      <c r="I2363" s="26" t="str">
        <f aca="false">IF(A2363="","",COUNTIF(Apparitions!$G$2:$G$5001,A2363))</f>
        <v/>
      </c>
      <c r="J2363" s="26" t="str">
        <f aca="false">IF(A2363="","",COUNTIFS(Apparitions!$G$2:$G$5001,A2363,Apparitions!$E$2:$E$5001,"○"))</f>
        <v/>
      </c>
      <c r="K2363" s="29" t="str">
        <f aca="false">IF(A2363="","",IFERROR(1/(1/_xlfn.MINIFS(Apparitions!$L$2:$L$5001,Apparitions!$G$2:$G$5001,A2363)),""))</f>
        <v/>
      </c>
      <c r="L2363" s="27" t="str">
        <f aca="false">IF(A2363="","",A2363&amp;" | "&amp;B2363&amp;IF(C2363="",""," ("&amp;C2363&amp;")")&amp;IF(D2363="",""," - "&amp;D2363))</f>
        <v/>
      </c>
    </row>
    <row r="2364" customFormat="false" ht="15" hidden="false" customHeight="false" outlineLevel="0" collapsed="false">
      <c r="A2364" s="32"/>
      <c r="B2364" s="19"/>
      <c r="C2364" s="19"/>
      <c r="D2364" s="19"/>
      <c r="E2364" s="21"/>
      <c r="F2364" s="19"/>
      <c r="G2364" s="27" t="str">
        <f aca="false">IF(B2364="","",IFERROR(INDEX(Jeux!$C$2:$C$3001,MATCH(B2364,Jeux!$A$2:$A$3001,0))&amp;"","⚠ jeu inconnu"))</f>
        <v/>
      </c>
      <c r="H2364" s="27" t="str">
        <f aca="false">IF(B2364="","",IFERROR(INDEX(Jeux!$D$2:$D$3001,MATCH(B2364,Jeux!$A$2:$A$3001,0))&amp;"",""))</f>
        <v/>
      </c>
      <c r="I2364" s="26" t="str">
        <f aca="false">IF(A2364="","",COUNTIF(Apparitions!$G$2:$G$5001,A2364))</f>
        <v/>
      </c>
      <c r="J2364" s="26" t="str">
        <f aca="false">IF(A2364="","",COUNTIFS(Apparitions!$G$2:$G$5001,A2364,Apparitions!$E$2:$E$5001,"○"))</f>
        <v/>
      </c>
      <c r="K2364" s="29" t="str">
        <f aca="false">IF(A2364="","",IFERROR(1/(1/_xlfn.MINIFS(Apparitions!$L$2:$L$5001,Apparitions!$G$2:$G$5001,A2364)),""))</f>
        <v/>
      </c>
      <c r="L2364" s="27" t="str">
        <f aca="false">IF(A2364="","",A2364&amp;" | "&amp;B2364&amp;IF(C2364="",""," ("&amp;C2364&amp;")")&amp;IF(D2364="",""," - "&amp;D2364))</f>
        <v/>
      </c>
    </row>
    <row r="2365" customFormat="false" ht="15" hidden="false" customHeight="false" outlineLevel="0" collapsed="false">
      <c r="A2365" s="32"/>
      <c r="B2365" s="19"/>
      <c r="C2365" s="19"/>
      <c r="D2365" s="19"/>
      <c r="E2365" s="21"/>
      <c r="F2365" s="19"/>
      <c r="G2365" s="27" t="str">
        <f aca="false">IF(B2365="","",IFERROR(INDEX(Jeux!$C$2:$C$3001,MATCH(B2365,Jeux!$A$2:$A$3001,0))&amp;"","⚠ jeu inconnu"))</f>
        <v/>
      </c>
      <c r="H2365" s="27" t="str">
        <f aca="false">IF(B2365="","",IFERROR(INDEX(Jeux!$D$2:$D$3001,MATCH(B2365,Jeux!$A$2:$A$3001,0))&amp;"",""))</f>
        <v/>
      </c>
      <c r="I2365" s="26" t="str">
        <f aca="false">IF(A2365="","",COUNTIF(Apparitions!$G$2:$G$5001,A2365))</f>
        <v/>
      </c>
      <c r="J2365" s="26" t="str">
        <f aca="false">IF(A2365="","",COUNTIFS(Apparitions!$G$2:$G$5001,A2365,Apparitions!$E$2:$E$5001,"○"))</f>
        <v/>
      </c>
      <c r="K2365" s="29" t="str">
        <f aca="false">IF(A2365="","",IFERROR(1/(1/_xlfn.MINIFS(Apparitions!$L$2:$L$5001,Apparitions!$G$2:$G$5001,A2365)),""))</f>
        <v/>
      </c>
      <c r="L2365" s="27" t="str">
        <f aca="false">IF(A2365="","",A2365&amp;" | "&amp;B2365&amp;IF(C2365="",""," ("&amp;C2365&amp;")")&amp;IF(D2365="",""," - "&amp;D2365))</f>
        <v/>
      </c>
    </row>
    <row r="2366" customFormat="false" ht="15" hidden="false" customHeight="false" outlineLevel="0" collapsed="false">
      <c r="A2366" s="32"/>
      <c r="B2366" s="19"/>
      <c r="C2366" s="19"/>
      <c r="D2366" s="19"/>
      <c r="E2366" s="21"/>
      <c r="F2366" s="19"/>
      <c r="G2366" s="27" t="str">
        <f aca="false">IF(B2366="","",IFERROR(INDEX(Jeux!$C$2:$C$3001,MATCH(B2366,Jeux!$A$2:$A$3001,0))&amp;"","⚠ jeu inconnu"))</f>
        <v/>
      </c>
      <c r="H2366" s="27" t="str">
        <f aca="false">IF(B2366="","",IFERROR(INDEX(Jeux!$D$2:$D$3001,MATCH(B2366,Jeux!$A$2:$A$3001,0))&amp;"",""))</f>
        <v/>
      </c>
      <c r="I2366" s="26" t="str">
        <f aca="false">IF(A2366="","",COUNTIF(Apparitions!$G$2:$G$5001,A2366))</f>
        <v/>
      </c>
      <c r="J2366" s="26" t="str">
        <f aca="false">IF(A2366="","",COUNTIFS(Apparitions!$G$2:$G$5001,A2366,Apparitions!$E$2:$E$5001,"○"))</f>
        <v/>
      </c>
      <c r="K2366" s="29" t="str">
        <f aca="false">IF(A2366="","",IFERROR(1/(1/_xlfn.MINIFS(Apparitions!$L$2:$L$5001,Apparitions!$G$2:$G$5001,A2366)),""))</f>
        <v/>
      </c>
      <c r="L2366" s="27" t="str">
        <f aca="false">IF(A2366="","",A2366&amp;" | "&amp;B2366&amp;IF(C2366="",""," ("&amp;C2366&amp;")")&amp;IF(D2366="",""," - "&amp;D2366))</f>
        <v/>
      </c>
    </row>
    <row r="2367" customFormat="false" ht="15" hidden="false" customHeight="false" outlineLevel="0" collapsed="false">
      <c r="A2367" s="32"/>
      <c r="B2367" s="19"/>
      <c r="C2367" s="19"/>
      <c r="D2367" s="19"/>
      <c r="E2367" s="21"/>
      <c r="F2367" s="19"/>
      <c r="G2367" s="27" t="str">
        <f aca="false">IF(B2367="","",IFERROR(INDEX(Jeux!$C$2:$C$3001,MATCH(B2367,Jeux!$A$2:$A$3001,0))&amp;"","⚠ jeu inconnu"))</f>
        <v/>
      </c>
      <c r="H2367" s="27" t="str">
        <f aca="false">IF(B2367="","",IFERROR(INDEX(Jeux!$D$2:$D$3001,MATCH(B2367,Jeux!$A$2:$A$3001,0))&amp;"",""))</f>
        <v/>
      </c>
      <c r="I2367" s="26" t="str">
        <f aca="false">IF(A2367="","",COUNTIF(Apparitions!$G$2:$G$5001,A2367))</f>
        <v/>
      </c>
      <c r="J2367" s="26" t="str">
        <f aca="false">IF(A2367="","",COUNTIFS(Apparitions!$G$2:$G$5001,A2367,Apparitions!$E$2:$E$5001,"○"))</f>
        <v/>
      </c>
      <c r="K2367" s="29" t="str">
        <f aca="false">IF(A2367="","",IFERROR(1/(1/_xlfn.MINIFS(Apparitions!$L$2:$L$5001,Apparitions!$G$2:$G$5001,A2367)),""))</f>
        <v/>
      </c>
      <c r="L2367" s="27" t="str">
        <f aca="false">IF(A2367="","",A2367&amp;" | "&amp;B2367&amp;IF(C2367="",""," ("&amp;C2367&amp;")")&amp;IF(D2367="",""," - "&amp;D2367))</f>
        <v/>
      </c>
    </row>
    <row r="2368" customFormat="false" ht="15" hidden="false" customHeight="false" outlineLevel="0" collapsed="false">
      <c r="A2368" s="32"/>
      <c r="B2368" s="19"/>
      <c r="C2368" s="19"/>
      <c r="D2368" s="19"/>
      <c r="E2368" s="21"/>
      <c r="F2368" s="19"/>
      <c r="G2368" s="27" t="str">
        <f aca="false">IF(B2368="","",IFERROR(INDEX(Jeux!$C$2:$C$3001,MATCH(B2368,Jeux!$A$2:$A$3001,0))&amp;"","⚠ jeu inconnu"))</f>
        <v/>
      </c>
      <c r="H2368" s="27" t="str">
        <f aca="false">IF(B2368="","",IFERROR(INDEX(Jeux!$D$2:$D$3001,MATCH(B2368,Jeux!$A$2:$A$3001,0))&amp;"",""))</f>
        <v/>
      </c>
      <c r="I2368" s="26" t="str">
        <f aca="false">IF(A2368="","",COUNTIF(Apparitions!$G$2:$G$5001,A2368))</f>
        <v/>
      </c>
      <c r="J2368" s="26" t="str">
        <f aca="false">IF(A2368="","",COUNTIFS(Apparitions!$G$2:$G$5001,A2368,Apparitions!$E$2:$E$5001,"○"))</f>
        <v/>
      </c>
      <c r="K2368" s="29" t="str">
        <f aca="false">IF(A2368="","",IFERROR(1/(1/_xlfn.MINIFS(Apparitions!$L$2:$L$5001,Apparitions!$G$2:$G$5001,A2368)),""))</f>
        <v/>
      </c>
      <c r="L2368" s="27" t="str">
        <f aca="false">IF(A2368="","",A2368&amp;" | "&amp;B2368&amp;IF(C2368="",""," ("&amp;C2368&amp;")")&amp;IF(D2368="",""," - "&amp;D2368))</f>
        <v/>
      </c>
    </row>
    <row r="2369" customFormat="false" ht="15" hidden="false" customHeight="false" outlineLevel="0" collapsed="false">
      <c r="A2369" s="32"/>
      <c r="B2369" s="19"/>
      <c r="C2369" s="19"/>
      <c r="D2369" s="19"/>
      <c r="E2369" s="21"/>
      <c r="F2369" s="19"/>
      <c r="G2369" s="27" t="str">
        <f aca="false">IF(B2369="","",IFERROR(INDEX(Jeux!$C$2:$C$3001,MATCH(B2369,Jeux!$A$2:$A$3001,0))&amp;"","⚠ jeu inconnu"))</f>
        <v/>
      </c>
      <c r="H2369" s="27" t="str">
        <f aca="false">IF(B2369="","",IFERROR(INDEX(Jeux!$D$2:$D$3001,MATCH(B2369,Jeux!$A$2:$A$3001,0))&amp;"",""))</f>
        <v/>
      </c>
      <c r="I2369" s="26" t="str">
        <f aca="false">IF(A2369="","",COUNTIF(Apparitions!$G$2:$G$5001,A2369))</f>
        <v/>
      </c>
      <c r="J2369" s="26" t="str">
        <f aca="false">IF(A2369="","",COUNTIFS(Apparitions!$G$2:$G$5001,A2369,Apparitions!$E$2:$E$5001,"○"))</f>
        <v/>
      </c>
      <c r="K2369" s="29" t="str">
        <f aca="false">IF(A2369="","",IFERROR(1/(1/_xlfn.MINIFS(Apparitions!$L$2:$L$5001,Apparitions!$G$2:$G$5001,A2369)),""))</f>
        <v/>
      </c>
      <c r="L2369" s="27" t="str">
        <f aca="false">IF(A2369="","",A2369&amp;" | "&amp;B2369&amp;IF(C2369="",""," ("&amp;C2369&amp;")")&amp;IF(D2369="",""," - "&amp;D2369))</f>
        <v/>
      </c>
    </row>
    <row r="2370" customFormat="false" ht="15" hidden="false" customHeight="false" outlineLevel="0" collapsed="false">
      <c r="A2370" s="32"/>
      <c r="B2370" s="19"/>
      <c r="C2370" s="19"/>
      <c r="D2370" s="19"/>
      <c r="E2370" s="21"/>
      <c r="F2370" s="19"/>
      <c r="G2370" s="27" t="str">
        <f aca="false">IF(B2370="","",IFERROR(INDEX(Jeux!$C$2:$C$3001,MATCH(B2370,Jeux!$A$2:$A$3001,0))&amp;"","⚠ jeu inconnu"))</f>
        <v/>
      </c>
      <c r="H2370" s="27" t="str">
        <f aca="false">IF(B2370="","",IFERROR(INDEX(Jeux!$D$2:$D$3001,MATCH(B2370,Jeux!$A$2:$A$3001,0))&amp;"",""))</f>
        <v/>
      </c>
      <c r="I2370" s="26" t="str">
        <f aca="false">IF(A2370="","",COUNTIF(Apparitions!$G$2:$G$5001,A2370))</f>
        <v/>
      </c>
      <c r="J2370" s="26" t="str">
        <f aca="false">IF(A2370="","",COUNTIFS(Apparitions!$G$2:$G$5001,A2370,Apparitions!$E$2:$E$5001,"○"))</f>
        <v/>
      </c>
      <c r="K2370" s="29" t="str">
        <f aca="false">IF(A2370="","",IFERROR(1/(1/_xlfn.MINIFS(Apparitions!$L$2:$L$5001,Apparitions!$G$2:$G$5001,A2370)),""))</f>
        <v/>
      </c>
      <c r="L2370" s="27" t="str">
        <f aca="false">IF(A2370="","",A2370&amp;" | "&amp;B2370&amp;IF(C2370="",""," ("&amp;C2370&amp;")")&amp;IF(D2370="",""," - "&amp;D2370))</f>
        <v/>
      </c>
    </row>
    <row r="2371" customFormat="false" ht="15" hidden="false" customHeight="false" outlineLevel="0" collapsed="false">
      <c r="A2371" s="32"/>
      <c r="B2371" s="19"/>
      <c r="C2371" s="19"/>
      <c r="D2371" s="19"/>
      <c r="E2371" s="21"/>
      <c r="F2371" s="19"/>
      <c r="G2371" s="27" t="str">
        <f aca="false">IF(B2371="","",IFERROR(INDEX(Jeux!$C$2:$C$3001,MATCH(B2371,Jeux!$A$2:$A$3001,0))&amp;"","⚠ jeu inconnu"))</f>
        <v/>
      </c>
      <c r="H2371" s="27" t="str">
        <f aca="false">IF(B2371="","",IFERROR(INDEX(Jeux!$D$2:$D$3001,MATCH(B2371,Jeux!$A$2:$A$3001,0))&amp;"",""))</f>
        <v/>
      </c>
      <c r="I2371" s="26" t="str">
        <f aca="false">IF(A2371="","",COUNTIF(Apparitions!$G$2:$G$5001,A2371))</f>
        <v/>
      </c>
      <c r="J2371" s="26" t="str">
        <f aca="false">IF(A2371="","",COUNTIFS(Apparitions!$G$2:$G$5001,A2371,Apparitions!$E$2:$E$5001,"○"))</f>
        <v/>
      </c>
      <c r="K2371" s="29" t="str">
        <f aca="false">IF(A2371="","",IFERROR(1/(1/_xlfn.MINIFS(Apparitions!$L$2:$L$5001,Apparitions!$G$2:$G$5001,A2371)),""))</f>
        <v/>
      </c>
      <c r="L2371" s="27" t="str">
        <f aca="false">IF(A2371="","",A2371&amp;" | "&amp;B2371&amp;IF(C2371="",""," ("&amp;C2371&amp;")")&amp;IF(D2371="",""," - "&amp;D2371))</f>
        <v/>
      </c>
    </row>
    <row r="2372" customFormat="false" ht="15" hidden="false" customHeight="false" outlineLevel="0" collapsed="false">
      <c r="A2372" s="32"/>
      <c r="B2372" s="19"/>
      <c r="C2372" s="19"/>
      <c r="D2372" s="19"/>
      <c r="E2372" s="21"/>
      <c r="F2372" s="19"/>
      <c r="G2372" s="27" t="str">
        <f aca="false">IF(B2372="","",IFERROR(INDEX(Jeux!$C$2:$C$3001,MATCH(B2372,Jeux!$A$2:$A$3001,0))&amp;"","⚠ jeu inconnu"))</f>
        <v/>
      </c>
      <c r="H2372" s="27" t="str">
        <f aca="false">IF(B2372="","",IFERROR(INDEX(Jeux!$D$2:$D$3001,MATCH(B2372,Jeux!$A$2:$A$3001,0))&amp;"",""))</f>
        <v/>
      </c>
      <c r="I2372" s="26" t="str">
        <f aca="false">IF(A2372="","",COUNTIF(Apparitions!$G$2:$G$5001,A2372))</f>
        <v/>
      </c>
      <c r="J2372" s="26" t="str">
        <f aca="false">IF(A2372="","",COUNTIFS(Apparitions!$G$2:$G$5001,A2372,Apparitions!$E$2:$E$5001,"○"))</f>
        <v/>
      </c>
      <c r="K2372" s="29" t="str">
        <f aca="false">IF(A2372="","",IFERROR(1/(1/_xlfn.MINIFS(Apparitions!$L$2:$L$5001,Apparitions!$G$2:$G$5001,A2372)),""))</f>
        <v/>
      </c>
      <c r="L2372" s="27" t="str">
        <f aca="false">IF(A2372="","",A2372&amp;" | "&amp;B2372&amp;IF(C2372="",""," ("&amp;C2372&amp;")")&amp;IF(D2372="",""," - "&amp;D2372))</f>
        <v/>
      </c>
    </row>
    <row r="2373" customFormat="false" ht="15" hidden="false" customHeight="false" outlineLevel="0" collapsed="false">
      <c r="A2373" s="32"/>
      <c r="B2373" s="19"/>
      <c r="C2373" s="19"/>
      <c r="D2373" s="19"/>
      <c r="E2373" s="21"/>
      <c r="F2373" s="19"/>
      <c r="G2373" s="27" t="str">
        <f aca="false">IF(B2373="","",IFERROR(INDEX(Jeux!$C$2:$C$3001,MATCH(B2373,Jeux!$A$2:$A$3001,0))&amp;"","⚠ jeu inconnu"))</f>
        <v/>
      </c>
      <c r="H2373" s="27" t="str">
        <f aca="false">IF(B2373="","",IFERROR(INDEX(Jeux!$D$2:$D$3001,MATCH(B2373,Jeux!$A$2:$A$3001,0))&amp;"",""))</f>
        <v/>
      </c>
      <c r="I2373" s="26" t="str">
        <f aca="false">IF(A2373="","",COUNTIF(Apparitions!$G$2:$G$5001,A2373))</f>
        <v/>
      </c>
      <c r="J2373" s="26" t="str">
        <f aca="false">IF(A2373="","",COUNTIFS(Apparitions!$G$2:$G$5001,A2373,Apparitions!$E$2:$E$5001,"○"))</f>
        <v/>
      </c>
      <c r="K2373" s="29" t="str">
        <f aca="false">IF(A2373="","",IFERROR(1/(1/_xlfn.MINIFS(Apparitions!$L$2:$L$5001,Apparitions!$G$2:$G$5001,A2373)),""))</f>
        <v/>
      </c>
      <c r="L2373" s="27" t="str">
        <f aca="false">IF(A2373="","",A2373&amp;" | "&amp;B2373&amp;IF(C2373="",""," ("&amp;C2373&amp;")")&amp;IF(D2373="",""," - "&amp;D2373))</f>
        <v/>
      </c>
    </row>
    <row r="2374" customFormat="false" ht="15" hidden="false" customHeight="false" outlineLevel="0" collapsed="false">
      <c r="A2374" s="32"/>
      <c r="B2374" s="19"/>
      <c r="C2374" s="19"/>
      <c r="D2374" s="19"/>
      <c r="E2374" s="21"/>
      <c r="F2374" s="19"/>
      <c r="G2374" s="27" t="str">
        <f aca="false">IF(B2374="","",IFERROR(INDEX(Jeux!$C$2:$C$3001,MATCH(B2374,Jeux!$A$2:$A$3001,0))&amp;"","⚠ jeu inconnu"))</f>
        <v/>
      </c>
      <c r="H2374" s="27" t="str">
        <f aca="false">IF(B2374="","",IFERROR(INDEX(Jeux!$D$2:$D$3001,MATCH(B2374,Jeux!$A$2:$A$3001,0))&amp;"",""))</f>
        <v/>
      </c>
      <c r="I2374" s="26" t="str">
        <f aca="false">IF(A2374="","",COUNTIF(Apparitions!$G$2:$G$5001,A2374))</f>
        <v/>
      </c>
      <c r="J2374" s="26" t="str">
        <f aca="false">IF(A2374="","",COUNTIFS(Apparitions!$G$2:$G$5001,A2374,Apparitions!$E$2:$E$5001,"○"))</f>
        <v/>
      </c>
      <c r="K2374" s="29" t="str">
        <f aca="false">IF(A2374="","",IFERROR(1/(1/_xlfn.MINIFS(Apparitions!$L$2:$L$5001,Apparitions!$G$2:$G$5001,A2374)),""))</f>
        <v/>
      </c>
      <c r="L2374" s="27" t="str">
        <f aca="false">IF(A2374="","",A2374&amp;" | "&amp;B2374&amp;IF(C2374="",""," ("&amp;C2374&amp;")")&amp;IF(D2374="",""," - "&amp;D2374))</f>
        <v/>
      </c>
    </row>
    <row r="2375" customFormat="false" ht="15" hidden="false" customHeight="false" outlineLevel="0" collapsed="false">
      <c r="A2375" s="32"/>
      <c r="B2375" s="19"/>
      <c r="C2375" s="19"/>
      <c r="D2375" s="19"/>
      <c r="E2375" s="21"/>
      <c r="F2375" s="19"/>
      <c r="G2375" s="27" t="str">
        <f aca="false">IF(B2375="","",IFERROR(INDEX(Jeux!$C$2:$C$3001,MATCH(B2375,Jeux!$A$2:$A$3001,0))&amp;"","⚠ jeu inconnu"))</f>
        <v/>
      </c>
      <c r="H2375" s="27" t="str">
        <f aca="false">IF(B2375="","",IFERROR(INDEX(Jeux!$D$2:$D$3001,MATCH(B2375,Jeux!$A$2:$A$3001,0))&amp;"",""))</f>
        <v/>
      </c>
      <c r="I2375" s="26" t="str">
        <f aca="false">IF(A2375="","",COUNTIF(Apparitions!$G$2:$G$5001,A2375))</f>
        <v/>
      </c>
      <c r="J2375" s="26" t="str">
        <f aca="false">IF(A2375="","",COUNTIFS(Apparitions!$G$2:$G$5001,A2375,Apparitions!$E$2:$E$5001,"○"))</f>
        <v/>
      </c>
      <c r="K2375" s="29" t="str">
        <f aca="false">IF(A2375="","",IFERROR(1/(1/_xlfn.MINIFS(Apparitions!$L$2:$L$5001,Apparitions!$G$2:$G$5001,A2375)),""))</f>
        <v/>
      </c>
      <c r="L2375" s="27" t="str">
        <f aca="false">IF(A2375="","",A2375&amp;" | "&amp;B2375&amp;IF(C2375="",""," ("&amp;C2375&amp;")")&amp;IF(D2375="",""," - "&amp;D2375))</f>
        <v/>
      </c>
    </row>
    <row r="2376" customFormat="false" ht="15" hidden="false" customHeight="false" outlineLevel="0" collapsed="false">
      <c r="A2376" s="32"/>
      <c r="B2376" s="19"/>
      <c r="C2376" s="19"/>
      <c r="D2376" s="19"/>
      <c r="E2376" s="21"/>
      <c r="F2376" s="19"/>
      <c r="G2376" s="27" t="str">
        <f aca="false">IF(B2376="","",IFERROR(INDEX(Jeux!$C$2:$C$3001,MATCH(B2376,Jeux!$A$2:$A$3001,0))&amp;"","⚠ jeu inconnu"))</f>
        <v/>
      </c>
      <c r="H2376" s="27" t="str">
        <f aca="false">IF(B2376="","",IFERROR(INDEX(Jeux!$D$2:$D$3001,MATCH(B2376,Jeux!$A$2:$A$3001,0))&amp;"",""))</f>
        <v/>
      </c>
      <c r="I2376" s="26" t="str">
        <f aca="false">IF(A2376="","",COUNTIF(Apparitions!$G$2:$G$5001,A2376))</f>
        <v/>
      </c>
      <c r="J2376" s="26" t="str">
        <f aca="false">IF(A2376="","",COUNTIFS(Apparitions!$G$2:$G$5001,A2376,Apparitions!$E$2:$E$5001,"○"))</f>
        <v/>
      </c>
      <c r="K2376" s="29" t="str">
        <f aca="false">IF(A2376="","",IFERROR(1/(1/_xlfn.MINIFS(Apparitions!$L$2:$L$5001,Apparitions!$G$2:$G$5001,A2376)),""))</f>
        <v/>
      </c>
      <c r="L2376" s="27" t="str">
        <f aca="false">IF(A2376="","",A2376&amp;" | "&amp;B2376&amp;IF(C2376="",""," ("&amp;C2376&amp;")")&amp;IF(D2376="",""," - "&amp;D2376))</f>
        <v/>
      </c>
    </row>
    <row r="2377" customFormat="false" ht="15" hidden="false" customHeight="false" outlineLevel="0" collapsed="false">
      <c r="A2377" s="32"/>
      <c r="B2377" s="19"/>
      <c r="C2377" s="19"/>
      <c r="D2377" s="19"/>
      <c r="E2377" s="21"/>
      <c r="F2377" s="19"/>
      <c r="G2377" s="27" t="str">
        <f aca="false">IF(B2377="","",IFERROR(INDEX(Jeux!$C$2:$C$3001,MATCH(B2377,Jeux!$A$2:$A$3001,0))&amp;"","⚠ jeu inconnu"))</f>
        <v/>
      </c>
      <c r="H2377" s="27" t="str">
        <f aca="false">IF(B2377="","",IFERROR(INDEX(Jeux!$D$2:$D$3001,MATCH(B2377,Jeux!$A$2:$A$3001,0))&amp;"",""))</f>
        <v/>
      </c>
      <c r="I2377" s="26" t="str">
        <f aca="false">IF(A2377="","",COUNTIF(Apparitions!$G$2:$G$5001,A2377))</f>
        <v/>
      </c>
      <c r="J2377" s="26" t="str">
        <f aca="false">IF(A2377="","",COUNTIFS(Apparitions!$G$2:$G$5001,A2377,Apparitions!$E$2:$E$5001,"○"))</f>
        <v/>
      </c>
      <c r="K2377" s="29" t="str">
        <f aca="false">IF(A2377="","",IFERROR(1/(1/_xlfn.MINIFS(Apparitions!$L$2:$L$5001,Apparitions!$G$2:$G$5001,A2377)),""))</f>
        <v/>
      </c>
      <c r="L2377" s="27" t="str">
        <f aca="false">IF(A2377="","",A2377&amp;" | "&amp;B2377&amp;IF(C2377="",""," ("&amp;C2377&amp;")")&amp;IF(D2377="",""," - "&amp;D2377))</f>
        <v/>
      </c>
    </row>
    <row r="2378" customFormat="false" ht="15" hidden="false" customHeight="false" outlineLevel="0" collapsed="false">
      <c r="A2378" s="32"/>
      <c r="B2378" s="19"/>
      <c r="C2378" s="19"/>
      <c r="D2378" s="19"/>
      <c r="E2378" s="21"/>
      <c r="F2378" s="19"/>
      <c r="G2378" s="27" t="str">
        <f aca="false">IF(B2378="","",IFERROR(INDEX(Jeux!$C$2:$C$3001,MATCH(B2378,Jeux!$A$2:$A$3001,0))&amp;"","⚠ jeu inconnu"))</f>
        <v/>
      </c>
      <c r="H2378" s="27" t="str">
        <f aca="false">IF(B2378="","",IFERROR(INDEX(Jeux!$D$2:$D$3001,MATCH(B2378,Jeux!$A$2:$A$3001,0))&amp;"",""))</f>
        <v/>
      </c>
      <c r="I2378" s="26" t="str">
        <f aca="false">IF(A2378="","",COUNTIF(Apparitions!$G$2:$G$5001,A2378))</f>
        <v/>
      </c>
      <c r="J2378" s="26" t="str">
        <f aca="false">IF(A2378="","",COUNTIFS(Apparitions!$G$2:$G$5001,A2378,Apparitions!$E$2:$E$5001,"○"))</f>
        <v/>
      </c>
      <c r="K2378" s="29" t="str">
        <f aca="false">IF(A2378="","",IFERROR(1/(1/_xlfn.MINIFS(Apparitions!$L$2:$L$5001,Apparitions!$G$2:$G$5001,A2378)),""))</f>
        <v/>
      </c>
      <c r="L2378" s="27" t="str">
        <f aca="false">IF(A2378="","",A2378&amp;" | "&amp;B2378&amp;IF(C2378="",""," ("&amp;C2378&amp;")")&amp;IF(D2378="",""," - "&amp;D2378))</f>
        <v/>
      </c>
    </row>
    <row r="2379" customFormat="false" ht="15" hidden="false" customHeight="false" outlineLevel="0" collapsed="false">
      <c r="A2379" s="32"/>
      <c r="B2379" s="19"/>
      <c r="C2379" s="19"/>
      <c r="D2379" s="19"/>
      <c r="E2379" s="21"/>
      <c r="F2379" s="19"/>
      <c r="G2379" s="27" t="str">
        <f aca="false">IF(B2379="","",IFERROR(INDEX(Jeux!$C$2:$C$3001,MATCH(B2379,Jeux!$A$2:$A$3001,0))&amp;"","⚠ jeu inconnu"))</f>
        <v/>
      </c>
      <c r="H2379" s="27" t="str">
        <f aca="false">IF(B2379="","",IFERROR(INDEX(Jeux!$D$2:$D$3001,MATCH(B2379,Jeux!$A$2:$A$3001,0))&amp;"",""))</f>
        <v/>
      </c>
      <c r="I2379" s="26" t="str">
        <f aca="false">IF(A2379="","",COUNTIF(Apparitions!$G$2:$G$5001,A2379))</f>
        <v/>
      </c>
      <c r="J2379" s="26" t="str">
        <f aca="false">IF(A2379="","",COUNTIFS(Apparitions!$G$2:$G$5001,A2379,Apparitions!$E$2:$E$5001,"○"))</f>
        <v/>
      </c>
      <c r="K2379" s="29" t="str">
        <f aca="false">IF(A2379="","",IFERROR(1/(1/_xlfn.MINIFS(Apparitions!$L$2:$L$5001,Apparitions!$G$2:$G$5001,A2379)),""))</f>
        <v/>
      </c>
      <c r="L2379" s="27" t="str">
        <f aca="false">IF(A2379="","",A2379&amp;" | "&amp;B2379&amp;IF(C2379="",""," ("&amp;C2379&amp;")")&amp;IF(D2379="",""," - "&amp;D2379))</f>
        <v/>
      </c>
    </row>
    <row r="2380" customFormat="false" ht="15" hidden="false" customHeight="false" outlineLevel="0" collapsed="false">
      <c r="A2380" s="32"/>
      <c r="B2380" s="19"/>
      <c r="C2380" s="19"/>
      <c r="D2380" s="19"/>
      <c r="E2380" s="21"/>
      <c r="F2380" s="19"/>
      <c r="G2380" s="27" t="str">
        <f aca="false">IF(B2380="","",IFERROR(INDEX(Jeux!$C$2:$C$3001,MATCH(B2380,Jeux!$A$2:$A$3001,0))&amp;"","⚠ jeu inconnu"))</f>
        <v/>
      </c>
      <c r="H2380" s="27" t="str">
        <f aca="false">IF(B2380="","",IFERROR(INDEX(Jeux!$D$2:$D$3001,MATCH(B2380,Jeux!$A$2:$A$3001,0))&amp;"",""))</f>
        <v/>
      </c>
      <c r="I2380" s="26" t="str">
        <f aca="false">IF(A2380="","",COUNTIF(Apparitions!$G$2:$G$5001,A2380))</f>
        <v/>
      </c>
      <c r="J2380" s="26" t="str">
        <f aca="false">IF(A2380="","",COUNTIFS(Apparitions!$G$2:$G$5001,A2380,Apparitions!$E$2:$E$5001,"○"))</f>
        <v/>
      </c>
      <c r="K2380" s="29" t="str">
        <f aca="false">IF(A2380="","",IFERROR(1/(1/_xlfn.MINIFS(Apparitions!$L$2:$L$5001,Apparitions!$G$2:$G$5001,A2380)),""))</f>
        <v/>
      </c>
      <c r="L2380" s="27" t="str">
        <f aca="false">IF(A2380="","",A2380&amp;" | "&amp;B2380&amp;IF(C2380="",""," ("&amp;C2380&amp;")")&amp;IF(D2380="",""," - "&amp;D2380))</f>
        <v/>
      </c>
    </row>
    <row r="2381" customFormat="false" ht="15" hidden="false" customHeight="false" outlineLevel="0" collapsed="false">
      <c r="A2381" s="32"/>
      <c r="B2381" s="19"/>
      <c r="C2381" s="19"/>
      <c r="D2381" s="19"/>
      <c r="E2381" s="21"/>
      <c r="F2381" s="19"/>
      <c r="G2381" s="27" t="str">
        <f aca="false">IF(B2381="","",IFERROR(INDEX(Jeux!$C$2:$C$3001,MATCH(B2381,Jeux!$A$2:$A$3001,0))&amp;"","⚠ jeu inconnu"))</f>
        <v/>
      </c>
      <c r="H2381" s="27" t="str">
        <f aca="false">IF(B2381="","",IFERROR(INDEX(Jeux!$D$2:$D$3001,MATCH(B2381,Jeux!$A$2:$A$3001,0))&amp;"",""))</f>
        <v/>
      </c>
      <c r="I2381" s="26" t="str">
        <f aca="false">IF(A2381="","",COUNTIF(Apparitions!$G$2:$G$5001,A2381))</f>
        <v/>
      </c>
      <c r="J2381" s="26" t="str">
        <f aca="false">IF(A2381="","",COUNTIFS(Apparitions!$G$2:$G$5001,A2381,Apparitions!$E$2:$E$5001,"○"))</f>
        <v/>
      </c>
      <c r="K2381" s="29" t="str">
        <f aca="false">IF(A2381="","",IFERROR(1/(1/_xlfn.MINIFS(Apparitions!$L$2:$L$5001,Apparitions!$G$2:$G$5001,A2381)),""))</f>
        <v/>
      </c>
      <c r="L2381" s="27" t="str">
        <f aca="false">IF(A2381="","",A2381&amp;" | "&amp;B2381&amp;IF(C2381="",""," ("&amp;C2381&amp;")")&amp;IF(D2381="",""," - "&amp;D2381))</f>
        <v/>
      </c>
    </row>
    <row r="2382" customFormat="false" ht="15" hidden="false" customHeight="false" outlineLevel="0" collapsed="false">
      <c r="A2382" s="32"/>
      <c r="B2382" s="19"/>
      <c r="C2382" s="19"/>
      <c r="D2382" s="19"/>
      <c r="E2382" s="21"/>
      <c r="F2382" s="19"/>
      <c r="G2382" s="27" t="str">
        <f aca="false">IF(B2382="","",IFERROR(INDEX(Jeux!$C$2:$C$3001,MATCH(B2382,Jeux!$A$2:$A$3001,0))&amp;"","⚠ jeu inconnu"))</f>
        <v/>
      </c>
      <c r="H2382" s="27" t="str">
        <f aca="false">IF(B2382="","",IFERROR(INDEX(Jeux!$D$2:$D$3001,MATCH(B2382,Jeux!$A$2:$A$3001,0))&amp;"",""))</f>
        <v/>
      </c>
      <c r="I2382" s="26" t="str">
        <f aca="false">IF(A2382="","",COUNTIF(Apparitions!$G$2:$G$5001,A2382))</f>
        <v/>
      </c>
      <c r="J2382" s="26" t="str">
        <f aca="false">IF(A2382="","",COUNTIFS(Apparitions!$G$2:$G$5001,A2382,Apparitions!$E$2:$E$5001,"○"))</f>
        <v/>
      </c>
      <c r="K2382" s="29" t="str">
        <f aca="false">IF(A2382="","",IFERROR(1/(1/_xlfn.MINIFS(Apparitions!$L$2:$L$5001,Apparitions!$G$2:$G$5001,A2382)),""))</f>
        <v/>
      </c>
      <c r="L2382" s="27" t="str">
        <f aca="false">IF(A2382="","",A2382&amp;" | "&amp;B2382&amp;IF(C2382="",""," ("&amp;C2382&amp;")")&amp;IF(D2382="",""," - "&amp;D2382))</f>
        <v/>
      </c>
    </row>
    <row r="2383" customFormat="false" ht="15" hidden="false" customHeight="false" outlineLevel="0" collapsed="false">
      <c r="A2383" s="32"/>
      <c r="B2383" s="19"/>
      <c r="C2383" s="19"/>
      <c r="D2383" s="19"/>
      <c r="E2383" s="21"/>
      <c r="F2383" s="19"/>
      <c r="G2383" s="27" t="str">
        <f aca="false">IF(B2383="","",IFERROR(INDEX(Jeux!$C$2:$C$3001,MATCH(B2383,Jeux!$A$2:$A$3001,0))&amp;"","⚠ jeu inconnu"))</f>
        <v/>
      </c>
      <c r="H2383" s="27" t="str">
        <f aca="false">IF(B2383="","",IFERROR(INDEX(Jeux!$D$2:$D$3001,MATCH(B2383,Jeux!$A$2:$A$3001,0))&amp;"",""))</f>
        <v/>
      </c>
      <c r="I2383" s="26" t="str">
        <f aca="false">IF(A2383="","",COUNTIF(Apparitions!$G$2:$G$5001,A2383))</f>
        <v/>
      </c>
      <c r="J2383" s="26" t="str">
        <f aca="false">IF(A2383="","",COUNTIFS(Apparitions!$G$2:$G$5001,A2383,Apparitions!$E$2:$E$5001,"○"))</f>
        <v/>
      </c>
      <c r="K2383" s="29" t="str">
        <f aca="false">IF(A2383="","",IFERROR(1/(1/_xlfn.MINIFS(Apparitions!$L$2:$L$5001,Apparitions!$G$2:$G$5001,A2383)),""))</f>
        <v/>
      </c>
      <c r="L2383" s="27" t="str">
        <f aca="false">IF(A2383="","",A2383&amp;" | "&amp;B2383&amp;IF(C2383="",""," ("&amp;C2383&amp;")")&amp;IF(D2383="",""," - "&amp;D2383))</f>
        <v/>
      </c>
    </row>
    <row r="2384" customFormat="false" ht="15" hidden="false" customHeight="false" outlineLevel="0" collapsed="false">
      <c r="A2384" s="32"/>
      <c r="B2384" s="19"/>
      <c r="C2384" s="19"/>
      <c r="D2384" s="19"/>
      <c r="E2384" s="21"/>
      <c r="F2384" s="19"/>
      <c r="G2384" s="27" t="str">
        <f aca="false">IF(B2384="","",IFERROR(INDEX(Jeux!$C$2:$C$3001,MATCH(B2384,Jeux!$A$2:$A$3001,0))&amp;"","⚠ jeu inconnu"))</f>
        <v/>
      </c>
      <c r="H2384" s="27" t="str">
        <f aca="false">IF(B2384="","",IFERROR(INDEX(Jeux!$D$2:$D$3001,MATCH(B2384,Jeux!$A$2:$A$3001,0))&amp;"",""))</f>
        <v/>
      </c>
      <c r="I2384" s="26" t="str">
        <f aca="false">IF(A2384="","",COUNTIF(Apparitions!$G$2:$G$5001,A2384))</f>
        <v/>
      </c>
      <c r="J2384" s="26" t="str">
        <f aca="false">IF(A2384="","",COUNTIFS(Apparitions!$G$2:$G$5001,A2384,Apparitions!$E$2:$E$5001,"○"))</f>
        <v/>
      </c>
      <c r="K2384" s="29" t="str">
        <f aca="false">IF(A2384="","",IFERROR(1/(1/_xlfn.MINIFS(Apparitions!$L$2:$L$5001,Apparitions!$G$2:$G$5001,A2384)),""))</f>
        <v/>
      </c>
      <c r="L2384" s="27" t="str">
        <f aca="false">IF(A2384="","",A2384&amp;" | "&amp;B2384&amp;IF(C2384="",""," ("&amp;C2384&amp;")")&amp;IF(D2384="",""," - "&amp;D2384))</f>
        <v/>
      </c>
    </row>
    <row r="2385" customFormat="false" ht="15" hidden="false" customHeight="false" outlineLevel="0" collapsed="false">
      <c r="A2385" s="32"/>
      <c r="B2385" s="19"/>
      <c r="C2385" s="19"/>
      <c r="D2385" s="19"/>
      <c r="E2385" s="21"/>
      <c r="F2385" s="19"/>
      <c r="G2385" s="27" t="str">
        <f aca="false">IF(B2385="","",IFERROR(INDEX(Jeux!$C$2:$C$3001,MATCH(B2385,Jeux!$A$2:$A$3001,0))&amp;"","⚠ jeu inconnu"))</f>
        <v/>
      </c>
      <c r="H2385" s="27" t="str">
        <f aca="false">IF(B2385="","",IFERROR(INDEX(Jeux!$D$2:$D$3001,MATCH(B2385,Jeux!$A$2:$A$3001,0))&amp;"",""))</f>
        <v/>
      </c>
      <c r="I2385" s="26" t="str">
        <f aca="false">IF(A2385="","",COUNTIF(Apparitions!$G$2:$G$5001,A2385))</f>
        <v/>
      </c>
      <c r="J2385" s="26" t="str">
        <f aca="false">IF(A2385="","",COUNTIFS(Apparitions!$G$2:$G$5001,A2385,Apparitions!$E$2:$E$5001,"○"))</f>
        <v/>
      </c>
      <c r="K2385" s="29" t="str">
        <f aca="false">IF(A2385="","",IFERROR(1/(1/_xlfn.MINIFS(Apparitions!$L$2:$L$5001,Apparitions!$G$2:$G$5001,A2385)),""))</f>
        <v/>
      </c>
      <c r="L2385" s="27" t="str">
        <f aca="false">IF(A2385="","",A2385&amp;" | "&amp;B2385&amp;IF(C2385="",""," ("&amp;C2385&amp;")")&amp;IF(D2385="",""," - "&amp;D2385))</f>
        <v/>
      </c>
    </row>
    <row r="2386" customFormat="false" ht="15" hidden="false" customHeight="false" outlineLevel="0" collapsed="false">
      <c r="A2386" s="32"/>
      <c r="B2386" s="19"/>
      <c r="C2386" s="19"/>
      <c r="D2386" s="19"/>
      <c r="E2386" s="21"/>
      <c r="F2386" s="19"/>
      <c r="G2386" s="27" t="str">
        <f aca="false">IF(B2386="","",IFERROR(INDEX(Jeux!$C$2:$C$3001,MATCH(B2386,Jeux!$A$2:$A$3001,0))&amp;"","⚠ jeu inconnu"))</f>
        <v/>
      </c>
      <c r="H2386" s="27" t="str">
        <f aca="false">IF(B2386="","",IFERROR(INDEX(Jeux!$D$2:$D$3001,MATCH(B2386,Jeux!$A$2:$A$3001,0))&amp;"",""))</f>
        <v/>
      </c>
      <c r="I2386" s="26" t="str">
        <f aca="false">IF(A2386="","",COUNTIF(Apparitions!$G$2:$G$5001,A2386))</f>
        <v/>
      </c>
      <c r="J2386" s="26" t="str">
        <f aca="false">IF(A2386="","",COUNTIFS(Apparitions!$G$2:$G$5001,A2386,Apparitions!$E$2:$E$5001,"○"))</f>
        <v/>
      </c>
      <c r="K2386" s="29" t="str">
        <f aca="false">IF(A2386="","",IFERROR(1/(1/_xlfn.MINIFS(Apparitions!$L$2:$L$5001,Apparitions!$G$2:$G$5001,A2386)),""))</f>
        <v/>
      </c>
      <c r="L2386" s="27" t="str">
        <f aca="false">IF(A2386="","",A2386&amp;" | "&amp;B2386&amp;IF(C2386="",""," ("&amp;C2386&amp;")")&amp;IF(D2386="",""," - "&amp;D2386))</f>
        <v/>
      </c>
    </row>
    <row r="2387" customFormat="false" ht="15" hidden="false" customHeight="false" outlineLevel="0" collapsed="false">
      <c r="A2387" s="32"/>
      <c r="B2387" s="19"/>
      <c r="C2387" s="19"/>
      <c r="D2387" s="19"/>
      <c r="E2387" s="21"/>
      <c r="F2387" s="19"/>
      <c r="G2387" s="27" t="str">
        <f aca="false">IF(B2387="","",IFERROR(INDEX(Jeux!$C$2:$C$3001,MATCH(B2387,Jeux!$A$2:$A$3001,0))&amp;"","⚠ jeu inconnu"))</f>
        <v/>
      </c>
      <c r="H2387" s="27" t="str">
        <f aca="false">IF(B2387="","",IFERROR(INDEX(Jeux!$D$2:$D$3001,MATCH(B2387,Jeux!$A$2:$A$3001,0))&amp;"",""))</f>
        <v/>
      </c>
      <c r="I2387" s="26" t="str">
        <f aca="false">IF(A2387="","",COUNTIF(Apparitions!$G$2:$G$5001,A2387))</f>
        <v/>
      </c>
      <c r="J2387" s="26" t="str">
        <f aca="false">IF(A2387="","",COUNTIFS(Apparitions!$G$2:$G$5001,A2387,Apparitions!$E$2:$E$5001,"○"))</f>
        <v/>
      </c>
      <c r="K2387" s="29" t="str">
        <f aca="false">IF(A2387="","",IFERROR(1/(1/_xlfn.MINIFS(Apparitions!$L$2:$L$5001,Apparitions!$G$2:$G$5001,A2387)),""))</f>
        <v/>
      </c>
      <c r="L2387" s="27" t="str">
        <f aca="false">IF(A2387="","",A2387&amp;" | "&amp;B2387&amp;IF(C2387="",""," ("&amp;C2387&amp;")")&amp;IF(D2387="",""," - "&amp;D2387))</f>
        <v/>
      </c>
    </row>
    <row r="2388" customFormat="false" ht="15" hidden="false" customHeight="false" outlineLevel="0" collapsed="false">
      <c r="A2388" s="32"/>
      <c r="B2388" s="19"/>
      <c r="C2388" s="19"/>
      <c r="D2388" s="19"/>
      <c r="E2388" s="21"/>
      <c r="F2388" s="19"/>
      <c r="G2388" s="27" t="str">
        <f aca="false">IF(B2388="","",IFERROR(INDEX(Jeux!$C$2:$C$3001,MATCH(B2388,Jeux!$A$2:$A$3001,0))&amp;"","⚠ jeu inconnu"))</f>
        <v/>
      </c>
      <c r="H2388" s="27" t="str">
        <f aca="false">IF(B2388="","",IFERROR(INDEX(Jeux!$D$2:$D$3001,MATCH(B2388,Jeux!$A$2:$A$3001,0))&amp;"",""))</f>
        <v/>
      </c>
      <c r="I2388" s="26" t="str">
        <f aca="false">IF(A2388="","",COUNTIF(Apparitions!$G$2:$G$5001,A2388))</f>
        <v/>
      </c>
      <c r="J2388" s="26" t="str">
        <f aca="false">IF(A2388="","",COUNTIFS(Apparitions!$G$2:$G$5001,A2388,Apparitions!$E$2:$E$5001,"○"))</f>
        <v/>
      </c>
      <c r="K2388" s="29" t="str">
        <f aca="false">IF(A2388="","",IFERROR(1/(1/_xlfn.MINIFS(Apparitions!$L$2:$L$5001,Apparitions!$G$2:$G$5001,A2388)),""))</f>
        <v/>
      </c>
      <c r="L2388" s="27" t="str">
        <f aca="false">IF(A2388="","",A2388&amp;" | "&amp;B2388&amp;IF(C2388="",""," ("&amp;C2388&amp;")")&amp;IF(D2388="",""," - "&amp;D2388))</f>
        <v/>
      </c>
    </row>
    <row r="2389" customFormat="false" ht="15" hidden="false" customHeight="false" outlineLevel="0" collapsed="false">
      <c r="A2389" s="32"/>
      <c r="B2389" s="19"/>
      <c r="C2389" s="19"/>
      <c r="D2389" s="19"/>
      <c r="E2389" s="21"/>
      <c r="F2389" s="19"/>
      <c r="G2389" s="27" t="str">
        <f aca="false">IF(B2389="","",IFERROR(INDEX(Jeux!$C$2:$C$3001,MATCH(B2389,Jeux!$A$2:$A$3001,0))&amp;"","⚠ jeu inconnu"))</f>
        <v/>
      </c>
      <c r="H2389" s="27" t="str">
        <f aca="false">IF(B2389="","",IFERROR(INDEX(Jeux!$D$2:$D$3001,MATCH(B2389,Jeux!$A$2:$A$3001,0))&amp;"",""))</f>
        <v/>
      </c>
      <c r="I2389" s="26" t="str">
        <f aca="false">IF(A2389="","",COUNTIF(Apparitions!$G$2:$G$5001,A2389))</f>
        <v/>
      </c>
      <c r="J2389" s="26" t="str">
        <f aca="false">IF(A2389="","",COUNTIFS(Apparitions!$G$2:$G$5001,A2389,Apparitions!$E$2:$E$5001,"○"))</f>
        <v/>
      </c>
      <c r="K2389" s="29" t="str">
        <f aca="false">IF(A2389="","",IFERROR(1/(1/_xlfn.MINIFS(Apparitions!$L$2:$L$5001,Apparitions!$G$2:$G$5001,A2389)),""))</f>
        <v/>
      </c>
      <c r="L2389" s="27" t="str">
        <f aca="false">IF(A2389="","",A2389&amp;" | "&amp;B2389&amp;IF(C2389="",""," ("&amp;C2389&amp;")")&amp;IF(D2389="",""," - "&amp;D2389))</f>
        <v/>
      </c>
    </row>
    <row r="2390" customFormat="false" ht="15" hidden="false" customHeight="false" outlineLevel="0" collapsed="false">
      <c r="A2390" s="32"/>
      <c r="B2390" s="19"/>
      <c r="C2390" s="19"/>
      <c r="D2390" s="19"/>
      <c r="E2390" s="21"/>
      <c r="F2390" s="19"/>
      <c r="G2390" s="27" t="str">
        <f aca="false">IF(B2390="","",IFERROR(INDEX(Jeux!$C$2:$C$3001,MATCH(B2390,Jeux!$A$2:$A$3001,0))&amp;"","⚠ jeu inconnu"))</f>
        <v/>
      </c>
      <c r="H2390" s="27" t="str">
        <f aca="false">IF(B2390="","",IFERROR(INDEX(Jeux!$D$2:$D$3001,MATCH(B2390,Jeux!$A$2:$A$3001,0))&amp;"",""))</f>
        <v/>
      </c>
      <c r="I2390" s="26" t="str">
        <f aca="false">IF(A2390="","",COUNTIF(Apparitions!$G$2:$G$5001,A2390))</f>
        <v/>
      </c>
      <c r="J2390" s="26" t="str">
        <f aca="false">IF(A2390="","",COUNTIFS(Apparitions!$G$2:$G$5001,A2390,Apparitions!$E$2:$E$5001,"○"))</f>
        <v/>
      </c>
      <c r="K2390" s="29" t="str">
        <f aca="false">IF(A2390="","",IFERROR(1/(1/_xlfn.MINIFS(Apparitions!$L$2:$L$5001,Apparitions!$G$2:$G$5001,A2390)),""))</f>
        <v/>
      </c>
      <c r="L2390" s="27" t="str">
        <f aca="false">IF(A2390="","",A2390&amp;" | "&amp;B2390&amp;IF(C2390="",""," ("&amp;C2390&amp;")")&amp;IF(D2390="",""," - "&amp;D2390))</f>
        <v/>
      </c>
    </row>
    <row r="2391" customFormat="false" ht="15" hidden="false" customHeight="false" outlineLevel="0" collapsed="false">
      <c r="A2391" s="32"/>
      <c r="B2391" s="19"/>
      <c r="C2391" s="19"/>
      <c r="D2391" s="19"/>
      <c r="E2391" s="21"/>
      <c r="F2391" s="19"/>
      <c r="G2391" s="27" t="str">
        <f aca="false">IF(B2391="","",IFERROR(INDEX(Jeux!$C$2:$C$3001,MATCH(B2391,Jeux!$A$2:$A$3001,0))&amp;"","⚠ jeu inconnu"))</f>
        <v/>
      </c>
      <c r="H2391" s="27" t="str">
        <f aca="false">IF(B2391="","",IFERROR(INDEX(Jeux!$D$2:$D$3001,MATCH(B2391,Jeux!$A$2:$A$3001,0))&amp;"",""))</f>
        <v/>
      </c>
      <c r="I2391" s="26" t="str">
        <f aca="false">IF(A2391="","",COUNTIF(Apparitions!$G$2:$G$5001,A2391))</f>
        <v/>
      </c>
      <c r="J2391" s="26" t="str">
        <f aca="false">IF(A2391="","",COUNTIFS(Apparitions!$G$2:$G$5001,A2391,Apparitions!$E$2:$E$5001,"○"))</f>
        <v/>
      </c>
      <c r="K2391" s="29" t="str">
        <f aca="false">IF(A2391="","",IFERROR(1/(1/_xlfn.MINIFS(Apparitions!$L$2:$L$5001,Apparitions!$G$2:$G$5001,A2391)),""))</f>
        <v/>
      </c>
      <c r="L2391" s="27" t="str">
        <f aca="false">IF(A2391="","",A2391&amp;" | "&amp;B2391&amp;IF(C2391="",""," ("&amp;C2391&amp;")")&amp;IF(D2391="",""," - "&amp;D2391))</f>
        <v/>
      </c>
    </row>
    <row r="2392" customFormat="false" ht="15" hidden="false" customHeight="false" outlineLevel="0" collapsed="false">
      <c r="A2392" s="32"/>
      <c r="B2392" s="19"/>
      <c r="C2392" s="19"/>
      <c r="D2392" s="19"/>
      <c r="E2392" s="21"/>
      <c r="F2392" s="19"/>
      <c r="G2392" s="27" t="str">
        <f aca="false">IF(B2392="","",IFERROR(INDEX(Jeux!$C$2:$C$3001,MATCH(B2392,Jeux!$A$2:$A$3001,0))&amp;"","⚠ jeu inconnu"))</f>
        <v/>
      </c>
      <c r="H2392" s="27" t="str">
        <f aca="false">IF(B2392="","",IFERROR(INDEX(Jeux!$D$2:$D$3001,MATCH(B2392,Jeux!$A$2:$A$3001,0))&amp;"",""))</f>
        <v/>
      </c>
      <c r="I2392" s="26" t="str">
        <f aca="false">IF(A2392="","",COUNTIF(Apparitions!$G$2:$G$5001,A2392))</f>
        <v/>
      </c>
      <c r="J2392" s="26" t="str">
        <f aca="false">IF(A2392="","",COUNTIFS(Apparitions!$G$2:$G$5001,A2392,Apparitions!$E$2:$E$5001,"○"))</f>
        <v/>
      </c>
      <c r="K2392" s="29" t="str">
        <f aca="false">IF(A2392="","",IFERROR(1/(1/_xlfn.MINIFS(Apparitions!$L$2:$L$5001,Apparitions!$G$2:$G$5001,A2392)),""))</f>
        <v/>
      </c>
      <c r="L2392" s="27" t="str">
        <f aca="false">IF(A2392="","",A2392&amp;" | "&amp;B2392&amp;IF(C2392="",""," ("&amp;C2392&amp;")")&amp;IF(D2392="",""," - "&amp;D2392))</f>
        <v/>
      </c>
    </row>
    <row r="2393" customFormat="false" ht="15" hidden="false" customHeight="false" outlineLevel="0" collapsed="false">
      <c r="A2393" s="32"/>
      <c r="B2393" s="19"/>
      <c r="C2393" s="19"/>
      <c r="D2393" s="19"/>
      <c r="E2393" s="21"/>
      <c r="F2393" s="19"/>
      <c r="G2393" s="27" t="str">
        <f aca="false">IF(B2393="","",IFERROR(INDEX(Jeux!$C$2:$C$3001,MATCH(B2393,Jeux!$A$2:$A$3001,0))&amp;"","⚠ jeu inconnu"))</f>
        <v/>
      </c>
      <c r="H2393" s="27" t="str">
        <f aca="false">IF(B2393="","",IFERROR(INDEX(Jeux!$D$2:$D$3001,MATCH(B2393,Jeux!$A$2:$A$3001,0))&amp;"",""))</f>
        <v/>
      </c>
      <c r="I2393" s="26" t="str">
        <f aca="false">IF(A2393="","",COUNTIF(Apparitions!$G$2:$G$5001,A2393))</f>
        <v/>
      </c>
      <c r="J2393" s="26" t="str">
        <f aca="false">IF(A2393="","",COUNTIFS(Apparitions!$G$2:$G$5001,A2393,Apparitions!$E$2:$E$5001,"○"))</f>
        <v/>
      </c>
      <c r="K2393" s="29" t="str">
        <f aca="false">IF(A2393="","",IFERROR(1/(1/_xlfn.MINIFS(Apparitions!$L$2:$L$5001,Apparitions!$G$2:$G$5001,A2393)),""))</f>
        <v/>
      </c>
      <c r="L2393" s="27" t="str">
        <f aca="false">IF(A2393="","",A2393&amp;" | "&amp;B2393&amp;IF(C2393="",""," ("&amp;C2393&amp;")")&amp;IF(D2393="",""," - "&amp;D2393))</f>
        <v/>
      </c>
    </row>
    <row r="2394" customFormat="false" ht="15" hidden="false" customHeight="false" outlineLevel="0" collapsed="false">
      <c r="A2394" s="32"/>
      <c r="B2394" s="19"/>
      <c r="C2394" s="19"/>
      <c r="D2394" s="19"/>
      <c r="E2394" s="21"/>
      <c r="F2394" s="19"/>
      <c r="G2394" s="27" t="str">
        <f aca="false">IF(B2394="","",IFERROR(INDEX(Jeux!$C$2:$C$3001,MATCH(B2394,Jeux!$A$2:$A$3001,0))&amp;"","⚠ jeu inconnu"))</f>
        <v/>
      </c>
      <c r="H2394" s="27" t="str">
        <f aca="false">IF(B2394="","",IFERROR(INDEX(Jeux!$D$2:$D$3001,MATCH(B2394,Jeux!$A$2:$A$3001,0))&amp;"",""))</f>
        <v/>
      </c>
      <c r="I2394" s="26" t="str">
        <f aca="false">IF(A2394="","",COUNTIF(Apparitions!$G$2:$G$5001,A2394))</f>
        <v/>
      </c>
      <c r="J2394" s="26" t="str">
        <f aca="false">IF(A2394="","",COUNTIFS(Apparitions!$G$2:$G$5001,A2394,Apparitions!$E$2:$E$5001,"○"))</f>
        <v/>
      </c>
      <c r="K2394" s="29" t="str">
        <f aca="false">IF(A2394="","",IFERROR(1/(1/_xlfn.MINIFS(Apparitions!$L$2:$L$5001,Apparitions!$G$2:$G$5001,A2394)),""))</f>
        <v/>
      </c>
      <c r="L2394" s="27" t="str">
        <f aca="false">IF(A2394="","",A2394&amp;" | "&amp;B2394&amp;IF(C2394="",""," ("&amp;C2394&amp;")")&amp;IF(D2394="",""," - "&amp;D2394))</f>
        <v/>
      </c>
    </row>
    <row r="2395" customFormat="false" ht="15" hidden="false" customHeight="false" outlineLevel="0" collapsed="false">
      <c r="A2395" s="32"/>
      <c r="B2395" s="19"/>
      <c r="C2395" s="19"/>
      <c r="D2395" s="19"/>
      <c r="E2395" s="21"/>
      <c r="F2395" s="19"/>
      <c r="G2395" s="27" t="str">
        <f aca="false">IF(B2395="","",IFERROR(INDEX(Jeux!$C$2:$C$3001,MATCH(B2395,Jeux!$A$2:$A$3001,0))&amp;"","⚠ jeu inconnu"))</f>
        <v/>
      </c>
      <c r="H2395" s="27" t="str">
        <f aca="false">IF(B2395="","",IFERROR(INDEX(Jeux!$D$2:$D$3001,MATCH(B2395,Jeux!$A$2:$A$3001,0))&amp;"",""))</f>
        <v/>
      </c>
      <c r="I2395" s="26" t="str">
        <f aca="false">IF(A2395="","",COUNTIF(Apparitions!$G$2:$G$5001,A2395))</f>
        <v/>
      </c>
      <c r="J2395" s="26" t="str">
        <f aca="false">IF(A2395="","",COUNTIFS(Apparitions!$G$2:$G$5001,A2395,Apparitions!$E$2:$E$5001,"○"))</f>
        <v/>
      </c>
      <c r="K2395" s="29" t="str">
        <f aca="false">IF(A2395="","",IFERROR(1/(1/_xlfn.MINIFS(Apparitions!$L$2:$L$5001,Apparitions!$G$2:$G$5001,A2395)),""))</f>
        <v/>
      </c>
      <c r="L2395" s="27" t="str">
        <f aca="false">IF(A2395="","",A2395&amp;" | "&amp;B2395&amp;IF(C2395="",""," ("&amp;C2395&amp;")")&amp;IF(D2395="",""," - "&amp;D2395))</f>
        <v/>
      </c>
    </row>
    <row r="2396" customFormat="false" ht="15" hidden="false" customHeight="false" outlineLevel="0" collapsed="false">
      <c r="A2396" s="32"/>
      <c r="B2396" s="19"/>
      <c r="C2396" s="19"/>
      <c r="D2396" s="19"/>
      <c r="E2396" s="21"/>
      <c r="F2396" s="19"/>
      <c r="G2396" s="27" t="str">
        <f aca="false">IF(B2396="","",IFERROR(INDEX(Jeux!$C$2:$C$3001,MATCH(B2396,Jeux!$A$2:$A$3001,0))&amp;"","⚠ jeu inconnu"))</f>
        <v/>
      </c>
      <c r="H2396" s="27" t="str">
        <f aca="false">IF(B2396="","",IFERROR(INDEX(Jeux!$D$2:$D$3001,MATCH(B2396,Jeux!$A$2:$A$3001,0))&amp;"",""))</f>
        <v/>
      </c>
      <c r="I2396" s="26" t="str">
        <f aca="false">IF(A2396="","",COUNTIF(Apparitions!$G$2:$G$5001,A2396))</f>
        <v/>
      </c>
      <c r="J2396" s="26" t="str">
        <f aca="false">IF(A2396="","",COUNTIFS(Apparitions!$G$2:$G$5001,A2396,Apparitions!$E$2:$E$5001,"○"))</f>
        <v/>
      </c>
      <c r="K2396" s="29" t="str">
        <f aca="false">IF(A2396="","",IFERROR(1/(1/_xlfn.MINIFS(Apparitions!$L$2:$L$5001,Apparitions!$G$2:$G$5001,A2396)),""))</f>
        <v/>
      </c>
      <c r="L2396" s="27" t="str">
        <f aca="false">IF(A2396="","",A2396&amp;" | "&amp;B2396&amp;IF(C2396="",""," ("&amp;C2396&amp;")")&amp;IF(D2396="",""," - "&amp;D2396))</f>
        <v/>
      </c>
    </row>
    <row r="2397" customFormat="false" ht="15" hidden="false" customHeight="false" outlineLevel="0" collapsed="false">
      <c r="A2397" s="32"/>
      <c r="B2397" s="19"/>
      <c r="C2397" s="19"/>
      <c r="D2397" s="19"/>
      <c r="E2397" s="21"/>
      <c r="F2397" s="19"/>
      <c r="G2397" s="27" t="str">
        <f aca="false">IF(B2397="","",IFERROR(INDEX(Jeux!$C$2:$C$3001,MATCH(B2397,Jeux!$A$2:$A$3001,0))&amp;"","⚠ jeu inconnu"))</f>
        <v/>
      </c>
      <c r="H2397" s="27" t="str">
        <f aca="false">IF(B2397="","",IFERROR(INDEX(Jeux!$D$2:$D$3001,MATCH(B2397,Jeux!$A$2:$A$3001,0))&amp;"",""))</f>
        <v/>
      </c>
      <c r="I2397" s="26" t="str">
        <f aca="false">IF(A2397="","",COUNTIF(Apparitions!$G$2:$G$5001,A2397))</f>
        <v/>
      </c>
      <c r="J2397" s="26" t="str">
        <f aca="false">IF(A2397="","",COUNTIFS(Apparitions!$G$2:$G$5001,A2397,Apparitions!$E$2:$E$5001,"○"))</f>
        <v/>
      </c>
      <c r="K2397" s="29" t="str">
        <f aca="false">IF(A2397="","",IFERROR(1/(1/_xlfn.MINIFS(Apparitions!$L$2:$L$5001,Apparitions!$G$2:$G$5001,A2397)),""))</f>
        <v/>
      </c>
      <c r="L2397" s="27" t="str">
        <f aca="false">IF(A2397="","",A2397&amp;" | "&amp;B2397&amp;IF(C2397="",""," ("&amp;C2397&amp;")")&amp;IF(D2397="",""," - "&amp;D2397))</f>
        <v/>
      </c>
    </row>
    <row r="2398" customFormat="false" ht="15" hidden="false" customHeight="false" outlineLevel="0" collapsed="false">
      <c r="A2398" s="32"/>
      <c r="B2398" s="19"/>
      <c r="C2398" s="19"/>
      <c r="D2398" s="19"/>
      <c r="E2398" s="21"/>
      <c r="F2398" s="19"/>
      <c r="G2398" s="27" t="str">
        <f aca="false">IF(B2398="","",IFERROR(INDEX(Jeux!$C$2:$C$3001,MATCH(B2398,Jeux!$A$2:$A$3001,0))&amp;"","⚠ jeu inconnu"))</f>
        <v/>
      </c>
      <c r="H2398" s="27" t="str">
        <f aca="false">IF(B2398="","",IFERROR(INDEX(Jeux!$D$2:$D$3001,MATCH(B2398,Jeux!$A$2:$A$3001,0))&amp;"",""))</f>
        <v/>
      </c>
      <c r="I2398" s="26" t="str">
        <f aca="false">IF(A2398="","",COUNTIF(Apparitions!$G$2:$G$5001,A2398))</f>
        <v/>
      </c>
      <c r="J2398" s="26" t="str">
        <f aca="false">IF(A2398="","",COUNTIFS(Apparitions!$G$2:$G$5001,A2398,Apparitions!$E$2:$E$5001,"○"))</f>
        <v/>
      </c>
      <c r="K2398" s="29" t="str">
        <f aca="false">IF(A2398="","",IFERROR(1/(1/_xlfn.MINIFS(Apparitions!$L$2:$L$5001,Apparitions!$G$2:$G$5001,A2398)),""))</f>
        <v/>
      </c>
      <c r="L2398" s="27" t="str">
        <f aca="false">IF(A2398="","",A2398&amp;" | "&amp;B2398&amp;IF(C2398="",""," ("&amp;C2398&amp;")")&amp;IF(D2398="",""," - "&amp;D2398))</f>
        <v/>
      </c>
    </row>
    <row r="2399" customFormat="false" ht="15" hidden="false" customHeight="false" outlineLevel="0" collapsed="false">
      <c r="A2399" s="32"/>
      <c r="B2399" s="19"/>
      <c r="C2399" s="19"/>
      <c r="D2399" s="19"/>
      <c r="E2399" s="21"/>
      <c r="F2399" s="19"/>
      <c r="G2399" s="27" t="str">
        <f aca="false">IF(B2399="","",IFERROR(INDEX(Jeux!$C$2:$C$3001,MATCH(B2399,Jeux!$A$2:$A$3001,0))&amp;"","⚠ jeu inconnu"))</f>
        <v/>
      </c>
      <c r="H2399" s="27" t="str">
        <f aca="false">IF(B2399="","",IFERROR(INDEX(Jeux!$D$2:$D$3001,MATCH(B2399,Jeux!$A$2:$A$3001,0))&amp;"",""))</f>
        <v/>
      </c>
      <c r="I2399" s="26" t="str">
        <f aca="false">IF(A2399="","",COUNTIF(Apparitions!$G$2:$G$5001,A2399))</f>
        <v/>
      </c>
      <c r="J2399" s="26" t="str">
        <f aca="false">IF(A2399="","",COUNTIFS(Apparitions!$G$2:$G$5001,A2399,Apparitions!$E$2:$E$5001,"○"))</f>
        <v/>
      </c>
      <c r="K2399" s="29" t="str">
        <f aca="false">IF(A2399="","",IFERROR(1/(1/_xlfn.MINIFS(Apparitions!$L$2:$L$5001,Apparitions!$G$2:$G$5001,A2399)),""))</f>
        <v/>
      </c>
      <c r="L2399" s="27" t="str">
        <f aca="false">IF(A2399="","",A2399&amp;" | "&amp;B2399&amp;IF(C2399="",""," ("&amp;C2399&amp;")")&amp;IF(D2399="",""," - "&amp;D2399))</f>
        <v/>
      </c>
    </row>
    <row r="2400" customFormat="false" ht="15" hidden="false" customHeight="false" outlineLevel="0" collapsed="false">
      <c r="A2400" s="32"/>
      <c r="B2400" s="19"/>
      <c r="C2400" s="19"/>
      <c r="D2400" s="19"/>
      <c r="E2400" s="21"/>
      <c r="F2400" s="19"/>
      <c r="G2400" s="27" t="str">
        <f aca="false">IF(B2400="","",IFERROR(INDEX(Jeux!$C$2:$C$3001,MATCH(B2400,Jeux!$A$2:$A$3001,0))&amp;"","⚠ jeu inconnu"))</f>
        <v/>
      </c>
      <c r="H2400" s="27" t="str">
        <f aca="false">IF(B2400="","",IFERROR(INDEX(Jeux!$D$2:$D$3001,MATCH(B2400,Jeux!$A$2:$A$3001,0))&amp;"",""))</f>
        <v/>
      </c>
      <c r="I2400" s="26" t="str">
        <f aca="false">IF(A2400="","",COUNTIF(Apparitions!$G$2:$G$5001,A2400))</f>
        <v/>
      </c>
      <c r="J2400" s="26" t="str">
        <f aca="false">IF(A2400="","",COUNTIFS(Apparitions!$G$2:$G$5001,A2400,Apparitions!$E$2:$E$5001,"○"))</f>
        <v/>
      </c>
      <c r="K2400" s="29" t="str">
        <f aca="false">IF(A2400="","",IFERROR(1/(1/_xlfn.MINIFS(Apparitions!$L$2:$L$5001,Apparitions!$G$2:$G$5001,A2400)),""))</f>
        <v/>
      </c>
      <c r="L2400" s="27" t="str">
        <f aca="false">IF(A2400="","",A2400&amp;" | "&amp;B2400&amp;IF(C2400="",""," ("&amp;C2400&amp;")")&amp;IF(D2400="",""," - "&amp;D2400))</f>
        <v/>
      </c>
    </row>
    <row r="2401" customFormat="false" ht="15" hidden="false" customHeight="false" outlineLevel="0" collapsed="false">
      <c r="A2401" s="32"/>
      <c r="B2401" s="19"/>
      <c r="C2401" s="19"/>
      <c r="D2401" s="19"/>
      <c r="E2401" s="21"/>
      <c r="F2401" s="19"/>
      <c r="G2401" s="27" t="str">
        <f aca="false">IF(B2401="","",IFERROR(INDEX(Jeux!$C$2:$C$3001,MATCH(B2401,Jeux!$A$2:$A$3001,0))&amp;"","⚠ jeu inconnu"))</f>
        <v/>
      </c>
      <c r="H2401" s="27" t="str">
        <f aca="false">IF(B2401="","",IFERROR(INDEX(Jeux!$D$2:$D$3001,MATCH(B2401,Jeux!$A$2:$A$3001,0))&amp;"",""))</f>
        <v/>
      </c>
      <c r="I2401" s="26" t="str">
        <f aca="false">IF(A2401="","",COUNTIF(Apparitions!$G$2:$G$5001,A2401))</f>
        <v/>
      </c>
      <c r="J2401" s="26" t="str">
        <f aca="false">IF(A2401="","",COUNTIFS(Apparitions!$G$2:$G$5001,A2401,Apparitions!$E$2:$E$5001,"○"))</f>
        <v/>
      </c>
      <c r="K2401" s="29" t="str">
        <f aca="false">IF(A2401="","",IFERROR(1/(1/_xlfn.MINIFS(Apparitions!$L$2:$L$5001,Apparitions!$G$2:$G$5001,A2401)),""))</f>
        <v/>
      </c>
      <c r="L2401" s="27" t="str">
        <f aca="false">IF(A2401="","",A2401&amp;" | "&amp;B2401&amp;IF(C2401="",""," ("&amp;C2401&amp;")")&amp;IF(D2401="",""," - "&amp;D2401))</f>
        <v/>
      </c>
    </row>
    <row r="2402" customFormat="false" ht="15" hidden="false" customHeight="false" outlineLevel="0" collapsed="false">
      <c r="A2402" s="32"/>
      <c r="B2402" s="19"/>
      <c r="C2402" s="19"/>
      <c r="D2402" s="19"/>
      <c r="E2402" s="21"/>
      <c r="F2402" s="19"/>
      <c r="G2402" s="27" t="str">
        <f aca="false">IF(B2402="","",IFERROR(INDEX(Jeux!$C$2:$C$3001,MATCH(B2402,Jeux!$A$2:$A$3001,0))&amp;"","⚠ jeu inconnu"))</f>
        <v/>
      </c>
      <c r="H2402" s="27" t="str">
        <f aca="false">IF(B2402="","",IFERROR(INDEX(Jeux!$D$2:$D$3001,MATCH(B2402,Jeux!$A$2:$A$3001,0))&amp;"",""))</f>
        <v/>
      </c>
      <c r="I2402" s="26" t="str">
        <f aca="false">IF(A2402="","",COUNTIF(Apparitions!$G$2:$G$5001,A2402))</f>
        <v/>
      </c>
      <c r="J2402" s="26" t="str">
        <f aca="false">IF(A2402="","",COUNTIFS(Apparitions!$G$2:$G$5001,A2402,Apparitions!$E$2:$E$5001,"○"))</f>
        <v/>
      </c>
      <c r="K2402" s="29" t="str">
        <f aca="false">IF(A2402="","",IFERROR(1/(1/_xlfn.MINIFS(Apparitions!$L$2:$L$5001,Apparitions!$G$2:$G$5001,A2402)),""))</f>
        <v/>
      </c>
      <c r="L2402" s="27" t="str">
        <f aca="false">IF(A2402="","",A2402&amp;" | "&amp;B2402&amp;IF(C2402="",""," ("&amp;C2402&amp;")")&amp;IF(D2402="",""," - "&amp;D2402))</f>
        <v/>
      </c>
    </row>
    <row r="2403" customFormat="false" ht="15" hidden="false" customHeight="false" outlineLevel="0" collapsed="false">
      <c r="A2403" s="32"/>
      <c r="B2403" s="19"/>
      <c r="C2403" s="19"/>
      <c r="D2403" s="19"/>
      <c r="E2403" s="21"/>
      <c r="F2403" s="19"/>
      <c r="G2403" s="27" t="str">
        <f aca="false">IF(B2403="","",IFERROR(INDEX(Jeux!$C$2:$C$3001,MATCH(B2403,Jeux!$A$2:$A$3001,0))&amp;"","⚠ jeu inconnu"))</f>
        <v/>
      </c>
      <c r="H2403" s="27" t="str">
        <f aca="false">IF(B2403="","",IFERROR(INDEX(Jeux!$D$2:$D$3001,MATCH(B2403,Jeux!$A$2:$A$3001,0))&amp;"",""))</f>
        <v/>
      </c>
      <c r="I2403" s="26" t="str">
        <f aca="false">IF(A2403="","",COUNTIF(Apparitions!$G$2:$G$5001,A2403))</f>
        <v/>
      </c>
      <c r="J2403" s="26" t="str">
        <f aca="false">IF(A2403="","",COUNTIFS(Apparitions!$G$2:$G$5001,A2403,Apparitions!$E$2:$E$5001,"○"))</f>
        <v/>
      </c>
      <c r="K2403" s="29" t="str">
        <f aca="false">IF(A2403="","",IFERROR(1/(1/_xlfn.MINIFS(Apparitions!$L$2:$L$5001,Apparitions!$G$2:$G$5001,A2403)),""))</f>
        <v/>
      </c>
      <c r="L2403" s="27" t="str">
        <f aca="false">IF(A2403="","",A2403&amp;" | "&amp;B2403&amp;IF(C2403="",""," ("&amp;C2403&amp;")")&amp;IF(D2403="",""," - "&amp;D2403))</f>
        <v/>
      </c>
    </row>
    <row r="2404" customFormat="false" ht="15" hidden="false" customHeight="false" outlineLevel="0" collapsed="false">
      <c r="A2404" s="32"/>
      <c r="B2404" s="19"/>
      <c r="C2404" s="19"/>
      <c r="D2404" s="19"/>
      <c r="E2404" s="21"/>
      <c r="F2404" s="19"/>
      <c r="G2404" s="27" t="str">
        <f aca="false">IF(B2404="","",IFERROR(INDEX(Jeux!$C$2:$C$3001,MATCH(B2404,Jeux!$A$2:$A$3001,0))&amp;"","⚠ jeu inconnu"))</f>
        <v/>
      </c>
      <c r="H2404" s="27" t="str">
        <f aca="false">IF(B2404="","",IFERROR(INDEX(Jeux!$D$2:$D$3001,MATCH(B2404,Jeux!$A$2:$A$3001,0))&amp;"",""))</f>
        <v/>
      </c>
      <c r="I2404" s="26" t="str">
        <f aca="false">IF(A2404="","",COUNTIF(Apparitions!$G$2:$G$5001,A2404))</f>
        <v/>
      </c>
      <c r="J2404" s="26" t="str">
        <f aca="false">IF(A2404="","",COUNTIFS(Apparitions!$G$2:$G$5001,A2404,Apparitions!$E$2:$E$5001,"○"))</f>
        <v/>
      </c>
      <c r="K2404" s="29" t="str">
        <f aca="false">IF(A2404="","",IFERROR(1/(1/_xlfn.MINIFS(Apparitions!$L$2:$L$5001,Apparitions!$G$2:$G$5001,A2404)),""))</f>
        <v/>
      </c>
      <c r="L2404" s="27" t="str">
        <f aca="false">IF(A2404="","",A2404&amp;" | "&amp;B2404&amp;IF(C2404="",""," ("&amp;C2404&amp;")")&amp;IF(D2404="",""," - "&amp;D2404))</f>
        <v/>
      </c>
    </row>
    <row r="2405" customFormat="false" ht="15" hidden="false" customHeight="false" outlineLevel="0" collapsed="false">
      <c r="A2405" s="32"/>
      <c r="B2405" s="19"/>
      <c r="C2405" s="19"/>
      <c r="D2405" s="19"/>
      <c r="E2405" s="21"/>
      <c r="F2405" s="19"/>
      <c r="G2405" s="27" t="str">
        <f aca="false">IF(B2405="","",IFERROR(INDEX(Jeux!$C$2:$C$3001,MATCH(B2405,Jeux!$A$2:$A$3001,0))&amp;"","⚠ jeu inconnu"))</f>
        <v/>
      </c>
      <c r="H2405" s="27" t="str">
        <f aca="false">IF(B2405="","",IFERROR(INDEX(Jeux!$D$2:$D$3001,MATCH(B2405,Jeux!$A$2:$A$3001,0))&amp;"",""))</f>
        <v/>
      </c>
      <c r="I2405" s="26" t="str">
        <f aca="false">IF(A2405="","",COUNTIF(Apparitions!$G$2:$G$5001,A2405))</f>
        <v/>
      </c>
      <c r="J2405" s="26" t="str">
        <f aca="false">IF(A2405="","",COUNTIFS(Apparitions!$G$2:$G$5001,A2405,Apparitions!$E$2:$E$5001,"○"))</f>
        <v/>
      </c>
      <c r="K2405" s="29" t="str">
        <f aca="false">IF(A2405="","",IFERROR(1/(1/_xlfn.MINIFS(Apparitions!$L$2:$L$5001,Apparitions!$G$2:$G$5001,A2405)),""))</f>
        <v/>
      </c>
      <c r="L2405" s="27" t="str">
        <f aca="false">IF(A2405="","",A2405&amp;" | "&amp;B2405&amp;IF(C2405="",""," ("&amp;C2405&amp;")")&amp;IF(D2405="",""," - "&amp;D2405))</f>
        <v/>
      </c>
    </row>
    <row r="2406" customFormat="false" ht="15" hidden="false" customHeight="false" outlineLevel="0" collapsed="false">
      <c r="A2406" s="32"/>
      <c r="B2406" s="19"/>
      <c r="C2406" s="19"/>
      <c r="D2406" s="19"/>
      <c r="E2406" s="21"/>
      <c r="F2406" s="19"/>
      <c r="G2406" s="27" t="str">
        <f aca="false">IF(B2406="","",IFERROR(INDEX(Jeux!$C$2:$C$3001,MATCH(B2406,Jeux!$A$2:$A$3001,0))&amp;"","⚠ jeu inconnu"))</f>
        <v/>
      </c>
      <c r="H2406" s="27" t="str">
        <f aca="false">IF(B2406="","",IFERROR(INDEX(Jeux!$D$2:$D$3001,MATCH(B2406,Jeux!$A$2:$A$3001,0))&amp;"",""))</f>
        <v/>
      </c>
      <c r="I2406" s="26" t="str">
        <f aca="false">IF(A2406="","",COUNTIF(Apparitions!$G$2:$G$5001,A2406))</f>
        <v/>
      </c>
      <c r="J2406" s="26" t="str">
        <f aca="false">IF(A2406="","",COUNTIFS(Apparitions!$G$2:$G$5001,A2406,Apparitions!$E$2:$E$5001,"○"))</f>
        <v/>
      </c>
      <c r="K2406" s="29" t="str">
        <f aca="false">IF(A2406="","",IFERROR(1/(1/_xlfn.MINIFS(Apparitions!$L$2:$L$5001,Apparitions!$G$2:$G$5001,A2406)),""))</f>
        <v/>
      </c>
      <c r="L2406" s="27" t="str">
        <f aca="false">IF(A2406="","",A2406&amp;" | "&amp;B2406&amp;IF(C2406="",""," ("&amp;C2406&amp;")")&amp;IF(D2406="",""," - "&amp;D2406))</f>
        <v/>
      </c>
    </row>
    <row r="2407" customFormat="false" ht="15" hidden="false" customHeight="false" outlineLevel="0" collapsed="false">
      <c r="A2407" s="32"/>
      <c r="B2407" s="19"/>
      <c r="C2407" s="19"/>
      <c r="D2407" s="19"/>
      <c r="E2407" s="21"/>
      <c r="F2407" s="19"/>
      <c r="G2407" s="27" t="str">
        <f aca="false">IF(B2407="","",IFERROR(INDEX(Jeux!$C$2:$C$3001,MATCH(B2407,Jeux!$A$2:$A$3001,0))&amp;"","⚠ jeu inconnu"))</f>
        <v/>
      </c>
      <c r="H2407" s="27" t="str">
        <f aca="false">IF(B2407="","",IFERROR(INDEX(Jeux!$D$2:$D$3001,MATCH(B2407,Jeux!$A$2:$A$3001,0))&amp;"",""))</f>
        <v/>
      </c>
      <c r="I2407" s="26" t="str">
        <f aca="false">IF(A2407="","",COUNTIF(Apparitions!$G$2:$G$5001,A2407))</f>
        <v/>
      </c>
      <c r="J2407" s="26" t="str">
        <f aca="false">IF(A2407="","",COUNTIFS(Apparitions!$G$2:$G$5001,A2407,Apparitions!$E$2:$E$5001,"○"))</f>
        <v/>
      </c>
      <c r="K2407" s="29" t="str">
        <f aca="false">IF(A2407="","",IFERROR(1/(1/_xlfn.MINIFS(Apparitions!$L$2:$L$5001,Apparitions!$G$2:$G$5001,A2407)),""))</f>
        <v/>
      </c>
      <c r="L2407" s="27" t="str">
        <f aca="false">IF(A2407="","",A2407&amp;" | "&amp;B2407&amp;IF(C2407="",""," ("&amp;C2407&amp;")")&amp;IF(D2407="",""," - "&amp;D2407))</f>
        <v/>
      </c>
    </row>
    <row r="2408" customFormat="false" ht="15" hidden="false" customHeight="false" outlineLevel="0" collapsed="false">
      <c r="A2408" s="32"/>
      <c r="B2408" s="19"/>
      <c r="C2408" s="19"/>
      <c r="D2408" s="19"/>
      <c r="E2408" s="21"/>
      <c r="F2408" s="19"/>
      <c r="G2408" s="27" t="str">
        <f aca="false">IF(B2408="","",IFERROR(INDEX(Jeux!$C$2:$C$3001,MATCH(B2408,Jeux!$A$2:$A$3001,0))&amp;"","⚠ jeu inconnu"))</f>
        <v/>
      </c>
      <c r="H2408" s="27" t="str">
        <f aca="false">IF(B2408="","",IFERROR(INDEX(Jeux!$D$2:$D$3001,MATCH(B2408,Jeux!$A$2:$A$3001,0))&amp;"",""))</f>
        <v/>
      </c>
      <c r="I2408" s="26" t="str">
        <f aca="false">IF(A2408="","",COUNTIF(Apparitions!$G$2:$G$5001,A2408))</f>
        <v/>
      </c>
      <c r="J2408" s="26" t="str">
        <f aca="false">IF(A2408="","",COUNTIFS(Apparitions!$G$2:$G$5001,A2408,Apparitions!$E$2:$E$5001,"○"))</f>
        <v/>
      </c>
      <c r="K2408" s="29" t="str">
        <f aca="false">IF(A2408="","",IFERROR(1/(1/_xlfn.MINIFS(Apparitions!$L$2:$L$5001,Apparitions!$G$2:$G$5001,A2408)),""))</f>
        <v/>
      </c>
      <c r="L2408" s="27" t="str">
        <f aca="false">IF(A2408="","",A2408&amp;" | "&amp;B2408&amp;IF(C2408="",""," ("&amp;C2408&amp;")")&amp;IF(D2408="",""," - "&amp;D2408))</f>
        <v/>
      </c>
    </row>
    <row r="2409" customFormat="false" ht="15" hidden="false" customHeight="false" outlineLevel="0" collapsed="false">
      <c r="A2409" s="32"/>
      <c r="B2409" s="19"/>
      <c r="C2409" s="19"/>
      <c r="D2409" s="19"/>
      <c r="E2409" s="21"/>
      <c r="F2409" s="19"/>
      <c r="G2409" s="27" t="str">
        <f aca="false">IF(B2409="","",IFERROR(INDEX(Jeux!$C$2:$C$3001,MATCH(B2409,Jeux!$A$2:$A$3001,0))&amp;"","⚠ jeu inconnu"))</f>
        <v/>
      </c>
      <c r="H2409" s="27" t="str">
        <f aca="false">IF(B2409="","",IFERROR(INDEX(Jeux!$D$2:$D$3001,MATCH(B2409,Jeux!$A$2:$A$3001,0))&amp;"",""))</f>
        <v/>
      </c>
      <c r="I2409" s="26" t="str">
        <f aca="false">IF(A2409="","",COUNTIF(Apparitions!$G$2:$G$5001,A2409))</f>
        <v/>
      </c>
      <c r="J2409" s="26" t="str">
        <f aca="false">IF(A2409="","",COUNTIFS(Apparitions!$G$2:$G$5001,A2409,Apparitions!$E$2:$E$5001,"○"))</f>
        <v/>
      </c>
      <c r="K2409" s="29" t="str">
        <f aca="false">IF(A2409="","",IFERROR(1/(1/_xlfn.MINIFS(Apparitions!$L$2:$L$5001,Apparitions!$G$2:$G$5001,A2409)),""))</f>
        <v/>
      </c>
      <c r="L2409" s="27" t="str">
        <f aca="false">IF(A2409="","",A2409&amp;" | "&amp;B2409&amp;IF(C2409="",""," ("&amp;C2409&amp;")")&amp;IF(D2409="",""," - "&amp;D2409))</f>
        <v/>
      </c>
    </row>
    <row r="2410" customFormat="false" ht="15" hidden="false" customHeight="false" outlineLevel="0" collapsed="false">
      <c r="A2410" s="32"/>
      <c r="B2410" s="19"/>
      <c r="C2410" s="19"/>
      <c r="D2410" s="19"/>
      <c r="E2410" s="21"/>
      <c r="F2410" s="19"/>
      <c r="G2410" s="27" t="str">
        <f aca="false">IF(B2410="","",IFERROR(INDEX(Jeux!$C$2:$C$3001,MATCH(B2410,Jeux!$A$2:$A$3001,0))&amp;"","⚠ jeu inconnu"))</f>
        <v/>
      </c>
      <c r="H2410" s="27" t="str">
        <f aca="false">IF(B2410="","",IFERROR(INDEX(Jeux!$D$2:$D$3001,MATCH(B2410,Jeux!$A$2:$A$3001,0))&amp;"",""))</f>
        <v/>
      </c>
      <c r="I2410" s="26" t="str">
        <f aca="false">IF(A2410="","",COUNTIF(Apparitions!$G$2:$G$5001,A2410))</f>
        <v/>
      </c>
      <c r="J2410" s="26" t="str">
        <f aca="false">IF(A2410="","",COUNTIFS(Apparitions!$G$2:$G$5001,A2410,Apparitions!$E$2:$E$5001,"○"))</f>
        <v/>
      </c>
      <c r="K2410" s="29" t="str">
        <f aca="false">IF(A2410="","",IFERROR(1/(1/_xlfn.MINIFS(Apparitions!$L$2:$L$5001,Apparitions!$G$2:$G$5001,A2410)),""))</f>
        <v/>
      </c>
      <c r="L2410" s="27" t="str">
        <f aca="false">IF(A2410="","",A2410&amp;" | "&amp;B2410&amp;IF(C2410="",""," ("&amp;C2410&amp;")")&amp;IF(D2410="",""," - "&amp;D2410))</f>
        <v/>
      </c>
    </row>
    <row r="2411" customFormat="false" ht="15" hidden="false" customHeight="false" outlineLevel="0" collapsed="false">
      <c r="A2411" s="32"/>
      <c r="B2411" s="19"/>
      <c r="C2411" s="19"/>
      <c r="D2411" s="19"/>
      <c r="E2411" s="21"/>
      <c r="F2411" s="19"/>
      <c r="G2411" s="27" t="str">
        <f aca="false">IF(B2411="","",IFERROR(INDEX(Jeux!$C$2:$C$3001,MATCH(B2411,Jeux!$A$2:$A$3001,0))&amp;"","⚠ jeu inconnu"))</f>
        <v/>
      </c>
      <c r="H2411" s="27" t="str">
        <f aca="false">IF(B2411="","",IFERROR(INDEX(Jeux!$D$2:$D$3001,MATCH(B2411,Jeux!$A$2:$A$3001,0))&amp;"",""))</f>
        <v/>
      </c>
      <c r="I2411" s="26" t="str">
        <f aca="false">IF(A2411="","",COUNTIF(Apparitions!$G$2:$G$5001,A2411))</f>
        <v/>
      </c>
      <c r="J2411" s="26" t="str">
        <f aca="false">IF(A2411="","",COUNTIFS(Apparitions!$G$2:$G$5001,A2411,Apparitions!$E$2:$E$5001,"○"))</f>
        <v/>
      </c>
      <c r="K2411" s="29" t="str">
        <f aca="false">IF(A2411="","",IFERROR(1/(1/_xlfn.MINIFS(Apparitions!$L$2:$L$5001,Apparitions!$G$2:$G$5001,A2411)),""))</f>
        <v/>
      </c>
      <c r="L2411" s="27" t="str">
        <f aca="false">IF(A2411="","",A2411&amp;" | "&amp;B2411&amp;IF(C2411="",""," ("&amp;C2411&amp;")")&amp;IF(D2411="",""," - "&amp;D2411))</f>
        <v/>
      </c>
    </row>
    <row r="2412" customFormat="false" ht="15" hidden="false" customHeight="false" outlineLevel="0" collapsed="false">
      <c r="A2412" s="32"/>
      <c r="B2412" s="19"/>
      <c r="C2412" s="19"/>
      <c r="D2412" s="19"/>
      <c r="E2412" s="21"/>
      <c r="F2412" s="19"/>
      <c r="G2412" s="27" t="str">
        <f aca="false">IF(B2412="","",IFERROR(INDEX(Jeux!$C$2:$C$3001,MATCH(B2412,Jeux!$A$2:$A$3001,0))&amp;"","⚠ jeu inconnu"))</f>
        <v/>
      </c>
      <c r="H2412" s="27" t="str">
        <f aca="false">IF(B2412="","",IFERROR(INDEX(Jeux!$D$2:$D$3001,MATCH(B2412,Jeux!$A$2:$A$3001,0))&amp;"",""))</f>
        <v/>
      </c>
      <c r="I2412" s="26" t="str">
        <f aca="false">IF(A2412="","",COUNTIF(Apparitions!$G$2:$G$5001,A2412))</f>
        <v/>
      </c>
      <c r="J2412" s="26" t="str">
        <f aca="false">IF(A2412="","",COUNTIFS(Apparitions!$G$2:$G$5001,A2412,Apparitions!$E$2:$E$5001,"○"))</f>
        <v/>
      </c>
      <c r="K2412" s="29" t="str">
        <f aca="false">IF(A2412="","",IFERROR(1/(1/_xlfn.MINIFS(Apparitions!$L$2:$L$5001,Apparitions!$G$2:$G$5001,A2412)),""))</f>
        <v/>
      </c>
      <c r="L2412" s="27" t="str">
        <f aca="false">IF(A2412="","",A2412&amp;" | "&amp;B2412&amp;IF(C2412="",""," ("&amp;C2412&amp;")")&amp;IF(D2412="",""," - "&amp;D2412))</f>
        <v/>
      </c>
    </row>
    <row r="2413" customFormat="false" ht="15" hidden="false" customHeight="false" outlineLevel="0" collapsed="false">
      <c r="A2413" s="32"/>
      <c r="B2413" s="19"/>
      <c r="C2413" s="19"/>
      <c r="D2413" s="19"/>
      <c r="E2413" s="21"/>
      <c r="F2413" s="19"/>
      <c r="G2413" s="27" t="str">
        <f aca="false">IF(B2413="","",IFERROR(INDEX(Jeux!$C$2:$C$3001,MATCH(B2413,Jeux!$A$2:$A$3001,0))&amp;"","⚠ jeu inconnu"))</f>
        <v/>
      </c>
      <c r="H2413" s="27" t="str">
        <f aca="false">IF(B2413="","",IFERROR(INDEX(Jeux!$D$2:$D$3001,MATCH(B2413,Jeux!$A$2:$A$3001,0))&amp;"",""))</f>
        <v/>
      </c>
      <c r="I2413" s="26" t="str">
        <f aca="false">IF(A2413="","",COUNTIF(Apparitions!$G$2:$G$5001,A2413))</f>
        <v/>
      </c>
      <c r="J2413" s="26" t="str">
        <f aca="false">IF(A2413="","",COUNTIFS(Apparitions!$G$2:$G$5001,A2413,Apparitions!$E$2:$E$5001,"○"))</f>
        <v/>
      </c>
      <c r="K2413" s="29" t="str">
        <f aca="false">IF(A2413="","",IFERROR(1/(1/_xlfn.MINIFS(Apparitions!$L$2:$L$5001,Apparitions!$G$2:$G$5001,A2413)),""))</f>
        <v/>
      </c>
      <c r="L2413" s="27" t="str">
        <f aca="false">IF(A2413="","",A2413&amp;" | "&amp;B2413&amp;IF(C2413="",""," ("&amp;C2413&amp;")")&amp;IF(D2413="",""," - "&amp;D2413))</f>
        <v/>
      </c>
    </row>
    <row r="2414" customFormat="false" ht="15" hidden="false" customHeight="false" outlineLevel="0" collapsed="false">
      <c r="A2414" s="32"/>
      <c r="B2414" s="19"/>
      <c r="C2414" s="19"/>
      <c r="D2414" s="19"/>
      <c r="E2414" s="21"/>
      <c r="F2414" s="19"/>
      <c r="G2414" s="27" t="str">
        <f aca="false">IF(B2414="","",IFERROR(INDEX(Jeux!$C$2:$C$3001,MATCH(B2414,Jeux!$A$2:$A$3001,0))&amp;"","⚠ jeu inconnu"))</f>
        <v/>
      </c>
      <c r="H2414" s="27" t="str">
        <f aca="false">IF(B2414="","",IFERROR(INDEX(Jeux!$D$2:$D$3001,MATCH(B2414,Jeux!$A$2:$A$3001,0))&amp;"",""))</f>
        <v/>
      </c>
      <c r="I2414" s="26" t="str">
        <f aca="false">IF(A2414="","",COUNTIF(Apparitions!$G$2:$G$5001,A2414))</f>
        <v/>
      </c>
      <c r="J2414" s="26" t="str">
        <f aca="false">IF(A2414="","",COUNTIFS(Apparitions!$G$2:$G$5001,A2414,Apparitions!$E$2:$E$5001,"○"))</f>
        <v/>
      </c>
      <c r="K2414" s="29" t="str">
        <f aca="false">IF(A2414="","",IFERROR(1/(1/_xlfn.MINIFS(Apparitions!$L$2:$L$5001,Apparitions!$G$2:$G$5001,A2414)),""))</f>
        <v/>
      </c>
      <c r="L2414" s="27" t="str">
        <f aca="false">IF(A2414="","",A2414&amp;" | "&amp;B2414&amp;IF(C2414="",""," ("&amp;C2414&amp;")")&amp;IF(D2414="",""," - "&amp;D2414))</f>
        <v/>
      </c>
    </row>
    <row r="2415" customFormat="false" ht="15" hidden="false" customHeight="false" outlineLevel="0" collapsed="false">
      <c r="A2415" s="32"/>
      <c r="B2415" s="19"/>
      <c r="C2415" s="19"/>
      <c r="D2415" s="19"/>
      <c r="E2415" s="21"/>
      <c r="F2415" s="19"/>
      <c r="G2415" s="27" t="str">
        <f aca="false">IF(B2415="","",IFERROR(INDEX(Jeux!$C$2:$C$3001,MATCH(B2415,Jeux!$A$2:$A$3001,0))&amp;"","⚠ jeu inconnu"))</f>
        <v/>
      </c>
      <c r="H2415" s="27" t="str">
        <f aca="false">IF(B2415="","",IFERROR(INDEX(Jeux!$D$2:$D$3001,MATCH(B2415,Jeux!$A$2:$A$3001,0))&amp;"",""))</f>
        <v/>
      </c>
      <c r="I2415" s="26" t="str">
        <f aca="false">IF(A2415="","",COUNTIF(Apparitions!$G$2:$G$5001,A2415))</f>
        <v/>
      </c>
      <c r="J2415" s="26" t="str">
        <f aca="false">IF(A2415="","",COUNTIFS(Apparitions!$G$2:$G$5001,A2415,Apparitions!$E$2:$E$5001,"○"))</f>
        <v/>
      </c>
      <c r="K2415" s="29" t="str">
        <f aca="false">IF(A2415="","",IFERROR(1/(1/_xlfn.MINIFS(Apparitions!$L$2:$L$5001,Apparitions!$G$2:$G$5001,A2415)),""))</f>
        <v/>
      </c>
      <c r="L2415" s="27" t="str">
        <f aca="false">IF(A2415="","",A2415&amp;" | "&amp;B2415&amp;IF(C2415="",""," ("&amp;C2415&amp;")")&amp;IF(D2415="",""," - "&amp;D2415))</f>
        <v/>
      </c>
    </row>
    <row r="2416" customFormat="false" ht="15" hidden="false" customHeight="false" outlineLevel="0" collapsed="false">
      <c r="A2416" s="32"/>
      <c r="B2416" s="19"/>
      <c r="C2416" s="19"/>
      <c r="D2416" s="19"/>
      <c r="E2416" s="21"/>
      <c r="F2416" s="19"/>
      <c r="G2416" s="27" t="str">
        <f aca="false">IF(B2416="","",IFERROR(INDEX(Jeux!$C$2:$C$3001,MATCH(B2416,Jeux!$A$2:$A$3001,0))&amp;"","⚠ jeu inconnu"))</f>
        <v/>
      </c>
      <c r="H2416" s="27" t="str">
        <f aca="false">IF(B2416="","",IFERROR(INDEX(Jeux!$D$2:$D$3001,MATCH(B2416,Jeux!$A$2:$A$3001,0))&amp;"",""))</f>
        <v/>
      </c>
      <c r="I2416" s="26" t="str">
        <f aca="false">IF(A2416="","",COUNTIF(Apparitions!$G$2:$G$5001,A2416))</f>
        <v/>
      </c>
      <c r="J2416" s="26" t="str">
        <f aca="false">IF(A2416="","",COUNTIFS(Apparitions!$G$2:$G$5001,A2416,Apparitions!$E$2:$E$5001,"○"))</f>
        <v/>
      </c>
      <c r="K2416" s="29" t="str">
        <f aca="false">IF(A2416="","",IFERROR(1/(1/_xlfn.MINIFS(Apparitions!$L$2:$L$5001,Apparitions!$G$2:$G$5001,A2416)),""))</f>
        <v/>
      </c>
      <c r="L2416" s="27" t="str">
        <f aca="false">IF(A2416="","",A2416&amp;" | "&amp;B2416&amp;IF(C2416="",""," ("&amp;C2416&amp;")")&amp;IF(D2416="",""," - "&amp;D2416))</f>
        <v/>
      </c>
    </row>
    <row r="2417" customFormat="false" ht="15" hidden="false" customHeight="false" outlineLevel="0" collapsed="false">
      <c r="A2417" s="32"/>
      <c r="B2417" s="19"/>
      <c r="C2417" s="19"/>
      <c r="D2417" s="19"/>
      <c r="E2417" s="21"/>
      <c r="F2417" s="19"/>
      <c r="G2417" s="27" t="str">
        <f aca="false">IF(B2417="","",IFERROR(INDEX(Jeux!$C$2:$C$3001,MATCH(B2417,Jeux!$A$2:$A$3001,0))&amp;"","⚠ jeu inconnu"))</f>
        <v/>
      </c>
      <c r="H2417" s="27" t="str">
        <f aca="false">IF(B2417="","",IFERROR(INDEX(Jeux!$D$2:$D$3001,MATCH(B2417,Jeux!$A$2:$A$3001,0))&amp;"",""))</f>
        <v/>
      </c>
      <c r="I2417" s="26" t="str">
        <f aca="false">IF(A2417="","",COUNTIF(Apparitions!$G$2:$G$5001,A2417))</f>
        <v/>
      </c>
      <c r="J2417" s="26" t="str">
        <f aca="false">IF(A2417="","",COUNTIFS(Apparitions!$G$2:$G$5001,A2417,Apparitions!$E$2:$E$5001,"○"))</f>
        <v/>
      </c>
      <c r="K2417" s="29" t="str">
        <f aca="false">IF(A2417="","",IFERROR(1/(1/_xlfn.MINIFS(Apparitions!$L$2:$L$5001,Apparitions!$G$2:$G$5001,A2417)),""))</f>
        <v/>
      </c>
      <c r="L2417" s="27" t="str">
        <f aca="false">IF(A2417="","",A2417&amp;" | "&amp;B2417&amp;IF(C2417="",""," ("&amp;C2417&amp;")")&amp;IF(D2417="",""," - "&amp;D2417))</f>
        <v/>
      </c>
    </row>
    <row r="2418" customFormat="false" ht="15" hidden="false" customHeight="false" outlineLevel="0" collapsed="false">
      <c r="A2418" s="32"/>
      <c r="B2418" s="19"/>
      <c r="C2418" s="19"/>
      <c r="D2418" s="19"/>
      <c r="E2418" s="21"/>
      <c r="F2418" s="19"/>
      <c r="G2418" s="27" t="str">
        <f aca="false">IF(B2418="","",IFERROR(INDEX(Jeux!$C$2:$C$3001,MATCH(B2418,Jeux!$A$2:$A$3001,0))&amp;"","⚠ jeu inconnu"))</f>
        <v/>
      </c>
      <c r="H2418" s="27" t="str">
        <f aca="false">IF(B2418="","",IFERROR(INDEX(Jeux!$D$2:$D$3001,MATCH(B2418,Jeux!$A$2:$A$3001,0))&amp;"",""))</f>
        <v/>
      </c>
      <c r="I2418" s="26" t="str">
        <f aca="false">IF(A2418="","",COUNTIF(Apparitions!$G$2:$G$5001,A2418))</f>
        <v/>
      </c>
      <c r="J2418" s="26" t="str">
        <f aca="false">IF(A2418="","",COUNTIFS(Apparitions!$G$2:$G$5001,A2418,Apparitions!$E$2:$E$5001,"○"))</f>
        <v/>
      </c>
      <c r="K2418" s="29" t="str">
        <f aca="false">IF(A2418="","",IFERROR(1/(1/_xlfn.MINIFS(Apparitions!$L$2:$L$5001,Apparitions!$G$2:$G$5001,A2418)),""))</f>
        <v/>
      </c>
      <c r="L2418" s="27" t="str">
        <f aca="false">IF(A2418="","",A2418&amp;" | "&amp;B2418&amp;IF(C2418="",""," ("&amp;C2418&amp;")")&amp;IF(D2418="",""," - "&amp;D2418))</f>
        <v/>
      </c>
    </row>
    <row r="2419" customFormat="false" ht="15" hidden="false" customHeight="false" outlineLevel="0" collapsed="false">
      <c r="A2419" s="32"/>
      <c r="B2419" s="19"/>
      <c r="C2419" s="19"/>
      <c r="D2419" s="19"/>
      <c r="E2419" s="21"/>
      <c r="F2419" s="19"/>
      <c r="G2419" s="27" t="str">
        <f aca="false">IF(B2419="","",IFERROR(INDEX(Jeux!$C$2:$C$3001,MATCH(B2419,Jeux!$A$2:$A$3001,0))&amp;"","⚠ jeu inconnu"))</f>
        <v/>
      </c>
      <c r="H2419" s="27" t="str">
        <f aca="false">IF(B2419="","",IFERROR(INDEX(Jeux!$D$2:$D$3001,MATCH(B2419,Jeux!$A$2:$A$3001,0))&amp;"",""))</f>
        <v/>
      </c>
      <c r="I2419" s="26" t="str">
        <f aca="false">IF(A2419="","",COUNTIF(Apparitions!$G$2:$G$5001,A2419))</f>
        <v/>
      </c>
      <c r="J2419" s="26" t="str">
        <f aca="false">IF(A2419="","",COUNTIFS(Apparitions!$G$2:$G$5001,A2419,Apparitions!$E$2:$E$5001,"○"))</f>
        <v/>
      </c>
      <c r="K2419" s="29" t="str">
        <f aca="false">IF(A2419="","",IFERROR(1/(1/_xlfn.MINIFS(Apparitions!$L$2:$L$5001,Apparitions!$G$2:$G$5001,A2419)),""))</f>
        <v/>
      </c>
      <c r="L2419" s="27" t="str">
        <f aca="false">IF(A2419="","",A2419&amp;" | "&amp;B2419&amp;IF(C2419="",""," ("&amp;C2419&amp;")")&amp;IF(D2419="",""," - "&amp;D2419))</f>
        <v/>
      </c>
    </row>
    <row r="2420" customFormat="false" ht="15" hidden="false" customHeight="false" outlineLevel="0" collapsed="false">
      <c r="A2420" s="32"/>
      <c r="B2420" s="19"/>
      <c r="C2420" s="19"/>
      <c r="D2420" s="19"/>
      <c r="E2420" s="21"/>
      <c r="F2420" s="19"/>
      <c r="G2420" s="27" t="str">
        <f aca="false">IF(B2420="","",IFERROR(INDEX(Jeux!$C$2:$C$3001,MATCH(B2420,Jeux!$A$2:$A$3001,0))&amp;"","⚠ jeu inconnu"))</f>
        <v/>
      </c>
      <c r="H2420" s="27" t="str">
        <f aca="false">IF(B2420="","",IFERROR(INDEX(Jeux!$D$2:$D$3001,MATCH(B2420,Jeux!$A$2:$A$3001,0))&amp;"",""))</f>
        <v/>
      </c>
      <c r="I2420" s="26" t="str">
        <f aca="false">IF(A2420="","",COUNTIF(Apparitions!$G$2:$G$5001,A2420))</f>
        <v/>
      </c>
      <c r="J2420" s="26" t="str">
        <f aca="false">IF(A2420="","",COUNTIFS(Apparitions!$G$2:$G$5001,A2420,Apparitions!$E$2:$E$5001,"○"))</f>
        <v/>
      </c>
      <c r="K2420" s="29" t="str">
        <f aca="false">IF(A2420="","",IFERROR(1/(1/_xlfn.MINIFS(Apparitions!$L$2:$L$5001,Apparitions!$G$2:$G$5001,A2420)),""))</f>
        <v/>
      </c>
      <c r="L2420" s="27" t="str">
        <f aca="false">IF(A2420="","",A2420&amp;" | "&amp;B2420&amp;IF(C2420="",""," ("&amp;C2420&amp;")")&amp;IF(D2420="",""," - "&amp;D2420))</f>
        <v/>
      </c>
    </row>
    <row r="2421" customFormat="false" ht="15" hidden="false" customHeight="false" outlineLevel="0" collapsed="false">
      <c r="A2421" s="32"/>
      <c r="B2421" s="19"/>
      <c r="C2421" s="19"/>
      <c r="D2421" s="19"/>
      <c r="E2421" s="21"/>
      <c r="F2421" s="19"/>
      <c r="G2421" s="27" t="str">
        <f aca="false">IF(B2421="","",IFERROR(INDEX(Jeux!$C$2:$C$3001,MATCH(B2421,Jeux!$A$2:$A$3001,0))&amp;"","⚠ jeu inconnu"))</f>
        <v/>
      </c>
      <c r="H2421" s="27" t="str">
        <f aca="false">IF(B2421="","",IFERROR(INDEX(Jeux!$D$2:$D$3001,MATCH(B2421,Jeux!$A$2:$A$3001,0))&amp;"",""))</f>
        <v/>
      </c>
      <c r="I2421" s="26" t="str">
        <f aca="false">IF(A2421="","",COUNTIF(Apparitions!$G$2:$G$5001,A2421))</f>
        <v/>
      </c>
      <c r="J2421" s="26" t="str">
        <f aca="false">IF(A2421="","",COUNTIFS(Apparitions!$G$2:$G$5001,A2421,Apparitions!$E$2:$E$5001,"○"))</f>
        <v/>
      </c>
      <c r="K2421" s="29" t="str">
        <f aca="false">IF(A2421="","",IFERROR(1/(1/_xlfn.MINIFS(Apparitions!$L$2:$L$5001,Apparitions!$G$2:$G$5001,A2421)),""))</f>
        <v/>
      </c>
      <c r="L2421" s="27" t="str">
        <f aca="false">IF(A2421="","",A2421&amp;" | "&amp;B2421&amp;IF(C2421="",""," ("&amp;C2421&amp;")")&amp;IF(D2421="",""," - "&amp;D2421))</f>
        <v/>
      </c>
    </row>
    <row r="2422" customFormat="false" ht="15" hidden="false" customHeight="false" outlineLevel="0" collapsed="false">
      <c r="A2422" s="32"/>
      <c r="B2422" s="19"/>
      <c r="C2422" s="19"/>
      <c r="D2422" s="19"/>
      <c r="E2422" s="21"/>
      <c r="F2422" s="19"/>
      <c r="G2422" s="27" t="str">
        <f aca="false">IF(B2422="","",IFERROR(INDEX(Jeux!$C$2:$C$3001,MATCH(B2422,Jeux!$A$2:$A$3001,0))&amp;"","⚠ jeu inconnu"))</f>
        <v/>
      </c>
      <c r="H2422" s="27" t="str">
        <f aca="false">IF(B2422="","",IFERROR(INDEX(Jeux!$D$2:$D$3001,MATCH(B2422,Jeux!$A$2:$A$3001,0))&amp;"",""))</f>
        <v/>
      </c>
      <c r="I2422" s="26" t="str">
        <f aca="false">IF(A2422="","",COUNTIF(Apparitions!$G$2:$G$5001,A2422))</f>
        <v/>
      </c>
      <c r="J2422" s="26" t="str">
        <f aca="false">IF(A2422="","",COUNTIFS(Apparitions!$G$2:$G$5001,A2422,Apparitions!$E$2:$E$5001,"○"))</f>
        <v/>
      </c>
      <c r="K2422" s="29" t="str">
        <f aca="false">IF(A2422="","",IFERROR(1/(1/_xlfn.MINIFS(Apparitions!$L$2:$L$5001,Apparitions!$G$2:$G$5001,A2422)),""))</f>
        <v/>
      </c>
      <c r="L2422" s="27" t="str">
        <f aca="false">IF(A2422="","",A2422&amp;" | "&amp;B2422&amp;IF(C2422="",""," ("&amp;C2422&amp;")")&amp;IF(D2422="",""," - "&amp;D2422))</f>
        <v/>
      </c>
    </row>
    <row r="2423" customFormat="false" ht="15" hidden="false" customHeight="false" outlineLevel="0" collapsed="false">
      <c r="A2423" s="32"/>
      <c r="B2423" s="19"/>
      <c r="C2423" s="19"/>
      <c r="D2423" s="19"/>
      <c r="E2423" s="21"/>
      <c r="F2423" s="19"/>
      <c r="G2423" s="27" t="str">
        <f aca="false">IF(B2423="","",IFERROR(INDEX(Jeux!$C$2:$C$3001,MATCH(B2423,Jeux!$A$2:$A$3001,0))&amp;"","⚠ jeu inconnu"))</f>
        <v/>
      </c>
      <c r="H2423" s="27" t="str">
        <f aca="false">IF(B2423="","",IFERROR(INDEX(Jeux!$D$2:$D$3001,MATCH(B2423,Jeux!$A$2:$A$3001,0))&amp;"",""))</f>
        <v/>
      </c>
      <c r="I2423" s="26" t="str">
        <f aca="false">IF(A2423="","",COUNTIF(Apparitions!$G$2:$G$5001,A2423))</f>
        <v/>
      </c>
      <c r="J2423" s="26" t="str">
        <f aca="false">IF(A2423="","",COUNTIFS(Apparitions!$G$2:$G$5001,A2423,Apparitions!$E$2:$E$5001,"○"))</f>
        <v/>
      </c>
      <c r="K2423" s="29" t="str">
        <f aca="false">IF(A2423="","",IFERROR(1/(1/_xlfn.MINIFS(Apparitions!$L$2:$L$5001,Apparitions!$G$2:$G$5001,A2423)),""))</f>
        <v/>
      </c>
      <c r="L2423" s="27" t="str">
        <f aca="false">IF(A2423="","",A2423&amp;" | "&amp;B2423&amp;IF(C2423="",""," ("&amp;C2423&amp;")")&amp;IF(D2423="",""," - "&amp;D2423))</f>
        <v/>
      </c>
    </row>
    <row r="2424" customFormat="false" ht="15" hidden="false" customHeight="false" outlineLevel="0" collapsed="false">
      <c r="A2424" s="32"/>
      <c r="B2424" s="19"/>
      <c r="C2424" s="19"/>
      <c r="D2424" s="19"/>
      <c r="E2424" s="21"/>
      <c r="F2424" s="19"/>
      <c r="G2424" s="27" t="str">
        <f aca="false">IF(B2424="","",IFERROR(INDEX(Jeux!$C$2:$C$3001,MATCH(B2424,Jeux!$A$2:$A$3001,0))&amp;"","⚠ jeu inconnu"))</f>
        <v/>
      </c>
      <c r="H2424" s="27" t="str">
        <f aca="false">IF(B2424="","",IFERROR(INDEX(Jeux!$D$2:$D$3001,MATCH(B2424,Jeux!$A$2:$A$3001,0))&amp;"",""))</f>
        <v/>
      </c>
      <c r="I2424" s="26" t="str">
        <f aca="false">IF(A2424="","",COUNTIF(Apparitions!$G$2:$G$5001,A2424))</f>
        <v/>
      </c>
      <c r="J2424" s="26" t="str">
        <f aca="false">IF(A2424="","",COUNTIFS(Apparitions!$G$2:$G$5001,A2424,Apparitions!$E$2:$E$5001,"○"))</f>
        <v/>
      </c>
      <c r="K2424" s="29" t="str">
        <f aca="false">IF(A2424="","",IFERROR(1/(1/_xlfn.MINIFS(Apparitions!$L$2:$L$5001,Apparitions!$G$2:$G$5001,A2424)),""))</f>
        <v/>
      </c>
      <c r="L2424" s="27" t="str">
        <f aca="false">IF(A2424="","",A2424&amp;" | "&amp;B2424&amp;IF(C2424="",""," ("&amp;C2424&amp;")")&amp;IF(D2424="",""," - "&amp;D2424))</f>
        <v/>
      </c>
    </row>
    <row r="2425" customFormat="false" ht="15" hidden="false" customHeight="false" outlineLevel="0" collapsed="false">
      <c r="A2425" s="32"/>
      <c r="B2425" s="19"/>
      <c r="C2425" s="19"/>
      <c r="D2425" s="19"/>
      <c r="E2425" s="21"/>
      <c r="F2425" s="19"/>
      <c r="G2425" s="27" t="str">
        <f aca="false">IF(B2425="","",IFERROR(INDEX(Jeux!$C$2:$C$3001,MATCH(B2425,Jeux!$A$2:$A$3001,0))&amp;"","⚠ jeu inconnu"))</f>
        <v/>
      </c>
      <c r="H2425" s="27" t="str">
        <f aca="false">IF(B2425="","",IFERROR(INDEX(Jeux!$D$2:$D$3001,MATCH(B2425,Jeux!$A$2:$A$3001,0))&amp;"",""))</f>
        <v/>
      </c>
      <c r="I2425" s="26" t="str">
        <f aca="false">IF(A2425="","",COUNTIF(Apparitions!$G$2:$G$5001,A2425))</f>
        <v/>
      </c>
      <c r="J2425" s="26" t="str">
        <f aca="false">IF(A2425="","",COUNTIFS(Apparitions!$G$2:$G$5001,A2425,Apparitions!$E$2:$E$5001,"○"))</f>
        <v/>
      </c>
      <c r="K2425" s="29" t="str">
        <f aca="false">IF(A2425="","",IFERROR(1/(1/_xlfn.MINIFS(Apparitions!$L$2:$L$5001,Apparitions!$G$2:$G$5001,A2425)),""))</f>
        <v/>
      </c>
      <c r="L2425" s="27" t="str">
        <f aca="false">IF(A2425="","",A2425&amp;" | "&amp;B2425&amp;IF(C2425="",""," ("&amp;C2425&amp;")")&amp;IF(D2425="",""," - "&amp;D2425))</f>
        <v/>
      </c>
    </row>
    <row r="2426" customFormat="false" ht="15" hidden="false" customHeight="false" outlineLevel="0" collapsed="false">
      <c r="A2426" s="32"/>
      <c r="B2426" s="19"/>
      <c r="C2426" s="19"/>
      <c r="D2426" s="19"/>
      <c r="E2426" s="21"/>
      <c r="F2426" s="19"/>
      <c r="G2426" s="27" t="str">
        <f aca="false">IF(B2426="","",IFERROR(INDEX(Jeux!$C$2:$C$3001,MATCH(B2426,Jeux!$A$2:$A$3001,0))&amp;"","⚠ jeu inconnu"))</f>
        <v/>
      </c>
      <c r="H2426" s="27" t="str">
        <f aca="false">IF(B2426="","",IFERROR(INDEX(Jeux!$D$2:$D$3001,MATCH(B2426,Jeux!$A$2:$A$3001,0))&amp;"",""))</f>
        <v/>
      </c>
      <c r="I2426" s="26" t="str">
        <f aca="false">IF(A2426="","",COUNTIF(Apparitions!$G$2:$G$5001,A2426))</f>
        <v/>
      </c>
      <c r="J2426" s="26" t="str">
        <f aca="false">IF(A2426="","",COUNTIFS(Apparitions!$G$2:$G$5001,A2426,Apparitions!$E$2:$E$5001,"○"))</f>
        <v/>
      </c>
      <c r="K2426" s="29" t="str">
        <f aca="false">IF(A2426="","",IFERROR(1/(1/_xlfn.MINIFS(Apparitions!$L$2:$L$5001,Apparitions!$G$2:$G$5001,A2426)),""))</f>
        <v/>
      </c>
      <c r="L2426" s="27" t="str">
        <f aca="false">IF(A2426="","",A2426&amp;" | "&amp;B2426&amp;IF(C2426="",""," ("&amp;C2426&amp;")")&amp;IF(D2426="",""," - "&amp;D2426))</f>
        <v/>
      </c>
    </row>
    <row r="2427" customFormat="false" ht="15" hidden="false" customHeight="false" outlineLevel="0" collapsed="false">
      <c r="A2427" s="32"/>
      <c r="B2427" s="19"/>
      <c r="C2427" s="19"/>
      <c r="D2427" s="19"/>
      <c r="E2427" s="21"/>
      <c r="F2427" s="19"/>
      <c r="G2427" s="27" t="str">
        <f aca="false">IF(B2427="","",IFERROR(INDEX(Jeux!$C$2:$C$3001,MATCH(B2427,Jeux!$A$2:$A$3001,0))&amp;"","⚠ jeu inconnu"))</f>
        <v/>
      </c>
      <c r="H2427" s="27" t="str">
        <f aca="false">IF(B2427="","",IFERROR(INDEX(Jeux!$D$2:$D$3001,MATCH(B2427,Jeux!$A$2:$A$3001,0))&amp;"",""))</f>
        <v/>
      </c>
      <c r="I2427" s="26" t="str">
        <f aca="false">IF(A2427="","",COUNTIF(Apparitions!$G$2:$G$5001,A2427))</f>
        <v/>
      </c>
      <c r="J2427" s="26" t="str">
        <f aca="false">IF(A2427="","",COUNTIFS(Apparitions!$G$2:$G$5001,A2427,Apparitions!$E$2:$E$5001,"○"))</f>
        <v/>
      </c>
      <c r="K2427" s="29" t="str">
        <f aca="false">IF(A2427="","",IFERROR(1/(1/_xlfn.MINIFS(Apparitions!$L$2:$L$5001,Apparitions!$G$2:$G$5001,A2427)),""))</f>
        <v/>
      </c>
      <c r="L2427" s="27" t="str">
        <f aca="false">IF(A2427="","",A2427&amp;" | "&amp;B2427&amp;IF(C2427="",""," ("&amp;C2427&amp;")")&amp;IF(D2427="",""," - "&amp;D2427))</f>
        <v/>
      </c>
    </row>
    <row r="2428" customFormat="false" ht="15" hidden="false" customHeight="false" outlineLevel="0" collapsed="false">
      <c r="A2428" s="32"/>
      <c r="B2428" s="19"/>
      <c r="C2428" s="19"/>
      <c r="D2428" s="19"/>
      <c r="E2428" s="21"/>
      <c r="F2428" s="19"/>
      <c r="G2428" s="27" t="str">
        <f aca="false">IF(B2428="","",IFERROR(INDEX(Jeux!$C$2:$C$3001,MATCH(B2428,Jeux!$A$2:$A$3001,0))&amp;"","⚠ jeu inconnu"))</f>
        <v/>
      </c>
      <c r="H2428" s="27" t="str">
        <f aca="false">IF(B2428="","",IFERROR(INDEX(Jeux!$D$2:$D$3001,MATCH(B2428,Jeux!$A$2:$A$3001,0))&amp;"",""))</f>
        <v/>
      </c>
      <c r="I2428" s="26" t="str">
        <f aca="false">IF(A2428="","",COUNTIF(Apparitions!$G$2:$G$5001,A2428))</f>
        <v/>
      </c>
      <c r="J2428" s="26" t="str">
        <f aca="false">IF(A2428="","",COUNTIFS(Apparitions!$G$2:$G$5001,A2428,Apparitions!$E$2:$E$5001,"○"))</f>
        <v/>
      </c>
      <c r="K2428" s="29" t="str">
        <f aca="false">IF(A2428="","",IFERROR(1/(1/_xlfn.MINIFS(Apparitions!$L$2:$L$5001,Apparitions!$G$2:$G$5001,A2428)),""))</f>
        <v/>
      </c>
      <c r="L2428" s="27" t="str">
        <f aca="false">IF(A2428="","",A2428&amp;" | "&amp;B2428&amp;IF(C2428="",""," ("&amp;C2428&amp;")")&amp;IF(D2428="",""," - "&amp;D2428))</f>
        <v/>
      </c>
    </row>
    <row r="2429" customFormat="false" ht="15" hidden="false" customHeight="false" outlineLevel="0" collapsed="false">
      <c r="A2429" s="32"/>
      <c r="B2429" s="19"/>
      <c r="C2429" s="19"/>
      <c r="D2429" s="19"/>
      <c r="E2429" s="21"/>
      <c r="F2429" s="19"/>
      <c r="G2429" s="27" t="str">
        <f aca="false">IF(B2429="","",IFERROR(INDEX(Jeux!$C$2:$C$3001,MATCH(B2429,Jeux!$A$2:$A$3001,0))&amp;"","⚠ jeu inconnu"))</f>
        <v/>
      </c>
      <c r="H2429" s="27" t="str">
        <f aca="false">IF(B2429="","",IFERROR(INDEX(Jeux!$D$2:$D$3001,MATCH(B2429,Jeux!$A$2:$A$3001,0))&amp;"",""))</f>
        <v/>
      </c>
      <c r="I2429" s="26" t="str">
        <f aca="false">IF(A2429="","",COUNTIF(Apparitions!$G$2:$G$5001,A2429))</f>
        <v/>
      </c>
      <c r="J2429" s="26" t="str">
        <f aca="false">IF(A2429="","",COUNTIFS(Apparitions!$G$2:$G$5001,A2429,Apparitions!$E$2:$E$5001,"○"))</f>
        <v/>
      </c>
      <c r="K2429" s="29" t="str">
        <f aca="false">IF(A2429="","",IFERROR(1/(1/_xlfn.MINIFS(Apparitions!$L$2:$L$5001,Apparitions!$G$2:$G$5001,A2429)),""))</f>
        <v/>
      </c>
      <c r="L2429" s="27" t="str">
        <f aca="false">IF(A2429="","",A2429&amp;" | "&amp;B2429&amp;IF(C2429="",""," ("&amp;C2429&amp;")")&amp;IF(D2429="",""," - "&amp;D2429))</f>
        <v/>
      </c>
    </row>
    <row r="2430" customFormat="false" ht="15" hidden="false" customHeight="false" outlineLevel="0" collapsed="false">
      <c r="A2430" s="32"/>
      <c r="B2430" s="19"/>
      <c r="C2430" s="19"/>
      <c r="D2430" s="19"/>
      <c r="E2430" s="21"/>
      <c r="F2430" s="19"/>
      <c r="G2430" s="27" t="str">
        <f aca="false">IF(B2430="","",IFERROR(INDEX(Jeux!$C$2:$C$3001,MATCH(B2430,Jeux!$A$2:$A$3001,0))&amp;"","⚠ jeu inconnu"))</f>
        <v/>
      </c>
      <c r="H2430" s="27" t="str">
        <f aca="false">IF(B2430="","",IFERROR(INDEX(Jeux!$D$2:$D$3001,MATCH(B2430,Jeux!$A$2:$A$3001,0))&amp;"",""))</f>
        <v/>
      </c>
      <c r="I2430" s="26" t="str">
        <f aca="false">IF(A2430="","",COUNTIF(Apparitions!$G$2:$G$5001,A2430))</f>
        <v/>
      </c>
      <c r="J2430" s="26" t="str">
        <f aca="false">IF(A2430="","",COUNTIFS(Apparitions!$G$2:$G$5001,A2430,Apparitions!$E$2:$E$5001,"○"))</f>
        <v/>
      </c>
      <c r="K2430" s="29" t="str">
        <f aca="false">IF(A2430="","",IFERROR(1/(1/_xlfn.MINIFS(Apparitions!$L$2:$L$5001,Apparitions!$G$2:$G$5001,A2430)),""))</f>
        <v/>
      </c>
      <c r="L2430" s="27" t="str">
        <f aca="false">IF(A2430="","",A2430&amp;" | "&amp;B2430&amp;IF(C2430="",""," ("&amp;C2430&amp;")")&amp;IF(D2430="",""," - "&amp;D2430))</f>
        <v/>
      </c>
    </row>
    <row r="2431" customFormat="false" ht="15" hidden="false" customHeight="false" outlineLevel="0" collapsed="false">
      <c r="A2431" s="32"/>
      <c r="B2431" s="19"/>
      <c r="C2431" s="19"/>
      <c r="D2431" s="19"/>
      <c r="E2431" s="21"/>
      <c r="F2431" s="19"/>
      <c r="G2431" s="27" t="str">
        <f aca="false">IF(B2431="","",IFERROR(INDEX(Jeux!$C$2:$C$3001,MATCH(B2431,Jeux!$A$2:$A$3001,0))&amp;"","⚠ jeu inconnu"))</f>
        <v/>
      </c>
      <c r="H2431" s="27" t="str">
        <f aca="false">IF(B2431="","",IFERROR(INDEX(Jeux!$D$2:$D$3001,MATCH(B2431,Jeux!$A$2:$A$3001,0))&amp;"",""))</f>
        <v/>
      </c>
      <c r="I2431" s="26" t="str">
        <f aca="false">IF(A2431="","",COUNTIF(Apparitions!$G$2:$G$5001,A2431))</f>
        <v/>
      </c>
      <c r="J2431" s="26" t="str">
        <f aca="false">IF(A2431="","",COUNTIFS(Apparitions!$G$2:$G$5001,A2431,Apparitions!$E$2:$E$5001,"○"))</f>
        <v/>
      </c>
      <c r="K2431" s="29" t="str">
        <f aca="false">IF(A2431="","",IFERROR(1/(1/_xlfn.MINIFS(Apparitions!$L$2:$L$5001,Apparitions!$G$2:$G$5001,A2431)),""))</f>
        <v/>
      </c>
      <c r="L2431" s="27" t="str">
        <f aca="false">IF(A2431="","",A2431&amp;" | "&amp;B2431&amp;IF(C2431="",""," ("&amp;C2431&amp;")")&amp;IF(D2431="",""," - "&amp;D2431))</f>
        <v/>
      </c>
    </row>
    <row r="2432" customFormat="false" ht="15" hidden="false" customHeight="false" outlineLevel="0" collapsed="false">
      <c r="A2432" s="32"/>
      <c r="B2432" s="19"/>
      <c r="C2432" s="19"/>
      <c r="D2432" s="19"/>
      <c r="E2432" s="21"/>
      <c r="F2432" s="19"/>
      <c r="G2432" s="27" t="str">
        <f aca="false">IF(B2432="","",IFERROR(INDEX(Jeux!$C$2:$C$3001,MATCH(B2432,Jeux!$A$2:$A$3001,0))&amp;"","⚠ jeu inconnu"))</f>
        <v/>
      </c>
      <c r="H2432" s="27" t="str">
        <f aca="false">IF(B2432="","",IFERROR(INDEX(Jeux!$D$2:$D$3001,MATCH(B2432,Jeux!$A$2:$A$3001,0))&amp;"",""))</f>
        <v/>
      </c>
      <c r="I2432" s="26" t="str">
        <f aca="false">IF(A2432="","",COUNTIF(Apparitions!$G$2:$G$5001,A2432))</f>
        <v/>
      </c>
      <c r="J2432" s="26" t="str">
        <f aca="false">IF(A2432="","",COUNTIFS(Apparitions!$G$2:$G$5001,A2432,Apparitions!$E$2:$E$5001,"○"))</f>
        <v/>
      </c>
      <c r="K2432" s="29" t="str">
        <f aca="false">IF(A2432="","",IFERROR(1/(1/_xlfn.MINIFS(Apparitions!$L$2:$L$5001,Apparitions!$G$2:$G$5001,A2432)),""))</f>
        <v/>
      </c>
      <c r="L2432" s="27" t="str">
        <f aca="false">IF(A2432="","",A2432&amp;" | "&amp;B2432&amp;IF(C2432="",""," ("&amp;C2432&amp;")")&amp;IF(D2432="",""," - "&amp;D2432))</f>
        <v/>
      </c>
    </row>
    <row r="2433" customFormat="false" ht="15" hidden="false" customHeight="false" outlineLevel="0" collapsed="false">
      <c r="A2433" s="32"/>
      <c r="B2433" s="19"/>
      <c r="C2433" s="19"/>
      <c r="D2433" s="19"/>
      <c r="E2433" s="21"/>
      <c r="F2433" s="19"/>
      <c r="G2433" s="27" t="str">
        <f aca="false">IF(B2433="","",IFERROR(INDEX(Jeux!$C$2:$C$3001,MATCH(B2433,Jeux!$A$2:$A$3001,0))&amp;"","⚠ jeu inconnu"))</f>
        <v/>
      </c>
      <c r="H2433" s="27" t="str">
        <f aca="false">IF(B2433="","",IFERROR(INDEX(Jeux!$D$2:$D$3001,MATCH(B2433,Jeux!$A$2:$A$3001,0))&amp;"",""))</f>
        <v/>
      </c>
      <c r="I2433" s="26" t="str">
        <f aca="false">IF(A2433="","",COUNTIF(Apparitions!$G$2:$G$5001,A2433))</f>
        <v/>
      </c>
      <c r="J2433" s="26" t="str">
        <f aca="false">IF(A2433="","",COUNTIFS(Apparitions!$G$2:$G$5001,A2433,Apparitions!$E$2:$E$5001,"○"))</f>
        <v/>
      </c>
      <c r="K2433" s="29" t="str">
        <f aca="false">IF(A2433="","",IFERROR(1/(1/_xlfn.MINIFS(Apparitions!$L$2:$L$5001,Apparitions!$G$2:$G$5001,A2433)),""))</f>
        <v/>
      </c>
      <c r="L2433" s="27" t="str">
        <f aca="false">IF(A2433="","",A2433&amp;" | "&amp;B2433&amp;IF(C2433="",""," ("&amp;C2433&amp;")")&amp;IF(D2433="",""," - "&amp;D2433))</f>
        <v/>
      </c>
    </row>
    <row r="2434" customFormat="false" ht="15" hidden="false" customHeight="false" outlineLevel="0" collapsed="false">
      <c r="A2434" s="32"/>
      <c r="B2434" s="19"/>
      <c r="C2434" s="19"/>
      <c r="D2434" s="19"/>
      <c r="E2434" s="21"/>
      <c r="F2434" s="19"/>
      <c r="G2434" s="27" t="str">
        <f aca="false">IF(B2434="","",IFERROR(INDEX(Jeux!$C$2:$C$3001,MATCH(B2434,Jeux!$A$2:$A$3001,0))&amp;"","⚠ jeu inconnu"))</f>
        <v/>
      </c>
      <c r="H2434" s="27" t="str">
        <f aca="false">IF(B2434="","",IFERROR(INDEX(Jeux!$D$2:$D$3001,MATCH(B2434,Jeux!$A$2:$A$3001,0))&amp;"",""))</f>
        <v/>
      </c>
      <c r="I2434" s="26" t="str">
        <f aca="false">IF(A2434="","",COUNTIF(Apparitions!$G$2:$G$5001,A2434))</f>
        <v/>
      </c>
      <c r="J2434" s="26" t="str">
        <f aca="false">IF(A2434="","",COUNTIFS(Apparitions!$G$2:$G$5001,A2434,Apparitions!$E$2:$E$5001,"○"))</f>
        <v/>
      </c>
      <c r="K2434" s="29" t="str">
        <f aca="false">IF(A2434="","",IFERROR(1/(1/_xlfn.MINIFS(Apparitions!$L$2:$L$5001,Apparitions!$G$2:$G$5001,A2434)),""))</f>
        <v/>
      </c>
      <c r="L2434" s="27" t="str">
        <f aca="false">IF(A2434="","",A2434&amp;" | "&amp;B2434&amp;IF(C2434="",""," ("&amp;C2434&amp;")")&amp;IF(D2434="",""," - "&amp;D2434))</f>
        <v/>
      </c>
    </row>
    <row r="2435" customFormat="false" ht="15" hidden="false" customHeight="false" outlineLevel="0" collapsed="false">
      <c r="A2435" s="32"/>
      <c r="B2435" s="19"/>
      <c r="C2435" s="19"/>
      <c r="D2435" s="19"/>
      <c r="E2435" s="21"/>
      <c r="F2435" s="19"/>
      <c r="G2435" s="27" t="str">
        <f aca="false">IF(B2435="","",IFERROR(INDEX(Jeux!$C$2:$C$3001,MATCH(B2435,Jeux!$A$2:$A$3001,0))&amp;"","⚠ jeu inconnu"))</f>
        <v/>
      </c>
      <c r="H2435" s="27" t="str">
        <f aca="false">IF(B2435="","",IFERROR(INDEX(Jeux!$D$2:$D$3001,MATCH(B2435,Jeux!$A$2:$A$3001,0))&amp;"",""))</f>
        <v/>
      </c>
      <c r="I2435" s="26" t="str">
        <f aca="false">IF(A2435="","",COUNTIF(Apparitions!$G$2:$G$5001,A2435))</f>
        <v/>
      </c>
      <c r="J2435" s="26" t="str">
        <f aca="false">IF(A2435="","",COUNTIFS(Apparitions!$G$2:$G$5001,A2435,Apparitions!$E$2:$E$5001,"○"))</f>
        <v/>
      </c>
      <c r="K2435" s="29" t="str">
        <f aca="false">IF(A2435="","",IFERROR(1/(1/_xlfn.MINIFS(Apparitions!$L$2:$L$5001,Apparitions!$G$2:$G$5001,A2435)),""))</f>
        <v/>
      </c>
      <c r="L2435" s="27" t="str">
        <f aca="false">IF(A2435="","",A2435&amp;" | "&amp;B2435&amp;IF(C2435="",""," ("&amp;C2435&amp;")")&amp;IF(D2435="",""," - "&amp;D2435))</f>
        <v/>
      </c>
    </row>
    <row r="2436" customFormat="false" ht="15" hidden="false" customHeight="false" outlineLevel="0" collapsed="false">
      <c r="A2436" s="32"/>
      <c r="B2436" s="19"/>
      <c r="C2436" s="19"/>
      <c r="D2436" s="19"/>
      <c r="E2436" s="21"/>
      <c r="F2436" s="19"/>
      <c r="G2436" s="27" t="str">
        <f aca="false">IF(B2436="","",IFERROR(INDEX(Jeux!$C$2:$C$3001,MATCH(B2436,Jeux!$A$2:$A$3001,0))&amp;"","⚠ jeu inconnu"))</f>
        <v/>
      </c>
      <c r="H2436" s="27" t="str">
        <f aca="false">IF(B2436="","",IFERROR(INDEX(Jeux!$D$2:$D$3001,MATCH(B2436,Jeux!$A$2:$A$3001,0))&amp;"",""))</f>
        <v/>
      </c>
      <c r="I2436" s="26" t="str">
        <f aca="false">IF(A2436="","",COUNTIF(Apparitions!$G$2:$G$5001,A2436))</f>
        <v/>
      </c>
      <c r="J2436" s="26" t="str">
        <f aca="false">IF(A2436="","",COUNTIFS(Apparitions!$G$2:$G$5001,A2436,Apparitions!$E$2:$E$5001,"○"))</f>
        <v/>
      </c>
      <c r="K2436" s="29" t="str">
        <f aca="false">IF(A2436="","",IFERROR(1/(1/_xlfn.MINIFS(Apparitions!$L$2:$L$5001,Apparitions!$G$2:$G$5001,A2436)),""))</f>
        <v/>
      </c>
      <c r="L2436" s="27" t="str">
        <f aca="false">IF(A2436="","",A2436&amp;" | "&amp;B2436&amp;IF(C2436="",""," ("&amp;C2436&amp;")")&amp;IF(D2436="",""," - "&amp;D2436))</f>
        <v/>
      </c>
    </row>
    <row r="2437" customFormat="false" ht="15" hidden="false" customHeight="false" outlineLevel="0" collapsed="false">
      <c r="A2437" s="32"/>
      <c r="B2437" s="19"/>
      <c r="C2437" s="19"/>
      <c r="D2437" s="19"/>
      <c r="E2437" s="21"/>
      <c r="F2437" s="19"/>
      <c r="G2437" s="27" t="str">
        <f aca="false">IF(B2437="","",IFERROR(INDEX(Jeux!$C$2:$C$3001,MATCH(B2437,Jeux!$A$2:$A$3001,0))&amp;"","⚠ jeu inconnu"))</f>
        <v/>
      </c>
      <c r="H2437" s="27" t="str">
        <f aca="false">IF(B2437="","",IFERROR(INDEX(Jeux!$D$2:$D$3001,MATCH(B2437,Jeux!$A$2:$A$3001,0))&amp;"",""))</f>
        <v/>
      </c>
      <c r="I2437" s="26" t="str">
        <f aca="false">IF(A2437="","",COUNTIF(Apparitions!$G$2:$G$5001,A2437))</f>
        <v/>
      </c>
      <c r="J2437" s="26" t="str">
        <f aca="false">IF(A2437="","",COUNTIFS(Apparitions!$G$2:$G$5001,A2437,Apparitions!$E$2:$E$5001,"○"))</f>
        <v/>
      </c>
      <c r="K2437" s="29" t="str">
        <f aca="false">IF(A2437="","",IFERROR(1/(1/_xlfn.MINIFS(Apparitions!$L$2:$L$5001,Apparitions!$G$2:$G$5001,A2437)),""))</f>
        <v/>
      </c>
      <c r="L2437" s="27" t="str">
        <f aca="false">IF(A2437="","",A2437&amp;" | "&amp;B2437&amp;IF(C2437="",""," ("&amp;C2437&amp;")")&amp;IF(D2437="",""," - "&amp;D2437))</f>
        <v/>
      </c>
    </row>
    <row r="2438" customFormat="false" ht="15" hidden="false" customHeight="false" outlineLevel="0" collapsed="false">
      <c r="A2438" s="32"/>
      <c r="B2438" s="19"/>
      <c r="C2438" s="19"/>
      <c r="D2438" s="19"/>
      <c r="E2438" s="21"/>
      <c r="F2438" s="19"/>
      <c r="G2438" s="27" t="str">
        <f aca="false">IF(B2438="","",IFERROR(INDEX(Jeux!$C$2:$C$3001,MATCH(B2438,Jeux!$A$2:$A$3001,0))&amp;"","⚠ jeu inconnu"))</f>
        <v/>
      </c>
      <c r="H2438" s="27" t="str">
        <f aca="false">IF(B2438="","",IFERROR(INDEX(Jeux!$D$2:$D$3001,MATCH(B2438,Jeux!$A$2:$A$3001,0))&amp;"",""))</f>
        <v/>
      </c>
      <c r="I2438" s="26" t="str">
        <f aca="false">IF(A2438="","",COUNTIF(Apparitions!$G$2:$G$5001,A2438))</f>
        <v/>
      </c>
      <c r="J2438" s="26" t="str">
        <f aca="false">IF(A2438="","",COUNTIFS(Apparitions!$G$2:$G$5001,A2438,Apparitions!$E$2:$E$5001,"○"))</f>
        <v/>
      </c>
      <c r="K2438" s="29" t="str">
        <f aca="false">IF(A2438="","",IFERROR(1/(1/_xlfn.MINIFS(Apparitions!$L$2:$L$5001,Apparitions!$G$2:$G$5001,A2438)),""))</f>
        <v/>
      </c>
      <c r="L2438" s="27" t="str">
        <f aca="false">IF(A2438="","",A2438&amp;" | "&amp;B2438&amp;IF(C2438="",""," ("&amp;C2438&amp;")")&amp;IF(D2438="",""," - "&amp;D2438))</f>
        <v/>
      </c>
    </row>
    <row r="2439" customFormat="false" ht="15" hidden="false" customHeight="false" outlineLevel="0" collapsed="false">
      <c r="A2439" s="32"/>
      <c r="B2439" s="19"/>
      <c r="C2439" s="19"/>
      <c r="D2439" s="19"/>
      <c r="E2439" s="21"/>
      <c r="F2439" s="19"/>
      <c r="G2439" s="27" t="str">
        <f aca="false">IF(B2439="","",IFERROR(INDEX(Jeux!$C$2:$C$3001,MATCH(B2439,Jeux!$A$2:$A$3001,0))&amp;"","⚠ jeu inconnu"))</f>
        <v/>
      </c>
      <c r="H2439" s="27" t="str">
        <f aca="false">IF(B2439="","",IFERROR(INDEX(Jeux!$D$2:$D$3001,MATCH(B2439,Jeux!$A$2:$A$3001,0))&amp;"",""))</f>
        <v/>
      </c>
      <c r="I2439" s="26" t="str">
        <f aca="false">IF(A2439="","",COUNTIF(Apparitions!$G$2:$G$5001,A2439))</f>
        <v/>
      </c>
      <c r="J2439" s="26" t="str">
        <f aca="false">IF(A2439="","",COUNTIFS(Apparitions!$G$2:$G$5001,A2439,Apparitions!$E$2:$E$5001,"○"))</f>
        <v/>
      </c>
      <c r="K2439" s="29" t="str">
        <f aca="false">IF(A2439="","",IFERROR(1/(1/_xlfn.MINIFS(Apparitions!$L$2:$L$5001,Apparitions!$G$2:$G$5001,A2439)),""))</f>
        <v/>
      </c>
      <c r="L2439" s="27" t="str">
        <f aca="false">IF(A2439="","",A2439&amp;" | "&amp;B2439&amp;IF(C2439="",""," ("&amp;C2439&amp;")")&amp;IF(D2439="",""," - "&amp;D2439))</f>
        <v/>
      </c>
    </row>
    <row r="2440" customFormat="false" ht="15" hidden="false" customHeight="false" outlineLevel="0" collapsed="false">
      <c r="A2440" s="32"/>
      <c r="B2440" s="19"/>
      <c r="C2440" s="19"/>
      <c r="D2440" s="19"/>
      <c r="E2440" s="21"/>
      <c r="F2440" s="19"/>
      <c r="G2440" s="27" t="str">
        <f aca="false">IF(B2440="","",IFERROR(INDEX(Jeux!$C$2:$C$3001,MATCH(B2440,Jeux!$A$2:$A$3001,0))&amp;"","⚠ jeu inconnu"))</f>
        <v/>
      </c>
      <c r="H2440" s="27" t="str">
        <f aca="false">IF(B2440="","",IFERROR(INDEX(Jeux!$D$2:$D$3001,MATCH(B2440,Jeux!$A$2:$A$3001,0))&amp;"",""))</f>
        <v/>
      </c>
      <c r="I2440" s="26" t="str">
        <f aca="false">IF(A2440="","",COUNTIF(Apparitions!$G$2:$G$5001,A2440))</f>
        <v/>
      </c>
      <c r="J2440" s="26" t="str">
        <f aca="false">IF(A2440="","",COUNTIFS(Apparitions!$G$2:$G$5001,A2440,Apparitions!$E$2:$E$5001,"○"))</f>
        <v/>
      </c>
      <c r="K2440" s="29" t="str">
        <f aca="false">IF(A2440="","",IFERROR(1/(1/_xlfn.MINIFS(Apparitions!$L$2:$L$5001,Apparitions!$G$2:$G$5001,A2440)),""))</f>
        <v/>
      </c>
      <c r="L2440" s="27" t="str">
        <f aca="false">IF(A2440="","",A2440&amp;" | "&amp;B2440&amp;IF(C2440="",""," ("&amp;C2440&amp;")")&amp;IF(D2440="",""," - "&amp;D2440))</f>
        <v/>
      </c>
    </row>
    <row r="2441" customFormat="false" ht="15" hidden="false" customHeight="false" outlineLevel="0" collapsed="false">
      <c r="A2441" s="32"/>
      <c r="B2441" s="19"/>
      <c r="C2441" s="19"/>
      <c r="D2441" s="19"/>
      <c r="E2441" s="21"/>
      <c r="F2441" s="19"/>
      <c r="G2441" s="27" t="str">
        <f aca="false">IF(B2441="","",IFERROR(INDEX(Jeux!$C$2:$C$3001,MATCH(B2441,Jeux!$A$2:$A$3001,0))&amp;"","⚠ jeu inconnu"))</f>
        <v/>
      </c>
      <c r="H2441" s="27" t="str">
        <f aca="false">IF(B2441="","",IFERROR(INDEX(Jeux!$D$2:$D$3001,MATCH(B2441,Jeux!$A$2:$A$3001,0))&amp;"",""))</f>
        <v/>
      </c>
      <c r="I2441" s="26" t="str">
        <f aca="false">IF(A2441="","",COUNTIF(Apparitions!$G$2:$G$5001,A2441))</f>
        <v/>
      </c>
      <c r="J2441" s="26" t="str">
        <f aca="false">IF(A2441="","",COUNTIFS(Apparitions!$G$2:$G$5001,A2441,Apparitions!$E$2:$E$5001,"○"))</f>
        <v/>
      </c>
      <c r="K2441" s="29" t="str">
        <f aca="false">IF(A2441="","",IFERROR(1/(1/_xlfn.MINIFS(Apparitions!$L$2:$L$5001,Apparitions!$G$2:$G$5001,A2441)),""))</f>
        <v/>
      </c>
      <c r="L2441" s="27" t="str">
        <f aca="false">IF(A2441="","",A2441&amp;" | "&amp;B2441&amp;IF(C2441="",""," ("&amp;C2441&amp;")")&amp;IF(D2441="",""," - "&amp;D2441))</f>
        <v/>
      </c>
    </row>
    <row r="2442" customFormat="false" ht="15" hidden="false" customHeight="false" outlineLevel="0" collapsed="false">
      <c r="A2442" s="32"/>
      <c r="B2442" s="19"/>
      <c r="C2442" s="19"/>
      <c r="D2442" s="19"/>
      <c r="E2442" s="21"/>
      <c r="F2442" s="19"/>
      <c r="G2442" s="27" t="str">
        <f aca="false">IF(B2442="","",IFERROR(INDEX(Jeux!$C$2:$C$3001,MATCH(B2442,Jeux!$A$2:$A$3001,0))&amp;"","⚠ jeu inconnu"))</f>
        <v/>
      </c>
      <c r="H2442" s="27" t="str">
        <f aca="false">IF(B2442="","",IFERROR(INDEX(Jeux!$D$2:$D$3001,MATCH(B2442,Jeux!$A$2:$A$3001,0))&amp;"",""))</f>
        <v/>
      </c>
      <c r="I2442" s="26" t="str">
        <f aca="false">IF(A2442="","",COUNTIF(Apparitions!$G$2:$G$5001,A2442))</f>
        <v/>
      </c>
      <c r="J2442" s="26" t="str">
        <f aca="false">IF(A2442="","",COUNTIFS(Apparitions!$G$2:$G$5001,A2442,Apparitions!$E$2:$E$5001,"○"))</f>
        <v/>
      </c>
      <c r="K2442" s="29" t="str">
        <f aca="false">IF(A2442="","",IFERROR(1/(1/_xlfn.MINIFS(Apparitions!$L$2:$L$5001,Apparitions!$G$2:$G$5001,A2442)),""))</f>
        <v/>
      </c>
      <c r="L2442" s="27" t="str">
        <f aca="false">IF(A2442="","",A2442&amp;" | "&amp;B2442&amp;IF(C2442="",""," ("&amp;C2442&amp;")")&amp;IF(D2442="",""," - "&amp;D2442))</f>
        <v/>
      </c>
    </row>
    <row r="2443" customFormat="false" ht="15" hidden="false" customHeight="false" outlineLevel="0" collapsed="false">
      <c r="A2443" s="32"/>
      <c r="B2443" s="19"/>
      <c r="C2443" s="19"/>
      <c r="D2443" s="19"/>
      <c r="E2443" s="21"/>
      <c r="F2443" s="19"/>
      <c r="G2443" s="27" t="str">
        <f aca="false">IF(B2443="","",IFERROR(INDEX(Jeux!$C$2:$C$3001,MATCH(B2443,Jeux!$A$2:$A$3001,0))&amp;"","⚠ jeu inconnu"))</f>
        <v/>
      </c>
      <c r="H2443" s="27" t="str">
        <f aca="false">IF(B2443="","",IFERROR(INDEX(Jeux!$D$2:$D$3001,MATCH(B2443,Jeux!$A$2:$A$3001,0))&amp;"",""))</f>
        <v/>
      </c>
      <c r="I2443" s="26" t="str">
        <f aca="false">IF(A2443="","",COUNTIF(Apparitions!$G$2:$G$5001,A2443))</f>
        <v/>
      </c>
      <c r="J2443" s="26" t="str">
        <f aca="false">IF(A2443="","",COUNTIFS(Apparitions!$G$2:$G$5001,A2443,Apparitions!$E$2:$E$5001,"○"))</f>
        <v/>
      </c>
      <c r="K2443" s="29" t="str">
        <f aca="false">IF(A2443="","",IFERROR(1/(1/_xlfn.MINIFS(Apparitions!$L$2:$L$5001,Apparitions!$G$2:$G$5001,A2443)),""))</f>
        <v/>
      </c>
      <c r="L2443" s="27" t="str">
        <f aca="false">IF(A2443="","",A2443&amp;" | "&amp;B2443&amp;IF(C2443="",""," ("&amp;C2443&amp;")")&amp;IF(D2443="",""," - "&amp;D2443))</f>
        <v/>
      </c>
    </row>
    <row r="2444" customFormat="false" ht="15" hidden="false" customHeight="false" outlineLevel="0" collapsed="false">
      <c r="A2444" s="32"/>
      <c r="B2444" s="19"/>
      <c r="C2444" s="19"/>
      <c r="D2444" s="19"/>
      <c r="E2444" s="21"/>
      <c r="F2444" s="19"/>
      <c r="G2444" s="27" t="str">
        <f aca="false">IF(B2444="","",IFERROR(INDEX(Jeux!$C$2:$C$3001,MATCH(B2444,Jeux!$A$2:$A$3001,0))&amp;"","⚠ jeu inconnu"))</f>
        <v/>
      </c>
      <c r="H2444" s="27" t="str">
        <f aca="false">IF(B2444="","",IFERROR(INDEX(Jeux!$D$2:$D$3001,MATCH(B2444,Jeux!$A$2:$A$3001,0))&amp;"",""))</f>
        <v/>
      </c>
      <c r="I2444" s="26" t="str">
        <f aca="false">IF(A2444="","",COUNTIF(Apparitions!$G$2:$G$5001,A2444))</f>
        <v/>
      </c>
      <c r="J2444" s="26" t="str">
        <f aca="false">IF(A2444="","",COUNTIFS(Apparitions!$G$2:$G$5001,A2444,Apparitions!$E$2:$E$5001,"○"))</f>
        <v/>
      </c>
      <c r="K2444" s="29" t="str">
        <f aca="false">IF(A2444="","",IFERROR(1/(1/_xlfn.MINIFS(Apparitions!$L$2:$L$5001,Apparitions!$G$2:$G$5001,A2444)),""))</f>
        <v/>
      </c>
      <c r="L2444" s="27" t="str">
        <f aca="false">IF(A2444="","",A2444&amp;" | "&amp;B2444&amp;IF(C2444="",""," ("&amp;C2444&amp;")")&amp;IF(D2444="",""," - "&amp;D2444))</f>
        <v/>
      </c>
    </row>
    <row r="2445" customFormat="false" ht="15" hidden="false" customHeight="false" outlineLevel="0" collapsed="false">
      <c r="A2445" s="32"/>
      <c r="B2445" s="19"/>
      <c r="C2445" s="19"/>
      <c r="D2445" s="19"/>
      <c r="E2445" s="21"/>
      <c r="F2445" s="19"/>
      <c r="G2445" s="27" t="str">
        <f aca="false">IF(B2445="","",IFERROR(INDEX(Jeux!$C$2:$C$3001,MATCH(B2445,Jeux!$A$2:$A$3001,0))&amp;"","⚠ jeu inconnu"))</f>
        <v/>
      </c>
      <c r="H2445" s="27" t="str">
        <f aca="false">IF(B2445="","",IFERROR(INDEX(Jeux!$D$2:$D$3001,MATCH(B2445,Jeux!$A$2:$A$3001,0))&amp;"",""))</f>
        <v/>
      </c>
      <c r="I2445" s="26" t="str">
        <f aca="false">IF(A2445="","",COUNTIF(Apparitions!$G$2:$G$5001,A2445))</f>
        <v/>
      </c>
      <c r="J2445" s="26" t="str">
        <f aca="false">IF(A2445="","",COUNTIFS(Apparitions!$G$2:$G$5001,A2445,Apparitions!$E$2:$E$5001,"○"))</f>
        <v/>
      </c>
      <c r="K2445" s="29" t="str">
        <f aca="false">IF(A2445="","",IFERROR(1/(1/_xlfn.MINIFS(Apparitions!$L$2:$L$5001,Apparitions!$G$2:$G$5001,A2445)),""))</f>
        <v/>
      </c>
      <c r="L2445" s="27" t="str">
        <f aca="false">IF(A2445="","",A2445&amp;" | "&amp;B2445&amp;IF(C2445="",""," ("&amp;C2445&amp;")")&amp;IF(D2445="",""," - "&amp;D2445))</f>
        <v/>
      </c>
    </row>
    <row r="2446" customFormat="false" ht="15" hidden="false" customHeight="false" outlineLevel="0" collapsed="false">
      <c r="A2446" s="32"/>
      <c r="B2446" s="19"/>
      <c r="C2446" s="19"/>
      <c r="D2446" s="19"/>
      <c r="E2446" s="21"/>
      <c r="F2446" s="19"/>
      <c r="G2446" s="27" t="str">
        <f aca="false">IF(B2446="","",IFERROR(INDEX(Jeux!$C$2:$C$3001,MATCH(B2446,Jeux!$A$2:$A$3001,0))&amp;"","⚠ jeu inconnu"))</f>
        <v/>
      </c>
      <c r="H2446" s="27" t="str">
        <f aca="false">IF(B2446="","",IFERROR(INDEX(Jeux!$D$2:$D$3001,MATCH(B2446,Jeux!$A$2:$A$3001,0))&amp;"",""))</f>
        <v/>
      </c>
      <c r="I2446" s="26" t="str">
        <f aca="false">IF(A2446="","",COUNTIF(Apparitions!$G$2:$G$5001,A2446))</f>
        <v/>
      </c>
      <c r="J2446" s="26" t="str">
        <f aca="false">IF(A2446="","",COUNTIFS(Apparitions!$G$2:$G$5001,A2446,Apparitions!$E$2:$E$5001,"○"))</f>
        <v/>
      </c>
      <c r="K2446" s="29" t="str">
        <f aca="false">IF(A2446="","",IFERROR(1/(1/_xlfn.MINIFS(Apparitions!$L$2:$L$5001,Apparitions!$G$2:$G$5001,A2446)),""))</f>
        <v/>
      </c>
      <c r="L2446" s="27" t="str">
        <f aca="false">IF(A2446="","",A2446&amp;" | "&amp;B2446&amp;IF(C2446="",""," ("&amp;C2446&amp;")")&amp;IF(D2446="",""," - "&amp;D2446))</f>
        <v/>
      </c>
    </row>
    <row r="2447" customFormat="false" ht="15" hidden="false" customHeight="false" outlineLevel="0" collapsed="false">
      <c r="A2447" s="32"/>
      <c r="B2447" s="19"/>
      <c r="C2447" s="19"/>
      <c r="D2447" s="19"/>
      <c r="E2447" s="21"/>
      <c r="F2447" s="19"/>
      <c r="G2447" s="27" t="str">
        <f aca="false">IF(B2447="","",IFERROR(INDEX(Jeux!$C$2:$C$3001,MATCH(B2447,Jeux!$A$2:$A$3001,0))&amp;"","⚠ jeu inconnu"))</f>
        <v/>
      </c>
      <c r="H2447" s="27" t="str">
        <f aca="false">IF(B2447="","",IFERROR(INDEX(Jeux!$D$2:$D$3001,MATCH(B2447,Jeux!$A$2:$A$3001,0))&amp;"",""))</f>
        <v/>
      </c>
      <c r="I2447" s="26" t="str">
        <f aca="false">IF(A2447="","",COUNTIF(Apparitions!$G$2:$G$5001,A2447))</f>
        <v/>
      </c>
      <c r="J2447" s="26" t="str">
        <f aca="false">IF(A2447="","",COUNTIFS(Apparitions!$G$2:$G$5001,A2447,Apparitions!$E$2:$E$5001,"○"))</f>
        <v/>
      </c>
      <c r="K2447" s="29" t="str">
        <f aca="false">IF(A2447="","",IFERROR(1/(1/_xlfn.MINIFS(Apparitions!$L$2:$L$5001,Apparitions!$G$2:$G$5001,A2447)),""))</f>
        <v/>
      </c>
      <c r="L2447" s="27" t="str">
        <f aca="false">IF(A2447="","",A2447&amp;" | "&amp;B2447&amp;IF(C2447="",""," ("&amp;C2447&amp;")")&amp;IF(D2447="",""," - "&amp;D2447))</f>
        <v/>
      </c>
    </row>
    <row r="2448" customFormat="false" ht="15" hidden="false" customHeight="false" outlineLevel="0" collapsed="false">
      <c r="A2448" s="32"/>
      <c r="B2448" s="19"/>
      <c r="C2448" s="19"/>
      <c r="D2448" s="19"/>
      <c r="E2448" s="21"/>
      <c r="F2448" s="19"/>
      <c r="G2448" s="27" t="str">
        <f aca="false">IF(B2448="","",IFERROR(INDEX(Jeux!$C$2:$C$3001,MATCH(B2448,Jeux!$A$2:$A$3001,0))&amp;"","⚠ jeu inconnu"))</f>
        <v/>
      </c>
      <c r="H2448" s="27" t="str">
        <f aca="false">IF(B2448="","",IFERROR(INDEX(Jeux!$D$2:$D$3001,MATCH(B2448,Jeux!$A$2:$A$3001,0))&amp;"",""))</f>
        <v/>
      </c>
      <c r="I2448" s="26" t="str">
        <f aca="false">IF(A2448="","",COUNTIF(Apparitions!$G$2:$G$5001,A2448))</f>
        <v/>
      </c>
      <c r="J2448" s="26" t="str">
        <f aca="false">IF(A2448="","",COUNTIFS(Apparitions!$G$2:$G$5001,A2448,Apparitions!$E$2:$E$5001,"○"))</f>
        <v/>
      </c>
      <c r="K2448" s="29" t="str">
        <f aca="false">IF(A2448="","",IFERROR(1/(1/_xlfn.MINIFS(Apparitions!$L$2:$L$5001,Apparitions!$G$2:$G$5001,A2448)),""))</f>
        <v/>
      </c>
      <c r="L2448" s="27" t="str">
        <f aca="false">IF(A2448="","",A2448&amp;" | "&amp;B2448&amp;IF(C2448="",""," ("&amp;C2448&amp;")")&amp;IF(D2448="",""," - "&amp;D2448))</f>
        <v/>
      </c>
    </row>
    <row r="2449" customFormat="false" ht="15" hidden="false" customHeight="false" outlineLevel="0" collapsed="false">
      <c r="A2449" s="32"/>
      <c r="B2449" s="19"/>
      <c r="C2449" s="19"/>
      <c r="D2449" s="19"/>
      <c r="E2449" s="21"/>
      <c r="F2449" s="19"/>
      <c r="G2449" s="27" t="str">
        <f aca="false">IF(B2449="","",IFERROR(INDEX(Jeux!$C$2:$C$3001,MATCH(B2449,Jeux!$A$2:$A$3001,0))&amp;"","⚠ jeu inconnu"))</f>
        <v/>
      </c>
      <c r="H2449" s="27" t="str">
        <f aca="false">IF(B2449="","",IFERROR(INDEX(Jeux!$D$2:$D$3001,MATCH(B2449,Jeux!$A$2:$A$3001,0))&amp;"",""))</f>
        <v/>
      </c>
      <c r="I2449" s="26" t="str">
        <f aca="false">IF(A2449="","",COUNTIF(Apparitions!$G$2:$G$5001,A2449))</f>
        <v/>
      </c>
      <c r="J2449" s="26" t="str">
        <f aca="false">IF(A2449="","",COUNTIFS(Apparitions!$G$2:$G$5001,A2449,Apparitions!$E$2:$E$5001,"○"))</f>
        <v/>
      </c>
      <c r="K2449" s="29" t="str">
        <f aca="false">IF(A2449="","",IFERROR(1/(1/_xlfn.MINIFS(Apparitions!$L$2:$L$5001,Apparitions!$G$2:$G$5001,A2449)),""))</f>
        <v/>
      </c>
      <c r="L2449" s="27" t="str">
        <f aca="false">IF(A2449="","",A2449&amp;" | "&amp;B2449&amp;IF(C2449="",""," ("&amp;C2449&amp;")")&amp;IF(D2449="",""," - "&amp;D2449))</f>
        <v/>
      </c>
    </row>
    <row r="2450" customFormat="false" ht="15" hidden="false" customHeight="false" outlineLevel="0" collapsed="false">
      <c r="A2450" s="32"/>
      <c r="B2450" s="19"/>
      <c r="C2450" s="19"/>
      <c r="D2450" s="19"/>
      <c r="E2450" s="21"/>
      <c r="F2450" s="19"/>
      <c r="G2450" s="27" t="str">
        <f aca="false">IF(B2450="","",IFERROR(INDEX(Jeux!$C$2:$C$3001,MATCH(B2450,Jeux!$A$2:$A$3001,0))&amp;"","⚠ jeu inconnu"))</f>
        <v/>
      </c>
      <c r="H2450" s="27" t="str">
        <f aca="false">IF(B2450="","",IFERROR(INDEX(Jeux!$D$2:$D$3001,MATCH(B2450,Jeux!$A$2:$A$3001,0))&amp;"",""))</f>
        <v/>
      </c>
      <c r="I2450" s="26" t="str">
        <f aca="false">IF(A2450="","",COUNTIF(Apparitions!$G$2:$G$5001,A2450))</f>
        <v/>
      </c>
      <c r="J2450" s="26" t="str">
        <f aca="false">IF(A2450="","",COUNTIFS(Apparitions!$G$2:$G$5001,A2450,Apparitions!$E$2:$E$5001,"○"))</f>
        <v/>
      </c>
      <c r="K2450" s="29" t="str">
        <f aca="false">IF(A2450="","",IFERROR(1/(1/_xlfn.MINIFS(Apparitions!$L$2:$L$5001,Apparitions!$G$2:$G$5001,A2450)),""))</f>
        <v/>
      </c>
      <c r="L2450" s="27" t="str">
        <f aca="false">IF(A2450="","",A2450&amp;" | "&amp;B2450&amp;IF(C2450="",""," ("&amp;C2450&amp;")")&amp;IF(D2450="",""," - "&amp;D2450))</f>
        <v/>
      </c>
    </row>
    <row r="2451" customFormat="false" ht="15" hidden="false" customHeight="false" outlineLevel="0" collapsed="false">
      <c r="A2451" s="32"/>
      <c r="B2451" s="19"/>
      <c r="C2451" s="19"/>
      <c r="D2451" s="19"/>
      <c r="E2451" s="21"/>
      <c r="F2451" s="19"/>
      <c r="G2451" s="27" t="str">
        <f aca="false">IF(B2451="","",IFERROR(INDEX(Jeux!$C$2:$C$3001,MATCH(B2451,Jeux!$A$2:$A$3001,0))&amp;"","⚠ jeu inconnu"))</f>
        <v/>
      </c>
      <c r="H2451" s="27" t="str">
        <f aca="false">IF(B2451="","",IFERROR(INDEX(Jeux!$D$2:$D$3001,MATCH(B2451,Jeux!$A$2:$A$3001,0))&amp;"",""))</f>
        <v/>
      </c>
      <c r="I2451" s="26" t="str">
        <f aca="false">IF(A2451="","",COUNTIF(Apparitions!$G$2:$G$5001,A2451))</f>
        <v/>
      </c>
      <c r="J2451" s="26" t="str">
        <f aca="false">IF(A2451="","",COUNTIFS(Apparitions!$G$2:$G$5001,A2451,Apparitions!$E$2:$E$5001,"○"))</f>
        <v/>
      </c>
      <c r="K2451" s="29" t="str">
        <f aca="false">IF(A2451="","",IFERROR(1/(1/_xlfn.MINIFS(Apparitions!$L$2:$L$5001,Apparitions!$G$2:$G$5001,A2451)),""))</f>
        <v/>
      </c>
      <c r="L2451" s="27" t="str">
        <f aca="false">IF(A2451="","",A2451&amp;" | "&amp;B2451&amp;IF(C2451="",""," ("&amp;C2451&amp;")")&amp;IF(D2451="",""," - "&amp;D2451))</f>
        <v/>
      </c>
    </row>
    <row r="2452" customFormat="false" ht="15" hidden="false" customHeight="false" outlineLevel="0" collapsed="false">
      <c r="A2452" s="32"/>
      <c r="B2452" s="19"/>
      <c r="C2452" s="19"/>
      <c r="D2452" s="19"/>
      <c r="E2452" s="21"/>
      <c r="F2452" s="19"/>
      <c r="G2452" s="27" t="str">
        <f aca="false">IF(B2452="","",IFERROR(INDEX(Jeux!$C$2:$C$3001,MATCH(B2452,Jeux!$A$2:$A$3001,0))&amp;"","⚠ jeu inconnu"))</f>
        <v/>
      </c>
      <c r="H2452" s="27" t="str">
        <f aca="false">IF(B2452="","",IFERROR(INDEX(Jeux!$D$2:$D$3001,MATCH(B2452,Jeux!$A$2:$A$3001,0))&amp;"",""))</f>
        <v/>
      </c>
      <c r="I2452" s="26" t="str">
        <f aca="false">IF(A2452="","",COUNTIF(Apparitions!$G$2:$G$5001,A2452))</f>
        <v/>
      </c>
      <c r="J2452" s="26" t="str">
        <f aca="false">IF(A2452="","",COUNTIFS(Apparitions!$G$2:$G$5001,A2452,Apparitions!$E$2:$E$5001,"○"))</f>
        <v/>
      </c>
      <c r="K2452" s="29" t="str">
        <f aca="false">IF(A2452="","",IFERROR(1/(1/_xlfn.MINIFS(Apparitions!$L$2:$L$5001,Apparitions!$G$2:$G$5001,A2452)),""))</f>
        <v/>
      </c>
      <c r="L2452" s="27" t="str">
        <f aca="false">IF(A2452="","",A2452&amp;" | "&amp;B2452&amp;IF(C2452="",""," ("&amp;C2452&amp;")")&amp;IF(D2452="",""," - "&amp;D2452))</f>
        <v/>
      </c>
    </row>
    <row r="2453" customFormat="false" ht="15" hidden="false" customHeight="false" outlineLevel="0" collapsed="false">
      <c r="A2453" s="32"/>
      <c r="B2453" s="19"/>
      <c r="C2453" s="19"/>
      <c r="D2453" s="19"/>
      <c r="E2453" s="21"/>
      <c r="F2453" s="19"/>
      <c r="G2453" s="27" t="str">
        <f aca="false">IF(B2453="","",IFERROR(INDEX(Jeux!$C$2:$C$3001,MATCH(B2453,Jeux!$A$2:$A$3001,0))&amp;"","⚠ jeu inconnu"))</f>
        <v/>
      </c>
      <c r="H2453" s="27" t="str">
        <f aca="false">IF(B2453="","",IFERROR(INDEX(Jeux!$D$2:$D$3001,MATCH(B2453,Jeux!$A$2:$A$3001,0))&amp;"",""))</f>
        <v/>
      </c>
      <c r="I2453" s="26" t="str">
        <f aca="false">IF(A2453="","",COUNTIF(Apparitions!$G$2:$G$5001,A2453))</f>
        <v/>
      </c>
      <c r="J2453" s="26" t="str">
        <f aca="false">IF(A2453="","",COUNTIFS(Apparitions!$G$2:$G$5001,A2453,Apparitions!$E$2:$E$5001,"○"))</f>
        <v/>
      </c>
      <c r="K2453" s="29" t="str">
        <f aca="false">IF(A2453="","",IFERROR(1/(1/_xlfn.MINIFS(Apparitions!$L$2:$L$5001,Apparitions!$G$2:$G$5001,A2453)),""))</f>
        <v/>
      </c>
      <c r="L2453" s="27" t="str">
        <f aca="false">IF(A2453="","",A2453&amp;" | "&amp;B2453&amp;IF(C2453="",""," ("&amp;C2453&amp;")")&amp;IF(D2453="",""," - "&amp;D2453))</f>
        <v/>
      </c>
    </row>
    <row r="2454" customFormat="false" ht="15" hidden="false" customHeight="false" outlineLevel="0" collapsed="false">
      <c r="A2454" s="32"/>
      <c r="B2454" s="19"/>
      <c r="C2454" s="19"/>
      <c r="D2454" s="19"/>
      <c r="E2454" s="21"/>
      <c r="F2454" s="19"/>
      <c r="G2454" s="27" t="str">
        <f aca="false">IF(B2454="","",IFERROR(INDEX(Jeux!$C$2:$C$3001,MATCH(B2454,Jeux!$A$2:$A$3001,0))&amp;"","⚠ jeu inconnu"))</f>
        <v/>
      </c>
      <c r="H2454" s="27" t="str">
        <f aca="false">IF(B2454="","",IFERROR(INDEX(Jeux!$D$2:$D$3001,MATCH(B2454,Jeux!$A$2:$A$3001,0))&amp;"",""))</f>
        <v/>
      </c>
      <c r="I2454" s="26" t="str">
        <f aca="false">IF(A2454="","",COUNTIF(Apparitions!$G$2:$G$5001,A2454))</f>
        <v/>
      </c>
      <c r="J2454" s="26" t="str">
        <f aca="false">IF(A2454="","",COUNTIFS(Apparitions!$G$2:$G$5001,A2454,Apparitions!$E$2:$E$5001,"○"))</f>
        <v/>
      </c>
      <c r="K2454" s="29" t="str">
        <f aca="false">IF(A2454="","",IFERROR(1/(1/_xlfn.MINIFS(Apparitions!$L$2:$L$5001,Apparitions!$G$2:$G$5001,A2454)),""))</f>
        <v/>
      </c>
      <c r="L2454" s="27" t="str">
        <f aca="false">IF(A2454="","",A2454&amp;" | "&amp;B2454&amp;IF(C2454="",""," ("&amp;C2454&amp;")")&amp;IF(D2454="",""," - "&amp;D2454))</f>
        <v/>
      </c>
    </row>
    <row r="2455" customFormat="false" ht="15" hidden="false" customHeight="false" outlineLevel="0" collapsed="false">
      <c r="A2455" s="32"/>
      <c r="B2455" s="19"/>
      <c r="C2455" s="19"/>
      <c r="D2455" s="19"/>
      <c r="E2455" s="21"/>
      <c r="F2455" s="19"/>
      <c r="G2455" s="27" t="str">
        <f aca="false">IF(B2455="","",IFERROR(INDEX(Jeux!$C$2:$C$3001,MATCH(B2455,Jeux!$A$2:$A$3001,0))&amp;"","⚠ jeu inconnu"))</f>
        <v/>
      </c>
      <c r="H2455" s="27" t="str">
        <f aca="false">IF(B2455="","",IFERROR(INDEX(Jeux!$D$2:$D$3001,MATCH(B2455,Jeux!$A$2:$A$3001,0))&amp;"",""))</f>
        <v/>
      </c>
      <c r="I2455" s="26" t="str">
        <f aca="false">IF(A2455="","",COUNTIF(Apparitions!$G$2:$G$5001,A2455))</f>
        <v/>
      </c>
      <c r="J2455" s="26" t="str">
        <f aca="false">IF(A2455="","",COUNTIFS(Apparitions!$G$2:$G$5001,A2455,Apparitions!$E$2:$E$5001,"○"))</f>
        <v/>
      </c>
      <c r="K2455" s="29" t="str">
        <f aca="false">IF(A2455="","",IFERROR(1/(1/_xlfn.MINIFS(Apparitions!$L$2:$L$5001,Apparitions!$G$2:$G$5001,A2455)),""))</f>
        <v/>
      </c>
      <c r="L2455" s="27" t="str">
        <f aca="false">IF(A2455="","",A2455&amp;" | "&amp;B2455&amp;IF(C2455="",""," ("&amp;C2455&amp;")")&amp;IF(D2455="",""," - "&amp;D2455))</f>
        <v/>
      </c>
    </row>
    <row r="2456" customFormat="false" ht="15" hidden="false" customHeight="false" outlineLevel="0" collapsed="false">
      <c r="A2456" s="32"/>
      <c r="B2456" s="19"/>
      <c r="C2456" s="19"/>
      <c r="D2456" s="19"/>
      <c r="E2456" s="21"/>
      <c r="F2456" s="19"/>
      <c r="G2456" s="27" t="str">
        <f aca="false">IF(B2456="","",IFERROR(INDEX(Jeux!$C$2:$C$3001,MATCH(B2456,Jeux!$A$2:$A$3001,0))&amp;"","⚠ jeu inconnu"))</f>
        <v/>
      </c>
      <c r="H2456" s="27" t="str">
        <f aca="false">IF(B2456="","",IFERROR(INDEX(Jeux!$D$2:$D$3001,MATCH(B2456,Jeux!$A$2:$A$3001,0))&amp;"",""))</f>
        <v/>
      </c>
      <c r="I2456" s="26" t="str">
        <f aca="false">IF(A2456="","",COUNTIF(Apparitions!$G$2:$G$5001,A2456))</f>
        <v/>
      </c>
      <c r="J2456" s="26" t="str">
        <f aca="false">IF(A2456="","",COUNTIFS(Apparitions!$G$2:$G$5001,A2456,Apparitions!$E$2:$E$5001,"○"))</f>
        <v/>
      </c>
      <c r="K2456" s="29" t="str">
        <f aca="false">IF(A2456="","",IFERROR(1/(1/_xlfn.MINIFS(Apparitions!$L$2:$L$5001,Apparitions!$G$2:$G$5001,A2456)),""))</f>
        <v/>
      </c>
      <c r="L2456" s="27" t="str">
        <f aca="false">IF(A2456="","",A2456&amp;" | "&amp;B2456&amp;IF(C2456="",""," ("&amp;C2456&amp;")")&amp;IF(D2456="",""," - "&amp;D2456))</f>
        <v/>
      </c>
    </row>
    <row r="2457" customFormat="false" ht="15" hidden="false" customHeight="false" outlineLevel="0" collapsed="false">
      <c r="A2457" s="32"/>
      <c r="B2457" s="19"/>
      <c r="C2457" s="19"/>
      <c r="D2457" s="19"/>
      <c r="E2457" s="21"/>
      <c r="F2457" s="19"/>
      <c r="G2457" s="27" t="str">
        <f aca="false">IF(B2457="","",IFERROR(INDEX(Jeux!$C$2:$C$3001,MATCH(B2457,Jeux!$A$2:$A$3001,0))&amp;"","⚠ jeu inconnu"))</f>
        <v/>
      </c>
      <c r="H2457" s="27" t="str">
        <f aca="false">IF(B2457="","",IFERROR(INDEX(Jeux!$D$2:$D$3001,MATCH(B2457,Jeux!$A$2:$A$3001,0))&amp;"",""))</f>
        <v/>
      </c>
      <c r="I2457" s="26" t="str">
        <f aca="false">IF(A2457="","",COUNTIF(Apparitions!$G$2:$G$5001,A2457))</f>
        <v/>
      </c>
      <c r="J2457" s="26" t="str">
        <f aca="false">IF(A2457="","",COUNTIFS(Apparitions!$G$2:$G$5001,A2457,Apparitions!$E$2:$E$5001,"○"))</f>
        <v/>
      </c>
      <c r="K2457" s="29" t="str">
        <f aca="false">IF(A2457="","",IFERROR(1/(1/_xlfn.MINIFS(Apparitions!$L$2:$L$5001,Apparitions!$G$2:$G$5001,A2457)),""))</f>
        <v/>
      </c>
      <c r="L2457" s="27" t="str">
        <f aca="false">IF(A2457="","",A2457&amp;" | "&amp;B2457&amp;IF(C2457="",""," ("&amp;C2457&amp;")")&amp;IF(D2457="",""," - "&amp;D2457))</f>
        <v/>
      </c>
    </row>
    <row r="2458" customFormat="false" ht="15" hidden="false" customHeight="false" outlineLevel="0" collapsed="false">
      <c r="A2458" s="32"/>
      <c r="B2458" s="19"/>
      <c r="C2458" s="19"/>
      <c r="D2458" s="19"/>
      <c r="E2458" s="21"/>
      <c r="F2458" s="19"/>
      <c r="G2458" s="27" t="str">
        <f aca="false">IF(B2458="","",IFERROR(INDEX(Jeux!$C$2:$C$3001,MATCH(B2458,Jeux!$A$2:$A$3001,0))&amp;"","⚠ jeu inconnu"))</f>
        <v/>
      </c>
      <c r="H2458" s="27" t="str">
        <f aca="false">IF(B2458="","",IFERROR(INDEX(Jeux!$D$2:$D$3001,MATCH(B2458,Jeux!$A$2:$A$3001,0))&amp;"",""))</f>
        <v/>
      </c>
      <c r="I2458" s="26" t="str">
        <f aca="false">IF(A2458="","",COUNTIF(Apparitions!$G$2:$G$5001,A2458))</f>
        <v/>
      </c>
      <c r="J2458" s="26" t="str">
        <f aca="false">IF(A2458="","",COUNTIFS(Apparitions!$G$2:$G$5001,A2458,Apparitions!$E$2:$E$5001,"○"))</f>
        <v/>
      </c>
      <c r="K2458" s="29" t="str">
        <f aca="false">IF(A2458="","",IFERROR(1/(1/_xlfn.MINIFS(Apparitions!$L$2:$L$5001,Apparitions!$G$2:$G$5001,A2458)),""))</f>
        <v/>
      </c>
      <c r="L2458" s="27" t="str">
        <f aca="false">IF(A2458="","",A2458&amp;" | "&amp;B2458&amp;IF(C2458="",""," ("&amp;C2458&amp;")")&amp;IF(D2458="",""," - "&amp;D2458))</f>
        <v/>
      </c>
    </row>
    <row r="2459" customFormat="false" ht="15" hidden="false" customHeight="false" outlineLevel="0" collapsed="false">
      <c r="A2459" s="32"/>
      <c r="B2459" s="19"/>
      <c r="C2459" s="19"/>
      <c r="D2459" s="19"/>
      <c r="E2459" s="21"/>
      <c r="F2459" s="19"/>
      <c r="G2459" s="27" t="str">
        <f aca="false">IF(B2459="","",IFERROR(INDEX(Jeux!$C$2:$C$3001,MATCH(B2459,Jeux!$A$2:$A$3001,0))&amp;"","⚠ jeu inconnu"))</f>
        <v/>
      </c>
      <c r="H2459" s="27" t="str">
        <f aca="false">IF(B2459="","",IFERROR(INDEX(Jeux!$D$2:$D$3001,MATCH(B2459,Jeux!$A$2:$A$3001,0))&amp;"",""))</f>
        <v/>
      </c>
      <c r="I2459" s="26" t="str">
        <f aca="false">IF(A2459="","",COUNTIF(Apparitions!$G$2:$G$5001,A2459))</f>
        <v/>
      </c>
      <c r="J2459" s="26" t="str">
        <f aca="false">IF(A2459="","",COUNTIFS(Apparitions!$G$2:$G$5001,A2459,Apparitions!$E$2:$E$5001,"○"))</f>
        <v/>
      </c>
      <c r="K2459" s="29" t="str">
        <f aca="false">IF(A2459="","",IFERROR(1/(1/_xlfn.MINIFS(Apparitions!$L$2:$L$5001,Apparitions!$G$2:$G$5001,A2459)),""))</f>
        <v/>
      </c>
      <c r="L2459" s="27" t="str">
        <f aca="false">IF(A2459="","",A2459&amp;" | "&amp;B2459&amp;IF(C2459="",""," ("&amp;C2459&amp;")")&amp;IF(D2459="",""," - "&amp;D2459))</f>
        <v/>
      </c>
    </row>
    <row r="2460" customFormat="false" ht="15" hidden="false" customHeight="false" outlineLevel="0" collapsed="false">
      <c r="A2460" s="32"/>
      <c r="B2460" s="19"/>
      <c r="C2460" s="19"/>
      <c r="D2460" s="19"/>
      <c r="E2460" s="21"/>
      <c r="F2460" s="19"/>
      <c r="G2460" s="27" t="str">
        <f aca="false">IF(B2460="","",IFERROR(INDEX(Jeux!$C$2:$C$3001,MATCH(B2460,Jeux!$A$2:$A$3001,0))&amp;"","⚠ jeu inconnu"))</f>
        <v/>
      </c>
      <c r="H2460" s="27" t="str">
        <f aca="false">IF(B2460="","",IFERROR(INDEX(Jeux!$D$2:$D$3001,MATCH(B2460,Jeux!$A$2:$A$3001,0))&amp;"",""))</f>
        <v/>
      </c>
      <c r="I2460" s="26" t="str">
        <f aca="false">IF(A2460="","",COUNTIF(Apparitions!$G$2:$G$5001,A2460))</f>
        <v/>
      </c>
      <c r="J2460" s="26" t="str">
        <f aca="false">IF(A2460="","",COUNTIFS(Apparitions!$G$2:$G$5001,A2460,Apparitions!$E$2:$E$5001,"○"))</f>
        <v/>
      </c>
      <c r="K2460" s="29" t="str">
        <f aca="false">IF(A2460="","",IFERROR(1/(1/_xlfn.MINIFS(Apparitions!$L$2:$L$5001,Apparitions!$G$2:$G$5001,A2460)),""))</f>
        <v/>
      </c>
      <c r="L2460" s="27" t="str">
        <f aca="false">IF(A2460="","",A2460&amp;" | "&amp;B2460&amp;IF(C2460="",""," ("&amp;C2460&amp;")")&amp;IF(D2460="",""," - "&amp;D2460))</f>
        <v/>
      </c>
    </row>
    <row r="2461" customFormat="false" ht="15" hidden="false" customHeight="false" outlineLevel="0" collapsed="false">
      <c r="A2461" s="32"/>
      <c r="B2461" s="19"/>
      <c r="C2461" s="19"/>
      <c r="D2461" s="19"/>
      <c r="E2461" s="21"/>
      <c r="F2461" s="19"/>
      <c r="G2461" s="27" t="str">
        <f aca="false">IF(B2461="","",IFERROR(INDEX(Jeux!$C$2:$C$3001,MATCH(B2461,Jeux!$A$2:$A$3001,0))&amp;"","⚠ jeu inconnu"))</f>
        <v/>
      </c>
      <c r="H2461" s="27" t="str">
        <f aca="false">IF(B2461="","",IFERROR(INDEX(Jeux!$D$2:$D$3001,MATCH(B2461,Jeux!$A$2:$A$3001,0))&amp;"",""))</f>
        <v/>
      </c>
      <c r="I2461" s="26" t="str">
        <f aca="false">IF(A2461="","",COUNTIF(Apparitions!$G$2:$G$5001,A2461))</f>
        <v/>
      </c>
      <c r="J2461" s="26" t="str">
        <f aca="false">IF(A2461="","",COUNTIFS(Apparitions!$G$2:$G$5001,A2461,Apparitions!$E$2:$E$5001,"○"))</f>
        <v/>
      </c>
      <c r="K2461" s="29" t="str">
        <f aca="false">IF(A2461="","",IFERROR(1/(1/_xlfn.MINIFS(Apparitions!$L$2:$L$5001,Apparitions!$G$2:$G$5001,A2461)),""))</f>
        <v/>
      </c>
      <c r="L2461" s="27" t="str">
        <f aca="false">IF(A2461="","",A2461&amp;" | "&amp;B2461&amp;IF(C2461="",""," ("&amp;C2461&amp;")")&amp;IF(D2461="",""," - "&amp;D2461))</f>
        <v/>
      </c>
    </row>
    <row r="2462" customFormat="false" ht="15" hidden="false" customHeight="false" outlineLevel="0" collapsed="false">
      <c r="A2462" s="32"/>
      <c r="B2462" s="19"/>
      <c r="C2462" s="19"/>
      <c r="D2462" s="19"/>
      <c r="E2462" s="21"/>
      <c r="F2462" s="19"/>
      <c r="G2462" s="27" t="str">
        <f aca="false">IF(B2462="","",IFERROR(INDEX(Jeux!$C$2:$C$3001,MATCH(B2462,Jeux!$A$2:$A$3001,0))&amp;"","⚠ jeu inconnu"))</f>
        <v/>
      </c>
      <c r="H2462" s="27" t="str">
        <f aca="false">IF(B2462="","",IFERROR(INDEX(Jeux!$D$2:$D$3001,MATCH(B2462,Jeux!$A$2:$A$3001,0))&amp;"",""))</f>
        <v/>
      </c>
      <c r="I2462" s="26" t="str">
        <f aca="false">IF(A2462="","",COUNTIF(Apparitions!$G$2:$G$5001,A2462))</f>
        <v/>
      </c>
      <c r="J2462" s="26" t="str">
        <f aca="false">IF(A2462="","",COUNTIFS(Apparitions!$G$2:$G$5001,A2462,Apparitions!$E$2:$E$5001,"○"))</f>
        <v/>
      </c>
      <c r="K2462" s="29" t="str">
        <f aca="false">IF(A2462="","",IFERROR(1/(1/_xlfn.MINIFS(Apparitions!$L$2:$L$5001,Apparitions!$G$2:$G$5001,A2462)),""))</f>
        <v/>
      </c>
      <c r="L2462" s="27" t="str">
        <f aca="false">IF(A2462="","",A2462&amp;" | "&amp;B2462&amp;IF(C2462="",""," ("&amp;C2462&amp;")")&amp;IF(D2462="",""," - "&amp;D2462))</f>
        <v/>
      </c>
    </row>
    <row r="2463" customFormat="false" ht="15" hidden="false" customHeight="false" outlineLevel="0" collapsed="false">
      <c r="A2463" s="32"/>
      <c r="B2463" s="19"/>
      <c r="C2463" s="19"/>
      <c r="D2463" s="19"/>
      <c r="E2463" s="21"/>
      <c r="F2463" s="19"/>
      <c r="G2463" s="27" t="str">
        <f aca="false">IF(B2463="","",IFERROR(INDEX(Jeux!$C$2:$C$3001,MATCH(B2463,Jeux!$A$2:$A$3001,0))&amp;"","⚠ jeu inconnu"))</f>
        <v/>
      </c>
      <c r="H2463" s="27" t="str">
        <f aca="false">IF(B2463="","",IFERROR(INDEX(Jeux!$D$2:$D$3001,MATCH(B2463,Jeux!$A$2:$A$3001,0))&amp;"",""))</f>
        <v/>
      </c>
      <c r="I2463" s="26" t="str">
        <f aca="false">IF(A2463="","",COUNTIF(Apparitions!$G$2:$G$5001,A2463))</f>
        <v/>
      </c>
      <c r="J2463" s="26" t="str">
        <f aca="false">IF(A2463="","",COUNTIFS(Apparitions!$G$2:$G$5001,A2463,Apparitions!$E$2:$E$5001,"○"))</f>
        <v/>
      </c>
      <c r="K2463" s="29" t="str">
        <f aca="false">IF(A2463="","",IFERROR(1/(1/_xlfn.MINIFS(Apparitions!$L$2:$L$5001,Apparitions!$G$2:$G$5001,A2463)),""))</f>
        <v/>
      </c>
      <c r="L2463" s="27" t="str">
        <f aca="false">IF(A2463="","",A2463&amp;" | "&amp;B2463&amp;IF(C2463="",""," ("&amp;C2463&amp;")")&amp;IF(D2463="",""," - "&amp;D2463))</f>
        <v/>
      </c>
    </row>
    <row r="2464" customFormat="false" ht="15" hidden="false" customHeight="false" outlineLevel="0" collapsed="false">
      <c r="A2464" s="32"/>
      <c r="B2464" s="19"/>
      <c r="C2464" s="19"/>
      <c r="D2464" s="19"/>
      <c r="E2464" s="21"/>
      <c r="F2464" s="19"/>
      <c r="G2464" s="27" t="str">
        <f aca="false">IF(B2464="","",IFERROR(INDEX(Jeux!$C$2:$C$3001,MATCH(B2464,Jeux!$A$2:$A$3001,0))&amp;"","⚠ jeu inconnu"))</f>
        <v/>
      </c>
      <c r="H2464" s="27" t="str">
        <f aca="false">IF(B2464="","",IFERROR(INDEX(Jeux!$D$2:$D$3001,MATCH(B2464,Jeux!$A$2:$A$3001,0))&amp;"",""))</f>
        <v/>
      </c>
      <c r="I2464" s="26" t="str">
        <f aca="false">IF(A2464="","",COUNTIF(Apparitions!$G$2:$G$5001,A2464))</f>
        <v/>
      </c>
      <c r="J2464" s="26" t="str">
        <f aca="false">IF(A2464="","",COUNTIFS(Apparitions!$G$2:$G$5001,A2464,Apparitions!$E$2:$E$5001,"○"))</f>
        <v/>
      </c>
      <c r="K2464" s="29" t="str">
        <f aca="false">IF(A2464="","",IFERROR(1/(1/_xlfn.MINIFS(Apparitions!$L$2:$L$5001,Apparitions!$G$2:$G$5001,A2464)),""))</f>
        <v/>
      </c>
      <c r="L2464" s="27" t="str">
        <f aca="false">IF(A2464="","",A2464&amp;" | "&amp;B2464&amp;IF(C2464="",""," ("&amp;C2464&amp;")")&amp;IF(D2464="",""," - "&amp;D2464))</f>
        <v/>
      </c>
    </row>
    <row r="2465" customFormat="false" ht="15" hidden="false" customHeight="false" outlineLevel="0" collapsed="false">
      <c r="A2465" s="32"/>
      <c r="B2465" s="19"/>
      <c r="C2465" s="19"/>
      <c r="D2465" s="19"/>
      <c r="E2465" s="21"/>
      <c r="F2465" s="19"/>
      <c r="G2465" s="27" t="str">
        <f aca="false">IF(B2465="","",IFERROR(INDEX(Jeux!$C$2:$C$3001,MATCH(B2465,Jeux!$A$2:$A$3001,0))&amp;"","⚠ jeu inconnu"))</f>
        <v/>
      </c>
      <c r="H2465" s="27" t="str">
        <f aca="false">IF(B2465="","",IFERROR(INDEX(Jeux!$D$2:$D$3001,MATCH(B2465,Jeux!$A$2:$A$3001,0))&amp;"",""))</f>
        <v/>
      </c>
      <c r="I2465" s="26" t="str">
        <f aca="false">IF(A2465="","",COUNTIF(Apparitions!$G$2:$G$5001,A2465))</f>
        <v/>
      </c>
      <c r="J2465" s="26" t="str">
        <f aca="false">IF(A2465="","",COUNTIFS(Apparitions!$G$2:$G$5001,A2465,Apparitions!$E$2:$E$5001,"○"))</f>
        <v/>
      </c>
      <c r="K2465" s="29" t="str">
        <f aca="false">IF(A2465="","",IFERROR(1/(1/_xlfn.MINIFS(Apparitions!$L$2:$L$5001,Apparitions!$G$2:$G$5001,A2465)),""))</f>
        <v/>
      </c>
      <c r="L2465" s="27" t="str">
        <f aca="false">IF(A2465="","",A2465&amp;" | "&amp;B2465&amp;IF(C2465="",""," ("&amp;C2465&amp;")")&amp;IF(D2465="",""," - "&amp;D2465))</f>
        <v/>
      </c>
    </row>
    <row r="2466" customFormat="false" ht="15" hidden="false" customHeight="false" outlineLevel="0" collapsed="false">
      <c r="A2466" s="32"/>
      <c r="B2466" s="19"/>
      <c r="C2466" s="19"/>
      <c r="D2466" s="19"/>
      <c r="E2466" s="21"/>
      <c r="F2466" s="19"/>
      <c r="G2466" s="27" t="str">
        <f aca="false">IF(B2466="","",IFERROR(INDEX(Jeux!$C$2:$C$3001,MATCH(B2466,Jeux!$A$2:$A$3001,0))&amp;"","⚠ jeu inconnu"))</f>
        <v/>
      </c>
      <c r="H2466" s="27" t="str">
        <f aca="false">IF(B2466="","",IFERROR(INDEX(Jeux!$D$2:$D$3001,MATCH(B2466,Jeux!$A$2:$A$3001,0))&amp;"",""))</f>
        <v/>
      </c>
      <c r="I2466" s="26" t="str">
        <f aca="false">IF(A2466="","",COUNTIF(Apparitions!$G$2:$G$5001,A2466))</f>
        <v/>
      </c>
      <c r="J2466" s="26" t="str">
        <f aca="false">IF(A2466="","",COUNTIFS(Apparitions!$G$2:$G$5001,A2466,Apparitions!$E$2:$E$5001,"○"))</f>
        <v/>
      </c>
      <c r="K2466" s="29" t="str">
        <f aca="false">IF(A2466="","",IFERROR(1/(1/_xlfn.MINIFS(Apparitions!$L$2:$L$5001,Apparitions!$G$2:$G$5001,A2466)),""))</f>
        <v/>
      </c>
      <c r="L2466" s="27" t="str">
        <f aca="false">IF(A2466="","",A2466&amp;" | "&amp;B2466&amp;IF(C2466="",""," ("&amp;C2466&amp;")")&amp;IF(D2466="",""," - "&amp;D2466))</f>
        <v/>
      </c>
    </row>
    <row r="2467" customFormat="false" ht="15" hidden="false" customHeight="false" outlineLevel="0" collapsed="false">
      <c r="A2467" s="32"/>
      <c r="B2467" s="19"/>
      <c r="C2467" s="19"/>
      <c r="D2467" s="19"/>
      <c r="E2467" s="21"/>
      <c r="F2467" s="19"/>
      <c r="G2467" s="27" t="str">
        <f aca="false">IF(B2467="","",IFERROR(INDEX(Jeux!$C$2:$C$3001,MATCH(B2467,Jeux!$A$2:$A$3001,0))&amp;"","⚠ jeu inconnu"))</f>
        <v/>
      </c>
      <c r="H2467" s="27" t="str">
        <f aca="false">IF(B2467="","",IFERROR(INDEX(Jeux!$D$2:$D$3001,MATCH(B2467,Jeux!$A$2:$A$3001,0))&amp;"",""))</f>
        <v/>
      </c>
      <c r="I2467" s="26" t="str">
        <f aca="false">IF(A2467="","",COUNTIF(Apparitions!$G$2:$G$5001,A2467))</f>
        <v/>
      </c>
      <c r="J2467" s="26" t="str">
        <f aca="false">IF(A2467="","",COUNTIFS(Apparitions!$G$2:$G$5001,A2467,Apparitions!$E$2:$E$5001,"○"))</f>
        <v/>
      </c>
      <c r="K2467" s="29" t="str">
        <f aca="false">IF(A2467="","",IFERROR(1/(1/_xlfn.MINIFS(Apparitions!$L$2:$L$5001,Apparitions!$G$2:$G$5001,A2467)),""))</f>
        <v/>
      </c>
      <c r="L2467" s="27" t="str">
        <f aca="false">IF(A2467="","",A2467&amp;" | "&amp;B2467&amp;IF(C2467="",""," ("&amp;C2467&amp;")")&amp;IF(D2467="",""," - "&amp;D2467))</f>
        <v/>
      </c>
    </row>
    <row r="2468" customFormat="false" ht="15" hidden="false" customHeight="false" outlineLevel="0" collapsed="false">
      <c r="A2468" s="32"/>
      <c r="B2468" s="19"/>
      <c r="C2468" s="19"/>
      <c r="D2468" s="19"/>
      <c r="E2468" s="21"/>
      <c r="F2468" s="19"/>
      <c r="G2468" s="27" t="str">
        <f aca="false">IF(B2468="","",IFERROR(INDEX(Jeux!$C$2:$C$3001,MATCH(B2468,Jeux!$A$2:$A$3001,0))&amp;"","⚠ jeu inconnu"))</f>
        <v/>
      </c>
      <c r="H2468" s="27" t="str">
        <f aca="false">IF(B2468="","",IFERROR(INDEX(Jeux!$D$2:$D$3001,MATCH(B2468,Jeux!$A$2:$A$3001,0))&amp;"",""))</f>
        <v/>
      </c>
      <c r="I2468" s="26" t="str">
        <f aca="false">IF(A2468="","",COUNTIF(Apparitions!$G$2:$G$5001,A2468))</f>
        <v/>
      </c>
      <c r="J2468" s="26" t="str">
        <f aca="false">IF(A2468="","",COUNTIFS(Apparitions!$G$2:$G$5001,A2468,Apparitions!$E$2:$E$5001,"○"))</f>
        <v/>
      </c>
      <c r="K2468" s="29" t="str">
        <f aca="false">IF(A2468="","",IFERROR(1/(1/_xlfn.MINIFS(Apparitions!$L$2:$L$5001,Apparitions!$G$2:$G$5001,A2468)),""))</f>
        <v/>
      </c>
      <c r="L2468" s="27" t="str">
        <f aca="false">IF(A2468="","",A2468&amp;" | "&amp;B2468&amp;IF(C2468="",""," ("&amp;C2468&amp;")")&amp;IF(D2468="",""," - "&amp;D2468))</f>
        <v/>
      </c>
    </row>
    <row r="2469" customFormat="false" ht="15" hidden="false" customHeight="false" outlineLevel="0" collapsed="false">
      <c r="A2469" s="32"/>
      <c r="B2469" s="19"/>
      <c r="C2469" s="19"/>
      <c r="D2469" s="19"/>
      <c r="E2469" s="21"/>
      <c r="F2469" s="19"/>
      <c r="G2469" s="27" t="str">
        <f aca="false">IF(B2469="","",IFERROR(INDEX(Jeux!$C$2:$C$3001,MATCH(B2469,Jeux!$A$2:$A$3001,0))&amp;"","⚠ jeu inconnu"))</f>
        <v/>
      </c>
      <c r="H2469" s="27" t="str">
        <f aca="false">IF(B2469="","",IFERROR(INDEX(Jeux!$D$2:$D$3001,MATCH(B2469,Jeux!$A$2:$A$3001,0))&amp;"",""))</f>
        <v/>
      </c>
      <c r="I2469" s="26" t="str">
        <f aca="false">IF(A2469="","",COUNTIF(Apparitions!$G$2:$G$5001,A2469))</f>
        <v/>
      </c>
      <c r="J2469" s="26" t="str">
        <f aca="false">IF(A2469="","",COUNTIFS(Apparitions!$G$2:$G$5001,A2469,Apparitions!$E$2:$E$5001,"○"))</f>
        <v/>
      </c>
      <c r="K2469" s="29" t="str">
        <f aca="false">IF(A2469="","",IFERROR(1/(1/_xlfn.MINIFS(Apparitions!$L$2:$L$5001,Apparitions!$G$2:$G$5001,A2469)),""))</f>
        <v/>
      </c>
      <c r="L2469" s="27" t="str">
        <f aca="false">IF(A2469="","",A2469&amp;" | "&amp;B2469&amp;IF(C2469="",""," ("&amp;C2469&amp;")")&amp;IF(D2469="",""," - "&amp;D2469))</f>
        <v/>
      </c>
    </row>
    <row r="2470" customFormat="false" ht="15" hidden="false" customHeight="false" outlineLevel="0" collapsed="false">
      <c r="A2470" s="32"/>
      <c r="B2470" s="19"/>
      <c r="C2470" s="19"/>
      <c r="D2470" s="19"/>
      <c r="E2470" s="21"/>
      <c r="F2470" s="19"/>
      <c r="G2470" s="27" t="str">
        <f aca="false">IF(B2470="","",IFERROR(INDEX(Jeux!$C$2:$C$3001,MATCH(B2470,Jeux!$A$2:$A$3001,0))&amp;"","⚠ jeu inconnu"))</f>
        <v/>
      </c>
      <c r="H2470" s="27" t="str">
        <f aca="false">IF(B2470="","",IFERROR(INDEX(Jeux!$D$2:$D$3001,MATCH(B2470,Jeux!$A$2:$A$3001,0))&amp;"",""))</f>
        <v/>
      </c>
      <c r="I2470" s="26" t="str">
        <f aca="false">IF(A2470="","",COUNTIF(Apparitions!$G$2:$G$5001,A2470))</f>
        <v/>
      </c>
      <c r="J2470" s="26" t="str">
        <f aca="false">IF(A2470="","",COUNTIFS(Apparitions!$G$2:$G$5001,A2470,Apparitions!$E$2:$E$5001,"○"))</f>
        <v/>
      </c>
      <c r="K2470" s="29" t="str">
        <f aca="false">IF(A2470="","",IFERROR(1/(1/_xlfn.MINIFS(Apparitions!$L$2:$L$5001,Apparitions!$G$2:$G$5001,A2470)),""))</f>
        <v/>
      </c>
      <c r="L2470" s="27" t="str">
        <f aca="false">IF(A2470="","",A2470&amp;" | "&amp;B2470&amp;IF(C2470="",""," ("&amp;C2470&amp;")")&amp;IF(D2470="",""," - "&amp;D2470))</f>
        <v/>
      </c>
    </row>
    <row r="2471" customFormat="false" ht="15" hidden="false" customHeight="false" outlineLevel="0" collapsed="false">
      <c r="A2471" s="32"/>
      <c r="B2471" s="19"/>
      <c r="C2471" s="19"/>
      <c r="D2471" s="19"/>
      <c r="E2471" s="21"/>
      <c r="F2471" s="19"/>
      <c r="G2471" s="27" t="str">
        <f aca="false">IF(B2471="","",IFERROR(INDEX(Jeux!$C$2:$C$3001,MATCH(B2471,Jeux!$A$2:$A$3001,0))&amp;"","⚠ jeu inconnu"))</f>
        <v/>
      </c>
      <c r="H2471" s="27" t="str">
        <f aca="false">IF(B2471="","",IFERROR(INDEX(Jeux!$D$2:$D$3001,MATCH(B2471,Jeux!$A$2:$A$3001,0))&amp;"",""))</f>
        <v/>
      </c>
      <c r="I2471" s="26" t="str">
        <f aca="false">IF(A2471="","",COUNTIF(Apparitions!$G$2:$G$5001,A2471))</f>
        <v/>
      </c>
      <c r="J2471" s="26" t="str">
        <f aca="false">IF(A2471="","",COUNTIFS(Apparitions!$G$2:$G$5001,A2471,Apparitions!$E$2:$E$5001,"○"))</f>
        <v/>
      </c>
      <c r="K2471" s="29" t="str">
        <f aca="false">IF(A2471="","",IFERROR(1/(1/_xlfn.MINIFS(Apparitions!$L$2:$L$5001,Apparitions!$G$2:$G$5001,A2471)),""))</f>
        <v/>
      </c>
      <c r="L2471" s="27" t="str">
        <f aca="false">IF(A2471="","",A2471&amp;" | "&amp;B2471&amp;IF(C2471="",""," ("&amp;C2471&amp;")")&amp;IF(D2471="",""," - "&amp;D2471))</f>
        <v/>
      </c>
    </row>
    <row r="2472" customFormat="false" ht="15" hidden="false" customHeight="false" outlineLevel="0" collapsed="false">
      <c r="A2472" s="32"/>
      <c r="B2472" s="19"/>
      <c r="C2472" s="19"/>
      <c r="D2472" s="19"/>
      <c r="E2472" s="21"/>
      <c r="F2472" s="19"/>
      <c r="G2472" s="27" t="str">
        <f aca="false">IF(B2472="","",IFERROR(INDEX(Jeux!$C$2:$C$3001,MATCH(B2472,Jeux!$A$2:$A$3001,0))&amp;"","⚠ jeu inconnu"))</f>
        <v/>
      </c>
      <c r="H2472" s="27" t="str">
        <f aca="false">IF(B2472="","",IFERROR(INDEX(Jeux!$D$2:$D$3001,MATCH(B2472,Jeux!$A$2:$A$3001,0))&amp;"",""))</f>
        <v/>
      </c>
      <c r="I2472" s="26" t="str">
        <f aca="false">IF(A2472="","",COUNTIF(Apparitions!$G$2:$G$5001,A2472))</f>
        <v/>
      </c>
      <c r="J2472" s="26" t="str">
        <f aca="false">IF(A2472="","",COUNTIFS(Apparitions!$G$2:$G$5001,A2472,Apparitions!$E$2:$E$5001,"○"))</f>
        <v/>
      </c>
      <c r="K2472" s="29" t="str">
        <f aca="false">IF(A2472="","",IFERROR(1/(1/_xlfn.MINIFS(Apparitions!$L$2:$L$5001,Apparitions!$G$2:$G$5001,A2472)),""))</f>
        <v/>
      </c>
      <c r="L2472" s="27" t="str">
        <f aca="false">IF(A2472="","",A2472&amp;" | "&amp;B2472&amp;IF(C2472="",""," ("&amp;C2472&amp;")")&amp;IF(D2472="",""," - "&amp;D2472))</f>
        <v/>
      </c>
    </row>
    <row r="2473" customFormat="false" ht="15" hidden="false" customHeight="false" outlineLevel="0" collapsed="false">
      <c r="A2473" s="32"/>
      <c r="B2473" s="19"/>
      <c r="C2473" s="19"/>
      <c r="D2473" s="19"/>
      <c r="E2473" s="21"/>
      <c r="F2473" s="19"/>
      <c r="G2473" s="27" t="str">
        <f aca="false">IF(B2473="","",IFERROR(INDEX(Jeux!$C$2:$C$3001,MATCH(B2473,Jeux!$A$2:$A$3001,0))&amp;"","⚠ jeu inconnu"))</f>
        <v/>
      </c>
      <c r="H2473" s="27" t="str">
        <f aca="false">IF(B2473="","",IFERROR(INDEX(Jeux!$D$2:$D$3001,MATCH(B2473,Jeux!$A$2:$A$3001,0))&amp;"",""))</f>
        <v/>
      </c>
      <c r="I2473" s="26" t="str">
        <f aca="false">IF(A2473="","",COUNTIF(Apparitions!$G$2:$G$5001,A2473))</f>
        <v/>
      </c>
      <c r="J2473" s="26" t="str">
        <f aca="false">IF(A2473="","",COUNTIFS(Apparitions!$G$2:$G$5001,A2473,Apparitions!$E$2:$E$5001,"○"))</f>
        <v/>
      </c>
      <c r="K2473" s="29" t="str">
        <f aca="false">IF(A2473="","",IFERROR(1/(1/_xlfn.MINIFS(Apparitions!$L$2:$L$5001,Apparitions!$G$2:$G$5001,A2473)),""))</f>
        <v/>
      </c>
      <c r="L2473" s="27" t="str">
        <f aca="false">IF(A2473="","",A2473&amp;" | "&amp;B2473&amp;IF(C2473="",""," ("&amp;C2473&amp;")")&amp;IF(D2473="",""," - "&amp;D2473))</f>
        <v/>
      </c>
    </row>
    <row r="2474" customFormat="false" ht="15" hidden="false" customHeight="false" outlineLevel="0" collapsed="false">
      <c r="A2474" s="32"/>
      <c r="B2474" s="19"/>
      <c r="C2474" s="19"/>
      <c r="D2474" s="19"/>
      <c r="E2474" s="21"/>
      <c r="F2474" s="19"/>
      <c r="G2474" s="27" t="str">
        <f aca="false">IF(B2474="","",IFERROR(INDEX(Jeux!$C$2:$C$3001,MATCH(B2474,Jeux!$A$2:$A$3001,0))&amp;"","⚠ jeu inconnu"))</f>
        <v/>
      </c>
      <c r="H2474" s="27" t="str">
        <f aca="false">IF(B2474="","",IFERROR(INDEX(Jeux!$D$2:$D$3001,MATCH(B2474,Jeux!$A$2:$A$3001,0))&amp;"",""))</f>
        <v/>
      </c>
      <c r="I2474" s="26" t="str">
        <f aca="false">IF(A2474="","",COUNTIF(Apparitions!$G$2:$G$5001,A2474))</f>
        <v/>
      </c>
      <c r="J2474" s="26" t="str">
        <f aca="false">IF(A2474="","",COUNTIFS(Apparitions!$G$2:$G$5001,A2474,Apparitions!$E$2:$E$5001,"○"))</f>
        <v/>
      </c>
      <c r="K2474" s="29" t="str">
        <f aca="false">IF(A2474="","",IFERROR(1/(1/_xlfn.MINIFS(Apparitions!$L$2:$L$5001,Apparitions!$G$2:$G$5001,A2474)),""))</f>
        <v/>
      </c>
      <c r="L2474" s="27" t="str">
        <f aca="false">IF(A2474="","",A2474&amp;" | "&amp;B2474&amp;IF(C2474="",""," ("&amp;C2474&amp;")")&amp;IF(D2474="",""," - "&amp;D2474))</f>
        <v/>
      </c>
    </row>
    <row r="2475" customFormat="false" ht="15" hidden="false" customHeight="false" outlineLevel="0" collapsed="false">
      <c r="A2475" s="32"/>
      <c r="B2475" s="19"/>
      <c r="C2475" s="19"/>
      <c r="D2475" s="19"/>
      <c r="E2475" s="21"/>
      <c r="F2475" s="19"/>
      <c r="G2475" s="27" t="str">
        <f aca="false">IF(B2475="","",IFERROR(INDEX(Jeux!$C$2:$C$3001,MATCH(B2475,Jeux!$A$2:$A$3001,0))&amp;"","⚠ jeu inconnu"))</f>
        <v/>
      </c>
      <c r="H2475" s="27" t="str">
        <f aca="false">IF(B2475="","",IFERROR(INDEX(Jeux!$D$2:$D$3001,MATCH(B2475,Jeux!$A$2:$A$3001,0))&amp;"",""))</f>
        <v/>
      </c>
      <c r="I2475" s="26" t="str">
        <f aca="false">IF(A2475="","",COUNTIF(Apparitions!$G$2:$G$5001,A2475))</f>
        <v/>
      </c>
      <c r="J2475" s="26" t="str">
        <f aca="false">IF(A2475="","",COUNTIFS(Apparitions!$G$2:$G$5001,A2475,Apparitions!$E$2:$E$5001,"○"))</f>
        <v/>
      </c>
      <c r="K2475" s="29" t="str">
        <f aca="false">IF(A2475="","",IFERROR(1/(1/_xlfn.MINIFS(Apparitions!$L$2:$L$5001,Apparitions!$G$2:$G$5001,A2475)),""))</f>
        <v/>
      </c>
      <c r="L2475" s="27" t="str">
        <f aca="false">IF(A2475="","",A2475&amp;" | "&amp;B2475&amp;IF(C2475="",""," ("&amp;C2475&amp;")")&amp;IF(D2475="",""," - "&amp;D2475))</f>
        <v/>
      </c>
    </row>
    <row r="2476" customFormat="false" ht="15" hidden="false" customHeight="false" outlineLevel="0" collapsed="false">
      <c r="A2476" s="32"/>
      <c r="B2476" s="19"/>
      <c r="C2476" s="19"/>
      <c r="D2476" s="19"/>
      <c r="E2476" s="21"/>
      <c r="F2476" s="19"/>
      <c r="G2476" s="27" t="str">
        <f aca="false">IF(B2476="","",IFERROR(INDEX(Jeux!$C$2:$C$3001,MATCH(B2476,Jeux!$A$2:$A$3001,0))&amp;"","⚠ jeu inconnu"))</f>
        <v/>
      </c>
      <c r="H2476" s="27" t="str">
        <f aca="false">IF(B2476="","",IFERROR(INDEX(Jeux!$D$2:$D$3001,MATCH(B2476,Jeux!$A$2:$A$3001,0))&amp;"",""))</f>
        <v/>
      </c>
      <c r="I2476" s="26" t="str">
        <f aca="false">IF(A2476="","",COUNTIF(Apparitions!$G$2:$G$5001,A2476))</f>
        <v/>
      </c>
      <c r="J2476" s="26" t="str">
        <f aca="false">IF(A2476="","",COUNTIFS(Apparitions!$G$2:$G$5001,A2476,Apparitions!$E$2:$E$5001,"○"))</f>
        <v/>
      </c>
      <c r="K2476" s="29" t="str">
        <f aca="false">IF(A2476="","",IFERROR(1/(1/_xlfn.MINIFS(Apparitions!$L$2:$L$5001,Apparitions!$G$2:$G$5001,A2476)),""))</f>
        <v/>
      </c>
      <c r="L2476" s="27" t="str">
        <f aca="false">IF(A2476="","",A2476&amp;" | "&amp;B2476&amp;IF(C2476="",""," ("&amp;C2476&amp;")")&amp;IF(D2476="",""," - "&amp;D2476))</f>
        <v/>
      </c>
    </row>
    <row r="2477" customFormat="false" ht="15" hidden="false" customHeight="false" outlineLevel="0" collapsed="false">
      <c r="A2477" s="32"/>
      <c r="B2477" s="19"/>
      <c r="C2477" s="19"/>
      <c r="D2477" s="19"/>
      <c r="E2477" s="21"/>
      <c r="F2477" s="19"/>
      <c r="G2477" s="27" t="str">
        <f aca="false">IF(B2477="","",IFERROR(INDEX(Jeux!$C$2:$C$3001,MATCH(B2477,Jeux!$A$2:$A$3001,0))&amp;"","⚠ jeu inconnu"))</f>
        <v/>
      </c>
      <c r="H2477" s="27" t="str">
        <f aca="false">IF(B2477="","",IFERROR(INDEX(Jeux!$D$2:$D$3001,MATCH(B2477,Jeux!$A$2:$A$3001,0))&amp;"",""))</f>
        <v/>
      </c>
      <c r="I2477" s="26" t="str">
        <f aca="false">IF(A2477="","",COUNTIF(Apparitions!$G$2:$G$5001,A2477))</f>
        <v/>
      </c>
      <c r="J2477" s="26" t="str">
        <f aca="false">IF(A2477="","",COUNTIFS(Apparitions!$G$2:$G$5001,A2477,Apparitions!$E$2:$E$5001,"○"))</f>
        <v/>
      </c>
      <c r="K2477" s="29" t="str">
        <f aca="false">IF(A2477="","",IFERROR(1/(1/_xlfn.MINIFS(Apparitions!$L$2:$L$5001,Apparitions!$G$2:$G$5001,A2477)),""))</f>
        <v/>
      </c>
      <c r="L2477" s="27" t="str">
        <f aca="false">IF(A2477="","",A2477&amp;" | "&amp;B2477&amp;IF(C2477="",""," ("&amp;C2477&amp;")")&amp;IF(D2477="",""," - "&amp;D2477))</f>
        <v/>
      </c>
    </row>
    <row r="2478" customFormat="false" ht="15" hidden="false" customHeight="false" outlineLevel="0" collapsed="false">
      <c r="A2478" s="32"/>
      <c r="B2478" s="19"/>
      <c r="C2478" s="19"/>
      <c r="D2478" s="19"/>
      <c r="E2478" s="21"/>
      <c r="F2478" s="19"/>
      <c r="G2478" s="27" t="str">
        <f aca="false">IF(B2478="","",IFERROR(INDEX(Jeux!$C$2:$C$3001,MATCH(B2478,Jeux!$A$2:$A$3001,0))&amp;"","⚠ jeu inconnu"))</f>
        <v/>
      </c>
      <c r="H2478" s="27" t="str">
        <f aca="false">IF(B2478="","",IFERROR(INDEX(Jeux!$D$2:$D$3001,MATCH(B2478,Jeux!$A$2:$A$3001,0))&amp;"",""))</f>
        <v/>
      </c>
      <c r="I2478" s="26" t="str">
        <f aca="false">IF(A2478="","",COUNTIF(Apparitions!$G$2:$G$5001,A2478))</f>
        <v/>
      </c>
      <c r="J2478" s="26" t="str">
        <f aca="false">IF(A2478="","",COUNTIFS(Apparitions!$G$2:$G$5001,A2478,Apparitions!$E$2:$E$5001,"○"))</f>
        <v/>
      </c>
      <c r="K2478" s="29" t="str">
        <f aca="false">IF(A2478="","",IFERROR(1/(1/_xlfn.MINIFS(Apparitions!$L$2:$L$5001,Apparitions!$G$2:$G$5001,A2478)),""))</f>
        <v/>
      </c>
      <c r="L2478" s="27" t="str">
        <f aca="false">IF(A2478="","",A2478&amp;" | "&amp;B2478&amp;IF(C2478="",""," ("&amp;C2478&amp;")")&amp;IF(D2478="",""," - "&amp;D2478))</f>
        <v/>
      </c>
    </row>
    <row r="2479" customFormat="false" ht="15" hidden="false" customHeight="false" outlineLevel="0" collapsed="false">
      <c r="A2479" s="32"/>
      <c r="B2479" s="19"/>
      <c r="C2479" s="19"/>
      <c r="D2479" s="19"/>
      <c r="E2479" s="21"/>
      <c r="F2479" s="19"/>
      <c r="G2479" s="27" t="str">
        <f aca="false">IF(B2479="","",IFERROR(INDEX(Jeux!$C$2:$C$3001,MATCH(B2479,Jeux!$A$2:$A$3001,0))&amp;"","⚠ jeu inconnu"))</f>
        <v/>
      </c>
      <c r="H2479" s="27" t="str">
        <f aca="false">IF(B2479="","",IFERROR(INDEX(Jeux!$D$2:$D$3001,MATCH(B2479,Jeux!$A$2:$A$3001,0))&amp;"",""))</f>
        <v/>
      </c>
      <c r="I2479" s="26" t="str">
        <f aca="false">IF(A2479="","",COUNTIF(Apparitions!$G$2:$G$5001,A2479))</f>
        <v/>
      </c>
      <c r="J2479" s="26" t="str">
        <f aca="false">IF(A2479="","",COUNTIFS(Apparitions!$G$2:$G$5001,A2479,Apparitions!$E$2:$E$5001,"○"))</f>
        <v/>
      </c>
      <c r="K2479" s="29" t="str">
        <f aca="false">IF(A2479="","",IFERROR(1/(1/_xlfn.MINIFS(Apparitions!$L$2:$L$5001,Apparitions!$G$2:$G$5001,A2479)),""))</f>
        <v/>
      </c>
      <c r="L2479" s="27" t="str">
        <f aca="false">IF(A2479="","",A2479&amp;" | "&amp;B2479&amp;IF(C2479="",""," ("&amp;C2479&amp;")")&amp;IF(D2479="",""," - "&amp;D2479))</f>
        <v/>
      </c>
    </row>
    <row r="2480" customFormat="false" ht="15" hidden="false" customHeight="false" outlineLevel="0" collapsed="false">
      <c r="A2480" s="32"/>
      <c r="B2480" s="19"/>
      <c r="C2480" s="19"/>
      <c r="D2480" s="19"/>
      <c r="E2480" s="21"/>
      <c r="F2480" s="19"/>
      <c r="G2480" s="27" t="str">
        <f aca="false">IF(B2480="","",IFERROR(INDEX(Jeux!$C$2:$C$3001,MATCH(B2480,Jeux!$A$2:$A$3001,0))&amp;"","⚠ jeu inconnu"))</f>
        <v/>
      </c>
      <c r="H2480" s="27" t="str">
        <f aca="false">IF(B2480="","",IFERROR(INDEX(Jeux!$D$2:$D$3001,MATCH(B2480,Jeux!$A$2:$A$3001,0))&amp;"",""))</f>
        <v/>
      </c>
      <c r="I2480" s="26" t="str">
        <f aca="false">IF(A2480="","",COUNTIF(Apparitions!$G$2:$G$5001,A2480))</f>
        <v/>
      </c>
      <c r="J2480" s="26" t="str">
        <f aca="false">IF(A2480="","",COUNTIFS(Apparitions!$G$2:$G$5001,A2480,Apparitions!$E$2:$E$5001,"○"))</f>
        <v/>
      </c>
      <c r="K2480" s="29" t="str">
        <f aca="false">IF(A2480="","",IFERROR(1/(1/_xlfn.MINIFS(Apparitions!$L$2:$L$5001,Apparitions!$G$2:$G$5001,A2480)),""))</f>
        <v/>
      </c>
      <c r="L2480" s="27" t="str">
        <f aca="false">IF(A2480="","",A2480&amp;" | "&amp;B2480&amp;IF(C2480="",""," ("&amp;C2480&amp;")")&amp;IF(D2480="",""," - "&amp;D2480))</f>
        <v/>
      </c>
    </row>
    <row r="2481" customFormat="false" ht="15" hidden="false" customHeight="false" outlineLevel="0" collapsed="false">
      <c r="A2481" s="32"/>
      <c r="B2481" s="19"/>
      <c r="C2481" s="19"/>
      <c r="D2481" s="19"/>
      <c r="E2481" s="21"/>
      <c r="F2481" s="19"/>
      <c r="G2481" s="27" t="str">
        <f aca="false">IF(B2481="","",IFERROR(INDEX(Jeux!$C$2:$C$3001,MATCH(B2481,Jeux!$A$2:$A$3001,0))&amp;"","⚠ jeu inconnu"))</f>
        <v/>
      </c>
      <c r="H2481" s="27" t="str">
        <f aca="false">IF(B2481="","",IFERROR(INDEX(Jeux!$D$2:$D$3001,MATCH(B2481,Jeux!$A$2:$A$3001,0))&amp;"",""))</f>
        <v/>
      </c>
      <c r="I2481" s="26" t="str">
        <f aca="false">IF(A2481="","",COUNTIF(Apparitions!$G$2:$G$5001,A2481))</f>
        <v/>
      </c>
      <c r="J2481" s="26" t="str">
        <f aca="false">IF(A2481="","",COUNTIFS(Apparitions!$G$2:$G$5001,A2481,Apparitions!$E$2:$E$5001,"○"))</f>
        <v/>
      </c>
      <c r="K2481" s="29" t="str">
        <f aca="false">IF(A2481="","",IFERROR(1/(1/_xlfn.MINIFS(Apparitions!$L$2:$L$5001,Apparitions!$G$2:$G$5001,A2481)),""))</f>
        <v/>
      </c>
      <c r="L2481" s="27" t="str">
        <f aca="false">IF(A2481="","",A2481&amp;" | "&amp;B2481&amp;IF(C2481="",""," ("&amp;C2481&amp;")")&amp;IF(D2481="",""," - "&amp;D2481))</f>
        <v/>
      </c>
    </row>
    <row r="2482" customFormat="false" ht="15" hidden="false" customHeight="false" outlineLevel="0" collapsed="false">
      <c r="A2482" s="32"/>
      <c r="B2482" s="19"/>
      <c r="C2482" s="19"/>
      <c r="D2482" s="19"/>
      <c r="E2482" s="21"/>
      <c r="F2482" s="19"/>
      <c r="G2482" s="27" t="str">
        <f aca="false">IF(B2482="","",IFERROR(INDEX(Jeux!$C$2:$C$3001,MATCH(B2482,Jeux!$A$2:$A$3001,0))&amp;"","⚠ jeu inconnu"))</f>
        <v/>
      </c>
      <c r="H2482" s="27" t="str">
        <f aca="false">IF(B2482="","",IFERROR(INDEX(Jeux!$D$2:$D$3001,MATCH(B2482,Jeux!$A$2:$A$3001,0))&amp;"",""))</f>
        <v/>
      </c>
      <c r="I2482" s="26" t="str">
        <f aca="false">IF(A2482="","",COUNTIF(Apparitions!$G$2:$G$5001,A2482))</f>
        <v/>
      </c>
      <c r="J2482" s="26" t="str">
        <f aca="false">IF(A2482="","",COUNTIFS(Apparitions!$G$2:$G$5001,A2482,Apparitions!$E$2:$E$5001,"○"))</f>
        <v/>
      </c>
      <c r="K2482" s="29" t="str">
        <f aca="false">IF(A2482="","",IFERROR(1/(1/_xlfn.MINIFS(Apparitions!$L$2:$L$5001,Apparitions!$G$2:$G$5001,A2482)),""))</f>
        <v/>
      </c>
      <c r="L2482" s="27" t="str">
        <f aca="false">IF(A2482="","",A2482&amp;" | "&amp;B2482&amp;IF(C2482="",""," ("&amp;C2482&amp;")")&amp;IF(D2482="",""," - "&amp;D2482))</f>
        <v/>
      </c>
    </row>
    <row r="2483" customFormat="false" ht="15" hidden="false" customHeight="false" outlineLevel="0" collapsed="false">
      <c r="A2483" s="32"/>
      <c r="B2483" s="19"/>
      <c r="C2483" s="19"/>
      <c r="D2483" s="19"/>
      <c r="E2483" s="21"/>
      <c r="F2483" s="19"/>
      <c r="G2483" s="27" t="str">
        <f aca="false">IF(B2483="","",IFERROR(INDEX(Jeux!$C$2:$C$3001,MATCH(B2483,Jeux!$A$2:$A$3001,0))&amp;"","⚠ jeu inconnu"))</f>
        <v/>
      </c>
      <c r="H2483" s="27" t="str">
        <f aca="false">IF(B2483="","",IFERROR(INDEX(Jeux!$D$2:$D$3001,MATCH(B2483,Jeux!$A$2:$A$3001,0))&amp;"",""))</f>
        <v/>
      </c>
      <c r="I2483" s="26" t="str">
        <f aca="false">IF(A2483="","",COUNTIF(Apparitions!$G$2:$G$5001,A2483))</f>
        <v/>
      </c>
      <c r="J2483" s="26" t="str">
        <f aca="false">IF(A2483="","",COUNTIFS(Apparitions!$G$2:$G$5001,A2483,Apparitions!$E$2:$E$5001,"○"))</f>
        <v/>
      </c>
      <c r="K2483" s="29" t="str">
        <f aca="false">IF(A2483="","",IFERROR(1/(1/_xlfn.MINIFS(Apparitions!$L$2:$L$5001,Apparitions!$G$2:$G$5001,A2483)),""))</f>
        <v/>
      </c>
      <c r="L2483" s="27" t="str">
        <f aca="false">IF(A2483="","",A2483&amp;" | "&amp;B2483&amp;IF(C2483="",""," ("&amp;C2483&amp;")")&amp;IF(D2483="",""," - "&amp;D2483))</f>
        <v/>
      </c>
    </row>
    <row r="2484" customFormat="false" ht="15" hidden="false" customHeight="false" outlineLevel="0" collapsed="false">
      <c r="A2484" s="32"/>
      <c r="B2484" s="19"/>
      <c r="C2484" s="19"/>
      <c r="D2484" s="19"/>
      <c r="E2484" s="21"/>
      <c r="F2484" s="19"/>
      <c r="G2484" s="27" t="str">
        <f aca="false">IF(B2484="","",IFERROR(INDEX(Jeux!$C$2:$C$3001,MATCH(B2484,Jeux!$A$2:$A$3001,0))&amp;"","⚠ jeu inconnu"))</f>
        <v/>
      </c>
      <c r="H2484" s="27" t="str">
        <f aca="false">IF(B2484="","",IFERROR(INDEX(Jeux!$D$2:$D$3001,MATCH(B2484,Jeux!$A$2:$A$3001,0))&amp;"",""))</f>
        <v/>
      </c>
      <c r="I2484" s="26" t="str">
        <f aca="false">IF(A2484="","",COUNTIF(Apparitions!$G$2:$G$5001,A2484))</f>
        <v/>
      </c>
      <c r="J2484" s="26" t="str">
        <f aca="false">IF(A2484="","",COUNTIFS(Apparitions!$G$2:$G$5001,A2484,Apparitions!$E$2:$E$5001,"○"))</f>
        <v/>
      </c>
      <c r="K2484" s="29" t="str">
        <f aca="false">IF(A2484="","",IFERROR(1/(1/_xlfn.MINIFS(Apparitions!$L$2:$L$5001,Apparitions!$G$2:$G$5001,A2484)),""))</f>
        <v/>
      </c>
      <c r="L2484" s="27" t="str">
        <f aca="false">IF(A2484="","",A2484&amp;" | "&amp;B2484&amp;IF(C2484="",""," ("&amp;C2484&amp;")")&amp;IF(D2484="",""," - "&amp;D2484))</f>
        <v/>
      </c>
    </row>
    <row r="2485" customFormat="false" ht="15" hidden="false" customHeight="false" outlineLevel="0" collapsed="false">
      <c r="A2485" s="32"/>
      <c r="B2485" s="19"/>
      <c r="C2485" s="19"/>
      <c r="D2485" s="19"/>
      <c r="E2485" s="21"/>
      <c r="F2485" s="19"/>
      <c r="G2485" s="27" t="str">
        <f aca="false">IF(B2485="","",IFERROR(INDEX(Jeux!$C$2:$C$3001,MATCH(B2485,Jeux!$A$2:$A$3001,0))&amp;"","⚠ jeu inconnu"))</f>
        <v/>
      </c>
      <c r="H2485" s="27" t="str">
        <f aca="false">IF(B2485="","",IFERROR(INDEX(Jeux!$D$2:$D$3001,MATCH(B2485,Jeux!$A$2:$A$3001,0))&amp;"",""))</f>
        <v/>
      </c>
      <c r="I2485" s="26" t="str">
        <f aca="false">IF(A2485="","",COUNTIF(Apparitions!$G$2:$G$5001,A2485))</f>
        <v/>
      </c>
      <c r="J2485" s="26" t="str">
        <f aca="false">IF(A2485="","",COUNTIFS(Apparitions!$G$2:$G$5001,A2485,Apparitions!$E$2:$E$5001,"○"))</f>
        <v/>
      </c>
      <c r="K2485" s="29" t="str">
        <f aca="false">IF(A2485="","",IFERROR(1/(1/_xlfn.MINIFS(Apparitions!$L$2:$L$5001,Apparitions!$G$2:$G$5001,A2485)),""))</f>
        <v/>
      </c>
      <c r="L2485" s="27" t="str">
        <f aca="false">IF(A2485="","",A2485&amp;" | "&amp;B2485&amp;IF(C2485="",""," ("&amp;C2485&amp;")")&amp;IF(D2485="",""," - "&amp;D2485))</f>
        <v/>
      </c>
    </row>
    <row r="2486" customFormat="false" ht="15" hidden="false" customHeight="false" outlineLevel="0" collapsed="false">
      <c r="A2486" s="32"/>
      <c r="B2486" s="19"/>
      <c r="C2486" s="19"/>
      <c r="D2486" s="19"/>
      <c r="E2486" s="21"/>
      <c r="F2486" s="19"/>
      <c r="G2486" s="27" t="str">
        <f aca="false">IF(B2486="","",IFERROR(INDEX(Jeux!$C$2:$C$3001,MATCH(B2486,Jeux!$A$2:$A$3001,0))&amp;"","⚠ jeu inconnu"))</f>
        <v/>
      </c>
      <c r="H2486" s="27" t="str">
        <f aca="false">IF(B2486="","",IFERROR(INDEX(Jeux!$D$2:$D$3001,MATCH(B2486,Jeux!$A$2:$A$3001,0))&amp;"",""))</f>
        <v/>
      </c>
      <c r="I2486" s="26" t="str">
        <f aca="false">IF(A2486="","",COUNTIF(Apparitions!$G$2:$G$5001,A2486))</f>
        <v/>
      </c>
      <c r="J2486" s="26" t="str">
        <f aca="false">IF(A2486="","",COUNTIFS(Apparitions!$G$2:$G$5001,A2486,Apparitions!$E$2:$E$5001,"○"))</f>
        <v/>
      </c>
      <c r="K2486" s="29" t="str">
        <f aca="false">IF(A2486="","",IFERROR(1/(1/_xlfn.MINIFS(Apparitions!$L$2:$L$5001,Apparitions!$G$2:$G$5001,A2486)),""))</f>
        <v/>
      </c>
      <c r="L2486" s="27" t="str">
        <f aca="false">IF(A2486="","",A2486&amp;" | "&amp;B2486&amp;IF(C2486="",""," ("&amp;C2486&amp;")")&amp;IF(D2486="",""," - "&amp;D2486))</f>
        <v/>
      </c>
    </row>
    <row r="2487" customFormat="false" ht="15" hidden="false" customHeight="false" outlineLevel="0" collapsed="false">
      <c r="A2487" s="32"/>
      <c r="B2487" s="19"/>
      <c r="C2487" s="19"/>
      <c r="D2487" s="19"/>
      <c r="E2487" s="21"/>
      <c r="F2487" s="19"/>
      <c r="G2487" s="27" t="str">
        <f aca="false">IF(B2487="","",IFERROR(INDEX(Jeux!$C$2:$C$3001,MATCH(B2487,Jeux!$A$2:$A$3001,0))&amp;"","⚠ jeu inconnu"))</f>
        <v/>
      </c>
      <c r="H2487" s="27" t="str">
        <f aca="false">IF(B2487="","",IFERROR(INDEX(Jeux!$D$2:$D$3001,MATCH(B2487,Jeux!$A$2:$A$3001,0))&amp;"",""))</f>
        <v/>
      </c>
      <c r="I2487" s="26" t="str">
        <f aca="false">IF(A2487="","",COUNTIF(Apparitions!$G$2:$G$5001,A2487))</f>
        <v/>
      </c>
      <c r="J2487" s="26" t="str">
        <f aca="false">IF(A2487="","",COUNTIFS(Apparitions!$G$2:$G$5001,A2487,Apparitions!$E$2:$E$5001,"○"))</f>
        <v/>
      </c>
      <c r="K2487" s="29" t="str">
        <f aca="false">IF(A2487="","",IFERROR(1/(1/_xlfn.MINIFS(Apparitions!$L$2:$L$5001,Apparitions!$G$2:$G$5001,A2487)),""))</f>
        <v/>
      </c>
      <c r="L2487" s="27" t="str">
        <f aca="false">IF(A2487="","",A2487&amp;" | "&amp;B2487&amp;IF(C2487="",""," ("&amp;C2487&amp;")")&amp;IF(D2487="",""," - "&amp;D2487))</f>
        <v/>
      </c>
    </row>
    <row r="2488" customFormat="false" ht="15" hidden="false" customHeight="false" outlineLevel="0" collapsed="false">
      <c r="A2488" s="32"/>
      <c r="B2488" s="19"/>
      <c r="C2488" s="19"/>
      <c r="D2488" s="19"/>
      <c r="E2488" s="21"/>
      <c r="F2488" s="19"/>
      <c r="G2488" s="27" t="str">
        <f aca="false">IF(B2488="","",IFERROR(INDEX(Jeux!$C$2:$C$3001,MATCH(B2488,Jeux!$A$2:$A$3001,0))&amp;"","⚠ jeu inconnu"))</f>
        <v/>
      </c>
      <c r="H2488" s="27" t="str">
        <f aca="false">IF(B2488="","",IFERROR(INDEX(Jeux!$D$2:$D$3001,MATCH(B2488,Jeux!$A$2:$A$3001,0))&amp;"",""))</f>
        <v/>
      </c>
      <c r="I2488" s="26" t="str">
        <f aca="false">IF(A2488="","",COUNTIF(Apparitions!$G$2:$G$5001,A2488))</f>
        <v/>
      </c>
      <c r="J2488" s="26" t="str">
        <f aca="false">IF(A2488="","",COUNTIFS(Apparitions!$G$2:$G$5001,A2488,Apparitions!$E$2:$E$5001,"○"))</f>
        <v/>
      </c>
      <c r="K2488" s="29" t="str">
        <f aca="false">IF(A2488="","",IFERROR(1/(1/_xlfn.MINIFS(Apparitions!$L$2:$L$5001,Apparitions!$G$2:$G$5001,A2488)),""))</f>
        <v/>
      </c>
      <c r="L2488" s="27" t="str">
        <f aca="false">IF(A2488="","",A2488&amp;" | "&amp;B2488&amp;IF(C2488="",""," ("&amp;C2488&amp;")")&amp;IF(D2488="",""," - "&amp;D2488))</f>
        <v/>
      </c>
    </row>
    <row r="2489" customFormat="false" ht="15" hidden="false" customHeight="false" outlineLevel="0" collapsed="false">
      <c r="A2489" s="32"/>
      <c r="B2489" s="19"/>
      <c r="C2489" s="19"/>
      <c r="D2489" s="19"/>
      <c r="E2489" s="21"/>
      <c r="F2489" s="19"/>
      <c r="G2489" s="27" t="str">
        <f aca="false">IF(B2489="","",IFERROR(INDEX(Jeux!$C$2:$C$3001,MATCH(B2489,Jeux!$A$2:$A$3001,0))&amp;"","⚠ jeu inconnu"))</f>
        <v/>
      </c>
      <c r="H2489" s="27" t="str">
        <f aca="false">IF(B2489="","",IFERROR(INDEX(Jeux!$D$2:$D$3001,MATCH(B2489,Jeux!$A$2:$A$3001,0))&amp;"",""))</f>
        <v/>
      </c>
      <c r="I2489" s="26" t="str">
        <f aca="false">IF(A2489="","",COUNTIF(Apparitions!$G$2:$G$5001,A2489))</f>
        <v/>
      </c>
      <c r="J2489" s="26" t="str">
        <f aca="false">IF(A2489="","",COUNTIFS(Apparitions!$G$2:$G$5001,A2489,Apparitions!$E$2:$E$5001,"○"))</f>
        <v/>
      </c>
      <c r="K2489" s="29" t="str">
        <f aca="false">IF(A2489="","",IFERROR(1/(1/_xlfn.MINIFS(Apparitions!$L$2:$L$5001,Apparitions!$G$2:$G$5001,A2489)),""))</f>
        <v/>
      </c>
      <c r="L2489" s="27" t="str">
        <f aca="false">IF(A2489="","",A2489&amp;" | "&amp;B2489&amp;IF(C2489="",""," ("&amp;C2489&amp;")")&amp;IF(D2489="",""," - "&amp;D2489))</f>
        <v/>
      </c>
    </row>
    <row r="2490" customFormat="false" ht="15" hidden="false" customHeight="false" outlineLevel="0" collapsed="false">
      <c r="A2490" s="32"/>
      <c r="B2490" s="19"/>
      <c r="C2490" s="19"/>
      <c r="D2490" s="19"/>
      <c r="E2490" s="21"/>
      <c r="F2490" s="19"/>
      <c r="G2490" s="27" t="str">
        <f aca="false">IF(B2490="","",IFERROR(INDEX(Jeux!$C$2:$C$3001,MATCH(B2490,Jeux!$A$2:$A$3001,0))&amp;"","⚠ jeu inconnu"))</f>
        <v/>
      </c>
      <c r="H2490" s="27" t="str">
        <f aca="false">IF(B2490="","",IFERROR(INDEX(Jeux!$D$2:$D$3001,MATCH(B2490,Jeux!$A$2:$A$3001,0))&amp;"",""))</f>
        <v/>
      </c>
      <c r="I2490" s="26" t="str">
        <f aca="false">IF(A2490="","",COUNTIF(Apparitions!$G$2:$G$5001,A2490))</f>
        <v/>
      </c>
      <c r="J2490" s="26" t="str">
        <f aca="false">IF(A2490="","",COUNTIFS(Apparitions!$G$2:$G$5001,A2490,Apparitions!$E$2:$E$5001,"○"))</f>
        <v/>
      </c>
      <c r="K2490" s="29" t="str">
        <f aca="false">IF(A2490="","",IFERROR(1/(1/_xlfn.MINIFS(Apparitions!$L$2:$L$5001,Apparitions!$G$2:$G$5001,A2490)),""))</f>
        <v/>
      </c>
      <c r="L2490" s="27" t="str">
        <f aca="false">IF(A2490="","",A2490&amp;" | "&amp;B2490&amp;IF(C2490="",""," ("&amp;C2490&amp;")")&amp;IF(D2490="",""," - "&amp;D2490))</f>
        <v/>
      </c>
    </row>
    <row r="2491" customFormat="false" ht="15" hidden="false" customHeight="false" outlineLevel="0" collapsed="false">
      <c r="A2491" s="32"/>
      <c r="B2491" s="19"/>
      <c r="C2491" s="19"/>
      <c r="D2491" s="19"/>
      <c r="E2491" s="21"/>
      <c r="F2491" s="19"/>
      <c r="G2491" s="27" t="str">
        <f aca="false">IF(B2491="","",IFERROR(INDEX(Jeux!$C$2:$C$3001,MATCH(B2491,Jeux!$A$2:$A$3001,0))&amp;"","⚠ jeu inconnu"))</f>
        <v/>
      </c>
      <c r="H2491" s="27" t="str">
        <f aca="false">IF(B2491="","",IFERROR(INDEX(Jeux!$D$2:$D$3001,MATCH(B2491,Jeux!$A$2:$A$3001,0))&amp;"",""))</f>
        <v/>
      </c>
      <c r="I2491" s="26" t="str">
        <f aca="false">IF(A2491="","",COUNTIF(Apparitions!$G$2:$G$5001,A2491))</f>
        <v/>
      </c>
      <c r="J2491" s="26" t="str">
        <f aca="false">IF(A2491="","",COUNTIFS(Apparitions!$G$2:$G$5001,A2491,Apparitions!$E$2:$E$5001,"○"))</f>
        <v/>
      </c>
      <c r="K2491" s="29" t="str">
        <f aca="false">IF(A2491="","",IFERROR(1/(1/_xlfn.MINIFS(Apparitions!$L$2:$L$5001,Apparitions!$G$2:$G$5001,A2491)),""))</f>
        <v/>
      </c>
      <c r="L2491" s="27" t="str">
        <f aca="false">IF(A2491="","",A2491&amp;" | "&amp;B2491&amp;IF(C2491="",""," ("&amp;C2491&amp;")")&amp;IF(D2491="",""," - "&amp;D2491))</f>
        <v/>
      </c>
    </row>
    <row r="2492" customFormat="false" ht="15" hidden="false" customHeight="false" outlineLevel="0" collapsed="false">
      <c r="A2492" s="32"/>
      <c r="B2492" s="19"/>
      <c r="C2492" s="19"/>
      <c r="D2492" s="19"/>
      <c r="E2492" s="21"/>
      <c r="F2492" s="19"/>
      <c r="G2492" s="27" t="str">
        <f aca="false">IF(B2492="","",IFERROR(INDEX(Jeux!$C$2:$C$3001,MATCH(B2492,Jeux!$A$2:$A$3001,0))&amp;"","⚠ jeu inconnu"))</f>
        <v/>
      </c>
      <c r="H2492" s="27" t="str">
        <f aca="false">IF(B2492="","",IFERROR(INDEX(Jeux!$D$2:$D$3001,MATCH(B2492,Jeux!$A$2:$A$3001,0))&amp;"",""))</f>
        <v/>
      </c>
      <c r="I2492" s="26" t="str">
        <f aca="false">IF(A2492="","",COUNTIF(Apparitions!$G$2:$G$5001,A2492))</f>
        <v/>
      </c>
      <c r="J2492" s="26" t="str">
        <f aca="false">IF(A2492="","",COUNTIFS(Apparitions!$G$2:$G$5001,A2492,Apparitions!$E$2:$E$5001,"○"))</f>
        <v/>
      </c>
      <c r="K2492" s="29" t="str">
        <f aca="false">IF(A2492="","",IFERROR(1/(1/_xlfn.MINIFS(Apparitions!$L$2:$L$5001,Apparitions!$G$2:$G$5001,A2492)),""))</f>
        <v/>
      </c>
      <c r="L2492" s="27" t="str">
        <f aca="false">IF(A2492="","",A2492&amp;" | "&amp;B2492&amp;IF(C2492="",""," ("&amp;C2492&amp;")")&amp;IF(D2492="",""," - "&amp;D2492))</f>
        <v/>
      </c>
    </row>
    <row r="2493" customFormat="false" ht="15" hidden="false" customHeight="false" outlineLevel="0" collapsed="false">
      <c r="A2493" s="32"/>
      <c r="B2493" s="19"/>
      <c r="C2493" s="19"/>
      <c r="D2493" s="19"/>
      <c r="E2493" s="21"/>
      <c r="F2493" s="19"/>
      <c r="G2493" s="27" t="str">
        <f aca="false">IF(B2493="","",IFERROR(INDEX(Jeux!$C$2:$C$3001,MATCH(B2493,Jeux!$A$2:$A$3001,0))&amp;"","⚠ jeu inconnu"))</f>
        <v/>
      </c>
      <c r="H2493" s="27" t="str">
        <f aca="false">IF(B2493="","",IFERROR(INDEX(Jeux!$D$2:$D$3001,MATCH(B2493,Jeux!$A$2:$A$3001,0))&amp;"",""))</f>
        <v/>
      </c>
      <c r="I2493" s="26" t="str">
        <f aca="false">IF(A2493="","",COUNTIF(Apparitions!$G$2:$G$5001,A2493))</f>
        <v/>
      </c>
      <c r="J2493" s="26" t="str">
        <f aca="false">IF(A2493="","",COUNTIFS(Apparitions!$G$2:$G$5001,A2493,Apparitions!$E$2:$E$5001,"○"))</f>
        <v/>
      </c>
      <c r="K2493" s="29" t="str">
        <f aca="false">IF(A2493="","",IFERROR(1/(1/_xlfn.MINIFS(Apparitions!$L$2:$L$5001,Apparitions!$G$2:$G$5001,A2493)),""))</f>
        <v/>
      </c>
      <c r="L2493" s="27" t="str">
        <f aca="false">IF(A2493="","",A2493&amp;" | "&amp;B2493&amp;IF(C2493="",""," ("&amp;C2493&amp;")")&amp;IF(D2493="",""," - "&amp;D2493))</f>
        <v/>
      </c>
    </row>
    <row r="2494" customFormat="false" ht="15" hidden="false" customHeight="false" outlineLevel="0" collapsed="false">
      <c r="A2494" s="32"/>
      <c r="B2494" s="19"/>
      <c r="C2494" s="19"/>
      <c r="D2494" s="19"/>
      <c r="E2494" s="21"/>
      <c r="F2494" s="19"/>
      <c r="G2494" s="27" t="str">
        <f aca="false">IF(B2494="","",IFERROR(INDEX(Jeux!$C$2:$C$3001,MATCH(B2494,Jeux!$A$2:$A$3001,0))&amp;"","⚠ jeu inconnu"))</f>
        <v/>
      </c>
      <c r="H2494" s="27" t="str">
        <f aca="false">IF(B2494="","",IFERROR(INDEX(Jeux!$D$2:$D$3001,MATCH(B2494,Jeux!$A$2:$A$3001,0))&amp;"",""))</f>
        <v/>
      </c>
      <c r="I2494" s="26" t="str">
        <f aca="false">IF(A2494="","",COUNTIF(Apparitions!$G$2:$G$5001,A2494))</f>
        <v/>
      </c>
      <c r="J2494" s="26" t="str">
        <f aca="false">IF(A2494="","",COUNTIFS(Apparitions!$G$2:$G$5001,A2494,Apparitions!$E$2:$E$5001,"○"))</f>
        <v/>
      </c>
      <c r="K2494" s="29" t="str">
        <f aca="false">IF(A2494="","",IFERROR(1/(1/_xlfn.MINIFS(Apparitions!$L$2:$L$5001,Apparitions!$G$2:$G$5001,A2494)),""))</f>
        <v/>
      </c>
      <c r="L2494" s="27" t="str">
        <f aca="false">IF(A2494="","",A2494&amp;" | "&amp;B2494&amp;IF(C2494="",""," ("&amp;C2494&amp;")")&amp;IF(D2494="",""," - "&amp;D2494))</f>
        <v/>
      </c>
    </row>
    <row r="2495" customFormat="false" ht="15" hidden="false" customHeight="false" outlineLevel="0" collapsed="false">
      <c r="A2495" s="32"/>
      <c r="B2495" s="19"/>
      <c r="C2495" s="19"/>
      <c r="D2495" s="19"/>
      <c r="E2495" s="21"/>
      <c r="F2495" s="19"/>
      <c r="G2495" s="27" t="str">
        <f aca="false">IF(B2495="","",IFERROR(INDEX(Jeux!$C$2:$C$3001,MATCH(B2495,Jeux!$A$2:$A$3001,0))&amp;"","⚠ jeu inconnu"))</f>
        <v/>
      </c>
      <c r="H2495" s="27" t="str">
        <f aca="false">IF(B2495="","",IFERROR(INDEX(Jeux!$D$2:$D$3001,MATCH(B2495,Jeux!$A$2:$A$3001,0))&amp;"",""))</f>
        <v/>
      </c>
      <c r="I2495" s="26" t="str">
        <f aca="false">IF(A2495="","",COUNTIF(Apparitions!$G$2:$G$5001,A2495))</f>
        <v/>
      </c>
      <c r="J2495" s="26" t="str">
        <f aca="false">IF(A2495="","",COUNTIFS(Apparitions!$G$2:$G$5001,A2495,Apparitions!$E$2:$E$5001,"○"))</f>
        <v/>
      </c>
      <c r="K2495" s="29" t="str">
        <f aca="false">IF(A2495="","",IFERROR(1/(1/_xlfn.MINIFS(Apparitions!$L$2:$L$5001,Apparitions!$G$2:$G$5001,A2495)),""))</f>
        <v/>
      </c>
      <c r="L2495" s="27" t="str">
        <f aca="false">IF(A2495="","",A2495&amp;" | "&amp;B2495&amp;IF(C2495="",""," ("&amp;C2495&amp;")")&amp;IF(D2495="",""," - "&amp;D2495))</f>
        <v/>
      </c>
    </row>
    <row r="2496" customFormat="false" ht="15" hidden="false" customHeight="false" outlineLevel="0" collapsed="false">
      <c r="A2496" s="32"/>
      <c r="B2496" s="19"/>
      <c r="C2496" s="19"/>
      <c r="D2496" s="19"/>
      <c r="E2496" s="21"/>
      <c r="F2496" s="19"/>
      <c r="G2496" s="27" t="str">
        <f aca="false">IF(B2496="","",IFERROR(INDEX(Jeux!$C$2:$C$3001,MATCH(B2496,Jeux!$A$2:$A$3001,0))&amp;"","⚠ jeu inconnu"))</f>
        <v/>
      </c>
      <c r="H2496" s="27" t="str">
        <f aca="false">IF(B2496="","",IFERROR(INDEX(Jeux!$D$2:$D$3001,MATCH(B2496,Jeux!$A$2:$A$3001,0))&amp;"",""))</f>
        <v/>
      </c>
      <c r="I2496" s="26" t="str">
        <f aca="false">IF(A2496="","",COUNTIF(Apparitions!$G$2:$G$5001,A2496))</f>
        <v/>
      </c>
      <c r="J2496" s="26" t="str">
        <f aca="false">IF(A2496="","",COUNTIFS(Apparitions!$G$2:$G$5001,A2496,Apparitions!$E$2:$E$5001,"○"))</f>
        <v/>
      </c>
      <c r="K2496" s="29" t="str">
        <f aca="false">IF(A2496="","",IFERROR(1/(1/_xlfn.MINIFS(Apparitions!$L$2:$L$5001,Apparitions!$G$2:$G$5001,A2496)),""))</f>
        <v/>
      </c>
      <c r="L2496" s="27" t="str">
        <f aca="false">IF(A2496="","",A2496&amp;" | "&amp;B2496&amp;IF(C2496="",""," ("&amp;C2496&amp;")")&amp;IF(D2496="",""," - "&amp;D2496))</f>
        <v/>
      </c>
    </row>
    <row r="2497" customFormat="false" ht="15" hidden="false" customHeight="false" outlineLevel="0" collapsed="false">
      <c r="A2497" s="32"/>
      <c r="B2497" s="19"/>
      <c r="C2497" s="19"/>
      <c r="D2497" s="19"/>
      <c r="E2497" s="21"/>
      <c r="F2497" s="19"/>
      <c r="G2497" s="27" t="str">
        <f aca="false">IF(B2497="","",IFERROR(INDEX(Jeux!$C$2:$C$3001,MATCH(B2497,Jeux!$A$2:$A$3001,0))&amp;"","⚠ jeu inconnu"))</f>
        <v/>
      </c>
      <c r="H2497" s="27" t="str">
        <f aca="false">IF(B2497="","",IFERROR(INDEX(Jeux!$D$2:$D$3001,MATCH(B2497,Jeux!$A$2:$A$3001,0))&amp;"",""))</f>
        <v/>
      </c>
      <c r="I2497" s="26" t="str">
        <f aca="false">IF(A2497="","",COUNTIF(Apparitions!$G$2:$G$5001,A2497))</f>
        <v/>
      </c>
      <c r="J2497" s="26" t="str">
        <f aca="false">IF(A2497="","",COUNTIFS(Apparitions!$G$2:$G$5001,A2497,Apparitions!$E$2:$E$5001,"○"))</f>
        <v/>
      </c>
      <c r="K2497" s="29" t="str">
        <f aca="false">IF(A2497="","",IFERROR(1/(1/_xlfn.MINIFS(Apparitions!$L$2:$L$5001,Apparitions!$G$2:$G$5001,A2497)),""))</f>
        <v/>
      </c>
      <c r="L2497" s="27" t="str">
        <f aca="false">IF(A2497="","",A2497&amp;" | "&amp;B2497&amp;IF(C2497="",""," ("&amp;C2497&amp;")")&amp;IF(D2497="",""," - "&amp;D2497))</f>
        <v/>
      </c>
    </row>
    <row r="2498" customFormat="false" ht="15" hidden="false" customHeight="false" outlineLevel="0" collapsed="false">
      <c r="A2498" s="32"/>
      <c r="B2498" s="19"/>
      <c r="C2498" s="19"/>
      <c r="D2498" s="19"/>
      <c r="E2498" s="21"/>
      <c r="F2498" s="19"/>
      <c r="G2498" s="27" t="str">
        <f aca="false">IF(B2498="","",IFERROR(INDEX(Jeux!$C$2:$C$3001,MATCH(B2498,Jeux!$A$2:$A$3001,0))&amp;"","⚠ jeu inconnu"))</f>
        <v/>
      </c>
      <c r="H2498" s="27" t="str">
        <f aca="false">IF(B2498="","",IFERROR(INDEX(Jeux!$D$2:$D$3001,MATCH(B2498,Jeux!$A$2:$A$3001,0))&amp;"",""))</f>
        <v/>
      </c>
      <c r="I2498" s="26" t="str">
        <f aca="false">IF(A2498="","",COUNTIF(Apparitions!$G$2:$G$5001,A2498))</f>
        <v/>
      </c>
      <c r="J2498" s="26" t="str">
        <f aca="false">IF(A2498="","",COUNTIFS(Apparitions!$G$2:$G$5001,A2498,Apparitions!$E$2:$E$5001,"○"))</f>
        <v/>
      </c>
      <c r="K2498" s="29" t="str">
        <f aca="false">IF(A2498="","",IFERROR(1/(1/_xlfn.MINIFS(Apparitions!$L$2:$L$5001,Apparitions!$G$2:$G$5001,A2498)),""))</f>
        <v/>
      </c>
      <c r="L2498" s="27" t="str">
        <f aca="false">IF(A2498="","",A2498&amp;" | "&amp;B2498&amp;IF(C2498="",""," ("&amp;C2498&amp;")")&amp;IF(D2498="",""," - "&amp;D2498))</f>
        <v/>
      </c>
    </row>
    <row r="2499" customFormat="false" ht="15" hidden="false" customHeight="false" outlineLevel="0" collapsed="false">
      <c r="A2499" s="32"/>
      <c r="B2499" s="19"/>
      <c r="C2499" s="19"/>
      <c r="D2499" s="19"/>
      <c r="E2499" s="21"/>
      <c r="F2499" s="19"/>
      <c r="G2499" s="27" t="str">
        <f aca="false">IF(B2499="","",IFERROR(INDEX(Jeux!$C$2:$C$3001,MATCH(B2499,Jeux!$A$2:$A$3001,0))&amp;"","⚠ jeu inconnu"))</f>
        <v/>
      </c>
      <c r="H2499" s="27" t="str">
        <f aca="false">IF(B2499="","",IFERROR(INDEX(Jeux!$D$2:$D$3001,MATCH(B2499,Jeux!$A$2:$A$3001,0))&amp;"",""))</f>
        <v/>
      </c>
      <c r="I2499" s="26" t="str">
        <f aca="false">IF(A2499="","",COUNTIF(Apparitions!$G$2:$G$5001,A2499))</f>
        <v/>
      </c>
      <c r="J2499" s="26" t="str">
        <f aca="false">IF(A2499="","",COUNTIFS(Apparitions!$G$2:$G$5001,A2499,Apparitions!$E$2:$E$5001,"○"))</f>
        <v/>
      </c>
      <c r="K2499" s="29" t="str">
        <f aca="false">IF(A2499="","",IFERROR(1/(1/_xlfn.MINIFS(Apparitions!$L$2:$L$5001,Apparitions!$G$2:$G$5001,A2499)),""))</f>
        <v/>
      </c>
      <c r="L2499" s="27" t="str">
        <f aca="false">IF(A2499="","",A2499&amp;" | "&amp;B2499&amp;IF(C2499="",""," ("&amp;C2499&amp;")")&amp;IF(D2499="",""," - "&amp;D2499))</f>
        <v/>
      </c>
    </row>
    <row r="2500" customFormat="false" ht="15" hidden="false" customHeight="false" outlineLevel="0" collapsed="false">
      <c r="A2500" s="32"/>
      <c r="B2500" s="19"/>
      <c r="C2500" s="19"/>
      <c r="D2500" s="19"/>
      <c r="E2500" s="21"/>
      <c r="F2500" s="19"/>
      <c r="G2500" s="27" t="str">
        <f aca="false">IF(B2500="","",IFERROR(INDEX(Jeux!$C$2:$C$3001,MATCH(B2500,Jeux!$A$2:$A$3001,0))&amp;"","⚠ jeu inconnu"))</f>
        <v/>
      </c>
      <c r="H2500" s="27" t="str">
        <f aca="false">IF(B2500="","",IFERROR(INDEX(Jeux!$D$2:$D$3001,MATCH(B2500,Jeux!$A$2:$A$3001,0))&amp;"",""))</f>
        <v/>
      </c>
      <c r="I2500" s="26" t="str">
        <f aca="false">IF(A2500="","",COUNTIF(Apparitions!$G$2:$G$5001,A2500))</f>
        <v/>
      </c>
      <c r="J2500" s="26" t="str">
        <f aca="false">IF(A2500="","",COUNTIFS(Apparitions!$G$2:$G$5001,A2500,Apparitions!$E$2:$E$5001,"○"))</f>
        <v/>
      </c>
      <c r="K2500" s="29" t="str">
        <f aca="false">IF(A2500="","",IFERROR(1/(1/_xlfn.MINIFS(Apparitions!$L$2:$L$5001,Apparitions!$G$2:$G$5001,A2500)),""))</f>
        <v/>
      </c>
      <c r="L2500" s="27" t="str">
        <f aca="false">IF(A2500="","",A2500&amp;" | "&amp;B2500&amp;IF(C2500="",""," ("&amp;C2500&amp;")")&amp;IF(D2500="",""," - "&amp;D2500))</f>
        <v/>
      </c>
    </row>
    <row r="2501" customFormat="false" ht="15" hidden="false" customHeight="false" outlineLevel="0" collapsed="false">
      <c r="A2501" s="32"/>
      <c r="B2501" s="19"/>
      <c r="C2501" s="19"/>
      <c r="D2501" s="19"/>
      <c r="E2501" s="21"/>
      <c r="F2501" s="19"/>
      <c r="G2501" s="27" t="str">
        <f aca="false">IF(B2501="","",IFERROR(INDEX(Jeux!$C$2:$C$3001,MATCH(B2501,Jeux!$A$2:$A$3001,0))&amp;"","⚠ jeu inconnu"))</f>
        <v/>
      </c>
      <c r="H2501" s="27" t="str">
        <f aca="false">IF(B2501="","",IFERROR(INDEX(Jeux!$D$2:$D$3001,MATCH(B2501,Jeux!$A$2:$A$3001,0))&amp;"",""))</f>
        <v/>
      </c>
      <c r="I2501" s="26" t="str">
        <f aca="false">IF(A2501="","",COUNTIF(Apparitions!$G$2:$G$5001,A2501))</f>
        <v/>
      </c>
      <c r="J2501" s="26" t="str">
        <f aca="false">IF(A2501="","",COUNTIFS(Apparitions!$G$2:$G$5001,A2501,Apparitions!$E$2:$E$5001,"○"))</f>
        <v/>
      </c>
      <c r="K2501" s="29" t="str">
        <f aca="false">IF(A2501="","",IFERROR(1/(1/_xlfn.MINIFS(Apparitions!$L$2:$L$5001,Apparitions!$G$2:$G$5001,A2501)),""))</f>
        <v/>
      </c>
      <c r="L2501" s="27" t="str">
        <f aca="false">IF(A2501="","",A2501&amp;" | "&amp;B2501&amp;IF(C2501="",""," ("&amp;C2501&amp;")")&amp;IF(D2501="",""," - "&amp;D2501))</f>
        <v/>
      </c>
    </row>
    <row r="2502" customFormat="false" ht="15" hidden="false" customHeight="false" outlineLevel="0" collapsed="false">
      <c r="A2502" s="32"/>
      <c r="B2502" s="19"/>
      <c r="C2502" s="19"/>
      <c r="D2502" s="19"/>
      <c r="E2502" s="21"/>
      <c r="F2502" s="19"/>
      <c r="G2502" s="27" t="str">
        <f aca="false">IF(B2502="","",IFERROR(INDEX(Jeux!$C$2:$C$3001,MATCH(B2502,Jeux!$A$2:$A$3001,0))&amp;"","⚠ jeu inconnu"))</f>
        <v/>
      </c>
      <c r="H2502" s="27" t="str">
        <f aca="false">IF(B2502="","",IFERROR(INDEX(Jeux!$D$2:$D$3001,MATCH(B2502,Jeux!$A$2:$A$3001,0))&amp;"",""))</f>
        <v/>
      </c>
      <c r="I2502" s="26" t="str">
        <f aca="false">IF(A2502="","",COUNTIF(Apparitions!$G$2:$G$5001,A2502))</f>
        <v/>
      </c>
      <c r="J2502" s="26" t="str">
        <f aca="false">IF(A2502="","",COUNTIFS(Apparitions!$G$2:$G$5001,A2502,Apparitions!$E$2:$E$5001,"○"))</f>
        <v/>
      </c>
      <c r="K2502" s="29" t="str">
        <f aca="false">IF(A2502="","",IFERROR(1/(1/_xlfn.MINIFS(Apparitions!$L$2:$L$5001,Apparitions!$G$2:$G$5001,A2502)),""))</f>
        <v/>
      </c>
      <c r="L2502" s="27" t="str">
        <f aca="false">IF(A2502="","",A2502&amp;" | "&amp;B2502&amp;IF(C2502="",""," ("&amp;C2502&amp;")")&amp;IF(D2502="",""," - "&amp;D2502))</f>
        <v/>
      </c>
    </row>
    <row r="2503" customFormat="false" ht="15" hidden="false" customHeight="false" outlineLevel="0" collapsed="false">
      <c r="A2503" s="32"/>
      <c r="B2503" s="19"/>
      <c r="C2503" s="19"/>
      <c r="D2503" s="19"/>
      <c r="E2503" s="21"/>
      <c r="F2503" s="19"/>
      <c r="G2503" s="27" t="str">
        <f aca="false">IF(B2503="","",IFERROR(INDEX(Jeux!$C$2:$C$3001,MATCH(B2503,Jeux!$A$2:$A$3001,0))&amp;"","⚠ jeu inconnu"))</f>
        <v/>
      </c>
      <c r="H2503" s="27" t="str">
        <f aca="false">IF(B2503="","",IFERROR(INDEX(Jeux!$D$2:$D$3001,MATCH(B2503,Jeux!$A$2:$A$3001,0))&amp;"",""))</f>
        <v/>
      </c>
      <c r="I2503" s="26" t="str">
        <f aca="false">IF(A2503="","",COUNTIF(Apparitions!$G$2:$G$5001,A2503))</f>
        <v/>
      </c>
      <c r="J2503" s="26" t="str">
        <f aca="false">IF(A2503="","",COUNTIFS(Apparitions!$G$2:$G$5001,A2503,Apparitions!$E$2:$E$5001,"○"))</f>
        <v/>
      </c>
      <c r="K2503" s="29" t="str">
        <f aca="false">IF(A2503="","",IFERROR(1/(1/_xlfn.MINIFS(Apparitions!$L$2:$L$5001,Apparitions!$G$2:$G$5001,A2503)),""))</f>
        <v/>
      </c>
      <c r="L2503" s="27" t="str">
        <f aca="false">IF(A2503="","",A2503&amp;" | "&amp;B2503&amp;IF(C2503="",""," ("&amp;C2503&amp;")")&amp;IF(D2503="",""," - "&amp;D2503))</f>
        <v/>
      </c>
    </row>
    <row r="2504" customFormat="false" ht="15" hidden="false" customHeight="false" outlineLevel="0" collapsed="false">
      <c r="A2504" s="32"/>
      <c r="B2504" s="19"/>
      <c r="C2504" s="19"/>
      <c r="D2504" s="19"/>
      <c r="E2504" s="21"/>
      <c r="F2504" s="19"/>
      <c r="G2504" s="27" t="str">
        <f aca="false">IF(B2504="","",IFERROR(INDEX(Jeux!$C$2:$C$3001,MATCH(B2504,Jeux!$A$2:$A$3001,0))&amp;"","⚠ jeu inconnu"))</f>
        <v/>
      </c>
      <c r="H2504" s="27" t="str">
        <f aca="false">IF(B2504="","",IFERROR(INDEX(Jeux!$D$2:$D$3001,MATCH(B2504,Jeux!$A$2:$A$3001,0))&amp;"",""))</f>
        <v/>
      </c>
      <c r="I2504" s="26" t="str">
        <f aca="false">IF(A2504="","",COUNTIF(Apparitions!$G$2:$G$5001,A2504))</f>
        <v/>
      </c>
      <c r="J2504" s="26" t="str">
        <f aca="false">IF(A2504="","",COUNTIFS(Apparitions!$G$2:$G$5001,A2504,Apparitions!$E$2:$E$5001,"○"))</f>
        <v/>
      </c>
      <c r="K2504" s="29" t="str">
        <f aca="false">IF(A2504="","",IFERROR(1/(1/_xlfn.MINIFS(Apparitions!$L$2:$L$5001,Apparitions!$G$2:$G$5001,A2504)),""))</f>
        <v/>
      </c>
      <c r="L2504" s="27" t="str">
        <f aca="false">IF(A2504="","",A2504&amp;" | "&amp;B2504&amp;IF(C2504="",""," ("&amp;C2504&amp;")")&amp;IF(D2504="",""," - "&amp;D2504))</f>
        <v/>
      </c>
    </row>
    <row r="2505" customFormat="false" ht="15" hidden="false" customHeight="false" outlineLevel="0" collapsed="false">
      <c r="A2505" s="32"/>
      <c r="B2505" s="19"/>
      <c r="C2505" s="19"/>
      <c r="D2505" s="19"/>
      <c r="E2505" s="21"/>
      <c r="F2505" s="19"/>
      <c r="G2505" s="27" t="str">
        <f aca="false">IF(B2505="","",IFERROR(INDEX(Jeux!$C$2:$C$3001,MATCH(B2505,Jeux!$A$2:$A$3001,0))&amp;"","⚠ jeu inconnu"))</f>
        <v/>
      </c>
      <c r="H2505" s="27" t="str">
        <f aca="false">IF(B2505="","",IFERROR(INDEX(Jeux!$D$2:$D$3001,MATCH(B2505,Jeux!$A$2:$A$3001,0))&amp;"",""))</f>
        <v/>
      </c>
      <c r="I2505" s="26" t="str">
        <f aca="false">IF(A2505="","",COUNTIF(Apparitions!$G$2:$G$5001,A2505))</f>
        <v/>
      </c>
      <c r="J2505" s="26" t="str">
        <f aca="false">IF(A2505="","",COUNTIFS(Apparitions!$G$2:$G$5001,A2505,Apparitions!$E$2:$E$5001,"○"))</f>
        <v/>
      </c>
      <c r="K2505" s="29" t="str">
        <f aca="false">IF(A2505="","",IFERROR(1/(1/_xlfn.MINIFS(Apparitions!$L$2:$L$5001,Apparitions!$G$2:$G$5001,A2505)),""))</f>
        <v/>
      </c>
      <c r="L2505" s="27" t="str">
        <f aca="false">IF(A2505="","",A2505&amp;" | "&amp;B2505&amp;IF(C2505="",""," ("&amp;C2505&amp;")")&amp;IF(D2505="",""," - "&amp;D2505))</f>
        <v/>
      </c>
    </row>
    <row r="2506" customFormat="false" ht="15" hidden="false" customHeight="false" outlineLevel="0" collapsed="false">
      <c r="A2506" s="32"/>
      <c r="B2506" s="19"/>
      <c r="C2506" s="19"/>
      <c r="D2506" s="19"/>
      <c r="E2506" s="21"/>
      <c r="F2506" s="19"/>
      <c r="G2506" s="27" t="str">
        <f aca="false">IF(B2506="","",IFERROR(INDEX(Jeux!$C$2:$C$3001,MATCH(B2506,Jeux!$A$2:$A$3001,0))&amp;"","⚠ jeu inconnu"))</f>
        <v/>
      </c>
      <c r="H2506" s="27" t="str">
        <f aca="false">IF(B2506="","",IFERROR(INDEX(Jeux!$D$2:$D$3001,MATCH(B2506,Jeux!$A$2:$A$3001,0))&amp;"",""))</f>
        <v/>
      </c>
      <c r="I2506" s="26" t="str">
        <f aca="false">IF(A2506="","",COUNTIF(Apparitions!$G$2:$G$5001,A2506))</f>
        <v/>
      </c>
      <c r="J2506" s="26" t="str">
        <f aca="false">IF(A2506="","",COUNTIFS(Apparitions!$G$2:$G$5001,A2506,Apparitions!$E$2:$E$5001,"○"))</f>
        <v/>
      </c>
      <c r="K2506" s="29" t="str">
        <f aca="false">IF(A2506="","",IFERROR(1/(1/_xlfn.MINIFS(Apparitions!$L$2:$L$5001,Apparitions!$G$2:$G$5001,A2506)),""))</f>
        <v/>
      </c>
      <c r="L2506" s="27" t="str">
        <f aca="false">IF(A2506="","",A2506&amp;" | "&amp;B2506&amp;IF(C2506="",""," ("&amp;C2506&amp;")")&amp;IF(D2506="",""," - "&amp;D2506))</f>
        <v/>
      </c>
    </row>
    <row r="2507" customFormat="false" ht="15" hidden="false" customHeight="false" outlineLevel="0" collapsed="false">
      <c r="A2507" s="32"/>
      <c r="B2507" s="19"/>
      <c r="C2507" s="19"/>
      <c r="D2507" s="19"/>
      <c r="E2507" s="21"/>
      <c r="F2507" s="19"/>
      <c r="G2507" s="27" t="str">
        <f aca="false">IF(B2507="","",IFERROR(INDEX(Jeux!$C$2:$C$3001,MATCH(B2507,Jeux!$A$2:$A$3001,0))&amp;"","⚠ jeu inconnu"))</f>
        <v/>
      </c>
      <c r="H2507" s="27" t="str">
        <f aca="false">IF(B2507="","",IFERROR(INDEX(Jeux!$D$2:$D$3001,MATCH(B2507,Jeux!$A$2:$A$3001,0))&amp;"",""))</f>
        <v/>
      </c>
      <c r="I2507" s="26" t="str">
        <f aca="false">IF(A2507="","",COUNTIF(Apparitions!$G$2:$G$5001,A2507))</f>
        <v/>
      </c>
      <c r="J2507" s="26" t="str">
        <f aca="false">IF(A2507="","",COUNTIFS(Apparitions!$G$2:$G$5001,A2507,Apparitions!$E$2:$E$5001,"○"))</f>
        <v/>
      </c>
      <c r="K2507" s="29" t="str">
        <f aca="false">IF(A2507="","",IFERROR(1/(1/_xlfn.MINIFS(Apparitions!$L$2:$L$5001,Apparitions!$G$2:$G$5001,A2507)),""))</f>
        <v/>
      </c>
      <c r="L2507" s="27" t="str">
        <f aca="false">IF(A2507="","",A2507&amp;" | "&amp;B2507&amp;IF(C2507="",""," ("&amp;C2507&amp;")")&amp;IF(D2507="",""," - "&amp;D2507))</f>
        <v/>
      </c>
    </row>
    <row r="2508" customFormat="false" ht="15" hidden="false" customHeight="false" outlineLevel="0" collapsed="false">
      <c r="A2508" s="32"/>
      <c r="B2508" s="19"/>
      <c r="C2508" s="19"/>
      <c r="D2508" s="19"/>
      <c r="E2508" s="21"/>
      <c r="F2508" s="19"/>
      <c r="G2508" s="27" t="str">
        <f aca="false">IF(B2508="","",IFERROR(INDEX(Jeux!$C$2:$C$3001,MATCH(B2508,Jeux!$A$2:$A$3001,0))&amp;"","⚠ jeu inconnu"))</f>
        <v/>
      </c>
      <c r="H2508" s="27" t="str">
        <f aca="false">IF(B2508="","",IFERROR(INDEX(Jeux!$D$2:$D$3001,MATCH(B2508,Jeux!$A$2:$A$3001,0))&amp;"",""))</f>
        <v/>
      </c>
      <c r="I2508" s="26" t="str">
        <f aca="false">IF(A2508="","",COUNTIF(Apparitions!$G$2:$G$5001,A2508))</f>
        <v/>
      </c>
      <c r="J2508" s="26" t="str">
        <f aca="false">IF(A2508="","",COUNTIFS(Apparitions!$G$2:$G$5001,A2508,Apparitions!$E$2:$E$5001,"○"))</f>
        <v/>
      </c>
      <c r="K2508" s="29" t="str">
        <f aca="false">IF(A2508="","",IFERROR(1/(1/_xlfn.MINIFS(Apparitions!$L$2:$L$5001,Apparitions!$G$2:$G$5001,A2508)),""))</f>
        <v/>
      </c>
      <c r="L2508" s="27" t="str">
        <f aca="false">IF(A2508="","",A2508&amp;" | "&amp;B2508&amp;IF(C2508="",""," ("&amp;C2508&amp;")")&amp;IF(D2508="",""," - "&amp;D2508))</f>
        <v/>
      </c>
    </row>
    <row r="2509" customFormat="false" ht="15" hidden="false" customHeight="false" outlineLevel="0" collapsed="false">
      <c r="A2509" s="32"/>
      <c r="B2509" s="19"/>
      <c r="C2509" s="19"/>
      <c r="D2509" s="19"/>
      <c r="E2509" s="21"/>
      <c r="F2509" s="19"/>
      <c r="G2509" s="27" t="str">
        <f aca="false">IF(B2509="","",IFERROR(INDEX(Jeux!$C$2:$C$3001,MATCH(B2509,Jeux!$A$2:$A$3001,0))&amp;"","⚠ jeu inconnu"))</f>
        <v/>
      </c>
      <c r="H2509" s="27" t="str">
        <f aca="false">IF(B2509="","",IFERROR(INDEX(Jeux!$D$2:$D$3001,MATCH(B2509,Jeux!$A$2:$A$3001,0))&amp;"",""))</f>
        <v/>
      </c>
      <c r="I2509" s="26" t="str">
        <f aca="false">IF(A2509="","",COUNTIF(Apparitions!$G$2:$G$5001,A2509))</f>
        <v/>
      </c>
      <c r="J2509" s="26" t="str">
        <f aca="false">IF(A2509="","",COUNTIFS(Apparitions!$G$2:$G$5001,A2509,Apparitions!$E$2:$E$5001,"○"))</f>
        <v/>
      </c>
      <c r="K2509" s="29" t="str">
        <f aca="false">IF(A2509="","",IFERROR(1/(1/_xlfn.MINIFS(Apparitions!$L$2:$L$5001,Apparitions!$G$2:$G$5001,A2509)),""))</f>
        <v/>
      </c>
      <c r="L2509" s="27" t="str">
        <f aca="false">IF(A2509="","",A2509&amp;" | "&amp;B2509&amp;IF(C2509="",""," ("&amp;C2509&amp;")")&amp;IF(D2509="",""," - "&amp;D2509))</f>
        <v/>
      </c>
    </row>
    <row r="2510" customFormat="false" ht="15" hidden="false" customHeight="false" outlineLevel="0" collapsed="false">
      <c r="A2510" s="32"/>
      <c r="B2510" s="19"/>
      <c r="C2510" s="19"/>
      <c r="D2510" s="19"/>
      <c r="E2510" s="21"/>
      <c r="F2510" s="19"/>
      <c r="G2510" s="27" t="str">
        <f aca="false">IF(B2510="","",IFERROR(INDEX(Jeux!$C$2:$C$3001,MATCH(B2510,Jeux!$A$2:$A$3001,0))&amp;"","⚠ jeu inconnu"))</f>
        <v/>
      </c>
      <c r="H2510" s="27" t="str">
        <f aca="false">IF(B2510="","",IFERROR(INDEX(Jeux!$D$2:$D$3001,MATCH(B2510,Jeux!$A$2:$A$3001,0))&amp;"",""))</f>
        <v/>
      </c>
      <c r="I2510" s="26" t="str">
        <f aca="false">IF(A2510="","",COUNTIF(Apparitions!$G$2:$G$5001,A2510))</f>
        <v/>
      </c>
      <c r="J2510" s="26" t="str">
        <f aca="false">IF(A2510="","",COUNTIFS(Apparitions!$G$2:$G$5001,A2510,Apparitions!$E$2:$E$5001,"○"))</f>
        <v/>
      </c>
      <c r="K2510" s="29" t="str">
        <f aca="false">IF(A2510="","",IFERROR(1/(1/_xlfn.MINIFS(Apparitions!$L$2:$L$5001,Apparitions!$G$2:$G$5001,A2510)),""))</f>
        <v/>
      </c>
      <c r="L2510" s="27" t="str">
        <f aca="false">IF(A2510="","",A2510&amp;" | "&amp;B2510&amp;IF(C2510="",""," ("&amp;C2510&amp;")")&amp;IF(D2510="",""," - "&amp;D2510))</f>
        <v/>
      </c>
    </row>
    <row r="2511" customFormat="false" ht="15" hidden="false" customHeight="false" outlineLevel="0" collapsed="false">
      <c r="A2511" s="32"/>
      <c r="B2511" s="19"/>
      <c r="C2511" s="19"/>
      <c r="D2511" s="19"/>
      <c r="E2511" s="21"/>
      <c r="F2511" s="19"/>
      <c r="G2511" s="27" t="str">
        <f aca="false">IF(B2511="","",IFERROR(INDEX(Jeux!$C$2:$C$3001,MATCH(B2511,Jeux!$A$2:$A$3001,0))&amp;"","⚠ jeu inconnu"))</f>
        <v/>
      </c>
      <c r="H2511" s="27" t="str">
        <f aca="false">IF(B2511="","",IFERROR(INDEX(Jeux!$D$2:$D$3001,MATCH(B2511,Jeux!$A$2:$A$3001,0))&amp;"",""))</f>
        <v/>
      </c>
      <c r="I2511" s="26" t="str">
        <f aca="false">IF(A2511="","",COUNTIF(Apparitions!$G$2:$G$5001,A2511))</f>
        <v/>
      </c>
      <c r="J2511" s="26" t="str">
        <f aca="false">IF(A2511="","",COUNTIFS(Apparitions!$G$2:$G$5001,A2511,Apparitions!$E$2:$E$5001,"○"))</f>
        <v/>
      </c>
      <c r="K2511" s="29" t="str">
        <f aca="false">IF(A2511="","",IFERROR(1/(1/_xlfn.MINIFS(Apparitions!$L$2:$L$5001,Apparitions!$G$2:$G$5001,A2511)),""))</f>
        <v/>
      </c>
      <c r="L2511" s="27" t="str">
        <f aca="false">IF(A2511="","",A2511&amp;" | "&amp;B2511&amp;IF(C2511="",""," ("&amp;C2511&amp;")")&amp;IF(D2511="",""," - "&amp;D2511))</f>
        <v/>
      </c>
    </row>
    <row r="2512" customFormat="false" ht="15" hidden="false" customHeight="false" outlineLevel="0" collapsed="false">
      <c r="A2512" s="32"/>
      <c r="B2512" s="19"/>
      <c r="C2512" s="19"/>
      <c r="D2512" s="19"/>
      <c r="E2512" s="21"/>
      <c r="F2512" s="19"/>
      <c r="G2512" s="27" t="str">
        <f aca="false">IF(B2512="","",IFERROR(INDEX(Jeux!$C$2:$C$3001,MATCH(B2512,Jeux!$A$2:$A$3001,0))&amp;"","⚠ jeu inconnu"))</f>
        <v/>
      </c>
      <c r="H2512" s="27" t="str">
        <f aca="false">IF(B2512="","",IFERROR(INDEX(Jeux!$D$2:$D$3001,MATCH(B2512,Jeux!$A$2:$A$3001,0))&amp;"",""))</f>
        <v/>
      </c>
      <c r="I2512" s="26" t="str">
        <f aca="false">IF(A2512="","",COUNTIF(Apparitions!$G$2:$G$5001,A2512))</f>
        <v/>
      </c>
      <c r="J2512" s="26" t="str">
        <f aca="false">IF(A2512="","",COUNTIFS(Apparitions!$G$2:$G$5001,A2512,Apparitions!$E$2:$E$5001,"○"))</f>
        <v/>
      </c>
      <c r="K2512" s="29" t="str">
        <f aca="false">IF(A2512="","",IFERROR(1/(1/_xlfn.MINIFS(Apparitions!$L$2:$L$5001,Apparitions!$G$2:$G$5001,A2512)),""))</f>
        <v/>
      </c>
      <c r="L2512" s="27" t="str">
        <f aca="false">IF(A2512="","",A2512&amp;" | "&amp;B2512&amp;IF(C2512="",""," ("&amp;C2512&amp;")")&amp;IF(D2512="",""," - "&amp;D2512))</f>
        <v/>
      </c>
    </row>
    <row r="2513" customFormat="false" ht="15" hidden="false" customHeight="false" outlineLevel="0" collapsed="false">
      <c r="A2513" s="32"/>
      <c r="B2513" s="19"/>
      <c r="C2513" s="19"/>
      <c r="D2513" s="19"/>
      <c r="E2513" s="21"/>
      <c r="F2513" s="19"/>
      <c r="G2513" s="27" t="str">
        <f aca="false">IF(B2513="","",IFERROR(INDEX(Jeux!$C$2:$C$3001,MATCH(B2513,Jeux!$A$2:$A$3001,0))&amp;"","⚠ jeu inconnu"))</f>
        <v/>
      </c>
      <c r="H2513" s="27" t="str">
        <f aca="false">IF(B2513="","",IFERROR(INDEX(Jeux!$D$2:$D$3001,MATCH(B2513,Jeux!$A$2:$A$3001,0))&amp;"",""))</f>
        <v/>
      </c>
      <c r="I2513" s="26" t="str">
        <f aca="false">IF(A2513="","",COUNTIF(Apparitions!$G$2:$G$5001,A2513))</f>
        <v/>
      </c>
      <c r="J2513" s="26" t="str">
        <f aca="false">IF(A2513="","",COUNTIFS(Apparitions!$G$2:$G$5001,A2513,Apparitions!$E$2:$E$5001,"○"))</f>
        <v/>
      </c>
      <c r="K2513" s="29" t="str">
        <f aca="false">IF(A2513="","",IFERROR(1/(1/_xlfn.MINIFS(Apparitions!$L$2:$L$5001,Apparitions!$G$2:$G$5001,A2513)),""))</f>
        <v/>
      </c>
      <c r="L2513" s="27" t="str">
        <f aca="false">IF(A2513="","",A2513&amp;" | "&amp;B2513&amp;IF(C2513="",""," ("&amp;C2513&amp;")")&amp;IF(D2513="",""," - "&amp;D2513))</f>
        <v/>
      </c>
    </row>
    <row r="2514" customFormat="false" ht="15" hidden="false" customHeight="false" outlineLevel="0" collapsed="false">
      <c r="A2514" s="32"/>
      <c r="B2514" s="19"/>
      <c r="C2514" s="19"/>
      <c r="D2514" s="19"/>
      <c r="E2514" s="21"/>
      <c r="F2514" s="19"/>
      <c r="G2514" s="27" t="str">
        <f aca="false">IF(B2514="","",IFERROR(INDEX(Jeux!$C$2:$C$3001,MATCH(B2514,Jeux!$A$2:$A$3001,0))&amp;"","⚠ jeu inconnu"))</f>
        <v/>
      </c>
      <c r="H2514" s="27" t="str">
        <f aca="false">IF(B2514="","",IFERROR(INDEX(Jeux!$D$2:$D$3001,MATCH(B2514,Jeux!$A$2:$A$3001,0))&amp;"",""))</f>
        <v/>
      </c>
      <c r="I2514" s="26" t="str">
        <f aca="false">IF(A2514="","",COUNTIF(Apparitions!$G$2:$G$5001,A2514))</f>
        <v/>
      </c>
      <c r="J2514" s="26" t="str">
        <f aca="false">IF(A2514="","",COUNTIFS(Apparitions!$G$2:$G$5001,A2514,Apparitions!$E$2:$E$5001,"○"))</f>
        <v/>
      </c>
      <c r="K2514" s="29" t="str">
        <f aca="false">IF(A2514="","",IFERROR(1/(1/_xlfn.MINIFS(Apparitions!$L$2:$L$5001,Apparitions!$G$2:$G$5001,A2514)),""))</f>
        <v/>
      </c>
      <c r="L2514" s="27" t="str">
        <f aca="false">IF(A2514="","",A2514&amp;" | "&amp;B2514&amp;IF(C2514="",""," ("&amp;C2514&amp;")")&amp;IF(D2514="",""," - "&amp;D2514))</f>
        <v/>
      </c>
    </row>
    <row r="2515" customFormat="false" ht="15" hidden="false" customHeight="false" outlineLevel="0" collapsed="false">
      <c r="A2515" s="32"/>
      <c r="B2515" s="19"/>
      <c r="C2515" s="19"/>
      <c r="D2515" s="19"/>
      <c r="E2515" s="21"/>
      <c r="F2515" s="19"/>
      <c r="G2515" s="27" t="str">
        <f aca="false">IF(B2515="","",IFERROR(INDEX(Jeux!$C$2:$C$3001,MATCH(B2515,Jeux!$A$2:$A$3001,0))&amp;"","⚠ jeu inconnu"))</f>
        <v/>
      </c>
      <c r="H2515" s="27" t="str">
        <f aca="false">IF(B2515="","",IFERROR(INDEX(Jeux!$D$2:$D$3001,MATCH(B2515,Jeux!$A$2:$A$3001,0))&amp;"",""))</f>
        <v/>
      </c>
      <c r="I2515" s="26" t="str">
        <f aca="false">IF(A2515="","",COUNTIF(Apparitions!$G$2:$G$5001,A2515))</f>
        <v/>
      </c>
      <c r="J2515" s="26" t="str">
        <f aca="false">IF(A2515="","",COUNTIFS(Apparitions!$G$2:$G$5001,A2515,Apparitions!$E$2:$E$5001,"○"))</f>
        <v/>
      </c>
      <c r="K2515" s="29" t="str">
        <f aca="false">IF(A2515="","",IFERROR(1/(1/_xlfn.MINIFS(Apparitions!$L$2:$L$5001,Apparitions!$G$2:$G$5001,A2515)),""))</f>
        <v/>
      </c>
      <c r="L2515" s="27" t="str">
        <f aca="false">IF(A2515="","",A2515&amp;" | "&amp;B2515&amp;IF(C2515="",""," ("&amp;C2515&amp;")")&amp;IF(D2515="",""," - "&amp;D2515))</f>
        <v/>
      </c>
    </row>
    <row r="2516" customFormat="false" ht="15" hidden="false" customHeight="false" outlineLevel="0" collapsed="false">
      <c r="A2516" s="32"/>
      <c r="B2516" s="19"/>
      <c r="C2516" s="19"/>
      <c r="D2516" s="19"/>
      <c r="E2516" s="21"/>
      <c r="F2516" s="19"/>
      <c r="G2516" s="27" t="str">
        <f aca="false">IF(B2516="","",IFERROR(INDEX(Jeux!$C$2:$C$3001,MATCH(B2516,Jeux!$A$2:$A$3001,0))&amp;"","⚠ jeu inconnu"))</f>
        <v/>
      </c>
      <c r="H2516" s="27" t="str">
        <f aca="false">IF(B2516="","",IFERROR(INDEX(Jeux!$D$2:$D$3001,MATCH(B2516,Jeux!$A$2:$A$3001,0))&amp;"",""))</f>
        <v/>
      </c>
      <c r="I2516" s="26" t="str">
        <f aca="false">IF(A2516="","",COUNTIF(Apparitions!$G$2:$G$5001,A2516))</f>
        <v/>
      </c>
      <c r="J2516" s="26" t="str">
        <f aca="false">IF(A2516="","",COUNTIFS(Apparitions!$G$2:$G$5001,A2516,Apparitions!$E$2:$E$5001,"○"))</f>
        <v/>
      </c>
      <c r="K2516" s="29" t="str">
        <f aca="false">IF(A2516="","",IFERROR(1/(1/_xlfn.MINIFS(Apparitions!$L$2:$L$5001,Apparitions!$G$2:$G$5001,A2516)),""))</f>
        <v/>
      </c>
      <c r="L2516" s="27" t="str">
        <f aca="false">IF(A2516="","",A2516&amp;" | "&amp;B2516&amp;IF(C2516="",""," ("&amp;C2516&amp;")")&amp;IF(D2516="",""," - "&amp;D2516))</f>
        <v/>
      </c>
    </row>
    <row r="2517" customFormat="false" ht="15" hidden="false" customHeight="false" outlineLevel="0" collapsed="false">
      <c r="A2517" s="32"/>
      <c r="B2517" s="19"/>
      <c r="C2517" s="19"/>
      <c r="D2517" s="19"/>
      <c r="E2517" s="21"/>
      <c r="F2517" s="19"/>
      <c r="G2517" s="27" t="str">
        <f aca="false">IF(B2517="","",IFERROR(INDEX(Jeux!$C$2:$C$3001,MATCH(B2517,Jeux!$A$2:$A$3001,0))&amp;"","⚠ jeu inconnu"))</f>
        <v/>
      </c>
      <c r="H2517" s="27" t="str">
        <f aca="false">IF(B2517="","",IFERROR(INDEX(Jeux!$D$2:$D$3001,MATCH(B2517,Jeux!$A$2:$A$3001,0))&amp;"",""))</f>
        <v/>
      </c>
      <c r="I2517" s="26" t="str">
        <f aca="false">IF(A2517="","",COUNTIF(Apparitions!$G$2:$G$5001,A2517))</f>
        <v/>
      </c>
      <c r="J2517" s="26" t="str">
        <f aca="false">IF(A2517="","",COUNTIFS(Apparitions!$G$2:$G$5001,A2517,Apparitions!$E$2:$E$5001,"○"))</f>
        <v/>
      </c>
      <c r="K2517" s="29" t="str">
        <f aca="false">IF(A2517="","",IFERROR(1/(1/_xlfn.MINIFS(Apparitions!$L$2:$L$5001,Apparitions!$G$2:$G$5001,A2517)),""))</f>
        <v/>
      </c>
      <c r="L2517" s="27" t="str">
        <f aca="false">IF(A2517="","",A2517&amp;" | "&amp;B2517&amp;IF(C2517="",""," ("&amp;C2517&amp;")")&amp;IF(D2517="",""," - "&amp;D2517))</f>
        <v/>
      </c>
    </row>
    <row r="2518" customFormat="false" ht="15" hidden="false" customHeight="false" outlineLevel="0" collapsed="false">
      <c r="A2518" s="32"/>
      <c r="B2518" s="19"/>
      <c r="C2518" s="19"/>
      <c r="D2518" s="19"/>
      <c r="E2518" s="21"/>
      <c r="F2518" s="19"/>
      <c r="G2518" s="27" t="str">
        <f aca="false">IF(B2518="","",IFERROR(INDEX(Jeux!$C$2:$C$3001,MATCH(B2518,Jeux!$A$2:$A$3001,0))&amp;"","⚠ jeu inconnu"))</f>
        <v/>
      </c>
      <c r="H2518" s="27" t="str">
        <f aca="false">IF(B2518="","",IFERROR(INDEX(Jeux!$D$2:$D$3001,MATCH(B2518,Jeux!$A$2:$A$3001,0))&amp;"",""))</f>
        <v/>
      </c>
      <c r="I2518" s="26" t="str">
        <f aca="false">IF(A2518="","",COUNTIF(Apparitions!$G$2:$G$5001,A2518))</f>
        <v/>
      </c>
      <c r="J2518" s="26" t="str">
        <f aca="false">IF(A2518="","",COUNTIFS(Apparitions!$G$2:$G$5001,A2518,Apparitions!$E$2:$E$5001,"○"))</f>
        <v/>
      </c>
      <c r="K2518" s="29" t="str">
        <f aca="false">IF(A2518="","",IFERROR(1/(1/_xlfn.MINIFS(Apparitions!$L$2:$L$5001,Apparitions!$G$2:$G$5001,A2518)),""))</f>
        <v/>
      </c>
      <c r="L2518" s="27" t="str">
        <f aca="false">IF(A2518="","",A2518&amp;" | "&amp;B2518&amp;IF(C2518="",""," ("&amp;C2518&amp;")")&amp;IF(D2518="",""," - "&amp;D2518))</f>
        <v/>
      </c>
    </row>
    <row r="2519" customFormat="false" ht="15" hidden="false" customHeight="false" outlineLevel="0" collapsed="false">
      <c r="A2519" s="32"/>
      <c r="B2519" s="19"/>
      <c r="C2519" s="19"/>
      <c r="D2519" s="19"/>
      <c r="E2519" s="21"/>
      <c r="F2519" s="19"/>
      <c r="G2519" s="27" t="str">
        <f aca="false">IF(B2519="","",IFERROR(INDEX(Jeux!$C$2:$C$3001,MATCH(B2519,Jeux!$A$2:$A$3001,0))&amp;"","⚠ jeu inconnu"))</f>
        <v/>
      </c>
      <c r="H2519" s="27" t="str">
        <f aca="false">IF(B2519="","",IFERROR(INDEX(Jeux!$D$2:$D$3001,MATCH(B2519,Jeux!$A$2:$A$3001,0))&amp;"",""))</f>
        <v/>
      </c>
      <c r="I2519" s="26" t="str">
        <f aca="false">IF(A2519="","",COUNTIF(Apparitions!$G$2:$G$5001,A2519))</f>
        <v/>
      </c>
      <c r="J2519" s="26" t="str">
        <f aca="false">IF(A2519="","",COUNTIFS(Apparitions!$G$2:$G$5001,A2519,Apparitions!$E$2:$E$5001,"○"))</f>
        <v/>
      </c>
      <c r="K2519" s="29" t="str">
        <f aca="false">IF(A2519="","",IFERROR(1/(1/_xlfn.MINIFS(Apparitions!$L$2:$L$5001,Apparitions!$G$2:$G$5001,A2519)),""))</f>
        <v/>
      </c>
      <c r="L2519" s="27" t="str">
        <f aca="false">IF(A2519="","",A2519&amp;" | "&amp;B2519&amp;IF(C2519="",""," ("&amp;C2519&amp;")")&amp;IF(D2519="",""," - "&amp;D2519))</f>
        <v/>
      </c>
    </row>
    <row r="2520" customFormat="false" ht="15" hidden="false" customHeight="false" outlineLevel="0" collapsed="false">
      <c r="A2520" s="32"/>
      <c r="B2520" s="19"/>
      <c r="C2520" s="19"/>
      <c r="D2520" s="19"/>
      <c r="E2520" s="21"/>
      <c r="F2520" s="19"/>
      <c r="G2520" s="27" t="str">
        <f aca="false">IF(B2520="","",IFERROR(INDEX(Jeux!$C$2:$C$3001,MATCH(B2520,Jeux!$A$2:$A$3001,0))&amp;"","⚠ jeu inconnu"))</f>
        <v/>
      </c>
      <c r="H2520" s="27" t="str">
        <f aca="false">IF(B2520="","",IFERROR(INDEX(Jeux!$D$2:$D$3001,MATCH(B2520,Jeux!$A$2:$A$3001,0))&amp;"",""))</f>
        <v/>
      </c>
      <c r="I2520" s="26" t="str">
        <f aca="false">IF(A2520="","",COUNTIF(Apparitions!$G$2:$G$5001,A2520))</f>
        <v/>
      </c>
      <c r="J2520" s="26" t="str">
        <f aca="false">IF(A2520="","",COUNTIFS(Apparitions!$G$2:$G$5001,A2520,Apparitions!$E$2:$E$5001,"○"))</f>
        <v/>
      </c>
      <c r="K2520" s="29" t="str">
        <f aca="false">IF(A2520="","",IFERROR(1/(1/_xlfn.MINIFS(Apparitions!$L$2:$L$5001,Apparitions!$G$2:$G$5001,A2520)),""))</f>
        <v/>
      </c>
      <c r="L2520" s="27" t="str">
        <f aca="false">IF(A2520="","",A2520&amp;" | "&amp;B2520&amp;IF(C2520="",""," ("&amp;C2520&amp;")")&amp;IF(D2520="",""," - "&amp;D2520))</f>
        <v/>
      </c>
    </row>
    <row r="2521" customFormat="false" ht="15" hidden="false" customHeight="false" outlineLevel="0" collapsed="false">
      <c r="A2521" s="32"/>
      <c r="B2521" s="19"/>
      <c r="C2521" s="19"/>
      <c r="D2521" s="19"/>
      <c r="E2521" s="21"/>
      <c r="F2521" s="19"/>
      <c r="G2521" s="27" t="str">
        <f aca="false">IF(B2521="","",IFERROR(INDEX(Jeux!$C$2:$C$3001,MATCH(B2521,Jeux!$A$2:$A$3001,0))&amp;"","⚠ jeu inconnu"))</f>
        <v/>
      </c>
      <c r="H2521" s="27" t="str">
        <f aca="false">IF(B2521="","",IFERROR(INDEX(Jeux!$D$2:$D$3001,MATCH(B2521,Jeux!$A$2:$A$3001,0))&amp;"",""))</f>
        <v/>
      </c>
      <c r="I2521" s="26" t="str">
        <f aca="false">IF(A2521="","",COUNTIF(Apparitions!$G$2:$G$5001,A2521))</f>
        <v/>
      </c>
      <c r="J2521" s="26" t="str">
        <f aca="false">IF(A2521="","",COUNTIFS(Apparitions!$G$2:$G$5001,A2521,Apparitions!$E$2:$E$5001,"○"))</f>
        <v/>
      </c>
      <c r="K2521" s="29" t="str">
        <f aca="false">IF(A2521="","",IFERROR(1/(1/_xlfn.MINIFS(Apparitions!$L$2:$L$5001,Apparitions!$G$2:$G$5001,A2521)),""))</f>
        <v/>
      </c>
      <c r="L2521" s="27" t="str">
        <f aca="false">IF(A2521="","",A2521&amp;" | "&amp;B2521&amp;IF(C2521="",""," ("&amp;C2521&amp;")")&amp;IF(D2521="",""," - "&amp;D2521))</f>
        <v/>
      </c>
    </row>
    <row r="2522" customFormat="false" ht="15" hidden="false" customHeight="false" outlineLevel="0" collapsed="false">
      <c r="A2522" s="32"/>
      <c r="B2522" s="19"/>
      <c r="C2522" s="19"/>
      <c r="D2522" s="19"/>
      <c r="E2522" s="21"/>
      <c r="F2522" s="19"/>
      <c r="G2522" s="27" t="str">
        <f aca="false">IF(B2522="","",IFERROR(INDEX(Jeux!$C$2:$C$3001,MATCH(B2522,Jeux!$A$2:$A$3001,0))&amp;"","⚠ jeu inconnu"))</f>
        <v/>
      </c>
      <c r="H2522" s="27" t="str">
        <f aca="false">IF(B2522="","",IFERROR(INDEX(Jeux!$D$2:$D$3001,MATCH(B2522,Jeux!$A$2:$A$3001,0))&amp;"",""))</f>
        <v/>
      </c>
      <c r="I2522" s="26" t="str">
        <f aca="false">IF(A2522="","",COUNTIF(Apparitions!$G$2:$G$5001,A2522))</f>
        <v/>
      </c>
      <c r="J2522" s="26" t="str">
        <f aca="false">IF(A2522="","",COUNTIFS(Apparitions!$G$2:$G$5001,A2522,Apparitions!$E$2:$E$5001,"○"))</f>
        <v/>
      </c>
      <c r="K2522" s="29" t="str">
        <f aca="false">IF(A2522="","",IFERROR(1/(1/_xlfn.MINIFS(Apparitions!$L$2:$L$5001,Apparitions!$G$2:$G$5001,A2522)),""))</f>
        <v/>
      </c>
      <c r="L2522" s="27" t="str">
        <f aca="false">IF(A2522="","",A2522&amp;" | "&amp;B2522&amp;IF(C2522="",""," ("&amp;C2522&amp;")")&amp;IF(D2522="",""," - "&amp;D2522))</f>
        <v/>
      </c>
    </row>
    <row r="2523" customFormat="false" ht="15" hidden="false" customHeight="false" outlineLevel="0" collapsed="false">
      <c r="A2523" s="32"/>
      <c r="B2523" s="19"/>
      <c r="C2523" s="19"/>
      <c r="D2523" s="19"/>
      <c r="E2523" s="21"/>
      <c r="F2523" s="19"/>
      <c r="G2523" s="27" t="str">
        <f aca="false">IF(B2523="","",IFERROR(INDEX(Jeux!$C$2:$C$3001,MATCH(B2523,Jeux!$A$2:$A$3001,0))&amp;"","⚠ jeu inconnu"))</f>
        <v/>
      </c>
      <c r="H2523" s="27" t="str">
        <f aca="false">IF(B2523="","",IFERROR(INDEX(Jeux!$D$2:$D$3001,MATCH(B2523,Jeux!$A$2:$A$3001,0))&amp;"",""))</f>
        <v/>
      </c>
      <c r="I2523" s="26" t="str">
        <f aca="false">IF(A2523="","",COUNTIF(Apparitions!$G$2:$G$5001,A2523))</f>
        <v/>
      </c>
      <c r="J2523" s="26" t="str">
        <f aca="false">IF(A2523="","",COUNTIFS(Apparitions!$G$2:$G$5001,A2523,Apparitions!$E$2:$E$5001,"○"))</f>
        <v/>
      </c>
      <c r="K2523" s="29" t="str">
        <f aca="false">IF(A2523="","",IFERROR(1/(1/_xlfn.MINIFS(Apparitions!$L$2:$L$5001,Apparitions!$G$2:$G$5001,A2523)),""))</f>
        <v/>
      </c>
      <c r="L2523" s="27" t="str">
        <f aca="false">IF(A2523="","",A2523&amp;" | "&amp;B2523&amp;IF(C2523="",""," ("&amp;C2523&amp;")")&amp;IF(D2523="",""," - "&amp;D2523))</f>
        <v/>
      </c>
    </row>
    <row r="2524" customFormat="false" ht="15" hidden="false" customHeight="false" outlineLevel="0" collapsed="false">
      <c r="A2524" s="32"/>
      <c r="B2524" s="19"/>
      <c r="C2524" s="19"/>
      <c r="D2524" s="19"/>
      <c r="E2524" s="21"/>
      <c r="F2524" s="19"/>
      <c r="G2524" s="27" t="str">
        <f aca="false">IF(B2524="","",IFERROR(INDEX(Jeux!$C$2:$C$3001,MATCH(B2524,Jeux!$A$2:$A$3001,0))&amp;"","⚠ jeu inconnu"))</f>
        <v/>
      </c>
      <c r="H2524" s="27" t="str">
        <f aca="false">IF(B2524="","",IFERROR(INDEX(Jeux!$D$2:$D$3001,MATCH(B2524,Jeux!$A$2:$A$3001,0))&amp;"",""))</f>
        <v/>
      </c>
      <c r="I2524" s="26" t="str">
        <f aca="false">IF(A2524="","",COUNTIF(Apparitions!$G$2:$G$5001,A2524))</f>
        <v/>
      </c>
      <c r="J2524" s="26" t="str">
        <f aca="false">IF(A2524="","",COUNTIFS(Apparitions!$G$2:$G$5001,A2524,Apparitions!$E$2:$E$5001,"○"))</f>
        <v/>
      </c>
      <c r="K2524" s="29" t="str">
        <f aca="false">IF(A2524="","",IFERROR(1/(1/_xlfn.MINIFS(Apparitions!$L$2:$L$5001,Apparitions!$G$2:$G$5001,A2524)),""))</f>
        <v/>
      </c>
      <c r="L2524" s="27" t="str">
        <f aca="false">IF(A2524="","",A2524&amp;" | "&amp;B2524&amp;IF(C2524="",""," ("&amp;C2524&amp;")")&amp;IF(D2524="",""," - "&amp;D2524))</f>
        <v/>
      </c>
    </row>
    <row r="2525" customFormat="false" ht="15" hidden="false" customHeight="false" outlineLevel="0" collapsed="false">
      <c r="A2525" s="32"/>
      <c r="B2525" s="19"/>
      <c r="C2525" s="19"/>
      <c r="D2525" s="19"/>
      <c r="E2525" s="21"/>
      <c r="F2525" s="19"/>
      <c r="G2525" s="27" t="str">
        <f aca="false">IF(B2525="","",IFERROR(INDEX(Jeux!$C$2:$C$3001,MATCH(B2525,Jeux!$A$2:$A$3001,0))&amp;"","⚠ jeu inconnu"))</f>
        <v/>
      </c>
      <c r="H2525" s="27" t="str">
        <f aca="false">IF(B2525="","",IFERROR(INDEX(Jeux!$D$2:$D$3001,MATCH(B2525,Jeux!$A$2:$A$3001,0))&amp;"",""))</f>
        <v/>
      </c>
      <c r="I2525" s="26" t="str">
        <f aca="false">IF(A2525="","",COUNTIF(Apparitions!$G$2:$G$5001,A2525))</f>
        <v/>
      </c>
      <c r="J2525" s="26" t="str">
        <f aca="false">IF(A2525="","",COUNTIFS(Apparitions!$G$2:$G$5001,A2525,Apparitions!$E$2:$E$5001,"○"))</f>
        <v/>
      </c>
      <c r="K2525" s="29" t="str">
        <f aca="false">IF(A2525="","",IFERROR(1/(1/_xlfn.MINIFS(Apparitions!$L$2:$L$5001,Apparitions!$G$2:$G$5001,A2525)),""))</f>
        <v/>
      </c>
      <c r="L2525" s="27" t="str">
        <f aca="false">IF(A2525="","",A2525&amp;" | "&amp;B2525&amp;IF(C2525="",""," ("&amp;C2525&amp;")")&amp;IF(D2525="",""," - "&amp;D2525))</f>
        <v/>
      </c>
    </row>
    <row r="2526" customFormat="false" ht="15" hidden="false" customHeight="false" outlineLevel="0" collapsed="false">
      <c r="A2526" s="32"/>
      <c r="B2526" s="19"/>
      <c r="C2526" s="19"/>
      <c r="D2526" s="19"/>
      <c r="E2526" s="21"/>
      <c r="F2526" s="19"/>
      <c r="G2526" s="27" t="str">
        <f aca="false">IF(B2526="","",IFERROR(INDEX(Jeux!$C$2:$C$3001,MATCH(B2526,Jeux!$A$2:$A$3001,0))&amp;"","⚠ jeu inconnu"))</f>
        <v/>
      </c>
      <c r="H2526" s="27" t="str">
        <f aca="false">IF(B2526="","",IFERROR(INDEX(Jeux!$D$2:$D$3001,MATCH(B2526,Jeux!$A$2:$A$3001,0))&amp;"",""))</f>
        <v/>
      </c>
      <c r="I2526" s="26" t="str">
        <f aca="false">IF(A2526="","",COUNTIF(Apparitions!$G$2:$G$5001,A2526))</f>
        <v/>
      </c>
      <c r="J2526" s="26" t="str">
        <f aca="false">IF(A2526="","",COUNTIFS(Apparitions!$G$2:$G$5001,A2526,Apparitions!$E$2:$E$5001,"○"))</f>
        <v/>
      </c>
      <c r="K2526" s="29" t="str">
        <f aca="false">IF(A2526="","",IFERROR(1/(1/_xlfn.MINIFS(Apparitions!$L$2:$L$5001,Apparitions!$G$2:$G$5001,A2526)),""))</f>
        <v/>
      </c>
      <c r="L2526" s="27" t="str">
        <f aca="false">IF(A2526="","",A2526&amp;" | "&amp;B2526&amp;IF(C2526="",""," ("&amp;C2526&amp;")")&amp;IF(D2526="",""," - "&amp;D2526))</f>
        <v/>
      </c>
    </row>
    <row r="2527" customFormat="false" ht="15" hidden="false" customHeight="false" outlineLevel="0" collapsed="false">
      <c r="A2527" s="32"/>
      <c r="B2527" s="19"/>
      <c r="C2527" s="19"/>
      <c r="D2527" s="19"/>
      <c r="E2527" s="21"/>
      <c r="F2527" s="19"/>
      <c r="G2527" s="27" t="str">
        <f aca="false">IF(B2527="","",IFERROR(INDEX(Jeux!$C$2:$C$3001,MATCH(B2527,Jeux!$A$2:$A$3001,0))&amp;"","⚠ jeu inconnu"))</f>
        <v/>
      </c>
      <c r="H2527" s="27" t="str">
        <f aca="false">IF(B2527="","",IFERROR(INDEX(Jeux!$D$2:$D$3001,MATCH(B2527,Jeux!$A$2:$A$3001,0))&amp;"",""))</f>
        <v/>
      </c>
      <c r="I2527" s="26" t="str">
        <f aca="false">IF(A2527="","",COUNTIF(Apparitions!$G$2:$G$5001,A2527))</f>
        <v/>
      </c>
      <c r="J2527" s="26" t="str">
        <f aca="false">IF(A2527="","",COUNTIFS(Apparitions!$G$2:$G$5001,A2527,Apparitions!$E$2:$E$5001,"○"))</f>
        <v/>
      </c>
      <c r="K2527" s="29" t="str">
        <f aca="false">IF(A2527="","",IFERROR(1/(1/_xlfn.MINIFS(Apparitions!$L$2:$L$5001,Apparitions!$G$2:$G$5001,A2527)),""))</f>
        <v/>
      </c>
      <c r="L2527" s="27" t="str">
        <f aca="false">IF(A2527="","",A2527&amp;" | "&amp;B2527&amp;IF(C2527="",""," ("&amp;C2527&amp;")")&amp;IF(D2527="",""," - "&amp;D2527))</f>
        <v/>
      </c>
    </row>
    <row r="2528" customFormat="false" ht="15" hidden="false" customHeight="false" outlineLevel="0" collapsed="false">
      <c r="A2528" s="32"/>
      <c r="B2528" s="19"/>
      <c r="C2528" s="19"/>
      <c r="D2528" s="19"/>
      <c r="E2528" s="21"/>
      <c r="F2528" s="19"/>
      <c r="G2528" s="27" t="str">
        <f aca="false">IF(B2528="","",IFERROR(INDEX(Jeux!$C$2:$C$3001,MATCH(B2528,Jeux!$A$2:$A$3001,0))&amp;"","⚠ jeu inconnu"))</f>
        <v/>
      </c>
      <c r="H2528" s="27" t="str">
        <f aca="false">IF(B2528="","",IFERROR(INDEX(Jeux!$D$2:$D$3001,MATCH(B2528,Jeux!$A$2:$A$3001,0))&amp;"",""))</f>
        <v/>
      </c>
      <c r="I2528" s="26" t="str">
        <f aca="false">IF(A2528="","",COUNTIF(Apparitions!$G$2:$G$5001,A2528))</f>
        <v/>
      </c>
      <c r="J2528" s="26" t="str">
        <f aca="false">IF(A2528="","",COUNTIFS(Apparitions!$G$2:$G$5001,A2528,Apparitions!$E$2:$E$5001,"○"))</f>
        <v/>
      </c>
      <c r="K2528" s="29" t="str">
        <f aca="false">IF(A2528="","",IFERROR(1/(1/_xlfn.MINIFS(Apparitions!$L$2:$L$5001,Apparitions!$G$2:$G$5001,A2528)),""))</f>
        <v/>
      </c>
      <c r="L2528" s="27" t="str">
        <f aca="false">IF(A2528="","",A2528&amp;" | "&amp;B2528&amp;IF(C2528="",""," ("&amp;C2528&amp;")")&amp;IF(D2528="",""," - "&amp;D2528))</f>
        <v/>
      </c>
    </row>
    <row r="2529" customFormat="false" ht="15" hidden="false" customHeight="false" outlineLevel="0" collapsed="false">
      <c r="A2529" s="32"/>
      <c r="B2529" s="19"/>
      <c r="C2529" s="19"/>
      <c r="D2529" s="19"/>
      <c r="E2529" s="21"/>
      <c r="F2529" s="19"/>
      <c r="G2529" s="27" t="str">
        <f aca="false">IF(B2529="","",IFERROR(INDEX(Jeux!$C$2:$C$3001,MATCH(B2529,Jeux!$A$2:$A$3001,0))&amp;"","⚠ jeu inconnu"))</f>
        <v/>
      </c>
      <c r="H2529" s="27" t="str">
        <f aca="false">IF(B2529="","",IFERROR(INDEX(Jeux!$D$2:$D$3001,MATCH(B2529,Jeux!$A$2:$A$3001,0))&amp;"",""))</f>
        <v/>
      </c>
      <c r="I2529" s="26" t="str">
        <f aca="false">IF(A2529="","",COUNTIF(Apparitions!$G$2:$G$5001,A2529))</f>
        <v/>
      </c>
      <c r="J2529" s="26" t="str">
        <f aca="false">IF(A2529="","",COUNTIFS(Apparitions!$G$2:$G$5001,A2529,Apparitions!$E$2:$E$5001,"○"))</f>
        <v/>
      </c>
      <c r="K2529" s="29" t="str">
        <f aca="false">IF(A2529="","",IFERROR(1/(1/_xlfn.MINIFS(Apparitions!$L$2:$L$5001,Apparitions!$G$2:$G$5001,A2529)),""))</f>
        <v/>
      </c>
      <c r="L2529" s="27" t="str">
        <f aca="false">IF(A2529="","",A2529&amp;" | "&amp;B2529&amp;IF(C2529="",""," ("&amp;C2529&amp;")")&amp;IF(D2529="",""," - "&amp;D2529))</f>
        <v/>
      </c>
    </row>
    <row r="2530" customFormat="false" ht="15" hidden="false" customHeight="false" outlineLevel="0" collapsed="false">
      <c r="A2530" s="32"/>
      <c r="B2530" s="19"/>
      <c r="C2530" s="19"/>
      <c r="D2530" s="19"/>
      <c r="E2530" s="21"/>
      <c r="F2530" s="19"/>
      <c r="G2530" s="27" t="str">
        <f aca="false">IF(B2530="","",IFERROR(INDEX(Jeux!$C$2:$C$3001,MATCH(B2530,Jeux!$A$2:$A$3001,0))&amp;"","⚠ jeu inconnu"))</f>
        <v/>
      </c>
      <c r="H2530" s="27" t="str">
        <f aca="false">IF(B2530="","",IFERROR(INDEX(Jeux!$D$2:$D$3001,MATCH(B2530,Jeux!$A$2:$A$3001,0))&amp;"",""))</f>
        <v/>
      </c>
      <c r="I2530" s="26" t="str">
        <f aca="false">IF(A2530="","",COUNTIF(Apparitions!$G$2:$G$5001,A2530))</f>
        <v/>
      </c>
      <c r="J2530" s="26" t="str">
        <f aca="false">IF(A2530="","",COUNTIFS(Apparitions!$G$2:$G$5001,A2530,Apparitions!$E$2:$E$5001,"○"))</f>
        <v/>
      </c>
      <c r="K2530" s="29" t="str">
        <f aca="false">IF(A2530="","",IFERROR(1/(1/_xlfn.MINIFS(Apparitions!$L$2:$L$5001,Apparitions!$G$2:$G$5001,A2530)),""))</f>
        <v/>
      </c>
      <c r="L2530" s="27" t="str">
        <f aca="false">IF(A2530="","",A2530&amp;" | "&amp;B2530&amp;IF(C2530="",""," ("&amp;C2530&amp;")")&amp;IF(D2530="",""," - "&amp;D2530))</f>
        <v/>
      </c>
    </row>
    <row r="2531" customFormat="false" ht="15" hidden="false" customHeight="false" outlineLevel="0" collapsed="false">
      <c r="A2531" s="32"/>
      <c r="B2531" s="19"/>
      <c r="C2531" s="19"/>
      <c r="D2531" s="19"/>
      <c r="E2531" s="21"/>
      <c r="F2531" s="19"/>
      <c r="G2531" s="27" t="str">
        <f aca="false">IF(B2531="","",IFERROR(INDEX(Jeux!$C$2:$C$3001,MATCH(B2531,Jeux!$A$2:$A$3001,0))&amp;"","⚠ jeu inconnu"))</f>
        <v/>
      </c>
      <c r="H2531" s="27" t="str">
        <f aca="false">IF(B2531="","",IFERROR(INDEX(Jeux!$D$2:$D$3001,MATCH(B2531,Jeux!$A$2:$A$3001,0))&amp;"",""))</f>
        <v/>
      </c>
      <c r="I2531" s="26" t="str">
        <f aca="false">IF(A2531="","",COUNTIF(Apparitions!$G$2:$G$5001,A2531))</f>
        <v/>
      </c>
      <c r="J2531" s="26" t="str">
        <f aca="false">IF(A2531="","",COUNTIFS(Apparitions!$G$2:$G$5001,A2531,Apparitions!$E$2:$E$5001,"○"))</f>
        <v/>
      </c>
      <c r="K2531" s="29" t="str">
        <f aca="false">IF(A2531="","",IFERROR(1/(1/_xlfn.MINIFS(Apparitions!$L$2:$L$5001,Apparitions!$G$2:$G$5001,A2531)),""))</f>
        <v/>
      </c>
      <c r="L2531" s="27" t="str">
        <f aca="false">IF(A2531="","",A2531&amp;" | "&amp;B2531&amp;IF(C2531="",""," ("&amp;C2531&amp;")")&amp;IF(D2531="",""," - "&amp;D2531))</f>
        <v/>
      </c>
    </row>
    <row r="2532" customFormat="false" ht="15" hidden="false" customHeight="false" outlineLevel="0" collapsed="false">
      <c r="A2532" s="32"/>
      <c r="B2532" s="19"/>
      <c r="C2532" s="19"/>
      <c r="D2532" s="19"/>
      <c r="E2532" s="21"/>
      <c r="F2532" s="19"/>
      <c r="G2532" s="27" t="str">
        <f aca="false">IF(B2532="","",IFERROR(INDEX(Jeux!$C$2:$C$3001,MATCH(B2532,Jeux!$A$2:$A$3001,0))&amp;"","⚠ jeu inconnu"))</f>
        <v/>
      </c>
      <c r="H2532" s="27" t="str">
        <f aca="false">IF(B2532="","",IFERROR(INDEX(Jeux!$D$2:$D$3001,MATCH(B2532,Jeux!$A$2:$A$3001,0))&amp;"",""))</f>
        <v/>
      </c>
      <c r="I2532" s="26" t="str">
        <f aca="false">IF(A2532="","",COUNTIF(Apparitions!$G$2:$G$5001,A2532))</f>
        <v/>
      </c>
      <c r="J2532" s="26" t="str">
        <f aca="false">IF(A2532="","",COUNTIFS(Apparitions!$G$2:$G$5001,A2532,Apparitions!$E$2:$E$5001,"○"))</f>
        <v/>
      </c>
      <c r="K2532" s="29" t="str">
        <f aca="false">IF(A2532="","",IFERROR(1/(1/_xlfn.MINIFS(Apparitions!$L$2:$L$5001,Apparitions!$G$2:$G$5001,A2532)),""))</f>
        <v/>
      </c>
      <c r="L2532" s="27" t="str">
        <f aca="false">IF(A2532="","",A2532&amp;" | "&amp;B2532&amp;IF(C2532="",""," ("&amp;C2532&amp;")")&amp;IF(D2532="",""," - "&amp;D2532))</f>
        <v/>
      </c>
    </row>
    <row r="2533" customFormat="false" ht="15" hidden="false" customHeight="false" outlineLevel="0" collapsed="false">
      <c r="A2533" s="32"/>
      <c r="B2533" s="19"/>
      <c r="C2533" s="19"/>
      <c r="D2533" s="19"/>
      <c r="E2533" s="21"/>
      <c r="F2533" s="19"/>
      <c r="G2533" s="27" t="str">
        <f aca="false">IF(B2533="","",IFERROR(INDEX(Jeux!$C$2:$C$3001,MATCH(B2533,Jeux!$A$2:$A$3001,0))&amp;"","⚠ jeu inconnu"))</f>
        <v/>
      </c>
      <c r="H2533" s="27" t="str">
        <f aca="false">IF(B2533="","",IFERROR(INDEX(Jeux!$D$2:$D$3001,MATCH(B2533,Jeux!$A$2:$A$3001,0))&amp;"",""))</f>
        <v/>
      </c>
      <c r="I2533" s="26" t="str">
        <f aca="false">IF(A2533="","",COUNTIF(Apparitions!$G$2:$G$5001,A2533))</f>
        <v/>
      </c>
      <c r="J2533" s="26" t="str">
        <f aca="false">IF(A2533="","",COUNTIFS(Apparitions!$G$2:$G$5001,A2533,Apparitions!$E$2:$E$5001,"○"))</f>
        <v/>
      </c>
      <c r="K2533" s="29" t="str">
        <f aca="false">IF(A2533="","",IFERROR(1/(1/_xlfn.MINIFS(Apparitions!$L$2:$L$5001,Apparitions!$G$2:$G$5001,A2533)),""))</f>
        <v/>
      </c>
      <c r="L2533" s="27" t="str">
        <f aca="false">IF(A2533="","",A2533&amp;" | "&amp;B2533&amp;IF(C2533="",""," ("&amp;C2533&amp;")")&amp;IF(D2533="",""," - "&amp;D2533))</f>
        <v/>
      </c>
    </row>
    <row r="2534" customFormat="false" ht="15" hidden="false" customHeight="false" outlineLevel="0" collapsed="false">
      <c r="A2534" s="32"/>
      <c r="B2534" s="19"/>
      <c r="C2534" s="19"/>
      <c r="D2534" s="19"/>
      <c r="E2534" s="21"/>
      <c r="F2534" s="19"/>
      <c r="G2534" s="27" t="str">
        <f aca="false">IF(B2534="","",IFERROR(INDEX(Jeux!$C$2:$C$3001,MATCH(B2534,Jeux!$A$2:$A$3001,0))&amp;"","⚠ jeu inconnu"))</f>
        <v/>
      </c>
      <c r="H2534" s="27" t="str">
        <f aca="false">IF(B2534="","",IFERROR(INDEX(Jeux!$D$2:$D$3001,MATCH(B2534,Jeux!$A$2:$A$3001,0))&amp;"",""))</f>
        <v/>
      </c>
      <c r="I2534" s="26" t="str">
        <f aca="false">IF(A2534="","",COUNTIF(Apparitions!$G$2:$G$5001,A2534))</f>
        <v/>
      </c>
      <c r="J2534" s="26" t="str">
        <f aca="false">IF(A2534="","",COUNTIFS(Apparitions!$G$2:$G$5001,A2534,Apparitions!$E$2:$E$5001,"○"))</f>
        <v/>
      </c>
      <c r="K2534" s="29" t="str">
        <f aca="false">IF(A2534="","",IFERROR(1/(1/_xlfn.MINIFS(Apparitions!$L$2:$L$5001,Apparitions!$G$2:$G$5001,A2534)),""))</f>
        <v/>
      </c>
      <c r="L2534" s="27" t="str">
        <f aca="false">IF(A2534="","",A2534&amp;" | "&amp;B2534&amp;IF(C2534="",""," ("&amp;C2534&amp;")")&amp;IF(D2534="",""," - "&amp;D2534))</f>
        <v/>
      </c>
    </row>
    <row r="2535" customFormat="false" ht="15" hidden="false" customHeight="false" outlineLevel="0" collapsed="false">
      <c r="A2535" s="32"/>
      <c r="B2535" s="19"/>
      <c r="C2535" s="19"/>
      <c r="D2535" s="19"/>
      <c r="E2535" s="21"/>
      <c r="F2535" s="19"/>
      <c r="G2535" s="27" t="str">
        <f aca="false">IF(B2535="","",IFERROR(INDEX(Jeux!$C$2:$C$3001,MATCH(B2535,Jeux!$A$2:$A$3001,0))&amp;"","⚠ jeu inconnu"))</f>
        <v/>
      </c>
      <c r="H2535" s="27" t="str">
        <f aca="false">IF(B2535="","",IFERROR(INDEX(Jeux!$D$2:$D$3001,MATCH(B2535,Jeux!$A$2:$A$3001,0))&amp;"",""))</f>
        <v/>
      </c>
      <c r="I2535" s="26" t="str">
        <f aca="false">IF(A2535="","",COUNTIF(Apparitions!$G$2:$G$5001,A2535))</f>
        <v/>
      </c>
      <c r="J2535" s="26" t="str">
        <f aca="false">IF(A2535="","",COUNTIFS(Apparitions!$G$2:$G$5001,A2535,Apparitions!$E$2:$E$5001,"○"))</f>
        <v/>
      </c>
      <c r="K2535" s="29" t="str">
        <f aca="false">IF(A2535="","",IFERROR(1/(1/_xlfn.MINIFS(Apparitions!$L$2:$L$5001,Apparitions!$G$2:$G$5001,A2535)),""))</f>
        <v/>
      </c>
      <c r="L2535" s="27" t="str">
        <f aca="false">IF(A2535="","",A2535&amp;" | "&amp;B2535&amp;IF(C2535="",""," ("&amp;C2535&amp;")")&amp;IF(D2535="",""," - "&amp;D2535))</f>
        <v/>
      </c>
    </row>
    <row r="2536" customFormat="false" ht="15" hidden="false" customHeight="false" outlineLevel="0" collapsed="false">
      <c r="A2536" s="32"/>
      <c r="B2536" s="19"/>
      <c r="C2536" s="19"/>
      <c r="D2536" s="19"/>
      <c r="E2536" s="21"/>
      <c r="F2536" s="19"/>
      <c r="G2536" s="27" t="str">
        <f aca="false">IF(B2536="","",IFERROR(INDEX(Jeux!$C$2:$C$3001,MATCH(B2536,Jeux!$A$2:$A$3001,0))&amp;"","⚠ jeu inconnu"))</f>
        <v/>
      </c>
      <c r="H2536" s="27" t="str">
        <f aca="false">IF(B2536="","",IFERROR(INDEX(Jeux!$D$2:$D$3001,MATCH(B2536,Jeux!$A$2:$A$3001,0))&amp;"",""))</f>
        <v/>
      </c>
      <c r="I2536" s="26" t="str">
        <f aca="false">IF(A2536="","",COUNTIF(Apparitions!$G$2:$G$5001,A2536))</f>
        <v/>
      </c>
      <c r="J2536" s="26" t="str">
        <f aca="false">IF(A2536="","",COUNTIFS(Apparitions!$G$2:$G$5001,A2536,Apparitions!$E$2:$E$5001,"○"))</f>
        <v/>
      </c>
      <c r="K2536" s="29" t="str">
        <f aca="false">IF(A2536="","",IFERROR(1/(1/_xlfn.MINIFS(Apparitions!$L$2:$L$5001,Apparitions!$G$2:$G$5001,A2536)),""))</f>
        <v/>
      </c>
      <c r="L2536" s="27" t="str">
        <f aca="false">IF(A2536="","",A2536&amp;" | "&amp;B2536&amp;IF(C2536="",""," ("&amp;C2536&amp;")")&amp;IF(D2536="",""," - "&amp;D2536))</f>
        <v/>
      </c>
    </row>
    <row r="2537" customFormat="false" ht="15" hidden="false" customHeight="false" outlineLevel="0" collapsed="false">
      <c r="A2537" s="32"/>
      <c r="B2537" s="19"/>
      <c r="C2537" s="19"/>
      <c r="D2537" s="19"/>
      <c r="E2537" s="21"/>
      <c r="F2537" s="19"/>
      <c r="G2537" s="27" t="str">
        <f aca="false">IF(B2537="","",IFERROR(INDEX(Jeux!$C$2:$C$3001,MATCH(B2537,Jeux!$A$2:$A$3001,0))&amp;"","⚠ jeu inconnu"))</f>
        <v/>
      </c>
      <c r="H2537" s="27" t="str">
        <f aca="false">IF(B2537="","",IFERROR(INDEX(Jeux!$D$2:$D$3001,MATCH(B2537,Jeux!$A$2:$A$3001,0))&amp;"",""))</f>
        <v/>
      </c>
      <c r="I2537" s="26" t="str">
        <f aca="false">IF(A2537="","",COUNTIF(Apparitions!$G$2:$G$5001,A2537))</f>
        <v/>
      </c>
      <c r="J2537" s="26" t="str">
        <f aca="false">IF(A2537="","",COUNTIFS(Apparitions!$G$2:$G$5001,A2537,Apparitions!$E$2:$E$5001,"○"))</f>
        <v/>
      </c>
      <c r="K2537" s="29" t="str">
        <f aca="false">IF(A2537="","",IFERROR(1/(1/_xlfn.MINIFS(Apparitions!$L$2:$L$5001,Apparitions!$G$2:$G$5001,A2537)),""))</f>
        <v/>
      </c>
      <c r="L2537" s="27" t="str">
        <f aca="false">IF(A2537="","",A2537&amp;" | "&amp;B2537&amp;IF(C2537="",""," ("&amp;C2537&amp;")")&amp;IF(D2537="",""," - "&amp;D2537))</f>
        <v/>
      </c>
    </row>
    <row r="2538" customFormat="false" ht="15" hidden="false" customHeight="false" outlineLevel="0" collapsed="false">
      <c r="A2538" s="32"/>
      <c r="B2538" s="19"/>
      <c r="C2538" s="19"/>
      <c r="D2538" s="19"/>
      <c r="E2538" s="21"/>
      <c r="F2538" s="19"/>
      <c r="G2538" s="27" t="str">
        <f aca="false">IF(B2538="","",IFERROR(INDEX(Jeux!$C$2:$C$3001,MATCH(B2538,Jeux!$A$2:$A$3001,0))&amp;"","⚠ jeu inconnu"))</f>
        <v/>
      </c>
      <c r="H2538" s="27" t="str">
        <f aca="false">IF(B2538="","",IFERROR(INDEX(Jeux!$D$2:$D$3001,MATCH(B2538,Jeux!$A$2:$A$3001,0))&amp;"",""))</f>
        <v/>
      </c>
      <c r="I2538" s="26" t="str">
        <f aca="false">IF(A2538="","",COUNTIF(Apparitions!$G$2:$G$5001,A2538))</f>
        <v/>
      </c>
      <c r="J2538" s="26" t="str">
        <f aca="false">IF(A2538="","",COUNTIFS(Apparitions!$G$2:$G$5001,A2538,Apparitions!$E$2:$E$5001,"○"))</f>
        <v/>
      </c>
      <c r="K2538" s="29" t="str">
        <f aca="false">IF(A2538="","",IFERROR(1/(1/_xlfn.MINIFS(Apparitions!$L$2:$L$5001,Apparitions!$G$2:$G$5001,A2538)),""))</f>
        <v/>
      </c>
      <c r="L2538" s="27" t="str">
        <f aca="false">IF(A2538="","",A2538&amp;" | "&amp;B2538&amp;IF(C2538="",""," ("&amp;C2538&amp;")")&amp;IF(D2538="",""," - "&amp;D2538))</f>
        <v/>
      </c>
    </row>
    <row r="2539" customFormat="false" ht="15" hidden="false" customHeight="false" outlineLevel="0" collapsed="false">
      <c r="A2539" s="32"/>
      <c r="B2539" s="19"/>
      <c r="C2539" s="19"/>
      <c r="D2539" s="19"/>
      <c r="E2539" s="21"/>
      <c r="F2539" s="19"/>
      <c r="G2539" s="27" t="str">
        <f aca="false">IF(B2539="","",IFERROR(INDEX(Jeux!$C$2:$C$3001,MATCH(B2539,Jeux!$A$2:$A$3001,0))&amp;"","⚠ jeu inconnu"))</f>
        <v/>
      </c>
      <c r="H2539" s="27" t="str">
        <f aca="false">IF(B2539="","",IFERROR(INDEX(Jeux!$D$2:$D$3001,MATCH(B2539,Jeux!$A$2:$A$3001,0))&amp;"",""))</f>
        <v/>
      </c>
      <c r="I2539" s="26" t="str">
        <f aca="false">IF(A2539="","",COUNTIF(Apparitions!$G$2:$G$5001,A2539))</f>
        <v/>
      </c>
      <c r="J2539" s="26" t="str">
        <f aca="false">IF(A2539="","",COUNTIFS(Apparitions!$G$2:$G$5001,A2539,Apparitions!$E$2:$E$5001,"○"))</f>
        <v/>
      </c>
      <c r="K2539" s="29" t="str">
        <f aca="false">IF(A2539="","",IFERROR(1/(1/_xlfn.MINIFS(Apparitions!$L$2:$L$5001,Apparitions!$G$2:$G$5001,A2539)),""))</f>
        <v/>
      </c>
      <c r="L2539" s="27" t="str">
        <f aca="false">IF(A2539="","",A2539&amp;" | "&amp;B2539&amp;IF(C2539="",""," ("&amp;C2539&amp;")")&amp;IF(D2539="",""," - "&amp;D2539))</f>
        <v/>
      </c>
    </row>
    <row r="2540" customFormat="false" ht="15" hidden="false" customHeight="false" outlineLevel="0" collapsed="false">
      <c r="A2540" s="32"/>
      <c r="B2540" s="19"/>
      <c r="C2540" s="19"/>
      <c r="D2540" s="19"/>
      <c r="E2540" s="21"/>
      <c r="F2540" s="19"/>
      <c r="G2540" s="27" t="str">
        <f aca="false">IF(B2540="","",IFERROR(INDEX(Jeux!$C$2:$C$3001,MATCH(B2540,Jeux!$A$2:$A$3001,0))&amp;"","⚠ jeu inconnu"))</f>
        <v/>
      </c>
      <c r="H2540" s="27" t="str">
        <f aca="false">IF(B2540="","",IFERROR(INDEX(Jeux!$D$2:$D$3001,MATCH(B2540,Jeux!$A$2:$A$3001,0))&amp;"",""))</f>
        <v/>
      </c>
      <c r="I2540" s="26" t="str">
        <f aca="false">IF(A2540="","",COUNTIF(Apparitions!$G$2:$G$5001,A2540))</f>
        <v/>
      </c>
      <c r="J2540" s="26" t="str">
        <f aca="false">IF(A2540="","",COUNTIFS(Apparitions!$G$2:$G$5001,A2540,Apparitions!$E$2:$E$5001,"○"))</f>
        <v/>
      </c>
      <c r="K2540" s="29" t="str">
        <f aca="false">IF(A2540="","",IFERROR(1/(1/_xlfn.MINIFS(Apparitions!$L$2:$L$5001,Apparitions!$G$2:$G$5001,A2540)),""))</f>
        <v/>
      </c>
      <c r="L2540" s="27" t="str">
        <f aca="false">IF(A2540="","",A2540&amp;" | "&amp;B2540&amp;IF(C2540="",""," ("&amp;C2540&amp;")")&amp;IF(D2540="",""," - "&amp;D2540))</f>
        <v/>
      </c>
    </row>
    <row r="2541" customFormat="false" ht="15" hidden="false" customHeight="false" outlineLevel="0" collapsed="false">
      <c r="A2541" s="32"/>
      <c r="B2541" s="19"/>
      <c r="C2541" s="19"/>
      <c r="D2541" s="19"/>
      <c r="E2541" s="21"/>
      <c r="F2541" s="19"/>
      <c r="G2541" s="27" t="str">
        <f aca="false">IF(B2541="","",IFERROR(INDEX(Jeux!$C$2:$C$3001,MATCH(B2541,Jeux!$A$2:$A$3001,0))&amp;"","⚠ jeu inconnu"))</f>
        <v/>
      </c>
      <c r="H2541" s="27" t="str">
        <f aca="false">IF(B2541="","",IFERROR(INDEX(Jeux!$D$2:$D$3001,MATCH(B2541,Jeux!$A$2:$A$3001,0))&amp;"",""))</f>
        <v/>
      </c>
      <c r="I2541" s="26" t="str">
        <f aca="false">IF(A2541="","",COUNTIF(Apparitions!$G$2:$G$5001,A2541))</f>
        <v/>
      </c>
      <c r="J2541" s="26" t="str">
        <f aca="false">IF(A2541="","",COUNTIFS(Apparitions!$G$2:$G$5001,A2541,Apparitions!$E$2:$E$5001,"○"))</f>
        <v/>
      </c>
      <c r="K2541" s="29" t="str">
        <f aca="false">IF(A2541="","",IFERROR(1/(1/_xlfn.MINIFS(Apparitions!$L$2:$L$5001,Apparitions!$G$2:$G$5001,A2541)),""))</f>
        <v/>
      </c>
      <c r="L2541" s="27" t="str">
        <f aca="false">IF(A2541="","",A2541&amp;" | "&amp;B2541&amp;IF(C2541="",""," ("&amp;C2541&amp;")")&amp;IF(D2541="",""," - "&amp;D2541))</f>
        <v/>
      </c>
    </row>
    <row r="2542" customFormat="false" ht="15" hidden="false" customHeight="false" outlineLevel="0" collapsed="false">
      <c r="A2542" s="32"/>
      <c r="B2542" s="19"/>
      <c r="C2542" s="19"/>
      <c r="D2542" s="19"/>
      <c r="E2542" s="21"/>
      <c r="F2542" s="19"/>
      <c r="G2542" s="27" t="str">
        <f aca="false">IF(B2542="","",IFERROR(INDEX(Jeux!$C$2:$C$3001,MATCH(B2542,Jeux!$A$2:$A$3001,0))&amp;"","⚠ jeu inconnu"))</f>
        <v/>
      </c>
      <c r="H2542" s="27" t="str">
        <f aca="false">IF(B2542="","",IFERROR(INDEX(Jeux!$D$2:$D$3001,MATCH(B2542,Jeux!$A$2:$A$3001,0))&amp;"",""))</f>
        <v/>
      </c>
      <c r="I2542" s="26" t="str">
        <f aca="false">IF(A2542="","",COUNTIF(Apparitions!$G$2:$G$5001,A2542))</f>
        <v/>
      </c>
      <c r="J2542" s="26" t="str">
        <f aca="false">IF(A2542="","",COUNTIFS(Apparitions!$G$2:$G$5001,A2542,Apparitions!$E$2:$E$5001,"○"))</f>
        <v/>
      </c>
      <c r="K2542" s="29" t="str">
        <f aca="false">IF(A2542="","",IFERROR(1/(1/_xlfn.MINIFS(Apparitions!$L$2:$L$5001,Apparitions!$G$2:$G$5001,A2542)),""))</f>
        <v/>
      </c>
      <c r="L2542" s="27" t="str">
        <f aca="false">IF(A2542="","",A2542&amp;" | "&amp;B2542&amp;IF(C2542="",""," ("&amp;C2542&amp;")")&amp;IF(D2542="",""," - "&amp;D2542))</f>
        <v/>
      </c>
    </row>
    <row r="2543" customFormat="false" ht="15" hidden="false" customHeight="false" outlineLevel="0" collapsed="false">
      <c r="A2543" s="32"/>
      <c r="B2543" s="19"/>
      <c r="C2543" s="19"/>
      <c r="D2543" s="19"/>
      <c r="E2543" s="21"/>
      <c r="F2543" s="19"/>
      <c r="G2543" s="27" t="str">
        <f aca="false">IF(B2543="","",IFERROR(INDEX(Jeux!$C$2:$C$3001,MATCH(B2543,Jeux!$A$2:$A$3001,0))&amp;"","⚠ jeu inconnu"))</f>
        <v/>
      </c>
      <c r="H2543" s="27" t="str">
        <f aca="false">IF(B2543="","",IFERROR(INDEX(Jeux!$D$2:$D$3001,MATCH(B2543,Jeux!$A$2:$A$3001,0))&amp;"",""))</f>
        <v/>
      </c>
      <c r="I2543" s="26" t="str">
        <f aca="false">IF(A2543="","",COUNTIF(Apparitions!$G$2:$G$5001,A2543))</f>
        <v/>
      </c>
      <c r="J2543" s="26" t="str">
        <f aca="false">IF(A2543="","",COUNTIFS(Apparitions!$G$2:$G$5001,A2543,Apparitions!$E$2:$E$5001,"○"))</f>
        <v/>
      </c>
      <c r="K2543" s="29" t="str">
        <f aca="false">IF(A2543="","",IFERROR(1/(1/_xlfn.MINIFS(Apparitions!$L$2:$L$5001,Apparitions!$G$2:$G$5001,A2543)),""))</f>
        <v/>
      </c>
      <c r="L2543" s="27" t="str">
        <f aca="false">IF(A2543="","",A2543&amp;" | "&amp;B2543&amp;IF(C2543="",""," ("&amp;C2543&amp;")")&amp;IF(D2543="",""," - "&amp;D2543))</f>
        <v/>
      </c>
    </row>
    <row r="2544" customFormat="false" ht="15" hidden="false" customHeight="false" outlineLevel="0" collapsed="false">
      <c r="A2544" s="32"/>
      <c r="B2544" s="19"/>
      <c r="C2544" s="19"/>
      <c r="D2544" s="19"/>
      <c r="E2544" s="21"/>
      <c r="F2544" s="19"/>
      <c r="G2544" s="27" t="str">
        <f aca="false">IF(B2544="","",IFERROR(INDEX(Jeux!$C$2:$C$3001,MATCH(B2544,Jeux!$A$2:$A$3001,0))&amp;"","⚠ jeu inconnu"))</f>
        <v/>
      </c>
      <c r="H2544" s="27" t="str">
        <f aca="false">IF(B2544="","",IFERROR(INDEX(Jeux!$D$2:$D$3001,MATCH(B2544,Jeux!$A$2:$A$3001,0))&amp;"",""))</f>
        <v/>
      </c>
      <c r="I2544" s="26" t="str">
        <f aca="false">IF(A2544="","",COUNTIF(Apparitions!$G$2:$G$5001,A2544))</f>
        <v/>
      </c>
      <c r="J2544" s="26" t="str">
        <f aca="false">IF(A2544="","",COUNTIFS(Apparitions!$G$2:$G$5001,A2544,Apparitions!$E$2:$E$5001,"○"))</f>
        <v/>
      </c>
      <c r="K2544" s="29" t="str">
        <f aca="false">IF(A2544="","",IFERROR(1/(1/_xlfn.MINIFS(Apparitions!$L$2:$L$5001,Apparitions!$G$2:$G$5001,A2544)),""))</f>
        <v/>
      </c>
      <c r="L2544" s="27" t="str">
        <f aca="false">IF(A2544="","",A2544&amp;" | "&amp;B2544&amp;IF(C2544="",""," ("&amp;C2544&amp;")")&amp;IF(D2544="",""," - "&amp;D2544))</f>
        <v/>
      </c>
    </row>
    <row r="2545" customFormat="false" ht="15" hidden="false" customHeight="false" outlineLevel="0" collapsed="false">
      <c r="A2545" s="32"/>
      <c r="B2545" s="19"/>
      <c r="C2545" s="19"/>
      <c r="D2545" s="19"/>
      <c r="E2545" s="21"/>
      <c r="F2545" s="19"/>
      <c r="G2545" s="27" t="str">
        <f aca="false">IF(B2545="","",IFERROR(INDEX(Jeux!$C$2:$C$3001,MATCH(B2545,Jeux!$A$2:$A$3001,0))&amp;"","⚠ jeu inconnu"))</f>
        <v/>
      </c>
      <c r="H2545" s="27" t="str">
        <f aca="false">IF(B2545="","",IFERROR(INDEX(Jeux!$D$2:$D$3001,MATCH(B2545,Jeux!$A$2:$A$3001,0))&amp;"",""))</f>
        <v/>
      </c>
      <c r="I2545" s="26" t="str">
        <f aca="false">IF(A2545="","",COUNTIF(Apparitions!$G$2:$G$5001,A2545))</f>
        <v/>
      </c>
      <c r="J2545" s="26" t="str">
        <f aca="false">IF(A2545="","",COUNTIFS(Apparitions!$G$2:$G$5001,A2545,Apparitions!$E$2:$E$5001,"○"))</f>
        <v/>
      </c>
      <c r="K2545" s="29" t="str">
        <f aca="false">IF(A2545="","",IFERROR(1/(1/_xlfn.MINIFS(Apparitions!$L$2:$L$5001,Apparitions!$G$2:$G$5001,A2545)),""))</f>
        <v/>
      </c>
      <c r="L2545" s="27" t="str">
        <f aca="false">IF(A2545="","",A2545&amp;" | "&amp;B2545&amp;IF(C2545="",""," ("&amp;C2545&amp;")")&amp;IF(D2545="",""," - "&amp;D2545))</f>
        <v/>
      </c>
    </row>
    <row r="2546" customFormat="false" ht="15" hidden="false" customHeight="false" outlineLevel="0" collapsed="false">
      <c r="A2546" s="32"/>
      <c r="B2546" s="19"/>
      <c r="C2546" s="19"/>
      <c r="D2546" s="19"/>
      <c r="E2546" s="21"/>
      <c r="F2546" s="19"/>
      <c r="G2546" s="27" t="str">
        <f aca="false">IF(B2546="","",IFERROR(INDEX(Jeux!$C$2:$C$3001,MATCH(B2546,Jeux!$A$2:$A$3001,0))&amp;"","⚠ jeu inconnu"))</f>
        <v/>
      </c>
      <c r="H2546" s="27" t="str">
        <f aca="false">IF(B2546="","",IFERROR(INDEX(Jeux!$D$2:$D$3001,MATCH(B2546,Jeux!$A$2:$A$3001,0))&amp;"",""))</f>
        <v/>
      </c>
      <c r="I2546" s="26" t="str">
        <f aca="false">IF(A2546="","",COUNTIF(Apparitions!$G$2:$G$5001,A2546))</f>
        <v/>
      </c>
      <c r="J2546" s="26" t="str">
        <f aca="false">IF(A2546="","",COUNTIFS(Apparitions!$G$2:$G$5001,A2546,Apparitions!$E$2:$E$5001,"○"))</f>
        <v/>
      </c>
      <c r="K2546" s="29" t="str">
        <f aca="false">IF(A2546="","",IFERROR(1/(1/_xlfn.MINIFS(Apparitions!$L$2:$L$5001,Apparitions!$G$2:$G$5001,A2546)),""))</f>
        <v/>
      </c>
      <c r="L2546" s="27" t="str">
        <f aca="false">IF(A2546="","",A2546&amp;" | "&amp;B2546&amp;IF(C2546="",""," ("&amp;C2546&amp;")")&amp;IF(D2546="",""," - "&amp;D2546))</f>
        <v/>
      </c>
    </row>
    <row r="2547" customFormat="false" ht="15" hidden="false" customHeight="false" outlineLevel="0" collapsed="false">
      <c r="A2547" s="32"/>
      <c r="B2547" s="19"/>
      <c r="C2547" s="19"/>
      <c r="D2547" s="19"/>
      <c r="E2547" s="21"/>
      <c r="F2547" s="19"/>
      <c r="G2547" s="27" t="str">
        <f aca="false">IF(B2547="","",IFERROR(INDEX(Jeux!$C$2:$C$3001,MATCH(B2547,Jeux!$A$2:$A$3001,0))&amp;"","⚠ jeu inconnu"))</f>
        <v/>
      </c>
      <c r="H2547" s="27" t="str">
        <f aca="false">IF(B2547="","",IFERROR(INDEX(Jeux!$D$2:$D$3001,MATCH(B2547,Jeux!$A$2:$A$3001,0))&amp;"",""))</f>
        <v/>
      </c>
      <c r="I2547" s="26" t="str">
        <f aca="false">IF(A2547="","",COUNTIF(Apparitions!$G$2:$G$5001,A2547))</f>
        <v/>
      </c>
      <c r="J2547" s="26" t="str">
        <f aca="false">IF(A2547="","",COUNTIFS(Apparitions!$G$2:$G$5001,A2547,Apparitions!$E$2:$E$5001,"○"))</f>
        <v/>
      </c>
      <c r="K2547" s="29" t="str">
        <f aca="false">IF(A2547="","",IFERROR(1/(1/_xlfn.MINIFS(Apparitions!$L$2:$L$5001,Apparitions!$G$2:$G$5001,A2547)),""))</f>
        <v/>
      </c>
      <c r="L2547" s="27" t="str">
        <f aca="false">IF(A2547="","",A2547&amp;" | "&amp;B2547&amp;IF(C2547="",""," ("&amp;C2547&amp;")")&amp;IF(D2547="",""," - "&amp;D2547))</f>
        <v/>
      </c>
    </row>
    <row r="2548" customFormat="false" ht="15" hidden="false" customHeight="false" outlineLevel="0" collapsed="false">
      <c r="A2548" s="32"/>
      <c r="B2548" s="19"/>
      <c r="C2548" s="19"/>
      <c r="D2548" s="19"/>
      <c r="E2548" s="21"/>
      <c r="F2548" s="19"/>
      <c r="G2548" s="27" t="str">
        <f aca="false">IF(B2548="","",IFERROR(INDEX(Jeux!$C$2:$C$3001,MATCH(B2548,Jeux!$A$2:$A$3001,0))&amp;"","⚠ jeu inconnu"))</f>
        <v/>
      </c>
      <c r="H2548" s="27" t="str">
        <f aca="false">IF(B2548="","",IFERROR(INDEX(Jeux!$D$2:$D$3001,MATCH(B2548,Jeux!$A$2:$A$3001,0))&amp;"",""))</f>
        <v/>
      </c>
      <c r="I2548" s="26" t="str">
        <f aca="false">IF(A2548="","",COUNTIF(Apparitions!$G$2:$G$5001,A2548))</f>
        <v/>
      </c>
      <c r="J2548" s="26" t="str">
        <f aca="false">IF(A2548="","",COUNTIFS(Apparitions!$G$2:$G$5001,A2548,Apparitions!$E$2:$E$5001,"○"))</f>
        <v/>
      </c>
      <c r="K2548" s="29" t="str">
        <f aca="false">IF(A2548="","",IFERROR(1/(1/_xlfn.MINIFS(Apparitions!$L$2:$L$5001,Apparitions!$G$2:$G$5001,A2548)),""))</f>
        <v/>
      </c>
      <c r="L2548" s="27" t="str">
        <f aca="false">IF(A2548="","",A2548&amp;" | "&amp;B2548&amp;IF(C2548="",""," ("&amp;C2548&amp;")")&amp;IF(D2548="",""," - "&amp;D2548))</f>
        <v/>
      </c>
    </row>
    <row r="2549" customFormat="false" ht="15" hidden="false" customHeight="false" outlineLevel="0" collapsed="false">
      <c r="A2549" s="32"/>
      <c r="B2549" s="19"/>
      <c r="C2549" s="19"/>
      <c r="D2549" s="19"/>
      <c r="E2549" s="21"/>
      <c r="F2549" s="19"/>
      <c r="G2549" s="27" t="str">
        <f aca="false">IF(B2549="","",IFERROR(INDEX(Jeux!$C$2:$C$3001,MATCH(B2549,Jeux!$A$2:$A$3001,0))&amp;"","⚠ jeu inconnu"))</f>
        <v/>
      </c>
      <c r="H2549" s="27" t="str">
        <f aca="false">IF(B2549="","",IFERROR(INDEX(Jeux!$D$2:$D$3001,MATCH(B2549,Jeux!$A$2:$A$3001,0))&amp;"",""))</f>
        <v/>
      </c>
      <c r="I2549" s="26" t="str">
        <f aca="false">IF(A2549="","",COUNTIF(Apparitions!$G$2:$G$5001,A2549))</f>
        <v/>
      </c>
      <c r="J2549" s="26" t="str">
        <f aca="false">IF(A2549="","",COUNTIFS(Apparitions!$G$2:$G$5001,A2549,Apparitions!$E$2:$E$5001,"○"))</f>
        <v/>
      </c>
      <c r="K2549" s="29" t="str">
        <f aca="false">IF(A2549="","",IFERROR(1/(1/_xlfn.MINIFS(Apparitions!$L$2:$L$5001,Apparitions!$G$2:$G$5001,A2549)),""))</f>
        <v/>
      </c>
      <c r="L2549" s="27" t="str">
        <f aca="false">IF(A2549="","",A2549&amp;" | "&amp;B2549&amp;IF(C2549="",""," ("&amp;C2549&amp;")")&amp;IF(D2549="",""," - "&amp;D2549))</f>
        <v/>
      </c>
    </row>
    <row r="2550" customFormat="false" ht="15" hidden="false" customHeight="false" outlineLevel="0" collapsed="false">
      <c r="A2550" s="32"/>
      <c r="B2550" s="19"/>
      <c r="C2550" s="19"/>
      <c r="D2550" s="19"/>
      <c r="E2550" s="21"/>
      <c r="F2550" s="19"/>
      <c r="G2550" s="27" t="str">
        <f aca="false">IF(B2550="","",IFERROR(INDEX(Jeux!$C$2:$C$3001,MATCH(B2550,Jeux!$A$2:$A$3001,0))&amp;"","⚠ jeu inconnu"))</f>
        <v/>
      </c>
      <c r="H2550" s="27" t="str">
        <f aca="false">IF(B2550="","",IFERROR(INDEX(Jeux!$D$2:$D$3001,MATCH(B2550,Jeux!$A$2:$A$3001,0))&amp;"",""))</f>
        <v/>
      </c>
      <c r="I2550" s="26" t="str">
        <f aca="false">IF(A2550="","",COUNTIF(Apparitions!$G$2:$G$5001,A2550))</f>
        <v/>
      </c>
      <c r="J2550" s="26" t="str">
        <f aca="false">IF(A2550="","",COUNTIFS(Apparitions!$G$2:$G$5001,A2550,Apparitions!$E$2:$E$5001,"○"))</f>
        <v/>
      </c>
      <c r="K2550" s="29" t="str">
        <f aca="false">IF(A2550="","",IFERROR(1/(1/_xlfn.MINIFS(Apparitions!$L$2:$L$5001,Apparitions!$G$2:$G$5001,A2550)),""))</f>
        <v/>
      </c>
      <c r="L2550" s="27" t="str">
        <f aca="false">IF(A2550="","",A2550&amp;" | "&amp;B2550&amp;IF(C2550="",""," ("&amp;C2550&amp;")")&amp;IF(D2550="",""," - "&amp;D2550))</f>
        <v/>
      </c>
    </row>
    <row r="2551" customFormat="false" ht="15" hidden="false" customHeight="false" outlineLevel="0" collapsed="false">
      <c r="A2551" s="32"/>
      <c r="B2551" s="19"/>
      <c r="C2551" s="19"/>
      <c r="D2551" s="19"/>
      <c r="E2551" s="21"/>
      <c r="F2551" s="19"/>
      <c r="G2551" s="27" t="str">
        <f aca="false">IF(B2551="","",IFERROR(INDEX(Jeux!$C$2:$C$3001,MATCH(B2551,Jeux!$A$2:$A$3001,0))&amp;"","⚠ jeu inconnu"))</f>
        <v/>
      </c>
      <c r="H2551" s="27" t="str">
        <f aca="false">IF(B2551="","",IFERROR(INDEX(Jeux!$D$2:$D$3001,MATCH(B2551,Jeux!$A$2:$A$3001,0))&amp;"",""))</f>
        <v/>
      </c>
      <c r="I2551" s="26" t="str">
        <f aca="false">IF(A2551="","",COUNTIF(Apparitions!$G$2:$G$5001,A2551))</f>
        <v/>
      </c>
      <c r="J2551" s="26" t="str">
        <f aca="false">IF(A2551="","",COUNTIFS(Apparitions!$G$2:$G$5001,A2551,Apparitions!$E$2:$E$5001,"○"))</f>
        <v/>
      </c>
      <c r="K2551" s="29" t="str">
        <f aca="false">IF(A2551="","",IFERROR(1/(1/_xlfn.MINIFS(Apparitions!$L$2:$L$5001,Apparitions!$G$2:$G$5001,A2551)),""))</f>
        <v/>
      </c>
      <c r="L2551" s="27" t="str">
        <f aca="false">IF(A2551="","",A2551&amp;" | "&amp;B2551&amp;IF(C2551="",""," ("&amp;C2551&amp;")")&amp;IF(D2551="",""," - "&amp;D2551))</f>
        <v/>
      </c>
    </row>
    <row r="2552" customFormat="false" ht="15" hidden="false" customHeight="false" outlineLevel="0" collapsed="false">
      <c r="A2552" s="32"/>
      <c r="B2552" s="19"/>
      <c r="C2552" s="19"/>
      <c r="D2552" s="19"/>
      <c r="E2552" s="21"/>
      <c r="F2552" s="19"/>
      <c r="G2552" s="27" t="str">
        <f aca="false">IF(B2552="","",IFERROR(INDEX(Jeux!$C$2:$C$3001,MATCH(B2552,Jeux!$A$2:$A$3001,0))&amp;"","⚠ jeu inconnu"))</f>
        <v/>
      </c>
      <c r="H2552" s="27" t="str">
        <f aca="false">IF(B2552="","",IFERROR(INDEX(Jeux!$D$2:$D$3001,MATCH(B2552,Jeux!$A$2:$A$3001,0))&amp;"",""))</f>
        <v/>
      </c>
      <c r="I2552" s="26" t="str">
        <f aca="false">IF(A2552="","",COUNTIF(Apparitions!$G$2:$G$5001,A2552))</f>
        <v/>
      </c>
      <c r="J2552" s="26" t="str">
        <f aca="false">IF(A2552="","",COUNTIFS(Apparitions!$G$2:$G$5001,A2552,Apparitions!$E$2:$E$5001,"○"))</f>
        <v/>
      </c>
      <c r="K2552" s="29" t="str">
        <f aca="false">IF(A2552="","",IFERROR(1/(1/_xlfn.MINIFS(Apparitions!$L$2:$L$5001,Apparitions!$G$2:$G$5001,A2552)),""))</f>
        <v/>
      </c>
      <c r="L2552" s="27" t="str">
        <f aca="false">IF(A2552="","",A2552&amp;" | "&amp;B2552&amp;IF(C2552="",""," ("&amp;C2552&amp;")")&amp;IF(D2552="",""," - "&amp;D2552))</f>
        <v/>
      </c>
    </row>
    <row r="2553" customFormat="false" ht="15" hidden="false" customHeight="false" outlineLevel="0" collapsed="false">
      <c r="A2553" s="32"/>
      <c r="B2553" s="19"/>
      <c r="C2553" s="19"/>
      <c r="D2553" s="19"/>
      <c r="E2553" s="21"/>
      <c r="F2553" s="19"/>
      <c r="G2553" s="27" t="str">
        <f aca="false">IF(B2553="","",IFERROR(INDEX(Jeux!$C$2:$C$3001,MATCH(B2553,Jeux!$A$2:$A$3001,0))&amp;"","⚠ jeu inconnu"))</f>
        <v/>
      </c>
      <c r="H2553" s="27" t="str">
        <f aca="false">IF(B2553="","",IFERROR(INDEX(Jeux!$D$2:$D$3001,MATCH(B2553,Jeux!$A$2:$A$3001,0))&amp;"",""))</f>
        <v/>
      </c>
      <c r="I2553" s="26" t="str">
        <f aca="false">IF(A2553="","",COUNTIF(Apparitions!$G$2:$G$5001,A2553))</f>
        <v/>
      </c>
      <c r="J2553" s="26" t="str">
        <f aca="false">IF(A2553="","",COUNTIFS(Apparitions!$G$2:$G$5001,A2553,Apparitions!$E$2:$E$5001,"○"))</f>
        <v/>
      </c>
      <c r="K2553" s="29" t="str">
        <f aca="false">IF(A2553="","",IFERROR(1/(1/_xlfn.MINIFS(Apparitions!$L$2:$L$5001,Apparitions!$G$2:$G$5001,A2553)),""))</f>
        <v/>
      </c>
      <c r="L2553" s="27" t="str">
        <f aca="false">IF(A2553="","",A2553&amp;" | "&amp;B2553&amp;IF(C2553="",""," ("&amp;C2553&amp;")")&amp;IF(D2553="",""," - "&amp;D2553))</f>
        <v/>
      </c>
    </row>
    <row r="2554" customFormat="false" ht="15" hidden="false" customHeight="false" outlineLevel="0" collapsed="false">
      <c r="A2554" s="32"/>
      <c r="B2554" s="19"/>
      <c r="C2554" s="19"/>
      <c r="D2554" s="19"/>
      <c r="E2554" s="21"/>
      <c r="F2554" s="19"/>
      <c r="G2554" s="27" t="str">
        <f aca="false">IF(B2554="","",IFERROR(INDEX(Jeux!$C$2:$C$3001,MATCH(B2554,Jeux!$A$2:$A$3001,0))&amp;"","⚠ jeu inconnu"))</f>
        <v/>
      </c>
      <c r="H2554" s="27" t="str">
        <f aca="false">IF(B2554="","",IFERROR(INDEX(Jeux!$D$2:$D$3001,MATCH(B2554,Jeux!$A$2:$A$3001,0))&amp;"",""))</f>
        <v/>
      </c>
      <c r="I2554" s="26" t="str">
        <f aca="false">IF(A2554="","",COUNTIF(Apparitions!$G$2:$G$5001,A2554))</f>
        <v/>
      </c>
      <c r="J2554" s="26" t="str">
        <f aca="false">IF(A2554="","",COUNTIFS(Apparitions!$G$2:$G$5001,A2554,Apparitions!$E$2:$E$5001,"○"))</f>
        <v/>
      </c>
      <c r="K2554" s="29" t="str">
        <f aca="false">IF(A2554="","",IFERROR(1/(1/_xlfn.MINIFS(Apparitions!$L$2:$L$5001,Apparitions!$G$2:$G$5001,A2554)),""))</f>
        <v/>
      </c>
      <c r="L2554" s="27" t="str">
        <f aca="false">IF(A2554="","",A2554&amp;" | "&amp;B2554&amp;IF(C2554="",""," ("&amp;C2554&amp;")")&amp;IF(D2554="",""," - "&amp;D2554))</f>
        <v/>
      </c>
    </row>
    <row r="2555" customFormat="false" ht="15" hidden="false" customHeight="false" outlineLevel="0" collapsed="false">
      <c r="A2555" s="32"/>
      <c r="B2555" s="19"/>
      <c r="C2555" s="19"/>
      <c r="D2555" s="19"/>
      <c r="E2555" s="21"/>
      <c r="F2555" s="19"/>
      <c r="G2555" s="27" t="str">
        <f aca="false">IF(B2555="","",IFERROR(INDEX(Jeux!$C$2:$C$3001,MATCH(B2555,Jeux!$A$2:$A$3001,0))&amp;"","⚠ jeu inconnu"))</f>
        <v/>
      </c>
      <c r="H2555" s="27" t="str">
        <f aca="false">IF(B2555="","",IFERROR(INDEX(Jeux!$D$2:$D$3001,MATCH(B2555,Jeux!$A$2:$A$3001,0))&amp;"",""))</f>
        <v/>
      </c>
      <c r="I2555" s="26" t="str">
        <f aca="false">IF(A2555="","",COUNTIF(Apparitions!$G$2:$G$5001,A2555))</f>
        <v/>
      </c>
      <c r="J2555" s="26" t="str">
        <f aca="false">IF(A2555="","",COUNTIFS(Apparitions!$G$2:$G$5001,A2555,Apparitions!$E$2:$E$5001,"○"))</f>
        <v/>
      </c>
      <c r="K2555" s="29" t="str">
        <f aca="false">IF(A2555="","",IFERROR(1/(1/_xlfn.MINIFS(Apparitions!$L$2:$L$5001,Apparitions!$G$2:$G$5001,A2555)),""))</f>
        <v/>
      </c>
      <c r="L2555" s="27" t="str">
        <f aca="false">IF(A2555="","",A2555&amp;" | "&amp;B2555&amp;IF(C2555="",""," ("&amp;C2555&amp;")")&amp;IF(D2555="",""," - "&amp;D2555))</f>
        <v/>
      </c>
    </row>
    <row r="2556" customFormat="false" ht="15" hidden="false" customHeight="false" outlineLevel="0" collapsed="false">
      <c r="A2556" s="32"/>
      <c r="B2556" s="19"/>
      <c r="C2556" s="19"/>
      <c r="D2556" s="19"/>
      <c r="E2556" s="21"/>
      <c r="F2556" s="19"/>
      <c r="G2556" s="27" t="str">
        <f aca="false">IF(B2556="","",IFERROR(INDEX(Jeux!$C$2:$C$3001,MATCH(B2556,Jeux!$A$2:$A$3001,0))&amp;"","⚠ jeu inconnu"))</f>
        <v/>
      </c>
      <c r="H2556" s="27" t="str">
        <f aca="false">IF(B2556="","",IFERROR(INDEX(Jeux!$D$2:$D$3001,MATCH(B2556,Jeux!$A$2:$A$3001,0))&amp;"",""))</f>
        <v/>
      </c>
      <c r="I2556" s="26" t="str">
        <f aca="false">IF(A2556="","",COUNTIF(Apparitions!$G$2:$G$5001,A2556))</f>
        <v/>
      </c>
      <c r="J2556" s="26" t="str">
        <f aca="false">IF(A2556="","",COUNTIFS(Apparitions!$G$2:$G$5001,A2556,Apparitions!$E$2:$E$5001,"○"))</f>
        <v/>
      </c>
      <c r="K2556" s="29" t="str">
        <f aca="false">IF(A2556="","",IFERROR(1/(1/_xlfn.MINIFS(Apparitions!$L$2:$L$5001,Apparitions!$G$2:$G$5001,A2556)),""))</f>
        <v/>
      </c>
      <c r="L2556" s="27" t="str">
        <f aca="false">IF(A2556="","",A2556&amp;" | "&amp;B2556&amp;IF(C2556="",""," ("&amp;C2556&amp;")")&amp;IF(D2556="",""," - "&amp;D2556))</f>
        <v/>
      </c>
    </row>
    <row r="2557" customFormat="false" ht="15" hidden="false" customHeight="false" outlineLevel="0" collapsed="false">
      <c r="A2557" s="32"/>
      <c r="B2557" s="19"/>
      <c r="C2557" s="19"/>
      <c r="D2557" s="19"/>
      <c r="E2557" s="21"/>
      <c r="F2557" s="19"/>
      <c r="G2557" s="27" t="str">
        <f aca="false">IF(B2557="","",IFERROR(INDEX(Jeux!$C$2:$C$3001,MATCH(B2557,Jeux!$A$2:$A$3001,0))&amp;"","⚠ jeu inconnu"))</f>
        <v/>
      </c>
      <c r="H2557" s="27" t="str">
        <f aca="false">IF(B2557="","",IFERROR(INDEX(Jeux!$D$2:$D$3001,MATCH(B2557,Jeux!$A$2:$A$3001,0))&amp;"",""))</f>
        <v/>
      </c>
      <c r="I2557" s="26" t="str">
        <f aca="false">IF(A2557="","",COUNTIF(Apparitions!$G$2:$G$5001,A2557))</f>
        <v/>
      </c>
      <c r="J2557" s="26" t="str">
        <f aca="false">IF(A2557="","",COUNTIFS(Apparitions!$G$2:$G$5001,A2557,Apparitions!$E$2:$E$5001,"○"))</f>
        <v/>
      </c>
      <c r="K2557" s="29" t="str">
        <f aca="false">IF(A2557="","",IFERROR(1/(1/_xlfn.MINIFS(Apparitions!$L$2:$L$5001,Apparitions!$G$2:$G$5001,A2557)),""))</f>
        <v/>
      </c>
      <c r="L2557" s="27" t="str">
        <f aca="false">IF(A2557="","",A2557&amp;" | "&amp;B2557&amp;IF(C2557="",""," ("&amp;C2557&amp;")")&amp;IF(D2557="",""," - "&amp;D2557))</f>
        <v/>
      </c>
    </row>
    <row r="2558" customFormat="false" ht="15" hidden="false" customHeight="false" outlineLevel="0" collapsed="false">
      <c r="A2558" s="32"/>
      <c r="B2558" s="19"/>
      <c r="C2558" s="19"/>
      <c r="D2558" s="19"/>
      <c r="E2558" s="21"/>
      <c r="F2558" s="19"/>
      <c r="G2558" s="27" t="str">
        <f aca="false">IF(B2558="","",IFERROR(INDEX(Jeux!$C$2:$C$3001,MATCH(B2558,Jeux!$A$2:$A$3001,0))&amp;"","⚠ jeu inconnu"))</f>
        <v/>
      </c>
      <c r="H2558" s="27" t="str">
        <f aca="false">IF(B2558="","",IFERROR(INDEX(Jeux!$D$2:$D$3001,MATCH(B2558,Jeux!$A$2:$A$3001,0))&amp;"",""))</f>
        <v/>
      </c>
      <c r="I2558" s="26" t="str">
        <f aca="false">IF(A2558="","",COUNTIF(Apparitions!$G$2:$G$5001,A2558))</f>
        <v/>
      </c>
      <c r="J2558" s="26" t="str">
        <f aca="false">IF(A2558="","",COUNTIFS(Apparitions!$G$2:$G$5001,A2558,Apparitions!$E$2:$E$5001,"○"))</f>
        <v/>
      </c>
      <c r="K2558" s="29" t="str">
        <f aca="false">IF(A2558="","",IFERROR(1/(1/_xlfn.MINIFS(Apparitions!$L$2:$L$5001,Apparitions!$G$2:$G$5001,A2558)),""))</f>
        <v/>
      </c>
      <c r="L2558" s="27" t="str">
        <f aca="false">IF(A2558="","",A2558&amp;" | "&amp;B2558&amp;IF(C2558="",""," ("&amp;C2558&amp;")")&amp;IF(D2558="",""," - "&amp;D2558))</f>
        <v/>
      </c>
    </row>
    <row r="2559" customFormat="false" ht="15" hidden="false" customHeight="false" outlineLevel="0" collapsed="false">
      <c r="A2559" s="32"/>
      <c r="B2559" s="19"/>
      <c r="C2559" s="19"/>
      <c r="D2559" s="19"/>
      <c r="E2559" s="21"/>
      <c r="F2559" s="19"/>
      <c r="G2559" s="27" t="str">
        <f aca="false">IF(B2559="","",IFERROR(INDEX(Jeux!$C$2:$C$3001,MATCH(B2559,Jeux!$A$2:$A$3001,0))&amp;"","⚠ jeu inconnu"))</f>
        <v/>
      </c>
      <c r="H2559" s="27" t="str">
        <f aca="false">IF(B2559="","",IFERROR(INDEX(Jeux!$D$2:$D$3001,MATCH(B2559,Jeux!$A$2:$A$3001,0))&amp;"",""))</f>
        <v/>
      </c>
      <c r="I2559" s="26" t="str">
        <f aca="false">IF(A2559="","",COUNTIF(Apparitions!$G$2:$G$5001,A2559))</f>
        <v/>
      </c>
      <c r="J2559" s="26" t="str">
        <f aca="false">IF(A2559="","",COUNTIFS(Apparitions!$G$2:$G$5001,A2559,Apparitions!$E$2:$E$5001,"○"))</f>
        <v/>
      </c>
      <c r="K2559" s="29" t="str">
        <f aca="false">IF(A2559="","",IFERROR(1/(1/_xlfn.MINIFS(Apparitions!$L$2:$L$5001,Apparitions!$G$2:$G$5001,A2559)),""))</f>
        <v/>
      </c>
      <c r="L2559" s="27" t="str">
        <f aca="false">IF(A2559="","",A2559&amp;" | "&amp;B2559&amp;IF(C2559="",""," ("&amp;C2559&amp;")")&amp;IF(D2559="",""," - "&amp;D2559))</f>
        <v/>
      </c>
    </row>
    <row r="2560" customFormat="false" ht="15" hidden="false" customHeight="false" outlineLevel="0" collapsed="false">
      <c r="A2560" s="32"/>
      <c r="B2560" s="19"/>
      <c r="C2560" s="19"/>
      <c r="D2560" s="19"/>
      <c r="E2560" s="21"/>
      <c r="F2560" s="19"/>
      <c r="G2560" s="27" t="str">
        <f aca="false">IF(B2560="","",IFERROR(INDEX(Jeux!$C$2:$C$3001,MATCH(B2560,Jeux!$A$2:$A$3001,0))&amp;"","⚠ jeu inconnu"))</f>
        <v/>
      </c>
      <c r="H2560" s="27" t="str">
        <f aca="false">IF(B2560="","",IFERROR(INDEX(Jeux!$D$2:$D$3001,MATCH(B2560,Jeux!$A$2:$A$3001,0))&amp;"",""))</f>
        <v/>
      </c>
      <c r="I2560" s="26" t="str">
        <f aca="false">IF(A2560="","",COUNTIF(Apparitions!$G$2:$G$5001,A2560))</f>
        <v/>
      </c>
      <c r="J2560" s="26" t="str">
        <f aca="false">IF(A2560="","",COUNTIFS(Apparitions!$G$2:$G$5001,A2560,Apparitions!$E$2:$E$5001,"○"))</f>
        <v/>
      </c>
      <c r="K2560" s="29" t="str">
        <f aca="false">IF(A2560="","",IFERROR(1/(1/_xlfn.MINIFS(Apparitions!$L$2:$L$5001,Apparitions!$G$2:$G$5001,A2560)),""))</f>
        <v/>
      </c>
      <c r="L2560" s="27" t="str">
        <f aca="false">IF(A2560="","",A2560&amp;" | "&amp;B2560&amp;IF(C2560="",""," ("&amp;C2560&amp;")")&amp;IF(D2560="",""," - "&amp;D2560))</f>
        <v/>
      </c>
    </row>
    <row r="2561" customFormat="false" ht="15" hidden="false" customHeight="false" outlineLevel="0" collapsed="false">
      <c r="A2561" s="32"/>
      <c r="B2561" s="19"/>
      <c r="C2561" s="19"/>
      <c r="D2561" s="19"/>
      <c r="E2561" s="21"/>
      <c r="F2561" s="19"/>
      <c r="G2561" s="27" t="str">
        <f aca="false">IF(B2561="","",IFERROR(INDEX(Jeux!$C$2:$C$3001,MATCH(B2561,Jeux!$A$2:$A$3001,0))&amp;"","⚠ jeu inconnu"))</f>
        <v/>
      </c>
      <c r="H2561" s="27" t="str">
        <f aca="false">IF(B2561="","",IFERROR(INDEX(Jeux!$D$2:$D$3001,MATCH(B2561,Jeux!$A$2:$A$3001,0))&amp;"",""))</f>
        <v/>
      </c>
      <c r="I2561" s="26" t="str">
        <f aca="false">IF(A2561="","",COUNTIF(Apparitions!$G$2:$G$5001,A2561))</f>
        <v/>
      </c>
      <c r="J2561" s="26" t="str">
        <f aca="false">IF(A2561="","",COUNTIFS(Apparitions!$G$2:$G$5001,A2561,Apparitions!$E$2:$E$5001,"○"))</f>
        <v/>
      </c>
      <c r="K2561" s="29" t="str">
        <f aca="false">IF(A2561="","",IFERROR(1/(1/_xlfn.MINIFS(Apparitions!$L$2:$L$5001,Apparitions!$G$2:$G$5001,A2561)),""))</f>
        <v/>
      </c>
      <c r="L2561" s="27" t="str">
        <f aca="false">IF(A2561="","",A2561&amp;" | "&amp;B2561&amp;IF(C2561="",""," ("&amp;C2561&amp;")")&amp;IF(D2561="",""," - "&amp;D2561))</f>
        <v/>
      </c>
    </row>
    <row r="2562" customFormat="false" ht="15" hidden="false" customHeight="false" outlineLevel="0" collapsed="false">
      <c r="A2562" s="32"/>
      <c r="B2562" s="19"/>
      <c r="C2562" s="19"/>
      <c r="D2562" s="19"/>
      <c r="E2562" s="21"/>
      <c r="F2562" s="19"/>
      <c r="G2562" s="27" t="str">
        <f aca="false">IF(B2562="","",IFERROR(INDEX(Jeux!$C$2:$C$3001,MATCH(B2562,Jeux!$A$2:$A$3001,0))&amp;"","⚠ jeu inconnu"))</f>
        <v/>
      </c>
      <c r="H2562" s="27" t="str">
        <f aca="false">IF(B2562="","",IFERROR(INDEX(Jeux!$D$2:$D$3001,MATCH(B2562,Jeux!$A$2:$A$3001,0))&amp;"",""))</f>
        <v/>
      </c>
      <c r="I2562" s="26" t="str">
        <f aca="false">IF(A2562="","",COUNTIF(Apparitions!$G$2:$G$5001,A2562))</f>
        <v/>
      </c>
      <c r="J2562" s="26" t="str">
        <f aca="false">IF(A2562="","",COUNTIFS(Apparitions!$G$2:$G$5001,A2562,Apparitions!$E$2:$E$5001,"○"))</f>
        <v/>
      </c>
      <c r="K2562" s="29" t="str">
        <f aca="false">IF(A2562="","",IFERROR(1/(1/_xlfn.MINIFS(Apparitions!$L$2:$L$5001,Apparitions!$G$2:$G$5001,A2562)),""))</f>
        <v/>
      </c>
      <c r="L2562" s="27" t="str">
        <f aca="false">IF(A2562="","",A2562&amp;" | "&amp;B2562&amp;IF(C2562="",""," ("&amp;C2562&amp;")")&amp;IF(D2562="",""," - "&amp;D2562))</f>
        <v/>
      </c>
    </row>
    <row r="2563" customFormat="false" ht="15" hidden="false" customHeight="false" outlineLevel="0" collapsed="false">
      <c r="A2563" s="32"/>
      <c r="B2563" s="19"/>
      <c r="C2563" s="19"/>
      <c r="D2563" s="19"/>
      <c r="E2563" s="21"/>
      <c r="F2563" s="19"/>
      <c r="G2563" s="27" t="str">
        <f aca="false">IF(B2563="","",IFERROR(INDEX(Jeux!$C$2:$C$3001,MATCH(B2563,Jeux!$A$2:$A$3001,0))&amp;"","⚠ jeu inconnu"))</f>
        <v/>
      </c>
      <c r="H2563" s="27" t="str">
        <f aca="false">IF(B2563="","",IFERROR(INDEX(Jeux!$D$2:$D$3001,MATCH(B2563,Jeux!$A$2:$A$3001,0))&amp;"",""))</f>
        <v/>
      </c>
      <c r="I2563" s="26" t="str">
        <f aca="false">IF(A2563="","",COUNTIF(Apparitions!$G$2:$G$5001,A2563))</f>
        <v/>
      </c>
      <c r="J2563" s="26" t="str">
        <f aca="false">IF(A2563="","",COUNTIFS(Apparitions!$G$2:$G$5001,A2563,Apparitions!$E$2:$E$5001,"○"))</f>
        <v/>
      </c>
      <c r="K2563" s="29" t="str">
        <f aca="false">IF(A2563="","",IFERROR(1/(1/_xlfn.MINIFS(Apparitions!$L$2:$L$5001,Apparitions!$G$2:$G$5001,A2563)),""))</f>
        <v/>
      </c>
      <c r="L2563" s="27" t="str">
        <f aca="false">IF(A2563="","",A2563&amp;" | "&amp;B2563&amp;IF(C2563="",""," ("&amp;C2563&amp;")")&amp;IF(D2563="",""," - "&amp;D2563))</f>
        <v/>
      </c>
    </row>
    <row r="2564" customFormat="false" ht="15" hidden="false" customHeight="false" outlineLevel="0" collapsed="false">
      <c r="A2564" s="32"/>
      <c r="B2564" s="19"/>
      <c r="C2564" s="19"/>
      <c r="D2564" s="19"/>
      <c r="E2564" s="21"/>
      <c r="F2564" s="19"/>
      <c r="G2564" s="27" t="str">
        <f aca="false">IF(B2564="","",IFERROR(INDEX(Jeux!$C$2:$C$3001,MATCH(B2564,Jeux!$A$2:$A$3001,0))&amp;"","⚠ jeu inconnu"))</f>
        <v/>
      </c>
      <c r="H2564" s="27" t="str">
        <f aca="false">IF(B2564="","",IFERROR(INDEX(Jeux!$D$2:$D$3001,MATCH(B2564,Jeux!$A$2:$A$3001,0))&amp;"",""))</f>
        <v/>
      </c>
      <c r="I2564" s="26" t="str">
        <f aca="false">IF(A2564="","",COUNTIF(Apparitions!$G$2:$G$5001,A2564))</f>
        <v/>
      </c>
      <c r="J2564" s="26" t="str">
        <f aca="false">IF(A2564="","",COUNTIFS(Apparitions!$G$2:$G$5001,A2564,Apparitions!$E$2:$E$5001,"○"))</f>
        <v/>
      </c>
      <c r="K2564" s="29" t="str">
        <f aca="false">IF(A2564="","",IFERROR(1/(1/_xlfn.MINIFS(Apparitions!$L$2:$L$5001,Apparitions!$G$2:$G$5001,A2564)),""))</f>
        <v/>
      </c>
      <c r="L2564" s="27" t="str">
        <f aca="false">IF(A2564="","",A2564&amp;" | "&amp;B2564&amp;IF(C2564="",""," ("&amp;C2564&amp;")")&amp;IF(D2564="",""," - "&amp;D2564))</f>
        <v/>
      </c>
    </row>
    <row r="2565" customFormat="false" ht="15" hidden="false" customHeight="false" outlineLevel="0" collapsed="false">
      <c r="A2565" s="32"/>
      <c r="B2565" s="19"/>
      <c r="C2565" s="19"/>
      <c r="D2565" s="19"/>
      <c r="E2565" s="21"/>
      <c r="F2565" s="19"/>
      <c r="G2565" s="27" t="str">
        <f aca="false">IF(B2565="","",IFERROR(INDEX(Jeux!$C$2:$C$3001,MATCH(B2565,Jeux!$A$2:$A$3001,0))&amp;"","⚠ jeu inconnu"))</f>
        <v/>
      </c>
      <c r="H2565" s="27" t="str">
        <f aca="false">IF(B2565="","",IFERROR(INDEX(Jeux!$D$2:$D$3001,MATCH(B2565,Jeux!$A$2:$A$3001,0))&amp;"",""))</f>
        <v/>
      </c>
      <c r="I2565" s="26" t="str">
        <f aca="false">IF(A2565="","",COUNTIF(Apparitions!$G$2:$G$5001,A2565))</f>
        <v/>
      </c>
      <c r="J2565" s="26" t="str">
        <f aca="false">IF(A2565="","",COUNTIFS(Apparitions!$G$2:$G$5001,A2565,Apparitions!$E$2:$E$5001,"○"))</f>
        <v/>
      </c>
      <c r="K2565" s="29" t="str">
        <f aca="false">IF(A2565="","",IFERROR(1/(1/_xlfn.MINIFS(Apparitions!$L$2:$L$5001,Apparitions!$G$2:$G$5001,A2565)),""))</f>
        <v/>
      </c>
      <c r="L2565" s="27" t="str">
        <f aca="false">IF(A2565="","",A2565&amp;" | "&amp;B2565&amp;IF(C2565="",""," ("&amp;C2565&amp;")")&amp;IF(D2565="",""," - "&amp;D2565))</f>
        <v/>
      </c>
    </row>
    <row r="2566" customFormat="false" ht="15" hidden="false" customHeight="false" outlineLevel="0" collapsed="false">
      <c r="A2566" s="32"/>
      <c r="B2566" s="19"/>
      <c r="C2566" s="19"/>
      <c r="D2566" s="19"/>
      <c r="E2566" s="21"/>
      <c r="F2566" s="19"/>
      <c r="G2566" s="27" t="str">
        <f aca="false">IF(B2566="","",IFERROR(INDEX(Jeux!$C$2:$C$3001,MATCH(B2566,Jeux!$A$2:$A$3001,0))&amp;"","⚠ jeu inconnu"))</f>
        <v/>
      </c>
      <c r="H2566" s="27" t="str">
        <f aca="false">IF(B2566="","",IFERROR(INDEX(Jeux!$D$2:$D$3001,MATCH(B2566,Jeux!$A$2:$A$3001,0))&amp;"",""))</f>
        <v/>
      </c>
      <c r="I2566" s="26" t="str">
        <f aca="false">IF(A2566="","",COUNTIF(Apparitions!$G$2:$G$5001,A2566))</f>
        <v/>
      </c>
      <c r="J2566" s="26" t="str">
        <f aca="false">IF(A2566="","",COUNTIFS(Apparitions!$G$2:$G$5001,A2566,Apparitions!$E$2:$E$5001,"○"))</f>
        <v/>
      </c>
      <c r="K2566" s="29" t="str">
        <f aca="false">IF(A2566="","",IFERROR(1/(1/_xlfn.MINIFS(Apparitions!$L$2:$L$5001,Apparitions!$G$2:$G$5001,A2566)),""))</f>
        <v/>
      </c>
      <c r="L2566" s="27" t="str">
        <f aca="false">IF(A2566="","",A2566&amp;" | "&amp;B2566&amp;IF(C2566="",""," ("&amp;C2566&amp;")")&amp;IF(D2566="",""," - "&amp;D2566))</f>
        <v/>
      </c>
    </row>
    <row r="2567" customFormat="false" ht="15" hidden="false" customHeight="false" outlineLevel="0" collapsed="false">
      <c r="A2567" s="32"/>
      <c r="B2567" s="19"/>
      <c r="C2567" s="19"/>
      <c r="D2567" s="19"/>
      <c r="E2567" s="21"/>
      <c r="F2567" s="19"/>
      <c r="G2567" s="27" t="str">
        <f aca="false">IF(B2567="","",IFERROR(INDEX(Jeux!$C$2:$C$3001,MATCH(B2567,Jeux!$A$2:$A$3001,0))&amp;"","⚠ jeu inconnu"))</f>
        <v/>
      </c>
      <c r="H2567" s="27" t="str">
        <f aca="false">IF(B2567="","",IFERROR(INDEX(Jeux!$D$2:$D$3001,MATCH(B2567,Jeux!$A$2:$A$3001,0))&amp;"",""))</f>
        <v/>
      </c>
      <c r="I2567" s="26" t="str">
        <f aca="false">IF(A2567="","",COUNTIF(Apparitions!$G$2:$G$5001,A2567))</f>
        <v/>
      </c>
      <c r="J2567" s="26" t="str">
        <f aca="false">IF(A2567="","",COUNTIFS(Apparitions!$G$2:$G$5001,A2567,Apparitions!$E$2:$E$5001,"○"))</f>
        <v/>
      </c>
      <c r="K2567" s="29" t="str">
        <f aca="false">IF(A2567="","",IFERROR(1/(1/_xlfn.MINIFS(Apparitions!$L$2:$L$5001,Apparitions!$G$2:$G$5001,A2567)),""))</f>
        <v/>
      </c>
      <c r="L2567" s="27" t="str">
        <f aca="false">IF(A2567="","",A2567&amp;" | "&amp;B2567&amp;IF(C2567="",""," ("&amp;C2567&amp;")")&amp;IF(D2567="",""," - "&amp;D2567))</f>
        <v/>
      </c>
    </row>
    <row r="2568" customFormat="false" ht="15" hidden="false" customHeight="false" outlineLevel="0" collapsed="false">
      <c r="A2568" s="32"/>
      <c r="B2568" s="19"/>
      <c r="C2568" s="19"/>
      <c r="D2568" s="19"/>
      <c r="E2568" s="21"/>
      <c r="F2568" s="19"/>
      <c r="G2568" s="27" t="str">
        <f aca="false">IF(B2568="","",IFERROR(INDEX(Jeux!$C$2:$C$3001,MATCH(B2568,Jeux!$A$2:$A$3001,0))&amp;"","⚠ jeu inconnu"))</f>
        <v/>
      </c>
      <c r="H2568" s="27" t="str">
        <f aca="false">IF(B2568="","",IFERROR(INDEX(Jeux!$D$2:$D$3001,MATCH(B2568,Jeux!$A$2:$A$3001,0))&amp;"",""))</f>
        <v/>
      </c>
      <c r="I2568" s="26" t="str">
        <f aca="false">IF(A2568="","",COUNTIF(Apparitions!$G$2:$G$5001,A2568))</f>
        <v/>
      </c>
      <c r="J2568" s="26" t="str">
        <f aca="false">IF(A2568="","",COUNTIFS(Apparitions!$G$2:$G$5001,A2568,Apparitions!$E$2:$E$5001,"○"))</f>
        <v/>
      </c>
      <c r="K2568" s="29" t="str">
        <f aca="false">IF(A2568="","",IFERROR(1/(1/_xlfn.MINIFS(Apparitions!$L$2:$L$5001,Apparitions!$G$2:$G$5001,A2568)),""))</f>
        <v/>
      </c>
      <c r="L2568" s="27" t="str">
        <f aca="false">IF(A2568="","",A2568&amp;" | "&amp;B2568&amp;IF(C2568="",""," ("&amp;C2568&amp;")")&amp;IF(D2568="",""," - "&amp;D2568))</f>
        <v/>
      </c>
    </row>
    <row r="2569" customFormat="false" ht="15" hidden="false" customHeight="false" outlineLevel="0" collapsed="false">
      <c r="A2569" s="32"/>
      <c r="B2569" s="19"/>
      <c r="C2569" s="19"/>
      <c r="D2569" s="19"/>
      <c r="E2569" s="21"/>
      <c r="F2569" s="19"/>
      <c r="G2569" s="27" t="str">
        <f aca="false">IF(B2569="","",IFERROR(INDEX(Jeux!$C$2:$C$3001,MATCH(B2569,Jeux!$A$2:$A$3001,0))&amp;"","⚠ jeu inconnu"))</f>
        <v/>
      </c>
      <c r="H2569" s="27" t="str">
        <f aca="false">IF(B2569="","",IFERROR(INDEX(Jeux!$D$2:$D$3001,MATCH(B2569,Jeux!$A$2:$A$3001,0))&amp;"",""))</f>
        <v/>
      </c>
      <c r="I2569" s="26" t="str">
        <f aca="false">IF(A2569="","",COUNTIF(Apparitions!$G$2:$G$5001,A2569))</f>
        <v/>
      </c>
      <c r="J2569" s="26" t="str">
        <f aca="false">IF(A2569="","",COUNTIFS(Apparitions!$G$2:$G$5001,A2569,Apparitions!$E$2:$E$5001,"○"))</f>
        <v/>
      </c>
      <c r="K2569" s="29" t="str">
        <f aca="false">IF(A2569="","",IFERROR(1/(1/_xlfn.MINIFS(Apparitions!$L$2:$L$5001,Apparitions!$G$2:$G$5001,A2569)),""))</f>
        <v/>
      </c>
      <c r="L2569" s="27" t="str">
        <f aca="false">IF(A2569="","",A2569&amp;" | "&amp;B2569&amp;IF(C2569="",""," ("&amp;C2569&amp;")")&amp;IF(D2569="",""," - "&amp;D2569))</f>
        <v/>
      </c>
    </row>
    <row r="2570" customFormat="false" ht="15" hidden="false" customHeight="false" outlineLevel="0" collapsed="false">
      <c r="A2570" s="32"/>
      <c r="B2570" s="19"/>
      <c r="C2570" s="19"/>
      <c r="D2570" s="19"/>
      <c r="E2570" s="21"/>
      <c r="F2570" s="19"/>
      <c r="G2570" s="27" t="str">
        <f aca="false">IF(B2570="","",IFERROR(INDEX(Jeux!$C$2:$C$3001,MATCH(B2570,Jeux!$A$2:$A$3001,0))&amp;"","⚠ jeu inconnu"))</f>
        <v/>
      </c>
      <c r="H2570" s="27" t="str">
        <f aca="false">IF(B2570="","",IFERROR(INDEX(Jeux!$D$2:$D$3001,MATCH(B2570,Jeux!$A$2:$A$3001,0))&amp;"",""))</f>
        <v/>
      </c>
      <c r="I2570" s="26" t="str">
        <f aca="false">IF(A2570="","",COUNTIF(Apparitions!$G$2:$G$5001,A2570))</f>
        <v/>
      </c>
      <c r="J2570" s="26" t="str">
        <f aca="false">IF(A2570="","",COUNTIFS(Apparitions!$G$2:$G$5001,A2570,Apparitions!$E$2:$E$5001,"○"))</f>
        <v/>
      </c>
      <c r="K2570" s="29" t="str">
        <f aca="false">IF(A2570="","",IFERROR(1/(1/_xlfn.MINIFS(Apparitions!$L$2:$L$5001,Apparitions!$G$2:$G$5001,A2570)),""))</f>
        <v/>
      </c>
      <c r="L2570" s="27" t="str">
        <f aca="false">IF(A2570="","",A2570&amp;" | "&amp;B2570&amp;IF(C2570="",""," ("&amp;C2570&amp;")")&amp;IF(D2570="",""," - "&amp;D2570))</f>
        <v/>
      </c>
    </row>
    <row r="2571" customFormat="false" ht="15" hidden="false" customHeight="false" outlineLevel="0" collapsed="false">
      <c r="A2571" s="32"/>
      <c r="B2571" s="19"/>
      <c r="C2571" s="19"/>
      <c r="D2571" s="19"/>
      <c r="E2571" s="21"/>
      <c r="F2571" s="19"/>
      <c r="G2571" s="27" t="str">
        <f aca="false">IF(B2571="","",IFERROR(INDEX(Jeux!$C$2:$C$3001,MATCH(B2571,Jeux!$A$2:$A$3001,0))&amp;"","⚠ jeu inconnu"))</f>
        <v/>
      </c>
      <c r="H2571" s="27" t="str">
        <f aca="false">IF(B2571="","",IFERROR(INDEX(Jeux!$D$2:$D$3001,MATCH(B2571,Jeux!$A$2:$A$3001,0))&amp;"",""))</f>
        <v/>
      </c>
      <c r="I2571" s="26" t="str">
        <f aca="false">IF(A2571="","",COUNTIF(Apparitions!$G$2:$G$5001,A2571))</f>
        <v/>
      </c>
      <c r="J2571" s="26" t="str">
        <f aca="false">IF(A2571="","",COUNTIFS(Apparitions!$G$2:$G$5001,A2571,Apparitions!$E$2:$E$5001,"○"))</f>
        <v/>
      </c>
      <c r="K2571" s="29" t="str">
        <f aca="false">IF(A2571="","",IFERROR(1/(1/_xlfn.MINIFS(Apparitions!$L$2:$L$5001,Apparitions!$G$2:$G$5001,A2571)),""))</f>
        <v/>
      </c>
      <c r="L2571" s="27" t="str">
        <f aca="false">IF(A2571="","",A2571&amp;" | "&amp;B2571&amp;IF(C2571="",""," ("&amp;C2571&amp;")")&amp;IF(D2571="",""," - "&amp;D2571))</f>
        <v/>
      </c>
    </row>
    <row r="2572" customFormat="false" ht="15" hidden="false" customHeight="false" outlineLevel="0" collapsed="false">
      <c r="A2572" s="32"/>
      <c r="B2572" s="19"/>
      <c r="C2572" s="19"/>
      <c r="D2572" s="19"/>
      <c r="E2572" s="21"/>
      <c r="F2572" s="19"/>
      <c r="G2572" s="27" t="str">
        <f aca="false">IF(B2572="","",IFERROR(INDEX(Jeux!$C$2:$C$3001,MATCH(B2572,Jeux!$A$2:$A$3001,0))&amp;"","⚠ jeu inconnu"))</f>
        <v/>
      </c>
      <c r="H2572" s="27" t="str">
        <f aca="false">IF(B2572="","",IFERROR(INDEX(Jeux!$D$2:$D$3001,MATCH(B2572,Jeux!$A$2:$A$3001,0))&amp;"",""))</f>
        <v/>
      </c>
      <c r="I2572" s="26" t="str">
        <f aca="false">IF(A2572="","",COUNTIF(Apparitions!$G$2:$G$5001,A2572))</f>
        <v/>
      </c>
      <c r="J2572" s="26" t="str">
        <f aca="false">IF(A2572="","",COUNTIFS(Apparitions!$G$2:$G$5001,A2572,Apparitions!$E$2:$E$5001,"○"))</f>
        <v/>
      </c>
      <c r="K2572" s="29" t="str">
        <f aca="false">IF(A2572="","",IFERROR(1/(1/_xlfn.MINIFS(Apparitions!$L$2:$L$5001,Apparitions!$G$2:$G$5001,A2572)),""))</f>
        <v/>
      </c>
      <c r="L2572" s="27" t="str">
        <f aca="false">IF(A2572="","",A2572&amp;" | "&amp;B2572&amp;IF(C2572="",""," ("&amp;C2572&amp;")")&amp;IF(D2572="",""," - "&amp;D2572))</f>
        <v/>
      </c>
    </row>
    <row r="2573" customFormat="false" ht="15" hidden="false" customHeight="false" outlineLevel="0" collapsed="false">
      <c r="A2573" s="32"/>
      <c r="B2573" s="19"/>
      <c r="C2573" s="19"/>
      <c r="D2573" s="19"/>
      <c r="E2573" s="21"/>
      <c r="F2573" s="19"/>
      <c r="G2573" s="27" t="str">
        <f aca="false">IF(B2573="","",IFERROR(INDEX(Jeux!$C$2:$C$3001,MATCH(B2573,Jeux!$A$2:$A$3001,0))&amp;"","⚠ jeu inconnu"))</f>
        <v/>
      </c>
      <c r="H2573" s="27" t="str">
        <f aca="false">IF(B2573="","",IFERROR(INDEX(Jeux!$D$2:$D$3001,MATCH(B2573,Jeux!$A$2:$A$3001,0))&amp;"",""))</f>
        <v/>
      </c>
      <c r="I2573" s="26" t="str">
        <f aca="false">IF(A2573="","",COUNTIF(Apparitions!$G$2:$G$5001,A2573))</f>
        <v/>
      </c>
      <c r="J2573" s="26" t="str">
        <f aca="false">IF(A2573="","",COUNTIFS(Apparitions!$G$2:$G$5001,A2573,Apparitions!$E$2:$E$5001,"○"))</f>
        <v/>
      </c>
      <c r="K2573" s="29" t="str">
        <f aca="false">IF(A2573="","",IFERROR(1/(1/_xlfn.MINIFS(Apparitions!$L$2:$L$5001,Apparitions!$G$2:$G$5001,A2573)),""))</f>
        <v/>
      </c>
      <c r="L2573" s="27" t="str">
        <f aca="false">IF(A2573="","",A2573&amp;" | "&amp;B2573&amp;IF(C2573="",""," ("&amp;C2573&amp;")")&amp;IF(D2573="",""," - "&amp;D2573))</f>
        <v/>
      </c>
    </row>
    <row r="2574" customFormat="false" ht="15" hidden="false" customHeight="false" outlineLevel="0" collapsed="false">
      <c r="A2574" s="32"/>
      <c r="B2574" s="19"/>
      <c r="C2574" s="19"/>
      <c r="D2574" s="19"/>
      <c r="E2574" s="21"/>
      <c r="F2574" s="19"/>
      <c r="G2574" s="27" t="str">
        <f aca="false">IF(B2574="","",IFERROR(INDEX(Jeux!$C$2:$C$3001,MATCH(B2574,Jeux!$A$2:$A$3001,0))&amp;"","⚠ jeu inconnu"))</f>
        <v/>
      </c>
      <c r="H2574" s="27" t="str">
        <f aca="false">IF(B2574="","",IFERROR(INDEX(Jeux!$D$2:$D$3001,MATCH(B2574,Jeux!$A$2:$A$3001,0))&amp;"",""))</f>
        <v/>
      </c>
      <c r="I2574" s="26" t="str">
        <f aca="false">IF(A2574="","",COUNTIF(Apparitions!$G$2:$G$5001,A2574))</f>
        <v/>
      </c>
      <c r="J2574" s="26" t="str">
        <f aca="false">IF(A2574="","",COUNTIFS(Apparitions!$G$2:$G$5001,A2574,Apparitions!$E$2:$E$5001,"○"))</f>
        <v/>
      </c>
      <c r="K2574" s="29" t="str">
        <f aca="false">IF(A2574="","",IFERROR(1/(1/_xlfn.MINIFS(Apparitions!$L$2:$L$5001,Apparitions!$G$2:$G$5001,A2574)),""))</f>
        <v/>
      </c>
      <c r="L2574" s="27" t="str">
        <f aca="false">IF(A2574="","",A2574&amp;" | "&amp;B2574&amp;IF(C2574="",""," ("&amp;C2574&amp;")")&amp;IF(D2574="",""," - "&amp;D2574))</f>
        <v/>
      </c>
    </row>
    <row r="2575" customFormat="false" ht="15" hidden="false" customHeight="false" outlineLevel="0" collapsed="false">
      <c r="A2575" s="32"/>
      <c r="B2575" s="19"/>
      <c r="C2575" s="19"/>
      <c r="D2575" s="19"/>
      <c r="E2575" s="21"/>
      <c r="F2575" s="19"/>
      <c r="G2575" s="27" t="str">
        <f aca="false">IF(B2575="","",IFERROR(INDEX(Jeux!$C$2:$C$3001,MATCH(B2575,Jeux!$A$2:$A$3001,0))&amp;"","⚠ jeu inconnu"))</f>
        <v/>
      </c>
      <c r="H2575" s="27" t="str">
        <f aca="false">IF(B2575="","",IFERROR(INDEX(Jeux!$D$2:$D$3001,MATCH(B2575,Jeux!$A$2:$A$3001,0))&amp;"",""))</f>
        <v/>
      </c>
      <c r="I2575" s="26" t="str">
        <f aca="false">IF(A2575="","",COUNTIF(Apparitions!$G$2:$G$5001,A2575))</f>
        <v/>
      </c>
      <c r="J2575" s="26" t="str">
        <f aca="false">IF(A2575="","",COUNTIFS(Apparitions!$G$2:$G$5001,A2575,Apparitions!$E$2:$E$5001,"○"))</f>
        <v/>
      </c>
      <c r="K2575" s="29" t="str">
        <f aca="false">IF(A2575="","",IFERROR(1/(1/_xlfn.MINIFS(Apparitions!$L$2:$L$5001,Apparitions!$G$2:$G$5001,A2575)),""))</f>
        <v/>
      </c>
      <c r="L2575" s="27" t="str">
        <f aca="false">IF(A2575="","",A2575&amp;" | "&amp;B2575&amp;IF(C2575="",""," ("&amp;C2575&amp;")")&amp;IF(D2575="",""," - "&amp;D2575))</f>
        <v/>
      </c>
    </row>
    <row r="2576" customFormat="false" ht="15" hidden="false" customHeight="false" outlineLevel="0" collapsed="false">
      <c r="A2576" s="32"/>
      <c r="B2576" s="19"/>
      <c r="C2576" s="19"/>
      <c r="D2576" s="19"/>
      <c r="E2576" s="21"/>
      <c r="F2576" s="19"/>
      <c r="G2576" s="27" t="str">
        <f aca="false">IF(B2576="","",IFERROR(INDEX(Jeux!$C$2:$C$3001,MATCH(B2576,Jeux!$A$2:$A$3001,0))&amp;"","⚠ jeu inconnu"))</f>
        <v/>
      </c>
      <c r="H2576" s="27" t="str">
        <f aca="false">IF(B2576="","",IFERROR(INDEX(Jeux!$D$2:$D$3001,MATCH(B2576,Jeux!$A$2:$A$3001,0))&amp;"",""))</f>
        <v/>
      </c>
      <c r="I2576" s="26" t="str">
        <f aca="false">IF(A2576="","",COUNTIF(Apparitions!$G$2:$G$5001,A2576))</f>
        <v/>
      </c>
      <c r="J2576" s="26" t="str">
        <f aca="false">IF(A2576="","",COUNTIFS(Apparitions!$G$2:$G$5001,A2576,Apparitions!$E$2:$E$5001,"○"))</f>
        <v/>
      </c>
      <c r="K2576" s="29" t="str">
        <f aca="false">IF(A2576="","",IFERROR(1/(1/_xlfn.MINIFS(Apparitions!$L$2:$L$5001,Apparitions!$G$2:$G$5001,A2576)),""))</f>
        <v/>
      </c>
      <c r="L2576" s="27" t="str">
        <f aca="false">IF(A2576="","",A2576&amp;" | "&amp;B2576&amp;IF(C2576="",""," ("&amp;C2576&amp;")")&amp;IF(D2576="",""," - "&amp;D2576))</f>
        <v/>
      </c>
    </row>
    <row r="2577" customFormat="false" ht="15" hidden="false" customHeight="false" outlineLevel="0" collapsed="false">
      <c r="A2577" s="32"/>
      <c r="B2577" s="19"/>
      <c r="C2577" s="19"/>
      <c r="D2577" s="19"/>
      <c r="E2577" s="21"/>
      <c r="F2577" s="19"/>
      <c r="G2577" s="27" t="str">
        <f aca="false">IF(B2577="","",IFERROR(INDEX(Jeux!$C$2:$C$3001,MATCH(B2577,Jeux!$A$2:$A$3001,0))&amp;"","⚠ jeu inconnu"))</f>
        <v/>
      </c>
      <c r="H2577" s="27" t="str">
        <f aca="false">IF(B2577="","",IFERROR(INDEX(Jeux!$D$2:$D$3001,MATCH(B2577,Jeux!$A$2:$A$3001,0))&amp;"",""))</f>
        <v/>
      </c>
      <c r="I2577" s="26" t="str">
        <f aca="false">IF(A2577="","",COUNTIF(Apparitions!$G$2:$G$5001,A2577))</f>
        <v/>
      </c>
      <c r="J2577" s="26" t="str">
        <f aca="false">IF(A2577="","",COUNTIFS(Apparitions!$G$2:$G$5001,A2577,Apparitions!$E$2:$E$5001,"○"))</f>
        <v/>
      </c>
      <c r="K2577" s="29" t="str">
        <f aca="false">IF(A2577="","",IFERROR(1/(1/_xlfn.MINIFS(Apparitions!$L$2:$L$5001,Apparitions!$G$2:$G$5001,A2577)),""))</f>
        <v/>
      </c>
      <c r="L2577" s="27" t="str">
        <f aca="false">IF(A2577="","",A2577&amp;" | "&amp;B2577&amp;IF(C2577="",""," ("&amp;C2577&amp;")")&amp;IF(D2577="",""," - "&amp;D2577))</f>
        <v/>
      </c>
    </row>
    <row r="2578" customFormat="false" ht="15" hidden="false" customHeight="false" outlineLevel="0" collapsed="false">
      <c r="A2578" s="32"/>
      <c r="B2578" s="19"/>
      <c r="C2578" s="19"/>
      <c r="D2578" s="19"/>
      <c r="E2578" s="21"/>
      <c r="F2578" s="19"/>
      <c r="G2578" s="27" t="str">
        <f aca="false">IF(B2578="","",IFERROR(INDEX(Jeux!$C$2:$C$3001,MATCH(B2578,Jeux!$A$2:$A$3001,0))&amp;"","⚠ jeu inconnu"))</f>
        <v/>
      </c>
      <c r="H2578" s="27" t="str">
        <f aca="false">IF(B2578="","",IFERROR(INDEX(Jeux!$D$2:$D$3001,MATCH(B2578,Jeux!$A$2:$A$3001,0))&amp;"",""))</f>
        <v/>
      </c>
      <c r="I2578" s="26" t="str">
        <f aca="false">IF(A2578="","",COUNTIF(Apparitions!$G$2:$G$5001,A2578))</f>
        <v/>
      </c>
      <c r="J2578" s="26" t="str">
        <f aca="false">IF(A2578="","",COUNTIFS(Apparitions!$G$2:$G$5001,A2578,Apparitions!$E$2:$E$5001,"○"))</f>
        <v/>
      </c>
      <c r="K2578" s="29" t="str">
        <f aca="false">IF(A2578="","",IFERROR(1/(1/_xlfn.MINIFS(Apparitions!$L$2:$L$5001,Apparitions!$G$2:$G$5001,A2578)),""))</f>
        <v/>
      </c>
      <c r="L2578" s="27" t="str">
        <f aca="false">IF(A2578="","",A2578&amp;" | "&amp;B2578&amp;IF(C2578="",""," ("&amp;C2578&amp;")")&amp;IF(D2578="",""," - "&amp;D2578))</f>
        <v/>
      </c>
    </row>
    <row r="2579" customFormat="false" ht="15" hidden="false" customHeight="false" outlineLevel="0" collapsed="false">
      <c r="A2579" s="32"/>
      <c r="B2579" s="19"/>
      <c r="C2579" s="19"/>
      <c r="D2579" s="19"/>
      <c r="E2579" s="21"/>
      <c r="F2579" s="19"/>
      <c r="G2579" s="27" t="str">
        <f aca="false">IF(B2579="","",IFERROR(INDEX(Jeux!$C$2:$C$3001,MATCH(B2579,Jeux!$A$2:$A$3001,0))&amp;"","⚠ jeu inconnu"))</f>
        <v/>
      </c>
      <c r="H2579" s="27" t="str">
        <f aca="false">IF(B2579="","",IFERROR(INDEX(Jeux!$D$2:$D$3001,MATCH(B2579,Jeux!$A$2:$A$3001,0))&amp;"",""))</f>
        <v/>
      </c>
      <c r="I2579" s="26" t="str">
        <f aca="false">IF(A2579="","",COUNTIF(Apparitions!$G$2:$G$5001,A2579))</f>
        <v/>
      </c>
      <c r="J2579" s="26" t="str">
        <f aca="false">IF(A2579="","",COUNTIFS(Apparitions!$G$2:$G$5001,A2579,Apparitions!$E$2:$E$5001,"○"))</f>
        <v/>
      </c>
      <c r="K2579" s="29" t="str">
        <f aca="false">IF(A2579="","",IFERROR(1/(1/_xlfn.MINIFS(Apparitions!$L$2:$L$5001,Apparitions!$G$2:$G$5001,A2579)),""))</f>
        <v/>
      </c>
      <c r="L2579" s="27" t="str">
        <f aca="false">IF(A2579="","",A2579&amp;" | "&amp;B2579&amp;IF(C2579="",""," ("&amp;C2579&amp;")")&amp;IF(D2579="",""," - "&amp;D2579))</f>
        <v/>
      </c>
    </row>
    <row r="2580" customFormat="false" ht="15" hidden="false" customHeight="false" outlineLevel="0" collapsed="false">
      <c r="A2580" s="32"/>
      <c r="B2580" s="19"/>
      <c r="C2580" s="19"/>
      <c r="D2580" s="19"/>
      <c r="E2580" s="21"/>
      <c r="F2580" s="19"/>
      <c r="G2580" s="27" t="str">
        <f aca="false">IF(B2580="","",IFERROR(INDEX(Jeux!$C$2:$C$3001,MATCH(B2580,Jeux!$A$2:$A$3001,0))&amp;"","⚠ jeu inconnu"))</f>
        <v/>
      </c>
      <c r="H2580" s="27" t="str">
        <f aca="false">IF(B2580="","",IFERROR(INDEX(Jeux!$D$2:$D$3001,MATCH(B2580,Jeux!$A$2:$A$3001,0))&amp;"",""))</f>
        <v/>
      </c>
      <c r="I2580" s="26" t="str">
        <f aca="false">IF(A2580="","",COUNTIF(Apparitions!$G$2:$G$5001,A2580))</f>
        <v/>
      </c>
      <c r="J2580" s="26" t="str">
        <f aca="false">IF(A2580="","",COUNTIFS(Apparitions!$G$2:$G$5001,A2580,Apparitions!$E$2:$E$5001,"○"))</f>
        <v/>
      </c>
      <c r="K2580" s="29" t="str">
        <f aca="false">IF(A2580="","",IFERROR(1/(1/_xlfn.MINIFS(Apparitions!$L$2:$L$5001,Apparitions!$G$2:$G$5001,A2580)),""))</f>
        <v/>
      </c>
      <c r="L2580" s="27" t="str">
        <f aca="false">IF(A2580="","",A2580&amp;" | "&amp;B2580&amp;IF(C2580="",""," ("&amp;C2580&amp;")")&amp;IF(D2580="",""," - "&amp;D2580))</f>
        <v/>
      </c>
    </row>
    <row r="2581" customFormat="false" ht="15" hidden="false" customHeight="false" outlineLevel="0" collapsed="false">
      <c r="A2581" s="32"/>
      <c r="B2581" s="19"/>
      <c r="C2581" s="19"/>
      <c r="D2581" s="19"/>
      <c r="E2581" s="21"/>
      <c r="F2581" s="19"/>
      <c r="G2581" s="27" t="str">
        <f aca="false">IF(B2581="","",IFERROR(INDEX(Jeux!$C$2:$C$3001,MATCH(B2581,Jeux!$A$2:$A$3001,0))&amp;"","⚠ jeu inconnu"))</f>
        <v/>
      </c>
      <c r="H2581" s="27" t="str">
        <f aca="false">IF(B2581="","",IFERROR(INDEX(Jeux!$D$2:$D$3001,MATCH(B2581,Jeux!$A$2:$A$3001,0))&amp;"",""))</f>
        <v/>
      </c>
      <c r="I2581" s="26" t="str">
        <f aca="false">IF(A2581="","",COUNTIF(Apparitions!$G$2:$G$5001,A2581))</f>
        <v/>
      </c>
      <c r="J2581" s="26" t="str">
        <f aca="false">IF(A2581="","",COUNTIFS(Apparitions!$G$2:$G$5001,A2581,Apparitions!$E$2:$E$5001,"○"))</f>
        <v/>
      </c>
      <c r="K2581" s="29" t="str">
        <f aca="false">IF(A2581="","",IFERROR(1/(1/_xlfn.MINIFS(Apparitions!$L$2:$L$5001,Apparitions!$G$2:$G$5001,A2581)),""))</f>
        <v/>
      </c>
      <c r="L2581" s="27" t="str">
        <f aca="false">IF(A2581="","",A2581&amp;" | "&amp;B2581&amp;IF(C2581="",""," ("&amp;C2581&amp;")")&amp;IF(D2581="",""," - "&amp;D2581))</f>
        <v/>
      </c>
    </row>
    <row r="2582" customFormat="false" ht="15" hidden="false" customHeight="false" outlineLevel="0" collapsed="false">
      <c r="A2582" s="32"/>
      <c r="B2582" s="19"/>
      <c r="C2582" s="19"/>
      <c r="D2582" s="19"/>
      <c r="E2582" s="21"/>
      <c r="F2582" s="19"/>
      <c r="G2582" s="27" t="str">
        <f aca="false">IF(B2582="","",IFERROR(INDEX(Jeux!$C$2:$C$3001,MATCH(B2582,Jeux!$A$2:$A$3001,0))&amp;"","⚠ jeu inconnu"))</f>
        <v/>
      </c>
      <c r="H2582" s="27" t="str">
        <f aca="false">IF(B2582="","",IFERROR(INDEX(Jeux!$D$2:$D$3001,MATCH(B2582,Jeux!$A$2:$A$3001,0))&amp;"",""))</f>
        <v/>
      </c>
      <c r="I2582" s="26" t="str">
        <f aca="false">IF(A2582="","",COUNTIF(Apparitions!$G$2:$G$5001,A2582))</f>
        <v/>
      </c>
      <c r="J2582" s="26" t="str">
        <f aca="false">IF(A2582="","",COUNTIFS(Apparitions!$G$2:$G$5001,A2582,Apparitions!$E$2:$E$5001,"○"))</f>
        <v/>
      </c>
      <c r="K2582" s="29" t="str">
        <f aca="false">IF(A2582="","",IFERROR(1/(1/_xlfn.MINIFS(Apparitions!$L$2:$L$5001,Apparitions!$G$2:$G$5001,A2582)),""))</f>
        <v/>
      </c>
      <c r="L2582" s="27" t="str">
        <f aca="false">IF(A2582="","",A2582&amp;" | "&amp;B2582&amp;IF(C2582="",""," ("&amp;C2582&amp;")")&amp;IF(D2582="",""," - "&amp;D2582))</f>
        <v/>
      </c>
    </row>
    <row r="2583" customFormat="false" ht="15" hidden="false" customHeight="false" outlineLevel="0" collapsed="false">
      <c r="A2583" s="32"/>
      <c r="B2583" s="19"/>
      <c r="C2583" s="19"/>
      <c r="D2583" s="19"/>
      <c r="E2583" s="21"/>
      <c r="F2583" s="19"/>
      <c r="G2583" s="27" t="str">
        <f aca="false">IF(B2583="","",IFERROR(INDEX(Jeux!$C$2:$C$3001,MATCH(B2583,Jeux!$A$2:$A$3001,0))&amp;"","⚠ jeu inconnu"))</f>
        <v/>
      </c>
      <c r="H2583" s="27" t="str">
        <f aca="false">IF(B2583="","",IFERROR(INDEX(Jeux!$D$2:$D$3001,MATCH(B2583,Jeux!$A$2:$A$3001,0))&amp;"",""))</f>
        <v/>
      </c>
      <c r="I2583" s="26" t="str">
        <f aca="false">IF(A2583="","",COUNTIF(Apparitions!$G$2:$G$5001,A2583))</f>
        <v/>
      </c>
      <c r="J2583" s="26" t="str">
        <f aca="false">IF(A2583="","",COUNTIFS(Apparitions!$G$2:$G$5001,A2583,Apparitions!$E$2:$E$5001,"○"))</f>
        <v/>
      </c>
      <c r="K2583" s="29" t="str">
        <f aca="false">IF(A2583="","",IFERROR(1/(1/_xlfn.MINIFS(Apparitions!$L$2:$L$5001,Apparitions!$G$2:$G$5001,A2583)),""))</f>
        <v/>
      </c>
      <c r="L2583" s="27" t="str">
        <f aca="false">IF(A2583="","",A2583&amp;" | "&amp;B2583&amp;IF(C2583="",""," ("&amp;C2583&amp;")")&amp;IF(D2583="",""," - "&amp;D2583))</f>
        <v/>
      </c>
    </row>
    <row r="2584" customFormat="false" ht="15" hidden="false" customHeight="false" outlineLevel="0" collapsed="false">
      <c r="A2584" s="32"/>
      <c r="B2584" s="19"/>
      <c r="C2584" s="19"/>
      <c r="D2584" s="19"/>
      <c r="E2584" s="21"/>
      <c r="F2584" s="19"/>
      <c r="G2584" s="27" t="str">
        <f aca="false">IF(B2584="","",IFERROR(INDEX(Jeux!$C$2:$C$3001,MATCH(B2584,Jeux!$A$2:$A$3001,0))&amp;"","⚠ jeu inconnu"))</f>
        <v/>
      </c>
      <c r="H2584" s="27" t="str">
        <f aca="false">IF(B2584="","",IFERROR(INDEX(Jeux!$D$2:$D$3001,MATCH(B2584,Jeux!$A$2:$A$3001,0))&amp;"",""))</f>
        <v/>
      </c>
      <c r="I2584" s="26" t="str">
        <f aca="false">IF(A2584="","",COUNTIF(Apparitions!$G$2:$G$5001,A2584))</f>
        <v/>
      </c>
      <c r="J2584" s="26" t="str">
        <f aca="false">IF(A2584="","",COUNTIFS(Apparitions!$G$2:$G$5001,A2584,Apparitions!$E$2:$E$5001,"○"))</f>
        <v/>
      </c>
      <c r="K2584" s="29" t="str">
        <f aca="false">IF(A2584="","",IFERROR(1/(1/_xlfn.MINIFS(Apparitions!$L$2:$L$5001,Apparitions!$G$2:$G$5001,A2584)),""))</f>
        <v/>
      </c>
      <c r="L2584" s="27" t="str">
        <f aca="false">IF(A2584="","",A2584&amp;" | "&amp;B2584&amp;IF(C2584="",""," ("&amp;C2584&amp;")")&amp;IF(D2584="",""," - "&amp;D2584))</f>
        <v/>
      </c>
    </row>
    <row r="2585" customFormat="false" ht="15" hidden="false" customHeight="false" outlineLevel="0" collapsed="false">
      <c r="A2585" s="32"/>
      <c r="B2585" s="19"/>
      <c r="C2585" s="19"/>
      <c r="D2585" s="19"/>
      <c r="E2585" s="21"/>
      <c r="F2585" s="19"/>
      <c r="G2585" s="27" t="str">
        <f aca="false">IF(B2585="","",IFERROR(INDEX(Jeux!$C$2:$C$3001,MATCH(B2585,Jeux!$A$2:$A$3001,0))&amp;"","⚠ jeu inconnu"))</f>
        <v/>
      </c>
      <c r="H2585" s="27" t="str">
        <f aca="false">IF(B2585="","",IFERROR(INDEX(Jeux!$D$2:$D$3001,MATCH(B2585,Jeux!$A$2:$A$3001,0))&amp;"",""))</f>
        <v/>
      </c>
      <c r="I2585" s="26" t="str">
        <f aca="false">IF(A2585="","",COUNTIF(Apparitions!$G$2:$G$5001,A2585))</f>
        <v/>
      </c>
      <c r="J2585" s="26" t="str">
        <f aca="false">IF(A2585="","",COUNTIFS(Apparitions!$G$2:$G$5001,A2585,Apparitions!$E$2:$E$5001,"○"))</f>
        <v/>
      </c>
      <c r="K2585" s="29" t="str">
        <f aca="false">IF(A2585="","",IFERROR(1/(1/_xlfn.MINIFS(Apparitions!$L$2:$L$5001,Apparitions!$G$2:$G$5001,A2585)),""))</f>
        <v/>
      </c>
      <c r="L2585" s="27" t="str">
        <f aca="false">IF(A2585="","",A2585&amp;" | "&amp;B2585&amp;IF(C2585="",""," ("&amp;C2585&amp;")")&amp;IF(D2585="",""," - "&amp;D2585))</f>
        <v/>
      </c>
    </row>
    <row r="2586" customFormat="false" ht="15" hidden="false" customHeight="false" outlineLevel="0" collapsed="false">
      <c r="A2586" s="32"/>
      <c r="B2586" s="19"/>
      <c r="C2586" s="19"/>
      <c r="D2586" s="19"/>
      <c r="E2586" s="21"/>
      <c r="F2586" s="19"/>
      <c r="G2586" s="27" t="str">
        <f aca="false">IF(B2586="","",IFERROR(INDEX(Jeux!$C$2:$C$3001,MATCH(B2586,Jeux!$A$2:$A$3001,0))&amp;"","⚠ jeu inconnu"))</f>
        <v/>
      </c>
      <c r="H2586" s="27" t="str">
        <f aca="false">IF(B2586="","",IFERROR(INDEX(Jeux!$D$2:$D$3001,MATCH(B2586,Jeux!$A$2:$A$3001,0))&amp;"",""))</f>
        <v/>
      </c>
      <c r="I2586" s="26" t="str">
        <f aca="false">IF(A2586="","",COUNTIF(Apparitions!$G$2:$G$5001,A2586))</f>
        <v/>
      </c>
      <c r="J2586" s="26" t="str">
        <f aca="false">IF(A2586="","",COUNTIFS(Apparitions!$G$2:$G$5001,A2586,Apparitions!$E$2:$E$5001,"○"))</f>
        <v/>
      </c>
      <c r="K2586" s="29" t="str">
        <f aca="false">IF(A2586="","",IFERROR(1/(1/_xlfn.MINIFS(Apparitions!$L$2:$L$5001,Apparitions!$G$2:$G$5001,A2586)),""))</f>
        <v/>
      </c>
      <c r="L2586" s="27" t="str">
        <f aca="false">IF(A2586="","",A2586&amp;" | "&amp;B2586&amp;IF(C2586="",""," ("&amp;C2586&amp;")")&amp;IF(D2586="",""," - "&amp;D2586))</f>
        <v/>
      </c>
    </row>
    <row r="2587" customFormat="false" ht="15" hidden="false" customHeight="false" outlineLevel="0" collapsed="false">
      <c r="A2587" s="32"/>
      <c r="B2587" s="19"/>
      <c r="C2587" s="19"/>
      <c r="D2587" s="19"/>
      <c r="E2587" s="21"/>
      <c r="F2587" s="19"/>
      <c r="G2587" s="27" t="str">
        <f aca="false">IF(B2587="","",IFERROR(INDEX(Jeux!$C$2:$C$3001,MATCH(B2587,Jeux!$A$2:$A$3001,0))&amp;"","⚠ jeu inconnu"))</f>
        <v/>
      </c>
      <c r="H2587" s="27" t="str">
        <f aca="false">IF(B2587="","",IFERROR(INDEX(Jeux!$D$2:$D$3001,MATCH(B2587,Jeux!$A$2:$A$3001,0))&amp;"",""))</f>
        <v/>
      </c>
      <c r="I2587" s="26" t="str">
        <f aca="false">IF(A2587="","",COUNTIF(Apparitions!$G$2:$G$5001,A2587))</f>
        <v/>
      </c>
      <c r="J2587" s="26" t="str">
        <f aca="false">IF(A2587="","",COUNTIFS(Apparitions!$G$2:$G$5001,A2587,Apparitions!$E$2:$E$5001,"○"))</f>
        <v/>
      </c>
      <c r="K2587" s="29" t="str">
        <f aca="false">IF(A2587="","",IFERROR(1/(1/_xlfn.MINIFS(Apparitions!$L$2:$L$5001,Apparitions!$G$2:$G$5001,A2587)),""))</f>
        <v/>
      </c>
      <c r="L2587" s="27" t="str">
        <f aca="false">IF(A2587="","",A2587&amp;" | "&amp;B2587&amp;IF(C2587="",""," ("&amp;C2587&amp;")")&amp;IF(D2587="",""," - "&amp;D2587))</f>
        <v/>
      </c>
    </row>
    <row r="2588" customFormat="false" ht="15" hidden="false" customHeight="false" outlineLevel="0" collapsed="false">
      <c r="A2588" s="32"/>
      <c r="B2588" s="19"/>
      <c r="C2588" s="19"/>
      <c r="D2588" s="19"/>
      <c r="E2588" s="21"/>
      <c r="F2588" s="19"/>
      <c r="G2588" s="27" t="str">
        <f aca="false">IF(B2588="","",IFERROR(INDEX(Jeux!$C$2:$C$3001,MATCH(B2588,Jeux!$A$2:$A$3001,0))&amp;"","⚠ jeu inconnu"))</f>
        <v/>
      </c>
      <c r="H2588" s="27" t="str">
        <f aca="false">IF(B2588="","",IFERROR(INDEX(Jeux!$D$2:$D$3001,MATCH(B2588,Jeux!$A$2:$A$3001,0))&amp;"",""))</f>
        <v/>
      </c>
      <c r="I2588" s="26" t="str">
        <f aca="false">IF(A2588="","",COUNTIF(Apparitions!$G$2:$G$5001,A2588))</f>
        <v/>
      </c>
      <c r="J2588" s="26" t="str">
        <f aca="false">IF(A2588="","",COUNTIFS(Apparitions!$G$2:$G$5001,A2588,Apparitions!$E$2:$E$5001,"○"))</f>
        <v/>
      </c>
      <c r="K2588" s="29" t="str">
        <f aca="false">IF(A2588="","",IFERROR(1/(1/_xlfn.MINIFS(Apparitions!$L$2:$L$5001,Apparitions!$G$2:$G$5001,A2588)),""))</f>
        <v/>
      </c>
      <c r="L2588" s="27" t="str">
        <f aca="false">IF(A2588="","",A2588&amp;" | "&amp;B2588&amp;IF(C2588="",""," ("&amp;C2588&amp;")")&amp;IF(D2588="",""," - "&amp;D2588))</f>
        <v/>
      </c>
    </row>
    <row r="2589" customFormat="false" ht="15" hidden="false" customHeight="false" outlineLevel="0" collapsed="false">
      <c r="A2589" s="32"/>
      <c r="B2589" s="19"/>
      <c r="C2589" s="19"/>
      <c r="D2589" s="19"/>
      <c r="E2589" s="21"/>
      <c r="F2589" s="19"/>
      <c r="G2589" s="27" t="str">
        <f aca="false">IF(B2589="","",IFERROR(INDEX(Jeux!$C$2:$C$3001,MATCH(B2589,Jeux!$A$2:$A$3001,0))&amp;"","⚠ jeu inconnu"))</f>
        <v/>
      </c>
      <c r="H2589" s="27" t="str">
        <f aca="false">IF(B2589="","",IFERROR(INDEX(Jeux!$D$2:$D$3001,MATCH(B2589,Jeux!$A$2:$A$3001,0))&amp;"",""))</f>
        <v/>
      </c>
      <c r="I2589" s="26" t="str">
        <f aca="false">IF(A2589="","",COUNTIF(Apparitions!$G$2:$G$5001,A2589))</f>
        <v/>
      </c>
      <c r="J2589" s="26" t="str">
        <f aca="false">IF(A2589="","",COUNTIFS(Apparitions!$G$2:$G$5001,A2589,Apparitions!$E$2:$E$5001,"○"))</f>
        <v/>
      </c>
      <c r="K2589" s="29" t="str">
        <f aca="false">IF(A2589="","",IFERROR(1/(1/_xlfn.MINIFS(Apparitions!$L$2:$L$5001,Apparitions!$G$2:$G$5001,A2589)),""))</f>
        <v/>
      </c>
      <c r="L2589" s="27" t="str">
        <f aca="false">IF(A2589="","",A2589&amp;" | "&amp;B2589&amp;IF(C2589="",""," ("&amp;C2589&amp;")")&amp;IF(D2589="",""," - "&amp;D2589))</f>
        <v/>
      </c>
    </row>
    <row r="2590" customFormat="false" ht="15" hidden="false" customHeight="false" outlineLevel="0" collapsed="false">
      <c r="A2590" s="32"/>
      <c r="B2590" s="19"/>
      <c r="C2590" s="19"/>
      <c r="D2590" s="19"/>
      <c r="E2590" s="21"/>
      <c r="F2590" s="19"/>
      <c r="G2590" s="27" t="str">
        <f aca="false">IF(B2590="","",IFERROR(INDEX(Jeux!$C$2:$C$3001,MATCH(B2590,Jeux!$A$2:$A$3001,0))&amp;"","⚠ jeu inconnu"))</f>
        <v/>
      </c>
      <c r="H2590" s="27" t="str">
        <f aca="false">IF(B2590="","",IFERROR(INDEX(Jeux!$D$2:$D$3001,MATCH(B2590,Jeux!$A$2:$A$3001,0))&amp;"",""))</f>
        <v/>
      </c>
      <c r="I2590" s="26" t="str">
        <f aca="false">IF(A2590="","",COUNTIF(Apparitions!$G$2:$G$5001,A2590))</f>
        <v/>
      </c>
      <c r="J2590" s="26" t="str">
        <f aca="false">IF(A2590="","",COUNTIFS(Apparitions!$G$2:$G$5001,A2590,Apparitions!$E$2:$E$5001,"○"))</f>
        <v/>
      </c>
      <c r="K2590" s="29" t="str">
        <f aca="false">IF(A2590="","",IFERROR(1/(1/_xlfn.MINIFS(Apparitions!$L$2:$L$5001,Apparitions!$G$2:$G$5001,A2590)),""))</f>
        <v/>
      </c>
      <c r="L2590" s="27" t="str">
        <f aca="false">IF(A2590="","",A2590&amp;" | "&amp;B2590&amp;IF(C2590="",""," ("&amp;C2590&amp;")")&amp;IF(D2590="",""," - "&amp;D2590))</f>
        <v/>
      </c>
    </row>
    <row r="2591" customFormat="false" ht="15" hidden="false" customHeight="false" outlineLevel="0" collapsed="false">
      <c r="A2591" s="32"/>
      <c r="B2591" s="19"/>
      <c r="C2591" s="19"/>
      <c r="D2591" s="19"/>
      <c r="E2591" s="21"/>
      <c r="F2591" s="19"/>
      <c r="G2591" s="27" t="str">
        <f aca="false">IF(B2591="","",IFERROR(INDEX(Jeux!$C$2:$C$3001,MATCH(B2591,Jeux!$A$2:$A$3001,0))&amp;"","⚠ jeu inconnu"))</f>
        <v/>
      </c>
      <c r="H2591" s="27" t="str">
        <f aca="false">IF(B2591="","",IFERROR(INDEX(Jeux!$D$2:$D$3001,MATCH(B2591,Jeux!$A$2:$A$3001,0))&amp;"",""))</f>
        <v/>
      </c>
      <c r="I2591" s="26" t="str">
        <f aca="false">IF(A2591="","",COUNTIF(Apparitions!$G$2:$G$5001,A2591))</f>
        <v/>
      </c>
      <c r="J2591" s="26" t="str">
        <f aca="false">IF(A2591="","",COUNTIFS(Apparitions!$G$2:$G$5001,A2591,Apparitions!$E$2:$E$5001,"○"))</f>
        <v/>
      </c>
      <c r="K2591" s="29" t="str">
        <f aca="false">IF(A2591="","",IFERROR(1/(1/_xlfn.MINIFS(Apparitions!$L$2:$L$5001,Apparitions!$G$2:$G$5001,A2591)),""))</f>
        <v/>
      </c>
      <c r="L2591" s="27" t="str">
        <f aca="false">IF(A2591="","",A2591&amp;" | "&amp;B2591&amp;IF(C2591="",""," ("&amp;C2591&amp;")")&amp;IF(D2591="",""," - "&amp;D2591))</f>
        <v/>
      </c>
    </row>
    <row r="2592" customFormat="false" ht="15" hidden="false" customHeight="false" outlineLevel="0" collapsed="false">
      <c r="A2592" s="32"/>
      <c r="B2592" s="19"/>
      <c r="C2592" s="19"/>
      <c r="D2592" s="19"/>
      <c r="E2592" s="21"/>
      <c r="F2592" s="19"/>
      <c r="G2592" s="27" t="str">
        <f aca="false">IF(B2592="","",IFERROR(INDEX(Jeux!$C$2:$C$3001,MATCH(B2592,Jeux!$A$2:$A$3001,0))&amp;"","⚠ jeu inconnu"))</f>
        <v/>
      </c>
      <c r="H2592" s="27" t="str">
        <f aca="false">IF(B2592="","",IFERROR(INDEX(Jeux!$D$2:$D$3001,MATCH(B2592,Jeux!$A$2:$A$3001,0))&amp;"",""))</f>
        <v/>
      </c>
      <c r="I2592" s="26" t="str">
        <f aca="false">IF(A2592="","",COUNTIF(Apparitions!$G$2:$G$5001,A2592))</f>
        <v/>
      </c>
      <c r="J2592" s="26" t="str">
        <f aca="false">IF(A2592="","",COUNTIFS(Apparitions!$G$2:$G$5001,A2592,Apparitions!$E$2:$E$5001,"○"))</f>
        <v/>
      </c>
      <c r="K2592" s="29" t="str">
        <f aca="false">IF(A2592="","",IFERROR(1/(1/_xlfn.MINIFS(Apparitions!$L$2:$L$5001,Apparitions!$G$2:$G$5001,A2592)),""))</f>
        <v/>
      </c>
      <c r="L2592" s="27" t="str">
        <f aca="false">IF(A2592="","",A2592&amp;" | "&amp;B2592&amp;IF(C2592="",""," ("&amp;C2592&amp;")")&amp;IF(D2592="",""," - "&amp;D2592))</f>
        <v/>
      </c>
    </row>
    <row r="2593" customFormat="false" ht="15" hidden="false" customHeight="false" outlineLevel="0" collapsed="false">
      <c r="A2593" s="32"/>
      <c r="B2593" s="19"/>
      <c r="C2593" s="19"/>
      <c r="D2593" s="19"/>
      <c r="E2593" s="21"/>
      <c r="F2593" s="19"/>
      <c r="G2593" s="27" t="str">
        <f aca="false">IF(B2593="","",IFERROR(INDEX(Jeux!$C$2:$C$3001,MATCH(B2593,Jeux!$A$2:$A$3001,0))&amp;"","⚠ jeu inconnu"))</f>
        <v/>
      </c>
      <c r="H2593" s="27" t="str">
        <f aca="false">IF(B2593="","",IFERROR(INDEX(Jeux!$D$2:$D$3001,MATCH(B2593,Jeux!$A$2:$A$3001,0))&amp;"",""))</f>
        <v/>
      </c>
      <c r="I2593" s="26" t="str">
        <f aca="false">IF(A2593="","",COUNTIF(Apparitions!$G$2:$G$5001,A2593))</f>
        <v/>
      </c>
      <c r="J2593" s="26" t="str">
        <f aca="false">IF(A2593="","",COUNTIFS(Apparitions!$G$2:$G$5001,A2593,Apparitions!$E$2:$E$5001,"○"))</f>
        <v/>
      </c>
      <c r="K2593" s="29" t="str">
        <f aca="false">IF(A2593="","",IFERROR(1/(1/_xlfn.MINIFS(Apparitions!$L$2:$L$5001,Apparitions!$G$2:$G$5001,A2593)),""))</f>
        <v/>
      </c>
      <c r="L2593" s="27" t="str">
        <f aca="false">IF(A2593="","",A2593&amp;" | "&amp;B2593&amp;IF(C2593="",""," ("&amp;C2593&amp;")")&amp;IF(D2593="",""," - "&amp;D2593))</f>
        <v/>
      </c>
    </row>
    <row r="2594" customFormat="false" ht="15" hidden="false" customHeight="false" outlineLevel="0" collapsed="false">
      <c r="A2594" s="32"/>
      <c r="B2594" s="19"/>
      <c r="C2594" s="19"/>
      <c r="D2594" s="19"/>
      <c r="E2594" s="21"/>
      <c r="F2594" s="19"/>
      <c r="G2594" s="27" t="str">
        <f aca="false">IF(B2594="","",IFERROR(INDEX(Jeux!$C$2:$C$3001,MATCH(B2594,Jeux!$A$2:$A$3001,0))&amp;"","⚠ jeu inconnu"))</f>
        <v/>
      </c>
      <c r="H2594" s="27" t="str">
        <f aca="false">IF(B2594="","",IFERROR(INDEX(Jeux!$D$2:$D$3001,MATCH(B2594,Jeux!$A$2:$A$3001,0))&amp;"",""))</f>
        <v/>
      </c>
      <c r="I2594" s="26" t="str">
        <f aca="false">IF(A2594="","",COUNTIF(Apparitions!$G$2:$G$5001,A2594))</f>
        <v/>
      </c>
      <c r="J2594" s="26" t="str">
        <f aca="false">IF(A2594="","",COUNTIFS(Apparitions!$G$2:$G$5001,A2594,Apparitions!$E$2:$E$5001,"○"))</f>
        <v/>
      </c>
      <c r="K2594" s="29" t="str">
        <f aca="false">IF(A2594="","",IFERROR(1/(1/_xlfn.MINIFS(Apparitions!$L$2:$L$5001,Apparitions!$G$2:$G$5001,A2594)),""))</f>
        <v/>
      </c>
      <c r="L2594" s="27" t="str">
        <f aca="false">IF(A2594="","",A2594&amp;" | "&amp;B2594&amp;IF(C2594="",""," ("&amp;C2594&amp;")")&amp;IF(D2594="",""," - "&amp;D2594))</f>
        <v/>
      </c>
    </row>
    <row r="2595" customFormat="false" ht="15" hidden="false" customHeight="false" outlineLevel="0" collapsed="false">
      <c r="A2595" s="32"/>
      <c r="B2595" s="19"/>
      <c r="C2595" s="19"/>
      <c r="D2595" s="19"/>
      <c r="E2595" s="21"/>
      <c r="F2595" s="19"/>
      <c r="G2595" s="27" t="str">
        <f aca="false">IF(B2595="","",IFERROR(INDEX(Jeux!$C$2:$C$3001,MATCH(B2595,Jeux!$A$2:$A$3001,0))&amp;"","⚠ jeu inconnu"))</f>
        <v/>
      </c>
      <c r="H2595" s="27" t="str">
        <f aca="false">IF(B2595="","",IFERROR(INDEX(Jeux!$D$2:$D$3001,MATCH(B2595,Jeux!$A$2:$A$3001,0))&amp;"",""))</f>
        <v/>
      </c>
      <c r="I2595" s="26" t="str">
        <f aca="false">IF(A2595="","",COUNTIF(Apparitions!$G$2:$G$5001,A2595))</f>
        <v/>
      </c>
      <c r="J2595" s="26" t="str">
        <f aca="false">IF(A2595="","",COUNTIFS(Apparitions!$G$2:$G$5001,A2595,Apparitions!$E$2:$E$5001,"○"))</f>
        <v/>
      </c>
      <c r="K2595" s="29" t="str">
        <f aca="false">IF(A2595="","",IFERROR(1/(1/_xlfn.MINIFS(Apparitions!$L$2:$L$5001,Apparitions!$G$2:$G$5001,A2595)),""))</f>
        <v/>
      </c>
      <c r="L2595" s="27" t="str">
        <f aca="false">IF(A2595="","",A2595&amp;" | "&amp;B2595&amp;IF(C2595="",""," ("&amp;C2595&amp;")")&amp;IF(D2595="",""," - "&amp;D2595))</f>
        <v/>
      </c>
    </row>
    <row r="2596" customFormat="false" ht="15" hidden="false" customHeight="false" outlineLevel="0" collapsed="false">
      <c r="A2596" s="32"/>
      <c r="B2596" s="19"/>
      <c r="C2596" s="19"/>
      <c r="D2596" s="19"/>
      <c r="E2596" s="21"/>
      <c r="F2596" s="19"/>
      <c r="G2596" s="27" t="str">
        <f aca="false">IF(B2596="","",IFERROR(INDEX(Jeux!$C$2:$C$3001,MATCH(B2596,Jeux!$A$2:$A$3001,0))&amp;"","⚠ jeu inconnu"))</f>
        <v/>
      </c>
      <c r="H2596" s="27" t="str">
        <f aca="false">IF(B2596="","",IFERROR(INDEX(Jeux!$D$2:$D$3001,MATCH(B2596,Jeux!$A$2:$A$3001,0))&amp;"",""))</f>
        <v/>
      </c>
      <c r="I2596" s="26" t="str">
        <f aca="false">IF(A2596="","",COUNTIF(Apparitions!$G$2:$G$5001,A2596))</f>
        <v/>
      </c>
      <c r="J2596" s="26" t="str">
        <f aca="false">IF(A2596="","",COUNTIFS(Apparitions!$G$2:$G$5001,A2596,Apparitions!$E$2:$E$5001,"○"))</f>
        <v/>
      </c>
      <c r="K2596" s="29" t="str">
        <f aca="false">IF(A2596="","",IFERROR(1/(1/_xlfn.MINIFS(Apparitions!$L$2:$L$5001,Apparitions!$G$2:$G$5001,A2596)),""))</f>
        <v/>
      </c>
      <c r="L2596" s="27" t="str">
        <f aca="false">IF(A2596="","",A2596&amp;" | "&amp;B2596&amp;IF(C2596="",""," ("&amp;C2596&amp;")")&amp;IF(D2596="",""," - "&amp;D2596))</f>
        <v/>
      </c>
    </row>
    <row r="2597" customFormat="false" ht="15" hidden="false" customHeight="false" outlineLevel="0" collapsed="false">
      <c r="A2597" s="32"/>
      <c r="B2597" s="19"/>
      <c r="C2597" s="19"/>
      <c r="D2597" s="19"/>
      <c r="E2597" s="21"/>
      <c r="F2597" s="19"/>
      <c r="G2597" s="27" t="str">
        <f aca="false">IF(B2597="","",IFERROR(INDEX(Jeux!$C$2:$C$3001,MATCH(B2597,Jeux!$A$2:$A$3001,0))&amp;"","⚠ jeu inconnu"))</f>
        <v/>
      </c>
      <c r="H2597" s="27" t="str">
        <f aca="false">IF(B2597="","",IFERROR(INDEX(Jeux!$D$2:$D$3001,MATCH(B2597,Jeux!$A$2:$A$3001,0))&amp;"",""))</f>
        <v/>
      </c>
      <c r="I2597" s="26" t="str">
        <f aca="false">IF(A2597="","",COUNTIF(Apparitions!$G$2:$G$5001,A2597))</f>
        <v/>
      </c>
      <c r="J2597" s="26" t="str">
        <f aca="false">IF(A2597="","",COUNTIFS(Apparitions!$G$2:$G$5001,A2597,Apparitions!$E$2:$E$5001,"○"))</f>
        <v/>
      </c>
      <c r="K2597" s="29" t="str">
        <f aca="false">IF(A2597="","",IFERROR(1/(1/_xlfn.MINIFS(Apparitions!$L$2:$L$5001,Apparitions!$G$2:$G$5001,A2597)),""))</f>
        <v/>
      </c>
      <c r="L2597" s="27" t="str">
        <f aca="false">IF(A2597="","",A2597&amp;" | "&amp;B2597&amp;IF(C2597="",""," ("&amp;C2597&amp;")")&amp;IF(D2597="",""," - "&amp;D2597))</f>
        <v/>
      </c>
    </row>
    <row r="2598" customFormat="false" ht="15" hidden="false" customHeight="false" outlineLevel="0" collapsed="false">
      <c r="A2598" s="32"/>
      <c r="B2598" s="19"/>
      <c r="C2598" s="19"/>
      <c r="D2598" s="19"/>
      <c r="E2598" s="21"/>
      <c r="F2598" s="19"/>
      <c r="G2598" s="27" t="str">
        <f aca="false">IF(B2598="","",IFERROR(INDEX(Jeux!$C$2:$C$3001,MATCH(B2598,Jeux!$A$2:$A$3001,0))&amp;"","⚠ jeu inconnu"))</f>
        <v/>
      </c>
      <c r="H2598" s="27" t="str">
        <f aca="false">IF(B2598="","",IFERROR(INDEX(Jeux!$D$2:$D$3001,MATCH(B2598,Jeux!$A$2:$A$3001,0))&amp;"",""))</f>
        <v/>
      </c>
      <c r="I2598" s="26" t="str">
        <f aca="false">IF(A2598="","",COUNTIF(Apparitions!$G$2:$G$5001,A2598))</f>
        <v/>
      </c>
      <c r="J2598" s="26" t="str">
        <f aca="false">IF(A2598="","",COUNTIFS(Apparitions!$G$2:$G$5001,A2598,Apparitions!$E$2:$E$5001,"○"))</f>
        <v/>
      </c>
      <c r="K2598" s="29" t="str">
        <f aca="false">IF(A2598="","",IFERROR(1/(1/_xlfn.MINIFS(Apparitions!$L$2:$L$5001,Apparitions!$G$2:$G$5001,A2598)),""))</f>
        <v/>
      </c>
      <c r="L2598" s="27" t="str">
        <f aca="false">IF(A2598="","",A2598&amp;" | "&amp;B2598&amp;IF(C2598="",""," ("&amp;C2598&amp;")")&amp;IF(D2598="",""," - "&amp;D2598))</f>
        <v/>
      </c>
    </row>
    <row r="2599" customFormat="false" ht="15" hidden="false" customHeight="false" outlineLevel="0" collapsed="false">
      <c r="A2599" s="32"/>
      <c r="B2599" s="19"/>
      <c r="C2599" s="19"/>
      <c r="D2599" s="19"/>
      <c r="E2599" s="21"/>
      <c r="F2599" s="19"/>
      <c r="G2599" s="27" t="str">
        <f aca="false">IF(B2599="","",IFERROR(INDEX(Jeux!$C$2:$C$3001,MATCH(B2599,Jeux!$A$2:$A$3001,0))&amp;"","⚠ jeu inconnu"))</f>
        <v/>
      </c>
      <c r="H2599" s="27" t="str">
        <f aca="false">IF(B2599="","",IFERROR(INDEX(Jeux!$D$2:$D$3001,MATCH(B2599,Jeux!$A$2:$A$3001,0))&amp;"",""))</f>
        <v/>
      </c>
      <c r="I2599" s="26" t="str">
        <f aca="false">IF(A2599="","",COUNTIF(Apparitions!$G$2:$G$5001,A2599))</f>
        <v/>
      </c>
      <c r="J2599" s="26" t="str">
        <f aca="false">IF(A2599="","",COUNTIFS(Apparitions!$G$2:$G$5001,A2599,Apparitions!$E$2:$E$5001,"○"))</f>
        <v/>
      </c>
      <c r="K2599" s="29" t="str">
        <f aca="false">IF(A2599="","",IFERROR(1/(1/_xlfn.MINIFS(Apparitions!$L$2:$L$5001,Apparitions!$G$2:$G$5001,A2599)),""))</f>
        <v/>
      </c>
      <c r="L2599" s="27" t="str">
        <f aca="false">IF(A2599="","",A2599&amp;" | "&amp;B2599&amp;IF(C2599="",""," ("&amp;C2599&amp;")")&amp;IF(D2599="",""," - "&amp;D2599))</f>
        <v/>
      </c>
    </row>
    <row r="2600" customFormat="false" ht="15" hidden="false" customHeight="false" outlineLevel="0" collapsed="false">
      <c r="A2600" s="32"/>
      <c r="B2600" s="19"/>
      <c r="C2600" s="19"/>
      <c r="D2600" s="19"/>
      <c r="E2600" s="21"/>
      <c r="F2600" s="19"/>
      <c r="G2600" s="27" t="str">
        <f aca="false">IF(B2600="","",IFERROR(INDEX(Jeux!$C$2:$C$3001,MATCH(B2600,Jeux!$A$2:$A$3001,0))&amp;"","⚠ jeu inconnu"))</f>
        <v/>
      </c>
      <c r="H2600" s="27" t="str">
        <f aca="false">IF(B2600="","",IFERROR(INDEX(Jeux!$D$2:$D$3001,MATCH(B2600,Jeux!$A$2:$A$3001,0))&amp;"",""))</f>
        <v/>
      </c>
      <c r="I2600" s="26" t="str">
        <f aca="false">IF(A2600="","",COUNTIF(Apparitions!$G$2:$G$5001,A2600))</f>
        <v/>
      </c>
      <c r="J2600" s="26" t="str">
        <f aca="false">IF(A2600="","",COUNTIFS(Apparitions!$G$2:$G$5001,A2600,Apparitions!$E$2:$E$5001,"○"))</f>
        <v/>
      </c>
      <c r="K2600" s="29" t="str">
        <f aca="false">IF(A2600="","",IFERROR(1/(1/_xlfn.MINIFS(Apparitions!$L$2:$L$5001,Apparitions!$G$2:$G$5001,A2600)),""))</f>
        <v/>
      </c>
      <c r="L2600" s="27" t="str">
        <f aca="false">IF(A2600="","",A2600&amp;" | "&amp;B2600&amp;IF(C2600="",""," ("&amp;C2600&amp;")")&amp;IF(D2600="",""," - "&amp;D2600))</f>
        <v/>
      </c>
    </row>
    <row r="2601" customFormat="false" ht="15" hidden="false" customHeight="false" outlineLevel="0" collapsed="false">
      <c r="A2601" s="32"/>
      <c r="B2601" s="19"/>
      <c r="C2601" s="19"/>
      <c r="D2601" s="19"/>
      <c r="E2601" s="21"/>
      <c r="F2601" s="19"/>
      <c r="G2601" s="27" t="str">
        <f aca="false">IF(B2601="","",IFERROR(INDEX(Jeux!$C$2:$C$3001,MATCH(B2601,Jeux!$A$2:$A$3001,0))&amp;"","⚠ jeu inconnu"))</f>
        <v/>
      </c>
      <c r="H2601" s="27" t="str">
        <f aca="false">IF(B2601="","",IFERROR(INDEX(Jeux!$D$2:$D$3001,MATCH(B2601,Jeux!$A$2:$A$3001,0))&amp;"",""))</f>
        <v/>
      </c>
      <c r="I2601" s="26" t="str">
        <f aca="false">IF(A2601="","",COUNTIF(Apparitions!$G$2:$G$5001,A2601))</f>
        <v/>
      </c>
      <c r="J2601" s="26" t="str">
        <f aca="false">IF(A2601="","",COUNTIFS(Apparitions!$G$2:$G$5001,A2601,Apparitions!$E$2:$E$5001,"○"))</f>
        <v/>
      </c>
      <c r="K2601" s="29" t="str">
        <f aca="false">IF(A2601="","",IFERROR(1/(1/_xlfn.MINIFS(Apparitions!$L$2:$L$5001,Apparitions!$G$2:$G$5001,A2601)),""))</f>
        <v/>
      </c>
      <c r="L2601" s="27" t="str">
        <f aca="false">IF(A2601="","",A2601&amp;" | "&amp;B2601&amp;IF(C2601="",""," ("&amp;C2601&amp;")")&amp;IF(D2601="",""," - "&amp;D2601))</f>
        <v/>
      </c>
    </row>
    <row r="2602" customFormat="false" ht="15" hidden="false" customHeight="false" outlineLevel="0" collapsed="false">
      <c r="A2602" s="32"/>
      <c r="B2602" s="19"/>
      <c r="C2602" s="19"/>
      <c r="D2602" s="19"/>
      <c r="E2602" s="21"/>
      <c r="F2602" s="19"/>
      <c r="G2602" s="27" t="str">
        <f aca="false">IF(B2602="","",IFERROR(INDEX(Jeux!$C$2:$C$3001,MATCH(B2602,Jeux!$A$2:$A$3001,0))&amp;"","⚠ jeu inconnu"))</f>
        <v/>
      </c>
      <c r="H2602" s="27" t="str">
        <f aca="false">IF(B2602="","",IFERROR(INDEX(Jeux!$D$2:$D$3001,MATCH(B2602,Jeux!$A$2:$A$3001,0))&amp;"",""))</f>
        <v/>
      </c>
      <c r="I2602" s="26" t="str">
        <f aca="false">IF(A2602="","",COUNTIF(Apparitions!$G$2:$G$5001,A2602))</f>
        <v/>
      </c>
      <c r="J2602" s="26" t="str">
        <f aca="false">IF(A2602="","",COUNTIFS(Apparitions!$G$2:$G$5001,A2602,Apparitions!$E$2:$E$5001,"○"))</f>
        <v/>
      </c>
      <c r="K2602" s="29" t="str">
        <f aca="false">IF(A2602="","",IFERROR(1/(1/_xlfn.MINIFS(Apparitions!$L$2:$L$5001,Apparitions!$G$2:$G$5001,A2602)),""))</f>
        <v/>
      </c>
      <c r="L2602" s="27" t="str">
        <f aca="false">IF(A2602="","",A2602&amp;" | "&amp;B2602&amp;IF(C2602="",""," ("&amp;C2602&amp;")")&amp;IF(D2602="",""," - "&amp;D2602))</f>
        <v/>
      </c>
    </row>
    <row r="2603" customFormat="false" ht="15" hidden="false" customHeight="false" outlineLevel="0" collapsed="false">
      <c r="A2603" s="32"/>
      <c r="B2603" s="19"/>
      <c r="C2603" s="19"/>
      <c r="D2603" s="19"/>
      <c r="E2603" s="21"/>
      <c r="F2603" s="19"/>
      <c r="G2603" s="27" t="str">
        <f aca="false">IF(B2603="","",IFERROR(INDEX(Jeux!$C$2:$C$3001,MATCH(B2603,Jeux!$A$2:$A$3001,0))&amp;"","⚠ jeu inconnu"))</f>
        <v/>
      </c>
      <c r="H2603" s="27" t="str">
        <f aca="false">IF(B2603="","",IFERROR(INDEX(Jeux!$D$2:$D$3001,MATCH(B2603,Jeux!$A$2:$A$3001,0))&amp;"",""))</f>
        <v/>
      </c>
      <c r="I2603" s="26" t="str">
        <f aca="false">IF(A2603="","",COUNTIF(Apparitions!$G$2:$G$5001,A2603))</f>
        <v/>
      </c>
      <c r="J2603" s="26" t="str">
        <f aca="false">IF(A2603="","",COUNTIFS(Apparitions!$G$2:$G$5001,A2603,Apparitions!$E$2:$E$5001,"○"))</f>
        <v/>
      </c>
      <c r="K2603" s="29" t="str">
        <f aca="false">IF(A2603="","",IFERROR(1/(1/_xlfn.MINIFS(Apparitions!$L$2:$L$5001,Apparitions!$G$2:$G$5001,A2603)),""))</f>
        <v/>
      </c>
      <c r="L2603" s="27" t="str">
        <f aca="false">IF(A2603="","",A2603&amp;" | "&amp;B2603&amp;IF(C2603="",""," ("&amp;C2603&amp;")")&amp;IF(D2603="",""," - "&amp;D2603))</f>
        <v/>
      </c>
    </row>
    <row r="2604" customFormat="false" ht="15" hidden="false" customHeight="false" outlineLevel="0" collapsed="false">
      <c r="A2604" s="32"/>
      <c r="B2604" s="19"/>
      <c r="C2604" s="19"/>
      <c r="D2604" s="19"/>
      <c r="E2604" s="21"/>
      <c r="F2604" s="19"/>
      <c r="G2604" s="27" t="str">
        <f aca="false">IF(B2604="","",IFERROR(INDEX(Jeux!$C$2:$C$3001,MATCH(B2604,Jeux!$A$2:$A$3001,0))&amp;"","⚠ jeu inconnu"))</f>
        <v/>
      </c>
      <c r="H2604" s="27" t="str">
        <f aca="false">IF(B2604="","",IFERROR(INDEX(Jeux!$D$2:$D$3001,MATCH(B2604,Jeux!$A$2:$A$3001,0))&amp;"",""))</f>
        <v/>
      </c>
      <c r="I2604" s="26" t="str">
        <f aca="false">IF(A2604="","",COUNTIF(Apparitions!$G$2:$G$5001,A2604))</f>
        <v/>
      </c>
      <c r="J2604" s="26" t="str">
        <f aca="false">IF(A2604="","",COUNTIFS(Apparitions!$G$2:$G$5001,A2604,Apparitions!$E$2:$E$5001,"○"))</f>
        <v/>
      </c>
      <c r="K2604" s="29" t="str">
        <f aca="false">IF(A2604="","",IFERROR(1/(1/_xlfn.MINIFS(Apparitions!$L$2:$L$5001,Apparitions!$G$2:$G$5001,A2604)),""))</f>
        <v/>
      </c>
      <c r="L2604" s="27" t="str">
        <f aca="false">IF(A2604="","",A2604&amp;" | "&amp;B2604&amp;IF(C2604="",""," ("&amp;C2604&amp;")")&amp;IF(D2604="",""," - "&amp;D2604))</f>
        <v/>
      </c>
    </row>
    <row r="2605" customFormat="false" ht="15" hidden="false" customHeight="false" outlineLevel="0" collapsed="false">
      <c r="A2605" s="32"/>
      <c r="B2605" s="19"/>
      <c r="C2605" s="19"/>
      <c r="D2605" s="19"/>
      <c r="E2605" s="21"/>
      <c r="F2605" s="19"/>
      <c r="G2605" s="27" t="str">
        <f aca="false">IF(B2605="","",IFERROR(INDEX(Jeux!$C$2:$C$3001,MATCH(B2605,Jeux!$A$2:$A$3001,0))&amp;"","⚠ jeu inconnu"))</f>
        <v/>
      </c>
      <c r="H2605" s="27" t="str">
        <f aca="false">IF(B2605="","",IFERROR(INDEX(Jeux!$D$2:$D$3001,MATCH(B2605,Jeux!$A$2:$A$3001,0))&amp;"",""))</f>
        <v/>
      </c>
      <c r="I2605" s="26" t="str">
        <f aca="false">IF(A2605="","",COUNTIF(Apparitions!$G$2:$G$5001,A2605))</f>
        <v/>
      </c>
      <c r="J2605" s="26" t="str">
        <f aca="false">IF(A2605="","",COUNTIFS(Apparitions!$G$2:$G$5001,A2605,Apparitions!$E$2:$E$5001,"○"))</f>
        <v/>
      </c>
      <c r="K2605" s="29" t="str">
        <f aca="false">IF(A2605="","",IFERROR(1/(1/_xlfn.MINIFS(Apparitions!$L$2:$L$5001,Apparitions!$G$2:$G$5001,A2605)),""))</f>
        <v/>
      </c>
      <c r="L2605" s="27" t="str">
        <f aca="false">IF(A2605="","",A2605&amp;" | "&amp;B2605&amp;IF(C2605="",""," ("&amp;C2605&amp;")")&amp;IF(D2605="",""," - "&amp;D2605))</f>
        <v/>
      </c>
    </row>
    <row r="2606" customFormat="false" ht="15" hidden="false" customHeight="false" outlineLevel="0" collapsed="false">
      <c r="A2606" s="32"/>
      <c r="B2606" s="19"/>
      <c r="C2606" s="19"/>
      <c r="D2606" s="19"/>
      <c r="E2606" s="21"/>
      <c r="F2606" s="19"/>
      <c r="G2606" s="27" t="str">
        <f aca="false">IF(B2606="","",IFERROR(INDEX(Jeux!$C$2:$C$3001,MATCH(B2606,Jeux!$A$2:$A$3001,0))&amp;"","⚠ jeu inconnu"))</f>
        <v/>
      </c>
      <c r="H2606" s="27" t="str">
        <f aca="false">IF(B2606="","",IFERROR(INDEX(Jeux!$D$2:$D$3001,MATCH(B2606,Jeux!$A$2:$A$3001,0))&amp;"",""))</f>
        <v/>
      </c>
      <c r="I2606" s="26" t="str">
        <f aca="false">IF(A2606="","",COUNTIF(Apparitions!$G$2:$G$5001,A2606))</f>
        <v/>
      </c>
      <c r="J2606" s="26" t="str">
        <f aca="false">IF(A2606="","",COUNTIFS(Apparitions!$G$2:$G$5001,A2606,Apparitions!$E$2:$E$5001,"○"))</f>
        <v/>
      </c>
      <c r="K2606" s="29" t="str">
        <f aca="false">IF(A2606="","",IFERROR(1/(1/_xlfn.MINIFS(Apparitions!$L$2:$L$5001,Apparitions!$G$2:$G$5001,A2606)),""))</f>
        <v/>
      </c>
      <c r="L2606" s="27" t="str">
        <f aca="false">IF(A2606="","",A2606&amp;" | "&amp;B2606&amp;IF(C2606="",""," ("&amp;C2606&amp;")")&amp;IF(D2606="",""," - "&amp;D2606))</f>
        <v/>
      </c>
    </row>
    <row r="2607" customFormat="false" ht="15" hidden="false" customHeight="false" outlineLevel="0" collapsed="false">
      <c r="A2607" s="32"/>
      <c r="B2607" s="19"/>
      <c r="C2607" s="19"/>
      <c r="D2607" s="19"/>
      <c r="E2607" s="21"/>
      <c r="F2607" s="19"/>
      <c r="G2607" s="27" t="str">
        <f aca="false">IF(B2607="","",IFERROR(INDEX(Jeux!$C$2:$C$3001,MATCH(B2607,Jeux!$A$2:$A$3001,0))&amp;"","⚠ jeu inconnu"))</f>
        <v/>
      </c>
      <c r="H2607" s="27" t="str">
        <f aca="false">IF(B2607="","",IFERROR(INDEX(Jeux!$D$2:$D$3001,MATCH(B2607,Jeux!$A$2:$A$3001,0))&amp;"",""))</f>
        <v/>
      </c>
      <c r="I2607" s="26" t="str">
        <f aca="false">IF(A2607="","",COUNTIF(Apparitions!$G$2:$G$5001,A2607))</f>
        <v/>
      </c>
      <c r="J2607" s="26" t="str">
        <f aca="false">IF(A2607="","",COUNTIFS(Apparitions!$G$2:$G$5001,A2607,Apparitions!$E$2:$E$5001,"○"))</f>
        <v/>
      </c>
      <c r="K2607" s="29" t="str">
        <f aca="false">IF(A2607="","",IFERROR(1/(1/_xlfn.MINIFS(Apparitions!$L$2:$L$5001,Apparitions!$G$2:$G$5001,A2607)),""))</f>
        <v/>
      </c>
      <c r="L2607" s="27" t="str">
        <f aca="false">IF(A2607="","",A2607&amp;" | "&amp;B2607&amp;IF(C2607="",""," ("&amp;C2607&amp;")")&amp;IF(D2607="",""," - "&amp;D2607))</f>
        <v/>
      </c>
    </row>
    <row r="2608" customFormat="false" ht="15" hidden="false" customHeight="false" outlineLevel="0" collapsed="false">
      <c r="A2608" s="32"/>
      <c r="B2608" s="19"/>
      <c r="C2608" s="19"/>
      <c r="D2608" s="19"/>
      <c r="E2608" s="21"/>
      <c r="F2608" s="19"/>
      <c r="G2608" s="27" t="str">
        <f aca="false">IF(B2608="","",IFERROR(INDEX(Jeux!$C$2:$C$3001,MATCH(B2608,Jeux!$A$2:$A$3001,0))&amp;"","⚠ jeu inconnu"))</f>
        <v/>
      </c>
      <c r="H2608" s="27" t="str">
        <f aca="false">IF(B2608="","",IFERROR(INDEX(Jeux!$D$2:$D$3001,MATCH(B2608,Jeux!$A$2:$A$3001,0))&amp;"",""))</f>
        <v/>
      </c>
      <c r="I2608" s="26" t="str">
        <f aca="false">IF(A2608="","",COUNTIF(Apparitions!$G$2:$G$5001,A2608))</f>
        <v/>
      </c>
      <c r="J2608" s="26" t="str">
        <f aca="false">IF(A2608="","",COUNTIFS(Apparitions!$G$2:$G$5001,A2608,Apparitions!$E$2:$E$5001,"○"))</f>
        <v/>
      </c>
      <c r="K2608" s="29" t="str">
        <f aca="false">IF(A2608="","",IFERROR(1/(1/_xlfn.MINIFS(Apparitions!$L$2:$L$5001,Apparitions!$G$2:$G$5001,A2608)),""))</f>
        <v/>
      </c>
      <c r="L2608" s="27" t="str">
        <f aca="false">IF(A2608="","",A2608&amp;" | "&amp;B2608&amp;IF(C2608="",""," ("&amp;C2608&amp;")")&amp;IF(D2608="",""," - "&amp;D2608))</f>
        <v/>
      </c>
    </row>
    <row r="2609" customFormat="false" ht="15" hidden="false" customHeight="false" outlineLevel="0" collapsed="false">
      <c r="A2609" s="32"/>
      <c r="B2609" s="19"/>
      <c r="C2609" s="19"/>
      <c r="D2609" s="19"/>
      <c r="E2609" s="21"/>
      <c r="F2609" s="19"/>
      <c r="G2609" s="27" t="str">
        <f aca="false">IF(B2609="","",IFERROR(INDEX(Jeux!$C$2:$C$3001,MATCH(B2609,Jeux!$A$2:$A$3001,0))&amp;"","⚠ jeu inconnu"))</f>
        <v/>
      </c>
      <c r="H2609" s="27" t="str">
        <f aca="false">IF(B2609="","",IFERROR(INDEX(Jeux!$D$2:$D$3001,MATCH(B2609,Jeux!$A$2:$A$3001,0))&amp;"",""))</f>
        <v/>
      </c>
      <c r="I2609" s="26" t="str">
        <f aca="false">IF(A2609="","",COUNTIF(Apparitions!$G$2:$G$5001,A2609))</f>
        <v/>
      </c>
      <c r="J2609" s="26" t="str">
        <f aca="false">IF(A2609="","",COUNTIFS(Apparitions!$G$2:$G$5001,A2609,Apparitions!$E$2:$E$5001,"○"))</f>
        <v/>
      </c>
      <c r="K2609" s="29" t="str">
        <f aca="false">IF(A2609="","",IFERROR(1/(1/_xlfn.MINIFS(Apparitions!$L$2:$L$5001,Apparitions!$G$2:$G$5001,A2609)),""))</f>
        <v/>
      </c>
      <c r="L2609" s="27" t="str">
        <f aca="false">IF(A2609="","",A2609&amp;" | "&amp;B2609&amp;IF(C2609="",""," ("&amp;C2609&amp;")")&amp;IF(D2609="",""," - "&amp;D2609))</f>
        <v/>
      </c>
    </row>
    <row r="2610" customFormat="false" ht="15" hidden="false" customHeight="false" outlineLevel="0" collapsed="false">
      <c r="A2610" s="32"/>
      <c r="B2610" s="19"/>
      <c r="C2610" s="19"/>
      <c r="D2610" s="19"/>
      <c r="E2610" s="21"/>
      <c r="F2610" s="19"/>
      <c r="G2610" s="27" t="str">
        <f aca="false">IF(B2610="","",IFERROR(INDEX(Jeux!$C$2:$C$3001,MATCH(B2610,Jeux!$A$2:$A$3001,0))&amp;"","⚠ jeu inconnu"))</f>
        <v/>
      </c>
      <c r="H2610" s="27" t="str">
        <f aca="false">IF(B2610="","",IFERROR(INDEX(Jeux!$D$2:$D$3001,MATCH(B2610,Jeux!$A$2:$A$3001,0))&amp;"",""))</f>
        <v/>
      </c>
      <c r="I2610" s="26" t="str">
        <f aca="false">IF(A2610="","",COUNTIF(Apparitions!$G$2:$G$5001,A2610))</f>
        <v/>
      </c>
      <c r="J2610" s="26" t="str">
        <f aca="false">IF(A2610="","",COUNTIFS(Apparitions!$G$2:$G$5001,A2610,Apparitions!$E$2:$E$5001,"○"))</f>
        <v/>
      </c>
      <c r="K2610" s="29" t="str">
        <f aca="false">IF(A2610="","",IFERROR(1/(1/_xlfn.MINIFS(Apparitions!$L$2:$L$5001,Apparitions!$G$2:$G$5001,A2610)),""))</f>
        <v/>
      </c>
      <c r="L2610" s="27" t="str">
        <f aca="false">IF(A2610="","",A2610&amp;" | "&amp;B2610&amp;IF(C2610="",""," ("&amp;C2610&amp;")")&amp;IF(D2610="",""," - "&amp;D2610))</f>
        <v/>
      </c>
    </row>
    <row r="2611" customFormat="false" ht="15" hidden="false" customHeight="false" outlineLevel="0" collapsed="false">
      <c r="A2611" s="32"/>
      <c r="B2611" s="19"/>
      <c r="C2611" s="19"/>
      <c r="D2611" s="19"/>
      <c r="E2611" s="21"/>
      <c r="F2611" s="19"/>
      <c r="G2611" s="27" t="str">
        <f aca="false">IF(B2611="","",IFERROR(INDEX(Jeux!$C$2:$C$3001,MATCH(B2611,Jeux!$A$2:$A$3001,0))&amp;"","⚠ jeu inconnu"))</f>
        <v/>
      </c>
      <c r="H2611" s="27" t="str">
        <f aca="false">IF(B2611="","",IFERROR(INDEX(Jeux!$D$2:$D$3001,MATCH(B2611,Jeux!$A$2:$A$3001,0))&amp;"",""))</f>
        <v/>
      </c>
      <c r="I2611" s="26" t="str">
        <f aca="false">IF(A2611="","",COUNTIF(Apparitions!$G$2:$G$5001,A2611))</f>
        <v/>
      </c>
      <c r="J2611" s="26" t="str">
        <f aca="false">IF(A2611="","",COUNTIFS(Apparitions!$G$2:$G$5001,A2611,Apparitions!$E$2:$E$5001,"○"))</f>
        <v/>
      </c>
      <c r="K2611" s="29" t="str">
        <f aca="false">IF(A2611="","",IFERROR(1/(1/_xlfn.MINIFS(Apparitions!$L$2:$L$5001,Apparitions!$G$2:$G$5001,A2611)),""))</f>
        <v/>
      </c>
      <c r="L2611" s="27" t="str">
        <f aca="false">IF(A2611="","",A2611&amp;" | "&amp;B2611&amp;IF(C2611="",""," ("&amp;C2611&amp;")")&amp;IF(D2611="",""," - "&amp;D2611))</f>
        <v/>
      </c>
    </row>
    <row r="2612" customFormat="false" ht="15" hidden="false" customHeight="false" outlineLevel="0" collapsed="false">
      <c r="A2612" s="32"/>
      <c r="B2612" s="19"/>
      <c r="C2612" s="19"/>
      <c r="D2612" s="19"/>
      <c r="E2612" s="21"/>
      <c r="F2612" s="19"/>
      <c r="G2612" s="27" t="str">
        <f aca="false">IF(B2612="","",IFERROR(INDEX(Jeux!$C$2:$C$3001,MATCH(B2612,Jeux!$A$2:$A$3001,0))&amp;"","⚠ jeu inconnu"))</f>
        <v/>
      </c>
      <c r="H2612" s="27" t="str">
        <f aca="false">IF(B2612="","",IFERROR(INDEX(Jeux!$D$2:$D$3001,MATCH(B2612,Jeux!$A$2:$A$3001,0))&amp;"",""))</f>
        <v/>
      </c>
      <c r="I2612" s="26" t="str">
        <f aca="false">IF(A2612="","",COUNTIF(Apparitions!$G$2:$G$5001,A2612))</f>
        <v/>
      </c>
      <c r="J2612" s="26" t="str">
        <f aca="false">IF(A2612="","",COUNTIFS(Apparitions!$G$2:$G$5001,A2612,Apparitions!$E$2:$E$5001,"○"))</f>
        <v/>
      </c>
      <c r="K2612" s="29" t="str">
        <f aca="false">IF(A2612="","",IFERROR(1/(1/_xlfn.MINIFS(Apparitions!$L$2:$L$5001,Apparitions!$G$2:$G$5001,A2612)),""))</f>
        <v/>
      </c>
      <c r="L2612" s="27" t="str">
        <f aca="false">IF(A2612="","",A2612&amp;" | "&amp;B2612&amp;IF(C2612="",""," ("&amp;C2612&amp;")")&amp;IF(D2612="",""," - "&amp;D2612))</f>
        <v/>
      </c>
    </row>
    <row r="2613" customFormat="false" ht="15" hidden="false" customHeight="false" outlineLevel="0" collapsed="false">
      <c r="A2613" s="32"/>
      <c r="B2613" s="19"/>
      <c r="C2613" s="19"/>
      <c r="D2613" s="19"/>
      <c r="E2613" s="21"/>
      <c r="F2613" s="19"/>
      <c r="G2613" s="27" t="str">
        <f aca="false">IF(B2613="","",IFERROR(INDEX(Jeux!$C$2:$C$3001,MATCH(B2613,Jeux!$A$2:$A$3001,0))&amp;"","⚠ jeu inconnu"))</f>
        <v/>
      </c>
      <c r="H2613" s="27" t="str">
        <f aca="false">IF(B2613="","",IFERROR(INDEX(Jeux!$D$2:$D$3001,MATCH(B2613,Jeux!$A$2:$A$3001,0))&amp;"",""))</f>
        <v/>
      </c>
      <c r="I2613" s="26" t="str">
        <f aca="false">IF(A2613="","",COUNTIF(Apparitions!$G$2:$G$5001,A2613))</f>
        <v/>
      </c>
      <c r="J2613" s="26" t="str">
        <f aca="false">IF(A2613="","",COUNTIFS(Apparitions!$G$2:$G$5001,A2613,Apparitions!$E$2:$E$5001,"○"))</f>
        <v/>
      </c>
      <c r="K2613" s="29" t="str">
        <f aca="false">IF(A2613="","",IFERROR(1/(1/_xlfn.MINIFS(Apparitions!$L$2:$L$5001,Apparitions!$G$2:$G$5001,A2613)),""))</f>
        <v/>
      </c>
      <c r="L2613" s="27" t="str">
        <f aca="false">IF(A2613="","",A2613&amp;" | "&amp;B2613&amp;IF(C2613="",""," ("&amp;C2613&amp;")")&amp;IF(D2613="",""," - "&amp;D2613))</f>
        <v/>
      </c>
    </row>
    <row r="2614" customFormat="false" ht="15" hidden="false" customHeight="false" outlineLevel="0" collapsed="false">
      <c r="A2614" s="32"/>
      <c r="B2614" s="19"/>
      <c r="C2614" s="19"/>
      <c r="D2614" s="19"/>
      <c r="E2614" s="21"/>
      <c r="F2614" s="19"/>
      <c r="G2614" s="27" t="str">
        <f aca="false">IF(B2614="","",IFERROR(INDEX(Jeux!$C$2:$C$3001,MATCH(B2614,Jeux!$A$2:$A$3001,0))&amp;"","⚠ jeu inconnu"))</f>
        <v/>
      </c>
      <c r="H2614" s="27" t="str">
        <f aca="false">IF(B2614="","",IFERROR(INDEX(Jeux!$D$2:$D$3001,MATCH(B2614,Jeux!$A$2:$A$3001,0))&amp;"",""))</f>
        <v/>
      </c>
      <c r="I2614" s="26" t="str">
        <f aca="false">IF(A2614="","",COUNTIF(Apparitions!$G$2:$G$5001,A2614))</f>
        <v/>
      </c>
      <c r="J2614" s="26" t="str">
        <f aca="false">IF(A2614="","",COUNTIFS(Apparitions!$G$2:$G$5001,A2614,Apparitions!$E$2:$E$5001,"○"))</f>
        <v/>
      </c>
      <c r="K2614" s="29" t="str">
        <f aca="false">IF(A2614="","",IFERROR(1/(1/_xlfn.MINIFS(Apparitions!$L$2:$L$5001,Apparitions!$G$2:$G$5001,A2614)),""))</f>
        <v/>
      </c>
      <c r="L2614" s="27" t="str">
        <f aca="false">IF(A2614="","",A2614&amp;" | "&amp;B2614&amp;IF(C2614="",""," ("&amp;C2614&amp;")")&amp;IF(D2614="",""," - "&amp;D2614))</f>
        <v/>
      </c>
    </row>
    <row r="2615" customFormat="false" ht="15" hidden="false" customHeight="false" outlineLevel="0" collapsed="false">
      <c r="A2615" s="32"/>
      <c r="B2615" s="19"/>
      <c r="C2615" s="19"/>
      <c r="D2615" s="19"/>
      <c r="E2615" s="21"/>
      <c r="F2615" s="19"/>
      <c r="G2615" s="27" t="str">
        <f aca="false">IF(B2615="","",IFERROR(INDEX(Jeux!$C$2:$C$3001,MATCH(B2615,Jeux!$A$2:$A$3001,0))&amp;"","⚠ jeu inconnu"))</f>
        <v/>
      </c>
      <c r="H2615" s="27" t="str">
        <f aca="false">IF(B2615="","",IFERROR(INDEX(Jeux!$D$2:$D$3001,MATCH(B2615,Jeux!$A$2:$A$3001,0))&amp;"",""))</f>
        <v/>
      </c>
      <c r="I2615" s="26" t="str">
        <f aca="false">IF(A2615="","",COUNTIF(Apparitions!$G$2:$G$5001,A2615))</f>
        <v/>
      </c>
      <c r="J2615" s="26" t="str">
        <f aca="false">IF(A2615="","",COUNTIFS(Apparitions!$G$2:$G$5001,A2615,Apparitions!$E$2:$E$5001,"○"))</f>
        <v/>
      </c>
      <c r="K2615" s="29" t="str">
        <f aca="false">IF(A2615="","",IFERROR(1/(1/_xlfn.MINIFS(Apparitions!$L$2:$L$5001,Apparitions!$G$2:$G$5001,A2615)),""))</f>
        <v/>
      </c>
      <c r="L2615" s="27" t="str">
        <f aca="false">IF(A2615="","",A2615&amp;" | "&amp;B2615&amp;IF(C2615="",""," ("&amp;C2615&amp;")")&amp;IF(D2615="",""," - "&amp;D2615))</f>
        <v/>
      </c>
    </row>
    <row r="2616" customFormat="false" ht="15" hidden="false" customHeight="false" outlineLevel="0" collapsed="false">
      <c r="A2616" s="32"/>
      <c r="B2616" s="19"/>
      <c r="C2616" s="19"/>
      <c r="D2616" s="19"/>
      <c r="E2616" s="21"/>
      <c r="F2616" s="19"/>
      <c r="G2616" s="27" t="str">
        <f aca="false">IF(B2616="","",IFERROR(INDEX(Jeux!$C$2:$C$3001,MATCH(B2616,Jeux!$A$2:$A$3001,0))&amp;"","⚠ jeu inconnu"))</f>
        <v/>
      </c>
      <c r="H2616" s="27" t="str">
        <f aca="false">IF(B2616="","",IFERROR(INDEX(Jeux!$D$2:$D$3001,MATCH(B2616,Jeux!$A$2:$A$3001,0))&amp;"",""))</f>
        <v/>
      </c>
      <c r="I2616" s="26" t="str">
        <f aca="false">IF(A2616="","",COUNTIF(Apparitions!$G$2:$G$5001,A2616))</f>
        <v/>
      </c>
      <c r="J2616" s="26" t="str">
        <f aca="false">IF(A2616="","",COUNTIFS(Apparitions!$G$2:$G$5001,A2616,Apparitions!$E$2:$E$5001,"○"))</f>
        <v/>
      </c>
      <c r="K2616" s="29" t="str">
        <f aca="false">IF(A2616="","",IFERROR(1/(1/_xlfn.MINIFS(Apparitions!$L$2:$L$5001,Apparitions!$G$2:$G$5001,A2616)),""))</f>
        <v/>
      </c>
      <c r="L2616" s="27" t="str">
        <f aca="false">IF(A2616="","",A2616&amp;" | "&amp;B2616&amp;IF(C2616="",""," ("&amp;C2616&amp;")")&amp;IF(D2616="",""," - "&amp;D2616))</f>
        <v/>
      </c>
    </row>
    <row r="2617" customFormat="false" ht="15" hidden="false" customHeight="false" outlineLevel="0" collapsed="false">
      <c r="A2617" s="32"/>
      <c r="B2617" s="19"/>
      <c r="C2617" s="19"/>
      <c r="D2617" s="19"/>
      <c r="E2617" s="21"/>
      <c r="F2617" s="19"/>
      <c r="G2617" s="27" t="str">
        <f aca="false">IF(B2617="","",IFERROR(INDEX(Jeux!$C$2:$C$3001,MATCH(B2617,Jeux!$A$2:$A$3001,0))&amp;"","⚠ jeu inconnu"))</f>
        <v/>
      </c>
      <c r="H2617" s="27" t="str">
        <f aca="false">IF(B2617="","",IFERROR(INDEX(Jeux!$D$2:$D$3001,MATCH(B2617,Jeux!$A$2:$A$3001,0))&amp;"",""))</f>
        <v/>
      </c>
      <c r="I2617" s="26" t="str">
        <f aca="false">IF(A2617="","",COUNTIF(Apparitions!$G$2:$G$5001,A2617))</f>
        <v/>
      </c>
      <c r="J2617" s="26" t="str">
        <f aca="false">IF(A2617="","",COUNTIFS(Apparitions!$G$2:$G$5001,A2617,Apparitions!$E$2:$E$5001,"○"))</f>
        <v/>
      </c>
      <c r="K2617" s="29" t="str">
        <f aca="false">IF(A2617="","",IFERROR(1/(1/_xlfn.MINIFS(Apparitions!$L$2:$L$5001,Apparitions!$G$2:$G$5001,A2617)),""))</f>
        <v/>
      </c>
      <c r="L2617" s="27" t="str">
        <f aca="false">IF(A2617="","",A2617&amp;" | "&amp;B2617&amp;IF(C2617="",""," ("&amp;C2617&amp;")")&amp;IF(D2617="",""," - "&amp;D2617))</f>
        <v/>
      </c>
    </row>
    <row r="2618" customFormat="false" ht="15" hidden="false" customHeight="false" outlineLevel="0" collapsed="false">
      <c r="A2618" s="32"/>
      <c r="B2618" s="19"/>
      <c r="C2618" s="19"/>
      <c r="D2618" s="19"/>
      <c r="E2618" s="21"/>
      <c r="F2618" s="19"/>
      <c r="G2618" s="27" t="str">
        <f aca="false">IF(B2618="","",IFERROR(INDEX(Jeux!$C$2:$C$3001,MATCH(B2618,Jeux!$A$2:$A$3001,0))&amp;"","⚠ jeu inconnu"))</f>
        <v/>
      </c>
      <c r="H2618" s="27" t="str">
        <f aca="false">IF(B2618="","",IFERROR(INDEX(Jeux!$D$2:$D$3001,MATCH(B2618,Jeux!$A$2:$A$3001,0))&amp;"",""))</f>
        <v/>
      </c>
      <c r="I2618" s="26" t="str">
        <f aca="false">IF(A2618="","",COUNTIF(Apparitions!$G$2:$G$5001,A2618))</f>
        <v/>
      </c>
      <c r="J2618" s="26" t="str">
        <f aca="false">IF(A2618="","",COUNTIFS(Apparitions!$G$2:$G$5001,A2618,Apparitions!$E$2:$E$5001,"○"))</f>
        <v/>
      </c>
      <c r="K2618" s="29" t="str">
        <f aca="false">IF(A2618="","",IFERROR(1/(1/_xlfn.MINIFS(Apparitions!$L$2:$L$5001,Apparitions!$G$2:$G$5001,A2618)),""))</f>
        <v/>
      </c>
      <c r="L2618" s="27" t="str">
        <f aca="false">IF(A2618="","",A2618&amp;" | "&amp;B2618&amp;IF(C2618="",""," ("&amp;C2618&amp;")")&amp;IF(D2618="",""," - "&amp;D2618))</f>
        <v/>
      </c>
    </row>
    <row r="2619" customFormat="false" ht="15" hidden="false" customHeight="false" outlineLevel="0" collapsed="false">
      <c r="A2619" s="32"/>
      <c r="B2619" s="19"/>
      <c r="C2619" s="19"/>
      <c r="D2619" s="19"/>
      <c r="E2619" s="21"/>
      <c r="F2619" s="19"/>
      <c r="G2619" s="27" t="str">
        <f aca="false">IF(B2619="","",IFERROR(INDEX(Jeux!$C$2:$C$3001,MATCH(B2619,Jeux!$A$2:$A$3001,0))&amp;"","⚠ jeu inconnu"))</f>
        <v/>
      </c>
      <c r="H2619" s="27" t="str">
        <f aca="false">IF(B2619="","",IFERROR(INDEX(Jeux!$D$2:$D$3001,MATCH(B2619,Jeux!$A$2:$A$3001,0))&amp;"",""))</f>
        <v/>
      </c>
      <c r="I2619" s="26" t="str">
        <f aca="false">IF(A2619="","",COUNTIF(Apparitions!$G$2:$G$5001,A2619))</f>
        <v/>
      </c>
      <c r="J2619" s="26" t="str">
        <f aca="false">IF(A2619="","",COUNTIFS(Apparitions!$G$2:$G$5001,A2619,Apparitions!$E$2:$E$5001,"○"))</f>
        <v/>
      </c>
      <c r="K2619" s="29" t="str">
        <f aca="false">IF(A2619="","",IFERROR(1/(1/_xlfn.MINIFS(Apparitions!$L$2:$L$5001,Apparitions!$G$2:$G$5001,A2619)),""))</f>
        <v/>
      </c>
      <c r="L2619" s="27" t="str">
        <f aca="false">IF(A2619="","",A2619&amp;" | "&amp;B2619&amp;IF(C2619="",""," ("&amp;C2619&amp;")")&amp;IF(D2619="",""," - "&amp;D2619))</f>
        <v/>
      </c>
    </row>
    <row r="2620" customFormat="false" ht="15" hidden="false" customHeight="false" outlineLevel="0" collapsed="false">
      <c r="A2620" s="32"/>
      <c r="B2620" s="19"/>
      <c r="C2620" s="19"/>
      <c r="D2620" s="19"/>
      <c r="E2620" s="21"/>
      <c r="F2620" s="19"/>
      <c r="G2620" s="27" t="str">
        <f aca="false">IF(B2620="","",IFERROR(INDEX(Jeux!$C$2:$C$3001,MATCH(B2620,Jeux!$A$2:$A$3001,0))&amp;"","⚠ jeu inconnu"))</f>
        <v/>
      </c>
      <c r="H2620" s="27" t="str">
        <f aca="false">IF(B2620="","",IFERROR(INDEX(Jeux!$D$2:$D$3001,MATCH(B2620,Jeux!$A$2:$A$3001,0))&amp;"",""))</f>
        <v/>
      </c>
      <c r="I2620" s="26" t="str">
        <f aca="false">IF(A2620="","",COUNTIF(Apparitions!$G$2:$G$5001,A2620))</f>
        <v/>
      </c>
      <c r="J2620" s="26" t="str">
        <f aca="false">IF(A2620="","",COUNTIFS(Apparitions!$G$2:$G$5001,A2620,Apparitions!$E$2:$E$5001,"○"))</f>
        <v/>
      </c>
      <c r="K2620" s="29" t="str">
        <f aca="false">IF(A2620="","",IFERROR(1/(1/_xlfn.MINIFS(Apparitions!$L$2:$L$5001,Apparitions!$G$2:$G$5001,A2620)),""))</f>
        <v/>
      </c>
      <c r="L2620" s="27" t="str">
        <f aca="false">IF(A2620="","",A2620&amp;" | "&amp;B2620&amp;IF(C2620="",""," ("&amp;C2620&amp;")")&amp;IF(D2620="",""," - "&amp;D2620))</f>
        <v/>
      </c>
    </row>
    <row r="2621" customFormat="false" ht="15" hidden="false" customHeight="false" outlineLevel="0" collapsed="false">
      <c r="A2621" s="32"/>
      <c r="B2621" s="19"/>
      <c r="C2621" s="19"/>
      <c r="D2621" s="19"/>
      <c r="E2621" s="21"/>
      <c r="F2621" s="19"/>
      <c r="G2621" s="27" t="str">
        <f aca="false">IF(B2621="","",IFERROR(INDEX(Jeux!$C$2:$C$3001,MATCH(B2621,Jeux!$A$2:$A$3001,0))&amp;"","⚠ jeu inconnu"))</f>
        <v/>
      </c>
      <c r="H2621" s="27" t="str">
        <f aca="false">IF(B2621="","",IFERROR(INDEX(Jeux!$D$2:$D$3001,MATCH(B2621,Jeux!$A$2:$A$3001,0))&amp;"",""))</f>
        <v/>
      </c>
      <c r="I2621" s="26" t="str">
        <f aca="false">IF(A2621="","",COUNTIF(Apparitions!$G$2:$G$5001,A2621))</f>
        <v/>
      </c>
      <c r="J2621" s="26" t="str">
        <f aca="false">IF(A2621="","",COUNTIFS(Apparitions!$G$2:$G$5001,A2621,Apparitions!$E$2:$E$5001,"○"))</f>
        <v/>
      </c>
      <c r="K2621" s="29" t="str">
        <f aca="false">IF(A2621="","",IFERROR(1/(1/_xlfn.MINIFS(Apparitions!$L$2:$L$5001,Apparitions!$G$2:$G$5001,A2621)),""))</f>
        <v/>
      </c>
      <c r="L2621" s="27" t="str">
        <f aca="false">IF(A2621="","",A2621&amp;" | "&amp;B2621&amp;IF(C2621="",""," ("&amp;C2621&amp;")")&amp;IF(D2621="",""," - "&amp;D2621))</f>
        <v/>
      </c>
    </row>
    <row r="2622" customFormat="false" ht="15" hidden="false" customHeight="false" outlineLevel="0" collapsed="false">
      <c r="A2622" s="32"/>
      <c r="B2622" s="19"/>
      <c r="C2622" s="19"/>
      <c r="D2622" s="19"/>
      <c r="E2622" s="21"/>
      <c r="F2622" s="19"/>
      <c r="G2622" s="27" t="str">
        <f aca="false">IF(B2622="","",IFERROR(INDEX(Jeux!$C$2:$C$3001,MATCH(B2622,Jeux!$A$2:$A$3001,0))&amp;"","⚠ jeu inconnu"))</f>
        <v/>
      </c>
      <c r="H2622" s="27" t="str">
        <f aca="false">IF(B2622="","",IFERROR(INDEX(Jeux!$D$2:$D$3001,MATCH(B2622,Jeux!$A$2:$A$3001,0))&amp;"",""))</f>
        <v/>
      </c>
      <c r="I2622" s="26" t="str">
        <f aca="false">IF(A2622="","",COUNTIF(Apparitions!$G$2:$G$5001,A2622))</f>
        <v/>
      </c>
      <c r="J2622" s="26" t="str">
        <f aca="false">IF(A2622="","",COUNTIFS(Apparitions!$G$2:$G$5001,A2622,Apparitions!$E$2:$E$5001,"○"))</f>
        <v/>
      </c>
      <c r="K2622" s="29" t="str">
        <f aca="false">IF(A2622="","",IFERROR(1/(1/_xlfn.MINIFS(Apparitions!$L$2:$L$5001,Apparitions!$G$2:$G$5001,A2622)),""))</f>
        <v/>
      </c>
      <c r="L2622" s="27" t="str">
        <f aca="false">IF(A2622="","",A2622&amp;" | "&amp;B2622&amp;IF(C2622="",""," ("&amp;C2622&amp;")")&amp;IF(D2622="",""," - "&amp;D2622))</f>
        <v/>
      </c>
    </row>
    <row r="2623" customFormat="false" ht="15" hidden="false" customHeight="false" outlineLevel="0" collapsed="false">
      <c r="A2623" s="32"/>
      <c r="B2623" s="19"/>
      <c r="C2623" s="19"/>
      <c r="D2623" s="19"/>
      <c r="E2623" s="21"/>
      <c r="F2623" s="19"/>
      <c r="G2623" s="27" t="str">
        <f aca="false">IF(B2623="","",IFERROR(INDEX(Jeux!$C$2:$C$3001,MATCH(B2623,Jeux!$A$2:$A$3001,0))&amp;"","⚠ jeu inconnu"))</f>
        <v/>
      </c>
      <c r="H2623" s="27" t="str">
        <f aca="false">IF(B2623="","",IFERROR(INDEX(Jeux!$D$2:$D$3001,MATCH(B2623,Jeux!$A$2:$A$3001,0))&amp;"",""))</f>
        <v/>
      </c>
      <c r="I2623" s="26" t="str">
        <f aca="false">IF(A2623="","",COUNTIF(Apparitions!$G$2:$G$5001,A2623))</f>
        <v/>
      </c>
      <c r="J2623" s="26" t="str">
        <f aca="false">IF(A2623="","",COUNTIFS(Apparitions!$G$2:$G$5001,A2623,Apparitions!$E$2:$E$5001,"○"))</f>
        <v/>
      </c>
      <c r="K2623" s="29" t="str">
        <f aca="false">IF(A2623="","",IFERROR(1/(1/_xlfn.MINIFS(Apparitions!$L$2:$L$5001,Apparitions!$G$2:$G$5001,A2623)),""))</f>
        <v/>
      </c>
      <c r="L2623" s="27" t="str">
        <f aca="false">IF(A2623="","",A2623&amp;" | "&amp;B2623&amp;IF(C2623="",""," ("&amp;C2623&amp;")")&amp;IF(D2623="",""," - "&amp;D2623))</f>
        <v/>
      </c>
    </row>
    <row r="2624" customFormat="false" ht="15" hidden="false" customHeight="false" outlineLevel="0" collapsed="false">
      <c r="A2624" s="32"/>
      <c r="B2624" s="19"/>
      <c r="C2624" s="19"/>
      <c r="D2624" s="19"/>
      <c r="E2624" s="21"/>
      <c r="F2624" s="19"/>
      <c r="G2624" s="27" t="str">
        <f aca="false">IF(B2624="","",IFERROR(INDEX(Jeux!$C$2:$C$3001,MATCH(B2624,Jeux!$A$2:$A$3001,0))&amp;"","⚠ jeu inconnu"))</f>
        <v/>
      </c>
      <c r="H2624" s="27" t="str">
        <f aca="false">IF(B2624="","",IFERROR(INDEX(Jeux!$D$2:$D$3001,MATCH(B2624,Jeux!$A$2:$A$3001,0))&amp;"",""))</f>
        <v/>
      </c>
      <c r="I2624" s="26" t="str">
        <f aca="false">IF(A2624="","",COUNTIF(Apparitions!$G$2:$G$5001,A2624))</f>
        <v/>
      </c>
      <c r="J2624" s="26" t="str">
        <f aca="false">IF(A2624="","",COUNTIFS(Apparitions!$G$2:$G$5001,A2624,Apparitions!$E$2:$E$5001,"○"))</f>
        <v/>
      </c>
      <c r="K2624" s="29" t="str">
        <f aca="false">IF(A2624="","",IFERROR(1/(1/_xlfn.MINIFS(Apparitions!$L$2:$L$5001,Apparitions!$G$2:$G$5001,A2624)),""))</f>
        <v/>
      </c>
      <c r="L2624" s="27" t="str">
        <f aca="false">IF(A2624="","",A2624&amp;" | "&amp;B2624&amp;IF(C2624="",""," ("&amp;C2624&amp;")")&amp;IF(D2624="",""," - "&amp;D2624))</f>
        <v/>
      </c>
    </row>
    <row r="2625" customFormat="false" ht="15" hidden="false" customHeight="false" outlineLevel="0" collapsed="false">
      <c r="A2625" s="32"/>
      <c r="B2625" s="19"/>
      <c r="C2625" s="19"/>
      <c r="D2625" s="19"/>
      <c r="E2625" s="21"/>
      <c r="F2625" s="19"/>
      <c r="G2625" s="27" t="str">
        <f aca="false">IF(B2625="","",IFERROR(INDEX(Jeux!$C$2:$C$3001,MATCH(B2625,Jeux!$A$2:$A$3001,0))&amp;"","⚠ jeu inconnu"))</f>
        <v/>
      </c>
      <c r="H2625" s="27" t="str">
        <f aca="false">IF(B2625="","",IFERROR(INDEX(Jeux!$D$2:$D$3001,MATCH(B2625,Jeux!$A$2:$A$3001,0))&amp;"",""))</f>
        <v/>
      </c>
      <c r="I2625" s="26" t="str">
        <f aca="false">IF(A2625="","",COUNTIF(Apparitions!$G$2:$G$5001,A2625))</f>
        <v/>
      </c>
      <c r="J2625" s="26" t="str">
        <f aca="false">IF(A2625="","",COUNTIFS(Apparitions!$G$2:$G$5001,A2625,Apparitions!$E$2:$E$5001,"○"))</f>
        <v/>
      </c>
      <c r="K2625" s="29" t="str">
        <f aca="false">IF(A2625="","",IFERROR(1/(1/_xlfn.MINIFS(Apparitions!$L$2:$L$5001,Apparitions!$G$2:$G$5001,A2625)),""))</f>
        <v/>
      </c>
      <c r="L2625" s="27" t="str">
        <f aca="false">IF(A2625="","",A2625&amp;" | "&amp;B2625&amp;IF(C2625="",""," ("&amp;C2625&amp;")")&amp;IF(D2625="",""," - "&amp;D2625))</f>
        <v/>
      </c>
    </row>
    <row r="2626" customFormat="false" ht="15" hidden="false" customHeight="false" outlineLevel="0" collapsed="false">
      <c r="A2626" s="32"/>
      <c r="B2626" s="19"/>
      <c r="C2626" s="19"/>
      <c r="D2626" s="19"/>
      <c r="E2626" s="21"/>
      <c r="F2626" s="19"/>
      <c r="G2626" s="27" t="str">
        <f aca="false">IF(B2626="","",IFERROR(INDEX(Jeux!$C$2:$C$3001,MATCH(B2626,Jeux!$A$2:$A$3001,0))&amp;"","⚠ jeu inconnu"))</f>
        <v/>
      </c>
      <c r="H2626" s="27" t="str">
        <f aca="false">IF(B2626="","",IFERROR(INDEX(Jeux!$D$2:$D$3001,MATCH(B2626,Jeux!$A$2:$A$3001,0))&amp;"",""))</f>
        <v/>
      </c>
      <c r="I2626" s="26" t="str">
        <f aca="false">IF(A2626="","",COUNTIF(Apparitions!$G$2:$G$5001,A2626))</f>
        <v/>
      </c>
      <c r="J2626" s="26" t="str">
        <f aca="false">IF(A2626="","",COUNTIFS(Apparitions!$G$2:$G$5001,A2626,Apparitions!$E$2:$E$5001,"○"))</f>
        <v/>
      </c>
      <c r="K2626" s="29" t="str">
        <f aca="false">IF(A2626="","",IFERROR(1/(1/_xlfn.MINIFS(Apparitions!$L$2:$L$5001,Apparitions!$G$2:$G$5001,A2626)),""))</f>
        <v/>
      </c>
      <c r="L2626" s="27" t="str">
        <f aca="false">IF(A2626="","",A2626&amp;" | "&amp;B2626&amp;IF(C2626="",""," ("&amp;C2626&amp;")")&amp;IF(D2626="",""," - "&amp;D2626))</f>
        <v/>
      </c>
    </row>
    <row r="2627" customFormat="false" ht="15" hidden="false" customHeight="false" outlineLevel="0" collapsed="false">
      <c r="A2627" s="32"/>
      <c r="B2627" s="19"/>
      <c r="C2627" s="19"/>
      <c r="D2627" s="19"/>
      <c r="E2627" s="21"/>
      <c r="F2627" s="19"/>
      <c r="G2627" s="27" t="str">
        <f aca="false">IF(B2627="","",IFERROR(INDEX(Jeux!$C$2:$C$3001,MATCH(B2627,Jeux!$A$2:$A$3001,0))&amp;"","⚠ jeu inconnu"))</f>
        <v/>
      </c>
      <c r="H2627" s="27" t="str">
        <f aca="false">IF(B2627="","",IFERROR(INDEX(Jeux!$D$2:$D$3001,MATCH(B2627,Jeux!$A$2:$A$3001,0))&amp;"",""))</f>
        <v/>
      </c>
      <c r="I2627" s="26" t="str">
        <f aca="false">IF(A2627="","",COUNTIF(Apparitions!$G$2:$G$5001,A2627))</f>
        <v/>
      </c>
      <c r="J2627" s="26" t="str">
        <f aca="false">IF(A2627="","",COUNTIFS(Apparitions!$G$2:$G$5001,A2627,Apparitions!$E$2:$E$5001,"○"))</f>
        <v/>
      </c>
      <c r="K2627" s="29" t="str">
        <f aca="false">IF(A2627="","",IFERROR(1/(1/_xlfn.MINIFS(Apparitions!$L$2:$L$5001,Apparitions!$G$2:$G$5001,A2627)),""))</f>
        <v/>
      </c>
      <c r="L2627" s="27" t="str">
        <f aca="false">IF(A2627="","",A2627&amp;" | "&amp;B2627&amp;IF(C2627="",""," ("&amp;C2627&amp;")")&amp;IF(D2627="",""," - "&amp;D2627))</f>
        <v/>
      </c>
    </row>
    <row r="2628" customFormat="false" ht="15" hidden="false" customHeight="false" outlineLevel="0" collapsed="false">
      <c r="A2628" s="32"/>
      <c r="B2628" s="19"/>
      <c r="C2628" s="19"/>
      <c r="D2628" s="19"/>
      <c r="E2628" s="21"/>
      <c r="F2628" s="19"/>
      <c r="G2628" s="27" t="str">
        <f aca="false">IF(B2628="","",IFERROR(INDEX(Jeux!$C$2:$C$3001,MATCH(B2628,Jeux!$A$2:$A$3001,0))&amp;"","⚠ jeu inconnu"))</f>
        <v/>
      </c>
      <c r="H2628" s="27" t="str">
        <f aca="false">IF(B2628="","",IFERROR(INDEX(Jeux!$D$2:$D$3001,MATCH(B2628,Jeux!$A$2:$A$3001,0))&amp;"",""))</f>
        <v/>
      </c>
      <c r="I2628" s="26" t="str">
        <f aca="false">IF(A2628="","",COUNTIF(Apparitions!$G$2:$G$5001,A2628))</f>
        <v/>
      </c>
      <c r="J2628" s="26" t="str">
        <f aca="false">IF(A2628="","",COUNTIFS(Apparitions!$G$2:$G$5001,A2628,Apparitions!$E$2:$E$5001,"○"))</f>
        <v/>
      </c>
      <c r="K2628" s="29" t="str">
        <f aca="false">IF(A2628="","",IFERROR(1/(1/_xlfn.MINIFS(Apparitions!$L$2:$L$5001,Apparitions!$G$2:$G$5001,A2628)),""))</f>
        <v/>
      </c>
      <c r="L2628" s="27" t="str">
        <f aca="false">IF(A2628="","",A2628&amp;" | "&amp;B2628&amp;IF(C2628="",""," ("&amp;C2628&amp;")")&amp;IF(D2628="",""," - "&amp;D2628))</f>
        <v/>
      </c>
    </row>
    <row r="2629" customFormat="false" ht="15" hidden="false" customHeight="false" outlineLevel="0" collapsed="false">
      <c r="A2629" s="32"/>
      <c r="B2629" s="19"/>
      <c r="C2629" s="19"/>
      <c r="D2629" s="19"/>
      <c r="E2629" s="21"/>
      <c r="F2629" s="19"/>
      <c r="G2629" s="27" t="str">
        <f aca="false">IF(B2629="","",IFERROR(INDEX(Jeux!$C$2:$C$3001,MATCH(B2629,Jeux!$A$2:$A$3001,0))&amp;"","⚠ jeu inconnu"))</f>
        <v/>
      </c>
      <c r="H2629" s="27" t="str">
        <f aca="false">IF(B2629="","",IFERROR(INDEX(Jeux!$D$2:$D$3001,MATCH(B2629,Jeux!$A$2:$A$3001,0))&amp;"",""))</f>
        <v/>
      </c>
      <c r="I2629" s="26" t="str">
        <f aca="false">IF(A2629="","",COUNTIF(Apparitions!$G$2:$G$5001,A2629))</f>
        <v/>
      </c>
      <c r="J2629" s="26" t="str">
        <f aca="false">IF(A2629="","",COUNTIFS(Apparitions!$G$2:$G$5001,A2629,Apparitions!$E$2:$E$5001,"○"))</f>
        <v/>
      </c>
      <c r="K2629" s="29" t="str">
        <f aca="false">IF(A2629="","",IFERROR(1/(1/_xlfn.MINIFS(Apparitions!$L$2:$L$5001,Apparitions!$G$2:$G$5001,A2629)),""))</f>
        <v/>
      </c>
      <c r="L2629" s="27" t="str">
        <f aca="false">IF(A2629="","",A2629&amp;" | "&amp;B2629&amp;IF(C2629="",""," ("&amp;C2629&amp;")")&amp;IF(D2629="",""," - "&amp;D2629))</f>
        <v/>
      </c>
    </row>
    <row r="2630" customFormat="false" ht="15" hidden="false" customHeight="false" outlineLevel="0" collapsed="false">
      <c r="A2630" s="32"/>
      <c r="B2630" s="19"/>
      <c r="C2630" s="19"/>
      <c r="D2630" s="19"/>
      <c r="E2630" s="21"/>
      <c r="F2630" s="19"/>
      <c r="G2630" s="27" t="str">
        <f aca="false">IF(B2630="","",IFERROR(INDEX(Jeux!$C$2:$C$3001,MATCH(B2630,Jeux!$A$2:$A$3001,0))&amp;"","⚠ jeu inconnu"))</f>
        <v/>
      </c>
      <c r="H2630" s="27" t="str">
        <f aca="false">IF(B2630="","",IFERROR(INDEX(Jeux!$D$2:$D$3001,MATCH(B2630,Jeux!$A$2:$A$3001,0))&amp;"",""))</f>
        <v/>
      </c>
      <c r="I2630" s="26" t="str">
        <f aca="false">IF(A2630="","",COUNTIF(Apparitions!$G$2:$G$5001,A2630))</f>
        <v/>
      </c>
      <c r="J2630" s="26" t="str">
        <f aca="false">IF(A2630="","",COUNTIFS(Apparitions!$G$2:$G$5001,A2630,Apparitions!$E$2:$E$5001,"○"))</f>
        <v/>
      </c>
      <c r="K2630" s="29" t="str">
        <f aca="false">IF(A2630="","",IFERROR(1/(1/_xlfn.MINIFS(Apparitions!$L$2:$L$5001,Apparitions!$G$2:$G$5001,A2630)),""))</f>
        <v/>
      </c>
      <c r="L2630" s="27" t="str">
        <f aca="false">IF(A2630="","",A2630&amp;" | "&amp;B2630&amp;IF(C2630="",""," ("&amp;C2630&amp;")")&amp;IF(D2630="",""," - "&amp;D2630))</f>
        <v/>
      </c>
    </row>
    <row r="2631" customFormat="false" ht="15" hidden="false" customHeight="false" outlineLevel="0" collapsed="false">
      <c r="A2631" s="32"/>
      <c r="B2631" s="19"/>
      <c r="C2631" s="19"/>
      <c r="D2631" s="19"/>
      <c r="E2631" s="21"/>
      <c r="F2631" s="19"/>
      <c r="G2631" s="27" t="str">
        <f aca="false">IF(B2631="","",IFERROR(INDEX(Jeux!$C$2:$C$3001,MATCH(B2631,Jeux!$A$2:$A$3001,0))&amp;"","⚠ jeu inconnu"))</f>
        <v/>
      </c>
      <c r="H2631" s="27" t="str">
        <f aca="false">IF(B2631="","",IFERROR(INDEX(Jeux!$D$2:$D$3001,MATCH(B2631,Jeux!$A$2:$A$3001,0))&amp;"",""))</f>
        <v/>
      </c>
      <c r="I2631" s="26" t="str">
        <f aca="false">IF(A2631="","",COUNTIF(Apparitions!$G$2:$G$5001,A2631))</f>
        <v/>
      </c>
      <c r="J2631" s="26" t="str">
        <f aca="false">IF(A2631="","",COUNTIFS(Apparitions!$G$2:$G$5001,A2631,Apparitions!$E$2:$E$5001,"○"))</f>
        <v/>
      </c>
      <c r="K2631" s="29" t="str">
        <f aca="false">IF(A2631="","",IFERROR(1/(1/_xlfn.MINIFS(Apparitions!$L$2:$L$5001,Apparitions!$G$2:$G$5001,A2631)),""))</f>
        <v/>
      </c>
      <c r="L2631" s="27" t="str">
        <f aca="false">IF(A2631="","",A2631&amp;" | "&amp;B2631&amp;IF(C2631="",""," ("&amp;C2631&amp;")")&amp;IF(D2631="",""," - "&amp;D2631))</f>
        <v/>
      </c>
    </row>
    <row r="2632" customFormat="false" ht="15" hidden="false" customHeight="false" outlineLevel="0" collapsed="false">
      <c r="A2632" s="32"/>
      <c r="B2632" s="19"/>
      <c r="C2632" s="19"/>
      <c r="D2632" s="19"/>
      <c r="E2632" s="21"/>
      <c r="F2632" s="19"/>
      <c r="G2632" s="27" t="str">
        <f aca="false">IF(B2632="","",IFERROR(INDEX(Jeux!$C$2:$C$3001,MATCH(B2632,Jeux!$A$2:$A$3001,0))&amp;"","⚠ jeu inconnu"))</f>
        <v/>
      </c>
      <c r="H2632" s="27" t="str">
        <f aca="false">IF(B2632="","",IFERROR(INDEX(Jeux!$D$2:$D$3001,MATCH(B2632,Jeux!$A$2:$A$3001,0))&amp;"",""))</f>
        <v/>
      </c>
      <c r="I2632" s="26" t="str">
        <f aca="false">IF(A2632="","",COUNTIF(Apparitions!$G$2:$G$5001,A2632))</f>
        <v/>
      </c>
      <c r="J2632" s="26" t="str">
        <f aca="false">IF(A2632="","",COUNTIFS(Apparitions!$G$2:$G$5001,A2632,Apparitions!$E$2:$E$5001,"○"))</f>
        <v/>
      </c>
      <c r="K2632" s="29" t="str">
        <f aca="false">IF(A2632="","",IFERROR(1/(1/_xlfn.MINIFS(Apparitions!$L$2:$L$5001,Apparitions!$G$2:$G$5001,A2632)),""))</f>
        <v/>
      </c>
      <c r="L2632" s="27" t="str">
        <f aca="false">IF(A2632="","",A2632&amp;" | "&amp;B2632&amp;IF(C2632="",""," ("&amp;C2632&amp;")")&amp;IF(D2632="",""," - "&amp;D2632))</f>
        <v/>
      </c>
    </row>
    <row r="2633" customFormat="false" ht="15" hidden="false" customHeight="false" outlineLevel="0" collapsed="false">
      <c r="A2633" s="32"/>
      <c r="B2633" s="19"/>
      <c r="C2633" s="19"/>
      <c r="D2633" s="19"/>
      <c r="E2633" s="21"/>
      <c r="F2633" s="19"/>
      <c r="G2633" s="27" t="str">
        <f aca="false">IF(B2633="","",IFERROR(INDEX(Jeux!$C$2:$C$3001,MATCH(B2633,Jeux!$A$2:$A$3001,0))&amp;"","⚠ jeu inconnu"))</f>
        <v/>
      </c>
      <c r="H2633" s="27" t="str">
        <f aca="false">IF(B2633="","",IFERROR(INDEX(Jeux!$D$2:$D$3001,MATCH(B2633,Jeux!$A$2:$A$3001,0))&amp;"",""))</f>
        <v/>
      </c>
      <c r="I2633" s="26" t="str">
        <f aca="false">IF(A2633="","",COUNTIF(Apparitions!$G$2:$G$5001,A2633))</f>
        <v/>
      </c>
      <c r="J2633" s="26" t="str">
        <f aca="false">IF(A2633="","",COUNTIFS(Apparitions!$G$2:$G$5001,A2633,Apparitions!$E$2:$E$5001,"○"))</f>
        <v/>
      </c>
      <c r="K2633" s="29" t="str">
        <f aca="false">IF(A2633="","",IFERROR(1/(1/_xlfn.MINIFS(Apparitions!$L$2:$L$5001,Apparitions!$G$2:$G$5001,A2633)),""))</f>
        <v/>
      </c>
      <c r="L2633" s="27" t="str">
        <f aca="false">IF(A2633="","",A2633&amp;" | "&amp;B2633&amp;IF(C2633="",""," ("&amp;C2633&amp;")")&amp;IF(D2633="",""," - "&amp;D2633))</f>
        <v/>
      </c>
    </row>
    <row r="2634" customFormat="false" ht="15" hidden="false" customHeight="false" outlineLevel="0" collapsed="false">
      <c r="A2634" s="32"/>
      <c r="B2634" s="19"/>
      <c r="C2634" s="19"/>
      <c r="D2634" s="19"/>
      <c r="E2634" s="21"/>
      <c r="F2634" s="19"/>
      <c r="G2634" s="27" t="str">
        <f aca="false">IF(B2634="","",IFERROR(INDEX(Jeux!$C$2:$C$3001,MATCH(B2634,Jeux!$A$2:$A$3001,0))&amp;"","⚠ jeu inconnu"))</f>
        <v/>
      </c>
      <c r="H2634" s="27" t="str">
        <f aca="false">IF(B2634="","",IFERROR(INDEX(Jeux!$D$2:$D$3001,MATCH(B2634,Jeux!$A$2:$A$3001,0))&amp;"",""))</f>
        <v/>
      </c>
      <c r="I2634" s="26" t="str">
        <f aca="false">IF(A2634="","",COUNTIF(Apparitions!$G$2:$G$5001,A2634))</f>
        <v/>
      </c>
      <c r="J2634" s="26" t="str">
        <f aca="false">IF(A2634="","",COUNTIFS(Apparitions!$G$2:$G$5001,A2634,Apparitions!$E$2:$E$5001,"○"))</f>
        <v/>
      </c>
      <c r="K2634" s="29" t="str">
        <f aca="false">IF(A2634="","",IFERROR(1/(1/_xlfn.MINIFS(Apparitions!$L$2:$L$5001,Apparitions!$G$2:$G$5001,A2634)),""))</f>
        <v/>
      </c>
      <c r="L2634" s="27" t="str">
        <f aca="false">IF(A2634="","",A2634&amp;" | "&amp;B2634&amp;IF(C2634="",""," ("&amp;C2634&amp;")")&amp;IF(D2634="",""," - "&amp;D2634))</f>
        <v/>
      </c>
    </row>
    <row r="2635" customFormat="false" ht="15" hidden="false" customHeight="false" outlineLevel="0" collapsed="false">
      <c r="A2635" s="32"/>
      <c r="B2635" s="19"/>
      <c r="C2635" s="19"/>
      <c r="D2635" s="19"/>
      <c r="E2635" s="21"/>
      <c r="F2635" s="19"/>
      <c r="G2635" s="27" t="str">
        <f aca="false">IF(B2635="","",IFERROR(INDEX(Jeux!$C$2:$C$3001,MATCH(B2635,Jeux!$A$2:$A$3001,0))&amp;"","⚠ jeu inconnu"))</f>
        <v/>
      </c>
      <c r="H2635" s="27" t="str">
        <f aca="false">IF(B2635="","",IFERROR(INDEX(Jeux!$D$2:$D$3001,MATCH(B2635,Jeux!$A$2:$A$3001,0))&amp;"",""))</f>
        <v/>
      </c>
      <c r="I2635" s="26" t="str">
        <f aca="false">IF(A2635="","",COUNTIF(Apparitions!$G$2:$G$5001,A2635))</f>
        <v/>
      </c>
      <c r="J2635" s="26" t="str">
        <f aca="false">IF(A2635="","",COUNTIFS(Apparitions!$G$2:$G$5001,A2635,Apparitions!$E$2:$E$5001,"○"))</f>
        <v/>
      </c>
      <c r="K2635" s="29" t="str">
        <f aca="false">IF(A2635="","",IFERROR(1/(1/_xlfn.MINIFS(Apparitions!$L$2:$L$5001,Apparitions!$G$2:$G$5001,A2635)),""))</f>
        <v/>
      </c>
      <c r="L2635" s="27" t="str">
        <f aca="false">IF(A2635="","",A2635&amp;" | "&amp;B2635&amp;IF(C2635="",""," ("&amp;C2635&amp;")")&amp;IF(D2635="",""," - "&amp;D2635))</f>
        <v/>
      </c>
    </row>
    <row r="2636" customFormat="false" ht="15" hidden="false" customHeight="false" outlineLevel="0" collapsed="false">
      <c r="A2636" s="32"/>
      <c r="B2636" s="19"/>
      <c r="C2636" s="19"/>
      <c r="D2636" s="19"/>
      <c r="E2636" s="21"/>
      <c r="F2636" s="19"/>
      <c r="G2636" s="27" t="str">
        <f aca="false">IF(B2636="","",IFERROR(INDEX(Jeux!$C$2:$C$3001,MATCH(B2636,Jeux!$A$2:$A$3001,0))&amp;"","⚠ jeu inconnu"))</f>
        <v/>
      </c>
      <c r="H2636" s="27" t="str">
        <f aca="false">IF(B2636="","",IFERROR(INDEX(Jeux!$D$2:$D$3001,MATCH(B2636,Jeux!$A$2:$A$3001,0))&amp;"",""))</f>
        <v/>
      </c>
      <c r="I2636" s="26" t="str">
        <f aca="false">IF(A2636="","",COUNTIF(Apparitions!$G$2:$G$5001,A2636))</f>
        <v/>
      </c>
      <c r="J2636" s="26" t="str">
        <f aca="false">IF(A2636="","",COUNTIFS(Apparitions!$G$2:$G$5001,A2636,Apparitions!$E$2:$E$5001,"○"))</f>
        <v/>
      </c>
      <c r="K2636" s="29" t="str">
        <f aca="false">IF(A2636="","",IFERROR(1/(1/_xlfn.MINIFS(Apparitions!$L$2:$L$5001,Apparitions!$G$2:$G$5001,A2636)),""))</f>
        <v/>
      </c>
      <c r="L2636" s="27" t="str">
        <f aca="false">IF(A2636="","",A2636&amp;" | "&amp;B2636&amp;IF(C2636="",""," ("&amp;C2636&amp;")")&amp;IF(D2636="",""," - "&amp;D2636))</f>
        <v/>
      </c>
    </row>
    <row r="2637" customFormat="false" ht="15" hidden="false" customHeight="false" outlineLevel="0" collapsed="false">
      <c r="A2637" s="32"/>
      <c r="B2637" s="19"/>
      <c r="C2637" s="19"/>
      <c r="D2637" s="19"/>
      <c r="E2637" s="21"/>
      <c r="F2637" s="19"/>
      <c r="G2637" s="27" t="str">
        <f aca="false">IF(B2637="","",IFERROR(INDEX(Jeux!$C$2:$C$3001,MATCH(B2637,Jeux!$A$2:$A$3001,0))&amp;"","⚠ jeu inconnu"))</f>
        <v/>
      </c>
      <c r="H2637" s="27" t="str">
        <f aca="false">IF(B2637="","",IFERROR(INDEX(Jeux!$D$2:$D$3001,MATCH(B2637,Jeux!$A$2:$A$3001,0))&amp;"",""))</f>
        <v/>
      </c>
      <c r="I2637" s="26" t="str">
        <f aca="false">IF(A2637="","",COUNTIF(Apparitions!$G$2:$G$5001,A2637))</f>
        <v/>
      </c>
      <c r="J2637" s="26" t="str">
        <f aca="false">IF(A2637="","",COUNTIFS(Apparitions!$G$2:$G$5001,A2637,Apparitions!$E$2:$E$5001,"○"))</f>
        <v/>
      </c>
      <c r="K2637" s="29" t="str">
        <f aca="false">IF(A2637="","",IFERROR(1/(1/_xlfn.MINIFS(Apparitions!$L$2:$L$5001,Apparitions!$G$2:$G$5001,A2637)),""))</f>
        <v/>
      </c>
      <c r="L2637" s="27" t="str">
        <f aca="false">IF(A2637="","",A2637&amp;" | "&amp;B2637&amp;IF(C2637="",""," ("&amp;C2637&amp;")")&amp;IF(D2637="",""," - "&amp;D2637))</f>
        <v/>
      </c>
    </row>
    <row r="2638" customFormat="false" ht="15" hidden="false" customHeight="false" outlineLevel="0" collapsed="false">
      <c r="A2638" s="32"/>
      <c r="B2638" s="19"/>
      <c r="C2638" s="19"/>
      <c r="D2638" s="19"/>
      <c r="E2638" s="21"/>
      <c r="F2638" s="19"/>
      <c r="G2638" s="27" t="str">
        <f aca="false">IF(B2638="","",IFERROR(INDEX(Jeux!$C$2:$C$3001,MATCH(B2638,Jeux!$A$2:$A$3001,0))&amp;"","⚠ jeu inconnu"))</f>
        <v/>
      </c>
      <c r="H2638" s="27" t="str">
        <f aca="false">IF(B2638="","",IFERROR(INDEX(Jeux!$D$2:$D$3001,MATCH(B2638,Jeux!$A$2:$A$3001,0))&amp;"",""))</f>
        <v/>
      </c>
      <c r="I2638" s="26" t="str">
        <f aca="false">IF(A2638="","",COUNTIF(Apparitions!$G$2:$G$5001,A2638))</f>
        <v/>
      </c>
      <c r="J2638" s="26" t="str">
        <f aca="false">IF(A2638="","",COUNTIFS(Apparitions!$G$2:$G$5001,A2638,Apparitions!$E$2:$E$5001,"○"))</f>
        <v/>
      </c>
      <c r="K2638" s="29" t="str">
        <f aca="false">IF(A2638="","",IFERROR(1/(1/_xlfn.MINIFS(Apparitions!$L$2:$L$5001,Apparitions!$G$2:$G$5001,A2638)),""))</f>
        <v/>
      </c>
      <c r="L2638" s="27" t="str">
        <f aca="false">IF(A2638="","",A2638&amp;" | "&amp;B2638&amp;IF(C2638="",""," ("&amp;C2638&amp;")")&amp;IF(D2638="",""," - "&amp;D2638))</f>
        <v/>
      </c>
    </row>
    <row r="2639" customFormat="false" ht="15" hidden="false" customHeight="false" outlineLevel="0" collapsed="false">
      <c r="A2639" s="32"/>
      <c r="B2639" s="19"/>
      <c r="C2639" s="19"/>
      <c r="D2639" s="19"/>
      <c r="E2639" s="21"/>
      <c r="F2639" s="19"/>
      <c r="G2639" s="27" t="str">
        <f aca="false">IF(B2639="","",IFERROR(INDEX(Jeux!$C$2:$C$3001,MATCH(B2639,Jeux!$A$2:$A$3001,0))&amp;"","⚠ jeu inconnu"))</f>
        <v/>
      </c>
      <c r="H2639" s="27" t="str">
        <f aca="false">IF(B2639="","",IFERROR(INDEX(Jeux!$D$2:$D$3001,MATCH(B2639,Jeux!$A$2:$A$3001,0))&amp;"",""))</f>
        <v/>
      </c>
      <c r="I2639" s="26" t="str">
        <f aca="false">IF(A2639="","",COUNTIF(Apparitions!$G$2:$G$5001,A2639))</f>
        <v/>
      </c>
      <c r="J2639" s="26" t="str">
        <f aca="false">IF(A2639="","",COUNTIFS(Apparitions!$G$2:$G$5001,A2639,Apparitions!$E$2:$E$5001,"○"))</f>
        <v/>
      </c>
      <c r="K2639" s="29" t="str">
        <f aca="false">IF(A2639="","",IFERROR(1/(1/_xlfn.MINIFS(Apparitions!$L$2:$L$5001,Apparitions!$G$2:$G$5001,A2639)),""))</f>
        <v/>
      </c>
      <c r="L2639" s="27" t="str">
        <f aca="false">IF(A2639="","",A2639&amp;" | "&amp;B2639&amp;IF(C2639="",""," ("&amp;C2639&amp;")")&amp;IF(D2639="",""," - "&amp;D2639))</f>
        <v/>
      </c>
    </row>
    <row r="2640" customFormat="false" ht="15" hidden="false" customHeight="false" outlineLevel="0" collapsed="false">
      <c r="A2640" s="32"/>
      <c r="B2640" s="19"/>
      <c r="C2640" s="19"/>
      <c r="D2640" s="19"/>
      <c r="E2640" s="21"/>
      <c r="F2640" s="19"/>
      <c r="G2640" s="27" t="str">
        <f aca="false">IF(B2640="","",IFERROR(INDEX(Jeux!$C$2:$C$3001,MATCH(B2640,Jeux!$A$2:$A$3001,0))&amp;"","⚠ jeu inconnu"))</f>
        <v/>
      </c>
      <c r="H2640" s="27" t="str">
        <f aca="false">IF(B2640="","",IFERROR(INDEX(Jeux!$D$2:$D$3001,MATCH(B2640,Jeux!$A$2:$A$3001,0))&amp;"",""))</f>
        <v/>
      </c>
      <c r="I2640" s="26" t="str">
        <f aca="false">IF(A2640="","",COUNTIF(Apparitions!$G$2:$G$5001,A2640))</f>
        <v/>
      </c>
      <c r="J2640" s="26" t="str">
        <f aca="false">IF(A2640="","",COUNTIFS(Apparitions!$G$2:$G$5001,A2640,Apparitions!$E$2:$E$5001,"○"))</f>
        <v/>
      </c>
      <c r="K2640" s="29" t="str">
        <f aca="false">IF(A2640="","",IFERROR(1/(1/_xlfn.MINIFS(Apparitions!$L$2:$L$5001,Apparitions!$G$2:$G$5001,A2640)),""))</f>
        <v/>
      </c>
      <c r="L2640" s="27" t="str">
        <f aca="false">IF(A2640="","",A2640&amp;" | "&amp;B2640&amp;IF(C2640="",""," ("&amp;C2640&amp;")")&amp;IF(D2640="",""," - "&amp;D2640))</f>
        <v/>
      </c>
    </row>
    <row r="2641" customFormat="false" ht="15" hidden="false" customHeight="false" outlineLevel="0" collapsed="false">
      <c r="A2641" s="32"/>
      <c r="B2641" s="19"/>
      <c r="C2641" s="19"/>
      <c r="D2641" s="19"/>
      <c r="E2641" s="21"/>
      <c r="F2641" s="19"/>
      <c r="G2641" s="27" t="str">
        <f aca="false">IF(B2641="","",IFERROR(INDEX(Jeux!$C$2:$C$3001,MATCH(B2641,Jeux!$A$2:$A$3001,0))&amp;"","⚠ jeu inconnu"))</f>
        <v/>
      </c>
      <c r="H2641" s="27" t="str">
        <f aca="false">IF(B2641="","",IFERROR(INDEX(Jeux!$D$2:$D$3001,MATCH(B2641,Jeux!$A$2:$A$3001,0))&amp;"",""))</f>
        <v/>
      </c>
      <c r="I2641" s="26" t="str">
        <f aca="false">IF(A2641="","",COUNTIF(Apparitions!$G$2:$G$5001,A2641))</f>
        <v/>
      </c>
      <c r="J2641" s="26" t="str">
        <f aca="false">IF(A2641="","",COUNTIFS(Apparitions!$G$2:$G$5001,A2641,Apparitions!$E$2:$E$5001,"○"))</f>
        <v/>
      </c>
      <c r="K2641" s="29" t="str">
        <f aca="false">IF(A2641="","",IFERROR(1/(1/_xlfn.MINIFS(Apparitions!$L$2:$L$5001,Apparitions!$G$2:$G$5001,A2641)),""))</f>
        <v/>
      </c>
      <c r="L2641" s="27" t="str">
        <f aca="false">IF(A2641="","",A2641&amp;" | "&amp;B2641&amp;IF(C2641="",""," ("&amp;C2641&amp;")")&amp;IF(D2641="",""," - "&amp;D2641))</f>
        <v/>
      </c>
    </row>
    <row r="2642" customFormat="false" ht="15" hidden="false" customHeight="false" outlineLevel="0" collapsed="false">
      <c r="A2642" s="32"/>
      <c r="B2642" s="19"/>
      <c r="C2642" s="19"/>
      <c r="D2642" s="19"/>
      <c r="E2642" s="21"/>
      <c r="F2642" s="19"/>
      <c r="G2642" s="27" t="str">
        <f aca="false">IF(B2642="","",IFERROR(INDEX(Jeux!$C$2:$C$3001,MATCH(B2642,Jeux!$A$2:$A$3001,0))&amp;"","⚠ jeu inconnu"))</f>
        <v/>
      </c>
      <c r="H2642" s="27" t="str">
        <f aca="false">IF(B2642="","",IFERROR(INDEX(Jeux!$D$2:$D$3001,MATCH(B2642,Jeux!$A$2:$A$3001,0))&amp;"",""))</f>
        <v/>
      </c>
      <c r="I2642" s="26" t="str">
        <f aca="false">IF(A2642="","",COUNTIF(Apparitions!$G$2:$G$5001,A2642))</f>
        <v/>
      </c>
      <c r="J2642" s="26" t="str">
        <f aca="false">IF(A2642="","",COUNTIFS(Apparitions!$G$2:$G$5001,A2642,Apparitions!$E$2:$E$5001,"○"))</f>
        <v/>
      </c>
      <c r="K2642" s="29" t="str">
        <f aca="false">IF(A2642="","",IFERROR(1/(1/_xlfn.MINIFS(Apparitions!$L$2:$L$5001,Apparitions!$G$2:$G$5001,A2642)),""))</f>
        <v/>
      </c>
      <c r="L2642" s="27" t="str">
        <f aca="false">IF(A2642="","",A2642&amp;" | "&amp;B2642&amp;IF(C2642="",""," ("&amp;C2642&amp;")")&amp;IF(D2642="",""," - "&amp;D2642))</f>
        <v/>
      </c>
    </row>
    <row r="2643" customFormat="false" ht="15" hidden="false" customHeight="false" outlineLevel="0" collapsed="false">
      <c r="A2643" s="32"/>
      <c r="B2643" s="19"/>
      <c r="C2643" s="19"/>
      <c r="D2643" s="19"/>
      <c r="E2643" s="21"/>
      <c r="F2643" s="19"/>
      <c r="G2643" s="27" t="str">
        <f aca="false">IF(B2643="","",IFERROR(INDEX(Jeux!$C$2:$C$3001,MATCH(B2643,Jeux!$A$2:$A$3001,0))&amp;"","⚠ jeu inconnu"))</f>
        <v/>
      </c>
      <c r="H2643" s="27" t="str">
        <f aca="false">IF(B2643="","",IFERROR(INDEX(Jeux!$D$2:$D$3001,MATCH(B2643,Jeux!$A$2:$A$3001,0))&amp;"",""))</f>
        <v/>
      </c>
      <c r="I2643" s="26" t="str">
        <f aca="false">IF(A2643="","",COUNTIF(Apparitions!$G$2:$G$5001,A2643))</f>
        <v/>
      </c>
      <c r="J2643" s="26" t="str">
        <f aca="false">IF(A2643="","",COUNTIFS(Apparitions!$G$2:$G$5001,A2643,Apparitions!$E$2:$E$5001,"○"))</f>
        <v/>
      </c>
      <c r="K2643" s="29" t="str">
        <f aca="false">IF(A2643="","",IFERROR(1/(1/_xlfn.MINIFS(Apparitions!$L$2:$L$5001,Apparitions!$G$2:$G$5001,A2643)),""))</f>
        <v/>
      </c>
      <c r="L2643" s="27" t="str">
        <f aca="false">IF(A2643="","",A2643&amp;" | "&amp;B2643&amp;IF(C2643="",""," ("&amp;C2643&amp;")")&amp;IF(D2643="",""," - "&amp;D2643))</f>
        <v/>
      </c>
    </row>
    <row r="2644" customFormat="false" ht="15" hidden="false" customHeight="false" outlineLevel="0" collapsed="false">
      <c r="A2644" s="32"/>
      <c r="B2644" s="19"/>
      <c r="C2644" s="19"/>
      <c r="D2644" s="19"/>
      <c r="E2644" s="21"/>
      <c r="F2644" s="19"/>
      <c r="G2644" s="27" t="str">
        <f aca="false">IF(B2644="","",IFERROR(INDEX(Jeux!$C$2:$C$3001,MATCH(B2644,Jeux!$A$2:$A$3001,0))&amp;"","⚠ jeu inconnu"))</f>
        <v/>
      </c>
      <c r="H2644" s="27" t="str">
        <f aca="false">IF(B2644="","",IFERROR(INDEX(Jeux!$D$2:$D$3001,MATCH(B2644,Jeux!$A$2:$A$3001,0))&amp;"",""))</f>
        <v/>
      </c>
      <c r="I2644" s="26" t="str">
        <f aca="false">IF(A2644="","",COUNTIF(Apparitions!$G$2:$G$5001,A2644))</f>
        <v/>
      </c>
      <c r="J2644" s="26" t="str">
        <f aca="false">IF(A2644="","",COUNTIFS(Apparitions!$G$2:$G$5001,A2644,Apparitions!$E$2:$E$5001,"○"))</f>
        <v/>
      </c>
      <c r="K2644" s="29" t="str">
        <f aca="false">IF(A2644="","",IFERROR(1/(1/_xlfn.MINIFS(Apparitions!$L$2:$L$5001,Apparitions!$G$2:$G$5001,A2644)),""))</f>
        <v/>
      </c>
      <c r="L2644" s="27" t="str">
        <f aca="false">IF(A2644="","",A2644&amp;" | "&amp;B2644&amp;IF(C2644="",""," ("&amp;C2644&amp;")")&amp;IF(D2644="",""," - "&amp;D2644))</f>
        <v/>
      </c>
    </row>
    <row r="2645" customFormat="false" ht="15" hidden="false" customHeight="false" outlineLevel="0" collapsed="false">
      <c r="A2645" s="32"/>
      <c r="B2645" s="19"/>
      <c r="C2645" s="19"/>
      <c r="D2645" s="19"/>
      <c r="E2645" s="21"/>
      <c r="F2645" s="19"/>
      <c r="G2645" s="27" t="str">
        <f aca="false">IF(B2645="","",IFERROR(INDEX(Jeux!$C$2:$C$3001,MATCH(B2645,Jeux!$A$2:$A$3001,0))&amp;"","⚠ jeu inconnu"))</f>
        <v/>
      </c>
      <c r="H2645" s="27" t="str">
        <f aca="false">IF(B2645="","",IFERROR(INDEX(Jeux!$D$2:$D$3001,MATCH(B2645,Jeux!$A$2:$A$3001,0))&amp;"",""))</f>
        <v/>
      </c>
      <c r="I2645" s="26" t="str">
        <f aca="false">IF(A2645="","",COUNTIF(Apparitions!$G$2:$G$5001,A2645))</f>
        <v/>
      </c>
      <c r="J2645" s="26" t="str">
        <f aca="false">IF(A2645="","",COUNTIFS(Apparitions!$G$2:$G$5001,A2645,Apparitions!$E$2:$E$5001,"○"))</f>
        <v/>
      </c>
      <c r="K2645" s="29" t="str">
        <f aca="false">IF(A2645="","",IFERROR(1/(1/_xlfn.MINIFS(Apparitions!$L$2:$L$5001,Apparitions!$G$2:$G$5001,A2645)),""))</f>
        <v/>
      </c>
      <c r="L2645" s="27" t="str">
        <f aca="false">IF(A2645="","",A2645&amp;" | "&amp;B2645&amp;IF(C2645="",""," ("&amp;C2645&amp;")")&amp;IF(D2645="",""," - "&amp;D2645))</f>
        <v/>
      </c>
    </row>
    <row r="2646" customFormat="false" ht="15" hidden="false" customHeight="false" outlineLevel="0" collapsed="false">
      <c r="A2646" s="32"/>
      <c r="B2646" s="19"/>
      <c r="C2646" s="19"/>
      <c r="D2646" s="19"/>
      <c r="E2646" s="21"/>
      <c r="F2646" s="19"/>
      <c r="G2646" s="27" t="str">
        <f aca="false">IF(B2646="","",IFERROR(INDEX(Jeux!$C$2:$C$3001,MATCH(B2646,Jeux!$A$2:$A$3001,0))&amp;"","⚠ jeu inconnu"))</f>
        <v/>
      </c>
      <c r="H2646" s="27" t="str">
        <f aca="false">IF(B2646="","",IFERROR(INDEX(Jeux!$D$2:$D$3001,MATCH(B2646,Jeux!$A$2:$A$3001,0))&amp;"",""))</f>
        <v/>
      </c>
      <c r="I2646" s="26" t="str">
        <f aca="false">IF(A2646="","",COUNTIF(Apparitions!$G$2:$G$5001,A2646))</f>
        <v/>
      </c>
      <c r="J2646" s="26" t="str">
        <f aca="false">IF(A2646="","",COUNTIFS(Apparitions!$G$2:$G$5001,A2646,Apparitions!$E$2:$E$5001,"○"))</f>
        <v/>
      </c>
      <c r="K2646" s="29" t="str">
        <f aca="false">IF(A2646="","",IFERROR(1/(1/_xlfn.MINIFS(Apparitions!$L$2:$L$5001,Apparitions!$G$2:$G$5001,A2646)),""))</f>
        <v/>
      </c>
      <c r="L2646" s="27" t="str">
        <f aca="false">IF(A2646="","",A2646&amp;" | "&amp;B2646&amp;IF(C2646="",""," ("&amp;C2646&amp;")")&amp;IF(D2646="",""," - "&amp;D2646))</f>
        <v/>
      </c>
    </row>
    <row r="2647" customFormat="false" ht="15" hidden="false" customHeight="false" outlineLevel="0" collapsed="false">
      <c r="A2647" s="32"/>
      <c r="B2647" s="19"/>
      <c r="C2647" s="19"/>
      <c r="D2647" s="19"/>
      <c r="E2647" s="21"/>
      <c r="F2647" s="19"/>
      <c r="G2647" s="27" t="str">
        <f aca="false">IF(B2647="","",IFERROR(INDEX(Jeux!$C$2:$C$3001,MATCH(B2647,Jeux!$A$2:$A$3001,0))&amp;"","⚠ jeu inconnu"))</f>
        <v/>
      </c>
      <c r="H2647" s="27" t="str">
        <f aca="false">IF(B2647="","",IFERROR(INDEX(Jeux!$D$2:$D$3001,MATCH(B2647,Jeux!$A$2:$A$3001,0))&amp;"",""))</f>
        <v/>
      </c>
      <c r="I2647" s="26" t="str">
        <f aca="false">IF(A2647="","",COUNTIF(Apparitions!$G$2:$G$5001,A2647))</f>
        <v/>
      </c>
      <c r="J2647" s="26" t="str">
        <f aca="false">IF(A2647="","",COUNTIFS(Apparitions!$G$2:$G$5001,A2647,Apparitions!$E$2:$E$5001,"○"))</f>
        <v/>
      </c>
      <c r="K2647" s="29" t="str">
        <f aca="false">IF(A2647="","",IFERROR(1/(1/_xlfn.MINIFS(Apparitions!$L$2:$L$5001,Apparitions!$G$2:$G$5001,A2647)),""))</f>
        <v/>
      </c>
      <c r="L2647" s="27" t="str">
        <f aca="false">IF(A2647="","",A2647&amp;" | "&amp;B2647&amp;IF(C2647="",""," ("&amp;C2647&amp;")")&amp;IF(D2647="",""," - "&amp;D2647))</f>
        <v/>
      </c>
    </row>
    <row r="2648" customFormat="false" ht="15" hidden="false" customHeight="false" outlineLevel="0" collapsed="false">
      <c r="A2648" s="32"/>
      <c r="B2648" s="19"/>
      <c r="C2648" s="19"/>
      <c r="D2648" s="19"/>
      <c r="E2648" s="21"/>
      <c r="F2648" s="19"/>
      <c r="G2648" s="27" t="str">
        <f aca="false">IF(B2648="","",IFERROR(INDEX(Jeux!$C$2:$C$3001,MATCH(B2648,Jeux!$A$2:$A$3001,0))&amp;"","⚠ jeu inconnu"))</f>
        <v/>
      </c>
      <c r="H2648" s="27" t="str">
        <f aca="false">IF(B2648="","",IFERROR(INDEX(Jeux!$D$2:$D$3001,MATCH(B2648,Jeux!$A$2:$A$3001,0))&amp;"",""))</f>
        <v/>
      </c>
      <c r="I2648" s="26" t="str">
        <f aca="false">IF(A2648="","",COUNTIF(Apparitions!$G$2:$G$5001,A2648))</f>
        <v/>
      </c>
      <c r="J2648" s="26" t="str">
        <f aca="false">IF(A2648="","",COUNTIFS(Apparitions!$G$2:$G$5001,A2648,Apparitions!$E$2:$E$5001,"○"))</f>
        <v/>
      </c>
      <c r="K2648" s="29" t="str">
        <f aca="false">IF(A2648="","",IFERROR(1/(1/_xlfn.MINIFS(Apparitions!$L$2:$L$5001,Apparitions!$G$2:$G$5001,A2648)),""))</f>
        <v/>
      </c>
      <c r="L2648" s="27" t="str">
        <f aca="false">IF(A2648="","",A2648&amp;" | "&amp;B2648&amp;IF(C2648="",""," ("&amp;C2648&amp;")")&amp;IF(D2648="",""," - "&amp;D2648))</f>
        <v/>
      </c>
    </row>
    <row r="2649" customFormat="false" ht="15" hidden="false" customHeight="false" outlineLevel="0" collapsed="false">
      <c r="A2649" s="32"/>
      <c r="B2649" s="19"/>
      <c r="C2649" s="19"/>
      <c r="D2649" s="19"/>
      <c r="E2649" s="21"/>
      <c r="F2649" s="19"/>
      <c r="G2649" s="27" t="str">
        <f aca="false">IF(B2649="","",IFERROR(INDEX(Jeux!$C$2:$C$3001,MATCH(B2649,Jeux!$A$2:$A$3001,0))&amp;"","⚠ jeu inconnu"))</f>
        <v/>
      </c>
      <c r="H2649" s="27" t="str">
        <f aca="false">IF(B2649="","",IFERROR(INDEX(Jeux!$D$2:$D$3001,MATCH(B2649,Jeux!$A$2:$A$3001,0))&amp;"",""))</f>
        <v/>
      </c>
      <c r="I2649" s="26" t="str">
        <f aca="false">IF(A2649="","",COUNTIF(Apparitions!$G$2:$G$5001,A2649))</f>
        <v/>
      </c>
      <c r="J2649" s="26" t="str">
        <f aca="false">IF(A2649="","",COUNTIFS(Apparitions!$G$2:$G$5001,A2649,Apparitions!$E$2:$E$5001,"○"))</f>
        <v/>
      </c>
      <c r="K2649" s="29" t="str">
        <f aca="false">IF(A2649="","",IFERROR(1/(1/_xlfn.MINIFS(Apparitions!$L$2:$L$5001,Apparitions!$G$2:$G$5001,A2649)),""))</f>
        <v/>
      </c>
      <c r="L2649" s="27" t="str">
        <f aca="false">IF(A2649="","",A2649&amp;" | "&amp;B2649&amp;IF(C2649="",""," ("&amp;C2649&amp;")")&amp;IF(D2649="",""," - "&amp;D2649))</f>
        <v/>
      </c>
    </row>
    <row r="2650" customFormat="false" ht="15" hidden="false" customHeight="false" outlineLevel="0" collapsed="false">
      <c r="A2650" s="32"/>
      <c r="B2650" s="19"/>
      <c r="C2650" s="19"/>
      <c r="D2650" s="19"/>
      <c r="E2650" s="21"/>
      <c r="F2650" s="19"/>
      <c r="G2650" s="27" t="str">
        <f aca="false">IF(B2650="","",IFERROR(INDEX(Jeux!$C$2:$C$3001,MATCH(B2650,Jeux!$A$2:$A$3001,0))&amp;"","⚠ jeu inconnu"))</f>
        <v/>
      </c>
      <c r="H2650" s="27" t="str">
        <f aca="false">IF(B2650="","",IFERROR(INDEX(Jeux!$D$2:$D$3001,MATCH(B2650,Jeux!$A$2:$A$3001,0))&amp;"",""))</f>
        <v/>
      </c>
      <c r="I2650" s="26" t="str">
        <f aca="false">IF(A2650="","",COUNTIF(Apparitions!$G$2:$G$5001,A2650))</f>
        <v/>
      </c>
      <c r="J2650" s="26" t="str">
        <f aca="false">IF(A2650="","",COUNTIFS(Apparitions!$G$2:$G$5001,A2650,Apparitions!$E$2:$E$5001,"○"))</f>
        <v/>
      </c>
      <c r="K2650" s="29" t="str">
        <f aca="false">IF(A2650="","",IFERROR(1/(1/_xlfn.MINIFS(Apparitions!$L$2:$L$5001,Apparitions!$G$2:$G$5001,A2650)),""))</f>
        <v/>
      </c>
      <c r="L2650" s="27" t="str">
        <f aca="false">IF(A2650="","",A2650&amp;" | "&amp;B2650&amp;IF(C2650="",""," ("&amp;C2650&amp;")")&amp;IF(D2650="",""," - "&amp;D2650))</f>
        <v/>
      </c>
    </row>
    <row r="2651" customFormat="false" ht="15" hidden="false" customHeight="false" outlineLevel="0" collapsed="false">
      <c r="A2651" s="32"/>
      <c r="B2651" s="19"/>
      <c r="C2651" s="19"/>
      <c r="D2651" s="19"/>
      <c r="E2651" s="21"/>
      <c r="F2651" s="19"/>
      <c r="G2651" s="27" t="str">
        <f aca="false">IF(B2651="","",IFERROR(INDEX(Jeux!$C$2:$C$3001,MATCH(B2651,Jeux!$A$2:$A$3001,0))&amp;"","⚠ jeu inconnu"))</f>
        <v/>
      </c>
      <c r="H2651" s="27" t="str">
        <f aca="false">IF(B2651="","",IFERROR(INDEX(Jeux!$D$2:$D$3001,MATCH(B2651,Jeux!$A$2:$A$3001,0))&amp;"",""))</f>
        <v/>
      </c>
      <c r="I2651" s="26" t="str">
        <f aca="false">IF(A2651="","",COUNTIF(Apparitions!$G$2:$G$5001,A2651))</f>
        <v/>
      </c>
      <c r="J2651" s="26" t="str">
        <f aca="false">IF(A2651="","",COUNTIFS(Apparitions!$G$2:$G$5001,A2651,Apparitions!$E$2:$E$5001,"○"))</f>
        <v/>
      </c>
      <c r="K2651" s="29" t="str">
        <f aca="false">IF(A2651="","",IFERROR(1/(1/_xlfn.MINIFS(Apparitions!$L$2:$L$5001,Apparitions!$G$2:$G$5001,A2651)),""))</f>
        <v/>
      </c>
      <c r="L2651" s="27" t="str">
        <f aca="false">IF(A2651="","",A2651&amp;" | "&amp;B2651&amp;IF(C2651="",""," ("&amp;C2651&amp;")")&amp;IF(D2651="",""," - "&amp;D2651))</f>
        <v/>
      </c>
    </row>
    <row r="2652" customFormat="false" ht="15" hidden="false" customHeight="false" outlineLevel="0" collapsed="false">
      <c r="A2652" s="32"/>
      <c r="B2652" s="19"/>
      <c r="C2652" s="19"/>
      <c r="D2652" s="19"/>
      <c r="E2652" s="21"/>
      <c r="F2652" s="19"/>
      <c r="G2652" s="27" t="str">
        <f aca="false">IF(B2652="","",IFERROR(INDEX(Jeux!$C$2:$C$3001,MATCH(B2652,Jeux!$A$2:$A$3001,0))&amp;"","⚠ jeu inconnu"))</f>
        <v/>
      </c>
      <c r="H2652" s="27" t="str">
        <f aca="false">IF(B2652="","",IFERROR(INDEX(Jeux!$D$2:$D$3001,MATCH(B2652,Jeux!$A$2:$A$3001,0))&amp;"",""))</f>
        <v/>
      </c>
      <c r="I2652" s="26" t="str">
        <f aca="false">IF(A2652="","",COUNTIF(Apparitions!$G$2:$G$5001,A2652))</f>
        <v/>
      </c>
      <c r="J2652" s="26" t="str">
        <f aca="false">IF(A2652="","",COUNTIFS(Apparitions!$G$2:$G$5001,A2652,Apparitions!$E$2:$E$5001,"○"))</f>
        <v/>
      </c>
      <c r="K2652" s="29" t="str">
        <f aca="false">IF(A2652="","",IFERROR(1/(1/_xlfn.MINIFS(Apparitions!$L$2:$L$5001,Apparitions!$G$2:$G$5001,A2652)),""))</f>
        <v/>
      </c>
      <c r="L2652" s="27" t="str">
        <f aca="false">IF(A2652="","",A2652&amp;" | "&amp;B2652&amp;IF(C2652="",""," ("&amp;C2652&amp;")")&amp;IF(D2652="",""," - "&amp;D2652))</f>
        <v/>
      </c>
    </row>
    <row r="2653" customFormat="false" ht="15" hidden="false" customHeight="false" outlineLevel="0" collapsed="false">
      <c r="A2653" s="32"/>
      <c r="B2653" s="19"/>
      <c r="C2653" s="19"/>
      <c r="D2653" s="19"/>
      <c r="E2653" s="21"/>
      <c r="F2653" s="19"/>
      <c r="G2653" s="27" t="str">
        <f aca="false">IF(B2653="","",IFERROR(INDEX(Jeux!$C$2:$C$3001,MATCH(B2653,Jeux!$A$2:$A$3001,0))&amp;"","⚠ jeu inconnu"))</f>
        <v/>
      </c>
      <c r="H2653" s="27" t="str">
        <f aca="false">IF(B2653="","",IFERROR(INDEX(Jeux!$D$2:$D$3001,MATCH(B2653,Jeux!$A$2:$A$3001,0))&amp;"",""))</f>
        <v/>
      </c>
      <c r="I2653" s="26" t="str">
        <f aca="false">IF(A2653="","",COUNTIF(Apparitions!$G$2:$G$5001,A2653))</f>
        <v/>
      </c>
      <c r="J2653" s="26" t="str">
        <f aca="false">IF(A2653="","",COUNTIFS(Apparitions!$G$2:$G$5001,A2653,Apparitions!$E$2:$E$5001,"○"))</f>
        <v/>
      </c>
      <c r="K2653" s="29" t="str">
        <f aca="false">IF(A2653="","",IFERROR(1/(1/_xlfn.MINIFS(Apparitions!$L$2:$L$5001,Apparitions!$G$2:$G$5001,A2653)),""))</f>
        <v/>
      </c>
      <c r="L2653" s="27" t="str">
        <f aca="false">IF(A2653="","",A2653&amp;" | "&amp;B2653&amp;IF(C2653="",""," ("&amp;C2653&amp;")")&amp;IF(D2653="",""," - "&amp;D2653))</f>
        <v/>
      </c>
    </row>
    <row r="2654" customFormat="false" ht="15" hidden="false" customHeight="false" outlineLevel="0" collapsed="false">
      <c r="A2654" s="32"/>
      <c r="B2654" s="19"/>
      <c r="C2654" s="19"/>
      <c r="D2654" s="19"/>
      <c r="E2654" s="21"/>
      <c r="F2654" s="19"/>
      <c r="G2654" s="27" t="str">
        <f aca="false">IF(B2654="","",IFERROR(INDEX(Jeux!$C$2:$C$3001,MATCH(B2654,Jeux!$A$2:$A$3001,0))&amp;"","⚠ jeu inconnu"))</f>
        <v/>
      </c>
      <c r="H2654" s="27" t="str">
        <f aca="false">IF(B2654="","",IFERROR(INDEX(Jeux!$D$2:$D$3001,MATCH(B2654,Jeux!$A$2:$A$3001,0))&amp;"",""))</f>
        <v/>
      </c>
      <c r="I2654" s="26" t="str">
        <f aca="false">IF(A2654="","",COUNTIF(Apparitions!$G$2:$G$5001,A2654))</f>
        <v/>
      </c>
      <c r="J2654" s="26" t="str">
        <f aca="false">IF(A2654="","",COUNTIFS(Apparitions!$G$2:$G$5001,A2654,Apparitions!$E$2:$E$5001,"○"))</f>
        <v/>
      </c>
      <c r="K2654" s="29" t="str">
        <f aca="false">IF(A2654="","",IFERROR(1/(1/_xlfn.MINIFS(Apparitions!$L$2:$L$5001,Apparitions!$G$2:$G$5001,A2654)),""))</f>
        <v/>
      </c>
      <c r="L2654" s="27" t="str">
        <f aca="false">IF(A2654="","",A2654&amp;" | "&amp;B2654&amp;IF(C2654="",""," ("&amp;C2654&amp;")")&amp;IF(D2654="",""," - "&amp;D2654))</f>
        <v/>
      </c>
    </row>
    <row r="2655" customFormat="false" ht="15" hidden="false" customHeight="false" outlineLevel="0" collapsed="false">
      <c r="A2655" s="32"/>
      <c r="B2655" s="19"/>
      <c r="C2655" s="19"/>
      <c r="D2655" s="19"/>
      <c r="E2655" s="21"/>
      <c r="F2655" s="19"/>
      <c r="G2655" s="27" t="str">
        <f aca="false">IF(B2655="","",IFERROR(INDEX(Jeux!$C$2:$C$3001,MATCH(B2655,Jeux!$A$2:$A$3001,0))&amp;"","⚠ jeu inconnu"))</f>
        <v/>
      </c>
      <c r="H2655" s="27" t="str">
        <f aca="false">IF(B2655="","",IFERROR(INDEX(Jeux!$D$2:$D$3001,MATCH(B2655,Jeux!$A$2:$A$3001,0))&amp;"",""))</f>
        <v/>
      </c>
      <c r="I2655" s="26" t="str">
        <f aca="false">IF(A2655="","",COUNTIF(Apparitions!$G$2:$G$5001,A2655))</f>
        <v/>
      </c>
      <c r="J2655" s="26" t="str">
        <f aca="false">IF(A2655="","",COUNTIFS(Apparitions!$G$2:$G$5001,A2655,Apparitions!$E$2:$E$5001,"○"))</f>
        <v/>
      </c>
      <c r="K2655" s="29" t="str">
        <f aca="false">IF(A2655="","",IFERROR(1/(1/_xlfn.MINIFS(Apparitions!$L$2:$L$5001,Apparitions!$G$2:$G$5001,A2655)),""))</f>
        <v/>
      </c>
      <c r="L2655" s="27" t="str">
        <f aca="false">IF(A2655="","",A2655&amp;" | "&amp;B2655&amp;IF(C2655="",""," ("&amp;C2655&amp;")")&amp;IF(D2655="",""," - "&amp;D2655))</f>
        <v/>
      </c>
    </row>
    <row r="2656" customFormat="false" ht="15" hidden="false" customHeight="false" outlineLevel="0" collapsed="false">
      <c r="A2656" s="32"/>
      <c r="B2656" s="19"/>
      <c r="C2656" s="19"/>
      <c r="D2656" s="19"/>
      <c r="E2656" s="21"/>
      <c r="F2656" s="19"/>
      <c r="G2656" s="27" t="str">
        <f aca="false">IF(B2656="","",IFERROR(INDEX(Jeux!$C$2:$C$3001,MATCH(B2656,Jeux!$A$2:$A$3001,0))&amp;"","⚠ jeu inconnu"))</f>
        <v/>
      </c>
      <c r="H2656" s="27" t="str">
        <f aca="false">IF(B2656="","",IFERROR(INDEX(Jeux!$D$2:$D$3001,MATCH(B2656,Jeux!$A$2:$A$3001,0))&amp;"",""))</f>
        <v/>
      </c>
      <c r="I2656" s="26" t="str">
        <f aca="false">IF(A2656="","",COUNTIF(Apparitions!$G$2:$G$5001,A2656))</f>
        <v/>
      </c>
      <c r="J2656" s="26" t="str">
        <f aca="false">IF(A2656="","",COUNTIFS(Apparitions!$G$2:$G$5001,A2656,Apparitions!$E$2:$E$5001,"○"))</f>
        <v/>
      </c>
      <c r="K2656" s="29" t="str">
        <f aca="false">IF(A2656="","",IFERROR(1/(1/_xlfn.MINIFS(Apparitions!$L$2:$L$5001,Apparitions!$G$2:$G$5001,A2656)),""))</f>
        <v/>
      </c>
      <c r="L2656" s="27" t="str">
        <f aca="false">IF(A2656="","",A2656&amp;" | "&amp;B2656&amp;IF(C2656="",""," ("&amp;C2656&amp;")")&amp;IF(D2656="",""," - "&amp;D2656))</f>
        <v/>
      </c>
    </row>
    <row r="2657" customFormat="false" ht="15" hidden="false" customHeight="false" outlineLevel="0" collapsed="false">
      <c r="A2657" s="32"/>
      <c r="B2657" s="19"/>
      <c r="C2657" s="19"/>
      <c r="D2657" s="19"/>
      <c r="E2657" s="21"/>
      <c r="F2657" s="19"/>
      <c r="G2657" s="27" t="str">
        <f aca="false">IF(B2657="","",IFERROR(INDEX(Jeux!$C$2:$C$3001,MATCH(B2657,Jeux!$A$2:$A$3001,0))&amp;"","⚠ jeu inconnu"))</f>
        <v/>
      </c>
      <c r="H2657" s="27" t="str">
        <f aca="false">IF(B2657="","",IFERROR(INDEX(Jeux!$D$2:$D$3001,MATCH(B2657,Jeux!$A$2:$A$3001,0))&amp;"",""))</f>
        <v/>
      </c>
      <c r="I2657" s="26" t="str">
        <f aca="false">IF(A2657="","",COUNTIF(Apparitions!$G$2:$G$5001,A2657))</f>
        <v/>
      </c>
      <c r="J2657" s="26" t="str">
        <f aca="false">IF(A2657="","",COUNTIFS(Apparitions!$G$2:$G$5001,A2657,Apparitions!$E$2:$E$5001,"○"))</f>
        <v/>
      </c>
      <c r="K2657" s="29" t="str">
        <f aca="false">IF(A2657="","",IFERROR(1/(1/_xlfn.MINIFS(Apparitions!$L$2:$L$5001,Apparitions!$G$2:$G$5001,A2657)),""))</f>
        <v/>
      </c>
      <c r="L2657" s="27" t="str">
        <f aca="false">IF(A2657="","",A2657&amp;" | "&amp;B2657&amp;IF(C2657="",""," ("&amp;C2657&amp;")")&amp;IF(D2657="",""," - "&amp;D2657))</f>
        <v/>
      </c>
    </row>
    <row r="2658" customFormat="false" ht="15" hidden="false" customHeight="false" outlineLevel="0" collapsed="false">
      <c r="A2658" s="32"/>
      <c r="B2658" s="19"/>
      <c r="C2658" s="19"/>
      <c r="D2658" s="19"/>
      <c r="E2658" s="21"/>
      <c r="F2658" s="19"/>
      <c r="G2658" s="27" t="str">
        <f aca="false">IF(B2658="","",IFERROR(INDEX(Jeux!$C$2:$C$3001,MATCH(B2658,Jeux!$A$2:$A$3001,0))&amp;"","⚠ jeu inconnu"))</f>
        <v/>
      </c>
      <c r="H2658" s="27" t="str">
        <f aca="false">IF(B2658="","",IFERROR(INDEX(Jeux!$D$2:$D$3001,MATCH(B2658,Jeux!$A$2:$A$3001,0))&amp;"",""))</f>
        <v/>
      </c>
      <c r="I2658" s="26" t="str">
        <f aca="false">IF(A2658="","",COUNTIF(Apparitions!$G$2:$G$5001,A2658))</f>
        <v/>
      </c>
      <c r="J2658" s="26" t="str">
        <f aca="false">IF(A2658="","",COUNTIFS(Apparitions!$G$2:$G$5001,A2658,Apparitions!$E$2:$E$5001,"○"))</f>
        <v/>
      </c>
      <c r="K2658" s="29" t="str">
        <f aca="false">IF(A2658="","",IFERROR(1/(1/_xlfn.MINIFS(Apparitions!$L$2:$L$5001,Apparitions!$G$2:$G$5001,A2658)),""))</f>
        <v/>
      </c>
      <c r="L2658" s="27" t="str">
        <f aca="false">IF(A2658="","",A2658&amp;" | "&amp;B2658&amp;IF(C2658="",""," ("&amp;C2658&amp;")")&amp;IF(D2658="",""," - "&amp;D2658))</f>
        <v/>
      </c>
    </row>
    <row r="2659" customFormat="false" ht="15" hidden="false" customHeight="false" outlineLevel="0" collapsed="false">
      <c r="A2659" s="32"/>
      <c r="B2659" s="19"/>
      <c r="C2659" s="19"/>
      <c r="D2659" s="19"/>
      <c r="E2659" s="21"/>
      <c r="F2659" s="19"/>
      <c r="G2659" s="27" t="str">
        <f aca="false">IF(B2659="","",IFERROR(INDEX(Jeux!$C$2:$C$3001,MATCH(B2659,Jeux!$A$2:$A$3001,0))&amp;"","⚠ jeu inconnu"))</f>
        <v/>
      </c>
      <c r="H2659" s="27" t="str">
        <f aca="false">IF(B2659="","",IFERROR(INDEX(Jeux!$D$2:$D$3001,MATCH(B2659,Jeux!$A$2:$A$3001,0))&amp;"",""))</f>
        <v/>
      </c>
      <c r="I2659" s="26" t="str">
        <f aca="false">IF(A2659="","",COUNTIF(Apparitions!$G$2:$G$5001,A2659))</f>
        <v/>
      </c>
      <c r="J2659" s="26" t="str">
        <f aca="false">IF(A2659="","",COUNTIFS(Apparitions!$G$2:$G$5001,A2659,Apparitions!$E$2:$E$5001,"○"))</f>
        <v/>
      </c>
      <c r="K2659" s="29" t="str">
        <f aca="false">IF(A2659="","",IFERROR(1/(1/_xlfn.MINIFS(Apparitions!$L$2:$L$5001,Apparitions!$G$2:$G$5001,A2659)),""))</f>
        <v/>
      </c>
      <c r="L2659" s="27" t="str">
        <f aca="false">IF(A2659="","",A2659&amp;" | "&amp;B2659&amp;IF(C2659="",""," ("&amp;C2659&amp;")")&amp;IF(D2659="",""," - "&amp;D2659))</f>
        <v/>
      </c>
    </row>
    <row r="2660" customFormat="false" ht="15" hidden="false" customHeight="false" outlineLevel="0" collapsed="false">
      <c r="A2660" s="32"/>
      <c r="B2660" s="19"/>
      <c r="C2660" s="19"/>
      <c r="D2660" s="19"/>
      <c r="E2660" s="21"/>
      <c r="F2660" s="19"/>
      <c r="G2660" s="27" t="str">
        <f aca="false">IF(B2660="","",IFERROR(INDEX(Jeux!$C$2:$C$3001,MATCH(B2660,Jeux!$A$2:$A$3001,0))&amp;"","⚠ jeu inconnu"))</f>
        <v/>
      </c>
      <c r="H2660" s="27" t="str">
        <f aca="false">IF(B2660="","",IFERROR(INDEX(Jeux!$D$2:$D$3001,MATCH(B2660,Jeux!$A$2:$A$3001,0))&amp;"",""))</f>
        <v/>
      </c>
      <c r="I2660" s="26" t="str">
        <f aca="false">IF(A2660="","",COUNTIF(Apparitions!$G$2:$G$5001,A2660))</f>
        <v/>
      </c>
      <c r="J2660" s="26" t="str">
        <f aca="false">IF(A2660="","",COUNTIFS(Apparitions!$G$2:$G$5001,A2660,Apparitions!$E$2:$E$5001,"○"))</f>
        <v/>
      </c>
      <c r="K2660" s="29" t="str">
        <f aca="false">IF(A2660="","",IFERROR(1/(1/_xlfn.MINIFS(Apparitions!$L$2:$L$5001,Apparitions!$G$2:$G$5001,A2660)),""))</f>
        <v/>
      </c>
      <c r="L2660" s="27" t="str">
        <f aca="false">IF(A2660="","",A2660&amp;" | "&amp;B2660&amp;IF(C2660="",""," ("&amp;C2660&amp;")")&amp;IF(D2660="",""," - "&amp;D2660))</f>
        <v/>
      </c>
    </row>
    <row r="2661" customFormat="false" ht="15" hidden="false" customHeight="false" outlineLevel="0" collapsed="false">
      <c r="A2661" s="32"/>
      <c r="B2661" s="19"/>
      <c r="C2661" s="19"/>
      <c r="D2661" s="19"/>
      <c r="E2661" s="21"/>
      <c r="F2661" s="19"/>
      <c r="G2661" s="27" t="str">
        <f aca="false">IF(B2661="","",IFERROR(INDEX(Jeux!$C$2:$C$3001,MATCH(B2661,Jeux!$A$2:$A$3001,0))&amp;"","⚠ jeu inconnu"))</f>
        <v/>
      </c>
      <c r="H2661" s="27" t="str">
        <f aca="false">IF(B2661="","",IFERROR(INDEX(Jeux!$D$2:$D$3001,MATCH(B2661,Jeux!$A$2:$A$3001,0))&amp;"",""))</f>
        <v/>
      </c>
      <c r="I2661" s="26" t="str">
        <f aca="false">IF(A2661="","",COUNTIF(Apparitions!$G$2:$G$5001,A2661))</f>
        <v/>
      </c>
      <c r="J2661" s="26" t="str">
        <f aca="false">IF(A2661="","",COUNTIFS(Apparitions!$G$2:$G$5001,A2661,Apparitions!$E$2:$E$5001,"○"))</f>
        <v/>
      </c>
      <c r="K2661" s="29" t="str">
        <f aca="false">IF(A2661="","",IFERROR(1/(1/_xlfn.MINIFS(Apparitions!$L$2:$L$5001,Apparitions!$G$2:$G$5001,A2661)),""))</f>
        <v/>
      </c>
      <c r="L2661" s="27" t="str">
        <f aca="false">IF(A2661="","",A2661&amp;" | "&amp;B2661&amp;IF(C2661="",""," ("&amp;C2661&amp;")")&amp;IF(D2661="",""," - "&amp;D2661))</f>
        <v/>
      </c>
    </row>
    <row r="2662" customFormat="false" ht="15" hidden="false" customHeight="false" outlineLevel="0" collapsed="false">
      <c r="A2662" s="32"/>
      <c r="B2662" s="19"/>
      <c r="C2662" s="19"/>
      <c r="D2662" s="19"/>
      <c r="E2662" s="21"/>
      <c r="F2662" s="19"/>
      <c r="G2662" s="27" t="str">
        <f aca="false">IF(B2662="","",IFERROR(INDEX(Jeux!$C$2:$C$3001,MATCH(B2662,Jeux!$A$2:$A$3001,0))&amp;"","⚠ jeu inconnu"))</f>
        <v/>
      </c>
      <c r="H2662" s="27" t="str">
        <f aca="false">IF(B2662="","",IFERROR(INDEX(Jeux!$D$2:$D$3001,MATCH(B2662,Jeux!$A$2:$A$3001,0))&amp;"",""))</f>
        <v/>
      </c>
      <c r="I2662" s="26" t="str">
        <f aca="false">IF(A2662="","",COUNTIF(Apparitions!$G$2:$G$5001,A2662))</f>
        <v/>
      </c>
      <c r="J2662" s="26" t="str">
        <f aca="false">IF(A2662="","",COUNTIFS(Apparitions!$G$2:$G$5001,A2662,Apparitions!$E$2:$E$5001,"○"))</f>
        <v/>
      </c>
      <c r="K2662" s="29" t="str">
        <f aca="false">IF(A2662="","",IFERROR(1/(1/_xlfn.MINIFS(Apparitions!$L$2:$L$5001,Apparitions!$G$2:$G$5001,A2662)),""))</f>
        <v/>
      </c>
      <c r="L2662" s="27" t="str">
        <f aca="false">IF(A2662="","",A2662&amp;" | "&amp;B2662&amp;IF(C2662="",""," ("&amp;C2662&amp;")")&amp;IF(D2662="",""," - "&amp;D2662))</f>
        <v/>
      </c>
    </row>
    <row r="2663" customFormat="false" ht="15" hidden="false" customHeight="false" outlineLevel="0" collapsed="false">
      <c r="A2663" s="32"/>
      <c r="B2663" s="19"/>
      <c r="C2663" s="19"/>
      <c r="D2663" s="19"/>
      <c r="E2663" s="21"/>
      <c r="F2663" s="19"/>
      <c r="G2663" s="27" t="str">
        <f aca="false">IF(B2663="","",IFERROR(INDEX(Jeux!$C$2:$C$3001,MATCH(B2663,Jeux!$A$2:$A$3001,0))&amp;"","⚠ jeu inconnu"))</f>
        <v/>
      </c>
      <c r="H2663" s="27" t="str">
        <f aca="false">IF(B2663="","",IFERROR(INDEX(Jeux!$D$2:$D$3001,MATCH(B2663,Jeux!$A$2:$A$3001,0))&amp;"",""))</f>
        <v/>
      </c>
      <c r="I2663" s="26" t="str">
        <f aca="false">IF(A2663="","",COUNTIF(Apparitions!$G$2:$G$5001,A2663))</f>
        <v/>
      </c>
      <c r="J2663" s="26" t="str">
        <f aca="false">IF(A2663="","",COUNTIFS(Apparitions!$G$2:$G$5001,A2663,Apparitions!$E$2:$E$5001,"○"))</f>
        <v/>
      </c>
      <c r="K2663" s="29" t="str">
        <f aca="false">IF(A2663="","",IFERROR(1/(1/_xlfn.MINIFS(Apparitions!$L$2:$L$5001,Apparitions!$G$2:$G$5001,A2663)),""))</f>
        <v/>
      </c>
      <c r="L2663" s="27" t="str">
        <f aca="false">IF(A2663="","",A2663&amp;" | "&amp;B2663&amp;IF(C2663="",""," ("&amp;C2663&amp;")")&amp;IF(D2663="",""," - "&amp;D2663))</f>
        <v/>
      </c>
    </row>
    <row r="2664" customFormat="false" ht="15" hidden="false" customHeight="false" outlineLevel="0" collapsed="false">
      <c r="A2664" s="32"/>
      <c r="B2664" s="19"/>
      <c r="C2664" s="19"/>
      <c r="D2664" s="19"/>
      <c r="E2664" s="21"/>
      <c r="F2664" s="19"/>
      <c r="G2664" s="27" t="str">
        <f aca="false">IF(B2664="","",IFERROR(INDEX(Jeux!$C$2:$C$3001,MATCH(B2664,Jeux!$A$2:$A$3001,0))&amp;"","⚠ jeu inconnu"))</f>
        <v/>
      </c>
      <c r="H2664" s="27" t="str">
        <f aca="false">IF(B2664="","",IFERROR(INDEX(Jeux!$D$2:$D$3001,MATCH(B2664,Jeux!$A$2:$A$3001,0))&amp;"",""))</f>
        <v/>
      </c>
      <c r="I2664" s="26" t="str">
        <f aca="false">IF(A2664="","",COUNTIF(Apparitions!$G$2:$G$5001,A2664))</f>
        <v/>
      </c>
      <c r="J2664" s="26" t="str">
        <f aca="false">IF(A2664="","",COUNTIFS(Apparitions!$G$2:$G$5001,A2664,Apparitions!$E$2:$E$5001,"○"))</f>
        <v/>
      </c>
      <c r="K2664" s="29" t="str">
        <f aca="false">IF(A2664="","",IFERROR(1/(1/_xlfn.MINIFS(Apparitions!$L$2:$L$5001,Apparitions!$G$2:$G$5001,A2664)),""))</f>
        <v/>
      </c>
      <c r="L2664" s="27" t="str">
        <f aca="false">IF(A2664="","",A2664&amp;" | "&amp;B2664&amp;IF(C2664="",""," ("&amp;C2664&amp;")")&amp;IF(D2664="",""," - "&amp;D2664))</f>
        <v/>
      </c>
    </row>
    <row r="2665" customFormat="false" ht="15" hidden="false" customHeight="false" outlineLevel="0" collapsed="false">
      <c r="A2665" s="32"/>
      <c r="B2665" s="19"/>
      <c r="C2665" s="19"/>
      <c r="D2665" s="19"/>
      <c r="E2665" s="21"/>
      <c r="F2665" s="19"/>
      <c r="G2665" s="27" t="str">
        <f aca="false">IF(B2665="","",IFERROR(INDEX(Jeux!$C$2:$C$3001,MATCH(B2665,Jeux!$A$2:$A$3001,0))&amp;"","⚠ jeu inconnu"))</f>
        <v/>
      </c>
      <c r="H2665" s="27" t="str">
        <f aca="false">IF(B2665="","",IFERROR(INDEX(Jeux!$D$2:$D$3001,MATCH(B2665,Jeux!$A$2:$A$3001,0))&amp;"",""))</f>
        <v/>
      </c>
      <c r="I2665" s="26" t="str">
        <f aca="false">IF(A2665="","",COUNTIF(Apparitions!$G$2:$G$5001,A2665))</f>
        <v/>
      </c>
      <c r="J2665" s="26" t="str">
        <f aca="false">IF(A2665="","",COUNTIFS(Apparitions!$G$2:$G$5001,A2665,Apparitions!$E$2:$E$5001,"○"))</f>
        <v/>
      </c>
      <c r="K2665" s="29" t="str">
        <f aca="false">IF(A2665="","",IFERROR(1/(1/_xlfn.MINIFS(Apparitions!$L$2:$L$5001,Apparitions!$G$2:$G$5001,A2665)),""))</f>
        <v/>
      </c>
      <c r="L2665" s="27" t="str">
        <f aca="false">IF(A2665="","",A2665&amp;" | "&amp;B2665&amp;IF(C2665="",""," ("&amp;C2665&amp;")")&amp;IF(D2665="",""," - "&amp;D2665))</f>
        <v/>
      </c>
    </row>
    <row r="2666" customFormat="false" ht="15" hidden="false" customHeight="false" outlineLevel="0" collapsed="false">
      <c r="A2666" s="32"/>
      <c r="B2666" s="19"/>
      <c r="C2666" s="19"/>
      <c r="D2666" s="19"/>
      <c r="E2666" s="21"/>
      <c r="F2666" s="19"/>
      <c r="G2666" s="27" t="str">
        <f aca="false">IF(B2666="","",IFERROR(INDEX(Jeux!$C$2:$C$3001,MATCH(B2666,Jeux!$A$2:$A$3001,0))&amp;"","⚠ jeu inconnu"))</f>
        <v/>
      </c>
      <c r="H2666" s="27" t="str">
        <f aca="false">IF(B2666="","",IFERROR(INDEX(Jeux!$D$2:$D$3001,MATCH(B2666,Jeux!$A$2:$A$3001,0))&amp;"",""))</f>
        <v/>
      </c>
      <c r="I2666" s="26" t="str">
        <f aca="false">IF(A2666="","",COUNTIF(Apparitions!$G$2:$G$5001,A2666))</f>
        <v/>
      </c>
      <c r="J2666" s="26" t="str">
        <f aca="false">IF(A2666="","",COUNTIFS(Apparitions!$G$2:$G$5001,A2666,Apparitions!$E$2:$E$5001,"○"))</f>
        <v/>
      </c>
      <c r="K2666" s="29" t="str">
        <f aca="false">IF(A2666="","",IFERROR(1/(1/_xlfn.MINIFS(Apparitions!$L$2:$L$5001,Apparitions!$G$2:$G$5001,A2666)),""))</f>
        <v/>
      </c>
      <c r="L2666" s="27" t="str">
        <f aca="false">IF(A2666="","",A2666&amp;" | "&amp;B2666&amp;IF(C2666="",""," ("&amp;C2666&amp;")")&amp;IF(D2666="",""," - "&amp;D2666))</f>
        <v/>
      </c>
    </row>
    <row r="2667" customFormat="false" ht="15" hidden="false" customHeight="false" outlineLevel="0" collapsed="false">
      <c r="A2667" s="32"/>
      <c r="B2667" s="19"/>
      <c r="C2667" s="19"/>
      <c r="D2667" s="19"/>
      <c r="E2667" s="21"/>
      <c r="F2667" s="19"/>
      <c r="G2667" s="27" t="str">
        <f aca="false">IF(B2667="","",IFERROR(INDEX(Jeux!$C$2:$C$3001,MATCH(B2667,Jeux!$A$2:$A$3001,0))&amp;"","⚠ jeu inconnu"))</f>
        <v/>
      </c>
      <c r="H2667" s="27" t="str">
        <f aca="false">IF(B2667="","",IFERROR(INDEX(Jeux!$D$2:$D$3001,MATCH(B2667,Jeux!$A$2:$A$3001,0))&amp;"",""))</f>
        <v/>
      </c>
      <c r="I2667" s="26" t="str">
        <f aca="false">IF(A2667="","",COUNTIF(Apparitions!$G$2:$G$5001,A2667))</f>
        <v/>
      </c>
      <c r="J2667" s="26" t="str">
        <f aca="false">IF(A2667="","",COUNTIFS(Apparitions!$G$2:$G$5001,A2667,Apparitions!$E$2:$E$5001,"○"))</f>
        <v/>
      </c>
      <c r="K2667" s="29" t="str">
        <f aca="false">IF(A2667="","",IFERROR(1/(1/_xlfn.MINIFS(Apparitions!$L$2:$L$5001,Apparitions!$G$2:$G$5001,A2667)),""))</f>
        <v/>
      </c>
      <c r="L2667" s="27" t="str">
        <f aca="false">IF(A2667="","",A2667&amp;" | "&amp;B2667&amp;IF(C2667="",""," ("&amp;C2667&amp;")")&amp;IF(D2667="",""," - "&amp;D2667))</f>
        <v/>
      </c>
    </row>
    <row r="2668" customFormat="false" ht="15" hidden="false" customHeight="false" outlineLevel="0" collapsed="false">
      <c r="A2668" s="32"/>
      <c r="B2668" s="19"/>
      <c r="C2668" s="19"/>
      <c r="D2668" s="19"/>
      <c r="E2668" s="21"/>
      <c r="F2668" s="19"/>
      <c r="G2668" s="27" t="str">
        <f aca="false">IF(B2668="","",IFERROR(INDEX(Jeux!$C$2:$C$3001,MATCH(B2668,Jeux!$A$2:$A$3001,0))&amp;"","⚠ jeu inconnu"))</f>
        <v/>
      </c>
      <c r="H2668" s="27" t="str">
        <f aca="false">IF(B2668="","",IFERROR(INDEX(Jeux!$D$2:$D$3001,MATCH(B2668,Jeux!$A$2:$A$3001,0))&amp;"",""))</f>
        <v/>
      </c>
      <c r="I2668" s="26" t="str">
        <f aca="false">IF(A2668="","",COUNTIF(Apparitions!$G$2:$G$5001,A2668))</f>
        <v/>
      </c>
      <c r="J2668" s="26" t="str">
        <f aca="false">IF(A2668="","",COUNTIFS(Apparitions!$G$2:$G$5001,A2668,Apparitions!$E$2:$E$5001,"○"))</f>
        <v/>
      </c>
      <c r="K2668" s="29" t="str">
        <f aca="false">IF(A2668="","",IFERROR(1/(1/_xlfn.MINIFS(Apparitions!$L$2:$L$5001,Apparitions!$G$2:$G$5001,A2668)),""))</f>
        <v/>
      </c>
      <c r="L2668" s="27" t="str">
        <f aca="false">IF(A2668="","",A2668&amp;" | "&amp;B2668&amp;IF(C2668="",""," ("&amp;C2668&amp;")")&amp;IF(D2668="",""," - "&amp;D2668))</f>
        <v/>
      </c>
    </row>
    <row r="2669" customFormat="false" ht="15" hidden="false" customHeight="false" outlineLevel="0" collapsed="false">
      <c r="A2669" s="32"/>
      <c r="B2669" s="19"/>
      <c r="C2669" s="19"/>
      <c r="D2669" s="19"/>
      <c r="E2669" s="21"/>
      <c r="F2669" s="19"/>
      <c r="G2669" s="27" t="str">
        <f aca="false">IF(B2669="","",IFERROR(INDEX(Jeux!$C$2:$C$3001,MATCH(B2669,Jeux!$A$2:$A$3001,0))&amp;"","⚠ jeu inconnu"))</f>
        <v/>
      </c>
      <c r="H2669" s="27" t="str">
        <f aca="false">IF(B2669="","",IFERROR(INDEX(Jeux!$D$2:$D$3001,MATCH(B2669,Jeux!$A$2:$A$3001,0))&amp;"",""))</f>
        <v/>
      </c>
      <c r="I2669" s="26" t="str">
        <f aca="false">IF(A2669="","",COUNTIF(Apparitions!$G$2:$G$5001,A2669))</f>
        <v/>
      </c>
      <c r="J2669" s="26" t="str">
        <f aca="false">IF(A2669="","",COUNTIFS(Apparitions!$G$2:$G$5001,A2669,Apparitions!$E$2:$E$5001,"○"))</f>
        <v/>
      </c>
      <c r="K2669" s="29" t="str">
        <f aca="false">IF(A2669="","",IFERROR(1/(1/_xlfn.MINIFS(Apparitions!$L$2:$L$5001,Apparitions!$G$2:$G$5001,A2669)),""))</f>
        <v/>
      </c>
      <c r="L2669" s="27" t="str">
        <f aca="false">IF(A2669="","",A2669&amp;" | "&amp;B2669&amp;IF(C2669="",""," ("&amp;C2669&amp;")")&amp;IF(D2669="",""," - "&amp;D2669))</f>
        <v/>
      </c>
    </row>
    <row r="2670" customFormat="false" ht="15" hidden="false" customHeight="false" outlineLevel="0" collapsed="false">
      <c r="A2670" s="32"/>
      <c r="B2670" s="19"/>
      <c r="C2670" s="19"/>
      <c r="D2670" s="19"/>
      <c r="E2670" s="21"/>
      <c r="F2670" s="19"/>
      <c r="G2670" s="27" t="str">
        <f aca="false">IF(B2670="","",IFERROR(INDEX(Jeux!$C$2:$C$3001,MATCH(B2670,Jeux!$A$2:$A$3001,0))&amp;"","⚠ jeu inconnu"))</f>
        <v/>
      </c>
      <c r="H2670" s="27" t="str">
        <f aca="false">IF(B2670="","",IFERROR(INDEX(Jeux!$D$2:$D$3001,MATCH(B2670,Jeux!$A$2:$A$3001,0))&amp;"",""))</f>
        <v/>
      </c>
      <c r="I2670" s="26" t="str">
        <f aca="false">IF(A2670="","",COUNTIF(Apparitions!$G$2:$G$5001,A2670))</f>
        <v/>
      </c>
      <c r="J2670" s="26" t="str">
        <f aca="false">IF(A2670="","",COUNTIFS(Apparitions!$G$2:$G$5001,A2670,Apparitions!$E$2:$E$5001,"○"))</f>
        <v/>
      </c>
      <c r="K2670" s="29" t="str">
        <f aca="false">IF(A2670="","",IFERROR(1/(1/_xlfn.MINIFS(Apparitions!$L$2:$L$5001,Apparitions!$G$2:$G$5001,A2670)),""))</f>
        <v/>
      </c>
      <c r="L2670" s="27" t="str">
        <f aca="false">IF(A2670="","",A2670&amp;" | "&amp;B2670&amp;IF(C2670="",""," ("&amp;C2670&amp;")")&amp;IF(D2670="",""," - "&amp;D2670))</f>
        <v/>
      </c>
    </row>
    <row r="2671" customFormat="false" ht="15" hidden="false" customHeight="false" outlineLevel="0" collapsed="false">
      <c r="A2671" s="32"/>
      <c r="B2671" s="19"/>
      <c r="C2671" s="19"/>
      <c r="D2671" s="19"/>
      <c r="E2671" s="21"/>
      <c r="F2671" s="19"/>
      <c r="G2671" s="27" t="str">
        <f aca="false">IF(B2671="","",IFERROR(INDEX(Jeux!$C$2:$C$3001,MATCH(B2671,Jeux!$A$2:$A$3001,0))&amp;"","⚠ jeu inconnu"))</f>
        <v/>
      </c>
      <c r="H2671" s="27" t="str">
        <f aca="false">IF(B2671="","",IFERROR(INDEX(Jeux!$D$2:$D$3001,MATCH(B2671,Jeux!$A$2:$A$3001,0))&amp;"",""))</f>
        <v/>
      </c>
      <c r="I2671" s="26" t="str">
        <f aca="false">IF(A2671="","",COUNTIF(Apparitions!$G$2:$G$5001,A2671))</f>
        <v/>
      </c>
      <c r="J2671" s="26" t="str">
        <f aca="false">IF(A2671="","",COUNTIFS(Apparitions!$G$2:$G$5001,A2671,Apparitions!$E$2:$E$5001,"○"))</f>
        <v/>
      </c>
      <c r="K2671" s="29" t="str">
        <f aca="false">IF(A2671="","",IFERROR(1/(1/_xlfn.MINIFS(Apparitions!$L$2:$L$5001,Apparitions!$G$2:$G$5001,A2671)),""))</f>
        <v/>
      </c>
      <c r="L2671" s="27" t="str">
        <f aca="false">IF(A2671="","",A2671&amp;" | "&amp;B2671&amp;IF(C2671="",""," ("&amp;C2671&amp;")")&amp;IF(D2671="",""," - "&amp;D2671))</f>
        <v/>
      </c>
    </row>
    <row r="2672" customFormat="false" ht="15" hidden="false" customHeight="false" outlineLevel="0" collapsed="false">
      <c r="A2672" s="32"/>
      <c r="B2672" s="19"/>
      <c r="C2672" s="19"/>
      <c r="D2672" s="19"/>
      <c r="E2672" s="21"/>
      <c r="F2672" s="19"/>
      <c r="G2672" s="27" t="str">
        <f aca="false">IF(B2672="","",IFERROR(INDEX(Jeux!$C$2:$C$3001,MATCH(B2672,Jeux!$A$2:$A$3001,0))&amp;"","⚠ jeu inconnu"))</f>
        <v/>
      </c>
      <c r="H2672" s="27" t="str">
        <f aca="false">IF(B2672="","",IFERROR(INDEX(Jeux!$D$2:$D$3001,MATCH(B2672,Jeux!$A$2:$A$3001,0))&amp;"",""))</f>
        <v/>
      </c>
      <c r="I2672" s="26" t="str">
        <f aca="false">IF(A2672="","",COUNTIF(Apparitions!$G$2:$G$5001,A2672))</f>
        <v/>
      </c>
      <c r="J2672" s="26" t="str">
        <f aca="false">IF(A2672="","",COUNTIFS(Apparitions!$G$2:$G$5001,A2672,Apparitions!$E$2:$E$5001,"○"))</f>
        <v/>
      </c>
      <c r="K2672" s="29" t="str">
        <f aca="false">IF(A2672="","",IFERROR(1/(1/_xlfn.MINIFS(Apparitions!$L$2:$L$5001,Apparitions!$G$2:$G$5001,A2672)),""))</f>
        <v/>
      </c>
      <c r="L2672" s="27" t="str">
        <f aca="false">IF(A2672="","",A2672&amp;" | "&amp;B2672&amp;IF(C2672="",""," ("&amp;C2672&amp;")")&amp;IF(D2672="",""," - "&amp;D2672))</f>
        <v/>
      </c>
    </row>
    <row r="2673" customFormat="false" ht="15" hidden="false" customHeight="false" outlineLevel="0" collapsed="false">
      <c r="A2673" s="32"/>
      <c r="B2673" s="19"/>
      <c r="C2673" s="19"/>
      <c r="D2673" s="19"/>
      <c r="E2673" s="21"/>
      <c r="F2673" s="19"/>
      <c r="G2673" s="27" t="str">
        <f aca="false">IF(B2673="","",IFERROR(INDEX(Jeux!$C$2:$C$3001,MATCH(B2673,Jeux!$A$2:$A$3001,0))&amp;"","⚠ jeu inconnu"))</f>
        <v/>
      </c>
      <c r="H2673" s="27" t="str">
        <f aca="false">IF(B2673="","",IFERROR(INDEX(Jeux!$D$2:$D$3001,MATCH(B2673,Jeux!$A$2:$A$3001,0))&amp;"",""))</f>
        <v/>
      </c>
      <c r="I2673" s="26" t="str">
        <f aca="false">IF(A2673="","",COUNTIF(Apparitions!$G$2:$G$5001,A2673))</f>
        <v/>
      </c>
      <c r="J2673" s="26" t="str">
        <f aca="false">IF(A2673="","",COUNTIFS(Apparitions!$G$2:$G$5001,A2673,Apparitions!$E$2:$E$5001,"○"))</f>
        <v/>
      </c>
      <c r="K2673" s="29" t="str">
        <f aca="false">IF(A2673="","",IFERROR(1/(1/_xlfn.MINIFS(Apparitions!$L$2:$L$5001,Apparitions!$G$2:$G$5001,A2673)),""))</f>
        <v/>
      </c>
      <c r="L2673" s="27" t="str">
        <f aca="false">IF(A2673="","",A2673&amp;" | "&amp;B2673&amp;IF(C2673="",""," ("&amp;C2673&amp;")")&amp;IF(D2673="",""," - "&amp;D2673))</f>
        <v/>
      </c>
    </row>
    <row r="2674" customFormat="false" ht="15" hidden="false" customHeight="false" outlineLevel="0" collapsed="false">
      <c r="A2674" s="32"/>
      <c r="B2674" s="19"/>
      <c r="C2674" s="19"/>
      <c r="D2674" s="19"/>
      <c r="E2674" s="21"/>
      <c r="F2674" s="19"/>
      <c r="G2674" s="27" t="str">
        <f aca="false">IF(B2674="","",IFERROR(INDEX(Jeux!$C$2:$C$3001,MATCH(B2674,Jeux!$A$2:$A$3001,0))&amp;"","⚠ jeu inconnu"))</f>
        <v/>
      </c>
      <c r="H2674" s="27" t="str">
        <f aca="false">IF(B2674="","",IFERROR(INDEX(Jeux!$D$2:$D$3001,MATCH(B2674,Jeux!$A$2:$A$3001,0))&amp;"",""))</f>
        <v/>
      </c>
      <c r="I2674" s="26" t="str">
        <f aca="false">IF(A2674="","",COUNTIF(Apparitions!$G$2:$G$5001,A2674))</f>
        <v/>
      </c>
      <c r="J2674" s="26" t="str">
        <f aca="false">IF(A2674="","",COUNTIFS(Apparitions!$G$2:$G$5001,A2674,Apparitions!$E$2:$E$5001,"○"))</f>
        <v/>
      </c>
      <c r="K2674" s="29" t="str">
        <f aca="false">IF(A2674="","",IFERROR(1/(1/_xlfn.MINIFS(Apparitions!$L$2:$L$5001,Apparitions!$G$2:$G$5001,A2674)),""))</f>
        <v/>
      </c>
      <c r="L2674" s="27" t="str">
        <f aca="false">IF(A2674="","",A2674&amp;" | "&amp;B2674&amp;IF(C2674="",""," ("&amp;C2674&amp;")")&amp;IF(D2674="",""," - "&amp;D2674))</f>
        <v/>
      </c>
    </row>
    <row r="2675" customFormat="false" ht="15" hidden="false" customHeight="false" outlineLevel="0" collapsed="false">
      <c r="A2675" s="32"/>
      <c r="B2675" s="19"/>
      <c r="C2675" s="19"/>
      <c r="D2675" s="19"/>
      <c r="E2675" s="21"/>
      <c r="F2675" s="19"/>
      <c r="G2675" s="27" t="str">
        <f aca="false">IF(B2675="","",IFERROR(INDEX(Jeux!$C$2:$C$3001,MATCH(B2675,Jeux!$A$2:$A$3001,0))&amp;"","⚠ jeu inconnu"))</f>
        <v/>
      </c>
      <c r="H2675" s="27" t="str">
        <f aca="false">IF(B2675="","",IFERROR(INDEX(Jeux!$D$2:$D$3001,MATCH(B2675,Jeux!$A$2:$A$3001,0))&amp;"",""))</f>
        <v/>
      </c>
      <c r="I2675" s="26" t="str">
        <f aca="false">IF(A2675="","",COUNTIF(Apparitions!$G$2:$G$5001,A2675))</f>
        <v/>
      </c>
      <c r="J2675" s="26" t="str">
        <f aca="false">IF(A2675="","",COUNTIFS(Apparitions!$G$2:$G$5001,A2675,Apparitions!$E$2:$E$5001,"○"))</f>
        <v/>
      </c>
      <c r="K2675" s="29" t="str">
        <f aca="false">IF(A2675="","",IFERROR(1/(1/_xlfn.MINIFS(Apparitions!$L$2:$L$5001,Apparitions!$G$2:$G$5001,A2675)),""))</f>
        <v/>
      </c>
      <c r="L2675" s="27" t="str">
        <f aca="false">IF(A2675="","",A2675&amp;" | "&amp;B2675&amp;IF(C2675="",""," ("&amp;C2675&amp;")")&amp;IF(D2675="",""," - "&amp;D2675))</f>
        <v/>
      </c>
    </row>
    <row r="2676" customFormat="false" ht="15" hidden="false" customHeight="false" outlineLevel="0" collapsed="false">
      <c r="A2676" s="32"/>
      <c r="B2676" s="19"/>
      <c r="C2676" s="19"/>
      <c r="D2676" s="19"/>
      <c r="E2676" s="21"/>
      <c r="F2676" s="19"/>
      <c r="G2676" s="27" t="str">
        <f aca="false">IF(B2676="","",IFERROR(INDEX(Jeux!$C$2:$C$3001,MATCH(B2676,Jeux!$A$2:$A$3001,0))&amp;"","⚠ jeu inconnu"))</f>
        <v/>
      </c>
      <c r="H2676" s="27" t="str">
        <f aca="false">IF(B2676="","",IFERROR(INDEX(Jeux!$D$2:$D$3001,MATCH(B2676,Jeux!$A$2:$A$3001,0))&amp;"",""))</f>
        <v/>
      </c>
      <c r="I2676" s="26" t="str">
        <f aca="false">IF(A2676="","",COUNTIF(Apparitions!$G$2:$G$5001,A2676))</f>
        <v/>
      </c>
      <c r="J2676" s="26" t="str">
        <f aca="false">IF(A2676="","",COUNTIFS(Apparitions!$G$2:$G$5001,A2676,Apparitions!$E$2:$E$5001,"○"))</f>
        <v/>
      </c>
      <c r="K2676" s="29" t="str">
        <f aca="false">IF(A2676="","",IFERROR(1/(1/_xlfn.MINIFS(Apparitions!$L$2:$L$5001,Apparitions!$G$2:$G$5001,A2676)),""))</f>
        <v/>
      </c>
      <c r="L2676" s="27" t="str">
        <f aca="false">IF(A2676="","",A2676&amp;" | "&amp;B2676&amp;IF(C2676="",""," ("&amp;C2676&amp;")")&amp;IF(D2676="",""," - "&amp;D2676))</f>
        <v/>
      </c>
    </row>
    <row r="2677" customFormat="false" ht="15" hidden="false" customHeight="false" outlineLevel="0" collapsed="false">
      <c r="A2677" s="32"/>
      <c r="B2677" s="19"/>
      <c r="C2677" s="19"/>
      <c r="D2677" s="19"/>
      <c r="E2677" s="21"/>
      <c r="F2677" s="19"/>
      <c r="G2677" s="27" t="str">
        <f aca="false">IF(B2677="","",IFERROR(INDEX(Jeux!$C$2:$C$3001,MATCH(B2677,Jeux!$A$2:$A$3001,0))&amp;"","⚠ jeu inconnu"))</f>
        <v/>
      </c>
      <c r="H2677" s="27" t="str">
        <f aca="false">IF(B2677="","",IFERROR(INDEX(Jeux!$D$2:$D$3001,MATCH(B2677,Jeux!$A$2:$A$3001,0))&amp;"",""))</f>
        <v/>
      </c>
      <c r="I2677" s="26" t="str">
        <f aca="false">IF(A2677="","",COUNTIF(Apparitions!$G$2:$G$5001,A2677))</f>
        <v/>
      </c>
      <c r="J2677" s="26" t="str">
        <f aca="false">IF(A2677="","",COUNTIFS(Apparitions!$G$2:$G$5001,A2677,Apparitions!$E$2:$E$5001,"○"))</f>
        <v/>
      </c>
      <c r="K2677" s="29" t="str">
        <f aca="false">IF(A2677="","",IFERROR(1/(1/_xlfn.MINIFS(Apparitions!$L$2:$L$5001,Apparitions!$G$2:$G$5001,A2677)),""))</f>
        <v/>
      </c>
      <c r="L2677" s="27" t="str">
        <f aca="false">IF(A2677="","",A2677&amp;" | "&amp;B2677&amp;IF(C2677="",""," ("&amp;C2677&amp;")")&amp;IF(D2677="",""," - "&amp;D2677))</f>
        <v/>
      </c>
    </row>
    <row r="2678" customFormat="false" ht="15" hidden="false" customHeight="false" outlineLevel="0" collapsed="false">
      <c r="A2678" s="32"/>
      <c r="B2678" s="19"/>
      <c r="C2678" s="19"/>
      <c r="D2678" s="19"/>
      <c r="E2678" s="21"/>
      <c r="F2678" s="19"/>
      <c r="G2678" s="27" t="str">
        <f aca="false">IF(B2678="","",IFERROR(INDEX(Jeux!$C$2:$C$3001,MATCH(B2678,Jeux!$A$2:$A$3001,0))&amp;"","⚠ jeu inconnu"))</f>
        <v/>
      </c>
      <c r="H2678" s="27" t="str">
        <f aca="false">IF(B2678="","",IFERROR(INDEX(Jeux!$D$2:$D$3001,MATCH(B2678,Jeux!$A$2:$A$3001,0))&amp;"",""))</f>
        <v/>
      </c>
      <c r="I2678" s="26" t="str">
        <f aca="false">IF(A2678="","",COUNTIF(Apparitions!$G$2:$G$5001,A2678))</f>
        <v/>
      </c>
      <c r="J2678" s="26" t="str">
        <f aca="false">IF(A2678="","",COUNTIFS(Apparitions!$G$2:$G$5001,A2678,Apparitions!$E$2:$E$5001,"○"))</f>
        <v/>
      </c>
      <c r="K2678" s="29" t="str">
        <f aca="false">IF(A2678="","",IFERROR(1/(1/_xlfn.MINIFS(Apparitions!$L$2:$L$5001,Apparitions!$G$2:$G$5001,A2678)),""))</f>
        <v/>
      </c>
      <c r="L2678" s="27" t="str">
        <f aca="false">IF(A2678="","",A2678&amp;" | "&amp;B2678&amp;IF(C2678="",""," ("&amp;C2678&amp;")")&amp;IF(D2678="",""," - "&amp;D2678))</f>
        <v/>
      </c>
    </row>
    <row r="2679" customFormat="false" ht="15" hidden="false" customHeight="false" outlineLevel="0" collapsed="false">
      <c r="A2679" s="32"/>
      <c r="B2679" s="19"/>
      <c r="C2679" s="19"/>
      <c r="D2679" s="19"/>
      <c r="E2679" s="21"/>
      <c r="F2679" s="19"/>
      <c r="G2679" s="27" t="str">
        <f aca="false">IF(B2679="","",IFERROR(INDEX(Jeux!$C$2:$C$3001,MATCH(B2679,Jeux!$A$2:$A$3001,0))&amp;"","⚠ jeu inconnu"))</f>
        <v/>
      </c>
      <c r="H2679" s="27" t="str">
        <f aca="false">IF(B2679="","",IFERROR(INDEX(Jeux!$D$2:$D$3001,MATCH(B2679,Jeux!$A$2:$A$3001,0))&amp;"",""))</f>
        <v/>
      </c>
      <c r="I2679" s="26" t="str">
        <f aca="false">IF(A2679="","",COUNTIF(Apparitions!$G$2:$G$5001,A2679))</f>
        <v/>
      </c>
      <c r="J2679" s="26" t="str">
        <f aca="false">IF(A2679="","",COUNTIFS(Apparitions!$G$2:$G$5001,A2679,Apparitions!$E$2:$E$5001,"○"))</f>
        <v/>
      </c>
      <c r="K2679" s="29" t="str">
        <f aca="false">IF(A2679="","",IFERROR(1/(1/_xlfn.MINIFS(Apparitions!$L$2:$L$5001,Apparitions!$G$2:$G$5001,A2679)),""))</f>
        <v/>
      </c>
      <c r="L2679" s="27" t="str">
        <f aca="false">IF(A2679="","",A2679&amp;" | "&amp;B2679&amp;IF(C2679="",""," ("&amp;C2679&amp;")")&amp;IF(D2679="",""," - "&amp;D2679))</f>
        <v/>
      </c>
    </row>
    <row r="2680" customFormat="false" ht="15" hidden="false" customHeight="false" outlineLevel="0" collapsed="false">
      <c r="A2680" s="32"/>
      <c r="B2680" s="19"/>
      <c r="C2680" s="19"/>
      <c r="D2680" s="19"/>
      <c r="E2680" s="21"/>
      <c r="F2680" s="19"/>
      <c r="G2680" s="27" t="str">
        <f aca="false">IF(B2680="","",IFERROR(INDEX(Jeux!$C$2:$C$3001,MATCH(B2680,Jeux!$A$2:$A$3001,0))&amp;"","⚠ jeu inconnu"))</f>
        <v/>
      </c>
      <c r="H2680" s="27" t="str">
        <f aca="false">IF(B2680="","",IFERROR(INDEX(Jeux!$D$2:$D$3001,MATCH(B2680,Jeux!$A$2:$A$3001,0))&amp;"",""))</f>
        <v/>
      </c>
      <c r="I2680" s="26" t="str">
        <f aca="false">IF(A2680="","",COUNTIF(Apparitions!$G$2:$G$5001,A2680))</f>
        <v/>
      </c>
      <c r="J2680" s="26" t="str">
        <f aca="false">IF(A2680="","",COUNTIFS(Apparitions!$G$2:$G$5001,A2680,Apparitions!$E$2:$E$5001,"○"))</f>
        <v/>
      </c>
      <c r="K2680" s="29" t="str">
        <f aca="false">IF(A2680="","",IFERROR(1/(1/_xlfn.MINIFS(Apparitions!$L$2:$L$5001,Apparitions!$G$2:$G$5001,A2680)),""))</f>
        <v/>
      </c>
      <c r="L2680" s="27" t="str">
        <f aca="false">IF(A2680="","",A2680&amp;" | "&amp;B2680&amp;IF(C2680="",""," ("&amp;C2680&amp;")")&amp;IF(D2680="",""," - "&amp;D2680))</f>
        <v/>
      </c>
    </row>
    <row r="2681" customFormat="false" ht="15" hidden="false" customHeight="false" outlineLevel="0" collapsed="false">
      <c r="A2681" s="32"/>
      <c r="B2681" s="19"/>
      <c r="C2681" s="19"/>
      <c r="D2681" s="19"/>
      <c r="E2681" s="21"/>
      <c r="F2681" s="19"/>
      <c r="G2681" s="27" t="str">
        <f aca="false">IF(B2681="","",IFERROR(INDEX(Jeux!$C$2:$C$3001,MATCH(B2681,Jeux!$A$2:$A$3001,0))&amp;"","⚠ jeu inconnu"))</f>
        <v/>
      </c>
      <c r="H2681" s="27" t="str">
        <f aca="false">IF(B2681="","",IFERROR(INDEX(Jeux!$D$2:$D$3001,MATCH(B2681,Jeux!$A$2:$A$3001,0))&amp;"",""))</f>
        <v/>
      </c>
      <c r="I2681" s="26" t="str">
        <f aca="false">IF(A2681="","",COUNTIF(Apparitions!$G$2:$G$5001,A2681))</f>
        <v/>
      </c>
      <c r="J2681" s="26" t="str">
        <f aca="false">IF(A2681="","",COUNTIFS(Apparitions!$G$2:$G$5001,A2681,Apparitions!$E$2:$E$5001,"○"))</f>
        <v/>
      </c>
      <c r="K2681" s="29" t="str">
        <f aca="false">IF(A2681="","",IFERROR(1/(1/_xlfn.MINIFS(Apparitions!$L$2:$L$5001,Apparitions!$G$2:$G$5001,A2681)),""))</f>
        <v/>
      </c>
      <c r="L2681" s="27" t="str">
        <f aca="false">IF(A2681="","",A2681&amp;" | "&amp;B2681&amp;IF(C2681="",""," ("&amp;C2681&amp;")")&amp;IF(D2681="",""," - "&amp;D2681))</f>
        <v/>
      </c>
    </row>
    <row r="2682" customFormat="false" ht="15" hidden="false" customHeight="false" outlineLevel="0" collapsed="false">
      <c r="A2682" s="32"/>
      <c r="B2682" s="19"/>
      <c r="C2682" s="19"/>
      <c r="D2682" s="19"/>
      <c r="E2682" s="21"/>
      <c r="F2682" s="19"/>
      <c r="G2682" s="27" t="str">
        <f aca="false">IF(B2682="","",IFERROR(INDEX(Jeux!$C$2:$C$3001,MATCH(B2682,Jeux!$A$2:$A$3001,0))&amp;"","⚠ jeu inconnu"))</f>
        <v/>
      </c>
      <c r="H2682" s="27" t="str">
        <f aca="false">IF(B2682="","",IFERROR(INDEX(Jeux!$D$2:$D$3001,MATCH(B2682,Jeux!$A$2:$A$3001,0))&amp;"",""))</f>
        <v/>
      </c>
      <c r="I2682" s="26" t="str">
        <f aca="false">IF(A2682="","",COUNTIF(Apparitions!$G$2:$G$5001,A2682))</f>
        <v/>
      </c>
      <c r="J2682" s="26" t="str">
        <f aca="false">IF(A2682="","",COUNTIFS(Apparitions!$G$2:$G$5001,A2682,Apparitions!$E$2:$E$5001,"○"))</f>
        <v/>
      </c>
      <c r="K2682" s="29" t="str">
        <f aca="false">IF(A2682="","",IFERROR(1/(1/_xlfn.MINIFS(Apparitions!$L$2:$L$5001,Apparitions!$G$2:$G$5001,A2682)),""))</f>
        <v/>
      </c>
      <c r="L2682" s="27" t="str">
        <f aca="false">IF(A2682="","",A2682&amp;" | "&amp;B2682&amp;IF(C2682="",""," ("&amp;C2682&amp;")")&amp;IF(D2682="",""," - "&amp;D2682))</f>
        <v/>
      </c>
    </row>
    <row r="2683" customFormat="false" ht="15" hidden="false" customHeight="false" outlineLevel="0" collapsed="false">
      <c r="A2683" s="32"/>
      <c r="B2683" s="19"/>
      <c r="C2683" s="19"/>
      <c r="D2683" s="19"/>
      <c r="E2683" s="21"/>
      <c r="F2683" s="19"/>
      <c r="G2683" s="27" t="str">
        <f aca="false">IF(B2683="","",IFERROR(INDEX(Jeux!$C$2:$C$3001,MATCH(B2683,Jeux!$A$2:$A$3001,0))&amp;"","⚠ jeu inconnu"))</f>
        <v/>
      </c>
      <c r="H2683" s="27" t="str">
        <f aca="false">IF(B2683="","",IFERROR(INDEX(Jeux!$D$2:$D$3001,MATCH(B2683,Jeux!$A$2:$A$3001,0))&amp;"",""))</f>
        <v/>
      </c>
      <c r="I2683" s="26" t="str">
        <f aca="false">IF(A2683="","",COUNTIF(Apparitions!$G$2:$G$5001,A2683))</f>
        <v/>
      </c>
      <c r="J2683" s="26" t="str">
        <f aca="false">IF(A2683="","",COUNTIFS(Apparitions!$G$2:$G$5001,A2683,Apparitions!$E$2:$E$5001,"○"))</f>
        <v/>
      </c>
      <c r="K2683" s="29" t="str">
        <f aca="false">IF(A2683="","",IFERROR(1/(1/_xlfn.MINIFS(Apparitions!$L$2:$L$5001,Apparitions!$G$2:$G$5001,A2683)),""))</f>
        <v/>
      </c>
      <c r="L2683" s="27" t="str">
        <f aca="false">IF(A2683="","",A2683&amp;" | "&amp;B2683&amp;IF(C2683="",""," ("&amp;C2683&amp;")")&amp;IF(D2683="",""," - "&amp;D2683))</f>
        <v/>
      </c>
    </row>
    <row r="2684" customFormat="false" ht="15" hidden="false" customHeight="false" outlineLevel="0" collapsed="false">
      <c r="A2684" s="32"/>
      <c r="B2684" s="19"/>
      <c r="C2684" s="19"/>
      <c r="D2684" s="19"/>
      <c r="E2684" s="21"/>
      <c r="F2684" s="19"/>
      <c r="G2684" s="27" t="str">
        <f aca="false">IF(B2684="","",IFERROR(INDEX(Jeux!$C$2:$C$3001,MATCH(B2684,Jeux!$A$2:$A$3001,0))&amp;"","⚠ jeu inconnu"))</f>
        <v/>
      </c>
      <c r="H2684" s="27" t="str">
        <f aca="false">IF(B2684="","",IFERROR(INDEX(Jeux!$D$2:$D$3001,MATCH(B2684,Jeux!$A$2:$A$3001,0))&amp;"",""))</f>
        <v/>
      </c>
      <c r="I2684" s="26" t="str">
        <f aca="false">IF(A2684="","",COUNTIF(Apparitions!$G$2:$G$5001,A2684))</f>
        <v/>
      </c>
      <c r="J2684" s="26" t="str">
        <f aca="false">IF(A2684="","",COUNTIFS(Apparitions!$G$2:$G$5001,A2684,Apparitions!$E$2:$E$5001,"○"))</f>
        <v/>
      </c>
      <c r="K2684" s="29" t="str">
        <f aca="false">IF(A2684="","",IFERROR(1/(1/_xlfn.MINIFS(Apparitions!$L$2:$L$5001,Apparitions!$G$2:$G$5001,A2684)),""))</f>
        <v/>
      </c>
      <c r="L2684" s="27" t="str">
        <f aca="false">IF(A2684="","",A2684&amp;" | "&amp;B2684&amp;IF(C2684="",""," ("&amp;C2684&amp;")")&amp;IF(D2684="",""," - "&amp;D2684))</f>
        <v/>
      </c>
    </row>
    <row r="2685" customFormat="false" ht="15" hidden="false" customHeight="false" outlineLevel="0" collapsed="false">
      <c r="A2685" s="32"/>
      <c r="B2685" s="19"/>
      <c r="C2685" s="19"/>
      <c r="D2685" s="19"/>
      <c r="E2685" s="21"/>
      <c r="F2685" s="19"/>
      <c r="G2685" s="27" t="str">
        <f aca="false">IF(B2685="","",IFERROR(INDEX(Jeux!$C$2:$C$3001,MATCH(B2685,Jeux!$A$2:$A$3001,0))&amp;"","⚠ jeu inconnu"))</f>
        <v/>
      </c>
      <c r="H2685" s="27" t="str">
        <f aca="false">IF(B2685="","",IFERROR(INDEX(Jeux!$D$2:$D$3001,MATCH(B2685,Jeux!$A$2:$A$3001,0))&amp;"",""))</f>
        <v/>
      </c>
      <c r="I2685" s="26" t="str">
        <f aca="false">IF(A2685="","",COUNTIF(Apparitions!$G$2:$G$5001,A2685))</f>
        <v/>
      </c>
      <c r="J2685" s="26" t="str">
        <f aca="false">IF(A2685="","",COUNTIFS(Apparitions!$G$2:$G$5001,A2685,Apparitions!$E$2:$E$5001,"○"))</f>
        <v/>
      </c>
      <c r="K2685" s="29" t="str">
        <f aca="false">IF(A2685="","",IFERROR(1/(1/_xlfn.MINIFS(Apparitions!$L$2:$L$5001,Apparitions!$G$2:$G$5001,A2685)),""))</f>
        <v/>
      </c>
      <c r="L2685" s="27" t="str">
        <f aca="false">IF(A2685="","",A2685&amp;" | "&amp;B2685&amp;IF(C2685="",""," ("&amp;C2685&amp;")")&amp;IF(D2685="",""," - "&amp;D2685))</f>
        <v/>
      </c>
    </row>
    <row r="2686" customFormat="false" ht="15" hidden="false" customHeight="false" outlineLevel="0" collapsed="false">
      <c r="A2686" s="32"/>
      <c r="B2686" s="19"/>
      <c r="C2686" s="19"/>
      <c r="D2686" s="19"/>
      <c r="E2686" s="21"/>
      <c r="F2686" s="19"/>
      <c r="G2686" s="27" t="str">
        <f aca="false">IF(B2686="","",IFERROR(INDEX(Jeux!$C$2:$C$3001,MATCH(B2686,Jeux!$A$2:$A$3001,0))&amp;"","⚠ jeu inconnu"))</f>
        <v/>
      </c>
      <c r="H2686" s="27" t="str">
        <f aca="false">IF(B2686="","",IFERROR(INDEX(Jeux!$D$2:$D$3001,MATCH(B2686,Jeux!$A$2:$A$3001,0))&amp;"",""))</f>
        <v/>
      </c>
      <c r="I2686" s="26" t="str">
        <f aca="false">IF(A2686="","",COUNTIF(Apparitions!$G$2:$G$5001,A2686))</f>
        <v/>
      </c>
      <c r="J2686" s="26" t="str">
        <f aca="false">IF(A2686="","",COUNTIFS(Apparitions!$G$2:$G$5001,A2686,Apparitions!$E$2:$E$5001,"○"))</f>
        <v/>
      </c>
      <c r="K2686" s="29" t="str">
        <f aca="false">IF(A2686="","",IFERROR(1/(1/_xlfn.MINIFS(Apparitions!$L$2:$L$5001,Apparitions!$G$2:$G$5001,A2686)),""))</f>
        <v/>
      </c>
      <c r="L2686" s="27" t="str">
        <f aca="false">IF(A2686="","",A2686&amp;" | "&amp;B2686&amp;IF(C2686="",""," ("&amp;C2686&amp;")")&amp;IF(D2686="",""," - "&amp;D2686))</f>
        <v/>
      </c>
    </row>
    <row r="2687" customFormat="false" ht="15" hidden="false" customHeight="false" outlineLevel="0" collapsed="false">
      <c r="A2687" s="32"/>
      <c r="B2687" s="19"/>
      <c r="C2687" s="19"/>
      <c r="D2687" s="19"/>
      <c r="E2687" s="21"/>
      <c r="F2687" s="19"/>
      <c r="G2687" s="27" t="str">
        <f aca="false">IF(B2687="","",IFERROR(INDEX(Jeux!$C$2:$C$3001,MATCH(B2687,Jeux!$A$2:$A$3001,0))&amp;"","⚠ jeu inconnu"))</f>
        <v/>
      </c>
      <c r="H2687" s="27" t="str">
        <f aca="false">IF(B2687="","",IFERROR(INDEX(Jeux!$D$2:$D$3001,MATCH(B2687,Jeux!$A$2:$A$3001,0))&amp;"",""))</f>
        <v/>
      </c>
      <c r="I2687" s="26" t="str">
        <f aca="false">IF(A2687="","",COUNTIF(Apparitions!$G$2:$G$5001,A2687))</f>
        <v/>
      </c>
      <c r="J2687" s="26" t="str">
        <f aca="false">IF(A2687="","",COUNTIFS(Apparitions!$G$2:$G$5001,A2687,Apparitions!$E$2:$E$5001,"○"))</f>
        <v/>
      </c>
      <c r="K2687" s="29" t="str">
        <f aca="false">IF(A2687="","",IFERROR(1/(1/_xlfn.MINIFS(Apparitions!$L$2:$L$5001,Apparitions!$G$2:$G$5001,A2687)),""))</f>
        <v/>
      </c>
      <c r="L2687" s="27" t="str">
        <f aca="false">IF(A2687="","",A2687&amp;" | "&amp;B2687&amp;IF(C2687="",""," ("&amp;C2687&amp;")")&amp;IF(D2687="",""," - "&amp;D2687))</f>
        <v/>
      </c>
    </row>
    <row r="2688" customFormat="false" ht="15" hidden="false" customHeight="false" outlineLevel="0" collapsed="false">
      <c r="A2688" s="32"/>
      <c r="B2688" s="19"/>
      <c r="C2688" s="19"/>
      <c r="D2688" s="19"/>
      <c r="E2688" s="21"/>
      <c r="F2688" s="19"/>
      <c r="G2688" s="27" t="str">
        <f aca="false">IF(B2688="","",IFERROR(INDEX(Jeux!$C$2:$C$3001,MATCH(B2688,Jeux!$A$2:$A$3001,0))&amp;"","⚠ jeu inconnu"))</f>
        <v/>
      </c>
      <c r="H2688" s="27" t="str">
        <f aca="false">IF(B2688="","",IFERROR(INDEX(Jeux!$D$2:$D$3001,MATCH(B2688,Jeux!$A$2:$A$3001,0))&amp;"",""))</f>
        <v/>
      </c>
      <c r="I2688" s="26" t="str">
        <f aca="false">IF(A2688="","",COUNTIF(Apparitions!$G$2:$G$5001,A2688))</f>
        <v/>
      </c>
      <c r="J2688" s="26" t="str">
        <f aca="false">IF(A2688="","",COUNTIFS(Apparitions!$G$2:$G$5001,A2688,Apparitions!$E$2:$E$5001,"○"))</f>
        <v/>
      </c>
      <c r="K2688" s="29" t="str">
        <f aca="false">IF(A2688="","",IFERROR(1/(1/_xlfn.MINIFS(Apparitions!$L$2:$L$5001,Apparitions!$G$2:$G$5001,A2688)),""))</f>
        <v/>
      </c>
      <c r="L2688" s="27" t="str">
        <f aca="false">IF(A2688="","",A2688&amp;" | "&amp;B2688&amp;IF(C2688="",""," ("&amp;C2688&amp;")")&amp;IF(D2688="",""," - "&amp;D2688))</f>
        <v/>
      </c>
    </row>
    <row r="2689" customFormat="false" ht="15" hidden="false" customHeight="false" outlineLevel="0" collapsed="false">
      <c r="A2689" s="32"/>
      <c r="B2689" s="19"/>
      <c r="C2689" s="19"/>
      <c r="D2689" s="19"/>
      <c r="E2689" s="21"/>
      <c r="F2689" s="19"/>
      <c r="G2689" s="27" t="str">
        <f aca="false">IF(B2689="","",IFERROR(INDEX(Jeux!$C$2:$C$3001,MATCH(B2689,Jeux!$A$2:$A$3001,0))&amp;"","⚠ jeu inconnu"))</f>
        <v/>
      </c>
      <c r="H2689" s="27" t="str">
        <f aca="false">IF(B2689="","",IFERROR(INDEX(Jeux!$D$2:$D$3001,MATCH(B2689,Jeux!$A$2:$A$3001,0))&amp;"",""))</f>
        <v/>
      </c>
      <c r="I2689" s="26" t="str">
        <f aca="false">IF(A2689="","",COUNTIF(Apparitions!$G$2:$G$5001,A2689))</f>
        <v/>
      </c>
      <c r="J2689" s="26" t="str">
        <f aca="false">IF(A2689="","",COUNTIFS(Apparitions!$G$2:$G$5001,A2689,Apparitions!$E$2:$E$5001,"○"))</f>
        <v/>
      </c>
      <c r="K2689" s="29" t="str">
        <f aca="false">IF(A2689="","",IFERROR(1/(1/_xlfn.MINIFS(Apparitions!$L$2:$L$5001,Apparitions!$G$2:$G$5001,A2689)),""))</f>
        <v/>
      </c>
      <c r="L2689" s="27" t="str">
        <f aca="false">IF(A2689="","",A2689&amp;" | "&amp;B2689&amp;IF(C2689="",""," ("&amp;C2689&amp;")")&amp;IF(D2689="",""," - "&amp;D2689))</f>
        <v/>
      </c>
    </row>
    <row r="2690" customFormat="false" ht="15" hidden="false" customHeight="false" outlineLevel="0" collapsed="false">
      <c r="A2690" s="32"/>
      <c r="B2690" s="19"/>
      <c r="C2690" s="19"/>
      <c r="D2690" s="19"/>
      <c r="E2690" s="21"/>
      <c r="F2690" s="19"/>
      <c r="G2690" s="27" t="str">
        <f aca="false">IF(B2690="","",IFERROR(INDEX(Jeux!$C$2:$C$3001,MATCH(B2690,Jeux!$A$2:$A$3001,0))&amp;"","⚠ jeu inconnu"))</f>
        <v/>
      </c>
      <c r="H2690" s="27" t="str">
        <f aca="false">IF(B2690="","",IFERROR(INDEX(Jeux!$D$2:$D$3001,MATCH(B2690,Jeux!$A$2:$A$3001,0))&amp;"",""))</f>
        <v/>
      </c>
      <c r="I2690" s="26" t="str">
        <f aca="false">IF(A2690="","",COUNTIF(Apparitions!$G$2:$G$5001,A2690))</f>
        <v/>
      </c>
      <c r="J2690" s="26" t="str">
        <f aca="false">IF(A2690="","",COUNTIFS(Apparitions!$G$2:$G$5001,A2690,Apparitions!$E$2:$E$5001,"○"))</f>
        <v/>
      </c>
      <c r="K2690" s="29" t="str">
        <f aca="false">IF(A2690="","",IFERROR(1/(1/_xlfn.MINIFS(Apparitions!$L$2:$L$5001,Apparitions!$G$2:$G$5001,A2690)),""))</f>
        <v/>
      </c>
      <c r="L2690" s="27" t="str">
        <f aca="false">IF(A2690="","",A2690&amp;" | "&amp;B2690&amp;IF(C2690="",""," ("&amp;C2690&amp;")")&amp;IF(D2690="",""," - "&amp;D2690))</f>
        <v/>
      </c>
    </row>
    <row r="2691" customFormat="false" ht="15" hidden="false" customHeight="false" outlineLevel="0" collapsed="false">
      <c r="A2691" s="32"/>
      <c r="B2691" s="19"/>
      <c r="C2691" s="19"/>
      <c r="D2691" s="19"/>
      <c r="E2691" s="21"/>
      <c r="F2691" s="19"/>
      <c r="G2691" s="27" t="str">
        <f aca="false">IF(B2691="","",IFERROR(INDEX(Jeux!$C$2:$C$3001,MATCH(B2691,Jeux!$A$2:$A$3001,0))&amp;"","⚠ jeu inconnu"))</f>
        <v/>
      </c>
      <c r="H2691" s="27" t="str">
        <f aca="false">IF(B2691="","",IFERROR(INDEX(Jeux!$D$2:$D$3001,MATCH(B2691,Jeux!$A$2:$A$3001,0))&amp;"",""))</f>
        <v/>
      </c>
      <c r="I2691" s="26" t="str">
        <f aca="false">IF(A2691="","",COUNTIF(Apparitions!$G$2:$G$5001,A2691))</f>
        <v/>
      </c>
      <c r="J2691" s="26" t="str">
        <f aca="false">IF(A2691="","",COUNTIFS(Apparitions!$G$2:$G$5001,A2691,Apparitions!$E$2:$E$5001,"○"))</f>
        <v/>
      </c>
      <c r="K2691" s="29" t="str">
        <f aca="false">IF(A2691="","",IFERROR(1/(1/_xlfn.MINIFS(Apparitions!$L$2:$L$5001,Apparitions!$G$2:$G$5001,A2691)),""))</f>
        <v/>
      </c>
      <c r="L2691" s="27" t="str">
        <f aca="false">IF(A2691="","",A2691&amp;" | "&amp;B2691&amp;IF(C2691="",""," ("&amp;C2691&amp;")")&amp;IF(D2691="",""," - "&amp;D2691))</f>
        <v/>
      </c>
    </row>
    <row r="2692" customFormat="false" ht="15" hidden="false" customHeight="false" outlineLevel="0" collapsed="false">
      <c r="A2692" s="32"/>
      <c r="B2692" s="19"/>
      <c r="C2692" s="19"/>
      <c r="D2692" s="19"/>
      <c r="E2692" s="21"/>
      <c r="F2692" s="19"/>
      <c r="G2692" s="27" t="str">
        <f aca="false">IF(B2692="","",IFERROR(INDEX(Jeux!$C$2:$C$3001,MATCH(B2692,Jeux!$A$2:$A$3001,0))&amp;"","⚠ jeu inconnu"))</f>
        <v/>
      </c>
      <c r="H2692" s="27" t="str">
        <f aca="false">IF(B2692="","",IFERROR(INDEX(Jeux!$D$2:$D$3001,MATCH(B2692,Jeux!$A$2:$A$3001,0))&amp;"",""))</f>
        <v/>
      </c>
      <c r="I2692" s="26" t="str">
        <f aca="false">IF(A2692="","",COUNTIF(Apparitions!$G$2:$G$5001,A2692))</f>
        <v/>
      </c>
      <c r="J2692" s="26" t="str">
        <f aca="false">IF(A2692="","",COUNTIFS(Apparitions!$G$2:$G$5001,A2692,Apparitions!$E$2:$E$5001,"○"))</f>
        <v/>
      </c>
      <c r="K2692" s="29" t="str">
        <f aca="false">IF(A2692="","",IFERROR(1/(1/_xlfn.MINIFS(Apparitions!$L$2:$L$5001,Apparitions!$G$2:$G$5001,A2692)),""))</f>
        <v/>
      </c>
      <c r="L2692" s="27" t="str">
        <f aca="false">IF(A2692="","",A2692&amp;" | "&amp;B2692&amp;IF(C2692="",""," ("&amp;C2692&amp;")")&amp;IF(D2692="",""," - "&amp;D2692))</f>
        <v/>
      </c>
    </row>
    <row r="2693" customFormat="false" ht="15" hidden="false" customHeight="false" outlineLevel="0" collapsed="false">
      <c r="A2693" s="32"/>
      <c r="B2693" s="19"/>
      <c r="C2693" s="19"/>
      <c r="D2693" s="19"/>
      <c r="E2693" s="21"/>
      <c r="F2693" s="19"/>
      <c r="G2693" s="27" t="str">
        <f aca="false">IF(B2693="","",IFERROR(INDEX(Jeux!$C$2:$C$3001,MATCH(B2693,Jeux!$A$2:$A$3001,0))&amp;"","⚠ jeu inconnu"))</f>
        <v/>
      </c>
      <c r="H2693" s="27" t="str">
        <f aca="false">IF(B2693="","",IFERROR(INDEX(Jeux!$D$2:$D$3001,MATCH(B2693,Jeux!$A$2:$A$3001,0))&amp;"",""))</f>
        <v/>
      </c>
      <c r="I2693" s="26" t="str">
        <f aca="false">IF(A2693="","",COUNTIF(Apparitions!$G$2:$G$5001,A2693))</f>
        <v/>
      </c>
      <c r="J2693" s="26" t="str">
        <f aca="false">IF(A2693="","",COUNTIFS(Apparitions!$G$2:$G$5001,A2693,Apparitions!$E$2:$E$5001,"○"))</f>
        <v/>
      </c>
      <c r="K2693" s="29" t="str">
        <f aca="false">IF(A2693="","",IFERROR(1/(1/_xlfn.MINIFS(Apparitions!$L$2:$L$5001,Apparitions!$G$2:$G$5001,A2693)),""))</f>
        <v/>
      </c>
      <c r="L2693" s="27" t="str">
        <f aca="false">IF(A2693="","",A2693&amp;" | "&amp;B2693&amp;IF(C2693="",""," ("&amp;C2693&amp;")")&amp;IF(D2693="",""," - "&amp;D2693))</f>
        <v/>
      </c>
    </row>
    <row r="2694" customFormat="false" ht="15" hidden="false" customHeight="false" outlineLevel="0" collapsed="false">
      <c r="A2694" s="32"/>
      <c r="B2694" s="19"/>
      <c r="C2694" s="19"/>
      <c r="D2694" s="19"/>
      <c r="E2694" s="21"/>
      <c r="F2694" s="19"/>
      <c r="G2694" s="27" t="str">
        <f aca="false">IF(B2694="","",IFERROR(INDEX(Jeux!$C$2:$C$3001,MATCH(B2694,Jeux!$A$2:$A$3001,0))&amp;"","⚠ jeu inconnu"))</f>
        <v/>
      </c>
      <c r="H2694" s="27" t="str">
        <f aca="false">IF(B2694="","",IFERROR(INDEX(Jeux!$D$2:$D$3001,MATCH(B2694,Jeux!$A$2:$A$3001,0))&amp;"",""))</f>
        <v/>
      </c>
      <c r="I2694" s="26" t="str">
        <f aca="false">IF(A2694="","",COUNTIF(Apparitions!$G$2:$G$5001,A2694))</f>
        <v/>
      </c>
      <c r="J2694" s="26" t="str">
        <f aca="false">IF(A2694="","",COUNTIFS(Apparitions!$G$2:$G$5001,A2694,Apparitions!$E$2:$E$5001,"○"))</f>
        <v/>
      </c>
      <c r="K2694" s="29" t="str">
        <f aca="false">IF(A2694="","",IFERROR(1/(1/_xlfn.MINIFS(Apparitions!$L$2:$L$5001,Apparitions!$G$2:$G$5001,A2694)),""))</f>
        <v/>
      </c>
      <c r="L2694" s="27" t="str">
        <f aca="false">IF(A2694="","",A2694&amp;" | "&amp;B2694&amp;IF(C2694="",""," ("&amp;C2694&amp;")")&amp;IF(D2694="",""," - "&amp;D2694))</f>
        <v/>
      </c>
    </row>
    <row r="2695" customFormat="false" ht="15" hidden="false" customHeight="false" outlineLevel="0" collapsed="false">
      <c r="A2695" s="32"/>
      <c r="B2695" s="19"/>
      <c r="C2695" s="19"/>
      <c r="D2695" s="19"/>
      <c r="E2695" s="21"/>
      <c r="F2695" s="19"/>
      <c r="G2695" s="27" t="str">
        <f aca="false">IF(B2695="","",IFERROR(INDEX(Jeux!$C$2:$C$3001,MATCH(B2695,Jeux!$A$2:$A$3001,0))&amp;"","⚠ jeu inconnu"))</f>
        <v/>
      </c>
      <c r="H2695" s="27" t="str">
        <f aca="false">IF(B2695="","",IFERROR(INDEX(Jeux!$D$2:$D$3001,MATCH(B2695,Jeux!$A$2:$A$3001,0))&amp;"",""))</f>
        <v/>
      </c>
      <c r="I2695" s="26" t="str">
        <f aca="false">IF(A2695="","",COUNTIF(Apparitions!$G$2:$G$5001,A2695))</f>
        <v/>
      </c>
      <c r="J2695" s="26" t="str">
        <f aca="false">IF(A2695="","",COUNTIFS(Apparitions!$G$2:$G$5001,A2695,Apparitions!$E$2:$E$5001,"○"))</f>
        <v/>
      </c>
      <c r="K2695" s="29" t="str">
        <f aca="false">IF(A2695="","",IFERROR(1/(1/_xlfn.MINIFS(Apparitions!$L$2:$L$5001,Apparitions!$G$2:$G$5001,A2695)),""))</f>
        <v/>
      </c>
      <c r="L2695" s="27" t="str">
        <f aca="false">IF(A2695="","",A2695&amp;" | "&amp;B2695&amp;IF(C2695="",""," ("&amp;C2695&amp;")")&amp;IF(D2695="",""," - "&amp;D2695))</f>
        <v/>
      </c>
    </row>
    <row r="2696" customFormat="false" ht="15" hidden="false" customHeight="false" outlineLevel="0" collapsed="false">
      <c r="A2696" s="32"/>
      <c r="B2696" s="19"/>
      <c r="C2696" s="19"/>
      <c r="D2696" s="19"/>
      <c r="E2696" s="21"/>
      <c r="F2696" s="19"/>
      <c r="G2696" s="27" t="str">
        <f aca="false">IF(B2696="","",IFERROR(INDEX(Jeux!$C$2:$C$3001,MATCH(B2696,Jeux!$A$2:$A$3001,0))&amp;"","⚠ jeu inconnu"))</f>
        <v/>
      </c>
      <c r="H2696" s="27" t="str">
        <f aca="false">IF(B2696="","",IFERROR(INDEX(Jeux!$D$2:$D$3001,MATCH(B2696,Jeux!$A$2:$A$3001,0))&amp;"",""))</f>
        <v/>
      </c>
      <c r="I2696" s="26" t="str">
        <f aca="false">IF(A2696="","",COUNTIF(Apparitions!$G$2:$G$5001,A2696))</f>
        <v/>
      </c>
      <c r="J2696" s="26" t="str">
        <f aca="false">IF(A2696="","",COUNTIFS(Apparitions!$G$2:$G$5001,A2696,Apparitions!$E$2:$E$5001,"○"))</f>
        <v/>
      </c>
      <c r="K2696" s="29" t="str">
        <f aca="false">IF(A2696="","",IFERROR(1/(1/_xlfn.MINIFS(Apparitions!$L$2:$L$5001,Apparitions!$G$2:$G$5001,A2696)),""))</f>
        <v/>
      </c>
      <c r="L2696" s="27" t="str">
        <f aca="false">IF(A2696="","",A2696&amp;" | "&amp;B2696&amp;IF(C2696="",""," ("&amp;C2696&amp;")")&amp;IF(D2696="",""," - "&amp;D2696))</f>
        <v/>
      </c>
    </row>
    <row r="2697" customFormat="false" ht="15" hidden="false" customHeight="false" outlineLevel="0" collapsed="false">
      <c r="A2697" s="32"/>
      <c r="B2697" s="19"/>
      <c r="C2697" s="19"/>
      <c r="D2697" s="19"/>
      <c r="E2697" s="21"/>
      <c r="F2697" s="19"/>
      <c r="G2697" s="27" t="str">
        <f aca="false">IF(B2697="","",IFERROR(INDEX(Jeux!$C$2:$C$3001,MATCH(B2697,Jeux!$A$2:$A$3001,0))&amp;"","⚠ jeu inconnu"))</f>
        <v/>
      </c>
      <c r="H2697" s="27" t="str">
        <f aca="false">IF(B2697="","",IFERROR(INDEX(Jeux!$D$2:$D$3001,MATCH(B2697,Jeux!$A$2:$A$3001,0))&amp;"",""))</f>
        <v/>
      </c>
      <c r="I2697" s="26" t="str">
        <f aca="false">IF(A2697="","",COUNTIF(Apparitions!$G$2:$G$5001,A2697))</f>
        <v/>
      </c>
      <c r="J2697" s="26" t="str">
        <f aca="false">IF(A2697="","",COUNTIFS(Apparitions!$G$2:$G$5001,A2697,Apparitions!$E$2:$E$5001,"○"))</f>
        <v/>
      </c>
      <c r="K2697" s="29" t="str">
        <f aca="false">IF(A2697="","",IFERROR(1/(1/_xlfn.MINIFS(Apparitions!$L$2:$L$5001,Apparitions!$G$2:$G$5001,A2697)),""))</f>
        <v/>
      </c>
      <c r="L2697" s="27" t="str">
        <f aca="false">IF(A2697="","",A2697&amp;" | "&amp;B2697&amp;IF(C2697="",""," ("&amp;C2697&amp;")")&amp;IF(D2697="",""," - "&amp;D2697))</f>
        <v/>
      </c>
    </row>
    <row r="2698" customFormat="false" ht="15" hidden="false" customHeight="false" outlineLevel="0" collapsed="false">
      <c r="A2698" s="32"/>
      <c r="B2698" s="19"/>
      <c r="C2698" s="19"/>
      <c r="D2698" s="19"/>
      <c r="E2698" s="21"/>
      <c r="F2698" s="19"/>
      <c r="G2698" s="27" t="str">
        <f aca="false">IF(B2698="","",IFERROR(INDEX(Jeux!$C$2:$C$3001,MATCH(B2698,Jeux!$A$2:$A$3001,0))&amp;"","⚠ jeu inconnu"))</f>
        <v/>
      </c>
      <c r="H2698" s="27" t="str">
        <f aca="false">IF(B2698="","",IFERROR(INDEX(Jeux!$D$2:$D$3001,MATCH(B2698,Jeux!$A$2:$A$3001,0))&amp;"",""))</f>
        <v/>
      </c>
      <c r="I2698" s="26" t="str">
        <f aca="false">IF(A2698="","",COUNTIF(Apparitions!$G$2:$G$5001,A2698))</f>
        <v/>
      </c>
      <c r="J2698" s="26" t="str">
        <f aca="false">IF(A2698="","",COUNTIFS(Apparitions!$G$2:$G$5001,A2698,Apparitions!$E$2:$E$5001,"○"))</f>
        <v/>
      </c>
      <c r="K2698" s="29" t="str">
        <f aca="false">IF(A2698="","",IFERROR(1/(1/_xlfn.MINIFS(Apparitions!$L$2:$L$5001,Apparitions!$G$2:$G$5001,A2698)),""))</f>
        <v/>
      </c>
      <c r="L2698" s="27" t="str">
        <f aca="false">IF(A2698="","",A2698&amp;" | "&amp;B2698&amp;IF(C2698="",""," ("&amp;C2698&amp;")")&amp;IF(D2698="",""," - "&amp;D2698))</f>
        <v/>
      </c>
    </row>
    <row r="2699" customFormat="false" ht="15" hidden="false" customHeight="false" outlineLevel="0" collapsed="false">
      <c r="A2699" s="32"/>
      <c r="B2699" s="19"/>
      <c r="C2699" s="19"/>
      <c r="D2699" s="19"/>
      <c r="E2699" s="21"/>
      <c r="F2699" s="19"/>
      <c r="G2699" s="27" t="str">
        <f aca="false">IF(B2699="","",IFERROR(INDEX(Jeux!$C$2:$C$3001,MATCH(B2699,Jeux!$A$2:$A$3001,0))&amp;"","⚠ jeu inconnu"))</f>
        <v/>
      </c>
      <c r="H2699" s="27" t="str">
        <f aca="false">IF(B2699="","",IFERROR(INDEX(Jeux!$D$2:$D$3001,MATCH(B2699,Jeux!$A$2:$A$3001,0))&amp;"",""))</f>
        <v/>
      </c>
      <c r="I2699" s="26" t="str">
        <f aca="false">IF(A2699="","",COUNTIF(Apparitions!$G$2:$G$5001,A2699))</f>
        <v/>
      </c>
      <c r="J2699" s="26" t="str">
        <f aca="false">IF(A2699="","",COUNTIFS(Apparitions!$G$2:$G$5001,A2699,Apparitions!$E$2:$E$5001,"○"))</f>
        <v/>
      </c>
      <c r="K2699" s="29" t="str">
        <f aca="false">IF(A2699="","",IFERROR(1/(1/_xlfn.MINIFS(Apparitions!$L$2:$L$5001,Apparitions!$G$2:$G$5001,A2699)),""))</f>
        <v/>
      </c>
      <c r="L2699" s="27" t="str">
        <f aca="false">IF(A2699="","",A2699&amp;" | "&amp;B2699&amp;IF(C2699="",""," ("&amp;C2699&amp;")")&amp;IF(D2699="",""," - "&amp;D2699))</f>
        <v/>
      </c>
    </row>
    <row r="2700" customFormat="false" ht="15" hidden="false" customHeight="false" outlineLevel="0" collapsed="false">
      <c r="A2700" s="32"/>
      <c r="B2700" s="19"/>
      <c r="C2700" s="19"/>
      <c r="D2700" s="19"/>
      <c r="E2700" s="21"/>
      <c r="F2700" s="19"/>
      <c r="G2700" s="27" t="str">
        <f aca="false">IF(B2700="","",IFERROR(INDEX(Jeux!$C$2:$C$3001,MATCH(B2700,Jeux!$A$2:$A$3001,0))&amp;"","⚠ jeu inconnu"))</f>
        <v/>
      </c>
      <c r="H2700" s="27" t="str">
        <f aca="false">IF(B2700="","",IFERROR(INDEX(Jeux!$D$2:$D$3001,MATCH(B2700,Jeux!$A$2:$A$3001,0))&amp;"",""))</f>
        <v/>
      </c>
      <c r="I2700" s="26" t="str">
        <f aca="false">IF(A2700="","",COUNTIF(Apparitions!$G$2:$G$5001,A2700))</f>
        <v/>
      </c>
      <c r="J2700" s="26" t="str">
        <f aca="false">IF(A2700="","",COUNTIFS(Apparitions!$G$2:$G$5001,A2700,Apparitions!$E$2:$E$5001,"○"))</f>
        <v/>
      </c>
      <c r="K2700" s="29" t="str">
        <f aca="false">IF(A2700="","",IFERROR(1/(1/_xlfn.MINIFS(Apparitions!$L$2:$L$5001,Apparitions!$G$2:$G$5001,A2700)),""))</f>
        <v/>
      </c>
      <c r="L2700" s="27" t="str">
        <f aca="false">IF(A2700="","",A2700&amp;" | "&amp;B2700&amp;IF(C2700="",""," ("&amp;C2700&amp;")")&amp;IF(D2700="",""," - "&amp;D2700))</f>
        <v/>
      </c>
    </row>
    <row r="2701" customFormat="false" ht="15" hidden="false" customHeight="false" outlineLevel="0" collapsed="false">
      <c r="A2701" s="32"/>
      <c r="B2701" s="19"/>
      <c r="C2701" s="19"/>
      <c r="D2701" s="19"/>
      <c r="E2701" s="21"/>
      <c r="F2701" s="19"/>
      <c r="G2701" s="27" t="str">
        <f aca="false">IF(B2701="","",IFERROR(INDEX(Jeux!$C$2:$C$3001,MATCH(B2701,Jeux!$A$2:$A$3001,0))&amp;"","⚠ jeu inconnu"))</f>
        <v/>
      </c>
      <c r="H2701" s="27" t="str">
        <f aca="false">IF(B2701="","",IFERROR(INDEX(Jeux!$D$2:$D$3001,MATCH(B2701,Jeux!$A$2:$A$3001,0))&amp;"",""))</f>
        <v/>
      </c>
      <c r="I2701" s="26" t="str">
        <f aca="false">IF(A2701="","",COUNTIF(Apparitions!$G$2:$G$5001,A2701))</f>
        <v/>
      </c>
      <c r="J2701" s="26" t="str">
        <f aca="false">IF(A2701="","",COUNTIFS(Apparitions!$G$2:$G$5001,A2701,Apparitions!$E$2:$E$5001,"○"))</f>
        <v/>
      </c>
      <c r="K2701" s="29" t="str">
        <f aca="false">IF(A2701="","",IFERROR(1/(1/_xlfn.MINIFS(Apparitions!$L$2:$L$5001,Apparitions!$G$2:$G$5001,A2701)),""))</f>
        <v/>
      </c>
      <c r="L2701" s="27" t="str">
        <f aca="false">IF(A2701="","",A2701&amp;" | "&amp;B2701&amp;IF(C2701="",""," ("&amp;C2701&amp;")")&amp;IF(D2701="",""," - "&amp;D2701))</f>
        <v/>
      </c>
    </row>
    <row r="2702" customFormat="false" ht="15" hidden="false" customHeight="false" outlineLevel="0" collapsed="false">
      <c r="A2702" s="32"/>
      <c r="B2702" s="19"/>
      <c r="C2702" s="19"/>
      <c r="D2702" s="19"/>
      <c r="E2702" s="21"/>
      <c r="F2702" s="19"/>
      <c r="G2702" s="27" t="str">
        <f aca="false">IF(B2702="","",IFERROR(INDEX(Jeux!$C$2:$C$3001,MATCH(B2702,Jeux!$A$2:$A$3001,0))&amp;"","⚠ jeu inconnu"))</f>
        <v/>
      </c>
      <c r="H2702" s="27" t="str">
        <f aca="false">IF(B2702="","",IFERROR(INDEX(Jeux!$D$2:$D$3001,MATCH(B2702,Jeux!$A$2:$A$3001,0))&amp;"",""))</f>
        <v/>
      </c>
      <c r="I2702" s="26" t="str">
        <f aca="false">IF(A2702="","",COUNTIF(Apparitions!$G$2:$G$5001,A2702))</f>
        <v/>
      </c>
      <c r="J2702" s="26" t="str">
        <f aca="false">IF(A2702="","",COUNTIFS(Apparitions!$G$2:$G$5001,A2702,Apparitions!$E$2:$E$5001,"○"))</f>
        <v/>
      </c>
      <c r="K2702" s="29" t="str">
        <f aca="false">IF(A2702="","",IFERROR(1/(1/_xlfn.MINIFS(Apparitions!$L$2:$L$5001,Apparitions!$G$2:$G$5001,A2702)),""))</f>
        <v/>
      </c>
      <c r="L2702" s="27" t="str">
        <f aca="false">IF(A2702="","",A2702&amp;" | "&amp;B2702&amp;IF(C2702="",""," ("&amp;C2702&amp;")")&amp;IF(D2702="",""," - "&amp;D2702))</f>
        <v/>
      </c>
    </row>
    <row r="2703" customFormat="false" ht="15" hidden="false" customHeight="false" outlineLevel="0" collapsed="false">
      <c r="A2703" s="32"/>
      <c r="B2703" s="19"/>
      <c r="C2703" s="19"/>
      <c r="D2703" s="19"/>
      <c r="E2703" s="21"/>
      <c r="F2703" s="19"/>
      <c r="G2703" s="27" t="str">
        <f aca="false">IF(B2703="","",IFERROR(INDEX(Jeux!$C$2:$C$3001,MATCH(B2703,Jeux!$A$2:$A$3001,0))&amp;"","⚠ jeu inconnu"))</f>
        <v/>
      </c>
      <c r="H2703" s="27" t="str">
        <f aca="false">IF(B2703="","",IFERROR(INDEX(Jeux!$D$2:$D$3001,MATCH(B2703,Jeux!$A$2:$A$3001,0))&amp;"",""))</f>
        <v/>
      </c>
      <c r="I2703" s="26" t="str">
        <f aca="false">IF(A2703="","",COUNTIF(Apparitions!$G$2:$G$5001,A2703))</f>
        <v/>
      </c>
      <c r="J2703" s="26" t="str">
        <f aca="false">IF(A2703="","",COUNTIFS(Apparitions!$G$2:$G$5001,A2703,Apparitions!$E$2:$E$5001,"○"))</f>
        <v/>
      </c>
      <c r="K2703" s="29" t="str">
        <f aca="false">IF(A2703="","",IFERROR(1/(1/_xlfn.MINIFS(Apparitions!$L$2:$L$5001,Apparitions!$G$2:$G$5001,A2703)),""))</f>
        <v/>
      </c>
      <c r="L2703" s="27" t="str">
        <f aca="false">IF(A2703="","",A2703&amp;" | "&amp;B2703&amp;IF(C2703="",""," ("&amp;C2703&amp;")")&amp;IF(D2703="",""," - "&amp;D2703))</f>
        <v/>
      </c>
    </row>
    <row r="2704" customFormat="false" ht="15" hidden="false" customHeight="false" outlineLevel="0" collapsed="false">
      <c r="A2704" s="32"/>
      <c r="B2704" s="19"/>
      <c r="C2704" s="19"/>
      <c r="D2704" s="19"/>
      <c r="E2704" s="21"/>
      <c r="F2704" s="19"/>
      <c r="G2704" s="27" t="str">
        <f aca="false">IF(B2704="","",IFERROR(INDEX(Jeux!$C$2:$C$3001,MATCH(B2704,Jeux!$A$2:$A$3001,0))&amp;"","⚠ jeu inconnu"))</f>
        <v/>
      </c>
      <c r="H2704" s="27" t="str">
        <f aca="false">IF(B2704="","",IFERROR(INDEX(Jeux!$D$2:$D$3001,MATCH(B2704,Jeux!$A$2:$A$3001,0))&amp;"",""))</f>
        <v/>
      </c>
      <c r="I2704" s="26" t="str">
        <f aca="false">IF(A2704="","",COUNTIF(Apparitions!$G$2:$G$5001,A2704))</f>
        <v/>
      </c>
      <c r="J2704" s="26" t="str">
        <f aca="false">IF(A2704="","",COUNTIFS(Apparitions!$G$2:$G$5001,A2704,Apparitions!$E$2:$E$5001,"○"))</f>
        <v/>
      </c>
      <c r="K2704" s="29" t="str">
        <f aca="false">IF(A2704="","",IFERROR(1/(1/_xlfn.MINIFS(Apparitions!$L$2:$L$5001,Apparitions!$G$2:$G$5001,A2704)),""))</f>
        <v/>
      </c>
      <c r="L2704" s="27" t="str">
        <f aca="false">IF(A2704="","",A2704&amp;" | "&amp;B2704&amp;IF(C2704="",""," ("&amp;C2704&amp;")")&amp;IF(D2704="",""," - "&amp;D2704))</f>
        <v/>
      </c>
    </row>
    <row r="2705" customFormat="false" ht="15" hidden="false" customHeight="false" outlineLevel="0" collapsed="false">
      <c r="A2705" s="32"/>
      <c r="B2705" s="19"/>
      <c r="C2705" s="19"/>
      <c r="D2705" s="19"/>
      <c r="E2705" s="21"/>
      <c r="F2705" s="19"/>
      <c r="G2705" s="27" t="str">
        <f aca="false">IF(B2705="","",IFERROR(INDEX(Jeux!$C$2:$C$3001,MATCH(B2705,Jeux!$A$2:$A$3001,0))&amp;"","⚠ jeu inconnu"))</f>
        <v/>
      </c>
      <c r="H2705" s="27" t="str">
        <f aca="false">IF(B2705="","",IFERROR(INDEX(Jeux!$D$2:$D$3001,MATCH(B2705,Jeux!$A$2:$A$3001,0))&amp;"",""))</f>
        <v/>
      </c>
      <c r="I2705" s="26" t="str">
        <f aca="false">IF(A2705="","",COUNTIF(Apparitions!$G$2:$G$5001,A2705))</f>
        <v/>
      </c>
      <c r="J2705" s="26" t="str">
        <f aca="false">IF(A2705="","",COUNTIFS(Apparitions!$G$2:$G$5001,A2705,Apparitions!$E$2:$E$5001,"○"))</f>
        <v/>
      </c>
      <c r="K2705" s="29" t="str">
        <f aca="false">IF(A2705="","",IFERROR(1/(1/_xlfn.MINIFS(Apparitions!$L$2:$L$5001,Apparitions!$G$2:$G$5001,A2705)),""))</f>
        <v/>
      </c>
      <c r="L2705" s="27" t="str">
        <f aca="false">IF(A2705="","",A2705&amp;" | "&amp;B2705&amp;IF(C2705="",""," ("&amp;C2705&amp;")")&amp;IF(D2705="",""," - "&amp;D2705))</f>
        <v/>
      </c>
    </row>
    <row r="2706" customFormat="false" ht="15" hidden="false" customHeight="false" outlineLevel="0" collapsed="false">
      <c r="A2706" s="32"/>
      <c r="B2706" s="19"/>
      <c r="C2706" s="19"/>
      <c r="D2706" s="19"/>
      <c r="E2706" s="21"/>
      <c r="F2706" s="19"/>
      <c r="G2706" s="27" t="str">
        <f aca="false">IF(B2706="","",IFERROR(INDEX(Jeux!$C$2:$C$3001,MATCH(B2706,Jeux!$A$2:$A$3001,0))&amp;"","⚠ jeu inconnu"))</f>
        <v/>
      </c>
      <c r="H2706" s="27" t="str">
        <f aca="false">IF(B2706="","",IFERROR(INDEX(Jeux!$D$2:$D$3001,MATCH(B2706,Jeux!$A$2:$A$3001,0))&amp;"",""))</f>
        <v/>
      </c>
      <c r="I2706" s="26" t="str">
        <f aca="false">IF(A2706="","",COUNTIF(Apparitions!$G$2:$G$5001,A2706))</f>
        <v/>
      </c>
      <c r="J2706" s="26" t="str">
        <f aca="false">IF(A2706="","",COUNTIFS(Apparitions!$G$2:$G$5001,A2706,Apparitions!$E$2:$E$5001,"○"))</f>
        <v/>
      </c>
      <c r="K2706" s="29" t="str">
        <f aca="false">IF(A2706="","",IFERROR(1/(1/_xlfn.MINIFS(Apparitions!$L$2:$L$5001,Apparitions!$G$2:$G$5001,A2706)),""))</f>
        <v/>
      </c>
      <c r="L2706" s="27" t="str">
        <f aca="false">IF(A2706="","",A2706&amp;" | "&amp;B2706&amp;IF(C2706="",""," ("&amp;C2706&amp;")")&amp;IF(D2706="",""," - "&amp;D2706))</f>
        <v/>
      </c>
    </row>
    <row r="2707" customFormat="false" ht="15" hidden="false" customHeight="false" outlineLevel="0" collapsed="false">
      <c r="A2707" s="32"/>
      <c r="B2707" s="19"/>
      <c r="C2707" s="19"/>
      <c r="D2707" s="19"/>
      <c r="E2707" s="21"/>
      <c r="F2707" s="19"/>
      <c r="G2707" s="27" t="str">
        <f aca="false">IF(B2707="","",IFERROR(INDEX(Jeux!$C$2:$C$3001,MATCH(B2707,Jeux!$A$2:$A$3001,0))&amp;"","⚠ jeu inconnu"))</f>
        <v/>
      </c>
      <c r="H2707" s="27" t="str">
        <f aca="false">IF(B2707="","",IFERROR(INDEX(Jeux!$D$2:$D$3001,MATCH(B2707,Jeux!$A$2:$A$3001,0))&amp;"",""))</f>
        <v/>
      </c>
      <c r="I2707" s="26" t="str">
        <f aca="false">IF(A2707="","",COUNTIF(Apparitions!$G$2:$G$5001,A2707))</f>
        <v/>
      </c>
      <c r="J2707" s="26" t="str">
        <f aca="false">IF(A2707="","",COUNTIFS(Apparitions!$G$2:$G$5001,A2707,Apparitions!$E$2:$E$5001,"○"))</f>
        <v/>
      </c>
      <c r="K2707" s="29" t="str">
        <f aca="false">IF(A2707="","",IFERROR(1/(1/_xlfn.MINIFS(Apparitions!$L$2:$L$5001,Apparitions!$G$2:$G$5001,A2707)),""))</f>
        <v/>
      </c>
      <c r="L2707" s="27" t="str">
        <f aca="false">IF(A2707="","",A2707&amp;" | "&amp;B2707&amp;IF(C2707="",""," ("&amp;C2707&amp;")")&amp;IF(D2707="",""," - "&amp;D2707))</f>
        <v/>
      </c>
    </row>
    <row r="2708" customFormat="false" ht="15" hidden="false" customHeight="false" outlineLevel="0" collapsed="false">
      <c r="A2708" s="32"/>
      <c r="B2708" s="19"/>
      <c r="C2708" s="19"/>
      <c r="D2708" s="19"/>
      <c r="E2708" s="21"/>
      <c r="F2708" s="19"/>
      <c r="G2708" s="27" t="str">
        <f aca="false">IF(B2708="","",IFERROR(INDEX(Jeux!$C$2:$C$3001,MATCH(B2708,Jeux!$A$2:$A$3001,0))&amp;"","⚠ jeu inconnu"))</f>
        <v/>
      </c>
      <c r="H2708" s="27" t="str">
        <f aca="false">IF(B2708="","",IFERROR(INDEX(Jeux!$D$2:$D$3001,MATCH(B2708,Jeux!$A$2:$A$3001,0))&amp;"",""))</f>
        <v/>
      </c>
      <c r="I2708" s="26" t="str">
        <f aca="false">IF(A2708="","",COUNTIF(Apparitions!$G$2:$G$5001,A2708))</f>
        <v/>
      </c>
      <c r="J2708" s="26" t="str">
        <f aca="false">IF(A2708="","",COUNTIFS(Apparitions!$G$2:$G$5001,A2708,Apparitions!$E$2:$E$5001,"○"))</f>
        <v/>
      </c>
      <c r="K2708" s="29" t="str">
        <f aca="false">IF(A2708="","",IFERROR(1/(1/_xlfn.MINIFS(Apparitions!$L$2:$L$5001,Apparitions!$G$2:$G$5001,A2708)),""))</f>
        <v/>
      </c>
      <c r="L2708" s="27" t="str">
        <f aca="false">IF(A2708="","",A2708&amp;" | "&amp;B2708&amp;IF(C2708="",""," ("&amp;C2708&amp;")")&amp;IF(D2708="",""," - "&amp;D2708))</f>
        <v/>
      </c>
    </row>
    <row r="2709" customFormat="false" ht="15" hidden="false" customHeight="false" outlineLevel="0" collapsed="false">
      <c r="A2709" s="32"/>
      <c r="B2709" s="19"/>
      <c r="C2709" s="19"/>
      <c r="D2709" s="19"/>
      <c r="E2709" s="21"/>
      <c r="F2709" s="19"/>
      <c r="G2709" s="27" t="str">
        <f aca="false">IF(B2709="","",IFERROR(INDEX(Jeux!$C$2:$C$3001,MATCH(B2709,Jeux!$A$2:$A$3001,0))&amp;"","⚠ jeu inconnu"))</f>
        <v/>
      </c>
      <c r="H2709" s="27" t="str">
        <f aca="false">IF(B2709="","",IFERROR(INDEX(Jeux!$D$2:$D$3001,MATCH(B2709,Jeux!$A$2:$A$3001,0))&amp;"",""))</f>
        <v/>
      </c>
      <c r="I2709" s="26" t="str">
        <f aca="false">IF(A2709="","",COUNTIF(Apparitions!$G$2:$G$5001,A2709))</f>
        <v/>
      </c>
      <c r="J2709" s="26" t="str">
        <f aca="false">IF(A2709="","",COUNTIFS(Apparitions!$G$2:$G$5001,A2709,Apparitions!$E$2:$E$5001,"○"))</f>
        <v/>
      </c>
      <c r="K2709" s="29" t="str">
        <f aca="false">IF(A2709="","",IFERROR(1/(1/_xlfn.MINIFS(Apparitions!$L$2:$L$5001,Apparitions!$G$2:$G$5001,A2709)),""))</f>
        <v/>
      </c>
      <c r="L2709" s="27" t="str">
        <f aca="false">IF(A2709="","",A2709&amp;" | "&amp;B2709&amp;IF(C2709="",""," ("&amp;C2709&amp;")")&amp;IF(D2709="",""," - "&amp;D2709))</f>
        <v/>
      </c>
    </row>
    <row r="2710" customFormat="false" ht="15" hidden="false" customHeight="false" outlineLevel="0" collapsed="false">
      <c r="A2710" s="32"/>
      <c r="B2710" s="19"/>
      <c r="C2710" s="19"/>
      <c r="D2710" s="19"/>
      <c r="E2710" s="21"/>
      <c r="F2710" s="19"/>
      <c r="G2710" s="27" t="str">
        <f aca="false">IF(B2710="","",IFERROR(INDEX(Jeux!$C$2:$C$3001,MATCH(B2710,Jeux!$A$2:$A$3001,0))&amp;"","⚠ jeu inconnu"))</f>
        <v/>
      </c>
      <c r="H2710" s="27" t="str">
        <f aca="false">IF(B2710="","",IFERROR(INDEX(Jeux!$D$2:$D$3001,MATCH(B2710,Jeux!$A$2:$A$3001,0))&amp;"",""))</f>
        <v/>
      </c>
      <c r="I2710" s="26" t="str">
        <f aca="false">IF(A2710="","",COUNTIF(Apparitions!$G$2:$G$5001,A2710))</f>
        <v/>
      </c>
      <c r="J2710" s="26" t="str">
        <f aca="false">IF(A2710="","",COUNTIFS(Apparitions!$G$2:$G$5001,A2710,Apparitions!$E$2:$E$5001,"○"))</f>
        <v/>
      </c>
      <c r="K2710" s="29" t="str">
        <f aca="false">IF(A2710="","",IFERROR(1/(1/_xlfn.MINIFS(Apparitions!$L$2:$L$5001,Apparitions!$G$2:$G$5001,A2710)),""))</f>
        <v/>
      </c>
      <c r="L2710" s="27" t="str">
        <f aca="false">IF(A2710="","",A2710&amp;" | "&amp;B2710&amp;IF(C2710="",""," ("&amp;C2710&amp;")")&amp;IF(D2710="",""," - "&amp;D2710))</f>
        <v/>
      </c>
    </row>
    <row r="2711" customFormat="false" ht="15" hidden="false" customHeight="false" outlineLevel="0" collapsed="false">
      <c r="A2711" s="32"/>
      <c r="B2711" s="19"/>
      <c r="C2711" s="19"/>
      <c r="D2711" s="19"/>
      <c r="E2711" s="21"/>
      <c r="F2711" s="19"/>
      <c r="G2711" s="27" t="str">
        <f aca="false">IF(B2711="","",IFERROR(INDEX(Jeux!$C$2:$C$3001,MATCH(B2711,Jeux!$A$2:$A$3001,0))&amp;"","⚠ jeu inconnu"))</f>
        <v/>
      </c>
      <c r="H2711" s="27" t="str">
        <f aca="false">IF(B2711="","",IFERROR(INDEX(Jeux!$D$2:$D$3001,MATCH(B2711,Jeux!$A$2:$A$3001,0))&amp;"",""))</f>
        <v/>
      </c>
      <c r="I2711" s="26" t="str">
        <f aca="false">IF(A2711="","",COUNTIF(Apparitions!$G$2:$G$5001,A2711))</f>
        <v/>
      </c>
      <c r="J2711" s="26" t="str">
        <f aca="false">IF(A2711="","",COUNTIFS(Apparitions!$G$2:$G$5001,A2711,Apparitions!$E$2:$E$5001,"○"))</f>
        <v/>
      </c>
      <c r="K2711" s="29" t="str">
        <f aca="false">IF(A2711="","",IFERROR(1/(1/_xlfn.MINIFS(Apparitions!$L$2:$L$5001,Apparitions!$G$2:$G$5001,A2711)),""))</f>
        <v/>
      </c>
      <c r="L2711" s="27" t="str">
        <f aca="false">IF(A2711="","",A2711&amp;" | "&amp;B2711&amp;IF(C2711="",""," ("&amp;C2711&amp;")")&amp;IF(D2711="",""," - "&amp;D2711))</f>
        <v/>
      </c>
    </row>
    <row r="2712" customFormat="false" ht="15" hidden="false" customHeight="false" outlineLevel="0" collapsed="false">
      <c r="A2712" s="32"/>
      <c r="B2712" s="19"/>
      <c r="C2712" s="19"/>
      <c r="D2712" s="19"/>
      <c r="E2712" s="21"/>
      <c r="F2712" s="19"/>
      <c r="G2712" s="27" t="str">
        <f aca="false">IF(B2712="","",IFERROR(INDEX(Jeux!$C$2:$C$3001,MATCH(B2712,Jeux!$A$2:$A$3001,0))&amp;"","⚠ jeu inconnu"))</f>
        <v/>
      </c>
      <c r="H2712" s="27" t="str">
        <f aca="false">IF(B2712="","",IFERROR(INDEX(Jeux!$D$2:$D$3001,MATCH(B2712,Jeux!$A$2:$A$3001,0))&amp;"",""))</f>
        <v/>
      </c>
      <c r="I2712" s="26" t="str">
        <f aca="false">IF(A2712="","",COUNTIF(Apparitions!$G$2:$G$5001,A2712))</f>
        <v/>
      </c>
      <c r="J2712" s="26" t="str">
        <f aca="false">IF(A2712="","",COUNTIFS(Apparitions!$G$2:$G$5001,A2712,Apparitions!$E$2:$E$5001,"○"))</f>
        <v/>
      </c>
      <c r="K2712" s="29" t="str">
        <f aca="false">IF(A2712="","",IFERROR(1/(1/_xlfn.MINIFS(Apparitions!$L$2:$L$5001,Apparitions!$G$2:$G$5001,A2712)),""))</f>
        <v/>
      </c>
      <c r="L2712" s="27" t="str">
        <f aca="false">IF(A2712="","",A2712&amp;" | "&amp;B2712&amp;IF(C2712="",""," ("&amp;C2712&amp;")")&amp;IF(D2712="",""," - "&amp;D2712))</f>
        <v/>
      </c>
    </row>
    <row r="2713" customFormat="false" ht="15" hidden="false" customHeight="false" outlineLevel="0" collapsed="false">
      <c r="A2713" s="32"/>
      <c r="B2713" s="19"/>
      <c r="C2713" s="19"/>
      <c r="D2713" s="19"/>
      <c r="E2713" s="21"/>
      <c r="F2713" s="19"/>
      <c r="G2713" s="27" t="str">
        <f aca="false">IF(B2713="","",IFERROR(INDEX(Jeux!$C$2:$C$3001,MATCH(B2713,Jeux!$A$2:$A$3001,0))&amp;"","⚠ jeu inconnu"))</f>
        <v/>
      </c>
      <c r="H2713" s="27" t="str">
        <f aca="false">IF(B2713="","",IFERROR(INDEX(Jeux!$D$2:$D$3001,MATCH(B2713,Jeux!$A$2:$A$3001,0))&amp;"",""))</f>
        <v/>
      </c>
      <c r="I2713" s="26" t="str">
        <f aca="false">IF(A2713="","",COUNTIF(Apparitions!$G$2:$G$5001,A2713))</f>
        <v/>
      </c>
      <c r="J2713" s="26" t="str">
        <f aca="false">IF(A2713="","",COUNTIFS(Apparitions!$G$2:$G$5001,A2713,Apparitions!$E$2:$E$5001,"○"))</f>
        <v/>
      </c>
      <c r="K2713" s="29" t="str">
        <f aca="false">IF(A2713="","",IFERROR(1/(1/_xlfn.MINIFS(Apparitions!$L$2:$L$5001,Apparitions!$G$2:$G$5001,A2713)),""))</f>
        <v/>
      </c>
      <c r="L2713" s="27" t="str">
        <f aca="false">IF(A2713="","",A2713&amp;" | "&amp;B2713&amp;IF(C2713="",""," ("&amp;C2713&amp;")")&amp;IF(D2713="",""," - "&amp;D2713))</f>
        <v/>
      </c>
    </row>
    <row r="2714" customFormat="false" ht="15" hidden="false" customHeight="false" outlineLevel="0" collapsed="false">
      <c r="A2714" s="32"/>
      <c r="B2714" s="19"/>
      <c r="C2714" s="19"/>
      <c r="D2714" s="19"/>
      <c r="E2714" s="21"/>
      <c r="F2714" s="19"/>
      <c r="G2714" s="27" t="str">
        <f aca="false">IF(B2714="","",IFERROR(INDEX(Jeux!$C$2:$C$3001,MATCH(B2714,Jeux!$A$2:$A$3001,0))&amp;"","⚠ jeu inconnu"))</f>
        <v/>
      </c>
      <c r="H2714" s="27" t="str">
        <f aca="false">IF(B2714="","",IFERROR(INDEX(Jeux!$D$2:$D$3001,MATCH(B2714,Jeux!$A$2:$A$3001,0))&amp;"",""))</f>
        <v/>
      </c>
      <c r="I2714" s="26" t="str">
        <f aca="false">IF(A2714="","",COUNTIF(Apparitions!$G$2:$G$5001,A2714))</f>
        <v/>
      </c>
      <c r="J2714" s="26" t="str">
        <f aca="false">IF(A2714="","",COUNTIFS(Apparitions!$G$2:$G$5001,A2714,Apparitions!$E$2:$E$5001,"○"))</f>
        <v/>
      </c>
      <c r="K2714" s="29" t="str">
        <f aca="false">IF(A2714="","",IFERROR(1/(1/_xlfn.MINIFS(Apparitions!$L$2:$L$5001,Apparitions!$G$2:$G$5001,A2714)),""))</f>
        <v/>
      </c>
      <c r="L2714" s="27" t="str">
        <f aca="false">IF(A2714="","",A2714&amp;" | "&amp;B2714&amp;IF(C2714="",""," ("&amp;C2714&amp;")")&amp;IF(D2714="",""," - "&amp;D2714))</f>
        <v/>
      </c>
    </row>
    <row r="2715" customFormat="false" ht="15" hidden="false" customHeight="false" outlineLevel="0" collapsed="false">
      <c r="A2715" s="32"/>
      <c r="B2715" s="19"/>
      <c r="C2715" s="19"/>
      <c r="D2715" s="19"/>
      <c r="E2715" s="21"/>
      <c r="F2715" s="19"/>
      <c r="G2715" s="27" t="str">
        <f aca="false">IF(B2715="","",IFERROR(INDEX(Jeux!$C$2:$C$3001,MATCH(B2715,Jeux!$A$2:$A$3001,0))&amp;"","⚠ jeu inconnu"))</f>
        <v/>
      </c>
      <c r="H2715" s="27" t="str">
        <f aca="false">IF(B2715="","",IFERROR(INDEX(Jeux!$D$2:$D$3001,MATCH(B2715,Jeux!$A$2:$A$3001,0))&amp;"",""))</f>
        <v/>
      </c>
      <c r="I2715" s="26" t="str">
        <f aca="false">IF(A2715="","",COUNTIF(Apparitions!$G$2:$G$5001,A2715))</f>
        <v/>
      </c>
      <c r="J2715" s="26" t="str">
        <f aca="false">IF(A2715="","",COUNTIFS(Apparitions!$G$2:$G$5001,A2715,Apparitions!$E$2:$E$5001,"○"))</f>
        <v/>
      </c>
      <c r="K2715" s="29" t="str">
        <f aca="false">IF(A2715="","",IFERROR(1/(1/_xlfn.MINIFS(Apparitions!$L$2:$L$5001,Apparitions!$G$2:$G$5001,A2715)),""))</f>
        <v/>
      </c>
      <c r="L2715" s="27" t="str">
        <f aca="false">IF(A2715="","",A2715&amp;" | "&amp;B2715&amp;IF(C2715="",""," ("&amp;C2715&amp;")")&amp;IF(D2715="",""," - "&amp;D2715))</f>
        <v/>
      </c>
    </row>
    <row r="2716" customFormat="false" ht="15" hidden="false" customHeight="false" outlineLevel="0" collapsed="false">
      <c r="A2716" s="32"/>
      <c r="B2716" s="19"/>
      <c r="C2716" s="19"/>
      <c r="D2716" s="19"/>
      <c r="E2716" s="21"/>
      <c r="F2716" s="19"/>
      <c r="G2716" s="27" t="str">
        <f aca="false">IF(B2716="","",IFERROR(INDEX(Jeux!$C$2:$C$3001,MATCH(B2716,Jeux!$A$2:$A$3001,0))&amp;"","⚠ jeu inconnu"))</f>
        <v/>
      </c>
      <c r="H2716" s="27" t="str">
        <f aca="false">IF(B2716="","",IFERROR(INDEX(Jeux!$D$2:$D$3001,MATCH(B2716,Jeux!$A$2:$A$3001,0))&amp;"",""))</f>
        <v/>
      </c>
      <c r="I2716" s="26" t="str">
        <f aca="false">IF(A2716="","",COUNTIF(Apparitions!$G$2:$G$5001,A2716))</f>
        <v/>
      </c>
      <c r="J2716" s="26" t="str">
        <f aca="false">IF(A2716="","",COUNTIFS(Apparitions!$G$2:$G$5001,A2716,Apparitions!$E$2:$E$5001,"○"))</f>
        <v/>
      </c>
      <c r="K2716" s="29" t="str">
        <f aca="false">IF(A2716="","",IFERROR(1/(1/_xlfn.MINIFS(Apparitions!$L$2:$L$5001,Apparitions!$G$2:$G$5001,A2716)),""))</f>
        <v/>
      </c>
      <c r="L2716" s="27" t="str">
        <f aca="false">IF(A2716="","",A2716&amp;" | "&amp;B2716&amp;IF(C2716="",""," ("&amp;C2716&amp;")")&amp;IF(D2716="",""," - "&amp;D2716))</f>
        <v/>
      </c>
    </row>
    <row r="2717" customFormat="false" ht="15" hidden="false" customHeight="false" outlineLevel="0" collapsed="false">
      <c r="A2717" s="32"/>
      <c r="B2717" s="19"/>
      <c r="C2717" s="19"/>
      <c r="D2717" s="19"/>
      <c r="E2717" s="21"/>
      <c r="F2717" s="19"/>
      <c r="G2717" s="27" t="str">
        <f aca="false">IF(B2717="","",IFERROR(INDEX(Jeux!$C$2:$C$3001,MATCH(B2717,Jeux!$A$2:$A$3001,0))&amp;"","⚠ jeu inconnu"))</f>
        <v/>
      </c>
      <c r="H2717" s="27" t="str">
        <f aca="false">IF(B2717="","",IFERROR(INDEX(Jeux!$D$2:$D$3001,MATCH(B2717,Jeux!$A$2:$A$3001,0))&amp;"",""))</f>
        <v/>
      </c>
      <c r="I2717" s="26" t="str">
        <f aca="false">IF(A2717="","",COUNTIF(Apparitions!$G$2:$G$5001,A2717))</f>
        <v/>
      </c>
      <c r="J2717" s="26" t="str">
        <f aca="false">IF(A2717="","",COUNTIFS(Apparitions!$G$2:$G$5001,A2717,Apparitions!$E$2:$E$5001,"○"))</f>
        <v/>
      </c>
      <c r="K2717" s="29" t="str">
        <f aca="false">IF(A2717="","",IFERROR(1/(1/_xlfn.MINIFS(Apparitions!$L$2:$L$5001,Apparitions!$G$2:$G$5001,A2717)),""))</f>
        <v/>
      </c>
      <c r="L2717" s="27" t="str">
        <f aca="false">IF(A2717="","",A2717&amp;" | "&amp;B2717&amp;IF(C2717="",""," ("&amp;C2717&amp;")")&amp;IF(D2717="",""," - "&amp;D2717))</f>
        <v/>
      </c>
    </row>
    <row r="2718" customFormat="false" ht="15" hidden="false" customHeight="false" outlineLevel="0" collapsed="false">
      <c r="A2718" s="32"/>
      <c r="B2718" s="19"/>
      <c r="C2718" s="19"/>
      <c r="D2718" s="19"/>
      <c r="E2718" s="21"/>
      <c r="F2718" s="19"/>
      <c r="G2718" s="27" t="str">
        <f aca="false">IF(B2718="","",IFERROR(INDEX(Jeux!$C$2:$C$3001,MATCH(B2718,Jeux!$A$2:$A$3001,0))&amp;"","⚠ jeu inconnu"))</f>
        <v/>
      </c>
      <c r="H2718" s="27" t="str">
        <f aca="false">IF(B2718="","",IFERROR(INDEX(Jeux!$D$2:$D$3001,MATCH(B2718,Jeux!$A$2:$A$3001,0))&amp;"",""))</f>
        <v/>
      </c>
      <c r="I2718" s="26" t="str">
        <f aca="false">IF(A2718="","",COUNTIF(Apparitions!$G$2:$G$5001,A2718))</f>
        <v/>
      </c>
      <c r="J2718" s="26" t="str">
        <f aca="false">IF(A2718="","",COUNTIFS(Apparitions!$G$2:$G$5001,A2718,Apparitions!$E$2:$E$5001,"○"))</f>
        <v/>
      </c>
      <c r="K2718" s="29" t="str">
        <f aca="false">IF(A2718="","",IFERROR(1/(1/_xlfn.MINIFS(Apparitions!$L$2:$L$5001,Apparitions!$G$2:$G$5001,A2718)),""))</f>
        <v/>
      </c>
      <c r="L2718" s="27" t="str">
        <f aca="false">IF(A2718="","",A2718&amp;" | "&amp;B2718&amp;IF(C2718="",""," ("&amp;C2718&amp;")")&amp;IF(D2718="",""," - "&amp;D2718))</f>
        <v/>
      </c>
    </row>
    <row r="2719" customFormat="false" ht="15" hidden="false" customHeight="false" outlineLevel="0" collapsed="false">
      <c r="A2719" s="32"/>
      <c r="B2719" s="19"/>
      <c r="C2719" s="19"/>
      <c r="D2719" s="19"/>
      <c r="E2719" s="21"/>
      <c r="F2719" s="19"/>
      <c r="G2719" s="27" t="str">
        <f aca="false">IF(B2719="","",IFERROR(INDEX(Jeux!$C$2:$C$3001,MATCH(B2719,Jeux!$A$2:$A$3001,0))&amp;"","⚠ jeu inconnu"))</f>
        <v/>
      </c>
      <c r="H2719" s="27" t="str">
        <f aca="false">IF(B2719="","",IFERROR(INDEX(Jeux!$D$2:$D$3001,MATCH(B2719,Jeux!$A$2:$A$3001,0))&amp;"",""))</f>
        <v/>
      </c>
      <c r="I2719" s="26" t="str">
        <f aca="false">IF(A2719="","",COUNTIF(Apparitions!$G$2:$G$5001,A2719))</f>
        <v/>
      </c>
      <c r="J2719" s="26" t="str">
        <f aca="false">IF(A2719="","",COUNTIFS(Apparitions!$G$2:$G$5001,A2719,Apparitions!$E$2:$E$5001,"○"))</f>
        <v/>
      </c>
      <c r="K2719" s="29" t="str">
        <f aca="false">IF(A2719="","",IFERROR(1/(1/_xlfn.MINIFS(Apparitions!$L$2:$L$5001,Apparitions!$G$2:$G$5001,A2719)),""))</f>
        <v/>
      </c>
      <c r="L2719" s="27" t="str">
        <f aca="false">IF(A2719="","",A2719&amp;" | "&amp;B2719&amp;IF(C2719="",""," ("&amp;C2719&amp;")")&amp;IF(D2719="",""," - "&amp;D2719))</f>
        <v/>
      </c>
    </row>
    <row r="2720" customFormat="false" ht="15" hidden="false" customHeight="false" outlineLevel="0" collapsed="false">
      <c r="A2720" s="32"/>
      <c r="B2720" s="19"/>
      <c r="C2720" s="19"/>
      <c r="D2720" s="19"/>
      <c r="E2720" s="21"/>
      <c r="F2720" s="19"/>
      <c r="G2720" s="27" t="str">
        <f aca="false">IF(B2720="","",IFERROR(INDEX(Jeux!$C$2:$C$3001,MATCH(B2720,Jeux!$A$2:$A$3001,0))&amp;"","⚠ jeu inconnu"))</f>
        <v/>
      </c>
      <c r="H2720" s="27" t="str">
        <f aca="false">IF(B2720="","",IFERROR(INDEX(Jeux!$D$2:$D$3001,MATCH(B2720,Jeux!$A$2:$A$3001,0))&amp;"",""))</f>
        <v/>
      </c>
      <c r="I2720" s="26" t="str">
        <f aca="false">IF(A2720="","",COUNTIF(Apparitions!$G$2:$G$5001,A2720))</f>
        <v/>
      </c>
      <c r="J2720" s="26" t="str">
        <f aca="false">IF(A2720="","",COUNTIFS(Apparitions!$G$2:$G$5001,A2720,Apparitions!$E$2:$E$5001,"○"))</f>
        <v/>
      </c>
      <c r="K2720" s="29" t="str">
        <f aca="false">IF(A2720="","",IFERROR(1/(1/_xlfn.MINIFS(Apparitions!$L$2:$L$5001,Apparitions!$G$2:$G$5001,A2720)),""))</f>
        <v/>
      </c>
      <c r="L2720" s="27" t="str">
        <f aca="false">IF(A2720="","",A2720&amp;" | "&amp;B2720&amp;IF(C2720="",""," ("&amp;C2720&amp;")")&amp;IF(D2720="",""," - "&amp;D2720))</f>
        <v/>
      </c>
    </row>
    <row r="2721" customFormat="false" ht="15" hidden="false" customHeight="false" outlineLevel="0" collapsed="false">
      <c r="A2721" s="32"/>
      <c r="B2721" s="19"/>
      <c r="C2721" s="19"/>
      <c r="D2721" s="19"/>
      <c r="E2721" s="21"/>
      <c r="F2721" s="19"/>
      <c r="G2721" s="27" t="str">
        <f aca="false">IF(B2721="","",IFERROR(INDEX(Jeux!$C$2:$C$3001,MATCH(B2721,Jeux!$A$2:$A$3001,0))&amp;"","⚠ jeu inconnu"))</f>
        <v/>
      </c>
      <c r="H2721" s="27" t="str">
        <f aca="false">IF(B2721="","",IFERROR(INDEX(Jeux!$D$2:$D$3001,MATCH(B2721,Jeux!$A$2:$A$3001,0))&amp;"",""))</f>
        <v/>
      </c>
      <c r="I2721" s="26" t="str">
        <f aca="false">IF(A2721="","",COUNTIF(Apparitions!$G$2:$G$5001,A2721))</f>
        <v/>
      </c>
      <c r="J2721" s="26" t="str">
        <f aca="false">IF(A2721="","",COUNTIFS(Apparitions!$G$2:$G$5001,A2721,Apparitions!$E$2:$E$5001,"○"))</f>
        <v/>
      </c>
      <c r="K2721" s="29" t="str">
        <f aca="false">IF(A2721="","",IFERROR(1/(1/_xlfn.MINIFS(Apparitions!$L$2:$L$5001,Apparitions!$G$2:$G$5001,A2721)),""))</f>
        <v/>
      </c>
      <c r="L2721" s="27" t="str">
        <f aca="false">IF(A2721="","",A2721&amp;" | "&amp;B2721&amp;IF(C2721="",""," ("&amp;C2721&amp;")")&amp;IF(D2721="",""," - "&amp;D2721))</f>
        <v/>
      </c>
    </row>
    <row r="2722" customFormat="false" ht="15" hidden="false" customHeight="false" outlineLevel="0" collapsed="false">
      <c r="A2722" s="32"/>
      <c r="B2722" s="19"/>
      <c r="C2722" s="19"/>
      <c r="D2722" s="19"/>
      <c r="E2722" s="21"/>
      <c r="F2722" s="19"/>
      <c r="G2722" s="27" t="str">
        <f aca="false">IF(B2722="","",IFERROR(INDEX(Jeux!$C$2:$C$3001,MATCH(B2722,Jeux!$A$2:$A$3001,0))&amp;"","⚠ jeu inconnu"))</f>
        <v/>
      </c>
      <c r="H2722" s="27" t="str">
        <f aca="false">IF(B2722="","",IFERROR(INDEX(Jeux!$D$2:$D$3001,MATCH(B2722,Jeux!$A$2:$A$3001,0))&amp;"",""))</f>
        <v/>
      </c>
      <c r="I2722" s="26" t="str">
        <f aca="false">IF(A2722="","",COUNTIF(Apparitions!$G$2:$G$5001,A2722))</f>
        <v/>
      </c>
      <c r="J2722" s="26" t="str">
        <f aca="false">IF(A2722="","",COUNTIFS(Apparitions!$G$2:$G$5001,A2722,Apparitions!$E$2:$E$5001,"○"))</f>
        <v/>
      </c>
      <c r="K2722" s="29" t="str">
        <f aca="false">IF(A2722="","",IFERROR(1/(1/_xlfn.MINIFS(Apparitions!$L$2:$L$5001,Apparitions!$G$2:$G$5001,A2722)),""))</f>
        <v/>
      </c>
      <c r="L2722" s="27" t="str">
        <f aca="false">IF(A2722="","",A2722&amp;" | "&amp;B2722&amp;IF(C2722="",""," ("&amp;C2722&amp;")")&amp;IF(D2722="",""," - "&amp;D2722))</f>
        <v/>
      </c>
    </row>
    <row r="2723" customFormat="false" ht="15" hidden="false" customHeight="false" outlineLevel="0" collapsed="false">
      <c r="A2723" s="32"/>
      <c r="B2723" s="19"/>
      <c r="C2723" s="19"/>
      <c r="D2723" s="19"/>
      <c r="E2723" s="21"/>
      <c r="F2723" s="19"/>
      <c r="G2723" s="27" t="str">
        <f aca="false">IF(B2723="","",IFERROR(INDEX(Jeux!$C$2:$C$3001,MATCH(B2723,Jeux!$A$2:$A$3001,0))&amp;"","⚠ jeu inconnu"))</f>
        <v/>
      </c>
      <c r="H2723" s="27" t="str">
        <f aca="false">IF(B2723="","",IFERROR(INDEX(Jeux!$D$2:$D$3001,MATCH(B2723,Jeux!$A$2:$A$3001,0))&amp;"",""))</f>
        <v/>
      </c>
      <c r="I2723" s="26" t="str">
        <f aca="false">IF(A2723="","",COUNTIF(Apparitions!$G$2:$G$5001,A2723))</f>
        <v/>
      </c>
      <c r="J2723" s="26" t="str">
        <f aca="false">IF(A2723="","",COUNTIFS(Apparitions!$G$2:$G$5001,A2723,Apparitions!$E$2:$E$5001,"○"))</f>
        <v/>
      </c>
      <c r="K2723" s="29" t="str">
        <f aca="false">IF(A2723="","",IFERROR(1/(1/_xlfn.MINIFS(Apparitions!$L$2:$L$5001,Apparitions!$G$2:$G$5001,A2723)),""))</f>
        <v/>
      </c>
      <c r="L2723" s="27" t="str">
        <f aca="false">IF(A2723="","",A2723&amp;" | "&amp;B2723&amp;IF(C2723="",""," ("&amp;C2723&amp;")")&amp;IF(D2723="",""," - "&amp;D2723))</f>
        <v/>
      </c>
    </row>
    <row r="2724" customFormat="false" ht="15" hidden="false" customHeight="false" outlineLevel="0" collapsed="false">
      <c r="A2724" s="32"/>
      <c r="B2724" s="19"/>
      <c r="C2724" s="19"/>
      <c r="D2724" s="19"/>
      <c r="E2724" s="21"/>
      <c r="F2724" s="19"/>
      <c r="G2724" s="27" t="str">
        <f aca="false">IF(B2724="","",IFERROR(INDEX(Jeux!$C$2:$C$3001,MATCH(B2724,Jeux!$A$2:$A$3001,0))&amp;"","⚠ jeu inconnu"))</f>
        <v/>
      </c>
      <c r="H2724" s="27" t="str">
        <f aca="false">IF(B2724="","",IFERROR(INDEX(Jeux!$D$2:$D$3001,MATCH(B2724,Jeux!$A$2:$A$3001,0))&amp;"",""))</f>
        <v/>
      </c>
      <c r="I2724" s="26" t="str">
        <f aca="false">IF(A2724="","",COUNTIF(Apparitions!$G$2:$G$5001,A2724))</f>
        <v/>
      </c>
      <c r="J2724" s="26" t="str">
        <f aca="false">IF(A2724="","",COUNTIFS(Apparitions!$G$2:$G$5001,A2724,Apparitions!$E$2:$E$5001,"○"))</f>
        <v/>
      </c>
      <c r="K2724" s="29" t="str">
        <f aca="false">IF(A2724="","",IFERROR(1/(1/_xlfn.MINIFS(Apparitions!$L$2:$L$5001,Apparitions!$G$2:$G$5001,A2724)),""))</f>
        <v/>
      </c>
      <c r="L2724" s="27" t="str">
        <f aca="false">IF(A2724="","",A2724&amp;" | "&amp;B2724&amp;IF(C2724="",""," ("&amp;C2724&amp;")")&amp;IF(D2724="",""," - "&amp;D2724))</f>
        <v/>
      </c>
    </row>
    <row r="2725" customFormat="false" ht="15" hidden="false" customHeight="false" outlineLevel="0" collapsed="false">
      <c r="A2725" s="32"/>
      <c r="B2725" s="19"/>
      <c r="C2725" s="19"/>
      <c r="D2725" s="19"/>
      <c r="E2725" s="21"/>
      <c r="F2725" s="19"/>
      <c r="G2725" s="27" t="str">
        <f aca="false">IF(B2725="","",IFERROR(INDEX(Jeux!$C$2:$C$3001,MATCH(B2725,Jeux!$A$2:$A$3001,0))&amp;"","⚠ jeu inconnu"))</f>
        <v/>
      </c>
      <c r="H2725" s="27" t="str">
        <f aca="false">IF(B2725="","",IFERROR(INDEX(Jeux!$D$2:$D$3001,MATCH(B2725,Jeux!$A$2:$A$3001,0))&amp;"",""))</f>
        <v/>
      </c>
      <c r="I2725" s="26" t="str">
        <f aca="false">IF(A2725="","",COUNTIF(Apparitions!$G$2:$G$5001,A2725))</f>
        <v/>
      </c>
      <c r="J2725" s="26" t="str">
        <f aca="false">IF(A2725="","",COUNTIFS(Apparitions!$G$2:$G$5001,A2725,Apparitions!$E$2:$E$5001,"○"))</f>
        <v/>
      </c>
      <c r="K2725" s="29" t="str">
        <f aca="false">IF(A2725="","",IFERROR(1/(1/_xlfn.MINIFS(Apparitions!$L$2:$L$5001,Apparitions!$G$2:$G$5001,A2725)),""))</f>
        <v/>
      </c>
      <c r="L2725" s="27" t="str">
        <f aca="false">IF(A2725="","",A2725&amp;" | "&amp;B2725&amp;IF(C2725="",""," ("&amp;C2725&amp;")")&amp;IF(D2725="",""," - "&amp;D2725))</f>
        <v/>
      </c>
    </row>
    <row r="2726" customFormat="false" ht="15" hidden="false" customHeight="false" outlineLevel="0" collapsed="false">
      <c r="A2726" s="32"/>
      <c r="B2726" s="19"/>
      <c r="C2726" s="19"/>
      <c r="D2726" s="19"/>
      <c r="E2726" s="21"/>
      <c r="F2726" s="19"/>
      <c r="G2726" s="27" t="str">
        <f aca="false">IF(B2726="","",IFERROR(INDEX(Jeux!$C$2:$C$3001,MATCH(B2726,Jeux!$A$2:$A$3001,0))&amp;"","⚠ jeu inconnu"))</f>
        <v/>
      </c>
      <c r="H2726" s="27" t="str">
        <f aca="false">IF(B2726="","",IFERROR(INDEX(Jeux!$D$2:$D$3001,MATCH(B2726,Jeux!$A$2:$A$3001,0))&amp;"",""))</f>
        <v/>
      </c>
      <c r="I2726" s="26" t="str">
        <f aca="false">IF(A2726="","",COUNTIF(Apparitions!$G$2:$G$5001,A2726))</f>
        <v/>
      </c>
      <c r="J2726" s="26" t="str">
        <f aca="false">IF(A2726="","",COUNTIFS(Apparitions!$G$2:$G$5001,A2726,Apparitions!$E$2:$E$5001,"○"))</f>
        <v/>
      </c>
      <c r="K2726" s="29" t="str">
        <f aca="false">IF(A2726="","",IFERROR(1/(1/_xlfn.MINIFS(Apparitions!$L$2:$L$5001,Apparitions!$G$2:$G$5001,A2726)),""))</f>
        <v/>
      </c>
      <c r="L2726" s="27" t="str">
        <f aca="false">IF(A2726="","",A2726&amp;" | "&amp;B2726&amp;IF(C2726="",""," ("&amp;C2726&amp;")")&amp;IF(D2726="",""," - "&amp;D2726))</f>
        <v/>
      </c>
    </row>
    <row r="2727" customFormat="false" ht="15" hidden="false" customHeight="false" outlineLevel="0" collapsed="false">
      <c r="A2727" s="32"/>
      <c r="B2727" s="19"/>
      <c r="C2727" s="19"/>
      <c r="D2727" s="19"/>
      <c r="E2727" s="21"/>
      <c r="F2727" s="19"/>
      <c r="G2727" s="27" t="str">
        <f aca="false">IF(B2727="","",IFERROR(INDEX(Jeux!$C$2:$C$3001,MATCH(B2727,Jeux!$A$2:$A$3001,0))&amp;"","⚠ jeu inconnu"))</f>
        <v/>
      </c>
      <c r="H2727" s="27" t="str">
        <f aca="false">IF(B2727="","",IFERROR(INDEX(Jeux!$D$2:$D$3001,MATCH(B2727,Jeux!$A$2:$A$3001,0))&amp;"",""))</f>
        <v/>
      </c>
      <c r="I2727" s="26" t="str">
        <f aca="false">IF(A2727="","",COUNTIF(Apparitions!$G$2:$G$5001,A2727))</f>
        <v/>
      </c>
      <c r="J2727" s="26" t="str">
        <f aca="false">IF(A2727="","",COUNTIFS(Apparitions!$G$2:$G$5001,A2727,Apparitions!$E$2:$E$5001,"○"))</f>
        <v/>
      </c>
      <c r="K2727" s="29" t="str">
        <f aca="false">IF(A2727="","",IFERROR(1/(1/_xlfn.MINIFS(Apparitions!$L$2:$L$5001,Apparitions!$G$2:$G$5001,A2727)),""))</f>
        <v/>
      </c>
      <c r="L2727" s="27" t="str">
        <f aca="false">IF(A2727="","",A2727&amp;" | "&amp;B2727&amp;IF(C2727="",""," ("&amp;C2727&amp;")")&amp;IF(D2727="",""," - "&amp;D2727))</f>
        <v/>
      </c>
    </row>
    <row r="2728" customFormat="false" ht="15" hidden="false" customHeight="false" outlineLevel="0" collapsed="false">
      <c r="A2728" s="32"/>
      <c r="B2728" s="19"/>
      <c r="C2728" s="19"/>
      <c r="D2728" s="19"/>
      <c r="E2728" s="21"/>
      <c r="F2728" s="19"/>
      <c r="G2728" s="27" t="str">
        <f aca="false">IF(B2728="","",IFERROR(INDEX(Jeux!$C$2:$C$3001,MATCH(B2728,Jeux!$A$2:$A$3001,0))&amp;"","⚠ jeu inconnu"))</f>
        <v/>
      </c>
      <c r="H2728" s="27" t="str">
        <f aca="false">IF(B2728="","",IFERROR(INDEX(Jeux!$D$2:$D$3001,MATCH(B2728,Jeux!$A$2:$A$3001,0))&amp;"",""))</f>
        <v/>
      </c>
      <c r="I2728" s="26" t="str">
        <f aca="false">IF(A2728="","",COUNTIF(Apparitions!$G$2:$G$5001,A2728))</f>
        <v/>
      </c>
      <c r="J2728" s="26" t="str">
        <f aca="false">IF(A2728="","",COUNTIFS(Apparitions!$G$2:$G$5001,A2728,Apparitions!$E$2:$E$5001,"○"))</f>
        <v/>
      </c>
      <c r="K2728" s="29" t="str">
        <f aca="false">IF(A2728="","",IFERROR(1/(1/_xlfn.MINIFS(Apparitions!$L$2:$L$5001,Apparitions!$G$2:$G$5001,A2728)),""))</f>
        <v/>
      </c>
      <c r="L2728" s="27" t="str">
        <f aca="false">IF(A2728="","",A2728&amp;" | "&amp;B2728&amp;IF(C2728="",""," ("&amp;C2728&amp;")")&amp;IF(D2728="",""," - "&amp;D2728))</f>
        <v/>
      </c>
    </row>
    <row r="2729" customFormat="false" ht="15" hidden="false" customHeight="false" outlineLevel="0" collapsed="false">
      <c r="A2729" s="32"/>
      <c r="B2729" s="19"/>
      <c r="C2729" s="19"/>
      <c r="D2729" s="19"/>
      <c r="E2729" s="21"/>
      <c r="F2729" s="19"/>
      <c r="G2729" s="27" t="str">
        <f aca="false">IF(B2729="","",IFERROR(INDEX(Jeux!$C$2:$C$3001,MATCH(B2729,Jeux!$A$2:$A$3001,0))&amp;"","⚠ jeu inconnu"))</f>
        <v/>
      </c>
      <c r="H2729" s="27" t="str">
        <f aca="false">IF(B2729="","",IFERROR(INDEX(Jeux!$D$2:$D$3001,MATCH(B2729,Jeux!$A$2:$A$3001,0))&amp;"",""))</f>
        <v/>
      </c>
      <c r="I2729" s="26" t="str">
        <f aca="false">IF(A2729="","",COUNTIF(Apparitions!$G$2:$G$5001,A2729))</f>
        <v/>
      </c>
      <c r="J2729" s="26" t="str">
        <f aca="false">IF(A2729="","",COUNTIFS(Apparitions!$G$2:$G$5001,A2729,Apparitions!$E$2:$E$5001,"○"))</f>
        <v/>
      </c>
      <c r="K2729" s="29" t="str">
        <f aca="false">IF(A2729="","",IFERROR(1/(1/_xlfn.MINIFS(Apparitions!$L$2:$L$5001,Apparitions!$G$2:$G$5001,A2729)),""))</f>
        <v/>
      </c>
      <c r="L2729" s="27" t="str">
        <f aca="false">IF(A2729="","",A2729&amp;" | "&amp;B2729&amp;IF(C2729="",""," ("&amp;C2729&amp;")")&amp;IF(D2729="",""," - "&amp;D2729))</f>
        <v/>
      </c>
    </row>
    <row r="2730" customFormat="false" ht="15" hidden="false" customHeight="false" outlineLevel="0" collapsed="false">
      <c r="A2730" s="32"/>
      <c r="B2730" s="19"/>
      <c r="C2730" s="19"/>
      <c r="D2730" s="19"/>
      <c r="E2730" s="21"/>
      <c r="F2730" s="19"/>
      <c r="G2730" s="27" t="str">
        <f aca="false">IF(B2730="","",IFERROR(INDEX(Jeux!$C$2:$C$3001,MATCH(B2730,Jeux!$A$2:$A$3001,0))&amp;"","⚠ jeu inconnu"))</f>
        <v/>
      </c>
      <c r="H2730" s="27" t="str">
        <f aca="false">IF(B2730="","",IFERROR(INDEX(Jeux!$D$2:$D$3001,MATCH(B2730,Jeux!$A$2:$A$3001,0))&amp;"",""))</f>
        <v/>
      </c>
      <c r="I2730" s="26" t="str">
        <f aca="false">IF(A2730="","",COUNTIF(Apparitions!$G$2:$G$5001,A2730))</f>
        <v/>
      </c>
      <c r="J2730" s="26" t="str">
        <f aca="false">IF(A2730="","",COUNTIFS(Apparitions!$G$2:$G$5001,A2730,Apparitions!$E$2:$E$5001,"○"))</f>
        <v/>
      </c>
      <c r="K2730" s="29" t="str">
        <f aca="false">IF(A2730="","",IFERROR(1/(1/_xlfn.MINIFS(Apparitions!$L$2:$L$5001,Apparitions!$G$2:$G$5001,A2730)),""))</f>
        <v/>
      </c>
      <c r="L2730" s="27" t="str">
        <f aca="false">IF(A2730="","",A2730&amp;" | "&amp;B2730&amp;IF(C2730="",""," ("&amp;C2730&amp;")")&amp;IF(D2730="",""," - "&amp;D2730))</f>
        <v/>
      </c>
    </row>
    <row r="2731" customFormat="false" ht="15" hidden="false" customHeight="false" outlineLevel="0" collapsed="false">
      <c r="A2731" s="32"/>
      <c r="B2731" s="19"/>
      <c r="C2731" s="19"/>
      <c r="D2731" s="19"/>
      <c r="E2731" s="21"/>
      <c r="F2731" s="19"/>
      <c r="G2731" s="27" t="str">
        <f aca="false">IF(B2731="","",IFERROR(INDEX(Jeux!$C$2:$C$3001,MATCH(B2731,Jeux!$A$2:$A$3001,0))&amp;"","⚠ jeu inconnu"))</f>
        <v/>
      </c>
      <c r="H2731" s="27" t="str">
        <f aca="false">IF(B2731="","",IFERROR(INDEX(Jeux!$D$2:$D$3001,MATCH(B2731,Jeux!$A$2:$A$3001,0))&amp;"",""))</f>
        <v/>
      </c>
      <c r="I2731" s="26" t="str">
        <f aca="false">IF(A2731="","",COUNTIF(Apparitions!$G$2:$G$5001,A2731))</f>
        <v/>
      </c>
      <c r="J2731" s="26" t="str">
        <f aca="false">IF(A2731="","",COUNTIFS(Apparitions!$G$2:$G$5001,A2731,Apparitions!$E$2:$E$5001,"○"))</f>
        <v/>
      </c>
      <c r="K2731" s="29" t="str">
        <f aca="false">IF(A2731="","",IFERROR(1/(1/_xlfn.MINIFS(Apparitions!$L$2:$L$5001,Apparitions!$G$2:$G$5001,A2731)),""))</f>
        <v/>
      </c>
      <c r="L2731" s="27" t="str">
        <f aca="false">IF(A2731="","",A2731&amp;" | "&amp;B2731&amp;IF(C2731="",""," ("&amp;C2731&amp;")")&amp;IF(D2731="",""," - "&amp;D2731))</f>
        <v/>
      </c>
    </row>
    <row r="2732" customFormat="false" ht="15" hidden="false" customHeight="false" outlineLevel="0" collapsed="false">
      <c r="A2732" s="32"/>
      <c r="B2732" s="19"/>
      <c r="C2732" s="19"/>
      <c r="D2732" s="19"/>
      <c r="E2732" s="21"/>
      <c r="F2732" s="19"/>
      <c r="G2732" s="27" t="str">
        <f aca="false">IF(B2732="","",IFERROR(INDEX(Jeux!$C$2:$C$3001,MATCH(B2732,Jeux!$A$2:$A$3001,0))&amp;"","⚠ jeu inconnu"))</f>
        <v/>
      </c>
      <c r="H2732" s="27" t="str">
        <f aca="false">IF(B2732="","",IFERROR(INDEX(Jeux!$D$2:$D$3001,MATCH(B2732,Jeux!$A$2:$A$3001,0))&amp;"",""))</f>
        <v/>
      </c>
      <c r="I2732" s="26" t="str">
        <f aca="false">IF(A2732="","",COUNTIF(Apparitions!$G$2:$G$5001,A2732))</f>
        <v/>
      </c>
      <c r="J2732" s="26" t="str">
        <f aca="false">IF(A2732="","",COUNTIFS(Apparitions!$G$2:$G$5001,A2732,Apparitions!$E$2:$E$5001,"○"))</f>
        <v/>
      </c>
      <c r="K2732" s="29" t="str">
        <f aca="false">IF(A2732="","",IFERROR(1/(1/_xlfn.MINIFS(Apparitions!$L$2:$L$5001,Apparitions!$G$2:$G$5001,A2732)),""))</f>
        <v/>
      </c>
      <c r="L2732" s="27" t="str">
        <f aca="false">IF(A2732="","",A2732&amp;" | "&amp;B2732&amp;IF(C2732="",""," ("&amp;C2732&amp;")")&amp;IF(D2732="",""," - "&amp;D2732))</f>
        <v/>
      </c>
    </row>
    <row r="2733" customFormat="false" ht="15" hidden="false" customHeight="false" outlineLevel="0" collapsed="false">
      <c r="A2733" s="32"/>
      <c r="B2733" s="19"/>
      <c r="C2733" s="19"/>
      <c r="D2733" s="19"/>
      <c r="E2733" s="21"/>
      <c r="F2733" s="19"/>
      <c r="G2733" s="27" t="str">
        <f aca="false">IF(B2733="","",IFERROR(INDEX(Jeux!$C$2:$C$3001,MATCH(B2733,Jeux!$A$2:$A$3001,0))&amp;"","⚠ jeu inconnu"))</f>
        <v/>
      </c>
      <c r="H2733" s="27" t="str">
        <f aca="false">IF(B2733="","",IFERROR(INDEX(Jeux!$D$2:$D$3001,MATCH(B2733,Jeux!$A$2:$A$3001,0))&amp;"",""))</f>
        <v/>
      </c>
      <c r="I2733" s="26" t="str">
        <f aca="false">IF(A2733="","",COUNTIF(Apparitions!$G$2:$G$5001,A2733))</f>
        <v/>
      </c>
      <c r="J2733" s="26" t="str">
        <f aca="false">IF(A2733="","",COUNTIFS(Apparitions!$G$2:$G$5001,A2733,Apparitions!$E$2:$E$5001,"○"))</f>
        <v/>
      </c>
      <c r="K2733" s="29" t="str">
        <f aca="false">IF(A2733="","",IFERROR(1/(1/_xlfn.MINIFS(Apparitions!$L$2:$L$5001,Apparitions!$G$2:$G$5001,A2733)),""))</f>
        <v/>
      </c>
      <c r="L2733" s="27" t="str">
        <f aca="false">IF(A2733="","",A2733&amp;" | "&amp;B2733&amp;IF(C2733="",""," ("&amp;C2733&amp;")")&amp;IF(D2733="",""," - "&amp;D2733))</f>
        <v/>
      </c>
    </row>
    <row r="2734" customFormat="false" ht="15" hidden="false" customHeight="false" outlineLevel="0" collapsed="false">
      <c r="A2734" s="32"/>
      <c r="B2734" s="19"/>
      <c r="C2734" s="19"/>
      <c r="D2734" s="19"/>
      <c r="E2734" s="21"/>
      <c r="F2734" s="19"/>
      <c r="G2734" s="27" t="str">
        <f aca="false">IF(B2734="","",IFERROR(INDEX(Jeux!$C$2:$C$3001,MATCH(B2734,Jeux!$A$2:$A$3001,0))&amp;"","⚠ jeu inconnu"))</f>
        <v/>
      </c>
      <c r="H2734" s="27" t="str">
        <f aca="false">IF(B2734="","",IFERROR(INDEX(Jeux!$D$2:$D$3001,MATCH(B2734,Jeux!$A$2:$A$3001,0))&amp;"",""))</f>
        <v/>
      </c>
      <c r="I2734" s="26" t="str">
        <f aca="false">IF(A2734="","",COUNTIF(Apparitions!$G$2:$G$5001,A2734))</f>
        <v/>
      </c>
      <c r="J2734" s="26" t="str">
        <f aca="false">IF(A2734="","",COUNTIFS(Apparitions!$G$2:$G$5001,A2734,Apparitions!$E$2:$E$5001,"○"))</f>
        <v/>
      </c>
      <c r="K2734" s="29" t="str">
        <f aca="false">IF(A2734="","",IFERROR(1/(1/_xlfn.MINIFS(Apparitions!$L$2:$L$5001,Apparitions!$G$2:$G$5001,A2734)),""))</f>
        <v/>
      </c>
      <c r="L2734" s="27" t="str">
        <f aca="false">IF(A2734="","",A2734&amp;" | "&amp;B2734&amp;IF(C2734="",""," ("&amp;C2734&amp;")")&amp;IF(D2734="",""," - "&amp;D2734))</f>
        <v/>
      </c>
    </row>
    <row r="2735" customFormat="false" ht="15" hidden="false" customHeight="false" outlineLevel="0" collapsed="false">
      <c r="A2735" s="32"/>
      <c r="B2735" s="19"/>
      <c r="C2735" s="19"/>
      <c r="D2735" s="19"/>
      <c r="E2735" s="21"/>
      <c r="F2735" s="19"/>
      <c r="G2735" s="27" t="str">
        <f aca="false">IF(B2735="","",IFERROR(INDEX(Jeux!$C$2:$C$3001,MATCH(B2735,Jeux!$A$2:$A$3001,0))&amp;"","⚠ jeu inconnu"))</f>
        <v/>
      </c>
      <c r="H2735" s="27" t="str">
        <f aca="false">IF(B2735="","",IFERROR(INDEX(Jeux!$D$2:$D$3001,MATCH(B2735,Jeux!$A$2:$A$3001,0))&amp;"",""))</f>
        <v/>
      </c>
      <c r="I2735" s="26" t="str">
        <f aca="false">IF(A2735="","",COUNTIF(Apparitions!$G$2:$G$5001,A2735))</f>
        <v/>
      </c>
      <c r="J2735" s="26" t="str">
        <f aca="false">IF(A2735="","",COUNTIFS(Apparitions!$G$2:$G$5001,A2735,Apparitions!$E$2:$E$5001,"○"))</f>
        <v/>
      </c>
      <c r="K2735" s="29" t="str">
        <f aca="false">IF(A2735="","",IFERROR(1/(1/_xlfn.MINIFS(Apparitions!$L$2:$L$5001,Apparitions!$G$2:$G$5001,A2735)),""))</f>
        <v/>
      </c>
      <c r="L2735" s="27" t="str">
        <f aca="false">IF(A2735="","",A2735&amp;" | "&amp;B2735&amp;IF(C2735="",""," ("&amp;C2735&amp;")")&amp;IF(D2735="",""," - "&amp;D2735))</f>
        <v/>
      </c>
    </row>
    <row r="2736" customFormat="false" ht="15" hidden="false" customHeight="false" outlineLevel="0" collapsed="false">
      <c r="A2736" s="32"/>
      <c r="B2736" s="19"/>
      <c r="C2736" s="19"/>
      <c r="D2736" s="19"/>
      <c r="E2736" s="21"/>
      <c r="F2736" s="19"/>
      <c r="G2736" s="27" t="str">
        <f aca="false">IF(B2736="","",IFERROR(INDEX(Jeux!$C$2:$C$3001,MATCH(B2736,Jeux!$A$2:$A$3001,0))&amp;"","⚠ jeu inconnu"))</f>
        <v/>
      </c>
      <c r="H2736" s="27" t="str">
        <f aca="false">IF(B2736="","",IFERROR(INDEX(Jeux!$D$2:$D$3001,MATCH(B2736,Jeux!$A$2:$A$3001,0))&amp;"",""))</f>
        <v/>
      </c>
      <c r="I2736" s="26" t="str">
        <f aca="false">IF(A2736="","",COUNTIF(Apparitions!$G$2:$G$5001,A2736))</f>
        <v/>
      </c>
      <c r="J2736" s="26" t="str">
        <f aca="false">IF(A2736="","",COUNTIFS(Apparitions!$G$2:$G$5001,A2736,Apparitions!$E$2:$E$5001,"○"))</f>
        <v/>
      </c>
      <c r="K2736" s="29" t="str">
        <f aca="false">IF(A2736="","",IFERROR(1/(1/_xlfn.MINIFS(Apparitions!$L$2:$L$5001,Apparitions!$G$2:$G$5001,A2736)),""))</f>
        <v/>
      </c>
      <c r="L2736" s="27" t="str">
        <f aca="false">IF(A2736="","",A2736&amp;" | "&amp;B2736&amp;IF(C2736="",""," ("&amp;C2736&amp;")")&amp;IF(D2736="",""," - "&amp;D2736))</f>
        <v/>
      </c>
    </row>
    <row r="2737" customFormat="false" ht="15" hidden="false" customHeight="false" outlineLevel="0" collapsed="false">
      <c r="A2737" s="32"/>
      <c r="B2737" s="19"/>
      <c r="C2737" s="19"/>
      <c r="D2737" s="19"/>
      <c r="E2737" s="21"/>
      <c r="F2737" s="19"/>
      <c r="G2737" s="27" t="str">
        <f aca="false">IF(B2737="","",IFERROR(INDEX(Jeux!$C$2:$C$3001,MATCH(B2737,Jeux!$A$2:$A$3001,0))&amp;"","⚠ jeu inconnu"))</f>
        <v/>
      </c>
      <c r="H2737" s="27" t="str">
        <f aca="false">IF(B2737="","",IFERROR(INDEX(Jeux!$D$2:$D$3001,MATCH(B2737,Jeux!$A$2:$A$3001,0))&amp;"",""))</f>
        <v/>
      </c>
      <c r="I2737" s="26" t="str">
        <f aca="false">IF(A2737="","",COUNTIF(Apparitions!$G$2:$G$5001,A2737))</f>
        <v/>
      </c>
      <c r="J2737" s="26" t="str">
        <f aca="false">IF(A2737="","",COUNTIFS(Apparitions!$G$2:$G$5001,A2737,Apparitions!$E$2:$E$5001,"○"))</f>
        <v/>
      </c>
      <c r="K2737" s="29" t="str">
        <f aca="false">IF(A2737="","",IFERROR(1/(1/_xlfn.MINIFS(Apparitions!$L$2:$L$5001,Apparitions!$G$2:$G$5001,A2737)),""))</f>
        <v/>
      </c>
      <c r="L2737" s="27" t="str">
        <f aca="false">IF(A2737="","",A2737&amp;" | "&amp;B2737&amp;IF(C2737="",""," ("&amp;C2737&amp;")")&amp;IF(D2737="",""," - "&amp;D2737))</f>
        <v/>
      </c>
    </row>
    <row r="2738" customFormat="false" ht="15" hidden="false" customHeight="false" outlineLevel="0" collapsed="false">
      <c r="A2738" s="32"/>
      <c r="B2738" s="19"/>
      <c r="C2738" s="19"/>
      <c r="D2738" s="19"/>
      <c r="E2738" s="21"/>
      <c r="F2738" s="19"/>
      <c r="G2738" s="27" t="str">
        <f aca="false">IF(B2738="","",IFERROR(INDEX(Jeux!$C$2:$C$3001,MATCH(B2738,Jeux!$A$2:$A$3001,0))&amp;"","⚠ jeu inconnu"))</f>
        <v/>
      </c>
      <c r="H2738" s="27" t="str">
        <f aca="false">IF(B2738="","",IFERROR(INDEX(Jeux!$D$2:$D$3001,MATCH(B2738,Jeux!$A$2:$A$3001,0))&amp;"",""))</f>
        <v/>
      </c>
      <c r="I2738" s="26" t="str">
        <f aca="false">IF(A2738="","",COUNTIF(Apparitions!$G$2:$G$5001,A2738))</f>
        <v/>
      </c>
      <c r="J2738" s="26" t="str">
        <f aca="false">IF(A2738="","",COUNTIFS(Apparitions!$G$2:$G$5001,A2738,Apparitions!$E$2:$E$5001,"○"))</f>
        <v/>
      </c>
      <c r="K2738" s="29" t="str">
        <f aca="false">IF(A2738="","",IFERROR(1/(1/_xlfn.MINIFS(Apparitions!$L$2:$L$5001,Apparitions!$G$2:$G$5001,A2738)),""))</f>
        <v/>
      </c>
      <c r="L2738" s="27" t="str">
        <f aca="false">IF(A2738="","",A2738&amp;" | "&amp;B2738&amp;IF(C2738="",""," ("&amp;C2738&amp;")")&amp;IF(D2738="",""," - "&amp;D2738))</f>
        <v/>
      </c>
    </row>
    <row r="2739" customFormat="false" ht="15" hidden="false" customHeight="false" outlineLevel="0" collapsed="false">
      <c r="A2739" s="32"/>
      <c r="B2739" s="19"/>
      <c r="C2739" s="19"/>
      <c r="D2739" s="19"/>
      <c r="E2739" s="21"/>
      <c r="F2739" s="19"/>
      <c r="G2739" s="27" t="str">
        <f aca="false">IF(B2739="","",IFERROR(INDEX(Jeux!$C$2:$C$3001,MATCH(B2739,Jeux!$A$2:$A$3001,0))&amp;"","⚠ jeu inconnu"))</f>
        <v/>
      </c>
      <c r="H2739" s="27" t="str">
        <f aca="false">IF(B2739="","",IFERROR(INDEX(Jeux!$D$2:$D$3001,MATCH(B2739,Jeux!$A$2:$A$3001,0))&amp;"",""))</f>
        <v/>
      </c>
      <c r="I2739" s="26" t="str">
        <f aca="false">IF(A2739="","",COUNTIF(Apparitions!$G$2:$G$5001,A2739))</f>
        <v/>
      </c>
      <c r="J2739" s="26" t="str">
        <f aca="false">IF(A2739="","",COUNTIFS(Apparitions!$G$2:$G$5001,A2739,Apparitions!$E$2:$E$5001,"○"))</f>
        <v/>
      </c>
      <c r="K2739" s="29" t="str">
        <f aca="false">IF(A2739="","",IFERROR(1/(1/_xlfn.MINIFS(Apparitions!$L$2:$L$5001,Apparitions!$G$2:$G$5001,A2739)),""))</f>
        <v/>
      </c>
      <c r="L2739" s="27" t="str">
        <f aca="false">IF(A2739="","",A2739&amp;" | "&amp;B2739&amp;IF(C2739="",""," ("&amp;C2739&amp;")")&amp;IF(D2739="",""," - "&amp;D2739))</f>
        <v/>
      </c>
    </row>
    <row r="2740" customFormat="false" ht="15" hidden="false" customHeight="false" outlineLevel="0" collapsed="false">
      <c r="A2740" s="32"/>
      <c r="B2740" s="19"/>
      <c r="C2740" s="19"/>
      <c r="D2740" s="19"/>
      <c r="E2740" s="21"/>
      <c r="F2740" s="19"/>
      <c r="G2740" s="27" t="str">
        <f aca="false">IF(B2740="","",IFERROR(INDEX(Jeux!$C$2:$C$3001,MATCH(B2740,Jeux!$A$2:$A$3001,0))&amp;"","⚠ jeu inconnu"))</f>
        <v/>
      </c>
      <c r="H2740" s="27" t="str">
        <f aca="false">IF(B2740="","",IFERROR(INDEX(Jeux!$D$2:$D$3001,MATCH(B2740,Jeux!$A$2:$A$3001,0))&amp;"",""))</f>
        <v/>
      </c>
      <c r="I2740" s="26" t="str">
        <f aca="false">IF(A2740="","",COUNTIF(Apparitions!$G$2:$G$5001,A2740))</f>
        <v/>
      </c>
      <c r="J2740" s="26" t="str">
        <f aca="false">IF(A2740="","",COUNTIFS(Apparitions!$G$2:$G$5001,A2740,Apparitions!$E$2:$E$5001,"○"))</f>
        <v/>
      </c>
      <c r="K2740" s="29" t="str">
        <f aca="false">IF(A2740="","",IFERROR(1/(1/_xlfn.MINIFS(Apparitions!$L$2:$L$5001,Apparitions!$G$2:$G$5001,A2740)),""))</f>
        <v/>
      </c>
      <c r="L2740" s="27" t="str">
        <f aca="false">IF(A2740="","",A2740&amp;" | "&amp;B2740&amp;IF(C2740="",""," ("&amp;C2740&amp;")")&amp;IF(D2740="",""," - "&amp;D2740))</f>
        <v/>
      </c>
    </row>
    <row r="2741" customFormat="false" ht="15" hidden="false" customHeight="false" outlineLevel="0" collapsed="false">
      <c r="A2741" s="32"/>
      <c r="B2741" s="19"/>
      <c r="C2741" s="19"/>
      <c r="D2741" s="19"/>
      <c r="E2741" s="21"/>
      <c r="F2741" s="19"/>
      <c r="G2741" s="27" t="str">
        <f aca="false">IF(B2741="","",IFERROR(INDEX(Jeux!$C$2:$C$3001,MATCH(B2741,Jeux!$A$2:$A$3001,0))&amp;"","⚠ jeu inconnu"))</f>
        <v/>
      </c>
      <c r="H2741" s="27" t="str">
        <f aca="false">IF(B2741="","",IFERROR(INDEX(Jeux!$D$2:$D$3001,MATCH(B2741,Jeux!$A$2:$A$3001,0))&amp;"",""))</f>
        <v/>
      </c>
      <c r="I2741" s="26" t="str">
        <f aca="false">IF(A2741="","",COUNTIF(Apparitions!$G$2:$G$5001,A2741))</f>
        <v/>
      </c>
      <c r="J2741" s="26" t="str">
        <f aca="false">IF(A2741="","",COUNTIFS(Apparitions!$G$2:$G$5001,A2741,Apparitions!$E$2:$E$5001,"○"))</f>
        <v/>
      </c>
      <c r="K2741" s="29" t="str">
        <f aca="false">IF(A2741="","",IFERROR(1/(1/_xlfn.MINIFS(Apparitions!$L$2:$L$5001,Apparitions!$G$2:$G$5001,A2741)),""))</f>
        <v/>
      </c>
      <c r="L2741" s="27" t="str">
        <f aca="false">IF(A2741="","",A2741&amp;" | "&amp;B2741&amp;IF(C2741="",""," ("&amp;C2741&amp;")")&amp;IF(D2741="",""," - "&amp;D2741))</f>
        <v/>
      </c>
    </row>
    <row r="2742" customFormat="false" ht="15" hidden="false" customHeight="false" outlineLevel="0" collapsed="false">
      <c r="A2742" s="32"/>
      <c r="B2742" s="19"/>
      <c r="C2742" s="19"/>
      <c r="D2742" s="19"/>
      <c r="E2742" s="21"/>
      <c r="F2742" s="19"/>
      <c r="G2742" s="27" t="str">
        <f aca="false">IF(B2742="","",IFERROR(INDEX(Jeux!$C$2:$C$3001,MATCH(B2742,Jeux!$A$2:$A$3001,0))&amp;"","⚠ jeu inconnu"))</f>
        <v/>
      </c>
      <c r="H2742" s="27" t="str">
        <f aca="false">IF(B2742="","",IFERROR(INDEX(Jeux!$D$2:$D$3001,MATCH(B2742,Jeux!$A$2:$A$3001,0))&amp;"",""))</f>
        <v/>
      </c>
      <c r="I2742" s="26" t="str">
        <f aca="false">IF(A2742="","",COUNTIF(Apparitions!$G$2:$G$5001,A2742))</f>
        <v/>
      </c>
      <c r="J2742" s="26" t="str">
        <f aca="false">IF(A2742="","",COUNTIFS(Apparitions!$G$2:$G$5001,A2742,Apparitions!$E$2:$E$5001,"○"))</f>
        <v/>
      </c>
      <c r="K2742" s="29" t="str">
        <f aca="false">IF(A2742="","",IFERROR(1/(1/_xlfn.MINIFS(Apparitions!$L$2:$L$5001,Apparitions!$G$2:$G$5001,A2742)),""))</f>
        <v/>
      </c>
      <c r="L2742" s="27" t="str">
        <f aca="false">IF(A2742="","",A2742&amp;" | "&amp;B2742&amp;IF(C2742="",""," ("&amp;C2742&amp;")")&amp;IF(D2742="",""," - "&amp;D2742))</f>
        <v/>
      </c>
    </row>
    <row r="2743" customFormat="false" ht="15" hidden="false" customHeight="false" outlineLevel="0" collapsed="false">
      <c r="A2743" s="32"/>
      <c r="B2743" s="19"/>
      <c r="C2743" s="19"/>
      <c r="D2743" s="19"/>
      <c r="E2743" s="21"/>
      <c r="F2743" s="19"/>
      <c r="G2743" s="27" t="str">
        <f aca="false">IF(B2743="","",IFERROR(INDEX(Jeux!$C$2:$C$3001,MATCH(B2743,Jeux!$A$2:$A$3001,0))&amp;"","⚠ jeu inconnu"))</f>
        <v/>
      </c>
      <c r="H2743" s="27" t="str">
        <f aca="false">IF(B2743="","",IFERROR(INDEX(Jeux!$D$2:$D$3001,MATCH(B2743,Jeux!$A$2:$A$3001,0))&amp;"",""))</f>
        <v/>
      </c>
      <c r="I2743" s="26" t="str">
        <f aca="false">IF(A2743="","",COUNTIF(Apparitions!$G$2:$G$5001,A2743))</f>
        <v/>
      </c>
      <c r="J2743" s="26" t="str">
        <f aca="false">IF(A2743="","",COUNTIFS(Apparitions!$G$2:$G$5001,A2743,Apparitions!$E$2:$E$5001,"○"))</f>
        <v/>
      </c>
      <c r="K2743" s="29" t="str">
        <f aca="false">IF(A2743="","",IFERROR(1/(1/_xlfn.MINIFS(Apparitions!$L$2:$L$5001,Apparitions!$G$2:$G$5001,A2743)),""))</f>
        <v/>
      </c>
      <c r="L2743" s="27" t="str">
        <f aca="false">IF(A2743="","",A2743&amp;" | "&amp;B2743&amp;IF(C2743="",""," ("&amp;C2743&amp;")")&amp;IF(D2743="",""," - "&amp;D2743))</f>
        <v/>
      </c>
    </row>
    <row r="2744" customFormat="false" ht="15" hidden="false" customHeight="false" outlineLevel="0" collapsed="false">
      <c r="A2744" s="32"/>
      <c r="B2744" s="19"/>
      <c r="C2744" s="19"/>
      <c r="D2744" s="19"/>
      <c r="E2744" s="21"/>
      <c r="F2744" s="19"/>
      <c r="G2744" s="27" t="str">
        <f aca="false">IF(B2744="","",IFERROR(INDEX(Jeux!$C$2:$C$3001,MATCH(B2744,Jeux!$A$2:$A$3001,0))&amp;"","⚠ jeu inconnu"))</f>
        <v/>
      </c>
      <c r="H2744" s="27" t="str">
        <f aca="false">IF(B2744="","",IFERROR(INDEX(Jeux!$D$2:$D$3001,MATCH(B2744,Jeux!$A$2:$A$3001,0))&amp;"",""))</f>
        <v/>
      </c>
      <c r="I2744" s="26" t="str">
        <f aca="false">IF(A2744="","",COUNTIF(Apparitions!$G$2:$G$5001,A2744))</f>
        <v/>
      </c>
      <c r="J2744" s="26" t="str">
        <f aca="false">IF(A2744="","",COUNTIFS(Apparitions!$G$2:$G$5001,A2744,Apparitions!$E$2:$E$5001,"○"))</f>
        <v/>
      </c>
      <c r="K2744" s="29" t="str">
        <f aca="false">IF(A2744="","",IFERROR(1/(1/_xlfn.MINIFS(Apparitions!$L$2:$L$5001,Apparitions!$G$2:$G$5001,A2744)),""))</f>
        <v/>
      </c>
      <c r="L2744" s="27" t="str">
        <f aca="false">IF(A2744="","",A2744&amp;" | "&amp;B2744&amp;IF(C2744="",""," ("&amp;C2744&amp;")")&amp;IF(D2744="",""," - "&amp;D2744))</f>
        <v/>
      </c>
    </row>
    <row r="2745" customFormat="false" ht="15" hidden="false" customHeight="false" outlineLevel="0" collapsed="false">
      <c r="A2745" s="32"/>
      <c r="B2745" s="19"/>
      <c r="C2745" s="19"/>
      <c r="D2745" s="19"/>
      <c r="E2745" s="21"/>
      <c r="F2745" s="19"/>
      <c r="G2745" s="27" t="str">
        <f aca="false">IF(B2745="","",IFERROR(INDEX(Jeux!$C$2:$C$3001,MATCH(B2745,Jeux!$A$2:$A$3001,0))&amp;"","⚠ jeu inconnu"))</f>
        <v/>
      </c>
      <c r="H2745" s="27" t="str">
        <f aca="false">IF(B2745="","",IFERROR(INDEX(Jeux!$D$2:$D$3001,MATCH(B2745,Jeux!$A$2:$A$3001,0))&amp;"",""))</f>
        <v/>
      </c>
      <c r="I2745" s="26" t="str">
        <f aca="false">IF(A2745="","",COUNTIF(Apparitions!$G$2:$G$5001,A2745))</f>
        <v/>
      </c>
      <c r="J2745" s="26" t="str">
        <f aca="false">IF(A2745="","",COUNTIFS(Apparitions!$G$2:$G$5001,A2745,Apparitions!$E$2:$E$5001,"○"))</f>
        <v/>
      </c>
      <c r="K2745" s="29" t="str">
        <f aca="false">IF(A2745="","",IFERROR(1/(1/_xlfn.MINIFS(Apparitions!$L$2:$L$5001,Apparitions!$G$2:$G$5001,A2745)),""))</f>
        <v/>
      </c>
      <c r="L2745" s="27" t="str">
        <f aca="false">IF(A2745="","",A2745&amp;" | "&amp;B2745&amp;IF(C2745="",""," ("&amp;C2745&amp;")")&amp;IF(D2745="",""," - "&amp;D2745))</f>
        <v/>
      </c>
    </row>
    <row r="2746" customFormat="false" ht="15" hidden="false" customHeight="false" outlineLevel="0" collapsed="false">
      <c r="A2746" s="32"/>
      <c r="B2746" s="19"/>
      <c r="C2746" s="19"/>
      <c r="D2746" s="19"/>
      <c r="E2746" s="21"/>
      <c r="F2746" s="19"/>
      <c r="G2746" s="27" t="str">
        <f aca="false">IF(B2746="","",IFERROR(INDEX(Jeux!$C$2:$C$3001,MATCH(B2746,Jeux!$A$2:$A$3001,0))&amp;"","⚠ jeu inconnu"))</f>
        <v/>
      </c>
      <c r="H2746" s="27" t="str">
        <f aca="false">IF(B2746="","",IFERROR(INDEX(Jeux!$D$2:$D$3001,MATCH(B2746,Jeux!$A$2:$A$3001,0))&amp;"",""))</f>
        <v/>
      </c>
      <c r="I2746" s="26" t="str">
        <f aca="false">IF(A2746="","",COUNTIF(Apparitions!$G$2:$G$5001,A2746))</f>
        <v/>
      </c>
      <c r="J2746" s="26" t="str">
        <f aca="false">IF(A2746="","",COUNTIFS(Apparitions!$G$2:$G$5001,A2746,Apparitions!$E$2:$E$5001,"○"))</f>
        <v/>
      </c>
      <c r="K2746" s="29" t="str">
        <f aca="false">IF(A2746="","",IFERROR(1/(1/_xlfn.MINIFS(Apparitions!$L$2:$L$5001,Apparitions!$G$2:$G$5001,A2746)),""))</f>
        <v/>
      </c>
      <c r="L2746" s="27" t="str">
        <f aca="false">IF(A2746="","",A2746&amp;" | "&amp;B2746&amp;IF(C2746="",""," ("&amp;C2746&amp;")")&amp;IF(D2746="",""," - "&amp;D2746))</f>
        <v/>
      </c>
    </row>
    <row r="2747" customFormat="false" ht="15" hidden="false" customHeight="false" outlineLevel="0" collapsed="false">
      <c r="A2747" s="32"/>
      <c r="B2747" s="19"/>
      <c r="C2747" s="19"/>
      <c r="D2747" s="19"/>
      <c r="E2747" s="21"/>
      <c r="F2747" s="19"/>
      <c r="G2747" s="27" t="str">
        <f aca="false">IF(B2747="","",IFERROR(INDEX(Jeux!$C$2:$C$3001,MATCH(B2747,Jeux!$A$2:$A$3001,0))&amp;"","⚠ jeu inconnu"))</f>
        <v/>
      </c>
      <c r="H2747" s="27" t="str">
        <f aca="false">IF(B2747="","",IFERROR(INDEX(Jeux!$D$2:$D$3001,MATCH(B2747,Jeux!$A$2:$A$3001,0))&amp;"",""))</f>
        <v/>
      </c>
      <c r="I2747" s="26" t="str">
        <f aca="false">IF(A2747="","",COUNTIF(Apparitions!$G$2:$G$5001,A2747))</f>
        <v/>
      </c>
      <c r="J2747" s="26" t="str">
        <f aca="false">IF(A2747="","",COUNTIFS(Apparitions!$G$2:$G$5001,A2747,Apparitions!$E$2:$E$5001,"○"))</f>
        <v/>
      </c>
      <c r="K2747" s="29" t="str">
        <f aca="false">IF(A2747="","",IFERROR(1/(1/_xlfn.MINIFS(Apparitions!$L$2:$L$5001,Apparitions!$G$2:$G$5001,A2747)),""))</f>
        <v/>
      </c>
      <c r="L2747" s="27" t="str">
        <f aca="false">IF(A2747="","",A2747&amp;" | "&amp;B2747&amp;IF(C2747="",""," ("&amp;C2747&amp;")")&amp;IF(D2747="",""," - "&amp;D2747))</f>
        <v/>
      </c>
    </row>
    <row r="2748" customFormat="false" ht="15" hidden="false" customHeight="false" outlineLevel="0" collapsed="false">
      <c r="A2748" s="32"/>
      <c r="B2748" s="19"/>
      <c r="C2748" s="19"/>
      <c r="D2748" s="19"/>
      <c r="E2748" s="21"/>
      <c r="F2748" s="19"/>
      <c r="G2748" s="27" t="str">
        <f aca="false">IF(B2748="","",IFERROR(INDEX(Jeux!$C$2:$C$3001,MATCH(B2748,Jeux!$A$2:$A$3001,0))&amp;"","⚠ jeu inconnu"))</f>
        <v/>
      </c>
      <c r="H2748" s="27" t="str">
        <f aca="false">IF(B2748="","",IFERROR(INDEX(Jeux!$D$2:$D$3001,MATCH(B2748,Jeux!$A$2:$A$3001,0))&amp;"",""))</f>
        <v/>
      </c>
      <c r="I2748" s="26" t="str">
        <f aca="false">IF(A2748="","",COUNTIF(Apparitions!$G$2:$G$5001,A2748))</f>
        <v/>
      </c>
      <c r="J2748" s="26" t="str">
        <f aca="false">IF(A2748="","",COUNTIFS(Apparitions!$G$2:$G$5001,A2748,Apparitions!$E$2:$E$5001,"○"))</f>
        <v/>
      </c>
      <c r="K2748" s="29" t="str">
        <f aca="false">IF(A2748="","",IFERROR(1/(1/_xlfn.MINIFS(Apparitions!$L$2:$L$5001,Apparitions!$G$2:$G$5001,A2748)),""))</f>
        <v/>
      </c>
      <c r="L2748" s="27" t="str">
        <f aca="false">IF(A2748="","",A2748&amp;" | "&amp;B2748&amp;IF(C2748="",""," ("&amp;C2748&amp;")")&amp;IF(D2748="",""," - "&amp;D2748))</f>
        <v/>
      </c>
    </row>
    <row r="2749" customFormat="false" ht="15" hidden="false" customHeight="false" outlineLevel="0" collapsed="false">
      <c r="A2749" s="32"/>
      <c r="B2749" s="19"/>
      <c r="C2749" s="19"/>
      <c r="D2749" s="19"/>
      <c r="E2749" s="21"/>
      <c r="F2749" s="19"/>
      <c r="G2749" s="27" t="str">
        <f aca="false">IF(B2749="","",IFERROR(INDEX(Jeux!$C$2:$C$3001,MATCH(B2749,Jeux!$A$2:$A$3001,0))&amp;"","⚠ jeu inconnu"))</f>
        <v/>
      </c>
      <c r="H2749" s="27" t="str">
        <f aca="false">IF(B2749="","",IFERROR(INDEX(Jeux!$D$2:$D$3001,MATCH(B2749,Jeux!$A$2:$A$3001,0))&amp;"",""))</f>
        <v/>
      </c>
      <c r="I2749" s="26" t="str">
        <f aca="false">IF(A2749="","",COUNTIF(Apparitions!$G$2:$G$5001,A2749))</f>
        <v/>
      </c>
      <c r="J2749" s="26" t="str">
        <f aca="false">IF(A2749="","",COUNTIFS(Apparitions!$G$2:$G$5001,A2749,Apparitions!$E$2:$E$5001,"○"))</f>
        <v/>
      </c>
      <c r="K2749" s="29" t="str">
        <f aca="false">IF(A2749="","",IFERROR(1/(1/_xlfn.MINIFS(Apparitions!$L$2:$L$5001,Apparitions!$G$2:$G$5001,A2749)),""))</f>
        <v/>
      </c>
      <c r="L2749" s="27" t="str">
        <f aca="false">IF(A2749="","",A2749&amp;" | "&amp;B2749&amp;IF(C2749="",""," ("&amp;C2749&amp;")")&amp;IF(D2749="",""," - "&amp;D2749))</f>
        <v/>
      </c>
    </row>
    <row r="2750" customFormat="false" ht="15" hidden="false" customHeight="false" outlineLevel="0" collapsed="false">
      <c r="A2750" s="32"/>
      <c r="B2750" s="19"/>
      <c r="C2750" s="19"/>
      <c r="D2750" s="19"/>
      <c r="E2750" s="21"/>
      <c r="F2750" s="19"/>
      <c r="G2750" s="27" t="str">
        <f aca="false">IF(B2750="","",IFERROR(INDEX(Jeux!$C$2:$C$3001,MATCH(B2750,Jeux!$A$2:$A$3001,0))&amp;"","⚠ jeu inconnu"))</f>
        <v/>
      </c>
      <c r="H2750" s="27" t="str">
        <f aca="false">IF(B2750="","",IFERROR(INDEX(Jeux!$D$2:$D$3001,MATCH(B2750,Jeux!$A$2:$A$3001,0))&amp;"",""))</f>
        <v/>
      </c>
      <c r="I2750" s="26" t="str">
        <f aca="false">IF(A2750="","",COUNTIF(Apparitions!$G$2:$G$5001,A2750))</f>
        <v/>
      </c>
      <c r="J2750" s="26" t="str">
        <f aca="false">IF(A2750="","",COUNTIFS(Apparitions!$G$2:$G$5001,A2750,Apparitions!$E$2:$E$5001,"○"))</f>
        <v/>
      </c>
      <c r="K2750" s="29" t="str">
        <f aca="false">IF(A2750="","",IFERROR(1/(1/_xlfn.MINIFS(Apparitions!$L$2:$L$5001,Apparitions!$G$2:$G$5001,A2750)),""))</f>
        <v/>
      </c>
      <c r="L2750" s="27" t="str">
        <f aca="false">IF(A2750="","",A2750&amp;" | "&amp;B2750&amp;IF(C2750="",""," ("&amp;C2750&amp;")")&amp;IF(D2750="",""," - "&amp;D2750))</f>
        <v/>
      </c>
    </row>
    <row r="2751" customFormat="false" ht="15" hidden="false" customHeight="false" outlineLevel="0" collapsed="false">
      <c r="A2751" s="32"/>
      <c r="B2751" s="19"/>
      <c r="C2751" s="19"/>
      <c r="D2751" s="19"/>
      <c r="E2751" s="21"/>
      <c r="F2751" s="19"/>
      <c r="G2751" s="27" t="str">
        <f aca="false">IF(B2751="","",IFERROR(INDEX(Jeux!$C$2:$C$3001,MATCH(B2751,Jeux!$A$2:$A$3001,0))&amp;"","⚠ jeu inconnu"))</f>
        <v/>
      </c>
      <c r="H2751" s="27" t="str">
        <f aca="false">IF(B2751="","",IFERROR(INDEX(Jeux!$D$2:$D$3001,MATCH(B2751,Jeux!$A$2:$A$3001,0))&amp;"",""))</f>
        <v/>
      </c>
      <c r="I2751" s="26" t="str">
        <f aca="false">IF(A2751="","",COUNTIF(Apparitions!$G$2:$G$5001,A2751))</f>
        <v/>
      </c>
      <c r="J2751" s="26" t="str">
        <f aca="false">IF(A2751="","",COUNTIFS(Apparitions!$G$2:$G$5001,A2751,Apparitions!$E$2:$E$5001,"○"))</f>
        <v/>
      </c>
      <c r="K2751" s="29" t="str">
        <f aca="false">IF(A2751="","",IFERROR(1/(1/_xlfn.MINIFS(Apparitions!$L$2:$L$5001,Apparitions!$G$2:$G$5001,A2751)),""))</f>
        <v/>
      </c>
      <c r="L2751" s="27" t="str">
        <f aca="false">IF(A2751="","",A2751&amp;" | "&amp;B2751&amp;IF(C2751="",""," ("&amp;C2751&amp;")")&amp;IF(D2751="",""," - "&amp;D2751))</f>
        <v/>
      </c>
    </row>
    <row r="2752" customFormat="false" ht="15" hidden="false" customHeight="false" outlineLevel="0" collapsed="false">
      <c r="A2752" s="32"/>
      <c r="B2752" s="19"/>
      <c r="C2752" s="19"/>
      <c r="D2752" s="19"/>
      <c r="E2752" s="21"/>
      <c r="F2752" s="19"/>
      <c r="G2752" s="27" t="str">
        <f aca="false">IF(B2752="","",IFERROR(INDEX(Jeux!$C$2:$C$3001,MATCH(B2752,Jeux!$A$2:$A$3001,0))&amp;"","⚠ jeu inconnu"))</f>
        <v/>
      </c>
      <c r="H2752" s="27" t="str">
        <f aca="false">IF(B2752="","",IFERROR(INDEX(Jeux!$D$2:$D$3001,MATCH(B2752,Jeux!$A$2:$A$3001,0))&amp;"",""))</f>
        <v/>
      </c>
      <c r="I2752" s="26" t="str">
        <f aca="false">IF(A2752="","",COUNTIF(Apparitions!$G$2:$G$5001,A2752))</f>
        <v/>
      </c>
      <c r="J2752" s="26" t="str">
        <f aca="false">IF(A2752="","",COUNTIFS(Apparitions!$G$2:$G$5001,A2752,Apparitions!$E$2:$E$5001,"○"))</f>
        <v/>
      </c>
      <c r="K2752" s="29" t="str">
        <f aca="false">IF(A2752="","",IFERROR(1/(1/_xlfn.MINIFS(Apparitions!$L$2:$L$5001,Apparitions!$G$2:$G$5001,A2752)),""))</f>
        <v/>
      </c>
      <c r="L2752" s="27" t="str">
        <f aca="false">IF(A2752="","",A2752&amp;" | "&amp;B2752&amp;IF(C2752="",""," ("&amp;C2752&amp;")")&amp;IF(D2752="",""," - "&amp;D2752))</f>
        <v/>
      </c>
    </row>
    <row r="2753" customFormat="false" ht="15" hidden="false" customHeight="false" outlineLevel="0" collapsed="false">
      <c r="A2753" s="32"/>
      <c r="B2753" s="19"/>
      <c r="C2753" s="19"/>
      <c r="D2753" s="19"/>
      <c r="E2753" s="21"/>
      <c r="F2753" s="19"/>
      <c r="G2753" s="27" t="str">
        <f aca="false">IF(B2753="","",IFERROR(INDEX(Jeux!$C$2:$C$3001,MATCH(B2753,Jeux!$A$2:$A$3001,0))&amp;"","⚠ jeu inconnu"))</f>
        <v/>
      </c>
      <c r="H2753" s="27" t="str">
        <f aca="false">IF(B2753="","",IFERROR(INDEX(Jeux!$D$2:$D$3001,MATCH(B2753,Jeux!$A$2:$A$3001,0))&amp;"",""))</f>
        <v/>
      </c>
      <c r="I2753" s="26" t="str">
        <f aca="false">IF(A2753="","",COUNTIF(Apparitions!$G$2:$G$5001,A2753))</f>
        <v/>
      </c>
      <c r="J2753" s="26" t="str">
        <f aca="false">IF(A2753="","",COUNTIFS(Apparitions!$G$2:$G$5001,A2753,Apparitions!$E$2:$E$5001,"○"))</f>
        <v/>
      </c>
      <c r="K2753" s="29" t="str">
        <f aca="false">IF(A2753="","",IFERROR(1/(1/_xlfn.MINIFS(Apparitions!$L$2:$L$5001,Apparitions!$G$2:$G$5001,A2753)),""))</f>
        <v/>
      </c>
      <c r="L2753" s="27" t="str">
        <f aca="false">IF(A2753="","",A2753&amp;" | "&amp;B2753&amp;IF(C2753="",""," ("&amp;C2753&amp;")")&amp;IF(D2753="",""," - "&amp;D2753))</f>
        <v/>
      </c>
    </row>
    <row r="2754" customFormat="false" ht="15" hidden="false" customHeight="false" outlineLevel="0" collapsed="false">
      <c r="A2754" s="32"/>
      <c r="B2754" s="19"/>
      <c r="C2754" s="19"/>
      <c r="D2754" s="19"/>
      <c r="E2754" s="21"/>
      <c r="F2754" s="19"/>
      <c r="G2754" s="27" t="str">
        <f aca="false">IF(B2754="","",IFERROR(INDEX(Jeux!$C$2:$C$3001,MATCH(B2754,Jeux!$A$2:$A$3001,0))&amp;"","⚠ jeu inconnu"))</f>
        <v/>
      </c>
      <c r="H2754" s="27" t="str">
        <f aca="false">IF(B2754="","",IFERROR(INDEX(Jeux!$D$2:$D$3001,MATCH(B2754,Jeux!$A$2:$A$3001,0))&amp;"",""))</f>
        <v/>
      </c>
      <c r="I2754" s="26" t="str">
        <f aca="false">IF(A2754="","",COUNTIF(Apparitions!$G$2:$G$5001,A2754))</f>
        <v/>
      </c>
      <c r="J2754" s="26" t="str">
        <f aca="false">IF(A2754="","",COUNTIFS(Apparitions!$G$2:$G$5001,A2754,Apparitions!$E$2:$E$5001,"○"))</f>
        <v/>
      </c>
      <c r="K2754" s="29" t="str">
        <f aca="false">IF(A2754="","",IFERROR(1/(1/_xlfn.MINIFS(Apparitions!$L$2:$L$5001,Apparitions!$G$2:$G$5001,A2754)),""))</f>
        <v/>
      </c>
      <c r="L2754" s="27" t="str">
        <f aca="false">IF(A2754="","",A2754&amp;" | "&amp;B2754&amp;IF(C2754="",""," ("&amp;C2754&amp;")")&amp;IF(D2754="",""," - "&amp;D2754))</f>
        <v/>
      </c>
    </row>
    <row r="2755" customFormat="false" ht="15" hidden="false" customHeight="false" outlineLevel="0" collapsed="false">
      <c r="A2755" s="32"/>
      <c r="B2755" s="19"/>
      <c r="C2755" s="19"/>
      <c r="D2755" s="19"/>
      <c r="E2755" s="21"/>
      <c r="F2755" s="19"/>
      <c r="G2755" s="27" t="str">
        <f aca="false">IF(B2755="","",IFERROR(INDEX(Jeux!$C$2:$C$3001,MATCH(B2755,Jeux!$A$2:$A$3001,0))&amp;"","⚠ jeu inconnu"))</f>
        <v/>
      </c>
      <c r="H2755" s="27" t="str">
        <f aca="false">IF(B2755="","",IFERROR(INDEX(Jeux!$D$2:$D$3001,MATCH(B2755,Jeux!$A$2:$A$3001,0))&amp;"",""))</f>
        <v/>
      </c>
      <c r="I2755" s="26" t="str">
        <f aca="false">IF(A2755="","",COUNTIF(Apparitions!$G$2:$G$5001,A2755))</f>
        <v/>
      </c>
      <c r="J2755" s="26" t="str">
        <f aca="false">IF(A2755="","",COUNTIFS(Apparitions!$G$2:$G$5001,A2755,Apparitions!$E$2:$E$5001,"○"))</f>
        <v/>
      </c>
      <c r="K2755" s="29" t="str">
        <f aca="false">IF(A2755="","",IFERROR(1/(1/_xlfn.MINIFS(Apparitions!$L$2:$L$5001,Apparitions!$G$2:$G$5001,A2755)),""))</f>
        <v/>
      </c>
      <c r="L2755" s="27" t="str">
        <f aca="false">IF(A2755="","",A2755&amp;" | "&amp;B2755&amp;IF(C2755="",""," ("&amp;C2755&amp;")")&amp;IF(D2755="",""," - "&amp;D2755))</f>
        <v/>
      </c>
    </row>
    <row r="2756" customFormat="false" ht="15" hidden="false" customHeight="false" outlineLevel="0" collapsed="false">
      <c r="A2756" s="32"/>
      <c r="B2756" s="19"/>
      <c r="C2756" s="19"/>
      <c r="D2756" s="19"/>
      <c r="E2756" s="21"/>
      <c r="F2756" s="19"/>
      <c r="G2756" s="27" t="str">
        <f aca="false">IF(B2756="","",IFERROR(INDEX(Jeux!$C$2:$C$3001,MATCH(B2756,Jeux!$A$2:$A$3001,0))&amp;"","⚠ jeu inconnu"))</f>
        <v/>
      </c>
      <c r="H2756" s="27" t="str">
        <f aca="false">IF(B2756="","",IFERROR(INDEX(Jeux!$D$2:$D$3001,MATCH(B2756,Jeux!$A$2:$A$3001,0))&amp;"",""))</f>
        <v/>
      </c>
      <c r="I2756" s="26" t="str">
        <f aca="false">IF(A2756="","",COUNTIF(Apparitions!$G$2:$G$5001,A2756))</f>
        <v/>
      </c>
      <c r="J2756" s="26" t="str">
        <f aca="false">IF(A2756="","",COUNTIFS(Apparitions!$G$2:$G$5001,A2756,Apparitions!$E$2:$E$5001,"○"))</f>
        <v/>
      </c>
      <c r="K2756" s="29" t="str">
        <f aca="false">IF(A2756="","",IFERROR(1/(1/_xlfn.MINIFS(Apparitions!$L$2:$L$5001,Apparitions!$G$2:$G$5001,A2756)),""))</f>
        <v/>
      </c>
      <c r="L2756" s="27" t="str">
        <f aca="false">IF(A2756="","",A2756&amp;" | "&amp;B2756&amp;IF(C2756="",""," ("&amp;C2756&amp;")")&amp;IF(D2756="",""," - "&amp;D2756))</f>
        <v/>
      </c>
    </row>
    <row r="2757" customFormat="false" ht="15" hidden="false" customHeight="false" outlineLevel="0" collapsed="false">
      <c r="A2757" s="32"/>
      <c r="B2757" s="19"/>
      <c r="C2757" s="19"/>
      <c r="D2757" s="19"/>
      <c r="E2757" s="21"/>
      <c r="F2757" s="19"/>
      <c r="G2757" s="27" t="str">
        <f aca="false">IF(B2757="","",IFERROR(INDEX(Jeux!$C$2:$C$3001,MATCH(B2757,Jeux!$A$2:$A$3001,0))&amp;"","⚠ jeu inconnu"))</f>
        <v/>
      </c>
      <c r="H2757" s="27" t="str">
        <f aca="false">IF(B2757="","",IFERROR(INDEX(Jeux!$D$2:$D$3001,MATCH(B2757,Jeux!$A$2:$A$3001,0))&amp;"",""))</f>
        <v/>
      </c>
      <c r="I2757" s="26" t="str">
        <f aca="false">IF(A2757="","",COUNTIF(Apparitions!$G$2:$G$5001,A2757))</f>
        <v/>
      </c>
      <c r="J2757" s="26" t="str">
        <f aca="false">IF(A2757="","",COUNTIFS(Apparitions!$G$2:$G$5001,A2757,Apparitions!$E$2:$E$5001,"○"))</f>
        <v/>
      </c>
      <c r="K2757" s="29" t="str">
        <f aca="false">IF(A2757="","",IFERROR(1/(1/_xlfn.MINIFS(Apparitions!$L$2:$L$5001,Apparitions!$G$2:$G$5001,A2757)),""))</f>
        <v/>
      </c>
      <c r="L2757" s="27" t="str">
        <f aca="false">IF(A2757="","",A2757&amp;" | "&amp;B2757&amp;IF(C2757="",""," ("&amp;C2757&amp;")")&amp;IF(D2757="",""," - "&amp;D2757))</f>
        <v/>
      </c>
    </row>
    <row r="2758" customFormat="false" ht="15" hidden="false" customHeight="false" outlineLevel="0" collapsed="false">
      <c r="A2758" s="32"/>
      <c r="B2758" s="19"/>
      <c r="C2758" s="19"/>
      <c r="D2758" s="19"/>
      <c r="E2758" s="21"/>
      <c r="F2758" s="19"/>
      <c r="G2758" s="27" t="str">
        <f aca="false">IF(B2758="","",IFERROR(INDEX(Jeux!$C$2:$C$3001,MATCH(B2758,Jeux!$A$2:$A$3001,0))&amp;"","⚠ jeu inconnu"))</f>
        <v/>
      </c>
      <c r="H2758" s="27" t="str">
        <f aca="false">IF(B2758="","",IFERROR(INDEX(Jeux!$D$2:$D$3001,MATCH(B2758,Jeux!$A$2:$A$3001,0))&amp;"",""))</f>
        <v/>
      </c>
      <c r="I2758" s="26" t="str">
        <f aca="false">IF(A2758="","",COUNTIF(Apparitions!$G$2:$G$5001,A2758))</f>
        <v/>
      </c>
      <c r="J2758" s="26" t="str">
        <f aca="false">IF(A2758="","",COUNTIFS(Apparitions!$G$2:$G$5001,A2758,Apparitions!$E$2:$E$5001,"○"))</f>
        <v/>
      </c>
      <c r="K2758" s="29" t="str">
        <f aca="false">IF(A2758="","",IFERROR(1/(1/_xlfn.MINIFS(Apparitions!$L$2:$L$5001,Apparitions!$G$2:$G$5001,A2758)),""))</f>
        <v/>
      </c>
      <c r="L2758" s="27" t="str">
        <f aca="false">IF(A2758="","",A2758&amp;" | "&amp;B2758&amp;IF(C2758="",""," ("&amp;C2758&amp;")")&amp;IF(D2758="",""," - "&amp;D2758))</f>
        <v/>
      </c>
    </row>
    <row r="2759" customFormat="false" ht="15" hidden="false" customHeight="false" outlineLevel="0" collapsed="false">
      <c r="A2759" s="32"/>
      <c r="B2759" s="19"/>
      <c r="C2759" s="19"/>
      <c r="D2759" s="19"/>
      <c r="E2759" s="21"/>
      <c r="F2759" s="19"/>
      <c r="G2759" s="27" t="str">
        <f aca="false">IF(B2759="","",IFERROR(INDEX(Jeux!$C$2:$C$3001,MATCH(B2759,Jeux!$A$2:$A$3001,0))&amp;"","⚠ jeu inconnu"))</f>
        <v/>
      </c>
      <c r="H2759" s="27" t="str">
        <f aca="false">IF(B2759="","",IFERROR(INDEX(Jeux!$D$2:$D$3001,MATCH(B2759,Jeux!$A$2:$A$3001,0))&amp;"",""))</f>
        <v/>
      </c>
      <c r="I2759" s="26" t="str">
        <f aca="false">IF(A2759="","",COUNTIF(Apparitions!$G$2:$G$5001,A2759))</f>
        <v/>
      </c>
      <c r="J2759" s="26" t="str">
        <f aca="false">IF(A2759="","",COUNTIFS(Apparitions!$G$2:$G$5001,A2759,Apparitions!$E$2:$E$5001,"○"))</f>
        <v/>
      </c>
      <c r="K2759" s="29" t="str">
        <f aca="false">IF(A2759="","",IFERROR(1/(1/_xlfn.MINIFS(Apparitions!$L$2:$L$5001,Apparitions!$G$2:$G$5001,A2759)),""))</f>
        <v/>
      </c>
      <c r="L2759" s="27" t="str">
        <f aca="false">IF(A2759="","",A2759&amp;" | "&amp;B2759&amp;IF(C2759="",""," ("&amp;C2759&amp;")")&amp;IF(D2759="",""," - "&amp;D2759))</f>
        <v/>
      </c>
    </row>
    <row r="2760" customFormat="false" ht="15" hidden="false" customHeight="false" outlineLevel="0" collapsed="false">
      <c r="A2760" s="32"/>
      <c r="B2760" s="19"/>
      <c r="C2760" s="19"/>
      <c r="D2760" s="19"/>
      <c r="E2760" s="21"/>
      <c r="F2760" s="19"/>
      <c r="G2760" s="27" t="str">
        <f aca="false">IF(B2760="","",IFERROR(INDEX(Jeux!$C$2:$C$3001,MATCH(B2760,Jeux!$A$2:$A$3001,0))&amp;"","⚠ jeu inconnu"))</f>
        <v/>
      </c>
      <c r="H2760" s="27" t="str">
        <f aca="false">IF(B2760="","",IFERROR(INDEX(Jeux!$D$2:$D$3001,MATCH(B2760,Jeux!$A$2:$A$3001,0))&amp;"",""))</f>
        <v/>
      </c>
      <c r="I2760" s="26" t="str">
        <f aca="false">IF(A2760="","",COUNTIF(Apparitions!$G$2:$G$5001,A2760))</f>
        <v/>
      </c>
      <c r="J2760" s="26" t="str">
        <f aca="false">IF(A2760="","",COUNTIFS(Apparitions!$G$2:$G$5001,A2760,Apparitions!$E$2:$E$5001,"○"))</f>
        <v/>
      </c>
      <c r="K2760" s="29" t="str">
        <f aca="false">IF(A2760="","",IFERROR(1/(1/_xlfn.MINIFS(Apparitions!$L$2:$L$5001,Apparitions!$G$2:$G$5001,A2760)),""))</f>
        <v/>
      </c>
      <c r="L2760" s="27" t="str">
        <f aca="false">IF(A2760="","",A2760&amp;" | "&amp;B2760&amp;IF(C2760="",""," ("&amp;C2760&amp;")")&amp;IF(D2760="",""," - "&amp;D2760))</f>
        <v/>
      </c>
    </row>
    <row r="2761" customFormat="false" ht="15" hidden="false" customHeight="false" outlineLevel="0" collapsed="false">
      <c r="A2761" s="32"/>
      <c r="B2761" s="19"/>
      <c r="C2761" s="19"/>
      <c r="D2761" s="19"/>
      <c r="E2761" s="21"/>
      <c r="F2761" s="19"/>
      <c r="G2761" s="27" t="str">
        <f aca="false">IF(B2761="","",IFERROR(INDEX(Jeux!$C$2:$C$3001,MATCH(B2761,Jeux!$A$2:$A$3001,0))&amp;"","⚠ jeu inconnu"))</f>
        <v/>
      </c>
      <c r="H2761" s="27" t="str">
        <f aca="false">IF(B2761="","",IFERROR(INDEX(Jeux!$D$2:$D$3001,MATCH(B2761,Jeux!$A$2:$A$3001,0))&amp;"",""))</f>
        <v/>
      </c>
      <c r="I2761" s="26" t="str">
        <f aca="false">IF(A2761="","",COUNTIF(Apparitions!$G$2:$G$5001,A2761))</f>
        <v/>
      </c>
      <c r="J2761" s="26" t="str">
        <f aca="false">IF(A2761="","",COUNTIFS(Apparitions!$G$2:$G$5001,A2761,Apparitions!$E$2:$E$5001,"○"))</f>
        <v/>
      </c>
      <c r="K2761" s="29" t="str">
        <f aca="false">IF(A2761="","",IFERROR(1/(1/_xlfn.MINIFS(Apparitions!$L$2:$L$5001,Apparitions!$G$2:$G$5001,A2761)),""))</f>
        <v/>
      </c>
      <c r="L2761" s="27" t="str">
        <f aca="false">IF(A2761="","",A2761&amp;" | "&amp;B2761&amp;IF(C2761="",""," ("&amp;C2761&amp;")")&amp;IF(D2761="",""," - "&amp;D2761))</f>
        <v/>
      </c>
    </row>
    <row r="2762" customFormat="false" ht="15" hidden="false" customHeight="false" outlineLevel="0" collapsed="false">
      <c r="A2762" s="32"/>
      <c r="B2762" s="19"/>
      <c r="C2762" s="19"/>
      <c r="D2762" s="19"/>
      <c r="E2762" s="21"/>
      <c r="F2762" s="19"/>
      <c r="G2762" s="27" t="str">
        <f aca="false">IF(B2762="","",IFERROR(INDEX(Jeux!$C$2:$C$3001,MATCH(B2762,Jeux!$A$2:$A$3001,0))&amp;"","⚠ jeu inconnu"))</f>
        <v/>
      </c>
      <c r="H2762" s="27" t="str">
        <f aca="false">IF(B2762="","",IFERROR(INDEX(Jeux!$D$2:$D$3001,MATCH(B2762,Jeux!$A$2:$A$3001,0))&amp;"",""))</f>
        <v/>
      </c>
      <c r="I2762" s="26" t="str">
        <f aca="false">IF(A2762="","",COUNTIF(Apparitions!$G$2:$G$5001,A2762))</f>
        <v/>
      </c>
      <c r="J2762" s="26" t="str">
        <f aca="false">IF(A2762="","",COUNTIFS(Apparitions!$G$2:$G$5001,A2762,Apparitions!$E$2:$E$5001,"○"))</f>
        <v/>
      </c>
      <c r="K2762" s="29" t="str">
        <f aca="false">IF(A2762="","",IFERROR(1/(1/_xlfn.MINIFS(Apparitions!$L$2:$L$5001,Apparitions!$G$2:$G$5001,A2762)),""))</f>
        <v/>
      </c>
      <c r="L2762" s="27" t="str">
        <f aca="false">IF(A2762="","",A2762&amp;" | "&amp;B2762&amp;IF(C2762="",""," ("&amp;C2762&amp;")")&amp;IF(D2762="",""," - "&amp;D2762))</f>
        <v/>
      </c>
    </row>
    <row r="2763" customFormat="false" ht="15" hidden="false" customHeight="false" outlineLevel="0" collapsed="false">
      <c r="A2763" s="32"/>
      <c r="B2763" s="19"/>
      <c r="C2763" s="19"/>
      <c r="D2763" s="19"/>
      <c r="E2763" s="21"/>
      <c r="F2763" s="19"/>
      <c r="G2763" s="27" t="str">
        <f aca="false">IF(B2763="","",IFERROR(INDEX(Jeux!$C$2:$C$3001,MATCH(B2763,Jeux!$A$2:$A$3001,0))&amp;"","⚠ jeu inconnu"))</f>
        <v/>
      </c>
      <c r="H2763" s="27" t="str">
        <f aca="false">IF(B2763="","",IFERROR(INDEX(Jeux!$D$2:$D$3001,MATCH(B2763,Jeux!$A$2:$A$3001,0))&amp;"",""))</f>
        <v/>
      </c>
      <c r="I2763" s="26" t="str">
        <f aca="false">IF(A2763="","",COUNTIF(Apparitions!$G$2:$G$5001,A2763))</f>
        <v/>
      </c>
      <c r="J2763" s="26" t="str">
        <f aca="false">IF(A2763="","",COUNTIFS(Apparitions!$G$2:$G$5001,A2763,Apparitions!$E$2:$E$5001,"○"))</f>
        <v/>
      </c>
      <c r="K2763" s="29" t="str">
        <f aca="false">IF(A2763="","",IFERROR(1/(1/_xlfn.MINIFS(Apparitions!$L$2:$L$5001,Apparitions!$G$2:$G$5001,A2763)),""))</f>
        <v/>
      </c>
      <c r="L2763" s="27" t="str">
        <f aca="false">IF(A2763="","",A2763&amp;" | "&amp;B2763&amp;IF(C2763="",""," ("&amp;C2763&amp;")")&amp;IF(D2763="",""," - "&amp;D2763))</f>
        <v/>
      </c>
    </row>
    <row r="2764" customFormat="false" ht="15" hidden="false" customHeight="false" outlineLevel="0" collapsed="false">
      <c r="A2764" s="32"/>
      <c r="B2764" s="19"/>
      <c r="C2764" s="19"/>
      <c r="D2764" s="19"/>
      <c r="E2764" s="21"/>
      <c r="F2764" s="19"/>
      <c r="G2764" s="27" t="str">
        <f aca="false">IF(B2764="","",IFERROR(INDEX(Jeux!$C$2:$C$3001,MATCH(B2764,Jeux!$A$2:$A$3001,0))&amp;"","⚠ jeu inconnu"))</f>
        <v/>
      </c>
      <c r="H2764" s="27" t="str">
        <f aca="false">IF(B2764="","",IFERROR(INDEX(Jeux!$D$2:$D$3001,MATCH(B2764,Jeux!$A$2:$A$3001,0))&amp;"",""))</f>
        <v/>
      </c>
      <c r="I2764" s="26" t="str">
        <f aca="false">IF(A2764="","",COUNTIF(Apparitions!$G$2:$G$5001,A2764))</f>
        <v/>
      </c>
      <c r="J2764" s="26" t="str">
        <f aca="false">IF(A2764="","",COUNTIFS(Apparitions!$G$2:$G$5001,A2764,Apparitions!$E$2:$E$5001,"○"))</f>
        <v/>
      </c>
      <c r="K2764" s="29" t="str">
        <f aca="false">IF(A2764="","",IFERROR(1/(1/_xlfn.MINIFS(Apparitions!$L$2:$L$5001,Apparitions!$G$2:$G$5001,A2764)),""))</f>
        <v/>
      </c>
      <c r="L2764" s="27" t="str">
        <f aca="false">IF(A2764="","",A2764&amp;" | "&amp;B2764&amp;IF(C2764="",""," ("&amp;C2764&amp;")")&amp;IF(D2764="",""," - "&amp;D2764))</f>
        <v/>
      </c>
    </row>
    <row r="2765" customFormat="false" ht="15" hidden="false" customHeight="false" outlineLevel="0" collapsed="false">
      <c r="A2765" s="32"/>
      <c r="B2765" s="19"/>
      <c r="C2765" s="19"/>
      <c r="D2765" s="19"/>
      <c r="E2765" s="21"/>
      <c r="F2765" s="19"/>
      <c r="G2765" s="27" t="str">
        <f aca="false">IF(B2765="","",IFERROR(INDEX(Jeux!$C$2:$C$3001,MATCH(B2765,Jeux!$A$2:$A$3001,0))&amp;"","⚠ jeu inconnu"))</f>
        <v/>
      </c>
      <c r="H2765" s="27" t="str">
        <f aca="false">IF(B2765="","",IFERROR(INDEX(Jeux!$D$2:$D$3001,MATCH(B2765,Jeux!$A$2:$A$3001,0))&amp;"",""))</f>
        <v/>
      </c>
      <c r="I2765" s="26" t="str">
        <f aca="false">IF(A2765="","",COUNTIF(Apparitions!$G$2:$G$5001,A2765))</f>
        <v/>
      </c>
      <c r="J2765" s="26" t="str">
        <f aca="false">IF(A2765="","",COUNTIFS(Apparitions!$G$2:$G$5001,A2765,Apparitions!$E$2:$E$5001,"○"))</f>
        <v/>
      </c>
      <c r="K2765" s="29" t="str">
        <f aca="false">IF(A2765="","",IFERROR(1/(1/_xlfn.MINIFS(Apparitions!$L$2:$L$5001,Apparitions!$G$2:$G$5001,A2765)),""))</f>
        <v/>
      </c>
      <c r="L2765" s="27" t="str">
        <f aca="false">IF(A2765="","",A2765&amp;" | "&amp;B2765&amp;IF(C2765="",""," ("&amp;C2765&amp;")")&amp;IF(D2765="",""," - "&amp;D2765))</f>
        <v/>
      </c>
    </row>
    <row r="2766" customFormat="false" ht="15" hidden="false" customHeight="false" outlineLevel="0" collapsed="false">
      <c r="A2766" s="32"/>
      <c r="B2766" s="19"/>
      <c r="C2766" s="19"/>
      <c r="D2766" s="19"/>
      <c r="E2766" s="21"/>
      <c r="F2766" s="19"/>
      <c r="G2766" s="27" t="str">
        <f aca="false">IF(B2766="","",IFERROR(INDEX(Jeux!$C$2:$C$3001,MATCH(B2766,Jeux!$A$2:$A$3001,0))&amp;"","⚠ jeu inconnu"))</f>
        <v/>
      </c>
      <c r="H2766" s="27" t="str">
        <f aca="false">IF(B2766="","",IFERROR(INDEX(Jeux!$D$2:$D$3001,MATCH(B2766,Jeux!$A$2:$A$3001,0))&amp;"",""))</f>
        <v/>
      </c>
      <c r="I2766" s="26" t="str">
        <f aca="false">IF(A2766="","",COUNTIF(Apparitions!$G$2:$G$5001,A2766))</f>
        <v/>
      </c>
      <c r="J2766" s="26" t="str">
        <f aca="false">IF(A2766="","",COUNTIFS(Apparitions!$G$2:$G$5001,A2766,Apparitions!$E$2:$E$5001,"○"))</f>
        <v/>
      </c>
      <c r="K2766" s="29" t="str">
        <f aca="false">IF(A2766="","",IFERROR(1/(1/_xlfn.MINIFS(Apparitions!$L$2:$L$5001,Apparitions!$G$2:$G$5001,A2766)),""))</f>
        <v/>
      </c>
      <c r="L2766" s="27" t="str">
        <f aca="false">IF(A2766="","",A2766&amp;" | "&amp;B2766&amp;IF(C2766="",""," ("&amp;C2766&amp;")")&amp;IF(D2766="",""," - "&amp;D2766))</f>
        <v/>
      </c>
    </row>
    <row r="2767" customFormat="false" ht="15" hidden="false" customHeight="false" outlineLevel="0" collapsed="false">
      <c r="A2767" s="32"/>
      <c r="B2767" s="19"/>
      <c r="C2767" s="19"/>
      <c r="D2767" s="19"/>
      <c r="E2767" s="21"/>
      <c r="F2767" s="19"/>
      <c r="G2767" s="27" t="str">
        <f aca="false">IF(B2767="","",IFERROR(INDEX(Jeux!$C$2:$C$3001,MATCH(B2767,Jeux!$A$2:$A$3001,0))&amp;"","⚠ jeu inconnu"))</f>
        <v/>
      </c>
      <c r="H2767" s="27" t="str">
        <f aca="false">IF(B2767="","",IFERROR(INDEX(Jeux!$D$2:$D$3001,MATCH(B2767,Jeux!$A$2:$A$3001,0))&amp;"",""))</f>
        <v/>
      </c>
      <c r="I2767" s="26" t="str">
        <f aca="false">IF(A2767="","",COUNTIF(Apparitions!$G$2:$G$5001,A2767))</f>
        <v/>
      </c>
      <c r="J2767" s="26" t="str">
        <f aca="false">IF(A2767="","",COUNTIFS(Apparitions!$G$2:$G$5001,A2767,Apparitions!$E$2:$E$5001,"○"))</f>
        <v/>
      </c>
      <c r="K2767" s="29" t="str">
        <f aca="false">IF(A2767="","",IFERROR(1/(1/_xlfn.MINIFS(Apparitions!$L$2:$L$5001,Apparitions!$G$2:$G$5001,A2767)),""))</f>
        <v/>
      </c>
      <c r="L2767" s="27" t="str">
        <f aca="false">IF(A2767="","",A2767&amp;" | "&amp;B2767&amp;IF(C2767="",""," ("&amp;C2767&amp;")")&amp;IF(D2767="",""," - "&amp;D2767))</f>
        <v/>
      </c>
    </row>
    <row r="2768" customFormat="false" ht="15" hidden="false" customHeight="false" outlineLevel="0" collapsed="false">
      <c r="A2768" s="32"/>
      <c r="B2768" s="19"/>
      <c r="C2768" s="19"/>
      <c r="D2768" s="19"/>
      <c r="E2768" s="21"/>
      <c r="F2768" s="19"/>
      <c r="G2768" s="27" t="str">
        <f aca="false">IF(B2768="","",IFERROR(INDEX(Jeux!$C$2:$C$3001,MATCH(B2768,Jeux!$A$2:$A$3001,0))&amp;"","⚠ jeu inconnu"))</f>
        <v/>
      </c>
      <c r="H2768" s="27" t="str">
        <f aca="false">IF(B2768="","",IFERROR(INDEX(Jeux!$D$2:$D$3001,MATCH(B2768,Jeux!$A$2:$A$3001,0))&amp;"",""))</f>
        <v/>
      </c>
      <c r="I2768" s="26" t="str">
        <f aca="false">IF(A2768="","",COUNTIF(Apparitions!$G$2:$G$5001,A2768))</f>
        <v/>
      </c>
      <c r="J2768" s="26" t="str">
        <f aca="false">IF(A2768="","",COUNTIFS(Apparitions!$G$2:$G$5001,A2768,Apparitions!$E$2:$E$5001,"○"))</f>
        <v/>
      </c>
      <c r="K2768" s="29" t="str">
        <f aca="false">IF(A2768="","",IFERROR(1/(1/_xlfn.MINIFS(Apparitions!$L$2:$L$5001,Apparitions!$G$2:$G$5001,A2768)),""))</f>
        <v/>
      </c>
      <c r="L2768" s="27" t="str">
        <f aca="false">IF(A2768="","",A2768&amp;" | "&amp;B2768&amp;IF(C2768="",""," ("&amp;C2768&amp;")")&amp;IF(D2768="",""," - "&amp;D2768))</f>
        <v/>
      </c>
    </row>
    <row r="2769" customFormat="false" ht="15" hidden="false" customHeight="false" outlineLevel="0" collapsed="false">
      <c r="A2769" s="32"/>
      <c r="B2769" s="19"/>
      <c r="C2769" s="19"/>
      <c r="D2769" s="19"/>
      <c r="E2769" s="21"/>
      <c r="F2769" s="19"/>
      <c r="G2769" s="27" t="str">
        <f aca="false">IF(B2769="","",IFERROR(INDEX(Jeux!$C$2:$C$3001,MATCH(B2769,Jeux!$A$2:$A$3001,0))&amp;"","⚠ jeu inconnu"))</f>
        <v/>
      </c>
      <c r="H2769" s="27" t="str">
        <f aca="false">IF(B2769="","",IFERROR(INDEX(Jeux!$D$2:$D$3001,MATCH(B2769,Jeux!$A$2:$A$3001,0))&amp;"",""))</f>
        <v/>
      </c>
      <c r="I2769" s="26" t="str">
        <f aca="false">IF(A2769="","",COUNTIF(Apparitions!$G$2:$G$5001,A2769))</f>
        <v/>
      </c>
      <c r="J2769" s="26" t="str">
        <f aca="false">IF(A2769="","",COUNTIFS(Apparitions!$G$2:$G$5001,A2769,Apparitions!$E$2:$E$5001,"○"))</f>
        <v/>
      </c>
      <c r="K2769" s="29" t="str">
        <f aca="false">IF(A2769="","",IFERROR(1/(1/_xlfn.MINIFS(Apparitions!$L$2:$L$5001,Apparitions!$G$2:$G$5001,A2769)),""))</f>
        <v/>
      </c>
      <c r="L2769" s="27" t="str">
        <f aca="false">IF(A2769="","",A2769&amp;" | "&amp;B2769&amp;IF(C2769="",""," ("&amp;C2769&amp;")")&amp;IF(D2769="",""," - "&amp;D2769))</f>
        <v/>
      </c>
    </row>
    <row r="2770" customFormat="false" ht="15" hidden="false" customHeight="false" outlineLevel="0" collapsed="false">
      <c r="A2770" s="32"/>
      <c r="B2770" s="19"/>
      <c r="C2770" s="19"/>
      <c r="D2770" s="19"/>
      <c r="E2770" s="21"/>
      <c r="F2770" s="19"/>
      <c r="G2770" s="27" t="str">
        <f aca="false">IF(B2770="","",IFERROR(INDEX(Jeux!$C$2:$C$3001,MATCH(B2770,Jeux!$A$2:$A$3001,0))&amp;"","⚠ jeu inconnu"))</f>
        <v/>
      </c>
      <c r="H2770" s="27" t="str">
        <f aca="false">IF(B2770="","",IFERROR(INDEX(Jeux!$D$2:$D$3001,MATCH(B2770,Jeux!$A$2:$A$3001,0))&amp;"",""))</f>
        <v/>
      </c>
      <c r="I2770" s="26" t="str">
        <f aca="false">IF(A2770="","",COUNTIF(Apparitions!$G$2:$G$5001,A2770))</f>
        <v/>
      </c>
      <c r="J2770" s="26" t="str">
        <f aca="false">IF(A2770="","",COUNTIFS(Apparitions!$G$2:$G$5001,A2770,Apparitions!$E$2:$E$5001,"○"))</f>
        <v/>
      </c>
      <c r="K2770" s="29" t="str">
        <f aca="false">IF(A2770="","",IFERROR(1/(1/_xlfn.MINIFS(Apparitions!$L$2:$L$5001,Apparitions!$G$2:$G$5001,A2770)),""))</f>
        <v/>
      </c>
      <c r="L2770" s="27" t="str">
        <f aca="false">IF(A2770="","",A2770&amp;" | "&amp;B2770&amp;IF(C2770="",""," ("&amp;C2770&amp;")")&amp;IF(D2770="",""," - "&amp;D2770))</f>
        <v/>
      </c>
    </row>
    <row r="2771" customFormat="false" ht="15" hidden="false" customHeight="false" outlineLevel="0" collapsed="false">
      <c r="A2771" s="32"/>
      <c r="B2771" s="19"/>
      <c r="C2771" s="19"/>
      <c r="D2771" s="19"/>
      <c r="E2771" s="21"/>
      <c r="F2771" s="19"/>
      <c r="G2771" s="27" t="str">
        <f aca="false">IF(B2771="","",IFERROR(INDEX(Jeux!$C$2:$C$3001,MATCH(B2771,Jeux!$A$2:$A$3001,0))&amp;"","⚠ jeu inconnu"))</f>
        <v/>
      </c>
      <c r="H2771" s="27" t="str">
        <f aca="false">IF(B2771="","",IFERROR(INDEX(Jeux!$D$2:$D$3001,MATCH(B2771,Jeux!$A$2:$A$3001,0))&amp;"",""))</f>
        <v/>
      </c>
      <c r="I2771" s="26" t="str">
        <f aca="false">IF(A2771="","",COUNTIF(Apparitions!$G$2:$G$5001,A2771))</f>
        <v/>
      </c>
      <c r="J2771" s="26" t="str">
        <f aca="false">IF(A2771="","",COUNTIFS(Apparitions!$G$2:$G$5001,A2771,Apparitions!$E$2:$E$5001,"○"))</f>
        <v/>
      </c>
      <c r="K2771" s="29" t="str">
        <f aca="false">IF(A2771="","",IFERROR(1/(1/_xlfn.MINIFS(Apparitions!$L$2:$L$5001,Apparitions!$G$2:$G$5001,A2771)),""))</f>
        <v/>
      </c>
      <c r="L2771" s="27" t="str">
        <f aca="false">IF(A2771="","",A2771&amp;" | "&amp;B2771&amp;IF(C2771="",""," ("&amp;C2771&amp;")")&amp;IF(D2771="",""," - "&amp;D2771))</f>
        <v/>
      </c>
    </row>
    <row r="2772" customFormat="false" ht="15" hidden="false" customHeight="false" outlineLevel="0" collapsed="false">
      <c r="A2772" s="32"/>
      <c r="B2772" s="19"/>
      <c r="C2772" s="19"/>
      <c r="D2772" s="19"/>
      <c r="E2772" s="21"/>
      <c r="F2772" s="19"/>
      <c r="G2772" s="27" t="str">
        <f aca="false">IF(B2772="","",IFERROR(INDEX(Jeux!$C$2:$C$3001,MATCH(B2772,Jeux!$A$2:$A$3001,0))&amp;"","⚠ jeu inconnu"))</f>
        <v/>
      </c>
      <c r="H2772" s="27" t="str">
        <f aca="false">IF(B2772="","",IFERROR(INDEX(Jeux!$D$2:$D$3001,MATCH(B2772,Jeux!$A$2:$A$3001,0))&amp;"",""))</f>
        <v/>
      </c>
      <c r="I2772" s="26" t="str">
        <f aca="false">IF(A2772="","",COUNTIF(Apparitions!$G$2:$G$5001,A2772))</f>
        <v/>
      </c>
      <c r="J2772" s="26" t="str">
        <f aca="false">IF(A2772="","",COUNTIFS(Apparitions!$G$2:$G$5001,A2772,Apparitions!$E$2:$E$5001,"○"))</f>
        <v/>
      </c>
      <c r="K2772" s="29" t="str">
        <f aca="false">IF(A2772="","",IFERROR(1/(1/_xlfn.MINIFS(Apparitions!$L$2:$L$5001,Apparitions!$G$2:$G$5001,A2772)),""))</f>
        <v/>
      </c>
      <c r="L2772" s="27" t="str">
        <f aca="false">IF(A2772="","",A2772&amp;" | "&amp;B2772&amp;IF(C2772="",""," ("&amp;C2772&amp;")")&amp;IF(D2772="",""," - "&amp;D2772))</f>
        <v/>
      </c>
    </row>
    <row r="2773" customFormat="false" ht="15" hidden="false" customHeight="false" outlineLevel="0" collapsed="false">
      <c r="A2773" s="32"/>
      <c r="B2773" s="19"/>
      <c r="C2773" s="19"/>
      <c r="D2773" s="19"/>
      <c r="E2773" s="21"/>
      <c r="F2773" s="19"/>
      <c r="G2773" s="27" t="str">
        <f aca="false">IF(B2773="","",IFERROR(INDEX(Jeux!$C$2:$C$3001,MATCH(B2773,Jeux!$A$2:$A$3001,0))&amp;"","⚠ jeu inconnu"))</f>
        <v/>
      </c>
      <c r="H2773" s="27" t="str">
        <f aca="false">IF(B2773="","",IFERROR(INDEX(Jeux!$D$2:$D$3001,MATCH(B2773,Jeux!$A$2:$A$3001,0))&amp;"",""))</f>
        <v/>
      </c>
      <c r="I2773" s="26" t="str">
        <f aca="false">IF(A2773="","",COUNTIF(Apparitions!$G$2:$G$5001,A2773))</f>
        <v/>
      </c>
      <c r="J2773" s="26" t="str">
        <f aca="false">IF(A2773="","",COUNTIFS(Apparitions!$G$2:$G$5001,A2773,Apparitions!$E$2:$E$5001,"○"))</f>
        <v/>
      </c>
      <c r="K2773" s="29" t="str">
        <f aca="false">IF(A2773="","",IFERROR(1/(1/_xlfn.MINIFS(Apparitions!$L$2:$L$5001,Apparitions!$G$2:$G$5001,A2773)),""))</f>
        <v/>
      </c>
      <c r="L2773" s="27" t="str">
        <f aca="false">IF(A2773="","",A2773&amp;" | "&amp;B2773&amp;IF(C2773="",""," ("&amp;C2773&amp;")")&amp;IF(D2773="",""," - "&amp;D2773))</f>
        <v/>
      </c>
    </row>
    <row r="2774" customFormat="false" ht="15" hidden="false" customHeight="false" outlineLevel="0" collapsed="false">
      <c r="A2774" s="32"/>
      <c r="B2774" s="19"/>
      <c r="C2774" s="19"/>
      <c r="D2774" s="19"/>
      <c r="E2774" s="21"/>
      <c r="F2774" s="19"/>
      <c r="G2774" s="27" t="str">
        <f aca="false">IF(B2774="","",IFERROR(INDEX(Jeux!$C$2:$C$3001,MATCH(B2774,Jeux!$A$2:$A$3001,0))&amp;"","⚠ jeu inconnu"))</f>
        <v/>
      </c>
      <c r="H2774" s="27" t="str">
        <f aca="false">IF(B2774="","",IFERROR(INDEX(Jeux!$D$2:$D$3001,MATCH(B2774,Jeux!$A$2:$A$3001,0))&amp;"",""))</f>
        <v/>
      </c>
      <c r="I2774" s="26" t="str">
        <f aca="false">IF(A2774="","",COUNTIF(Apparitions!$G$2:$G$5001,A2774))</f>
        <v/>
      </c>
      <c r="J2774" s="26" t="str">
        <f aca="false">IF(A2774="","",COUNTIFS(Apparitions!$G$2:$G$5001,A2774,Apparitions!$E$2:$E$5001,"○"))</f>
        <v/>
      </c>
      <c r="K2774" s="29" t="str">
        <f aca="false">IF(A2774="","",IFERROR(1/(1/_xlfn.MINIFS(Apparitions!$L$2:$L$5001,Apparitions!$G$2:$G$5001,A2774)),""))</f>
        <v/>
      </c>
      <c r="L2774" s="27" t="str">
        <f aca="false">IF(A2774="","",A2774&amp;" | "&amp;B2774&amp;IF(C2774="",""," ("&amp;C2774&amp;")")&amp;IF(D2774="",""," - "&amp;D2774))</f>
        <v/>
      </c>
    </row>
    <row r="2775" customFormat="false" ht="15" hidden="false" customHeight="false" outlineLevel="0" collapsed="false">
      <c r="A2775" s="32"/>
      <c r="B2775" s="19"/>
      <c r="C2775" s="19"/>
      <c r="D2775" s="19"/>
      <c r="E2775" s="21"/>
      <c r="F2775" s="19"/>
      <c r="G2775" s="27" t="str">
        <f aca="false">IF(B2775="","",IFERROR(INDEX(Jeux!$C$2:$C$3001,MATCH(B2775,Jeux!$A$2:$A$3001,0))&amp;"","⚠ jeu inconnu"))</f>
        <v/>
      </c>
      <c r="H2775" s="27" t="str">
        <f aca="false">IF(B2775="","",IFERROR(INDEX(Jeux!$D$2:$D$3001,MATCH(B2775,Jeux!$A$2:$A$3001,0))&amp;"",""))</f>
        <v/>
      </c>
      <c r="I2775" s="26" t="str">
        <f aca="false">IF(A2775="","",COUNTIF(Apparitions!$G$2:$G$5001,A2775))</f>
        <v/>
      </c>
      <c r="J2775" s="26" t="str">
        <f aca="false">IF(A2775="","",COUNTIFS(Apparitions!$G$2:$G$5001,A2775,Apparitions!$E$2:$E$5001,"○"))</f>
        <v/>
      </c>
      <c r="K2775" s="29" t="str">
        <f aca="false">IF(A2775="","",IFERROR(1/(1/_xlfn.MINIFS(Apparitions!$L$2:$L$5001,Apparitions!$G$2:$G$5001,A2775)),""))</f>
        <v/>
      </c>
      <c r="L2775" s="27" t="str">
        <f aca="false">IF(A2775="","",A2775&amp;" | "&amp;B2775&amp;IF(C2775="",""," ("&amp;C2775&amp;")")&amp;IF(D2775="",""," - "&amp;D2775))</f>
        <v/>
      </c>
    </row>
    <row r="2776" customFormat="false" ht="15" hidden="false" customHeight="false" outlineLevel="0" collapsed="false">
      <c r="A2776" s="32"/>
      <c r="B2776" s="19"/>
      <c r="C2776" s="19"/>
      <c r="D2776" s="19"/>
      <c r="E2776" s="21"/>
      <c r="F2776" s="19"/>
      <c r="G2776" s="27" t="str">
        <f aca="false">IF(B2776="","",IFERROR(INDEX(Jeux!$C$2:$C$3001,MATCH(B2776,Jeux!$A$2:$A$3001,0))&amp;"","⚠ jeu inconnu"))</f>
        <v/>
      </c>
      <c r="H2776" s="27" t="str">
        <f aca="false">IF(B2776="","",IFERROR(INDEX(Jeux!$D$2:$D$3001,MATCH(B2776,Jeux!$A$2:$A$3001,0))&amp;"",""))</f>
        <v/>
      </c>
      <c r="I2776" s="26" t="str">
        <f aca="false">IF(A2776="","",COUNTIF(Apparitions!$G$2:$G$5001,A2776))</f>
        <v/>
      </c>
      <c r="J2776" s="26" t="str">
        <f aca="false">IF(A2776="","",COUNTIFS(Apparitions!$G$2:$G$5001,A2776,Apparitions!$E$2:$E$5001,"○"))</f>
        <v/>
      </c>
      <c r="K2776" s="29" t="str">
        <f aca="false">IF(A2776="","",IFERROR(1/(1/_xlfn.MINIFS(Apparitions!$L$2:$L$5001,Apparitions!$G$2:$G$5001,A2776)),""))</f>
        <v/>
      </c>
      <c r="L2776" s="27" t="str">
        <f aca="false">IF(A2776="","",A2776&amp;" | "&amp;B2776&amp;IF(C2776="",""," ("&amp;C2776&amp;")")&amp;IF(D2776="",""," - "&amp;D2776))</f>
        <v/>
      </c>
    </row>
    <row r="2777" customFormat="false" ht="15" hidden="false" customHeight="false" outlineLevel="0" collapsed="false">
      <c r="A2777" s="32"/>
      <c r="B2777" s="19"/>
      <c r="C2777" s="19"/>
      <c r="D2777" s="19"/>
      <c r="E2777" s="21"/>
      <c r="F2777" s="19"/>
      <c r="G2777" s="27" t="str">
        <f aca="false">IF(B2777="","",IFERROR(INDEX(Jeux!$C$2:$C$3001,MATCH(B2777,Jeux!$A$2:$A$3001,0))&amp;"","⚠ jeu inconnu"))</f>
        <v/>
      </c>
      <c r="H2777" s="27" t="str">
        <f aca="false">IF(B2777="","",IFERROR(INDEX(Jeux!$D$2:$D$3001,MATCH(B2777,Jeux!$A$2:$A$3001,0))&amp;"",""))</f>
        <v/>
      </c>
      <c r="I2777" s="26" t="str">
        <f aca="false">IF(A2777="","",COUNTIF(Apparitions!$G$2:$G$5001,A2777))</f>
        <v/>
      </c>
      <c r="J2777" s="26" t="str">
        <f aca="false">IF(A2777="","",COUNTIFS(Apparitions!$G$2:$G$5001,A2777,Apparitions!$E$2:$E$5001,"○"))</f>
        <v/>
      </c>
      <c r="K2777" s="29" t="str">
        <f aca="false">IF(A2777="","",IFERROR(1/(1/_xlfn.MINIFS(Apparitions!$L$2:$L$5001,Apparitions!$G$2:$G$5001,A2777)),""))</f>
        <v/>
      </c>
      <c r="L2777" s="27" t="str">
        <f aca="false">IF(A2777="","",A2777&amp;" | "&amp;B2777&amp;IF(C2777="",""," ("&amp;C2777&amp;")")&amp;IF(D2777="",""," - "&amp;D2777))</f>
        <v/>
      </c>
    </row>
    <row r="2778" customFormat="false" ht="15" hidden="false" customHeight="false" outlineLevel="0" collapsed="false">
      <c r="A2778" s="32"/>
      <c r="B2778" s="19"/>
      <c r="C2778" s="19"/>
      <c r="D2778" s="19"/>
      <c r="E2778" s="21"/>
      <c r="F2778" s="19"/>
      <c r="G2778" s="27" t="str">
        <f aca="false">IF(B2778="","",IFERROR(INDEX(Jeux!$C$2:$C$3001,MATCH(B2778,Jeux!$A$2:$A$3001,0))&amp;"","⚠ jeu inconnu"))</f>
        <v/>
      </c>
      <c r="H2778" s="27" t="str">
        <f aca="false">IF(B2778="","",IFERROR(INDEX(Jeux!$D$2:$D$3001,MATCH(B2778,Jeux!$A$2:$A$3001,0))&amp;"",""))</f>
        <v/>
      </c>
      <c r="I2778" s="26" t="str">
        <f aca="false">IF(A2778="","",COUNTIF(Apparitions!$G$2:$G$5001,A2778))</f>
        <v/>
      </c>
      <c r="J2778" s="26" t="str">
        <f aca="false">IF(A2778="","",COUNTIFS(Apparitions!$G$2:$G$5001,A2778,Apparitions!$E$2:$E$5001,"○"))</f>
        <v/>
      </c>
      <c r="K2778" s="29" t="str">
        <f aca="false">IF(A2778="","",IFERROR(1/(1/_xlfn.MINIFS(Apparitions!$L$2:$L$5001,Apparitions!$G$2:$G$5001,A2778)),""))</f>
        <v/>
      </c>
      <c r="L2778" s="27" t="str">
        <f aca="false">IF(A2778="","",A2778&amp;" | "&amp;B2778&amp;IF(C2778="",""," ("&amp;C2778&amp;")")&amp;IF(D2778="",""," - "&amp;D2778))</f>
        <v/>
      </c>
    </row>
    <row r="2779" customFormat="false" ht="15" hidden="false" customHeight="false" outlineLevel="0" collapsed="false">
      <c r="A2779" s="32"/>
      <c r="B2779" s="19"/>
      <c r="C2779" s="19"/>
      <c r="D2779" s="19"/>
      <c r="E2779" s="21"/>
      <c r="F2779" s="19"/>
      <c r="G2779" s="27" t="str">
        <f aca="false">IF(B2779="","",IFERROR(INDEX(Jeux!$C$2:$C$3001,MATCH(B2779,Jeux!$A$2:$A$3001,0))&amp;"","⚠ jeu inconnu"))</f>
        <v/>
      </c>
      <c r="H2779" s="27" t="str">
        <f aca="false">IF(B2779="","",IFERROR(INDEX(Jeux!$D$2:$D$3001,MATCH(B2779,Jeux!$A$2:$A$3001,0))&amp;"",""))</f>
        <v/>
      </c>
      <c r="I2779" s="26" t="str">
        <f aca="false">IF(A2779="","",COUNTIF(Apparitions!$G$2:$G$5001,A2779))</f>
        <v/>
      </c>
      <c r="J2779" s="26" t="str">
        <f aca="false">IF(A2779="","",COUNTIFS(Apparitions!$G$2:$G$5001,A2779,Apparitions!$E$2:$E$5001,"○"))</f>
        <v/>
      </c>
      <c r="K2779" s="29" t="str">
        <f aca="false">IF(A2779="","",IFERROR(1/(1/_xlfn.MINIFS(Apparitions!$L$2:$L$5001,Apparitions!$G$2:$G$5001,A2779)),""))</f>
        <v/>
      </c>
      <c r="L2779" s="27" t="str">
        <f aca="false">IF(A2779="","",A2779&amp;" | "&amp;B2779&amp;IF(C2779="",""," ("&amp;C2779&amp;")")&amp;IF(D2779="",""," - "&amp;D2779))</f>
        <v/>
      </c>
    </row>
    <row r="2780" customFormat="false" ht="15" hidden="false" customHeight="false" outlineLevel="0" collapsed="false">
      <c r="A2780" s="32"/>
      <c r="B2780" s="19"/>
      <c r="C2780" s="19"/>
      <c r="D2780" s="19"/>
      <c r="E2780" s="21"/>
      <c r="F2780" s="19"/>
      <c r="G2780" s="27" t="str">
        <f aca="false">IF(B2780="","",IFERROR(INDEX(Jeux!$C$2:$C$3001,MATCH(B2780,Jeux!$A$2:$A$3001,0))&amp;"","⚠ jeu inconnu"))</f>
        <v/>
      </c>
      <c r="H2780" s="27" t="str">
        <f aca="false">IF(B2780="","",IFERROR(INDEX(Jeux!$D$2:$D$3001,MATCH(B2780,Jeux!$A$2:$A$3001,0))&amp;"",""))</f>
        <v/>
      </c>
      <c r="I2780" s="26" t="str">
        <f aca="false">IF(A2780="","",COUNTIF(Apparitions!$G$2:$G$5001,A2780))</f>
        <v/>
      </c>
      <c r="J2780" s="26" t="str">
        <f aca="false">IF(A2780="","",COUNTIFS(Apparitions!$G$2:$G$5001,A2780,Apparitions!$E$2:$E$5001,"○"))</f>
        <v/>
      </c>
      <c r="K2780" s="29" t="str">
        <f aca="false">IF(A2780="","",IFERROR(1/(1/_xlfn.MINIFS(Apparitions!$L$2:$L$5001,Apparitions!$G$2:$G$5001,A2780)),""))</f>
        <v/>
      </c>
      <c r="L2780" s="27" t="str">
        <f aca="false">IF(A2780="","",A2780&amp;" | "&amp;B2780&amp;IF(C2780="",""," ("&amp;C2780&amp;")")&amp;IF(D2780="",""," - "&amp;D2780))</f>
        <v/>
      </c>
    </row>
    <row r="2781" customFormat="false" ht="15" hidden="false" customHeight="false" outlineLevel="0" collapsed="false">
      <c r="A2781" s="32"/>
      <c r="B2781" s="19"/>
      <c r="C2781" s="19"/>
      <c r="D2781" s="19"/>
      <c r="E2781" s="21"/>
      <c r="F2781" s="19"/>
      <c r="G2781" s="27" t="str">
        <f aca="false">IF(B2781="","",IFERROR(INDEX(Jeux!$C$2:$C$3001,MATCH(B2781,Jeux!$A$2:$A$3001,0))&amp;"","⚠ jeu inconnu"))</f>
        <v/>
      </c>
      <c r="H2781" s="27" t="str">
        <f aca="false">IF(B2781="","",IFERROR(INDEX(Jeux!$D$2:$D$3001,MATCH(B2781,Jeux!$A$2:$A$3001,0))&amp;"",""))</f>
        <v/>
      </c>
      <c r="I2781" s="26" t="str">
        <f aca="false">IF(A2781="","",COUNTIF(Apparitions!$G$2:$G$5001,A2781))</f>
        <v/>
      </c>
      <c r="J2781" s="26" t="str">
        <f aca="false">IF(A2781="","",COUNTIFS(Apparitions!$G$2:$G$5001,A2781,Apparitions!$E$2:$E$5001,"○"))</f>
        <v/>
      </c>
      <c r="K2781" s="29" t="str">
        <f aca="false">IF(A2781="","",IFERROR(1/(1/_xlfn.MINIFS(Apparitions!$L$2:$L$5001,Apparitions!$G$2:$G$5001,A2781)),""))</f>
        <v/>
      </c>
      <c r="L2781" s="27" t="str">
        <f aca="false">IF(A2781="","",A2781&amp;" | "&amp;B2781&amp;IF(C2781="",""," ("&amp;C2781&amp;")")&amp;IF(D2781="",""," - "&amp;D2781))</f>
        <v/>
      </c>
    </row>
    <row r="2782" customFormat="false" ht="15" hidden="false" customHeight="false" outlineLevel="0" collapsed="false">
      <c r="A2782" s="32"/>
      <c r="B2782" s="19"/>
      <c r="C2782" s="19"/>
      <c r="D2782" s="19"/>
      <c r="E2782" s="21"/>
      <c r="F2782" s="19"/>
      <c r="G2782" s="27" t="str">
        <f aca="false">IF(B2782="","",IFERROR(INDEX(Jeux!$C$2:$C$3001,MATCH(B2782,Jeux!$A$2:$A$3001,0))&amp;"","⚠ jeu inconnu"))</f>
        <v/>
      </c>
      <c r="H2782" s="27" t="str">
        <f aca="false">IF(B2782="","",IFERROR(INDEX(Jeux!$D$2:$D$3001,MATCH(B2782,Jeux!$A$2:$A$3001,0))&amp;"",""))</f>
        <v/>
      </c>
      <c r="I2782" s="26" t="str">
        <f aca="false">IF(A2782="","",COUNTIF(Apparitions!$G$2:$G$5001,A2782))</f>
        <v/>
      </c>
      <c r="J2782" s="26" t="str">
        <f aca="false">IF(A2782="","",COUNTIFS(Apparitions!$G$2:$G$5001,A2782,Apparitions!$E$2:$E$5001,"○"))</f>
        <v/>
      </c>
      <c r="K2782" s="29" t="str">
        <f aca="false">IF(A2782="","",IFERROR(1/(1/_xlfn.MINIFS(Apparitions!$L$2:$L$5001,Apparitions!$G$2:$G$5001,A2782)),""))</f>
        <v/>
      </c>
      <c r="L2782" s="27" t="str">
        <f aca="false">IF(A2782="","",A2782&amp;" | "&amp;B2782&amp;IF(C2782="",""," ("&amp;C2782&amp;")")&amp;IF(D2782="",""," - "&amp;D2782))</f>
        <v/>
      </c>
    </row>
    <row r="2783" customFormat="false" ht="15" hidden="false" customHeight="false" outlineLevel="0" collapsed="false">
      <c r="A2783" s="32"/>
      <c r="B2783" s="19"/>
      <c r="C2783" s="19"/>
      <c r="D2783" s="19"/>
      <c r="E2783" s="21"/>
      <c r="F2783" s="19"/>
      <c r="G2783" s="27" t="str">
        <f aca="false">IF(B2783="","",IFERROR(INDEX(Jeux!$C$2:$C$3001,MATCH(B2783,Jeux!$A$2:$A$3001,0))&amp;"","⚠ jeu inconnu"))</f>
        <v/>
      </c>
      <c r="H2783" s="27" t="str">
        <f aca="false">IF(B2783="","",IFERROR(INDEX(Jeux!$D$2:$D$3001,MATCH(B2783,Jeux!$A$2:$A$3001,0))&amp;"",""))</f>
        <v/>
      </c>
      <c r="I2783" s="26" t="str">
        <f aca="false">IF(A2783="","",COUNTIF(Apparitions!$G$2:$G$5001,A2783))</f>
        <v/>
      </c>
      <c r="J2783" s="26" t="str">
        <f aca="false">IF(A2783="","",COUNTIFS(Apparitions!$G$2:$G$5001,A2783,Apparitions!$E$2:$E$5001,"○"))</f>
        <v/>
      </c>
      <c r="K2783" s="29" t="str">
        <f aca="false">IF(A2783="","",IFERROR(1/(1/_xlfn.MINIFS(Apparitions!$L$2:$L$5001,Apparitions!$G$2:$G$5001,A2783)),""))</f>
        <v/>
      </c>
      <c r="L2783" s="27" t="str">
        <f aca="false">IF(A2783="","",A2783&amp;" | "&amp;B2783&amp;IF(C2783="",""," ("&amp;C2783&amp;")")&amp;IF(D2783="",""," - "&amp;D2783))</f>
        <v/>
      </c>
    </row>
    <row r="2784" customFormat="false" ht="15" hidden="false" customHeight="false" outlineLevel="0" collapsed="false">
      <c r="A2784" s="32"/>
      <c r="B2784" s="19"/>
      <c r="C2784" s="19"/>
      <c r="D2784" s="19"/>
      <c r="E2784" s="21"/>
      <c r="F2784" s="19"/>
      <c r="G2784" s="27" t="str">
        <f aca="false">IF(B2784="","",IFERROR(INDEX(Jeux!$C$2:$C$3001,MATCH(B2784,Jeux!$A$2:$A$3001,0))&amp;"","⚠ jeu inconnu"))</f>
        <v/>
      </c>
      <c r="H2784" s="27" t="str">
        <f aca="false">IF(B2784="","",IFERROR(INDEX(Jeux!$D$2:$D$3001,MATCH(B2784,Jeux!$A$2:$A$3001,0))&amp;"",""))</f>
        <v/>
      </c>
      <c r="I2784" s="26" t="str">
        <f aca="false">IF(A2784="","",COUNTIF(Apparitions!$G$2:$G$5001,A2784))</f>
        <v/>
      </c>
      <c r="J2784" s="26" t="str">
        <f aca="false">IF(A2784="","",COUNTIFS(Apparitions!$G$2:$G$5001,A2784,Apparitions!$E$2:$E$5001,"○"))</f>
        <v/>
      </c>
      <c r="K2784" s="29" t="str">
        <f aca="false">IF(A2784="","",IFERROR(1/(1/_xlfn.MINIFS(Apparitions!$L$2:$L$5001,Apparitions!$G$2:$G$5001,A2784)),""))</f>
        <v/>
      </c>
      <c r="L2784" s="27" t="str">
        <f aca="false">IF(A2784="","",A2784&amp;" | "&amp;B2784&amp;IF(C2784="",""," ("&amp;C2784&amp;")")&amp;IF(D2784="",""," - "&amp;D2784))</f>
        <v/>
      </c>
    </row>
    <row r="2785" customFormat="false" ht="15" hidden="false" customHeight="false" outlineLevel="0" collapsed="false">
      <c r="A2785" s="32"/>
      <c r="B2785" s="19"/>
      <c r="C2785" s="19"/>
      <c r="D2785" s="19"/>
      <c r="E2785" s="21"/>
      <c r="F2785" s="19"/>
      <c r="G2785" s="27" t="str">
        <f aca="false">IF(B2785="","",IFERROR(INDEX(Jeux!$C$2:$C$3001,MATCH(B2785,Jeux!$A$2:$A$3001,0))&amp;"","⚠ jeu inconnu"))</f>
        <v/>
      </c>
      <c r="H2785" s="27" t="str">
        <f aca="false">IF(B2785="","",IFERROR(INDEX(Jeux!$D$2:$D$3001,MATCH(B2785,Jeux!$A$2:$A$3001,0))&amp;"",""))</f>
        <v/>
      </c>
      <c r="I2785" s="26" t="str">
        <f aca="false">IF(A2785="","",COUNTIF(Apparitions!$G$2:$G$5001,A2785))</f>
        <v/>
      </c>
      <c r="J2785" s="26" t="str">
        <f aca="false">IF(A2785="","",COUNTIFS(Apparitions!$G$2:$G$5001,A2785,Apparitions!$E$2:$E$5001,"○"))</f>
        <v/>
      </c>
      <c r="K2785" s="29" t="str">
        <f aca="false">IF(A2785="","",IFERROR(1/(1/_xlfn.MINIFS(Apparitions!$L$2:$L$5001,Apparitions!$G$2:$G$5001,A2785)),""))</f>
        <v/>
      </c>
      <c r="L2785" s="27" t="str">
        <f aca="false">IF(A2785="","",A2785&amp;" | "&amp;B2785&amp;IF(C2785="",""," ("&amp;C2785&amp;")")&amp;IF(D2785="",""," - "&amp;D2785))</f>
        <v/>
      </c>
    </row>
    <row r="2786" customFormat="false" ht="15" hidden="false" customHeight="false" outlineLevel="0" collapsed="false">
      <c r="A2786" s="32"/>
      <c r="B2786" s="19"/>
      <c r="C2786" s="19"/>
      <c r="D2786" s="19"/>
      <c r="E2786" s="21"/>
      <c r="F2786" s="19"/>
      <c r="G2786" s="27" t="str">
        <f aca="false">IF(B2786="","",IFERROR(INDEX(Jeux!$C$2:$C$3001,MATCH(B2786,Jeux!$A$2:$A$3001,0))&amp;"","⚠ jeu inconnu"))</f>
        <v/>
      </c>
      <c r="H2786" s="27" t="str">
        <f aca="false">IF(B2786="","",IFERROR(INDEX(Jeux!$D$2:$D$3001,MATCH(B2786,Jeux!$A$2:$A$3001,0))&amp;"",""))</f>
        <v/>
      </c>
      <c r="I2786" s="26" t="str">
        <f aca="false">IF(A2786="","",COUNTIF(Apparitions!$G$2:$G$5001,A2786))</f>
        <v/>
      </c>
      <c r="J2786" s="26" t="str">
        <f aca="false">IF(A2786="","",COUNTIFS(Apparitions!$G$2:$G$5001,A2786,Apparitions!$E$2:$E$5001,"○"))</f>
        <v/>
      </c>
      <c r="K2786" s="29" t="str">
        <f aca="false">IF(A2786="","",IFERROR(1/(1/_xlfn.MINIFS(Apparitions!$L$2:$L$5001,Apparitions!$G$2:$G$5001,A2786)),""))</f>
        <v/>
      </c>
      <c r="L2786" s="27" t="str">
        <f aca="false">IF(A2786="","",A2786&amp;" | "&amp;B2786&amp;IF(C2786="",""," ("&amp;C2786&amp;")")&amp;IF(D2786="",""," - "&amp;D2786))</f>
        <v/>
      </c>
    </row>
    <row r="2787" customFormat="false" ht="15" hidden="false" customHeight="false" outlineLevel="0" collapsed="false">
      <c r="A2787" s="32"/>
      <c r="B2787" s="19"/>
      <c r="C2787" s="19"/>
      <c r="D2787" s="19"/>
      <c r="E2787" s="21"/>
      <c r="F2787" s="19"/>
      <c r="G2787" s="27" t="str">
        <f aca="false">IF(B2787="","",IFERROR(INDEX(Jeux!$C$2:$C$3001,MATCH(B2787,Jeux!$A$2:$A$3001,0))&amp;"","⚠ jeu inconnu"))</f>
        <v/>
      </c>
      <c r="H2787" s="27" t="str">
        <f aca="false">IF(B2787="","",IFERROR(INDEX(Jeux!$D$2:$D$3001,MATCH(B2787,Jeux!$A$2:$A$3001,0))&amp;"",""))</f>
        <v/>
      </c>
      <c r="I2787" s="26" t="str">
        <f aca="false">IF(A2787="","",COUNTIF(Apparitions!$G$2:$G$5001,A2787))</f>
        <v/>
      </c>
      <c r="J2787" s="26" t="str">
        <f aca="false">IF(A2787="","",COUNTIFS(Apparitions!$G$2:$G$5001,A2787,Apparitions!$E$2:$E$5001,"○"))</f>
        <v/>
      </c>
      <c r="K2787" s="29" t="str">
        <f aca="false">IF(A2787="","",IFERROR(1/(1/_xlfn.MINIFS(Apparitions!$L$2:$L$5001,Apparitions!$G$2:$G$5001,A2787)),""))</f>
        <v/>
      </c>
      <c r="L2787" s="27" t="str">
        <f aca="false">IF(A2787="","",A2787&amp;" | "&amp;B2787&amp;IF(C2787="",""," ("&amp;C2787&amp;")")&amp;IF(D2787="",""," - "&amp;D2787))</f>
        <v/>
      </c>
    </row>
    <row r="2788" customFormat="false" ht="15" hidden="false" customHeight="false" outlineLevel="0" collapsed="false">
      <c r="A2788" s="32"/>
      <c r="B2788" s="19"/>
      <c r="C2788" s="19"/>
      <c r="D2788" s="19"/>
      <c r="E2788" s="21"/>
      <c r="F2788" s="19"/>
      <c r="G2788" s="27" t="str">
        <f aca="false">IF(B2788="","",IFERROR(INDEX(Jeux!$C$2:$C$3001,MATCH(B2788,Jeux!$A$2:$A$3001,0))&amp;"","⚠ jeu inconnu"))</f>
        <v/>
      </c>
      <c r="H2788" s="27" t="str">
        <f aca="false">IF(B2788="","",IFERROR(INDEX(Jeux!$D$2:$D$3001,MATCH(B2788,Jeux!$A$2:$A$3001,0))&amp;"",""))</f>
        <v/>
      </c>
      <c r="I2788" s="26" t="str">
        <f aca="false">IF(A2788="","",COUNTIF(Apparitions!$G$2:$G$5001,A2788))</f>
        <v/>
      </c>
      <c r="J2788" s="26" t="str">
        <f aca="false">IF(A2788="","",COUNTIFS(Apparitions!$G$2:$G$5001,A2788,Apparitions!$E$2:$E$5001,"○"))</f>
        <v/>
      </c>
      <c r="K2788" s="29" t="str">
        <f aca="false">IF(A2788="","",IFERROR(1/(1/_xlfn.MINIFS(Apparitions!$L$2:$L$5001,Apparitions!$G$2:$G$5001,A2788)),""))</f>
        <v/>
      </c>
      <c r="L2788" s="27" t="str">
        <f aca="false">IF(A2788="","",A2788&amp;" | "&amp;B2788&amp;IF(C2788="",""," ("&amp;C2788&amp;")")&amp;IF(D2788="",""," - "&amp;D2788))</f>
        <v/>
      </c>
    </row>
    <row r="2789" customFormat="false" ht="15" hidden="false" customHeight="false" outlineLevel="0" collapsed="false">
      <c r="A2789" s="32"/>
      <c r="B2789" s="19"/>
      <c r="C2789" s="19"/>
      <c r="D2789" s="19"/>
      <c r="E2789" s="21"/>
      <c r="F2789" s="19"/>
      <c r="G2789" s="27" t="str">
        <f aca="false">IF(B2789="","",IFERROR(INDEX(Jeux!$C$2:$C$3001,MATCH(B2789,Jeux!$A$2:$A$3001,0))&amp;"","⚠ jeu inconnu"))</f>
        <v/>
      </c>
      <c r="H2789" s="27" t="str">
        <f aca="false">IF(B2789="","",IFERROR(INDEX(Jeux!$D$2:$D$3001,MATCH(B2789,Jeux!$A$2:$A$3001,0))&amp;"",""))</f>
        <v/>
      </c>
      <c r="I2789" s="26" t="str">
        <f aca="false">IF(A2789="","",COUNTIF(Apparitions!$G$2:$G$5001,A2789))</f>
        <v/>
      </c>
      <c r="J2789" s="26" t="str">
        <f aca="false">IF(A2789="","",COUNTIFS(Apparitions!$G$2:$G$5001,A2789,Apparitions!$E$2:$E$5001,"○"))</f>
        <v/>
      </c>
      <c r="K2789" s="29" t="str">
        <f aca="false">IF(A2789="","",IFERROR(1/(1/_xlfn.MINIFS(Apparitions!$L$2:$L$5001,Apparitions!$G$2:$G$5001,A2789)),""))</f>
        <v/>
      </c>
      <c r="L2789" s="27" t="str">
        <f aca="false">IF(A2789="","",A2789&amp;" | "&amp;B2789&amp;IF(C2789="",""," ("&amp;C2789&amp;")")&amp;IF(D2789="",""," - "&amp;D2789))</f>
        <v/>
      </c>
    </row>
    <row r="2790" customFormat="false" ht="15" hidden="false" customHeight="false" outlineLevel="0" collapsed="false">
      <c r="A2790" s="32"/>
      <c r="B2790" s="19"/>
      <c r="C2790" s="19"/>
      <c r="D2790" s="19"/>
      <c r="E2790" s="21"/>
      <c r="F2790" s="19"/>
      <c r="G2790" s="27" t="str">
        <f aca="false">IF(B2790="","",IFERROR(INDEX(Jeux!$C$2:$C$3001,MATCH(B2790,Jeux!$A$2:$A$3001,0))&amp;"","⚠ jeu inconnu"))</f>
        <v/>
      </c>
      <c r="H2790" s="27" t="str">
        <f aca="false">IF(B2790="","",IFERROR(INDEX(Jeux!$D$2:$D$3001,MATCH(B2790,Jeux!$A$2:$A$3001,0))&amp;"",""))</f>
        <v/>
      </c>
      <c r="I2790" s="26" t="str">
        <f aca="false">IF(A2790="","",COUNTIF(Apparitions!$G$2:$G$5001,A2790))</f>
        <v/>
      </c>
      <c r="J2790" s="26" t="str">
        <f aca="false">IF(A2790="","",COUNTIFS(Apparitions!$G$2:$G$5001,A2790,Apparitions!$E$2:$E$5001,"○"))</f>
        <v/>
      </c>
      <c r="K2790" s="29" t="str">
        <f aca="false">IF(A2790="","",IFERROR(1/(1/_xlfn.MINIFS(Apparitions!$L$2:$L$5001,Apparitions!$G$2:$G$5001,A2790)),""))</f>
        <v/>
      </c>
      <c r="L2790" s="27" t="str">
        <f aca="false">IF(A2790="","",A2790&amp;" | "&amp;B2790&amp;IF(C2790="",""," ("&amp;C2790&amp;")")&amp;IF(D2790="",""," - "&amp;D2790))</f>
        <v/>
      </c>
    </row>
    <row r="2791" customFormat="false" ht="15" hidden="false" customHeight="false" outlineLevel="0" collapsed="false">
      <c r="A2791" s="32"/>
      <c r="B2791" s="19"/>
      <c r="C2791" s="19"/>
      <c r="D2791" s="19"/>
      <c r="E2791" s="21"/>
      <c r="F2791" s="19"/>
      <c r="G2791" s="27" t="str">
        <f aca="false">IF(B2791="","",IFERROR(INDEX(Jeux!$C$2:$C$3001,MATCH(B2791,Jeux!$A$2:$A$3001,0))&amp;"","⚠ jeu inconnu"))</f>
        <v/>
      </c>
      <c r="H2791" s="27" t="str">
        <f aca="false">IF(B2791="","",IFERROR(INDEX(Jeux!$D$2:$D$3001,MATCH(B2791,Jeux!$A$2:$A$3001,0))&amp;"",""))</f>
        <v/>
      </c>
      <c r="I2791" s="26" t="str">
        <f aca="false">IF(A2791="","",COUNTIF(Apparitions!$G$2:$G$5001,A2791))</f>
        <v/>
      </c>
      <c r="J2791" s="26" t="str">
        <f aca="false">IF(A2791="","",COUNTIFS(Apparitions!$G$2:$G$5001,A2791,Apparitions!$E$2:$E$5001,"○"))</f>
        <v/>
      </c>
      <c r="K2791" s="29" t="str">
        <f aca="false">IF(A2791="","",IFERROR(1/(1/_xlfn.MINIFS(Apparitions!$L$2:$L$5001,Apparitions!$G$2:$G$5001,A2791)),""))</f>
        <v/>
      </c>
      <c r="L2791" s="27" t="str">
        <f aca="false">IF(A2791="","",A2791&amp;" | "&amp;B2791&amp;IF(C2791="",""," ("&amp;C2791&amp;")")&amp;IF(D2791="",""," - "&amp;D2791))</f>
        <v/>
      </c>
    </row>
    <row r="2792" customFormat="false" ht="15" hidden="false" customHeight="false" outlineLevel="0" collapsed="false">
      <c r="A2792" s="32"/>
      <c r="B2792" s="19"/>
      <c r="C2792" s="19"/>
      <c r="D2792" s="19"/>
      <c r="E2792" s="21"/>
      <c r="F2792" s="19"/>
      <c r="G2792" s="27" t="str">
        <f aca="false">IF(B2792="","",IFERROR(INDEX(Jeux!$C$2:$C$3001,MATCH(B2792,Jeux!$A$2:$A$3001,0))&amp;"","⚠ jeu inconnu"))</f>
        <v/>
      </c>
      <c r="H2792" s="27" t="str">
        <f aca="false">IF(B2792="","",IFERROR(INDEX(Jeux!$D$2:$D$3001,MATCH(B2792,Jeux!$A$2:$A$3001,0))&amp;"",""))</f>
        <v/>
      </c>
      <c r="I2792" s="26" t="str">
        <f aca="false">IF(A2792="","",COUNTIF(Apparitions!$G$2:$G$5001,A2792))</f>
        <v/>
      </c>
      <c r="J2792" s="26" t="str">
        <f aca="false">IF(A2792="","",COUNTIFS(Apparitions!$G$2:$G$5001,A2792,Apparitions!$E$2:$E$5001,"○"))</f>
        <v/>
      </c>
      <c r="K2792" s="29" t="str">
        <f aca="false">IF(A2792="","",IFERROR(1/(1/_xlfn.MINIFS(Apparitions!$L$2:$L$5001,Apparitions!$G$2:$G$5001,A2792)),""))</f>
        <v/>
      </c>
      <c r="L2792" s="27" t="str">
        <f aca="false">IF(A2792="","",A2792&amp;" | "&amp;B2792&amp;IF(C2792="",""," ("&amp;C2792&amp;")")&amp;IF(D2792="",""," - "&amp;D2792))</f>
        <v/>
      </c>
    </row>
    <row r="2793" customFormat="false" ht="15" hidden="false" customHeight="false" outlineLevel="0" collapsed="false">
      <c r="A2793" s="32"/>
      <c r="B2793" s="19"/>
      <c r="C2793" s="19"/>
      <c r="D2793" s="19"/>
      <c r="E2793" s="21"/>
      <c r="F2793" s="19"/>
      <c r="G2793" s="27" t="str">
        <f aca="false">IF(B2793="","",IFERROR(INDEX(Jeux!$C$2:$C$3001,MATCH(B2793,Jeux!$A$2:$A$3001,0))&amp;"","⚠ jeu inconnu"))</f>
        <v/>
      </c>
      <c r="H2793" s="27" t="str">
        <f aca="false">IF(B2793="","",IFERROR(INDEX(Jeux!$D$2:$D$3001,MATCH(B2793,Jeux!$A$2:$A$3001,0))&amp;"",""))</f>
        <v/>
      </c>
      <c r="I2793" s="26" t="str">
        <f aca="false">IF(A2793="","",COUNTIF(Apparitions!$G$2:$G$5001,A2793))</f>
        <v/>
      </c>
      <c r="J2793" s="26" t="str">
        <f aca="false">IF(A2793="","",COUNTIFS(Apparitions!$G$2:$G$5001,A2793,Apparitions!$E$2:$E$5001,"○"))</f>
        <v/>
      </c>
      <c r="K2793" s="29" t="str">
        <f aca="false">IF(A2793="","",IFERROR(1/(1/_xlfn.MINIFS(Apparitions!$L$2:$L$5001,Apparitions!$G$2:$G$5001,A2793)),""))</f>
        <v/>
      </c>
      <c r="L2793" s="27" t="str">
        <f aca="false">IF(A2793="","",A2793&amp;" | "&amp;B2793&amp;IF(C2793="",""," ("&amp;C2793&amp;")")&amp;IF(D2793="",""," - "&amp;D2793))</f>
        <v/>
      </c>
    </row>
    <row r="2794" customFormat="false" ht="15" hidden="false" customHeight="false" outlineLevel="0" collapsed="false">
      <c r="A2794" s="32"/>
      <c r="B2794" s="19"/>
      <c r="C2794" s="19"/>
      <c r="D2794" s="19"/>
      <c r="E2794" s="21"/>
      <c r="F2794" s="19"/>
      <c r="G2794" s="27" t="str">
        <f aca="false">IF(B2794="","",IFERROR(INDEX(Jeux!$C$2:$C$3001,MATCH(B2794,Jeux!$A$2:$A$3001,0))&amp;"","⚠ jeu inconnu"))</f>
        <v/>
      </c>
      <c r="H2794" s="27" t="str">
        <f aca="false">IF(B2794="","",IFERROR(INDEX(Jeux!$D$2:$D$3001,MATCH(B2794,Jeux!$A$2:$A$3001,0))&amp;"",""))</f>
        <v/>
      </c>
      <c r="I2794" s="26" t="str">
        <f aca="false">IF(A2794="","",COUNTIF(Apparitions!$G$2:$G$5001,A2794))</f>
        <v/>
      </c>
      <c r="J2794" s="26" t="str">
        <f aca="false">IF(A2794="","",COUNTIFS(Apparitions!$G$2:$G$5001,A2794,Apparitions!$E$2:$E$5001,"○"))</f>
        <v/>
      </c>
      <c r="K2794" s="29" t="str">
        <f aca="false">IF(A2794="","",IFERROR(1/(1/_xlfn.MINIFS(Apparitions!$L$2:$L$5001,Apparitions!$G$2:$G$5001,A2794)),""))</f>
        <v/>
      </c>
      <c r="L2794" s="27" t="str">
        <f aca="false">IF(A2794="","",A2794&amp;" | "&amp;B2794&amp;IF(C2794="",""," ("&amp;C2794&amp;")")&amp;IF(D2794="",""," - "&amp;D2794))</f>
        <v/>
      </c>
    </row>
    <row r="2795" customFormat="false" ht="15" hidden="false" customHeight="false" outlineLevel="0" collapsed="false">
      <c r="A2795" s="32"/>
      <c r="B2795" s="19"/>
      <c r="C2795" s="19"/>
      <c r="D2795" s="19"/>
      <c r="E2795" s="21"/>
      <c r="F2795" s="19"/>
      <c r="G2795" s="27" t="str">
        <f aca="false">IF(B2795="","",IFERROR(INDEX(Jeux!$C$2:$C$3001,MATCH(B2795,Jeux!$A$2:$A$3001,0))&amp;"","⚠ jeu inconnu"))</f>
        <v/>
      </c>
      <c r="H2795" s="27" t="str">
        <f aca="false">IF(B2795="","",IFERROR(INDEX(Jeux!$D$2:$D$3001,MATCH(B2795,Jeux!$A$2:$A$3001,0))&amp;"",""))</f>
        <v/>
      </c>
      <c r="I2795" s="26" t="str">
        <f aca="false">IF(A2795="","",COUNTIF(Apparitions!$G$2:$G$5001,A2795))</f>
        <v/>
      </c>
      <c r="J2795" s="26" t="str">
        <f aca="false">IF(A2795="","",COUNTIFS(Apparitions!$G$2:$G$5001,A2795,Apparitions!$E$2:$E$5001,"○"))</f>
        <v/>
      </c>
      <c r="K2795" s="29" t="str">
        <f aca="false">IF(A2795="","",IFERROR(1/(1/_xlfn.MINIFS(Apparitions!$L$2:$L$5001,Apparitions!$G$2:$G$5001,A2795)),""))</f>
        <v/>
      </c>
      <c r="L2795" s="27" t="str">
        <f aca="false">IF(A2795="","",A2795&amp;" | "&amp;B2795&amp;IF(C2795="",""," ("&amp;C2795&amp;")")&amp;IF(D2795="",""," - "&amp;D2795))</f>
        <v/>
      </c>
    </row>
    <row r="2796" customFormat="false" ht="15" hidden="false" customHeight="false" outlineLevel="0" collapsed="false">
      <c r="A2796" s="32"/>
      <c r="B2796" s="19"/>
      <c r="C2796" s="19"/>
      <c r="D2796" s="19"/>
      <c r="E2796" s="21"/>
      <c r="F2796" s="19"/>
      <c r="G2796" s="27" t="str">
        <f aca="false">IF(B2796="","",IFERROR(INDEX(Jeux!$C$2:$C$3001,MATCH(B2796,Jeux!$A$2:$A$3001,0))&amp;"","⚠ jeu inconnu"))</f>
        <v/>
      </c>
      <c r="H2796" s="27" t="str">
        <f aca="false">IF(B2796="","",IFERROR(INDEX(Jeux!$D$2:$D$3001,MATCH(B2796,Jeux!$A$2:$A$3001,0))&amp;"",""))</f>
        <v/>
      </c>
      <c r="I2796" s="26" t="str">
        <f aca="false">IF(A2796="","",COUNTIF(Apparitions!$G$2:$G$5001,A2796))</f>
        <v/>
      </c>
      <c r="J2796" s="26" t="str">
        <f aca="false">IF(A2796="","",COUNTIFS(Apparitions!$G$2:$G$5001,A2796,Apparitions!$E$2:$E$5001,"○"))</f>
        <v/>
      </c>
      <c r="K2796" s="29" t="str">
        <f aca="false">IF(A2796="","",IFERROR(1/(1/_xlfn.MINIFS(Apparitions!$L$2:$L$5001,Apparitions!$G$2:$G$5001,A2796)),""))</f>
        <v/>
      </c>
      <c r="L2796" s="27" t="str">
        <f aca="false">IF(A2796="","",A2796&amp;" | "&amp;B2796&amp;IF(C2796="",""," ("&amp;C2796&amp;")")&amp;IF(D2796="",""," - "&amp;D2796))</f>
        <v/>
      </c>
    </row>
    <row r="2797" customFormat="false" ht="15" hidden="false" customHeight="false" outlineLevel="0" collapsed="false">
      <c r="A2797" s="32"/>
      <c r="B2797" s="19"/>
      <c r="C2797" s="19"/>
      <c r="D2797" s="19"/>
      <c r="E2797" s="21"/>
      <c r="F2797" s="19"/>
      <c r="G2797" s="27" t="str">
        <f aca="false">IF(B2797="","",IFERROR(INDEX(Jeux!$C$2:$C$3001,MATCH(B2797,Jeux!$A$2:$A$3001,0))&amp;"","⚠ jeu inconnu"))</f>
        <v/>
      </c>
      <c r="H2797" s="27" t="str">
        <f aca="false">IF(B2797="","",IFERROR(INDEX(Jeux!$D$2:$D$3001,MATCH(B2797,Jeux!$A$2:$A$3001,0))&amp;"",""))</f>
        <v/>
      </c>
      <c r="I2797" s="26" t="str">
        <f aca="false">IF(A2797="","",COUNTIF(Apparitions!$G$2:$G$5001,A2797))</f>
        <v/>
      </c>
      <c r="J2797" s="26" t="str">
        <f aca="false">IF(A2797="","",COUNTIFS(Apparitions!$G$2:$G$5001,A2797,Apparitions!$E$2:$E$5001,"○"))</f>
        <v/>
      </c>
      <c r="K2797" s="29" t="str">
        <f aca="false">IF(A2797="","",IFERROR(1/(1/_xlfn.MINIFS(Apparitions!$L$2:$L$5001,Apparitions!$G$2:$G$5001,A2797)),""))</f>
        <v/>
      </c>
      <c r="L2797" s="27" t="str">
        <f aca="false">IF(A2797="","",A2797&amp;" | "&amp;B2797&amp;IF(C2797="",""," ("&amp;C2797&amp;")")&amp;IF(D2797="",""," - "&amp;D2797))</f>
        <v/>
      </c>
    </row>
    <row r="2798" customFormat="false" ht="15" hidden="false" customHeight="false" outlineLevel="0" collapsed="false">
      <c r="A2798" s="32"/>
      <c r="B2798" s="19"/>
      <c r="C2798" s="19"/>
      <c r="D2798" s="19"/>
      <c r="E2798" s="21"/>
      <c r="F2798" s="19"/>
      <c r="G2798" s="27" t="str">
        <f aca="false">IF(B2798="","",IFERROR(INDEX(Jeux!$C$2:$C$3001,MATCH(B2798,Jeux!$A$2:$A$3001,0))&amp;"","⚠ jeu inconnu"))</f>
        <v/>
      </c>
      <c r="H2798" s="27" t="str">
        <f aca="false">IF(B2798="","",IFERROR(INDEX(Jeux!$D$2:$D$3001,MATCH(B2798,Jeux!$A$2:$A$3001,0))&amp;"",""))</f>
        <v/>
      </c>
      <c r="I2798" s="26" t="str">
        <f aca="false">IF(A2798="","",COUNTIF(Apparitions!$G$2:$G$5001,A2798))</f>
        <v/>
      </c>
      <c r="J2798" s="26" t="str">
        <f aca="false">IF(A2798="","",COUNTIFS(Apparitions!$G$2:$G$5001,A2798,Apparitions!$E$2:$E$5001,"○"))</f>
        <v/>
      </c>
      <c r="K2798" s="29" t="str">
        <f aca="false">IF(A2798="","",IFERROR(1/(1/_xlfn.MINIFS(Apparitions!$L$2:$L$5001,Apparitions!$G$2:$G$5001,A2798)),""))</f>
        <v/>
      </c>
      <c r="L2798" s="27" t="str">
        <f aca="false">IF(A2798="","",A2798&amp;" | "&amp;B2798&amp;IF(C2798="",""," ("&amp;C2798&amp;")")&amp;IF(D2798="",""," - "&amp;D2798))</f>
        <v/>
      </c>
    </row>
    <row r="2799" customFormat="false" ht="15" hidden="false" customHeight="false" outlineLevel="0" collapsed="false">
      <c r="A2799" s="32"/>
      <c r="B2799" s="19"/>
      <c r="C2799" s="19"/>
      <c r="D2799" s="19"/>
      <c r="E2799" s="21"/>
      <c r="F2799" s="19"/>
      <c r="G2799" s="27" t="str">
        <f aca="false">IF(B2799="","",IFERROR(INDEX(Jeux!$C$2:$C$3001,MATCH(B2799,Jeux!$A$2:$A$3001,0))&amp;"","⚠ jeu inconnu"))</f>
        <v/>
      </c>
      <c r="H2799" s="27" t="str">
        <f aca="false">IF(B2799="","",IFERROR(INDEX(Jeux!$D$2:$D$3001,MATCH(B2799,Jeux!$A$2:$A$3001,0))&amp;"",""))</f>
        <v/>
      </c>
      <c r="I2799" s="26" t="str">
        <f aca="false">IF(A2799="","",COUNTIF(Apparitions!$G$2:$G$5001,A2799))</f>
        <v/>
      </c>
      <c r="J2799" s="26" t="str">
        <f aca="false">IF(A2799="","",COUNTIFS(Apparitions!$G$2:$G$5001,A2799,Apparitions!$E$2:$E$5001,"○"))</f>
        <v/>
      </c>
      <c r="K2799" s="29" t="str">
        <f aca="false">IF(A2799="","",IFERROR(1/(1/_xlfn.MINIFS(Apparitions!$L$2:$L$5001,Apparitions!$G$2:$G$5001,A2799)),""))</f>
        <v/>
      </c>
      <c r="L2799" s="27" t="str">
        <f aca="false">IF(A2799="","",A2799&amp;" | "&amp;B2799&amp;IF(C2799="",""," ("&amp;C2799&amp;")")&amp;IF(D2799="",""," - "&amp;D2799))</f>
        <v/>
      </c>
    </row>
    <row r="2800" customFormat="false" ht="15" hidden="false" customHeight="false" outlineLevel="0" collapsed="false">
      <c r="A2800" s="32"/>
      <c r="B2800" s="19"/>
      <c r="C2800" s="19"/>
      <c r="D2800" s="19"/>
      <c r="E2800" s="21"/>
      <c r="F2800" s="19"/>
      <c r="G2800" s="27" t="str">
        <f aca="false">IF(B2800="","",IFERROR(INDEX(Jeux!$C$2:$C$3001,MATCH(B2800,Jeux!$A$2:$A$3001,0))&amp;"","⚠ jeu inconnu"))</f>
        <v/>
      </c>
      <c r="H2800" s="27" t="str">
        <f aca="false">IF(B2800="","",IFERROR(INDEX(Jeux!$D$2:$D$3001,MATCH(B2800,Jeux!$A$2:$A$3001,0))&amp;"",""))</f>
        <v/>
      </c>
      <c r="I2800" s="26" t="str">
        <f aca="false">IF(A2800="","",COUNTIF(Apparitions!$G$2:$G$5001,A2800))</f>
        <v/>
      </c>
      <c r="J2800" s="26" t="str">
        <f aca="false">IF(A2800="","",COUNTIFS(Apparitions!$G$2:$G$5001,A2800,Apparitions!$E$2:$E$5001,"○"))</f>
        <v/>
      </c>
      <c r="K2800" s="29" t="str">
        <f aca="false">IF(A2800="","",IFERROR(1/(1/_xlfn.MINIFS(Apparitions!$L$2:$L$5001,Apparitions!$G$2:$G$5001,A2800)),""))</f>
        <v/>
      </c>
      <c r="L2800" s="27" t="str">
        <f aca="false">IF(A2800="","",A2800&amp;" | "&amp;B2800&amp;IF(C2800="",""," ("&amp;C2800&amp;")")&amp;IF(D2800="",""," - "&amp;D2800))</f>
        <v/>
      </c>
    </row>
    <row r="2801" customFormat="false" ht="15" hidden="false" customHeight="false" outlineLevel="0" collapsed="false">
      <c r="A2801" s="32"/>
      <c r="B2801" s="19"/>
      <c r="C2801" s="19"/>
      <c r="D2801" s="19"/>
      <c r="E2801" s="21"/>
      <c r="F2801" s="19"/>
      <c r="G2801" s="27" t="str">
        <f aca="false">IF(B2801="","",IFERROR(INDEX(Jeux!$C$2:$C$3001,MATCH(B2801,Jeux!$A$2:$A$3001,0))&amp;"","⚠ jeu inconnu"))</f>
        <v/>
      </c>
      <c r="H2801" s="27" t="str">
        <f aca="false">IF(B2801="","",IFERROR(INDEX(Jeux!$D$2:$D$3001,MATCH(B2801,Jeux!$A$2:$A$3001,0))&amp;"",""))</f>
        <v/>
      </c>
      <c r="I2801" s="26" t="str">
        <f aca="false">IF(A2801="","",COUNTIF(Apparitions!$G$2:$G$5001,A2801))</f>
        <v/>
      </c>
      <c r="J2801" s="26" t="str">
        <f aca="false">IF(A2801="","",COUNTIFS(Apparitions!$G$2:$G$5001,A2801,Apparitions!$E$2:$E$5001,"○"))</f>
        <v/>
      </c>
      <c r="K2801" s="29" t="str">
        <f aca="false">IF(A2801="","",IFERROR(1/(1/_xlfn.MINIFS(Apparitions!$L$2:$L$5001,Apparitions!$G$2:$G$5001,A2801)),""))</f>
        <v/>
      </c>
      <c r="L2801" s="27" t="str">
        <f aca="false">IF(A2801="","",A2801&amp;" | "&amp;B2801&amp;IF(C2801="",""," ("&amp;C2801&amp;")")&amp;IF(D2801="",""," - "&amp;D2801))</f>
        <v/>
      </c>
    </row>
    <row r="2802" customFormat="false" ht="15" hidden="false" customHeight="false" outlineLevel="0" collapsed="false">
      <c r="A2802" s="32"/>
      <c r="B2802" s="19"/>
      <c r="C2802" s="19"/>
      <c r="D2802" s="19"/>
      <c r="E2802" s="21"/>
      <c r="F2802" s="19"/>
      <c r="G2802" s="27" t="str">
        <f aca="false">IF(B2802="","",IFERROR(INDEX(Jeux!$C$2:$C$3001,MATCH(B2802,Jeux!$A$2:$A$3001,0))&amp;"","⚠ jeu inconnu"))</f>
        <v/>
      </c>
      <c r="H2802" s="27" t="str">
        <f aca="false">IF(B2802="","",IFERROR(INDEX(Jeux!$D$2:$D$3001,MATCH(B2802,Jeux!$A$2:$A$3001,0))&amp;"",""))</f>
        <v/>
      </c>
      <c r="I2802" s="26" t="str">
        <f aca="false">IF(A2802="","",COUNTIF(Apparitions!$G$2:$G$5001,A2802))</f>
        <v/>
      </c>
      <c r="J2802" s="26" t="str">
        <f aca="false">IF(A2802="","",COUNTIFS(Apparitions!$G$2:$G$5001,A2802,Apparitions!$E$2:$E$5001,"○"))</f>
        <v/>
      </c>
      <c r="K2802" s="29" t="str">
        <f aca="false">IF(A2802="","",IFERROR(1/(1/_xlfn.MINIFS(Apparitions!$L$2:$L$5001,Apparitions!$G$2:$G$5001,A2802)),""))</f>
        <v/>
      </c>
      <c r="L2802" s="27" t="str">
        <f aca="false">IF(A2802="","",A2802&amp;" | "&amp;B2802&amp;IF(C2802="",""," ("&amp;C2802&amp;")")&amp;IF(D2802="",""," - "&amp;D2802))</f>
        <v/>
      </c>
    </row>
    <row r="2803" customFormat="false" ht="15" hidden="false" customHeight="false" outlineLevel="0" collapsed="false">
      <c r="A2803" s="32"/>
      <c r="B2803" s="19"/>
      <c r="C2803" s="19"/>
      <c r="D2803" s="19"/>
      <c r="E2803" s="21"/>
      <c r="F2803" s="19"/>
      <c r="G2803" s="27" t="str">
        <f aca="false">IF(B2803="","",IFERROR(INDEX(Jeux!$C$2:$C$3001,MATCH(B2803,Jeux!$A$2:$A$3001,0))&amp;"","⚠ jeu inconnu"))</f>
        <v/>
      </c>
      <c r="H2803" s="27" t="str">
        <f aca="false">IF(B2803="","",IFERROR(INDEX(Jeux!$D$2:$D$3001,MATCH(B2803,Jeux!$A$2:$A$3001,0))&amp;"",""))</f>
        <v/>
      </c>
      <c r="I2803" s="26" t="str">
        <f aca="false">IF(A2803="","",COUNTIF(Apparitions!$G$2:$G$5001,A2803))</f>
        <v/>
      </c>
      <c r="J2803" s="26" t="str">
        <f aca="false">IF(A2803="","",COUNTIFS(Apparitions!$G$2:$G$5001,A2803,Apparitions!$E$2:$E$5001,"○"))</f>
        <v/>
      </c>
      <c r="K2803" s="29" t="str">
        <f aca="false">IF(A2803="","",IFERROR(1/(1/_xlfn.MINIFS(Apparitions!$L$2:$L$5001,Apparitions!$G$2:$G$5001,A2803)),""))</f>
        <v/>
      </c>
      <c r="L2803" s="27" t="str">
        <f aca="false">IF(A2803="","",A2803&amp;" | "&amp;B2803&amp;IF(C2803="",""," ("&amp;C2803&amp;")")&amp;IF(D2803="",""," - "&amp;D2803))</f>
        <v/>
      </c>
    </row>
    <row r="2804" customFormat="false" ht="15" hidden="false" customHeight="false" outlineLevel="0" collapsed="false">
      <c r="A2804" s="32"/>
      <c r="B2804" s="19"/>
      <c r="C2804" s="19"/>
      <c r="D2804" s="19"/>
      <c r="E2804" s="21"/>
      <c r="F2804" s="19"/>
      <c r="G2804" s="27" t="str">
        <f aca="false">IF(B2804="","",IFERROR(INDEX(Jeux!$C$2:$C$3001,MATCH(B2804,Jeux!$A$2:$A$3001,0))&amp;"","⚠ jeu inconnu"))</f>
        <v/>
      </c>
      <c r="H2804" s="27" t="str">
        <f aca="false">IF(B2804="","",IFERROR(INDEX(Jeux!$D$2:$D$3001,MATCH(B2804,Jeux!$A$2:$A$3001,0))&amp;"",""))</f>
        <v/>
      </c>
      <c r="I2804" s="26" t="str">
        <f aca="false">IF(A2804="","",COUNTIF(Apparitions!$G$2:$G$5001,A2804))</f>
        <v/>
      </c>
      <c r="J2804" s="26" t="str">
        <f aca="false">IF(A2804="","",COUNTIFS(Apparitions!$G$2:$G$5001,A2804,Apparitions!$E$2:$E$5001,"○"))</f>
        <v/>
      </c>
      <c r="K2804" s="29" t="str">
        <f aca="false">IF(A2804="","",IFERROR(1/(1/_xlfn.MINIFS(Apparitions!$L$2:$L$5001,Apparitions!$G$2:$G$5001,A2804)),""))</f>
        <v/>
      </c>
      <c r="L2804" s="27" t="str">
        <f aca="false">IF(A2804="","",A2804&amp;" | "&amp;B2804&amp;IF(C2804="",""," ("&amp;C2804&amp;")")&amp;IF(D2804="",""," - "&amp;D2804))</f>
        <v/>
      </c>
    </row>
    <row r="2805" customFormat="false" ht="15" hidden="false" customHeight="false" outlineLevel="0" collapsed="false">
      <c r="A2805" s="32"/>
      <c r="B2805" s="19"/>
      <c r="C2805" s="19"/>
      <c r="D2805" s="19"/>
      <c r="E2805" s="21"/>
      <c r="F2805" s="19"/>
      <c r="G2805" s="27" t="str">
        <f aca="false">IF(B2805="","",IFERROR(INDEX(Jeux!$C$2:$C$3001,MATCH(B2805,Jeux!$A$2:$A$3001,0))&amp;"","⚠ jeu inconnu"))</f>
        <v/>
      </c>
      <c r="H2805" s="27" t="str">
        <f aca="false">IF(B2805="","",IFERROR(INDEX(Jeux!$D$2:$D$3001,MATCH(B2805,Jeux!$A$2:$A$3001,0))&amp;"",""))</f>
        <v/>
      </c>
      <c r="I2805" s="26" t="str">
        <f aca="false">IF(A2805="","",COUNTIF(Apparitions!$G$2:$G$5001,A2805))</f>
        <v/>
      </c>
      <c r="J2805" s="26" t="str">
        <f aca="false">IF(A2805="","",COUNTIFS(Apparitions!$G$2:$G$5001,A2805,Apparitions!$E$2:$E$5001,"○"))</f>
        <v/>
      </c>
      <c r="K2805" s="29" t="str">
        <f aca="false">IF(A2805="","",IFERROR(1/(1/_xlfn.MINIFS(Apparitions!$L$2:$L$5001,Apparitions!$G$2:$G$5001,A2805)),""))</f>
        <v/>
      </c>
      <c r="L2805" s="27" t="str">
        <f aca="false">IF(A2805="","",A2805&amp;" | "&amp;B2805&amp;IF(C2805="",""," ("&amp;C2805&amp;")")&amp;IF(D2805="",""," - "&amp;D2805))</f>
        <v/>
      </c>
    </row>
    <row r="2806" customFormat="false" ht="15" hidden="false" customHeight="false" outlineLevel="0" collapsed="false">
      <c r="A2806" s="32"/>
      <c r="B2806" s="19"/>
      <c r="C2806" s="19"/>
      <c r="D2806" s="19"/>
      <c r="E2806" s="21"/>
      <c r="F2806" s="19"/>
      <c r="G2806" s="27" t="str">
        <f aca="false">IF(B2806="","",IFERROR(INDEX(Jeux!$C$2:$C$3001,MATCH(B2806,Jeux!$A$2:$A$3001,0))&amp;"","⚠ jeu inconnu"))</f>
        <v/>
      </c>
      <c r="H2806" s="27" t="str">
        <f aca="false">IF(B2806="","",IFERROR(INDEX(Jeux!$D$2:$D$3001,MATCH(B2806,Jeux!$A$2:$A$3001,0))&amp;"",""))</f>
        <v/>
      </c>
      <c r="I2806" s="26" t="str">
        <f aca="false">IF(A2806="","",COUNTIF(Apparitions!$G$2:$G$5001,A2806))</f>
        <v/>
      </c>
      <c r="J2806" s="26" t="str">
        <f aca="false">IF(A2806="","",COUNTIFS(Apparitions!$G$2:$G$5001,A2806,Apparitions!$E$2:$E$5001,"○"))</f>
        <v/>
      </c>
      <c r="K2806" s="29" t="str">
        <f aca="false">IF(A2806="","",IFERROR(1/(1/_xlfn.MINIFS(Apparitions!$L$2:$L$5001,Apparitions!$G$2:$G$5001,A2806)),""))</f>
        <v/>
      </c>
      <c r="L2806" s="27" t="str">
        <f aca="false">IF(A2806="","",A2806&amp;" | "&amp;B2806&amp;IF(C2806="",""," ("&amp;C2806&amp;")")&amp;IF(D2806="",""," - "&amp;D2806))</f>
        <v/>
      </c>
    </row>
    <row r="2807" customFormat="false" ht="15" hidden="false" customHeight="false" outlineLevel="0" collapsed="false">
      <c r="A2807" s="32"/>
      <c r="B2807" s="19"/>
      <c r="C2807" s="19"/>
      <c r="D2807" s="19"/>
      <c r="E2807" s="21"/>
      <c r="F2807" s="19"/>
      <c r="G2807" s="27" t="str">
        <f aca="false">IF(B2807="","",IFERROR(INDEX(Jeux!$C$2:$C$3001,MATCH(B2807,Jeux!$A$2:$A$3001,0))&amp;"","⚠ jeu inconnu"))</f>
        <v/>
      </c>
      <c r="H2807" s="27" t="str">
        <f aca="false">IF(B2807="","",IFERROR(INDEX(Jeux!$D$2:$D$3001,MATCH(B2807,Jeux!$A$2:$A$3001,0))&amp;"",""))</f>
        <v/>
      </c>
      <c r="I2807" s="26" t="str">
        <f aca="false">IF(A2807="","",COUNTIF(Apparitions!$G$2:$G$5001,A2807))</f>
        <v/>
      </c>
      <c r="J2807" s="26" t="str">
        <f aca="false">IF(A2807="","",COUNTIFS(Apparitions!$G$2:$G$5001,A2807,Apparitions!$E$2:$E$5001,"○"))</f>
        <v/>
      </c>
      <c r="K2807" s="29" t="str">
        <f aca="false">IF(A2807="","",IFERROR(1/(1/_xlfn.MINIFS(Apparitions!$L$2:$L$5001,Apparitions!$G$2:$G$5001,A2807)),""))</f>
        <v/>
      </c>
      <c r="L2807" s="27" t="str">
        <f aca="false">IF(A2807="","",A2807&amp;" | "&amp;B2807&amp;IF(C2807="",""," ("&amp;C2807&amp;")")&amp;IF(D2807="",""," - "&amp;D2807))</f>
        <v/>
      </c>
    </row>
    <row r="2808" customFormat="false" ht="15" hidden="false" customHeight="false" outlineLevel="0" collapsed="false">
      <c r="A2808" s="32"/>
      <c r="B2808" s="19"/>
      <c r="C2808" s="19"/>
      <c r="D2808" s="19"/>
      <c r="E2808" s="21"/>
      <c r="F2808" s="19"/>
      <c r="G2808" s="27" t="str">
        <f aca="false">IF(B2808="","",IFERROR(INDEX(Jeux!$C$2:$C$3001,MATCH(B2808,Jeux!$A$2:$A$3001,0))&amp;"","⚠ jeu inconnu"))</f>
        <v/>
      </c>
      <c r="H2808" s="27" t="str">
        <f aca="false">IF(B2808="","",IFERROR(INDEX(Jeux!$D$2:$D$3001,MATCH(B2808,Jeux!$A$2:$A$3001,0))&amp;"",""))</f>
        <v/>
      </c>
      <c r="I2808" s="26" t="str">
        <f aca="false">IF(A2808="","",COUNTIF(Apparitions!$G$2:$G$5001,A2808))</f>
        <v/>
      </c>
      <c r="J2808" s="26" t="str">
        <f aca="false">IF(A2808="","",COUNTIFS(Apparitions!$G$2:$G$5001,A2808,Apparitions!$E$2:$E$5001,"○"))</f>
        <v/>
      </c>
      <c r="K2808" s="29" t="str">
        <f aca="false">IF(A2808="","",IFERROR(1/(1/_xlfn.MINIFS(Apparitions!$L$2:$L$5001,Apparitions!$G$2:$G$5001,A2808)),""))</f>
        <v/>
      </c>
      <c r="L2808" s="27" t="str">
        <f aca="false">IF(A2808="","",A2808&amp;" | "&amp;B2808&amp;IF(C2808="",""," ("&amp;C2808&amp;")")&amp;IF(D2808="",""," - "&amp;D2808))</f>
        <v/>
      </c>
    </row>
    <row r="2809" customFormat="false" ht="15" hidden="false" customHeight="false" outlineLevel="0" collapsed="false">
      <c r="A2809" s="32"/>
      <c r="B2809" s="19"/>
      <c r="C2809" s="19"/>
      <c r="D2809" s="19"/>
      <c r="E2809" s="21"/>
      <c r="F2809" s="19"/>
      <c r="G2809" s="27" t="str">
        <f aca="false">IF(B2809="","",IFERROR(INDEX(Jeux!$C$2:$C$3001,MATCH(B2809,Jeux!$A$2:$A$3001,0))&amp;"","⚠ jeu inconnu"))</f>
        <v/>
      </c>
      <c r="H2809" s="27" t="str">
        <f aca="false">IF(B2809="","",IFERROR(INDEX(Jeux!$D$2:$D$3001,MATCH(B2809,Jeux!$A$2:$A$3001,0))&amp;"",""))</f>
        <v/>
      </c>
      <c r="I2809" s="26" t="str">
        <f aca="false">IF(A2809="","",COUNTIF(Apparitions!$G$2:$G$5001,A2809))</f>
        <v/>
      </c>
      <c r="J2809" s="26" t="str">
        <f aca="false">IF(A2809="","",COUNTIFS(Apparitions!$G$2:$G$5001,A2809,Apparitions!$E$2:$E$5001,"○"))</f>
        <v/>
      </c>
      <c r="K2809" s="29" t="str">
        <f aca="false">IF(A2809="","",IFERROR(1/(1/_xlfn.MINIFS(Apparitions!$L$2:$L$5001,Apparitions!$G$2:$G$5001,A2809)),""))</f>
        <v/>
      </c>
      <c r="L2809" s="27" t="str">
        <f aca="false">IF(A2809="","",A2809&amp;" | "&amp;B2809&amp;IF(C2809="",""," ("&amp;C2809&amp;")")&amp;IF(D2809="",""," - "&amp;D2809))</f>
        <v/>
      </c>
    </row>
    <row r="2810" customFormat="false" ht="15" hidden="false" customHeight="false" outlineLevel="0" collapsed="false">
      <c r="A2810" s="32"/>
      <c r="B2810" s="19"/>
      <c r="C2810" s="19"/>
      <c r="D2810" s="19"/>
      <c r="E2810" s="21"/>
      <c r="F2810" s="19"/>
      <c r="G2810" s="27" t="str">
        <f aca="false">IF(B2810="","",IFERROR(INDEX(Jeux!$C$2:$C$3001,MATCH(B2810,Jeux!$A$2:$A$3001,0))&amp;"","⚠ jeu inconnu"))</f>
        <v/>
      </c>
      <c r="H2810" s="27" t="str">
        <f aca="false">IF(B2810="","",IFERROR(INDEX(Jeux!$D$2:$D$3001,MATCH(B2810,Jeux!$A$2:$A$3001,0))&amp;"",""))</f>
        <v/>
      </c>
      <c r="I2810" s="26" t="str">
        <f aca="false">IF(A2810="","",COUNTIF(Apparitions!$G$2:$G$5001,A2810))</f>
        <v/>
      </c>
      <c r="J2810" s="26" t="str">
        <f aca="false">IF(A2810="","",COUNTIFS(Apparitions!$G$2:$G$5001,A2810,Apparitions!$E$2:$E$5001,"○"))</f>
        <v/>
      </c>
      <c r="K2810" s="29" t="str">
        <f aca="false">IF(A2810="","",IFERROR(1/(1/_xlfn.MINIFS(Apparitions!$L$2:$L$5001,Apparitions!$G$2:$G$5001,A2810)),""))</f>
        <v/>
      </c>
      <c r="L2810" s="27" t="str">
        <f aca="false">IF(A2810="","",A2810&amp;" | "&amp;B2810&amp;IF(C2810="",""," ("&amp;C2810&amp;")")&amp;IF(D2810="",""," - "&amp;D2810))</f>
        <v/>
      </c>
    </row>
    <row r="2811" customFormat="false" ht="15" hidden="false" customHeight="false" outlineLevel="0" collapsed="false">
      <c r="A2811" s="32"/>
      <c r="B2811" s="19"/>
      <c r="C2811" s="19"/>
      <c r="D2811" s="19"/>
      <c r="E2811" s="21"/>
      <c r="F2811" s="19"/>
      <c r="G2811" s="27" t="str">
        <f aca="false">IF(B2811="","",IFERROR(INDEX(Jeux!$C$2:$C$3001,MATCH(B2811,Jeux!$A$2:$A$3001,0))&amp;"","⚠ jeu inconnu"))</f>
        <v/>
      </c>
      <c r="H2811" s="27" t="str">
        <f aca="false">IF(B2811="","",IFERROR(INDEX(Jeux!$D$2:$D$3001,MATCH(B2811,Jeux!$A$2:$A$3001,0))&amp;"",""))</f>
        <v/>
      </c>
      <c r="I2811" s="26" t="str">
        <f aca="false">IF(A2811="","",COUNTIF(Apparitions!$G$2:$G$5001,A2811))</f>
        <v/>
      </c>
      <c r="J2811" s="26" t="str">
        <f aca="false">IF(A2811="","",COUNTIFS(Apparitions!$G$2:$G$5001,A2811,Apparitions!$E$2:$E$5001,"○"))</f>
        <v/>
      </c>
      <c r="K2811" s="29" t="str">
        <f aca="false">IF(A2811="","",IFERROR(1/(1/_xlfn.MINIFS(Apparitions!$L$2:$L$5001,Apparitions!$G$2:$G$5001,A2811)),""))</f>
        <v/>
      </c>
      <c r="L2811" s="27" t="str">
        <f aca="false">IF(A2811="","",A2811&amp;" | "&amp;B2811&amp;IF(C2811="",""," ("&amp;C2811&amp;")")&amp;IF(D2811="",""," - "&amp;D2811))</f>
        <v/>
      </c>
    </row>
    <row r="2812" customFormat="false" ht="15" hidden="false" customHeight="false" outlineLevel="0" collapsed="false">
      <c r="A2812" s="32"/>
      <c r="B2812" s="19"/>
      <c r="C2812" s="19"/>
      <c r="D2812" s="19"/>
      <c r="E2812" s="21"/>
      <c r="F2812" s="19"/>
      <c r="G2812" s="27" t="str">
        <f aca="false">IF(B2812="","",IFERROR(INDEX(Jeux!$C$2:$C$3001,MATCH(B2812,Jeux!$A$2:$A$3001,0))&amp;"","⚠ jeu inconnu"))</f>
        <v/>
      </c>
      <c r="H2812" s="27" t="str">
        <f aca="false">IF(B2812="","",IFERROR(INDEX(Jeux!$D$2:$D$3001,MATCH(B2812,Jeux!$A$2:$A$3001,0))&amp;"",""))</f>
        <v/>
      </c>
      <c r="I2812" s="26" t="str">
        <f aca="false">IF(A2812="","",COUNTIF(Apparitions!$G$2:$G$5001,A2812))</f>
        <v/>
      </c>
      <c r="J2812" s="26" t="str">
        <f aca="false">IF(A2812="","",COUNTIFS(Apparitions!$G$2:$G$5001,A2812,Apparitions!$E$2:$E$5001,"○"))</f>
        <v/>
      </c>
      <c r="K2812" s="29" t="str">
        <f aca="false">IF(A2812="","",IFERROR(1/(1/_xlfn.MINIFS(Apparitions!$L$2:$L$5001,Apparitions!$G$2:$G$5001,A2812)),""))</f>
        <v/>
      </c>
      <c r="L2812" s="27" t="str">
        <f aca="false">IF(A2812="","",A2812&amp;" | "&amp;B2812&amp;IF(C2812="",""," ("&amp;C2812&amp;")")&amp;IF(D2812="",""," - "&amp;D2812))</f>
        <v/>
      </c>
    </row>
    <row r="2813" customFormat="false" ht="15" hidden="false" customHeight="false" outlineLevel="0" collapsed="false">
      <c r="A2813" s="32"/>
      <c r="B2813" s="19"/>
      <c r="C2813" s="19"/>
      <c r="D2813" s="19"/>
      <c r="E2813" s="21"/>
      <c r="F2813" s="19"/>
      <c r="G2813" s="27" t="str">
        <f aca="false">IF(B2813="","",IFERROR(INDEX(Jeux!$C$2:$C$3001,MATCH(B2813,Jeux!$A$2:$A$3001,0))&amp;"","⚠ jeu inconnu"))</f>
        <v/>
      </c>
      <c r="H2813" s="27" t="str">
        <f aca="false">IF(B2813="","",IFERROR(INDEX(Jeux!$D$2:$D$3001,MATCH(B2813,Jeux!$A$2:$A$3001,0))&amp;"",""))</f>
        <v/>
      </c>
      <c r="I2813" s="26" t="str">
        <f aca="false">IF(A2813="","",COUNTIF(Apparitions!$G$2:$G$5001,A2813))</f>
        <v/>
      </c>
      <c r="J2813" s="26" t="str">
        <f aca="false">IF(A2813="","",COUNTIFS(Apparitions!$G$2:$G$5001,A2813,Apparitions!$E$2:$E$5001,"○"))</f>
        <v/>
      </c>
      <c r="K2813" s="29" t="str">
        <f aca="false">IF(A2813="","",IFERROR(1/(1/_xlfn.MINIFS(Apparitions!$L$2:$L$5001,Apparitions!$G$2:$G$5001,A2813)),""))</f>
        <v/>
      </c>
      <c r="L2813" s="27" t="str">
        <f aca="false">IF(A2813="","",A2813&amp;" | "&amp;B2813&amp;IF(C2813="",""," ("&amp;C2813&amp;")")&amp;IF(D2813="",""," - "&amp;D2813))</f>
        <v/>
      </c>
    </row>
    <row r="2814" customFormat="false" ht="15" hidden="false" customHeight="false" outlineLevel="0" collapsed="false">
      <c r="A2814" s="32"/>
      <c r="B2814" s="19"/>
      <c r="C2814" s="19"/>
      <c r="D2814" s="19"/>
      <c r="E2814" s="21"/>
      <c r="F2814" s="19"/>
      <c r="G2814" s="27" t="str">
        <f aca="false">IF(B2814="","",IFERROR(INDEX(Jeux!$C$2:$C$3001,MATCH(B2814,Jeux!$A$2:$A$3001,0))&amp;"","⚠ jeu inconnu"))</f>
        <v/>
      </c>
      <c r="H2814" s="27" t="str">
        <f aca="false">IF(B2814="","",IFERROR(INDEX(Jeux!$D$2:$D$3001,MATCH(B2814,Jeux!$A$2:$A$3001,0))&amp;"",""))</f>
        <v/>
      </c>
      <c r="I2814" s="26" t="str">
        <f aca="false">IF(A2814="","",COUNTIF(Apparitions!$G$2:$G$5001,A2814))</f>
        <v/>
      </c>
      <c r="J2814" s="26" t="str">
        <f aca="false">IF(A2814="","",COUNTIFS(Apparitions!$G$2:$G$5001,A2814,Apparitions!$E$2:$E$5001,"○"))</f>
        <v/>
      </c>
      <c r="K2814" s="29" t="str">
        <f aca="false">IF(A2814="","",IFERROR(1/(1/_xlfn.MINIFS(Apparitions!$L$2:$L$5001,Apparitions!$G$2:$G$5001,A2814)),""))</f>
        <v/>
      </c>
      <c r="L2814" s="27" t="str">
        <f aca="false">IF(A2814="","",A2814&amp;" | "&amp;B2814&amp;IF(C2814="",""," ("&amp;C2814&amp;")")&amp;IF(D2814="",""," - "&amp;D2814))</f>
        <v/>
      </c>
    </row>
    <row r="2815" customFormat="false" ht="15" hidden="false" customHeight="false" outlineLevel="0" collapsed="false">
      <c r="A2815" s="32"/>
      <c r="B2815" s="19"/>
      <c r="C2815" s="19"/>
      <c r="D2815" s="19"/>
      <c r="E2815" s="21"/>
      <c r="F2815" s="19"/>
      <c r="G2815" s="27" t="str">
        <f aca="false">IF(B2815="","",IFERROR(INDEX(Jeux!$C$2:$C$3001,MATCH(B2815,Jeux!$A$2:$A$3001,0))&amp;"","⚠ jeu inconnu"))</f>
        <v/>
      </c>
      <c r="H2815" s="27" t="str">
        <f aca="false">IF(B2815="","",IFERROR(INDEX(Jeux!$D$2:$D$3001,MATCH(B2815,Jeux!$A$2:$A$3001,0))&amp;"",""))</f>
        <v/>
      </c>
      <c r="I2815" s="26" t="str">
        <f aca="false">IF(A2815="","",COUNTIF(Apparitions!$G$2:$G$5001,A2815))</f>
        <v/>
      </c>
      <c r="J2815" s="26" t="str">
        <f aca="false">IF(A2815="","",COUNTIFS(Apparitions!$G$2:$G$5001,A2815,Apparitions!$E$2:$E$5001,"○"))</f>
        <v/>
      </c>
      <c r="K2815" s="29" t="str">
        <f aca="false">IF(A2815="","",IFERROR(1/(1/_xlfn.MINIFS(Apparitions!$L$2:$L$5001,Apparitions!$G$2:$G$5001,A2815)),""))</f>
        <v/>
      </c>
      <c r="L2815" s="27" t="str">
        <f aca="false">IF(A2815="","",A2815&amp;" | "&amp;B2815&amp;IF(C2815="",""," ("&amp;C2815&amp;")")&amp;IF(D2815="",""," - "&amp;D2815))</f>
        <v/>
      </c>
    </row>
    <row r="2816" customFormat="false" ht="15" hidden="false" customHeight="false" outlineLevel="0" collapsed="false">
      <c r="A2816" s="32"/>
      <c r="B2816" s="19"/>
      <c r="C2816" s="19"/>
      <c r="D2816" s="19"/>
      <c r="E2816" s="21"/>
      <c r="F2816" s="19"/>
      <c r="G2816" s="27" t="str">
        <f aca="false">IF(B2816="","",IFERROR(INDEX(Jeux!$C$2:$C$3001,MATCH(B2816,Jeux!$A$2:$A$3001,0))&amp;"","⚠ jeu inconnu"))</f>
        <v/>
      </c>
      <c r="H2816" s="27" t="str">
        <f aca="false">IF(B2816="","",IFERROR(INDEX(Jeux!$D$2:$D$3001,MATCH(B2816,Jeux!$A$2:$A$3001,0))&amp;"",""))</f>
        <v/>
      </c>
      <c r="I2816" s="26" t="str">
        <f aca="false">IF(A2816="","",COUNTIF(Apparitions!$G$2:$G$5001,A2816))</f>
        <v/>
      </c>
      <c r="J2816" s="26" t="str">
        <f aca="false">IF(A2816="","",COUNTIFS(Apparitions!$G$2:$G$5001,A2816,Apparitions!$E$2:$E$5001,"○"))</f>
        <v/>
      </c>
      <c r="K2816" s="29" t="str">
        <f aca="false">IF(A2816="","",IFERROR(1/(1/_xlfn.MINIFS(Apparitions!$L$2:$L$5001,Apparitions!$G$2:$G$5001,A2816)),""))</f>
        <v/>
      </c>
      <c r="L2816" s="27" t="str">
        <f aca="false">IF(A2816="","",A2816&amp;" | "&amp;B2816&amp;IF(C2816="",""," ("&amp;C2816&amp;")")&amp;IF(D2816="",""," - "&amp;D2816))</f>
        <v/>
      </c>
    </row>
    <row r="2817" customFormat="false" ht="15" hidden="false" customHeight="false" outlineLevel="0" collapsed="false">
      <c r="A2817" s="32"/>
      <c r="B2817" s="19"/>
      <c r="C2817" s="19"/>
      <c r="D2817" s="19"/>
      <c r="E2817" s="21"/>
      <c r="F2817" s="19"/>
      <c r="G2817" s="27" t="str">
        <f aca="false">IF(B2817="","",IFERROR(INDEX(Jeux!$C$2:$C$3001,MATCH(B2817,Jeux!$A$2:$A$3001,0))&amp;"","⚠ jeu inconnu"))</f>
        <v/>
      </c>
      <c r="H2817" s="27" t="str">
        <f aca="false">IF(B2817="","",IFERROR(INDEX(Jeux!$D$2:$D$3001,MATCH(B2817,Jeux!$A$2:$A$3001,0))&amp;"",""))</f>
        <v/>
      </c>
      <c r="I2817" s="26" t="str">
        <f aca="false">IF(A2817="","",COUNTIF(Apparitions!$G$2:$G$5001,A2817))</f>
        <v/>
      </c>
      <c r="J2817" s="26" t="str">
        <f aca="false">IF(A2817="","",COUNTIFS(Apparitions!$G$2:$G$5001,A2817,Apparitions!$E$2:$E$5001,"○"))</f>
        <v/>
      </c>
      <c r="K2817" s="29" t="str">
        <f aca="false">IF(A2817="","",IFERROR(1/(1/_xlfn.MINIFS(Apparitions!$L$2:$L$5001,Apparitions!$G$2:$G$5001,A2817)),""))</f>
        <v/>
      </c>
      <c r="L2817" s="27" t="str">
        <f aca="false">IF(A2817="","",A2817&amp;" | "&amp;B2817&amp;IF(C2817="",""," ("&amp;C2817&amp;")")&amp;IF(D2817="",""," - "&amp;D2817))</f>
        <v/>
      </c>
    </row>
    <row r="2818" customFormat="false" ht="15" hidden="false" customHeight="false" outlineLevel="0" collapsed="false">
      <c r="A2818" s="32"/>
      <c r="B2818" s="19"/>
      <c r="C2818" s="19"/>
      <c r="D2818" s="19"/>
      <c r="E2818" s="21"/>
      <c r="F2818" s="19"/>
      <c r="G2818" s="27" t="str">
        <f aca="false">IF(B2818="","",IFERROR(INDEX(Jeux!$C$2:$C$3001,MATCH(B2818,Jeux!$A$2:$A$3001,0))&amp;"","⚠ jeu inconnu"))</f>
        <v/>
      </c>
      <c r="H2818" s="27" t="str">
        <f aca="false">IF(B2818="","",IFERROR(INDEX(Jeux!$D$2:$D$3001,MATCH(B2818,Jeux!$A$2:$A$3001,0))&amp;"",""))</f>
        <v/>
      </c>
      <c r="I2818" s="26" t="str">
        <f aca="false">IF(A2818="","",COUNTIF(Apparitions!$G$2:$G$5001,A2818))</f>
        <v/>
      </c>
      <c r="J2818" s="26" t="str">
        <f aca="false">IF(A2818="","",COUNTIFS(Apparitions!$G$2:$G$5001,A2818,Apparitions!$E$2:$E$5001,"○"))</f>
        <v/>
      </c>
      <c r="K2818" s="29" t="str">
        <f aca="false">IF(A2818="","",IFERROR(1/(1/_xlfn.MINIFS(Apparitions!$L$2:$L$5001,Apparitions!$G$2:$G$5001,A2818)),""))</f>
        <v/>
      </c>
      <c r="L2818" s="27" t="str">
        <f aca="false">IF(A2818="","",A2818&amp;" | "&amp;B2818&amp;IF(C2818="",""," ("&amp;C2818&amp;")")&amp;IF(D2818="",""," - "&amp;D2818))</f>
        <v/>
      </c>
    </row>
    <row r="2819" customFormat="false" ht="15" hidden="false" customHeight="false" outlineLevel="0" collapsed="false">
      <c r="A2819" s="32"/>
      <c r="B2819" s="19"/>
      <c r="C2819" s="19"/>
      <c r="D2819" s="19"/>
      <c r="E2819" s="21"/>
      <c r="F2819" s="19"/>
      <c r="G2819" s="27" t="str">
        <f aca="false">IF(B2819="","",IFERROR(INDEX(Jeux!$C$2:$C$3001,MATCH(B2819,Jeux!$A$2:$A$3001,0))&amp;"","⚠ jeu inconnu"))</f>
        <v/>
      </c>
      <c r="H2819" s="27" t="str">
        <f aca="false">IF(B2819="","",IFERROR(INDEX(Jeux!$D$2:$D$3001,MATCH(B2819,Jeux!$A$2:$A$3001,0))&amp;"",""))</f>
        <v/>
      </c>
      <c r="I2819" s="26" t="str">
        <f aca="false">IF(A2819="","",COUNTIF(Apparitions!$G$2:$G$5001,A2819))</f>
        <v/>
      </c>
      <c r="J2819" s="26" t="str">
        <f aca="false">IF(A2819="","",COUNTIFS(Apparitions!$G$2:$G$5001,A2819,Apparitions!$E$2:$E$5001,"○"))</f>
        <v/>
      </c>
      <c r="K2819" s="29" t="str">
        <f aca="false">IF(A2819="","",IFERROR(1/(1/_xlfn.MINIFS(Apparitions!$L$2:$L$5001,Apparitions!$G$2:$G$5001,A2819)),""))</f>
        <v/>
      </c>
      <c r="L2819" s="27" t="str">
        <f aca="false">IF(A2819="","",A2819&amp;" | "&amp;B2819&amp;IF(C2819="",""," ("&amp;C2819&amp;")")&amp;IF(D2819="",""," - "&amp;D2819))</f>
        <v/>
      </c>
    </row>
    <row r="2820" customFormat="false" ht="15" hidden="false" customHeight="false" outlineLevel="0" collapsed="false">
      <c r="A2820" s="32"/>
      <c r="B2820" s="19"/>
      <c r="C2820" s="19"/>
      <c r="D2820" s="19"/>
      <c r="E2820" s="21"/>
      <c r="F2820" s="19"/>
      <c r="G2820" s="27" t="str">
        <f aca="false">IF(B2820="","",IFERROR(INDEX(Jeux!$C$2:$C$3001,MATCH(B2820,Jeux!$A$2:$A$3001,0))&amp;"","⚠ jeu inconnu"))</f>
        <v/>
      </c>
      <c r="H2820" s="27" t="str">
        <f aca="false">IF(B2820="","",IFERROR(INDEX(Jeux!$D$2:$D$3001,MATCH(B2820,Jeux!$A$2:$A$3001,0))&amp;"",""))</f>
        <v/>
      </c>
      <c r="I2820" s="26" t="str">
        <f aca="false">IF(A2820="","",COUNTIF(Apparitions!$G$2:$G$5001,A2820))</f>
        <v/>
      </c>
      <c r="J2820" s="26" t="str">
        <f aca="false">IF(A2820="","",COUNTIFS(Apparitions!$G$2:$G$5001,A2820,Apparitions!$E$2:$E$5001,"○"))</f>
        <v/>
      </c>
      <c r="K2820" s="29" t="str">
        <f aca="false">IF(A2820="","",IFERROR(1/(1/_xlfn.MINIFS(Apparitions!$L$2:$L$5001,Apparitions!$G$2:$G$5001,A2820)),""))</f>
        <v/>
      </c>
      <c r="L2820" s="27" t="str">
        <f aca="false">IF(A2820="","",A2820&amp;" | "&amp;B2820&amp;IF(C2820="",""," ("&amp;C2820&amp;")")&amp;IF(D2820="",""," - "&amp;D2820))</f>
        <v/>
      </c>
    </row>
    <row r="2821" customFormat="false" ht="15" hidden="false" customHeight="false" outlineLevel="0" collapsed="false">
      <c r="A2821" s="32"/>
      <c r="B2821" s="19"/>
      <c r="C2821" s="19"/>
      <c r="D2821" s="19"/>
      <c r="E2821" s="21"/>
      <c r="F2821" s="19"/>
      <c r="G2821" s="27" t="str">
        <f aca="false">IF(B2821="","",IFERROR(INDEX(Jeux!$C$2:$C$3001,MATCH(B2821,Jeux!$A$2:$A$3001,0))&amp;"","⚠ jeu inconnu"))</f>
        <v/>
      </c>
      <c r="H2821" s="27" t="str">
        <f aca="false">IF(B2821="","",IFERROR(INDEX(Jeux!$D$2:$D$3001,MATCH(B2821,Jeux!$A$2:$A$3001,0))&amp;"",""))</f>
        <v/>
      </c>
      <c r="I2821" s="26" t="str">
        <f aca="false">IF(A2821="","",COUNTIF(Apparitions!$G$2:$G$5001,A2821))</f>
        <v/>
      </c>
      <c r="J2821" s="26" t="str">
        <f aca="false">IF(A2821="","",COUNTIFS(Apparitions!$G$2:$G$5001,A2821,Apparitions!$E$2:$E$5001,"○"))</f>
        <v/>
      </c>
      <c r="K2821" s="29" t="str">
        <f aca="false">IF(A2821="","",IFERROR(1/(1/_xlfn.MINIFS(Apparitions!$L$2:$L$5001,Apparitions!$G$2:$G$5001,A2821)),""))</f>
        <v/>
      </c>
      <c r="L2821" s="27" t="str">
        <f aca="false">IF(A2821="","",A2821&amp;" | "&amp;B2821&amp;IF(C2821="",""," ("&amp;C2821&amp;")")&amp;IF(D2821="",""," - "&amp;D2821))</f>
        <v/>
      </c>
    </row>
    <row r="2822" customFormat="false" ht="15" hidden="false" customHeight="false" outlineLevel="0" collapsed="false">
      <c r="A2822" s="32"/>
      <c r="B2822" s="19"/>
      <c r="C2822" s="19"/>
      <c r="D2822" s="19"/>
      <c r="E2822" s="21"/>
      <c r="F2822" s="19"/>
      <c r="G2822" s="27" t="str">
        <f aca="false">IF(B2822="","",IFERROR(INDEX(Jeux!$C$2:$C$3001,MATCH(B2822,Jeux!$A$2:$A$3001,0))&amp;"","⚠ jeu inconnu"))</f>
        <v/>
      </c>
      <c r="H2822" s="27" t="str">
        <f aca="false">IF(B2822="","",IFERROR(INDEX(Jeux!$D$2:$D$3001,MATCH(B2822,Jeux!$A$2:$A$3001,0))&amp;"",""))</f>
        <v/>
      </c>
      <c r="I2822" s="26" t="str">
        <f aca="false">IF(A2822="","",COUNTIF(Apparitions!$G$2:$G$5001,A2822))</f>
        <v/>
      </c>
      <c r="J2822" s="26" t="str">
        <f aca="false">IF(A2822="","",COUNTIFS(Apparitions!$G$2:$G$5001,A2822,Apparitions!$E$2:$E$5001,"○"))</f>
        <v/>
      </c>
      <c r="K2822" s="29" t="str">
        <f aca="false">IF(A2822="","",IFERROR(1/(1/_xlfn.MINIFS(Apparitions!$L$2:$L$5001,Apparitions!$G$2:$G$5001,A2822)),""))</f>
        <v/>
      </c>
      <c r="L2822" s="27" t="str">
        <f aca="false">IF(A2822="","",A2822&amp;" | "&amp;B2822&amp;IF(C2822="",""," ("&amp;C2822&amp;")")&amp;IF(D2822="",""," - "&amp;D2822))</f>
        <v/>
      </c>
    </row>
    <row r="2823" customFormat="false" ht="15" hidden="false" customHeight="false" outlineLevel="0" collapsed="false">
      <c r="A2823" s="32"/>
      <c r="B2823" s="19"/>
      <c r="C2823" s="19"/>
      <c r="D2823" s="19"/>
      <c r="E2823" s="21"/>
      <c r="F2823" s="19"/>
      <c r="G2823" s="27" t="str">
        <f aca="false">IF(B2823="","",IFERROR(INDEX(Jeux!$C$2:$C$3001,MATCH(B2823,Jeux!$A$2:$A$3001,0))&amp;"","⚠ jeu inconnu"))</f>
        <v/>
      </c>
      <c r="H2823" s="27" t="str">
        <f aca="false">IF(B2823="","",IFERROR(INDEX(Jeux!$D$2:$D$3001,MATCH(B2823,Jeux!$A$2:$A$3001,0))&amp;"",""))</f>
        <v/>
      </c>
      <c r="I2823" s="26" t="str">
        <f aca="false">IF(A2823="","",COUNTIF(Apparitions!$G$2:$G$5001,A2823))</f>
        <v/>
      </c>
      <c r="J2823" s="26" t="str">
        <f aca="false">IF(A2823="","",COUNTIFS(Apparitions!$G$2:$G$5001,A2823,Apparitions!$E$2:$E$5001,"○"))</f>
        <v/>
      </c>
      <c r="K2823" s="29" t="str">
        <f aca="false">IF(A2823="","",IFERROR(1/(1/_xlfn.MINIFS(Apparitions!$L$2:$L$5001,Apparitions!$G$2:$G$5001,A2823)),""))</f>
        <v/>
      </c>
      <c r="L2823" s="27" t="str">
        <f aca="false">IF(A2823="","",A2823&amp;" | "&amp;B2823&amp;IF(C2823="",""," ("&amp;C2823&amp;")")&amp;IF(D2823="",""," - "&amp;D2823))</f>
        <v/>
      </c>
    </row>
    <row r="2824" customFormat="false" ht="15" hidden="false" customHeight="false" outlineLevel="0" collapsed="false">
      <c r="A2824" s="32"/>
      <c r="B2824" s="19"/>
      <c r="C2824" s="19"/>
      <c r="D2824" s="19"/>
      <c r="E2824" s="21"/>
      <c r="F2824" s="19"/>
      <c r="G2824" s="27" t="str">
        <f aca="false">IF(B2824="","",IFERROR(INDEX(Jeux!$C$2:$C$3001,MATCH(B2824,Jeux!$A$2:$A$3001,0))&amp;"","⚠ jeu inconnu"))</f>
        <v/>
      </c>
      <c r="H2824" s="27" t="str">
        <f aca="false">IF(B2824="","",IFERROR(INDEX(Jeux!$D$2:$D$3001,MATCH(B2824,Jeux!$A$2:$A$3001,0))&amp;"",""))</f>
        <v/>
      </c>
      <c r="I2824" s="26" t="str">
        <f aca="false">IF(A2824="","",COUNTIF(Apparitions!$G$2:$G$5001,A2824))</f>
        <v/>
      </c>
      <c r="J2824" s="26" t="str">
        <f aca="false">IF(A2824="","",COUNTIFS(Apparitions!$G$2:$G$5001,A2824,Apparitions!$E$2:$E$5001,"○"))</f>
        <v/>
      </c>
      <c r="K2824" s="29" t="str">
        <f aca="false">IF(A2824="","",IFERROR(1/(1/_xlfn.MINIFS(Apparitions!$L$2:$L$5001,Apparitions!$G$2:$G$5001,A2824)),""))</f>
        <v/>
      </c>
      <c r="L2824" s="27" t="str">
        <f aca="false">IF(A2824="","",A2824&amp;" | "&amp;B2824&amp;IF(C2824="",""," ("&amp;C2824&amp;")")&amp;IF(D2824="",""," - "&amp;D2824))</f>
        <v/>
      </c>
    </row>
    <row r="2825" customFormat="false" ht="15" hidden="false" customHeight="false" outlineLevel="0" collapsed="false">
      <c r="A2825" s="32"/>
      <c r="B2825" s="19"/>
      <c r="C2825" s="19"/>
      <c r="D2825" s="19"/>
      <c r="E2825" s="21"/>
      <c r="F2825" s="19"/>
      <c r="G2825" s="27" t="str">
        <f aca="false">IF(B2825="","",IFERROR(INDEX(Jeux!$C$2:$C$3001,MATCH(B2825,Jeux!$A$2:$A$3001,0))&amp;"","⚠ jeu inconnu"))</f>
        <v/>
      </c>
      <c r="H2825" s="27" t="str">
        <f aca="false">IF(B2825="","",IFERROR(INDEX(Jeux!$D$2:$D$3001,MATCH(B2825,Jeux!$A$2:$A$3001,0))&amp;"",""))</f>
        <v/>
      </c>
      <c r="I2825" s="26" t="str">
        <f aca="false">IF(A2825="","",COUNTIF(Apparitions!$G$2:$G$5001,A2825))</f>
        <v/>
      </c>
      <c r="J2825" s="26" t="str">
        <f aca="false">IF(A2825="","",COUNTIFS(Apparitions!$G$2:$G$5001,A2825,Apparitions!$E$2:$E$5001,"○"))</f>
        <v/>
      </c>
      <c r="K2825" s="29" t="str">
        <f aca="false">IF(A2825="","",IFERROR(1/(1/_xlfn.MINIFS(Apparitions!$L$2:$L$5001,Apparitions!$G$2:$G$5001,A2825)),""))</f>
        <v/>
      </c>
      <c r="L2825" s="27" t="str">
        <f aca="false">IF(A2825="","",A2825&amp;" | "&amp;B2825&amp;IF(C2825="",""," ("&amp;C2825&amp;")")&amp;IF(D2825="",""," - "&amp;D2825))</f>
        <v/>
      </c>
    </row>
    <row r="2826" customFormat="false" ht="15" hidden="false" customHeight="false" outlineLevel="0" collapsed="false">
      <c r="A2826" s="32"/>
      <c r="B2826" s="19"/>
      <c r="C2826" s="19"/>
      <c r="D2826" s="19"/>
      <c r="E2826" s="21"/>
      <c r="F2826" s="19"/>
      <c r="G2826" s="27" t="str">
        <f aca="false">IF(B2826="","",IFERROR(INDEX(Jeux!$C$2:$C$3001,MATCH(B2826,Jeux!$A$2:$A$3001,0))&amp;"","⚠ jeu inconnu"))</f>
        <v/>
      </c>
      <c r="H2826" s="27" t="str">
        <f aca="false">IF(B2826="","",IFERROR(INDEX(Jeux!$D$2:$D$3001,MATCH(B2826,Jeux!$A$2:$A$3001,0))&amp;"",""))</f>
        <v/>
      </c>
      <c r="I2826" s="26" t="str">
        <f aca="false">IF(A2826="","",COUNTIF(Apparitions!$G$2:$G$5001,A2826))</f>
        <v/>
      </c>
      <c r="J2826" s="26" t="str">
        <f aca="false">IF(A2826="","",COUNTIFS(Apparitions!$G$2:$G$5001,A2826,Apparitions!$E$2:$E$5001,"○"))</f>
        <v/>
      </c>
      <c r="K2826" s="29" t="str">
        <f aca="false">IF(A2826="","",IFERROR(1/(1/_xlfn.MINIFS(Apparitions!$L$2:$L$5001,Apparitions!$G$2:$G$5001,A2826)),""))</f>
        <v/>
      </c>
      <c r="L2826" s="27" t="str">
        <f aca="false">IF(A2826="","",A2826&amp;" | "&amp;B2826&amp;IF(C2826="",""," ("&amp;C2826&amp;")")&amp;IF(D2826="",""," - "&amp;D2826))</f>
        <v/>
      </c>
    </row>
    <row r="2827" customFormat="false" ht="15" hidden="false" customHeight="false" outlineLevel="0" collapsed="false">
      <c r="A2827" s="32"/>
      <c r="B2827" s="19"/>
      <c r="C2827" s="19"/>
      <c r="D2827" s="19"/>
      <c r="E2827" s="21"/>
      <c r="F2827" s="19"/>
      <c r="G2827" s="27" t="str">
        <f aca="false">IF(B2827="","",IFERROR(INDEX(Jeux!$C$2:$C$3001,MATCH(B2827,Jeux!$A$2:$A$3001,0))&amp;"","⚠ jeu inconnu"))</f>
        <v/>
      </c>
      <c r="H2827" s="27" t="str">
        <f aca="false">IF(B2827="","",IFERROR(INDEX(Jeux!$D$2:$D$3001,MATCH(B2827,Jeux!$A$2:$A$3001,0))&amp;"",""))</f>
        <v/>
      </c>
      <c r="I2827" s="26" t="str">
        <f aca="false">IF(A2827="","",COUNTIF(Apparitions!$G$2:$G$5001,A2827))</f>
        <v/>
      </c>
      <c r="J2827" s="26" t="str">
        <f aca="false">IF(A2827="","",COUNTIFS(Apparitions!$G$2:$G$5001,A2827,Apparitions!$E$2:$E$5001,"○"))</f>
        <v/>
      </c>
      <c r="K2827" s="29" t="str">
        <f aca="false">IF(A2827="","",IFERROR(1/(1/_xlfn.MINIFS(Apparitions!$L$2:$L$5001,Apparitions!$G$2:$G$5001,A2827)),""))</f>
        <v/>
      </c>
      <c r="L2827" s="27" t="str">
        <f aca="false">IF(A2827="","",A2827&amp;" | "&amp;B2827&amp;IF(C2827="",""," ("&amp;C2827&amp;")")&amp;IF(D2827="",""," - "&amp;D2827))</f>
        <v/>
      </c>
    </row>
    <row r="2828" customFormat="false" ht="15" hidden="false" customHeight="false" outlineLevel="0" collapsed="false">
      <c r="A2828" s="32"/>
      <c r="B2828" s="19"/>
      <c r="C2828" s="19"/>
      <c r="D2828" s="19"/>
      <c r="E2828" s="21"/>
      <c r="F2828" s="19"/>
      <c r="G2828" s="27" t="str">
        <f aca="false">IF(B2828="","",IFERROR(INDEX(Jeux!$C$2:$C$3001,MATCH(B2828,Jeux!$A$2:$A$3001,0))&amp;"","⚠ jeu inconnu"))</f>
        <v/>
      </c>
      <c r="H2828" s="27" t="str">
        <f aca="false">IF(B2828="","",IFERROR(INDEX(Jeux!$D$2:$D$3001,MATCH(B2828,Jeux!$A$2:$A$3001,0))&amp;"",""))</f>
        <v/>
      </c>
      <c r="I2828" s="26" t="str">
        <f aca="false">IF(A2828="","",COUNTIF(Apparitions!$G$2:$G$5001,A2828))</f>
        <v/>
      </c>
      <c r="J2828" s="26" t="str">
        <f aca="false">IF(A2828="","",COUNTIFS(Apparitions!$G$2:$G$5001,A2828,Apparitions!$E$2:$E$5001,"○"))</f>
        <v/>
      </c>
      <c r="K2828" s="29" t="str">
        <f aca="false">IF(A2828="","",IFERROR(1/(1/_xlfn.MINIFS(Apparitions!$L$2:$L$5001,Apparitions!$G$2:$G$5001,A2828)),""))</f>
        <v/>
      </c>
      <c r="L2828" s="27" t="str">
        <f aca="false">IF(A2828="","",A2828&amp;" | "&amp;B2828&amp;IF(C2828="",""," ("&amp;C2828&amp;")")&amp;IF(D2828="",""," - "&amp;D2828))</f>
        <v/>
      </c>
    </row>
    <row r="2829" customFormat="false" ht="15" hidden="false" customHeight="false" outlineLevel="0" collapsed="false">
      <c r="A2829" s="32"/>
      <c r="B2829" s="19"/>
      <c r="C2829" s="19"/>
      <c r="D2829" s="19"/>
      <c r="E2829" s="21"/>
      <c r="F2829" s="19"/>
      <c r="G2829" s="27" t="str">
        <f aca="false">IF(B2829="","",IFERROR(INDEX(Jeux!$C$2:$C$3001,MATCH(B2829,Jeux!$A$2:$A$3001,0))&amp;"","⚠ jeu inconnu"))</f>
        <v/>
      </c>
      <c r="H2829" s="27" t="str">
        <f aca="false">IF(B2829="","",IFERROR(INDEX(Jeux!$D$2:$D$3001,MATCH(B2829,Jeux!$A$2:$A$3001,0))&amp;"",""))</f>
        <v/>
      </c>
      <c r="I2829" s="26" t="str">
        <f aca="false">IF(A2829="","",COUNTIF(Apparitions!$G$2:$G$5001,A2829))</f>
        <v/>
      </c>
      <c r="J2829" s="26" t="str">
        <f aca="false">IF(A2829="","",COUNTIFS(Apparitions!$G$2:$G$5001,A2829,Apparitions!$E$2:$E$5001,"○"))</f>
        <v/>
      </c>
      <c r="K2829" s="29" t="str">
        <f aca="false">IF(A2829="","",IFERROR(1/(1/_xlfn.MINIFS(Apparitions!$L$2:$L$5001,Apparitions!$G$2:$G$5001,A2829)),""))</f>
        <v/>
      </c>
      <c r="L2829" s="27" t="str">
        <f aca="false">IF(A2829="","",A2829&amp;" | "&amp;B2829&amp;IF(C2829="",""," ("&amp;C2829&amp;")")&amp;IF(D2829="",""," - "&amp;D2829))</f>
        <v/>
      </c>
    </row>
    <row r="2830" customFormat="false" ht="15" hidden="false" customHeight="false" outlineLevel="0" collapsed="false">
      <c r="A2830" s="32"/>
      <c r="B2830" s="19"/>
      <c r="C2830" s="19"/>
      <c r="D2830" s="19"/>
      <c r="E2830" s="21"/>
      <c r="F2830" s="19"/>
      <c r="G2830" s="27" t="str">
        <f aca="false">IF(B2830="","",IFERROR(INDEX(Jeux!$C$2:$C$3001,MATCH(B2830,Jeux!$A$2:$A$3001,0))&amp;"","⚠ jeu inconnu"))</f>
        <v/>
      </c>
      <c r="H2830" s="27" t="str">
        <f aca="false">IF(B2830="","",IFERROR(INDEX(Jeux!$D$2:$D$3001,MATCH(B2830,Jeux!$A$2:$A$3001,0))&amp;"",""))</f>
        <v/>
      </c>
      <c r="I2830" s="26" t="str">
        <f aca="false">IF(A2830="","",COUNTIF(Apparitions!$G$2:$G$5001,A2830))</f>
        <v/>
      </c>
      <c r="J2830" s="26" t="str">
        <f aca="false">IF(A2830="","",COUNTIFS(Apparitions!$G$2:$G$5001,A2830,Apparitions!$E$2:$E$5001,"○"))</f>
        <v/>
      </c>
      <c r="K2830" s="29" t="str">
        <f aca="false">IF(A2830="","",IFERROR(1/(1/_xlfn.MINIFS(Apparitions!$L$2:$L$5001,Apparitions!$G$2:$G$5001,A2830)),""))</f>
        <v/>
      </c>
      <c r="L2830" s="27" t="str">
        <f aca="false">IF(A2830="","",A2830&amp;" | "&amp;B2830&amp;IF(C2830="",""," ("&amp;C2830&amp;")")&amp;IF(D2830="",""," - "&amp;D2830))</f>
        <v/>
      </c>
    </row>
    <row r="2831" customFormat="false" ht="15" hidden="false" customHeight="false" outlineLevel="0" collapsed="false">
      <c r="A2831" s="32"/>
      <c r="B2831" s="19"/>
      <c r="C2831" s="19"/>
      <c r="D2831" s="19"/>
      <c r="E2831" s="21"/>
      <c r="F2831" s="19"/>
      <c r="G2831" s="27" t="str">
        <f aca="false">IF(B2831="","",IFERROR(INDEX(Jeux!$C$2:$C$3001,MATCH(B2831,Jeux!$A$2:$A$3001,0))&amp;"","⚠ jeu inconnu"))</f>
        <v/>
      </c>
      <c r="H2831" s="27" t="str">
        <f aca="false">IF(B2831="","",IFERROR(INDEX(Jeux!$D$2:$D$3001,MATCH(B2831,Jeux!$A$2:$A$3001,0))&amp;"",""))</f>
        <v/>
      </c>
      <c r="I2831" s="26" t="str">
        <f aca="false">IF(A2831="","",COUNTIF(Apparitions!$G$2:$G$5001,A2831))</f>
        <v/>
      </c>
      <c r="J2831" s="26" t="str">
        <f aca="false">IF(A2831="","",COUNTIFS(Apparitions!$G$2:$G$5001,A2831,Apparitions!$E$2:$E$5001,"○"))</f>
        <v/>
      </c>
      <c r="K2831" s="29" t="str">
        <f aca="false">IF(A2831="","",IFERROR(1/(1/_xlfn.MINIFS(Apparitions!$L$2:$L$5001,Apparitions!$G$2:$G$5001,A2831)),""))</f>
        <v/>
      </c>
      <c r="L2831" s="27" t="str">
        <f aca="false">IF(A2831="","",A2831&amp;" | "&amp;B2831&amp;IF(C2831="",""," ("&amp;C2831&amp;")")&amp;IF(D2831="",""," - "&amp;D2831))</f>
        <v/>
      </c>
    </row>
    <row r="2832" customFormat="false" ht="15" hidden="false" customHeight="false" outlineLevel="0" collapsed="false">
      <c r="A2832" s="32"/>
      <c r="B2832" s="19"/>
      <c r="C2832" s="19"/>
      <c r="D2832" s="19"/>
      <c r="E2832" s="21"/>
      <c r="F2832" s="19"/>
      <c r="G2832" s="27" t="str">
        <f aca="false">IF(B2832="","",IFERROR(INDEX(Jeux!$C$2:$C$3001,MATCH(B2832,Jeux!$A$2:$A$3001,0))&amp;"","⚠ jeu inconnu"))</f>
        <v/>
      </c>
      <c r="H2832" s="27" t="str">
        <f aca="false">IF(B2832="","",IFERROR(INDEX(Jeux!$D$2:$D$3001,MATCH(B2832,Jeux!$A$2:$A$3001,0))&amp;"",""))</f>
        <v/>
      </c>
      <c r="I2832" s="26" t="str">
        <f aca="false">IF(A2832="","",COUNTIF(Apparitions!$G$2:$G$5001,A2832))</f>
        <v/>
      </c>
      <c r="J2832" s="26" t="str">
        <f aca="false">IF(A2832="","",COUNTIFS(Apparitions!$G$2:$G$5001,A2832,Apparitions!$E$2:$E$5001,"○"))</f>
        <v/>
      </c>
      <c r="K2832" s="29" t="str">
        <f aca="false">IF(A2832="","",IFERROR(1/(1/_xlfn.MINIFS(Apparitions!$L$2:$L$5001,Apparitions!$G$2:$G$5001,A2832)),""))</f>
        <v/>
      </c>
      <c r="L2832" s="27" t="str">
        <f aca="false">IF(A2832="","",A2832&amp;" | "&amp;B2832&amp;IF(C2832="",""," ("&amp;C2832&amp;")")&amp;IF(D2832="",""," - "&amp;D2832))</f>
        <v/>
      </c>
    </row>
    <row r="2833" customFormat="false" ht="15" hidden="false" customHeight="false" outlineLevel="0" collapsed="false">
      <c r="A2833" s="32"/>
      <c r="B2833" s="19"/>
      <c r="C2833" s="19"/>
      <c r="D2833" s="19"/>
      <c r="E2833" s="21"/>
      <c r="F2833" s="19"/>
      <c r="G2833" s="27" t="str">
        <f aca="false">IF(B2833="","",IFERROR(INDEX(Jeux!$C$2:$C$3001,MATCH(B2833,Jeux!$A$2:$A$3001,0))&amp;"","⚠ jeu inconnu"))</f>
        <v/>
      </c>
      <c r="H2833" s="27" t="str">
        <f aca="false">IF(B2833="","",IFERROR(INDEX(Jeux!$D$2:$D$3001,MATCH(B2833,Jeux!$A$2:$A$3001,0))&amp;"",""))</f>
        <v/>
      </c>
      <c r="I2833" s="26" t="str">
        <f aca="false">IF(A2833="","",COUNTIF(Apparitions!$G$2:$G$5001,A2833))</f>
        <v/>
      </c>
      <c r="J2833" s="26" t="str">
        <f aca="false">IF(A2833="","",COUNTIFS(Apparitions!$G$2:$G$5001,A2833,Apparitions!$E$2:$E$5001,"○"))</f>
        <v/>
      </c>
      <c r="K2833" s="29" t="str">
        <f aca="false">IF(A2833="","",IFERROR(1/(1/_xlfn.MINIFS(Apparitions!$L$2:$L$5001,Apparitions!$G$2:$G$5001,A2833)),""))</f>
        <v/>
      </c>
      <c r="L2833" s="27" t="str">
        <f aca="false">IF(A2833="","",A2833&amp;" | "&amp;B2833&amp;IF(C2833="",""," ("&amp;C2833&amp;")")&amp;IF(D2833="",""," - "&amp;D2833))</f>
        <v/>
      </c>
    </row>
    <row r="2834" customFormat="false" ht="15" hidden="false" customHeight="false" outlineLevel="0" collapsed="false">
      <c r="A2834" s="32"/>
      <c r="B2834" s="19"/>
      <c r="C2834" s="19"/>
      <c r="D2834" s="19"/>
      <c r="E2834" s="21"/>
      <c r="F2834" s="19"/>
      <c r="G2834" s="27" t="str">
        <f aca="false">IF(B2834="","",IFERROR(INDEX(Jeux!$C$2:$C$3001,MATCH(B2834,Jeux!$A$2:$A$3001,0))&amp;"","⚠ jeu inconnu"))</f>
        <v/>
      </c>
      <c r="H2834" s="27" t="str">
        <f aca="false">IF(B2834="","",IFERROR(INDEX(Jeux!$D$2:$D$3001,MATCH(B2834,Jeux!$A$2:$A$3001,0))&amp;"",""))</f>
        <v/>
      </c>
      <c r="I2834" s="26" t="str">
        <f aca="false">IF(A2834="","",COUNTIF(Apparitions!$G$2:$G$5001,A2834))</f>
        <v/>
      </c>
      <c r="J2834" s="26" t="str">
        <f aca="false">IF(A2834="","",COUNTIFS(Apparitions!$G$2:$G$5001,A2834,Apparitions!$E$2:$E$5001,"○"))</f>
        <v/>
      </c>
      <c r="K2834" s="29" t="str">
        <f aca="false">IF(A2834="","",IFERROR(1/(1/_xlfn.MINIFS(Apparitions!$L$2:$L$5001,Apparitions!$G$2:$G$5001,A2834)),""))</f>
        <v/>
      </c>
      <c r="L2834" s="27" t="str">
        <f aca="false">IF(A2834="","",A2834&amp;" | "&amp;B2834&amp;IF(C2834="",""," ("&amp;C2834&amp;")")&amp;IF(D2834="",""," - "&amp;D2834))</f>
        <v/>
      </c>
    </row>
    <row r="2835" customFormat="false" ht="15" hidden="false" customHeight="false" outlineLevel="0" collapsed="false">
      <c r="A2835" s="32"/>
      <c r="B2835" s="19"/>
      <c r="C2835" s="19"/>
      <c r="D2835" s="19"/>
      <c r="E2835" s="21"/>
      <c r="F2835" s="19"/>
      <c r="G2835" s="27" t="str">
        <f aca="false">IF(B2835="","",IFERROR(INDEX(Jeux!$C$2:$C$3001,MATCH(B2835,Jeux!$A$2:$A$3001,0))&amp;"","⚠ jeu inconnu"))</f>
        <v/>
      </c>
      <c r="H2835" s="27" t="str">
        <f aca="false">IF(B2835="","",IFERROR(INDEX(Jeux!$D$2:$D$3001,MATCH(B2835,Jeux!$A$2:$A$3001,0))&amp;"",""))</f>
        <v/>
      </c>
      <c r="I2835" s="26" t="str">
        <f aca="false">IF(A2835="","",COUNTIF(Apparitions!$G$2:$G$5001,A2835))</f>
        <v/>
      </c>
      <c r="J2835" s="26" t="str">
        <f aca="false">IF(A2835="","",COUNTIFS(Apparitions!$G$2:$G$5001,A2835,Apparitions!$E$2:$E$5001,"○"))</f>
        <v/>
      </c>
      <c r="K2835" s="29" t="str">
        <f aca="false">IF(A2835="","",IFERROR(1/(1/_xlfn.MINIFS(Apparitions!$L$2:$L$5001,Apparitions!$G$2:$G$5001,A2835)),""))</f>
        <v/>
      </c>
      <c r="L2835" s="27" t="str">
        <f aca="false">IF(A2835="","",A2835&amp;" | "&amp;B2835&amp;IF(C2835="",""," ("&amp;C2835&amp;")")&amp;IF(D2835="",""," - "&amp;D2835))</f>
        <v/>
      </c>
    </row>
    <row r="2836" customFormat="false" ht="15" hidden="false" customHeight="false" outlineLevel="0" collapsed="false">
      <c r="A2836" s="32"/>
      <c r="B2836" s="19"/>
      <c r="C2836" s="19"/>
      <c r="D2836" s="19"/>
      <c r="E2836" s="21"/>
      <c r="F2836" s="19"/>
      <c r="G2836" s="27" t="str">
        <f aca="false">IF(B2836="","",IFERROR(INDEX(Jeux!$C$2:$C$3001,MATCH(B2836,Jeux!$A$2:$A$3001,0))&amp;"","⚠ jeu inconnu"))</f>
        <v/>
      </c>
      <c r="H2836" s="27" t="str">
        <f aca="false">IF(B2836="","",IFERROR(INDEX(Jeux!$D$2:$D$3001,MATCH(B2836,Jeux!$A$2:$A$3001,0))&amp;"",""))</f>
        <v/>
      </c>
      <c r="I2836" s="26" t="str">
        <f aca="false">IF(A2836="","",COUNTIF(Apparitions!$G$2:$G$5001,A2836))</f>
        <v/>
      </c>
      <c r="J2836" s="26" t="str">
        <f aca="false">IF(A2836="","",COUNTIFS(Apparitions!$G$2:$G$5001,A2836,Apparitions!$E$2:$E$5001,"○"))</f>
        <v/>
      </c>
      <c r="K2836" s="29" t="str">
        <f aca="false">IF(A2836="","",IFERROR(1/(1/_xlfn.MINIFS(Apparitions!$L$2:$L$5001,Apparitions!$G$2:$G$5001,A2836)),""))</f>
        <v/>
      </c>
      <c r="L2836" s="27" t="str">
        <f aca="false">IF(A2836="","",A2836&amp;" | "&amp;B2836&amp;IF(C2836="",""," ("&amp;C2836&amp;")")&amp;IF(D2836="",""," - "&amp;D2836))</f>
        <v/>
      </c>
    </row>
    <row r="2837" customFormat="false" ht="15" hidden="false" customHeight="false" outlineLevel="0" collapsed="false">
      <c r="A2837" s="32"/>
      <c r="B2837" s="19"/>
      <c r="C2837" s="19"/>
      <c r="D2837" s="19"/>
      <c r="E2837" s="21"/>
      <c r="F2837" s="19"/>
      <c r="G2837" s="27" t="str">
        <f aca="false">IF(B2837="","",IFERROR(INDEX(Jeux!$C$2:$C$3001,MATCH(B2837,Jeux!$A$2:$A$3001,0))&amp;"","⚠ jeu inconnu"))</f>
        <v/>
      </c>
      <c r="H2837" s="27" t="str">
        <f aca="false">IF(B2837="","",IFERROR(INDEX(Jeux!$D$2:$D$3001,MATCH(B2837,Jeux!$A$2:$A$3001,0))&amp;"",""))</f>
        <v/>
      </c>
      <c r="I2837" s="26" t="str">
        <f aca="false">IF(A2837="","",COUNTIF(Apparitions!$G$2:$G$5001,A2837))</f>
        <v/>
      </c>
      <c r="J2837" s="26" t="str">
        <f aca="false">IF(A2837="","",COUNTIFS(Apparitions!$G$2:$G$5001,A2837,Apparitions!$E$2:$E$5001,"○"))</f>
        <v/>
      </c>
      <c r="K2837" s="29" t="str">
        <f aca="false">IF(A2837="","",IFERROR(1/(1/_xlfn.MINIFS(Apparitions!$L$2:$L$5001,Apparitions!$G$2:$G$5001,A2837)),""))</f>
        <v/>
      </c>
      <c r="L2837" s="27" t="str">
        <f aca="false">IF(A2837="","",A2837&amp;" | "&amp;B2837&amp;IF(C2837="",""," ("&amp;C2837&amp;")")&amp;IF(D2837="",""," - "&amp;D2837))</f>
        <v/>
      </c>
    </row>
    <row r="2838" customFormat="false" ht="15" hidden="false" customHeight="false" outlineLevel="0" collapsed="false">
      <c r="A2838" s="32"/>
      <c r="B2838" s="19"/>
      <c r="C2838" s="19"/>
      <c r="D2838" s="19"/>
      <c r="E2838" s="21"/>
      <c r="F2838" s="19"/>
      <c r="G2838" s="27" t="str">
        <f aca="false">IF(B2838="","",IFERROR(INDEX(Jeux!$C$2:$C$3001,MATCH(B2838,Jeux!$A$2:$A$3001,0))&amp;"","⚠ jeu inconnu"))</f>
        <v/>
      </c>
      <c r="H2838" s="27" t="str">
        <f aca="false">IF(B2838="","",IFERROR(INDEX(Jeux!$D$2:$D$3001,MATCH(B2838,Jeux!$A$2:$A$3001,0))&amp;"",""))</f>
        <v/>
      </c>
      <c r="I2838" s="26" t="str">
        <f aca="false">IF(A2838="","",COUNTIF(Apparitions!$G$2:$G$5001,A2838))</f>
        <v/>
      </c>
      <c r="J2838" s="26" t="str">
        <f aca="false">IF(A2838="","",COUNTIFS(Apparitions!$G$2:$G$5001,A2838,Apparitions!$E$2:$E$5001,"○"))</f>
        <v/>
      </c>
      <c r="K2838" s="29" t="str">
        <f aca="false">IF(A2838="","",IFERROR(1/(1/_xlfn.MINIFS(Apparitions!$L$2:$L$5001,Apparitions!$G$2:$G$5001,A2838)),""))</f>
        <v/>
      </c>
      <c r="L2838" s="27" t="str">
        <f aca="false">IF(A2838="","",A2838&amp;" | "&amp;B2838&amp;IF(C2838="",""," ("&amp;C2838&amp;")")&amp;IF(D2838="",""," - "&amp;D2838))</f>
        <v/>
      </c>
    </row>
    <row r="2839" customFormat="false" ht="15" hidden="false" customHeight="false" outlineLevel="0" collapsed="false">
      <c r="A2839" s="32"/>
      <c r="B2839" s="19"/>
      <c r="C2839" s="19"/>
      <c r="D2839" s="19"/>
      <c r="E2839" s="21"/>
      <c r="F2839" s="19"/>
      <c r="G2839" s="27" t="str">
        <f aca="false">IF(B2839="","",IFERROR(INDEX(Jeux!$C$2:$C$3001,MATCH(B2839,Jeux!$A$2:$A$3001,0))&amp;"","⚠ jeu inconnu"))</f>
        <v/>
      </c>
      <c r="H2839" s="27" t="str">
        <f aca="false">IF(B2839="","",IFERROR(INDEX(Jeux!$D$2:$D$3001,MATCH(B2839,Jeux!$A$2:$A$3001,0))&amp;"",""))</f>
        <v/>
      </c>
      <c r="I2839" s="26" t="str">
        <f aca="false">IF(A2839="","",COUNTIF(Apparitions!$G$2:$G$5001,A2839))</f>
        <v/>
      </c>
      <c r="J2839" s="26" t="str">
        <f aca="false">IF(A2839="","",COUNTIFS(Apparitions!$G$2:$G$5001,A2839,Apparitions!$E$2:$E$5001,"○"))</f>
        <v/>
      </c>
      <c r="K2839" s="29" t="str">
        <f aca="false">IF(A2839="","",IFERROR(1/(1/_xlfn.MINIFS(Apparitions!$L$2:$L$5001,Apparitions!$G$2:$G$5001,A2839)),""))</f>
        <v/>
      </c>
      <c r="L2839" s="27" t="str">
        <f aca="false">IF(A2839="","",A2839&amp;" | "&amp;B2839&amp;IF(C2839="",""," ("&amp;C2839&amp;")")&amp;IF(D2839="",""," - "&amp;D2839))</f>
        <v/>
      </c>
    </row>
    <row r="2840" customFormat="false" ht="15" hidden="false" customHeight="false" outlineLevel="0" collapsed="false">
      <c r="A2840" s="32"/>
      <c r="B2840" s="19"/>
      <c r="C2840" s="19"/>
      <c r="D2840" s="19"/>
      <c r="E2840" s="21"/>
      <c r="F2840" s="19"/>
      <c r="G2840" s="27" t="str">
        <f aca="false">IF(B2840="","",IFERROR(INDEX(Jeux!$C$2:$C$3001,MATCH(B2840,Jeux!$A$2:$A$3001,0))&amp;"","⚠ jeu inconnu"))</f>
        <v/>
      </c>
      <c r="H2840" s="27" t="str">
        <f aca="false">IF(B2840="","",IFERROR(INDEX(Jeux!$D$2:$D$3001,MATCH(B2840,Jeux!$A$2:$A$3001,0))&amp;"",""))</f>
        <v/>
      </c>
      <c r="I2840" s="26" t="str">
        <f aca="false">IF(A2840="","",COUNTIF(Apparitions!$G$2:$G$5001,A2840))</f>
        <v/>
      </c>
      <c r="J2840" s="26" t="str">
        <f aca="false">IF(A2840="","",COUNTIFS(Apparitions!$G$2:$G$5001,A2840,Apparitions!$E$2:$E$5001,"○"))</f>
        <v/>
      </c>
      <c r="K2840" s="29" t="str">
        <f aca="false">IF(A2840="","",IFERROR(1/(1/_xlfn.MINIFS(Apparitions!$L$2:$L$5001,Apparitions!$G$2:$G$5001,A2840)),""))</f>
        <v/>
      </c>
      <c r="L2840" s="27" t="str">
        <f aca="false">IF(A2840="","",A2840&amp;" | "&amp;B2840&amp;IF(C2840="",""," ("&amp;C2840&amp;")")&amp;IF(D2840="",""," - "&amp;D2840))</f>
        <v/>
      </c>
    </row>
    <row r="2841" customFormat="false" ht="15" hidden="false" customHeight="false" outlineLevel="0" collapsed="false">
      <c r="A2841" s="32"/>
      <c r="B2841" s="19"/>
      <c r="C2841" s="19"/>
      <c r="D2841" s="19"/>
      <c r="E2841" s="21"/>
      <c r="F2841" s="19"/>
      <c r="G2841" s="27" t="str">
        <f aca="false">IF(B2841="","",IFERROR(INDEX(Jeux!$C$2:$C$3001,MATCH(B2841,Jeux!$A$2:$A$3001,0))&amp;"","⚠ jeu inconnu"))</f>
        <v/>
      </c>
      <c r="H2841" s="27" t="str">
        <f aca="false">IF(B2841="","",IFERROR(INDEX(Jeux!$D$2:$D$3001,MATCH(B2841,Jeux!$A$2:$A$3001,0))&amp;"",""))</f>
        <v/>
      </c>
      <c r="I2841" s="26" t="str">
        <f aca="false">IF(A2841="","",COUNTIF(Apparitions!$G$2:$G$5001,A2841))</f>
        <v/>
      </c>
      <c r="J2841" s="26" t="str">
        <f aca="false">IF(A2841="","",COUNTIFS(Apparitions!$G$2:$G$5001,A2841,Apparitions!$E$2:$E$5001,"○"))</f>
        <v/>
      </c>
      <c r="K2841" s="29" t="str">
        <f aca="false">IF(A2841="","",IFERROR(1/(1/_xlfn.MINIFS(Apparitions!$L$2:$L$5001,Apparitions!$G$2:$G$5001,A2841)),""))</f>
        <v/>
      </c>
      <c r="L2841" s="27" t="str">
        <f aca="false">IF(A2841="","",A2841&amp;" | "&amp;B2841&amp;IF(C2841="",""," ("&amp;C2841&amp;")")&amp;IF(D2841="",""," - "&amp;D2841))</f>
        <v/>
      </c>
    </row>
    <row r="2842" customFormat="false" ht="15" hidden="false" customHeight="false" outlineLevel="0" collapsed="false">
      <c r="A2842" s="32"/>
      <c r="B2842" s="19"/>
      <c r="C2842" s="19"/>
      <c r="D2842" s="19"/>
      <c r="E2842" s="21"/>
      <c r="F2842" s="19"/>
      <c r="G2842" s="27" t="str">
        <f aca="false">IF(B2842="","",IFERROR(INDEX(Jeux!$C$2:$C$3001,MATCH(B2842,Jeux!$A$2:$A$3001,0))&amp;"","⚠ jeu inconnu"))</f>
        <v/>
      </c>
      <c r="H2842" s="27" t="str">
        <f aca="false">IF(B2842="","",IFERROR(INDEX(Jeux!$D$2:$D$3001,MATCH(B2842,Jeux!$A$2:$A$3001,0))&amp;"",""))</f>
        <v/>
      </c>
      <c r="I2842" s="26" t="str">
        <f aca="false">IF(A2842="","",COUNTIF(Apparitions!$G$2:$G$5001,A2842))</f>
        <v/>
      </c>
      <c r="J2842" s="26" t="str">
        <f aca="false">IF(A2842="","",COUNTIFS(Apparitions!$G$2:$G$5001,A2842,Apparitions!$E$2:$E$5001,"○"))</f>
        <v/>
      </c>
      <c r="K2842" s="29" t="str">
        <f aca="false">IF(A2842="","",IFERROR(1/(1/_xlfn.MINIFS(Apparitions!$L$2:$L$5001,Apparitions!$G$2:$G$5001,A2842)),""))</f>
        <v/>
      </c>
      <c r="L2842" s="27" t="str">
        <f aca="false">IF(A2842="","",A2842&amp;" | "&amp;B2842&amp;IF(C2842="",""," ("&amp;C2842&amp;")")&amp;IF(D2842="",""," - "&amp;D2842))</f>
        <v/>
      </c>
    </row>
    <row r="2843" customFormat="false" ht="15" hidden="false" customHeight="false" outlineLevel="0" collapsed="false">
      <c r="A2843" s="32"/>
      <c r="B2843" s="19"/>
      <c r="C2843" s="19"/>
      <c r="D2843" s="19"/>
      <c r="E2843" s="21"/>
      <c r="F2843" s="19"/>
      <c r="G2843" s="27" t="str">
        <f aca="false">IF(B2843="","",IFERROR(INDEX(Jeux!$C$2:$C$3001,MATCH(B2843,Jeux!$A$2:$A$3001,0))&amp;"","⚠ jeu inconnu"))</f>
        <v/>
      </c>
      <c r="H2843" s="27" t="str">
        <f aca="false">IF(B2843="","",IFERROR(INDEX(Jeux!$D$2:$D$3001,MATCH(B2843,Jeux!$A$2:$A$3001,0))&amp;"",""))</f>
        <v/>
      </c>
      <c r="I2843" s="26" t="str">
        <f aca="false">IF(A2843="","",COUNTIF(Apparitions!$G$2:$G$5001,A2843))</f>
        <v/>
      </c>
      <c r="J2843" s="26" t="str">
        <f aca="false">IF(A2843="","",COUNTIFS(Apparitions!$G$2:$G$5001,A2843,Apparitions!$E$2:$E$5001,"○"))</f>
        <v/>
      </c>
      <c r="K2843" s="29" t="str">
        <f aca="false">IF(A2843="","",IFERROR(1/(1/_xlfn.MINIFS(Apparitions!$L$2:$L$5001,Apparitions!$G$2:$G$5001,A2843)),""))</f>
        <v/>
      </c>
      <c r="L2843" s="27" t="str">
        <f aca="false">IF(A2843="","",A2843&amp;" | "&amp;B2843&amp;IF(C2843="",""," ("&amp;C2843&amp;")")&amp;IF(D2843="",""," - "&amp;D2843))</f>
        <v/>
      </c>
    </row>
    <row r="2844" customFormat="false" ht="15" hidden="false" customHeight="false" outlineLevel="0" collapsed="false">
      <c r="A2844" s="32"/>
      <c r="B2844" s="19"/>
      <c r="C2844" s="19"/>
      <c r="D2844" s="19"/>
      <c r="E2844" s="21"/>
      <c r="F2844" s="19"/>
      <c r="G2844" s="27" t="str">
        <f aca="false">IF(B2844="","",IFERROR(INDEX(Jeux!$C$2:$C$3001,MATCH(B2844,Jeux!$A$2:$A$3001,0))&amp;"","⚠ jeu inconnu"))</f>
        <v/>
      </c>
      <c r="H2844" s="27" t="str">
        <f aca="false">IF(B2844="","",IFERROR(INDEX(Jeux!$D$2:$D$3001,MATCH(B2844,Jeux!$A$2:$A$3001,0))&amp;"",""))</f>
        <v/>
      </c>
      <c r="I2844" s="26" t="str">
        <f aca="false">IF(A2844="","",COUNTIF(Apparitions!$G$2:$G$5001,A2844))</f>
        <v/>
      </c>
      <c r="J2844" s="26" t="str">
        <f aca="false">IF(A2844="","",COUNTIFS(Apparitions!$G$2:$G$5001,A2844,Apparitions!$E$2:$E$5001,"○"))</f>
        <v/>
      </c>
      <c r="K2844" s="29" t="str">
        <f aca="false">IF(A2844="","",IFERROR(1/(1/_xlfn.MINIFS(Apparitions!$L$2:$L$5001,Apparitions!$G$2:$G$5001,A2844)),""))</f>
        <v/>
      </c>
      <c r="L2844" s="27" t="str">
        <f aca="false">IF(A2844="","",A2844&amp;" | "&amp;B2844&amp;IF(C2844="",""," ("&amp;C2844&amp;")")&amp;IF(D2844="",""," - "&amp;D2844))</f>
        <v/>
      </c>
    </row>
    <row r="2845" customFormat="false" ht="15" hidden="false" customHeight="false" outlineLevel="0" collapsed="false">
      <c r="A2845" s="32"/>
      <c r="B2845" s="19"/>
      <c r="C2845" s="19"/>
      <c r="D2845" s="19"/>
      <c r="E2845" s="21"/>
      <c r="F2845" s="19"/>
      <c r="G2845" s="27" t="str">
        <f aca="false">IF(B2845="","",IFERROR(INDEX(Jeux!$C$2:$C$3001,MATCH(B2845,Jeux!$A$2:$A$3001,0))&amp;"","⚠ jeu inconnu"))</f>
        <v/>
      </c>
      <c r="H2845" s="27" t="str">
        <f aca="false">IF(B2845="","",IFERROR(INDEX(Jeux!$D$2:$D$3001,MATCH(B2845,Jeux!$A$2:$A$3001,0))&amp;"",""))</f>
        <v/>
      </c>
      <c r="I2845" s="26" t="str">
        <f aca="false">IF(A2845="","",COUNTIF(Apparitions!$G$2:$G$5001,A2845))</f>
        <v/>
      </c>
      <c r="J2845" s="26" t="str">
        <f aca="false">IF(A2845="","",COUNTIFS(Apparitions!$G$2:$G$5001,A2845,Apparitions!$E$2:$E$5001,"○"))</f>
        <v/>
      </c>
      <c r="K2845" s="29" t="str">
        <f aca="false">IF(A2845="","",IFERROR(1/(1/_xlfn.MINIFS(Apparitions!$L$2:$L$5001,Apparitions!$G$2:$G$5001,A2845)),""))</f>
        <v/>
      </c>
      <c r="L2845" s="27" t="str">
        <f aca="false">IF(A2845="","",A2845&amp;" | "&amp;B2845&amp;IF(C2845="",""," ("&amp;C2845&amp;")")&amp;IF(D2845="",""," - "&amp;D2845))</f>
        <v/>
      </c>
    </row>
    <row r="2846" customFormat="false" ht="15" hidden="false" customHeight="false" outlineLevel="0" collapsed="false">
      <c r="A2846" s="32"/>
      <c r="B2846" s="19"/>
      <c r="C2846" s="19"/>
      <c r="D2846" s="19"/>
      <c r="E2846" s="21"/>
      <c r="F2846" s="19"/>
      <c r="G2846" s="27" t="str">
        <f aca="false">IF(B2846="","",IFERROR(INDEX(Jeux!$C$2:$C$3001,MATCH(B2846,Jeux!$A$2:$A$3001,0))&amp;"","⚠ jeu inconnu"))</f>
        <v/>
      </c>
      <c r="H2846" s="27" t="str">
        <f aca="false">IF(B2846="","",IFERROR(INDEX(Jeux!$D$2:$D$3001,MATCH(B2846,Jeux!$A$2:$A$3001,0))&amp;"",""))</f>
        <v/>
      </c>
      <c r="I2846" s="26" t="str">
        <f aca="false">IF(A2846="","",COUNTIF(Apparitions!$G$2:$G$5001,A2846))</f>
        <v/>
      </c>
      <c r="J2846" s="26" t="str">
        <f aca="false">IF(A2846="","",COUNTIFS(Apparitions!$G$2:$G$5001,A2846,Apparitions!$E$2:$E$5001,"○"))</f>
        <v/>
      </c>
      <c r="K2846" s="29" t="str">
        <f aca="false">IF(A2846="","",IFERROR(1/(1/_xlfn.MINIFS(Apparitions!$L$2:$L$5001,Apparitions!$G$2:$G$5001,A2846)),""))</f>
        <v/>
      </c>
      <c r="L2846" s="27" t="str">
        <f aca="false">IF(A2846="","",A2846&amp;" | "&amp;B2846&amp;IF(C2846="",""," ("&amp;C2846&amp;")")&amp;IF(D2846="",""," - "&amp;D2846))</f>
        <v/>
      </c>
    </row>
    <row r="2847" customFormat="false" ht="15" hidden="false" customHeight="false" outlineLevel="0" collapsed="false">
      <c r="A2847" s="32"/>
      <c r="B2847" s="19"/>
      <c r="C2847" s="19"/>
      <c r="D2847" s="19"/>
      <c r="E2847" s="21"/>
      <c r="F2847" s="19"/>
      <c r="G2847" s="27" t="str">
        <f aca="false">IF(B2847="","",IFERROR(INDEX(Jeux!$C$2:$C$3001,MATCH(B2847,Jeux!$A$2:$A$3001,0))&amp;"","⚠ jeu inconnu"))</f>
        <v/>
      </c>
      <c r="H2847" s="27" t="str">
        <f aca="false">IF(B2847="","",IFERROR(INDEX(Jeux!$D$2:$D$3001,MATCH(B2847,Jeux!$A$2:$A$3001,0))&amp;"",""))</f>
        <v/>
      </c>
      <c r="I2847" s="26" t="str">
        <f aca="false">IF(A2847="","",COUNTIF(Apparitions!$G$2:$G$5001,A2847))</f>
        <v/>
      </c>
      <c r="J2847" s="26" t="str">
        <f aca="false">IF(A2847="","",COUNTIFS(Apparitions!$G$2:$G$5001,A2847,Apparitions!$E$2:$E$5001,"○"))</f>
        <v/>
      </c>
      <c r="K2847" s="29" t="str">
        <f aca="false">IF(A2847="","",IFERROR(1/(1/_xlfn.MINIFS(Apparitions!$L$2:$L$5001,Apparitions!$G$2:$G$5001,A2847)),""))</f>
        <v/>
      </c>
      <c r="L2847" s="27" t="str">
        <f aca="false">IF(A2847="","",A2847&amp;" | "&amp;B2847&amp;IF(C2847="",""," ("&amp;C2847&amp;")")&amp;IF(D2847="",""," - "&amp;D2847))</f>
        <v/>
      </c>
    </row>
    <row r="2848" customFormat="false" ht="15" hidden="false" customHeight="false" outlineLevel="0" collapsed="false">
      <c r="A2848" s="32"/>
      <c r="B2848" s="19"/>
      <c r="C2848" s="19"/>
      <c r="D2848" s="19"/>
      <c r="E2848" s="21"/>
      <c r="F2848" s="19"/>
      <c r="G2848" s="27" t="str">
        <f aca="false">IF(B2848="","",IFERROR(INDEX(Jeux!$C$2:$C$3001,MATCH(B2848,Jeux!$A$2:$A$3001,0))&amp;"","⚠ jeu inconnu"))</f>
        <v/>
      </c>
      <c r="H2848" s="27" t="str">
        <f aca="false">IF(B2848="","",IFERROR(INDEX(Jeux!$D$2:$D$3001,MATCH(B2848,Jeux!$A$2:$A$3001,0))&amp;"",""))</f>
        <v/>
      </c>
      <c r="I2848" s="26" t="str">
        <f aca="false">IF(A2848="","",COUNTIF(Apparitions!$G$2:$G$5001,A2848))</f>
        <v/>
      </c>
      <c r="J2848" s="26" t="str">
        <f aca="false">IF(A2848="","",COUNTIFS(Apparitions!$G$2:$G$5001,A2848,Apparitions!$E$2:$E$5001,"○"))</f>
        <v/>
      </c>
      <c r="K2848" s="29" t="str">
        <f aca="false">IF(A2848="","",IFERROR(1/(1/_xlfn.MINIFS(Apparitions!$L$2:$L$5001,Apparitions!$G$2:$G$5001,A2848)),""))</f>
        <v/>
      </c>
      <c r="L2848" s="27" t="str">
        <f aca="false">IF(A2848="","",A2848&amp;" | "&amp;B2848&amp;IF(C2848="",""," ("&amp;C2848&amp;")")&amp;IF(D2848="",""," - "&amp;D2848))</f>
        <v/>
      </c>
    </row>
    <row r="2849" customFormat="false" ht="15" hidden="false" customHeight="false" outlineLevel="0" collapsed="false">
      <c r="A2849" s="32"/>
      <c r="B2849" s="19"/>
      <c r="C2849" s="19"/>
      <c r="D2849" s="19"/>
      <c r="E2849" s="21"/>
      <c r="F2849" s="19"/>
      <c r="G2849" s="27" t="str">
        <f aca="false">IF(B2849="","",IFERROR(INDEX(Jeux!$C$2:$C$3001,MATCH(B2849,Jeux!$A$2:$A$3001,0))&amp;"","⚠ jeu inconnu"))</f>
        <v/>
      </c>
      <c r="H2849" s="27" t="str">
        <f aca="false">IF(B2849="","",IFERROR(INDEX(Jeux!$D$2:$D$3001,MATCH(B2849,Jeux!$A$2:$A$3001,0))&amp;"",""))</f>
        <v/>
      </c>
      <c r="I2849" s="26" t="str">
        <f aca="false">IF(A2849="","",COUNTIF(Apparitions!$G$2:$G$5001,A2849))</f>
        <v/>
      </c>
      <c r="J2849" s="26" t="str">
        <f aca="false">IF(A2849="","",COUNTIFS(Apparitions!$G$2:$G$5001,A2849,Apparitions!$E$2:$E$5001,"○"))</f>
        <v/>
      </c>
      <c r="K2849" s="29" t="str">
        <f aca="false">IF(A2849="","",IFERROR(1/(1/_xlfn.MINIFS(Apparitions!$L$2:$L$5001,Apparitions!$G$2:$G$5001,A2849)),""))</f>
        <v/>
      </c>
      <c r="L2849" s="27" t="str">
        <f aca="false">IF(A2849="","",A2849&amp;" | "&amp;B2849&amp;IF(C2849="",""," ("&amp;C2849&amp;")")&amp;IF(D2849="",""," - "&amp;D2849))</f>
        <v/>
      </c>
    </row>
    <row r="2850" customFormat="false" ht="15" hidden="false" customHeight="false" outlineLevel="0" collapsed="false">
      <c r="A2850" s="32"/>
      <c r="B2850" s="19"/>
      <c r="C2850" s="19"/>
      <c r="D2850" s="19"/>
      <c r="E2850" s="21"/>
      <c r="F2850" s="19"/>
      <c r="G2850" s="27" t="str">
        <f aca="false">IF(B2850="","",IFERROR(INDEX(Jeux!$C$2:$C$3001,MATCH(B2850,Jeux!$A$2:$A$3001,0))&amp;"","⚠ jeu inconnu"))</f>
        <v/>
      </c>
      <c r="H2850" s="27" t="str">
        <f aca="false">IF(B2850="","",IFERROR(INDEX(Jeux!$D$2:$D$3001,MATCH(B2850,Jeux!$A$2:$A$3001,0))&amp;"",""))</f>
        <v/>
      </c>
      <c r="I2850" s="26" t="str">
        <f aca="false">IF(A2850="","",COUNTIF(Apparitions!$G$2:$G$5001,A2850))</f>
        <v/>
      </c>
      <c r="J2850" s="26" t="str">
        <f aca="false">IF(A2850="","",COUNTIFS(Apparitions!$G$2:$G$5001,A2850,Apparitions!$E$2:$E$5001,"○"))</f>
        <v/>
      </c>
      <c r="K2850" s="29" t="str">
        <f aca="false">IF(A2850="","",IFERROR(1/(1/_xlfn.MINIFS(Apparitions!$L$2:$L$5001,Apparitions!$G$2:$G$5001,A2850)),""))</f>
        <v/>
      </c>
      <c r="L2850" s="27" t="str">
        <f aca="false">IF(A2850="","",A2850&amp;" | "&amp;B2850&amp;IF(C2850="",""," ("&amp;C2850&amp;")")&amp;IF(D2850="",""," - "&amp;D2850))</f>
        <v/>
      </c>
    </row>
    <row r="2851" customFormat="false" ht="15" hidden="false" customHeight="false" outlineLevel="0" collapsed="false">
      <c r="A2851" s="32"/>
      <c r="B2851" s="19"/>
      <c r="C2851" s="19"/>
      <c r="D2851" s="19"/>
      <c r="E2851" s="21"/>
      <c r="F2851" s="19"/>
      <c r="G2851" s="27" t="str">
        <f aca="false">IF(B2851="","",IFERROR(INDEX(Jeux!$C$2:$C$3001,MATCH(B2851,Jeux!$A$2:$A$3001,0))&amp;"","⚠ jeu inconnu"))</f>
        <v/>
      </c>
      <c r="H2851" s="27" t="str">
        <f aca="false">IF(B2851="","",IFERROR(INDEX(Jeux!$D$2:$D$3001,MATCH(B2851,Jeux!$A$2:$A$3001,0))&amp;"",""))</f>
        <v/>
      </c>
      <c r="I2851" s="26" t="str">
        <f aca="false">IF(A2851="","",COUNTIF(Apparitions!$G$2:$G$5001,A2851))</f>
        <v/>
      </c>
      <c r="J2851" s="26" t="str">
        <f aca="false">IF(A2851="","",COUNTIFS(Apparitions!$G$2:$G$5001,A2851,Apparitions!$E$2:$E$5001,"○"))</f>
        <v/>
      </c>
      <c r="K2851" s="29" t="str">
        <f aca="false">IF(A2851="","",IFERROR(1/(1/_xlfn.MINIFS(Apparitions!$L$2:$L$5001,Apparitions!$G$2:$G$5001,A2851)),""))</f>
        <v/>
      </c>
      <c r="L2851" s="27" t="str">
        <f aca="false">IF(A2851="","",A2851&amp;" | "&amp;B2851&amp;IF(C2851="",""," ("&amp;C2851&amp;")")&amp;IF(D2851="",""," - "&amp;D2851))</f>
        <v/>
      </c>
    </row>
    <row r="2852" customFormat="false" ht="15" hidden="false" customHeight="false" outlineLevel="0" collapsed="false">
      <c r="A2852" s="32"/>
      <c r="B2852" s="19"/>
      <c r="C2852" s="19"/>
      <c r="D2852" s="19"/>
      <c r="E2852" s="21"/>
      <c r="F2852" s="19"/>
      <c r="G2852" s="27" t="str">
        <f aca="false">IF(B2852="","",IFERROR(INDEX(Jeux!$C$2:$C$3001,MATCH(B2852,Jeux!$A$2:$A$3001,0))&amp;"","⚠ jeu inconnu"))</f>
        <v/>
      </c>
      <c r="H2852" s="27" t="str">
        <f aca="false">IF(B2852="","",IFERROR(INDEX(Jeux!$D$2:$D$3001,MATCH(B2852,Jeux!$A$2:$A$3001,0))&amp;"",""))</f>
        <v/>
      </c>
      <c r="I2852" s="26" t="str">
        <f aca="false">IF(A2852="","",COUNTIF(Apparitions!$G$2:$G$5001,A2852))</f>
        <v/>
      </c>
      <c r="J2852" s="26" t="str">
        <f aca="false">IF(A2852="","",COUNTIFS(Apparitions!$G$2:$G$5001,A2852,Apparitions!$E$2:$E$5001,"○"))</f>
        <v/>
      </c>
      <c r="K2852" s="29" t="str">
        <f aca="false">IF(A2852="","",IFERROR(1/(1/_xlfn.MINIFS(Apparitions!$L$2:$L$5001,Apparitions!$G$2:$G$5001,A2852)),""))</f>
        <v/>
      </c>
      <c r="L2852" s="27" t="str">
        <f aca="false">IF(A2852="","",A2852&amp;" | "&amp;B2852&amp;IF(C2852="",""," ("&amp;C2852&amp;")")&amp;IF(D2852="",""," - "&amp;D2852))</f>
        <v/>
      </c>
    </row>
    <row r="2853" customFormat="false" ht="15" hidden="false" customHeight="false" outlineLevel="0" collapsed="false">
      <c r="A2853" s="32"/>
      <c r="B2853" s="19"/>
      <c r="C2853" s="19"/>
      <c r="D2853" s="19"/>
      <c r="E2853" s="21"/>
      <c r="F2853" s="19"/>
      <c r="G2853" s="27" t="str">
        <f aca="false">IF(B2853="","",IFERROR(INDEX(Jeux!$C$2:$C$3001,MATCH(B2853,Jeux!$A$2:$A$3001,0))&amp;"","⚠ jeu inconnu"))</f>
        <v/>
      </c>
      <c r="H2853" s="27" t="str">
        <f aca="false">IF(B2853="","",IFERROR(INDEX(Jeux!$D$2:$D$3001,MATCH(B2853,Jeux!$A$2:$A$3001,0))&amp;"",""))</f>
        <v/>
      </c>
      <c r="I2853" s="26" t="str">
        <f aca="false">IF(A2853="","",COUNTIF(Apparitions!$G$2:$G$5001,A2853))</f>
        <v/>
      </c>
      <c r="J2853" s="26" t="str">
        <f aca="false">IF(A2853="","",COUNTIFS(Apparitions!$G$2:$G$5001,A2853,Apparitions!$E$2:$E$5001,"○"))</f>
        <v/>
      </c>
      <c r="K2853" s="29" t="str">
        <f aca="false">IF(A2853="","",IFERROR(1/(1/_xlfn.MINIFS(Apparitions!$L$2:$L$5001,Apparitions!$G$2:$G$5001,A2853)),""))</f>
        <v/>
      </c>
      <c r="L2853" s="27" t="str">
        <f aca="false">IF(A2853="","",A2853&amp;" | "&amp;B2853&amp;IF(C2853="",""," ("&amp;C2853&amp;")")&amp;IF(D2853="",""," - "&amp;D2853))</f>
        <v/>
      </c>
    </row>
    <row r="2854" customFormat="false" ht="15" hidden="false" customHeight="false" outlineLevel="0" collapsed="false">
      <c r="A2854" s="32"/>
      <c r="B2854" s="19"/>
      <c r="C2854" s="19"/>
      <c r="D2854" s="19"/>
      <c r="E2854" s="21"/>
      <c r="F2854" s="19"/>
      <c r="G2854" s="27" t="str">
        <f aca="false">IF(B2854="","",IFERROR(INDEX(Jeux!$C$2:$C$3001,MATCH(B2854,Jeux!$A$2:$A$3001,0))&amp;"","⚠ jeu inconnu"))</f>
        <v/>
      </c>
      <c r="H2854" s="27" t="str">
        <f aca="false">IF(B2854="","",IFERROR(INDEX(Jeux!$D$2:$D$3001,MATCH(B2854,Jeux!$A$2:$A$3001,0))&amp;"",""))</f>
        <v/>
      </c>
      <c r="I2854" s="26" t="str">
        <f aca="false">IF(A2854="","",COUNTIF(Apparitions!$G$2:$G$5001,A2854))</f>
        <v/>
      </c>
      <c r="J2854" s="26" t="str">
        <f aca="false">IF(A2854="","",COUNTIFS(Apparitions!$G$2:$G$5001,A2854,Apparitions!$E$2:$E$5001,"○"))</f>
        <v/>
      </c>
      <c r="K2854" s="29" t="str">
        <f aca="false">IF(A2854="","",IFERROR(1/(1/_xlfn.MINIFS(Apparitions!$L$2:$L$5001,Apparitions!$G$2:$G$5001,A2854)),""))</f>
        <v/>
      </c>
      <c r="L2854" s="27" t="str">
        <f aca="false">IF(A2854="","",A2854&amp;" | "&amp;B2854&amp;IF(C2854="",""," ("&amp;C2854&amp;")")&amp;IF(D2854="",""," - "&amp;D2854))</f>
        <v/>
      </c>
    </row>
    <row r="2855" customFormat="false" ht="15" hidden="false" customHeight="false" outlineLevel="0" collapsed="false">
      <c r="A2855" s="32"/>
      <c r="B2855" s="19"/>
      <c r="C2855" s="19"/>
      <c r="D2855" s="19"/>
      <c r="E2855" s="21"/>
      <c r="F2855" s="19"/>
      <c r="G2855" s="27" t="str">
        <f aca="false">IF(B2855="","",IFERROR(INDEX(Jeux!$C$2:$C$3001,MATCH(B2855,Jeux!$A$2:$A$3001,0))&amp;"","⚠ jeu inconnu"))</f>
        <v/>
      </c>
      <c r="H2855" s="27" t="str">
        <f aca="false">IF(B2855="","",IFERROR(INDEX(Jeux!$D$2:$D$3001,MATCH(B2855,Jeux!$A$2:$A$3001,0))&amp;"",""))</f>
        <v/>
      </c>
      <c r="I2855" s="26" t="str">
        <f aca="false">IF(A2855="","",COUNTIF(Apparitions!$G$2:$G$5001,A2855))</f>
        <v/>
      </c>
      <c r="J2855" s="26" t="str">
        <f aca="false">IF(A2855="","",COUNTIFS(Apparitions!$G$2:$G$5001,A2855,Apparitions!$E$2:$E$5001,"○"))</f>
        <v/>
      </c>
      <c r="K2855" s="29" t="str">
        <f aca="false">IF(A2855="","",IFERROR(1/(1/_xlfn.MINIFS(Apparitions!$L$2:$L$5001,Apparitions!$G$2:$G$5001,A2855)),""))</f>
        <v/>
      </c>
      <c r="L2855" s="27" t="str">
        <f aca="false">IF(A2855="","",A2855&amp;" | "&amp;B2855&amp;IF(C2855="",""," ("&amp;C2855&amp;")")&amp;IF(D2855="",""," - "&amp;D2855))</f>
        <v/>
      </c>
    </row>
    <row r="2856" customFormat="false" ht="15" hidden="false" customHeight="false" outlineLevel="0" collapsed="false">
      <c r="A2856" s="32"/>
      <c r="B2856" s="19"/>
      <c r="C2856" s="19"/>
      <c r="D2856" s="19"/>
      <c r="E2856" s="21"/>
      <c r="F2856" s="19"/>
      <c r="G2856" s="27" t="str">
        <f aca="false">IF(B2856="","",IFERROR(INDEX(Jeux!$C$2:$C$3001,MATCH(B2856,Jeux!$A$2:$A$3001,0))&amp;"","⚠ jeu inconnu"))</f>
        <v/>
      </c>
      <c r="H2856" s="27" t="str">
        <f aca="false">IF(B2856="","",IFERROR(INDEX(Jeux!$D$2:$D$3001,MATCH(B2856,Jeux!$A$2:$A$3001,0))&amp;"",""))</f>
        <v/>
      </c>
      <c r="I2856" s="26" t="str">
        <f aca="false">IF(A2856="","",COUNTIF(Apparitions!$G$2:$G$5001,A2856))</f>
        <v/>
      </c>
      <c r="J2856" s="26" t="str">
        <f aca="false">IF(A2856="","",COUNTIFS(Apparitions!$G$2:$G$5001,A2856,Apparitions!$E$2:$E$5001,"○"))</f>
        <v/>
      </c>
      <c r="K2856" s="29" t="str">
        <f aca="false">IF(A2856="","",IFERROR(1/(1/_xlfn.MINIFS(Apparitions!$L$2:$L$5001,Apparitions!$G$2:$G$5001,A2856)),""))</f>
        <v/>
      </c>
      <c r="L2856" s="27" t="str">
        <f aca="false">IF(A2856="","",A2856&amp;" | "&amp;B2856&amp;IF(C2856="",""," ("&amp;C2856&amp;")")&amp;IF(D2856="",""," - "&amp;D2856))</f>
        <v/>
      </c>
    </row>
    <row r="2857" customFormat="false" ht="15" hidden="false" customHeight="false" outlineLevel="0" collapsed="false">
      <c r="A2857" s="32"/>
      <c r="B2857" s="19"/>
      <c r="C2857" s="19"/>
      <c r="D2857" s="19"/>
      <c r="E2857" s="21"/>
      <c r="F2857" s="19"/>
      <c r="G2857" s="27" t="str">
        <f aca="false">IF(B2857="","",IFERROR(INDEX(Jeux!$C$2:$C$3001,MATCH(B2857,Jeux!$A$2:$A$3001,0))&amp;"","⚠ jeu inconnu"))</f>
        <v/>
      </c>
      <c r="H2857" s="27" t="str">
        <f aca="false">IF(B2857="","",IFERROR(INDEX(Jeux!$D$2:$D$3001,MATCH(B2857,Jeux!$A$2:$A$3001,0))&amp;"",""))</f>
        <v/>
      </c>
      <c r="I2857" s="26" t="str">
        <f aca="false">IF(A2857="","",COUNTIF(Apparitions!$G$2:$G$5001,A2857))</f>
        <v/>
      </c>
      <c r="J2857" s="26" t="str">
        <f aca="false">IF(A2857="","",COUNTIFS(Apparitions!$G$2:$G$5001,A2857,Apparitions!$E$2:$E$5001,"○"))</f>
        <v/>
      </c>
      <c r="K2857" s="29" t="str">
        <f aca="false">IF(A2857="","",IFERROR(1/(1/_xlfn.MINIFS(Apparitions!$L$2:$L$5001,Apparitions!$G$2:$G$5001,A2857)),""))</f>
        <v/>
      </c>
      <c r="L2857" s="27" t="str">
        <f aca="false">IF(A2857="","",A2857&amp;" | "&amp;B2857&amp;IF(C2857="",""," ("&amp;C2857&amp;")")&amp;IF(D2857="",""," - "&amp;D2857))</f>
        <v/>
      </c>
    </row>
    <row r="2858" customFormat="false" ht="15" hidden="false" customHeight="false" outlineLevel="0" collapsed="false">
      <c r="A2858" s="32"/>
      <c r="B2858" s="19"/>
      <c r="C2858" s="19"/>
      <c r="D2858" s="19"/>
      <c r="E2858" s="21"/>
      <c r="F2858" s="19"/>
      <c r="G2858" s="27" t="str">
        <f aca="false">IF(B2858="","",IFERROR(INDEX(Jeux!$C$2:$C$3001,MATCH(B2858,Jeux!$A$2:$A$3001,0))&amp;"","⚠ jeu inconnu"))</f>
        <v/>
      </c>
      <c r="H2858" s="27" t="str">
        <f aca="false">IF(B2858="","",IFERROR(INDEX(Jeux!$D$2:$D$3001,MATCH(B2858,Jeux!$A$2:$A$3001,0))&amp;"",""))</f>
        <v/>
      </c>
      <c r="I2858" s="26" t="str">
        <f aca="false">IF(A2858="","",COUNTIF(Apparitions!$G$2:$G$5001,A2858))</f>
        <v/>
      </c>
      <c r="J2858" s="26" t="str">
        <f aca="false">IF(A2858="","",COUNTIFS(Apparitions!$G$2:$G$5001,A2858,Apparitions!$E$2:$E$5001,"○"))</f>
        <v/>
      </c>
      <c r="K2858" s="29" t="str">
        <f aca="false">IF(A2858="","",IFERROR(1/(1/_xlfn.MINIFS(Apparitions!$L$2:$L$5001,Apparitions!$G$2:$G$5001,A2858)),""))</f>
        <v/>
      </c>
      <c r="L2858" s="27" t="str">
        <f aca="false">IF(A2858="","",A2858&amp;" | "&amp;B2858&amp;IF(C2858="",""," ("&amp;C2858&amp;")")&amp;IF(D2858="",""," - "&amp;D2858))</f>
        <v/>
      </c>
    </row>
    <row r="2859" customFormat="false" ht="15" hidden="false" customHeight="false" outlineLevel="0" collapsed="false">
      <c r="A2859" s="32"/>
      <c r="B2859" s="19"/>
      <c r="C2859" s="19"/>
      <c r="D2859" s="19"/>
      <c r="E2859" s="21"/>
      <c r="F2859" s="19"/>
      <c r="G2859" s="27" t="str">
        <f aca="false">IF(B2859="","",IFERROR(INDEX(Jeux!$C$2:$C$3001,MATCH(B2859,Jeux!$A$2:$A$3001,0))&amp;"","⚠ jeu inconnu"))</f>
        <v/>
      </c>
      <c r="H2859" s="27" t="str">
        <f aca="false">IF(B2859="","",IFERROR(INDEX(Jeux!$D$2:$D$3001,MATCH(B2859,Jeux!$A$2:$A$3001,0))&amp;"",""))</f>
        <v/>
      </c>
      <c r="I2859" s="26" t="str">
        <f aca="false">IF(A2859="","",COUNTIF(Apparitions!$G$2:$G$5001,A2859))</f>
        <v/>
      </c>
      <c r="J2859" s="26" t="str">
        <f aca="false">IF(A2859="","",COUNTIFS(Apparitions!$G$2:$G$5001,A2859,Apparitions!$E$2:$E$5001,"○"))</f>
        <v/>
      </c>
      <c r="K2859" s="29" t="str">
        <f aca="false">IF(A2859="","",IFERROR(1/(1/_xlfn.MINIFS(Apparitions!$L$2:$L$5001,Apparitions!$G$2:$G$5001,A2859)),""))</f>
        <v/>
      </c>
      <c r="L2859" s="27" t="str">
        <f aca="false">IF(A2859="","",A2859&amp;" | "&amp;B2859&amp;IF(C2859="",""," ("&amp;C2859&amp;")")&amp;IF(D2859="",""," - "&amp;D2859))</f>
        <v/>
      </c>
    </row>
    <row r="2860" customFormat="false" ht="15" hidden="false" customHeight="false" outlineLevel="0" collapsed="false">
      <c r="A2860" s="32"/>
      <c r="B2860" s="19"/>
      <c r="C2860" s="19"/>
      <c r="D2860" s="19"/>
      <c r="E2860" s="21"/>
      <c r="F2860" s="19"/>
      <c r="G2860" s="27" t="str">
        <f aca="false">IF(B2860="","",IFERROR(INDEX(Jeux!$C$2:$C$3001,MATCH(B2860,Jeux!$A$2:$A$3001,0))&amp;"","⚠ jeu inconnu"))</f>
        <v/>
      </c>
      <c r="H2860" s="27" t="str">
        <f aca="false">IF(B2860="","",IFERROR(INDEX(Jeux!$D$2:$D$3001,MATCH(B2860,Jeux!$A$2:$A$3001,0))&amp;"",""))</f>
        <v/>
      </c>
      <c r="I2860" s="26" t="str">
        <f aca="false">IF(A2860="","",COUNTIF(Apparitions!$G$2:$G$5001,A2860))</f>
        <v/>
      </c>
      <c r="J2860" s="26" t="str">
        <f aca="false">IF(A2860="","",COUNTIFS(Apparitions!$G$2:$G$5001,A2860,Apparitions!$E$2:$E$5001,"○"))</f>
        <v/>
      </c>
      <c r="K2860" s="29" t="str">
        <f aca="false">IF(A2860="","",IFERROR(1/(1/_xlfn.MINIFS(Apparitions!$L$2:$L$5001,Apparitions!$G$2:$G$5001,A2860)),""))</f>
        <v/>
      </c>
      <c r="L2860" s="27" t="str">
        <f aca="false">IF(A2860="","",A2860&amp;" | "&amp;B2860&amp;IF(C2860="",""," ("&amp;C2860&amp;")")&amp;IF(D2860="",""," - "&amp;D2860))</f>
        <v/>
      </c>
    </row>
    <row r="2861" customFormat="false" ht="15" hidden="false" customHeight="false" outlineLevel="0" collapsed="false">
      <c r="A2861" s="32"/>
      <c r="B2861" s="19"/>
      <c r="C2861" s="19"/>
      <c r="D2861" s="19"/>
      <c r="E2861" s="21"/>
      <c r="F2861" s="19"/>
      <c r="G2861" s="27" t="str">
        <f aca="false">IF(B2861="","",IFERROR(INDEX(Jeux!$C$2:$C$3001,MATCH(B2861,Jeux!$A$2:$A$3001,0))&amp;"","⚠ jeu inconnu"))</f>
        <v/>
      </c>
      <c r="H2861" s="27" t="str">
        <f aca="false">IF(B2861="","",IFERROR(INDEX(Jeux!$D$2:$D$3001,MATCH(B2861,Jeux!$A$2:$A$3001,0))&amp;"",""))</f>
        <v/>
      </c>
      <c r="I2861" s="26" t="str">
        <f aca="false">IF(A2861="","",COUNTIF(Apparitions!$G$2:$G$5001,A2861))</f>
        <v/>
      </c>
      <c r="J2861" s="26" t="str">
        <f aca="false">IF(A2861="","",COUNTIFS(Apparitions!$G$2:$G$5001,A2861,Apparitions!$E$2:$E$5001,"○"))</f>
        <v/>
      </c>
      <c r="K2861" s="29" t="str">
        <f aca="false">IF(A2861="","",IFERROR(1/(1/_xlfn.MINIFS(Apparitions!$L$2:$L$5001,Apparitions!$G$2:$G$5001,A2861)),""))</f>
        <v/>
      </c>
      <c r="L2861" s="27" t="str">
        <f aca="false">IF(A2861="","",A2861&amp;" | "&amp;B2861&amp;IF(C2861="",""," ("&amp;C2861&amp;")")&amp;IF(D2861="",""," - "&amp;D2861))</f>
        <v/>
      </c>
    </row>
    <row r="2862" customFormat="false" ht="15" hidden="false" customHeight="false" outlineLevel="0" collapsed="false">
      <c r="A2862" s="32"/>
      <c r="B2862" s="19"/>
      <c r="C2862" s="19"/>
      <c r="D2862" s="19"/>
      <c r="E2862" s="21"/>
      <c r="F2862" s="19"/>
      <c r="G2862" s="27" t="str">
        <f aca="false">IF(B2862="","",IFERROR(INDEX(Jeux!$C$2:$C$3001,MATCH(B2862,Jeux!$A$2:$A$3001,0))&amp;"","⚠ jeu inconnu"))</f>
        <v/>
      </c>
      <c r="H2862" s="27" t="str">
        <f aca="false">IF(B2862="","",IFERROR(INDEX(Jeux!$D$2:$D$3001,MATCH(B2862,Jeux!$A$2:$A$3001,0))&amp;"",""))</f>
        <v/>
      </c>
      <c r="I2862" s="26" t="str">
        <f aca="false">IF(A2862="","",COUNTIF(Apparitions!$G$2:$G$5001,A2862))</f>
        <v/>
      </c>
      <c r="J2862" s="26" t="str">
        <f aca="false">IF(A2862="","",COUNTIFS(Apparitions!$G$2:$G$5001,A2862,Apparitions!$E$2:$E$5001,"○"))</f>
        <v/>
      </c>
      <c r="K2862" s="29" t="str">
        <f aca="false">IF(A2862="","",IFERROR(1/(1/_xlfn.MINIFS(Apparitions!$L$2:$L$5001,Apparitions!$G$2:$G$5001,A2862)),""))</f>
        <v/>
      </c>
      <c r="L2862" s="27" t="str">
        <f aca="false">IF(A2862="","",A2862&amp;" | "&amp;B2862&amp;IF(C2862="",""," ("&amp;C2862&amp;")")&amp;IF(D2862="",""," - "&amp;D2862))</f>
        <v/>
      </c>
    </row>
    <row r="2863" customFormat="false" ht="15" hidden="false" customHeight="false" outlineLevel="0" collapsed="false">
      <c r="A2863" s="32"/>
      <c r="B2863" s="19"/>
      <c r="C2863" s="19"/>
      <c r="D2863" s="19"/>
      <c r="E2863" s="21"/>
      <c r="F2863" s="19"/>
      <c r="G2863" s="27" t="str">
        <f aca="false">IF(B2863="","",IFERROR(INDEX(Jeux!$C$2:$C$3001,MATCH(B2863,Jeux!$A$2:$A$3001,0))&amp;"","⚠ jeu inconnu"))</f>
        <v/>
      </c>
      <c r="H2863" s="27" t="str">
        <f aca="false">IF(B2863="","",IFERROR(INDEX(Jeux!$D$2:$D$3001,MATCH(B2863,Jeux!$A$2:$A$3001,0))&amp;"",""))</f>
        <v/>
      </c>
      <c r="I2863" s="26" t="str">
        <f aca="false">IF(A2863="","",COUNTIF(Apparitions!$G$2:$G$5001,A2863))</f>
        <v/>
      </c>
      <c r="J2863" s="26" t="str">
        <f aca="false">IF(A2863="","",COUNTIFS(Apparitions!$G$2:$G$5001,A2863,Apparitions!$E$2:$E$5001,"○"))</f>
        <v/>
      </c>
      <c r="K2863" s="29" t="str">
        <f aca="false">IF(A2863="","",IFERROR(1/(1/_xlfn.MINIFS(Apparitions!$L$2:$L$5001,Apparitions!$G$2:$G$5001,A2863)),""))</f>
        <v/>
      </c>
      <c r="L2863" s="27" t="str">
        <f aca="false">IF(A2863="","",A2863&amp;" | "&amp;B2863&amp;IF(C2863="",""," ("&amp;C2863&amp;")")&amp;IF(D2863="",""," - "&amp;D2863))</f>
        <v/>
      </c>
    </row>
    <row r="2864" customFormat="false" ht="15" hidden="false" customHeight="false" outlineLevel="0" collapsed="false">
      <c r="A2864" s="32"/>
      <c r="B2864" s="19"/>
      <c r="C2864" s="19"/>
      <c r="D2864" s="19"/>
      <c r="E2864" s="21"/>
      <c r="F2864" s="19"/>
      <c r="G2864" s="27" t="str">
        <f aca="false">IF(B2864="","",IFERROR(INDEX(Jeux!$C$2:$C$3001,MATCH(B2864,Jeux!$A$2:$A$3001,0))&amp;"","⚠ jeu inconnu"))</f>
        <v/>
      </c>
      <c r="H2864" s="27" t="str">
        <f aca="false">IF(B2864="","",IFERROR(INDEX(Jeux!$D$2:$D$3001,MATCH(B2864,Jeux!$A$2:$A$3001,0))&amp;"",""))</f>
        <v/>
      </c>
      <c r="I2864" s="26" t="str">
        <f aca="false">IF(A2864="","",COUNTIF(Apparitions!$G$2:$G$5001,A2864))</f>
        <v/>
      </c>
      <c r="J2864" s="26" t="str">
        <f aca="false">IF(A2864="","",COUNTIFS(Apparitions!$G$2:$G$5001,A2864,Apparitions!$E$2:$E$5001,"○"))</f>
        <v/>
      </c>
      <c r="K2864" s="29" t="str">
        <f aca="false">IF(A2864="","",IFERROR(1/(1/_xlfn.MINIFS(Apparitions!$L$2:$L$5001,Apparitions!$G$2:$G$5001,A2864)),""))</f>
        <v/>
      </c>
      <c r="L2864" s="27" t="str">
        <f aca="false">IF(A2864="","",A2864&amp;" | "&amp;B2864&amp;IF(C2864="",""," ("&amp;C2864&amp;")")&amp;IF(D2864="",""," - "&amp;D2864))</f>
        <v/>
      </c>
    </row>
    <row r="2865" customFormat="false" ht="15" hidden="false" customHeight="false" outlineLevel="0" collapsed="false">
      <c r="A2865" s="32"/>
      <c r="B2865" s="19"/>
      <c r="C2865" s="19"/>
      <c r="D2865" s="19"/>
      <c r="E2865" s="21"/>
      <c r="F2865" s="19"/>
      <c r="G2865" s="27" t="str">
        <f aca="false">IF(B2865="","",IFERROR(INDEX(Jeux!$C$2:$C$3001,MATCH(B2865,Jeux!$A$2:$A$3001,0))&amp;"","⚠ jeu inconnu"))</f>
        <v/>
      </c>
      <c r="H2865" s="27" t="str">
        <f aca="false">IF(B2865="","",IFERROR(INDEX(Jeux!$D$2:$D$3001,MATCH(B2865,Jeux!$A$2:$A$3001,0))&amp;"",""))</f>
        <v/>
      </c>
      <c r="I2865" s="26" t="str">
        <f aca="false">IF(A2865="","",COUNTIF(Apparitions!$G$2:$G$5001,A2865))</f>
        <v/>
      </c>
      <c r="J2865" s="26" t="str">
        <f aca="false">IF(A2865="","",COUNTIFS(Apparitions!$G$2:$G$5001,A2865,Apparitions!$E$2:$E$5001,"○"))</f>
        <v/>
      </c>
      <c r="K2865" s="29" t="str">
        <f aca="false">IF(A2865="","",IFERROR(1/(1/_xlfn.MINIFS(Apparitions!$L$2:$L$5001,Apparitions!$G$2:$G$5001,A2865)),""))</f>
        <v/>
      </c>
      <c r="L2865" s="27" t="str">
        <f aca="false">IF(A2865="","",A2865&amp;" | "&amp;B2865&amp;IF(C2865="",""," ("&amp;C2865&amp;")")&amp;IF(D2865="",""," - "&amp;D2865))</f>
        <v/>
      </c>
    </row>
    <row r="2866" customFormat="false" ht="15" hidden="false" customHeight="false" outlineLevel="0" collapsed="false">
      <c r="A2866" s="32"/>
      <c r="B2866" s="19"/>
      <c r="C2866" s="19"/>
      <c r="D2866" s="19"/>
      <c r="E2866" s="21"/>
      <c r="F2866" s="19"/>
      <c r="G2866" s="27" t="str">
        <f aca="false">IF(B2866="","",IFERROR(INDEX(Jeux!$C$2:$C$3001,MATCH(B2866,Jeux!$A$2:$A$3001,0))&amp;"","⚠ jeu inconnu"))</f>
        <v/>
      </c>
      <c r="H2866" s="27" t="str">
        <f aca="false">IF(B2866="","",IFERROR(INDEX(Jeux!$D$2:$D$3001,MATCH(B2866,Jeux!$A$2:$A$3001,0))&amp;"",""))</f>
        <v/>
      </c>
      <c r="I2866" s="26" t="str">
        <f aca="false">IF(A2866="","",COUNTIF(Apparitions!$G$2:$G$5001,A2866))</f>
        <v/>
      </c>
      <c r="J2866" s="26" t="str">
        <f aca="false">IF(A2866="","",COUNTIFS(Apparitions!$G$2:$G$5001,A2866,Apparitions!$E$2:$E$5001,"○"))</f>
        <v/>
      </c>
      <c r="K2866" s="29" t="str">
        <f aca="false">IF(A2866="","",IFERROR(1/(1/_xlfn.MINIFS(Apparitions!$L$2:$L$5001,Apparitions!$G$2:$G$5001,A2866)),""))</f>
        <v/>
      </c>
      <c r="L2866" s="27" t="str">
        <f aca="false">IF(A2866="","",A2866&amp;" | "&amp;B2866&amp;IF(C2866="",""," ("&amp;C2866&amp;")")&amp;IF(D2866="",""," - "&amp;D2866))</f>
        <v/>
      </c>
    </row>
    <row r="2867" customFormat="false" ht="15" hidden="false" customHeight="false" outlineLevel="0" collapsed="false">
      <c r="A2867" s="32"/>
      <c r="B2867" s="19"/>
      <c r="C2867" s="19"/>
      <c r="D2867" s="19"/>
      <c r="E2867" s="21"/>
      <c r="F2867" s="19"/>
      <c r="G2867" s="27" t="str">
        <f aca="false">IF(B2867="","",IFERROR(INDEX(Jeux!$C$2:$C$3001,MATCH(B2867,Jeux!$A$2:$A$3001,0))&amp;"","⚠ jeu inconnu"))</f>
        <v/>
      </c>
      <c r="H2867" s="27" t="str">
        <f aca="false">IF(B2867="","",IFERROR(INDEX(Jeux!$D$2:$D$3001,MATCH(B2867,Jeux!$A$2:$A$3001,0))&amp;"",""))</f>
        <v/>
      </c>
      <c r="I2867" s="26" t="str">
        <f aca="false">IF(A2867="","",COUNTIF(Apparitions!$G$2:$G$5001,A2867))</f>
        <v/>
      </c>
      <c r="J2867" s="26" t="str">
        <f aca="false">IF(A2867="","",COUNTIFS(Apparitions!$G$2:$G$5001,A2867,Apparitions!$E$2:$E$5001,"○"))</f>
        <v/>
      </c>
      <c r="K2867" s="29" t="str">
        <f aca="false">IF(A2867="","",IFERROR(1/(1/_xlfn.MINIFS(Apparitions!$L$2:$L$5001,Apparitions!$G$2:$G$5001,A2867)),""))</f>
        <v/>
      </c>
      <c r="L2867" s="27" t="str">
        <f aca="false">IF(A2867="","",A2867&amp;" | "&amp;B2867&amp;IF(C2867="",""," ("&amp;C2867&amp;")")&amp;IF(D2867="",""," - "&amp;D2867))</f>
        <v/>
      </c>
    </row>
    <row r="2868" customFormat="false" ht="15" hidden="false" customHeight="false" outlineLevel="0" collapsed="false">
      <c r="A2868" s="32"/>
      <c r="B2868" s="19"/>
      <c r="C2868" s="19"/>
      <c r="D2868" s="19"/>
      <c r="E2868" s="21"/>
      <c r="F2868" s="19"/>
      <c r="G2868" s="27" t="str">
        <f aca="false">IF(B2868="","",IFERROR(INDEX(Jeux!$C$2:$C$3001,MATCH(B2868,Jeux!$A$2:$A$3001,0))&amp;"","⚠ jeu inconnu"))</f>
        <v/>
      </c>
      <c r="H2868" s="27" t="str">
        <f aca="false">IF(B2868="","",IFERROR(INDEX(Jeux!$D$2:$D$3001,MATCH(B2868,Jeux!$A$2:$A$3001,0))&amp;"",""))</f>
        <v/>
      </c>
      <c r="I2868" s="26" t="str">
        <f aca="false">IF(A2868="","",COUNTIF(Apparitions!$G$2:$G$5001,A2868))</f>
        <v/>
      </c>
      <c r="J2868" s="26" t="str">
        <f aca="false">IF(A2868="","",COUNTIFS(Apparitions!$G$2:$G$5001,A2868,Apparitions!$E$2:$E$5001,"○"))</f>
        <v/>
      </c>
      <c r="K2868" s="29" t="str">
        <f aca="false">IF(A2868="","",IFERROR(1/(1/_xlfn.MINIFS(Apparitions!$L$2:$L$5001,Apparitions!$G$2:$G$5001,A2868)),""))</f>
        <v/>
      </c>
      <c r="L2868" s="27" t="str">
        <f aca="false">IF(A2868="","",A2868&amp;" | "&amp;B2868&amp;IF(C2868="",""," ("&amp;C2868&amp;")")&amp;IF(D2868="",""," - "&amp;D2868))</f>
        <v/>
      </c>
    </row>
    <row r="2869" customFormat="false" ht="15" hidden="false" customHeight="false" outlineLevel="0" collapsed="false">
      <c r="A2869" s="32"/>
      <c r="B2869" s="19"/>
      <c r="C2869" s="19"/>
      <c r="D2869" s="19"/>
      <c r="E2869" s="21"/>
      <c r="F2869" s="19"/>
      <c r="G2869" s="27" t="str">
        <f aca="false">IF(B2869="","",IFERROR(INDEX(Jeux!$C$2:$C$3001,MATCH(B2869,Jeux!$A$2:$A$3001,0))&amp;"","⚠ jeu inconnu"))</f>
        <v/>
      </c>
      <c r="H2869" s="27" t="str">
        <f aca="false">IF(B2869="","",IFERROR(INDEX(Jeux!$D$2:$D$3001,MATCH(B2869,Jeux!$A$2:$A$3001,0))&amp;"",""))</f>
        <v/>
      </c>
      <c r="I2869" s="26" t="str">
        <f aca="false">IF(A2869="","",COUNTIF(Apparitions!$G$2:$G$5001,A2869))</f>
        <v/>
      </c>
      <c r="J2869" s="26" t="str">
        <f aca="false">IF(A2869="","",COUNTIFS(Apparitions!$G$2:$G$5001,A2869,Apparitions!$E$2:$E$5001,"○"))</f>
        <v/>
      </c>
      <c r="K2869" s="29" t="str">
        <f aca="false">IF(A2869="","",IFERROR(1/(1/_xlfn.MINIFS(Apparitions!$L$2:$L$5001,Apparitions!$G$2:$G$5001,A2869)),""))</f>
        <v/>
      </c>
      <c r="L2869" s="27" t="str">
        <f aca="false">IF(A2869="","",A2869&amp;" | "&amp;B2869&amp;IF(C2869="",""," ("&amp;C2869&amp;")")&amp;IF(D2869="",""," - "&amp;D2869))</f>
        <v/>
      </c>
    </row>
    <row r="2870" customFormat="false" ht="15" hidden="false" customHeight="false" outlineLevel="0" collapsed="false">
      <c r="A2870" s="32"/>
      <c r="B2870" s="19"/>
      <c r="C2870" s="19"/>
      <c r="D2870" s="19"/>
      <c r="E2870" s="21"/>
      <c r="F2870" s="19"/>
      <c r="G2870" s="27" t="str">
        <f aca="false">IF(B2870="","",IFERROR(INDEX(Jeux!$C$2:$C$3001,MATCH(B2870,Jeux!$A$2:$A$3001,0))&amp;"","⚠ jeu inconnu"))</f>
        <v/>
      </c>
      <c r="H2870" s="27" t="str">
        <f aca="false">IF(B2870="","",IFERROR(INDEX(Jeux!$D$2:$D$3001,MATCH(B2870,Jeux!$A$2:$A$3001,0))&amp;"",""))</f>
        <v/>
      </c>
      <c r="I2870" s="26" t="str">
        <f aca="false">IF(A2870="","",COUNTIF(Apparitions!$G$2:$G$5001,A2870))</f>
        <v/>
      </c>
      <c r="J2870" s="26" t="str">
        <f aca="false">IF(A2870="","",COUNTIFS(Apparitions!$G$2:$G$5001,A2870,Apparitions!$E$2:$E$5001,"○"))</f>
        <v/>
      </c>
      <c r="K2870" s="29" t="str">
        <f aca="false">IF(A2870="","",IFERROR(1/(1/_xlfn.MINIFS(Apparitions!$L$2:$L$5001,Apparitions!$G$2:$G$5001,A2870)),""))</f>
        <v/>
      </c>
      <c r="L2870" s="27" t="str">
        <f aca="false">IF(A2870="","",A2870&amp;" | "&amp;B2870&amp;IF(C2870="",""," ("&amp;C2870&amp;")")&amp;IF(D2870="",""," - "&amp;D2870))</f>
        <v/>
      </c>
    </row>
    <row r="2871" customFormat="false" ht="15" hidden="false" customHeight="false" outlineLevel="0" collapsed="false">
      <c r="A2871" s="32"/>
      <c r="B2871" s="19"/>
      <c r="C2871" s="19"/>
      <c r="D2871" s="19"/>
      <c r="E2871" s="21"/>
      <c r="F2871" s="19"/>
      <c r="G2871" s="27" t="str">
        <f aca="false">IF(B2871="","",IFERROR(INDEX(Jeux!$C$2:$C$3001,MATCH(B2871,Jeux!$A$2:$A$3001,0))&amp;"","⚠ jeu inconnu"))</f>
        <v/>
      </c>
      <c r="H2871" s="27" t="str">
        <f aca="false">IF(B2871="","",IFERROR(INDEX(Jeux!$D$2:$D$3001,MATCH(B2871,Jeux!$A$2:$A$3001,0))&amp;"",""))</f>
        <v/>
      </c>
      <c r="I2871" s="26" t="str">
        <f aca="false">IF(A2871="","",COUNTIF(Apparitions!$G$2:$G$5001,A2871))</f>
        <v/>
      </c>
      <c r="J2871" s="26" t="str">
        <f aca="false">IF(A2871="","",COUNTIFS(Apparitions!$G$2:$G$5001,A2871,Apparitions!$E$2:$E$5001,"○"))</f>
        <v/>
      </c>
      <c r="K2871" s="29" t="str">
        <f aca="false">IF(A2871="","",IFERROR(1/(1/_xlfn.MINIFS(Apparitions!$L$2:$L$5001,Apparitions!$G$2:$G$5001,A2871)),""))</f>
        <v/>
      </c>
      <c r="L2871" s="27" t="str">
        <f aca="false">IF(A2871="","",A2871&amp;" | "&amp;B2871&amp;IF(C2871="",""," ("&amp;C2871&amp;")")&amp;IF(D2871="",""," - "&amp;D2871))</f>
        <v/>
      </c>
    </row>
    <row r="2872" customFormat="false" ht="15" hidden="false" customHeight="false" outlineLevel="0" collapsed="false">
      <c r="A2872" s="32"/>
      <c r="B2872" s="19"/>
      <c r="C2872" s="19"/>
      <c r="D2872" s="19"/>
      <c r="E2872" s="21"/>
      <c r="F2872" s="19"/>
      <c r="G2872" s="27" t="str">
        <f aca="false">IF(B2872="","",IFERROR(INDEX(Jeux!$C$2:$C$3001,MATCH(B2872,Jeux!$A$2:$A$3001,0))&amp;"","⚠ jeu inconnu"))</f>
        <v/>
      </c>
      <c r="H2872" s="27" t="str">
        <f aca="false">IF(B2872="","",IFERROR(INDEX(Jeux!$D$2:$D$3001,MATCH(B2872,Jeux!$A$2:$A$3001,0))&amp;"",""))</f>
        <v/>
      </c>
      <c r="I2872" s="26" t="str">
        <f aca="false">IF(A2872="","",COUNTIF(Apparitions!$G$2:$G$5001,A2872))</f>
        <v/>
      </c>
      <c r="J2872" s="26" t="str">
        <f aca="false">IF(A2872="","",COUNTIFS(Apparitions!$G$2:$G$5001,A2872,Apparitions!$E$2:$E$5001,"○"))</f>
        <v/>
      </c>
      <c r="K2872" s="29" t="str">
        <f aca="false">IF(A2872="","",IFERROR(1/(1/_xlfn.MINIFS(Apparitions!$L$2:$L$5001,Apparitions!$G$2:$G$5001,A2872)),""))</f>
        <v/>
      </c>
      <c r="L2872" s="27" t="str">
        <f aca="false">IF(A2872="","",A2872&amp;" | "&amp;B2872&amp;IF(C2872="",""," ("&amp;C2872&amp;")")&amp;IF(D2872="",""," - "&amp;D2872))</f>
        <v/>
      </c>
    </row>
    <row r="2873" customFormat="false" ht="15" hidden="false" customHeight="false" outlineLevel="0" collapsed="false">
      <c r="A2873" s="32"/>
      <c r="B2873" s="19"/>
      <c r="C2873" s="19"/>
      <c r="D2873" s="19"/>
      <c r="E2873" s="21"/>
      <c r="F2873" s="19"/>
      <c r="G2873" s="27" t="str">
        <f aca="false">IF(B2873="","",IFERROR(INDEX(Jeux!$C$2:$C$3001,MATCH(B2873,Jeux!$A$2:$A$3001,0))&amp;"","⚠ jeu inconnu"))</f>
        <v/>
      </c>
      <c r="H2873" s="27" t="str">
        <f aca="false">IF(B2873="","",IFERROR(INDEX(Jeux!$D$2:$D$3001,MATCH(B2873,Jeux!$A$2:$A$3001,0))&amp;"",""))</f>
        <v/>
      </c>
      <c r="I2873" s="26" t="str">
        <f aca="false">IF(A2873="","",COUNTIF(Apparitions!$G$2:$G$5001,A2873))</f>
        <v/>
      </c>
      <c r="J2873" s="26" t="str">
        <f aca="false">IF(A2873="","",COUNTIFS(Apparitions!$G$2:$G$5001,A2873,Apparitions!$E$2:$E$5001,"○"))</f>
        <v/>
      </c>
      <c r="K2873" s="29" t="str">
        <f aca="false">IF(A2873="","",IFERROR(1/(1/_xlfn.MINIFS(Apparitions!$L$2:$L$5001,Apparitions!$G$2:$G$5001,A2873)),""))</f>
        <v/>
      </c>
      <c r="L2873" s="27" t="str">
        <f aca="false">IF(A2873="","",A2873&amp;" | "&amp;B2873&amp;IF(C2873="",""," ("&amp;C2873&amp;")")&amp;IF(D2873="",""," - "&amp;D2873))</f>
        <v/>
      </c>
    </row>
    <row r="2874" customFormat="false" ht="15" hidden="false" customHeight="false" outlineLevel="0" collapsed="false">
      <c r="A2874" s="32"/>
      <c r="B2874" s="19"/>
      <c r="C2874" s="19"/>
      <c r="D2874" s="19"/>
      <c r="E2874" s="21"/>
      <c r="F2874" s="19"/>
      <c r="G2874" s="27" t="str">
        <f aca="false">IF(B2874="","",IFERROR(INDEX(Jeux!$C$2:$C$3001,MATCH(B2874,Jeux!$A$2:$A$3001,0))&amp;"","⚠ jeu inconnu"))</f>
        <v/>
      </c>
      <c r="H2874" s="27" t="str">
        <f aca="false">IF(B2874="","",IFERROR(INDEX(Jeux!$D$2:$D$3001,MATCH(B2874,Jeux!$A$2:$A$3001,0))&amp;"",""))</f>
        <v/>
      </c>
      <c r="I2874" s="26" t="str">
        <f aca="false">IF(A2874="","",COUNTIF(Apparitions!$G$2:$G$5001,A2874))</f>
        <v/>
      </c>
      <c r="J2874" s="26" t="str">
        <f aca="false">IF(A2874="","",COUNTIFS(Apparitions!$G$2:$G$5001,A2874,Apparitions!$E$2:$E$5001,"○"))</f>
        <v/>
      </c>
      <c r="K2874" s="29" t="str">
        <f aca="false">IF(A2874="","",IFERROR(1/(1/_xlfn.MINIFS(Apparitions!$L$2:$L$5001,Apparitions!$G$2:$G$5001,A2874)),""))</f>
        <v/>
      </c>
      <c r="L2874" s="27" t="str">
        <f aca="false">IF(A2874="","",A2874&amp;" | "&amp;B2874&amp;IF(C2874="",""," ("&amp;C2874&amp;")")&amp;IF(D2874="",""," - "&amp;D2874))</f>
        <v/>
      </c>
    </row>
    <row r="2875" customFormat="false" ht="15" hidden="false" customHeight="false" outlineLevel="0" collapsed="false">
      <c r="A2875" s="32"/>
      <c r="B2875" s="19"/>
      <c r="C2875" s="19"/>
      <c r="D2875" s="19"/>
      <c r="E2875" s="21"/>
      <c r="F2875" s="19"/>
      <c r="G2875" s="27" t="str">
        <f aca="false">IF(B2875="","",IFERROR(INDEX(Jeux!$C$2:$C$3001,MATCH(B2875,Jeux!$A$2:$A$3001,0))&amp;"","⚠ jeu inconnu"))</f>
        <v/>
      </c>
      <c r="H2875" s="27" t="str">
        <f aca="false">IF(B2875="","",IFERROR(INDEX(Jeux!$D$2:$D$3001,MATCH(B2875,Jeux!$A$2:$A$3001,0))&amp;"",""))</f>
        <v/>
      </c>
      <c r="I2875" s="26" t="str">
        <f aca="false">IF(A2875="","",COUNTIF(Apparitions!$G$2:$G$5001,A2875))</f>
        <v/>
      </c>
      <c r="J2875" s="26" t="str">
        <f aca="false">IF(A2875="","",COUNTIFS(Apparitions!$G$2:$G$5001,A2875,Apparitions!$E$2:$E$5001,"○"))</f>
        <v/>
      </c>
      <c r="K2875" s="29" t="str">
        <f aca="false">IF(A2875="","",IFERROR(1/(1/_xlfn.MINIFS(Apparitions!$L$2:$L$5001,Apparitions!$G$2:$G$5001,A2875)),""))</f>
        <v/>
      </c>
      <c r="L2875" s="27" t="str">
        <f aca="false">IF(A2875="","",A2875&amp;" | "&amp;B2875&amp;IF(C2875="",""," ("&amp;C2875&amp;")")&amp;IF(D2875="",""," - "&amp;D2875))</f>
        <v/>
      </c>
    </row>
    <row r="2876" customFormat="false" ht="15" hidden="false" customHeight="false" outlineLevel="0" collapsed="false">
      <c r="A2876" s="32"/>
      <c r="B2876" s="19"/>
      <c r="C2876" s="19"/>
      <c r="D2876" s="19"/>
      <c r="E2876" s="21"/>
      <c r="F2876" s="19"/>
      <c r="G2876" s="27" t="str">
        <f aca="false">IF(B2876="","",IFERROR(INDEX(Jeux!$C$2:$C$3001,MATCH(B2876,Jeux!$A$2:$A$3001,0))&amp;"","⚠ jeu inconnu"))</f>
        <v/>
      </c>
      <c r="H2876" s="27" t="str">
        <f aca="false">IF(B2876="","",IFERROR(INDEX(Jeux!$D$2:$D$3001,MATCH(B2876,Jeux!$A$2:$A$3001,0))&amp;"",""))</f>
        <v/>
      </c>
      <c r="I2876" s="26" t="str">
        <f aca="false">IF(A2876="","",COUNTIF(Apparitions!$G$2:$G$5001,A2876))</f>
        <v/>
      </c>
      <c r="J2876" s="26" t="str">
        <f aca="false">IF(A2876="","",COUNTIFS(Apparitions!$G$2:$G$5001,A2876,Apparitions!$E$2:$E$5001,"○"))</f>
        <v/>
      </c>
      <c r="K2876" s="29" t="str">
        <f aca="false">IF(A2876="","",IFERROR(1/(1/_xlfn.MINIFS(Apparitions!$L$2:$L$5001,Apparitions!$G$2:$G$5001,A2876)),""))</f>
        <v/>
      </c>
      <c r="L2876" s="27" t="str">
        <f aca="false">IF(A2876="","",A2876&amp;" | "&amp;B2876&amp;IF(C2876="",""," ("&amp;C2876&amp;")")&amp;IF(D2876="",""," - "&amp;D2876))</f>
        <v/>
      </c>
    </row>
    <row r="2877" customFormat="false" ht="15" hidden="false" customHeight="false" outlineLevel="0" collapsed="false">
      <c r="A2877" s="32"/>
      <c r="B2877" s="19"/>
      <c r="C2877" s="19"/>
      <c r="D2877" s="19"/>
      <c r="E2877" s="21"/>
      <c r="F2877" s="19"/>
      <c r="G2877" s="27" t="str">
        <f aca="false">IF(B2877="","",IFERROR(INDEX(Jeux!$C$2:$C$3001,MATCH(B2877,Jeux!$A$2:$A$3001,0))&amp;"","⚠ jeu inconnu"))</f>
        <v/>
      </c>
      <c r="H2877" s="27" t="str">
        <f aca="false">IF(B2877="","",IFERROR(INDEX(Jeux!$D$2:$D$3001,MATCH(B2877,Jeux!$A$2:$A$3001,0))&amp;"",""))</f>
        <v/>
      </c>
      <c r="I2877" s="26" t="str">
        <f aca="false">IF(A2877="","",COUNTIF(Apparitions!$G$2:$G$5001,A2877))</f>
        <v/>
      </c>
      <c r="J2877" s="26" t="str">
        <f aca="false">IF(A2877="","",COUNTIFS(Apparitions!$G$2:$G$5001,A2877,Apparitions!$E$2:$E$5001,"○"))</f>
        <v/>
      </c>
      <c r="K2877" s="29" t="str">
        <f aca="false">IF(A2877="","",IFERROR(1/(1/_xlfn.MINIFS(Apparitions!$L$2:$L$5001,Apparitions!$G$2:$G$5001,A2877)),""))</f>
        <v/>
      </c>
      <c r="L2877" s="27" t="str">
        <f aca="false">IF(A2877="","",A2877&amp;" | "&amp;B2877&amp;IF(C2877="",""," ("&amp;C2877&amp;")")&amp;IF(D2877="",""," - "&amp;D2877))</f>
        <v/>
      </c>
    </row>
    <row r="2878" customFormat="false" ht="15" hidden="false" customHeight="false" outlineLevel="0" collapsed="false">
      <c r="A2878" s="32"/>
      <c r="B2878" s="19"/>
      <c r="C2878" s="19"/>
      <c r="D2878" s="19"/>
      <c r="E2878" s="21"/>
      <c r="F2878" s="19"/>
      <c r="G2878" s="27" t="str">
        <f aca="false">IF(B2878="","",IFERROR(INDEX(Jeux!$C$2:$C$3001,MATCH(B2878,Jeux!$A$2:$A$3001,0))&amp;"","⚠ jeu inconnu"))</f>
        <v/>
      </c>
      <c r="H2878" s="27" t="str">
        <f aca="false">IF(B2878="","",IFERROR(INDEX(Jeux!$D$2:$D$3001,MATCH(B2878,Jeux!$A$2:$A$3001,0))&amp;"",""))</f>
        <v/>
      </c>
      <c r="I2878" s="26" t="str">
        <f aca="false">IF(A2878="","",COUNTIF(Apparitions!$G$2:$G$5001,A2878))</f>
        <v/>
      </c>
      <c r="J2878" s="26" t="str">
        <f aca="false">IF(A2878="","",COUNTIFS(Apparitions!$G$2:$G$5001,A2878,Apparitions!$E$2:$E$5001,"○"))</f>
        <v/>
      </c>
      <c r="K2878" s="29" t="str">
        <f aca="false">IF(A2878="","",IFERROR(1/(1/_xlfn.MINIFS(Apparitions!$L$2:$L$5001,Apparitions!$G$2:$G$5001,A2878)),""))</f>
        <v/>
      </c>
      <c r="L2878" s="27" t="str">
        <f aca="false">IF(A2878="","",A2878&amp;" | "&amp;B2878&amp;IF(C2878="",""," ("&amp;C2878&amp;")")&amp;IF(D2878="",""," - "&amp;D2878))</f>
        <v/>
      </c>
    </row>
    <row r="2879" customFormat="false" ht="15" hidden="false" customHeight="false" outlineLevel="0" collapsed="false">
      <c r="A2879" s="32"/>
      <c r="B2879" s="19"/>
      <c r="C2879" s="19"/>
      <c r="D2879" s="19"/>
      <c r="E2879" s="21"/>
      <c r="F2879" s="19"/>
      <c r="G2879" s="27" t="str">
        <f aca="false">IF(B2879="","",IFERROR(INDEX(Jeux!$C$2:$C$3001,MATCH(B2879,Jeux!$A$2:$A$3001,0))&amp;"","⚠ jeu inconnu"))</f>
        <v/>
      </c>
      <c r="H2879" s="27" t="str">
        <f aca="false">IF(B2879="","",IFERROR(INDEX(Jeux!$D$2:$D$3001,MATCH(B2879,Jeux!$A$2:$A$3001,0))&amp;"",""))</f>
        <v/>
      </c>
      <c r="I2879" s="26" t="str">
        <f aca="false">IF(A2879="","",COUNTIF(Apparitions!$G$2:$G$5001,A2879))</f>
        <v/>
      </c>
      <c r="J2879" s="26" t="str">
        <f aca="false">IF(A2879="","",COUNTIFS(Apparitions!$G$2:$G$5001,A2879,Apparitions!$E$2:$E$5001,"○"))</f>
        <v/>
      </c>
      <c r="K2879" s="29" t="str">
        <f aca="false">IF(A2879="","",IFERROR(1/(1/_xlfn.MINIFS(Apparitions!$L$2:$L$5001,Apparitions!$G$2:$G$5001,A2879)),""))</f>
        <v/>
      </c>
      <c r="L2879" s="27" t="str">
        <f aca="false">IF(A2879="","",A2879&amp;" | "&amp;B2879&amp;IF(C2879="",""," ("&amp;C2879&amp;")")&amp;IF(D2879="",""," - "&amp;D2879))</f>
        <v/>
      </c>
    </row>
    <row r="2880" customFormat="false" ht="15" hidden="false" customHeight="false" outlineLevel="0" collapsed="false">
      <c r="A2880" s="32"/>
      <c r="B2880" s="19"/>
      <c r="C2880" s="19"/>
      <c r="D2880" s="19"/>
      <c r="E2880" s="21"/>
      <c r="F2880" s="19"/>
      <c r="G2880" s="27" t="str">
        <f aca="false">IF(B2880="","",IFERROR(INDEX(Jeux!$C$2:$C$3001,MATCH(B2880,Jeux!$A$2:$A$3001,0))&amp;"","⚠ jeu inconnu"))</f>
        <v/>
      </c>
      <c r="H2880" s="27" t="str">
        <f aca="false">IF(B2880="","",IFERROR(INDEX(Jeux!$D$2:$D$3001,MATCH(B2880,Jeux!$A$2:$A$3001,0))&amp;"",""))</f>
        <v/>
      </c>
      <c r="I2880" s="26" t="str">
        <f aca="false">IF(A2880="","",COUNTIF(Apparitions!$G$2:$G$5001,A2880))</f>
        <v/>
      </c>
      <c r="J2880" s="26" t="str">
        <f aca="false">IF(A2880="","",COUNTIFS(Apparitions!$G$2:$G$5001,A2880,Apparitions!$E$2:$E$5001,"○"))</f>
        <v/>
      </c>
      <c r="K2880" s="29" t="str">
        <f aca="false">IF(A2880="","",IFERROR(1/(1/_xlfn.MINIFS(Apparitions!$L$2:$L$5001,Apparitions!$G$2:$G$5001,A2880)),""))</f>
        <v/>
      </c>
      <c r="L2880" s="27" t="str">
        <f aca="false">IF(A2880="","",A2880&amp;" | "&amp;B2880&amp;IF(C2880="",""," ("&amp;C2880&amp;")")&amp;IF(D2880="",""," - "&amp;D2880))</f>
        <v/>
      </c>
    </row>
    <row r="2881" customFormat="false" ht="15" hidden="false" customHeight="false" outlineLevel="0" collapsed="false">
      <c r="A2881" s="32"/>
      <c r="B2881" s="19"/>
      <c r="C2881" s="19"/>
      <c r="D2881" s="19"/>
      <c r="E2881" s="21"/>
      <c r="F2881" s="19"/>
      <c r="G2881" s="27" t="str">
        <f aca="false">IF(B2881="","",IFERROR(INDEX(Jeux!$C$2:$C$3001,MATCH(B2881,Jeux!$A$2:$A$3001,0))&amp;"","⚠ jeu inconnu"))</f>
        <v/>
      </c>
      <c r="H2881" s="27" t="str">
        <f aca="false">IF(B2881="","",IFERROR(INDEX(Jeux!$D$2:$D$3001,MATCH(B2881,Jeux!$A$2:$A$3001,0))&amp;"",""))</f>
        <v/>
      </c>
      <c r="I2881" s="26" t="str">
        <f aca="false">IF(A2881="","",COUNTIF(Apparitions!$G$2:$G$5001,A2881))</f>
        <v/>
      </c>
      <c r="J2881" s="26" t="str">
        <f aca="false">IF(A2881="","",COUNTIFS(Apparitions!$G$2:$G$5001,A2881,Apparitions!$E$2:$E$5001,"○"))</f>
        <v/>
      </c>
      <c r="K2881" s="29" t="str">
        <f aca="false">IF(A2881="","",IFERROR(1/(1/_xlfn.MINIFS(Apparitions!$L$2:$L$5001,Apparitions!$G$2:$G$5001,A2881)),""))</f>
        <v/>
      </c>
      <c r="L2881" s="27" t="str">
        <f aca="false">IF(A2881="","",A2881&amp;" | "&amp;B2881&amp;IF(C2881="",""," ("&amp;C2881&amp;")")&amp;IF(D2881="",""," - "&amp;D2881))</f>
        <v/>
      </c>
    </row>
    <row r="2882" customFormat="false" ht="15" hidden="false" customHeight="false" outlineLevel="0" collapsed="false">
      <c r="A2882" s="32"/>
      <c r="B2882" s="19"/>
      <c r="C2882" s="19"/>
      <c r="D2882" s="19"/>
      <c r="E2882" s="21"/>
      <c r="F2882" s="19"/>
      <c r="G2882" s="27" t="str">
        <f aca="false">IF(B2882="","",IFERROR(INDEX(Jeux!$C$2:$C$3001,MATCH(B2882,Jeux!$A$2:$A$3001,0))&amp;"","⚠ jeu inconnu"))</f>
        <v/>
      </c>
      <c r="H2882" s="27" t="str">
        <f aca="false">IF(B2882="","",IFERROR(INDEX(Jeux!$D$2:$D$3001,MATCH(B2882,Jeux!$A$2:$A$3001,0))&amp;"",""))</f>
        <v/>
      </c>
      <c r="I2882" s="26" t="str">
        <f aca="false">IF(A2882="","",COUNTIF(Apparitions!$G$2:$G$5001,A2882))</f>
        <v/>
      </c>
      <c r="J2882" s="26" t="str">
        <f aca="false">IF(A2882="","",COUNTIFS(Apparitions!$G$2:$G$5001,A2882,Apparitions!$E$2:$E$5001,"○"))</f>
        <v/>
      </c>
      <c r="K2882" s="29" t="str">
        <f aca="false">IF(A2882="","",IFERROR(1/(1/_xlfn.MINIFS(Apparitions!$L$2:$L$5001,Apparitions!$G$2:$G$5001,A2882)),""))</f>
        <v/>
      </c>
      <c r="L2882" s="27" t="str">
        <f aca="false">IF(A2882="","",A2882&amp;" | "&amp;B2882&amp;IF(C2882="",""," ("&amp;C2882&amp;")")&amp;IF(D2882="",""," - "&amp;D2882))</f>
        <v/>
      </c>
    </row>
    <row r="2883" customFormat="false" ht="15" hidden="false" customHeight="false" outlineLevel="0" collapsed="false">
      <c r="A2883" s="32"/>
      <c r="B2883" s="19"/>
      <c r="C2883" s="19"/>
      <c r="D2883" s="19"/>
      <c r="E2883" s="21"/>
      <c r="F2883" s="19"/>
      <c r="G2883" s="27" t="str">
        <f aca="false">IF(B2883="","",IFERROR(INDEX(Jeux!$C$2:$C$3001,MATCH(B2883,Jeux!$A$2:$A$3001,0))&amp;"","⚠ jeu inconnu"))</f>
        <v/>
      </c>
      <c r="H2883" s="27" t="str">
        <f aca="false">IF(B2883="","",IFERROR(INDEX(Jeux!$D$2:$D$3001,MATCH(B2883,Jeux!$A$2:$A$3001,0))&amp;"",""))</f>
        <v/>
      </c>
      <c r="I2883" s="26" t="str">
        <f aca="false">IF(A2883="","",COUNTIF(Apparitions!$G$2:$G$5001,A2883))</f>
        <v/>
      </c>
      <c r="J2883" s="26" t="str">
        <f aca="false">IF(A2883="","",COUNTIFS(Apparitions!$G$2:$G$5001,A2883,Apparitions!$E$2:$E$5001,"○"))</f>
        <v/>
      </c>
      <c r="K2883" s="29" t="str">
        <f aca="false">IF(A2883="","",IFERROR(1/(1/_xlfn.MINIFS(Apparitions!$L$2:$L$5001,Apparitions!$G$2:$G$5001,A2883)),""))</f>
        <v/>
      </c>
      <c r="L2883" s="27" t="str">
        <f aca="false">IF(A2883="","",A2883&amp;" | "&amp;B2883&amp;IF(C2883="",""," ("&amp;C2883&amp;")")&amp;IF(D2883="",""," - "&amp;D2883))</f>
        <v/>
      </c>
    </row>
    <row r="2884" customFormat="false" ht="15" hidden="false" customHeight="false" outlineLevel="0" collapsed="false">
      <c r="A2884" s="32"/>
      <c r="B2884" s="19"/>
      <c r="C2884" s="19"/>
      <c r="D2884" s="19"/>
      <c r="E2884" s="21"/>
      <c r="F2884" s="19"/>
      <c r="G2884" s="27" t="str">
        <f aca="false">IF(B2884="","",IFERROR(INDEX(Jeux!$C$2:$C$3001,MATCH(B2884,Jeux!$A$2:$A$3001,0))&amp;"","⚠ jeu inconnu"))</f>
        <v/>
      </c>
      <c r="H2884" s="27" t="str">
        <f aca="false">IF(B2884="","",IFERROR(INDEX(Jeux!$D$2:$D$3001,MATCH(B2884,Jeux!$A$2:$A$3001,0))&amp;"",""))</f>
        <v/>
      </c>
      <c r="I2884" s="26" t="str">
        <f aca="false">IF(A2884="","",COUNTIF(Apparitions!$G$2:$G$5001,A2884))</f>
        <v/>
      </c>
      <c r="J2884" s="26" t="str">
        <f aca="false">IF(A2884="","",COUNTIFS(Apparitions!$G$2:$G$5001,A2884,Apparitions!$E$2:$E$5001,"○"))</f>
        <v/>
      </c>
      <c r="K2884" s="29" t="str">
        <f aca="false">IF(A2884="","",IFERROR(1/(1/_xlfn.MINIFS(Apparitions!$L$2:$L$5001,Apparitions!$G$2:$G$5001,A2884)),""))</f>
        <v/>
      </c>
      <c r="L2884" s="27" t="str">
        <f aca="false">IF(A2884="","",A2884&amp;" | "&amp;B2884&amp;IF(C2884="",""," ("&amp;C2884&amp;")")&amp;IF(D2884="",""," - "&amp;D2884))</f>
        <v/>
      </c>
    </row>
    <row r="2885" customFormat="false" ht="15" hidden="false" customHeight="false" outlineLevel="0" collapsed="false">
      <c r="A2885" s="32"/>
      <c r="B2885" s="19"/>
      <c r="C2885" s="19"/>
      <c r="D2885" s="19"/>
      <c r="E2885" s="21"/>
      <c r="F2885" s="19"/>
      <c r="G2885" s="27" t="str">
        <f aca="false">IF(B2885="","",IFERROR(INDEX(Jeux!$C$2:$C$3001,MATCH(B2885,Jeux!$A$2:$A$3001,0))&amp;"","⚠ jeu inconnu"))</f>
        <v/>
      </c>
      <c r="H2885" s="27" t="str">
        <f aca="false">IF(B2885="","",IFERROR(INDEX(Jeux!$D$2:$D$3001,MATCH(B2885,Jeux!$A$2:$A$3001,0))&amp;"",""))</f>
        <v/>
      </c>
      <c r="I2885" s="26" t="str">
        <f aca="false">IF(A2885="","",COUNTIF(Apparitions!$G$2:$G$5001,A2885))</f>
        <v/>
      </c>
      <c r="J2885" s="26" t="str">
        <f aca="false">IF(A2885="","",COUNTIFS(Apparitions!$G$2:$G$5001,A2885,Apparitions!$E$2:$E$5001,"○"))</f>
        <v/>
      </c>
      <c r="K2885" s="29" t="str">
        <f aca="false">IF(A2885="","",IFERROR(1/(1/_xlfn.MINIFS(Apparitions!$L$2:$L$5001,Apparitions!$G$2:$G$5001,A2885)),""))</f>
        <v/>
      </c>
      <c r="L2885" s="27" t="str">
        <f aca="false">IF(A2885="","",A2885&amp;" | "&amp;B2885&amp;IF(C2885="",""," ("&amp;C2885&amp;")")&amp;IF(D2885="",""," - "&amp;D2885))</f>
        <v/>
      </c>
    </row>
    <row r="2886" customFormat="false" ht="15" hidden="false" customHeight="false" outlineLevel="0" collapsed="false">
      <c r="A2886" s="32"/>
      <c r="B2886" s="19"/>
      <c r="C2886" s="19"/>
      <c r="D2886" s="19"/>
      <c r="E2886" s="21"/>
      <c r="F2886" s="19"/>
      <c r="G2886" s="27" t="str">
        <f aca="false">IF(B2886="","",IFERROR(INDEX(Jeux!$C$2:$C$3001,MATCH(B2886,Jeux!$A$2:$A$3001,0))&amp;"","⚠ jeu inconnu"))</f>
        <v/>
      </c>
      <c r="H2886" s="27" t="str">
        <f aca="false">IF(B2886="","",IFERROR(INDEX(Jeux!$D$2:$D$3001,MATCH(B2886,Jeux!$A$2:$A$3001,0))&amp;"",""))</f>
        <v/>
      </c>
      <c r="I2886" s="26" t="str">
        <f aca="false">IF(A2886="","",COUNTIF(Apparitions!$G$2:$G$5001,A2886))</f>
        <v/>
      </c>
      <c r="J2886" s="26" t="str">
        <f aca="false">IF(A2886="","",COUNTIFS(Apparitions!$G$2:$G$5001,A2886,Apparitions!$E$2:$E$5001,"○"))</f>
        <v/>
      </c>
      <c r="K2886" s="29" t="str">
        <f aca="false">IF(A2886="","",IFERROR(1/(1/_xlfn.MINIFS(Apparitions!$L$2:$L$5001,Apparitions!$G$2:$G$5001,A2886)),""))</f>
        <v/>
      </c>
      <c r="L2886" s="27" t="str">
        <f aca="false">IF(A2886="","",A2886&amp;" | "&amp;B2886&amp;IF(C2886="",""," ("&amp;C2886&amp;")")&amp;IF(D2886="",""," - "&amp;D2886))</f>
        <v/>
      </c>
    </row>
    <row r="2887" customFormat="false" ht="15" hidden="false" customHeight="false" outlineLevel="0" collapsed="false">
      <c r="A2887" s="32"/>
      <c r="B2887" s="19"/>
      <c r="C2887" s="19"/>
      <c r="D2887" s="19"/>
      <c r="E2887" s="21"/>
      <c r="F2887" s="19"/>
      <c r="G2887" s="27" t="str">
        <f aca="false">IF(B2887="","",IFERROR(INDEX(Jeux!$C$2:$C$3001,MATCH(B2887,Jeux!$A$2:$A$3001,0))&amp;"","⚠ jeu inconnu"))</f>
        <v/>
      </c>
      <c r="H2887" s="27" t="str">
        <f aca="false">IF(B2887="","",IFERROR(INDEX(Jeux!$D$2:$D$3001,MATCH(B2887,Jeux!$A$2:$A$3001,0))&amp;"",""))</f>
        <v/>
      </c>
      <c r="I2887" s="26" t="str">
        <f aca="false">IF(A2887="","",COUNTIF(Apparitions!$G$2:$G$5001,A2887))</f>
        <v/>
      </c>
      <c r="J2887" s="26" t="str">
        <f aca="false">IF(A2887="","",COUNTIFS(Apparitions!$G$2:$G$5001,A2887,Apparitions!$E$2:$E$5001,"○"))</f>
        <v/>
      </c>
      <c r="K2887" s="29" t="str">
        <f aca="false">IF(A2887="","",IFERROR(1/(1/_xlfn.MINIFS(Apparitions!$L$2:$L$5001,Apparitions!$G$2:$G$5001,A2887)),""))</f>
        <v/>
      </c>
      <c r="L2887" s="27" t="str">
        <f aca="false">IF(A2887="","",A2887&amp;" | "&amp;B2887&amp;IF(C2887="",""," ("&amp;C2887&amp;")")&amp;IF(D2887="",""," - "&amp;D2887))</f>
        <v/>
      </c>
    </row>
    <row r="2888" customFormat="false" ht="15" hidden="false" customHeight="false" outlineLevel="0" collapsed="false">
      <c r="A2888" s="32"/>
      <c r="B2888" s="19"/>
      <c r="C2888" s="19"/>
      <c r="D2888" s="19"/>
      <c r="E2888" s="21"/>
      <c r="F2888" s="19"/>
      <c r="G2888" s="27" t="str">
        <f aca="false">IF(B2888="","",IFERROR(INDEX(Jeux!$C$2:$C$3001,MATCH(B2888,Jeux!$A$2:$A$3001,0))&amp;"","⚠ jeu inconnu"))</f>
        <v/>
      </c>
      <c r="H2888" s="27" t="str">
        <f aca="false">IF(B2888="","",IFERROR(INDEX(Jeux!$D$2:$D$3001,MATCH(B2888,Jeux!$A$2:$A$3001,0))&amp;"",""))</f>
        <v/>
      </c>
      <c r="I2888" s="26" t="str">
        <f aca="false">IF(A2888="","",COUNTIF(Apparitions!$G$2:$G$5001,A2888))</f>
        <v/>
      </c>
      <c r="J2888" s="26" t="str">
        <f aca="false">IF(A2888="","",COUNTIFS(Apparitions!$G$2:$G$5001,A2888,Apparitions!$E$2:$E$5001,"○"))</f>
        <v/>
      </c>
      <c r="K2888" s="29" t="str">
        <f aca="false">IF(A2888="","",IFERROR(1/(1/_xlfn.MINIFS(Apparitions!$L$2:$L$5001,Apparitions!$G$2:$G$5001,A2888)),""))</f>
        <v/>
      </c>
      <c r="L2888" s="27" t="str">
        <f aca="false">IF(A2888="","",A2888&amp;" | "&amp;B2888&amp;IF(C2888="",""," ("&amp;C2888&amp;")")&amp;IF(D2888="",""," - "&amp;D2888))</f>
        <v/>
      </c>
    </row>
    <row r="2889" customFormat="false" ht="15" hidden="false" customHeight="false" outlineLevel="0" collapsed="false">
      <c r="A2889" s="32"/>
      <c r="B2889" s="19"/>
      <c r="C2889" s="19"/>
      <c r="D2889" s="19"/>
      <c r="E2889" s="21"/>
      <c r="F2889" s="19"/>
      <c r="G2889" s="27" t="str">
        <f aca="false">IF(B2889="","",IFERROR(INDEX(Jeux!$C$2:$C$3001,MATCH(B2889,Jeux!$A$2:$A$3001,0))&amp;"","⚠ jeu inconnu"))</f>
        <v/>
      </c>
      <c r="H2889" s="27" t="str">
        <f aca="false">IF(B2889="","",IFERROR(INDEX(Jeux!$D$2:$D$3001,MATCH(B2889,Jeux!$A$2:$A$3001,0))&amp;"",""))</f>
        <v/>
      </c>
      <c r="I2889" s="26" t="str">
        <f aca="false">IF(A2889="","",COUNTIF(Apparitions!$G$2:$G$5001,A2889))</f>
        <v/>
      </c>
      <c r="J2889" s="26" t="str">
        <f aca="false">IF(A2889="","",COUNTIFS(Apparitions!$G$2:$G$5001,A2889,Apparitions!$E$2:$E$5001,"○"))</f>
        <v/>
      </c>
      <c r="K2889" s="29" t="str">
        <f aca="false">IF(A2889="","",IFERROR(1/(1/_xlfn.MINIFS(Apparitions!$L$2:$L$5001,Apparitions!$G$2:$G$5001,A2889)),""))</f>
        <v/>
      </c>
      <c r="L2889" s="27" t="str">
        <f aca="false">IF(A2889="","",A2889&amp;" | "&amp;B2889&amp;IF(C2889="",""," ("&amp;C2889&amp;")")&amp;IF(D2889="",""," - "&amp;D2889))</f>
        <v/>
      </c>
    </row>
    <row r="2890" customFormat="false" ht="15" hidden="false" customHeight="false" outlineLevel="0" collapsed="false">
      <c r="A2890" s="32"/>
      <c r="B2890" s="19"/>
      <c r="C2890" s="19"/>
      <c r="D2890" s="19"/>
      <c r="E2890" s="21"/>
      <c r="F2890" s="19"/>
      <c r="G2890" s="27" t="str">
        <f aca="false">IF(B2890="","",IFERROR(INDEX(Jeux!$C$2:$C$3001,MATCH(B2890,Jeux!$A$2:$A$3001,0))&amp;"","⚠ jeu inconnu"))</f>
        <v/>
      </c>
      <c r="H2890" s="27" t="str">
        <f aca="false">IF(B2890="","",IFERROR(INDEX(Jeux!$D$2:$D$3001,MATCH(B2890,Jeux!$A$2:$A$3001,0))&amp;"",""))</f>
        <v/>
      </c>
      <c r="I2890" s="26" t="str">
        <f aca="false">IF(A2890="","",COUNTIF(Apparitions!$G$2:$G$5001,A2890))</f>
        <v/>
      </c>
      <c r="J2890" s="26" t="str">
        <f aca="false">IF(A2890="","",COUNTIFS(Apparitions!$G$2:$G$5001,A2890,Apparitions!$E$2:$E$5001,"○"))</f>
        <v/>
      </c>
      <c r="K2890" s="29" t="str">
        <f aca="false">IF(A2890="","",IFERROR(1/(1/_xlfn.MINIFS(Apparitions!$L$2:$L$5001,Apparitions!$G$2:$G$5001,A2890)),""))</f>
        <v/>
      </c>
      <c r="L2890" s="27" t="str">
        <f aca="false">IF(A2890="","",A2890&amp;" | "&amp;B2890&amp;IF(C2890="",""," ("&amp;C2890&amp;")")&amp;IF(D2890="",""," - "&amp;D2890))</f>
        <v/>
      </c>
    </row>
    <row r="2891" customFormat="false" ht="15" hidden="false" customHeight="false" outlineLevel="0" collapsed="false">
      <c r="A2891" s="32"/>
      <c r="B2891" s="19"/>
      <c r="C2891" s="19"/>
      <c r="D2891" s="19"/>
      <c r="E2891" s="21"/>
      <c r="F2891" s="19"/>
      <c r="G2891" s="27" t="str">
        <f aca="false">IF(B2891="","",IFERROR(INDEX(Jeux!$C$2:$C$3001,MATCH(B2891,Jeux!$A$2:$A$3001,0))&amp;"","⚠ jeu inconnu"))</f>
        <v/>
      </c>
      <c r="H2891" s="27" t="str">
        <f aca="false">IF(B2891="","",IFERROR(INDEX(Jeux!$D$2:$D$3001,MATCH(B2891,Jeux!$A$2:$A$3001,0))&amp;"",""))</f>
        <v/>
      </c>
      <c r="I2891" s="26" t="str">
        <f aca="false">IF(A2891="","",COUNTIF(Apparitions!$G$2:$G$5001,A2891))</f>
        <v/>
      </c>
      <c r="J2891" s="26" t="str">
        <f aca="false">IF(A2891="","",COUNTIFS(Apparitions!$G$2:$G$5001,A2891,Apparitions!$E$2:$E$5001,"○"))</f>
        <v/>
      </c>
      <c r="K2891" s="29" t="str">
        <f aca="false">IF(A2891="","",IFERROR(1/(1/_xlfn.MINIFS(Apparitions!$L$2:$L$5001,Apparitions!$G$2:$G$5001,A2891)),""))</f>
        <v/>
      </c>
      <c r="L2891" s="27" t="str">
        <f aca="false">IF(A2891="","",A2891&amp;" | "&amp;B2891&amp;IF(C2891="",""," ("&amp;C2891&amp;")")&amp;IF(D2891="",""," - "&amp;D2891))</f>
        <v/>
      </c>
    </row>
    <row r="2892" customFormat="false" ht="15" hidden="false" customHeight="false" outlineLevel="0" collapsed="false">
      <c r="A2892" s="32"/>
      <c r="B2892" s="19"/>
      <c r="C2892" s="19"/>
      <c r="D2892" s="19"/>
      <c r="E2892" s="21"/>
      <c r="F2892" s="19"/>
      <c r="G2892" s="27" t="str">
        <f aca="false">IF(B2892="","",IFERROR(INDEX(Jeux!$C$2:$C$3001,MATCH(B2892,Jeux!$A$2:$A$3001,0))&amp;"","⚠ jeu inconnu"))</f>
        <v/>
      </c>
      <c r="H2892" s="27" t="str">
        <f aca="false">IF(B2892="","",IFERROR(INDEX(Jeux!$D$2:$D$3001,MATCH(B2892,Jeux!$A$2:$A$3001,0))&amp;"",""))</f>
        <v/>
      </c>
      <c r="I2892" s="26" t="str">
        <f aca="false">IF(A2892="","",COUNTIF(Apparitions!$G$2:$G$5001,A2892))</f>
        <v/>
      </c>
      <c r="J2892" s="26" t="str">
        <f aca="false">IF(A2892="","",COUNTIFS(Apparitions!$G$2:$G$5001,A2892,Apparitions!$E$2:$E$5001,"○"))</f>
        <v/>
      </c>
      <c r="K2892" s="29" t="str">
        <f aca="false">IF(A2892="","",IFERROR(1/(1/_xlfn.MINIFS(Apparitions!$L$2:$L$5001,Apparitions!$G$2:$G$5001,A2892)),""))</f>
        <v/>
      </c>
      <c r="L2892" s="27" t="str">
        <f aca="false">IF(A2892="","",A2892&amp;" | "&amp;B2892&amp;IF(C2892="",""," ("&amp;C2892&amp;")")&amp;IF(D2892="",""," - "&amp;D2892))</f>
        <v/>
      </c>
    </row>
    <row r="2893" customFormat="false" ht="15" hidden="false" customHeight="false" outlineLevel="0" collapsed="false">
      <c r="A2893" s="32"/>
      <c r="B2893" s="19"/>
      <c r="C2893" s="19"/>
      <c r="D2893" s="19"/>
      <c r="E2893" s="21"/>
      <c r="F2893" s="19"/>
      <c r="G2893" s="27" t="str">
        <f aca="false">IF(B2893="","",IFERROR(INDEX(Jeux!$C$2:$C$3001,MATCH(B2893,Jeux!$A$2:$A$3001,0))&amp;"","⚠ jeu inconnu"))</f>
        <v/>
      </c>
      <c r="H2893" s="27" t="str">
        <f aca="false">IF(B2893="","",IFERROR(INDEX(Jeux!$D$2:$D$3001,MATCH(B2893,Jeux!$A$2:$A$3001,0))&amp;"",""))</f>
        <v/>
      </c>
      <c r="I2893" s="26" t="str">
        <f aca="false">IF(A2893="","",COUNTIF(Apparitions!$G$2:$G$5001,A2893))</f>
        <v/>
      </c>
      <c r="J2893" s="26" t="str">
        <f aca="false">IF(A2893="","",COUNTIFS(Apparitions!$G$2:$G$5001,A2893,Apparitions!$E$2:$E$5001,"○"))</f>
        <v/>
      </c>
      <c r="K2893" s="29" t="str">
        <f aca="false">IF(A2893="","",IFERROR(1/(1/_xlfn.MINIFS(Apparitions!$L$2:$L$5001,Apparitions!$G$2:$G$5001,A2893)),""))</f>
        <v/>
      </c>
      <c r="L2893" s="27" t="str">
        <f aca="false">IF(A2893="","",A2893&amp;" | "&amp;B2893&amp;IF(C2893="",""," ("&amp;C2893&amp;")")&amp;IF(D2893="",""," - "&amp;D2893))</f>
        <v/>
      </c>
    </row>
    <row r="2894" customFormat="false" ht="15" hidden="false" customHeight="false" outlineLevel="0" collapsed="false">
      <c r="A2894" s="32"/>
      <c r="B2894" s="19"/>
      <c r="C2894" s="19"/>
      <c r="D2894" s="19"/>
      <c r="E2894" s="21"/>
      <c r="F2894" s="19"/>
      <c r="G2894" s="27" t="str">
        <f aca="false">IF(B2894="","",IFERROR(INDEX(Jeux!$C$2:$C$3001,MATCH(B2894,Jeux!$A$2:$A$3001,0))&amp;"","⚠ jeu inconnu"))</f>
        <v/>
      </c>
      <c r="H2894" s="27" t="str">
        <f aca="false">IF(B2894="","",IFERROR(INDEX(Jeux!$D$2:$D$3001,MATCH(B2894,Jeux!$A$2:$A$3001,0))&amp;"",""))</f>
        <v/>
      </c>
      <c r="I2894" s="26" t="str">
        <f aca="false">IF(A2894="","",COUNTIF(Apparitions!$G$2:$G$5001,A2894))</f>
        <v/>
      </c>
      <c r="J2894" s="26" t="str">
        <f aca="false">IF(A2894="","",COUNTIFS(Apparitions!$G$2:$G$5001,A2894,Apparitions!$E$2:$E$5001,"○"))</f>
        <v/>
      </c>
      <c r="K2894" s="29" t="str">
        <f aca="false">IF(A2894="","",IFERROR(1/(1/_xlfn.MINIFS(Apparitions!$L$2:$L$5001,Apparitions!$G$2:$G$5001,A2894)),""))</f>
        <v/>
      </c>
      <c r="L2894" s="27" t="str">
        <f aca="false">IF(A2894="","",A2894&amp;" | "&amp;B2894&amp;IF(C2894="",""," ("&amp;C2894&amp;")")&amp;IF(D2894="",""," - "&amp;D2894))</f>
        <v/>
      </c>
    </row>
    <row r="2895" customFormat="false" ht="15" hidden="false" customHeight="false" outlineLevel="0" collapsed="false">
      <c r="A2895" s="32"/>
      <c r="B2895" s="19"/>
      <c r="C2895" s="19"/>
      <c r="D2895" s="19"/>
      <c r="E2895" s="21"/>
      <c r="F2895" s="19"/>
      <c r="G2895" s="27" t="str">
        <f aca="false">IF(B2895="","",IFERROR(INDEX(Jeux!$C$2:$C$3001,MATCH(B2895,Jeux!$A$2:$A$3001,0))&amp;"","⚠ jeu inconnu"))</f>
        <v/>
      </c>
      <c r="H2895" s="27" t="str">
        <f aca="false">IF(B2895="","",IFERROR(INDEX(Jeux!$D$2:$D$3001,MATCH(B2895,Jeux!$A$2:$A$3001,0))&amp;"",""))</f>
        <v/>
      </c>
      <c r="I2895" s="26" t="str">
        <f aca="false">IF(A2895="","",COUNTIF(Apparitions!$G$2:$G$5001,A2895))</f>
        <v/>
      </c>
      <c r="J2895" s="26" t="str">
        <f aca="false">IF(A2895="","",COUNTIFS(Apparitions!$G$2:$G$5001,A2895,Apparitions!$E$2:$E$5001,"○"))</f>
        <v/>
      </c>
      <c r="K2895" s="29" t="str">
        <f aca="false">IF(A2895="","",IFERROR(1/(1/_xlfn.MINIFS(Apparitions!$L$2:$L$5001,Apparitions!$G$2:$G$5001,A2895)),""))</f>
        <v/>
      </c>
      <c r="L2895" s="27" t="str">
        <f aca="false">IF(A2895="","",A2895&amp;" | "&amp;B2895&amp;IF(C2895="",""," ("&amp;C2895&amp;")")&amp;IF(D2895="",""," - "&amp;D2895))</f>
        <v/>
      </c>
    </row>
    <row r="2896" customFormat="false" ht="15" hidden="false" customHeight="false" outlineLevel="0" collapsed="false">
      <c r="A2896" s="32"/>
      <c r="B2896" s="19"/>
      <c r="C2896" s="19"/>
      <c r="D2896" s="19"/>
      <c r="E2896" s="21"/>
      <c r="F2896" s="19"/>
      <c r="G2896" s="27" t="str">
        <f aca="false">IF(B2896="","",IFERROR(INDEX(Jeux!$C$2:$C$3001,MATCH(B2896,Jeux!$A$2:$A$3001,0))&amp;"","⚠ jeu inconnu"))</f>
        <v/>
      </c>
      <c r="H2896" s="27" t="str">
        <f aca="false">IF(B2896="","",IFERROR(INDEX(Jeux!$D$2:$D$3001,MATCH(B2896,Jeux!$A$2:$A$3001,0))&amp;"",""))</f>
        <v/>
      </c>
      <c r="I2896" s="26" t="str">
        <f aca="false">IF(A2896="","",COUNTIF(Apparitions!$G$2:$G$5001,A2896))</f>
        <v/>
      </c>
      <c r="J2896" s="26" t="str">
        <f aca="false">IF(A2896="","",COUNTIFS(Apparitions!$G$2:$G$5001,A2896,Apparitions!$E$2:$E$5001,"○"))</f>
        <v/>
      </c>
      <c r="K2896" s="29" t="str">
        <f aca="false">IF(A2896="","",IFERROR(1/(1/_xlfn.MINIFS(Apparitions!$L$2:$L$5001,Apparitions!$G$2:$G$5001,A2896)),""))</f>
        <v/>
      </c>
      <c r="L2896" s="27" t="str">
        <f aca="false">IF(A2896="","",A2896&amp;" | "&amp;B2896&amp;IF(C2896="",""," ("&amp;C2896&amp;")")&amp;IF(D2896="",""," - "&amp;D2896))</f>
        <v/>
      </c>
    </row>
    <row r="2897" customFormat="false" ht="15" hidden="false" customHeight="false" outlineLevel="0" collapsed="false">
      <c r="A2897" s="32"/>
      <c r="B2897" s="19"/>
      <c r="C2897" s="19"/>
      <c r="D2897" s="19"/>
      <c r="E2897" s="21"/>
      <c r="F2897" s="19"/>
      <c r="G2897" s="27" t="str">
        <f aca="false">IF(B2897="","",IFERROR(INDEX(Jeux!$C$2:$C$3001,MATCH(B2897,Jeux!$A$2:$A$3001,0))&amp;"","⚠ jeu inconnu"))</f>
        <v/>
      </c>
      <c r="H2897" s="27" t="str">
        <f aca="false">IF(B2897="","",IFERROR(INDEX(Jeux!$D$2:$D$3001,MATCH(B2897,Jeux!$A$2:$A$3001,0))&amp;"",""))</f>
        <v/>
      </c>
      <c r="I2897" s="26" t="str">
        <f aca="false">IF(A2897="","",COUNTIF(Apparitions!$G$2:$G$5001,A2897))</f>
        <v/>
      </c>
      <c r="J2897" s="26" t="str">
        <f aca="false">IF(A2897="","",COUNTIFS(Apparitions!$G$2:$G$5001,A2897,Apparitions!$E$2:$E$5001,"○"))</f>
        <v/>
      </c>
      <c r="K2897" s="29" t="str">
        <f aca="false">IF(A2897="","",IFERROR(1/(1/_xlfn.MINIFS(Apparitions!$L$2:$L$5001,Apparitions!$G$2:$G$5001,A2897)),""))</f>
        <v/>
      </c>
      <c r="L2897" s="27" t="str">
        <f aca="false">IF(A2897="","",A2897&amp;" | "&amp;B2897&amp;IF(C2897="",""," ("&amp;C2897&amp;")")&amp;IF(D2897="",""," - "&amp;D2897))</f>
        <v/>
      </c>
    </row>
    <row r="2898" customFormat="false" ht="15" hidden="false" customHeight="false" outlineLevel="0" collapsed="false">
      <c r="A2898" s="32"/>
      <c r="B2898" s="19"/>
      <c r="C2898" s="19"/>
      <c r="D2898" s="19"/>
      <c r="E2898" s="21"/>
      <c r="F2898" s="19"/>
      <c r="G2898" s="27" t="str">
        <f aca="false">IF(B2898="","",IFERROR(INDEX(Jeux!$C$2:$C$3001,MATCH(B2898,Jeux!$A$2:$A$3001,0))&amp;"","⚠ jeu inconnu"))</f>
        <v/>
      </c>
      <c r="H2898" s="27" t="str">
        <f aca="false">IF(B2898="","",IFERROR(INDEX(Jeux!$D$2:$D$3001,MATCH(B2898,Jeux!$A$2:$A$3001,0))&amp;"",""))</f>
        <v/>
      </c>
      <c r="I2898" s="26" t="str">
        <f aca="false">IF(A2898="","",COUNTIF(Apparitions!$G$2:$G$5001,A2898))</f>
        <v/>
      </c>
      <c r="J2898" s="26" t="str">
        <f aca="false">IF(A2898="","",COUNTIFS(Apparitions!$G$2:$G$5001,A2898,Apparitions!$E$2:$E$5001,"○"))</f>
        <v/>
      </c>
      <c r="K2898" s="29" t="str">
        <f aca="false">IF(A2898="","",IFERROR(1/(1/_xlfn.MINIFS(Apparitions!$L$2:$L$5001,Apparitions!$G$2:$G$5001,A2898)),""))</f>
        <v/>
      </c>
      <c r="L2898" s="27" t="str">
        <f aca="false">IF(A2898="","",A2898&amp;" | "&amp;B2898&amp;IF(C2898="",""," ("&amp;C2898&amp;")")&amp;IF(D2898="",""," - "&amp;D2898))</f>
        <v/>
      </c>
    </row>
    <row r="2899" customFormat="false" ht="15" hidden="false" customHeight="false" outlineLevel="0" collapsed="false">
      <c r="A2899" s="32"/>
      <c r="B2899" s="19"/>
      <c r="C2899" s="19"/>
      <c r="D2899" s="19"/>
      <c r="E2899" s="21"/>
      <c r="F2899" s="19"/>
      <c r="G2899" s="27" t="str">
        <f aca="false">IF(B2899="","",IFERROR(INDEX(Jeux!$C$2:$C$3001,MATCH(B2899,Jeux!$A$2:$A$3001,0))&amp;"","⚠ jeu inconnu"))</f>
        <v/>
      </c>
      <c r="H2899" s="27" t="str">
        <f aca="false">IF(B2899="","",IFERROR(INDEX(Jeux!$D$2:$D$3001,MATCH(B2899,Jeux!$A$2:$A$3001,0))&amp;"",""))</f>
        <v/>
      </c>
      <c r="I2899" s="26" t="str">
        <f aca="false">IF(A2899="","",COUNTIF(Apparitions!$G$2:$G$5001,A2899))</f>
        <v/>
      </c>
      <c r="J2899" s="26" t="str">
        <f aca="false">IF(A2899="","",COUNTIFS(Apparitions!$G$2:$G$5001,A2899,Apparitions!$E$2:$E$5001,"○"))</f>
        <v/>
      </c>
      <c r="K2899" s="29" t="str">
        <f aca="false">IF(A2899="","",IFERROR(1/(1/_xlfn.MINIFS(Apparitions!$L$2:$L$5001,Apparitions!$G$2:$G$5001,A2899)),""))</f>
        <v/>
      </c>
      <c r="L2899" s="27" t="str">
        <f aca="false">IF(A2899="","",A2899&amp;" | "&amp;B2899&amp;IF(C2899="",""," ("&amp;C2899&amp;")")&amp;IF(D2899="",""," - "&amp;D2899))</f>
        <v/>
      </c>
    </row>
    <row r="2900" customFormat="false" ht="15" hidden="false" customHeight="false" outlineLevel="0" collapsed="false">
      <c r="A2900" s="32"/>
      <c r="B2900" s="19"/>
      <c r="C2900" s="19"/>
      <c r="D2900" s="19"/>
      <c r="E2900" s="21"/>
      <c r="F2900" s="19"/>
      <c r="G2900" s="27" t="str">
        <f aca="false">IF(B2900="","",IFERROR(INDEX(Jeux!$C$2:$C$3001,MATCH(B2900,Jeux!$A$2:$A$3001,0))&amp;"","⚠ jeu inconnu"))</f>
        <v/>
      </c>
      <c r="H2900" s="27" t="str">
        <f aca="false">IF(B2900="","",IFERROR(INDEX(Jeux!$D$2:$D$3001,MATCH(B2900,Jeux!$A$2:$A$3001,0))&amp;"",""))</f>
        <v/>
      </c>
      <c r="I2900" s="26" t="str">
        <f aca="false">IF(A2900="","",COUNTIF(Apparitions!$G$2:$G$5001,A2900))</f>
        <v/>
      </c>
      <c r="J2900" s="26" t="str">
        <f aca="false">IF(A2900="","",COUNTIFS(Apparitions!$G$2:$G$5001,A2900,Apparitions!$E$2:$E$5001,"○"))</f>
        <v/>
      </c>
      <c r="K2900" s="29" t="str">
        <f aca="false">IF(A2900="","",IFERROR(1/(1/_xlfn.MINIFS(Apparitions!$L$2:$L$5001,Apparitions!$G$2:$G$5001,A2900)),""))</f>
        <v/>
      </c>
      <c r="L2900" s="27" t="str">
        <f aca="false">IF(A2900="","",A2900&amp;" | "&amp;B2900&amp;IF(C2900="",""," ("&amp;C2900&amp;")")&amp;IF(D2900="",""," - "&amp;D2900))</f>
        <v/>
      </c>
    </row>
    <row r="2901" customFormat="false" ht="15" hidden="false" customHeight="false" outlineLevel="0" collapsed="false">
      <c r="A2901" s="32"/>
      <c r="B2901" s="19"/>
      <c r="C2901" s="19"/>
      <c r="D2901" s="19"/>
      <c r="E2901" s="21"/>
      <c r="F2901" s="19"/>
      <c r="G2901" s="27" t="str">
        <f aca="false">IF(B2901="","",IFERROR(INDEX(Jeux!$C$2:$C$3001,MATCH(B2901,Jeux!$A$2:$A$3001,0))&amp;"","⚠ jeu inconnu"))</f>
        <v/>
      </c>
      <c r="H2901" s="27" t="str">
        <f aca="false">IF(B2901="","",IFERROR(INDEX(Jeux!$D$2:$D$3001,MATCH(B2901,Jeux!$A$2:$A$3001,0))&amp;"",""))</f>
        <v/>
      </c>
      <c r="I2901" s="26" t="str">
        <f aca="false">IF(A2901="","",COUNTIF(Apparitions!$G$2:$G$5001,A2901))</f>
        <v/>
      </c>
      <c r="J2901" s="26" t="str">
        <f aca="false">IF(A2901="","",COUNTIFS(Apparitions!$G$2:$G$5001,A2901,Apparitions!$E$2:$E$5001,"○"))</f>
        <v/>
      </c>
      <c r="K2901" s="29" t="str">
        <f aca="false">IF(A2901="","",IFERROR(1/(1/_xlfn.MINIFS(Apparitions!$L$2:$L$5001,Apparitions!$G$2:$G$5001,A2901)),""))</f>
        <v/>
      </c>
      <c r="L2901" s="27" t="str">
        <f aca="false">IF(A2901="","",A2901&amp;" | "&amp;B2901&amp;IF(C2901="",""," ("&amp;C2901&amp;")")&amp;IF(D2901="",""," - "&amp;D2901))</f>
        <v/>
      </c>
    </row>
    <row r="2902" customFormat="false" ht="15" hidden="false" customHeight="false" outlineLevel="0" collapsed="false">
      <c r="A2902" s="32"/>
      <c r="B2902" s="19"/>
      <c r="C2902" s="19"/>
      <c r="D2902" s="19"/>
      <c r="E2902" s="21"/>
      <c r="F2902" s="19"/>
      <c r="G2902" s="27" t="str">
        <f aca="false">IF(B2902="","",IFERROR(INDEX(Jeux!$C$2:$C$3001,MATCH(B2902,Jeux!$A$2:$A$3001,0))&amp;"","⚠ jeu inconnu"))</f>
        <v/>
      </c>
      <c r="H2902" s="27" t="str">
        <f aca="false">IF(B2902="","",IFERROR(INDEX(Jeux!$D$2:$D$3001,MATCH(B2902,Jeux!$A$2:$A$3001,0))&amp;"",""))</f>
        <v/>
      </c>
      <c r="I2902" s="26" t="str">
        <f aca="false">IF(A2902="","",COUNTIF(Apparitions!$G$2:$G$5001,A2902))</f>
        <v/>
      </c>
      <c r="J2902" s="26" t="str">
        <f aca="false">IF(A2902="","",COUNTIFS(Apparitions!$G$2:$G$5001,A2902,Apparitions!$E$2:$E$5001,"○"))</f>
        <v/>
      </c>
      <c r="K2902" s="29" t="str">
        <f aca="false">IF(A2902="","",IFERROR(1/(1/_xlfn.MINIFS(Apparitions!$L$2:$L$5001,Apparitions!$G$2:$G$5001,A2902)),""))</f>
        <v/>
      </c>
      <c r="L2902" s="27" t="str">
        <f aca="false">IF(A2902="","",A2902&amp;" | "&amp;B2902&amp;IF(C2902="",""," ("&amp;C2902&amp;")")&amp;IF(D2902="",""," - "&amp;D2902))</f>
        <v/>
      </c>
    </row>
    <row r="2903" customFormat="false" ht="15" hidden="false" customHeight="false" outlineLevel="0" collapsed="false">
      <c r="A2903" s="32"/>
      <c r="B2903" s="19"/>
      <c r="C2903" s="19"/>
      <c r="D2903" s="19"/>
      <c r="E2903" s="21"/>
      <c r="F2903" s="19"/>
      <c r="G2903" s="27" t="str">
        <f aca="false">IF(B2903="","",IFERROR(INDEX(Jeux!$C$2:$C$3001,MATCH(B2903,Jeux!$A$2:$A$3001,0))&amp;"","⚠ jeu inconnu"))</f>
        <v/>
      </c>
      <c r="H2903" s="27" t="str">
        <f aca="false">IF(B2903="","",IFERROR(INDEX(Jeux!$D$2:$D$3001,MATCH(B2903,Jeux!$A$2:$A$3001,0))&amp;"",""))</f>
        <v/>
      </c>
      <c r="I2903" s="26" t="str">
        <f aca="false">IF(A2903="","",COUNTIF(Apparitions!$G$2:$G$5001,A2903))</f>
        <v/>
      </c>
      <c r="J2903" s="26" t="str">
        <f aca="false">IF(A2903="","",COUNTIFS(Apparitions!$G$2:$G$5001,A2903,Apparitions!$E$2:$E$5001,"○"))</f>
        <v/>
      </c>
      <c r="K2903" s="29" t="str">
        <f aca="false">IF(A2903="","",IFERROR(1/(1/_xlfn.MINIFS(Apparitions!$L$2:$L$5001,Apparitions!$G$2:$G$5001,A2903)),""))</f>
        <v/>
      </c>
      <c r="L2903" s="27" t="str">
        <f aca="false">IF(A2903="","",A2903&amp;" | "&amp;B2903&amp;IF(C2903="",""," ("&amp;C2903&amp;")")&amp;IF(D2903="",""," - "&amp;D2903))</f>
        <v/>
      </c>
    </row>
    <row r="2904" customFormat="false" ht="15" hidden="false" customHeight="false" outlineLevel="0" collapsed="false">
      <c r="A2904" s="32"/>
      <c r="B2904" s="19"/>
      <c r="C2904" s="19"/>
      <c r="D2904" s="19"/>
      <c r="E2904" s="21"/>
      <c r="F2904" s="19"/>
      <c r="G2904" s="27" t="str">
        <f aca="false">IF(B2904="","",IFERROR(INDEX(Jeux!$C$2:$C$3001,MATCH(B2904,Jeux!$A$2:$A$3001,0))&amp;"","⚠ jeu inconnu"))</f>
        <v/>
      </c>
      <c r="H2904" s="27" t="str">
        <f aca="false">IF(B2904="","",IFERROR(INDEX(Jeux!$D$2:$D$3001,MATCH(B2904,Jeux!$A$2:$A$3001,0))&amp;"",""))</f>
        <v/>
      </c>
      <c r="I2904" s="26" t="str">
        <f aca="false">IF(A2904="","",COUNTIF(Apparitions!$G$2:$G$5001,A2904))</f>
        <v/>
      </c>
      <c r="J2904" s="26" t="str">
        <f aca="false">IF(A2904="","",COUNTIFS(Apparitions!$G$2:$G$5001,A2904,Apparitions!$E$2:$E$5001,"○"))</f>
        <v/>
      </c>
      <c r="K2904" s="29" t="str">
        <f aca="false">IF(A2904="","",IFERROR(1/(1/_xlfn.MINIFS(Apparitions!$L$2:$L$5001,Apparitions!$G$2:$G$5001,A2904)),""))</f>
        <v/>
      </c>
      <c r="L2904" s="27" t="str">
        <f aca="false">IF(A2904="","",A2904&amp;" | "&amp;B2904&amp;IF(C2904="",""," ("&amp;C2904&amp;")")&amp;IF(D2904="",""," - "&amp;D2904))</f>
        <v/>
      </c>
    </row>
    <row r="2905" customFormat="false" ht="15" hidden="false" customHeight="false" outlineLevel="0" collapsed="false">
      <c r="A2905" s="32"/>
      <c r="B2905" s="19"/>
      <c r="C2905" s="19"/>
      <c r="D2905" s="19"/>
      <c r="E2905" s="21"/>
      <c r="F2905" s="19"/>
      <c r="G2905" s="27" t="str">
        <f aca="false">IF(B2905="","",IFERROR(INDEX(Jeux!$C$2:$C$3001,MATCH(B2905,Jeux!$A$2:$A$3001,0))&amp;"","⚠ jeu inconnu"))</f>
        <v/>
      </c>
      <c r="H2905" s="27" t="str">
        <f aca="false">IF(B2905="","",IFERROR(INDEX(Jeux!$D$2:$D$3001,MATCH(B2905,Jeux!$A$2:$A$3001,0))&amp;"",""))</f>
        <v/>
      </c>
      <c r="I2905" s="26" t="str">
        <f aca="false">IF(A2905="","",COUNTIF(Apparitions!$G$2:$G$5001,A2905))</f>
        <v/>
      </c>
      <c r="J2905" s="26" t="str">
        <f aca="false">IF(A2905="","",COUNTIFS(Apparitions!$G$2:$G$5001,A2905,Apparitions!$E$2:$E$5001,"○"))</f>
        <v/>
      </c>
      <c r="K2905" s="29" t="str">
        <f aca="false">IF(A2905="","",IFERROR(1/(1/_xlfn.MINIFS(Apparitions!$L$2:$L$5001,Apparitions!$G$2:$G$5001,A2905)),""))</f>
        <v/>
      </c>
      <c r="L2905" s="27" t="str">
        <f aca="false">IF(A2905="","",A2905&amp;" | "&amp;B2905&amp;IF(C2905="",""," ("&amp;C2905&amp;")")&amp;IF(D2905="",""," - "&amp;D2905))</f>
        <v/>
      </c>
    </row>
    <row r="2906" customFormat="false" ht="15" hidden="false" customHeight="false" outlineLevel="0" collapsed="false">
      <c r="A2906" s="32"/>
      <c r="B2906" s="19"/>
      <c r="C2906" s="19"/>
      <c r="D2906" s="19"/>
      <c r="E2906" s="21"/>
      <c r="F2906" s="19"/>
      <c r="G2906" s="27" t="str">
        <f aca="false">IF(B2906="","",IFERROR(INDEX(Jeux!$C$2:$C$3001,MATCH(B2906,Jeux!$A$2:$A$3001,0))&amp;"","⚠ jeu inconnu"))</f>
        <v/>
      </c>
      <c r="H2906" s="27" t="str">
        <f aca="false">IF(B2906="","",IFERROR(INDEX(Jeux!$D$2:$D$3001,MATCH(B2906,Jeux!$A$2:$A$3001,0))&amp;"",""))</f>
        <v/>
      </c>
      <c r="I2906" s="26" t="str">
        <f aca="false">IF(A2906="","",COUNTIF(Apparitions!$G$2:$G$5001,A2906))</f>
        <v/>
      </c>
      <c r="J2906" s="26" t="str">
        <f aca="false">IF(A2906="","",COUNTIFS(Apparitions!$G$2:$G$5001,A2906,Apparitions!$E$2:$E$5001,"○"))</f>
        <v/>
      </c>
      <c r="K2906" s="29" t="str">
        <f aca="false">IF(A2906="","",IFERROR(1/(1/_xlfn.MINIFS(Apparitions!$L$2:$L$5001,Apparitions!$G$2:$G$5001,A2906)),""))</f>
        <v/>
      </c>
      <c r="L2906" s="27" t="str">
        <f aca="false">IF(A2906="","",A2906&amp;" | "&amp;B2906&amp;IF(C2906="",""," ("&amp;C2906&amp;")")&amp;IF(D2906="",""," - "&amp;D2906))</f>
        <v/>
      </c>
    </row>
    <row r="2907" customFormat="false" ht="15" hidden="false" customHeight="false" outlineLevel="0" collapsed="false">
      <c r="A2907" s="32"/>
      <c r="B2907" s="19"/>
      <c r="C2907" s="19"/>
      <c r="D2907" s="19"/>
      <c r="E2907" s="21"/>
      <c r="F2907" s="19"/>
      <c r="G2907" s="27" t="str">
        <f aca="false">IF(B2907="","",IFERROR(INDEX(Jeux!$C$2:$C$3001,MATCH(B2907,Jeux!$A$2:$A$3001,0))&amp;"","⚠ jeu inconnu"))</f>
        <v/>
      </c>
      <c r="H2907" s="27" t="str">
        <f aca="false">IF(B2907="","",IFERROR(INDEX(Jeux!$D$2:$D$3001,MATCH(B2907,Jeux!$A$2:$A$3001,0))&amp;"",""))</f>
        <v/>
      </c>
      <c r="I2907" s="26" t="str">
        <f aca="false">IF(A2907="","",COUNTIF(Apparitions!$G$2:$G$5001,A2907))</f>
        <v/>
      </c>
      <c r="J2907" s="26" t="str">
        <f aca="false">IF(A2907="","",COUNTIFS(Apparitions!$G$2:$G$5001,A2907,Apparitions!$E$2:$E$5001,"○"))</f>
        <v/>
      </c>
      <c r="K2907" s="29" t="str">
        <f aca="false">IF(A2907="","",IFERROR(1/(1/_xlfn.MINIFS(Apparitions!$L$2:$L$5001,Apparitions!$G$2:$G$5001,A2907)),""))</f>
        <v/>
      </c>
      <c r="L2907" s="27" t="str">
        <f aca="false">IF(A2907="","",A2907&amp;" | "&amp;B2907&amp;IF(C2907="",""," ("&amp;C2907&amp;")")&amp;IF(D2907="",""," - "&amp;D2907))</f>
        <v/>
      </c>
    </row>
    <row r="2908" customFormat="false" ht="15" hidden="false" customHeight="false" outlineLevel="0" collapsed="false">
      <c r="A2908" s="32"/>
      <c r="B2908" s="19"/>
      <c r="C2908" s="19"/>
      <c r="D2908" s="19"/>
      <c r="E2908" s="21"/>
      <c r="F2908" s="19"/>
      <c r="G2908" s="27" t="str">
        <f aca="false">IF(B2908="","",IFERROR(INDEX(Jeux!$C$2:$C$3001,MATCH(B2908,Jeux!$A$2:$A$3001,0))&amp;"","⚠ jeu inconnu"))</f>
        <v/>
      </c>
      <c r="H2908" s="27" t="str">
        <f aca="false">IF(B2908="","",IFERROR(INDEX(Jeux!$D$2:$D$3001,MATCH(B2908,Jeux!$A$2:$A$3001,0))&amp;"",""))</f>
        <v/>
      </c>
      <c r="I2908" s="26" t="str">
        <f aca="false">IF(A2908="","",COUNTIF(Apparitions!$G$2:$G$5001,A2908))</f>
        <v/>
      </c>
      <c r="J2908" s="26" t="str">
        <f aca="false">IF(A2908="","",COUNTIFS(Apparitions!$G$2:$G$5001,A2908,Apparitions!$E$2:$E$5001,"○"))</f>
        <v/>
      </c>
      <c r="K2908" s="29" t="str">
        <f aca="false">IF(A2908="","",IFERROR(1/(1/_xlfn.MINIFS(Apparitions!$L$2:$L$5001,Apparitions!$G$2:$G$5001,A2908)),""))</f>
        <v/>
      </c>
      <c r="L2908" s="27" t="str">
        <f aca="false">IF(A2908="","",A2908&amp;" | "&amp;B2908&amp;IF(C2908="",""," ("&amp;C2908&amp;")")&amp;IF(D2908="",""," - "&amp;D2908))</f>
        <v/>
      </c>
    </row>
    <row r="2909" customFormat="false" ht="15" hidden="false" customHeight="false" outlineLevel="0" collapsed="false">
      <c r="A2909" s="32"/>
      <c r="B2909" s="19"/>
      <c r="C2909" s="19"/>
      <c r="D2909" s="19"/>
      <c r="E2909" s="21"/>
      <c r="F2909" s="19"/>
      <c r="G2909" s="27" t="str">
        <f aca="false">IF(B2909="","",IFERROR(INDEX(Jeux!$C$2:$C$3001,MATCH(B2909,Jeux!$A$2:$A$3001,0))&amp;"","⚠ jeu inconnu"))</f>
        <v/>
      </c>
      <c r="H2909" s="27" t="str">
        <f aca="false">IF(B2909="","",IFERROR(INDEX(Jeux!$D$2:$D$3001,MATCH(B2909,Jeux!$A$2:$A$3001,0))&amp;"",""))</f>
        <v/>
      </c>
      <c r="I2909" s="26" t="str">
        <f aca="false">IF(A2909="","",COUNTIF(Apparitions!$G$2:$G$5001,A2909))</f>
        <v/>
      </c>
      <c r="J2909" s="26" t="str">
        <f aca="false">IF(A2909="","",COUNTIFS(Apparitions!$G$2:$G$5001,A2909,Apparitions!$E$2:$E$5001,"○"))</f>
        <v/>
      </c>
      <c r="K2909" s="29" t="str">
        <f aca="false">IF(A2909="","",IFERROR(1/(1/_xlfn.MINIFS(Apparitions!$L$2:$L$5001,Apparitions!$G$2:$G$5001,A2909)),""))</f>
        <v/>
      </c>
      <c r="L2909" s="27" t="str">
        <f aca="false">IF(A2909="","",A2909&amp;" | "&amp;B2909&amp;IF(C2909="",""," ("&amp;C2909&amp;")")&amp;IF(D2909="",""," - "&amp;D2909))</f>
        <v/>
      </c>
    </row>
    <row r="2910" customFormat="false" ht="15" hidden="false" customHeight="false" outlineLevel="0" collapsed="false">
      <c r="A2910" s="32"/>
      <c r="B2910" s="19"/>
      <c r="C2910" s="19"/>
      <c r="D2910" s="19"/>
      <c r="E2910" s="21"/>
      <c r="F2910" s="19"/>
      <c r="G2910" s="27" t="str">
        <f aca="false">IF(B2910="","",IFERROR(INDEX(Jeux!$C$2:$C$3001,MATCH(B2910,Jeux!$A$2:$A$3001,0))&amp;"","⚠ jeu inconnu"))</f>
        <v/>
      </c>
      <c r="H2910" s="27" t="str">
        <f aca="false">IF(B2910="","",IFERROR(INDEX(Jeux!$D$2:$D$3001,MATCH(B2910,Jeux!$A$2:$A$3001,0))&amp;"",""))</f>
        <v/>
      </c>
      <c r="I2910" s="26" t="str">
        <f aca="false">IF(A2910="","",COUNTIF(Apparitions!$G$2:$G$5001,A2910))</f>
        <v/>
      </c>
      <c r="J2910" s="26" t="str">
        <f aca="false">IF(A2910="","",COUNTIFS(Apparitions!$G$2:$G$5001,A2910,Apparitions!$E$2:$E$5001,"○"))</f>
        <v/>
      </c>
      <c r="K2910" s="29" t="str">
        <f aca="false">IF(A2910="","",IFERROR(1/(1/_xlfn.MINIFS(Apparitions!$L$2:$L$5001,Apparitions!$G$2:$G$5001,A2910)),""))</f>
        <v/>
      </c>
      <c r="L2910" s="27" t="str">
        <f aca="false">IF(A2910="","",A2910&amp;" | "&amp;B2910&amp;IF(C2910="",""," ("&amp;C2910&amp;")")&amp;IF(D2910="",""," - "&amp;D2910))</f>
        <v/>
      </c>
    </row>
    <row r="2911" customFormat="false" ht="15" hidden="false" customHeight="false" outlineLevel="0" collapsed="false">
      <c r="A2911" s="32"/>
      <c r="B2911" s="19"/>
      <c r="C2911" s="19"/>
      <c r="D2911" s="19"/>
      <c r="E2911" s="21"/>
      <c r="F2911" s="19"/>
      <c r="G2911" s="27" t="str">
        <f aca="false">IF(B2911="","",IFERROR(INDEX(Jeux!$C$2:$C$3001,MATCH(B2911,Jeux!$A$2:$A$3001,0))&amp;"","⚠ jeu inconnu"))</f>
        <v/>
      </c>
      <c r="H2911" s="27" t="str">
        <f aca="false">IF(B2911="","",IFERROR(INDEX(Jeux!$D$2:$D$3001,MATCH(B2911,Jeux!$A$2:$A$3001,0))&amp;"",""))</f>
        <v/>
      </c>
      <c r="I2911" s="26" t="str">
        <f aca="false">IF(A2911="","",COUNTIF(Apparitions!$G$2:$G$5001,A2911))</f>
        <v/>
      </c>
      <c r="J2911" s="26" t="str">
        <f aca="false">IF(A2911="","",COUNTIFS(Apparitions!$G$2:$G$5001,A2911,Apparitions!$E$2:$E$5001,"○"))</f>
        <v/>
      </c>
      <c r="K2911" s="29" t="str">
        <f aca="false">IF(A2911="","",IFERROR(1/(1/_xlfn.MINIFS(Apparitions!$L$2:$L$5001,Apparitions!$G$2:$G$5001,A2911)),""))</f>
        <v/>
      </c>
      <c r="L2911" s="27" t="str">
        <f aca="false">IF(A2911="","",A2911&amp;" | "&amp;B2911&amp;IF(C2911="",""," ("&amp;C2911&amp;")")&amp;IF(D2911="",""," - "&amp;D2911))</f>
        <v/>
      </c>
    </row>
    <row r="2912" customFormat="false" ht="15" hidden="false" customHeight="false" outlineLevel="0" collapsed="false">
      <c r="A2912" s="32"/>
      <c r="B2912" s="19"/>
      <c r="C2912" s="19"/>
      <c r="D2912" s="19"/>
      <c r="E2912" s="21"/>
      <c r="F2912" s="19"/>
      <c r="G2912" s="27" t="str">
        <f aca="false">IF(B2912="","",IFERROR(INDEX(Jeux!$C$2:$C$3001,MATCH(B2912,Jeux!$A$2:$A$3001,0))&amp;"","⚠ jeu inconnu"))</f>
        <v/>
      </c>
      <c r="H2912" s="27" t="str">
        <f aca="false">IF(B2912="","",IFERROR(INDEX(Jeux!$D$2:$D$3001,MATCH(B2912,Jeux!$A$2:$A$3001,0))&amp;"",""))</f>
        <v/>
      </c>
      <c r="I2912" s="26" t="str">
        <f aca="false">IF(A2912="","",COUNTIF(Apparitions!$G$2:$G$5001,A2912))</f>
        <v/>
      </c>
      <c r="J2912" s="26" t="str">
        <f aca="false">IF(A2912="","",COUNTIFS(Apparitions!$G$2:$G$5001,A2912,Apparitions!$E$2:$E$5001,"○"))</f>
        <v/>
      </c>
      <c r="K2912" s="29" t="str">
        <f aca="false">IF(A2912="","",IFERROR(1/(1/_xlfn.MINIFS(Apparitions!$L$2:$L$5001,Apparitions!$G$2:$G$5001,A2912)),""))</f>
        <v/>
      </c>
      <c r="L2912" s="27" t="str">
        <f aca="false">IF(A2912="","",A2912&amp;" | "&amp;B2912&amp;IF(C2912="",""," ("&amp;C2912&amp;")")&amp;IF(D2912="",""," - "&amp;D2912))</f>
        <v/>
      </c>
    </row>
    <row r="2913" customFormat="false" ht="15" hidden="false" customHeight="false" outlineLevel="0" collapsed="false">
      <c r="A2913" s="32"/>
      <c r="B2913" s="19"/>
      <c r="C2913" s="19"/>
      <c r="D2913" s="19"/>
      <c r="E2913" s="21"/>
      <c r="F2913" s="19"/>
      <c r="G2913" s="27" t="str">
        <f aca="false">IF(B2913="","",IFERROR(INDEX(Jeux!$C$2:$C$3001,MATCH(B2913,Jeux!$A$2:$A$3001,0))&amp;"","⚠ jeu inconnu"))</f>
        <v/>
      </c>
      <c r="H2913" s="27" t="str">
        <f aca="false">IF(B2913="","",IFERROR(INDEX(Jeux!$D$2:$D$3001,MATCH(B2913,Jeux!$A$2:$A$3001,0))&amp;"",""))</f>
        <v/>
      </c>
      <c r="I2913" s="26" t="str">
        <f aca="false">IF(A2913="","",COUNTIF(Apparitions!$G$2:$G$5001,A2913))</f>
        <v/>
      </c>
      <c r="J2913" s="26" t="str">
        <f aca="false">IF(A2913="","",COUNTIFS(Apparitions!$G$2:$G$5001,A2913,Apparitions!$E$2:$E$5001,"○"))</f>
        <v/>
      </c>
      <c r="K2913" s="29" t="str">
        <f aca="false">IF(A2913="","",IFERROR(1/(1/_xlfn.MINIFS(Apparitions!$L$2:$L$5001,Apparitions!$G$2:$G$5001,A2913)),""))</f>
        <v/>
      </c>
      <c r="L2913" s="27" t="str">
        <f aca="false">IF(A2913="","",A2913&amp;" | "&amp;B2913&amp;IF(C2913="",""," ("&amp;C2913&amp;")")&amp;IF(D2913="",""," - "&amp;D2913))</f>
        <v/>
      </c>
    </row>
    <row r="2914" customFormat="false" ht="15" hidden="false" customHeight="false" outlineLevel="0" collapsed="false">
      <c r="A2914" s="32"/>
      <c r="B2914" s="19"/>
      <c r="C2914" s="19"/>
      <c r="D2914" s="19"/>
      <c r="E2914" s="21"/>
      <c r="F2914" s="19"/>
      <c r="G2914" s="27" t="str">
        <f aca="false">IF(B2914="","",IFERROR(INDEX(Jeux!$C$2:$C$3001,MATCH(B2914,Jeux!$A$2:$A$3001,0))&amp;"","⚠ jeu inconnu"))</f>
        <v/>
      </c>
      <c r="H2914" s="27" t="str">
        <f aca="false">IF(B2914="","",IFERROR(INDEX(Jeux!$D$2:$D$3001,MATCH(B2914,Jeux!$A$2:$A$3001,0))&amp;"",""))</f>
        <v/>
      </c>
      <c r="I2914" s="26" t="str">
        <f aca="false">IF(A2914="","",COUNTIF(Apparitions!$G$2:$G$5001,A2914))</f>
        <v/>
      </c>
      <c r="J2914" s="26" t="str">
        <f aca="false">IF(A2914="","",COUNTIFS(Apparitions!$G$2:$G$5001,A2914,Apparitions!$E$2:$E$5001,"○"))</f>
        <v/>
      </c>
      <c r="K2914" s="29" t="str">
        <f aca="false">IF(A2914="","",IFERROR(1/(1/_xlfn.MINIFS(Apparitions!$L$2:$L$5001,Apparitions!$G$2:$G$5001,A2914)),""))</f>
        <v/>
      </c>
      <c r="L2914" s="27" t="str">
        <f aca="false">IF(A2914="","",A2914&amp;" | "&amp;B2914&amp;IF(C2914="",""," ("&amp;C2914&amp;")")&amp;IF(D2914="",""," - "&amp;D2914))</f>
        <v/>
      </c>
    </row>
    <row r="2915" customFormat="false" ht="15" hidden="false" customHeight="false" outlineLevel="0" collapsed="false">
      <c r="A2915" s="32"/>
      <c r="B2915" s="19"/>
      <c r="C2915" s="19"/>
      <c r="D2915" s="19"/>
      <c r="E2915" s="21"/>
      <c r="F2915" s="19"/>
      <c r="G2915" s="27" t="str">
        <f aca="false">IF(B2915="","",IFERROR(INDEX(Jeux!$C$2:$C$3001,MATCH(B2915,Jeux!$A$2:$A$3001,0))&amp;"","⚠ jeu inconnu"))</f>
        <v/>
      </c>
      <c r="H2915" s="27" t="str">
        <f aca="false">IF(B2915="","",IFERROR(INDEX(Jeux!$D$2:$D$3001,MATCH(B2915,Jeux!$A$2:$A$3001,0))&amp;"",""))</f>
        <v/>
      </c>
      <c r="I2915" s="26" t="str">
        <f aca="false">IF(A2915="","",COUNTIF(Apparitions!$G$2:$G$5001,A2915))</f>
        <v/>
      </c>
      <c r="J2915" s="26" t="str">
        <f aca="false">IF(A2915="","",COUNTIFS(Apparitions!$G$2:$G$5001,A2915,Apparitions!$E$2:$E$5001,"○"))</f>
        <v/>
      </c>
      <c r="K2915" s="29" t="str">
        <f aca="false">IF(A2915="","",IFERROR(1/(1/_xlfn.MINIFS(Apparitions!$L$2:$L$5001,Apparitions!$G$2:$G$5001,A2915)),""))</f>
        <v/>
      </c>
      <c r="L2915" s="27" t="str">
        <f aca="false">IF(A2915="","",A2915&amp;" | "&amp;B2915&amp;IF(C2915="",""," ("&amp;C2915&amp;")")&amp;IF(D2915="",""," - "&amp;D2915))</f>
        <v/>
      </c>
    </row>
    <row r="2916" customFormat="false" ht="15" hidden="false" customHeight="false" outlineLevel="0" collapsed="false">
      <c r="A2916" s="32"/>
      <c r="B2916" s="19"/>
      <c r="C2916" s="19"/>
      <c r="D2916" s="19"/>
      <c r="E2916" s="21"/>
      <c r="F2916" s="19"/>
      <c r="G2916" s="27" t="str">
        <f aca="false">IF(B2916="","",IFERROR(INDEX(Jeux!$C$2:$C$3001,MATCH(B2916,Jeux!$A$2:$A$3001,0))&amp;"","⚠ jeu inconnu"))</f>
        <v/>
      </c>
      <c r="H2916" s="27" t="str">
        <f aca="false">IF(B2916="","",IFERROR(INDEX(Jeux!$D$2:$D$3001,MATCH(B2916,Jeux!$A$2:$A$3001,0))&amp;"",""))</f>
        <v/>
      </c>
      <c r="I2916" s="26" t="str">
        <f aca="false">IF(A2916="","",COUNTIF(Apparitions!$G$2:$G$5001,A2916))</f>
        <v/>
      </c>
      <c r="J2916" s="26" t="str">
        <f aca="false">IF(A2916="","",COUNTIFS(Apparitions!$G$2:$G$5001,A2916,Apparitions!$E$2:$E$5001,"○"))</f>
        <v/>
      </c>
      <c r="K2916" s="29" t="str">
        <f aca="false">IF(A2916="","",IFERROR(1/(1/_xlfn.MINIFS(Apparitions!$L$2:$L$5001,Apparitions!$G$2:$G$5001,A2916)),""))</f>
        <v/>
      </c>
      <c r="L2916" s="27" t="str">
        <f aca="false">IF(A2916="","",A2916&amp;" | "&amp;B2916&amp;IF(C2916="",""," ("&amp;C2916&amp;")")&amp;IF(D2916="",""," - "&amp;D2916))</f>
        <v/>
      </c>
    </row>
    <row r="2917" customFormat="false" ht="15" hidden="false" customHeight="false" outlineLevel="0" collapsed="false">
      <c r="A2917" s="32"/>
      <c r="B2917" s="19"/>
      <c r="C2917" s="19"/>
      <c r="D2917" s="19"/>
      <c r="E2917" s="21"/>
      <c r="F2917" s="19"/>
      <c r="G2917" s="27" t="str">
        <f aca="false">IF(B2917="","",IFERROR(INDEX(Jeux!$C$2:$C$3001,MATCH(B2917,Jeux!$A$2:$A$3001,0))&amp;"","⚠ jeu inconnu"))</f>
        <v/>
      </c>
      <c r="H2917" s="27" t="str">
        <f aca="false">IF(B2917="","",IFERROR(INDEX(Jeux!$D$2:$D$3001,MATCH(B2917,Jeux!$A$2:$A$3001,0))&amp;"",""))</f>
        <v/>
      </c>
      <c r="I2917" s="26" t="str">
        <f aca="false">IF(A2917="","",COUNTIF(Apparitions!$G$2:$G$5001,A2917))</f>
        <v/>
      </c>
      <c r="J2917" s="26" t="str">
        <f aca="false">IF(A2917="","",COUNTIFS(Apparitions!$G$2:$G$5001,A2917,Apparitions!$E$2:$E$5001,"○"))</f>
        <v/>
      </c>
      <c r="K2917" s="29" t="str">
        <f aca="false">IF(A2917="","",IFERROR(1/(1/_xlfn.MINIFS(Apparitions!$L$2:$L$5001,Apparitions!$G$2:$G$5001,A2917)),""))</f>
        <v/>
      </c>
      <c r="L2917" s="27" t="str">
        <f aca="false">IF(A2917="","",A2917&amp;" | "&amp;B2917&amp;IF(C2917="",""," ("&amp;C2917&amp;")")&amp;IF(D2917="",""," - "&amp;D2917))</f>
        <v/>
      </c>
    </row>
    <row r="2918" customFormat="false" ht="15" hidden="false" customHeight="false" outlineLevel="0" collapsed="false">
      <c r="A2918" s="32"/>
      <c r="B2918" s="19"/>
      <c r="C2918" s="19"/>
      <c r="D2918" s="19"/>
      <c r="E2918" s="21"/>
      <c r="F2918" s="19"/>
      <c r="G2918" s="27" t="str">
        <f aca="false">IF(B2918="","",IFERROR(INDEX(Jeux!$C$2:$C$3001,MATCH(B2918,Jeux!$A$2:$A$3001,0))&amp;"","⚠ jeu inconnu"))</f>
        <v/>
      </c>
      <c r="H2918" s="27" t="str">
        <f aca="false">IF(B2918="","",IFERROR(INDEX(Jeux!$D$2:$D$3001,MATCH(B2918,Jeux!$A$2:$A$3001,0))&amp;"",""))</f>
        <v/>
      </c>
      <c r="I2918" s="26" t="str">
        <f aca="false">IF(A2918="","",COUNTIF(Apparitions!$G$2:$G$5001,A2918))</f>
        <v/>
      </c>
      <c r="J2918" s="26" t="str">
        <f aca="false">IF(A2918="","",COUNTIFS(Apparitions!$G$2:$G$5001,A2918,Apparitions!$E$2:$E$5001,"○"))</f>
        <v/>
      </c>
      <c r="K2918" s="29" t="str">
        <f aca="false">IF(A2918="","",IFERROR(1/(1/_xlfn.MINIFS(Apparitions!$L$2:$L$5001,Apparitions!$G$2:$G$5001,A2918)),""))</f>
        <v/>
      </c>
      <c r="L2918" s="27" t="str">
        <f aca="false">IF(A2918="","",A2918&amp;" | "&amp;B2918&amp;IF(C2918="",""," ("&amp;C2918&amp;")")&amp;IF(D2918="",""," - "&amp;D2918))</f>
        <v/>
      </c>
    </row>
    <row r="2919" customFormat="false" ht="15" hidden="false" customHeight="false" outlineLevel="0" collapsed="false">
      <c r="A2919" s="32"/>
      <c r="B2919" s="19"/>
      <c r="C2919" s="19"/>
      <c r="D2919" s="19"/>
      <c r="E2919" s="21"/>
      <c r="F2919" s="19"/>
      <c r="G2919" s="27" t="str">
        <f aca="false">IF(B2919="","",IFERROR(INDEX(Jeux!$C$2:$C$3001,MATCH(B2919,Jeux!$A$2:$A$3001,0))&amp;"","⚠ jeu inconnu"))</f>
        <v/>
      </c>
      <c r="H2919" s="27" t="str">
        <f aca="false">IF(B2919="","",IFERROR(INDEX(Jeux!$D$2:$D$3001,MATCH(B2919,Jeux!$A$2:$A$3001,0))&amp;"",""))</f>
        <v/>
      </c>
      <c r="I2919" s="26" t="str">
        <f aca="false">IF(A2919="","",COUNTIF(Apparitions!$G$2:$G$5001,A2919))</f>
        <v/>
      </c>
      <c r="J2919" s="26" t="str">
        <f aca="false">IF(A2919="","",COUNTIFS(Apparitions!$G$2:$G$5001,A2919,Apparitions!$E$2:$E$5001,"○"))</f>
        <v/>
      </c>
      <c r="K2919" s="29" t="str">
        <f aca="false">IF(A2919="","",IFERROR(1/(1/_xlfn.MINIFS(Apparitions!$L$2:$L$5001,Apparitions!$G$2:$G$5001,A2919)),""))</f>
        <v/>
      </c>
      <c r="L2919" s="27" t="str">
        <f aca="false">IF(A2919="","",A2919&amp;" | "&amp;B2919&amp;IF(C2919="",""," ("&amp;C2919&amp;")")&amp;IF(D2919="",""," - "&amp;D2919))</f>
        <v/>
      </c>
    </row>
    <row r="2920" customFormat="false" ht="15" hidden="false" customHeight="false" outlineLevel="0" collapsed="false">
      <c r="A2920" s="32"/>
      <c r="B2920" s="19"/>
      <c r="C2920" s="19"/>
      <c r="D2920" s="19"/>
      <c r="E2920" s="21"/>
      <c r="F2920" s="19"/>
      <c r="G2920" s="27" t="str">
        <f aca="false">IF(B2920="","",IFERROR(INDEX(Jeux!$C$2:$C$3001,MATCH(B2920,Jeux!$A$2:$A$3001,0))&amp;"","⚠ jeu inconnu"))</f>
        <v/>
      </c>
      <c r="H2920" s="27" t="str">
        <f aca="false">IF(B2920="","",IFERROR(INDEX(Jeux!$D$2:$D$3001,MATCH(B2920,Jeux!$A$2:$A$3001,0))&amp;"",""))</f>
        <v/>
      </c>
      <c r="I2920" s="26" t="str">
        <f aca="false">IF(A2920="","",COUNTIF(Apparitions!$G$2:$G$5001,A2920))</f>
        <v/>
      </c>
      <c r="J2920" s="26" t="str">
        <f aca="false">IF(A2920="","",COUNTIFS(Apparitions!$G$2:$G$5001,A2920,Apparitions!$E$2:$E$5001,"○"))</f>
        <v/>
      </c>
      <c r="K2920" s="29" t="str">
        <f aca="false">IF(A2920="","",IFERROR(1/(1/_xlfn.MINIFS(Apparitions!$L$2:$L$5001,Apparitions!$G$2:$G$5001,A2920)),""))</f>
        <v/>
      </c>
      <c r="L2920" s="27" t="str">
        <f aca="false">IF(A2920="","",A2920&amp;" | "&amp;B2920&amp;IF(C2920="",""," ("&amp;C2920&amp;")")&amp;IF(D2920="",""," - "&amp;D2920))</f>
        <v/>
      </c>
    </row>
    <row r="2921" customFormat="false" ht="15" hidden="false" customHeight="false" outlineLevel="0" collapsed="false">
      <c r="A2921" s="32"/>
      <c r="B2921" s="19"/>
      <c r="C2921" s="19"/>
      <c r="D2921" s="19"/>
      <c r="E2921" s="21"/>
      <c r="F2921" s="19"/>
      <c r="G2921" s="27" t="str">
        <f aca="false">IF(B2921="","",IFERROR(INDEX(Jeux!$C$2:$C$3001,MATCH(B2921,Jeux!$A$2:$A$3001,0))&amp;"","⚠ jeu inconnu"))</f>
        <v/>
      </c>
      <c r="H2921" s="27" t="str">
        <f aca="false">IF(B2921="","",IFERROR(INDEX(Jeux!$D$2:$D$3001,MATCH(B2921,Jeux!$A$2:$A$3001,0))&amp;"",""))</f>
        <v/>
      </c>
      <c r="I2921" s="26" t="str">
        <f aca="false">IF(A2921="","",COUNTIF(Apparitions!$G$2:$G$5001,A2921))</f>
        <v/>
      </c>
      <c r="J2921" s="26" t="str">
        <f aca="false">IF(A2921="","",COUNTIFS(Apparitions!$G$2:$G$5001,A2921,Apparitions!$E$2:$E$5001,"○"))</f>
        <v/>
      </c>
      <c r="K2921" s="29" t="str">
        <f aca="false">IF(A2921="","",IFERROR(1/(1/_xlfn.MINIFS(Apparitions!$L$2:$L$5001,Apparitions!$G$2:$G$5001,A2921)),""))</f>
        <v/>
      </c>
      <c r="L2921" s="27" t="str">
        <f aca="false">IF(A2921="","",A2921&amp;" | "&amp;B2921&amp;IF(C2921="",""," ("&amp;C2921&amp;")")&amp;IF(D2921="",""," - "&amp;D2921))</f>
        <v/>
      </c>
    </row>
    <row r="2922" customFormat="false" ht="15" hidden="false" customHeight="false" outlineLevel="0" collapsed="false">
      <c r="A2922" s="32"/>
      <c r="B2922" s="19"/>
      <c r="C2922" s="19"/>
      <c r="D2922" s="19"/>
      <c r="E2922" s="21"/>
      <c r="F2922" s="19"/>
      <c r="G2922" s="27" t="str">
        <f aca="false">IF(B2922="","",IFERROR(INDEX(Jeux!$C$2:$C$3001,MATCH(B2922,Jeux!$A$2:$A$3001,0))&amp;"","⚠ jeu inconnu"))</f>
        <v/>
      </c>
      <c r="H2922" s="27" t="str">
        <f aca="false">IF(B2922="","",IFERROR(INDEX(Jeux!$D$2:$D$3001,MATCH(B2922,Jeux!$A$2:$A$3001,0))&amp;"",""))</f>
        <v/>
      </c>
      <c r="I2922" s="26" t="str">
        <f aca="false">IF(A2922="","",COUNTIF(Apparitions!$G$2:$G$5001,A2922))</f>
        <v/>
      </c>
      <c r="J2922" s="26" t="str">
        <f aca="false">IF(A2922="","",COUNTIFS(Apparitions!$G$2:$G$5001,A2922,Apparitions!$E$2:$E$5001,"○"))</f>
        <v/>
      </c>
      <c r="K2922" s="29" t="str">
        <f aca="false">IF(A2922="","",IFERROR(1/(1/_xlfn.MINIFS(Apparitions!$L$2:$L$5001,Apparitions!$G$2:$G$5001,A2922)),""))</f>
        <v/>
      </c>
      <c r="L2922" s="27" t="str">
        <f aca="false">IF(A2922="","",A2922&amp;" | "&amp;B2922&amp;IF(C2922="",""," ("&amp;C2922&amp;")")&amp;IF(D2922="",""," - "&amp;D2922))</f>
        <v/>
      </c>
    </row>
    <row r="2923" customFormat="false" ht="15" hidden="false" customHeight="false" outlineLevel="0" collapsed="false">
      <c r="A2923" s="32"/>
      <c r="B2923" s="19"/>
      <c r="C2923" s="19"/>
      <c r="D2923" s="19"/>
      <c r="E2923" s="21"/>
      <c r="F2923" s="19"/>
      <c r="G2923" s="27" t="str">
        <f aca="false">IF(B2923="","",IFERROR(INDEX(Jeux!$C$2:$C$3001,MATCH(B2923,Jeux!$A$2:$A$3001,0))&amp;"","⚠ jeu inconnu"))</f>
        <v/>
      </c>
      <c r="H2923" s="27" t="str">
        <f aca="false">IF(B2923="","",IFERROR(INDEX(Jeux!$D$2:$D$3001,MATCH(B2923,Jeux!$A$2:$A$3001,0))&amp;"",""))</f>
        <v/>
      </c>
      <c r="I2923" s="26" t="str">
        <f aca="false">IF(A2923="","",COUNTIF(Apparitions!$G$2:$G$5001,A2923))</f>
        <v/>
      </c>
      <c r="J2923" s="26" t="str">
        <f aca="false">IF(A2923="","",COUNTIFS(Apparitions!$G$2:$G$5001,A2923,Apparitions!$E$2:$E$5001,"○"))</f>
        <v/>
      </c>
      <c r="K2923" s="29" t="str">
        <f aca="false">IF(A2923="","",IFERROR(1/(1/_xlfn.MINIFS(Apparitions!$L$2:$L$5001,Apparitions!$G$2:$G$5001,A2923)),""))</f>
        <v/>
      </c>
      <c r="L2923" s="27" t="str">
        <f aca="false">IF(A2923="","",A2923&amp;" | "&amp;B2923&amp;IF(C2923="",""," ("&amp;C2923&amp;")")&amp;IF(D2923="",""," - "&amp;D2923))</f>
        <v/>
      </c>
    </row>
    <row r="2924" customFormat="false" ht="15" hidden="false" customHeight="false" outlineLevel="0" collapsed="false">
      <c r="A2924" s="32"/>
      <c r="B2924" s="19"/>
      <c r="C2924" s="19"/>
      <c r="D2924" s="19"/>
      <c r="E2924" s="21"/>
      <c r="F2924" s="19"/>
      <c r="G2924" s="27" t="str">
        <f aca="false">IF(B2924="","",IFERROR(INDEX(Jeux!$C$2:$C$3001,MATCH(B2924,Jeux!$A$2:$A$3001,0))&amp;"","⚠ jeu inconnu"))</f>
        <v/>
      </c>
      <c r="H2924" s="27" t="str">
        <f aca="false">IF(B2924="","",IFERROR(INDEX(Jeux!$D$2:$D$3001,MATCH(B2924,Jeux!$A$2:$A$3001,0))&amp;"",""))</f>
        <v/>
      </c>
      <c r="I2924" s="26" t="str">
        <f aca="false">IF(A2924="","",COUNTIF(Apparitions!$G$2:$G$5001,A2924))</f>
        <v/>
      </c>
      <c r="J2924" s="26" t="str">
        <f aca="false">IF(A2924="","",COUNTIFS(Apparitions!$G$2:$G$5001,A2924,Apparitions!$E$2:$E$5001,"○"))</f>
        <v/>
      </c>
      <c r="K2924" s="29" t="str">
        <f aca="false">IF(A2924="","",IFERROR(1/(1/_xlfn.MINIFS(Apparitions!$L$2:$L$5001,Apparitions!$G$2:$G$5001,A2924)),""))</f>
        <v/>
      </c>
      <c r="L2924" s="27" t="str">
        <f aca="false">IF(A2924="","",A2924&amp;" | "&amp;B2924&amp;IF(C2924="",""," ("&amp;C2924&amp;")")&amp;IF(D2924="",""," - "&amp;D2924))</f>
        <v/>
      </c>
    </row>
    <row r="2925" customFormat="false" ht="15" hidden="false" customHeight="false" outlineLevel="0" collapsed="false">
      <c r="A2925" s="32"/>
      <c r="B2925" s="19"/>
      <c r="C2925" s="19"/>
      <c r="D2925" s="19"/>
      <c r="E2925" s="21"/>
      <c r="F2925" s="19"/>
      <c r="G2925" s="27" t="str">
        <f aca="false">IF(B2925="","",IFERROR(INDEX(Jeux!$C$2:$C$3001,MATCH(B2925,Jeux!$A$2:$A$3001,0))&amp;"","⚠ jeu inconnu"))</f>
        <v/>
      </c>
      <c r="H2925" s="27" t="str">
        <f aca="false">IF(B2925="","",IFERROR(INDEX(Jeux!$D$2:$D$3001,MATCH(B2925,Jeux!$A$2:$A$3001,0))&amp;"",""))</f>
        <v/>
      </c>
      <c r="I2925" s="26" t="str">
        <f aca="false">IF(A2925="","",COUNTIF(Apparitions!$G$2:$G$5001,A2925))</f>
        <v/>
      </c>
      <c r="J2925" s="26" t="str">
        <f aca="false">IF(A2925="","",COUNTIFS(Apparitions!$G$2:$G$5001,A2925,Apparitions!$E$2:$E$5001,"○"))</f>
        <v/>
      </c>
      <c r="K2925" s="29" t="str">
        <f aca="false">IF(A2925="","",IFERROR(1/(1/_xlfn.MINIFS(Apparitions!$L$2:$L$5001,Apparitions!$G$2:$G$5001,A2925)),""))</f>
        <v/>
      </c>
      <c r="L2925" s="27" t="str">
        <f aca="false">IF(A2925="","",A2925&amp;" | "&amp;B2925&amp;IF(C2925="",""," ("&amp;C2925&amp;")")&amp;IF(D2925="",""," - "&amp;D2925))</f>
        <v/>
      </c>
    </row>
    <row r="2926" customFormat="false" ht="15" hidden="false" customHeight="false" outlineLevel="0" collapsed="false">
      <c r="A2926" s="32"/>
      <c r="B2926" s="19"/>
      <c r="C2926" s="19"/>
      <c r="D2926" s="19"/>
      <c r="E2926" s="21"/>
      <c r="F2926" s="19"/>
      <c r="G2926" s="27" t="str">
        <f aca="false">IF(B2926="","",IFERROR(INDEX(Jeux!$C$2:$C$3001,MATCH(B2926,Jeux!$A$2:$A$3001,0))&amp;"","⚠ jeu inconnu"))</f>
        <v/>
      </c>
      <c r="H2926" s="27" t="str">
        <f aca="false">IF(B2926="","",IFERROR(INDEX(Jeux!$D$2:$D$3001,MATCH(B2926,Jeux!$A$2:$A$3001,0))&amp;"",""))</f>
        <v/>
      </c>
      <c r="I2926" s="26" t="str">
        <f aca="false">IF(A2926="","",COUNTIF(Apparitions!$G$2:$G$5001,A2926))</f>
        <v/>
      </c>
      <c r="J2926" s="26" t="str">
        <f aca="false">IF(A2926="","",COUNTIFS(Apparitions!$G$2:$G$5001,A2926,Apparitions!$E$2:$E$5001,"○"))</f>
        <v/>
      </c>
      <c r="K2926" s="29" t="str">
        <f aca="false">IF(A2926="","",IFERROR(1/(1/_xlfn.MINIFS(Apparitions!$L$2:$L$5001,Apparitions!$G$2:$G$5001,A2926)),""))</f>
        <v/>
      </c>
      <c r="L2926" s="27" t="str">
        <f aca="false">IF(A2926="","",A2926&amp;" | "&amp;B2926&amp;IF(C2926="",""," ("&amp;C2926&amp;")")&amp;IF(D2926="",""," - "&amp;D2926))</f>
        <v/>
      </c>
    </row>
    <row r="2927" customFormat="false" ht="15" hidden="false" customHeight="false" outlineLevel="0" collapsed="false">
      <c r="A2927" s="32"/>
      <c r="B2927" s="19"/>
      <c r="C2927" s="19"/>
      <c r="D2927" s="19"/>
      <c r="E2927" s="21"/>
      <c r="F2927" s="19"/>
      <c r="G2927" s="27" t="str">
        <f aca="false">IF(B2927="","",IFERROR(INDEX(Jeux!$C$2:$C$3001,MATCH(B2927,Jeux!$A$2:$A$3001,0))&amp;"","⚠ jeu inconnu"))</f>
        <v/>
      </c>
      <c r="H2927" s="27" t="str">
        <f aca="false">IF(B2927="","",IFERROR(INDEX(Jeux!$D$2:$D$3001,MATCH(B2927,Jeux!$A$2:$A$3001,0))&amp;"",""))</f>
        <v/>
      </c>
      <c r="I2927" s="26" t="str">
        <f aca="false">IF(A2927="","",COUNTIF(Apparitions!$G$2:$G$5001,A2927))</f>
        <v/>
      </c>
      <c r="J2927" s="26" t="str">
        <f aca="false">IF(A2927="","",COUNTIFS(Apparitions!$G$2:$G$5001,A2927,Apparitions!$E$2:$E$5001,"○"))</f>
        <v/>
      </c>
      <c r="K2927" s="29" t="str">
        <f aca="false">IF(A2927="","",IFERROR(1/(1/_xlfn.MINIFS(Apparitions!$L$2:$L$5001,Apparitions!$G$2:$G$5001,A2927)),""))</f>
        <v/>
      </c>
      <c r="L2927" s="27" t="str">
        <f aca="false">IF(A2927="","",A2927&amp;" | "&amp;B2927&amp;IF(C2927="",""," ("&amp;C2927&amp;")")&amp;IF(D2927="",""," - "&amp;D2927))</f>
        <v/>
      </c>
    </row>
    <row r="2928" customFormat="false" ht="15" hidden="false" customHeight="false" outlineLevel="0" collapsed="false">
      <c r="A2928" s="32"/>
      <c r="B2928" s="19"/>
      <c r="C2928" s="19"/>
      <c r="D2928" s="19"/>
      <c r="E2928" s="21"/>
      <c r="F2928" s="19"/>
      <c r="G2928" s="27" t="str">
        <f aca="false">IF(B2928="","",IFERROR(INDEX(Jeux!$C$2:$C$3001,MATCH(B2928,Jeux!$A$2:$A$3001,0))&amp;"","⚠ jeu inconnu"))</f>
        <v/>
      </c>
      <c r="H2928" s="27" t="str">
        <f aca="false">IF(B2928="","",IFERROR(INDEX(Jeux!$D$2:$D$3001,MATCH(B2928,Jeux!$A$2:$A$3001,0))&amp;"",""))</f>
        <v/>
      </c>
      <c r="I2928" s="26" t="str">
        <f aca="false">IF(A2928="","",COUNTIF(Apparitions!$G$2:$G$5001,A2928))</f>
        <v/>
      </c>
      <c r="J2928" s="26" t="str">
        <f aca="false">IF(A2928="","",COUNTIFS(Apparitions!$G$2:$G$5001,A2928,Apparitions!$E$2:$E$5001,"○"))</f>
        <v/>
      </c>
      <c r="K2928" s="29" t="str">
        <f aca="false">IF(A2928="","",IFERROR(1/(1/_xlfn.MINIFS(Apparitions!$L$2:$L$5001,Apparitions!$G$2:$G$5001,A2928)),""))</f>
        <v/>
      </c>
      <c r="L2928" s="27" t="str">
        <f aca="false">IF(A2928="","",A2928&amp;" | "&amp;B2928&amp;IF(C2928="",""," ("&amp;C2928&amp;")")&amp;IF(D2928="",""," - "&amp;D2928))</f>
        <v/>
      </c>
    </row>
    <row r="2929" customFormat="false" ht="15" hidden="false" customHeight="false" outlineLevel="0" collapsed="false">
      <c r="A2929" s="32"/>
      <c r="B2929" s="19"/>
      <c r="C2929" s="19"/>
      <c r="D2929" s="19"/>
      <c r="E2929" s="21"/>
      <c r="F2929" s="19"/>
      <c r="G2929" s="27" t="str">
        <f aca="false">IF(B2929="","",IFERROR(INDEX(Jeux!$C$2:$C$3001,MATCH(B2929,Jeux!$A$2:$A$3001,0))&amp;"","⚠ jeu inconnu"))</f>
        <v/>
      </c>
      <c r="H2929" s="27" t="str">
        <f aca="false">IF(B2929="","",IFERROR(INDEX(Jeux!$D$2:$D$3001,MATCH(B2929,Jeux!$A$2:$A$3001,0))&amp;"",""))</f>
        <v/>
      </c>
      <c r="I2929" s="26" t="str">
        <f aca="false">IF(A2929="","",COUNTIF(Apparitions!$G$2:$G$5001,A2929))</f>
        <v/>
      </c>
      <c r="J2929" s="26" t="str">
        <f aca="false">IF(A2929="","",COUNTIFS(Apparitions!$G$2:$G$5001,A2929,Apparitions!$E$2:$E$5001,"○"))</f>
        <v/>
      </c>
      <c r="K2929" s="29" t="str">
        <f aca="false">IF(A2929="","",IFERROR(1/(1/_xlfn.MINIFS(Apparitions!$L$2:$L$5001,Apparitions!$G$2:$G$5001,A2929)),""))</f>
        <v/>
      </c>
      <c r="L2929" s="27" t="str">
        <f aca="false">IF(A2929="","",A2929&amp;" | "&amp;B2929&amp;IF(C2929="",""," ("&amp;C2929&amp;")")&amp;IF(D2929="",""," - "&amp;D2929))</f>
        <v/>
      </c>
    </row>
    <row r="2930" customFormat="false" ht="15" hidden="false" customHeight="false" outlineLevel="0" collapsed="false">
      <c r="A2930" s="32"/>
      <c r="B2930" s="19"/>
      <c r="C2930" s="19"/>
      <c r="D2930" s="19"/>
      <c r="E2930" s="21"/>
      <c r="F2930" s="19"/>
      <c r="G2930" s="27" t="str">
        <f aca="false">IF(B2930="","",IFERROR(INDEX(Jeux!$C$2:$C$3001,MATCH(B2930,Jeux!$A$2:$A$3001,0))&amp;"","⚠ jeu inconnu"))</f>
        <v/>
      </c>
      <c r="H2930" s="27" t="str">
        <f aca="false">IF(B2930="","",IFERROR(INDEX(Jeux!$D$2:$D$3001,MATCH(B2930,Jeux!$A$2:$A$3001,0))&amp;"",""))</f>
        <v/>
      </c>
      <c r="I2930" s="26" t="str">
        <f aca="false">IF(A2930="","",COUNTIF(Apparitions!$G$2:$G$5001,A2930))</f>
        <v/>
      </c>
      <c r="J2930" s="26" t="str">
        <f aca="false">IF(A2930="","",COUNTIFS(Apparitions!$G$2:$G$5001,A2930,Apparitions!$E$2:$E$5001,"○"))</f>
        <v/>
      </c>
      <c r="K2930" s="29" t="str">
        <f aca="false">IF(A2930="","",IFERROR(1/(1/_xlfn.MINIFS(Apparitions!$L$2:$L$5001,Apparitions!$G$2:$G$5001,A2930)),""))</f>
        <v/>
      </c>
      <c r="L2930" s="27" t="str">
        <f aca="false">IF(A2930="","",A2930&amp;" | "&amp;B2930&amp;IF(C2930="",""," ("&amp;C2930&amp;")")&amp;IF(D2930="",""," - "&amp;D2930))</f>
        <v/>
      </c>
    </row>
    <row r="2931" customFormat="false" ht="15" hidden="false" customHeight="false" outlineLevel="0" collapsed="false">
      <c r="A2931" s="32"/>
      <c r="B2931" s="19"/>
      <c r="C2931" s="19"/>
      <c r="D2931" s="19"/>
      <c r="E2931" s="21"/>
      <c r="F2931" s="19"/>
      <c r="G2931" s="27" t="str">
        <f aca="false">IF(B2931="","",IFERROR(INDEX(Jeux!$C$2:$C$3001,MATCH(B2931,Jeux!$A$2:$A$3001,0))&amp;"","⚠ jeu inconnu"))</f>
        <v/>
      </c>
      <c r="H2931" s="27" t="str">
        <f aca="false">IF(B2931="","",IFERROR(INDEX(Jeux!$D$2:$D$3001,MATCH(B2931,Jeux!$A$2:$A$3001,0))&amp;"",""))</f>
        <v/>
      </c>
      <c r="I2931" s="26" t="str">
        <f aca="false">IF(A2931="","",COUNTIF(Apparitions!$G$2:$G$5001,A2931))</f>
        <v/>
      </c>
      <c r="J2931" s="26" t="str">
        <f aca="false">IF(A2931="","",COUNTIFS(Apparitions!$G$2:$G$5001,A2931,Apparitions!$E$2:$E$5001,"○"))</f>
        <v/>
      </c>
      <c r="K2931" s="29" t="str">
        <f aca="false">IF(A2931="","",IFERROR(1/(1/_xlfn.MINIFS(Apparitions!$L$2:$L$5001,Apparitions!$G$2:$G$5001,A2931)),""))</f>
        <v/>
      </c>
      <c r="L2931" s="27" t="str">
        <f aca="false">IF(A2931="","",A2931&amp;" | "&amp;B2931&amp;IF(C2931="",""," ("&amp;C2931&amp;")")&amp;IF(D2931="",""," - "&amp;D2931))</f>
        <v/>
      </c>
    </row>
    <row r="2932" customFormat="false" ht="15" hidden="false" customHeight="false" outlineLevel="0" collapsed="false">
      <c r="A2932" s="32"/>
      <c r="B2932" s="19"/>
      <c r="C2932" s="19"/>
      <c r="D2932" s="19"/>
      <c r="E2932" s="21"/>
      <c r="F2932" s="19"/>
      <c r="G2932" s="27" t="str">
        <f aca="false">IF(B2932="","",IFERROR(INDEX(Jeux!$C$2:$C$3001,MATCH(B2932,Jeux!$A$2:$A$3001,0))&amp;"","⚠ jeu inconnu"))</f>
        <v/>
      </c>
      <c r="H2932" s="27" t="str">
        <f aca="false">IF(B2932="","",IFERROR(INDEX(Jeux!$D$2:$D$3001,MATCH(B2932,Jeux!$A$2:$A$3001,0))&amp;"",""))</f>
        <v/>
      </c>
      <c r="I2932" s="26" t="str">
        <f aca="false">IF(A2932="","",COUNTIF(Apparitions!$G$2:$G$5001,A2932))</f>
        <v/>
      </c>
      <c r="J2932" s="26" t="str">
        <f aca="false">IF(A2932="","",COUNTIFS(Apparitions!$G$2:$G$5001,A2932,Apparitions!$E$2:$E$5001,"○"))</f>
        <v/>
      </c>
      <c r="K2932" s="29" t="str">
        <f aca="false">IF(A2932="","",IFERROR(1/(1/_xlfn.MINIFS(Apparitions!$L$2:$L$5001,Apparitions!$G$2:$G$5001,A2932)),""))</f>
        <v/>
      </c>
      <c r="L2932" s="27" t="str">
        <f aca="false">IF(A2932="","",A2932&amp;" | "&amp;B2932&amp;IF(C2932="",""," ("&amp;C2932&amp;")")&amp;IF(D2932="",""," - "&amp;D2932))</f>
        <v/>
      </c>
    </row>
    <row r="2933" customFormat="false" ht="15" hidden="false" customHeight="false" outlineLevel="0" collapsed="false">
      <c r="A2933" s="32"/>
      <c r="B2933" s="19"/>
      <c r="C2933" s="19"/>
      <c r="D2933" s="19"/>
      <c r="E2933" s="21"/>
      <c r="F2933" s="19"/>
      <c r="G2933" s="27" t="str">
        <f aca="false">IF(B2933="","",IFERROR(INDEX(Jeux!$C$2:$C$3001,MATCH(B2933,Jeux!$A$2:$A$3001,0))&amp;"","⚠ jeu inconnu"))</f>
        <v/>
      </c>
      <c r="H2933" s="27" t="str">
        <f aca="false">IF(B2933="","",IFERROR(INDEX(Jeux!$D$2:$D$3001,MATCH(B2933,Jeux!$A$2:$A$3001,0))&amp;"",""))</f>
        <v/>
      </c>
      <c r="I2933" s="26" t="str">
        <f aca="false">IF(A2933="","",COUNTIF(Apparitions!$G$2:$G$5001,A2933))</f>
        <v/>
      </c>
      <c r="J2933" s="26" t="str">
        <f aca="false">IF(A2933="","",COUNTIFS(Apparitions!$G$2:$G$5001,A2933,Apparitions!$E$2:$E$5001,"○"))</f>
        <v/>
      </c>
      <c r="K2933" s="29" t="str">
        <f aca="false">IF(A2933="","",IFERROR(1/(1/_xlfn.MINIFS(Apparitions!$L$2:$L$5001,Apparitions!$G$2:$G$5001,A2933)),""))</f>
        <v/>
      </c>
      <c r="L2933" s="27" t="str">
        <f aca="false">IF(A2933="","",A2933&amp;" | "&amp;B2933&amp;IF(C2933="",""," ("&amp;C2933&amp;")")&amp;IF(D2933="",""," - "&amp;D2933))</f>
        <v/>
      </c>
    </row>
    <row r="2934" customFormat="false" ht="15" hidden="false" customHeight="false" outlineLevel="0" collapsed="false">
      <c r="A2934" s="32"/>
      <c r="B2934" s="19"/>
      <c r="C2934" s="19"/>
      <c r="D2934" s="19"/>
      <c r="E2934" s="21"/>
      <c r="F2934" s="19"/>
      <c r="G2934" s="27" t="str">
        <f aca="false">IF(B2934="","",IFERROR(INDEX(Jeux!$C$2:$C$3001,MATCH(B2934,Jeux!$A$2:$A$3001,0))&amp;"","⚠ jeu inconnu"))</f>
        <v/>
      </c>
      <c r="H2934" s="27" t="str">
        <f aca="false">IF(B2934="","",IFERROR(INDEX(Jeux!$D$2:$D$3001,MATCH(B2934,Jeux!$A$2:$A$3001,0))&amp;"",""))</f>
        <v/>
      </c>
      <c r="I2934" s="26" t="str">
        <f aca="false">IF(A2934="","",COUNTIF(Apparitions!$G$2:$G$5001,A2934))</f>
        <v/>
      </c>
      <c r="J2934" s="26" t="str">
        <f aca="false">IF(A2934="","",COUNTIFS(Apparitions!$G$2:$G$5001,A2934,Apparitions!$E$2:$E$5001,"○"))</f>
        <v/>
      </c>
      <c r="K2934" s="29" t="str">
        <f aca="false">IF(A2934="","",IFERROR(1/(1/_xlfn.MINIFS(Apparitions!$L$2:$L$5001,Apparitions!$G$2:$G$5001,A2934)),""))</f>
        <v/>
      </c>
      <c r="L2934" s="27" t="str">
        <f aca="false">IF(A2934="","",A2934&amp;" | "&amp;B2934&amp;IF(C2934="",""," ("&amp;C2934&amp;")")&amp;IF(D2934="",""," - "&amp;D2934))</f>
        <v/>
      </c>
    </row>
    <row r="2935" customFormat="false" ht="15" hidden="false" customHeight="false" outlineLevel="0" collapsed="false">
      <c r="A2935" s="32"/>
      <c r="B2935" s="19"/>
      <c r="C2935" s="19"/>
      <c r="D2935" s="19"/>
      <c r="E2935" s="21"/>
      <c r="F2935" s="19"/>
      <c r="G2935" s="27" t="str">
        <f aca="false">IF(B2935="","",IFERROR(INDEX(Jeux!$C$2:$C$3001,MATCH(B2935,Jeux!$A$2:$A$3001,0))&amp;"","⚠ jeu inconnu"))</f>
        <v/>
      </c>
      <c r="H2935" s="27" t="str">
        <f aca="false">IF(B2935="","",IFERROR(INDEX(Jeux!$D$2:$D$3001,MATCH(B2935,Jeux!$A$2:$A$3001,0))&amp;"",""))</f>
        <v/>
      </c>
      <c r="I2935" s="26" t="str">
        <f aca="false">IF(A2935="","",COUNTIF(Apparitions!$G$2:$G$5001,A2935))</f>
        <v/>
      </c>
      <c r="J2935" s="26" t="str">
        <f aca="false">IF(A2935="","",COUNTIFS(Apparitions!$G$2:$G$5001,A2935,Apparitions!$E$2:$E$5001,"○"))</f>
        <v/>
      </c>
      <c r="K2935" s="29" t="str">
        <f aca="false">IF(A2935="","",IFERROR(1/(1/_xlfn.MINIFS(Apparitions!$L$2:$L$5001,Apparitions!$G$2:$G$5001,A2935)),""))</f>
        <v/>
      </c>
      <c r="L2935" s="27" t="str">
        <f aca="false">IF(A2935="","",A2935&amp;" | "&amp;B2935&amp;IF(C2935="",""," ("&amp;C2935&amp;")")&amp;IF(D2935="",""," - "&amp;D2935))</f>
        <v/>
      </c>
    </row>
    <row r="2936" customFormat="false" ht="15" hidden="false" customHeight="false" outlineLevel="0" collapsed="false">
      <c r="A2936" s="32"/>
      <c r="B2936" s="19"/>
      <c r="C2936" s="19"/>
      <c r="D2936" s="19"/>
      <c r="E2936" s="21"/>
      <c r="F2936" s="19"/>
      <c r="G2936" s="27" t="str">
        <f aca="false">IF(B2936="","",IFERROR(INDEX(Jeux!$C$2:$C$3001,MATCH(B2936,Jeux!$A$2:$A$3001,0))&amp;"","⚠ jeu inconnu"))</f>
        <v/>
      </c>
      <c r="H2936" s="27" t="str">
        <f aca="false">IF(B2936="","",IFERROR(INDEX(Jeux!$D$2:$D$3001,MATCH(B2936,Jeux!$A$2:$A$3001,0))&amp;"",""))</f>
        <v/>
      </c>
      <c r="I2936" s="26" t="str">
        <f aca="false">IF(A2936="","",COUNTIF(Apparitions!$G$2:$G$5001,A2936))</f>
        <v/>
      </c>
      <c r="J2936" s="26" t="str">
        <f aca="false">IF(A2936="","",COUNTIFS(Apparitions!$G$2:$G$5001,A2936,Apparitions!$E$2:$E$5001,"○"))</f>
        <v/>
      </c>
      <c r="K2936" s="29" t="str">
        <f aca="false">IF(A2936="","",IFERROR(1/(1/_xlfn.MINIFS(Apparitions!$L$2:$L$5001,Apparitions!$G$2:$G$5001,A2936)),""))</f>
        <v/>
      </c>
      <c r="L2936" s="27" t="str">
        <f aca="false">IF(A2936="","",A2936&amp;" | "&amp;B2936&amp;IF(C2936="",""," ("&amp;C2936&amp;")")&amp;IF(D2936="",""," - "&amp;D2936))</f>
        <v/>
      </c>
    </row>
    <row r="2937" customFormat="false" ht="15" hidden="false" customHeight="false" outlineLevel="0" collapsed="false">
      <c r="A2937" s="32"/>
      <c r="B2937" s="19"/>
      <c r="C2937" s="19"/>
      <c r="D2937" s="19"/>
      <c r="E2937" s="21"/>
      <c r="F2937" s="19"/>
      <c r="G2937" s="27" t="str">
        <f aca="false">IF(B2937="","",IFERROR(INDEX(Jeux!$C$2:$C$3001,MATCH(B2937,Jeux!$A$2:$A$3001,0))&amp;"","⚠ jeu inconnu"))</f>
        <v/>
      </c>
      <c r="H2937" s="27" t="str">
        <f aca="false">IF(B2937="","",IFERROR(INDEX(Jeux!$D$2:$D$3001,MATCH(B2937,Jeux!$A$2:$A$3001,0))&amp;"",""))</f>
        <v/>
      </c>
      <c r="I2937" s="26" t="str">
        <f aca="false">IF(A2937="","",COUNTIF(Apparitions!$G$2:$G$5001,A2937))</f>
        <v/>
      </c>
      <c r="J2937" s="26" t="str">
        <f aca="false">IF(A2937="","",COUNTIFS(Apparitions!$G$2:$G$5001,A2937,Apparitions!$E$2:$E$5001,"○"))</f>
        <v/>
      </c>
      <c r="K2937" s="29" t="str">
        <f aca="false">IF(A2937="","",IFERROR(1/(1/_xlfn.MINIFS(Apparitions!$L$2:$L$5001,Apparitions!$G$2:$G$5001,A2937)),""))</f>
        <v/>
      </c>
      <c r="L2937" s="27" t="str">
        <f aca="false">IF(A2937="","",A2937&amp;" | "&amp;B2937&amp;IF(C2937="",""," ("&amp;C2937&amp;")")&amp;IF(D2937="",""," - "&amp;D2937))</f>
        <v/>
      </c>
    </row>
    <row r="2938" customFormat="false" ht="15" hidden="false" customHeight="false" outlineLevel="0" collapsed="false">
      <c r="A2938" s="32"/>
      <c r="B2938" s="19"/>
      <c r="C2938" s="19"/>
      <c r="D2938" s="19"/>
      <c r="E2938" s="21"/>
      <c r="F2938" s="19"/>
      <c r="G2938" s="27" t="str">
        <f aca="false">IF(B2938="","",IFERROR(INDEX(Jeux!$C$2:$C$3001,MATCH(B2938,Jeux!$A$2:$A$3001,0))&amp;"","⚠ jeu inconnu"))</f>
        <v/>
      </c>
      <c r="H2938" s="27" t="str">
        <f aca="false">IF(B2938="","",IFERROR(INDEX(Jeux!$D$2:$D$3001,MATCH(B2938,Jeux!$A$2:$A$3001,0))&amp;"",""))</f>
        <v/>
      </c>
      <c r="I2938" s="26" t="str">
        <f aca="false">IF(A2938="","",COUNTIF(Apparitions!$G$2:$G$5001,A2938))</f>
        <v/>
      </c>
      <c r="J2938" s="26" t="str">
        <f aca="false">IF(A2938="","",COUNTIFS(Apparitions!$G$2:$G$5001,A2938,Apparitions!$E$2:$E$5001,"○"))</f>
        <v/>
      </c>
      <c r="K2938" s="29" t="str">
        <f aca="false">IF(A2938="","",IFERROR(1/(1/_xlfn.MINIFS(Apparitions!$L$2:$L$5001,Apparitions!$G$2:$G$5001,A2938)),""))</f>
        <v/>
      </c>
      <c r="L2938" s="27" t="str">
        <f aca="false">IF(A2938="","",A2938&amp;" | "&amp;B2938&amp;IF(C2938="",""," ("&amp;C2938&amp;")")&amp;IF(D2938="",""," - "&amp;D2938))</f>
        <v/>
      </c>
    </row>
    <row r="2939" customFormat="false" ht="15" hidden="false" customHeight="false" outlineLevel="0" collapsed="false">
      <c r="A2939" s="32"/>
      <c r="B2939" s="19"/>
      <c r="C2939" s="19"/>
      <c r="D2939" s="19"/>
      <c r="E2939" s="21"/>
      <c r="F2939" s="19"/>
      <c r="G2939" s="27" t="str">
        <f aca="false">IF(B2939="","",IFERROR(INDEX(Jeux!$C$2:$C$3001,MATCH(B2939,Jeux!$A$2:$A$3001,0))&amp;"","⚠ jeu inconnu"))</f>
        <v/>
      </c>
      <c r="H2939" s="27" t="str">
        <f aca="false">IF(B2939="","",IFERROR(INDEX(Jeux!$D$2:$D$3001,MATCH(B2939,Jeux!$A$2:$A$3001,0))&amp;"",""))</f>
        <v/>
      </c>
      <c r="I2939" s="26" t="str">
        <f aca="false">IF(A2939="","",COUNTIF(Apparitions!$G$2:$G$5001,A2939))</f>
        <v/>
      </c>
      <c r="J2939" s="26" t="str">
        <f aca="false">IF(A2939="","",COUNTIFS(Apparitions!$G$2:$G$5001,A2939,Apparitions!$E$2:$E$5001,"○"))</f>
        <v/>
      </c>
      <c r="K2939" s="29" t="str">
        <f aca="false">IF(A2939="","",IFERROR(1/(1/_xlfn.MINIFS(Apparitions!$L$2:$L$5001,Apparitions!$G$2:$G$5001,A2939)),""))</f>
        <v/>
      </c>
      <c r="L2939" s="27" t="str">
        <f aca="false">IF(A2939="","",A2939&amp;" | "&amp;B2939&amp;IF(C2939="",""," ("&amp;C2939&amp;")")&amp;IF(D2939="",""," - "&amp;D2939))</f>
        <v/>
      </c>
    </row>
    <row r="2940" customFormat="false" ht="15" hidden="false" customHeight="false" outlineLevel="0" collapsed="false">
      <c r="A2940" s="32"/>
      <c r="B2940" s="19"/>
      <c r="C2940" s="19"/>
      <c r="D2940" s="19"/>
      <c r="E2940" s="21"/>
      <c r="F2940" s="19"/>
      <c r="G2940" s="27" t="str">
        <f aca="false">IF(B2940="","",IFERROR(INDEX(Jeux!$C$2:$C$3001,MATCH(B2940,Jeux!$A$2:$A$3001,0))&amp;"","⚠ jeu inconnu"))</f>
        <v/>
      </c>
      <c r="H2940" s="27" t="str">
        <f aca="false">IF(B2940="","",IFERROR(INDEX(Jeux!$D$2:$D$3001,MATCH(B2940,Jeux!$A$2:$A$3001,0))&amp;"",""))</f>
        <v/>
      </c>
      <c r="I2940" s="26" t="str">
        <f aca="false">IF(A2940="","",COUNTIF(Apparitions!$G$2:$G$5001,A2940))</f>
        <v/>
      </c>
      <c r="J2940" s="26" t="str">
        <f aca="false">IF(A2940="","",COUNTIFS(Apparitions!$G$2:$G$5001,A2940,Apparitions!$E$2:$E$5001,"○"))</f>
        <v/>
      </c>
      <c r="K2940" s="29" t="str">
        <f aca="false">IF(A2940="","",IFERROR(1/(1/_xlfn.MINIFS(Apparitions!$L$2:$L$5001,Apparitions!$G$2:$G$5001,A2940)),""))</f>
        <v/>
      </c>
      <c r="L2940" s="27" t="str">
        <f aca="false">IF(A2940="","",A2940&amp;" | "&amp;B2940&amp;IF(C2940="",""," ("&amp;C2940&amp;")")&amp;IF(D2940="",""," - "&amp;D2940))</f>
        <v/>
      </c>
    </row>
    <row r="2941" customFormat="false" ht="15" hidden="false" customHeight="false" outlineLevel="0" collapsed="false">
      <c r="A2941" s="32"/>
      <c r="B2941" s="19"/>
      <c r="C2941" s="19"/>
      <c r="D2941" s="19"/>
      <c r="E2941" s="21"/>
      <c r="F2941" s="19"/>
      <c r="G2941" s="27" t="str">
        <f aca="false">IF(B2941="","",IFERROR(INDEX(Jeux!$C$2:$C$3001,MATCH(B2941,Jeux!$A$2:$A$3001,0))&amp;"","⚠ jeu inconnu"))</f>
        <v/>
      </c>
      <c r="H2941" s="27" t="str">
        <f aca="false">IF(B2941="","",IFERROR(INDEX(Jeux!$D$2:$D$3001,MATCH(B2941,Jeux!$A$2:$A$3001,0))&amp;"",""))</f>
        <v/>
      </c>
      <c r="I2941" s="26" t="str">
        <f aca="false">IF(A2941="","",COUNTIF(Apparitions!$G$2:$G$5001,A2941))</f>
        <v/>
      </c>
      <c r="J2941" s="26" t="str">
        <f aca="false">IF(A2941="","",COUNTIFS(Apparitions!$G$2:$G$5001,A2941,Apparitions!$E$2:$E$5001,"○"))</f>
        <v/>
      </c>
      <c r="K2941" s="29" t="str">
        <f aca="false">IF(A2941="","",IFERROR(1/(1/_xlfn.MINIFS(Apparitions!$L$2:$L$5001,Apparitions!$G$2:$G$5001,A2941)),""))</f>
        <v/>
      </c>
      <c r="L2941" s="27" t="str">
        <f aca="false">IF(A2941="","",A2941&amp;" | "&amp;B2941&amp;IF(C2941="",""," ("&amp;C2941&amp;")")&amp;IF(D2941="",""," - "&amp;D2941))</f>
        <v/>
      </c>
    </row>
    <row r="2942" customFormat="false" ht="15" hidden="false" customHeight="false" outlineLevel="0" collapsed="false">
      <c r="A2942" s="32"/>
      <c r="B2942" s="19"/>
      <c r="C2942" s="19"/>
      <c r="D2942" s="19"/>
      <c r="E2942" s="21"/>
      <c r="F2942" s="19"/>
      <c r="G2942" s="27" t="str">
        <f aca="false">IF(B2942="","",IFERROR(INDEX(Jeux!$C$2:$C$3001,MATCH(B2942,Jeux!$A$2:$A$3001,0))&amp;"","⚠ jeu inconnu"))</f>
        <v/>
      </c>
      <c r="H2942" s="27" t="str">
        <f aca="false">IF(B2942="","",IFERROR(INDEX(Jeux!$D$2:$D$3001,MATCH(B2942,Jeux!$A$2:$A$3001,0))&amp;"",""))</f>
        <v/>
      </c>
      <c r="I2942" s="26" t="str">
        <f aca="false">IF(A2942="","",COUNTIF(Apparitions!$G$2:$G$5001,A2942))</f>
        <v/>
      </c>
      <c r="J2942" s="26" t="str">
        <f aca="false">IF(A2942="","",COUNTIFS(Apparitions!$G$2:$G$5001,A2942,Apparitions!$E$2:$E$5001,"○"))</f>
        <v/>
      </c>
      <c r="K2942" s="29" t="str">
        <f aca="false">IF(A2942="","",IFERROR(1/(1/_xlfn.MINIFS(Apparitions!$L$2:$L$5001,Apparitions!$G$2:$G$5001,A2942)),""))</f>
        <v/>
      </c>
      <c r="L2942" s="27" t="str">
        <f aca="false">IF(A2942="","",A2942&amp;" | "&amp;B2942&amp;IF(C2942="",""," ("&amp;C2942&amp;")")&amp;IF(D2942="",""," - "&amp;D2942))</f>
        <v/>
      </c>
    </row>
    <row r="2943" customFormat="false" ht="15" hidden="false" customHeight="false" outlineLevel="0" collapsed="false">
      <c r="A2943" s="32"/>
      <c r="B2943" s="19"/>
      <c r="C2943" s="19"/>
      <c r="D2943" s="19"/>
      <c r="E2943" s="21"/>
      <c r="F2943" s="19"/>
      <c r="G2943" s="27" t="str">
        <f aca="false">IF(B2943="","",IFERROR(INDEX(Jeux!$C$2:$C$3001,MATCH(B2943,Jeux!$A$2:$A$3001,0))&amp;"","⚠ jeu inconnu"))</f>
        <v/>
      </c>
      <c r="H2943" s="27" t="str">
        <f aca="false">IF(B2943="","",IFERROR(INDEX(Jeux!$D$2:$D$3001,MATCH(B2943,Jeux!$A$2:$A$3001,0))&amp;"",""))</f>
        <v/>
      </c>
      <c r="I2943" s="26" t="str">
        <f aca="false">IF(A2943="","",COUNTIF(Apparitions!$G$2:$G$5001,A2943))</f>
        <v/>
      </c>
      <c r="J2943" s="26" t="str">
        <f aca="false">IF(A2943="","",COUNTIFS(Apparitions!$G$2:$G$5001,A2943,Apparitions!$E$2:$E$5001,"○"))</f>
        <v/>
      </c>
      <c r="K2943" s="29" t="str">
        <f aca="false">IF(A2943="","",IFERROR(1/(1/_xlfn.MINIFS(Apparitions!$L$2:$L$5001,Apparitions!$G$2:$G$5001,A2943)),""))</f>
        <v/>
      </c>
      <c r="L2943" s="27" t="str">
        <f aca="false">IF(A2943="","",A2943&amp;" | "&amp;B2943&amp;IF(C2943="",""," ("&amp;C2943&amp;")")&amp;IF(D2943="",""," - "&amp;D2943))</f>
        <v/>
      </c>
    </row>
    <row r="2944" customFormat="false" ht="15" hidden="false" customHeight="false" outlineLevel="0" collapsed="false">
      <c r="A2944" s="32"/>
      <c r="B2944" s="19"/>
      <c r="C2944" s="19"/>
      <c r="D2944" s="19"/>
      <c r="E2944" s="21"/>
      <c r="F2944" s="19"/>
      <c r="G2944" s="27" t="str">
        <f aca="false">IF(B2944="","",IFERROR(INDEX(Jeux!$C$2:$C$3001,MATCH(B2944,Jeux!$A$2:$A$3001,0))&amp;"","⚠ jeu inconnu"))</f>
        <v/>
      </c>
      <c r="H2944" s="27" t="str">
        <f aca="false">IF(B2944="","",IFERROR(INDEX(Jeux!$D$2:$D$3001,MATCH(B2944,Jeux!$A$2:$A$3001,0))&amp;"",""))</f>
        <v/>
      </c>
      <c r="I2944" s="26" t="str">
        <f aca="false">IF(A2944="","",COUNTIF(Apparitions!$G$2:$G$5001,A2944))</f>
        <v/>
      </c>
      <c r="J2944" s="26" t="str">
        <f aca="false">IF(A2944="","",COUNTIFS(Apparitions!$G$2:$G$5001,A2944,Apparitions!$E$2:$E$5001,"○"))</f>
        <v/>
      </c>
      <c r="K2944" s="29" t="str">
        <f aca="false">IF(A2944="","",IFERROR(1/(1/_xlfn.MINIFS(Apparitions!$L$2:$L$5001,Apparitions!$G$2:$G$5001,A2944)),""))</f>
        <v/>
      </c>
      <c r="L2944" s="27" t="str">
        <f aca="false">IF(A2944="","",A2944&amp;" | "&amp;B2944&amp;IF(C2944="",""," ("&amp;C2944&amp;")")&amp;IF(D2944="",""," - "&amp;D2944))</f>
        <v/>
      </c>
    </row>
    <row r="2945" customFormat="false" ht="15" hidden="false" customHeight="false" outlineLevel="0" collapsed="false">
      <c r="A2945" s="32"/>
      <c r="B2945" s="19"/>
      <c r="C2945" s="19"/>
      <c r="D2945" s="19"/>
      <c r="E2945" s="21"/>
      <c r="F2945" s="19"/>
      <c r="G2945" s="27" t="str">
        <f aca="false">IF(B2945="","",IFERROR(INDEX(Jeux!$C$2:$C$3001,MATCH(B2945,Jeux!$A$2:$A$3001,0))&amp;"","⚠ jeu inconnu"))</f>
        <v/>
      </c>
      <c r="H2945" s="27" t="str">
        <f aca="false">IF(B2945="","",IFERROR(INDEX(Jeux!$D$2:$D$3001,MATCH(B2945,Jeux!$A$2:$A$3001,0))&amp;"",""))</f>
        <v/>
      </c>
      <c r="I2945" s="26" t="str">
        <f aca="false">IF(A2945="","",COUNTIF(Apparitions!$G$2:$G$5001,A2945))</f>
        <v/>
      </c>
      <c r="J2945" s="26" t="str">
        <f aca="false">IF(A2945="","",COUNTIFS(Apparitions!$G$2:$G$5001,A2945,Apparitions!$E$2:$E$5001,"○"))</f>
        <v/>
      </c>
      <c r="K2945" s="29" t="str">
        <f aca="false">IF(A2945="","",IFERROR(1/(1/_xlfn.MINIFS(Apparitions!$L$2:$L$5001,Apparitions!$G$2:$G$5001,A2945)),""))</f>
        <v/>
      </c>
      <c r="L2945" s="27" t="str">
        <f aca="false">IF(A2945="","",A2945&amp;" | "&amp;B2945&amp;IF(C2945="",""," ("&amp;C2945&amp;")")&amp;IF(D2945="",""," - "&amp;D2945))</f>
        <v/>
      </c>
    </row>
    <row r="2946" customFormat="false" ht="15" hidden="false" customHeight="false" outlineLevel="0" collapsed="false">
      <c r="A2946" s="32"/>
      <c r="B2946" s="19"/>
      <c r="C2946" s="19"/>
      <c r="D2946" s="19"/>
      <c r="E2946" s="21"/>
      <c r="F2946" s="19"/>
      <c r="G2946" s="27" t="str">
        <f aca="false">IF(B2946="","",IFERROR(INDEX(Jeux!$C$2:$C$3001,MATCH(B2946,Jeux!$A$2:$A$3001,0))&amp;"","⚠ jeu inconnu"))</f>
        <v/>
      </c>
      <c r="H2946" s="27" t="str">
        <f aca="false">IF(B2946="","",IFERROR(INDEX(Jeux!$D$2:$D$3001,MATCH(B2946,Jeux!$A$2:$A$3001,0))&amp;"",""))</f>
        <v/>
      </c>
      <c r="I2946" s="26" t="str">
        <f aca="false">IF(A2946="","",COUNTIF(Apparitions!$G$2:$G$5001,A2946))</f>
        <v/>
      </c>
      <c r="J2946" s="26" t="str">
        <f aca="false">IF(A2946="","",COUNTIFS(Apparitions!$G$2:$G$5001,A2946,Apparitions!$E$2:$E$5001,"○"))</f>
        <v/>
      </c>
      <c r="K2946" s="29" t="str">
        <f aca="false">IF(A2946="","",IFERROR(1/(1/_xlfn.MINIFS(Apparitions!$L$2:$L$5001,Apparitions!$G$2:$G$5001,A2946)),""))</f>
        <v/>
      </c>
      <c r="L2946" s="27" t="str">
        <f aca="false">IF(A2946="","",A2946&amp;" | "&amp;B2946&amp;IF(C2946="",""," ("&amp;C2946&amp;")")&amp;IF(D2946="",""," - "&amp;D2946))</f>
        <v/>
      </c>
    </row>
    <row r="2947" customFormat="false" ht="15" hidden="false" customHeight="false" outlineLevel="0" collapsed="false">
      <c r="A2947" s="32"/>
      <c r="B2947" s="19"/>
      <c r="C2947" s="19"/>
      <c r="D2947" s="19"/>
      <c r="E2947" s="21"/>
      <c r="F2947" s="19"/>
      <c r="G2947" s="27" t="str">
        <f aca="false">IF(B2947="","",IFERROR(INDEX(Jeux!$C$2:$C$3001,MATCH(B2947,Jeux!$A$2:$A$3001,0))&amp;"","⚠ jeu inconnu"))</f>
        <v/>
      </c>
      <c r="H2947" s="27" t="str">
        <f aca="false">IF(B2947="","",IFERROR(INDEX(Jeux!$D$2:$D$3001,MATCH(B2947,Jeux!$A$2:$A$3001,0))&amp;"",""))</f>
        <v/>
      </c>
      <c r="I2947" s="26" t="str">
        <f aca="false">IF(A2947="","",COUNTIF(Apparitions!$G$2:$G$5001,A2947))</f>
        <v/>
      </c>
      <c r="J2947" s="26" t="str">
        <f aca="false">IF(A2947="","",COUNTIFS(Apparitions!$G$2:$G$5001,A2947,Apparitions!$E$2:$E$5001,"○"))</f>
        <v/>
      </c>
      <c r="K2947" s="29" t="str">
        <f aca="false">IF(A2947="","",IFERROR(1/(1/_xlfn.MINIFS(Apparitions!$L$2:$L$5001,Apparitions!$G$2:$G$5001,A2947)),""))</f>
        <v/>
      </c>
      <c r="L2947" s="27" t="str">
        <f aca="false">IF(A2947="","",A2947&amp;" | "&amp;B2947&amp;IF(C2947="",""," ("&amp;C2947&amp;")")&amp;IF(D2947="",""," - "&amp;D2947))</f>
        <v/>
      </c>
    </row>
    <row r="2948" customFormat="false" ht="15" hidden="false" customHeight="false" outlineLevel="0" collapsed="false">
      <c r="A2948" s="32"/>
      <c r="B2948" s="19"/>
      <c r="C2948" s="19"/>
      <c r="D2948" s="19"/>
      <c r="E2948" s="21"/>
      <c r="F2948" s="19"/>
      <c r="G2948" s="27" t="str">
        <f aca="false">IF(B2948="","",IFERROR(INDEX(Jeux!$C$2:$C$3001,MATCH(B2948,Jeux!$A$2:$A$3001,0))&amp;"","⚠ jeu inconnu"))</f>
        <v/>
      </c>
      <c r="H2948" s="27" t="str">
        <f aca="false">IF(B2948="","",IFERROR(INDEX(Jeux!$D$2:$D$3001,MATCH(B2948,Jeux!$A$2:$A$3001,0))&amp;"",""))</f>
        <v/>
      </c>
      <c r="I2948" s="26" t="str">
        <f aca="false">IF(A2948="","",COUNTIF(Apparitions!$G$2:$G$5001,A2948))</f>
        <v/>
      </c>
      <c r="J2948" s="26" t="str">
        <f aca="false">IF(A2948="","",COUNTIFS(Apparitions!$G$2:$G$5001,A2948,Apparitions!$E$2:$E$5001,"○"))</f>
        <v/>
      </c>
      <c r="K2948" s="29" t="str">
        <f aca="false">IF(A2948="","",IFERROR(1/(1/_xlfn.MINIFS(Apparitions!$L$2:$L$5001,Apparitions!$G$2:$G$5001,A2948)),""))</f>
        <v/>
      </c>
      <c r="L2948" s="27" t="str">
        <f aca="false">IF(A2948="","",A2948&amp;" | "&amp;B2948&amp;IF(C2948="",""," ("&amp;C2948&amp;")")&amp;IF(D2948="",""," - "&amp;D2948))</f>
        <v/>
      </c>
    </row>
    <row r="2949" customFormat="false" ht="15" hidden="false" customHeight="false" outlineLevel="0" collapsed="false">
      <c r="A2949" s="32"/>
      <c r="B2949" s="19"/>
      <c r="C2949" s="19"/>
      <c r="D2949" s="19"/>
      <c r="E2949" s="21"/>
      <c r="F2949" s="19"/>
      <c r="G2949" s="27" t="str">
        <f aca="false">IF(B2949="","",IFERROR(INDEX(Jeux!$C$2:$C$3001,MATCH(B2949,Jeux!$A$2:$A$3001,0))&amp;"","⚠ jeu inconnu"))</f>
        <v/>
      </c>
      <c r="H2949" s="27" t="str">
        <f aca="false">IF(B2949="","",IFERROR(INDEX(Jeux!$D$2:$D$3001,MATCH(B2949,Jeux!$A$2:$A$3001,0))&amp;"",""))</f>
        <v/>
      </c>
      <c r="I2949" s="26" t="str">
        <f aca="false">IF(A2949="","",COUNTIF(Apparitions!$G$2:$G$5001,A2949))</f>
        <v/>
      </c>
      <c r="J2949" s="26" t="str">
        <f aca="false">IF(A2949="","",COUNTIFS(Apparitions!$G$2:$G$5001,A2949,Apparitions!$E$2:$E$5001,"○"))</f>
        <v/>
      </c>
      <c r="K2949" s="29" t="str">
        <f aca="false">IF(A2949="","",IFERROR(1/(1/_xlfn.MINIFS(Apparitions!$L$2:$L$5001,Apparitions!$G$2:$G$5001,A2949)),""))</f>
        <v/>
      </c>
      <c r="L2949" s="27" t="str">
        <f aca="false">IF(A2949="","",A2949&amp;" | "&amp;B2949&amp;IF(C2949="",""," ("&amp;C2949&amp;")")&amp;IF(D2949="",""," - "&amp;D2949))</f>
        <v/>
      </c>
    </row>
    <row r="2950" customFormat="false" ht="15" hidden="false" customHeight="false" outlineLevel="0" collapsed="false">
      <c r="A2950" s="32"/>
      <c r="B2950" s="19"/>
      <c r="C2950" s="19"/>
      <c r="D2950" s="19"/>
      <c r="E2950" s="21"/>
      <c r="F2950" s="19"/>
      <c r="G2950" s="27" t="str">
        <f aca="false">IF(B2950="","",IFERROR(INDEX(Jeux!$C$2:$C$3001,MATCH(B2950,Jeux!$A$2:$A$3001,0))&amp;"","⚠ jeu inconnu"))</f>
        <v/>
      </c>
      <c r="H2950" s="27" t="str">
        <f aca="false">IF(B2950="","",IFERROR(INDEX(Jeux!$D$2:$D$3001,MATCH(B2950,Jeux!$A$2:$A$3001,0))&amp;"",""))</f>
        <v/>
      </c>
      <c r="I2950" s="26" t="str">
        <f aca="false">IF(A2950="","",COUNTIF(Apparitions!$G$2:$G$5001,A2950))</f>
        <v/>
      </c>
      <c r="J2950" s="26" t="str">
        <f aca="false">IF(A2950="","",COUNTIFS(Apparitions!$G$2:$G$5001,A2950,Apparitions!$E$2:$E$5001,"○"))</f>
        <v/>
      </c>
      <c r="K2950" s="29" t="str">
        <f aca="false">IF(A2950="","",IFERROR(1/(1/_xlfn.MINIFS(Apparitions!$L$2:$L$5001,Apparitions!$G$2:$G$5001,A2950)),""))</f>
        <v/>
      </c>
      <c r="L2950" s="27" t="str">
        <f aca="false">IF(A2950="","",A2950&amp;" | "&amp;B2950&amp;IF(C2950="",""," ("&amp;C2950&amp;")")&amp;IF(D2950="",""," - "&amp;D2950))</f>
        <v/>
      </c>
    </row>
    <row r="2951" customFormat="false" ht="15" hidden="false" customHeight="false" outlineLevel="0" collapsed="false">
      <c r="A2951" s="32"/>
      <c r="B2951" s="19"/>
      <c r="C2951" s="19"/>
      <c r="D2951" s="19"/>
      <c r="E2951" s="21"/>
      <c r="F2951" s="19"/>
      <c r="G2951" s="27" t="str">
        <f aca="false">IF(B2951="","",IFERROR(INDEX(Jeux!$C$2:$C$3001,MATCH(B2951,Jeux!$A$2:$A$3001,0))&amp;"","⚠ jeu inconnu"))</f>
        <v/>
      </c>
      <c r="H2951" s="27" t="str">
        <f aca="false">IF(B2951="","",IFERROR(INDEX(Jeux!$D$2:$D$3001,MATCH(B2951,Jeux!$A$2:$A$3001,0))&amp;"",""))</f>
        <v/>
      </c>
      <c r="I2951" s="26" t="str">
        <f aca="false">IF(A2951="","",COUNTIF(Apparitions!$G$2:$G$5001,A2951))</f>
        <v/>
      </c>
      <c r="J2951" s="26" t="str">
        <f aca="false">IF(A2951="","",COUNTIFS(Apparitions!$G$2:$G$5001,A2951,Apparitions!$E$2:$E$5001,"○"))</f>
        <v/>
      </c>
      <c r="K2951" s="29" t="str">
        <f aca="false">IF(A2951="","",IFERROR(1/(1/_xlfn.MINIFS(Apparitions!$L$2:$L$5001,Apparitions!$G$2:$G$5001,A2951)),""))</f>
        <v/>
      </c>
      <c r="L2951" s="27" t="str">
        <f aca="false">IF(A2951="","",A2951&amp;" | "&amp;B2951&amp;IF(C2951="",""," ("&amp;C2951&amp;")")&amp;IF(D2951="",""," - "&amp;D2951))</f>
        <v/>
      </c>
    </row>
    <row r="2952" customFormat="false" ht="15" hidden="false" customHeight="false" outlineLevel="0" collapsed="false">
      <c r="A2952" s="32"/>
      <c r="B2952" s="19"/>
      <c r="C2952" s="19"/>
      <c r="D2952" s="19"/>
      <c r="E2952" s="21"/>
      <c r="F2952" s="19"/>
      <c r="G2952" s="27" t="str">
        <f aca="false">IF(B2952="","",IFERROR(INDEX(Jeux!$C$2:$C$3001,MATCH(B2952,Jeux!$A$2:$A$3001,0))&amp;"","⚠ jeu inconnu"))</f>
        <v/>
      </c>
      <c r="H2952" s="27" t="str">
        <f aca="false">IF(B2952="","",IFERROR(INDEX(Jeux!$D$2:$D$3001,MATCH(B2952,Jeux!$A$2:$A$3001,0))&amp;"",""))</f>
        <v/>
      </c>
      <c r="I2952" s="26" t="str">
        <f aca="false">IF(A2952="","",COUNTIF(Apparitions!$G$2:$G$5001,A2952))</f>
        <v/>
      </c>
      <c r="J2952" s="26" t="str">
        <f aca="false">IF(A2952="","",COUNTIFS(Apparitions!$G$2:$G$5001,A2952,Apparitions!$E$2:$E$5001,"○"))</f>
        <v/>
      </c>
      <c r="K2952" s="29" t="str">
        <f aca="false">IF(A2952="","",IFERROR(1/(1/_xlfn.MINIFS(Apparitions!$L$2:$L$5001,Apparitions!$G$2:$G$5001,A2952)),""))</f>
        <v/>
      </c>
      <c r="L2952" s="27" t="str">
        <f aca="false">IF(A2952="","",A2952&amp;" | "&amp;B2952&amp;IF(C2952="",""," ("&amp;C2952&amp;")")&amp;IF(D2952="",""," - "&amp;D2952))</f>
        <v/>
      </c>
    </row>
    <row r="2953" customFormat="false" ht="15" hidden="false" customHeight="false" outlineLevel="0" collapsed="false">
      <c r="A2953" s="32"/>
      <c r="B2953" s="19"/>
      <c r="C2953" s="19"/>
      <c r="D2953" s="19"/>
      <c r="E2953" s="21"/>
      <c r="F2953" s="19"/>
      <c r="G2953" s="27" t="str">
        <f aca="false">IF(B2953="","",IFERROR(INDEX(Jeux!$C$2:$C$3001,MATCH(B2953,Jeux!$A$2:$A$3001,0))&amp;"","⚠ jeu inconnu"))</f>
        <v/>
      </c>
      <c r="H2953" s="27" t="str">
        <f aca="false">IF(B2953="","",IFERROR(INDEX(Jeux!$D$2:$D$3001,MATCH(B2953,Jeux!$A$2:$A$3001,0))&amp;"",""))</f>
        <v/>
      </c>
      <c r="I2953" s="26" t="str">
        <f aca="false">IF(A2953="","",COUNTIF(Apparitions!$G$2:$G$5001,A2953))</f>
        <v/>
      </c>
      <c r="J2953" s="26" t="str">
        <f aca="false">IF(A2953="","",COUNTIFS(Apparitions!$G$2:$G$5001,A2953,Apparitions!$E$2:$E$5001,"○"))</f>
        <v/>
      </c>
      <c r="K2953" s="29" t="str">
        <f aca="false">IF(A2953="","",IFERROR(1/(1/_xlfn.MINIFS(Apparitions!$L$2:$L$5001,Apparitions!$G$2:$G$5001,A2953)),""))</f>
        <v/>
      </c>
      <c r="L2953" s="27" t="str">
        <f aca="false">IF(A2953="","",A2953&amp;" | "&amp;B2953&amp;IF(C2953="",""," ("&amp;C2953&amp;")")&amp;IF(D2953="",""," - "&amp;D2953))</f>
        <v/>
      </c>
    </row>
    <row r="2954" customFormat="false" ht="15" hidden="false" customHeight="false" outlineLevel="0" collapsed="false">
      <c r="A2954" s="32"/>
      <c r="B2954" s="19"/>
      <c r="C2954" s="19"/>
      <c r="D2954" s="19"/>
      <c r="E2954" s="21"/>
      <c r="F2954" s="19"/>
      <c r="G2954" s="27" t="str">
        <f aca="false">IF(B2954="","",IFERROR(INDEX(Jeux!$C$2:$C$3001,MATCH(B2954,Jeux!$A$2:$A$3001,0))&amp;"","⚠ jeu inconnu"))</f>
        <v/>
      </c>
      <c r="H2954" s="27" t="str">
        <f aca="false">IF(B2954="","",IFERROR(INDEX(Jeux!$D$2:$D$3001,MATCH(B2954,Jeux!$A$2:$A$3001,0))&amp;"",""))</f>
        <v/>
      </c>
      <c r="I2954" s="26" t="str">
        <f aca="false">IF(A2954="","",COUNTIF(Apparitions!$G$2:$G$5001,A2954))</f>
        <v/>
      </c>
      <c r="J2954" s="26" t="str">
        <f aca="false">IF(A2954="","",COUNTIFS(Apparitions!$G$2:$G$5001,A2954,Apparitions!$E$2:$E$5001,"○"))</f>
        <v/>
      </c>
      <c r="K2954" s="29" t="str">
        <f aca="false">IF(A2954="","",IFERROR(1/(1/_xlfn.MINIFS(Apparitions!$L$2:$L$5001,Apparitions!$G$2:$G$5001,A2954)),""))</f>
        <v/>
      </c>
      <c r="L2954" s="27" t="str">
        <f aca="false">IF(A2954="","",A2954&amp;" | "&amp;B2954&amp;IF(C2954="",""," ("&amp;C2954&amp;")")&amp;IF(D2954="",""," - "&amp;D2954))</f>
        <v/>
      </c>
    </row>
    <row r="2955" customFormat="false" ht="15" hidden="false" customHeight="false" outlineLevel="0" collapsed="false">
      <c r="A2955" s="32"/>
      <c r="B2955" s="19"/>
      <c r="C2955" s="19"/>
      <c r="D2955" s="19"/>
      <c r="E2955" s="21"/>
      <c r="F2955" s="19"/>
      <c r="G2955" s="27" t="str">
        <f aca="false">IF(B2955="","",IFERROR(INDEX(Jeux!$C$2:$C$3001,MATCH(B2955,Jeux!$A$2:$A$3001,0))&amp;"","⚠ jeu inconnu"))</f>
        <v/>
      </c>
      <c r="H2955" s="27" t="str">
        <f aca="false">IF(B2955="","",IFERROR(INDEX(Jeux!$D$2:$D$3001,MATCH(B2955,Jeux!$A$2:$A$3001,0))&amp;"",""))</f>
        <v/>
      </c>
      <c r="I2955" s="26" t="str">
        <f aca="false">IF(A2955="","",COUNTIF(Apparitions!$G$2:$G$5001,A2955))</f>
        <v/>
      </c>
      <c r="J2955" s="26" t="str">
        <f aca="false">IF(A2955="","",COUNTIFS(Apparitions!$G$2:$G$5001,A2955,Apparitions!$E$2:$E$5001,"○"))</f>
        <v/>
      </c>
      <c r="K2955" s="29" t="str">
        <f aca="false">IF(A2955="","",IFERROR(1/(1/_xlfn.MINIFS(Apparitions!$L$2:$L$5001,Apparitions!$G$2:$G$5001,A2955)),""))</f>
        <v/>
      </c>
      <c r="L2955" s="27" t="str">
        <f aca="false">IF(A2955="","",A2955&amp;" | "&amp;B2955&amp;IF(C2955="",""," ("&amp;C2955&amp;")")&amp;IF(D2955="",""," - "&amp;D2955))</f>
        <v/>
      </c>
    </row>
    <row r="2956" customFormat="false" ht="15" hidden="false" customHeight="false" outlineLevel="0" collapsed="false">
      <c r="A2956" s="32"/>
      <c r="B2956" s="19"/>
      <c r="C2956" s="19"/>
      <c r="D2956" s="19"/>
      <c r="E2956" s="21"/>
      <c r="F2956" s="19"/>
      <c r="G2956" s="27" t="str">
        <f aca="false">IF(B2956="","",IFERROR(INDEX(Jeux!$C$2:$C$3001,MATCH(B2956,Jeux!$A$2:$A$3001,0))&amp;"","⚠ jeu inconnu"))</f>
        <v/>
      </c>
      <c r="H2956" s="27" t="str">
        <f aca="false">IF(B2956="","",IFERROR(INDEX(Jeux!$D$2:$D$3001,MATCH(B2956,Jeux!$A$2:$A$3001,0))&amp;"",""))</f>
        <v/>
      </c>
      <c r="I2956" s="26" t="str">
        <f aca="false">IF(A2956="","",COUNTIF(Apparitions!$G$2:$G$5001,A2956))</f>
        <v/>
      </c>
      <c r="J2956" s="26" t="str">
        <f aca="false">IF(A2956="","",COUNTIFS(Apparitions!$G$2:$G$5001,A2956,Apparitions!$E$2:$E$5001,"○"))</f>
        <v/>
      </c>
      <c r="K2956" s="29" t="str">
        <f aca="false">IF(A2956="","",IFERROR(1/(1/_xlfn.MINIFS(Apparitions!$L$2:$L$5001,Apparitions!$G$2:$G$5001,A2956)),""))</f>
        <v/>
      </c>
      <c r="L2956" s="27" t="str">
        <f aca="false">IF(A2956="","",A2956&amp;" | "&amp;B2956&amp;IF(C2956="",""," ("&amp;C2956&amp;")")&amp;IF(D2956="",""," - "&amp;D2956))</f>
        <v/>
      </c>
    </row>
    <row r="2957" customFormat="false" ht="15" hidden="false" customHeight="false" outlineLevel="0" collapsed="false">
      <c r="A2957" s="32"/>
      <c r="B2957" s="19"/>
      <c r="C2957" s="19"/>
      <c r="D2957" s="19"/>
      <c r="E2957" s="21"/>
      <c r="F2957" s="19"/>
      <c r="G2957" s="27" t="str">
        <f aca="false">IF(B2957="","",IFERROR(INDEX(Jeux!$C$2:$C$3001,MATCH(B2957,Jeux!$A$2:$A$3001,0))&amp;"","⚠ jeu inconnu"))</f>
        <v/>
      </c>
      <c r="H2957" s="27" t="str">
        <f aca="false">IF(B2957="","",IFERROR(INDEX(Jeux!$D$2:$D$3001,MATCH(B2957,Jeux!$A$2:$A$3001,0))&amp;"",""))</f>
        <v/>
      </c>
      <c r="I2957" s="26" t="str">
        <f aca="false">IF(A2957="","",COUNTIF(Apparitions!$G$2:$G$5001,A2957))</f>
        <v/>
      </c>
      <c r="J2957" s="26" t="str">
        <f aca="false">IF(A2957="","",COUNTIFS(Apparitions!$G$2:$G$5001,A2957,Apparitions!$E$2:$E$5001,"○"))</f>
        <v/>
      </c>
      <c r="K2957" s="29" t="str">
        <f aca="false">IF(A2957="","",IFERROR(1/(1/_xlfn.MINIFS(Apparitions!$L$2:$L$5001,Apparitions!$G$2:$G$5001,A2957)),""))</f>
        <v/>
      </c>
      <c r="L2957" s="27" t="str">
        <f aca="false">IF(A2957="","",A2957&amp;" | "&amp;B2957&amp;IF(C2957="",""," ("&amp;C2957&amp;")")&amp;IF(D2957="",""," - "&amp;D2957))</f>
        <v/>
      </c>
    </row>
    <row r="2958" customFormat="false" ht="15" hidden="false" customHeight="false" outlineLevel="0" collapsed="false">
      <c r="A2958" s="32"/>
      <c r="B2958" s="19"/>
      <c r="C2958" s="19"/>
      <c r="D2958" s="19"/>
      <c r="E2958" s="21"/>
      <c r="F2958" s="19"/>
      <c r="G2958" s="27" t="str">
        <f aca="false">IF(B2958="","",IFERROR(INDEX(Jeux!$C$2:$C$3001,MATCH(B2958,Jeux!$A$2:$A$3001,0))&amp;"","⚠ jeu inconnu"))</f>
        <v/>
      </c>
      <c r="H2958" s="27" t="str">
        <f aca="false">IF(B2958="","",IFERROR(INDEX(Jeux!$D$2:$D$3001,MATCH(B2958,Jeux!$A$2:$A$3001,0))&amp;"",""))</f>
        <v/>
      </c>
      <c r="I2958" s="26" t="str">
        <f aca="false">IF(A2958="","",COUNTIF(Apparitions!$G$2:$G$5001,A2958))</f>
        <v/>
      </c>
      <c r="J2958" s="26" t="str">
        <f aca="false">IF(A2958="","",COUNTIFS(Apparitions!$G$2:$G$5001,A2958,Apparitions!$E$2:$E$5001,"○"))</f>
        <v/>
      </c>
      <c r="K2958" s="29" t="str">
        <f aca="false">IF(A2958="","",IFERROR(1/(1/_xlfn.MINIFS(Apparitions!$L$2:$L$5001,Apparitions!$G$2:$G$5001,A2958)),""))</f>
        <v/>
      </c>
      <c r="L2958" s="27" t="str">
        <f aca="false">IF(A2958="","",A2958&amp;" | "&amp;B2958&amp;IF(C2958="",""," ("&amp;C2958&amp;")")&amp;IF(D2958="",""," - "&amp;D2958))</f>
        <v/>
      </c>
    </row>
    <row r="2959" customFormat="false" ht="15" hidden="false" customHeight="false" outlineLevel="0" collapsed="false">
      <c r="A2959" s="32"/>
      <c r="B2959" s="19"/>
      <c r="C2959" s="19"/>
      <c r="D2959" s="19"/>
      <c r="E2959" s="21"/>
      <c r="F2959" s="19"/>
      <c r="G2959" s="27" t="str">
        <f aca="false">IF(B2959="","",IFERROR(INDEX(Jeux!$C$2:$C$3001,MATCH(B2959,Jeux!$A$2:$A$3001,0))&amp;"","⚠ jeu inconnu"))</f>
        <v/>
      </c>
      <c r="H2959" s="27" t="str">
        <f aca="false">IF(B2959="","",IFERROR(INDEX(Jeux!$D$2:$D$3001,MATCH(B2959,Jeux!$A$2:$A$3001,0))&amp;"",""))</f>
        <v/>
      </c>
      <c r="I2959" s="26" t="str">
        <f aca="false">IF(A2959="","",COUNTIF(Apparitions!$G$2:$G$5001,A2959))</f>
        <v/>
      </c>
      <c r="J2959" s="26" t="str">
        <f aca="false">IF(A2959="","",COUNTIFS(Apparitions!$G$2:$G$5001,A2959,Apparitions!$E$2:$E$5001,"○"))</f>
        <v/>
      </c>
      <c r="K2959" s="29" t="str">
        <f aca="false">IF(A2959="","",IFERROR(1/(1/_xlfn.MINIFS(Apparitions!$L$2:$L$5001,Apparitions!$G$2:$G$5001,A2959)),""))</f>
        <v/>
      </c>
      <c r="L2959" s="27" t="str">
        <f aca="false">IF(A2959="","",A2959&amp;" | "&amp;B2959&amp;IF(C2959="",""," ("&amp;C2959&amp;")")&amp;IF(D2959="",""," - "&amp;D2959))</f>
        <v/>
      </c>
    </row>
    <row r="2960" customFormat="false" ht="15" hidden="false" customHeight="false" outlineLevel="0" collapsed="false">
      <c r="A2960" s="32"/>
      <c r="B2960" s="19"/>
      <c r="C2960" s="19"/>
      <c r="D2960" s="19"/>
      <c r="E2960" s="21"/>
      <c r="F2960" s="19"/>
      <c r="G2960" s="27" t="str">
        <f aca="false">IF(B2960="","",IFERROR(INDEX(Jeux!$C$2:$C$3001,MATCH(B2960,Jeux!$A$2:$A$3001,0))&amp;"","⚠ jeu inconnu"))</f>
        <v/>
      </c>
      <c r="H2960" s="27" t="str">
        <f aca="false">IF(B2960="","",IFERROR(INDEX(Jeux!$D$2:$D$3001,MATCH(B2960,Jeux!$A$2:$A$3001,0))&amp;"",""))</f>
        <v/>
      </c>
      <c r="I2960" s="26" t="str">
        <f aca="false">IF(A2960="","",COUNTIF(Apparitions!$G$2:$G$5001,A2960))</f>
        <v/>
      </c>
      <c r="J2960" s="26" t="str">
        <f aca="false">IF(A2960="","",COUNTIFS(Apparitions!$G$2:$G$5001,A2960,Apparitions!$E$2:$E$5001,"○"))</f>
        <v/>
      </c>
      <c r="K2960" s="29" t="str">
        <f aca="false">IF(A2960="","",IFERROR(1/(1/_xlfn.MINIFS(Apparitions!$L$2:$L$5001,Apparitions!$G$2:$G$5001,A2960)),""))</f>
        <v/>
      </c>
      <c r="L2960" s="27" t="str">
        <f aca="false">IF(A2960="","",A2960&amp;" | "&amp;B2960&amp;IF(C2960="",""," ("&amp;C2960&amp;")")&amp;IF(D2960="",""," - "&amp;D2960))</f>
        <v/>
      </c>
    </row>
    <row r="2961" customFormat="false" ht="15" hidden="false" customHeight="false" outlineLevel="0" collapsed="false">
      <c r="A2961" s="32"/>
      <c r="B2961" s="19"/>
      <c r="C2961" s="19"/>
      <c r="D2961" s="19"/>
      <c r="E2961" s="21"/>
      <c r="F2961" s="19"/>
      <c r="G2961" s="27" t="str">
        <f aca="false">IF(B2961="","",IFERROR(INDEX(Jeux!$C$2:$C$3001,MATCH(B2961,Jeux!$A$2:$A$3001,0))&amp;"","⚠ jeu inconnu"))</f>
        <v/>
      </c>
      <c r="H2961" s="27" t="str">
        <f aca="false">IF(B2961="","",IFERROR(INDEX(Jeux!$D$2:$D$3001,MATCH(B2961,Jeux!$A$2:$A$3001,0))&amp;"",""))</f>
        <v/>
      </c>
      <c r="I2961" s="26" t="str">
        <f aca="false">IF(A2961="","",COUNTIF(Apparitions!$G$2:$G$5001,A2961))</f>
        <v/>
      </c>
      <c r="J2961" s="26" t="str">
        <f aca="false">IF(A2961="","",COUNTIFS(Apparitions!$G$2:$G$5001,A2961,Apparitions!$E$2:$E$5001,"○"))</f>
        <v/>
      </c>
      <c r="K2961" s="29" t="str">
        <f aca="false">IF(A2961="","",IFERROR(1/(1/_xlfn.MINIFS(Apparitions!$L$2:$L$5001,Apparitions!$G$2:$G$5001,A2961)),""))</f>
        <v/>
      </c>
      <c r="L2961" s="27" t="str">
        <f aca="false">IF(A2961="","",A2961&amp;" | "&amp;B2961&amp;IF(C2961="",""," ("&amp;C2961&amp;")")&amp;IF(D2961="",""," - "&amp;D2961))</f>
        <v/>
      </c>
    </row>
    <row r="2962" customFormat="false" ht="15" hidden="false" customHeight="false" outlineLevel="0" collapsed="false">
      <c r="A2962" s="32"/>
      <c r="B2962" s="19"/>
      <c r="C2962" s="19"/>
      <c r="D2962" s="19"/>
      <c r="E2962" s="21"/>
      <c r="F2962" s="19"/>
      <c r="G2962" s="27" t="str">
        <f aca="false">IF(B2962="","",IFERROR(INDEX(Jeux!$C$2:$C$3001,MATCH(B2962,Jeux!$A$2:$A$3001,0))&amp;"","⚠ jeu inconnu"))</f>
        <v/>
      </c>
      <c r="H2962" s="27" t="str">
        <f aca="false">IF(B2962="","",IFERROR(INDEX(Jeux!$D$2:$D$3001,MATCH(B2962,Jeux!$A$2:$A$3001,0))&amp;"",""))</f>
        <v/>
      </c>
      <c r="I2962" s="26" t="str">
        <f aca="false">IF(A2962="","",COUNTIF(Apparitions!$G$2:$G$5001,A2962))</f>
        <v/>
      </c>
      <c r="J2962" s="26" t="str">
        <f aca="false">IF(A2962="","",COUNTIFS(Apparitions!$G$2:$G$5001,A2962,Apparitions!$E$2:$E$5001,"○"))</f>
        <v/>
      </c>
      <c r="K2962" s="29" t="str">
        <f aca="false">IF(A2962="","",IFERROR(1/(1/_xlfn.MINIFS(Apparitions!$L$2:$L$5001,Apparitions!$G$2:$G$5001,A2962)),""))</f>
        <v/>
      </c>
      <c r="L2962" s="27" t="str">
        <f aca="false">IF(A2962="","",A2962&amp;" | "&amp;B2962&amp;IF(C2962="",""," ("&amp;C2962&amp;")")&amp;IF(D2962="",""," - "&amp;D2962))</f>
        <v/>
      </c>
    </row>
    <row r="2963" customFormat="false" ht="15" hidden="false" customHeight="false" outlineLevel="0" collapsed="false">
      <c r="A2963" s="32"/>
      <c r="B2963" s="19"/>
      <c r="C2963" s="19"/>
      <c r="D2963" s="19"/>
      <c r="E2963" s="21"/>
      <c r="F2963" s="19"/>
      <c r="G2963" s="27" t="str">
        <f aca="false">IF(B2963="","",IFERROR(INDEX(Jeux!$C$2:$C$3001,MATCH(B2963,Jeux!$A$2:$A$3001,0))&amp;"","⚠ jeu inconnu"))</f>
        <v/>
      </c>
      <c r="H2963" s="27" t="str">
        <f aca="false">IF(B2963="","",IFERROR(INDEX(Jeux!$D$2:$D$3001,MATCH(B2963,Jeux!$A$2:$A$3001,0))&amp;"",""))</f>
        <v/>
      </c>
      <c r="I2963" s="26" t="str">
        <f aca="false">IF(A2963="","",COUNTIF(Apparitions!$G$2:$G$5001,A2963))</f>
        <v/>
      </c>
      <c r="J2963" s="26" t="str">
        <f aca="false">IF(A2963="","",COUNTIFS(Apparitions!$G$2:$G$5001,A2963,Apparitions!$E$2:$E$5001,"○"))</f>
        <v/>
      </c>
      <c r="K2963" s="29" t="str">
        <f aca="false">IF(A2963="","",IFERROR(1/(1/_xlfn.MINIFS(Apparitions!$L$2:$L$5001,Apparitions!$G$2:$G$5001,A2963)),""))</f>
        <v/>
      </c>
      <c r="L2963" s="27" t="str">
        <f aca="false">IF(A2963="","",A2963&amp;" | "&amp;B2963&amp;IF(C2963="",""," ("&amp;C2963&amp;")")&amp;IF(D2963="",""," - "&amp;D2963))</f>
        <v/>
      </c>
    </row>
    <row r="2964" customFormat="false" ht="15" hidden="false" customHeight="false" outlineLevel="0" collapsed="false">
      <c r="A2964" s="32"/>
      <c r="B2964" s="19"/>
      <c r="C2964" s="19"/>
      <c r="D2964" s="19"/>
      <c r="E2964" s="21"/>
      <c r="F2964" s="19"/>
      <c r="G2964" s="27" t="str">
        <f aca="false">IF(B2964="","",IFERROR(INDEX(Jeux!$C$2:$C$3001,MATCH(B2964,Jeux!$A$2:$A$3001,0))&amp;"","⚠ jeu inconnu"))</f>
        <v/>
      </c>
      <c r="H2964" s="27" t="str">
        <f aca="false">IF(B2964="","",IFERROR(INDEX(Jeux!$D$2:$D$3001,MATCH(B2964,Jeux!$A$2:$A$3001,0))&amp;"",""))</f>
        <v/>
      </c>
      <c r="I2964" s="26" t="str">
        <f aca="false">IF(A2964="","",COUNTIF(Apparitions!$G$2:$G$5001,A2964))</f>
        <v/>
      </c>
      <c r="J2964" s="26" t="str">
        <f aca="false">IF(A2964="","",COUNTIFS(Apparitions!$G$2:$G$5001,A2964,Apparitions!$E$2:$E$5001,"○"))</f>
        <v/>
      </c>
      <c r="K2964" s="29" t="str">
        <f aca="false">IF(A2964="","",IFERROR(1/(1/_xlfn.MINIFS(Apparitions!$L$2:$L$5001,Apparitions!$G$2:$G$5001,A2964)),""))</f>
        <v/>
      </c>
      <c r="L2964" s="27" t="str">
        <f aca="false">IF(A2964="","",A2964&amp;" | "&amp;B2964&amp;IF(C2964="",""," ("&amp;C2964&amp;")")&amp;IF(D2964="",""," - "&amp;D2964))</f>
        <v/>
      </c>
    </row>
    <row r="2965" customFormat="false" ht="15" hidden="false" customHeight="false" outlineLevel="0" collapsed="false">
      <c r="A2965" s="32"/>
      <c r="B2965" s="19"/>
      <c r="C2965" s="19"/>
      <c r="D2965" s="19"/>
      <c r="E2965" s="21"/>
      <c r="F2965" s="19"/>
      <c r="G2965" s="27" t="str">
        <f aca="false">IF(B2965="","",IFERROR(INDEX(Jeux!$C$2:$C$3001,MATCH(B2965,Jeux!$A$2:$A$3001,0))&amp;"","⚠ jeu inconnu"))</f>
        <v/>
      </c>
      <c r="H2965" s="27" t="str">
        <f aca="false">IF(B2965="","",IFERROR(INDEX(Jeux!$D$2:$D$3001,MATCH(B2965,Jeux!$A$2:$A$3001,0))&amp;"",""))</f>
        <v/>
      </c>
      <c r="I2965" s="26" t="str">
        <f aca="false">IF(A2965="","",COUNTIF(Apparitions!$G$2:$G$5001,A2965))</f>
        <v/>
      </c>
      <c r="J2965" s="26" t="str">
        <f aca="false">IF(A2965="","",COUNTIFS(Apparitions!$G$2:$G$5001,A2965,Apparitions!$E$2:$E$5001,"○"))</f>
        <v/>
      </c>
      <c r="K2965" s="29" t="str">
        <f aca="false">IF(A2965="","",IFERROR(1/(1/_xlfn.MINIFS(Apparitions!$L$2:$L$5001,Apparitions!$G$2:$G$5001,A2965)),""))</f>
        <v/>
      </c>
      <c r="L2965" s="27" t="str">
        <f aca="false">IF(A2965="","",A2965&amp;" | "&amp;B2965&amp;IF(C2965="",""," ("&amp;C2965&amp;")")&amp;IF(D2965="",""," - "&amp;D2965))</f>
        <v/>
      </c>
    </row>
    <row r="2966" customFormat="false" ht="15" hidden="false" customHeight="false" outlineLevel="0" collapsed="false">
      <c r="A2966" s="32"/>
      <c r="B2966" s="19"/>
      <c r="C2966" s="19"/>
      <c r="D2966" s="19"/>
      <c r="E2966" s="21"/>
      <c r="F2966" s="19"/>
      <c r="G2966" s="27" t="str">
        <f aca="false">IF(B2966="","",IFERROR(INDEX(Jeux!$C$2:$C$3001,MATCH(B2966,Jeux!$A$2:$A$3001,0))&amp;"","⚠ jeu inconnu"))</f>
        <v/>
      </c>
      <c r="H2966" s="27" t="str">
        <f aca="false">IF(B2966="","",IFERROR(INDEX(Jeux!$D$2:$D$3001,MATCH(B2966,Jeux!$A$2:$A$3001,0))&amp;"",""))</f>
        <v/>
      </c>
      <c r="I2966" s="26" t="str">
        <f aca="false">IF(A2966="","",COUNTIF(Apparitions!$G$2:$G$5001,A2966))</f>
        <v/>
      </c>
      <c r="J2966" s="26" t="str">
        <f aca="false">IF(A2966="","",COUNTIFS(Apparitions!$G$2:$G$5001,A2966,Apparitions!$E$2:$E$5001,"○"))</f>
        <v/>
      </c>
      <c r="K2966" s="29" t="str">
        <f aca="false">IF(A2966="","",IFERROR(1/(1/_xlfn.MINIFS(Apparitions!$L$2:$L$5001,Apparitions!$G$2:$G$5001,A2966)),""))</f>
        <v/>
      </c>
      <c r="L2966" s="27" t="str">
        <f aca="false">IF(A2966="","",A2966&amp;" | "&amp;B2966&amp;IF(C2966="",""," ("&amp;C2966&amp;")")&amp;IF(D2966="",""," - "&amp;D2966))</f>
        <v/>
      </c>
    </row>
    <row r="2967" customFormat="false" ht="15" hidden="false" customHeight="false" outlineLevel="0" collapsed="false">
      <c r="A2967" s="32"/>
      <c r="B2967" s="19"/>
      <c r="C2967" s="19"/>
      <c r="D2967" s="19"/>
      <c r="E2967" s="21"/>
      <c r="F2967" s="19"/>
      <c r="G2967" s="27" t="str">
        <f aca="false">IF(B2967="","",IFERROR(INDEX(Jeux!$C$2:$C$3001,MATCH(B2967,Jeux!$A$2:$A$3001,0))&amp;"","⚠ jeu inconnu"))</f>
        <v/>
      </c>
      <c r="H2967" s="27" t="str">
        <f aca="false">IF(B2967="","",IFERROR(INDEX(Jeux!$D$2:$D$3001,MATCH(B2967,Jeux!$A$2:$A$3001,0))&amp;"",""))</f>
        <v/>
      </c>
      <c r="I2967" s="26" t="str">
        <f aca="false">IF(A2967="","",COUNTIF(Apparitions!$G$2:$G$5001,A2967))</f>
        <v/>
      </c>
      <c r="J2967" s="26" t="str">
        <f aca="false">IF(A2967="","",COUNTIFS(Apparitions!$G$2:$G$5001,A2967,Apparitions!$E$2:$E$5001,"○"))</f>
        <v/>
      </c>
      <c r="K2967" s="29" t="str">
        <f aca="false">IF(A2967="","",IFERROR(1/(1/_xlfn.MINIFS(Apparitions!$L$2:$L$5001,Apparitions!$G$2:$G$5001,A2967)),""))</f>
        <v/>
      </c>
      <c r="L2967" s="27" t="str">
        <f aca="false">IF(A2967="","",A2967&amp;" | "&amp;B2967&amp;IF(C2967="",""," ("&amp;C2967&amp;")")&amp;IF(D2967="",""," - "&amp;D2967))</f>
        <v/>
      </c>
    </row>
    <row r="2968" customFormat="false" ht="15" hidden="false" customHeight="false" outlineLevel="0" collapsed="false">
      <c r="A2968" s="32"/>
      <c r="B2968" s="19"/>
      <c r="C2968" s="19"/>
      <c r="D2968" s="19"/>
      <c r="E2968" s="21"/>
      <c r="F2968" s="19"/>
      <c r="G2968" s="27" t="str">
        <f aca="false">IF(B2968="","",IFERROR(INDEX(Jeux!$C$2:$C$3001,MATCH(B2968,Jeux!$A$2:$A$3001,0))&amp;"","⚠ jeu inconnu"))</f>
        <v/>
      </c>
      <c r="H2968" s="27" t="str">
        <f aca="false">IF(B2968="","",IFERROR(INDEX(Jeux!$D$2:$D$3001,MATCH(B2968,Jeux!$A$2:$A$3001,0))&amp;"",""))</f>
        <v/>
      </c>
      <c r="I2968" s="26" t="str">
        <f aca="false">IF(A2968="","",COUNTIF(Apparitions!$G$2:$G$5001,A2968))</f>
        <v/>
      </c>
      <c r="J2968" s="26" t="str">
        <f aca="false">IF(A2968="","",COUNTIFS(Apparitions!$G$2:$G$5001,A2968,Apparitions!$E$2:$E$5001,"○"))</f>
        <v/>
      </c>
      <c r="K2968" s="29" t="str">
        <f aca="false">IF(A2968="","",IFERROR(1/(1/_xlfn.MINIFS(Apparitions!$L$2:$L$5001,Apparitions!$G$2:$G$5001,A2968)),""))</f>
        <v/>
      </c>
      <c r="L2968" s="27" t="str">
        <f aca="false">IF(A2968="","",A2968&amp;" | "&amp;B2968&amp;IF(C2968="",""," ("&amp;C2968&amp;")")&amp;IF(D2968="",""," - "&amp;D2968))</f>
        <v/>
      </c>
    </row>
    <row r="2969" customFormat="false" ht="15" hidden="false" customHeight="false" outlineLevel="0" collapsed="false">
      <c r="A2969" s="32"/>
      <c r="B2969" s="19"/>
      <c r="C2969" s="19"/>
      <c r="D2969" s="19"/>
      <c r="E2969" s="21"/>
      <c r="F2969" s="19"/>
      <c r="G2969" s="27" t="str">
        <f aca="false">IF(B2969="","",IFERROR(INDEX(Jeux!$C$2:$C$3001,MATCH(B2969,Jeux!$A$2:$A$3001,0))&amp;"","⚠ jeu inconnu"))</f>
        <v/>
      </c>
      <c r="H2969" s="27" t="str">
        <f aca="false">IF(B2969="","",IFERROR(INDEX(Jeux!$D$2:$D$3001,MATCH(B2969,Jeux!$A$2:$A$3001,0))&amp;"",""))</f>
        <v/>
      </c>
      <c r="I2969" s="26" t="str">
        <f aca="false">IF(A2969="","",COUNTIF(Apparitions!$G$2:$G$5001,A2969))</f>
        <v/>
      </c>
      <c r="J2969" s="26" t="str">
        <f aca="false">IF(A2969="","",COUNTIFS(Apparitions!$G$2:$G$5001,A2969,Apparitions!$E$2:$E$5001,"○"))</f>
        <v/>
      </c>
      <c r="K2969" s="29" t="str">
        <f aca="false">IF(A2969="","",IFERROR(1/(1/_xlfn.MINIFS(Apparitions!$L$2:$L$5001,Apparitions!$G$2:$G$5001,A2969)),""))</f>
        <v/>
      </c>
      <c r="L2969" s="27" t="str">
        <f aca="false">IF(A2969="","",A2969&amp;" | "&amp;B2969&amp;IF(C2969="",""," ("&amp;C2969&amp;")")&amp;IF(D2969="",""," - "&amp;D2969))</f>
        <v/>
      </c>
    </row>
    <row r="2970" customFormat="false" ht="15" hidden="false" customHeight="false" outlineLevel="0" collapsed="false">
      <c r="A2970" s="32"/>
      <c r="B2970" s="19"/>
      <c r="C2970" s="19"/>
      <c r="D2970" s="19"/>
      <c r="E2970" s="21"/>
      <c r="F2970" s="19"/>
      <c r="G2970" s="27" t="str">
        <f aca="false">IF(B2970="","",IFERROR(INDEX(Jeux!$C$2:$C$3001,MATCH(B2970,Jeux!$A$2:$A$3001,0))&amp;"","⚠ jeu inconnu"))</f>
        <v/>
      </c>
      <c r="H2970" s="27" t="str">
        <f aca="false">IF(B2970="","",IFERROR(INDEX(Jeux!$D$2:$D$3001,MATCH(B2970,Jeux!$A$2:$A$3001,0))&amp;"",""))</f>
        <v/>
      </c>
      <c r="I2970" s="26" t="str">
        <f aca="false">IF(A2970="","",COUNTIF(Apparitions!$G$2:$G$5001,A2970))</f>
        <v/>
      </c>
      <c r="J2970" s="26" t="str">
        <f aca="false">IF(A2970="","",COUNTIFS(Apparitions!$G$2:$G$5001,A2970,Apparitions!$E$2:$E$5001,"○"))</f>
        <v/>
      </c>
      <c r="K2970" s="29" t="str">
        <f aca="false">IF(A2970="","",IFERROR(1/(1/_xlfn.MINIFS(Apparitions!$L$2:$L$5001,Apparitions!$G$2:$G$5001,A2970)),""))</f>
        <v/>
      </c>
      <c r="L2970" s="27" t="str">
        <f aca="false">IF(A2970="","",A2970&amp;" | "&amp;B2970&amp;IF(C2970="",""," ("&amp;C2970&amp;")")&amp;IF(D2970="",""," - "&amp;D2970))</f>
        <v/>
      </c>
    </row>
    <row r="2971" customFormat="false" ht="15" hidden="false" customHeight="false" outlineLevel="0" collapsed="false">
      <c r="A2971" s="32"/>
      <c r="B2971" s="19"/>
      <c r="C2971" s="19"/>
      <c r="D2971" s="19"/>
      <c r="E2971" s="21"/>
      <c r="F2971" s="19"/>
      <c r="G2971" s="27" t="str">
        <f aca="false">IF(B2971="","",IFERROR(INDEX(Jeux!$C$2:$C$3001,MATCH(B2971,Jeux!$A$2:$A$3001,0))&amp;"","⚠ jeu inconnu"))</f>
        <v/>
      </c>
      <c r="H2971" s="27" t="str">
        <f aca="false">IF(B2971="","",IFERROR(INDEX(Jeux!$D$2:$D$3001,MATCH(B2971,Jeux!$A$2:$A$3001,0))&amp;"",""))</f>
        <v/>
      </c>
      <c r="I2971" s="26" t="str">
        <f aca="false">IF(A2971="","",COUNTIF(Apparitions!$G$2:$G$5001,A2971))</f>
        <v/>
      </c>
      <c r="J2971" s="26" t="str">
        <f aca="false">IF(A2971="","",COUNTIFS(Apparitions!$G$2:$G$5001,A2971,Apparitions!$E$2:$E$5001,"○"))</f>
        <v/>
      </c>
      <c r="K2971" s="29" t="str">
        <f aca="false">IF(A2971="","",IFERROR(1/(1/_xlfn.MINIFS(Apparitions!$L$2:$L$5001,Apparitions!$G$2:$G$5001,A2971)),""))</f>
        <v/>
      </c>
      <c r="L2971" s="27" t="str">
        <f aca="false">IF(A2971="","",A2971&amp;" | "&amp;B2971&amp;IF(C2971="",""," ("&amp;C2971&amp;")")&amp;IF(D2971="",""," - "&amp;D2971))</f>
        <v/>
      </c>
    </row>
    <row r="2972" customFormat="false" ht="15" hidden="false" customHeight="false" outlineLevel="0" collapsed="false">
      <c r="A2972" s="32"/>
      <c r="B2972" s="19"/>
      <c r="C2972" s="19"/>
      <c r="D2972" s="19"/>
      <c r="E2972" s="21"/>
      <c r="F2972" s="19"/>
      <c r="G2972" s="27" t="str">
        <f aca="false">IF(B2972="","",IFERROR(INDEX(Jeux!$C$2:$C$3001,MATCH(B2972,Jeux!$A$2:$A$3001,0))&amp;"","⚠ jeu inconnu"))</f>
        <v/>
      </c>
      <c r="H2972" s="27" t="str">
        <f aca="false">IF(B2972="","",IFERROR(INDEX(Jeux!$D$2:$D$3001,MATCH(B2972,Jeux!$A$2:$A$3001,0))&amp;"",""))</f>
        <v/>
      </c>
      <c r="I2972" s="26" t="str">
        <f aca="false">IF(A2972="","",COUNTIF(Apparitions!$G$2:$G$5001,A2972))</f>
        <v/>
      </c>
      <c r="J2972" s="26" t="str">
        <f aca="false">IF(A2972="","",COUNTIFS(Apparitions!$G$2:$G$5001,A2972,Apparitions!$E$2:$E$5001,"○"))</f>
        <v/>
      </c>
      <c r="K2972" s="29" t="str">
        <f aca="false">IF(A2972="","",IFERROR(1/(1/_xlfn.MINIFS(Apparitions!$L$2:$L$5001,Apparitions!$G$2:$G$5001,A2972)),""))</f>
        <v/>
      </c>
      <c r="L2972" s="27" t="str">
        <f aca="false">IF(A2972="","",A2972&amp;" | "&amp;B2972&amp;IF(C2972="",""," ("&amp;C2972&amp;")")&amp;IF(D2972="",""," - "&amp;D2972))</f>
        <v/>
      </c>
    </row>
    <row r="2973" customFormat="false" ht="15" hidden="false" customHeight="false" outlineLevel="0" collapsed="false">
      <c r="A2973" s="32"/>
      <c r="B2973" s="19"/>
      <c r="C2973" s="19"/>
      <c r="D2973" s="19"/>
      <c r="E2973" s="21"/>
      <c r="F2973" s="19"/>
      <c r="G2973" s="27" t="str">
        <f aca="false">IF(B2973="","",IFERROR(INDEX(Jeux!$C$2:$C$3001,MATCH(B2973,Jeux!$A$2:$A$3001,0))&amp;"","⚠ jeu inconnu"))</f>
        <v/>
      </c>
      <c r="H2973" s="27" t="str">
        <f aca="false">IF(B2973="","",IFERROR(INDEX(Jeux!$D$2:$D$3001,MATCH(B2973,Jeux!$A$2:$A$3001,0))&amp;"",""))</f>
        <v/>
      </c>
      <c r="I2973" s="26" t="str">
        <f aca="false">IF(A2973="","",COUNTIF(Apparitions!$G$2:$G$5001,A2973))</f>
        <v/>
      </c>
      <c r="J2973" s="26" t="str">
        <f aca="false">IF(A2973="","",COUNTIFS(Apparitions!$G$2:$G$5001,A2973,Apparitions!$E$2:$E$5001,"○"))</f>
        <v/>
      </c>
      <c r="K2973" s="29" t="str">
        <f aca="false">IF(A2973="","",IFERROR(1/(1/_xlfn.MINIFS(Apparitions!$L$2:$L$5001,Apparitions!$G$2:$G$5001,A2973)),""))</f>
        <v/>
      </c>
      <c r="L2973" s="27" t="str">
        <f aca="false">IF(A2973="","",A2973&amp;" | "&amp;B2973&amp;IF(C2973="",""," ("&amp;C2973&amp;")")&amp;IF(D2973="",""," - "&amp;D2973))</f>
        <v/>
      </c>
    </row>
    <row r="2974" customFormat="false" ht="15" hidden="false" customHeight="false" outlineLevel="0" collapsed="false">
      <c r="A2974" s="32"/>
      <c r="B2974" s="19"/>
      <c r="C2974" s="19"/>
      <c r="D2974" s="19"/>
      <c r="E2974" s="21"/>
      <c r="F2974" s="19"/>
      <c r="G2974" s="27" t="str">
        <f aca="false">IF(B2974="","",IFERROR(INDEX(Jeux!$C$2:$C$3001,MATCH(B2974,Jeux!$A$2:$A$3001,0))&amp;"","⚠ jeu inconnu"))</f>
        <v/>
      </c>
      <c r="H2974" s="27" t="str">
        <f aca="false">IF(B2974="","",IFERROR(INDEX(Jeux!$D$2:$D$3001,MATCH(B2974,Jeux!$A$2:$A$3001,0))&amp;"",""))</f>
        <v/>
      </c>
      <c r="I2974" s="26" t="str">
        <f aca="false">IF(A2974="","",COUNTIF(Apparitions!$G$2:$G$5001,A2974))</f>
        <v/>
      </c>
      <c r="J2974" s="26" t="str">
        <f aca="false">IF(A2974="","",COUNTIFS(Apparitions!$G$2:$G$5001,A2974,Apparitions!$E$2:$E$5001,"○"))</f>
        <v/>
      </c>
      <c r="K2974" s="29" t="str">
        <f aca="false">IF(A2974="","",IFERROR(1/(1/_xlfn.MINIFS(Apparitions!$L$2:$L$5001,Apparitions!$G$2:$G$5001,A2974)),""))</f>
        <v/>
      </c>
      <c r="L2974" s="27" t="str">
        <f aca="false">IF(A2974="","",A2974&amp;" | "&amp;B2974&amp;IF(C2974="",""," ("&amp;C2974&amp;")")&amp;IF(D2974="",""," - "&amp;D2974))</f>
        <v/>
      </c>
    </row>
    <row r="2975" customFormat="false" ht="15" hidden="false" customHeight="false" outlineLevel="0" collapsed="false">
      <c r="A2975" s="32"/>
      <c r="B2975" s="19"/>
      <c r="C2975" s="19"/>
      <c r="D2975" s="19"/>
      <c r="E2975" s="21"/>
      <c r="F2975" s="19"/>
      <c r="G2975" s="27" t="str">
        <f aca="false">IF(B2975="","",IFERROR(INDEX(Jeux!$C$2:$C$3001,MATCH(B2975,Jeux!$A$2:$A$3001,0))&amp;"","⚠ jeu inconnu"))</f>
        <v/>
      </c>
      <c r="H2975" s="27" t="str">
        <f aca="false">IF(B2975="","",IFERROR(INDEX(Jeux!$D$2:$D$3001,MATCH(B2975,Jeux!$A$2:$A$3001,0))&amp;"",""))</f>
        <v/>
      </c>
      <c r="I2975" s="26" t="str">
        <f aca="false">IF(A2975="","",COUNTIF(Apparitions!$G$2:$G$5001,A2975))</f>
        <v/>
      </c>
      <c r="J2975" s="26" t="str">
        <f aca="false">IF(A2975="","",COUNTIFS(Apparitions!$G$2:$G$5001,A2975,Apparitions!$E$2:$E$5001,"○"))</f>
        <v/>
      </c>
      <c r="K2975" s="29" t="str">
        <f aca="false">IF(A2975="","",IFERROR(1/(1/_xlfn.MINIFS(Apparitions!$L$2:$L$5001,Apparitions!$G$2:$G$5001,A2975)),""))</f>
        <v/>
      </c>
      <c r="L2975" s="27" t="str">
        <f aca="false">IF(A2975="","",A2975&amp;" | "&amp;B2975&amp;IF(C2975="",""," ("&amp;C2975&amp;")")&amp;IF(D2975="",""," - "&amp;D2975))</f>
        <v/>
      </c>
    </row>
    <row r="2976" customFormat="false" ht="15" hidden="false" customHeight="false" outlineLevel="0" collapsed="false">
      <c r="A2976" s="32"/>
      <c r="B2976" s="19"/>
      <c r="C2976" s="19"/>
      <c r="D2976" s="19"/>
      <c r="E2976" s="21"/>
      <c r="F2976" s="19"/>
      <c r="G2976" s="27" t="str">
        <f aca="false">IF(B2976="","",IFERROR(INDEX(Jeux!$C$2:$C$3001,MATCH(B2976,Jeux!$A$2:$A$3001,0))&amp;"","⚠ jeu inconnu"))</f>
        <v/>
      </c>
      <c r="H2976" s="27" t="str">
        <f aca="false">IF(B2976="","",IFERROR(INDEX(Jeux!$D$2:$D$3001,MATCH(B2976,Jeux!$A$2:$A$3001,0))&amp;"",""))</f>
        <v/>
      </c>
      <c r="I2976" s="26" t="str">
        <f aca="false">IF(A2976="","",COUNTIF(Apparitions!$G$2:$G$5001,A2976))</f>
        <v/>
      </c>
      <c r="J2976" s="26" t="str">
        <f aca="false">IF(A2976="","",COUNTIFS(Apparitions!$G$2:$G$5001,A2976,Apparitions!$E$2:$E$5001,"○"))</f>
        <v/>
      </c>
      <c r="K2976" s="29" t="str">
        <f aca="false">IF(A2976="","",IFERROR(1/(1/_xlfn.MINIFS(Apparitions!$L$2:$L$5001,Apparitions!$G$2:$G$5001,A2976)),""))</f>
        <v/>
      </c>
      <c r="L2976" s="27" t="str">
        <f aca="false">IF(A2976="","",A2976&amp;" | "&amp;B2976&amp;IF(C2976="",""," ("&amp;C2976&amp;")")&amp;IF(D2976="",""," - "&amp;D2976))</f>
        <v/>
      </c>
    </row>
    <row r="2977" customFormat="false" ht="15" hidden="false" customHeight="false" outlineLevel="0" collapsed="false">
      <c r="A2977" s="32"/>
      <c r="B2977" s="19"/>
      <c r="C2977" s="19"/>
      <c r="D2977" s="19"/>
      <c r="E2977" s="21"/>
      <c r="F2977" s="19"/>
      <c r="G2977" s="27" t="str">
        <f aca="false">IF(B2977="","",IFERROR(INDEX(Jeux!$C$2:$C$3001,MATCH(B2977,Jeux!$A$2:$A$3001,0))&amp;"","⚠ jeu inconnu"))</f>
        <v/>
      </c>
      <c r="H2977" s="27" t="str">
        <f aca="false">IF(B2977="","",IFERROR(INDEX(Jeux!$D$2:$D$3001,MATCH(B2977,Jeux!$A$2:$A$3001,0))&amp;"",""))</f>
        <v/>
      </c>
      <c r="I2977" s="26" t="str">
        <f aca="false">IF(A2977="","",COUNTIF(Apparitions!$G$2:$G$5001,A2977))</f>
        <v/>
      </c>
      <c r="J2977" s="26" t="str">
        <f aca="false">IF(A2977="","",COUNTIFS(Apparitions!$G$2:$G$5001,A2977,Apparitions!$E$2:$E$5001,"○"))</f>
        <v/>
      </c>
      <c r="K2977" s="29" t="str">
        <f aca="false">IF(A2977="","",IFERROR(1/(1/_xlfn.MINIFS(Apparitions!$L$2:$L$5001,Apparitions!$G$2:$G$5001,A2977)),""))</f>
        <v/>
      </c>
      <c r="L2977" s="27" t="str">
        <f aca="false">IF(A2977="","",A2977&amp;" | "&amp;B2977&amp;IF(C2977="",""," ("&amp;C2977&amp;")")&amp;IF(D2977="",""," - "&amp;D2977))</f>
        <v/>
      </c>
    </row>
    <row r="2978" customFormat="false" ht="15" hidden="false" customHeight="false" outlineLevel="0" collapsed="false">
      <c r="A2978" s="32"/>
      <c r="B2978" s="19"/>
      <c r="C2978" s="19"/>
      <c r="D2978" s="19"/>
      <c r="E2978" s="21"/>
      <c r="F2978" s="19"/>
      <c r="G2978" s="27" t="str">
        <f aca="false">IF(B2978="","",IFERROR(INDEX(Jeux!$C$2:$C$3001,MATCH(B2978,Jeux!$A$2:$A$3001,0))&amp;"","⚠ jeu inconnu"))</f>
        <v/>
      </c>
      <c r="H2978" s="27" t="str">
        <f aca="false">IF(B2978="","",IFERROR(INDEX(Jeux!$D$2:$D$3001,MATCH(B2978,Jeux!$A$2:$A$3001,0))&amp;"",""))</f>
        <v/>
      </c>
      <c r="I2978" s="26" t="str">
        <f aca="false">IF(A2978="","",COUNTIF(Apparitions!$G$2:$G$5001,A2978))</f>
        <v/>
      </c>
      <c r="J2978" s="26" t="str">
        <f aca="false">IF(A2978="","",COUNTIFS(Apparitions!$G$2:$G$5001,A2978,Apparitions!$E$2:$E$5001,"○"))</f>
        <v/>
      </c>
      <c r="K2978" s="29" t="str">
        <f aca="false">IF(A2978="","",IFERROR(1/(1/_xlfn.MINIFS(Apparitions!$L$2:$L$5001,Apparitions!$G$2:$G$5001,A2978)),""))</f>
        <v/>
      </c>
      <c r="L2978" s="27" t="str">
        <f aca="false">IF(A2978="","",A2978&amp;" | "&amp;B2978&amp;IF(C2978="",""," ("&amp;C2978&amp;")")&amp;IF(D2978="",""," - "&amp;D2978))</f>
        <v/>
      </c>
    </row>
    <row r="2979" customFormat="false" ht="15" hidden="false" customHeight="false" outlineLevel="0" collapsed="false">
      <c r="A2979" s="32"/>
      <c r="B2979" s="19"/>
      <c r="C2979" s="19"/>
      <c r="D2979" s="19"/>
      <c r="E2979" s="21"/>
      <c r="F2979" s="19"/>
      <c r="G2979" s="27" t="str">
        <f aca="false">IF(B2979="","",IFERROR(INDEX(Jeux!$C$2:$C$3001,MATCH(B2979,Jeux!$A$2:$A$3001,0))&amp;"","⚠ jeu inconnu"))</f>
        <v/>
      </c>
      <c r="H2979" s="27" t="str">
        <f aca="false">IF(B2979="","",IFERROR(INDEX(Jeux!$D$2:$D$3001,MATCH(B2979,Jeux!$A$2:$A$3001,0))&amp;"",""))</f>
        <v/>
      </c>
      <c r="I2979" s="26" t="str">
        <f aca="false">IF(A2979="","",COUNTIF(Apparitions!$G$2:$G$5001,A2979))</f>
        <v/>
      </c>
      <c r="J2979" s="26" t="str">
        <f aca="false">IF(A2979="","",COUNTIFS(Apparitions!$G$2:$G$5001,A2979,Apparitions!$E$2:$E$5001,"○"))</f>
        <v/>
      </c>
      <c r="K2979" s="29" t="str">
        <f aca="false">IF(A2979="","",IFERROR(1/(1/_xlfn.MINIFS(Apparitions!$L$2:$L$5001,Apparitions!$G$2:$G$5001,A2979)),""))</f>
        <v/>
      </c>
      <c r="L2979" s="27" t="str">
        <f aca="false">IF(A2979="","",A2979&amp;" | "&amp;B2979&amp;IF(C2979="",""," ("&amp;C2979&amp;")")&amp;IF(D2979="",""," - "&amp;D2979))</f>
        <v/>
      </c>
    </row>
    <row r="2980" customFormat="false" ht="15" hidden="false" customHeight="false" outlineLevel="0" collapsed="false">
      <c r="A2980" s="32"/>
      <c r="B2980" s="19"/>
      <c r="C2980" s="19"/>
      <c r="D2980" s="19"/>
      <c r="E2980" s="21"/>
      <c r="F2980" s="19"/>
      <c r="G2980" s="27" t="str">
        <f aca="false">IF(B2980="","",IFERROR(INDEX(Jeux!$C$2:$C$3001,MATCH(B2980,Jeux!$A$2:$A$3001,0))&amp;"","⚠ jeu inconnu"))</f>
        <v/>
      </c>
      <c r="H2980" s="27" t="str">
        <f aca="false">IF(B2980="","",IFERROR(INDEX(Jeux!$D$2:$D$3001,MATCH(B2980,Jeux!$A$2:$A$3001,0))&amp;"",""))</f>
        <v/>
      </c>
      <c r="I2980" s="26" t="str">
        <f aca="false">IF(A2980="","",COUNTIF(Apparitions!$G$2:$G$5001,A2980))</f>
        <v/>
      </c>
      <c r="J2980" s="26" t="str">
        <f aca="false">IF(A2980="","",COUNTIFS(Apparitions!$G$2:$G$5001,A2980,Apparitions!$E$2:$E$5001,"○"))</f>
        <v/>
      </c>
      <c r="K2980" s="29" t="str">
        <f aca="false">IF(A2980="","",IFERROR(1/(1/_xlfn.MINIFS(Apparitions!$L$2:$L$5001,Apparitions!$G$2:$G$5001,A2980)),""))</f>
        <v/>
      </c>
      <c r="L2980" s="27" t="str">
        <f aca="false">IF(A2980="","",A2980&amp;" | "&amp;B2980&amp;IF(C2980="",""," ("&amp;C2980&amp;")")&amp;IF(D2980="",""," - "&amp;D2980))</f>
        <v/>
      </c>
    </row>
    <row r="2981" customFormat="false" ht="15" hidden="false" customHeight="false" outlineLevel="0" collapsed="false">
      <c r="A2981" s="32"/>
      <c r="B2981" s="19"/>
      <c r="C2981" s="19"/>
      <c r="D2981" s="19"/>
      <c r="E2981" s="21"/>
      <c r="F2981" s="19"/>
      <c r="G2981" s="27" t="str">
        <f aca="false">IF(B2981="","",IFERROR(INDEX(Jeux!$C$2:$C$3001,MATCH(B2981,Jeux!$A$2:$A$3001,0))&amp;"","⚠ jeu inconnu"))</f>
        <v/>
      </c>
      <c r="H2981" s="27" t="str">
        <f aca="false">IF(B2981="","",IFERROR(INDEX(Jeux!$D$2:$D$3001,MATCH(B2981,Jeux!$A$2:$A$3001,0))&amp;"",""))</f>
        <v/>
      </c>
      <c r="I2981" s="26" t="str">
        <f aca="false">IF(A2981="","",COUNTIF(Apparitions!$G$2:$G$5001,A2981))</f>
        <v/>
      </c>
      <c r="J2981" s="26" t="str">
        <f aca="false">IF(A2981="","",COUNTIFS(Apparitions!$G$2:$G$5001,A2981,Apparitions!$E$2:$E$5001,"○"))</f>
        <v/>
      </c>
      <c r="K2981" s="29" t="str">
        <f aca="false">IF(A2981="","",IFERROR(1/(1/_xlfn.MINIFS(Apparitions!$L$2:$L$5001,Apparitions!$G$2:$G$5001,A2981)),""))</f>
        <v/>
      </c>
      <c r="L2981" s="27" t="str">
        <f aca="false">IF(A2981="","",A2981&amp;" | "&amp;B2981&amp;IF(C2981="",""," ("&amp;C2981&amp;")")&amp;IF(D2981="",""," - "&amp;D2981))</f>
        <v/>
      </c>
    </row>
    <row r="2982" customFormat="false" ht="15" hidden="false" customHeight="false" outlineLevel="0" collapsed="false">
      <c r="A2982" s="32"/>
      <c r="B2982" s="19"/>
      <c r="C2982" s="19"/>
      <c r="D2982" s="19"/>
      <c r="E2982" s="21"/>
      <c r="F2982" s="19"/>
      <c r="G2982" s="27" t="str">
        <f aca="false">IF(B2982="","",IFERROR(INDEX(Jeux!$C$2:$C$3001,MATCH(B2982,Jeux!$A$2:$A$3001,0))&amp;"","⚠ jeu inconnu"))</f>
        <v/>
      </c>
      <c r="H2982" s="27" t="str">
        <f aca="false">IF(B2982="","",IFERROR(INDEX(Jeux!$D$2:$D$3001,MATCH(B2982,Jeux!$A$2:$A$3001,0))&amp;"",""))</f>
        <v/>
      </c>
      <c r="I2982" s="26" t="str">
        <f aca="false">IF(A2982="","",COUNTIF(Apparitions!$G$2:$G$5001,A2982))</f>
        <v/>
      </c>
      <c r="J2982" s="26" t="str">
        <f aca="false">IF(A2982="","",COUNTIFS(Apparitions!$G$2:$G$5001,A2982,Apparitions!$E$2:$E$5001,"○"))</f>
        <v/>
      </c>
      <c r="K2982" s="29" t="str">
        <f aca="false">IF(A2982="","",IFERROR(1/(1/_xlfn.MINIFS(Apparitions!$L$2:$L$5001,Apparitions!$G$2:$G$5001,A2982)),""))</f>
        <v/>
      </c>
      <c r="L2982" s="27" t="str">
        <f aca="false">IF(A2982="","",A2982&amp;" | "&amp;B2982&amp;IF(C2982="",""," ("&amp;C2982&amp;")")&amp;IF(D2982="",""," - "&amp;D2982))</f>
        <v/>
      </c>
    </row>
    <row r="2983" customFormat="false" ht="15" hidden="false" customHeight="false" outlineLevel="0" collapsed="false">
      <c r="A2983" s="32"/>
      <c r="B2983" s="19"/>
      <c r="C2983" s="19"/>
      <c r="D2983" s="19"/>
      <c r="E2983" s="21"/>
      <c r="F2983" s="19"/>
      <c r="G2983" s="27" t="str">
        <f aca="false">IF(B2983="","",IFERROR(INDEX(Jeux!$C$2:$C$3001,MATCH(B2983,Jeux!$A$2:$A$3001,0))&amp;"","⚠ jeu inconnu"))</f>
        <v/>
      </c>
      <c r="H2983" s="27" t="str">
        <f aca="false">IF(B2983="","",IFERROR(INDEX(Jeux!$D$2:$D$3001,MATCH(B2983,Jeux!$A$2:$A$3001,0))&amp;"",""))</f>
        <v/>
      </c>
      <c r="I2983" s="26" t="str">
        <f aca="false">IF(A2983="","",COUNTIF(Apparitions!$G$2:$G$5001,A2983))</f>
        <v/>
      </c>
      <c r="J2983" s="26" t="str">
        <f aca="false">IF(A2983="","",COUNTIFS(Apparitions!$G$2:$G$5001,A2983,Apparitions!$E$2:$E$5001,"○"))</f>
        <v/>
      </c>
      <c r="K2983" s="29" t="str">
        <f aca="false">IF(A2983="","",IFERROR(1/(1/_xlfn.MINIFS(Apparitions!$L$2:$L$5001,Apparitions!$G$2:$G$5001,A2983)),""))</f>
        <v/>
      </c>
      <c r="L2983" s="27" t="str">
        <f aca="false">IF(A2983="","",A2983&amp;" | "&amp;B2983&amp;IF(C2983="",""," ("&amp;C2983&amp;")")&amp;IF(D2983="",""," - "&amp;D2983))</f>
        <v/>
      </c>
    </row>
    <row r="2984" customFormat="false" ht="15" hidden="false" customHeight="false" outlineLevel="0" collapsed="false">
      <c r="A2984" s="32"/>
      <c r="B2984" s="19"/>
      <c r="C2984" s="19"/>
      <c r="D2984" s="19"/>
      <c r="E2984" s="21"/>
      <c r="F2984" s="19"/>
      <c r="G2984" s="27" t="str">
        <f aca="false">IF(B2984="","",IFERROR(INDEX(Jeux!$C$2:$C$3001,MATCH(B2984,Jeux!$A$2:$A$3001,0))&amp;"","⚠ jeu inconnu"))</f>
        <v/>
      </c>
      <c r="H2984" s="27" t="str">
        <f aca="false">IF(B2984="","",IFERROR(INDEX(Jeux!$D$2:$D$3001,MATCH(B2984,Jeux!$A$2:$A$3001,0))&amp;"",""))</f>
        <v/>
      </c>
      <c r="I2984" s="26" t="str">
        <f aca="false">IF(A2984="","",COUNTIF(Apparitions!$G$2:$G$5001,A2984))</f>
        <v/>
      </c>
      <c r="J2984" s="26" t="str">
        <f aca="false">IF(A2984="","",COUNTIFS(Apparitions!$G$2:$G$5001,A2984,Apparitions!$E$2:$E$5001,"○"))</f>
        <v/>
      </c>
      <c r="K2984" s="29" t="str">
        <f aca="false">IF(A2984="","",IFERROR(1/(1/_xlfn.MINIFS(Apparitions!$L$2:$L$5001,Apparitions!$G$2:$G$5001,A2984)),""))</f>
        <v/>
      </c>
      <c r="L2984" s="27" t="str">
        <f aca="false">IF(A2984="","",A2984&amp;" | "&amp;B2984&amp;IF(C2984="",""," ("&amp;C2984&amp;")")&amp;IF(D2984="",""," - "&amp;D2984))</f>
        <v/>
      </c>
    </row>
    <row r="2985" customFormat="false" ht="15" hidden="false" customHeight="false" outlineLevel="0" collapsed="false">
      <c r="A2985" s="32"/>
      <c r="B2985" s="19"/>
      <c r="C2985" s="19"/>
      <c r="D2985" s="19"/>
      <c r="E2985" s="21"/>
      <c r="F2985" s="19"/>
      <c r="G2985" s="27" t="str">
        <f aca="false">IF(B2985="","",IFERROR(INDEX(Jeux!$C$2:$C$3001,MATCH(B2985,Jeux!$A$2:$A$3001,0))&amp;"","⚠ jeu inconnu"))</f>
        <v/>
      </c>
      <c r="H2985" s="27" t="str">
        <f aca="false">IF(B2985="","",IFERROR(INDEX(Jeux!$D$2:$D$3001,MATCH(B2985,Jeux!$A$2:$A$3001,0))&amp;"",""))</f>
        <v/>
      </c>
      <c r="I2985" s="26" t="str">
        <f aca="false">IF(A2985="","",COUNTIF(Apparitions!$G$2:$G$5001,A2985))</f>
        <v/>
      </c>
      <c r="J2985" s="26" t="str">
        <f aca="false">IF(A2985="","",COUNTIFS(Apparitions!$G$2:$G$5001,A2985,Apparitions!$E$2:$E$5001,"○"))</f>
        <v/>
      </c>
      <c r="K2985" s="29" t="str">
        <f aca="false">IF(A2985="","",IFERROR(1/(1/_xlfn.MINIFS(Apparitions!$L$2:$L$5001,Apparitions!$G$2:$G$5001,A2985)),""))</f>
        <v/>
      </c>
      <c r="L2985" s="27" t="str">
        <f aca="false">IF(A2985="","",A2985&amp;" | "&amp;B2985&amp;IF(C2985="",""," ("&amp;C2985&amp;")")&amp;IF(D2985="",""," - "&amp;D2985))</f>
        <v/>
      </c>
    </row>
    <row r="2986" customFormat="false" ht="15" hidden="false" customHeight="false" outlineLevel="0" collapsed="false">
      <c r="A2986" s="32"/>
      <c r="B2986" s="19"/>
      <c r="C2986" s="19"/>
      <c r="D2986" s="19"/>
      <c r="E2986" s="21"/>
      <c r="F2986" s="19"/>
      <c r="G2986" s="27" t="str">
        <f aca="false">IF(B2986="","",IFERROR(INDEX(Jeux!$C$2:$C$3001,MATCH(B2986,Jeux!$A$2:$A$3001,0))&amp;"","⚠ jeu inconnu"))</f>
        <v/>
      </c>
      <c r="H2986" s="27" t="str">
        <f aca="false">IF(B2986="","",IFERROR(INDEX(Jeux!$D$2:$D$3001,MATCH(B2986,Jeux!$A$2:$A$3001,0))&amp;"",""))</f>
        <v/>
      </c>
      <c r="I2986" s="26" t="str">
        <f aca="false">IF(A2986="","",COUNTIF(Apparitions!$G$2:$G$5001,A2986))</f>
        <v/>
      </c>
      <c r="J2986" s="26" t="str">
        <f aca="false">IF(A2986="","",COUNTIFS(Apparitions!$G$2:$G$5001,A2986,Apparitions!$E$2:$E$5001,"○"))</f>
        <v/>
      </c>
      <c r="K2986" s="29" t="str">
        <f aca="false">IF(A2986="","",IFERROR(1/(1/_xlfn.MINIFS(Apparitions!$L$2:$L$5001,Apparitions!$G$2:$G$5001,A2986)),""))</f>
        <v/>
      </c>
      <c r="L2986" s="27" t="str">
        <f aca="false">IF(A2986="","",A2986&amp;" | "&amp;B2986&amp;IF(C2986="",""," ("&amp;C2986&amp;")")&amp;IF(D2986="",""," - "&amp;D2986))</f>
        <v/>
      </c>
    </row>
    <row r="2987" customFormat="false" ht="15" hidden="false" customHeight="false" outlineLevel="0" collapsed="false">
      <c r="A2987" s="32"/>
      <c r="B2987" s="19"/>
      <c r="C2987" s="19"/>
      <c r="D2987" s="19"/>
      <c r="E2987" s="21"/>
      <c r="F2987" s="19"/>
      <c r="G2987" s="27" t="str">
        <f aca="false">IF(B2987="","",IFERROR(INDEX(Jeux!$C$2:$C$3001,MATCH(B2987,Jeux!$A$2:$A$3001,0))&amp;"","⚠ jeu inconnu"))</f>
        <v/>
      </c>
      <c r="H2987" s="27" t="str">
        <f aca="false">IF(B2987="","",IFERROR(INDEX(Jeux!$D$2:$D$3001,MATCH(B2987,Jeux!$A$2:$A$3001,0))&amp;"",""))</f>
        <v/>
      </c>
      <c r="I2987" s="26" t="str">
        <f aca="false">IF(A2987="","",COUNTIF(Apparitions!$G$2:$G$5001,A2987))</f>
        <v/>
      </c>
      <c r="J2987" s="26" t="str">
        <f aca="false">IF(A2987="","",COUNTIFS(Apparitions!$G$2:$G$5001,A2987,Apparitions!$E$2:$E$5001,"○"))</f>
        <v/>
      </c>
      <c r="K2987" s="29" t="str">
        <f aca="false">IF(A2987="","",IFERROR(1/(1/_xlfn.MINIFS(Apparitions!$L$2:$L$5001,Apparitions!$G$2:$G$5001,A2987)),""))</f>
        <v/>
      </c>
      <c r="L2987" s="27" t="str">
        <f aca="false">IF(A2987="","",A2987&amp;" | "&amp;B2987&amp;IF(C2987="",""," ("&amp;C2987&amp;")")&amp;IF(D2987="",""," - "&amp;D2987))</f>
        <v/>
      </c>
    </row>
    <row r="2988" customFormat="false" ht="15" hidden="false" customHeight="false" outlineLevel="0" collapsed="false">
      <c r="A2988" s="32"/>
      <c r="B2988" s="19"/>
      <c r="C2988" s="19"/>
      <c r="D2988" s="19"/>
      <c r="E2988" s="21"/>
      <c r="F2988" s="19"/>
      <c r="G2988" s="27" t="str">
        <f aca="false">IF(B2988="","",IFERROR(INDEX(Jeux!$C$2:$C$3001,MATCH(B2988,Jeux!$A$2:$A$3001,0))&amp;"","⚠ jeu inconnu"))</f>
        <v/>
      </c>
      <c r="H2988" s="27" t="str">
        <f aca="false">IF(B2988="","",IFERROR(INDEX(Jeux!$D$2:$D$3001,MATCH(B2988,Jeux!$A$2:$A$3001,0))&amp;"",""))</f>
        <v/>
      </c>
      <c r="I2988" s="26" t="str">
        <f aca="false">IF(A2988="","",COUNTIF(Apparitions!$G$2:$G$5001,A2988))</f>
        <v/>
      </c>
      <c r="J2988" s="26" t="str">
        <f aca="false">IF(A2988="","",COUNTIFS(Apparitions!$G$2:$G$5001,A2988,Apparitions!$E$2:$E$5001,"○"))</f>
        <v/>
      </c>
      <c r="K2988" s="29" t="str">
        <f aca="false">IF(A2988="","",IFERROR(1/(1/_xlfn.MINIFS(Apparitions!$L$2:$L$5001,Apparitions!$G$2:$G$5001,A2988)),""))</f>
        <v/>
      </c>
      <c r="L2988" s="27" t="str">
        <f aca="false">IF(A2988="","",A2988&amp;" | "&amp;B2988&amp;IF(C2988="",""," ("&amp;C2988&amp;")")&amp;IF(D2988="",""," - "&amp;D2988))</f>
        <v/>
      </c>
    </row>
    <row r="2989" customFormat="false" ht="15" hidden="false" customHeight="false" outlineLevel="0" collapsed="false">
      <c r="A2989" s="32"/>
      <c r="B2989" s="19"/>
      <c r="C2989" s="19"/>
      <c r="D2989" s="19"/>
      <c r="E2989" s="21"/>
      <c r="F2989" s="19"/>
      <c r="G2989" s="27" t="str">
        <f aca="false">IF(B2989="","",IFERROR(INDEX(Jeux!$C$2:$C$3001,MATCH(B2989,Jeux!$A$2:$A$3001,0))&amp;"","⚠ jeu inconnu"))</f>
        <v/>
      </c>
      <c r="H2989" s="27" t="str">
        <f aca="false">IF(B2989="","",IFERROR(INDEX(Jeux!$D$2:$D$3001,MATCH(B2989,Jeux!$A$2:$A$3001,0))&amp;"",""))</f>
        <v/>
      </c>
      <c r="I2989" s="26" t="str">
        <f aca="false">IF(A2989="","",COUNTIF(Apparitions!$G$2:$G$5001,A2989))</f>
        <v/>
      </c>
      <c r="J2989" s="26" t="str">
        <f aca="false">IF(A2989="","",COUNTIFS(Apparitions!$G$2:$G$5001,A2989,Apparitions!$E$2:$E$5001,"○"))</f>
        <v/>
      </c>
      <c r="K2989" s="29" t="str">
        <f aca="false">IF(A2989="","",IFERROR(1/(1/_xlfn.MINIFS(Apparitions!$L$2:$L$5001,Apparitions!$G$2:$G$5001,A2989)),""))</f>
        <v/>
      </c>
      <c r="L2989" s="27" t="str">
        <f aca="false">IF(A2989="","",A2989&amp;" | "&amp;B2989&amp;IF(C2989="",""," ("&amp;C2989&amp;")")&amp;IF(D2989="",""," - "&amp;D2989))</f>
        <v/>
      </c>
    </row>
    <row r="2990" customFormat="false" ht="15" hidden="false" customHeight="false" outlineLevel="0" collapsed="false">
      <c r="A2990" s="32"/>
      <c r="B2990" s="19"/>
      <c r="C2990" s="19"/>
      <c r="D2990" s="19"/>
      <c r="E2990" s="21"/>
      <c r="F2990" s="19"/>
      <c r="G2990" s="27" t="str">
        <f aca="false">IF(B2990="","",IFERROR(INDEX(Jeux!$C$2:$C$3001,MATCH(B2990,Jeux!$A$2:$A$3001,0))&amp;"","⚠ jeu inconnu"))</f>
        <v/>
      </c>
      <c r="H2990" s="27" t="str">
        <f aca="false">IF(B2990="","",IFERROR(INDEX(Jeux!$D$2:$D$3001,MATCH(B2990,Jeux!$A$2:$A$3001,0))&amp;"",""))</f>
        <v/>
      </c>
      <c r="I2990" s="26" t="str">
        <f aca="false">IF(A2990="","",COUNTIF(Apparitions!$G$2:$G$5001,A2990))</f>
        <v/>
      </c>
      <c r="J2990" s="26" t="str">
        <f aca="false">IF(A2990="","",COUNTIFS(Apparitions!$G$2:$G$5001,A2990,Apparitions!$E$2:$E$5001,"○"))</f>
        <v/>
      </c>
      <c r="K2990" s="29" t="str">
        <f aca="false">IF(A2990="","",IFERROR(1/(1/_xlfn.MINIFS(Apparitions!$L$2:$L$5001,Apparitions!$G$2:$G$5001,A2990)),""))</f>
        <v/>
      </c>
      <c r="L2990" s="27" t="str">
        <f aca="false">IF(A2990="","",A2990&amp;" | "&amp;B2990&amp;IF(C2990="",""," ("&amp;C2990&amp;")")&amp;IF(D2990="",""," - "&amp;D2990))</f>
        <v/>
      </c>
    </row>
    <row r="2991" customFormat="false" ht="15" hidden="false" customHeight="false" outlineLevel="0" collapsed="false">
      <c r="A2991" s="32"/>
      <c r="B2991" s="19"/>
      <c r="C2991" s="19"/>
      <c r="D2991" s="19"/>
      <c r="E2991" s="21"/>
      <c r="F2991" s="19"/>
      <c r="G2991" s="27" t="str">
        <f aca="false">IF(B2991="","",IFERROR(INDEX(Jeux!$C$2:$C$3001,MATCH(B2991,Jeux!$A$2:$A$3001,0))&amp;"","⚠ jeu inconnu"))</f>
        <v/>
      </c>
      <c r="H2991" s="27" t="str">
        <f aca="false">IF(B2991="","",IFERROR(INDEX(Jeux!$D$2:$D$3001,MATCH(B2991,Jeux!$A$2:$A$3001,0))&amp;"",""))</f>
        <v/>
      </c>
      <c r="I2991" s="26" t="str">
        <f aca="false">IF(A2991="","",COUNTIF(Apparitions!$G$2:$G$5001,A2991))</f>
        <v/>
      </c>
      <c r="J2991" s="26" t="str">
        <f aca="false">IF(A2991="","",COUNTIFS(Apparitions!$G$2:$G$5001,A2991,Apparitions!$E$2:$E$5001,"○"))</f>
        <v/>
      </c>
      <c r="K2991" s="29" t="str">
        <f aca="false">IF(A2991="","",IFERROR(1/(1/_xlfn.MINIFS(Apparitions!$L$2:$L$5001,Apparitions!$G$2:$G$5001,A2991)),""))</f>
        <v/>
      </c>
      <c r="L2991" s="27" t="str">
        <f aca="false">IF(A2991="","",A2991&amp;" | "&amp;B2991&amp;IF(C2991="",""," ("&amp;C2991&amp;")")&amp;IF(D2991="",""," - "&amp;D2991))</f>
        <v/>
      </c>
    </row>
    <row r="2992" customFormat="false" ht="15" hidden="false" customHeight="false" outlineLevel="0" collapsed="false">
      <c r="A2992" s="32"/>
      <c r="B2992" s="19"/>
      <c r="C2992" s="19"/>
      <c r="D2992" s="19"/>
      <c r="E2992" s="21"/>
      <c r="F2992" s="19"/>
      <c r="G2992" s="27" t="str">
        <f aca="false">IF(B2992="","",IFERROR(INDEX(Jeux!$C$2:$C$3001,MATCH(B2992,Jeux!$A$2:$A$3001,0))&amp;"","⚠ jeu inconnu"))</f>
        <v/>
      </c>
      <c r="H2992" s="27" t="str">
        <f aca="false">IF(B2992="","",IFERROR(INDEX(Jeux!$D$2:$D$3001,MATCH(B2992,Jeux!$A$2:$A$3001,0))&amp;"",""))</f>
        <v/>
      </c>
      <c r="I2992" s="26" t="str">
        <f aca="false">IF(A2992="","",COUNTIF(Apparitions!$G$2:$G$5001,A2992))</f>
        <v/>
      </c>
      <c r="J2992" s="26" t="str">
        <f aca="false">IF(A2992="","",COUNTIFS(Apparitions!$G$2:$G$5001,A2992,Apparitions!$E$2:$E$5001,"○"))</f>
        <v/>
      </c>
      <c r="K2992" s="29" t="str">
        <f aca="false">IF(A2992="","",IFERROR(1/(1/_xlfn.MINIFS(Apparitions!$L$2:$L$5001,Apparitions!$G$2:$G$5001,A2992)),""))</f>
        <v/>
      </c>
      <c r="L2992" s="27" t="str">
        <f aca="false">IF(A2992="","",A2992&amp;" | "&amp;B2992&amp;IF(C2992="",""," ("&amp;C2992&amp;")")&amp;IF(D2992="",""," - "&amp;D2992))</f>
        <v/>
      </c>
    </row>
    <row r="2993" customFormat="false" ht="15" hidden="false" customHeight="false" outlineLevel="0" collapsed="false">
      <c r="A2993" s="32"/>
      <c r="B2993" s="19"/>
      <c r="C2993" s="19"/>
      <c r="D2993" s="19"/>
      <c r="E2993" s="21"/>
      <c r="F2993" s="19"/>
      <c r="G2993" s="27" t="str">
        <f aca="false">IF(B2993="","",IFERROR(INDEX(Jeux!$C$2:$C$3001,MATCH(B2993,Jeux!$A$2:$A$3001,0))&amp;"","⚠ jeu inconnu"))</f>
        <v/>
      </c>
      <c r="H2993" s="27" t="str">
        <f aca="false">IF(B2993="","",IFERROR(INDEX(Jeux!$D$2:$D$3001,MATCH(B2993,Jeux!$A$2:$A$3001,0))&amp;"",""))</f>
        <v/>
      </c>
      <c r="I2993" s="26" t="str">
        <f aca="false">IF(A2993="","",COUNTIF(Apparitions!$G$2:$G$5001,A2993))</f>
        <v/>
      </c>
      <c r="J2993" s="26" t="str">
        <f aca="false">IF(A2993="","",COUNTIFS(Apparitions!$G$2:$G$5001,A2993,Apparitions!$E$2:$E$5001,"○"))</f>
        <v/>
      </c>
      <c r="K2993" s="29" t="str">
        <f aca="false">IF(A2993="","",IFERROR(1/(1/_xlfn.MINIFS(Apparitions!$L$2:$L$5001,Apparitions!$G$2:$G$5001,A2993)),""))</f>
        <v/>
      </c>
      <c r="L2993" s="27" t="str">
        <f aca="false">IF(A2993="","",A2993&amp;" | "&amp;B2993&amp;IF(C2993="",""," ("&amp;C2993&amp;")")&amp;IF(D2993="",""," - "&amp;D2993))</f>
        <v/>
      </c>
    </row>
    <row r="2994" customFormat="false" ht="15" hidden="false" customHeight="false" outlineLevel="0" collapsed="false">
      <c r="A2994" s="32"/>
      <c r="B2994" s="19"/>
      <c r="C2994" s="19"/>
      <c r="D2994" s="19"/>
      <c r="E2994" s="21"/>
      <c r="F2994" s="19"/>
      <c r="G2994" s="27" t="str">
        <f aca="false">IF(B2994="","",IFERROR(INDEX(Jeux!$C$2:$C$3001,MATCH(B2994,Jeux!$A$2:$A$3001,0))&amp;"","⚠ jeu inconnu"))</f>
        <v/>
      </c>
      <c r="H2994" s="27" t="str">
        <f aca="false">IF(B2994="","",IFERROR(INDEX(Jeux!$D$2:$D$3001,MATCH(B2994,Jeux!$A$2:$A$3001,0))&amp;"",""))</f>
        <v/>
      </c>
      <c r="I2994" s="26" t="str">
        <f aca="false">IF(A2994="","",COUNTIF(Apparitions!$G$2:$G$5001,A2994))</f>
        <v/>
      </c>
      <c r="J2994" s="26" t="str">
        <f aca="false">IF(A2994="","",COUNTIFS(Apparitions!$G$2:$G$5001,A2994,Apparitions!$E$2:$E$5001,"○"))</f>
        <v/>
      </c>
      <c r="K2994" s="29" t="str">
        <f aca="false">IF(A2994="","",IFERROR(1/(1/_xlfn.MINIFS(Apparitions!$L$2:$L$5001,Apparitions!$G$2:$G$5001,A2994)),""))</f>
        <v/>
      </c>
      <c r="L2994" s="27" t="str">
        <f aca="false">IF(A2994="","",A2994&amp;" | "&amp;B2994&amp;IF(C2994="",""," ("&amp;C2994&amp;")")&amp;IF(D2994="",""," - "&amp;D2994))</f>
        <v/>
      </c>
    </row>
    <row r="2995" customFormat="false" ht="15" hidden="false" customHeight="false" outlineLevel="0" collapsed="false">
      <c r="A2995" s="32"/>
      <c r="B2995" s="19"/>
      <c r="C2995" s="19"/>
      <c r="D2995" s="19"/>
      <c r="E2995" s="21"/>
      <c r="F2995" s="19"/>
      <c r="G2995" s="27" t="str">
        <f aca="false">IF(B2995="","",IFERROR(INDEX(Jeux!$C$2:$C$3001,MATCH(B2995,Jeux!$A$2:$A$3001,0))&amp;"","⚠ jeu inconnu"))</f>
        <v/>
      </c>
      <c r="H2995" s="27" t="str">
        <f aca="false">IF(B2995="","",IFERROR(INDEX(Jeux!$D$2:$D$3001,MATCH(B2995,Jeux!$A$2:$A$3001,0))&amp;"",""))</f>
        <v/>
      </c>
      <c r="I2995" s="26" t="str">
        <f aca="false">IF(A2995="","",COUNTIF(Apparitions!$G$2:$G$5001,A2995))</f>
        <v/>
      </c>
      <c r="J2995" s="26" t="str">
        <f aca="false">IF(A2995="","",COUNTIFS(Apparitions!$G$2:$G$5001,A2995,Apparitions!$E$2:$E$5001,"○"))</f>
        <v/>
      </c>
      <c r="K2995" s="29" t="str">
        <f aca="false">IF(A2995="","",IFERROR(1/(1/_xlfn.MINIFS(Apparitions!$L$2:$L$5001,Apparitions!$G$2:$G$5001,A2995)),""))</f>
        <v/>
      </c>
      <c r="L2995" s="27" t="str">
        <f aca="false">IF(A2995="","",A2995&amp;" | "&amp;B2995&amp;IF(C2995="",""," ("&amp;C2995&amp;")")&amp;IF(D2995="",""," - "&amp;D2995))</f>
        <v/>
      </c>
    </row>
    <row r="2996" customFormat="false" ht="15" hidden="false" customHeight="false" outlineLevel="0" collapsed="false">
      <c r="A2996" s="32"/>
      <c r="B2996" s="19"/>
      <c r="C2996" s="19"/>
      <c r="D2996" s="19"/>
      <c r="E2996" s="21"/>
      <c r="F2996" s="19"/>
      <c r="G2996" s="27" t="str">
        <f aca="false">IF(B2996="","",IFERROR(INDEX(Jeux!$C$2:$C$3001,MATCH(B2996,Jeux!$A$2:$A$3001,0))&amp;"","⚠ jeu inconnu"))</f>
        <v/>
      </c>
      <c r="H2996" s="27" t="str">
        <f aca="false">IF(B2996="","",IFERROR(INDEX(Jeux!$D$2:$D$3001,MATCH(B2996,Jeux!$A$2:$A$3001,0))&amp;"",""))</f>
        <v/>
      </c>
      <c r="I2996" s="26" t="str">
        <f aca="false">IF(A2996="","",COUNTIF(Apparitions!$G$2:$G$5001,A2996))</f>
        <v/>
      </c>
      <c r="J2996" s="26" t="str">
        <f aca="false">IF(A2996="","",COUNTIFS(Apparitions!$G$2:$G$5001,A2996,Apparitions!$E$2:$E$5001,"○"))</f>
        <v/>
      </c>
      <c r="K2996" s="29" t="str">
        <f aca="false">IF(A2996="","",IFERROR(1/(1/_xlfn.MINIFS(Apparitions!$L$2:$L$5001,Apparitions!$G$2:$G$5001,A2996)),""))</f>
        <v/>
      </c>
      <c r="L2996" s="27" t="str">
        <f aca="false">IF(A2996="","",A2996&amp;" | "&amp;B2996&amp;IF(C2996="",""," ("&amp;C2996&amp;")")&amp;IF(D2996="",""," - "&amp;D2996))</f>
        <v/>
      </c>
    </row>
    <row r="2997" customFormat="false" ht="15" hidden="false" customHeight="false" outlineLevel="0" collapsed="false">
      <c r="A2997" s="32"/>
      <c r="B2997" s="19"/>
      <c r="C2997" s="19"/>
      <c r="D2997" s="19"/>
      <c r="E2997" s="21"/>
      <c r="F2997" s="19"/>
      <c r="G2997" s="27" t="str">
        <f aca="false">IF(B2997="","",IFERROR(INDEX(Jeux!$C$2:$C$3001,MATCH(B2997,Jeux!$A$2:$A$3001,0))&amp;"","⚠ jeu inconnu"))</f>
        <v/>
      </c>
      <c r="H2997" s="27" t="str">
        <f aca="false">IF(B2997="","",IFERROR(INDEX(Jeux!$D$2:$D$3001,MATCH(B2997,Jeux!$A$2:$A$3001,0))&amp;"",""))</f>
        <v/>
      </c>
      <c r="I2997" s="26" t="str">
        <f aca="false">IF(A2997="","",COUNTIF(Apparitions!$G$2:$G$5001,A2997))</f>
        <v/>
      </c>
      <c r="J2997" s="26" t="str">
        <f aca="false">IF(A2997="","",COUNTIFS(Apparitions!$G$2:$G$5001,A2997,Apparitions!$E$2:$E$5001,"○"))</f>
        <v/>
      </c>
      <c r="K2997" s="29" t="str">
        <f aca="false">IF(A2997="","",IFERROR(1/(1/_xlfn.MINIFS(Apparitions!$L$2:$L$5001,Apparitions!$G$2:$G$5001,A2997)),""))</f>
        <v/>
      </c>
      <c r="L2997" s="27" t="str">
        <f aca="false">IF(A2997="","",A2997&amp;" | "&amp;B2997&amp;IF(C2997="",""," ("&amp;C2997&amp;")")&amp;IF(D2997="",""," - "&amp;D2997))</f>
        <v/>
      </c>
    </row>
    <row r="2998" customFormat="false" ht="15" hidden="false" customHeight="false" outlineLevel="0" collapsed="false">
      <c r="A2998" s="32"/>
      <c r="B2998" s="19"/>
      <c r="C2998" s="19"/>
      <c r="D2998" s="19"/>
      <c r="E2998" s="21"/>
      <c r="F2998" s="19"/>
      <c r="G2998" s="27" t="str">
        <f aca="false">IF(B2998="","",IFERROR(INDEX(Jeux!$C$2:$C$3001,MATCH(B2998,Jeux!$A$2:$A$3001,0))&amp;"","⚠ jeu inconnu"))</f>
        <v/>
      </c>
      <c r="H2998" s="27" t="str">
        <f aca="false">IF(B2998="","",IFERROR(INDEX(Jeux!$D$2:$D$3001,MATCH(B2998,Jeux!$A$2:$A$3001,0))&amp;"",""))</f>
        <v/>
      </c>
      <c r="I2998" s="26" t="str">
        <f aca="false">IF(A2998="","",COUNTIF(Apparitions!$G$2:$G$5001,A2998))</f>
        <v/>
      </c>
      <c r="J2998" s="26" t="str">
        <f aca="false">IF(A2998="","",COUNTIFS(Apparitions!$G$2:$G$5001,A2998,Apparitions!$E$2:$E$5001,"○"))</f>
        <v/>
      </c>
      <c r="K2998" s="29" t="str">
        <f aca="false">IF(A2998="","",IFERROR(1/(1/_xlfn.MINIFS(Apparitions!$L$2:$L$5001,Apparitions!$G$2:$G$5001,A2998)),""))</f>
        <v/>
      </c>
      <c r="L2998" s="27" t="str">
        <f aca="false">IF(A2998="","",A2998&amp;" | "&amp;B2998&amp;IF(C2998="",""," ("&amp;C2998&amp;")")&amp;IF(D2998="",""," - "&amp;D2998))</f>
        <v/>
      </c>
    </row>
    <row r="2999" customFormat="false" ht="15" hidden="false" customHeight="false" outlineLevel="0" collapsed="false">
      <c r="A2999" s="32"/>
      <c r="B2999" s="19"/>
      <c r="C2999" s="19"/>
      <c r="D2999" s="19"/>
      <c r="E2999" s="21"/>
      <c r="F2999" s="19"/>
      <c r="G2999" s="27" t="str">
        <f aca="false">IF(B2999="","",IFERROR(INDEX(Jeux!$C$2:$C$3001,MATCH(B2999,Jeux!$A$2:$A$3001,0))&amp;"","⚠ jeu inconnu"))</f>
        <v/>
      </c>
      <c r="H2999" s="27" t="str">
        <f aca="false">IF(B2999="","",IFERROR(INDEX(Jeux!$D$2:$D$3001,MATCH(B2999,Jeux!$A$2:$A$3001,0))&amp;"",""))</f>
        <v/>
      </c>
      <c r="I2999" s="26" t="str">
        <f aca="false">IF(A2999="","",COUNTIF(Apparitions!$G$2:$G$5001,A2999))</f>
        <v/>
      </c>
      <c r="J2999" s="26" t="str">
        <f aca="false">IF(A2999="","",COUNTIFS(Apparitions!$G$2:$G$5001,A2999,Apparitions!$E$2:$E$5001,"○"))</f>
        <v/>
      </c>
      <c r="K2999" s="29" t="str">
        <f aca="false">IF(A2999="","",IFERROR(1/(1/_xlfn.MINIFS(Apparitions!$L$2:$L$5001,Apparitions!$G$2:$G$5001,A2999)),""))</f>
        <v/>
      </c>
      <c r="L2999" s="27" t="str">
        <f aca="false">IF(A2999="","",A2999&amp;" | "&amp;B2999&amp;IF(C2999="",""," ("&amp;C2999&amp;")")&amp;IF(D2999="",""," - "&amp;D2999))</f>
        <v/>
      </c>
    </row>
    <row r="3000" customFormat="false" ht="15" hidden="false" customHeight="false" outlineLevel="0" collapsed="false">
      <c r="A3000" s="32"/>
      <c r="B3000" s="19"/>
      <c r="C3000" s="19"/>
      <c r="D3000" s="19"/>
      <c r="E3000" s="21"/>
      <c r="F3000" s="19"/>
      <c r="G3000" s="27" t="str">
        <f aca="false">IF(B3000="","",IFERROR(INDEX(Jeux!$C$2:$C$3001,MATCH(B3000,Jeux!$A$2:$A$3001,0))&amp;"","⚠ jeu inconnu"))</f>
        <v/>
      </c>
      <c r="H3000" s="27" t="str">
        <f aca="false">IF(B3000="","",IFERROR(INDEX(Jeux!$D$2:$D$3001,MATCH(B3000,Jeux!$A$2:$A$3001,0))&amp;"",""))</f>
        <v/>
      </c>
      <c r="I3000" s="26" t="str">
        <f aca="false">IF(A3000="","",COUNTIF(Apparitions!$G$2:$G$5001,A3000))</f>
        <v/>
      </c>
      <c r="J3000" s="26" t="str">
        <f aca="false">IF(A3000="","",COUNTIFS(Apparitions!$G$2:$G$5001,A3000,Apparitions!$E$2:$E$5001,"○"))</f>
        <v/>
      </c>
      <c r="K3000" s="29" t="str">
        <f aca="false">IF(A3000="","",IFERROR(1/(1/_xlfn.MINIFS(Apparitions!$L$2:$L$5001,Apparitions!$G$2:$G$5001,A3000)),""))</f>
        <v/>
      </c>
      <c r="L3000" s="27" t="str">
        <f aca="false">IF(A3000="","",A3000&amp;" | "&amp;B3000&amp;IF(C3000="",""," ("&amp;C3000&amp;")")&amp;IF(D3000="",""," - "&amp;D3000))</f>
        <v/>
      </c>
    </row>
    <row r="3001" customFormat="false" ht="15" hidden="false" customHeight="false" outlineLevel="0" collapsed="false">
      <c r="A3001" s="32"/>
      <c r="B3001" s="19"/>
      <c r="C3001" s="19"/>
      <c r="D3001" s="19"/>
      <c r="E3001" s="21"/>
      <c r="F3001" s="19"/>
      <c r="G3001" s="27" t="str">
        <f aca="false">IF(B3001="","",IFERROR(INDEX(Jeux!$C$2:$C$3001,MATCH(B3001,Jeux!$A$2:$A$3001,0))&amp;"","⚠ jeu inconnu"))</f>
        <v/>
      </c>
      <c r="H3001" s="27" t="str">
        <f aca="false">IF(B3001="","",IFERROR(INDEX(Jeux!$D$2:$D$3001,MATCH(B3001,Jeux!$A$2:$A$3001,0))&amp;"",""))</f>
        <v/>
      </c>
      <c r="I3001" s="26" t="str">
        <f aca="false">IF(A3001="","",COUNTIF(Apparitions!$G$2:$G$5001,A3001))</f>
        <v/>
      </c>
      <c r="J3001" s="26" t="str">
        <f aca="false">IF(A3001="","",COUNTIFS(Apparitions!$G$2:$G$5001,A3001,Apparitions!$E$2:$E$5001,"○"))</f>
        <v/>
      </c>
      <c r="K3001" s="29" t="str">
        <f aca="false">IF(A3001="","",IFERROR(1/(1/_xlfn.MINIFS(Apparitions!$L$2:$L$5001,Apparitions!$G$2:$G$5001,A3001)),""))</f>
        <v/>
      </c>
      <c r="L3001" s="27" t="str">
        <f aca="false">IF(A3001="","",A3001&amp;" | "&amp;B3001&amp;IF(C3001="",""," ("&amp;C3001&amp;")")&amp;IF(D3001="",""," - "&amp;D3001))</f>
        <v/>
      </c>
    </row>
  </sheetData>
  <autoFilter ref="A1:L3001"/>
  <conditionalFormatting sqref="A2:A3001">
    <cfRule type="expression" priority="2" aboveAverage="0" equalAverage="0" bottom="0" percent="0" rank="0" text="" dxfId="1">
      <formula>AND(A2&lt;&gt;"",COUNTIF($A$2:$A$3001,A2)&gt;1)</formula>
    </cfRule>
  </conditionalFormatting>
  <conditionalFormatting sqref="G2:G3001">
    <cfRule type="expression" priority="3" aboveAverage="0" equalAverage="0" bottom="0" percent="0" rank="0" text="" dxfId="9">
      <formula>LEFT(G2,1)="⚠"</formula>
    </cfRule>
  </conditionalFormatting>
  <dataValidations count="2"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B2:B3001" type="list">
      <formula1>L_Jeux</formula1>
      <formula2>0</formula2>
    </dataValidation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C2:C3001" type="list">
      <formula1>L_Plateformes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24" t="s">
        <v>125</v>
      </c>
      <c r="B1" s="24" t="s">
        <v>126</v>
      </c>
      <c r="C1" s="24" t="s">
        <v>71</v>
      </c>
      <c r="D1" s="24" t="s">
        <v>108</v>
      </c>
      <c r="E1" s="24" t="s">
        <v>127</v>
      </c>
      <c r="F1" s="24" t="s">
        <v>89</v>
      </c>
      <c r="G1" s="25" t="s">
        <v>128</v>
      </c>
      <c r="H1" s="25" t="s">
        <v>109</v>
      </c>
      <c r="I1" s="25" t="s">
        <v>110</v>
      </c>
      <c r="J1" s="25" t="s">
        <v>111</v>
      </c>
    </row>
    <row r="2" customFormat="false" ht="15" hidden="false" customHeight="false" outlineLevel="0" collapsed="false">
      <c r="A2" s="19" t="s">
        <v>114</v>
      </c>
      <c r="B2" s="33" t="s">
        <v>129</v>
      </c>
      <c r="C2" s="19" t="s">
        <v>130</v>
      </c>
      <c r="D2" s="19" t="s">
        <v>131</v>
      </c>
      <c r="E2" s="32" t="n">
        <v>1997</v>
      </c>
      <c r="F2" s="19" t="s">
        <v>98</v>
      </c>
      <c r="G2" s="26" t="n">
        <f aca="false">IF(A2="","",COUNTIF(Pubs!$B$2:$B$3001,A2))</f>
        <v>2</v>
      </c>
      <c r="H2" s="26" t="n">
        <f aca="false">IF(A2="","",COUNTIF(Apparitions!$H$2:$H$5001,A2))</f>
        <v>4</v>
      </c>
      <c r="I2" s="26" t="n">
        <f aca="false">IF(A2="","",COUNTIFS(Apparitions!$H$2:$H$5001,A2,Apparitions!$E$2:$E$5001,"○"))</f>
        <v>3</v>
      </c>
      <c r="J2" s="29" t="n">
        <f aca="false">IF(A2="","",IFERROR(1/(1/_xlfn.MINIFS(Apparitions!$L$2:$L$5001,Apparitions!$H$2:$H$5001,A2)),""))</f>
        <v>35433</v>
      </c>
    </row>
    <row r="3" customFormat="false" ht="15" hidden="false" customHeight="false" outlineLevel="0" collapsed="false">
      <c r="A3" s="19" t="s">
        <v>118</v>
      </c>
      <c r="B3" s="33" t="s">
        <v>132</v>
      </c>
      <c r="C3" s="19" t="s">
        <v>133</v>
      </c>
      <c r="D3" s="19" t="s">
        <v>134</v>
      </c>
      <c r="E3" s="32" t="n">
        <v>1998</v>
      </c>
      <c r="F3" s="19" t="s">
        <v>98</v>
      </c>
      <c r="G3" s="26" t="n">
        <f aca="false">IF(A3="","",COUNTIF(Pubs!$B$2:$B$3001,A3))</f>
        <v>1</v>
      </c>
      <c r="H3" s="26" t="n">
        <f aca="false">IF(A3="","",COUNTIF(Apparitions!$H$2:$H$5001,A3))</f>
        <v>1</v>
      </c>
      <c r="I3" s="26" t="n">
        <f aca="false">IF(A3="","",COUNTIFS(Apparitions!$H$2:$H$5001,A3,Apparitions!$E$2:$E$5001,"○"))</f>
        <v>0</v>
      </c>
      <c r="J3" s="29" t="n">
        <f aca="false">IF(A3="","",IFERROR(1/(1/_xlfn.MINIFS(Apparitions!$L$2:$L$5001,Apparitions!$H$2:$H$5001,A3)),""))</f>
        <v>35440</v>
      </c>
    </row>
    <row r="4" customFormat="false" ht="15" hidden="false" customHeight="false" outlineLevel="0" collapsed="false">
      <c r="A4" s="19" t="s">
        <v>120</v>
      </c>
      <c r="B4" s="33" t="s">
        <v>135</v>
      </c>
      <c r="C4" s="19" t="s">
        <v>120</v>
      </c>
      <c r="D4" s="19" t="s">
        <v>136</v>
      </c>
      <c r="E4" s="32" t="n">
        <v>1996</v>
      </c>
      <c r="F4" s="19" t="s">
        <v>98</v>
      </c>
      <c r="G4" s="26" t="n">
        <f aca="false">IF(A4="","",COUNTIF(Pubs!$B$2:$B$3001,A4))</f>
        <v>1</v>
      </c>
      <c r="H4" s="26" t="n">
        <f aca="false">IF(A4="","",COUNTIF(Apparitions!$H$2:$H$5001,A4))</f>
        <v>2</v>
      </c>
      <c r="I4" s="26" t="n">
        <f aca="false">IF(A4="","",COUNTIFS(Apparitions!$H$2:$H$5001,A4,Apparitions!$E$2:$E$5001,"○"))</f>
        <v>1</v>
      </c>
      <c r="J4" s="29" t="n">
        <f aca="false">IF(A4="","",IFERROR(1/(1/_xlfn.MINIFS(Apparitions!$L$2:$L$5001,Apparitions!$H$2:$H$5001,A4)),""))</f>
        <v>35309</v>
      </c>
    </row>
    <row r="5" customFormat="false" ht="15" hidden="false" customHeight="false" outlineLevel="0" collapsed="false">
      <c r="A5" s="19" t="s">
        <v>123</v>
      </c>
      <c r="B5" s="33" t="s">
        <v>137</v>
      </c>
      <c r="C5" s="19" t="s">
        <v>138</v>
      </c>
      <c r="D5" s="19" t="s">
        <v>139</v>
      </c>
      <c r="E5" s="32" t="n">
        <v>2000</v>
      </c>
      <c r="F5" s="19" t="s">
        <v>98</v>
      </c>
      <c r="G5" s="26" t="n">
        <f aca="false">IF(A5="","",COUNTIF(Pubs!$B$2:$B$3001,A5))</f>
        <v>1</v>
      </c>
      <c r="H5" s="26" t="n">
        <f aca="false">IF(A5="","",COUNTIF(Apparitions!$H$2:$H$5001,A5))</f>
        <v>1</v>
      </c>
      <c r="I5" s="26" t="n">
        <f aca="false">IF(A5="","",COUNTIFS(Apparitions!$H$2:$H$5001,A5,Apparitions!$E$2:$E$5001,"○"))</f>
        <v>0</v>
      </c>
      <c r="J5" s="29" t="str">
        <f aca="false">IF(A5="","",IFERROR(1/(1/_xlfn.MINIFS(Apparitions!$L$2:$L$5001,Apparitions!$H$2:$H$5001,A5)),""))</f>
        <v/>
      </c>
    </row>
    <row r="6" customFormat="false" ht="15" hidden="false" customHeight="false" outlineLevel="0" collapsed="false">
      <c r="A6" s="19"/>
      <c r="B6" s="19"/>
      <c r="C6" s="19"/>
      <c r="D6" s="19"/>
      <c r="E6" s="32"/>
      <c r="F6" s="19"/>
      <c r="G6" s="26" t="str">
        <f aca="false">IF(A6="","",COUNTIF(Pubs!$B$2:$B$3001,A6))</f>
        <v/>
      </c>
      <c r="H6" s="26" t="str">
        <f aca="false">IF(A6="","",COUNTIF(Apparitions!$H$2:$H$5001,A6))</f>
        <v/>
      </c>
      <c r="I6" s="26" t="str">
        <f aca="false">IF(A6="","",COUNTIFS(Apparitions!$H$2:$H$5001,A6,Apparitions!$E$2:$E$5001,"○"))</f>
        <v/>
      </c>
      <c r="J6" s="29" t="str">
        <f aca="false">IF(A6="","",IFERROR(1/(1/_xlfn.MINIFS(Apparitions!$L$2:$L$5001,Apparitions!$H$2:$H$5001,A6)),""))</f>
        <v/>
      </c>
    </row>
    <row r="7" customFormat="false" ht="15" hidden="false" customHeight="false" outlineLevel="0" collapsed="false">
      <c r="A7" s="19"/>
      <c r="B7" s="19"/>
      <c r="C7" s="19"/>
      <c r="D7" s="19"/>
      <c r="E7" s="32"/>
      <c r="F7" s="19"/>
      <c r="G7" s="26" t="str">
        <f aca="false">IF(A7="","",COUNTIF(Pubs!$B$2:$B$3001,A7))</f>
        <v/>
      </c>
      <c r="H7" s="26" t="str">
        <f aca="false">IF(A7="","",COUNTIF(Apparitions!$H$2:$H$5001,A7))</f>
        <v/>
      </c>
      <c r="I7" s="26" t="str">
        <f aca="false">IF(A7="","",COUNTIFS(Apparitions!$H$2:$H$5001,A7,Apparitions!$E$2:$E$5001,"○"))</f>
        <v/>
      </c>
      <c r="J7" s="29" t="str">
        <f aca="false">IF(A7="","",IFERROR(1/(1/_xlfn.MINIFS(Apparitions!$L$2:$L$5001,Apparitions!$H$2:$H$5001,A7)),""))</f>
        <v/>
      </c>
    </row>
    <row r="8" customFormat="false" ht="15" hidden="false" customHeight="false" outlineLevel="0" collapsed="false">
      <c r="A8" s="19"/>
      <c r="B8" s="19"/>
      <c r="C8" s="19"/>
      <c r="D8" s="19"/>
      <c r="E8" s="32"/>
      <c r="F8" s="19"/>
      <c r="G8" s="26" t="str">
        <f aca="false">IF(A8="","",COUNTIF(Pubs!$B$2:$B$3001,A8))</f>
        <v/>
      </c>
      <c r="H8" s="26" t="str">
        <f aca="false">IF(A8="","",COUNTIF(Apparitions!$H$2:$H$5001,A8))</f>
        <v/>
      </c>
      <c r="I8" s="26" t="str">
        <f aca="false">IF(A8="","",COUNTIFS(Apparitions!$H$2:$H$5001,A8,Apparitions!$E$2:$E$5001,"○"))</f>
        <v/>
      </c>
      <c r="J8" s="29" t="str">
        <f aca="false">IF(A8="","",IFERROR(1/(1/_xlfn.MINIFS(Apparitions!$L$2:$L$5001,Apparitions!$H$2:$H$5001,A8)),""))</f>
        <v/>
      </c>
    </row>
    <row r="9" customFormat="false" ht="15" hidden="false" customHeight="false" outlineLevel="0" collapsed="false">
      <c r="A9" s="19"/>
      <c r="B9" s="19"/>
      <c r="C9" s="19"/>
      <c r="D9" s="19"/>
      <c r="E9" s="32"/>
      <c r="F9" s="19"/>
      <c r="G9" s="26" t="str">
        <f aca="false">IF(A9="","",COUNTIF(Pubs!$B$2:$B$3001,A9))</f>
        <v/>
      </c>
      <c r="H9" s="26" t="str">
        <f aca="false">IF(A9="","",COUNTIF(Apparitions!$H$2:$H$5001,A9))</f>
        <v/>
      </c>
      <c r="I9" s="26" t="str">
        <f aca="false">IF(A9="","",COUNTIFS(Apparitions!$H$2:$H$5001,A9,Apparitions!$E$2:$E$5001,"○"))</f>
        <v/>
      </c>
      <c r="J9" s="29" t="str">
        <f aca="false">IF(A9="","",IFERROR(1/(1/_xlfn.MINIFS(Apparitions!$L$2:$L$5001,Apparitions!$H$2:$H$5001,A9)),""))</f>
        <v/>
      </c>
    </row>
    <row r="10" customFormat="false" ht="15" hidden="false" customHeight="false" outlineLevel="0" collapsed="false">
      <c r="A10" s="19"/>
      <c r="B10" s="19"/>
      <c r="C10" s="19"/>
      <c r="D10" s="19"/>
      <c r="E10" s="32"/>
      <c r="F10" s="19"/>
      <c r="G10" s="26" t="str">
        <f aca="false">IF(A10="","",COUNTIF(Pubs!$B$2:$B$3001,A10))</f>
        <v/>
      </c>
      <c r="H10" s="26" t="str">
        <f aca="false">IF(A10="","",COUNTIF(Apparitions!$H$2:$H$5001,A10))</f>
        <v/>
      </c>
      <c r="I10" s="26" t="str">
        <f aca="false">IF(A10="","",COUNTIFS(Apparitions!$H$2:$H$5001,A10,Apparitions!$E$2:$E$5001,"○"))</f>
        <v/>
      </c>
      <c r="J10" s="29" t="str">
        <f aca="false">IF(A10="","",IFERROR(1/(1/_xlfn.MINIFS(Apparitions!$L$2:$L$5001,Apparitions!$H$2:$H$5001,A10)),""))</f>
        <v/>
      </c>
    </row>
    <row r="11" customFormat="false" ht="15" hidden="false" customHeight="false" outlineLevel="0" collapsed="false">
      <c r="A11" s="19"/>
      <c r="B11" s="19"/>
      <c r="C11" s="19"/>
      <c r="D11" s="19"/>
      <c r="E11" s="32"/>
      <c r="F11" s="19"/>
      <c r="G11" s="26" t="str">
        <f aca="false">IF(A11="","",COUNTIF(Pubs!$B$2:$B$3001,A11))</f>
        <v/>
      </c>
      <c r="H11" s="26" t="str">
        <f aca="false">IF(A11="","",COUNTIF(Apparitions!$H$2:$H$5001,A11))</f>
        <v/>
      </c>
      <c r="I11" s="26" t="str">
        <f aca="false">IF(A11="","",COUNTIFS(Apparitions!$H$2:$H$5001,A11,Apparitions!$E$2:$E$5001,"○"))</f>
        <v/>
      </c>
      <c r="J11" s="29" t="str">
        <f aca="false">IF(A11="","",IFERROR(1/(1/_xlfn.MINIFS(Apparitions!$L$2:$L$5001,Apparitions!$H$2:$H$5001,A11)),""))</f>
        <v/>
      </c>
    </row>
    <row r="12" customFormat="false" ht="15" hidden="false" customHeight="false" outlineLevel="0" collapsed="false">
      <c r="A12" s="19"/>
      <c r="B12" s="19"/>
      <c r="C12" s="19"/>
      <c r="D12" s="19"/>
      <c r="E12" s="32"/>
      <c r="F12" s="19"/>
      <c r="G12" s="26" t="str">
        <f aca="false">IF(A12="","",COUNTIF(Pubs!$B$2:$B$3001,A12))</f>
        <v/>
      </c>
      <c r="H12" s="26" t="str">
        <f aca="false">IF(A12="","",COUNTIF(Apparitions!$H$2:$H$5001,A12))</f>
        <v/>
      </c>
      <c r="I12" s="26" t="str">
        <f aca="false">IF(A12="","",COUNTIFS(Apparitions!$H$2:$H$5001,A12,Apparitions!$E$2:$E$5001,"○"))</f>
        <v/>
      </c>
      <c r="J12" s="29" t="str">
        <f aca="false">IF(A12="","",IFERROR(1/(1/_xlfn.MINIFS(Apparitions!$L$2:$L$5001,Apparitions!$H$2:$H$5001,A12)),""))</f>
        <v/>
      </c>
    </row>
    <row r="13" customFormat="false" ht="15" hidden="false" customHeight="false" outlineLevel="0" collapsed="false">
      <c r="A13" s="19"/>
      <c r="B13" s="19"/>
      <c r="C13" s="19"/>
      <c r="D13" s="19"/>
      <c r="E13" s="32"/>
      <c r="F13" s="19"/>
      <c r="G13" s="26" t="str">
        <f aca="false">IF(A13="","",COUNTIF(Pubs!$B$2:$B$3001,A13))</f>
        <v/>
      </c>
      <c r="H13" s="26" t="str">
        <f aca="false">IF(A13="","",COUNTIF(Apparitions!$H$2:$H$5001,A13))</f>
        <v/>
      </c>
      <c r="I13" s="26" t="str">
        <f aca="false">IF(A13="","",COUNTIFS(Apparitions!$H$2:$H$5001,A13,Apparitions!$E$2:$E$5001,"○"))</f>
        <v/>
      </c>
      <c r="J13" s="29" t="str">
        <f aca="false">IF(A13="","",IFERROR(1/(1/_xlfn.MINIFS(Apparitions!$L$2:$L$5001,Apparitions!$H$2:$H$5001,A13)),""))</f>
        <v/>
      </c>
    </row>
    <row r="14" customFormat="false" ht="15" hidden="false" customHeight="false" outlineLevel="0" collapsed="false">
      <c r="A14" s="19"/>
      <c r="B14" s="19"/>
      <c r="C14" s="19"/>
      <c r="D14" s="19"/>
      <c r="E14" s="32"/>
      <c r="F14" s="19"/>
      <c r="G14" s="26" t="str">
        <f aca="false">IF(A14="","",COUNTIF(Pubs!$B$2:$B$3001,A14))</f>
        <v/>
      </c>
      <c r="H14" s="26" t="str">
        <f aca="false">IF(A14="","",COUNTIF(Apparitions!$H$2:$H$5001,A14))</f>
        <v/>
      </c>
      <c r="I14" s="26" t="str">
        <f aca="false">IF(A14="","",COUNTIFS(Apparitions!$H$2:$H$5001,A14,Apparitions!$E$2:$E$5001,"○"))</f>
        <v/>
      </c>
      <c r="J14" s="29" t="str">
        <f aca="false">IF(A14="","",IFERROR(1/(1/_xlfn.MINIFS(Apparitions!$L$2:$L$5001,Apparitions!$H$2:$H$5001,A14)),""))</f>
        <v/>
      </c>
    </row>
    <row r="15" customFormat="false" ht="15" hidden="false" customHeight="false" outlineLevel="0" collapsed="false">
      <c r="A15" s="19"/>
      <c r="B15" s="19"/>
      <c r="C15" s="19"/>
      <c r="D15" s="19"/>
      <c r="E15" s="32"/>
      <c r="F15" s="19"/>
      <c r="G15" s="26" t="str">
        <f aca="false">IF(A15="","",COUNTIF(Pubs!$B$2:$B$3001,A15))</f>
        <v/>
      </c>
      <c r="H15" s="26" t="str">
        <f aca="false">IF(A15="","",COUNTIF(Apparitions!$H$2:$H$5001,A15))</f>
        <v/>
      </c>
      <c r="I15" s="26" t="str">
        <f aca="false">IF(A15="","",COUNTIFS(Apparitions!$H$2:$H$5001,A15,Apparitions!$E$2:$E$5001,"○"))</f>
        <v/>
      </c>
      <c r="J15" s="29" t="str">
        <f aca="false">IF(A15="","",IFERROR(1/(1/_xlfn.MINIFS(Apparitions!$L$2:$L$5001,Apparitions!$H$2:$H$5001,A15)),""))</f>
        <v/>
      </c>
    </row>
    <row r="16" customFormat="false" ht="15" hidden="false" customHeight="false" outlineLevel="0" collapsed="false">
      <c r="A16" s="19"/>
      <c r="B16" s="19"/>
      <c r="C16" s="19"/>
      <c r="D16" s="19"/>
      <c r="E16" s="32"/>
      <c r="F16" s="19"/>
      <c r="G16" s="26" t="str">
        <f aca="false">IF(A16="","",COUNTIF(Pubs!$B$2:$B$3001,A16))</f>
        <v/>
      </c>
      <c r="H16" s="26" t="str">
        <f aca="false">IF(A16="","",COUNTIF(Apparitions!$H$2:$H$5001,A16))</f>
        <v/>
      </c>
      <c r="I16" s="26" t="str">
        <f aca="false">IF(A16="","",COUNTIFS(Apparitions!$H$2:$H$5001,A16,Apparitions!$E$2:$E$5001,"○"))</f>
        <v/>
      </c>
      <c r="J16" s="29" t="str">
        <f aca="false">IF(A16="","",IFERROR(1/(1/_xlfn.MINIFS(Apparitions!$L$2:$L$5001,Apparitions!$H$2:$H$5001,A16)),""))</f>
        <v/>
      </c>
    </row>
    <row r="17" customFormat="false" ht="15" hidden="false" customHeight="false" outlineLevel="0" collapsed="false">
      <c r="A17" s="19"/>
      <c r="B17" s="19"/>
      <c r="C17" s="19"/>
      <c r="D17" s="19"/>
      <c r="E17" s="32"/>
      <c r="F17" s="19"/>
      <c r="G17" s="26" t="str">
        <f aca="false">IF(A17="","",COUNTIF(Pubs!$B$2:$B$3001,A17))</f>
        <v/>
      </c>
      <c r="H17" s="26" t="str">
        <f aca="false">IF(A17="","",COUNTIF(Apparitions!$H$2:$H$5001,A17))</f>
        <v/>
      </c>
      <c r="I17" s="26" t="str">
        <f aca="false">IF(A17="","",COUNTIFS(Apparitions!$H$2:$H$5001,A17,Apparitions!$E$2:$E$5001,"○"))</f>
        <v/>
      </c>
      <c r="J17" s="29" t="str">
        <f aca="false">IF(A17="","",IFERROR(1/(1/_xlfn.MINIFS(Apparitions!$L$2:$L$5001,Apparitions!$H$2:$H$5001,A17)),""))</f>
        <v/>
      </c>
    </row>
    <row r="18" customFormat="false" ht="15" hidden="false" customHeight="false" outlineLevel="0" collapsed="false">
      <c r="A18" s="19"/>
      <c r="B18" s="19"/>
      <c r="C18" s="19"/>
      <c r="D18" s="19"/>
      <c r="E18" s="32"/>
      <c r="F18" s="19"/>
      <c r="G18" s="26" t="str">
        <f aca="false">IF(A18="","",COUNTIF(Pubs!$B$2:$B$3001,A18))</f>
        <v/>
      </c>
      <c r="H18" s="26" t="str">
        <f aca="false">IF(A18="","",COUNTIF(Apparitions!$H$2:$H$5001,A18))</f>
        <v/>
      </c>
      <c r="I18" s="26" t="str">
        <f aca="false">IF(A18="","",COUNTIFS(Apparitions!$H$2:$H$5001,A18,Apparitions!$E$2:$E$5001,"○"))</f>
        <v/>
      </c>
      <c r="J18" s="29" t="str">
        <f aca="false">IF(A18="","",IFERROR(1/(1/_xlfn.MINIFS(Apparitions!$L$2:$L$5001,Apparitions!$H$2:$H$5001,A18)),""))</f>
        <v/>
      </c>
    </row>
    <row r="19" customFormat="false" ht="15" hidden="false" customHeight="false" outlineLevel="0" collapsed="false">
      <c r="A19" s="19"/>
      <c r="B19" s="19"/>
      <c r="C19" s="19"/>
      <c r="D19" s="19"/>
      <c r="E19" s="32"/>
      <c r="F19" s="19"/>
      <c r="G19" s="26" t="str">
        <f aca="false">IF(A19="","",COUNTIF(Pubs!$B$2:$B$3001,A19))</f>
        <v/>
      </c>
      <c r="H19" s="26" t="str">
        <f aca="false">IF(A19="","",COUNTIF(Apparitions!$H$2:$H$5001,A19))</f>
        <v/>
      </c>
      <c r="I19" s="26" t="str">
        <f aca="false">IF(A19="","",COUNTIFS(Apparitions!$H$2:$H$5001,A19,Apparitions!$E$2:$E$5001,"○"))</f>
        <v/>
      </c>
      <c r="J19" s="29" t="str">
        <f aca="false">IF(A19="","",IFERROR(1/(1/_xlfn.MINIFS(Apparitions!$L$2:$L$5001,Apparitions!$H$2:$H$5001,A19)),""))</f>
        <v/>
      </c>
    </row>
    <row r="20" customFormat="false" ht="15" hidden="false" customHeight="false" outlineLevel="0" collapsed="false">
      <c r="A20" s="19"/>
      <c r="B20" s="19"/>
      <c r="C20" s="19"/>
      <c r="D20" s="19"/>
      <c r="E20" s="32"/>
      <c r="F20" s="19"/>
      <c r="G20" s="26" t="str">
        <f aca="false">IF(A20="","",COUNTIF(Pubs!$B$2:$B$3001,A20))</f>
        <v/>
      </c>
      <c r="H20" s="26" t="str">
        <f aca="false">IF(A20="","",COUNTIF(Apparitions!$H$2:$H$5001,A20))</f>
        <v/>
      </c>
      <c r="I20" s="26" t="str">
        <f aca="false">IF(A20="","",COUNTIFS(Apparitions!$H$2:$H$5001,A20,Apparitions!$E$2:$E$5001,"○"))</f>
        <v/>
      </c>
      <c r="J20" s="29" t="str">
        <f aca="false">IF(A20="","",IFERROR(1/(1/_xlfn.MINIFS(Apparitions!$L$2:$L$5001,Apparitions!$H$2:$H$5001,A20)),""))</f>
        <v/>
      </c>
    </row>
    <row r="21" customFormat="false" ht="15" hidden="false" customHeight="false" outlineLevel="0" collapsed="false">
      <c r="A21" s="19"/>
      <c r="B21" s="19"/>
      <c r="C21" s="19"/>
      <c r="D21" s="19"/>
      <c r="E21" s="32"/>
      <c r="F21" s="19"/>
      <c r="G21" s="26" t="str">
        <f aca="false">IF(A21="","",COUNTIF(Pubs!$B$2:$B$3001,A21))</f>
        <v/>
      </c>
      <c r="H21" s="26" t="str">
        <f aca="false">IF(A21="","",COUNTIF(Apparitions!$H$2:$H$5001,A21))</f>
        <v/>
      </c>
      <c r="I21" s="26" t="str">
        <f aca="false">IF(A21="","",COUNTIFS(Apparitions!$H$2:$H$5001,A21,Apparitions!$E$2:$E$5001,"○"))</f>
        <v/>
      </c>
      <c r="J21" s="29" t="str">
        <f aca="false">IF(A21="","",IFERROR(1/(1/_xlfn.MINIFS(Apparitions!$L$2:$L$5001,Apparitions!$H$2:$H$5001,A21)),""))</f>
        <v/>
      </c>
    </row>
    <row r="22" customFormat="false" ht="15" hidden="false" customHeight="false" outlineLevel="0" collapsed="false">
      <c r="A22" s="19"/>
      <c r="B22" s="19"/>
      <c r="C22" s="19"/>
      <c r="D22" s="19"/>
      <c r="E22" s="32"/>
      <c r="F22" s="19"/>
      <c r="G22" s="26" t="str">
        <f aca="false">IF(A22="","",COUNTIF(Pubs!$B$2:$B$3001,A22))</f>
        <v/>
      </c>
      <c r="H22" s="26" t="str">
        <f aca="false">IF(A22="","",COUNTIF(Apparitions!$H$2:$H$5001,A22))</f>
        <v/>
      </c>
      <c r="I22" s="26" t="str">
        <f aca="false">IF(A22="","",COUNTIFS(Apparitions!$H$2:$H$5001,A22,Apparitions!$E$2:$E$5001,"○"))</f>
        <v/>
      </c>
      <c r="J22" s="29" t="str">
        <f aca="false">IF(A22="","",IFERROR(1/(1/_xlfn.MINIFS(Apparitions!$L$2:$L$5001,Apparitions!$H$2:$H$5001,A22)),""))</f>
        <v/>
      </c>
    </row>
    <row r="23" customFormat="false" ht="15" hidden="false" customHeight="false" outlineLevel="0" collapsed="false">
      <c r="A23" s="19"/>
      <c r="B23" s="19"/>
      <c r="C23" s="19"/>
      <c r="D23" s="19"/>
      <c r="E23" s="32"/>
      <c r="F23" s="19"/>
      <c r="G23" s="26" t="str">
        <f aca="false">IF(A23="","",COUNTIF(Pubs!$B$2:$B$3001,A23))</f>
        <v/>
      </c>
      <c r="H23" s="26" t="str">
        <f aca="false">IF(A23="","",COUNTIF(Apparitions!$H$2:$H$5001,A23))</f>
        <v/>
      </c>
      <c r="I23" s="26" t="str">
        <f aca="false">IF(A23="","",COUNTIFS(Apparitions!$H$2:$H$5001,A23,Apparitions!$E$2:$E$5001,"○"))</f>
        <v/>
      </c>
      <c r="J23" s="29" t="str">
        <f aca="false">IF(A23="","",IFERROR(1/(1/_xlfn.MINIFS(Apparitions!$L$2:$L$5001,Apparitions!$H$2:$H$5001,A23)),""))</f>
        <v/>
      </c>
    </row>
    <row r="24" customFormat="false" ht="15" hidden="false" customHeight="false" outlineLevel="0" collapsed="false">
      <c r="A24" s="19"/>
      <c r="B24" s="19"/>
      <c r="C24" s="19"/>
      <c r="D24" s="19"/>
      <c r="E24" s="32"/>
      <c r="F24" s="19"/>
      <c r="G24" s="26" t="str">
        <f aca="false">IF(A24="","",COUNTIF(Pubs!$B$2:$B$3001,A24))</f>
        <v/>
      </c>
      <c r="H24" s="26" t="str">
        <f aca="false">IF(A24="","",COUNTIF(Apparitions!$H$2:$H$5001,A24))</f>
        <v/>
      </c>
      <c r="I24" s="26" t="str">
        <f aca="false">IF(A24="","",COUNTIFS(Apparitions!$H$2:$H$5001,A24,Apparitions!$E$2:$E$5001,"○"))</f>
        <v/>
      </c>
      <c r="J24" s="29" t="str">
        <f aca="false">IF(A24="","",IFERROR(1/(1/_xlfn.MINIFS(Apparitions!$L$2:$L$5001,Apparitions!$H$2:$H$5001,A24)),""))</f>
        <v/>
      </c>
    </row>
    <row r="25" customFormat="false" ht="15" hidden="false" customHeight="false" outlineLevel="0" collapsed="false">
      <c r="A25" s="19"/>
      <c r="B25" s="19"/>
      <c r="C25" s="19"/>
      <c r="D25" s="19"/>
      <c r="E25" s="32"/>
      <c r="F25" s="19"/>
      <c r="G25" s="26" t="str">
        <f aca="false">IF(A25="","",COUNTIF(Pubs!$B$2:$B$3001,A25))</f>
        <v/>
      </c>
      <c r="H25" s="26" t="str">
        <f aca="false">IF(A25="","",COUNTIF(Apparitions!$H$2:$H$5001,A25))</f>
        <v/>
      </c>
      <c r="I25" s="26" t="str">
        <f aca="false">IF(A25="","",COUNTIFS(Apparitions!$H$2:$H$5001,A25,Apparitions!$E$2:$E$5001,"○"))</f>
        <v/>
      </c>
      <c r="J25" s="29" t="str">
        <f aca="false">IF(A25="","",IFERROR(1/(1/_xlfn.MINIFS(Apparitions!$L$2:$L$5001,Apparitions!$H$2:$H$5001,A25)),""))</f>
        <v/>
      </c>
    </row>
    <row r="26" customFormat="false" ht="15" hidden="false" customHeight="false" outlineLevel="0" collapsed="false">
      <c r="A26" s="19"/>
      <c r="B26" s="19"/>
      <c r="C26" s="19"/>
      <c r="D26" s="19"/>
      <c r="E26" s="32"/>
      <c r="F26" s="19"/>
      <c r="G26" s="26" t="str">
        <f aca="false">IF(A26="","",COUNTIF(Pubs!$B$2:$B$3001,A26))</f>
        <v/>
      </c>
      <c r="H26" s="26" t="str">
        <f aca="false">IF(A26="","",COUNTIF(Apparitions!$H$2:$H$5001,A26))</f>
        <v/>
      </c>
      <c r="I26" s="26" t="str">
        <f aca="false">IF(A26="","",COUNTIFS(Apparitions!$H$2:$H$5001,A26,Apparitions!$E$2:$E$5001,"○"))</f>
        <v/>
      </c>
      <c r="J26" s="29" t="str">
        <f aca="false">IF(A26="","",IFERROR(1/(1/_xlfn.MINIFS(Apparitions!$L$2:$L$5001,Apparitions!$H$2:$H$5001,A26)),""))</f>
        <v/>
      </c>
    </row>
    <row r="27" customFormat="false" ht="15" hidden="false" customHeight="false" outlineLevel="0" collapsed="false">
      <c r="A27" s="19"/>
      <c r="B27" s="19"/>
      <c r="C27" s="19"/>
      <c r="D27" s="19"/>
      <c r="E27" s="32"/>
      <c r="F27" s="19"/>
      <c r="G27" s="26" t="str">
        <f aca="false">IF(A27="","",COUNTIF(Pubs!$B$2:$B$3001,A27))</f>
        <v/>
      </c>
      <c r="H27" s="26" t="str">
        <f aca="false">IF(A27="","",COUNTIF(Apparitions!$H$2:$H$5001,A27))</f>
        <v/>
      </c>
      <c r="I27" s="26" t="str">
        <f aca="false">IF(A27="","",COUNTIFS(Apparitions!$H$2:$H$5001,A27,Apparitions!$E$2:$E$5001,"○"))</f>
        <v/>
      </c>
      <c r="J27" s="29" t="str">
        <f aca="false">IF(A27="","",IFERROR(1/(1/_xlfn.MINIFS(Apparitions!$L$2:$L$5001,Apparitions!$H$2:$H$5001,A27)),""))</f>
        <v/>
      </c>
    </row>
    <row r="28" customFormat="false" ht="15" hidden="false" customHeight="false" outlineLevel="0" collapsed="false">
      <c r="A28" s="19"/>
      <c r="B28" s="19"/>
      <c r="C28" s="19"/>
      <c r="D28" s="19"/>
      <c r="E28" s="32"/>
      <c r="F28" s="19"/>
      <c r="G28" s="26" t="str">
        <f aca="false">IF(A28="","",COUNTIF(Pubs!$B$2:$B$3001,A28))</f>
        <v/>
      </c>
      <c r="H28" s="26" t="str">
        <f aca="false">IF(A28="","",COUNTIF(Apparitions!$H$2:$H$5001,A28))</f>
        <v/>
      </c>
      <c r="I28" s="26" t="str">
        <f aca="false">IF(A28="","",COUNTIFS(Apparitions!$H$2:$H$5001,A28,Apparitions!$E$2:$E$5001,"○"))</f>
        <v/>
      </c>
      <c r="J28" s="29" t="str">
        <f aca="false">IF(A28="","",IFERROR(1/(1/_xlfn.MINIFS(Apparitions!$L$2:$L$5001,Apparitions!$H$2:$H$5001,A28)),""))</f>
        <v/>
      </c>
    </row>
    <row r="29" customFormat="false" ht="15" hidden="false" customHeight="false" outlineLevel="0" collapsed="false">
      <c r="A29" s="19"/>
      <c r="B29" s="19"/>
      <c r="C29" s="19"/>
      <c r="D29" s="19"/>
      <c r="E29" s="32"/>
      <c r="F29" s="19"/>
      <c r="G29" s="26" t="str">
        <f aca="false">IF(A29="","",COUNTIF(Pubs!$B$2:$B$3001,A29))</f>
        <v/>
      </c>
      <c r="H29" s="26" t="str">
        <f aca="false">IF(A29="","",COUNTIF(Apparitions!$H$2:$H$5001,A29))</f>
        <v/>
      </c>
      <c r="I29" s="26" t="str">
        <f aca="false">IF(A29="","",COUNTIFS(Apparitions!$H$2:$H$5001,A29,Apparitions!$E$2:$E$5001,"○"))</f>
        <v/>
      </c>
      <c r="J29" s="29" t="str">
        <f aca="false">IF(A29="","",IFERROR(1/(1/_xlfn.MINIFS(Apparitions!$L$2:$L$5001,Apparitions!$H$2:$H$5001,A29)),""))</f>
        <v/>
      </c>
    </row>
    <row r="30" customFormat="false" ht="15" hidden="false" customHeight="false" outlineLevel="0" collapsed="false">
      <c r="A30" s="19"/>
      <c r="B30" s="19"/>
      <c r="C30" s="19"/>
      <c r="D30" s="19"/>
      <c r="E30" s="32"/>
      <c r="F30" s="19"/>
      <c r="G30" s="26" t="str">
        <f aca="false">IF(A30="","",COUNTIF(Pubs!$B$2:$B$3001,A30))</f>
        <v/>
      </c>
      <c r="H30" s="26" t="str">
        <f aca="false">IF(A30="","",COUNTIF(Apparitions!$H$2:$H$5001,A30))</f>
        <v/>
      </c>
      <c r="I30" s="26" t="str">
        <f aca="false">IF(A30="","",COUNTIFS(Apparitions!$H$2:$H$5001,A30,Apparitions!$E$2:$E$5001,"○"))</f>
        <v/>
      </c>
      <c r="J30" s="29" t="str">
        <f aca="false">IF(A30="","",IFERROR(1/(1/_xlfn.MINIFS(Apparitions!$L$2:$L$5001,Apparitions!$H$2:$H$5001,A30)),""))</f>
        <v/>
      </c>
    </row>
    <row r="31" customFormat="false" ht="15" hidden="false" customHeight="false" outlineLevel="0" collapsed="false">
      <c r="A31" s="19"/>
      <c r="B31" s="19"/>
      <c r="C31" s="19"/>
      <c r="D31" s="19"/>
      <c r="E31" s="32"/>
      <c r="F31" s="19"/>
      <c r="G31" s="26" t="str">
        <f aca="false">IF(A31="","",COUNTIF(Pubs!$B$2:$B$3001,A31))</f>
        <v/>
      </c>
      <c r="H31" s="26" t="str">
        <f aca="false">IF(A31="","",COUNTIF(Apparitions!$H$2:$H$5001,A31))</f>
        <v/>
      </c>
      <c r="I31" s="26" t="str">
        <f aca="false">IF(A31="","",COUNTIFS(Apparitions!$H$2:$H$5001,A31,Apparitions!$E$2:$E$5001,"○"))</f>
        <v/>
      </c>
      <c r="J31" s="29" t="str">
        <f aca="false">IF(A31="","",IFERROR(1/(1/_xlfn.MINIFS(Apparitions!$L$2:$L$5001,Apparitions!$H$2:$H$5001,A31)),""))</f>
        <v/>
      </c>
    </row>
    <row r="32" customFormat="false" ht="15" hidden="false" customHeight="false" outlineLevel="0" collapsed="false">
      <c r="A32" s="19"/>
      <c r="B32" s="19"/>
      <c r="C32" s="19"/>
      <c r="D32" s="19"/>
      <c r="E32" s="32"/>
      <c r="F32" s="19"/>
      <c r="G32" s="26" t="str">
        <f aca="false">IF(A32="","",COUNTIF(Pubs!$B$2:$B$3001,A32))</f>
        <v/>
      </c>
      <c r="H32" s="26" t="str">
        <f aca="false">IF(A32="","",COUNTIF(Apparitions!$H$2:$H$5001,A32))</f>
        <v/>
      </c>
      <c r="I32" s="26" t="str">
        <f aca="false">IF(A32="","",COUNTIFS(Apparitions!$H$2:$H$5001,A32,Apparitions!$E$2:$E$5001,"○"))</f>
        <v/>
      </c>
      <c r="J32" s="29" t="str">
        <f aca="false">IF(A32="","",IFERROR(1/(1/_xlfn.MINIFS(Apparitions!$L$2:$L$5001,Apparitions!$H$2:$H$5001,A32)),""))</f>
        <v/>
      </c>
    </row>
    <row r="33" customFormat="false" ht="15" hidden="false" customHeight="false" outlineLevel="0" collapsed="false">
      <c r="A33" s="19"/>
      <c r="B33" s="19"/>
      <c r="C33" s="19"/>
      <c r="D33" s="19"/>
      <c r="E33" s="32"/>
      <c r="F33" s="19"/>
      <c r="G33" s="26" t="str">
        <f aca="false">IF(A33="","",COUNTIF(Pubs!$B$2:$B$3001,A33))</f>
        <v/>
      </c>
      <c r="H33" s="26" t="str">
        <f aca="false">IF(A33="","",COUNTIF(Apparitions!$H$2:$H$5001,A33))</f>
        <v/>
      </c>
      <c r="I33" s="26" t="str">
        <f aca="false">IF(A33="","",COUNTIFS(Apparitions!$H$2:$H$5001,A33,Apparitions!$E$2:$E$5001,"○"))</f>
        <v/>
      </c>
      <c r="J33" s="29" t="str">
        <f aca="false">IF(A33="","",IFERROR(1/(1/_xlfn.MINIFS(Apparitions!$L$2:$L$5001,Apparitions!$H$2:$H$5001,A33)),""))</f>
        <v/>
      </c>
    </row>
    <row r="34" customFormat="false" ht="15" hidden="false" customHeight="false" outlineLevel="0" collapsed="false">
      <c r="A34" s="19"/>
      <c r="B34" s="19"/>
      <c r="C34" s="19"/>
      <c r="D34" s="19"/>
      <c r="E34" s="32"/>
      <c r="F34" s="19"/>
      <c r="G34" s="26" t="str">
        <f aca="false">IF(A34="","",COUNTIF(Pubs!$B$2:$B$3001,A34))</f>
        <v/>
      </c>
      <c r="H34" s="26" t="str">
        <f aca="false">IF(A34="","",COUNTIF(Apparitions!$H$2:$H$5001,A34))</f>
        <v/>
      </c>
      <c r="I34" s="26" t="str">
        <f aca="false">IF(A34="","",COUNTIFS(Apparitions!$H$2:$H$5001,A34,Apparitions!$E$2:$E$5001,"○"))</f>
        <v/>
      </c>
      <c r="J34" s="29" t="str">
        <f aca="false">IF(A34="","",IFERROR(1/(1/_xlfn.MINIFS(Apparitions!$L$2:$L$5001,Apparitions!$H$2:$H$5001,A34)),""))</f>
        <v/>
      </c>
    </row>
    <row r="35" customFormat="false" ht="15" hidden="false" customHeight="false" outlineLevel="0" collapsed="false">
      <c r="A35" s="19"/>
      <c r="B35" s="19"/>
      <c r="C35" s="19"/>
      <c r="D35" s="19"/>
      <c r="E35" s="32"/>
      <c r="F35" s="19"/>
      <c r="G35" s="26" t="str">
        <f aca="false">IF(A35="","",COUNTIF(Pubs!$B$2:$B$3001,A35))</f>
        <v/>
      </c>
      <c r="H35" s="26" t="str">
        <f aca="false">IF(A35="","",COUNTIF(Apparitions!$H$2:$H$5001,A35))</f>
        <v/>
      </c>
      <c r="I35" s="26" t="str">
        <f aca="false">IF(A35="","",COUNTIFS(Apparitions!$H$2:$H$5001,A35,Apparitions!$E$2:$E$5001,"○"))</f>
        <v/>
      </c>
      <c r="J35" s="29" t="str">
        <f aca="false">IF(A35="","",IFERROR(1/(1/_xlfn.MINIFS(Apparitions!$L$2:$L$5001,Apparitions!$H$2:$H$5001,A35)),""))</f>
        <v/>
      </c>
    </row>
    <row r="36" customFormat="false" ht="15" hidden="false" customHeight="false" outlineLevel="0" collapsed="false">
      <c r="A36" s="19"/>
      <c r="B36" s="19"/>
      <c r="C36" s="19"/>
      <c r="D36" s="19"/>
      <c r="E36" s="32"/>
      <c r="F36" s="19"/>
      <c r="G36" s="26" t="str">
        <f aca="false">IF(A36="","",COUNTIF(Pubs!$B$2:$B$3001,A36))</f>
        <v/>
      </c>
      <c r="H36" s="26" t="str">
        <f aca="false">IF(A36="","",COUNTIF(Apparitions!$H$2:$H$5001,A36))</f>
        <v/>
      </c>
      <c r="I36" s="26" t="str">
        <f aca="false">IF(A36="","",COUNTIFS(Apparitions!$H$2:$H$5001,A36,Apparitions!$E$2:$E$5001,"○"))</f>
        <v/>
      </c>
      <c r="J36" s="29" t="str">
        <f aca="false">IF(A36="","",IFERROR(1/(1/_xlfn.MINIFS(Apparitions!$L$2:$L$5001,Apparitions!$H$2:$H$5001,A36)),""))</f>
        <v/>
      </c>
    </row>
    <row r="37" customFormat="false" ht="15" hidden="false" customHeight="false" outlineLevel="0" collapsed="false">
      <c r="A37" s="19"/>
      <c r="B37" s="19"/>
      <c r="C37" s="19"/>
      <c r="D37" s="19"/>
      <c r="E37" s="32"/>
      <c r="F37" s="19"/>
      <c r="G37" s="26" t="str">
        <f aca="false">IF(A37="","",COUNTIF(Pubs!$B$2:$B$3001,A37))</f>
        <v/>
      </c>
      <c r="H37" s="26" t="str">
        <f aca="false">IF(A37="","",COUNTIF(Apparitions!$H$2:$H$5001,A37))</f>
        <v/>
      </c>
      <c r="I37" s="26" t="str">
        <f aca="false">IF(A37="","",COUNTIFS(Apparitions!$H$2:$H$5001,A37,Apparitions!$E$2:$E$5001,"○"))</f>
        <v/>
      </c>
      <c r="J37" s="29" t="str">
        <f aca="false">IF(A37="","",IFERROR(1/(1/_xlfn.MINIFS(Apparitions!$L$2:$L$5001,Apparitions!$H$2:$H$5001,A37)),""))</f>
        <v/>
      </c>
    </row>
    <row r="38" customFormat="false" ht="15" hidden="false" customHeight="false" outlineLevel="0" collapsed="false">
      <c r="A38" s="19"/>
      <c r="B38" s="19"/>
      <c r="C38" s="19"/>
      <c r="D38" s="19"/>
      <c r="E38" s="32"/>
      <c r="F38" s="19"/>
      <c r="G38" s="26" t="str">
        <f aca="false">IF(A38="","",COUNTIF(Pubs!$B$2:$B$3001,A38))</f>
        <v/>
      </c>
      <c r="H38" s="26" t="str">
        <f aca="false">IF(A38="","",COUNTIF(Apparitions!$H$2:$H$5001,A38))</f>
        <v/>
      </c>
      <c r="I38" s="26" t="str">
        <f aca="false">IF(A38="","",COUNTIFS(Apparitions!$H$2:$H$5001,A38,Apparitions!$E$2:$E$5001,"○"))</f>
        <v/>
      </c>
      <c r="J38" s="29" t="str">
        <f aca="false">IF(A38="","",IFERROR(1/(1/_xlfn.MINIFS(Apparitions!$L$2:$L$5001,Apparitions!$H$2:$H$5001,A38)),""))</f>
        <v/>
      </c>
    </row>
    <row r="39" customFormat="false" ht="15" hidden="false" customHeight="false" outlineLevel="0" collapsed="false">
      <c r="A39" s="19"/>
      <c r="B39" s="19"/>
      <c r="C39" s="19"/>
      <c r="D39" s="19"/>
      <c r="E39" s="32"/>
      <c r="F39" s="19"/>
      <c r="G39" s="26" t="str">
        <f aca="false">IF(A39="","",COUNTIF(Pubs!$B$2:$B$3001,A39))</f>
        <v/>
      </c>
      <c r="H39" s="26" t="str">
        <f aca="false">IF(A39="","",COUNTIF(Apparitions!$H$2:$H$5001,A39))</f>
        <v/>
      </c>
      <c r="I39" s="26" t="str">
        <f aca="false">IF(A39="","",COUNTIFS(Apparitions!$H$2:$H$5001,A39,Apparitions!$E$2:$E$5001,"○"))</f>
        <v/>
      </c>
      <c r="J39" s="29" t="str">
        <f aca="false">IF(A39="","",IFERROR(1/(1/_xlfn.MINIFS(Apparitions!$L$2:$L$5001,Apparitions!$H$2:$H$5001,A39)),""))</f>
        <v/>
      </c>
    </row>
    <row r="40" customFormat="false" ht="15" hidden="false" customHeight="false" outlineLevel="0" collapsed="false">
      <c r="A40" s="19"/>
      <c r="B40" s="19"/>
      <c r="C40" s="19"/>
      <c r="D40" s="19"/>
      <c r="E40" s="32"/>
      <c r="F40" s="19"/>
      <c r="G40" s="26" t="str">
        <f aca="false">IF(A40="","",COUNTIF(Pubs!$B$2:$B$3001,A40))</f>
        <v/>
      </c>
      <c r="H40" s="26" t="str">
        <f aca="false">IF(A40="","",COUNTIF(Apparitions!$H$2:$H$5001,A40))</f>
        <v/>
      </c>
      <c r="I40" s="26" t="str">
        <f aca="false">IF(A40="","",COUNTIFS(Apparitions!$H$2:$H$5001,A40,Apparitions!$E$2:$E$5001,"○"))</f>
        <v/>
      </c>
      <c r="J40" s="29" t="str">
        <f aca="false">IF(A40="","",IFERROR(1/(1/_xlfn.MINIFS(Apparitions!$L$2:$L$5001,Apparitions!$H$2:$H$5001,A40)),""))</f>
        <v/>
      </c>
    </row>
    <row r="41" customFormat="false" ht="15" hidden="false" customHeight="false" outlineLevel="0" collapsed="false">
      <c r="A41" s="19"/>
      <c r="B41" s="19"/>
      <c r="C41" s="19"/>
      <c r="D41" s="19"/>
      <c r="E41" s="32"/>
      <c r="F41" s="19"/>
      <c r="G41" s="26" t="str">
        <f aca="false">IF(A41="","",COUNTIF(Pubs!$B$2:$B$3001,A41))</f>
        <v/>
      </c>
      <c r="H41" s="26" t="str">
        <f aca="false">IF(A41="","",COUNTIF(Apparitions!$H$2:$H$5001,A41))</f>
        <v/>
      </c>
      <c r="I41" s="26" t="str">
        <f aca="false">IF(A41="","",COUNTIFS(Apparitions!$H$2:$H$5001,A41,Apparitions!$E$2:$E$5001,"○"))</f>
        <v/>
      </c>
      <c r="J41" s="29" t="str">
        <f aca="false">IF(A41="","",IFERROR(1/(1/_xlfn.MINIFS(Apparitions!$L$2:$L$5001,Apparitions!$H$2:$H$5001,A41)),""))</f>
        <v/>
      </c>
    </row>
    <row r="42" customFormat="false" ht="15" hidden="false" customHeight="false" outlineLevel="0" collapsed="false">
      <c r="A42" s="19"/>
      <c r="B42" s="19"/>
      <c r="C42" s="19"/>
      <c r="D42" s="19"/>
      <c r="E42" s="32"/>
      <c r="F42" s="19"/>
      <c r="G42" s="26" t="str">
        <f aca="false">IF(A42="","",COUNTIF(Pubs!$B$2:$B$3001,A42))</f>
        <v/>
      </c>
      <c r="H42" s="26" t="str">
        <f aca="false">IF(A42="","",COUNTIF(Apparitions!$H$2:$H$5001,A42))</f>
        <v/>
      </c>
      <c r="I42" s="26" t="str">
        <f aca="false">IF(A42="","",COUNTIFS(Apparitions!$H$2:$H$5001,A42,Apparitions!$E$2:$E$5001,"○"))</f>
        <v/>
      </c>
      <c r="J42" s="29" t="str">
        <f aca="false">IF(A42="","",IFERROR(1/(1/_xlfn.MINIFS(Apparitions!$L$2:$L$5001,Apparitions!$H$2:$H$5001,A42)),""))</f>
        <v/>
      </c>
    </row>
    <row r="43" customFormat="false" ht="15" hidden="false" customHeight="false" outlineLevel="0" collapsed="false">
      <c r="A43" s="19"/>
      <c r="B43" s="19"/>
      <c r="C43" s="19"/>
      <c r="D43" s="19"/>
      <c r="E43" s="32"/>
      <c r="F43" s="19"/>
      <c r="G43" s="26" t="str">
        <f aca="false">IF(A43="","",COUNTIF(Pubs!$B$2:$B$3001,A43))</f>
        <v/>
      </c>
      <c r="H43" s="26" t="str">
        <f aca="false">IF(A43="","",COUNTIF(Apparitions!$H$2:$H$5001,A43))</f>
        <v/>
      </c>
      <c r="I43" s="26" t="str">
        <f aca="false">IF(A43="","",COUNTIFS(Apparitions!$H$2:$H$5001,A43,Apparitions!$E$2:$E$5001,"○"))</f>
        <v/>
      </c>
      <c r="J43" s="29" t="str">
        <f aca="false">IF(A43="","",IFERROR(1/(1/_xlfn.MINIFS(Apparitions!$L$2:$L$5001,Apparitions!$H$2:$H$5001,A43)),""))</f>
        <v/>
      </c>
    </row>
    <row r="44" customFormat="false" ht="15" hidden="false" customHeight="false" outlineLevel="0" collapsed="false">
      <c r="A44" s="19"/>
      <c r="B44" s="19"/>
      <c r="C44" s="19"/>
      <c r="D44" s="19"/>
      <c r="E44" s="32"/>
      <c r="F44" s="19"/>
      <c r="G44" s="26" t="str">
        <f aca="false">IF(A44="","",COUNTIF(Pubs!$B$2:$B$3001,A44))</f>
        <v/>
      </c>
      <c r="H44" s="26" t="str">
        <f aca="false">IF(A44="","",COUNTIF(Apparitions!$H$2:$H$5001,A44))</f>
        <v/>
      </c>
      <c r="I44" s="26" t="str">
        <f aca="false">IF(A44="","",COUNTIFS(Apparitions!$H$2:$H$5001,A44,Apparitions!$E$2:$E$5001,"○"))</f>
        <v/>
      </c>
      <c r="J44" s="29" t="str">
        <f aca="false">IF(A44="","",IFERROR(1/(1/_xlfn.MINIFS(Apparitions!$L$2:$L$5001,Apparitions!$H$2:$H$5001,A44)),""))</f>
        <v/>
      </c>
    </row>
    <row r="45" customFormat="false" ht="15" hidden="false" customHeight="false" outlineLevel="0" collapsed="false">
      <c r="A45" s="19"/>
      <c r="B45" s="19"/>
      <c r="C45" s="19"/>
      <c r="D45" s="19"/>
      <c r="E45" s="32"/>
      <c r="F45" s="19"/>
      <c r="G45" s="26" t="str">
        <f aca="false">IF(A45="","",COUNTIF(Pubs!$B$2:$B$3001,A45))</f>
        <v/>
      </c>
      <c r="H45" s="26" t="str">
        <f aca="false">IF(A45="","",COUNTIF(Apparitions!$H$2:$H$5001,A45))</f>
        <v/>
      </c>
      <c r="I45" s="26" t="str">
        <f aca="false">IF(A45="","",COUNTIFS(Apparitions!$H$2:$H$5001,A45,Apparitions!$E$2:$E$5001,"○"))</f>
        <v/>
      </c>
      <c r="J45" s="29" t="str">
        <f aca="false">IF(A45="","",IFERROR(1/(1/_xlfn.MINIFS(Apparitions!$L$2:$L$5001,Apparitions!$H$2:$H$5001,A45)),""))</f>
        <v/>
      </c>
    </row>
    <row r="46" customFormat="false" ht="15" hidden="false" customHeight="false" outlineLevel="0" collapsed="false">
      <c r="A46" s="19"/>
      <c r="B46" s="19"/>
      <c r="C46" s="19"/>
      <c r="D46" s="19"/>
      <c r="E46" s="32"/>
      <c r="F46" s="19"/>
      <c r="G46" s="26" t="str">
        <f aca="false">IF(A46="","",COUNTIF(Pubs!$B$2:$B$3001,A46))</f>
        <v/>
      </c>
      <c r="H46" s="26" t="str">
        <f aca="false">IF(A46="","",COUNTIF(Apparitions!$H$2:$H$5001,A46))</f>
        <v/>
      </c>
      <c r="I46" s="26" t="str">
        <f aca="false">IF(A46="","",COUNTIFS(Apparitions!$H$2:$H$5001,A46,Apparitions!$E$2:$E$5001,"○"))</f>
        <v/>
      </c>
      <c r="J46" s="29" t="str">
        <f aca="false">IF(A46="","",IFERROR(1/(1/_xlfn.MINIFS(Apparitions!$L$2:$L$5001,Apparitions!$H$2:$H$5001,A46)),""))</f>
        <v/>
      </c>
    </row>
    <row r="47" customFormat="false" ht="15" hidden="false" customHeight="false" outlineLevel="0" collapsed="false">
      <c r="A47" s="19"/>
      <c r="B47" s="19"/>
      <c r="C47" s="19"/>
      <c r="D47" s="19"/>
      <c r="E47" s="32"/>
      <c r="F47" s="19"/>
      <c r="G47" s="26" t="str">
        <f aca="false">IF(A47="","",COUNTIF(Pubs!$B$2:$B$3001,A47))</f>
        <v/>
      </c>
      <c r="H47" s="26" t="str">
        <f aca="false">IF(A47="","",COUNTIF(Apparitions!$H$2:$H$5001,A47))</f>
        <v/>
      </c>
      <c r="I47" s="26" t="str">
        <f aca="false">IF(A47="","",COUNTIFS(Apparitions!$H$2:$H$5001,A47,Apparitions!$E$2:$E$5001,"○"))</f>
        <v/>
      </c>
      <c r="J47" s="29" t="str">
        <f aca="false">IF(A47="","",IFERROR(1/(1/_xlfn.MINIFS(Apparitions!$L$2:$L$5001,Apparitions!$H$2:$H$5001,A47)),""))</f>
        <v/>
      </c>
    </row>
    <row r="48" customFormat="false" ht="15" hidden="false" customHeight="false" outlineLevel="0" collapsed="false">
      <c r="A48" s="19"/>
      <c r="B48" s="19"/>
      <c r="C48" s="19"/>
      <c r="D48" s="19"/>
      <c r="E48" s="32"/>
      <c r="F48" s="19"/>
      <c r="G48" s="26" t="str">
        <f aca="false">IF(A48="","",COUNTIF(Pubs!$B$2:$B$3001,A48))</f>
        <v/>
      </c>
      <c r="H48" s="26" t="str">
        <f aca="false">IF(A48="","",COUNTIF(Apparitions!$H$2:$H$5001,A48))</f>
        <v/>
      </c>
      <c r="I48" s="26" t="str">
        <f aca="false">IF(A48="","",COUNTIFS(Apparitions!$H$2:$H$5001,A48,Apparitions!$E$2:$E$5001,"○"))</f>
        <v/>
      </c>
      <c r="J48" s="29" t="str">
        <f aca="false">IF(A48="","",IFERROR(1/(1/_xlfn.MINIFS(Apparitions!$L$2:$L$5001,Apparitions!$H$2:$H$5001,A48)),""))</f>
        <v/>
      </c>
    </row>
    <row r="49" customFormat="false" ht="15" hidden="false" customHeight="false" outlineLevel="0" collapsed="false">
      <c r="A49" s="19"/>
      <c r="B49" s="19"/>
      <c r="C49" s="19"/>
      <c r="D49" s="19"/>
      <c r="E49" s="32"/>
      <c r="F49" s="19"/>
      <c r="G49" s="26" t="str">
        <f aca="false">IF(A49="","",COUNTIF(Pubs!$B$2:$B$3001,A49))</f>
        <v/>
      </c>
      <c r="H49" s="26" t="str">
        <f aca="false">IF(A49="","",COUNTIF(Apparitions!$H$2:$H$5001,A49))</f>
        <v/>
      </c>
      <c r="I49" s="26" t="str">
        <f aca="false">IF(A49="","",COUNTIFS(Apparitions!$H$2:$H$5001,A49,Apparitions!$E$2:$E$5001,"○"))</f>
        <v/>
      </c>
      <c r="J49" s="29" t="str">
        <f aca="false">IF(A49="","",IFERROR(1/(1/_xlfn.MINIFS(Apparitions!$L$2:$L$5001,Apparitions!$H$2:$H$5001,A49)),""))</f>
        <v/>
      </c>
    </row>
    <row r="50" customFormat="false" ht="15" hidden="false" customHeight="false" outlineLevel="0" collapsed="false">
      <c r="A50" s="19"/>
      <c r="B50" s="19"/>
      <c r="C50" s="19"/>
      <c r="D50" s="19"/>
      <c r="E50" s="32"/>
      <c r="F50" s="19"/>
      <c r="G50" s="26" t="str">
        <f aca="false">IF(A50="","",COUNTIF(Pubs!$B$2:$B$3001,A50))</f>
        <v/>
      </c>
      <c r="H50" s="26" t="str">
        <f aca="false">IF(A50="","",COUNTIF(Apparitions!$H$2:$H$5001,A50))</f>
        <v/>
      </c>
      <c r="I50" s="26" t="str">
        <f aca="false">IF(A50="","",COUNTIFS(Apparitions!$H$2:$H$5001,A50,Apparitions!$E$2:$E$5001,"○"))</f>
        <v/>
      </c>
      <c r="J50" s="29" t="str">
        <f aca="false">IF(A50="","",IFERROR(1/(1/_xlfn.MINIFS(Apparitions!$L$2:$L$5001,Apparitions!$H$2:$H$5001,A50)),""))</f>
        <v/>
      </c>
    </row>
    <row r="51" customFormat="false" ht="15" hidden="false" customHeight="false" outlineLevel="0" collapsed="false">
      <c r="A51" s="19"/>
      <c r="B51" s="19"/>
      <c r="C51" s="19"/>
      <c r="D51" s="19"/>
      <c r="E51" s="32"/>
      <c r="F51" s="19"/>
      <c r="G51" s="26" t="str">
        <f aca="false">IF(A51="","",COUNTIF(Pubs!$B$2:$B$3001,A51))</f>
        <v/>
      </c>
      <c r="H51" s="26" t="str">
        <f aca="false">IF(A51="","",COUNTIF(Apparitions!$H$2:$H$5001,A51))</f>
        <v/>
      </c>
      <c r="I51" s="26" t="str">
        <f aca="false">IF(A51="","",COUNTIFS(Apparitions!$H$2:$H$5001,A51,Apparitions!$E$2:$E$5001,"○"))</f>
        <v/>
      </c>
      <c r="J51" s="29" t="str">
        <f aca="false">IF(A51="","",IFERROR(1/(1/_xlfn.MINIFS(Apparitions!$L$2:$L$5001,Apparitions!$H$2:$H$5001,A51)),""))</f>
        <v/>
      </c>
    </row>
    <row r="52" customFormat="false" ht="15" hidden="false" customHeight="false" outlineLevel="0" collapsed="false">
      <c r="A52" s="19"/>
      <c r="B52" s="19"/>
      <c r="C52" s="19"/>
      <c r="D52" s="19"/>
      <c r="E52" s="32"/>
      <c r="F52" s="19"/>
      <c r="G52" s="26" t="str">
        <f aca="false">IF(A52="","",COUNTIF(Pubs!$B$2:$B$3001,A52))</f>
        <v/>
      </c>
      <c r="H52" s="26" t="str">
        <f aca="false">IF(A52="","",COUNTIF(Apparitions!$H$2:$H$5001,A52))</f>
        <v/>
      </c>
      <c r="I52" s="26" t="str">
        <f aca="false">IF(A52="","",COUNTIFS(Apparitions!$H$2:$H$5001,A52,Apparitions!$E$2:$E$5001,"○"))</f>
        <v/>
      </c>
      <c r="J52" s="29" t="str">
        <f aca="false">IF(A52="","",IFERROR(1/(1/_xlfn.MINIFS(Apparitions!$L$2:$L$5001,Apparitions!$H$2:$H$5001,A52)),""))</f>
        <v/>
      </c>
    </row>
    <row r="53" customFormat="false" ht="15" hidden="false" customHeight="false" outlineLevel="0" collapsed="false">
      <c r="A53" s="19"/>
      <c r="B53" s="19"/>
      <c r="C53" s="19"/>
      <c r="D53" s="19"/>
      <c r="E53" s="32"/>
      <c r="F53" s="19"/>
      <c r="G53" s="26" t="str">
        <f aca="false">IF(A53="","",COUNTIF(Pubs!$B$2:$B$3001,A53))</f>
        <v/>
      </c>
      <c r="H53" s="26" t="str">
        <f aca="false">IF(A53="","",COUNTIF(Apparitions!$H$2:$H$5001,A53))</f>
        <v/>
      </c>
      <c r="I53" s="26" t="str">
        <f aca="false">IF(A53="","",COUNTIFS(Apparitions!$H$2:$H$5001,A53,Apparitions!$E$2:$E$5001,"○"))</f>
        <v/>
      </c>
      <c r="J53" s="29" t="str">
        <f aca="false">IF(A53="","",IFERROR(1/(1/_xlfn.MINIFS(Apparitions!$L$2:$L$5001,Apparitions!$H$2:$H$5001,A53)),""))</f>
        <v/>
      </c>
    </row>
    <row r="54" customFormat="false" ht="15" hidden="false" customHeight="false" outlineLevel="0" collapsed="false">
      <c r="A54" s="19"/>
      <c r="B54" s="19"/>
      <c r="C54" s="19"/>
      <c r="D54" s="19"/>
      <c r="E54" s="32"/>
      <c r="F54" s="19"/>
      <c r="G54" s="26" t="str">
        <f aca="false">IF(A54="","",COUNTIF(Pubs!$B$2:$B$3001,A54))</f>
        <v/>
      </c>
      <c r="H54" s="26" t="str">
        <f aca="false">IF(A54="","",COUNTIF(Apparitions!$H$2:$H$5001,A54))</f>
        <v/>
      </c>
      <c r="I54" s="26" t="str">
        <f aca="false">IF(A54="","",COUNTIFS(Apparitions!$H$2:$H$5001,A54,Apparitions!$E$2:$E$5001,"○"))</f>
        <v/>
      </c>
      <c r="J54" s="29" t="str">
        <f aca="false">IF(A54="","",IFERROR(1/(1/_xlfn.MINIFS(Apparitions!$L$2:$L$5001,Apparitions!$H$2:$H$5001,A54)),""))</f>
        <v/>
      </c>
    </row>
    <row r="55" customFormat="false" ht="15" hidden="false" customHeight="false" outlineLevel="0" collapsed="false">
      <c r="A55" s="19"/>
      <c r="B55" s="19"/>
      <c r="C55" s="19"/>
      <c r="D55" s="19"/>
      <c r="E55" s="32"/>
      <c r="F55" s="19"/>
      <c r="G55" s="26" t="str">
        <f aca="false">IF(A55="","",COUNTIF(Pubs!$B$2:$B$3001,A55))</f>
        <v/>
      </c>
      <c r="H55" s="26" t="str">
        <f aca="false">IF(A55="","",COUNTIF(Apparitions!$H$2:$H$5001,A55))</f>
        <v/>
      </c>
      <c r="I55" s="26" t="str">
        <f aca="false">IF(A55="","",COUNTIFS(Apparitions!$H$2:$H$5001,A55,Apparitions!$E$2:$E$5001,"○"))</f>
        <v/>
      </c>
      <c r="J55" s="29" t="str">
        <f aca="false">IF(A55="","",IFERROR(1/(1/_xlfn.MINIFS(Apparitions!$L$2:$L$5001,Apparitions!$H$2:$H$5001,A55)),""))</f>
        <v/>
      </c>
    </row>
    <row r="56" customFormat="false" ht="15" hidden="false" customHeight="false" outlineLevel="0" collapsed="false">
      <c r="A56" s="19"/>
      <c r="B56" s="19"/>
      <c r="C56" s="19"/>
      <c r="D56" s="19"/>
      <c r="E56" s="32"/>
      <c r="F56" s="19"/>
      <c r="G56" s="26" t="str">
        <f aca="false">IF(A56="","",COUNTIF(Pubs!$B$2:$B$3001,A56))</f>
        <v/>
      </c>
      <c r="H56" s="26" t="str">
        <f aca="false">IF(A56="","",COUNTIF(Apparitions!$H$2:$H$5001,A56))</f>
        <v/>
      </c>
      <c r="I56" s="26" t="str">
        <f aca="false">IF(A56="","",COUNTIFS(Apparitions!$H$2:$H$5001,A56,Apparitions!$E$2:$E$5001,"○"))</f>
        <v/>
      </c>
      <c r="J56" s="29" t="str">
        <f aca="false">IF(A56="","",IFERROR(1/(1/_xlfn.MINIFS(Apparitions!$L$2:$L$5001,Apparitions!$H$2:$H$5001,A56)),""))</f>
        <v/>
      </c>
    </row>
    <row r="57" customFormat="false" ht="15" hidden="false" customHeight="false" outlineLevel="0" collapsed="false">
      <c r="A57" s="19"/>
      <c r="B57" s="19"/>
      <c r="C57" s="19"/>
      <c r="D57" s="19"/>
      <c r="E57" s="32"/>
      <c r="F57" s="19"/>
      <c r="G57" s="26" t="str">
        <f aca="false">IF(A57="","",COUNTIF(Pubs!$B$2:$B$3001,A57))</f>
        <v/>
      </c>
      <c r="H57" s="26" t="str">
        <f aca="false">IF(A57="","",COUNTIF(Apparitions!$H$2:$H$5001,A57))</f>
        <v/>
      </c>
      <c r="I57" s="26" t="str">
        <f aca="false">IF(A57="","",COUNTIFS(Apparitions!$H$2:$H$5001,A57,Apparitions!$E$2:$E$5001,"○"))</f>
        <v/>
      </c>
      <c r="J57" s="29" t="str">
        <f aca="false">IF(A57="","",IFERROR(1/(1/_xlfn.MINIFS(Apparitions!$L$2:$L$5001,Apparitions!$H$2:$H$5001,A57)),""))</f>
        <v/>
      </c>
    </row>
    <row r="58" customFormat="false" ht="15" hidden="false" customHeight="false" outlineLevel="0" collapsed="false">
      <c r="A58" s="19"/>
      <c r="B58" s="19"/>
      <c r="C58" s="19"/>
      <c r="D58" s="19"/>
      <c r="E58" s="32"/>
      <c r="F58" s="19"/>
      <c r="G58" s="26" t="str">
        <f aca="false">IF(A58="","",COUNTIF(Pubs!$B$2:$B$3001,A58))</f>
        <v/>
      </c>
      <c r="H58" s="26" t="str">
        <f aca="false">IF(A58="","",COUNTIF(Apparitions!$H$2:$H$5001,A58))</f>
        <v/>
      </c>
      <c r="I58" s="26" t="str">
        <f aca="false">IF(A58="","",COUNTIFS(Apparitions!$H$2:$H$5001,A58,Apparitions!$E$2:$E$5001,"○"))</f>
        <v/>
      </c>
      <c r="J58" s="29" t="str">
        <f aca="false">IF(A58="","",IFERROR(1/(1/_xlfn.MINIFS(Apparitions!$L$2:$L$5001,Apparitions!$H$2:$H$5001,A58)),""))</f>
        <v/>
      </c>
    </row>
    <row r="59" customFormat="false" ht="15" hidden="false" customHeight="false" outlineLevel="0" collapsed="false">
      <c r="A59" s="19"/>
      <c r="B59" s="19"/>
      <c r="C59" s="19"/>
      <c r="D59" s="19"/>
      <c r="E59" s="32"/>
      <c r="F59" s="19"/>
      <c r="G59" s="26" t="str">
        <f aca="false">IF(A59="","",COUNTIF(Pubs!$B$2:$B$3001,A59))</f>
        <v/>
      </c>
      <c r="H59" s="26" t="str">
        <f aca="false">IF(A59="","",COUNTIF(Apparitions!$H$2:$H$5001,A59))</f>
        <v/>
      </c>
      <c r="I59" s="26" t="str">
        <f aca="false">IF(A59="","",COUNTIFS(Apparitions!$H$2:$H$5001,A59,Apparitions!$E$2:$E$5001,"○"))</f>
        <v/>
      </c>
      <c r="J59" s="29" t="str">
        <f aca="false">IF(A59="","",IFERROR(1/(1/_xlfn.MINIFS(Apparitions!$L$2:$L$5001,Apparitions!$H$2:$H$5001,A59)),""))</f>
        <v/>
      </c>
    </row>
    <row r="60" customFormat="false" ht="15" hidden="false" customHeight="false" outlineLevel="0" collapsed="false">
      <c r="A60" s="19"/>
      <c r="B60" s="19"/>
      <c r="C60" s="19"/>
      <c r="D60" s="19"/>
      <c r="E60" s="32"/>
      <c r="F60" s="19"/>
      <c r="G60" s="26" t="str">
        <f aca="false">IF(A60="","",COUNTIF(Pubs!$B$2:$B$3001,A60))</f>
        <v/>
      </c>
      <c r="H60" s="26" t="str">
        <f aca="false">IF(A60="","",COUNTIF(Apparitions!$H$2:$H$5001,A60))</f>
        <v/>
      </c>
      <c r="I60" s="26" t="str">
        <f aca="false">IF(A60="","",COUNTIFS(Apparitions!$H$2:$H$5001,A60,Apparitions!$E$2:$E$5001,"○"))</f>
        <v/>
      </c>
      <c r="J60" s="29" t="str">
        <f aca="false">IF(A60="","",IFERROR(1/(1/_xlfn.MINIFS(Apparitions!$L$2:$L$5001,Apparitions!$H$2:$H$5001,A60)),""))</f>
        <v/>
      </c>
    </row>
    <row r="61" customFormat="false" ht="15" hidden="false" customHeight="false" outlineLevel="0" collapsed="false">
      <c r="A61" s="19"/>
      <c r="B61" s="19"/>
      <c r="C61" s="19"/>
      <c r="D61" s="19"/>
      <c r="E61" s="32"/>
      <c r="F61" s="19"/>
      <c r="G61" s="26" t="str">
        <f aca="false">IF(A61="","",COUNTIF(Pubs!$B$2:$B$3001,A61))</f>
        <v/>
      </c>
      <c r="H61" s="26" t="str">
        <f aca="false">IF(A61="","",COUNTIF(Apparitions!$H$2:$H$5001,A61))</f>
        <v/>
      </c>
      <c r="I61" s="26" t="str">
        <f aca="false">IF(A61="","",COUNTIFS(Apparitions!$H$2:$H$5001,A61,Apparitions!$E$2:$E$5001,"○"))</f>
        <v/>
      </c>
      <c r="J61" s="29" t="str">
        <f aca="false">IF(A61="","",IFERROR(1/(1/_xlfn.MINIFS(Apparitions!$L$2:$L$5001,Apparitions!$H$2:$H$5001,A61)),""))</f>
        <v/>
      </c>
    </row>
    <row r="62" customFormat="false" ht="15" hidden="false" customHeight="false" outlineLevel="0" collapsed="false">
      <c r="A62" s="19"/>
      <c r="B62" s="19"/>
      <c r="C62" s="19"/>
      <c r="D62" s="19"/>
      <c r="E62" s="32"/>
      <c r="F62" s="19"/>
      <c r="G62" s="26" t="str">
        <f aca="false">IF(A62="","",COUNTIF(Pubs!$B$2:$B$3001,A62))</f>
        <v/>
      </c>
      <c r="H62" s="26" t="str">
        <f aca="false">IF(A62="","",COUNTIF(Apparitions!$H$2:$H$5001,A62))</f>
        <v/>
      </c>
      <c r="I62" s="26" t="str">
        <f aca="false">IF(A62="","",COUNTIFS(Apparitions!$H$2:$H$5001,A62,Apparitions!$E$2:$E$5001,"○"))</f>
        <v/>
      </c>
      <c r="J62" s="29" t="str">
        <f aca="false">IF(A62="","",IFERROR(1/(1/_xlfn.MINIFS(Apparitions!$L$2:$L$5001,Apparitions!$H$2:$H$5001,A62)),""))</f>
        <v/>
      </c>
    </row>
    <row r="63" customFormat="false" ht="15" hidden="false" customHeight="false" outlineLevel="0" collapsed="false">
      <c r="A63" s="19"/>
      <c r="B63" s="19"/>
      <c r="C63" s="19"/>
      <c r="D63" s="19"/>
      <c r="E63" s="32"/>
      <c r="F63" s="19"/>
      <c r="G63" s="26" t="str">
        <f aca="false">IF(A63="","",COUNTIF(Pubs!$B$2:$B$3001,A63))</f>
        <v/>
      </c>
      <c r="H63" s="26" t="str">
        <f aca="false">IF(A63="","",COUNTIF(Apparitions!$H$2:$H$5001,A63))</f>
        <v/>
      </c>
      <c r="I63" s="26" t="str">
        <f aca="false">IF(A63="","",COUNTIFS(Apparitions!$H$2:$H$5001,A63,Apparitions!$E$2:$E$5001,"○"))</f>
        <v/>
      </c>
      <c r="J63" s="29" t="str">
        <f aca="false">IF(A63="","",IFERROR(1/(1/_xlfn.MINIFS(Apparitions!$L$2:$L$5001,Apparitions!$H$2:$H$5001,A63)),""))</f>
        <v/>
      </c>
    </row>
    <row r="64" customFormat="false" ht="15" hidden="false" customHeight="false" outlineLevel="0" collapsed="false">
      <c r="A64" s="19"/>
      <c r="B64" s="19"/>
      <c r="C64" s="19"/>
      <c r="D64" s="19"/>
      <c r="E64" s="32"/>
      <c r="F64" s="19"/>
      <c r="G64" s="26" t="str">
        <f aca="false">IF(A64="","",COUNTIF(Pubs!$B$2:$B$3001,A64))</f>
        <v/>
      </c>
      <c r="H64" s="26" t="str">
        <f aca="false">IF(A64="","",COUNTIF(Apparitions!$H$2:$H$5001,A64))</f>
        <v/>
      </c>
      <c r="I64" s="26" t="str">
        <f aca="false">IF(A64="","",COUNTIFS(Apparitions!$H$2:$H$5001,A64,Apparitions!$E$2:$E$5001,"○"))</f>
        <v/>
      </c>
      <c r="J64" s="29" t="str">
        <f aca="false">IF(A64="","",IFERROR(1/(1/_xlfn.MINIFS(Apparitions!$L$2:$L$5001,Apparitions!$H$2:$H$5001,A64)),""))</f>
        <v/>
      </c>
    </row>
    <row r="65" customFormat="false" ht="15" hidden="false" customHeight="false" outlineLevel="0" collapsed="false">
      <c r="A65" s="19"/>
      <c r="B65" s="19"/>
      <c r="C65" s="19"/>
      <c r="D65" s="19"/>
      <c r="E65" s="32"/>
      <c r="F65" s="19"/>
      <c r="G65" s="26" t="str">
        <f aca="false">IF(A65="","",COUNTIF(Pubs!$B$2:$B$3001,A65))</f>
        <v/>
      </c>
      <c r="H65" s="26" t="str">
        <f aca="false">IF(A65="","",COUNTIF(Apparitions!$H$2:$H$5001,A65))</f>
        <v/>
      </c>
      <c r="I65" s="26" t="str">
        <f aca="false">IF(A65="","",COUNTIFS(Apparitions!$H$2:$H$5001,A65,Apparitions!$E$2:$E$5001,"○"))</f>
        <v/>
      </c>
      <c r="J65" s="29" t="str">
        <f aca="false">IF(A65="","",IFERROR(1/(1/_xlfn.MINIFS(Apparitions!$L$2:$L$5001,Apparitions!$H$2:$H$5001,A65)),""))</f>
        <v/>
      </c>
    </row>
    <row r="66" customFormat="false" ht="15" hidden="false" customHeight="false" outlineLevel="0" collapsed="false">
      <c r="A66" s="19"/>
      <c r="B66" s="19"/>
      <c r="C66" s="19"/>
      <c r="D66" s="19"/>
      <c r="E66" s="32"/>
      <c r="F66" s="19"/>
      <c r="G66" s="26" t="str">
        <f aca="false">IF(A66="","",COUNTIF(Pubs!$B$2:$B$3001,A66))</f>
        <v/>
      </c>
      <c r="H66" s="26" t="str">
        <f aca="false">IF(A66="","",COUNTIF(Apparitions!$H$2:$H$5001,A66))</f>
        <v/>
      </c>
      <c r="I66" s="26" t="str">
        <f aca="false">IF(A66="","",COUNTIFS(Apparitions!$H$2:$H$5001,A66,Apparitions!$E$2:$E$5001,"○"))</f>
        <v/>
      </c>
      <c r="J66" s="29" t="str">
        <f aca="false">IF(A66="","",IFERROR(1/(1/_xlfn.MINIFS(Apparitions!$L$2:$L$5001,Apparitions!$H$2:$H$5001,A66)),""))</f>
        <v/>
      </c>
    </row>
    <row r="67" customFormat="false" ht="15" hidden="false" customHeight="false" outlineLevel="0" collapsed="false">
      <c r="A67" s="19"/>
      <c r="B67" s="19"/>
      <c r="C67" s="19"/>
      <c r="D67" s="19"/>
      <c r="E67" s="32"/>
      <c r="F67" s="19"/>
      <c r="G67" s="26" t="str">
        <f aca="false">IF(A67="","",COUNTIF(Pubs!$B$2:$B$3001,A67))</f>
        <v/>
      </c>
      <c r="H67" s="26" t="str">
        <f aca="false">IF(A67="","",COUNTIF(Apparitions!$H$2:$H$5001,A67))</f>
        <v/>
      </c>
      <c r="I67" s="26" t="str">
        <f aca="false">IF(A67="","",COUNTIFS(Apparitions!$H$2:$H$5001,A67,Apparitions!$E$2:$E$5001,"○"))</f>
        <v/>
      </c>
      <c r="J67" s="29" t="str">
        <f aca="false">IF(A67="","",IFERROR(1/(1/_xlfn.MINIFS(Apparitions!$L$2:$L$5001,Apparitions!$H$2:$H$5001,A67)),""))</f>
        <v/>
      </c>
    </row>
    <row r="68" customFormat="false" ht="15" hidden="false" customHeight="false" outlineLevel="0" collapsed="false">
      <c r="A68" s="19"/>
      <c r="B68" s="19"/>
      <c r="C68" s="19"/>
      <c r="D68" s="19"/>
      <c r="E68" s="32"/>
      <c r="F68" s="19"/>
      <c r="G68" s="26" t="str">
        <f aca="false">IF(A68="","",COUNTIF(Pubs!$B$2:$B$3001,A68))</f>
        <v/>
      </c>
      <c r="H68" s="26" t="str">
        <f aca="false">IF(A68="","",COUNTIF(Apparitions!$H$2:$H$5001,A68))</f>
        <v/>
      </c>
      <c r="I68" s="26" t="str">
        <f aca="false">IF(A68="","",COUNTIFS(Apparitions!$H$2:$H$5001,A68,Apparitions!$E$2:$E$5001,"○"))</f>
        <v/>
      </c>
      <c r="J68" s="29" t="str">
        <f aca="false">IF(A68="","",IFERROR(1/(1/_xlfn.MINIFS(Apparitions!$L$2:$L$5001,Apparitions!$H$2:$H$5001,A68)),""))</f>
        <v/>
      </c>
    </row>
    <row r="69" customFormat="false" ht="15" hidden="false" customHeight="false" outlineLevel="0" collapsed="false">
      <c r="A69" s="19"/>
      <c r="B69" s="19"/>
      <c r="C69" s="19"/>
      <c r="D69" s="19"/>
      <c r="E69" s="32"/>
      <c r="F69" s="19"/>
      <c r="G69" s="26" t="str">
        <f aca="false">IF(A69="","",COUNTIF(Pubs!$B$2:$B$3001,A69))</f>
        <v/>
      </c>
      <c r="H69" s="26" t="str">
        <f aca="false">IF(A69="","",COUNTIF(Apparitions!$H$2:$H$5001,A69))</f>
        <v/>
      </c>
      <c r="I69" s="26" t="str">
        <f aca="false">IF(A69="","",COUNTIFS(Apparitions!$H$2:$H$5001,A69,Apparitions!$E$2:$E$5001,"○"))</f>
        <v/>
      </c>
      <c r="J69" s="29" t="str">
        <f aca="false">IF(A69="","",IFERROR(1/(1/_xlfn.MINIFS(Apparitions!$L$2:$L$5001,Apparitions!$H$2:$H$5001,A69)),""))</f>
        <v/>
      </c>
    </row>
    <row r="70" customFormat="false" ht="15" hidden="false" customHeight="false" outlineLevel="0" collapsed="false">
      <c r="A70" s="19"/>
      <c r="B70" s="19"/>
      <c r="C70" s="19"/>
      <c r="D70" s="19"/>
      <c r="E70" s="32"/>
      <c r="F70" s="19"/>
      <c r="G70" s="26" t="str">
        <f aca="false">IF(A70="","",COUNTIF(Pubs!$B$2:$B$3001,A70))</f>
        <v/>
      </c>
      <c r="H70" s="26" t="str">
        <f aca="false">IF(A70="","",COUNTIF(Apparitions!$H$2:$H$5001,A70))</f>
        <v/>
      </c>
      <c r="I70" s="26" t="str">
        <f aca="false">IF(A70="","",COUNTIFS(Apparitions!$H$2:$H$5001,A70,Apparitions!$E$2:$E$5001,"○"))</f>
        <v/>
      </c>
      <c r="J70" s="29" t="str">
        <f aca="false">IF(A70="","",IFERROR(1/(1/_xlfn.MINIFS(Apparitions!$L$2:$L$5001,Apparitions!$H$2:$H$5001,A70)),""))</f>
        <v/>
      </c>
    </row>
    <row r="71" customFormat="false" ht="15" hidden="false" customHeight="false" outlineLevel="0" collapsed="false">
      <c r="A71" s="19"/>
      <c r="B71" s="19"/>
      <c r="C71" s="19"/>
      <c r="D71" s="19"/>
      <c r="E71" s="32"/>
      <c r="F71" s="19"/>
      <c r="G71" s="26" t="str">
        <f aca="false">IF(A71="","",COUNTIF(Pubs!$B$2:$B$3001,A71))</f>
        <v/>
      </c>
      <c r="H71" s="26" t="str">
        <f aca="false">IF(A71="","",COUNTIF(Apparitions!$H$2:$H$5001,A71))</f>
        <v/>
      </c>
      <c r="I71" s="26" t="str">
        <f aca="false">IF(A71="","",COUNTIFS(Apparitions!$H$2:$H$5001,A71,Apparitions!$E$2:$E$5001,"○"))</f>
        <v/>
      </c>
      <c r="J71" s="29" t="str">
        <f aca="false">IF(A71="","",IFERROR(1/(1/_xlfn.MINIFS(Apparitions!$L$2:$L$5001,Apparitions!$H$2:$H$5001,A71)),""))</f>
        <v/>
      </c>
    </row>
    <row r="72" customFormat="false" ht="15" hidden="false" customHeight="false" outlineLevel="0" collapsed="false">
      <c r="A72" s="19"/>
      <c r="B72" s="19"/>
      <c r="C72" s="19"/>
      <c r="D72" s="19"/>
      <c r="E72" s="32"/>
      <c r="F72" s="19"/>
      <c r="G72" s="26" t="str">
        <f aca="false">IF(A72="","",COUNTIF(Pubs!$B$2:$B$3001,A72))</f>
        <v/>
      </c>
      <c r="H72" s="26" t="str">
        <f aca="false">IF(A72="","",COUNTIF(Apparitions!$H$2:$H$5001,A72))</f>
        <v/>
      </c>
      <c r="I72" s="26" t="str">
        <f aca="false">IF(A72="","",COUNTIFS(Apparitions!$H$2:$H$5001,A72,Apparitions!$E$2:$E$5001,"○"))</f>
        <v/>
      </c>
      <c r="J72" s="29" t="str">
        <f aca="false">IF(A72="","",IFERROR(1/(1/_xlfn.MINIFS(Apparitions!$L$2:$L$5001,Apparitions!$H$2:$H$5001,A72)),""))</f>
        <v/>
      </c>
    </row>
    <row r="73" customFormat="false" ht="15" hidden="false" customHeight="false" outlineLevel="0" collapsed="false">
      <c r="A73" s="19"/>
      <c r="B73" s="19"/>
      <c r="C73" s="19"/>
      <c r="D73" s="19"/>
      <c r="E73" s="32"/>
      <c r="F73" s="19"/>
      <c r="G73" s="26" t="str">
        <f aca="false">IF(A73="","",COUNTIF(Pubs!$B$2:$B$3001,A73))</f>
        <v/>
      </c>
      <c r="H73" s="26" t="str">
        <f aca="false">IF(A73="","",COUNTIF(Apparitions!$H$2:$H$5001,A73))</f>
        <v/>
      </c>
      <c r="I73" s="26" t="str">
        <f aca="false">IF(A73="","",COUNTIFS(Apparitions!$H$2:$H$5001,A73,Apparitions!$E$2:$E$5001,"○"))</f>
        <v/>
      </c>
      <c r="J73" s="29" t="str">
        <f aca="false">IF(A73="","",IFERROR(1/(1/_xlfn.MINIFS(Apparitions!$L$2:$L$5001,Apparitions!$H$2:$H$5001,A73)),""))</f>
        <v/>
      </c>
    </row>
    <row r="74" customFormat="false" ht="15" hidden="false" customHeight="false" outlineLevel="0" collapsed="false">
      <c r="A74" s="19"/>
      <c r="B74" s="19"/>
      <c r="C74" s="19"/>
      <c r="D74" s="19"/>
      <c r="E74" s="32"/>
      <c r="F74" s="19"/>
      <c r="G74" s="26" t="str">
        <f aca="false">IF(A74="","",COUNTIF(Pubs!$B$2:$B$3001,A74))</f>
        <v/>
      </c>
      <c r="H74" s="26" t="str">
        <f aca="false">IF(A74="","",COUNTIF(Apparitions!$H$2:$H$5001,A74))</f>
        <v/>
      </c>
      <c r="I74" s="26" t="str">
        <f aca="false">IF(A74="","",COUNTIFS(Apparitions!$H$2:$H$5001,A74,Apparitions!$E$2:$E$5001,"○"))</f>
        <v/>
      </c>
      <c r="J74" s="29" t="str">
        <f aca="false">IF(A74="","",IFERROR(1/(1/_xlfn.MINIFS(Apparitions!$L$2:$L$5001,Apparitions!$H$2:$H$5001,A74)),""))</f>
        <v/>
      </c>
    </row>
    <row r="75" customFormat="false" ht="15" hidden="false" customHeight="false" outlineLevel="0" collapsed="false">
      <c r="A75" s="19"/>
      <c r="B75" s="19"/>
      <c r="C75" s="19"/>
      <c r="D75" s="19"/>
      <c r="E75" s="32"/>
      <c r="F75" s="19"/>
      <c r="G75" s="26" t="str">
        <f aca="false">IF(A75="","",COUNTIF(Pubs!$B$2:$B$3001,A75))</f>
        <v/>
      </c>
      <c r="H75" s="26" t="str">
        <f aca="false">IF(A75="","",COUNTIF(Apparitions!$H$2:$H$5001,A75))</f>
        <v/>
      </c>
      <c r="I75" s="26" t="str">
        <f aca="false">IF(A75="","",COUNTIFS(Apparitions!$H$2:$H$5001,A75,Apparitions!$E$2:$E$5001,"○"))</f>
        <v/>
      </c>
      <c r="J75" s="29" t="str">
        <f aca="false">IF(A75="","",IFERROR(1/(1/_xlfn.MINIFS(Apparitions!$L$2:$L$5001,Apparitions!$H$2:$H$5001,A75)),""))</f>
        <v/>
      </c>
    </row>
    <row r="76" customFormat="false" ht="15" hidden="false" customHeight="false" outlineLevel="0" collapsed="false">
      <c r="A76" s="19"/>
      <c r="B76" s="19"/>
      <c r="C76" s="19"/>
      <c r="D76" s="19"/>
      <c r="E76" s="32"/>
      <c r="F76" s="19"/>
      <c r="G76" s="26" t="str">
        <f aca="false">IF(A76="","",COUNTIF(Pubs!$B$2:$B$3001,A76))</f>
        <v/>
      </c>
      <c r="H76" s="26" t="str">
        <f aca="false">IF(A76="","",COUNTIF(Apparitions!$H$2:$H$5001,A76))</f>
        <v/>
      </c>
      <c r="I76" s="26" t="str">
        <f aca="false">IF(A76="","",COUNTIFS(Apparitions!$H$2:$H$5001,A76,Apparitions!$E$2:$E$5001,"○"))</f>
        <v/>
      </c>
      <c r="J76" s="29" t="str">
        <f aca="false">IF(A76="","",IFERROR(1/(1/_xlfn.MINIFS(Apparitions!$L$2:$L$5001,Apparitions!$H$2:$H$5001,A76)),""))</f>
        <v/>
      </c>
    </row>
    <row r="77" customFormat="false" ht="15" hidden="false" customHeight="false" outlineLevel="0" collapsed="false">
      <c r="A77" s="19"/>
      <c r="B77" s="19"/>
      <c r="C77" s="19"/>
      <c r="D77" s="19"/>
      <c r="E77" s="32"/>
      <c r="F77" s="19"/>
      <c r="G77" s="26" t="str">
        <f aca="false">IF(A77="","",COUNTIF(Pubs!$B$2:$B$3001,A77))</f>
        <v/>
      </c>
      <c r="H77" s="26" t="str">
        <f aca="false">IF(A77="","",COUNTIF(Apparitions!$H$2:$H$5001,A77))</f>
        <v/>
      </c>
      <c r="I77" s="26" t="str">
        <f aca="false">IF(A77="","",COUNTIFS(Apparitions!$H$2:$H$5001,A77,Apparitions!$E$2:$E$5001,"○"))</f>
        <v/>
      </c>
      <c r="J77" s="29" t="str">
        <f aca="false">IF(A77="","",IFERROR(1/(1/_xlfn.MINIFS(Apparitions!$L$2:$L$5001,Apparitions!$H$2:$H$5001,A77)),""))</f>
        <v/>
      </c>
    </row>
    <row r="78" customFormat="false" ht="15" hidden="false" customHeight="false" outlineLevel="0" collapsed="false">
      <c r="A78" s="19"/>
      <c r="B78" s="19"/>
      <c r="C78" s="19"/>
      <c r="D78" s="19"/>
      <c r="E78" s="32"/>
      <c r="F78" s="19"/>
      <c r="G78" s="26" t="str">
        <f aca="false">IF(A78="","",COUNTIF(Pubs!$B$2:$B$3001,A78))</f>
        <v/>
      </c>
      <c r="H78" s="26" t="str">
        <f aca="false">IF(A78="","",COUNTIF(Apparitions!$H$2:$H$5001,A78))</f>
        <v/>
      </c>
      <c r="I78" s="26" t="str">
        <f aca="false">IF(A78="","",COUNTIFS(Apparitions!$H$2:$H$5001,A78,Apparitions!$E$2:$E$5001,"○"))</f>
        <v/>
      </c>
      <c r="J78" s="29" t="str">
        <f aca="false">IF(A78="","",IFERROR(1/(1/_xlfn.MINIFS(Apparitions!$L$2:$L$5001,Apparitions!$H$2:$H$5001,A78)),""))</f>
        <v/>
      </c>
    </row>
    <row r="79" customFormat="false" ht="15" hidden="false" customHeight="false" outlineLevel="0" collapsed="false">
      <c r="A79" s="19"/>
      <c r="B79" s="19"/>
      <c r="C79" s="19"/>
      <c r="D79" s="19"/>
      <c r="E79" s="32"/>
      <c r="F79" s="19"/>
      <c r="G79" s="26" t="str">
        <f aca="false">IF(A79="","",COUNTIF(Pubs!$B$2:$B$3001,A79))</f>
        <v/>
      </c>
      <c r="H79" s="26" t="str">
        <f aca="false">IF(A79="","",COUNTIF(Apparitions!$H$2:$H$5001,A79))</f>
        <v/>
      </c>
      <c r="I79" s="26" t="str">
        <f aca="false">IF(A79="","",COUNTIFS(Apparitions!$H$2:$H$5001,A79,Apparitions!$E$2:$E$5001,"○"))</f>
        <v/>
      </c>
      <c r="J79" s="29" t="str">
        <f aca="false">IF(A79="","",IFERROR(1/(1/_xlfn.MINIFS(Apparitions!$L$2:$L$5001,Apparitions!$H$2:$H$5001,A79)),""))</f>
        <v/>
      </c>
    </row>
    <row r="80" customFormat="false" ht="15" hidden="false" customHeight="false" outlineLevel="0" collapsed="false">
      <c r="A80" s="19"/>
      <c r="B80" s="19"/>
      <c r="C80" s="19"/>
      <c r="D80" s="19"/>
      <c r="E80" s="32"/>
      <c r="F80" s="19"/>
      <c r="G80" s="26" t="str">
        <f aca="false">IF(A80="","",COUNTIF(Pubs!$B$2:$B$3001,A80))</f>
        <v/>
      </c>
      <c r="H80" s="26" t="str">
        <f aca="false">IF(A80="","",COUNTIF(Apparitions!$H$2:$H$5001,A80))</f>
        <v/>
      </c>
      <c r="I80" s="26" t="str">
        <f aca="false">IF(A80="","",COUNTIFS(Apparitions!$H$2:$H$5001,A80,Apparitions!$E$2:$E$5001,"○"))</f>
        <v/>
      </c>
      <c r="J80" s="29" t="str">
        <f aca="false">IF(A80="","",IFERROR(1/(1/_xlfn.MINIFS(Apparitions!$L$2:$L$5001,Apparitions!$H$2:$H$5001,A80)),""))</f>
        <v/>
      </c>
    </row>
    <row r="81" customFormat="false" ht="15" hidden="false" customHeight="false" outlineLevel="0" collapsed="false">
      <c r="A81" s="19"/>
      <c r="B81" s="19"/>
      <c r="C81" s="19"/>
      <c r="D81" s="19"/>
      <c r="E81" s="32"/>
      <c r="F81" s="19"/>
      <c r="G81" s="26" t="str">
        <f aca="false">IF(A81="","",COUNTIF(Pubs!$B$2:$B$3001,A81))</f>
        <v/>
      </c>
      <c r="H81" s="26" t="str">
        <f aca="false">IF(A81="","",COUNTIF(Apparitions!$H$2:$H$5001,A81))</f>
        <v/>
      </c>
      <c r="I81" s="26" t="str">
        <f aca="false">IF(A81="","",COUNTIFS(Apparitions!$H$2:$H$5001,A81,Apparitions!$E$2:$E$5001,"○"))</f>
        <v/>
      </c>
      <c r="J81" s="29" t="str">
        <f aca="false">IF(A81="","",IFERROR(1/(1/_xlfn.MINIFS(Apparitions!$L$2:$L$5001,Apparitions!$H$2:$H$5001,A81)),""))</f>
        <v/>
      </c>
    </row>
    <row r="82" customFormat="false" ht="15" hidden="false" customHeight="false" outlineLevel="0" collapsed="false">
      <c r="A82" s="19"/>
      <c r="B82" s="19"/>
      <c r="C82" s="19"/>
      <c r="D82" s="19"/>
      <c r="E82" s="32"/>
      <c r="F82" s="19"/>
      <c r="G82" s="26" t="str">
        <f aca="false">IF(A82="","",COUNTIF(Pubs!$B$2:$B$3001,A82))</f>
        <v/>
      </c>
      <c r="H82" s="26" t="str">
        <f aca="false">IF(A82="","",COUNTIF(Apparitions!$H$2:$H$5001,A82))</f>
        <v/>
      </c>
      <c r="I82" s="26" t="str">
        <f aca="false">IF(A82="","",COUNTIFS(Apparitions!$H$2:$H$5001,A82,Apparitions!$E$2:$E$5001,"○"))</f>
        <v/>
      </c>
      <c r="J82" s="29" t="str">
        <f aca="false">IF(A82="","",IFERROR(1/(1/_xlfn.MINIFS(Apparitions!$L$2:$L$5001,Apparitions!$H$2:$H$5001,A82)),""))</f>
        <v/>
      </c>
    </row>
    <row r="83" customFormat="false" ht="15" hidden="false" customHeight="false" outlineLevel="0" collapsed="false">
      <c r="A83" s="19"/>
      <c r="B83" s="19"/>
      <c r="C83" s="19"/>
      <c r="D83" s="19"/>
      <c r="E83" s="32"/>
      <c r="F83" s="19"/>
      <c r="G83" s="26" t="str">
        <f aca="false">IF(A83="","",COUNTIF(Pubs!$B$2:$B$3001,A83))</f>
        <v/>
      </c>
      <c r="H83" s="26" t="str">
        <f aca="false">IF(A83="","",COUNTIF(Apparitions!$H$2:$H$5001,A83))</f>
        <v/>
      </c>
      <c r="I83" s="26" t="str">
        <f aca="false">IF(A83="","",COUNTIFS(Apparitions!$H$2:$H$5001,A83,Apparitions!$E$2:$E$5001,"○"))</f>
        <v/>
      </c>
      <c r="J83" s="29" t="str">
        <f aca="false">IF(A83="","",IFERROR(1/(1/_xlfn.MINIFS(Apparitions!$L$2:$L$5001,Apparitions!$H$2:$H$5001,A83)),""))</f>
        <v/>
      </c>
    </row>
    <row r="84" customFormat="false" ht="15" hidden="false" customHeight="false" outlineLevel="0" collapsed="false">
      <c r="A84" s="19"/>
      <c r="B84" s="19"/>
      <c r="C84" s="19"/>
      <c r="D84" s="19"/>
      <c r="E84" s="32"/>
      <c r="F84" s="19"/>
      <c r="G84" s="26" t="str">
        <f aca="false">IF(A84="","",COUNTIF(Pubs!$B$2:$B$3001,A84))</f>
        <v/>
      </c>
      <c r="H84" s="26" t="str">
        <f aca="false">IF(A84="","",COUNTIF(Apparitions!$H$2:$H$5001,A84))</f>
        <v/>
      </c>
      <c r="I84" s="26" t="str">
        <f aca="false">IF(A84="","",COUNTIFS(Apparitions!$H$2:$H$5001,A84,Apparitions!$E$2:$E$5001,"○"))</f>
        <v/>
      </c>
      <c r="J84" s="29" t="str">
        <f aca="false">IF(A84="","",IFERROR(1/(1/_xlfn.MINIFS(Apparitions!$L$2:$L$5001,Apparitions!$H$2:$H$5001,A84)),""))</f>
        <v/>
      </c>
    </row>
    <row r="85" customFormat="false" ht="15" hidden="false" customHeight="false" outlineLevel="0" collapsed="false">
      <c r="A85" s="19"/>
      <c r="B85" s="19"/>
      <c r="C85" s="19"/>
      <c r="D85" s="19"/>
      <c r="E85" s="32"/>
      <c r="F85" s="19"/>
      <c r="G85" s="26" t="str">
        <f aca="false">IF(A85="","",COUNTIF(Pubs!$B$2:$B$3001,A85))</f>
        <v/>
      </c>
      <c r="H85" s="26" t="str">
        <f aca="false">IF(A85="","",COUNTIF(Apparitions!$H$2:$H$5001,A85))</f>
        <v/>
      </c>
      <c r="I85" s="26" t="str">
        <f aca="false">IF(A85="","",COUNTIFS(Apparitions!$H$2:$H$5001,A85,Apparitions!$E$2:$E$5001,"○"))</f>
        <v/>
      </c>
      <c r="J85" s="29" t="str">
        <f aca="false">IF(A85="","",IFERROR(1/(1/_xlfn.MINIFS(Apparitions!$L$2:$L$5001,Apparitions!$H$2:$H$5001,A85)),""))</f>
        <v/>
      </c>
    </row>
    <row r="86" customFormat="false" ht="15" hidden="false" customHeight="false" outlineLevel="0" collapsed="false">
      <c r="A86" s="19"/>
      <c r="B86" s="19"/>
      <c r="C86" s="19"/>
      <c r="D86" s="19"/>
      <c r="E86" s="32"/>
      <c r="F86" s="19"/>
      <c r="G86" s="26" t="str">
        <f aca="false">IF(A86="","",COUNTIF(Pubs!$B$2:$B$3001,A86))</f>
        <v/>
      </c>
      <c r="H86" s="26" t="str">
        <f aca="false">IF(A86="","",COUNTIF(Apparitions!$H$2:$H$5001,A86))</f>
        <v/>
      </c>
      <c r="I86" s="26" t="str">
        <f aca="false">IF(A86="","",COUNTIFS(Apparitions!$H$2:$H$5001,A86,Apparitions!$E$2:$E$5001,"○"))</f>
        <v/>
      </c>
      <c r="J86" s="29" t="str">
        <f aca="false">IF(A86="","",IFERROR(1/(1/_xlfn.MINIFS(Apparitions!$L$2:$L$5001,Apparitions!$H$2:$H$5001,A86)),""))</f>
        <v/>
      </c>
    </row>
    <row r="87" customFormat="false" ht="15" hidden="false" customHeight="false" outlineLevel="0" collapsed="false">
      <c r="A87" s="19"/>
      <c r="B87" s="19"/>
      <c r="C87" s="19"/>
      <c r="D87" s="19"/>
      <c r="E87" s="32"/>
      <c r="F87" s="19"/>
      <c r="G87" s="26" t="str">
        <f aca="false">IF(A87="","",COUNTIF(Pubs!$B$2:$B$3001,A87))</f>
        <v/>
      </c>
      <c r="H87" s="26" t="str">
        <f aca="false">IF(A87="","",COUNTIF(Apparitions!$H$2:$H$5001,A87))</f>
        <v/>
      </c>
      <c r="I87" s="26" t="str">
        <f aca="false">IF(A87="","",COUNTIFS(Apparitions!$H$2:$H$5001,A87,Apparitions!$E$2:$E$5001,"○"))</f>
        <v/>
      </c>
      <c r="J87" s="29" t="str">
        <f aca="false">IF(A87="","",IFERROR(1/(1/_xlfn.MINIFS(Apparitions!$L$2:$L$5001,Apparitions!$H$2:$H$5001,A87)),""))</f>
        <v/>
      </c>
    </row>
    <row r="88" customFormat="false" ht="15" hidden="false" customHeight="false" outlineLevel="0" collapsed="false">
      <c r="A88" s="19"/>
      <c r="B88" s="19"/>
      <c r="C88" s="19"/>
      <c r="D88" s="19"/>
      <c r="E88" s="32"/>
      <c r="F88" s="19"/>
      <c r="G88" s="26" t="str">
        <f aca="false">IF(A88="","",COUNTIF(Pubs!$B$2:$B$3001,A88))</f>
        <v/>
      </c>
      <c r="H88" s="26" t="str">
        <f aca="false">IF(A88="","",COUNTIF(Apparitions!$H$2:$H$5001,A88))</f>
        <v/>
      </c>
      <c r="I88" s="26" t="str">
        <f aca="false">IF(A88="","",COUNTIFS(Apparitions!$H$2:$H$5001,A88,Apparitions!$E$2:$E$5001,"○"))</f>
        <v/>
      </c>
      <c r="J88" s="29" t="str">
        <f aca="false">IF(A88="","",IFERROR(1/(1/_xlfn.MINIFS(Apparitions!$L$2:$L$5001,Apparitions!$H$2:$H$5001,A88)),""))</f>
        <v/>
      </c>
    </row>
    <row r="89" customFormat="false" ht="15" hidden="false" customHeight="false" outlineLevel="0" collapsed="false">
      <c r="A89" s="19"/>
      <c r="B89" s="19"/>
      <c r="C89" s="19"/>
      <c r="D89" s="19"/>
      <c r="E89" s="32"/>
      <c r="F89" s="19"/>
      <c r="G89" s="26" t="str">
        <f aca="false">IF(A89="","",COUNTIF(Pubs!$B$2:$B$3001,A89))</f>
        <v/>
      </c>
      <c r="H89" s="26" t="str">
        <f aca="false">IF(A89="","",COUNTIF(Apparitions!$H$2:$H$5001,A89))</f>
        <v/>
      </c>
      <c r="I89" s="26" t="str">
        <f aca="false">IF(A89="","",COUNTIFS(Apparitions!$H$2:$H$5001,A89,Apparitions!$E$2:$E$5001,"○"))</f>
        <v/>
      </c>
      <c r="J89" s="29" t="str">
        <f aca="false">IF(A89="","",IFERROR(1/(1/_xlfn.MINIFS(Apparitions!$L$2:$L$5001,Apparitions!$H$2:$H$5001,A89)),""))</f>
        <v/>
      </c>
    </row>
    <row r="90" customFormat="false" ht="15" hidden="false" customHeight="false" outlineLevel="0" collapsed="false">
      <c r="A90" s="19"/>
      <c r="B90" s="19"/>
      <c r="C90" s="19"/>
      <c r="D90" s="19"/>
      <c r="E90" s="32"/>
      <c r="F90" s="19"/>
      <c r="G90" s="26" t="str">
        <f aca="false">IF(A90="","",COUNTIF(Pubs!$B$2:$B$3001,A90))</f>
        <v/>
      </c>
      <c r="H90" s="26" t="str">
        <f aca="false">IF(A90="","",COUNTIF(Apparitions!$H$2:$H$5001,A90))</f>
        <v/>
      </c>
      <c r="I90" s="26" t="str">
        <f aca="false">IF(A90="","",COUNTIFS(Apparitions!$H$2:$H$5001,A90,Apparitions!$E$2:$E$5001,"○"))</f>
        <v/>
      </c>
      <c r="J90" s="29" t="str">
        <f aca="false">IF(A90="","",IFERROR(1/(1/_xlfn.MINIFS(Apparitions!$L$2:$L$5001,Apparitions!$H$2:$H$5001,A90)),""))</f>
        <v/>
      </c>
    </row>
    <row r="91" customFormat="false" ht="15" hidden="false" customHeight="false" outlineLevel="0" collapsed="false">
      <c r="A91" s="19"/>
      <c r="B91" s="19"/>
      <c r="C91" s="19"/>
      <c r="D91" s="19"/>
      <c r="E91" s="32"/>
      <c r="F91" s="19"/>
      <c r="G91" s="26" t="str">
        <f aca="false">IF(A91="","",COUNTIF(Pubs!$B$2:$B$3001,A91))</f>
        <v/>
      </c>
      <c r="H91" s="26" t="str">
        <f aca="false">IF(A91="","",COUNTIF(Apparitions!$H$2:$H$5001,A91))</f>
        <v/>
      </c>
      <c r="I91" s="26" t="str">
        <f aca="false">IF(A91="","",COUNTIFS(Apparitions!$H$2:$H$5001,A91,Apparitions!$E$2:$E$5001,"○"))</f>
        <v/>
      </c>
      <c r="J91" s="29" t="str">
        <f aca="false">IF(A91="","",IFERROR(1/(1/_xlfn.MINIFS(Apparitions!$L$2:$L$5001,Apparitions!$H$2:$H$5001,A91)),""))</f>
        <v/>
      </c>
    </row>
    <row r="92" customFormat="false" ht="15" hidden="false" customHeight="false" outlineLevel="0" collapsed="false">
      <c r="A92" s="19"/>
      <c r="B92" s="19"/>
      <c r="C92" s="19"/>
      <c r="D92" s="19"/>
      <c r="E92" s="32"/>
      <c r="F92" s="19"/>
      <c r="G92" s="26" t="str">
        <f aca="false">IF(A92="","",COUNTIF(Pubs!$B$2:$B$3001,A92))</f>
        <v/>
      </c>
      <c r="H92" s="26" t="str">
        <f aca="false">IF(A92="","",COUNTIF(Apparitions!$H$2:$H$5001,A92))</f>
        <v/>
      </c>
      <c r="I92" s="26" t="str">
        <f aca="false">IF(A92="","",COUNTIFS(Apparitions!$H$2:$H$5001,A92,Apparitions!$E$2:$E$5001,"○"))</f>
        <v/>
      </c>
      <c r="J92" s="29" t="str">
        <f aca="false">IF(A92="","",IFERROR(1/(1/_xlfn.MINIFS(Apparitions!$L$2:$L$5001,Apparitions!$H$2:$H$5001,A92)),""))</f>
        <v/>
      </c>
    </row>
    <row r="93" customFormat="false" ht="15" hidden="false" customHeight="false" outlineLevel="0" collapsed="false">
      <c r="A93" s="19"/>
      <c r="B93" s="19"/>
      <c r="C93" s="19"/>
      <c r="D93" s="19"/>
      <c r="E93" s="32"/>
      <c r="F93" s="19"/>
      <c r="G93" s="26" t="str">
        <f aca="false">IF(A93="","",COUNTIF(Pubs!$B$2:$B$3001,A93))</f>
        <v/>
      </c>
      <c r="H93" s="26" t="str">
        <f aca="false">IF(A93="","",COUNTIF(Apparitions!$H$2:$H$5001,A93))</f>
        <v/>
      </c>
      <c r="I93" s="26" t="str">
        <f aca="false">IF(A93="","",COUNTIFS(Apparitions!$H$2:$H$5001,A93,Apparitions!$E$2:$E$5001,"○"))</f>
        <v/>
      </c>
      <c r="J93" s="29" t="str">
        <f aca="false">IF(A93="","",IFERROR(1/(1/_xlfn.MINIFS(Apparitions!$L$2:$L$5001,Apparitions!$H$2:$H$5001,A93)),""))</f>
        <v/>
      </c>
    </row>
    <row r="94" customFormat="false" ht="15" hidden="false" customHeight="false" outlineLevel="0" collapsed="false">
      <c r="A94" s="19"/>
      <c r="B94" s="19"/>
      <c r="C94" s="19"/>
      <c r="D94" s="19"/>
      <c r="E94" s="32"/>
      <c r="F94" s="19"/>
      <c r="G94" s="26" t="str">
        <f aca="false">IF(A94="","",COUNTIF(Pubs!$B$2:$B$3001,A94))</f>
        <v/>
      </c>
      <c r="H94" s="26" t="str">
        <f aca="false">IF(A94="","",COUNTIF(Apparitions!$H$2:$H$5001,A94))</f>
        <v/>
      </c>
      <c r="I94" s="26" t="str">
        <f aca="false">IF(A94="","",COUNTIFS(Apparitions!$H$2:$H$5001,A94,Apparitions!$E$2:$E$5001,"○"))</f>
        <v/>
      </c>
      <c r="J94" s="29" t="str">
        <f aca="false">IF(A94="","",IFERROR(1/(1/_xlfn.MINIFS(Apparitions!$L$2:$L$5001,Apparitions!$H$2:$H$5001,A94)),""))</f>
        <v/>
      </c>
    </row>
    <row r="95" customFormat="false" ht="15" hidden="false" customHeight="false" outlineLevel="0" collapsed="false">
      <c r="A95" s="19"/>
      <c r="B95" s="19"/>
      <c r="C95" s="19"/>
      <c r="D95" s="19"/>
      <c r="E95" s="32"/>
      <c r="F95" s="19"/>
      <c r="G95" s="26" t="str">
        <f aca="false">IF(A95="","",COUNTIF(Pubs!$B$2:$B$3001,A95))</f>
        <v/>
      </c>
      <c r="H95" s="26" t="str">
        <f aca="false">IF(A95="","",COUNTIF(Apparitions!$H$2:$H$5001,A95))</f>
        <v/>
      </c>
      <c r="I95" s="26" t="str">
        <f aca="false">IF(A95="","",COUNTIFS(Apparitions!$H$2:$H$5001,A95,Apparitions!$E$2:$E$5001,"○"))</f>
        <v/>
      </c>
      <c r="J95" s="29" t="str">
        <f aca="false">IF(A95="","",IFERROR(1/(1/_xlfn.MINIFS(Apparitions!$L$2:$L$5001,Apparitions!$H$2:$H$5001,A95)),""))</f>
        <v/>
      </c>
    </row>
    <row r="96" customFormat="false" ht="15" hidden="false" customHeight="false" outlineLevel="0" collapsed="false">
      <c r="A96" s="19"/>
      <c r="B96" s="19"/>
      <c r="C96" s="19"/>
      <c r="D96" s="19"/>
      <c r="E96" s="32"/>
      <c r="F96" s="19"/>
      <c r="G96" s="26" t="str">
        <f aca="false">IF(A96="","",COUNTIF(Pubs!$B$2:$B$3001,A96))</f>
        <v/>
      </c>
      <c r="H96" s="26" t="str">
        <f aca="false">IF(A96="","",COUNTIF(Apparitions!$H$2:$H$5001,A96))</f>
        <v/>
      </c>
      <c r="I96" s="26" t="str">
        <f aca="false">IF(A96="","",COUNTIFS(Apparitions!$H$2:$H$5001,A96,Apparitions!$E$2:$E$5001,"○"))</f>
        <v/>
      </c>
      <c r="J96" s="29" t="str">
        <f aca="false">IF(A96="","",IFERROR(1/(1/_xlfn.MINIFS(Apparitions!$L$2:$L$5001,Apparitions!$H$2:$H$5001,A96)),""))</f>
        <v/>
      </c>
    </row>
    <row r="97" customFormat="false" ht="15" hidden="false" customHeight="false" outlineLevel="0" collapsed="false">
      <c r="A97" s="19"/>
      <c r="B97" s="19"/>
      <c r="C97" s="19"/>
      <c r="D97" s="19"/>
      <c r="E97" s="32"/>
      <c r="F97" s="19"/>
      <c r="G97" s="26" t="str">
        <f aca="false">IF(A97="","",COUNTIF(Pubs!$B$2:$B$3001,A97))</f>
        <v/>
      </c>
      <c r="H97" s="26" t="str">
        <f aca="false">IF(A97="","",COUNTIF(Apparitions!$H$2:$H$5001,A97))</f>
        <v/>
      </c>
      <c r="I97" s="26" t="str">
        <f aca="false">IF(A97="","",COUNTIFS(Apparitions!$H$2:$H$5001,A97,Apparitions!$E$2:$E$5001,"○"))</f>
        <v/>
      </c>
      <c r="J97" s="29" t="str">
        <f aca="false">IF(A97="","",IFERROR(1/(1/_xlfn.MINIFS(Apparitions!$L$2:$L$5001,Apparitions!$H$2:$H$5001,A97)),""))</f>
        <v/>
      </c>
    </row>
    <row r="98" customFormat="false" ht="15" hidden="false" customHeight="false" outlineLevel="0" collapsed="false">
      <c r="A98" s="19"/>
      <c r="B98" s="19"/>
      <c r="C98" s="19"/>
      <c r="D98" s="19"/>
      <c r="E98" s="32"/>
      <c r="F98" s="19"/>
      <c r="G98" s="26" t="str">
        <f aca="false">IF(A98="","",COUNTIF(Pubs!$B$2:$B$3001,A98))</f>
        <v/>
      </c>
      <c r="H98" s="26" t="str">
        <f aca="false">IF(A98="","",COUNTIF(Apparitions!$H$2:$H$5001,A98))</f>
        <v/>
      </c>
      <c r="I98" s="26" t="str">
        <f aca="false">IF(A98="","",COUNTIFS(Apparitions!$H$2:$H$5001,A98,Apparitions!$E$2:$E$5001,"○"))</f>
        <v/>
      </c>
      <c r="J98" s="29" t="str">
        <f aca="false">IF(A98="","",IFERROR(1/(1/_xlfn.MINIFS(Apparitions!$L$2:$L$5001,Apparitions!$H$2:$H$5001,A98)),""))</f>
        <v/>
      </c>
    </row>
    <row r="99" customFormat="false" ht="15" hidden="false" customHeight="false" outlineLevel="0" collapsed="false">
      <c r="A99" s="19"/>
      <c r="B99" s="19"/>
      <c r="C99" s="19"/>
      <c r="D99" s="19"/>
      <c r="E99" s="32"/>
      <c r="F99" s="19"/>
      <c r="G99" s="26" t="str">
        <f aca="false">IF(A99="","",COUNTIF(Pubs!$B$2:$B$3001,A99))</f>
        <v/>
      </c>
      <c r="H99" s="26" t="str">
        <f aca="false">IF(A99="","",COUNTIF(Apparitions!$H$2:$H$5001,A99))</f>
        <v/>
      </c>
      <c r="I99" s="26" t="str">
        <f aca="false">IF(A99="","",COUNTIFS(Apparitions!$H$2:$H$5001,A99,Apparitions!$E$2:$E$5001,"○"))</f>
        <v/>
      </c>
      <c r="J99" s="29" t="str">
        <f aca="false">IF(A99="","",IFERROR(1/(1/_xlfn.MINIFS(Apparitions!$L$2:$L$5001,Apparitions!$H$2:$H$5001,A99)),""))</f>
        <v/>
      </c>
    </row>
    <row r="100" customFormat="false" ht="15" hidden="false" customHeight="false" outlineLevel="0" collapsed="false">
      <c r="A100" s="19"/>
      <c r="B100" s="19"/>
      <c r="C100" s="19"/>
      <c r="D100" s="19"/>
      <c r="E100" s="32"/>
      <c r="F100" s="19"/>
      <c r="G100" s="26" t="str">
        <f aca="false">IF(A100="","",COUNTIF(Pubs!$B$2:$B$3001,A100))</f>
        <v/>
      </c>
      <c r="H100" s="26" t="str">
        <f aca="false">IF(A100="","",COUNTIF(Apparitions!$H$2:$H$5001,A100))</f>
        <v/>
      </c>
      <c r="I100" s="26" t="str">
        <f aca="false">IF(A100="","",COUNTIFS(Apparitions!$H$2:$H$5001,A100,Apparitions!$E$2:$E$5001,"○"))</f>
        <v/>
      </c>
      <c r="J100" s="29" t="str">
        <f aca="false">IF(A100="","",IFERROR(1/(1/_xlfn.MINIFS(Apparitions!$L$2:$L$5001,Apparitions!$H$2:$H$5001,A100)),""))</f>
        <v/>
      </c>
    </row>
    <row r="101" customFormat="false" ht="15" hidden="false" customHeight="false" outlineLevel="0" collapsed="false">
      <c r="A101" s="19"/>
      <c r="B101" s="19"/>
      <c r="C101" s="19"/>
      <c r="D101" s="19"/>
      <c r="E101" s="32"/>
      <c r="F101" s="19"/>
      <c r="G101" s="26" t="str">
        <f aca="false">IF(A101="","",COUNTIF(Pubs!$B$2:$B$3001,A101))</f>
        <v/>
      </c>
      <c r="H101" s="26" t="str">
        <f aca="false">IF(A101="","",COUNTIF(Apparitions!$H$2:$H$5001,A101))</f>
        <v/>
      </c>
      <c r="I101" s="26" t="str">
        <f aca="false">IF(A101="","",COUNTIFS(Apparitions!$H$2:$H$5001,A101,Apparitions!$E$2:$E$5001,"○"))</f>
        <v/>
      </c>
      <c r="J101" s="29" t="str">
        <f aca="false">IF(A101="","",IFERROR(1/(1/_xlfn.MINIFS(Apparitions!$L$2:$L$5001,Apparitions!$H$2:$H$5001,A101)),""))</f>
        <v/>
      </c>
    </row>
    <row r="102" customFormat="false" ht="15" hidden="false" customHeight="false" outlineLevel="0" collapsed="false">
      <c r="A102" s="19"/>
      <c r="B102" s="19"/>
      <c r="C102" s="19"/>
      <c r="D102" s="19"/>
      <c r="E102" s="32"/>
      <c r="F102" s="19"/>
      <c r="G102" s="26" t="str">
        <f aca="false">IF(A102="","",COUNTIF(Pubs!$B$2:$B$3001,A102))</f>
        <v/>
      </c>
      <c r="H102" s="26" t="str">
        <f aca="false">IF(A102="","",COUNTIF(Apparitions!$H$2:$H$5001,A102))</f>
        <v/>
      </c>
      <c r="I102" s="26" t="str">
        <f aca="false">IF(A102="","",COUNTIFS(Apparitions!$H$2:$H$5001,A102,Apparitions!$E$2:$E$5001,"○"))</f>
        <v/>
      </c>
      <c r="J102" s="29" t="str">
        <f aca="false">IF(A102="","",IFERROR(1/(1/_xlfn.MINIFS(Apparitions!$L$2:$L$5001,Apparitions!$H$2:$H$5001,A102)),""))</f>
        <v/>
      </c>
    </row>
    <row r="103" customFormat="false" ht="15" hidden="false" customHeight="false" outlineLevel="0" collapsed="false">
      <c r="A103" s="19"/>
      <c r="B103" s="19"/>
      <c r="C103" s="19"/>
      <c r="D103" s="19"/>
      <c r="E103" s="32"/>
      <c r="F103" s="19"/>
      <c r="G103" s="26" t="str">
        <f aca="false">IF(A103="","",COUNTIF(Pubs!$B$2:$B$3001,A103))</f>
        <v/>
      </c>
      <c r="H103" s="26" t="str">
        <f aca="false">IF(A103="","",COUNTIF(Apparitions!$H$2:$H$5001,A103))</f>
        <v/>
      </c>
      <c r="I103" s="26" t="str">
        <f aca="false">IF(A103="","",COUNTIFS(Apparitions!$H$2:$H$5001,A103,Apparitions!$E$2:$E$5001,"○"))</f>
        <v/>
      </c>
      <c r="J103" s="29" t="str">
        <f aca="false">IF(A103="","",IFERROR(1/(1/_xlfn.MINIFS(Apparitions!$L$2:$L$5001,Apparitions!$H$2:$H$5001,A103)),""))</f>
        <v/>
      </c>
    </row>
    <row r="104" customFormat="false" ht="15" hidden="false" customHeight="false" outlineLevel="0" collapsed="false">
      <c r="A104" s="19"/>
      <c r="B104" s="19"/>
      <c r="C104" s="19"/>
      <c r="D104" s="19"/>
      <c r="E104" s="32"/>
      <c r="F104" s="19"/>
      <c r="G104" s="26" t="str">
        <f aca="false">IF(A104="","",COUNTIF(Pubs!$B$2:$B$3001,A104))</f>
        <v/>
      </c>
      <c r="H104" s="26" t="str">
        <f aca="false">IF(A104="","",COUNTIF(Apparitions!$H$2:$H$5001,A104))</f>
        <v/>
      </c>
      <c r="I104" s="26" t="str">
        <f aca="false">IF(A104="","",COUNTIFS(Apparitions!$H$2:$H$5001,A104,Apparitions!$E$2:$E$5001,"○"))</f>
        <v/>
      </c>
      <c r="J104" s="29" t="str">
        <f aca="false">IF(A104="","",IFERROR(1/(1/_xlfn.MINIFS(Apparitions!$L$2:$L$5001,Apparitions!$H$2:$H$5001,A104)),""))</f>
        <v/>
      </c>
    </row>
    <row r="105" customFormat="false" ht="15" hidden="false" customHeight="false" outlineLevel="0" collapsed="false">
      <c r="A105" s="19"/>
      <c r="B105" s="19"/>
      <c r="C105" s="19"/>
      <c r="D105" s="19"/>
      <c r="E105" s="32"/>
      <c r="F105" s="19"/>
      <c r="G105" s="26" t="str">
        <f aca="false">IF(A105="","",COUNTIF(Pubs!$B$2:$B$3001,A105))</f>
        <v/>
      </c>
      <c r="H105" s="26" t="str">
        <f aca="false">IF(A105="","",COUNTIF(Apparitions!$H$2:$H$5001,A105))</f>
        <v/>
      </c>
      <c r="I105" s="26" t="str">
        <f aca="false">IF(A105="","",COUNTIFS(Apparitions!$H$2:$H$5001,A105,Apparitions!$E$2:$E$5001,"○"))</f>
        <v/>
      </c>
      <c r="J105" s="29" t="str">
        <f aca="false">IF(A105="","",IFERROR(1/(1/_xlfn.MINIFS(Apparitions!$L$2:$L$5001,Apparitions!$H$2:$H$5001,A105)),""))</f>
        <v/>
      </c>
    </row>
    <row r="106" customFormat="false" ht="15" hidden="false" customHeight="false" outlineLevel="0" collapsed="false">
      <c r="A106" s="19"/>
      <c r="B106" s="19"/>
      <c r="C106" s="19"/>
      <c r="D106" s="19"/>
      <c r="E106" s="32"/>
      <c r="F106" s="19"/>
      <c r="G106" s="26" t="str">
        <f aca="false">IF(A106="","",COUNTIF(Pubs!$B$2:$B$3001,A106))</f>
        <v/>
      </c>
      <c r="H106" s="26" t="str">
        <f aca="false">IF(A106="","",COUNTIF(Apparitions!$H$2:$H$5001,A106))</f>
        <v/>
      </c>
      <c r="I106" s="26" t="str">
        <f aca="false">IF(A106="","",COUNTIFS(Apparitions!$H$2:$H$5001,A106,Apparitions!$E$2:$E$5001,"○"))</f>
        <v/>
      </c>
      <c r="J106" s="29" t="str">
        <f aca="false">IF(A106="","",IFERROR(1/(1/_xlfn.MINIFS(Apparitions!$L$2:$L$5001,Apparitions!$H$2:$H$5001,A106)),""))</f>
        <v/>
      </c>
    </row>
    <row r="107" customFormat="false" ht="15" hidden="false" customHeight="false" outlineLevel="0" collapsed="false">
      <c r="A107" s="19"/>
      <c r="B107" s="19"/>
      <c r="C107" s="19"/>
      <c r="D107" s="19"/>
      <c r="E107" s="32"/>
      <c r="F107" s="19"/>
      <c r="G107" s="26" t="str">
        <f aca="false">IF(A107="","",COUNTIF(Pubs!$B$2:$B$3001,A107))</f>
        <v/>
      </c>
      <c r="H107" s="26" t="str">
        <f aca="false">IF(A107="","",COUNTIF(Apparitions!$H$2:$H$5001,A107))</f>
        <v/>
      </c>
      <c r="I107" s="26" t="str">
        <f aca="false">IF(A107="","",COUNTIFS(Apparitions!$H$2:$H$5001,A107,Apparitions!$E$2:$E$5001,"○"))</f>
        <v/>
      </c>
      <c r="J107" s="29" t="str">
        <f aca="false">IF(A107="","",IFERROR(1/(1/_xlfn.MINIFS(Apparitions!$L$2:$L$5001,Apparitions!$H$2:$H$5001,A107)),""))</f>
        <v/>
      </c>
    </row>
    <row r="108" customFormat="false" ht="15" hidden="false" customHeight="false" outlineLevel="0" collapsed="false">
      <c r="A108" s="19"/>
      <c r="B108" s="19"/>
      <c r="C108" s="19"/>
      <c r="D108" s="19"/>
      <c r="E108" s="32"/>
      <c r="F108" s="19"/>
      <c r="G108" s="26" t="str">
        <f aca="false">IF(A108="","",COUNTIF(Pubs!$B$2:$B$3001,A108))</f>
        <v/>
      </c>
      <c r="H108" s="26" t="str">
        <f aca="false">IF(A108="","",COUNTIF(Apparitions!$H$2:$H$5001,A108))</f>
        <v/>
      </c>
      <c r="I108" s="26" t="str">
        <f aca="false">IF(A108="","",COUNTIFS(Apparitions!$H$2:$H$5001,A108,Apparitions!$E$2:$E$5001,"○"))</f>
        <v/>
      </c>
      <c r="J108" s="29" t="str">
        <f aca="false">IF(A108="","",IFERROR(1/(1/_xlfn.MINIFS(Apparitions!$L$2:$L$5001,Apparitions!$H$2:$H$5001,A108)),""))</f>
        <v/>
      </c>
    </row>
    <row r="109" customFormat="false" ht="15" hidden="false" customHeight="false" outlineLevel="0" collapsed="false">
      <c r="A109" s="19"/>
      <c r="B109" s="19"/>
      <c r="C109" s="19"/>
      <c r="D109" s="19"/>
      <c r="E109" s="32"/>
      <c r="F109" s="19"/>
      <c r="G109" s="26" t="str">
        <f aca="false">IF(A109="","",COUNTIF(Pubs!$B$2:$B$3001,A109))</f>
        <v/>
      </c>
      <c r="H109" s="26" t="str">
        <f aca="false">IF(A109="","",COUNTIF(Apparitions!$H$2:$H$5001,A109))</f>
        <v/>
      </c>
      <c r="I109" s="26" t="str">
        <f aca="false">IF(A109="","",COUNTIFS(Apparitions!$H$2:$H$5001,A109,Apparitions!$E$2:$E$5001,"○"))</f>
        <v/>
      </c>
      <c r="J109" s="29" t="str">
        <f aca="false">IF(A109="","",IFERROR(1/(1/_xlfn.MINIFS(Apparitions!$L$2:$L$5001,Apparitions!$H$2:$H$5001,A109)),""))</f>
        <v/>
      </c>
    </row>
    <row r="110" customFormat="false" ht="15" hidden="false" customHeight="false" outlineLevel="0" collapsed="false">
      <c r="A110" s="19"/>
      <c r="B110" s="19"/>
      <c r="C110" s="19"/>
      <c r="D110" s="19"/>
      <c r="E110" s="32"/>
      <c r="F110" s="19"/>
      <c r="G110" s="26" t="str">
        <f aca="false">IF(A110="","",COUNTIF(Pubs!$B$2:$B$3001,A110))</f>
        <v/>
      </c>
      <c r="H110" s="26" t="str">
        <f aca="false">IF(A110="","",COUNTIF(Apparitions!$H$2:$H$5001,A110))</f>
        <v/>
      </c>
      <c r="I110" s="26" t="str">
        <f aca="false">IF(A110="","",COUNTIFS(Apparitions!$H$2:$H$5001,A110,Apparitions!$E$2:$E$5001,"○"))</f>
        <v/>
      </c>
      <c r="J110" s="29" t="str">
        <f aca="false">IF(A110="","",IFERROR(1/(1/_xlfn.MINIFS(Apparitions!$L$2:$L$5001,Apparitions!$H$2:$H$5001,A110)),""))</f>
        <v/>
      </c>
    </row>
    <row r="111" customFormat="false" ht="15" hidden="false" customHeight="false" outlineLevel="0" collapsed="false">
      <c r="A111" s="19"/>
      <c r="B111" s="19"/>
      <c r="C111" s="19"/>
      <c r="D111" s="19"/>
      <c r="E111" s="32"/>
      <c r="F111" s="19"/>
      <c r="G111" s="26" t="str">
        <f aca="false">IF(A111="","",COUNTIF(Pubs!$B$2:$B$3001,A111))</f>
        <v/>
      </c>
      <c r="H111" s="26" t="str">
        <f aca="false">IF(A111="","",COUNTIF(Apparitions!$H$2:$H$5001,A111))</f>
        <v/>
      </c>
      <c r="I111" s="26" t="str">
        <f aca="false">IF(A111="","",COUNTIFS(Apparitions!$H$2:$H$5001,A111,Apparitions!$E$2:$E$5001,"○"))</f>
        <v/>
      </c>
      <c r="J111" s="29" t="str">
        <f aca="false">IF(A111="","",IFERROR(1/(1/_xlfn.MINIFS(Apparitions!$L$2:$L$5001,Apparitions!$H$2:$H$5001,A111)),""))</f>
        <v/>
      </c>
    </row>
    <row r="112" customFormat="false" ht="15" hidden="false" customHeight="false" outlineLevel="0" collapsed="false">
      <c r="A112" s="19"/>
      <c r="B112" s="19"/>
      <c r="C112" s="19"/>
      <c r="D112" s="19"/>
      <c r="E112" s="32"/>
      <c r="F112" s="19"/>
      <c r="G112" s="26" t="str">
        <f aca="false">IF(A112="","",COUNTIF(Pubs!$B$2:$B$3001,A112))</f>
        <v/>
      </c>
      <c r="H112" s="26" t="str">
        <f aca="false">IF(A112="","",COUNTIF(Apparitions!$H$2:$H$5001,A112))</f>
        <v/>
      </c>
      <c r="I112" s="26" t="str">
        <f aca="false">IF(A112="","",COUNTIFS(Apparitions!$H$2:$H$5001,A112,Apparitions!$E$2:$E$5001,"○"))</f>
        <v/>
      </c>
      <c r="J112" s="29" t="str">
        <f aca="false">IF(A112="","",IFERROR(1/(1/_xlfn.MINIFS(Apparitions!$L$2:$L$5001,Apparitions!$H$2:$H$5001,A112)),""))</f>
        <v/>
      </c>
    </row>
    <row r="113" customFormat="false" ht="15" hidden="false" customHeight="false" outlineLevel="0" collapsed="false">
      <c r="A113" s="19"/>
      <c r="B113" s="19"/>
      <c r="C113" s="19"/>
      <c r="D113" s="19"/>
      <c r="E113" s="32"/>
      <c r="F113" s="19"/>
      <c r="G113" s="26" t="str">
        <f aca="false">IF(A113="","",COUNTIF(Pubs!$B$2:$B$3001,A113))</f>
        <v/>
      </c>
      <c r="H113" s="26" t="str">
        <f aca="false">IF(A113="","",COUNTIF(Apparitions!$H$2:$H$5001,A113))</f>
        <v/>
      </c>
      <c r="I113" s="26" t="str">
        <f aca="false">IF(A113="","",COUNTIFS(Apparitions!$H$2:$H$5001,A113,Apparitions!$E$2:$E$5001,"○"))</f>
        <v/>
      </c>
      <c r="J113" s="29" t="str">
        <f aca="false">IF(A113="","",IFERROR(1/(1/_xlfn.MINIFS(Apparitions!$L$2:$L$5001,Apparitions!$H$2:$H$5001,A113)),""))</f>
        <v/>
      </c>
    </row>
    <row r="114" customFormat="false" ht="15" hidden="false" customHeight="false" outlineLevel="0" collapsed="false">
      <c r="A114" s="19"/>
      <c r="B114" s="19"/>
      <c r="C114" s="19"/>
      <c r="D114" s="19"/>
      <c r="E114" s="32"/>
      <c r="F114" s="19"/>
      <c r="G114" s="26" t="str">
        <f aca="false">IF(A114="","",COUNTIF(Pubs!$B$2:$B$3001,A114))</f>
        <v/>
      </c>
      <c r="H114" s="26" t="str">
        <f aca="false">IF(A114="","",COUNTIF(Apparitions!$H$2:$H$5001,A114))</f>
        <v/>
      </c>
      <c r="I114" s="26" t="str">
        <f aca="false">IF(A114="","",COUNTIFS(Apparitions!$H$2:$H$5001,A114,Apparitions!$E$2:$E$5001,"○"))</f>
        <v/>
      </c>
      <c r="J114" s="29" t="str">
        <f aca="false">IF(A114="","",IFERROR(1/(1/_xlfn.MINIFS(Apparitions!$L$2:$L$5001,Apparitions!$H$2:$H$5001,A114)),""))</f>
        <v/>
      </c>
    </row>
    <row r="115" customFormat="false" ht="15" hidden="false" customHeight="false" outlineLevel="0" collapsed="false">
      <c r="A115" s="19"/>
      <c r="B115" s="19"/>
      <c r="C115" s="19"/>
      <c r="D115" s="19"/>
      <c r="E115" s="32"/>
      <c r="F115" s="19"/>
      <c r="G115" s="26" t="str">
        <f aca="false">IF(A115="","",COUNTIF(Pubs!$B$2:$B$3001,A115))</f>
        <v/>
      </c>
      <c r="H115" s="26" t="str">
        <f aca="false">IF(A115="","",COUNTIF(Apparitions!$H$2:$H$5001,A115))</f>
        <v/>
      </c>
      <c r="I115" s="26" t="str">
        <f aca="false">IF(A115="","",COUNTIFS(Apparitions!$H$2:$H$5001,A115,Apparitions!$E$2:$E$5001,"○"))</f>
        <v/>
      </c>
      <c r="J115" s="29" t="str">
        <f aca="false">IF(A115="","",IFERROR(1/(1/_xlfn.MINIFS(Apparitions!$L$2:$L$5001,Apparitions!$H$2:$H$5001,A115)),""))</f>
        <v/>
      </c>
    </row>
    <row r="116" customFormat="false" ht="15" hidden="false" customHeight="false" outlineLevel="0" collapsed="false">
      <c r="A116" s="19"/>
      <c r="B116" s="19"/>
      <c r="C116" s="19"/>
      <c r="D116" s="19"/>
      <c r="E116" s="32"/>
      <c r="F116" s="19"/>
      <c r="G116" s="26" t="str">
        <f aca="false">IF(A116="","",COUNTIF(Pubs!$B$2:$B$3001,A116))</f>
        <v/>
      </c>
      <c r="H116" s="26" t="str">
        <f aca="false">IF(A116="","",COUNTIF(Apparitions!$H$2:$H$5001,A116))</f>
        <v/>
      </c>
      <c r="I116" s="26" t="str">
        <f aca="false">IF(A116="","",COUNTIFS(Apparitions!$H$2:$H$5001,A116,Apparitions!$E$2:$E$5001,"○"))</f>
        <v/>
      </c>
      <c r="J116" s="29" t="str">
        <f aca="false">IF(A116="","",IFERROR(1/(1/_xlfn.MINIFS(Apparitions!$L$2:$L$5001,Apparitions!$H$2:$H$5001,A116)),""))</f>
        <v/>
      </c>
    </row>
    <row r="117" customFormat="false" ht="15" hidden="false" customHeight="false" outlineLevel="0" collapsed="false">
      <c r="A117" s="19"/>
      <c r="B117" s="19"/>
      <c r="C117" s="19"/>
      <c r="D117" s="19"/>
      <c r="E117" s="32"/>
      <c r="F117" s="19"/>
      <c r="G117" s="26" t="str">
        <f aca="false">IF(A117="","",COUNTIF(Pubs!$B$2:$B$3001,A117))</f>
        <v/>
      </c>
      <c r="H117" s="26" t="str">
        <f aca="false">IF(A117="","",COUNTIF(Apparitions!$H$2:$H$5001,A117))</f>
        <v/>
      </c>
      <c r="I117" s="26" t="str">
        <f aca="false">IF(A117="","",COUNTIFS(Apparitions!$H$2:$H$5001,A117,Apparitions!$E$2:$E$5001,"○"))</f>
        <v/>
      </c>
      <c r="J117" s="29" t="str">
        <f aca="false">IF(A117="","",IFERROR(1/(1/_xlfn.MINIFS(Apparitions!$L$2:$L$5001,Apparitions!$H$2:$H$5001,A117)),""))</f>
        <v/>
      </c>
    </row>
    <row r="118" customFormat="false" ht="15" hidden="false" customHeight="false" outlineLevel="0" collapsed="false">
      <c r="A118" s="19"/>
      <c r="B118" s="19"/>
      <c r="C118" s="19"/>
      <c r="D118" s="19"/>
      <c r="E118" s="32"/>
      <c r="F118" s="19"/>
      <c r="G118" s="26" t="str">
        <f aca="false">IF(A118="","",COUNTIF(Pubs!$B$2:$B$3001,A118))</f>
        <v/>
      </c>
      <c r="H118" s="26" t="str">
        <f aca="false">IF(A118="","",COUNTIF(Apparitions!$H$2:$H$5001,A118))</f>
        <v/>
      </c>
      <c r="I118" s="26" t="str">
        <f aca="false">IF(A118="","",COUNTIFS(Apparitions!$H$2:$H$5001,A118,Apparitions!$E$2:$E$5001,"○"))</f>
        <v/>
      </c>
      <c r="J118" s="29" t="str">
        <f aca="false">IF(A118="","",IFERROR(1/(1/_xlfn.MINIFS(Apparitions!$L$2:$L$5001,Apparitions!$H$2:$H$5001,A118)),""))</f>
        <v/>
      </c>
    </row>
    <row r="119" customFormat="false" ht="15" hidden="false" customHeight="false" outlineLevel="0" collapsed="false">
      <c r="A119" s="19"/>
      <c r="B119" s="19"/>
      <c r="C119" s="19"/>
      <c r="D119" s="19"/>
      <c r="E119" s="32"/>
      <c r="F119" s="19"/>
      <c r="G119" s="26" t="str">
        <f aca="false">IF(A119="","",COUNTIF(Pubs!$B$2:$B$3001,A119))</f>
        <v/>
      </c>
      <c r="H119" s="26" t="str">
        <f aca="false">IF(A119="","",COUNTIF(Apparitions!$H$2:$H$5001,A119))</f>
        <v/>
      </c>
      <c r="I119" s="26" t="str">
        <f aca="false">IF(A119="","",COUNTIFS(Apparitions!$H$2:$H$5001,A119,Apparitions!$E$2:$E$5001,"○"))</f>
        <v/>
      </c>
      <c r="J119" s="29" t="str">
        <f aca="false">IF(A119="","",IFERROR(1/(1/_xlfn.MINIFS(Apparitions!$L$2:$L$5001,Apparitions!$H$2:$H$5001,A119)),""))</f>
        <v/>
      </c>
    </row>
    <row r="120" customFormat="false" ht="15" hidden="false" customHeight="false" outlineLevel="0" collapsed="false">
      <c r="A120" s="19"/>
      <c r="B120" s="19"/>
      <c r="C120" s="19"/>
      <c r="D120" s="19"/>
      <c r="E120" s="32"/>
      <c r="F120" s="19"/>
      <c r="G120" s="26" t="str">
        <f aca="false">IF(A120="","",COUNTIF(Pubs!$B$2:$B$3001,A120))</f>
        <v/>
      </c>
      <c r="H120" s="26" t="str">
        <f aca="false">IF(A120="","",COUNTIF(Apparitions!$H$2:$H$5001,A120))</f>
        <v/>
      </c>
      <c r="I120" s="26" t="str">
        <f aca="false">IF(A120="","",COUNTIFS(Apparitions!$H$2:$H$5001,A120,Apparitions!$E$2:$E$5001,"○"))</f>
        <v/>
      </c>
      <c r="J120" s="29" t="str">
        <f aca="false">IF(A120="","",IFERROR(1/(1/_xlfn.MINIFS(Apparitions!$L$2:$L$5001,Apparitions!$H$2:$H$5001,A120)),""))</f>
        <v/>
      </c>
    </row>
    <row r="121" customFormat="false" ht="15" hidden="false" customHeight="false" outlineLevel="0" collapsed="false">
      <c r="A121" s="19"/>
      <c r="B121" s="19"/>
      <c r="C121" s="19"/>
      <c r="D121" s="19"/>
      <c r="E121" s="32"/>
      <c r="F121" s="19"/>
      <c r="G121" s="26" t="str">
        <f aca="false">IF(A121="","",COUNTIF(Pubs!$B$2:$B$3001,A121))</f>
        <v/>
      </c>
      <c r="H121" s="26" t="str">
        <f aca="false">IF(A121="","",COUNTIF(Apparitions!$H$2:$H$5001,A121))</f>
        <v/>
      </c>
      <c r="I121" s="26" t="str">
        <f aca="false">IF(A121="","",COUNTIFS(Apparitions!$H$2:$H$5001,A121,Apparitions!$E$2:$E$5001,"○"))</f>
        <v/>
      </c>
      <c r="J121" s="29" t="str">
        <f aca="false">IF(A121="","",IFERROR(1/(1/_xlfn.MINIFS(Apparitions!$L$2:$L$5001,Apparitions!$H$2:$H$5001,A121)),""))</f>
        <v/>
      </c>
    </row>
    <row r="122" customFormat="false" ht="15" hidden="false" customHeight="false" outlineLevel="0" collapsed="false">
      <c r="A122" s="19"/>
      <c r="B122" s="19"/>
      <c r="C122" s="19"/>
      <c r="D122" s="19"/>
      <c r="E122" s="32"/>
      <c r="F122" s="19"/>
      <c r="G122" s="26" t="str">
        <f aca="false">IF(A122="","",COUNTIF(Pubs!$B$2:$B$3001,A122))</f>
        <v/>
      </c>
      <c r="H122" s="26" t="str">
        <f aca="false">IF(A122="","",COUNTIF(Apparitions!$H$2:$H$5001,A122))</f>
        <v/>
      </c>
      <c r="I122" s="26" t="str">
        <f aca="false">IF(A122="","",COUNTIFS(Apparitions!$H$2:$H$5001,A122,Apparitions!$E$2:$E$5001,"○"))</f>
        <v/>
      </c>
      <c r="J122" s="29" t="str">
        <f aca="false">IF(A122="","",IFERROR(1/(1/_xlfn.MINIFS(Apparitions!$L$2:$L$5001,Apparitions!$H$2:$H$5001,A122)),""))</f>
        <v/>
      </c>
    </row>
    <row r="123" customFormat="false" ht="15" hidden="false" customHeight="false" outlineLevel="0" collapsed="false">
      <c r="A123" s="19"/>
      <c r="B123" s="19"/>
      <c r="C123" s="19"/>
      <c r="D123" s="19"/>
      <c r="E123" s="32"/>
      <c r="F123" s="19"/>
      <c r="G123" s="26" t="str">
        <f aca="false">IF(A123="","",COUNTIF(Pubs!$B$2:$B$3001,A123))</f>
        <v/>
      </c>
      <c r="H123" s="26" t="str">
        <f aca="false">IF(A123="","",COUNTIF(Apparitions!$H$2:$H$5001,A123))</f>
        <v/>
      </c>
      <c r="I123" s="26" t="str">
        <f aca="false">IF(A123="","",COUNTIFS(Apparitions!$H$2:$H$5001,A123,Apparitions!$E$2:$E$5001,"○"))</f>
        <v/>
      </c>
      <c r="J123" s="29" t="str">
        <f aca="false">IF(A123="","",IFERROR(1/(1/_xlfn.MINIFS(Apparitions!$L$2:$L$5001,Apparitions!$H$2:$H$5001,A123)),""))</f>
        <v/>
      </c>
    </row>
    <row r="124" customFormat="false" ht="15" hidden="false" customHeight="false" outlineLevel="0" collapsed="false">
      <c r="A124" s="19"/>
      <c r="B124" s="19"/>
      <c r="C124" s="19"/>
      <c r="D124" s="19"/>
      <c r="E124" s="32"/>
      <c r="F124" s="19"/>
      <c r="G124" s="26" t="str">
        <f aca="false">IF(A124="","",COUNTIF(Pubs!$B$2:$B$3001,A124))</f>
        <v/>
      </c>
      <c r="H124" s="26" t="str">
        <f aca="false">IF(A124="","",COUNTIF(Apparitions!$H$2:$H$5001,A124))</f>
        <v/>
      </c>
      <c r="I124" s="26" t="str">
        <f aca="false">IF(A124="","",COUNTIFS(Apparitions!$H$2:$H$5001,A124,Apparitions!$E$2:$E$5001,"○"))</f>
        <v/>
      </c>
      <c r="J124" s="29" t="str">
        <f aca="false">IF(A124="","",IFERROR(1/(1/_xlfn.MINIFS(Apparitions!$L$2:$L$5001,Apparitions!$H$2:$H$5001,A124)),""))</f>
        <v/>
      </c>
    </row>
    <row r="125" customFormat="false" ht="15" hidden="false" customHeight="false" outlineLevel="0" collapsed="false">
      <c r="A125" s="19"/>
      <c r="B125" s="19"/>
      <c r="C125" s="19"/>
      <c r="D125" s="19"/>
      <c r="E125" s="32"/>
      <c r="F125" s="19"/>
      <c r="G125" s="26" t="str">
        <f aca="false">IF(A125="","",COUNTIF(Pubs!$B$2:$B$3001,A125))</f>
        <v/>
      </c>
      <c r="H125" s="26" t="str">
        <f aca="false">IF(A125="","",COUNTIF(Apparitions!$H$2:$H$5001,A125))</f>
        <v/>
      </c>
      <c r="I125" s="26" t="str">
        <f aca="false">IF(A125="","",COUNTIFS(Apparitions!$H$2:$H$5001,A125,Apparitions!$E$2:$E$5001,"○"))</f>
        <v/>
      </c>
      <c r="J125" s="29" t="str">
        <f aca="false">IF(A125="","",IFERROR(1/(1/_xlfn.MINIFS(Apparitions!$L$2:$L$5001,Apparitions!$H$2:$H$5001,A125)),""))</f>
        <v/>
      </c>
    </row>
    <row r="126" customFormat="false" ht="15" hidden="false" customHeight="false" outlineLevel="0" collapsed="false">
      <c r="A126" s="19"/>
      <c r="B126" s="19"/>
      <c r="C126" s="19"/>
      <c r="D126" s="19"/>
      <c r="E126" s="32"/>
      <c r="F126" s="19"/>
      <c r="G126" s="26" t="str">
        <f aca="false">IF(A126="","",COUNTIF(Pubs!$B$2:$B$3001,A126))</f>
        <v/>
      </c>
      <c r="H126" s="26" t="str">
        <f aca="false">IF(A126="","",COUNTIF(Apparitions!$H$2:$H$5001,A126))</f>
        <v/>
      </c>
      <c r="I126" s="26" t="str">
        <f aca="false">IF(A126="","",COUNTIFS(Apparitions!$H$2:$H$5001,A126,Apparitions!$E$2:$E$5001,"○"))</f>
        <v/>
      </c>
      <c r="J126" s="29" t="str">
        <f aca="false">IF(A126="","",IFERROR(1/(1/_xlfn.MINIFS(Apparitions!$L$2:$L$5001,Apparitions!$H$2:$H$5001,A126)),""))</f>
        <v/>
      </c>
    </row>
    <row r="127" customFormat="false" ht="15" hidden="false" customHeight="false" outlineLevel="0" collapsed="false">
      <c r="A127" s="19"/>
      <c r="B127" s="19"/>
      <c r="C127" s="19"/>
      <c r="D127" s="19"/>
      <c r="E127" s="32"/>
      <c r="F127" s="19"/>
      <c r="G127" s="26" t="str">
        <f aca="false">IF(A127="","",COUNTIF(Pubs!$B$2:$B$3001,A127))</f>
        <v/>
      </c>
      <c r="H127" s="26" t="str">
        <f aca="false">IF(A127="","",COUNTIF(Apparitions!$H$2:$H$5001,A127))</f>
        <v/>
      </c>
      <c r="I127" s="26" t="str">
        <f aca="false">IF(A127="","",COUNTIFS(Apparitions!$H$2:$H$5001,A127,Apparitions!$E$2:$E$5001,"○"))</f>
        <v/>
      </c>
      <c r="J127" s="29" t="str">
        <f aca="false">IF(A127="","",IFERROR(1/(1/_xlfn.MINIFS(Apparitions!$L$2:$L$5001,Apparitions!$H$2:$H$5001,A127)),""))</f>
        <v/>
      </c>
    </row>
    <row r="128" customFormat="false" ht="15" hidden="false" customHeight="false" outlineLevel="0" collapsed="false">
      <c r="A128" s="19"/>
      <c r="B128" s="19"/>
      <c r="C128" s="19"/>
      <c r="D128" s="19"/>
      <c r="E128" s="32"/>
      <c r="F128" s="19"/>
      <c r="G128" s="26" t="str">
        <f aca="false">IF(A128="","",COUNTIF(Pubs!$B$2:$B$3001,A128))</f>
        <v/>
      </c>
      <c r="H128" s="26" t="str">
        <f aca="false">IF(A128="","",COUNTIF(Apparitions!$H$2:$H$5001,A128))</f>
        <v/>
      </c>
      <c r="I128" s="26" t="str">
        <f aca="false">IF(A128="","",COUNTIFS(Apparitions!$H$2:$H$5001,A128,Apparitions!$E$2:$E$5001,"○"))</f>
        <v/>
      </c>
      <c r="J128" s="29" t="str">
        <f aca="false">IF(A128="","",IFERROR(1/(1/_xlfn.MINIFS(Apparitions!$L$2:$L$5001,Apparitions!$H$2:$H$5001,A128)),""))</f>
        <v/>
      </c>
    </row>
    <row r="129" customFormat="false" ht="15" hidden="false" customHeight="false" outlineLevel="0" collapsed="false">
      <c r="A129" s="19"/>
      <c r="B129" s="19"/>
      <c r="C129" s="19"/>
      <c r="D129" s="19"/>
      <c r="E129" s="32"/>
      <c r="F129" s="19"/>
      <c r="G129" s="26" t="str">
        <f aca="false">IF(A129="","",COUNTIF(Pubs!$B$2:$B$3001,A129))</f>
        <v/>
      </c>
      <c r="H129" s="26" t="str">
        <f aca="false">IF(A129="","",COUNTIF(Apparitions!$H$2:$H$5001,A129))</f>
        <v/>
      </c>
      <c r="I129" s="26" t="str">
        <f aca="false">IF(A129="","",COUNTIFS(Apparitions!$H$2:$H$5001,A129,Apparitions!$E$2:$E$5001,"○"))</f>
        <v/>
      </c>
      <c r="J129" s="29" t="str">
        <f aca="false">IF(A129="","",IFERROR(1/(1/_xlfn.MINIFS(Apparitions!$L$2:$L$5001,Apparitions!$H$2:$H$5001,A129)),""))</f>
        <v/>
      </c>
    </row>
    <row r="130" customFormat="false" ht="15" hidden="false" customHeight="false" outlineLevel="0" collapsed="false">
      <c r="A130" s="19"/>
      <c r="B130" s="19"/>
      <c r="C130" s="19"/>
      <c r="D130" s="19"/>
      <c r="E130" s="32"/>
      <c r="F130" s="19"/>
      <c r="G130" s="26" t="str">
        <f aca="false">IF(A130="","",COUNTIF(Pubs!$B$2:$B$3001,A130))</f>
        <v/>
      </c>
      <c r="H130" s="26" t="str">
        <f aca="false">IF(A130="","",COUNTIF(Apparitions!$H$2:$H$5001,A130))</f>
        <v/>
      </c>
      <c r="I130" s="26" t="str">
        <f aca="false">IF(A130="","",COUNTIFS(Apparitions!$H$2:$H$5001,A130,Apparitions!$E$2:$E$5001,"○"))</f>
        <v/>
      </c>
      <c r="J130" s="29" t="str">
        <f aca="false">IF(A130="","",IFERROR(1/(1/_xlfn.MINIFS(Apparitions!$L$2:$L$5001,Apparitions!$H$2:$H$5001,A130)),""))</f>
        <v/>
      </c>
    </row>
    <row r="131" customFormat="false" ht="15" hidden="false" customHeight="false" outlineLevel="0" collapsed="false">
      <c r="A131" s="19"/>
      <c r="B131" s="19"/>
      <c r="C131" s="19"/>
      <c r="D131" s="19"/>
      <c r="E131" s="32"/>
      <c r="F131" s="19"/>
      <c r="G131" s="26" t="str">
        <f aca="false">IF(A131="","",COUNTIF(Pubs!$B$2:$B$3001,A131))</f>
        <v/>
      </c>
      <c r="H131" s="26" t="str">
        <f aca="false">IF(A131="","",COUNTIF(Apparitions!$H$2:$H$5001,A131))</f>
        <v/>
      </c>
      <c r="I131" s="26" t="str">
        <f aca="false">IF(A131="","",COUNTIFS(Apparitions!$H$2:$H$5001,A131,Apparitions!$E$2:$E$5001,"○"))</f>
        <v/>
      </c>
      <c r="J131" s="29" t="str">
        <f aca="false">IF(A131="","",IFERROR(1/(1/_xlfn.MINIFS(Apparitions!$L$2:$L$5001,Apparitions!$H$2:$H$5001,A131)),""))</f>
        <v/>
      </c>
    </row>
    <row r="132" customFormat="false" ht="15" hidden="false" customHeight="false" outlineLevel="0" collapsed="false">
      <c r="A132" s="19"/>
      <c r="B132" s="19"/>
      <c r="C132" s="19"/>
      <c r="D132" s="19"/>
      <c r="E132" s="32"/>
      <c r="F132" s="19"/>
      <c r="G132" s="26" t="str">
        <f aca="false">IF(A132="","",COUNTIF(Pubs!$B$2:$B$3001,A132))</f>
        <v/>
      </c>
      <c r="H132" s="26" t="str">
        <f aca="false">IF(A132="","",COUNTIF(Apparitions!$H$2:$H$5001,A132))</f>
        <v/>
      </c>
      <c r="I132" s="26" t="str">
        <f aca="false">IF(A132="","",COUNTIFS(Apparitions!$H$2:$H$5001,A132,Apparitions!$E$2:$E$5001,"○"))</f>
        <v/>
      </c>
      <c r="J132" s="29" t="str">
        <f aca="false">IF(A132="","",IFERROR(1/(1/_xlfn.MINIFS(Apparitions!$L$2:$L$5001,Apparitions!$H$2:$H$5001,A132)),""))</f>
        <v/>
      </c>
    </row>
    <row r="133" customFormat="false" ht="15" hidden="false" customHeight="false" outlineLevel="0" collapsed="false">
      <c r="A133" s="19"/>
      <c r="B133" s="19"/>
      <c r="C133" s="19"/>
      <c r="D133" s="19"/>
      <c r="E133" s="32"/>
      <c r="F133" s="19"/>
      <c r="G133" s="26" t="str">
        <f aca="false">IF(A133="","",COUNTIF(Pubs!$B$2:$B$3001,A133))</f>
        <v/>
      </c>
      <c r="H133" s="26" t="str">
        <f aca="false">IF(A133="","",COUNTIF(Apparitions!$H$2:$H$5001,A133))</f>
        <v/>
      </c>
      <c r="I133" s="26" t="str">
        <f aca="false">IF(A133="","",COUNTIFS(Apparitions!$H$2:$H$5001,A133,Apparitions!$E$2:$E$5001,"○"))</f>
        <v/>
      </c>
      <c r="J133" s="29" t="str">
        <f aca="false">IF(A133="","",IFERROR(1/(1/_xlfn.MINIFS(Apparitions!$L$2:$L$5001,Apparitions!$H$2:$H$5001,A133)),""))</f>
        <v/>
      </c>
    </row>
    <row r="134" customFormat="false" ht="15" hidden="false" customHeight="false" outlineLevel="0" collapsed="false">
      <c r="A134" s="19"/>
      <c r="B134" s="19"/>
      <c r="C134" s="19"/>
      <c r="D134" s="19"/>
      <c r="E134" s="32"/>
      <c r="F134" s="19"/>
      <c r="G134" s="26" t="str">
        <f aca="false">IF(A134="","",COUNTIF(Pubs!$B$2:$B$3001,A134))</f>
        <v/>
      </c>
      <c r="H134" s="26" t="str">
        <f aca="false">IF(A134="","",COUNTIF(Apparitions!$H$2:$H$5001,A134))</f>
        <v/>
      </c>
      <c r="I134" s="26" t="str">
        <f aca="false">IF(A134="","",COUNTIFS(Apparitions!$H$2:$H$5001,A134,Apparitions!$E$2:$E$5001,"○"))</f>
        <v/>
      </c>
      <c r="J134" s="29" t="str">
        <f aca="false">IF(A134="","",IFERROR(1/(1/_xlfn.MINIFS(Apparitions!$L$2:$L$5001,Apparitions!$H$2:$H$5001,A134)),""))</f>
        <v/>
      </c>
    </row>
    <row r="135" customFormat="false" ht="15" hidden="false" customHeight="false" outlineLevel="0" collapsed="false">
      <c r="A135" s="19"/>
      <c r="B135" s="19"/>
      <c r="C135" s="19"/>
      <c r="D135" s="19"/>
      <c r="E135" s="32"/>
      <c r="F135" s="19"/>
      <c r="G135" s="26" t="str">
        <f aca="false">IF(A135="","",COUNTIF(Pubs!$B$2:$B$3001,A135))</f>
        <v/>
      </c>
      <c r="H135" s="26" t="str">
        <f aca="false">IF(A135="","",COUNTIF(Apparitions!$H$2:$H$5001,A135))</f>
        <v/>
      </c>
      <c r="I135" s="26" t="str">
        <f aca="false">IF(A135="","",COUNTIFS(Apparitions!$H$2:$H$5001,A135,Apparitions!$E$2:$E$5001,"○"))</f>
        <v/>
      </c>
      <c r="J135" s="29" t="str">
        <f aca="false">IF(A135="","",IFERROR(1/(1/_xlfn.MINIFS(Apparitions!$L$2:$L$5001,Apparitions!$H$2:$H$5001,A135)),""))</f>
        <v/>
      </c>
    </row>
    <row r="136" customFormat="false" ht="15" hidden="false" customHeight="false" outlineLevel="0" collapsed="false">
      <c r="A136" s="19"/>
      <c r="B136" s="19"/>
      <c r="C136" s="19"/>
      <c r="D136" s="19"/>
      <c r="E136" s="32"/>
      <c r="F136" s="19"/>
      <c r="G136" s="26" t="str">
        <f aca="false">IF(A136="","",COUNTIF(Pubs!$B$2:$B$3001,A136))</f>
        <v/>
      </c>
      <c r="H136" s="26" t="str">
        <f aca="false">IF(A136="","",COUNTIF(Apparitions!$H$2:$H$5001,A136))</f>
        <v/>
      </c>
      <c r="I136" s="26" t="str">
        <f aca="false">IF(A136="","",COUNTIFS(Apparitions!$H$2:$H$5001,A136,Apparitions!$E$2:$E$5001,"○"))</f>
        <v/>
      </c>
      <c r="J136" s="29" t="str">
        <f aca="false">IF(A136="","",IFERROR(1/(1/_xlfn.MINIFS(Apparitions!$L$2:$L$5001,Apparitions!$H$2:$H$5001,A136)),""))</f>
        <v/>
      </c>
    </row>
    <row r="137" customFormat="false" ht="15" hidden="false" customHeight="false" outlineLevel="0" collapsed="false">
      <c r="A137" s="19"/>
      <c r="B137" s="19"/>
      <c r="C137" s="19"/>
      <c r="D137" s="19"/>
      <c r="E137" s="32"/>
      <c r="F137" s="19"/>
      <c r="G137" s="26" t="str">
        <f aca="false">IF(A137="","",COUNTIF(Pubs!$B$2:$B$3001,A137))</f>
        <v/>
      </c>
      <c r="H137" s="26" t="str">
        <f aca="false">IF(A137="","",COUNTIF(Apparitions!$H$2:$H$5001,A137))</f>
        <v/>
      </c>
      <c r="I137" s="26" t="str">
        <f aca="false">IF(A137="","",COUNTIFS(Apparitions!$H$2:$H$5001,A137,Apparitions!$E$2:$E$5001,"○"))</f>
        <v/>
      </c>
      <c r="J137" s="29" t="str">
        <f aca="false">IF(A137="","",IFERROR(1/(1/_xlfn.MINIFS(Apparitions!$L$2:$L$5001,Apparitions!$H$2:$H$5001,A137)),""))</f>
        <v/>
      </c>
    </row>
    <row r="138" customFormat="false" ht="15" hidden="false" customHeight="false" outlineLevel="0" collapsed="false">
      <c r="A138" s="19"/>
      <c r="B138" s="19"/>
      <c r="C138" s="19"/>
      <c r="D138" s="19"/>
      <c r="E138" s="32"/>
      <c r="F138" s="19"/>
      <c r="G138" s="26" t="str">
        <f aca="false">IF(A138="","",COUNTIF(Pubs!$B$2:$B$3001,A138))</f>
        <v/>
      </c>
      <c r="H138" s="26" t="str">
        <f aca="false">IF(A138="","",COUNTIF(Apparitions!$H$2:$H$5001,A138))</f>
        <v/>
      </c>
      <c r="I138" s="26" t="str">
        <f aca="false">IF(A138="","",COUNTIFS(Apparitions!$H$2:$H$5001,A138,Apparitions!$E$2:$E$5001,"○"))</f>
        <v/>
      </c>
      <c r="J138" s="29" t="str">
        <f aca="false">IF(A138="","",IFERROR(1/(1/_xlfn.MINIFS(Apparitions!$L$2:$L$5001,Apparitions!$H$2:$H$5001,A138)),""))</f>
        <v/>
      </c>
    </row>
    <row r="139" customFormat="false" ht="15" hidden="false" customHeight="false" outlineLevel="0" collapsed="false">
      <c r="A139" s="19"/>
      <c r="B139" s="19"/>
      <c r="C139" s="19"/>
      <c r="D139" s="19"/>
      <c r="E139" s="32"/>
      <c r="F139" s="19"/>
      <c r="G139" s="26" t="str">
        <f aca="false">IF(A139="","",COUNTIF(Pubs!$B$2:$B$3001,A139))</f>
        <v/>
      </c>
      <c r="H139" s="26" t="str">
        <f aca="false">IF(A139="","",COUNTIF(Apparitions!$H$2:$H$5001,A139))</f>
        <v/>
      </c>
      <c r="I139" s="26" t="str">
        <f aca="false">IF(A139="","",COUNTIFS(Apparitions!$H$2:$H$5001,A139,Apparitions!$E$2:$E$5001,"○"))</f>
        <v/>
      </c>
      <c r="J139" s="29" t="str">
        <f aca="false">IF(A139="","",IFERROR(1/(1/_xlfn.MINIFS(Apparitions!$L$2:$L$5001,Apparitions!$H$2:$H$5001,A139)),""))</f>
        <v/>
      </c>
    </row>
    <row r="140" customFormat="false" ht="15" hidden="false" customHeight="false" outlineLevel="0" collapsed="false">
      <c r="A140" s="19"/>
      <c r="B140" s="19"/>
      <c r="C140" s="19"/>
      <c r="D140" s="19"/>
      <c r="E140" s="32"/>
      <c r="F140" s="19"/>
      <c r="G140" s="26" t="str">
        <f aca="false">IF(A140="","",COUNTIF(Pubs!$B$2:$B$3001,A140))</f>
        <v/>
      </c>
      <c r="H140" s="26" t="str">
        <f aca="false">IF(A140="","",COUNTIF(Apparitions!$H$2:$H$5001,A140))</f>
        <v/>
      </c>
      <c r="I140" s="26" t="str">
        <f aca="false">IF(A140="","",COUNTIFS(Apparitions!$H$2:$H$5001,A140,Apparitions!$E$2:$E$5001,"○"))</f>
        <v/>
      </c>
      <c r="J140" s="29" t="str">
        <f aca="false">IF(A140="","",IFERROR(1/(1/_xlfn.MINIFS(Apparitions!$L$2:$L$5001,Apparitions!$H$2:$H$5001,A140)),""))</f>
        <v/>
      </c>
    </row>
    <row r="141" customFormat="false" ht="15" hidden="false" customHeight="false" outlineLevel="0" collapsed="false">
      <c r="A141" s="19"/>
      <c r="B141" s="19"/>
      <c r="C141" s="19"/>
      <c r="D141" s="19"/>
      <c r="E141" s="32"/>
      <c r="F141" s="19"/>
      <c r="G141" s="26" t="str">
        <f aca="false">IF(A141="","",COUNTIF(Pubs!$B$2:$B$3001,A141))</f>
        <v/>
      </c>
      <c r="H141" s="26" t="str">
        <f aca="false">IF(A141="","",COUNTIF(Apparitions!$H$2:$H$5001,A141))</f>
        <v/>
      </c>
      <c r="I141" s="26" t="str">
        <f aca="false">IF(A141="","",COUNTIFS(Apparitions!$H$2:$H$5001,A141,Apparitions!$E$2:$E$5001,"○"))</f>
        <v/>
      </c>
      <c r="J141" s="29" t="str">
        <f aca="false">IF(A141="","",IFERROR(1/(1/_xlfn.MINIFS(Apparitions!$L$2:$L$5001,Apparitions!$H$2:$H$5001,A141)),""))</f>
        <v/>
      </c>
    </row>
    <row r="142" customFormat="false" ht="15" hidden="false" customHeight="false" outlineLevel="0" collapsed="false">
      <c r="A142" s="19"/>
      <c r="B142" s="19"/>
      <c r="C142" s="19"/>
      <c r="D142" s="19"/>
      <c r="E142" s="32"/>
      <c r="F142" s="19"/>
      <c r="G142" s="26" t="str">
        <f aca="false">IF(A142="","",COUNTIF(Pubs!$B$2:$B$3001,A142))</f>
        <v/>
      </c>
      <c r="H142" s="26" t="str">
        <f aca="false">IF(A142="","",COUNTIF(Apparitions!$H$2:$H$5001,A142))</f>
        <v/>
      </c>
      <c r="I142" s="26" t="str">
        <f aca="false">IF(A142="","",COUNTIFS(Apparitions!$H$2:$H$5001,A142,Apparitions!$E$2:$E$5001,"○"))</f>
        <v/>
      </c>
      <c r="J142" s="29" t="str">
        <f aca="false">IF(A142="","",IFERROR(1/(1/_xlfn.MINIFS(Apparitions!$L$2:$L$5001,Apparitions!$H$2:$H$5001,A142)),""))</f>
        <v/>
      </c>
    </row>
    <row r="143" customFormat="false" ht="15" hidden="false" customHeight="false" outlineLevel="0" collapsed="false">
      <c r="A143" s="19"/>
      <c r="B143" s="19"/>
      <c r="C143" s="19"/>
      <c r="D143" s="19"/>
      <c r="E143" s="32"/>
      <c r="F143" s="19"/>
      <c r="G143" s="26" t="str">
        <f aca="false">IF(A143="","",COUNTIF(Pubs!$B$2:$B$3001,A143))</f>
        <v/>
      </c>
      <c r="H143" s="26" t="str">
        <f aca="false">IF(A143="","",COUNTIF(Apparitions!$H$2:$H$5001,A143))</f>
        <v/>
      </c>
      <c r="I143" s="26" t="str">
        <f aca="false">IF(A143="","",COUNTIFS(Apparitions!$H$2:$H$5001,A143,Apparitions!$E$2:$E$5001,"○"))</f>
        <v/>
      </c>
      <c r="J143" s="29" t="str">
        <f aca="false">IF(A143="","",IFERROR(1/(1/_xlfn.MINIFS(Apparitions!$L$2:$L$5001,Apparitions!$H$2:$H$5001,A143)),""))</f>
        <v/>
      </c>
    </row>
    <row r="144" customFormat="false" ht="15" hidden="false" customHeight="false" outlineLevel="0" collapsed="false">
      <c r="A144" s="19"/>
      <c r="B144" s="19"/>
      <c r="C144" s="19"/>
      <c r="D144" s="19"/>
      <c r="E144" s="32"/>
      <c r="F144" s="19"/>
      <c r="G144" s="26" t="str">
        <f aca="false">IF(A144="","",COUNTIF(Pubs!$B$2:$B$3001,A144))</f>
        <v/>
      </c>
      <c r="H144" s="26" t="str">
        <f aca="false">IF(A144="","",COUNTIF(Apparitions!$H$2:$H$5001,A144))</f>
        <v/>
      </c>
      <c r="I144" s="26" t="str">
        <f aca="false">IF(A144="","",COUNTIFS(Apparitions!$H$2:$H$5001,A144,Apparitions!$E$2:$E$5001,"○"))</f>
        <v/>
      </c>
      <c r="J144" s="29" t="str">
        <f aca="false">IF(A144="","",IFERROR(1/(1/_xlfn.MINIFS(Apparitions!$L$2:$L$5001,Apparitions!$H$2:$H$5001,A144)),""))</f>
        <v/>
      </c>
    </row>
    <row r="145" customFormat="false" ht="15" hidden="false" customHeight="false" outlineLevel="0" collapsed="false">
      <c r="A145" s="19"/>
      <c r="B145" s="19"/>
      <c r="C145" s="19"/>
      <c r="D145" s="19"/>
      <c r="E145" s="32"/>
      <c r="F145" s="19"/>
      <c r="G145" s="26" t="str">
        <f aca="false">IF(A145="","",COUNTIF(Pubs!$B$2:$B$3001,A145))</f>
        <v/>
      </c>
      <c r="H145" s="26" t="str">
        <f aca="false">IF(A145="","",COUNTIF(Apparitions!$H$2:$H$5001,A145))</f>
        <v/>
      </c>
      <c r="I145" s="26" t="str">
        <f aca="false">IF(A145="","",COUNTIFS(Apparitions!$H$2:$H$5001,A145,Apparitions!$E$2:$E$5001,"○"))</f>
        <v/>
      </c>
      <c r="J145" s="29" t="str">
        <f aca="false">IF(A145="","",IFERROR(1/(1/_xlfn.MINIFS(Apparitions!$L$2:$L$5001,Apparitions!$H$2:$H$5001,A145)),""))</f>
        <v/>
      </c>
    </row>
    <row r="146" customFormat="false" ht="15" hidden="false" customHeight="false" outlineLevel="0" collapsed="false">
      <c r="A146" s="19"/>
      <c r="B146" s="19"/>
      <c r="C146" s="19"/>
      <c r="D146" s="19"/>
      <c r="E146" s="32"/>
      <c r="F146" s="19"/>
      <c r="G146" s="26" t="str">
        <f aca="false">IF(A146="","",COUNTIF(Pubs!$B$2:$B$3001,A146))</f>
        <v/>
      </c>
      <c r="H146" s="26" t="str">
        <f aca="false">IF(A146="","",COUNTIF(Apparitions!$H$2:$H$5001,A146))</f>
        <v/>
      </c>
      <c r="I146" s="26" t="str">
        <f aca="false">IF(A146="","",COUNTIFS(Apparitions!$H$2:$H$5001,A146,Apparitions!$E$2:$E$5001,"○"))</f>
        <v/>
      </c>
      <c r="J146" s="29" t="str">
        <f aca="false">IF(A146="","",IFERROR(1/(1/_xlfn.MINIFS(Apparitions!$L$2:$L$5001,Apparitions!$H$2:$H$5001,A146)),""))</f>
        <v/>
      </c>
    </row>
    <row r="147" customFormat="false" ht="15" hidden="false" customHeight="false" outlineLevel="0" collapsed="false">
      <c r="A147" s="19"/>
      <c r="B147" s="19"/>
      <c r="C147" s="19"/>
      <c r="D147" s="19"/>
      <c r="E147" s="32"/>
      <c r="F147" s="19"/>
      <c r="G147" s="26" t="str">
        <f aca="false">IF(A147="","",COUNTIF(Pubs!$B$2:$B$3001,A147))</f>
        <v/>
      </c>
      <c r="H147" s="26" t="str">
        <f aca="false">IF(A147="","",COUNTIF(Apparitions!$H$2:$H$5001,A147))</f>
        <v/>
      </c>
      <c r="I147" s="26" t="str">
        <f aca="false">IF(A147="","",COUNTIFS(Apparitions!$H$2:$H$5001,A147,Apparitions!$E$2:$E$5001,"○"))</f>
        <v/>
      </c>
      <c r="J147" s="29" t="str">
        <f aca="false">IF(A147="","",IFERROR(1/(1/_xlfn.MINIFS(Apparitions!$L$2:$L$5001,Apparitions!$H$2:$H$5001,A147)),""))</f>
        <v/>
      </c>
    </row>
    <row r="148" customFormat="false" ht="15" hidden="false" customHeight="false" outlineLevel="0" collapsed="false">
      <c r="A148" s="19"/>
      <c r="B148" s="19"/>
      <c r="C148" s="19"/>
      <c r="D148" s="19"/>
      <c r="E148" s="32"/>
      <c r="F148" s="19"/>
      <c r="G148" s="26" t="str">
        <f aca="false">IF(A148="","",COUNTIF(Pubs!$B$2:$B$3001,A148))</f>
        <v/>
      </c>
      <c r="H148" s="26" t="str">
        <f aca="false">IF(A148="","",COUNTIF(Apparitions!$H$2:$H$5001,A148))</f>
        <v/>
      </c>
      <c r="I148" s="26" t="str">
        <f aca="false">IF(A148="","",COUNTIFS(Apparitions!$H$2:$H$5001,A148,Apparitions!$E$2:$E$5001,"○"))</f>
        <v/>
      </c>
      <c r="J148" s="29" t="str">
        <f aca="false">IF(A148="","",IFERROR(1/(1/_xlfn.MINIFS(Apparitions!$L$2:$L$5001,Apparitions!$H$2:$H$5001,A148)),""))</f>
        <v/>
      </c>
    </row>
    <row r="149" customFormat="false" ht="15" hidden="false" customHeight="false" outlineLevel="0" collapsed="false">
      <c r="A149" s="19"/>
      <c r="B149" s="19"/>
      <c r="C149" s="19"/>
      <c r="D149" s="19"/>
      <c r="E149" s="32"/>
      <c r="F149" s="19"/>
      <c r="G149" s="26" t="str">
        <f aca="false">IF(A149="","",COUNTIF(Pubs!$B$2:$B$3001,A149))</f>
        <v/>
      </c>
      <c r="H149" s="26" t="str">
        <f aca="false">IF(A149="","",COUNTIF(Apparitions!$H$2:$H$5001,A149))</f>
        <v/>
      </c>
      <c r="I149" s="26" t="str">
        <f aca="false">IF(A149="","",COUNTIFS(Apparitions!$H$2:$H$5001,A149,Apparitions!$E$2:$E$5001,"○"))</f>
        <v/>
      </c>
      <c r="J149" s="29" t="str">
        <f aca="false">IF(A149="","",IFERROR(1/(1/_xlfn.MINIFS(Apparitions!$L$2:$L$5001,Apparitions!$H$2:$H$5001,A149)),""))</f>
        <v/>
      </c>
    </row>
    <row r="150" customFormat="false" ht="15" hidden="false" customHeight="false" outlineLevel="0" collapsed="false">
      <c r="A150" s="19"/>
      <c r="B150" s="19"/>
      <c r="C150" s="19"/>
      <c r="D150" s="19"/>
      <c r="E150" s="32"/>
      <c r="F150" s="19"/>
      <c r="G150" s="26" t="str">
        <f aca="false">IF(A150="","",COUNTIF(Pubs!$B$2:$B$3001,A150))</f>
        <v/>
      </c>
      <c r="H150" s="26" t="str">
        <f aca="false">IF(A150="","",COUNTIF(Apparitions!$H$2:$H$5001,A150))</f>
        <v/>
      </c>
      <c r="I150" s="26" t="str">
        <f aca="false">IF(A150="","",COUNTIFS(Apparitions!$H$2:$H$5001,A150,Apparitions!$E$2:$E$5001,"○"))</f>
        <v/>
      </c>
      <c r="J150" s="29" t="str">
        <f aca="false">IF(A150="","",IFERROR(1/(1/_xlfn.MINIFS(Apparitions!$L$2:$L$5001,Apparitions!$H$2:$H$5001,A150)),""))</f>
        <v/>
      </c>
    </row>
    <row r="151" customFormat="false" ht="15" hidden="false" customHeight="false" outlineLevel="0" collapsed="false">
      <c r="A151" s="19"/>
      <c r="B151" s="19"/>
      <c r="C151" s="19"/>
      <c r="D151" s="19"/>
      <c r="E151" s="32"/>
      <c r="F151" s="19"/>
      <c r="G151" s="26" t="str">
        <f aca="false">IF(A151="","",COUNTIF(Pubs!$B$2:$B$3001,A151))</f>
        <v/>
      </c>
      <c r="H151" s="26" t="str">
        <f aca="false">IF(A151="","",COUNTIF(Apparitions!$H$2:$H$5001,A151))</f>
        <v/>
      </c>
      <c r="I151" s="26" t="str">
        <f aca="false">IF(A151="","",COUNTIFS(Apparitions!$H$2:$H$5001,A151,Apparitions!$E$2:$E$5001,"○"))</f>
        <v/>
      </c>
      <c r="J151" s="29" t="str">
        <f aca="false">IF(A151="","",IFERROR(1/(1/_xlfn.MINIFS(Apparitions!$L$2:$L$5001,Apparitions!$H$2:$H$5001,A151)),""))</f>
        <v/>
      </c>
    </row>
    <row r="152" customFormat="false" ht="15" hidden="false" customHeight="false" outlineLevel="0" collapsed="false">
      <c r="A152" s="19"/>
      <c r="B152" s="19"/>
      <c r="C152" s="19"/>
      <c r="D152" s="19"/>
      <c r="E152" s="32"/>
      <c r="F152" s="19"/>
      <c r="G152" s="26" t="str">
        <f aca="false">IF(A152="","",COUNTIF(Pubs!$B$2:$B$3001,A152))</f>
        <v/>
      </c>
      <c r="H152" s="26" t="str">
        <f aca="false">IF(A152="","",COUNTIF(Apparitions!$H$2:$H$5001,A152))</f>
        <v/>
      </c>
      <c r="I152" s="26" t="str">
        <f aca="false">IF(A152="","",COUNTIFS(Apparitions!$H$2:$H$5001,A152,Apparitions!$E$2:$E$5001,"○"))</f>
        <v/>
      </c>
      <c r="J152" s="29" t="str">
        <f aca="false">IF(A152="","",IFERROR(1/(1/_xlfn.MINIFS(Apparitions!$L$2:$L$5001,Apparitions!$H$2:$H$5001,A152)),""))</f>
        <v/>
      </c>
    </row>
    <row r="153" customFormat="false" ht="15" hidden="false" customHeight="false" outlineLevel="0" collapsed="false">
      <c r="A153" s="19"/>
      <c r="B153" s="19"/>
      <c r="C153" s="19"/>
      <c r="D153" s="19"/>
      <c r="E153" s="32"/>
      <c r="F153" s="19"/>
      <c r="G153" s="26" t="str">
        <f aca="false">IF(A153="","",COUNTIF(Pubs!$B$2:$B$3001,A153))</f>
        <v/>
      </c>
      <c r="H153" s="26" t="str">
        <f aca="false">IF(A153="","",COUNTIF(Apparitions!$H$2:$H$5001,A153))</f>
        <v/>
      </c>
      <c r="I153" s="26" t="str">
        <f aca="false">IF(A153="","",COUNTIFS(Apparitions!$H$2:$H$5001,A153,Apparitions!$E$2:$E$5001,"○"))</f>
        <v/>
      </c>
      <c r="J153" s="29" t="str">
        <f aca="false">IF(A153="","",IFERROR(1/(1/_xlfn.MINIFS(Apparitions!$L$2:$L$5001,Apparitions!$H$2:$H$5001,A153)),""))</f>
        <v/>
      </c>
    </row>
    <row r="154" customFormat="false" ht="15" hidden="false" customHeight="false" outlineLevel="0" collapsed="false">
      <c r="A154" s="19"/>
      <c r="B154" s="19"/>
      <c r="C154" s="19"/>
      <c r="D154" s="19"/>
      <c r="E154" s="32"/>
      <c r="F154" s="19"/>
      <c r="G154" s="26" t="str">
        <f aca="false">IF(A154="","",COUNTIF(Pubs!$B$2:$B$3001,A154))</f>
        <v/>
      </c>
      <c r="H154" s="26" t="str">
        <f aca="false">IF(A154="","",COUNTIF(Apparitions!$H$2:$H$5001,A154))</f>
        <v/>
      </c>
      <c r="I154" s="26" t="str">
        <f aca="false">IF(A154="","",COUNTIFS(Apparitions!$H$2:$H$5001,A154,Apparitions!$E$2:$E$5001,"○"))</f>
        <v/>
      </c>
      <c r="J154" s="29" t="str">
        <f aca="false">IF(A154="","",IFERROR(1/(1/_xlfn.MINIFS(Apparitions!$L$2:$L$5001,Apparitions!$H$2:$H$5001,A154)),""))</f>
        <v/>
      </c>
    </row>
    <row r="155" customFormat="false" ht="15" hidden="false" customHeight="false" outlineLevel="0" collapsed="false">
      <c r="A155" s="19"/>
      <c r="B155" s="19"/>
      <c r="C155" s="19"/>
      <c r="D155" s="19"/>
      <c r="E155" s="32"/>
      <c r="F155" s="19"/>
      <c r="G155" s="26" t="str">
        <f aca="false">IF(A155="","",COUNTIF(Pubs!$B$2:$B$3001,A155))</f>
        <v/>
      </c>
      <c r="H155" s="26" t="str">
        <f aca="false">IF(A155="","",COUNTIF(Apparitions!$H$2:$H$5001,A155))</f>
        <v/>
      </c>
      <c r="I155" s="26" t="str">
        <f aca="false">IF(A155="","",COUNTIFS(Apparitions!$H$2:$H$5001,A155,Apparitions!$E$2:$E$5001,"○"))</f>
        <v/>
      </c>
      <c r="J155" s="29" t="str">
        <f aca="false">IF(A155="","",IFERROR(1/(1/_xlfn.MINIFS(Apparitions!$L$2:$L$5001,Apparitions!$H$2:$H$5001,A155)),""))</f>
        <v/>
      </c>
    </row>
    <row r="156" customFormat="false" ht="15" hidden="false" customHeight="false" outlineLevel="0" collapsed="false">
      <c r="A156" s="19"/>
      <c r="B156" s="19"/>
      <c r="C156" s="19"/>
      <c r="D156" s="19"/>
      <c r="E156" s="32"/>
      <c r="F156" s="19"/>
      <c r="G156" s="26" t="str">
        <f aca="false">IF(A156="","",COUNTIF(Pubs!$B$2:$B$3001,A156))</f>
        <v/>
      </c>
      <c r="H156" s="26" t="str">
        <f aca="false">IF(A156="","",COUNTIF(Apparitions!$H$2:$H$5001,A156))</f>
        <v/>
      </c>
      <c r="I156" s="26" t="str">
        <f aca="false">IF(A156="","",COUNTIFS(Apparitions!$H$2:$H$5001,A156,Apparitions!$E$2:$E$5001,"○"))</f>
        <v/>
      </c>
      <c r="J156" s="29" t="str">
        <f aca="false">IF(A156="","",IFERROR(1/(1/_xlfn.MINIFS(Apparitions!$L$2:$L$5001,Apparitions!$H$2:$H$5001,A156)),""))</f>
        <v/>
      </c>
    </row>
    <row r="157" customFormat="false" ht="15" hidden="false" customHeight="false" outlineLevel="0" collapsed="false">
      <c r="A157" s="19"/>
      <c r="B157" s="19"/>
      <c r="C157" s="19"/>
      <c r="D157" s="19"/>
      <c r="E157" s="32"/>
      <c r="F157" s="19"/>
      <c r="G157" s="26" t="str">
        <f aca="false">IF(A157="","",COUNTIF(Pubs!$B$2:$B$3001,A157))</f>
        <v/>
      </c>
      <c r="H157" s="26" t="str">
        <f aca="false">IF(A157="","",COUNTIF(Apparitions!$H$2:$H$5001,A157))</f>
        <v/>
      </c>
      <c r="I157" s="26" t="str">
        <f aca="false">IF(A157="","",COUNTIFS(Apparitions!$H$2:$H$5001,A157,Apparitions!$E$2:$E$5001,"○"))</f>
        <v/>
      </c>
      <c r="J157" s="29" t="str">
        <f aca="false">IF(A157="","",IFERROR(1/(1/_xlfn.MINIFS(Apparitions!$L$2:$L$5001,Apparitions!$H$2:$H$5001,A157)),""))</f>
        <v/>
      </c>
    </row>
    <row r="158" customFormat="false" ht="15" hidden="false" customHeight="false" outlineLevel="0" collapsed="false">
      <c r="A158" s="19"/>
      <c r="B158" s="19"/>
      <c r="C158" s="19"/>
      <c r="D158" s="19"/>
      <c r="E158" s="32"/>
      <c r="F158" s="19"/>
      <c r="G158" s="26" t="str">
        <f aca="false">IF(A158="","",COUNTIF(Pubs!$B$2:$B$3001,A158))</f>
        <v/>
      </c>
      <c r="H158" s="26" t="str">
        <f aca="false">IF(A158="","",COUNTIF(Apparitions!$H$2:$H$5001,A158))</f>
        <v/>
      </c>
      <c r="I158" s="26" t="str">
        <f aca="false">IF(A158="","",COUNTIFS(Apparitions!$H$2:$H$5001,A158,Apparitions!$E$2:$E$5001,"○"))</f>
        <v/>
      </c>
      <c r="J158" s="29" t="str">
        <f aca="false">IF(A158="","",IFERROR(1/(1/_xlfn.MINIFS(Apparitions!$L$2:$L$5001,Apparitions!$H$2:$H$5001,A158)),""))</f>
        <v/>
      </c>
    </row>
    <row r="159" customFormat="false" ht="15" hidden="false" customHeight="false" outlineLevel="0" collapsed="false">
      <c r="A159" s="19"/>
      <c r="B159" s="19"/>
      <c r="C159" s="19"/>
      <c r="D159" s="19"/>
      <c r="E159" s="32"/>
      <c r="F159" s="19"/>
      <c r="G159" s="26" t="str">
        <f aca="false">IF(A159="","",COUNTIF(Pubs!$B$2:$B$3001,A159))</f>
        <v/>
      </c>
      <c r="H159" s="26" t="str">
        <f aca="false">IF(A159="","",COUNTIF(Apparitions!$H$2:$H$5001,A159))</f>
        <v/>
      </c>
      <c r="I159" s="26" t="str">
        <f aca="false">IF(A159="","",COUNTIFS(Apparitions!$H$2:$H$5001,A159,Apparitions!$E$2:$E$5001,"○"))</f>
        <v/>
      </c>
      <c r="J159" s="29" t="str">
        <f aca="false">IF(A159="","",IFERROR(1/(1/_xlfn.MINIFS(Apparitions!$L$2:$L$5001,Apparitions!$H$2:$H$5001,A159)),""))</f>
        <v/>
      </c>
    </row>
    <row r="160" customFormat="false" ht="15" hidden="false" customHeight="false" outlineLevel="0" collapsed="false">
      <c r="A160" s="19"/>
      <c r="B160" s="19"/>
      <c r="C160" s="19"/>
      <c r="D160" s="19"/>
      <c r="E160" s="32"/>
      <c r="F160" s="19"/>
      <c r="G160" s="26" t="str">
        <f aca="false">IF(A160="","",COUNTIF(Pubs!$B$2:$B$3001,A160))</f>
        <v/>
      </c>
      <c r="H160" s="26" t="str">
        <f aca="false">IF(A160="","",COUNTIF(Apparitions!$H$2:$H$5001,A160))</f>
        <v/>
      </c>
      <c r="I160" s="26" t="str">
        <f aca="false">IF(A160="","",COUNTIFS(Apparitions!$H$2:$H$5001,A160,Apparitions!$E$2:$E$5001,"○"))</f>
        <v/>
      </c>
      <c r="J160" s="29" t="str">
        <f aca="false">IF(A160="","",IFERROR(1/(1/_xlfn.MINIFS(Apparitions!$L$2:$L$5001,Apparitions!$H$2:$H$5001,A160)),""))</f>
        <v/>
      </c>
    </row>
    <row r="161" customFormat="false" ht="15" hidden="false" customHeight="false" outlineLevel="0" collapsed="false">
      <c r="A161" s="19"/>
      <c r="B161" s="19"/>
      <c r="C161" s="19"/>
      <c r="D161" s="19"/>
      <c r="E161" s="32"/>
      <c r="F161" s="19"/>
      <c r="G161" s="26" t="str">
        <f aca="false">IF(A161="","",COUNTIF(Pubs!$B$2:$B$3001,A161))</f>
        <v/>
      </c>
      <c r="H161" s="26" t="str">
        <f aca="false">IF(A161="","",COUNTIF(Apparitions!$H$2:$H$5001,A161))</f>
        <v/>
      </c>
      <c r="I161" s="26" t="str">
        <f aca="false">IF(A161="","",COUNTIFS(Apparitions!$H$2:$H$5001,A161,Apparitions!$E$2:$E$5001,"○"))</f>
        <v/>
      </c>
      <c r="J161" s="29" t="str">
        <f aca="false">IF(A161="","",IFERROR(1/(1/_xlfn.MINIFS(Apparitions!$L$2:$L$5001,Apparitions!$H$2:$H$5001,A161)),""))</f>
        <v/>
      </c>
    </row>
    <row r="162" customFormat="false" ht="15" hidden="false" customHeight="false" outlineLevel="0" collapsed="false">
      <c r="A162" s="19"/>
      <c r="B162" s="19"/>
      <c r="C162" s="19"/>
      <c r="D162" s="19"/>
      <c r="E162" s="32"/>
      <c r="F162" s="19"/>
      <c r="G162" s="26" t="str">
        <f aca="false">IF(A162="","",COUNTIF(Pubs!$B$2:$B$3001,A162))</f>
        <v/>
      </c>
      <c r="H162" s="26" t="str">
        <f aca="false">IF(A162="","",COUNTIF(Apparitions!$H$2:$H$5001,A162))</f>
        <v/>
      </c>
      <c r="I162" s="26" t="str">
        <f aca="false">IF(A162="","",COUNTIFS(Apparitions!$H$2:$H$5001,A162,Apparitions!$E$2:$E$5001,"○"))</f>
        <v/>
      </c>
      <c r="J162" s="29" t="str">
        <f aca="false">IF(A162="","",IFERROR(1/(1/_xlfn.MINIFS(Apparitions!$L$2:$L$5001,Apparitions!$H$2:$H$5001,A162)),""))</f>
        <v/>
      </c>
    </row>
    <row r="163" customFormat="false" ht="15" hidden="false" customHeight="false" outlineLevel="0" collapsed="false">
      <c r="A163" s="19"/>
      <c r="B163" s="19"/>
      <c r="C163" s="19"/>
      <c r="D163" s="19"/>
      <c r="E163" s="32"/>
      <c r="F163" s="19"/>
      <c r="G163" s="26" t="str">
        <f aca="false">IF(A163="","",COUNTIF(Pubs!$B$2:$B$3001,A163))</f>
        <v/>
      </c>
      <c r="H163" s="26" t="str">
        <f aca="false">IF(A163="","",COUNTIF(Apparitions!$H$2:$H$5001,A163))</f>
        <v/>
      </c>
      <c r="I163" s="26" t="str">
        <f aca="false">IF(A163="","",COUNTIFS(Apparitions!$H$2:$H$5001,A163,Apparitions!$E$2:$E$5001,"○"))</f>
        <v/>
      </c>
      <c r="J163" s="29" t="str">
        <f aca="false">IF(A163="","",IFERROR(1/(1/_xlfn.MINIFS(Apparitions!$L$2:$L$5001,Apparitions!$H$2:$H$5001,A163)),""))</f>
        <v/>
      </c>
    </row>
    <row r="164" customFormat="false" ht="15" hidden="false" customHeight="false" outlineLevel="0" collapsed="false">
      <c r="A164" s="19"/>
      <c r="B164" s="19"/>
      <c r="C164" s="19"/>
      <c r="D164" s="19"/>
      <c r="E164" s="32"/>
      <c r="F164" s="19"/>
      <c r="G164" s="26" t="str">
        <f aca="false">IF(A164="","",COUNTIF(Pubs!$B$2:$B$3001,A164))</f>
        <v/>
      </c>
      <c r="H164" s="26" t="str">
        <f aca="false">IF(A164="","",COUNTIF(Apparitions!$H$2:$H$5001,A164))</f>
        <v/>
      </c>
      <c r="I164" s="26" t="str">
        <f aca="false">IF(A164="","",COUNTIFS(Apparitions!$H$2:$H$5001,A164,Apparitions!$E$2:$E$5001,"○"))</f>
        <v/>
      </c>
      <c r="J164" s="29" t="str">
        <f aca="false">IF(A164="","",IFERROR(1/(1/_xlfn.MINIFS(Apparitions!$L$2:$L$5001,Apparitions!$H$2:$H$5001,A164)),""))</f>
        <v/>
      </c>
    </row>
    <row r="165" customFormat="false" ht="15" hidden="false" customHeight="false" outlineLevel="0" collapsed="false">
      <c r="A165" s="19"/>
      <c r="B165" s="19"/>
      <c r="C165" s="19"/>
      <c r="D165" s="19"/>
      <c r="E165" s="32"/>
      <c r="F165" s="19"/>
      <c r="G165" s="26" t="str">
        <f aca="false">IF(A165="","",COUNTIF(Pubs!$B$2:$B$3001,A165))</f>
        <v/>
      </c>
      <c r="H165" s="26" t="str">
        <f aca="false">IF(A165="","",COUNTIF(Apparitions!$H$2:$H$5001,A165))</f>
        <v/>
      </c>
      <c r="I165" s="26" t="str">
        <f aca="false">IF(A165="","",COUNTIFS(Apparitions!$H$2:$H$5001,A165,Apparitions!$E$2:$E$5001,"○"))</f>
        <v/>
      </c>
      <c r="J165" s="29" t="str">
        <f aca="false">IF(A165="","",IFERROR(1/(1/_xlfn.MINIFS(Apparitions!$L$2:$L$5001,Apparitions!$H$2:$H$5001,A165)),""))</f>
        <v/>
      </c>
    </row>
    <row r="166" customFormat="false" ht="15" hidden="false" customHeight="false" outlineLevel="0" collapsed="false">
      <c r="A166" s="19"/>
      <c r="B166" s="19"/>
      <c r="C166" s="19"/>
      <c r="D166" s="19"/>
      <c r="E166" s="32"/>
      <c r="F166" s="19"/>
      <c r="G166" s="26" t="str">
        <f aca="false">IF(A166="","",COUNTIF(Pubs!$B$2:$B$3001,A166))</f>
        <v/>
      </c>
      <c r="H166" s="26" t="str">
        <f aca="false">IF(A166="","",COUNTIF(Apparitions!$H$2:$H$5001,A166))</f>
        <v/>
      </c>
      <c r="I166" s="26" t="str">
        <f aca="false">IF(A166="","",COUNTIFS(Apparitions!$H$2:$H$5001,A166,Apparitions!$E$2:$E$5001,"○"))</f>
        <v/>
      </c>
      <c r="J166" s="29" t="str">
        <f aca="false">IF(A166="","",IFERROR(1/(1/_xlfn.MINIFS(Apparitions!$L$2:$L$5001,Apparitions!$H$2:$H$5001,A166)),""))</f>
        <v/>
      </c>
    </row>
    <row r="167" customFormat="false" ht="15" hidden="false" customHeight="false" outlineLevel="0" collapsed="false">
      <c r="A167" s="19"/>
      <c r="B167" s="19"/>
      <c r="C167" s="19"/>
      <c r="D167" s="19"/>
      <c r="E167" s="32"/>
      <c r="F167" s="19"/>
      <c r="G167" s="26" t="str">
        <f aca="false">IF(A167="","",COUNTIF(Pubs!$B$2:$B$3001,A167))</f>
        <v/>
      </c>
      <c r="H167" s="26" t="str">
        <f aca="false">IF(A167="","",COUNTIF(Apparitions!$H$2:$H$5001,A167))</f>
        <v/>
      </c>
      <c r="I167" s="26" t="str">
        <f aca="false">IF(A167="","",COUNTIFS(Apparitions!$H$2:$H$5001,A167,Apparitions!$E$2:$E$5001,"○"))</f>
        <v/>
      </c>
      <c r="J167" s="29" t="str">
        <f aca="false">IF(A167="","",IFERROR(1/(1/_xlfn.MINIFS(Apparitions!$L$2:$L$5001,Apparitions!$H$2:$H$5001,A167)),""))</f>
        <v/>
      </c>
    </row>
    <row r="168" customFormat="false" ht="15" hidden="false" customHeight="false" outlineLevel="0" collapsed="false">
      <c r="A168" s="19"/>
      <c r="B168" s="19"/>
      <c r="C168" s="19"/>
      <c r="D168" s="19"/>
      <c r="E168" s="32"/>
      <c r="F168" s="19"/>
      <c r="G168" s="26" t="str">
        <f aca="false">IF(A168="","",COUNTIF(Pubs!$B$2:$B$3001,A168))</f>
        <v/>
      </c>
      <c r="H168" s="26" t="str">
        <f aca="false">IF(A168="","",COUNTIF(Apparitions!$H$2:$H$5001,A168))</f>
        <v/>
      </c>
      <c r="I168" s="26" t="str">
        <f aca="false">IF(A168="","",COUNTIFS(Apparitions!$H$2:$H$5001,A168,Apparitions!$E$2:$E$5001,"○"))</f>
        <v/>
      </c>
      <c r="J168" s="29" t="str">
        <f aca="false">IF(A168="","",IFERROR(1/(1/_xlfn.MINIFS(Apparitions!$L$2:$L$5001,Apparitions!$H$2:$H$5001,A168)),""))</f>
        <v/>
      </c>
    </row>
    <row r="169" customFormat="false" ht="15" hidden="false" customHeight="false" outlineLevel="0" collapsed="false">
      <c r="A169" s="19"/>
      <c r="B169" s="19"/>
      <c r="C169" s="19"/>
      <c r="D169" s="19"/>
      <c r="E169" s="32"/>
      <c r="F169" s="19"/>
      <c r="G169" s="26" t="str">
        <f aca="false">IF(A169="","",COUNTIF(Pubs!$B$2:$B$3001,A169))</f>
        <v/>
      </c>
      <c r="H169" s="26" t="str">
        <f aca="false">IF(A169="","",COUNTIF(Apparitions!$H$2:$H$5001,A169))</f>
        <v/>
      </c>
      <c r="I169" s="26" t="str">
        <f aca="false">IF(A169="","",COUNTIFS(Apparitions!$H$2:$H$5001,A169,Apparitions!$E$2:$E$5001,"○"))</f>
        <v/>
      </c>
      <c r="J169" s="29" t="str">
        <f aca="false">IF(A169="","",IFERROR(1/(1/_xlfn.MINIFS(Apparitions!$L$2:$L$5001,Apparitions!$H$2:$H$5001,A169)),""))</f>
        <v/>
      </c>
    </row>
    <row r="170" customFormat="false" ht="15" hidden="false" customHeight="false" outlineLevel="0" collapsed="false">
      <c r="A170" s="19"/>
      <c r="B170" s="19"/>
      <c r="C170" s="19"/>
      <c r="D170" s="19"/>
      <c r="E170" s="32"/>
      <c r="F170" s="19"/>
      <c r="G170" s="26" t="str">
        <f aca="false">IF(A170="","",COUNTIF(Pubs!$B$2:$B$3001,A170))</f>
        <v/>
      </c>
      <c r="H170" s="26" t="str">
        <f aca="false">IF(A170="","",COUNTIF(Apparitions!$H$2:$H$5001,A170))</f>
        <v/>
      </c>
      <c r="I170" s="26" t="str">
        <f aca="false">IF(A170="","",COUNTIFS(Apparitions!$H$2:$H$5001,A170,Apparitions!$E$2:$E$5001,"○"))</f>
        <v/>
      </c>
      <c r="J170" s="29" t="str">
        <f aca="false">IF(A170="","",IFERROR(1/(1/_xlfn.MINIFS(Apparitions!$L$2:$L$5001,Apparitions!$H$2:$H$5001,A170)),""))</f>
        <v/>
      </c>
    </row>
    <row r="171" customFormat="false" ht="15" hidden="false" customHeight="false" outlineLevel="0" collapsed="false">
      <c r="A171" s="19"/>
      <c r="B171" s="19"/>
      <c r="C171" s="19"/>
      <c r="D171" s="19"/>
      <c r="E171" s="32"/>
      <c r="F171" s="19"/>
      <c r="G171" s="26" t="str">
        <f aca="false">IF(A171="","",COUNTIF(Pubs!$B$2:$B$3001,A171))</f>
        <v/>
      </c>
      <c r="H171" s="26" t="str">
        <f aca="false">IF(A171="","",COUNTIF(Apparitions!$H$2:$H$5001,A171))</f>
        <v/>
      </c>
      <c r="I171" s="26" t="str">
        <f aca="false">IF(A171="","",COUNTIFS(Apparitions!$H$2:$H$5001,A171,Apparitions!$E$2:$E$5001,"○"))</f>
        <v/>
      </c>
      <c r="J171" s="29" t="str">
        <f aca="false">IF(A171="","",IFERROR(1/(1/_xlfn.MINIFS(Apparitions!$L$2:$L$5001,Apparitions!$H$2:$H$5001,A171)),""))</f>
        <v/>
      </c>
    </row>
    <row r="172" customFormat="false" ht="15" hidden="false" customHeight="false" outlineLevel="0" collapsed="false">
      <c r="A172" s="19"/>
      <c r="B172" s="19"/>
      <c r="C172" s="19"/>
      <c r="D172" s="19"/>
      <c r="E172" s="32"/>
      <c r="F172" s="19"/>
      <c r="G172" s="26" t="str">
        <f aca="false">IF(A172="","",COUNTIF(Pubs!$B$2:$B$3001,A172))</f>
        <v/>
      </c>
      <c r="H172" s="26" t="str">
        <f aca="false">IF(A172="","",COUNTIF(Apparitions!$H$2:$H$5001,A172))</f>
        <v/>
      </c>
      <c r="I172" s="26" t="str">
        <f aca="false">IF(A172="","",COUNTIFS(Apparitions!$H$2:$H$5001,A172,Apparitions!$E$2:$E$5001,"○"))</f>
        <v/>
      </c>
      <c r="J172" s="29" t="str">
        <f aca="false">IF(A172="","",IFERROR(1/(1/_xlfn.MINIFS(Apparitions!$L$2:$L$5001,Apparitions!$H$2:$H$5001,A172)),""))</f>
        <v/>
      </c>
    </row>
    <row r="173" customFormat="false" ht="15" hidden="false" customHeight="false" outlineLevel="0" collapsed="false">
      <c r="A173" s="19"/>
      <c r="B173" s="19"/>
      <c r="C173" s="19"/>
      <c r="D173" s="19"/>
      <c r="E173" s="32"/>
      <c r="F173" s="19"/>
      <c r="G173" s="26" t="str">
        <f aca="false">IF(A173="","",COUNTIF(Pubs!$B$2:$B$3001,A173))</f>
        <v/>
      </c>
      <c r="H173" s="26" t="str">
        <f aca="false">IF(A173="","",COUNTIF(Apparitions!$H$2:$H$5001,A173))</f>
        <v/>
      </c>
      <c r="I173" s="26" t="str">
        <f aca="false">IF(A173="","",COUNTIFS(Apparitions!$H$2:$H$5001,A173,Apparitions!$E$2:$E$5001,"○"))</f>
        <v/>
      </c>
      <c r="J173" s="29" t="str">
        <f aca="false">IF(A173="","",IFERROR(1/(1/_xlfn.MINIFS(Apparitions!$L$2:$L$5001,Apparitions!$H$2:$H$5001,A173)),""))</f>
        <v/>
      </c>
    </row>
    <row r="174" customFormat="false" ht="15" hidden="false" customHeight="false" outlineLevel="0" collapsed="false">
      <c r="A174" s="19"/>
      <c r="B174" s="19"/>
      <c r="C174" s="19"/>
      <c r="D174" s="19"/>
      <c r="E174" s="32"/>
      <c r="F174" s="19"/>
      <c r="G174" s="26" t="str">
        <f aca="false">IF(A174="","",COUNTIF(Pubs!$B$2:$B$3001,A174))</f>
        <v/>
      </c>
      <c r="H174" s="26" t="str">
        <f aca="false">IF(A174="","",COUNTIF(Apparitions!$H$2:$H$5001,A174))</f>
        <v/>
      </c>
      <c r="I174" s="26" t="str">
        <f aca="false">IF(A174="","",COUNTIFS(Apparitions!$H$2:$H$5001,A174,Apparitions!$E$2:$E$5001,"○"))</f>
        <v/>
      </c>
      <c r="J174" s="29" t="str">
        <f aca="false">IF(A174="","",IFERROR(1/(1/_xlfn.MINIFS(Apparitions!$L$2:$L$5001,Apparitions!$H$2:$H$5001,A174)),""))</f>
        <v/>
      </c>
    </row>
    <row r="175" customFormat="false" ht="15" hidden="false" customHeight="false" outlineLevel="0" collapsed="false">
      <c r="A175" s="19"/>
      <c r="B175" s="19"/>
      <c r="C175" s="19"/>
      <c r="D175" s="19"/>
      <c r="E175" s="32"/>
      <c r="F175" s="19"/>
      <c r="G175" s="26" t="str">
        <f aca="false">IF(A175="","",COUNTIF(Pubs!$B$2:$B$3001,A175))</f>
        <v/>
      </c>
      <c r="H175" s="26" t="str">
        <f aca="false">IF(A175="","",COUNTIF(Apparitions!$H$2:$H$5001,A175))</f>
        <v/>
      </c>
      <c r="I175" s="26" t="str">
        <f aca="false">IF(A175="","",COUNTIFS(Apparitions!$H$2:$H$5001,A175,Apparitions!$E$2:$E$5001,"○"))</f>
        <v/>
      </c>
      <c r="J175" s="29" t="str">
        <f aca="false">IF(A175="","",IFERROR(1/(1/_xlfn.MINIFS(Apparitions!$L$2:$L$5001,Apparitions!$H$2:$H$5001,A175)),""))</f>
        <v/>
      </c>
    </row>
    <row r="176" customFormat="false" ht="15" hidden="false" customHeight="false" outlineLevel="0" collapsed="false">
      <c r="A176" s="19"/>
      <c r="B176" s="19"/>
      <c r="C176" s="19"/>
      <c r="D176" s="19"/>
      <c r="E176" s="32"/>
      <c r="F176" s="19"/>
      <c r="G176" s="26" t="str">
        <f aca="false">IF(A176="","",COUNTIF(Pubs!$B$2:$B$3001,A176))</f>
        <v/>
      </c>
      <c r="H176" s="26" t="str">
        <f aca="false">IF(A176="","",COUNTIF(Apparitions!$H$2:$H$5001,A176))</f>
        <v/>
      </c>
      <c r="I176" s="26" t="str">
        <f aca="false">IF(A176="","",COUNTIFS(Apparitions!$H$2:$H$5001,A176,Apparitions!$E$2:$E$5001,"○"))</f>
        <v/>
      </c>
      <c r="J176" s="29" t="str">
        <f aca="false">IF(A176="","",IFERROR(1/(1/_xlfn.MINIFS(Apparitions!$L$2:$L$5001,Apparitions!$H$2:$H$5001,A176)),""))</f>
        <v/>
      </c>
    </row>
    <row r="177" customFormat="false" ht="15" hidden="false" customHeight="false" outlineLevel="0" collapsed="false">
      <c r="A177" s="19"/>
      <c r="B177" s="19"/>
      <c r="C177" s="19"/>
      <c r="D177" s="19"/>
      <c r="E177" s="32"/>
      <c r="F177" s="19"/>
      <c r="G177" s="26" t="str">
        <f aca="false">IF(A177="","",COUNTIF(Pubs!$B$2:$B$3001,A177))</f>
        <v/>
      </c>
      <c r="H177" s="26" t="str">
        <f aca="false">IF(A177="","",COUNTIF(Apparitions!$H$2:$H$5001,A177))</f>
        <v/>
      </c>
      <c r="I177" s="26" t="str">
        <f aca="false">IF(A177="","",COUNTIFS(Apparitions!$H$2:$H$5001,A177,Apparitions!$E$2:$E$5001,"○"))</f>
        <v/>
      </c>
      <c r="J177" s="29" t="str">
        <f aca="false">IF(A177="","",IFERROR(1/(1/_xlfn.MINIFS(Apparitions!$L$2:$L$5001,Apparitions!$H$2:$H$5001,A177)),""))</f>
        <v/>
      </c>
    </row>
    <row r="178" customFormat="false" ht="15" hidden="false" customHeight="false" outlineLevel="0" collapsed="false">
      <c r="A178" s="19"/>
      <c r="B178" s="19"/>
      <c r="C178" s="19"/>
      <c r="D178" s="19"/>
      <c r="E178" s="32"/>
      <c r="F178" s="19"/>
      <c r="G178" s="26" t="str">
        <f aca="false">IF(A178="","",COUNTIF(Pubs!$B$2:$B$3001,A178))</f>
        <v/>
      </c>
      <c r="H178" s="26" t="str">
        <f aca="false">IF(A178="","",COUNTIF(Apparitions!$H$2:$H$5001,A178))</f>
        <v/>
      </c>
      <c r="I178" s="26" t="str">
        <f aca="false">IF(A178="","",COUNTIFS(Apparitions!$H$2:$H$5001,A178,Apparitions!$E$2:$E$5001,"○"))</f>
        <v/>
      </c>
      <c r="J178" s="29" t="str">
        <f aca="false">IF(A178="","",IFERROR(1/(1/_xlfn.MINIFS(Apparitions!$L$2:$L$5001,Apparitions!$H$2:$H$5001,A178)),""))</f>
        <v/>
      </c>
    </row>
    <row r="179" customFormat="false" ht="15" hidden="false" customHeight="false" outlineLevel="0" collapsed="false">
      <c r="A179" s="19"/>
      <c r="B179" s="19"/>
      <c r="C179" s="19"/>
      <c r="D179" s="19"/>
      <c r="E179" s="32"/>
      <c r="F179" s="19"/>
      <c r="G179" s="26" t="str">
        <f aca="false">IF(A179="","",COUNTIF(Pubs!$B$2:$B$3001,A179))</f>
        <v/>
      </c>
      <c r="H179" s="26" t="str">
        <f aca="false">IF(A179="","",COUNTIF(Apparitions!$H$2:$H$5001,A179))</f>
        <v/>
      </c>
      <c r="I179" s="26" t="str">
        <f aca="false">IF(A179="","",COUNTIFS(Apparitions!$H$2:$H$5001,A179,Apparitions!$E$2:$E$5001,"○"))</f>
        <v/>
      </c>
      <c r="J179" s="29" t="str">
        <f aca="false">IF(A179="","",IFERROR(1/(1/_xlfn.MINIFS(Apparitions!$L$2:$L$5001,Apparitions!$H$2:$H$5001,A179)),""))</f>
        <v/>
      </c>
    </row>
    <row r="180" customFormat="false" ht="15" hidden="false" customHeight="false" outlineLevel="0" collapsed="false">
      <c r="A180" s="19"/>
      <c r="B180" s="19"/>
      <c r="C180" s="19"/>
      <c r="D180" s="19"/>
      <c r="E180" s="32"/>
      <c r="F180" s="19"/>
      <c r="G180" s="26" t="str">
        <f aca="false">IF(A180="","",COUNTIF(Pubs!$B$2:$B$3001,A180))</f>
        <v/>
      </c>
      <c r="H180" s="26" t="str">
        <f aca="false">IF(A180="","",COUNTIF(Apparitions!$H$2:$H$5001,A180))</f>
        <v/>
      </c>
      <c r="I180" s="26" t="str">
        <f aca="false">IF(A180="","",COUNTIFS(Apparitions!$H$2:$H$5001,A180,Apparitions!$E$2:$E$5001,"○"))</f>
        <v/>
      </c>
      <c r="J180" s="29" t="str">
        <f aca="false">IF(A180="","",IFERROR(1/(1/_xlfn.MINIFS(Apparitions!$L$2:$L$5001,Apparitions!$H$2:$H$5001,A180)),""))</f>
        <v/>
      </c>
    </row>
    <row r="181" customFormat="false" ht="15" hidden="false" customHeight="false" outlineLevel="0" collapsed="false">
      <c r="A181" s="19"/>
      <c r="B181" s="19"/>
      <c r="C181" s="19"/>
      <c r="D181" s="19"/>
      <c r="E181" s="32"/>
      <c r="F181" s="19"/>
      <c r="G181" s="26" t="str">
        <f aca="false">IF(A181="","",COUNTIF(Pubs!$B$2:$B$3001,A181))</f>
        <v/>
      </c>
      <c r="H181" s="26" t="str">
        <f aca="false">IF(A181="","",COUNTIF(Apparitions!$H$2:$H$5001,A181))</f>
        <v/>
      </c>
      <c r="I181" s="26" t="str">
        <f aca="false">IF(A181="","",COUNTIFS(Apparitions!$H$2:$H$5001,A181,Apparitions!$E$2:$E$5001,"○"))</f>
        <v/>
      </c>
      <c r="J181" s="29" t="str">
        <f aca="false">IF(A181="","",IFERROR(1/(1/_xlfn.MINIFS(Apparitions!$L$2:$L$5001,Apparitions!$H$2:$H$5001,A181)),""))</f>
        <v/>
      </c>
    </row>
    <row r="182" customFormat="false" ht="15" hidden="false" customHeight="false" outlineLevel="0" collapsed="false">
      <c r="A182" s="19"/>
      <c r="B182" s="19"/>
      <c r="C182" s="19"/>
      <c r="D182" s="19"/>
      <c r="E182" s="32"/>
      <c r="F182" s="19"/>
      <c r="G182" s="26" t="str">
        <f aca="false">IF(A182="","",COUNTIF(Pubs!$B$2:$B$3001,A182))</f>
        <v/>
      </c>
      <c r="H182" s="26" t="str">
        <f aca="false">IF(A182="","",COUNTIF(Apparitions!$H$2:$H$5001,A182))</f>
        <v/>
      </c>
      <c r="I182" s="26" t="str">
        <f aca="false">IF(A182="","",COUNTIFS(Apparitions!$H$2:$H$5001,A182,Apparitions!$E$2:$E$5001,"○"))</f>
        <v/>
      </c>
      <c r="J182" s="29" t="str">
        <f aca="false">IF(A182="","",IFERROR(1/(1/_xlfn.MINIFS(Apparitions!$L$2:$L$5001,Apparitions!$H$2:$H$5001,A182)),""))</f>
        <v/>
      </c>
    </row>
    <row r="183" customFormat="false" ht="15" hidden="false" customHeight="false" outlineLevel="0" collapsed="false">
      <c r="A183" s="19"/>
      <c r="B183" s="19"/>
      <c r="C183" s="19"/>
      <c r="D183" s="19"/>
      <c r="E183" s="32"/>
      <c r="F183" s="19"/>
      <c r="G183" s="26" t="str">
        <f aca="false">IF(A183="","",COUNTIF(Pubs!$B$2:$B$3001,A183))</f>
        <v/>
      </c>
      <c r="H183" s="26" t="str">
        <f aca="false">IF(A183="","",COUNTIF(Apparitions!$H$2:$H$5001,A183))</f>
        <v/>
      </c>
      <c r="I183" s="26" t="str">
        <f aca="false">IF(A183="","",COUNTIFS(Apparitions!$H$2:$H$5001,A183,Apparitions!$E$2:$E$5001,"○"))</f>
        <v/>
      </c>
      <c r="J183" s="29" t="str">
        <f aca="false">IF(A183="","",IFERROR(1/(1/_xlfn.MINIFS(Apparitions!$L$2:$L$5001,Apparitions!$H$2:$H$5001,A183)),""))</f>
        <v/>
      </c>
    </row>
    <row r="184" customFormat="false" ht="15" hidden="false" customHeight="false" outlineLevel="0" collapsed="false">
      <c r="A184" s="19"/>
      <c r="B184" s="19"/>
      <c r="C184" s="19"/>
      <c r="D184" s="19"/>
      <c r="E184" s="32"/>
      <c r="F184" s="19"/>
      <c r="G184" s="26" t="str">
        <f aca="false">IF(A184="","",COUNTIF(Pubs!$B$2:$B$3001,A184))</f>
        <v/>
      </c>
      <c r="H184" s="26" t="str">
        <f aca="false">IF(A184="","",COUNTIF(Apparitions!$H$2:$H$5001,A184))</f>
        <v/>
      </c>
      <c r="I184" s="26" t="str">
        <f aca="false">IF(A184="","",COUNTIFS(Apparitions!$H$2:$H$5001,A184,Apparitions!$E$2:$E$5001,"○"))</f>
        <v/>
      </c>
      <c r="J184" s="29" t="str">
        <f aca="false">IF(A184="","",IFERROR(1/(1/_xlfn.MINIFS(Apparitions!$L$2:$L$5001,Apparitions!$H$2:$H$5001,A184)),""))</f>
        <v/>
      </c>
    </row>
    <row r="185" customFormat="false" ht="15" hidden="false" customHeight="false" outlineLevel="0" collapsed="false">
      <c r="A185" s="19"/>
      <c r="B185" s="19"/>
      <c r="C185" s="19"/>
      <c r="D185" s="19"/>
      <c r="E185" s="32"/>
      <c r="F185" s="19"/>
      <c r="G185" s="26" t="str">
        <f aca="false">IF(A185="","",COUNTIF(Pubs!$B$2:$B$3001,A185))</f>
        <v/>
      </c>
      <c r="H185" s="26" t="str">
        <f aca="false">IF(A185="","",COUNTIF(Apparitions!$H$2:$H$5001,A185))</f>
        <v/>
      </c>
      <c r="I185" s="26" t="str">
        <f aca="false">IF(A185="","",COUNTIFS(Apparitions!$H$2:$H$5001,A185,Apparitions!$E$2:$E$5001,"○"))</f>
        <v/>
      </c>
      <c r="J185" s="29" t="str">
        <f aca="false">IF(A185="","",IFERROR(1/(1/_xlfn.MINIFS(Apparitions!$L$2:$L$5001,Apparitions!$H$2:$H$5001,A185)),""))</f>
        <v/>
      </c>
    </row>
    <row r="186" customFormat="false" ht="15" hidden="false" customHeight="false" outlineLevel="0" collapsed="false">
      <c r="A186" s="19"/>
      <c r="B186" s="19"/>
      <c r="C186" s="19"/>
      <c r="D186" s="19"/>
      <c r="E186" s="32"/>
      <c r="F186" s="19"/>
      <c r="G186" s="26" t="str">
        <f aca="false">IF(A186="","",COUNTIF(Pubs!$B$2:$B$3001,A186))</f>
        <v/>
      </c>
      <c r="H186" s="26" t="str">
        <f aca="false">IF(A186="","",COUNTIF(Apparitions!$H$2:$H$5001,A186))</f>
        <v/>
      </c>
      <c r="I186" s="26" t="str">
        <f aca="false">IF(A186="","",COUNTIFS(Apparitions!$H$2:$H$5001,A186,Apparitions!$E$2:$E$5001,"○"))</f>
        <v/>
      </c>
      <c r="J186" s="29" t="str">
        <f aca="false">IF(A186="","",IFERROR(1/(1/_xlfn.MINIFS(Apparitions!$L$2:$L$5001,Apparitions!$H$2:$H$5001,A186)),""))</f>
        <v/>
      </c>
    </row>
    <row r="187" customFormat="false" ht="15" hidden="false" customHeight="false" outlineLevel="0" collapsed="false">
      <c r="A187" s="19"/>
      <c r="B187" s="19"/>
      <c r="C187" s="19"/>
      <c r="D187" s="19"/>
      <c r="E187" s="32"/>
      <c r="F187" s="19"/>
      <c r="G187" s="26" t="str">
        <f aca="false">IF(A187="","",COUNTIF(Pubs!$B$2:$B$3001,A187))</f>
        <v/>
      </c>
      <c r="H187" s="26" t="str">
        <f aca="false">IF(A187="","",COUNTIF(Apparitions!$H$2:$H$5001,A187))</f>
        <v/>
      </c>
      <c r="I187" s="26" t="str">
        <f aca="false">IF(A187="","",COUNTIFS(Apparitions!$H$2:$H$5001,A187,Apparitions!$E$2:$E$5001,"○"))</f>
        <v/>
      </c>
      <c r="J187" s="29" t="str">
        <f aca="false">IF(A187="","",IFERROR(1/(1/_xlfn.MINIFS(Apparitions!$L$2:$L$5001,Apparitions!$H$2:$H$5001,A187)),""))</f>
        <v/>
      </c>
    </row>
    <row r="188" customFormat="false" ht="15" hidden="false" customHeight="false" outlineLevel="0" collapsed="false">
      <c r="A188" s="19"/>
      <c r="B188" s="19"/>
      <c r="C188" s="19"/>
      <c r="D188" s="19"/>
      <c r="E188" s="32"/>
      <c r="F188" s="19"/>
      <c r="G188" s="26" t="str">
        <f aca="false">IF(A188="","",COUNTIF(Pubs!$B$2:$B$3001,A188))</f>
        <v/>
      </c>
      <c r="H188" s="26" t="str">
        <f aca="false">IF(A188="","",COUNTIF(Apparitions!$H$2:$H$5001,A188))</f>
        <v/>
      </c>
      <c r="I188" s="26" t="str">
        <f aca="false">IF(A188="","",COUNTIFS(Apparitions!$H$2:$H$5001,A188,Apparitions!$E$2:$E$5001,"○"))</f>
        <v/>
      </c>
      <c r="J188" s="29" t="str">
        <f aca="false">IF(A188="","",IFERROR(1/(1/_xlfn.MINIFS(Apparitions!$L$2:$L$5001,Apparitions!$H$2:$H$5001,A188)),""))</f>
        <v/>
      </c>
    </row>
    <row r="189" customFormat="false" ht="15" hidden="false" customHeight="false" outlineLevel="0" collapsed="false">
      <c r="A189" s="19"/>
      <c r="B189" s="19"/>
      <c r="C189" s="19"/>
      <c r="D189" s="19"/>
      <c r="E189" s="32"/>
      <c r="F189" s="19"/>
      <c r="G189" s="26" t="str">
        <f aca="false">IF(A189="","",COUNTIF(Pubs!$B$2:$B$3001,A189))</f>
        <v/>
      </c>
      <c r="H189" s="26" t="str">
        <f aca="false">IF(A189="","",COUNTIF(Apparitions!$H$2:$H$5001,A189))</f>
        <v/>
      </c>
      <c r="I189" s="26" t="str">
        <f aca="false">IF(A189="","",COUNTIFS(Apparitions!$H$2:$H$5001,A189,Apparitions!$E$2:$E$5001,"○"))</f>
        <v/>
      </c>
      <c r="J189" s="29" t="str">
        <f aca="false">IF(A189="","",IFERROR(1/(1/_xlfn.MINIFS(Apparitions!$L$2:$L$5001,Apparitions!$H$2:$H$5001,A189)),""))</f>
        <v/>
      </c>
    </row>
    <row r="190" customFormat="false" ht="15" hidden="false" customHeight="false" outlineLevel="0" collapsed="false">
      <c r="A190" s="19"/>
      <c r="B190" s="19"/>
      <c r="C190" s="19"/>
      <c r="D190" s="19"/>
      <c r="E190" s="32"/>
      <c r="F190" s="19"/>
      <c r="G190" s="26" t="str">
        <f aca="false">IF(A190="","",COUNTIF(Pubs!$B$2:$B$3001,A190))</f>
        <v/>
      </c>
      <c r="H190" s="26" t="str">
        <f aca="false">IF(A190="","",COUNTIF(Apparitions!$H$2:$H$5001,A190))</f>
        <v/>
      </c>
      <c r="I190" s="26" t="str">
        <f aca="false">IF(A190="","",COUNTIFS(Apparitions!$H$2:$H$5001,A190,Apparitions!$E$2:$E$5001,"○"))</f>
        <v/>
      </c>
      <c r="J190" s="29" t="str">
        <f aca="false">IF(A190="","",IFERROR(1/(1/_xlfn.MINIFS(Apparitions!$L$2:$L$5001,Apparitions!$H$2:$H$5001,A190)),""))</f>
        <v/>
      </c>
    </row>
    <row r="191" customFormat="false" ht="15" hidden="false" customHeight="false" outlineLevel="0" collapsed="false">
      <c r="A191" s="19"/>
      <c r="B191" s="19"/>
      <c r="C191" s="19"/>
      <c r="D191" s="19"/>
      <c r="E191" s="32"/>
      <c r="F191" s="19"/>
      <c r="G191" s="26" t="str">
        <f aca="false">IF(A191="","",COUNTIF(Pubs!$B$2:$B$3001,A191))</f>
        <v/>
      </c>
      <c r="H191" s="26" t="str">
        <f aca="false">IF(A191="","",COUNTIF(Apparitions!$H$2:$H$5001,A191))</f>
        <v/>
      </c>
      <c r="I191" s="26" t="str">
        <f aca="false">IF(A191="","",COUNTIFS(Apparitions!$H$2:$H$5001,A191,Apparitions!$E$2:$E$5001,"○"))</f>
        <v/>
      </c>
      <c r="J191" s="29" t="str">
        <f aca="false">IF(A191="","",IFERROR(1/(1/_xlfn.MINIFS(Apparitions!$L$2:$L$5001,Apparitions!$H$2:$H$5001,A191)),""))</f>
        <v/>
      </c>
    </row>
    <row r="192" customFormat="false" ht="15" hidden="false" customHeight="false" outlineLevel="0" collapsed="false">
      <c r="A192" s="19"/>
      <c r="B192" s="19"/>
      <c r="C192" s="19"/>
      <c r="D192" s="19"/>
      <c r="E192" s="32"/>
      <c r="F192" s="19"/>
      <c r="G192" s="26" t="str">
        <f aca="false">IF(A192="","",COUNTIF(Pubs!$B$2:$B$3001,A192))</f>
        <v/>
      </c>
      <c r="H192" s="26" t="str">
        <f aca="false">IF(A192="","",COUNTIF(Apparitions!$H$2:$H$5001,A192))</f>
        <v/>
      </c>
      <c r="I192" s="26" t="str">
        <f aca="false">IF(A192="","",COUNTIFS(Apparitions!$H$2:$H$5001,A192,Apparitions!$E$2:$E$5001,"○"))</f>
        <v/>
      </c>
      <c r="J192" s="29" t="str">
        <f aca="false">IF(A192="","",IFERROR(1/(1/_xlfn.MINIFS(Apparitions!$L$2:$L$5001,Apparitions!$H$2:$H$5001,A192)),""))</f>
        <v/>
      </c>
    </row>
    <row r="193" customFormat="false" ht="15" hidden="false" customHeight="false" outlineLevel="0" collapsed="false">
      <c r="A193" s="19"/>
      <c r="B193" s="19"/>
      <c r="C193" s="19"/>
      <c r="D193" s="19"/>
      <c r="E193" s="32"/>
      <c r="F193" s="19"/>
      <c r="G193" s="26" t="str">
        <f aca="false">IF(A193="","",COUNTIF(Pubs!$B$2:$B$3001,A193))</f>
        <v/>
      </c>
      <c r="H193" s="26" t="str">
        <f aca="false">IF(A193="","",COUNTIF(Apparitions!$H$2:$H$5001,A193))</f>
        <v/>
      </c>
      <c r="I193" s="26" t="str">
        <f aca="false">IF(A193="","",COUNTIFS(Apparitions!$H$2:$H$5001,A193,Apparitions!$E$2:$E$5001,"○"))</f>
        <v/>
      </c>
      <c r="J193" s="29" t="str">
        <f aca="false">IF(A193="","",IFERROR(1/(1/_xlfn.MINIFS(Apparitions!$L$2:$L$5001,Apparitions!$H$2:$H$5001,A193)),""))</f>
        <v/>
      </c>
    </row>
    <row r="194" customFormat="false" ht="15" hidden="false" customHeight="false" outlineLevel="0" collapsed="false">
      <c r="A194" s="19"/>
      <c r="B194" s="19"/>
      <c r="C194" s="19"/>
      <c r="D194" s="19"/>
      <c r="E194" s="32"/>
      <c r="F194" s="19"/>
      <c r="G194" s="26" t="str">
        <f aca="false">IF(A194="","",COUNTIF(Pubs!$B$2:$B$3001,A194))</f>
        <v/>
      </c>
      <c r="H194" s="26" t="str">
        <f aca="false">IF(A194="","",COUNTIF(Apparitions!$H$2:$H$5001,A194))</f>
        <v/>
      </c>
      <c r="I194" s="26" t="str">
        <f aca="false">IF(A194="","",COUNTIFS(Apparitions!$H$2:$H$5001,A194,Apparitions!$E$2:$E$5001,"○"))</f>
        <v/>
      </c>
      <c r="J194" s="29" t="str">
        <f aca="false">IF(A194="","",IFERROR(1/(1/_xlfn.MINIFS(Apparitions!$L$2:$L$5001,Apparitions!$H$2:$H$5001,A194)),""))</f>
        <v/>
      </c>
    </row>
    <row r="195" customFormat="false" ht="15" hidden="false" customHeight="false" outlineLevel="0" collapsed="false">
      <c r="A195" s="19"/>
      <c r="B195" s="19"/>
      <c r="C195" s="19"/>
      <c r="D195" s="19"/>
      <c r="E195" s="32"/>
      <c r="F195" s="19"/>
      <c r="G195" s="26" t="str">
        <f aca="false">IF(A195="","",COUNTIF(Pubs!$B$2:$B$3001,A195))</f>
        <v/>
      </c>
      <c r="H195" s="26" t="str">
        <f aca="false">IF(A195="","",COUNTIF(Apparitions!$H$2:$H$5001,A195))</f>
        <v/>
      </c>
      <c r="I195" s="26" t="str">
        <f aca="false">IF(A195="","",COUNTIFS(Apparitions!$H$2:$H$5001,A195,Apparitions!$E$2:$E$5001,"○"))</f>
        <v/>
      </c>
      <c r="J195" s="29" t="str">
        <f aca="false">IF(A195="","",IFERROR(1/(1/_xlfn.MINIFS(Apparitions!$L$2:$L$5001,Apparitions!$H$2:$H$5001,A195)),""))</f>
        <v/>
      </c>
    </row>
    <row r="196" customFormat="false" ht="15" hidden="false" customHeight="false" outlineLevel="0" collapsed="false">
      <c r="A196" s="19"/>
      <c r="B196" s="19"/>
      <c r="C196" s="19"/>
      <c r="D196" s="19"/>
      <c r="E196" s="32"/>
      <c r="F196" s="19"/>
      <c r="G196" s="26" t="str">
        <f aca="false">IF(A196="","",COUNTIF(Pubs!$B$2:$B$3001,A196))</f>
        <v/>
      </c>
      <c r="H196" s="26" t="str">
        <f aca="false">IF(A196="","",COUNTIF(Apparitions!$H$2:$H$5001,A196))</f>
        <v/>
      </c>
      <c r="I196" s="26" t="str">
        <f aca="false">IF(A196="","",COUNTIFS(Apparitions!$H$2:$H$5001,A196,Apparitions!$E$2:$E$5001,"○"))</f>
        <v/>
      </c>
      <c r="J196" s="29" t="str">
        <f aca="false">IF(A196="","",IFERROR(1/(1/_xlfn.MINIFS(Apparitions!$L$2:$L$5001,Apparitions!$H$2:$H$5001,A196)),""))</f>
        <v/>
      </c>
    </row>
    <row r="197" customFormat="false" ht="15" hidden="false" customHeight="false" outlineLevel="0" collapsed="false">
      <c r="A197" s="19"/>
      <c r="B197" s="19"/>
      <c r="C197" s="19"/>
      <c r="D197" s="19"/>
      <c r="E197" s="32"/>
      <c r="F197" s="19"/>
      <c r="G197" s="26" t="str">
        <f aca="false">IF(A197="","",COUNTIF(Pubs!$B$2:$B$3001,A197))</f>
        <v/>
      </c>
      <c r="H197" s="26" t="str">
        <f aca="false">IF(A197="","",COUNTIF(Apparitions!$H$2:$H$5001,A197))</f>
        <v/>
      </c>
      <c r="I197" s="26" t="str">
        <f aca="false">IF(A197="","",COUNTIFS(Apparitions!$H$2:$H$5001,A197,Apparitions!$E$2:$E$5001,"○"))</f>
        <v/>
      </c>
      <c r="J197" s="29" t="str">
        <f aca="false">IF(A197="","",IFERROR(1/(1/_xlfn.MINIFS(Apparitions!$L$2:$L$5001,Apparitions!$H$2:$H$5001,A197)),""))</f>
        <v/>
      </c>
    </row>
    <row r="198" customFormat="false" ht="15" hidden="false" customHeight="false" outlineLevel="0" collapsed="false">
      <c r="A198" s="19"/>
      <c r="B198" s="19"/>
      <c r="C198" s="19"/>
      <c r="D198" s="19"/>
      <c r="E198" s="32"/>
      <c r="F198" s="19"/>
      <c r="G198" s="26" t="str">
        <f aca="false">IF(A198="","",COUNTIF(Pubs!$B$2:$B$3001,A198))</f>
        <v/>
      </c>
      <c r="H198" s="26" t="str">
        <f aca="false">IF(A198="","",COUNTIF(Apparitions!$H$2:$H$5001,A198))</f>
        <v/>
      </c>
      <c r="I198" s="26" t="str">
        <f aca="false">IF(A198="","",COUNTIFS(Apparitions!$H$2:$H$5001,A198,Apparitions!$E$2:$E$5001,"○"))</f>
        <v/>
      </c>
      <c r="J198" s="29" t="str">
        <f aca="false">IF(A198="","",IFERROR(1/(1/_xlfn.MINIFS(Apparitions!$L$2:$L$5001,Apparitions!$H$2:$H$5001,A198)),""))</f>
        <v/>
      </c>
    </row>
    <row r="199" customFormat="false" ht="15" hidden="false" customHeight="false" outlineLevel="0" collapsed="false">
      <c r="A199" s="19"/>
      <c r="B199" s="19"/>
      <c r="C199" s="19"/>
      <c r="D199" s="19"/>
      <c r="E199" s="32"/>
      <c r="F199" s="19"/>
      <c r="G199" s="26" t="str">
        <f aca="false">IF(A199="","",COUNTIF(Pubs!$B$2:$B$3001,A199))</f>
        <v/>
      </c>
      <c r="H199" s="26" t="str">
        <f aca="false">IF(A199="","",COUNTIF(Apparitions!$H$2:$H$5001,A199))</f>
        <v/>
      </c>
      <c r="I199" s="26" t="str">
        <f aca="false">IF(A199="","",COUNTIFS(Apparitions!$H$2:$H$5001,A199,Apparitions!$E$2:$E$5001,"○"))</f>
        <v/>
      </c>
      <c r="J199" s="29" t="str">
        <f aca="false">IF(A199="","",IFERROR(1/(1/_xlfn.MINIFS(Apparitions!$L$2:$L$5001,Apparitions!$H$2:$H$5001,A199)),""))</f>
        <v/>
      </c>
    </row>
    <row r="200" customFormat="false" ht="15" hidden="false" customHeight="false" outlineLevel="0" collapsed="false">
      <c r="A200" s="19"/>
      <c r="B200" s="19"/>
      <c r="C200" s="19"/>
      <c r="D200" s="19"/>
      <c r="E200" s="32"/>
      <c r="F200" s="19"/>
      <c r="G200" s="26" t="str">
        <f aca="false">IF(A200="","",COUNTIF(Pubs!$B$2:$B$3001,A200))</f>
        <v/>
      </c>
      <c r="H200" s="26" t="str">
        <f aca="false">IF(A200="","",COUNTIF(Apparitions!$H$2:$H$5001,A200))</f>
        <v/>
      </c>
      <c r="I200" s="26" t="str">
        <f aca="false">IF(A200="","",COUNTIFS(Apparitions!$H$2:$H$5001,A200,Apparitions!$E$2:$E$5001,"○"))</f>
        <v/>
      </c>
      <c r="J200" s="29" t="str">
        <f aca="false">IF(A200="","",IFERROR(1/(1/_xlfn.MINIFS(Apparitions!$L$2:$L$5001,Apparitions!$H$2:$H$5001,A200)),""))</f>
        <v/>
      </c>
    </row>
    <row r="201" customFormat="false" ht="15" hidden="false" customHeight="false" outlineLevel="0" collapsed="false">
      <c r="A201" s="19"/>
      <c r="B201" s="19"/>
      <c r="C201" s="19"/>
      <c r="D201" s="19"/>
      <c r="E201" s="32"/>
      <c r="F201" s="19"/>
      <c r="G201" s="26" t="str">
        <f aca="false">IF(A201="","",COUNTIF(Pubs!$B$2:$B$3001,A201))</f>
        <v/>
      </c>
      <c r="H201" s="26" t="str">
        <f aca="false">IF(A201="","",COUNTIF(Apparitions!$H$2:$H$5001,A201))</f>
        <v/>
      </c>
      <c r="I201" s="26" t="str">
        <f aca="false">IF(A201="","",COUNTIFS(Apparitions!$H$2:$H$5001,A201,Apparitions!$E$2:$E$5001,"○"))</f>
        <v/>
      </c>
      <c r="J201" s="29" t="str">
        <f aca="false">IF(A201="","",IFERROR(1/(1/_xlfn.MINIFS(Apparitions!$L$2:$L$5001,Apparitions!$H$2:$H$5001,A201)),""))</f>
        <v/>
      </c>
    </row>
    <row r="202" customFormat="false" ht="15" hidden="false" customHeight="false" outlineLevel="0" collapsed="false">
      <c r="A202" s="19"/>
      <c r="B202" s="19"/>
      <c r="C202" s="19"/>
      <c r="D202" s="19"/>
      <c r="E202" s="32"/>
      <c r="F202" s="19"/>
      <c r="G202" s="26" t="str">
        <f aca="false">IF(A202="","",COUNTIF(Pubs!$B$2:$B$3001,A202))</f>
        <v/>
      </c>
      <c r="H202" s="26" t="str">
        <f aca="false">IF(A202="","",COUNTIF(Apparitions!$H$2:$H$5001,A202))</f>
        <v/>
      </c>
      <c r="I202" s="26" t="str">
        <f aca="false">IF(A202="","",COUNTIFS(Apparitions!$H$2:$H$5001,A202,Apparitions!$E$2:$E$5001,"○"))</f>
        <v/>
      </c>
      <c r="J202" s="29" t="str">
        <f aca="false">IF(A202="","",IFERROR(1/(1/_xlfn.MINIFS(Apparitions!$L$2:$L$5001,Apparitions!$H$2:$H$5001,A202)),""))</f>
        <v/>
      </c>
    </row>
    <row r="203" customFormat="false" ht="15" hidden="false" customHeight="false" outlineLevel="0" collapsed="false">
      <c r="A203" s="19"/>
      <c r="B203" s="19"/>
      <c r="C203" s="19"/>
      <c r="D203" s="19"/>
      <c r="E203" s="32"/>
      <c r="F203" s="19"/>
      <c r="G203" s="26" t="str">
        <f aca="false">IF(A203="","",COUNTIF(Pubs!$B$2:$B$3001,A203))</f>
        <v/>
      </c>
      <c r="H203" s="26" t="str">
        <f aca="false">IF(A203="","",COUNTIF(Apparitions!$H$2:$H$5001,A203))</f>
        <v/>
      </c>
      <c r="I203" s="26" t="str">
        <f aca="false">IF(A203="","",COUNTIFS(Apparitions!$H$2:$H$5001,A203,Apparitions!$E$2:$E$5001,"○"))</f>
        <v/>
      </c>
      <c r="J203" s="29" t="str">
        <f aca="false">IF(A203="","",IFERROR(1/(1/_xlfn.MINIFS(Apparitions!$L$2:$L$5001,Apparitions!$H$2:$H$5001,A203)),""))</f>
        <v/>
      </c>
    </row>
    <row r="204" customFormat="false" ht="15" hidden="false" customHeight="false" outlineLevel="0" collapsed="false">
      <c r="A204" s="19"/>
      <c r="B204" s="19"/>
      <c r="C204" s="19"/>
      <c r="D204" s="19"/>
      <c r="E204" s="32"/>
      <c r="F204" s="19"/>
      <c r="G204" s="26" t="str">
        <f aca="false">IF(A204="","",COUNTIF(Pubs!$B$2:$B$3001,A204))</f>
        <v/>
      </c>
      <c r="H204" s="26" t="str">
        <f aca="false">IF(A204="","",COUNTIF(Apparitions!$H$2:$H$5001,A204))</f>
        <v/>
      </c>
      <c r="I204" s="26" t="str">
        <f aca="false">IF(A204="","",COUNTIFS(Apparitions!$H$2:$H$5001,A204,Apparitions!$E$2:$E$5001,"○"))</f>
        <v/>
      </c>
      <c r="J204" s="29" t="str">
        <f aca="false">IF(A204="","",IFERROR(1/(1/_xlfn.MINIFS(Apparitions!$L$2:$L$5001,Apparitions!$H$2:$H$5001,A204)),""))</f>
        <v/>
      </c>
    </row>
    <row r="205" customFormat="false" ht="15" hidden="false" customHeight="false" outlineLevel="0" collapsed="false">
      <c r="A205" s="19"/>
      <c r="B205" s="19"/>
      <c r="C205" s="19"/>
      <c r="D205" s="19"/>
      <c r="E205" s="32"/>
      <c r="F205" s="19"/>
      <c r="G205" s="26" t="str">
        <f aca="false">IF(A205="","",COUNTIF(Pubs!$B$2:$B$3001,A205))</f>
        <v/>
      </c>
      <c r="H205" s="26" t="str">
        <f aca="false">IF(A205="","",COUNTIF(Apparitions!$H$2:$H$5001,A205))</f>
        <v/>
      </c>
      <c r="I205" s="26" t="str">
        <f aca="false">IF(A205="","",COUNTIFS(Apparitions!$H$2:$H$5001,A205,Apparitions!$E$2:$E$5001,"○"))</f>
        <v/>
      </c>
      <c r="J205" s="29" t="str">
        <f aca="false">IF(A205="","",IFERROR(1/(1/_xlfn.MINIFS(Apparitions!$L$2:$L$5001,Apparitions!$H$2:$H$5001,A205)),""))</f>
        <v/>
      </c>
    </row>
    <row r="206" customFormat="false" ht="15" hidden="false" customHeight="false" outlineLevel="0" collapsed="false">
      <c r="A206" s="19"/>
      <c r="B206" s="19"/>
      <c r="C206" s="19"/>
      <c r="D206" s="19"/>
      <c r="E206" s="32"/>
      <c r="F206" s="19"/>
      <c r="G206" s="26" t="str">
        <f aca="false">IF(A206="","",COUNTIF(Pubs!$B$2:$B$3001,A206))</f>
        <v/>
      </c>
      <c r="H206" s="26" t="str">
        <f aca="false">IF(A206="","",COUNTIF(Apparitions!$H$2:$H$5001,A206))</f>
        <v/>
      </c>
      <c r="I206" s="26" t="str">
        <f aca="false">IF(A206="","",COUNTIFS(Apparitions!$H$2:$H$5001,A206,Apparitions!$E$2:$E$5001,"○"))</f>
        <v/>
      </c>
      <c r="J206" s="29" t="str">
        <f aca="false">IF(A206="","",IFERROR(1/(1/_xlfn.MINIFS(Apparitions!$L$2:$L$5001,Apparitions!$H$2:$H$5001,A206)),""))</f>
        <v/>
      </c>
    </row>
    <row r="207" customFormat="false" ht="15" hidden="false" customHeight="false" outlineLevel="0" collapsed="false">
      <c r="A207" s="19"/>
      <c r="B207" s="19"/>
      <c r="C207" s="19"/>
      <c r="D207" s="19"/>
      <c r="E207" s="32"/>
      <c r="F207" s="19"/>
      <c r="G207" s="26" t="str">
        <f aca="false">IF(A207="","",COUNTIF(Pubs!$B$2:$B$3001,A207))</f>
        <v/>
      </c>
      <c r="H207" s="26" t="str">
        <f aca="false">IF(A207="","",COUNTIF(Apparitions!$H$2:$H$5001,A207))</f>
        <v/>
      </c>
      <c r="I207" s="26" t="str">
        <f aca="false">IF(A207="","",COUNTIFS(Apparitions!$H$2:$H$5001,A207,Apparitions!$E$2:$E$5001,"○"))</f>
        <v/>
      </c>
      <c r="J207" s="29" t="str">
        <f aca="false">IF(A207="","",IFERROR(1/(1/_xlfn.MINIFS(Apparitions!$L$2:$L$5001,Apparitions!$H$2:$H$5001,A207)),""))</f>
        <v/>
      </c>
    </row>
    <row r="208" customFormat="false" ht="15" hidden="false" customHeight="false" outlineLevel="0" collapsed="false">
      <c r="A208" s="19"/>
      <c r="B208" s="19"/>
      <c r="C208" s="19"/>
      <c r="D208" s="19"/>
      <c r="E208" s="32"/>
      <c r="F208" s="19"/>
      <c r="G208" s="26" t="str">
        <f aca="false">IF(A208="","",COUNTIF(Pubs!$B$2:$B$3001,A208))</f>
        <v/>
      </c>
      <c r="H208" s="26" t="str">
        <f aca="false">IF(A208="","",COUNTIF(Apparitions!$H$2:$H$5001,A208))</f>
        <v/>
      </c>
      <c r="I208" s="26" t="str">
        <f aca="false">IF(A208="","",COUNTIFS(Apparitions!$H$2:$H$5001,A208,Apparitions!$E$2:$E$5001,"○"))</f>
        <v/>
      </c>
      <c r="J208" s="29" t="str">
        <f aca="false">IF(A208="","",IFERROR(1/(1/_xlfn.MINIFS(Apparitions!$L$2:$L$5001,Apparitions!$H$2:$H$5001,A208)),""))</f>
        <v/>
      </c>
    </row>
    <row r="209" customFormat="false" ht="15" hidden="false" customHeight="false" outlineLevel="0" collapsed="false">
      <c r="A209" s="19"/>
      <c r="B209" s="19"/>
      <c r="C209" s="19"/>
      <c r="D209" s="19"/>
      <c r="E209" s="32"/>
      <c r="F209" s="19"/>
      <c r="G209" s="26" t="str">
        <f aca="false">IF(A209="","",COUNTIF(Pubs!$B$2:$B$3001,A209))</f>
        <v/>
      </c>
      <c r="H209" s="26" t="str">
        <f aca="false">IF(A209="","",COUNTIF(Apparitions!$H$2:$H$5001,A209))</f>
        <v/>
      </c>
      <c r="I209" s="26" t="str">
        <f aca="false">IF(A209="","",COUNTIFS(Apparitions!$H$2:$H$5001,A209,Apparitions!$E$2:$E$5001,"○"))</f>
        <v/>
      </c>
      <c r="J209" s="29" t="str">
        <f aca="false">IF(A209="","",IFERROR(1/(1/_xlfn.MINIFS(Apparitions!$L$2:$L$5001,Apparitions!$H$2:$H$5001,A209)),""))</f>
        <v/>
      </c>
    </row>
    <row r="210" customFormat="false" ht="15" hidden="false" customHeight="false" outlineLevel="0" collapsed="false">
      <c r="A210" s="19"/>
      <c r="B210" s="19"/>
      <c r="C210" s="19"/>
      <c r="D210" s="19"/>
      <c r="E210" s="32"/>
      <c r="F210" s="19"/>
      <c r="G210" s="26" t="str">
        <f aca="false">IF(A210="","",COUNTIF(Pubs!$B$2:$B$3001,A210))</f>
        <v/>
      </c>
      <c r="H210" s="26" t="str">
        <f aca="false">IF(A210="","",COUNTIF(Apparitions!$H$2:$H$5001,A210))</f>
        <v/>
      </c>
      <c r="I210" s="26" t="str">
        <f aca="false">IF(A210="","",COUNTIFS(Apparitions!$H$2:$H$5001,A210,Apparitions!$E$2:$E$5001,"○"))</f>
        <v/>
      </c>
      <c r="J210" s="29" t="str">
        <f aca="false">IF(A210="","",IFERROR(1/(1/_xlfn.MINIFS(Apparitions!$L$2:$L$5001,Apparitions!$H$2:$H$5001,A210)),""))</f>
        <v/>
      </c>
    </row>
    <row r="211" customFormat="false" ht="15" hidden="false" customHeight="false" outlineLevel="0" collapsed="false">
      <c r="A211" s="19"/>
      <c r="B211" s="19"/>
      <c r="C211" s="19"/>
      <c r="D211" s="19"/>
      <c r="E211" s="32"/>
      <c r="F211" s="19"/>
      <c r="G211" s="26" t="str">
        <f aca="false">IF(A211="","",COUNTIF(Pubs!$B$2:$B$3001,A211))</f>
        <v/>
      </c>
      <c r="H211" s="26" t="str">
        <f aca="false">IF(A211="","",COUNTIF(Apparitions!$H$2:$H$5001,A211))</f>
        <v/>
      </c>
      <c r="I211" s="26" t="str">
        <f aca="false">IF(A211="","",COUNTIFS(Apparitions!$H$2:$H$5001,A211,Apparitions!$E$2:$E$5001,"○"))</f>
        <v/>
      </c>
      <c r="J211" s="29" t="str">
        <f aca="false">IF(A211="","",IFERROR(1/(1/_xlfn.MINIFS(Apparitions!$L$2:$L$5001,Apparitions!$H$2:$H$5001,A211)),""))</f>
        <v/>
      </c>
    </row>
    <row r="212" customFormat="false" ht="15" hidden="false" customHeight="false" outlineLevel="0" collapsed="false">
      <c r="A212" s="19"/>
      <c r="B212" s="19"/>
      <c r="C212" s="19"/>
      <c r="D212" s="19"/>
      <c r="E212" s="32"/>
      <c r="F212" s="19"/>
      <c r="G212" s="26" t="str">
        <f aca="false">IF(A212="","",COUNTIF(Pubs!$B$2:$B$3001,A212))</f>
        <v/>
      </c>
      <c r="H212" s="26" t="str">
        <f aca="false">IF(A212="","",COUNTIF(Apparitions!$H$2:$H$5001,A212))</f>
        <v/>
      </c>
      <c r="I212" s="26" t="str">
        <f aca="false">IF(A212="","",COUNTIFS(Apparitions!$H$2:$H$5001,A212,Apparitions!$E$2:$E$5001,"○"))</f>
        <v/>
      </c>
      <c r="J212" s="29" t="str">
        <f aca="false">IF(A212="","",IFERROR(1/(1/_xlfn.MINIFS(Apparitions!$L$2:$L$5001,Apparitions!$H$2:$H$5001,A212)),""))</f>
        <v/>
      </c>
    </row>
    <row r="213" customFormat="false" ht="15" hidden="false" customHeight="false" outlineLevel="0" collapsed="false">
      <c r="A213" s="19"/>
      <c r="B213" s="19"/>
      <c r="C213" s="19"/>
      <c r="D213" s="19"/>
      <c r="E213" s="32"/>
      <c r="F213" s="19"/>
      <c r="G213" s="26" t="str">
        <f aca="false">IF(A213="","",COUNTIF(Pubs!$B$2:$B$3001,A213))</f>
        <v/>
      </c>
      <c r="H213" s="26" t="str">
        <f aca="false">IF(A213="","",COUNTIF(Apparitions!$H$2:$H$5001,A213))</f>
        <v/>
      </c>
      <c r="I213" s="26" t="str">
        <f aca="false">IF(A213="","",COUNTIFS(Apparitions!$H$2:$H$5001,A213,Apparitions!$E$2:$E$5001,"○"))</f>
        <v/>
      </c>
      <c r="J213" s="29" t="str">
        <f aca="false">IF(A213="","",IFERROR(1/(1/_xlfn.MINIFS(Apparitions!$L$2:$L$5001,Apparitions!$H$2:$H$5001,A213)),""))</f>
        <v/>
      </c>
    </row>
    <row r="214" customFormat="false" ht="15" hidden="false" customHeight="false" outlineLevel="0" collapsed="false">
      <c r="A214" s="19"/>
      <c r="B214" s="19"/>
      <c r="C214" s="19"/>
      <c r="D214" s="19"/>
      <c r="E214" s="32"/>
      <c r="F214" s="19"/>
      <c r="G214" s="26" t="str">
        <f aca="false">IF(A214="","",COUNTIF(Pubs!$B$2:$B$3001,A214))</f>
        <v/>
      </c>
      <c r="H214" s="26" t="str">
        <f aca="false">IF(A214="","",COUNTIF(Apparitions!$H$2:$H$5001,A214))</f>
        <v/>
      </c>
      <c r="I214" s="26" t="str">
        <f aca="false">IF(A214="","",COUNTIFS(Apparitions!$H$2:$H$5001,A214,Apparitions!$E$2:$E$5001,"○"))</f>
        <v/>
      </c>
      <c r="J214" s="29" t="str">
        <f aca="false">IF(A214="","",IFERROR(1/(1/_xlfn.MINIFS(Apparitions!$L$2:$L$5001,Apparitions!$H$2:$H$5001,A214)),""))</f>
        <v/>
      </c>
    </row>
    <row r="215" customFormat="false" ht="15" hidden="false" customHeight="false" outlineLevel="0" collapsed="false">
      <c r="A215" s="19"/>
      <c r="B215" s="19"/>
      <c r="C215" s="19"/>
      <c r="D215" s="19"/>
      <c r="E215" s="32"/>
      <c r="F215" s="19"/>
      <c r="G215" s="26" t="str">
        <f aca="false">IF(A215="","",COUNTIF(Pubs!$B$2:$B$3001,A215))</f>
        <v/>
      </c>
      <c r="H215" s="26" t="str">
        <f aca="false">IF(A215="","",COUNTIF(Apparitions!$H$2:$H$5001,A215))</f>
        <v/>
      </c>
      <c r="I215" s="26" t="str">
        <f aca="false">IF(A215="","",COUNTIFS(Apparitions!$H$2:$H$5001,A215,Apparitions!$E$2:$E$5001,"○"))</f>
        <v/>
      </c>
      <c r="J215" s="29" t="str">
        <f aca="false">IF(A215="","",IFERROR(1/(1/_xlfn.MINIFS(Apparitions!$L$2:$L$5001,Apparitions!$H$2:$H$5001,A215)),""))</f>
        <v/>
      </c>
    </row>
    <row r="216" customFormat="false" ht="15" hidden="false" customHeight="false" outlineLevel="0" collapsed="false">
      <c r="A216" s="19"/>
      <c r="B216" s="19"/>
      <c r="C216" s="19"/>
      <c r="D216" s="19"/>
      <c r="E216" s="32"/>
      <c r="F216" s="19"/>
      <c r="G216" s="26" t="str">
        <f aca="false">IF(A216="","",COUNTIF(Pubs!$B$2:$B$3001,A216))</f>
        <v/>
      </c>
      <c r="H216" s="26" t="str">
        <f aca="false">IF(A216="","",COUNTIF(Apparitions!$H$2:$H$5001,A216))</f>
        <v/>
      </c>
      <c r="I216" s="26" t="str">
        <f aca="false">IF(A216="","",COUNTIFS(Apparitions!$H$2:$H$5001,A216,Apparitions!$E$2:$E$5001,"○"))</f>
        <v/>
      </c>
      <c r="J216" s="29" t="str">
        <f aca="false">IF(A216="","",IFERROR(1/(1/_xlfn.MINIFS(Apparitions!$L$2:$L$5001,Apparitions!$H$2:$H$5001,A216)),""))</f>
        <v/>
      </c>
    </row>
    <row r="217" customFormat="false" ht="15" hidden="false" customHeight="false" outlineLevel="0" collapsed="false">
      <c r="A217" s="19"/>
      <c r="B217" s="19"/>
      <c r="C217" s="19"/>
      <c r="D217" s="19"/>
      <c r="E217" s="32"/>
      <c r="F217" s="19"/>
      <c r="G217" s="26" t="str">
        <f aca="false">IF(A217="","",COUNTIF(Pubs!$B$2:$B$3001,A217))</f>
        <v/>
      </c>
      <c r="H217" s="26" t="str">
        <f aca="false">IF(A217="","",COUNTIF(Apparitions!$H$2:$H$5001,A217))</f>
        <v/>
      </c>
      <c r="I217" s="26" t="str">
        <f aca="false">IF(A217="","",COUNTIFS(Apparitions!$H$2:$H$5001,A217,Apparitions!$E$2:$E$5001,"○"))</f>
        <v/>
      </c>
      <c r="J217" s="29" t="str">
        <f aca="false">IF(A217="","",IFERROR(1/(1/_xlfn.MINIFS(Apparitions!$L$2:$L$5001,Apparitions!$H$2:$H$5001,A217)),""))</f>
        <v/>
      </c>
    </row>
    <row r="218" customFormat="false" ht="15" hidden="false" customHeight="false" outlineLevel="0" collapsed="false">
      <c r="A218" s="19"/>
      <c r="B218" s="19"/>
      <c r="C218" s="19"/>
      <c r="D218" s="19"/>
      <c r="E218" s="32"/>
      <c r="F218" s="19"/>
      <c r="G218" s="26" t="str">
        <f aca="false">IF(A218="","",COUNTIF(Pubs!$B$2:$B$3001,A218))</f>
        <v/>
      </c>
      <c r="H218" s="26" t="str">
        <f aca="false">IF(A218="","",COUNTIF(Apparitions!$H$2:$H$5001,A218))</f>
        <v/>
      </c>
      <c r="I218" s="26" t="str">
        <f aca="false">IF(A218="","",COUNTIFS(Apparitions!$H$2:$H$5001,A218,Apparitions!$E$2:$E$5001,"○"))</f>
        <v/>
      </c>
      <c r="J218" s="29" t="str">
        <f aca="false">IF(A218="","",IFERROR(1/(1/_xlfn.MINIFS(Apparitions!$L$2:$L$5001,Apparitions!$H$2:$H$5001,A218)),""))</f>
        <v/>
      </c>
    </row>
    <row r="219" customFormat="false" ht="15" hidden="false" customHeight="false" outlineLevel="0" collapsed="false">
      <c r="A219" s="19"/>
      <c r="B219" s="19"/>
      <c r="C219" s="19"/>
      <c r="D219" s="19"/>
      <c r="E219" s="32"/>
      <c r="F219" s="19"/>
      <c r="G219" s="26" t="str">
        <f aca="false">IF(A219="","",COUNTIF(Pubs!$B$2:$B$3001,A219))</f>
        <v/>
      </c>
      <c r="H219" s="26" t="str">
        <f aca="false">IF(A219="","",COUNTIF(Apparitions!$H$2:$H$5001,A219))</f>
        <v/>
      </c>
      <c r="I219" s="26" t="str">
        <f aca="false">IF(A219="","",COUNTIFS(Apparitions!$H$2:$H$5001,A219,Apparitions!$E$2:$E$5001,"○"))</f>
        <v/>
      </c>
      <c r="J219" s="29" t="str">
        <f aca="false">IF(A219="","",IFERROR(1/(1/_xlfn.MINIFS(Apparitions!$L$2:$L$5001,Apparitions!$H$2:$H$5001,A219)),""))</f>
        <v/>
      </c>
    </row>
    <row r="220" customFormat="false" ht="15" hidden="false" customHeight="false" outlineLevel="0" collapsed="false">
      <c r="A220" s="19"/>
      <c r="B220" s="19"/>
      <c r="C220" s="19"/>
      <c r="D220" s="19"/>
      <c r="E220" s="32"/>
      <c r="F220" s="19"/>
      <c r="G220" s="26" t="str">
        <f aca="false">IF(A220="","",COUNTIF(Pubs!$B$2:$B$3001,A220))</f>
        <v/>
      </c>
      <c r="H220" s="26" t="str">
        <f aca="false">IF(A220="","",COUNTIF(Apparitions!$H$2:$H$5001,A220))</f>
        <v/>
      </c>
      <c r="I220" s="26" t="str">
        <f aca="false">IF(A220="","",COUNTIFS(Apparitions!$H$2:$H$5001,A220,Apparitions!$E$2:$E$5001,"○"))</f>
        <v/>
      </c>
      <c r="J220" s="29" t="str">
        <f aca="false">IF(A220="","",IFERROR(1/(1/_xlfn.MINIFS(Apparitions!$L$2:$L$5001,Apparitions!$H$2:$H$5001,A220)),""))</f>
        <v/>
      </c>
    </row>
    <row r="221" customFormat="false" ht="15" hidden="false" customHeight="false" outlineLevel="0" collapsed="false">
      <c r="A221" s="19"/>
      <c r="B221" s="19"/>
      <c r="C221" s="19"/>
      <c r="D221" s="19"/>
      <c r="E221" s="32"/>
      <c r="F221" s="19"/>
      <c r="G221" s="26" t="str">
        <f aca="false">IF(A221="","",COUNTIF(Pubs!$B$2:$B$3001,A221))</f>
        <v/>
      </c>
      <c r="H221" s="26" t="str">
        <f aca="false">IF(A221="","",COUNTIF(Apparitions!$H$2:$H$5001,A221))</f>
        <v/>
      </c>
      <c r="I221" s="26" t="str">
        <f aca="false">IF(A221="","",COUNTIFS(Apparitions!$H$2:$H$5001,A221,Apparitions!$E$2:$E$5001,"○"))</f>
        <v/>
      </c>
      <c r="J221" s="29" t="str">
        <f aca="false">IF(A221="","",IFERROR(1/(1/_xlfn.MINIFS(Apparitions!$L$2:$L$5001,Apparitions!$H$2:$H$5001,A221)),""))</f>
        <v/>
      </c>
    </row>
    <row r="222" customFormat="false" ht="15" hidden="false" customHeight="false" outlineLevel="0" collapsed="false">
      <c r="A222" s="19"/>
      <c r="B222" s="19"/>
      <c r="C222" s="19"/>
      <c r="D222" s="19"/>
      <c r="E222" s="32"/>
      <c r="F222" s="19"/>
      <c r="G222" s="26" t="str">
        <f aca="false">IF(A222="","",COUNTIF(Pubs!$B$2:$B$3001,A222))</f>
        <v/>
      </c>
      <c r="H222" s="26" t="str">
        <f aca="false">IF(A222="","",COUNTIF(Apparitions!$H$2:$H$5001,A222))</f>
        <v/>
      </c>
      <c r="I222" s="26" t="str">
        <f aca="false">IF(A222="","",COUNTIFS(Apparitions!$H$2:$H$5001,A222,Apparitions!$E$2:$E$5001,"○"))</f>
        <v/>
      </c>
      <c r="J222" s="29" t="str">
        <f aca="false">IF(A222="","",IFERROR(1/(1/_xlfn.MINIFS(Apparitions!$L$2:$L$5001,Apparitions!$H$2:$H$5001,A222)),""))</f>
        <v/>
      </c>
    </row>
    <row r="223" customFormat="false" ht="15" hidden="false" customHeight="false" outlineLevel="0" collapsed="false">
      <c r="A223" s="19"/>
      <c r="B223" s="19"/>
      <c r="C223" s="19"/>
      <c r="D223" s="19"/>
      <c r="E223" s="32"/>
      <c r="F223" s="19"/>
      <c r="G223" s="26" t="str">
        <f aca="false">IF(A223="","",COUNTIF(Pubs!$B$2:$B$3001,A223))</f>
        <v/>
      </c>
      <c r="H223" s="26" t="str">
        <f aca="false">IF(A223="","",COUNTIF(Apparitions!$H$2:$H$5001,A223))</f>
        <v/>
      </c>
      <c r="I223" s="26" t="str">
        <f aca="false">IF(A223="","",COUNTIFS(Apparitions!$H$2:$H$5001,A223,Apparitions!$E$2:$E$5001,"○"))</f>
        <v/>
      </c>
      <c r="J223" s="29" t="str">
        <f aca="false">IF(A223="","",IFERROR(1/(1/_xlfn.MINIFS(Apparitions!$L$2:$L$5001,Apparitions!$H$2:$H$5001,A223)),""))</f>
        <v/>
      </c>
    </row>
    <row r="224" customFormat="false" ht="15" hidden="false" customHeight="false" outlineLevel="0" collapsed="false">
      <c r="A224" s="19"/>
      <c r="B224" s="19"/>
      <c r="C224" s="19"/>
      <c r="D224" s="19"/>
      <c r="E224" s="32"/>
      <c r="F224" s="19"/>
      <c r="G224" s="26" t="str">
        <f aca="false">IF(A224="","",COUNTIF(Pubs!$B$2:$B$3001,A224))</f>
        <v/>
      </c>
      <c r="H224" s="26" t="str">
        <f aca="false">IF(A224="","",COUNTIF(Apparitions!$H$2:$H$5001,A224))</f>
        <v/>
      </c>
      <c r="I224" s="26" t="str">
        <f aca="false">IF(A224="","",COUNTIFS(Apparitions!$H$2:$H$5001,A224,Apparitions!$E$2:$E$5001,"○"))</f>
        <v/>
      </c>
      <c r="J224" s="29" t="str">
        <f aca="false">IF(A224="","",IFERROR(1/(1/_xlfn.MINIFS(Apparitions!$L$2:$L$5001,Apparitions!$H$2:$H$5001,A224)),""))</f>
        <v/>
      </c>
    </row>
    <row r="225" customFormat="false" ht="15" hidden="false" customHeight="false" outlineLevel="0" collapsed="false">
      <c r="A225" s="19"/>
      <c r="B225" s="19"/>
      <c r="C225" s="19"/>
      <c r="D225" s="19"/>
      <c r="E225" s="32"/>
      <c r="F225" s="19"/>
      <c r="G225" s="26" t="str">
        <f aca="false">IF(A225="","",COUNTIF(Pubs!$B$2:$B$3001,A225))</f>
        <v/>
      </c>
      <c r="H225" s="26" t="str">
        <f aca="false">IF(A225="","",COUNTIF(Apparitions!$H$2:$H$5001,A225))</f>
        <v/>
      </c>
      <c r="I225" s="26" t="str">
        <f aca="false">IF(A225="","",COUNTIFS(Apparitions!$H$2:$H$5001,A225,Apparitions!$E$2:$E$5001,"○"))</f>
        <v/>
      </c>
      <c r="J225" s="29" t="str">
        <f aca="false">IF(A225="","",IFERROR(1/(1/_xlfn.MINIFS(Apparitions!$L$2:$L$5001,Apparitions!$H$2:$H$5001,A225)),""))</f>
        <v/>
      </c>
    </row>
    <row r="226" customFormat="false" ht="15" hidden="false" customHeight="false" outlineLevel="0" collapsed="false">
      <c r="A226" s="19"/>
      <c r="B226" s="19"/>
      <c r="C226" s="19"/>
      <c r="D226" s="19"/>
      <c r="E226" s="32"/>
      <c r="F226" s="19"/>
      <c r="G226" s="26" t="str">
        <f aca="false">IF(A226="","",COUNTIF(Pubs!$B$2:$B$3001,A226))</f>
        <v/>
      </c>
      <c r="H226" s="26" t="str">
        <f aca="false">IF(A226="","",COUNTIF(Apparitions!$H$2:$H$5001,A226))</f>
        <v/>
      </c>
      <c r="I226" s="26" t="str">
        <f aca="false">IF(A226="","",COUNTIFS(Apparitions!$H$2:$H$5001,A226,Apparitions!$E$2:$E$5001,"○"))</f>
        <v/>
      </c>
      <c r="J226" s="29" t="str">
        <f aca="false">IF(A226="","",IFERROR(1/(1/_xlfn.MINIFS(Apparitions!$L$2:$L$5001,Apparitions!$H$2:$H$5001,A226)),""))</f>
        <v/>
      </c>
    </row>
    <row r="227" customFormat="false" ht="15" hidden="false" customHeight="false" outlineLevel="0" collapsed="false">
      <c r="A227" s="19"/>
      <c r="B227" s="19"/>
      <c r="C227" s="19"/>
      <c r="D227" s="19"/>
      <c r="E227" s="32"/>
      <c r="F227" s="19"/>
      <c r="G227" s="26" t="str">
        <f aca="false">IF(A227="","",COUNTIF(Pubs!$B$2:$B$3001,A227))</f>
        <v/>
      </c>
      <c r="H227" s="26" t="str">
        <f aca="false">IF(A227="","",COUNTIF(Apparitions!$H$2:$H$5001,A227))</f>
        <v/>
      </c>
      <c r="I227" s="26" t="str">
        <f aca="false">IF(A227="","",COUNTIFS(Apparitions!$H$2:$H$5001,A227,Apparitions!$E$2:$E$5001,"○"))</f>
        <v/>
      </c>
      <c r="J227" s="29" t="str">
        <f aca="false">IF(A227="","",IFERROR(1/(1/_xlfn.MINIFS(Apparitions!$L$2:$L$5001,Apparitions!$H$2:$H$5001,A227)),""))</f>
        <v/>
      </c>
    </row>
    <row r="228" customFormat="false" ht="15" hidden="false" customHeight="false" outlineLevel="0" collapsed="false">
      <c r="A228" s="19"/>
      <c r="B228" s="19"/>
      <c r="C228" s="19"/>
      <c r="D228" s="19"/>
      <c r="E228" s="32"/>
      <c r="F228" s="19"/>
      <c r="G228" s="26" t="str">
        <f aca="false">IF(A228="","",COUNTIF(Pubs!$B$2:$B$3001,A228))</f>
        <v/>
      </c>
      <c r="H228" s="26" t="str">
        <f aca="false">IF(A228="","",COUNTIF(Apparitions!$H$2:$H$5001,A228))</f>
        <v/>
      </c>
      <c r="I228" s="26" t="str">
        <f aca="false">IF(A228="","",COUNTIFS(Apparitions!$H$2:$H$5001,A228,Apparitions!$E$2:$E$5001,"○"))</f>
        <v/>
      </c>
      <c r="J228" s="29" t="str">
        <f aca="false">IF(A228="","",IFERROR(1/(1/_xlfn.MINIFS(Apparitions!$L$2:$L$5001,Apparitions!$H$2:$H$5001,A228)),""))</f>
        <v/>
      </c>
    </row>
    <row r="229" customFormat="false" ht="15" hidden="false" customHeight="false" outlineLevel="0" collapsed="false">
      <c r="A229" s="19"/>
      <c r="B229" s="19"/>
      <c r="C229" s="19"/>
      <c r="D229" s="19"/>
      <c r="E229" s="32"/>
      <c r="F229" s="19"/>
      <c r="G229" s="26" t="str">
        <f aca="false">IF(A229="","",COUNTIF(Pubs!$B$2:$B$3001,A229))</f>
        <v/>
      </c>
      <c r="H229" s="26" t="str">
        <f aca="false">IF(A229="","",COUNTIF(Apparitions!$H$2:$H$5001,A229))</f>
        <v/>
      </c>
      <c r="I229" s="26" t="str">
        <f aca="false">IF(A229="","",COUNTIFS(Apparitions!$H$2:$H$5001,A229,Apparitions!$E$2:$E$5001,"○"))</f>
        <v/>
      </c>
      <c r="J229" s="29" t="str">
        <f aca="false">IF(A229="","",IFERROR(1/(1/_xlfn.MINIFS(Apparitions!$L$2:$L$5001,Apparitions!$H$2:$H$5001,A229)),""))</f>
        <v/>
      </c>
    </row>
    <row r="230" customFormat="false" ht="15" hidden="false" customHeight="false" outlineLevel="0" collapsed="false">
      <c r="A230" s="19"/>
      <c r="B230" s="19"/>
      <c r="C230" s="19"/>
      <c r="D230" s="19"/>
      <c r="E230" s="32"/>
      <c r="F230" s="19"/>
      <c r="G230" s="26" t="str">
        <f aca="false">IF(A230="","",COUNTIF(Pubs!$B$2:$B$3001,A230))</f>
        <v/>
      </c>
      <c r="H230" s="26" t="str">
        <f aca="false">IF(A230="","",COUNTIF(Apparitions!$H$2:$H$5001,A230))</f>
        <v/>
      </c>
      <c r="I230" s="26" t="str">
        <f aca="false">IF(A230="","",COUNTIFS(Apparitions!$H$2:$H$5001,A230,Apparitions!$E$2:$E$5001,"○"))</f>
        <v/>
      </c>
      <c r="J230" s="29" t="str">
        <f aca="false">IF(A230="","",IFERROR(1/(1/_xlfn.MINIFS(Apparitions!$L$2:$L$5001,Apparitions!$H$2:$H$5001,A230)),""))</f>
        <v/>
      </c>
    </row>
    <row r="231" customFormat="false" ht="15" hidden="false" customHeight="false" outlineLevel="0" collapsed="false">
      <c r="A231" s="19"/>
      <c r="B231" s="19"/>
      <c r="C231" s="19"/>
      <c r="D231" s="19"/>
      <c r="E231" s="32"/>
      <c r="F231" s="19"/>
      <c r="G231" s="26" t="str">
        <f aca="false">IF(A231="","",COUNTIF(Pubs!$B$2:$B$3001,A231))</f>
        <v/>
      </c>
      <c r="H231" s="26" t="str">
        <f aca="false">IF(A231="","",COUNTIF(Apparitions!$H$2:$H$5001,A231))</f>
        <v/>
      </c>
      <c r="I231" s="26" t="str">
        <f aca="false">IF(A231="","",COUNTIFS(Apparitions!$H$2:$H$5001,A231,Apparitions!$E$2:$E$5001,"○"))</f>
        <v/>
      </c>
      <c r="J231" s="29" t="str">
        <f aca="false">IF(A231="","",IFERROR(1/(1/_xlfn.MINIFS(Apparitions!$L$2:$L$5001,Apparitions!$H$2:$H$5001,A231)),""))</f>
        <v/>
      </c>
    </row>
    <row r="232" customFormat="false" ht="15" hidden="false" customHeight="false" outlineLevel="0" collapsed="false">
      <c r="A232" s="19"/>
      <c r="B232" s="19"/>
      <c r="C232" s="19"/>
      <c r="D232" s="19"/>
      <c r="E232" s="32"/>
      <c r="F232" s="19"/>
      <c r="G232" s="26" t="str">
        <f aca="false">IF(A232="","",COUNTIF(Pubs!$B$2:$B$3001,A232))</f>
        <v/>
      </c>
      <c r="H232" s="26" t="str">
        <f aca="false">IF(A232="","",COUNTIF(Apparitions!$H$2:$H$5001,A232))</f>
        <v/>
      </c>
      <c r="I232" s="26" t="str">
        <f aca="false">IF(A232="","",COUNTIFS(Apparitions!$H$2:$H$5001,A232,Apparitions!$E$2:$E$5001,"○"))</f>
        <v/>
      </c>
      <c r="J232" s="29" t="str">
        <f aca="false">IF(A232="","",IFERROR(1/(1/_xlfn.MINIFS(Apparitions!$L$2:$L$5001,Apparitions!$H$2:$H$5001,A232)),""))</f>
        <v/>
      </c>
    </row>
    <row r="233" customFormat="false" ht="15" hidden="false" customHeight="false" outlineLevel="0" collapsed="false">
      <c r="A233" s="19"/>
      <c r="B233" s="19"/>
      <c r="C233" s="19"/>
      <c r="D233" s="19"/>
      <c r="E233" s="32"/>
      <c r="F233" s="19"/>
      <c r="G233" s="26" t="str">
        <f aca="false">IF(A233="","",COUNTIF(Pubs!$B$2:$B$3001,A233))</f>
        <v/>
      </c>
      <c r="H233" s="26" t="str">
        <f aca="false">IF(A233="","",COUNTIF(Apparitions!$H$2:$H$5001,A233))</f>
        <v/>
      </c>
      <c r="I233" s="26" t="str">
        <f aca="false">IF(A233="","",COUNTIFS(Apparitions!$H$2:$H$5001,A233,Apparitions!$E$2:$E$5001,"○"))</f>
        <v/>
      </c>
      <c r="J233" s="29" t="str">
        <f aca="false">IF(A233="","",IFERROR(1/(1/_xlfn.MINIFS(Apparitions!$L$2:$L$5001,Apparitions!$H$2:$H$5001,A233)),""))</f>
        <v/>
      </c>
    </row>
    <row r="234" customFormat="false" ht="15" hidden="false" customHeight="false" outlineLevel="0" collapsed="false">
      <c r="A234" s="19"/>
      <c r="B234" s="19"/>
      <c r="C234" s="19"/>
      <c r="D234" s="19"/>
      <c r="E234" s="32"/>
      <c r="F234" s="19"/>
      <c r="G234" s="26" t="str">
        <f aca="false">IF(A234="","",COUNTIF(Pubs!$B$2:$B$3001,A234))</f>
        <v/>
      </c>
      <c r="H234" s="26" t="str">
        <f aca="false">IF(A234="","",COUNTIF(Apparitions!$H$2:$H$5001,A234))</f>
        <v/>
      </c>
      <c r="I234" s="26" t="str">
        <f aca="false">IF(A234="","",COUNTIFS(Apparitions!$H$2:$H$5001,A234,Apparitions!$E$2:$E$5001,"○"))</f>
        <v/>
      </c>
      <c r="J234" s="29" t="str">
        <f aca="false">IF(A234="","",IFERROR(1/(1/_xlfn.MINIFS(Apparitions!$L$2:$L$5001,Apparitions!$H$2:$H$5001,A234)),""))</f>
        <v/>
      </c>
    </row>
    <row r="235" customFormat="false" ht="15" hidden="false" customHeight="false" outlineLevel="0" collapsed="false">
      <c r="A235" s="19"/>
      <c r="B235" s="19"/>
      <c r="C235" s="19"/>
      <c r="D235" s="19"/>
      <c r="E235" s="32"/>
      <c r="F235" s="19"/>
      <c r="G235" s="26" t="str">
        <f aca="false">IF(A235="","",COUNTIF(Pubs!$B$2:$B$3001,A235))</f>
        <v/>
      </c>
      <c r="H235" s="26" t="str">
        <f aca="false">IF(A235="","",COUNTIF(Apparitions!$H$2:$H$5001,A235))</f>
        <v/>
      </c>
      <c r="I235" s="26" t="str">
        <f aca="false">IF(A235="","",COUNTIFS(Apparitions!$H$2:$H$5001,A235,Apparitions!$E$2:$E$5001,"○"))</f>
        <v/>
      </c>
      <c r="J235" s="29" t="str">
        <f aca="false">IF(A235="","",IFERROR(1/(1/_xlfn.MINIFS(Apparitions!$L$2:$L$5001,Apparitions!$H$2:$H$5001,A235)),""))</f>
        <v/>
      </c>
    </row>
    <row r="236" customFormat="false" ht="15" hidden="false" customHeight="false" outlineLevel="0" collapsed="false">
      <c r="A236" s="19"/>
      <c r="B236" s="19"/>
      <c r="C236" s="19"/>
      <c r="D236" s="19"/>
      <c r="E236" s="32"/>
      <c r="F236" s="19"/>
      <c r="G236" s="26" t="str">
        <f aca="false">IF(A236="","",COUNTIF(Pubs!$B$2:$B$3001,A236))</f>
        <v/>
      </c>
      <c r="H236" s="26" t="str">
        <f aca="false">IF(A236="","",COUNTIF(Apparitions!$H$2:$H$5001,A236))</f>
        <v/>
      </c>
      <c r="I236" s="26" t="str">
        <f aca="false">IF(A236="","",COUNTIFS(Apparitions!$H$2:$H$5001,A236,Apparitions!$E$2:$E$5001,"○"))</f>
        <v/>
      </c>
      <c r="J236" s="29" t="str">
        <f aca="false">IF(A236="","",IFERROR(1/(1/_xlfn.MINIFS(Apparitions!$L$2:$L$5001,Apparitions!$H$2:$H$5001,A236)),""))</f>
        <v/>
      </c>
    </row>
    <row r="237" customFormat="false" ht="15" hidden="false" customHeight="false" outlineLevel="0" collapsed="false">
      <c r="A237" s="19"/>
      <c r="B237" s="19"/>
      <c r="C237" s="19"/>
      <c r="D237" s="19"/>
      <c r="E237" s="32"/>
      <c r="F237" s="19"/>
      <c r="G237" s="26" t="str">
        <f aca="false">IF(A237="","",COUNTIF(Pubs!$B$2:$B$3001,A237))</f>
        <v/>
      </c>
      <c r="H237" s="26" t="str">
        <f aca="false">IF(A237="","",COUNTIF(Apparitions!$H$2:$H$5001,A237))</f>
        <v/>
      </c>
      <c r="I237" s="26" t="str">
        <f aca="false">IF(A237="","",COUNTIFS(Apparitions!$H$2:$H$5001,A237,Apparitions!$E$2:$E$5001,"○"))</f>
        <v/>
      </c>
      <c r="J237" s="29" t="str">
        <f aca="false">IF(A237="","",IFERROR(1/(1/_xlfn.MINIFS(Apparitions!$L$2:$L$5001,Apparitions!$H$2:$H$5001,A237)),""))</f>
        <v/>
      </c>
    </row>
    <row r="238" customFormat="false" ht="15" hidden="false" customHeight="false" outlineLevel="0" collapsed="false">
      <c r="A238" s="19"/>
      <c r="B238" s="19"/>
      <c r="C238" s="19"/>
      <c r="D238" s="19"/>
      <c r="E238" s="32"/>
      <c r="F238" s="19"/>
      <c r="G238" s="26" t="str">
        <f aca="false">IF(A238="","",COUNTIF(Pubs!$B$2:$B$3001,A238))</f>
        <v/>
      </c>
      <c r="H238" s="26" t="str">
        <f aca="false">IF(A238="","",COUNTIF(Apparitions!$H$2:$H$5001,A238))</f>
        <v/>
      </c>
      <c r="I238" s="26" t="str">
        <f aca="false">IF(A238="","",COUNTIFS(Apparitions!$H$2:$H$5001,A238,Apparitions!$E$2:$E$5001,"○"))</f>
        <v/>
      </c>
      <c r="J238" s="29" t="str">
        <f aca="false">IF(A238="","",IFERROR(1/(1/_xlfn.MINIFS(Apparitions!$L$2:$L$5001,Apparitions!$H$2:$H$5001,A238)),""))</f>
        <v/>
      </c>
    </row>
    <row r="239" customFormat="false" ht="15" hidden="false" customHeight="false" outlineLevel="0" collapsed="false">
      <c r="A239" s="19"/>
      <c r="B239" s="19"/>
      <c r="C239" s="19"/>
      <c r="D239" s="19"/>
      <c r="E239" s="32"/>
      <c r="F239" s="19"/>
      <c r="G239" s="26" t="str">
        <f aca="false">IF(A239="","",COUNTIF(Pubs!$B$2:$B$3001,A239))</f>
        <v/>
      </c>
      <c r="H239" s="26" t="str">
        <f aca="false">IF(A239="","",COUNTIF(Apparitions!$H$2:$H$5001,A239))</f>
        <v/>
      </c>
      <c r="I239" s="26" t="str">
        <f aca="false">IF(A239="","",COUNTIFS(Apparitions!$H$2:$H$5001,A239,Apparitions!$E$2:$E$5001,"○"))</f>
        <v/>
      </c>
      <c r="J239" s="29" t="str">
        <f aca="false">IF(A239="","",IFERROR(1/(1/_xlfn.MINIFS(Apparitions!$L$2:$L$5001,Apparitions!$H$2:$H$5001,A239)),""))</f>
        <v/>
      </c>
    </row>
    <row r="240" customFormat="false" ht="15" hidden="false" customHeight="false" outlineLevel="0" collapsed="false">
      <c r="A240" s="19"/>
      <c r="B240" s="19"/>
      <c r="C240" s="19"/>
      <c r="D240" s="19"/>
      <c r="E240" s="32"/>
      <c r="F240" s="19"/>
      <c r="G240" s="26" t="str">
        <f aca="false">IF(A240="","",COUNTIF(Pubs!$B$2:$B$3001,A240))</f>
        <v/>
      </c>
      <c r="H240" s="26" t="str">
        <f aca="false">IF(A240="","",COUNTIF(Apparitions!$H$2:$H$5001,A240))</f>
        <v/>
      </c>
      <c r="I240" s="26" t="str">
        <f aca="false">IF(A240="","",COUNTIFS(Apparitions!$H$2:$H$5001,A240,Apparitions!$E$2:$E$5001,"○"))</f>
        <v/>
      </c>
      <c r="J240" s="29" t="str">
        <f aca="false">IF(A240="","",IFERROR(1/(1/_xlfn.MINIFS(Apparitions!$L$2:$L$5001,Apparitions!$H$2:$H$5001,A240)),""))</f>
        <v/>
      </c>
    </row>
    <row r="241" customFormat="false" ht="15" hidden="false" customHeight="false" outlineLevel="0" collapsed="false">
      <c r="A241" s="19"/>
      <c r="B241" s="19"/>
      <c r="C241" s="19"/>
      <c r="D241" s="19"/>
      <c r="E241" s="32"/>
      <c r="F241" s="19"/>
      <c r="G241" s="26" t="str">
        <f aca="false">IF(A241="","",COUNTIF(Pubs!$B$2:$B$3001,A241))</f>
        <v/>
      </c>
      <c r="H241" s="26" t="str">
        <f aca="false">IF(A241="","",COUNTIF(Apparitions!$H$2:$H$5001,A241))</f>
        <v/>
      </c>
      <c r="I241" s="26" t="str">
        <f aca="false">IF(A241="","",COUNTIFS(Apparitions!$H$2:$H$5001,A241,Apparitions!$E$2:$E$5001,"○"))</f>
        <v/>
      </c>
      <c r="J241" s="29" t="str">
        <f aca="false">IF(A241="","",IFERROR(1/(1/_xlfn.MINIFS(Apparitions!$L$2:$L$5001,Apparitions!$H$2:$H$5001,A241)),""))</f>
        <v/>
      </c>
    </row>
    <row r="242" customFormat="false" ht="15" hidden="false" customHeight="false" outlineLevel="0" collapsed="false">
      <c r="A242" s="19"/>
      <c r="B242" s="19"/>
      <c r="C242" s="19"/>
      <c r="D242" s="19"/>
      <c r="E242" s="32"/>
      <c r="F242" s="19"/>
      <c r="G242" s="26" t="str">
        <f aca="false">IF(A242="","",COUNTIF(Pubs!$B$2:$B$3001,A242))</f>
        <v/>
      </c>
      <c r="H242" s="26" t="str">
        <f aca="false">IF(A242="","",COUNTIF(Apparitions!$H$2:$H$5001,A242))</f>
        <v/>
      </c>
      <c r="I242" s="26" t="str">
        <f aca="false">IF(A242="","",COUNTIFS(Apparitions!$H$2:$H$5001,A242,Apparitions!$E$2:$E$5001,"○"))</f>
        <v/>
      </c>
      <c r="J242" s="29" t="str">
        <f aca="false">IF(A242="","",IFERROR(1/(1/_xlfn.MINIFS(Apparitions!$L$2:$L$5001,Apparitions!$H$2:$H$5001,A242)),""))</f>
        <v/>
      </c>
    </row>
    <row r="243" customFormat="false" ht="15" hidden="false" customHeight="false" outlineLevel="0" collapsed="false">
      <c r="A243" s="19"/>
      <c r="B243" s="19"/>
      <c r="C243" s="19"/>
      <c r="D243" s="19"/>
      <c r="E243" s="32"/>
      <c r="F243" s="19"/>
      <c r="G243" s="26" t="str">
        <f aca="false">IF(A243="","",COUNTIF(Pubs!$B$2:$B$3001,A243))</f>
        <v/>
      </c>
      <c r="H243" s="26" t="str">
        <f aca="false">IF(A243="","",COUNTIF(Apparitions!$H$2:$H$5001,A243))</f>
        <v/>
      </c>
      <c r="I243" s="26" t="str">
        <f aca="false">IF(A243="","",COUNTIFS(Apparitions!$H$2:$H$5001,A243,Apparitions!$E$2:$E$5001,"○"))</f>
        <v/>
      </c>
      <c r="J243" s="29" t="str">
        <f aca="false">IF(A243="","",IFERROR(1/(1/_xlfn.MINIFS(Apparitions!$L$2:$L$5001,Apparitions!$H$2:$H$5001,A243)),""))</f>
        <v/>
      </c>
    </row>
    <row r="244" customFormat="false" ht="15" hidden="false" customHeight="false" outlineLevel="0" collapsed="false">
      <c r="A244" s="19"/>
      <c r="B244" s="19"/>
      <c r="C244" s="19"/>
      <c r="D244" s="19"/>
      <c r="E244" s="32"/>
      <c r="F244" s="19"/>
      <c r="G244" s="26" t="str">
        <f aca="false">IF(A244="","",COUNTIF(Pubs!$B$2:$B$3001,A244))</f>
        <v/>
      </c>
      <c r="H244" s="26" t="str">
        <f aca="false">IF(A244="","",COUNTIF(Apparitions!$H$2:$H$5001,A244))</f>
        <v/>
      </c>
      <c r="I244" s="26" t="str">
        <f aca="false">IF(A244="","",COUNTIFS(Apparitions!$H$2:$H$5001,A244,Apparitions!$E$2:$E$5001,"○"))</f>
        <v/>
      </c>
      <c r="J244" s="29" t="str">
        <f aca="false">IF(A244="","",IFERROR(1/(1/_xlfn.MINIFS(Apparitions!$L$2:$L$5001,Apparitions!$H$2:$H$5001,A244)),""))</f>
        <v/>
      </c>
    </row>
    <row r="245" customFormat="false" ht="15" hidden="false" customHeight="false" outlineLevel="0" collapsed="false">
      <c r="A245" s="19"/>
      <c r="B245" s="19"/>
      <c r="C245" s="19"/>
      <c r="D245" s="19"/>
      <c r="E245" s="32"/>
      <c r="F245" s="19"/>
      <c r="G245" s="26" t="str">
        <f aca="false">IF(A245="","",COUNTIF(Pubs!$B$2:$B$3001,A245))</f>
        <v/>
      </c>
      <c r="H245" s="26" t="str">
        <f aca="false">IF(A245="","",COUNTIF(Apparitions!$H$2:$H$5001,A245))</f>
        <v/>
      </c>
      <c r="I245" s="26" t="str">
        <f aca="false">IF(A245="","",COUNTIFS(Apparitions!$H$2:$H$5001,A245,Apparitions!$E$2:$E$5001,"○"))</f>
        <v/>
      </c>
      <c r="J245" s="29" t="str">
        <f aca="false">IF(A245="","",IFERROR(1/(1/_xlfn.MINIFS(Apparitions!$L$2:$L$5001,Apparitions!$H$2:$H$5001,A245)),""))</f>
        <v/>
      </c>
    </row>
    <row r="246" customFormat="false" ht="15" hidden="false" customHeight="false" outlineLevel="0" collapsed="false">
      <c r="A246" s="19"/>
      <c r="B246" s="19"/>
      <c r="C246" s="19"/>
      <c r="D246" s="19"/>
      <c r="E246" s="32"/>
      <c r="F246" s="19"/>
      <c r="G246" s="26" t="str">
        <f aca="false">IF(A246="","",COUNTIF(Pubs!$B$2:$B$3001,A246))</f>
        <v/>
      </c>
      <c r="H246" s="26" t="str">
        <f aca="false">IF(A246="","",COUNTIF(Apparitions!$H$2:$H$5001,A246))</f>
        <v/>
      </c>
      <c r="I246" s="26" t="str">
        <f aca="false">IF(A246="","",COUNTIFS(Apparitions!$H$2:$H$5001,A246,Apparitions!$E$2:$E$5001,"○"))</f>
        <v/>
      </c>
      <c r="J246" s="29" t="str">
        <f aca="false">IF(A246="","",IFERROR(1/(1/_xlfn.MINIFS(Apparitions!$L$2:$L$5001,Apparitions!$H$2:$H$5001,A246)),""))</f>
        <v/>
      </c>
    </row>
    <row r="247" customFormat="false" ht="15" hidden="false" customHeight="false" outlineLevel="0" collapsed="false">
      <c r="A247" s="19"/>
      <c r="B247" s="19"/>
      <c r="C247" s="19"/>
      <c r="D247" s="19"/>
      <c r="E247" s="32"/>
      <c r="F247" s="19"/>
      <c r="G247" s="26" t="str">
        <f aca="false">IF(A247="","",COUNTIF(Pubs!$B$2:$B$3001,A247))</f>
        <v/>
      </c>
      <c r="H247" s="26" t="str">
        <f aca="false">IF(A247="","",COUNTIF(Apparitions!$H$2:$H$5001,A247))</f>
        <v/>
      </c>
      <c r="I247" s="26" t="str">
        <f aca="false">IF(A247="","",COUNTIFS(Apparitions!$H$2:$H$5001,A247,Apparitions!$E$2:$E$5001,"○"))</f>
        <v/>
      </c>
      <c r="J247" s="29" t="str">
        <f aca="false">IF(A247="","",IFERROR(1/(1/_xlfn.MINIFS(Apparitions!$L$2:$L$5001,Apparitions!$H$2:$H$5001,A247)),""))</f>
        <v/>
      </c>
    </row>
    <row r="248" customFormat="false" ht="15" hidden="false" customHeight="false" outlineLevel="0" collapsed="false">
      <c r="A248" s="19"/>
      <c r="B248" s="19"/>
      <c r="C248" s="19"/>
      <c r="D248" s="19"/>
      <c r="E248" s="32"/>
      <c r="F248" s="19"/>
      <c r="G248" s="26" t="str">
        <f aca="false">IF(A248="","",COUNTIF(Pubs!$B$2:$B$3001,A248))</f>
        <v/>
      </c>
      <c r="H248" s="26" t="str">
        <f aca="false">IF(A248="","",COUNTIF(Apparitions!$H$2:$H$5001,A248))</f>
        <v/>
      </c>
      <c r="I248" s="26" t="str">
        <f aca="false">IF(A248="","",COUNTIFS(Apparitions!$H$2:$H$5001,A248,Apparitions!$E$2:$E$5001,"○"))</f>
        <v/>
      </c>
      <c r="J248" s="29" t="str">
        <f aca="false">IF(A248="","",IFERROR(1/(1/_xlfn.MINIFS(Apparitions!$L$2:$L$5001,Apparitions!$H$2:$H$5001,A248)),""))</f>
        <v/>
      </c>
    </row>
    <row r="249" customFormat="false" ht="15" hidden="false" customHeight="false" outlineLevel="0" collapsed="false">
      <c r="A249" s="19"/>
      <c r="B249" s="19"/>
      <c r="C249" s="19"/>
      <c r="D249" s="19"/>
      <c r="E249" s="32"/>
      <c r="F249" s="19"/>
      <c r="G249" s="26" t="str">
        <f aca="false">IF(A249="","",COUNTIF(Pubs!$B$2:$B$3001,A249))</f>
        <v/>
      </c>
      <c r="H249" s="26" t="str">
        <f aca="false">IF(A249="","",COUNTIF(Apparitions!$H$2:$H$5001,A249))</f>
        <v/>
      </c>
      <c r="I249" s="26" t="str">
        <f aca="false">IF(A249="","",COUNTIFS(Apparitions!$H$2:$H$5001,A249,Apparitions!$E$2:$E$5001,"○"))</f>
        <v/>
      </c>
      <c r="J249" s="29" t="str">
        <f aca="false">IF(A249="","",IFERROR(1/(1/_xlfn.MINIFS(Apparitions!$L$2:$L$5001,Apparitions!$H$2:$H$5001,A249)),""))</f>
        <v/>
      </c>
    </row>
    <row r="250" customFormat="false" ht="15" hidden="false" customHeight="false" outlineLevel="0" collapsed="false">
      <c r="A250" s="19"/>
      <c r="B250" s="19"/>
      <c r="C250" s="19"/>
      <c r="D250" s="19"/>
      <c r="E250" s="32"/>
      <c r="F250" s="19"/>
      <c r="G250" s="26" t="str">
        <f aca="false">IF(A250="","",COUNTIF(Pubs!$B$2:$B$3001,A250))</f>
        <v/>
      </c>
      <c r="H250" s="26" t="str">
        <f aca="false">IF(A250="","",COUNTIF(Apparitions!$H$2:$H$5001,A250))</f>
        <v/>
      </c>
      <c r="I250" s="26" t="str">
        <f aca="false">IF(A250="","",COUNTIFS(Apparitions!$H$2:$H$5001,A250,Apparitions!$E$2:$E$5001,"○"))</f>
        <v/>
      </c>
      <c r="J250" s="29" t="str">
        <f aca="false">IF(A250="","",IFERROR(1/(1/_xlfn.MINIFS(Apparitions!$L$2:$L$5001,Apparitions!$H$2:$H$5001,A250)),""))</f>
        <v/>
      </c>
    </row>
    <row r="251" customFormat="false" ht="15" hidden="false" customHeight="false" outlineLevel="0" collapsed="false">
      <c r="A251" s="19"/>
      <c r="B251" s="19"/>
      <c r="C251" s="19"/>
      <c r="D251" s="19"/>
      <c r="E251" s="32"/>
      <c r="F251" s="19"/>
      <c r="G251" s="26" t="str">
        <f aca="false">IF(A251="","",COUNTIF(Pubs!$B$2:$B$3001,A251))</f>
        <v/>
      </c>
      <c r="H251" s="26" t="str">
        <f aca="false">IF(A251="","",COUNTIF(Apparitions!$H$2:$H$5001,A251))</f>
        <v/>
      </c>
      <c r="I251" s="26" t="str">
        <f aca="false">IF(A251="","",COUNTIFS(Apparitions!$H$2:$H$5001,A251,Apparitions!$E$2:$E$5001,"○"))</f>
        <v/>
      </c>
      <c r="J251" s="29" t="str">
        <f aca="false">IF(A251="","",IFERROR(1/(1/_xlfn.MINIFS(Apparitions!$L$2:$L$5001,Apparitions!$H$2:$H$5001,A251)),""))</f>
        <v/>
      </c>
    </row>
    <row r="252" customFormat="false" ht="15" hidden="false" customHeight="false" outlineLevel="0" collapsed="false">
      <c r="A252" s="19"/>
      <c r="B252" s="19"/>
      <c r="C252" s="19"/>
      <c r="D252" s="19"/>
      <c r="E252" s="32"/>
      <c r="F252" s="19"/>
      <c r="G252" s="26" t="str">
        <f aca="false">IF(A252="","",COUNTIF(Pubs!$B$2:$B$3001,A252))</f>
        <v/>
      </c>
      <c r="H252" s="26" t="str">
        <f aca="false">IF(A252="","",COUNTIF(Apparitions!$H$2:$H$5001,A252))</f>
        <v/>
      </c>
      <c r="I252" s="26" t="str">
        <f aca="false">IF(A252="","",COUNTIFS(Apparitions!$H$2:$H$5001,A252,Apparitions!$E$2:$E$5001,"○"))</f>
        <v/>
      </c>
      <c r="J252" s="29" t="str">
        <f aca="false">IF(A252="","",IFERROR(1/(1/_xlfn.MINIFS(Apparitions!$L$2:$L$5001,Apparitions!$H$2:$H$5001,A252)),""))</f>
        <v/>
      </c>
    </row>
    <row r="253" customFormat="false" ht="15" hidden="false" customHeight="false" outlineLevel="0" collapsed="false">
      <c r="A253" s="19"/>
      <c r="B253" s="19"/>
      <c r="C253" s="19"/>
      <c r="D253" s="19"/>
      <c r="E253" s="32"/>
      <c r="F253" s="19"/>
      <c r="G253" s="26" t="str">
        <f aca="false">IF(A253="","",COUNTIF(Pubs!$B$2:$B$3001,A253))</f>
        <v/>
      </c>
      <c r="H253" s="26" t="str">
        <f aca="false">IF(A253="","",COUNTIF(Apparitions!$H$2:$H$5001,A253))</f>
        <v/>
      </c>
      <c r="I253" s="26" t="str">
        <f aca="false">IF(A253="","",COUNTIFS(Apparitions!$H$2:$H$5001,A253,Apparitions!$E$2:$E$5001,"○"))</f>
        <v/>
      </c>
      <c r="J253" s="29" t="str">
        <f aca="false">IF(A253="","",IFERROR(1/(1/_xlfn.MINIFS(Apparitions!$L$2:$L$5001,Apparitions!$H$2:$H$5001,A253)),""))</f>
        <v/>
      </c>
    </row>
    <row r="254" customFormat="false" ht="15" hidden="false" customHeight="false" outlineLevel="0" collapsed="false">
      <c r="A254" s="19"/>
      <c r="B254" s="19"/>
      <c r="C254" s="19"/>
      <c r="D254" s="19"/>
      <c r="E254" s="32"/>
      <c r="F254" s="19"/>
      <c r="G254" s="26" t="str">
        <f aca="false">IF(A254="","",COUNTIF(Pubs!$B$2:$B$3001,A254))</f>
        <v/>
      </c>
      <c r="H254" s="26" t="str">
        <f aca="false">IF(A254="","",COUNTIF(Apparitions!$H$2:$H$5001,A254))</f>
        <v/>
      </c>
      <c r="I254" s="26" t="str">
        <f aca="false">IF(A254="","",COUNTIFS(Apparitions!$H$2:$H$5001,A254,Apparitions!$E$2:$E$5001,"○"))</f>
        <v/>
      </c>
      <c r="J254" s="29" t="str">
        <f aca="false">IF(A254="","",IFERROR(1/(1/_xlfn.MINIFS(Apparitions!$L$2:$L$5001,Apparitions!$H$2:$H$5001,A254)),""))</f>
        <v/>
      </c>
    </row>
    <row r="255" customFormat="false" ht="15" hidden="false" customHeight="false" outlineLevel="0" collapsed="false">
      <c r="A255" s="19"/>
      <c r="B255" s="19"/>
      <c r="C255" s="19"/>
      <c r="D255" s="19"/>
      <c r="E255" s="32"/>
      <c r="F255" s="19"/>
      <c r="G255" s="26" t="str">
        <f aca="false">IF(A255="","",COUNTIF(Pubs!$B$2:$B$3001,A255))</f>
        <v/>
      </c>
      <c r="H255" s="26" t="str">
        <f aca="false">IF(A255="","",COUNTIF(Apparitions!$H$2:$H$5001,A255))</f>
        <v/>
      </c>
      <c r="I255" s="26" t="str">
        <f aca="false">IF(A255="","",COUNTIFS(Apparitions!$H$2:$H$5001,A255,Apparitions!$E$2:$E$5001,"○"))</f>
        <v/>
      </c>
      <c r="J255" s="29" t="str">
        <f aca="false">IF(A255="","",IFERROR(1/(1/_xlfn.MINIFS(Apparitions!$L$2:$L$5001,Apparitions!$H$2:$H$5001,A255)),""))</f>
        <v/>
      </c>
    </row>
    <row r="256" customFormat="false" ht="15" hidden="false" customHeight="false" outlineLevel="0" collapsed="false">
      <c r="A256" s="19"/>
      <c r="B256" s="19"/>
      <c r="C256" s="19"/>
      <c r="D256" s="19"/>
      <c r="E256" s="32"/>
      <c r="F256" s="19"/>
      <c r="G256" s="26" t="str">
        <f aca="false">IF(A256="","",COUNTIF(Pubs!$B$2:$B$3001,A256))</f>
        <v/>
      </c>
      <c r="H256" s="26" t="str">
        <f aca="false">IF(A256="","",COUNTIF(Apparitions!$H$2:$H$5001,A256))</f>
        <v/>
      </c>
      <c r="I256" s="26" t="str">
        <f aca="false">IF(A256="","",COUNTIFS(Apparitions!$H$2:$H$5001,A256,Apparitions!$E$2:$E$5001,"○"))</f>
        <v/>
      </c>
      <c r="J256" s="29" t="str">
        <f aca="false">IF(A256="","",IFERROR(1/(1/_xlfn.MINIFS(Apparitions!$L$2:$L$5001,Apparitions!$H$2:$H$5001,A256)),""))</f>
        <v/>
      </c>
    </row>
    <row r="257" customFormat="false" ht="15" hidden="false" customHeight="false" outlineLevel="0" collapsed="false">
      <c r="A257" s="19"/>
      <c r="B257" s="19"/>
      <c r="C257" s="19"/>
      <c r="D257" s="19"/>
      <c r="E257" s="32"/>
      <c r="F257" s="19"/>
      <c r="G257" s="26" t="str">
        <f aca="false">IF(A257="","",COUNTIF(Pubs!$B$2:$B$3001,A257))</f>
        <v/>
      </c>
      <c r="H257" s="26" t="str">
        <f aca="false">IF(A257="","",COUNTIF(Apparitions!$H$2:$H$5001,A257))</f>
        <v/>
      </c>
      <c r="I257" s="26" t="str">
        <f aca="false">IF(A257="","",COUNTIFS(Apparitions!$H$2:$H$5001,A257,Apparitions!$E$2:$E$5001,"○"))</f>
        <v/>
      </c>
      <c r="J257" s="29" t="str">
        <f aca="false">IF(A257="","",IFERROR(1/(1/_xlfn.MINIFS(Apparitions!$L$2:$L$5001,Apparitions!$H$2:$H$5001,A257)),""))</f>
        <v/>
      </c>
    </row>
    <row r="258" customFormat="false" ht="15" hidden="false" customHeight="false" outlineLevel="0" collapsed="false">
      <c r="A258" s="19"/>
      <c r="B258" s="19"/>
      <c r="C258" s="19"/>
      <c r="D258" s="19"/>
      <c r="E258" s="32"/>
      <c r="F258" s="19"/>
      <c r="G258" s="26" t="str">
        <f aca="false">IF(A258="","",COUNTIF(Pubs!$B$2:$B$3001,A258))</f>
        <v/>
      </c>
      <c r="H258" s="26" t="str">
        <f aca="false">IF(A258="","",COUNTIF(Apparitions!$H$2:$H$5001,A258))</f>
        <v/>
      </c>
      <c r="I258" s="26" t="str">
        <f aca="false">IF(A258="","",COUNTIFS(Apparitions!$H$2:$H$5001,A258,Apparitions!$E$2:$E$5001,"○"))</f>
        <v/>
      </c>
      <c r="J258" s="29" t="str">
        <f aca="false">IF(A258="","",IFERROR(1/(1/_xlfn.MINIFS(Apparitions!$L$2:$L$5001,Apparitions!$H$2:$H$5001,A258)),""))</f>
        <v/>
      </c>
    </row>
    <row r="259" customFormat="false" ht="15" hidden="false" customHeight="false" outlineLevel="0" collapsed="false">
      <c r="A259" s="19"/>
      <c r="B259" s="19"/>
      <c r="C259" s="19"/>
      <c r="D259" s="19"/>
      <c r="E259" s="32"/>
      <c r="F259" s="19"/>
      <c r="G259" s="26" t="str">
        <f aca="false">IF(A259="","",COUNTIF(Pubs!$B$2:$B$3001,A259))</f>
        <v/>
      </c>
      <c r="H259" s="26" t="str">
        <f aca="false">IF(A259="","",COUNTIF(Apparitions!$H$2:$H$5001,A259))</f>
        <v/>
      </c>
      <c r="I259" s="26" t="str">
        <f aca="false">IF(A259="","",COUNTIFS(Apparitions!$H$2:$H$5001,A259,Apparitions!$E$2:$E$5001,"○"))</f>
        <v/>
      </c>
      <c r="J259" s="29" t="str">
        <f aca="false">IF(A259="","",IFERROR(1/(1/_xlfn.MINIFS(Apparitions!$L$2:$L$5001,Apparitions!$H$2:$H$5001,A259)),""))</f>
        <v/>
      </c>
    </row>
    <row r="260" customFormat="false" ht="15" hidden="false" customHeight="false" outlineLevel="0" collapsed="false">
      <c r="A260" s="19"/>
      <c r="B260" s="19"/>
      <c r="C260" s="19"/>
      <c r="D260" s="19"/>
      <c r="E260" s="32"/>
      <c r="F260" s="19"/>
      <c r="G260" s="26" t="str">
        <f aca="false">IF(A260="","",COUNTIF(Pubs!$B$2:$B$3001,A260))</f>
        <v/>
      </c>
      <c r="H260" s="26" t="str">
        <f aca="false">IF(A260="","",COUNTIF(Apparitions!$H$2:$H$5001,A260))</f>
        <v/>
      </c>
      <c r="I260" s="26" t="str">
        <f aca="false">IF(A260="","",COUNTIFS(Apparitions!$H$2:$H$5001,A260,Apparitions!$E$2:$E$5001,"○"))</f>
        <v/>
      </c>
      <c r="J260" s="29" t="str">
        <f aca="false">IF(A260="","",IFERROR(1/(1/_xlfn.MINIFS(Apparitions!$L$2:$L$5001,Apparitions!$H$2:$H$5001,A260)),""))</f>
        <v/>
      </c>
    </row>
    <row r="261" customFormat="false" ht="15" hidden="false" customHeight="false" outlineLevel="0" collapsed="false">
      <c r="A261" s="19"/>
      <c r="B261" s="19"/>
      <c r="C261" s="19"/>
      <c r="D261" s="19"/>
      <c r="E261" s="32"/>
      <c r="F261" s="19"/>
      <c r="G261" s="26" t="str">
        <f aca="false">IF(A261="","",COUNTIF(Pubs!$B$2:$B$3001,A261))</f>
        <v/>
      </c>
      <c r="H261" s="26" t="str">
        <f aca="false">IF(A261="","",COUNTIF(Apparitions!$H$2:$H$5001,A261))</f>
        <v/>
      </c>
      <c r="I261" s="26" t="str">
        <f aca="false">IF(A261="","",COUNTIFS(Apparitions!$H$2:$H$5001,A261,Apparitions!$E$2:$E$5001,"○"))</f>
        <v/>
      </c>
      <c r="J261" s="29" t="str">
        <f aca="false">IF(A261="","",IFERROR(1/(1/_xlfn.MINIFS(Apparitions!$L$2:$L$5001,Apparitions!$H$2:$H$5001,A261)),""))</f>
        <v/>
      </c>
    </row>
    <row r="262" customFormat="false" ht="15" hidden="false" customHeight="false" outlineLevel="0" collapsed="false">
      <c r="A262" s="19"/>
      <c r="B262" s="19"/>
      <c r="C262" s="19"/>
      <c r="D262" s="19"/>
      <c r="E262" s="32"/>
      <c r="F262" s="19"/>
      <c r="G262" s="26" t="str">
        <f aca="false">IF(A262="","",COUNTIF(Pubs!$B$2:$B$3001,A262))</f>
        <v/>
      </c>
      <c r="H262" s="26" t="str">
        <f aca="false">IF(A262="","",COUNTIF(Apparitions!$H$2:$H$5001,A262))</f>
        <v/>
      </c>
      <c r="I262" s="26" t="str">
        <f aca="false">IF(A262="","",COUNTIFS(Apparitions!$H$2:$H$5001,A262,Apparitions!$E$2:$E$5001,"○"))</f>
        <v/>
      </c>
      <c r="J262" s="29" t="str">
        <f aca="false">IF(A262="","",IFERROR(1/(1/_xlfn.MINIFS(Apparitions!$L$2:$L$5001,Apparitions!$H$2:$H$5001,A262)),""))</f>
        <v/>
      </c>
    </row>
    <row r="263" customFormat="false" ht="15" hidden="false" customHeight="false" outlineLevel="0" collapsed="false">
      <c r="A263" s="19"/>
      <c r="B263" s="19"/>
      <c r="C263" s="19"/>
      <c r="D263" s="19"/>
      <c r="E263" s="32"/>
      <c r="F263" s="19"/>
      <c r="G263" s="26" t="str">
        <f aca="false">IF(A263="","",COUNTIF(Pubs!$B$2:$B$3001,A263))</f>
        <v/>
      </c>
      <c r="H263" s="26" t="str">
        <f aca="false">IF(A263="","",COUNTIF(Apparitions!$H$2:$H$5001,A263))</f>
        <v/>
      </c>
      <c r="I263" s="26" t="str">
        <f aca="false">IF(A263="","",COUNTIFS(Apparitions!$H$2:$H$5001,A263,Apparitions!$E$2:$E$5001,"○"))</f>
        <v/>
      </c>
      <c r="J263" s="29" t="str">
        <f aca="false">IF(A263="","",IFERROR(1/(1/_xlfn.MINIFS(Apparitions!$L$2:$L$5001,Apparitions!$H$2:$H$5001,A263)),""))</f>
        <v/>
      </c>
    </row>
    <row r="264" customFormat="false" ht="15" hidden="false" customHeight="false" outlineLevel="0" collapsed="false">
      <c r="A264" s="19"/>
      <c r="B264" s="19"/>
      <c r="C264" s="19"/>
      <c r="D264" s="19"/>
      <c r="E264" s="32"/>
      <c r="F264" s="19"/>
      <c r="G264" s="26" t="str">
        <f aca="false">IF(A264="","",COUNTIF(Pubs!$B$2:$B$3001,A264))</f>
        <v/>
      </c>
      <c r="H264" s="26" t="str">
        <f aca="false">IF(A264="","",COUNTIF(Apparitions!$H$2:$H$5001,A264))</f>
        <v/>
      </c>
      <c r="I264" s="26" t="str">
        <f aca="false">IF(A264="","",COUNTIFS(Apparitions!$H$2:$H$5001,A264,Apparitions!$E$2:$E$5001,"○"))</f>
        <v/>
      </c>
      <c r="J264" s="29" t="str">
        <f aca="false">IF(A264="","",IFERROR(1/(1/_xlfn.MINIFS(Apparitions!$L$2:$L$5001,Apparitions!$H$2:$H$5001,A264)),""))</f>
        <v/>
      </c>
    </row>
    <row r="265" customFormat="false" ht="15" hidden="false" customHeight="false" outlineLevel="0" collapsed="false">
      <c r="A265" s="19"/>
      <c r="B265" s="19"/>
      <c r="C265" s="19"/>
      <c r="D265" s="19"/>
      <c r="E265" s="32"/>
      <c r="F265" s="19"/>
      <c r="G265" s="26" t="str">
        <f aca="false">IF(A265="","",COUNTIF(Pubs!$B$2:$B$3001,A265))</f>
        <v/>
      </c>
      <c r="H265" s="26" t="str">
        <f aca="false">IF(A265="","",COUNTIF(Apparitions!$H$2:$H$5001,A265))</f>
        <v/>
      </c>
      <c r="I265" s="26" t="str">
        <f aca="false">IF(A265="","",COUNTIFS(Apparitions!$H$2:$H$5001,A265,Apparitions!$E$2:$E$5001,"○"))</f>
        <v/>
      </c>
      <c r="J265" s="29" t="str">
        <f aca="false">IF(A265="","",IFERROR(1/(1/_xlfn.MINIFS(Apparitions!$L$2:$L$5001,Apparitions!$H$2:$H$5001,A265)),""))</f>
        <v/>
      </c>
    </row>
    <row r="266" customFormat="false" ht="15" hidden="false" customHeight="false" outlineLevel="0" collapsed="false">
      <c r="A266" s="19"/>
      <c r="B266" s="19"/>
      <c r="C266" s="19"/>
      <c r="D266" s="19"/>
      <c r="E266" s="32"/>
      <c r="F266" s="19"/>
      <c r="G266" s="26" t="str">
        <f aca="false">IF(A266="","",COUNTIF(Pubs!$B$2:$B$3001,A266))</f>
        <v/>
      </c>
      <c r="H266" s="26" t="str">
        <f aca="false">IF(A266="","",COUNTIF(Apparitions!$H$2:$H$5001,A266))</f>
        <v/>
      </c>
      <c r="I266" s="26" t="str">
        <f aca="false">IF(A266="","",COUNTIFS(Apparitions!$H$2:$H$5001,A266,Apparitions!$E$2:$E$5001,"○"))</f>
        <v/>
      </c>
      <c r="J266" s="29" t="str">
        <f aca="false">IF(A266="","",IFERROR(1/(1/_xlfn.MINIFS(Apparitions!$L$2:$L$5001,Apparitions!$H$2:$H$5001,A266)),""))</f>
        <v/>
      </c>
    </row>
    <row r="267" customFormat="false" ht="15" hidden="false" customHeight="false" outlineLevel="0" collapsed="false">
      <c r="A267" s="19"/>
      <c r="B267" s="19"/>
      <c r="C267" s="19"/>
      <c r="D267" s="19"/>
      <c r="E267" s="32"/>
      <c r="F267" s="19"/>
      <c r="G267" s="26" t="str">
        <f aca="false">IF(A267="","",COUNTIF(Pubs!$B$2:$B$3001,A267))</f>
        <v/>
      </c>
      <c r="H267" s="26" t="str">
        <f aca="false">IF(A267="","",COUNTIF(Apparitions!$H$2:$H$5001,A267))</f>
        <v/>
      </c>
      <c r="I267" s="26" t="str">
        <f aca="false">IF(A267="","",COUNTIFS(Apparitions!$H$2:$H$5001,A267,Apparitions!$E$2:$E$5001,"○"))</f>
        <v/>
      </c>
      <c r="J267" s="29" t="str">
        <f aca="false">IF(A267="","",IFERROR(1/(1/_xlfn.MINIFS(Apparitions!$L$2:$L$5001,Apparitions!$H$2:$H$5001,A267)),""))</f>
        <v/>
      </c>
    </row>
    <row r="268" customFormat="false" ht="15" hidden="false" customHeight="false" outlineLevel="0" collapsed="false">
      <c r="A268" s="19"/>
      <c r="B268" s="19"/>
      <c r="C268" s="19"/>
      <c r="D268" s="19"/>
      <c r="E268" s="32"/>
      <c r="F268" s="19"/>
      <c r="G268" s="26" t="str">
        <f aca="false">IF(A268="","",COUNTIF(Pubs!$B$2:$B$3001,A268))</f>
        <v/>
      </c>
      <c r="H268" s="26" t="str">
        <f aca="false">IF(A268="","",COUNTIF(Apparitions!$H$2:$H$5001,A268))</f>
        <v/>
      </c>
      <c r="I268" s="26" t="str">
        <f aca="false">IF(A268="","",COUNTIFS(Apparitions!$H$2:$H$5001,A268,Apparitions!$E$2:$E$5001,"○"))</f>
        <v/>
      </c>
      <c r="J268" s="29" t="str">
        <f aca="false">IF(A268="","",IFERROR(1/(1/_xlfn.MINIFS(Apparitions!$L$2:$L$5001,Apparitions!$H$2:$H$5001,A268)),""))</f>
        <v/>
      </c>
    </row>
    <row r="269" customFormat="false" ht="15" hidden="false" customHeight="false" outlineLevel="0" collapsed="false">
      <c r="A269" s="19"/>
      <c r="B269" s="19"/>
      <c r="C269" s="19"/>
      <c r="D269" s="19"/>
      <c r="E269" s="32"/>
      <c r="F269" s="19"/>
      <c r="G269" s="26" t="str">
        <f aca="false">IF(A269="","",COUNTIF(Pubs!$B$2:$B$3001,A269))</f>
        <v/>
      </c>
      <c r="H269" s="26" t="str">
        <f aca="false">IF(A269="","",COUNTIF(Apparitions!$H$2:$H$5001,A269))</f>
        <v/>
      </c>
      <c r="I269" s="26" t="str">
        <f aca="false">IF(A269="","",COUNTIFS(Apparitions!$H$2:$H$5001,A269,Apparitions!$E$2:$E$5001,"○"))</f>
        <v/>
      </c>
      <c r="J269" s="29" t="str">
        <f aca="false">IF(A269="","",IFERROR(1/(1/_xlfn.MINIFS(Apparitions!$L$2:$L$5001,Apparitions!$H$2:$H$5001,A269)),""))</f>
        <v/>
      </c>
    </row>
    <row r="270" customFormat="false" ht="15" hidden="false" customHeight="false" outlineLevel="0" collapsed="false">
      <c r="A270" s="19"/>
      <c r="B270" s="19"/>
      <c r="C270" s="19"/>
      <c r="D270" s="19"/>
      <c r="E270" s="32"/>
      <c r="F270" s="19"/>
      <c r="G270" s="26" t="str">
        <f aca="false">IF(A270="","",COUNTIF(Pubs!$B$2:$B$3001,A270))</f>
        <v/>
      </c>
      <c r="H270" s="26" t="str">
        <f aca="false">IF(A270="","",COUNTIF(Apparitions!$H$2:$H$5001,A270))</f>
        <v/>
      </c>
      <c r="I270" s="26" t="str">
        <f aca="false">IF(A270="","",COUNTIFS(Apparitions!$H$2:$H$5001,A270,Apparitions!$E$2:$E$5001,"○"))</f>
        <v/>
      </c>
      <c r="J270" s="29" t="str">
        <f aca="false">IF(A270="","",IFERROR(1/(1/_xlfn.MINIFS(Apparitions!$L$2:$L$5001,Apparitions!$H$2:$H$5001,A270)),""))</f>
        <v/>
      </c>
    </row>
    <row r="271" customFormat="false" ht="15" hidden="false" customHeight="false" outlineLevel="0" collapsed="false">
      <c r="A271" s="19"/>
      <c r="B271" s="19"/>
      <c r="C271" s="19"/>
      <c r="D271" s="19"/>
      <c r="E271" s="32"/>
      <c r="F271" s="19"/>
      <c r="G271" s="26" t="str">
        <f aca="false">IF(A271="","",COUNTIF(Pubs!$B$2:$B$3001,A271))</f>
        <v/>
      </c>
      <c r="H271" s="26" t="str">
        <f aca="false">IF(A271="","",COUNTIF(Apparitions!$H$2:$H$5001,A271))</f>
        <v/>
      </c>
      <c r="I271" s="26" t="str">
        <f aca="false">IF(A271="","",COUNTIFS(Apparitions!$H$2:$H$5001,A271,Apparitions!$E$2:$E$5001,"○"))</f>
        <v/>
      </c>
      <c r="J271" s="29" t="str">
        <f aca="false">IF(A271="","",IFERROR(1/(1/_xlfn.MINIFS(Apparitions!$L$2:$L$5001,Apparitions!$H$2:$H$5001,A271)),""))</f>
        <v/>
      </c>
    </row>
    <row r="272" customFormat="false" ht="15" hidden="false" customHeight="false" outlineLevel="0" collapsed="false">
      <c r="A272" s="19"/>
      <c r="B272" s="19"/>
      <c r="C272" s="19"/>
      <c r="D272" s="19"/>
      <c r="E272" s="32"/>
      <c r="F272" s="19"/>
      <c r="G272" s="26" t="str">
        <f aca="false">IF(A272="","",COUNTIF(Pubs!$B$2:$B$3001,A272))</f>
        <v/>
      </c>
      <c r="H272" s="26" t="str">
        <f aca="false">IF(A272="","",COUNTIF(Apparitions!$H$2:$H$5001,A272))</f>
        <v/>
      </c>
      <c r="I272" s="26" t="str">
        <f aca="false">IF(A272="","",COUNTIFS(Apparitions!$H$2:$H$5001,A272,Apparitions!$E$2:$E$5001,"○"))</f>
        <v/>
      </c>
      <c r="J272" s="29" t="str">
        <f aca="false">IF(A272="","",IFERROR(1/(1/_xlfn.MINIFS(Apparitions!$L$2:$L$5001,Apparitions!$H$2:$H$5001,A272)),""))</f>
        <v/>
      </c>
    </row>
    <row r="273" customFormat="false" ht="15" hidden="false" customHeight="false" outlineLevel="0" collapsed="false">
      <c r="A273" s="19"/>
      <c r="B273" s="19"/>
      <c r="C273" s="19"/>
      <c r="D273" s="19"/>
      <c r="E273" s="32"/>
      <c r="F273" s="19"/>
      <c r="G273" s="26" t="str">
        <f aca="false">IF(A273="","",COUNTIF(Pubs!$B$2:$B$3001,A273))</f>
        <v/>
      </c>
      <c r="H273" s="26" t="str">
        <f aca="false">IF(A273="","",COUNTIF(Apparitions!$H$2:$H$5001,A273))</f>
        <v/>
      </c>
      <c r="I273" s="26" t="str">
        <f aca="false">IF(A273="","",COUNTIFS(Apparitions!$H$2:$H$5001,A273,Apparitions!$E$2:$E$5001,"○"))</f>
        <v/>
      </c>
      <c r="J273" s="29" t="str">
        <f aca="false">IF(A273="","",IFERROR(1/(1/_xlfn.MINIFS(Apparitions!$L$2:$L$5001,Apparitions!$H$2:$H$5001,A273)),""))</f>
        <v/>
      </c>
    </row>
    <row r="274" customFormat="false" ht="15" hidden="false" customHeight="false" outlineLevel="0" collapsed="false">
      <c r="A274" s="19"/>
      <c r="B274" s="19"/>
      <c r="C274" s="19"/>
      <c r="D274" s="19"/>
      <c r="E274" s="32"/>
      <c r="F274" s="19"/>
      <c r="G274" s="26" t="str">
        <f aca="false">IF(A274="","",COUNTIF(Pubs!$B$2:$B$3001,A274))</f>
        <v/>
      </c>
      <c r="H274" s="26" t="str">
        <f aca="false">IF(A274="","",COUNTIF(Apparitions!$H$2:$H$5001,A274))</f>
        <v/>
      </c>
      <c r="I274" s="26" t="str">
        <f aca="false">IF(A274="","",COUNTIFS(Apparitions!$H$2:$H$5001,A274,Apparitions!$E$2:$E$5001,"○"))</f>
        <v/>
      </c>
      <c r="J274" s="29" t="str">
        <f aca="false">IF(A274="","",IFERROR(1/(1/_xlfn.MINIFS(Apparitions!$L$2:$L$5001,Apparitions!$H$2:$H$5001,A274)),""))</f>
        <v/>
      </c>
    </row>
    <row r="275" customFormat="false" ht="15" hidden="false" customHeight="false" outlineLevel="0" collapsed="false">
      <c r="A275" s="19"/>
      <c r="B275" s="19"/>
      <c r="C275" s="19"/>
      <c r="D275" s="19"/>
      <c r="E275" s="32"/>
      <c r="F275" s="19"/>
      <c r="G275" s="26" t="str">
        <f aca="false">IF(A275="","",COUNTIF(Pubs!$B$2:$B$3001,A275))</f>
        <v/>
      </c>
      <c r="H275" s="26" t="str">
        <f aca="false">IF(A275="","",COUNTIF(Apparitions!$H$2:$H$5001,A275))</f>
        <v/>
      </c>
      <c r="I275" s="26" t="str">
        <f aca="false">IF(A275="","",COUNTIFS(Apparitions!$H$2:$H$5001,A275,Apparitions!$E$2:$E$5001,"○"))</f>
        <v/>
      </c>
      <c r="J275" s="29" t="str">
        <f aca="false">IF(A275="","",IFERROR(1/(1/_xlfn.MINIFS(Apparitions!$L$2:$L$5001,Apparitions!$H$2:$H$5001,A275)),""))</f>
        <v/>
      </c>
    </row>
    <row r="276" customFormat="false" ht="15" hidden="false" customHeight="false" outlineLevel="0" collapsed="false">
      <c r="A276" s="19"/>
      <c r="B276" s="19"/>
      <c r="C276" s="19"/>
      <c r="D276" s="19"/>
      <c r="E276" s="32"/>
      <c r="F276" s="19"/>
      <c r="G276" s="26" t="str">
        <f aca="false">IF(A276="","",COUNTIF(Pubs!$B$2:$B$3001,A276))</f>
        <v/>
      </c>
      <c r="H276" s="26" t="str">
        <f aca="false">IF(A276="","",COUNTIF(Apparitions!$H$2:$H$5001,A276))</f>
        <v/>
      </c>
      <c r="I276" s="26" t="str">
        <f aca="false">IF(A276="","",COUNTIFS(Apparitions!$H$2:$H$5001,A276,Apparitions!$E$2:$E$5001,"○"))</f>
        <v/>
      </c>
      <c r="J276" s="29" t="str">
        <f aca="false">IF(A276="","",IFERROR(1/(1/_xlfn.MINIFS(Apparitions!$L$2:$L$5001,Apparitions!$H$2:$H$5001,A276)),""))</f>
        <v/>
      </c>
    </row>
    <row r="277" customFormat="false" ht="15" hidden="false" customHeight="false" outlineLevel="0" collapsed="false">
      <c r="A277" s="19"/>
      <c r="B277" s="19"/>
      <c r="C277" s="19"/>
      <c r="D277" s="19"/>
      <c r="E277" s="32"/>
      <c r="F277" s="19"/>
      <c r="G277" s="26" t="str">
        <f aca="false">IF(A277="","",COUNTIF(Pubs!$B$2:$B$3001,A277))</f>
        <v/>
      </c>
      <c r="H277" s="26" t="str">
        <f aca="false">IF(A277="","",COUNTIF(Apparitions!$H$2:$H$5001,A277))</f>
        <v/>
      </c>
      <c r="I277" s="26" t="str">
        <f aca="false">IF(A277="","",COUNTIFS(Apparitions!$H$2:$H$5001,A277,Apparitions!$E$2:$E$5001,"○"))</f>
        <v/>
      </c>
      <c r="J277" s="29" t="str">
        <f aca="false">IF(A277="","",IFERROR(1/(1/_xlfn.MINIFS(Apparitions!$L$2:$L$5001,Apparitions!$H$2:$H$5001,A277)),""))</f>
        <v/>
      </c>
    </row>
    <row r="278" customFormat="false" ht="15" hidden="false" customHeight="false" outlineLevel="0" collapsed="false">
      <c r="A278" s="19"/>
      <c r="B278" s="19"/>
      <c r="C278" s="19"/>
      <c r="D278" s="19"/>
      <c r="E278" s="32"/>
      <c r="F278" s="19"/>
      <c r="G278" s="26" t="str">
        <f aca="false">IF(A278="","",COUNTIF(Pubs!$B$2:$B$3001,A278))</f>
        <v/>
      </c>
      <c r="H278" s="26" t="str">
        <f aca="false">IF(A278="","",COUNTIF(Apparitions!$H$2:$H$5001,A278))</f>
        <v/>
      </c>
      <c r="I278" s="26" t="str">
        <f aca="false">IF(A278="","",COUNTIFS(Apparitions!$H$2:$H$5001,A278,Apparitions!$E$2:$E$5001,"○"))</f>
        <v/>
      </c>
      <c r="J278" s="29" t="str">
        <f aca="false">IF(A278="","",IFERROR(1/(1/_xlfn.MINIFS(Apparitions!$L$2:$L$5001,Apparitions!$H$2:$H$5001,A278)),""))</f>
        <v/>
      </c>
    </row>
    <row r="279" customFormat="false" ht="15" hidden="false" customHeight="false" outlineLevel="0" collapsed="false">
      <c r="A279" s="19"/>
      <c r="B279" s="19"/>
      <c r="C279" s="19"/>
      <c r="D279" s="19"/>
      <c r="E279" s="32"/>
      <c r="F279" s="19"/>
      <c r="G279" s="26" t="str">
        <f aca="false">IF(A279="","",COUNTIF(Pubs!$B$2:$B$3001,A279))</f>
        <v/>
      </c>
      <c r="H279" s="26" t="str">
        <f aca="false">IF(A279="","",COUNTIF(Apparitions!$H$2:$H$5001,A279))</f>
        <v/>
      </c>
      <c r="I279" s="26" t="str">
        <f aca="false">IF(A279="","",COUNTIFS(Apparitions!$H$2:$H$5001,A279,Apparitions!$E$2:$E$5001,"○"))</f>
        <v/>
      </c>
      <c r="J279" s="29" t="str">
        <f aca="false">IF(A279="","",IFERROR(1/(1/_xlfn.MINIFS(Apparitions!$L$2:$L$5001,Apparitions!$H$2:$H$5001,A279)),""))</f>
        <v/>
      </c>
    </row>
    <row r="280" customFormat="false" ht="15" hidden="false" customHeight="false" outlineLevel="0" collapsed="false">
      <c r="A280" s="19"/>
      <c r="B280" s="19"/>
      <c r="C280" s="19"/>
      <c r="D280" s="19"/>
      <c r="E280" s="32"/>
      <c r="F280" s="19"/>
      <c r="G280" s="26" t="str">
        <f aca="false">IF(A280="","",COUNTIF(Pubs!$B$2:$B$3001,A280))</f>
        <v/>
      </c>
      <c r="H280" s="26" t="str">
        <f aca="false">IF(A280="","",COUNTIF(Apparitions!$H$2:$H$5001,A280))</f>
        <v/>
      </c>
      <c r="I280" s="26" t="str">
        <f aca="false">IF(A280="","",COUNTIFS(Apparitions!$H$2:$H$5001,A280,Apparitions!$E$2:$E$5001,"○"))</f>
        <v/>
      </c>
      <c r="J280" s="29" t="str">
        <f aca="false">IF(A280="","",IFERROR(1/(1/_xlfn.MINIFS(Apparitions!$L$2:$L$5001,Apparitions!$H$2:$H$5001,A280)),""))</f>
        <v/>
      </c>
    </row>
    <row r="281" customFormat="false" ht="15" hidden="false" customHeight="false" outlineLevel="0" collapsed="false">
      <c r="A281" s="19"/>
      <c r="B281" s="19"/>
      <c r="C281" s="19"/>
      <c r="D281" s="19"/>
      <c r="E281" s="32"/>
      <c r="F281" s="19"/>
      <c r="G281" s="26" t="str">
        <f aca="false">IF(A281="","",COUNTIF(Pubs!$B$2:$B$3001,A281))</f>
        <v/>
      </c>
      <c r="H281" s="26" t="str">
        <f aca="false">IF(A281="","",COUNTIF(Apparitions!$H$2:$H$5001,A281))</f>
        <v/>
      </c>
      <c r="I281" s="26" t="str">
        <f aca="false">IF(A281="","",COUNTIFS(Apparitions!$H$2:$H$5001,A281,Apparitions!$E$2:$E$5001,"○"))</f>
        <v/>
      </c>
      <c r="J281" s="29" t="str">
        <f aca="false">IF(A281="","",IFERROR(1/(1/_xlfn.MINIFS(Apparitions!$L$2:$L$5001,Apparitions!$H$2:$H$5001,A281)),""))</f>
        <v/>
      </c>
    </row>
    <row r="282" customFormat="false" ht="15" hidden="false" customHeight="false" outlineLevel="0" collapsed="false">
      <c r="A282" s="19"/>
      <c r="B282" s="19"/>
      <c r="C282" s="19"/>
      <c r="D282" s="19"/>
      <c r="E282" s="32"/>
      <c r="F282" s="19"/>
      <c r="G282" s="26" t="str">
        <f aca="false">IF(A282="","",COUNTIF(Pubs!$B$2:$B$3001,A282))</f>
        <v/>
      </c>
      <c r="H282" s="26" t="str">
        <f aca="false">IF(A282="","",COUNTIF(Apparitions!$H$2:$H$5001,A282))</f>
        <v/>
      </c>
      <c r="I282" s="26" t="str">
        <f aca="false">IF(A282="","",COUNTIFS(Apparitions!$H$2:$H$5001,A282,Apparitions!$E$2:$E$5001,"○"))</f>
        <v/>
      </c>
      <c r="J282" s="29" t="str">
        <f aca="false">IF(A282="","",IFERROR(1/(1/_xlfn.MINIFS(Apparitions!$L$2:$L$5001,Apparitions!$H$2:$H$5001,A282)),""))</f>
        <v/>
      </c>
    </row>
    <row r="283" customFormat="false" ht="15" hidden="false" customHeight="false" outlineLevel="0" collapsed="false">
      <c r="A283" s="19"/>
      <c r="B283" s="19"/>
      <c r="C283" s="19"/>
      <c r="D283" s="19"/>
      <c r="E283" s="32"/>
      <c r="F283" s="19"/>
      <c r="G283" s="26" t="str">
        <f aca="false">IF(A283="","",COUNTIF(Pubs!$B$2:$B$3001,A283))</f>
        <v/>
      </c>
      <c r="H283" s="26" t="str">
        <f aca="false">IF(A283="","",COUNTIF(Apparitions!$H$2:$H$5001,A283))</f>
        <v/>
      </c>
      <c r="I283" s="26" t="str">
        <f aca="false">IF(A283="","",COUNTIFS(Apparitions!$H$2:$H$5001,A283,Apparitions!$E$2:$E$5001,"○"))</f>
        <v/>
      </c>
      <c r="J283" s="29" t="str">
        <f aca="false">IF(A283="","",IFERROR(1/(1/_xlfn.MINIFS(Apparitions!$L$2:$L$5001,Apparitions!$H$2:$H$5001,A283)),""))</f>
        <v/>
      </c>
    </row>
    <row r="284" customFormat="false" ht="15" hidden="false" customHeight="false" outlineLevel="0" collapsed="false">
      <c r="A284" s="19"/>
      <c r="B284" s="19"/>
      <c r="C284" s="19"/>
      <c r="D284" s="19"/>
      <c r="E284" s="32"/>
      <c r="F284" s="19"/>
      <c r="G284" s="26" t="str">
        <f aca="false">IF(A284="","",COUNTIF(Pubs!$B$2:$B$3001,A284))</f>
        <v/>
      </c>
      <c r="H284" s="26" t="str">
        <f aca="false">IF(A284="","",COUNTIF(Apparitions!$H$2:$H$5001,A284))</f>
        <v/>
      </c>
      <c r="I284" s="26" t="str">
        <f aca="false">IF(A284="","",COUNTIFS(Apparitions!$H$2:$H$5001,A284,Apparitions!$E$2:$E$5001,"○"))</f>
        <v/>
      </c>
      <c r="J284" s="29" t="str">
        <f aca="false">IF(A284="","",IFERROR(1/(1/_xlfn.MINIFS(Apparitions!$L$2:$L$5001,Apparitions!$H$2:$H$5001,A284)),""))</f>
        <v/>
      </c>
    </row>
    <row r="285" customFormat="false" ht="15" hidden="false" customHeight="false" outlineLevel="0" collapsed="false">
      <c r="A285" s="19"/>
      <c r="B285" s="19"/>
      <c r="C285" s="19"/>
      <c r="D285" s="19"/>
      <c r="E285" s="32"/>
      <c r="F285" s="19"/>
      <c r="G285" s="26" t="str">
        <f aca="false">IF(A285="","",COUNTIF(Pubs!$B$2:$B$3001,A285))</f>
        <v/>
      </c>
      <c r="H285" s="26" t="str">
        <f aca="false">IF(A285="","",COUNTIF(Apparitions!$H$2:$H$5001,A285))</f>
        <v/>
      </c>
      <c r="I285" s="26" t="str">
        <f aca="false">IF(A285="","",COUNTIFS(Apparitions!$H$2:$H$5001,A285,Apparitions!$E$2:$E$5001,"○"))</f>
        <v/>
      </c>
      <c r="J285" s="29" t="str">
        <f aca="false">IF(A285="","",IFERROR(1/(1/_xlfn.MINIFS(Apparitions!$L$2:$L$5001,Apparitions!$H$2:$H$5001,A285)),""))</f>
        <v/>
      </c>
    </row>
    <row r="286" customFormat="false" ht="15" hidden="false" customHeight="false" outlineLevel="0" collapsed="false">
      <c r="A286" s="19"/>
      <c r="B286" s="19"/>
      <c r="C286" s="19"/>
      <c r="D286" s="19"/>
      <c r="E286" s="32"/>
      <c r="F286" s="19"/>
      <c r="G286" s="26" t="str">
        <f aca="false">IF(A286="","",COUNTIF(Pubs!$B$2:$B$3001,A286))</f>
        <v/>
      </c>
      <c r="H286" s="26" t="str">
        <f aca="false">IF(A286="","",COUNTIF(Apparitions!$H$2:$H$5001,A286))</f>
        <v/>
      </c>
      <c r="I286" s="26" t="str">
        <f aca="false">IF(A286="","",COUNTIFS(Apparitions!$H$2:$H$5001,A286,Apparitions!$E$2:$E$5001,"○"))</f>
        <v/>
      </c>
      <c r="J286" s="29" t="str">
        <f aca="false">IF(A286="","",IFERROR(1/(1/_xlfn.MINIFS(Apparitions!$L$2:$L$5001,Apparitions!$H$2:$H$5001,A286)),""))</f>
        <v/>
      </c>
    </row>
    <row r="287" customFormat="false" ht="15" hidden="false" customHeight="false" outlineLevel="0" collapsed="false">
      <c r="A287" s="19"/>
      <c r="B287" s="19"/>
      <c r="C287" s="19"/>
      <c r="D287" s="19"/>
      <c r="E287" s="32"/>
      <c r="F287" s="19"/>
      <c r="G287" s="26" t="str">
        <f aca="false">IF(A287="","",COUNTIF(Pubs!$B$2:$B$3001,A287))</f>
        <v/>
      </c>
      <c r="H287" s="26" t="str">
        <f aca="false">IF(A287="","",COUNTIF(Apparitions!$H$2:$H$5001,A287))</f>
        <v/>
      </c>
      <c r="I287" s="26" t="str">
        <f aca="false">IF(A287="","",COUNTIFS(Apparitions!$H$2:$H$5001,A287,Apparitions!$E$2:$E$5001,"○"))</f>
        <v/>
      </c>
      <c r="J287" s="29" t="str">
        <f aca="false">IF(A287="","",IFERROR(1/(1/_xlfn.MINIFS(Apparitions!$L$2:$L$5001,Apparitions!$H$2:$H$5001,A287)),""))</f>
        <v/>
      </c>
    </row>
    <row r="288" customFormat="false" ht="15" hidden="false" customHeight="false" outlineLevel="0" collapsed="false">
      <c r="A288" s="19"/>
      <c r="B288" s="19"/>
      <c r="C288" s="19"/>
      <c r="D288" s="19"/>
      <c r="E288" s="32"/>
      <c r="F288" s="19"/>
      <c r="G288" s="26" t="str">
        <f aca="false">IF(A288="","",COUNTIF(Pubs!$B$2:$B$3001,A288))</f>
        <v/>
      </c>
      <c r="H288" s="26" t="str">
        <f aca="false">IF(A288="","",COUNTIF(Apparitions!$H$2:$H$5001,A288))</f>
        <v/>
      </c>
      <c r="I288" s="26" t="str">
        <f aca="false">IF(A288="","",COUNTIFS(Apparitions!$H$2:$H$5001,A288,Apparitions!$E$2:$E$5001,"○"))</f>
        <v/>
      </c>
      <c r="J288" s="29" t="str">
        <f aca="false">IF(A288="","",IFERROR(1/(1/_xlfn.MINIFS(Apparitions!$L$2:$L$5001,Apparitions!$H$2:$H$5001,A288)),""))</f>
        <v/>
      </c>
    </row>
    <row r="289" customFormat="false" ht="15" hidden="false" customHeight="false" outlineLevel="0" collapsed="false">
      <c r="A289" s="19"/>
      <c r="B289" s="19"/>
      <c r="C289" s="19"/>
      <c r="D289" s="19"/>
      <c r="E289" s="32"/>
      <c r="F289" s="19"/>
      <c r="G289" s="26" t="str">
        <f aca="false">IF(A289="","",COUNTIF(Pubs!$B$2:$B$3001,A289))</f>
        <v/>
      </c>
      <c r="H289" s="26" t="str">
        <f aca="false">IF(A289="","",COUNTIF(Apparitions!$H$2:$H$5001,A289))</f>
        <v/>
      </c>
      <c r="I289" s="26" t="str">
        <f aca="false">IF(A289="","",COUNTIFS(Apparitions!$H$2:$H$5001,A289,Apparitions!$E$2:$E$5001,"○"))</f>
        <v/>
      </c>
      <c r="J289" s="29" t="str">
        <f aca="false">IF(A289="","",IFERROR(1/(1/_xlfn.MINIFS(Apparitions!$L$2:$L$5001,Apparitions!$H$2:$H$5001,A289)),""))</f>
        <v/>
      </c>
    </row>
    <row r="290" customFormat="false" ht="15" hidden="false" customHeight="false" outlineLevel="0" collapsed="false">
      <c r="A290" s="19"/>
      <c r="B290" s="19"/>
      <c r="C290" s="19"/>
      <c r="D290" s="19"/>
      <c r="E290" s="32"/>
      <c r="F290" s="19"/>
      <c r="G290" s="26" t="str">
        <f aca="false">IF(A290="","",COUNTIF(Pubs!$B$2:$B$3001,A290))</f>
        <v/>
      </c>
      <c r="H290" s="26" t="str">
        <f aca="false">IF(A290="","",COUNTIF(Apparitions!$H$2:$H$5001,A290))</f>
        <v/>
      </c>
      <c r="I290" s="26" t="str">
        <f aca="false">IF(A290="","",COUNTIFS(Apparitions!$H$2:$H$5001,A290,Apparitions!$E$2:$E$5001,"○"))</f>
        <v/>
      </c>
      <c r="J290" s="29" t="str">
        <f aca="false">IF(A290="","",IFERROR(1/(1/_xlfn.MINIFS(Apparitions!$L$2:$L$5001,Apparitions!$H$2:$H$5001,A290)),""))</f>
        <v/>
      </c>
    </row>
    <row r="291" customFormat="false" ht="15" hidden="false" customHeight="false" outlineLevel="0" collapsed="false">
      <c r="A291" s="19"/>
      <c r="B291" s="19"/>
      <c r="C291" s="19"/>
      <c r="D291" s="19"/>
      <c r="E291" s="32"/>
      <c r="F291" s="19"/>
      <c r="G291" s="26" t="str">
        <f aca="false">IF(A291="","",COUNTIF(Pubs!$B$2:$B$3001,A291))</f>
        <v/>
      </c>
      <c r="H291" s="26" t="str">
        <f aca="false">IF(A291="","",COUNTIF(Apparitions!$H$2:$H$5001,A291))</f>
        <v/>
      </c>
      <c r="I291" s="26" t="str">
        <f aca="false">IF(A291="","",COUNTIFS(Apparitions!$H$2:$H$5001,A291,Apparitions!$E$2:$E$5001,"○"))</f>
        <v/>
      </c>
      <c r="J291" s="29" t="str">
        <f aca="false">IF(A291="","",IFERROR(1/(1/_xlfn.MINIFS(Apparitions!$L$2:$L$5001,Apparitions!$H$2:$H$5001,A291)),""))</f>
        <v/>
      </c>
    </row>
    <row r="292" customFormat="false" ht="15" hidden="false" customHeight="false" outlineLevel="0" collapsed="false">
      <c r="A292" s="19"/>
      <c r="B292" s="19"/>
      <c r="C292" s="19"/>
      <c r="D292" s="19"/>
      <c r="E292" s="32"/>
      <c r="F292" s="19"/>
      <c r="G292" s="26" t="str">
        <f aca="false">IF(A292="","",COUNTIF(Pubs!$B$2:$B$3001,A292))</f>
        <v/>
      </c>
      <c r="H292" s="26" t="str">
        <f aca="false">IF(A292="","",COUNTIF(Apparitions!$H$2:$H$5001,A292))</f>
        <v/>
      </c>
      <c r="I292" s="26" t="str">
        <f aca="false">IF(A292="","",COUNTIFS(Apparitions!$H$2:$H$5001,A292,Apparitions!$E$2:$E$5001,"○"))</f>
        <v/>
      </c>
      <c r="J292" s="29" t="str">
        <f aca="false">IF(A292="","",IFERROR(1/(1/_xlfn.MINIFS(Apparitions!$L$2:$L$5001,Apparitions!$H$2:$H$5001,A292)),""))</f>
        <v/>
      </c>
    </row>
    <row r="293" customFormat="false" ht="15" hidden="false" customHeight="false" outlineLevel="0" collapsed="false">
      <c r="A293" s="19"/>
      <c r="B293" s="19"/>
      <c r="C293" s="19"/>
      <c r="D293" s="19"/>
      <c r="E293" s="32"/>
      <c r="F293" s="19"/>
      <c r="G293" s="26" t="str">
        <f aca="false">IF(A293="","",COUNTIF(Pubs!$B$2:$B$3001,A293))</f>
        <v/>
      </c>
      <c r="H293" s="26" t="str">
        <f aca="false">IF(A293="","",COUNTIF(Apparitions!$H$2:$H$5001,A293))</f>
        <v/>
      </c>
      <c r="I293" s="26" t="str">
        <f aca="false">IF(A293="","",COUNTIFS(Apparitions!$H$2:$H$5001,A293,Apparitions!$E$2:$E$5001,"○"))</f>
        <v/>
      </c>
      <c r="J293" s="29" t="str">
        <f aca="false">IF(A293="","",IFERROR(1/(1/_xlfn.MINIFS(Apparitions!$L$2:$L$5001,Apparitions!$H$2:$H$5001,A293)),""))</f>
        <v/>
      </c>
    </row>
    <row r="294" customFormat="false" ht="15" hidden="false" customHeight="false" outlineLevel="0" collapsed="false">
      <c r="A294" s="19"/>
      <c r="B294" s="19"/>
      <c r="C294" s="19"/>
      <c r="D294" s="19"/>
      <c r="E294" s="32"/>
      <c r="F294" s="19"/>
      <c r="G294" s="26" t="str">
        <f aca="false">IF(A294="","",COUNTIF(Pubs!$B$2:$B$3001,A294))</f>
        <v/>
      </c>
      <c r="H294" s="26" t="str">
        <f aca="false">IF(A294="","",COUNTIF(Apparitions!$H$2:$H$5001,A294))</f>
        <v/>
      </c>
      <c r="I294" s="26" t="str">
        <f aca="false">IF(A294="","",COUNTIFS(Apparitions!$H$2:$H$5001,A294,Apparitions!$E$2:$E$5001,"○"))</f>
        <v/>
      </c>
      <c r="J294" s="29" t="str">
        <f aca="false">IF(A294="","",IFERROR(1/(1/_xlfn.MINIFS(Apparitions!$L$2:$L$5001,Apparitions!$H$2:$H$5001,A294)),""))</f>
        <v/>
      </c>
    </row>
    <row r="295" customFormat="false" ht="15" hidden="false" customHeight="false" outlineLevel="0" collapsed="false">
      <c r="A295" s="19"/>
      <c r="B295" s="19"/>
      <c r="C295" s="19"/>
      <c r="D295" s="19"/>
      <c r="E295" s="32"/>
      <c r="F295" s="19"/>
      <c r="G295" s="26" t="str">
        <f aca="false">IF(A295="","",COUNTIF(Pubs!$B$2:$B$3001,A295))</f>
        <v/>
      </c>
      <c r="H295" s="26" t="str">
        <f aca="false">IF(A295="","",COUNTIF(Apparitions!$H$2:$H$5001,A295))</f>
        <v/>
      </c>
      <c r="I295" s="26" t="str">
        <f aca="false">IF(A295="","",COUNTIFS(Apparitions!$H$2:$H$5001,A295,Apparitions!$E$2:$E$5001,"○"))</f>
        <v/>
      </c>
      <c r="J295" s="29" t="str">
        <f aca="false">IF(A295="","",IFERROR(1/(1/_xlfn.MINIFS(Apparitions!$L$2:$L$5001,Apparitions!$H$2:$H$5001,A295)),""))</f>
        <v/>
      </c>
    </row>
    <row r="296" customFormat="false" ht="15" hidden="false" customHeight="false" outlineLevel="0" collapsed="false">
      <c r="A296" s="19"/>
      <c r="B296" s="19"/>
      <c r="C296" s="19"/>
      <c r="D296" s="19"/>
      <c r="E296" s="32"/>
      <c r="F296" s="19"/>
      <c r="G296" s="26" t="str">
        <f aca="false">IF(A296="","",COUNTIF(Pubs!$B$2:$B$3001,A296))</f>
        <v/>
      </c>
      <c r="H296" s="26" t="str">
        <f aca="false">IF(A296="","",COUNTIF(Apparitions!$H$2:$H$5001,A296))</f>
        <v/>
      </c>
      <c r="I296" s="26" t="str">
        <f aca="false">IF(A296="","",COUNTIFS(Apparitions!$H$2:$H$5001,A296,Apparitions!$E$2:$E$5001,"○"))</f>
        <v/>
      </c>
      <c r="J296" s="29" t="str">
        <f aca="false">IF(A296="","",IFERROR(1/(1/_xlfn.MINIFS(Apparitions!$L$2:$L$5001,Apparitions!$H$2:$H$5001,A296)),""))</f>
        <v/>
      </c>
    </row>
    <row r="297" customFormat="false" ht="15" hidden="false" customHeight="false" outlineLevel="0" collapsed="false">
      <c r="A297" s="19"/>
      <c r="B297" s="19"/>
      <c r="C297" s="19"/>
      <c r="D297" s="19"/>
      <c r="E297" s="32"/>
      <c r="F297" s="19"/>
      <c r="G297" s="26" t="str">
        <f aca="false">IF(A297="","",COUNTIF(Pubs!$B$2:$B$3001,A297))</f>
        <v/>
      </c>
      <c r="H297" s="26" t="str">
        <f aca="false">IF(A297="","",COUNTIF(Apparitions!$H$2:$H$5001,A297))</f>
        <v/>
      </c>
      <c r="I297" s="26" t="str">
        <f aca="false">IF(A297="","",COUNTIFS(Apparitions!$H$2:$H$5001,A297,Apparitions!$E$2:$E$5001,"○"))</f>
        <v/>
      </c>
      <c r="J297" s="29" t="str">
        <f aca="false">IF(A297="","",IFERROR(1/(1/_xlfn.MINIFS(Apparitions!$L$2:$L$5001,Apparitions!$H$2:$H$5001,A297)),""))</f>
        <v/>
      </c>
    </row>
    <row r="298" customFormat="false" ht="15" hidden="false" customHeight="false" outlineLevel="0" collapsed="false">
      <c r="A298" s="19"/>
      <c r="B298" s="19"/>
      <c r="C298" s="19"/>
      <c r="D298" s="19"/>
      <c r="E298" s="32"/>
      <c r="F298" s="19"/>
      <c r="G298" s="26" t="str">
        <f aca="false">IF(A298="","",COUNTIF(Pubs!$B$2:$B$3001,A298))</f>
        <v/>
      </c>
      <c r="H298" s="26" t="str">
        <f aca="false">IF(A298="","",COUNTIF(Apparitions!$H$2:$H$5001,A298))</f>
        <v/>
      </c>
      <c r="I298" s="26" t="str">
        <f aca="false">IF(A298="","",COUNTIFS(Apparitions!$H$2:$H$5001,A298,Apparitions!$E$2:$E$5001,"○"))</f>
        <v/>
      </c>
      <c r="J298" s="29" t="str">
        <f aca="false">IF(A298="","",IFERROR(1/(1/_xlfn.MINIFS(Apparitions!$L$2:$L$5001,Apparitions!$H$2:$H$5001,A298)),""))</f>
        <v/>
      </c>
    </row>
    <row r="299" customFormat="false" ht="15" hidden="false" customHeight="false" outlineLevel="0" collapsed="false">
      <c r="A299" s="19"/>
      <c r="B299" s="19"/>
      <c r="C299" s="19"/>
      <c r="D299" s="19"/>
      <c r="E299" s="32"/>
      <c r="F299" s="19"/>
      <c r="G299" s="26" t="str">
        <f aca="false">IF(A299="","",COUNTIF(Pubs!$B$2:$B$3001,A299))</f>
        <v/>
      </c>
      <c r="H299" s="26" t="str">
        <f aca="false">IF(A299="","",COUNTIF(Apparitions!$H$2:$H$5001,A299))</f>
        <v/>
      </c>
      <c r="I299" s="26" t="str">
        <f aca="false">IF(A299="","",COUNTIFS(Apparitions!$H$2:$H$5001,A299,Apparitions!$E$2:$E$5001,"○"))</f>
        <v/>
      </c>
      <c r="J299" s="29" t="str">
        <f aca="false">IF(A299="","",IFERROR(1/(1/_xlfn.MINIFS(Apparitions!$L$2:$L$5001,Apparitions!$H$2:$H$5001,A299)),""))</f>
        <v/>
      </c>
    </row>
    <row r="300" customFormat="false" ht="15" hidden="false" customHeight="false" outlineLevel="0" collapsed="false">
      <c r="A300" s="19"/>
      <c r="B300" s="19"/>
      <c r="C300" s="19"/>
      <c r="D300" s="19"/>
      <c r="E300" s="32"/>
      <c r="F300" s="19"/>
      <c r="G300" s="26" t="str">
        <f aca="false">IF(A300="","",COUNTIF(Pubs!$B$2:$B$3001,A300))</f>
        <v/>
      </c>
      <c r="H300" s="26" t="str">
        <f aca="false">IF(A300="","",COUNTIF(Apparitions!$H$2:$H$5001,A300))</f>
        <v/>
      </c>
      <c r="I300" s="26" t="str">
        <f aca="false">IF(A300="","",COUNTIFS(Apparitions!$H$2:$H$5001,A300,Apparitions!$E$2:$E$5001,"○"))</f>
        <v/>
      </c>
      <c r="J300" s="29" t="str">
        <f aca="false">IF(A300="","",IFERROR(1/(1/_xlfn.MINIFS(Apparitions!$L$2:$L$5001,Apparitions!$H$2:$H$5001,A300)),""))</f>
        <v/>
      </c>
    </row>
    <row r="301" customFormat="false" ht="15" hidden="false" customHeight="false" outlineLevel="0" collapsed="false">
      <c r="A301" s="19"/>
      <c r="B301" s="19"/>
      <c r="C301" s="19"/>
      <c r="D301" s="19"/>
      <c r="E301" s="32"/>
      <c r="F301" s="19"/>
      <c r="G301" s="26" t="str">
        <f aca="false">IF(A301="","",COUNTIF(Pubs!$B$2:$B$3001,A301))</f>
        <v/>
      </c>
      <c r="H301" s="26" t="str">
        <f aca="false">IF(A301="","",COUNTIF(Apparitions!$H$2:$H$5001,A301))</f>
        <v/>
      </c>
      <c r="I301" s="26" t="str">
        <f aca="false">IF(A301="","",COUNTIFS(Apparitions!$H$2:$H$5001,A301,Apparitions!$E$2:$E$5001,"○"))</f>
        <v/>
      </c>
      <c r="J301" s="29" t="str">
        <f aca="false">IF(A301="","",IFERROR(1/(1/_xlfn.MINIFS(Apparitions!$L$2:$L$5001,Apparitions!$H$2:$H$5001,A301)),""))</f>
        <v/>
      </c>
    </row>
    <row r="302" customFormat="false" ht="15" hidden="false" customHeight="false" outlineLevel="0" collapsed="false">
      <c r="A302" s="19"/>
      <c r="B302" s="19"/>
      <c r="C302" s="19"/>
      <c r="D302" s="19"/>
      <c r="E302" s="32"/>
      <c r="F302" s="19"/>
      <c r="G302" s="26" t="str">
        <f aca="false">IF(A302="","",COUNTIF(Pubs!$B$2:$B$3001,A302))</f>
        <v/>
      </c>
      <c r="H302" s="26" t="str">
        <f aca="false">IF(A302="","",COUNTIF(Apparitions!$H$2:$H$5001,A302))</f>
        <v/>
      </c>
      <c r="I302" s="26" t="str">
        <f aca="false">IF(A302="","",COUNTIFS(Apparitions!$H$2:$H$5001,A302,Apparitions!$E$2:$E$5001,"○"))</f>
        <v/>
      </c>
      <c r="J302" s="29" t="str">
        <f aca="false">IF(A302="","",IFERROR(1/(1/_xlfn.MINIFS(Apparitions!$L$2:$L$5001,Apparitions!$H$2:$H$5001,A302)),""))</f>
        <v/>
      </c>
    </row>
    <row r="303" customFormat="false" ht="15" hidden="false" customHeight="false" outlineLevel="0" collapsed="false">
      <c r="A303" s="19"/>
      <c r="B303" s="19"/>
      <c r="C303" s="19"/>
      <c r="D303" s="19"/>
      <c r="E303" s="32"/>
      <c r="F303" s="19"/>
      <c r="G303" s="26" t="str">
        <f aca="false">IF(A303="","",COUNTIF(Pubs!$B$2:$B$3001,A303))</f>
        <v/>
      </c>
      <c r="H303" s="26" t="str">
        <f aca="false">IF(A303="","",COUNTIF(Apparitions!$H$2:$H$5001,A303))</f>
        <v/>
      </c>
      <c r="I303" s="26" t="str">
        <f aca="false">IF(A303="","",COUNTIFS(Apparitions!$H$2:$H$5001,A303,Apparitions!$E$2:$E$5001,"○"))</f>
        <v/>
      </c>
      <c r="J303" s="29" t="str">
        <f aca="false">IF(A303="","",IFERROR(1/(1/_xlfn.MINIFS(Apparitions!$L$2:$L$5001,Apparitions!$H$2:$H$5001,A303)),""))</f>
        <v/>
      </c>
    </row>
    <row r="304" customFormat="false" ht="15" hidden="false" customHeight="false" outlineLevel="0" collapsed="false">
      <c r="A304" s="19"/>
      <c r="B304" s="19"/>
      <c r="C304" s="19"/>
      <c r="D304" s="19"/>
      <c r="E304" s="32"/>
      <c r="F304" s="19"/>
      <c r="G304" s="26" t="str">
        <f aca="false">IF(A304="","",COUNTIF(Pubs!$B$2:$B$3001,A304))</f>
        <v/>
      </c>
      <c r="H304" s="26" t="str">
        <f aca="false">IF(A304="","",COUNTIF(Apparitions!$H$2:$H$5001,A304))</f>
        <v/>
      </c>
      <c r="I304" s="26" t="str">
        <f aca="false">IF(A304="","",COUNTIFS(Apparitions!$H$2:$H$5001,A304,Apparitions!$E$2:$E$5001,"○"))</f>
        <v/>
      </c>
      <c r="J304" s="29" t="str">
        <f aca="false">IF(A304="","",IFERROR(1/(1/_xlfn.MINIFS(Apparitions!$L$2:$L$5001,Apparitions!$H$2:$H$5001,A304)),""))</f>
        <v/>
      </c>
    </row>
    <row r="305" customFormat="false" ht="15" hidden="false" customHeight="false" outlineLevel="0" collapsed="false">
      <c r="A305" s="19"/>
      <c r="B305" s="19"/>
      <c r="C305" s="19"/>
      <c r="D305" s="19"/>
      <c r="E305" s="32"/>
      <c r="F305" s="19"/>
      <c r="G305" s="26" t="str">
        <f aca="false">IF(A305="","",COUNTIF(Pubs!$B$2:$B$3001,A305))</f>
        <v/>
      </c>
      <c r="H305" s="26" t="str">
        <f aca="false">IF(A305="","",COUNTIF(Apparitions!$H$2:$H$5001,A305))</f>
        <v/>
      </c>
      <c r="I305" s="26" t="str">
        <f aca="false">IF(A305="","",COUNTIFS(Apparitions!$H$2:$H$5001,A305,Apparitions!$E$2:$E$5001,"○"))</f>
        <v/>
      </c>
      <c r="J305" s="29" t="str">
        <f aca="false">IF(A305="","",IFERROR(1/(1/_xlfn.MINIFS(Apparitions!$L$2:$L$5001,Apparitions!$H$2:$H$5001,A305)),""))</f>
        <v/>
      </c>
    </row>
    <row r="306" customFormat="false" ht="15" hidden="false" customHeight="false" outlineLevel="0" collapsed="false">
      <c r="A306" s="19"/>
      <c r="B306" s="19"/>
      <c r="C306" s="19"/>
      <c r="D306" s="19"/>
      <c r="E306" s="32"/>
      <c r="F306" s="19"/>
      <c r="G306" s="26" t="str">
        <f aca="false">IF(A306="","",COUNTIF(Pubs!$B$2:$B$3001,A306))</f>
        <v/>
      </c>
      <c r="H306" s="26" t="str">
        <f aca="false">IF(A306="","",COUNTIF(Apparitions!$H$2:$H$5001,A306))</f>
        <v/>
      </c>
      <c r="I306" s="26" t="str">
        <f aca="false">IF(A306="","",COUNTIFS(Apparitions!$H$2:$H$5001,A306,Apparitions!$E$2:$E$5001,"○"))</f>
        <v/>
      </c>
      <c r="J306" s="29" t="str">
        <f aca="false">IF(A306="","",IFERROR(1/(1/_xlfn.MINIFS(Apparitions!$L$2:$L$5001,Apparitions!$H$2:$H$5001,A306)),""))</f>
        <v/>
      </c>
    </row>
    <row r="307" customFormat="false" ht="15" hidden="false" customHeight="false" outlineLevel="0" collapsed="false">
      <c r="A307" s="19"/>
      <c r="B307" s="19"/>
      <c r="C307" s="19"/>
      <c r="D307" s="19"/>
      <c r="E307" s="32"/>
      <c r="F307" s="19"/>
      <c r="G307" s="26" t="str">
        <f aca="false">IF(A307="","",COUNTIF(Pubs!$B$2:$B$3001,A307))</f>
        <v/>
      </c>
      <c r="H307" s="26" t="str">
        <f aca="false">IF(A307="","",COUNTIF(Apparitions!$H$2:$H$5001,A307))</f>
        <v/>
      </c>
      <c r="I307" s="26" t="str">
        <f aca="false">IF(A307="","",COUNTIFS(Apparitions!$H$2:$H$5001,A307,Apparitions!$E$2:$E$5001,"○"))</f>
        <v/>
      </c>
      <c r="J307" s="29" t="str">
        <f aca="false">IF(A307="","",IFERROR(1/(1/_xlfn.MINIFS(Apparitions!$L$2:$L$5001,Apparitions!$H$2:$H$5001,A307)),""))</f>
        <v/>
      </c>
    </row>
    <row r="308" customFormat="false" ht="15" hidden="false" customHeight="false" outlineLevel="0" collapsed="false">
      <c r="A308" s="19"/>
      <c r="B308" s="19"/>
      <c r="C308" s="19"/>
      <c r="D308" s="19"/>
      <c r="E308" s="32"/>
      <c r="F308" s="19"/>
      <c r="G308" s="26" t="str">
        <f aca="false">IF(A308="","",COUNTIF(Pubs!$B$2:$B$3001,A308))</f>
        <v/>
      </c>
      <c r="H308" s="26" t="str">
        <f aca="false">IF(A308="","",COUNTIF(Apparitions!$H$2:$H$5001,A308))</f>
        <v/>
      </c>
      <c r="I308" s="26" t="str">
        <f aca="false">IF(A308="","",COUNTIFS(Apparitions!$H$2:$H$5001,A308,Apparitions!$E$2:$E$5001,"○"))</f>
        <v/>
      </c>
      <c r="J308" s="29" t="str">
        <f aca="false">IF(A308="","",IFERROR(1/(1/_xlfn.MINIFS(Apparitions!$L$2:$L$5001,Apparitions!$H$2:$H$5001,A308)),""))</f>
        <v/>
      </c>
    </row>
    <row r="309" customFormat="false" ht="15" hidden="false" customHeight="false" outlineLevel="0" collapsed="false">
      <c r="A309" s="19"/>
      <c r="B309" s="19"/>
      <c r="C309" s="19"/>
      <c r="D309" s="19"/>
      <c r="E309" s="32"/>
      <c r="F309" s="19"/>
      <c r="G309" s="26" t="str">
        <f aca="false">IF(A309="","",COUNTIF(Pubs!$B$2:$B$3001,A309))</f>
        <v/>
      </c>
      <c r="H309" s="26" t="str">
        <f aca="false">IF(A309="","",COUNTIF(Apparitions!$H$2:$H$5001,A309))</f>
        <v/>
      </c>
      <c r="I309" s="26" t="str">
        <f aca="false">IF(A309="","",COUNTIFS(Apparitions!$H$2:$H$5001,A309,Apparitions!$E$2:$E$5001,"○"))</f>
        <v/>
      </c>
      <c r="J309" s="29" t="str">
        <f aca="false">IF(A309="","",IFERROR(1/(1/_xlfn.MINIFS(Apparitions!$L$2:$L$5001,Apparitions!$H$2:$H$5001,A309)),""))</f>
        <v/>
      </c>
    </row>
    <row r="310" customFormat="false" ht="15" hidden="false" customHeight="false" outlineLevel="0" collapsed="false">
      <c r="A310" s="19"/>
      <c r="B310" s="19"/>
      <c r="C310" s="19"/>
      <c r="D310" s="19"/>
      <c r="E310" s="32"/>
      <c r="F310" s="19"/>
      <c r="G310" s="26" t="str">
        <f aca="false">IF(A310="","",COUNTIF(Pubs!$B$2:$B$3001,A310))</f>
        <v/>
      </c>
      <c r="H310" s="26" t="str">
        <f aca="false">IF(A310="","",COUNTIF(Apparitions!$H$2:$H$5001,A310))</f>
        <v/>
      </c>
      <c r="I310" s="26" t="str">
        <f aca="false">IF(A310="","",COUNTIFS(Apparitions!$H$2:$H$5001,A310,Apparitions!$E$2:$E$5001,"○"))</f>
        <v/>
      </c>
      <c r="J310" s="29" t="str">
        <f aca="false">IF(A310="","",IFERROR(1/(1/_xlfn.MINIFS(Apparitions!$L$2:$L$5001,Apparitions!$H$2:$H$5001,A310)),""))</f>
        <v/>
      </c>
    </row>
    <row r="311" customFormat="false" ht="15" hidden="false" customHeight="false" outlineLevel="0" collapsed="false">
      <c r="A311" s="19"/>
      <c r="B311" s="19"/>
      <c r="C311" s="19"/>
      <c r="D311" s="19"/>
      <c r="E311" s="32"/>
      <c r="F311" s="19"/>
      <c r="G311" s="26" t="str">
        <f aca="false">IF(A311="","",COUNTIF(Pubs!$B$2:$B$3001,A311))</f>
        <v/>
      </c>
      <c r="H311" s="26" t="str">
        <f aca="false">IF(A311="","",COUNTIF(Apparitions!$H$2:$H$5001,A311))</f>
        <v/>
      </c>
      <c r="I311" s="26" t="str">
        <f aca="false">IF(A311="","",COUNTIFS(Apparitions!$H$2:$H$5001,A311,Apparitions!$E$2:$E$5001,"○"))</f>
        <v/>
      </c>
      <c r="J311" s="29" t="str">
        <f aca="false">IF(A311="","",IFERROR(1/(1/_xlfn.MINIFS(Apparitions!$L$2:$L$5001,Apparitions!$H$2:$H$5001,A311)),""))</f>
        <v/>
      </c>
    </row>
    <row r="312" customFormat="false" ht="15" hidden="false" customHeight="false" outlineLevel="0" collapsed="false">
      <c r="A312" s="19"/>
      <c r="B312" s="19"/>
      <c r="C312" s="19"/>
      <c r="D312" s="19"/>
      <c r="E312" s="32"/>
      <c r="F312" s="19"/>
      <c r="G312" s="26" t="str">
        <f aca="false">IF(A312="","",COUNTIF(Pubs!$B$2:$B$3001,A312))</f>
        <v/>
      </c>
      <c r="H312" s="26" t="str">
        <f aca="false">IF(A312="","",COUNTIF(Apparitions!$H$2:$H$5001,A312))</f>
        <v/>
      </c>
      <c r="I312" s="26" t="str">
        <f aca="false">IF(A312="","",COUNTIFS(Apparitions!$H$2:$H$5001,A312,Apparitions!$E$2:$E$5001,"○"))</f>
        <v/>
      </c>
      <c r="J312" s="29" t="str">
        <f aca="false">IF(A312="","",IFERROR(1/(1/_xlfn.MINIFS(Apparitions!$L$2:$L$5001,Apparitions!$H$2:$H$5001,A312)),""))</f>
        <v/>
      </c>
    </row>
    <row r="313" customFormat="false" ht="15" hidden="false" customHeight="false" outlineLevel="0" collapsed="false">
      <c r="A313" s="19"/>
      <c r="B313" s="19"/>
      <c r="C313" s="19"/>
      <c r="D313" s="19"/>
      <c r="E313" s="32"/>
      <c r="F313" s="19"/>
      <c r="G313" s="26" t="str">
        <f aca="false">IF(A313="","",COUNTIF(Pubs!$B$2:$B$3001,A313))</f>
        <v/>
      </c>
      <c r="H313" s="26" t="str">
        <f aca="false">IF(A313="","",COUNTIF(Apparitions!$H$2:$H$5001,A313))</f>
        <v/>
      </c>
      <c r="I313" s="26" t="str">
        <f aca="false">IF(A313="","",COUNTIFS(Apparitions!$H$2:$H$5001,A313,Apparitions!$E$2:$E$5001,"○"))</f>
        <v/>
      </c>
      <c r="J313" s="29" t="str">
        <f aca="false">IF(A313="","",IFERROR(1/(1/_xlfn.MINIFS(Apparitions!$L$2:$L$5001,Apparitions!$H$2:$H$5001,A313)),""))</f>
        <v/>
      </c>
    </row>
    <row r="314" customFormat="false" ht="15" hidden="false" customHeight="false" outlineLevel="0" collapsed="false">
      <c r="A314" s="19"/>
      <c r="B314" s="19"/>
      <c r="C314" s="19"/>
      <c r="D314" s="19"/>
      <c r="E314" s="32"/>
      <c r="F314" s="19"/>
      <c r="G314" s="26" t="str">
        <f aca="false">IF(A314="","",COUNTIF(Pubs!$B$2:$B$3001,A314))</f>
        <v/>
      </c>
      <c r="H314" s="26" t="str">
        <f aca="false">IF(A314="","",COUNTIF(Apparitions!$H$2:$H$5001,A314))</f>
        <v/>
      </c>
      <c r="I314" s="26" t="str">
        <f aca="false">IF(A314="","",COUNTIFS(Apparitions!$H$2:$H$5001,A314,Apparitions!$E$2:$E$5001,"○"))</f>
        <v/>
      </c>
      <c r="J314" s="29" t="str">
        <f aca="false">IF(A314="","",IFERROR(1/(1/_xlfn.MINIFS(Apparitions!$L$2:$L$5001,Apparitions!$H$2:$H$5001,A314)),""))</f>
        <v/>
      </c>
    </row>
    <row r="315" customFormat="false" ht="15" hidden="false" customHeight="false" outlineLevel="0" collapsed="false">
      <c r="A315" s="19"/>
      <c r="B315" s="19"/>
      <c r="C315" s="19"/>
      <c r="D315" s="19"/>
      <c r="E315" s="32"/>
      <c r="F315" s="19"/>
      <c r="G315" s="26" t="str">
        <f aca="false">IF(A315="","",COUNTIF(Pubs!$B$2:$B$3001,A315))</f>
        <v/>
      </c>
      <c r="H315" s="26" t="str">
        <f aca="false">IF(A315="","",COUNTIF(Apparitions!$H$2:$H$5001,A315))</f>
        <v/>
      </c>
      <c r="I315" s="26" t="str">
        <f aca="false">IF(A315="","",COUNTIFS(Apparitions!$H$2:$H$5001,A315,Apparitions!$E$2:$E$5001,"○"))</f>
        <v/>
      </c>
      <c r="J315" s="29" t="str">
        <f aca="false">IF(A315="","",IFERROR(1/(1/_xlfn.MINIFS(Apparitions!$L$2:$L$5001,Apparitions!$H$2:$H$5001,A315)),""))</f>
        <v/>
      </c>
    </row>
    <row r="316" customFormat="false" ht="15" hidden="false" customHeight="false" outlineLevel="0" collapsed="false">
      <c r="A316" s="19"/>
      <c r="B316" s="19"/>
      <c r="C316" s="19"/>
      <c r="D316" s="19"/>
      <c r="E316" s="32"/>
      <c r="F316" s="19"/>
      <c r="G316" s="26" t="str">
        <f aca="false">IF(A316="","",COUNTIF(Pubs!$B$2:$B$3001,A316))</f>
        <v/>
      </c>
      <c r="H316" s="26" t="str">
        <f aca="false">IF(A316="","",COUNTIF(Apparitions!$H$2:$H$5001,A316))</f>
        <v/>
      </c>
      <c r="I316" s="26" t="str">
        <f aca="false">IF(A316="","",COUNTIFS(Apparitions!$H$2:$H$5001,A316,Apparitions!$E$2:$E$5001,"○"))</f>
        <v/>
      </c>
      <c r="J316" s="29" t="str">
        <f aca="false">IF(A316="","",IFERROR(1/(1/_xlfn.MINIFS(Apparitions!$L$2:$L$5001,Apparitions!$H$2:$H$5001,A316)),""))</f>
        <v/>
      </c>
    </row>
    <row r="317" customFormat="false" ht="15" hidden="false" customHeight="false" outlineLevel="0" collapsed="false">
      <c r="A317" s="19"/>
      <c r="B317" s="19"/>
      <c r="C317" s="19"/>
      <c r="D317" s="19"/>
      <c r="E317" s="32"/>
      <c r="F317" s="19"/>
      <c r="G317" s="26" t="str">
        <f aca="false">IF(A317="","",COUNTIF(Pubs!$B$2:$B$3001,A317))</f>
        <v/>
      </c>
      <c r="H317" s="26" t="str">
        <f aca="false">IF(A317="","",COUNTIF(Apparitions!$H$2:$H$5001,A317))</f>
        <v/>
      </c>
      <c r="I317" s="26" t="str">
        <f aca="false">IF(A317="","",COUNTIFS(Apparitions!$H$2:$H$5001,A317,Apparitions!$E$2:$E$5001,"○"))</f>
        <v/>
      </c>
      <c r="J317" s="29" t="str">
        <f aca="false">IF(A317="","",IFERROR(1/(1/_xlfn.MINIFS(Apparitions!$L$2:$L$5001,Apparitions!$H$2:$H$5001,A317)),""))</f>
        <v/>
      </c>
    </row>
    <row r="318" customFormat="false" ht="15" hidden="false" customHeight="false" outlineLevel="0" collapsed="false">
      <c r="A318" s="19"/>
      <c r="B318" s="19"/>
      <c r="C318" s="19"/>
      <c r="D318" s="19"/>
      <c r="E318" s="32"/>
      <c r="F318" s="19"/>
      <c r="G318" s="26" t="str">
        <f aca="false">IF(A318="","",COUNTIF(Pubs!$B$2:$B$3001,A318))</f>
        <v/>
      </c>
      <c r="H318" s="26" t="str">
        <f aca="false">IF(A318="","",COUNTIF(Apparitions!$H$2:$H$5001,A318))</f>
        <v/>
      </c>
      <c r="I318" s="26" t="str">
        <f aca="false">IF(A318="","",COUNTIFS(Apparitions!$H$2:$H$5001,A318,Apparitions!$E$2:$E$5001,"○"))</f>
        <v/>
      </c>
      <c r="J318" s="29" t="str">
        <f aca="false">IF(A318="","",IFERROR(1/(1/_xlfn.MINIFS(Apparitions!$L$2:$L$5001,Apparitions!$H$2:$H$5001,A318)),""))</f>
        <v/>
      </c>
    </row>
    <row r="319" customFormat="false" ht="15" hidden="false" customHeight="false" outlineLevel="0" collapsed="false">
      <c r="A319" s="19"/>
      <c r="B319" s="19"/>
      <c r="C319" s="19"/>
      <c r="D319" s="19"/>
      <c r="E319" s="32"/>
      <c r="F319" s="19"/>
      <c r="G319" s="26" t="str">
        <f aca="false">IF(A319="","",COUNTIF(Pubs!$B$2:$B$3001,A319))</f>
        <v/>
      </c>
      <c r="H319" s="26" t="str">
        <f aca="false">IF(A319="","",COUNTIF(Apparitions!$H$2:$H$5001,A319))</f>
        <v/>
      </c>
      <c r="I319" s="26" t="str">
        <f aca="false">IF(A319="","",COUNTIFS(Apparitions!$H$2:$H$5001,A319,Apparitions!$E$2:$E$5001,"○"))</f>
        <v/>
      </c>
      <c r="J319" s="29" t="str">
        <f aca="false">IF(A319="","",IFERROR(1/(1/_xlfn.MINIFS(Apparitions!$L$2:$L$5001,Apparitions!$H$2:$H$5001,A319)),""))</f>
        <v/>
      </c>
    </row>
    <row r="320" customFormat="false" ht="15" hidden="false" customHeight="false" outlineLevel="0" collapsed="false">
      <c r="A320" s="19"/>
      <c r="B320" s="19"/>
      <c r="C320" s="19"/>
      <c r="D320" s="19"/>
      <c r="E320" s="32"/>
      <c r="F320" s="19"/>
      <c r="G320" s="26" t="str">
        <f aca="false">IF(A320="","",COUNTIF(Pubs!$B$2:$B$3001,A320))</f>
        <v/>
      </c>
      <c r="H320" s="26" t="str">
        <f aca="false">IF(A320="","",COUNTIF(Apparitions!$H$2:$H$5001,A320))</f>
        <v/>
      </c>
      <c r="I320" s="26" t="str">
        <f aca="false">IF(A320="","",COUNTIFS(Apparitions!$H$2:$H$5001,A320,Apparitions!$E$2:$E$5001,"○"))</f>
        <v/>
      </c>
      <c r="J320" s="29" t="str">
        <f aca="false">IF(A320="","",IFERROR(1/(1/_xlfn.MINIFS(Apparitions!$L$2:$L$5001,Apparitions!$H$2:$H$5001,A320)),""))</f>
        <v/>
      </c>
    </row>
    <row r="321" customFormat="false" ht="15" hidden="false" customHeight="false" outlineLevel="0" collapsed="false">
      <c r="A321" s="19"/>
      <c r="B321" s="19"/>
      <c r="C321" s="19"/>
      <c r="D321" s="19"/>
      <c r="E321" s="32"/>
      <c r="F321" s="19"/>
      <c r="G321" s="26" t="str">
        <f aca="false">IF(A321="","",COUNTIF(Pubs!$B$2:$B$3001,A321))</f>
        <v/>
      </c>
      <c r="H321" s="26" t="str">
        <f aca="false">IF(A321="","",COUNTIF(Apparitions!$H$2:$H$5001,A321))</f>
        <v/>
      </c>
      <c r="I321" s="26" t="str">
        <f aca="false">IF(A321="","",COUNTIFS(Apparitions!$H$2:$H$5001,A321,Apparitions!$E$2:$E$5001,"○"))</f>
        <v/>
      </c>
      <c r="J321" s="29" t="str">
        <f aca="false">IF(A321="","",IFERROR(1/(1/_xlfn.MINIFS(Apparitions!$L$2:$L$5001,Apparitions!$H$2:$H$5001,A321)),""))</f>
        <v/>
      </c>
    </row>
    <row r="322" customFormat="false" ht="15" hidden="false" customHeight="false" outlineLevel="0" collapsed="false">
      <c r="A322" s="19"/>
      <c r="B322" s="19"/>
      <c r="C322" s="19"/>
      <c r="D322" s="19"/>
      <c r="E322" s="32"/>
      <c r="F322" s="19"/>
      <c r="G322" s="26" t="str">
        <f aca="false">IF(A322="","",COUNTIF(Pubs!$B$2:$B$3001,A322))</f>
        <v/>
      </c>
      <c r="H322" s="26" t="str">
        <f aca="false">IF(A322="","",COUNTIF(Apparitions!$H$2:$H$5001,A322))</f>
        <v/>
      </c>
      <c r="I322" s="26" t="str">
        <f aca="false">IF(A322="","",COUNTIFS(Apparitions!$H$2:$H$5001,A322,Apparitions!$E$2:$E$5001,"○"))</f>
        <v/>
      </c>
      <c r="J322" s="29" t="str">
        <f aca="false">IF(A322="","",IFERROR(1/(1/_xlfn.MINIFS(Apparitions!$L$2:$L$5001,Apparitions!$H$2:$H$5001,A322)),""))</f>
        <v/>
      </c>
    </row>
    <row r="323" customFormat="false" ht="15" hidden="false" customHeight="false" outlineLevel="0" collapsed="false">
      <c r="A323" s="19"/>
      <c r="B323" s="19"/>
      <c r="C323" s="19"/>
      <c r="D323" s="19"/>
      <c r="E323" s="32"/>
      <c r="F323" s="19"/>
      <c r="G323" s="26" t="str">
        <f aca="false">IF(A323="","",COUNTIF(Pubs!$B$2:$B$3001,A323))</f>
        <v/>
      </c>
      <c r="H323" s="26" t="str">
        <f aca="false">IF(A323="","",COUNTIF(Apparitions!$H$2:$H$5001,A323))</f>
        <v/>
      </c>
      <c r="I323" s="26" t="str">
        <f aca="false">IF(A323="","",COUNTIFS(Apparitions!$H$2:$H$5001,A323,Apparitions!$E$2:$E$5001,"○"))</f>
        <v/>
      </c>
      <c r="J323" s="29" t="str">
        <f aca="false">IF(A323="","",IFERROR(1/(1/_xlfn.MINIFS(Apparitions!$L$2:$L$5001,Apparitions!$H$2:$H$5001,A323)),""))</f>
        <v/>
      </c>
    </row>
    <row r="324" customFormat="false" ht="15" hidden="false" customHeight="false" outlineLevel="0" collapsed="false">
      <c r="A324" s="19"/>
      <c r="B324" s="19"/>
      <c r="C324" s="19"/>
      <c r="D324" s="19"/>
      <c r="E324" s="32"/>
      <c r="F324" s="19"/>
      <c r="G324" s="26" t="str">
        <f aca="false">IF(A324="","",COUNTIF(Pubs!$B$2:$B$3001,A324))</f>
        <v/>
      </c>
      <c r="H324" s="26" t="str">
        <f aca="false">IF(A324="","",COUNTIF(Apparitions!$H$2:$H$5001,A324))</f>
        <v/>
      </c>
      <c r="I324" s="26" t="str">
        <f aca="false">IF(A324="","",COUNTIFS(Apparitions!$H$2:$H$5001,A324,Apparitions!$E$2:$E$5001,"○"))</f>
        <v/>
      </c>
      <c r="J324" s="29" t="str">
        <f aca="false">IF(A324="","",IFERROR(1/(1/_xlfn.MINIFS(Apparitions!$L$2:$L$5001,Apparitions!$H$2:$H$5001,A324)),""))</f>
        <v/>
      </c>
    </row>
    <row r="325" customFormat="false" ht="15" hidden="false" customHeight="false" outlineLevel="0" collapsed="false">
      <c r="A325" s="19"/>
      <c r="B325" s="19"/>
      <c r="C325" s="19"/>
      <c r="D325" s="19"/>
      <c r="E325" s="32"/>
      <c r="F325" s="19"/>
      <c r="G325" s="26" t="str">
        <f aca="false">IF(A325="","",COUNTIF(Pubs!$B$2:$B$3001,A325))</f>
        <v/>
      </c>
      <c r="H325" s="26" t="str">
        <f aca="false">IF(A325="","",COUNTIF(Apparitions!$H$2:$H$5001,A325))</f>
        <v/>
      </c>
      <c r="I325" s="26" t="str">
        <f aca="false">IF(A325="","",COUNTIFS(Apparitions!$H$2:$H$5001,A325,Apparitions!$E$2:$E$5001,"○"))</f>
        <v/>
      </c>
      <c r="J325" s="29" t="str">
        <f aca="false">IF(A325="","",IFERROR(1/(1/_xlfn.MINIFS(Apparitions!$L$2:$L$5001,Apparitions!$H$2:$H$5001,A325)),""))</f>
        <v/>
      </c>
    </row>
    <row r="326" customFormat="false" ht="15" hidden="false" customHeight="false" outlineLevel="0" collapsed="false">
      <c r="A326" s="19"/>
      <c r="B326" s="19"/>
      <c r="C326" s="19"/>
      <c r="D326" s="19"/>
      <c r="E326" s="32"/>
      <c r="F326" s="19"/>
      <c r="G326" s="26" t="str">
        <f aca="false">IF(A326="","",COUNTIF(Pubs!$B$2:$B$3001,A326))</f>
        <v/>
      </c>
      <c r="H326" s="26" t="str">
        <f aca="false">IF(A326="","",COUNTIF(Apparitions!$H$2:$H$5001,A326))</f>
        <v/>
      </c>
      <c r="I326" s="26" t="str">
        <f aca="false">IF(A326="","",COUNTIFS(Apparitions!$H$2:$H$5001,A326,Apparitions!$E$2:$E$5001,"○"))</f>
        <v/>
      </c>
      <c r="J326" s="29" t="str">
        <f aca="false">IF(A326="","",IFERROR(1/(1/_xlfn.MINIFS(Apparitions!$L$2:$L$5001,Apparitions!$H$2:$H$5001,A326)),""))</f>
        <v/>
      </c>
    </row>
    <row r="327" customFormat="false" ht="15" hidden="false" customHeight="false" outlineLevel="0" collapsed="false">
      <c r="A327" s="19"/>
      <c r="B327" s="19"/>
      <c r="C327" s="19"/>
      <c r="D327" s="19"/>
      <c r="E327" s="32"/>
      <c r="F327" s="19"/>
      <c r="G327" s="26" t="str">
        <f aca="false">IF(A327="","",COUNTIF(Pubs!$B$2:$B$3001,A327))</f>
        <v/>
      </c>
      <c r="H327" s="26" t="str">
        <f aca="false">IF(A327="","",COUNTIF(Apparitions!$H$2:$H$5001,A327))</f>
        <v/>
      </c>
      <c r="I327" s="26" t="str">
        <f aca="false">IF(A327="","",COUNTIFS(Apparitions!$H$2:$H$5001,A327,Apparitions!$E$2:$E$5001,"○"))</f>
        <v/>
      </c>
      <c r="J327" s="29" t="str">
        <f aca="false">IF(A327="","",IFERROR(1/(1/_xlfn.MINIFS(Apparitions!$L$2:$L$5001,Apparitions!$H$2:$H$5001,A327)),""))</f>
        <v/>
      </c>
    </row>
    <row r="328" customFormat="false" ht="15" hidden="false" customHeight="false" outlineLevel="0" collapsed="false">
      <c r="A328" s="19"/>
      <c r="B328" s="19"/>
      <c r="C328" s="19"/>
      <c r="D328" s="19"/>
      <c r="E328" s="32"/>
      <c r="F328" s="19"/>
      <c r="G328" s="26" t="str">
        <f aca="false">IF(A328="","",COUNTIF(Pubs!$B$2:$B$3001,A328))</f>
        <v/>
      </c>
      <c r="H328" s="26" t="str">
        <f aca="false">IF(A328="","",COUNTIF(Apparitions!$H$2:$H$5001,A328))</f>
        <v/>
      </c>
      <c r="I328" s="26" t="str">
        <f aca="false">IF(A328="","",COUNTIFS(Apparitions!$H$2:$H$5001,A328,Apparitions!$E$2:$E$5001,"○"))</f>
        <v/>
      </c>
      <c r="J328" s="29" t="str">
        <f aca="false">IF(A328="","",IFERROR(1/(1/_xlfn.MINIFS(Apparitions!$L$2:$L$5001,Apparitions!$H$2:$H$5001,A328)),""))</f>
        <v/>
      </c>
    </row>
    <row r="329" customFormat="false" ht="15" hidden="false" customHeight="false" outlineLevel="0" collapsed="false">
      <c r="A329" s="19"/>
      <c r="B329" s="19"/>
      <c r="C329" s="19"/>
      <c r="D329" s="19"/>
      <c r="E329" s="32"/>
      <c r="F329" s="19"/>
      <c r="G329" s="26" t="str">
        <f aca="false">IF(A329="","",COUNTIF(Pubs!$B$2:$B$3001,A329))</f>
        <v/>
      </c>
      <c r="H329" s="26" t="str">
        <f aca="false">IF(A329="","",COUNTIF(Apparitions!$H$2:$H$5001,A329))</f>
        <v/>
      </c>
      <c r="I329" s="26" t="str">
        <f aca="false">IF(A329="","",COUNTIFS(Apparitions!$H$2:$H$5001,A329,Apparitions!$E$2:$E$5001,"○"))</f>
        <v/>
      </c>
      <c r="J329" s="29" t="str">
        <f aca="false">IF(A329="","",IFERROR(1/(1/_xlfn.MINIFS(Apparitions!$L$2:$L$5001,Apparitions!$H$2:$H$5001,A329)),""))</f>
        <v/>
      </c>
    </row>
    <row r="330" customFormat="false" ht="15" hidden="false" customHeight="false" outlineLevel="0" collapsed="false">
      <c r="A330" s="19"/>
      <c r="B330" s="19"/>
      <c r="C330" s="19"/>
      <c r="D330" s="19"/>
      <c r="E330" s="32"/>
      <c r="F330" s="19"/>
      <c r="G330" s="26" t="str">
        <f aca="false">IF(A330="","",COUNTIF(Pubs!$B$2:$B$3001,A330))</f>
        <v/>
      </c>
      <c r="H330" s="26" t="str">
        <f aca="false">IF(A330="","",COUNTIF(Apparitions!$H$2:$H$5001,A330))</f>
        <v/>
      </c>
      <c r="I330" s="26" t="str">
        <f aca="false">IF(A330="","",COUNTIFS(Apparitions!$H$2:$H$5001,A330,Apparitions!$E$2:$E$5001,"○"))</f>
        <v/>
      </c>
      <c r="J330" s="29" t="str">
        <f aca="false">IF(A330="","",IFERROR(1/(1/_xlfn.MINIFS(Apparitions!$L$2:$L$5001,Apparitions!$H$2:$H$5001,A330)),""))</f>
        <v/>
      </c>
    </row>
    <row r="331" customFormat="false" ht="15" hidden="false" customHeight="false" outlineLevel="0" collapsed="false">
      <c r="A331" s="19"/>
      <c r="B331" s="19"/>
      <c r="C331" s="19"/>
      <c r="D331" s="19"/>
      <c r="E331" s="32"/>
      <c r="F331" s="19"/>
      <c r="G331" s="26" t="str">
        <f aca="false">IF(A331="","",COUNTIF(Pubs!$B$2:$B$3001,A331))</f>
        <v/>
      </c>
      <c r="H331" s="26" t="str">
        <f aca="false">IF(A331="","",COUNTIF(Apparitions!$H$2:$H$5001,A331))</f>
        <v/>
      </c>
      <c r="I331" s="26" t="str">
        <f aca="false">IF(A331="","",COUNTIFS(Apparitions!$H$2:$H$5001,A331,Apparitions!$E$2:$E$5001,"○"))</f>
        <v/>
      </c>
      <c r="J331" s="29" t="str">
        <f aca="false">IF(A331="","",IFERROR(1/(1/_xlfn.MINIFS(Apparitions!$L$2:$L$5001,Apparitions!$H$2:$H$5001,A331)),""))</f>
        <v/>
      </c>
    </row>
    <row r="332" customFormat="false" ht="15" hidden="false" customHeight="false" outlineLevel="0" collapsed="false">
      <c r="A332" s="19"/>
      <c r="B332" s="19"/>
      <c r="C332" s="19"/>
      <c r="D332" s="19"/>
      <c r="E332" s="32"/>
      <c r="F332" s="19"/>
      <c r="G332" s="26" t="str">
        <f aca="false">IF(A332="","",COUNTIF(Pubs!$B$2:$B$3001,A332))</f>
        <v/>
      </c>
      <c r="H332" s="26" t="str">
        <f aca="false">IF(A332="","",COUNTIF(Apparitions!$H$2:$H$5001,A332))</f>
        <v/>
      </c>
      <c r="I332" s="26" t="str">
        <f aca="false">IF(A332="","",COUNTIFS(Apparitions!$H$2:$H$5001,A332,Apparitions!$E$2:$E$5001,"○"))</f>
        <v/>
      </c>
      <c r="J332" s="29" t="str">
        <f aca="false">IF(A332="","",IFERROR(1/(1/_xlfn.MINIFS(Apparitions!$L$2:$L$5001,Apparitions!$H$2:$H$5001,A332)),""))</f>
        <v/>
      </c>
    </row>
    <row r="333" customFormat="false" ht="15" hidden="false" customHeight="false" outlineLevel="0" collapsed="false">
      <c r="A333" s="19"/>
      <c r="B333" s="19"/>
      <c r="C333" s="19"/>
      <c r="D333" s="19"/>
      <c r="E333" s="32"/>
      <c r="F333" s="19"/>
      <c r="G333" s="26" t="str">
        <f aca="false">IF(A333="","",COUNTIF(Pubs!$B$2:$B$3001,A333))</f>
        <v/>
      </c>
      <c r="H333" s="26" t="str">
        <f aca="false">IF(A333="","",COUNTIF(Apparitions!$H$2:$H$5001,A333))</f>
        <v/>
      </c>
      <c r="I333" s="26" t="str">
        <f aca="false">IF(A333="","",COUNTIFS(Apparitions!$H$2:$H$5001,A333,Apparitions!$E$2:$E$5001,"○"))</f>
        <v/>
      </c>
      <c r="J333" s="29" t="str">
        <f aca="false">IF(A333="","",IFERROR(1/(1/_xlfn.MINIFS(Apparitions!$L$2:$L$5001,Apparitions!$H$2:$H$5001,A333)),""))</f>
        <v/>
      </c>
    </row>
    <row r="334" customFormat="false" ht="15" hidden="false" customHeight="false" outlineLevel="0" collapsed="false">
      <c r="A334" s="19"/>
      <c r="B334" s="19"/>
      <c r="C334" s="19"/>
      <c r="D334" s="19"/>
      <c r="E334" s="32"/>
      <c r="F334" s="19"/>
      <c r="G334" s="26" t="str">
        <f aca="false">IF(A334="","",COUNTIF(Pubs!$B$2:$B$3001,A334))</f>
        <v/>
      </c>
      <c r="H334" s="26" t="str">
        <f aca="false">IF(A334="","",COUNTIF(Apparitions!$H$2:$H$5001,A334))</f>
        <v/>
      </c>
      <c r="I334" s="26" t="str">
        <f aca="false">IF(A334="","",COUNTIFS(Apparitions!$H$2:$H$5001,A334,Apparitions!$E$2:$E$5001,"○"))</f>
        <v/>
      </c>
      <c r="J334" s="29" t="str">
        <f aca="false">IF(A334="","",IFERROR(1/(1/_xlfn.MINIFS(Apparitions!$L$2:$L$5001,Apparitions!$H$2:$H$5001,A334)),""))</f>
        <v/>
      </c>
    </row>
    <row r="335" customFormat="false" ht="15" hidden="false" customHeight="false" outlineLevel="0" collapsed="false">
      <c r="A335" s="19"/>
      <c r="B335" s="19"/>
      <c r="C335" s="19"/>
      <c r="D335" s="19"/>
      <c r="E335" s="32"/>
      <c r="F335" s="19"/>
      <c r="G335" s="26" t="str">
        <f aca="false">IF(A335="","",COUNTIF(Pubs!$B$2:$B$3001,A335))</f>
        <v/>
      </c>
      <c r="H335" s="26" t="str">
        <f aca="false">IF(A335="","",COUNTIF(Apparitions!$H$2:$H$5001,A335))</f>
        <v/>
      </c>
      <c r="I335" s="26" t="str">
        <f aca="false">IF(A335="","",COUNTIFS(Apparitions!$H$2:$H$5001,A335,Apparitions!$E$2:$E$5001,"○"))</f>
        <v/>
      </c>
      <c r="J335" s="29" t="str">
        <f aca="false">IF(A335="","",IFERROR(1/(1/_xlfn.MINIFS(Apparitions!$L$2:$L$5001,Apparitions!$H$2:$H$5001,A335)),""))</f>
        <v/>
      </c>
    </row>
    <row r="336" customFormat="false" ht="15" hidden="false" customHeight="false" outlineLevel="0" collapsed="false">
      <c r="A336" s="19"/>
      <c r="B336" s="19"/>
      <c r="C336" s="19"/>
      <c r="D336" s="19"/>
      <c r="E336" s="32"/>
      <c r="F336" s="19"/>
      <c r="G336" s="26" t="str">
        <f aca="false">IF(A336="","",COUNTIF(Pubs!$B$2:$B$3001,A336))</f>
        <v/>
      </c>
      <c r="H336" s="26" t="str">
        <f aca="false">IF(A336="","",COUNTIF(Apparitions!$H$2:$H$5001,A336))</f>
        <v/>
      </c>
      <c r="I336" s="26" t="str">
        <f aca="false">IF(A336="","",COUNTIFS(Apparitions!$H$2:$H$5001,A336,Apparitions!$E$2:$E$5001,"○"))</f>
        <v/>
      </c>
      <c r="J336" s="29" t="str">
        <f aca="false">IF(A336="","",IFERROR(1/(1/_xlfn.MINIFS(Apparitions!$L$2:$L$5001,Apparitions!$H$2:$H$5001,A336)),""))</f>
        <v/>
      </c>
    </row>
    <row r="337" customFormat="false" ht="15" hidden="false" customHeight="false" outlineLevel="0" collapsed="false">
      <c r="A337" s="19"/>
      <c r="B337" s="19"/>
      <c r="C337" s="19"/>
      <c r="D337" s="19"/>
      <c r="E337" s="32"/>
      <c r="F337" s="19"/>
      <c r="G337" s="26" t="str">
        <f aca="false">IF(A337="","",COUNTIF(Pubs!$B$2:$B$3001,A337))</f>
        <v/>
      </c>
      <c r="H337" s="26" t="str">
        <f aca="false">IF(A337="","",COUNTIF(Apparitions!$H$2:$H$5001,A337))</f>
        <v/>
      </c>
      <c r="I337" s="26" t="str">
        <f aca="false">IF(A337="","",COUNTIFS(Apparitions!$H$2:$H$5001,A337,Apparitions!$E$2:$E$5001,"○"))</f>
        <v/>
      </c>
      <c r="J337" s="29" t="str">
        <f aca="false">IF(A337="","",IFERROR(1/(1/_xlfn.MINIFS(Apparitions!$L$2:$L$5001,Apparitions!$H$2:$H$5001,A337)),""))</f>
        <v/>
      </c>
    </row>
    <row r="338" customFormat="false" ht="15" hidden="false" customHeight="false" outlineLevel="0" collapsed="false">
      <c r="A338" s="19"/>
      <c r="B338" s="19"/>
      <c r="C338" s="19"/>
      <c r="D338" s="19"/>
      <c r="E338" s="32"/>
      <c r="F338" s="19"/>
      <c r="G338" s="26" t="str">
        <f aca="false">IF(A338="","",COUNTIF(Pubs!$B$2:$B$3001,A338))</f>
        <v/>
      </c>
      <c r="H338" s="26" t="str">
        <f aca="false">IF(A338="","",COUNTIF(Apparitions!$H$2:$H$5001,A338))</f>
        <v/>
      </c>
      <c r="I338" s="26" t="str">
        <f aca="false">IF(A338="","",COUNTIFS(Apparitions!$H$2:$H$5001,A338,Apparitions!$E$2:$E$5001,"○"))</f>
        <v/>
      </c>
      <c r="J338" s="29" t="str">
        <f aca="false">IF(A338="","",IFERROR(1/(1/_xlfn.MINIFS(Apparitions!$L$2:$L$5001,Apparitions!$H$2:$H$5001,A338)),""))</f>
        <v/>
      </c>
    </row>
    <row r="339" customFormat="false" ht="15" hidden="false" customHeight="false" outlineLevel="0" collapsed="false">
      <c r="A339" s="19"/>
      <c r="B339" s="19"/>
      <c r="C339" s="19"/>
      <c r="D339" s="19"/>
      <c r="E339" s="32"/>
      <c r="F339" s="19"/>
      <c r="G339" s="26" t="str">
        <f aca="false">IF(A339="","",COUNTIF(Pubs!$B$2:$B$3001,A339))</f>
        <v/>
      </c>
      <c r="H339" s="26" t="str">
        <f aca="false">IF(A339="","",COUNTIF(Apparitions!$H$2:$H$5001,A339))</f>
        <v/>
      </c>
      <c r="I339" s="26" t="str">
        <f aca="false">IF(A339="","",COUNTIFS(Apparitions!$H$2:$H$5001,A339,Apparitions!$E$2:$E$5001,"○"))</f>
        <v/>
      </c>
      <c r="J339" s="29" t="str">
        <f aca="false">IF(A339="","",IFERROR(1/(1/_xlfn.MINIFS(Apparitions!$L$2:$L$5001,Apparitions!$H$2:$H$5001,A339)),""))</f>
        <v/>
      </c>
    </row>
    <row r="340" customFormat="false" ht="15" hidden="false" customHeight="false" outlineLevel="0" collapsed="false">
      <c r="A340" s="19"/>
      <c r="B340" s="19"/>
      <c r="C340" s="19"/>
      <c r="D340" s="19"/>
      <c r="E340" s="32"/>
      <c r="F340" s="19"/>
      <c r="G340" s="26" t="str">
        <f aca="false">IF(A340="","",COUNTIF(Pubs!$B$2:$B$3001,A340))</f>
        <v/>
      </c>
      <c r="H340" s="26" t="str">
        <f aca="false">IF(A340="","",COUNTIF(Apparitions!$H$2:$H$5001,A340))</f>
        <v/>
      </c>
      <c r="I340" s="26" t="str">
        <f aca="false">IF(A340="","",COUNTIFS(Apparitions!$H$2:$H$5001,A340,Apparitions!$E$2:$E$5001,"○"))</f>
        <v/>
      </c>
      <c r="J340" s="29" t="str">
        <f aca="false">IF(A340="","",IFERROR(1/(1/_xlfn.MINIFS(Apparitions!$L$2:$L$5001,Apparitions!$H$2:$H$5001,A340)),""))</f>
        <v/>
      </c>
    </row>
    <row r="341" customFormat="false" ht="15" hidden="false" customHeight="false" outlineLevel="0" collapsed="false">
      <c r="A341" s="19"/>
      <c r="B341" s="19"/>
      <c r="C341" s="19"/>
      <c r="D341" s="19"/>
      <c r="E341" s="32"/>
      <c r="F341" s="19"/>
      <c r="G341" s="26" t="str">
        <f aca="false">IF(A341="","",COUNTIF(Pubs!$B$2:$B$3001,A341))</f>
        <v/>
      </c>
      <c r="H341" s="26" t="str">
        <f aca="false">IF(A341="","",COUNTIF(Apparitions!$H$2:$H$5001,A341))</f>
        <v/>
      </c>
      <c r="I341" s="26" t="str">
        <f aca="false">IF(A341="","",COUNTIFS(Apparitions!$H$2:$H$5001,A341,Apparitions!$E$2:$E$5001,"○"))</f>
        <v/>
      </c>
      <c r="J341" s="29" t="str">
        <f aca="false">IF(A341="","",IFERROR(1/(1/_xlfn.MINIFS(Apparitions!$L$2:$L$5001,Apparitions!$H$2:$H$5001,A341)),""))</f>
        <v/>
      </c>
    </row>
    <row r="342" customFormat="false" ht="15" hidden="false" customHeight="false" outlineLevel="0" collapsed="false">
      <c r="A342" s="19"/>
      <c r="B342" s="19"/>
      <c r="C342" s="19"/>
      <c r="D342" s="19"/>
      <c r="E342" s="32"/>
      <c r="F342" s="19"/>
      <c r="G342" s="26" t="str">
        <f aca="false">IF(A342="","",COUNTIF(Pubs!$B$2:$B$3001,A342))</f>
        <v/>
      </c>
      <c r="H342" s="26" t="str">
        <f aca="false">IF(A342="","",COUNTIF(Apparitions!$H$2:$H$5001,A342))</f>
        <v/>
      </c>
      <c r="I342" s="26" t="str">
        <f aca="false">IF(A342="","",COUNTIFS(Apparitions!$H$2:$H$5001,A342,Apparitions!$E$2:$E$5001,"○"))</f>
        <v/>
      </c>
      <c r="J342" s="29" t="str">
        <f aca="false">IF(A342="","",IFERROR(1/(1/_xlfn.MINIFS(Apparitions!$L$2:$L$5001,Apparitions!$H$2:$H$5001,A342)),""))</f>
        <v/>
      </c>
    </row>
    <row r="343" customFormat="false" ht="15" hidden="false" customHeight="false" outlineLevel="0" collapsed="false">
      <c r="A343" s="19"/>
      <c r="B343" s="19"/>
      <c r="C343" s="19"/>
      <c r="D343" s="19"/>
      <c r="E343" s="32"/>
      <c r="F343" s="19"/>
      <c r="G343" s="26" t="str">
        <f aca="false">IF(A343="","",COUNTIF(Pubs!$B$2:$B$3001,A343))</f>
        <v/>
      </c>
      <c r="H343" s="26" t="str">
        <f aca="false">IF(A343="","",COUNTIF(Apparitions!$H$2:$H$5001,A343))</f>
        <v/>
      </c>
      <c r="I343" s="26" t="str">
        <f aca="false">IF(A343="","",COUNTIFS(Apparitions!$H$2:$H$5001,A343,Apparitions!$E$2:$E$5001,"○"))</f>
        <v/>
      </c>
      <c r="J343" s="29" t="str">
        <f aca="false">IF(A343="","",IFERROR(1/(1/_xlfn.MINIFS(Apparitions!$L$2:$L$5001,Apparitions!$H$2:$H$5001,A343)),""))</f>
        <v/>
      </c>
    </row>
    <row r="344" customFormat="false" ht="15" hidden="false" customHeight="false" outlineLevel="0" collapsed="false">
      <c r="A344" s="19"/>
      <c r="B344" s="19"/>
      <c r="C344" s="19"/>
      <c r="D344" s="19"/>
      <c r="E344" s="32"/>
      <c r="F344" s="19"/>
      <c r="G344" s="26" t="str">
        <f aca="false">IF(A344="","",COUNTIF(Pubs!$B$2:$B$3001,A344))</f>
        <v/>
      </c>
      <c r="H344" s="26" t="str">
        <f aca="false">IF(A344="","",COUNTIF(Apparitions!$H$2:$H$5001,A344))</f>
        <v/>
      </c>
      <c r="I344" s="26" t="str">
        <f aca="false">IF(A344="","",COUNTIFS(Apparitions!$H$2:$H$5001,A344,Apparitions!$E$2:$E$5001,"○"))</f>
        <v/>
      </c>
      <c r="J344" s="29" t="str">
        <f aca="false">IF(A344="","",IFERROR(1/(1/_xlfn.MINIFS(Apparitions!$L$2:$L$5001,Apparitions!$H$2:$H$5001,A344)),""))</f>
        <v/>
      </c>
    </row>
    <row r="345" customFormat="false" ht="15" hidden="false" customHeight="false" outlineLevel="0" collapsed="false">
      <c r="A345" s="19"/>
      <c r="B345" s="19"/>
      <c r="C345" s="19"/>
      <c r="D345" s="19"/>
      <c r="E345" s="32"/>
      <c r="F345" s="19"/>
      <c r="G345" s="26" t="str">
        <f aca="false">IF(A345="","",COUNTIF(Pubs!$B$2:$B$3001,A345))</f>
        <v/>
      </c>
      <c r="H345" s="26" t="str">
        <f aca="false">IF(A345="","",COUNTIF(Apparitions!$H$2:$H$5001,A345))</f>
        <v/>
      </c>
      <c r="I345" s="26" t="str">
        <f aca="false">IF(A345="","",COUNTIFS(Apparitions!$H$2:$H$5001,A345,Apparitions!$E$2:$E$5001,"○"))</f>
        <v/>
      </c>
      <c r="J345" s="29" t="str">
        <f aca="false">IF(A345="","",IFERROR(1/(1/_xlfn.MINIFS(Apparitions!$L$2:$L$5001,Apparitions!$H$2:$H$5001,A345)),""))</f>
        <v/>
      </c>
    </row>
    <row r="346" customFormat="false" ht="15" hidden="false" customHeight="false" outlineLevel="0" collapsed="false">
      <c r="A346" s="19"/>
      <c r="B346" s="19"/>
      <c r="C346" s="19"/>
      <c r="D346" s="19"/>
      <c r="E346" s="32"/>
      <c r="F346" s="19"/>
      <c r="G346" s="26" t="str">
        <f aca="false">IF(A346="","",COUNTIF(Pubs!$B$2:$B$3001,A346))</f>
        <v/>
      </c>
      <c r="H346" s="26" t="str">
        <f aca="false">IF(A346="","",COUNTIF(Apparitions!$H$2:$H$5001,A346))</f>
        <v/>
      </c>
      <c r="I346" s="26" t="str">
        <f aca="false">IF(A346="","",COUNTIFS(Apparitions!$H$2:$H$5001,A346,Apparitions!$E$2:$E$5001,"○"))</f>
        <v/>
      </c>
      <c r="J346" s="29" t="str">
        <f aca="false">IF(A346="","",IFERROR(1/(1/_xlfn.MINIFS(Apparitions!$L$2:$L$5001,Apparitions!$H$2:$H$5001,A346)),""))</f>
        <v/>
      </c>
    </row>
    <row r="347" customFormat="false" ht="15" hidden="false" customHeight="false" outlineLevel="0" collapsed="false">
      <c r="A347" s="19"/>
      <c r="B347" s="19"/>
      <c r="C347" s="19"/>
      <c r="D347" s="19"/>
      <c r="E347" s="32"/>
      <c r="F347" s="19"/>
      <c r="G347" s="26" t="str">
        <f aca="false">IF(A347="","",COUNTIF(Pubs!$B$2:$B$3001,A347))</f>
        <v/>
      </c>
      <c r="H347" s="26" t="str">
        <f aca="false">IF(A347="","",COUNTIF(Apparitions!$H$2:$H$5001,A347))</f>
        <v/>
      </c>
      <c r="I347" s="26" t="str">
        <f aca="false">IF(A347="","",COUNTIFS(Apparitions!$H$2:$H$5001,A347,Apparitions!$E$2:$E$5001,"○"))</f>
        <v/>
      </c>
      <c r="J347" s="29" t="str">
        <f aca="false">IF(A347="","",IFERROR(1/(1/_xlfn.MINIFS(Apparitions!$L$2:$L$5001,Apparitions!$H$2:$H$5001,A347)),""))</f>
        <v/>
      </c>
    </row>
    <row r="348" customFormat="false" ht="15" hidden="false" customHeight="false" outlineLevel="0" collapsed="false">
      <c r="A348" s="19"/>
      <c r="B348" s="19"/>
      <c r="C348" s="19"/>
      <c r="D348" s="19"/>
      <c r="E348" s="32"/>
      <c r="F348" s="19"/>
      <c r="G348" s="26" t="str">
        <f aca="false">IF(A348="","",COUNTIF(Pubs!$B$2:$B$3001,A348))</f>
        <v/>
      </c>
      <c r="H348" s="26" t="str">
        <f aca="false">IF(A348="","",COUNTIF(Apparitions!$H$2:$H$5001,A348))</f>
        <v/>
      </c>
      <c r="I348" s="26" t="str">
        <f aca="false">IF(A348="","",COUNTIFS(Apparitions!$H$2:$H$5001,A348,Apparitions!$E$2:$E$5001,"○"))</f>
        <v/>
      </c>
      <c r="J348" s="29" t="str">
        <f aca="false">IF(A348="","",IFERROR(1/(1/_xlfn.MINIFS(Apparitions!$L$2:$L$5001,Apparitions!$H$2:$H$5001,A348)),""))</f>
        <v/>
      </c>
    </row>
    <row r="349" customFormat="false" ht="15" hidden="false" customHeight="false" outlineLevel="0" collapsed="false">
      <c r="A349" s="19"/>
      <c r="B349" s="19"/>
      <c r="C349" s="19"/>
      <c r="D349" s="19"/>
      <c r="E349" s="32"/>
      <c r="F349" s="19"/>
      <c r="G349" s="26" t="str">
        <f aca="false">IF(A349="","",COUNTIF(Pubs!$B$2:$B$3001,A349))</f>
        <v/>
      </c>
      <c r="H349" s="26" t="str">
        <f aca="false">IF(A349="","",COUNTIF(Apparitions!$H$2:$H$5001,A349))</f>
        <v/>
      </c>
      <c r="I349" s="26" t="str">
        <f aca="false">IF(A349="","",COUNTIFS(Apparitions!$H$2:$H$5001,A349,Apparitions!$E$2:$E$5001,"○"))</f>
        <v/>
      </c>
      <c r="J349" s="29" t="str">
        <f aca="false">IF(A349="","",IFERROR(1/(1/_xlfn.MINIFS(Apparitions!$L$2:$L$5001,Apparitions!$H$2:$H$5001,A349)),""))</f>
        <v/>
      </c>
    </row>
    <row r="350" customFormat="false" ht="15" hidden="false" customHeight="false" outlineLevel="0" collapsed="false">
      <c r="A350" s="19"/>
      <c r="B350" s="19"/>
      <c r="C350" s="19"/>
      <c r="D350" s="19"/>
      <c r="E350" s="32"/>
      <c r="F350" s="19"/>
      <c r="G350" s="26" t="str">
        <f aca="false">IF(A350="","",COUNTIF(Pubs!$B$2:$B$3001,A350))</f>
        <v/>
      </c>
      <c r="H350" s="26" t="str">
        <f aca="false">IF(A350="","",COUNTIF(Apparitions!$H$2:$H$5001,A350))</f>
        <v/>
      </c>
      <c r="I350" s="26" t="str">
        <f aca="false">IF(A350="","",COUNTIFS(Apparitions!$H$2:$H$5001,A350,Apparitions!$E$2:$E$5001,"○"))</f>
        <v/>
      </c>
      <c r="J350" s="29" t="str">
        <f aca="false">IF(A350="","",IFERROR(1/(1/_xlfn.MINIFS(Apparitions!$L$2:$L$5001,Apparitions!$H$2:$H$5001,A350)),""))</f>
        <v/>
      </c>
    </row>
    <row r="351" customFormat="false" ht="15" hidden="false" customHeight="false" outlineLevel="0" collapsed="false">
      <c r="A351" s="19"/>
      <c r="B351" s="19"/>
      <c r="C351" s="19"/>
      <c r="D351" s="19"/>
      <c r="E351" s="32"/>
      <c r="F351" s="19"/>
      <c r="G351" s="26" t="str">
        <f aca="false">IF(A351="","",COUNTIF(Pubs!$B$2:$B$3001,A351))</f>
        <v/>
      </c>
      <c r="H351" s="26" t="str">
        <f aca="false">IF(A351="","",COUNTIF(Apparitions!$H$2:$H$5001,A351))</f>
        <v/>
      </c>
      <c r="I351" s="26" t="str">
        <f aca="false">IF(A351="","",COUNTIFS(Apparitions!$H$2:$H$5001,A351,Apparitions!$E$2:$E$5001,"○"))</f>
        <v/>
      </c>
      <c r="J351" s="29" t="str">
        <f aca="false">IF(A351="","",IFERROR(1/(1/_xlfn.MINIFS(Apparitions!$L$2:$L$5001,Apparitions!$H$2:$H$5001,A351)),""))</f>
        <v/>
      </c>
    </row>
    <row r="352" customFormat="false" ht="15" hidden="false" customHeight="false" outlineLevel="0" collapsed="false">
      <c r="A352" s="19"/>
      <c r="B352" s="19"/>
      <c r="C352" s="19"/>
      <c r="D352" s="19"/>
      <c r="E352" s="32"/>
      <c r="F352" s="19"/>
      <c r="G352" s="26" t="str">
        <f aca="false">IF(A352="","",COUNTIF(Pubs!$B$2:$B$3001,A352))</f>
        <v/>
      </c>
      <c r="H352" s="26" t="str">
        <f aca="false">IF(A352="","",COUNTIF(Apparitions!$H$2:$H$5001,A352))</f>
        <v/>
      </c>
      <c r="I352" s="26" t="str">
        <f aca="false">IF(A352="","",COUNTIFS(Apparitions!$H$2:$H$5001,A352,Apparitions!$E$2:$E$5001,"○"))</f>
        <v/>
      </c>
      <c r="J352" s="29" t="str">
        <f aca="false">IF(A352="","",IFERROR(1/(1/_xlfn.MINIFS(Apparitions!$L$2:$L$5001,Apparitions!$H$2:$H$5001,A352)),""))</f>
        <v/>
      </c>
    </row>
    <row r="353" customFormat="false" ht="15" hidden="false" customHeight="false" outlineLevel="0" collapsed="false">
      <c r="A353" s="19"/>
      <c r="B353" s="19"/>
      <c r="C353" s="19"/>
      <c r="D353" s="19"/>
      <c r="E353" s="32"/>
      <c r="F353" s="19"/>
      <c r="G353" s="26" t="str">
        <f aca="false">IF(A353="","",COUNTIF(Pubs!$B$2:$B$3001,A353))</f>
        <v/>
      </c>
      <c r="H353" s="26" t="str">
        <f aca="false">IF(A353="","",COUNTIF(Apparitions!$H$2:$H$5001,A353))</f>
        <v/>
      </c>
      <c r="I353" s="26" t="str">
        <f aca="false">IF(A353="","",COUNTIFS(Apparitions!$H$2:$H$5001,A353,Apparitions!$E$2:$E$5001,"○"))</f>
        <v/>
      </c>
      <c r="J353" s="29" t="str">
        <f aca="false">IF(A353="","",IFERROR(1/(1/_xlfn.MINIFS(Apparitions!$L$2:$L$5001,Apparitions!$H$2:$H$5001,A353)),""))</f>
        <v/>
      </c>
    </row>
    <row r="354" customFormat="false" ht="15" hidden="false" customHeight="false" outlineLevel="0" collapsed="false">
      <c r="A354" s="19"/>
      <c r="B354" s="19"/>
      <c r="C354" s="19"/>
      <c r="D354" s="19"/>
      <c r="E354" s="32"/>
      <c r="F354" s="19"/>
      <c r="G354" s="26" t="str">
        <f aca="false">IF(A354="","",COUNTIF(Pubs!$B$2:$B$3001,A354))</f>
        <v/>
      </c>
      <c r="H354" s="26" t="str">
        <f aca="false">IF(A354="","",COUNTIF(Apparitions!$H$2:$H$5001,A354))</f>
        <v/>
      </c>
      <c r="I354" s="26" t="str">
        <f aca="false">IF(A354="","",COUNTIFS(Apparitions!$H$2:$H$5001,A354,Apparitions!$E$2:$E$5001,"○"))</f>
        <v/>
      </c>
      <c r="J354" s="29" t="str">
        <f aca="false">IF(A354="","",IFERROR(1/(1/_xlfn.MINIFS(Apparitions!$L$2:$L$5001,Apparitions!$H$2:$H$5001,A354)),""))</f>
        <v/>
      </c>
    </row>
    <row r="355" customFormat="false" ht="15" hidden="false" customHeight="false" outlineLevel="0" collapsed="false">
      <c r="A355" s="19"/>
      <c r="B355" s="19"/>
      <c r="C355" s="19"/>
      <c r="D355" s="19"/>
      <c r="E355" s="32"/>
      <c r="F355" s="19"/>
      <c r="G355" s="26" t="str">
        <f aca="false">IF(A355="","",COUNTIF(Pubs!$B$2:$B$3001,A355))</f>
        <v/>
      </c>
      <c r="H355" s="26" t="str">
        <f aca="false">IF(A355="","",COUNTIF(Apparitions!$H$2:$H$5001,A355))</f>
        <v/>
      </c>
      <c r="I355" s="26" t="str">
        <f aca="false">IF(A355="","",COUNTIFS(Apparitions!$H$2:$H$5001,A355,Apparitions!$E$2:$E$5001,"○"))</f>
        <v/>
      </c>
      <c r="J355" s="29" t="str">
        <f aca="false">IF(A355="","",IFERROR(1/(1/_xlfn.MINIFS(Apparitions!$L$2:$L$5001,Apparitions!$H$2:$H$5001,A355)),""))</f>
        <v/>
      </c>
    </row>
    <row r="356" customFormat="false" ht="15" hidden="false" customHeight="false" outlineLevel="0" collapsed="false">
      <c r="A356" s="19"/>
      <c r="B356" s="19"/>
      <c r="C356" s="19"/>
      <c r="D356" s="19"/>
      <c r="E356" s="32"/>
      <c r="F356" s="19"/>
      <c r="G356" s="26" t="str">
        <f aca="false">IF(A356="","",COUNTIF(Pubs!$B$2:$B$3001,A356))</f>
        <v/>
      </c>
      <c r="H356" s="26" t="str">
        <f aca="false">IF(A356="","",COUNTIF(Apparitions!$H$2:$H$5001,A356))</f>
        <v/>
      </c>
      <c r="I356" s="26" t="str">
        <f aca="false">IF(A356="","",COUNTIFS(Apparitions!$H$2:$H$5001,A356,Apparitions!$E$2:$E$5001,"○"))</f>
        <v/>
      </c>
      <c r="J356" s="29" t="str">
        <f aca="false">IF(A356="","",IFERROR(1/(1/_xlfn.MINIFS(Apparitions!$L$2:$L$5001,Apparitions!$H$2:$H$5001,A356)),""))</f>
        <v/>
      </c>
    </row>
    <row r="357" customFormat="false" ht="15" hidden="false" customHeight="false" outlineLevel="0" collapsed="false">
      <c r="A357" s="19"/>
      <c r="B357" s="19"/>
      <c r="C357" s="19"/>
      <c r="D357" s="19"/>
      <c r="E357" s="32"/>
      <c r="F357" s="19"/>
      <c r="G357" s="26" t="str">
        <f aca="false">IF(A357="","",COUNTIF(Pubs!$B$2:$B$3001,A357))</f>
        <v/>
      </c>
      <c r="H357" s="26" t="str">
        <f aca="false">IF(A357="","",COUNTIF(Apparitions!$H$2:$H$5001,A357))</f>
        <v/>
      </c>
      <c r="I357" s="26" t="str">
        <f aca="false">IF(A357="","",COUNTIFS(Apparitions!$H$2:$H$5001,A357,Apparitions!$E$2:$E$5001,"○"))</f>
        <v/>
      </c>
      <c r="J357" s="29" t="str">
        <f aca="false">IF(A357="","",IFERROR(1/(1/_xlfn.MINIFS(Apparitions!$L$2:$L$5001,Apparitions!$H$2:$H$5001,A357)),""))</f>
        <v/>
      </c>
    </row>
    <row r="358" customFormat="false" ht="15" hidden="false" customHeight="false" outlineLevel="0" collapsed="false">
      <c r="A358" s="19"/>
      <c r="B358" s="19"/>
      <c r="C358" s="19"/>
      <c r="D358" s="19"/>
      <c r="E358" s="32"/>
      <c r="F358" s="19"/>
      <c r="G358" s="26" t="str">
        <f aca="false">IF(A358="","",COUNTIF(Pubs!$B$2:$B$3001,A358))</f>
        <v/>
      </c>
      <c r="H358" s="26" t="str">
        <f aca="false">IF(A358="","",COUNTIF(Apparitions!$H$2:$H$5001,A358))</f>
        <v/>
      </c>
      <c r="I358" s="26" t="str">
        <f aca="false">IF(A358="","",COUNTIFS(Apparitions!$H$2:$H$5001,A358,Apparitions!$E$2:$E$5001,"○"))</f>
        <v/>
      </c>
      <c r="J358" s="29" t="str">
        <f aca="false">IF(A358="","",IFERROR(1/(1/_xlfn.MINIFS(Apparitions!$L$2:$L$5001,Apparitions!$H$2:$H$5001,A358)),""))</f>
        <v/>
      </c>
    </row>
    <row r="359" customFormat="false" ht="15" hidden="false" customHeight="false" outlineLevel="0" collapsed="false">
      <c r="A359" s="19"/>
      <c r="B359" s="19"/>
      <c r="C359" s="19"/>
      <c r="D359" s="19"/>
      <c r="E359" s="32"/>
      <c r="F359" s="19"/>
      <c r="G359" s="26" t="str">
        <f aca="false">IF(A359="","",COUNTIF(Pubs!$B$2:$B$3001,A359))</f>
        <v/>
      </c>
      <c r="H359" s="26" t="str">
        <f aca="false">IF(A359="","",COUNTIF(Apparitions!$H$2:$H$5001,A359))</f>
        <v/>
      </c>
      <c r="I359" s="26" t="str">
        <f aca="false">IF(A359="","",COUNTIFS(Apparitions!$H$2:$H$5001,A359,Apparitions!$E$2:$E$5001,"○"))</f>
        <v/>
      </c>
      <c r="J359" s="29" t="str">
        <f aca="false">IF(A359="","",IFERROR(1/(1/_xlfn.MINIFS(Apparitions!$L$2:$L$5001,Apparitions!$H$2:$H$5001,A359)),""))</f>
        <v/>
      </c>
    </row>
    <row r="360" customFormat="false" ht="15" hidden="false" customHeight="false" outlineLevel="0" collapsed="false">
      <c r="A360" s="19"/>
      <c r="B360" s="19"/>
      <c r="C360" s="19"/>
      <c r="D360" s="19"/>
      <c r="E360" s="32"/>
      <c r="F360" s="19"/>
      <c r="G360" s="26" t="str">
        <f aca="false">IF(A360="","",COUNTIF(Pubs!$B$2:$B$3001,A360))</f>
        <v/>
      </c>
      <c r="H360" s="26" t="str">
        <f aca="false">IF(A360="","",COUNTIF(Apparitions!$H$2:$H$5001,A360))</f>
        <v/>
      </c>
      <c r="I360" s="26" t="str">
        <f aca="false">IF(A360="","",COUNTIFS(Apparitions!$H$2:$H$5001,A360,Apparitions!$E$2:$E$5001,"○"))</f>
        <v/>
      </c>
      <c r="J360" s="29" t="str">
        <f aca="false">IF(A360="","",IFERROR(1/(1/_xlfn.MINIFS(Apparitions!$L$2:$L$5001,Apparitions!$H$2:$H$5001,A360)),""))</f>
        <v/>
      </c>
    </row>
    <row r="361" customFormat="false" ht="15" hidden="false" customHeight="false" outlineLevel="0" collapsed="false">
      <c r="A361" s="19"/>
      <c r="B361" s="19"/>
      <c r="C361" s="19"/>
      <c r="D361" s="19"/>
      <c r="E361" s="32"/>
      <c r="F361" s="19"/>
      <c r="G361" s="26" t="str">
        <f aca="false">IF(A361="","",COUNTIF(Pubs!$B$2:$B$3001,A361))</f>
        <v/>
      </c>
      <c r="H361" s="26" t="str">
        <f aca="false">IF(A361="","",COUNTIF(Apparitions!$H$2:$H$5001,A361))</f>
        <v/>
      </c>
      <c r="I361" s="26" t="str">
        <f aca="false">IF(A361="","",COUNTIFS(Apparitions!$H$2:$H$5001,A361,Apparitions!$E$2:$E$5001,"○"))</f>
        <v/>
      </c>
      <c r="J361" s="29" t="str">
        <f aca="false">IF(A361="","",IFERROR(1/(1/_xlfn.MINIFS(Apparitions!$L$2:$L$5001,Apparitions!$H$2:$H$5001,A361)),""))</f>
        <v/>
      </c>
    </row>
    <row r="362" customFormat="false" ht="15" hidden="false" customHeight="false" outlineLevel="0" collapsed="false">
      <c r="A362" s="19"/>
      <c r="B362" s="19"/>
      <c r="C362" s="19"/>
      <c r="D362" s="19"/>
      <c r="E362" s="32"/>
      <c r="F362" s="19"/>
      <c r="G362" s="26" t="str">
        <f aca="false">IF(A362="","",COUNTIF(Pubs!$B$2:$B$3001,A362))</f>
        <v/>
      </c>
      <c r="H362" s="26" t="str">
        <f aca="false">IF(A362="","",COUNTIF(Apparitions!$H$2:$H$5001,A362))</f>
        <v/>
      </c>
      <c r="I362" s="26" t="str">
        <f aca="false">IF(A362="","",COUNTIFS(Apparitions!$H$2:$H$5001,A362,Apparitions!$E$2:$E$5001,"○"))</f>
        <v/>
      </c>
      <c r="J362" s="29" t="str">
        <f aca="false">IF(A362="","",IFERROR(1/(1/_xlfn.MINIFS(Apparitions!$L$2:$L$5001,Apparitions!$H$2:$H$5001,A362)),""))</f>
        <v/>
      </c>
    </row>
    <row r="363" customFormat="false" ht="15" hidden="false" customHeight="false" outlineLevel="0" collapsed="false">
      <c r="A363" s="19"/>
      <c r="B363" s="19"/>
      <c r="C363" s="19"/>
      <c r="D363" s="19"/>
      <c r="E363" s="32"/>
      <c r="F363" s="19"/>
      <c r="G363" s="26" t="str">
        <f aca="false">IF(A363="","",COUNTIF(Pubs!$B$2:$B$3001,A363))</f>
        <v/>
      </c>
      <c r="H363" s="26" t="str">
        <f aca="false">IF(A363="","",COUNTIF(Apparitions!$H$2:$H$5001,A363))</f>
        <v/>
      </c>
      <c r="I363" s="26" t="str">
        <f aca="false">IF(A363="","",COUNTIFS(Apparitions!$H$2:$H$5001,A363,Apparitions!$E$2:$E$5001,"○"))</f>
        <v/>
      </c>
      <c r="J363" s="29" t="str">
        <f aca="false">IF(A363="","",IFERROR(1/(1/_xlfn.MINIFS(Apparitions!$L$2:$L$5001,Apparitions!$H$2:$H$5001,A363)),""))</f>
        <v/>
      </c>
    </row>
    <row r="364" customFormat="false" ht="15" hidden="false" customHeight="false" outlineLevel="0" collapsed="false">
      <c r="A364" s="19"/>
      <c r="B364" s="19"/>
      <c r="C364" s="19"/>
      <c r="D364" s="19"/>
      <c r="E364" s="32"/>
      <c r="F364" s="19"/>
      <c r="G364" s="26" t="str">
        <f aca="false">IF(A364="","",COUNTIF(Pubs!$B$2:$B$3001,A364))</f>
        <v/>
      </c>
      <c r="H364" s="26" t="str">
        <f aca="false">IF(A364="","",COUNTIF(Apparitions!$H$2:$H$5001,A364))</f>
        <v/>
      </c>
      <c r="I364" s="26" t="str">
        <f aca="false">IF(A364="","",COUNTIFS(Apparitions!$H$2:$H$5001,A364,Apparitions!$E$2:$E$5001,"○"))</f>
        <v/>
      </c>
      <c r="J364" s="29" t="str">
        <f aca="false">IF(A364="","",IFERROR(1/(1/_xlfn.MINIFS(Apparitions!$L$2:$L$5001,Apparitions!$H$2:$H$5001,A364)),""))</f>
        <v/>
      </c>
    </row>
    <row r="365" customFormat="false" ht="15" hidden="false" customHeight="false" outlineLevel="0" collapsed="false">
      <c r="A365" s="19"/>
      <c r="B365" s="19"/>
      <c r="C365" s="19"/>
      <c r="D365" s="19"/>
      <c r="E365" s="32"/>
      <c r="F365" s="19"/>
      <c r="G365" s="26" t="str">
        <f aca="false">IF(A365="","",COUNTIF(Pubs!$B$2:$B$3001,A365))</f>
        <v/>
      </c>
      <c r="H365" s="26" t="str">
        <f aca="false">IF(A365="","",COUNTIF(Apparitions!$H$2:$H$5001,A365))</f>
        <v/>
      </c>
      <c r="I365" s="26" t="str">
        <f aca="false">IF(A365="","",COUNTIFS(Apparitions!$H$2:$H$5001,A365,Apparitions!$E$2:$E$5001,"○"))</f>
        <v/>
      </c>
      <c r="J365" s="29" t="str">
        <f aca="false">IF(A365="","",IFERROR(1/(1/_xlfn.MINIFS(Apparitions!$L$2:$L$5001,Apparitions!$H$2:$H$5001,A365)),""))</f>
        <v/>
      </c>
    </row>
    <row r="366" customFormat="false" ht="15" hidden="false" customHeight="false" outlineLevel="0" collapsed="false">
      <c r="A366" s="19"/>
      <c r="B366" s="19"/>
      <c r="C366" s="19"/>
      <c r="D366" s="19"/>
      <c r="E366" s="32"/>
      <c r="F366" s="19"/>
      <c r="G366" s="26" t="str">
        <f aca="false">IF(A366="","",COUNTIF(Pubs!$B$2:$B$3001,A366))</f>
        <v/>
      </c>
      <c r="H366" s="26" t="str">
        <f aca="false">IF(A366="","",COUNTIF(Apparitions!$H$2:$H$5001,A366))</f>
        <v/>
      </c>
      <c r="I366" s="26" t="str">
        <f aca="false">IF(A366="","",COUNTIFS(Apparitions!$H$2:$H$5001,A366,Apparitions!$E$2:$E$5001,"○"))</f>
        <v/>
      </c>
      <c r="J366" s="29" t="str">
        <f aca="false">IF(A366="","",IFERROR(1/(1/_xlfn.MINIFS(Apparitions!$L$2:$L$5001,Apparitions!$H$2:$H$5001,A366)),""))</f>
        <v/>
      </c>
    </row>
    <row r="367" customFormat="false" ht="15" hidden="false" customHeight="false" outlineLevel="0" collapsed="false">
      <c r="A367" s="19"/>
      <c r="B367" s="19"/>
      <c r="C367" s="19"/>
      <c r="D367" s="19"/>
      <c r="E367" s="32"/>
      <c r="F367" s="19"/>
      <c r="G367" s="26" t="str">
        <f aca="false">IF(A367="","",COUNTIF(Pubs!$B$2:$B$3001,A367))</f>
        <v/>
      </c>
      <c r="H367" s="26" t="str">
        <f aca="false">IF(A367="","",COUNTIF(Apparitions!$H$2:$H$5001,A367))</f>
        <v/>
      </c>
      <c r="I367" s="26" t="str">
        <f aca="false">IF(A367="","",COUNTIFS(Apparitions!$H$2:$H$5001,A367,Apparitions!$E$2:$E$5001,"○"))</f>
        <v/>
      </c>
      <c r="J367" s="29" t="str">
        <f aca="false">IF(A367="","",IFERROR(1/(1/_xlfn.MINIFS(Apparitions!$L$2:$L$5001,Apparitions!$H$2:$H$5001,A367)),""))</f>
        <v/>
      </c>
    </row>
    <row r="368" customFormat="false" ht="15" hidden="false" customHeight="false" outlineLevel="0" collapsed="false">
      <c r="A368" s="19"/>
      <c r="B368" s="19"/>
      <c r="C368" s="19"/>
      <c r="D368" s="19"/>
      <c r="E368" s="32"/>
      <c r="F368" s="19"/>
      <c r="G368" s="26" t="str">
        <f aca="false">IF(A368="","",COUNTIF(Pubs!$B$2:$B$3001,A368))</f>
        <v/>
      </c>
      <c r="H368" s="26" t="str">
        <f aca="false">IF(A368="","",COUNTIF(Apparitions!$H$2:$H$5001,A368))</f>
        <v/>
      </c>
      <c r="I368" s="26" t="str">
        <f aca="false">IF(A368="","",COUNTIFS(Apparitions!$H$2:$H$5001,A368,Apparitions!$E$2:$E$5001,"○"))</f>
        <v/>
      </c>
      <c r="J368" s="29" t="str">
        <f aca="false">IF(A368="","",IFERROR(1/(1/_xlfn.MINIFS(Apparitions!$L$2:$L$5001,Apparitions!$H$2:$H$5001,A368)),""))</f>
        <v/>
      </c>
    </row>
    <row r="369" customFormat="false" ht="15" hidden="false" customHeight="false" outlineLevel="0" collapsed="false">
      <c r="A369" s="19"/>
      <c r="B369" s="19"/>
      <c r="C369" s="19"/>
      <c r="D369" s="19"/>
      <c r="E369" s="32"/>
      <c r="F369" s="19"/>
      <c r="G369" s="26" t="str">
        <f aca="false">IF(A369="","",COUNTIF(Pubs!$B$2:$B$3001,A369))</f>
        <v/>
      </c>
      <c r="H369" s="26" t="str">
        <f aca="false">IF(A369="","",COUNTIF(Apparitions!$H$2:$H$5001,A369))</f>
        <v/>
      </c>
      <c r="I369" s="26" t="str">
        <f aca="false">IF(A369="","",COUNTIFS(Apparitions!$H$2:$H$5001,A369,Apparitions!$E$2:$E$5001,"○"))</f>
        <v/>
      </c>
      <c r="J369" s="29" t="str">
        <f aca="false">IF(A369="","",IFERROR(1/(1/_xlfn.MINIFS(Apparitions!$L$2:$L$5001,Apparitions!$H$2:$H$5001,A369)),""))</f>
        <v/>
      </c>
    </row>
    <row r="370" customFormat="false" ht="15" hidden="false" customHeight="false" outlineLevel="0" collapsed="false">
      <c r="A370" s="19"/>
      <c r="B370" s="19"/>
      <c r="C370" s="19"/>
      <c r="D370" s="19"/>
      <c r="E370" s="32"/>
      <c r="F370" s="19"/>
      <c r="G370" s="26" t="str">
        <f aca="false">IF(A370="","",COUNTIF(Pubs!$B$2:$B$3001,A370))</f>
        <v/>
      </c>
      <c r="H370" s="26" t="str">
        <f aca="false">IF(A370="","",COUNTIF(Apparitions!$H$2:$H$5001,A370))</f>
        <v/>
      </c>
      <c r="I370" s="26" t="str">
        <f aca="false">IF(A370="","",COUNTIFS(Apparitions!$H$2:$H$5001,A370,Apparitions!$E$2:$E$5001,"○"))</f>
        <v/>
      </c>
      <c r="J370" s="29" t="str">
        <f aca="false">IF(A370="","",IFERROR(1/(1/_xlfn.MINIFS(Apparitions!$L$2:$L$5001,Apparitions!$H$2:$H$5001,A370)),""))</f>
        <v/>
      </c>
    </row>
    <row r="371" customFormat="false" ht="15" hidden="false" customHeight="false" outlineLevel="0" collapsed="false">
      <c r="A371" s="19"/>
      <c r="B371" s="19"/>
      <c r="C371" s="19"/>
      <c r="D371" s="19"/>
      <c r="E371" s="32"/>
      <c r="F371" s="19"/>
      <c r="G371" s="26" t="str">
        <f aca="false">IF(A371="","",COUNTIF(Pubs!$B$2:$B$3001,A371))</f>
        <v/>
      </c>
      <c r="H371" s="26" t="str">
        <f aca="false">IF(A371="","",COUNTIF(Apparitions!$H$2:$H$5001,A371))</f>
        <v/>
      </c>
      <c r="I371" s="26" t="str">
        <f aca="false">IF(A371="","",COUNTIFS(Apparitions!$H$2:$H$5001,A371,Apparitions!$E$2:$E$5001,"○"))</f>
        <v/>
      </c>
      <c r="J371" s="29" t="str">
        <f aca="false">IF(A371="","",IFERROR(1/(1/_xlfn.MINIFS(Apparitions!$L$2:$L$5001,Apparitions!$H$2:$H$5001,A371)),""))</f>
        <v/>
      </c>
    </row>
    <row r="372" customFormat="false" ht="15" hidden="false" customHeight="false" outlineLevel="0" collapsed="false">
      <c r="A372" s="19"/>
      <c r="B372" s="19"/>
      <c r="C372" s="19"/>
      <c r="D372" s="19"/>
      <c r="E372" s="32"/>
      <c r="F372" s="19"/>
      <c r="G372" s="26" t="str">
        <f aca="false">IF(A372="","",COUNTIF(Pubs!$B$2:$B$3001,A372))</f>
        <v/>
      </c>
      <c r="H372" s="26" t="str">
        <f aca="false">IF(A372="","",COUNTIF(Apparitions!$H$2:$H$5001,A372))</f>
        <v/>
      </c>
      <c r="I372" s="26" t="str">
        <f aca="false">IF(A372="","",COUNTIFS(Apparitions!$H$2:$H$5001,A372,Apparitions!$E$2:$E$5001,"○"))</f>
        <v/>
      </c>
      <c r="J372" s="29" t="str">
        <f aca="false">IF(A372="","",IFERROR(1/(1/_xlfn.MINIFS(Apparitions!$L$2:$L$5001,Apparitions!$H$2:$H$5001,A372)),""))</f>
        <v/>
      </c>
    </row>
    <row r="373" customFormat="false" ht="15" hidden="false" customHeight="false" outlineLevel="0" collapsed="false">
      <c r="A373" s="19"/>
      <c r="B373" s="19"/>
      <c r="C373" s="19"/>
      <c r="D373" s="19"/>
      <c r="E373" s="32"/>
      <c r="F373" s="19"/>
      <c r="G373" s="26" t="str">
        <f aca="false">IF(A373="","",COUNTIF(Pubs!$B$2:$B$3001,A373))</f>
        <v/>
      </c>
      <c r="H373" s="26" t="str">
        <f aca="false">IF(A373="","",COUNTIF(Apparitions!$H$2:$H$5001,A373))</f>
        <v/>
      </c>
      <c r="I373" s="26" t="str">
        <f aca="false">IF(A373="","",COUNTIFS(Apparitions!$H$2:$H$5001,A373,Apparitions!$E$2:$E$5001,"○"))</f>
        <v/>
      </c>
      <c r="J373" s="29" t="str">
        <f aca="false">IF(A373="","",IFERROR(1/(1/_xlfn.MINIFS(Apparitions!$L$2:$L$5001,Apparitions!$H$2:$H$5001,A373)),""))</f>
        <v/>
      </c>
    </row>
    <row r="374" customFormat="false" ht="15" hidden="false" customHeight="false" outlineLevel="0" collapsed="false">
      <c r="A374" s="19"/>
      <c r="B374" s="19"/>
      <c r="C374" s="19"/>
      <c r="D374" s="19"/>
      <c r="E374" s="32"/>
      <c r="F374" s="19"/>
      <c r="G374" s="26" t="str">
        <f aca="false">IF(A374="","",COUNTIF(Pubs!$B$2:$B$3001,A374))</f>
        <v/>
      </c>
      <c r="H374" s="26" t="str">
        <f aca="false">IF(A374="","",COUNTIF(Apparitions!$H$2:$H$5001,A374))</f>
        <v/>
      </c>
      <c r="I374" s="26" t="str">
        <f aca="false">IF(A374="","",COUNTIFS(Apparitions!$H$2:$H$5001,A374,Apparitions!$E$2:$E$5001,"○"))</f>
        <v/>
      </c>
      <c r="J374" s="29" t="str">
        <f aca="false">IF(A374="","",IFERROR(1/(1/_xlfn.MINIFS(Apparitions!$L$2:$L$5001,Apparitions!$H$2:$H$5001,A374)),""))</f>
        <v/>
      </c>
    </row>
    <row r="375" customFormat="false" ht="15" hidden="false" customHeight="false" outlineLevel="0" collapsed="false">
      <c r="A375" s="19"/>
      <c r="B375" s="19"/>
      <c r="C375" s="19"/>
      <c r="D375" s="19"/>
      <c r="E375" s="32"/>
      <c r="F375" s="19"/>
      <c r="G375" s="26" t="str">
        <f aca="false">IF(A375="","",COUNTIF(Pubs!$B$2:$B$3001,A375))</f>
        <v/>
      </c>
      <c r="H375" s="26" t="str">
        <f aca="false">IF(A375="","",COUNTIF(Apparitions!$H$2:$H$5001,A375))</f>
        <v/>
      </c>
      <c r="I375" s="26" t="str">
        <f aca="false">IF(A375="","",COUNTIFS(Apparitions!$H$2:$H$5001,A375,Apparitions!$E$2:$E$5001,"○"))</f>
        <v/>
      </c>
      <c r="J375" s="29" t="str">
        <f aca="false">IF(A375="","",IFERROR(1/(1/_xlfn.MINIFS(Apparitions!$L$2:$L$5001,Apparitions!$H$2:$H$5001,A375)),""))</f>
        <v/>
      </c>
    </row>
    <row r="376" customFormat="false" ht="15" hidden="false" customHeight="false" outlineLevel="0" collapsed="false">
      <c r="A376" s="19"/>
      <c r="B376" s="19"/>
      <c r="C376" s="19"/>
      <c r="D376" s="19"/>
      <c r="E376" s="32"/>
      <c r="F376" s="19"/>
      <c r="G376" s="26" t="str">
        <f aca="false">IF(A376="","",COUNTIF(Pubs!$B$2:$B$3001,A376))</f>
        <v/>
      </c>
      <c r="H376" s="26" t="str">
        <f aca="false">IF(A376="","",COUNTIF(Apparitions!$H$2:$H$5001,A376))</f>
        <v/>
      </c>
      <c r="I376" s="26" t="str">
        <f aca="false">IF(A376="","",COUNTIFS(Apparitions!$H$2:$H$5001,A376,Apparitions!$E$2:$E$5001,"○"))</f>
        <v/>
      </c>
      <c r="J376" s="29" t="str">
        <f aca="false">IF(A376="","",IFERROR(1/(1/_xlfn.MINIFS(Apparitions!$L$2:$L$5001,Apparitions!$H$2:$H$5001,A376)),""))</f>
        <v/>
      </c>
    </row>
    <row r="377" customFormat="false" ht="15" hidden="false" customHeight="false" outlineLevel="0" collapsed="false">
      <c r="A377" s="19"/>
      <c r="B377" s="19"/>
      <c r="C377" s="19"/>
      <c r="D377" s="19"/>
      <c r="E377" s="32"/>
      <c r="F377" s="19"/>
      <c r="G377" s="26" t="str">
        <f aca="false">IF(A377="","",COUNTIF(Pubs!$B$2:$B$3001,A377))</f>
        <v/>
      </c>
      <c r="H377" s="26" t="str">
        <f aca="false">IF(A377="","",COUNTIF(Apparitions!$H$2:$H$5001,A377))</f>
        <v/>
      </c>
      <c r="I377" s="26" t="str">
        <f aca="false">IF(A377="","",COUNTIFS(Apparitions!$H$2:$H$5001,A377,Apparitions!$E$2:$E$5001,"○"))</f>
        <v/>
      </c>
      <c r="J377" s="29" t="str">
        <f aca="false">IF(A377="","",IFERROR(1/(1/_xlfn.MINIFS(Apparitions!$L$2:$L$5001,Apparitions!$H$2:$H$5001,A377)),""))</f>
        <v/>
      </c>
    </row>
    <row r="378" customFormat="false" ht="15" hidden="false" customHeight="false" outlineLevel="0" collapsed="false">
      <c r="A378" s="19"/>
      <c r="B378" s="19"/>
      <c r="C378" s="19"/>
      <c r="D378" s="19"/>
      <c r="E378" s="32"/>
      <c r="F378" s="19"/>
      <c r="G378" s="26" t="str">
        <f aca="false">IF(A378="","",COUNTIF(Pubs!$B$2:$B$3001,A378))</f>
        <v/>
      </c>
      <c r="H378" s="26" t="str">
        <f aca="false">IF(A378="","",COUNTIF(Apparitions!$H$2:$H$5001,A378))</f>
        <v/>
      </c>
      <c r="I378" s="26" t="str">
        <f aca="false">IF(A378="","",COUNTIFS(Apparitions!$H$2:$H$5001,A378,Apparitions!$E$2:$E$5001,"○"))</f>
        <v/>
      </c>
      <c r="J378" s="29" t="str">
        <f aca="false">IF(A378="","",IFERROR(1/(1/_xlfn.MINIFS(Apparitions!$L$2:$L$5001,Apparitions!$H$2:$H$5001,A378)),""))</f>
        <v/>
      </c>
    </row>
    <row r="379" customFormat="false" ht="15" hidden="false" customHeight="false" outlineLevel="0" collapsed="false">
      <c r="A379" s="19"/>
      <c r="B379" s="19"/>
      <c r="C379" s="19"/>
      <c r="D379" s="19"/>
      <c r="E379" s="32"/>
      <c r="F379" s="19"/>
      <c r="G379" s="26" t="str">
        <f aca="false">IF(A379="","",COUNTIF(Pubs!$B$2:$B$3001,A379))</f>
        <v/>
      </c>
      <c r="H379" s="26" t="str">
        <f aca="false">IF(A379="","",COUNTIF(Apparitions!$H$2:$H$5001,A379))</f>
        <v/>
      </c>
      <c r="I379" s="26" t="str">
        <f aca="false">IF(A379="","",COUNTIFS(Apparitions!$H$2:$H$5001,A379,Apparitions!$E$2:$E$5001,"○"))</f>
        <v/>
      </c>
      <c r="J379" s="29" t="str">
        <f aca="false">IF(A379="","",IFERROR(1/(1/_xlfn.MINIFS(Apparitions!$L$2:$L$5001,Apparitions!$H$2:$H$5001,A379)),""))</f>
        <v/>
      </c>
    </row>
    <row r="380" customFormat="false" ht="15" hidden="false" customHeight="false" outlineLevel="0" collapsed="false">
      <c r="A380" s="19"/>
      <c r="B380" s="19"/>
      <c r="C380" s="19"/>
      <c r="D380" s="19"/>
      <c r="E380" s="32"/>
      <c r="F380" s="19"/>
      <c r="G380" s="26" t="str">
        <f aca="false">IF(A380="","",COUNTIF(Pubs!$B$2:$B$3001,A380))</f>
        <v/>
      </c>
      <c r="H380" s="26" t="str">
        <f aca="false">IF(A380="","",COUNTIF(Apparitions!$H$2:$H$5001,A380))</f>
        <v/>
      </c>
      <c r="I380" s="26" t="str">
        <f aca="false">IF(A380="","",COUNTIFS(Apparitions!$H$2:$H$5001,A380,Apparitions!$E$2:$E$5001,"○"))</f>
        <v/>
      </c>
      <c r="J380" s="29" t="str">
        <f aca="false">IF(A380="","",IFERROR(1/(1/_xlfn.MINIFS(Apparitions!$L$2:$L$5001,Apparitions!$H$2:$H$5001,A380)),""))</f>
        <v/>
      </c>
    </row>
    <row r="381" customFormat="false" ht="15" hidden="false" customHeight="false" outlineLevel="0" collapsed="false">
      <c r="A381" s="19"/>
      <c r="B381" s="19"/>
      <c r="C381" s="19"/>
      <c r="D381" s="19"/>
      <c r="E381" s="32"/>
      <c r="F381" s="19"/>
      <c r="G381" s="26" t="str">
        <f aca="false">IF(A381="","",COUNTIF(Pubs!$B$2:$B$3001,A381))</f>
        <v/>
      </c>
      <c r="H381" s="26" t="str">
        <f aca="false">IF(A381="","",COUNTIF(Apparitions!$H$2:$H$5001,A381))</f>
        <v/>
      </c>
      <c r="I381" s="26" t="str">
        <f aca="false">IF(A381="","",COUNTIFS(Apparitions!$H$2:$H$5001,A381,Apparitions!$E$2:$E$5001,"○"))</f>
        <v/>
      </c>
      <c r="J381" s="29" t="str">
        <f aca="false">IF(A381="","",IFERROR(1/(1/_xlfn.MINIFS(Apparitions!$L$2:$L$5001,Apparitions!$H$2:$H$5001,A381)),""))</f>
        <v/>
      </c>
    </row>
    <row r="382" customFormat="false" ht="15" hidden="false" customHeight="false" outlineLevel="0" collapsed="false">
      <c r="A382" s="19"/>
      <c r="B382" s="19"/>
      <c r="C382" s="19"/>
      <c r="D382" s="19"/>
      <c r="E382" s="32"/>
      <c r="F382" s="19"/>
      <c r="G382" s="26" t="str">
        <f aca="false">IF(A382="","",COUNTIF(Pubs!$B$2:$B$3001,A382))</f>
        <v/>
      </c>
      <c r="H382" s="26" t="str">
        <f aca="false">IF(A382="","",COUNTIF(Apparitions!$H$2:$H$5001,A382))</f>
        <v/>
      </c>
      <c r="I382" s="26" t="str">
        <f aca="false">IF(A382="","",COUNTIFS(Apparitions!$H$2:$H$5001,A382,Apparitions!$E$2:$E$5001,"○"))</f>
        <v/>
      </c>
      <c r="J382" s="29" t="str">
        <f aca="false">IF(A382="","",IFERROR(1/(1/_xlfn.MINIFS(Apparitions!$L$2:$L$5001,Apparitions!$H$2:$H$5001,A382)),""))</f>
        <v/>
      </c>
    </row>
    <row r="383" customFormat="false" ht="15" hidden="false" customHeight="false" outlineLevel="0" collapsed="false">
      <c r="A383" s="19"/>
      <c r="B383" s="19"/>
      <c r="C383" s="19"/>
      <c r="D383" s="19"/>
      <c r="E383" s="32"/>
      <c r="F383" s="19"/>
      <c r="G383" s="26" t="str">
        <f aca="false">IF(A383="","",COUNTIF(Pubs!$B$2:$B$3001,A383))</f>
        <v/>
      </c>
      <c r="H383" s="26" t="str">
        <f aca="false">IF(A383="","",COUNTIF(Apparitions!$H$2:$H$5001,A383))</f>
        <v/>
      </c>
      <c r="I383" s="26" t="str">
        <f aca="false">IF(A383="","",COUNTIFS(Apparitions!$H$2:$H$5001,A383,Apparitions!$E$2:$E$5001,"○"))</f>
        <v/>
      </c>
      <c r="J383" s="29" t="str">
        <f aca="false">IF(A383="","",IFERROR(1/(1/_xlfn.MINIFS(Apparitions!$L$2:$L$5001,Apparitions!$H$2:$H$5001,A383)),""))</f>
        <v/>
      </c>
    </row>
    <row r="384" customFormat="false" ht="15" hidden="false" customHeight="false" outlineLevel="0" collapsed="false">
      <c r="A384" s="19"/>
      <c r="B384" s="19"/>
      <c r="C384" s="19"/>
      <c r="D384" s="19"/>
      <c r="E384" s="32"/>
      <c r="F384" s="19"/>
      <c r="G384" s="26" t="str">
        <f aca="false">IF(A384="","",COUNTIF(Pubs!$B$2:$B$3001,A384))</f>
        <v/>
      </c>
      <c r="H384" s="26" t="str">
        <f aca="false">IF(A384="","",COUNTIF(Apparitions!$H$2:$H$5001,A384))</f>
        <v/>
      </c>
      <c r="I384" s="26" t="str">
        <f aca="false">IF(A384="","",COUNTIFS(Apparitions!$H$2:$H$5001,A384,Apparitions!$E$2:$E$5001,"○"))</f>
        <v/>
      </c>
      <c r="J384" s="29" t="str">
        <f aca="false">IF(A384="","",IFERROR(1/(1/_xlfn.MINIFS(Apparitions!$L$2:$L$5001,Apparitions!$H$2:$H$5001,A384)),""))</f>
        <v/>
      </c>
    </row>
    <row r="385" customFormat="false" ht="15" hidden="false" customHeight="false" outlineLevel="0" collapsed="false">
      <c r="A385" s="19"/>
      <c r="B385" s="19"/>
      <c r="C385" s="19"/>
      <c r="D385" s="19"/>
      <c r="E385" s="32"/>
      <c r="F385" s="19"/>
      <c r="G385" s="26" t="str">
        <f aca="false">IF(A385="","",COUNTIF(Pubs!$B$2:$B$3001,A385))</f>
        <v/>
      </c>
      <c r="H385" s="26" t="str">
        <f aca="false">IF(A385="","",COUNTIF(Apparitions!$H$2:$H$5001,A385))</f>
        <v/>
      </c>
      <c r="I385" s="26" t="str">
        <f aca="false">IF(A385="","",COUNTIFS(Apparitions!$H$2:$H$5001,A385,Apparitions!$E$2:$E$5001,"○"))</f>
        <v/>
      </c>
      <c r="J385" s="29" t="str">
        <f aca="false">IF(A385="","",IFERROR(1/(1/_xlfn.MINIFS(Apparitions!$L$2:$L$5001,Apparitions!$H$2:$H$5001,A385)),""))</f>
        <v/>
      </c>
    </row>
    <row r="386" customFormat="false" ht="15" hidden="false" customHeight="false" outlineLevel="0" collapsed="false">
      <c r="A386" s="19"/>
      <c r="B386" s="19"/>
      <c r="C386" s="19"/>
      <c r="D386" s="19"/>
      <c r="E386" s="32"/>
      <c r="F386" s="19"/>
      <c r="G386" s="26" t="str">
        <f aca="false">IF(A386="","",COUNTIF(Pubs!$B$2:$B$3001,A386))</f>
        <v/>
      </c>
      <c r="H386" s="26" t="str">
        <f aca="false">IF(A386="","",COUNTIF(Apparitions!$H$2:$H$5001,A386))</f>
        <v/>
      </c>
      <c r="I386" s="26" t="str">
        <f aca="false">IF(A386="","",COUNTIFS(Apparitions!$H$2:$H$5001,A386,Apparitions!$E$2:$E$5001,"○"))</f>
        <v/>
      </c>
      <c r="J386" s="29" t="str">
        <f aca="false">IF(A386="","",IFERROR(1/(1/_xlfn.MINIFS(Apparitions!$L$2:$L$5001,Apparitions!$H$2:$H$5001,A386)),""))</f>
        <v/>
      </c>
    </row>
    <row r="387" customFormat="false" ht="15" hidden="false" customHeight="false" outlineLevel="0" collapsed="false">
      <c r="A387" s="19"/>
      <c r="B387" s="19"/>
      <c r="C387" s="19"/>
      <c r="D387" s="19"/>
      <c r="E387" s="32"/>
      <c r="F387" s="19"/>
      <c r="G387" s="26" t="str">
        <f aca="false">IF(A387="","",COUNTIF(Pubs!$B$2:$B$3001,A387))</f>
        <v/>
      </c>
      <c r="H387" s="26" t="str">
        <f aca="false">IF(A387="","",COUNTIF(Apparitions!$H$2:$H$5001,A387))</f>
        <v/>
      </c>
      <c r="I387" s="26" t="str">
        <f aca="false">IF(A387="","",COUNTIFS(Apparitions!$H$2:$H$5001,A387,Apparitions!$E$2:$E$5001,"○"))</f>
        <v/>
      </c>
      <c r="J387" s="29" t="str">
        <f aca="false">IF(A387="","",IFERROR(1/(1/_xlfn.MINIFS(Apparitions!$L$2:$L$5001,Apparitions!$H$2:$H$5001,A387)),""))</f>
        <v/>
      </c>
    </row>
    <row r="388" customFormat="false" ht="15" hidden="false" customHeight="false" outlineLevel="0" collapsed="false">
      <c r="A388" s="19"/>
      <c r="B388" s="19"/>
      <c r="C388" s="19"/>
      <c r="D388" s="19"/>
      <c r="E388" s="32"/>
      <c r="F388" s="19"/>
      <c r="G388" s="26" t="str">
        <f aca="false">IF(A388="","",COUNTIF(Pubs!$B$2:$B$3001,A388))</f>
        <v/>
      </c>
      <c r="H388" s="26" t="str">
        <f aca="false">IF(A388="","",COUNTIF(Apparitions!$H$2:$H$5001,A388))</f>
        <v/>
      </c>
      <c r="I388" s="26" t="str">
        <f aca="false">IF(A388="","",COUNTIFS(Apparitions!$H$2:$H$5001,A388,Apparitions!$E$2:$E$5001,"○"))</f>
        <v/>
      </c>
      <c r="J388" s="29" t="str">
        <f aca="false">IF(A388="","",IFERROR(1/(1/_xlfn.MINIFS(Apparitions!$L$2:$L$5001,Apparitions!$H$2:$H$5001,A388)),""))</f>
        <v/>
      </c>
    </row>
    <row r="389" customFormat="false" ht="15" hidden="false" customHeight="false" outlineLevel="0" collapsed="false">
      <c r="A389" s="19"/>
      <c r="B389" s="19"/>
      <c r="C389" s="19"/>
      <c r="D389" s="19"/>
      <c r="E389" s="32"/>
      <c r="F389" s="19"/>
      <c r="G389" s="26" t="str">
        <f aca="false">IF(A389="","",COUNTIF(Pubs!$B$2:$B$3001,A389))</f>
        <v/>
      </c>
      <c r="H389" s="26" t="str">
        <f aca="false">IF(A389="","",COUNTIF(Apparitions!$H$2:$H$5001,A389))</f>
        <v/>
      </c>
      <c r="I389" s="26" t="str">
        <f aca="false">IF(A389="","",COUNTIFS(Apparitions!$H$2:$H$5001,A389,Apparitions!$E$2:$E$5001,"○"))</f>
        <v/>
      </c>
      <c r="J389" s="29" t="str">
        <f aca="false">IF(A389="","",IFERROR(1/(1/_xlfn.MINIFS(Apparitions!$L$2:$L$5001,Apparitions!$H$2:$H$5001,A389)),""))</f>
        <v/>
      </c>
    </row>
    <row r="390" customFormat="false" ht="15" hidden="false" customHeight="false" outlineLevel="0" collapsed="false">
      <c r="A390" s="19"/>
      <c r="B390" s="19"/>
      <c r="C390" s="19"/>
      <c r="D390" s="19"/>
      <c r="E390" s="32"/>
      <c r="F390" s="19"/>
      <c r="G390" s="26" t="str">
        <f aca="false">IF(A390="","",COUNTIF(Pubs!$B$2:$B$3001,A390))</f>
        <v/>
      </c>
      <c r="H390" s="26" t="str">
        <f aca="false">IF(A390="","",COUNTIF(Apparitions!$H$2:$H$5001,A390))</f>
        <v/>
      </c>
      <c r="I390" s="26" t="str">
        <f aca="false">IF(A390="","",COUNTIFS(Apparitions!$H$2:$H$5001,A390,Apparitions!$E$2:$E$5001,"○"))</f>
        <v/>
      </c>
      <c r="J390" s="29" t="str">
        <f aca="false">IF(A390="","",IFERROR(1/(1/_xlfn.MINIFS(Apparitions!$L$2:$L$5001,Apparitions!$H$2:$H$5001,A390)),""))</f>
        <v/>
      </c>
    </row>
    <row r="391" customFormat="false" ht="15" hidden="false" customHeight="false" outlineLevel="0" collapsed="false">
      <c r="A391" s="19"/>
      <c r="B391" s="19"/>
      <c r="C391" s="19"/>
      <c r="D391" s="19"/>
      <c r="E391" s="32"/>
      <c r="F391" s="19"/>
      <c r="G391" s="26" t="str">
        <f aca="false">IF(A391="","",COUNTIF(Pubs!$B$2:$B$3001,A391))</f>
        <v/>
      </c>
      <c r="H391" s="26" t="str">
        <f aca="false">IF(A391="","",COUNTIF(Apparitions!$H$2:$H$5001,A391))</f>
        <v/>
      </c>
      <c r="I391" s="26" t="str">
        <f aca="false">IF(A391="","",COUNTIFS(Apparitions!$H$2:$H$5001,A391,Apparitions!$E$2:$E$5001,"○"))</f>
        <v/>
      </c>
      <c r="J391" s="29" t="str">
        <f aca="false">IF(A391="","",IFERROR(1/(1/_xlfn.MINIFS(Apparitions!$L$2:$L$5001,Apparitions!$H$2:$H$5001,A391)),""))</f>
        <v/>
      </c>
    </row>
    <row r="392" customFormat="false" ht="15" hidden="false" customHeight="false" outlineLevel="0" collapsed="false">
      <c r="A392" s="19"/>
      <c r="B392" s="19"/>
      <c r="C392" s="19"/>
      <c r="D392" s="19"/>
      <c r="E392" s="32"/>
      <c r="F392" s="19"/>
      <c r="G392" s="26" t="str">
        <f aca="false">IF(A392="","",COUNTIF(Pubs!$B$2:$B$3001,A392))</f>
        <v/>
      </c>
      <c r="H392" s="26" t="str">
        <f aca="false">IF(A392="","",COUNTIF(Apparitions!$H$2:$H$5001,A392))</f>
        <v/>
      </c>
      <c r="I392" s="26" t="str">
        <f aca="false">IF(A392="","",COUNTIFS(Apparitions!$H$2:$H$5001,A392,Apparitions!$E$2:$E$5001,"○"))</f>
        <v/>
      </c>
      <c r="J392" s="29" t="str">
        <f aca="false">IF(A392="","",IFERROR(1/(1/_xlfn.MINIFS(Apparitions!$L$2:$L$5001,Apparitions!$H$2:$H$5001,A392)),""))</f>
        <v/>
      </c>
    </row>
    <row r="393" customFormat="false" ht="15" hidden="false" customHeight="false" outlineLevel="0" collapsed="false">
      <c r="A393" s="19"/>
      <c r="B393" s="19"/>
      <c r="C393" s="19"/>
      <c r="D393" s="19"/>
      <c r="E393" s="32"/>
      <c r="F393" s="19"/>
      <c r="G393" s="26" t="str">
        <f aca="false">IF(A393="","",COUNTIF(Pubs!$B$2:$B$3001,A393))</f>
        <v/>
      </c>
      <c r="H393" s="26" t="str">
        <f aca="false">IF(A393="","",COUNTIF(Apparitions!$H$2:$H$5001,A393))</f>
        <v/>
      </c>
      <c r="I393" s="26" t="str">
        <f aca="false">IF(A393="","",COUNTIFS(Apparitions!$H$2:$H$5001,A393,Apparitions!$E$2:$E$5001,"○"))</f>
        <v/>
      </c>
      <c r="J393" s="29" t="str">
        <f aca="false">IF(A393="","",IFERROR(1/(1/_xlfn.MINIFS(Apparitions!$L$2:$L$5001,Apparitions!$H$2:$H$5001,A393)),""))</f>
        <v/>
      </c>
    </row>
    <row r="394" customFormat="false" ht="15" hidden="false" customHeight="false" outlineLevel="0" collapsed="false">
      <c r="A394" s="19"/>
      <c r="B394" s="19"/>
      <c r="C394" s="19"/>
      <c r="D394" s="19"/>
      <c r="E394" s="32"/>
      <c r="F394" s="19"/>
      <c r="G394" s="26" t="str">
        <f aca="false">IF(A394="","",COUNTIF(Pubs!$B$2:$B$3001,A394))</f>
        <v/>
      </c>
      <c r="H394" s="26" t="str">
        <f aca="false">IF(A394="","",COUNTIF(Apparitions!$H$2:$H$5001,A394))</f>
        <v/>
      </c>
      <c r="I394" s="26" t="str">
        <f aca="false">IF(A394="","",COUNTIFS(Apparitions!$H$2:$H$5001,A394,Apparitions!$E$2:$E$5001,"○"))</f>
        <v/>
      </c>
      <c r="J394" s="29" t="str">
        <f aca="false">IF(A394="","",IFERROR(1/(1/_xlfn.MINIFS(Apparitions!$L$2:$L$5001,Apparitions!$H$2:$H$5001,A394)),""))</f>
        <v/>
      </c>
    </row>
    <row r="395" customFormat="false" ht="15" hidden="false" customHeight="false" outlineLevel="0" collapsed="false">
      <c r="A395" s="19"/>
      <c r="B395" s="19"/>
      <c r="C395" s="19"/>
      <c r="D395" s="19"/>
      <c r="E395" s="32"/>
      <c r="F395" s="19"/>
      <c r="G395" s="26" t="str">
        <f aca="false">IF(A395="","",COUNTIF(Pubs!$B$2:$B$3001,A395))</f>
        <v/>
      </c>
      <c r="H395" s="26" t="str">
        <f aca="false">IF(A395="","",COUNTIF(Apparitions!$H$2:$H$5001,A395))</f>
        <v/>
      </c>
      <c r="I395" s="26" t="str">
        <f aca="false">IF(A395="","",COUNTIFS(Apparitions!$H$2:$H$5001,A395,Apparitions!$E$2:$E$5001,"○"))</f>
        <v/>
      </c>
      <c r="J395" s="29" t="str">
        <f aca="false">IF(A395="","",IFERROR(1/(1/_xlfn.MINIFS(Apparitions!$L$2:$L$5001,Apparitions!$H$2:$H$5001,A395)),""))</f>
        <v/>
      </c>
    </row>
    <row r="396" customFormat="false" ht="15" hidden="false" customHeight="false" outlineLevel="0" collapsed="false">
      <c r="A396" s="19"/>
      <c r="B396" s="19"/>
      <c r="C396" s="19"/>
      <c r="D396" s="19"/>
      <c r="E396" s="32"/>
      <c r="F396" s="19"/>
      <c r="G396" s="26" t="str">
        <f aca="false">IF(A396="","",COUNTIF(Pubs!$B$2:$B$3001,A396))</f>
        <v/>
      </c>
      <c r="H396" s="26" t="str">
        <f aca="false">IF(A396="","",COUNTIF(Apparitions!$H$2:$H$5001,A396))</f>
        <v/>
      </c>
      <c r="I396" s="26" t="str">
        <f aca="false">IF(A396="","",COUNTIFS(Apparitions!$H$2:$H$5001,A396,Apparitions!$E$2:$E$5001,"○"))</f>
        <v/>
      </c>
      <c r="J396" s="29" t="str">
        <f aca="false">IF(A396="","",IFERROR(1/(1/_xlfn.MINIFS(Apparitions!$L$2:$L$5001,Apparitions!$H$2:$H$5001,A396)),""))</f>
        <v/>
      </c>
    </row>
    <row r="397" customFormat="false" ht="15" hidden="false" customHeight="false" outlineLevel="0" collapsed="false">
      <c r="A397" s="19"/>
      <c r="B397" s="19"/>
      <c r="C397" s="19"/>
      <c r="D397" s="19"/>
      <c r="E397" s="32"/>
      <c r="F397" s="19"/>
      <c r="G397" s="26" t="str">
        <f aca="false">IF(A397="","",COUNTIF(Pubs!$B$2:$B$3001,A397))</f>
        <v/>
      </c>
      <c r="H397" s="26" t="str">
        <f aca="false">IF(A397="","",COUNTIF(Apparitions!$H$2:$H$5001,A397))</f>
        <v/>
      </c>
      <c r="I397" s="26" t="str">
        <f aca="false">IF(A397="","",COUNTIFS(Apparitions!$H$2:$H$5001,A397,Apparitions!$E$2:$E$5001,"○"))</f>
        <v/>
      </c>
      <c r="J397" s="29" t="str">
        <f aca="false">IF(A397="","",IFERROR(1/(1/_xlfn.MINIFS(Apparitions!$L$2:$L$5001,Apparitions!$H$2:$H$5001,A397)),""))</f>
        <v/>
      </c>
    </row>
    <row r="398" customFormat="false" ht="15" hidden="false" customHeight="false" outlineLevel="0" collapsed="false">
      <c r="A398" s="19"/>
      <c r="B398" s="19"/>
      <c r="C398" s="19"/>
      <c r="D398" s="19"/>
      <c r="E398" s="32"/>
      <c r="F398" s="19"/>
      <c r="G398" s="26" t="str">
        <f aca="false">IF(A398="","",COUNTIF(Pubs!$B$2:$B$3001,A398))</f>
        <v/>
      </c>
      <c r="H398" s="26" t="str">
        <f aca="false">IF(A398="","",COUNTIF(Apparitions!$H$2:$H$5001,A398))</f>
        <v/>
      </c>
      <c r="I398" s="26" t="str">
        <f aca="false">IF(A398="","",COUNTIFS(Apparitions!$H$2:$H$5001,A398,Apparitions!$E$2:$E$5001,"○"))</f>
        <v/>
      </c>
      <c r="J398" s="29" t="str">
        <f aca="false">IF(A398="","",IFERROR(1/(1/_xlfn.MINIFS(Apparitions!$L$2:$L$5001,Apparitions!$H$2:$H$5001,A398)),""))</f>
        <v/>
      </c>
    </row>
    <row r="399" customFormat="false" ht="15" hidden="false" customHeight="false" outlineLevel="0" collapsed="false">
      <c r="A399" s="19"/>
      <c r="B399" s="19"/>
      <c r="C399" s="19"/>
      <c r="D399" s="19"/>
      <c r="E399" s="32"/>
      <c r="F399" s="19"/>
      <c r="G399" s="26" t="str">
        <f aca="false">IF(A399="","",COUNTIF(Pubs!$B$2:$B$3001,A399))</f>
        <v/>
      </c>
      <c r="H399" s="26" t="str">
        <f aca="false">IF(A399="","",COUNTIF(Apparitions!$H$2:$H$5001,A399))</f>
        <v/>
      </c>
      <c r="I399" s="26" t="str">
        <f aca="false">IF(A399="","",COUNTIFS(Apparitions!$H$2:$H$5001,A399,Apparitions!$E$2:$E$5001,"○"))</f>
        <v/>
      </c>
      <c r="J399" s="29" t="str">
        <f aca="false">IF(A399="","",IFERROR(1/(1/_xlfn.MINIFS(Apparitions!$L$2:$L$5001,Apparitions!$H$2:$H$5001,A399)),""))</f>
        <v/>
      </c>
    </row>
    <row r="400" customFormat="false" ht="15" hidden="false" customHeight="false" outlineLevel="0" collapsed="false">
      <c r="A400" s="19"/>
      <c r="B400" s="19"/>
      <c r="C400" s="19"/>
      <c r="D400" s="19"/>
      <c r="E400" s="32"/>
      <c r="F400" s="19"/>
      <c r="G400" s="26" t="str">
        <f aca="false">IF(A400="","",COUNTIF(Pubs!$B$2:$B$3001,A400))</f>
        <v/>
      </c>
      <c r="H400" s="26" t="str">
        <f aca="false">IF(A400="","",COUNTIF(Apparitions!$H$2:$H$5001,A400))</f>
        <v/>
      </c>
      <c r="I400" s="26" t="str">
        <f aca="false">IF(A400="","",COUNTIFS(Apparitions!$H$2:$H$5001,A400,Apparitions!$E$2:$E$5001,"○"))</f>
        <v/>
      </c>
      <c r="J400" s="29" t="str">
        <f aca="false">IF(A400="","",IFERROR(1/(1/_xlfn.MINIFS(Apparitions!$L$2:$L$5001,Apparitions!$H$2:$H$5001,A400)),""))</f>
        <v/>
      </c>
    </row>
    <row r="401" customFormat="false" ht="15" hidden="false" customHeight="false" outlineLevel="0" collapsed="false">
      <c r="A401" s="19"/>
      <c r="B401" s="19"/>
      <c r="C401" s="19"/>
      <c r="D401" s="19"/>
      <c r="E401" s="32"/>
      <c r="F401" s="19"/>
      <c r="G401" s="26" t="str">
        <f aca="false">IF(A401="","",COUNTIF(Pubs!$B$2:$B$3001,A401))</f>
        <v/>
      </c>
      <c r="H401" s="26" t="str">
        <f aca="false">IF(A401="","",COUNTIF(Apparitions!$H$2:$H$5001,A401))</f>
        <v/>
      </c>
      <c r="I401" s="26" t="str">
        <f aca="false">IF(A401="","",COUNTIFS(Apparitions!$H$2:$H$5001,A401,Apparitions!$E$2:$E$5001,"○"))</f>
        <v/>
      </c>
      <c r="J401" s="29" t="str">
        <f aca="false">IF(A401="","",IFERROR(1/(1/_xlfn.MINIFS(Apparitions!$L$2:$L$5001,Apparitions!$H$2:$H$5001,A401)),""))</f>
        <v/>
      </c>
    </row>
    <row r="402" customFormat="false" ht="15" hidden="false" customHeight="false" outlineLevel="0" collapsed="false">
      <c r="A402" s="19"/>
      <c r="B402" s="19"/>
      <c r="C402" s="19"/>
      <c r="D402" s="19"/>
      <c r="E402" s="32"/>
      <c r="F402" s="19"/>
      <c r="G402" s="26" t="str">
        <f aca="false">IF(A402="","",COUNTIF(Pubs!$B$2:$B$3001,A402))</f>
        <v/>
      </c>
      <c r="H402" s="26" t="str">
        <f aca="false">IF(A402="","",COUNTIF(Apparitions!$H$2:$H$5001,A402))</f>
        <v/>
      </c>
      <c r="I402" s="26" t="str">
        <f aca="false">IF(A402="","",COUNTIFS(Apparitions!$H$2:$H$5001,A402,Apparitions!$E$2:$E$5001,"○"))</f>
        <v/>
      </c>
      <c r="J402" s="29" t="str">
        <f aca="false">IF(A402="","",IFERROR(1/(1/_xlfn.MINIFS(Apparitions!$L$2:$L$5001,Apparitions!$H$2:$H$5001,A402)),""))</f>
        <v/>
      </c>
    </row>
    <row r="403" customFormat="false" ht="15" hidden="false" customHeight="false" outlineLevel="0" collapsed="false">
      <c r="A403" s="19"/>
      <c r="B403" s="19"/>
      <c r="C403" s="19"/>
      <c r="D403" s="19"/>
      <c r="E403" s="32"/>
      <c r="F403" s="19"/>
      <c r="G403" s="26" t="str">
        <f aca="false">IF(A403="","",COUNTIF(Pubs!$B$2:$B$3001,A403))</f>
        <v/>
      </c>
      <c r="H403" s="26" t="str">
        <f aca="false">IF(A403="","",COUNTIF(Apparitions!$H$2:$H$5001,A403))</f>
        <v/>
      </c>
      <c r="I403" s="26" t="str">
        <f aca="false">IF(A403="","",COUNTIFS(Apparitions!$H$2:$H$5001,A403,Apparitions!$E$2:$E$5001,"○"))</f>
        <v/>
      </c>
      <c r="J403" s="29" t="str">
        <f aca="false">IF(A403="","",IFERROR(1/(1/_xlfn.MINIFS(Apparitions!$L$2:$L$5001,Apparitions!$H$2:$H$5001,A403)),""))</f>
        <v/>
      </c>
    </row>
    <row r="404" customFormat="false" ht="15" hidden="false" customHeight="false" outlineLevel="0" collapsed="false">
      <c r="A404" s="19"/>
      <c r="B404" s="19"/>
      <c r="C404" s="19"/>
      <c r="D404" s="19"/>
      <c r="E404" s="32"/>
      <c r="F404" s="19"/>
      <c r="G404" s="26" t="str">
        <f aca="false">IF(A404="","",COUNTIF(Pubs!$B$2:$B$3001,A404))</f>
        <v/>
      </c>
      <c r="H404" s="26" t="str">
        <f aca="false">IF(A404="","",COUNTIF(Apparitions!$H$2:$H$5001,A404))</f>
        <v/>
      </c>
      <c r="I404" s="26" t="str">
        <f aca="false">IF(A404="","",COUNTIFS(Apparitions!$H$2:$H$5001,A404,Apparitions!$E$2:$E$5001,"○"))</f>
        <v/>
      </c>
      <c r="J404" s="29" t="str">
        <f aca="false">IF(A404="","",IFERROR(1/(1/_xlfn.MINIFS(Apparitions!$L$2:$L$5001,Apparitions!$H$2:$H$5001,A404)),""))</f>
        <v/>
      </c>
    </row>
    <row r="405" customFormat="false" ht="15" hidden="false" customHeight="false" outlineLevel="0" collapsed="false">
      <c r="A405" s="19"/>
      <c r="B405" s="19"/>
      <c r="C405" s="19"/>
      <c r="D405" s="19"/>
      <c r="E405" s="32"/>
      <c r="F405" s="19"/>
      <c r="G405" s="26" t="str">
        <f aca="false">IF(A405="","",COUNTIF(Pubs!$B$2:$B$3001,A405))</f>
        <v/>
      </c>
      <c r="H405" s="26" t="str">
        <f aca="false">IF(A405="","",COUNTIF(Apparitions!$H$2:$H$5001,A405))</f>
        <v/>
      </c>
      <c r="I405" s="26" t="str">
        <f aca="false">IF(A405="","",COUNTIFS(Apparitions!$H$2:$H$5001,A405,Apparitions!$E$2:$E$5001,"○"))</f>
        <v/>
      </c>
      <c r="J405" s="29" t="str">
        <f aca="false">IF(A405="","",IFERROR(1/(1/_xlfn.MINIFS(Apparitions!$L$2:$L$5001,Apparitions!$H$2:$H$5001,A405)),""))</f>
        <v/>
      </c>
    </row>
    <row r="406" customFormat="false" ht="15" hidden="false" customHeight="false" outlineLevel="0" collapsed="false">
      <c r="A406" s="19"/>
      <c r="B406" s="19"/>
      <c r="C406" s="19"/>
      <c r="D406" s="19"/>
      <c r="E406" s="32"/>
      <c r="F406" s="19"/>
      <c r="G406" s="26" t="str">
        <f aca="false">IF(A406="","",COUNTIF(Pubs!$B$2:$B$3001,A406))</f>
        <v/>
      </c>
      <c r="H406" s="26" t="str">
        <f aca="false">IF(A406="","",COUNTIF(Apparitions!$H$2:$H$5001,A406))</f>
        <v/>
      </c>
      <c r="I406" s="26" t="str">
        <f aca="false">IF(A406="","",COUNTIFS(Apparitions!$H$2:$H$5001,A406,Apparitions!$E$2:$E$5001,"○"))</f>
        <v/>
      </c>
      <c r="J406" s="29" t="str">
        <f aca="false">IF(A406="","",IFERROR(1/(1/_xlfn.MINIFS(Apparitions!$L$2:$L$5001,Apparitions!$H$2:$H$5001,A406)),""))</f>
        <v/>
      </c>
    </row>
    <row r="407" customFormat="false" ht="15" hidden="false" customHeight="false" outlineLevel="0" collapsed="false">
      <c r="A407" s="19"/>
      <c r="B407" s="19"/>
      <c r="C407" s="19"/>
      <c r="D407" s="19"/>
      <c r="E407" s="32"/>
      <c r="F407" s="19"/>
      <c r="G407" s="26" t="str">
        <f aca="false">IF(A407="","",COUNTIF(Pubs!$B$2:$B$3001,A407))</f>
        <v/>
      </c>
      <c r="H407" s="26" t="str">
        <f aca="false">IF(A407="","",COUNTIF(Apparitions!$H$2:$H$5001,A407))</f>
        <v/>
      </c>
      <c r="I407" s="26" t="str">
        <f aca="false">IF(A407="","",COUNTIFS(Apparitions!$H$2:$H$5001,A407,Apparitions!$E$2:$E$5001,"○"))</f>
        <v/>
      </c>
      <c r="J407" s="29" t="str">
        <f aca="false">IF(A407="","",IFERROR(1/(1/_xlfn.MINIFS(Apparitions!$L$2:$L$5001,Apparitions!$H$2:$H$5001,A407)),""))</f>
        <v/>
      </c>
    </row>
    <row r="408" customFormat="false" ht="15" hidden="false" customHeight="false" outlineLevel="0" collapsed="false">
      <c r="A408" s="19"/>
      <c r="B408" s="19"/>
      <c r="C408" s="19"/>
      <c r="D408" s="19"/>
      <c r="E408" s="32"/>
      <c r="F408" s="19"/>
      <c r="G408" s="26" t="str">
        <f aca="false">IF(A408="","",COUNTIF(Pubs!$B$2:$B$3001,A408))</f>
        <v/>
      </c>
      <c r="H408" s="26" t="str">
        <f aca="false">IF(A408="","",COUNTIF(Apparitions!$H$2:$H$5001,A408))</f>
        <v/>
      </c>
      <c r="I408" s="26" t="str">
        <f aca="false">IF(A408="","",COUNTIFS(Apparitions!$H$2:$H$5001,A408,Apparitions!$E$2:$E$5001,"○"))</f>
        <v/>
      </c>
      <c r="J408" s="29" t="str">
        <f aca="false">IF(A408="","",IFERROR(1/(1/_xlfn.MINIFS(Apparitions!$L$2:$L$5001,Apparitions!$H$2:$H$5001,A408)),""))</f>
        <v/>
      </c>
    </row>
    <row r="409" customFormat="false" ht="15" hidden="false" customHeight="false" outlineLevel="0" collapsed="false">
      <c r="A409" s="19"/>
      <c r="B409" s="19"/>
      <c r="C409" s="19"/>
      <c r="D409" s="19"/>
      <c r="E409" s="32"/>
      <c r="F409" s="19"/>
      <c r="G409" s="26" t="str">
        <f aca="false">IF(A409="","",COUNTIF(Pubs!$B$2:$B$3001,A409))</f>
        <v/>
      </c>
      <c r="H409" s="26" t="str">
        <f aca="false">IF(A409="","",COUNTIF(Apparitions!$H$2:$H$5001,A409))</f>
        <v/>
      </c>
      <c r="I409" s="26" t="str">
        <f aca="false">IF(A409="","",COUNTIFS(Apparitions!$H$2:$H$5001,A409,Apparitions!$E$2:$E$5001,"○"))</f>
        <v/>
      </c>
      <c r="J409" s="29" t="str">
        <f aca="false">IF(A409="","",IFERROR(1/(1/_xlfn.MINIFS(Apparitions!$L$2:$L$5001,Apparitions!$H$2:$H$5001,A409)),""))</f>
        <v/>
      </c>
    </row>
    <row r="410" customFormat="false" ht="15" hidden="false" customHeight="false" outlineLevel="0" collapsed="false">
      <c r="A410" s="19"/>
      <c r="B410" s="19"/>
      <c r="C410" s="19"/>
      <c r="D410" s="19"/>
      <c r="E410" s="32"/>
      <c r="F410" s="19"/>
      <c r="G410" s="26" t="str">
        <f aca="false">IF(A410="","",COUNTIF(Pubs!$B$2:$B$3001,A410))</f>
        <v/>
      </c>
      <c r="H410" s="26" t="str">
        <f aca="false">IF(A410="","",COUNTIF(Apparitions!$H$2:$H$5001,A410))</f>
        <v/>
      </c>
      <c r="I410" s="26" t="str">
        <f aca="false">IF(A410="","",COUNTIFS(Apparitions!$H$2:$H$5001,A410,Apparitions!$E$2:$E$5001,"○"))</f>
        <v/>
      </c>
      <c r="J410" s="29" t="str">
        <f aca="false">IF(A410="","",IFERROR(1/(1/_xlfn.MINIFS(Apparitions!$L$2:$L$5001,Apparitions!$H$2:$H$5001,A410)),""))</f>
        <v/>
      </c>
    </row>
    <row r="411" customFormat="false" ht="15" hidden="false" customHeight="false" outlineLevel="0" collapsed="false">
      <c r="A411" s="19"/>
      <c r="B411" s="19"/>
      <c r="C411" s="19"/>
      <c r="D411" s="19"/>
      <c r="E411" s="32"/>
      <c r="F411" s="19"/>
      <c r="G411" s="26" t="str">
        <f aca="false">IF(A411="","",COUNTIF(Pubs!$B$2:$B$3001,A411))</f>
        <v/>
      </c>
      <c r="H411" s="26" t="str">
        <f aca="false">IF(A411="","",COUNTIF(Apparitions!$H$2:$H$5001,A411))</f>
        <v/>
      </c>
      <c r="I411" s="26" t="str">
        <f aca="false">IF(A411="","",COUNTIFS(Apparitions!$H$2:$H$5001,A411,Apparitions!$E$2:$E$5001,"○"))</f>
        <v/>
      </c>
      <c r="J411" s="29" t="str">
        <f aca="false">IF(A411="","",IFERROR(1/(1/_xlfn.MINIFS(Apparitions!$L$2:$L$5001,Apparitions!$H$2:$H$5001,A411)),""))</f>
        <v/>
      </c>
    </row>
    <row r="412" customFormat="false" ht="15" hidden="false" customHeight="false" outlineLevel="0" collapsed="false">
      <c r="A412" s="19"/>
      <c r="B412" s="19"/>
      <c r="C412" s="19"/>
      <c r="D412" s="19"/>
      <c r="E412" s="32"/>
      <c r="F412" s="19"/>
      <c r="G412" s="26" t="str">
        <f aca="false">IF(A412="","",COUNTIF(Pubs!$B$2:$B$3001,A412))</f>
        <v/>
      </c>
      <c r="H412" s="26" t="str">
        <f aca="false">IF(A412="","",COUNTIF(Apparitions!$H$2:$H$5001,A412))</f>
        <v/>
      </c>
      <c r="I412" s="26" t="str">
        <f aca="false">IF(A412="","",COUNTIFS(Apparitions!$H$2:$H$5001,A412,Apparitions!$E$2:$E$5001,"○"))</f>
        <v/>
      </c>
      <c r="J412" s="29" t="str">
        <f aca="false">IF(A412="","",IFERROR(1/(1/_xlfn.MINIFS(Apparitions!$L$2:$L$5001,Apparitions!$H$2:$H$5001,A412)),""))</f>
        <v/>
      </c>
    </row>
    <row r="413" customFormat="false" ht="15" hidden="false" customHeight="false" outlineLevel="0" collapsed="false">
      <c r="A413" s="19"/>
      <c r="B413" s="19"/>
      <c r="C413" s="19"/>
      <c r="D413" s="19"/>
      <c r="E413" s="32"/>
      <c r="F413" s="19"/>
      <c r="G413" s="26" t="str">
        <f aca="false">IF(A413="","",COUNTIF(Pubs!$B$2:$B$3001,A413))</f>
        <v/>
      </c>
      <c r="H413" s="26" t="str">
        <f aca="false">IF(A413="","",COUNTIF(Apparitions!$H$2:$H$5001,A413))</f>
        <v/>
      </c>
      <c r="I413" s="26" t="str">
        <f aca="false">IF(A413="","",COUNTIFS(Apparitions!$H$2:$H$5001,A413,Apparitions!$E$2:$E$5001,"○"))</f>
        <v/>
      </c>
      <c r="J413" s="29" t="str">
        <f aca="false">IF(A413="","",IFERROR(1/(1/_xlfn.MINIFS(Apparitions!$L$2:$L$5001,Apparitions!$H$2:$H$5001,A413)),""))</f>
        <v/>
      </c>
    </row>
    <row r="414" customFormat="false" ht="15" hidden="false" customHeight="false" outlineLevel="0" collapsed="false">
      <c r="A414" s="19"/>
      <c r="B414" s="19"/>
      <c r="C414" s="19"/>
      <c r="D414" s="19"/>
      <c r="E414" s="32"/>
      <c r="F414" s="19"/>
      <c r="G414" s="26" t="str">
        <f aca="false">IF(A414="","",COUNTIF(Pubs!$B$2:$B$3001,A414))</f>
        <v/>
      </c>
      <c r="H414" s="26" t="str">
        <f aca="false">IF(A414="","",COUNTIF(Apparitions!$H$2:$H$5001,A414))</f>
        <v/>
      </c>
      <c r="I414" s="26" t="str">
        <f aca="false">IF(A414="","",COUNTIFS(Apparitions!$H$2:$H$5001,A414,Apparitions!$E$2:$E$5001,"○"))</f>
        <v/>
      </c>
      <c r="J414" s="29" t="str">
        <f aca="false">IF(A414="","",IFERROR(1/(1/_xlfn.MINIFS(Apparitions!$L$2:$L$5001,Apparitions!$H$2:$H$5001,A414)),""))</f>
        <v/>
      </c>
    </row>
    <row r="415" customFormat="false" ht="15" hidden="false" customHeight="false" outlineLevel="0" collapsed="false">
      <c r="A415" s="19"/>
      <c r="B415" s="19"/>
      <c r="C415" s="19"/>
      <c r="D415" s="19"/>
      <c r="E415" s="32"/>
      <c r="F415" s="19"/>
      <c r="G415" s="26" t="str">
        <f aca="false">IF(A415="","",COUNTIF(Pubs!$B$2:$B$3001,A415))</f>
        <v/>
      </c>
      <c r="H415" s="26" t="str">
        <f aca="false">IF(A415="","",COUNTIF(Apparitions!$H$2:$H$5001,A415))</f>
        <v/>
      </c>
      <c r="I415" s="26" t="str">
        <f aca="false">IF(A415="","",COUNTIFS(Apparitions!$H$2:$H$5001,A415,Apparitions!$E$2:$E$5001,"○"))</f>
        <v/>
      </c>
      <c r="J415" s="29" t="str">
        <f aca="false">IF(A415="","",IFERROR(1/(1/_xlfn.MINIFS(Apparitions!$L$2:$L$5001,Apparitions!$H$2:$H$5001,A415)),""))</f>
        <v/>
      </c>
    </row>
    <row r="416" customFormat="false" ht="15" hidden="false" customHeight="false" outlineLevel="0" collapsed="false">
      <c r="A416" s="19"/>
      <c r="B416" s="19"/>
      <c r="C416" s="19"/>
      <c r="D416" s="19"/>
      <c r="E416" s="32"/>
      <c r="F416" s="19"/>
      <c r="G416" s="26" t="str">
        <f aca="false">IF(A416="","",COUNTIF(Pubs!$B$2:$B$3001,A416))</f>
        <v/>
      </c>
      <c r="H416" s="26" t="str">
        <f aca="false">IF(A416="","",COUNTIF(Apparitions!$H$2:$H$5001,A416))</f>
        <v/>
      </c>
      <c r="I416" s="26" t="str">
        <f aca="false">IF(A416="","",COUNTIFS(Apparitions!$H$2:$H$5001,A416,Apparitions!$E$2:$E$5001,"○"))</f>
        <v/>
      </c>
      <c r="J416" s="29" t="str">
        <f aca="false">IF(A416="","",IFERROR(1/(1/_xlfn.MINIFS(Apparitions!$L$2:$L$5001,Apparitions!$H$2:$H$5001,A416)),""))</f>
        <v/>
      </c>
    </row>
    <row r="417" customFormat="false" ht="15" hidden="false" customHeight="false" outlineLevel="0" collapsed="false">
      <c r="A417" s="19"/>
      <c r="B417" s="19"/>
      <c r="C417" s="19"/>
      <c r="D417" s="19"/>
      <c r="E417" s="32"/>
      <c r="F417" s="19"/>
      <c r="G417" s="26" t="str">
        <f aca="false">IF(A417="","",COUNTIF(Pubs!$B$2:$B$3001,A417))</f>
        <v/>
      </c>
      <c r="H417" s="26" t="str">
        <f aca="false">IF(A417="","",COUNTIF(Apparitions!$H$2:$H$5001,A417))</f>
        <v/>
      </c>
      <c r="I417" s="26" t="str">
        <f aca="false">IF(A417="","",COUNTIFS(Apparitions!$H$2:$H$5001,A417,Apparitions!$E$2:$E$5001,"○"))</f>
        <v/>
      </c>
      <c r="J417" s="29" t="str">
        <f aca="false">IF(A417="","",IFERROR(1/(1/_xlfn.MINIFS(Apparitions!$L$2:$L$5001,Apparitions!$H$2:$H$5001,A417)),""))</f>
        <v/>
      </c>
    </row>
    <row r="418" customFormat="false" ht="15" hidden="false" customHeight="false" outlineLevel="0" collapsed="false">
      <c r="A418" s="19"/>
      <c r="B418" s="19"/>
      <c r="C418" s="19"/>
      <c r="D418" s="19"/>
      <c r="E418" s="32"/>
      <c r="F418" s="19"/>
      <c r="G418" s="26" t="str">
        <f aca="false">IF(A418="","",COUNTIF(Pubs!$B$2:$B$3001,A418))</f>
        <v/>
      </c>
      <c r="H418" s="26" t="str">
        <f aca="false">IF(A418="","",COUNTIF(Apparitions!$H$2:$H$5001,A418))</f>
        <v/>
      </c>
      <c r="I418" s="26" t="str">
        <f aca="false">IF(A418="","",COUNTIFS(Apparitions!$H$2:$H$5001,A418,Apparitions!$E$2:$E$5001,"○"))</f>
        <v/>
      </c>
      <c r="J418" s="29" t="str">
        <f aca="false">IF(A418="","",IFERROR(1/(1/_xlfn.MINIFS(Apparitions!$L$2:$L$5001,Apparitions!$H$2:$H$5001,A418)),""))</f>
        <v/>
      </c>
    </row>
    <row r="419" customFormat="false" ht="15" hidden="false" customHeight="false" outlineLevel="0" collapsed="false">
      <c r="A419" s="19"/>
      <c r="B419" s="19"/>
      <c r="C419" s="19"/>
      <c r="D419" s="19"/>
      <c r="E419" s="32"/>
      <c r="F419" s="19"/>
      <c r="G419" s="26" t="str">
        <f aca="false">IF(A419="","",COUNTIF(Pubs!$B$2:$B$3001,A419))</f>
        <v/>
      </c>
      <c r="H419" s="26" t="str">
        <f aca="false">IF(A419="","",COUNTIF(Apparitions!$H$2:$H$5001,A419))</f>
        <v/>
      </c>
      <c r="I419" s="26" t="str">
        <f aca="false">IF(A419="","",COUNTIFS(Apparitions!$H$2:$H$5001,A419,Apparitions!$E$2:$E$5001,"○"))</f>
        <v/>
      </c>
      <c r="J419" s="29" t="str">
        <f aca="false">IF(A419="","",IFERROR(1/(1/_xlfn.MINIFS(Apparitions!$L$2:$L$5001,Apparitions!$H$2:$H$5001,A419)),""))</f>
        <v/>
      </c>
    </row>
    <row r="420" customFormat="false" ht="15" hidden="false" customHeight="false" outlineLevel="0" collapsed="false">
      <c r="A420" s="19"/>
      <c r="B420" s="19"/>
      <c r="C420" s="19"/>
      <c r="D420" s="19"/>
      <c r="E420" s="32"/>
      <c r="F420" s="19"/>
      <c r="G420" s="26" t="str">
        <f aca="false">IF(A420="","",COUNTIF(Pubs!$B$2:$B$3001,A420))</f>
        <v/>
      </c>
      <c r="H420" s="26" t="str">
        <f aca="false">IF(A420="","",COUNTIF(Apparitions!$H$2:$H$5001,A420))</f>
        <v/>
      </c>
      <c r="I420" s="26" t="str">
        <f aca="false">IF(A420="","",COUNTIFS(Apparitions!$H$2:$H$5001,A420,Apparitions!$E$2:$E$5001,"○"))</f>
        <v/>
      </c>
      <c r="J420" s="29" t="str">
        <f aca="false">IF(A420="","",IFERROR(1/(1/_xlfn.MINIFS(Apparitions!$L$2:$L$5001,Apparitions!$H$2:$H$5001,A420)),""))</f>
        <v/>
      </c>
    </row>
    <row r="421" customFormat="false" ht="15" hidden="false" customHeight="false" outlineLevel="0" collapsed="false">
      <c r="A421" s="19"/>
      <c r="B421" s="19"/>
      <c r="C421" s="19"/>
      <c r="D421" s="19"/>
      <c r="E421" s="32"/>
      <c r="F421" s="19"/>
      <c r="G421" s="26" t="str">
        <f aca="false">IF(A421="","",COUNTIF(Pubs!$B$2:$B$3001,A421))</f>
        <v/>
      </c>
      <c r="H421" s="26" t="str">
        <f aca="false">IF(A421="","",COUNTIF(Apparitions!$H$2:$H$5001,A421))</f>
        <v/>
      </c>
      <c r="I421" s="26" t="str">
        <f aca="false">IF(A421="","",COUNTIFS(Apparitions!$H$2:$H$5001,A421,Apparitions!$E$2:$E$5001,"○"))</f>
        <v/>
      </c>
      <c r="J421" s="29" t="str">
        <f aca="false">IF(A421="","",IFERROR(1/(1/_xlfn.MINIFS(Apparitions!$L$2:$L$5001,Apparitions!$H$2:$H$5001,A421)),""))</f>
        <v/>
      </c>
    </row>
    <row r="422" customFormat="false" ht="15" hidden="false" customHeight="false" outlineLevel="0" collapsed="false">
      <c r="A422" s="19"/>
      <c r="B422" s="19"/>
      <c r="C422" s="19"/>
      <c r="D422" s="19"/>
      <c r="E422" s="32"/>
      <c r="F422" s="19"/>
      <c r="G422" s="26" t="str">
        <f aca="false">IF(A422="","",COUNTIF(Pubs!$B$2:$B$3001,A422))</f>
        <v/>
      </c>
      <c r="H422" s="26" t="str">
        <f aca="false">IF(A422="","",COUNTIF(Apparitions!$H$2:$H$5001,A422))</f>
        <v/>
      </c>
      <c r="I422" s="26" t="str">
        <f aca="false">IF(A422="","",COUNTIFS(Apparitions!$H$2:$H$5001,A422,Apparitions!$E$2:$E$5001,"○"))</f>
        <v/>
      </c>
      <c r="J422" s="29" t="str">
        <f aca="false">IF(A422="","",IFERROR(1/(1/_xlfn.MINIFS(Apparitions!$L$2:$L$5001,Apparitions!$H$2:$H$5001,A422)),""))</f>
        <v/>
      </c>
    </row>
    <row r="423" customFormat="false" ht="15" hidden="false" customHeight="false" outlineLevel="0" collapsed="false">
      <c r="A423" s="19"/>
      <c r="B423" s="19"/>
      <c r="C423" s="19"/>
      <c r="D423" s="19"/>
      <c r="E423" s="32"/>
      <c r="F423" s="19"/>
      <c r="G423" s="26" t="str">
        <f aca="false">IF(A423="","",COUNTIF(Pubs!$B$2:$B$3001,A423))</f>
        <v/>
      </c>
      <c r="H423" s="26" t="str">
        <f aca="false">IF(A423="","",COUNTIF(Apparitions!$H$2:$H$5001,A423))</f>
        <v/>
      </c>
      <c r="I423" s="26" t="str">
        <f aca="false">IF(A423="","",COUNTIFS(Apparitions!$H$2:$H$5001,A423,Apparitions!$E$2:$E$5001,"○"))</f>
        <v/>
      </c>
      <c r="J423" s="29" t="str">
        <f aca="false">IF(A423="","",IFERROR(1/(1/_xlfn.MINIFS(Apparitions!$L$2:$L$5001,Apparitions!$H$2:$H$5001,A423)),""))</f>
        <v/>
      </c>
    </row>
    <row r="424" customFormat="false" ht="15" hidden="false" customHeight="false" outlineLevel="0" collapsed="false">
      <c r="A424" s="19"/>
      <c r="B424" s="19"/>
      <c r="C424" s="19"/>
      <c r="D424" s="19"/>
      <c r="E424" s="32"/>
      <c r="F424" s="19"/>
      <c r="G424" s="26" t="str">
        <f aca="false">IF(A424="","",COUNTIF(Pubs!$B$2:$B$3001,A424))</f>
        <v/>
      </c>
      <c r="H424" s="26" t="str">
        <f aca="false">IF(A424="","",COUNTIF(Apparitions!$H$2:$H$5001,A424))</f>
        <v/>
      </c>
      <c r="I424" s="26" t="str">
        <f aca="false">IF(A424="","",COUNTIFS(Apparitions!$H$2:$H$5001,A424,Apparitions!$E$2:$E$5001,"○"))</f>
        <v/>
      </c>
      <c r="J424" s="29" t="str">
        <f aca="false">IF(A424="","",IFERROR(1/(1/_xlfn.MINIFS(Apparitions!$L$2:$L$5001,Apparitions!$H$2:$H$5001,A424)),""))</f>
        <v/>
      </c>
    </row>
    <row r="425" customFormat="false" ht="15" hidden="false" customHeight="false" outlineLevel="0" collapsed="false">
      <c r="A425" s="19"/>
      <c r="B425" s="19"/>
      <c r="C425" s="19"/>
      <c r="D425" s="19"/>
      <c r="E425" s="32"/>
      <c r="F425" s="19"/>
      <c r="G425" s="26" t="str">
        <f aca="false">IF(A425="","",COUNTIF(Pubs!$B$2:$B$3001,A425))</f>
        <v/>
      </c>
      <c r="H425" s="26" t="str">
        <f aca="false">IF(A425="","",COUNTIF(Apparitions!$H$2:$H$5001,A425))</f>
        <v/>
      </c>
      <c r="I425" s="26" t="str">
        <f aca="false">IF(A425="","",COUNTIFS(Apparitions!$H$2:$H$5001,A425,Apparitions!$E$2:$E$5001,"○"))</f>
        <v/>
      </c>
      <c r="J425" s="29" t="str">
        <f aca="false">IF(A425="","",IFERROR(1/(1/_xlfn.MINIFS(Apparitions!$L$2:$L$5001,Apparitions!$H$2:$H$5001,A425)),""))</f>
        <v/>
      </c>
    </row>
    <row r="426" customFormat="false" ht="15" hidden="false" customHeight="false" outlineLevel="0" collapsed="false">
      <c r="A426" s="19"/>
      <c r="B426" s="19"/>
      <c r="C426" s="19"/>
      <c r="D426" s="19"/>
      <c r="E426" s="32"/>
      <c r="F426" s="19"/>
      <c r="G426" s="26" t="str">
        <f aca="false">IF(A426="","",COUNTIF(Pubs!$B$2:$B$3001,A426))</f>
        <v/>
      </c>
      <c r="H426" s="26" t="str">
        <f aca="false">IF(A426="","",COUNTIF(Apparitions!$H$2:$H$5001,A426))</f>
        <v/>
      </c>
      <c r="I426" s="26" t="str">
        <f aca="false">IF(A426="","",COUNTIFS(Apparitions!$H$2:$H$5001,A426,Apparitions!$E$2:$E$5001,"○"))</f>
        <v/>
      </c>
      <c r="J426" s="29" t="str">
        <f aca="false">IF(A426="","",IFERROR(1/(1/_xlfn.MINIFS(Apparitions!$L$2:$L$5001,Apparitions!$H$2:$H$5001,A426)),""))</f>
        <v/>
      </c>
    </row>
    <row r="427" customFormat="false" ht="15" hidden="false" customHeight="false" outlineLevel="0" collapsed="false">
      <c r="A427" s="19"/>
      <c r="B427" s="19"/>
      <c r="C427" s="19"/>
      <c r="D427" s="19"/>
      <c r="E427" s="32"/>
      <c r="F427" s="19"/>
      <c r="G427" s="26" t="str">
        <f aca="false">IF(A427="","",COUNTIF(Pubs!$B$2:$B$3001,A427))</f>
        <v/>
      </c>
      <c r="H427" s="26" t="str">
        <f aca="false">IF(A427="","",COUNTIF(Apparitions!$H$2:$H$5001,A427))</f>
        <v/>
      </c>
      <c r="I427" s="26" t="str">
        <f aca="false">IF(A427="","",COUNTIFS(Apparitions!$H$2:$H$5001,A427,Apparitions!$E$2:$E$5001,"○"))</f>
        <v/>
      </c>
      <c r="J427" s="29" t="str">
        <f aca="false">IF(A427="","",IFERROR(1/(1/_xlfn.MINIFS(Apparitions!$L$2:$L$5001,Apparitions!$H$2:$H$5001,A427)),""))</f>
        <v/>
      </c>
    </row>
    <row r="428" customFormat="false" ht="15" hidden="false" customHeight="false" outlineLevel="0" collapsed="false">
      <c r="A428" s="19"/>
      <c r="B428" s="19"/>
      <c r="C428" s="19"/>
      <c r="D428" s="19"/>
      <c r="E428" s="32"/>
      <c r="F428" s="19"/>
      <c r="G428" s="26" t="str">
        <f aca="false">IF(A428="","",COUNTIF(Pubs!$B$2:$B$3001,A428))</f>
        <v/>
      </c>
      <c r="H428" s="26" t="str">
        <f aca="false">IF(A428="","",COUNTIF(Apparitions!$H$2:$H$5001,A428))</f>
        <v/>
      </c>
      <c r="I428" s="26" t="str">
        <f aca="false">IF(A428="","",COUNTIFS(Apparitions!$H$2:$H$5001,A428,Apparitions!$E$2:$E$5001,"○"))</f>
        <v/>
      </c>
      <c r="J428" s="29" t="str">
        <f aca="false">IF(A428="","",IFERROR(1/(1/_xlfn.MINIFS(Apparitions!$L$2:$L$5001,Apparitions!$H$2:$H$5001,A428)),""))</f>
        <v/>
      </c>
    </row>
    <row r="429" customFormat="false" ht="15" hidden="false" customHeight="false" outlineLevel="0" collapsed="false">
      <c r="A429" s="19"/>
      <c r="B429" s="19"/>
      <c r="C429" s="19"/>
      <c r="D429" s="19"/>
      <c r="E429" s="32"/>
      <c r="F429" s="19"/>
      <c r="G429" s="26" t="str">
        <f aca="false">IF(A429="","",COUNTIF(Pubs!$B$2:$B$3001,A429))</f>
        <v/>
      </c>
      <c r="H429" s="26" t="str">
        <f aca="false">IF(A429="","",COUNTIF(Apparitions!$H$2:$H$5001,A429))</f>
        <v/>
      </c>
      <c r="I429" s="26" t="str">
        <f aca="false">IF(A429="","",COUNTIFS(Apparitions!$H$2:$H$5001,A429,Apparitions!$E$2:$E$5001,"○"))</f>
        <v/>
      </c>
      <c r="J429" s="29" t="str">
        <f aca="false">IF(A429="","",IFERROR(1/(1/_xlfn.MINIFS(Apparitions!$L$2:$L$5001,Apparitions!$H$2:$H$5001,A429)),""))</f>
        <v/>
      </c>
    </row>
    <row r="430" customFormat="false" ht="15" hidden="false" customHeight="false" outlineLevel="0" collapsed="false">
      <c r="A430" s="19"/>
      <c r="B430" s="19"/>
      <c r="C430" s="19"/>
      <c r="D430" s="19"/>
      <c r="E430" s="32"/>
      <c r="F430" s="19"/>
      <c r="G430" s="26" t="str">
        <f aca="false">IF(A430="","",COUNTIF(Pubs!$B$2:$B$3001,A430))</f>
        <v/>
      </c>
      <c r="H430" s="26" t="str">
        <f aca="false">IF(A430="","",COUNTIF(Apparitions!$H$2:$H$5001,A430))</f>
        <v/>
      </c>
      <c r="I430" s="26" t="str">
        <f aca="false">IF(A430="","",COUNTIFS(Apparitions!$H$2:$H$5001,A430,Apparitions!$E$2:$E$5001,"○"))</f>
        <v/>
      </c>
      <c r="J430" s="29" t="str">
        <f aca="false">IF(A430="","",IFERROR(1/(1/_xlfn.MINIFS(Apparitions!$L$2:$L$5001,Apparitions!$H$2:$H$5001,A430)),""))</f>
        <v/>
      </c>
    </row>
    <row r="431" customFormat="false" ht="15" hidden="false" customHeight="false" outlineLevel="0" collapsed="false">
      <c r="A431" s="19"/>
      <c r="B431" s="19"/>
      <c r="C431" s="19"/>
      <c r="D431" s="19"/>
      <c r="E431" s="32"/>
      <c r="F431" s="19"/>
      <c r="G431" s="26" t="str">
        <f aca="false">IF(A431="","",COUNTIF(Pubs!$B$2:$B$3001,A431))</f>
        <v/>
      </c>
      <c r="H431" s="26" t="str">
        <f aca="false">IF(A431="","",COUNTIF(Apparitions!$H$2:$H$5001,A431))</f>
        <v/>
      </c>
      <c r="I431" s="26" t="str">
        <f aca="false">IF(A431="","",COUNTIFS(Apparitions!$H$2:$H$5001,A431,Apparitions!$E$2:$E$5001,"○"))</f>
        <v/>
      </c>
      <c r="J431" s="29" t="str">
        <f aca="false">IF(A431="","",IFERROR(1/(1/_xlfn.MINIFS(Apparitions!$L$2:$L$5001,Apparitions!$H$2:$H$5001,A431)),""))</f>
        <v/>
      </c>
    </row>
    <row r="432" customFormat="false" ht="15" hidden="false" customHeight="false" outlineLevel="0" collapsed="false">
      <c r="A432" s="19"/>
      <c r="B432" s="19"/>
      <c r="C432" s="19"/>
      <c r="D432" s="19"/>
      <c r="E432" s="32"/>
      <c r="F432" s="19"/>
      <c r="G432" s="26" t="str">
        <f aca="false">IF(A432="","",COUNTIF(Pubs!$B$2:$B$3001,A432))</f>
        <v/>
      </c>
      <c r="H432" s="26" t="str">
        <f aca="false">IF(A432="","",COUNTIF(Apparitions!$H$2:$H$5001,A432))</f>
        <v/>
      </c>
      <c r="I432" s="26" t="str">
        <f aca="false">IF(A432="","",COUNTIFS(Apparitions!$H$2:$H$5001,A432,Apparitions!$E$2:$E$5001,"○"))</f>
        <v/>
      </c>
      <c r="J432" s="29" t="str">
        <f aca="false">IF(A432="","",IFERROR(1/(1/_xlfn.MINIFS(Apparitions!$L$2:$L$5001,Apparitions!$H$2:$H$5001,A432)),""))</f>
        <v/>
      </c>
    </row>
    <row r="433" customFormat="false" ht="15" hidden="false" customHeight="false" outlineLevel="0" collapsed="false">
      <c r="A433" s="19"/>
      <c r="B433" s="19"/>
      <c r="C433" s="19"/>
      <c r="D433" s="19"/>
      <c r="E433" s="32"/>
      <c r="F433" s="19"/>
      <c r="G433" s="26" t="str">
        <f aca="false">IF(A433="","",COUNTIF(Pubs!$B$2:$B$3001,A433))</f>
        <v/>
      </c>
      <c r="H433" s="26" t="str">
        <f aca="false">IF(A433="","",COUNTIF(Apparitions!$H$2:$H$5001,A433))</f>
        <v/>
      </c>
      <c r="I433" s="26" t="str">
        <f aca="false">IF(A433="","",COUNTIFS(Apparitions!$H$2:$H$5001,A433,Apparitions!$E$2:$E$5001,"○"))</f>
        <v/>
      </c>
      <c r="J433" s="29" t="str">
        <f aca="false">IF(A433="","",IFERROR(1/(1/_xlfn.MINIFS(Apparitions!$L$2:$L$5001,Apparitions!$H$2:$H$5001,A433)),""))</f>
        <v/>
      </c>
    </row>
    <row r="434" customFormat="false" ht="15" hidden="false" customHeight="false" outlineLevel="0" collapsed="false">
      <c r="A434" s="19"/>
      <c r="B434" s="19"/>
      <c r="C434" s="19"/>
      <c r="D434" s="19"/>
      <c r="E434" s="32"/>
      <c r="F434" s="19"/>
      <c r="G434" s="26" t="str">
        <f aca="false">IF(A434="","",COUNTIF(Pubs!$B$2:$B$3001,A434))</f>
        <v/>
      </c>
      <c r="H434" s="26" t="str">
        <f aca="false">IF(A434="","",COUNTIF(Apparitions!$H$2:$H$5001,A434))</f>
        <v/>
      </c>
      <c r="I434" s="26" t="str">
        <f aca="false">IF(A434="","",COUNTIFS(Apparitions!$H$2:$H$5001,A434,Apparitions!$E$2:$E$5001,"○"))</f>
        <v/>
      </c>
      <c r="J434" s="29" t="str">
        <f aca="false">IF(A434="","",IFERROR(1/(1/_xlfn.MINIFS(Apparitions!$L$2:$L$5001,Apparitions!$H$2:$H$5001,A434)),""))</f>
        <v/>
      </c>
    </row>
    <row r="435" customFormat="false" ht="15" hidden="false" customHeight="false" outlineLevel="0" collapsed="false">
      <c r="A435" s="19"/>
      <c r="B435" s="19"/>
      <c r="C435" s="19"/>
      <c r="D435" s="19"/>
      <c r="E435" s="32"/>
      <c r="F435" s="19"/>
      <c r="G435" s="26" t="str">
        <f aca="false">IF(A435="","",COUNTIF(Pubs!$B$2:$B$3001,A435))</f>
        <v/>
      </c>
      <c r="H435" s="26" t="str">
        <f aca="false">IF(A435="","",COUNTIF(Apparitions!$H$2:$H$5001,A435))</f>
        <v/>
      </c>
      <c r="I435" s="26" t="str">
        <f aca="false">IF(A435="","",COUNTIFS(Apparitions!$H$2:$H$5001,A435,Apparitions!$E$2:$E$5001,"○"))</f>
        <v/>
      </c>
      <c r="J435" s="29" t="str">
        <f aca="false">IF(A435="","",IFERROR(1/(1/_xlfn.MINIFS(Apparitions!$L$2:$L$5001,Apparitions!$H$2:$H$5001,A435)),""))</f>
        <v/>
      </c>
    </row>
    <row r="436" customFormat="false" ht="15" hidden="false" customHeight="false" outlineLevel="0" collapsed="false">
      <c r="A436" s="19"/>
      <c r="B436" s="19"/>
      <c r="C436" s="19"/>
      <c r="D436" s="19"/>
      <c r="E436" s="32"/>
      <c r="F436" s="19"/>
      <c r="G436" s="26" t="str">
        <f aca="false">IF(A436="","",COUNTIF(Pubs!$B$2:$B$3001,A436))</f>
        <v/>
      </c>
      <c r="H436" s="26" t="str">
        <f aca="false">IF(A436="","",COUNTIF(Apparitions!$H$2:$H$5001,A436))</f>
        <v/>
      </c>
      <c r="I436" s="26" t="str">
        <f aca="false">IF(A436="","",COUNTIFS(Apparitions!$H$2:$H$5001,A436,Apparitions!$E$2:$E$5001,"○"))</f>
        <v/>
      </c>
      <c r="J436" s="29" t="str">
        <f aca="false">IF(A436="","",IFERROR(1/(1/_xlfn.MINIFS(Apparitions!$L$2:$L$5001,Apparitions!$H$2:$H$5001,A436)),""))</f>
        <v/>
      </c>
    </row>
    <row r="437" customFormat="false" ht="15" hidden="false" customHeight="false" outlineLevel="0" collapsed="false">
      <c r="A437" s="19"/>
      <c r="B437" s="19"/>
      <c r="C437" s="19"/>
      <c r="D437" s="19"/>
      <c r="E437" s="32"/>
      <c r="F437" s="19"/>
      <c r="G437" s="26" t="str">
        <f aca="false">IF(A437="","",COUNTIF(Pubs!$B$2:$B$3001,A437))</f>
        <v/>
      </c>
      <c r="H437" s="26" t="str">
        <f aca="false">IF(A437="","",COUNTIF(Apparitions!$H$2:$H$5001,A437))</f>
        <v/>
      </c>
      <c r="I437" s="26" t="str">
        <f aca="false">IF(A437="","",COUNTIFS(Apparitions!$H$2:$H$5001,A437,Apparitions!$E$2:$E$5001,"○"))</f>
        <v/>
      </c>
      <c r="J437" s="29" t="str">
        <f aca="false">IF(A437="","",IFERROR(1/(1/_xlfn.MINIFS(Apparitions!$L$2:$L$5001,Apparitions!$H$2:$H$5001,A437)),""))</f>
        <v/>
      </c>
    </row>
    <row r="438" customFormat="false" ht="15" hidden="false" customHeight="false" outlineLevel="0" collapsed="false">
      <c r="A438" s="19"/>
      <c r="B438" s="19"/>
      <c r="C438" s="19"/>
      <c r="D438" s="19"/>
      <c r="E438" s="32"/>
      <c r="F438" s="19"/>
      <c r="G438" s="26" t="str">
        <f aca="false">IF(A438="","",COUNTIF(Pubs!$B$2:$B$3001,A438))</f>
        <v/>
      </c>
      <c r="H438" s="26" t="str">
        <f aca="false">IF(A438="","",COUNTIF(Apparitions!$H$2:$H$5001,A438))</f>
        <v/>
      </c>
      <c r="I438" s="26" t="str">
        <f aca="false">IF(A438="","",COUNTIFS(Apparitions!$H$2:$H$5001,A438,Apparitions!$E$2:$E$5001,"○"))</f>
        <v/>
      </c>
      <c r="J438" s="29" t="str">
        <f aca="false">IF(A438="","",IFERROR(1/(1/_xlfn.MINIFS(Apparitions!$L$2:$L$5001,Apparitions!$H$2:$H$5001,A438)),""))</f>
        <v/>
      </c>
    </row>
    <row r="439" customFormat="false" ht="15" hidden="false" customHeight="false" outlineLevel="0" collapsed="false">
      <c r="A439" s="19"/>
      <c r="B439" s="19"/>
      <c r="C439" s="19"/>
      <c r="D439" s="19"/>
      <c r="E439" s="32"/>
      <c r="F439" s="19"/>
      <c r="G439" s="26" t="str">
        <f aca="false">IF(A439="","",COUNTIF(Pubs!$B$2:$B$3001,A439))</f>
        <v/>
      </c>
      <c r="H439" s="26" t="str">
        <f aca="false">IF(A439="","",COUNTIF(Apparitions!$H$2:$H$5001,A439))</f>
        <v/>
      </c>
      <c r="I439" s="26" t="str">
        <f aca="false">IF(A439="","",COUNTIFS(Apparitions!$H$2:$H$5001,A439,Apparitions!$E$2:$E$5001,"○"))</f>
        <v/>
      </c>
      <c r="J439" s="29" t="str">
        <f aca="false">IF(A439="","",IFERROR(1/(1/_xlfn.MINIFS(Apparitions!$L$2:$L$5001,Apparitions!$H$2:$H$5001,A439)),""))</f>
        <v/>
      </c>
    </row>
    <row r="440" customFormat="false" ht="15" hidden="false" customHeight="false" outlineLevel="0" collapsed="false">
      <c r="A440" s="19"/>
      <c r="B440" s="19"/>
      <c r="C440" s="19"/>
      <c r="D440" s="19"/>
      <c r="E440" s="32"/>
      <c r="F440" s="19"/>
      <c r="G440" s="26" t="str">
        <f aca="false">IF(A440="","",COUNTIF(Pubs!$B$2:$B$3001,A440))</f>
        <v/>
      </c>
      <c r="H440" s="26" t="str">
        <f aca="false">IF(A440="","",COUNTIF(Apparitions!$H$2:$H$5001,A440))</f>
        <v/>
      </c>
      <c r="I440" s="26" t="str">
        <f aca="false">IF(A440="","",COUNTIFS(Apparitions!$H$2:$H$5001,A440,Apparitions!$E$2:$E$5001,"○"))</f>
        <v/>
      </c>
      <c r="J440" s="29" t="str">
        <f aca="false">IF(A440="","",IFERROR(1/(1/_xlfn.MINIFS(Apparitions!$L$2:$L$5001,Apparitions!$H$2:$H$5001,A440)),""))</f>
        <v/>
      </c>
    </row>
    <row r="441" customFormat="false" ht="15" hidden="false" customHeight="false" outlineLevel="0" collapsed="false">
      <c r="A441" s="19"/>
      <c r="B441" s="19"/>
      <c r="C441" s="19"/>
      <c r="D441" s="19"/>
      <c r="E441" s="32"/>
      <c r="F441" s="19"/>
      <c r="G441" s="26" t="str">
        <f aca="false">IF(A441="","",COUNTIF(Pubs!$B$2:$B$3001,A441))</f>
        <v/>
      </c>
      <c r="H441" s="26" t="str">
        <f aca="false">IF(A441="","",COUNTIF(Apparitions!$H$2:$H$5001,A441))</f>
        <v/>
      </c>
      <c r="I441" s="26" t="str">
        <f aca="false">IF(A441="","",COUNTIFS(Apparitions!$H$2:$H$5001,A441,Apparitions!$E$2:$E$5001,"○"))</f>
        <v/>
      </c>
      <c r="J441" s="29" t="str">
        <f aca="false">IF(A441="","",IFERROR(1/(1/_xlfn.MINIFS(Apparitions!$L$2:$L$5001,Apparitions!$H$2:$H$5001,A441)),""))</f>
        <v/>
      </c>
    </row>
    <row r="442" customFormat="false" ht="15" hidden="false" customHeight="false" outlineLevel="0" collapsed="false">
      <c r="A442" s="19"/>
      <c r="B442" s="19"/>
      <c r="C442" s="19"/>
      <c r="D442" s="19"/>
      <c r="E442" s="32"/>
      <c r="F442" s="19"/>
      <c r="G442" s="26" t="str">
        <f aca="false">IF(A442="","",COUNTIF(Pubs!$B$2:$B$3001,A442))</f>
        <v/>
      </c>
      <c r="H442" s="26" t="str">
        <f aca="false">IF(A442="","",COUNTIF(Apparitions!$H$2:$H$5001,A442))</f>
        <v/>
      </c>
      <c r="I442" s="26" t="str">
        <f aca="false">IF(A442="","",COUNTIFS(Apparitions!$H$2:$H$5001,A442,Apparitions!$E$2:$E$5001,"○"))</f>
        <v/>
      </c>
      <c r="J442" s="29" t="str">
        <f aca="false">IF(A442="","",IFERROR(1/(1/_xlfn.MINIFS(Apparitions!$L$2:$L$5001,Apparitions!$H$2:$H$5001,A442)),""))</f>
        <v/>
      </c>
    </row>
    <row r="443" customFormat="false" ht="15" hidden="false" customHeight="false" outlineLevel="0" collapsed="false">
      <c r="A443" s="19"/>
      <c r="B443" s="19"/>
      <c r="C443" s="19"/>
      <c r="D443" s="19"/>
      <c r="E443" s="32"/>
      <c r="F443" s="19"/>
      <c r="G443" s="26" t="str">
        <f aca="false">IF(A443="","",COUNTIF(Pubs!$B$2:$B$3001,A443))</f>
        <v/>
      </c>
      <c r="H443" s="26" t="str">
        <f aca="false">IF(A443="","",COUNTIF(Apparitions!$H$2:$H$5001,A443))</f>
        <v/>
      </c>
      <c r="I443" s="26" t="str">
        <f aca="false">IF(A443="","",COUNTIFS(Apparitions!$H$2:$H$5001,A443,Apparitions!$E$2:$E$5001,"○"))</f>
        <v/>
      </c>
      <c r="J443" s="29" t="str">
        <f aca="false">IF(A443="","",IFERROR(1/(1/_xlfn.MINIFS(Apparitions!$L$2:$L$5001,Apparitions!$H$2:$H$5001,A443)),""))</f>
        <v/>
      </c>
    </row>
    <row r="444" customFormat="false" ht="15" hidden="false" customHeight="false" outlineLevel="0" collapsed="false">
      <c r="A444" s="19"/>
      <c r="B444" s="19"/>
      <c r="C444" s="19"/>
      <c r="D444" s="19"/>
      <c r="E444" s="32"/>
      <c r="F444" s="19"/>
      <c r="G444" s="26" t="str">
        <f aca="false">IF(A444="","",COUNTIF(Pubs!$B$2:$B$3001,A444))</f>
        <v/>
      </c>
      <c r="H444" s="26" t="str">
        <f aca="false">IF(A444="","",COUNTIF(Apparitions!$H$2:$H$5001,A444))</f>
        <v/>
      </c>
      <c r="I444" s="26" t="str">
        <f aca="false">IF(A444="","",COUNTIFS(Apparitions!$H$2:$H$5001,A444,Apparitions!$E$2:$E$5001,"○"))</f>
        <v/>
      </c>
      <c r="J444" s="29" t="str">
        <f aca="false">IF(A444="","",IFERROR(1/(1/_xlfn.MINIFS(Apparitions!$L$2:$L$5001,Apparitions!$H$2:$H$5001,A444)),""))</f>
        <v/>
      </c>
    </row>
    <row r="445" customFormat="false" ht="15" hidden="false" customHeight="false" outlineLevel="0" collapsed="false">
      <c r="A445" s="19"/>
      <c r="B445" s="19"/>
      <c r="C445" s="19"/>
      <c r="D445" s="19"/>
      <c r="E445" s="32"/>
      <c r="F445" s="19"/>
      <c r="G445" s="26" t="str">
        <f aca="false">IF(A445="","",COUNTIF(Pubs!$B$2:$B$3001,A445))</f>
        <v/>
      </c>
      <c r="H445" s="26" t="str">
        <f aca="false">IF(A445="","",COUNTIF(Apparitions!$H$2:$H$5001,A445))</f>
        <v/>
      </c>
      <c r="I445" s="26" t="str">
        <f aca="false">IF(A445="","",COUNTIFS(Apparitions!$H$2:$H$5001,A445,Apparitions!$E$2:$E$5001,"○"))</f>
        <v/>
      </c>
      <c r="J445" s="29" t="str">
        <f aca="false">IF(A445="","",IFERROR(1/(1/_xlfn.MINIFS(Apparitions!$L$2:$L$5001,Apparitions!$H$2:$H$5001,A445)),""))</f>
        <v/>
      </c>
    </row>
    <row r="446" customFormat="false" ht="15" hidden="false" customHeight="false" outlineLevel="0" collapsed="false">
      <c r="A446" s="19"/>
      <c r="B446" s="19"/>
      <c r="C446" s="19"/>
      <c r="D446" s="19"/>
      <c r="E446" s="32"/>
      <c r="F446" s="19"/>
      <c r="G446" s="26" t="str">
        <f aca="false">IF(A446="","",COUNTIF(Pubs!$B$2:$B$3001,A446))</f>
        <v/>
      </c>
      <c r="H446" s="26" t="str">
        <f aca="false">IF(A446="","",COUNTIF(Apparitions!$H$2:$H$5001,A446))</f>
        <v/>
      </c>
      <c r="I446" s="26" t="str">
        <f aca="false">IF(A446="","",COUNTIFS(Apparitions!$H$2:$H$5001,A446,Apparitions!$E$2:$E$5001,"○"))</f>
        <v/>
      </c>
      <c r="J446" s="29" t="str">
        <f aca="false">IF(A446="","",IFERROR(1/(1/_xlfn.MINIFS(Apparitions!$L$2:$L$5001,Apparitions!$H$2:$H$5001,A446)),""))</f>
        <v/>
      </c>
    </row>
    <row r="447" customFormat="false" ht="15" hidden="false" customHeight="false" outlineLevel="0" collapsed="false">
      <c r="A447" s="19"/>
      <c r="B447" s="19"/>
      <c r="C447" s="19"/>
      <c r="D447" s="19"/>
      <c r="E447" s="32"/>
      <c r="F447" s="19"/>
      <c r="G447" s="26" t="str">
        <f aca="false">IF(A447="","",COUNTIF(Pubs!$B$2:$B$3001,A447))</f>
        <v/>
      </c>
      <c r="H447" s="26" t="str">
        <f aca="false">IF(A447="","",COUNTIF(Apparitions!$H$2:$H$5001,A447))</f>
        <v/>
      </c>
      <c r="I447" s="26" t="str">
        <f aca="false">IF(A447="","",COUNTIFS(Apparitions!$H$2:$H$5001,A447,Apparitions!$E$2:$E$5001,"○"))</f>
        <v/>
      </c>
      <c r="J447" s="29" t="str">
        <f aca="false">IF(A447="","",IFERROR(1/(1/_xlfn.MINIFS(Apparitions!$L$2:$L$5001,Apparitions!$H$2:$H$5001,A447)),""))</f>
        <v/>
      </c>
    </row>
    <row r="448" customFormat="false" ht="15" hidden="false" customHeight="false" outlineLevel="0" collapsed="false">
      <c r="A448" s="19"/>
      <c r="B448" s="19"/>
      <c r="C448" s="19"/>
      <c r="D448" s="19"/>
      <c r="E448" s="32"/>
      <c r="F448" s="19"/>
      <c r="G448" s="26" t="str">
        <f aca="false">IF(A448="","",COUNTIF(Pubs!$B$2:$B$3001,A448))</f>
        <v/>
      </c>
      <c r="H448" s="26" t="str">
        <f aca="false">IF(A448="","",COUNTIF(Apparitions!$H$2:$H$5001,A448))</f>
        <v/>
      </c>
      <c r="I448" s="26" t="str">
        <f aca="false">IF(A448="","",COUNTIFS(Apparitions!$H$2:$H$5001,A448,Apparitions!$E$2:$E$5001,"○"))</f>
        <v/>
      </c>
      <c r="J448" s="29" t="str">
        <f aca="false">IF(A448="","",IFERROR(1/(1/_xlfn.MINIFS(Apparitions!$L$2:$L$5001,Apparitions!$H$2:$H$5001,A448)),""))</f>
        <v/>
      </c>
    </row>
    <row r="449" customFormat="false" ht="15" hidden="false" customHeight="false" outlineLevel="0" collapsed="false">
      <c r="A449" s="19"/>
      <c r="B449" s="19"/>
      <c r="C449" s="19"/>
      <c r="D449" s="19"/>
      <c r="E449" s="32"/>
      <c r="F449" s="19"/>
      <c r="G449" s="26" t="str">
        <f aca="false">IF(A449="","",COUNTIF(Pubs!$B$2:$B$3001,A449))</f>
        <v/>
      </c>
      <c r="H449" s="26" t="str">
        <f aca="false">IF(A449="","",COUNTIF(Apparitions!$H$2:$H$5001,A449))</f>
        <v/>
      </c>
      <c r="I449" s="26" t="str">
        <f aca="false">IF(A449="","",COUNTIFS(Apparitions!$H$2:$H$5001,A449,Apparitions!$E$2:$E$5001,"○"))</f>
        <v/>
      </c>
      <c r="J449" s="29" t="str">
        <f aca="false">IF(A449="","",IFERROR(1/(1/_xlfn.MINIFS(Apparitions!$L$2:$L$5001,Apparitions!$H$2:$H$5001,A449)),""))</f>
        <v/>
      </c>
    </row>
    <row r="450" customFormat="false" ht="15" hidden="false" customHeight="false" outlineLevel="0" collapsed="false">
      <c r="A450" s="19"/>
      <c r="B450" s="19"/>
      <c r="C450" s="19"/>
      <c r="D450" s="19"/>
      <c r="E450" s="32"/>
      <c r="F450" s="19"/>
      <c r="G450" s="26" t="str">
        <f aca="false">IF(A450="","",COUNTIF(Pubs!$B$2:$B$3001,A450))</f>
        <v/>
      </c>
      <c r="H450" s="26" t="str">
        <f aca="false">IF(A450="","",COUNTIF(Apparitions!$H$2:$H$5001,A450))</f>
        <v/>
      </c>
      <c r="I450" s="26" t="str">
        <f aca="false">IF(A450="","",COUNTIFS(Apparitions!$H$2:$H$5001,A450,Apparitions!$E$2:$E$5001,"○"))</f>
        <v/>
      </c>
      <c r="J450" s="29" t="str">
        <f aca="false">IF(A450="","",IFERROR(1/(1/_xlfn.MINIFS(Apparitions!$L$2:$L$5001,Apparitions!$H$2:$H$5001,A450)),""))</f>
        <v/>
      </c>
    </row>
    <row r="451" customFormat="false" ht="15" hidden="false" customHeight="false" outlineLevel="0" collapsed="false">
      <c r="A451" s="19"/>
      <c r="B451" s="19"/>
      <c r="C451" s="19"/>
      <c r="D451" s="19"/>
      <c r="E451" s="32"/>
      <c r="F451" s="19"/>
      <c r="G451" s="26" t="str">
        <f aca="false">IF(A451="","",COUNTIF(Pubs!$B$2:$B$3001,A451))</f>
        <v/>
      </c>
      <c r="H451" s="26" t="str">
        <f aca="false">IF(A451="","",COUNTIF(Apparitions!$H$2:$H$5001,A451))</f>
        <v/>
      </c>
      <c r="I451" s="26" t="str">
        <f aca="false">IF(A451="","",COUNTIFS(Apparitions!$H$2:$H$5001,A451,Apparitions!$E$2:$E$5001,"○"))</f>
        <v/>
      </c>
      <c r="J451" s="29" t="str">
        <f aca="false">IF(A451="","",IFERROR(1/(1/_xlfn.MINIFS(Apparitions!$L$2:$L$5001,Apparitions!$H$2:$H$5001,A451)),""))</f>
        <v/>
      </c>
    </row>
    <row r="452" customFormat="false" ht="15" hidden="false" customHeight="false" outlineLevel="0" collapsed="false">
      <c r="A452" s="19"/>
      <c r="B452" s="19"/>
      <c r="C452" s="19"/>
      <c r="D452" s="19"/>
      <c r="E452" s="32"/>
      <c r="F452" s="19"/>
      <c r="G452" s="26" t="str">
        <f aca="false">IF(A452="","",COUNTIF(Pubs!$B$2:$B$3001,A452))</f>
        <v/>
      </c>
      <c r="H452" s="26" t="str">
        <f aca="false">IF(A452="","",COUNTIF(Apparitions!$H$2:$H$5001,A452))</f>
        <v/>
      </c>
      <c r="I452" s="26" t="str">
        <f aca="false">IF(A452="","",COUNTIFS(Apparitions!$H$2:$H$5001,A452,Apparitions!$E$2:$E$5001,"○"))</f>
        <v/>
      </c>
      <c r="J452" s="29" t="str">
        <f aca="false">IF(A452="","",IFERROR(1/(1/_xlfn.MINIFS(Apparitions!$L$2:$L$5001,Apparitions!$H$2:$H$5001,A452)),""))</f>
        <v/>
      </c>
    </row>
    <row r="453" customFormat="false" ht="15" hidden="false" customHeight="false" outlineLevel="0" collapsed="false">
      <c r="A453" s="19"/>
      <c r="B453" s="19"/>
      <c r="C453" s="19"/>
      <c r="D453" s="19"/>
      <c r="E453" s="32"/>
      <c r="F453" s="19"/>
      <c r="G453" s="26" t="str">
        <f aca="false">IF(A453="","",COUNTIF(Pubs!$B$2:$B$3001,A453))</f>
        <v/>
      </c>
      <c r="H453" s="26" t="str">
        <f aca="false">IF(A453="","",COUNTIF(Apparitions!$H$2:$H$5001,A453))</f>
        <v/>
      </c>
      <c r="I453" s="26" t="str">
        <f aca="false">IF(A453="","",COUNTIFS(Apparitions!$H$2:$H$5001,A453,Apparitions!$E$2:$E$5001,"○"))</f>
        <v/>
      </c>
      <c r="J453" s="29" t="str">
        <f aca="false">IF(A453="","",IFERROR(1/(1/_xlfn.MINIFS(Apparitions!$L$2:$L$5001,Apparitions!$H$2:$H$5001,A453)),""))</f>
        <v/>
      </c>
    </row>
    <row r="454" customFormat="false" ht="15" hidden="false" customHeight="false" outlineLevel="0" collapsed="false">
      <c r="A454" s="19"/>
      <c r="B454" s="19"/>
      <c r="C454" s="19"/>
      <c r="D454" s="19"/>
      <c r="E454" s="32"/>
      <c r="F454" s="19"/>
      <c r="G454" s="26" t="str">
        <f aca="false">IF(A454="","",COUNTIF(Pubs!$B$2:$B$3001,A454))</f>
        <v/>
      </c>
      <c r="H454" s="26" t="str">
        <f aca="false">IF(A454="","",COUNTIF(Apparitions!$H$2:$H$5001,A454))</f>
        <v/>
      </c>
      <c r="I454" s="26" t="str">
        <f aca="false">IF(A454="","",COUNTIFS(Apparitions!$H$2:$H$5001,A454,Apparitions!$E$2:$E$5001,"○"))</f>
        <v/>
      </c>
      <c r="J454" s="29" t="str">
        <f aca="false">IF(A454="","",IFERROR(1/(1/_xlfn.MINIFS(Apparitions!$L$2:$L$5001,Apparitions!$H$2:$H$5001,A454)),""))</f>
        <v/>
      </c>
    </row>
    <row r="455" customFormat="false" ht="15" hidden="false" customHeight="false" outlineLevel="0" collapsed="false">
      <c r="A455" s="19"/>
      <c r="B455" s="19"/>
      <c r="C455" s="19"/>
      <c r="D455" s="19"/>
      <c r="E455" s="32"/>
      <c r="F455" s="19"/>
      <c r="G455" s="26" t="str">
        <f aca="false">IF(A455="","",COUNTIF(Pubs!$B$2:$B$3001,A455))</f>
        <v/>
      </c>
      <c r="H455" s="26" t="str">
        <f aca="false">IF(A455="","",COUNTIF(Apparitions!$H$2:$H$5001,A455))</f>
        <v/>
      </c>
      <c r="I455" s="26" t="str">
        <f aca="false">IF(A455="","",COUNTIFS(Apparitions!$H$2:$H$5001,A455,Apparitions!$E$2:$E$5001,"○"))</f>
        <v/>
      </c>
      <c r="J455" s="29" t="str">
        <f aca="false">IF(A455="","",IFERROR(1/(1/_xlfn.MINIFS(Apparitions!$L$2:$L$5001,Apparitions!$H$2:$H$5001,A455)),""))</f>
        <v/>
      </c>
    </row>
    <row r="456" customFormat="false" ht="15" hidden="false" customHeight="false" outlineLevel="0" collapsed="false">
      <c r="A456" s="19"/>
      <c r="B456" s="19"/>
      <c r="C456" s="19"/>
      <c r="D456" s="19"/>
      <c r="E456" s="32"/>
      <c r="F456" s="19"/>
      <c r="G456" s="26" t="str">
        <f aca="false">IF(A456="","",COUNTIF(Pubs!$B$2:$B$3001,A456))</f>
        <v/>
      </c>
      <c r="H456" s="26" t="str">
        <f aca="false">IF(A456="","",COUNTIF(Apparitions!$H$2:$H$5001,A456))</f>
        <v/>
      </c>
      <c r="I456" s="26" t="str">
        <f aca="false">IF(A456="","",COUNTIFS(Apparitions!$H$2:$H$5001,A456,Apparitions!$E$2:$E$5001,"○"))</f>
        <v/>
      </c>
      <c r="J456" s="29" t="str">
        <f aca="false">IF(A456="","",IFERROR(1/(1/_xlfn.MINIFS(Apparitions!$L$2:$L$5001,Apparitions!$H$2:$H$5001,A456)),""))</f>
        <v/>
      </c>
    </row>
    <row r="457" customFormat="false" ht="15" hidden="false" customHeight="false" outlineLevel="0" collapsed="false">
      <c r="A457" s="19"/>
      <c r="B457" s="19"/>
      <c r="C457" s="19"/>
      <c r="D457" s="19"/>
      <c r="E457" s="32"/>
      <c r="F457" s="19"/>
      <c r="G457" s="26" t="str">
        <f aca="false">IF(A457="","",COUNTIF(Pubs!$B$2:$B$3001,A457))</f>
        <v/>
      </c>
      <c r="H457" s="26" t="str">
        <f aca="false">IF(A457="","",COUNTIF(Apparitions!$H$2:$H$5001,A457))</f>
        <v/>
      </c>
      <c r="I457" s="26" t="str">
        <f aca="false">IF(A457="","",COUNTIFS(Apparitions!$H$2:$H$5001,A457,Apparitions!$E$2:$E$5001,"○"))</f>
        <v/>
      </c>
      <c r="J457" s="29" t="str">
        <f aca="false">IF(A457="","",IFERROR(1/(1/_xlfn.MINIFS(Apparitions!$L$2:$L$5001,Apparitions!$H$2:$H$5001,A457)),""))</f>
        <v/>
      </c>
    </row>
    <row r="458" customFormat="false" ht="15" hidden="false" customHeight="false" outlineLevel="0" collapsed="false">
      <c r="A458" s="19"/>
      <c r="B458" s="19"/>
      <c r="C458" s="19"/>
      <c r="D458" s="19"/>
      <c r="E458" s="32"/>
      <c r="F458" s="19"/>
      <c r="G458" s="26" t="str">
        <f aca="false">IF(A458="","",COUNTIF(Pubs!$B$2:$B$3001,A458))</f>
        <v/>
      </c>
      <c r="H458" s="26" t="str">
        <f aca="false">IF(A458="","",COUNTIF(Apparitions!$H$2:$H$5001,A458))</f>
        <v/>
      </c>
      <c r="I458" s="26" t="str">
        <f aca="false">IF(A458="","",COUNTIFS(Apparitions!$H$2:$H$5001,A458,Apparitions!$E$2:$E$5001,"○"))</f>
        <v/>
      </c>
      <c r="J458" s="29" t="str">
        <f aca="false">IF(A458="","",IFERROR(1/(1/_xlfn.MINIFS(Apparitions!$L$2:$L$5001,Apparitions!$H$2:$H$5001,A458)),""))</f>
        <v/>
      </c>
    </row>
    <row r="459" customFormat="false" ht="15" hidden="false" customHeight="false" outlineLevel="0" collapsed="false">
      <c r="A459" s="19"/>
      <c r="B459" s="19"/>
      <c r="C459" s="19"/>
      <c r="D459" s="19"/>
      <c r="E459" s="32"/>
      <c r="F459" s="19"/>
      <c r="G459" s="26" t="str">
        <f aca="false">IF(A459="","",COUNTIF(Pubs!$B$2:$B$3001,A459))</f>
        <v/>
      </c>
      <c r="H459" s="26" t="str">
        <f aca="false">IF(A459="","",COUNTIF(Apparitions!$H$2:$H$5001,A459))</f>
        <v/>
      </c>
      <c r="I459" s="26" t="str">
        <f aca="false">IF(A459="","",COUNTIFS(Apparitions!$H$2:$H$5001,A459,Apparitions!$E$2:$E$5001,"○"))</f>
        <v/>
      </c>
      <c r="J459" s="29" t="str">
        <f aca="false">IF(A459="","",IFERROR(1/(1/_xlfn.MINIFS(Apparitions!$L$2:$L$5001,Apparitions!$H$2:$H$5001,A459)),""))</f>
        <v/>
      </c>
    </row>
    <row r="460" customFormat="false" ht="15" hidden="false" customHeight="false" outlineLevel="0" collapsed="false">
      <c r="A460" s="19"/>
      <c r="B460" s="19"/>
      <c r="C460" s="19"/>
      <c r="D460" s="19"/>
      <c r="E460" s="32"/>
      <c r="F460" s="19"/>
      <c r="G460" s="26" t="str">
        <f aca="false">IF(A460="","",COUNTIF(Pubs!$B$2:$B$3001,A460))</f>
        <v/>
      </c>
      <c r="H460" s="26" t="str">
        <f aca="false">IF(A460="","",COUNTIF(Apparitions!$H$2:$H$5001,A460))</f>
        <v/>
      </c>
      <c r="I460" s="26" t="str">
        <f aca="false">IF(A460="","",COUNTIFS(Apparitions!$H$2:$H$5001,A460,Apparitions!$E$2:$E$5001,"○"))</f>
        <v/>
      </c>
      <c r="J460" s="29" t="str">
        <f aca="false">IF(A460="","",IFERROR(1/(1/_xlfn.MINIFS(Apparitions!$L$2:$L$5001,Apparitions!$H$2:$H$5001,A460)),""))</f>
        <v/>
      </c>
    </row>
    <row r="461" customFormat="false" ht="15" hidden="false" customHeight="false" outlineLevel="0" collapsed="false">
      <c r="A461" s="19"/>
      <c r="B461" s="19"/>
      <c r="C461" s="19"/>
      <c r="D461" s="19"/>
      <c r="E461" s="32"/>
      <c r="F461" s="19"/>
      <c r="G461" s="26" t="str">
        <f aca="false">IF(A461="","",COUNTIF(Pubs!$B$2:$B$3001,A461))</f>
        <v/>
      </c>
      <c r="H461" s="26" t="str">
        <f aca="false">IF(A461="","",COUNTIF(Apparitions!$H$2:$H$5001,A461))</f>
        <v/>
      </c>
      <c r="I461" s="26" t="str">
        <f aca="false">IF(A461="","",COUNTIFS(Apparitions!$H$2:$H$5001,A461,Apparitions!$E$2:$E$5001,"○"))</f>
        <v/>
      </c>
      <c r="J461" s="29" t="str">
        <f aca="false">IF(A461="","",IFERROR(1/(1/_xlfn.MINIFS(Apparitions!$L$2:$L$5001,Apparitions!$H$2:$H$5001,A461)),""))</f>
        <v/>
      </c>
    </row>
    <row r="462" customFormat="false" ht="15" hidden="false" customHeight="false" outlineLevel="0" collapsed="false">
      <c r="A462" s="19"/>
      <c r="B462" s="19"/>
      <c r="C462" s="19"/>
      <c r="D462" s="19"/>
      <c r="E462" s="32"/>
      <c r="F462" s="19"/>
      <c r="G462" s="26" t="str">
        <f aca="false">IF(A462="","",COUNTIF(Pubs!$B$2:$B$3001,A462))</f>
        <v/>
      </c>
      <c r="H462" s="26" t="str">
        <f aca="false">IF(A462="","",COUNTIF(Apparitions!$H$2:$H$5001,A462))</f>
        <v/>
      </c>
      <c r="I462" s="26" t="str">
        <f aca="false">IF(A462="","",COUNTIFS(Apparitions!$H$2:$H$5001,A462,Apparitions!$E$2:$E$5001,"○"))</f>
        <v/>
      </c>
      <c r="J462" s="29" t="str">
        <f aca="false">IF(A462="","",IFERROR(1/(1/_xlfn.MINIFS(Apparitions!$L$2:$L$5001,Apparitions!$H$2:$H$5001,A462)),""))</f>
        <v/>
      </c>
    </row>
    <row r="463" customFormat="false" ht="15" hidden="false" customHeight="false" outlineLevel="0" collapsed="false">
      <c r="A463" s="19"/>
      <c r="B463" s="19"/>
      <c r="C463" s="19"/>
      <c r="D463" s="19"/>
      <c r="E463" s="32"/>
      <c r="F463" s="19"/>
      <c r="G463" s="26" t="str">
        <f aca="false">IF(A463="","",COUNTIF(Pubs!$B$2:$B$3001,A463))</f>
        <v/>
      </c>
      <c r="H463" s="26" t="str">
        <f aca="false">IF(A463="","",COUNTIF(Apparitions!$H$2:$H$5001,A463))</f>
        <v/>
      </c>
      <c r="I463" s="26" t="str">
        <f aca="false">IF(A463="","",COUNTIFS(Apparitions!$H$2:$H$5001,A463,Apparitions!$E$2:$E$5001,"○"))</f>
        <v/>
      </c>
      <c r="J463" s="29" t="str">
        <f aca="false">IF(A463="","",IFERROR(1/(1/_xlfn.MINIFS(Apparitions!$L$2:$L$5001,Apparitions!$H$2:$H$5001,A463)),""))</f>
        <v/>
      </c>
    </row>
    <row r="464" customFormat="false" ht="15" hidden="false" customHeight="false" outlineLevel="0" collapsed="false">
      <c r="A464" s="19"/>
      <c r="B464" s="19"/>
      <c r="C464" s="19"/>
      <c r="D464" s="19"/>
      <c r="E464" s="32"/>
      <c r="F464" s="19"/>
      <c r="G464" s="26" t="str">
        <f aca="false">IF(A464="","",COUNTIF(Pubs!$B$2:$B$3001,A464))</f>
        <v/>
      </c>
      <c r="H464" s="26" t="str">
        <f aca="false">IF(A464="","",COUNTIF(Apparitions!$H$2:$H$5001,A464))</f>
        <v/>
      </c>
      <c r="I464" s="26" t="str">
        <f aca="false">IF(A464="","",COUNTIFS(Apparitions!$H$2:$H$5001,A464,Apparitions!$E$2:$E$5001,"○"))</f>
        <v/>
      </c>
      <c r="J464" s="29" t="str">
        <f aca="false">IF(A464="","",IFERROR(1/(1/_xlfn.MINIFS(Apparitions!$L$2:$L$5001,Apparitions!$H$2:$H$5001,A464)),""))</f>
        <v/>
      </c>
    </row>
    <row r="465" customFormat="false" ht="15" hidden="false" customHeight="false" outlineLevel="0" collapsed="false">
      <c r="A465" s="19"/>
      <c r="B465" s="19"/>
      <c r="C465" s="19"/>
      <c r="D465" s="19"/>
      <c r="E465" s="32"/>
      <c r="F465" s="19"/>
      <c r="G465" s="26" t="str">
        <f aca="false">IF(A465="","",COUNTIF(Pubs!$B$2:$B$3001,A465))</f>
        <v/>
      </c>
      <c r="H465" s="26" t="str">
        <f aca="false">IF(A465="","",COUNTIF(Apparitions!$H$2:$H$5001,A465))</f>
        <v/>
      </c>
      <c r="I465" s="26" t="str">
        <f aca="false">IF(A465="","",COUNTIFS(Apparitions!$H$2:$H$5001,A465,Apparitions!$E$2:$E$5001,"○"))</f>
        <v/>
      </c>
      <c r="J465" s="29" t="str">
        <f aca="false">IF(A465="","",IFERROR(1/(1/_xlfn.MINIFS(Apparitions!$L$2:$L$5001,Apparitions!$H$2:$H$5001,A465)),""))</f>
        <v/>
      </c>
    </row>
    <row r="466" customFormat="false" ht="15" hidden="false" customHeight="false" outlineLevel="0" collapsed="false">
      <c r="A466" s="19"/>
      <c r="B466" s="19"/>
      <c r="C466" s="19"/>
      <c r="D466" s="19"/>
      <c r="E466" s="32"/>
      <c r="F466" s="19"/>
      <c r="G466" s="26" t="str">
        <f aca="false">IF(A466="","",COUNTIF(Pubs!$B$2:$B$3001,A466))</f>
        <v/>
      </c>
      <c r="H466" s="26" t="str">
        <f aca="false">IF(A466="","",COUNTIF(Apparitions!$H$2:$H$5001,A466))</f>
        <v/>
      </c>
      <c r="I466" s="26" t="str">
        <f aca="false">IF(A466="","",COUNTIFS(Apparitions!$H$2:$H$5001,A466,Apparitions!$E$2:$E$5001,"○"))</f>
        <v/>
      </c>
      <c r="J466" s="29" t="str">
        <f aca="false">IF(A466="","",IFERROR(1/(1/_xlfn.MINIFS(Apparitions!$L$2:$L$5001,Apparitions!$H$2:$H$5001,A466)),""))</f>
        <v/>
      </c>
    </row>
    <row r="467" customFormat="false" ht="15" hidden="false" customHeight="false" outlineLevel="0" collapsed="false">
      <c r="A467" s="19"/>
      <c r="B467" s="19"/>
      <c r="C467" s="19"/>
      <c r="D467" s="19"/>
      <c r="E467" s="32"/>
      <c r="F467" s="19"/>
      <c r="G467" s="26" t="str">
        <f aca="false">IF(A467="","",COUNTIF(Pubs!$B$2:$B$3001,A467))</f>
        <v/>
      </c>
      <c r="H467" s="26" t="str">
        <f aca="false">IF(A467="","",COUNTIF(Apparitions!$H$2:$H$5001,A467))</f>
        <v/>
      </c>
      <c r="I467" s="26" t="str">
        <f aca="false">IF(A467="","",COUNTIFS(Apparitions!$H$2:$H$5001,A467,Apparitions!$E$2:$E$5001,"○"))</f>
        <v/>
      </c>
      <c r="J467" s="29" t="str">
        <f aca="false">IF(A467="","",IFERROR(1/(1/_xlfn.MINIFS(Apparitions!$L$2:$L$5001,Apparitions!$H$2:$H$5001,A467)),""))</f>
        <v/>
      </c>
    </row>
    <row r="468" customFormat="false" ht="15" hidden="false" customHeight="false" outlineLevel="0" collapsed="false">
      <c r="A468" s="19"/>
      <c r="B468" s="19"/>
      <c r="C468" s="19"/>
      <c r="D468" s="19"/>
      <c r="E468" s="32"/>
      <c r="F468" s="19"/>
      <c r="G468" s="26" t="str">
        <f aca="false">IF(A468="","",COUNTIF(Pubs!$B$2:$B$3001,A468))</f>
        <v/>
      </c>
      <c r="H468" s="26" t="str">
        <f aca="false">IF(A468="","",COUNTIF(Apparitions!$H$2:$H$5001,A468))</f>
        <v/>
      </c>
      <c r="I468" s="26" t="str">
        <f aca="false">IF(A468="","",COUNTIFS(Apparitions!$H$2:$H$5001,A468,Apparitions!$E$2:$E$5001,"○"))</f>
        <v/>
      </c>
      <c r="J468" s="29" t="str">
        <f aca="false">IF(A468="","",IFERROR(1/(1/_xlfn.MINIFS(Apparitions!$L$2:$L$5001,Apparitions!$H$2:$H$5001,A468)),""))</f>
        <v/>
      </c>
    </row>
    <row r="469" customFormat="false" ht="15" hidden="false" customHeight="false" outlineLevel="0" collapsed="false">
      <c r="A469" s="19"/>
      <c r="B469" s="19"/>
      <c r="C469" s="19"/>
      <c r="D469" s="19"/>
      <c r="E469" s="32"/>
      <c r="F469" s="19"/>
      <c r="G469" s="26" t="str">
        <f aca="false">IF(A469="","",COUNTIF(Pubs!$B$2:$B$3001,A469))</f>
        <v/>
      </c>
      <c r="H469" s="26" t="str">
        <f aca="false">IF(A469="","",COUNTIF(Apparitions!$H$2:$H$5001,A469))</f>
        <v/>
      </c>
      <c r="I469" s="26" t="str">
        <f aca="false">IF(A469="","",COUNTIFS(Apparitions!$H$2:$H$5001,A469,Apparitions!$E$2:$E$5001,"○"))</f>
        <v/>
      </c>
      <c r="J469" s="29" t="str">
        <f aca="false">IF(A469="","",IFERROR(1/(1/_xlfn.MINIFS(Apparitions!$L$2:$L$5001,Apparitions!$H$2:$H$5001,A469)),""))</f>
        <v/>
      </c>
    </row>
    <row r="470" customFormat="false" ht="15" hidden="false" customHeight="false" outlineLevel="0" collapsed="false">
      <c r="A470" s="19"/>
      <c r="B470" s="19"/>
      <c r="C470" s="19"/>
      <c r="D470" s="19"/>
      <c r="E470" s="32"/>
      <c r="F470" s="19"/>
      <c r="G470" s="26" t="str">
        <f aca="false">IF(A470="","",COUNTIF(Pubs!$B$2:$B$3001,A470))</f>
        <v/>
      </c>
      <c r="H470" s="26" t="str">
        <f aca="false">IF(A470="","",COUNTIF(Apparitions!$H$2:$H$5001,A470))</f>
        <v/>
      </c>
      <c r="I470" s="26" t="str">
        <f aca="false">IF(A470="","",COUNTIFS(Apparitions!$H$2:$H$5001,A470,Apparitions!$E$2:$E$5001,"○"))</f>
        <v/>
      </c>
      <c r="J470" s="29" t="str">
        <f aca="false">IF(A470="","",IFERROR(1/(1/_xlfn.MINIFS(Apparitions!$L$2:$L$5001,Apparitions!$H$2:$H$5001,A470)),""))</f>
        <v/>
      </c>
    </row>
    <row r="471" customFormat="false" ht="15" hidden="false" customHeight="false" outlineLevel="0" collapsed="false">
      <c r="A471" s="19"/>
      <c r="B471" s="19"/>
      <c r="C471" s="19"/>
      <c r="D471" s="19"/>
      <c r="E471" s="32"/>
      <c r="F471" s="19"/>
      <c r="G471" s="26" t="str">
        <f aca="false">IF(A471="","",COUNTIF(Pubs!$B$2:$B$3001,A471))</f>
        <v/>
      </c>
      <c r="H471" s="26" t="str">
        <f aca="false">IF(A471="","",COUNTIF(Apparitions!$H$2:$H$5001,A471))</f>
        <v/>
      </c>
      <c r="I471" s="26" t="str">
        <f aca="false">IF(A471="","",COUNTIFS(Apparitions!$H$2:$H$5001,A471,Apparitions!$E$2:$E$5001,"○"))</f>
        <v/>
      </c>
      <c r="J471" s="29" t="str">
        <f aca="false">IF(A471="","",IFERROR(1/(1/_xlfn.MINIFS(Apparitions!$L$2:$L$5001,Apparitions!$H$2:$H$5001,A471)),""))</f>
        <v/>
      </c>
    </row>
    <row r="472" customFormat="false" ht="15" hidden="false" customHeight="false" outlineLevel="0" collapsed="false">
      <c r="A472" s="19"/>
      <c r="B472" s="19"/>
      <c r="C472" s="19"/>
      <c r="D472" s="19"/>
      <c r="E472" s="32"/>
      <c r="F472" s="19"/>
      <c r="G472" s="26" t="str">
        <f aca="false">IF(A472="","",COUNTIF(Pubs!$B$2:$B$3001,A472))</f>
        <v/>
      </c>
      <c r="H472" s="26" t="str">
        <f aca="false">IF(A472="","",COUNTIF(Apparitions!$H$2:$H$5001,A472))</f>
        <v/>
      </c>
      <c r="I472" s="26" t="str">
        <f aca="false">IF(A472="","",COUNTIFS(Apparitions!$H$2:$H$5001,A472,Apparitions!$E$2:$E$5001,"○"))</f>
        <v/>
      </c>
      <c r="J472" s="29" t="str">
        <f aca="false">IF(A472="","",IFERROR(1/(1/_xlfn.MINIFS(Apparitions!$L$2:$L$5001,Apparitions!$H$2:$H$5001,A472)),""))</f>
        <v/>
      </c>
    </row>
    <row r="473" customFormat="false" ht="15" hidden="false" customHeight="false" outlineLevel="0" collapsed="false">
      <c r="A473" s="19"/>
      <c r="B473" s="19"/>
      <c r="C473" s="19"/>
      <c r="D473" s="19"/>
      <c r="E473" s="32"/>
      <c r="F473" s="19"/>
      <c r="G473" s="26" t="str">
        <f aca="false">IF(A473="","",COUNTIF(Pubs!$B$2:$B$3001,A473))</f>
        <v/>
      </c>
      <c r="H473" s="26" t="str">
        <f aca="false">IF(A473="","",COUNTIF(Apparitions!$H$2:$H$5001,A473))</f>
        <v/>
      </c>
      <c r="I473" s="26" t="str">
        <f aca="false">IF(A473="","",COUNTIFS(Apparitions!$H$2:$H$5001,A473,Apparitions!$E$2:$E$5001,"○"))</f>
        <v/>
      </c>
      <c r="J473" s="29" t="str">
        <f aca="false">IF(A473="","",IFERROR(1/(1/_xlfn.MINIFS(Apparitions!$L$2:$L$5001,Apparitions!$H$2:$H$5001,A473)),""))</f>
        <v/>
      </c>
    </row>
    <row r="474" customFormat="false" ht="15" hidden="false" customHeight="false" outlineLevel="0" collapsed="false">
      <c r="A474" s="19"/>
      <c r="B474" s="19"/>
      <c r="C474" s="19"/>
      <c r="D474" s="19"/>
      <c r="E474" s="32"/>
      <c r="F474" s="19"/>
      <c r="G474" s="26" t="str">
        <f aca="false">IF(A474="","",COUNTIF(Pubs!$B$2:$B$3001,A474))</f>
        <v/>
      </c>
      <c r="H474" s="26" t="str">
        <f aca="false">IF(A474="","",COUNTIF(Apparitions!$H$2:$H$5001,A474))</f>
        <v/>
      </c>
      <c r="I474" s="26" t="str">
        <f aca="false">IF(A474="","",COUNTIFS(Apparitions!$H$2:$H$5001,A474,Apparitions!$E$2:$E$5001,"○"))</f>
        <v/>
      </c>
      <c r="J474" s="29" t="str">
        <f aca="false">IF(A474="","",IFERROR(1/(1/_xlfn.MINIFS(Apparitions!$L$2:$L$5001,Apparitions!$H$2:$H$5001,A474)),""))</f>
        <v/>
      </c>
    </row>
    <row r="475" customFormat="false" ht="15" hidden="false" customHeight="false" outlineLevel="0" collapsed="false">
      <c r="A475" s="19"/>
      <c r="B475" s="19"/>
      <c r="C475" s="19"/>
      <c r="D475" s="19"/>
      <c r="E475" s="32"/>
      <c r="F475" s="19"/>
      <c r="G475" s="26" t="str">
        <f aca="false">IF(A475="","",COUNTIF(Pubs!$B$2:$B$3001,A475))</f>
        <v/>
      </c>
      <c r="H475" s="26" t="str">
        <f aca="false">IF(A475="","",COUNTIF(Apparitions!$H$2:$H$5001,A475))</f>
        <v/>
      </c>
      <c r="I475" s="26" t="str">
        <f aca="false">IF(A475="","",COUNTIFS(Apparitions!$H$2:$H$5001,A475,Apparitions!$E$2:$E$5001,"○"))</f>
        <v/>
      </c>
      <c r="J475" s="29" t="str">
        <f aca="false">IF(A475="","",IFERROR(1/(1/_xlfn.MINIFS(Apparitions!$L$2:$L$5001,Apparitions!$H$2:$H$5001,A475)),""))</f>
        <v/>
      </c>
    </row>
    <row r="476" customFormat="false" ht="15" hidden="false" customHeight="false" outlineLevel="0" collapsed="false">
      <c r="A476" s="19"/>
      <c r="B476" s="19"/>
      <c r="C476" s="19"/>
      <c r="D476" s="19"/>
      <c r="E476" s="32"/>
      <c r="F476" s="19"/>
      <c r="G476" s="26" t="str">
        <f aca="false">IF(A476="","",COUNTIF(Pubs!$B$2:$B$3001,A476))</f>
        <v/>
      </c>
      <c r="H476" s="26" t="str">
        <f aca="false">IF(A476="","",COUNTIF(Apparitions!$H$2:$H$5001,A476))</f>
        <v/>
      </c>
      <c r="I476" s="26" t="str">
        <f aca="false">IF(A476="","",COUNTIFS(Apparitions!$H$2:$H$5001,A476,Apparitions!$E$2:$E$5001,"○"))</f>
        <v/>
      </c>
      <c r="J476" s="29" t="str">
        <f aca="false">IF(A476="","",IFERROR(1/(1/_xlfn.MINIFS(Apparitions!$L$2:$L$5001,Apparitions!$H$2:$H$5001,A476)),""))</f>
        <v/>
      </c>
    </row>
    <row r="477" customFormat="false" ht="15" hidden="false" customHeight="false" outlineLevel="0" collapsed="false">
      <c r="A477" s="19"/>
      <c r="B477" s="19"/>
      <c r="C477" s="19"/>
      <c r="D477" s="19"/>
      <c r="E477" s="32"/>
      <c r="F477" s="19"/>
      <c r="G477" s="26" t="str">
        <f aca="false">IF(A477="","",COUNTIF(Pubs!$B$2:$B$3001,A477))</f>
        <v/>
      </c>
      <c r="H477" s="26" t="str">
        <f aca="false">IF(A477="","",COUNTIF(Apparitions!$H$2:$H$5001,A477))</f>
        <v/>
      </c>
      <c r="I477" s="26" t="str">
        <f aca="false">IF(A477="","",COUNTIFS(Apparitions!$H$2:$H$5001,A477,Apparitions!$E$2:$E$5001,"○"))</f>
        <v/>
      </c>
      <c r="J477" s="29" t="str">
        <f aca="false">IF(A477="","",IFERROR(1/(1/_xlfn.MINIFS(Apparitions!$L$2:$L$5001,Apparitions!$H$2:$H$5001,A477)),""))</f>
        <v/>
      </c>
    </row>
    <row r="478" customFormat="false" ht="15" hidden="false" customHeight="false" outlineLevel="0" collapsed="false">
      <c r="A478" s="19"/>
      <c r="B478" s="19"/>
      <c r="C478" s="19"/>
      <c r="D478" s="19"/>
      <c r="E478" s="32"/>
      <c r="F478" s="19"/>
      <c r="G478" s="26" t="str">
        <f aca="false">IF(A478="","",COUNTIF(Pubs!$B$2:$B$3001,A478))</f>
        <v/>
      </c>
      <c r="H478" s="26" t="str">
        <f aca="false">IF(A478="","",COUNTIF(Apparitions!$H$2:$H$5001,A478))</f>
        <v/>
      </c>
      <c r="I478" s="26" t="str">
        <f aca="false">IF(A478="","",COUNTIFS(Apparitions!$H$2:$H$5001,A478,Apparitions!$E$2:$E$5001,"○"))</f>
        <v/>
      </c>
      <c r="J478" s="29" t="str">
        <f aca="false">IF(A478="","",IFERROR(1/(1/_xlfn.MINIFS(Apparitions!$L$2:$L$5001,Apparitions!$H$2:$H$5001,A478)),""))</f>
        <v/>
      </c>
    </row>
    <row r="479" customFormat="false" ht="15" hidden="false" customHeight="false" outlineLevel="0" collapsed="false">
      <c r="A479" s="19"/>
      <c r="B479" s="19"/>
      <c r="C479" s="19"/>
      <c r="D479" s="19"/>
      <c r="E479" s="32"/>
      <c r="F479" s="19"/>
      <c r="G479" s="26" t="str">
        <f aca="false">IF(A479="","",COUNTIF(Pubs!$B$2:$B$3001,A479))</f>
        <v/>
      </c>
      <c r="H479" s="26" t="str">
        <f aca="false">IF(A479="","",COUNTIF(Apparitions!$H$2:$H$5001,A479))</f>
        <v/>
      </c>
      <c r="I479" s="26" t="str">
        <f aca="false">IF(A479="","",COUNTIFS(Apparitions!$H$2:$H$5001,A479,Apparitions!$E$2:$E$5001,"○"))</f>
        <v/>
      </c>
      <c r="J479" s="29" t="str">
        <f aca="false">IF(A479="","",IFERROR(1/(1/_xlfn.MINIFS(Apparitions!$L$2:$L$5001,Apparitions!$H$2:$H$5001,A479)),""))</f>
        <v/>
      </c>
    </row>
    <row r="480" customFormat="false" ht="15" hidden="false" customHeight="false" outlineLevel="0" collapsed="false">
      <c r="A480" s="19"/>
      <c r="B480" s="19"/>
      <c r="C480" s="19"/>
      <c r="D480" s="19"/>
      <c r="E480" s="32"/>
      <c r="F480" s="19"/>
      <c r="G480" s="26" t="str">
        <f aca="false">IF(A480="","",COUNTIF(Pubs!$B$2:$B$3001,A480))</f>
        <v/>
      </c>
      <c r="H480" s="26" t="str">
        <f aca="false">IF(A480="","",COUNTIF(Apparitions!$H$2:$H$5001,A480))</f>
        <v/>
      </c>
      <c r="I480" s="26" t="str">
        <f aca="false">IF(A480="","",COUNTIFS(Apparitions!$H$2:$H$5001,A480,Apparitions!$E$2:$E$5001,"○"))</f>
        <v/>
      </c>
      <c r="J480" s="29" t="str">
        <f aca="false">IF(A480="","",IFERROR(1/(1/_xlfn.MINIFS(Apparitions!$L$2:$L$5001,Apparitions!$H$2:$H$5001,A480)),""))</f>
        <v/>
      </c>
    </row>
    <row r="481" customFormat="false" ht="15" hidden="false" customHeight="false" outlineLevel="0" collapsed="false">
      <c r="A481" s="19"/>
      <c r="B481" s="19"/>
      <c r="C481" s="19"/>
      <c r="D481" s="19"/>
      <c r="E481" s="32"/>
      <c r="F481" s="19"/>
      <c r="G481" s="26" t="str">
        <f aca="false">IF(A481="","",COUNTIF(Pubs!$B$2:$B$3001,A481))</f>
        <v/>
      </c>
      <c r="H481" s="26" t="str">
        <f aca="false">IF(A481="","",COUNTIF(Apparitions!$H$2:$H$5001,A481))</f>
        <v/>
      </c>
      <c r="I481" s="26" t="str">
        <f aca="false">IF(A481="","",COUNTIFS(Apparitions!$H$2:$H$5001,A481,Apparitions!$E$2:$E$5001,"○"))</f>
        <v/>
      </c>
      <c r="J481" s="29" t="str">
        <f aca="false">IF(A481="","",IFERROR(1/(1/_xlfn.MINIFS(Apparitions!$L$2:$L$5001,Apparitions!$H$2:$H$5001,A481)),""))</f>
        <v/>
      </c>
    </row>
    <row r="482" customFormat="false" ht="15" hidden="false" customHeight="false" outlineLevel="0" collapsed="false">
      <c r="A482" s="19"/>
      <c r="B482" s="19"/>
      <c r="C482" s="19"/>
      <c r="D482" s="19"/>
      <c r="E482" s="32"/>
      <c r="F482" s="19"/>
      <c r="G482" s="26" t="str">
        <f aca="false">IF(A482="","",COUNTIF(Pubs!$B$2:$B$3001,A482))</f>
        <v/>
      </c>
      <c r="H482" s="26" t="str">
        <f aca="false">IF(A482="","",COUNTIF(Apparitions!$H$2:$H$5001,A482))</f>
        <v/>
      </c>
      <c r="I482" s="26" t="str">
        <f aca="false">IF(A482="","",COUNTIFS(Apparitions!$H$2:$H$5001,A482,Apparitions!$E$2:$E$5001,"○"))</f>
        <v/>
      </c>
      <c r="J482" s="29" t="str">
        <f aca="false">IF(A482="","",IFERROR(1/(1/_xlfn.MINIFS(Apparitions!$L$2:$L$5001,Apparitions!$H$2:$H$5001,A482)),""))</f>
        <v/>
      </c>
    </row>
    <row r="483" customFormat="false" ht="15" hidden="false" customHeight="false" outlineLevel="0" collapsed="false">
      <c r="A483" s="19"/>
      <c r="B483" s="19"/>
      <c r="C483" s="19"/>
      <c r="D483" s="19"/>
      <c r="E483" s="32"/>
      <c r="F483" s="19"/>
      <c r="G483" s="26" t="str">
        <f aca="false">IF(A483="","",COUNTIF(Pubs!$B$2:$B$3001,A483))</f>
        <v/>
      </c>
      <c r="H483" s="26" t="str">
        <f aca="false">IF(A483="","",COUNTIF(Apparitions!$H$2:$H$5001,A483))</f>
        <v/>
      </c>
      <c r="I483" s="26" t="str">
        <f aca="false">IF(A483="","",COUNTIFS(Apparitions!$H$2:$H$5001,A483,Apparitions!$E$2:$E$5001,"○"))</f>
        <v/>
      </c>
      <c r="J483" s="29" t="str">
        <f aca="false">IF(A483="","",IFERROR(1/(1/_xlfn.MINIFS(Apparitions!$L$2:$L$5001,Apparitions!$H$2:$H$5001,A483)),""))</f>
        <v/>
      </c>
    </row>
    <row r="484" customFormat="false" ht="15" hidden="false" customHeight="false" outlineLevel="0" collapsed="false">
      <c r="A484" s="19"/>
      <c r="B484" s="19"/>
      <c r="C484" s="19"/>
      <c r="D484" s="19"/>
      <c r="E484" s="32"/>
      <c r="F484" s="19"/>
      <c r="G484" s="26" t="str">
        <f aca="false">IF(A484="","",COUNTIF(Pubs!$B$2:$B$3001,A484))</f>
        <v/>
      </c>
      <c r="H484" s="26" t="str">
        <f aca="false">IF(A484="","",COUNTIF(Apparitions!$H$2:$H$5001,A484))</f>
        <v/>
      </c>
      <c r="I484" s="26" t="str">
        <f aca="false">IF(A484="","",COUNTIFS(Apparitions!$H$2:$H$5001,A484,Apparitions!$E$2:$E$5001,"○"))</f>
        <v/>
      </c>
      <c r="J484" s="29" t="str">
        <f aca="false">IF(A484="","",IFERROR(1/(1/_xlfn.MINIFS(Apparitions!$L$2:$L$5001,Apparitions!$H$2:$H$5001,A484)),""))</f>
        <v/>
      </c>
    </row>
    <row r="485" customFormat="false" ht="15" hidden="false" customHeight="false" outlineLevel="0" collapsed="false">
      <c r="A485" s="19"/>
      <c r="B485" s="19"/>
      <c r="C485" s="19"/>
      <c r="D485" s="19"/>
      <c r="E485" s="32"/>
      <c r="F485" s="19"/>
      <c r="G485" s="26" t="str">
        <f aca="false">IF(A485="","",COUNTIF(Pubs!$B$2:$B$3001,A485))</f>
        <v/>
      </c>
      <c r="H485" s="26" t="str">
        <f aca="false">IF(A485="","",COUNTIF(Apparitions!$H$2:$H$5001,A485))</f>
        <v/>
      </c>
      <c r="I485" s="26" t="str">
        <f aca="false">IF(A485="","",COUNTIFS(Apparitions!$H$2:$H$5001,A485,Apparitions!$E$2:$E$5001,"○"))</f>
        <v/>
      </c>
      <c r="J485" s="29" t="str">
        <f aca="false">IF(A485="","",IFERROR(1/(1/_xlfn.MINIFS(Apparitions!$L$2:$L$5001,Apparitions!$H$2:$H$5001,A485)),""))</f>
        <v/>
      </c>
    </row>
    <row r="486" customFormat="false" ht="15" hidden="false" customHeight="false" outlineLevel="0" collapsed="false">
      <c r="A486" s="19"/>
      <c r="B486" s="19"/>
      <c r="C486" s="19"/>
      <c r="D486" s="19"/>
      <c r="E486" s="32"/>
      <c r="F486" s="19"/>
      <c r="G486" s="26" t="str">
        <f aca="false">IF(A486="","",COUNTIF(Pubs!$B$2:$B$3001,A486))</f>
        <v/>
      </c>
      <c r="H486" s="26" t="str">
        <f aca="false">IF(A486="","",COUNTIF(Apparitions!$H$2:$H$5001,A486))</f>
        <v/>
      </c>
      <c r="I486" s="26" t="str">
        <f aca="false">IF(A486="","",COUNTIFS(Apparitions!$H$2:$H$5001,A486,Apparitions!$E$2:$E$5001,"○"))</f>
        <v/>
      </c>
      <c r="J486" s="29" t="str">
        <f aca="false">IF(A486="","",IFERROR(1/(1/_xlfn.MINIFS(Apparitions!$L$2:$L$5001,Apparitions!$H$2:$H$5001,A486)),""))</f>
        <v/>
      </c>
    </row>
    <row r="487" customFormat="false" ht="15" hidden="false" customHeight="false" outlineLevel="0" collapsed="false">
      <c r="A487" s="19"/>
      <c r="B487" s="19"/>
      <c r="C487" s="19"/>
      <c r="D487" s="19"/>
      <c r="E487" s="32"/>
      <c r="F487" s="19"/>
      <c r="G487" s="26" t="str">
        <f aca="false">IF(A487="","",COUNTIF(Pubs!$B$2:$B$3001,A487))</f>
        <v/>
      </c>
      <c r="H487" s="26" t="str">
        <f aca="false">IF(A487="","",COUNTIF(Apparitions!$H$2:$H$5001,A487))</f>
        <v/>
      </c>
      <c r="I487" s="26" t="str">
        <f aca="false">IF(A487="","",COUNTIFS(Apparitions!$H$2:$H$5001,A487,Apparitions!$E$2:$E$5001,"○"))</f>
        <v/>
      </c>
      <c r="J487" s="29" t="str">
        <f aca="false">IF(A487="","",IFERROR(1/(1/_xlfn.MINIFS(Apparitions!$L$2:$L$5001,Apparitions!$H$2:$H$5001,A487)),""))</f>
        <v/>
      </c>
    </row>
    <row r="488" customFormat="false" ht="15" hidden="false" customHeight="false" outlineLevel="0" collapsed="false">
      <c r="A488" s="19"/>
      <c r="B488" s="19"/>
      <c r="C488" s="19"/>
      <c r="D488" s="19"/>
      <c r="E488" s="32"/>
      <c r="F488" s="19"/>
      <c r="G488" s="26" t="str">
        <f aca="false">IF(A488="","",COUNTIF(Pubs!$B$2:$B$3001,A488))</f>
        <v/>
      </c>
      <c r="H488" s="26" t="str">
        <f aca="false">IF(A488="","",COUNTIF(Apparitions!$H$2:$H$5001,A488))</f>
        <v/>
      </c>
      <c r="I488" s="26" t="str">
        <f aca="false">IF(A488="","",COUNTIFS(Apparitions!$H$2:$H$5001,A488,Apparitions!$E$2:$E$5001,"○"))</f>
        <v/>
      </c>
      <c r="J488" s="29" t="str">
        <f aca="false">IF(A488="","",IFERROR(1/(1/_xlfn.MINIFS(Apparitions!$L$2:$L$5001,Apparitions!$H$2:$H$5001,A488)),""))</f>
        <v/>
      </c>
    </row>
    <row r="489" customFormat="false" ht="15" hidden="false" customHeight="false" outlineLevel="0" collapsed="false">
      <c r="A489" s="19"/>
      <c r="B489" s="19"/>
      <c r="C489" s="19"/>
      <c r="D489" s="19"/>
      <c r="E489" s="32"/>
      <c r="F489" s="19"/>
      <c r="G489" s="26" t="str">
        <f aca="false">IF(A489="","",COUNTIF(Pubs!$B$2:$B$3001,A489))</f>
        <v/>
      </c>
      <c r="H489" s="26" t="str">
        <f aca="false">IF(A489="","",COUNTIF(Apparitions!$H$2:$H$5001,A489))</f>
        <v/>
      </c>
      <c r="I489" s="26" t="str">
        <f aca="false">IF(A489="","",COUNTIFS(Apparitions!$H$2:$H$5001,A489,Apparitions!$E$2:$E$5001,"○"))</f>
        <v/>
      </c>
      <c r="J489" s="29" t="str">
        <f aca="false">IF(A489="","",IFERROR(1/(1/_xlfn.MINIFS(Apparitions!$L$2:$L$5001,Apparitions!$H$2:$H$5001,A489)),""))</f>
        <v/>
      </c>
    </row>
    <row r="490" customFormat="false" ht="15" hidden="false" customHeight="false" outlineLevel="0" collapsed="false">
      <c r="A490" s="19"/>
      <c r="B490" s="19"/>
      <c r="C490" s="19"/>
      <c r="D490" s="19"/>
      <c r="E490" s="32"/>
      <c r="F490" s="19"/>
      <c r="G490" s="26" t="str">
        <f aca="false">IF(A490="","",COUNTIF(Pubs!$B$2:$B$3001,A490))</f>
        <v/>
      </c>
      <c r="H490" s="26" t="str">
        <f aca="false">IF(A490="","",COUNTIF(Apparitions!$H$2:$H$5001,A490))</f>
        <v/>
      </c>
      <c r="I490" s="26" t="str">
        <f aca="false">IF(A490="","",COUNTIFS(Apparitions!$H$2:$H$5001,A490,Apparitions!$E$2:$E$5001,"○"))</f>
        <v/>
      </c>
      <c r="J490" s="29" t="str">
        <f aca="false">IF(A490="","",IFERROR(1/(1/_xlfn.MINIFS(Apparitions!$L$2:$L$5001,Apparitions!$H$2:$H$5001,A490)),""))</f>
        <v/>
      </c>
    </row>
    <row r="491" customFormat="false" ht="15" hidden="false" customHeight="false" outlineLevel="0" collapsed="false">
      <c r="A491" s="19"/>
      <c r="B491" s="19"/>
      <c r="C491" s="19"/>
      <c r="D491" s="19"/>
      <c r="E491" s="32"/>
      <c r="F491" s="19"/>
      <c r="G491" s="26" t="str">
        <f aca="false">IF(A491="","",COUNTIF(Pubs!$B$2:$B$3001,A491))</f>
        <v/>
      </c>
      <c r="H491" s="26" t="str">
        <f aca="false">IF(A491="","",COUNTIF(Apparitions!$H$2:$H$5001,A491))</f>
        <v/>
      </c>
      <c r="I491" s="26" t="str">
        <f aca="false">IF(A491="","",COUNTIFS(Apparitions!$H$2:$H$5001,A491,Apparitions!$E$2:$E$5001,"○"))</f>
        <v/>
      </c>
      <c r="J491" s="29" t="str">
        <f aca="false">IF(A491="","",IFERROR(1/(1/_xlfn.MINIFS(Apparitions!$L$2:$L$5001,Apparitions!$H$2:$H$5001,A491)),""))</f>
        <v/>
      </c>
    </row>
    <row r="492" customFormat="false" ht="15" hidden="false" customHeight="false" outlineLevel="0" collapsed="false">
      <c r="A492" s="19"/>
      <c r="B492" s="19"/>
      <c r="C492" s="19"/>
      <c r="D492" s="19"/>
      <c r="E492" s="32"/>
      <c r="F492" s="19"/>
      <c r="G492" s="26" t="str">
        <f aca="false">IF(A492="","",COUNTIF(Pubs!$B$2:$B$3001,A492))</f>
        <v/>
      </c>
      <c r="H492" s="26" t="str">
        <f aca="false">IF(A492="","",COUNTIF(Apparitions!$H$2:$H$5001,A492))</f>
        <v/>
      </c>
      <c r="I492" s="26" t="str">
        <f aca="false">IF(A492="","",COUNTIFS(Apparitions!$H$2:$H$5001,A492,Apparitions!$E$2:$E$5001,"○"))</f>
        <v/>
      </c>
      <c r="J492" s="29" t="str">
        <f aca="false">IF(A492="","",IFERROR(1/(1/_xlfn.MINIFS(Apparitions!$L$2:$L$5001,Apparitions!$H$2:$H$5001,A492)),""))</f>
        <v/>
      </c>
    </row>
    <row r="493" customFormat="false" ht="15" hidden="false" customHeight="false" outlineLevel="0" collapsed="false">
      <c r="A493" s="19"/>
      <c r="B493" s="19"/>
      <c r="C493" s="19"/>
      <c r="D493" s="19"/>
      <c r="E493" s="32"/>
      <c r="F493" s="19"/>
      <c r="G493" s="26" t="str">
        <f aca="false">IF(A493="","",COUNTIF(Pubs!$B$2:$B$3001,A493))</f>
        <v/>
      </c>
      <c r="H493" s="26" t="str">
        <f aca="false">IF(A493="","",COUNTIF(Apparitions!$H$2:$H$5001,A493))</f>
        <v/>
      </c>
      <c r="I493" s="26" t="str">
        <f aca="false">IF(A493="","",COUNTIFS(Apparitions!$H$2:$H$5001,A493,Apparitions!$E$2:$E$5001,"○"))</f>
        <v/>
      </c>
      <c r="J493" s="29" t="str">
        <f aca="false">IF(A493="","",IFERROR(1/(1/_xlfn.MINIFS(Apparitions!$L$2:$L$5001,Apparitions!$H$2:$H$5001,A493)),""))</f>
        <v/>
      </c>
    </row>
    <row r="494" customFormat="false" ht="15" hidden="false" customHeight="false" outlineLevel="0" collapsed="false">
      <c r="A494" s="19"/>
      <c r="B494" s="19"/>
      <c r="C494" s="19"/>
      <c r="D494" s="19"/>
      <c r="E494" s="32"/>
      <c r="F494" s="19"/>
      <c r="G494" s="26" t="str">
        <f aca="false">IF(A494="","",COUNTIF(Pubs!$B$2:$B$3001,A494))</f>
        <v/>
      </c>
      <c r="H494" s="26" t="str">
        <f aca="false">IF(A494="","",COUNTIF(Apparitions!$H$2:$H$5001,A494))</f>
        <v/>
      </c>
      <c r="I494" s="26" t="str">
        <f aca="false">IF(A494="","",COUNTIFS(Apparitions!$H$2:$H$5001,A494,Apparitions!$E$2:$E$5001,"○"))</f>
        <v/>
      </c>
      <c r="J494" s="29" t="str">
        <f aca="false">IF(A494="","",IFERROR(1/(1/_xlfn.MINIFS(Apparitions!$L$2:$L$5001,Apparitions!$H$2:$H$5001,A494)),""))</f>
        <v/>
      </c>
    </row>
    <row r="495" customFormat="false" ht="15" hidden="false" customHeight="false" outlineLevel="0" collapsed="false">
      <c r="A495" s="19"/>
      <c r="B495" s="19"/>
      <c r="C495" s="19"/>
      <c r="D495" s="19"/>
      <c r="E495" s="32"/>
      <c r="F495" s="19"/>
      <c r="G495" s="26" t="str">
        <f aca="false">IF(A495="","",COUNTIF(Pubs!$B$2:$B$3001,A495))</f>
        <v/>
      </c>
      <c r="H495" s="26" t="str">
        <f aca="false">IF(A495="","",COUNTIF(Apparitions!$H$2:$H$5001,A495))</f>
        <v/>
      </c>
      <c r="I495" s="26" t="str">
        <f aca="false">IF(A495="","",COUNTIFS(Apparitions!$H$2:$H$5001,A495,Apparitions!$E$2:$E$5001,"○"))</f>
        <v/>
      </c>
      <c r="J495" s="29" t="str">
        <f aca="false">IF(A495="","",IFERROR(1/(1/_xlfn.MINIFS(Apparitions!$L$2:$L$5001,Apparitions!$H$2:$H$5001,A495)),""))</f>
        <v/>
      </c>
    </row>
    <row r="496" customFormat="false" ht="15" hidden="false" customHeight="false" outlineLevel="0" collapsed="false">
      <c r="A496" s="19"/>
      <c r="B496" s="19"/>
      <c r="C496" s="19"/>
      <c r="D496" s="19"/>
      <c r="E496" s="32"/>
      <c r="F496" s="19"/>
      <c r="G496" s="26" t="str">
        <f aca="false">IF(A496="","",COUNTIF(Pubs!$B$2:$B$3001,A496))</f>
        <v/>
      </c>
      <c r="H496" s="26" t="str">
        <f aca="false">IF(A496="","",COUNTIF(Apparitions!$H$2:$H$5001,A496))</f>
        <v/>
      </c>
      <c r="I496" s="26" t="str">
        <f aca="false">IF(A496="","",COUNTIFS(Apparitions!$H$2:$H$5001,A496,Apparitions!$E$2:$E$5001,"○"))</f>
        <v/>
      </c>
      <c r="J496" s="29" t="str">
        <f aca="false">IF(A496="","",IFERROR(1/(1/_xlfn.MINIFS(Apparitions!$L$2:$L$5001,Apparitions!$H$2:$H$5001,A496)),""))</f>
        <v/>
      </c>
    </row>
    <row r="497" customFormat="false" ht="15" hidden="false" customHeight="false" outlineLevel="0" collapsed="false">
      <c r="A497" s="19"/>
      <c r="B497" s="19"/>
      <c r="C497" s="19"/>
      <c r="D497" s="19"/>
      <c r="E497" s="32"/>
      <c r="F497" s="19"/>
      <c r="G497" s="26" t="str">
        <f aca="false">IF(A497="","",COUNTIF(Pubs!$B$2:$B$3001,A497))</f>
        <v/>
      </c>
      <c r="H497" s="26" t="str">
        <f aca="false">IF(A497="","",COUNTIF(Apparitions!$H$2:$H$5001,A497))</f>
        <v/>
      </c>
      <c r="I497" s="26" t="str">
        <f aca="false">IF(A497="","",COUNTIFS(Apparitions!$H$2:$H$5001,A497,Apparitions!$E$2:$E$5001,"○"))</f>
        <v/>
      </c>
      <c r="J497" s="29" t="str">
        <f aca="false">IF(A497="","",IFERROR(1/(1/_xlfn.MINIFS(Apparitions!$L$2:$L$5001,Apparitions!$H$2:$H$5001,A497)),""))</f>
        <v/>
      </c>
    </row>
    <row r="498" customFormat="false" ht="15" hidden="false" customHeight="false" outlineLevel="0" collapsed="false">
      <c r="A498" s="19"/>
      <c r="B498" s="19"/>
      <c r="C498" s="19"/>
      <c r="D498" s="19"/>
      <c r="E498" s="32"/>
      <c r="F498" s="19"/>
      <c r="G498" s="26" t="str">
        <f aca="false">IF(A498="","",COUNTIF(Pubs!$B$2:$B$3001,A498))</f>
        <v/>
      </c>
      <c r="H498" s="26" t="str">
        <f aca="false">IF(A498="","",COUNTIF(Apparitions!$H$2:$H$5001,A498))</f>
        <v/>
      </c>
      <c r="I498" s="26" t="str">
        <f aca="false">IF(A498="","",COUNTIFS(Apparitions!$H$2:$H$5001,A498,Apparitions!$E$2:$E$5001,"○"))</f>
        <v/>
      </c>
      <c r="J498" s="29" t="str">
        <f aca="false">IF(A498="","",IFERROR(1/(1/_xlfn.MINIFS(Apparitions!$L$2:$L$5001,Apparitions!$H$2:$H$5001,A498)),""))</f>
        <v/>
      </c>
    </row>
    <row r="499" customFormat="false" ht="15" hidden="false" customHeight="false" outlineLevel="0" collapsed="false">
      <c r="A499" s="19"/>
      <c r="B499" s="19"/>
      <c r="C499" s="19"/>
      <c r="D499" s="19"/>
      <c r="E499" s="32"/>
      <c r="F499" s="19"/>
      <c r="G499" s="26" t="str">
        <f aca="false">IF(A499="","",COUNTIF(Pubs!$B$2:$B$3001,A499))</f>
        <v/>
      </c>
      <c r="H499" s="26" t="str">
        <f aca="false">IF(A499="","",COUNTIF(Apparitions!$H$2:$H$5001,A499))</f>
        <v/>
      </c>
      <c r="I499" s="26" t="str">
        <f aca="false">IF(A499="","",COUNTIFS(Apparitions!$H$2:$H$5001,A499,Apparitions!$E$2:$E$5001,"○"))</f>
        <v/>
      </c>
      <c r="J499" s="29" t="str">
        <f aca="false">IF(A499="","",IFERROR(1/(1/_xlfn.MINIFS(Apparitions!$L$2:$L$5001,Apparitions!$H$2:$H$5001,A499)),""))</f>
        <v/>
      </c>
    </row>
    <row r="500" customFormat="false" ht="15" hidden="false" customHeight="false" outlineLevel="0" collapsed="false">
      <c r="A500" s="19"/>
      <c r="B500" s="19"/>
      <c r="C500" s="19"/>
      <c r="D500" s="19"/>
      <c r="E500" s="32"/>
      <c r="F500" s="19"/>
      <c r="G500" s="26" t="str">
        <f aca="false">IF(A500="","",COUNTIF(Pubs!$B$2:$B$3001,A500))</f>
        <v/>
      </c>
      <c r="H500" s="26" t="str">
        <f aca="false">IF(A500="","",COUNTIF(Apparitions!$H$2:$H$5001,A500))</f>
        <v/>
      </c>
      <c r="I500" s="26" t="str">
        <f aca="false">IF(A500="","",COUNTIFS(Apparitions!$H$2:$H$5001,A500,Apparitions!$E$2:$E$5001,"○"))</f>
        <v/>
      </c>
      <c r="J500" s="29" t="str">
        <f aca="false">IF(A500="","",IFERROR(1/(1/_xlfn.MINIFS(Apparitions!$L$2:$L$5001,Apparitions!$H$2:$H$5001,A500)),""))</f>
        <v/>
      </c>
    </row>
    <row r="501" customFormat="false" ht="15" hidden="false" customHeight="false" outlineLevel="0" collapsed="false">
      <c r="A501" s="19"/>
      <c r="B501" s="19"/>
      <c r="C501" s="19"/>
      <c r="D501" s="19"/>
      <c r="E501" s="32"/>
      <c r="F501" s="19"/>
      <c r="G501" s="26" t="str">
        <f aca="false">IF(A501="","",COUNTIF(Pubs!$B$2:$B$3001,A501))</f>
        <v/>
      </c>
      <c r="H501" s="26" t="str">
        <f aca="false">IF(A501="","",COUNTIF(Apparitions!$H$2:$H$5001,A501))</f>
        <v/>
      </c>
      <c r="I501" s="26" t="str">
        <f aca="false">IF(A501="","",COUNTIFS(Apparitions!$H$2:$H$5001,A501,Apparitions!$E$2:$E$5001,"○"))</f>
        <v/>
      </c>
      <c r="J501" s="29" t="str">
        <f aca="false">IF(A501="","",IFERROR(1/(1/_xlfn.MINIFS(Apparitions!$L$2:$L$5001,Apparitions!$H$2:$H$5001,A501)),""))</f>
        <v/>
      </c>
    </row>
    <row r="502" customFormat="false" ht="15" hidden="false" customHeight="false" outlineLevel="0" collapsed="false">
      <c r="A502" s="19"/>
      <c r="B502" s="19"/>
      <c r="C502" s="19"/>
      <c r="D502" s="19"/>
      <c r="E502" s="32"/>
      <c r="F502" s="19"/>
      <c r="G502" s="26" t="str">
        <f aca="false">IF(A502="","",COUNTIF(Pubs!$B$2:$B$3001,A502))</f>
        <v/>
      </c>
      <c r="H502" s="26" t="str">
        <f aca="false">IF(A502="","",COUNTIF(Apparitions!$H$2:$H$5001,A502))</f>
        <v/>
      </c>
      <c r="I502" s="26" t="str">
        <f aca="false">IF(A502="","",COUNTIFS(Apparitions!$H$2:$H$5001,A502,Apparitions!$E$2:$E$5001,"○"))</f>
        <v/>
      </c>
      <c r="J502" s="29" t="str">
        <f aca="false">IF(A502="","",IFERROR(1/(1/_xlfn.MINIFS(Apparitions!$L$2:$L$5001,Apparitions!$H$2:$H$5001,A502)),""))</f>
        <v/>
      </c>
    </row>
    <row r="503" customFormat="false" ht="15" hidden="false" customHeight="false" outlineLevel="0" collapsed="false">
      <c r="A503" s="19"/>
      <c r="B503" s="19"/>
      <c r="C503" s="19"/>
      <c r="D503" s="19"/>
      <c r="E503" s="32"/>
      <c r="F503" s="19"/>
      <c r="G503" s="26" t="str">
        <f aca="false">IF(A503="","",COUNTIF(Pubs!$B$2:$B$3001,A503))</f>
        <v/>
      </c>
      <c r="H503" s="26" t="str">
        <f aca="false">IF(A503="","",COUNTIF(Apparitions!$H$2:$H$5001,A503))</f>
        <v/>
      </c>
      <c r="I503" s="26" t="str">
        <f aca="false">IF(A503="","",COUNTIFS(Apparitions!$H$2:$H$5001,A503,Apparitions!$E$2:$E$5001,"○"))</f>
        <v/>
      </c>
      <c r="J503" s="29" t="str">
        <f aca="false">IF(A503="","",IFERROR(1/(1/_xlfn.MINIFS(Apparitions!$L$2:$L$5001,Apparitions!$H$2:$H$5001,A503)),""))</f>
        <v/>
      </c>
    </row>
    <row r="504" customFormat="false" ht="15" hidden="false" customHeight="false" outlineLevel="0" collapsed="false">
      <c r="A504" s="19"/>
      <c r="B504" s="19"/>
      <c r="C504" s="19"/>
      <c r="D504" s="19"/>
      <c r="E504" s="32"/>
      <c r="F504" s="19"/>
      <c r="G504" s="26" t="str">
        <f aca="false">IF(A504="","",COUNTIF(Pubs!$B$2:$B$3001,A504))</f>
        <v/>
      </c>
      <c r="H504" s="26" t="str">
        <f aca="false">IF(A504="","",COUNTIF(Apparitions!$H$2:$H$5001,A504))</f>
        <v/>
      </c>
      <c r="I504" s="26" t="str">
        <f aca="false">IF(A504="","",COUNTIFS(Apparitions!$H$2:$H$5001,A504,Apparitions!$E$2:$E$5001,"○"))</f>
        <v/>
      </c>
      <c r="J504" s="29" t="str">
        <f aca="false">IF(A504="","",IFERROR(1/(1/_xlfn.MINIFS(Apparitions!$L$2:$L$5001,Apparitions!$H$2:$H$5001,A504)),""))</f>
        <v/>
      </c>
    </row>
    <row r="505" customFormat="false" ht="15" hidden="false" customHeight="false" outlineLevel="0" collapsed="false">
      <c r="A505" s="19"/>
      <c r="B505" s="19"/>
      <c r="C505" s="19"/>
      <c r="D505" s="19"/>
      <c r="E505" s="32"/>
      <c r="F505" s="19"/>
      <c r="G505" s="26" t="str">
        <f aca="false">IF(A505="","",COUNTIF(Pubs!$B$2:$B$3001,A505))</f>
        <v/>
      </c>
      <c r="H505" s="26" t="str">
        <f aca="false">IF(A505="","",COUNTIF(Apparitions!$H$2:$H$5001,A505))</f>
        <v/>
      </c>
      <c r="I505" s="26" t="str">
        <f aca="false">IF(A505="","",COUNTIFS(Apparitions!$H$2:$H$5001,A505,Apparitions!$E$2:$E$5001,"○"))</f>
        <v/>
      </c>
      <c r="J505" s="29" t="str">
        <f aca="false">IF(A505="","",IFERROR(1/(1/_xlfn.MINIFS(Apparitions!$L$2:$L$5001,Apparitions!$H$2:$H$5001,A505)),""))</f>
        <v/>
      </c>
    </row>
    <row r="506" customFormat="false" ht="15" hidden="false" customHeight="false" outlineLevel="0" collapsed="false">
      <c r="A506" s="19"/>
      <c r="B506" s="19"/>
      <c r="C506" s="19"/>
      <c r="D506" s="19"/>
      <c r="E506" s="32"/>
      <c r="F506" s="19"/>
      <c r="G506" s="26" t="str">
        <f aca="false">IF(A506="","",COUNTIF(Pubs!$B$2:$B$3001,A506))</f>
        <v/>
      </c>
      <c r="H506" s="26" t="str">
        <f aca="false">IF(A506="","",COUNTIF(Apparitions!$H$2:$H$5001,A506))</f>
        <v/>
      </c>
      <c r="I506" s="26" t="str">
        <f aca="false">IF(A506="","",COUNTIFS(Apparitions!$H$2:$H$5001,A506,Apparitions!$E$2:$E$5001,"○"))</f>
        <v/>
      </c>
      <c r="J506" s="29" t="str">
        <f aca="false">IF(A506="","",IFERROR(1/(1/_xlfn.MINIFS(Apparitions!$L$2:$L$5001,Apparitions!$H$2:$H$5001,A506)),""))</f>
        <v/>
      </c>
    </row>
    <row r="507" customFormat="false" ht="15" hidden="false" customHeight="false" outlineLevel="0" collapsed="false">
      <c r="A507" s="19"/>
      <c r="B507" s="19"/>
      <c r="C507" s="19"/>
      <c r="D507" s="19"/>
      <c r="E507" s="32"/>
      <c r="F507" s="19"/>
      <c r="G507" s="26" t="str">
        <f aca="false">IF(A507="","",COUNTIF(Pubs!$B$2:$B$3001,A507))</f>
        <v/>
      </c>
      <c r="H507" s="26" t="str">
        <f aca="false">IF(A507="","",COUNTIF(Apparitions!$H$2:$H$5001,A507))</f>
        <v/>
      </c>
      <c r="I507" s="26" t="str">
        <f aca="false">IF(A507="","",COUNTIFS(Apparitions!$H$2:$H$5001,A507,Apparitions!$E$2:$E$5001,"○"))</f>
        <v/>
      </c>
      <c r="J507" s="29" t="str">
        <f aca="false">IF(A507="","",IFERROR(1/(1/_xlfn.MINIFS(Apparitions!$L$2:$L$5001,Apparitions!$H$2:$H$5001,A507)),""))</f>
        <v/>
      </c>
    </row>
    <row r="508" customFormat="false" ht="15" hidden="false" customHeight="false" outlineLevel="0" collapsed="false">
      <c r="A508" s="19"/>
      <c r="B508" s="19"/>
      <c r="C508" s="19"/>
      <c r="D508" s="19"/>
      <c r="E508" s="32"/>
      <c r="F508" s="19"/>
      <c r="G508" s="26" t="str">
        <f aca="false">IF(A508="","",COUNTIF(Pubs!$B$2:$B$3001,A508))</f>
        <v/>
      </c>
      <c r="H508" s="26" t="str">
        <f aca="false">IF(A508="","",COUNTIF(Apparitions!$H$2:$H$5001,A508))</f>
        <v/>
      </c>
      <c r="I508" s="26" t="str">
        <f aca="false">IF(A508="","",COUNTIFS(Apparitions!$H$2:$H$5001,A508,Apparitions!$E$2:$E$5001,"○"))</f>
        <v/>
      </c>
      <c r="J508" s="29" t="str">
        <f aca="false">IF(A508="","",IFERROR(1/(1/_xlfn.MINIFS(Apparitions!$L$2:$L$5001,Apparitions!$H$2:$H$5001,A508)),""))</f>
        <v/>
      </c>
    </row>
    <row r="509" customFormat="false" ht="15" hidden="false" customHeight="false" outlineLevel="0" collapsed="false">
      <c r="A509" s="19"/>
      <c r="B509" s="19"/>
      <c r="C509" s="19"/>
      <c r="D509" s="19"/>
      <c r="E509" s="32"/>
      <c r="F509" s="19"/>
      <c r="G509" s="26" t="str">
        <f aca="false">IF(A509="","",COUNTIF(Pubs!$B$2:$B$3001,A509))</f>
        <v/>
      </c>
      <c r="H509" s="26" t="str">
        <f aca="false">IF(A509="","",COUNTIF(Apparitions!$H$2:$H$5001,A509))</f>
        <v/>
      </c>
      <c r="I509" s="26" t="str">
        <f aca="false">IF(A509="","",COUNTIFS(Apparitions!$H$2:$H$5001,A509,Apparitions!$E$2:$E$5001,"○"))</f>
        <v/>
      </c>
      <c r="J509" s="29" t="str">
        <f aca="false">IF(A509="","",IFERROR(1/(1/_xlfn.MINIFS(Apparitions!$L$2:$L$5001,Apparitions!$H$2:$H$5001,A509)),""))</f>
        <v/>
      </c>
    </row>
    <row r="510" customFormat="false" ht="15" hidden="false" customHeight="false" outlineLevel="0" collapsed="false">
      <c r="A510" s="19"/>
      <c r="B510" s="19"/>
      <c r="C510" s="19"/>
      <c r="D510" s="19"/>
      <c r="E510" s="32"/>
      <c r="F510" s="19"/>
      <c r="G510" s="26" t="str">
        <f aca="false">IF(A510="","",COUNTIF(Pubs!$B$2:$B$3001,A510))</f>
        <v/>
      </c>
      <c r="H510" s="26" t="str">
        <f aca="false">IF(A510="","",COUNTIF(Apparitions!$H$2:$H$5001,A510))</f>
        <v/>
      </c>
      <c r="I510" s="26" t="str">
        <f aca="false">IF(A510="","",COUNTIFS(Apparitions!$H$2:$H$5001,A510,Apparitions!$E$2:$E$5001,"○"))</f>
        <v/>
      </c>
      <c r="J510" s="29" t="str">
        <f aca="false">IF(A510="","",IFERROR(1/(1/_xlfn.MINIFS(Apparitions!$L$2:$L$5001,Apparitions!$H$2:$H$5001,A510)),""))</f>
        <v/>
      </c>
    </row>
    <row r="511" customFormat="false" ht="15" hidden="false" customHeight="false" outlineLevel="0" collapsed="false">
      <c r="A511" s="19"/>
      <c r="B511" s="19"/>
      <c r="C511" s="19"/>
      <c r="D511" s="19"/>
      <c r="E511" s="32"/>
      <c r="F511" s="19"/>
      <c r="G511" s="26" t="str">
        <f aca="false">IF(A511="","",COUNTIF(Pubs!$B$2:$B$3001,A511))</f>
        <v/>
      </c>
      <c r="H511" s="26" t="str">
        <f aca="false">IF(A511="","",COUNTIF(Apparitions!$H$2:$H$5001,A511))</f>
        <v/>
      </c>
      <c r="I511" s="26" t="str">
        <f aca="false">IF(A511="","",COUNTIFS(Apparitions!$H$2:$H$5001,A511,Apparitions!$E$2:$E$5001,"○"))</f>
        <v/>
      </c>
      <c r="J511" s="29" t="str">
        <f aca="false">IF(A511="","",IFERROR(1/(1/_xlfn.MINIFS(Apparitions!$L$2:$L$5001,Apparitions!$H$2:$H$5001,A511)),""))</f>
        <v/>
      </c>
    </row>
    <row r="512" customFormat="false" ht="15" hidden="false" customHeight="false" outlineLevel="0" collapsed="false">
      <c r="A512" s="19"/>
      <c r="B512" s="19"/>
      <c r="C512" s="19"/>
      <c r="D512" s="19"/>
      <c r="E512" s="32"/>
      <c r="F512" s="19"/>
      <c r="G512" s="26" t="str">
        <f aca="false">IF(A512="","",COUNTIF(Pubs!$B$2:$B$3001,A512))</f>
        <v/>
      </c>
      <c r="H512" s="26" t="str">
        <f aca="false">IF(A512="","",COUNTIF(Apparitions!$H$2:$H$5001,A512))</f>
        <v/>
      </c>
      <c r="I512" s="26" t="str">
        <f aca="false">IF(A512="","",COUNTIFS(Apparitions!$H$2:$H$5001,A512,Apparitions!$E$2:$E$5001,"○"))</f>
        <v/>
      </c>
      <c r="J512" s="29" t="str">
        <f aca="false">IF(A512="","",IFERROR(1/(1/_xlfn.MINIFS(Apparitions!$L$2:$L$5001,Apparitions!$H$2:$H$5001,A512)),""))</f>
        <v/>
      </c>
    </row>
    <row r="513" customFormat="false" ht="15" hidden="false" customHeight="false" outlineLevel="0" collapsed="false">
      <c r="A513" s="19"/>
      <c r="B513" s="19"/>
      <c r="C513" s="19"/>
      <c r="D513" s="19"/>
      <c r="E513" s="32"/>
      <c r="F513" s="19"/>
      <c r="G513" s="26" t="str">
        <f aca="false">IF(A513="","",COUNTIF(Pubs!$B$2:$B$3001,A513))</f>
        <v/>
      </c>
      <c r="H513" s="26" t="str">
        <f aca="false">IF(A513="","",COUNTIF(Apparitions!$H$2:$H$5001,A513))</f>
        <v/>
      </c>
      <c r="I513" s="26" t="str">
        <f aca="false">IF(A513="","",COUNTIFS(Apparitions!$H$2:$H$5001,A513,Apparitions!$E$2:$E$5001,"○"))</f>
        <v/>
      </c>
      <c r="J513" s="29" t="str">
        <f aca="false">IF(A513="","",IFERROR(1/(1/_xlfn.MINIFS(Apparitions!$L$2:$L$5001,Apparitions!$H$2:$H$5001,A513)),""))</f>
        <v/>
      </c>
    </row>
    <row r="514" customFormat="false" ht="15" hidden="false" customHeight="false" outlineLevel="0" collapsed="false">
      <c r="A514" s="19"/>
      <c r="B514" s="19"/>
      <c r="C514" s="19"/>
      <c r="D514" s="19"/>
      <c r="E514" s="32"/>
      <c r="F514" s="19"/>
      <c r="G514" s="26" t="str">
        <f aca="false">IF(A514="","",COUNTIF(Pubs!$B$2:$B$3001,A514))</f>
        <v/>
      </c>
      <c r="H514" s="26" t="str">
        <f aca="false">IF(A514="","",COUNTIF(Apparitions!$H$2:$H$5001,A514))</f>
        <v/>
      </c>
      <c r="I514" s="26" t="str">
        <f aca="false">IF(A514="","",COUNTIFS(Apparitions!$H$2:$H$5001,A514,Apparitions!$E$2:$E$5001,"○"))</f>
        <v/>
      </c>
      <c r="J514" s="29" t="str">
        <f aca="false">IF(A514="","",IFERROR(1/(1/_xlfn.MINIFS(Apparitions!$L$2:$L$5001,Apparitions!$H$2:$H$5001,A514)),""))</f>
        <v/>
      </c>
    </row>
    <row r="515" customFormat="false" ht="15" hidden="false" customHeight="false" outlineLevel="0" collapsed="false">
      <c r="A515" s="19"/>
      <c r="B515" s="19"/>
      <c r="C515" s="19"/>
      <c r="D515" s="19"/>
      <c r="E515" s="32"/>
      <c r="F515" s="19"/>
      <c r="G515" s="26" t="str">
        <f aca="false">IF(A515="","",COUNTIF(Pubs!$B$2:$B$3001,A515))</f>
        <v/>
      </c>
      <c r="H515" s="26" t="str">
        <f aca="false">IF(A515="","",COUNTIF(Apparitions!$H$2:$H$5001,A515))</f>
        <v/>
      </c>
      <c r="I515" s="26" t="str">
        <f aca="false">IF(A515="","",COUNTIFS(Apparitions!$H$2:$H$5001,A515,Apparitions!$E$2:$E$5001,"○"))</f>
        <v/>
      </c>
      <c r="J515" s="29" t="str">
        <f aca="false">IF(A515="","",IFERROR(1/(1/_xlfn.MINIFS(Apparitions!$L$2:$L$5001,Apparitions!$H$2:$H$5001,A515)),""))</f>
        <v/>
      </c>
    </row>
    <row r="516" customFormat="false" ht="15" hidden="false" customHeight="false" outlineLevel="0" collapsed="false">
      <c r="A516" s="19"/>
      <c r="B516" s="19"/>
      <c r="C516" s="19"/>
      <c r="D516" s="19"/>
      <c r="E516" s="32"/>
      <c r="F516" s="19"/>
      <c r="G516" s="26" t="str">
        <f aca="false">IF(A516="","",COUNTIF(Pubs!$B$2:$B$3001,A516))</f>
        <v/>
      </c>
      <c r="H516" s="26" t="str">
        <f aca="false">IF(A516="","",COUNTIF(Apparitions!$H$2:$H$5001,A516))</f>
        <v/>
      </c>
      <c r="I516" s="26" t="str">
        <f aca="false">IF(A516="","",COUNTIFS(Apparitions!$H$2:$H$5001,A516,Apparitions!$E$2:$E$5001,"○"))</f>
        <v/>
      </c>
      <c r="J516" s="29" t="str">
        <f aca="false">IF(A516="","",IFERROR(1/(1/_xlfn.MINIFS(Apparitions!$L$2:$L$5001,Apparitions!$H$2:$H$5001,A516)),""))</f>
        <v/>
      </c>
    </row>
    <row r="517" customFormat="false" ht="15" hidden="false" customHeight="false" outlineLevel="0" collapsed="false">
      <c r="A517" s="19"/>
      <c r="B517" s="19"/>
      <c r="C517" s="19"/>
      <c r="D517" s="19"/>
      <c r="E517" s="32"/>
      <c r="F517" s="19"/>
      <c r="G517" s="26" t="str">
        <f aca="false">IF(A517="","",COUNTIF(Pubs!$B$2:$B$3001,A517))</f>
        <v/>
      </c>
      <c r="H517" s="26" t="str">
        <f aca="false">IF(A517="","",COUNTIF(Apparitions!$H$2:$H$5001,A517))</f>
        <v/>
      </c>
      <c r="I517" s="26" t="str">
        <f aca="false">IF(A517="","",COUNTIFS(Apparitions!$H$2:$H$5001,A517,Apparitions!$E$2:$E$5001,"○"))</f>
        <v/>
      </c>
      <c r="J517" s="29" t="str">
        <f aca="false">IF(A517="","",IFERROR(1/(1/_xlfn.MINIFS(Apparitions!$L$2:$L$5001,Apparitions!$H$2:$H$5001,A517)),""))</f>
        <v/>
      </c>
    </row>
    <row r="518" customFormat="false" ht="15" hidden="false" customHeight="false" outlineLevel="0" collapsed="false">
      <c r="A518" s="19"/>
      <c r="B518" s="19"/>
      <c r="C518" s="19"/>
      <c r="D518" s="19"/>
      <c r="E518" s="32"/>
      <c r="F518" s="19"/>
      <c r="G518" s="26" t="str">
        <f aca="false">IF(A518="","",COUNTIF(Pubs!$B$2:$B$3001,A518))</f>
        <v/>
      </c>
      <c r="H518" s="26" t="str">
        <f aca="false">IF(A518="","",COUNTIF(Apparitions!$H$2:$H$5001,A518))</f>
        <v/>
      </c>
      <c r="I518" s="26" t="str">
        <f aca="false">IF(A518="","",COUNTIFS(Apparitions!$H$2:$H$5001,A518,Apparitions!$E$2:$E$5001,"○"))</f>
        <v/>
      </c>
      <c r="J518" s="29" t="str">
        <f aca="false">IF(A518="","",IFERROR(1/(1/_xlfn.MINIFS(Apparitions!$L$2:$L$5001,Apparitions!$H$2:$H$5001,A518)),""))</f>
        <v/>
      </c>
    </row>
    <row r="519" customFormat="false" ht="15" hidden="false" customHeight="false" outlineLevel="0" collapsed="false">
      <c r="A519" s="19"/>
      <c r="B519" s="19"/>
      <c r="C519" s="19"/>
      <c r="D519" s="19"/>
      <c r="E519" s="32"/>
      <c r="F519" s="19"/>
      <c r="G519" s="26" t="str">
        <f aca="false">IF(A519="","",COUNTIF(Pubs!$B$2:$B$3001,A519))</f>
        <v/>
      </c>
      <c r="H519" s="26" t="str">
        <f aca="false">IF(A519="","",COUNTIF(Apparitions!$H$2:$H$5001,A519))</f>
        <v/>
      </c>
      <c r="I519" s="26" t="str">
        <f aca="false">IF(A519="","",COUNTIFS(Apparitions!$H$2:$H$5001,A519,Apparitions!$E$2:$E$5001,"○"))</f>
        <v/>
      </c>
      <c r="J519" s="29" t="str">
        <f aca="false">IF(A519="","",IFERROR(1/(1/_xlfn.MINIFS(Apparitions!$L$2:$L$5001,Apparitions!$H$2:$H$5001,A519)),""))</f>
        <v/>
      </c>
    </row>
    <row r="520" customFormat="false" ht="15" hidden="false" customHeight="false" outlineLevel="0" collapsed="false">
      <c r="A520" s="19"/>
      <c r="B520" s="19"/>
      <c r="C520" s="19"/>
      <c r="D520" s="19"/>
      <c r="E520" s="32"/>
      <c r="F520" s="19"/>
      <c r="G520" s="26" t="str">
        <f aca="false">IF(A520="","",COUNTIF(Pubs!$B$2:$B$3001,A520))</f>
        <v/>
      </c>
      <c r="H520" s="26" t="str">
        <f aca="false">IF(A520="","",COUNTIF(Apparitions!$H$2:$H$5001,A520))</f>
        <v/>
      </c>
      <c r="I520" s="26" t="str">
        <f aca="false">IF(A520="","",COUNTIFS(Apparitions!$H$2:$H$5001,A520,Apparitions!$E$2:$E$5001,"○"))</f>
        <v/>
      </c>
      <c r="J520" s="29" t="str">
        <f aca="false">IF(A520="","",IFERROR(1/(1/_xlfn.MINIFS(Apparitions!$L$2:$L$5001,Apparitions!$H$2:$H$5001,A520)),""))</f>
        <v/>
      </c>
    </row>
    <row r="521" customFormat="false" ht="15" hidden="false" customHeight="false" outlineLevel="0" collapsed="false">
      <c r="A521" s="19"/>
      <c r="B521" s="19"/>
      <c r="C521" s="19"/>
      <c r="D521" s="19"/>
      <c r="E521" s="32"/>
      <c r="F521" s="19"/>
      <c r="G521" s="26" t="str">
        <f aca="false">IF(A521="","",COUNTIF(Pubs!$B$2:$B$3001,A521))</f>
        <v/>
      </c>
      <c r="H521" s="26" t="str">
        <f aca="false">IF(A521="","",COUNTIF(Apparitions!$H$2:$H$5001,A521))</f>
        <v/>
      </c>
      <c r="I521" s="26" t="str">
        <f aca="false">IF(A521="","",COUNTIFS(Apparitions!$H$2:$H$5001,A521,Apparitions!$E$2:$E$5001,"○"))</f>
        <v/>
      </c>
      <c r="J521" s="29" t="str">
        <f aca="false">IF(A521="","",IFERROR(1/(1/_xlfn.MINIFS(Apparitions!$L$2:$L$5001,Apparitions!$H$2:$H$5001,A521)),""))</f>
        <v/>
      </c>
    </row>
    <row r="522" customFormat="false" ht="15" hidden="false" customHeight="false" outlineLevel="0" collapsed="false">
      <c r="A522" s="19"/>
      <c r="B522" s="19"/>
      <c r="C522" s="19"/>
      <c r="D522" s="19"/>
      <c r="E522" s="32"/>
      <c r="F522" s="19"/>
      <c r="G522" s="26" t="str">
        <f aca="false">IF(A522="","",COUNTIF(Pubs!$B$2:$B$3001,A522))</f>
        <v/>
      </c>
      <c r="H522" s="26" t="str">
        <f aca="false">IF(A522="","",COUNTIF(Apparitions!$H$2:$H$5001,A522))</f>
        <v/>
      </c>
      <c r="I522" s="26" t="str">
        <f aca="false">IF(A522="","",COUNTIFS(Apparitions!$H$2:$H$5001,A522,Apparitions!$E$2:$E$5001,"○"))</f>
        <v/>
      </c>
      <c r="J522" s="29" t="str">
        <f aca="false">IF(A522="","",IFERROR(1/(1/_xlfn.MINIFS(Apparitions!$L$2:$L$5001,Apparitions!$H$2:$H$5001,A522)),""))</f>
        <v/>
      </c>
    </row>
    <row r="523" customFormat="false" ht="15" hidden="false" customHeight="false" outlineLevel="0" collapsed="false">
      <c r="A523" s="19"/>
      <c r="B523" s="19"/>
      <c r="C523" s="19"/>
      <c r="D523" s="19"/>
      <c r="E523" s="32"/>
      <c r="F523" s="19"/>
      <c r="G523" s="26" t="str">
        <f aca="false">IF(A523="","",COUNTIF(Pubs!$B$2:$B$3001,A523))</f>
        <v/>
      </c>
      <c r="H523" s="26" t="str">
        <f aca="false">IF(A523="","",COUNTIF(Apparitions!$H$2:$H$5001,A523))</f>
        <v/>
      </c>
      <c r="I523" s="26" t="str">
        <f aca="false">IF(A523="","",COUNTIFS(Apparitions!$H$2:$H$5001,A523,Apparitions!$E$2:$E$5001,"○"))</f>
        <v/>
      </c>
      <c r="J523" s="29" t="str">
        <f aca="false">IF(A523="","",IFERROR(1/(1/_xlfn.MINIFS(Apparitions!$L$2:$L$5001,Apparitions!$H$2:$H$5001,A523)),""))</f>
        <v/>
      </c>
    </row>
    <row r="524" customFormat="false" ht="15" hidden="false" customHeight="false" outlineLevel="0" collapsed="false">
      <c r="A524" s="19"/>
      <c r="B524" s="19"/>
      <c r="C524" s="19"/>
      <c r="D524" s="19"/>
      <c r="E524" s="32"/>
      <c r="F524" s="19"/>
      <c r="G524" s="26" t="str">
        <f aca="false">IF(A524="","",COUNTIF(Pubs!$B$2:$B$3001,A524))</f>
        <v/>
      </c>
      <c r="H524" s="26" t="str">
        <f aca="false">IF(A524="","",COUNTIF(Apparitions!$H$2:$H$5001,A524))</f>
        <v/>
      </c>
      <c r="I524" s="26" t="str">
        <f aca="false">IF(A524="","",COUNTIFS(Apparitions!$H$2:$H$5001,A524,Apparitions!$E$2:$E$5001,"○"))</f>
        <v/>
      </c>
      <c r="J524" s="29" t="str">
        <f aca="false">IF(A524="","",IFERROR(1/(1/_xlfn.MINIFS(Apparitions!$L$2:$L$5001,Apparitions!$H$2:$H$5001,A524)),""))</f>
        <v/>
      </c>
    </row>
    <row r="525" customFormat="false" ht="15" hidden="false" customHeight="false" outlineLevel="0" collapsed="false">
      <c r="A525" s="19"/>
      <c r="B525" s="19"/>
      <c r="C525" s="19"/>
      <c r="D525" s="19"/>
      <c r="E525" s="32"/>
      <c r="F525" s="19"/>
      <c r="G525" s="26" t="str">
        <f aca="false">IF(A525="","",COUNTIF(Pubs!$B$2:$B$3001,A525))</f>
        <v/>
      </c>
      <c r="H525" s="26" t="str">
        <f aca="false">IF(A525="","",COUNTIF(Apparitions!$H$2:$H$5001,A525))</f>
        <v/>
      </c>
      <c r="I525" s="26" t="str">
        <f aca="false">IF(A525="","",COUNTIFS(Apparitions!$H$2:$H$5001,A525,Apparitions!$E$2:$E$5001,"○"))</f>
        <v/>
      </c>
      <c r="J525" s="29" t="str">
        <f aca="false">IF(A525="","",IFERROR(1/(1/_xlfn.MINIFS(Apparitions!$L$2:$L$5001,Apparitions!$H$2:$H$5001,A525)),""))</f>
        <v/>
      </c>
    </row>
    <row r="526" customFormat="false" ht="15" hidden="false" customHeight="false" outlineLevel="0" collapsed="false">
      <c r="A526" s="19"/>
      <c r="B526" s="19"/>
      <c r="C526" s="19"/>
      <c r="D526" s="19"/>
      <c r="E526" s="32"/>
      <c r="F526" s="19"/>
      <c r="G526" s="26" t="str">
        <f aca="false">IF(A526="","",COUNTIF(Pubs!$B$2:$B$3001,A526))</f>
        <v/>
      </c>
      <c r="H526" s="26" t="str">
        <f aca="false">IF(A526="","",COUNTIF(Apparitions!$H$2:$H$5001,A526))</f>
        <v/>
      </c>
      <c r="I526" s="26" t="str">
        <f aca="false">IF(A526="","",COUNTIFS(Apparitions!$H$2:$H$5001,A526,Apparitions!$E$2:$E$5001,"○"))</f>
        <v/>
      </c>
      <c r="J526" s="29" t="str">
        <f aca="false">IF(A526="","",IFERROR(1/(1/_xlfn.MINIFS(Apparitions!$L$2:$L$5001,Apparitions!$H$2:$H$5001,A526)),""))</f>
        <v/>
      </c>
    </row>
    <row r="527" customFormat="false" ht="15" hidden="false" customHeight="false" outlineLevel="0" collapsed="false">
      <c r="A527" s="19"/>
      <c r="B527" s="19"/>
      <c r="C527" s="19"/>
      <c r="D527" s="19"/>
      <c r="E527" s="32"/>
      <c r="F527" s="19"/>
      <c r="G527" s="26" t="str">
        <f aca="false">IF(A527="","",COUNTIF(Pubs!$B$2:$B$3001,A527))</f>
        <v/>
      </c>
      <c r="H527" s="26" t="str">
        <f aca="false">IF(A527="","",COUNTIF(Apparitions!$H$2:$H$5001,A527))</f>
        <v/>
      </c>
      <c r="I527" s="26" t="str">
        <f aca="false">IF(A527="","",COUNTIFS(Apparitions!$H$2:$H$5001,A527,Apparitions!$E$2:$E$5001,"○"))</f>
        <v/>
      </c>
      <c r="J527" s="29" t="str">
        <f aca="false">IF(A527="","",IFERROR(1/(1/_xlfn.MINIFS(Apparitions!$L$2:$L$5001,Apparitions!$H$2:$H$5001,A527)),""))</f>
        <v/>
      </c>
    </row>
    <row r="528" customFormat="false" ht="15" hidden="false" customHeight="false" outlineLevel="0" collapsed="false">
      <c r="A528" s="19"/>
      <c r="B528" s="19"/>
      <c r="C528" s="19"/>
      <c r="D528" s="19"/>
      <c r="E528" s="32"/>
      <c r="F528" s="19"/>
      <c r="G528" s="26" t="str">
        <f aca="false">IF(A528="","",COUNTIF(Pubs!$B$2:$B$3001,A528))</f>
        <v/>
      </c>
      <c r="H528" s="26" t="str">
        <f aca="false">IF(A528="","",COUNTIF(Apparitions!$H$2:$H$5001,A528))</f>
        <v/>
      </c>
      <c r="I528" s="26" t="str">
        <f aca="false">IF(A528="","",COUNTIFS(Apparitions!$H$2:$H$5001,A528,Apparitions!$E$2:$E$5001,"○"))</f>
        <v/>
      </c>
      <c r="J528" s="29" t="str">
        <f aca="false">IF(A528="","",IFERROR(1/(1/_xlfn.MINIFS(Apparitions!$L$2:$L$5001,Apparitions!$H$2:$H$5001,A528)),""))</f>
        <v/>
      </c>
    </row>
    <row r="529" customFormat="false" ht="15" hidden="false" customHeight="false" outlineLevel="0" collapsed="false">
      <c r="A529" s="19"/>
      <c r="B529" s="19"/>
      <c r="C529" s="19"/>
      <c r="D529" s="19"/>
      <c r="E529" s="32"/>
      <c r="F529" s="19"/>
      <c r="G529" s="26" t="str">
        <f aca="false">IF(A529="","",COUNTIF(Pubs!$B$2:$B$3001,A529))</f>
        <v/>
      </c>
      <c r="H529" s="26" t="str">
        <f aca="false">IF(A529="","",COUNTIF(Apparitions!$H$2:$H$5001,A529))</f>
        <v/>
      </c>
      <c r="I529" s="26" t="str">
        <f aca="false">IF(A529="","",COUNTIFS(Apparitions!$H$2:$H$5001,A529,Apparitions!$E$2:$E$5001,"○"))</f>
        <v/>
      </c>
      <c r="J529" s="29" t="str">
        <f aca="false">IF(A529="","",IFERROR(1/(1/_xlfn.MINIFS(Apparitions!$L$2:$L$5001,Apparitions!$H$2:$H$5001,A529)),""))</f>
        <v/>
      </c>
    </row>
    <row r="530" customFormat="false" ht="15" hidden="false" customHeight="false" outlineLevel="0" collapsed="false">
      <c r="A530" s="19"/>
      <c r="B530" s="19"/>
      <c r="C530" s="19"/>
      <c r="D530" s="19"/>
      <c r="E530" s="32"/>
      <c r="F530" s="19"/>
      <c r="G530" s="26" t="str">
        <f aca="false">IF(A530="","",COUNTIF(Pubs!$B$2:$B$3001,A530))</f>
        <v/>
      </c>
      <c r="H530" s="26" t="str">
        <f aca="false">IF(A530="","",COUNTIF(Apparitions!$H$2:$H$5001,A530))</f>
        <v/>
      </c>
      <c r="I530" s="26" t="str">
        <f aca="false">IF(A530="","",COUNTIFS(Apparitions!$H$2:$H$5001,A530,Apparitions!$E$2:$E$5001,"○"))</f>
        <v/>
      </c>
      <c r="J530" s="29" t="str">
        <f aca="false">IF(A530="","",IFERROR(1/(1/_xlfn.MINIFS(Apparitions!$L$2:$L$5001,Apparitions!$H$2:$H$5001,A530)),""))</f>
        <v/>
      </c>
    </row>
    <row r="531" customFormat="false" ht="15" hidden="false" customHeight="false" outlineLevel="0" collapsed="false">
      <c r="A531" s="19"/>
      <c r="B531" s="19"/>
      <c r="C531" s="19"/>
      <c r="D531" s="19"/>
      <c r="E531" s="32"/>
      <c r="F531" s="19"/>
      <c r="G531" s="26" t="str">
        <f aca="false">IF(A531="","",COUNTIF(Pubs!$B$2:$B$3001,A531))</f>
        <v/>
      </c>
      <c r="H531" s="26" t="str">
        <f aca="false">IF(A531="","",COUNTIF(Apparitions!$H$2:$H$5001,A531))</f>
        <v/>
      </c>
      <c r="I531" s="26" t="str">
        <f aca="false">IF(A531="","",COUNTIFS(Apparitions!$H$2:$H$5001,A531,Apparitions!$E$2:$E$5001,"○"))</f>
        <v/>
      </c>
      <c r="J531" s="29" t="str">
        <f aca="false">IF(A531="","",IFERROR(1/(1/_xlfn.MINIFS(Apparitions!$L$2:$L$5001,Apparitions!$H$2:$H$5001,A531)),""))</f>
        <v/>
      </c>
    </row>
    <row r="532" customFormat="false" ht="15" hidden="false" customHeight="false" outlineLevel="0" collapsed="false">
      <c r="A532" s="19"/>
      <c r="B532" s="19"/>
      <c r="C532" s="19"/>
      <c r="D532" s="19"/>
      <c r="E532" s="32"/>
      <c r="F532" s="19"/>
      <c r="G532" s="26" t="str">
        <f aca="false">IF(A532="","",COUNTIF(Pubs!$B$2:$B$3001,A532))</f>
        <v/>
      </c>
      <c r="H532" s="26" t="str">
        <f aca="false">IF(A532="","",COUNTIF(Apparitions!$H$2:$H$5001,A532))</f>
        <v/>
      </c>
      <c r="I532" s="26" t="str">
        <f aca="false">IF(A532="","",COUNTIFS(Apparitions!$H$2:$H$5001,A532,Apparitions!$E$2:$E$5001,"○"))</f>
        <v/>
      </c>
      <c r="J532" s="29" t="str">
        <f aca="false">IF(A532="","",IFERROR(1/(1/_xlfn.MINIFS(Apparitions!$L$2:$L$5001,Apparitions!$H$2:$H$5001,A532)),""))</f>
        <v/>
      </c>
    </row>
    <row r="533" customFormat="false" ht="15" hidden="false" customHeight="false" outlineLevel="0" collapsed="false">
      <c r="A533" s="19"/>
      <c r="B533" s="19"/>
      <c r="C533" s="19"/>
      <c r="D533" s="19"/>
      <c r="E533" s="32"/>
      <c r="F533" s="19"/>
      <c r="G533" s="26" t="str">
        <f aca="false">IF(A533="","",COUNTIF(Pubs!$B$2:$B$3001,A533))</f>
        <v/>
      </c>
      <c r="H533" s="26" t="str">
        <f aca="false">IF(A533="","",COUNTIF(Apparitions!$H$2:$H$5001,A533))</f>
        <v/>
      </c>
      <c r="I533" s="26" t="str">
        <f aca="false">IF(A533="","",COUNTIFS(Apparitions!$H$2:$H$5001,A533,Apparitions!$E$2:$E$5001,"○"))</f>
        <v/>
      </c>
      <c r="J533" s="29" t="str">
        <f aca="false">IF(A533="","",IFERROR(1/(1/_xlfn.MINIFS(Apparitions!$L$2:$L$5001,Apparitions!$H$2:$H$5001,A533)),""))</f>
        <v/>
      </c>
    </row>
    <row r="534" customFormat="false" ht="15" hidden="false" customHeight="false" outlineLevel="0" collapsed="false">
      <c r="A534" s="19"/>
      <c r="B534" s="19"/>
      <c r="C534" s="19"/>
      <c r="D534" s="19"/>
      <c r="E534" s="32"/>
      <c r="F534" s="19"/>
      <c r="G534" s="26" t="str">
        <f aca="false">IF(A534="","",COUNTIF(Pubs!$B$2:$B$3001,A534))</f>
        <v/>
      </c>
      <c r="H534" s="26" t="str">
        <f aca="false">IF(A534="","",COUNTIF(Apparitions!$H$2:$H$5001,A534))</f>
        <v/>
      </c>
      <c r="I534" s="26" t="str">
        <f aca="false">IF(A534="","",COUNTIFS(Apparitions!$H$2:$H$5001,A534,Apparitions!$E$2:$E$5001,"○"))</f>
        <v/>
      </c>
      <c r="J534" s="29" t="str">
        <f aca="false">IF(A534="","",IFERROR(1/(1/_xlfn.MINIFS(Apparitions!$L$2:$L$5001,Apparitions!$H$2:$H$5001,A534)),""))</f>
        <v/>
      </c>
    </row>
    <row r="535" customFormat="false" ht="15" hidden="false" customHeight="false" outlineLevel="0" collapsed="false">
      <c r="A535" s="19"/>
      <c r="B535" s="19"/>
      <c r="C535" s="19"/>
      <c r="D535" s="19"/>
      <c r="E535" s="32"/>
      <c r="F535" s="19"/>
      <c r="G535" s="26" t="str">
        <f aca="false">IF(A535="","",COUNTIF(Pubs!$B$2:$B$3001,A535))</f>
        <v/>
      </c>
      <c r="H535" s="26" t="str">
        <f aca="false">IF(A535="","",COUNTIF(Apparitions!$H$2:$H$5001,A535))</f>
        <v/>
      </c>
      <c r="I535" s="26" t="str">
        <f aca="false">IF(A535="","",COUNTIFS(Apparitions!$H$2:$H$5001,A535,Apparitions!$E$2:$E$5001,"○"))</f>
        <v/>
      </c>
      <c r="J535" s="29" t="str">
        <f aca="false">IF(A535="","",IFERROR(1/(1/_xlfn.MINIFS(Apparitions!$L$2:$L$5001,Apparitions!$H$2:$H$5001,A535)),""))</f>
        <v/>
      </c>
    </row>
    <row r="536" customFormat="false" ht="15" hidden="false" customHeight="false" outlineLevel="0" collapsed="false">
      <c r="A536" s="19"/>
      <c r="B536" s="19"/>
      <c r="C536" s="19"/>
      <c r="D536" s="19"/>
      <c r="E536" s="32"/>
      <c r="F536" s="19"/>
      <c r="G536" s="26" t="str">
        <f aca="false">IF(A536="","",COUNTIF(Pubs!$B$2:$B$3001,A536))</f>
        <v/>
      </c>
      <c r="H536" s="26" t="str">
        <f aca="false">IF(A536="","",COUNTIF(Apparitions!$H$2:$H$5001,A536))</f>
        <v/>
      </c>
      <c r="I536" s="26" t="str">
        <f aca="false">IF(A536="","",COUNTIFS(Apparitions!$H$2:$H$5001,A536,Apparitions!$E$2:$E$5001,"○"))</f>
        <v/>
      </c>
      <c r="J536" s="29" t="str">
        <f aca="false">IF(A536="","",IFERROR(1/(1/_xlfn.MINIFS(Apparitions!$L$2:$L$5001,Apparitions!$H$2:$H$5001,A536)),""))</f>
        <v/>
      </c>
    </row>
    <row r="537" customFormat="false" ht="15" hidden="false" customHeight="false" outlineLevel="0" collapsed="false">
      <c r="A537" s="19"/>
      <c r="B537" s="19"/>
      <c r="C537" s="19"/>
      <c r="D537" s="19"/>
      <c r="E537" s="32"/>
      <c r="F537" s="19"/>
      <c r="G537" s="26" t="str">
        <f aca="false">IF(A537="","",COUNTIF(Pubs!$B$2:$B$3001,A537))</f>
        <v/>
      </c>
      <c r="H537" s="26" t="str">
        <f aca="false">IF(A537="","",COUNTIF(Apparitions!$H$2:$H$5001,A537))</f>
        <v/>
      </c>
      <c r="I537" s="26" t="str">
        <f aca="false">IF(A537="","",COUNTIFS(Apparitions!$H$2:$H$5001,A537,Apparitions!$E$2:$E$5001,"○"))</f>
        <v/>
      </c>
      <c r="J537" s="29" t="str">
        <f aca="false">IF(A537="","",IFERROR(1/(1/_xlfn.MINIFS(Apparitions!$L$2:$L$5001,Apparitions!$H$2:$H$5001,A537)),""))</f>
        <v/>
      </c>
    </row>
    <row r="538" customFormat="false" ht="15" hidden="false" customHeight="false" outlineLevel="0" collapsed="false">
      <c r="A538" s="19"/>
      <c r="B538" s="19"/>
      <c r="C538" s="19"/>
      <c r="D538" s="19"/>
      <c r="E538" s="32"/>
      <c r="F538" s="19"/>
      <c r="G538" s="26" t="str">
        <f aca="false">IF(A538="","",COUNTIF(Pubs!$B$2:$B$3001,A538))</f>
        <v/>
      </c>
      <c r="H538" s="26" t="str">
        <f aca="false">IF(A538="","",COUNTIF(Apparitions!$H$2:$H$5001,A538))</f>
        <v/>
      </c>
      <c r="I538" s="26" t="str">
        <f aca="false">IF(A538="","",COUNTIFS(Apparitions!$H$2:$H$5001,A538,Apparitions!$E$2:$E$5001,"○"))</f>
        <v/>
      </c>
      <c r="J538" s="29" t="str">
        <f aca="false">IF(A538="","",IFERROR(1/(1/_xlfn.MINIFS(Apparitions!$L$2:$L$5001,Apparitions!$H$2:$H$5001,A538)),""))</f>
        <v/>
      </c>
    </row>
    <row r="539" customFormat="false" ht="15" hidden="false" customHeight="false" outlineLevel="0" collapsed="false">
      <c r="A539" s="19"/>
      <c r="B539" s="19"/>
      <c r="C539" s="19"/>
      <c r="D539" s="19"/>
      <c r="E539" s="32"/>
      <c r="F539" s="19"/>
      <c r="G539" s="26" t="str">
        <f aca="false">IF(A539="","",COUNTIF(Pubs!$B$2:$B$3001,A539))</f>
        <v/>
      </c>
      <c r="H539" s="26" t="str">
        <f aca="false">IF(A539="","",COUNTIF(Apparitions!$H$2:$H$5001,A539))</f>
        <v/>
      </c>
      <c r="I539" s="26" t="str">
        <f aca="false">IF(A539="","",COUNTIFS(Apparitions!$H$2:$H$5001,A539,Apparitions!$E$2:$E$5001,"○"))</f>
        <v/>
      </c>
      <c r="J539" s="29" t="str">
        <f aca="false">IF(A539="","",IFERROR(1/(1/_xlfn.MINIFS(Apparitions!$L$2:$L$5001,Apparitions!$H$2:$H$5001,A539)),""))</f>
        <v/>
      </c>
    </row>
    <row r="540" customFormat="false" ht="15" hidden="false" customHeight="false" outlineLevel="0" collapsed="false">
      <c r="A540" s="19"/>
      <c r="B540" s="19"/>
      <c r="C540" s="19"/>
      <c r="D540" s="19"/>
      <c r="E540" s="32"/>
      <c r="F540" s="19"/>
      <c r="G540" s="26" t="str">
        <f aca="false">IF(A540="","",COUNTIF(Pubs!$B$2:$B$3001,A540))</f>
        <v/>
      </c>
      <c r="H540" s="26" t="str">
        <f aca="false">IF(A540="","",COUNTIF(Apparitions!$H$2:$H$5001,A540))</f>
        <v/>
      </c>
      <c r="I540" s="26" t="str">
        <f aca="false">IF(A540="","",COUNTIFS(Apparitions!$H$2:$H$5001,A540,Apparitions!$E$2:$E$5001,"○"))</f>
        <v/>
      </c>
      <c r="J540" s="29" t="str">
        <f aca="false">IF(A540="","",IFERROR(1/(1/_xlfn.MINIFS(Apparitions!$L$2:$L$5001,Apparitions!$H$2:$H$5001,A540)),""))</f>
        <v/>
      </c>
    </row>
    <row r="541" customFormat="false" ht="15" hidden="false" customHeight="false" outlineLevel="0" collapsed="false">
      <c r="A541" s="19"/>
      <c r="B541" s="19"/>
      <c r="C541" s="19"/>
      <c r="D541" s="19"/>
      <c r="E541" s="32"/>
      <c r="F541" s="19"/>
      <c r="G541" s="26" t="str">
        <f aca="false">IF(A541="","",COUNTIF(Pubs!$B$2:$B$3001,A541))</f>
        <v/>
      </c>
      <c r="H541" s="26" t="str">
        <f aca="false">IF(A541="","",COUNTIF(Apparitions!$H$2:$H$5001,A541))</f>
        <v/>
      </c>
      <c r="I541" s="26" t="str">
        <f aca="false">IF(A541="","",COUNTIFS(Apparitions!$H$2:$H$5001,A541,Apparitions!$E$2:$E$5001,"○"))</f>
        <v/>
      </c>
      <c r="J541" s="29" t="str">
        <f aca="false">IF(A541="","",IFERROR(1/(1/_xlfn.MINIFS(Apparitions!$L$2:$L$5001,Apparitions!$H$2:$H$5001,A541)),""))</f>
        <v/>
      </c>
    </row>
    <row r="542" customFormat="false" ht="15" hidden="false" customHeight="false" outlineLevel="0" collapsed="false">
      <c r="A542" s="19"/>
      <c r="B542" s="19"/>
      <c r="C542" s="19"/>
      <c r="D542" s="19"/>
      <c r="E542" s="32"/>
      <c r="F542" s="19"/>
      <c r="G542" s="26" t="str">
        <f aca="false">IF(A542="","",COUNTIF(Pubs!$B$2:$B$3001,A542))</f>
        <v/>
      </c>
      <c r="H542" s="26" t="str">
        <f aca="false">IF(A542="","",COUNTIF(Apparitions!$H$2:$H$5001,A542))</f>
        <v/>
      </c>
      <c r="I542" s="26" t="str">
        <f aca="false">IF(A542="","",COUNTIFS(Apparitions!$H$2:$H$5001,A542,Apparitions!$E$2:$E$5001,"○"))</f>
        <v/>
      </c>
      <c r="J542" s="29" t="str">
        <f aca="false">IF(A542="","",IFERROR(1/(1/_xlfn.MINIFS(Apparitions!$L$2:$L$5001,Apparitions!$H$2:$H$5001,A542)),""))</f>
        <v/>
      </c>
    </row>
    <row r="543" customFormat="false" ht="15" hidden="false" customHeight="false" outlineLevel="0" collapsed="false">
      <c r="A543" s="19"/>
      <c r="B543" s="19"/>
      <c r="C543" s="19"/>
      <c r="D543" s="19"/>
      <c r="E543" s="32"/>
      <c r="F543" s="19"/>
      <c r="G543" s="26" t="str">
        <f aca="false">IF(A543="","",COUNTIF(Pubs!$B$2:$B$3001,A543))</f>
        <v/>
      </c>
      <c r="H543" s="26" t="str">
        <f aca="false">IF(A543="","",COUNTIF(Apparitions!$H$2:$H$5001,A543))</f>
        <v/>
      </c>
      <c r="I543" s="26" t="str">
        <f aca="false">IF(A543="","",COUNTIFS(Apparitions!$H$2:$H$5001,A543,Apparitions!$E$2:$E$5001,"○"))</f>
        <v/>
      </c>
      <c r="J543" s="29" t="str">
        <f aca="false">IF(A543="","",IFERROR(1/(1/_xlfn.MINIFS(Apparitions!$L$2:$L$5001,Apparitions!$H$2:$H$5001,A543)),""))</f>
        <v/>
      </c>
    </row>
    <row r="544" customFormat="false" ht="15" hidden="false" customHeight="false" outlineLevel="0" collapsed="false">
      <c r="A544" s="19"/>
      <c r="B544" s="19"/>
      <c r="C544" s="19"/>
      <c r="D544" s="19"/>
      <c r="E544" s="32"/>
      <c r="F544" s="19"/>
      <c r="G544" s="26" t="str">
        <f aca="false">IF(A544="","",COUNTIF(Pubs!$B$2:$B$3001,A544))</f>
        <v/>
      </c>
      <c r="H544" s="26" t="str">
        <f aca="false">IF(A544="","",COUNTIF(Apparitions!$H$2:$H$5001,A544))</f>
        <v/>
      </c>
      <c r="I544" s="26" t="str">
        <f aca="false">IF(A544="","",COUNTIFS(Apparitions!$H$2:$H$5001,A544,Apparitions!$E$2:$E$5001,"○"))</f>
        <v/>
      </c>
      <c r="J544" s="29" t="str">
        <f aca="false">IF(A544="","",IFERROR(1/(1/_xlfn.MINIFS(Apparitions!$L$2:$L$5001,Apparitions!$H$2:$H$5001,A544)),""))</f>
        <v/>
      </c>
    </row>
    <row r="545" customFormat="false" ht="15" hidden="false" customHeight="false" outlineLevel="0" collapsed="false">
      <c r="A545" s="19"/>
      <c r="B545" s="19"/>
      <c r="C545" s="19"/>
      <c r="D545" s="19"/>
      <c r="E545" s="32"/>
      <c r="F545" s="19"/>
      <c r="G545" s="26" t="str">
        <f aca="false">IF(A545="","",COUNTIF(Pubs!$B$2:$B$3001,A545))</f>
        <v/>
      </c>
      <c r="H545" s="26" t="str">
        <f aca="false">IF(A545="","",COUNTIF(Apparitions!$H$2:$H$5001,A545))</f>
        <v/>
      </c>
      <c r="I545" s="26" t="str">
        <f aca="false">IF(A545="","",COUNTIFS(Apparitions!$H$2:$H$5001,A545,Apparitions!$E$2:$E$5001,"○"))</f>
        <v/>
      </c>
      <c r="J545" s="29" t="str">
        <f aca="false">IF(A545="","",IFERROR(1/(1/_xlfn.MINIFS(Apparitions!$L$2:$L$5001,Apparitions!$H$2:$H$5001,A545)),""))</f>
        <v/>
      </c>
    </row>
    <row r="546" customFormat="false" ht="15" hidden="false" customHeight="false" outlineLevel="0" collapsed="false">
      <c r="A546" s="19"/>
      <c r="B546" s="19"/>
      <c r="C546" s="19"/>
      <c r="D546" s="19"/>
      <c r="E546" s="32"/>
      <c r="F546" s="19"/>
      <c r="G546" s="26" t="str">
        <f aca="false">IF(A546="","",COUNTIF(Pubs!$B$2:$B$3001,A546))</f>
        <v/>
      </c>
      <c r="H546" s="26" t="str">
        <f aca="false">IF(A546="","",COUNTIF(Apparitions!$H$2:$H$5001,A546))</f>
        <v/>
      </c>
      <c r="I546" s="26" t="str">
        <f aca="false">IF(A546="","",COUNTIFS(Apparitions!$H$2:$H$5001,A546,Apparitions!$E$2:$E$5001,"○"))</f>
        <v/>
      </c>
      <c r="J546" s="29" t="str">
        <f aca="false">IF(A546="","",IFERROR(1/(1/_xlfn.MINIFS(Apparitions!$L$2:$L$5001,Apparitions!$H$2:$H$5001,A546)),""))</f>
        <v/>
      </c>
    </row>
    <row r="547" customFormat="false" ht="15" hidden="false" customHeight="false" outlineLevel="0" collapsed="false">
      <c r="A547" s="19"/>
      <c r="B547" s="19"/>
      <c r="C547" s="19"/>
      <c r="D547" s="19"/>
      <c r="E547" s="32"/>
      <c r="F547" s="19"/>
      <c r="G547" s="26" t="str">
        <f aca="false">IF(A547="","",COUNTIF(Pubs!$B$2:$B$3001,A547))</f>
        <v/>
      </c>
      <c r="H547" s="26" t="str">
        <f aca="false">IF(A547="","",COUNTIF(Apparitions!$H$2:$H$5001,A547))</f>
        <v/>
      </c>
      <c r="I547" s="26" t="str">
        <f aca="false">IF(A547="","",COUNTIFS(Apparitions!$H$2:$H$5001,A547,Apparitions!$E$2:$E$5001,"○"))</f>
        <v/>
      </c>
      <c r="J547" s="29" t="str">
        <f aca="false">IF(A547="","",IFERROR(1/(1/_xlfn.MINIFS(Apparitions!$L$2:$L$5001,Apparitions!$H$2:$H$5001,A547)),""))</f>
        <v/>
      </c>
    </row>
    <row r="548" customFormat="false" ht="15" hidden="false" customHeight="false" outlineLevel="0" collapsed="false">
      <c r="A548" s="19"/>
      <c r="B548" s="19"/>
      <c r="C548" s="19"/>
      <c r="D548" s="19"/>
      <c r="E548" s="32"/>
      <c r="F548" s="19"/>
      <c r="G548" s="26" t="str">
        <f aca="false">IF(A548="","",COUNTIF(Pubs!$B$2:$B$3001,A548))</f>
        <v/>
      </c>
      <c r="H548" s="26" t="str">
        <f aca="false">IF(A548="","",COUNTIF(Apparitions!$H$2:$H$5001,A548))</f>
        <v/>
      </c>
      <c r="I548" s="26" t="str">
        <f aca="false">IF(A548="","",COUNTIFS(Apparitions!$H$2:$H$5001,A548,Apparitions!$E$2:$E$5001,"○"))</f>
        <v/>
      </c>
      <c r="J548" s="29" t="str">
        <f aca="false">IF(A548="","",IFERROR(1/(1/_xlfn.MINIFS(Apparitions!$L$2:$L$5001,Apparitions!$H$2:$H$5001,A548)),""))</f>
        <v/>
      </c>
    </row>
    <row r="549" customFormat="false" ht="15" hidden="false" customHeight="false" outlineLevel="0" collapsed="false">
      <c r="A549" s="19"/>
      <c r="B549" s="19"/>
      <c r="C549" s="19"/>
      <c r="D549" s="19"/>
      <c r="E549" s="32"/>
      <c r="F549" s="19"/>
      <c r="G549" s="26" t="str">
        <f aca="false">IF(A549="","",COUNTIF(Pubs!$B$2:$B$3001,A549))</f>
        <v/>
      </c>
      <c r="H549" s="26" t="str">
        <f aca="false">IF(A549="","",COUNTIF(Apparitions!$H$2:$H$5001,A549))</f>
        <v/>
      </c>
      <c r="I549" s="26" t="str">
        <f aca="false">IF(A549="","",COUNTIFS(Apparitions!$H$2:$H$5001,A549,Apparitions!$E$2:$E$5001,"○"))</f>
        <v/>
      </c>
      <c r="J549" s="29" t="str">
        <f aca="false">IF(A549="","",IFERROR(1/(1/_xlfn.MINIFS(Apparitions!$L$2:$L$5001,Apparitions!$H$2:$H$5001,A549)),""))</f>
        <v/>
      </c>
    </row>
    <row r="550" customFormat="false" ht="15" hidden="false" customHeight="false" outlineLevel="0" collapsed="false">
      <c r="A550" s="19"/>
      <c r="B550" s="19"/>
      <c r="C550" s="19"/>
      <c r="D550" s="19"/>
      <c r="E550" s="32"/>
      <c r="F550" s="19"/>
      <c r="G550" s="26" t="str">
        <f aca="false">IF(A550="","",COUNTIF(Pubs!$B$2:$B$3001,A550))</f>
        <v/>
      </c>
      <c r="H550" s="26" t="str">
        <f aca="false">IF(A550="","",COUNTIF(Apparitions!$H$2:$H$5001,A550))</f>
        <v/>
      </c>
      <c r="I550" s="26" t="str">
        <f aca="false">IF(A550="","",COUNTIFS(Apparitions!$H$2:$H$5001,A550,Apparitions!$E$2:$E$5001,"○"))</f>
        <v/>
      </c>
      <c r="J550" s="29" t="str">
        <f aca="false">IF(A550="","",IFERROR(1/(1/_xlfn.MINIFS(Apparitions!$L$2:$L$5001,Apparitions!$H$2:$H$5001,A550)),""))</f>
        <v/>
      </c>
    </row>
    <row r="551" customFormat="false" ht="15" hidden="false" customHeight="false" outlineLevel="0" collapsed="false">
      <c r="A551" s="19"/>
      <c r="B551" s="19"/>
      <c r="C551" s="19"/>
      <c r="D551" s="19"/>
      <c r="E551" s="32"/>
      <c r="F551" s="19"/>
      <c r="G551" s="26" t="str">
        <f aca="false">IF(A551="","",COUNTIF(Pubs!$B$2:$B$3001,A551))</f>
        <v/>
      </c>
      <c r="H551" s="26" t="str">
        <f aca="false">IF(A551="","",COUNTIF(Apparitions!$H$2:$H$5001,A551))</f>
        <v/>
      </c>
      <c r="I551" s="26" t="str">
        <f aca="false">IF(A551="","",COUNTIFS(Apparitions!$H$2:$H$5001,A551,Apparitions!$E$2:$E$5001,"○"))</f>
        <v/>
      </c>
      <c r="J551" s="29" t="str">
        <f aca="false">IF(A551="","",IFERROR(1/(1/_xlfn.MINIFS(Apparitions!$L$2:$L$5001,Apparitions!$H$2:$H$5001,A551)),""))</f>
        <v/>
      </c>
    </row>
    <row r="552" customFormat="false" ht="15" hidden="false" customHeight="false" outlineLevel="0" collapsed="false">
      <c r="A552" s="19"/>
      <c r="B552" s="19"/>
      <c r="C552" s="19"/>
      <c r="D552" s="19"/>
      <c r="E552" s="32"/>
      <c r="F552" s="19"/>
      <c r="G552" s="26" t="str">
        <f aca="false">IF(A552="","",COUNTIF(Pubs!$B$2:$B$3001,A552))</f>
        <v/>
      </c>
      <c r="H552" s="26" t="str">
        <f aca="false">IF(A552="","",COUNTIF(Apparitions!$H$2:$H$5001,A552))</f>
        <v/>
      </c>
      <c r="I552" s="26" t="str">
        <f aca="false">IF(A552="","",COUNTIFS(Apparitions!$H$2:$H$5001,A552,Apparitions!$E$2:$E$5001,"○"))</f>
        <v/>
      </c>
      <c r="J552" s="29" t="str">
        <f aca="false">IF(A552="","",IFERROR(1/(1/_xlfn.MINIFS(Apparitions!$L$2:$L$5001,Apparitions!$H$2:$H$5001,A552)),""))</f>
        <v/>
      </c>
    </row>
    <row r="553" customFormat="false" ht="15" hidden="false" customHeight="false" outlineLevel="0" collapsed="false">
      <c r="A553" s="19"/>
      <c r="B553" s="19"/>
      <c r="C553" s="19"/>
      <c r="D553" s="19"/>
      <c r="E553" s="32"/>
      <c r="F553" s="19"/>
      <c r="G553" s="26" t="str">
        <f aca="false">IF(A553="","",COUNTIF(Pubs!$B$2:$B$3001,A553))</f>
        <v/>
      </c>
      <c r="H553" s="26" t="str">
        <f aca="false">IF(A553="","",COUNTIF(Apparitions!$H$2:$H$5001,A553))</f>
        <v/>
      </c>
      <c r="I553" s="26" t="str">
        <f aca="false">IF(A553="","",COUNTIFS(Apparitions!$H$2:$H$5001,A553,Apparitions!$E$2:$E$5001,"○"))</f>
        <v/>
      </c>
      <c r="J553" s="29" t="str">
        <f aca="false">IF(A553="","",IFERROR(1/(1/_xlfn.MINIFS(Apparitions!$L$2:$L$5001,Apparitions!$H$2:$H$5001,A553)),""))</f>
        <v/>
      </c>
    </row>
    <row r="554" customFormat="false" ht="15" hidden="false" customHeight="false" outlineLevel="0" collapsed="false">
      <c r="A554" s="19"/>
      <c r="B554" s="19"/>
      <c r="C554" s="19"/>
      <c r="D554" s="19"/>
      <c r="E554" s="32"/>
      <c r="F554" s="19"/>
      <c r="G554" s="26" t="str">
        <f aca="false">IF(A554="","",COUNTIF(Pubs!$B$2:$B$3001,A554))</f>
        <v/>
      </c>
      <c r="H554" s="26" t="str">
        <f aca="false">IF(A554="","",COUNTIF(Apparitions!$H$2:$H$5001,A554))</f>
        <v/>
      </c>
      <c r="I554" s="26" t="str">
        <f aca="false">IF(A554="","",COUNTIFS(Apparitions!$H$2:$H$5001,A554,Apparitions!$E$2:$E$5001,"○"))</f>
        <v/>
      </c>
      <c r="J554" s="29" t="str">
        <f aca="false">IF(A554="","",IFERROR(1/(1/_xlfn.MINIFS(Apparitions!$L$2:$L$5001,Apparitions!$H$2:$H$5001,A554)),""))</f>
        <v/>
      </c>
    </row>
    <row r="555" customFormat="false" ht="15" hidden="false" customHeight="false" outlineLevel="0" collapsed="false">
      <c r="A555" s="19"/>
      <c r="B555" s="19"/>
      <c r="C555" s="19"/>
      <c r="D555" s="19"/>
      <c r="E555" s="32"/>
      <c r="F555" s="19"/>
      <c r="G555" s="26" t="str">
        <f aca="false">IF(A555="","",COUNTIF(Pubs!$B$2:$B$3001,A555))</f>
        <v/>
      </c>
      <c r="H555" s="26" t="str">
        <f aca="false">IF(A555="","",COUNTIF(Apparitions!$H$2:$H$5001,A555))</f>
        <v/>
      </c>
      <c r="I555" s="26" t="str">
        <f aca="false">IF(A555="","",COUNTIFS(Apparitions!$H$2:$H$5001,A555,Apparitions!$E$2:$E$5001,"○"))</f>
        <v/>
      </c>
      <c r="J555" s="29" t="str">
        <f aca="false">IF(A555="","",IFERROR(1/(1/_xlfn.MINIFS(Apparitions!$L$2:$L$5001,Apparitions!$H$2:$H$5001,A555)),""))</f>
        <v/>
      </c>
    </row>
    <row r="556" customFormat="false" ht="15" hidden="false" customHeight="false" outlineLevel="0" collapsed="false">
      <c r="A556" s="19"/>
      <c r="B556" s="19"/>
      <c r="C556" s="19"/>
      <c r="D556" s="19"/>
      <c r="E556" s="32"/>
      <c r="F556" s="19"/>
      <c r="G556" s="26" t="str">
        <f aca="false">IF(A556="","",COUNTIF(Pubs!$B$2:$B$3001,A556))</f>
        <v/>
      </c>
      <c r="H556" s="26" t="str">
        <f aca="false">IF(A556="","",COUNTIF(Apparitions!$H$2:$H$5001,A556))</f>
        <v/>
      </c>
      <c r="I556" s="26" t="str">
        <f aca="false">IF(A556="","",COUNTIFS(Apparitions!$H$2:$H$5001,A556,Apparitions!$E$2:$E$5001,"○"))</f>
        <v/>
      </c>
      <c r="J556" s="29" t="str">
        <f aca="false">IF(A556="","",IFERROR(1/(1/_xlfn.MINIFS(Apparitions!$L$2:$L$5001,Apparitions!$H$2:$H$5001,A556)),""))</f>
        <v/>
      </c>
    </row>
    <row r="557" customFormat="false" ht="15" hidden="false" customHeight="false" outlineLevel="0" collapsed="false">
      <c r="A557" s="19"/>
      <c r="B557" s="19"/>
      <c r="C557" s="19"/>
      <c r="D557" s="19"/>
      <c r="E557" s="32"/>
      <c r="F557" s="19"/>
      <c r="G557" s="26" t="str">
        <f aca="false">IF(A557="","",COUNTIF(Pubs!$B$2:$B$3001,A557))</f>
        <v/>
      </c>
      <c r="H557" s="26" t="str">
        <f aca="false">IF(A557="","",COUNTIF(Apparitions!$H$2:$H$5001,A557))</f>
        <v/>
      </c>
      <c r="I557" s="26" t="str">
        <f aca="false">IF(A557="","",COUNTIFS(Apparitions!$H$2:$H$5001,A557,Apparitions!$E$2:$E$5001,"○"))</f>
        <v/>
      </c>
      <c r="J557" s="29" t="str">
        <f aca="false">IF(A557="","",IFERROR(1/(1/_xlfn.MINIFS(Apparitions!$L$2:$L$5001,Apparitions!$H$2:$H$5001,A557)),""))</f>
        <v/>
      </c>
    </row>
    <row r="558" customFormat="false" ht="15" hidden="false" customHeight="false" outlineLevel="0" collapsed="false">
      <c r="A558" s="19"/>
      <c r="B558" s="19"/>
      <c r="C558" s="19"/>
      <c r="D558" s="19"/>
      <c r="E558" s="32"/>
      <c r="F558" s="19"/>
      <c r="G558" s="26" t="str">
        <f aca="false">IF(A558="","",COUNTIF(Pubs!$B$2:$B$3001,A558))</f>
        <v/>
      </c>
      <c r="H558" s="26" t="str">
        <f aca="false">IF(A558="","",COUNTIF(Apparitions!$H$2:$H$5001,A558))</f>
        <v/>
      </c>
      <c r="I558" s="26" t="str">
        <f aca="false">IF(A558="","",COUNTIFS(Apparitions!$H$2:$H$5001,A558,Apparitions!$E$2:$E$5001,"○"))</f>
        <v/>
      </c>
      <c r="J558" s="29" t="str">
        <f aca="false">IF(A558="","",IFERROR(1/(1/_xlfn.MINIFS(Apparitions!$L$2:$L$5001,Apparitions!$H$2:$H$5001,A558)),""))</f>
        <v/>
      </c>
    </row>
    <row r="559" customFormat="false" ht="15" hidden="false" customHeight="false" outlineLevel="0" collapsed="false">
      <c r="A559" s="19"/>
      <c r="B559" s="19"/>
      <c r="C559" s="19"/>
      <c r="D559" s="19"/>
      <c r="E559" s="32"/>
      <c r="F559" s="19"/>
      <c r="G559" s="26" t="str">
        <f aca="false">IF(A559="","",COUNTIF(Pubs!$B$2:$B$3001,A559))</f>
        <v/>
      </c>
      <c r="H559" s="26" t="str">
        <f aca="false">IF(A559="","",COUNTIF(Apparitions!$H$2:$H$5001,A559))</f>
        <v/>
      </c>
      <c r="I559" s="26" t="str">
        <f aca="false">IF(A559="","",COUNTIFS(Apparitions!$H$2:$H$5001,A559,Apparitions!$E$2:$E$5001,"○"))</f>
        <v/>
      </c>
      <c r="J559" s="29" t="str">
        <f aca="false">IF(A559="","",IFERROR(1/(1/_xlfn.MINIFS(Apparitions!$L$2:$L$5001,Apparitions!$H$2:$H$5001,A559)),""))</f>
        <v/>
      </c>
    </row>
    <row r="560" customFormat="false" ht="15" hidden="false" customHeight="false" outlineLevel="0" collapsed="false">
      <c r="A560" s="19"/>
      <c r="B560" s="19"/>
      <c r="C560" s="19"/>
      <c r="D560" s="19"/>
      <c r="E560" s="32"/>
      <c r="F560" s="19"/>
      <c r="G560" s="26" t="str">
        <f aca="false">IF(A560="","",COUNTIF(Pubs!$B$2:$B$3001,A560))</f>
        <v/>
      </c>
      <c r="H560" s="26" t="str">
        <f aca="false">IF(A560="","",COUNTIF(Apparitions!$H$2:$H$5001,A560))</f>
        <v/>
      </c>
      <c r="I560" s="26" t="str">
        <f aca="false">IF(A560="","",COUNTIFS(Apparitions!$H$2:$H$5001,A560,Apparitions!$E$2:$E$5001,"○"))</f>
        <v/>
      </c>
      <c r="J560" s="29" t="str">
        <f aca="false">IF(A560="","",IFERROR(1/(1/_xlfn.MINIFS(Apparitions!$L$2:$L$5001,Apparitions!$H$2:$H$5001,A560)),""))</f>
        <v/>
      </c>
    </row>
    <row r="561" customFormat="false" ht="15" hidden="false" customHeight="false" outlineLevel="0" collapsed="false">
      <c r="A561" s="19"/>
      <c r="B561" s="19"/>
      <c r="C561" s="19"/>
      <c r="D561" s="19"/>
      <c r="E561" s="32"/>
      <c r="F561" s="19"/>
      <c r="G561" s="26" t="str">
        <f aca="false">IF(A561="","",COUNTIF(Pubs!$B$2:$B$3001,A561))</f>
        <v/>
      </c>
      <c r="H561" s="26" t="str">
        <f aca="false">IF(A561="","",COUNTIF(Apparitions!$H$2:$H$5001,A561))</f>
        <v/>
      </c>
      <c r="I561" s="26" t="str">
        <f aca="false">IF(A561="","",COUNTIFS(Apparitions!$H$2:$H$5001,A561,Apparitions!$E$2:$E$5001,"○"))</f>
        <v/>
      </c>
      <c r="J561" s="29" t="str">
        <f aca="false">IF(A561="","",IFERROR(1/(1/_xlfn.MINIFS(Apparitions!$L$2:$L$5001,Apparitions!$H$2:$H$5001,A561)),""))</f>
        <v/>
      </c>
    </row>
    <row r="562" customFormat="false" ht="15" hidden="false" customHeight="false" outlineLevel="0" collapsed="false">
      <c r="A562" s="19"/>
      <c r="B562" s="19"/>
      <c r="C562" s="19"/>
      <c r="D562" s="19"/>
      <c r="E562" s="32"/>
      <c r="F562" s="19"/>
      <c r="G562" s="26" t="str">
        <f aca="false">IF(A562="","",COUNTIF(Pubs!$B$2:$B$3001,A562))</f>
        <v/>
      </c>
      <c r="H562" s="26" t="str">
        <f aca="false">IF(A562="","",COUNTIF(Apparitions!$H$2:$H$5001,A562))</f>
        <v/>
      </c>
      <c r="I562" s="26" t="str">
        <f aca="false">IF(A562="","",COUNTIFS(Apparitions!$H$2:$H$5001,A562,Apparitions!$E$2:$E$5001,"○"))</f>
        <v/>
      </c>
      <c r="J562" s="29" t="str">
        <f aca="false">IF(A562="","",IFERROR(1/(1/_xlfn.MINIFS(Apparitions!$L$2:$L$5001,Apparitions!$H$2:$H$5001,A562)),""))</f>
        <v/>
      </c>
    </row>
    <row r="563" customFormat="false" ht="15" hidden="false" customHeight="false" outlineLevel="0" collapsed="false">
      <c r="A563" s="19"/>
      <c r="B563" s="19"/>
      <c r="C563" s="19"/>
      <c r="D563" s="19"/>
      <c r="E563" s="32"/>
      <c r="F563" s="19"/>
      <c r="G563" s="26" t="str">
        <f aca="false">IF(A563="","",COUNTIF(Pubs!$B$2:$B$3001,A563))</f>
        <v/>
      </c>
      <c r="H563" s="26" t="str">
        <f aca="false">IF(A563="","",COUNTIF(Apparitions!$H$2:$H$5001,A563))</f>
        <v/>
      </c>
      <c r="I563" s="26" t="str">
        <f aca="false">IF(A563="","",COUNTIFS(Apparitions!$H$2:$H$5001,A563,Apparitions!$E$2:$E$5001,"○"))</f>
        <v/>
      </c>
      <c r="J563" s="29" t="str">
        <f aca="false">IF(A563="","",IFERROR(1/(1/_xlfn.MINIFS(Apparitions!$L$2:$L$5001,Apparitions!$H$2:$H$5001,A563)),""))</f>
        <v/>
      </c>
    </row>
    <row r="564" customFormat="false" ht="15" hidden="false" customHeight="false" outlineLevel="0" collapsed="false">
      <c r="A564" s="19"/>
      <c r="B564" s="19"/>
      <c r="C564" s="19"/>
      <c r="D564" s="19"/>
      <c r="E564" s="32"/>
      <c r="F564" s="19"/>
      <c r="G564" s="26" t="str">
        <f aca="false">IF(A564="","",COUNTIF(Pubs!$B$2:$B$3001,A564))</f>
        <v/>
      </c>
      <c r="H564" s="26" t="str">
        <f aca="false">IF(A564="","",COUNTIF(Apparitions!$H$2:$H$5001,A564))</f>
        <v/>
      </c>
      <c r="I564" s="26" t="str">
        <f aca="false">IF(A564="","",COUNTIFS(Apparitions!$H$2:$H$5001,A564,Apparitions!$E$2:$E$5001,"○"))</f>
        <v/>
      </c>
      <c r="J564" s="29" t="str">
        <f aca="false">IF(A564="","",IFERROR(1/(1/_xlfn.MINIFS(Apparitions!$L$2:$L$5001,Apparitions!$H$2:$H$5001,A564)),""))</f>
        <v/>
      </c>
    </row>
    <row r="565" customFormat="false" ht="15" hidden="false" customHeight="false" outlineLevel="0" collapsed="false">
      <c r="A565" s="19"/>
      <c r="B565" s="19"/>
      <c r="C565" s="19"/>
      <c r="D565" s="19"/>
      <c r="E565" s="32"/>
      <c r="F565" s="19"/>
      <c r="G565" s="26" t="str">
        <f aca="false">IF(A565="","",COUNTIF(Pubs!$B$2:$B$3001,A565))</f>
        <v/>
      </c>
      <c r="H565" s="26" t="str">
        <f aca="false">IF(A565="","",COUNTIF(Apparitions!$H$2:$H$5001,A565))</f>
        <v/>
      </c>
      <c r="I565" s="26" t="str">
        <f aca="false">IF(A565="","",COUNTIFS(Apparitions!$H$2:$H$5001,A565,Apparitions!$E$2:$E$5001,"○"))</f>
        <v/>
      </c>
      <c r="J565" s="29" t="str">
        <f aca="false">IF(A565="","",IFERROR(1/(1/_xlfn.MINIFS(Apparitions!$L$2:$L$5001,Apparitions!$H$2:$H$5001,A565)),""))</f>
        <v/>
      </c>
    </row>
    <row r="566" customFormat="false" ht="15" hidden="false" customHeight="false" outlineLevel="0" collapsed="false">
      <c r="A566" s="19"/>
      <c r="B566" s="19"/>
      <c r="C566" s="19"/>
      <c r="D566" s="19"/>
      <c r="E566" s="32"/>
      <c r="F566" s="19"/>
      <c r="G566" s="26" t="str">
        <f aca="false">IF(A566="","",COUNTIF(Pubs!$B$2:$B$3001,A566))</f>
        <v/>
      </c>
      <c r="H566" s="26" t="str">
        <f aca="false">IF(A566="","",COUNTIF(Apparitions!$H$2:$H$5001,A566))</f>
        <v/>
      </c>
      <c r="I566" s="26" t="str">
        <f aca="false">IF(A566="","",COUNTIFS(Apparitions!$H$2:$H$5001,A566,Apparitions!$E$2:$E$5001,"○"))</f>
        <v/>
      </c>
      <c r="J566" s="29" t="str">
        <f aca="false">IF(A566="","",IFERROR(1/(1/_xlfn.MINIFS(Apparitions!$L$2:$L$5001,Apparitions!$H$2:$H$5001,A566)),""))</f>
        <v/>
      </c>
    </row>
    <row r="567" customFormat="false" ht="15" hidden="false" customHeight="false" outlineLevel="0" collapsed="false">
      <c r="A567" s="19"/>
      <c r="B567" s="19"/>
      <c r="C567" s="19"/>
      <c r="D567" s="19"/>
      <c r="E567" s="32"/>
      <c r="F567" s="19"/>
      <c r="G567" s="26" t="str">
        <f aca="false">IF(A567="","",COUNTIF(Pubs!$B$2:$B$3001,A567))</f>
        <v/>
      </c>
      <c r="H567" s="26" t="str">
        <f aca="false">IF(A567="","",COUNTIF(Apparitions!$H$2:$H$5001,A567))</f>
        <v/>
      </c>
      <c r="I567" s="26" t="str">
        <f aca="false">IF(A567="","",COUNTIFS(Apparitions!$H$2:$H$5001,A567,Apparitions!$E$2:$E$5001,"○"))</f>
        <v/>
      </c>
      <c r="J567" s="29" t="str">
        <f aca="false">IF(A567="","",IFERROR(1/(1/_xlfn.MINIFS(Apparitions!$L$2:$L$5001,Apparitions!$H$2:$H$5001,A567)),""))</f>
        <v/>
      </c>
    </row>
    <row r="568" customFormat="false" ht="15" hidden="false" customHeight="false" outlineLevel="0" collapsed="false">
      <c r="A568" s="19"/>
      <c r="B568" s="19"/>
      <c r="C568" s="19"/>
      <c r="D568" s="19"/>
      <c r="E568" s="32"/>
      <c r="F568" s="19"/>
      <c r="G568" s="26" t="str">
        <f aca="false">IF(A568="","",COUNTIF(Pubs!$B$2:$B$3001,A568))</f>
        <v/>
      </c>
      <c r="H568" s="26" t="str">
        <f aca="false">IF(A568="","",COUNTIF(Apparitions!$H$2:$H$5001,A568))</f>
        <v/>
      </c>
      <c r="I568" s="26" t="str">
        <f aca="false">IF(A568="","",COUNTIFS(Apparitions!$H$2:$H$5001,A568,Apparitions!$E$2:$E$5001,"○"))</f>
        <v/>
      </c>
      <c r="J568" s="29" t="str">
        <f aca="false">IF(A568="","",IFERROR(1/(1/_xlfn.MINIFS(Apparitions!$L$2:$L$5001,Apparitions!$H$2:$H$5001,A568)),""))</f>
        <v/>
      </c>
    </row>
    <row r="569" customFormat="false" ht="15" hidden="false" customHeight="false" outlineLevel="0" collapsed="false">
      <c r="A569" s="19"/>
      <c r="B569" s="19"/>
      <c r="C569" s="19"/>
      <c r="D569" s="19"/>
      <c r="E569" s="32"/>
      <c r="F569" s="19"/>
      <c r="G569" s="26" t="str">
        <f aca="false">IF(A569="","",COUNTIF(Pubs!$B$2:$B$3001,A569))</f>
        <v/>
      </c>
      <c r="H569" s="26" t="str">
        <f aca="false">IF(A569="","",COUNTIF(Apparitions!$H$2:$H$5001,A569))</f>
        <v/>
      </c>
      <c r="I569" s="26" t="str">
        <f aca="false">IF(A569="","",COUNTIFS(Apparitions!$H$2:$H$5001,A569,Apparitions!$E$2:$E$5001,"○"))</f>
        <v/>
      </c>
      <c r="J569" s="29" t="str">
        <f aca="false">IF(A569="","",IFERROR(1/(1/_xlfn.MINIFS(Apparitions!$L$2:$L$5001,Apparitions!$H$2:$H$5001,A569)),""))</f>
        <v/>
      </c>
    </row>
    <row r="570" customFormat="false" ht="15" hidden="false" customHeight="false" outlineLevel="0" collapsed="false">
      <c r="A570" s="19"/>
      <c r="B570" s="19"/>
      <c r="C570" s="19"/>
      <c r="D570" s="19"/>
      <c r="E570" s="32"/>
      <c r="F570" s="19"/>
      <c r="G570" s="26" t="str">
        <f aca="false">IF(A570="","",COUNTIF(Pubs!$B$2:$B$3001,A570))</f>
        <v/>
      </c>
      <c r="H570" s="26" t="str">
        <f aca="false">IF(A570="","",COUNTIF(Apparitions!$H$2:$H$5001,A570))</f>
        <v/>
      </c>
      <c r="I570" s="26" t="str">
        <f aca="false">IF(A570="","",COUNTIFS(Apparitions!$H$2:$H$5001,A570,Apparitions!$E$2:$E$5001,"○"))</f>
        <v/>
      </c>
      <c r="J570" s="29" t="str">
        <f aca="false">IF(A570="","",IFERROR(1/(1/_xlfn.MINIFS(Apparitions!$L$2:$L$5001,Apparitions!$H$2:$H$5001,A570)),""))</f>
        <v/>
      </c>
    </row>
    <row r="571" customFormat="false" ht="15" hidden="false" customHeight="false" outlineLevel="0" collapsed="false">
      <c r="A571" s="19"/>
      <c r="B571" s="19"/>
      <c r="C571" s="19"/>
      <c r="D571" s="19"/>
      <c r="E571" s="32"/>
      <c r="F571" s="19"/>
      <c r="G571" s="26" t="str">
        <f aca="false">IF(A571="","",COUNTIF(Pubs!$B$2:$B$3001,A571))</f>
        <v/>
      </c>
      <c r="H571" s="26" t="str">
        <f aca="false">IF(A571="","",COUNTIF(Apparitions!$H$2:$H$5001,A571))</f>
        <v/>
      </c>
      <c r="I571" s="26" t="str">
        <f aca="false">IF(A571="","",COUNTIFS(Apparitions!$H$2:$H$5001,A571,Apparitions!$E$2:$E$5001,"○"))</f>
        <v/>
      </c>
      <c r="J571" s="29" t="str">
        <f aca="false">IF(A571="","",IFERROR(1/(1/_xlfn.MINIFS(Apparitions!$L$2:$L$5001,Apparitions!$H$2:$H$5001,A571)),""))</f>
        <v/>
      </c>
    </row>
    <row r="572" customFormat="false" ht="15" hidden="false" customHeight="false" outlineLevel="0" collapsed="false">
      <c r="A572" s="19"/>
      <c r="B572" s="19"/>
      <c r="C572" s="19"/>
      <c r="D572" s="19"/>
      <c r="E572" s="32"/>
      <c r="F572" s="19"/>
      <c r="G572" s="26" t="str">
        <f aca="false">IF(A572="","",COUNTIF(Pubs!$B$2:$B$3001,A572))</f>
        <v/>
      </c>
      <c r="H572" s="26" t="str">
        <f aca="false">IF(A572="","",COUNTIF(Apparitions!$H$2:$H$5001,A572))</f>
        <v/>
      </c>
      <c r="I572" s="26" t="str">
        <f aca="false">IF(A572="","",COUNTIFS(Apparitions!$H$2:$H$5001,A572,Apparitions!$E$2:$E$5001,"○"))</f>
        <v/>
      </c>
      <c r="J572" s="29" t="str">
        <f aca="false">IF(A572="","",IFERROR(1/(1/_xlfn.MINIFS(Apparitions!$L$2:$L$5001,Apparitions!$H$2:$H$5001,A572)),""))</f>
        <v/>
      </c>
    </row>
    <row r="573" customFormat="false" ht="15" hidden="false" customHeight="false" outlineLevel="0" collapsed="false">
      <c r="A573" s="19"/>
      <c r="B573" s="19"/>
      <c r="C573" s="19"/>
      <c r="D573" s="19"/>
      <c r="E573" s="32"/>
      <c r="F573" s="19"/>
      <c r="G573" s="26" t="str">
        <f aca="false">IF(A573="","",COUNTIF(Pubs!$B$2:$B$3001,A573))</f>
        <v/>
      </c>
      <c r="H573" s="26" t="str">
        <f aca="false">IF(A573="","",COUNTIF(Apparitions!$H$2:$H$5001,A573))</f>
        <v/>
      </c>
      <c r="I573" s="26" t="str">
        <f aca="false">IF(A573="","",COUNTIFS(Apparitions!$H$2:$H$5001,A573,Apparitions!$E$2:$E$5001,"○"))</f>
        <v/>
      </c>
      <c r="J573" s="29" t="str">
        <f aca="false">IF(A573="","",IFERROR(1/(1/_xlfn.MINIFS(Apparitions!$L$2:$L$5001,Apparitions!$H$2:$H$5001,A573)),""))</f>
        <v/>
      </c>
    </row>
    <row r="574" customFormat="false" ht="15" hidden="false" customHeight="false" outlineLevel="0" collapsed="false">
      <c r="A574" s="19"/>
      <c r="B574" s="19"/>
      <c r="C574" s="19"/>
      <c r="D574" s="19"/>
      <c r="E574" s="32"/>
      <c r="F574" s="19"/>
      <c r="G574" s="26" t="str">
        <f aca="false">IF(A574="","",COUNTIF(Pubs!$B$2:$B$3001,A574))</f>
        <v/>
      </c>
      <c r="H574" s="26" t="str">
        <f aca="false">IF(A574="","",COUNTIF(Apparitions!$H$2:$H$5001,A574))</f>
        <v/>
      </c>
      <c r="I574" s="26" t="str">
        <f aca="false">IF(A574="","",COUNTIFS(Apparitions!$H$2:$H$5001,A574,Apparitions!$E$2:$E$5001,"○"))</f>
        <v/>
      </c>
      <c r="J574" s="29" t="str">
        <f aca="false">IF(A574="","",IFERROR(1/(1/_xlfn.MINIFS(Apparitions!$L$2:$L$5001,Apparitions!$H$2:$H$5001,A574)),""))</f>
        <v/>
      </c>
    </row>
    <row r="575" customFormat="false" ht="15" hidden="false" customHeight="false" outlineLevel="0" collapsed="false">
      <c r="A575" s="19"/>
      <c r="B575" s="19"/>
      <c r="C575" s="19"/>
      <c r="D575" s="19"/>
      <c r="E575" s="32"/>
      <c r="F575" s="19"/>
      <c r="G575" s="26" t="str">
        <f aca="false">IF(A575="","",COUNTIF(Pubs!$B$2:$B$3001,A575))</f>
        <v/>
      </c>
      <c r="H575" s="26" t="str">
        <f aca="false">IF(A575="","",COUNTIF(Apparitions!$H$2:$H$5001,A575))</f>
        <v/>
      </c>
      <c r="I575" s="26" t="str">
        <f aca="false">IF(A575="","",COUNTIFS(Apparitions!$H$2:$H$5001,A575,Apparitions!$E$2:$E$5001,"○"))</f>
        <v/>
      </c>
      <c r="J575" s="29" t="str">
        <f aca="false">IF(A575="","",IFERROR(1/(1/_xlfn.MINIFS(Apparitions!$L$2:$L$5001,Apparitions!$H$2:$H$5001,A575)),""))</f>
        <v/>
      </c>
    </row>
    <row r="576" customFormat="false" ht="15" hidden="false" customHeight="false" outlineLevel="0" collapsed="false">
      <c r="A576" s="19"/>
      <c r="B576" s="19"/>
      <c r="C576" s="19"/>
      <c r="D576" s="19"/>
      <c r="E576" s="32"/>
      <c r="F576" s="19"/>
      <c r="G576" s="26" t="str">
        <f aca="false">IF(A576="","",COUNTIF(Pubs!$B$2:$B$3001,A576))</f>
        <v/>
      </c>
      <c r="H576" s="26" t="str">
        <f aca="false">IF(A576="","",COUNTIF(Apparitions!$H$2:$H$5001,A576))</f>
        <v/>
      </c>
      <c r="I576" s="26" t="str">
        <f aca="false">IF(A576="","",COUNTIFS(Apparitions!$H$2:$H$5001,A576,Apparitions!$E$2:$E$5001,"○"))</f>
        <v/>
      </c>
      <c r="J576" s="29" t="str">
        <f aca="false">IF(A576="","",IFERROR(1/(1/_xlfn.MINIFS(Apparitions!$L$2:$L$5001,Apparitions!$H$2:$H$5001,A576)),""))</f>
        <v/>
      </c>
    </row>
    <row r="577" customFormat="false" ht="15" hidden="false" customHeight="false" outlineLevel="0" collapsed="false">
      <c r="A577" s="19"/>
      <c r="B577" s="19"/>
      <c r="C577" s="19"/>
      <c r="D577" s="19"/>
      <c r="E577" s="32"/>
      <c r="F577" s="19"/>
      <c r="G577" s="26" t="str">
        <f aca="false">IF(A577="","",COUNTIF(Pubs!$B$2:$B$3001,A577))</f>
        <v/>
      </c>
      <c r="H577" s="26" t="str">
        <f aca="false">IF(A577="","",COUNTIF(Apparitions!$H$2:$H$5001,A577))</f>
        <v/>
      </c>
      <c r="I577" s="26" t="str">
        <f aca="false">IF(A577="","",COUNTIFS(Apparitions!$H$2:$H$5001,A577,Apparitions!$E$2:$E$5001,"○"))</f>
        <v/>
      </c>
      <c r="J577" s="29" t="str">
        <f aca="false">IF(A577="","",IFERROR(1/(1/_xlfn.MINIFS(Apparitions!$L$2:$L$5001,Apparitions!$H$2:$H$5001,A577)),""))</f>
        <v/>
      </c>
    </row>
    <row r="578" customFormat="false" ht="15" hidden="false" customHeight="false" outlineLevel="0" collapsed="false">
      <c r="A578" s="19"/>
      <c r="B578" s="19"/>
      <c r="C578" s="19"/>
      <c r="D578" s="19"/>
      <c r="E578" s="32"/>
      <c r="F578" s="19"/>
      <c r="G578" s="26" t="str">
        <f aca="false">IF(A578="","",COUNTIF(Pubs!$B$2:$B$3001,A578))</f>
        <v/>
      </c>
      <c r="H578" s="26" t="str">
        <f aca="false">IF(A578="","",COUNTIF(Apparitions!$H$2:$H$5001,A578))</f>
        <v/>
      </c>
      <c r="I578" s="26" t="str">
        <f aca="false">IF(A578="","",COUNTIFS(Apparitions!$H$2:$H$5001,A578,Apparitions!$E$2:$E$5001,"○"))</f>
        <v/>
      </c>
      <c r="J578" s="29" t="str">
        <f aca="false">IF(A578="","",IFERROR(1/(1/_xlfn.MINIFS(Apparitions!$L$2:$L$5001,Apparitions!$H$2:$H$5001,A578)),""))</f>
        <v/>
      </c>
    </row>
    <row r="579" customFormat="false" ht="15" hidden="false" customHeight="false" outlineLevel="0" collapsed="false">
      <c r="A579" s="19"/>
      <c r="B579" s="19"/>
      <c r="C579" s="19"/>
      <c r="D579" s="19"/>
      <c r="E579" s="32"/>
      <c r="F579" s="19"/>
      <c r="G579" s="26" t="str">
        <f aca="false">IF(A579="","",COUNTIF(Pubs!$B$2:$B$3001,A579))</f>
        <v/>
      </c>
      <c r="H579" s="26" t="str">
        <f aca="false">IF(A579="","",COUNTIF(Apparitions!$H$2:$H$5001,A579))</f>
        <v/>
      </c>
      <c r="I579" s="26" t="str">
        <f aca="false">IF(A579="","",COUNTIFS(Apparitions!$H$2:$H$5001,A579,Apparitions!$E$2:$E$5001,"○"))</f>
        <v/>
      </c>
      <c r="J579" s="29" t="str">
        <f aca="false">IF(A579="","",IFERROR(1/(1/_xlfn.MINIFS(Apparitions!$L$2:$L$5001,Apparitions!$H$2:$H$5001,A579)),""))</f>
        <v/>
      </c>
    </row>
    <row r="580" customFormat="false" ht="15" hidden="false" customHeight="false" outlineLevel="0" collapsed="false">
      <c r="A580" s="19"/>
      <c r="B580" s="19"/>
      <c r="C580" s="19"/>
      <c r="D580" s="19"/>
      <c r="E580" s="32"/>
      <c r="F580" s="19"/>
      <c r="G580" s="26" t="str">
        <f aca="false">IF(A580="","",COUNTIF(Pubs!$B$2:$B$3001,A580))</f>
        <v/>
      </c>
      <c r="H580" s="26" t="str">
        <f aca="false">IF(A580="","",COUNTIF(Apparitions!$H$2:$H$5001,A580))</f>
        <v/>
      </c>
      <c r="I580" s="26" t="str">
        <f aca="false">IF(A580="","",COUNTIFS(Apparitions!$H$2:$H$5001,A580,Apparitions!$E$2:$E$5001,"○"))</f>
        <v/>
      </c>
      <c r="J580" s="29" t="str">
        <f aca="false">IF(A580="","",IFERROR(1/(1/_xlfn.MINIFS(Apparitions!$L$2:$L$5001,Apparitions!$H$2:$H$5001,A580)),""))</f>
        <v/>
      </c>
    </row>
    <row r="581" customFormat="false" ht="15" hidden="false" customHeight="false" outlineLevel="0" collapsed="false">
      <c r="A581" s="19"/>
      <c r="B581" s="19"/>
      <c r="C581" s="19"/>
      <c r="D581" s="19"/>
      <c r="E581" s="32"/>
      <c r="F581" s="19"/>
      <c r="G581" s="26" t="str">
        <f aca="false">IF(A581="","",COUNTIF(Pubs!$B$2:$B$3001,A581))</f>
        <v/>
      </c>
      <c r="H581" s="26" t="str">
        <f aca="false">IF(A581="","",COUNTIF(Apparitions!$H$2:$H$5001,A581))</f>
        <v/>
      </c>
      <c r="I581" s="26" t="str">
        <f aca="false">IF(A581="","",COUNTIFS(Apparitions!$H$2:$H$5001,A581,Apparitions!$E$2:$E$5001,"○"))</f>
        <v/>
      </c>
      <c r="J581" s="29" t="str">
        <f aca="false">IF(A581="","",IFERROR(1/(1/_xlfn.MINIFS(Apparitions!$L$2:$L$5001,Apparitions!$H$2:$H$5001,A581)),""))</f>
        <v/>
      </c>
    </row>
    <row r="582" customFormat="false" ht="15" hidden="false" customHeight="false" outlineLevel="0" collapsed="false">
      <c r="A582" s="19"/>
      <c r="B582" s="19"/>
      <c r="C582" s="19"/>
      <c r="D582" s="19"/>
      <c r="E582" s="32"/>
      <c r="F582" s="19"/>
      <c r="G582" s="26" t="str">
        <f aca="false">IF(A582="","",COUNTIF(Pubs!$B$2:$B$3001,A582))</f>
        <v/>
      </c>
      <c r="H582" s="26" t="str">
        <f aca="false">IF(A582="","",COUNTIF(Apparitions!$H$2:$H$5001,A582))</f>
        <v/>
      </c>
      <c r="I582" s="26" t="str">
        <f aca="false">IF(A582="","",COUNTIFS(Apparitions!$H$2:$H$5001,A582,Apparitions!$E$2:$E$5001,"○"))</f>
        <v/>
      </c>
      <c r="J582" s="29" t="str">
        <f aca="false">IF(A582="","",IFERROR(1/(1/_xlfn.MINIFS(Apparitions!$L$2:$L$5001,Apparitions!$H$2:$H$5001,A582)),""))</f>
        <v/>
      </c>
    </row>
    <row r="583" customFormat="false" ht="15" hidden="false" customHeight="false" outlineLevel="0" collapsed="false">
      <c r="A583" s="19"/>
      <c r="B583" s="19"/>
      <c r="C583" s="19"/>
      <c r="D583" s="19"/>
      <c r="E583" s="32"/>
      <c r="F583" s="19"/>
      <c r="G583" s="26" t="str">
        <f aca="false">IF(A583="","",COUNTIF(Pubs!$B$2:$B$3001,A583))</f>
        <v/>
      </c>
      <c r="H583" s="26" t="str">
        <f aca="false">IF(A583="","",COUNTIF(Apparitions!$H$2:$H$5001,A583))</f>
        <v/>
      </c>
      <c r="I583" s="26" t="str">
        <f aca="false">IF(A583="","",COUNTIFS(Apparitions!$H$2:$H$5001,A583,Apparitions!$E$2:$E$5001,"○"))</f>
        <v/>
      </c>
      <c r="J583" s="29" t="str">
        <f aca="false">IF(A583="","",IFERROR(1/(1/_xlfn.MINIFS(Apparitions!$L$2:$L$5001,Apparitions!$H$2:$H$5001,A583)),""))</f>
        <v/>
      </c>
    </row>
    <row r="584" customFormat="false" ht="15" hidden="false" customHeight="false" outlineLevel="0" collapsed="false">
      <c r="A584" s="19"/>
      <c r="B584" s="19"/>
      <c r="C584" s="19"/>
      <c r="D584" s="19"/>
      <c r="E584" s="32"/>
      <c r="F584" s="19"/>
      <c r="G584" s="26" t="str">
        <f aca="false">IF(A584="","",COUNTIF(Pubs!$B$2:$B$3001,A584))</f>
        <v/>
      </c>
      <c r="H584" s="26" t="str">
        <f aca="false">IF(A584="","",COUNTIF(Apparitions!$H$2:$H$5001,A584))</f>
        <v/>
      </c>
      <c r="I584" s="26" t="str">
        <f aca="false">IF(A584="","",COUNTIFS(Apparitions!$H$2:$H$5001,A584,Apparitions!$E$2:$E$5001,"○"))</f>
        <v/>
      </c>
      <c r="J584" s="29" t="str">
        <f aca="false">IF(A584="","",IFERROR(1/(1/_xlfn.MINIFS(Apparitions!$L$2:$L$5001,Apparitions!$H$2:$H$5001,A584)),""))</f>
        <v/>
      </c>
    </row>
    <row r="585" customFormat="false" ht="15" hidden="false" customHeight="false" outlineLevel="0" collapsed="false">
      <c r="A585" s="19"/>
      <c r="B585" s="19"/>
      <c r="C585" s="19"/>
      <c r="D585" s="19"/>
      <c r="E585" s="32"/>
      <c r="F585" s="19"/>
      <c r="G585" s="26" t="str">
        <f aca="false">IF(A585="","",COUNTIF(Pubs!$B$2:$B$3001,A585))</f>
        <v/>
      </c>
      <c r="H585" s="26" t="str">
        <f aca="false">IF(A585="","",COUNTIF(Apparitions!$H$2:$H$5001,A585))</f>
        <v/>
      </c>
      <c r="I585" s="26" t="str">
        <f aca="false">IF(A585="","",COUNTIFS(Apparitions!$H$2:$H$5001,A585,Apparitions!$E$2:$E$5001,"○"))</f>
        <v/>
      </c>
      <c r="J585" s="29" t="str">
        <f aca="false">IF(A585="","",IFERROR(1/(1/_xlfn.MINIFS(Apparitions!$L$2:$L$5001,Apparitions!$H$2:$H$5001,A585)),""))</f>
        <v/>
      </c>
    </row>
    <row r="586" customFormat="false" ht="15" hidden="false" customHeight="false" outlineLevel="0" collapsed="false">
      <c r="A586" s="19"/>
      <c r="B586" s="19"/>
      <c r="C586" s="19"/>
      <c r="D586" s="19"/>
      <c r="E586" s="32"/>
      <c r="F586" s="19"/>
      <c r="G586" s="26" t="str">
        <f aca="false">IF(A586="","",COUNTIF(Pubs!$B$2:$B$3001,A586))</f>
        <v/>
      </c>
      <c r="H586" s="26" t="str">
        <f aca="false">IF(A586="","",COUNTIF(Apparitions!$H$2:$H$5001,A586))</f>
        <v/>
      </c>
      <c r="I586" s="26" t="str">
        <f aca="false">IF(A586="","",COUNTIFS(Apparitions!$H$2:$H$5001,A586,Apparitions!$E$2:$E$5001,"○"))</f>
        <v/>
      </c>
      <c r="J586" s="29" t="str">
        <f aca="false">IF(A586="","",IFERROR(1/(1/_xlfn.MINIFS(Apparitions!$L$2:$L$5001,Apparitions!$H$2:$H$5001,A586)),""))</f>
        <v/>
      </c>
    </row>
    <row r="587" customFormat="false" ht="15" hidden="false" customHeight="false" outlineLevel="0" collapsed="false">
      <c r="A587" s="19"/>
      <c r="B587" s="19"/>
      <c r="C587" s="19"/>
      <c r="D587" s="19"/>
      <c r="E587" s="32"/>
      <c r="F587" s="19"/>
      <c r="G587" s="26" t="str">
        <f aca="false">IF(A587="","",COUNTIF(Pubs!$B$2:$B$3001,A587))</f>
        <v/>
      </c>
      <c r="H587" s="26" t="str">
        <f aca="false">IF(A587="","",COUNTIF(Apparitions!$H$2:$H$5001,A587))</f>
        <v/>
      </c>
      <c r="I587" s="26" t="str">
        <f aca="false">IF(A587="","",COUNTIFS(Apparitions!$H$2:$H$5001,A587,Apparitions!$E$2:$E$5001,"○"))</f>
        <v/>
      </c>
      <c r="J587" s="29" t="str">
        <f aca="false">IF(A587="","",IFERROR(1/(1/_xlfn.MINIFS(Apparitions!$L$2:$L$5001,Apparitions!$H$2:$H$5001,A587)),""))</f>
        <v/>
      </c>
    </row>
    <row r="588" customFormat="false" ht="15" hidden="false" customHeight="false" outlineLevel="0" collapsed="false">
      <c r="A588" s="19"/>
      <c r="B588" s="19"/>
      <c r="C588" s="19"/>
      <c r="D588" s="19"/>
      <c r="E588" s="32"/>
      <c r="F588" s="19"/>
      <c r="G588" s="26" t="str">
        <f aca="false">IF(A588="","",COUNTIF(Pubs!$B$2:$B$3001,A588))</f>
        <v/>
      </c>
      <c r="H588" s="26" t="str">
        <f aca="false">IF(A588="","",COUNTIF(Apparitions!$H$2:$H$5001,A588))</f>
        <v/>
      </c>
      <c r="I588" s="26" t="str">
        <f aca="false">IF(A588="","",COUNTIFS(Apparitions!$H$2:$H$5001,A588,Apparitions!$E$2:$E$5001,"○"))</f>
        <v/>
      </c>
      <c r="J588" s="29" t="str">
        <f aca="false">IF(A588="","",IFERROR(1/(1/_xlfn.MINIFS(Apparitions!$L$2:$L$5001,Apparitions!$H$2:$H$5001,A588)),""))</f>
        <v/>
      </c>
    </row>
    <row r="589" customFormat="false" ht="15" hidden="false" customHeight="false" outlineLevel="0" collapsed="false">
      <c r="A589" s="19"/>
      <c r="B589" s="19"/>
      <c r="C589" s="19"/>
      <c r="D589" s="19"/>
      <c r="E589" s="32"/>
      <c r="F589" s="19"/>
      <c r="G589" s="26" t="str">
        <f aca="false">IF(A589="","",COUNTIF(Pubs!$B$2:$B$3001,A589))</f>
        <v/>
      </c>
      <c r="H589" s="26" t="str">
        <f aca="false">IF(A589="","",COUNTIF(Apparitions!$H$2:$H$5001,A589))</f>
        <v/>
      </c>
      <c r="I589" s="26" t="str">
        <f aca="false">IF(A589="","",COUNTIFS(Apparitions!$H$2:$H$5001,A589,Apparitions!$E$2:$E$5001,"○"))</f>
        <v/>
      </c>
      <c r="J589" s="29" t="str">
        <f aca="false">IF(A589="","",IFERROR(1/(1/_xlfn.MINIFS(Apparitions!$L$2:$L$5001,Apparitions!$H$2:$H$5001,A589)),""))</f>
        <v/>
      </c>
    </row>
    <row r="590" customFormat="false" ht="15" hidden="false" customHeight="false" outlineLevel="0" collapsed="false">
      <c r="A590" s="19"/>
      <c r="B590" s="19"/>
      <c r="C590" s="19"/>
      <c r="D590" s="19"/>
      <c r="E590" s="32"/>
      <c r="F590" s="19"/>
      <c r="G590" s="26" t="str">
        <f aca="false">IF(A590="","",COUNTIF(Pubs!$B$2:$B$3001,A590))</f>
        <v/>
      </c>
      <c r="H590" s="26" t="str">
        <f aca="false">IF(A590="","",COUNTIF(Apparitions!$H$2:$H$5001,A590))</f>
        <v/>
      </c>
      <c r="I590" s="26" t="str">
        <f aca="false">IF(A590="","",COUNTIFS(Apparitions!$H$2:$H$5001,A590,Apparitions!$E$2:$E$5001,"○"))</f>
        <v/>
      </c>
      <c r="J590" s="29" t="str">
        <f aca="false">IF(A590="","",IFERROR(1/(1/_xlfn.MINIFS(Apparitions!$L$2:$L$5001,Apparitions!$H$2:$H$5001,A590)),""))</f>
        <v/>
      </c>
    </row>
    <row r="591" customFormat="false" ht="15" hidden="false" customHeight="false" outlineLevel="0" collapsed="false">
      <c r="A591" s="19"/>
      <c r="B591" s="19"/>
      <c r="C591" s="19"/>
      <c r="D591" s="19"/>
      <c r="E591" s="32"/>
      <c r="F591" s="19"/>
      <c r="G591" s="26" t="str">
        <f aca="false">IF(A591="","",COUNTIF(Pubs!$B$2:$B$3001,A591))</f>
        <v/>
      </c>
      <c r="H591" s="26" t="str">
        <f aca="false">IF(A591="","",COUNTIF(Apparitions!$H$2:$H$5001,A591))</f>
        <v/>
      </c>
      <c r="I591" s="26" t="str">
        <f aca="false">IF(A591="","",COUNTIFS(Apparitions!$H$2:$H$5001,A591,Apparitions!$E$2:$E$5001,"○"))</f>
        <v/>
      </c>
      <c r="J591" s="29" t="str">
        <f aca="false">IF(A591="","",IFERROR(1/(1/_xlfn.MINIFS(Apparitions!$L$2:$L$5001,Apparitions!$H$2:$H$5001,A591)),""))</f>
        <v/>
      </c>
    </row>
    <row r="592" customFormat="false" ht="15" hidden="false" customHeight="false" outlineLevel="0" collapsed="false">
      <c r="A592" s="19"/>
      <c r="B592" s="19"/>
      <c r="C592" s="19"/>
      <c r="D592" s="19"/>
      <c r="E592" s="32"/>
      <c r="F592" s="19"/>
      <c r="G592" s="26" t="str">
        <f aca="false">IF(A592="","",COUNTIF(Pubs!$B$2:$B$3001,A592))</f>
        <v/>
      </c>
      <c r="H592" s="26" t="str">
        <f aca="false">IF(A592="","",COUNTIF(Apparitions!$H$2:$H$5001,A592))</f>
        <v/>
      </c>
      <c r="I592" s="26" t="str">
        <f aca="false">IF(A592="","",COUNTIFS(Apparitions!$H$2:$H$5001,A592,Apparitions!$E$2:$E$5001,"○"))</f>
        <v/>
      </c>
      <c r="J592" s="29" t="str">
        <f aca="false">IF(A592="","",IFERROR(1/(1/_xlfn.MINIFS(Apparitions!$L$2:$L$5001,Apparitions!$H$2:$H$5001,A592)),""))</f>
        <v/>
      </c>
    </row>
    <row r="593" customFormat="false" ht="15" hidden="false" customHeight="false" outlineLevel="0" collapsed="false">
      <c r="A593" s="19"/>
      <c r="B593" s="19"/>
      <c r="C593" s="19"/>
      <c r="D593" s="19"/>
      <c r="E593" s="32"/>
      <c r="F593" s="19"/>
      <c r="G593" s="26" t="str">
        <f aca="false">IF(A593="","",COUNTIF(Pubs!$B$2:$B$3001,A593))</f>
        <v/>
      </c>
      <c r="H593" s="26" t="str">
        <f aca="false">IF(A593="","",COUNTIF(Apparitions!$H$2:$H$5001,A593))</f>
        <v/>
      </c>
      <c r="I593" s="26" t="str">
        <f aca="false">IF(A593="","",COUNTIFS(Apparitions!$H$2:$H$5001,A593,Apparitions!$E$2:$E$5001,"○"))</f>
        <v/>
      </c>
      <c r="J593" s="29" t="str">
        <f aca="false">IF(A593="","",IFERROR(1/(1/_xlfn.MINIFS(Apparitions!$L$2:$L$5001,Apparitions!$H$2:$H$5001,A593)),""))</f>
        <v/>
      </c>
    </row>
    <row r="594" customFormat="false" ht="15" hidden="false" customHeight="false" outlineLevel="0" collapsed="false">
      <c r="A594" s="19"/>
      <c r="B594" s="19"/>
      <c r="C594" s="19"/>
      <c r="D594" s="19"/>
      <c r="E594" s="32"/>
      <c r="F594" s="19"/>
      <c r="G594" s="26" t="str">
        <f aca="false">IF(A594="","",COUNTIF(Pubs!$B$2:$B$3001,A594))</f>
        <v/>
      </c>
      <c r="H594" s="26" t="str">
        <f aca="false">IF(A594="","",COUNTIF(Apparitions!$H$2:$H$5001,A594))</f>
        <v/>
      </c>
      <c r="I594" s="26" t="str">
        <f aca="false">IF(A594="","",COUNTIFS(Apparitions!$H$2:$H$5001,A594,Apparitions!$E$2:$E$5001,"○"))</f>
        <v/>
      </c>
      <c r="J594" s="29" t="str">
        <f aca="false">IF(A594="","",IFERROR(1/(1/_xlfn.MINIFS(Apparitions!$L$2:$L$5001,Apparitions!$H$2:$H$5001,A594)),""))</f>
        <v/>
      </c>
    </row>
    <row r="595" customFormat="false" ht="15" hidden="false" customHeight="false" outlineLevel="0" collapsed="false">
      <c r="A595" s="19"/>
      <c r="B595" s="19"/>
      <c r="C595" s="19"/>
      <c r="D595" s="19"/>
      <c r="E595" s="32"/>
      <c r="F595" s="19"/>
      <c r="G595" s="26" t="str">
        <f aca="false">IF(A595="","",COUNTIF(Pubs!$B$2:$B$3001,A595))</f>
        <v/>
      </c>
      <c r="H595" s="26" t="str">
        <f aca="false">IF(A595="","",COUNTIF(Apparitions!$H$2:$H$5001,A595))</f>
        <v/>
      </c>
      <c r="I595" s="26" t="str">
        <f aca="false">IF(A595="","",COUNTIFS(Apparitions!$H$2:$H$5001,A595,Apparitions!$E$2:$E$5001,"○"))</f>
        <v/>
      </c>
      <c r="J595" s="29" t="str">
        <f aca="false">IF(A595="","",IFERROR(1/(1/_xlfn.MINIFS(Apparitions!$L$2:$L$5001,Apparitions!$H$2:$H$5001,A595)),""))</f>
        <v/>
      </c>
    </row>
    <row r="596" customFormat="false" ht="15" hidden="false" customHeight="false" outlineLevel="0" collapsed="false">
      <c r="A596" s="19"/>
      <c r="B596" s="19"/>
      <c r="C596" s="19"/>
      <c r="D596" s="19"/>
      <c r="E596" s="32"/>
      <c r="F596" s="19"/>
      <c r="G596" s="26" t="str">
        <f aca="false">IF(A596="","",COUNTIF(Pubs!$B$2:$B$3001,A596))</f>
        <v/>
      </c>
      <c r="H596" s="26" t="str">
        <f aca="false">IF(A596="","",COUNTIF(Apparitions!$H$2:$H$5001,A596))</f>
        <v/>
      </c>
      <c r="I596" s="26" t="str">
        <f aca="false">IF(A596="","",COUNTIFS(Apparitions!$H$2:$H$5001,A596,Apparitions!$E$2:$E$5001,"○"))</f>
        <v/>
      </c>
      <c r="J596" s="29" t="str">
        <f aca="false">IF(A596="","",IFERROR(1/(1/_xlfn.MINIFS(Apparitions!$L$2:$L$5001,Apparitions!$H$2:$H$5001,A596)),""))</f>
        <v/>
      </c>
    </row>
    <row r="597" customFormat="false" ht="15" hidden="false" customHeight="false" outlineLevel="0" collapsed="false">
      <c r="A597" s="19"/>
      <c r="B597" s="19"/>
      <c r="C597" s="19"/>
      <c r="D597" s="19"/>
      <c r="E597" s="32"/>
      <c r="F597" s="19"/>
      <c r="G597" s="26" t="str">
        <f aca="false">IF(A597="","",COUNTIF(Pubs!$B$2:$B$3001,A597))</f>
        <v/>
      </c>
      <c r="H597" s="26" t="str">
        <f aca="false">IF(A597="","",COUNTIF(Apparitions!$H$2:$H$5001,A597))</f>
        <v/>
      </c>
      <c r="I597" s="26" t="str">
        <f aca="false">IF(A597="","",COUNTIFS(Apparitions!$H$2:$H$5001,A597,Apparitions!$E$2:$E$5001,"○"))</f>
        <v/>
      </c>
      <c r="J597" s="29" t="str">
        <f aca="false">IF(A597="","",IFERROR(1/(1/_xlfn.MINIFS(Apparitions!$L$2:$L$5001,Apparitions!$H$2:$H$5001,A597)),""))</f>
        <v/>
      </c>
    </row>
    <row r="598" customFormat="false" ht="15" hidden="false" customHeight="false" outlineLevel="0" collapsed="false">
      <c r="A598" s="19"/>
      <c r="B598" s="19"/>
      <c r="C598" s="19"/>
      <c r="D598" s="19"/>
      <c r="E598" s="32"/>
      <c r="F598" s="19"/>
      <c r="G598" s="26" t="str">
        <f aca="false">IF(A598="","",COUNTIF(Pubs!$B$2:$B$3001,A598))</f>
        <v/>
      </c>
      <c r="H598" s="26" t="str">
        <f aca="false">IF(A598="","",COUNTIF(Apparitions!$H$2:$H$5001,A598))</f>
        <v/>
      </c>
      <c r="I598" s="26" t="str">
        <f aca="false">IF(A598="","",COUNTIFS(Apparitions!$H$2:$H$5001,A598,Apparitions!$E$2:$E$5001,"○"))</f>
        <v/>
      </c>
      <c r="J598" s="29" t="str">
        <f aca="false">IF(A598="","",IFERROR(1/(1/_xlfn.MINIFS(Apparitions!$L$2:$L$5001,Apparitions!$H$2:$H$5001,A598)),""))</f>
        <v/>
      </c>
    </row>
    <row r="599" customFormat="false" ht="15" hidden="false" customHeight="false" outlineLevel="0" collapsed="false">
      <c r="A599" s="19"/>
      <c r="B599" s="19"/>
      <c r="C599" s="19"/>
      <c r="D599" s="19"/>
      <c r="E599" s="32"/>
      <c r="F599" s="19"/>
      <c r="G599" s="26" t="str">
        <f aca="false">IF(A599="","",COUNTIF(Pubs!$B$2:$B$3001,A599))</f>
        <v/>
      </c>
      <c r="H599" s="26" t="str">
        <f aca="false">IF(A599="","",COUNTIF(Apparitions!$H$2:$H$5001,A599))</f>
        <v/>
      </c>
      <c r="I599" s="26" t="str">
        <f aca="false">IF(A599="","",COUNTIFS(Apparitions!$H$2:$H$5001,A599,Apparitions!$E$2:$E$5001,"○"))</f>
        <v/>
      </c>
      <c r="J599" s="29" t="str">
        <f aca="false">IF(A599="","",IFERROR(1/(1/_xlfn.MINIFS(Apparitions!$L$2:$L$5001,Apparitions!$H$2:$H$5001,A599)),""))</f>
        <v/>
      </c>
    </row>
    <row r="600" customFormat="false" ht="15" hidden="false" customHeight="false" outlineLevel="0" collapsed="false">
      <c r="A600" s="19"/>
      <c r="B600" s="19"/>
      <c r="C600" s="19"/>
      <c r="D600" s="19"/>
      <c r="E600" s="32"/>
      <c r="F600" s="19"/>
      <c r="G600" s="26" t="str">
        <f aca="false">IF(A600="","",COUNTIF(Pubs!$B$2:$B$3001,A600))</f>
        <v/>
      </c>
      <c r="H600" s="26" t="str">
        <f aca="false">IF(A600="","",COUNTIF(Apparitions!$H$2:$H$5001,A600))</f>
        <v/>
      </c>
      <c r="I600" s="26" t="str">
        <f aca="false">IF(A600="","",COUNTIFS(Apparitions!$H$2:$H$5001,A600,Apparitions!$E$2:$E$5001,"○"))</f>
        <v/>
      </c>
      <c r="J600" s="29" t="str">
        <f aca="false">IF(A600="","",IFERROR(1/(1/_xlfn.MINIFS(Apparitions!$L$2:$L$5001,Apparitions!$H$2:$H$5001,A600)),""))</f>
        <v/>
      </c>
    </row>
    <row r="601" customFormat="false" ht="15" hidden="false" customHeight="false" outlineLevel="0" collapsed="false">
      <c r="A601" s="19"/>
      <c r="B601" s="19"/>
      <c r="C601" s="19"/>
      <c r="D601" s="19"/>
      <c r="E601" s="32"/>
      <c r="F601" s="19"/>
      <c r="G601" s="26" t="str">
        <f aca="false">IF(A601="","",COUNTIF(Pubs!$B$2:$B$3001,A601))</f>
        <v/>
      </c>
      <c r="H601" s="26" t="str">
        <f aca="false">IF(A601="","",COUNTIF(Apparitions!$H$2:$H$5001,A601))</f>
        <v/>
      </c>
      <c r="I601" s="26" t="str">
        <f aca="false">IF(A601="","",COUNTIFS(Apparitions!$H$2:$H$5001,A601,Apparitions!$E$2:$E$5001,"○"))</f>
        <v/>
      </c>
      <c r="J601" s="29" t="str">
        <f aca="false">IF(A601="","",IFERROR(1/(1/_xlfn.MINIFS(Apparitions!$L$2:$L$5001,Apparitions!$H$2:$H$5001,A601)),""))</f>
        <v/>
      </c>
    </row>
    <row r="602" customFormat="false" ht="15" hidden="false" customHeight="false" outlineLevel="0" collapsed="false">
      <c r="A602" s="19"/>
      <c r="B602" s="19"/>
      <c r="C602" s="19"/>
      <c r="D602" s="19"/>
      <c r="E602" s="32"/>
      <c r="F602" s="19"/>
      <c r="G602" s="26" t="str">
        <f aca="false">IF(A602="","",COUNTIF(Pubs!$B$2:$B$3001,A602))</f>
        <v/>
      </c>
      <c r="H602" s="26" t="str">
        <f aca="false">IF(A602="","",COUNTIF(Apparitions!$H$2:$H$5001,A602))</f>
        <v/>
      </c>
      <c r="I602" s="26" t="str">
        <f aca="false">IF(A602="","",COUNTIFS(Apparitions!$H$2:$H$5001,A602,Apparitions!$E$2:$E$5001,"○"))</f>
        <v/>
      </c>
      <c r="J602" s="29" t="str">
        <f aca="false">IF(A602="","",IFERROR(1/(1/_xlfn.MINIFS(Apparitions!$L$2:$L$5001,Apparitions!$H$2:$H$5001,A602)),""))</f>
        <v/>
      </c>
    </row>
    <row r="603" customFormat="false" ht="15" hidden="false" customHeight="false" outlineLevel="0" collapsed="false">
      <c r="A603" s="19"/>
      <c r="B603" s="19"/>
      <c r="C603" s="19"/>
      <c r="D603" s="19"/>
      <c r="E603" s="32"/>
      <c r="F603" s="19"/>
      <c r="G603" s="26" t="str">
        <f aca="false">IF(A603="","",COUNTIF(Pubs!$B$2:$B$3001,A603))</f>
        <v/>
      </c>
      <c r="H603" s="26" t="str">
        <f aca="false">IF(A603="","",COUNTIF(Apparitions!$H$2:$H$5001,A603))</f>
        <v/>
      </c>
      <c r="I603" s="26" t="str">
        <f aca="false">IF(A603="","",COUNTIFS(Apparitions!$H$2:$H$5001,A603,Apparitions!$E$2:$E$5001,"○"))</f>
        <v/>
      </c>
      <c r="J603" s="29" t="str">
        <f aca="false">IF(A603="","",IFERROR(1/(1/_xlfn.MINIFS(Apparitions!$L$2:$L$5001,Apparitions!$H$2:$H$5001,A603)),""))</f>
        <v/>
      </c>
    </row>
    <row r="604" customFormat="false" ht="15" hidden="false" customHeight="false" outlineLevel="0" collapsed="false">
      <c r="A604" s="19"/>
      <c r="B604" s="19"/>
      <c r="C604" s="19"/>
      <c r="D604" s="19"/>
      <c r="E604" s="32"/>
      <c r="F604" s="19"/>
      <c r="G604" s="26" t="str">
        <f aca="false">IF(A604="","",COUNTIF(Pubs!$B$2:$B$3001,A604))</f>
        <v/>
      </c>
      <c r="H604" s="26" t="str">
        <f aca="false">IF(A604="","",COUNTIF(Apparitions!$H$2:$H$5001,A604))</f>
        <v/>
      </c>
      <c r="I604" s="26" t="str">
        <f aca="false">IF(A604="","",COUNTIFS(Apparitions!$H$2:$H$5001,A604,Apparitions!$E$2:$E$5001,"○"))</f>
        <v/>
      </c>
      <c r="J604" s="29" t="str">
        <f aca="false">IF(A604="","",IFERROR(1/(1/_xlfn.MINIFS(Apparitions!$L$2:$L$5001,Apparitions!$H$2:$H$5001,A604)),""))</f>
        <v/>
      </c>
    </row>
    <row r="605" customFormat="false" ht="15" hidden="false" customHeight="false" outlineLevel="0" collapsed="false">
      <c r="A605" s="19"/>
      <c r="B605" s="19"/>
      <c r="C605" s="19"/>
      <c r="D605" s="19"/>
      <c r="E605" s="32"/>
      <c r="F605" s="19"/>
      <c r="G605" s="26" t="str">
        <f aca="false">IF(A605="","",COUNTIF(Pubs!$B$2:$B$3001,A605))</f>
        <v/>
      </c>
      <c r="H605" s="26" t="str">
        <f aca="false">IF(A605="","",COUNTIF(Apparitions!$H$2:$H$5001,A605))</f>
        <v/>
      </c>
      <c r="I605" s="26" t="str">
        <f aca="false">IF(A605="","",COUNTIFS(Apparitions!$H$2:$H$5001,A605,Apparitions!$E$2:$E$5001,"○"))</f>
        <v/>
      </c>
      <c r="J605" s="29" t="str">
        <f aca="false">IF(A605="","",IFERROR(1/(1/_xlfn.MINIFS(Apparitions!$L$2:$L$5001,Apparitions!$H$2:$H$5001,A605)),""))</f>
        <v/>
      </c>
    </row>
    <row r="606" customFormat="false" ht="15" hidden="false" customHeight="false" outlineLevel="0" collapsed="false">
      <c r="A606" s="19"/>
      <c r="B606" s="19"/>
      <c r="C606" s="19"/>
      <c r="D606" s="19"/>
      <c r="E606" s="32"/>
      <c r="F606" s="19"/>
      <c r="G606" s="26" t="str">
        <f aca="false">IF(A606="","",COUNTIF(Pubs!$B$2:$B$3001,A606))</f>
        <v/>
      </c>
      <c r="H606" s="26" t="str">
        <f aca="false">IF(A606="","",COUNTIF(Apparitions!$H$2:$H$5001,A606))</f>
        <v/>
      </c>
      <c r="I606" s="26" t="str">
        <f aca="false">IF(A606="","",COUNTIFS(Apparitions!$H$2:$H$5001,A606,Apparitions!$E$2:$E$5001,"○"))</f>
        <v/>
      </c>
      <c r="J606" s="29" t="str">
        <f aca="false">IF(A606="","",IFERROR(1/(1/_xlfn.MINIFS(Apparitions!$L$2:$L$5001,Apparitions!$H$2:$H$5001,A606)),""))</f>
        <v/>
      </c>
    </row>
    <row r="607" customFormat="false" ht="15" hidden="false" customHeight="false" outlineLevel="0" collapsed="false">
      <c r="A607" s="19"/>
      <c r="B607" s="19"/>
      <c r="C607" s="19"/>
      <c r="D607" s="19"/>
      <c r="E607" s="32"/>
      <c r="F607" s="19"/>
      <c r="G607" s="26" t="str">
        <f aca="false">IF(A607="","",COUNTIF(Pubs!$B$2:$B$3001,A607))</f>
        <v/>
      </c>
      <c r="H607" s="26" t="str">
        <f aca="false">IF(A607="","",COUNTIF(Apparitions!$H$2:$H$5001,A607))</f>
        <v/>
      </c>
      <c r="I607" s="26" t="str">
        <f aca="false">IF(A607="","",COUNTIFS(Apparitions!$H$2:$H$5001,A607,Apparitions!$E$2:$E$5001,"○"))</f>
        <v/>
      </c>
      <c r="J607" s="29" t="str">
        <f aca="false">IF(A607="","",IFERROR(1/(1/_xlfn.MINIFS(Apparitions!$L$2:$L$5001,Apparitions!$H$2:$H$5001,A607)),""))</f>
        <v/>
      </c>
    </row>
    <row r="608" customFormat="false" ht="15" hidden="false" customHeight="false" outlineLevel="0" collapsed="false">
      <c r="A608" s="19"/>
      <c r="B608" s="19"/>
      <c r="C608" s="19"/>
      <c r="D608" s="19"/>
      <c r="E608" s="32"/>
      <c r="F608" s="19"/>
      <c r="G608" s="26" t="str">
        <f aca="false">IF(A608="","",COUNTIF(Pubs!$B$2:$B$3001,A608))</f>
        <v/>
      </c>
      <c r="H608" s="26" t="str">
        <f aca="false">IF(A608="","",COUNTIF(Apparitions!$H$2:$H$5001,A608))</f>
        <v/>
      </c>
      <c r="I608" s="26" t="str">
        <f aca="false">IF(A608="","",COUNTIFS(Apparitions!$H$2:$H$5001,A608,Apparitions!$E$2:$E$5001,"○"))</f>
        <v/>
      </c>
      <c r="J608" s="29" t="str">
        <f aca="false">IF(A608="","",IFERROR(1/(1/_xlfn.MINIFS(Apparitions!$L$2:$L$5001,Apparitions!$H$2:$H$5001,A608)),""))</f>
        <v/>
      </c>
    </row>
    <row r="609" customFormat="false" ht="15" hidden="false" customHeight="false" outlineLevel="0" collapsed="false">
      <c r="A609" s="19"/>
      <c r="B609" s="19"/>
      <c r="C609" s="19"/>
      <c r="D609" s="19"/>
      <c r="E609" s="32"/>
      <c r="F609" s="19"/>
      <c r="G609" s="26" t="str">
        <f aca="false">IF(A609="","",COUNTIF(Pubs!$B$2:$B$3001,A609))</f>
        <v/>
      </c>
      <c r="H609" s="26" t="str">
        <f aca="false">IF(A609="","",COUNTIF(Apparitions!$H$2:$H$5001,A609))</f>
        <v/>
      </c>
      <c r="I609" s="26" t="str">
        <f aca="false">IF(A609="","",COUNTIFS(Apparitions!$H$2:$H$5001,A609,Apparitions!$E$2:$E$5001,"○"))</f>
        <v/>
      </c>
      <c r="J609" s="29" t="str">
        <f aca="false">IF(A609="","",IFERROR(1/(1/_xlfn.MINIFS(Apparitions!$L$2:$L$5001,Apparitions!$H$2:$H$5001,A609)),""))</f>
        <v/>
      </c>
    </row>
    <row r="610" customFormat="false" ht="15" hidden="false" customHeight="false" outlineLevel="0" collapsed="false">
      <c r="A610" s="19"/>
      <c r="B610" s="19"/>
      <c r="C610" s="19"/>
      <c r="D610" s="19"/>
      <c r="E610" s="32"/>
      <c r="F610" s="19"/>
      <c r="G610" s="26" t="str">
        <f aca="false">IF(A610="","",COUNTIF(Pubs!$B$2:$B$3001,A610))</f>
        <v/>
      </c>
      <c r="H610" s="26" t="str">
        <f aca="false">IF(A610="","",COUNTIF(Apparitions!$H$2:$H$5001,A610))</f>
        <v/>
      </c>
      <c r="I610" s="26" t="str">
        <f aca="false">IF(A610="","",COUNTIFS(Apparitions!$H$2:$H$5001,A610,Apparitions!$E$2:$E$5001,"○"))</f>
        <v/>
      </c>
      <c r="J610" s="29" t="str">
        <f aca="false">IF(A610="","",IFERROR(1/(1/_xlfn.MINIFS(Apparitions!$L$2:$L$5001,Apparitions!$H$2:$H$5001,A610)),""))</f>
        <v/>
      </c>
    </row>
    <row r="611" customFormat="false" ht="15" hidden="false" customHeight="false" outlineLevel="0" collapsed="false">
      <c r="A611" s="19"/>
      <c r="B611" s="19"/>
      <c r="C611" s="19"/>
      <c r="D611" s="19"/>
      <c r="E611" s="32"/>
      <c r="F611" s="19"/>
      <c r="G611" s="26" t="str">
        <f aca="false">IF(A611="","",COUNTIF(Pubs!$B$2:$B$3001,A611))</f>
        <v/>
      </c>
      <c r="H611" s="26" t="str">
        <f aca="false">IF(A611="","",COUNTIF(Apparitions!$H$2:$H$5001,A611))</f>
        <v/>
      </c>
      <c r="I611" s="26" t="str">
        <f aca="false">IF(A611="","",COUNTIFS(Apparitions!$H$2:$H$5001,A611,Apparitions!$E$2:$E$5001,"○"))</f>
        <v/>
      </c>
      <c r="J611" s="29" t="str">
        <f aca="false">IF(A611="","",IFERROR(1/(1/_xlfn.MINIFS(Apparitions!$L$2:$L$5001,Apparitions!$H$2:$H$5001,A611)),""))</f>
        <v/>
      </c>
    </row>
    <row r="612" customFormat="false" ht="15" hidden="false" customHeight="false" outlineLevel="0" collapsed="false">
      <c r="A612" s="19"/>
      <c r="B612" s="19"/>
      <c r="C612" s="19"/>
      <c r="D612" s="19"/>
      <c r="E612" s="32"/>
      <c r="F612" s="19"/>
      <c r="G612" s="26" t="str">
        <f aca="false">IF(A612="","",COUNTIF(Pubs!$B$2:$B$3001,A612))</f>
        <v/>
      </c>
      <c r="H612" s="26" t="str">
        <f aca="false">IF(A612="","",COUNTIF(Apparitions!$H$2:$H$5001,A612))</f>
        <v/>
      </c>
      <c r="I612" s="26" t="str">
        <f aca="false">IF(A612="","",COUNTIFS(Apparitions!$H$2:$H$5001,A612,Apparitions!$E$2:$E$5001,"○"))</f>
        <v/>
      </c>
      <c r="J612" s="29" t="str">
        <f aca="false">IF(A612="","",IFERROR(1/(1/_xlfn.MINIFS(Apparitions!$L$2:$L$5001,Apparitions!$H$2:$H$5001,A612)),""))</f>
        <v/>
      </c>
    </row>
    <row r="613" customFormat="false" ht="15" hidden="false" customHeight="false" outlineLevel="0" collapsed="false">
      <c r="A613" s="19"/>
      <c r="B613" s="19"/>
      <c r="C613" s="19"/>
      <c r="D613" s="19"/>
      <c r="E613" s="32"/>
      <c r="F613" s="19"/>
      <c r="G613" s="26" t="str">
        <f aca="false">IF(A613="","",COUNTIF(Pubs!$B$2:$B$3001,A613))</f>
        <v/>
      </c>
      <c r="H613" s="26" t="str">
        <f aca="false">IF(A613="","",COUNTIF(Apparitions!$H$2:$H$5001,A613))</f>
        <v/>
      </c>
      <c r="I613" s="26" t="str">
        <f aca="false">IF(A613="","",COUNTIFS(Apparitions!$H$2:$H$5001,A613,Apparitions!$E$2:$E$5001,"○"))</f>
        <v/>
      </c>
      <c r="J613" s="29" t="str">
        <f aca="false">IF(A613="","",IFERROR(1/(1/_xlfn.MINIFS(Apparitions!$L$2:$L$5001,Apparitions!$H$2:$H$5001,A613)),""))</f>
        <v/>
      </c>
    </row>
    <row r="614" customFormat="false" ht="15" hidden="false" customHeight="false" outlineLevel="0" collapsed="false">
      <c r="A614" s="19"/>
      <c r="B614" s="19"/>
      <c r="C614" s="19"/>
      <c r="D614" s="19"/>
      <c r="E614" s="32"/>
      <c r="F614" s="19"/>
      <c r="G614" s="26" t="str">
        <f aca="false">IF(A614="","",COUNTIF(Pubs!$B$2:$B$3001,A614))</f>
        <v/>
      </c>
      <c r="H614" s="26" t="str">
        <f aca="false">IF(A614="","",COUNTIF(Apparitions!$H$2:$H$5001,A614))</f>
        <v/>
      </c>
      <c r="I614" s="26" t="str">
        <f aca="false">IF(A614="","",COUNTIFS(Apparitions!$H$2:$H$5001,A614,Apparitions!$E$2:$E$5001,"○"))</f>
        <v/>
      </c>
      <c r="J614" s="29" t="str">
        <f aca="false">IF(A614="","",IFERROR(1/(1/_xlfn.MINIFS(Apparitions!$L$2:$L$5001,Apparitions!$H$2:$H$5001,A614)),""))</f>
        <v/>
      </c>
    </row>
    <row r="615" customFormat="false" ht="15" hidden="false" customHeight="false" outlineLevel="0" collapsed="false">
      <c r="A615" s="19"/>
      <c r="B615" s="19"/>
      <c r="C615" s="19"/>
      <c r="D615" s="19"/>
      <c r="E615" s="32"/>
      <c r="F615" s="19"/>
      <c r="G615" s="26" t="str">
        <f aca="false">IF(A615="","",COUNTIF(Pubs!$B$2:$B$3001,A615))</f>
        <v/>
      </c>
      <c r="H615" s="26" t="str">
        <f aca="false">IF(A615="","",COUNTIF(Apparitions!$H$2:$H$5001,A615))</f>
        <v/>
      </c>
      <c r="I615" s="26" t="str">
        <f aca="false">IF(A615="","",COUNTIFS(Apparitions!$H$2:$H$5001,A615,Apparitions!$E$2:$E$5001,"○"))</f>
        <v/>
      </c>
      <c r="J615" s="29" t="str">
        <f aca="false">IF(A615="","",IFERROR(1/(1/_xlfn.MINIFS(Apparitions!$L$2:$L$5001,Apparitions!$H$2:$H$5001,A615)),""))</f>
        <v/>
      </c>
    </row>
    <row r="616" customFormat="false" ht="15" hidden="false" customHeight="false" outlineLevel="0" collapsed="false">
      <c r="A616" s="19"/>
      <c r="B616" s="19"/>
      <c r="C616" s="19"/>
      <c r="D616" s="19"/>
      <c r="E616" s="32"/>
      <c r="F616" s="19"/>
      <c r="G616" s="26" t="str">
        <f aca="false">IF(A616="","",COUNTIF(Pubs!$B$2:$B$3001,A616))</f>
        <v/>
      </c>
      <c r="H616" s="26" t="str">
        <f aca="false">IF(A616="","",COUNTIF(Apparitions!$H$2:$H$5001,A616))</f>
        <v/>
      </c>
      <c r="I616" s="26" t="str">
        <f aca="false">IF(A616="","",COUNTIFS(Apparitions!$H$2:$H$5001,A616,Apparitions!$E$2:$E$5001,"○"))</f>
        <v/>
      </c>
      <c r="J616" s="29" t="str">
        <f aca="false">IF(A616="","",IFERROR(1/(1/_xlfn.MINIFS(Apparitions!$L$2:$L$5001,Apparitions!$H$2:$H$5001,A616)),""))</f>
        <v/>
      </c>
    </row>
    <row r="617" customFormat="false" ht="15" hidden="false" customHeight="false" outlineLevel="0" collapsed="false">
      <c r="A617" s="19"/>
      <c r="B617" s="19"/>
      <c r="C617" s="19"/>
      <c r="D617" s="19"/>
      <c r="E617" s="32"/>
      <c r="F617" s="19"/>
      <c r="G617" s="26" t="str">
        <f aca="false">IF(A617="","",COUNTIF(Pubs!$B$2:$B$3001,A617))</f>
        <v/>
      </c>
      <c r="H617" s="26" t="str">
        <f aca="false">IF(A617="","",COUNTIF(Apparitions!$H$2:$H$5001,A617))</f>
        <v/>
      </c>
      <c r="I617" s="26" t="str">
        <f aca="false">IF(A617="","",COUNTIFS(Apparitions!$H$2:$H$5001,A617,Apparitions!$E$2:$E$5001,"○"))</f>
        <v/>
      </c>
      <c r="J617" s="29" t="str">
        <f aca="false">IF(A617="","",IFERROR(1/(1/_xlfn.MINIFS(Apparitions!$L$2:$L$5001,Apparitions!$H$2:$H$5001,A617)),""))</f>
        <v/>
      </c>
    </row>
    <row r="618" customFormat="false" ht="15" hidden="false" customHeight="false" outlineLevel="0" collapsed="false">
      <c r="A618" s="19"/>
      <c r="B618" s="19"/>
      <c r="C618" s="19"/>
      <c r="D618" s="19"/>
      <c r="E618" s="32"/>
      <c r="F618" s="19"/>
      <c r="G618" s="26" t="str">
        <f aca="false">IF(A618="","",COUNTIF(Pubs!$B$2:$B$3001,A618))</f>
        <v/>
      </c>
      <c r="H618" s="26" t="str">
        <f aca="false">IF(A618="","",COUNTIF(Apparitions!$H$2:$H$5001,A618))</f>
        <v/>
      </c>
      <c r="I618" s="26" t="str">
        <f aca="false">IF(A618="","",COUNTIFS(Apparitions!$H$2:$H$5001,A618,Apparitions!$E$2:$E$5001,"○"))</f>
        <v/>
      </c>
      <c r="J618" s="29" t="str">
        <f aca="false">IF(A618="","",IFERROR(1/(1/_xlfn.MINIFS(Apparitions!$L$2:$L$5001,Apparitions!$H$2:$H$5001,A618)),""))</f>
        <v/>
      </c>
    </row>
    <row r="619" customFormat="false" ht="15" hidden="false" customHeight="false" outlineLevel="0" collapsed="false">
      <c r="A619" s="19"/>
      <c r="B619" s="19"/>
      <c r="C619" s="19"/>
      <c r="D619" s="19"/>
      <c r="E619" s="32"/>
      <c r="F619" s="19"/>
      <c r="G619" s="26" t="str">
        <f aca="false">IF(A619="","",COUNTIF(Pubs!$B$2:$B$3001,A619))</f>
        <v/>
      </c>
      <c r="H619" s="26" t="str">
        <f aca="false">IF(A619="","",COUNTIF(Apparitions!$H$2:$H$5001,A619))</f>
        <v/>
      </c>
      <c r="I619" s="26" t="str">
        <f aca="false">IF(A619="","",COUNTIFS(Apparitions!$H$2:$H$5001,A619,Apparitions!$E$2:$E$5001,"○"))</f>
        <v/>
      </c>
      <c r="J619" s="29" t="str">
        <f aca="false">IF(A619="","",IFERROR(1/(1/_xlfn.MINIFS(Apparitions!$L$2:$L$5001,Apparitions!$H$2:$H$5001,A619)),""))</f>
        <v/>
      </c>
    </row>
    <row r="620" customFormat="false" ht="15" hidden="false" customHeight="false" outlineLevel="0" collapsed="false">
      <c r="A620" s="19"/>
      <c r="B620" s="19"/>
      <c r="C620" s="19"/>
      <c r="D620" s="19"/>
      <c r="E620" s="32"/>
      <c r="F620" s="19"/>
      <c r="G620" s="26" t="str">
        <f aca="false">IF(A620="","",COUNTIF(Pubs!$B$2:$B$3001,A620))</f>
        <v/>
      </c>
      <c r="H620" s="26" t="str">
        <f aca="false">IF(A620="","",COUNTIF(Apparitions!$H$2:$H$5001,A620))</f>
        <v/>
      </c>
      <c r="I620" s="26" t="str">
        <f aca="false">IF(A620="","",COUNTIFS(Apparitions!$H$2:$H$5001,A620,Apparitions!$E$2:$E$5001,"○"))</f>
        <v/>
      </c>
      <c r="J620" s="29" t="str">
        <f aca="false">IF(A620="","",IFERROR(1/(1/_xlfn.MINIFS(Apparitions!$L$2:$L$5001,Apparitions!$H$2:$H$5001,A620)),""))</f>
        <v/>
      </c>
    </row>
    <row r="621" customFormat="false" ht="15" hidden="false" customHeight="false" outlineLevel="0" collapsed="false">
      <c r="A621" s="19"/>
      <c r="B621" s="19"/>
      <c r="C621" s="19"/>
      <c r="D621" s="19"/>
      <c r="E621" s="32"/>
      <c r="F621" s="19"/>
      <c r="G621" s="26" t="str">
        <f aca="false">IF(A621="","",COUNTIF(Pubs!$B$2:$B$3001,A621))</f>
        <v/>
      </c>
      <c r="H621" s="26" t="str">
        <f aca="false">IF(A621="","",COUNTIF(Apparitions!$H$2:$H$5001,A621))</f>
        <v/>
      </c>
      <c r="I621" s="26" t="str">
        <f aca="false">IF(A621="","",COUNTIFS(Apparitions!$H$2:$H$5001,A621,Apparitions!$E$2:$E$5001,"○"))</f>
        <v/>
      </c>
      <c r="J621" s="29" t="str">
        <f aca="false">IF(A621="","",IFERROR(1/(1/_xlfn.MINIFS(Apparitions!$L$2:$L$5001,Apparitions!$H$2:$H$5001,A621)),""))</f>
        <v/>
      </c>
    </row>
    <row r="622" customFormat="false" ht="15" hidden="false" customHeight="false" outlineLevel="0" collapsed="false">
      <c r="A622" s="19"/>
      <c r="B622" s="19"/>
      <c r="C622" s="19"/>
      <c r="D622" s="19"/>
      <c r="E622" s="32"/>
      <c r="F622" s="19"/>
      <c r="G622" s="26" t="str">
        <f aca="false">IF(A622="","",COUNTIF(Pubs!$B$2:$B$3001,A622))</f>
        <v/>
      </c>
      <c r="H622" s="26" t="str">
        <f aca="false">IF(A622="","",COUNTIF(Apparitions!$H$2:$H$5001,A622))</f>
        <v/>
      </c>
      <c r="I622" s="26" t="str">
        <f aca="false">IF(A622="","",COUNTIFS(Apparitions!$H$2:$H$5001,A622,Apparitions!$E$2:$E$5001,"○"))</f>
        <v/>
      </c>
      <c r="J622" s="29" t="str">
        <f aca="false">IF(A622="","",IFERROR(1/(1/_xlfn.MINIFS(Apparitions!$L$2:$L$5001,Apparitions!$H$2:$H$5001,A622)),""))</f>
        <v/>
      </c>
    </row>
    <row r="623" customFormat="false" ht="15" hidden="false" customHeight="false" outlineLevel="0" collapsed="false">
      <c r="A623" s="19"/>
      <c r="B623" s="19"/>
      <c r="C623" s="19"/>
      <c r="D623" s="19"/>
      <c r="E623" s="32"/>
      <c r="F623" s="19"/>
      <c r="G623" s="26" t="str">
        <f aca="false">IF(A623="","",COUNTIF(Pubs!$B$2:$B$3001,A623))</f>
        <v/>
      </c>
      <c r="H623" s="26" t="str">
        <f aca="false">IF(A623="","",COUNTIF(Apparitions!$H$2:$H$5001,A623))</f>
        <v/>
      </c>
      <c r="I623" s="26" t="str">
        <f aca="false">IF(A623="","",COUNTIFS(Apparitions!$H$2:$H$5001,A623,Apparitions!$E$2:$E$5001,"○"))</f>
        <v/>
      </c>
      <c r="J623" s="29" t="str">
        <f aca="false">IF(A623="","",IFERROR(1/(1/_xlfn.MINIFS(Apparitions!$L$2:$L$5001,Apparitions!$H$2:$H$5001,A623)),""))</f>
        <v/>
      </c>
    </row>
    <row r="624" customFormat="false" ht="15" hidden="false" customHeight="false" outlineLevel="0" collapsed="false">
      <c r="A624" s="19"/>
      <c r="B624" s="19"/>
      <c r="C624" s="19"/>
      <c r="D624" s="19"/>
      <c r="E624" s="32"/>
      <c r="F624" s="19"/>
      <c r="G624" s="26" t="str">
        <f aca="false">IF(A624="","",COUNTIF(Pubs!$B$2:$B$3001,A624))</f>
        <v/>
      </c>
      <c r="H624" s="26" t="str">
        <f aca="false">IF(A624="","",COUNTIF(Apparitions!$H$2:$H$5001,A624))</f>
        <v/>
      </c>
      <c r="I624" s="26" t="str">
        <f aca="false">IF(A624="","",COUNTIFS(Apparitions!$H$2:$H$5001,A624,Apparitions!$E$2:$E$5001,"○"))</f>
        <v/>
      </c>
      <c r="J624" s="29" t="str">
        <f aca="false">IF(A624="","",IFERROR(1/(1/_xlfn.MINIFS(Apparitions!$L$2:$L$5001,Apparitions!$H$2:$H$5001,A624)),""))</f>
        <v/>
      </c>
    </row>
    <row r="625" customFormat="false" ht="15" hidden="false" customHeight="false" outlineLevel="0" collapsed="false">
      <c r="A625" s="19"/>
      <c r="B625" s="19"/>
      <c r="C625" s="19"/>
      <c r="D625" s="19"/>
      <c r="E625" s="32"/>
      <c r="F625" s="19"/>
      <c r="G625" s="26" t="str">
        <f aca="false">IF(A625="","",COUNTIF(Pubs!$B$2:$B$3001,A625))</f>
        <v/>
      </c>
      <c r="H625" s="26" t="str">
        <f aca="false">IF(A625="","",COUNTIF(Apparitions!$H$2:$H$5001,A625))</f>
        <v/>
      </c>
      <c r="I625" s="26" t="str">
        <f aca="false">IF(A625="","",COUNTIFS(Apparitions!$H$2:$H$5001,A625,Apparitions!$E$2:$E$5001,"○"))</f>
        <v/>
      </c>
      <c r="J625" s="29" t="str">
        <f aca="false">IF(A625="","",IFERROR(1/(1/_xlfn.MINIFS(Apparitions!$L$2:$L$5001,Apparitions!$H$2:$H$5001,A625)),""))</f>
        <v/>
      </c>
    </row>
    <row r="626" customFormat="false" ht="15" hidden="false" customHeight="false" outlineLevel="0" collapsed="false">
      <c r="A626" s="19"/>
      <c r="B626" s="19"/>
      <c r="C626" s="19"/>
      <c r="D626" s="19"/>
      <c r="E626" s="32"/>
      <c r="F626" s="19"/>
      <c r="G626" s="26" t="str">
        <f aca="false">IF(A626="","",COUNTIF(Pubs!$B$2:$B$3001,A626))</f>
        <v/>
      </c>
      <c r="H626" s="26" t="str">
        <f aca="false">IF(A626="","",COUNTIF(Apparitions!$H$2:$H$5001,A626))</f>
        <v/>
      </c>
      <c r="I626" s="26" t="str">
        <f aca="false">IF(A626="","",COUNTIFS(Apparitions!$H$2:$H$5001,A626,Apparitions!$E$2:$E$5001,"○"))</f>
        <v/>
      </c>
      <c r="J626" s="29" t="str">
        <f aca="false">IF(A626="","",IFERROR(1/(1/_xlfn.MINIFS(Apparitions!$L$2:$L$5001,Apparitions!$H$2:$H$5001,A626)),""))</f>
        <v/>
      </c>
    </row>
    <row r="627" customFormat="false" ht="15" hidden="false" customHeight="false" outlineLevel="0" collapsed="false">
      <c r="A627" s="19"/>
      <c r="B627" s="19"/>
      <c r="C627" s="19"/>
      <c r="D627" s="19"/>
      <c r="E627" s="32"/>
      <c r="F627" s="19"/>
      <c r="G627" s="26" t="str">
        <f aca="false">IF(A627="","",COUNTIF(Pubs!$B$2:$B$3001,A627))</f>
        <v/>
      </c>
      <c r="H627" s="26" t="str">
        <f aca="false">IF(A627="","",COUNTIF(Apparitions!$H$2:$H$5001,A627))</f>
        <v/>
      </c>
      <c r="I627" s="26" t="str">
        <f aca="false">IF(A627="","",COUNTIFS(Apparitions!$H$2:$H$5001,A627,Apparitions!$E$2:$E$5001,"○"))</f>
        <v/>
      </c>
      <c r="J627" s="29" t="str">
        <f aca="false">IF(A627="","",IFERROR(1/(1/_xlfn.MINIFS(Apparitions!$L$2:$L$5001,Apparitions!$H$2:$H$5001,A627)),""))</f>
        <v/>
      </c>
    </row>
    <row r="628" customFormat="false" ht="15" hidden="false" customHeight="false" outlineLevel="0" collapsed="false">
      <c r="A628" s="19"/>
      <c r="B628" s="19"/>
      <c r="C628" s="19"/>
      <c r="D628" s="19"/>
      <c r="E628" s="32"/>
      <c r="F628" s="19"/>
      <c r="G628" s="26" t="str">
        <f aca="false">IF(A628="","",COUNTIF(Pubs!$B$2:$B$3001,A628))</f>
        <v/>
      </c>
      <c r="H628" s="26" t="str">
        <f aca="false">IF(A628="","",COUNTIF(Apparitions!$H$2:$H$5001,A628))</f>
        <v/>
      </c>
      <c r="I628" s="26" t="str">
        <f aca="false">IF(A628="","",COUNTIFS(Apparitions!$H$2:$H$5001,A628,Apparitions!$E$2:$E$5001,"○"))</f>
        <v/>
      </c>
      <c r="J628" s="29" t="str">
        <f aca="false">IF(A628="","",IFERROR(1/(1/_xlfn.MINIFS(Apparitions!$L$2:$L$5001,Apparitions!$H$2:$H$5001,A628)),""))</f>
        <v/>
      </c>
    </row>
    <row r="629" customFormat="false" ht="15" hidden="false" customHeight="false" outlineLevel="0" collapsed="false">
      <c r="A629" s="19"/>
      <c r="B629" s="19"/>
      <c r="C629" s="19"/>
      <c r="D629" s="19"/>
      <c r="E629" s="32"/>
      <c r="F629" s="19"/>
      <c r="G629" s="26" t="str">
        <f aca="false">IF(A629="","",COUNTIF(Pubs!$B$2:$B$3001,A629))</f>
        <v/>
      </c>
      <c r="H629" s="26" t="str">
        <f aca="false">IF(A629="","",COUNTIF(Apparitions!$H$2:$H$5001,A629))</f>
        <v/>
      </c>
      <c r="I629" s="26" t="str">
        <f aca="false">IF(A629="","",COUNTIFS(Apparitions!$H$2:$H$5001,A629,Apparitions!$E$2:$E$5001,"○"))</f>
        <v/>
      </c>
      <c r="J629" s="29" t="str">
        <f aca="false">IF(A629="","",IFERROR(1/(1/_xlfn.MINIFS(Apparitions!$L$2:$L$5001,Apparitions!$H$2:$H$5001,A629)),""))</f>
        <v/>
      </c>
    </row>
    <row r="630" customFormat="false" ht="15" hidden="false" customHeight="false" outlineLevel="0" collapsed="false">
      <c r="A630" s="19"/>
      <c r="B630" s="19"/>
      <c r="C630" s="19"/>
      <c r="D630" s="19"/>
      <c r="E630" s="32"/>
      <c r="F630" s="19"/>
      <c r="G630" s="26" t="str">
        <f aca="false">IF(A630="","",COUNTIF(Pubs!$B$2:$B$3001,A630))</f>
        <v/>
      </c>
      <c r="H630" s="26" t="str">
        <f aca="false">IF(A630="","",COUNTIF(Apparitions!$H$2:$H$5001,A630))</f>
        <v/>
      </c>
      <c r="I630" s="26" t="str">
        <f aca="false">IF(A630="","",COUNTIFS(Apparitions!$H$2:$H$5001,A630,Apparitions!$E$2:$E$5001,"○"))</f>
        <v/>
      </c>
      <c r="J630" s="29" t="str">
        <f aca="false">IF(A630="","",IFERROR(1/(1/_xlfn.MINIFS(Apparitions!$L$2:$L$5001,Apparitions!$H$2:$H$5001,A630)),""))</f>
        <v/>
      </c>
    </row>
    <row r="631" customFormat="false" ht="15" hidden="false" customHeight="false" outlineLevel="0" collapsed="false">
      <c r="A631" s="19"/>
      <c r="B631" s="19"/>
      <c r="C631" s="19"/>
      <c r="D631" s="19"/>
      <c r="E631" s="32"/>
      <c r="F631" s="19"/>
      <c r="G631" s="26" t="str">
        <f aca="false">IF(A631="","",COUNTIF(Pubs!$B$2:$B$3001,A631))</f>
        <v/>
      </c>
      <c r="H631" s="26" t="str">
        <f aca="false">IF(A631="","",COUNTIF(Apparitions!$H$2:$H$5001,A631))</f>
        <v/>
      </c>
      <c r="I631" s="26" t="str">
        <f aca="false">IF(A631="","",COUNTIFS(Apparitions!$H$2:$H$5001,A631,Apparitions!$E$2:$E$5001,"○"))</f>
        <v/>
      </c>
      <c r="J631" s="29" t="str">
        <f aca="false">IF(A631="","",IFERROR(1/(1/_xlfn.MINIFS(Apparitions!$L$2:$L$5001,Apparitions!$H$2:$H$5001,A631)),""))</f>
        <v/>
      </c>
    </row>
    <row r="632" customFormat="false" ht="15" hidden="false" customHeight="false" outlineLevel="0" collapsed="false">
      <c r="A632" s="19"/>
      <c r="B632" s="19"/>
      <c r="C632" s="19"/>
      <c r="D632" s="19"/>
      <c r="E632" s="32"/>
      <c r="F632" s="19"/>
      <c r="G632" s="26" t="str">
        <f aca="false">IF(A632="","",COUNTIF(Pubs!$B$2:$B$3001,A632))</f>
        <v/>
      </c>
      <c r="H632" s="26" t="str">
        <f aca="false">IF(A632="","",COUNTIF(Apparitions!$H$2:$H$5001,A632))</f>
        <v/>
      </c>
      <c r="I632" s="26" t="str">
        <f aca="false">IF(A632="","",COUNTIFS(Apparitions!$H$2:$H$5001,A632,Apparitions!$E$2:$E$5001,"○"))</f>
        <v/>
      </c>
      <c r="J632" s="29" t="str">
        <f aca="false">IF(A632="","",IFERROR(1/(1/_xlfn.MINIFS(Apparitions!$L$2:$L$5001,Apparitions!$H$2:$H$5001,A632)),""))</f>
        <v/>
      </c>
    </row>
    <row r="633" customFormat="false" ht="15" hidden="false" customHeight="false" outlineLevel="0" collapsed="false">
      <c r="A633" s="19"/>
      <c r="B633" s="19"/>
      <c r="C633" s="19"/>
      <c r="D633" s="19"/>
      <c r="E633" s="32"/>
      <c r="F633" s="19"/>
      <c r="G633" s="26" t="str">
        <f aca="false">IF(A633="","",COUNTIF(Pubs!$B$2:$B$3001,A633))</f>
        <v/>
      </c>
      <c r="H633" s="26" t="str">
        <f aca="false">IF(A633="","",COUNTIF(Apparitions!$H$2:$H$5001,A633))</f>
        <v/>
      </c>
      <c r="I633" s="26" t="str">
        <f aca="false">IF(A633="","",COUNTIFS(Apparitions!$H$2:$H$5001,A633,Apparitions!$E$2:$E$5001,"○"))</f>
        <v/>
      </c>
      <c r="J633" s="29" t="str">
        <f aca="false">IF(A633="","",IFERROR(1/(1/_xlfn.MINIFS(Apparitions!$L$2:$L$5001,Apparitions!$H$2:$H$5001,A633)),""))</f>
        <v/>
      </c>
    </row>
    <row r="634" customFormat="false" ht="15" hidden="false" customHeight="false" outlineLevel="0" collapsed="false">
      <c r="A634" s="19"/>
      <c r="B634" s="19"/>
      <c r="C634" s="19"/>
      <c r="D634" s="19"/>
      <c r="E634" s="32"/>
      <c r="F634" s="19"/>
      <c r="G634" s="26" t="str">
        <f aca="false">IF(A634="","",COUNTIF(Pubs!$B$2:$B$3001,A634))</f>
        <v/>
      </c>
      <c r="H634" s="26" t="str">
        <f aca="false">IF(A634="","",COUNTIF(Apparitions!$H$2:$H$5001,A634))</f>
        <v/>
      </c>
      <c r="I634" s="26" t="str">
        <f aca="false">IF(A634="","",COUNTIFS(Apparitions!$H$2:$H$5001,A634,Apparitions!$E$2:$E$5001,"○"))</f>
        <v/>
      </c>
      <c r="J634" s="29" t="str">
        <f aca="false">IF(A634="","",IFERROR(1/(1/_xlfn.MINIFS(Apparitions!$L$2:$L$5001,Apparitions!$H$2:$H$5001,A634)),""))</f>
        <v/>
      </c>
    </row>
    <row r="635" customFormat="false" ht="15" hidden="false" customHeight="false" outlineLevel="0" collapsed="false">
      <c r="A635" s="19"/>
      <c r="B635" s="19"/>
      <c r="C635" s="19"/>
      <c r="D635" s="19"/>
      <c r="E635" s="32"/>
      <c r="F635" s="19"/>
      <c r="G635" s="26" t="str">
        <f aca="false">IF(A635="","",COUNTIF(Pubs!$B$2:$B$3001,A635))</f>
        <v/>
      </c>
      <c r="H635" s="26" t="str">
        <f aca="false">IF(A635="","",COUNTIF(Apparitions!$H$2:$H$5001,A635))</f>
        <v/>
      </c>
      <c r="I635" s="26" t="str">
        <f aca="false">IF(A635="","",COUNTIFS(Apparitions!$H$2:$H$5001,A635,Apparitions!$E$2:$E$5001,"○"))</f>
        <v/>
      </c>
      <c r="J635" s="29" t="str">
        <f aca="false">IF(A635="","",IFERROR(1/(1/_xlfn.MINIFS(Apparitions!$L$2:$L$5001,Apparitions!$H$2:$H$5001,A635)),""))</f>
        <v/>
      </c>
    </row>
    <row r="636" customFormat="false" ht="15" hidden="false" customHeight="false" outlineLevel="0" collapsed="false">
      <c r="A636" s="19"/>
      <c r="B636" s="19"/>
      <c r="C636" s="19"/>
      <c r="D636" s="19"/>
      <c r="E636" s="32"/>
      <c r="F636" s="19"/>
      <c r="G636" s="26" t="str">
        <f aca="false">IF(A636="","",COUNTIF(Pubs!$B$2:$B$3001,A636))</f>
        <v/>
      </c>
      <c r="H636" s="26" t="str">
        <f aca="false">IF(A636="","",COUNTIF(Apparitions!$H$2:$H$5001,A636))</f>
        <v/>
      </c>
      <c r="I636" s="26" t="str">
        <f aca="false">IF(A636="","",COUNTIFS(Apparitions!$H$2:$H$5001,A636,Apparitions!$E$2:$E$5001,"○"))</f>
        <v/>
      </c>
      <c r="J636" s="29" t="str">
        <f aca="false">IF(A636="","",IFERROR(1/(1/_xlfn.MINIFS(Apparitions!$L$2:$L$5001,Apparitions!$H$2:$H$5001,A636)),""))</f>
        <v/>
      </c>
    </row>
    <row r="637" customFormat="false" ht="15" hidden="false" customHeight="false" outlineLevel="0" collapsed="false">
      <c r="A637" s="19"/>
      <c r="B637" s="19"/>
      <c r="C637" s="19"/>
      <c r="D637" s="19"/>
      <c r="E637" s="32"/>
      <c r="F637" s="19"/>
      <c r="G637" s="26" t="str">
        <f aca="false">IF(A637="","",COUNTIF(Pubs!$B$2:$B$3001,A637))</f>
        <v/>
      </c>
      <c r="H637" s="26" t="str">
        <f aca="false">IF(A637="","",COUNTIF(Apparitions!$H$2:$H$5001,A637))</f>
        <v/>
      </c>
      <c r="I637" s="26" t="str">
        <f aca="false">IF(A637="","",COUNTIFS(Apparitions!$H$2:$H$5001,A637,Apparitions!$E$2:$E$5001,"○"))</f>
        <v/>
      </c>
      <c r="J637" s="29" t="str">
        <f aca="false">IF(A637="","",IFERROR(1/(1/_xlfn.MINIFS(Apparitions!$L$2:$L$5001,Apparitions!$H$2:$H$5001,A637)),""))</f>
        <v/>
      </c>
    </row>
    <row r="638" customFormat="false" ht="15" hidden="false" customHeight="false" outlineLevel="0" collapsed="false">
      <c r="A638" s="19"/>
      <c r="B638" s="19"/>
      <c r="C638" s="19"/>
      <c r="D638" s="19"/>
      <c r="E638" s="32"/>
      <c r="F638" s="19"/>
      <c r="G638" s="26" t="str">
        <f aca="false">IF(A638="","",COUNTIF(Pubs!$B$2:$B$3001,A638))</f>
        <v/>
      </c>
      <c r="H638" s="26" t="str">
        <f aca="false">IF(A638="","",COUNTIF(Apparitions!$H$2:$H$5001,A638))</f>
        <v/>
      </c>
      <c r="I638" s="26" t="str">
        <f aca="false">IF(A638="","",COUNTIFS(Apparitions!$H$2:$H$5001,A638,Apparitions!$E$2:$E$5001,"○"))</f>
        <v/>
      </c>
      <c r="J638" s="29" t="str">
        <f aca="false">IF(A638="","",IFERROR(1/(1/_xlfn.MINIFS(Apparitions!$L$2:$L$5001,Apparitions!$H$2:$H$5001,A638)),""))</f>
        <v/>
      </c>
    </row>
    <row r="639" customFormat="false" ht="15" hidden="false" customHeight="false" outlineLevel="0" collapsed="false">
      <c r="A639" s="19"/>
      <c r="B639" s="19"/>
      <c r="C639" s="19"/>
      <c r="D639" s="19"/>
      <c r="E639" s="32"/>
      <c r="F639" s="19"/>
      <c r="G639" s="26" t="str">
        <f aca="false">IF(A639="","",COUNTIF(Pubs!$B$2:$B$3001,A639))</f>
        <v/>
      </c>
      <c r="H639" s="26" t="str">
        <f aca="false">IF(A639="","",COUNTIF(Apparitions!$H$2:$H$5001,A639))</f>
        <v/>
      </c>
      <c r="I639" s="26" t="str">
        <f aca="false">IF(A639="","",COUNTIFS(Apparitions!$H$2:$H$5001,A639,Apparitions!$E$2:$E$5001,"○"))</f>
        <v/>
      </c>
      <c r="J639" s="29" t="str">
        <f aca="false">IF(A639="","",IFERROR(1/(1/_xlfn.MINIFS(Apparitions!$L$2:$L$5001,Apparitions!$H$2:$H$5001,A639)),""))</f>
        <v/>
      </c>
    </row>
    <row r="640" customFormat="false" ht="15" hidden="false" customHeight="false" outlineLevel="0" collapsed="false">
      <c r="A640" s="19"/>
      <c r="B640" s="19"/>
      <c r="C640" s="19"/>
      <c r="D640" s="19"/>
      <c r="E640" s="32"/>
      <c r="F640" s="19"/>
      <c r="G640" s="26" t="str">
        <f aca="false">IF(A640="","",COUNTIF(Pubs!$B$2:$B$3001,A640))</f>
        <v/>
      </c>
      <c r="H640" s="26" t="str">
        <f aca="false">IF(A640="","",COUNTIF(Apparitions!$H$2:$H$5001,A640))</f>
        <v/>
      </c>
      <c r="I640" s="26" t="str">
        <f aca="false">IF(A640="","",COUNTIFS(Apparitions!$H$2:$H$5001,A640,Apparitions!$E$2:$E$5001,"○"))</f>
        <v/>
      </c>
      <c r="J640" s="29" t="str">
        <f aca="false">IF(A640="","",IFERROR(1/(1/_xlfn.MINIFS(Apparitions!$L$2:$L$5001,Apparitions!$H$2:$H$5001,A640)),""))</f>
        <v/>
      </c>
    </row>
    <row r="641" customFormat="false" ht="15" hidden="false" customHeight="false" outlineLevel="0" collapsed="false">
      <c r="A641" s="19"/>
      <c r="B641" s="19"/>
      <c r="C641" s="19"/>
      <c r="D641" s="19"/>
      <c r="E641" s="32"/>
      <c r="F641" s="19"/>
      <c r="G641" s="26" t="str">
        <f aca="false">IF(A641="","",COUNTIF(Pubs!$B$2:$B$3001,A641))</f>
        <v/>
      </c>
      <c r="H641" s="26" t="str">
        <f aca="false">IF(A641="","",COUNTIF(Apparitions!$H$2:$H$5001,A641))</f>
        <v/>
      </c>
      <c r="I641" s="26" t="str">
        <f aca="false">IF(A641="","",COUNTIFS(Apparitions!$H$2:$H$5001,A641,Apparitions!$E$2:$E$5001,"○"))</f>
        <v/>
      </c>
      <c r="J641" s="29" t="str">
        <f aca="false">IF(A641="","",IFERROR(1/(1/_xlfn.MINIFS(Apparitions!$L$2:$L$5001,Apparitions!$H$2:$H$5001,A641)),""))</f>
        <v/>
      </c>
    </row>
    <row r="642" customFormat="false" ht="15" hidden="false" customHeight="false" outlineLevel="0" collapsed="false">
      <c r="A642" s="19"/>
      <c r="B642" s="19"/>
      <c r="C642" s="19"/>
      <c r="D642" s="19"/>
      <c r="E642" s="32"/>
      <c r="F642" s="19"/>
      <c r="G642" s="26" t="str">
        <f aca="false">IF(A642="","",COUNTIF(Pubs!$B$2:$B$3001,A642))</f>
        <v/>
      </c>
      <c r="H642" s="26" t="str">
        <f aca="false">IF(A642="","",COUNTIF(Apparitions!$H$2:$H$5001,A642))</f>
        <v/>
      </c>
      <c r="I642" s="26" t="str">
        <f aca="false">IF(A642="","",COUNTIFS(Apparitions!$H$2:$H$5001,A642,Apparitions!$E$2:$E$5001,"○"))</f>
        <v/>
      </c>
      <c r="J642" s="29" t="str">
        <f aca="false">IF(A642="","",IFERROR(1/(1/_xlfn.MINIFS(Apparitions!$L$2:$L$5001,Apparitions!$H$2:$H$5001,A642)),""))</f>
        <v/>
      </c>
    </row>
    <row r="643" customFormat="false" ht="15" hidden="false" customHeight="false" outlineLevel="0" collapsed="false">
      <c r="A643" s="19"/>
      <c r="B643" s="19"/>
      <c r="C643" s="19"/>
      <c r="D643" s="19"/>
      <c r="E643" s="32"/>
      <c r="F643" s="19"/>
      <c r="G643" s="26" t="str">
        <f aca="false">IF(A643="","",COUNTIF(Pubs!$B$2:$B$3001,A643))</f>
        <v/>
      </c>
      <c r="H643" s="26" t="str">
        <f aca="false">IF(A643="","",COUNTIF(Apparitions!$H$2:$H$5001,A643))</f>
        <v/>
      </c>
      <c r="I643" s="26" t="str">
        <f aca="false">IF(A643="","",COUNTIFS(Apparitions!$H$2:$H$5001,A643,Apparitions!$E$2:$E$5001,"○"))</f>
        <v/>
      </c>
      <c r="J643" s="29" t="str">
        <f aca="false">IF(A643="","",IFERROR(1/(1/_xlfn.MINIFS(Apparitions!$L$2:$L$5001,Apparitions!$H$2:$H$5001,A643)),""))</f>
        <v/>
      </c>
    </row>
    <row r="644" customFormat="false" ht="15" hidden="false" customHeight="false" outlineLevel="0" collapsed="false">
      <c r="A644" s="19"/>
      <c r="B644" s="19"/>
      <c r="C644" s="19"/>
      <c r="D644" s="19"/>
      <c r="E644" s="32"/>
      <c r="F644" s="19"/>
      <c r="G644" s="26" t="str">
        <f aca="false">IF(A644="","",COUNTIF(Pubs!$B$2:$B$3001,A644))</f>
        <v/>
      </c>
      <c r="H644" s="26" t="str">
        <f aca="false">IF(A644="","",COUNTIF(Apparitions!$H$2:$H$5001,A644))</f>
        <v/>
      </c>
      <c r="I644" s="26" t="str">
        <f aca="false">IF(A644="","",COUNTIFS(Apparitions!$H$2:$H$5001,A644,Apparitions!$E$2:$E$5001,"○"))</f>
        <v/>
      </c>
      <c r="J644" s="29" t="str">
        <f aca="false">IF(A644="","",IFERROR(1/(1/_xlfn.MINIFS(Apparitions!$L$2:$L$5001,Apparitions!$H$2:$H$5001,A644)),""))</f>
        <v/>
      </c>
    </row>
    <row r="645" customFormat="false" ht="15" hidden="false" customHeight="false" outlineLevel="0" collapsed="false">
      <c r="A645" s="19"/>
      <c r="B645" s="19"/>
      <c r="C645" s="19"/>
      <c r="D645" s="19"/>
      <c r="E645" s="32"/>
      <c r="F645" s="19"/>
      <c r="G645" s="26" t="str">
        <f aca="false">IF(A645="","",COUNTIF(Pubs!$B$2:$B$3001,A645))</f>
        <v/>
      </c>
      <c r="H645" s="26" t="str">
        <f aca="false">IF(A645="","",COUNTIF(Apparitions!$H$2:$H$5001,A645))</f>
        <v/>
      </c>
      <c r="I645" s="26" t="str">
        <f aca="false">IF(A645="","",COUNTIFS(Apparitions!$H$2:$H$5001,A645,Apparitions!$E$2:$E$5001,"○"))</f>
        <v/>
      </c>
      <c r="J645" s="29" t="str">
        <f aca="false">IF(A645="","",IFERROR(1/(1/_xlfn.MINIFS(Apparitions!$L$2:$L$5001,Apparitions!$H$2:$H$5001,A645)),""))</f>
        <v/>
      </c>
    </row>
    <row r="646" customFormat="false" ht="15" hidden="false" customHeight="false" outlineLevel="0" collapsed="false">
      <c r="A646" s="19"/>
      <c r="B646" s="19"/>
      <c r="C646" s="19"/>
      <c r="D646" s="19"/>
      <c r="E646" s="32"/>
      <c r="F646" s="19"/>
      <c r="G646" s="26" t="str">
        <f aca="false">IF(A646="","",COUNTIF(Pubs!$B$2:$B$3001,A646))</f>
        <v/>
      </c>
      <c r="H646" s="26" t="str">
        <f aca="false">IF(A646="","",COUNTIF(Apparitions!$H$2:$H$5001,A646))</f>
        <v/>
      </c>
      <c r="I646" s="26" t="str">
        <f aca="false">IF(A646="","",COUNTIFS(Apparitions!$H$2:$H$5001,A646,Apparitions!$E$2:$E$5001,"○"))</f>
        <v/>
      </c>
      <c r="J646" s="29" t="str">
        <f aca="false">IF(A646="","",IFERROR(1/(1/_xlfn.MINIFS(Apparitions!$L$2:$L$5001,Apparitions!$H$2:$H$5001,A646)),""))</f>
        <v/>
      </c>
    </row>
    <row r="647" customFormat="false" ht="15" hidden="false" customHeight="false" outlineLevel="0" collapsed="false">
      <c r="A647" s="19"/>
      <c r="B647" s="19"/>
      <c r="C647" s="19"/>
      <c r="D647" s="19"/>
      <c r="E647" s="32"/>
      <c r="F647" s="19"/>
      <c r="G647" s="26" t="str">
        <f aca="false">IF(A647="","",COUNTIF(Pubs!$B$2:$B$3001,A647))</f>
        <v/>
      </c>
      <c r="H647" s="26" t="str">
        <f aca="false">IF(A647="","",COUNTIF(Apparitions!$H$2:$H$5001,A647))</f>
        <v/>
      </c>
      <c r="I647" s="26" t="str">
        <f aca="false">IF(A647="","",COUNTIFS(Apparitions!$H$2:$H$5001,A647,Apparitions!$E$2:$E$5001,"○"))</f>
        <v/>
      </c>
      <c r="J647" s="29" t="str">
        <f aca="false">IF(A647="","",IFERROR(1/(1/_xlfn.MINIFS(Apparitions!$L$2:$L$5001,Apparitions!$H$2:$H$5001,A647)),""))</f>
        <v/>
      </c>
    </row>
    <row r="648" customFormat="false" ht="15" hidden="false" customHeight="false" outlineLevel="0" collapsed="false">
      <c r="A648" s="19"/>
      <c r="B648" s="19"/>
      <c r="C648" s="19"/>
      <c r="D648" s="19"/>
      <c r="E648" s="32"/>
      <c r="F648" s="19"/>
      <c r="G648" s="26" t="str">
        <f aca="false">IF(A648="","",COUNTIF(Pubs!$B$2:$B$3001,A648))</f>
        <v/>
      </c>
      <c r="H648" s="26" t="str">
        <f aca="false">IF(A648="","",COUNTIF(Apparitions!$H$2:$H$5001,A648))</f>
        <v/>
      </c>
      <c r="I648" s="26" t="str">
        <f aca="false">IF(A648="","",COUNTIFS(Apparitions!$H$2:$H$5001,A648,Apparitions!$E$2:$E$5001,"○"))</f>
        <v/>
      </c>
      <c r="J648" s="29" t="str">
        <f aca="false">IF(A648="","",IFERROR(1/(1/_xlfn.MINIFS(Apparitions!$L$2:$L$5001,Apparitions!$H$2:$H$5001,A648)),""))</f>
        <v/>
      </c>
    </row>
    <row r="649" customFormat="false" ht="15" hidden="false" customHeight="false" outlineLevel="0" collapsed="false">
      <c r="A649" s="19"/>
      <c r="B649" s="19"/>
      <c r="C649" s="19"/>
      <c r="D649" s="19"/>
      <c r="E649" s="32"/>
      <c r="F649" s="19"/>
      <c r="G649" s="26" t="str">
        <f aca="false">IF(A649="","",COUNTIF(Pubs!$B$2:$B$3001,A649))</f>
        <v/>
      </c>
      <c r="H649" s="26" t="str">
        <f aca="false">IF(A649="","",COUNTIF(Apparitions!$H$2:$H$5001,A649))</f>
        <v/>
      </c>
      <c r="I649" s="26" t="str">
        <f aca="false">IF(A649="","",COUNTIFS(Apparitions!$H$2:$H$5001,A649,Apparitions!$E$2:$E$5001,"○"))</f>
        <v/>
      </c>
      <c r="J649" s="29" t="str">
        <f aca="false">IF(A649="","",IFERROR(1/(1/_xlfn.MINIFS(Apparitions!$L$2:$L$5001,Apparitions!$H$2:$H$5001,A649)),""))</f>
        <v/>
      </c>
    </row>
    <row r="650" customFormat="false" ht="15" hidden="false" customHeight="false" outlineLevel="0" collapsed="false">
      <c r="A650" s="19"/>
      <c r="B650" s="19"/>
      <c r="C650" s="19"/>
      <c r="D650" s="19"/>
      <c r="E650" s="32"/>
      <c r="F650" s="19"/>
      <c r="G650" s="26" t="str">
        <f aca="false">IF(A650="","",COUNTIF(Pubs!$B$2:$B$3001,A650))</f>
        <v/>
      </c>
      <c r="H650" s="26" t="str">
        <f aca="false">IF(A650="","",COUNTIF(Apparitions!$H$2:$H$5001,A650))</f>
        <v/>
      </c>
      <c r="I650" s="26" t="str">
        <f aca="false">IF(A650="","",COUNTIFS(Apparitions!$H$2:$H$5001,A650,Apparitions!$E$2:$E$5001,"○"))</f>
        <v/>
      </c>
      <c r="J650" s="29" t="str">
        <f aca="false">IF(A650="","",IFERROR(1/(1/_xlfn.MINIFS(Apparitions!$L$2:$L$5001,Apparitions!$H$2:$H$5001,A650)),""))</f>
        <v/>
      </c>
    </row>
    <row r="651" customFormat="false" ht="15" hidden="false" customHeight="false" outlineLevel="0" collapsed="false">
      <c r="A651" s="19"/>
      <c r="B651" s="19"/>
      <c r="C651" s="19"/>
      <c r="D651" s="19"/>
      <c r="E651" s="32"/>
      <c r="F651" s="19"/>
      <c r="G651" s="26" t="str">
        <f aca="false">IF(A651="","",COUNTIF(Pubs!$B$2:$B$3001,A651))</f>
        <v/>
      </c>
      <c r="H651" s="26" t="str">
        <f aca="false">IF(A651="","",COUNTIF(Apparitions!$H$2:$H$5001,A651))</f>
        <v/>
      </c>
      <c r="I651" s="26" t="str">
        <f aca="false">IF(A651="","",COUNTIFS(Apparitions!$H$2:$H$5001,A651,Apparitions!$E$2:$E$5001,"○"))</f>
        <v/>
      </c>
      <c r="J651" s="29" t="str">
        <f aca="false">IF(A651="","",IFERROR(1/(1/_xlfn.MINIFS(Apparitions!$L$2:$L$5001,Apparitions!$H$2:$H$5001,A651)),""))</f>
        <v/>
      </c>
    </row>
    <row r="652" customFormat="false" ht="15" hidden="false" customHeight="false" outlineLevel="0" collapsed="false">
      <c r="A652" s="19"/>
      <c r="B652" s="19"/>
      <c r="C652" s="19"/>
      <c r="D652" s="19"/>
      <c r="E652" s="32"/>
      <c r="F652" s="19"/>
      <c r="G652" s="26" t="str">
        <f aca="false">IF(A652="","",COUNTIF(Pubs!$B$2:$B$3001,A652))</f>
        <v/>
      </c>
      <c r="H652" s="26" t="str">
        <f aca="false">IF(A652="","",COUNTIF(Apparitions!$H$2:$H$5001,A652))</f>
        <v/>
      </c>
      <c r="I652" s="26" t="str">
        <f aca="false">IF(A652="","",COUNTIFS(Apparitions!$H$2:$H$5001,A652,Apparitions!$E$2:$E$5001,"○"))</f>
        <v/>
      </c>
      <c r="J652" s="29" t="str">
        <f aca="false">IF(A652="","",IFERROR(1/(1/_xlfn.MINIFS(Apparitions!$L$2:$L$5001,Apparitions!$H$2:$H$5001,A652)),""))</f>
        <v/>
      </c>
    </row>
    <row r="653" customFormat="false" ht="15" hidden="false" customHeight="false" outlineLevel="0" collapsed="false">
      <c r="A653" s="19"/>
      <c r="B653" s="19"/>
      <c r="C653" s="19"/>
      <c r="D653" s="19"/>
      <c r="E653" s="32"/>
      <c r="F653" s="19"/>
      <c r="G653" s="26" t="str">
        <f aca="false">IF(A653="","",COUNTIF(Pubs!$B$2:$B$3001,A653))</f>
        <v/>
      </c>
      <c r="H653" s="26" t="str">
        <f aca="false">IF(A653="","",COUNTIF(Apparitions!$H$2:$H$5001,A653))</f>
        <v/>
      </c>
      <c r="I653" s="26" t="str">
        <f aca="false">IF(A653="","",COUNTIFS(Apparitions!$H$2:$H$5001,A653,Apparitions!$E$2:$E$5001,"○"))</f>
        <v/>
      </c>
      <c r="J653" s="29" t="str">
        <f aca="false">IF(A653="","",IFERROR(1/(1/_xlfn.MINIFS(Apparitions!$L$2:$L$5001,Apparitions!$H$2:$H$5001,A653)),""))</f>
        <v/>
      </c>
    </row>
    <row r="654" customFormat="false" ht="15" hidden="false" customHeight="false" outlineLevel="0" collapsed="false">
      <c r="A654" s="19"/>
      <c r="B654" s="19"/>
      <c r="C654" s="19"/>
      <c r="D654" s="19"/>
      <c r="E654" s="32"/>
      <c r="F654" s="19"/>
      <c r="G654" s="26" t="str">
        <f aca="false">IF(A654="","",COUNTIF(Pubs!$B$2:$B$3001,A654))</f>
        <v/>
      </c>
      <c r="H654" s="26" t="str">
        <f aca="false">IF(A654="","",COUNTIF(Apparitions!$H$2:$H$5001,A654))</f>
        <v/>
      </c>
      <c r="I654" s="26" t="str">
        <f aca="false">IF(A654="","",COUNTIFS(Apparitions!$H$2:$H$5001,A654,Apparitions!$E$2:$E$5001,"○"))</f>
        <v/>
      </c>
      <c r="J654" s="29" t="str">
        <f aca="false">IF(A654="","",IFERROR(1/(1/_xlfn.MINIFS(Apparitions!$L$2:$L$5001,Apparitions!$H$2:$H$5001,A654)),""))</f>
        <v/>
      </c>
    </row>
    <row r="655" customFormat="false" ht="15" hidden="false" customHeight="false" outlineLevel="0" collapsed="false">
      <c r="A655" s="19"/>
      <c r="B655" s="19"/>
      <c r="C655" s="19"/>
      <c r="D655" s="19"/>
      <c r="E655" s="32"/>
      <c r="F655" s="19"/>
      <c r="G655" s="26" t="str">
        <f aca="false">IF(A655="","",COUNTIF(Pubs!$B$2:$B$3001,A655))</f>
        <v/>
      </c>
      <c r="H655" s="26" t="str">
        <f aca="false">IF(A655="","",COUNTIF(Apparitions!$H$2:$H$5001,A655))</f>
        <v/>
      </c>
      <c r="I655" s="26" t="str">
        <f aca="false">IF(A655="","",COUNTIFS(Apparitions!$H$2:$H$5001,A655,Apparitions!$E$2:$E$5001,"○"))</f>
        <v/>
      </c>
      <c r="J655" s="29" t="str">
        <f aca="false">IF(A655="","",IFERROR(1/(1/_xlfn.MINIFS(Apparitions!$L$2:$L$5001,Apparitions!$H$2:$H$5001,A655)),""))</f>
        <v/>
      </c>
    </row>
    <row r="656" customFormat="false" ht="15" hidden="false" customHeight="false" outlineLevel="0" collapsed="false">
      <c r="A656" s="19"/>
      <c r="B656" s="19"/>
      <c r="C656" s="19"/>
      <c r="D656" s="19"/>
      <c r="E656" s="32"/>
      <c r="F656" s="19"/>
      <c r="G656" s="26" t="str">
        <f aca="false">IF(A656="","",COUNTIF(Pubs!$B$2:$B$3001,A656))</f>
        <v/>
      </c>
      <c r="H656" s="26" t="str">
        <f aca="false">IF(A656="","",COUNTIF(Apparitions!$H$2:$H$5001,A656))</f>
        <v/>
      </c>
      <c r="I656" s="26" t="str">
        <f aca="false">IF(A656="","",COUNTIFS(Apparitions!$H$2:$H$5001,A656,Apparitions!$E$2:$E$5001,"○"))</f>
        <v/>
      </c>
      <c r="J656" s="29" t="str">
        <f aca="false">IF(A656="","",IFERROR(1/(1/_xlfn.MINIFS(Apparitions!$L$2:$L$5001,Apparitions!$H$2:$H$5001,A656)),""))</f>
        <v/>
      </c>
    </row>
    <row r="657" customFormat="false" ht="15" hidden="false" customHeight="false" outlineLevel="0" collapsed="false">
      <c r="A657" s="19"/>
      <c r="B657" s="19"/>
      <c r="C657" s="19"/>
      <c r="D657" s="19"/>
      <c r="E657" s="32"/>
      <c r="F657" s="19"/>
      <c r="G657" s="26" t="str">
        <f aca="false">IF(A657="","",COUNTIF(Pubs!$B$2:$B$3001,A657))</f>
        <v/>
      </c>
      <c r="H657" s="26" t="str">
        <f aca="false">IF(A657="","",COUNTIF(Apparitions!$H$2:$H$5001,A657))</f>
        <v/>
      </c>
      <c r="I657" s="26" t="str">
        <f aca="false">IF(A657="","",COUNTIFS(Apparitions!$H$2:$H$5001,A657,Apparitions!$E$2:$E$5001,"○"))</f>
        <v/>
      </c>
      <c r="J657" s="29" t="str">
        <f aca="false">IF(A657="","",IFERROR(1/(1/_xlfn.MINIFS(Apparitions!$L$2:$L$5001,Apparitions!$H$2:$H$5001,A657)),""))</f>
        <v/>
      </c>
    </row>
    <row r="658" customFormat="false" ht="15" hidden="false" customHeight="false" outlineLevel="0" collapsed="false">
      <c r="A658" s="19"/>
      <c r="B658" s="19"/>
      <c r="C658" s="19"/>
      <c r="D658" s="19"/>
      <c r="E658" s="32"/>
      <c r="F658" s="19"/>
      <c r="G658" s="26" t="str">
        <f aca="false">IF(A658="","",COUNTIF(Pubs!$B$2:$B$3001,A658))</f>
        <v/>
      </c>
      <c r="H658" s="26" t="str">
        <f aca="false">IF(A658="","",COUNTIF(Apparitions!$H$2:$H$5001,A658))</f>
        <v/>
      </c>
      <c r="I658" s="26" t="str">
        <f aca="false">IF(A658="","",COUNTIFS(Apparitions!$H$2:$H$5001,A658,Apparitions!$E$2:$E$5001,"○"))</f>
        <v/>
      </c>
      <c r="J658" s="29" t="str">
        <f aca="false">IF(A658="","",IFERROR(1/(1/_xlfn.MINIFS(Apparitions!$L$2:$L$5001,Apparitions!$H$2:$H$5001,A658)),""))</f>
        <v/>
      </c>
    </row>
    <row r="659" customFormat="false" ht="15" hidden="false" customHeight="false" outlineLevel="0" collapsed="false">
      <c r="A659" s="19"/>
      <c r="B659" s="19"/>
      <c r="C659" s="19"/>
      <c r="D659" s="19"/>
      <c r="E659" s="32"/>
      <c r="F659" s="19"/>
      <c r="G659" s="26" t="str">
        <f aca="false">IF(A659="","",COUNTIF(Pubs!$B$2:$B$3001,A659))</f>
        <v/>
      </c>
      <c r="H659" s="26" t="str">
        <f aca="false">IF(A659="","",COUNTIF(Apparitions!$H$2:$H$5001,A659))</f>
        <v/>
      </c>
      <c r="I659" s="26" t="str">
        <f aca="false">IF(A659="","",COUNTIFS(Apparitions!$H$2:$H$5001,A659,Apparitions!$E$2:$E$5001,"○"))</f>
        <v/>
      </c>
      <c r="J659" s="29" t="str">
        <f aca="false">IF(A659="","",IFERROR(1/(1/_xlfn.MINIFS(Apparitions!$L$2:$L$5001,Apparitions!$H$2:$H$5001,A659)),""))</f>
        <v/>
      </c>
    </row>
    <row r="660" customFormat="false" ht="15" hidden="false" customHeight="false" outlineLevel="0" collapsed="false">
      <c r="A660" s="19"/>
      <c r="B660" s="19"/>
      <c r="C660" s="19"/>
      <c r="D660" s="19"/>
      <c r="E660" s="32"/>
      <c r="F660" s="19"/>
      <c r="G660" s="26" t="str">
        <f aca="false">IF(A660="","",COUNTIF(Pubs!$B$2:$B$3001,A660))</f>
        <v/>
      </c>
      <c r="H660" s="26" t="str">
        <f aca="false">IF(A660="","",COUNTIF(Apparitions!$H$2:$H$5001,A660))</f>
        <v/>
      </c>
      <c r="I660" s="26" t="str">
        <f aca="false">IF(A660="","",COUNTIFS(Apparitions!$H$2:$H$5001,A660,Apparitions!$E$2:$E$5001,"○"))</f>
        <v/>
      </c>
      <c r="J660" s="29" t="str">
        <f aca="false">IF(A660="","",IFERROR(1/(1/_xlfn.MINIFS(Apparitions!$L$2:$L$5001,Apparitions!$H$2:$H$5001,A660)),""))</f>
        <v/>
      </c>
    </row>
    <row r="661" customFormat="false" ht="15" hidden="false" customHeight="false" outlineLevel="0" collapsed="false">
      <c r="A661" s="19"/>
      <c r="B661" s="19"/>
      <c r="C661" s="19"/>
      <c r="D661" s="19"/>
      <c r="E661" s="32"/>
      <c r="F661" s="19"/>
      <c r="G661" s="26" t="str">
        <f aca="false">IF(A661="","",COUNTIF(Pubs!$B$2:$B$3001,A661))</f>
        <v/>
      </c>
      <c r="H661" s="26" t="str">
        <f aca="false">IF(A661="","",COUNTIF(Apparitions!$H$2:$H$5001,A661))</f>
        <v/>
      </c>
      <c r="I661" s="26" t="str">
        <f aca="false">IF(A661="","",COUNTIFS(Apparitions!$H$2:$H$5001,A661,Apparitions!$E$2:$E$5001,"○"))</f>
        <v/>
      </c>
      <c r="J661" s="29" t="str">
        <f aca="false">IF(A661="","",IFERROR(1/(1/_xlfn.MINIFS(Apparitions!$L$2:$L$5001,Apparitions!$H$2:$H$5001,A661)),""))</f>
        <v/>
      </c>
    </row>
    <row r="662" customFormat="false" ht="15" hidden="false" customHeight="false" outlineLevel="0" collapsed="false">
      <c r="A662" s="19"/>
      <c r="B662" s="19"/>
      <c r="C662" s="19"/>
      <c r="D662" s="19"/>
      <c r="E662" s="32"/>
      <c r="F662" s="19"/>
      <c r="G662" s="26" t="str">
        <f aca="false">IF(A662="","",COUNTIF(Pubs!$B$2:$B$3001,A662))</f>
        <v/>
      </c>
      <c r="H662" s="26" t="str">
        <f aca="false">IF(A662="","",COUNTIF(Apparitions!$H$2:$H$5001,A662))</f>
        <v/>
      </c>
      <c r="I662" s="26" t="str">
        <f aca="false">IF(A662="","",COUNTIFS(Apparitions!$H$2:$H$5001,A662,Apparitions!$E$2:$E$5001,"○"))</f>
        <v/>
      </c>
      <c r="J662" s="29" t="str">
        <f aca="false">IF(A662="","",IFERROR(1/(1/_xlfn.MINIFS(Apparitions!$L$2:$L$5001,Apparitions!$H$2:$H$5001,A662)),""))</f>
        <v/>
      </c>
    </row>
    <row r="663" customFormat="false" ht="15" hidden="false" customHeight="false" outlineLevel="0" collapsed="false">
      <c r="A663" s="19"/>
      <c r="B663" s="19"/>
      <c r="C663" s="19"/>
      <c r="D663" s="19"/>
      <c r="E663" s="32"/>
      <c r="F663" s="19"/>
      <c r="G663" s="26" t="str">
        <f aca="false">IF(A663="","",COUNTIF(Pubs!$B$2:$B$3001,A663))</f>
        <v/>
      </c>
      <c r="H663" s="26" t="str">
        <f aca="false">IF(A663="","",COUNTIF(Apparitions!$H$2:$H$5001,A663))</f>
        <v/>
      </c>
      <c r="I663" s="26" t="str">
        <f aca="false">IF(A663="","",COUNTIFS(Apparitions!$H$2:$H$5001,A663,Apparitions!$E$2:$E$5001,"○"))</f>
        <v/>
      </c>
      <c r="J663" s="29" t="str">
        <f aca="false">IF(A663="","",IFERROR(1/(1/_xlfn.MINIFS(Apparitions!$L$2:$L$5001,Apparitions!$H$2:$H$5001,A663)),""))</f>
        <v/>
      </c>
    </row>
    <row r="664" customFormat="false" ht="15" hidden="false" customHeight="false" outlineLevel="0" collapsed="false">
      <c r="A664" s="19"/>
      <c r="B664" s="19"/>
      <c r="C664" s="19"/>
      <c r="D664" s="19"/>
      <c r="E664" s="32"/>
      <c r="F664" s="19"/>
      <c r="G664" s="26" t="str">
        <f aca="false">IF(A664="","",COUNTIF(Pubs!$B$2:$B$3001,A664))</f>
        <v/>
      </c>
      <c r="H664" s="26" t="str">
        <f aca="false">IF(A664="","",COUNTIF(Apparitions!$H$2:$H$5001,A664))</f>
        <v/>
      </c>
      <c r="I664" s="26" t="str">
        <f aca="false">IF(A664="","",COUNTIFS(Apparitions!$H$2:$H$5001,A664,Apparitions!$E$2:$E$5001,"○"))</f>
        <v/>
      </c>
      <c r="J664" s="29" t="str">
        <f aca="false">IF(A664="","",IFERROR(1/(1/_xlfn.MINIFS(Apparitions!$L$2:$L$5001,Apparitions!$H$2:$H$5001,A664)),""))</f>
        <v/>
      </c>
    </row>
    <row r="665" customFormat="false" ht="15" hidden="false" customHeight="false" outlineLevel="0" collapsed="false">
      <c r="A665" s="19"/>
      <c r="B665" s="19"/>
      <c r="C665" s="19"/>
      <c r="D665" s="19"/>
      <c r="E665" s="32"/>
      <c r="F665" s="19"/>
      <c r="G665" s="26" t="str">
        <f aca="false">IF(A665="","",COUNTIF(Pubs!$B$2:$B$3001,A665))</f>
        <v/>
      </c>
      <c r="H665" s="26" t="str">
        <f aca="false">IF(A665="","",COUNTIF(Apparitions!$H$2:$H$5001,A665))</f>
        <v/>
      </c>
      <c r="I665" s="26" t="str">
        <f aca="false">IF(A665="","",COUNTIFS(Apparitions!$H$2:$H$5001,A665,Apparitions!$E$2:$E$5001,"○"))</f>
        <v/>
      </c>
      <c r="J665" s="29" t="str">
        <f aca="false">IF(A665="","",IFERROR(1/(1/_xlfn.MINIFS(Apparitions!$L$2:$L$5001,Apparitions!$H$2:$H$5001,A665)),""))</f>
        <v/>
      </c>
    </row>
    <row r="666" customFormat="false" ht="15" hidden="false" customHeight="false" outlineLevel="0" collapsed="false">
      <c r="A666" s="19"/>
      <c r="B666" s="19"/>
      <c r="C666" s="19"/>
      <c r="D666" s="19"/>
      <c r="E666" s="32"/>
      <c r="F666" s="19"/>
      <c r="G666" s="26" t="str">
        <f aca="false">IF(A666="","",COUNTIF(Pubs!$B$2:$B$3001,A666))</f>
        <v/>
      </c>
      <c r="H666" s="26" t="str">
        <f aca="false">IF(A666="","",COUNTIF(Apparitions!$H$2:$H$5001,A666))</f>
        <v/>
      </c>
      <c r="I666" s="26" t="str">
        <f aca="false">IF(A666="","",COUNTIFS(Apparitions!$H$2:$H$5001,A666,Apparitions!$E$2:$E$5001,"○"))</f>
        <v/>
      </c>
      <c r="J666" s="29" t="str">
        <f aca="false">IF(A666="","",IFERROR(1/(1/_xlfn.MINIFS(Apparitions!$L$2:$L$5001,Apparitions!$H$2:$H$5001,A666)),""))</f>
        <v/>
      </c>
    </row>
    <row r="667" customFormat="false" ht="15" hidden="false" customHeight="false" outlineLevel="0" collapsed="false">
      <c r="A667" s="19"/>
      <c r="B667" s="19"/>
      <c r="C667" s="19"/>
      <c r="D667" s="19"/>
      <c r="E667" s="32"/>
      <c r="F667" s="19"/>
      <c r="G667" s="26" t="str">
        <f aca="false">IF(A667="","",COUNTIF(Pubs!$B$2:$B$3001,A667))</f>
        <v/>
      </c>
      <c r="H667" s="26" t="str">
        <f aca="false">IF(A667="","",COUNTIF(Apparitions!$H$2:$H$5001,A667))</f>
        <v/>
      </c>
      <c r="I667" s="26" t="str">
        <f aca="false">IF(A667="","",COUNTIFS(Apparitions!$H$2:$H$5001,A667,Apparitions!$E$2:$E$5001,"○"))</f>
        <v/>
      </c>
      <c r="J667" s="29" t="str">
        <f aca="false">IF(A667="","",IFERROR(1/(1/_xlfn.MINIFS(Apparitions!$L$2:$L$5001,Apparitions!$H$2:$H$5001,A667)),""))</f>
        <v/>
      </c>
    </row>
    <row r="668" customFormat="false" ht="15" hidden="false" customHeight="false" outlineLevel="0" collapsed="false">
      <c r="A668" s="19"/>
      <c r="B668" s="19"/>
      <c r="C668" s="19"/>
      <c r="D668" s="19"/>
      <c r="E668" s="32"/>
      <c r="F668" s="19"/>
      <c r="G668" s="26" t="str">
        <f aca="false">IF(A668="","",COUNTIF(Pubs!$B$2:$B$3001,A668))</f>
        <v/>
      </c>
      <c r="H668" s="26" t="str">
        <f aca="false">IF(A668="","",COUNTIF(Apparitions!$H$2:$H$5001,A668))</f>
        <v/>
      </c>
      <c r="I668" s="26" t="str">
        <f aca="false">IF(A668="","",COUNTIFS(Apparitions!$H$2:$H$5001,A668,Apparitions!$E$2:$E$5001,"○"))</f>
        <v/>
      </c>
      <c r="J668" s="29" t="str">
        <f aca="false">IF(A668="","",IFERROR(1/(1/_xlfn.MINIFS(Apparitions!$L$2:$L$5001,Apparitions!$H$2:$H$5001,A668)),""))</f>
        <v/>
      </c>
    </row>
    <row r="669" customFormat="false" ht="15" hidden="false" customHeight="false" outlineLevel="0" collapsed="false">
      <c r="A669" s="19"/>
      <c r="B669" s="19"/>
      <c r="C669" s="19"/>
      <c r="D669" s="19"/>
      <c r="E669" s="32"/>
      <c r="F669" s="19"/>
      <c r="G669" s="26" t="str">
        <f aca="false">IF(A669="","",COUNTIF(Pubs!$B$2:$B$3001,A669))</f>
        <v/>
      </c>
      <c r="H669" s="26" t="str">
        <f aca="false">IF(A669="","",COUNTIF(Apparitions!$H$2:$H$5001,A669))</f>
        <v/>
      </c>
      <c r="I669" s="26" t="str">
        <f aca="false">IF(A669="","",COUNTIFS(Apparitions!$H$2:$H$5001,A669,Apparitions!$E$2:$E$5001,"○"))</f>
        <v/>
      </c>
      <c r="J669" s="29" t="str">
        <f aca="false">IF(A669="","",IFERROR(1/(1/_xlfn.MINIFS(Apparitions!$L$2:$L$5001,Apparitions!$H$2:$H$5001,A669)),""))</f>
        <v/>
      </c>
    </row>
    <row r="670" customFormat="false" ht="15" hidden="false" customHeight="false" outlineLevel="0" collapsed="false">
      <c r="A670" s="19"/>
      <c r="B670" s="19"/>
      <c r="C670" s="19"/>
      <c r="D670" s="19"/>
      <c r="E670" s="32"/>
      <c r="F670" s="19"/>
      <c r="G670" s="26" t="str">
        <f aca="false">IF(A670="","",COUNTIF(Pubs!$B$2:$B$3001,A670))</f>
        <v/>
      </c>
      <c r="H670" s="26" t="str">
        <f aca="false">IF(A670="","",COUNTIF(Apparitions!$H$2:$H$5001,A670))</f>
        <v/>
      </c>
      <c r="I670" s="26" t="str">
        <f aca="false">IF(A670="","",COUNTIFS(Apparitions!$H$2:$H$5001,A670,Apparitions!$E$2:$E$5001,"○"))</f>
        <v/>
      </c>
      <c r="J670" s="29" t="str">
        <f aca="false">IF(A670="","",IFERROR(1/(1/_xlfn.MINIFS(Apparitions!$L$2:$L$5001,Apparitions!$H$2:$H$5001,A670)),""))</f>
        <v/>
      </c>
    </row>
    <row r="671" customFormat="false" ht="15" hidden="false" customHeight="false" outlineLevel="0" collapsed="false">
      <c r="A671" s="19"/>
      <c r="B671" s="19"/>
      <c r="C671" s="19"/>
      <c r="D671" s="19"/>
      <c r="E671" s="32"/>
      <c r="F671" s="19"/>
      <c r="G671" s="26" t="str">
        <f aca="false">IF(A671="","",COUNTIF(Pubs!$B$2:$B$3001,A671))</f>
        <v/>
      </c>
      <c r="H671" s="26" t="str">
        <f aca="false">IF(A671="","",COUNTIF(Apparitions!$H$2:$H$5001,A671))</f>
        <v/>
      </c>
      <c r="I671" s="26" t="str">
        <f aca="false">IF(A671="","",COUNTIFS(Apparitions!$H$2:$H$5001,A671,Apparitions!$E$2:$E$5001,"○"))</f>
        <v/>
      </c>
      <c r="J671" s="29" t="str">
        <f aca="false">IF(A671="","",IFERROR(1/(1/_xlfn.MINIFS(Apparitions!$L$2:$L$5001,Apparitions!$H$2:$H$5001,A671)),""))</f>
        <v/>
      </c>
    </row>
    <row r="672" customFormat="false" ht="15" hidden="false" customHeight="false" outlineLevel="0" collapsed="false">
      <c r="A672" s="19"/>
      <c r="B672" s="19"/>
      <c r="C672" s="19"/>
      <c r="D672" s="19"/>
      <c r="E672" s="32"/>
      <c r="F672" s="19"/>
      <c r="G672" s="26" t="str">
        <f aca="false">IF(A672="","",COUNTIF(Pubs!$B$2:$B$3001,A672))</f>
        <v/>
      </c>
      <c r="H672" s="26" t="str">
        <f aca="false">IF(A672="","",COUNTIF(Apparitions!$H$2:$H$5001,A672))</f>
        <v/>
      </c>
      <c r="I672" s="26" t="str">
        <f aca="false">IF(A672="","",COUNTIFS(Apparitions!$H$2:$H$5001,A672,Apparitions!$E$2:$E$5001,"○"))</f>
        <v/>
      </c>
      <c r="J672" s="29" t="str">
        <f aca="false">IF(A672="","",IFERROR(1/(1/_xlfn.MINIFS(Apparitions!$L$2:$L$5001,Apparitions!$H$2:$H$5001,A672)),""))</f>
        <v/>
      </c>
    </row>
    <row r="673" customFormat="false" ht="15" hidden="false" customHeight="false" outlineLevel="0" collapsed="false">
      <c r="A673" s="19"/>
      <c r="B673" s="19"/>
      <c r="C673" s="19"/>
      <c r="D673" s="19"/>
      <c r="E673" s="32"/>
      <c r="F673" s="19"/>
      <c r="G673" s="26" t="str">
        <f aca="false">IF(A673="","",COUNTIF(Pubs!$B$2:$B$3001,A673))</f>
        <v/>
      </c>
      <c r="H673" s="26" t="str">
        <f aca="false">IF(A673="","",COUNTIF(Apparitions!$H$2:$H$5001,A673))</f>
        <v/>
      </c>
      <c r="I673" s="26" t="str">
        <f aca="false">IF(A673="","",COUNTIFS(Apparitions!$H$2:$H$5001,A673,Apparitions!$E$2:$E$5001,"○"))</f>
        <v/>
      </c>
      <c r="J673" s="29" t="str">
        <f aca="false">IF(A673="","",IFERROR(1/(1/_xlfn.MINIFS(Apparitions!$L$2:$L$5001,Apparitions!$H$2:$H$5001,A673)),""))</f>
        <v/>
      </c>
    </row>
    <row r="674" customFormat="false" ht="15" hidden="false" customHeight="false" outlineLevel="0" collapsed="false">
      <c r="A674" s="19"/>
      <c r="B674" s="19"/>
      <c r="C674" s="19"/>
      <c r="D674" s="19"/>
      <c r="E674" s="32"/>
      <c r="F674" s="19"/>
      <c r="G674" s="26" t="str">
        <f aca="false">IF(A674="","",COUNTIF(Pubs!$B$2:$B$3001,A674))</f>
        <v/>
      </c>
      <c r="H674" s="26" t="str">
        <f aca="false">IF(A674="","",COUNTIF(Apparitions!$H$2:$H$5001,A674))</f>
        <v/>
      </c>
      <c r="I674" s="26" t="str">
        <f aca="false">IF(A674="","",COUNTIFS(Apparitions!$H$2:$H$5001,A674,Apparitions!$E$2:$E$5001,"○"))</f>
        <v/>
      </c>
      <c r="J674" s="29" t="str">
        <f aca="false">IF(A674="","",IFERROR(1/(1/_xlfn.MINIFS(Apparitions!$L$2:$L$5001,Apparitions!$H$2:$H$5001,A674)),""))</f>
        <v/>
      </c>
    </row>
    <row r="675" customFormat="false" ht="15" hidden="false" customHeight="false" outlineLevel="0" collapsed="false">
      <c r="A675" s="19"/>
      <c r="B675" s="19"/>
      <c r="C675" s="19"/>
      <c r="D675" s="19"/>
      <c r="E675" s="32"/>
      <c r="F675" s="19"/>
      <c r="G675" s="26" t="str">
        <f aca="false">IF(A675="","",COUNTIF(Pubs!$B$2:$B$3001,A675))</f>
        <v/>
      </c>
      <c r="H675" s="26" t="str">
        <f aca="false">IF(A675="","",COUNTIF(Apparitions!$H$2:$H$5001,A675))</f>
        <v/>
      </c>
      <c r="I675" s="26" t="str">
        <f aca="false">IF(A675="","",COUNTIFS(Apparitions!$H$2:$H$5001,A675,Apparitions!$E$2:$E$5001,"○"))</f>
        <v/>
      </c>
      <c r="J675" s="29" t="str">
        <f aca="false">IF(A675="","",IFERROR(1/(1/_xlfn.MINIFS(Apparitions!$L$2:$L$5001,Apparitions!$H$2:$H$5001,A675)),""))</f>
        <v/>
      </c>
    </row>
    <row r="676" customFormat="false" ht="15" hidden="false" customHeight="false" outlineLevel="0" collapsed="false">
      <c r="A676" s="19"/>
      <c r="B676" s="19"/>
      <c r="C676" s="19"/>
      <c r="D676" s="19"/>
      <c r="E676" s="32"/>
      <c r="F676" s="19"/>
      <c r="G676" s="26" t="str">
        <f aca="false">IF(A676="","",COUNTIF(Pubs!$B$2:$B$3001,A676))</f>
        <v/>
      </c>
      <c r="H676" s="26" t="str">
        <f aca="false">IF(A676="","",COUNTIF(Apparitions!$H$2:$H$5001,A676))</f>
        <v/>
      </c>
      <c r="I676" s="26" t="str">
        <f aca="false">IF(A676="","",COUNTIFS(Apparitions!$H$2:$H$5001,A676,Apparitions!$E$2:$E$5001,"○"))</f>
        <v/>
      </c>
      <c r="J676" s="29" t="str">
        <f aca="false">IF(A676="","",IFERROR(1/(1/_xlfn.MINIFS(Apparitions!$L$2:$L$5001,Apparitions!$H$2:$H$5001,A676)),""))</f>
        <v/>
      </c>
    </row>
    <row r="677" customFormat="false" ht="15" hidden="false" customHeight="false" outlineLevel="0" collapsed="false">
      <c r="A677" s="19"/>
      <c r="B677" s="19"/>
      <c r="C677" s="19"/>
      <c r="D677" s="19"/>
      <c r="E677" s="32"/>
      <c r="F677" s="19"/>
      <c r="G677" s="26" t="str">
        <f aca="false">IF(A677="","",COUNTIF(Pubs!$B$2:$B$3001,A677))</f>
        <v/>
      </c>
      <c r="H677" s="26" t="str">
        <f aca="false">IF(A677="","",COUNTIF(Apparitions!$H$2:$H$5001,A677))</f>
        <v/>
      </c>
      <c r="I677" s="26" t="str">
        <f aca="false">IF(A677="","",COUNTIFS(Apparitions!$H$2:$H$5001,A677,Apparitions!$E$2:$E$5001,"○"))</f>
        <v/>
      </c>
      <c r="J677" s="29" t="str">
        <f aca="false">IF(A677="","",IFERROR(1/(1/_xlfn.MINIFS(Apparitions!$L$2:$L$5001,Apparitions!$H$2:$H$5001,A677)),""))</f>
        <v/>
      </c>
    </row>
    <row r="678" customFormat="false" ht="15" hidden="false" customHeight="false" outlineLevel="0" collapsed="false">
      <c r="A678" s="19"/>
      <c r="B678" s="19"/>
      <c r="C678" s="19"/>
      <c r="D678" s="19"/>
      <c r="E678" s="32"/>
      <c r="F678" s="19"/>
      <c r="G678" s="26" t="str">
        <f aca="false">IF(A678="","",COUNTIF(Pubs!$B$2:$B$3001,A678))</f>
        <v/>
      </c>
      <c r="H678" s="26" t="str">
        <f aca="false">IF(A678="","",COUNTIF(Apparitions!$H$2:$H$5001,A678))</f>
        <v/>
      </c>
      <c r="I678" s="26" t="str">
        <f aca="false">IF(A678="","",COUNTIFS(Apparitions!$H$2:$H$5001,A678,Apparitions!$E$2:$E$5001,"○"))</f>
        <v/>
      </c>
      <c r="J678" s="29" t="str">
        <f aca="false">IF(A678="","",IFERROR(1/(1/_xlfn.MINIFS(Apparitions!$L$2:$L$5001,Apparitions!$H$2:$H$5001,A678)),""))</f>
        <v/>
      </c>
    </row>
    <row r="679" customFormat="false" ht="15" hidden="false" customHeight="false" outlineLevel="0" collapsed="false">
      <c r="A679" s="19"/>
      <c r="B679" s="19"/>
      <c r="C679" s="19"/>
      <c r="D679" s="19"/>
      <c r="E679" s="32"/>
      <c r="F679" s="19"/>
      <c r="G679" s="26" t="str">
        <f aca="false">IF(A679="","",COUNTIF(Pubs!$B$2:$B$3001,A679))</f>
        <v/>
      </c>
      <c r="H679" s="26" t="str">
        <f aca="false">IF(A679="","",COUNTIF(Apparitions!$H$2:$H$5001,A679))</f>
        <v/>
      </c>
      <c r="I679" s="26" t="str">
        <f aca="false">IF(A679="","",COUNTIFS(Apparitions!$H$2:$H$5001,A679,Apparitions!$E$2:$E$5001,"○"))</f>
        <v/>
      </c>
      <c r="J679" s="29" t="str">
        <f aca="false">IF(A679="","",IFERROR(1/(1/_xlfn.MINIFS(Apparitions!$L$2:$L$5001,Apparitions!$H$2:$H$5001,A679)),""))</f>
        <v/>
      </c>
    </row>
    <row r="680" customFormat="false" ht="15" hidden="false" customHeight="false" outlineLevel="0" collapsed="false">
      <c r="A680" s="19"/>
      <c r="B680" s="19"/>
      <c r="C680" s="19"/>
      <c r="D680" s="19"/>
      <c r="E680" s="32"/>
      <c r="F680" s="19"/>
      <c r="G680" s="26" t="str">
        <f aca="false">IF(A680="","",COUNTIF(Pubs!$B$2:$B$3001,A680))</f>
        <v/>
      </c>
      <c r="H680" s="26" t="str">
        <f aca="false">IF(A680="","",COUNTIF(Apparitions!$H$2:$H$5001,A680))</f>
        <v/>
      </c>
      <c r="I680" s="26" t="str">
        <f aca="false">IF(A680="","",COUNTIFS(Apparitions!$H$2:$H$5001,A680,Apparitions!$E$2:$E$5001,"○"))</f>
        <v/>
      </c>
      <c r="J680" s="29" t="str">
        <f aca="false">IF(A680="","",IFERROR(1/(1/_xlfn.MINIFS(Apparitions!$L$2:$L$5001,Apparitions!$H$2:$H$5001,A680)),""))</f>
        <v/>
      </c>
    </row>
    <row r="681" customFormat="false" ht="15" hidden="false" customHeight="false" outlineLevel="0" collapsed="false">
      <c r="A681" s="19"/>
      <c r="B681" s="19"/>
      <c r="C681" s="19"/>
      <c r="D681" s="19"/>
      <c r="E681" s="32"/>
      <c r="F681" s="19"/>
      <c r="G681" s="26" t="str">
        <f aca="false">IF(A681="","",COUNTIF(Pubs!$B$2:$B$3001,A681))</f>
        <v/>
      </c>
      <c r="H681" s="26" t="str">
        <f aca="false">IF(A681="","",COUNTIF(Apparitions!$H$2:$H$5001,A681))</f>
        <v/>
      </c>
      <c r="I681" s="26" t="str">
        <f aca="false">IF(A681="","",COUNTIFS(Apparitions!$H$2:$H$5001,A681,Apparitions!$E$2:$E$5001,"○"))</f>
        <v/>
      </c>
      <c r="J681" s="29" t="str">
        <f aca="false">IF(A681="","",IFERROR(1/(1/_xlfn.MINIFS(Apparitions!$L$2:$L$5001,Apparitions!$H$2:$H$5001,A681)),""))</f>
        <v/>
      </c>
    </row>
    <row r="682" customFormat="false" ht="15" hidden="false" customHeight="false" outlineLevel="0" collapsed="false">
      <c r="A682" s="19"/>
      <c r="B682" s="19"/>
      <c r="C682" s="19"/>
      <c r="D682" s="19"/>
      <c r="E682" s="32"/>
      <c r="F682" s="19"/>
      <c r="G682" s="26" t="str">
        <f aca="false">IF(A682="","",COUNTIF(Pubs!$B$2:$B$3001,A682))</f>
        <v/>
      </c>
      <c r="H682" s="26" t="str">
        <f aca="false">IF(A682="","",COUNTIF(Apparitions!$H$2:$H$5001,A682))</f>
        <v/>
      </c>
      <c r="I682" s="26" t="str">
        <f aca="false">IF(A682="","",COUNTIFS(Apparitions!$H$2:$H$5001,A682,Apparitions!$E$2:$E$5001,"○"))</f>
        <v/>
      </c>
      <c r="J682" s="29" t="str">
        <f aca="false">IF(A682="","",IFERROR(1/(1/_xlfn.MINIFS(Apparitions!$L$2:$L$5001,Apparitions!$H$2:$H$5001,A682)),""))</f>
        <v/>
      </c>
    </row>
    <row r="683" customFormat="false" ht="15" hidden="false" customHeight="false" outlineLevel="0" collapsed="false">
      <c r="A683" s="19"/>
      <c r="B683" s="19"/>
      <c r="C683" s="19"/>
      <c r="D683" s="19"/>
      <c r="E683" s="32"/>
      <c r="F683" s="19"/>
      <c r="G683" s="26" t="str">
        <f aca="false">IF(A683="","",COUNTIF(Pubs!$B$2:$B$3001,A683))</f>
        <v/>
      </c>
      <c r="H683" s="26" t="str">
        <f aca="false">IF(A683="","",COUNTIF(Apparitions!$H$2:$H$5001,A683))</f>
        <v/>
      </c>
      <c r="I683" s="26" t="str">
        <f aca="false">IF(A683="","",COUNTIFS(Apparitions!$H$2:$H$5001,A683,Apparitions!$E$2:$E$5001,"○"))</f>
        <v/>
      </c>
      <c r="J683" s="29" t="str">
        <f aca="false">IF(A683="","",IFERROR(1/(1/_xlfn.MINIFS(Apparitions!$L$2:$L$5001,Apparitions!$H$2:$H$5001,A683)),""))</f>
        <v/>
      </c>
    </row>
    <row r="684" customFormat="false" ht="15" hidden="false" customHeight="false" outlineLevel="0" collapsed="false">
      <c r="A684" s="19"/>
      <c r="B684" s="19"/>
      <c r="C684" s="19"/>
      <c r="D684" s="19"/>
      <c r="E684" s="32"/>
      <c r="F684" s="19"/>
      <c r="G684" s="26" t="str">
        <f aca="false">IF(A684="","",COUNTIF(Pubs!$B$2:$B$3001,A684))</f>
        <v/>
      </c>
      <c r="H684" s="26" t="str">
        <f aca="false">IF(A684="","",COUNTIF(Apparitions!$H$2:$H$5001,A684))</f>
        <v/>
      </c>
      <c r="I684" s="26" t="str">
        <f aca="false">IF(A684="","",COUNTIFS(Apparitions!$H$2:$H$5001,A684,Apparitions!$E$2:$E$5001,"○"))</f>
        <v/>
      </c>
      <c r="J684" s="29" t="str">
        <f aca="false">IF(A684="","",IFERROR(1/(1/_xlfn.MINIFS(Apparitions!$L$2:$L$5001,Apparitions!$H$2:$H$5001,A684)),""))</f>
        <v/>
      </c>
    </row>
    <row r="685" customFormat="false" ht="15" hidden="false" customHeight="false" outlineLevel="0" collapsed="false">
      <c r="A685" s="19"/>
      <c r="B685" s="19"/>
      <c r="C685" s="19"/>
      <c r="D685" s="19"/>
      <c r="E685" s="32"/>
      <c r="F685" s="19"/>
      <c r="G685" s="26" t="str">
        <f aca="false">IF(A685="","",COUNTIF(Pubs!$B$2:$B$3001,A685))</f>
        <v/>
      </c>
      <c r="H685" s="26" t="str">
        <f aca="false">IF(A685="","",COUNTIF(Apparitions!$H$2:$H$5001,A685))</f>
        <v/>
      </c>
      <c r="I685" s="26" t="str">
        <f aca="false">IF(A685="","",COUNTIFS(Apparitions!$H$2:$H$5001,A685,Apparitions!$E$2:$E$5001,"○"))</f>
        <v/>
      </c>
      <c r="J685" s="29" t="str">
        <f aca="false">IF(A685="","",IFERROR(1/(1/_xlfn.MINIFS(Apparitions!$L$2:$L$5001,Apparitions!$H$2:$H$5001,A685)),""))</f>
        <v/>
      </c>
    </row>
    <row r="686" customFormat="false" ht="15" hidden="false" customHeight="false" outlineLevel="0" collapsed="false">
      <c r="A686" s="19"/>
      <c r="B686" s="19"/>
      <c r="C686" s="19"/>
      <c r="D686" s="19"/>
      <c r="E686" s="32"/>
      <c r="F686" s="19"/>
      <c r="G686" s="26" t="str">
        <f aca="false">IF(A686="","",COUNTIF(Pubs!$B$2:$B$3001,A686))</f>
        <v/>
      </c>
      <c r="H686" s="26" t="str">
        <f aca="false">IF(A686="","",COUNTIF(Apparitions!$H$2:$H$5001,A686))</f>
        <v/>
      </c>
      <c r="I686" s="26" t="str">
        <f aca="false">IF(A686="","",COUNTIFS(Apparitions!$H$2:$H$5001,A686,Apparitions!$E$2:$E$5001,"○"))</f>
        <v/>
      </c>
      <c r="J686" s="29" t="str">
        <f aca="false">IF(A686="","",IFERROR(1/(1/_xlfn.MINIFS(Apparitions!$L$2:$L$5001,Apparitions!$H$2:$H$5001,A686)),""))</f>
        <v/>
      </c>
    </row>
    <row r="687" customFormat="false" ht="15" hidden="false" customHeight="false" outlineLevel="0" collapsed="false">
      <c r="A687" s="19"/>
      <c r="B687" s="19"/>
      <c r="C687" s="19"/>
      <c r="D687" s="19"/>
      <c r="E687" s="32"/>
      <c r="F687" s="19"/>
      <c r="G687" s="26" t="str">
        <f aca="false">IF(A687="","",COUNTIF(Pubs!$B$2:$B$3001,A687))</f>
        <v/>
      </c>
      <c r="H687" s="26" t="str">
        <f aca="false">IF(A687="","",COUNTIF(Apparitions!$H$2:$H$5001,A687))</f>
        <v/>
      </c>
      <c r="I687" s="26" t="str">
        <f aca="false">IF(A687="","",COUNTIFS(Apparitions!$H$2:$H$5001,A687,Apparitions!$E$2:$E$5001,"○"))</f>
        <v/>
      </c>
      <c r="J687" s="29" t="str">
        <f aca="false">IF(A687="","",IFERROR(1/(1/_xlfn.MINIFS(Apparitions!$L$2:$L$5001,Apparitions!$H$2:$H$5001,A687)),""))</f>
        <v/>
      </c>
    </row>
    <row r="688" customFormat="false" ht="15" hidden="false" customHeight="false" outlineLevel="0" collapsed="false">
      <c r="A688" s="19"/>
      <c r="B688" s="19"/>
      <c r="C688" s="19"/>
      <c r="D688" s="19"/>
      <c r="E688" s="32"/>
      <c r="F688" s="19"/>
      <c r="G688" s="26" t="str">
        <f aca="false">IF(A688="","",COUNTIF(Pubs!$B$2:$B$3001,A688))</f>
        <v/>
      </c>
      <c r="H688" s="26" t="str">
        <f aca="false">IF(A688="","",COUNTIF(Apparitions!$H$2:$H$5001,A688))</f>
        <v/>
      </c>
      <c r="I688" s="26" t="str">
        <f aca="false">IF(A688="","",COUNTIFS(Apparitions!$H$2:$H$5001,A688,Apparitions!$E$2:$E$5001,"○"))</f>
        <v/>
      </c>
      <c r="J688" s="29" t="str">
        <f aca="false">IF(A688="","",IFERROR(1/(1/_xlfn.MINIFS(Apparitions!$L$2:$L$5001,Apparitions!$H$2:$H$5001,A688)),""))</f>
        <v/>
      </c>
    </row>
    <row r="689" customFormat="false" ht="15" hidden="false" customHeight="false" outlineLevel="0" collapsed="false">
      <c r="A689" s="19"/>
      <c r="B689" s="19"/>
      <c r="C689" s="19"/>
      <c r="D689" s="19"/>
      <c r="E689" s="32"/>
      <c r="F689" s="19"/>
      <c r="G689" s="26" t="str">
        <f aca="false">IF(A689="","",COUNTIF(Pubs!$B$2:$B$3001,A689))</f>
        <v/>
      </c>
      <c r="H689" s="26" t="str">
        <f aca="false">IF(A689="","",COUNTIF(Apparitions!$H$2:$H$5001,A689))</f>
        <v/>
      </c>
      <c r="I689" s="26" t="str">
        <f aca="false">IF(A689="","",COUNTIFS(Apparitions!$H$2:$H$5001,A689,Apparitions!$E$2:$E$5001,"○"))</f>
        <v/>
      </c>
      <c r="J689" s="29" t="str">
        <f aca="false">IF(A689="","",IFERROR(1/(1/_xlfn.MINIFS(Apparitions!$L$2:$L$5001,Apparitions!$H$2:$H$5001,A689)),""))</f>
        <v/>
      </c>
    </row>
    <row r="690" customFormat="false" ht="15" hidden="false" customHeight="false" outlineLevel="0" collapsed="false">
      <c r="A690" s="19"/>
      <c r="B690" s="19"/>
      <c r="C690" s="19"/>
      <c r="D690" s="19"/>
      <c r="E690" s="32"/>
      <c r="F690" s="19"/>
      <c r="G690" s="26" t="str">
        <f aca="false">IF(A690="","",COUNTIF(Pubs!$B$2:$B$3001,A690))</f>
        <v/>
      </c>
      <c r="H690" s="26" t="str">
        <f aca="false">IF(A690="","",COUNTIF(Apparitions!$H$2:$H$5001,A690))</f>
        <v/>
      </c>
      <c r="I690" s="26" t="str">
        <f aca="false">IF(A690="","",COUNTIFS(Apparitions!$H$2:$H$5001,A690,Apparitions!$E$2:$E$5001,"○"))</f>
        <v/>
      </c>
      <c r="J690" s="29" t="str">
        <f aca="false">IF(A690="","",IFERROR(1/(1/_xlfn.MINIFS(Apparitions!$L$2:$L$5001,Apparitions!$H$2:$H$5001,A690)),""))</f>
        <v/>
      </c>
    </row>
    <row r="691" customFormat="false" ht="15" hidden="false" customHeight="false" outlineLevel="0" collapsed="false">
      <c r="A691" s="19"/>
      <c r="B691" s="19"/>
      <c r="C691" s="19"/>
      <c r="D691" s="19"/>
      <c r="E691" s="32"/>
      <c r="F691" s="19"/>
      <c r="G691" s="26" t="str">
        <f aca="false">IF(A691="","",COUNTIF(Pubs!$B$2:$B$3001,A691))</f>
        <v/>
      </c>
      <c r="H691" s="26" t="str">
        <f aca="false">IF(A691="","",COUNTIF(Apparitions!$H$2:$H$5001,A691))</f>
        <v/>
      </c>
      <c r="I691" s="26" t="str">
        <f aca="false">IF(A691="","",COUNTIFS(Apparitions!$H$2:$H$5001,A691,Apparitions!$E$2:$E$5001,"○"))</f>
        <v/>
      </c>
      <c r="J691" s="29" t="str">
        <f aca="false">IF(A691="","",IFERROR(1/(1/_xlfn.MINIFS(Apparitions!$L$2:$L$5001,Apparitions!$H$2:$H$5001,A691)),""))</f>
        <v/>
      </c>
    </row>
    <row r="692" customFormat="false" ht="15" hidden="false" customHeight="false" outlineLevel="0" collapsed="false">
      <c r="A692" s="19"/>
      <c r="B692" s="19"/>
      <c r="C692" s="19"/>
      <c r="D692" s="19"/>
      <c r="E692" s="32"/>
      <c r="F692" s="19"/>
      <c r="G692" s="26" t="str">
        <f aca="false">IF(A692="","",COUNTIF(Pubs!$B$2:$B$3001,A692))</f>
        <v/>
      </c>
      <c r="H692" s="26" t="str">
        <f aca="false">IF(A692="","",COUNTIF(Apparitions!$H$2:$H$5001,A692))</f>
        <v/>
      </c>
      <c r="I692" s="26" t="str">
        <f aca="false">IF(A692="","",COUNTIFS(Apparitions!$H$2:$H$5001,A692,Apparitions!$E$2:$E$5001,"○"))</f>
        <v/>
      </c>
      <c r="J692" s="29" t="str">
        <f aca="false">IF(A692="","",IFERROR(1/(1/_xlfn.MINIFS(Apparitions!$L$2:$L$5001,Apparitions!$H$2:$H$5001,A692)),""))</f>
        <v/>
      </c>
    </row>
    <row r="693" customFormat="false" ht="15" hidden="false" customHeight="false" outlineLevel="0" collapsed="false">
      <c r="A693" s="19"/>
      <c r="B693" s="19"/>
      <c r="C693" s="19"/>
      <c r="D693" s="19"/>
      <c r="E693" s="32"/>
      <c r="F693" s="19"/>
      <c r="G693" s="26" t="str">
        <f aca="false">IF(A693="","",COUNTIF(Pubs!$B$2:$B$3001,A693))</f>
        <v/>
      </c>
      <c r="H693" s="26" t="str">
        <f aca="false">IF(A693="","",COUNTIF(Apparitions!$H$2:$H$5001,A693))</f>
        <v/>
      </c>
      <c r="I693" s="26" t="str">
        <f aca="false">IF(A693="","",COUNTIFS(Apparitions!$H$2:$H$5001,A693,Apparitions!$E$2:$E$5001,"○"))</f>
        <v/>
      </c>
      <c r="J693" s="29" t="str">
        <f aca="false">IF(A693="","",IFERROR(1/(1/_xlfn.MINIFS(Apparitions!$L$2:$L$5001,Apparitions!$H$2:$H$5001,A693)),""))</f>
        <v/>
      </c>
    </row>
    <row r="694" customFormat="false" ht="15" hidden="false" customHeight="false" outlineLevel="0" collapsed="false">
      <c r="A694" s="19"/>
      <c r="B694" s="19"/>
      <c r="C694" s="19"/>
      <c r="D694" s="19"/>
      <c r="E694" s="32"/>
      <c r="F694" s="19"/>
      <c r="G694" s="26" t="str">
        <f aca="false">IF(A694="","",COUNTIF(Pubs!$B$2:$B$3001,A694))</f>
        <v/>
      </c>
      <c r="H694" s="26" t="str">
        <f aca="false">IF(A694="","",COUNTIF(Apparitions!$H$2:$H$5001,A694))</f>
        <v/>
      </c>
      <c r="I694" s="26" t="str">
        <f aca="false">IF(A694="","",COUNTIFS(Apparitions!$H$2:$H$5001,A694,Apparitions!$E$2:$E$5001,"○"))</f>
        <v/>
      </c>
      <c r="J694" s="29" t="str">
        <f aca="false">IF(A694="","",IFERROR(1/(1/_xlfn.MINIFS(Apparitions!$L$2:$L$5001,Apparitions!$H$2:$H$5001,A694)),""))</f>
        <v/>
      </c>
    </row>
    <row r="695" customFormat="false" ht="15" hidden="false" customHeight="false" outlineLevel="0" collapsed="false">
      <c r="A695" s="19"/>
      <c r="B695" s="19"/>
      <c r="C695" s="19"/>
      <c r="D695" s="19"/>
      <c r="E695" s="32"/>
      <c r="F695" s="19"/>
      <c r="G695" s="26" t="str">
        <f aca="false">IF(A695="","",COUNTIF(Pubs!$B$2:$B$3001,A695))</f>
        <v/>
      </c>
      <c r="H695" s="26" t="str">
        <f aca="false">IF(A695="","",COUNTIF(Apparitions!$H$2:$H$5001,A695))</f>
        <v/>
      </c>
      <c r="I695" s="26" t="str">
        <f aca="false">IF(A695="","",COUNTIFS(Apparitions!$H$2:$H$5001,A695,Apparitions!$E$2:$E$5001,"○"))</f>
        <v/>
      </c>
      <c r="J695" s="29" t="str">
        <f aca="false">IF(A695="","",IFERROR(1/(1/_xlfn.MINIFS(Apparitions!$L$2:$L$5001,Apparitions!$H$2:$H$5001,A695)),""))</f>
        <v/>
      </c>
    </row>
    <row r="696" customFormat="false" ht="15" hidden="false" customHeight="false" outlineLevel="0" collapsed="false">
      <c r="A696" s="19"/>
      <c r="B696" s="19"/>
      <c r="C696" s="19"/>
      <c r="D696" s="19"/>
      <c r="E696" s="32"/>
      <c r="F696" s="19"/>
      <c r="G696" s="26" t="str">
        <f aca="false">IF(A696="","",COUNTIF(Pubs!$B$2:$B$3001,A696))</f>
        <v/>
      </c>
      <c r="H696" s="26" t="str">
        <f aca="false">IF(A696="","",COUNTIF(Apparitions!$H$2:$H$5001,A696))</f>
        <v/>
      </c>
      <c r="I696" s="26" t="str">
        <f aca="false">IF(A696="","",COUNTIFS(Apparitions!$H$2:$H$5001,A696,Apparitions!$E$2:$E$5001,"○"))</f>
        <v/>
      </c>
      <c r="J696" s="29" t="str">
        <f aca="false">IF(A696="","",IFERROR(1/(1/_xlfn.MINIFS(Apparitions!$L$2:$L$5001,Apparitions!$H$2:$H$5001,A696)),""))</f>
        <v/>
      </c>
    </row>
    <row r="697" customFormat="false" ht="15" hidden="false" customHeight="false" outlineLevel="0" collapsed="false">
      <c r="A697" s="19"/>
      <c r="B697" s="19"/>
      <c r="C697" s="19"/>
      <c r="D697" s="19"/>
      <c r="E697" s="32"/>
      <c r="F697" s="19"/>
      <c r="G697" s="26" t="str">
        <f aca="false">IF(A697="","",COUNTIF(Pubs!$B$2:$B$3001,A697))</f>
        <v/>
      </c>
      <c r="H697" s="26" t="str">
        <f aca="false">IF(A697="","",COUNTIF(Apparitions!$H$2:$H$5001,A697))</f>
        <v/>
      </c>
      <c r="I697" s="26" t="str">
        <f aca="false">IF(A697="","",COUNTIFS(Apparitions!$H$2:$H$5001,A697,Apparitions!$E$2:$E$5001,"○"))</f>
        <v/>
      </c>
      <c r="J697" s="29" t="str">
        <f aca="false">IF(A697="","",IFERROR(1/(1/_xlfn.MINIFS(Apparitions!$L$2:$L$5001,Apparitions!$H$2:$H$5001,A697)),""))</f>
        <v/>
      </c>
    </row>
    <row r="698" customFormat="false" ht="15" hidden="false" customHeight="false" outlineLevel="0" collapsed="false">
      <c r="A698" s="19"/>
      <c r="B698" s="19"/>
      <c r="C698" s="19"/>
      <c r="D698" s="19"/>
      <c r="E698" s="32"/>
      <c r="F698" s="19"/>
      <c r="G698" s="26" t="str">
        <f aca="false">IF(A698="","",COUNTIF(Pubs!$B$2:$B$3001,A698))</f>
        <v/>
      </c>
      <c r="H698" s="26" t="str">
        <f aca="false">IF(A698="","",COUNTIF(Apparitions!$H$2:$H$5001,A698))</f>
        <v/>
      </c>
      <c r="I698" s="26" t="str">
        <f aca="false">IF(A698="","",COUNTIFS(Apparitions!$H$2:$H$5001,A698,Apparitions!$E$2:$E$5001,"○"))</f>
        <v/>
      </c>
      <c r="J698" s="29" t="str">
        <f aca="false">IF(A698="","",IFERROR(1/(1/_xlfn.MINIFS(Apparitions!$L$2:$L$5001,Apparitions!$H$2:$H$5001,A698)),""))</f>
        <v/>
      </c>
    </row>
    <row r="699" customFormat="false" ht="15" hidden="false" customHeight="false" outlineLevel="0" collapsed="false">
      <c r="A699" s="19"/>
      <c r="B699" s="19"/>
      <c r="C699" s="19"/>
      <c r="D699" s="19"/>
      <c r="E699" s="32"/>
      <c r="F699" s="19"/>
      <c r="G699" s="26" t="str">
        <f aca="false">IF(A699="","",COUNTIF(Pubs!$B$2:$B$3001,A699))</f>
        <v/>
      </c>
      <c r="H699" s="26" t="str">
        <f aca="false">IF(A699="","",COUNTIF(Apparitions!$H$2:$H$5001,A699))</f>
        <v/>
      </c>
      <c r="I699" s="26" t="str">
        <f aca="false">IF(A699="","",COUNTIFS(Apparitions!$H$2:$H$5001,A699,Apparitions!$E$2:$E$5001,"○"))</f>
        <v/>
      </c>
      <c r="J699" s="29" t="str">
        <f aca="false">IF(A699="","",IFERROR(1/(1/_xlfn.MINIFS(Apparitions!$L$2:$L$5001,Apparitions!$H$2:$H$5001,A699)),""))</f>
        <v/>
      </c>
    </row>
    <row r="700" customFormat="false" ht="15" hidden="false" customHeight="false" outlineLevel="0" collapsed="false">
      <c r="A700" s="19"/>
      <c r="B700" s="19"/>
      <c r="C700" s="19"/>
      <c r="D700" s="19"/>
      <c r="E700" s="32"/>
      <c r="F700" s="19"/>
      <c r="G700" s="26" t="str">
        <f aca="false">IF(A700="","",COUNTIF(Pubs!$B$2:$B$3001,A700))</f>
        <v/>
      </c>
      <c r="H700" s="26" t="str">
        <f aca="false">IF(A700="","",COUNTIF(Apparitions!$H$2:$H$5001,A700))</f>
        <v/>
      </c>
      <c r="I700" s="26" t="str">
        <f aca="false">IF(A700="","",COUNTIFS(Apparitions!$H$2:$H$5001,A700,Apparitions!$E$2:$E$5001,"○"))</f>
        <v/>
      </c>
      <c r="J700" s="29" t="str">
        <f aca="false">IF(A700="","",IFERROR(1/(1/_xlfn.MINIFS(Apparitions!$L$2:$L$5001,Apparitions!$H$2:$H$5001,A700)),""))</f>
        <v/>
      </c>
    </row>
    <row r="701" customFormat="false" ht="15" hidden="false" customHeight="false" outlineLevel="0" collapsed="false">
      <c r="A701" s="19"/>
      <c r="B701" s="19"/>
      <c r="C701" s="19"/>
      <c r="D701" s="19"/>
      <c r="E701" s="32"/>
      <c r="F701" s="19"/>
      <c r="G701" s="26" t="str">
        <f aca="false">IF(A701="","",COUNTIF(Pubs!$B$2:$B$3001,A701))</f>
        <v/>
      </c>
      <c r="H701" s="26" t="str">
        <f aca="false">IF(A701="","",COUNTIF(Apparitions!$H$2:$H$5001,A701))</f>
        <v/>
      </c>
      <c r="I701" s="26" t="str">
        <f aca="false">IF(A701="","",COUNTIFS(Apparitions!$H$2:$H$5001,A701,Apparitions!$E$2:$E$5001,"○"))</f>
        <v/>
      </c>
      <c r="J701" s="29" t="str">
        <f aca="false">IF(A701="","",IFERROR(1/(1/_xlfn.MINIFS(Apparitions!$L$2:$L$5001,Apparitions!$H$2:$H$5001,A701)),""))</f>
        <v/>
      </c>
    </row>
    <row r="702" customFormat="false" ht="15" hidden="false" customHeight="false" outlineLevel="0" collapsed="false">
      <c r="A702" s="19"/>
      <c r="B702" s="19"/>
      <c r="C702" s="19"/>
      <c r="D702" s="19"/>
      <c r="E702" s="32"/>
      <c r="F702" s="19"/>
      <c r="G702" s="26" t="str">
        <f aca="false">IF(A702="","",COUNTIF(Pubs!$B$2:$B$3001,A702))</f>
        <v/>
      </c>
      <c r="H702" s="26" t="str">
        <f aca="false">IF(A702="","",COUNTIF(Apparitions!$H$2:$H$5001,A702))</f>
        <v/>
      </c>
      <c r="I702" s="26" t="str">
        <f aca="false">IF(A702="","",COUNTIFS(Apparitions!$H$2:$H$5001,A702,Apparitions!$E$2:$E$5001,"○"))</f>
        <v/>
      </c>
      <c r="J702" s="29" t="str">
        <f aca="false">IF(A702="","",IFERROR(1/(1/_xlfn.MINIFS(Apparitions!$L$2:$L$5001,Apparitions!$H$2:$H$5001,A702)),""))</f>
        <v/>
      </c>
    </row>
    <row r="703" customFormat="false" ht="15" hidden="false" customHeight="false" outlineLevel="0" collapsed="false">
      <c r="A703" s="19"/>
      <c r="B703" s="19"/>
      <c r="C703" s="19"/>
      <c r="D703" s="19"/>
      <c r="E703" s="32"/>
      <c r="F703" s="19"/>
      <c r="G703" s="26" t="str">
        <f aca="false">IF(A703="","",COUNTIF(Pubs!$B$2:$B$3001,A703))</f>
        <v/>
      </c>
      <c r="H703" s="26" t="str">
        <f aca="false">IF(A703="","",COUNTIF(Apparitions!$H$2:$H$5001,A703))</f>
        <v/>
      </c>
      <c r="I703" s="26" t="str">
        <f aca="false">IF(A703="","",COUNTIFS(Apparitions!$H$2:$H$5001,A703,Apparitions!$E$2:$E$5001,"○"))</f>
        <v/>
      </c>
      <c r="J703" s="29" t="str">
        <f aca="false">IF(A703="","",IFERROR(1/(1/_xlfn.MINIFS(Apparitions!$L$2:$L$5001,Apparitions!$H$2:$H$5001,A703)),""))</f>
        <v/>
      </c>
    </row>
    <row r="704" customFormat="false" ht="15" hidden="false" customHeight="false" outlineLevel="0" collapsed="false">
      <c r="A704" s="19"/>
      <c r="B704" s="19"/>
      <c r="C704" s="19"/>
      <c r="D704" s="19"/>
      <c r="E704" s="32"/>
      <c r="F704" s="19"/>
      <c r="G704" s="26" t="str">
        <f aca="false">IF(A704="","",COUNTIF(Pubs!$B$2:$B$3001,A704))</f>
        <v/>
      </c>
      <c r="H704" s="26" t="str">
        <f aca="false">IF(A704="","",COUNTIF(Apparitions!$H$2:$H$5001,A704))</f>
        <v/>
      </c>
      <c r="I704" s="26" t="str">
        <f aca="false">IF(A704="","",COUNTIFS(Apparitions!$H$2:$H$5001,A704,Apparitions!$E$2:$E$5001,"○"))</f>
        <v/>
      </c>
      <c r="J704" s="29" t="str">
        <f aca="false">IF(A704="","",IFERROR(1/(1/_xlfn.MINIFS(Apparitions!$L$2:$L$5001,Apparitions!$H$2:$H$5001,A704)),""))</f>
        <v/>
      </c>
    </row>
    <row r="705" customFormat="false" ht="15" hidden="false" customHeight="false" outlineLevel="0" collapsed="false">
      <c r="A705" s="19"/>
      <c r="B705" s="19"/>
      <c r="C705" s="19"/>
      <c r="D705" s="19"/>
      <c r="E705" s="32"/>
      <c r="F705" s="19"/>
      <c r="G705" s="26" t="str">
        <f aca="false">IF(A705="","",COUNTIF(Pubs!$B$2:$B$3001,A705))</f>
        <v/>
      </c>
      <c r="H705" s="26" t="str">
        <f aca="false">IF(A705="","",COUNTIF(Apparitions!$H$2:$H$5001,A705))</f>
        <v/>
      </c>
      <c r="I705" s="26" t="str">
        <f aca="false">IF(A705="","",COUNTIFS(Apparitions!$H$2:$H$5001,A705,Apparitions!$E$2:$E$5001,"○"))</f>
        <v/>
      </c>
      <c r="J705" s="29" t="str">
        <f aca="false">IF(A705="","",IFERROR(1/(1/_xlfn.MINIFS(Apparitions!$L$2:$L$5001,Apparitions!$H$2:$H$5001,A705)),""))</f>
        <v/>
      </c>
    </row>
    <row r="706" customFormat="false" ht="15" hidden="false" customHeight="false" outlineLevel="0" collapsed="false">
      <c r="A706" s="19"/>
      <c r="B706" s="19"/>
      <c r="C706" s="19"/>
      <c r="D706" s="19"/>
      <c r="E706" s="32"/>
      <c r="F706" s="19"/>
      <c r="G706" s="26" t="str">
        <f aca="false">IF(A706="","",COUNTIF(Pubs!$B$2:$B$3001,A706))</f>
        <v/>
      </c>
      <c r="H706" s="26" t="str">
        <f aca="false">IF(A706="","",COUNTIF(Apparitions!$H$2:$H$5001,A706))</f>
        <v/>
      </c>
      <c r="I706" s="26" t="str">
        <f aca="false">IF(A706="","",COUNTIFS(Apparitions!$H$2:$H$5001,A706,Apparitions!$E$2:$E$5001,"○"))</f>
        <v/>
      </c>
      <c r="J706" s="29" t="str">
        <f aca="false">IF(A706="","",IFERROR(1/(1/_xlfn.MINIFS(Apparitions!$L$2:$L$5001,Apparitions!$H$2:$H$5001,A706)),""))</f>
        <v/>
      </c>
    </row>
    <row r="707" customFormat="false" ht="15" hidden="false" customHeight="false" outlineLevel="0" collapsed="false">
      <c r="A707" s="19"/>
      <c r="B707" s="19"/>
      <c r="C707" s="19"/>
      <c r="D707" s="19"/>
      <c r="E707" s="32"/>
      <c r="F707" s="19"/>
      <c r="G707" s="26" t="str">
        <f aca="false">IF(A707="","",COUNTIF(Pubs!$B$2:$B$3001,A707))</f>
        <v/>
      </c>
      <c r="H707" s="26" t="str">
        <f aca="false">IF(A707="","",COUNTIF(Apparitions!$H$2:$H$5001,A707))</f>
        <v/>
      </c>
      <c r="I707" s="26" t="str">
        <f aca="false">IF(A707="","",COUNTIFS(Apparitions!$H$2:$H$5001,A707,Apparitions!$E$2:$E$5001,"○"))</f>
        <v/>
      </c>
      <c r="J707" s="29" t="str">
        <f aca="false">IF(A707="","",IFERROR(1/(1/_xlfn.MINIFS(Apparitions!$L$2:$L$5001,Apparitions!$H$2:$H$5001,A707)),""))</f>
        <v/>
      </c>
    </row>
    <row r="708" customFormat="false" ht="15" hidden="false" customHeight="false" outlineLevel="0" collapsed="false">
      <c r="A708" s="19"/>
      <c r="B708" s="19"/>
      <c r="C708" s="19"/>
      <c r="D708" s="19"/>
      <c r="E708" s="32"/>
      <c r="F708" s="19"/>
      <c r="G708" s="26" t="str">
        <f aca="false">IF(A708="","",COUNTIF(Pubs!$B$2:$B$3001,A708))</f>
        <v/>
      </c>
      <c r="H708" s="26" t="str">
        <f aca="false">IF(A708="","",COUNTIF(Apparitions!$H$2:$H$5001,A708))</f>
        <v/>
      </c>
      <c r="I708" s="26" t="str">
        <f aca="false">IF(A708="","",COUNTIFS(Apparitions!$H$2:$H$5001,A708,Apparitions!$E$2:$E$5001,"○"))</f>
        <v/>
      </c>
      <c r="J708" s="29" t="str">
        <f aca="false">IF(A708="","",IFERROR(1/(1/_xlfn.MINIFS(Apparitions!$L$2:$L$5001,Apparitions!$H$2:$H$5001,A708)),""))</f>
        <v/>
      </c>
    </row>
    <row r="709" customFormat="false" ht="15" hidden="false" customHeight="false" outlineLevel="0" collapsed="false">
      <c r="A709" s="19"/>
      <c r="B709" s="19"/>
      <c r="C709" s="19"/>
      <c r="D709" s="19"/>
      <c r="E709" s="32"/>
      <c r="F709" s="19"/>
      <c r="G709" s="26" t="str">
        <f aca="false">IF(A709="","",COUNTIF(Pubs!$B$2:$B$3001,A709))</f>
        <v/>
      </c>
      <c r="H709" s="26" t="str">
        <f aca="false">IF(A709="","",COUNTIF(Apparitions!$H$2:$H$5001,A709))</f>
        <v/>
      </c>
      <c r="I709" s="26" t="str">
        <f aca="false">IF(A709="","",COUNTIFS(Apparitions!$H$2:$H$5001,A709,Apparitions!$E$2:$E$5001,"○"))</f>
        <v/>
      </c>
      <c r="J709" s="29" t="str">
        <f aca="false">IF(A709="","",IFERROR(1/(1/_xlfn.MINIFS(Apparitions!$L$2:$L$5001,Apparitions!$H$2:$H$5001,A709)),""))</f>
        <v/>
      </c>
    </row>
    <row r="710" customFormat="false" ht="15" hidden="false" customHeight="false" outlineLevel="0" collapsed="false">
      <c r="A710" s="19"/>
      <c r="B710" s="19"/>
      <c r="C710" s="19"/>
      <c r="D710" s="19"/>
      <c r="E710" s="32"/>
      <c r="F710" s="19"/>
      <c r="G710" s="26" t="str">
        <f aca="false">IF(A710="","",COUNTIF(Pubs!$B$2:$B$3001,A710))</f>
        <v/>
      </c>
      <c r="H710" s="26" t="str">
        <f aca="false">IF(A710="","",COUNTIF(Apparitions!$H$2:$H$5001,A710))</f>
        <v/>
      </c>
      <c r="I710" s="26" t="str">
        <f aca="false">IF(A710="","",COUNTIFS(Apparitions!$H$2:$H$5001,A710,Apparitions!$E$2:$E$5001,"○"))</f>
        <v/>
      </c>
      <c r="J710" s="29" t="str">
        <f aca="false">IF(A710="","",IFERROR(1/(1/_xlfn.MINIFS(Apparitions!$L$2:$L$5001,Apparitions!$H$2:$H$5001,A710)),""))</f>
        <v/>
      </c>
    </row>
    <row r="711" customFormat="false" ht="15" hidden="false" customHeight="false" outlineLevel="0" collapsed="false">
      <c r="A711" s="19"/>
      <c r="B711" s="19"/>
      <c r="C711" s="19"/>
      <c r="D711" s="19"/>
      <c r="E711" s="32"/>
      <c r="F711" s="19"/>
      <c r="G711" s="26" t="str">
        <f aca="false">IF(A711="","",COUNTIF(Pubs!$B$2:$B$3001,A711))</f>
        <v/>
      </c>
      <c r="H711" s="26" t="str">
        <f aca="false">IF(A711="","",COUNTIF(Apparitions!$H$2:$H$5001,A711))</f>
        <v/>
      </c>
      <c r="I711" s="26" t="str">
        <f aca="false">IF(A711="","",COUNTIFS(Apparitions!$H$2:$H$5001,A711,Apparitions!$E$2:$E$5001,"○"))</f>
        <v/>
      </c>
      <c r="J711" s="29" t="str">
        <f aca="false">IF(A711="","",IFERROR(1/(1/_xlfn.MINIFS(Apparitions!$L$2:$L$5001,Apparitions!$H$2:$H$5001,A711)),""))</f>
        <v/>
      </c>
    </row>
    <row r="712" customFormat="false" ht="15" hidden="false" customHeight="false" outlineLevel="0" collapsed="false">
      <c r="A712" s="19"/>
      <c r="B712" s="19"/>
      <c r="C712" s="19"/>
      <c r="D712" s="19"/>
      <c r="E712" s="32"/>
      <c r="F712" s="19"/>
      <c r="G712" s="26" t="str">
        <f aca="false">IF(A712="","",COUNTIF(Pubs!$B$2:$B$3001,A712))</f>
        <v/>
      </c>
      <c r="H712" s="26" t="str">
        <f aca="false">IF(A712="","",COUNTIF(Apparitions!$H$2:$H$5001,A712))</f>
        <v/>
      </c>
      <c r="I712" s="26" t="str">
        <f aca="false">IF(A712="","",COUNTIFS(Apparitions!$H$2:$H$5001,A712,Apparitions!$E$2:$E$5001,"○"))</f>
        <v/>
      </c>
      <c r="J712" s="29" t="str">
        <f aca="false">IF(A712="","",IFERROR(1/(1/_xlfn.MINIFS(Apparitions!$L$2:$L$5001,Apparitions!$H$2:$H$5001,A712)),""))</f>
        <v/>
      </c>
    </row>
    <row r="713" customFormat="false" ht="15" hidden="false" customHeight="false" outlineLevel="0" collapsed="false">
      <c r="A713" s="19"/>
      <c r="B713" s="19"/>
      <c r="C713" s="19"/>
      <c r="D713" s="19"/>
      <c r="E713" s="32"/>
      <c r="F713" s="19"/>
      <c r="G713" s="26" t="str">
        <f aca="false">IF(A713="","",COUNTIF(Pubs!$B$2:$B$3001,A713))</f>
        <v/>
      </c>
      <c r="H713" s="26" t="str">
        <f aca="false">IF(A713="","",COUNTIF(Apparitions!$H$2:$H$5001,A713))</f>
        <v/>
      </c>
      <c r="I713" s="26" t="str">
        <f aca="false">IF(A713="","",COUNTIFS(Apparitions!$H$2:$H$5001,A713,Apparitions!$E$2:$E$5001,"○"))</f>
        <v/>
      </c>
      <c r="J713" s="29" t="str">
        <f aca="false">IF(A713="","",IFERROR(1/(1/_xlfn.MINIFS(Apparitions!$L$2:$L$5001,Apparitions!$H$2:$H$5001,A713)),""))</f>
        <v/>
      </c>
    </row>
    <row r="714" customFormat="false" ht="15" hidden="false" customHeight="false" outlineLevel="0" collapsed="false">
      <c r="A714" s="19"/>
      <c r="B714" s="19"/>
      <c r="C714" s="19"/>
      <c r="D714" s="19"/>
      <c r="E714" s="32"/>
      <c r="F714" s="19"/>
      <c r="G714" s="26" t="str">
        <f aca="false">IF(A714="","",COUNTIF(Pubs!$B$2:$B$3001,A714))</f>
        <v/>
      </c>
      <c r="H714" s="26" t="str">
        <f aca="false">IF(A714="","",COUNTIF(Apparitions!$H$2:$H$5001,A714))</f>
        <v/>
      </c>
      <c r="I714" s="26" t="str">
        <f aca="false">IF(A714="","",COUNTIFS(Apparitions!$H$2:$H$5001,A714,Apparitions!$E$2:$E$5001,"○"))</f>
        <v/>
      </c>
      <c r="J714" s="29" t="str">
        <f aca="false">IF(A714="","",IFERROR(1/(1/_xlfn.MINIFS(Apparitions!$L$2:$L$5001,Apparitions!$H$2:$H$5001,A714)),""))</f>
        <v/>
      </c>
    </row>
    <row r="715" customFormat="false" ht="15" hidden="false" customHeight="false" outlineLevel="0" collapsed="false">
      <c r="A715" s="19"/>
      <c r="B715" s="19"/>
      <c r="C715" s="19"/>
      <c r="D715" s="19"/>
      <c r="E715" s="32"/>
      <c r="F715" s="19"/>
      <c r="G715" s="26" t="str">
        <f aca="false">IF(A715="","",COUNTIF(Pubs!$B$2:$B$3001,A715))</f>
        <v/>
      </c>
      <c r="H715" s="26" t="str">
        <f aca="false">IF(A715="","",COUNTIF(Apparitions!$H$2:$H$5001,A715))</f>
        <v/>
      </c>
      <c r="I715" s="26" t="str">
        <f aca="false">IF(A715="","",COUNTIFS(Apparitions!$H$2:$H$5001,A715,Apparitions!$E$2:$E$5001,"○"))</f>
        <v/>
      </c>
      <c r="J715" s="29" t="str">
        <f aca="false">IF(A715="","",IFERROR(1/(1/_xlfn.MINIFS(Apparitions!$L$2:$L$5001,Apparitions!$H$2:$H$5001,A715)),""))</f>
        <v/>
      </c>
    </row>
    <row r="716" customFormat="false" ht="15" hidden="false" customHeight="false" outlineLevel="0" collapsed="false">
      <c r="A716" s="19"/>
      <c r="B716" s="19"/>
      <c r="C716" s="19"/>
      <c r="D716" s="19"/>
      <c r="E716" s="32"/>
      <c r="F716" s="19"/>
      <c r="G716" s="26" t="str">
        <f aca="false">IF(A716="","",COUNTIF(Pubs!$B$2:$B$3001,A716))</f>
        <v/>
      </c>
      <c r="H716" s="26" t="str">
        <f aca="false">IF(A716="","",COUNTIF(Apparitions!$H$2:$H$5001,A716))</f>
        <v/>
      </c>
      <c r="I716" s="26" t="str">
        <f aca="false">IF(A716="","",COUNTIFS(Apparitions!$H$2:$H$5001,A716,Apparitions!$E$2:$E$5001,"○"))</f>
        <v/>
      </c>
      <c r="J716" s="29" t="str">
        <f aca="false">IF(A716="","",IFERROR(1/(1/_xlfn.MINIFS(Apparitions!$L$2:$L$5001,Apparitions!$H$2:$H$5001,A716)),""))</f>
        <v/>
      </c>
    </row>
    <row r="717" customFormat="false" ht="15" hidden="false" customHeight="false" outlineLevel="0" collapsed="false">
      <c r="A717" s="19"/>
      <c r="B717" s="19"/>
      <c r="C717" s="19"/>
      <c r="D717" s="19"/>
      <c r="E717" s="32"/>
      <c r="F717" s="19"/>
      <c r="G717" s="26" t="str">
        <f aca="false">IF(A717="","",COUNTIF(Pubs!$B$2:$B$3001,A717))</f>
        <v/>
      </c>
      <c r="H717" s="26" t="str">
        <f aca="false">IF(A717="","",COUNTIF(Apparitions!$H$2:$H$5001,A717))</f>
        <v/>
      </c>
      <c r="I717" s="26" t="str">
        <f aca="false">IF(A717="","",COUNTIFS(Apparitions!$H$2:$H$5001,A717,Apparitions!$E$2:$E$5001,"○"))</f>
        <v/>
      </c>
      <c r="J717" s="29" t="str">
        <f aca="false">IF(A717="","",IFERROR(1/(1/_xlfn.MINIFS(Apparitions!$L$2:$L$5001,Apparitions!$H$2:$H$5001,A717)),""))</f>
        <v/>
      </c>
    </row>
    <row r="718" customFormat="false" ht="15" hidden="false" customHeight="false" outlineLevel="0" collapsed="false">
      <c r="A718" s="19"/>
      <c r="B718" s="19"/>
      <c r="C718" s="19"/>
      <c r="D718" s="19"/>
      <c r="E718" s="32"/>
      <c r="F718" s="19"/>
      <c r="G718" s="26" t="str">
        <f aca="false">IF(A718="","",COUNTIF(Pubs!$B$2:$B$3001,A718))</f>
        <v/>
      </c>
      <c r="H718" s="26" t="str">
        <f aca="false">IF(A718="","",COUNTIF(Apparitions!$H$2:$H$5001,A718))</f>
        <v/>
      </c>
      <c r="I718" s="26" t="str">
        <f aca="false">IF(A718="","",COUNTIFS(Apparitions!$H$2:$H$5001,A718,Apparitions!$E$2:$E$5001,"○"))</f>
        <v/>
      </c>
      <c r="J718" s="29" t="str">
        <f aca="false">IF(A718="","",IFERROR(1/(1/_xlfn.MINIFS(Apparitions!$L$2:$L$5001,Apparitions!$H$2:$H$5001,A718)),""))</f>
        <v/>
      </c>
    </row>
    <row r="719" customFormat="false" ht="15" hidden="false" customHeight="false" outlineLevel="0" collapsed="false">
      <c r="A719" s="19"/>
      <c r="B719" s="19"/>
      <c r="C719" s="19"/>
      <c r="D719" s="19"/>
      <c r="E719" s="32"/>
      <c r="F719" s="19"/>
      <c r="G719" s="26" t="str">
        <f aca="false">IF(A719="","",COUNTIF(Pubs!$B$2:$B$3001,A719))</f>
        <v/>
      </c>
      <c r="H719" s="26" t="str">
        <f aca="false">IF(A719="","",COUNTIF(Apparitions!$H$2:$H$5001,A719))</f>
        <v/>
      </c>
      <c r="I719" s="26" t="str">
        <f aca="false">IF(A719="","",COUNTIFS(Apparitions!$H$2:$H$5001,A719,Apparitions!$E$2:$E$5001,"○"))</f>
        <v/>
      </c>
      <c r="J719" s="29" t="str">
        <f aca="false">IF(A719="","",IFERROR(1/(1/_xlfn.MINIFS(Apparitions!$L$2:$L$5001,Apparitions!$H$2:$H$5001,A719)),""))</f>
        <v/>
      </c>
    </row>
    <row r="720" customFormat="false" ht="15" hidden="false" customHeight="false" outlineLevel="0" collapsed="false">
      <c r="A720" s="19"/>
      <c r="B720" s="19"/>
      <c r="C720" s="19"/>
      <c r="D720" s="19"/>
      <c r="E720" s="32"/>
      <c r="F720" s="19"/>
      <c r="G720" s="26" t="str">
        <f aca="false">IF(A720="","",COUNTIF(Pubs!$B$2:$B$3001,A720))</f>
        <v/>
      </c>
      <c r="H720" s="26" t="str">
        <f aca="false">IF(A720="","",COUNTIF(Apparitions!$H$2:$H$5001,A720))</f>
        <v/>
      </c>
      <c r="I720" s="26" t="str">
        <f aca="false">IF(A720="","",COUNTIFS(Apparitions!$H$2:$H$5001,A720,Apparitions!$E$2:$E$5001,"○"))</f>
        <v/>
      </c>
      <c r="J720" s="29" t="str">
        <f aca="false">IF(A720="","",IFERROR(1/(1/_xlfn.MINIFS(Apparitions!$L$2:$L$5001,Apparitions!$H$2:$H$5001,A720)),""))</f>
        <v/>
      </c>
    </row>
    <row r="721" customFormat="false" ht="15" hidden="false" customHeight="false" outlineLevel="0" collapsed="false">
      <c r="A721" s="19"/>
      <c r="B721" s="19"/>
      <c r="C721" s="19"/>
      <c r="D721" s="19"/>
      <c r="E721" s="32"/>
      <c r="F721" s="19"/>
      <c r="G721" s="26" t="str">
        <f aca="false">IF(A721="","",COUNTIF(Pubs!$B$2:$B$3001,A721))</f>
        <v/>
      </c>
      <c r="H721" s="26" t="str">
        <f aca="false">IF(A721="","",COUNTIF(Apparitions!$H$2:$H$5001,A721))</f>
        <v/>
      </c>
      <c r="I721" s="26" t="str">
        <f aca="false">IF(A721="","",COUNTIFS(Apparitions!$H$2:$H$5001,A721,Apparitions!$E$2:$E$5001,"○"))</f>
        <v/>
      </c>
      <c r="J721" s="29" t="str">
        <f aca="false">IF(A721="","",IFERROR(1/(1/_xlfn.MINIFS(Apparitions!$L$2:$L$5001,Apparitions!$H$2:$H$5001,A721)),""))</f>
        <v/>
      </c>
    </row>
    <row r="722" customFormat="false" ht="15" hidden="false" customHeight="false" outlineLevel="0" collapsed="false">
      <c r="A722" s="19"/>
      <c r="B722" s="19"/>
      <c r="C722" s="19"/>
      <c r="D722" s="19"/>
      <c r="E722" s="32"/>
      <c r="F722" s="19"/>
      <c r="G722" s="26" t="str">
        <f aca="false">IF(A722="","",COUNTIF(Pubs!$B$2:$B$3001,A722))</f>
        <v/>
      </c>
      <c r="H722" s="26" t="str">
        <f aca="false">IF(A722="","",COUNTIF(Apparitions!$H$2:$H$5001,A722))</f>
        <v/>
      </c>
      <c r="I722" s="26" t="str">
        <f aca="false">IF(A722="","",COUNTIFS(Apparitions!$H$2:$H$5001,A722,Apparitions!$E$2:$E$5001,"○"))</f>
        <v/>
      </c>
      <c r="J722" s="29" t="str">
        <f aca="false">IF(A722="","",IFERROR(1/(1/_xlfn.MINIFS(Apparitions!$L$2:$L$5001,Apparitions!$H$2:$H$5001,A722)),""))</f>
        <v/>
      </c>
    </row>
    <row r="723" customFormat="false" ht="15" hidden="false" customHeight="false" outlineLevel="0" collapsed="false">
      <c r="A723" s="19"/>
      <c r="B723" s="19"/>
      <c r="C723" s="19"/>
      <c r="D723" s="19"/>
      <c r="E723" s="32"/>
      <c r="F723" s="19"/>
      <c r="G723" s="26" t="str">
        <f aca="false">IF(A723="","",COUNTIF(Pubs!$B$2:$B$3001,A723))</f>
        <v/>
      </c>
      <c r="H723" s="26" t="str">
        <f aca="false">IF(A723="","",COUNTIF(Apparitions!$H$2:$H$5001,A723))</f>
        <v/>
      </c>
      <c r="I723" s="26" t="str">
        <f aca="false">IF(A723="","",COUNTIFS(Apparitions!$H$2:$H$5001,A723,Apparitions!$E$2:$E$5001,"○"))</f>
        <v/>
      </c>
      <c r="J723" s="29" t="str">
        <f aca="false">IF(A723="","",IFERROR(1/(1/_xlfn.MINIFS(Apparitions!$L$2:$L$5001,Apparitions!$H$2:$H$5001,A723)),""))</f>
        <v/>
      </c>
    </row>
    <row r="724" customFormat="false" ht="15" hidden="false" customHeight="false" outlineLevel="0" collapsed="false">
      <c r="A724" s="19"/>
      <c r="B724" s="19"/>
      <c r="C724" s="19"/>
      <c r="D724" s="19"/>
      <c r="E724" s="32"/>
      <c r="F724" s="19"/>
      <c r="G724" s="26" t="str">
        <f aca="false">IF(A724="","",COUNTIF(Pubs!$B$2:$B$3001,A724))</f>
        <v/>
      </c>
      <c r="H724" s="26" t="str">
        <f aca="false">IF(A724="","",COUNTIF(Apparitions!$H$2:$H$5001,A724))</f>
        <v/>
      </c>
      <c r="I724" s="26" t="str">
        <f aca="false">IF(A724="","",COUNTIFS(Apparitions!$H$2:$H$5001,A724,Apparitions!$E$2:$E$5001,"○"))</f>
        <v/>
      </c>
      <c r="J724" s="29" t="str">
        <f aca="false">IF(A724="","",IFERROR(1/(1/_xlfn.MINIFS(Apparitions!$L$2:$L$5001,Apparitions!$H$2:$H$5001,A724)),""))</f>
        <v/>
      </c>
    </row>
    <row r="725" customFormat="false" ht="15" hidden="false" customHeight="false" outlineLevel="0" collapsed="false">
      <c r="A725" s="19"/>
      <c r="B725" s="19"/>
      <c r="C725" s="19"/>
      <c r="D725" s="19"/>
      <c r="E725" s="32"/>
      <c r="F725" s="19"/>
      <c r="G725" s="26" t="str">
        <f aca="false">IF(A725="","",COUNTIF(Pubs!$B$2:$B$3001,A725))</f>
        <v/>
      </c>
      <c r="H725" s="26" t="str">
        <f aca="false">IF(A725="","",COUNTIF(Apparitions!$H$2:$H$5001,A725))</f>
        <v/>
      </c>
      <c r="I725" s="26" t="str">
        <f aca="false">IF(A725="","",COUNTIFS(Apparitions!$H$2:$H$5001,A725,Apparitions!$E$2:$E$5001,"○"))</f>
        <v/>
      </c>
      <c r="J725" s="29" t="str">
        <f aca="false">IF(A725="","",IFERROR(1/(1/_xlfn.MINIFS(Apparitions!$L$2:$L$5001,Apparitions!$H$2:$H$5001,A725)),""))</f>
        <v/>
      </c>
    </row>
    <row r="726" customFormat="false" ht="15" hidden="false" customHeight="false" outlineLevel="0" collapsed="false">
      <c r="A726" s="19"/>
      <c r="B726" s="19"/>
      <c r="C726" s="19"/>
      <c r="D726" s="19"/>
      <c r="E726" s="32"/>
      <c r="F726" s="19"/>
      <c r="G726" s="26" t="str">
        <f aca="false">IF(A726="","",COUNTIF(Pubs!$B$2:$B$3001,A726))</f>
        <v/>
      </c>
      <c r="H726" s="26" t="str">
        <f aca="false">IF(A726="","",COUNTIF(Apparitions!$H$2:$H$5001,A726))</f>
        <v/>
      </c>
      <c r="I726" s="26" t="str">
        <f aca="false">IF(A726="","",COUNTIFS(Apparitions!$H$2:$H$5001,A726,Apparitions!$E$2:$E$5001,"○"))</f>
        <v/>
      </c>
      <c r="J726" s="29" t="str">
        <f aca="false">IF(A726="","",IFERROR(1/(1/_xlfn.MINIFS(Apparitions!$L$2:$L$5001,Apparitions!$H$2:$H$5001,A726)),""))</f>
        <v/>
      </c>
    </row>
    <row r="727" customFormat="false" ht="15" hidden="false" customHeight="false" outlineLevel="0" collapsed="false">
      <c r="A727" s="19"/>
      <c r="B727" s="19"/>
      <c r="C727" s="19"/>
      <c r="D727" s="19"/>
      <c r="E727" s="32"/>
      <c r="F727" s="19"/>
      <c r="G727" s="26" t="str">
        <f aca="false">IF(A727="","",COUNTIF(Pubs!$B$2:$B$3001,A727))</f>
        <v/>
      </c>
      <c r="H727" s="26" t="str">
        <f aca="false">IF(A727="","",COUNTIF(Apparitions!$H$2:$H$5001,A727))</f>
        <v/>
      </c>
      <c r="I727" s="26" t="str">
        <f aca="false">IF(A727="","",COUNTIFS(Apparitions!$H$2:$H$5001,A727,Apparitions!$E$2:$E$5001,"○"))</f>
        <v/>
      </c>
      <c r="J727" s="29" t="str">
        <f aca="false">IF(A727="","",IFERROR(1/(1/_xlfn.MINIFS(Apparitions!$L$2:$L$5001,Apparitions!$H$2:$H$5001,A727)),""))</f>
        <v/>
      </c>
    </row>
    <row r="728" customFormat="false" ht="15" hidden="false" customHeight="false" outlineLevel="0" collapsed="false">
      <c r="A728" s="19"/>
      <c r="B728" s="19"/>
      <c r="C728" s="19"/>
      <c r="D728" s="19"/>
      <c r="E728" s="32"/>
      <c r="F728" s="19"/>
      <c r="G728" s="26" t="str">
        <f aca="false">IF(A728="","",COUNTIF(Pubs!$B$2:$B$3001,A728))</f>
        <v/>
      </c>
      <c r="H728" s="26" t="str">
        <f aca="false">IF(A728="","",COUNTIF(Apparitions!$H$2:$H$5001,A728))</f>
        <v/>
      </c>
      <c r="I728" s="26" t="str">
        <f aca="false">IF(A728="","",COUNTIFS(Apparitions!$H$2:$H$5001,A728,Apparitions!$E$2:$E$5001,"○"))</f>
        <v/>
      </c>
      <c r="J728" s="29" t="str">
        <f aca="false">IF(A728="","",IFERROR(1/(1/_xlfn.MINIFS(Apparitions!$L$2:$L$5001,Apparitions!$H$2:$H$5001,A728)),""))</f>
        <v/>
      </c>
    </row>
    <row r="729" customFormat="false" ht="15" hidden="false" customHeight="false" outlineLevel="0" collapsed="false">
      <c r="A729" s="19"/>
      <c r="B729" s="19"/>
      <c r="C729" s="19"/>
      <c r="D729" s="19"/>
      <c r="E729" s="32"/>
      <c r="F729" s="19"/>
      <c r="G729" s="26" t="str">
        <f aca="false">IF(A729="","",COUNTIF(Pubs!$B$2:$B$3001,A729))</f>
        <v/>
      </c>
      <c r="H729" s="26" t="str">
        <f aca="false">IF(A729="","",COUNTIF(Apparitions!$H$2:$H$5001,A729))</f>
        <v/>
      </c>
      <c r="I729" s="26" t="str">
        <f aca="false">IF(A729="","",COUNTIFS(Apparitions!$H$2:$H$5001,A729,Apparitions!$E$2:$E$5001,"○"))</f>
        <v/>
      </c>
      <c r="J729" s="29" t="str">
        <f aca="false">IF(A729="","",IFERROR(1/(1/_xlfn.MINIFS(Apparitions!$L$2:$L$5001,Apparitions!$H$2:$H$5001,A729)),""))</f>
        <v/>
      </c>
    </row>
    <row r="730" customFormat="false" ht="15" hidden="false" customHeight="false" outlineLevel="0" collapsed="false">
      <c r="A730" s="19"/>
      <c r="B730" s="19"/>
      <c r="C730" s="19"/>
      <c r="D730" s="19"/>
      <c r="E730" s="32"/>
      <c r="F730" s="19"/>
      <c r="G730" s="26" t="str">
        <f aca="false">IF(A730="","",COUNTIF(Pubs!$B$2:$B$3001,A730))</f>
        <v/>
      </c>
      <c r="H730" s="26" t="str">
        <f aca="false">IF(A730="","",COUNTIF(Apparitions!$H$2:$H$5001,A730))</f>
        <v/>
      </c>
      <c r="I730" s="26" t="str">
        <f aca="false">IF(A730="","",COUNTIFS(Apparitions!$H$2:$H$5001,A730,Apparitions!$E$2:$E$5001,"○"))</f>
        <v/>
      </c>
      <c r="J730" s="29" t="str">
        <f aca="false">IF(A730="","",IFERROR(1/(1/_xlfn.MINIFS(Apparitions!$L$2:$L$5001,Apparitions!$H$2:$H$5001,A730)),""))</f>
        <v/>
      </c>
    </row>
    <row r="731" customFormat="false" ht="15" hidden="false" customHeight="false" outlineLevel="0" collapsed="false">
      <c r="A731" s="19"/>
      <c r="B731" s="19"/>
      <c r="C731" s="19"/>
      <c r="D731" s="19"/>
      <c r="E731" s="32"/>
      <c r="F731" s="19"/>
      <c r="G731" s="26" t="str">
        <f aca="false">IF(A731="","",COUNTIF(Pubs!$B$2:$B$3001,A731))</f>
        <v/>
      </c>
      <c r="H731" s="26" t="str">
        <f aca="false">IF(A731="","",COUNTIF(Apparitions!$H$2:$H$5001,A731))</f>
        <v/>
      </c>
      <c r="I731" s="26" t="str">
        <f aca="false">IF(A731="","",COUNTIFS(Apparitions!$H$2:$H$5001,A731,Apparitions!$E$2:$E$5001,"○"))</f>
        <v/>
      </c>
      <c r="J731" s="29" t="str">
        <f aca="false">IF(A731="","",IFERROR(1/(1/_xlfn.MINIFS(Apparitions!$L$2:$L$5001,Apparitions!$H$2:$H$5001,A731)),""))</f>
        <v/>
      </c>
    </row>
    <row r="732" customFormat="false" ht="15" hidden="false" customHeight="false" outlineLevel="0" collapsed="false">
      <c r="A732" s="19"/>
      <c r="B732" s="19"/>
      <c r="C732" s="19"/>
      <c r="D732" s="19"/>
      <c r="E732" s="32"/>
      <c r="F732" s="19"/>
      <c r="G732" s="26" t="str">
        <f aca="false">IF(A732="","",COUNTIF(Pubs!$B$2:$B$3001,A732))</f>
        <v/>
      </c>
      <c r="H732" s="26" t="str">
        <f aca="false">IF(A732="","",COUNTIF(Apparitions!$H$2:$H$5001,A732))</f>
        <v/>
      </c>
      <c r="I732" s="26" t="str">
        <f aca="false">IF(A732="","",COUNTIFS(Apparitions!$H$2:$H$5001,A732,Apparitions!$E$2:$E$5001,"○"))</f>
        <v/>
      </c>
      <c r="J732" s="29" t="str">
        <f aca="false">IF(A732="","",IFERROR(1/(1/_xlfn.MINIFS(Apparitions!$L$2:$L$5001,Apparitions!$H$2:$H$5001,A732)),""))</f>
        <v/>
      </c>
    </row>
    <row r="733" customFormat="false" ht="15" hidden="false" customHeight="false" outlineLevel="0" collapsed="false">
      <c r="A733" s="19"/>
      <c r="B733" s="19"/>
      <c r="C733" s="19"/>
      <c r="D733" s="19"/>
      <c r="E733" s="32"/>
      <c r="F733" s="19"/>
      <c r="G733" s="26" t="str">
        <f aca="false">IF(A733="","",COUNTIF(Pubs!$B$2:$B$3001,A733))</f>
        <v/>
      </c>
      <c r="H733" s="26" t="str">
        <f aca="false">IF(A733="","",COUNTIF(Apparitions!$H$2:$H$5001,A733))</f>
        <v/>
      </c>
      <c r="I733" s="26" t="str">
        <f aca="false">IF(A733="","",COUNTIFS(Apparitions!$H$2:$H$5001,A733,Apparitions!$E$2:$E$5001,"○"))</f>
        <v/>
      </c>
      <c r="J733" s="29" t="str">
        <f aca="false">IF(A733="","",IFERROR(1/(1/_xlfn.MINIFS(Apparitions!$L$2:$L$5001,Apparitions!$H$2:$H$5001,A733)),""))</f>
        <v/>
      </c>
    </row>
    <row r="734" customFormat="false" ht="15" hidden="false" customHeight="false" outlineLevel="0" collapsed="false">
      <c r="A734" s="19"/>
      <c r="B734" s="19"/>
      <c r="C734" s="19"/>
      <c r="D734" s="19"/>
      <c r="E734" s="32"/>
      <c r="F734" s="19"/>
      <c r="G734" s="26" t="str">
        <f aca="false">IF(A734="","",COUNTIF(Pubs!$B$2:$B$3001,A734))</f>
        <v/>
      </c>
      <c r="H734" s="26" t="str">
        <f aca="false">IF(A734="","",COUNTIF(Apparitions!$H$2:$H$5001,A734))</f>
        <v/>
      </c>
      <c r="I734" s="26" t="str">
        <f aca="false">IF(A734="","",COUNTIFS(Apparitions!$H$2:$H$5001,A734,Apparitions!$E$2:$E$5001,"○"))</f>
        <v/>
      </c>
      <c r="J734" s="29" t="str">
        <f aca="false">IF(A734="","",IFERROR(1/(1/_xlfn.MINIFS(Apparitions!$L$2:$L$5001,Apparitions!$H$2:$H$5001,A734)),""))</f>
        <v/>
      </c>
    </row>
    <row r="735" customFormat="false" ht="15" hidden="false" customHeight="false" outlineLevel="0" collapsed="false">
      <c r="A735" s="19"/>
      <c r="B735" s="19"/>
      <c r="C735" s="19"/>
      <c r="D735" s="19"/>
      <c r="E735" s="32"/>
      <c r="F735" s="19"/>
      <c r="G735" s="26" t="str">
        <f aca="false">IF(A735="","",COUNTIF(Pubs!$B$2:$B$3001,A735))</f>
        <v/>
      </c>
      <c r="H735" s="26" t="str">
        <f aca="false">IF(A735="","",COUNTIF(Apparitions!$H$2:$H$5001,A735))</f>
        <v/>
      </c>
      <c r="I735" s="26" t="str">
        <f aca="false">IF(A735="","",COUNTIFS(Apparitions!$H$2:$H$5001,A735,Apparitions!$E$2:$E$5001,"○"))</f>
        <v/>
      </c>
      <c r="J735" s="29" t="str">
        <f aca="false">IF(A735="","",IFERROR(1/(1/_xlfn.MINIFS(Apparitions!$L$2:$L$5001,Apparitions!$H$2:$H$5001,A735)),""))</f>
        <v/>
      </c>
    </row>
    <row r="736" customFormat="false" ht="15" hidden="false" customHeight="false" outlineLevel="0" collapsed="false">
      <c r="A736" s="19"/>
      <c r="B736" s="19"/>
      <c r="C736" s="19"/>
      <c r="D736" s="19"/>
      <c r="E736" s="32"/>
      <c r="F736" s="19"/>
      <c r="G736" s="26" t="str">
        <f aca="false">IF(A736="","",COUNTIF(Pubs!$B$2:$B$3001,A736))</f>
        <v/>
      </c>
      <c r="H736" s="26" t="str">
        <f aca="false">IF(A736="","",COUNTIF(Apparitions!$H$2:$H$5001,A736))</f>
        <v/>
      </c>
      <c r="I736" s="26" t="str">
        <f aca="false">IF(A736="","",COUNTIFS(Apparitions!$H$2:$H$5001,A736,Apparitions!$E$2:$E$5001,"○"))</f>
        <v/>
      </c>
      <c r="J736" s="29" t="str">
        <f aca="false">IF(A736="","",IFERROR(1/(1/_xlfn.MINIFS(Apparitions!$L$2:$L$5001,Apparitions!$H$2:$H$5001,A736)),""))</f>
        <v/>
      </c>
    </row>
    <row r="737" customFormat="false" ht="15" hidden="false" customHeight="false" outlineLevel="0" collapsed="false">
      <c r="A737" s="19"/>
      <c r="B737" s="19"/>
      <c r="C737" s="19"/>
      <c r="D737" s="19"/>
      <c r="E737" s="32"/>
      <c r="F737" s="19"/>
      <c r="G737" s="26" t="str">
        <f aca="false">IF(A737="","",COUNTIF(Pubs!$B$2:$B$3001,A737))</f>
        <v/>
      </c>
      <c r="H737" s="26" t="str">
        <f aca="false">IF(A737="","",COUNTIF(Apparitions!$H$2:$H$5001,A737))</f>
        <v/>
      </c>
      <c r="I737" s="26" t="str">
        <f aca="false">IF(A737="","",COUNTIFS(Apparitions!$H$2:$H$5001,A737,Apparitions!$E$2:$E$5001,"○"))</f>
        <v/>
      </c>
      <c r="J737" s="29" t="str">
        <f aca="false">IF(A737="","",IFERROR(1/(1/_xlfn.MINIFS(Apparitions!$L$2:$L$5001,Apparitions!$H$2:$H$5001,A737)),""))</f>
        <v/>
      </c>
    </row>
    <row r="738" customFormat="false" ht="15" hidden="false" customHeight="false" outlineLevel="0" collapsed="false">
      <c r="A738" s="19"/>
      <c r="B738" s="19"/>
      <c r="C738" s="19"/>
      <c r="D738" s="19"/>
      <c r="E738" s="32"/>
      <c r="F738" s="19"/>
      <c r="G738" s="26" t="str">
        <f aca="false">IF(A738="","",COUNTIF(Pubs!$B$2:$B$3001,A738))</f>
        <v/>
      </c>
      <c r="H738" s="26" t="str">
        <f aca="false">IF(A738="","",COUNTIF(Apparitions!$H$2:$H$5001,A738))</f>
        <v/>
      </c>
      <c r="I738" s="26" t="str">
        <f aca="false">IF(A738="","",COUNTIFS(Apparitions!$H$2:$H$5001,A738,Apparitions!$E$2:$E$5001,"○"))</f>
        <v/>
      </c>
      <c r="J738" s="29" t="str">
        <f aca="false">IF(A738="","",IFERROR(1/(1/_xlfn.MINIFS(Apparitions!$L$2:$L$5001,Apparitions!$H$2:$H$5001,A738)),""))</f>
        <v/>
      </c>
    </row>
    <row r="739" customFormat="false" ht="15" hidden="false" customHeight="false" outlineLevel="0" collapsed="false">
      <c r="A739" s="19"/>
      <c r="B739" s="19"/>
      <c r="C739" s="19"/>
      <c r="D739" s="19"/>
      <c r="E739" s="32"/>
      <c r="F739" s="19"/>
      <c r="G739" s="26" t="str">
        <f aca="false">IF(A739="","",COUNTIF(Pubs!$B$2:$B$3001,A739))</f>
        <v/>
      </c>
      <c r="H739" s="26" t="str">
        <f aca="false">IF(A739="","",COUNTIF(Apparitions!$H$2:$H$5001,A739))</f>
        <v/>
      </c>
      <c r="I739" s="26" t="str">
        <f aca="false">IF(A739="","",COUNTIFS(Apparitions!$H$2:$H$5001,A739,Apparitions!$E$2:$E$5001,"○"))</f>
        <v/>
      </c>
      <c r="J739" s="29" t="str">
        <f aca="false">IF(A739="","",IFERROR(1/(1/_xlfn.MINIFS(Apparitions!$L$2:$L$5001,Apparitions!$H$2:$H$5001,A739)),""))</f>
        <v/>
      </c>
    </row>
    <row r="740" customFormat="false" ht="15" hidden="false" customHeight="false" outlineLevel="0" collapsed="false">
      <c r="A740" s="19"/>
      <c r="B740" s="19"/>
      <c r="C740" s="19"/>
      <c r="D740" s="19"/>
      <c r="E740" s="32"/>
      <c r="F740" s="19"/>
      <c r="G740" s="26" t="str">
        <f aca="false">IF(A740="","",COUNTIF(Pubs!$B$2:$B$3001,A740))</f>
        <v/>
      </c>
      <c r="H740" s="26" t="str">
        <f aca="false">IF(A740="","",COUNTIF(Apparitions!$H$2:$H$5001,A740))</f>
        <v/>
      </c>
      <c r="I740" s="26" t="str">
        <f aca="false">IF(A740="","",COUNTIFS(Apparitions!$H$2:$H$5001,A740,Apparitions!$E$2:$E$5001,"○"))</f>
        <v/>
      </c>
      <c r="J740" s="29" t="str">
        <f aca="false">IF(A740="","",IFERROR(1/(1/_xlfn.MINIFS(Apparitions!$L$2:$L$5001,Apparitions!$H$2:$H$5001,A740)),""))</f>
        <v/>
      </c>
    </row>
    <row r="741" customFormat="false" ht="15" hidden="false" customHeight="false" outlineLevel="0" collapsed="false">
      <c r="A741" s="19"/>
      <c r="B741" s="19"/>
      <c r="C741" s="19"/>
      <c r="D741" s="19"/>
      <c r="E741" s="32"/>
      <c r="F741" s="19"/>
      <c r="G741" s="26" t="str">
        <f aca="false">IF(A741="","",COUNTIF(Pubs!$B$2:$B$3001,A741))</f>
        <v/>
      </c>
      <c r="H741" s="26" t="str">
        <f aca="false">IF(A741="","",COUNTIF(Apparitions!$H$2:$H$5001,A741))</f>
        <v/>
      </c>
      <c r="I741" s="26" t="str">
        <f aca="false">IF(A741="","",COUNTIFS(Apparitions!$H$2:$H$5001,A741,Apparitions!$E$2:$E$5001,"○"))</f>
        <v/>
      </c>
      <c r="J741" s="29" t="str">
        <f aca="false">IF(A741="","",IFERROR(1/(1/_xlfn.MINIFS(Apparitions!$L$2:$L$5001,Apparitions!$H$2:$H$5001,A741)),""))</f>
        <v/>
      </c>
    </row>
    <row r="742" customFormat="false" ht="15" hidden="false" customHeight="false" outlineLevel="0" collapsed="false">
      <c r="A742" s="19"/>
      <c r="B742" s="19"/>
      <c r="C742" s="19"/>
      <c r="D742" s="19"/>
      <c r="E742" s="32"/>
      <c r="F742" s="19"/>
      <c r="G742" s="26" t="str">
        <f aca="false">IF(A742="","",COUNTIF(Pubs!$B$2:$B$3001,A742))</f>
        <v/>
      </c>
      <c r="H742" s="26" t="str">
        <f aca="false">IF(A742="","",COUNTIF(Apparitions!$H$2:$H$5001,A742))</f>
        <v/>
      </c>
      <c r="I742" s="26" t="str">
        <f aca="false">IF(A742="","",COUNTIFS(Apparitions!$H$2:$H$5001,A742,Apparitions!$E$2:$E$5001,"○"))</f>
        <v/>
      </c>
      <c r="J742" s="29" t="str">
        <f aca="false">IF(A742="","",IFERROR(1/(1/_xlfn.MINIFS(Apparitions!$L$2:$L$5001,Apparitions!$H$2:$H$5001,A742)),""))</f>
        <v/>
      </c>
    </row>
    <row r="743" customFormat="false" ht="15" hidden="false" customHeight="false" outlineLevel="0" collapsed="false">
      <c r="A743" s="19"/>
      <c r="B743" s="19"/>
      <c r="C743" s="19"/>
      <c r="D743" s="19"/>
      <c r="E743" s="32"/>
      <c r="F743" s="19"/>
      <c r="G743" s="26" t="str">
        <f aca="false">IF(A743="","",COUNTIF(Pubs!$B$2:$B$3001,A743))</f>
        <v/>
      </c>
      <c r="H743" s="26" t="str">
        <f aca="false">IF(A743="","",COUNTIF(Apparitions!$H$2:$H$5001,A743))</f>
        <v/>
      </c>
      <c r="I743" s="26" t="str">
        <f aca="false">IF(A743="","",COUNTIFS(Apparitions!$H$2:$H$5001,A743,Apparitions!$E$2:$E$5001,"○"))</f>
        <v/>
      </c>
      <c r="J743" s="29" t="str">
        <f aca="false">IF(A743="","",IFERROR(1/(1/_xlfn.MINIFS(Apparitions!$L$2:$L$5001,Apparitions!$H$2:$H$5001,A743)),""))</f>
        <v/>
      </c>
    </row>
    <row r="744" customFormat="false" ht="15" hidden="false" customHeight="false" outlineLevel="0" collapsed="false">
      <c r="A744" s="19"/>
      <c r="B744" s="19"/>
      <c r="C744" s="19"/>
      <c r="D744" s="19"/>
      <c r="E744" s="32"/>
      <c r="F744" s="19"/>
      <c r="G744" s="26" t="str">
        <f aca="false">IF(A744="","",COUNTIF(Pubs!$B$2:$B$3001,A744))</f>
        <v/>
      </c>
      <c r="H744" s="26" t="str">
        <f aca="false">IF(A744="","",COUNTIF(Apparitions!$H$2:$H$5001,A744))</f>
        <v/>
      </c>
      <c r="I744" s="26" t="str">
        <f aca="false">IF(A744="","",COUNTIFS(Apparitions!$H$2:$H$5001,A744,Apparitions!$E$2:$E$5001,"○"))</f>
        <v/>
      </c>
      <c r="J744" s="29" t="str">
        <f aca="false">IF(A744="","",IFERROR(1/(1/_xlfn.MINIFS(Apparitions!$L$2:$L$5001,Apparitions!$H$2:$H$5001,A744)),""))</f>
        <v/>
      </c>
    </row>
    <row r="745" customFormat="false" ht="15" hidden="false" customHeight="false" outlineLevel="0" collapsed="false">
      <c r="A745" s="19"/>
      <c r="B745" s="19"/>
      <c r="C745" s="19"/>
      <c r="D745" s="19"/>
      <c r="E745" s="32"/>
      <c r="F745" s="19"/>
      <c r="G745" s="26" t="str">
        <f aca="false">IF(A745="","",COUNTIF(Pubs!$B$2:$B$3001,A745))</f>
        <v/>
      </c>
      <c r="H745" s="26" t="str">
        <f aca="false">IF(A745="","",COUNTIF(Apparitions!$H$2:$H$5001,A745))</f>
        <v/>
      </c>
      <c r="I745" s="26" t="str">
        <f aca="false">IF(A745="","",COUNTIFS(Apparitions!$H$2:$H$5001,A745,Apparitions!$E$2:$E$5001,"○"))</f>
        <v/>
      </c>
      <c r="J745" s="29" t="str">
        <f aca="false">IF(A745="","",IFERROR(1/(1/_xlfn.MINIFS(Apparitions!$L$2:$L$5001,Apparitions!$H$2:$H$5001,A745)),""))</f>
        <v/>
      </c>
    </row>
    <row r="746" customFormat="false" ht="15" hidden="false" customHeight="false" outlineLevel="0" collapsed="false">
      <c r="A746" s="19"/>
      <c r="B746" s="19"/>
      <c r="C746" s="19"/>
      <c r="D746" s="19"/>
      <c r="E746" s="32"/>
      <c r="F746" s="19"/>
      <c r="G746" s="26" t="str">
        <f aca="false">IF(A746="","",COUNTIF(Pubs!$B$2:$B$3001,A746))</f>
        <v/>
      </c>
      <c r="H746" s="26" t="str">
        <f aca="false">IF(A746="","",COUNTIF(Apparitions!$H$2:$H$5001,A746))</f>
        <v/>
      </c>
      <c r="I746" s="26" t="str">
        <f aca="false">IF(A746="","",COUNTIFS(Apparitions!$H$2:$H$5001,A746,Apparitions!$E$2:$E$5001,"○"))</f>
        <v/>
      </c>
      <c r="J746" s="29" t="str">
        <f aca="false">IF(A746="","",IFERROR(1/(1/_xlfn.MINIFS(Apparitions!$L$2:$L$5001,Apparitions!$H$2:$H$5001,A746)),""))</f>
        <v/>
      </c>
    </row>
    <row r="747" customFormat="false" ht="15" hidden="false" customHeight="false" outlineLevel="0" collapsed="false">
      <c r="A747" s="19"/>
      <c r="B747" s="19"/>
      <c r="C747" s="19"/>
      <c r="D747" s="19"/>
      <c r="E747" s="32"/>
      <c r="F747" s="19"/>
      <c r="G747" s="26" t="str">
        <f aca="false">IF(A747="","",COUNTIF(Pubs!$B$2:$B$3001,A747))</f>
        <v/>
      </c>
      <c r="H747" s="26" t="str">
        <f aca="false">IF(A747="","",COUNTIF(Apparitions!$H$2:$H$5001,A747))</f>
        <v/>
      </c>
      <c r="I747" s="26" t="str">
        <f aca="false">IF(A747="","",COUNTIFS(Apparitions!$H$2:$H$5001,A747,Apparitions!$E$2:$E$5001,"○"))</f>
        <v/>
      </c>
      <c r="J747" s="29" t="str">
        <f aca="false">IF(A747="","",IFERROR(1/(1/_xlfn.MINIFS(Apparitions!$L$2:$L$5001,Apparitions!$H$2:$H$5001,A747)),""))</f>
        <v/>
      </c>
    </row>
    <row r="748" customFormat="false" ht="15" hidden="false" customHeight="false" outlineLevel="0" collapsed="false">
      <c r="A748" s="19"/>
      <c r="B748" s="19"/>
      <c r="C748" s="19"/>
      <c r="D748" s="19"/>
      <c r="E748" s="32"/>
      <c r="F748" s="19"/>
      <c r="G748" s="26" t="str">
        <f aca="false">IF(A748="","",COUNTIF(Pubs!$B$2:$B$3001,A748))</f>
        <v/>
      </c>
      <c r="H748" s="26" t="str">
        <f aca="false">IF(A748="","",COUNTIF(Apparitions!$H$2:$H$5001,A748))</f>
        <v/>
      </c>
      <c r="I748" s="26" t="str">
        <f aca="false">IF(A748="","",COUNTIFS(Apparitions!$H$2:$H$5001,A748,Apparitions!$E$2:$E$5001,"○"))</f>
        <v/>
      </c>
      <c r="J748" s="29" t="str">
        <f aca="false">IF(A748="","",IFERROR(1/(1/_xlfn.MINIFS(Apparitions!$L$2:$L$5001,Apparitions!$H$2:$H$5001,A748)),""))</f>
        <v/>
      </c>
    </row>
    <row r="749" customFormat="false" ht="15" hidden="false" customHeight="false" outlineLevel="0" collapsed="false">
      <c r="A749" s="19"/>
      <c r="B749" s="19"/>
      <c r="C749" s="19"/>
      <c r="D749" s="19"/>
      <c r="E749" s="32"/>
      <c r="F749" s="19"/>
      <c r="G749" s="26" t="str">
        <f aca="false">IF(A749="","",COUNTIF(Pubs!$B$2:$B$3001,A749))</f>
        <v/>
      </c>
      <c r="H749" s="26" t="str">
        <f aca="false">IF(A749="","",COUNTIF(Apparitions!$H$2:$H$5001,A749))</f>
        <v/>
      </c>
      <c r="I749" s="26" t="str">
        <f aca="false">IF(A749="","",COUNTIFS(Apparitions!$H$2:$H$5001,A749,Apparitions!$E$2:$E$5001,"○"))</f>
        <v/>
      </c>
      <c r="J749" s="29" t="str">
        <f aca="false">IF(A749="","",IFERROR(1/(1/_xlfn.MINIFS(Apparitions!$L$2:$L$5001,Apparitions!$H$2:$H$5001,A749)),""))</f>
        <v/>
      </c>
    </row>
    <row r="750" customFormat="false" ht="15" hidden="false" customHeight="false" outlineLevel="0" collapsed="false">
      <c r="A750" s="19"/>
      <c r="B750" s="19"/>
      <c r="C750" s="19"/>
      <c r="D750" s="19"/>
      <c r="E750" s="32"/>
      <c r="F750" s="19"/>
      <c r="G750" s="26" t="str">
        <f aca="false">IF(A750="","",COUNTIF(Pubs!$B$2:$B$3001,A750))</f>
        <v/>
      </c>
      <c r="H750" s="26" t="str">
        <f aca="false">IF(A750="","",COUNTIF(Apparitions!$H$2:$H$5001,A750))</f>
        <v/>
      </c>
      <c r="I750" s="26" t="str">
        <f aca="false">IF(A750="","",COUNTIFS(Apparitions!$H$2:$H$5001,A750,Apparitions!$E$2:$E$5001,"○"))</f>
        <v/>
      </c>
      <c r="J750" s="29" t="str">
        <f aca="false">IF(A750="","",IFERROR(1/(1/_xlfn.MINIFS(Apparitions!$L$2:$L$5001,Apparitions!$H$2:$H$5001,A750)),""))</f>
        <v/>
      </c>
    </row>
    <row r="751" customFormat="false" ht="15" hidden="false" customHeight="false" outlineLevel="0" collapsed="false">
      <c r="A751" s="19"/>
      <c r="B751" s="19"/>
      <c r="C751" s="19"/>
      <c r="D751" s="19"/>
      <c r="E751" s="32"/>
      <c r="F751" s="19"/>
      <c r="G751" s="26" t="str">
        <f aca="false">IF(A751="","",COUNTIF(Pubs!$B$2:$B$3001,A751))</f>
        <v/>
      </c>
      <c r="H751" s="26" t="str">
        <f aca="false">IF(A751="","",COUNTIF(Apparitions!$H$2:$H$5001,A751))</f>
        <v/>
      </c>
      <c r="I751" s="26" t="str">
        <f aca="false">IF(A751="","",COUNTIFS(Apparitions!$H$2:$H$5001,A751,Apparitions!$E$2:$E$5001,"○"))</f>
        <v/>
      </c>
      <c r="J751" s="29" t="str">
        <f aca="false">IF(A751="","",IFERROR(1/(1/_xlfn.MINIFS(Apparitions!$L$2:$L$5001,Apparitions!$H$2:$H$5001,A751)),""))</f>
        <v/>
      </c>
    </row>
    <row r="752" customFormat="false" ht="15" hidden="false" customHeight="false" outlineLevel="0" collapsed="false">
      <c r="A752" s="19"/>
      <c r="B752" s="19"/>
      <c r="C752" s="19"/>
      <c r="D752" s="19"/>
      <c r="E752" s="32"/>
      <c r="F752" s="19"/>
      <c r="G752" s="26" t="str">
        <f aca="false">IF(A752="","",COUNTIF(Pubs!$B$2:$B$3001,A752))</f>
        <v/>
      </c>
      <c r="H752" s="26" t="str">
        <f aca="false">IF(A752="","",COUNTIF(Apparitions!$H$2:$H$5001,A752))</f>
        <v/>
      </c>
      <c r="I752" s="26" t="str">
        <f aca="false">IF(A752="","",COUNTIFS(Apparitions!$H$2:$H$5001,A752,Apparitions!$E$2:$E$5001,"○"))</f>
        <v/>
      </c>
      <c r="J752" s="29" t="str">
        <f aca="false">IF(A752="","",IFERROR(1/(1/_xlfn.MINIFS(Apparitions!$L$2:$L$5001,Apparitions!$H$2:$H$5001,A752)),""))</f>
        <v/>
      </c>
    </row>
    <row r="753" customFormat="false" ht="15" hidden="false" customHeight="false" outlineLevel="0" collapsed="false">
      <c r="A753" s="19"/>
      <c r="B753" s="19"/>
      <c r="C753" s="19"/>
      <c r="D753" s="19"/>
      <c r="E753" s="32"/>
      <c r="F753" s="19"/>
      <c r="G753" s="26" t="str">
        <f aca="false">IF(A753="","",COUNTIF(Pubs!$B$2:$B$3001,A753))</f>
        <v/>
      </c>
      <c r="H753" s="26" t="str">
        <f aca="false">IF(A753="","",COUNTIF(Apparitions!$H$2:$H$5001,A753))</f>
        <v/>
      </c>
      <c r="I753" s="26" t="str">
        <f aca="false">IF(A753="","",COUNTIFS(Apparitions!$H$2:$H$5001,A753,Apparitions!$E$2:$E$5001,"○"))</f>
        <v/>
      </c>
      <c r="J753" s="29" t="str">
        <f aca="false">IF(A753="","",IFERROR(1/(1/_xlfn.MINIFS(Apparitions!$L$2:$L$5001,Apparitions!$H$2:$H$5001,A753)),""))</f>
        <v/>
      </c>
    </row>
    <row r="754" customFormat="false" ht="15" hidden="false" customHeight="false" outlineLevel="0" collapsed="false">
      <c r="A754" s="19"/>
      <c r="B754" s="19"/>
      <c r="C754" s="19"/>
      <c r="D754" s="19"/>
      <c r="E754" s="32"/>
      <c r="F754" s="19"/>
      <c r="G754" s="26" t="str">
        <f aca="false">IF(A754="","",COUNTIF(Pubs!$B$2:$B$3001,A754))</f>
        <v/>
      </c>
      <c r="H754" s="26" t="str">
        <f aca="false">IF(A754="","",COUNTIF(Apparitions!$H$2:$H$5001,A754))</f>
        <v/>
      </c>
      <c r="I754" s="26" t="str">
        <f aca="false">IF(A754="","",COUNTIFS(Apparitions!$H$2:$H$5001,A754,Apparitions!$E$2:$E$5001,"○"))</f>
        <v/>
      </c>
      <c r="J754" s="29" t="str">
        <f aca="false">IF(A754="","",IFERROR(1/(1/_xlfn.MINIFS(Apparitions!$L$2:$L$5001,Apparitions!$H$2:$H$5001,A754)),""))</f>
        <v/>
      </c>
    </row>
    <row r="755" customFormat="false" ht="15" hidden="false" customHeight="false" outlineLevel="0" collapsed="false">
      <c r="A755" s="19"/>
      <c r="B755" s="19"/>
      <c r="C755" s="19"/>
      <c r="D755" s="19"/>
      <c r="E755" s="32"/>
      <c r="F755" s="19"/>
      <c r="G755" s="26" t="str">
        <f aca="false">IF(A755="","",COUNTIF(Pubs!$B$2:$B$3001,A755))</f>
        <v/>
      </c>
      <c r="H755" s="26" t="str">
        <f aca="false">IF(A755="","",COUNTIF(Apparitions!$H$2:$H$5001,A755))</f>
        <v/>
      </c>
      <c r="I755" s="26" t="str">
        <f aca="false">IF(A755="","",COUNTIFS(Apparitions!$H$2:$H$5001,A755,Apparitions!$E$2:$E$5001,"○"))</f>
        <v/>
      </c>
      <c r="J755" s="29" t="str">
        <f aca="false">IF(A755="","",IFERROR(1/(1/_xlfn.MINIFS(Apparitions!$L$2:$L$5001,Apparitions!$H$2:$H$5001,A755)),""))</f>
        <v/>
      </c>
    </row>
    <row r="756" customFormat="false" ht="15" hidden="false" customHeight="false" outlineLevel="0" collapsed="false">
      <c r="A756" s="19"/>
      <c r="B756" s="19"/>
      <c r="C756" s="19"/>
      <c r="D756" s="19"/>
      <c r="E756" s="32"/>
      <c r="F756" s="19"/>
      <c r="G756" s="26" t="str">
        <f aca="false">IF(A756="","",COUNTIF(Pubs!$B$2:$B$3001,A756))</f>
        <v/>
      </c>
      <c r="H756" s="26" t="str">
        <f aca="false">IF(A756="","",COUNTIF(Apparitions!$H$2:$H$5001,A756))</f>
        <v/>
      </c>
      <c r="I756" s="26" t="str">
        <f aca="false">IF(A756="","",COUNTIFS(Apparitions!$H$2:$H$5001,A756,Apparitions!$E$2:$E$5001,"○"))</f>
        <v/>
      </c>
      <c r="J756" s="29" t="str">
        <f aca="false">IF(A756="","",IFERROR(1/(1/_xlfn.MINIFS(Apparitions!$L$2:$L$5001,Apparitions!$H$2:$H$5001,A756)),""))</f>
        <v/>
      </c>
    </row>
    <row r="757" customFormat="false" ht="15" hidden="false" customHeight="false" outlineLevel="0" collapsed="false">
      <c r="A757" s="19"/>
      <c r="B757" s="19"/>
      <c r="C757" s="19"/>
      <c r="D757" s="19"/>
      <c r="E757" s="32"/>
      <c r="F757" s="19"/>
      <c r="G757" s="26" t="str">
        <f aca="false">IF(A757="","",COUNTIF(Pubs!$B$2:$B$3001,A757))</f>
        <v/>
      </c>
      <c r="H757" s="26" t="str">
        <f aca="false">IF(A757="","",COUNTIF(Apparitions!$H$2:$H$5001,A757))</f>
        <v/>
      </c>
      <c r="I757" s="26" t="str">
        <f aca="false">IF(A757="","",COUNTIFS(Apparitions!$H$2:$H$5001,A757,Apparitions!$E$2:$E$5001,"○"))</f>
        <v/>
      </c>
      <c r="J757" s="29" t="str">
        <f aca="false">IF(A757="","",IFERROR(1/(1/_xlfn.MINIFS(Apparitions!$L$2:$L$5001,Apparitions!$H$2:$H$5001,A757)),""))</f>
        <v/>
      </c>
    </row>
    <row r="758" customFormat="false" ht="15" hidden="false" customHeight="false" outlineLevel="0" collapsed="false">
      <c r="A758" s="19"/>
      <c r="B758" s="19"/>
      <c r="C758" s="19"/>
      <c r="D758" s="19"/>
      <c r="E758" s="32"/>
      <c r="F758" s="19"/>
      <c r="G758" s="26" t="str">
        <f aca="false">IF(A758="","",COUNTIF(Pubs!$B$2:$B$3001,A758))</f>
        <v/>
      </c>
      <c r="H758" s="26" t="str">
        <f aca="false">IF(A758="","",COUNTIF(Apparitions!$H$2:$H$5001,A758))</f>
        <v/>
      </c>
      <c r="I758" s="26" t="str">
        <f aca="false">IF(A758="","",COUNTIFS(Apparitions!$H$2:$H$5001,A758,Apparitions!$E$2:$E$5001,"○"))</f>
        <v/>
      </c>
      <c r="J758" s="29" t="str">
        <f aca="false">IF(A758="","",IFERROR(1/(1/_xlfn.MINIFS(Apparitions!$L$2:$L$5001,Apparitions!$H$2:$H$5001,A758)),""))</f>
        <v/>
      </c>
    </row>
    <row r="759" customFormat="false" ht="15" hidden="false" customHeight="false" outlineLevel="0" collapsed="false">
      <c r="A759" s="19"/>
      <c r="B759" s="19"/>
      <c r="C759" s="19"/>
      <c r="D759" s="19"/>
      <c r="E759" s="32"/>
      <c r="F759" s="19"/>
      <c r="G759" s="26" t="str">
        <f aca="false">IF(A759="","",COUNTIF(Pubs!$B$2:$B$3001,A759))</f>
        <v/>
      </c>
      <c r="H759" s="26" t="str">
        <f aca="false">IF(A759="","",COUNTIF(Apparitions!$H$2:$H$5001,A759))</f>
        <v/>
      </c>
      <c r="I759" s="26" t="str">
        <f aca="false">IF(A759="","",COUNTIFS(Apparitions!$H$2:$H$5001,A759,Apparitions!$E$2:$E$5001,"○"))</f>
        <v/>
      </c>
      <c r="J759" s="29" t="str">
        <f aca="false">IF(A759="","",IFERROR(1/(1/_xlfn.MINIFS(Apparitions!$L$2:$L$5001,Apparitions!$H$2:$H$5001,A759)),""))</f>
        <v/>
      </c>
    </row>
    <row r="760" customFormat="false" ht="15" hidden="false" customHeight="false" outlineLevel="0" collapsed="false">
      <c r="A760" s="19"/>
      <c r="B760" s="19"/>
      <c r="C760" s="19"/>
      <c r="D760" s="19"/>
      <c r="E760" s="32"/>
      <c r="F760" s="19"/>
      <c r="G760" s="26" t="str">
        <f aca="false">IF(A760="","",COUNTIF(Pubs!$B$2:$B$3001,A760))</f>
        <v/>
      </c>
      <c r="H760" s="26" t="str">
        <f aca="false">IF(A760="","",COUNTIF(Apparitions!$H$2:$H$5001,A760))</f>
        <v/>
      </c>
      <c r="I760" s="26" t="str">
        <f aca="false">IF(A760="","",COUNTIFS(Apparitions!$H$2:$H$5001,A760,Apparitions!$E$2:$E$5001,"○"))</f>
        <v/>
      </c>
      <c r="J760" s="29" t="str">
        <f aca="false">IF(A760="","",IFERROR(1/(1/_xlfn.MINIFS(Apparitions!$L$2:$L$5001,Apparitions!$H$2:$H$5001,A760)),""))</f>
        <v/>
      </c>
    </row>
    <row r="761" customFormat="false" ht="15" hidden="false" customHeight="false" outlineLevel="0" collapsed="false">
      <c r="A761" s="19"/>
      <c r="B761" s="19"/>
      <c r="C761" s="19"/>
      <c r="D761" s="19"/>
      <c r="E761" s="32"/>
      <c r="F761" s="19"/>
      <c r="G761" s="26" t="str">
        <f aca="false">IF(A761="","",COUNTIF(Pubs!$B$2:$B$3001,A761))</f>
        <v/>
      </c>
      <c r="H761" s="26" t="str">
        <f aca="false">IF(A761="","",COUNTIF(Apparitions!$H$2:$H$5001,A761))</f>
        <v/>
      </c>
      <c r="I761" s="26" t="str">
        <f aca="false">IF(A761="","",COUNTIFS(Apparitions!$H$2:$H$5001,A761,Apparitions!$E$2:$E$5001,"○"))</f>
        <v/>
      </c>
      <c r="J761" s="29" t="str">
        <f aca="false">IF(A761="","",IFERROR(1/(1/_xlfn.MINIFS(Apparitions!$L$2:$L$5001,Apparitions!$H$2:$H$5001,A761)),""))</f>
        <v/>
      </c>
    </row>
    <row r="762" customFormat="false" ht="15" hidden="false" customHeight="false" outlineLevel="0" collapsed="false">
      <c r="A762" s="19"/>
      <c r="B762" s="19"/>
      <c r="C762" s="19"/>
      <c r="D762" s="19"/>
      <c r="E762" s="32"/>
      <c r="F762" s="19"/>
      <c r="G762" s="26" t="str">
        <f aca="false">IF(A762="","",COUNTIF(Pubs!$B$2:$B$3001,A762))</f>
        <v/>
      </c>
      <c r="H762" s="26" t="str">
        <f aca="false">IF(A762="","",COUNTIF(Apparitions!$H$2:$H$5001,A762))</f>
        <v/>
      </c>
      <c r="I762" s="26" t="str">
        <f aca="false">IF(A762="","",COUNTIFS(Apparitions!$H$2:$H$5001,A762,Apparitions!$E$2:$E$5001,"○"))</f>
        <v/>
      </c>
      <c r="J762" s="29" t="str">
        <f aca="false">IF(A762="","",IFERROR(1/(1/_xlfn.MINIFS(Apparitions!$L$2:$L$5001,Apparitions!$H$2:$H$5001,A762)),""))</f>
        <v/>
      </c>
    </row>
    <row r="763" customFormat="false" ht="15" hidden="false" customHeight="false" outlineLevel="0" collapsed="false">
      <c r="A763" s="19"/>
      <c r="B763" s="19"/>
      <c r="C763" s="19"/>
      <c r="D763" s="19"/>
      <c r="E763" s="32"/>
      <c r="F763" s="19"/>
      <c r="G763" s="26" t="str">
        <f aca="false">IF(A763="","",COUNTIF(Pubs!$B$2:$B$3001,A763))</f>
        <v/>
      </c>
      <c r="H763" s="26" t="str">
        <f aca="false">IF(A763="","",COUNTIF(Apparitions!$H$2:$H$5001,A763))</f>
        <v/>
      </c>
      <c r="I763" s="26" t="str">
        <f aca="false">IF(A763="","",COUNTIFS(Apparitions!$H$2:$H$5001,A763,Apparitions!$E$2:$E$5001,"○"))</f>
        <v/>
      </c>
      <c r="J763" s="29" t="str">
        <f aca="false">IF(A763="","",IFERROR(1/(1/_xlfn.MINIFS(Apparitions!$L$2:$L$5001,Apparitions!$H$2:$H$5001,A763)),""))</f>
        <v/>
      </c>
    </row>
    <row r="764" customFormat="false" ht="15" hidden="false" customHeight="false" outlineLevel="0" collapsed="false">
      <c r="A764" s="19"/>
      <c r="B764" s="19"/>
      <c r="C764" s="19"/>
      <c r="D764" s="19"/>
      <c r="E764" s="32"/>
      <c r="F764" s="19"/>
      <c r="G764" s="26" t="str">
        <f aca="false">IF(A764="","",COUNTIF(Pubs!$B$2:$B$3001,A764))</f>
        <v/>
      </c>
      <c r="H764" s="26" t="str">
        <f aca="false">IF(A764="","",COUNTIF(Apparitions!$H$2:$H$5001,A764))</f>
        <v/>
      </c>
      <c r="I764" s="26" t="str">
        <f aca="false">IF(A764="","",COUNTIFS(Apparitions!$H$2:$H$5001,A764,Apparitions!$E$2:$E$5001,"○"))</f>
        <v/>
      </c>
      <c r="J764" s="29" t="str">
        <f aca="false">IF(A764="","",IFERROR(1/(1/_xlfn.MINIFS(Apparitions!$L$2:$L$5001,Apparitions!$H$2:$H$5001,A764)),""))</f>
        <v/>
      </c>
    </row>
    <row r="765" customFormat="false" ht="15" hidden="false" customHeight="false" outlineLevel="0" collapsed="false">
      <c r="A765" s="19"/>
      <c r="B765" s="19"/>
      <c r="C765" s="19"/>
      <c r="D765" s="19"/>
      <c r="E765" s="32"/>
      <c r="F765" s="19"/>
      <c r="G765" s="26" t="str">
        <f aca="false">IF(A765="","",COUNTIF(Pubs!$B$2:$B$3001,A765))</f>
        <v/>
      </c>
      <c r="H765" s="26" t="str">
        <f aca="false">IF(A765="","",COUNTIF(Apparitions!$H$2:$H$5001,A765))</f>
        <v/>
      </c>
      <c r="I765" s="26" t="str">
        <f aca="false">IF(A765="","",COUNTIFS(Apparitions!$H$2:$H$5001,A765,Apparitions!$E$2:$E$5001,"○"))</f>
        <v/>
      </c>
      <c r="J765" s="29" t="str">
        <f aca="false">IF(A765="","",IFERROR(1/(1/_xlfn.MINIFS(Apparitions!$L$2:$L$5001,Apparitions!$H$2:$H$5001,A765)),""))</f>
        <v/>
      </c>
    </row>
    <row r="766" customFormat="false" ht="15" hidden="false" customHeight="false" outlineLevel="0" collapsed="false">
      <c r="A766" s="19"/>
      <c r="B766" s="19"/>
      <c r="C766" s="19"/>
      <c r="D766" s="19"/>
      <c r="E766" s="32"/>
      <c r="F766" s="19"/>
      <c r="G766" s="26" t="str">
        <f aca="false">IF(A766="","",COUNTIF(Pubs!$B$2:$B$3001,A766))</f>
        <v/>
      </c>
      <c r="H766" s="26" t="str">
        <f aca="false">IF(A766="","",COUNTIF(Apparitions!$H$2:$H$5001,A766))</f>
        <v/>
      </c>
      <c r="I766" s="26" t="str">
        <f aca="false">IF(A766="","",COUNTIFS(Apparitions!$H$2:$H$5001,A766,Apparitions!$E$2:$E$5001,"○"))</f>
        <v/>
      </c>
      <c r="J766" s="29" t="str">
        <f aca="false">IF(A766="","",IFERROR(1/(1/_xlfn.MINIFS(Apparitions!$L$2:$L$5001,Apparitions!$H$2:$H$5001,A766)),""))</f>
        <v/>
      </c>
    </row>
    <row r="767" customFormat="false" ht="15" hidden="false" customHeight="false" outlineLevel="0" collapsed="false">
      <c r="A767" s="19"/>
      <c r="B767" s="19"/>
      <c r="C767" s="19"/>
      <c r="D767" s="19"/>
      <c r="E767" s="32"/>
      <c r="F767" s="19"/>
      <c r="G767" s="26" t="str">
        <f aca="false">IF(A767="","",COUNTIF(Pubs!$B$2:$B$3001,A767))</f>
        <v/>
      </c>
      <c r="H767" s="26" t="str">
        <f aca="false">IF(A767="","",COUNTIF(Apparitions!$H$2:$H$5001,A767))</f>
        <v/>
      </c>
      <c r="I767" s="26" t="str">
        <f aca="false">IF(A767="","",COUNTIFS(Apparitions!$H$2:$H$5001,A767,Apparitions!$E$2:$E$5001,"○"))</f>
        <v/>
      </c>
      <c r="J767" s="29" t="str">
        <f aca="false">IF(A767="","",IFERROR(1/(1/_xlfn.MINIFS(Apparitions!$L$2:$L$5001,Apparitions!$H$2:$H$5001,A767)),""))</f>
        <v/>
      </c>
    </row>
    <row r="768" customFormat="false" ht="15" hidden="false" customHeight="false" outlineLevel="0" collapsed="false">
      <c r="A768" s="19"/>
      <c r="B768" s="19"/>
      <c r="C768" s="19"/>
      <c r="D768" s="19"/>
      <c r="E768" s="32"/>
      <c r="F768" s="19"/>
      <c r="G768" s="26" t="str">
        <f aca="false">IF(A768="","",COUNTIF(Pubs!$B$2:$B$3001,A768))</f>
        <v/>
      </c>
      <c r="H768" s="26" t="str">
        <f aca="false">IF(A768="","",COUNTIF(Apparitions!$H$2:$H$5001,A768))</f>
        <v/>
      </c>
      <c r="I768" s="26" t="str">
        <f aca="false">IF(A768="","",COUNTIFS(Apparitions!$H$2:$H$5001,A768,Apparitions!$E$2:$E$5001,"○"))</f>
        <v/>
      </c>
      <c r="J768" s="29" t="str">
        <f aca="false">IF(A768="","",IFERROR(1/(1/_xlfn.MINIFS(Apparitions!$L$2:$L$5001,Apparitions!$H$2:$H$5001,A768)),""))</f>
        <v/>
      </c>
    </row>
    <row r="769" customFormat="false" ht="15" hidden="false" customHeight="false" outlineLevel="0" collapsed="false">
      <c r="A769" s="19"/>
      <c r="B769" s="19"/>
      <c r="C769" s="19"/>
      <c r="D769" s="19"/>
      <c r="E769" s="32"/>
      <c r="F769" s="19"/>
      <c r="G769" s="26" t="str">
        <f aca="false">IF(A769="","",COUNTIF(Pubs!$B$2:$B$3001,A769))</f>
        <v/>
      </c>
      <c r="H769" s="26" t="str">
        <f aca="false">IF(A769="","",COUNTIF(Apparitions!$H$2:$H$5001,A769))</f>
        <v/>
      </c>
      <c r="I769" s="26" t="str">
        <f aca="false">IF(A769="","",COUNTIFS(Apparitions!$H$2:$H$5001,A769,Apparitions!$E$2:$E$5001,"○"))</f>
        <v/>
      </c>
      <c r="J769" s="29" t="str">
        <f aca="false">IF(A769="","",IFERROR(1/(1/_xlfn.MINIFS(Apparitions!$L$2:$L$5001,Apparitions!$H$2:$H$5001,A769)),""))</f>
        <v/>
      </c>
    </row>
    <row r="770" customFormat="false" ht="15" hidden="false" customHeight="false" outlineLevel="0" collapsed="false">
      <c r="A770" s="19"/>
      <c r="B770" s="19"/>
      <c r="C770" s="19"/>
      <c r="D770" s="19"/>
      <c r="E770" s="32"/>
      <c r="F770" s="19"/>
      <c r="G770" s="26" t="str">
        <f aca="false">IF(A770="","",COUNTIF(Pubs!$B$2:$B$3001,A770))</f>
        <v/>
      </c>
      <c r="H770" s="26" t="str">
        <f aca="false">IF(A770="","",COUNTIF(Apparitions!$H$2:$H$5001,A770))</f>
        <v/>
      </c>
      <c r="I770" s="26" t="str">
        <f aca="false">IF(A770="","",COUNTIFS(Apparitions!$H$2:$H$5001,A770,Apparitions!$E$2:$E$5001,"○"))</f>
        <v/>
      </c>
      <c r="J770" s="29" t="str">
        <f aca="false">IF(A770="","",IFERROR(1/(1/_xlfn.MINIFS(Apparitions!$L$2:$L$5001,Apparitions!$H$2:$H$5001,A770)),""))</f>
        <v/>
      </c>
    </row>
    <row r="771" customFormat="false" ht="15" hidden="false" customHeight="false" outlineLevel="0" collapsed="false">
      <c r="A771" s="19"/>
      <c r="B771" s="19"/>
      <c r="C771" s="19"/>
      <c r="D771" s="19"/>
      <c r="E771" s="32"/>
      <c r="F771" s="19"/>
      <c r="G771" s="26" t="str">
        <f aca="false">IF(A771="","",COUNTIF(Pubs!$B$2:$B$3001,A771))</f>
        <v/>
      </c>
      <c r="H771" s="26" t="str">
        <f aca="false">IF(A771="","",COUNTIF(Apparitions!$H$2:$H$5001,A771))</f>
        <v/>
      </c>
      <c r="I771" s="26" t="str">
        <f aca="false">IF(A771="","",COUNTIFS(Apparitions!$H$2:$H$5001,A771,Apparitions!$E$2:$E$5001,"○"))</f>
        <v/>
      </c>
      <c r="J771" s="29" t="str">
        <f aca="false">IF(A771="","",IFERROR(1/(1/_xlfn.MINIFS(Apparitions!$L$2:$L$5001,Apparitions!$H$2:$H$5001,A771)),""))</f>
        <v/>
      </c>
    </row>
    <row r="772" customFormat="false" ht="15" hidden="false" customHeight="false" outlineLevel="0" collapsed="false">
      <c r="A772" s="19"/>
      <c r="B772" s="19"/>
      <c r="C772" s="19"/>
      <c r="D772" s="19"/>
      <c r="E772" s="32"/>
      <c r="F772" s="19"/>
      <c r="G772" s="26" t="str">
        <f aca="false">IF(A772="","",COUNTIF(Pubs!$B$2:$B$3001,A772))</f>
        <v/>
      </c>
      <c r="H772" s="26" t="str">
        <f aca="false">IF(A772="","",COUNTIF(Apparitions!$H$2:$H$5001,A772))</f>
        <v/>
      </c>
      <c r="I772" s="26" t="str">
        <f aca="false">IF(A772="","",COUNTIFS(Apparitions!$H$2:$H$5001,A772,Apparitions!$E$2:$E$5001,"○"))</f>
        <v/>
      </c>
      <c r="J772" s="29" t="str">
        <f aca="false">IF(A772="","",IFERROR(1/(1/_xlfn.MINIFS(Apparitions!$L$2:$L$5001,Apparitions!$H$2:$H$5001,A772)),""))</f>
        <v/>
      </c>
    </row>
    <row r="773" customFormat="false" ht="15" hidden="false" customHeight="false" outlineLevel="0" collapsed="false">
      <c r="A773" s="19"/>
      <c r="B773" s="19"/>
      <c r="C773" s="19"/>
      <c r="D773" s="19"/>
      <c r="E773" s="32"/>
      <c r="F773" s="19"/>
      <c r="G773" s="26" t="str">
        <f aca="false">IF(A773="","",COUNTIF(Pubs!$B$2:$B$3001,A773))</f>
        <v/>
      </c>
      <c r="H773" s="26" t="str">
        <f aca="false">IF(A773="","",COUNTIF(Apparitions!$H$2:$H$5001,A773))</f>
        <v/>
      </c>
      <c r="I773" s="26" t="str">
        <f aca="false">IF(A773="","",COUNTIFS(Apparitions!$H$2:$H$5001,A773,Apparitions!$E$2:$E$5001,"○"))</f>
        <v/>
      </c>
      <c r="J773" s="29" t="str">
        <f aca="false">IF(A773="","",IFERROR(1/(1/_xlfn.MINIFS(Apparitions!$L$2:$L$5001,Apparitions!$H$2:$H$5001,A773)),""))</f>
        <v/>
      </c>
    </row>
    <row r="774" customFormat="false" ht="15" hidden="false" customHeight="false" outlineLevel="0" collapsed="false">
      <c r="A774" s="19"/>
      <c r="B774" s="19"/>
      <c r="C774" s="19"/>
      <c r="D774" s="19"/>
      <c r="E774" s="32"/>
      <c r="F774" s="19"/>
      <c r="G774" s="26" t="str">
        <f aca="false">IF(A774="","",COUNTIF(Pubs!$B$2:$B$3001,A774))</f>
        <v/>
      </c>
      <c r="H774" s="26" t="str">
        <f aca="false">IF(A774="","",COUNTIF(Apparitions!$H$2:$H$5001,A774))</f>
        <v/>
      </c>
      <c r="I774" s="26" t="str">
        <f aca="false">IF(A774="","",COUNTIFS(Apparitions!$H$2:$H$5001,A774,Apparitions!$E$2:$E$5001,"○"))</f>
        <v/>
      </c>
      <c r="J774" s="29" t="str">
        <f aca="false">IF(A774="","",IFERROR(1/(1/_xlfn.MINIFS(Apparitions!$L$2:$L$5001,Apparitions!$H$2:$H$5001,A774)),""))</f>
        <v/>
      </c>
    </row>
    <row r="775" customFormat="false" ht="15" hidden="false" customHeight="false" outlineLevel="0" collapsed="false">
      <c r="A775" s="19"/>
      <c r="B775" s="19"/>
      <c r="C775" s="19"/>
      <c r="D775" s="19"/>
      <c r="E775" s="32"/>
      <c r="F775" s="19"/>
      <c r="G775" s="26" t="str">
        <f aca="false">IF(A775="","",COUNTIF(Pubs!$B$2:$B$3001,A775))</f>
        <v/>
      </c>
      <c r="H775" s="26" t="str">
        <f aca="false">IF(A775="","",COUNTIF(Apparitions!$H$2:$H$5001,A775))</f>
        <v/>
      </c>
      <c r="I775" s="26" t="str">
        <f aca="false">IF(A775="","",COUNTIFS(Apparitions!$H$2:$H$5001,A775,Apparitions!$E$2:$E$5001,"○"))</f>
        <v/>
      </c>
      <c r="J775" s="29" t="str">
        <f aca="false">IF(A775="","",IFERROR(1/(1/_xlfn.MINIFS(Apparitions!$L$2:$L$5001,Apparitions!$H$2:$H$5001,A775)),""))</f>
        <v/>
      </c>
    </row>
    <row r="776" customFormat="false" ht="15" hidden="false" customHeight="false" outlineLevel="0" collapsed="false">
      <c r="A776" s="19"/>
      <c r="B776" s="19"/>
      <c r="C776" s="19"/>
      <c r="D776" s="19"/>
      <c r="E776" s="32"/>
      <c r="F776" s="19"/>
      <c r="G776" s="26" t="str">
        <f aca="false">IF(A776="","",COUNTIF(Pubs!$B$2:$B$3001,A776))</f>
        <v/>
      </c>
      <c r="H776" s="26" t="str">
        <f aca="false">IF(A776="","",COUNTIF(Apparitions!$H$2:$H$5001,A776))</f>
        <v/>
      </c>
      <c r="I776" s="26" t="str">
        <f aca="false">IF(A776="","",COUNTIFS(Apparitions!$H$2:$H$5001,A776,Apparitions!$E$2:$E$5001,"○"))</f>
        <v/>
      </c>
      <c r="J776" s="29" t="str">
        <f aca="false">IF(A776="","",IFERROR(1/(1/_xlfn.MINIFS(Apparitions!$L$2:$L$5001,Apparitions!$H$2:$H$5001,A776)),""))</f>
        <v/>
      </c>
    </row>
    <row r="777" customFormat="false" ht="15" hidden="false" customHeight="false" outlineLevel="0" collapsed="false">
      <c r="A777" s="19"/>
      <c r="B777" s="19"/>
      <c r="C777" s="19"/>
      <c r="D777" s="19"/>
      <c r="E777" s="32"/>
      <c r="F777" s="19"/>
      <c r="G777" s="26" t="str">
        <f aca="false">IF(A777="","",COUNTIF(Pubs!$B$2:$B$3001,A777))</f>
        <v/>
      </c>
      <c r="H777" s="26" t="str">
        <f aca="false">IF(A777="","",COUNTIF(Apparitions!$H$2:$H$5001,A777))</f>
        <v/>
      </c>
      <c r="I777" s="26" t="str">
        <f aca="false">IF(A777="","",COUNTIFS(Apparitions!$H$2:$H$5001,A777,Apparitions!$E$2:$E$5001,"○"))</f>
        <v/>
      </c>
      <c r="J777" s="29" t="str">
        <f aca="false">IF(A777="","",IFERROR(1/(1/_xlfn.MINIFS(Apparitions!$L$2:$L$5001,Apparitions!$H$2:$H$5001,A777)),""))</f>
        <v/>
      </c>
    </row>
    <row r="778" customFormat="false" ht="15" hidden="false" customHeight="false" outlineLevel="0" collapsed="false">
      <c r="A778" s="19"/>
      <c r="B778" s="19"/>
      <c r="C778" s="19"/>
      <c r="D778" s="19"/>
      <c r="E778" s="32"/>
      <c r="F778" s="19"/>
      <c r="G778" s="26" t="str">
        <f aca="false">IF(A778="","",COUNTIF(Pubs!$B$2:$B$3001,A778))</f>
        <v/>
      </c>
      <c r="H778" s="26" t="str">
        <f aca="false">IF(A778="","",COUNTIF(Apparitions!$H$2:$H$5001,A778))</f>
        <v/>
      </c>
      <c r="I778" s="26" t="str">
        <f aca="false">IF(A778="","",COUNTIFS(Apparitions!$H$2:$H$5001,A778,Apparitions!$E$2:$E$5001,"○"))</f>
        <v/>
      </c>
      <c r="J778" s="29" t="str">
        <f aca="false">IF(A778="","",IFERROR(1/(1/_xlfn.MINIFS(Apparitions!$L$2:$L$5001,Apparitions!$H$2:$H$5001,A778)),""))</f>
        <v/>
      </c>
    </row>
    <row r="779" customFormat="false" ht="15" hidden="false" customHeight="false" outlineLevel="0" collapsed="false">
      <c r="A779" s="19"/>
      <c r="B779" s="19"/>
      <c r="C779" s="19"/>
      <c r="D779" s="19"/>
      <c r="E779" s="32"/>
      <c r="F779" s="19"/>
      <c r="G779" s="26" t="str">
        <f aca="false">IF(A779="","",COUNTIF(Pubs!$B$2:$B$3001,A779))</f>
        <v/>
      </c>
      <c r="H779" s="26" t="str">
        <f aca="false">IF(A779="","",COUNTIF(Apparitions!$H$2:$H$5001,A779))</f>
        <v/>
      </c>
      <c r="I779" s="26" t="str">
        <f aca="false">IF(A779="","",COUNTIFS(Apparitions!$H$2:$H$5001,A779,Apparitions!$E$2:$E$5001,"○"))</f>
        <v/>
      </c>
      <c r="J779" s="29" t="str">
        <f aca="false">IF(A779="","",IFERROR(1/(1/_xlfn.MINIFS(Apparitions!$L$2:$L$5001,Apparitions!$H$2:$H$5001,A779)),""))</f>
        <v/>
      </c>
    </row>
    <row r="780" customFormat="false" ht="15" hidden="false" customHeight="false" outlineLevel="0" collapsed="false">
      <c r="A780" s="19"/>
      <c r="B780" s="19"/>
      <c r="C780" s="19"/>
      <c r="D780" s="19"/>
      <c r="E780" s="32"/>
      <c r="F780" s="19"/>
      <c r="G780" s="26" t="str">
        <f aca="false">IF(A780="","",COUNTIF(Pubs!$B$2:$B$3001,A780))</f>
        <v/>
      </c>
      <c r="H780" s="26" t="str">
        <f aca="false">IF(A780="","",COUNTIF(Apparitions!$H$2:$H$5001,A780))</f>
        <v/>
      </c>
      <c r="I780" s="26" t="str">
        <f aca="false">IF(A780="","",COUNTIFS(Apparitions!$H$2:$H$5001,A780,Apparitions!$E$2:$E$5001,"○"))</f>
        <v/>
      </c>
      <c r="J780" s="29" t="str">
        <f aca="false">IF(A780="","",IFERROR(1/(1/_xlfn.MINIFS(Apparitions!$L$2:$L$5001,Apparitions!$H$2:$H$5001,A780)),""))</f>
        <v/>
      </c>
    </row>
    <row r="781" customFormat="false" ht="15" hidden="false" customHeight="false" outlineLevel="0" collapsed="false">
      <c r="A781" s="19"/>
      <c r="B781" s="19"/>
      <c r="C781" s="19"/>
      <c r="D781" s="19"/>
      <c r="E781" s="32"/>
      <c r="F781" s="19"/>
      <c r="G781" s="26" t="str">
        <f aca="false">IF(A781="","",COUNTIF(Pubs!$B$2:$B$3001,A781))</f>
        <v/>
      </c>
      <c r="H781" s="26" t="str">
        <f aca="false">IF(A781="","",COUNTIF(Apparitions!$H$2:$H$5001,A781))</f>
        <v/>
      </c>
      <c r="I781" s="26" t="str">
        <f aca="false">IF(A781="","",COUNTIFS(Apparitions!$H$2:$H$5001,A781,Apparitions!$E$2:$E$5001,"○"))</f>
        <v/>
      </c>
      <c r="J781" s="29" t="str">
        <f aca="false">IF(A781="","",IFERROR(1/(1/_xlfn.MINIFS(Apparitions!$L$2:$L$5001,Apparitions!$H$2:$H$5001,A781)),""))</f>
        <v/>
      </c>
    </row>
    <row r="782" customFormat="false" ht="15" hidden="false" customHeight="false" outlineLevel="0" collapsed="false">
      <c r="A782" s="19"/>
      <c r="B782" s="19"/>
      <c r="C782" s="19"/>
      <c r="D782" s="19"/>
      <c r="E782" s="32"/>
      <c r="F782" s="19"/>
      <c r="G782" s="26" t="str">
        <f aca="false">IF(A782="","",COUNTIF(Pubs!$B$2:$B$3001,A782))</f>
        <v/>
      </c>
      <c r="H782" s="26" t="str">
        <f aca="false">IF(A782="","",COUNTIF(Apparitions!$H$2:$H$5001,A782))</f>
        <v/>
      </c>
      <c r="I782" s="26" t="str">
        <f aca="false">IF(A782="","",COUNTIFS(Apparitions!$H$2:$H$5001,A782,Apparitions!$E$2:$E$5001,"○"))</f>
        <v/>
      </c>
      <c r="J782" s="29" t="str">
        <f aca="false">IF(A782="","",IFERROR(1/(1/_xlfn.MINIFS(Apparitions!$L$2:$L$5001,Apparitions!$H$2:$H$5001,A782)),""))</f>
        <v/>
      </c>
    </row>
    <row r="783" customFormat="false" ht="15" hidden="false" customHeight="false" outlineLevel="0" collapsed="false">
      <c r="A783" s="19"/>
      <c r="B783" s="19"/>
      <c r="C783" s="19"/>
      <c r="D783" s="19"/>
      <c r="E783" s="32"/>
      <c r="F783" s="19"/>
      <c r="G783" s="26" t="str">
        <f aca="false">IF(A783="","",COUNTIF(Pubs!$B$2:$B$3001,A783))</f>
        <v/>
      </c>
      <c r="H783" s="26" t="str">
        <f aca="false">IF(A783="","",COUNTIF(Apparitions!$H$2:$H$5001,A783))</f>
        <v/>
      </c>
      <c r="I783" s="26" t="str">
        <f aca="false">IF(A783="","",COUNTIFS(Apparitions!$H$2:$H$5001,A783,Apparitions!$E$2:$E$5001,"○"))</f>
        <v/>
      </c>
      <c r="J783" s="29" t="str">
        <f aca="false">IF(A783="","",IFERROR(1/(1/_xlfn.MINIFS(Apparitions!$L$2:$L$5001,Apparitions!$H$2:$H$5001,A783)),""))</f>
        <v/>
      </c>
    </row>
    <row r="784" customFormat="false" ht="15" hidden="false" customHeight="false" outlineLevel="0" collapsed="false">
      <c r="A784" s="19"/>
      <c r="B784" s="19"/>
      <c r="C784" s="19"/>
      <c r="D784" s="19"/>
      <c r="E784" s="32"/>
      <c r="F784" s="19"/>
      <c r="G784" s="26" t="str">
        <f aca="false">IF(A784="","",COUNTIF(Pubs!$B$2:$B$3001,A784))</f>
        <v/>
      </c>
      <c r="H784" s="26" t="str">
        <f aca="false">IF(A784="","",COUNTIF(Apparitions!$H$2:$H$5001,A784))</f>
        <v/>
      </c>
      <c r="I784" s="26" t="str">
        <f aca="false">IF(A784="","",COUNTIFS(Apparitions!$H$2:$H$5001,A784,Apparitions!$E$2:$E$5001,"○"))</f>
        <v/>
      </c>
      <c r="J784" s="29" t="str">
        <f aca="false">IF(A784="","",IFERROR(1/(1/_xlfn.MINIFS(Apparitions!$L$2:$L$5001,Apparitions!$H$2:$H$5001,A784)),""))</f>
        <v/>
      </c>
    </row>
    <row r="785" customFormat="false" ht="15" hidden="false" customHeight="false" outlineLevel="0" collapsed="false">
      <c r="A785" s="19"/>
      <c r="B785" s="19"/>
      <c r="C785" s="19"/>
      <c r="D785" s="19"/>
      <c r="E785" s="32"/>
      <c r="F785" s="19"/>
      <c r="G785" s="26" t="str">
        <f aca="false">IF(A785="","",COUNTIF(Pubs!$B$2:$B$3001,A785))</f>
        <v/>
      </c>
      <c r="H785" s="26" t="str">
        <f aca="false">IF(A785="","",COUNTIF(Apparitions!$H$2:$H$5001,A785))</f>
        <v/>
      </c>
      <c r="I785" s="26" t="str">
        <f aca="false">IF(A785="","",COUNTIFS(Apparitions!$H$2:$H$5001,A785,Apparitions!$E$2:$E$5001,"○"))</f>
        <v/>
      </c>
      <c r="J785" s="29" t="str">
        <f aca="false">IF(A785="","",IFERROR(1/(1/_xlfn.MINIFS(Apparitions!$L$2:$L$5001,Apparitions!$H$2:$H$5001,A785)),""))</f>
        <v/>
      </c>
    </row>
    <row r="786" customFormat="false" ht="15" hidden="false" customHeight="false" outlineLevel="0" collapsed="false">
      <c r="A786" s="19"/>
      <c r="B786" s="19"/>
      <c r="C786" s="19"/>
      <c r="D786" s="19"/>
      <c r="E786" s="32"/>
      <c r="F786" s="19"/>
      <c r="G786" s="26" t="str">
        <f aca="false">IF(A786="","",COUNTIF(Pubs!$B$2:$B$3001,A786))</f>
        <v/>
      </c>
      <c r="H786" s="26" t="str">
        <f aca="false">IF(A786="","",COUNTIF(Apparitions!$H$2:$H$5001,A786))</f>
        <v/>
      </c>
      <c r="I786" s="26" t="str">
        <f aca="false">IF(A786="","",COUNTIFS(Apparitions!$H$2:$H$5001,A786,Apparitions!$E$2:$E$5001,"○"))</f>
        <v/>
      </c>
      <c r="J786" s="29" t="str">
        <f aca="false">IF(A786="","",IFERROR(1/(1/_xlfn.MINIFS(Apparitions!$L$2:$L$5001,Apparitions!$H$2:$H$5001,A786)),""))</f>
        <v/>
      </c>
    </row>
    <row r="787" customFormat="false" ht="15" hidden="false" customHeight="false" outlineLevel="0" collapsed="false">
      <c r="A787" s="19"/>
      <c r="B787" s="19"/>
      <c r="C787" s="19"/>
      <c r="D787" s="19"/>
      <c r="E787" s="32"/>
      <c r="F787" s="19"/>
      <c r="G787" s="26" t="str">
        <f aca="false">IF(A787="","",COUNTIF(Pubs!$B$2:$B$3001,A787))</f>
        <v/>
      </c>
      <c r="H787" s="26" t="str">
        <f aca="false">IF(A787="","",COUNTIF(Apparitions!$H$2:$H$5001,A787))</f>
        <v/>
      </c>
      <c r="I787" s="26" t="str">
        <f aca="false">IF(A787="","",COUNTIFS(Apparitions!$H$2:$H$5001,A787,Apparitions!$E$2:$E$5001,"○"))</f>
        <v/>
      </c>
      <c r="J787" s="29" t="str">
        <f aca="false">IF(A787="","",IFERROR(1/(1/_xlfn.MINIFS(Apparitions!$L$2:$L$5001,Apparitions!$H$2:$H$5001,A787)),""))</f>
        <v/>
      </c>
    </row>
    <row r="788" customFormat="false" ht="15" hidden="false" customHeight="false" outlineLevel="0" collapsed="false">
      <c r="A788" s="19"/>
      <c r="B788" s="19"/>
      <c r="C788" s="19"/>
      <c r="D788" s="19"/>
      <c r="E788" s="32"/>
      <c r="F788" s="19"/>
      <c r="G788" s="26" t="str">
        <f aca="false">IF(A788="","",COUNTIF(Pubs!$B$2:$B$3001,A788))</f>
        <v/>
      </c>
      <c r="H788" s="26" t="str">
        <f aca="false">IF(A788="","",COUNTIF(Apparitions!$H$2:$H$5001,A788))</f>
        <v/>
      </c>
      <c r="I788" s="26" t="str">
        <f aca="false">IF(A788="","",COUNTIFS(Apparitions!$H$2:$H$5001,A788,Apparitions!$E$2:$E$5001,"○"))</f>
        <v/>
      </c>
      <c r="J788" s="29" t="str">
        <f aca="false">IF(A788="","",IFERROR(1/(1/_xlfn.MINIFS(Apparitions!$L$2:$L$5001,Apparitions!$H$2:$H$5001,A788)),""))</f>
        <v/>
      </c>
    </row>
    <row r="789" customFormat="false" ht="15" hidden="false" customHeight="false" outlineLevel="0" collapsed="false">
      <c r="A789" s="19"/>
      <c r="B789" s="19"/>
      <c r="C789" s="19"/>
      <c r="D789" s="19"/>
      <c r="E789" s="32"/>
      <c r="F789" s="19"/>
      <c r="G789" s="26" t="str">
        <f aca="false">IF(A789="","",COUNTIF(Pubs!$B$2:$B$3001,A789))</f>
        <v/>
      </c>
      <c r="H789" s="26" t="str">
        <f aca="false">IF(A789="","",COUNTIF(Apparitions!$H$2:$H$5001,A789))</f>
        <v/>
      </c>
      <c r="I789" s="26" t="str">
        <f aca="false">IF(A789="","",COUNTIFS(Apparitions!$H$2:$H$5001,A789,Apparitions!$E$2:$E$5001,"○"))</f>
        <v/>
      </c>
      <c r="J789" s="29" t="str">
        <f aca="false">IF(A789="","",IFERROR(1/(1/_xlfn.MINIFS(Apparitions!$L$2:$L$5001,Apparitions!$H$2:$H$5001,A789)),""))</f>
        <v/>
      </c>
    </row>
    <row r="790" customFormat="false" ht="15" hidden="false" customHeight="false" outlineLevel="0" collapsed="false">
      <c r="A790" s="19"/>
      <c r="B790" s="19"/>
      <c r="C790" s="19"/>
      <c r="D790" s="19"/>
      <c r="E790" s="32"/>
      <c r="F790" s="19"/>
      <c r="G790" s="26" t="str">
        <f aca="false">IF(A790="","",COUNTIF(Pubs!$B$2:$B$3001,A790))</f>
        <v/>
      </c>
      <c r="H790" s="26" t="str">
        <f aca="false">IF(A790="","",COUNTIF(Apparitions!$H$2:$H$5001,A790))</f>
        <v/>
      </c>
      <c r="I790" s="26" t="str">
        <f aca="false">IF(A790="","",COUNTIFS(Apparitions!$H$2:$H$5001,A790,Apparitions!$E$2:$E$5001,"○"))</f>
        <v/>
      </c>
      <c r="J790" s="29" t="str">
        <f aca="false">IF(A790="","",IFERROR(1/(1/_xlfn.MINIFS(Apparitions!$L$2:$L$5001,Apparitions!$H$2:$H$5001,A790)),""))</f>
        <v/>
      </c>
    </row>
    <row r="791" customFormat="false" ht="15" hidden="false" customHeight="false" outlineLevel="0" collapsed="false">
      <c r="A791" s="19"/>
      <c r="B791" s="19"/>
      <c r="C791" s="19"/>
      <c r="D791" s="19"/>
      <c r="E791" s="32"/>
      <c r="F791" s="19"/>
      <c r="G791" s="26" t="str">
        <f aca="false">IF(A791="","",COUNTIF(Pubs!$B$2:$B$3001,A791))</f>
        <v/>
      </c>
      <c r="H791" s="26" t="str">
        <f aca="false">IF(A791="","",COUNTIF(Apparitions!$H$2:$H$5001,A791))</f>
        <v/>
      </c>
      <c r="I791" s="26" t="str">
        <f aca="false">IF(A791="","",COUNTIFS(Apparitions!$H$2:$H$5001,A791,Apparitions!$E$2:$E$5001,"○"))</f>
        <v/>
      </c>
      <c r="J791" s="29" t="str">
        <f aca="false">IF(A791="","",IFERROR(1/(1/_xlfn.MINIFS(Apparitions!$L$2:$L$5001,Apparitions!$H$2:$H$5001,A791)),""))</f>
        <v/>
      </c>
    </row>
    <row r="792" customFormat="false" ht="15" hidden="false" customHeight="false" outlineLevel="0" collapsed="false">
      <c r="A792" s="19"/>
      <c r="B792" s="19"/>
      <c r="C792" s="19"/>
      <c r="D792" s="19"/>
      <c r="E792" s="32"/>
      <c r="F792" s="19"/>
      <c r="G792" s="26" t="str">
        <f aca="false">IF(A792="","",COUNTIF(Pubs!$B$2:$B$3001,A792))</f>
        <v/>
      </c>
      <c r="H792" s="26" t="str">
        <f aca="false">IF(A792="","",COUNTIF(Apparitions!$H$2:$H$5001,A792))</f>
        <v/>
      </c>
      <c r="I792" s="26" t="str">
        <f aca="false">IF(A792="","",COUNTIFS(Apparitions!$H$2:$H$5001,A792,Apparitions!$E$2:$E$5001,"○"))</f>
        <v/>
      </c>
      <c r="J792" s="29" t="str">
        <f aca="false">IF(A792="","",IFERROR(1/(1/_xlfn.MINIFS(Apparitions!$L$2:$L$5001,Apparitions!$H$2:$H$5001,A792)),""))</f>
        <v/>
      </c>
    </row>
    <row r="793" customFormat="false" ht="15" hidden="false" customHeight="false" outlineLevel="0" collapsed="false">
      <c r="A793" s="19"/>
      <c r="B793" s="19"/>
      <c r="C793" s="19"/>
      <c r="D793" s="19"/>
      <c r="E793" s="32"/>
      <c r="F793" s="19"/>
      <c r="G793" s="26" t="str">
        <f aca="false">IF(A793="","",COUNTIF(Pubs!$B$2:$B$3001,A793))</f>
        <v/>
      </c>
      <c r="H793" s="26" t="str">
        <f aca="false">IF(A793="","",COUNTIF(Apparitions!$H$2:$H$5001,A793))</f>
        <v/>
      </c>
      <c r="I793" s="26" t="str">
        <f aca="false">IF(A793="","",COUNTIFS(Apparitions!$H$2:$H$5001,A793,Apparitions!$E$2:$E$5001,"○"))</f>
        <v/>
      </c>
      <c r="J793" s="29" t="str">
        <f aca="false">IF(A793="","",IFERROR(1/(1/_xlfn.MINIFS(Apparitions!$L$2:$L$5001,Apparitions!$H$2:$H$5001,A793)),""))</f>
        <v/>
      </c>
    </row>
    <row r="794" customFormat="false" ht="15" hidden="false" customHeight="false" outlineLevel="0" collapsed="false">
      <c r="A794" s="19"/>
      <c r="B794" s="19"/>
      <c r="C794" s="19"/>
      <c r="D794" s="19"/>
      <c r="E794" s="32"/>
      <c r="F794" s="19"/>
      <c r="G794" s="26" t="str">
        <f aca="false">IF(A794="","",COUNTIF(Pubs!$B$2:$B$3001,A794))</f>
        <v/>
      </c>
      <c r="H794" s="26" t="str">
        <f aca="false">IF(A794="","",COUNTIF(Apparitions!$H$2:$H$5001,A794))</f>
        <v/>
      </c>
      <c r="I794" s="26" t="str">
        <f aca="false">IF(A794="","",COUNTIFS(Apparitions!$H$2:$H$5001,A794,Apparitions!$E$2:$E$5001,"○"))</f>
        <v/>
      </c>
      <c r="J794" s="29" t="str">
        <f aca="false">IF(A794="","",IFERROR(1/(1/_xlfn.MINIFS(Apparitions!$L$2:$L$5001,Apparitions!$H$2:$H$5001,A794)),""))</f>
        <v/>
      </c>
    </row>
    <row r="795" customFormat="false" ht="15" hidden="false" customHeight="false" outlineLevel="0" collapsed="false">
      <c r="A795" s="19"/>
      <c r="B795" s="19"/>
      <c r="C795" s="19"/>
      <c r="D795" s="19"/>
      <c r="E795" s="32"/>
      <c r="F795" s="19"/>
      <c r="G795" s="26" t="str">
        <f aca="false">IF(A795="","",COUNTIF(Pubs!$B$2:$B$3001,A795))</f>
        <v/>
      </c>
      <c r="H795" s="26" t="str">
        <f aca="false">IF(A795="","",COUNTIF(Apparitions!$H$2:$H$5001,A795))</f>
        <v/>
      </c>
      <c r="I795" s="26" t="str">
        <f aca="false">IF(A795="","",COUNTIFS(Apparitions!$H$2:$H$5001,A795,Apparitions!$E$2:$E$5001,"○"))</f>
        <v/>
      </c>
      <c r="J795" s="29" t="str">
        <f aca="false">IF(A795="","",IFERROR(1/(1/_xlfn.MINIFS(Apparitions!$L$2:$L$5001,Apparitions!$H$2:$H$5001,A795)),""))</f>
        <v/>
      </c>
    </row>
    <row r="796" customFormat="false" ht="15" hidden="false" customHeight="false" outlineLevel="0" collapsed="false">
      <c r="A796" s="19"/>
      <c r="B796" s="19"/>
      <c r="C796" s="19"/>
      <c r="D796" s="19"/>
      <c r="E796" s="32"/>
      <c r="F796" s="19"/>
      <c r="G796" s="26" t="str">
        <f aca="false">IF(A796="","",COUNTIF(Pubs!$B$2:$B$3001,A796))</f>
        <v/>
      </c>
      <c r="H796" s="26" t="str">
        <f aca="false">IF(A796="","",COUNTIF(Apparitions!$H$2:$H$5001,A796))</f>
        <v/>
      </c>
      <c r="I796" s="26" t="str">
        <f aca="false">IF(A796="","",COUNTIFS(Apparitions!$H$2:$H$5001,A796,Apparitions!$E$2:$E$5001,"○"))</f>
        <v/>
      </c>
      <c r="J796" s="29" t="str">
        <f aca="false">IF(A796="","",IFERROR(1/(1/_xlfn.MINIFS(Apparitions!$L$2:$L$5001,Apparitions!$H$2:$H$5001,A796)),""))</f>
        <v/>
      </c>
    </row>
    <row r="797" customFormat="false" ht="15" hidden="false" customHeight="false" outlineLevel="0" collapsed="false">
      <c r="A797" s="19"/>
      <c r="B797" s="19"/>
      <c r="C797" s="19"/>
      <c r="D797" s="19"/>
      <c r="E797" s="32"/>
      <c r="F797" s="19"/>
      <c r="G797" s="26" t="str">
        <f aca="false">IF(A797="","",COUNTIF(Pubs!$B$2:$B$3001,A797))</f>
        <v/>
      </c>
      <c r="H797" s="26" t="str">
        <f aca="false">IF(A797="","",COUNTIF(Apparitions!$H$2:$H$5001,A797))</f>
        <v/>
      </c>
      <c r="I797" s="26" t="str">
        <f aca="false">IF(A797="","",COUNTIFS(Apparitions!$H$2:$H$5001,A797,Apparitions!$E$2:$E$5001,"○"))</f>
        <v/>
      </c>
      <c r="J797" s="29" t="str">
        <f aca="false">IF(A797="","",IFERROR(1/(1/_xlfn.MINIFS(Apparitions!$L$2:$L$5001,Apparitions!$H$2:$H$5001,A797)),""))</f>
        <v/>
      </c>
    </row>
    <row r="798" customFormat="false" ht="15" hidden="false" customHeight="false" outlineLevel="0" collapsed="false">
      <c r="A798" s="19"/>
      <c r="B798" s="19"/>
      <c r="C798" s="19"/>
      <c r="D798" s="19"/>
      <c r="E798" s="32"/>
      <c r="F798" s="19"/>
      <c r="G798" s="26" t="str">
        <f aca="false">IF(A798="","",COUNTIF(Pubs!$B$2:$B$3001,A798))</f>
        <v/>
      </c>
      <c r="H798" s="26" t="str">
        <f aca="false">IF(A798="","",COUNTIF(Apparitions!$H$2:$H$5001,A798))</f>
        <v/>
      </c>
      <c r="I798" s="26" t="str">
        <f aca="false">IF(A798="","",COUNTIFS(Apparitions!$H$2:$H$5001,A798,Apparitions!$E$2:$E$5001,"○"))</f>
        <v/>
      </c>
      <c r="J798" s="29" t="str">
        <f aca="false">IF(A798="","",IFERROR(1/(1/_xlfn.MINIFS(Apparitions!$L$2:$L$5001,Apparitions!$H$2:$H$5001,A798)),""))</f>
        <v/>
      </c>
    </row>
    <row r="799" customFormat="false" ht="15" hidden="false" customHeight="false" outlineLevel="0" collapsed="false">
      <c r="A799" s="19"/>
      <c r="B799" s="19"/>
      <c r="C799" s="19"/>
      <c r="D799" s="19"/>
      <c r="E799" s="32"/>
      <c r="F799" s="19"/>
      <c r="G799" s="26" t="str">
        <f aca="false">IF(A799="","",COUNTIF(Pubs!$B$2:$B$3001,A799))</f>
        <v/>
      </c>
      <c r="H799" s="26" t="str">
        <f aca="false">IF(A799="","",COUNTIF(Apparitions!$H$2:$H$5001,A799))</f>
        <v/>
      </c>
      <c r="I799" s="26" t="str">
        <f aca="false">IF(A799="","",COUNTIFS(Apparitions!$H$2:$H$5001,A799,Apparitions!$E$2:$E$5001,"○"))</f>
        <v/>
      </c>
      <c r="J799" s="29" t="str">
        <f aca="false">IF(A799="","",IFERROR(1/(1/_xlfn.MINIFS(Apparitions!$L$2:$L$5001,Apparitions!$H$2:$H$5001,A799)),""))</f>
        <v/>
      </c>
    </row>
    <row r="800" customFormat="false" ht="15" hidden="false" customHeight="false" outlineLevel="0" collapsed="false">
      <c r="A800" s="19"/>
      <c r="B800" s="19"/>
      <c r="C800" s="19"/>
      <c r="D800" s="19"/>
      <c r="E800" s="32"/>
      <c r="F800" s="19"/>
      <c r="G800" s="26" t="str">
        <f aca="false">IF(A800="","",COUNTIF(Pubs!$B$2:$B$3001,A800))</f>
        <v/>
      </c>
      <c r="H800" s="26" t="str">
        <f aca="false">IF(A800="","",COUNTIF(Apparitions!$H$2:$H$5001,A800))</f>
        <v/>
      </c>
      <c r="I800" s="26" t="str">
        <f aca="false">IF(A800="","",COUNTIFS(Apparitions!$H$2:$H$5001,A800,Apparitions!$E$2:$E$5001,"○"))</f>
        <v/>
      </c>
      <c r="J800" s="29" t="str">
        <f aca="false">IF(A800="","",IFERROR(1/(1/_xlfn.MINIFS(Apparitions!$L$2:$L$5001,Apparitions!$H$2:$H$5001,A800)),""))</f>
        <v/>
      </c>
    </row>
    <row r="801" customFormat="false" ht="15" hidden="false" customHeight="false" outlineLevel="0" collapsed="false">
      <c r="A801" s="19"/>
      <c r="B801" s="19"/>
      <c r="C801" s="19"/>
      <c r="D801" s="19"/>
      <c r="E801" s="32"/>
      <c r="F801" s="19"/>
      <c r="G801" s="26" t="str">
        <f aca="false">IF(A801="","",COUNTIF(Pubs!$B$2:$B$3001,A801))</f>
        <v/>
      </c>
      <c r="H801" s="26" t="str">
        <f aca="false">IF(A801="","",COUNTIF(Apparitions!$H$2:$H$5001,A801))</f>
        <v/>
      </c>
      <c r="I801" s="26" t="str">
        <f aca="false">IF(A801="","",COUNTIFS(Apparitions!$H$2:$H$5001,A801,Apparitions!$E$2:$E$5001,"○"))</f>
        <v/>
      </c>
      <c r="J801" s="29" t="str">
        <f aca="false">IF(A801="","",IFERROR(1/(1/_xlfn.MINIFS(Apparitions!$L$2:$L$5001,Apparitions!$H$2:$H$5001,A801)),""))</f>
        <v/>
      </c>
    </row>
    <row r="802" customFormat="false" ht="15" hidden="false" customHeight="false" outlineLevel="0" collapsed="false">
      <c r="A802" s="19"/>
      <c r="B802" s="19"/>
      <c r="C802" s="19"/>
      <c r="D802" s="19"/>
      <c r="E802" s="32"/>
      <c r="F802" s="19"/>
      <c r="G802" s="26" t="str">
        <f aca="false">IF(A802="","",COUNTIF(Pubs!$B$2:$B$3001,A802))</f>
        <v/>
      </c>
      <c r="H802" s="26" t="str">
        <f aca="false">IF(A802="","",COUNTIF(Apparitions!$H$2:$H$5001,A802))</f>
        <v/>
      </c>
      <c r="I802" s="26" t="str">
        <f aca="false">IF(A802="","",COUNTIFS(Apparitions!$H$2:$H$5001,A802,Apparitions!$E$2:$E$5001,"○"))</f>
        <v/>
      </c>
      <c r="J802" s="29" t="str">
        <f aca="false">IF(A802="","",IFERROR(1/(1/_xlfn.MINIFS(Apparitions!$L$2:$L$5001,Apparitions!$H$2:$H$5001,A802)),""))</f>
        <v/>
      </c>
    </row>
    <row r="803" customFormat="false" ht="15" hidden="false" customHeight="false" outlineLevel="0" collapsed="false">
      <c r="A803" s="19"/>
      <c r="B803" s="19"/>
      <c r="C803" s="19"/>
      <c r="D803" s="19"/>
      <c r="E803" s="32"/>
      <c r="F803" s="19"/>
      <c r="G803" s="26" t="str">
        <f aca="false">IF(A803="","",COUNTIF(Pubs!$B$2:$B$3001,A803))</f>
        <v/>
      </c>
      <c r="H803" s="26" t="str">
        <f aca="false">IF(A803="","",COUNTIF(Apparitions!$H$2:$H$5001,A803))</f>
        <v/>
      </c>
      <c r="I803" s="26" t="str">
        <f aca="false">IF(A803="","",COUNTIFS(Apparitions!$H$2:$H$5001,A803,Apparitions!$E$2:$E$5001,"○"))</f>
        <v/>
      </c>
      <c r="J803" s="29" t="str">
        <f aca="false">IF(A803="","",IFERROR(1/(1/_xlfn.MINIFS(Apparitions!$L$2:$L$5001,Apparitions!$H$2:$H$5001,A803)),""))</f>
        <v/>
      </c>
    </row>
    <row r="804" customFormat="false" ht="15" hidden="false" customHeight="false" outlineLevel="0" collapsed="false">
      <c r="A804" s="19"/>
      <c r="B804" s="19"/>
      <c r="C804" s="19"/>
      <c r="D804" s="19"/>
      <c r="E804" s="32"/>
      <c r="F804" s="19"/>
      <c r="G804" s="26" t="str">
        <f aca="false">IF(A804="","",COUNTIF(Pubs!$B$2:$B$3001,A804))</f>
        <v/>
      </c>
      <c r="H804" s="26" t="str">
        <f aca="false">IF(A804="","",COUNTIF(Apparitions!$H$2:$H$5001,A804))</f>
        <v/>
      </c>
      <c r="I804" s="26" t="str">
        <f aca="false">IF(A804="","",COUNTIFS(Apparitions!$H$2:$H$5001,A804,Apparitions!$E$2:$E$5001,"○"))</f>
        <v/>
      </c>
      <c r="J804" s="29" t="str">
        <f aca="false">IF(A804="","",IFERROR(1/(1/_xlfn.MINIFS(Apparitions!$L$2:$L$5001,Apparitions!$H$2:$H$5001,A804)),""))</f>
        <v/>
      </c>
    </row>
    <row r="805" customFormat="false" ht="15" hidden="false" customHeight="false" outlineLevel="0" collapsed="false">
      <c r="A805" s="19"/>
      <c r="B805" s="19"/>
      <c r="C805" s="19"/>
      <c r="D805" s="19"/>
      <c r="E805" s="32"/>
      <c r="F805" s="19"/>
      <c r="G805" s="26" t="str">
        <f aca="false">IF(A805="","",COUNTIF(Pubs!$B$2:$B$3001,A805))</f>
        <v/>
      </c>
      <c r="H805" s="26" t="str">
        <f aca="false">IF(A805="","",COUNTIF(Apparitions!$H$2:$H$5001,A805))</f>
        <v/>
      </c>
      <c r="I805" s="26" t="str">
        <f aca="false">IF(A805="","",COUNTIFS(Apparitions!$H$2:$H$5001,A805,Apparitions!$E$2:$E$5001,"○"))</f>
        <v/>
      </c>
      <c r="J805" s="29" t="str">
        <f aca="false">IF(A805="","",IFERROR(1/(1/_xlfn.MINIFS(Apparitions!$L$2:$L$5001,Apparitions!$H$2:$H$5001,A805)),""))</f>
        <v/>
      </c>
    </row>
    <row r="806" customFormat="false" ht="15" hidden="false" customHeight="false" outlineLevel="0" collapsed="false">
      <c r="A806" s="19"/>
      <c r="B806" s="19"/>
      <c r="C806" s="19"/>
      <c r="D806" s="19"/>
      <c r="E806" s="32"/>
      <c r="F806" s="19"/>
      <c r="G806" s="26" t="str">
        <f aca="false">IF(A806="","",COUNTIF(Pubs!$B$2:$B$3001,A806))</f>
        <v/>
      </c>
      <c r="H806" s="26" t="str">
        <f aca="false">IF(A806="","",COUNTIF(Apparitions!$H$2:$H$5001,A806))</f>
        <v/>
      </c>
      <c r="I806" s="26" t="str">
        <f aca="false">IF(A806="","",COUNTIFS(Apparitions!$H$2:$H$5001,A806,Apparitions!$E$2:$E$5001,"○"))</f>
        <v/>
      </c>
      <c r="J806" s="29" t="str">
        <f aca="false">IF(A806="","",IFERROR(1/(1/_xlfn.MINIFS(Apparitions!$L$2:$L$5001,Apparitions!$H$2:$H$5001,A806)),""))</f>
        <v/>
      </c>
    </row>
    <row r="807" customFormat="false" ht="15" hidden="false" customHeight="false" outlineLevel="0" collapsed="false">
      <c r="A807" s="19"/>
      <c r="B807" s="19"/>
      <c r="C807" s="19"/>
      <c r="D807" s="19"/>
      <c r="E807" s="32"/>
      <c r="F807" s="19"/>
      <c r="G807" s="26" t="str">
        <f aca="false">IF(A807="","",COUNTIF(Pubs!$B$2:$B$3001,A807))</f>
        <v/>
      </c>
      <c r="H807" s="26" t="str">
        <f aca="false">IF(A807="","",COUNTIF(Apparitions!$H$2:$H$5001,A807))</f>
        <v/>
      </c>
      <c r="I807" s="26" t="str">
        <f aca="false">IF(A807="","",COUNTIFS(Apparitions!$H$2:$H$5001,A807,Apparitions!$E$2:$E$5001,"○"))</f>
        <v/>
      </c>
      <c r="J807" s="29" t="str">
        <f aca="false">IF(A807="","",IFERROR(1/(1/_xlfn.MINIFS(Apparitions!$L$2:$L$5001,Apparitions!$H$2:$H$5001,A807)),""))</f>
        <v/>
      </c>
    </row>
    <row r="808" customFormat="false" ht="15" hidden="false" customHeight="false" outlineLevel="0" collapsed="false">
      <c r="A808" s="19"/>
      <c r="B808" s="19"/>
      <c r="C808" s="19"/>
      <c r="D808" s="19"/>
      <c r="E808" s="32"/>
      <c r="F808" s="19"/>
      <c r="G808" s="26" t="str">
        <f aca="false">IF(A808="","",COUNTIF(Pubs!$B$2:$B$3001,A808))</f>
        <v/>
      </c>
      <c r="H808" s="26" t="str">
        <f aca="false">IF(A808="","",COUNTIF(Apparitions!$H$2:$H$5001,A808))</f>
        <v/>
      </c>
      <c r="I808" s="26" t="str">
        <f aca="false">IF(A808="","",COUNTIFS(Apparitions!$H$2:$H$5001,A808,Apparitions!$E$2:$E$5001,"○"))</f>
        <v/>
      </c>
      <c r="J808" s="29" t="str">
        <f aca="false">IF(A808="","",IFERROR(1/(1/_xlfn.MINIFS(Apparitions!$L$2:$L$5001,Apparitions!$H$2:$H$5001,A808)),""))</f>
        <v/>
      </c>
    </row>
    <row r="809" customFormat="false" ht="15" hidden="false" customHeight="false" outlineLevel="0" collapsed="false">
      <c r="A809" s="19"/>
      <c r="B809" s="19"/>
      <c r="C809" s="19"/>
      <c r="D809" s="19"/>
      <c r="E809" s="32"/>
      <c r="F809" s="19"/>
      <c r="G809" s="26" t="str">
        <f aca="false">IF(A809="","",COUNTIF(Pubs!$B$2:$B$3001,A809))</f>
        <v/>
      </c>
      <c r="H809" s="26" t="str">
        <f aca="false">IF(A809="","",COUNTIF(Apparitions!$H$2:$H$5001,A809))</f>
        <v/>
      </c>
      <c r="I809" s="26" t="str">
        <f aca="false">IF(A809="","",COUNTIFS(Apparitions!$H$2:$H$5001,A809,Apparitions!$E$2:$E$5001,"○"))</f>
        <v/>
      </c>
      <c r="J809" s="29" t="str">
        <f aca="false">IF(A809="","",IFERROR(1/(1/_xlfn.MINIFS(Apparitions!$L$2:$L$5001,Apparitions!$H$2:$H$5001,A809)),""))</f>
        <v/>
      </c>
    </row>
    <row r="810" customFormat="false" ht="15" hidden="false" customHeight="false" outlineLevel="0" collapsed="false">
      <c r="A810" s="19"/>
      <c r="B810" s="19"/>
      <c r="C810" s="19"/>
      <c r="D810" s="19"/>
      <c r="E810" s="32"/>
      <c r="F810" s="19"/>
      <c r="G810" s="26" t="str">
        <f aca="false">IF(A810="","",COUNTIF(Pubs!$B$2:$B$3001,A810))</f>
        <v/>
      </c>
      <c r="H810" s="26" t="str">
        <f aca="false">IF(A810="","",COUNTIF(Apparitions!$H$2:$H$5001,A810))</f>
        <v/>
      </c>
      <c r="I810" s="26" t="str">
        <f aca="false">IF(A810="","",COUNTIFS(Apparitions!$H$2:$H$5001,A810,Apparitions!$E$2:$E$5001,"○"))</f>
        <v/>
      </c>
      <c r="J810" s="29" t="str">
        <f aca="false">IF(A810="","",IFERROR(1/(1/_xlfn.MINIFS(Apparitions!$L$2:$L$5001,Apparitions!$H$2:$H$5001,A810)),""))</f>
        <v/>
      </c>
    </row>
    <row r="811" customFormat="false" ht="15" hidden="false" customHeight="false" outlineLevel="0" collapsed="false">
      <c r="A811" s="19"/>
      <c r="B811" s="19"/>
      <c r="C811" s="19"/>
      <c r="D811" s="19"/>
      <c r="E811" s="32"/>
      <c r="F811" s="19"/>
      <c r="G811" s="26" t="str">
        <f aca="false">IF(A811="","",COUNTIF(Pubs!$B$2:$B$3001,A811))</f>
        <v/>
      </c>
      <c r="H811" s="26" t="str">
        <f aca="false">IF(A811="","",COUNTIF(Apparitions!$H$2:$H$5001,A811))</f>
        <v/>
      </c>
      <c r="I811" s="26" t="str">
        <f aca="false">IF(A811="","",COUNTIFS(Apparitions!$H$2:$H$5001,A811,Apparitions!$E$2:$E$5001,"○"))</f>
        <v/>
      </c>
      <c r="J811" s="29" t="str">
        <f aca="false">IF(A811="","",IFERROR(1/(1/_xlfn.MINIFS(Apparitions!$L$2:$L$5001,Apparitions!$H$2:$H$5001,A811)),""))</f>
        <v/>
      </c>
    </row>
    <row r="812" customFormat="false" ht="15" hidden="false" customHeight="false" outlineLevel="0" collapsed="false">
      <c r="A812" s="19"/>
      <c r="B812" s="19"/>
      <c r="C812" s="19"/>
      <c r="D812" s="19"/>
      <c r="E812" s="32"/>
      <c r="F812" s="19"/>
      <c r="G812" s="26" t="str">
        <f aca="false">IF(A812="","",COUNTIF(Pubs!$B$2:$B$3001,A812))</f>
        <v/>
      </c>
      <c r="H812" s="26" t="str">
        <f aca="false">IF(A812="","",COUNTIF(Apparitions!$H$2:$H$5001,A812))</f>
        <v/>
      </c>
      <c r="I812" s="26" t="str">
        <f aca="false">IF(A812="","",COUNTIFS(Apparitions!$H$2:$H$5001,A812,Apparitions!$E$2:$E$5001,"○"))</f>
        <v/>
      </c>
      <c r="J812" s="29" t="str">
        <f aca="false">IF(A812="","",IFERROR(1/(1/_xlfn.MINIFS(Apparitions!$L$2:$L$5001,Apparitions!$H$2:$H$5001,A812)),""))</f>
        <v/>
      </c>
    </row>
    <row r="813" customFormat="false" ht="15" hidden="false" customHeight="false" outlineLevel="0" collapsed="false">
      <c r="A813" s="19"/>
      <c r="B813" s="19"/>
      <c r="C813" s="19"/>
      <c r="D813" s="19"/>
      <c r="E813" s="32"/>
      <c r="F813" s="19"/>
      <c r="G813" s="26" t="str">
        <f aca="false">IF(A813="","",COUNTIF(Pubs!$B$2:$B$3001,A813))</f>
        <v/>
      </c>
      <c r="H813" s="26" t="str">
        <f aca="false">IF(A813="","",COUNTIF(Apparitions!$H$2:$H$5001,A813))</f>
        <v/>
      </c>
      <c r="I813" s="26" t="str">
        <f aca="false">IF(A813="","",COUNTIFS(Apparitions!$H$2:$H$5001,A813,Apparitions!$E$2:$E$5001,"○"))</f>
        <v/>
      </c>
      <c r="J813" s="29" t="str">
        <f aca="false">IF(A813="","",IFERROR(1/(1/_xlfn.MINIFS(Apparitions!$L$2:$L$5001,Apparitions!$H$2:$H$5001,A813)),""))</f>
        <v/>
      </c>
    </row>
    <row r="814" customFormat="false" ht="15" hidden="false" customHeight="false" outlineLevel="0" collapsed="false">
      <c r="A814" s="19"/>
      <c r="B814" s="19"/>
      <c r="C814" s="19"/>
      <c r="D814" s="19"/>
      <c r="E814" s="32"/>
      <c r="F814" s="19"/>
      <c r="G814" s="26" t="str">
        <f aca="false">IF(A814="","",COUNTIF(Pubs!$B$2:$B$3001,A814))</f>
        <v/>
      </c>
      <c r="H814" s="26" t="str">
        <f aca="false">IF(A814="","",COUNTIF(Apparitions!$H$2:$H$5001,A814))</f>
        <v/>
      </c>
      <c r="I814" s="26" t="str">
        <f aca="false">IF(A814="","",COUNTIFS(Apparitions!$H$2:$H$5001,A814,Apparitions!$E$2:$E$5001,"○"))</f>
        <v/>
      </c>
      <c r="J814" s="29" t="str">
        <f aca="false">IF(A814="","",IFERROR(1/(1/_xlfn.MINIFS(Apparitions!$L$2:$L$5001,Apparitions!$H$2:$H$5001,A814)),""))</f>
        <v/>
      </c>
    </row>
    <row r="815" customFormat="false" ht="15" hidden="false" customHeight="false" outlineLevel="0" collapsed="false">
      <c r="A815" s="19"/>
      <c r="B815" s="19"/>
      <c r="C815" s="19"/>
      <c r="D815" s="19"/>
      <c r="E815" s="32"/>
      <c r="F815" s="19"/>
      <c r="G815" s="26" t="str">
        <f aca="false">IF(A815="","",COUNTIF(Pubs!$B$2:$B$3001,A815))</f>
        <v/>
      </c>
      <c r="H815" s="26" t="str">
        <f aca="false">IF(A815="","",COUNTIF(Apparitions!$H$2:$H$5001,A815))</f>
        <v/>
      </c>
      <c r="I815" s="26" t="str">
        <f aca="false">IF(A815="","",COUNTIFS(Apparitions!$H$2:$H$5001,A815,Apparitions!$E$2:$E$5001,"○"))</f>
        <v/>
      </c>
      <c r="J815" s="29" t="str">
        <f aca="false">IF(A815="","",IFERROR(1/(1/_xlfn.MINIFS(Apparitions!$L$2:$L$5001,Apparitions!$H$2:$H$5001,A815)),""))</f>
        <v/>
      </c>
    </row>
    <row r="816" customFormat="false" ht="15" hidden="false" customHeight="false" outlineLevel="0" collapsed="false">
      <c r="A816" s="19"/>
      <c r="B816" s="19"/>
      <c r="C816" s="19"/>
      <c r="D816" s="19"/>
      <c r="E816" s="32"/>
      <c r="F816" s="19"/>
      <c r="G816" s="26" t="str">
        <f aca="false">IF(A816="","",COUNTIF(Pubs!$B$2:$B$3001,A816))</f>
        <v/>
      </c>
      <c r="H816" s="26" t="str">
        <f aca="false">IF(A816="","",COUNTIF(Apparitions!$H$2:$H$5001,A816))</f>
        <v/>
      </c>
      <c r="I816" s="26" t="str">
        <f aca="false">IF(A816="","",COUNTIFS(Apparitions!$H$2:$H$5001,A816,Apparitions!$E$2:$E$5001,"○"))</f>
        <v/>
      </c>
      <c r="J816" s="29" t="str">
        <f aca="false">IF(A816="","",IFERROR(1/(1/_xlfn.MINIFS(Apparitions!$L$2:$L$5001,Apparitions!$H$2:$H$5001,A816)),""))</f>
        <v/>
      </c>
    </row>
    <row r="817" customFormat="false" ht="15" hidden="false" customHeight="false" outlineLevel="0" collapsed="false">
      <c r="A817" s="19"/>
      <c r="B817" s="19"/>
      <c r="C817" s="19"/>
      <c r="D817" s="19"/>
      <c r="E817" s="32"/>
      <c r="F817" s="19"/>
      <c r="G817" s="26" t="str">
        <f aca="false">IF(A817="","",COUNTIF(Pubs!$B$2:$B$3001,A817))</f>
        <v/>
      </c>
      <c r="H817" s="26" t="str">
        <f aca="false">IF(A817="","",COUNTIF(Apparitions!$H$2:$H$5001,A817))</f>
        <v/>
      </c>
      <c r="I817" s="26" t="str">
        <f aca="false">IF(A817="","",COUNTIFS(Apparitions!$H$2:$H$5001,A817,Apparitions!$E$2:$E$5001,"○"))</f>
        <v/>
      </c>
      <c r="J817" s="29" t="str">
        <f aca="false">IF(A817="","",IFERROR(1/(1/_xlfn.MINIFS(Apparitions!$L$2:$L$5001,Apparitions!$H$2:$H$5001,A817)),""))</f>
        <v/>
      </c>
    </row>
    <row r="818" customFormat="false" ht="15" hidden="false" customHeight="false" outlineLevel="0" collapsed="false">
      <c r="A818" s="19"/>
      <c r="B818" s="19"/>
      <c r="C818" s="19"/>
      <c r="D818" s="19"/>
      <c r="E818" s="32"/>
      <c r="F818" s="19"/>
      <c r="G818" s="26" t="str">
        <f aca="false">IF(A818="","",COUNTIF(Pubs!$B$2:$B$3001,A818))</f>
        <v/>
      </c>
      <c r="H818" s="26" t="str">
        <f aca="false">IF(A818="","",COUNTIF(Apparitions!$H$2:$H$5001,A818))</f>
        <v/>
      </c>
      <c r="I818" s="26" t="str">
        <f aca="false">IF(A818="","",COUNTIFS(Apparitions!$H$2:$H$5001,A818,Apparitions!$E$2:$E$5001,"○"))</f>
        <v/>
      </c>
      <c r="J818" s="29" t="str">
        <f aca="false">IF(A818="","",IFERROR(1/(1/_xlfn.MINIFS(Apparitions!$L$2:$L$5001,Apparitions!$H$2:$H$5001,A818)),""))</f>
        <v/>
      </c>
    </row>
    <row r="819" customFormat="false" ht="15" hidden="false" customHeight="false" outlineLevel="0" collapsed="false">
      <c r="A819" s="19"/>
      <c r="B819" s="19"/>
      <c r="C819" s="19"/>
      <c r="D819" s="19"/>
      <c r="E819" s="32"/>
      <c r="F819" s="19"/>
      <c r="G819" s="26" t="str">
        <f aca="false">IF(A819="","",COUNTIF(Pubs!$B$2:$B$3001,A819))</f>
        <v/>
      </c>
      <c r="H819" s="26" t="str">
        <f aca="false">IF(A819="","",COUNTIF(Apparitions!$H$2:$H$5001,A819))</f>
        <v/>
      </c>
      <c r="I819" s="26" t="str">
        <f aca="false">IF(A819="","",COUNTIFS(Apparitions!$H$2:$H$5001,A819,Apparitions!$E$2:$E$5001,"○"))</f>
        <v/>
      </c>
      <c r="J819" s="29" t="str">
        <f aca="false">IF(A819="","",IFERROR(1/(1/_xlfn.MINIFS(Apparitions!$L$2:$L$5001,Apparitions!$H$2:$H$5001,A819)),""))</f>
        <v/>
      </c>
    </row>
    <row r="820" customFormat="false" ht="15" hidden="false" customHeight="false" outlineLevel="0" collapsed="false">
      <c r="A820" s="19"/>
      <c r="B820" s="19"/>
      <c r="C820" s="19"/>
      <c r="D820" s="19"/>
      <c r="E820" s="32"/>
      <c r="F820" s="19"/>
      <c r="G820" s="26" t="str">
        <f aca="false">IF(A820="","",COUNTIF(Pubs!$B$2:$B$3001,A820))</f>
        <v/>
      </c>
      <c r="H820" s="26" t="str">
        <f aca="false">IF(A820="","",COUNTIF(Apparitions!$H$2:$H$5001,A820))</f>
        <v/>
      </c>
      <c r="I820" s="26" t="str">
        <f aca="false">IF(A820="","",COUNTIFS(Apparitions!$H$2:$H$5001,A820,Apparitions!$E$2:$E$5001,"○"))</f>
        <v/>
      </c>
      <c r="J820" s="29" t="str">
        <f aca="false">IF(A820="","",IFERROR(1/(1/_xlfn.MINIFS(Apparitions!$L$2:$L$5001,Apparitions!$H$2:$H$5001,A820)),""))</f>
        <v/>
      </c>
    </row>
    <row r="821" customFormat="false" ht="15" hidden="false" customHeight="false" outlineLevel="0" collapsed="false">
      <c r="A821" s="19"/>
      <c r="B821" s="19"/>
      <c r="C821" s="19"/>
      <c r="D821" s="19"/>
      <c r="E821" s="32"/>
      <c r="F821" s="19"/>
      <c r="G821" s="26" t="str">
        <f aca="false">IF(A821="","",COUNTIF(Pubs!$B$2:$B$3001,A821))</f>
        <v/>
      </c>
      <c r="H821" s="26" t="str">
        <f aca="false">IF(A821="","",COUNTIF(Apparitions!$H$2:$H$5001,A821))</f>
        <v/>
      </c>
      <c r="I821" s="26" t="str">
        <f aca="false">IF(A821="","",COUNTIFS(Apparitions!$H$2:$H$5001,A821,Apparitions!$E$2:$E$5001,"○"))</f>
        <v/>
      </c>
      <c r="J821" s="29" t="str">
        <f aca="false">IF(A821="","",IFERROR(1/(1/_xlfn.MINIFS(Apparitions!$L$2:$L$5001,Apparitions!$H$2:$H$5001,A821)),""))</f>
        <v/>
      </c>
    </row>
    <row r="822" customFormat="false" ht="15" hidden="false" customHeight="false" outlineLevel="0" collapsed="false">
      <c r="A822" s="19"/>
      <c r="B822" s="19"/>
      <c r="C822" s="19"/>
      <c r="D822" s="19"/>
      <c r="E822" s="32"/>
      <c r="F822" s="19"/>
      <c r="G822" s="26" t="str">
        <f aca="false">IF(A822="","",COUNTIF(Pubs!$B$2:$B$3001,A822))</f>
        <v/>
      </c>
      <c r="H822" s="26" t="str">
        <f aca="false">IF(A822="","",COUNTIF(Apparitions!$H$2:$H$5001,A822))</f>
        <v/>
      </c>
      <c r="I822" s="26" t="str">
        <f aca="false">IF(A822="","",COUNTIFS(Apparitions!$H$2:$H$5001,A822,Apparitions!$E$2:$E$5001,"○"))</f>
        <v/>
      </c>
      <c r="J822" s="29" t="str">
        <f aca="false">IF(A822="","",IFERROR(1/(1/_xlfn.MINIFS(Apparitions!$L$2:$L$5001,Apparitions!$H$2:$H$5001,A822)),""))</f>
        <v/>
      </c>
    </row>
    <row r="823" customFormat="false" ht="15" hidden="false" customHeight="false" outlineLevel="0" collapsed="false">
      <c r="A823" s="19"/>
      <c r="B823" s="19"/>
      <c r="C823" s="19"/>
      <c r="D823" s="19"/>
      <c r="E823" s="32"/>
      <c r="F823" s="19"/>
      <c r="G823" s="26" t="str">
        <f aca="false">IF(A823="","",COUNTIF(Pubs!$B$2:$B$3001,A823))</f>
        <v/>
      </c>
      <c r="H823" s="26" t="str">
        <f aca="false">IF(A823="","",COUNTIF(Apparitions!$H$2:$H$5001,A823))</f>
        <v/>
      </c>
      <c r="I823" s="26" t="str">
        <f aca="false">IF(A823="","",COUNTIFS(Apparitions!$H$2:$H$5001,A823,Apparitions!$E$2:$E$5001,"○"))</f>
        <v/>
      </c>
      <c r="J823" s="29" t="str">
        <f aca="false">IF(A823="","",IFERROR(1/(1/_xlfn.MINIFS(Apparitions!$L$2:$L$5001,Apparitions!$H$2:$H$5001,A823)),""))</f>
        <v/>
      </c>
    </row>
    <row r="824" customFormat="false" ht="15" hidden="false" customHeight="false" outlineLevel="0" collapsed="false">
      <c r="A824" s="19"/>
      <c r="B824" s="19"/>
      <c r="C824" s="19"/>
      <c r="D824" s="19"/>
      <c r="E824" s="32"/>
      <c r="F824" s="19"/>
      <c r="G824" s="26" t="str">
        <f aca="false">IF(A824="","",COUNTIF(Pubs!$B$2:$B$3001,A824))</f>
        <v/>
      </c>
      <c r="H824" s="26" t="str">
        <f aca="false">IF(A824="","",COUNTIF(Apparitions!$H$2:$H$5001,A824))</f>
        <v/>
      </c>
      <c r="I824" s="26" t="str">
        <f aca="false">IF(A824="","",COUNTIFS(Apparitions!$H$2:$H$5001,A824,Apparitions!$E$2:$E$5001,"○"))</f>
        <v/>
      </c>
      <c r="J824" s="29" t="str">
        <f aca="false">IF(A824="","",IFERROR(1/(1/_xlfn.MINIFS(Apparitions!$L$2:$L$5001,Apparitions!$H$2:$H$5001,A824)),""))</f>
        <v/>
      </c>
    </row>
    <row r="825" customFormat="false" ht="15" hidden="false" customHeight="false" outlineLevel="0" collapsed="false">
      <c r="A825" s="19"/>
      <c r="B825" s="19"/>
      <c r="C825" s="19"/>
      <c r="D825" s="19"/>
      <c r="E825" s="32"/>
      <c r="F825" s="19"/>
      <c r="G825" s="26" t="str">
        <f aca="false">IF(A825="","",COUNTIF(Pubs!$B$2:$B$3001,A825))</f>
        <v/>
      </c>
      <c r="H825" s="26" t="str">
        <f aca="false">IF(A825="","",COUNTIF(Apparitions!$H$2:$H$5001,A825))</f>
        <v/>
      </c>
      <c r="I825" s="26" t="str">
        <f aca="false">IF(A825="","",COUNTIFS(Apparitions!$H$2:$H$5001,A825,Apparitions!$E$2:$E$5001,"○"))</f>
        <v/>
      </c>
      <c r="J825" s="29" t="str">
        <f aca="false">IF(A825="","",IFERROR(1/(1/_xlfn.MINIFS(Apparitions!$L$2:$L$5001,Apparitions!$H$2:$H$5001,A825)),""))</f>
        <v/>
      </c>
    </row>
    <row r="826" customFormat="false" ht="15" hidden="false" customHeight="false" outlineLevel="0" collapsed="false">
      <c r="A826" s="19"/>
      <c r="B826" s="19"/>
      <c r="C826" s="19"/>
      <c r="D826" s="19"/>
      <c r="E826" s="32"/>
      <c r="F826" s="19"/>
      <c r="G826" s="26" t="str">
        <f aca="false">IF(A826="","",COUNTIF(Pubs!$B$2:$B$3001,A826))</f>
        <v/>
      </c>
      <c r="H826" s="26" t="str">
        <f aca="false">IF(A826="","",COUNTIF(Apparitions!$H$2:$H$5001,A826))</f>
        <v/>
      </c>
      <c r="I826" s="26" t="str">
        <f aca="false">IF(A826="","",COUNTIFS(Apparitions!$H$2:$H$5001,A826,Apparitions!$E$2:$E$5001,"○"))</f>
        <v/>
      </c>
      <c r="J826" s="29" t="str">
        <f aca="false">IF(A826="","",IFERROR(1/(1/_xlfn.MINIFS(Apparitions!$L$2:$L$5001,Apparitions!$H$2:$H$5001,A826)),""))</f>
        <v/>
      </c>
    </row>
    <row r="827" customFormat="false" ht="15" hidden="false" customHeight="false" outlineLevel="0" collapsed="false">
      <c r="A827" s="19"/>
      <c r="B827" s="19"/>
      <c r="C827" s="19"/>
      <c r="D827" s="19"/>
      <c r="E827" s="32"/>
      <c r="F827" s="19"/>
      <c r="G827" s="26" t="str">
        <f aca="false">IF(A827="","",COUNTIF(Pubs!$B$2:$B$3001,A827))</f>
        <v/>
      </c>
      <c r="H827" s="26" t="str">
        <f aca="false">IF(A827="","",COUNTIF(Apparitions!$H$2:$H$5001,A827))</f>
        <v/>
      </c>
      <c r="I827" s="26" t="str">
        <f aca="false">IF(A827="","",COUNTIFS(Apparitions!$H$2:$H$5001,A827,Apparitions!$E$2:$E$5001,"○"))</f>
        <v/>
      </c>
      <c r="J827" s="29" t="str">
        <f aca="false">IF(A827="","",IFERROR(1/(1/_xlfn.MINIFS(Apparitions!$L$2:$L$5001,Apparitions!$H$2:$H$5001,A827)),""))</f>
        <v/>
      </c>
    </row>
    <row r="828" customFormat="false" ht="15" hidden="false" customHeight="false" outlineLevel="0" collapsed="false">
      <c r="A828" s="19"/>
      <c r="B828" s="19"/>
      <c r="C828" s="19"/>
      <c r="D828" s="19"/>
      <c r="E828" s="32"/>
      <c r="F828" s="19"/>
      <c r="G828" s="26" t="str">
        <f aca="false">IF(A828="","",COUNTIF(Pubs!$B$2:$B$3001,A828))</f>
        <v/>
      </c>
      <c r="H828" s="26" t="str">
        <f aca="false">IF(A828="","",COUNTIF(Apparitions!$H$2:$H$5001,A828))</f>
        <v/>
      </c>
      <c r="I828" s="26" t="str">
        <f aca="false">IF(A828="","",COUNTIFS(Apparitions!$H$2:$H$5001,A828,Apparitions!$E$2:$E$5001,"○"))</f>
        <v/>
      </c>
      <c r="J828" s="29" t="str">
        <f aca="false">IF(A828="","",IFERROR(1/(1/_xlfn.MINIFS(Apparitions!$L$2:$L$5001,Apparitions!$H$2:$H$5001,A828)),""))</f>
        <v/>
      </c>
    </row>
    <row r="829" customFormat="false" ht="15" hidden="false" customHeight="false" outlineLevel="0" collapsed="false">
      <c r="A829" s="19"/>
      <c r="B829" s="19"/>
      <c r="C829" s="19"/>
      <c r="D829" s="19"/>
      <c r="E829" s="32"/>
      <c r="F829" s="19"/>
      <c r="G829" s="26" t="str">
        <f aca="false">IF(A829="","",COUNTIF(Pubs!$B$2:$B$3001,A829))</f>
        <v/>
      </c>
      <c r="H829" s="26" t="str">
        <f aca="false">IF(A829="","",COUNTIF(Apparitions!$H$2:$H$5001,A829))</f>
        <v/>
      </c>
      <c r="I829" s="26" t="str">
        <f aca="false">IF(A829="","",COUNTIFS(Apparitions!$H$2:$H$5001,A829,Apparitions!$E$2:$E$5001,"○"))</f>
        <v/>
      </c>
      <c r="J829" s="29" t="str">
        <f aca="false">IF(A829="","",IFERROR(1/(1/_xlfn.MINIFS(Apparitions!$L$2:$L$5001,Apparitions!$H$2:$H$5001,A829)),""))</f>
        <v/>
      </c>
    </row>
    <row r="830" customFormat="false" ht="15" hidden="false" customHeight="false" outlineLevel="0" collapsed="false">
      <c r="A830" s="19"/>
      <c r="B830" s="19"/>
      <c r="C830" s="19"/>
      <c r="D830" s="19"/>
      <c r="E830" s="32"/>
      <c r="F830" s="19"/>
      <c r="G830" s="26" t="str">
        <f aca="false">IF(A830="","",COUNTIF(Pubs!$B$2:$B$3001,A830))</f>
        <v/>
      </c>
      <c r="H830" s="26" t="str">
        <f aca="false">IF(A830="","",COUNTIF(Apparitions!$H$2:$H$5001,A830))</f>
        <v/>
      </c>
      <c r="I830" s="26" t="str">
        <f aca="false">IF(A830="","",COUNTIFS(Apparitions!$H$2:$H$5001,A830,Apparitions!$E$2:$E$5001,"○"))</f>
        <v/>
      </c>
      <c r="J830" s="29" t="str">
        <f aca="false">IF(A830="","",IFERROR(1/(1/_xlfn.MINIFS(Apparitions!$L$2:$L$5001,Apparitions!$H$2:$H$5001,A830)),""))</f>
        <v/>
      </c>
    </row>
    <row r="831" customFormat="false" ht="15" hidden="false" customHeight="false" outlineLevel="0" collapsed="false">
      <c r="A831" s="19"/>
      <c r="B831" s="19"/>
      <c r="C831" s="19"/>
      <c r="D831" s="19"/>
      <c r="E831" s="32"/>
      <c r="F831" s="19"/>
      <c r="G831" s="26" t="str">
        <f aca="false">IF(A831="","",COUNTIF(Pubs!$B$2:$B$3001,A831))</f>
        <v/>
      </c>
      <c r="H831" s="26" t="str">
        <f aca="false">IF(A831="","",COUNTIF(Apparitions!$H$2:$H$5001,A831))</f>
        <v/>
      </c>
      <c r="I831" s="26" t="str">
        <f aca="false">IF(A831="","",COUNTIFS(Apparitions!$H$2:$H$5001,A831,Apparitions!$E$2:$E$5001,"○"))</f>
        <v/>
      </c>
      <c r="J831" s="29" t="str">
        <f aca="false">IF(A831="","",IFERROR(1/(1/_xlfn.MINIFS(Apparitions!$L$2:$L$5001,Apparitions!$H$2:$H$5001,A831)),""))</f>
        <v/>
      </c>
    </row>
    <row r="832" customFormat="false" ht="15" hidden="false" customHeight="false" outlineLevel="0" collapsed="false">
      <c r="A832" s="19"/>
      <c r="B832" s="19"/>
      <c r="C832" s="19"/>
      <c r="D832" s="19"/>
      <c r="E832" s="32"/>
      <c r="F832" s="19"/>
      <c r="G832" s="26" t="str">
        <f aca="false">IF(A832="","",COUNTIF(Pubs!$B$2:$B$3001,A832))</f>
        <v/>
      </c>
      <c r="H832" s="26" t="str">
        <f aca="false">IF(A832="","",COUNTIF(Apparitions!$H$2:$H$5001,A832))</f>
        <v/>
      </c>
      <c r="I832" s="26" t="str">
        <f aca="false">IF(A832="","",COUNTIFS(Apparitions!$H$2:$H$5001,A832,Apparitions!$E$2:$E$5001,"○"))</f>
        <v/>
      </c>
      <c r="J832" s="29" t="str">
        <f aca="false">IF(A832="","",IFERROR(1/(1/_xlfn.MINIFS(Apparitions!$L$2:$L$5001,Apparitions!$H$2:$H$5001,A832)),""))</f>
        <v/>
      </c>
    </row>
    <row r="833" customFormat="false" ht="15" hidden="false" customHeight="false" outlineLevel="0" collapsed="false">
      <c r="A833" s="19"/>
      <c r="B833" s="19"/>
      <c r="C833" s="19"/>
      <c r="D833" s="19"/>
      <c r="E833" s="32"/>
      <c r="F833" s="19"/>
      <c r="G833" s="26" t="str">
        <f aca="false">IF(A833="","",COUNTIF(Pubs!$B$2:$B$3001,A833))</f>
        <v/>
      </c>
      <c r="H833" s="26" t="str">
        <f aca="false">IF(A833="","",COUNTIF(Apparitions!$H$2:$H$5001,A833))</f>
        <v/>
      </c>
      <c r="I833" s="26" t="str">
        <f aca="false">IF(A833="","",COUNTIFS(Apparitions!$H$2:$H$5001,A833,Apparitions!$E$2:$E$5001,"○"))</f>
        <v/>
      </c>
      <c r="J833" s="29" t="str">
        <f aca="false">IF(A833="","",IFERROR(1/(1/_xlfn.MINIFS(Apparitions!$L$2:$L$5001,Apparitions!$H$2:$H$5001,A833)),""))</f>
        <v/>
      </c>
    </row>
    <row r="834" customFormat="false" ht="15" hidden="false" customHeight="false" outlineLevel="0" collapsed="false">
      <c r="A834" s="19"/>
      <c r="B834" s="19"/>
      <c r="C834" s="19"/>
      <c r="D834" s="19"/>
      <c r="E834" s="32"/>
      <c r="F834" s="19"/>
      <c r="G834" s="26" t="str">
        <f aca="false">IF(A834="","",COUNTIF(Pubs!$B$2:$B$3001,A834))</f>
        <v/>
      </c>
      <c r="H834" s="26" t="str">
        <f aca="false">IF(A834="","",COUNTIF(Apparitions!$H$2:$H$5001,A834))</f>
        <v/>
      </c>
      <c r="I834" s="26" t="str">
        <f aca="false">IF(A834="","",COUNTIFS(Apparitions!$H$2:$H$5001,A834,Apparitions!$E$2:$E$5001,"○"))</f>
        <v/>
      </c>
      <c r="J834" s="29" t="str">
        <f aca="false">IF(A834="","",IFERROR(1/(1/_xlfn.MINIFS(Apparitions!$L$2:$L$5001,Apparitions!$H$2:$H$5001,A834)),""))</f>
        <v/>
      </c>
    </row>
    <row r="835" customFormat="false" ht="15" hidden="false" customHeight="false" outlineLevel="0" collapsed="false">
      <c r="A835" s="19"/>
      <c r="B835" s="19"/>
      <c r="C835" s="19"/>
      <c r="D835" s="19"/>
      <c r="E835" s="32"/>
      <c r="F835" s="19"/>
      <c r="G835" s="26" t="str">
        <f aca="false">IF(A835="","",COUNTIF(Pubs!$B$2:$B$3001,A835))</f>
        <v/>
      </c>
      <c r="H835" s="26" t="str">
        <f aca="false">IF(A835="","",COUNTIF(Apparitions!$H$2:$H$5001,A835))</f>
        <v/>
      </c>
      <c r="I835" s="26" t="str">
        <f aca="false">IF(A835="","",COUNTIFS(Apparitions!$H$2:$H$5001,A835,Apparitions!$E$2:$E$5001,"○"))</f>
        <v/>
      </c>
      <c r="J835" s="29" t="str">
        <f aca="false">IF(A835="","",IFERROR(1/(1/_xlfn.MINIFS(Apparitions!$L$2:$L$5001,Apparitions!$H$2:$H$5001,A835)),""))</f>
        <v/>
      </c>
    </row>
    <row r="836" customFormat="false" ht="15" hidden="false" customHeight="false" outlineLevel="0" collapsed="false">
      <c r="A836" s="19"/>
      <c r="B836" s="19"/>
      <c r="C836" s="19"/>
      <c r="D836" s="19"/>
      <c r="E836" s="32"/>
      <c r="F836" s="19"/>
      <c r="G836" s="26" t="str">
        <f aca="false">IF(A836="","",COUNTIF(Pubs!$B$2:$B$3001,A836))</f>
        <v/>
      </c>
      <c r="H836" s="26" t="str">
        <f aca="false">IF(A836="","",COUNTIF(Apparitions!$H$2:$H$5001,A836))</f>
        <v/>
      </c>
      <c r="I836" s="26" t="str">
        <f aca="false">IF(A836="","",COUNTIFS(Apparitions!$H$2:$H$5001,A836,Apparitions!$E$2:$E$5001,"○"))</f>
        <v/>
      </c>
      <c r="J836" s="29" t="str">
        <f aca="false">IF(A836="","",IFERROR(1/(1/_xlfn.MINIFS(Apparitions!$L$2:$L$5001,Apparitions!$H$2:$H$5001,A836)),""))</f>
        <v/>
      </c>
    </row>
    <row r="837" customFormat="false" ht="15" hidden="false" customHeight="false" outlineLevel="0" collapsed="false">
      <c r="A837" s="19"/>
      <c r="B837" s="19"/>
      <c r="C837" s="19"/>
      <c r="D837" s="19"/>
      <c r="E837" s="32"/>
      <c r="F837" s="19"/>
      <c r="G837" s="26" t="str">
        <f aca="false">IF(A837="","",COUNTIF(Pubs!$B$2:$B$3001,A837))</f>
        <v/>
      </c>
      <c r="H837" s="26" t="str">
        <f aca="false">IF(A837="","",COUNTIF(Apparitions!$H$2:$H$5001,A837))</f>
        <v/>
      </c>
      <c r="I837" s="26" t="str">
        <f aca="false">IF(A837="","",COUNTIFS(Apparitions!$H$2:$H$5001,A837,Apparitions!$E$2:$E$5001,"○"))</f>
        <v/>
      </c>
      <c r="J837" s="29" t="str">
        <f aca="false">IF(A837="","",IFERROR(1/(1/_xlfn.MINIFS(Apparitions!$L$2:$L$5001,Apparitions!$H$2:$H$5001,A837)),""))</f>
        <v/>
      </c>
    </row>
    <row r="838" customFormat="false" ht="15" hidden="false" customHeight="false" outlineLevel="0" collapsed="false">
      <c r="A838" s="19"/>
      <c r="B838" s="19"/>
      <c r="C838" s="19"/>
      <c r="D838" s="19"/>
      <c r="E838" s="32"/>
      <c r="F838" s="19"/>
      <c r="G838" s="26" t="str">
        <f aca="false">IF(A838="","",COUNTIF(Pubs!$B$2:$B$3001,A838))</f>
        <v/>
      </c>
      <c r="H838" s="26" t="str">
        <f aca="false">IF(A838="","",COUNTIF(Apparitions!$H$2:$H$5001,A838))</f>
        <v/>
      </c>
      <c r="I838" s="26" t="str">
        <f aca="false">IF(A838="","",COUNTIFS(Apparitions!$H$2:$H$5001,A838,Apparitions!$E$2:$E$5001,"○"))</f>
        <v/>
      </c>
      <c r="J838" s="29" t="str">
        <f aca="false">IF(A838="","",IFERROR(1/(1/_xlfn.MINIFS(Apparitions!$L$2:$L$5001,Apparitions!$H$2:$H$5001,A838)),""))</f>
        <v/>
      </c>
    </row>
    <row r="839" customFormat="false" ht="15" hidden="false" customHeight="false" outlineLevel="0" collapsed="false">
      <c r="A839" s="19"/>
      <c r="B839" s="19"/>
      <c r="C839" s="19"/>
      <c r="D839" s="19"/>
      <c r="E839" s="32"/>
      <c r="F839" s="19"/>
      <c r="G839" s="26" t="str">
        <f aca="false">IF(A839="","",COUNTIF(Pubs!$B$2:$B$3001,A839))</f>
        <v/>
      </c>
      <c r="H839" s="26" t="str">
        <f aca="false">IF(A839="","",COUNTIF(Apparitions!$H$2:$H$5001,A839))</f>
        <v/>
      </c>
      <c r="I839" s="26" t="str">
        <f aca="false">IF(A839="","",COUNTIFS(Apparitions!$H$2:$H$5001,A839,Apparitions!$E$2:$E$5001,"○"))</f>
        <v/>
      </c>
      <c r="J839" s="29" t="str">
        <f aca="false">IF(A839="","",IFERROR(1/(1/_xlfn.MINIFS(Apparitions!$L$2:$L$5001,Apparitions!$H$2:$H$5001,A839)),""))</f>
        <v/>
      </c>
    </row>
    <row r="840" customFormat="false" ht="15" hidden="false" customHeight="false" outlineLevel="0" collapsed="false">
      <c r="A840" s="19"/>
      <c r="B840" s="19"/>
      <c r="C840" s="19"/>
      <c r="D840" s="19"/>
      <c r="E840" s="32"/>
      <c r="F840" s="19"/>
      <c r="G840" s="26" t="str">
        <f aca="false">IF(A840="","",COUNTIF(Pubs!$B$2:$B$3001,A840))</f>
        <v/>
      </c>
      <c r="H840" s="26" t="str">
        <f aca="false">IF(A840="","",COUNTIF(Apparitions!$H$2:$H$5001,A840))</f>
        <v/>
      </c>
      <c r="I840" s="26" t="str">
        <f aca="false">IF(A840="","",COUNTIFS(Apparitions!$H$2:$H$5001,A840,Apparitions!$E$2:$E$5001,"○"))</f>
        <v/>
      </c>
      <c r="J840" s="29" t="str">
        <f aca="false">IF(A840="","",IFERROR(1/(1/_xlfn.MINIFS(Apparitions!$L$2:$L$5001,Apparitions!$H$2:$H$5001,A840)),""))</f>
        <v/>
      </c>
    </row>
    <row r="841" customFormat="false" ht="15" hidden="false" customHeight="false" outlineLevel="0" collapsed="false">
      <c r="A841" s="19"/>
      <c r="B841" s="19"/>
      <c r="C841" s="19"/>
      <c r="D841" s="19"/>
      <c r="E841" s="32"/>
      <c r="F841" s="19"/>
      <c r="G841" s="26" t="str">
        <f aca="false">IF(A841="","",COUNTIF(Pubs!$B$2:$B$3001,A841))</f>
        <v/>
      </c>
      <c r="H841" s="26" t="str">
        <f aca="false">IF(A841="","",COUNTIF(Apparitions!$H$2:$H$5001,A841))</f>
        <v/>
      </c>
      <c r="I841" s="26" t="str">
        <f aca="false">IF(A841="","",COUNTIFS(Apparitions!$H$2:$H$5001,A841,Apparitions!$E$2:$E$5001,"○"))</f>
        <v/>
      </c>
      <c r="J841" s="29" t="str">
        <f aca="false">IF(A841="","",IFERROR(1/(1/_xlfn.MINIFS(Apparitions!$L$2:$L$5001,Apparitions!$H$2:$H$5001,A841)),""))</f>
        <v/>
      </c>
    </row>
    <row r="842" customFormat="false" ht="15" hidden="false" customHeight="false" outlineLevel="0" collapsed="false">
      <c r="A842" s="19"/>
      <c r="B842" s="19"/>
      <c r="C842" s="19"/>
      <c r="D842" s="19"/>
      <c r="E842" s="32"/>
      <c r="F842" s="19"/>
      <c r="G842" s="26" t="str">
        <f aca="false">IF(A842="","",COUNTIF(Pubs!$B$2:$B$3001,A842))</f>
        <v/>
      </c>
      <c r="H842" s="26" t="str">
        <f aca="false">IF(A842="","",COUNTIF(Apparitions!$H$2:$H$5001,A842))</f>
        <v/>
      </c>
      <c r="I842" s="26" t="str">
        <f aca="false">IF(A842="","",COUNTIFS(Apparitions!$H$2:$H$5001,A842,Apparitions!$E$2:$E$5001,"○"))</f>
        <v/>
      </c>
      <c r="J842" s="29" t="str">
        <f aca="false">IF(A842="","",IFERROR(1/(1/_xlfn.MINIFS(Apparitions!$L$2:$L$5001,Apparitions!$H$2:$H$5001,A842)),""))</f>
        <v/>
      </c>
    </row>
    <row r="843" customFormat="false" ht="15" hidden="false" customHeight="false" outlineLevel="0" collapsed="false">
      <c r="A843" s="19"/>
      <c r="B843" s="19"/>
      <c r="C843" s="19"/>
      <c r="D843" s="19"/>
      <c r="E843" s="32"/>
      <c r="F843" s="19"/>
      <c r="G843" s="26" t="str">
        <f aca="false">IF(A843="","",COUNTIF(Pubs!$B$2:$B$3001,A843))</f>
        <v/>
      </c>
      <c r="H843" s="26" t="str">
        <f aca="false">IF(A843="","",COUNTIF(Apparitions!$H$2:$H$5001,A843))</f>
        <v/>
      </c>
      <c r="I843" s="26" t="str">
        <f aca="false">IF(A843="","",COUNTIFS(Apparitions!$H$2:$H$5001,A843,Apparitions!$E$2:$E$5001,"○"))</f>
        <v/>
      </c>
      <c r="J843" s="29" t="str">
        <f aca="false">IF(A843="","",IFERROR(1/(1/_xlfn.MINIFS(Apparitions!$L$2:$L$5001,Apparitions!$H$2:$H$5001,A843)),""))</f>
        <v/>
      </c>
    </row>
    <row r="844" customFormat="false" ht="15" hidden="false" customHeight="false" outlineLevel="0" collapsed="false">
      <c r="A844" s="19"/>
      <c r="B844" s="19"/>
      <c r="C844" s="19"/>
      <c r="D844" s="19"/>
      <c r="E844" s="32"/>
      <c r="F844" s="19"/>
      <c r="G844" s="26" t="str">
        <f aca="false">IF(A844="","",COUNTIF(Pubs!$B$2:$B$3001,A844))</f>
        <v/>
      </c>
      <c r="H844" s="26" t="str">
        <f aca="false">IF(A844="","",COUNTIF(Apparitions!$H$2:$H$5001,A844))</f>
        <v/>
      </c>
      <c r="I844" s="26" t="str">
        <f aca="false">IF(A844="","",COUNTIFS(Apparitions!$H$2:$H$5001,A844,Apparitions!$E$2:$E$5001,"○"))</f>
        <v/>
      </c>
      <c r="J844" s="29" t="str">
        <f aca="false">IF(A844="","",IFERROR(1/(1/_xlfn.MINIFS(Apparitions!$L$2:$L$5001,Apparitions!$H$2:$H$5001,A844)),""))</f>
        <v/>
      </c>
    </row>
    <row r="845" customFormat="false" ht="15" hidden="false" customHeight="false" outlineLevel="0" collapsed="false">
      <c r="A845" s="19"/>
      <c r="B845" s="19"/>
      <c r="C845" s="19"/>
      <c r="D845" s="19"/>
      <c r="E845" s="32"/>
      <c r="F845" s="19"/>
      <c r="G845" s="26" t="str">
        <f aca="false">IF(A845="","",COUNTIF(Pubs!$B$2:$B$3001,A845))</f>
        <v/>
      </c>
      <c r="H845" s="26" t="str">
        <f aca="false">IF(A845="","",COUNTIF(Apparitions!$H$2:$H$5001,A845))</f>
        <v/>
      </c>
      <c r="I845" s="26" t="str">
        <f aca="false">IF(A845="","",COUNTIFS(Apparitions!$H$2:$H$5001,A845,Apparitions!$E$2:$E$5001,"○"))</f>
        <v/>
      </c>
      <c r="J845" s="29" t="str">
        <f aca="false">IF(A845="","",IFERROR(1/(1/_xlfn.MINIFS(Apparitions!$L$2:$L$5001,Apparitions!$H$2:$H$5001,A845)),""))</f>
        <v/>
      </c>
    </row>
    <row r="846" customFormat="false" ht="15" hidden="false" customHeight="false" outlineLevel="0" collapsed="false">
      <c r="A846" s="19"/>
      <c r="B846" s="19"/>
      <c r="C846" s="19"/>
      <c r="D846" s="19"/>
      <c r="E846" s="32"/>
      <c r="F846" s="19"/>
      <c r="G846" s="26" t="str">
        <f aca="false">IF(A846="","",COUNTIF(Pubs!$B$2:$B$3001,A846))</f>
        <v/>
      </c>
      <c r="H846" s="26" t="str">
        <f aca="false">IF(A846="","",COUNTIF(Apparitions!$H$2:$H$5001,A846))</f>
        <v/>
      </c>
      <c r="I846" s="26" t="str">
        <f aca="false">IF(A846="","",COUNTIFS(Apparitions!$H$2:$H$5001,A846,Apparitions!$E$2:$E$5001,"○"))</f>
        <v/>
      </c>
      <c r="J846" s="29" t="str">
        <f aca="false">IF(A846="","",IFERROR(1/(1/_xlfn.MINIFS(Apparitions!$L$2:$L$5001,Apparitions!$H$2:$H$5001,A846)),""))</f>
        <v/>
      </c>
    </row>
    <row r="847" customFormat="false" ht="15" hidden="false" customHeight="false" outlineLevel="0" collapsed="false">
      <c r="A847" s="19"/>
      <c r="B847" s="19"/>
      <c r="C847" s="19"/>
      <c r="D847" s="19"/>
      <c r="E847" s="32"/>
      <c r="F847" s="19"/>
      <c r="G847" s="26" t="str">
        <f aca="false">IF(A847="","",COUNTIF(Pubs!$B$2:$B$3001,A847))</f>
        <v/>
      </c>
      <c r="H847" s="26" t="str">
        <f aca="false">IF(A847="","",COUNTIF(Apparitions!$H$2:$H$5001,A847))</f>
        <v/>
      </c>
      <c r="I847" s="26" t="str">
        <f aca="false">IF(A847="","",COUNTIFS(Apparitions!$H$2:$H$5001,A847,Apparitions!$E$2:$E$5001,"○"))</f>
        <v/>
      </c>
      <c r="J847" s="29" t="str">
        <f aca="false">IF(A847="","",IFERROR(1/(1/_xlfn.MINIFS(Apparitions!$L$2:$L$5001,Apparitions!$H$2:$H$5001,A847)),""))</f>
        <v/>
      </c>
    </row>
    <row r="848" customFormat="false" ht="15" hidden="false" customHeight="false" outlineLevel="0" collapsed="false">
      <c r="A848" s="19"/>
      <c r="B848" s="19"/>
      <c r="C848" s="19"/>
      <c r="D848" s="19"/>
      <c r="E848" s="32"/>
      <c r="F848" s="19"/>
      <c r="G848" s="26" t="str">
        <f aca="false">IF(A848="","",COUNTIF(Pubs!$B$2:$B$3001,A848))</f>
        <v/>
      </c>
      <c r="H848" s="26" t="str">
        <f aca="false">IF(A848="","",COUNTIF(Apparitions!$H$2:$H$5001,A848))</f>
        <v/>
      </c>
      <c r="I848" s="26" t="str">
        <f aca="false">IF(A848="","",COUNTIFS(Apparitions!$H$2:$H$5001,A848,Apparitions!$E$2:$E$5001,"○"))</f>
        <v/>
      </c>
      <c r="J848" s="29" t="str">
        <f aca="false">IF(A848="","",IFERROR(1/(1/_xlfn.MINIFS(Apparitions!$L$2:$L$5001,Apparitions!$H$2:$H$5001,A848)),""))</f>
        <v/>
      </c>
    </row>
    <row r="849" customFormat="false" ht="15" hidden="false" customHeight="false" outlineLevel="0" collapsed="false">
      <c r="A849" s="19"/>
      <c r="B849" s="19"/>
      <c r="C849" s="19"/>
      <c r="D849" s="19"/>
      <c r="E849" s="32"/>
      <c r="F849" s="19"/>
      <c r="G849" s="26" t="str">
        <f aca="false">IF(A849="","",COUNTIF(Pubs!$B$2:$B$3001,A849))</f>
        <v/>
      </c>
      <c r="H849" s="26" t="str">
        <f aca="false">IF(A849="","",COUNTIF(Apparitions!$H$2:$H$5001,A849))</f>
        <v/>
      </c>
      <c r="I849" s="26" t="str">
        <f aca="false">IF(A849="","",COUNTIFS(Apparitions!$H$2:$H$5001,A849,Apparitions!$E$2:$E$5001,"○"))</f>
        <v/>
      </c>
      <c r="J849" s="29" t="str">
        <f aca="false">IF(A849="","",IFERROR(1/(1/_xlfn.MINIFS(Apparitions!$L$2:$L$5001,Apparitions!$H$2:$H$5001,A849)),""))</f>
        <v/>
      </c>
    </row>
    <row r="850" customFormat="false" ht="15" hidden="false" customHeight="false" outlineLevel="0" collapsed="false">
      <c r="A850" s="19"/>
      <c r="B850" s="19"/>
      <c r="C850" s="19"/>
      <c r="D850" s="19"/>
      <c r="E850" s="32"/>
      <c r="F850" s="19"/>
      <c r="G850" s="26" t="str">
        <f aca="false">IF(A850="","",COUNTIF(Pubs!$B$2:$B$3001,A850))</f>
        <v/>
      </c>
      <c r="H850" s="26" t="str">
        <f aca="false">IF(A850="","",COUNTIF(Apparitions!$H$2:$H$5001,A850))</f>
        <v/>
      </c>
      <c r="I850" s="26" t="str">
        <f aca="false">IF(A850="","",COUNTIFS(Apparitions!$H$2:$H$5001,A850,Apparitions!$E$2:$E$5001,"○"))</f>
        <v/>
      </c>
      <c r="J850" s="29" t="str">
        <f aca="false">IF(A850="","",IFERROR(1/(1/_xlfn.MINIFS(Apparitions!$L$2:$L$5001,Apparitions!$H$2:$H$5001,A850)),""))</f>
        <v/>
      </c>
    </row>
    <row r="851" customFormat="false" ht="15" hidden="false" customHeight="false" outlineLevel="0" collapsed="false">
      <c r="A851" s="19"/>
      <c r="B851" s="19"/>
      <c r="C851" s="19"/>
      <c r="D851" s="19"/>
      <c r="E851" s="32"/>
      <c r="F851" s="19"/>
      <c r="G851" s="26" t="str">
        <f aca="false">IF(A851="","",COUNTIF(Pubs!$B$2:$B$3001,A851))</f>
        <v/>
      </c>
      <c r="H851" s="26" t="str">
        <f aca="false">IF(A851="","",COUNTIF(Apparitions!$H$2:$H$5001,A851))</f>
        <v/>
      </c>
      <c r="I851" s="26" t="str">
        <f aca="false">IF(A851="","",COUNTIFS(Apparitions!$H$2:$H$5001,A851,Apparitions!$E$2:$E$5001,"○"))</f>
        <v/>
      </c>
      <c r="J851" s="29" t="str">
        <f aca="false">IF(A851="","",IFERROR(1/(1/_xlfn.MINIFS(Apparitions!$L$2:$L$5001,Apparitions!$H$2:$H$5001,A851)),""))</f>
        <v/>
      </c>
    </row>
    <row r="852" customFormat="false" ht="15" hidden="false" customHeight="false" outlineLevel="0" collapsed="false">
      <c r="A852" s="19"/>
      <c r="B852" s="19"/>
      <c r="C852" s="19"/>
      <c r="D852" s="19"/>
      <c r="E852" s="32"/>
      <c r="F852" s="19"/>
      <c r="G852" s="26" t="str">
        <f aca="false">IF(A852="","",COUNTIF(Pubs!$B$2:$B$3001,A852))</f>
        <v/>
      </c>
      <c r="H852" s="26" t="str">
        <f aca="false">IF(A852="","",COUNTIF(Apparitions!$H$2:$H$5001,A852))</f>
        <v/>
      </c>
      <c r="I852" s="26" t="str">
        <f aca="false">IF(A852="","",COUNTIFS(Apparitions!$H$2:$H$5001,A852,Apparitions!$E$2:$E$5001,"○"))</f>
        <v/>
      </c>
      <c r="J852" s="29" t="str">
        <f aca="false">IF(A852="","",IFERROR(1/(1/_xlfn.MINIFS(Apparitions!$L$2:$L$5001,Apparitions!$H$2:$H$5001,A852)),""))</f>
        <v/>
      </c>
    </row>
    <row r="853" customFormat="false" ht="15" hidden="false" customHeight="false" outlineLevel="0" collapsed="false">
      <c r="A853" s="19"/>
      <c r="B853" s="19"/>
      <c r="C853" s="19"/>
      <c r="D853" s="19"/>
      <c r="E853" s="32"/>
      <c r="F853" s="19"/>
      <c r="G853" s="26" t="str">
        <f aca="false">IF(A853="","",COUNTIF(Pubs!$B$2:$B$3001,A853))</f>
        <v/>
      </c>
      <c r="H853" s="26" t="str">
        <f aca="false">IF(A853="","",COUNTIF(Apparitions!$H$2:$H$5001,A853))</f>
        <v/>
      </c>
      <c r="I853" s="26" t="str">
        <f aca="false">IF(A853="","",COUNTIFS(Apparitions!$H$2:$H$5001,A853,Apparitions!$E$2:$E$5001,"○"))</f>
        <v/>
      </c>
      <c r="J853" s="29" t="str">
        <f aca="false">IF(A853="","",IFERROR(1/(1/_xlfn.MINIFS(Apparitions!$L$2:$L$5001,Apparitions!$H$2:$H$5001,A853)),""))</f>
        <v/>
      </c>
    </row>
    <row r="854" customFormat="false" ht="15" hidden="false" customHeight="false" outlineLevel="0" collapsed="false">
      <c r="A854" s="19"/>
      <c r="B854" s="19"/>
      <c r="C854" s="19"/>
      <c r="D854" s="19"/>
      <c r="E854" s="32"/>
      <c r="F854" s="19"/>
      <c r="G854" s="26" t="str">
        <f aca="false">IF(A854="","",COUNTIF(Pubs!$B$2:$B$3001,A854))</f>
        <v/>
      </c>
      <c r="H854" s="26" t="str">
        <f aca="false">IF(A854="","",COUNTIF(Apparitions!$H$2:$H$5001,A854))</f>
        <v/>
      </c>
      <c r="I854" s="26" t="str">
        <f aca="false">IF(A854="","",COUNTIFS(Apparitions!$H$2:$H$5001,A854,Apparitions!$E$2:$E$5001,"○"))</f>
        <v/>
      </c>
      <c r="J854" s="29" t="str">
        <f aca="false">IF(A854="","",IFERROR(1/(1/_xlfn.MINIFS(Apparitions!$L$2:$L$5001,Apparitions!$H$2:$H$5001,A854)),""))</f>
        <v/>
      </c>
    </row>
    <row r="855" customFormat="false" ht="15" hidden="false" customHeight="false" outlineLevel="0" collapsed="false">
      <c r="A855" s="19"/>
      <c r="B855" s="19"/>
      <c r="C855" s="19"/>
      <c r="D855" s="19"/>
      <c r="E855" s="32"/>
      <c r="F855" s="19"/>
      <c r="G855" s="26" t="str">
        <f aca="false">IF(A855="","",COUNTIF(Pubs!$B$2:$B$3001,A855))</f>
        <v/>
      </c>
      <c r="H855" s="26" t="str">
        <f aca="false">IF(A855="","",COUNTIF(Apparitions!$H$2:$H$5001,A855))</f>
        <v/>
      </c>
      <c r="I855" s="26" t="str">
        <f aca="false">IF(A855="","",COUNTIFS(Apparitions!$H$2:$H$5001,A855,Apparitions!$E$2:$E$5001,"○"))</f>
        <v/>
      </c>
      <c r="J855" s="29" t="str">
        <f aca="false">IF(A855="","",IFERROR(1/(1/_xlfn.MINIFS(Apparitions!$L$2:$L$5001,Apparitions!$H$2:$H$5001,A855)),""))</f>
        <v/>
      </c>
    </row>
    <row r="856" customFormat="false" ht="15" hidden="false" customHeight="false" outlineLevel="0" collapsed="false">
      <c r="A856" s="19"/>
      <c r="B856" s="19"/>
      <c r="C856" s="19"/>
      <c r="D856" s="19"/>
      <c r="E856" s="32"/>
      <c r="F856" s="19"/>
      <c r="G856" s="26" t="str">
        <f aca="false">IF(A856="","",COUNTIF(Pubs!$B$2:$B$3001,A856))</f>
        <v/>
      </c>
      <c r="H856" s="26" t="str">
        <f aca="false">IF(A856="","",COUNTIF(Apparitions!$H$2:$H$5001,A856))</f>
        <v/>
      </c>
      <c r="I856" s="26" t="str">
        <f aca="false">IF(A856="","",COUNTIFS(Apparitions!$H$2:$H$5001,A856,Apparitions!$E$2:$E$5001,"○"))</f>
        <v/>
      </c>
      <c r="J856" s="29" t="str">
        <f aca="false">IF(A856="","",IFERROR(1/(1/_xlfn.MINIFS(Apparitions!$L$2:$L$5001,Apparitions!$H$2:$H$5001,A856)),""))</f>
        <v/>
      </c>
    </row>
    <row r="857" customFormat="false" ht="15" hidden="false" customHeight="false" outlineLevel="0" collapsed="false">
      <c r="A857" s="19"/>
      <c r="B857" s="19"/>
      <c r="C857" s="19"/>
      <c r="D857" s="19"/>
      <c r="E857" s="32"/>
      <c r="F857" s="19"/>
      <c r="G857" s="26" t="str">
        <f aca="false">IF(A857="","",COUNTIF(Pubs!$B$2:$B$3001,A857))</f>
        <v/>
      </c>
      <c r="H857" s="26" t="str">
        <f aca="false">IF(A857="","",COUNTIF(Apparitions!$H$2:$H$5001,A857))</f>
        <v/>
      </c>
      <c r="I857" s="26" t="str">
        <f aca="false">IF(A857="","",COUNTIFS(Apparitions!$H$2:$H$5001,A857,Apparitions!$E$2:$E$5001,"○"))</f>
        <v/>
      </c>
      <c r="J857" s="29" t="str">
        <f aca="false">IF(A857="","",IFERROR(1/(1/_xlfn.MINIFS(Apparitions!$L$2:$L$5001,Apparitions!$H$2:$H$5001,A857)),""))</f>
        <v/>
      </c>
    </row>
    <row r="858" customFormat="false" ht="15" hidden="false" customHeight="false" outlineLevel="0" collapsed="false">
      <c r="A858" s="19"/>
      <c r="B858" s="19"/>
      <c r="C858" s="19"/>
      <c r="D858" s="19"/>
      <c r="E858" s="32"/>
      <c r="F858" s="19"/>
      <c r="G858" s="26" t="str">
        <f aca="false">IF(A858="","",COUNTIF(Pubs!$B$2:$B$3001,A858))</f>
        <v/>
      </c>
      <c r="H858" s="26" t="str">
        <f aca="false">IF(A858="","",COUNTIF(Apparitions!$H$2:$H$5001,A858))</f>
        <v/>
      </c>
      <c r="I858" s="26" t="str">
        <f aca="false">IF(A858="","",COUNTIFS(Apparitions!$H$2:$H$5001,A858,Apparitions!$E$2:$E$5001,"○"))</f>
        <v/>
      </c>
      <c r="J858" s="29" t="str">
        <f aca="false">IF(A858="","",IFERROR(1/(1/_xlfn.MINIFS(Apparitions!$L$2:$L$5001,Apparitions!$H$2:$H$5001,A858)),""))</f>
        <v/>
      </c>
    </row>
    <row r="859" customFormat="false" ht="15" hidden="false" customHeight="false" outlineLevel="0" collapsed="false">
      <c r="A859" s="19"/>
      <c r="B859" s="19"/>
      <c r="C859" s="19"/>
      <c r="D859" s="19"/>
      <c r="E859" s="32"/>
      <c r="F859" s="19"/>
      <c r="G859" s="26" t="str">
        <f aca="false">IF(A859="","",COUNTIF(Pubs!$B$2:$B$3001,A859))</f>
        <v/>
      </c>
      <c r="H859" s="26" t="str">
        <f aca="false">IF(A859="","",COUNTIF(Apparitions!$H$2:$H$5001,A859))</f>
        <v/>
      </c>
      <c r="I859" s="26" t="str">
        <f aca="false">IF(A859="","",COUNTIFS(Apparitions!$H$2:$H$5001,A859,Apparitions!$E$2:$E$5001,"○"))</f>
        <v/>
      </c>
      <c r="J859" s="29" t="str">
        <f aca="false">IF(A859="","",IFERROR(1/(1/_xlfn.MINIFS(Apparitions!$L$2:$L$5001,Apparitions!$H$2:$H$5001,A859)),""))</f>
        <v/>
      </c>
    </row>
    <row r="860" customFormat="false" ht="15" hidden="false" customHeight="false" outlineLevel="0" collapsed="false">
      <c r="A860" s="19"/>
      <c r="B860" s="19"/>
      <c r="C860" s="19"/>
      <c r="D860" s="19"/>
      <c r="E860" s="32"/>
      <c r="F860" s="19"/>
      <c r="G860" s="26" t="str">
        <f aca="false">IF(A860="","",COUNTIF(Pubs!$B$2:$B$3001,A860))</f>
        <v/>
      </c>
      <c r="H860" s="26" t="str">
        <f aca="false">IF(A860="","",COUNTIF(Apparitions!$H$2:$H$5001,A860))</f>
        <v/>
      </c>
      <c r="I860" s="26" t="str">
        <f aca="false">IF(A860="","",COUNTIFS(Apparitions!$H$2:$H$5001,A860,Apparitions!$E$2:$E$5001,"○"))</f>
        <v/>
      </c>
      <c r="J860" s="29" t="str">
        <f aca="false">IF(A860="","",IFERROR(1/(1/_xlfn.MINIFS(Apparitions!$L$2:$L$5001,Apparitions!$H$2:$H$5001,A860)),""))</f>
        <v/>
      </c>
    </row>
    <row r="861" customFormat="false" ht="15" hidden="false" customHeight="false" outlineLevel="0" collapsed="false">
      <c r="A861" s="19"/>
      <c r="B861" s="19"/>
      <c r="C861" s="19"/>
      <c r="D861" s="19"/>
      <c r="E861" s="32"/>
      <c r="F861" s="19"/>
      <c r="G861" s="26" t="str">
        <f aca="false">IF(A861="","",COUNTIF(Pubs!$B$2:$B$3001,A861))</f>
        <v/>
      </c>
      <c r="H861" s="26" t="str">
        <f aca="false">IF(A861="","",COUNTIF(Apparitions!$H$2:$H$5001,A861))</f>
        <v/>
      </c>
      <c r="I861" s="26" t="str">
        <f aca="false">IF(A861="","",COUNTIFS(Apparitions!$H$2:$H$5001,A861,Apparitions!$E$2:$E$5001,"○"))</f>
        <v/>
      </c>
      <c r="J861" s="29" t="str">
        <f aca="false">IF(A861="","",IFERROR(1/(1/_xlfn.MINIFS(Apparitions!$L$2:$L$5001,Apparitions!$H$2:$H$5001,A861)),""))</f>
        <v/>
      </c>
    </row>
    <row r="862" customFormat="false" ht="15" hidden="false" customHeight="false" outlineLevel="0" collapsed="false">
      <c r="A862" s="19"/>
      <c r="B862" s="19"/>
      <c r="C862" s="19"/>
      <c r="D862" s="19"/>
      <c r="E862" s="32"/>
      <c r="F862" s="19"/>
      <c r="G862" s="26" t="str">
        <f aca="false">IF(A862="","",COUNTIF(Pubs!$B$2:$B$3001,A862))</f>
        <v/>
      </c>
      <c r="H862" s="26" t="str">
        <f aca="false">IF(A862="","",COUNTIF(Apparitions!$H$2:$H$5001,A862))</f>
        <v/>
      </c>
      <c r="I862" s="26" t="str">
        <f aca="false">IF(A862="","",COUNTIFS(Apparitions!$H$2:$H$5001,A862,Apparitions!$E$2:$E$5001,"○"))</f>
        <v/>
      </c>
      <c r="J862" s="29" t="str">
        <f aca="false">IF(A862="","",IFERROR(1/(1/_xlfn.MINIFS(Apparitions!$L$2:$L$5001,Apparitions!$H$2:$H$5001,A862)),""))</f>
        <v/>
      </c>
    </row>
    <row r="863" customFormat="false" ht="15" hidden="false" customHeight="false" outlineLevel="0" collapsed="false">
      <c r="A863" s="19"/>
      <c r="B863" s="19"/>
      <c r="C863" s="19"/>
      <c r="D863" s="19"/>
      <c r="E863" s="32"/>
      <c r="F863" s="19"/>
      <c r="G863" s="26" t="str">
        <f aca="false">IF(A863="","",COUNTIF(Pubs!$B$2:$B$3001,A863))</f>
        <v/>
      </c>
      <c r="H863" s="26" t="str">
        <f aca="false">IF(A863="","",COUNTIF(Apparitions!$H$2:$H$5001,A863))</f>
        <v/>
      </c>
      <c r="I863" s="26" t="str">
        <f aca="false">IF(A863="","",COUNTIFS(Apparitions!$H$2:$H$5001,A863,Apparitions!$E$2:$E$5001,"○"))</f>
        <v/>
      </c>
      <c r="J863" s="29" t="str">
        <f aca="false">IF(A863="","",IFERROR(1/(1/_xlfn.MINIFS(Apparitions!$L$2:$L$5001,Apparitions!$H$2:$H$5001,A863)),""))</f>
        <v/>
      </c>
    </row>
    <row r="864" customFormat="false" ht="15" hidden="false" customHeight="false" outlineLevel="0" collapsed="false">
      <c r="A864" s="19"/>
      <c r="B864" s="19"/>
      <c r="C864" s="19"/>
      <c r="D864" s="19"/>
      <c r="E864" s="32"/>
      <c r="F864" s="19"/>
      <c r="G864" s="26" t="str">
        <f aca="false">IF(A864="","",COUNTIF(Pubs!$B$2:$B$3001,A864))</f>
        <v/>
      </c>
      <c r="H864" s="26" t="str">
        <f aca="false">IF(A864="","",COUNTIF(Apparitions!$H$2:$H$5001,A864))</f>
        <v/>
      </c>
      <c r="I864" s="26" t="str">
        <f aca="false">IF(A864="","",COUNTIFS(Apparitions!$H$2:$H$5001,A864,Apparitions!$E$2:$E$5001,"○"))</f>
        <v/>
      </c>
      <c r="J864" s="29" t="str">
        <f aca="false">IF(A864="","",IFERROR(1/(1/_xlfn.MINIFS(Apparitions!$L$2:$L$5001,Apparitions!$H$2:$H$5001,A864)),""))</f>
        <v/>
      </c>
    </row>
    <row r="865" customFormat="false" ht="15" hidden="false" customHeight="false" outlineLevel="0" collapsed="false">
      <c r="A865" s="19"/>
      <c r="B865" s="19"/>
      <c r="C865" s="19"/>
      <c r="D865" s="19"/>
      <c r="E865" s="32"/>
      <c r="F865" s="19"/>
      <c r="G865" s="26" t="str">
        <f aca="false">IF(A865="","",COUNTIF(Pubs!$B$2:$B$3001,A865))</f>
        <v/>
      </c>
      <c r="H865" s="26" t="str">
        <f aca="false">IF(A865="","",COUNTIF(Apparitions!$H$2:$H$5001,A865))</f>
        <v/>
      </c>
      <c r="I865" s="26" t="str">
        <f aca="false">IF(A865="","",COUNTIFS(Apparitions!$H$2:$H$5001,A865,Apparitions!$E$2:$E$5001,"○"))</f>
        <v/>
      </c>
      <c r="J865" s="29" t="str">
        <f aca="false">IF(A865="","",IFERROR(1/(1/_xlfn.MINIFS(Apparitions!$L$2:$L$5001,Apparitions!$H$2:$H$5001,A865)),""))</f>
        <v/>
      </c>
    </row>
    <row r="866" customFormat="false" ht="15" hidden="false" customHeight="false" outlineLevel="0" collapsed="false">
      <c r="A866" s="19"/>
      <c r="B866" s="19"/>
      <c r="C866" s="19"/>
      <c r="D866" s="19"/>
      <c r="E866" s="32"/>
      <c r="F866" s="19"/>
      <c r="G866" s="26" t="str">
        <f aca="false">IF(A866="","",COUNTIF(Pubs!$B$2:$B$3001,A866))</f>
        <v/>
      </c>
      <c r="H866" s="26" t="str">
        <f aca="false">IF(A866="","",COUNTIF(Apparitions!$H$2:$H$5001,A866))</f>
        <v/>
      </c>
      <c r="I866" s="26" t="str">
        <f aca="false">IF(A866="","",COUNTIFS(Apparitions!$H$2:$H$5001,A866,Apparitions!$E$2:$E$5001,"○"))</f>
        <v/>
      </c>
      <c r="J866" s="29" t="str">
        <f aca="false">IF(A866="","",IFERROR(1/(1/_xlfn.MINIFS(Apparitions!$L$2:$L$5001,Apparitions!$H$2:$H$5001,A866)),""))</f>
        <v/>
      </c>
    </row>
    <row r="867" customFormat="false" ht="15" hidden="false" customHeight="false" outlineLevel="0" collapsed="false">
      <c r="A867" s="19"/>
      <c r="B867" s="19"/>
      <c r="C867" s="19"/>
      <c r="D867" s="19"/>
      <c r="E867" s="32"/>
      <c r="F867" s="19"/>
      <c r="G867" s="26" t="str">
        <f aca="false">IF(A867="","",COUNTIF(Pubs!$B$2:$B$3001,A867))</f>
        <v/>
      </c>
      <c r="H867" s="26" t="str">
        <f aca="false">IF(A867="","",COUNTIF(Apparitions!$H$2:$H$5001,A867))</f>
        <v/>
      </c>
      <c r="I867" s="26" t="str">
        <f aca="false">IF(A867="","",COUNTIFS(Apparitions!$H$2:$H$5001,A867,Apparitions!$E$2:$E$5001,"○"))</f>
        <v/>
      </c>
      <c r="J867" s="29" t="str">
        <f aca="false">IF(A867="","",IFERROR(1/(1/_xlfn.MINIFS(Apparitions!$L$2:$L$5001,Apparitions!$H$2:$H$5001,A867)),""))</f>
        <v/>
      </c>
    </row>
    <row r="868" customFormat="false" ht="15" hidden="false" customHeight="false" outlineLevel="0" collapsed="false">
      <c r="A868" s="19"/>
      <c r="B868" s="19"/>
      <c r="C868" s="19"/>
      <c r="D868" s="19"/>
      <c r="E868" s="32"/>
      <c r="F868" s="19"/>
      <c r="G868" s="26" t="str">
        <f aca="false">IF(A868="","",COUNTIF(Pubs!$B$2:$B$3001,A868))</f>
        <v/>
      </c>
      <c r="H868" s="26" t="str">
        <f aca="false">IF(A868="","",COUNTIF(Apparitions!$H$2:$H$5001,A868))</f>
        <v/>
      </c>
      <c r="I868" s="26" t="str">
        <f aca="false">IF(A868="","",COUNTIFS(Apparitions!$H$2:$H$5001,A868,Apparitions!$E$2:$E$5001,"○"))</f>
        <v/>
      </c>
      <c r="J868" s="29" t="str">
        <f aca="false">IF(A868="","",IFERROR(1/(1/_xlfn.MINIFS(Apparitions!$L$2:$L$5001,Apparitions!$H$2:$H$5001,A868)),""))</f>
        <v/>
      </c>
    </row>
    <row r="869" customFormat="false" ht="15" hidden="false" customHeight="false" outlineLevel="0" collapsed="false">
      <c r="A869" s="19"/>
      <c r="B869" s="19"/>
      <c r="C869" s="19"/>
      <c r="D869" s="19"/>
      <c r="E869" s="32"/>
      <c r="F869" s="19"/>
      <c r="G869" s="26" t="str">
        <f aca="false">IF(A869="","",COUNTIF(Pubs!$B$2:$B$3001,A869))</f>
        <v/>
      </c>
      <c r="H869" s="26" t="str">
        <f aca="false">IF(A869="","",COUNTIF(Apparitions!$H$2:$H$5001,A869))</f>
        <v/>
      </c>
      <c r="I869" s="26" t="str">
        <f aca="false">IF(A869="","",COUNTIFS(Apparitions!$H$2:$H$5001,A869,Apparitions!$E$2:$E$5001,"○"))</f>
        <v/>
      </c>
      <c r="J869" s="29" t="str">
        <f aca="false">IF(A869="","",IFERROR(1/(1/_xlfn.MINIFS(Apparitions!$L$2:$L$5001,Apparitions!$H$2:$H$5001,A869)),""))</f>
        <v/>
      </c>
    </row>
    <row r="870" customFormat="false" ht="15" hidden="false" customHeight="false" outlineLevel="0" collapsed="false">
      <c r="A870" s="19"/>
      <c r="B870" s="19"/>
      <c r="C870" s="19"/>
      <c r="D870" s="19"/>
      <c r="E870" s="32"/>
      <c r="F870" s="19"/>
      <c r="G870" s="26" t="str">
        <f aca="false">IF(A870="","",COUNTIF(Pubs!$B$2:$B$3001,A870))</f>
        <v/>
      </c>
      <c r="H870" s="26" t="str">
        <f aca="false">IF(A870="","",COUNTIF(Apparitions!$H$2:$H$5001,A870))</f>
        <v/>
      </c>
      <c r="I870" s="26" t="str">
        <f aca="false">IF(A870="","",COUNTIFS(Apparitions!$H$2:$H$5001,A870,Apparitions!$E$2:$E$5001,"○"))</f>
        <v/>
      </c>
      <c r="J870" s="29" t="str">
        <f aca="false">IF(A870="","",IFERROR(1/(1/_xlfn.MINIFS(Apparitions!$L$2:$L$5001,Apparitions!$H$2:$H$5001,A870)),""))</f>
        <v/>
      </c>
    </row>
    <row r="871" customFormat="false" ht="15" hidden="false" customHeight="false" outlineLevel="0" collapsed="false">
      <c r="A871" s="19"/>
      <c r="B871" s="19"/>
      <c r="C871" s="19"/>
      <c r="D871" s="19"/>
      <c r="E871" s="32"/>
      <c r="F871" s="19"/>
      <c r="G871" s="26" t="str">
        <f aca="false">IF(A871="","",COUNTIF(Pubs!$B$2:$B$3001,A871))</f>
        <v/>
      </c>
      <c r="H871" s="26" t="str">
        <f aca="false">IF(A871="","",COUNTIF(Apparitions!$H$2:$H$5001,A871))</f>
        <v/>
      </c>
      <c r="I871" s="26" t="str">
        <f aca="false">IF(A871="","",COUNTIFS(Apparitions!$H$2:$H$5001,A871,Apparitions!$E$2:$E$5001,"○"))</f>
        <v/>
      </c>
      <c r="J871" s="29" t="str">
        <f aca="false">IF(A871="","",IFERROR(1/(1/_xlfn.MINIFS(Apparitions!$L$2:$L$5001,Apparitions!$H$2:$H$5001,A871)),""))</f>
        <v/>
      </c>
    </row>
    <row r="872" customFormat="false" ht="15" hidden="false" customHeight="false" outlineLevel="0" collapsed="false">
      <c r="A872" s="19"/>
      <c r="B872" s="19"/>
      <c r="C872" s="19"/>
      <c r="D872" s="19"/>
      <c r="E872" s="32"/>
      <c r="F872" s="19"/>
      <c r="G872" s="26" t="str">
        <f aca="false">IF(A872="","",COUNTIF(Pubs!$B$2:$B$3001,A872))</f>
        <v/>
      </c>
      <c r="H872" s="26" t="str">
        <f aca="false">IF(A872="","",COUNTIF(Apparitions!$H$2:$H$5001,A872))</f>
        <v/>
      </c>
      <c r="I872" s="26" t="str">
        <f aca="false">IF(A872="","",COUNTIFS(Apparitions!$H$2:$H$5001,A872,Apparitions!$E$2:$E$5001,"○"))</f>
        <v/>
      </c>
      <c r="J872" s="29" t="str">
        <f aca="false">IF(A872="","",IFERROR(1/(1/_xlfn.MINIFS(Apparitions!$L$2:$L$5001,Apparitions!$H$2:$H$5001,A872)),""))</f>
        <v/>
      </c>
    </row>
    <row r="873" customFormat="false" ht="15" hidden="false" customHeight="false" outlineLevel="0" collapsed="false">
      <c r="A873" s="19"/>
      <c r="B873" s="19"/>
      <c r="C873" s="19"/>
      <c r="D873" s="19"/>
      <c r="E873" s="32"/>
      <c r="F873" s="19"/>
      <c r="G873" s="26" t="str">
        <f aca="false">IF(A873="","",COUNTIF(Pubs!$B$2:$B$3001,A873))</f>
        <v/>
      </c>
      <c r="H873" s="26" t="str">
        <f aca="false">IF(A873="","",COUNTIF(Apparitions!$H$2:$H$5001,A873))</f>
        <v/>
      </c>
      <c r="I873" s="26" t="str">
        <f aca="false">IF(A873="","",COUNTIFS(Apparitions!$H$2:$H$5001,A873,Apparitions!$E$2:$E$5001,"○"))</f>
        <v/>
      </c>
      <c r="J873" s="29" t="str">
        <f aca="false">IF(A873="","",IFERROR(1/(1/_xlfn.MINIFS(Apparitions!$L$2:$L$5001,Apparitions!$H$2:$H$5001,A873)),""))</f>
        <v/>
      </c>
    </row>
    <row r="874" customFormat="false" ht="15" hidden="false" customHeight="false" outlineLevel="0" collapsed="false">
      <c r="A874" s="19"/>
      <c r="B874" s="19"/>
      <c r="C874" s="19"/>
      <c r="D874" s="19"/>
      <c r="E874" s="32"/>
      <c r="F874" s="19"/>
      <c r="G874" s="26" t="str">
        <f aca="false">IF(A874="","",COUNTIF(Pubs!$B$2:$B$3001,A874))</f>
        <v/>
      </c>
      <c r="H874" s="26" t="str">
        <f aca="false">IF(A874="","",COUNTIF(Apparitions!$H$2:$H$5001,A874))</f>
        <v/>
      </c>
      <c r="I874" s="26" t="str">
        <f aca="false">IF(A874="","",COUNTIFS(Apparitions!$H$2:$H$5001,A874,Apparitions!$E$2:$E$5001,"○"))</f>
        <v/>
      </c>
      <c r="J874" s="29" t="str">
        <f aca="false">IF(A874="","",IFERROR(1/(1/_xlfn.MINIFS(Apparitions!$L$2:$L$5001,Apparitions!$H$2:$H$5001,A874)),""))</f>
        <v/>
      </c>
    </row>
    <row r="875" customFormat="false" ht="15" hidden="false" customHeight="false" outlineLevel="0" collapsed="false">
      <c r="A875" s="19"/>
      <c r="B875" s="19"/>
      <c r="C875" s="19"/>
      <c r="D875" s="19"/>
      <c r="E875" s="32"/>
      <c r="F875" s="19"/>
      <c r="G875" s="26" t="str">
        <f aca="false">IF(A875="","",COUNTIF(Pubs!$B$2:$B$3001,A875))</f>
        <v/>
      </c>
      <c r="H875" s="26" t="str">
        <f aca="false">IF(A875="","",COUNTIF(Apparitions!$H$2:$H$5001,A875))</f>
        <v/>
      </c>
      <c r="I875" s="26" t="str">
        <f aca="false">IF(A875="","",COUNTIFS(Apparitions!$H$2:$H$5001,A875,Apparitions!$E$2:$E$5001,"○"))</f>
        <v/>
      </c>
      <c r="J875" s="29" t="str">
        <f aca="false">IF(A875="","",IFERROR(1/(1/_xlfn.MINIFS(Apparitions!$L$2:$L$5001,Apparitions!$H$2:$H$5001,A875)),""))</f>
        <v/>
      </c>
    </row>
    <row r="876" customFormat="false" ht="15" hidden="false" customHeight="false" outlineLevel="0" collapsed="false">
      <c r="A876" s="19"/>
      <c r="B876" s="19"/>
      <c r="C876" s="19"/>
      <c r="D876" s="19"/>
      <c r="E876" s="32"/>
      <c r="F876" s="19"/>
      <c r="G876" s="26" t="str">
        <f aca="false">IF(A876="","",COUNTIF(Pubs!$B$2:$B$3001,A876))</f>
        <v/>
      </c>
      <c r="H876" s="26" t="str">
        <f aca="false">IF(A876="","",COUNTIF(Apparitions!$H$2:$H$5001,A876))</f>
        <v/>
      </c>
      <c r="I876" s="26" t="str">
        <f aca="false">IF(A876="","",COUNTIFS(Apparitions!$H$2:$H$5001,A876,Apparitions!$E$2:$E$5001,"○"))</f>
        <v/>
      </c>
      <c r="J876" s="29" t="str">
        <f aca="false">IF(A876="","",IFERROR(1/(1/_xlfn.MINIFS(Apparitions!$L$2:$L$5001,Apparitions!$H$2:$H$5001,A876)),""))</f>
        <v/>
      </c>
    </row>
    <row r="877" customFormat="false" ht="15" hidden="false" customHeight="false" outlineLevel="0" collapsed="false">
      <c r="A877" s="19"/>
      <c r="B877" s="19"/>
      <c r="C877" s="19"/>
      <c r="D877" s="19"/>
      <c r="E877" s="32"/>
      <c r="F877" s="19"/>
      <c r="G877" s="26" t="str">
        <f aca="false">IF(A877="","",COUNTIF(Pubs!$B$2:$B$3001,A877))</f>
        <v/>
      </c>
      <c r="H877" s="26" t="str">
        <f aca="false">IF(A877="","",COUNTIF(Apparitions!$H$2:$H$5001,A877))</f>
        <v/>
      </c>
      <c r="I877" s="26" t="str">
        <f aca="false">IF(A877="","",COUNTIFS(Apparitions!$H$2:$H$5001,A877,Apparitions!$E$2:$E$5001,"○"))</f>
        <v/>
      </c>
      <c r="J877" s="29" t="str">
        <f aca="false">IF(A877="","",IFERROR(1/(1/_xlfn.MINIFS(Apparitions!$L$2:$L$5001,Apparitions!$H$2:$H$5001,A877)),""))</f>
        <v/>
      </c>
    </row>
    <row r="878" customFormat="false" ht="15" hidden="false" customHeight="false" outlineLevel="0" collapsed="false">
      <c r="A878" s="19"/>
      <c r="B878" s="19"/>
      <c r="C878" s="19"/>
      <c r="D878" s="19"/>
      <c r="E878" s="32"/>
      <c r="F878" s="19"/>
      <c r="G878" s="26" t="str">
        <f aca="false">IF(A878="","",COUNTIF(Pubs!$B$2:$B$3001,A878))</f>
        <v/>
      </c>
      <c r="H878" s="26" t="str">
        <f aca="false">IF(A878="","",COUNTIF(Apparitions!$H$2:$H$5001,A878))</f>
        <v/>
      </c>
      <c r="I878" s="26" t="str">
        <f aca="false">IF(A878="","",COUNTIFS(Apparitions!$H$2:$H$5001,A878,Apparitions!$E$2:$E$5001,"○"))</f>
        <v/>
      </c>
      <c r="J878" s="29" t="str">
        <f aca="false">IF(A878="","",IFERROR(1/(1/_xlfn.MINIFS(Apparitions!$L$2:$L$5001,Apparitions!$H$2:$H$5001,A878)),""))</f>
        <v/>
      </c>
    </row>
    <row r="879" customFormat="false" ht="15" hidden="false" customHeight="false" outlineLevel="0" collapsed="false">
      <c r="A879" s="19"/>
      <c r="B879" s="19"/>
      <c r="C879" s="19"/>
      <c r="D879" s="19"/>
      <c r="E879" s="32"/>
      <c r="F879" s="19"/>
      <c r="G879" s="26" t="str">
        <f aca="false">IF(A879="","",COUNTIF(Pubs!$B$2:$B$3001,A879))</f>
        <v/>
      </c>
      <c r="H879" s="26" t="str">
        <f aca="false">IF(A879="","",COUNTIF(Apparitions!$H$2:$H$5001,A879))</f>
        <v/>
      </c>
      <c r="I879" s="26" t="str">
        <f aca="false">IF(A879="","",COUNTIFS(Apparitions!$H$2:$H$5001,A879,Apparitions!$E$2:$E$5001,"○"))</f>
        <v/>
      </c>
      <c r="J879" s="29" t="str">
        <f aca="false">IF(A879="","",IFERROR(1/(1/_xlfn.MINIFS(Apparitions!$L$2:$L$5001,Apparitions!$H$2:$H$5001,A879)),""))</f>
        <v/>
      </c>
    </row>
    <row r="880" customFormat="false" ht="15" hidden="false" customHeight="false" outlineLevel="0" collapsed="false">
      <c r="A880" s="19"/>
      <c r="B880" s="19"/>
      <c r="C880" s="19"/>
      <c r="D880" s="19"/>
      <c r="E880" s="32"/>
      <c r="F880" s="19"/>
      <c r="G880" s="26" t="str">
        <f aca="false">IF(A880="","",COUNTIF(Pubs!$B$2:$B$3001,A880))</f>
        <v/>
      </c>
      <c r="H880" s="26" t="str">
        <f aca="false">IF(A880="","",COUNTIF(Apparitions!$H$2:$H$5001,A880))</f>
        <v/>
      </c>
      <c r="I880" s="26" t="str">
        <f aca="false">IF(A880="","",COUNTIFS(Apparitions!$H$2:$H$5001,A880,Apparitions!$E$2:$E$5001,"○"))</f>
        <v/>
      </c>
      <c r="J880" s="29" t="str">
        <f aca="false">IF(A880="","",IFERROR(1/(1/_xlfn.MINIFS(Apparitions!$L$2:$L$5001,Apparitions!$H$2:$H$5001,A880)),""))</f>
        <v/>
      </c>
    </row>
    <row r="881" customFormat="false" ht="15" hidden="false" customHeight="false" outlineLevel="0" collapsed="false">
      <c r="A881" s="19"/>
      <c r="B881" s="19"/>
      <c r="C881" s="19"/>
      <c r="D881" s="19"/>
      <c r="E881" s="32"/>
      <c r="F881" s="19"/>
      <c r="G881" s="26" t="str">
        <f aca="false">IF(A881="","",COUNTIF(Pubs!$B$2:$B$3001,A881))</f>
        <v/>
      </c>
      <c r="H881" s="26" t="str">
        <f aca="false">IF(A881="","",COUNTIF(Apparitions!$H$2:$H$5001,A881))</f>
        <v/>
      </c>
      <c r="I881" s="26" t="str">
        <f aca="false">IF(A881="","",COUNTIFS(Apparitions!$H$2:$H$5001,A881,Apparitions!$E$2:$E$5001,"○"))</f>
        <v/>
      </c>
      <c r="J881" s="29" t="str">
        <f aca="false">IF(A881="","",IFERROR(1/(1/_xlfn.MINIFS(Apparitions!$L$2:$L$5001,Apparitions!$H$2:$H$5001,A881)),""))</f>
        <v/>
      </c>
    </row>
    <row r="882" customFormat="false" ht="15" hidden="false" customHeight="false" outlineLevel="0" collapsed="false">
      <c r="A882" s="19"/>
      <c r="B882" s="19"/>
      <c r="C882" s="19"/>
      <c r="D882" s="19"/>
      <c r="E882" s="32"/>
      <c r="F882" s="19"/>
      <c r="G882" s="26" t="str">
        <f aca="false">IF(A882="","",COUNTIF(Pubs!$B$2:$B$3001,A882))</f>
        <v/>
      </c>
      <c r="H882" s="26" t="str">
        <f aca="false">IF(A882="","",COUNTIF(Apparitions!$H$2:$H$5001,A882))</f>
        <v/>
      </c>
      <c r="I882" s="26" t="str">
        <f aca="false">IF(A882="","",COUNTIFS(Apparitions!$H$2:$H$5001,A882,Apparitions!$E$2:$E$5001,"○"))</f>
        <v/>
      </c>
      <c r="J882" s="29" t="str">
        <f aca="false">IF(A882="","",IFERROR(1/(1/_xlfn.MINIFS(Apparitions!$L$2:$L$5001,Apparitions!$H$2:$H$5001,A882)),""))</f>
        <v/>
      </c>
    </row>
    <row r="883" customFormat="false" ht="15" hidden="false" customHeight="false" outlineLevel="0" collapsed="false">
      <c r="A883" s="19"/>
      <c r="B883" s="19"/>
      <c r="C883" s="19"/>
      <c r="D883" s="19"/>
      <c r="E883" s="32"/>
      <c r="F883" s="19"/>
      <c r="G883" s="26" t="str">
        <f aca="false">IF(A883="","",COUNTIF(Pubs!$B$2:$B$3001,A883))</f>
        <v/>
      </c>
      <c r="H883" s="26" t="str">
        <f aca="false">IF(A883="","",COUNTIF(Apparitions!$H$2:$H$5001,A883))</f>
        <v/>
      </c>
      <c r="I883" s="26" t="str">
        <f aca="false">IF(A883="","",COUNTIFS(Apparitions!$H$2:$H$5001,A883,Apparitions!$E$2:$E$5001,"○"))</f>
        <v/>
      </c>
      <c r="J883" s="29" t="str">
        <f aca="false">IF(A883="","",IFERROR(1/(1/_xlfn.MINIFS(Apparitions!$L$2:$L$5001,Apparitions!$H$2:$H$5001,A883)),""))</f>
        <v/>
      </c>
    </row>
    <row r="884" customFormat="false" ht="15" hidden="false" customHeight="false" outlineLevel="0" collapsed="false">
      <c r="A884" s="19"/>
      <c r="B884" s="19"/>
      <c r="C884" s="19"/>
      <c r="D884" s="19"/>
      <c r="E884" s="32"/>
      <c r="F884" s="19"/>
      <c r="G884" s="26" t="str">
        <f aca="false">IF(A884="","",COUNTIF(Pubs!$B$2:$B$3001,A884))</f>
        <v/>
      </c>
      <c r="H884" s="26" t="str">
        <f aca="false">IF(A884="","",COUNTIF(Apparitions!$H$2:$H$5001,A884))</f>
        <v/>
      </c>
      <c r="I884" s="26" t="str">
        <f aca="false">IF(A884="","",COUNTIFS(Apparitions!$H$2:$H$5001,A884,Apparitions!$E$2:$E$5001,"○"))</f>
        <v/>
      </c>
      <c r="J884" s="29" t="str">
        <f aca="false">IF(A884="","",IFERROR(1/(1/_xlfn.MINIFS(Apparitions!$L$2:$L$5001,Apparitions!$H$2:$H$5001,A884)),""))</f>
        <v/>
      </c>
    </row>
    <row r="885" customFormat="false" ht="15" hidden="false" customHeight="false" outlineLevel="0" collapsed="false">
      <c r="A885" s="19"/>
      <c r="B885" s="19"/>
      <c r="C885" s="19"/>
      <c r="D885" s="19"/>
      <c r="E885" s="32"/>
      <c r="F885" s="19"/>
      <c r="G885" s="26" t="str">
        <f aca="false">IF(A885="","",COUNTIF(Pubs!$B$2:$B$3001,A885))</f>
        <v/>
      </c>
      <c r="H885" s="26" t="str">
        <f aca="false">IF(A885="","",COUNTIF(Apparitions!$H$2:$H$5001,A885))</f>
        <v/>
      </c>
      <c r="I885" s="26" t="str">
        <f aca="false">IF(A885="","",COUNTIFS(Apparitions!$H$2:$H$5001,A885,Apparitions!$E$2:$E$5001,"○"))</f>
        <v/>
      </c>
      <c r="J885" s="29" t="str">
        <f aca="false">IF(A885="","",IFERROR(1/(1/_xlfn.MINIFS(Apparitions!$L$2:$L$5001,Apparitions!$H$2:$H$5001,A885)),""))</f>
        <v/>
      </c>
    </row>
    <row r="886" customFormat="false" ht="15" hidden="false" customHeight="false" outlineLevel="0" collapsed="false">
      <c r="A886" s="19"/>
      <c r="B886" s="19"/>
      <c r="C886" s="19"/>
      <c r="D886" s="19"/>
      <c r="E886" s="32"/>
      <c r="F886" s="19"/>
      <c r="G886" s="26" t="str">
        <f aca="false">IF(A886="","",COUNTIF(Pubs!$B$2:$B$3001,A886))</f>
        <v/>
      </c>
      <c r="H886" s="26" t="str">
        <f aca="false">IF(A886="","",COUNTIF(Apparitions!$H$2:$H$5001,A886))</f>
        <v/>
      </c>
      <c r="I886" s="26" t="str">
        <f aca="false">IF(A886="","",COUNTIFS(Apparitions!$H$2:$H$5001,A886,Apparitions!$E$2:$E$5001,"○"))</f>
        <v/>
      </c>
      <c r="J886" s="29" t="str">
        <f aca="false">IF(A886="","",IFERROR(1/(1/_xlfn.MINIFS(Apparitions!$L$2:$L$5001,Apparitions!$H$2:$H$5001,A886)),""))</f>
        <v/>
      </c>
    </row>
    <row r="887" customFormat="false" ht="15" hidden="false" customHeight="false" outlineLevel="0" collapsed="false">
      <c r="A887" s="19"/>
      <c r="B887" s="19"/>
      <c r="C887" s="19"/>
      <c r="D887" s="19"/>
      <c r="E887" s="32"/>
      <c r="F887" s="19"/>
      <c r="G887" s="26" t="str">
        <f aca="false">IF(A887="","",COUNTIF(Pubs!$B$2:$B$3001,A887))</f>
        <v/>
      </c>
      <c r="H887" s="26" t="str">
        <f aca="false">IF(A887="","",COUNTIF(Apparitions!$H$2:$H$5001,A887))</f>
        <v/>
      </c>
      <c r="I887" s="26" t="str">
        <f aca="false">IF(A887="","",COUNTIFS(Apparitions!$H$2:$H$5001,A887,Apparitions!$E$2:$E$5001,"○"))</f>
        <v/>
      </c>
      <c r="J887" s="29" t="str">
        <f aca="false">IF(A887="","",IFERROR(1/(1/_xlfn.MINIFS(Apparitions!$L$2:$L$5001,Apparitions!$H$2:$H$5001,A887)),""))</f>
        <v/>
      </c>
    </row>
    <row r="888" customFormat="false" ht="15" hidden="false" customHeight="false" outlineLevel="0" collapsed="false">
      <c r="A888" s="19"/>
      <c r="B888" s="19"/>
      <c r="C888" s="19"/>
      <c r="D888" s="19"/>
      <c r="E888" s="32"/>
      <c r="F888" s="19"/>
      <c r="G888" s="26" t="str">
        <f aca="false">IF(A888="","",COUNTIF(Pubs!$B$2:$B$3001,A888))</f>
        <v/>
      </c>
      <c r="H888" s="26" t="str">
        <f aca="false">IF(A888="","",COUNTIF(Apparitions!$H$2:$H$5001,A888))</f>
        <v/>
      </c>
      <c r="I888" s="26" t="str">
        <f aca="false">IF(A888="","",COUNTIFS(Apparitions!$H$2:$H$5001,A888,Apparitions!$E$2:$E$5001,"○"))</f>
        <v/>
      </c>
      <c r="J888" s="29" t="str">
        <f aca="false">IF(A888="","",IFERROR(1/(1/_xlfn.MINIFS(Apparitions!$L$2:$L$5001,Apparitions!$H$2:$H$5001,A888)),""))</f>
        <v/>
      </c>
    </row>
    <row r="889" customFormat="false" ht="15" hidden="false" customHeight="false" outlineLevel="0" collapsed="false">
      <c r="A889" s="19"/>
      <c r="B889" s="19"/>
      <c r="C889" s="19"/>
      <c r="D889" s="19"/>
      <c r="E889" s="32"/>
      <c r="F889" s="19"/>
      <c r="G889" s="26" t="str">
        <f aca="false">IF(A889="","",COUNTIF(Pubs!$B$2:$B$3001,A889))</f>
        <v/>
      </c>
      <c r="H889" s="26" t="str">
        <f aca="false">IF(A889="","",COUNTIF(Apparitions!$H$2:$H$5001,A889))</f>
        <v/>
      </c>
      <c r="I889" s="26" t="str">
        <f aca="false">IF(A889="","",COUNTIFS(Apparitions!$H$2:$H$5001,A889,Apparitions!$E$2:$E$5001,"○"))</f>
        <v/>
      </c>
      <c r="J889" s="29" t="str">
        <f aca="false">IF(A889="","",IFERROR(1/(1/_xlfn.MINIFS(Apparitions!$L$2:$L$5001,Apparitions!$H$2:$H$5001,A889)),""))</f>
        <v/>
      </c>
    </row>
    <row r="890" customFormat="false" ht="15" hidden="false" customHeight="false" outlineLevel="0" collapsed="false">
      <c r="A890" s="19"/>
      <c r="B890" s="19"/>
      <c r="C890" s="19"/>
      <c r="D890" s="19"/>
      <c r="E890" s="32"/>
      <c r="F890" s="19"/>
      <c r="G890" s="26" t="str">
        <f aca="false">IF(A890="","",COUNTIF(Pubs!$B$2:$B$3001,A890))</f>
        <v/>
      </c>
      <c r="H890" s="26" t="str">
        <f aca="false">IF(A890="","",COUNTIF(Apparitions!$H$2:$H$5001,A890))</f>
        <v/>
      </c>
      <c r="I890" s="26" t="str">
        <f aca="false">IF(A890="","",COUNTIFS(Apparitions!$H$2:$H$5001,A890,Apparitions!$E$2:$E$5001,"○"))</f>
        <v/>
      </c>
      <c r="J890" s="29" t="str">
        <f aca="false">IF(A890="","",IFERROR(1/(1/_xlfn.MINIFS(Apparitions!$L$2:$L$5001,Apparitions!$H$2:$H$5001,A890)),""))</f>
        <v/>
      </c>
    </row>
    <row r="891" customFormat="false" ht="15" hidden="false" customHeight="false" outlineLevel="0" collapsed="false">
      <c r="A891" s="19"/>
      <c r="B891" s="19"/>
      <c r="C891" s="19"/>
      <c r="D891" s="19"/>
      <c r="E891" s="32"/>
      <c r="F891" s="19"/>
      <c r="G891" s="26" t="str">
        <f aca="false">IF(A891="","",COUNTIF(Pubs!$B$2:$B$3001,A891))</f>
        <v/>
      </c>
      <c r="H891" s="26" t="str">
        <f aca="false">IF(A891="","",COUNTIF(Apparitions!$H$2:$H$5001,A891))</f>
        <v/>
      </c>
      <c r="I891" s="26" t="str">
        <f aca="false">IF(A891="","",COUNTIFS(Apparitions!$H$2:$H$5001,A891,Apparitions!$E$2:$E$5001,"○"))</f>
        <v/>
      </c>
      <c r="J891" s="29" t="str">
        <f aca="false">IF(A891="","",IFERROR(1/(1/_xlfn.MINIFS(Apparitions!$L$2:$L$5001,Apparitions!$H$2:$H$5001,A891)),""))</f>
        <v/>
      </c>
    </row>
    <row r="892" customFormat="false" ht="15" hidden="false" customHeight="false" outlineLevel="0" collapsed="false">
      <c r="A892" s="19"/>
      <c r="B892" s="19"/>
      <c r="C892" s="19"/>
      <c r="D892" s="19"/>
      <c r="E892" s="32"/>
      <c r="F892" s="19"/>
      <c r="G892" s="26" t="str">
        <f aca="false">IF(A892="","",COUNTIF(Pubs!$B$2:$B$3001,A892))</f>
        <v/>
      </c>
      <c r="H892" s="26" t="str">
        <f aca="false">IF(A892="","",COUNTIF(Apparitions!$H$2:$H$5001,A892))</f>
        <v/>
      </c>
      <c r="I892" s="26" t="str">
        <f aca="false">IF(A892="","",COUNTIFS(Apparitions!$H$2:$H$5001,A892,Apparitions!$E$2:$E$5001,"○"))</f>
        <v/>
      </c>
      <c r="J892" s="29" t="str">
        <f aca="false">IF(A892="","",IFERROR(1/(1/_xlfn.MINIFS(Apparitions!$L$2:$L$5001,Apparitions!$H$2:$H$5001,A892)),""))</f>
        <v/>
      </c>
    </row>
    <row r="893" customFormat="false" ht="15" hidden="false" customHeight="false" outlineLevel="0" collapsed="false">
      <c r="A893" s="19"/>
      <c r="B893" s="19"/>
      <c r="C893" s="19"/>
      <c r="D893" s="19"/>
      <c r="E893" s="32"/>
      <c r="F893" s="19"/>
      <c r="G893" s="26" t="str">
        <f aca="false">IF(A893="","",COUNTIF(Pubs!$B$2:$B$3001,A893))</f>
        <v/>
      </c>
      <c r="H893" s="26" t="str">
        <f aca="false">IF(A893="","",COUNTIF(Apparitions!$H$2:$H$5001,A893))</f>
        <v/>
      </c>
      <c r="I893" s="26" t="str">
        <f aca="false">IF(A893="","",COUNTIFS(Apparitions!$H$2:$H$5001,A893,Apparitions!$E$2:$E$5001,"○"))</f>
        <v/>
      </c>
      <c r="J893" s="29" t="str">
        <f aca="false">IF(A893="","",IFERROR(1/(1/_xlfn.MINIFS(Apparitions!$L$2:$L$5001,Apparitions!$H$2:$H$5001,A893)),""))</f>
        <v/>
      </c>
    </row>
    <row r="894" customFormat="false" ht="15" hidden="false" customHeight="false" outlineLevel="0" collapsed="false">
      <c r="A894" s="19"/>
      <c r="B894" s="19"/>
      <c r="C894" s="19"/>
      <c r="D894" s="19"/>
      <c r="E894" s="32"/>
      <c r="F894" s="19"/>
      <c r="G894" s="26" t="str">
        <f aca="false">IF(A894="","",COUNTIF(Pubs!$B$2:$B$3001,A894))</f>
        <v/>
      </c>
      <c r="H894" s="26" t="str">
        <f aca="false">IF(A894="","",COUNTIF(Apparitions!$H$2:$H$5001,A894))</f>
        <v/>
      </c>
      <c r="I894" s="26" t="str">
        <f aca="false">IF(A894="","",COUNTIFS(Apparitions!$H$2:$H$5001,A894,Apparitions!$E$2:$E$5001,"○"))</f>
        <v/>
      </c>
      <c r="J894" s="29" t="str">
        <f aca="false">IF(A894="","",IFERROR(1/(1/_xlfn.MINIFS(Apparitions!$L$2:$L$5001,Apparitions!$H$2:$H$5001,A894)),""))</f>
        <v/>
      </c>
    </row>
    <row r="895" customFormat="false" ht="15" hidden="false" customHeight="false" outlineLevel="0" collapsed="false">
      <c r="A895" s="19"/>
      <c r="B895" s="19"/>
      <c r="C895" s="19"/>
      <c r="D895" s="19"/>
      <c r="E895" s="32"/>
      <c r="F895" s="19"/>
      <c r="G895" s="26" t="str">
        <f aca="false">IF(A895="","",COUNTIF(Pubs!$B$2:$B$3001,A895))</f>
        <v/>
      </c>
      <c r="H895" s="26" t="str">
        <f aca="false">IF(A895="","",COUNTIF(Apparitions!$H$2:$H$5001,A895))</f>
        <v/>
      </c>
      <c r="I895" s="26" t="str">
        <f aca="false">IF(A895="","",COUNTIFS(Apparitions!$H$2:$H$5001,A895,Apparitions!$E$2:$E$5001,"○"))</f>
        <v/>
      </c>
      <c r="J895" s="29" t="str">
        <f aca="false">IF(A895="","",IFERROR(1/(1/_xlfn.MINIFS(Apparitions!$L$2:$L$5001,Apparitions!$H$2:$H$5001,A895)),""))</f>
        <v/>
      </c>
    </row>
    <row r="896" customFormat="false" ht="15" hidden="false" customHeight="false" outlineLevel="0" collapsed="false">
      <c r="A896" s="19"/>
      <c r="B896" s="19"/>
      <c r="C896" s="19"/>
      <c r="D896" s="19"/>
      <c r="E896" s="32"/>
      <c r="F896" s="19"/>
      <c r="G896" s="26" t="str">
        <f aca="false">IF(A896="","",COUNTIF(Pubs!$B$2:$B$3001,A896))</f>
        <v/>
      </c>
      <c r="H896" s="26" t="str">
        <f aca="false">IF(A896="","",COUNTIF(Apparitions!$H$2:$H$5001,A896))</f>
        <v/>
      </c>
      <c r="I896" s="26" t="str">
        <f aca="false">IF(A896="","",COUNTIFS(Apparitions!$H$2:$H$5001,A896,Apparitions!$E$2:$E$5001,"○"))</f>
        <v/>
      </c>
      <c r="J896" s="29" t="str">
        <f aca="false">IF(A896="","",IFERROR(1/(1/_xlfn.MINIFS(Apparitions!$L$2:$L$5001,Apparitions!$H$2:$H$5001,A896)),""))</f>
        <v/>
      </c>
    </row>
    <row r="897" customFormat="false" ht="15" hidden="false" customHeight="false" outlineLevel="0" collapsed="false">
      <c r="A897" s="19"/>
      <c r="B897" s="19"/>
      <c r="C897" s="19"/>
      <c r="D897" s="19"/>
      <c r="E897" s="32"/>
      <c r="F897" s="19"/>
      <c r="G897" s="26" t="str">
        <f aca="false">IF(A897="","",COUNTIF(Pubs!$B$2:$B$3001,A897))</f>
        <v/>
      </c>
      <c r="H897" s="26" t="str">
        <f aca="false">IF(A897="","",COUNTIF(Apparitions!$H$2:$H$5001,A897))</f>
        <v/>
      </c>
      <c r="I897" s="26" t="str">
        <f aca="false">IF(A897="","",COUNTIFS(Apparitions!$H$2:$H$5001,A897,Apparitions!$E$2:$E$5001,"○"))</f>
        <v/>
      </c>
      <c r="J897" s="29" t="str">
        <f aca="false">IF(A897="","",IFERROR(1/(1/_xlfn.MINIFS(Apparitions!$L$2:$L$5001,Apparitions!$H$2:$H$5001,A897)),""))</f>
        <v/>
      </c>
    </row>
    <row r="898" customFormat="false" ht="15" hidden="false" customHeight="false" outlineLevel="0" collapsed="false">
      <c r="A898" s="19"/>
      <c r="B898" s="19"/>
      <c r="C898" s="19"/>
      <c r="D898" s="19"/>
      <c r="E898" s="32"/>
      <c r="F898" s="19"/>
      <c r="G898" s="26" t="str">
        <f aca="false">IF(A898="","",COUNTIF(Pubs!$B$2:$B$3001,A898))</f>
        <v/>
      </c>
      <c r="H898" s="26" t="str">
        <f aca="false">IF(A898="","",COUNTIF(Apparitions!$H$2:$H$5001,A898))</f>
        <v/>
      </c>
      <c r="I898" s="26" t="str">
        <f aca="false">IF(A898="","",COUNTIFS(Apparitions!$H$2:$H$5001,A898,Apparitions!$E$2:$E$5001,"○"))</f>
        <v/>
      </c>
      <c r="J898" s="29" t="str">
        <f aca="false">IF(A898="","",IFERROR(1/(1/_xlfn.MINIFS(Apparitions!$L$2:$L$5001,Apparitions!$H$2:$H$5001,A898)),""))</f>
        <v/>
      </c>
    </row>
    <row r="899" customFormat="false" ht="15" hidden="false" customHeight="false" outlineLevel="0" collapsed="false">
      <c r="A899" s="19"/>
      <c r="B899" s="19"/>
      <c r="C899" s="19"/>
      <c r="D899" s="19"/>
      <c r="E899" s="32"/>
      <c r="F899" s="19"/>
      <c r="G899" s="26" t="str">
        <f aca="false">IF(A899="","",COUNTIF(Pubs!$B$2:$B$3001,A899))</f>
        <v/>
      </c>
      <c r="H899" s="26" t="str">
        <f aca="false">IF(A899="","",COUNTIF(Apparitions!$H$2:$H$5001,A899))</f>
        <v/>
      </c>
      <c r="I899" s="26" t="str">
        <f aca="false">IF(A899="","",COUNTIFS(Apparitions!$H$2:$H$5001,A899,Apparitions!$E$2:$E$5001,"○"))</f>
        <v/>
      </c>
      <c r="J899" s="29" t="str">
        <f aca="false">IF(A899="","",IFERROR(1/(1/_xlfn.MINIFS(Apparitions!$L$2:$L$5001,Apparitions!$H$2:$H$5001,A899)),""))</f>
        <v/>
      </c>
    </row>
    <row r="900" customFormat="false" ht="15" hidden="false" customHeight="false" outlineLevel="0" collapsed="false">
      <c r="A900" s="19"/>
      <c r="B900" s="19"/>
      <c r="C900" s="19"/>
      <c r="D900" s="19"/>
      <c r="E900" s="32"/>
      <c r="F900" s="19"/>
      <c r="G900" s="26" t="str">
        <f aca="false">IF(A900="","",COUNTIF(Pubs!$B$2:$B$3001,A900))</f>
        <v/>
      </c>
      <c r="H900" s="26" t="str">
        <f aca="false">IF(A900="","",COUNTIF(Apparitions!$H$2:$H$5001,A900))</f>
        <v/>
      </c>
      <c r="I900" s="26" t="str">
        <f aca="false">IF(A900="","",COUNTIFS(Apparitions!$H$2:$H$5001,A900,Apparitions!$E$2:$E$5001,"○"))</f>
        <v/>
      </c>
      <c r="J900" s="29" t="str">
        <f aca="false">IF(A900="","",IFERROR(1/(1/_xlfn.MINIFS(Apparitions!$L$2:$L$5001,Apparitions!$H$2:$H$5001,A900)),""))</f>
        <v/>
      </c>
    </row>
    <row r="901" customFormat="false" ht="15" hidden="false" customHeight="false" outlineLevel="0" collapsed="false">
      <c r="A901" s="19"/>
      <c r="B901" s="19"/>
      <c r="C901" s="19"/>
      <c r="D901" s="19"/>
      <c r="E901" s="32"/>
      <c r="F901" s="19"/>
      <c r="G901" s="26" t="str">
        <f aca="false">IF(A901="","",COUNTIF(Pubs!$B$2:$B$3001,A901))</f>
        <v/>
      </c>
      <c r="H901" s="26" t="str">
        <f aca="false">IF(A901="","",COUNTIF(Apparitions!$H$2:$H$5001,A901))</f>
        <v/>
      </c>
      <c r="I901" s="26" t="str">
        <f aca="false">IF(A901="","",COUNTIFS(Apparitions!$H$2:$H$5001,A901,Apparitions!$E$2:$E$5001,"○"))</f>
        <v/>
      </c>
      <c r="J901" s="29" t="str">
        <f aca="false">IF(A901="","",IFERROR(1/(1/_xlfn.MINIFS(Apparitions!$L$2:$L$5001,Apparitions!$H$2:$H$5001,A901)),""))</f>
        <v/>
      </c>
    </row>
    <row r="902" customFormat="false" ht="15" hidden="false" customHeight="false" outlineLevel="0" collapsed="false">
      <c r="A902" s="19"/>
      <c r="B902" s="19"/>
      <c r="C902" s="19"/>
      <c r="D902" s="19"/>
      <c r="E902" s="32"/>
      <c r="F902" s="19"/>
      <c r="G902" s="26" t="str">
        <f aca="false">IF(A902="","",COUNTIF(Pubs!$B$2:$B$3001,A902))</f>
        <v/>
      </c>
      <c r="H902" s="26" t="str">
        <f aca="false">IF(A902="","",COUNTIF(Apparitions!$H$2:$H$5001,A902))</f>
        <v/>
      </c>
      <c r="I902" s="26" t="str">
        <f aca="false">IF(A902="","",COUNTIFS(Apparitions!$H$2:$H$5001,A902,Apparitions!$E$2:$E$5001,"○"))</f>
        <v/>
      </c>
      <c r="J902" s="29" t="str">
        <f aca="false">IF(A902="","",IFERROR(1/(1/_xlfn.MINIFS(Apparitions!$L$2:$L$5001,Apparitions!$H$2:$H$5001,A902)),""))</f>
        <v/>
      </c>
    </row>
    <row r="903" customFormat="false" ht="15" hidden="false" customHeight="false" outlineLevel="0" collapsed="false">
      <c r="A903" s="19"/>
      <c r="B903" s="19"/>
      <c r="C903" s="19"/>
      <c r="D903" s="19"/>
      <c r="E903" s="32"/>
      <c r="F903" s="19"/>
      <c r="G903" s="26" t="str">
        <f aca="false">IF(A903="","",COUNTIF(Pubs!$B$2:$B$3001,A903))</f>
        <v/>
      </c>
      <c r="H903" s="26" t="str">
        <f aca="false">IF(A903="","",COUNTIF(Apparitions!$H$2:$H$5001,A903))</f>
        <v/>
      </c>
      <c r="I903" s="26" t="str">
        <f aca="false">IF(A903="","",COUNTIFS(Apparitions!$H$2:$H$5001,A903,Apparitions!$E$2:$E$5001,"○"))</f>
        <v/>
      </c>
      <c r="J903" s="29" t="str">
        <f aca="false">IF(A903="","",IFERROR(1/(1/_xlfn.MINIFS(Apparitions!$L$2:$L$5001,Apparitions!$H$2:$H$5001,A903)),""))</f>
        <v/>
      </c>
    </row>
    <row r="904" customFormat="false" ht="15" hidden="false" customHeight="false" outlineLevel="0" collapsed="false">
      <c r="A904" s="19"/>
      <c r="B904" s="19"/>
      <c r="C904" s="19"/>
      <c r="D904" s="19"/>
      <c r="E904" s="32"/>
      <c r="F904" s="19"/>
      <c r="G904" s="26" t="str">
        <f aca="false">IF(A904="","",COUNTIF(Pubs!$B$2:$B$3001,A904))</f>
        <v/>
      </c>
      <c r="H904" s="26" t="str">
        <f aca="false">IF(A904="","",COUNTIF(Apparitions!$H$2:$H$5001,A904))</f>
        <v/>
      </c>
      <c r="I904" s="26" t="str">
        <f aca="false">IF(A904="","",COUNTIFS(Apparitions!$H$2:$H$5001,A904,Apparitions!$E$2:$E$5001,"○"))</f>
        <v/>
      </c>
      <c r="J904" s="29" t="str">
        <f aca="false">IF(A904="","",IFERROR(1/(1/_xlfn.MINIFS(Apparitions!$L$2:$L$5001,Apparitions!$H$2:$H$5001,A904)),""))</f>
        <v/>
      </c>
    </row>
    <row r="905" customFormat="false" ht="15" hidden="false" customHeight="false" outlineLevel="0" collapsed="false">
      <c r="A905" s="19"/>
      <c r="B905" s="19"/>
      <c r="C905" s="19"/>
      <c r="D905" s="19"/>
      <c r="E905" s="32"/>
      <c r="F905" s="19"/>
      <c r="G905" s="26" t="str">
        <f aca="false">IF(A905="","",COUNTIF(Pubs!$B$2:$B$3001,A905))</f>
        <v/>
      </c>
      <c r="H905" s="26" t="str">
        <f aca="false">IF(A905="","",COUNTIF(Apparitions!$H$2:$H$5001,A905))</f>
        <v/>
      </c>
      <c r="I905" s="26" t="str">
        <f aca="false">IF(A905="","",COUNTIFS(Apparitions!$H$2:$H$5001,A905,Apparitions!$E$2:$E$5001,"○"))</f>
        <v/>
      </c>
      <c r="J905" s="29" t="str">
        <f aca="false">IF(A905="","",IFERROR(1/(1/_xlfn.MINIFS(Apparitions!$L$2:$L$5001,Apparitions!$H$2:$H$5001,A905)),""))</f>
        <v/>
      </c>
    </row>
    <row r="906" customFormat="false" ht="15" hidden="false" customHeight="false" outlineLevel="0" collapsed="false">
      <c r="A906" s="19"/>
      <c r="B906" s="19"/>
      <c r="C906" s="19"/>
      <c r="D906" s="19"/>
      <c r="E906" s="32"/>
      <c r="F906" s="19"/>
      <c r="G906" s="26" t="str">
        <f aca="false">IF(A906="","",COUNTIF(Pubs!$B$2:$B$3001,A906))</f>
        <v/>
      </c>
      <c r="H906" s="26" t="str">
        <f aca="false">IF(A906="","",COUNTIF(Apparitions!$H$2:$H$5001,A906))</f>
        <v/>
      </c>
      <c r="I906" s="26" t="str">
        <f aca="false">IF(A906="","",COUNTIFS(Apparitions!$H$2:$H$5001,A906,Apparitions!$E$2:$E$5001,"○"))</f>
        <v/>
      </c>
      <c r="J906" s="29" t="str">
        <f aca="false">IF(A906="","",IFERROR(1/(1/_xlfn.MINIFS(Apparitions!$L$2:$L$5001,Apparitions!$H$2:$H$5001,A906)),""))</f>
        <v/>
      </c>
    </row>
    <row r="907" customFormat="false" ht="15" hidden="false" customHeight="false" outlineLevel="0" collapsed="false">
      <c r="A907" s="19"/>
      <c r="B907" s="19"/>
      <c r="C907" s="19"/>
      <c r="D907" s="19"/>
      <c r="E907" s="32"/>
      <c r="F907" s="19"/>
      <c r="G907" s="26" t="str">
        <f aca="false">IF(A907="","",COUNTIF(Pubs!$B$2:$B$3001,A907))</f>
        <v/>
      </c>
      <c r="H907" s="26" t="str">
        <f aca="false">IF(A907="","",COUNTIF(Apparitions!$H$2:$H$5001,A907))</f>
        <v/>
      </c>
      <c r="I907" s="26" t="str">
        <f aca="false">IF(A907="","",COUNTIFS(Apparitions!$H$2:$H$5001,A907,Apparitions!$E$2:$E$5001,"○"))</f>
        <v/>
      </c>
      <c r="J907" s="29" t="str">
        <f aca="false">IF(A907="","",IFERROR(1/(1/_xlfn.MINIFS(Apparitions!$L$2:$L$5001,Apparitions!$H$2:$H$5001,A907)),""))</f>
        <v/>
      </c>
    </row>
    <row r="908" customFormat="false" ht="15" hidden="false" customHeight="false" outlineLevel="0" collapsed="false">
      <c r="A908" s="19"/>
      <c r="B908" s="19"/>
      <c r="C908" s="19"/>
      <c r="D908" s="19"/>
      <c r="E908" s="32"/>
      <c r="F908" s="19"/>
      <c r="G908" s="26" t="str">
        <f aca="false">IF(A908="","",COUNTIF(Pubs!$B$2:$B$3001,A908))</f>
        <v/>
      </c>
      <c r="H908" s="26" t="str">
        <f aca="false">IF(A908="","",COUNTIF(Apparitions!$H$2:$H$5001,A908))</f>
        <v/>
      </c>
      <c r="I908" s="26" t="str">
        <f aca="false">IF(A908="","",COUNTIFS(Apparitions!$H$2:$H$5001,A908,Apparitions!$E$2:$E$5001,"○"))</f>
        <v/>
      </c>
      <c r="J908" s="29" t="str">
        <f aca="false">IF(A908="","",IFERROR(1/(1/_xlfn.MINIFS(Apparitions!$L$2:$L$5001,Apparitions!$H$2:$H$5001,A908)),""))</f>
        <v/>
      </c>
    </row>
    <row r="909" customFormat="false" ht="15" hidden="false" customHeight="false" outlineLevel="0" collapsed="false">
      <c r="A909" s="19"/>
      <c r="B909" s="19"/>
      <c r="C909" s="19"/>
      <c r="D909" s="19"/>
      <c r="E909" s="32"/>
      <c r="F909" s="19"/>
      <c r="G909" s="26" t="str">
        <f aca="false">IF(A909="","",COUNTIF(Pubs!$B$2:$B$3001,A909))</f>
        <v/>
      </c>
      <c r="H909" s="26" t="str">
        <f aca="false">IF(A909="","",COUNTIF(Apparitions!$H$2:$H$5001,A909))</f>
        <v/>
      </c>
      <c r="I909" s="26" t="str">
        <f aca="false">IF(A909="","",COUNTIFS(Apparitions!$H$2:$H$5001,A909,Apparitions!$E$2:$E$5001,"○"))</f>
        <v/>
      </c>
      <c r="J909" s="29" t="str">
        <f aca="false">IF(A909="","",IFERROR(1/(1/_xlfn.MINIFS(Apparitions!$L$2:$L$5001,Apparitions!$H$2:$H$5001,A909)),""))</f>
        <v/>
      </c>
    </row>
    <row r="910" customFormat="false" ht="15" hidden="false" customHeight="false" outlineLevel="0" collapsed="false">
      <c r="A910" s="19"/>
      <c r="B910" s="19"/>
      <c r="C910" s="19"/>
      <c r="D910" s="19"/>
      <c r="E910" s="32"/>
      <c r="F910" s="19"/>
      <c r="G910" s="26" t="str">
        <f aca="false">IF(A910="","",COUNTIF(Pubs!$B$2:$B$3001,A910))</f>
        <v/>
      </c>
      <c r="H910" s="26" t="str">
        <f aca="false">IF(A910="","",COUNTIF(Apparitions!$H$2:$H$5001,A910))</f>
        <v/>
      </c>
      <c r="I910" s="26" t="str">
        <f aca="false">IF(A910="","",COUNTIFS(Apparitions!$H$2:$H$5001,A910,Apparitions!$E$2:$E$5001,"○"))</f>
        <v/>
      </c>
      <c r="J910" s="29" t="str">
        <f aca="false">IF(A910="","",IFERROR(1/(1/_xlfn.MINIFS(Apparitions!$L$2:$L$5001,Apparitions!$H$2:$H$5001,A910)),""))</f>
        <v/>
      </c>
    </row>
    <row r="911" customFormat="false" ht="15" hidden="false" customHeight="false" outlineLevel="0" collapsed="false">
      <c r="A911" s="19"/>
      <c r="B911" s="19"/>
      <c r="C911" s="19"/>
      <c r="D911" s="19"/>
      <c r="E911" s="32"/>
      <c r="F911" s="19"/>
      <c r="G911" s="26" t="str">
        <f aca="false">IF(A911="","",COUNTIF(Pubs!$B$2:$B$3001,A911))</f>
        <v/>
      </c>
      <c r="H911" s="26" t="str">
        <f aca="false">IF(A911="","",COUNTIF(Apparitions!$H$2:$H$5001,A911))</f>
        <v/>
      </c>
      <c r="I911" s="26" t="str">
        <f aca="false">IF(A911="","",COUNTIFS(Apparitions!$H$2:$H$5001,A911,Apparitions!$E$2:$E$5001,"○"))</f>
        <v/>
      </c>
      <c r="J911" s="29" t="str">
        <f aca="false">IF(A911="","",IFERROR(1/(1/_xlfn.MINIFS(Apparitions!$L$2:$L$5001,Apparitions!$H$2:$H$5001,A911)),""))</f>
        <v/>
      </c>
    </row>
    <row r="912" customFormat="false" ht="15" hidden="false" customHeight="false" outlineLevel="0" collapsed="false">
      <c r="A912" s="19"/>
      <c r="B912" s="19"/>
      <c r="C912" s="19"/>
      <c r="D912" s="19"/>
      <c r="E912" s="32"/>
      <c r="F912" s="19"/>
      <c r="G912" s="26" t="str">
        <f aca="false">IF(A912="","",COUNTIF(Pubs!$B$2:$B$3001,A912))</f>
        <v/>
      </c>
      <c r="H912" s="26" t="str">
        <f aca="false">IF(A912="","",COUNTIF(Apparitions!$H$2:$H$5001,A912))</f>
        <v/>
      </c>
      <c r="I912" s="26" t="str">
        <f aca="false">IF(A912="","",COUNTIFS(Apparitions!$H$2:$H$5001,A912,Apparitions!$E$2:$E$5001,"○"))</f>
        <v/>
      </c>
      <c r="J912" s="29" t="str">
        <f aca="false">IF(A912="","",IFERROR(1/(1/_xlfn.MINIFS(Apparitions!$L$2:$L$5001,Apparitions!$H$2:$H$5001,A912)),""))</f>
        <v/>
      </c>
    </row>
    <row r="913" customFormat="false" ht="15" hidden="false" customHeight="false" outlineLevel="0" collapsed="false">
      <c r="A913" s="19"/>
      <c r="B913" s="19"/>
      <c r="C913" s="19"/>
      <c r="D913" s="19"/>
      <c r="E913" s="32"/>
      <c r="F913" s="19"/>
      <c r="G913" s="26" t="str">
        <f aca="false">IF(A913="","",COUNTIF(Pubs!$B$2:$B$3001,A913))</f>
        <v/>
      </c>
      <c r="H913" s="26" t="str">
        <f aca="false">IF(A913="","",COUNTIF(Apparitions!$H$2:$H$5001,A913))</f>
        <v/>
      </c>
      <c r="I913" s="26" t="str">
        <f aca="false">IF(A913="","",COUNTIFS(Apparitions!$H$2:$H$5001,A913,Apparitions!$E$2:$E$5001,"○"))</f>
        <v/>
      </c>
      <c r="J913" s="29" t="str">
        <f aca="false">IF(A913="","",IFERROR(1/(1/_xlfn.MINIFS(Apparitions!$L$2:$L$5001,Apparitions!$H$2:$H$5001,A913)),""))</f>
        <v/>
      </c>
    </row>
    <row r="914" customFormat="false" ht="15" hidden="false" customHeight="false" outlineLevel="0" collapsed="false">
      <c r="A914" s="19"/>
      <c r="B914" s="19"/>
      <c r="C914" s="19"/>
      <c r="D914" s="19"/>
      <c r="E914" s="32"/>
      <c r="F914" s="19"/>
      <c r="G914" s="26" t="str">
        <f aca="false">IF(A914="","",COUNTIF(Pubs!$B$2:$B$3001,A914))</f>
        <v/>
      </c>
      <c r="H914" s="26" t="str">
        <f aca="false">IF(A914="","",COUNTIF(Apparitions!$H$2:$H$5001,A914))</f>
        <v/>
      </c>
      <c r="I914" s="26" t="str">
        <f aca="false">IF(A914="","",COUNTIFS(Apparitions!$H$2:$H$5001,A914,Apparitions!$E$2:$E$5001,"○"))</f>
        <v/>
      </c>
      <c r="J914" s="29" t="str">
        <f aca="false">IF(A914="","",IFERROR(1/(1/_xlfn.MINIFS(Apparitions!$L$2:$L$5001,Apparitions!$H$2:$H$5001,A914)),""))</f>
        <v/>
      </c>
    </row>
    <row r="915" customFormat="false" ht="15" hidden="false" customHeight="false" outlineLevel="0" collapsed="false">
      <c r="A915" s="19"/>
      <c r="B915" s="19"/>
      <c r="C915" s="19"/>
      <c r="D915" s="19"/>
      <c r="E915" s="32"/>
      <c r="F915" s="19"/>
      <c r="G915" s="26" t="str">
        <f aca="false">IF(A915="","",COUNTIF(Pubs!$B$2:$B$3001,A915))</f>
        <v/>
      </c>
      <c r="H915" s="26" t="str">
        <f aca="false">IF(A915="","",COUNTIF(Apparitions!$H$2:$H$5001,A915))</f>
        <v/>
      </c>
      <c r="I915" s="26" t="str">
        <f aca="false">IF(A915="","",COUNTIFS(Apparitions!$H$2:$H$5001,A915,Apparitions!$E$2:$E$5001,"○"))</f>
        <v/>
      </c>
      <c r="J915" s="29" t="str">
        <f aca="false">IF(A915="","",IFERROR(1/(1/_xlfn.MINIFS(Apparitions!$L$2:$L$5001,Apparitions!$H$2:$H$5001,A915)),""))</f>
        <v/>
      </c>
    </row>
    <row r="916" customFormat="false" ht="15" hidden="false" customHeight="false" outlineLevel="0" collapsed="false">
      <c r="A916" s="19"/>
      <c r="B916" s="19"/>
      <c r="C916" s="19"/>
      <c r="D916" s="19"/>
      <c r="E916" s="32"/>
      <c r="F916" s="19"/>
      <c r="G916" s="26" t="str">
        <f aca="false">IF(A916="","",COUNTIF(Pubs!$B$2:$B$3001,A916))</f>
        <v/>
      </c>
      <c r="H916" s="26" t="str">
        <f aca="false">IF(A916="","",COUNTIF(Apparitions!$H$2:$H$5001,A916))</f>
        <v/>
      </c>
      <c r="I916" s="26" t="str">
        <f aca="false">IF(A916="","",COUNTIFS(Apparitions!$H$2:$H$5001,A916,Apparitions!$E$2:$E$5001,"○"))</f>
        <v/>
      </c>
      <c r="J916" s="29" t="str">
        <f aca="false">IF(A916="","",IFERROR(1/(1/_xlfn.MINIFS(Apparitions!$L$2:$L$5001,Apparitions!$H$2:$H$5001,A916)),""))</f>
        <v/>
      </c>
    </row>
    <row r="917" customFormat="false" ht="15" hidden="false" customHeight="false" outlineLevel="0" collapsed="false">
      <c r="A917" s="19"/>
      <c r="B917" s="19"/>
      <c r="C917" s="19"/>
      <c r="D917" s="19"/>
      <c r="E917" s="32"/>
      <c r="F917" s="19"/>
      <c r="G917" s="26" t="str">
        <f aca="false">IF(A917="","",COUNTIF(Pubs!$B$2:$B$3001,A917))</f>
        <v/>
      </c>
      <c r="H917" s="26" t="str">
        <f aca="false">IF(A917="","",COUNTIF(Apparitions!$H$2:$H$5001,A917))</f>
        <v/>
      </c>
      <c r="I917" s="26" t="str">
        <f aca="false">IF(A917="","",COUNTIFS(Apparitions!$H$2:$H$5001,A917,Apparitions!$E$2:$E$5001,"○"))</f>
        <v/>
      </c>
      <c r="J917" s="29" t="str">
        <f aca="false">IF(A917="","",IFERROR(1/(1/_xlfn.MINIFS(Apparitions!$L$2:$L$5001,Apparitions!$H$2:$H$5001,A917)),""))</f>
        <v/>
      </c>
    </row>
    <row r="918" customFormat="false" ht="15" hidden="false" customHeight="false" outlineLevel="0" collapsed="false">
      <c r="A918" s="19"/>
      <c r="B918" s="19"/>
      <c r="C918" s="19"/>
      <c r="D918" s="19"/>
      <c r="E918" s="32"/>
      <c r="F918" s="19"/>
      <c r="G918" s="26" t="str">
        <f aca="false">IF(A918="","",COUNTIF(Pubs!$B$2:$B$3001,A918))</f>
        <v/>
      </c>
      <c r="H918" s="26" t="str">
        <f aca="false">IF(A918="","",COUNTIF(Apparitions!$H$2:$H$5001,A918))</f>
        <v/>
      </c>
      <c r="I918" s="26" t="str">
        <f aca="false">IF(A918="","",COUNTIFS(Apparitions!$H$2:$H$5001,A918,Apparitions!$E$2:$E$5001,"○"))</f>
        <v/>
      </c>
      <c r="J918" s="29" t="str">
        <f aca="false">IF(A918="","",IFERROR(1/(1/_xlfn.MINIFS(Apparitions!$L$2:$L$5001,Apparitions!$H$2:$H$5001,A918)),""))</f>
        <v/>
      </c>
    </row>
    <row r="919" customFormat="false" ht="15" hidden="false" customHeight="false" outlineLevel="0" collapsed="false">
      <c r="A919" s="19"/>
      <c r="B919" s="19"/>
      <c r="C919" s="19"/>
      <c r="D919" s="19"/>
      <c r="E919" s="32"/>
      <c r="F919" s="19"/>
      <c r="G919" s="26" t="str">
        <f aca="false">IF(A919="","",COUNTIF(Pubs!$B$2:$B$3001,A919))</f>
        <v/>
      </c>
      <c r="H919" s="26" t="str">
        <f aca="false">IF(A919="","",COUNTIF(Apparitions!$H$2:$H$5001,A919))</f>
        <v/>
      </c>
      <c r="I919" s="26" t="str">
        <f aca="false">IF(A919="","",COUNTIFS(Apparitions!$H$2:$H$5001,A919,Apparitions!$E$2:$E$5001,"○"))</f>
        <v/>
      </c>
      <c r="J919" s="29" t="str">
        <f aca="false">IF(A919="","",IFERROR(1/(1/_xlfn.MINIFS(Apparitions!$L$2:$L$5001,Apparitions!$H$2:$H$5001,A919)),""))</f>
        <v/>
      </c>
    </row>
    <row r="920" customFormat="false" ht="15" hidden="false" customHeight="false" outlineLevel="0" collapsed="false">
      <c r="A920" s="19"/>
      <c r="B920" s="19"/>
      <c r="C920" s="19"/>
      <c r="D920" s="19"/>
      <c r="E920" s="32"/>
      <c r="F920" s="19"/>
      <c r="G920" s="26" t="str">
        <f aca="false">IF(A920="","",COUNTIF(Pubs!$B$2:$B$3001,A920))</f>
        <v/>
      </c>
      <c r="H920" s="26" t="str">
        <f aca="false">IF(A920="","",COUNTIF(Apparitions!$H$2:$H$5001,A920))</f>
        <v/>
      </c>
      <c r="I920" s="26" t="str">
        <f aca="false">IF(A920="","",COUNTIFS(Apparitions!$H$2:$H$5001,A920,Apparitions!$E$2:$E$5001,"○"))</f>
        <v/>
      </c>
      <c r="J920" s="29" t="str">
        <f aca="false">IF(A920="","",IFERROR(1/(1/_xlfn.MINIFS(Apparitions!$L$2:$L$5001,Apparitions!$H$2:$H$5001,A920)),""))</f>
        <v/>
      </c>
    </row>
    <row r="921" customFormat="false" ht="15" hidden="false" customHeight="false" outlineLevel="0" collapsed="false">
      <c r="A921" s="19"/>
      <c r="B921" s="19"/>
      <c r="C921" s="19"/>
      <c r="D921" s="19"/>
      <c r="E921" s="32"/>
      <c r="F921" s="19"/>
      <c r="G921" s="26" t="str">
        <f aca="false">IF(A921="","",COUNTIF(Pubs!$B$2:$B$3001,A921))</f>
        <v/>
      </c>
      <c r="H921" s="26" t="str">
        <f aca="false">IF(A921="","",COUNTIF(Apparitions!$H$2:$H$5001,A921))</f>
        <v/>
      </c>
      <c r="I921" s="26" t="str">
        <f aca="false">IF(A921="","",COUNTIFS(Apparitions!$H$2:$H$5001,A921,Apparitions!$E$2:$E$5001,"○"))</f>
        <v/>
      </c>
      <c r="J921" s="29" t="str">
        <f aca="false">IF(A921="","",IFERROR(1/(1/_xlfn.MINIFS(Apparitions!$L$2:$L$5001,Apparitions!$H$2:$H$5001,A921)),""))</f>
        <v/>
      </c>
    </row>
    <row r="922" customFormat="false" ht="15" hidden="false" customHeight="false" outlineLevel="0" collapsed="false">
      <c r="A922" s="19"/>
      <c r="B922" s="19"/>
      <c r="C922" s="19"/>
      <c r="D922" s="19"/>
      <c r="E922" s="32"/>
      <c r="F922" s="19"/>
      <c r="G922" s="26" t="str">
        <f aca="false">IF(A922="","",COUNTIF(Pubs!$B$2:$B$3001,A922))</f>
        <v/>
      </c>
      <c r="H922" s="26" t="str">
        <f aca="false">IF(A922="","",COUNTIF(Apparitions!$H$2:$H$5001,A922))</f>
        <v/>
      </c>
      <c r="I922" s="26" t="str">
        <f aca="false">IF(A922="","",COUNTIFS(Apparitions!$H$2:$H$5001,A922,Apparitions!$E$2:$E$5001,"○"))</f>
        <v/>
      </c>
      <c r="J922" s="29" t="str">
        <f aca="false">IF(A922="","",IFERROR(1/(1/_xlfn.MINIFS(Apparitions!$L$2:$L$5001,Apparitions!$H$2:$H$5001,A922)),""))</f>
        <v/>
      </c>
    </row>
    <row r="923" customFormat="false" ht="15" hidden="false" customHeight="false" outlineLevel="0" collapsed="false">
      <c r="A923" s="19"/>
      <c r="B923" s="19"/>
      <c r="C923" s="19"/>
      <c r="D923" s="19"/>
      <c r="E923" s="32"/>
      <c r="F923" s="19"/>
      <c r="G923" s="26" t="str">
        <f aca="false">IF(A923="","",COUNTIF(Pubs!$B$2:$B$3001,A923))</f>
        <v/>
      </c>
      <c r="H923" s="26" t="str">
        <f aca="false">IF(A923="","",COUNTIF(Apparitions!$H$2:$H$5001,A923))</f>
        <v/>
      </c>
      <c r="I923" s="26" t="str">
        <f aca="false">IF(A923="","",COUNTIFS(Apparitions!$H$2:$H$5001,A923,Apparitions!$E$2:$E$5001,"○"))</f>
        <v/>
      </c>
      <c r="J923" s="29" t="str">
        <f aca="false">IF(A923="","",IFERROR(1/(1/_xlfn.MINIFS(Apparitions!$L$2:$L$5001,Apparitions!$H$2:$H$5001,A923)),""))</f>
        <v/>
      </c>
    </row>
    <row r="924" customFormat="false" ht="15" hidden="false" customHeight="false" outlineLevel="0" collapsed="false">
      <c r="A924" s="19"/>
      <c r="B924" s="19"/>
      <c r="C924" s="19"/>
      <c r="D924" s="19"/>
      <c r="E924" s="32"/>
      <c r="F924" s="19"/>
      <c r="G924" s="26" t="str">
        <f aca="false">IF(A924="","",COUNTIF(Pubs!$B$2:$B$3001,A924))</f>
        <v/>
      </c>
      <c r="H924" s="26" t="str">
        <f aca="false">IF(A924="","",COUNTIF(Apparitions!$H$2:$H$5001,A924))</f>
        <v/>
      </c>
      <c r="I924" s="26" t="str">
        <f aca="false">IF(A924="","",COUNTIFS(Apparitions!$H$2:$H$5001,A924,Apparitions!$E$2:$E$5001,"○"))</f>
        <v/>
      </c>
      <c r="J924" s="29" t="str">
        <f aca="false">IF(A924="","",IFERROR(1/(1/_xlfn.MINIFS(Apparitions!$L$2:$L$5001,Apparitions!$H$2:$H$5001,A924)),""))</f>
        <v/>
      </c>
    </row>
    <row r="925" customFormat="false" ht="15" hidden="false" customHeight="false" outlineLevel="0" collapsed="false">
      <c r="A925" s="19"/>
      <c r="B925" s="19"/>
      <c r="C925" s="19"/>
      <c r="D925" s="19"/>
      <c r="E925" s="32"/>
      <c r="F925" s="19"/>
      <c r="G925" s="26" t="str">
        <f aca="false">IF(A925="","",COUNTIF(Pubs!$B$2:$B$3001,A925))</f>
        <v/>
      </c>
      <c r="H925" s="26" t="str">
        <f aca="false">IF(A925="","",COUNTIF(Apparitions!$H$2:$H$5001,A925))</f>
        <v/>
      </c>
      <c r="I925" s="26" t="str">
        <f aca="false">IF(A925="","",COUNTIFS(Apparitions!$H$2:$H$5001,A925,Apparitions!$E$2:$E$5001,"○"))</f>
        <v/>
      </c>
      <c r="J925" s="29" t="str">
        <f aca="false">IF(A925="","",IFERROR(1/(1/_xlfn.MINIFS(Apparitions!$L$2:$L$5001,Apparitions!$H$2:$H$5001,A925)),""))</f>
        <v/>
      </c>
    </row>
    <row r="926" customFormat="false" ht="15" hidden="false" customHeight="false" outlineLevel="0" collapsed="false">
      <c r="A926" s="19"/>
      <c r="B926" s="19"/>
      <c r="C926" s="19"/>
      <c r="D926" s="19"/>
      <c r="E926" s="32"/>
      <c r="F926" s="19"/>
      <c r="G926" s="26" t="str">
        <f aca="false">IF(A926="","",COUNTIF(Pubs!$B$2:$B$3001,A926))</f>
        <v/>
      </c>
      <c r="H926" s="26" t="str">
        <f aca="false">IF(A926="","",COUNTIF(Apparitions!$H$2:$H$5001,A926))</f>
        <v/>
      </c>
      <c r="I926" s="26" t="str">
        <f aca="false">IF(A926="","",COUNTIFS(Apparitions!$H$2:$H$5001,A926,Apparitions!$E$2:$E$5001,"○"))</f>
        <v/>
      </c>
      <c r="J926" s="29" t="str">
        <f aca="false">IF(A926="","",IFERROR(1/(1/_xlfn.MINIFS(Apparitions!$L$2:$L$5001,Apparitions!$H$2:$H$5001,A926)),""))</f>
        <v/>
      </c>
    </row>
    <row r="927" customFormat="false" ht="15" hidden="false" customHeight="false" outlineLevel="0" collapsed="false">
      <c r="A927" s="19"/>
      <c r="B927" s="19"/>
      <c r="C927" s="19"/>
      <c r="D927" s="19"/>
      <c r="E927" s="32"/>
      <c r="F927" s="19"/>
      <c r="G927" s="26" t="str">
        <f aca="false">IF(A927="","",COUNTIF(Pubs!$B$2:$B$3001,A927))</f>
        <v/>
      </c>
      <c r="H927" s="26" t="str">
        <f aca="false">IF(A927="","",COUNTIF(Apparitions!$H$2:$H$5001,A927))</f>
        <v/>
      </c>
      <c r="I927" s="26" t="str">
        <f aca="false">IF(A927="","",COUNTIFS(Apparitions!$H$2:$H$5001,A927,Apparitions!$E$2:$E$5001,"○"))</f>
        <v/>
      </c>
      <c r="J927" s="29" t="str">
        <f aca="false">IF(A927="","",IFERROR(1/(1/_xlfn.MINIFS(Apparitions!$L$2:$L$5001,Apparitions!$H$2:$H$5001,A927)),""))</f>
        <v/>
      </c>
    </row>
    <row r="928" customFormat="false" ht="15" hidden="false" customHeight="false" outlineLevel="0" collapsed="false">
      <c r="A928" s="19"/>
      <c r="B928" s="19"/>
      <c r="C928" s="19"/>
      <c r="D928" s="19"/>
      <c r="E928" s="32"/>
      <c r="F928" s="19"/>
      <c r="G928" s="26" t="str">
        <f aca="false">IF(A928="","",COUNTIF(Pubs!$B$2:$B$3001,A928))</f>
        <v/>
      </c>
      <c r="H928" s="26" t="str">
        <f aca="false">IF(A928="","",COUNTIF(Apparitions!$H$2:$H$5001,A928))</f>
        <v/>
      </c>
      <c r="I928" s="26" t="str">
        <f aca="false">IF(A928="","",COUNTIFS(Apparitions!$H$2:$H$5001,A928,Apparitions!$E$2:$E$5001,"○"))</f>
        <v/>
      </c>
      <c r="J928" s="29" t="str">
        <f aca="false">IF(A928="","",IFERROR(1/(1/_xlfn.MINIFS(Apparitions!$L$2:$L$5001,Apparitions!$H$2:$H$5001,A928)),""))</f>
        <v/>
      </c>
    </row>
    <row r="929" customFormat="false" ht="15" hidden="false" customHeight="false" outlineLevel="0" collapsed="false">
      <c r="A929" s="19"/>
      <c r="B929" s="19"/>
      <c r="C929" s="19"/>
      <c r="D929" s="19"/>
      <c r="E929" s="32"/>
      <c r="F929" s="19"/>
      <c r="G929" s="26" t="str">
        <f aca="false">IF(A929="","",COUNTIF(Pubs!$B$2:$B$3001,A929))</f>
        <v/>
      </c>
      <c r="H929" s="26" t="str">
        <f aca="false">IF(A929="","",COUNTIF(Apparitions!$H$2:$H$5001,A929))</f>
        <v/>
      </c>
      <c r="I929" s="26" t="str">
        <f aca="false">IF(A929="","",COUNTIFS(Apparitions!$H$2:$H$5001,A929,Apparitions!$E$2:$E$5001,"○"))</f>
        <v/>
      </c>
      <c r="J929" s="29" t="str">
        <f aca="false">IF(A929="","",IFERROR(1/(1/_xlfn.MINIFS(Apparitions!$L$2:$L$5001,Apparitions!$H$2:$H$5001,A929)),""))</f>
        <v/>
      </c>
    </row>
    <row r="930" customFormat="false" ht="15" hidden="false" customHeight="false" outlineLevel="0" collapsed="false">
      <c r="A930" s="19"/>
      <c r="B930" s="19"/>
      <c r="C930" s="19"/>
      <c r="D930" s="19"/>
      <c r="E930" s="32"/>
      <c r="F930" s="19"/>
      <c r="G930" s="26" t="str">
        <f aca="false">IF(A930="","",COUNTIF(Pubs!$B$2:$B$3001,A930))</f>
        <v/>
      </c>
      <c r="H930" s="26" t="str">
        <f aca="false">IF(A930="","",COUNTIF(Apparitions!$H$2:$H$5001,A930))</f>
        <v/>
      </c>
      <c r="I930" s="26" t="str">
        <f aca="false">IF(A930="","",COUNTIFS(Apparitions!$H$2:$H$5001,A930,Apparitions!$E$2:$E$5001,"○"))</f>
        <v/>
      </c>
      <c r="J930" s="29" t="str">
        <f aca="false">IF(A930="","",IFERROR(1/(1/_xlfn.MINIFS(Apparitions!$L$2:$L$5001,Apparitions!$H$2:$H$5001,A930)),""))</f>
        <v/>
      </c>
    </row>
    <row r="931" customFormat="false" ht="15" hidden="false" customHeight="false" outlineLevel="0" collapsed="false">
      <c r="A931" s="19"/>
      <c r="B931" s="19"/>
      <c r="C931" s="19"/>
      <c r="D931" s="19"/>
      <c r="E931" s="32"/>
      <c r="F931" s="19"/>
      <c r="G931" s="26" t="str">
        <f aca="false">IF(A931="","",COUNTIF(Pubs!$B$2:$B$3001,A931))</f>
        <v/>
      </c>
      <c r="H931" s="26" t="str">
        <f aca="false">IF(A931="","",COUNTIF(Apparitions!$H$2:$H$5001,A931))</f>
        <v/>
      </c>
      <c r="I931" s="26" t="str">
        <f aca="false">IF(A931="","",COUNTIFS(Apparitions!$H$2:$H$5001,A931,Apparitions!$E$2:$E$5001,"○"))</f>
        <v/>
      </c>
      <c r="J931" s="29" t="str">
        <f aca="false">IF(A931="","",IFERROR(1/(1/_xlfn.MINIFS(Apparitions!$L$2:$L$5001,Apparitions!$H$2:$H$5001,A931)),""))</f>
        <v/>
      </c>
    </row>
    <row r="932" customFormat="false" ht="15" hidden="false" customHeight="false" outlineLevel="0" collapsed="false">
      <c r="A932" s="19"/>
      <c r="B932" s="19"/>
      <c r="C932" s="19"/>
      <c r="D932" s="19"/>
      <c r="E932" s="32"/>
      <c r="F932" s="19"/>
      <c r="G932" s="26" t="str">
        <f aca="false">IF(A932="","",COUNTIF(Pubs!$B$2:$B$3001,A932))</f>
        <v/>
      </c>
      <c r="H932" s="26" t="str">
        <f aca="false">IF(A932="","",COUNTIF(Apparitions!$H$2:$H$5001,A932))</f>
        <v/>
      </c>
      <c r="I932" s="26" t="str">
        <f aca="false">IF(A932="","",COUNTIFS(Apparitions!$H$2:$H$5001,A932,Apparitions!$E$2:$E$5001,"○"))</f>
        <v/>
      </c>
      <c r="J932" s="29" t="str">
        <f aca="false">IF(A932="","",IFERROR(1/(1/_xlfn.MINIFS(Apparitions!$L$2:$L$5001,Apparitions!$H$2:$H$5001,A932)),""))</f>
        <v/>
      </c>
    </row>
    <row r="933" customFormat="false" ht="15" hidden="false" customHeight="false" outlineLevel="0" collapsed="false">
      <c r="A933" s="19"/>
      <c r="B933" s="19"/>
      <c r="C933" s="19"/>
      <c r="D933" s="19"/>
      <c r="E933" s="32"/>
      <c r="F933" s="19"/>
      <c r="G933" s="26" t="str">
        <f aca="false">IF(A933="","",COUNTIF(Pubs!$B$2:$B$3001,A933))</f>
        <v/>
      </c>
      <c r="H933" s="26" t="str">
        <f aca="false">IF(A933="","",COUNTIF(Apparitions!$H$2:$H$5001,A933))</f>
        <v/>
      </c>
      <c r="I933" s="26" t="str">
        <f aca="false">IF(A933="","",COUNTIFS(Apparitions!$H$2:$H$5001,A933,Apparitions!$E$2:$E$5001,"○"))</f>
        <v/>
      </c>
      <c r="J933" s="29" t="str">
        <f aca="false">IF(A933="","",IFERROR(1/(1/_xlfn.MINIFS(Apparitions!$L$2:$L$5001,Apparitions!$H$2:$H$5001,A933)),""))</f>
        <v/>
      </c>
    </row>
    <row r="934" customFormat="false" ht="15" hidden="false" customHeight="false" outlineLevel="0" collapsed="false">
      <c r="A934" s="19"/>
      <c r="B934" s="19"/>
      <c r="C934" s="19"/>
      <c r="D934" s="19"/>
      <c r="E934" s="32"/>
      <c r="F934" s="19"/>
      <c r="G934" s="26" t="str">
        <f aca="false">IF(A934="","",COUNTIF(Pubs!$B$2:$B$3001,A934))</f>
        <v/>
      </c>
      <c r="H934" s="26" t="str">
        <f aca="false">IF(A934="","",COUNTIF(Apparitions!$H$2:$H$5001,A934))</f>
        <v/>
      </c>
      <c r="I934" s="26" t="str">
        <f aca="false">IF(A934="","",COUNTIFS(Apparitions!$H$2:$H$5001,A934,Apparitions!$E$2:$E$5001,"○"))</f>
        <v/>
      </c>
      <c r="J934" s="29" t="str">
        <f aca="false">IF(A934="","",IFERROR(1/(1/_xlfn.MINIFS(Apparitions!$L$2:$L$5001,Apparitions!$H$2:$H$5001,A934)),""))</f>
        <v/>
      </c>
    </row>
    <row r="935" customFormat="false" ht="15" hidden="false" customHeight="false" outlineLevel="0" collapsed="false">
      <c r="A935" s="19"/>
      <c r="B935" s="19"/>
      <c r="C935" s="19"/>
      <c r="D935" s="19"/>
      <c r="E935" s="32"/>
      <c r="F935" s="19"/>
      <c r="G935" s="26" t="str">
        <f aca="false">IF(A935="","",COUNTIF(Pubs!$B$2:$B$3001,A935))</f>
        <v/>
      </c>
      <c r="H935" s="26" t="str">
        <f aca="false">IF(A935="","",COUNTIF(Apparitions!$H$2:$H$5001,A935))</f>
        <v/>
      </c>
      <c r="I935" s="26" t="str">
        <f aca="false">IF(A935="","",COUNTIFS(Apparitions!$H$2:$H$5001,A935,Apparitions!$E$2:$E$5001,"○"))</f>
        <v/>
      </c>
      <c r="J935" s="29" t="str">
        <f aca="false">IF(A935="","",IFERROR(1/(1/_xlfn.MINIFS(Apparitions!$L$2:$L$5001,Apparitions!$H$2:$H$5001,A935)),""))</f>
        <v/>
      </c>
    </row>
    <row r="936" customFormat="false" ht="15" hidden="false" customHeight="false" outlineLevel="0" collapsed="false">
      <c r="A936" s="19"/>
      <c r="B936" s="19"/>
      <c r="C936" s="19"/>
      <c r="D936" s="19"/>
      <c r="E936" s="32"/>
      <c r="F936" s="19"/>
      <c r="G936" s="26" t="str">
        <f aca="false">IF(A936="","",COUNTIF(Pubs!$B$2:$B$3001,A936))</f>
        <v/>
      </c>
      <c r="H936" s="26" t="str">
        <f aca="false">IF(A936="","",COUNTIF(Apparitions!$H$2:$H$5001,A936))</f>
        <v/>
      </c>
      <c r="I936" s="26" t="str">
        <f aca="false">IF(A936="","",COUNTIFS(Apparitions!$H$2:$H$5001,A936,Apparitions!$E$2:$E$5001,"○"))</f>
        <v/>
      </c>
      <c r="J936" s="29" t="str">
        <f aca="false">IF(A936="","",IFERROR(1/(1/_xlfn.MINIFS(Apparitions!$L$2:$L$5001,Apparitions!$H$2:$H$5001,A936)),""))</f>
        <v/>
      </c>
    </row>
    <row r="937" customFormat="false" ht="15" hidden="false" customHeight="false" outlineLevel="0" collapsed="false">
      <c r="A937" s="19"/>
      <c r="B937" s="19"/>
      <c r="C937" s="19"/>
      <c r="D937" s="19"/>
      <c r="E937" s="32"/>
      <c r="F937" s="19"/>
      <c r="G937" s="26" t="str">
        <f aca="false">IF(A937="","",COUNTIF(Pubs!$B$2:$B$3001,A937))</f>
        <v/>
      </c>
      <c r="H937" s="26" t="str">
        <f aca="false">IF(A937="","",COUNTIF(Apparitions!$H$2:$H$5001,A937))</f>
        <v/>
      </c>
      <c r="I937" s="26" t="str">
        <f aca="false">IF(A937="","",COUNTIFS(Apparitions!$H$2:$H$5001,A937,Apparitions!$E$2:$E$5001,"○"))</f>
        <v/>
      </c>
      <c r="J937" s="29" t="str">
        <f aca="false">IF(A937="","",IFERROR(1/(1/_xlfn.MINIFS(Apparitions!$L$2:$L$5001,Apparitions!$H$2:$H$5001,A937)),""))</f>
        <v/>
      </c>
    </row>
    <row r="938" customFormat="false" ht="15" hidden="false" customHeight="false" outlineLevel="0" collapsed="false">
      <c r="A938" s="19"/>
      <c r="B938" s="19"/>
      <c r="C938" s="19"/>
      <c r="D938" s="19"/>
      <c r="E938" s="32"/>
      <c r="F938" s="19"/>
      <c r="G938" s="26" t="str">
        <f aca="false">IF(A938="","",COUNTIF(Pubs!$B$2:$B$3001,A938))</f>
        <v/>
      </c>
      <c r="H938" s="26" t="str">
        <f aca="false">IF(A938="","",COUNTIF(Apparitions!$H$2:$H$5001,A938))</f>
        <v/>
      </c>
      <c r="I938" s="26" t="str">
        <f aca="false">IF(A938="","",COUNTIFS(Apparitions!$H$2:$H$5001,A938,Apparitions!$E$2:$E$5001,"○"))</f>
        <v/>
      </c>
      <c r="J938" s="29" t="str">
        <f aca="false">IF(A938="","",IFERROR(1/(1/_xlfn.MINIFS(Apparitions!$L$2:$L$5001,Apparitions!$H$2:$H$5001,A938)),""))</f>
        <v/>
      </c>
    </row>
    <row r="939" customFormat="false" ht="15" hidden="false" customHeight="false" outlineLevel="0" collapsed="false">
      <c r="A939" s="19"/>
      <c r="B939" s="19"/>
      <c r="C939" s="19"/>
      <c r="D939" s="19"/>
      <c r="E939" s="32"/>
      <c r="F939" s="19"/>
      <c r="G939" s="26" t="str">
        <f aca="false">IF(A939="","",COUNTIF(Pubs!$B$2:$B$3001,A939))</f>
        <v/>
      </c>
      <c r="H939" s="26" t="str">
        <f aca="false">IF(A939="","",COUNTIF(Apparitions!$H$2:$H$5001,A939))</f>
        <v/>
      </c>
      <c r="I939" s="26" t="str">
        <f aca="false">IF(A939="","",COUNTIFS(Apparitions!$H$2:$H$5001,A939,Apparitions!$E$2:$E$5001,"○"))</f>
        <v/>
      </c>
      <c r="J939" s="29" t="str">
        <f aca="false">IF(A939="","",IFERROR(1/(1/_xlfn.MINIFS(Apparitions!$L$2:$L$5001,Apparitions!$H$2:$H$5001,A939)),""))</f>
        <v/>
      </c>
    </row>
    <row r="940" customFormat="false" ht="15" hidden="false" customHeight="false" outlineLevel="0" collapsed="false">
      <c r="A940" s="19"/>
      <c r="B940" s="19"/>
      <c r="C940" s="19"/>
      <c r="D940" s="19"/>
      <c r="E940" s="32"/>
      <c r="F940" s="19"/>
      <c r="G940" s="26" t="str">
        <f aca="false">IF(A940="","",COUNTIF(Pubs!$B$2:$B$3001,A940))</f>
        <v/>
      </c>
      <c r="H940" s="26" t="str">
        <f aca="false">IF(A940="","",COUNTIF(Apparitions!$H$2:$H$5001,A940))</f>
        <v/>
      </c>
      <c r="I940" s="26" t="str">
        <f aca="false">IF(A940="","",COUNTIFS(Apparitions!$H$2:$H$5001,A940,Apparitions!$E$2:$E$5001,"○"))</f>
        <v/>
      </c>
      <c r="J940" s="29" t="str">
        <f aca="false">IF(A940="","",IFERROR(1/(1/_xlfn.MINIFS(Apparitions!$L$2:$L$5001,Apparitions!$H$2:$H$5001,A940)),""))</f>
        <v/>
      </c>
    </row>
    <row r="941" customFormat="false" ht="15" hidden="false" customHeight="false" outlineLevel="0" collapsed="false">
      <c r="A941" s="19"/>
      <c r="B941" s="19"/>
      <c r="C941" s="19"/>
      <c r="D941" s="19"/>
      <c r="E941" s="32"/>
      <c r="F941" s="19"/>
      <c r="G941" s="26" t="str">
        <f aca="false">IF(A941="","",COUNTIF(Pubs!$B$2:$B$3001,A941))</f>
        <v/>
      </c>
      <c r="H941" s="26" t="str">
        <f aca="false">IF(A941="","",COUNTIF(Apparitions!$H$2:$H$5001,A941))</f>
        <v/>
      </c>
      <c r="I941" s="26" t="str">
        <f aca="false">IF(A941="","",COUNTIFS(Apparitions!$H$2:$H$5001,A941,Apparitions!$E$2:$E$5001,"○"))</f>
        <v/>
      </c>
      <c r="J941" s="29" t="str">
        <f aca="false">IF(A941="","",IFERROR(1/(1/_xlfn.MINIFS(Apparitions!$L$2:$L$5001,Apparitions!$H$2:$H$5001,A941)),""))</f>
        <v/>
      </c>
    </row>
    <row r="942" customFormat="false" ht="15" hidden="false" customHeight="false" outlineLevel="0" collapsed="false">
      <c r="A942" s="19"/>
      <c r="B942" s="19"/>
      <c r="C942" s="19"/>
      <c r="D942" s="19"/>
      <c r="E942" s="32"/>
      <c r="F942" s="19"/>
      <c r="G942" s="26" t="str">
        <f aca="false">IF(A942="","",COUNTIF(Pubs!$B$2:$B$3001,A942))</f>
        <v/>
      </c>
      <c r="H942" s="26" t="str">
        <f aca="false">IF(A942="","",COUNTIF(Apparitions!$H$2:$H$5001,A942))</f>
        <v/>
      </c>
      <c r="I942" s="26" t="str">
        <f aca="false">IF(A942="","",COUNTIFS(Apparitions!$H$2:$H$5001,A942,Apparitions!$E$2:$E$5001,"○"))</f>
        <v/>
      </c>
      <c r="J942" s="29" t="str">
        <f aca="false">IF(A942="","",IFERROR(1/(1/_xlfn.MINIFS(Apparitions!$L$2:$L$5001,Apparitions!$H$2:$H$5001,A942)),""))</f>
        <v/>
      </c>
    </row>
    <row r="943" customFormat="false" ht="15" hidden="false" customHeight="false" outlineLevel="0" collapsed="false">
      <c r="A943" s="19"/>
      <c r="B943" s="19"/>
      <c r="C943" s="19"/>
      <c r="D943" s="19"/>
      <c r="E943" s="32"/>
      <c r="F943" s="19"/>
      <c r="G943" s="26" t="str">
        <f aca="false">IF(A943="","",COUNTIF(Pubs!$B$2:$B$3001,A943))</f>
        <v/>
      </c>
      <c r="H943" s="26" t="str">
        <f aca="false">IF(A943="","",COUNTIF(Apparitions!$H$2:$H$5001,A943))</f>
        <v/>
      </c>
      <c r="I943" s="26" t="str">
        <f aca="false">IF(A943="","",COUNTIFS(Apparitions!$H$2:$H$5001,A943,Apparitions!$E$2:$E$5001,"○"))</f>
        <v/>
      </c>
      <c r="J943" s="29" t="str">
        <f aca="false">IF(A943="","",IFERROR(1/(1/_xlfn.MINIFS(Apparitions!$L$2:$L$5001,Apparitions!$H$2:$H$5001,A943)),""))</f>
        <v/>
      </c>
    </row>
    <row r="944" customFormat="false" ht="15" hidden="false" customHeight="false" outlineLevel="0" collapsed="false">
      <c r="A944" s="19"/>
      <c r="B944" s="19"/>
      <c r="C944" s="19"/>
      <c r="D944" s="19"/>
      <c r="E944" s="32"/>
      <c r="F944" s="19"/>
      <c r="G944" s="26" t="str">
        <f aca="false">IF(A944="","",COUNTIF(Pubs!$B$2:$B$3001,A944))</f>
        <v/>
      </c>
      <c r="H944" s="26" t="str">
        <f aca="false">IF(A944="","",COUNTIF(Apparitions!$H$2:$H$5001,A944))</f>
        <v/>
      </c>
      <c r="I944" s="26" t="str">
        <f aca="false">IF(A944="","",COUNTIFS(Apparitions!$H$2:$H$5001,A944,Apparitions!$E$2:$E$5001,"○"))</f>
        <v/>
      </c>
      <c r="J944" s="29" t="str">
        <f aca="false">IF(A944="","",IFERROR(1/(1/_xlfn.MINIFS(Apparitions!$L$2:$L$5001,Apparitions!$H$2:$H$5001,A944)),""))</f>
        <v/>
      </c>
    </row>
    <row r="945" customFormat="false" ht="15" hidden="false" customHeight="false" outlineLevel="0" collapsed="false">
      <c r="A945" s="19"/>
      <c r="B945" s="19"/>
      <c r="C945" s="19"/>
      <c r="D945" s="19"/>
      <c r="E945" s="32"/>
      <c r="F945" s="19"/>
      <c r="G945" s="26" t="str">
        <f aca="false">IF(A945="","",COUNTIF(Pubs!$B$2:$B$3001,A945))</f>
        <v/>
      </c>
      <c r="H945" s="26" t="str">
        <f aca="false">IF(A945="","",COUNTIF(Apparitions!$H$2:$H$5001,A945))</f>
        <v/>
      </c>
      <c r="I945" s="26" t="str">
        <f aca="false">IF(A945="","",COUNTIFS(Apparitions!$H$2:$H$5001,A945,Apparitions!$E$2:$E$5001,"○"))</f>
        <v/>
      </c>
      <c r="J945" s="29" t="str">
        <f aca="false">IF(A945="","",IFERROR(1/(1/_xlfn.MINIFS(Apparitions!$L$2:$L$5001,Apparitions!$H$2:$H$5001,A945)),""))</f>
        <v/>
      </c>
    </row>
    <row r="946" customFormat="false" ht="15" hidden="false" customHeight="false" outlineLevel="0" collapsed="false">
      <c r="A946" s="19"/>
      <c r="B946" s="19"/>
      <c r="C946" s="19"/>
      <c r="D946" s="19"/>
      <c r="E946" s="32"/>
      <c r="F946" s="19"/>
      <c r="G946" s="26" t="str">
        <f aca="false">IF(A946="","",COUNTIF(Pubs!$B$2:$B$3001,A946))</f>
        <v/>
      </c>
      <c r="H946" s="26" t="str">
        <f aca="false">IF(A946="","",COUNTIF(Apparitions!$H$2:$H$5001,A946))</f>
        <v/>
      </c>
      <c r="I946" s="26" t="str">
        <f aca="false">IF(A946="","",COUNTIFS(Apparitions!$H$2:$H$5001,A946,Apparitions!$E$2:$E$5001,"○"))</f>
        <v/>
      </c>
      <c r="J946" s="29" t="str">
        <f aca="false">IF(A946="","",IFERROR(1/(1/_xlfn.MINIFS(Apparitions!$L$2:$L$5001,Apparitions!$H$2:$H$5001,A946)),""))</f>
        <v/>
      </c>
    </row>
    <row r="947" customFormat="false" ht="15" hidden="false" customHeight="false" outlineLevel="0" collapsed="false">
      <c r="A947" s="19"/>
      <c r="B947" s="19"/>
      <c r="C947" s="19"/>
      <c r="D947" s="19"/>
      <c r="E947" s="32"/>
      <c r="F947" s="19"/>
      <c r="G947" s="26" t="str">
        <f aca="false">IF(A947="","",COUNTIF(Pubs!$B$2:$B$3001,A947))</f>
        <v/>
      </c>
      <c r="H947" s="26" t="str">
        <f aca="false">IF(A947="","",COUNTIF(Apparitions!$H$2:$H$5001,A947))</f>
        <v/>
      </c>
      <c r="I947" s="26" t="str">
        <f aca="false">IF(A947="","",COUNTIFS(Apparitions!$H$2:$H$5001,A947,Apparitions!$E$2:$E$5001,"○"))</f>
        <v/>
      </c>
      <c r="J947" s="29" t="str">
        <f aca="false">IF(A947="","",IFERROR(1/(1/_xlfn.MINIFS(Apparitions!$L$2:$L$5001,Apparitions!$H$2:$H$5001,A947)),""))</f>
        <v/>
      </c>
    </row>
    <row r="948" customFormat="false" ht="15" hidden="false" customHeight="false" outlineLevel="0" collapsed="false">
      <c r="A948" s="19"/>
      <c r="B948" s="19"/>
      <c r="C948" s="19"/>
      <c r="D948" s="19"/>
      <c r="E948" s="32"/>
      <c r="F948" s="19"/>
      <c r="G948" s="26" t="str">
        <f aca="false">IF(A948="","",COUNTIF(Pubs!$B$2:$B$3001,A948))</f>
        <v/>
      </c>
      <c r="H948" s="26" t="str">
        <f aca="false">IF(A948="","",COUNTIF(Apparitions!$H$2:$H$5001,A948))</f>
        <v/>
      </c>
      <c r="I948" s="26" t="str">
        <f aca="false">IF(A948="","",COUNTIFS(Apparitions!$H$2:$H$5001,A948,Apparitions!$E$2:$E$5001,"○"))</f>
        <v/>
      </c>
      <c r="J948" s="29" t="str">
        <f aca="false">IF(A948="","",IFERROR(1/(1/_xlfn.MINIFS(Apparitions!$L$2:$L$5001,Apparitions!$H$2:$H$5001,A948)),""))</f>
        <v/>
      </c>
    </row>
    <row r="949" customFormat="false" ht="15" hidden="false" customHeight="false" outlineLevel="0" collapsed="false">
      <c r="A949" s="19"/>
      <c r="B949" s="19"/>
      <c r="C949" s="19"/>
      <c r="D949" s="19"/>
      <c r="E949" s="32"/>
      <c r="F949" s="19"/>
      <c r="G949" s="26" t="str">
        <f aca="false">IF(A949="","",COUNTIF(Pubs!$B$2:$B$3001,A949))</f>
        <v/>
      </c>
      <c r="H949" s="26" t="str">
        <f aca="false">IF(A949="","",COUNTIF(Apparitions!$H$2:$H$5001,A949))</f>
        <v/>
      </c>
      <c r="I949" s="26" t="str">
        <f aca="false">IF(A949="","",COUNTIFS(Apparitions!$H$2:$H$5001,A949,Apparitions!$E$2:$E$5001,"○"))</f>
        <v/>
      </c>
      <c r="J949" s="29" t="str">
        <f aca="false">IF(A949="","",IFERROR(1/(1/_xlfn.MINIFS(Apparitions!$L$2:$L$5001,Apparitions!$H$2:$H$5001,A949)),""))</f>
        <v/>
      </c>
    </row>
    <row r="950" customFormat="false" ht="15" hidden="false" customHeight="false" outlineLevel="0" collapsed="false">
      <c r="A950" s="19"/>
      <c r="B950" s="19"/>
      <c r="C950" s="19"/>
      <c r="D950" s="19"/>
      <c r="E950" s="32"/>
      <c r="F950" s="19"/>
      <c r="G950" s="26" t="str">
        <f aca="false">IF(A950="","",COUNTIF(Pubs!$B$2:$B$3001,A950))</f>
        <v/>
      </c>
      <c r="H950" s="26" t="str">
        <f aca="false">IF(A950="","",COUNTIF(Apparitions!$H$2:$H$5001,A950))</f>
        <v/>
      </c>
      <c r="I950" s="26" t="str">
        <f aca="false">IF(A950="","",COUNTIFS(Apparitions!$H$2:$H$5001,A950,Apparitions!$E$2:$E$5001,"○"))</f>
        <v/>
      </c>
      <c r="J950" s="29" t="str">
        <f aca="false">IF(A950="","",IFERROR(1/(1/_xlfn.MINIFS(Apparitions!$L$2:$L$5001,Apparitions!$H$2:$H$5001,A950)),""))</f>
        <v/>
      </c>
    </row>
    <row r="951" customFormat="false" ht="15" hidden="false" customHeight="false" outlineLevel="0" collapsed="false">
      <c r="A951" s="19"/>
      <c r="B951" s="19"/>
      <c r="C951" s="19"/>
      <c r="D951" s="19"/>
      <c r="E951" s="32"/>
      <c r="F951" s="19"/>
      <c r="G951" s="26" t="str">
        <f aca="false">IF(A951="","",COUNTIF(Pubs!$B$2:$B$3001,A951))</f>
        <v/>
      </c>
      <c r="H951" s="26" t="str">
        <f aca="false">IF(A951="","",COUNTIF(Apparitions!$H$2:$H$5001,A951))</f>
        <v/>
      </c>
      <c r="I951" s="26" t="str">
        <f aca="false">IF(A951="","",COUNTIFS(Apparitions!$H$2:$H$5001,A951,Apparitions!$E$2:$E$5001,"○"))</f>
        <v/>
      </c>
      <c r="J951" s="29" t="str">
        <f aca="false">IF(A951="","",IFERROR(1/(1/_xlfn.MINIFS(Apparitions!$L$2:$L$5001,Apparitions!$H$2:$H$5001,A951)),""))</f>
        <v/>
      </c>
    </row>
    <row r="952" customFormat="false" ht="15" hidden="false" customHeight="false" outlineLevel="0" collapsed="false">
      <c r="A952" s="19"/>
      <c r="B952" s="19"/>
      <c r="C952" s="19"/>
      <c r="D952" s="19"/>
      <c r="E952" s="32"/>
      <c r="F952" s="19"/>
      <c r="G952" s="26" t="str">
        <f aca="false">IF(A952="","",COUNTIF(Pubs!$B$2:$B$3001,A952))</f>
        <v/>
      </c>
      <c r="H952" s="26" t="str">
        <f aca="false">IF(A952="","",COUNTIF(Apparitions!$H$2:$H$5001,A952))</f>
        <v/>
      </c>
      <c r="I952" s="26" t="str">
        <f aca="false">IF(A952="","",COUNTIFS(Apparitions!$H$2:$H$5001,A952,Apparitions!$E$2:$E$5001,"○"))</f>
        <v/>
      </c>
      <c r="J952" s="29" t="str">
        <f aca="false">IF(A952="","",IFERROR(1/(1/_xlfn.MINIFS(Apparitions!$L$2:$L$5001,Apparitions!$H$2:$H$5001,A952)),""))</f>
        <v/>
      </c>
    </row>
    <row r="953" customFormat="false" ht="15" hidden="false" customHeight="false" outlineLevel="0" collapsed="false">
      <c r="A953" s="19"/>
      <c r="B953" s="19"/>
      <c r="C953" s="19"/>
      <c r="D953" s="19"/>
      <c r="E953" s="32"/>
      <c r="F953" s="19"/>
      <c r="G953" s="26" t="str">
        <f aca="false">IF(A953="","",COUNTIF(Pubs!$B$2:$B$3001,A953))</f>
        <v/>
      </c>
      <c r="H953" s="26" t="str">
        <f aca="false">IF(A953="","",COUNTIF(Apparitions!$H$2:$H$5001,A953))</f>
        <v/>
      </c>
      <c r="I953" s="26" t="str">
        <f aca="false">IF(A953="","",COUNTIFS(Apparitions!$H$2:$H$5001,A953,Apparitions!$E$2:$E$5001,"○"))</f>
        <v/>
      </c>
      <c r="J953" s="29" t="str">
        <f aca="false">IF(A953="","",IFERROR(1/(1/_xlfn.MINIFS(Apparitions!$L$2:$L$5001,Apparitions!$H$2:$H$5001,A953)),""))</f>
        <v/>
      </c>
    </row>
    <row r="954" customFormat="false" ht="15" hidden="false" customHeight="false" outlineLevel="0" collapsed="false">
      <c r="A954" s="19"/>
      <c r="B954" s="19"/>
      <c r="C954" s="19"/>
      <c r="D954" s="19"/>
      <c r="E954" s="32"/>
      <c r="F954" s="19"/>
      <c r="G954" s="26" t="str">
        <f aca="false">IF(A954="","",COUNTIF(Pubs!$B$2:$B$3001,A954))</f>
        <v/>
      </c>
      <c r="H954" s="26" t="str">
        <f aca="false">IF(A954="","",COUNTIF(Apparitions!$H$2:$H$5001,A954))</f>
        <v/>
      </c>
      <c r="I954" s="26" t="str">
        <f aca="false">IF(A954="","",COUNTIFS(Apparitions!$H$2:$H$5001,A954,Apparitions!$E$2:$E$5001,"○"))</f>
        <v/>
      </c>
      <c r="J954" s="29" t="str">
        <f aca="false">IF(A954="","",IFERROR(1/(1/_xlfn.MINIFS(Apparitions!$L$2:$L$5001,Apparitions!$H$2:$H$5001,A954)),""))</f>
        <v/>
      </c>
    </row>
    <row r="955" customFormat="false" ht="15" hidden="false" customHeight="false" outlineLevel="0" collapsed="false">
      <c r="A955" s="19"/>
      <c r="B955" s="19"/>
      <c r="C955" s="19"/>
      <c r="D955" s="19"/>
      <c r="E955" s="32"/>
      <c r="F955" s="19"/>
      <c r="G955" s="26" t="str">
        <f aca="false">IF(A955="","",COUNTIF(Pubs!$B$2:$B$3001,A955))</f>
        <v/>
      </c>
      <c r="H955" s="26" t="str">
        <f aca="false">IF(A955="","",COUNTIF(Apparitions!$H$2:$H$5001,A955))</f>
        <v/>
      </c>
      <c r="I955" s="26" t="str">
        <f aca="false">IF(A955="","",COUNTIFS(Apparitions!$H$2:$H$5001,A955,Apparitions!$E$2:$E$5001,"○"))</f>
        <v/>
      </c>
      <c r="J955" s="29" t="str">
        <f aca="false">IF(A955="","",IFERROR(1/(1/_xlfn.MINIFS(Apparitions!$L$2:$L$5001,Apparitions!$H$2:$H$5001,A955)),""))</f>
        <v/>
      </c>
    </row>
    <row r="956" customFormat="false" ht="15" hidden="false" customHeight="false" outlineLevel="0" collapsed="false">
      <c r="A956" s="19"/>
      <c r="B956" s="19"/>
      <c r="C956" s="19"/>
      <c r="D956" s="19"/>
      <c r="E956" s="32"/>
      <c r="F956" s="19"/>
      <c r="G956" s="26" t="str">
        <f aca="false">IF(A956="","",COUNTIF(Pubs!$B$2:$B$3001,A956))</f>
        <v/>
      </c>
      <c r="H956" s="26" t="str">
        <f aca="false">IF(A956="","",COUNTIF(Apparitions!$H$2:$H$5001,A956))</f>
        <v/>
      </c>
      <c r="I956" s="26" t="str">
        <f aca="false">IF(A956="","",COUNTIFS(Apparitions!$H$2:$H$5001,A956,Apparitions!$E$2:$E$5001,"○"))</f>
        <v/>
      </c>
      <c r="J956" s="29" t="str">
        <f aca="false">IF(A956="","",IFERROR(1/(1/_xlfn.MINIFS(Apparitions!$L$2:$L$5001,Apparitions!$H$2:$H$5001,A956)),""))</f>
        <v/>
      </c>
    </row>
    <row r="957" customFormat="false" ht="15" hidden="false" customHeight="false" outlineLevel="0" collapsed="false">
      <c r="A957" s="19"/>
      <c r="B957" s="19"/>
      <c r="C957" s="19"/>
      <c r="D957" s="19"/>
      <c r="E957" s="32"/>
      <c r="F957" s="19"/>
      <c r="G957" s="26" t="str">
        <f aca="false">IF(A957="","",COUNTIF(Pubs!$B$2:$B$3001,A957))</f>
        <v/>
      </c>
      <c r="H957" s="26" t="str">
        <f aca="false">IF(A957="","",COUNTIF(Apparitions!$H$2:$H$5001,A957))</f>
        <v/>
      </c>
      <c r="I957" s="26" t="str">
        <f aca="false">IF(A957="","",COUNTIFS(Apparitions!$H$2:$H$5001,A957,Apparitions!$E$2:$E$5001,"○"))</f>
        <v/>
      </c>
      <c r="J957" s="29" t="str">
        <f aca="false">IF(A957="","",IFERROR(1/(1/_xlfn.MINIFS(Apparitions!$L$2:$L$5001,Apparitions!$H$2:$H$5001,A957)),""))</f>
        <v/>
      </c>
    </row>
    <row r="958" customFormat="false" ht="15" hidden="false" customHeight="false" outlineLevel="0" collapsed="false">
      <c r="A958" s="19"/>
      <c r="B958" s="19"/>
      <c r="C958" s="19"/>
      <c r="D958" s="19"/>
      <c r="E958" s="32"/>
      <c r="F958" s="19"/>
      <c r="G958" s="26" t="str">
        <f aca="false">IF(A958="","",COUNTIF(Pubs!$B$2:$B$3001,A958))</f>
        <v/>
      </c>
      <c r="H958" s="26" t="str">
        <f aca="false">IF(A958="","",COUNTIF(Apparitions!$H$2:$H$5001,A958))</f>
        <v/>
      </c>
      <c r="I958" s="26" t="str">
        <f aca="false">IF(A958="","",COUNTIFS(Apparitions!$H$2:$H$5001,A958,Apparitions!$E$2:$E$5001,"○"))</f>
        <v/>
      </c>
      <c r="J958" s="29" t="str">
        <f aca="false">IF(A958="","",IFERROR(1/(1/_xlfn.MINIFS(Apparitions!$L$2:$L$5001,Apparitions!$H$2:$H$5001,A958)),""))</f>
        <v/>
      </c>
    </row>
    <row r="959" customFormat="false" ht="15" hidden="false" customHeight="false" outlineLevel="0" collapsed="false">
      <c r="A959" s="19"/>
      <c r="B959" s="19"/>
      <c r="C959" s="19"/>
      <c r="D959" s="19"/>
      <c r="E959" s="32"/>
      <c r="F959" s="19"/>
      <c r="G959" s="26" t="str">
        <f aca="false">IF(A959="","",COUNTIF(Pubs!$B$2:$B$3001,A959))</f>
        <v/>
      </c>
      <c r="H959" s="26" t="str">
        <f aca="false">IF(A959="","",COUNTIF(Apparitions!$H$2:$H$5001,A959))</f>
        <v/>
      </c>
      <c r="I959" s="26" t="str">
        <f aca="false">IF(A959="","",COUNTIFS(Apparitions!$H$2:$H$5001,A959,Apparitions!$E$2:$E$5001,"○"))</f>
        <v/>
      </c>
      <c r="J959" s="29" t="str">
        <f aca="false">IF(A959="","",IFERROR(1/(1/_xlfn.MINIFS(Apparitions!$L$2:$L$5001,Apparitions!$H$2:$H$5001,A959)),""))</f>
        <v/>
      </c>
    </row>
    <row r="960" customFormat="false" ht="15" hidden="false" customHeight="false" outlineLevel="0" collapsed="false">
      <c r="A960" s="19"/>
      <c r="B960" s="19"/>
      <c r="C960" s="19"/>
      <c r="D960" s="19"/>
      <c r="E960" s="32"/>
      <c r="F960" s="19"/>
      <c r="G960" s="26" t="str">
        <f aca="false">IF(A960="","",COUNTIF(Pubs!$B$2:$B$3001,A960))</f>
        <v/>
      </c>
      <c r="H960" s="26" t="str">
        <f aca="false">IF(A960="","",COUNTIF(Apparitions!$H$2:$H$5001,A960))</f>
        <v/>
      </c>
      <c r="I960" s="26" t="str">
        <f aca="false">IF(A960="","",COUNTIFS(Apparitions!$H$2:$H$5001,A960,Apparitions!$E$2:$E$5001,"○"))</f>
        <v/>
      </c>
      <c r="J960" s="29" t="str">
        <f aca="false">IF(A960="","",IFERROR(1/(1/_xlfn.MINIFS(Apparitions!$L$2:$L$5001,Apparitions!$H$2:$H$5001,A960)),""))</f>
        <v/>
      </c>
    </row>
    <row r="961" customFormat="false" ht="15" hidden="false" customHeight="false" outlineLevel="0" collapsed="false">
      <c r="A961" s="19"/>
      <c r="B961" s="19"/>
      <c r="C961" s="19"/>
      <c r="D961" s="19"/>
      <c r="E961" s="32"/>
      <c r="F961" s="19"/>
      <c r="G961" s="26" t="str">
        <f aca="false">IF(A961="","",COUNTIF(Pubs!$B$2:$B$3001,A961))</f>
        <v/>
      </c>
      <c r="H961" s="26" t="str">
        <f aca="false">IF(A961="","",COUNTIF(Apparitions!$H$2:$H$5001,A961))</f>
        <v/>
      </c>
      <c r="I961" s="26" t="str">
        <f aca="false">IF(A961="","",COUNTIFS(Apparitions!$H$2:$H$5001,A961,Apparitions!$E$2:$E$5001,"○"))</f>
        <v/>
      </c>
      <c r="J961" s="29" t="str">
        <f aca="false">IF(A961="","",IFERROR(1/(1/_xlfn.MINIFS(Apparitions!$L$2:$L$5001,Apparitions!$H$2:$H$5001,A961)),""))</f>
        <v/>
      </c>
    </row>
    <row r="962" customFormat="false" ht="15" hidden="false" customHeight="false" outlineLevel="0" collapsed="false">
      <c r="A962" s="19"/>
      <c r="B962" s="19"/>
      <c r="C962" s="19"/>
      <c r="D962" s="19"/>
      <c r="E962" s="32"/>
      <c r="F962" s="19"/>
      <c r="G962" s="26" t="str">
        <f aca="false">IF(A962="","",COUNTIF(Pubs!$B$2:$B$3001,A962))</f>
        <v/>
      </c>
      <c r="H962" s="26" t="str">
        <f aca="false">IF(A962="","",COUNTIF(Apparitions!$H$2:$H$5001,A962))</f>
        <v/>
      </c>
      <c r="I962" s="26" t="str">
        <f aca="false">IF(A962="","",COUNTIFS(Apparitions!$H$2:$H$5001,A962,Apparitions!$E$2:$E$5001,"○"))</f>
        <v/>
      </c>
      <c r="J962" s="29" t="str">
        <f aca="false">IF(A962="","",IFERROR(1/(1/_xlfn.MINIFS(Apparitions!$L$2:$L$5001,Apparitions!$H$2:$H$5001,A962)),""))</f>
        <v/>
      </c>
    </row>
    <row r="963" customFormat="false" ht="15" hidden="false" customHeight="false" outlineLevel="0" collapsed="false">
      <c r="A963" s="19"/>
      <c r="B963" s="19"/>
      <c r="C963" s="19"/>
      <c r="D963" s="19"/>
      <c r="E963" s="32"/>
      <c r="F963" s="19"/>
      <c r="G963" s="26" t="str">
        <f aca="false">IF(A963="","",COUNTIF(Pubs!$B$2:$B$3001,A963))</f>
        <v/>
      </c>
      <c r="H963" s="26" t="str">
        <f aca="false">IF(A963="","",COUNTIF(Apparitions!$H$2:$H$5001,A963))</f>
        <v/>
      </c>
      <c r="I963" s="26" t="str">
        <f aca="false">IF(A963="","",COUNTIFS(Apparitions!$H$2:$H$5001,A963,Apparitions!$E$2:$E$5001,"○"))</f>
        <v/>
      </c>
      <c r="J963" s="29" t="str">
        <f aca="false">IF(A963="","",IFERROR(1/(1/_xlfn.MINIFS(Apparitions!$L$2:$L$5001,Apparitions!$H$2:$H$5001,A963)),""))</f>
        <v/>
      </c>
    </row>
    <row r="964" customFormat="false" ht="15" hidden="false" customHeight="false" outlineLevel="0" collapsed="false">
      <c r="A964" s="19"/>
      <c r="B964" s="19"/>
      <c r="C964" s="19"/>
      <c r="D964" s="19"/>
      <c r="E964" s="32"/>
      <c r="F964" s="19"/>
      <c r="G964" s="26" t="str">
        <f aca="false">IF(A964="","",COUNTIF(Pubs!$B$2:$B$3001,A964))</f>
        <v/>
      </c>
      <c r="H964" s="26" t="str">
        <f aca="false">IF(A964="","",COUNTIF(Apparitions!$H$2:$H$5001,A964))</f>
        <v/>
      </c>
      <c r="I964" s="26" t="str">
        <f aca="false">IF(A964="","",COUNTIFS(Apparitions!$H$2:$H$5001,A964,Apparitions!$E$2:$E$5001,"○"))</f>
        <v/>
      </c>
      <c r="J964" s="29" t="str">
        <f aca="false">IF(A964="","",IFERROR(1/(1/_xlfn.MINIFS(Apparitions!$L$2:$L$5001,Apparitions!$H$2:$H$5001,A964)),""))</f>
        <v/>
      </c>
    </row>
    <row r="965" customFormat="false" ht="15" hidden="false" customHeight="false" outlineLevel="0" collapsed="false">
      <c r="A965" s="19"/>
      <c r="B965" s="19"/>
      <c r="C965" s="19"/>
      <c r="D965" s="19"/>
      <c r="E965" s="32"/>
      <c r="F965" s="19"/>
      <c r="G965" s="26" t="str">
        <f aca="false">IF(A965="","",COUNTIF(Pubs!$B$2:$B$3001,A965))</f>
        <v/>
      </c>
      <c r="H965" s="26" t="str">
        <f aca="false">IF(A965="","",COUNTIF(Apparitions!$H$2:$H$5001,A965))</f>
        <v/>
      </c>
      <c r="I965" s="26" t="str">
        <f aca="false">IF(A965="","",COUNTIFS(Apparitions!$H$2:$H$5001,A965,Apparitions!$E$2:$E$5001,"○"))</f>
        <v/>
      </c>
      <c r="J965" s="29" t="str">
        <f aca="false">IF(A965="","",IFERROR(1/(1/_xlfn.MINIFS(Apparitions!$L$2:$L$5001,Apparitions!$H$2:$H$5001,A965)),""))</f>
        <v/>
      </c>
    </row>
    <row r="966" customFormat="false" ht="15" hidden="false" customHeight="false" outlineLevel="0" collapsed="false">
      <c r="A966" s="19"/>
      <c r="B966" s="19"/>
      <c r="C966" s="19"/>
      <c r="D966" s="19"/>
      <c r="E966" s="32"/>
      <c r="F966" s="19"/>
      <c r="G966" s="26" t="str">
        <f aca="false">IF(A966="","",COUNTIF(Pubs!$B$2:$B$3001,A966))</f>
        <v/>
      </c>
      <c r="H966" s="26" t="str">
        <f aca="false">IF(A966="","",COUNTIF(Apparitions!$H$2:$H$5001,A966))</f>
        <v/>
      </c>
      <c r="I966" s="26" t="str">
        <f aca="false">IF(A966="","",COUNTIFS(Apparitions!$H$2:$H$5001,A966,Apparitions!$E$2:$E$5001,"○"))</f>
        <v/>
      </c>
      <c r="J966" s="29" t="str">
        <f aca="false">IF(A966="","",IFERROR(1/(1/_xlfn.MINIFS(Apparitions!$L$2:$L$5001,Apparitions!$H$2:$H$5001,A966)),""))</f>
        <v/>
      </c>
    </row>
    <row r="967" customFormat="false" ht="15" hidden="false" customHeight="false" outlineLevel="0" collapsed="false">
      <c r="A967" s="19"/>
      <c r="B967" s="19"/>
      <c r="C967" s="19"/>
      <c r="D967" s="19"/>
      <c r="E967" s="32"/>
      <c r="F967" s="19"/>
      <c r="G967" s="26" t="str">
        <f aca="false">IF(A967="","",COUNTIF(Pubs!$B$2:$B$3001,A967))</f>
        <v/>
      </c>
      <c r="H967" s="26" t="str">
        <f aca="false">IF(A967="","",COUNTIF(Apparitions!$H$2:$H$5001,A967))</f>
        <v/>
      </c>
      <c r="I967" s="26" t="str">
        <f aca="false">IF(A967="","",COUNTIFS(Apparitions!$H$2:$H$5001,A967,Apparitions!$E$2:$E$5001,"○"))</f>
        <v/>
      </c>
      <c r="J967" s="29" t="str">
        <f aca="false">IF(A967="","",IFERROR(1/(1/_xlfn.MINIFS(Apparitions!$L$2:$L$5001,Apparitions!$H$2:$H$5001,A967)),""))</f>
        <v/>
      </c>
    </row>
    <row r="968" customFormat="false" ht="15" hidden="false" customHeight="false" outlineLevel="0" collapsed="false">
      <c r="A968" s="19"/>
      <c r="B968" s="19"/>
      <c r="C968" s="19"/>
      <c r="D968" s="19"/>
      <c r="E968" s="32"/>
      <c r="F968" s="19"/>
      <c r="G968" s="26" t="str">
        <f aca="false">IF(A968="","",COUNTIF(Pubs!$B$2:$B$3001,A968))</f>
        <v/>
      </c>
      <c r="H968" s="26" t="str">
        <f aca="false">IF(A968="","",COUNTIF(Apparitions!$H$2:$H$5001,A968))</f>
        <v/>
      </c>
      <c r="I968" s="26" t="str">
        <f aca="false">IF(A968="","",COUNTIFS(Apparitions!$H$2:$H$5001,A968,Apparitions!$E$2:$E$5001,"○"))</f>
        <v/>
      </c>
      <c r="J968" s="29" t="str">
        <f aca="false">IF(A968="","",IFERROR(1/(1/_xlfn.MINIFS(Apparitions!$L$2:$L$5001,Apparitions!$H$2:$H$5001,A968)),""))</f>
        <v/>
      </c>
    </row>
    <row r="969" customFormat="false" ht="15" hidden="false" customHeight="false" outlineLevel="0" collapsed="false">
      <c r="A969" s="19"/>
      <c r="B969" s="19"/>
      <c r="C969" s="19"/>
      <c r="D969" s="19"/>
      <c r="E969" s="32"/>
      <c r="F969" s="19"/>
      <c r="G969" s="26" t="str">
        <f aca="false">IF(A969="","",COUNTIF(Pubs!$B$2:$B$3001,A969))</f>
        <v/>
      </c>
      <c r="H969" s="26" t="str">
        <f aca="false">IF(A969="","",COUNTIF(Apparitions!$H$2:$H$5001,A969))</f>
        <v/>
      </c>
      <c r="I969" s="26" t="str">
        <f aca="false">IF(A969="","",COUNTIFS(Apparitions!$H$2:$H$5001,A969,Apparitions!$E$2:$E$5001,"○"))</f>
        <v/>
      </c>
      <c r="J969" s="29" t="str">
        <f aca="false">IF(A969="","",IFERROR(1/(1/_xlfn.MINIFS(Apparitions!$L$2:$L$5001,Apparitions!$H$2:$H$5001,A969)),""))</f>
        <v/>
      </c>
    </row>
    <row r="970" customFormat="false" ht="15" hidden="false" customHeight="false" outlineLevel="0" collapsed="false">
      <c r="A970" s="19"/>
      <c r="B970" s="19"/>
      <c r="C970" s="19"/>
      <c r="D970" s="19"/>
      <c r="E970" s="32"/>
      <c r="F970" s="19"/>
      <c r="G970" s="26" t="str">
        <f aca="false">IF(A970="","",COUNTIF(Pubs!$B$2:$B$3001,A970))</f>
        <v/>
      </c>
      <c r="H970" s="26" t="str">
        <f aca="false">IF(A970="","",COUNTIF(Apparitions!$H$2:$H$5001,A970))</f>
        <v/>
      </c>
      <c r="I970" s="26" t="str">
        <f aca="false">IF(A970="","",COUNTIFS(Apparitions!$H$2:$H$5001,A970,Apparitions!$E$2:$E$5001,"○"))</f>
        <v/>
      </c>
      <c r="J970" s="29" t="str">
        <f aca="false">IF(A970="","",IFERROR(1/(1/_xlfn.MINIFS(Apparitions!$L$2:$L$5001,Apparitions!$H$2:$H$5001,A970)),""))</f>
        <v/>
      </c>
    </row>
    <row r="971" customFormat="false" ht="15" hidden="false" customHeight="false" outlineLevel="0" collapsed="false">
      <c r="A971" s="19"/>
      <c r="B971" s="19"/>
      <c r="C971" s="19"/>
      <c r="D971" s="19"/>
      <c r="E971" s="32"/>
      <c r="F971" s="19"/>
      <c r="G971" s="26" t="str">
        <f aca="false">IF(A971="","",COUNTIF(Pubs!$B$2:$B$3001,A971))</f>
        <v/>
      </c>
      <c r="H971" s="26" t="str">
        <f aca="false">IF(A971="","",COUNTIF(Apparitions!$H$2:$H$5001,A971))</f>
        <v/>
      </c>
      <c r="I971" s="26" t="str">
        <f aca="false">IF(A971="","",COUNTIFS(Apparitions!$H$2:$H$5001,A971,Apparitions!$E$2:$E$5001,"○"))</f>
        <v/>
      </c>
      <c r="J971" s="29" t="str">
        <f aca="false">IF(A971="","",IFERROR(1/(1/_xlfn.MINIFS(Apparitions!$L$2:$L$5001,Apparitions!$H$2:$H$5001,A971)),""))</f>
        <v/>
      </c>
    </row>
    <row r="972" customFormat="false" ht="15" hidden="false" customHeight="false" outlineLevel="0" collapsed="false">
      <c r="A972" s="19"/>
      <c r="B972" s="19"/>
      <c r="C972" s="19"/>
      <c r="D972" s="19"/>
      <c r="E972" s="32"/>
      <c r="F972" s="19"/>
      <c r="G972" s="26" t="str">
        <f aca="false">IF(A972="","",COUNTIF(Pubs!$B$2:$B$3001,A972))</f>
        <v/>
      </c>
      <c r="H972" s="26" t="str">
        <f aca="false">IF(A972="","",COUNTIF(Apparitions!$H$2:$H$5001,A972))</f>
        <v/>
      </c>
      <c r="I972" s="26" t="str">
        <f aca="false">IF(A972="","",COUNTIFS(Apparitions!$H$2:$H$5001,A972,Apparitions!$E$2:$E$5001,"○"))</f>
        <v/>
      </c>
      <c r="J972" s="29" t="str">
        <f aca="false">IF(A972="","",IFERROR(1/(1/_xlfn.MINIFS(Apparitions!$L$2:$L$5001,Apparitions!$H$2:$H$5001,A972)),""))</f>
        <v/>
      </c>
    </row>
    <row r="973" customFormat="false" ht="15" hidden="false" customHeight="false" outlineLevel="0" collapsed="false">
      <c r="A973" s="19"/>
      <c r="B973" s="19"/>
      <c r="C973" s="19"/>
      <c r="D973" s="19"/>
      <c r="E973" s="32"/>
      <c r="F973" s="19"/>
      <c r="G973" s="26" t="str">
        <f aca="false">IF(A973="","",COUNTIF(Pubs!$B$2:$B$3001,A973))</f>
        <v/>
      </c>
      <c r="H973" s="26" t="str">
        <f aca="false">IF(A973="","",COUNTIF(Apparitions!$H$2:$H$5001,A973))</f>
        <v/>
      </c>
      <c r="I973" s="26" t="str">
        <f aca="false">IF(A973="","",COUNTIFS(Apparitions!$H$2:$H$5001,A973,Apparitions!$E$2:$E$5001,"○"))</f>
        <v/>
      </c>
      <c r="J973" s="29" t="str">
        <f aca="false">IF(A973="","",IFERROR(1/(1/_xlfn.MINIFS(Apparitions!$L$2:$L$5001,Apparitions!$H$2:$H$5001,A973)),""))</f>
        <v/>
      </c>
    </row>
    <row r="974" customFormat="false" ht="15" hidden="false" customHeight="false" outlineLevel="0" collapsed="false">
      <c r="A974" s="19"/>
      <c r="B974" s="19"/>
      <c r="C974" s="19"/>
      <c r="D974" s="19"/>
      <c r="E974" s="32"/>
      <c r="F974" s="19"/>
      <c r="G974" s="26" t="str">
        <f aca="false">IF(A974="","",COUNTIF(Pubs!$B$2:$B$3001,A974))</f>
        <v/>
      </c>
      <c r="H974" s="26" t="str">
        <f aca="false">IF(A974="","",COUNTIF(Apparitions!$H$2:$H$5001,A974))</f>
        <v/>
      </c>
      <c r="I974" s="26" t="str">
        <f aca="false">IF(A974="","",COUNTIFS(Apparitions!$H$2:$H$5001,A974,Apparitions!$E$2:$E$5001,"○"))</f>
        <v/>
      </c>
      <c r="J974" s="29" t="str">
        <f aca="false">IF(A974="","",IFERROR(1/(1/_xlfn.MINIFS(Apparitions!$L$2:$L$5001,Apparitions!$H$2:$H$5001,A974)),""))</f>
        <v/>
      </c>
    </row>
    <row r="975" customFormat="false" ht="15" hidden="false" customHeight="false" outlineLevel="0" collapsed="false">
      <c r="A975" s="19"/>
      <c r="B975" s="19"/>
      <c r="C975" s="19"/>
      <c r="D975" s="19"/>
      <c r="E975" s="32"/>
      <c r="F975" s="19"/>
      <c r="G975" s="26" t="str">
        <f aca="false">IF(A975="","",COUNTIF(Pubs!$B$2:$B$3001,A975))</f>
        <v/>
      </c>
      <c r="H975" s="26" t="str">
        <f aca="false">IF(A975="","",COUNTIF(Apparitions!$H$2:$H$5001,A975))</f>
        <v/>
      </c>
      <c r="I975" s="26" t="str">
        <f aca="false">IF(A975="","",COUNTIFS(Apparitions!$H$2:$H$5001,A975,Apparitions!$E$2:$E$5001,"○"))</f>
        <v/>
      </c>
      <c r="J975" s="29" t="str">
        <f aca="false">IF(A975="","",IFERROR(1/(1/_xlfn.MINIFS(Apparitions!$L$2:$L$5001,Apparitions!$H$2:$H$5001,A975)),""))</f>
        <v/>
      </c>
    </row>
    <row r="976" customFormat="false" ht="15" hidden="false" customHeight="false" outlineLevel="0" collapsed="false">
      <c r="A976" s="19"/>
      <c r="B976" s="19"/>
      <c r="C976" s="19"/>
      <c r="D976" s="19"/>
      <c r="E976" s="32"/>
      <c r="F976" s="19"/>
      <c r="G976" s="26" t="str">
        <f aca="false">IF(A976="","",COUNTIF(Pubs!$B$2:$B$3001,A976))</f>
        <v/>
      </c>
      <c r="H976" s="26" t="str">
        <f aca="false">IF(A976="","",COUNTIF(Apparitions!$H$2:$H$5001,A976))</f>
        <v/>
      </c>
      <c r="I976" s="26" t="str">
        <f aca="false">IF(A976="","",COUNTIFS(Apparitions!$H$2:$H$5001,A976,Apparitions!$E$2:$E$5001,"○"))</f>
        <v/>
      </c>
      <c r="J976" s="29" t="str">
        <f aca="false">IF(A976="","",IFERROR(1/(1/_xlfn.MINIFS(Apparitions!$L$2:$L$5001,Apparitions!$H$2:$H$5001,A976)),""))</f>
        <v/>
      </c>
    </row>
    <row r="977" customFormat="false" ht="15" hidden="false" customHeight="false" outlineLevel="0" collapsed="false">
      <c r="A977" s="19"/>
      <c r="B977" s="19"/>
      <c r="C977" s="19"/>
      <c r="D977" s="19"/>
      <c r="E977" s="32"/>
      <c r="F977" s="19"/>
      <c r="G977" s="26" t="str">
        <f aca="false">IF(A977="","",COUNTIF(Pubs!$B$2:$B$3001,A977))</f>
        <v/>
      </c>
      <c r="H977" s="26" t="str">
        <f aca="false">IF(A977="","",COUNTIF(Apparitions!$H$2:$H$5001,A977))</f>
        <v/>
      </c>
      <c r="I977" s="26" t="str">
        <f aca="false">IF(A977="","",COUNTIFS(Apparitions!$H$2:$H$5001,A977,Apparitions!$E$2:$E$5001,"○"))</f>
        <v/>
      </c>
      <c r="J977" s="29" t="str">
        <f aca="false">IF(A977="","",IFERROR(1/(1/_xlfn.MINIFS(Apparitions!$L$2:$L$5001,Apparitions!$H$2:$H$5001,A977)),""))</f>
        <v/>
      </c>
    </row>
    <row r="978" customFormat="false" ht="15" hidden="false" customHeight="false" outlineLevel="0" collapsed="false">
      <c r="A978" s="19"/>
      <c r="B978" s="19"/>
      <c r="C978" s="19"/>
      <c r="D978" s="19"/>
      <c r="E978" s="32"/>
      <c r="F978" s="19"/>
      <c r="G978" s="26" t="str">
        <f aca="false">IF(A978="","",COUNTIF(Pubs!$B$2:$B$3001,A978))</f>
        <v/>
      </c>
      <c r="H978" s="26" t="str">
        <f aca="false">IF(A978="","",COUNTIF(Apparitions!$H$2:$H$5001,A978))</f>
        <v/>
      </c>
      <c r="I978" s="26" t="str">
        <f aca="false">IF(A978="","",COUNTIFS(Apparitions!$H$2:$H$5001,A978,Apparitions!$E$2:$E$5001,"○"))</f>
        <v/>
      </c>
      <c r="J978" s="29" t="str">
        <f aca="false">IF(A978="","",IFERROR(1/(1/_xlfn.MINIFS(Apparitions!$L$2:$L$5001,Apparitions!$H$2:$H$5001,A978)),""))</f>
        <v/>
      </c>
    </row>
    <row r="979" customFormat="false" ht="15" hidden="false" customHeight="false" outlineLevel="0" collapsed="false">
      <c r="A979" s="19"/>
      <c r="B979" s="19"/>
      <c r="C979" s="19"/>
      <c r="D979" s="19"/>
      <c r="E979" s="32"/>
      <c r="F979" s="19"/>
      <c r="G979" s="26" t="str">
        <f aca="false">IF(A979="","",COUNTIF(Pubs!$B$2:$B$3001,A979))</f>
        <v/>
      </c>
      <c r="H979" s="26" t="str">
        <f aca="false">IF(A979="","",COUNTIF(Apparitions!$H$2:$H$5001,A979))</f>
        <v/>
      </c>
      <c r="I979" s="26" t="str">
        <f aca="false">IF(A979="","",COUNTIFS(Apparitions!$H$2:$H$5001,A979,Apparitions!$E$2:$E$5001,"○"))</f>
        <v/>
      </c>
      <c r="J979" s="29" t="str">
        <f aca="false">IF(A979="","",IFERROR(1/(1/_xlfn.MINIFS(Apparitions!$L$2:$L$5001,Apparitions!$H$2:$H$5001,A979)),""))</f>
        <v/>
      </c>
    </row>
    <row r="980" customFormat="false" ht="15" hidden="false" customHeight="false" outlineLevel="0" collapsed="false">
      <c r="A980" s="19"/>
      <c r="B980" s="19"/>
      <c r="C980" s="19"/>
      <c r="D980" s="19"/>
      <c r="E980" s="32"/>
      <c r="F980" s="19"/>
      <c r="G980" s="26" t="str">
        <f aca="false">IF(A980="","",COUNTIF(Pubs!$B$2:$B$3001,A980))</f>
        <v/>
      </c>
      <c r="H980" s="26" t="str">
        <f aca="false">IF(A980="","",COUNTIF(Apparitions!$H$2:$H$5001,A980))</f>
        <v/>
      </c>
      <c r="I980" s="26" t="str">
        <f aca="false">IF(A980="","",COUNTIFS(Apparitions!$H$2:$H$5001,A980,Apparitions!$E$2:$E$5001,"○"))</f>
        <v/>
      </c>
      <c r="J980" s="29" t="str">
        <f aca="false">IF(A980="","",IFERROR(1/(1/_xlfn.MINIFS(Apparitions!$L$2:$L$5001,Apparitions!$H$2:$H$5001,A980)),""))</f>
        <v/>
      </c>
    </row>
    <row r="981" customFormat="false" ht="15" hidden="false" customHeight="false" outlineLevel="0" collapsed="false">
      <c r="A981" s="19"/>
      <c r="B981" s="19"/>
      <c r="C981" s="19"/>
      <c r="D981" s="19"/>
      <c r="E981" s="32"/>
      <c r="F981" s="19"/>
      <c r="G981" s="26" t="str">
        <f aca="false">IF(A981="","",COUNTIF(Pubs!$B$2:$B$3001,A981))</f>
        <v/>
      </c>
      <c r="H981" s="26" t="str">
        <f aca="false">IF(A981="","",COUNTIF(Apparitions!$H$2:$H$5001,A981))</f>
        <v/>
      </c>
      <c r="I981" s="26" t="str">
        <f aca="false">IF(A981="","",COUNTIFS(Apparitions!$H$2:$H$5001,A981,Apparitions!$E$2:$E$5001,"○"))</f>
        <v/>
      </c>
      <c r="J981" s="29" t="str">
        <f aca="false">IF(A981="","",IFERROR(1/(1/_xlfn.MINIFS(Apparitions!$L$2:$L$5001,Apparitions!$H$2:$H$5001,A981)),""))</f>
        <v/>
      </c>
    </row>
    <row r="982" customFormat="false" ht="15" hidden="false" customHeight="false" outlineLevel="0" collapsed="false">
      <c r="A982" s="19"/>
      <c r="B982" s="19"/>
      <c r="C982" s="19"/>
      <c r="D982" s="19"/>
      <c r="E982" s="32"/>
      <c r="F982" s="19"/>
      <c r="G982" s="26" t="str">
        <f aca="false">IF(A982="","",COUNTIF(Pubs!$B$2:$B$3001,A982))</f>
        <v/>
      </c>
      <c r="H982" s="26" t="str">
        <f aca="false">IF(A982="","",COUNTIF(Apparitions!$H$2:$H$5001,A982))</f>
        <v/>
      </c>
      <c r="I982" s="26" t="str">
        <f aca="false">IF(A982="","",COUNTIFS(Apparitions!$H$2:$H$5001,A982,Apparitions!$E$2:$E$5001,"○"))</f>
        <v/>
      </c>
      <c r="J982" s="29" t="str">
        <f aca="false">IF(A982="","",IFERROR(1/(1/_xlfn.MINIFS(Apparitions!$L$2:$L$5001,Apparitions!$H$2:$H$5001,A982)),""))</f>
        <v/>
      </c>
    </row>
    <row r="983" customFormat="false" ht="15" hidden="false" customHeight="false" outlineLevel="0" collapsed="false">
      <c r="A983" s="19"/>
      <c r="B983" s="19"/>
      <c r="C983" s="19"/>
      <c r="D983" s="19"/>
      <c r="E983" s="32"/>
      <c r="F983" s="19"/>
      <c r="G983" s="26" t="str">
        <f aca="false">IF(A983="","",COUNTIF(Pubs!$B$2:$B$3001,A983))</f>
        <v/>
      </c>
      <c r="H983" s="26" t="str">
        <f aca="false">IF(A983="","",COUNTIF(Apparitions!$H$2:$H$5001,A983))</f>
        <v/>
      </c>
      <c r="I983" s="26" t="str">
        <f aca="false">IF(A983="","",COUNTIFS(Apparitions!$H$2:$H$5001,A983,Apparitions!$E$2:$E$5001,"○"))</f>
        <v/>
      </c>
      <c r="J983" s="29" t="str">
        <f aca="false">IF(A983="","",IFERROR(1/(1/_xlfn.MINIFS(Apparitions!$L$2:$L$5001,Apparitions!$H$2:$H$5001,A983)),""))</f>
        <v/>
      </c>
    </row>
    <row r="984" customFormat="false" ht="15" hidden="false" customHeight="false" outlineLevel="0" collapsed="false">
      <c r="A984" s="19"/>
      <c r="B984" s="19"/>
      <c r="C984" s="19"/>
      <c r="D984" s="19"/>
      <c r="E984" s="32"/>
      <c r="F984" s="19"/>
      <c r="G984" s="26" t="str">
        <f aca="false">IF(A984="","",COUNTIF(Pubs!$B$2:$B$3001,A984))</f>
        <v/>
      </c>
      <c r="H984" s="26" t="str">
        <f aca="false">IF(A984="","",COUNTIF(Apparitions!$H$2:$H$5001,A984))</f>
        <v/>
      </c>
      <c r="I984" s="26" t="str">
        <f aca="false">IF(A984="","",COUNTIFS(Apparitions!$H$2:$H$5001,A984,Apparitions!$E$2:$E$5001,"○"))</f>
        <v/>
      </c>
      <c r="J984" s="29" t="str">
        <f aca="false">IF(A984="","",IFERROR(1/(1/_xlfn.MINIFS(Apparitions!$L$2:$L$5001,Apparitions!$H$2:$H$5001,A984)),""))</f>
        <v/>
      </c>
    </row>
    <row r="985" customFormat="false" ht="15" hidden="false" customHeight="false" outlineLevel="0" collapsed="false">
      <c r="A985" s="19"/>
      <c r="B985" s="19"/>
      <c r="C985" s="19"/>
      <c r="D985" s="19"/>
      <c r="E985" s="32"/>
      <c r="F985" s="19"/>
      <c r="G985" s="26" t="str">
        <f aca="false">IF(A985="","",COUNTIF(Pubs!$B$2:$B$3001,A985))</f>
        <v/>
      </c>
      <c r="H985" s="26" t="str">
        <f aca="false">IF(A985="","",COUNTIF(Apparitions!$H$2:$H$5001,A985))</f>
        <v/>
      </c>
      <c r="I985" s="26" t="str">
        <f aca="false">IF(A985="","",COUNTIFS(Apparitions!$H$2:$H$5001,A985,Apparitions!$E$2:$E$5001,"○"))</f>
        <v/>
      </c>
      <c r="J985" s="29" t="str">
        <f aca="false">IF(A985="","",IFERROR(1/(1/_xlfn.MINIFS(Apparitions!$L$2:$L$5001,Apparitions!$H$2:$H$5001,A985)),""))</f>
        <v/>
      </c>
    </row>
    <row r="986" customFormat="false" ht="15" hidden="false" customHeight="false" outlineLevel="0" collapsed="false">
      <c r="A986" s="19"/>
      <c r="B986" s="19"/>
      <c r="C986" s="19"/>
      <c r="D986" s="19"/>
      <c r="E986" s="32"/>
      <c r="F986" s="19"/>
      <c r="G986" s="26" t="str">
        <f aca="false">IF(A986="","",COUNTIF(Pubs!$B$2:$B$3001,A986))</f>
        <v/>
      </c>
      <c r="H986" s="26" t="str">
        <f aca="false">IF(A986="","",COUNTIF(Apparitions!$H$2:$H$5001,A986))</f>
        <v/>
      </c>
      <c r="I986" s="26" t="str">
        <f aca="false">IF(A986="","",COUNTIFS(Apparitions!$H$2:$H$5001,A986,Apparitions!$E$2:$E$5001,"○"))</f>
        <v/>
      </c>
      <c r="J986" s="29" t="str">
        <f aca="false">IF(A986="","",IFERROR(1/(1/_xlfn.MINIFS(Apparitions!$L$2:$L$5001,Apparitions!$H$2:$H$5001,A986)),""))</f>
        <v/>
      </c>
    </row>
    <row r="987" customFormat="false" ht="15" hidden="false" customHeight="false" outlineLevel="0" collapsed="false">
      <c r="A987" s="19"/>
      <c r="B987" s="19"/>
      <c r="C987" s="19"/>
      <c r="D987" s="19"/>
      <c r="E987" s="32"/>
      <c r="F987" s="19"/>
      <c r="G987" s="26" t="str">
        <f aca="false">IF(A987="","",COUNTIF(Pubs!$B$2:$B$3001,A987))</f>
        <v/>
      </c>
      <c r="H987" s="26" t="str">
        <f aca="false">IF(A987="","",COUNTIF(Apparitions!$H$2:$H$5001,A987))</f>
        <v/>
      </c>
      <c r="I987" s="26" t="str">
        <f aca="false">IF(A987="","",COUNTIFS(Apparitions!$H$2:$H$5001,A987,Apparitions!$E$2:$E$5001,"○"))</f>
        <v/>
      </c>
      <c r="J987" s="29" t="str">
        <f aca="false">IF(A987="","",IFERROR(1/(1/_xlfn.MINIFS(Apparitions!$L$2:$L$5001,Apparitions!$H$2:$H$5001,A987)),""))</f>
        <v/>
      </c>
    </row>
    <row r="988" customFormat="false" ht="15" hidden="false" customHeight="false" outlineLevel="0" collapsed="false">
      <c r="A988" s="19"/>
      <c r="B988" s="19"/>
      <c r="C988" s="19"/>
      <c r="D988" s="19"/>
      <c r="E988" s="32"/>
      <c r="F988" s="19"/>
      <c r="G988" s="26" t="str">
        <f aca="false">IF(A988="","",COUNTIF(Pubs!$B$2:$B$3001,A988))</f>
        <v/>
      </c>
      <c r="H988" s="26" t="str">
        <f aca="false">IF(A988="","",COUNTIF(Apparitions!$H$2:$H$5001,A988))</f>
        <v/>
      </c>
      <c r="I988" s="26" t="str">
        <f aca="false">IF(A988="","",COUNTIFS(Apparitions!$H$2:$H$5001,A988,Apparitions!$E$2:$E$5001,"○"))</f>
        <v/>
      </c>
      <c r="J988" s="29" t="str">
        <f aca="false">IF(A988="","",IFERROR(1/(1/_xlfn.MINIFS(Apparitions!$L$2:$L$5001,Apparitions!$H$2:$H$5001,A988)),""))</f>
        <v/>
      </c>
    </row>
    <row r="989" customFormat="false" ht="15" hidden="false" customHeight="false" outlineLevel="0" collapsed="false">
      <c r="A989" s="19"/>
      <c r="B989" s="19"/>
      <c r="C989" s="19"/>
      <c r="D989" s="19"/>
      <c r="E989" s="32"/>
      <c r="F989" s="19"/>
      <c r="G989" s="26" t="str">
        <f aca="false">IF(A989="","",COUNTIF(Pubs!$B$2:$B$3001,A989))</f>
        <v/>
      </c>
      <c r="H989" s="26" t="str">
        <f aca="false">IF(A989="","",COUNTIF(Apparitions!$H$2:$H$5001,A989))</f>
        <v/>
      </c>
      <c r="I989" s="26" t="str">
        <f aca="false">IF(A989="","",COUNTIFS(Apparitions!$H$2:$H$5001,A989,Apparitions!$E$2:$E$5001,"○"))</f>
        <v/>
      </c>
      <c r="J989" s="29" t="str">
        <f aca="false">IF(A989="","",IFERROR(1/(1/_xlfn.MINIFS(Apparitions!$L$2:$L$5001,Apparitions!$H$2:$H$5001,A989)),""))</f>
        <v/>
      </c>
    </row>
    <row r="990" customFormat="false" ht="15" hidden="false" customHeight="false" outlineLevel="0" collapsed="false">
      <c r="A990" s="19"/>
      <c r="B990" s="19"/>
      <c r="C990" s="19"/>
      <c r="D990" s="19"/>
      <c r="E990" s="32"/>
      <c r="F990" s="19"/>
      <c r="G990" s="26" t="str">
        <f aca="false">IF(A990="","",COUNTIF(Pubs!$B$2:$B$3001,A990))</f>
        <v/>
      </c>
      <c r="H990" s="26" t="str">
        <f aca="false">IF(A990="","",COUNTIF(Apparitions!$H$2:$H$5001,A990))</f>
        <v/>
      </c>
      <c r="I990" s="26" t="str">
        <f aca="false">IF(A990="","",COUNTIFS(Apparitions!$H$2:$H$5001,A990,Apparitions!$E$2:$E$5001,"○"))</f>
        <v/>
      </c>
      <c r="J990" s="29" t="str">
        <f aca="false">IF(A990="","",IFERROR(1/(1/_xlfn.MINIFS(Apparitions!$L$2:$L$5001,Apparitions!$H$2:$H$5001,A990)),""))</f>
        <v/>
      </c>
    </row>
    <row r="991" customFormat="false" ht="15" hidden="false" customHeight="false" outlineLevel="0" collapsed="false">
      <c r="A991" s="19"/>
      <c r="B991" s="19"/>
      <c r="C991" s="19"/>
      <c r="D991" s="19"/>
      <c r="E991" s="32"/>
      <c r="F991" s="19"/>
      <c r="G991" s="26" t="str">
        <f aca="false">IF(A991="","",COUNTIF(Pubs!$B$2:$B$3001,A991))</f>
        <v/>
      </c>
      <c r="H991" s="26" t="str">
        <f aca="false">IF(A991="","",COUNTIF(Apparitions!$H$2:$H$5001,A991))</f>
        <v/>
      </c>
      <c r="I991" s="26" t="str">
        <f aca="false">IF(A991="","",COUNTIFS(Apparitions!$H$2:$H$5001,A991,Apparitions!$E$2:$E$5001,"○"))</f>
        <v/>
      </c>
      <c r="J991" s="29" t="str">
        <f aca="false">IF(A991="","",IFERROR(1/(1/_xlfn.MINIFS(Apparitions!$L$2:$L$5001,Apparitions!$H$2:$H$5001,A991)),""))</f>
        <v/>
      </c>
    </row>
    <row r="992" customFormat="false" ht="15" hidden="false" customHeight="false" outlineLevel="0" collapsed="false">
      <c r="A992" s="19"/>
      <c r="B992" s="19"/>
      <c r="C992" s="19"/>
      <c r="D992" s="19"/>
      <c r="E992" s="32"/>
      <c r="F992" s="19"/>
      <c r="G992" s="26" t="str">
        <f aca="false">IF(A992="","",COUNTIF(Pubs!$B$2:$B$3001,A992))</f>
        <v/>
      </c>
      <c r="H992" s="26" t="str">
        <f aca="false">IF(A992="","",COUNTIF(Apparitions!$H$2:$H$5001,A992))</f>
        <v/>
      </c>
      <c r="I992" s="26" t="str">
        <f aca="false">IF(A992="","",COUNTIFS(Apparitions!$H$2:$H$5001,A992,Apparitions!$E$2:$E$5001,"○"))</f>
        <v/>
      </c>
      <c r="J992" s="29" t="str">
        <f aca="false">IF(A992="","",IFERROR(1/(1/_xlfn.MINIFS(Apparitions!$L$2:$L$5001,Apparitions!$H$2:$H$5001,A992)),""))</f>
        <v/>
      </c>
    </row>
    <row r="993" customFormat="false" ht="15" hidden="false" customHeight="false" outlineLevel="0" collapsed="false">
      <c r="A993" s="19"/>
      <c r="B993" s="19"/>
      <c r="C993" s="19"/>
      <c r="D993" s="19"/>
      <c r="E993" s="32"/>
      <c r="F993" s="19"/>
      <c r="G993" s="26" t="str">
        <f aca="false">IF(A993="","",COUNTIF(Pubs!$B$2:$B$3001,A993))</f>
        <v/>
      </c>
      <c r="H993" s="26" t="str">
        <f aca="false">IF(A993="","",COUNTIF(Apparitions!$H$2:$H$5001,A993))</f>
        <v/>
      </c>
      <c r="I993" s="26" t="str">
        <f aca="false">IF(A993="","",COUNTIFS(Apparitions!$H$2:$H$5001,A993,Apparitions!$E$2:$E$5001,"○"))</f>
        <v/>
      </c>
      <c r="J993" s="29" t="str">
        <f aca="false">IF(A993="","",IFERROR(1/(1/_xlfn.MINIFS(Apparitions!$L$2:$L$5001,Apparitions!$H$2:$H$5001,A993)),""))</f>
        <v/>
      </c>
    </row>
    <row r="994" customFormat="false" ht="15" hidden="false" customHeight="false" outlineLevel="0" collapsed="false">
      <c r="A994" s="19"/>
      <c r="B994" s="19"/>
      <c r="C994" s="19"/>
      <c r="D994" s="19"/>
      <c r="E994" s="32"/>
      <c r="F994" s="19"/>
      <c r="G994" s="26" t="str">
        <f aca="false">IF(A994="","",COUNTIF(Pubs!$B$2:$B$3001,A994))</f>
        <v/>
      </c>
      <c r="H994" s="26" t="str">
        <f aca="false">IF(A994="","",COUNTIF(Apparitions!$H$2:$H$5001,A994))</f>
        <v/>
      </c>
      <c r="I994" s="26" t="str">
        <f aca="false">IF(A994="","",COUNTIFS(Apparitions!$H$2:$H$5001,A994,Apparitions!$E$2:$E$5001,"○"))</f>
        <v/>
      </c>
      <c r="J994" s="29" t="str">
        <f aca="false">IF(A994="","",IFERROR(1/(1/_xlfn.MINIFS(Apparitions!$L$2:$L$5001,Apparitions!$H$2:$H$5001,A994)),""))</f>
        <v/>
      </c>
    </row>
    <row r="995" customFormat="false" ht="15" hidden="false" customHeight="false" outlineLevel="0" collapsed="false">
      <c r="A995" s="19"/>
      <c r="B995" s="19"/>
      <c r="C995" s="19"/>
      <c r="D995" s="19"/>
      <c r="E995" s="32"/>
      <c r="F995" s="19"/>
      <c r="G995" s="26" t="str">
        <f aca="false">IF(A995="","",COUNTIF(Pubs!$B$2:$B$3001,A995))</f>
        <v/>
      </c>
      <c r="H995" s="26" t="str">
        <f aca="false">IF(A995="","",COUNTIF(Apparitions!$H$2:$H$5001,A995))</f>
        <v/>
      </c>
      <c r="I995" s="26" t="str">
        <f aca="false">IF(A995="","",COUNTIFS(Apparitions!$H$2:$H$5001,A995,Apparitions!$E$2:$E$5001,"○"))</f>
        <v/>
      </c>
      <c r="J995" s="29" t="str">
        <f aca="false">IF(A995="","",IFERROR(1/(1/_xlfn.MINIFS(Apparitions!$L$2:$L$5001,Apparitions!$H$2:$H$5001,A995)),""))</f>
        <v/>
      </c>
    </row>
    <row r="996" customFormat="false" ht="15" hidden="false" customHeight="false" outlineLevel="0" collapsed="false">
      <c r="A996" s="19"/>
      <c r="B996" s="19"/>
      <c r="C996" s="19"/>
      <c r="D996" s="19"/>
      <c r="E996" s="32"/>
      <c r="F996" s="19"/>
      <c r="G996" s="26" t="str">
        <f aca="false">IF(A996="","",COUNTIF(Pubs!$B$2:$B$3001,A996))</f>
        <v/>
      </c>
      <c r="H996" s="26" t="str">
        <f aca="false">IF(A996="","",COUNTIF(Apparitions!$H$2:$H$5001,A996))</f>
        <v/>
      </c>
      <c r="I996" s="26" t="str">
        <f aca="false">IF(A996="","",COUNTIFS(Apparitions!$H$2:$H$5001,A996,Apparitions!$E$2:$E$5001,"○"))</f>
        <v/>
      </c>
      <c r="J996" s="29" t="str">
        <f aca="false">IF(A996="","",IFERROR(1/(1/_xlfn.MINIFS(Apparitions!$L$2:$L$5001,Apparitions!$H$2:$H$5001,A996)),""))</f>
        <v/>
      </c>
    </row>
    <row r="997" customFormat="false" ht="15" hidden="false" customHeight="false" outlineLevel="0" collapsed="false">
      <c r="A997" s="19"/>
      <c r="B997" s="19"/>
      <c r="C997" s="19"/>
      <c r="D997" s="19"/>
      <c r="E997" s="32"/>
      <c r="F997" s="19"/>
      <c r="G997" s="26" t="str">
        <f aca="false">IF(A997="","",COUNTIF(Pubs!$B$2:$B$3001,A997))</f>
        <v/>
      </c>
      <c r="H997" s="26" t="str">
        <f aca="false">IF(A997="","",COUNTIF(Apparitions!$H$2:$H$5001,A997))</f>
        <v/>
      </c>
      <c r="I997" s="26" t="str">
        <f aca="false">IF(A997="","",COUNTIFS(Apparitions!$H$2:$H$5001,A997,Apparitions!$E$2:$E$5001,"○"))</f>
        <v/>
      </c>
      <c r="J997" s="29" t="str">
        <f aca="false">IF(A997="","",IFERROR(1/(1/_xlfn.MINIFS(Apparitions!$L$2:$L$5001,Apparitions!$H$2:$H$5001,A997)),""))</f>
        <v/>
      </c>
    </row>
    <row r="998" customFormat="false" ht="15" hidden="false" customHeight="false" outlineLevel="0" collapsed="false">
      <c r="A998" s="19"/>
      <c r="B998" s="19"/>
      <c r="C998" s="19"/>
      <c r="D998" s="19"/>
      <c r="E998" s="32"/>
      <c r="F998" s="19"/>
      <c r="G998" s="26" t="str">
        <f aca="false">IF(A998="","",COUNTIF(Pubs!$B$2:$B$3001,A998))</f>
        <v/>
      </c>
      <c r="H998" s="26" t="str">
        <f aca="false">IF(A998="","",COUNTIF(Apparitions!$H$2:$H$5001,A998))</f>
        <v/>
      </c>
      <c r="I998" s="26" t="str">
        <f aca="false">IF(A998="","",COUNTIFS(Apparitions!$H$2:$H$5001,A998,Apparitions!$E$2:$E$5001,"○"))</f>
        <v/>
      </c>
      <c r="J998" s="29" t="str">
        <f aca="false">IF(A998="","",IFERROR(1/(1/_xlfn.MINIFS(Apparitions!$L$2:$L$5001,Apparitions!$H$2:$H$5001,A998)),""))</f>
        <v/>
      </c>
    </row>
    <row r="999" customFormat="false" ht="15" hidden="false" customHeight="false" outlineLevel="0" collapsed="false">
      <c r="A999" s="19"/>
      <c r="B999" s="19"/>
      <c r="C999" s="19"/>
      <c r="D999" s="19"/>
      <c r="E999" s="32"/>
      <c r="F999" s="19"/>
      <c r="G999" s="26" t="str">
        <f aca="false">IF(A999="","",COUNTIF(Pubs!$B$2:$B$3001,A999))</f>
        <v/>
      </c>
      <c r="H999" s="26" t="str">
        <f aca="false">IF(A999="","",COUNTIF(Apparitions!$H$2:$H$5001,A999))</f>
        <v/>
      </c>
      <c r="I999" s="26" t="str">
        <f aca="false">IF(A999="","",COUNTIFS(Apparitions!$H$2:$H$5001,A999,Apparitions!$E$2:$E$5001,"○"))</f>
        <v/>
      </c>
      <c r="J999" s="29" t="str">
        <f aca="false">IF(A999="","",IFERROR(1/(1/_xlfn.MINIFS(Apparitions!$L$2:$L$5001,Apparitions!$H$2:$H$5001,A999)),""))</f>
        <v/>
      </c>
    </row>
    <row r="1000" customFormat="false" ht="15" hidden="false" customHeight="false" outlineLevel="0" collapsed="false">
      <c r="A1000" s="19"/>
      <c r="B1000" s="19"/>
      <c r="C1000" s="19"/>
      <c r="D1000" s="19"/>
      <c r="E1000" s="32"/>
      <c r="F1000" s="19"/>
      <c r="G1000" s="26" t="str">
        <f aca="false">IF(A1000="","",COUNTIF(Pubs!$B$2:$B$3001,A1000))</f>
        <v/>
      </c>
      <c r="H1000" s="26" t="str">
        <f aca="false">IF(A1000="","",COUNTIF(Apparitions!$H$2:$H$5001,A1000))</f>
        <v/>
      </c>
      <c r="I1000" s="26" t="str">
        <f aca="false">IF(A1000="","",COUNTIFS(Apparitions!$H$2:$H$5001,A1000,Apparitions!$E$2:$E$5001,"○"))</f>
        <v/>
      </c>
      <c r="J1000" s="29" t="str">
        <f aca="false">IF(A1000="","",IFERROR(1/(1/_xlfn.MINIFS(Apparitions!$L$2:$L$5001,Apparitions!$H$2:$H$5001,A1000)),""))</f>
        <v/>
      </c>
    </row>
    <row r="1001" customFormat="false" ht="15" hidden="false" customHeight="false" outlineLevel="0" collapsed="false">
      <c r="A1001" s="19"/>
      <c r="B1001" s="19"/>
      <c r="C1001" s="19"/>
      <c r="D1001" s="19"/>
      <c r="E1001" s="32"/>
      <c r="F1001" s="19"/>
      <c r="G1001" s="26" t="str">
        <f aca="false">IF(A1001="","",COUNTIF(Pubs!$B$2:$B$3001,A1001))</f>
        <v/>
      </c>
      <c r="H1001" s="26" t="str">
        <f aca="false">IF(A1001="","",COUNTIF(Apparitions!$H$2:$H$5001,A1001))</f>
        <v/>
      </c>
      <c r="I1001" s="26" t="str">
        <f aca="false">IF(A1001="","",COUNTIFS(Apparitions!$H$2:$H$5001,A1001,Apparitions!$E$2:$E$5001,"○"))</f>
        <v/>
      </c>
      <c r="J1001" s="29" t="str">
        <f aca="false">IF(A1001="","",IFERROR(1/(1/_xlfn.MINIFS(Apparitions!$L$2:$L$5001,Apparitions!$H$2:$H$5001,A1001)),""))</f>
        <v/>
      </c>
    </row>
    <row r="1002" customFormat="false" ht="15" hidden="false" customHeight="false" outlineLevel="0" collapsed="false">
      <c r="A1002" s="19"/>
      <c r="B1002" s="19"/>
      <c r="C1002" s="19"/>
      <c r="D1002" s="19"/>
      <c r="E1002" s="32"/>
      <c r="F1002" s="19"/>
      <c r="G1002" s="26" t="str">
        <f aca="false">IF(A1002="","",COUNTIF(Pubs!$B$2:$B$3001,A1002))</f>
        <v/>
      </c>
      <c r="H1002" s="26" t="str">
        <f aca="false">IF(A1002="","",COUNTIF(Apparitions!$H$2:$H$5001,A1002))</f>
        <v/>
      </c>
      <c r="I1002" s="26" t="str">
        <f aca="false">IF(A1002="","",COUNTIFS(Apparitions!$H$2:$H$5001,A1002,Apparitions!$E$2:$E$5001,"○"))</f>
        <v/>
      </c>
      <c r="J1002" s="29" t="str">
        <f aca="false">IF(A1002="","",IFERROR(1/(1/_xlfn.MINIFS(Apparitions!$L$2:$L$5001,Apparitions!$H$2:$H$5001,A1002)),""))</f>
        <v/>
      </c>
    </row>
    <row r="1003" customFormat="false" ht="15" hidden="false" customHeight="false" outlineLevel="0" collapsed="false">
      <c r="A1003" s="19"/>
      <c r="B1003" s="19"/>
      <c r="C1003" s="19"/>
      <c r="D1003" s="19"/>
      <c r="E1003" s="32"/>
      <c r="F1003" s="19"/>
      <c r="G1003" s="26" t="str">
        <f aca="false">IF(A1003="","",COUNTIF(Pubs!$B$2:$B$3001,A1003))</f>
        <v/>
      </c>
      <c r="H1003" s="26" t="str">
        <f aca="false">IF(A1003="","",COUNTIF(Apparitions!$H$2:$H$5001,A1003))</f>
        <v/>
      </c>
      <c r="I1003" s="26" t="str">
        <f aca="false">IF(A1003="","",COUNTIFS(Apparitions!$H$2:$H$5001,A1003,Apparitions!$E$2:$E$5001,"○"))</f>
        <v/>
      </c>
      <c r="J1003" s="29" t="str">
        <f aca="false">IF(A1003="","",IFERROR(1/(1/_xlfn.MINIFS(Apparitions!$L$2:$L$5001,Apparitions!$H$2:$H$5001,A1003)),""))</f>
        <v/>
      </c>
    </row>
    <row r="1004" customFormat="false" ht="15" hidden="false" customHeight="false" outlineLevel="0" collapsed="false">
      <c r="A1004" s="19"/>
      <c r="B1004" s="19"/>
      <c r="C1004" s="19"/>
      <c r="D1004" s="19"/>
      <c r="E1004" s="32"/>
      <c r="F1004" s="19"/>
      <c r="G1004" s="26" t="str">
        <f aca="false">IF(A1004="","",COUNTIF(Pubs!$B$2:$B$3001,A1004))</f>
        <v/>
      </c>
      <c r="H1004" s="26" t="str">
        <f aca="false">IF(A1004="","",COUNTIF(Apparitions!$H$2:$H$5001,A1004))</f>
        <v/>
      </c>
      <c r="I1004" s="26" t="str">
        <f aca="false">IF(A1004="","",COUNTIFS(Apparitions!$H$2:$H$5001,A1004,Apparitions!$E$2:$E$5001,"○"))</f>
        <v/>
      </c>
      <c r="J1004" s="29" t="str">
        <f aca="false">IF(A1004="","",IFERROR(1/(1/_xlfn.MINIFS(Apparitions!$L$2:$L$5001,Apparitions!$H$2:$H$5001,A1004)),""))</f>
        <v/>
      </c>
    </row>
    <row r="1005" customFormat="false" ht="15" hidden="false" customHeight="false" outlineLevel="0" collapsed="false">
      <c r="A1005" s="19"/>
      <c r="B1005" s="19"/>
      <c r="C1005" s="19"/>
      <c r="D1005" s="19"/>
      <c r="E1005" s="32"/>
      <c r="F1005" s="19"/>
      <c r="G1005" s="26" t="str">
        <f aca="false">IF(A1005="","",COUNTIF(Pubs!$B$2:$B$3001,A1005))</f>
        <v/>
      </c>
      <c r="H1005" s="26" t="str">
        <f aca="false">IF(A1005="","",COUNTIF(Apparitions!$H$2:$H$5001,A1005))</f>
        <v/>
      </c>
      <c r="I1005" s="26" t="str">
        <f aca="false">IF(A1005="","",COUNTIFS(Apparitions!$H$2:$H$5001,A1005,Apparitions!$E$2:$E$5001,"○"))</f>
        <v/>
      </c>
      <c r="J1005" s="29" t="str">
        <f aca="false">IF(A1005="","",IFERROR(1/(1/_xlfn.MINIFS(Apparitions!$L$2:$L$5001,Apparitions!$H$2:$H$5001,A1005)),""))</f>
        <v/>
      </c>
    </row>
    <row r="1006" customFormat="false" ht="15" hidden="false" customHeight="false" outlineLevel="0" collapsed="false">
      <c r="A1006" s="19"/>
      <c r="B1006" s="19"/>
      <c r="C1006" s="19"/>
      <c r="D1006" s="19"/>
      <c r="E1006" s="32"/>
      <c r="F1006" s="19"/>
      <c r="G1006" s="26" t="str">
        <f aca="false">IF(A1006="","",COUNTIF(Pubs!$B$2:$B$3001,A1006))</f>
        <v/>
      </c>
      <c r="H1006" s="26" t="str">
        <f aca="false">IF(A1006="","",COUNTIF(Apparitions!$H$2:$H$5001,A1006))</f>
        <v/>
      </c>
      <c r="I1006" s="26" t="str">
        <f aca="false">IF(A1006="","",COUNTIFS(Apparitions!$H$2:$H$5001,A1006,Apparitions!$E$2:$E$5001,"○"))</f>
        <v/>
      </c>
      <c r="J1006" s="29" t="str">
        <f aca="false">IF(A1006="","",IFERROR(1/(1/_xlfn.MINIFS(Apparitions!$L$2:$L$5001,Apparitions!$H$2:$H$5001,A1006)),""))</f>
        <v/>
      </c>
    </row>
    <row r="1007" customFormat="false" ht="15" hidden="false" customHeight="false" outlineLevel="0" collapsed="false">
      <c r="A1007" s="19"/>
      <c r="B1007" s="19"/>
      <c r="C1007" s="19"/>
      <c r="D1007" s="19"/>
      <c r="E1007" s="32"/>
      <c r="F1007" s="19"/>
      <c r="G1007" s="26" t="str">
        <f aca="false">IF(A1007="","",COUNTIF(Pubs!$B$2:$B$3001,A1007))</f>
        <v/>
      </c>
      <c r="H1007" s="26" t="str">
        <f aca="false">IF(A1007="","",COUNTIF(Apparitions!$H$2:$H$5001,A1007))</f>
        <v/>
      </c>
      <c r="I1007" s="26" t="str">
        <f aca="false">IF(A1007="","",COUNTIFS(Apparitions!$H$2:$H$5001,A1007,Apparitions!$E$2:$E$5001,"○"))</f>
        <v/>
      </c>
      <c r="J1007" s="29" t="str">
        <f aca="false">IF(A1007="","",IFERROR(1/(1/_xlfn.MINIFS(Apparitions!$L$2:$L$5001,Apparitions!$H$2:$H$5001,A1007)),""))</f>
        <v/>
      </c>
    </row>
    <row r="1008" customFormat="false" ht="15" hidden="false" customHeight="false" outlineLevel="0" collapsed="false">
      <c r="A1008" s="19"/>
      <c r="B1008" s="19"/>
      <c r="C1008" s="19"/>
      <c r="D1008" s="19"/>
      <c r="E1008" s="32"/>
      <c r="F1008" s="19"/>
      <c r="G1008" s="26" t="str">
        <f aca="false">IF(A1008="","",COUNTIF(Pubs!$B$2:$B$3001,A1008))</f>
        <v/>
      </c>
      <c r="H1008" s="26" t="str">
        <f aca="false">IF(A1008="","",COUNTIF(Apparitions!$H$2:$H$5001,A1008))</f>
        <v/>
      </c>
      <c r="I1008" s="26" t="str">
        <f aca="false">IF(A1008="","",COUNTIFS(Apparitions!$H$2:$H$5001,A1008,Apparitions!$E$2:$E$5001,"○"))</f>
        <v/>
      </c>
      <c r="J1008" s="29" t="str">
        <f aca="false">IF(A1008="","",IFERROR(1/(1/_xlfn.MINIFS(Apparitions!$L$2:$L$5001,Apparitions!$H$2:$H$5001,A1008)),""))</f>
        <v/>
      </c>
    </row>
    <row r="1009" customFormat="false" ht="15" hidden="false" customHeight="false" outlineLevel="0" collapsed="false">
      <c r="A1009" s="19"/>
      <c r="B1009" s="19"/>
      <c r="C1009" s="19"/>
      <c r="D1009" s="19"/>
      <c r="E1009" s="32"/>
      <c r="F1009" s="19"/>
      <c r="G1009" s="26" t="str">
        <f aca="false">IF(A1009="","",COUNTIF(Pubs!$B$2:$B$3001,A1009))</f>
        <v/>
      </c>
      <c r="H1009" s="26" t="str">
        <f aca="false">IF(A1009="","",COUNTIF(Apparitions!$H$2:$H$5001,A1009))</f>
        <v/>
      </c>
      <c r="I1009" s="26" t="str">
        <f aca="false">IF(A1009="","",COUNTIFS(Apparitions!$H$2:$H$5001,A1009,Apparitions!$E$2:$E$5001,"○"))</f>
        <v/>
      </c>
      <c r="J1009" s="29" t="str">
        <f aca="false">IF(A1009="","",IFERROR(1/(1/_xlfn.MINIFS(Apparitions!$L$2:$L$5001,Apparitions!$H$2:$H$5001,A1009)),""))</f>
        <v/>
      </c>
    </row>
    <row r="1010" customFormat="false" ht="15" hidden="false" customHeight="false" outlineLevel="0" collapsed="false">
      <c r="A1010" s="19"/>
      <c r="B1010" s="19"/>
      <c r="C1010" s="19"/>
      <c r="D1010" s="19"/>
      <c r="E1010" s="32"/>
      <c r="F1010" s="19"/>
      <c r="G1010" s="26" t="str">
        <f aca="false">IF(A1010="","",COUNTIF(Pubs!$B$2:$B$3001,A1010))</f>
        <v/>
      </c>
      <c r="H1010" s="26" t="str">
        <f aca="false">IF(A1010="","",COUNTIF(Apparitions!$H$2:$H$5001,A1010))</f>
        <v/>
      </c>
      <c r="I1010" s="26" t="str">
        <f aca="false">IF(A1010="","",COUNTIFS(Apparitions!$H$2:$H$5001,A1010,Apparitions!$E$2:$E$5001,"○"))</f>
        <v/>
      </c>
      <c r="J1010" s="29" t="str">
        <f aca="false">IF(A1010="","",IFERROR(1/(1/_xlfn.MINIFS(Apparitions!$L$2:$L$5001,Apparitions!$H$2:$H$5001,A1010)),""))</f>
        <v/>
      </c>
    </row>
    <row r="1011" customFormat="false" ht="15" hidden="false" customHeight="false" outlineLevel="0" collapsed="false">
      <c r="A1011" s="19"/>
      <c r="B1011" s="19"/>
      <c r="C1011" s="19"/>
      <c r="D1011" s="19"/>
      <c r="E1011" s="32"/>
      <c r="F1011" s="19"/>
      <c r="G1011" s="26" t="str">
        <f aca="false">IF(A1011="","",COUNTIF(Pubs!$B$2:$B$3001,A1011))</f>
        <v/>
      </c>
      <c r="H1011" s="26" t="str">
        <f aca="false">IF(A1011="","",COUNTIF(Apparitions!$H$2:$H$5001,A1011))</f>
        <v/>
      </c>
      <c r="I1011" s="26" t="str">
        <f aca="false">IF(A1011="","",COUNTIFS(Apparitions!$H$2:$H$5001,A1011,Apparitions!$E$2:$E$5001,"○"))</f>
        <v/>
      </c>
      <c r="J1011" s="29" t="str">
        <f aca="false">IF(A1011="","",IFERROR(1/(1/_xlfn.MINIFS(Apparitions!$L$2:$L$5001,Apparitions!$H$2:$H$5001,A1011)),""))</f>
        <v/>
      </c>
    </row>
    <row r="1012" customFormat="false" ht="15" hidden="false" customHeight="false" outlineLevel="0" collapsed="false">
      <c r="A1012" s="19"/>
      <c r="B1012" s="19"/>
      <c r="C1012" s="19"/>
      <c r="D1012" s="19"/>
      <c r="E1012" s="32"/>
      <c r="F1012" s="19"/>
      <c r="G1012" s="26" t="str">
        <f aca="false">IF(A1012="","",COUNTIF(Pubs!$B$2:$B$3001,A1012))</f>
        <v/>
      </c>
      <c r="H1012" s="26" t="str">
        <f aca="false">IF(A1012="","",COUNTIF(Apparitions!$H$2:$H$5001,A1012))</f>
        <v/>
      </c>
      <c r="I1012" s="26" t="str">
        <f aca="false">IF(A1012="","",COUNTIFS(Apparitions!$H$2:$H$5001,A1012,Apparitions!$E$2:$E$5001,"○"))</f>
        <v/>
      </c>
      <c r="J1012" s="29" t="str">
        <f aca="false">IF(A1012="","",IFERROR(1/(1/_xlfn.MINIFS(Apparitions!$L$2:$L$5001,Apparitions!$H$2:$H$5001,A1012)),""))</f>
        <v/>
      </c>
    </row>
    <row r="1013" customFormat="false" ht="15" hidden="false" customHeight="false" outlineLevel="0" collapsed="false">
      <c r="A1013" s="19"/>
      <c r="B1013" s="19"/>
      <c r="C1013" s="19"/>
      <c r="D1013" s="19"/>
      <c r="E1013" s="32"/>
      <c r="F1013" s="19"/>
      <c r="G1013" s="26" t="str">
        <f aca="false">IF(A1013="","",COUNTIF(Pubs!$B$2:$B$3001,A1013))</f>
        <v/>
      </c>
      <c r="H1013" s="26" t="str">
        <f aca="false">IF(A1013="","",COUNTIF(Apparitions!$H$2:$H$5001,A1013))</f>
        <v/>
      </c>
      <c r="I1013" s="26" t="str">
        <f aca="false">IF(A1013="","",COUNTIFS(Apparitions!$H$2:$H$5001,A1013,Apparitions!$E$2:$E$5001,"○"))</f>
        <v/>
      </c>
      <c r="J1013" s="29" t="str">
        <f aca="false">IF(A1013="","",IFERROR(1/(1/_xlfn.MINIFS(Apparitions!$L$2:$L$5001,Apparitions!$H$2:$H$5001,A1013)),""))</f>
        <v/>
      </c>
    </row>
    <row r="1014" customFormat="false" ht="15" hidden="false" customHeight="false" outlineLevel="0" collapsed="false">
      <c r="A1014" s="19"/>
      <c r="B1014" s="19"/>
      <c r="C1014" s="19"/>
      <c r="D1014" s="19"/>
      <c r="E1014" s="32"/>
      <c r="F1014" s="19"/>
      <c r="G1014" s="26" t="str">
        <f aca="false">IF(A1014="","",COUNTIF(Pubs!$B$2:$B$3001,A1014))</f>
        <v/>
      </c>
      <c r="H1014" s="26" t="str">
        <f aca="false">IF(A1014="","",COUNTIF(Apparitions!$H$2:$H$5001,A1014))</f>
        <v/>
      </c>
      <c r="I1014" s="26" t="str">
        <f aca="false">IF(A1014="","",COUNTIFS(Apparitions!$H$2:$H$5001,A1014,Apparitions!$E$2:$E$5001,"○"))</f>
        <v/>
      </c>
      <c r="J1014" s="29" t="str">
        <f aca="false">IF(A1014="","",IFERROR(1/(1/_xlfn.MINIFS(Apparitions!$L$2:$L$5001,Apparitions!$H$2:$H$5001,A1014)),""))</f>
        <v/>
      </c>
    </row>
    <row r="1015" customFormat="false" ht="15" hidden="false" customHeight="false" outlineLevel="0" collapsed="false">
      <c r="A1015" s="19"/>
      <c r="B1015" s="19"/>
      <c r="C1015" s="19"/>
      <c r="D1015" s="19"/>
      <c r="E1015" s="32"/>
      <c r="F1015" s="19"/>
      <c r="G1015" s="26" t="str">
        <f aca="false">IF(A1015="","",COUNTIF(Pubs!$B$2:$B$3001,A1015))</f>
        <v/>
      </c>
      <c r="H1015" s="26" t="str">
        <f aca="false">IF(A1015="","",COUNTIF(Apparitions!$H$2:$H$5001,A1015))</f>
        <v/>
      </c>
      <c r="I1015" s="26" t="str">
        <f aca="false">IF(A1015="","",COUNTIFS(Apparitions!$H$2:$H$5001,A1015,Apparitions!$E$2:$E$5001,"○"))</f>
        <v/>
      </c>
      <c r="J1015" s="29" t="str">
        <f aca="false">IF(A1015="","",IFERROR(1/(1/_xlfn.MINIFS(Apparitions!$L$2:$L$5001,Apparitions!$H$2:$H$5001,A1015)),""))</f>
        <v/>
      </c>
    </row>
    <row r="1016" customFormat="false" ht="15" hidden="false" customHeight="false" outlineLevel="0" collapsed="false">
      <c r="A1016" s="19"/>
      <c r="B1016" s="19"/>
      <c r="C1016" s="19"/>
      <c r="D1016" s="19"/>
      <c r="E1016" s="32"/>
      <c r="F1016" s="19"/>
      <c r="G1016" s="26" t="str">
        <f aca="false">IF(A1016="","",COUNTIF(Pubs!$B$2:$B$3001,A1016))</f>
        <v/>
      </c>
      <c r="H1016" s="26" t="str">
        <f aca="false">IF(A1016="","",COUNTIF(Apparitions!$H$2:$H$5001,A1016))</f>
        <v/>
      </c>
      <c r="I1016" s="26" t="str">
        <f aca="false">IF(A1016="","",COUNTIFS(Apparitions!$H$2:$H$5001,A1016,Apparitions!$E$2:$E$5001,"○"))</f>
        <v/>
      </c>
      <c r="J1016" s="29" t="str">
        <f aca="false">IF(A1016="","",IFERROR(1/(1/_xlfn.MINIFS(Apparitions!$L$2:$L$5001,Apparitions!$H$2:$H$5001,A1016)),""))</f>
        <v/>
      </c>
    </row>
    <row r="1017" customFormat="false" ht="15" hidden="false" customHeight="false" outlineLevel="0" collapsed="false">
      <c r="A1017" s="19"/>
      <c r="B1017" s="19"/>
      <c r="C1017" s="19"/>
      <c r="D1017" s="19"/>
      <c r="E1017" s="32"/>
      <c r="F1017" s="19"/>
      <c r="G1017" s="26" t="str">
        <f aca="false">IF(A1017="","",COUNTIF(Pubs!$B$2:$B$3001,A1017))</f>
        <v/>
      </c>
      <c r="H1017" s="26" t="str">
        <f aca="false">IF(A1017="","",COUNTIF(Apparitions!$H$2:$H$5001,A1017))</f>
        <v/>
      </c>
      <c r="I1017" s="26" t="str">
        <f aca="false">IF(A1017="","",COUNTIFS(Apparitions!$H$2:$H$5001,A1017,Apparitions!$E$2:$E$5001,"○"))</f>
        <v/>
      </c>
      <c r="J1017" s="29" t="str">
        <f aca="false">IF(A1017="","",IFERROR(1/(1/_xlfn.MINIFS(Apparitions!$L$2:$L$5001,Apparitions!$H$2:$H$5001,A1017)),""))</f>
        <v/>
      </c>
    </row>
    <row r="1018" customFormat="false" ht="15" hidden="false" customHeight="false" outlineLevel="0" collapsed="false">
      <c r="A1018" s="19"/>
      <c r="B1018" s="19"/>
      <c r="C1018" s="19"/>
      <c r="D1018" s="19"/>
      <c r="E1018" s="32"/>
      <c r="F1018" s="19"/>
      <c r="G1018" s="26" t="str">
        <f aca="false">IF(A1018="","",COUNTIF(Pubs!$B$2:$B$3001,A1018))</f>
        <v/>
      </c>
      <c r="H1018" s="26" t="str">
        <f aca="false">IF(A1018="","",COUNTIF(Apparitions!$H$2:$H$5001,A1018))</f>
        <v/>
      </c>
      <c r="I1018" s="26" t="str">
        <f aca="false">IF(A1018="","",COUNTIFS(Apparitions!$H$2:$H$5001,A1018,Apparitions!$E$2:$E$5001,"○"))</f>
        <v/>
      </c>
      <c r="J1018" s="29" t="str">
        <f aca="false">IF(A1018="","",IFERROR(1/(1/_xlfn.MINIFS(Apparitions!$L$2:$L$5001,Apparitions!$H$2:$H$5001,A1018)),""))</f>
        <v/>
      </c>
    </row>
    <row r="1019" customFormat="false" ht="15" hidden="false" customHeight="false" outlineLevel="0" collapsed="false">
      <c r="A1019" s="19"/>
      <c r="B1019" s="19"/>
      <c r="C1019" s="19"/>
      <c r="D1019" s="19"/>
      <c r="E1019" s="32"/>
      <c r="F1019" s="19"/>
      <c r="G1019" s="26" t="str">
        <f aca="false">IF(A1019="","",COUNTIF(Pubs!$B$2:$B$3001,A1019))</f>
        <v/>
      </c>
      <c r="H1019" s="26" t="str">
        <f aca="false">IF(A1019="","",COUNTIF(Apparitions!$H$2:$H$5001,A1019))</f>
        <v/>
      </c>
      <c r="I1019" s="26" t="str">
        <f aca="false">IF(A1019="","",COUNTIFS(Apparitions!$H$2:$H$5001,A1019,Apparitions!$E$2:$E$5001,"○"))</f>
        <v/>
      </c>
      <c r="J1019" s="29" t="str">
        <f aca="false">IF(A1019="","",IFERROR(1/(1/_xlfn.MINIFS(Apparitions!$L$2:$L$5001,Apparitions!$H$2:$H$5001,A1019)),""))</f>
        <v/>
      </c>
    </row>
    <row r="1020" customFormat="false" ht="15" hidden="false" customHeight="false" outlineLevel="0" collapsed="false">
      <c r="A1020" s="19"/>
      <c r="B1020" s="19"/>
      <c r="C1020" s="19"/>
      <c r="D1020" s="19"/>
      <c r="E1020" s="32"/>
      <c r="F1020" s="19"/>
      <c r="G1020" s="26" t="str">
        <f aca="false">IF(A1020="","",COUNTIF(Pubs!$B$2:$B$3001,A1020))</f>
        <v/>
      </c>
      <c r="H1020" s="26" t="str">
        <f aca="false">IF(A1020="","",COUNTIF(Apparitions!$H$2:$H$5001,A1020))</f>
        <v/>
      </c>
      <c r="I1020" s="26" t="str">
        <f aca="false">IF(A1020="","",COUNTIFS(Apparitions!$H$2:$H$5001,A1020,Apparitions!$E$2:$E$5001,"○"))</f>
        <v/>
      </c>
      <c r="J1020" s="29" t="str">
        <f aca="false">IF(A1020="","",IFERROR(1/(1/_xlfn.MINIFS(Apparitions!$L$2:$L$5001,Apparitions!$H$2:$H$5001,A1020)),""))</f>
        <v/>
      </c>
    </row>
    <row r="1021" customFormat="false" ht="15" hidden="false" customHeight="false" outlineLevel="0" collapsed="false">
      <c r="A1021" s="19"/>
      <c r="B1021" s="19"/>
      <c r="C1021" s="19"/>
      <c r="D1021" s="19"/>
      <c r="E1021" s="32"/>
      <c r="F1021" s="19"/>
      <c r="G1021" s="26" t="str">
        <f aca="false">IF(A1021="","",COUNTIF(Pubs!$B$2:$B$3001,A1021))</f>
        <v/>
      </c>
      <c r="H1021" s="26" t="str">
        <f aca="false">IF(A1021="","",COUNTIF(Apparitions!$H$2:$H$5001,A1021))</f>
        <v/>
      </c>
      <c r="I1021" s="26" t="str">
        <f aca="false">IF(A1021="","",COUNTIFS(Apparitions!$H$2:$H$5001,A1021,Apparitions!$E$2:$E$5001,"○"))</f>
        <v/>
      </c>
      <c r="J1021" s="29" t="str">
        <f aca="false">IF(A1021="","",IFERROR(1/(1/_xlfn.MINIFS(Apparitions!$L$2:$L$5001,Apparitions!$H$2:$H$5001,A1021)),""))</f>
        <v/>
      </c>
    </row>
    <row r="1022" customFormat="false" ht="15" hidden="false" customHeight="false" outlineLevel="0" collapsed="false">
      <c r="A1022" s="19"/>
      <c r="B1022" s="19"/>
      <c r="C1022" s="19"/>
      <c r="D1022" s="19"/>
      <c r="E1022" s="32"/>
      <c r="F1022" s="19"/>
      <c r="G1022" s="26" t="str">
        <f aca="false">IF(A1022="","",COUNTIF(Pubs!$B$2:$B$3001,A1022))</f>
        <v/>
      </c>
      <c r="H1022" s="26" t="str">
        <f aca="false">IF(A1022="","",COUNTIF(Apparitions!$H$2:$H$5001,A1022))</f>
        <v/>
      </c>
      <c r="I1022" s="26" t="str">
        <f aca="false">IF(A1022="","",COUNTIFS(Apparitions!$H$2:$H$5001,A1022,Apparitions!$E$2:$E$5001,"○"))</f>
        <v/>
      </c>
      <c r="J1022" s="29" t="str">
        <f aca="false">IF(A1022="","",IFERROR(1/(1/_xlfn.MINIFS(Apparitions!$L$2:$L$5001,Apparitions!$H$2:$H$5001,A1022)),""))</f>
        <v/>
      </c>
    </row>
    <row r="1023" customFormat="false" ht="15" hidden="false" customHeight="false" outlineLevel="0" collapsed="false">
      <c r="A1023" s="19"/>
      <c r="B1023" s="19"/>
      <c r="C1023" s="19"/>
      <c r="D1023" s="19"/>
      <c r="E1023" s="32"/>
      <c r="F1023" s="19"/>
      <c r="G1023" s="26" t="str">
        <f aca="false">IF(A1023="","",COUNTIF(Pubs!$B$2:$B$3001,A1023))</f>
        <v/>
      </c>
      <c r="H1023" s="26" t="str">
        <f aca="false">IF(A1023="","",COUNTIF(Apparitions!$H$2:$H$5001,A1023))</f>
        <v/>
      </c>
      <c r="I1023" s="26" t="str">
        <f aca="false">IF(A1023="","",COUNTIFS(Apparitions!$H$2:$H$5001,A1023,Apparitions!$E$2:$E$5001,"○"))</f>
        <v/>
      </c>
      <c r="J1023" s="29" t="str">
        <f aca="false">IF(A1023="","",IFERROR(1/(1/_xlfn.MINIFS(Apparitions!$L$2:$L$5001,Apparitions!$H$2:$H$5001,A1023)),""))</f>
        <v/>
      </c>
    </row>
    <row r="1024" customFormat="false" ht="15" hidden="false" customHeight="false" outlineLevel="0" collapsed="false">
      <c r="A1024" s="19"/>
      <c r="B1024" s="19"/>
      <c r="C1024" s="19"/>
      <c r="D1024" s="19"/>
      <c r="E1024" s="32"/>
      <c r="F1024" s="19"/>
      <c r="G1024" s="26" t="str">
        <f aca="false">IF(A1024="","",COUNTIF(Pubs!$B$2:$B$3001,A1024))</f>
        <v/>
      </c>
      <c r="H1024" s="26" t="str">
        <f aca="false">IF(A1024="","",COUNTIF(Apparitions!$H$2:$H$5001,A1024))</f>
        <v/>
      </c>
      <c r="I1024" s="26" t="str">
        <f aca="false">IF(A1024="","",COUNTIFS(Apparitions!$H$2:$H$5001,A1024,Apparitions!$E$2:$E$5001,"○"))</f>
        <v/>
      </c>
      <c r="J1024" s="29" t="str">
        <f aca="false">IF(A1024="","",IFERROR(1/(1/_xlfn.MINIFS(Apparitions!$L$2:$L$5001,Apparitions!$H$2:$H$5001,A1024)),""))</f>
        <v/>
      </c>
    </row>
    <row r="1025" customFormat="false" ht="15" hidden="false" customHeight="false" outlineLevel="0" collapsed="false">
      <c r="A1025" s="19"/>
      <c r="B1025" s="19"/>
      <c r="C1025" s="19"/>
      <c r="D1025" s="19"/>
      <c r="E1025" s="32"/>
      <c r="F1025" s="19"/>
      <c r="G1025" s="26" t="str">
        <f aca="false">IF(A1025="","",COUNTIF(Pubs!$B$2:$B$3001,A1025))</f>
        <v/>
      </c>
      <c r="H1025" s="26" t="str">
        <f aca="false">IF(A1025="","",COUNTIF(Apparitions!$H$2:$H$5001,A1025))</f>
        <v/>
      </c>
      <c r="I1025" s="26" t="str">
        <f aca="false">IF(A1025="","",COUNTIFS(Apparitions!$H$2:$H$5001,A1025,Apparitions!$E$2:$E$5001,"○"))</f>
        <v/>
      </c>
      <c r="J1025" s="29" t="str">
        <f aca="false">IF(A1025="","",IFERROR(1/(1/_xlfn.MINIFS(Apparitions!$L$2:$L$5001,Apparitions!$H$2:$H$5001,A1025)),""))</f>
        <v/>
      </c>
    </row>
    <row r="1026" customFormat="false" ht="15" hidden="false" customHeight="false" outlineLevel="0" collapsed="false">
      <c r="A1026" s="19"/>
      <c r="B1026" s="19"/>
      <c r="C1026" s="19"/>
      <c r="D1026" s="19"/>
      <c r="E1026" s="32"/>
      <c r="F1026" s="19"/>
      <c r="G1026" s="26" t="str">
        <f aca="false">IF(A1026="","",COUNTIF(Pubs!$B$2:$B$3001,A1026))</f>
        <v/>
      </c>
      <c r="H1026" s="26" t="str">
        <f aca="false">IF(A1026="","",COUNTIF(Apparitions!$H$2:$H$5001,A1026))</f>
        <v/>
      </c>
      <c r="I1026" s="26" t="str">
        <f aca="false">IF(A1026="","",COUNTIFS(Apparitions!$H$2:$H$5001,A1026,Apparitions!$E$2:$E$5001,"○"))</f>
        <v/>
      </c>
      <c r="J1026" s="29" t="str">
        <f aca="false">IF(A1026="","",IFERROR(1/(1/_xlfn.MINIFS(Apparitions!$L$2:$L$5001,Apparitions!$H$2:$H$5001,A1026)),""))</f>
        <v/>
      </c>
    </row>
    <row r="1027" customFormat="false" ht="15" hidden="false" customHeight="false" outlineLevel="0" collapsed="false">
      <c r="A1027" s="19"/>
      <c r="B1027" s="19"/>
      <c r="C1027" s="19"/>
      <c r="D1027" s="19"/>
      <c r="E1027" s="32"/>
      <c r="F1027" s="19"/>
      <c r="G1027" s="26" t="str">
        <f aca="false">IF(A1027="","",COUNTIF(Pubs!$B$2:$B$3001,A1027))</f>
        <v/>
      </c>
      <c r="H1027" s="26" t="str">
        <f aca="false">IF(A1027="","",COUNTIF(Apparitions!$H$2:$H$5001,A1027))</f>
        <v/>
      </c>
      <c r="I1027" s="26" t="str">
        <f aca="false">IF(A1027="","",COUNTIFS(Apparitions!$H$2:$H$5001,A1027,Apparitions!$E$2:$E$5001,"○"))</f>
        <v/>
      </c>
      <c r="J1027" s="29" t="str">
        <f aca="false">IF(A1027="","",IFERROR(1/(1/_xlfn.MINIFS(Apparitions!$L$2:$L$5001,Apparitions!$H$2:$H$5001,A1027)),""))</f>
        <v/>
      </c>
    </row>
    <row r="1028" customFormat="false" ht="15" hidden="false" customHeight="false" outlineLevel="0" collapsed="false">
      <c r="A1028" s="19"/>
      <c r="B1028" s="19"/>
      <c r="C1028" s="19"/>
      <c r="D1028" s="19"/>
      <c r="E1028" s="32"/>
      <c r="F1028" s="19"/>
      <c r="G1028" s="26" t="str">
        <f aca="false">IF(A1028="","",COUNTIF(Pubs!$B$2:$B$3001,A1028))</f>
        <v/>
      </c>
      <c r="H1028" s="26" t="str">
        <f aca="false">IF(A1028="","",COUNTIF(Apparitions!$H$2:$H$5001,A1028))</f>
        <v/>
      </c>
      <c r="I1028" s="26" t="str">
        <f aca="false">IF(A1028="","",COUNTIFS(Apparitions!$H$2:$H$5001,A1028,Apparitions!$E$2:$E$5001,"○"))</f>
        <v/>
      </c>
      <c r="J1028" s="29" t="str">
        <f aca="false">IF(A1028="","",IFERROR(1/(1/_xlfn.MINIFS(Apparitions!$L$2:$L$5001,Apparitions!$H$2:$H$5001,A1028)),""))</f>
        <v/>
      </c>
    </row>
    <row r="1029" customFormat="false" ht="15" hidden="false" customHeight="false" outlineLevel="0" collapsed="false">
      <c r="A1029" s="19"/>
      <c r="B1029" s="19"/>
      <c r="C1029" s="19"/>
      <c r="D1029" s="19"/>
      <c r="E1029" s="32"/>
      <c r="F1029" s="19"/>
      <c r="G1029" s="26" t="str">
        <f aca="false">IF(A1029="","",COUNTIF(Pubs!$B$2:$B$3001,A1029))</f>
        <v/>
      </c>
      <c r="H1029" s="26" t="str">
        <f aca="false">IF(A1029="","",COUNTIF(Apparitions!$H$2:$H$5001,A1029))</f>
        <v/>
      </c>
      <c r="I1029" s="26" t="str">
        <f aca="false">IF(A1029="","",COUNTIFS(Apparitions!$H$2:$H$5001,A1029,Apparitions!$E$2:$E$5001,"○"))</f>
        <v/>
      </c>
      <c r="J1029" s="29" t="str">
        <f aca="false">IF(A1029="","",IFERROR(1/(1/_xlfn.MINIFS(Apparitions!$L$2:$L$5001,Apparitions!$H$2:$H$5001,A1029)),""))</f>
        <v/>
      </c>
    </row>
    <row r="1030" customFormat="false" ht="15" hidden="false" customHeight="false" outlineLevel="0" collapsed="false">
      <c r="A1030" s="19"/>
      <c r="B1030" s="19"/>
      <c r="C1030" s="19"/>
      <c r="D1030" s="19"/>
      <c r="E1030" s="32"/>
      <c r="F1030" s="19"/>
      <c r="G1030" s="26" t="str">
        <f aca="false">IF(A1030="","",COUNTIF(Pubs!$B$2:$B$3001,A1030))</f>
        <v/>
      </c>
      <c r="H1030" s="26" t="str">
        <f aca="false">IF(A1030="","",COUNTIF(Apparitions!$H$2:$H$5001,A1030))</f>
        <v/>
      </c>
      <c r="I1030" s="26" t="str">
        <f aca="false">IF(A1030="","",COUNTIFS(Apparitions!$H$2:$H$5001,A1030,Apparitions!$E$2:$E$5001,"○"))</f>
        <v/>
      </c>
      <c r="J1030" s="29" t="str">
        <f aca="false">IF(A1030="","",IFERROR(1/(1/_xlfn.MINIFS(Apparitions!$L$2:$L$5001,Apparitions!$H$2:$H$5001,A1030)),""))</f>
        <v/>
      </c>
    </row>
    <row r="1031" customFormat="false" ht="15" hidden="false" customHeight="false" outlineLevel="0" collapsed="false">
      <c r="A1031" s="19"/>
      <c r="B1031" s="19"/>
      <c r="C1031" s="19"/>
      <c r="D1031" s="19"/>
      <c r="E1031" s="32"/>
      <c r="F1031" s="19"/>
      <c r="G1031" s="26" t="str">
        <f aca="false">IF(A1031="","",COUNTIF(Pubs!$B$2:$B$3001,A1031))</f>
        <v/>
      </c>
      <c r="H1031" s="26" t="str">
        <f aca="false">IF(A1031="","",COUNTIF(Apparitions!$H$2:$H$5001,A1031))</f>
        <v/>
      </c>
      <c r="I1031" s="26" t="str">
        <f aca="false">IF(A1031="","",COUNTIFS(Apparitions!$H$2:$H$5001,A1031,Apparitions!$E$2:$E$5001,"○"))</f>
        <v/>
      </c>
      <c r="J1031" s="29" t="str">
        <f aca="false">IF(A1031="","",IFERROR(1/(1/_xlfn.MINIFS(Apparitions!$L$2:$L$5001,Apparitions!$H$2:$H$5001,A1031)),""))</f>
        <v/>
      </c>
    </row>
    <row r="1032" customFormat="false" ht="15" hidden="false" customHeight="false" outlineLevel="0" collapsed="false">
      <c r="A1032" s="19"/>
      <c r="B1032" s="19"/>
      <c r="C1032" s="19"/>
      <c r="D1032" s="19"/>
      <c r="E1032" s="32"/>
      <c r="F1032" s="19"/>
      <c r="G1032" s="26" t="str">
        <f aca="false">IF(A1032="","",COUNTIF(Pubs!$B$2:$B$3001,A1032))</f>
        <v/>
      </c>
      <c r="H1032" s="26" t="str">
        <f aca="false">IF(A1032="","",COUNTIF(Apparitions!$H$2:$H$5001,A1032))</f>
        <v/>
      </c>
      <c r="I1032" s="26" t="str">
        <f aca="false">IF(A1032="","",COUNTIFS(Apparitions!$H$2:$H$5001,A1032,Apparitions!$E$2:$E$5001,"○"))</f>
        <v/>
      </c>
      <c r="J1032" s="29" t="str">
        <f aca="false">IF(A1032="","",IFERROR(1/(1/_xlfn.MINIFS(Apparitions!$L$2:$L$5001,Apparitions!$H$2:$H$5001,A1032)),""))</f>
        <v/>
      </c>
    </row>
    <row r="1033" customFormat="false" ht="15" hidden="false" customHeight="false" outlineLevel="0" collapsed="false">
      <c r="A1033" s="19"/>
      <c r="B1033" s="19"/>
      <c r="C1033" s="19"/>
      <c r="D1033" s="19"/>
      <c r="E1033" s="32"/>
      <c r="F1033" s="19"/>
      <c r="G1033" s="26" t="str">
        <f aca="false">IF(A1033="","",COUNTIF(Pubs!$B$2:$B$3001,A1033))</f>
        <v/>
      </c>
      <c r="H1033" s="26" t="str">
        <f aca="false">IF(A1033="","",COUNTIF(Apparitions!$H$2:$H$5001,A1033))</f>
        <v/>
      </c>
      <c r="I1033" s="26" t="str">
        <f aca="false">IF(A1033="","",COUNTIFS(Apparitions!$H$2:$H$5001,A1033,Apparitions!$E$2:$E$5001,"○"))</f>
        <v/>
      </c>
      <c r="J1033" s="29" t="str">
        <f aca="false">IF(A1033="","",IFERROR(1/(1/_xlfn.MINIFS(Apparitions!$L$2:$L$5001,Apparitions!$H$2:$H$5001,A1033)),""))</f>
        <v/>
      </c>
    </row>
    <row r="1034" customFormat="false" ht="15" hidden="false" customHeight="false" outlineLevel="0" collapsed="false">
      <c r="A1034" s="19"/>
      <c r="B1034" s="19"/>
      <c r="C1034" s="19"/>
      <c r="D1034" s="19"/>
      <c r="E1034" s="32"/>
      <c r="F1034" s="19"/>
      <c r="G1034" s="26" t="str">
        <f aca="false">IF(A1034="","",COUNTIF(Pubs!$B$2:$B$3001,A1034))</f>
        <v/>
      </c>
      <c r="H1034" s="26" t="str">
        <f aca="false">IF(A1034="","",COUNTIF(Apparitions!$H$2:$H$5001,A1034))</f>
        <v/>
      </c>
      <c r="I1034" s="26" t="str">
        <f aca="false">IF(A1034="","",COUNTIFS(Apparitions!$H$2:$H$5001,A1034,Apparitions!$E$2:$E$5001,"○"))</f>
        <v/>
      </c>
      <c r="J1034" s="29" t="str">
        <f aca="false">IF(A1034="","",IFERROR(1/(1/_xlfn.MINIFS(Apparitions!$L$2:$L$5001,Apparitions!$H$2:$H$5001,A1034)),""))</f>
        <v/>
      </c>
    </row>
    <row r="1035" customFormat="false" ht="15" hidden="false" customHeight="false" outlineLevel="0" collapsed="false">
      <c r="A1035" s="19"/>
      <c r="B1035" s="19"/>
      <c r="C1035" s="19"/>
      <c r="D1035" s="19"/>
      <c r="E1035" s="32"/>
      <c r="F1035" s="19"/>
      <c r="G1035" s="26" t="str">
        <f aca="false">IF(A1035="","",COUNTIF(Pubs!$B$2:$B$3001,A1035))</f>
        <v/>
      </c>
      <c r="H1035" s="26" t="str">
        <f aca="false">IF(A1035="","",COUNTIF(Apparitions!$H$2:$H$5001,A1035))</f>
        <v/>
      </c>
      <c r="I1035" s="26" t="str">
        <f aca="false">IF(A1035="","",COUNTIFS(Apparitions!$H$2:$H$5001,A1035,Apparitions!$E$2:$E$5001,"○"))</f>
        <v/>
      </c>
      <c r="J1035" s="29" t="str">
        <f aca="false">IF(A1035="","",IFERROR(1/(1/_xlfn.MINIFS(Apparitions!$L$2:$L$5001,Apparitions!$H$2:$H$5001,A1035)),""))</f>
        <v/>
      </c>
    </row>
    <row r="1036" customFormat="false" ht="15" hidden="false" customHeight="false" outlineLevel="0" collapsed="false">
      <c r="A1036" s="19"/>
      <c r="B1036" s="19"/>
      <c r="C1036" s="19"/>
      <c r="D1036" s="19"/>
      <c r="E1036" s="32"/>
      <c r="F1036" s="19"/>
      <c r="G1036" s="26" t="str">
        <f aca="false">IF(A1036="","",COUNTIF(Pubs!$B$2:$B$3001,A1036))</f>
        <v/>
      </c>
      <c r="H1036" s="26" t="str">
        <f aca="false">IF(A1036="","",COUNTIF(Apparitions!$H$2:$H$5001,A1036))</f>
        <v/>
      </c>
      <c r="I1036" s="26" t="str">
        <f aca="false">IF(A1036="","",COUNTIFS(Apparitions!$H$2:$H$5001,A1036,Apparitions!$E$2:$E$5001,"○"))</f>
        <v/>
      </c>
      <c r="J1036" s="29" t="str">
        <f aca="false">IF(A1036="","",IFERROR(1/(1/_xlfn.MINIFS(Apparitions!$L$2:$L$5001,Apparitions!$H$2:$H$5001,A1036)),""))</f>
        <v/>
      </c>
    </row>
    <row r="1037" customFormat="false" ht="15" hidden="false" customHeight="false" outlineLevel="0" collapsed="false">
      <c r="A1037" s="19"/>
      <c r="B1037" s="19"/>
      <c r="C1037" s="19"/>
      <c r="D1037" s="19"/>
      <c r="E1037" s="32"/>
      <c r="F1037" s="19"/>
      <c r="G1037" s="26" t="str">
        <f aca="false">IF(A1037="","",COUNTIF(Pubs!$B$2:$B$3001,A1037))</f>
        <v/>
      </c>
      <c r="H1037" s="26" t="str">
        <f aca="false">IF(A1037="","",COUNTIF(Apparitions!$H$2:$H$5001,A1037))</f>
        <v/>
      </c>
      <c r="I1037" s="26" t="str">
        <f aca="false">IF(A1037="","",COUNTIFS(Apparitions!$H$2:$H$5001,A1037,Apparitions!$E$2:$E$5001,"○"))</f>
        <v/>
      </c>
      <c r="J1037" s="29" t="str">
        <f aca="false">IF(A1037="","",IFERROR(1/(1/_xlfn.MINIFS(Apparitions!$L$2:$L$5001,Apparitions!$H$2:$H$5001,A1037)),""))</f>
        <v/>
      </c>
    </row>
    <row r="1038" customFormat="false" ht="15" hidden="false" customHeight="false" outlineLevel="0" collapsed="false">
      <c r="A1038" s="19"/>
      <c r="B1038" s="19"/>
      <c r="C1038" s="19"/>
      <c r="D1038" s="19"/>
      <c r="E1038" s="32"/>
      <c r="F1038" s="19"/>
      <c r="G1038" s="26" t="str">
        <f aca="false">IF(A1038="","",COUNTIF(Pubs!$B$2:$B$3001,A1038))</f>
        <v/>
      </c>
      <c r="H1038" s="26" t="str">
        <f aca="false">IF(A1038="","",COUNTIF(Apparitions!$H$2:$H$5001,A1038))</f>
        <v/>
      </c>
      <c r="I1038" s="26" t="str">
        <f aca="false">IF(A1038="","",COUNTIFS(Apparitions!$H$2:$H$5001,A1038,Apparitions!$E$2:$E$5001,"○"))</f>
        <v/>
      </c>
      <c r="J1038" s="29" t="str">
        <f aca="false">IF(A1038="","",IFERROR(1/(1/_xlfn.MINIFS(Apparitions!$L$2:$L$5001,Apparitions!$H$2:$H$5001,A1038)),""))</f>
        <v/>
      </c>
    </row>
    <row r="1039" customFormat="false" ht="15" hidden="false" customHeight="false" outlineLevel="0" collapsed="false">
      <c r="A1039" s="19"/>
      <c r="B1039" s="19"/>
      <c r="C1039" s="19"/>
      <c r="D1039" s="19"/>
      <c r="E1039" s="32"/>
      <c r="F1039" s="19"/>
      <c r="G1039" s="26" t="str">
        <f aca="false">IF(A1039="","",COUNTIF(Pubs!$B$2:$B$3001,A1039))</f>
        <v/>
      </c>
      <c r="H1039" s="26" t="str">
        <f aca="false">IF(A1039="","",COUNTIF(Apparitions!$H$2:$H$5001,A1039))</f>
        <v/>
      </c>
      <c r="I1039" s="26" t="str">
        <f aca="false">IF(A1039="","",COUNTIFS(Apparitions!$H$2:$H$5001,A1039,Apparitions!$E$2:$E$5001,"○"))</f>
        <v/>
      </c>
      <c r="J1039" s="29" t="str">
        <f aca="false">IF(A1039="","",IFERROR(1/(1/_xlfn.MINIFS(Apparitions!$L$2:$L$5001,Apparitions!$H$2:$H$5001,A1039)),""))</f>
        <v/>
      </c>
    </row>
    <row r="1040" customFormat="false" ht="15" hidden="false" customHeight="false" outlineLevel="0" collapsed="false">
      <c r="A1040" s="19"/>
      <c r="B1040" s="19"/>
      <c r="C1040" s="19"/>
      <c r="D1040" s="19"/>
      <c r="E1040" s="32"/>
      <c r="F1040" s="19"/>
      <c r="G1040" s="26" t="str">
        <f aca="false">IF(A1040="","",COUNTIF(Pubs!$B$2:$B$3001,A1040))</f>
        <v/>
      </c>
      <c r="H1040" s="26" t="str">
        <f aca="false">IF(A1040="","",COUNTIF(Apparitions!$H$2:$H$5001,A1040))</f>
        <v/>
      </c>
      <c r="I1040" s="26" t="str">
        <f aca="false">IF(A1040="","",COUNTIFS(Apparitions!$H$2:$H$5001,A1040,Apparitions!$E$2:$E$5001,"○"))</f>
        <v/>
      </c>
      <c r="J1040" s="29" t="str">
        <f aca="false">IF(A1040="","",IFERROR(1/(1/_xlfn.MINIFS(Apparitions!$L$2:$L$5001,Apparitions!$H$2:$H$5001,A1040)),""))</f>
        <v/>
      </c>
    </row>
    <row r="1041" customFormat="false" ht="15" hidden="false" customHeight="false" outlineLevel="0" collapsed="false">
      <c r="A1041" s="19"/>
      <c r="B1041" s="19"/>
      <c r="C1041" s="19"/>
      <c r="D1041" s="19"/>
      <c r="E1041" s="32"/>
      <c r="F1041" s="19"/>
      <c r="G1041" s="26" t="str">
        <f aca="false">IF(A1041="","",COUNTIF(Pubs!$B$2:$B$3001,A1041))</f>
        <v/>
      </c>
      <c r="H1041" s="26" t="str">
        <f aca="false">IF(A1041="","",COUNTIF(Apparitions!$H$2:$H$5001,A1041))</f>
        <v/>
      </c>
      <c r="I1041" s="26" t="str">
        <f aca="false">IF(A1041="","",COUNTIFS(Apparitions!$H$2:$H$5001,A1041,Apparitions!$E$2:$E$5001,"○"))</f>
        <v/>
      </c>
      <c r="J1041" s="29" t="str">
        <f aca="false">IF(A1041="","",IFERROR(1/(1/_xlfn.MINIFS(Apparitions!$L$2:$L$5001,Apparitions!$H$2:$H$5001,A1041)),""))</f>
        <v/>
      </c>
    </row>
    <row r="1042" customFormat="false" ht="15" hidden="false" customHeight="false" outlineLevel="0" collapsed="false">
      <c r="A1042" s="19"/>
      <c r="B1042" s="19"/>
      <c r="C1042" s="19"/>
      <c r="D1042" s="19"/>
      <c r="E1042" s="32"/>
      <c r="F1042" s="19"/>
      <c r="G1042" s="26" t="str">
        <f aca="false">IF(A1042="","",COUNTIF(Pubs!$B$2:$B$3001,A1042))</f>
        <v/>
      </c>
      <c r="H1042" s="26" t="str">
        <f aca="false">IF(A1042="","",COUNTIF(Apparitions!$H$2:$H$5001,A1042))</f>
        <v/>
      </c>
      <c r="I1042" s="26" t="str">
        <f aca="false">IF(A1042="","",COUNTIFS(Apparitions!$H$2:$H$5001,A1042,Apparitions!$E$2:$E$5001,"○"))</f>
        <v/>
      </c>
      <c r="J1042" s="29" t="str">
        <f aca="false">IF(A1042="","",IFERROR(1/(1/_xlfn.MINIFS(Apparitions!$L$2:$L$5001,Apparitions!$H$2:$H$5001,A1042)),""))</f>
        <v/>
      </c>
    </row>
    <row r="1043" customFormat="false" ht="15" hidden="false" customHeight="false" outlineLevel="0" collapsed="false">
      <c r="A1043" s="19"/>
      <c r="B1043" s="19"/>
      <c r="C1043" s="19"/>
      <c r="D1043" s="19"/>
      <c r="E1043" s="32"/>
      <c r="F1043" s="19"/>
      <c r="G1043" s="26" t="str">
        <f aca="false">IF(A1043="","",COUNTIF(Pubs!$B$2:$B$3001,A1043))</f>
        <v/>
      </c>
      <c r="H1043" s="26" t="str">
        <f aca="false">IF(A1043="","",COUNTIF(Apparitions!$H$2:$H$5001,A1043))</f>
        <v/>
      </c>
      <c r="I1043" s="26" t="str">
        <f aca="false">IF(A1043="","",COUNTIFS(Apparitions!$H$2:$H$5001,A1043,Apparitions!$E$2:$E$5001,"○"))</f>
        <v/>
      </c>
      <c r="J1043" s="29" t="str">
        <f aca="false">IF(A1043="","",IFERROR(1/(1/_xlfn.MINIFS(Apparitions!$L$2:$L$5001,Apparitions!$H$2:$H$5001,A1043)),""))</f>
        <v/>
      </c>
    </row>
    <row r="1044" customFormat="false" ht="15" hidden="false" customHeight="false" outlineLevel="0" collapsed="false">
      <c r="A1044" s="19"/>
      <c r="B1044" s="19"/>
      <c r="C1044" s="19"/>
      <c r="D1044" s="19"/>
      <c r="E1044" s="32"/>
      <c r="F1044" s="19"/>
      <c r="G1044" s="26" t="str">
        <f aca="false">IF(A1044="","",COUNTIF(Pubs!$B$2:$B$3001,A1044))</f>
        <v/>
      </c>
      <c r="H1044" s="26" t="str">
        <f aca="false">IF(A1044="","",COUNTIF(Apparitions!$H$2:$H$5001,A1044))</f>
        <v/>
      </c>
      <c r="I1044" s="26" t="str">
        <f aca="false">IF(A1044="","",COUNTIFS(Apparitions!$H$2:$H$5001,A1044,Apparitions!$E$2:$E$5001,"○"))</f>
        <v/>
      </c>
      <c r="J1044" s="29" t="str">
        <f aca="false">IF(A1044="","",IFERROR(1/(1/_xlfn.MINIFS(Apparitions!$L$2:$L$5001,Apparitions!$H$2:$H$5001,A1044)),""))</f>
        <v/>
      </c>
    </row>
    <row r="1045" customFormat="false" ht="15" hidden="false" customHeight="false" outlineLevel="0" collapsed="false">
      <c r="A1045" s="19"/>
      <c r="B1045" s="19"/>
      <c r="C1045" s="19"/>
      <c r="D1045" s="19"/>
      <c r="E1045" s="32"/>
      <c r="F1045" s="19"/>
      <c r="G1045" s="26" t="str">
        <f aca="false">IF(A1045="","",COUNTIF(Pubs!$B$2:$B$3001,A1045))</f>
        <v/>
      </c>
      <c r="H1045" s="26" t="str">
        <f aca="false">IF(A1045="","",COUNTIF(Apparitions!$H$2:$H$5001,A1045))</f>
        <v/>
      </c>
      <c r="I1045" s="26" t="str">
        <f aca="false">IF(A1045="","",COUNTIFS(Apparitions!$H$2:$H$5001,A1045,Apparitions!$E$2:$E$5001,"○"))</f>
        <v/>
      </c>
      <c r="J1045" s="29" t="str">
        <f aca="false">IF(A1045="","",IFERROR(1/(1/_xlfn.MINIFS(Apparitions!$L$2:$L$5001,Apparitions!$H$2:$H$5001,A1045)),""))</f>
        <v/>
      </c>
    </row>
    <row r="1046" customFormat="false" ht="15" hidden="false" customHeight="false" outlineLevel="0" collapsed="false">
      <c r="A1046" s="19"/>
      <c r="B1046" s="19"/>
      <c r="C1046" s="19"/>
      <c r="D1046" s="19"/>
      <c r="E1046" s="32"/>
      <c r="F1046" s="19"/>
      <c r="G1046" s="26" t="str">
        <f aca="false">IF(A1046="","",COUNTIF(Pubs!$B$2:$B$3001,A1046))</f>
        <v/>
      </c>
      <c r="H1046" s="26" t="str">
        <f aca="false">IF(A1046="","",COUNTIF(Apparitions!$H$2:$H$5001,A1046))</f>
        <v/>
      </c>
      <c r="I1046" s="26" t="str">
        <f aca="false">IF(A1046="","",COUNTIFS(Apparitions!$H$2:$H$5001,A1046,Apparitions!$E$2:$E$5001,"○"))</f>
        <v/>
      </c>
      <c r="J1046" s="29" t="str">
        <f aca="false">IF(A1046="","",IFERROR(1/(1/_xlfn.MINIFS(Apparitions!$L$2:$L$5001,Apparitions!$H$2:$H$5001,A1046)),""))</f>
        <v/>
      </c>
    </row>
    <row r="1047" customFormat="false" ht="15" hidden="false" customHeight="false" outlineLevel="0" collapsed="false">
      <c r="A1047" s="19"/>
      <c r="B1047" s="19"/>
      <c r="C1047" s="19"/>
      <c r="D1047" s="19"/>
      <c r="E1047" s="32"/>
      <c r="F1047" s="19"/>
      <c r="G1047" s="26" t="str">
        <f aca="false">IF(A1047="","",COUNTIF(Pubs!$B$2:$B$3001,A1047))</f>
        <v/>
      </c>
      <c r="H1047" s="26" t="str">
        <f aca="false">IF(A1047="","",COUNTIF(Apparitions!$H$2:$H$5001,A1047))</f>
        <v/>
      </c>
      <c r="I1047" s="26" t="str">
        <f aca="false">IF(A1047="","",COUNTIFS(Apparitions!$H$2:$H$5001,A1047,Apparitions!$E$2:$E$5001,"○"))</f>
        <v/>
      </c>
      <c r="J1047" s="29" t="str">
        <f aca="false">IF(A1047="","",IFERROR(1/(1/_xlfn.MINIFS(Apparitions!$L$2:$L$5001,Apparitions!$H$2:$H$5001,A1047)),""))</f>
        <v/>
      </c>
    </row>
    <row r="1048" customFormat="false" ht="15" hidden="false" customHeight="false" outlineLevel="0" collapsed="false">
      <c r="A1048" s="19"/>
      <c r="B1048" s="19"/>
      <c r="C1048" s="19"/>
      <c r="D1048" s="19"/>
      <c r="E1048" s="32"/>
      <c r="F1048" s="19"/>
      <c r="G1048" s="26" t="str">
        <f aca="false">IF(A1048="","",COUNTIF(Pubs!$B$2:$B$3001,A1048))</f>
        <v/>
      </c>
      <c r="H1048" s="26" t="str">
        <f aca="false">IF(A1048="","",COUNTIF(Apparitions!$H$2:$H$5001,A1048))</f>
        <v/>
      </c>
      <c r="I1048" s="26" t="str">
        <f aca="false">IF(A1048="","",COUNTIFS(Apparitions!$H$2:$H$5001,A1048,Apparitions!$E$2:$E$5001,"○"))</f>
        <v/>
      </c>
      <c r="J1048" s="29" t="str">
        <f aca="false">IF(A1048="","",IFERROR(1/(1/_xlfn.MINIFS(Apparitions!$L$2:$L$5001,Apparitions!$H$2:$H$5001,A1048)),""))</f>
        <v/>
      </c>
    </row>
    <row r="1049" customFormat="false" ht="15" hidden="false" customHeight="false" outlineLevel="0" collapsed="false">
      <c r="A1049" s="19"/>
      <c r="B1049" s="19"/>
      <c r="C1049" s="19"/>
      <c r="D1049" s="19"/>
      <c r="E1049" s="32"/>
      <c r="F1049" s="19"/>
      <c r="G1049" s="26" t="str">
        <f aca="false">IF(A1049="","",COUNTIF(Pubs!$B$2:$B$3001,A1049))</f>
        <v/>
      </c>
      <c r="H1049" s="26" t="str">
        <f aca="false">IF(A1049="","",COUNTIF(Apparitions!$H$2:$H$5001,A1049))</f>
        <v/>
      </c>
      <c r="I1049" s="26" t="str">
        <f aca="false">IF(A1049="","",COUNTIFS(Apparitions!$H$2:$H$5001,A1049,Apparitions!$E$2:$E$5001,"○"))</f>
        <v/>
      </c>
      <c r="J1049" s="29" t="str">
        <f aca="false">IF(A1049="","",IFERROR(1/(1/_xlfn.MINIFS(Apparitions!$L$2:$L$5001,Apparitions!$H$2:$H$5001,A1049)),""))</f>
        <v/>
      </c>
    </row>
    <row r="1050" customFormat="false" ht="15" hidden="false" customHeight="false" outlineLevel="0" collapsed="false">
      <c r="A1050" s="19"/>
      <c r="B1050" s="19"/>
      <c r="C1050" s="19"/>
      <c r="D1050" s="19"/>
      <c r="E1050" s="32"/>
      <c r="F1050" s="19"/>
      <c r="G1050" s="26" t="str">
        <f aca="false">IF(A1050="","",COUNTIF(Pubs!$B$2:$B$3001,A1050))</f>
        <v/>
      </c>
      <c r="H1050" s="26" t="str">
        <f aca="false">IF(A1050="","",COUNTIF(Apparitions!$H$2:$H$5001,A1050))</f>
        <v/>
      </c>
      <c r="I1050" s="26" t="str">
        <f aca="false">IF(A1050="","",COUNTIFS(Apparitions!$H$2:$H$5001,A1050,Apparitions!$E$2:$E$5001,"○"))</f>
        <v/>
      </c>
      <c r="J1050" s="29" t="str">
        <f aca="false">IF(A1050="","",IFERROR(1/(1/_xlfn.MINIFS(Apparitions!$L$2:$L$5001,Apparitions!$H$2:$H$5001,A1050)),""))</f>
        <v/>
      </c>
    </row>
    <row r="1051" customFormat="false" ht="15" hidden="false" customHeight="false" outlineLevel="0" collapsed="false">
      <c r="A1051" s="19"/>
      <c r="B1051" s="19"/>
      <c r="C1051" s="19"/>
      <c r="D1051" s="19"/>
      <c r="E1051" s="32"/>
      <c r="F1051" s="19"/>
      <c r="G1051" s="26" t="str">
        <f aca="false">IF(A1051="","",COUNTIF(Pubs!$B$2:$B$3001,A1051))</f>
        <v/>
      </c>
      <c r="H1051" s="26" t="str">
        <f aca="false">IF(A1051="","",COUNTIF(Apparitions!$H$2:$H$5001,A1051))</f>
        <v/>
      </c>
      <c r="I1051" s="26" t="str">
        <f aca="false">IF(A1051="","",COUNTIFS(Apparitions!$H$2:$H$5001,A1051,Apparitions!$E$2:$E$5001,"○"))</f>
        <v/>
      </c>
      <c r="J1051" s="29" t="str">
        <f aca="false">IF(A1051="","",IFERROR(1/(1/_xlfn.MINIFS(Apparitions!$L$2:$L$5001,Apparitions!$H$2:$H$5001,A1051)),""))</f>
        <v/>
      </c>
    </row>
    <row r="1052" customFormat="false" ht="15" hidden="false" customHeight="false" outlineLevel="0" collapsed="false">
      <c r="A1052" s="19"/>
      <c r="B1052" s="19"/>
      <c r="C1052" s="19"/>
      <c r="D1052" s="19"/>
      <c r="E1052" s="32"/>
      <c r="F1052" s="19"/>
      <c r="G1052" s="26" t="str">
        <f aca="false">IF(A1052="","",COUNTIF(Pubs!$B$2:$B$3001,A1052))</f>
        <v/>
      </c>
      <c r="H1052" s="26" t="str">
        <f aca="false">IF(A1052="","",COUNTIF(Apparitions!$H$2:$H$5001,A1052))</f>
        <v/>
      </c>
      <c r="I1052" s="26" t="str">
        <f aca="false">IF(A1052="","",COUNTIFS(Apparitions!$H$2:$H$5001,A1052,Apparitions!$E$2:$E$5001,"○"))</f>
        <v/>
      </c>
      <c r="J1052" s="29" t="str">
        <f aca="false">IF(A1052="","",IFERROR(1/(1/_xlfn.MINIFS(Apparitions!$L$2:$L$5001,Apparitions!$H$2:$H$5001,A1052)),""))</f>
        <v/>
      </c>
    </row>
    <row r="1053" customFormat="false" ht="15" hidden="false" customHeight="false" outlineLevel="0" collapsed="false">
      <c r="A1053" s="19"/>
      <c r="B1053" s="19"/>
      <c r="C1053" s="19"/>
      <c r="D1053" s="19"/>
      <c r="E1053" s="32"/>
      <c r="F1053" s="19"/>
      <c r="G1053" s="26" t="str">
        <f aca="false">IF(A1053="","",COUNTIF(Pubs!$B$2:$B$3001,A1053))</f>
        <v/>
      </c>
      <c r="H1053" s="26" t="str">
        <f aca="false">IF(A1053="","",COUNTIF(Apparitions!$H$2:$H$5001,A1053))</f>
        <v/>
      </c>
      <c r="I1053" s="26" t="str">
        <f aca="false">IF(A1053="","",COUNTIFS(Apparitions!$H$2:$H$5001,A1053,Apparitions!$E$2:$E$5001,"○"))</f>
        <v/>
      </c>
      <c r="J1053" s="29" t="str">
        <f aca="false">IF(A1053="","",IFERROR(1/(1/_xlfn.MINIFS(Apparitions!$L$2:$L$5001,Apparitions!$H$2:$H$5001,A1053)),""))</f>
        <v/>
      </c>
    </row>
    <row r="1054" customFormat="false" ht="15" hidden="false" customHeight="false" outlineLevel="0" collapsed="false">
      <c r="A1054" s="19"/>
      <c r="B1054" s="19"/>
      <c r="C1054" s="19"/>
      <c r="D1054" s="19"/>
      <c r="E1054" s="32"/>
      <c r="F1054" s="19"/>
      <c r="G1054" s="26" t="str">
        <f aca="false">IF(A1054="","",COUNTIF(Pubs!$B$2:$B$3001,A1054))</f>
        <v/>
      </c>
      <c r="H1054" s="26" t="str">
        <f aca="false">IF(A1054="","",COUNTIF(Apparitions!$H$2:$H$5001,A1054))</f>
        <v/>
      </c>
      <c r="I1054" s="26" t="str">
        <f aca="false">IF(A1054="","",COUNTIFS(Apparitions!$H$2:$H$5001,A1054,Apparitions!$E$2:$E$5001,"○"))</f>
        <v/>
      </c>
      <c r="J1054" s="29" t="str">
        <f aca="false">IF(A1054="","",IFERROR(1/(1/_xlfn.MINIFS(Apparitions!$L$2:$L$5001,Apparitions!$H$2:$H$5001,A1054)),""))</f>
        <v/>
      </c>
    </row>
    <row r="1055" customFormat="false" ht="15" hidden="false" customHeight="false" outlineLevel="0" collapsed="false">
      <c r="A1055" s="19"/>
      <c r="B1055" s="19"/>
      <c r="C1055" s="19"/>
      <c r="D1055" s="19"/>
      <c r="E1055" s="32"/>
      <c r="F1055" s="19"/>
      <c r="G1055" s="26" t="str">
        <f aca="false">IF(A1055="","",COUNTIF(Pubs!$B$2:$B$3001,A1055))</f>
        <v/>
      </c>
      <c r="H1055" s="26" t="str">
        <f aca="false">IF(A1055="","",COUNTIF(Apparitions!$H$2:$H$5001,A1055))</f>
        <v/>
      </c>
      <c r="I1055" s="26" t="str">
        <f aca="false">IF(A1055="","",COUNTIFS(Apparitions!$H$2:$H$5001,A1055,Apparitions!$E$2:$E$5001,"○"))</f>
        <v/>
      </c>
      <c r="J1055" s="29" t="str">
        <f aca="false">IF(A1055="","",IFERROR(1/(1/_xlfn.MINIFS(Apparitions!$L$2:$L$5001,Apparitions!$H$2:$H$5001,A1055)),""))</f>
        <v/>
      </c>
    </row>
    <row r="1056" customFormat="false" ht="15" hidden="false" customHeight="false" outlineLevel="0" collapsed="false">
      <c r="A1056" s="19"/>
      <c r="B1056" s="19"/>
      <c r="C1056" s="19"/>
      <c r="D1056" s="19"/>
      <c r="E1056" s="32"/>
      <c r="F1056" s="19"/>
      <c r="G1056" s="26" t="str">
        <f aca="false">IF(A1056="","",COUNTIF(Pubs!$B$2:$B$3001,A1056))</f>
        <v/>
      </c>
      <c r="H1056" s="26" t="str">
        <f aca="false">IF(A1056="","",COUNTIF(Apparitions!$H$2:$H$5001,A1056))</f>
        <v/>
      </c>
      <c r="I1056" s="26" t="str">
        <f aca="false">IF(A1056="","",COUNTIFS(Apparitions!$H$2:$H$5001,A1056,Apparitions!$E$2:$E$5001,"○"))</f>
        <v/>
      </c>
      <c r="J1056" s="29" t="str">
        <f aca="false">IF(A1056="","",IFERROR(1/(1/_xlfn.MINIFS(Apparitions!$L$2:$L$5001,Apparitions!$H$2:$H$5001,A1056)),""))</f>
        <v/>
      </c>
    </row>
    <row r="1057" customFormat="false" ht="15" hidden="false" customHeight="false" outlineLevel="0" collapsed="false">
      <c r="A1057" s="19"/>
      <c r="B1057" s="19"/>
      <c r="C1057" s="19"/>
      <c r="D1057" s="19"/>
      <c r="E1057" s="32"/>
      <c r="F1057" s="19"/>
      <c r="G1057" s="26" t="str">
        <f aca="false">IF(A1057="","",COUNTIF(Pubs!$B$2:$B$3001,A1057))</f>
        <v/>
      </c>
      <c r="H1057" s="26" t="str">
        <f aca="false">IF(A1057="","",COUNTIF(Apparitions!$H$2:$H$5001,A1057))</f>
        <v/>
      </c>
      <c r="I1057" s="26" t="str">
        <f aca="false">IF(A1057="","",COUNTIFS(Apparitions!$H$2:$H$5001,A1057,Apparitions!$E$2:$E$5001,"○"))</f>
        <v/>
      </c>
      <c r="J1057" s="29" t="str">
        <f aca="false">IF(A1057="","",IFERROR(1/(1/_xlfn.MINIFS(Apparitions!$L$2:$L$5001,Apparitions!$H$2:$H$5001,A1057)),""))</f>
        <v/>
      </c>
    </row>
    <row r="1058" customFormat="false" ht="15" hidden="false" customHeight="false" outlineLevel="0" collapsed="false">
      <c r="A1058" s="19"/>
      <c r="B1058" s="19"/>
      <c r="C1058" s="19"/>
      <c r="D1058" s="19"/>
      <c r="E1058" s="32"/>
      <c r="F1058" s="19"/>
      <c r="G1058" s="26" t="str">
        <f aca="false">IF(A1058="","",COUNTIF(Pubs!$B$2:$B$3001,A1058))</f>
        <v/>
      </c>
      <c r="H1058" s="26" t="str">
        <f aca="false">IF(A1058="","",COUNTIF(Apparitions!$H$2:$H$5001,A1058))</f>
        <v/>
      </c>
      <c r="I1058" s="26" t="str">
        <f aca="false">IF(A1058="","",COUNTIFS(Apparitions!$H$2:$H$5001,A1058,Apparitions!$E$2:$E$5001,"○"))</f>
        <v/>
      </c>
      <c r="J1058" s="29" t="str">
        <f aca="false">IF(A1058="","",IFERROR(1/(1/_xlfn.MINIFS(Apparitions!$L$2:$L$5001,Apparitions!$H$2:$H$5001,A1058)),""))</f>
        <v/>
      </c>
    </row>
    <row r="1059" customFormat="false" ht="15" hidden="false" customHeight="false" outlineLevel="0" collapsed="false">
      <c r="A1059" s="19"/>
      <c r="B1059" s="19"/>
      <c r="C1059" s="19"/>
      <c r="D1059" s="19"/>
      <c r="E1059" s="32"/>
      <c r="F1059" s="19"/>
      <c r="G1059" s="26" t="str">
        <f aca="false">IF(A1059="","",COUNTIF(Pubs!$B$2:$B$3001,A1059))</f>
        <v/>
      </c>
      <c r="H1059" s="26" t="str">
        <f aca="false">IF(A1059="","",COUNTIF(Apparitions!$H$2:$H$5001,A1059))</f>
        <v/>
      </c>
      <c r="I1059" s="26" t="str">
        <f aca="false">IF(A1059="","",COUNTIFS(Apparitions!$H$2:$H$5001,A1059,Apparitions!$E$2:$E$5001,"○"))</f>
        <v/>
      </c>
      <c r="J1059" s="29" t="str">
        <f aca="false">IF(A1059="","",IFERROR(1/(1/_xlfn.MINIFS(Apparitions!$L$2:$L$5001,Apparitions!$H$2:$H$5001,A1059)),""))</f>
        <v/>
      </c>
    </row>
    <row r="1060" customFormat="false" ht="15" hidden="false" customHeight="false" outlineLevel="0" collapsed="false">
      <c r="A1060" s="19"/>
      <c r="B1060" s="19"/>
      <c r="C1060" s="19"/>
      <c r="D1060" s="19"/>
      <c r="E1060" s="32"/>
      <c r="F1060" s="19"/>
      <c r="G1060" s="26" t="str">
        <f aca="false">IF(A1060="","",COUNTIF(Pubs!$B$2:$B$3001,A1060))</f>
        <v/>
      </c>
      <c r="H1060" s="26" t="str">
        <f aca="false">IF(A1060="","",COUNTIF(Apparitions!$H$2:$H$5001,A1060))</f>
        <v/>
      </c>
      <c r="I1060" s="26" t="str">
        <f aca="false">IF(A1060="","",COUNTIFS(Apparitions!$H$2:$H$5001,A1060,Apparitions!$E$2:$E$5001,"○"))</f>
        <v/>
      </c>
      <c r="J1060" s="29" t="str">
        <f aca="false">IF(A1060="","",IFERROR(1/(1/_xlfn.MINIFS(Apparitions!$L$2:$L$5001,Apparitions!$H$2:$H$5001,A1060)),""))</f>
        <v/>
      </c>
    </row>
    <row r="1061" customFormat="false" ht="15" hidden="false" customHeight="false" outlineLevel="0" collapsed="false">
      <c r="A1061" s="19"/>
      <c r="B1061" s="19"/>
      <c r="C1061" s="19"/>
      <c r="D1061" s="19"/>
      <c r="E1061" s="32"/>
      <c r="F1061" s="19"/>
      <c r="G1061" s="26" t="str">
        <f aca="false">IF(A1061="","",COUNTIF(Pubs!$B$2:$B$3001,A1061))</f>
        <v/>
      </c>
      <c r="H1061" s="26" t="str">
        <f aca="false">IF(A1061="","",COUNTIF(Apparitions!$H$2:$H$5001,A1061))</f>
        <v/>
      </c>
      <c r="I1061" s="26" t="str">
        <f aca="false">IF(A1061="","",COUNTIFS(Apparitions!$H$2:$H$5001,A1061,Apparitions!$E$2:$E$5001,"○"))</f>
        <v/>
      </c>
      <c r="J1061" s="29" t="str">
        <f aca="false">IF(A1061="","",IFERROR(1/(1/_xlfn.MINIFS(Apparitions!$L$2:$L$5001,Apparitions!$H$2:$H$5001,A1061)),""))</f>
        <v/>
      </c>
    </row>
    <row r="1062" customFormat="false" ht="15" hidden="false" customHeight="false" outlineLevel="0" collapsed="false">
      <c r="A1062" s="19"/>
      <c r="B1062" s="19"/>
      <c r="C1062" s="19"/>
      <c r="D1062" s="19"/>
      <c r="E1062" s="32"/>
      <c r="F1062" s="19"/>
      <c r="G1062" s="26" t="str">
        <f aca="false">IF(A1062="","",COUNTIF(Pubs!$B$2:$B$3001,A1062))</f>
        <v/>
      </c>
      <c r="H1062" s="26" t="str">
        <f aca="false">IF(A1062="","",COUNTIF(Apparitions!$H$2:$H$5001,A1062))</f>
        <v/>
      </c>
      <c r="I1062" s="26" t="str">
        <f aca="false">IF(A1062="","",COUNTIFS(Apparitions!$H$2:$H$5001,A1062,Apparitions!$E$2:$E$5001,"○"))</f>
        <v/>
      </c>
      <c r="J1062" s="29" t="str">
        <f aca="false">IF(A1062="","",IFERROR(1/(1/_xlfn.MINIFS(Apparitions!$L$2:$L$5001,Apparitions!$H$2:$H$5001,A1062)),""))</f>
        <v/>
      </c>
    </row>
    <row r="1063" customFormat="false" ht="15" hidden="false" customHeight="false" outlineLevel="0" collapsed="false">
      <c r="A1063" s="19"/>
      <c r="B1063" s="19"/>
      <c r="C1063" s="19"/>
      <c r="D1063" s="19"/>
      <c r="E1063" s="32"/>
      <c r="F1063" s="19"/>
      <c r="G1063" s="26" t="str">
        <f aca="false">IF(A1063="","",COUNTIF(Pubs!$B$2:$B$3001,A1063))</f>
        <v/>
      </c>
      <c r="H1063" s="26" t="str">
        <f aca="false">IF(A1063="","",COUNTIF(Apparitions!$H$2:$H$5001,A1063))</f>
        <v/>
      </c>
      <c r="I1063" s="26" t="str">
        <f aca="false">IF(A1063="","",COUNTIFS(Apparitions!$H$2:$H$5001,A1063,Apparitions!$E$2:$E$5001,"○"))</f>
        <v/>
      </c>
      <c r="J1063" s="29" t="str">
        <f aca="false">IF(A1063="","",IFERROR(1/(1/_xlfn.MINIFS(Apparitions!$L$2:$L$5001,Apparitions!$H$2:$H$5001,A1063)),""))</f>
        <v/>
      </c>
    </row>
    <row r="1064" customFormat="false" ht="15" hidden="false" customHeight="false" outlineLevel="0" collapsed="false">
      <c r="A1064" s="19"/>
      <c r="B1064" s="19"/>
      <c r="C1064" s="19"/>
      <c r="D1064" s="19"/>
      <c r="E1064" s="32"/>
      <c r="F1064" s="19"/>
      <c r="G1064" s="26" t="str">
        <f aca="false">IF(A1064="","",COUNTIF(Pubs!$B$2:$B$3001,A1064))</f>
        <v/>
      </c>
      <c r="H1064" s="26" t="str">
        <f aca="false">IF(A1064="","",COUNTIF(Apparitions!$H$2:$H$5001,A1064))</f>
        <v/>
      </c>
      <c r="I1064" s="26" t="str">
        <f aca="false">IF(A1064="","",COUNTIFS(Apparitions!$H$2:$H$5001,A1064,Apparitions!$E$2:$E$5001,"○"))</f>
        <v/>
      </c>
      <c r="J1064" s="29" t="str">
        <f aca="false">IF(A1064="","",IFERROR(1/(1/_xlfn.MINIFS(Apparitions!$L$2:$L$5001,Apparitions!$H$2:$H$5001,A1064)),""))</f>
        <v/>
      </c>
    </row>
    <row r="1065" customFormat="false" ht="15" hidden="false" customHeight="false" outlineLevel="0" collapsed="false">
      <c r="A1065" s="19"/>
      <c r="B1065" s="19"/>
      <c r="C1065" s="19"/>
      <c r="D1065" s="19"/>
      <c r="E1065" s="32"/>
      <c r="F1065" s="19"/>
      <c r="G1065" s="26" t="str">
        <f aca="false">IF(A1065="","",COUNTIF(Pubs!$B$2:$B$3001,A1065))</f>
        <v/>
      </c>
      <c r="H1065" s="26" t="str">
        <f aca="false">IF(A1065="","",COUNTIF(Apparitions!$H$2:$H$5001,A1065))</f>
        <v/>
      </c>
      <c r="I1065" s="26" t="str">
        <f aca="false">IF(A1065="","",COUNTIFS(Apparitions!$H$2:$H$5001,A1065,Apparitions!$E$2:$E$5001,"○"))</f>
        <v/>
      </c>
      <c r="J1065" s="29" t="str">
        <f aca="false">IF(A1065="","",IFERROR(1/(1/_xlfn.MINIFS(Apparitions!$L$2:$L$5001,Apparitions!$H$2:$H$5001,A1065)),""))</f>
        <v/>
      </c>
    </row>
    <row r="1066" customFormat="false" ht="15" hidden="false" customHeight="false" outlineLevel="0" collapsed="false">
      <c r="A1066" s="19"/>
      <c r="B1066" s="19"/>
      <c r="C1066" s="19"/>
      <c r="D1066" s="19"/>
      <c r="E1066" s="32"/>
      <c r="F1066" s="19"/>
      <c r="G1066" s="26" t="str">
        <f aca="false">IF(A1066="","",COUNTIF(Pubs!$B$2:$B$3001,A1066))</f>
        <v/>
      </c>
      <c r="H1066" s="26" t="str">
        <f aca="false">IF(A1066="","",COUNTIF(Apparitions!$H$2:$H$5001,A1066))</f>
        <v/>
      </c>
      <c r="I1066" s="26" t="str">
        <f aca="false">IF(A1066="","",COUNTIFS(Apparitions!$H$2:$H$5001,A1066,Apparitions!$E$2:$E$5001,"○"))</f>
        <v/>
      </c>
      <c r="J1066" s="29" t="str">
        <f aca="false">IF(A1066="","",IFERROR(1/(1/_xlfn.MINIFS(Apparitions!$L$2:$L$5001,Apparitions!$H$2:$H$5001,A1066)),""))</f>
        <v/>
      </c>
    </row>
    <row r="1067" customFormat="false" ht="15" hidden="false" customHeight="false" outlineLevel="0" collapsed="false">
      <c r="A1067" s="19"/>
      <c r="B1067" s="19"/>
      <c r="C1067" s="19"/>
      <c r="D1067" s="19"/>
      <c r="E1067" s="32"/>
      <c r="F1067" s="19"/>
      <c r="G1067" s="26" t="str">
        <f aca="false">IF(A1067="","",COUNTIF(Pubs!$B$2:$B$3001,A1067))</f>
        <v/>
      </c>
      <c r="H1067" s="26" t="str">
        <f aca="false">IF(A1067="","",COUNTIF(Apparitions!$H$2:$H$5001,A1067))</f>
        <v/>
      </c>
      <c r="I1067" s="26" t="str">
        <f aca="false">IF(A1067="","",COUNTIFS(Apparitions!$H$2:$H$5001,A1067,Apparitions!$E$2:$E$5001,"○"))</f>
        <v/>
      </c>
      <c r="J1067" s="29" t="str">
        <f aca="false">IF(A1067="","",IFERROR(1/(1/_xlfn.MINIFS(Apparitions!$L$2:$L$5001,Apparitions!$H$2:$H$5001,A1067)),""))</f>
        <v/>
      </c>
    </row>
    <row r="1068" customFormat="false" ht="15" hidden="false" customHeight="false" outlineLevel="0" collapsed="false">
      <c r="A1068" s="19"/>
      <c r="B1068" s="19"/>
      <c r="C1068" s="19"/>
      <c r="D1068" s="19"/>
      <c r="E1068" s="32"/>
      <c r="F1068" s="19"/>
      <c r="G1068" s="26" t="str">
        <f aca="false">IF(A1068="","",COUNTIF(Pubs!$B$2:$B$3001,A1068))</f>
        <v/>
      </c>
      <c r="H1068" s="26" t="str">
        <f aca="false">IF(A1068="","",COUNTIF(Apparitions!$H$2:$H$5001,A1068))</f>
        <v/>
      </c>
      <c r="I1068" s="26" t="str">
        <f aca="false">IF(A1068="","",COUNTIFS(Apparitions!$H$2:$H$5001,A1068,Apparitions!$E$2:$E$5001,"○"))</f>
        <v/>
      </c>
      <c r="J1068" s="29" t="str">
        <f aca="false">IF(A1068="","",IFERROR(1/(1/_xlfn.MINIFS(Apparitions!$L$2:$L$5001,Apparitions!$H$2:$H$5001,A1068)),""))</f>
        <v/>
      </c>
    </row>
    <row r="1069" customFormat="false" ht="15" hidden="false" customHeight="false" outlineLevel="0" collapsed="false">
      <c r="A1069" s="19"/>
      <c r="B1069" s="19"/>
      <c r="C1069" s="19"/>
      <c r="D1069" s="19"/>
      <c r="E1069" s="32"/>
      <c r="F1069" s="19"/>
      <c r="G1069" s="26" t="str">
        <f aca="false">IF(A1069="","",COUNTIF(Pubs!$B$2:$B$3001,A1069))</f>
        <v/>
      </c>
      <c r="H1069" s="26" t="str">
        <f aca="false">IF(A1069="","",COUNTIF(Apparitions!$H$2:$H$5001,A1069))</f>
        <v/>
      </c>
      <c r="I1069" s="26" t="str">
        <f aca="false">IF(A1069="","",COUNTIFS(Apparitions!$H$2:$H$5001,A1069,Apparitions!$E$2:$E$5001,"○"))</f>
        <v/>
      </c>
      <c r="J1069" s="29" t="str">
        <f aca="false">IF(A1069="","",IFERROR(1/(1/_xlfn.MINIFS(Apparitions!$L$2:$L$5001,Apparitions!$H$2:$H$5001,A1069)),""))</f>
        <v/>
      </c>
    </row>
    <row r="1070" customFormat="false" ht="15" hidden="false" customHeight="false" outlineLevel="0" collapsed="false">
      <c r="A1070" s="19"/>
      <c r="B1070" s="19"/>
      <c r="C1070" s="19"/>
      <c r="D1070" s="19"/>
      <c r="E1070" s="32"/>
      <c r="F1070" s="19"/>
      <c r="G1070" s="26" t="str">
        <f aca="false">IF(A1070="","",COUNTIF(Pubs!$B$2:$B$3001,A1070))</f>
        <v/>
      </c>
      <c r="H1070" s="26" t="str">
        <f aca="false">IF(A1070="","",COUNTIF(Apparitions!$H$2:$H$5001,A1070))</f>
        <v/>
      </c>
      <c r="I1070" s="26" t="str">
        <f aca="false">IF(A1070="","",COUNTIFS(Apparitions!$H$2:$H$5001,A1070,Apparitions!$E$2:$E$5001,"○"))</f>
        <v/>
      </c>
      <c r="J1070" s="29" t="str">
        <f aca="false">IF(A1070="","",IFERROR(1/(1/_xlfn.MINIFS(Apparitions!$L$2:$L$5001,Apparitions!$H$2:$H$5001,A1070)),""))</f>
        <v/>
      </c>
    </row>
    <row r="1071" customFormat="false" ht="15" hidden="false" customHeight="false" outlineLevel="0" collapsed="false">
      <c r="A1071" s="19"/>
      <c r="B1071" s="19"/>
      <c r="C1071" s="19"/>
      <c r="D1071" s="19"/>
      <c r="E1071" s="32"/>
      <c r="F1071" s="19"/>
      <c r="G1071" s="26" t="str">
        <f aca="false">IF(A1071="","",COUNTIF(Pubs!$B$2:$B$3001,A1071))</f>
        <v/>
      </c>
      <c r="H1071" s="26" t="str">
        <f aca="false">IF(A1071="","",COUNTIF(Apparitions!$H$2:$H$5001,A1071))</f>
        <v/>
      </c>
      <c r="I1071" s="26" t="str">
        <f aca="false">IF(A1071="","",COUNTIFS(Apparitions!$H$2:$H$5001,A1071,Apparitions!$E$2:$E$5001,"○"))</f>
        <v/>
      </c>
      <c r="J1071" s="29" t="str">
        <f aca="false">IF(A1071="","",IFERROR(1/(1/_xlfn.MINIFS(Apparitions!$L$2:$L$5001,Apparitions!$H$2:$H$5001,A1071)),""))</f>
        <v/>
      </c>
    </row>
    <row r="1072" customFormat="false" ht="15" hidden="false" customHeight="false" outlineLevel="0" collapsed="false">
      <c r="A1072" s="19"/>
      <c r="B1072" s="19"/>
      <c r="C1072" s="19"/>
      <c r="D1072" s="19"/>
      <c r="E1072" s="32"/>
      <c r="F1072" s="19"/>
      <c r="G1072" s="26" t="str">
        <f aca="false">IF(A1072="","",COUNTIF(Pubs!$B$2:$B$3001,A1072))</f>
        <v/>
      </c>
      <c r="H1072" s="26" t="str">
        <f aca="false">IF(A1072="","",COUNTIF(Apparitions!$H$2:$H$5001,A1072))</f>
        <v/>
      </c>
      <c r="I1072" s="26" t="str">
        <f aca="false">IF(A1072="","",COUNTIFS(Apparitions!$H$2:$H$5001,A1072,Apparitions!$E$2:$E$5001,"○"))</f>
        <v/>
      </c>
      <c r="J1072" s="29" t="str">
        <f aca="false">IF(A1072="","",IFERROR(1/(1/_xlfn.MINIFS(Apparitions!$L$2:$L$5001,Apparitions!$H$2:$H$5001,A1072)),""))</f>
        <v/>
      </c>
    </row>
    <row r="1073" customFormat="false" ht="15" hidden="false" customHeight="false" outlineLevel="0" collapsed="false">
      <c r="A1073" s="19"/>
      <c r="B1073" s="19"/>
      <c r="C1073" s="19"/>
      <c r="D1073" s="19"/>
      <c r="E1073" s="32"/>
      <c r="F1073" s="19"/>
      <c r="G1073" s="26" t="str">
        <f aca="false">IF(A1073="","",COUNTIF(Pubs!$B$2:$B$3001,A1073))</f>
        <v/>
      </c>
      <c r="H1073" s="26" t="str">
        <f aca="false">IF(A1073="","",COUNTIF(Apparitions!$H$2:$H$5001,A1073))</f>
        <v/>
      </c>
      <c r="I1073" s="26" t="str">
        <f aca="false">IF(A1073="","",COUNTIFS(Apparitions!$H$2:$H$5001,A1073,Apparitions!$E$2:$E$5001,"○"))</f>
        <v/>
      </c>
      <c r="J1073" s="29" t="str">
        <f aca="false">IF(A1073="","",IFERROR(1/(1/_xlfn.MINIFS(Apparitions!$L$2:$L$5001,Apparitions!$H$2:$H$5001,A1073)),""))</f>
        <v/>
      </c>
    </row>
    <row r="1074" customFormat="false" ht="15" hidden="false" customHeight="false" outlineLevel="0" collapsed="false">
      <c r="A1074" s="19"/>
      <c r="B1074" s="19"/>
      <c r="C1074" s="19"/>
      <c r="D1074" s="19"/>
      <c r="E1074" s="32"/>
      <c r="F1074" s="19"/>
      <c r="G1074" s="26" t="str">
        <f aca="false">IF(A1074="","",COUNTIF(Pubs!$B$2:$B$3001,A1074))</f>
        <v/>
      </c>
      <c r="H1074" s="26" t="str">
        <f aca="false">IF(A1074="","",COUNTIF(Apparitions!$H$2:$H$5001,A1074))</f>
        <v/>
      </c>
      <c r="I1074" s="26" t="str">
        <f aca="false">IF(A1074="","",COUNTIFS(Apparitions!$H$2:$H$5001,A1074,Apparitions!$E$2:$E$5001,"○"))</f>
        <v/>
      </c>
      <c r="J1074" s="29" t="str">
        <f aca="false">IF(A1074="","",IFERROR(1/(1/_xlfn.MINIFS(Apparitions!$L$2:$L$5001,Apparitions!$H$2:$H$5001,A1074)),""))</f>
        <v/>
      </c>
    </row>
    <row r="1075" customFormat="false" ht="15" hidden="false" customHeight="false" outlineLevel="0" collapsed="false">
      <c r="A1075" s="19"/>
      <c r="B1075" s="19"/>
      <c r="C1075" s="19"/>
      <c r="D1075" s="19"/>
      <c r="E1075" s="32"/>
      <c r="F1075" s="19"/>
      <c r="G1075" s="26" t="str">
        <f aca="false">IF(A1075="","",COUNTIF(Pubs!$B$2:$B$3001,A1075))</f>
        <v/>
      </c>
      <c r="H1075" s="26" t="str">
        <f aca="false">IF(A1075="","",COUNTIF(Apparitions!$H$2:$H$5001,A1075))</f>
        <v/>
      </c>
      <c r="I1075" s="26" t="str">
        <f aca="false">IF(A1075="","",COUNTIFS(Apparitions!$H$2:$H$5001,A1075,Apparitions!$E$2:$E$5001,"○"))</f>
        <v/>
      </c>
      <c r="J1075" s="29" t="str">
        <f aca="false">IF(A1075="","",IFERROR(1/(1/_xlfn.MINIFS(Apparitions!$L$2:$L$5001,Apparitions!$H$2:$H$5001,A1075)),""))</f>
        <v/>
      </c>
    </row>
    <row r="1076" customFormat="false" ht="15" hidden="false" customHeight="false" outlineLevel="0" collapsed="false">
      <c r="A1076" s="19"/>
      <c r="B1076" s="19"/>
      <c r="C1076" s="19"/>
      <c r="D1076" s="19"/>
      <c r="E1076" s="32"/>
      <c r="F1076" s="19"/>
      <c r="G1076" s="26" t="str">
        <f aca="false">IF(A1076="","",COUNTIF(Pubs!$B$2:$B$3001,A1076))</f>
        <v/>
      </c>
      <c r="H1076" s="26" t="str">
        <f aca="false">IF(A1076="","",COUNTIF(Apparitions!$H$2:$H$5001,A1076))</f>
        <v/>
      </c>
      <c r="I1076" s="26" t="str">
        <f aca="false">IF(A1076="","",COUNTIFS(Apparitions!$H$2:$H$5001,A1076,Apparitions!$E$2:$E$5001,"○"))</f>
        <v/>
      </c>
      <c r="J1076" s="29" t="str">
        <f aca="false">IF(A1076="","",IFERROR(1/(1/_xlfn.MINIFS(Apparitions!$L$2:$L$5001,Apparitions!$H$2:$H$5001,A1076)),""))</f>
        <v/>
      </c>
    </row>
    <row r="1077" customFormat="false" ht="15" hidden="false" customHeight="false" outlineLevel="0" collapsed="false">
      <c r="A1077" s="19"/>
      <c r="B1077" s="19"/>
      <c r="C1077" s="19"/>
      <c r="D1077" s="19"/>
      <c r="E1077" s="32"/>
      <c r="F1077" s="19"/>
      <c r="G1077" s="26" t="str">
        <f aca="false">IF(A1077="","",COUNTIF(Pubs!$B$2:$B$3001,A1077))</f>
        <v/>
      </c>
      <c r="H1077" s="26" t="str">
        <f aca="false">IF(A1077="","",COUNTIF(Apparitions!$H$2:$H$5001,A1077))</f>
        <v/>
      </c>
      <c r="I1077" s="26" t="str">
        <f aca="false">IF(A1077="","",COUNTIFS(Apparitions!$H$2:$H$5001,A1077,Apparitions!$E$2:$E$5001,"○"))</f>
        <v/>
      </c>
      <c r="J1077" s="29" t="str">
        <f aca="false">IF(A1077="","",IFERROR(1/(1/_xlfn.MINIFS(Apparitions!$L$2:$L$5001,Apparitions!$H$2:$H$5001,A1077)),""))</f>
        <v/>
      </c>
    </row>
    <row r="1078" customFormat="false" ht="15" hidden="false" customHeight="false" outlineLevel="0" collapsed="false">
      <c r="A1078" s="19"/>
      <c r="B1078" s="19"/>
      <c r="C1078" s="19"/>
      <c r="D1078" s="19"/>
      <c r="E1078" s="32"/>
      <c r="F1078" s="19"/>
      <c r="G1078" s="26" t="str">
        <f aca="false">IF(A1078="","",COUNTIF(Pubs!$B$2:$B$3001,A1078))</f>
        <v/>
      </c>
      <c r="H1078" s="26" t="str">
        <f aca="false">IF(A1078="","",COUNTIF(Apparitions!$H$2:$H$5001,A1078))</f>
        <v/>
      </c>
      <c r="I1078" s="26" t="str">
        <f aca="false">IF(A1078="","",COUNTIFS(Apparitions!$H$2:$H$5001,A1078,Apparitions!$E$2:$E$5001,"○"))</f>
        <v/>
      </c>
      <c r="J1078" s="29" t="str">
        <f aca="false">IF(A1078="","",IFERROR(1/(1/_xlfn.MINIFS(Apparitions!$L$2:$L$5001,Apparitions!$H$2:$H$5001,A1078)),""))</f>
        <v/>
      </c>
    </row>
    <row r="1079" customFormat="false" ht="15" hidden="false" customHeight="false" outlineLevel="0" collapsed="false">
      <c r="A1079" s="19"/>
      <c r="B1079" s="19"/>
      <c r="C1079" s="19"/>
      <c r="D1079" s="19"/>
      <c r="E1079" s="32"/>
      <c r="F1079" s="19"/>
      <c r="G1079" s="26" t="str">
        <f aca="false">IF(A1079="","",COUNTIF(Pubs!$B$2:$B$3001,A1079))</f>
        <v/>
      </c>
      <c r="H1079" s="26" t="str">
        <f aca="false">IF(A1079="","",COUNTIF(Apparitions!$H$2:$H$5001,A1079))</f>
        <v/>
      </c>
      <c r="I1079" s="26" t="str">
        <f aca="false">IF(A1079="","",COUNTIFS(Apparitions!$H$2:$H$5001,A1079,Apparitions!$E$2:$E$5001,"○"))</f>
        <v/>
      </c>
      <c r="J1079" s="29" t="str">
        <f aca="false">IF(A1079="","",IFERROR(1/(1/_xlfn.MINIFS(Apparitions!$L$2:$L$5001,Apparitions!$H$2:$H$5001,A1079)),""))</f>
        <v/>
      </c>
    </row>
    <row r="1080" customFormat="false" ht="15" hidden="false" customHeight="false" outlineLevel="0" collapsed="false">
      <c r="A1080" s="19"/>
      <c r="B1080" s="19"/>
      <c r="C1080" s="19"/>
      <c r="D1080" s="19"/>
      <c r="E1080" s="32"/>
      <c r="F1080" s="19"/>
      <c r="G1080" s="26" t="str">
        <f aca="false">IF(A1080="","",COUNTIF(Pubs!$B$2:$B$3001,A1080))</f>
        <v/>
      </c>
      <c r="H1080" s="26" t="str">
        <f aca="false">IF(A1080="","",COUNTIF(Apparitions!$H$2:$H$5001,A1080))</f>
        <v/>
      </c>
      <c r="I1080" s="26" t="str">
        <f aca="false">IF(A1080="","",COUNTIFS(Apparitions!$H$2:$H$5001,A1080,Apparitions!$E$2:$E$5001,"○"))</f>
        <v/>
      </c>
      <c r="J1080" s="29" t="str">
        <f aca="false">IF(A1080="","",IFERROR(1/(1/_xlfn.MINIFS(Apparitions!$L$2:$L$5001,Apparitions!$H$2:$H$5001,A1080)),""))</f>
        <v/>
      </c>
    </row>
    <row r="1081" customFormat="false" ht="15" hidden="false" customHeight="false" outlineLevel="0" collapsed="false">
      <c r="A1081" s="19"/>
      <c r="B1081" s="19"/>
      <c r="C1081" s="19"/>
      <c r="D1081" s="19"/>
      <c r="E1081" s="32"/>
      <c r="F1081" s="19"/>
      <c r="G1081" s="26" t="str">
        <f aca="false">IF(A1081="","",COUNTIF(Pubs!$B$2:$B$3001,A1081))</f>
        <v/>
      </c>
      <c r="H1081" s="26" t="str">
        <f aca="false">IF(A1081="","",COUNTIF(Apparitions!$H$2:$H$5001,A1081))</f>
        <v/>
      </c>
      <c r="I1081" s="26" t="str">
        <f aca="false">IF(A1081="","",COUNTIFS(Apparitions!$H$2:$H$5001,A1081,Apparitions!$E$2:$E$5001,"○"))</f>
        <v/>
      </c>
      <c r="J1081" s="29" t="str">
        <f aca="false">IF(A1081="","",IFERROR(1/(1/_xlfn.MINIFS(Apparitions!$L$2:$L$5001,Apparitions!$H$2:$H$5001,A1081)),""))</f>
        <v/>
      </c>
    </row>
    <row r="1082" customFormat="false" ht="15" hidden="false" customHeight="false" outlineLevel="0" collapsed="false">
      <c r="A1082" s="19"/>
      <c r="B1082" s="19"/>
      <c r="C1082" s="19"/>
      <c r="D1082" s="19"/>
      <c r="E1082" s="32"/>
      <c r="F1082" s="19"/>
      <c r="G1082" s="26" t="str">
        <f aca="false">IF(A1082="","",COUNTIF(Pubs!$B$2:$B$3001,A1082))</f>
        <v/>
      </c>
      <c r="H1082" s="26" t="str">
        <f aca="false">IF(A1082="","",COUNTIF(Apparitions!$H$2:$H$5001,A1082))</f>
        <v/>
      </c>
      <c r="I1082" s="26" t="str">
        <f aca="false">IF(A1082="","",COUNTIFS(Apparitions!$H$2:$H$5001,A1082,Apparitions!$E$2:$E$5001,"○"))</f>
        <v/>
      </c>
      <c r="J1082" s="29" t="str">
        <f aca="false">IF(A1082="","",IFERROR(1/(1/_xlfn.MINIFS(Apparitions!$L$2:$L$5001,Apparitions!$H$2:$H$5001,A1082)),""))</f>
        <v/>
      </c>
    </row>
    <row r="1083" customFormat="false" ht="15" hidden="false" customHeight="false" outlineLevel="0" collapsed="false">
      <c r="A1083" s="19"/>
      <c r="B1083" s="19"/>
      <c r="C1083" s="19"/>
      <c r="D1083" s="19"/>
      <c r="E1083" s="32"/>
      <c r="F1083" s="19"/>
      <c r="G1083" s="26" t="str">
        <f aca="false">IF(A1083="","",COUNTIF(Pubs!$B$2:$B$3001,A1083))</f>
        <v/>
      </c>
      <c r="H1083" s="26" t="str">
        <f aca="false">IF(A1083="","",COUNTIF(Apparitions!$H$2:$H$5001,A1083))</f>
        <v/>
      </c>
      <c r="I1083" s="26" t="str">
        <f aca="false">IF(A1083="","",COUNTIFS(Apparitions!$H$2:$H$5001,A1083,Apparitions!$E$2:$E$5001,"○"))</f>
        <v/>
      </c>
      <c r="J1083" s="29" t="str">
        <f aca="false">IF(A1083="","",IFERROR(1/(1/_xlfn.MINIFS(Apparitions!$L$2:$L$5001,Apparitions!$H$2:$H$5001,A1083)),""))</f>
        <v/>
      </c>
    </row>
    <row r="1084" customFormat="false" ht="15" hidden="false" customHeight="false" outlineLevel="0" collapsed="false">
      <c r="A1084" s="19"/>
      <c r="B1084" s="19"/>
      <c r="C1084" s="19"/>
      <c r="D1084" s="19"/>
      <c r="E1084" s="32"/>
      <c r="F1084" s="19"/>
      <c r="G1084" s="26" t="str">
        <f aca="false">IF(A1084="","",COUNTIF(Pubs!$B$2:$B$3001,A1084))</f>
        <v/>
      </c>
      <c r="H1084" s="26" t="str">
        <f aca="false">IF(A1084="","",COUNTIF(Apparitions!$H$2:$H$5001,A1084))</f>
        <v/>
      </c>
      <c r="I1084" s="26" t="str">
        <f aca="false">IF(A1084="","",COUNTIFS(Apparitions!$H$2:$H$5001,A1084,Apparitions!$E$2:$E$5001,"○"))</f>
        <v/>
      </c>
      <c r="J1084" s="29" t="str">
        <f aca="false">IF(A1084="","",IFERROR(1/(1/_xlfn.MINIFS(Apparitions!$L$2:$L$5001,Apparitions!$H$2:$H$5001,A1084)),""))</f>
        <v/>
      </c>
    </row>
    <row r="1085" customFormat="false" ht="15" hidden="false" customHeight="false" outlineLevel="0" collapsed="false">
      <c r="A1085" s="19"/>
      <c r="B1085" s="19"/>
      <c r="C1085" s="19"/>
      <c r="D1085" s="19"/>
      <c r="E1085" s="32"/>
      <c r="F1085" s="19"/>
      <c r="G1085" s="26" t="str">
        <f aca="false">IF(A1085="","",COUNTIF(Pubs!$B$2:$B$3001,A1085))</f>
        <v/>
      </c>
      <c r="H1085" s="26" t="str">
        <f aca="false">IF(A1085="","",COUNTIF(Apparitions!$H$2:$H$5001,A1085))</f>
        <v/>
      </c>
      <c r="I1085" s="26" t="str">
        <f aca="false">IF(A1085="","",COUNTIFS(Apparitions!$H$2:$H$5001,A1085,Apparitions!$E$2:$E$5001,"○"))</f>
        <v/>
      </c>
      <c r="J1085" s="29" t="str">
        <f aca="false">IF(A1085="","",IFERROR(1/(1/_xlfn.MINIFS(Apparitions!$L$2:$L$5001,Apparitions!$H$2:$H$5001,A1085)),""))</f>
        <v/>
      </c>
    </row>
    <row r="1086" customFormat="false" ht="15" hidden="false" customHeight="false" outlineLevel="0" collapsed="false">
      <c r="A1086" s="19"/>
      <c r="B1086" s="19"/>
      <c r="C1086" s="19"/>
      <c r="D1086" s="19"/>
      <c r="E1086" s="32"/>
      <c r="F1086" s="19"/>
      <c r="G1086" s="26" t="str">
        <f aca="false">IF(A1086="","",COUNTIF(Pubs!$B$2:$B$3001,A1086))</f>
        <v/>
      </c>
      <c r="H1086" s="26" t="str">
        <f aca="false">IF(A1086="","",COUNTIF(Apparitions!$H$2:$H$5001,A1086))</f>
        <v/>
      </c>
      <c r="I1086" s="26" t="str">
        <f aca="false">IF(A1086="","",COUNTIFS(Apparitions!$H$2:$H$5001,A1086,Apparitions!$E$2:$E$5001,"○"))</f>
        <v/>
      </c>
      <c r="J1086" s="29" t="str">
        <f aca="false">IF(A1086="","",IFERROR(1/(1/_xlfn.MINIFS(Apparitions!$L$2:$L$5001,Apparitions!$H$2:$H$5001,A1086)),""))</f>
        <v/>
      </c>
    </row>
    <row r="1087" customFormat="false" ht="15" hidden="false" customHeight="false" outlineLevel="0" collapsed="false">
      <c r="A1087" s="19"/>
      <c r="B1087" s="19"/>
      <c r="C1087" s="19"/>
      <c r="D1087" s="19"/>
      <c r="E1087" s="32"/>
      <c r="F1087" s="19"/>
      <c r="G1087" s="26" t="str">
        <f aca="false">IF(A1087="","",COUNTIF(Pubs!$B$2:$B$3001,A1087))</f>
        <v/>
      </c>
      <c r="H1087" s="26" t="str">
        <f aca="false">IF(A1087="","",COUNTIF(Apparitions!$H$2:$H$5001,A1087))</f>
        <v/>
      </c>
      <c r="I1087" s="26" t="str">
        <f aca="false">IF(A1087="","",COUNTIFS(Apparitions!$H$2:$H$5001,A1087,Apparitions!$E$2:$E$5001,"○"))</f>
        <v/>
      </c>
      <c r="J1087" s="29" t="str">
        <f aca="false">IF(A1087="","",IFERROR(1/(1/_xlfn.MINIFS(Apparitions!$L$2:$L$5001,Apparitions!$H$2:$H$5001,A1087)),""))</f>
        <v/>
      </c>
    </row>
    <row r="1088" customFormat="false" ht="15" hidden="false" customHeight="false" outlineLevel="0" collapsed="false">
      <c r="A1088" s="19"/>
      <c r="B1088" s="19"/>
      <c r="C1088" s="19"/>
      <c r="D1088" s="19"/>
      <c r="E1088" s="32"/>
      <c r="F1088" s="19"/>
      <c r="G1088" s="26" t="str">
        <f aca="false">IF(A1088="","",COUNTIF(Pubs!$B$2:$B$3001,A1088))</f>
        <v/>
      </c>
      <c r="H1088" s="26" t="str">
        <f aca="false">IF(A1088="","",COUNTIF(Apparitions!$H$2:$H$5001,A1088))</f>
        <v/>
      </c>
      <c r="I1088" s="26" t="str">
        <f aca="false">IF(A1088="","",COUNTIFS(Apparitions!$H$2:$H$5001,A1088,Apparitions!$E$2:$E$5001,"○"))</f>
        <v/>
      </c>
      <c r="J1088" s="29" t="str">
        <f aca="false">IF(A1088="","",IFERROR(1/(1/_xlfn.MINIFS(Apparitions!$L$2:$L$5001,Apparitions!$H$2:$H$5001,A1088)),""))</f>
        <v/>
      </c>
    </row>
    <row r="1089" customFormat="false" ht="15" hidden="false" customHeight="false" outlineLevel="0" collapsed="false">
      <c r="A1089" s="19"/>
      <c r="B1089" s="19"/>
      <c r="C1089" s="19"/>
      <c r="D1089" s="19"/>
      <c r="E1089" s="32"/>
      <c r="F1089" s="19"/>
      <c r="G1089" s="26" t="str">
        <f aca="false">IF(A1089="","",COUNTIF(Pubs!$B$2:$B$3001,A1089))</f>
        <v/>
      </c>
      <c r="H1089" s="26" t="str">
        <f aca="false">IF(A1089="","",COUNTIF(Apparitions!$H$2:$H$5001,A1089))</f>
        <v/>
      </c>
      <c r="I1089" s="26" t="str">
        <f aca="false">IF(A1089="","",COUNTIFS(Apparitions!$H$2:$H$5001,A1089,Apparitions!$E$2:$E$5001,"○"))</f>
        <v/>
      </c>
      <c r="J1089" s="29" t="str">
        <f aca="false">IF(A1089="","",IFERROR(1/(1/_xlfn.MINIFS(Apparitions!$L$2:$L$5001,Apparitions!$H$2:$H$5001,A1089)),""))</f>
        <v/>
      </c>
    </row>
    <row r="1090" customFormat="false" ht="15" hidden="false" customHeight="false" outlineLevel="0" collapsed="false">
      <c r="A1090" s="19"/>
      <c r="B1090" s="19"/>
      <c r="C1090" s="19"/>
      <c r="D1090" s="19"/>
      <c r="E1090" s="32"/>
      <c r="F1090" s="19"/>
      <c r="G1090" s="26" t="str">
        <f aca="false">IF(A1090="","",COUNTIF(Pubs!$B$2:$B$3001,A1090))</f>
        <v/>
      </c>
      <c r="H1090" s="26" t="str">
        <f aca="false">IF(A1090="","",COUNTIF(Apparitions!$H$2:$H$5001,A1090))</f>
        <v/>
      </c>
      <c r="I1090" s="26" t="str">
        <f aca="false">IF(A1090="","",COUNTIFS(Apparitions!$H$2:$H$5001,A1090,Apparitions!$E$2:$E$5001,"○"))</f>
        <v/>
      </c>
      <c r="J1090" s="29" t="str">
        <f aca="false">IF(A1090="","",IFERROR(1/(1/_xlfn.MINIFS(Apparitions!$L$2:$L$5001,Apparitions!$H$2:$H$5001,A1090)),""))</f>
        <v/>
      </c>
    </row>
    <row r="1091" customFormat="false" ht="15" hidden="false" customHeight="false" outlineLevel="0" collapsed="false">
      <c r="A1091" s="19"/>
      <c r="B1091" s="19"/>
      <c r="C1091" s="19"/>
      <c r="D1091" s="19"/>
      <c r="E1091" s="32"/>
      <c r="F1091" s="19"/>
      <c r="G1091" s="26" t="str">
        <f aca="false">IF(A1091="","",COUNTIF(Pubs!$B$2:$B$3001,A1091))</f>
        <v/>
      </c>
      <c r="H1091" s="26" t="str">
        <f aca="false">IF(A1091="","",COUNTIF(Apparitions!$H$2:$H$5001,A1091))</f>
        <v/>
      </c>
      <c r="I1091" s="26" t="str">
        <f aca="false">IF(A1091="","",COUNTIFS(Apparitions!$H$2:$H$5001,A1091,Apparitions!$E$2:$E$5001,"○"))</f>
        <v/>
      </c>
      <c r="J1091" s="29" t="str">
        <f aca="false">IF(A1091="","",IFERROR(1/(1/_xlfn.MINIFS(Apparitions!$L$2:$L$5001,Apparitions!$H$2:$H$5001,A1091)),""))</f>
        <v/>
      </c>
    </row>
    <row r="1092" customFormat="false" ht="15" hidden="false" customHeight="false" outlineLevel="0" collapsed="false">
      <c r="A1092" s="19"/>
      <c r="B1092" s="19"/>
      <c r="C1092" s="19"/>
      <c r="D1092" s="19"/>
      <c r="E1092" s="32"/>
      <c r="F1092" s="19"/>
      <c r="G1092" s="26" t="str">
        <f aca="false">IF(A1092="","",COUNTIF(Pubs!$B$2:$B$3001,A1092))</f>
        <v/>
      </c>
      <c r="H1092" s="26" t="str">
        <f aca="false">IF(A1092="","",COUNTIF(Apparitions!$H$2:$H$5001,A1092))</f>
        <v/>
      </c>
      <c r="I1092" s="26" t="str">
        <f aca="false">IF(A1092="","",COUNTIFS(Apparitions!$H$2:$H$5001,A1092,Apparitions!$E$2:$E$5001,"○"))</f>
        <v/>
      </c>
      <c r="J1092" s="29" t="str">
        <f aca="false">IF(A1092="","",IFERROR(1/(1/_xlfn.MINIFS(Apparitions!$L$2:$L$5001,Apparitions!$H$2:$H$5001,A1092)),""))</f>
        <v/>
      </c>
    </row>
    <row r="1093" customFormat="false" ht="15" hidden="false" customHeight="false" outlineLevel="0" collapsed="false">
      <c r="A1093" s="19"/>
      <c r="B1093" s="19"/>
      <c r="C1093" s="19"/>
      <c r="D1093" s="19"/>
      <c r="E1093" s="32"/>
      <c r="F1093" s="19"/>
      <c r="G1093" s="26" t="str">
        <f aca="false">IF(A1093="","",COUNTIF(Pubs!$B$2:$B$3001,A1093))</f>
        <v/>
      </c>
      <c r="H1093" s="26" t="str">
        <f aca="false">IF(A1093="","",COUNTIF(Apparitions!$H$2:$H$5001,A1093))</f>
        <v/>
      </c>
      <c r="I1093" s="26" t="str">
        <f aca="false">IF(A1093="","",COUNTIFS(Apparitions!$H$2:$H$5001,A1093,Apparitions!$E$2:$E$5001,"○"))</f>
        <v/>
      </c>
      <c r="J1093" s="29" t="str">
        <f aca="false">IF(A1093="","",IFERROR(1/(1/_xlfn.MINIFS(Apparitions!$L$2:$L$5001,Apparitions!$H$2:$H$5001,A1093)),""))</f>
        <v/>
      </c>
    </row>
    <row r="1094" customFormat="false" ht="15" hidden="false" customHeight="false" outlineLevel="0" collapsed="false">
      <c r="A1094" s="19"/>
      <c r="B1094" s="19"/>
      <c r="C1094" s="19"/>
      <c r="D1094" s="19"/>
      <c r="E1094" s="32"/>
      <c r="F1094" s="19"/>
      <c r="G1094" s="26" t="str">
        <f aca="false">IF(A1094="","",COUNTIF(Pubs!$B$2:$B$3001,A1094))</f>
        <v/>
      </c>
      <c r="H1094" s="26" t="str">
        <f aca="false">IF(A1094="","",COUNTIF(Apparitions!$H$2:$H$5001,A1094))</f>
        <v/>
      </c>
      <c r="I1094" s="26" t="str">
        <f aca="false">IF(A1094="","",COUNTIFS(Apparitions!$H$2:$H$5001,A1094,Apparitions!$E$2:$E$5001,"○"))</f>
        <v/>
      </c>
      <c r="J1094" s="29" t="str">
        <f aca="false">IF(A1094="","",IFERROR(1/(1/_xlfn.MINIFS(Apparitions!$L$2:$L$5001,Apparitions!$H$2:$H$5001,A1094)),""))</f>
        <v/>
      </c>
    </row>
    <row r="1095" customFormat="false" ht="15" hidden="false" customHeight="false" outlineLevel="0" collapsed="false">
      <c r="A1095" s="19"/>
      <c r="B1095" s="19"/>
      <c r="C1095" s="19"/>
      <c r="D1095" s="19"/>
      <c r="E1095" s="32"/>
      <c r="F1095" s="19"/>
      <c r="G1095" s="26" t="str">
        <f aca="false">IF(A1095="","",COUNTIF(Pubs!$B$2:$B$3001,A1095))</f>
        <v/>
      </c>
      <c r="H1095" s="26" t="str">
        <f aca="false">IF(A1095="","",COUNTIF(Apparitions!$H$2:$H$5001,A1095))</f>
        <v/>
      </c>
      <c r="I1095" s="26" t="str">
        <f aca="false">IF(A1095="","",COUNTIFS(Apparitions!$H$2:$H$5001,A1095,Apparitions!$E$2:$E$5001,"○"))</f>
        <v/>
      </c>
      <c r="J1095" s="29" t="str">
        <f aca="false">IF(A1095="","",IFERROR(1/(1/_xlfn.MINIFS(Apparitions!$L$2:$L$5001,Apparitions!$H$2:$H$5001,A1095)),""))</f>
        <v/>
      </c>
    </row>
    <row r="1096" customFormat="false" ht="15" hidden="false" customHeight="false" outlineLevel="0" collapsed="false">
      <c r="A1096" s="19"/>
      <c r="B1096" s="19"/>
      <c r="C1096" s="19"/>
      <c r="D1096" s="19"/>
      <c r="E1096" s="32"/>
      <c r="F1096" s="19"/>
      <c r="G1096" s="26" t="str">
        <f aca="false">IF(A1096="","",COUNTIF(Pubs!$B$2:$B$3001,A1096))</f>
        <v/>
      </c>
      <c r="H1096" s="26" t="str">
        <f aca="false">IF(A1096="","",COUNTIF(Apparitions!$H$2:$H$5001,A1096))</f>
        <v/>
      </c>
      <c r="I1096" s="26" t="str">
        <f aca="false">IF(A1096="","",COUNTIFS(Apparitions!$H$2:$H$5001,A1096,Apparitions!$E$2:$E$5001,"○"))</f>
        <v/>
      </c>
      <c r="J1096" s="29" t="str">
        <f aca="false">IF(A1096="","",IFERROR(1/(1/_xlfn.MINIFS(Apparitions!$L$2:$L$5001,Apparitions!$H$2:$H$5001,A1096)),""))</f>
        <v/>
      </c>
    </row>
    <row r="1097" customFormat="false" ht="15" hidden="false" customHeight="false" outlineLevel="0" collapsed="false">
      <c r="A1097" s="19"/>
      <c r="B1097" s="19"/>
      <c r="C1097" s="19"/>
      <c r="D1097" s="19"/>
      <c r="E1097" s="32"/>
      <c r="F1097" s="19"/>
      <c r="G1097" s="26" t="str">
        <f aca="false">IF(A1097="","",COUNTIF(Pubs!$B$2:$B$3001,A1097))</f>
        <v/>
      </c>
      <c r="H1097" s="26" t="str">
        <f aca="false">IF(A1097="","",COUNTIF(Apparitions!$H$2:$H$5001,A1097))</f>
        <v/>
      </c>
      <c r="I1097" s="26" t="str">
        <f aca="false">IF(A1097="","",COUNTIFS(Apparitions!$H$2:$H$5001,A1097,Apparitions!$E$2:$E$5001,"○"))</f>
        <v/>
      </c>
      <c r="J1097" s="29" t="str">
        <f aca="false">IF(A1097="","",IFERROR(1/(1/_xlfn.MINIFS(Apparitions!$L$2:$L$5001,Apparitions!$H$2:$H$5001,A1097)),""))</f>
        <v/>
      </c>
    </row>
    <row r="1098" customFormat="false" ht="15" hidden="false" customHeight="false" outlineLevel="0" collapsed="false">
      <c r="A1098" s="19"/>
      <c r="B1098" s="19"/>
      <c r="C1098" s="19"/>
      <c r="D1098" s="19"/>
      <c r="E1098" s="32"/>
      <c r="F1098" s="19"/>
      <c r="G1098" s="26" t="str">
        <f aca="false">IF(A1098="","",COUNTIF(Pubs!$B$2:$B$3001,A1098))</f>
        <v/>
      </c>
      <c r="H1098" s="26" t="str">
        <f aca="false">IF(A1098="","",COUNTIF(Apparitions!$H$2:$H$5001,A1098))</f>
        <v/>
      </c>
      <c r="I1098" s="26" t="str">
        <f aca="false">IF(A1098="","",COUNTIFS(Apparitions!$H$2:$H$5001,A1098,Apparitions!$E$2:$E$5001,"○"))</f>
        <v/>
      </c>
      <c r="J1098" s="29" t="str">
        <f aca="false">IF(A1098="","",IFERROR(1/(1/_xlfn.MINIFS(Apparitions!$L$2:$L$5001,Apparitions!$H$2:$H$5001,A1098)),""))</f>
        <v/>
      </c>
    </row>
    <row r="1099" customFormat="false" ht="15" hidden="false" customHeight="false" outlineLevel="0" collapsed="false">
      <c r="A1099" s="19"/>
      <c r="B1099" s="19"/>
      <c r="C1099" s="19"/>
      <c r="D1099" s="19"/>
      <c r="E1099" s="32"/>
      <c r="F1099" s="19"/>
      <c r="G1099" s="26" t="str">
        <f aca="false">IF(A1099="","",COUNTIF(Pubs!$B$2:$B$3001,A1099))</f>
        <v/>
      </c>
      <c r="H1099" s="26" t="str">
        <f aca="false">IF(A1099="","",COUNTIF(Apparitions!$H$2:$H$5001,A1099))</f>
        <v/>
      </c>
      <c r="I1099" s="26" t="str">
        <f aca="false">IF(A1099="","",COUNTIFS(Apparitions!$H$2:$H$5001,A1099,Apparitions!$E$2:$E$5001,"○"))</f>
        <v/>
      </c>
      <c r="J1099" s="29" t="str">
        <f aca="false">IF(A1099="","",IFERROR(1/(1/_xlfn.MINIFS(Apparitions!$L$2:$L$5001,Apparitions!$H$2:$H$5001,A1099)),""))</f>
        <v/>
      </c>
    </row>
    <row r="1100" customFormat="false" ht="15" hidden="false" customHeight="false" outlineLevel="0" collapsed="false">
      <c r="A1100" s="19"/>
      <c r="B1100" s="19"/>
      <c r="C1100" s="19"/>
      <c r="D1100" s="19"/>
      <c r="E1100" s="32"/>
      <c r="F1100" s="19"/>
      <c r="G1100" s="26" t="str">
        <f aca="false">IF(A1100="","",COUNTIF(Pubs!$B$2:$B$3001,A1100))</f>
        <v/>
      </c>
      <c r="H1100" s="26" t="str">
        <f aca="false">IF(A1100="","",COUNTIF(Apparitions!$H$2:$H$5001,A1100))</f>
        <v/>
      </c>
      <c r="I1100" s="26" t="str">
        <f aca="false">IF(A1100="","",COUNTIFS(Apparitions!$H$2:$H$5001,A1100,Apparitions!$E$2:$E$5001,"○"))</f>
        <v/>
      </c>
      <c r="J1100" s="29" t="str">
        <f aca="false">IF(A1100="","",IFERROR(1/(1/_xlfn.MINIFS(Apparitions!$L$2:$L$5001,Apparitions!$H$2:$H$5001,A1100)),""))</f>
        <v/>
      </c>
    </row>
    <row r="1101" customFormat="false" ht="15" hidden="false" customHeight="false" outlineLevel="0" collapsed="false">
      <c r="A1101" s="19"/>
      <c r="B1101" s="19"/>
      <c r="C1101" s="19"/>
      <c r="D1101" s="19"/>
      <c r="E1101" s="32"/>
      <c r="F1101" s="19"/>
      <c r="G1101" s="26" t="str">
        <f aca="false">IF(A1101="","",COUNTIF(Pubs!$B$2:$B$3001,A1101))</f>
        <v/>
      </c>
      <c r="H1101" s="26" t="str">
        <f aca="false">IF(A1101="","",COUNTIF(Apparitions!$H$2:$H$5001,A1101))</f>
        <v/>
      </c>
      <c r="I1101" s="26" t="str">
        <f aca="false">IF(A1101="","",COUNTIFS(Apparitions!$H$2:$H$5001,A1101,Apparitions!$E$2:$E$5001,"○"))</f>
        <v/>
      </c>
      <c r="J1101" s="29" t="str">
        <f aca="false">IF(A1101="","",IFERROR(1/(1/_xlfn.MINIFS(Apparitions!$L$2:$L$5001,Apparitions!$H$2:$H$5001,A1101)),""))</f>
        <v/>
      </c>
    </row>
    <row r="1102" customFormat="false" ht="15" hidden="false" customHeight="false" outlineLevel="0" collapsed="false">
      <c r="A1102" s="19"/>
      <c r="B1102" s="19"/>
      <c r="C1102" s="19"/>
      <c r="D1102" s="19"/>
      <c r="E1102" s="32"/>
      <c r="F1102" s="19"/>
      <c r="G1102" s="26" t="str">
        <f aca="false">IF(A1102="","",COUNTIF(Pubs!$B$2:$B$3001,A1102))</f>
        <v/>
      </c>
      <c r="H1102" s="26" t="str">
        <f aca="false">IF(A1102="","",COUNTIF(Apparitions!$H$2:$H$5001,A1102))</f>
        <v/>
      </c>
      <c r="I1102" s="26" t="str">
        <f aca="false">IF(A1102="","",COUNTIFS(Apparitions!$H$2:$H$5001,A1102,Apparitions!$E$2:$E$5001,"○"))</f>
        <v/>
      </c>
      <c r="J1102" s="29" t="str">
        <f aca="false">IF(A1102="","",IFERROR(1/(1/_xlfn.MINIFS(Apparitions!$L$2:$L$5001,Apparitions!$H$2:$H$5001,A1102)),""))</f>
        <v/>
      </c>
    </row>
    <row r="1103" customFormat="false" ht="15" hidden="false" customHeight="false" outlineLevel="0" collapsed="false">
      <c r="A1103" s="19"/>
      <c r="B1103" s="19"/>
      <c r="C1103" s="19"/>
      <c r="D1103" s="19"/>
      <c r="E1103" s="32"/>
      <c r="F1103" s="19"/>
      <c r="G1103" s="26" t="str">
        <f aca="false">IF(A1103="","",COUNTIF(Pubs!$B$2:$B$3001,A1103))</f>
        <v/>
      </c>
      <c r="H1103" s="26" t="str">
        <f aca="false">IF(A1103="","",COUNTIF(Apparitions!$H$2:$H$5001,A1103))</f>
        <v/>
      </c>
      <c r="I1103" s="26" t="str">
        <f aca="false">IF(A1103="","",COUNTIFS(Apparitions!$H$2:$H$5001,A1103,Apparitions!$E$2:$E$5001,"○"))</f>
        <v/>
      </c>
      <c r="J1103" s="29" t="str">
        <f aca="false">IF(A1103="","",IFERROR(1/(1/_xlfn.MINIFS(Apparitions!$L$2:$L$5001,Apparitions!$H$2:$H$5001,A1103)),""))</f>
        <v/>
      </c>
    </row>
    <row r="1104" customFormat="false" ht="15" hidden="false" customHeight="false" outlineLevel="0" collapsed="false">
      <c r="A1104" s="19"/>
      <c r="B1104" s="19"/>
      <c r="C1104" s="19"/>
      <c r="D1104" s="19"/>
      <c r="E1104" s="32"/>
      <c r="F1104" s="19"/>
      <c r="G1104" s="26" t="str">
        <f aca="false">IF(A1104="","",COUNTIF(Pubs!$B$2:$B$3001,A1104))</f>
        <v/>
      </c>
      <c r="H1104" s="26" t="str">
        <f aca="false">IF(A1104="","",COUNTIF(Apparitions!$H$2:$H$5001,A1104))</f>
        <v/>
      </c>
      <c r="I1104" s="26" t="str">
        <f aca="false">IF(A1104="","",COUNTIFS(Apparitions!$H$2:$H$5001,A1104,Apparitions!$E$2:$E$5001,"○"))</f>
        <v/>
      </c>
      <c r="J1104" s="29" t="str">
        <f aca="false">IF(A1104="","",IFERROR(1/(1/_xlfn.MINIFS(Apparitions!$L$2:$L$5001,Apparitions!$H$2:$H$5001,A1104)),""))</f>
        <v/>
      </c>
    </row>
    <row r="1105" customFormat="false" ht="15" hidden="false" customHeight="false" outlineLevel="0" collapsed="false">
      <c r="A1105" s="19"/>
      <c r="B1105" s="19"/>
      <c r="C1105" s="19"/>
      <c r="D1105" s="19"/>
      <c r="E1105" s="32"/>
      <c r="F1105" s="19"/>
      <c r="G1105" s="26" t="str">
        <f aca="false">IF(A1105="","",COUNTIF(Pubs!$B$2:$B$3001,A1105))</f>
        <v/>
      </c>
      <c r="H1105" s="26" t="str">
        <f aca="false">IF(A1105="","",COUNTIF(Apparitions!$H$2:$H$5001,A1105))</f>
        <v/>
      </c>
      <c r="I1105" s="26" t="str">
        <f aca="false">IF(A1105="","",COUNTIFS(Apparitions!$H$2:$H$5001,A1105,Apparitions!$E$2:$E$5001,"○"))</f>
        <v/>
      </c>
      <c r="J1105" s="29" t="str">
        <f aca="false">IF(A1105="","",IFERROR(1/(1/_xlfn.MINIFS(Apparitions!$L$2:$L$5001,Apparitions!$H$2:$H$5001,A1105)),""))</f>
        <v/>
      </c>
    </row>
    <row r="1106" customFormat="false" ht="15" hidden="false" customHeight="false" outlineLevel="0" collapsed="false">
      <c r="A1106" s="19"/>
      <c r="B1106" s="19"/>
      <c r="C1106" s="19"/>
      <c r="D1106" s="19"/>
      <c r="E1106" s="32"/>
      <c r="F1106" s="19"/>
      <c r="G1106" s="26" t="str">
        <f aca="false">IF(A1106="","",COUNTIF(Pubs!$B$2:$B$3001,A1106))</f>
        <v/>
      </c>
      <c r="H1106" s="26" t="str">
        <f aca="false">IF(A1106="","",COUNTIF(Apparitions!$H$2:$H$5001,A1106))</f>
        <v/>
      </c>
      <c r="I1106" s="26" t="str">
        <f aca="false">IF(A1106="","",COUNTIFS(Apparitions!$H$2:$H$5001,A1106,Apparitions!$E$2:$E$5001,"○"))</f>
        <v/>
      </c>
      <c r="J1106" s="29" t="str">
        <f aca="false">IF(A1106="","",IFERROR(1/(1/_xlfn.MINIFS(Apparitions!$L$2:$L$5001,Apparitions!$H$2:$H$5001,A1106)),""))</f>
        <v/>
      </c>
    </row>
    <row r="1107" customFormat="false" ht="15" hidden="false" customHeight="false" outlineLevel="0" collapsed="false">
      <c r="A1107" s="19"/>
      <c r="B1107" s="19"/>
      <c r="C1107" s="19"/>
      <c r="D1107" s="19"/>
      <c r="E1107" s="32"/>
      <c r="F1107" s="19"/>
      <c r="G1107" s="26" t="str">
        <f aca="false">IF(A1107="","",COUNTIF(Pubs!$B$2:$B$3001,A1107))</f>
        <v/>
      </c>
      <c r="H1107" s="26" t="str">
        <f aca="false">IF(A1107="","",COUNTIF(Apparitions!$H$2:$H$5001,A1107))</f>
        <v/>
      </c>
      <c r="I1107" s="26" t="str">
        <f aca="false">IF(A1107="","",COUNTIFS(Apparitions!$H$2:$H$5001,A1107,Apparitions!$E$2:$E$5001,"○"))</f>
        <v/>
      </c>
      <c r="J1107" s="29" t="str">
        <f aca="false">IF(A1107="","",IFERROR(1/(1/_xlfn.MINIFS(Apparitions!$L$2:$L$5001,Apparitions!$H$2:$H$5001,A1107)),""))</f>
        <v/>
      </c>
    </row>
    <row r="1108" customFormat="false" ht="15" hidden="false" customHeight="false" outlineLevel="0" collapsed="false">
      <c r="A1108" s="19"/>
      <c r="B1108" s="19"/>
      <c r="C1108" s="19"/>
      <c r="D1108" s="19"/>
      <c r="E1108" s="32"/>
      <c r="F1108" s="19"/>
      <c r="G1108" s="26" t="str">
        <f aca="false">IF(A1108="","",COUNTIF(Pubs!$B$2:$B$3001,A1108))</f>
        <v/>
      </c>
      <c r="H1108" s="26" t="str">
        <f aca="false">IF(A1108="","",COUNTIF(Apparitions!$H$2:$H$5001,A1108))</f>
        <v/>
      </c>
      <c r="I1108" s="26" t="str">
        <f aca="false">IF(A1108="","",COUNTIFS(Apparitions!$H$2:$H$5001,A1108,Apparitions!$E$2:$E$5001,"○"))</f>
        <v/>
      </c>
      <c r="J1108" s="29" t="str">
        <f aca="false">IF(A1108="","",IFERROR(1/(1/_xlfn.MINIFS(Apparitions!$L$2:$L$5001,Apparitions!$H$2:$H$5001,A1108)),""))</f>
        <v/>
      </c>
    </row>
    <row r="1109" customFormat="false" ht="15" hidden="false" customHeight="false" outlineLevel="0" collapsed="false">
      <c r="A1109" s="19"/>
      <c r="B1109" s="19"/>
      <c r="C1109" s="19"/>
      <c r="D1109" s="19"/>
      <c r="E1109" s="32"/>
      <c r="F1109" s="19"/>
      <c r="G1109" s="26" t="str">
        <f aca="false">IF(A1109="","",COUNTIF(Pubs!$B$2:$B$3001,A1109))</f>
        <v/>
      </c>
      <c r="H1109" s="26" t="str">
        <f aca="false">IF(A1109="","",COUNTIF(Apparitions!$H$2:$H$5001,A1109))</f>
        <v/>
      </c>
      <c r="I1109" s="26" t="str">
        <f aca="false">IF(A1109="","",COUNTIFS(Apparitions!$H$2:$H$5001,A1109,Apparitions!$E$2:$E$5001,"○"))</f>
        <v/>
      </c>
      <c r="J1109" s="29" t="str">
        <f aca="false">IF(A1109="","",IFERROR(1/(1/_xlfn.MINIFS(Apparitions!$L$2:$L$5001,Apparitions!$H$2:$H$5001,A1109)),""))</f>
        <v/>
      </c>
    </row>
    <row r="1110" customFormat="false" ht="15" hidden="false" customHeight="false" outlineLevel="0" collapsed="false">
      <c r="A1110" s="19"/>
      <c r="B1110" s="19"/>
      <c r="C1110" s="19"/>
      <c r="D1110" s="19"/>
      <c r="E1110" s="32"/>
      <c r="F1110" s="19"/>
      <c r="G1110" s="26" t="str">
        <f aca="false">IF(A1110="","",COUNTIF(Pubs!$B$2:$B$3001,A1110))</f>
        <v/>
      </c>
      <c r="H1110" s="26" t="str">
        <f aca="false">IF(A1110="","",COUNTIF(Apparitions!$H$2:$H$5001,A1110))</f>
        <v/>
      </c>
      <c r="I1110" s="26" t="str">
        <f aca="false">IF(A1110="","",COUNTIFS(Apparitions!$H$2:$H$5001,A1110,Apparitions!$E$2:$E$5001,"○"))</f>
        <v/>
      </c>
      <c r="J1110" s="29" t="str">
        <f aca="false">IF(A1110="","",IFERROR(1/(1/_xlfn.MINIFS(Apparitions!$L$2:$L$5001,Apparitions!$H$2:$H$5001,A1110)),""))</f>
        <v/>
      </c>
    </row>
    <row r="1111" customFormat="false" ht="15" hidden="false" customHeight="false" outlineLevel="0" collapsed="false">
      <c r="A1111" s="19"/>
      <c r="B1111" s="19"/>
      <c r="C1111" s="19"/>
      <c r="D1111" s="19"/>
      <c r="E1111" s="32"/>
      <c r="F1111" s="19"/>
      <c r="G1111" s="26" t="str">
        <f aca="false">IF(A1111="","",COUNTIF(Pubs!$B$2:$B$3001,A1111))</f>
        <v/>
      </c>
      <c r="H1111" s="26" t="str">
        <f aca="false">IF(A1111="","",COUNTIF(Apparitions!$H$2:$H$5001,A1111))</f>
        <v/>
      </c>
      <c r="I1111" s="26" t="str">
        <f aca="false">IF(A1111="","",COUNTIFS(Apparitions!$H$2:$H$5001,A1111,Apparitions!$E$2:$E$5001,"○"))</f>
        <v/>
      </c>
      <c r="J1111" s="29" t="str">
        <f aca="false">IF(A1111="","",IFERROR(1/(1/_xlfn.MINIFS(Apparitions!$L$2:$L$5001,Apparitions!$H$2:$H$5001,A1111)),""))</f>
        <v/>
      </c>
    </row>
    <row r="1112" customFormat="false" ht="15" hidden="false" customHeight="false" outlineLevel="0" collapsed="false">
      <c r="A1112" s="19"/>
      <c r="B1112" s="19"/>
      <c r="C1112" s="19"/>
      <c r="D1112" s="19"/>
      <c r="E1112" s="32"/>
      <c r="F1112" s="19"/>
      <c r="G1112" s="26" t="str">
        <f aca="false">IF(A1112="","",COUNTIF(Pubs!$B$2:$B$3001,A1112))</f>
        <v/>
      </c>
      <c r="H1112" s="26" t="str">
        <f aca="false">IF(A1112="","",COUNTIF(Apparitions!$H$2:$H$5001,A1112))</f>
        <v/>
      </c>
      <c r="I1112" s="26" t="str">
        <f aca="false">IF(A1112="","",COUNTIFS(Apparitions!$H$2:$H$5001,A1112,Apparitions!$E$2:$E$5001,"○"))</f>
        <v/>
      </c>
      <c r="J1112" s="29" t="str">
        <f aca="false">IF(A1112="","",IFERROR(1/(1/_xlfn.MINIFS(Apparitions!$L$2:$L$5001,Apparitions!$H$2:$H$5001,A1112)),""))</f>
        <v/>
      </c>
    </row>
    <row r="1113" customFormat="false" ht="15" hidden="false" customHeight="false" outlineLevel="0" collapsed="false">
      <c r="A1113" s="19"/>
      <c r="B1113" s="19"/>
      <c r="C1113" s="19"/>
      <c r="D1113" s="19"/>
      <c r="E1113" s="32"/>
      <c r="F1113" s="19"/>
      <c r="G1113" s="26" t="str">
        <f aca="false">IF(A1113="","",COUNTIF(Pubs!$B$2:$B$3001,A1113))</f>
        <v/>
      </c>
      <c r="H1113" s="26" t="str">
        <f aca="false">IF(A1113="","",COUNTIF(Apparitions!$H$2:$H$5001,A1113))</f>
        <v/>
      </c>
      <c r="I1113" s="26" t="str">
        <f aca="false">IF(A1113="","",COUNTIFS(Apparitions!$H$2:$H$5001,A1113,Apparitions!$E$2:$E$5001,"○"))</f>
        <v/>
      </c>
      <c r="J1113" s="29" t="str">
        <f aca="false">IF(A1113="","",IFERROR(1/(1/_xlfn.MINIFS(Apparitions!$L$2:$L$5001,Apparitions!$H$2:$H$5001,A1113)),""))</f>
        <v/>
      </c>
    </row>
    <row r="1114" customFormat="false" ht="15" hidden="false" customHeight="false" outlineLevel="0" collapsed="false">
      <c r="A1114" s="19"/>
      <c r="B1114" s="19"/>
      <c r="C1114" s="19"/>
      <c r="D1114" s="19"/>
      <c r="E1114" s="32"/>
      <c r="F1114" s="19"/>
      <c r="G1114" s="26" t="str">
        <f aca="false">IF(A1114="","",COUNTIF(Pubs!$B$2:$B$3001,A1114))</f>
        <v/>
      </c>
      <c r="H1114" s="26" t="str">
        <f aca="false">IF(A1114="","",COUNTIF(Apparitions!$H$2:$H$5001,A1114))</f>
        <v/>
      </c>
      <c r="I1114" s="26" t="str">
        <f aca="false">IF(A1114="","",COUNTIFS(Apparitions!$H$2:$H$5001,A1114,Apparitions!$E$2:$E$5001,"○"))</f>
        <v/>
      </c>
      <c r="J1114" s="29" t="str">
        <f aca="false">IF(A1114="","",IFERROR(1/(1/_xlfn.MINIFS(Apparitions!$L$2:$L$5001,Apparitions!$H$2:$H$5001,A1114)),""))</f>
        <v/>
      </c>
    </row>
    <row r="1115" customFormat="false" ht="15" hidden="false" customHeight="false" outlineLevel="0" collapsed="false">
      <c r="A1115" s="19"/>
      <c r="B1115" s="19"/>
      <c r="C1115" s="19"/>
      <c r="D1115" s="19"/>
      <c r="E1115" s="32"/>
      <c r="F1115" s="19"/>
      <c r="G1115" s="26" t="str">
        <f aca="false">IF(A1115="","",COUNTIF(Pubs!$B$2:$B$3001,A1115))</f>
        <v/>
      </c>
      <c r="H1115" s="26" t="str">
        <f aca="false">IF(A1115="","",COUNTIF(Apparitions!$H$2:$H$5001,A1115))</f>
        <v/>
      </c>
      <c r="I1115" s="26" t="str">
        <f aca="false">IF(A1115="","",COUNTIFS(Apparitions!$H$2:$H$5001,A1115,Apparitions!$E$2:$E$5001,"○"))</f>
        <v/>
      </c>
      <c r="J1115" s="29" t="str">
        <f aca="false">IF(A1115="","",IFERROR(1/(1/_xlfn.MINIFS(Apparitions!$L$2:$L$5001,Apparitions!$H$2:$H$5001,A1115)),""))</f>
        <v/>
      </c>
    </row>
    <row r="1116" customFormat="false" ht="15" hidden="false" customHeight="false" outlineLevel="0" collapsed="false">
      <c r="A1116" s="19"/>
      <c r="B1116" s="19"/>
      <c r="C1116" s="19"/>
      <c r="D1116" s="19"/>
      <c r="E1116" s="32"/>
      <c r="F1116" s="19"/>
      <c r="G1116" s="26" t="str">
        <f aca="false">IF(A1116="","",COUNTIF(Pubs!$B$2:$B$3001,A1116))</f>
        <v/>
      </c>
      <c r="H1116" s="26" t="str">
        <f aca="false">IF(A1116="","",COUNTIF(Apparitions!$H$2:$H$5001,A1116))</f>
        <v/>
      </c>
      <c r="I1116" s="26" t="str">
        <f aca="false">IF(A1116="","",COUNTIFS(Apparitions!$H$2:$H$5001,A1116,Apparitions!$E$2:$E$5001,"○"))</f>
        <v/>
      </c>
      <c r="J1116" s="29" t="str">
        <f aca="false">IF(A1116="","",IFERROR(1/(1/_xlfn.MINIFS(Apparitions!$L$2:$L$5001,Apparitions!$H$2:$H$5001,A1116)),""))</f>
        <v/>
      </c>
    </row>
    <row r="1117" customFormat="false" ht="15" hidden="false" customHeight="false" outlineLevel="0" collapsed="false">
      <c r="A1117" s="19"/>
      <c r="B1117" s="19"/>
      <c r="C1117" s="19"/>
      <c r="D1117" s="19"/>
      <c r="E1117" s="32"/>
      <c r="F1117" s="19"/>
      <c r="G1117" s="26" t="str">
        <f aca="false">IF(A1117="","",COUNTIF(Pubs!$B$2:$B$3001,A1117))</f>
        <v/>
      </c>
      <c r="H1117" s="26" t="str">
        <f aca="false">IF(A1117="","",COUNTIF(Apparitions!$H$2:$H$5001,A1117))</f>
        <v/>
      </c>
      <c r="I1117" s="26" t="str">
        <f aca="false">IF(A1117="","",COUNTIFS(Apparitions!$H$2:$H$5001,A1117,Apparitions!$E$2:$E$5001,"○"))</f>
        <v/>
      </c>
      <c r="J1117" s="29" t="str">
        <f aca="false">IF(A1117="","",IFERROR(1/(1/_xlfn.MINIFS(Apparitions!$L$2:$L$5001,Apparitions!$H$2:$H$5001,A1117)),""))</f>
        <v/>
      </c>
    </row>
    <row r="1118" customFormat="false" ht="15" hidden="false" customHeight="false" outlineLevel="0" collapsed="false">
      <c r="A1118" s="19"/>
      <c r="B1118" s="19"/>
      <c r="C1118" s="19"/>
      <c r="D1118" s="19"/>
      <c r="E1118" s="32"/>
      <c r="F1118" s="19"/>
      <c r="G1118" s="26" t="str">
        <f aca="false">IF(A1118="","",COUNTIF(Pubs!$B$2:$B$3001,A1118))</f>
        <v/>
      </c>
      <c r="H1118" s="26" t="str">
        <f aca="false">IF(A1118="","",COUNTIF(Apparitions!$H$2:$H$5001,A1118))</f>
        <v/>
      </c>
      <c r="I1118" s="26" t="str">
        <f aca="false">IF(A1118="","",COUNTIFS(Apparitions!$H$2:$H$5001,A1118,Apparitions!$E$2:$E$5001,"○"))</f>
        <v/>
      </c>
      <c r="J1118" s="29" t="str">
        <f aca="false">IF(A1118="","",IFERROR(1/(1/_xlfn.MINIFS(Apparitions!$L$2:$L$5001,Apparitions!$H$2:$H$5001,A1118)),""))</f>
        <v/>
      </c>
    </row>
    <row r="1119" customFormat="false" ht="15" hidden="false" customHeight="false" outlineLevel="0" collapsed="false">
      <c r="A1119" s="19"/>
      <c r="B1119" s="19"/>
      <c r="C1119" s="19"/>
      <c r="D1119" s="19"/>
      <c r="E1119" s="32"/>
      <c r="F1119" s="19"/>
      <c r="G1119" s="26" t="str">
        <f aca="false">IF(A1119="","",COUNTIF(Pubs!$B$2:$B$3001,A1119))</f>
        <v/>
      </c>
      <c r="H1119" s="26" t="str">
        <f aca="false">IF(A1119="","",COUNTIF(Apparitions!$H$2:$H$5001,A1119))</f>
        <v/>
      </c>
      <c r="I1119" s="26" t="str">
        <f aca="false">IF(A1119="","",COUNTIFS(Apparitions!$H$2:$H$5001,A1119,Apparitions!$E$2:$E$5001,"○"))</f>
        <v/>
      </c>
      <c r="J1119" s="29" t="str">
        <f aca="false">IF(A1119="","",IFERROR(1/(1/_xlfn.MINIFS(Apparitions!$L$2:$L$5001,Apparitions!$H$2:$H$5001,A1119)),""))</f>
        <v/>
      </c>
    </row>
    <row r="1120" customFormat="false" ht="15" hidden="false" customHeight="false" outlineLevel="0" collapsed="false">
      <c r="A1120" s="19"/>
      <c r="B1120" s="19"/>
      <c r="C1120" s="19"/>
      <c r="D1120" s="19"/>
      <c r="E1120" s="32"/>
      <c r="F1120" s="19"/>
      <c r="G1120" s="26" t="str">
        <f aca="false">IF(A1120="","",COUNTIF(Pubs!$B$2:$B$3001,A1120))</f>
        <v/>
      </c>
      <c r="H1120" s="26" t="str">
        <f aca="false">IF(A1120="","",COUNTIF(Apparitions!$H$2:$H$5001,A1120))</f>
        <v/>
      </c>
      <c r="I1120" s="26" t="str">
        <f aca="false">IF(A1120="","",COUNTIFS(Apparitions!$H$2:$H$5001,A1120,Apparitions!$E$2:$E$5001,"○"))</f>
        <v/>
      </c>
      <c r="J1120" s="29" t="str">
        <f aca="false">IF(A1120="","",IFERROR(1/(1/_xlfn.MINIFS(Apparitions!$L$2:$L$5001,Apparitions!$H$2:$H$5001,A1120)),""))</f>
        <v/>
      </c>
    </row>
    <row r="1121" customFormat="false" ht="15" hidden="false" customHeight="false" outlineLevel="0" collapsed="false">
      <c r="A1121" s="19"/>
      <c r="B1121" s="19"/>
      <c r="C1121" s="19"/>
      <c r="D1121" s="19"/>
      <c r="E1121" s="32"/>
      <c r="F1121" s="19"/>
      <c r="G1121" s="26" t="str">
        <f aca="false">IF(A1121="","",COUNTIF(Pubs!$B$2:$B$3001,A1121))</f>
        <v/>
      </c>
      <c r="H1121" s="26" t="str">
        <f aca="false">IF(A1121="","",COUNTIF(Apparitions!$H$2:$H$5001,A1121))</f>
        <v/>
      </c>
      <c r="I1121" s="26" t="str">
        <f aca="false">IF(A1121="","",COUNTIFS(Apparitions!$H$2:$H$5001,A1121,Apparitions!$E$2:$E$5001,"○"))</f>
        <v/>
      </c>
      <c r="J1121" s="29" t="str">
        <f aca="false">IF(A1121="","",IFERROR(1/(1/_xlfn.MINIFS(Apparitions!$L$2:$L$5001,Apparitions!$H$2:$H$5001,A1121)),""))</f>
        <v/>
      </c>
    </row>
    <row r="1122" customFormat="false" ht="15" hidden="false" customHeight="false" outlineLevel="0" collapsed="false">
      <c r="A1122" s="19"/>
      <c r="B1122" s="19"/>
      <c r="C1122" s="19"/>
      <c r="D1122" s="19"/>
      <c r="E1122" s="32"/>
      <c r="F1122" s="19"/>
      <c r="G1122" s="26" t="str">
        <f aca="false">IF(A1122="","",COUNTIF(Pubs!$B$2:$B$3001,A1122))</f>
        <v/>
      </c>
      <c r="H1122" s="26" t="str">
        <f aca="false">IF(A1122="","",COUNTIF(Apparitions!$H$2:$H$5001,A1122))</f>
        <v/>
      </c>
      <c r="I1122" s="26" t="str">
        <f aca="false">IF(A1122="","",COUNTIFS(Apparitions!$H$2:$H$5001,A1122,Apparitions!$E$2:$E$5001,"○"))</f>
        <v/>
      </c>
      <c r="J1122" s="29" t="str">
        <f aca="false">IF(A1122="","",IFERROR(1/(1/_xlfn.MINIFS(Apparitions!$L$2:$L$5001,Apparitions!$H$2:$H$5001,A1122)),""))</f>
        <v/>
      </c>
    </row>
    <row r="1123" customFormat="false" ht="15" hidden="false" customHeight="false" outlineLevel="0" collapsed="false">
      <c r="A1123" s="19"/>
      <c r="B1123" s="19"/>
      <c r="C1123" s="19"/>
      <c r="D1123" s="19"/>
      <c r="E1123" s="32"/>
      <c r="F1123" s="19"/>
      <c r="G1123" s="26" t="str">
        <f aca="false">IF(A1123="","",COUNTIF(Pubs!$B$2:$B$3001,A1123))</f>
        <v/>
      </c>
      <c r="H1123" s="26" t="str">
        <f aca="false">IF(A1123="","",COUNTIF(Apparitions!$H$2:$H$5001,A1123))</f>
        <v/>
      </c>
      <c r="I1123" s="26" t="str">
        <f aca="false">IF(A1123="","",COUNTIFS(Apparitions!$H$2:$H$5001,A1123,Apparitions!$E$2:$E$5001,"○"))</f>
        <v/>
      </c>
      <c r="J1123" s="29" t="str">
        <f aca="false">IF(A1123="","",IFERROR(1/(1/_xlfn.MINIFS(Apparitions!$L$2:$L$5001,Apparitions!$H$2:$H$5001,A1123)),""))</f>
        <v/>
      </c>
    </row>
    <row r="1124" customFormat="false" ht="15" hidden="false" customHeight="false" outlineLevel="0" collapsed="false">
      <c r="A1124" s="19"/>
      <c r="B1124" s="19"/>
      <c r="C1124" s="19"/>
      <c r="D1124" s="19"/>
      <c r="E1124" s="32"/>
      <c r="F1124" s="19"/>
      <c r="G1124" s="26" t="str">
        <f aca="false">IF(A1124="","",COUNTIF(Pubs!$B$2:$B$3001,A1124))</f>
        <v/>
      </c>
      <c r="H1124" s="26" t="str">
        <f aca="false">IF(A1124="","",COUNTIF(Apparitions!$H$2:$H$5001,A1124))</f>
        <v/>
      </c>
      <c r="I1124" s="26" t="str">
        <f aca="false">IF(A1124="","",COUNTIFS(Apparitions!$H$2:$H$5001,A1124,Apparitions!$E$2:$E$5001,"○"))</f>
        <v/>
      </c>
      <c r="J1124" s="29" t="str">
        <f aca="false">IF(A1124="","",IFERROR(1/(1/_xlfn.MINIFS(Apparitions!$L$2:$L$5001,Apparitions!$H$2:$H$5001,A1124)),""))</f>
        <v/>
      </c>
    </row>
    <row r="1125" customFormat="false" ht="15" hidden="false" customHeight="false" outlineLevel="0" collapsed="false">
      <c r="A1125" s="19"/>
      <c r="B1125" s="19"/>
      <c r="C1125" s="19"/>
      <c r="D1125" s="19"/>
      <c r="E1125" s="32"/>
      <c r="F1125" s="19"/>
      <c r="G1125" s="26" t="str">
        <f aca="false">IF(A1125="","",COUNTIF(Pubs!$B$2:$B$3001,A1125))</f>
        <v/>
      </c>
      <c r="H1125" s="26" t="str">
        <f aca="false">IF(A1125="","",COUNTIF(Apparitions!$H$2:$H$5001,A1125))</f>
        <v/>
      </c>
      <c r="I1125" s="26" t="str">
        <f aca="false">IF(A1125="","",COUNTIFS(Apparitions!$H$2:$H$5001,A1125,Apparitions!$E$2:$E$5001,"○"))</f>
        <v/>
      </c>
      <c r="J1125" s="29" t="str">
        <f aca="false">IF(A1125="","",IFERROR(1/(1/_xlfn.MINIFS(Apparitions!$L$2:$L$5001,Apparitions!$H$2:$H$5001,A1125)),""))</f>
        <v/>
      </c>
    </row>
    <row r="1126" customFormat="false" ht="15" hidden="false" customHeight="false" outlineLevel="0" collapsed="false">
      <c r="A1126" s="19"/>
      <c r="B1126" s="19"/>
      <c r="C1126" s="19"/>
      <c r="D1126" s="19"/>
      <c r="E1126" s="32"/>
      <c r="F1126" s="19"/>
      <c r="G1126" s="26" t="str">
        <f aca="false">IF(A1126="","",COUNTIF(Pubs!$B$2:$B$3001,A1126))</f>
        <v/>
      </c>
      <c r="H1126" s="26" t="str">
        <f aca="false">IF(A1126="","",COUNTIF(Apparitions!$H$2:$H$5001,A1126))</f>
        <v/>
      </c>
      <c r="I1126" s="26" t="str">
        <f aca="false">IF(A1126="","",COUNTIFS(Apparitions!$H$2:$H$5001,A1126,Apparitions!$E$2:$E$5001,"○"))</f>
        <v/>
      </c>
      <c r="J1126" s="29" t="str">
        <f aca="false">IF(A1126="","",IFERROR(1/(1/_xlfn.MINIFS(Apparitions!$L$2:$L$5001,Apparitions!$H$2:$H$5001,A1126)),""))</f>
        <v/>
      </c>
    </row>
    <row r="1127" customFormat="false" ht="15" hidden="false" customHeight="false" outlineLevel="0" collapsed="false">
      <c r="A1127" s="19"/>
      <c r="B1127" s="19"/>
      <c r="C1127" s="19"/>
      <c r="D1127" s="19"/>
      <c r="E1127" s="32"/>
      <c r="F1127" s="19"/>
      <c r="G1127" s="26" t="str">
        <f aca="false">IF(A1127="","",COUNTIF(Pubs!$B$2:$B$3001,A1127))</f>
        <v/>
      </c>
      <c r="H1127" s="26" t="str">
        <f aca="false">IF(A1127="","",COUNTIF(Apparitions!$H$2:$H$5001,A1127))</f>
        <v/>
      </c>
      <c r="I1127" s="26" t="str">
        <f aca="false">IF(A1127="","",COUNTIFS(Apparitions!$H$2:$H$5001,A1127,Apparitions!$E$2:$E$5001,"○"))</f>
        <v/>
      </c>
      <c r="J1127" s="29" t="str">
        <f aca="false">IF(A1127="","",IFERROR(1/(1/_xlfn.MINIFS(Apparitions!$L$2:$L$5001,Apparitions!$H$2:$H$5001,A1127)),""))</f>
        <v/>
      </c>
    </row>
    <row r="1128" customFormat="false" ht="15" hidden="false" customHeight="false" outlineLevel="0" collapsed="false">
      <c r="A1128" s="19"/>
      <c r="B1128" s="19"/>
      <c r="C1128" s="19"/>
      <c r="D1128" s="19"/>
      <c r="E1128" s="32"/>
      <c r="F1128" s="19"/>
      <c r="G1128" s="26" t="str">
        <f aca="false">IF(A1128="","",COUNTIF(Pubs!$B$2:$B$3001,A1128))</f>
        <v/>
      </c>
      <c r="H1128" s="26" t="str">
        <f aca="false">IF(A1128="","",COUNTIF(Apparitions!$H$2:$H$5001,A1128))</f>
        <v/>
      </c>
      <c r="I1128" s="26" t="str">
        <f aca="false">IF(A1128="","",COUNTIFS(Apparitions!$H$2:$H$5001,A1128,Apparitions!$E$2:$E$5001,"○"))</f>
        <v/>
      </c>
      <c r="J1128" s="29" t="str">
        <f aca="false">IF(A1128="","",IFERROR(1/(1/_xlfn.MINIFS(Apparitions!$L$2:$L$5001,Apparitions!$H$2:$H$5001,A1128)),""))</f>
        <v/>
      </c>
    </row>
    <row r="1129" customFormat="false" ht="15" hidden="false" customHeight="false" outlineLevel="0" collapsed="false">
      <c r="A1129" s="19"/>
      <c r="B1129" s="19"/>
      <c r="C1129" s="19"/>
      <c r="D1129" s="19"/>
      <c r="E1129" s="32"/>
      <c r="F1129" s="19"/>
      <c r="G1129" s="26" t="str">
        <f aca="false">IF(A1129="","",COUNTIF(Pubs!$B$2:$B$3001,A1129))</f>
        <v/>
      </c>
      <c r="H1129" s="26" t="str">
        <f aca="false">IF(A1129="","",COUNTIF(Apparitions!$H$2:$H$5001,A1129))</f>
        <v/>
      </c>
      <c r="I1129" s="26" t="str">
        <f aca="false">IF(A1129="","",COUNTIFS(Apparitions!$H$2:$H$5001,A1129,Apparitions!$E$2:$E$5001,"○"))</f>
        <v/>
      </c>
      <c r="J1129" s="29" t="str">
        <f aca="false">IF(A1129="","",IFERROR(1/(1/_xlfn.MINIFS(Apparitions!$L$2:$L$5001,Apparitions!$H$2:$H$5001,A1129)),""))</f>
        <v/>
      </c>
    </row>
    <row r="1130" customFormat="false" ht="15" hidden="false" customHeight="false" outlineLevel="0" collapsed="false">
      <c r="A1130" s="19"/>
      <c r="B1130" s="19"/>
      <c r="C1130" s="19"/>
      <c r="D1130" s="19"/>
      <c r="E1130" s="32"/>
      <c r="F1130" s="19"/>
      <c r="G1130" s="26" t="str">
        <f aca="false">IF(A1130="","",COUNTIF(Pubs!$B$2:$B$3001,A1130))</f>
        <v/>
      </c>
      <c r="H1130" s="26" t="str">
        <f aca="false">IF(A1130="","",COUNTIF(Apparitions!$H$2:$H$5001,A1130))</f>
        <v/>
      </c>
      <c r="I1130" s="26" t="str">
        <f aca="false">IF(A1130="","",COUNTIFS(Apparitions!$H$2:$H$5001,A1130,Apparitions!$E$2:$E$5001,"○"))</f>
        <v/>
      </c>
      <c r="J1130" s="29" t="str">
        <f aca="false">IF(A1130="","",IFERROR(1/(1/_xlfn.MINIFS(Apparitions!$L$2:$L$5001,Apparitions!$H$2:$H$5001,A1130)),""))</f>
        <v/>
      </c>
    </row>
    <row r="1131" customFormat="false" ht="15" hidden="false" customHeight="false" outlineLevel="0" collapsed="false">
      <c r="A1131" s="19"/>
      <c r="B1131" s="19"/>
      <c r="C1131" s="19"/>
      <c r="D1131" s="19"/>
      <c r="E1131" s="32"/>
      <c r="F1131" s="19"/>
      <c r="G1131" s="26" t="str">
        <f aca="false">IF(A1131="","",COUNTIF(Pubs!$B$2:$B$3001,A1131))</f>
        <v/>
      </c>
      <c r="H1131" s="26" t="str">
        <f aca="false">IF(A1131="","",COUNTIF(Apparitions!$H$2:$H$5001,A1131))</f>
        <v/>
      </c>
      <c r="I1131" s="26" t="str">
        <f aca="false">IF(A1131="","",COUNTIFS(Apparitions!$H$2:$H$5001,A1131,Apparitions!$E$2:$E$5001,"○"))</f>
        <v/>
      </c>
      <c r="J1131" s="29" t="str">
        <f aca="false">IF(A1131="","",IFERROR(1/(1/_xlfn.MINIFS(Apparitions!$L$2:$L$5001,Apparitions!$H$2:$H$5001,A1131)),""))</f>
        <v/>
      </c>
    </row>
    <row r="1132" customFormat="false" ht="15" hidden="false" customHeight="false" outlineLevel="0" collapsed="false">
      <c r="A1132" s="19"/>
      <c r="B1132" s="19"/>
      <c r="C1132" s="19"/>
      <c r="D1132" s="19"/>
      <c r="E1132" s="32"/>
      <c r="F1132" s="19"/>
      <c r="G1132" s="26" t="str">
        <f aca="false">IF(A1132="","",COUNTIF(Pubs!$B$2:$B$3001,A1132))</f>
        <v/>
      </c>
      <c r="H1132" s="26" t="str">
        <f aca="false">IF(A1132="","",COUNTIF(Apparitions!$H$2:$H$5001,A1132))</f>
        <v/>
      </c>
      <c r="I1132" s="26" t="str">
        <f aca="false">IF(A1132="","",COUNTIFS(Apparitions!$H$2:$H$5001,A1132,Apparitions!$E$2:$E$5001,"○"))</f>
        <v/>
      </c>
      <c r="J1132" s="29" t="str">
        <f aca="false">IF(A1132="","",IFERROR(1/(1/_xlfn.MINIFS(Apparitions!$L$2:$L$5001,Apparitions!$H$2:$H$5001,A1132)),""))</f>
        <v/>
      </c>
    </row>
    <row r="1133" customFormat="false" ht="15" hidden="false" customHeight="false" outlineLevel="0" collapsed="false">
      <c r="A1133" s="19"/>
      <c r="B1133" s="19"/>
      <c r="C1133" s="19"/>
      <c r="D1133" s="19"/>
      <c r="E1133" s="32"/>
      <c r="F1133" s="19"/>
      <c r="G1133" s="26" t="str">
        <f aca="false">IF(A1133="","",COUNTIF(Pubs!$B$2:$B$3001,A1133))</f>
        <v/>
      </c>
      <c r="H1133" s="26" t="str">
        <f aca="false">IF(A1133="","",COUNTIF(Apparitions!$H$2:$H$5001,A1133))</f>
        <v/>
      </c>
      <c r="I1133" s="26" t="str">
        <f aca="false">IF(A1133="","",COUNTIFS(Apparitions!$H$2:$H$5001,A1133,Apparitions!$E$2:$E$5001,"○"))</f>
        <v/>
      </c>
      <c r="J1133" s="29" t="str">
        <f aca="false">IF(A1133="","",IFERROR(1/(1/_xlfn.MINIFS(Apparitions!$L$2:$L$5001,Apparitions!$H$2:$H$5001,A1133)),""))</f>
        <v/>
      </c>
    </row>
    <row r="1134" customFormat="false" ht="15" hidden="false" customHeight="false" outlineLevel="0" collapsed="false">
      <c r="A1134" s="19"/>
      <c r="B1134" s="19"/>
      <c r="C1134" s="19"/>
      <c r="D1134" s="19"/>
      <c r="E1134" s="32"/>
      <c r="F1134" s="19"/>
      <c r="G1134" s="26" t="str">
        <f aca="false">IF(A1134="","",COUNTIF(Pubs!$B$2:$B$3001,A1134))</f>
        <v/>
      </c>
      <c r="H1134" s="26" t="str">
        <f aca="false">IF(A1134="","",COUNTIF(Apparitions!$H$2:$H$5001,A1134))</f>
        <v/>
      </c>
      <c r="I1134" s="26" t="str">
        <f aca="false">IF(A1134="","",COUNTIFS(Apparitions!$H$2:$H$5001,A1134,Apparitions!$E$2:$E$5001,"○"))</f>
        <v/>
      </c>
      <c r="J1134" s="29" t="str">
        <f aca="false">IF(A1134="","",IFERROR(1/(1/_xlfn.MINIFS(Apparitions!$L$2:$L$5001,Apparitions!$H$2:$H$5001,A1134)),""))</f>
        <v/>
      </c>
    </row>
    <row r="1135" customFormat="false" ht="15" hidden="false" customHeight="false" outlineLevel="0" collapsed="false">
      <c r="A1135" s="19"/>
      <c r="B1135" s="19"/>
      <c r="C1135" s="19"/>
      <c r="D1135" s="19"/>
      <c r="E1135" s="32"/>
      <c r="F1135" s="19"/>
      <c r="G1135" s="26" t="str">
        <f aca="false">IF(A1135="","",COUNTIF(Pubs!$B$2:$B$3001,A1135))</f>
        <v/>
      </c>
      <c r="H1135" s="26" t="str">
        <f aca="false">IF(A1135="","",COUNTIF(Apparitions!$H$2:$H$5001,A1135))</f>
        <v/>
      </c>
      <c r="I1135" s="26" t="str">
        <f aca="false">IF(A1135="","",COUNTIFS(Apparitions!$H$2:$H$5001,A1135,Apparitions!$E$2:$E$5001,"○"))</f>
        <v/>
      </c>
      <c r="J1135" s="29" t="str">
        <f aca="false">IF(A1135="","",IFERROR(1/(1/_xlfn.MINIFS(Apparitions!$L$2:$L$5001,Apparitions!$H$2:$H$5001,A1135)),""))</f>
        <v/>
      </c>
    </row>
    <row r="1136" customFormat="false" ht="15" hidden="false" customHeight="false" outlineLevel="0" collapsed="false">
      <c r="A1136" s="19"/>
      <c r="B1136" s="19"/>
      <c r="C1136" s="19"/>
      <c r="D1136" s="19"/>
      <c r="E1136" s="32"/>
      <c r="F1136" s="19"/>
      <c r="G1136" s="26" t="str">
        <f aca="false">IF(A1136="","",COUNTIF(Pubs!$B$2:$B$3001,A1136))</f>
        <v/>
      </c>
      <c r="H1136" s="26" t="str">
        <f aca="false">IF(A1136="","",COUNTIF(Apparitions!$H$2:$H$5001,A1136))</f>
        <v/>
      </c>
      <c r="I1136" s="26" t="str">
        <f aca="false">IF(A1136="","",COUNTIFS(Apparitions!$H$2:$H$5001,A1136,Apparitions!$E$2:$E$5001,"○"))</f>
        <v/>
      </c>
      <c r="J1136" s="29" t="str">
        <f aca="false">IF(A1136="","",IFERROR(1/(1/_xlfn.MINIFS(Apparitions!$L$2:$L$5001,Apparitions!$H$2:$H$5001,A1136)),""))</f>
        <v/>
      </c>
    </row>
    <row r="1137" customFormat="false" ht="15" hidden="false" customHeight="false" outlineLevel="0" collapsed="false">
      <c r="A1137" s="19"/>
      <c r="B1137" s="19"/>
      <c r="C1137" s="19"/>
      <c r="D1137" s="19"/>
      <c r="E1137" s="32"/>
      <c r="F1137" s="19"/>
      <c r="G1137" s="26" t="str">
        <f aca="false">IF(A1137="","",COUNTIF(Pubs!$B$2:$B$3001,A1137))</f>
        <v/>
      </c>
      <c r="H1137" s="26" t="str">
        <f aca="false">IF(A1137="","",COUNTIF(Apparitions!$H$2:$H$5001,A1137))</f>
        <v/>
      </c>
      <c r="I1137" s="26" t="str">
        <f aca="false">IF(A1137="","",COUNTIFS(Apparitions!$H$2:$H$5001,A1137,Apparitions!$E$2:$E$5001,"○"))</f>
        <v/>
      </c>
      <c r="J1137" s="29" t="str">
        <f aca="false">IF(A1137="","",IFERROR(1/(1/_xlfn.MINIFS(Apparitions!$L$2:$L$5001,Apparitions!$H$2:$H$5001,A1137)),""))</f>
        <v/>
      </c>
    </row>
    <row r="1138" customFormat="false" ht="15" hidden="false" customHeight="false" outlineLevel="0" collapsed="false">
      <c r="A1138" s="19"/>
      <c r="B1138" s="19"/>
      <c r="C1138" s="19"/>
      <c r="D1138" s="19"/>
      <c r="E1138" s="32"/>
      <c r="F1138" s="19"/>
      <c r="G1138" s="26" t="str">
        <f aca="false">IF(A1138="","",COUNTIF(Pubs!$B$2:$B$3001,A1138))</f>
        <v/>
      </c>
      <c r="H1138" s="26" t="str">
        <f aca="false">IF(A1138="","",COUNTIF(Apparitions!$H$2:$H$5001,A1138))</f>
        <v/>
      </c>
      <c r="I1138" s="26" t="str">
        <f aca="false">IF(A1138="","",COUNTIFS(Apparitions!$H$2:$H$5001,A1138,Apparitions!$E$2:$E$5001,"○"))</f>
        <v/>
      </c>
      <c r="J1138" s="29" t="str">
        <f aca="false">IF(A1138="","",IFERROR(1/(1/_xlfn.MINIFS(Apparitions!$L$2:$L$5001,Apparitions!$H$2:$H$5001,A1138)),""))</f>
        <v/>
      </c>
    </row>
    <row r="1139" customFormat="false" ht="15" hidden="false" customHeight="false" outlineLevel="0" collapsed="false">
      <c r="A1139" s="19"/>
      <c r="B1139" s="19"/>
      <c r="C1139" s="19"/>
      <c r="D1139" s="19"/>
      <c r="E1139" s="32"/>
      <c r="F1139" s="19"/>
      <c r="G1139" s="26" t="str">
        <f aca="false">IF(A1139="","",COUNTIF(Pubs!$B$2:$B$3001,A1139))</f>
        <v/>
      </c>
      <c r="H1139" s="26" t="str">
        <f aca="false">IF(A1139="","",COUNTIF(Apparitions!$H$2:$H$5001,A1139))</f>
        <v/>
      </c>
      <c r="I1139" s="26" t="str">
        <f aca="false">IF(A1139="","",COUNTIFS(Apparitions!$H$2:$H$5001,A1139,Apparitions!$E$2:$E$5001,"○"))</f>
        <v/>
      </c>
      <c r="J1139" s="29" t="str">
        <f aca="false">IF(A1139="","",IFERROR(1/(1/_xlfn.MINIFS(Apparitions!$L$2:$L$5001,Apparitions!$H$2:$H$5001,A1139)),""))</f>
        <v/>
      </c>
    </row>
    <row r="1140" customFormat="false" ht="15" hidden="false" customHeight="false" outlineLevel="0" collapsed="false">
      <c r="A1140" s="19"/>
      <c r="B1140" s="19"/>
      <c r="C1140" s="19"/>
      <c r="D1140" s="19"/>
      <c r="E1140" s="32"/>
      <c r="F1140" s="19"/>
      <c r="G1140" s="26" t="str">
        <f aca="false">IF(A1140="","",COUNTIF(Pubs!$B$2:$B$3001,A1140))</f>
        <v/>
      </c>
      <c r="H1140" s="26" t="str">
        <f aca="false">IF(A1140="","",COUNTIF(Apparitions!$H$2:$H$5001,A1140))</f>
        <v/>
      </c>
      <c r="I1140" s="26" t="str">
        <f aca="false">IF(A1140="","",COUNTIFS(Apparitions!$H$2:$H$5001,A1140,Apparitions!$E$2:$E$5001,"○"))</f>
        <v/>
      </c>
      <c r="J1140" s="29" t="str">
        <f aca="false">IF(A1140="","",IFERROR(1/(1/_xlfn.MINIFS(Apparitions!$L$2:$L$5001,Apparitions!$H$2:$H$5001,A1140)),""))</f>
        <v/>
      </c>
    </row>
    <row r="1141" customFormat="false" ht="15" hidden="false" customHeight="false" outlineLevel="0" collapsed="false">
      <c r="A1141" s="19"/>
      <c r="B1141" s="19"/>
      <c r="C1141" s="19"/>
      <c r="D1141" s="19"/>
      <c r="E1141" s="32"/>
      <c r="F1141" s="19"/>
      <c r="G1141" s="26" t="str">
        <f aca="false">IF(A1141="","",COUNTIF(Pubs!$B$2:$B$3001,A1141))</f>
        <v/>
      </c>
      <c r="H1141" s="26" t="str">
        <f aca="false">IF(A1141="","",COUNTIF(Apparitions!$H$2:$H$5001,A1141))</f>
        <v/>
      </c>
      <c r="I1141" s="26" t="str">
        <f aca="false">IF(A1141="","",COUNTIFS(Apparitions!$H$2:$H$5001,A1141,Apparitions!$E$2:$E$5001,"○"))</f>
        <v/>
      </c>
      <c r="J1141" s="29" t="str">
        <f aca="false">IF(A1141="","",IFERROR(1/(1/_xlfn.MINIFS(Apparitions!$L$2:$L$5001,Apparitions!$H$2:$H$5001,A1141)),""))</f>
        <v/>
      </c>
    </row>
    <row r="1142" customFormat="false" ht="15" hidden="false" customHeight="false" outlineLevel="0" collapsed="false">
      <c r="A1142" s="19"/>
      <c r="B1142" s="19"/>
      <c r="C1142" s="19"/>
      <c r="D1142" s="19"/>
      <c r="E1142" s="32"/>
      <c r="F1142" s="19"/>
      <c r="G1142" s="26" t="str">
        <f aca="false">IF(A1142="","",COUNTIF(Pubs!$B$2:$B$3001,A1142))</f>
        <v/>
      </c>
      <c r="H1142" s="26" t="str">
        <f aca="false">IF(A1142="","",COUNTIF(Apparitions!$H$2:$H$5001,A1142))</f>
        <v/>
      </c>
      <c r="I1142" s="26" t="str">
        <f aca="false">IF(A1142="","",COUNTIFS(Apparitions!$H$2:$H$5001,A1142,Apparitions!$E$2:$E$5001,"○"))</f>
        <v/>
      </c>
      <c r="J1142" s="29" t="str">
        <f aca="false">IF(A1142="","",IFERROR(1/(1/_xlfn.MINIFS(Apparitions!$L$2:$L$5001,Apparitions!$H$2:$H$5001,A1142)),""))</f>
        <v/>
      </c>
    </row>
    <row r="1143" customFormat="false" ht="15" hidden="false" customHeight="false" outlineLevel="0" collapsed="false">
      <c r="A1143" s="19"/>
      <c r="B1143" s="19"/>
      <c r="C1143" s="19"/>
      <c r="D1143" s="19"/>
      <c r="E1143" s="32"/>
      <c r="F1143" s="19"/>
      <c r="G1143" s="26" t="str">
        <f aca="false">IF(A1143="","",COUNTIF(Pubs!$B$2:$B$3001,A1143))</f>
        <v/>
      </c>
      <c r="H1143" s="26" t="str">
        <f aca="false">IF(A1143="","",COUNTIF(Apparitions!$H$2:$H$5001,A1143))</f>
        <v/>
      </c>
      <c r="I1143" s="26" t="str">
        <f aca="false">IF(A1143="","",COUNTIFS(Apparitions!$H$2:$H$5001,A1143,Apparitions!$E$2:$E$5001,"○"))</f>
        <v/>
      </c>
      <c r="J1143" s="29" t="str">
        <f aca="false">IF(A1143="","",IFERROR(1/(1/_xlfn.MINIFS(Apparitions!$L$2:$L$5001,Apparitions!$H$2:$H$5001,A1143)),""))</f>
        <v/>
      </c>
    </row>
    <row r="1144" customFormat="false" ht="15" hidden="false" customHeight="false" outlineLevel="0" collapsed="false">
      <c r="A1144" s="19"/>
      <c r="B1144" s="19"/>
      <c r="C1144" s="19"/>
      <c r="D1144" s="19"/>
      <c r="E1144" s="32"/>
      <c r="F1144" s="19"/>
      <c r="G1144" s="26" t="str">
        <f aca="false">IF(A1144="","",COUNTIF(Pubs!$B$2:$B$3001,A1144))</f>
        <v/>
      </c>
      <c r="H1144" s="26" t="str">
        <f aca="false">IF(A1144="","",COUNTIF(Apparitions!$H$2:$H$5001,A1144))</f>
        <v/>
      </c>
      <c r="I1144" s="26" t="str">
        <f aca="false">IF(A1144="","",COUNTIFS(Apparitions!$H$2:$H$5001,A1144,Apparitions!$E$2:$E$5001,"○"))</f>
        <v/>
      </c>
      <c r="J1144" s="29" t="str">
        <f aca="false">IF(A1144="","",IFERROR(1/(1/_xlfn.MINIFS(Apparitions!$L$2:$L$5001,Apparitions!$H$2:$H$5001,A1144)),""))</f>
        <v/>
      </c>
    </row>
    <row r="1145" customFormat="false" ht="15" hidden="false" customHeight="false" outlineLevel="0" collapsed="false">
      <c r="A1145" s="19"/>
      <c r="B1145" s="19"/>
      <c r="C1145" s="19"/>
      <c r="D1145" s="19"/>
      <c r="E1145" s="32"/>
      <c r="F1145" s="19"/>
      <c r="G1145" s="26" t="str">
        <f aca="false">IF(A1145="","",COUNTIF(Pubs!$B$2:$B$3001,A1145))</f>
        <v/>
      </c>
      <c r="H1145" s="26" t="str">
        <f aca="false">IF(A1145="","",COUNTIF(Apparitions!$H$2:$H$5001,A1145))</f>
        <v/>
      </c>
      <c r="I1145" s="26" t="str">
        <f aca="false">IF(A1145="","",COUNTIFS(Apparitions!$H$2:$H$5001,A1145,Apparitions!$E$2:$E$5001,"○"))</f>
        <v/>
      </c>
      <c r="J1145" s="29" t="str">
        <f aca="false">IF(A1145="","",IFERROR(1/(1/_xlfn.MINIFS(Apparitions!$L$2:$L$5001,Apparitions!$H$2:$H$5001,A1145)),""))</f>
        <v/>
      </c>
    </row>
    <row r="1146" customFormat="false" ht="15" hidden="false" customHeight="false" outlineLevel="0" collapsed="false">
      <c r="A1146" s="19"/>
      <c r="B1146" s="19"/>
      <c r="C1146" s="19"/>
      <c r="D1146" s="19"/>
      <c r="E1146" s="32"/>
      <c r="F1146" s="19"/>
      <c r="G1146" s="26" t="str">
        <f aca="false">IF(A1146="","",COUNTIF(Pubs!$B$2:$B$3001,A1146))</f>
        <v/>
      </c>
      <c r="H1146" s="26" t="str">
        <f aca="false">IF(A1146="","",COUNTIF(Apparitions!$H$2:$H$5001,A1146))</f>
        <v/>
      </c>
      <c r="I1146" s="26" t="str">
        <f aca="false">IF(A1146="","",COUNTIFS(Apparitions!$H$2:$H$5001,A1146,Apparitions!$E$2:$E$5001,"○"))</f>
        <v/>
      </c>
      <c r="J1146" s="29" t="str">
        <f aca="false">IF(A1146="","",IFERROR(1/(1/_xlfn.MINIFS(Apparitions!$L$2:$L$5001,Apparitions!$H$2:$H$5001,A1146)),""))</f>
        <v/>
      </c>
    </row>
    <row r="1147" customFormat="false" ht="15" hidden="false" customHeight="false" outlineLevel="0" collapsed="false">
      <c r="A1147" s="19"/>
      <c r="B1147" s="19"/>
      <c r="C1147" s="19"/>
      <c r="D1147" s="19"/>
      <c r="E1147" s="32"/>
      <c r="F1147" s="19"/>
      <c r="G1147" s="26" t="str">
        <f aca="false">IF(A1147="","",COUNTIF(Pubs!$B$2:$B$3001,A1147))</f>
        <v/>
      </c>
      <c r="H1147" s="26" t="str">
        <f aca="false">IF(A1147="","",COUNTIF(Apparitions!$H$2:$H$5001,A1147))</f>
        <v/>
      </c>
      <c r="I1147" s="26" t="str">
        <f aca="false">IF(A1147="","",COUNTIFS(Apparitions!$H$2:$H$5001,A1147,Apparitions!$E$2:$E$5001,"○"))</f>
        <v/>
      </c>
      <c r="J1147" s="29" t="str">
        <f aca="false">IF(A1147="","",IFERROR(1/(1/_xlfn.MINIFS(Apparitions!$L$2:$L$5001,Apparitions!$H$2:$H$5001,A1147)),""))</f>
        <v/>
      </c>
    </row>
    <row r="1148" customFormat="false" ht="15" hidden="false" customHeight="false" outlineLevel="0" collapsed="false">
      <c r="A1148" s="19"/>
      <c r="B1148" s="19"/>
      <c r="C1148" s="19"/>
      <c r="D1148" s="19"/>
      <c r="E1148" s="32"/>
      <c r="F1148" s="19"/>
      <c r="G1148" s="26" t="str">
        <f aca="false">IF(A1148="","",COUNTIF(Pubs!$B$2:$B$3001,A1148))</f>
        <v/>
      </c>
      <c r="H1148" s="26" t="str">
        <f aca="false">IF(A1148="","",COUNTIF(Apparitions!$H$2:$H$5001,A1148))</f>
        <v/>
      </c>
      <c r="I1148" s="26" t="str">
        <f aca="false">IF(A1148="","",COUNTIFS(Apparitions!$H$2:$H$5001,A1148,Apparitions!$E$2:$E$5001,"○"))</f>
        <v/>
      </c>
      <c r="J1148" s="29" t="str">
        <f aca="false">IF(A1148="","",IFERROR(1/(1/_xlfn.MINIFS(Apparitions!$L$2:$L$5001,Apparitions!$H$2:$H$5001,A1148)),""))</f>
        <v/>
      </c>
    </row>
    <row r="1149" customFormat="false" ht="15" hidden="false" customHeight="false" outlineLevel="0" collapsed="false">
      <c r="A1149" s="19"/>
      <c r="B1149" s="19"/>
      <c r="C1149" s="19"/>
      <c r="D1149" s="19"/>
      <c r="E1149" s="32"/>
      <c r="F1149" s="19"/>
      <c r="G1149" s="26" t="str">
        <f aca="false">IF(A1149="","",COUNTIF(Pubs!$B$2:$B$3001,A1149))</f>
        <v/>
      </c>
      <c r="H1149" s="26" t="str">
        <f aca="false">IF(A1149="","",COUNTIF(Apparitions!$H$2:$H$5001,A1149))</f>
        <v/>
      </c>
      <c r="I1149" s="26" t="str">
        <f aca="false">IF(A1149="","",COUNTIFS(Apparitions!$H$2:$H$5001,A1149,Apparitions!$E$2:$E$5001,"○"))</f>
        <v/>
      </c>
      <c r="J1149" s="29" t="str">
        <f aca="false">IF(A1149="","",IFERROR(1/(1/_xlfn.MINIFS(Apparitions!$L$2:$L$5001,Apparitions!$H$2:$H$5001,A1149)),""))</f>
        <v/>
      </c>
    </row>
    <row r="1150" customFormat="false" ht="15" hidden="false" customHeight="false" outlineLevel="0" collapsed="false">
      <c r="A1150" s="19"/>
      <c r="B1150" s="19"/>
      <c r="C1150" s="19"/>
      <c r="D1150" s="19"/>
      <c r="E1150" s="32"/>
      <c r="F1150" s="19"/>
      <c r="G1150" s="26" t="str">
        <f aca="false">IF(A1150="","",COUNTIF(Pubs!$B$2:$B$3001,A1150))</f>
        <v/>
      </c>
      <c r="H1150" s="26" t="str">
        <f aca="false">IF(A1150="","",COUNTIF(Apparitions!$H$2:$H$5001,A1150))</f>
        <v/>
      </c>
      <c r="I1150" s="26" t="str">
        <f aca="false">IF(A1150="","",COUNTIFS(Apparitions!$H$2:$H$5001,A1150,Apparitions!$E$2:$E$5001,"○"))</f>
        <v/>
      </c>
      <c r="J1150" s="29" t="str">
        <f aca="false">IF(A1150="","",IFERROR(1/(1/_xlfn.MINIFS(Apparitions!$L$2:$L$5001,Apparitions!$H$2:$H$5001,A1150)),""))</f>
        <v/>
      </c>
    </row>
    <row r="1151" customFormat="false" ht="15" hidden="false" customHeight="false" outlineLevel="0" collapsed="false">
      <c r="A1151" s="19"/>
      <c r="B1151" s="19"/>
      <c r="C1151" s="19"/>
      <c r="D1151" s="19"/>
      <c r="E1151" s="32"/>
      <c r="F1151" s="19"/>
      <c r="G1151" s="26" t="str">
        <f aca="false">IF(A1151="","",COUNTIF(Pubs!$B$2:$B$3001,A1151))</f>
        <v/>
      </c>
      <c r="H1151" s="26" t="str">
        <f aca="false">IF(A1151="","",COUNTIF(Apparitions!$H$2:$H$5001,A1151))</f>
        <v/>
      </c>
      <c r="I1151" s="26" t="str">
        <f aca="false">IF(A1151="","",COUNTIFS(Apparitions!$H$2:$H$5001,A1151,Apparitions!$E$2:$E$5001,"○"))</f>
        <v/>
      </c>
      <c r="J1151" s="29" t="str">
        <f aca="false">IF(A1151="","",IFERROR(1/(1/_xlfn.MINIFS(Apparitions!$L$2:$L$5001,Apparitions!$H$2:$H$5001,A1151)),""))</f>
        <v/>
      </c>
    </row>
    <row r="1152" customFormat="false" ht="15" hidden="false" customHeight="false" outlineLevel="0" collapsed="false">
      <c r="A1152" s="19"/>
      <c r="B1152" s="19"/>
      <c r="C1152" s="19"/>
      <c r="D1152" s="19"/>
      <c r="E1152" s="32"/>
      <c r="F1152" s="19"/>
      <c r="G1152" s="26" t="str">
        <f aca="false">IF(A1152="","",COUNTIF(Pubs!$B$2:$B$3001,A1152))</f>
        <v/>
      </c>
      <c r="H1152" s="26" t="str">
        <f aca="false">IF(A1152="","",COUNTIF(Apparitions!$H$2:$H$5001,A1152))</f>
        <v/>
      </c>
      <c r="I1152" s="26" t="str">
        <f aca="false">IF(A1152="","",COUNTIFS(Apparitions!$H$2:$H$5001,A1152,Apparitions!$E$2:$E$5001,"○"))</f>
        <v/>
      </c>
      <c r="J1152" s="29" t="str">
        <f aca="false">IF(A1152="","",IFERROR(1/(1/_xlfn.MINIFS(Apparitions!$L$2:$L$5001,Apparitions!$H$2:$H$5001,A1152)),""))</f>
        <v/>
      </c>
    </row>
    <row r="1153" customFormat="false" ht="15" hidden="false" customHeight="false" outlineLevel="0" collapsed="false">
      <c r="A1153" s="19"/>
      <c r="B1153" s="19"/>
      <c r="C1153" s="19"/>
      <c r="D1153" s="19"/>
      <c r="E1153" s="32"/>
      <c r="F1153" s="19"/>
      <c r="G1153" s="26" t="str">
        <f aca="false">IF(A1153="","",COUNTIF(Pubs!$B$2:$B$3001,A1153))</f>
        <v/>
      </c>
      <c r="H1153" s="26" t="str">
        <f aca="false">IF(A1153="","",COUNTIF(Apparitions!$H$2:$H$5001,A1153))</f>
        <v/>
      </c>
      <c r="I1153" s="26" t="str">
        <f aca="false">IF(A1153="","",COUNTIFS(Apparitions!$H$2:$H$5001,A1153,Apparitions!$E$2:$E$5001,"○"))</f>
        <v/>
      </c>
      <c r="J1153" s="29" t="str">
        <f aca="false">IF(A1153="","",IFERROR(1/(1/_xlfn.MINIFS(Apparitions!$L$2:$L$5001,Apparitions!$H$2:$H$5001,A1153)),""))</f>
        <v/>
      </c>
    </row>
    <row r="1154" customFormat="false" ht="15" hidden="false" customHeight="false" outlineLevel="0" collapsed="false">
      <c r="A1154" s="19"/>
      <c r="B1154" s="19"/>
      <c r="C1154" s="19"/>
      <c r="D1154" s="19"/>
      <c r="E1154" s="32"/>
      <c r="F1154" s="19"/>
      <c r="G1154" s="26" t="str">
        <f aca="false">IF(A1154="","",COUNTIF(Pubs!$B$2:$B$3001,A1154))</f>
        <v/>
      </c>
      <c r="H1154" s="26" t="str">
        <f aca="false">IF(A1154="","",COUNTIF(Apparitions!$H$2:$H$5001,A1154))</f>
        <v/>
      </c>
      <c r="I1154" s="26" t="str">
        <f aca="false">IF(A1154="","",COUNTIFS(Apparitions!$H$2:$H$5001,A1154,Apparitions!$E$2:$E$5001,"○"))</f>
        <v/>
      </c>
      <c r="J1154" s="29" t="str">
        <f aca="false">IF(A1154="","",IFERROR(1/(1/_xlfn.MINIFS(Apparitions!$L$2:$L$5001,Apparitions!$H$2:$H$5001,A1154)),""))</f>
        <v/>
      </c>
    </row>
    <row r="1155" customFormat="false" ht="15" hidden="false" customHeight="false" outlineLevel="0" collapsed="false">
      <c r="A1155" s="19"/>
      <c r="B1155" s="19"/>
      <c r="C1155" s="19"/>
      <c r="D1155" s="19"/>
      <c r="E1155" s="32"/>
      <c r="F1155" s="19"/>
      <c r="G1155" s="26" t="str">
        <f aca="false">IF(A1155="","",COUNTIF(Pubs!$B$2:$B$3001,A1155))</f>
        <v/>
      </c>
      <c r="H1155" s="26" t="str">
        <f aca="false">IF(A1155="","",COUNTIF(Apparitions!$H$2:$H$5001,A1155))</f>
        <v/>
      </c>
      <c r="I1155" s="26" t="str">
        <f aca="false">IF(A1155="","",COUNTIFS(Apparitions!$H$2:$H$5001,A1155,Apparitions!$E$2:$E$5001,"○"))</f>
        <v/>
      </c>
      <c r="J1155" s="29" t="str">
        <f aca="false">IF(A1155="","",IFERROR(1/(1/_xlfn.MINIFS(Apparitions!$L$2:$L$5001,Apparitions!$H$2:$H$5001,A1155)),""))</f>
        <v/>
      </c>
    </row>
    <row r="1156" customFormat="false" ht="15" hidden="false" customHeight="false" outlineLevel="0" collapsed="false">
      <c r="A1156" s="19"/>
      <c r="B1156" s="19"/>
      <c r="C1156" s="19"/>
      <c r="D1156" s="19"/>
      <c r="E1156" s="32"/>
      <c r="F1156" s="19"/>
      <c r="G1156" s="26" t="str">
        <f aca="false">IF(A1156="","",COUNTIF(Pubs!$B$2:$B$3001,A1156))</f>
        <v/>
      </c>
      <c r="H1156" s="26" t="str">
        <f aca="false">IF(A1156="","",COUNTIF(Apparitions!$H$2:$H$5001,A1156))</f>
        <v/>
      </c>
      <c r="I1156" s="26" t="str">
        <f aca="false">IF(A1156="","",COUNTIFS(Apparitions!$H$2:$H$5001,A1156,Apparitions!$E$2:$E$5001,"○"))</f>
        <v/>
      </c>
      <c r="J1156" s="29" t="str">
        <f aca="false">IF(A1156="","",IFERROR(1/(1/_xlfn.MINIFS(Apparitions!$L$2:$L$5001,Apparitions!$H$2:$H$5001,A1156)),""))</f>
        <v/>
      </c>
    </row>
    <row r="1157" customFormat="false" ht="15" hidden="false" customHeight="false" outlineLevel="0" collapsed="false">
      <c r="A1157" s="19"/>
      <c r="B1157" s="19"/>
      <c r="C1157" s="19"/>
      <c r="D1157" s="19"/>
      <c r="E1157" s="32"/>
      <c r="F1157" s="19"/>
      <c r="G1157" s="26" t="str">
        <f aca="false">IF(A1157="","",COUNTIF(Pubs!$B$2:$B$3001,A1157))</f>
        <v/>
      </c>
      <c r="H1157" s="26" t="str">
        <f aca="false">IF(A1157="","",COUNTIF(Apparitions!$H$2:$H$5001,A1157))</f>
        <v/>
      </c>
      <c r="I1157" s="26" t="str">
        <f aca="false">IF(A1157="","",COUNTIFS(Apparitions!$H$2:$H$5001,A1157,Apparitions!$E$2:$E$5001,"○"))</f>
        <v/>
      </c>
      <c r="J1157" s="29" t="str">
        <f aca="false">IF(A1157="","",IFERROR(1/(1/_xlfn.MINIFS(Apparitions!$L$2:$L$5001,Apparitions!$H$2:$H$5001,A1157)),""))</f>
        <v/>
      </c>
    </row>
    <row r="1158" customFormat="false" ht="15" hidden="false" customHeight="false" outlineLevel="0" collapsed="false">
      <c r="A1158" s="19"/>
      <c r="B1158" s="19"/>
      <c r="C1158" s="19"/>
      <c r="D1158" s="19"/>
      <c r="E1158" s="32"/>
      <c r="F1158" s="19"/>
      <c r="G1158" s="26" t="str">
        <f aca="false">IF(A1158="","",COUNTIF(Pubs!$B$2:$B$3001,A1158))</f>
        <v/>
      </c>
      <c r="H1158" s="26" t="str">
        <f aca="false">IF(A1158="","",COUNTIF(Apparitions!$H$2:$H$5001,A1158))</f>
        <v/>
      </c>
      <c r="I1158" s="26" t="str">
        <f aca="false">IF(A1158="","",COUNTIFS(Apparitions!$H$2:$H$5001,A1158,Apparitions!$E$2:$E$5001,"○"))</f>
        <v/>
      </c>
      <c r="J1158" s="29" t="str">
        <f aca="false">IF(A1158="","",IFERROR(1/(1/_xlfn.MINIFS(Apparitions!$L$2:$L$5001,Apparitions!$H$2:$H$5001,A1158)),""))</f>
        <v/>
      </c>
    </row>
    <row r="1159" customFormat="false" ht="15" hidden="false" customHeight="false" outlineLevel="0" collapsed="false">
      <c r="A1159" s="19"/>
      <c r="B1159" s="19"/>
      <c r="C1159" s="19"/>
      <c r="D1159" s="19"/>
      <c r="E1159" s="32"/>
      <c r="F1159" s="19"/>
      <c r="G1159" s="26" t="str">
        <f aca="false">IF(A1159="","",COUNTIF(Pubs!$B$2:$B$3001,A1159))</f>
        <v/>
      </c>
      <c r="H1159" s="26" t="str">
        <f aca="false">IF(A1159="","",COUNTIF(Apparitions!$H$2:$H$5001,A1159))</f>
        <v/>
      </c>
      <c r="I1159" s="26" t="str">
        <f aca="false">IF(A1159="","",COUNTIFS(Apparitions!$H$2:$H$5001,A1159,Apparitions!$E$2:$E$5001,"○"))</f>
        <v/>
      </c>
      <c r="J1159" s="29" t="str">
        <f aca="false">IF(A1159="","",IFERROR(1/(1/_xlfn.MINIFS(Apparitions!$L$2:$L$5001,Apparitions!$H$2:$H$5001,A1159)),""))</f>
        <v/>
      </c>
    </row>
    <row r="1160" customFormat="false" ht="15" hidden="false" customHeight="false" outlineLevel="0" collapsed="false">
      <c r="A1160" s="19"/>
      <c r="B1160" s="19"/>
      <c r="C1160" s="19"/>
      <c r="D1160" s="19"/>
      <c r="E1160" s="32"/>
      <c r="F1160" s="19"/>
      <c r="G1160" s="26" t="str">
        <f aca="false">IF(A1160="","",COUNTIF(Pubs!$B$2:$B$3001,A1160))</f>
        <v/>
      </c>
      <c r="H1160" s="26" t="str">
        <f aca="false">IF(A1160="","",COUNTIF(Apparitions!$H$2:$H$5001,A1160))</f>
        <v/>
      </c>
      <c r="I1160" s="26" t="str">
        <f aca="false">IF(A1160="","",COUNTIFS(Apparitions!$H$2:$H$5001,A1160,Apparitions!$E$2:$E$5001,"○"))</f>
        <v/>
      </c>
      <c r="J1160" s="29" t="str">
        <f aca="false">IF(A1160="","",IFERROR(1/(1/_xlfn.MINIFS(Apparitions!$L$2:$L$5001,Apparitions!$H$2:$H$5001,A1160)),""))</f>
        <v/>
      </c>
    </row>
    <row r="1161" customFormat="false" ht="15" hidden="false" customHeight="false" outlineLevel="0" collapsed="false">
      <c r="A1161" s="19"/>
      <c r="B1161" s="19"/>
      <c r="C1161" s="19"/>
      <c r="D1161" s="19"/>
      <c r="E1161" s="32"/>
      <c r="F1161" s="19"/>
      <c r="G1161" s="26" t="str">
        <f aca="false">IF(A1161="","",COUNTIF(Pubs!$B$2:$B$3001,A1161))</f>
        <v/>
      </c>
      <c r="H1161" s="26" t="str">
        <f aca="false">IF(A1161="","",COUNTIF(Apparitions!$H$2:$H$5001,A1161))</f>
        <v/>
      </c>
      <c r="I1161" s="26" t="str">
        <f aca="false">IF(A1161="","",COUNTIFS(Apparitions!$H$2:$H$5001,A1161,Apparitions!$E$2:$E$5001,"○"))</f>
        <v/>
      </c>
      <c r="J1161" s="29" t="str">
        <f aca="false">IF(A1161="","",IFERROR(1/(1/_xlfn.MINIFS(Apparitions!$L$2:$L$5001,Apparitions!$H$2:$H$5001,A1161)),""))</f>
        <v/>
      </c>
    </row>
    <row r="1162" customFormat="false" ht="15" hidden="false" customHeight="false" outlineLevel="0" collapsed="false">
      <c r="A1162" s="19"/>
      <c r="B1162" s="19"/>
      <c r="C1162" s="19"/>
      <c r="D1162" s="19"/>
      <c r="E1162" s="32"/>
      <c r="F1162" s="19"/>
      <c r="G1162" s="26" t="str">
        <f aca="false">IF(A1162="","",COUNTIF(Pubs!$B$2:$B$3001,A1162))</f>
        <v/>
      </c>
      <c r="H1162" s="26" t="str">
        <f aca="false">IF(A1162="","",COUNTIF(Apparitions!$H$2:$H$5001,A1162))</f>
        <v/>
      </c>
      <c r="I1162" s="26" t="str">
        <f aca="false">IF(A1162="","",COUNTIFS(Apparitions!$H$2:$H$5001,A1162,Apparitions!$E$2:$E$5001,"○"))</f>
        <v/>
      </c>
      <c r="J1162" s="29" t="str">
        <f aca="false">IF(A1162="","",IFERROR(1/(1/_xlfn.MINIFS(Apparitions!$L$2:$L$5001,Apparitions!$H$2:$H$5001,A1162)),""))</f>
        <v/>
      </c>
    </row>
    <row r="1163" customFormat="false" ht="15" hidden="false" customHeight="false" outlineLevel="0" collapsed="false">
      <c r="A1163" s="19"/>
      <c r="B1163" s="19"/>
      <c r="C1163" s="19"/>
      <c r="D1163" s="19"/>
      <c r="E1163" s="32"/>
      <c r="F1163" s="19"/>
      <c r="G1163" s="26" t="str">
        <f aca="false">IF(A1163="","",COUNTIF(Pubs!$B$2:$B$3001,A1163))</f>
        <v/>
      </c>
      <c r="H1163" s="26" t="str">
        <f aca="false">IF(A1163="","",COUNTIF(Apparitions!$H$2:$H$5001,A1163))</f>
        <v/>
      </c>
      <c r="I1163" s="26" t="str">
        <f aca="false">IF(A1163="","",COUNTIFS(Apparitions!$H$2:$H$5001,A1163,Apparitions!$E$2:$E$5001,"○"))</f>
        <v/>
      </c>
      <c r="J1163" s="29" t="str">
        <f aca="false">IF(A1163="","",IFERROR(1/(1/_xlfn.MINIFS(Apparitions!$L$2:$L$5001,Apparitions!$H$2:$H$5001,A1163)),""))</f>
        <v/>
      </c>
    </row>
    <row r="1164" customFormat="false" ht="15" hidden="false" customHeight="false" outlineLevel="0" collapsed="false">
      <c r="A1164" s="19"/>
      <c r="B1164" s="19"/>
      <c r="C1164" s="19"/>
      <c r="D1164" s="19"/>
      <c r="E1164" s="32"/>
      <c r="F1164" s="19"/>
      <c r="G1164" s="26" t="str">
        <f aca="false">IF(A1164="","",COUNTIF(Pubs!$B$2:$B$3001,A1164))</f>
        <v/>
      </c>
      <c r="H1164" s="26" t="str">
        <f aca="false">IF(A1164="","",COUNTIF(Apparitions!$H$2:$H$5001,A1164))</f>
        <v/>
      </c>
      <c r="I1164" s="26" t="str">
        <f aca="false">IF(A1164="","",COUNTIFS(Apparitions!$H$2:$H$5001,A1164,Apparitions!$E$2:$E$5001,"○"))</f>
        <v/>
      </c>
      <c r="J1164" s="29" t="str">
        <f aca="false">IF(A1164="","",IFERROR(1/(1/_xlfn.MINIFS(Apparitions!$L$2:$L$5001,Apparitions!$H$2:$H$5001,A1164)),""))</f>
        <v/>
      </c>
    </row>
    <row r="1165" customFormat="false" ht="15" hidden="false" customHeight="false" outlineLevel="0" collapsed="false">
      <c r="A1165" s="19"/>
      <c r="B1165" s="19"/>
      <c r="C1165" s="19"/>
      <c r="D1165" s="19"/>
      <c r="E1165" s="32"/>
      <c r="F1165" s="19"/>
      <c r="G1165" s="26" t="str">
        <f aca="false">IF(A1165="","",COUNTIF(Pubs!$B$2:$B$3001,A1165))</f>
        <v/>
      </c>
      <c r="H1165" s="26" t="str">
        <f aca="false">IF(A1165="","",COUNTIF(Apparitions!$H$2:$H$5001,A1165))</f>
        <v/>
      </c>
      <c r="I1165" s="26" t="str">
        <f aca="false">IF(A1165="","",COUNTIFS(Apparitions!$H$2:$H$5001,A1165,Apparitions!$E$2:$E$5001,"○"))</f>
        <v/>
      </c>
      <c r="J1165" s="29" t="str">
        <f aca="false">IF(A1165="","",IFERROR(1/(1/_xlfn.MINIFS(Apparitions!$L$2:$L$5001,Apparitions!$H$2:$H$5001,A1165)),""))</f>
        <v/>
      </c>
    </row>
    <row r="1166" customFormat="false" ht="15" hidden="false" customHeight="false" outlineLevel="0" collapsed="false">
      <c r="A1166" s="19"/>
      <c r="B1166" s="19"/>
      <c r="C1166" s="19"/>
      <c r="D1166" s="19"/>
      <c r="E1166" s="32"/>
      <c r="F1166" s="19"/>
      <c r="G1166" s="26" t="str">
        <f aca="false">IF(A1166="","",COUNTIF(Pubs!$B$2:$B$3001,A1166))</f>
        <v/>
      </c>
      <c r="H1166" s="26" t="str">
        <f aca="false">IF(A1166="","",COUNTIF(Apparitions!$H$2:$H$5001,A1166))</f>
        <v/>
      </c>
      <c r="I1166" s="26" t="str">
        <f aca="false">IF(A1166="","",COUNTIFS(Apparitions!$H$2:$H$5001,A1166,Apparitions!$E$2:$E$5001,"○"))</f>
        <v/>
      </c>
      <c r="J1166" s="29" t="str">
        <f aca="false">IF(A1166="","",IFERROR(1/(1/_xlfn.MINIFS(Apparitions!$L$2:$L$5001,Apparitions!$H$2:$H$5001,A1166)),""))</f>
        <v/>
      </c>
    </row>
    <row r="1167" customFormat="false" ht="15" hidden="false" customHeight="false" outlineLevel="0" collapsed="false">
      <c r="A1167" s="19"/>
      <c r="B1167" s="19"/>
      <c r="C1167" s="19"/>
      <c r="D1167" s="19"/>
      <c r="E1167" s="32"/>
      <c r="F1167" s="19"/>
      <c r="G1167" s="26" t="str">
        <f aca="false">IF(A1167="","",COUNTIF(Pubs!$B$2:$B$3001,A1167))</f>
        <v/>
      </c>
      <c r="H1167" s="26" t="str">
        <f aca="false">IF(A1167="","",COUNTIF(Apparitions!$H$2:$H$5001,A1167))</f>
        <v/>
      </c>
      <c r="I1167" s="26" t="str">
        <f aca="false">IF(A1167="","",COUNTIFS(Apparitions!$H$2:$H$5001,A1167,Apparitions!$E$2:$E$5001,"○"))</f>
        <v/>
      </c>
      <c r="J1167" s="29" t="str">
        <f aca="false">IF(A1167="","",IFERROR(1/(1/_xlfn.MINIFS(Apparitions!$L$2:$L$5001,Apparitions!$H$2:$H$5001,A1167)),""))</f>
        <v/>
      </c>
    </row>
    <row r="1168" customFormat="false" ht="15" hidden="false" customHeight="false" outlineLevel="0" collapsed="false">
      <c r="A1168" s="19"/>
      <c r="B1168" s="19"/>
      <c r="C1168" s="19"/>
      <c r="D1168" s="19"/>
      <c r="E1168" s="32"/>
      <c r="F1168" s="19"/>
      <c r="G1168" s="26" t="str">
        <f aca="false">IF(A1168="","",COUNTIF(Pubs!$B$2:$B$3001,A1168))</f>
        <v/>
      </c>
      <c r="H1168" s="26" t="str">
        <f aca="false">IF(A1168="","",COUNTIF(Apparitions!$H$2:$H$5001,A1168))</f>
        <v/>
      </c>
      <c r="I1168" s="26" t="str">
        <f aca="false">IF(A1168="","",COUNTIFS(Apparitions!$H$2:$H$5001,A1168,Apparitions!$E$2:$E$5001,"○"))</f>
        <v/>
      </c>
      <c r="J1168" s="29" t="str">
        <f aca="false">IF(A1168="","",IFERROR(1/(1/_xlfn.MINIFS(Apparitions!$L$2:$L$5001,Apparitions!$H$2:$H$5001,A1168)),""))</f>
        <v/>
      </c>
    </row>
    <row r="1169" customFormat="false" ht="15" hidden="false" customHeight="false" outlineLevel="0" collapsed="false">
      <c r="A1169" s="19"/>
      <c r="B1169" s="19"/>
      <c r="C1169" s="19"/>
      <c r="D1169" s="19"/>
      <c r="E1169" s="32"/>
      <c r="F1169" s="19"/>
      <c r="G1169" s="26" t="str">
        <f aca="false">IF(A1169="","",COUNTIF(Pubs!$B$2:$B$3001,A1169))</f>
        <v/>
      </c>
      <c r="H1169" s="26" t="str">
        <f aca="false">IF(A1169="","",COUNTIF(Apparitions!$H$2:$H$5001,A1169))</f>
        <v/>
      </c>
      <c r="I1169" s="26" t="str">
        <f aca="false">IF(A1169="","",COUNTIFS(Apparitions!$H$2:$H$5001,A1169,Apparitions!$E$2:$E$5001,"○"))</f>
        <v/>
      </c>
      <c r="J1169" s="29" t="str">
        <f aca="false">IF(A1169="","",IFERROR(1/(1/_xlfn.MINIFS(Apparitions!$L$2:$L$5001,Apparitions!$H$2:$H$5001,A1169)),""))</f>
        <v/>
      </c>
    </row>
    <row r="1170" customFormat="false" ht="15" hidden="false" customHeight="false" outlineLevel="0" collapsed="false">
      <c r="A1170" s="19"/>
      <c r="B1170" s="19"/>
      <c r="C1170" s="19"/>
      <c r="D1170" s="19"/>
      <c r="E1170" s="32"/>
      <c r="F1170" s="19"/>
      <c r="G1170" s="26" t="str">
        <f aca="false">IF(A1170="","",COUNTIF(Pubs!$B$2:$B$3001,A1170))</f>
        <v/>
      </c>
      <c r="H1170" s="26" t="str">
        <f aca="false">IF(A1170="","",COUNTIF(Apparitions!$H$2:$H$5001,A1170))</f>
        <v/>
      </c>
      <c r="I1170" s="26" t="str">
        <f aca="false">IF(A1170="","",COUNTIFS(Apparitions!$H$2:$H$5001,A1170,Apparitions!$E$2:$E$5001,"○"))</f>
        <v/>
      </c>
      <c r="J1170" s="29" t="str">
        <f aca="false">IF(A1170="","",IFERROR(1/(1/_xlfn.MINIFS(Apparitions!$L$2:$L$5001,Apparitions!$H$2:$H$5001,A1170)),""))</f>
        <v/>
      </c>
    </row>
    <row r="1171" customFormat="false" ht="15" hidden="false" customHeight="false" outlineLevel="0" collapsed="false">
      <c r="A1171" s="19"/>
      <c r="B1171" s="19"/>
      <c r="C1171" s="19"/>
      <c r="D1171" s="19"/>
      <c r="E1171" s="32"/>
      <c r="F1171" s="19"/>
      <c r="G1171" s="26" t="str">
        <f aca="false">IF(A1171="","",COUNTIF(Pubs!$B$2:$B$3001,A1171))</f>
        <v/>
      </c>
      <c r="H1171" s="26" t="str">
        <f aca="false">IF(A1171="","",COUNTIF(Apparitions!$H$2:$H$5001,A1171))</f>
        <v/>
      </c>
      <c r="I1171" s="26" t="str">
        <f aca="false">IF(A1171="","",COUNTIFS(Apparitions!$H$2:$H$5001,A1171,Apparitions!$E$2:$E$5001,"○"))</f>
        <v/>
      </c>
      <c r="J1171" s="29" t="str">
        <f aca="false">IF(A1171="","",IFERROR(1/(1/_xlfn.MINIFS(Apparitions!$L$2:$L$5001,Apparitions!$H$2:$H$5001,A1171)),""))</f>
        <v/>
      </c>
    </row>
    <row r="1172" customFormat="false" ht="15" hidden="false" customHeight="false" outlineLevel="0" collapsed="false">
      <c r="A1172" s="19"/>
      <c r="B1172" s="19"/>
      <c r="C1172" s="19"/>
      <c r="D1172" s="19"/>
      <c r="E1172" s="32"/>
      <c r="F1172" s="19"/>
      <c r="G1172" s="26" t="str">
        <f aca="false">IF(A1172="","",COUNTIF(Pubs!$B$2:$B$3001,A1172))</f>
        <v/>
      </c>
      <c r="H1172" s="26" t="str">
        <f aca="false">IF(A1172="","",COUNTIF(Apparitions!$H$2:$H$5001,A1172))</f>
        <v/>
      </c>
      <c r="I1172" s="26" t="str">
        <f aca="false">IF(A1172="","",COUNTIFS(Apparitions!$H$2:$H$5001,A1172,Apparitions!$E$2:$E$5001,"○"))</f>
        <v/>
      </c>
      <c r="J1172" s="29" t="str">
        <f aca="false">IF(A1172="","",IFERROR(1/(1/_xlfn.MINIFS(Apparitions!$L$2:$L$5001,Apparitions!$H$2:$H$5001,A1172)),""))</f>
        <v/>
      </c>
    </row>
    <row r="1173" customFormat="false" ht="15" hidden="false" customHeight="false" outlineLevel="0" collapsed="false">
      <c r="A1173" s="19"/>
      <c r="B1173" s="19"/>
      <c r="C1173" s="19"/>
      <c r="D1173" s="19"/>
      <c r="E1173" s="32"/>
      <c r="F1173" s="19"/>
      <c r="G1173" s="26" t="str">
        <f aca="false">IF(A1173="","",COUNTIF(Pubs!$B$2:$B$3001,A1173))</f>
        <v/>
      </c>
      <c r="H1173" s="26" t="str">
        <f aca="false">IF(A1173="","",COUNTIF(Apparitions!$H$2:$H$5001,A1173))</f>
        <v/>
      </c>
      <c r="I1173" s="26" t="str">
        <f aca="false">IF(A1173="","",COUNTIFS(Apparitions!$H$2:$H$5001,A1173,Apparitions!$E$2:$E$5001,"○"))</f>
        <v/>
      </c>
      <c r="J1173" s="29" t="str">
        <f aca="false">IF(A1173="","",IFERROR(1/(1/_xlfn.MINIFS(Apparitions!$L$2:$L$5001,Apparitions!$H$2:$H$5001,A1173)),""))</f>
        <v/>
      </c>
    </row>
    <row r="1174" customFormat="false" ht="15" hidden="false" customHeight="false" outlineLevel="0" collapsed="false">
      <c r="A1174" s="19"/>
      <c r="B1174" s="19"/>
      <c r="C1174" s="19"/>
      <c r="D1174" s="19"/>
      <c r="E1174" s="32"/>
      <c r="F1174" s="19"/>
      <c r="G1174" s="26" t="str">
        <f aca="false">IF(A1174="","",COUNTIF(Pubs!$B$2:$B$3001,A1174))</f>
        <v/>
      </c>
      <c r="H1174" s="26" t="str">
        <f aca="false">IF(A1174="","",COUNTIF(Apparitions!$H$2:$H$5001,A1174))</f>
        <v/>
      </c>
      <c r="I1174" s="26" t="str">
        <f aca="false">IF(A1174="","",COUNTIFS(Apparitions!$H$2:$H$5001,A1174,Apparitions!$E$2:$E$5001,"○"))</f>
        <v/>
      </c>
      <c r="J1174" s="29" t="str">
        <f aca="false">IF(A1174="","",IFERROR(1/(1/_xlfn.MINIFS(Apparitions!$L$2:$L$5001,Apparitions!$H$2:$H$5001,A1174)),""))</f>
        <v/>
      </c>
    </row>
    <row r="1175" customFormat="false" ht="15" hidden="false" customHeight="false" outlineLevel="0" collapsed="false">
      <c r="A1175" s="19"/>
      <c r="B1175" s="19"/>
      <c r="C1175" s="19"/>
      <c r="D1175" s="19"/>
      <c r="E1175" s="32"/>
      <c r="F1175" s="19"/>
      <c r="G1175" s="26" t="str">
        <f aca="false">IF(A1175="","",COUNTIF(Pubs!$B$2:$B$3001,A1175))</f>
        <v/>
      </c>
      <c r="H1175" s="26" t="str">
        <f aca="false">IF(A1175="","",COUNTIF(Apparitions!$H$2:$H$5001,A1175))</f>
        <v/>
      </c>
      <c r="I1175" s="26" t="str">
        <f aca="false">IF(A1175="","",COUNTIFS(Apparitions!$H$2:$H$5001,A1175,Apparitions!$E$2:$E$5001,"○"))</f>
        <v/>
      </c>
      <c r="J1175" s="29" t="str">
        <f aca="false">IF(A1175="","",IFERROR(1/(1/_xlfn.MINIFS(Apparitions!$L$2:$L$5001,Apparitions!$H$2:$H$5001,A1175)),""))</f>
        <v/>
      </c>
    </row>
    <row r="1176" customFormat="false" ht="15" hidden="false" customHeight="false" outlineLevel="0" collapsed="false">
      <c r="A1176" s="19"/>
      <c r="B1176" s="19"/>
      <c r="C1176" s="19"/>
      <c r="D1176" s="19"/>
      <c r="E1176" s="32"/>
      <c r="F1176" s="19"/>
      <c r="G1176" s="26" t="str">
        <f aca="false">IF(A1176="","",COUNTIF(Pubs!$B$2:$B$3001,A1176))</f>
        <v/>
      </c>
      <c r="H1176" s="26" t="str">
        <f aca="false">IF(A1176="","",COUNTIF(Apparitions!$H$2:$H$5001,A1176))</f>
        <v/>
      </c>
      <c r="I1176" s="26" t="str">
        <f aca="false">IF(A1176="","",COUNTIFS(Apparitions!$H$2:$H$5001,A1176,Apparitions!$E$2:$E$5001,"○"))</f>
        <v/>
      </c>
      <c r="J1176" s="29" t="str">
        <f aca="false">IF(A1176="","",IFERROR(1/(1/_xlfn.MINIFS(Apparitions!$L$2:$L$5001,Apparitions!$H$2:$H$5001,A1176)),""))</f>
        <v/>
      </c>
    </row>
    <row r="1177" customFormat="false" ht="15" hidden="false" customHeight="false" outlineLevel="0" collapsed="false">
      <c r="A1177" s="19"/>
      <c r="B1177" s="19"/>
      <c r="C1177" s="19"/>
      <c r="D1177" s="19"/>
      <c r="E1177" s="32"/>
      <c r="F1177" s="19"/>
      <c r="G1177" s="26" t="str">
        <f aca="false">IF(A1177="","",COUNTIF(Pubs!$B$2:$B$3001,A1177))</f>
        <v/>
      </c>
      <c r="H1177" s="26" t="str">
        <f aca="false">IF(A1177="","",COUNTIF(Apparitions!$H$2:$H$5001,A1177))</f>
        <v/>
      </c>
      <c r="I1177" s="26" t="str">
        <f aca="false">IF(A1177="","",COUNTIFS(Apparitions!$H$2:$H$5001,A1177,Apparitions!$E$2:$E$5001,"○"))</f>
        <v/>
      </c>
      <c r="J1177" s="29" t="str">
        <f aca="false">IF(A1177="","",IFERROR(1/(1/_xlfn.MINIFS(Apparitions!$L$2:$L$5001,Apparitions!$H$2:$H$5001,A1177)),""))</f>
        <v/>
      </c>
    </row>
    <row r="1178" customFormat="false" ht="15" hidden="false" customHeight="false" outlineLevel="0" collapsed="false">
      <c r="A1178" s="19"/>
      <c r="B1178" s="19"/>
      <c r="C1178" s="19"/>
      <c r="D1178" s="19"/>
      <c r="E1178" s="32"/>
      <c r="F1178" s="19"/>
      <c r="G1178" s="26" t="str">
        <f aca="false">IF(A1178="","",COUNTIF(Pubs!$B$2:$B$3001,A1178))</f>
        <v/>
      </c>
      <c r="H1178" s="26" t="str">
        <f aca="false">IF(A1178="","",COUNTIF(Apparitions!$H$2:$H$5001,A1178))</f>
        <v/>
      </c>
      <c r="I1178" s="26" t="str">
        <f aca="false">IF(A1178="","",COUNTIFS(Apparitions!$H$2:$H$5001,A1178,Apparitions!$E$2:$E$5001,"○"))</f>
        <v/>
      </c>
      <c r="J1178" s="29" t="str">
        <f aca="false">IF(A1178="","",IFERROR(1/(1/_xlfn.MINIFS(Apparitions!$L$2:$L$5001,Apparitions!$H$2:$H$5001,A1178)),""))</f>
        <v/>
      </c>
    </row>
    <row r="1179" customFormat="false" ht="15" hidden="false" customHeight="false" outlineLevel="0" collapsed="false">
      <c r="A1179" s="19"/>
      <c r="B1179" s="19"/>
      <c r="C1179" s="19"/>
      <c r="D1179" s="19"/>
      <c r="E1179" s="32"/>
      <c r="F1179" s="19"/>
      <c r="G1179" s="26" t="str">
        <f aca="false">IF(A1179="","",COUNTIF(Pubs!$B$2:$B$3001,A1179))</f>
        <v/>
      </c>
      <c r="H1179" s="26" t="str">
        <f aca="false">IF(A1179="","",COUNTIF(Apparitions!$H$2:$H$5001,A1179))</f>
        <v/>
      </c>
      <c r="I1179" s="26" t="str">
        <f aca="false">IF(A1179="","",COUNTIFS(Apparitions!$H$2:$H$5001,A1179,Apparitions!$E$2:$E$5001,"○"))</f>
        <v/>
      </c>
      <c r="J1179" s="29" t="str">
        <f aca="false">IF(A1179="","",IFERROR(1/(1/_xlfn.MINIFS(Apparitions!$L$2:$L$5001,Apparitions!$H$2:$H$5001,A1179)),""))</f>
        <v/>
      </c>
    </row>
    <row r="1180" customFormat="false" ht="15" hidden="false" customHeight="false" outlineLevel="0" collapsed="false">
      <c r="A1180" s="19"/>
      <c r="B1180" s="19"/>
      <c r="C1180" s="19"/>
      <c r="D1180" s="19"/>
      <c r="E1180" s="32"/>
      <c r="F1180" s="19"/>
      <c r="G1180" s="26" t="str">
        <f aca="false">IF(A1180="","",COUNTIF(Pubs!$B$2:$B$3001,A1180))</f>
        <v/>
      </c>
      <c r="H1180" s="26" t="str">
        <f aca="false">IF(A1180="","",COUNTIF(Apparitions!$H$2:$H$5001,A1180))</f>
        <v/>
      </c>
      <c r="I1180" s="26" t="str">
        <f aca="false">IF(A1180="","",COUNTIFS(Apparitions!$H$2:$H$5001,A1180,Apparitions!$E$2:$E$5001,"○"))</f>
        <v/>
      </c>
      <c r="J1180" s="29" t="str">
        <f aca="false">IF(A1180="","",IFERROR(1/(1/_xlfn.MINIFS(Apparitions!$L$2:$L$5001,Apparitions!$H$2:$H$5001,A1180)),""))</f>
        <v/>
      </c>
    </row>
    <row r="1181" customFormat="false" ht="15" hidden="false" customHeight="false" outlineLevel="0" collapsed="false">
      <c r="A1181" s="19"/>
      <c r="B1181" s="19"/>
      <c r="C1181" s="19"/>
      <c r="D1181" s="19"/>
      <c r="E1181" s="32"/>
      <c r="F1181" s="19"/>
      <c r="G1181" s="26" t="str">
        <f aca="false">IF(A1181="","",COUNTIF(Pubs!$B$2:$B$3001,A1181))</f>
        <v/>
      </c>
      <c r="H1181" s="26" t="str">
        <f aca="false">IF(A1181="","",COUNTIF(Apparitions!$H$2:$H$5001,A1181))</f>
        <v/>
      </c>
      <c r="I1181" s="26" t="str">
        <f aca="false">IF(A1181="","",COUNTIFS(Apparitions!$H$2:$H$5001,A1181,Apparitions!$E$2:$E$5001,"○"))</f>
        <v/>
      </c>
      <c r="J1181" s="29" t="str">
        <f aca="false">IF(A1181="","",IFERROR(1/(1/_xlfn.MINIFS(Apparitions!$L$2:$L$5001,Apparitions!$H$2:$H$5001,A1181)),""))</f>
        <v/>
      </c>
    </row>
    <row r="1182" customFormat="false" ht="15" hidden="false" customHeight="false" outlineLevel="0" collapsed="false">
      <c r="A1182" s="19"/>
      <c r="B1182" s="19"/>
      <c r="C1182" s="19"/>
      <c r="D1182" s="19"/>
      <c r="E1182" s="32"/>
      <c r="F1182" s="19"/>
      <c r="G1182" s="26" t="str">
        <f aca="false">IF(A1182="","",COUNTIF(Pubs!$B$2:$B$3001,A1182))</f>
        <v/>
      </c>
      <c r="H1182" s="26" t="str">
        <f aca="false">IF(A1182="","",COUNTIF(Apparitions!$H$2:$H$5001,A1182))</f>
        <v/>
      </c>
      <c r="I1182" s="26" t="str">
        <f aca="false">IF(A1182="","",COUNTIFS(Apparitions!$H$2:$H$5001,A1182,Apparitions!$E$2:$E$5001,"○"))</f>
        <v/>
      </c>
      <c r="J1182" s="29" t="str">
        <f aca="false">IF(A1182="","",IFERROR(1/(1/_xlfn.MINIFS(Apparitions!$L$2:$L$5001,Apparitions!$H$2:$H$5001,A1182)),""))</f>
        <v/>
      </c>
    </row>
    <row r="1183" customFormat="false" ht="15" hidden="false" customHeight="false" outlineLevel="0" collapsed="false">
      <c r="A1183" s="19"/>
      <c r="B1183" s="19"/>
      <c r="C1183" s="19"/>
      <c r="D1183" s="19"/>
      <c r="E1183" s="32"/>
      <c r="F1183" s="19"/>
      <c r="G1183" s="26" t="str">
        <f aca="false">IF(A1183="","",COUNTIF(Pubs!$B$2:$B$3001,A1183))</f>
        <v/>
      </c>
      <c r="H1183" s="26" t="str">
        <f aca="false">IF(A1183="","",COUNTIF(Apparitions!$H$2:$H$5001,A1183))</f>
        <v/>
      </c>
      <c r="I1183" s="26" t="str">
        <f aca="false">IF(A1183="","",COUNTIFS(Apparitions!$H$2:$H$5001,A1183,Apparitions!$E$2:$E$5001,"○"))</f>
        <v/>
      </c>
      <c r="J1183" s="29" t="str">
        <f aca="false">IF(A1183="","",IFERROR(1/(1/_xlfn.MINIFS(Apparitions!$L$2:$L$5001,Apparitions!$H$2:$H$5001,A1183)),""))</f>
        <v/>
      </c>
    </row>
    <row r="1184" customFormat="false" ht="15" hidden="false" customHeight="false" outlineLevel="0" collapsed="false">
      <c r="A1184" s="19"/>
      <c r="B1184" s="19"/>
      <c r="C1184" s="19"/>
      <c r="D1184" s="19"/>
      <c r="E1184" s="32"/>
      <c r="F1184" s="19"/>
      <c r="G1184" s="26" t="str">
        <f aca="false">IF(A1184="","",COUNTIF(Pubs!$B$2:$B$3001,A1184))</f>
        <v/>
      </c>
      <c r="H1184" s="26" t="str">
        <f aca="false">IF(A1184="","",COUNTIF(Apparitions!$H$2:$H$5001,A1184))</f>
        <v/>
      </c>
      <c r="I1184" s="26" t="str">
        <f aca="false">IF(A1184="","",COUNTIFS(Apparitions!$H$2:$H$5001,A1184,Apparitions!$E$2:$E$5001,"○"))</f>
        <v/>
      </c>
      <c r="J1184" s="29" t="str">
        <f aca="false">IF(A1184="","",IFERROR(1/(1/_xlfn.MINIFS(Apparitions!$L$2:$L$5001,Apparitions!$H$2:$H$5001,A1184)),""))</f>
        <v/>
      </c>
    </row>
    <row r="1185" customFormat="false" ht="15" hidden="false" customHeight="false" outlineLevel="0" collapsed="false">
      <c r="A1185" s="19"/>
      <c r="B1185" s="19"/>
      <c r="C1185" s="19"/>
      <c r="D1185" s="19"/>
      <c r="E1185" s="32"/>
      <c r="F1185" s="19"/>
      <c r="G1185" s="26" t="str">
        <f aca="false">IF(A1185="","",COUNTIF(Pubs!$B$2:$B$3001,A1185))</f>
        <v/>
      </c>
      <c r="H1185" s="26" t="str">
        <f aca="false">IF(A1185="","",COUNTIF(Apparitions!$H$2:$H$5001,A1185))</f>
        <v/>
      </c>
      <c r="I1185" s="26" t="str">
        <f aca="false">IF(A1185="","",COUNTIFS(Apparitions!$H$2:$H$5001,A1185,Apparitions!$E$2:$E$5001,"○"))</f>
        <v/>
      </c>
      <c r="J1185" s="29" t="str">
        <f aca="false">IF(A1185="","",IFERROR(1/(1/_xlfn.MINIFS(Apparitions!$L$2:$L$5001,Apparitions!$H$2:$H$5001,A1185)),""))</f>
        <v/>
      </c>
    </row>
    <row r="1186" customFormat="false" ht="15" hidden="false" customHeight="false" outlineLevel="0" collapsed="false">
      <c r="A1186" s="19"/>
      <c r="B1186" s="19"/>
      <c r="C1186" s="19"/>
      <c r="D1186" s="19"/>
      <c r="E1186" s="32"/>
      <c r="F1186" s="19"/>
      <c r="G1186" s="26" t="str">
        <f aca="false">IF(A1186="","",COUNTIF(Pubs!$B$2:$B$3001,A1186))</f>
        <v/>
      </c>
      <c r="H1186" s="26" t="str">
        <f aca="false">IF(A1186="","",COUNTIF(Apparitions!$H$2:$H$5001,A1186))</f>
        <v/>
      </c>
      <c r="I1186" s="26" t="str">
        <f aca="false">IF(A1186="","",COUNTIFS(Apparitions!$H$2:$H$5001,A1186,Apparitions!$E$2:$E$5001,"○"))</f>
        <v/>
      </c>
      <c r="J1186" s="29" t="str">
        <f aca="false">IF(A1186="","",IFERROR(1/(1/_xlfn.MINIFS(Apparitions!$L$2:$L$5001,Apparitions!$H$2:$H$5001,A1186)),""))</f>
        <v/>
      </c>
    </row>
    <row r="1187" customFormat="false" ht="15" hidden="false" customHeight="false" outlineLevel="0" collapsed="false">
      <c r="A1187" s="19"/>
      <c r="B1187" s="19"/>
      <c r="C1187" s="19"/>
      <c r="D1187" s="19"/>
      <c r="E1187" s="32"/>
      <c r="F1187" s="19"/>
      <c r="G1187" s="26" t="str">
        <f aca="false">IF(A1187="","",COUNTIF(Pubs!$B$2:$B$3001,A1187))</f>
        <v/>
      </c>
      <c r="H1187" s="26" t="str">
        <f aca="false">IF(A1187="","",COUNTIF(Apparitions!$H$2:$H$5001,A1187))</f>
        <v/>
      </c>
      <c r="I1187" s="26" t="str">
        <f aca="false">IF(A1187="","",COUNTIFS(Apparitions!$H$2:$H$5001,A1187,Apparitions!$E$2:$E$5001,"○"))</f>
        <v/>
      </c>
      <c r="J1187" s="29" t="str">
        <f aca="false">IF(A1187="","",IFERROR(1/(1/_xlfn.MINIFS(Apparitions!$L$2:$L$5001,Apparitions!$H$2:$H$5001,A1187)),""))</f>
        <v/>
      </c>
    </row>
    <row r="1188" customFormat="false" ht="15" hidden="false" customHeight="false" outlineLevel="0" collapsed="false">
      <c r="A1188" s="19"/>
      <c r="B1188" s="19"/>
      <c r="C1188" s="19"/>
      <c r="D1188" s="19"/>
      <c r="E1188" s="32"/>
      <c r="F1188" s="19"/>
      <c r="G1188" s="26" t="str">
        <f aca="false">IF(A1188="","",COUNTIF(Pubs!$B$2:$B$3001,A1188))</f>
        <v/>
      </c>
      <c r="H1188" s="26" t="str">
        <f aca="false">IF(A1188="","",COUNTIF(Apparitions!$H$2:$H$5001,A1188))</f>
        <v/>
      </c>
      <c r="I1188" s="26" t="str">
        <f aca="false">IF(A1188="","",COUNTIFS(Apparitions!$H$2:$H$5001,A1188,Apparitions!$E$2:$E$5001,"○"))</f>
        <v/>
      </c>
      <c r="J1188" s="29" t="str">
        <f aca="false">IF(A1188="","",IFERROR(1/(1/_xlfn.MINIFS(Apparitions!$L$2:$L$5001,Apparitions!$H$2:$H$5001,A1188)),""))</f>
        <v/>
      </c>
    </row>
    <row r="1189" customFormat="false" ht="15" hidden="false" customHeight="false" outlineLevel="0" collapsed="false">
      <c r="A1189" s="19"/>
      <c r="B1189" s="19"/>
      <c r="C1189" s="19"/>
      <c r="D1189" s="19"/>
      <c r="E1189" s="32"/>
      <c r="F1189" s="19"/>
      <c r="G1189" s="26" t="str">
        <f aca="false">IF(A1189="","",COUNTIF(Pubs!$B$2:$B$3001,A1189))</f>
        <v/>
      </c>
      <c r="H1189" s="26" t="str">
        <f aca="false">IF(A1189="","",COUNTIF(Apparitions!$H$2:$H$5001,A1189))</f>
        <v/>
      </c>
      <c r="I1189" s="26" t="str">
        <f aca="false">IF(A1189="","",COUNTIFS(Apparitions!$H$2:$H$5001,A1189,Apparitions!$E$2:$E$5001,"○"))</f>
        <v/>
      </c>
      <c r="J1189" s="29" t="str">
        <f aca="false">IF(A1189="","",IFERROR(1/(1/_xlfn.MINIFS(Apparitions!$L$2:$L$5001,Apparitions!$H$2:$H$5001,A1189)),""))</f>
        <v/>
      </c>
    </row>
    <row r="1190" customFormat="false" ht="15" hidden="false" customHeight="false" outlineLevel="0" collapsed="false">
      <c r="A1190" s="19"/>
      <c r="B1190" s="19"/>
      <c r="C1190" s="19"/>
      <c r="D1190" s="19"/>
      <c r="E1190" s="32"/>
      <c r="F1190" s="19"/>
      <c r="G1190" s="26" t="str">
        <f aca="false">IF(A1190="","",COUNTIF(Pubs!$B$2:$B$3001,A1190))</f>
        <v/>
      </c>
      <c r="H1190" s="26" t="str">
        <f aca="false">IF(A1190="","",COUNTIF(Apparitions!$H$2:$H$5001,A1190))</f>
        <v/>
      </c>
      <c r="I1190" s="26" t="str">
        <f aca="false">IF(A1190="","",COUNTIFS(Apparitions!$H$2:$H$5001,A1190,Apparitions!$E$2:$E$5001,"○"))</f>
        <v/>
      </c>
      <c r="J1190" s="29" t="str">
        <f aca="false">IF(A1190="","",IFERROR(1/(1/_xlfn.MINIFS(Apparitions!$L$2:$L$5001,Apparitions!$H$2:$H$5001,A1190)),""))</f>
        <v/>
      </c>
    </row>
    <row r="1191" customFormat="false" ht="15" hidden="false" customHeight="false" outlineLevel="0" collapsed="false">
      <c r="A1191" s="19"/>
      <c r="B1191" s="19"/>
      <c r="C1191" s="19"/>
      <c r="D1191" s="19"/>
      <c r="E1191" s="32"/>
      <c r="F1191" s="19"/>
      <c r="G1191" s="26" t="str">
        <f aca="false">IF(A1191="","",COUNTIF(Pubs!$B$2:$B$3001,A1191))</f>
        <v/>
      </c>
      <c r="H1191" s="26" t="str">
        <f aca="false">IF(A1191="","",COUNTIF(Apparitions!$H$2:$H$5001,A1191))</f>
        <v/>
      </c>
      <c r="I1191" s="26" t="str">
        <f aca="false">IF(A1191="","",COUNTIFS(Apparitions!$H$2:$H$5001,A1191,Apparitions!$E$2:$E$5001,"○"))</f>
        <v/>
      </c>
      <c r="J1191" s="29" t="str">
        <f aca="false">IF(A1191="","",IFERROR(1/(1/_xlfn.MINIFS(Apparitions!$L$2:$L$5001,Apparitions!$H$2:$H$5001,A1191)),""))</f>
        <v/>
      </c>
    </row>
    <row r="1192" customFormat="false" ht="15" hidden="false" customHeight="false" outlineLevel="0" collapsed="false">
      <c r="A1192" s="19"/>
      <c r="B1192" s="19"/>
      <c r="C1192" s="19"/>
      <c r="D1192" s="19"/>
      <c r="E1192" s="32"/>
      <c r="F1192" s="19"/>
      <c r="G1192" s="26" t="str">
        <f aca="false">IF(A1192="","",COUNTIF(Pubs!$B$2:$B$3001,A1192))</f>
        <v/>
      </c>
      <c r="H1192" s="26" t="str">
        <f aca="false">IF(A1192="","",COUNTIF(Apparitions!$H$2:$H$5001,A1192))</f>
        <v/>
      </c>
      <c r="I1192" s="26" t="str">
        <f aca="false">IF(A1192="","",COUNTIFS(Apparitions!$H$2:$H$5001,A1192,Apparitions!$E$2:$E$5001,"○"))</f>
        <v/>
      </c>
      <c r="J1192" s="29" t="str">
        <f aca="false">IF(A1192="","",IFERROR(1/(1/_xlfn.MINIFS(Apparitions!$L$2:$L$5001,Apparitions!$H$2:$H$5001,A1192)),""))</f>
        <v/>
      </c>
    </row>
    <row r="1193" customFormat="false" ht="15" hidden="false" customHeight="false" outlineLevel="0" collapsed="false">
      <c r="A1193" s="19"/>
      <c r="B1193" s="19"/>
      <c r="C1193" s="19"/>
      <c r="D1193" s="19"/>
      <c r="E1193" s="32"/>
      <c r="F1193" s="19"/>
      <c r="G1193" s="26" t="str">
        <f aca="false">IF(A1193="","",COUNTIF(Pubs!$B$2:$B$3001,A1193))</f>
        <v/>
      </c>
      <c r="H1193" s="26" t="str">
        <f aca="false">IF(A1193="","",COUNTIF(Apparitions!$H$2:$H$5001,A1193))</f>
        <v/>
      </c>
      <c r="I1193" s="26" t="str">
        <f aca="false">IF(A1193="","",COUNTIFS(Apparitions!$H$2:$H$5001,A1193,Apparitions!$E$2:$E$5001,"○"))</f>
        <v/>
      </c>
      <c r="J1193" s="29" t="str">
        <f aca="false">IF(A1193="","",IFERROR(1/(1/_xlfn.MINIFS(Apparitions!$L$2:$L$5001,Apparitions!$H$2:$H$5001,A1193)),""))</f>
        <v/>
      </c>
    </row>
    <row r="1194" customFormat="false" ht="15" hidden="false" customHeight="false" outlineLevel="0" collapsed="false">
      <c r="A1194" s="19"/>
      <c r="B1194" s="19"/>
      <c r="C1194" s="19"/>
      <c r="D1194" s="19"/>
      <c r="E1194" s="32"/>
      <c r="F1194" s="19"/>
      <c r="G1194" s="26" t="str">
        <f aca="false">IF(A1194="","",COUNTIF(Pubs!$B$2:$B$3001,A1194))</f>
        <v/>
      </c>
      <c r="H1194" s="26" t="str">
        <f aca="false">IF(A1194="","",COUNTIF(Apparitions!$H$2:$H$5001,A1194))</f>
        <v/>
      </c>
      <c r="I1194" s="26" t="str">
        <f aca="false">IF(A1194="","",COUNTIFS(Apparitions!$H$2:$H$5001,A1194,Apparitions!$E$2:$E$5001,"○"))</f>
        <v/>
      </c>
      <c r="J1194" s="29" t="str">
        <f aca="false">IF(A1194="","",IFERROR(1/(1/_xlfn.MINIFS(Apparitions!$L$2:$L$5001,Apparitions!$H$2:$H$5001,A1194)),""))</f>
        <v/>
      </c>
    </row>
    <row r="1195" customFormat="false" ht="15" hidden="false" customHeight="false" outlineLevel="0" collapsed="false">
      <c r="A1195" s="19"/>
      <c r="B1195" s="19"/>
      <c r="C1195" s="19"/>
      <c r="D1195" s="19"/>
      <c r="E1195" s="32"/>
      <c r="F1195" s="19"/>
      <c r="G1195" s="26" t="str">
        <f aca="false">IF(A1195="","",COUNTIF(Pubs!$B$2:$B$3001,A1195))</f>
        <v/>
      </c>
      <c r="H1195" s="26" t="str">
        <f aca="false">IF(A1195="","",COUNTIF(Apparitions!$H$2:$H$5001,A1195))</f>
        <v/>
      </c>
      <c r="I1195" s="26" t="str">
        <f aca="false">IF(A1195="","",COUNTIFS(Apparitions!$H$2:$H$5001,A1195,Apparitions!$E$2:$E$5001,"○"))</f>
        <v/>
      </c>
      <c r="J1195" s="29" t="str">
        <f aca="false">IF(A1195="","",IFERROR(1/(1/_xlfn.MINIFS(Apparitions!$L$2:$L$5001,Apparitions!$H$2:$H$5001,A1195)),""))</f>
        <v/>
      </c>
    </row>
    <row r="1196" customFormat="false" ht="15" hidden="false" customHeight="false" outlineLevel="0" collapsed="false">
      <c r="A1196" s="19"/>
      <c r="B1196" s="19"/>
      <c r="C1196" s="19"/>
      <c r="D1196" s="19"/>
      <c r="E1196" s="32"/>
      <c r="F1196" s="19"/>
      <c r="G1196" s="26" t="str">
        <f aca="false">IF(A1196="","",COUNTIF(Pubs!$B$2:$B$3001,A1196))</f>
        <v/>
      </c>
      <c r="H1196" s="26" t="str">
        <f aca="false">IF(A1196="","",COUNTIF(Apparitions!$H$2:$H$5001,A1196))</f>
        <v/>
      </c>
      <c r="I1196" s="26" t="str">
        <f aca="false">IF(A1196="","",COUNTIFS(Apparitions!$H$2:$H$5001,A1196,Apparitions!$E$2:$E$5001,"○"))</f>
        <v/>
      </c>
      <c r="J1196" s="29" t="str">
        <f aca="false">IF(A1196="","",IFERROR(1/(1/_xlfn.MINIFS(Apparitions!$L$2:$L$5001,Apparitions!$H$2:$H$5001,A1196)),""))</f>
        <v/>
      </c>
    </row>
    <row r="1197" customFormat="false" ht="15" hidden="false" customHeight="false" outlineLevel="0" collapsed="false">
      <c r="A1197" s="19"/>
      <c r="B1197" s="19"/>
      <c r="C1197" s="19"/>
      <c r="D1197" s="19"/>
      <c r="E1197" s="32"/>
      <c r="F1197" s="19"/>
      <c r="G1197" s="26" t="str">
        <f aca="false">IF(A1197="","",COUNTIF(Pubs!$B$2:$B$3001,A1197))</f>
        <v/>
      </c>
      <c r="H1197" s="26" t="str">
        <f aca="false">IF(A1197="","",COUNTIF(Apparitions!$H$2:$H$5001,A1197))</f>
        <v/>
      </c>
      <c r="I1197" s="26" t="str">
        <f aca="false">IF(A1197="","",COUNTIFS(Apparitions!$H$2:$H$5001,A1197,Apparitions!$E$2:$E$5001,"○"))</f>
        <v/>
      </c>
      <c r="J1197" s="29" t="str">
        <f aca="false">IF(A1197="","",IFERROR(1/(1/_xlfn.MINIFS(Apparitions!$L$2:$L$5001,Apparitions!$H$2:$H$5001,A1197)),""))</f>
        <v/>
      </c>
    </row>
    <row r="1198" customFormat="false" ht="15" hidden="false" customHeight="false" outlineLevel="0" collapsed="false">
      <c r="A1198" s="19"/>
      <c r="B1198" s="19"/>
      <c r="C1198" s="19"/>
      <c r="D1198" s="19"/>
      <c r="E1198" s="32"/>
      <c r="F1198" s="19"/>
      <c r="G1198" s="26" t="str">
        <f aca="false">IF(A1198="","",COUNTIF(Pubs!$B$2:$B$3001,A1198))</f>
        <v/>
      </c>
      <c r="H1198" s="26" t="str">
        <f aca="false">IF(A1198="","",COUNTIF(Apparitions!$H$2:$H$5001,A1198))</f>
        <v/>
      </c>
      <c r="I1198" s="26" t="str">
        <f aca="false">IF(A1198="","",COUNTIFS(Apparitions!$H$2:$H$5001,A1198,Apparitions!$E$2:$E$5001,"○"))</f>
        <v/>
      </c>
      <c r="J1198" s="29" t="str">
        <f aca="false">IF(A1198="","",IFERROR(1/(1/_xlfn.MINIFS(Apparitions!$L$2:$L$5001,Apparitions!$H$2:$H$5001,A1198)),""))</f>
        <v/>
      </c>
    </row>
    <row r="1199" customFormat="false" ht="15" hidden="false" customHeight="false" outlineLevel="0" collapsed="false">
      <c r="A1199" s="19"/>
      <c r="B1199" s="19"/>
      <c r="C1199" s="19"/>
      <c r="D1199" s="19"/>
      <c r="E1199" s="32"/>
      <c r="F1199" s="19"/>
      <c r="G1199" s="26" t="str">
        <f aca="false">IF(A1199="","",COUNTIF(Pubs!$B$2:$B$3001,A1199))</f>
        <v/>
      </c>
      <c r="H1199" s="26" t="str">
        <f aca="false">IF(A1199="","",COUNTIF(Apparitions!$H$2:$H$5001,A1199))</f>
        <v/>
      </c>
      <c r="I1199" s="26" t="str">
        <f aca="false">IF(A1199="","",COUNTIFS(Apparitions!$H$2:$H$5001,A1199,Apparitions!$E$2:$E$5001,"○"))</f>
        <v/>
      </c>
      <c r="J1199" s="29" t="str">
        <f aca="false">IF(A1199="","",IFERROR(1/(1/_xlfn.MINIFS(Apparitions!$L$2:$L$5001,Apparitions!$H$2:$H$5001,A1199)),""))</f>
        <v/>
      </c>
    </row>
    <row r="1200" customFormat="false" ht="15" hidden="false" customHeight="false" outlineLevel="0" collapsed="false">
      <c r="A1200" s="19"/>
      <c r="B1200" s="19"/>
      <c r="C1200" s="19"/>
      <c r="D1200" s="19"/>
      <c r="E1200" s="32"/>
      <c r="F1200" s="19"/>
      <c r="G1200" s="26" t="str">
        <f aca="false">IF(A1200="","",COUNTIF(Pubs!$B$2:$B$3001,A1200))</f>
        <v/>
      </c>
      <c r="H1200" s="26" t="str">
        <f aca="false">IF(A1200="","",COUNTIF(Apparitions!$H$2:$H$5001,A1200))</f>
        <v/>
      </c>
      <c r="I1200" s="26" t="str">
        <f aca="false">IF(A1200="","",COUNTIFS(Apparitions!$H$2:$H$5001,A1200,Apparitions!$E$2:$E$5001,"○"))</f>
        <v/>
      </c>
      <c r="J1200" s="29" t="str">
        <f aca="false">IF(A1200="","",IFERROR(1/(1/_xlfn.MINIFS(Apparitions!$L$2:$L$5001,Apparitions!$H$2:$H$5001,A1200)),""))</f>
        <v/>
      </c>
    </row>
    <row r="1201" customFormat="false" ht="15" hidden="false" customHeight="false" outlineLevel="0" collapsed="false">
      <c r="A1201" s="19"/>
      <c r="B1201" s="19"/>
      <c r="C1201" s="19"/>
      <c r="D1201" s="19"/>
      <c r="E1201" s="32"/>
      <c r="F1201" s="19"/>
      <c r="G1201" s="26" t="str">
        <f aca="false">IF(A1201="","",COUNTIF(Pubs!$B$2:$B$3001,A1201))</f>
        <v/>
      </c>
      <c r="H1201" s="26" t="str">
        <f aca="false">IF(A1201="","",COUNTIF(Apparitions!$H$2:$H$5001,A1201))</f>
        <v/>
      </c>
      <c r="I1201" s="26" t="str">
        <f aca="false">IF(A1201="","",COUNTIFS(Apparitions!$H$2:$H$5001,A1201,Apparitions!$E$2:$E$5001,"○"))</f>
        <v/>
      </c>
      <c r="J1201" s="29" t="str">
        <f aca="false">IF(A1201="","",IFERROR(1/(1/_xlfn.MINIFS(Apparitions!$L$2:$L$5001,Apparitions!$H$2:$H$5001,A1201)),""))</f>
        <v/>
      </c>
    </row>
    <row r="1202" customFormat="false" ht="15" hidden="false" customHeight="false" outlineLevel="0" collapsed="false">
      <c r="A1202" s="19"/>
      <c r="B1202" s="19"/>
      <c r="C1202" s="19"/>
      <c r="D1202" s="19"/>
      <c r="E1202" s="32"/>
      <c r="F1202" s="19"/>
      <c r="G1202" s="26" t="str">
        <f aca="false">IF(A1202="","",COUNTIF(Pubs!$B$2:$B$3001,A1202))</f>
        <v/>
      </c>
      <c r="H1202" s="26" t="str">
        <f aca="false">IF(A1202="","",COUNTIF(Apparitions!$H$2:$H$5001,A1202))</f>
        <v/>
      </c>
      <c r="I1202" s="26" t="str">
        <f aca="false">IF(A1202="","",COUNTIFS(Apparitions!$H$2:$H$5001,A1202,Apparitions!$E$2:$E$5001,"○"))</f>
        <v/>
      </c>
      <c r="J1202" s="29" t="str">
        <f aca="false">IF(A1202="","",IFERROR(1/(1/_xlfn.MINIFS(Apparitions!$L$2:$L$5001,Apparitions!$H$2:$H$5001,A1202)),""))</f>
        <v/>
      </c>
    </row>
    <row r="1203" customFormat="false" ht="15" hidden="false" customHeight="false" outlineLevel="0" collapsed="false">
      <c r="A1203" s="19"/>
      <c r="B1203" s="19"/>
      <c r="C1203" s="19"/>
      <c r="D1203" s="19"/>
      <c r="E1203" s="32"/>
      <c r="F1203" s="19"/>
      <c r="G1203" s="26" t="str">
        <f aca="false">IF(A1203="","",COUNTIF(Pubs!$B$2:$B$3001,A1203))</f>
        <v/>
      </c>
      <c r="H1203" s="26" t="str">
        <f aca="false">IF(A1203="","",COUNTIF(Apparitions!$H$2:$H$5001,A1203))</f>
        <v/>
      </c>
      <c r="I1203" s="26" t="str">
        <f aca="false">IF(A1203="","",COUNTIFS(Apparitions!$H$2:$H$5001,A1203,Apparitions!$E$2:$E$5001,"○"))</f>
        <v/>
      </c>
      <c r="J1203" s="29" t="str">
        <f aca="false">IF(A1203="","",IFERROR(1/(1/_xlfn.MINIFS(Apparitions!$L$2:$L$5001,Apparitions!$H$2:$H$5001,A1203)),""))</f>
        <v/>
      </c>
    </row>
    <row r="1204" customFormat="false" ht="15" hidden="false" customHeight="false" outlineLevel="0" collapsed="false">
      <c r="A1204" s="19"/>
      <c r="B1204" s="19"/>
      <c r="C1204" s="19"/>
      <c r="D1204" s="19"/>
      <c r="E1204" s="32"/>
      <c r="F1204" s="19"/>
      <c r="G1204" s="26" t="str">
        <f aca="false">IF(A1204="","",COUNTIF(Pubs!$B$2:$B$3001,A1204))</f>
        <v/>
      </c>
      <c r="H1204" s="26" t="str">
        <f aca="false">IF(A1204="","",COUNTIF(Apparitions!$H$2:$H$5001,A1204))</f>
        <v/>
      </c>
      <c r="I1204" s="26" t="str">
        <f aca="false">IF(A1204="","",COUNTIFS(Apparitions!$H$2:$H$5001,A1204,Apparitions!$E$2:$E$5001,"○"))</f>
        <v/>
      </c>
      <c r="J1204" s="29" t="str">
        <f aca="false">IF(A1204="","",IFERROR(1/(1/_xlfn.MINIFS(Apparitions!$L$2:$L$5001,Apparitions!$H$2:$H$5001,A1204)),""))</f>
        <v/>
      </c>
    </row>
    <row r="1205" customFormat="false" ht="15" hidden="false" customHeight="false" outlineLevel="0" collapsed="false">
      <c r="A1205" s="19"/>
      <c r="B1205" s="19"/>
      <c r="C1205" s="19"/>
      <c r="D1205" s="19"/>
      <c r="E1205" s="32"/>
      <c r="F1205" s="19"/>
      <c r="G1205" s="26" t="str">
        <f aca="false">IF(A1205="","",COUNTIF(Pubs!$B$2:$B$3001,A1205))</f>
        <v/>
      </c>
      <c r="H1205" s="26" t="str">
        <f aca="false">IF(A1205="","",COUNTIF(Apparitions!$H$2:$H$5001,A1205))</f>
        <v/>
      </c>
      <c r="I1205" s="26" t="str">
        <f aca="false">IF(A1205="","",COUNTIFS(Apparitions!$H$2:$H$5001,A1205,Apparitions!$E$2:$E$5001,"○"))</f>
        <v/>
      </c>
      <c r="J1205" s="29" t="str">
        <f aca="false">IF(A1205="","",IFERROR(1/(1/_xlfn.MINIFS(Apparitions!$L$2:$L$5001,Apparitions!$H$2:$H$5001,A1205)),""))</f>
        <v/>
      </c>
    </row>
    <row r="1206" customFormat="false" ht="15" hidden="false" customHeight="false" outlineLevel="0" collapsed="false">
      <c r="A1206" s="19"/>
      <c r="B1206" s="19"/>
      <c r="C1206" s="19"/>
      <c r="D1206" s="19"/>
      <c r="E1206" s="32"/>
      <c r="F1206" s="19"/>
      <c r="G1206" s="26" t="str">
        <f aca="false">IF(A1206="","",COUNTIF(Pubs!$B$2:$B$3001,A1206))</f>
        <v/>
      </c>
      <c r="H1206" s="26" t="str">
        <f aca="false">IF(A1206="","",COUNTIF(Apparitions!$H$2:$H$5001,A1206))</f>
        <v/>
      </c>
      <c r="I1206" s="26" t="str">
        <f aca="false">IF(A1206="","",COUNTIFS(Apparitions!$H$2:$H$5001,A1206,Apparitions!$E$2:$E$5001,"○"))</f>
        <v/>
      </c>
      <c r="J1206" s="29" t="str">
        <f aca="false">IF(A1206="","",IFERROR(1/(1/_xlfn.MINIFS(Apparitions!$L$2:$L$5001,Apparitions!$H$2:$H$5001,A1206)),""))</f>
        <v/>
      </c>
    </row>
    <row r="1207" customFormat="false" ht="15" hidden="false" customHeight="false" outlineLevel="0" collapsed="false">
      <c r="A1207" s="19"/>
      <c r="B1207" s="19"/>
      <c r="C1207" s="19"/>
      <c r="D1207" s="19"/>
      <c r="E1207" s="32"/>
      <c r="F1207" s="19"/>
      <c r="G1207" s="26" t="str">
        <f aca="false">IF(A1207="","",COUNTIF(Pubs!$B$2:$B$3001,A1207))</f>
        <v/>
      </c>
      <c r="H1207" s="26" t="str">
        <f aca="false">IF(A1207="","",COUNTIF(Apparitions!$H$2:$H$5001,A1207))</f>
        <v/>
      </c>
      <c r="I1207" s="26" t="str">
        <f aca="false">IF(A1207="","",COUNTIFS(Apparitions!$H$2:$H$5001,A1207,Apparitions!$E$2:$E$5001,"○"))</f>
        <v/>
      </c>
      <c r="J1207" s="29" t="str">
        <f aca="false">IF(A1207="","",IFERROR(1/(1/_xlfn.MINIFS(Apparitions!$L$2:$L$5001,Apparitions!$H$2:$H$5001,A1207)),""))</f>
        <v/>
      </c>
    </row>
    <row r="1208" customFormat="false" ht="15" hidden="false" customHeight="false" outlineLevel="0" collapsed="false">
      <c r="A1208" s="19"/>
      <c r="B1208" s="19"/>
      <c r="C1208" s="19"/>
      <c r="D1208" s="19"/>
      <c r="E1208" s="32"/>
      <c r="F1208" s="19"/>
      <c r="G1208" s="26" t="str">
        <f aca="false">IF(A1208="","",COUNTIF(Pubs!$B$2:$B$3001,A1208))</f>
        <v/>
      </c>
      <c r="H1208" s="26" t="str">
        <f aca="false">IF(A1208="","",COUNTIF(Apparitions!$H$2:$H$5001,A1208))</f>
        <v/>
      </c>
      <c r="I1208" s="26" t="str">
        <f aca="false">IF(A1208="","",COUNTIFS(Apparitions!$H$2:$H$5001,A1208,Apparitions!$E$2:$E$5001,"○"))</f>
        <v/>
      </c>
      <c r="J1208" s="29" t="str">
        <f aca="false">IF(A1208="","",IFERROR(1/(1/_xlfn.MINIFS(Apparitions!$L$2:$L$5001,Apparitions!$H$2:$H$5001,A1208)),""))</f>
        <v/>
      </c>
    </row>
    <row r="1209" customFormat="false" ht="15" hidden="false" customHeight="false" outlineLevel="0" collapsed="false">
      <c r="A1209" s="19"/>
      <c r="B1209" s="19"/>
      <c r="C1209" s="19"/>
      <c r="D1209" s="19"/>
      <c r="E1209" s="32"/>
      <c r="F1209" s="19"/>
      <c r="G1209" s="26" t="str">
        <f aca="false">IF(A1209="","",COUNTIF(Pubs!$B$2:$B$3001,A1209))</f>
        <v/>
      </c>
      <c r="H1209" s="26" t="str">
        <f aca="false">IF(A1209="","",COUNTIF(Apparitions!$H$2:$H$5001,A1209))</f>
        <v/>
      </c>
      <c r="I1209" s="26" t="str">
        <f aca="false">IF(A1209="","",COUNTIFS(Apparitions!$H$2:$H$5001,A1209,Apparitions!$E$2:$E$5001,"○"))</f>
        <v/>
      </c>
      <c r="J1209" s="29" t="str">
        <f aca="false">IF(A1209="","",IFERROR(1/(1/_xlfn.MINIFS(Apparitions!$L$2:$L$5001,Apparitions!$H$2:$H$5001,A1209)),""))</f>
        <v/>
      </c>
    </row>
    <row r="1210" customFormat="false" ht="15" hidden="false" customHeight="false" outlineLevel="0" collapsed="false">
      <c r="A1210" s="19"/>
      <c r="B1210" s="19"/>
      <c r="C1210" s="19"/>
      <c r="D1210" s="19"/>
      <c r="E1210" s="32"/>
      <c r="F1210" s="19"/>
      <c r="G1210" s="26" t="str">
        <f aca="false">IF(A1210="","",COUNTIF(Pubs!$B$2:$B$3001,A1210))</f>
        <v/>
      </c>
      <c r="H1210" s="26" t="str">
        <f aca="false">IF(A1210="","",COUNTIF(Apparitions!$H$2:$H$5001,A1210))</f>
        <v/>
      </c>
      <c r="I1210" s="26" t="str">
        <f aca="false">IF(A1210="","",COUNTIFS(Apparitions!$H$2:$H$5001,A1210,Apparitions!$E$2:$E$5001,"○"))</f>
        <v/>
      </c>
      <c r="J1210" s="29" t="str">
        <f aca="false">IF(A1210="","",IFERROR(1/(1/_xlfn.MINIFS(Apparitions!$L$2:$L$5001,Apparitions!$H$2:$H$5001,A1210)),""))</f>
        <v/>
      </c>
    </row>
    <row r="1211" customFormat="false" ht="15" hidden="false" customHeight="false" outlineLevel="0" collapsed="false">
      <c r="A1211" s="19"/>
      <c r="B1211" s="19"/>
      <c r="C1211" s="19"/>
      <c r="D1211" s="19"/>
      <c r="E1211" s="32"/>
      <c r="F1211" s="19"/>
      <c r="G1211" s="26" t="str">
        <f aca="false">IF(A1211="","",COUNTIF(Pubs!$B$2:$B$3001,A1211))</f>
        <v/>
      </c>
      <c r="H1211" s="26" t="str">
        <f aca="false">IF(A1211="","",COUNTIF(Apparitions!$H$2:$H$5001,A1211))</f>
        <v/>
      </c>
      <c r="I1211" s="26" t="str">
        <f aca="false">IF(A1211="","",COUNTIFS(Apparitions!$H$2:$H$5001,A1211,Apparitions!$E$2:$E$5001,"○"))</f>
        <v/>
      </c>
      <c r="J1211" s="29" t="str">
        <f aca="false">IF(A1211="","",IFERROR(1/(1/_xlfn.MINIFS(Apparitions!$L$2:$L$5001,Apparitions!$H$2:$H$5001,A1211)),""))</f>
        <v/>
      </c>
    </row>
    <row r="1212" customFormat="false" ht="15" hidden="false" customHeight="false" outlineLevel="0" collapsed="false">
      <c r="A1212" s="19"/>
      <c r="B1212" s="19"/>
      <c r="C1212" s="19"/>
      <c r="D1212" s="19"/>
      <c r="E1212" s="32"/>
      <c r="F1212" s="19"/>
      <c r="G1212" s="26" t="str">
        <f aca="false">IF(A1212="","",COUNTIF(Pubs!$B$2:$B$3001,A1212))</f>
        <v/>
      </c>
      <c r="H1212" s="26" t="str">
        <f aca="false">IF(A1212="","",COUNTIF(Apparitions!$H$2:$H$5001,A1212))</f>
        <v/>
      </c>
      <c r="I1212" s="26" t="str">
        <f aca="false">IF(A1212="","",COUNTIFS(Apparitions!$H$2:$H$5001,A1212,Apparitions!$E$2:$E$5001,"○"))</f>
        <v/>
      </c>
      <c r="J1212" s="29" t="str">
        <f aca="false">IF(A1212="","",IFERROR(1/(1/_xlfn.MINIFS(Apparitions!$L$2:$L$5001,Apparitions!$H$2:$H$5001,A1212)),""))</f>
        <v/>
      </c>
    </row>
    <row r="1213" customFormat="false" ht="15" hidden="false" customHeight="false" outlineLevel="0" collapsed="false">
      <c r="A1213" s="19"/>
      <c r="B1213" s="19"/>
      <c r="C1213" s="19"/>
      <c r="D1213" s="19"/>
      <c r="E1213" s="32"/>
      <c r="F1213" s="19"/>
      <c r="G1213" s="26" t="str">
        <f aca="false">IF(A1213="","",COUNTIF(Pubs!$B$2:$B$3001,A1213))</f>
        <v/>
      </c>
      <c r="H1213" s="26" t="str">
        <f aca="false">IF(A1213="","",COUNTIF(Apparitions!$H$2:$H$5001,A1213))</f>
        <v/>
      </c>
      <c r="I1213" s="26" t="str">
        <f aca="false">IF(A1213="","",COUNTIFS(Apparitions!$H$2:$H$5001,A1213,Apparitions!$E$2:$E$5001,"○"))</f>
        <v/>
      </c>
      <c r="J1213" s="29" t="str">
        <f aca="false">IF(A1213="","",IFERROR(1/(1/_xlfn.MINIFS(Apparitions!$L$2:$L$5001,Apparitions!$H$2:$H$5001,A1213)),""))</f>
        <v/>
      </c>
    </row>
    <row r="1214" customFormat="false" ht="15" hidden="false" customHeight="false" outlineLevel="0" collapsed="false">
      <c r="A1214" s="19"/>
      <c r="B1214" s="19"/>
      <c r="C1214" s="19"/>
      <c r="D1214" s="19"/>
      <c r="E1214" s="32"/>
      <c r="F1214" s="19"/>
      <c r="G1214" s="26" t="str">
        <f aca="false">IF(A1214="","",COUNTIF(Pubs!$B$2:$B$3001,A1214))</f>
        <v/>
      </c>
      <c r="H1214" s="26" t="str">
        <f aca="false">IF(A1214="","",COUNTIF(Apparitions!$H$2:$H$5001,A1214))</f>
        <v/>
      </c>
      <c r="I1214" s="26" t="str">
        <f aca="false">IF(A1214="","",COUNTIFS(Apparitions!$H$2:$H$5001,A1214,Apparitions!$E$2:$E$5001,"○"))</f>
        <v/>
      </c>
      <c r="J1214" s="29" t="str">
        <f aca="false">IF(A1214="","",IFERROR(1/(1/_xlfn.MINIFS(Apparitions!$L$2:$L$5001,Apparitions!$H$2:$H$5001,A1214)),""))</f>
        <v/>
      </c>
    </row>
    <row r="1215" customFormat="false" ht="15" hidden="false" customHeight="false" outlineLevel="0" collapsed="false">
      <c r="A1215" s="19"/>
      <c r="B1215" s="19"/>
      <c r="C1215" s="19"/>
      <c r="D1215" s="19"/>
      <c r="E1215" s="32"/>
      <c r="F1215" s="19"/>
      <c r="G1215" s="26" t="str">
        <f aca="false">IF(A1215="","",COUNTIF(Pubs!$B$2:$B$3001,A1215))</f>
        <v/>
      </c>
      <c r="H1215" s="26" t="str">
        <f aca="false">IF(A1215="","",COUNTIF(Apparitions!$H$2:$H$5001,A1215))</f>
        <v/>
      </c>
      <c r="I1215" s="26" t="str">
        <f aca="false">IF(A1215="","",COUNTIFS(Apparitions!$H$2:$H$5001,A1215,Apparitions!$E$2:$E$5001,"○"))</f>
        <v/>
      </c>
      <c r="J1215" s="29" t="str">
        <f aca="false">IF(A1215="","",IFERROR(1/(1/_xlfn.MINIFS(Apparitions!$L$2:$L$5001,Apparitions!$H$2:$H$5001,A1215)),""))</f>
        <v/>
      </c>
    </row>
    <row r="1216" customFormat="false" ht="15" hidden="false" customHeight="false" outlineLevel="0" collapsed="false">
      <c r="A1216" s="19"/>
      <c r="B1216" s="19"/>
      <c r="C1216" s="19"/>
      <c r="D1216" s="19"/>
      <c r="E1216" s="32"/>
      <c r="F1216" s="19"/>
      <c r="G1216" s="26" t="str">
        <f aca="false">IF(A1216="","",COUNTIF(Pubs!$B$2:$B$3001,A1216))</f>
        <v/>
      </c>
      <c r="H1216" s="26" t="str">
        <f aca="false">IF(A1216="","",COUNTIF(Apparitions!$H$2:$H$5001,A1216))</f>
        <v/>
      </c>
      <c r="I1216" s="26" t="str">
        <f aca="false">IF(A1216="","",COUNTIFS(Apparitions!$H$2:$H$5001,A1216,Apparitions!$E$2:$E$5001,"○"))</f>
        <v/>
      </c>
      <c r="J1216" s="29" t="str">
        <f aca="false">IF(A1216="","",IFERROR(1/(1/_xlfn.MINIFS(Apparitions!$L$2:$L$5001,Apparitions!$H$2:$H$5001,A1216)),""))</f>
        <v/>
      </c>
    </row>
    <row r="1217" customFormat="false" ht="15" hidden="false" customHeight="false" outlineLevel="0" collapsed="false">
      <c r="A1217" s="19"/>
      <c r="B1217" s="19"/>
      <c r="C1217" s="19"/>
      <c r="D1217" s="19"/>
      <c r="E1217" s="32"/>
      <c r="F1217" s="19"/>
      <c r="G1217" s="26" t="str">
        <f aca="false">IF(A1217="","",COUNTIF(Pubs!$B$2:$B$3001,A1217))</f>
        <v/>
      </c>
      <c r="H1217" s="26" t="str">
        <f aca="false">IF(A1217="","",COUNTIF(Apparitions!$H$2:$H$5001,A1217))</f>
        <v/>
      </c>
      <c r="I1217" s="26" t="str">
        <f aca="false">IF(A1217="","",COUNTIFS(Apparitions!$H$2:$H$5001,A1217,Apparitions!$E$2:$E$5001,"○"))</f>
        <v/>
      </c>
      <c r="J1217" s="29" t="str">
        <f aca="false">IF(A1217="","",IFERROR(1/(1/_xlfn.MINIFS(Apparitions!$L$2:$L$5001,Apparitions!$H$2:$H$5001,A1217)),""))</f>
        <v/>
      </c>
    </row>
    <row r="1218" customFormat="false" ht="15" hidden="false" customHeight="false" outlineLevel="0" collapsed="false">
      <c r="A1218" s="19"/>
      <c r="B1218" s="19"/>
      <c r="C1218" s="19"/>
      <c r="D1218" s="19"/>
      <c r="E1218" s="32"/>
      <c r="F1218" s="19"/>
      <c r="G1218" s="26" t="str">
        <f aca="false">IF(A1218="","",COUNTIF(Pubs!$B$2:$B$3001,A1218))</f>
        <v/>
      </c>
      <c r="H1218" s="26" t="str">
        <f aca="false">IF(A1218="","",COUNTIF(Apparitions!$H$2:$H$5001,A1218))</f>
        <v/>
      </c>
      <c r="I1218" s="26" t="str">
        <f aca="false">IF(A1218="","",COUNTIFS(Apparitions!$H$2:$H$5001,A1218,Apparitions!$E$2:$E$5001,"○"))</f>
        <v/>
      </c>
      <c r="J1218" s="29" t="str">
        <f aca="false">IF(A1218="","",IFERROR(1/(1/_xlfn.MINIFS(Apparitions!$L$2:$L$5001,Apparitions!$H$2:$H$5001,A1218)),""))</f>
        <v/>
      </c>
    </row>
    <row r="1219" customFormat="false" ht="15" hidden="false" customHeight="false" outlineLevel="0" collapsed="false">
      <c r="A1219" s="19"/>
      <c r="B1219" s="19"/>
      <c r="C1219" s="19"/>
      <c r="D1219" s="19"/>
      <c r="E1219" s="32"/>
      <c r="F1219" s="19"/>
      <c r="G1219" s="26" t="str">
        <f aca="false">IF(A1219="","",COUNTIF(Pubs!$B$2:$B$3001,A1219))</f>
        <v/>
      </c>
      <c r="H1219" s="26" t="str">
        <f aca="false">IF(A1219="","",COUNTIF(Apparitions!$H$2:$H$5001,A1219))</f>
        <v/>
      </c>
      <c r="I1219" s="26" t="str">
        <f aca="false">IF(A1219="","",COUNTIFS(Apparitions!$H$2:$H$5001,A1219,Apparitions!$E$2:$E$5001,"○"))</f>
        <v/>
      </c>
      <c r="J1219" s="29" t="str">
        <f aca="false">IF(A1219="","",IFERROR(1/(1/_xlfn.MINIFS(Apparitions!$L$2:$L$5001,Apparitions!$H$2:$H$5001,A1219)),""))</f>
        <v/>
      </c>
    </row>
    <row r="1220" customFormat="false" ht="15" hidden="false" customHeight="false" outlineLevel="0" collapsed="false">
      <c r="A1220" s="19"/>
      <c r="B1220" s="19"/>
      <c r="C1220" s="19"/>
      <c r="D1220" s="19"/>
      <c r="E1220" s="32"/>
      <c r="F1220" s="19"/>
      <c r="G1220" s="26" t="str">
        <f aca="false">IF(A1220="","",COUNTIF(Pubs!$B$2:$B$3001,A1220))</f>
        <v/>
      </c>
      <c r="H1220" s="26" t="str">
        <f aca="false">IF(A1220="","",COUNTIF(Apparitions!$H$2:$H$5001,A1220))</f>
        <v/>
      </c>
      <c r="I1220" s="26" t="str">
        <f aca="false">IF(A1220="","",COUNTIFS(Apparitions!$H$2:$H$5001,A1220,Apparitions!$E$2:$E$5001,"○"))</f>
        <v/>
      </c>
      <c r="J1220" s="29" t="str">
        <f aca="false">IF(A1220="","",IFERROR(1/(1/_xlfn.MINIFS(Apparitions!$L$2:$L$5001,Apparitions!$H$2:$H$5001,A1220)),""))</f>
        <v/>
      </c>
    </row>
    <row r="1221" customFormat="false" ht="15" hidden="false" customHeight="false" outlineLevel="0" collapsed="false">
      <c r="A1221" s="19"/>
      <c r="B1221" s="19"/>
      <c r="C1221" s="19"/>
      <c r="D1221" s="19"/>
      <c r="E1221" s="32"/>
      <c r="F1221" s="19"/>
      <c r="G1221" s="26" t="str">
        <f aca="false">IF(A1221="","",COUNTIF(Pubs!$B$2:$B$3001,A1221))</f>
        <v/>
      </c>
      <c r="H1221" s="26" t="str">
        <f aca="false">IF(A1221="","",COUNTIF(Apparitions!$H$2:$H$5001,A1221))</f>
        <v/>
      </c>
      <c r="I1221" s="26" t="str">
        <f aca="false">IF(A1221="","",COUNTIFS(Apparitions!$H$2:$H$5001,A1221,Apparitions!$E$2:$E$5001,"○"))</f>
        <v/>
      </c>
      <c r="J1221" s="29" t="str">
        <f aca="false">IF(A1221="","",IFERROR(1/(1/_xlfn.MINIFS(Apparitions!$L$2:$L$5001,Apparitions!$H$2:$H$5001,A1221)),""))</f>
        <v/>
      </c>
    </row>
    <row r="1222" customFormat="false" ht="15" hidden="false" customHeight="false" outlineLevel="0" collapsed="false">
      <c r="A1222" s="19"/>
      <c r="B1222" s="19"/>
      <c r="C1222" s="19"/>
      <c r="D1222" s="19"/>
      <c r="E1222" s="32"/>
      <c r="F1222" s="19"/>
      <c r="G1222" s="26" t="str">
        <f aca="false">IF(A1222="","",COUNTIF(Pubs!$B$2:$B$3001,A1222))</f>
        <v/>
      </c>
      <c r="H1222" s="26" t="str">
        <f aca="false">IF(A1222="","",COUNTIF(Apparitions!$H$2:$H$5001,A1222))</f>
        <v/>
      </c>
      <c r="I1222" s="26" t="str">
        <f aca="false">IF(A1222="","",COUNTIFS(Apparitions!$H$2:$H$5001,A1222,Apparitions!$E$2:$E$5001,"○"))</f>
        <v/>
      </c>
      <c r="J1222" s="29" t="str">
        <f aca="false">IF(A1222="","",IFERROR(1/(1/_xlfn.MINIFS(Apparitions!$L$2:$L$5001,Apparitions!$H$2:$H$5001,A1222)),""))</f>
        <v/>
      </c>
    </row>
    <row r="1223" customFormat="false" ht="15" hidden="false" customHeight="false" outlineLevel="0" collapsed="false">
      <c r="A1223" s="19"/>
      <c r="B1223" s="19"/>
      <c r="C1223" s="19"/>
      <c r="D1223" s="19"/>
      <c r="E1223" s="32"/>
      <c r="F1223" s="19"/>
      <c r="G1223" s="26" t="str">
        <f aca="false">IF(A1223="","",COUNTIF(Pubs!$B$2:$B$3001,A1223))</f>
        <v/>
      </c>
      <c r="H1223" s="26" t="str">
        <f aca="false">IF(A1223="","",COUNTIF(Apparitions!$H$2:$H$5001,A1223))</f>
        <v/>
      </c>
      <c r="I1223" s="26" t="str">
        <f aca="false">IF(A1223="","",COUNTIFS(Apparitions!$H$2:$H$5001,A1223,Apparitions!$E$2:$E$5001,"○"))</f>
        <v/>
      </c>
      <c r="J1223" s="29" t="str">
        <f aca="false">IF(A1223="","",IFERROR(1/(1/_xlfn.MINIFS(Apparitions!$L$2:$L$5001,Apparitions!$H$2:$H$5001,A1223)),""))</f>
        <v/>
      </c>
    </row>
    <row r="1224" customFormat="false" ht="15" hidden="false" customHeight="false" outlineLevel="0" collapsed="false">
      <c r="A1224" s="19"/>
      <c r="B1224" s="19"/>
      <c r="C1224" s="19"/>
      <c r="D1224" s="19"/>
      <c r="E1224" s="32"/>
      <c r="F1224" s="19"/>
      <c r="G1224" s="26" t="str">
        <f aca="false">IF(A1224="","",COUNTIF(Pubs!$B$2:$B$3001,A1224))</f>
        <v/>
      </c>
      <c r="H1224" s="26" t="str">
        <f aca="false">IF(A1224="","",COUNTIF(Apparitions!$H$2:$H$5001,A1224))</f>
        <v/>
      </c>
      <c r="I1224" s="26" t="str">
        <f aca="false">IF(A1224="","",COUNTIFS(Apparitions!$H$2:$H$5001,A1224,Apparitions!$E$2:$E$5001,"○"))</f>
        <v/>
      </c>
      <c r="J1224" s="29" t="str">
        <f aca="false">IF(A1224="","",IFERROR(1/(1/_xlfn.MINIFS(Apparitions!$L$2:$L$5001,Apparitions!$H$2:$H$5001,A1224)),""))</f>
        <v/>
      </c>
    </row>
    <row r="1225" customFormat="false" ht="15" hidden="false" customHeight="false" outlineLevel="0" collapsed="false">
      <c r="A1225" s="19"/>
      <c r="B1225" s="19"/>
      <c r="C1225" s="19"/>
      <c r="D1225" s="19"/>
      <c r="E1225" s="32"/>
      <c r="F1225" s="19"/>
      <c r="G1225" s="26" t="str">
        <f aca="false">IF(A1225="","",COUNTIF(Pubs!$B$2:$B$3001,A1225))</f>
        <v/>
      </c>
      <c r="H1225" s="26" t="str">
        <f aca="false">IF(A1225="","",COUNTIF(Apparitions!$H$2:$H$5001,A1225))</f>
        <v/>
      </c>
      <c r="I1225" s="26" t="str">
        <f aca="false">IF(A1225="","",COUNTIFS(Apparitions!$H$2:$H$5001,A1225,Apparitions!$E$2:$E$5001,"○"))</f>
        <v/>
      </c>
      <c r="J1225" s="29" t="str">
        <f aca="false">IF(A1225="","",IFERROR(1/(1/_xlfn.MINIFS(Apparitions!$L$2:$L$5001,Apparitions!$H$2:$H$5001,A1225)),""))</f>
        <v/>
      </c>
    </row>
    <row r="1226" customFormat="false" ht="15" hidden="false" customHeight="false" outlineLevel="0" collapsed="false">
      <c r="A1226" s="19"/>
      <c r="B1226" s="19"/>
      <c r="C1226" s="19"/>
      <c r="D1226" s="19"/>
      <c r="E1226" s="32"/>
      <c r="F1226" s="19"/>
      <c r="G1226" s="26" t="str">
        <f aca="false">IF(A1226="","",COUNTIF(Pubs!$B$2:$B$3001,A1226))</f>
        <v/>
      </c>
      <c r="H1226" s="26" t="str">
        <f aca="false">IF(A1226="","",COUNTIF(Apparitions!$H$2:$H$5001,A1226))</f>
        <v/>
      </c>
      <c r="I1226" s="26" t="str">
        <f aca="false">IF(A1226="","",COUNTIFS(Apparitions!$H$2:$H$5001,A1226,Apparitions!$E$2:$E$5001,"○"))</f>
        <v/>
      </c>
      <c r="J1226" s="29" t="str">
        <f aca="false">IF(A1226="","",IFERROR(1/(1/_xlfn.MINIFS(Apparitions!$L$2:$L$5001,Apparitions!$H$2:$H$5001,A1226)),""))</f>
        <v/>
      </c>
    </row>
    <row r="1227" customFormat="false" ht="15" hidden="false" customHeight="false" outlineLevel="0" collapsed="false">
      <c r="A1227" s="19"/>
      <c r="B1227" s="19"/>
      <c r="C1227" s="19"/>
      <c r="D1227" s="19"/>
      <c r="E1227" s="32"/>
      <c r="F1227" s="19"/>
      <c r="G1227" s="26" t="str">
        <f aca="false">IF(A1227="","",COUNTIF(Pubs!$B$2:$B$3001,A1227))</f>
        <v/>
      </c>
      <c r="H1227" s="26" t="str">
        <f aca="false">IF(A1227="","",COUNTIF(Apparitions!$H$2:$H$5001,A1227))</f>
        <v/>
      </c>
      <c r="I1227" s="26" t="str">
        <f aca="false">IF(A1227="","",COUNTIFS(Apparitions!$H$2:$H$5001,A1227,Apparitions!$E$2:$E$5001,"○"))</f>
        <v/>
      </c>
      <c r="J1227" s="29" t="str">
        <f aca="false">IF(A1227="","",IFERROR(1/(1/_xlfn.MINIFS(Apparitions!$L$2:$L$5001,Apparitions!$H$2:$H$5001,A1227)),""))</f>
        <v/>
      </c>
    </row>
    <row r="1228" customFormat="false" ht="15" hidden="false" customHeight="false" outlineLevel="0" collapsed="false">
      <c r="A1228" s="19"/>
      <c r="B1228" s="19"/>
      <c r="C1228" s="19"/>
      <c r="D1228" s="19"/>
      <c r="E1228" s="32"/>
      <c r="F1228" s="19"/>
      <c r="G1228" s="26" t="str">
        <f aca="false">IF(A1228="","",COUNTIF(Pubs!$B$2:$B$3001,A1228))</f>
        <v/>
      </c>
      <c r="H1228" s="26" t="str">
        <f aca="false">IF(A1228="","",COUNTIF(Apparitions!$H$2:$H$5001,A1228))</f>
        <v/>
      </c>
      <c r="I1228" s="26" t="str">
        <f aca="false">IF(A1228="","",COUNTIFS(Apparitions!$H$2:$H$5001,A1228,Apparitions!$E$2:$E$5001,"○"))</f>
        <v/>
      </c>
      <c r="J1228" s="29" t="str">
        <f aca="false">IF(A1228="","",IFERROR(1/(1/_xlfn.MINIFS(Apparitions!$L$2:$L$5001,Apparitions!$H$2:$H$5001,A1228)),""))</f>
        <v/>
      </c>
    </row>
    <row r="1229" customFormat="false" ht="15" hidden="false" customHeight="false" outlineLevel="0" collapsed="false">
      <c r="A1229" s="19"/>
      <c r="B1229" s="19"/>
      <c r="C1229" s="19"/>
      <c r="D1229" s="19"/>
      <c r="E1229" s="32"/>
      <c r="F1229" s="19"/>
      <c r="G1229" s="26" t="str">
        <f aca="false">IF(A1229="","",COUNTIF(Pubs!$B$2:$B$3001,A1229))</f>
        <v/>
      </c>
      <c r="H1229" s="26" t="str">
        <f aca="false">IF(A1229="","",COUNTIF(Apparitions!$H$2:$H$5001,A1229))</f>
        <v/>
      </c>
      <c r="I1229" s="26" t="str">
        <f aca="false">IF(A1229="","",COUNTIFS(Apparitions!$H$2:$H$5001,A1229,Apparitions!$E$2:$E$5001,"○"))</f>
        <v/>
      </c>
      <c r="J1229" s="29" t="str">
        <f aca="false">IF(A1229="","",IFERROR(1/(1/_xlfn.MINIFS(Apparitions!$L$2:$L$5001,Apparitions!$H$2:$H$5001,A1229)),""))</f>
        <v/>
      </c>
    </row>
    <row r="1230" customFormat="false" ht="15" hidden="false" customHeight="false" outlineLevel="0" collapsed="false">
      <c r="A1230" s="19"/>
      <c r="B1230" s="19"/>
      <c r="C1230" s="19"/>
      <c r="D1230" s="19"/>
      <c r="E1230" s="32"/>
      <c r="F1230" s="19"/>
      <c r="G1230" s="26" t="str">
        <f aca="false">IF(A1230="","",COUNTIF(Pubs!$B$2:$B$3001,A1230))</f>
        <v/>
      </c>
      <c r="H1230" s="26" t="str">
        <f aca="false">IF(A1230="","",COUNTIF(Apparitions!$H$2:$H$5001,A1230))</f>
        <v/>
      </c>
      <c r="I1230" s="26" t="str">
        <f aca="false">IF(A1230="","",COUNTIFS(Apparitions!$H$2:$H$5001,A1230,Apparitions!$E$2:$E$5001,"○"))</f>
        <v/>
      </c>
      <c r="J1230" s="29" t="str">
        <f aca="false">IF(A1230="","",IFERROR(1/(1/_xlfn.MINIFS(Apparitions!$L$2:$L$5001,Apparitions!$H$2:$H$5001,A1230)),""))</f>
        <v/>
      </c>
    </row>
    <row r="1231" customFormat="false" ht="15" hidden="false" customHeight="false" outlineLevel="0" collapsed="false">
      <c r="A1231" s="19"/>
      <c r="B1231" s="19"/>
      <c r="C1231" s="19"/>
      <c r="D1231" s="19"/>
      <c r="E1231" s="32"/>
      <c r="F1231" s="19"/>
      <c r="G1231" s="26" t="str">
        <f aca="false">IF(A1231="","",COUNTIF(Pubs!$B$2:$B$3001,A1231))</f>
        <v/>
      </c>
      <c r="H1231" s="26" t="str">
        <f aca="false">IF(A1231="","",COUNTIF(Apparitions!$H$2:$H$5001,A1231))</f>
        <v/>
      </c>
      <c r="I1231" s="26" t="str">
        <f aca="false">IF(A1231="","",COUNTIFS(Apparitions!$H$2:$H$5001,A1231,Apparitions!$E$2:$E$5001,"○"))</f>
        <v/>
      </c>
      <c r="J1231" s="29" t="str">
        <f aca="false">IF(A1231="","",IFERROR(1/(1/_xlfn.MINIFS(Apparitions!$L$2:$L$5001,Apparitions!$H$2:$H$5001,A1231)),""))</f>
        <v/>
      </c>
    </row>
    <row r="1232" customFormat="false" ht="15" hidden="false" customHeight="false" outlineLevel="0" collapsed="false">
      <c r="A1232" s="19"/>
      <c r="B1232" s="19"/>
      <c r="C1232" s="19"/>
      <c r="D1232" s="19"/>
      <c r="E1232" s="32"/>
      <c r="F1232" s="19"/>
      <c r="G1232" s="26" t="str">
        <f aca="false">IF(A1232="","",COUNTIF(Pubs!$B$2:$B$3001,A1232))</f>
        <v/>
      </c>
      <c r="H1232" s="26" t="str">
        <f aca="false">IF(A1232="","",COUNTIF(Apparitions!$H$2:$H$5001,A1232))</f>
        <v/>
      </c>
      <c r="I1232" s="26" t="str">
        <f aca="false">IF(A1232="","",COUNTIFS(Apparitions!$H$2:$H$5001,A1232,Apparitions!$E$2:$E$5001,"○"))</f>
        <v/>
      </c>
      <c r="J1232" s="29" t="str">
        <f aca="false">IF(A1232="","",IFERROR(1/(1/_xlfn.MINIFS(Apparitions!$L$2:$L$5001,Apparitions!$H$2:$H$5001,A1232)),""))</f>
        <v/>
      </c>
    </row>
    <row r="1233" customFormat="false" ht="15" hidden="false" customHeight="false" outlineLevel="0" collapsed="false">
      <c r="A1233" s="19"/>
      <c r="B1233" s="19"/>
      <c r="C1233" s="19"/>
      <c r="D1233" s="19"/>
      <c r="E1233" s="32"/>
      <c r="F1233" s="19"/>
      <c r="G1233" s="26" t="str">
        <f aca="false">IF(A1233="","",COUNTIF(Pubs!$B$2:$B$3001,A1233))</f>
        <v/>
      </c>
      <c r="H1233" s="26" t="str">
        <f aca="false">IF(A1233="","",COUNTIF(Apparitions!$H$2:$H$5001,A1233))</f>
        <v/>
      </c>
      <c r="I1233" s="26" t="str">
        <f aca="false">IF(A1233="","",COUNTIFS(Apparitions!$H$2:$H$5001,A1233,Apparitions!$E$2:$E$5001,"○"))</f>
        <v/>
      </c>
      <c r="J1233" s="29" t="str">
        <f aca="false">IF(A1233="","",IFERROR(1/(1/_xlfn.MINIFS(Apparitions!$L$2:$L$5001,Apparitions!$H$2:$H$5001,A1233)),""))</f>
        <v/>
      </c>
    </row>
    <row r="1234" customFormat="false" ht="15" hidden="false" customHeight="false" outlineLevel="0" collapsed="false">
      <c r="A1234" s="19"/>
      <c r="B1234" s="19"/>
      <c r="C1234" s="19"/>
      <c r="D1234" s="19"/>
      <c r="E1234" s="32"/>
      <c r="F1234" s="19"/>
      <c r="G1234" s="26" t="str">
        <f aca="false">IF(A1234="","",COUNTIF(Pubs!$B$2:$B$3001,A1234))</f>
        <v/>
      </c>
      <c r="H1234" s="26" t="str">
        <f aca="false">IF(A1234="","",COUNTIF(Apparitions!$H$2:$H$5001,A1234))</f>
        <v/>
      </c>
      <c r="I1234" s="26" t="str">
        <f aca="false">IF(A1234="","",COUNTIFS(Apparitions!$H$2:$H$5001,A1234,Apparitions!$E$2:$E$5001,"○"))</f>
        <v/>
      </c>
      <c r="J1234" s="29" t="str">
        <f aca="false">IF(A1234="","",IFERROR(1/(1/_xlfn.MINIFS(Apparitions!$L$2:$L$5001,Apparitions!$H$2:$H$5001,A1234)),""))</f>
        <v/>
      </c>
    </row>
    <row r="1235" customFormat="false" ht="15" hidden="false" customHeight="false" outlineLevel="0" collapsed="false">
      <c r="A1235" s="19"/>
      <c r="B1235" s="19"/>
      <c r="C1235" s="19"/>
      <c r="D1235" s="19"/>
      <c r="E1235" s="32"/>
      <c r="F1235" s="19"/>
      <c r="G1235" s="26" t="str">
        <f aca="false">IF(A1235="","",COUNTIF(Pubs!$B$2:$B$3001,A1235))</f>
        <v/>
      </c>
      <c r="H1235" s="26" t="str">
        <f aca="false">IF(A1235="","",COUNTIF(Apparitions!$H$2:$H$5001,A1235))</f>
        <v/>
      </c>
      <c r="I1235" s="26" t="str">
        <f aca="false">IF(A1235="","",COUNTIFS(Apparitions!$H$2:$H$5001,A1235,Apparitions!$E$2:$E$5001,"○"))</f>
        <v/>
      </c>
      <c r="J1235" s="29" t="str">
        <f aca="false">IF(A1235="","",IFERROR(1/(1/_xlfn.MINIFS(Apparitions!$L$2:$L$5001,Apparitions!$H$2:$H$5001,A1235)),""))</f>
        <v/>
      </c>
    </row>
    <row r="1236" customFormat="false" ht="15" hidden="false" customHeight="false" outlineLevel="0" collapsed="false">
      <c r="A1236" s="19"/>
      <c r="B1236" s="19"/>
      <c r="C1236" s="19"/>
      <c r="D1236" s="19"/>
      <c r="E1236" s="32"/>
      <c r="F1236" s="19"/>
      <c r="G1236" s="26" t="str">
        <f aca="false">IF(A1236="","",COUNTIF(Pubs!$B$2:$B$3001,A1236))</f>
        <v/>
      </c>
      <c r="H1236" s="26" t="str">
        <f aca="false">IF(A1236="","",COUNTIF(Apparitions!$H$2:$H$5001,A1236))</f>
        <v/>
      </c>
      <c r="I1236" s="26" t="str">
        <f aca="false">IF(A1236="","",COUNTIFS(Apparitions!$H$2:$H$5001,A1236,Apparitions!$E$2:$E$5001,"○"))</f>
        <v/>
      </c>
      <c r="J1236" s="29" t="str">
        <f aca="false">IF(A1236="","",IFERROR(1/(1/_xlfn.MINIFS(Apparitions!$L$2:$L$5001,Apparitions!$H$2:$H$5001,A1236)),""))</f>
        <v/>
      </c>
    </row>
    <row r="1237" customFormat="false" ht="15" hidden="false" customHeight="false" outlineLevel="0" collapsed="false">
      <c r="A1237" s="19"/>
      <c r="B1237" s="19"/>
      <c r="C1237" s="19"/>
      <c r="D1237" s="19"/>
      <c r="E1237" s="32"/>
      <c r="F1237" s="19"/>
      <c r="G1237" s="26" t="str">
        <f aca="false">IF(A1237="","",COUNTIF(Pubs!$B$2:$B$3001,A1237))</f>
        <v/>
      </c>
      <c r="H1237" s="26" t="str">
        <f aca="false">IF(A1237="","",COUNTIF(Apparitions!$H$2:$H$5001,A1237))</f>
        <v/>
      </c>
      <c r="I1237" s="26" t="str">
        <f aca="false">IF(A1237="","",COUNTIFS(Apparitions!$H$2:$H$5001,A1237,Apparitions!$E$2:$E$5001,"○"))</f>
        <v/>
      </c>
      <c r="J1237" s="29" t="str">
        <f aca="false">IF(A1237="","",IFERROR(1/(1/_xlfn.MINIFS(Apparitions!$L$2:$L$5001,Apparitions!$H$2:$H$5001,A1237)),""))</f>
        <v/>
      </c>
    </row>
    <row r="1238" customFormat="false" ht="15" hidden="false" customHeight="false" outlineLevel="0" collapsed="false">
      <c r="A1238" s="19"/>
      <c r="B1238" s="19"/>
      <c r="C1238" s="19"/>
      <c r="D1238" s="19"/>
      <c r="E1238" s="32"/>
      <c r="F1238" s="19"/>
      <c r="G1238" s="26" t="str">
        <f aca="false">IF(A1238="","",COUNTIF(Pubs!$B$2:$B$3001,A1238))</f>
        <v/>
      </c>
      <c r="H1238" s="26" t="str">
        <f aca="false">IF(A1238="","",COUNTIF(Apparitions!$H$2:$H$5001,A1238))</f>
        <v/>
      </c>
      <c r="I1238" s="26" t="str">
        <f aca="false">IF(A1238="","",COUNTIFS(Apparitions!$H$2:$H$5001,A1238,Apparitions!$E$2:$E$5001,"○"))</f>
        <v/>
      </c>
      <c r="J1238" s="29" t="str">
        <f aca="false">IF(A1238="","",IFERROR(1/(1/_xlfn.MINIFS(Apparitions!$L$2:$L$5001,Apparitions!$H$2:$H$5001,A1238)),""))</f>
        <v/>
      </c>
    </row>
    <row r="1239" customFormat="false" ht="15" hidden="false" customHeight="false" outlineLevel="0" collapsed="false">
      <c r="A1239" s="19"/>
      <c r="B1239" s="19"/>
      <c r="C1239" s="19"/>
      <c r="D1239" s="19"/>
      <c r="E1239" s="32"/>
      <c r="F1239" s="19"/>
      <c r="G1239" s="26" t="str">
        <f aca="false">IF(A1239="","",COUNTIF(Pubs!$B$2:$B$3001,A1239))</f>
        <v/>
      </c>
      <c r="H1239" s="26" t="str">
        <f aca="false">IF(A1239="","",COUNTIF(Apparitions!$H$2:$H$5001,A1239))</f>
        <v/>
      </c>
      <c r="I1239" s="26" t="str">
        <f aca="false">IF(A1239="","",COUNTIFS(Apparitions!$H$2:$H$5001,A1239,Apparitions!$E$2:$E$5001,"○"))</f>
        <v/>
      </c>
      <c r="J1239" s="29" t="str">
        <f aca="false">IF(A1239="","",IFERROR(1/(1/_xlfn.MINIFS(Apparitions!$L$2:$L$5001,Apparitions!$H$2:$H$5001,A1239)),""))</f>
        <v/>
      </c>
    </row>
    <row r="1240" customFormat="false" ht="15" hidden="false" customHeight="false" outlineLevel="0" collapsed="false">
      <c r="A1240" s="19"/>
      <c r="B1240" s="19"/>
      <c r="C1240" s="19"/>
      <c r="D1240" s="19"/>
      <c r="E1240" s="32"/>
      <c r="F1240" s="19"/>
      <c r="G1240" s="26" t="str">
        <f aca="false">IF(A1240="","",COUNTIF(Pubs!$B$2:$B$3001,A1240))</f>
        <v/>
      </c>
      <c r="H1240" s="26" t="str">
        <f aca="false">IF(A1240="","",COUNTIF(Apparitions!$H$2:$H$5001,A1240))</f>
        <v/>
      </c>
      <c r="I1240" s="26" t="str">
        <f aca="false">IF(A1240="","",COUNTIFS(Apparitions!$H$2:$H$5001,A1240,Apparitions!$E$2:$E$5001,"○"))</f>
        <v/>
      </c>
      <c r="J1240" s="29" t="str">
        <f aca="false">IF(A1240="","",IFERROR(1/(1/_xlfn.MINIFS(Apparitions!$L$2:$L$5001,Apparitions!$H$2:$H$5001,A1240)),""))</f>
        <v/>
      </c>
    </row>
    <row r="1241" customFormat="false" ht="15" hidden="false" customHeight="false" outlineLevel="0" collapsed="false">
      <c r="A1241" s="19"/>
      <c r="B1241" s="19"/>
      <c r="C1241" s="19"/>
      <c r="D1241" s="19"/>
      <c r="E1241" s="32"/>
      <c r="F1241" s="19"/>
      <c r="G1241" s="26" t="str">
        <f aca="false">IF(A1241="","",COUNTIF(Pubs!$B$2:$B$3001,A1241))</f>
        <v/>
      </c>
      <c r="H1241" s="26" t="str">
        <f aca="false">IF(A1241="","",COUNTIF(Apparitions!$H$2:$H$5001,A1241))</f>
        <v/>
      </c>
      <c r="I1241" s="26" t="str">
        <f aca="false">IF(A1241="","",COUNTIFS(Apparitions!$H$2:$H$5001,A1241,Apparitions!$E$2:$E$5001,"○"))</f>
        <v/>
      </c>
      <c r="J1241" s="29" t="str">
        <f aca="false">IF(A1241="","",IFERROR(1/(1/_xlfn.MINIFS(Apparitions!$L$2:$L$5001,Apparitions!$H$2:$H$5001,A1241)),""))</f>
        <v/>
      </c>
    </row>
    <row r="1242" customFormat="false" ht="15" hidden="false" customHeight="false" outlineLevel="0" collapsed="false">
      <c r="A1242" s="19"/>
      <c r="B1242" s="19"/>
      <c r="C1242" s="19"/>
      <c r="D1242" s="19"/>
      <c r="E1242" s="32"/>
      <c r="F1242" s="19"/>
      <c r="G1242" s="26" t="str">
        <f aca="false">IF(A1242="","",COUNTIF(Pubs!$B$2:$B$3001,A1242))</f>
        <v/>
      </c>
      <c r="H1242" s="26" t="str">
        <f aca="false">IF(A1242="","",COUNTIF(Apparitions!$H$2:$H$5001,A1242))</f>
        <v/>
      </c>
      <c r="I1242" s="26" t="str">
        <f aca="false">IF(A1242="","",COUNTIFS(Apparitions!$H$2:$H$5001,A1242,Apparitions!$E$2:$E$5001,"○"))</f>
        <v/>
      </c>
      <c r="J1242" s="29" t="str">
        <f aca="false">IF(A1242="","",IFERROR(1/(1/_xlfn.MINIFS(Apparitions!$L$2:$L$5001,Apparitions!$H$2:$H$5001,A1242)),""))</f>
        <v/>
      </c>
    </row>
    <row r="1243" customFormat="false" ht="15" hidden="false" customHeight="false" outlineLevel="0" collapsed="false">
      <c r="A1243" s="19"/>
      <c r="B1243" s="19"/>
      <c r="C1243" s="19"/>
      <c r="D1243" s="19"/>
      <c r="E1243" s="32"/>
      <c r="F1243" s="19"/>
      <c r="G1243" s="26" t="str">
        <f aca="false">IF(A1243="","",COUNTIF(Pubs!$B$2:$B$3001,A1243))</f>
        <v/>
      </c>
      <c r="H1243" s="26" t="str">
        <f aca="false">IF(A1243="","",COUNTIF(Apparitions!$H$2:$H$5001,A1243))</f>
        <v/>
      </c>
      <c r="I1243" s="26" t="str">
        <f aca="false">IF(A1243="","",COUNTIFS(Apparitions!$H$2:$H$5001,A1243,Apparitions!$E$2:$E$5001,"○"))</f>
        <v/>
      </c>
      <c r="J1243" s="29" t="str">
        <f aca="false">IF(A1243="","",IFERROR(1/(1/_xlfn.MINIFS(Apparitions!$L$2:$L$5001,Apparitions!$H$2:$H$5001,A1243)),""))</f>
        <v/>
      </c>
    </row>
    <row r="1244" customFormat="false" ht="15" hidden="false" customHeight="false" outlineLevel="0" collapsed="false">
      <c r="A1244" s="19"/>
      <c r="B1244" s="19"/>
      <c r="C1244" s="19"/>
      <c r="D1244" s="19"/>
      <c r="E1244" s="32"/>
      <c r="F1244" s="19"/>
      <c r="G1244" s="26" t="str">
        <f aca="false">IF(A1244="","",COUNTIF(Pubs!$B$2:$B$3001,A1244))</f>
        <v/>
      </c>
      <c r="H1244" s="26" t="str">
        <f aca="false">IF(A1244="","",COUNTIF(Apparitions!$H$2:$H$5001,A1244))</f>
        <v/>
      </c>
      <c r="I1244" s="26" t="str">
        <f aca="false">IF(A1244="","",COUNTIFS(Apparitions!$H$2:$H$5001,A1244,Apparitions!$E$2:$E$5001,"○"))</f>
        <v/>
      </c>
      <c r="J1244" s="29" t="str">
        <f aca="false">IF(A1244="","",IFERROR(1/(1/_xlfn.MINIFS(Apparitions!$L$2:$L$5001,Apparitions!$H$2:$H$5001,A1244)),""))</f>
        <v/>
      </c>
    </row>
    <row r="1245" customFormat="false" ht="15" hidden="false" customHeight="false" outlineLevel="0" collapsed="false">
      <c r="A1245" s="19"/>
      <c r="B1245" s="19"/>
      <c r="C1245" s="19"/>
      <c r="D1245" s="19"/>
      <c r="E1245" s="32"/>
      <c r="F1245" s="19"/>
      <c r="G1245" s="26" t="str">
        <f aca="false">IF(A1245="","",COUNTIF(Pubs!$B$2:$B$3001,A1245))</f>
        <v/>
      </c>
      <c r="H1245" s="26" t="str">
        <f aca="false">IF(A1245="","",COUNTIF(Apparitions!$H$2:$H$5001,A1245))</f>
        <v/>
      </c>
      <c r="I1245" s="26" t="str">
        <f aca="false">IF(A1245="","",COUNTIFS(Apparitions!$H$2:$H$5001,A1245,Apparitions!$E$2:$E$5001,"○"))</f>
        <v/>
      </c>
      <c r="J1245" s="29" t="str">
        <f aca="false">IF(A1245="","",IFERROR(1/(1/_xlfn.MINIFS(Apparitions!$L$2:$L$5001,Apparitions!$H$2:$H$5001,A1245)),""))</f>
        <v/>
      </c>
    </row>
    <row r="1246" customFormat="false" ht="15" hidden="false" customHeight="false" outlineLevel="0" collapsed="false">
      <c r="A1246" s="19"/>
      <c r="B1246" s="19"/>
      <c r="C1246" s="19"/>
      <c r="D1246" s="19"/>
      <c r="E1246" s="32"/>
      <c r="F1246" s="19"/>
      <c r="G1246" s="26" t="str">
        <f aca="false">IF(A1246="","",COUNTIF(Pubs!$B$2:$B$3001,A1246))</f>
        <v/>
      </c>
      <c r="H1246" s="26" t="str">
        <f aca="false">IF(A1246="","",COUNTIF(Apparitions!$H$2:$H$5001,A1246))</f>
        <v/>
      </c>
      <c r="I1246" s="26" t="str">
        <f aca="false">IF(A1246="","",COUNTIFS(Apparitions!$H$2:$H$5001,A1246,Apparitions!$E$2:$E$5001,"○"))</f>
        <v/>
      </c>
      <c r="J1246" s="29" t="str">
        <f aca="false">IF(A1246="","",IFERROR(1/(1/_xlfn.MINIFS(Apparitions!$L$2:$L$5001,Apparitions!$H$2:$H$5001,A1246)),""))</f>
        <v/>
      </c>
    </row>
    <row r="1247" customFormat="false" ht="15" hidden="false" customHeight="false" outlineLevel="0" collapsed="false">
      <c r="A1247" s="19"/>
      <c r="B1247" s="19"/>
      <c r="C1247" s="19"/>
      <c r="D1247" s="19"/>
      <c r="E1247" s="32"/>
      <c r="F1247" s="19"/>
      <c r="G1247" s="26" t="str">
        <f aca="false">IF(A1247="","",COUNTIF(Pubs!$B$2:$B$3001,A1247))</f>
        <v/>
      </c>
      <c r="H1247" s="26" t="str">
        <f aca="false">IF(A1247="","",COUNTIF(Apparitions!$H$2:$H$5001,A1247))</f>
        <v/>
      </c>
      <c r="I1247" s="26" t="str">
        <f aca="false">IF(A1247="","",COUNTIFS(Apparitions!$H$2:$H$5001,A1247,Apparitions!$E$2:$E$5001,"○"))</f>
        <v/>
      </c>
      <c r="J1247" s="29" t="str">
        <f aca="false">IF(A1247="","",IFERROR(1/(1/_xlfn.MINIFS(Apparitions!$L$2:$L$5001,Apparitions!$H$2:$H$5001,A1247)),""))</f>
        <v/>
      </c>
    </row>
    <row r="1248" customFormat="false" ht="15" hidden="false" customHeight="false" outlineLevel="0" collapsed="false">
      <c r="A1248" s="19"/>
      <c r="B1248" s="19"/>
      <c r="C1248" s="19"/>
      <c r="D1248" s="19"/>
      <c r="E1248" s="32"/>
      <c r="F1248" s="19"/>
      <c r="G1248" s="26" t="str">
        <f aca="false">IF(A1248="","",COUNTIF(Pubs!$B$2:$B$3001,A1248))</f>
        <v/>
      </c>
      <c r="H1248" s="26" t="str">
        <f aca="false">IF(A1248="","",COUNTIF(Apparitions!$H$2:$H$5001,A1248))</f>
        <v/>
      </c>
      <c r="I1248" s="26" t="str">
        <f aca="false">IF(A1248="","",COUNTIFS(Apparitions!$H$2:$H$5001,A1248,Apparitions!$E$2:$E$5001,"○"))</f>
        <v/>
      </c>
      <c r="J1248" s="29" t="str">
        <f aca="false">IF(A1248="","",IFERROR(1/(1/_xlfn.MINIFS(Apparitions!$L$2:$L$5001,Apparitions!$H$2:$H$5001,A1248)),""))</f>
        <v/>
      </c>
    </row>
    <row r="1249" customFormat="false" ht="15" hidden="false" customHeight="false" outlineLevel="0" collapsed="false">
      <c r="A1249" s="19"/>
      <c r="B1249" s="19"/>
      <c r="C1249" s="19"/>
      <c r="D1249" s="19"/>
      <c r="E1249" s="32"/>
      <c r="F1249" s="19"/>
      <c r="G1249" s="26" t="str">
        <f aca="false">IF(A1249="","",COUNTIF(Pubs!$B$2:$B$3001,A1249))</f>
        <v/>
      </c>
      <c r="H1249" s="26" t="str">
        <f aca="false">IF(A1249="","",COUNTIF(Apparitions!$H$2:$H$5001,A1249))</f>
        <v/>
      </c>
      <c r="I1249" s="26" t="str">
        <f aca="false">IF(A1249="","",COUNTIFS(Apparitions!$H$2:$H$5001,A1249,Apparitions!$E$2:$E$5001,"○"))</f>
        <v/>
      </c>
      <c r="J1249" s="29" t="str">
        <f aca="false">IF(A1249="","",IFERROR(1/(1/_xlfn.MINIFS(Apparitions!$L$2:$L$5001,Apparitions!$H$2:$H$5001,A1249)),""))</f>
        <v/>
      </c>
    </row>
    <row r="1250" customFormat="false" ht="15" hidden="false" customHeight="false" outlineLevel="0" collapsed="false">
      <c r="A1250" s="19"/>
      <c r="B1250" s="19"/>
      <c r="C1250" s="19"/>
      <c r="D1250" s="19"/>
      <c r="E1250" s="32"/>
      <c r="F1250" s="19"/>
      <c r="G1250" s="26" t="str">
        <f aca="false">IF(A1250="","",COUNTIF(Pubs!$B$2:$B$3001,A1250))</f>
        <v/>
      </c>
      <c r="H1250" s="26" t="str">
        <f aca="false">IF(A1250="","",COUNTIF(Apparitions!$H$2:$H$5001,A1250))</f>
        <v/>
      </c>
      <c r="I1250" s="26" t="str">
        <f aca="false">IF(A1250="","",COUNTIFS(Apparitions!$H$2:$H$5001,A1250,Apparitions!$E$2:$E$5001,"○"))</f>
        <v/>
      </c>
      <c r="J1250" s="29" t="str">
        <f aca="false">IF(A1250="","",IFERROR(1/(1/_xlfn.MINIFS(Apparitions!$L$2:$L$5001,Apparitions!$H$2:$H$5001,A1250)),""))</f>
        <v/>
      </c>
    </row>
    <row r="1251" customFormat="false" ht="15" hidden="false" customHeight="false" outlineLevel="0" collapsed="false">
      <c r="A1251" s="19"/>
      <c r="B1251" s="19"/>
      <c r="C1251" s="19"/>
      <c r="D1251" s="19"/>
      <c r="E1251" s="32"/>
      <c r="F1251" s="19"/>
      <c r="G1251" s="26" t="str">
        <f aca="false">IF(A1251="","",COUNTIF(Pubs!$B$2:$B$3001,A1251))</f>
        <v/>
      </c>
      <c r="H1251" s="26" t="str">
        <f aca="false">IF(A1251="","",COUNTIF(Apparitions!$H$2:$H$5001,A1251))</f>
        <v/>
      </c>
      <c r="I1251" s="26" t="str">
        <f aca="false">IF(A1251="","",COUNTIFS(Apparitions!$H$2:$H$5001,A1251,Apparitions!$E$2:$E$5001,"○"))</f>
        <v/>
      </c>
      <c r="J1251" s="29" t="str">
        <f aca="false">IF(A1251="","",IFERROR(1/(1/_xlfn.MINIFS(Apparitions!$L$2:$L$5001,Apparitions!$H$2:$H$5001,A1251)),""))</f>
        <v/>
      </c>
    </row>
    <row r="1252" customFormat="false" ht="15" hidden="false" customHeight="false" outlineLevel="0" collapsed="false">
      <c r="A1252" s="19"/>
      <c r="B1252" s="19"/>
      <c r="C1252" s="19"/>
      <c r="D1252" s="19"/>
      <c r="E1252" s="32"/>
      <c r="F1252" s="19"/>
      <c r="G1252" s="26" t="str">
        <f aca="false">IF(A1252="","",COUNTIF(Pubs!$B$2:$B$3001,A1252))</f>
        <v/>
      </c>
      <c r="H1252" s="26" t="str">
        <f aca="false">IF(A1252="","",COUNTIF(Apparitions!$H$2:$H$5001,A1252))</f>
        <v/>
      </c>
      <c r="I1252" s="26" t="str">
        <f aca="false">IF(A1252="","",COUNTIFS(Apparitions!$H$2:$H$5001,A1252,Apparitions!$E$2:$E$5001,"○"))</f>
        <v/>
      </c>
      <c r="J1252" s="29" t="str">
        <f aca="false">IF(A1252="","",IFERROR(1/(1/_xlfn.MINIFS(Apparitions!$L$2:$L$5001,Apparitions!$H$2:$H$5001,A1252)),""))</f>
        <v/>
      </c>
    </row>
    <row r="1253" customFormat="false" ht="15" hidden="false" customHeight="false" outlineLevel="0" collapsed="false">
      <c r="A1253" s="19"/>
      <c r="B1253" s="19"/>
      <c r="C1253" s="19"/>
      <c r="D1253" s="19"/>
      <c r="E1253" s="32"/>
      <c r="F1253" s="19"/>
      <c r="G1253" s="26" t="str">
        <f aca="false">IF(A1253="","",COUNTIF(Pubs!$B$2:$B$3001,A1253))</f>
        <v/>
      </c>
      <c r="H1253" s="26" t="str">
        <f aca="false">IF(A1253="","",COUNTIF(Apparitions!$H$2:$H$5001,A1253))</f>
        <v/>
      </c>
      <c r="I1253" s="26" t="str">
        <f aca="false">IF(A1253="","",COUNTIFS(Apparitions!$H$2:$H$5001,A1253,Apparitions!$E$2:$E$5001,"○"))</f>
        <v/>
      </c>
      <c r="J1253" s="29" t="str">
        <f aca="false">IF(A1253="","",IFERROR(1/(1/_xlfn.MINIFS(Apparitions!$L$2:$L$5001,Apparitions!$H$2:$H$5001,A1253)),""))</f>
        <v/>
      </c>
    </row>
    <row r="1254" customFormat="false" ht="15" hidden="false" customHeight="false" outlineLevel="0" collapsed="false">
      <c r="A1254" s="19"/>
      <c r="B1254" s="19"/>
      <c r="C1254" s="19"/>
      <c r="D1254" s="19"/>
      <c r="E1254" s="32"/>
      <c r="F1254" s="19"/>
      <c r="G1254" s="26" t="str">
        <f aca="false">IF(A1254="","",COUNTIF(Pubs!$B$2:$B$3001,A1254))</f>
        <v/>
      </c>
      <c r="H1254" s="26" t="str">
        <f aca="false">IF(A1254="","",COUNTIF(Apparitions!$H$2:$H$5001,A1254))</f>
        <v/>
      </c>
      <c r="I1254" s="26" t="str">
        <f aca="false">IF(A1254="","",COUNTIFS(Apparitions!$H$2:$H$5001,A1254,Apparitions!$E$2:$E$5001,"○"))</f>
        <v/>
      </c>
      <c r="J1254" s="29" t="str">
        <f aca="false">IF(A1254="","",IFERROR(1/(1/_xlfn.MINIFS(Apparitions!$L$2:$L$5001,Apparitions!$H$2:$H$5001,A1254)),""))</f>
        <v/>
      </c>
    </row>
    <row r="1255" customFormat="false" ht="15" hidden="false" customHeight="false" outlineLevel="0" collapsed="false">
      <c r="A1255" s="19"/>
      <c r="B1255" s="19"/>
      <c r="C1255" s="19"/>
      <c r="D1255" s="19"/>
      <c r="E1255" s="32"/>
      <c r="F1255" s="19"/>
      <c r="G1255" s="26" t="str">
        <f aca="false">IF(A1255="","",COUNTIF(Pubs!$B$2:$B$3001,A1255))</f>
        <v/>
      </c>
      <c r="H1255" s="26" t="str">
        <f aca="false">IF(A1255="","",COUNTIF(Apparitions!$H$2:$H$5001,A1255))</f>
        <v/>
      </c>
      <c r="I1255" s="26" t="str">
        <f aca="false">IF(A1255="","",COUNTIFS(Apparitions!$H$2:$H$5001,A1255,Apparitions!$E$2:$E$5001,"○"))</f>
        <v/>
      </c>
      <c r="J1255" s="29" t="str">
        <f aca="false">IF(A1255="","",IFERROR(1/(1/_xlfn.MINIFS(Apparitions!$L$2:$L$5001,Apparitions!$H$2:$H$5001,A1255)),""))</f>
        <v/>
      </c>
    </row>
    <row r="1256" customFormat="false" ht="15" hidden="false" customHeight="false" outlineLevel="0" collapsed="false">
      <c r="A1256" s="19"/>
      <c r="B1256" s="19"/>
      <c r="C1256" s="19"/>
      <c r="D1256" s="19"/>
      <c r="E1256" s="32"/>
      <c r="F1256" s="19"/>
      <c r="G1256" s="26" t="str">
        <f aca="false">IF(A1256="","",COUNTIF(Pubs!$B$2:$B$3001,A1256))</f>
        <v/>
      </c>
      <c r="H1256" s="26" t="str">
        <f aca="false">IF(A1256="","",COUNTIF(Apparitions!$H$2:$H$5001,A1256))</f>
        <v/>
      </c>
      <c r="I1256" s="26" t="str">
        <f aca="false">IF(A1256="","",COUNTIFS(Apparitions!$H$2:$H$5001,A1256,Apparitions!$E$2:$E$5001,"○"))</f>
        <v/>
      </c>
      <c r="J1256" s="29" t="str">
        <f aca="false">IF(A1256="","",IFERROR(1/(1/_xlfn.MINIFS(Apparitions!$L$2:$L$5001,Apparitions!$H$2:$H$5001,A1256)),""))</f>
        <v/>
      </c>
    </row>
    <row r="1257" customFormat="false" ht="15" hidden="false" customHeight="false" outlineLevel="0" collapsed="false">
      <c r="A1257" s="19"/>
      <c r="B1257" s="19"/>
      <c r="C1257" s="19"/>
      <c r="D1257" s="19"/>
      <c r="E1257" s="32"/>
      <c r="F1257" s="19"/>
      <c r="G1257" s="26" t="str">
        <f aca="false">IF(A1257="","",COUNTIF(Pubs!$B$2:$B$3001,A1257))</f>
        <v/>
      </c>
      <c r="H1257" s="26" t="str">
        <f aca="false">IF(A1257="","",COUNTIF(Apparitions!$H$2:$H$5001,A1257))</f>
        <v/>
      </c>
      <c r="I1257" s="26" t="str">
        <f aca="false">IF(A1257="","",COUNTIFS(Apparitions!$H$2:$H$5001,A1257,Apparitions!$E$2:$E$5001,"○"))</f>
        <v/>
      </c>
      <c r="J1257" s="29" t="str">
        <f aca="false">IF(A1257="","",IFERROR(1/(1/_xlfn.MINIFS(Apparitions!$L$2:$L$5001,Apparitions!$H$2:$H$5001,A1257)),""))</f>
        <v/>
      </c>
    </row>
    <row r="1258" customFormat="false" ht="15" hidden="false" customHeight="false" outlineLevel="0" collapsed="false">
      <c r="A1258" s="19"/>
      <c r="B1258" s="19"/>
      <c r="C1258" s="19"/>
      <c r="D1258" s="19"/>
      <c r="E1258" s="32"/>
      <c r="F1258" s="19"/>
      <c r="G1258" s="26" t="str">
        <f aca="false">IF(A1258="","",COUNTIF(Pubs!$B$2:$B$3001,A1258))</f>
        <v/>
      </c>
      <c r="H1258" s="26" t="str">
        <f aca="false">IF(A1258="","",COUNTIF(Apparitions!$H$2:$H$5001,A1258))</f>
        <v/>
      </c>
      <c r="I1258" s="26" t="str">
        <f aca="false">IF(A1258="","",COUNTIFS(Apparitions!$H$2:$H$5001,A1258,Apparitions!$E$2:$E$5001,"○"))</f>
        <v/>
      </c>
      <c r="J1258" s="29" t="str">
        <f aca="false">IF(A1258="","",IFERROR(1/(1/_xlfn.MINIFS(Apparitions!$L$2:$L$5001,Apparitions!$H$2:$H$5001,A1258)),""))</f>
        <v/>
      </c>
    </row>
    <row r="1259" customFormat="false" ht="15" hidden="false" customHeight="false" outlineLevel="0" collapsed="false">
      <c r="A1259" s="19"/>
      <c r="B1259" s="19"/>
      <c r="C1259" s="19"/>
      <c r="D1259" s="19"/>
      <c r="E1259" s="32"/>
      <c r="F1259" s="19"/>
      <c r="G1259" s="26" t="str">
        <f aca="false">IF(A1259="","",COUNTIF(Pubs!$B$2:$B$3001,A1259))</f>
        <v/>
      </c>
      <c r="H1259" s="26" t="str">
        <f aca="false">IF(A1259="","",COUNTIF(Apparitions!$H$2:$H$5001,A1259))</f>
        <v/>
      </c>
      <c r="I1259" s="26" t="str">
        <f aca="false">IF(A1259="","",COUNTIFS(Apparitions!$H$2:$H$5001,A1259,Apparitions!$E$2:$E$5001,"○"))</f>
        <v/>
      </c>
      <c r="J1259" s="29" t="str">
        <f aca="false">IF(A1259="","",IFERROR(1/(1/_xlfn.MINIFS(Apparitions!$L$2:$L$5001,Apparitions!$H$2:$H$5001,A1259)),""))</f>
        <v/>
      </c>
    </row>
    <row r="1260" customFormat="false" ht="15" hidden="false" customHeight="false" outlineLevel="0" collapsed="false">
      <c r="A1260" s="19"/>
      <c r="B1260" s="19"/>
      <c r="C1260" s="19"/>
      <c r="D1260" s="19"/>
      <c r="E1260" s="32"/>
      <c r="F1260" s="19"/>
      <c r="G1260" s="26" t="str">
        <f aca="false">IF(A1260="","",COUNTIF(Pubs!$B$2:$B$3001,A1260))</f>
        <v/>
      </c>
      <c r="H1260" s="26" t="str">
        <f aca="false">IF(A1260="","",COUNTIF(Apparitions!$H$2:$H$5001,A1260))</f>
        <v/>
      </c>
      <c r="I1260" s="26" t="str">
        <f aca="false">IF(A1260="","",COUNTIFS(Apparitions!$H$2:$H$5001,A1260,Apparitions!$E$2:$E$5001,"○"))</f>
        <v/>
      </c>
      <c r="J1260" s="29" t="str">
        <f aca="false">IF(A1260="","",IFERROR(1/(1/_xlfn.MINIFS(Apparitions!$L$2:$L$5001,Apparitions!$H$2:$H$5001,A1260)),""))</f>
        <v/>
      </c>
    </row>
    <row r="1261" customFormat="false" ht="15" hidden="false" customHeight="false" outlineLevel="0" collapsed="false">
      <c r="A1261" s="19"/>
      <c r="B1261" s="19"/>
      <c r="C1261" s="19"/>
      <c r="D1261" s="19"/>
      <c r="E1261" s="32"/>
      <c r="F1261" s="19"/>
      <c r="G1261" s="26" t="str">
        <f aca="false">IF(A1261="","",COUNTIF(Pubs!$B$2:$B$3001,A1261))</f>
        <v/>
      </c>
      <c r="H1261" s="26" t="str">
        <f aca="false">IF(A1261="","",COUNTIF(Apparitions!$H$2:$H$5001,A1261))</f>
        <v/>
      </c>
      <c r="I1261" s="26" t="str">
        <f aca="false">IF(A1261="","",COUNTIFS(Apparitions!$H$2:$H$5001,A1261,Apparitions!$E$2:$E$5001,"○"))</f>
        <v/>
      </c>
      <c r="J1261" s="29" t="str">
        <f aca="false">IF(A1261="","",IFERROR(1/(1/_xlfn.MINIFS(Apparitions!$L$2:$L$5001,Apparitions!$H$2:$H$5001,A1261)),""))</f>
        <v/>
      </c>
    </row>
    <row r="1262" customFormat="false" ht="15" hidden="false" customHeight="false" outlineLevel="0" collapsed="false">
      <c r="A1262" s="19"/>
      <c r="B1262" s="19"/>
      <c r="C1262" s="19"/>
      <c r="D1262" s="19"/>
      <c r="E1262" s="32"/>
      <c r="F1262" s="19"/>
      <c r="G1262" s="26" t="str">
        <f aca="false">IF(A1262="","",COUNTIF(Pubs!$B$2:$B$3001,A1262))</f>
        <v/>
      </c>
      <c r="H1262" s="26" t="str">
        <f aca="false">IF(A1262="","",COUNTIF(Apparitions!$H$2:$H$5001,A1262))</f>
        <v/>
      </c>
      <c r="I1262" s="26" t="str">
        <f aca="false">IF(A1262="","",COUNTIFS(Apparitions!$H$2:$H$5001,A1262,Apparitions!$E$2:$E$5001,"○"))</f>
        <v/>
      </c>
      <c r="J1262" s="29" t="str">
        <f aca="false">IF(A1262="","",IFERROR(1/(1/_xlfn.MINIFS(Apparitions!$L$2:$L$5001,Apparitions!$H$2:$H$5001,A1262)),""))</f>
        <v/>
      </c>
    </row>
    <row r="1263" customFormat="false" ht="15" hidden="false" customHeight="false" outlineLevel="0" collapsed="false">
      <c r="A1263" s="19"/>
      <c r="B1263" s="19"/>
      <c r="C1263" s="19"/>
      <c r="D1263" s="19"/>
      <c r="E1263" s="32"/>
      <c r="F1263" s="19"/>
      <c r="G1263" s="26" t="str">
        <f aca="false">IF(A1263="","",COUNTIF(Pubs!$B$2:$B$3001,A1263))</f>
        <v/>
      </c>
      <c r="H1263" s="26" t="str">
        <f aca="false">IF(A1263="","",COUNTIF(Apparitions!$H$2:$H$5001,A1263))</f>
        <v/>
      </c>
      <c r="I1263" s="26" t="str">
        <f aca="false">IF(A1263="","",COUNTIFS(Apparitions!$H$2:$H$5001,A1263,Apparitions!$E$2:$E$5001,"○"))</f>
        <v/>
      </c>
      <c r="J1263" s="29" t="str">
        <f aca="false">IF(A1263="","",IFERROR(1/(1/_xlfn.MINIFS(Apparitions!$L$2:$L$5001,Apparitions!$H$2:$H$5001,A1263)),""))</f>
        <v/>
      </c>
    </row>
    <row r="1264" customFormat="false" ht="15" hidden="false" customHeight="false" outlineLevel="0" collapsed="false">
      <c r="A1264" s="19"/>
      <c r="B1264" s="19"/>
      <c r="C1264" s="19"/>
      <c r="D1264" s="19"/>
      <c r="E1264" s="32"/>
      <c r="F1264" s="19"/>
      <c r="G1264" s="26" t="str">
        <f aca="false">IF(A1264="","",COUNTIF(Pubs!$B$2:$B$3001,A1264))</f>
        <v/>
      </c>
      <c r="H1264" s="26" t="str">
        <f aca="false">IF(A1264="","",COUNTIF(Apparitions!$H$2:$H$5001,A1264))</f>
        <v/>
      </c>
      <c r="I1264" s="26" t="str">
        <f aca="false">IF(A1264="","",COUNTIFS(Apparitions!$H$2:$H$5001,A1264,Apparitions!$E$2:$E$5001,"○"))</f>
        <v/>
      </c>
      <c r="J1264" s="29" t="str">
        <f aca="false">IF(A1264="","",IFERROR(1/(1/_xlfn.MINIFS(Apparitions!$L$2:$L$5001,Apparitions!$H$2:$H$5001,A1264)),""))</f>
        <v/>
      </c>
    </row>
    <row r="1265" customFormat="false" ht="15" hidden="false" customHeight="false" outlineLevel="0" collapsed="false">
      <c r="A1265" s="19"/>
      <c r="B1265" s="19"/>
      <c r="C1265" s="19"/>
      <c r="D1265" s="19"/>
      <c r="E1265" s="32"/>
      <c r="F1265" s="19"/>
      <c r="G1265" s="26" t="str">
        <f aca="false">IF(A1265="","",COUNTIF(Pubs!$B$2:$B$3001,A1265))</f>
        <v/>
      </c>
      <c r="H1265" s="26" t="str">
        <f aca="false">IF(A1265="","",COUNTIF(Apparitions!$H$2:$H$5001,A1265))</f>
        <v/>
      </c>
      <c r="I1265" s="26" t="str">
        <f aca="false">IF(A1265="","",COUNTIFS(Apparitions!$H$2:$H$5001,A1265,Apparitions!$E$2:$E$5001,"○"))</f>
        <v/>
      </c>
      <c r="J1265" s="29" t="str">
        <f aca="false">IF(A1265="","",IFERROR(1/(1/_xlfn.MINIFS(Apparitions!$L$2:$L$5001,Apparitions!$H$2:$H$5001,A1265)),""))</f>
        <v/>
      </c>
    </row>
    <row r="1266" customFormat="false" ht="15" hidden="false" customHeight="false" outlineLevel="0" collapsed="false">
      <c r="A1266" s="19"/>
      <c r="B1266" s="19"/>
      <c r="C1266" s="19"/>
      <c r="D1266" s="19"/>
      <c r="E1266" s="32"/>
      <c r="F1266" s="19"/>
      <c r="G1266" s="26" t="str">
        <f aca="false">IF(A1266="","",COUNTIF(Pubs!$B$2:$B$3001,A1266))</f>
        <v/>
      </c>
      <c r="H1266" s="26" t="str">
        <f aca="false">IF(A1266="","",COUNTIF(Apparitions!$H$2:$H$5001,A1266))</f>
        <v/>
      </c>
      <c r="I1266" s="26" t="str">
        <f aca="false">IF(A1266="","",COUNTIFS(Apparitions!$H$2:$H$5001,A1266,Apparitions!$E$2:$E$5001,"○"))</f>
        <v/>
      </c>
      <c r="J1266" s="29" t="str">
        <f aca="false">IF(A1266="","",IFERROR(1/(1/_xlfn.MINIFS(Apparitions!$L$2:$L$5001,Apparitions!$H$2:$H$5001,A1266)),""))</f>
        <v/>
      </c>
    </row>
    <row r="1267" customFormat="false" ht="15" hidden="false" customHeight="false" outlineLevel="0" collapsed="false">
      <c r="A1267" s="19"/>
      <c r="B1267" s="19"/>
      <c r="C1267" s="19"/>
      <c r="D1267" s="19"/>
      <c r="E1267" s="32"/>
      <c r="F1267" s="19"/>
      <c r="G1267" s="26" t="str">
        <f aca="false">IF(A1267="","",COUNTIF(Pubs!$B$2:$B$3001,A1267))</f>
        <v/>
      </c>
      <c r="H1267" s="26" t="str">
        <f aca="false">IF(A1267="","",COUNTIF(Apparitions!$H$2:$H$5001,A1267))</f>
        <v/>
      </c>
      <c r="I1267" s="26" t="str">
        <f aca="false">IF(A1267="","",COUNTIFS(Apparitions!$H$2:$H$5001,A1267,Apparitions!$E$2:$E$5001,"○"))</f>
        <v/>
      </c>
      <c r="J1267" s="29" t="str">
        <f aca="false">IF(A1267="","",IFERROR(1/(1/_xlfn.MINIFS(Apparitions!$L$2:$L$5001,Apparitions!$H$2:$H$5001,A1267)),""))</f>
        <v/>
      </c>
    </row>
    <row r="1268" customFormat="false" ht="15" hidden="false" customHeight="false" outlineLevel="0" collapsed="false">
      <c r="A1268" s="19"/>
      <c r="B1268" s="19"/>
      <c r="C1268" s="19"/>
      <c r="D1268" s="19"/>
      <c r="E1268" s="32"/>
      <c r="F1268" s="19"/>
      <c r="G1268" s="26" t="str">
        <f aca="false">IF(A1268="","",COUNTIF(Pubs!$B$2:$B$3001,A1268))</f>
        <v/>
      </c>
      <c r="H1268" s="26" t="str">
        <f aca="false">IF(A1268="","",COUNTIF(Apparitions!$H$2:$H$5001,A1268))</f>
        <v/>
      </c>
      <c r="I1268" s="26" t="str">
        <f aca="false">IF(A1268="","",COUNTIFS(Apparitions!$H$2:$H$5001,A1268,Apparitions!$E$2:$E$5001,"○"))</f>
        <v/>
      </c>
      <c r="J1268" s="29" t="str">
        <f aca="false">IF(A1268="","",IFERROR(1/(1/_xlfn.MINIFS(Apparitions!$L$2:$L$5001,Apparitions!$H$2:$H$5001,A1268)),""))</f>
        <v/>
      </c>
    </row>
    <row r="1269" customFormat="false" ht="15" hidden="false" customHeight="false" outlineLevel="0" collapsed="false">
      <c r="A1269" s="19"/>
      <c r="B1269" s="19"/>
      <c r="C1269" s="19"/>
      <c r="D1269" s="19"/>
      <c r="E1269" s="32"/>
      <c r="F1269" s="19"/>
      <c r="G1269" s="26" t="str">
        <f aca="false">IF(A1269="","",COUNTIF(Pubs!$B$2:$B$3001,A1269))</f>
        <v/>
      </c>
      <c r="H1269" s="26" t="str">
        <f aca="false">IF(A1269="","",COUNTIF(Apparitions!$H$2:$H$5001,A1269))</f>
        <v/>
      </c>
      <c r="I1269" s="26" t="str">
        <f aca="false">IF(A1269="","",COUNTIFS(Apparitions!$H$2:$H$5001,A1269,Apparitions!$E$2:$E$5001,"○"))</f>
        <v/>
      </c>
      <c r="J1269" s="29" t="str">
        <f aca="false">IF(A1269="","",IFERROR(1/(1/_xlfn.MINIFS(Apparitions!$L$2:$L$5001,Apparitions!$H$2:$H$5001,A1269)),""))</f>
        <v/>
      </c>
    </row>
    <row r="1270" customFormat="false" ht="15" hidden="false" customHeight="false" outlineLevel="0" collapsed="false">
      <c r="A1270" s="19"/>
      <c r="B1270" s="19"/>
      <c r="C1270" s="19"/>
      <c r="D1270" s="19"/>
      <c r="E1270" s="32"/>
      <c r="F1270" s="19"/>
      <c r="G1270" s="26" t="str">
        <f aca="false">IF(A1270="","",COUNTIF(Pubs!$B$2:$B$3001,A1270))</f>
        <v/>
      </c>
      <c r="H1270" s="26" t="str">
        <f aca="false">IF(A1270="","",COUNTIF(Apparitions!$H$2:$H$5001,A1270))</f>
        <v/>
      </c>
      <c r="I1270" s="26" t="str">
        <f aca="false">IF(A1270="","",COUNTIFS(Apparitions!$H$2:$H$5001,A1270,Apparitions!$E$2:$E$5001,"○"))</f>
        <v/>
      </c>
      <c r="J1270" s="29" t="str">
        <f aca="false">IF(A1270="","",IFERROR(1/(1/_xlfn.MINIFS(Apparitions!$L$2:$L$5001,Apparitions!$H$2:$H$5001,A1270)),""))</f>
        <v/>
      </c>
    </row>
    <row r="1271" customFormat="false" ht="15" hidden="false" customHeight="false" outlineLevel="0" collapsed="false">
      <c r="A1271" s="19"/>
      <c r="B1271" s="19"/>
      <c r="C1271" s="19"/>
      <c r="D1271" s="19"/>
      <c r="E1271" s="32"/>
      <c r="F1271" s="19"/>
      <c r="G1271" s="26" t="str">
        <f aca="false">IF(A1271="","",COUNTIF(Pubs!$B$2:$B$3001,A1271))</f>
        <v/>
      </c>
      <c r="H1271" s="26" t="str">
        <f aca="false">IF(A1271="","",COUNTIF(Apparitions!$H$2:$H$5001,A1271))</f>
        <v/>
      </c>
      <c r="I1271" s="26" t="str">
        <f aca="false">IF(A1271="","",COUNTIFS(Apparitions!$H$2:$H$5001,A1271,Apparitions!$E$2:$E$5001,"○"))</f>
        <v/>
      </c>
      <c r="J1271" s="29" t="str">
        <f aca="false">IF(A1271="","",IFERROR(1/(1/_xlfn.MINIFS(Apparitions!$L$2:$L$5001,Apparitions!$H$2:$H$5001,A1271)),""))</f>
        <v/>
      </c>
    </row>
    <row r="1272" customFormat="false" ht="15" hidden="false" customHeight="false" outlineLevel="0" collapsed="false">
      <c r="A1272" s="19"/>
      <c r="B1272" s="19"/>
      <c r="C1272" s="19"/>
      <c r="D1272" s="19"/>
      <c r="E1272" s="32"/>
      <c r="F1272" s="19"/>
      <c r="G1272" s="26" t="str">
        <f aca="false">IF(A1272="","",COUNTIF(Pubs!$B$2:$B$3001,A1272))</f>
        <v/>
      </c>
      <c r="H1272" s="26" t="str">
        <f aca="false">IF(A1272="","",COUNTIF(Apparitions!$H$2:$H$5001,A1272))</f>
        <v/>
      </c>
      <c r="I1272" s="26" t="str">
        <f aca="false">IF(A1272="","",COUNTIFS(Apparitions!$H$2:$H$5001,A1272,Apparitions!$E$2:$E$5001,"○"))</f>
        <v/>
      </c>
      <c r="J1272" s="29" t="str">
        <f aca="false">IF(A1272="","",IFERROR(1/(1/_xlfn.MINIFS(Apparitions!$L$2:$L$5001,Apparitions!$H$2:$H$5001,A1272)),""))</f>
        <v/>
      </c>
    </row>
    <row r="1273" customFormat="false" ht="15" hidden="false" customHeight="false" outlineLevel="0" collapsed="false">
      <c r="A1273" s="19"/>
      <c r="B1273" s="19"/>
      <c r="C1273" s="19"/>
      <c r="D1273" s="19"/>
      <c r="E1273" s="32"/>
      <c r="F1273" s="19"/>
      <c r="G1273" s="26" t="str">
        <f aca="false">IF(A1273="","",COUNTIF(Pubs!$B$2:$B$3001,A1273))</f>
        <v/>
      </c>
      <c r="H1273" s="26" t="str">
        <f aca="false">IF(A1273="","",COUNTIF(Apparitions!$H$2:$H$5001,A1273))</f>
        <v/>
      </c>
      <c r="I1273" s="26" t="str">
        <f aca="false">IF(A1273="","",COUNTIFS(Apparitions!$H$2:$H$5001,A1273,Apparitions!$E$2:$E$5001,"○"))</f>
        <v/>
      </c>
      <c r="J1273" s="29" t="str">
        <f aca="false">IF(A1273="","",IFERROR(1/(1/_xlfn.MINIFS(Apparitions!$L$2:$L$5001,Apparitions!$H$2:$H$5001,A1273)),""))</f>
        <v/>
      </c>
    </row>
    <row r="1274" customFormat="false" ht="15" hidden="false" customHeight="false" outlineLevel="0" collapsed="false">
      <c r="A1274" s="19"/>
      <c r="B1274" s="19"/>
      <c r="C1274" s="19"/>
      <c r="D1274" s="19"/>
      <c r="E1274" s="32"/>
      <c r="F1274" s="19"/>
      <c r="G1274" s="26" t="str">
        <f aca="false">IF(A1274="","",COUNTIF(Pubs!$B$2:$B$3001,A1274))</f>
        <v/>
      </c>
      <c r="H1274" s="26" t="str">
        <f aca="false">IF(A1274="","",COUNTIF(Apparitions!$H$2:$H$5001,A1274))</f>
        <v/>
      </c>
      <c r="I1274" s="26" t="str">
        <f aca="false">IF(A1274="","",COUNTIFS(Apparitions!$H$2:$H$5001,A1274,Apparitions!$E$2:$E$5001,"○"))</f>
        <v/>
      </c>
      <c r="J1274" s="29" t="str">
        <f aca="false">IF(A1274="","",IFERROR(1/(1/_xlfn.MINIFS(Apparitions!$L$2:$L$5001,Apparitions!$H$2:$H$5001,A1274)),""))</f>
        <v/>
      </c>
    </row>
    <row r="1275" customFormat="false" ht="15" hidden="false" customHeight="false" outlineLevel="0" collapsed="false">
      <c r="A1275" s="19"/>
      <c r="B1275" s="19"/>
      <c r="C1275" s="19"/>
      <c r="D1275" s="19"/>
      <c r="E1275" s="32"/>
      <c r="F1275" s="19"/>
      <c r="G1275" s="26" t="str">
        <f aca="false">IF(A1275="","",COUNTIF(Pubs!$B$2:$B$3001,A1275))</f>
        <v/>
      </c>
      <c r="H1275" s="26" t="str">
        <f aca="false">IF(A1275="","",COUNTIF(Apparitions!$H$2:$H$5001,A1275))</f>
        <v/>
      </c>
      <c r="I1275" s="26" t="str">
        <f aca="false">IF(A1275="","",COUNTIFS(Apparitions!$H$2:$H$5001,A1275,Apparitions!$E$2:$E$5001,"○"))</f>
        <v/>
      </c>
      <c r="J1275" s="29" t="str">
        <f aca="false">IF(A1275="","",IFERROR(1/(1/_xlfn.MINIFS(Apparitions!$L$2:$L$5001,Apparitions!$H$2:$H$5001,A1275)),""))</f>
        <v/>
      </c>
    </row>
    <row r="1276" customFormat="false" ht="15" hidden="false" customHeight="false" outlineLevel="0" collapsed="false">
      <c r="A1276" s="19"/>
      <c r="B1276" s="19"/>
      <c r="C1276" s="19"/>
      <c r="D1276" s="19"/>
      <c r="E1276" s="32"/>
      <c r="F1276" s="19"/>
      <c r="G1276" s="26" t="str">
        <f aca="false">IF(A1276="","",COUNTIF(Pubs!$B$2:$B$3001,A1276))</f>
        <v/>
      </c>
      <c r="H1276" s="26" t="str">
        <f aca="false">IF(A1276="","",COUNTIF(Apparitions!$H$2:$H$5001,A1276))</f>
        <v/>
      </c>
      <c r="I1276" s="26" t="str">
        <f aca="false">IF(A1276="","",COUNTIFS(Apparitions!$H$2:$H$5001,A1276,Apparitions!$E$2:$E$5001,"○"))</f>
        <v/>
      </c>
      <c r="J1276" s="29" t="str">
        <f aca="false">IF(A1276="","",IFERROR(1/(1/_xlfn.MINIFS(Apparitions!$L$2:$L$5001,Apparitions!$H$2:$H$5001,A1276)),""))</f>
        <v/>
      </c>
    </row>
    <row r="1277" customFormat="false" ht="15" hidden="false" customHeight="false" outlineLevel="0" collapsed="false">
      <c r="A1277" s="19"/>
      <c r="B1277" s="19"/>
      <c r="C1277" s="19"/>
      <c r="D1277" s="19"/>
      <c r="E1277" s="32"/>
      <c r="F1277" s="19"/>
      <c r="G1277" s="26" t="str">
        <f aca="false">IF(A1277="","",COUNTIF(Pubs!$B$2:$B$3001,A1277))</f>
        <v/>
      </c>
      <c r="H1277" s="26" t="str">
        <f aca="false">IF(A1277="","",COUNTIF(Apparitions!$H$2:$H$5001,A1277))</f>
        <v/>
      </c>
      <c r="I1277" s="26" t="str">
        <f aca="false">IF(A1277="","",COUNTIFS(Apparitions!$H$2:$H$5001,A1277,Apparitions!$E$2:$E$5001,"○"))</f>
        <v/>
      </c>
      <c r="J1277" s="29" t="str">
        <f aca="false">IF(A1277="","",IFERROR(1/(1/_xlfn.MINIFS(Apparitions!$L$2:$L$5001,Apparitions!$H$2:$H$5001,A1277)),""))</f>
        <v/>
      </c>
    </row>
    <row r="1278" customFormat="false" ht="15" hidden="false" customHeight="false" outlineLevel="0" collapsed="false">
      <c r="A1278" s="19"/>
      <c r="B1278" s="19"/>
      <c r="C1278" s="19"/>
      <c r="D1278" s="19"/>
      <c r="E1278" s="32"/>
      <c r="F1278" s="19"/>
      <c r="G1278" s="26" t="str">
        <f aca="false">IF(A1278="","",COUNTIF(Pubs!$B$2:$B$3001,A1278))</f>
        <v/>
      </c>
      <c r="H1278" s="26" t="str">
        <f aca="false">IF(A1278="","",COUNTIF(Apparitions!$H$2:$H$5001,A1278))</f>
        <v/>
      </c>
      <c r="I1278" s="26" t="str">
        <f aca="false">IF(A1278="","",COUNTIFS(Apparitions!$H$2:$H$5001,A1278,Apparitions!$E$2:$E$5001,"○"))</f>
        <v/>
      </c>
      <c r="J1278" s="29" t="str">
        <f aca="false">IF(A1278="","",IFERROR(1/(1/_xlfn.MINIFS(Apparitions!$L$2:$L$5001,Apparitions!$H$2:$H$5001,A1278)),""))</f>
        <v/>
      </c>
    </row>
    <row r="1279" customFormat="false" ht="15" hidden="false" customHeight="false" outlineLevel="0" collapsed="false">
      <c r="A1279" s="19"/>
      <c r="B1279" s="19"/>
      <c r="C1279" s="19"/>
      <c r="D1279" s="19"/>
      <c r="E1279" s="32"/>
      <c r="F1279" s="19"/>
      <c r="G1279" s="26" t="str">
        <f aca="false">IF(A1279="","",COUNTIF(Pubs!$B$2:$B$3001,A1279))</f>
        <v/>
      </c>
      <c r="H1279" s="26" t="str">
        <f aca="false">IF(A1279="","",COUNTIF(Apparitions!$H$2:$H$5001,A1279))</f>
        <v/>
      </c>
      <c r="I1279" s="26" t="str">
        <f aca="false">IF(A1279="","",COUNTIFS(Apparitions!$H$2:$H$5001,A1279,Apparitions!$E$2:$E$5001,"○"))</f>
        <v/>
      </c>
      <c r="J1279" s="29" t="str">
        <f aca="false">IF(A1279="","",IFERROR(1/(1/_xlfn.MINIFS(Apparitions!$L$2:$L$5001,Apparitions!$H$2:$H$5001,A1279)),""))</f>
        <v/>
      </c>
    </row>
    <row r="1280" customFormat="false" ht="15" hidden="false" customHeight="false" outlineLevel="0" collapsed="false">
      <c r="A1280" s="19"/>
      <c r="B1280" s="19"/>
      <c r="C1280" s="19"/>
      <c r="D1280" s="19"/>
      <c r="E1280" s="32"/>
      <c r="F1280" s="19"/>
      <c r="G1280" s="26" t="str">
        <f aca="false">IF(A1280="","",COUNTIF(Pubs!$B$2:$B$3001,A1280))</f>
        <v/>
      </c>
      <c r="H1280" s="26" t="str">
        <f aca="false">IF(A1280="","",COUNTIF(Apparitions!$H$2:$H$5001,A1280))</f>
        <v/>
      </c>
      <c r="I1280" s="26" t="str">
        <f aca="false">IF(A1280="","",COUNTIFS(Apparitions!$H$2:$H$5001,A1280,Apparitions!$E$2:$E$5001,"○"))</f>
        <v/>
      </c>
      <c r="J1280" s="29" t="str">
        <f aca="false">IF(A1280="","",IFERROR(1/(1/_xlfn.MINIFS(Apparitions!$L$2:$L$5001,Apparitions!$H$2:$H$5001,A1280)),""))</f>
        <v/>
      </c>
    </row>
    <row r="1281" customFormat="false" ht="15" hidden="false" customHeight="false" outlineLevel="0" collapsed="false">
      <c r="A1281" s="19"/>
      <c r="B1281" s="19"/>
      <c r="C1281" s="19"/>
      <c r="D1281" s="19"/>
      <c r="E1281" s="32"/>
      <c r="F1281" s="19"/>
      <c r="G1281" s="26" t="str">
        <f aca="false">IF(A1281="","",COUNTIF(Pubs!$B$2:$B$3001,A1281))</f>
        <v/>
      </c>
      <c r="H1281" s="26" t="str">
        <f aca="false">IF(A1281="","",COUNTIF(Apparitions!$H$2:$H$5001,A1281))</f>
        <v/>
      </c>
      <c r="I1281" s="26" t="str">
        <f aca="false">IF(A1281="","",COUNTIFS(Apparitions!$H$2:$H$5001,A1281,Apparitions!$E$2:$E$5001,"○"))</f>
        <v/>
      </c>
      <c r="J1281" s="29" t="str">
        <f aca="false">IF(A1281="","",IFERROR(1/(1/_xlfn.MINIFS(Apparitions!$L$2:$L$5001,Apparitions!$H$2:$H$5001,A1281)),""))</f>
        <v/>
      </c>
    </row>
    <row r="1282" customFormat="false" ht="15" hidden="false" customHeight="false" outlineLevel="0" collapsed="false">
      <c r="A1282" s="19"/>
      <c r="B1282" s="19"/>
      <c r="C1282" s="19"/>
      <c r="D1282" s="19"/>
      <c r="E1282" s="32"/>
      <c r="F1282" s="19"/>
      <c r="G1282" s="26" t="str">
        <f aca="false">IF(A1282="","",COUNTIF(Pubs!$B$2:$B$3001,A1282))</f>
        <v/>
      </c>
      <c r="H1282" s="26" t="str">
        <f aca="false">IF(A1282="","",COUNTIF(Apparitions!$H$2:$H$5001,A1282))</f>
        <v/>
      </c>
      <c r="I1282" s="26" t="str">
        <f aca="false">IF(A1282="","",COUNTIFS(Apparitions!$H$2:$H$5001,A1282,Apparitions!$E$2:$E$5001,"○"))</f>
        <v/>
      </c>
      <c r="J1282" s="29" t="str">
        <f aca="false">IF(A1282="","",IFERROR(1/(1/_xlfn.MINIFS(Apparitions!$L$2:$L$5001,Apparitions!$H$2:$H$5001,A1282)),""))</f>
        <v/>
      </c>
    </row>
    <row r="1283" customFormat="false" ht="15" hidden="false" customHeight="false" outlineLevel="0" collapsed="false">
      <c r="A1283" s="19"/>
      <c r="B1283" s="19"/>
      <c r="C1283" s="19"/>
      <c r="D1283" s="19"/>
      <c r="E1283" s="32"/>
      <c r="F1283" s="19"/>
      <c r="G1283" s="26" t="str">
        <f aca="false">IF(A1283="","",COUNTIF(Pubs!$B$2:$B$3001,A1283))</f>
        <v/>
      </c>
      <c r="H1283" s="26" t="str">
        <f aca="false">IF(A1283="","",COUNTIF(Apparitions!$H$2:$H$5001,A1283))</f>
        <v/>
      </c>
      <c r="I1283" s="26" t="str">
        <f aca="false">IF(A1283="","",COUNTIFS(Apparitions!$H$2:$H$5001,A1283,Apparitions!$E$2:$E$5001,"○"))</f>
        <v/>
      </c>
      <c r="J1283" s="29" t="str">
        <f aca="false">IF(A1283="","",IFERROR(1/(1/_xlfn.MINIFS(Apparitions!$L$2:$L$5001,Apparitions!$H$2:$H$5001,A1283)),""))</f>
        <v/>
      </c>
    </row>
    <row r="1284" customFormat="false" ht="15" hidden="false" customHeight="false" outlineLevel="0" collapsed="false">
      <c r="A1284" s="19"/>
      <c r="B1284" s="19"/>
      <c r="C1284" s="19"/>
      <c r="D1284" s="19"/>
      <c r="E1284" s="32"/>
      <c r="F1284" s="19"/>
      <c r="G1284" s="26" t="str">
        <f aca="false">IF(A1284="","",COUNTIF(Pubs!$B$2:$B$3001,A1284))</f>
        <v/>
      </c>
      <c r="H1284" s="26" t="str">
        <f aca="false">IF(A1284="","",COUNTIF(Apparitions!$H$2:$H$5001,A1284))</f>
        <v/>
      </c>
      <c r="I1284" s="26" t="str">
        <f aca="false">IF(A1284="","",COUNTIFS(Apparitions!$H$2:$H$5001,A1284,Apparitions!$E$2:$E$5001,"○"))</f>
        <v/>
      </c>
      <c r="J1284" s="29" t="str">
        <f aca="false">IF(A1284="","",IFERROR(1/(1/_xlfn.MINIFS(Apparitions!$L$2:$L$5001,Apparitions!$H$2:$H$5001,A1284)),""))</f>
        <v/>
      </c>
    </row>
    <row r="1285" customFormat="false" ht="15" hidden="false" customHeight="false" outlineLevel="0" collapsed="false">
      <c r="A1285" s="19"/>
      <c r="B1285" s="19"/>
      <c r="C1285" s="19"/>
      <c r="D1285" s="19"/>
      <c r="E1285" s="32"/>
      <c r="F1285" s="19"/>
      <c r="G1285" s="26" t="str">
        <f aca="false">IF(A1285="","",COUNTIF(Pubs!$B$2:$B$3001,A1285))</f>
        <v/>
      </c>
      <c r="H1285" s="26" t="str">
        <f aca="false">IF(A1285="","",COUNTIF(Apparitions!$H$2:$H$5001,A1285))</f>
        <v/>
      </c>
      <c r="I1285" s="26" t="str">
        <f aca="false">IF(A1285="","",COUNTIFS(Apparitions!$H$2:$H$5001,A1285,Apparitions!$E$2:$E$5001,"○"))</f>
        <v/>
      </c>
      <c r="J1285" s="29" t="str">
        <f aca="false">IF(A1285="","",IFERROR(1/(1/_xlfn.MINIFS(Apparitions!$L$2:$L$5001,Apparitions!$H$2:$H$5001,A1285)),""))</f>
        <v/>
      </c>
    </row>
    <row r="1286" customFormat="false" ht="15" hidden="false" customHeight="false" outlineLevel="0" collapsed="false">
      <c r="A1286" s="19"/>
      <c r="B1286" s="19"/>
      <c r="C1286" s="19"/>
      <c r="D1286" s="19"/>
      <c r="E1286" s="32"/>
      <c r="F1286" s="19"/>
      <c r="G1286" s="26" t="str">
        <f aca="false">IF(A1286="","",COUNTIF(Pubs!$B$2:$B$3001,A1286))</f>
        <v/>
      </c>
      <c r="H1286" s="26" t="str">
        <f aca="false">IF(A1286="","",COUNTIF(Apparitions!$H$2:$H$5001,A1286))</f>
        <v/>
      </c>
      <c r="I1286" s="26" t="str">
        <f aca="false">IF(A1286="","",COUNTIFS(Apparitions!$H$2:$H$5001,A1286,Apparitions!$E$2:$E$5001,"○"))</f>
        <v/>
      </c>
      <c r="J1286" s="29" t="str">
        <f aca="false">IF(A1286="","",IFERROR(1/(1/_xlfn.MINIFS(Apparitions!$L$2:$L$5001,Apparitions!$H$2:$H$5001,A1286)),""))</f>
        <v/>
      </c>
    </row>
    <row r="1287" customFormat="false" ht="15" hidden="false" customHeight="false" outlineLevel="0" collapsed="false">
      <c r="A1287" s="19"/>
      <c r="B1287" s="19"/>
      <c r="C1287" s="19"/>
      <c r="D1287" s="19"/>
      <c r="E1287" s="32"/>
      <c r="F1287" s="19"/>
      <c r="G1287" s="26" t="str">
        <f aca="false">IF(A1287="","",COUNTIF(Pubs!$B$2:$B$3001,A1287))</f>
        <v/>
      </c>
      <c r="H1287" s="26" t="str">
        <f aca="false">IF(A1287="","",COUNTIF(Apparitions!$H$2:$H$5001,A1287))</f>
        <v/>
      </c>
      <c r="I1287" s="26" t="str">
        <f aca="false">IF(A1287="","",COUNTIFS(Apparitions!$H$2:$H$5001,A1287,Apparitions!$E$2:$E$5001,"○"))</f>
        <v/>
      </c>
      <c r="J1287" s="29" t="str">
        <f aca="false">IF(A1287="","",IFERROR(1/(1/_xlfn.MINIFS(Apparitions!$L$2:$L$5001,Apparitions!$H$2:$H$5001,A1287)),""))</f>
        <v/>
      </c>
    </row>
    <row r="1288" customFormat="false" ht="15" hidden="false" customHeight="false" outlineLevel="0" collapsed="false">
      <c r="A1288" s="19"/>
      <c r="B1288" s="19"/>
      <c r="C1288" s="19"/>
      <c r="D1288" s="19"/>
      <c r="E1288" s="32"/>
      <c r="F1288" s="19"/>
      <c r="G1288" s="26" t="str">
        <f aca="false">IF(A1288="","",COUNTIF(Pubs!$B$2:$B$3001,A1288))</f>
        <v/>
      </c>
      <c r="H1288" s="26" t="str">
        <f aca="false">IF(A1288="","",COUNTIF(Apparitions!$H$2:$H$5001,A1288))</f>
        <v/>
      </c>
      <c r="I1288" s="26" t="str">
        <f aca="false">IF(A1288="","",COUNTIFS(Apparitions!$H$2:$H$5001,A1288,Apparitions!$E$2:$E$5001,"○"))</f>
        <v/>
      </c>
      <c r="J1288" s="29" t="str">
        <f aca="false">IF(A1288="","",IFERROR(1/(1/_xlfn.MINIFS(Apparitions!$L$2:$L$5001,Apparitions!$H$2:$H$5001,A1288)),""))</f>
        <v/>
      </c>
    </row>
    <row r="1289" customFormat="false" ht="15" hidden="false" customHeight="false" outlineLevel="0" collapsed="false">
      <c r="A1289" s="19"/>
      <c r="B1289" s="19"/>
      <c r="C1289" s="19"/>
      <c r="D1289" s="19"/>
      <c r="E1289" s="32"/>
      <c r="F1289" s="19"/>
      <c r="G1289" s="26" t="str">
        <f aca="false">IF(A1289="","",COUNTIF(Pubs!$B$2:$B$3001,A1289))</f>
        <v/>
      </c>
      <c r="H1289" s="26" t="str">
        <f aca="false">IF(A1289="","",COUNTIF(Apparitions!$H$2:$H$5001,A1289))</f>
        <v/>
      </c>
      <c r="I1289" s="26" t="str">
        <f aca="false">IF(A1289="","",COUNTIFS(Apparitions!$H$2:$H$5001,A1289,Apparitions!$E$2:$E$5001,"○"))</f>
        <v/>
      </c>
      <c r="J1289" s="29" t="str">
        <f aca="false">IF(A1289="","",IFERROR(1/(1/_xlfn.MINIFS(Apparitions!$L$2:$L$5001,Apparitions!$H$2:$H$5001,A1289)),""))</f>
        <v/>
      </c>
    </row>
    <row r="1290" customFormat="false" ht="15" hidden="false" customHeight="false" outlineLevel="0" collapsed="false">
      <c r="A1290" s="19"/>
      <c r="B1290" s="19"/>
      <c r="C1290" s="19"/>
      <c r="D1290" s="19"/>
      <c r="E1290" s="32"/>
      <c r="F1290" s="19"/>
      <c r="G1290" s="26" t="str">
        <f aca="false">IF(A1290="","",COUNTIF(Pubs!$B$2:$B$3001,A1290))</f>
        <v/>
      </c>
      <c r="H1290" s="26" t="str">
        <f aca="false">IF(A1290="","",COUNTIF(Apparitions!$H$2:$H$5001,A1290))</f>
        <v/>
      </c>
      <c r="I1290" s="26" t="str">
        <f aca="false">IF(A1290="","",COUNTIFS(Apparitions!$H$2:$H$5001,A1290,Apparitions!$E$2:$E$5001,"○"))</f>
        <v/>
      </c>
      <c r="J1290" s="29" t="str">
        <f aca="false">IF(A1290="","",IFERROR(1/(1/_xlfn.MINIFS(Apparitions!$L$2:$L$5001,Apparitions!$H$2:$H$5001,A1290)),""))</f>
        <v/>
      </c>
    </row>
    <row r="1291" customFormat="false" ht="15" hidden="false" customHeight="false" outlineLevel="0" collapsed="false">
      <c r="A1291" s="19"/>
      <c r="B1291" s="19"/>
      <c r="C1291" s="19"/>
      <c r="D1291" s="19"/>
      <c r="E1291" s="32"/>
      <c r="F1291" s="19"/>
      <c r="G1291" s="26" t="str">
        <f aca="false">IF(A1291="","",COUNTIF(Pubs!$B$2:$B$3001,A1291))</f>
        <v/>
      </c>
      <c r="H1291" s="26" t="str">
        <f aca="false">IF(A1291="","",COUNTIF(Apparitions!$H$2:$H$5001,A1291))</f>
        <v/>
      </c>
      <c r="I1291" s="26" t="str">
        <f aca="false">IF(A1291="","",COUNTIFS(Apparitions!$H$2:$H$5001,A1291,Apparitions!$E$2:$E$5001,"○"))</f>
        <v/>
      </c>
      <c r="J1291" s="29" t="str">
        <f aca="false">IF(A1291="","",IFERROR(1/(1/_xlfn.MINIFS(Apparitions!$L$2:$L$5001,Apparitions!$H$2:$H$5001,A1291)),""))</f>
        <v/>
      </c>
    </row>
    <row r="1292" customFormat="false" ht="15" hidden="false" customHeight="false" outlineLevel="0" collapsed="false">
      <c r="A1292" s="19"/>
      <c r="B1292" s="19"/>
      <c r="C1292" s="19"/>
      <c r="D1292" s="19"/>
      <c r="E1292" s="32"/>
      <c r="F1292" s="19"/>
      <c r="G1292" s="26" t="str">
        <f aca="false">IF(A1292="","",COUNTIF(Pubs!$B$2:$B$3001,A1292))</f>
        <v/>
      </c>
      <c r="H1292" s="26" t="str">
        <f aca="false">IF(A1292="","",COUNTIF(Apparitions!$H$2:$H$5001,A1292))</f>
        <v/>
      </c>
      <c r="I1292" s="26" t="str">
        <f aca="false">IF(A1292="","",COUNTIFS(Apparitions!$H$2:$H$5001,A1292,Apparitions!$E$2:$E$5001,"○"))</f>
        <v/>
      </c>
      <c r="J1292" s="29" t="str">
        <f aca="false">IF(A1292="","",IFERROR(1/(1/_xlfn.MINIFS(Apparitions!$L$2:$L$5001,Apparitions!$H$2:$H$5001,A1292)),""))</f>
        <v/>
      </c>
    </row>
    <row r="1293" customFormat="false" ht="15" hidden="false" customHeight="false" outlineLevel="0" collapsed="false">
      <c r="A1293" s="19"/>
      <c r="B1293" s="19"/>
      <c r="C1293" s="19"/>
      <c r="D1293" s="19"/>
      <c r="E1293" s="32"/>
      <c r="F1293" s="19"/>
      <c r="G1293" s="26" t="str">
        <f aca="false">IF(A1293="","",COUNTIF(Pubs!$B$2:$B$3001,A1293))</f>
        <v/>
      </c>
      <c r="H1293" s="26" t="str">
        <f aca="false">IF(A1293="","",COUNTIF(Apparitions!$H$2:$H$5001,A1293))</f>
        <v/>
      </c>
      <c r="I1293" s="26" t="str">
        <f aca="false">IF(A1293="","",COUNTIFS(Apparitions!$H$2:$H$5001,A1293,Apparitions!$E$2:$E$5001,"○"))</f>
        <v/>
      </c>
      <c r="J1293" s="29" t="str">
        <f aca="false">IF(A1293="","",IFERROR(1/(1/_xlfn.MINIFS(Apparitions!$L$2:$L$5001,Apparitions!$H$2:$H$5001,A1293)),""))</f>
        <v/>
      </c>
    </row>
    <row r="1294" customFormat="false" ht="15" hidden="false" customHeight="false" outlineLevel="0" collapsed="false">
      <c r="A1294" s="19"/>
      <c r="B1294" s="19"/>
      <c r="C1294" s="19"/>
      <c r="D1294" s="19"/>
      <c r="E1294" s="32"/>
      <c r="F1294" s="19"/>
      <c r="G1294" s="26" t="str">
        <f aca="false">IF(A1294="","",COUNTIF(Pubs!$B$2:$B$3001,A1294))</f>
        <v/>
      </c>
      <c r="H1294" s="26" t="str">
        <f aca="false">IF(A1294="","",COUNTIF(Apparitions!$H$2:$H$5001,A1294))</f>
        <v/>
      </c>
      <c r="I1294" s="26" t="str">
        <f aca="false">IF(A1294="","",COUNTIFS(Apparitions!$H$2:$H$5001,A1294,Apparitions!$E$2:$E$5001,"○"))</f>
        <v/>
      </c>
      <c r="J1294" s="29" t="str">
        <f aca="false">IF(A1294="","",IFERROR(1/(1/_xlfn.MINIFS(Apparitions!$L$2:$L$5001,Apparitions!$H$2:$H$5001,A1294)),""))</f>
        <v/>
      </c>
    </row>
    <row r="1295" customFormat="false" ht="15" hidden="false" customHeight="false" outlineLevel="0" collapsed="false">
      <c r="A1295" s="19"/>
      <c r="B1295" s="19"/>
      <c r="C1295" s="19"/>
      <c r="D1295" s="19"/>
      <c r="E1295" s="32"/>
      <c r="F1295" s="19"/>
      <c r="G1295" s="26" t="str">
        <f aca="false">IF(A1295="","",COUNTIF(Pubs!$B$2:$B$3001,A1295))</f>
        <v/>
      </c>
      <c r="H1295" s="26" t="str">
        <f aca="false">IF(A1295="","",COUNTIF(Apparitions!$H$2:$H$5001,A1295))</f>
        <v/>
      </c>
      <c r="I1295" s="26" t="str">
        <f aca="false">IF(A1295="","",COUNTIFS(Apparitions!$H$2:$H$5001,A1295,Apparitions!$E$2:$E$5001,"○"))</f>
        <v/>
      </c>
      <c r="J1295" s="29" t="str">
        <f aca="false">IF(A1295="","",IFERROR(1/(1/_xlfn.MINIFS(Apparitions!$L$2:$L$5001,Apparitions!$H$2:$H$5001,A1295)),""))</f>
        <v/>
      </c>
    </row>
    <row r="1296" customFormat="false" ht="15" hidden="false" customHeight="false" outlineLevel="0" collapsed="false">
      <c r="A1296" s="19"/>
      <c r="B1296" s="19"/>
      <c r="C1296" s="19"/>
      <c r="D1296" s="19"/>
      <c r="E1296" s="32"/>
      <c r="F1296" s="19"/>
      <c r="G1296" s="26" t="str">
        <f aca="false">IF(A1296="","",COUNTIF(Pubs!$B$2:$B$3001,A1296))</f>
        <v/>
      </c>
      <c r="H1296" s="26" t="str">
        <f aca="false">IF(A1296="","",COUNTIF(Apparitions!$H$2:$H$5001,A1296))</f>
        <v/>
      </c>
      <c r="I1296" s="26" t="str">
        <f aca="false">IF(A1296="","",COUNTIFS(Apparitions!$H$2:$H$5001,A1296,Apparitions!$E$2:$E$5001,"○"))</f>
        <v/>
      </c>
      <c r="J1296" s="29" t="str">
        <f aca="false">IF(A1296="","",IFERROR(1/(1/_xlfn.MINIFS(Apparitions!$L$2:$L$5001,Apparitions!$H$2:$H$5001,A1296)),""))</f>
        <v/>
      </c>
    </row>
    <row r="1297" customFormat="false" ht="15" hidden="false" customHeight="false" outlineLevel="0" collapsed="false">
      <c r="A1297" s="19"/>
      <c r="B1297" s="19"/>
      <c r="C1297" s="19"/>
      <c r="D1297" s="19"/>
      <c r="E1297" s="32"/>
      <c r="F1297" s="19"/>
      <c r="G1297" s="26" t="str">
        <f aca="false">IF(A1297="","",COUNTIF(Pubs!$B$2:$B$3001,A1297))</f>
        <v/>
      </c>
      <c r="H1297" s="26" t="str">
        <f aca="false">IF(A1297="","",COUNTIF(Apparitions!$H$2:$H$5001,A1297))</f>
        <v/>
      </c>
      <c r="I1297" s="26" t="str">
        <f aca="false">IF(A1297="","",COUNTIFS(Apparitions!$H$2:$H$5001,A1297,Apparitions!$E$2:$E$5001,"○"))</f>
        <v/>
      </c>
      <c r="J1297" s="29" t="str">
        <f aca="false">IF(A1297="","",IFERROR(1/(1/_xlfn.MINIFS(Apparitions!$L$2:$L$5001,Apparitions!$H$2:$H$5001,A1297)),""))</f>
        <v/>
      </c>
    </row>
    <row r="1298" customFormat="false" ht="15" hidden="false" customHeight="false" outlineLevel="0" collapsed="false">
      <c r="A1298" s="19"/>
      <c r="B1298" s="19"/>
      <c r="C1298" s="19"/>
      <c r="D1298" s="19"/>
      <c r="E1298" s="32"/>
      <c r="F1298" s="19"/>
      <c r="G1298" s="26" t="str">
        <f aca="false">IF(A1298="","",COUNTIF(Pubs!$B$2:$B$3001,A1298))</f>
        <v/>
      </c>
      <c r="H1298" s="26" t="str">
        <f aca="false">IF(A1298="","",COUNTIF(Apparitions!$H$2:$H$5001,A1298))</f>
        <v/>
      </c>
      <c r="I1298" s="26" t="str">
        <f aca="false">IF(A1298="","",COUNTIFS(Apparitions!$H$2:$H$5001,A1298,Apparitions!$E$2:$E$5001,"○"))</f>
        <v/>
      </c>
      <c r="J1298" s="29" t="str">
        <f aca="false">IF(A1298="","",IFERROR(1/(1/_xlfn.MINIFS(Apparitions!$L$2:$L$5001,Apparitions!$H$2:$H$5001,A1298)),""))</f>
        <v/>
      </c>
    </row>
    <row r="1299" customFormat="false" ht="15" hidden="false" customHeight="false" outlineLevel="0" collapsed="false">
      <c r="A1299" s="19"/>
      <c r="B1299" s="19"/>
      <c r="C1299" s="19"/>
      <c r="D1299" s="19"/>
      <c r="E1299" s="32"/>
      <c r="F1299" s="19"/>
      <c r="G1299" s="26" t="str">
        <f aca="false">IF(A1299="","",COUNTIF(Pubs!$B$2:$B$3001,A1299))</f>
        <v/>
      </c>
      <c r="H1299" s="26" t="str">
        <f aca="false">IF(A1299="","",COUNTIF(Apparitions!$H$2:$H$5001,A1299))</f>
        <v/>
      </c>
      <c r="I1299" s="26" t="str">
        <f aca="false">IF(A1299="","",COUNTIFS(Apparitions!$H$2:$H$5001,A1299,Apparitions!$E$2:$E$5001,"○"))</f>
        <v/>
      </c>
      <c r="J1299" s="29" t="str">
        <f aca="false">IF(A1299="","",IFERROR(1/(1/_xlfn.MINIFS(Apparitions!$L$2:$L$5001,Apparitions!$H$2:$H$5001,A1299)),""))</f>
        <v/>
      </c>
    </row>
    <row r="1300" customFormat="false" ht="15" hidden="false" customHeight="false" outlineLevel="0" collapsed="false">
      <c r="A1300" s="19"/>
      <c r="B1300" s="19"/>
      <c r="C1300" s="19"/>
      <c r="D1300" s="19"/>
      <c r="E1300" s="32"/>
      <c r="F1300" s="19"/>
      <c r="G1300" s="26" t="str">
        <f aca="false">IF(A1300="","",COUNTIF(Pubs!$B$2:$B$3001,A1300))</f>
        <v/>
      </c>
      <c r="H1300" s="26" t="str">
        <f aca="false">IF(A1300="","",COUNTIF(Apparitions!$H$2:$H$5001,A1300))</f>
        <v/>
      </c>
      <c r="I1300" s="26" t="str">
        <f aca="false">IF(A1300="","",COUNTIFS(Apparitions!$H$2:$H$5001,A1300,Apparitions!$E$2:$E$5001,"○"))</f>
        <v/>
      </c>
      <c r="J1300" s="29" t="str">
        <f aca="false">IF(A1300="","",IFERROR(1/(1/_xlfn.MINIFS(Apparitions!$L$2:$L$5001,Apparitions!$H$2:$H$5001,A1300)),""))</f>
        <v/>
      </c>
    </row>
    <row r="1301" customFormat="false" ht="15" hidden="false" customHeight="false" outlineLevel="0" collapsed="false">
      <c r="A1301" s="19"/>
      <c r="B1301" s="19"/>
      <c r="C1301" s="19"/>
      <c r="D1301" s="19"/>
      <c r="E1301" s="32"/>
      <c r="F1301" s="19"/>
      <c r="G1301" s="26" t="str">
        <f aca="false">IF(A1301="","",COUNTIF(Pubs!$B$2:$B$3001,A1301))</f>
        <v/>
      </c>
      <c r="H1301" s="26" t="str">
        <f aca="false">IF(A1301="","",COUNTIF(Apparitions!$H$2:$H$5001,A1301))</f>
        <v/>
      </c>
      <c r="I1301" s="26" t="str">
        <f aca="false">IF(A1301="","",COUNTIFS(Apparitions!$H$2:$H$5001,A1301,Apparitions!$E$2:$E$5001,"○"))</f>
        <v/>
      </c>
      <c r="J1301" s="29" t="str">
        <f aca="false">IF(A1301="","",IFERROR(1/(1/_xlfn.MINIFS(Apparitions!$L$2:$L$5001,Apparitions!$H$2:$H$5001,A1301)),""))</f>
        <v/>
      </c>
    </row>
    <row r="1302" customFormat="false" ht="15" hidden="false" customHeight="false" outlineLevel="0" collapsed="false">
      <c r="A1302" s="19"/>
      <c r="B1302" s="19"/>
      <c r="C1302" s="19"/>
      <c r="D1302" s="19"/>
      <c r="E1302" s="32"/>
      <c r="F1302" s="19"/>
      <c r="G1302" s="26" t="str">
        <f aca="false">IF(A1302="","",COUNTIF(Pubs!$B$2:$B$3001,A1302))</f>
        <v/>
      </c>
      <c r="H1302" s="26" t="str">
        <f aca="false">IF(A1302="","",COUNTIF(Apparitions!$H$2:$H$5001,A1302))</f>
        <v/>
      </c>
      <c r="I1302" s="26" t="str">
        <f aca="false">IF(A1302="","",COUNTIFS(Apparitions!$H$2:$H$5001,A1302,Apparitions!$E$2:$E$5001,"○"))</f>
        <v/>
      </c>
      <c r="J1302" s="29" t="str">
        <f aca="false">IF(A1302="","",IFERROR(1/(1/_xlfn.MINIFS(Apparitions!$L$2:$L$5001,Apparitions!$H$2:$H$5001,A1302)),""))</f>
        <v/>
      </c>
    </row>
    <row r="1303" customFormat="false" ht="15" hidden="false" customHeight="false" outlineLevel="0" collapsed="false">
      <c r="A1303" s="19"/>
      <c r="B1303" s="19"/>
      <c r="C1303" s="19"/>
      <c r="D1303" s="19"/>
      <c r="E1303" s="32"/>
      <c r="F1303" s="19"/>
      <c r="G1303" s="26" t="str">
        <f aca="false">IF(A1303="","",COUNTIF(Pubs!$B$2:$B$3001,A1303))</f>
        <v/>
      </c>
      <c r="H1303" s="26" t="str">
        <f aca="false">IF(A1303="","",COUNTIF(Apparitions!$H$2:$H$5001,A1303))</f>
        <v/>
      </c>
      <c r="I1303" s="26" t="str">
        <f aca="false">IF(A1303="","",COUNTIFS(Apparitions!$H$2:$H$5001,A1303,Apparitions!$E$2:$E$5001,"○"))</f>
        <v/>
      </c>
      <c r="J1303" s="29" t="str">
        <f aca="false">IF(A1303="","",IFERROR(1/(1/_xlfn.MINIFS(Apparitions!$L$2:$L$5001,Apparitions!$H$2:$H$5001,A1303)),""))</f>
        <v/>
      </c>
    </row>
    <row r="1304" customFormat="false" ht="15" hidden="false" customHeight="false" outlineLevel="0" collapsed="false">
      <c r="A1304" s="19"/>
      <c r="B1304" s="19"/>
      <c r="C1304" s="19"/>
      <c r="D1304" s="19"/>
      <c r="E1304" s="32"/>
      <c r="F1304" s="19"/>
      <c r="G1304" s="26" t="str">
        <f aca="false">IF(A1304="","",COUNTIF(Pubs!$B$2:$B$3001,A1304))</f>
        <v/>
      </c>
      <c r="H1304" s="26" t="str">
        <f aca="false">IF(A1304="","",COUNTIF(Apparitions!$H$2:$H$5001,A1304))</f>
        <v/>
      </c>
      <c r="I1304" s="26" t="str">
        <f aca="false">IF(A1304="","",COUNTIFS(Apparitions!$H$2:$H$5001,A1304,Apparitions!$E$2:$E$5001,"○"))</f>
        <v/>
      </c>
      <c r="J1304" s="29" t="str">
        <f aca="false">IF(A1304="","",IFERROR(1/(1/_xlfn.MINIFS(Apparitions!$L$2:$L$5001,Apparitions!$H$2:$H$5001,A1304)),""))</f>
        <v/>
      </c>
    </row>
    <row r="1305" customFormat="false" ht="15" hidden="false" customHeight="false" outlineLevel="0" collapsed="false">
      <c r="A1305" s="19"/>
      <c r="B1305" s="19"/>
      <c r="C1305" s="19"/>
      <c r="D1305" s="19"/>
      <c r="E1305" s="32"/>
      <c r="F1305" s="19"/>
      <c r="G1305" s="26" t="str">
        <f aca="false">IF(A1305="","",COUNTIF(Pubs!$B$2:$B$3001,A1305))</f>
        <v/>
      </c>
      <c r="H1305" s="26" t="str">
        <f aca="false">IF(A1305="","",COUNTIF(Apparitions!$H$2:$H$5001,A1305))</f>
        <v/>
      </c>
      <c r="I1305" s="26" t="str">
        <f aca="false">IF(A1305="","",COUNTIFS(Apparitions!$H$2:$H$5001,A1305,Apparitions!$E$2:$E$5001,"○"))</f>
        <v/>
      </c>
      <c r="J1305" s="29" t="str">
        <f aca="false">IF(A1305="","",IFERROR(1/(1/_xlfn.MINIFS(Apparitions!$L$2:$L$5001,Apparitions!$H$2:$H$5001,A1305)),""))</f>
        <v/>
      </c>
    </row>
    <row r="1306" customFormat="false" ht="15" hidden="false" customHeight="false" outlineLevel="0" collapsed="false">
      <c r="A1306" s="19"/>
      <c r="B1306" s="19"/>
      <c r="C1306" s="19"/>
      <c r="D1306" s="19"/>
      <c r="E1306" s="32"/>
      <c r="F1306" s="19"/>
      <c r="G1306" s="26" t="str">
        <f aca="false">IF(A1306="","",COUNTIF(Pubs!$B$2:$B$3001,A1306))</f>
        <v/>
      </c>
      <c r="H1306" s="26" t="str">
        <f aca="false">IF(A1306="","",COUNTIF(Apparitions!$H$2:$H$5001,A1306))</f>
        <v/>
      </c>
      <c r="I1306" s="26" t="str">
        <f aca="false">IF(A1306="","",COUNTIFS(Apparitions!$H$2:$H$5001,A1306,Apparitions!$E$2:$E$5001,"○"))</f>
        <v/>
      </c>
      <c r="J1306" s="29" t="str">
        <f aca="false">IF(A1306="","",IFERROR(1/(1/_xlfn.MINIFS(Apparitions!$L$2:$L$5001,Apparitions!$H$2:$H$5001,A1306)),""))</f>
        <v/>
      </c>
    </row>
    <row r="1307" customFormat="false" ht="15" hidden="false" customHeight="false" outlineLevel="0" collapsed="false">
      <c r="A1307" s="19"/>
      <c r="B1307" s="19"/>
      <c r="C1307" s="19"/>
      <c r="D1307" s="19"/>
      <c r="E1307" s="32"/>
      <c r="F1307" s="19"/>
      <c r="G1307" s="26" t="str">
        <f aca="false">IF(A1307="","",COUNTIF(Pubs!$B$2:$B$3001,A1307))</f>
        <v/>
      </c>
      <c r="H1307" s="26" t="str">
        <f aca="false">IF(A1307="","",COUNTIF(Apparitions!$H$2:$H$5001,A1307))</f>
        <v/>
      </c>
      <c r="I1307" s="26" t="str">
        <f aca="false">IF(A1307="","",COUNTIFS(Apparitions!$H$2:$H$5001,A1307,Apparitions!$E$2:$E$5001,"○"))</f>
        <v/>
      </c>
      <c r="J1307" s="29" t="str">
        <f aca="false">IF(A1307="","",IFERROR(1/(1/_xlfn.MINIFS(Apparitions!$L$2:$L$5001,Apparitions!$H$2:$H$5001,A1307)),""))</f>
        <v/>
      </c>
    </row>
    <row r="1308" customFormat="false" ht="15" hidden="false" customHeight="false" outlineLevel="0" collapsed="false">
      <c r="A1308" s="19"/>
      <c r="B1308" s="19"/>
      <c r="C1308" s="19"/>
      <c r="D1308" s="19"/>
      <c r="E1308" s="32"/>
      <c r="F1308" s="19"/>
      <c r="G1308" s="26" t="str">
        <f aca="false">IF(A1308="","",COUNTIF(Pubs!$B$2:$B$3001,A1308))</f>
        <v/>
      </c>
      <c r="H1308" s="26" t="str">
        <f aca="false">IF(A1308="","",COUNTIF(Apparitions!$H$2:$H$5001,A1308))</f>
        <v/>
      </c>
      <c r="I1308" s="26" t="str">
        <f aca="false">IF(A1308="","",COUNTIFS(Apparitions!$H$2:$H$5001,A1308,Apparitions!$E$2:$E$5001,"○"))</f>
        <v/>
      </c>
      <c r="J1308" s="29" t="str">
        <f aca="false">IF(A1308="","",IFERROR(1/(1/_xlfn.MINIFS(Apparitions!$L$2:$L$5001,Apparitions!$H$2:$H$5001,A1308)),""))</f>
        <v/>
      </c>
    </row>
    <row r="1309" customFormat="false" ht="15" hidden="false" customHeight="false" outlineLevel="0" collapsed="false">
      <c r="A1309" s="19"/>
      <c r="B1309" s="19"/>
      <c r="C1309" s="19"/>
      <c r="D1309" s="19"/>
      <c r="E1309" s="32"/>
      <c r="F1309" s="19"/>
      <c r="G1309" s="26" t="str">
        <f aca="false">IF(A1309="","",COUNTIF(Pubs!$B$2:$B$3001,A1309))</f>
        <v/>
      </c>
      <c r="H1309" s="26" t="str">
        <f aca="false">IF(A1309="","",COUNTIF(Apparitions!$H$2:$H$5001,A1309))</f>
        <v/>
      </c>
      <c r="I1309" s="26" t="str">
        <f aca="false">IF(A1309="","",COUNTIFS(Apparitions!$H$2:$H$5001,A1309,Apparitions!$E$2:$E$5001,"○"))</f>
        <v/>
      </c>
      <c r="J1309" s="29" t="str">
        <f aca="false">IF(A1309="","",IFERROR(1/(1/_xlfn.MINIFS(Apparitions!$L$2:$L$5001,Apparitions!$H$2:$H$5001,A1309)),""))</f>
        <v/>
      </c>
    </row>
    <row r="1310" customFormat="false" ht="15" hidden="false" customHeight="false" outlineLevel="0" collapsed="false">
      <c r="A1310" s="19"/>
      <c r="B1310" s="19"/>
      <c r="C1310" s="19"/>
      <c r="D1310" s="19"/>
      <c r="E1310" s="32"/>
      <c r="F1310" s="19"/>
      <c r="G1310" s="26" t="str">
        <f aca="false">IF(A1310="","",COUNTIF(Pubs!$B$2:$B$3001,A1310))</f>
        <v/>
      </c>
      <c r="H1310" s="26" t="str">
        <f aca="false">IF(A1310="","",COUNTIF(Apparitions!$H$2:$H$5001,A1310))</f>
        <v/>
      </c>
      <c r="I1310" s="26" t="str">
        <f aca="false">IF(A1310="","",COUNTIFS(Apparitions!$H$2:$H$5001,A1310,Apparitions!$E$2:$E$5001,"○"))</f>
        <v/>
      </c>
      <c r="J1310" s="29" t="str">
        <f aca="false">IF(A1310="","",IFERROR(1/(1/_xlfn.MINIFS(Apparitions!$L$2:$L$5001,Apparitions!$H$2:$H$5001,A1310)),""))</f>
        <v/>
      </c>
    </row>
    <row r="1311" customFormat="false" ht="15" hidden="false" customHeight="false" outlineLevel="0" collapsed="false">
      <c r="A1311" s="19"/>
      <c r="B1311" s="19"/>
      <c r="C1311" s="19"/>
      <c r="D1311" s="19"/>
      <c r="E1311" s="32"/>
      <c r="F1311" s="19"/>
      <c r="G1311" s="26" t="str">
        <f aca="false">IF(A1311="","",COUNTIF(Pubs!$B$2:$B$3001,A1311))</f>
        <v/>
      </c>
      <c r="H1311" s="26" t="str">
        <f aca="false">IF(A1311="","",COUNTIF(Apparitions!$H$2:$H$5001,A1311))</f>
        <v/>
      </c>
      <c r="I1311" s="26" t="str">
        <f aca="false">IF(A1311="","",COUNTIFS(Apparitions!$H$2:$H$5001,A1311,Apparitions!$E$2:$E$5001,"○"))</f>
        <v/>
      </c>
      <c r="J1311" s="29" t="str">
        <f aca="false">IF(A1311="","",IFERROR(1/(1/_xlfn.MINIFS(Apparitions!$L$2:$L$5001,Apparitions!$H$2:$H$5001,A1311)),""))</f>
        <v/>
      </c>
    </row>
    <row r="1312" customFormat="false" ht="15" hidden="false" customHeight="false" outlineLevel="0" collapsed="false">
      <c r="A1312" s="19"/>
      <c r="B1312" s="19"/>
      <c r="C1312" s="19"/>
      <c r="D1312" s="19"/>
      <c r="E1312" s="32"/>
      <c r="F1312" s="19"/>
      <c r="G1312" s="26" t="str">
        <f aca="false">IF(A1312="","",COUNTIF(Pubs!$B$2:$B$3001,A1312))</f>
        <v/>
      </c>
      <c r="H1312" s="26" t="str">
        <f aca="false">IF(A1312="","",COUNTIF(Apparitions!$H$2:$H$5001,A1312))</f>
        <v/>
      </c>
      <c r="I1312" s="26" t="str">
        <f aca="false">IF(A1312="","",COUNTIFS(Apparitions!$H$2:$H$5001,A1312,Apparitions!$E$2:$E$5001,"○"))</f>
        <v/>
      </c>
      <c r="J1312" s="29" t="str">
        <f aca="false">IF(A1312="","",IFERROR(1/(1/_xlfn.MINIFS(Apparitions!$L$2:$L$5001,Apparitions!$H$2:$H$5001,A1312)),""))</f>
        <v/>
      </c>
    </row>
    <row r="1313" customFormat="false" ht="15" hidden="false" customHeight="false" outlineLevel="0" collapsed="false">
      <c r="A1313" s="19"/>
      <c r="B1313" s="19"/>
      <c r="C1313" s="19"/>
      <c r="D1313" s="19"/>
      <c r="E1313" s="32"/>
      <c r="F1313" s="19"/>
      <c r="G1313" s="26" t="str">
        <f aca="false">IF(A1313="","",COUNTIF(Pubs!$B$2:$B$3001,A1313))</f>
        <v/>
      </c>
      <c r="H1313" s="26" t="str">
        <f aca="false">IF(A1313="","",COUNTIF(Apparitions!$H$2:$H$5001,A1313))</f>
        <v/>
      </c>
      <c r="I1313" s="26" t="str">
        <f aca="false">IF(A1313="","",COUNTIFS(Apparitions!$H$2:$H$5001,A1313,Apparitions!$E$2:$E$5001,"○"))</f>
        <v/>
      </c>
      <c r="J1313" s="29" t="str">
        <f aca="false">IF(A1313="","",IFERROR(1/(1/_xlfn.MINIFS(Apparitions!$L$2:$L$5001,Apparitions!$H$2:$H$5001,A1313)),""))</f>
        <v/>
      </c>
    </row>
    <row r="1314" customFormat="false" ht="15" hidden="false" customHeight="false" outlineLevel="0" collapsed="false">
      <c r="A1314" s="19"/>
      <c r="B1314" s="19"/>
      <c r="C1314" s="19"/>
      <c r="D1314" s="19"/>
      <c r="E1314" s="32"/>
      <c r="F1314" s="19"/>
      <c r="G1314" s="26" t="str">
        <f aca="false">IF(A1314="","",COUNTIF(Pubs!$B$2:$B$3001,A1314))</f>
        <v/>
      </c>
      <c r="H1314" s="26" t="str">
        <f aca="false">IF(A1314="","",COUNTIF(Apparitions!$H$2:$H$5001,A1314))</f>
        <v/>
      </c>
      <c r="I1314" s="26" t="str">
        <f aca="false">IF(A1314="","",COUNTIFS(Apparitions!$H$2:$H$5001,A1314,Apparitions!$E$2:$E$5001,"○"))</f>
        <v/>
      </c>
      <c r="J1314" s="29" t="str">
        <f aca="false">IF(A1314="","",IFERROR(1/(1/_xlfn.MINIFS(Apparitions!$L$2:$L$5001,Apparitions!$H$2:$H$5001,A1314)),""))</f>
        <v/>
      </c>
    </row>
    <row r="1315" customFormat="false" ht="15" hidden="false" customHeight="false" outlineLevel="0" collapsed="false">
      <c r="A1315" s="19"/>
      <c r="B1315" s="19"/>
      <c r="C1315" s="19"/>
      <c r="D1315" s="19"/>
      <c r="E1315" s="32"/>
      <c r="F1315" s="19"/>
      <c r="G1315" s="26" t="str">
        <f aca="false">IF(A1315="","",COUNTIF(Pubs!$B$2:$B$3001,A1315))</f>
        <v/>
      </c>
      <c r="H1315" s="26" t="str">
        <f aca="false">IF(A1315="","",COUNTIF(Apparitions!$H$2:$H$5001,A1315))</f>
        <v/>
      </c>
      <c r="I1315" s="26" t="str">
        <f aca="false">IF(A1315="","",COUNTIFS(Apparitions!$H$2:$H$5001,A1315,Apparitions!$E$2:$E$5001,"○"))</f>
        <v/>
      </c>
      <c r="J1315" s="29" t="str">
        <f aca="false">IF(A1315="","",IFERROR(1/(1/_xlfn.MINIFS(Apparitions!$L$2:$L$5001,Apparitions!$H$2:$H$5001,A1315)),""))</f>
        <v/>
      </c>
    </row>
    <row r="1316" customFormat="false" ht="15" hidden="false" customHeight="false" outlineLevel="0" collapsed="false">
      <c r="A1316" s="19"/>
      <c r="B1316" s="19"/>
      <c r="C1316" s="19"/>
      <c r="D1316" s="19"/>
      <c r="E1316" s="32"/>
      <c r="F1316" s="19"/>
      <c r="G1316" s="26" t="str">
        <f aca="false">IF(A1316="","",COUNTIF(Pubs!$B$2:$B$3001,A1316))</f>
        <v/>
      </c>
      <c r="H1316" s="26" t="str">
        <f aca="false">IF(A1316="","",COUNTIF(Apparitions!$H$2:$H$5001,A1316))</f>
        <v/>
      </c>
      <c r="I1316" s="26" t="str">
        <f aca="false">IF(A1316="","",COUNTIFS(Apparitions!$H$2:$H$5001,A1316,Apparitions!$E$2:$E$5001,"○"))</f>
        <v/>
      </c>
      <c r="J1316" s="29" t="str">
        <f aca="false">IF(A1316="","",IFERROR(1/(1/_xlfn.MINIFS(Apparitions!$L$2:$L$5001,Apparitions!$H$2:$H$5001,A1316)),""))</f>
        <v/>
      </c>
    </row>
    <row r="1317" customFormat="false" ht="15" hidden="false" customHeight="false" outlineLevel="0" collapsed="false">
      <c r="A1317" s="19"/>
      <c r="B1317" s="19"/>
      <c r="C1317" s="19"/>
      <c r="D1317" s="19"/>
      <c r="E1317" s="32"/>
      <c r="F1317" s="19"/>
      <c r="G1317" s="26" t="str">
        <f aca="false">IF(A1317="","",COUNTIF(Pubs!$B$2:$B$3001,A1317))</f>
        <v/>
      </c>
      <c r="H1317" s="26" t="str">
        <f aca="false">IF(A1317="","",COUNTIF(Apparitions!$H$2:$H$5001,A1317))</f>
        <v/>
      </c>
      <c r="I1317" s="26" t="str">
        <f aca="false">IF(A1317="","",COUNTIFS(Apparitions!$H$2:$H$5001,A1317,Apparitions!$E$2:$E$5001,"○"))</f>
        <v/>
      </c>
      <c r="J1317" s="29" t="str">
        <f aca="false">IF(A1317="","",IFERROR(1/(1/_xlfn.MINIFS(Apparitions!$L$2:$L$5001,Apparitions!$H$2:$H$5001,A1317)),""))</f>
        <v/>
      </c>
    </row>
    <row r="1318" customFormat="false" ht="15" hidden="false" customHeight="false" outlineLevel="0" collapsed="false">
      <c r="A1318" s="19"/>
      <c r="B1318" s="19"/>
      <c r="C1318" s="19"/>
      <c r="D1318" s="19"/>
      <c r="E1318" s="32"/>
      <c r="F1318" s="19"/>
      <c r="G1318" s="26" t="str">
        <f aca="false">IF(A1318="","",COUNTIF(Pubs!$B$2:$B$3001,A1318))</f>
        <v/>
      </c>
      <c r="H1318" s="26" t="str">
        <f aca="false">IF(A1318="","",COUNTIF(Apparitions!$H$2:$H$5001,A1318))</f>
        <v/>
      </c>
      <c r="I1318" s="26" t="str">
        <f aca="false">IF(A1318="","",COUNTIFS(Apparitions!$H$2:$H$5001,A1318,Apparitions!$E$2:$E$5001,"○"))</f>
        <v/>
      </c>
      <c r="J1318" s="29" t="str">
        <f aca="false">IF(A1318="","",IFERROR(1/(1/_xlfn.MINIFS(Apparitions!$L$2:$L$5001,Apparitions!$H$2:$H$5001,A1318)),""))</f>
        <v/>
      </c>
    </row>
    <row r="1319" customFormat="false" ht="15" hidden="false" customHeight="false" outlineLevel="0" collapsed="false">
      <c r="A1319" s="19"/>
      <c r="B1319" s="19"/>
      <c r="C1319" s="19"/>
      <c r="D1319" s="19"/>
      <c r="E1319" s="32"/>
      <c r="F1319" s="19"/>
      <c r="G1319" s="26" t="str">
        <f aca="false">IF(A1319="","",COUNTIF(Pubs!$B$2:$B$3001,A1319))</f>
        <v/>
      </c>
      <c r="H1319" s="26" t="str">
        <f aca="false">IF(A1319="","",COUNTIF(Apparitions!$H$2:$H$5001,A1319))</f>
        <v/>
      </c>
      <c r="I1319" s="26" t="str">
        <f aca="false">IF(A1319="","",COUNTIFS(Apparitions!$H$2:$H$5001,A1319,Apparitions!$E$2:$E$5001,"○"))</f>
        <v/>
      </c>
      <c r="J1319" s="29" t="str">
        <f aca="false">IF(A1319="","",IFERROR(1/(1/_xlfn.MINIFS(Apparitions!$L$2:$L$5001,Apparitions!$H$2:$H$5001,A1319)),""))</f>
        <v/>
      </c>
    </row>
    <row r="1320" customFormat="false" ht="15" hidden="false" customHeight="false" outlineLevel="0" collapsed="false">
      <c r="A1320" s="19"/>
      <c r="B1320" s="19"/>
      <c r="C1320" s="19"/>
      <c r="D1320" s="19"/>
      <c r="E1320" s="32"/>
      <c r="F1320" s="19"/>
      <c r="G1320" s="26" t="str">
        <f aca="false">IF(A1320="","",COUNTIF(Pubs!$B$2:$B$3001,A1320))</f>
        <v/>
      </c>
      <c r="H1320" s="26" t="str">
        <f aca="false">IF(A1320="","",COUNTIF(Apparitions!$H$2:$H$5001,A1320))</f>
        <v/>
      </c>
      <c r="I1320" s="26" t="str">
        <f aca="false">IF(A1320="","",COUNTIFS(Apparitions!$H$2:$H$5001,A1320,Apparitions!$E$2:$E$5001,"○"))</f>
        <v/>
      </c>
      <c r="J1320" s="29" t="str">
        <f aca="false">IF(A1320="","",IFERROR(1/(1/_xlfn.MINIFS(Apparitions!$L$2:$L$5001,Apparitions!$H$2:$H$5001,A1320)),""))</f>
        <v/>
      </c>
    </row>
    <row r="1321" customFormat="false" ht="15" hidden="false" customHeight="false" outlineLevel="0" collapsed="false">
      <c r="A1321" s="19"/>
      <c r="B1321" s="19"/>
      <c r="C1321" s="19"/>
      <c r="D1321" s="19"/>
      <c r="E1321" s="32"/>
      <c r="F1321" s="19"/>
      <c r="G1321" s="26" t="str">
        <f aca="false">IF(A1321="","",COUNTIF(Pubs!$B$2:$B$3001,A1321))</f>
        <v/>
      </c>
      <c r="H1321" s="26" t="str">
        <f aca="false">IF(A1321="","",COUNTIF(Apparitions!$H$2:$H$5001,A1321))</f>
        <v/>
      </c>
      <c r="I1321" s="26" t="str">
        <f aca="false">IF(A1321="","",COUNTIFS(Apparitions!$H$2:$H$5001,A1321,Apparitions!$E$2:$E$5001,"○"))</f>
        <v/>
      </c>
      <c r="J1321" s="29" t="str">
        <f aca="false">IF(A1321="","",IFERROR(1/(1/_xlfn.MINIFS(Apparitions!$L$2:$L$5001,Apparitions!$H$2:$H$5001,A1321)),""))</f>
        <v/>
      </c>
    </row>
    <row r="1322" customFormat="false" ht="15" hidden="false" customHeight="false" outlineLevel="0" collapsed="false">
      <c r="A1322" s="19"/>
      <c r="B1322" s="19"/>
      <c r="C1322" s="19"/>
      <c r="D1322" s="19"/>
      <c r="E1322" s="32"/>
      <c r="F1322" s="19"/>
      <c r="G1322" s="26" t="str">
        <f aca="false">IF(A1322="","",COUNTIF(Pubs!$B$2:$B$3001,A1322))</f>
        <v/>
      </c>
      <c r="H1322" s="26" t="str">
        <f aca="false">IF(A1322="","",COUNTIF(Apparitions!$H$2:$H$5001,A1322))</f>
        <v/>
      </c>
      <c r="I1322" s="26" t="str">
        <f aca="false">IF(A1322="","",COUNTIFS(Apparitions!$H$2:$H$5001,A1322,Apparitions!$E$2:$E$5001,"○"))</f>
        <v/>
      </c>
      <c r="J1322" s="29" t="str">
        <f aca="false">IF(A1322="","",IFERROR(1/(1/_xlfn.MINIFS(Apparitions!$L$2:$L$5001,Apparitions!$H$2:$H$5001,A1322)),""))</f>
        <v/>
      </c>
    </row>
    <row r="1323" customFormat="false" ht="15" hidden="false" customHeight="false" outlineLevel="0" collapsed="false">
      <c r="A1323" s="19"/>
      <c r="B1323" s="19"/>
      <c r="C1323" s="19"/>
      <c r="D1323" s="19"/>
      <c r="E1323" s="32"/>
      <c r="F1323" s="19"/>
      <c r="G1323" s="26" t="str">
        <f aca="false">IF(A1323="","",COUNTIF(Pubs!$B$2:$B$3001,A1323))</f>
        <v/>
      </c>
      <c r="H1323" s="26" t="str">
        <f aca="false">IF(A1323="","",COUNTIF(Apparitions!$H$2:$H$5001,A1323))</f>
        <v/>
      </c>
      <c r="I1323" s="26" t="str">
        <f aca="false">IF(A1323="","",COUNTIFS(Apparitions!$H$2:$H$5001,A1323,Apparitions!$E$2:$E$5001,"○"))</f>
        <v/>
      </c>
      <c r="J1323" s="29" t="str">
        <f aca="false">IF(A1323="","",IFERROR(1/(1/_xlfn.MINIFS(Apparitions!$L$2:$L$5001,Apparitions!$H$2:$H$5001,A1323)),""))</f>
        <v/>
      </c>
    </row>
    <row r="1324" customFormat="false" ht="15" hidden="false" customHeight="false" outlineLevel="0" collapsed="false">
      <c r="A1324" s="19"/>
      <c r="B1324" s="19"/>
      <c r="C1324" s="19"/>
      <c r="D1324" s="19"/>
      <c r="E1324" s="32"/>
      <c r="F1324" s="19"/>
      <c r="G1324" s="26" t="str">
        <f aca="false">IF(A1324="","",COUNTIF(Pubs!$B$2:$B$3001,A1324))</f>
        <v/>
      </c>
      <c r="H1324" s="26" t="str">
        <f aca="false">IF(A1324="","",COUNTIF(Apparitions!$H$2:$H$5001,A1324))</f>
        <v/>
      </c>
      <c r="I1324" s="26" t="str">
        <f aca="false">IF(A1324="","",COUNTIFS(Apparitions!$H$2:$H$5001,A1324,Apparitions!$E$2:$E$5001,"○"))</f>
        <v/>
      </c>
      <c r="J1324" s="29" t="str">
        <f aca="false">IF(A1324="","",IFERROR(1/(1/_xlfn.MINIFS(Apparitions!$L$2:$L$5001,Apparitions!$H$2:$H$5001,A1324)),""))</f>
        <v/>
      </c>
    </row>
    <row r="1325" customFormat="false" ht="15" hidden="false" customHeight="false" outlineLevel="0" collapsed="false">
      <c r="A1325" s="19"/>
      <c r="B1325" s="19"/>
      <c r="C1325" s="19"/>
      <c r="D1325" s="19"/>
      <c r="E1325" s="32"/>
      <c r="F1325" s="19"/>
      <c r="G1325" s="26" t="str">
        <f aca="false">IF(A1325="","",COUNTIF(Pubs!$B$2:$B$3001,A1325))</f>
        <v/>
      </c>
      <c r="H1325" s="26" t="str">
        <f aca="false">IF(A1325="","",COUNTIF(Apparitions!$H$2:$H$5001,A1325))</f>
        <v/>
      </c>
      <c r="I1325" s="26" t="str">
        <f aca="false">IF(A1325="","",COUNTIFS(Apparitions!$H$2:$H$5001,A1325,Apparitions!$E$2:$E$5001,"○"))</f>
        <v/>
      </c>
      <c r="J1325" s="29" t="str">
        <f aca="false">IF(A1325="","",IFERROR(1/(1/_xlfn.MINIFS(Apparitions!$L$2:$L$5001,Apparitions!$H$2:$H$5001,A1325)),""))</f>
        <v/>
      </c>
    </row>
    <row r="1326" customFormat="false" ht="15" hidden="false" customHeight="false" outlineLevel="0" collapsed="false">
      <c r="A1326" s="19"/>
      <c r="B1326" s="19"/>
      <c r="C1326" s="19"/>
      <c r="D1326" s="19"/>
      <c r="E1326" s="32"/>
      <c r="F1326" s="19"/>
      <c r="G1326" s="26" t="str">
        <f aca="false">IF(A1326="","",COUNTIF(Pubs!$B$2:$B$3001,A1326))</f>
        <v/>
      </c>
      <c r="H1326" s="26" t="str">
        <f aca="false">IF(A1326="","",COUNTIF(Apparitions!$H$2:$H$5001,A1326))</f>
        <v/>
      </c>
      <c r="I1326" s="26" t="str">
        <f aca="false">IF(A1326="","",COUNTIFS(Apparitions!$H$2:$H$5001,A1326,Apparitions!$E$2:$E$5001,"○"))</f>
        <v/>
      </c>
      <c r="J1326" s="29" t="str">
        <f aca="false">IF(A1326="","",IFERROR(1/(1/_xlfn.MINIFS(Apparitions!$L$2:$L$5001,Apparitions!$H$2:$H$5001,A1326)),""))</f>
        <v/>
      </c>
    </row>
    <row r="1327" customFormat="false" ht="15" hidden="false" customHeight="false" outlineLevel="0" collapsed="false">
      <c r="A1327" s="19"/>
      <c r="B1327" s="19"/>
      <c r="C1327" s="19"/>
      <c r="D1327" s="19"/>
      <c r="E1327" s="32"/>
      <c r="F1327" s="19"/>
      <c r="G1327" s="26" t="str">
        <f aca="false">IF(A1327="","",COUNTIF(Pubs!$B$2:$B$3001,A1327))</f>
        <v/>
      </c>
      <c r="H1327" s="26" t="str">
        <f aca="false">IF(A1327="","",COUNTIF(Apparitions!$H$2:$H$5001,A1327))</f>
        <v/>
      </c>
      <c r="I1327" s="26" t="str">
        <f aca="false">IF(A1327="","",COUNTIFS(Apparitions!$H$2:$H$5001,A1327,Apparitions!$E$2:$E$5001,"○"))</f>
        <v/>
      </c>
      <c r="J1327" s="29" t="str">
        <f aca="false">IF(A1327="","",IFERROR(1/(1/_xlfn.MINIFS(Apparitions!$L$2:$L$5001,Apparitions!$H$2:$H$5001,A1327)),""))</f>
        <v/>
      </c>
    </row>
    <row r="1328" customFormat="false" ht="15" hidden="false" customHeight="false" outlineLevel="0" collapsed="false">
      <c r="A1328" s="19"/>
      <c r="B1328" s="19"/>
      <c r="C1328" s="19"/>
      <c r="D1328" s="19"/>
      <c r="E1328" s="32"/>
      <c r="F1328" s="19"/>
      <c r="G1328" s="26" t="str">
        <f aca="false">IF(A1328="","",COUNTIF(Pubs!$B$2:$B$3001,A1328))</f>
        <v/>
      </c>
      <c r="H1328" s="26" t="str">
        <f aca="false">IF(A1328="","",COUNTIF(Apparitions!$H$2:$H$5001,A1328))</f>
        <v/>
      </c>
      <c r="I1328" s="26" t="str">
        <f aca="false">IF(A1328="","",COUNTIFS(Apparitions!$H$2:$H$5001,A1328,Apparitions!$E$2:$E$5001,"○"))</f>
        <v/>
      </c>
      <c r="J1328" s="29" t="str">
        <f aca="false">IF(A1328="","",IFERROR(1/(1/_xlfn.MINIFS(Apparitions!$L$2:$L$5001,Apparitions!$H$2:$H$5001,A1328)),""))</f>
        <v/>
      </c>
    </row>
    <row r="1329" customFormat="false" ht="15" hidden="false" customHeight="false" outlineLevel="0" collapsed="false">
      <c r="A1329" s="19"/>
      <c r="B1329" s="19"/>
      <c r="C1329" s="19"/>
      <c r="D1329" s="19"/>
      <c r="E1329" s="32"/>
      <c r="F1329" s="19"/>
      <c r="G1329" s="26" t="str">
        <f aca="false">IF(A1329="","",COUNTIF(Pubs!$B$2:$B$3001,A1329))</f>
        <v/>
      </c>
      <c r="H1329" s="26" t="str">
        <f aca="false">IF(A1329="","",COUNTIF(Apparitions!$H$2:$H$5001,A1329))</f>
        <v/>
      </c>
      <c r="I1329" s="26" t="str">
        <f aca="false">IF(A1329="","",COUNTIFS(Apparitions!$H$2:$H$5001,A1329,Apparitions!$E$2:$E$5001,"○"))</f>
        <v/>
      </c>
      <c r="J1329" s="29" t="str">
        <f aca="false">IF(A1329="","",IFERROR(1/(1/_xlfn.MINIFS(Apparitions!$L$2:$L$5001,Apparitions!$H$2:$H$5001,A1329)),""))</f>
        <v/>
      </c>
    </row>
    <row r="1330" customFormat="false" ht="15" hidden="false" customHeight="false" outlineLevel="0" collapsed="false">
      <c r="A1330" s="19"/>
      <c r="B1330" s="19"/>
      <c r="C1330" s="19"/>
      <c r="D1330" s="19"/>
      <c r="E1330" s="32"/>
      <c r="F1330" s="19"/>
      <c r="G1330" s="26" t="str">
        <f aca="false">IF(A1330="","",COUNTIF(Pubs!$B$2:$B$3001,A1330))</f>
        <v/>
      </c>
      <c r="H1330" s="26" t="str">
        <f aca="false">IF(A1330="","",COUNTIF(Apparitions!$H$2:$H$5001,A1330))</f>
        <v/>
      </c>
      <c r="I1330" s="26" t="str">
        <f aca="false">IF(A1330="","",COUNTIFS(Apparitions!$H$2:$H$5001,A1330,Apparitions!$E$2:$E$5001,"○"))</f>
        <v/>
      </c>
      <c r="J1330" s="29" t="str">
        <f aca="false">IF(A1330="","",IFERROR(1/(1/_xlfn.MINIFS(Apparitions!$L$2:$L$5001,Apparitions!$H$2:$H$5001,A1330)),""))</f>
        <v/>
      </c>
    </row>
    <row r="1331" customFormat="false" ht="15" hidden="false" customHeight="false" outlineLevel="0" collapsed="false">
      <c r="A1331" s="19"/>
      <c r="B1331" s="19"/>
      <c r="C1331" s="19"/>
      <c r="D1331" s="19"/>
      <c r="E1331" s="32"/>
      <c r="F1331" s="19"/>
      <c r="G1331" s="26" t="str">
        <f aca="false">IF(A1331="","",COUNTIF(Pubs!$B$2:$B$3001,A1331))</f>
        <v/>
      </c>
      <c r="H1331" s="26" t="str">
        <f aca="false">IF(A1331="","",COUNTIF(Apparitions!$H$2:$H$5001,A1331))</f>
        <v/>
      </c>
      <c r="I1331" s="26" t="str">
        <f aca="false">IF(A1331="","",COUNTIFS(Apparitions!$H$2:$H$5001,A1331,Apparitions!$E$2:$E$5001,"○"))</f>
        <v/>
      </c>
      <c r="J1331" s="29" t="str">
        <f aca="false">IF(A1331="","",IFERROR(1/(1/_xlfn.MINIFS(Apparitions!$L$2:$L$5001,Apparitions!$H$2:$H$5001,A1331)),""))</f>
        <v/>
      </c>
    </row>
    <row r="1332" customFormat="false" ht="15" hidden="false" customHeight="false" outlineLevel="0" collapsed="false">
      <c r="A1332" s="19"/>
      <c r="B1332" s="19"/>
      <c r="C1332" s="19"/>
      <c r="D1332" s="19"/>
      <c r="E1332" s="32"/>
      <c r="F1332" s="19"/>
      <c r="G1332" s="26" t="str">
        <f aca="false">IF(A1332="","",COUNTIF(Pubs!$B$2:$B$3001,A1332))</f>
        <v/>
      </c>
      <c r="H1332" s="26" t="str">
        <f aca="false">IF(A1332="","",COUNTIF(Apparitions!$H$2:$H$5001,A1332))</f>
        <v/>
      </c>
      <c r="I1332" s="26" t="str">
        <f aca="false">IF(A1332="","",COUNTIFS(Apparitions!$H$2:$H$5001,A1332,Apparitions!$E$2:$E$5001,"○"))</f>
        <v/>
      </c>
      <c r="J1332" s="29" t="str">
        <f aca="false">IF(A1332="","",IFERROR(1/(1/_xlfn.MINIFS(Apparitions!$L$2:$L$5001,Apparitions!$H$2:$H$5001,A1332)),""))</f>
        <v/>
      </c>
    </row>
    <row r="1333" customFormat="false" ht="15" hidden="false" customHeight="false" outlineLevel="0" collapsed="false">
      <c r="A1333" s="19"/>
      <c r="B1333" s="19"/>
      <c r="C1333" s="19"/>
      <c r="D1333" s="19"/>
      <c r="E1333" s="32"/>
      <c r="F1333" s="19"/>
      <c r="G1333" s="26" t="str">
        <f aca="false">IF(A1333="","",COUNTIF(Pubs!$B$2:$B$3001,A1333))</f>
        <v/>
      </c>
      <c r="H1333" s="26" t="str">
        <f aca="false">IF(A1333="","",COUNTIF(Apparitions!$H$2:$H$5001,A1333))</f>
        <v/>
      </c>
      <c r="I1333" s="26" t="str">
        <f aca="false">IF(A1333="","",COUNTIFS(Apparitions!$H$2:$H$5001,A1333,Apparitions!$E$2:$E$5001,"○"))</f>
        <v/>
      </c>
      <c r="J1333" s="29" t="str">
        <f aca="false">IF(A1333="","",IFERROR(1/(1/_xlfn.MINIFS(Apparitions!$L$2:$L$5001,Apparitions!$H$2:$H$5001,A1333)),""))</f>
        <v/>
      </c>
    </row>
    <row r="1334" customFormat="false" ht="15" hidden="false" customHeight="false" outlineLevel="0" collapsed="false">
      <c r="A1334" s="19"/>
      <c r="B1334" s="19"/>
      <c r="C1334" s="19"/>
      <c r="D1334" s="19"/>
      <c r="E1334" s="32"/>
      <c r="F1334" s="19"/>
      <c r="G1334" s="26" t="str">
        <f aca="false">IF(A1334="","",COUNTIF(Pubs!$B$2:$B$3001,A1334))</f>
        <v/>
      </c>
      <c r="H1334" s="26" t="str">
        <f aca="false">IF(A1334="","",COUNTIF(Apparitions!$H$2:$H$5001,A1334))</f>
        <v/>
      </c>
      <c r="I1334" s="26" t="str">
        <f aca="false">IF(A1334="","",COUNTIFS(Apparitions!$H$2:$H$5001,A1334,Apparitions!$E$2:$E$5001,"○"))</f>
        <v/>
      </c>
      <c r="J1334" s="29" t="str">
        <f aca="false">IF(A1334="","",IFERROR(1/(1/_xlfn.MINIFS(Apparitions!$L$2:$L$5001,Apparitions!$H$2:$H$5001,A1334)),""))</f>
        <v/>
      </c>
    </row>
    <row r="1335" customFormat="false" ht="15" hidden="false" customHeight="false" outlineLevel="0" collapsed="false">
      <c r="A1335" s="19"/>
      <c r="B1335" s="19"/>
      <c r="C1335" s="19"/>
      <c r="D1335" s="19"/>
      <c r="E1335" s="32"/>
      <c r="F1335" s="19"/>
      <c r="G1335" s="26" t="str">
        <f aca="false">IF(A1335="","",COUNTIF(Pubs!$B$2:$B$3001,A1335))</f>
        <v/>
      </c>
      <c r="H1335" s="26" t="str">
        <f aca="false">IF(A1335="","",COUNTIF(Apparitions!$H$2:$H$5001,A1335))</f>
        <v/>
      </c>
      <c r="I1335" s="26" t="str">
        <f aca="false">IF(A1335="","",COUNTIFS(Apparitions!$H$2:$H$5001,A1335,Apparitions!$E$2:$E$5001,"○"))</f>
        <v/>
      </c>
      <c r="J1335" s="29" t="str">
        <f aca="false">IF(A1335="","",IFERROR(1/(1/_xlfn.MINIFS(Apparitions!$L$2:$L$5001,Apparitions!$H$2:$H$5001,A1335)),""))</f>
        <v/>
      </c>
    </row>
    <row r="1336" customFormat="false" ht="15" hidden="false" customHeight="false" outlineLevel="0" collapsed="false">
      <c r="A1336" s="19"/>
      <c r="B1336" s="19"/>
      <c r="C1336" s="19"/>
      <c r="D1336" s="19"/>
      <c r="E1336" s="32"/>
      <c r="F1336" s="19"/>
      <c r="G1336" s="26" t="str">
        <f aca="false">IF(A1336="","",COUNTIF(Pubs!$B$2:$B$3001,A1336))</f>
        <v/>
      </c>
      <c r="H1336" s="26" t="str">
        <f aca="false">IF(A1336="","",COUNTIF(Apparitions!$H$2:$H$5001,A1336))</f>
        <v/>
      </c>
      <c r="I1336" s="26" t="str">
        <f aca="false">IF(A1336="","",COUNTIFS(Apparitions!$H$2:$H$5001,A1336,Apparitions!$E$2:$E$5001,"○"))</f>
        <v/>
      </c>
      <c r="J1336" s="29" t="str">
        <f aca="false">IF(A1336="","",IFERROR(1/(1/_xlfn.MINIFS(Apparitions!$L$2:$L$5001,Apparitions!$H$2:$H$5001,A1336)),""))</f>
        <v/>
      </c>
    </row>
    <row r="1337" customFormat="false" ht="15" hidden="false" customHeight="false" outlineLevel="0" collapsed="false">
      <c r="A1337" s="19"/>
      <c r="B1337" s="19"/>
      <c r="C1337" s="19"/>
      <c r="D1337" s="19"/>
      <c r="E1337" s="32"/>
      <c r="F1337" s="19"/>
      <c r="G1337" s="26" t="str">
        <f aca="false">IF(A1337="","",COUNTIF(Pubs!$B$2:$B$3001,A1337))</f>
        <v/>
      </c>
      <c r="H1337" s="26" t="str">
        <f aca="false">IF(A1337="","",COUNTIF(Apparitions!$H$2:$H$5001,A1337))</f>
        <v/>
      </c>
      <c r="I1337" s="26" t="str">
        <f aca="false">IF(A1337="","",COUNTIFS(Apparitions!$H$2:$H$5001,A1337,Apparitions!$E$2:$E$5001,"○"))</f>
        <v/>
      </c>
      <c r="J1337" s="29" t="str">
        <f aca="false">IF(A1337="","",IFERROR(1/(1/_xlfn.MINIFS(Apparitions!$L$2:$L$5001,Apparitions!$H$2:$H$5001,A1337)),""))</f>
        <v/>
      </c>
    </row>
    <row r="1338" customFormat="false" ht="15" hidden="false" customHeight="false" outlineLevel="0" collapsed="false">
      <c r="A1338" s="19"/>
      <c r="B1338" s="19"/>
      <c r="C1338" s="19"/>
      <c r="D1338" s="19"/>
      <c r="E1338" s="32"/>
      <c r="F1338" s="19"/>
      <c r="G1338" s="26" t="str">
        <f aca="false">IF(A1338="","",COUNTIF(Pubs!$B$2:$B$3001,A1338))</f>
        <v/>
      </c>
      <c r="H1338" s="26" t="str">
        <f aca="false">IF(A1338="","",COUNTIF(Apparitions!$H$2:$H$5001,A1338))</f>
        <v/>
      </c>
      <c r="I1338" s="26" t="str">
        <f aca="false">IF(A1338="","",COUNTIFS(Apparitions!$H$2:$H$5001,A1338,Apparitions!$E$2:$E$5001,"○"))</f>
        <v/>
      </c>
      <c r="J1338" s="29" t="str">
        <f aca="false">IF(A1338="","",IFERROR(1/(1/_xlfn.MINIFS(Apparitions!$L$2:$L$5001,Apparitions!$H$2:$H$5001,A1338)),""))</f>
        <v/>
      </c>
    </row>
    <row r="1339" customFormat="false" ht="15" hidden="false" customHeight="false" outlineLevel="0" collapsed="false">
      <c r="A1339" s="19"/>
      <c r="B1339" s="19"/>
      <c r="C1339" s="19"/>
      <c r="D1339" s="19"/>
      <c r="E1339" s="32"/>
      <c r="F1339" s="19"/>
      <c r="G1339" s="26" t="str">
        <f aca="false">IF(A1339="","",COUNTIF(Pubs!$B$2:$B$3001,A1339))</f>
        <v/>
      </c>
      <c r="H1339" s="26" t="str">
        <f aca="false">IF(A1339="","",COUNTIF(Apparitions!$H$2:$H$5001,A1339))</f>
        <v/>
      </c>
      <c r="I1339" s="26" t="str">
        <f aca="false">IF(A1339="","",COUNTIFS(Apparitions!$H$2:$H$5001,A1339,Apparitions!$E$2:$E$5001,"○"))</f>
        <v/>
      </c>
      <c r="J1339" s="29" t="str">
        <f aca="false">IF(A1339="","",IFERROR(1/(1/_xlfn.MINIFS(Apparitions!$L$2:$L$5001,Apparitions!$H$2:$H$5001,A1339)),""))</f>
        <v/>
      </c>
    </row>
    <row r="1340" customFormat="false" ht="15" hidden="false" customHeight="false" outlineLevel="0" collapsed="false">
      <c r="A1340" s="19"/>
      <c r="B1340" s="19"/>
      <c r="C1340" s="19"/>
      <c r="D1340" s="19"/>
      <c r="E1340" s="32"/>
      <c r="F1340" s="19"/>
      <c r="G1340" s="26" t="str">
        <f aca="false">IF(A1340="","",COUNTIF(Pubs!$B$2:$B$3001,A1340))</f>
        <v/>
      </c>
      <c r="H1340" s="26" t="str">
        <f aca="false">IF(A1340="","",COUNTIF(Apparitions!$H$2:$H$5001,A1340))</f>
        <v/>
      </c>
      <c r="I1340" s="26" t="str">
        <f aca="false">IF(A1340="","",COUNTIFS(Apparitions!$H$2:$H$5001,A1340,Apparitions!$E$2:$E$5001,"○"))</f>
        <v/>
      </c>
      <c r="J1340" s="29" t="str">
        <f aca="false">IF(A1340="","",IFERROR(1/(1/_xlfn.MINIFS(Apparitions!$L$2:$L$5001,Apparitions!$H$2:$H$5001,A1340)),""))</f>
        <v/>
      </c>
    </row>
    <row r="1341" customFormat="false" ht="15" hidden="false" customHeight="false" outlineLevel="0" collapsed="false">
      <c r="A1341" s="19"/>
      <c r="B1341" s="19"/>
      <c r="C1341" s="19"/>
      <c r="D1341" s="19"/>
      <c r="E1341" s="32"/>
      <c r="F1341" s="19"/>
      <c r="G1341" s="26" t="str">
        <f aca="false">IF(A1341="","",COUNTIF(Pubs!$B$2:$B$3001,A1341))</f>
        <v/>
      </c>
      <c r="H1341" s="26" t="str">
        <f aca="false">IF(A1341="","",COUNTIF(Apparitions!$H$2:$H$5001,A1341))</f>
        <v/>
      </c>
      <c r="I1341" s="26" t="str">
        <f aca="false">IF(A1341="","",COUNTIFS(Apparitions!$H$2:$H$5001,A1341,Apparitions!$E$2:$E$5001,"○"))</f>
        <v/>
      </c>
      <c r="J1341" s="29" t="str">
        <f aca="false">IF(A1341="","",IFERROR(1/(1/_xlfn.MINIFS(Apparitions!$L$2:$L$5001,Apparitions!$H$2:$H$5001,A1341)),""))</f>
        <v/>
      </c>
    </row>
    <row r="1342" customFormat="false" ht="15" hidden="false" customHeight="false" outlineLevel="0" collapsed="false">
      <c r="A1342" s="19"/>
      <c r="B1342" s="19"/>
      <c r="C1342" s="19"/>
      <c r="D1342" s="19"/>
      <c r="E1342" s="32"/>
      <c r="F1342" s="19"/>
      <c r="G1342" s="26" t="str">
        <f aca="false">IF(A1342="","",COUNTIF(Pubs!$B$2:$B$3001,A1342))</f>
        <v/>
      </c>
      <c r="H1342" s="26" t="str">
        <f aca="false">IF(A1342="","",COUNTIF(Apparitions!$H$2:$H$5001,A1342))</f>
        <v/>
      </c>
      <c r="I1342" s="26" t="str">
        <f aca="false">IF(A1342="","",COUNTIFS(Apparitions!$H$2:$H$5001,A1342,Apparitions!$E$2:$E$5001,"○"))</f>
        <v/>
      </c>
      <c r="J1342" s="29" t="str">
        <f aca="false">IF(A1342="","",IFERROR(1/(1/_xlfn.MINIFS(Apparitions!$L$2:$L$5001,Apparitions!$H$2:$H$5001,A1342)),""))</f>
        <v/>
      </c>
    </row>
    <row r="1343" customFormat="false" ht="15" hidden="false" customHeight="false" outlineLevel="0" collapsed="false">
      <c r="A1343" s="19"/>
      <c r="B1343" s="19"/>
      <c r="C1343" s="19"/>
      <c r="D1343" s="19"/>
      <c r="E1343" s="32"/>
      <c r="F1343" s="19"/>
      <c r="G1343" s="26" t="str">
        <f aca="false">IF(A1343="","",COUNTIF(Pubs!$B$2:$B$3001,A1343))</f>
        <v/>
      </c>
      <c r="H1343" s="26" t="str">
        <f aca="false">IF(A1343="","",COUNTIF(Apparitions!$H$2:$H$5001,A1343))</f>
        <v/>
      </c>
      <c r="I1343" s="26" t="str">
        <f aca="false">IF(A1343="","",COUNTIFS(Apparitions!$H$2:$H$5001,A1343,Apparitions!$E$2:$E$5001,"○"))</f>
        <v/>
      </c>
      <c r="J1343" s="29" t="str">
        <f aca="false">IF(A1343="","",IFERROR(1/(1/_xlfn.MINIFS(Apparitions!$L$2:$L$5001,Apparitions!$H$2:$H$5001,A1343)),""))</f>
        <v/>
      </c>
    </row>
    <row r="1344" customFormat="false" ht="15" hidden="false" customHeight="false" outlineLevel="0" collapsed="false">
      <c r="A1344" s="19"/>
      <c r="B1344" s="19"/>
      <c r="C1344" s="19"/>
      <c r="D1344" s="19"/>
      <c r="E1344" s="32"/>
      <c r="F1344" s="19"/>
      <c r="G1344" s="26" t="str">
        <f aca="false">IF(A1344="","",COUNTIF(Pubs!$B$2:$B$3001,A1344))</f>
        <v/>
      </c>
      <c r="H1344" s="26" t="str">
        <f aca="false">IF(A1344="","",COUNTIF(Apparitions!$H$2:$H$5001,A1344))</f>
        <v/>
      </c>
      <c r="I1344" s="26" t="str">
        <f aca="false">IF(A1344="","",COUNTIFS(Apparitions!$H$2:$H$5001,A1344,Apparitions!$E$2:$E$5001,"○"))</f>
        <v/>
      </c>
      <c r="J1344" s="29" t="str">
        <f aca="false">IF(A1344="","",IFERROR(1/(1/_xlfn.MINIFS(Apparitions!$L$2:$L$5001,Apparitions!$H$2:$H$5001,A1344)),""))</f>
        <v/>
      </c>
    </row>
    <row r="1345" customFormat="false" ht="15" hidden="false" customHeight="false" outlineLevel="0" collapsed="false">
      <c r="A1345" s="19"/>
      <c r="B1345" s="19"/>
      <c r="C1345" s="19"/>
      <c r="D1345" s="19"/>
      <c r="E1345" s="32"/>
      <c r="F1345" s="19"/>
      <c r="G1345" s="26" t="str">
        <f aca="false">IF(A1345="","",COUNTIF(Pubs!$B$2:$B$3001,A1345))</f>
        <v/>
      </c>
      <c r="H1345" s="26" t="str">
        <f aca="false">IF(A1345="","",COUNTIF(Apparitions!$H$2:$H$5001,A1345))</f>
        <v/>
      </c>
      <c r="I1345" s="26" t="str">
        <f aca="false">IF(A1345="","",COUNTIFS(Apparitions!$H$2:$H$5001,A1345,Apparitions!$E$2:$E$5001,"○"))</f>
        <v/>
      </c>
      <c r="J1345" s="29" t="str">
        <f aca="false">IF(A1345="","",IFERROR(1/(1/_xlfn.MINIFS(Apparitions!$L$2:$L$5001,Apparitions!$H$2:$H$5001,A1345)),""))</f>
        <v/>
      </c>
    </row>
    <row r="1346" customFormat="false" ht="15" hidden="false" customHeight="false" outlineLevel="0" collapsed="false">
      <c r="A1346" s="19"/>
      <c r="B1346" s="19"/>
      <c r="C1346" s="19"/>
      <c r="D1346" s="19"/>
      <c r="E1346" s="32"/>
      <c r="F1346" s="19"/>
      <c r="G1346" s="26" t="str">
        <f aca="false">IF(A1346="","",COUNTIF(Pubs!$B$2:$B$3001,A1346))</f>
        <v/>
      </c>
      <c r="H1346" s="26" t="str">
        <f aca="false">IF(A1346="","",COUNTIF(Apparitions!$H$2:$H$5001,A1346))</f>
        <v/>
      </c>
      <c r="I1346" s="26" t="str">
        <f aca="false">IF(A1346="","",COUNTIFS(Apparitions!$H$2:$H$5001,A1346,Apparitions!$E$2:$E$5001,"○"))</f>
        <v/>
      </c>
      <c r="J1346" s="29" t="str">
        <f aca="false">IF(A1346="","",IFERROR(1/(1/_xlfn.MINIFS(Apparitions!$L$2:$L$5001,Apparitions!$H$2:$H$5001,A1346)),""))</f>
        <v/>
      </c>
    </row>
    <row r="1347" customFormat="false" ht="15" hidden="false" customHeight="false" outlineLevel="0" collapsed="false">
      <c r="A1347" s="19"/>
      <c r="B1347" s="19"/>
      <c r="C1347" s="19"/>
      <c r="D1347" s="19"/>
      <c r="E1347" s="32"/>
      <c r="F1347" s="19"/>
      <c r="G1347" s="26" t="str">
        <f aca="false">IF(A1347="","",COUNTIF(Pubs!$B$2:$B$3001,A1347))</f>
        <v/>
      </c>
      <c r="H1347" s="26" t="str">
        <f aca="false">IF(A1347="","",COUNTIF(Apparitions!$H$2:$H$5001,A1347))</f>
        <v/>
      </c>
      <c r="I1347" s="26" t="str">
        <f aca="false">IF(A1347="","",COUNTIFS(Apparitions!$H$2:$H$5001,A1347,Apparitions!$E$2:$E$5001,"○"))</f>
        <v/>
      </c>
      <c r="J1347" s="29" t="str">
        <f aca="false">IF(A1347="","",IFERROR(1/(1/_xlfn.MINIFS(Apparitions!$L$2:$L$5001,Apparitions!$H$2:$H$5001,A1347)),""))</f>
        <v/>
      </c>
    </row>
    <row r="1348" customFormat="false" ht="15" hidden="false" customHeight="false" outlineLevel="0" collapsed="false">
      <c r="A1348" s="19"/>
      <c r="B1348" s="19"/>
      <c r="C1348" s="19"/>
      <c r="D1348" s="19"/>
      <c r="E1348" s="32"/>
      <c r="F1348" s="19"/>
      <c r="G1348" s="26" t="str">
        <f aca="false">IF(A1348="","",COUNTIF(Pubs!$B$2:$B$3001,A1348))</f>
        <v/>
      </c>
      <c r="H1348" s="26" t="str">
        <f aca="false">IF(A1348="","",COUNTIF(Apparitions!$H$2:$H$5001,A1348))</f>
        <v/>
      </c>
      <c r="I1348" s="26" t="str">
        <f aca="false">IF(A1348="","",COUNTIFS(Apparitions!$H$2:$H$5001,A1348,Apparitions!$E$2:$E$5001,"○"))</f>
        <v/>
      </c>
      <c r="J1348" s="29" t="str">
        <f aca="false">IF(A1348="","",IFERROR(1/(1/_xlfn.MINIFS(Apparitions!$L$2:$L$5001,Apparitions!$H$2:$H$5001,A1348)),""))</f>
        <v/>
      </c>
    </row>
    <row r="1349" customFormat="false" ht="15" hidden="false" customHeight="false" outlineLevel="0" collapsed="false">
      <c r="A1349" s="19"/>
      <c r="B1349" s="19"/>
      <c r="C1349" s="19"/>
      <c r="D1349" s="19"/>
      <c r="E1349" s="32"/>
      <c r="F1349" s="19"/>
      <c r="G1349" s="26" t="str">
        <f aca="false">IF(A1349="","",COUNTIF(Pubs!$B$2:$B$3001,A1349))</f>
        <v/>
      </c>
      <c r="H1349" s="26" t="str">
        <f aca="false">IF(A1349="","",COUNTIF(Apparitions!$H$2:$H$5001,A1349))</f>
        <v/>
      </c>
      <c r="I1349" s="26" t="str">
        <f aca="false">IF(A1349="","",COUNTIFS(Apparitions!$H$2:$H$5001,A1349,Apparitions!$E$2:$E$5001,"○"))</f>
        <v/>
      </c>
      <c r="J1349" s="29" t="str">
        <f aca="false">IF(A1349="","",IFERROR(1/(1/_xlfn.MINIFS(Apparitions!$L$2:$L$5001,Apparitions!$H$2:$H$5001,A1349)),""))</f>
        <v/>
      </c>
    </row>
    <row r="1350" customFormat="false" ht="15" hidden="false" customHeight="false" outlineLevel="0" collapsed="false">
      <c r="A1350" s="19"/>
      <c r="B1350" s="19"/>
      <c r="C1350" s="19"/>
      <c r="D1350" s="19"/>
      <c r="E1350" s="32"/>
      <c r="F1350" s="19"/>
      <c r="G1350" s="26" t="str">
        <f aca="false">IF(A1350="","",COUNTIF(Pubs!$B$2:$B$3001,A1350))</f>
        <v/>
      </c>
      <c r="H1350" s="26" t="str">
        <f aca="false">IF(A1350="","",COUNTIF(Apparitions!$H$2:$H$5001,A1350))</f>
        <v/>
      </c>
      <c r="I1350" s="26" t="str">
        <f aca="false">IF(A1350="","",COUNTIFS(Apparitions!$H$2:$H$5001,A1350,Apparitions!$E$2:$E$5001,"○"))</f>
        <v/>
      </c>
      <c r="J1350" s="29" t="str">
        <f aca="false">IF(A1350="","",IFERROR(1/(1/_xlfn.MINIFS(Apparitions!$L$2:$L$5001,Apparitions!$H$2:$H$5001,A1350)),""))</f>
        <v/>
      </c>
    </row>
    <row r="1351" customFormat="false" ht="15" hidden="false" customHeight="false" outlineLevel="0" collapsed="false">
      <c r="A1351" s="19"/>
      <c r="B1351" s="19"/>
      <c r="C1351" s="19"/>
      <c r="D1351" s="19"/>
      <c r="E1351" s="32"/>
      <c r="F1351" s="19"/>
      <c r="G1351" s="26" t="str">
        <f aca="false">IF(A1351="","",COUNTIF(Pubs!$B$2:$B$3001,A1351))</f>
        <v/>
      </c>
      <c r="H1351" s="26" t="str">
        <f aca="false">IF(A1351="","",COUNTIF(Apparitions!$H$2:$H$5001,A1351))</f>
        <v/>
      </c>
      <c r="I1351" s="26" t="str">
        <f aca="false">IF(A1351="","",COUNTIFS(Apparitions!$H$2:$H$5001,A1351,Apparitions!$E$2:$E$5001,"○"))</f>
        <v/>
      </c>
      <c r="J1351" s="29" t="str">
        <f aca="false">IF(A1351="","",IFERROR(1/(1/_xlfn.MINIFS(Apparitions!$L$2:$L$5001,Apparitions!$H$2:$H$5001,A1351)),""))</f>
        <v/>
      </c>
    </row>
    <row r="1352" customFormat="false" ht="15" hidden="false" customHeight="false" outlineLevel="0" collapsed="false">
      <c r="A1352" s="19"/>
      <c r="B1352" s="19"/>
      <c r="C1352" s="19"/>
      <c r="D1352" s="19"/>
      <c r="E1352" s="32"/>
      <c r="F1352" s="19"/>
      <c r="G1352" s="26" t="str">
        <f aca="false">IF(A1352="","",COUNTIF(Pubs!$B$2:$B$3001,A1352))</f>
        <v/>
      </c>
      <c r="H1352" s="26" t="str">
        <f aca="false">IF(A1352="","",COUNTIF(Apparitions!$H$2:$H$5001,A1352))</f>
        <v/>
      </c>
      <c r="I1352" s="26" t="str">
        <f aca="false">IF(A1352="","",COUNTIFS(Apparitions!$H$2:$H$5001,A1352,Apparitions!$E$2:$E$5001,"○"))</f>
        <v/>
      </c>
      <c r="J1352" s="29" t="str">
        <f aca="false">IF(A1352="","",IFERROR(1/(1/_xlfn.MINIFS(Apparitions!$L$2:$L$5001,Apparitions!$H$2:$H$5001,A1352)),""))</f>
        <v/>
      </c>
    </row>
    <row r="1353" customFormat="false" ht="15" hidden="false" customHeight="false" outlineLevel="0" collapsed="false">
      <c r="A1353" s="19"/>
      <c r="B1353" s="19"/>
      <c r="C1353" s="19"/>
      <c r="D1353" s="19"/>
      <c r="E1353" s="32"/>
      <c r="F1353" s="19"/>
      <c r="G1353" s="26" t="str">
        <f aca="false">IF(A1353="","",COUNTIF(Pubs!$B$2:$B$3001,A1353))</f>
        <v/>
      </c>
      <c r="H1353" s="26" t="str">
        <f aca="false">IF(A1353="","",COUNTIF(Apparitions!$H$2:$H$5001,A1353))</f>
        <v/>
      </c>
      <c r="I1353" s="26" t="str">
        <f aca="false">IF(A1353="","",COUNTIFS(Apparitions!$H$2:$H$5001,A1353,Apparitions!$E$2:$E$5001,"○"))</f>
        <v/>
      </c>
      <c r="J1353" s="29" t="str">
        <f aca="false">IF(A1353="","",IFERROR(1/(1/_xlfn.MINIFS(Apparitions!$L$2:$L$5001,Apparitions!$H$2:$H$5001,A1353)),""))</f>
        <v/>
      </c>
    </row>
    <row r="1354" customFormat="false" ht="15" hidden="false" customHeight="false" outlineLevel="0" collapsed="false">
      <c r="A1354" s="19"/>
      <c r="B1354" s="19"/>
      <c r="C1354" s="19"/>
      <c r="D1354" s="19"/>
      <c r="E1354" s="32"/>
      <c r="F1354" s="19"/>
      <c r="G1354" s="26" t="str">
        <f aca="false">IF(A1354="","",COUNTIF(Pubs!$B$2:$B$3001,A1354))</f>
        <v/>
      </c>
      <c r="H1354" s="26" t="str">
        <f aca="false">IF(A1354="","",COUNTIF(Apparitions!$H$2:$H$5001,A1354))</f>
        <v/>
      </c>
      <c r="I1354" s="26" t="str">
        <f aca="false">IF(A1354="","",COUNTIFS(Apparitions!$H$2:$H$5001,A1354,Apparitions!$E$2:$E$5001,"○"))</f>
        <v/>
      </c>
      <c r="J1354" s="29" t="str">
        <f aca="false">IF(A1354="","",IFERROR(1/(1/_xlfn.MINIFS(Apparitions!$L$2:$L$5001,Apparitions!$H$2:$H$5001,A1354)),""))</f>
        <v/>
      </c>
    </row>
    <row r="1355" customFormat="false" ht="15" hidden="false" customHeight="false" outlineLevel="0" collapsed="false">
      <c r="A1355" s="19"/>
      <c r="B1355" s="19"/>
      <c r="C1355" s="19"/>
      <c r="D1355" s="19"/>
      <c r="E1355" s="32"/>
      <c r="F1355" s="19"/>
      <c r="G1355" s="26" t="str">
        <f aca="false">IF(A1355="","",COUNTIF(Pubs!$B$2:$B$3001,A1355))</f>
        <v/>
      </c>
      <c r="H1355" s="26" t="str">
        <f aca="false">IF(A1355="","",COUNTIF(Apparitions!$H$2:$H$5001,A1355))</f>
        <v/>
      </c>
      <c r="I1355" s="26" t="str">
        <f aca="false">IF(A1355="","",COUNTIFS(Apparitions!$H$2:$H$5001,A1355,Apparitions!$E$2:$E$5001,"○"))</f>
        <v/>
      </c>
      <c r="J1355" s="29" t="str">
        <f aca="false">IF(A1355="","",IFERROR(1/(1/_xlfn.MINIFS(Apparitions!$L$2:$L$5001,Apparitions!$H$2:$H$5001,A1355)),""))</f>
        <v/>
      </c>
    </row>
    <row r="1356" customFormat="false" ht="15" hidden="false" customHeight="false" outlineLevel="0" collapsed="false">
      <c r="A1356" s="19"/>
      <c r="B1356" s="19"/>
      <c r="C1356" s="19"/>
      <c r="D1356" s="19"/>
      <c r="E1356" s="32"/>
      <c r="F1356" s="19"/>
      <c r="G1356" s="26" t="str">
        <f aca="false">IF(A1356="","",COUNTIF(Pubs!$B$2:$B$3001,A1356))</f>
        <v/>
      </c>
      <c r="H1356" s="26" t="str">
        <f aca="false">IF(A1356="","",COUNTIF(Apparitions!$H$2:$H$5001,A1356))</f>
        <v/>
      </c>
      <c r="I1356" s="26" t="str">
        <f aca="false">IF(A1356="","",COUNTIFS(Apparitions!$H$2:$H$5001,A1356,Apparitions!$E$2:$E$5001,"○"))</f>
        <v/>
      </c>
      <c r="J1356" s="29" t="str">
        <f aca="false">IF(A1356="","",IFERROR(1/(1/_xlfn.MINIFS(Apparitions!$L$2:$L$5001,Apparitions!$H$2:$H$5001,A1356)),""))</f>
        <v/>
      </c>
    </row>
    <row r="1357" customFormat="false" ht="15" hidden="false" customHeight="false" outlineLevel="0" collapsed="false">
      <c r="A1357" s="19"/>
      <c r="B1357" s="19"/>
      <c r="C1357" s="19"/>
      <c r="D1357" s="19"/>
      <c r="E1357" s="32"/>
      <c r="F1357" s="19"/>
      <c r="G1357" s="26" t="str">
        <f aca="false">IF(A1357="","",COUNTIF(Pubs!$B$2:$B$3001,A1357))</f>
        <v/>
      </c>
      <c r="H1357" s="26" t="str">
        <f aca="false">IF(A1357="","",COUNTIF(Apparitions!$H$2:$H$5001,A1357))</f>
        <v/>
      </c>
      <c r="I1357" s="26" t="str">
        <f aca="false">IF(A1357="","",COUNTIFS(Apparitions!$H$2:$H$5001,A1357,Apparitions!$E$2:$E$5001,"○"))</f>
        <v/>
      </c>
      <c r="J1357" s="29" t="str">
        <f aca="false">IF(A1357="","",IFERROR(1/(1/_xlfn.MINIFS(Apparitions!$L$2:$L$5001,Apparitions!$H$2:$H$5001,A1357)),""))</f>
        <v/>
      </c>
    </row>
    <row r="1358" customFormat="false" ht="15" hidden="false" customHeight="false" outlineLevel="0" collapsed="false">
      <c r="A1358" s="19"/>
      <c r="B1358" s="19"/>
      <c r="C1358" s="19"/>
      <c r="D1358" s="19"/>
      <c r="E1358" s="32"/>
      <c r="F1358" s="19"/>
      <c r="G1358" s="26" t="str">
        <f aca="false">IF(A1358="","",COUNTIF(Pubs!$B$2:$B$3001,A1358))</f>
        <v/>
      </c>
      <c r="H1358" s="26" t="str">
        <f aca="false">IF(A1358="","",COUNTIF(Apparitions!$H$2:$H$5001,A1358))</f>
        <v/>
      </c>
      <c r="I1358" s="26" t="str">
        <f aca="false">IF(A1358="","",COUNTIFS(Apparitions!$H$2:$H$5001,A1358,Apparitions!$E$2:$E$5001,"○"))</f>
        <v/>
      </c>
      <c r="J1358" s="29" t="str">
        <f aca="false">IF(A1358="","",IFERROR(1/(1/_xlfn.MINIFS(Apparitions!$L$2:$L$5001,Apparitions!$H$2:$H$5001,A1358)),""))</f>
        <v/>
      </c>
    </row>
    <row r="1359" customFormat="false" ht="15" hidden="false" customHeight="false" outlineLevel="0" collapsed="false">
      <c r="A1359" s="19"/>
      <c r="B1359" s="19"/>
      <c r="C1359" s="19"/>
      <c r="D1359" s="19"/>
      <c r="E1359" s="32"/>
      <c r="F1359" s="19"/>
      <c r="G1359" s="26" t="str">
        <f aca="false">IF(A1359="","",COUNTIF(Pubs!$B$2:$B$3001,A1359))</f>
        <v/>
      </c>
      <c r="H1359" s="26" t="str">
        <f aca="false">IF(A1359="","",COUNTIF(Apparitions!$H$2:$H$5001,A1359))</f>
        <v/>
      </c>
      <c r="I1359" s="26" t="str">
        <f aca="false">IF(A1359="","",COUNTIFS(Apparitions!$H$2:$H$5001,A1359,Apparitions!$E$2:$E$5001,"○"))</f>
        <v/>
      </c>
      <c r="J1359" s="29" t="str">
        <f aca="false">IF(A1359="","",IFERROR(1/(1/_xlfn.MINIFS(Apparitions!$L$2:$L$5001,Apparitions!$H$2:$H$5001,A1359)),""))</f>
        <v/>
      </c>
    </row>
    <row r="1360" customFormat="false" ht="15" hidden="false" customHeight="false" outlineLevel="0" collapsed="false">
      <c r="A1360" s="19"/>
      <c r="B1360" s="19"/>
      <c r="C1360" s="19"/>
      <c r="D1360" s="19"/>
      <c r="E1360" s="32"/>
      <c r="F1360" s="19"/>
      <c r="G1360" s="26" t="str">
        <f aca="false">IF(A1360="","",COUNTIF(Pubs!$B$2:$B$3001,A1360))</f>
        <v/>
      </c>
      <c r="H1360" s="26" t="str">
        <f aca="false">IF(A1360="","",COUNTIF(Apparitions!$H$2:$H$5001,A1360))</f>
        <v/>
      </c>
      <c r="I1360" s="26" t="str">
        <f aca="false">IF(A1360="","",COUNTIFS(Apparitions!$H$2:$H$5001,A1360,Apparitions!$E$2:$E$5001,"○"))</f>
        <v/>
      </c>
      <c r="J1360" s="29" t="str">
        <f aca="false">IF(A1360="","",IFERROR(1/(1/_xlfn.MINIFS(Apparitions!$L$2:$L$5001,Apparitions!$H$2:$H$5001,A1360)),""))</f>
        <v/>
      </c>
    </row>
    <row r="1361" customFormat="false" ht="15" hidden="false" customHeight="false" outlineLevel="0" collapsed="false">
      <c r="A1361" s="19"/>
      <c r="B1361" s="19"/>
      <c r="C1361" s="19"/>
      <c r="D1361" s="19"/>
      <c r="E1361" s="32"/>
      <c r="F1361" s="19"/>
      <c r="G1361" s="26" t="str">
        <f aca="false">IF(A1361="","",COUNTIF(Pubs!$B$2:$B$3001,A1361))</f>
        <v/>
      </c>
      <c r="H1361" s="26" t="str">
        <f aca="false">IF(A1361="","",COUNTIF(Apparitions!$H$2:$H$5001,A1361))</f>
        <v/>
      </c>
      <c r="I1361" s="26" t="str">
        <f aca="false">IF(A1361="","",COUNTIFS(Apparitions!$H$2:$H$5001,A1361,Apparitions!$E$2:$E$5001,"○"))</f>
        <v/>
      </c>
      <c r="J1361" s="29" t="str">
        <f aca="false">IF(A1361="","",IFERROR(1/(1/_xlfn.MINIFS(Apparitions!$L$2:$L$5001,Apparitions!$H$2:$H$5001,A1361)),""))</f>
        <v/>
      </c>
    </row>
    <row r="1362" customFormat="false" ht="15" hidden="false" customHeight="false" outlineLevel="0" collapsed="false">
      <c r="A1362" s="19"/>
      <c r="B1362" s="19"/>
      <c r="C1362" s="19"/>
      <c r="D1362" s="19"/>
      <c r="E1362" s="32"/>
      <c r="F1362" s="19"/>
      <c r="G1362" s="26" t="str">
        <f aca="false">IF(A1362="","",COUNTIF(Pubs!$B$2:$B$3001,A1362))</f>
        <v/>
      </c>
      <c r="H1362" s="26" t="str">
        <f aca="false">IF(A1362="","",COUNTIF(Apparitions!$H$2:$H$5001,A1362))</f>
        <v/>
      </c>
      <c r="I1362" s="26" t="str">
        <f aca="false">IF(A1362="","",COUNTIFS(Apparitions!$H$2:$H$5001,A1362,Apparitions!$E$2:$E$5001,"○"))</f>
        <v/>
      </c>
      <c r="J1362" s="29" t="str">
        <f aca="false">IF(A1362="","",IFERROR(1/(1/_xlfn.MINIFS(Apparitions!$L$2:$L$5001,Apparitions!$H$2:$H$5001,A1362)),""))</f>
        <v/>
      </c>
    </row>
    <row r="1363" customFormat="false" ht="15" hidden="false" customHeight="false" outlineLevel="0" collapsed="false">
      <c r="A1363" s="19"/>
      <c r="B1363" s="19"/>
      <c r="C1363" s="19"/>
      <c r="D1363" s="19"/>
      <c r="E1363" s="32"/>
      <c r="F1363" s="19"/>
      <c r="G1363" s="26" t="str">
        <f aca="false">IF(A1363="","",COUNTIF(Pubs!$B$2:$B$3001,A1363))</f>
        <v/>
      </c>
      <c r="H1363" s="26" t="str">
        <f aca="false">IF(A1363="","",COUNTIF(Apparitions!$H$2:$H$5001,A1363))</f>
        <v/>
      </c>
      <c r="I1363" s="26" t="str">
        <f aca="false">IF(A1363="","",COUNTIFS(Apparitions!$H$2:$H$5001,A1363,Apparitions!$E$2:$E$5001,"○"))</f>
        <v/>
      </c>
      <c r="J1363" s="29" t="str">
        <f aca="false">IF(A1363="","",IFERROR(1/(1/_xlfn.MINIFS(Apparitions!$L$2:$L$5001,Apparitions!$H$2:$H$5001,A1363)),""))</f>
        <v/>
      </c>
    </row>
    <row r="1364" customFormat="false" ht="15" hidden="false" customHeight="false" outlineLevel="0" collapsed="false">
      <c r="A1364" s="19"/>
      <c r="B1364" s="19"/>
      <c r="C1364" s="19"/>
      <c r="D1364" s="19"/>
      <c r="E1364" s="32"/>
      <c r="F1364" s="19"/>
      <c r="G1364" s="26" t="str">
        <f aca="false">IF(A1364="","",COUNTIF(Pubs!$B$2:$B$3001,A1364))</f>
        <v/>
      </c>
      <c r="H1364" s="26" t="str">
        <f aca="false">IF(A1364="","",COUNTIF(Apparitions!$H$2:$H$5001,A1364))</f>
        <v/>
      </c>
      <c r="I1364" s="26" t="str">
        <f aca="false">IF(A1364="","",COUNTIFS(Apparitions!$H$2:$H$5001,A1364,Apparitions!$E$2:$E$5001,"○"))</f>
        <v/>
      </c>
      <c r="J1364" s="29" t="str">
        <f aca="false">IF(A1364="","",IFERROR(1/(1/_xlfn.MINIFS(Apparitions!$L$2:$L$5001,Apparitions!$H$2:$H$5001,A1364)),""))</f>
        <v/>
      </c>
    </row>
    <row r="1365" customFormat="false" ht="15" hidden="false" customHeight="false" outlineLevel="0" collapsed="false">
      <c r="A1365" s="19"/>
      <c r="B1365" s="19"/>
      <c r="C1365" s="19"/>
      <c r="D1365" s="19"/>
      <c r="E1365" s="32"/>
      <c r="F1365" s="19"/>
      <c r="G1365" s="26" t="str">
        <f aca="false">IF(A1365="","",COUNTIF(Pubs!$B$2:$B$3001,A1365))</f>
        <v/>
      </c>
      <c r="H1365" s="26" t="str">
        <f aca="false">IF(A1365="","",COUNTIF(Apparitions!$H$2:$H$5001,A1365))</f>
        <v/>
      </c>
      <c r="I1365" s="26" t="str">
        <f aca="false">IF(A1365="","",COUNTIFS(Apparitions!$H$2:$H$5001,A1365,Apparitions!$E$2:$E$5001,"○"))</f>
        <v/>
      </c>
      <c r="J1365" s="29" t="str">
        <f aca="false">IF(A1365="","",IFERROR(1/(1/_xlfn.MINIFS(Apparitions!$L$2:$L$5001,Apparitions!$H$2:$H$5001,A1365)),""))</f>
        <v/>
      </c>
    </row>
    <row r="1366" customFormat="false" ht="15" hidden="false" customHeight="false" outlineLevel="0" collapsed="false">
      <c r="A1366" s="19"/>
      <c r="B1366" s="19"/>
      <c r="C1366" s="19"/>
      <c r="D1366" s="19"/>
      <c r="E1366" s="32"/>
      <c r="F1366" s="19"/>
      <c r="G1366" s="26" t="str">
        <f aca="false">IF(A1366="","",COUNTIF(Pubs!$B$2:$B$3001,A1366))</f>
        <v/>
      </c>
      <c r="H1366" s="26" t="str">
        <f aca="false">IF(A1366="","",COUNTIF(Apparitions!$H$2:$H$5001,A1366))</f>
        <v/>
      </c>
      <c r="I1366" s="26" t="str">
        <f aca="false">IF(A1366="","",COUNTIFS(Apparitions!$H$2:$H$5001,A1366,Apparitions!$E$2:$E$5001,"○"))</f>
        <v/>
      </c>
      <c r="J1366" s="29" t="str">
        <f aca="false">IF(A1366="","",IFERROR(1/(1/_xlfn.MINIFS(Apparitions!$L$2:$L$5001,Apparitions!$H$2:$H$5001,A1366)),""))</f>
        <v/>
      </c>
    </row>
    <row r="1367" customFormat="false" ht="15" hidden="false" customHeight="false" outlineLevel="0" collapsed="false">
      <c r="A1367" s="19"/>
      <c r="B1367" s="19"/>
      <c r="C1367" s="19"/>
      <c r="D1367" s="19"/>
      <c r="E1367" s="32"/>
      <c r="F1367" s="19"/>
      <c r="G1367" s="26" t="str">
        <f aca="false">IF(A1367="","",COUNTIF(Pubs!$B$2:$B$3001,A1367))</f>
        <v/>
      </c>
      <c r="H1367" s="26" t="str">
        <f aca="false">IF(A1367="","",COUNTIF(Apparitions!$H$2:$H$5001,A1367))</f>
        <v/>
      </c>
      <c r="I1367" s="26" t="str">
        <f aca="false">IF(A1367="","",COUNTIFS(Apparitions!$H$2:$H$5001,A1367,Apparitions!$E$2:$E$5001,"○"))</f>
        <v/>
      </c>
      <c r="J1367" s="29" t="str">
        <f aca="false">IF(A1367="","",IFERROR(1/(1/_xlfn.MINIFS(Apparitions!$L$2:$L$5001,Apparitions!$H$2:$H$5001,A1367)),""))</f>
        <v/>
      </c>
    </row>
    <row r="1368" customFormat="false" ht="15" hidden="false" customHeight="false" outlineLevel="0" collapsed="false">
      <c r="A1368" s="19"/>
      <c r="B1368" s="19"/>
      <c r="C1368" s="19"/>
      <c r="D1368" s="19"/>
      <c r="E1368" s="32"/>
      <c r="F1368" s="19"/>
      <c r="G1368" s="26" t="str">
        <f aca="false">IF(A1368="","",COUNTIF(Pubs!$B$2:$B$3001,A1368))</f>
        <v/>
      </c>
      <c r="H1368" s="26" t="str">
        <f aca="false">IF(A1368="","",COUNTIF(Apparitions!$H$2:$H$5001,A1368))</f>
        <v/>
      </c>
      <c r="I1368" s="26" t="str">
        <f aca="false">IF(A1368="","",COUNTIFS(Apparitions!$H$2:$H$5001,A1368,Apparitions!$E$2:$E$5001,"○"))</f>
        <v/>
      </c>
      <c r="J1368" s="29" t="str">
        <f aca="false">IF(A1368="","",IFERROR(1/(1/_xlfn.MINIFS(Apparitions!$L$2:$L$5001,Apparitions!$H$2:$H$5001,A1368)),""))</f>
        <v/>
      </c>
    </row>
    <row r="1369" customFormat="false" ht="15" hidden="false" customHeight="false" outlineLevel="0" collapsed="false">
      <c r="A1369" s="19"/>
      <c r="B1369" s="19"/>
      <c r="C1369" s="19"/>
      <c r="D1369" s="19"/>
      <c r="E1369" s="32"/>
      <c r="F1369" s="19"/>
      <c r="G1369" s="26" t="str">
        <f aca="false">IF(A1369="","",COUNTIF(Pubs!$B$2:$B$3001,A1369))</f>
        <v/>
      </c>
      <c r="H1369" s="26" t="str">
        <f aca="false">IF(A1369="","",COUNTIF(Apparitions!$H$2:$H$5001,A1369))</f>
        <v/>
      </c>
      <c r="I1369" s="26" t="str">
        <f aca="false">IF(A1369="","",COUNTIFS(Apparitions!$H$2:$H$5001,A1369,Apparitions!$E$2:$E$5001,"○"))</f>
        <v/>
      </c>
      <c r="J1369" s="29" t="str">
        <f aca="false">IF(A1369="","",IFERROR(1/(1/_xlfn.MINIFS(Apparitions!$L$2:$L$5001,Apparitions!$H$2:$H$5001,A1369)),""))</f>
        <v/>
      </c>
    </row>
    <row r="1370" customFormat="false" ht="15" hidden="false" customHeight="false" outlineLevel="0" collapsed="false">
      <c r="A1370" s="19"/>
      <c r="B1370" s="19"/>
      <c r="C1370" s="19"/>
      <c r="D1370" s="19"/>
      <c r="E1370" s="32"/>
      <c r="F1370" s="19"/>
      <c r="G1370" s="26" t="str">
        <f aca="false">IF(A1370="","",COUNTIF(Pubs!$B$2:$B$3001,A1370))</f>
        <v/>
      </c>
      <c r="H1370" s="26" t="str">
        <f aca="false">IF(A1370="","",COUNTIF(Apparitions!$H$2:$H$5001,A1370))</f>
        <v/>
      </c>
      <c r="I1370" s="26" t="str">
        <f aca="false">IF(A1370="","",COUNTIFS(Apparitions!$H$2:$H$5001,A1370,Apparitions!$E$2:$E$5001,"○"))</f>
        <v/>
      </c>
      <c r="J1370" s="29" t="str">
        <f aca="false">IF(A1370="","",IFERROR(1/(1/_xlfn.MINIFS(Apparitions!$L$2:$L$5001,Apparitions!$H$2:$H$5001,A1370)),""))</f>
        <v/>
      </c>
    </row>
    <row r="1371" customFormat="false" ht="15" hidden="false" customHeight="false" outlineLevel="0" collapsed="false">
      <c r="A1371" s="19"/>
      <c r="B1371" s="19"/>
      <c r="C1371" s="19"/>
      <c r="D1371" s="19"/>
      <c r="E1371" s="32"/>
      <c r="F1371" s="19"/>
      <c r="G1371" s="26" t="str">
        <f aca="false">IF(A1371="","",COUNTIF(Pubs!$B$2:$B$3001,A1371))</f>
        <v/>
      </c>
      <c r="H1371" s="26" t="str">
        <f aca="false">IF(A1371="","",COUNTIF(Apparitions!$H$2:$H$5001,A1371))</f>
        <v/>
      </c>
      <c r="I1371" s="26" t="str">
        <f aca="false">IF(A1371="","",COUNTIFS(Apparitions!$H$2:$H$5001,A1371,Apparitions!$E$2:$E$5001,"○"))</f>
        <v/>
      </c>
      <c r="J1371" s="29" t="str">
        <f aca="false">IF(A1371="","",IFERROR(1/(1/_xlfn.MINIFS(Apparitions!$L$2:$L$5001,Apparitions!$H$2:$H$5001,A1371)),""))</f>
        <v/>
      </c>
    </row>
    <row r="1372" customFormat="false" ht="15" hidden="false" customHeight="false" outlineLevel="0" collapsed="false">
      <c r="A1372" s="19"/>
      <c r="B1372" s="19"/>
      <c r="C1372" s="19"/>
      <c r="D1372" s="19"/>
      <c r="E1372" s="32"/>
      <c r="F1372" s="19"/>
      <c r="G1372" s="26" t="str">
        <f aca="false">IF(A1372="","",COUNTIF(Pubs!$B$2:$B$3001,A1372))</f>
        <v/>
      </c>
      <c r="H1372" s="26" t="str">
        <f aca="false">IF(A1372="","",COUNTIF(Apparitions!$H$2:$H$5001,A1372))</f>
        <v/>
      </c>
      <c r="I1372" s="26" t="str">
        <f aca="false">IF(A1372="","",COUNTIFS(Apparitions!$H$2:$H$5001,A1372,Apparitions!$E$2:$E$5001,"○"))</f>
        <v/>
      </c>
      <c r="J1372" s="29" t="str">
        <f aca="false">IF(A1372="","",IFERROR(1/(1/_xlfn.MINIFS(Apparitions!$L$2:$L$5001,Apparitions!$H$2:$H$5001,A1372)),""))</f>
        <v/>
      </c>
    </row>
    <row r="1373" customFormat="false" ht="15" hidden="false" customHeight="false" outlineLevel="0" collapsed="false">
      <c r="A1373" s="19"/>
      <c r="B1373" s="19"/>
      <c r="C1373" s="19"/>
      <c r="D1373" s="19"/>
      <c r="E1373" s="32"/>
      <c r="F1373" s="19"/>
      <c r="G1373" s="26" t="str">
        <f aca="false">IF(A1373="","",COUNTIF(Pubs!$B$2:$B$3001,A1373))</f>
        <v/>
      </c>
      <c r="H1373" s="26" t="str">
        <f aca="false">IF(A1373="","",COUNTIF(Apparitions!$H$2:$H$5001,A1373))</f>
        <v/>
      </c>
      <c r="I1373" s="26" t="str">
        <f aca="false">IF(A1373="","",COUNTIFS(Apparitions!$H$2:$H$5001,A1373,Apparitions!$E$2:$E$5001,"○"))</f>
        <v/>
      </c>
      <c r="J1373" s="29" t="str">
        <f aca="false">IF(A1373="","",IFERROR(1/(1/_xlfn.MINIFS(Apparitions!$L$2:$L$5001,Apparitions!$H$2:$H$5001,A1373)),""))</f>
        <v/>
      </c>
    </row>
    <row r="1374" customFormat="false" ht="15" hidden="false" customHeight="false" outlineLevel="0" collapsed="false">
      <c r="A1374" s="19"/>
      <c r="B1374" s="19"/>
      <c r="C1374" s="19"/>
      <c r="D1374" s="19"/>
      <c r="E1374" s="32"/>
      <c r="F1374" s="19"/>
      <c r="G1374" s="26" t="str">
        <f aca="false">IF(A1374="","",COUNTIF(Pubs!$B$2:$B$3001,A1374))</f>
        <v/>
      </c>
      <c r="H1374" s="26" t="str">
        <f aca="false">IF(A1374="","",COUNTIF(Apparitions!$H$2:$H$5001,A1374))</f>
        <v/>
      </c>
      <c r="I1374" s="26" t="str">
        <f aca="false">IF(A1374="","",COUNTIFS(Apparitions!$H$2:$H$5001,A1374,Apparitions!$E$2:$E$5001,"○"))</f>
        <v/>
      </c>
      <c r="J1374" s="29" t="str">
        <f aca="false">IF(A1374="","",IFERROR(1/(1/_xlfn.MINIFS(Apparitions!$L$2:$L$5001,Apparitions!$H$2:$H$5001,A1374)),""))</f>
        <v/>
      </c>
    </row>
    <row r="1375" customFormat="false" ht="15" hidden="false" customHeight="false" outlineLevel="0" collapsed="false">
      <c r="A1375" s="19"/>
      <c r="B1375" s="19"/>
      <c r="C1375" s="19"/>
      <c r="D1375" s="19"/>
      <c r="E1375" s="32"/>
      <c r="F1375" s="19"/>
      <c r="G1375" s="26" t="str">
        <f aca="false">IF(A1375="","",COUNTIF(Pubs!$B$2:$B$3001,A1375))</f>
        <v/>
      </c>
      <c r="H1375" s="26" t="str">
        <f aca="false">IF(A1375="","",COUNTIF(Apparitions!$H$2:$H$5001,A1375))</f>
        <v/>
      </c>
      <c r="I1375" s="26" t="str">
        <f aca="false">IF(A1375="","",COUNTIFS(Apparitions!$H$2:$H$5001,A1375,Apparitions!$E$2:$E$5001,"○"))</f>
        <v/>
      </c>
      <c r="J1375" s="29" t="str">
        <f aca="false">IF(A1375="","",IFERROR(1/(1/_xlfn.MINIFS(Apparitions!$L$2:$L$5001,Apparitions!$H$2:$H$5001,A1375)),""))</f>
        <v/>
      </c>
    </row>
    <row r="1376" customFormat="false" ht="15" hidden="false" customHeight="false" outlineLevel="0" collapsed="false">
      <c r="A1376" s="19"/>
      <c r="B1376" s="19"/>
      <c r="C1376" s="19"/>
      <c r="D1376" s="19"/>
      <c r="E1376" s="32"/>
      <c r="F1376" s="19"/>
      <c r="G1376" s="26" t="str">
        <f aca="false">IF(A1376="","",COUNTIF(Pubs!$B$2:$B$3001,A1376))</f>
        <v/>
      </c>
      <c r="H1376" s="26" t="str">
        <f aca="false">IF(A1376="","",COUNTIF(Apparitions!$H$2:$H$5001,A1376))</f>
        <v/>
      </c>
      <c r="I1376" s="26" t="str">
        <f aca="false">IF(A1376="","",COUNTIFS(Apparitions!$H$2:$H$5001,A1376,Apparitions!$E$2:$E$5001,"○"))</f>
        <v/>
      </c>
      <c r="J1376" s="29" t="str">
        <f aca="false">IF(A1376="","",IFERROR(1/(1/_xlfn.MINIFS(Apparitions!$L$2:$L$5001,Apparitions!$H$2:$H$5001,A1376)),""))</f>
        <v/>
      </c>
    </row>
    <row r="1377" customFormat="false" ht="15" hidden="false" customHeight="false" outlineLevel="0" collapsed="false">
      <c r="A1377" s="19"/>
      <c r="B1377" s="19"/>
      <c r="C1377" s="19"/>
      <c r="D1377" s="19"/>
      <c r="E1377" s="32"/>
      <c r="F1377" s="19"/>
      <c r="G1377" s="26" t="str">
        <f aca="false">IF(A1377="","",COUNTIF(Pubs!$B$2:$B$3001,A1377))</f>
        <v/>
      </c>
      <c r="H1377" s="26" t="str">
        <f aca="false">IF(A1377="","",COUNTIF(Apparitions!$H$2:$H$5001,A1377))</f>
        <v/>
      </c>
      <c r="I1377" s="26" t="str">
        <f aca="false">IF(A1377="","",COUNTIFS(Apparitions!$H$2:$H$5001,A1377,Apparitions!$E$2:$E$5001,"○"))</f>
        <v/>
      </c>
      <c r="J1377" s="29" t="str">
        <f aca="false">IF(A1377="","",IFERROR(1/(1/_xlfn.MINIFS(Apparitions!$L$2:$L$5001,Apparitions!$H$2:$H$5001,A1377)),""))</f>
        <v/>
      </c>
    </row>
    <row r="1378" customFormat="false" ht="15" hidden="false" customHeight="false" outlineLevel="0" collapsed="false">
      <c r="A1378" s="19"/>
      <c r="B1378" s="19"/>
      <c r="C1378" s="19"/>
      <c r="D1378" s="19"/>
      <c r="E1378" s="32"/>
      <c r="F1378" s="19"/>
      <c r="G1378" s="26" t="str">
        <f aca="false">IF(A1378="","",COUNTIF(Pubs!$B$2:$B$3001,A1378))</f>
        <v/>
      </c>
      <c r="H1378" s="26" t="str">
        <f aca="false">IF(A1378="","",COUNTIF(Apparitions!$H$2:$H$5001,A1378))</f>
        <v/>
      </c>
      <c r="I1378" s="26" t="str">
        <f aca="false">IF(A1378="","",COUNTIFS(Apparitions!$H$2:$H$5001,A1378,Apparitions!$E$2:$E$5001,"○"))</f>
        <v/>
      </c>
      <c r="J1378" s="29" t="str">
        <f aca="false">IF(A1378="","",IFERROR(1/(1/_xlfn.MINIFS(Apparitions!$L$2:$L$5001,Apparitions!$H$2:$H$5001,A1378)),""))</f>
        <v/>
      </c>
    </row>
    <row r="1379" customFormat="false" ht="15" hidden="false" customHeight="false" outlineLevel="0" collapsed="false">
      <c r="A1379" s="19"/>
      <c r="B1379" s="19"/>
      <c r="C1379" s="19"/>
      <c r="D1379" s="19"/>
      <c r="E1379" s="32"/>
      <c r="F1379" s="19"/>
      <c r="G1379" s="26" t="str">
        <f aca="false">IF(A1379="","",COUNTIF(Pubs!$B$2:$B$3001,A1379))</f>
        <v/>
      </c>
      <c r="H1379" s="26" t="str">
        <f aca="false">IF(A1379="","",COUNTIF(Apparitions!$H$2:$H$5001,A1379))</f>
        <v/>
      </c>
      <c r="I1379" s="26" t="str">
        <f aca="false">IF(A1379="","",COUNTIFS(Apparitions!$H$2:$H$5001,A1379,Apparitions!$E$2:$E$5001,"○"))</f>
        <v/>
      </c>
      <c r="J1379" s="29" t="str">
        <f aca="false">IF(A1379="","",IFERROR(1/(1/_xlfn.MINIFS(Apparitions!$L$2:$L$5001,Apparitions!$H$2:$H$5001,A1379)),""))</f>
        <v/>
      </c>
    </row>
    <row r="1380" customFormat="false" ht="15" hidden="false" customHeight="false" outlineLevel="0" collapsed="false">
      <c r="A1380" s="19"/>
      <c r="B1380" s="19"/>
      <c r="C1380" s="19"/>
      <c r="D1380" s="19"/>
      <c r="E1380" s="32"/>
      <c r="F1380" s="19"/>
      <c r="G1380" s="26" t="str">
        <f aca="false">IF(A1380="","",COUNTIF(Pubs!$B$2:$B$3001,A1380))</f>
        <v/>
      </c>
      <c r="H1380" s="26" t="str">
        <f aca="false">IF(A1380="","",COUNTIF(Apparitions!$H$2:$H$5001,A1380))</f>
        <v/>
      </c>
      <c r="I1380" s="26" t="str">
        <f aca="false">IF(A1380="","",COUNTIFS(Apparitions!$H$2:$H$5001,A1380,Apparitions!$E$2:$E$5001,"○"))</f>
        <v/>
      </c>
      <c r="J1380" s="29" t="str">
        <f aca="false">IF(A1380="","",IFERROR(1/(1/_xlfn.MINIFS(Apparitions!$L$2:$L$5001,Apparitions!$H$2:$H$5001,A1380)),""))</f>
        <v/>
      </c>
    </row>
    <row r="1381" customFormat="false" ht="15" hidden="false" customHeight="false" outlineLevel="0" collapsed="false">
      <c r="A1381" s="19"/>
      <c r="B1381" s="19"/>
      <c r="C1381" s="19"/>
      <c r="D1381" s="19"/>
      <c r="E1381" s="32"/>
      <c r="F1381" s="19"/>
      <c r="G1381" s="26" t="str">
        <f aca="false">IF(A1381="","",COUNTIF(Pubs!$B$2:$B$3001,A1381))</f>
        <v/>
      </c>
      <c r="H1381" s="26" t="str">
        <f aca="false">IF(A1381="","",COUNTIF(Apparitions!$H$2:$H$5001,A1381))</f>
        <v/>
      </c>
      <c r="I1381" s="26" t="str">
        <f aca="false">IF(A1381="","",COUNTIFS(Apparitions!$H$2:$H$5001,A1381,Apparitions!$E$2:$E$5001,"○"))</f>
        <v/>
      </c>
      <c r="J1381" s="29" t="str">
        <f aca="false">IF(A1381="","",IFERROR(1/(1/_xlfn.MINIFS(Apparitions!$L$2:$L$5001,Apparitions!$H$2:$H$5001,A1381)),""))</f>
        <v/>
      </c>
    </row>
    <row r="1382" customFormat="false" ht="15" hidden="false" customHeight="false" outlineLevel="0" collapsed="false">
      <c r="A1382" s="19"/>
      <c r="B1382" s="19"/>
      <c r="C1382" s="19"/>
      <c r="D1382" s="19"/>
      <c r="E1382" s="32"/>
      <c r="F1382" s="19"/>
      <c r="G1382" s="26" t="str">
        <f aca="false">IF(A1382="","",COUNTIF(Pubs!$B$2:$B$3001,A1382))</f>
        <v/>
      </c>
      <c r="H1382" s="26" t="str">
        <f aca="false">IF(A1382="","",COUNTIF(Apparitions!$H$2:$H$5001,A1382))</f>
        <v/>
      </c>
      <c r="I1382" s="26" t="str">
        <f aca="false">IF(A1382="","",COUNTIFS(Apparitions!$H$2:$H$5001,A1382,Apparitions!$E$2:$E$5001,"○"))</f>
        <v/>
      </c>
      <c r="J1382" s="29" t="str">
        <f aca="false">IF(A1382="","",IFERROR(1/(1/_xlfn.MINIFS(Apparitions!$L$2:$L$5001,Apparitions!$H$2:$H$5001,A1382)),""))</f>
        <v/>
      </c>
    </row>
    <row r="1383" customFormat="false" ht="15" hidden="false" customHeight="false" outlineLevel="0" collapsed="false">
      <c r="A1383" s="19"/>
      <c r="B1383" s="19"/>
      <c r="C1383" s="19"/>
      <c r="D1383" s="19"/>
      <c r="E1383" s="32"/>
      <c r="F1383" s="19"/>
      <c r="G1383" s="26" t="str">
        <f aca="false">IF(A1383="","",COUNTIF(Pubs!$B$2:$B$3001,A1383))</f>
        <v/>
      </c>
      <c r="H1383" s="26" t="str">
        <f aca="false">IF(A1383="","",COUNTIF(Apparitions!$H$2:$H$5001,A1383))</f>
        <v/>
      </c>
      <c r="I1383" s="26" t="str">
        <f aca="false">IF(A1383="","",COUNTIFS(Apparitions!$H$2:$H$5001,A1383,Apparitions!$E$2:$E$5001,"○"))</f>
        <v/>
      </c>
      <c r="J1383" s="29" t="str">
        <f aca="false">IF(A1383="","",IFERROR(1/(1/_xlfn.MINIFS(Apparitions!$L$2:$L$5001,Apparitions!$H$2:$H$5001,A1383)),""))</f>
        <v/>
      </c>
    </row>
    <row r="1384" customFormat="false" ht="15" hidden="false" customHeight="false" outlineLevel="0" collapsed="false">
      <c r="A1384" s="19"/>
      <c r="B1384" s="19"/>
      <c r="C1384" s="19"/>
      <c r="D1384" s="19"/>
      <c r="E1384" s="32"/>
      <c r="F1384" s="19"/>
      <c r="G1384" s="26" t="str">
        <f aca="false">IF(A1384="","",COUNTIF(Pubs!$B$2:$B$3001,A1384))</f>
        <v/>
      </c>
      <c r="H1384" s="26" t="str">
        <f aca="false">IF(A1384="","",COUNTIF(Apparitions!$H$2:$H$5001,A1384))</f>
        <v/>
      </c>
      <c r="I1384" s="26" t="str">
        <f aca="false">IF(A1384="","",COUNTIFS(Apparitions!$H$2:$H$5001,A1384,Apparitions!$E$2:$E$5001,"○"))</f>
        <v/>
      </c>
      <c r="J1384" s="29" t="str">
        <f aca="false">IF(A1384="","",IFERROR(1/(1/_xlfn.MINIFS(Apparitions!$L$2:$L$5001,Apparitions!$H$2:$H$5001,A1384)),""))</f>
        <v/>
      </c>
    </row>
    <row r="1385" customFormat="false" ht="15" hidden="false" customHeight="false" outlineLevel="0" collapsed="false">
      <c r="A1385" s="19"/>
      <c r="B1385" s="19"/>
      <c r="C1385" s="19"/>
      <c r="D1385" s="19"/>
      <c r="E1385" s="32"/>
      <c r="F1385" s="19"/>
      <c r="G1385" s="26" t="str">
        <f aca="false">IF(A1385="","",COUNTIF(Pubs!$B$2:$B$3001,A1385))</f>
        <v/>
      </c>
      <c r="H1385" s="26" t="str">
        <f aca="false">IF(A1385="","",COUNTIF(Apparitions!$H$2:$H$5001,A1385))</f>
        <v/>
      </c>
      <c r="I1385" s="26" t="str">
        <f aca="false">IF(A1385="","",COUNTIFS(Apparitions!$H$2:$H$5001,A1385,Apparitions!$E$2:$E$5001,"○"))</f>
        <v/>
      </c>
      <c r="J1385" s="29" t="str">
        <f aca="false">IF(A1385="","",IFERROR(1/(1/_xlfn.MINIFS(Apparitions!$L$2:$L$5001,Apparitions!$H$2:$H$5001,A1385)),""))</f>
        <v/>
      </c>
    </row>
    <row r="1386" customFormat="false" ht="15" hidden="false" customHeight="false" outlineLevel="0" collapsed="false">
      <c r="A1386" s="19"/>
      <c r="B1386" s="19"/>
      <c r="C1386" s="19"/>
      <c r="D1386" s="19"/>
      <c r="E1386" s="32"/>
      <c r="F1386" s="19"/>
      <c r="G1386" s="26" t="str">
        <f aca="false">IF(A1386="","",COUNTIF(Pubs!$B$2:$B$3001,A1386))</f>
        <v/>
      </c>
      <c r="H1386" s="26" t="str">
        <f aca="false">IF(A1386="","",COUNTIF(Apparitions!$H$2:$H$5001,A1386))</f>
        <v/>
      </c>
      <c r="I1386" s="26" t="str">
        <f aca="false">IF(A1386="","",COUNTIFS(Apparitions!$H$2:$H$5001,A1386,Apparitions!$E$2:$E$5001,"○"))</f>
        <v/>
      </c>
      <c r="J1386" s="29" t="str">
        <f aca="false">IF(A1386="","",IFERROR(1/(1/_xlfn.MINIFS(Apparitions!$L$2:$L$5001,Apparitions!$H$2:$H$5001,A1386)),""))</f>
        <v/>
      </c>
    </row>
    <row r="1387" customFormat="false" ht="15" hidden="false" customHeight="false" outlineLevel="0" collapsed="false">
      <c r="A1387" s="19"/>
      <c r="B1387" s="19"/>
      <c r="C1387" s="19"/>
      <c r="D1387" s="19"/>
      <c r="E1387" s="32"/>
      <c r="F1387" s="19"/>
      <c r="G1387" s="26" t="str">
        <f aca="false">IF(A1387="","",COUNTIF(Pubs!$B$2:$B$3001,A1387))</f>
        <v/>
      </c>
      <c r="H1387" s="26" t="str">
        <f aca="false">IF(A1387="","",COUNTIF(Apparitions!$H$2:$H$5001,A1387))</f>
        <v/>
      </c>
      <c r="I1387" s="26" t="str">
        <f aca="false">IF(A1387="","",COUNTIFS(Apparitions!$H$2:$H$5001,A1387,Apparitions!$E$2:$E$5001,"○"))</f>
        <v/>
      </c>
      <c r="J1387" s="29" t="str">
        <f aca="false">IF(A1387="","",IFERROR(1/(1/_xlfn.MINIFS(Apparitions!$L$2:$L$5001,Apparitions!$H$2:$H$5001,A1387)),""))</f>
        <v/>
      </c>
    </row>
    <row r="1388" customFormat="false" ht="15" hidden="false" customHeight="false" outlineLevel="0" collapsed="false">
      <c r="A1388" s="19"/>
      <c r="B1388" s="19"/>
      <c r="C1388" s="19"/>
      <c r="D1388" s="19"/>
      <c r="E1388" s="32"/>
      <c r="F1388" s="19"/>
      <c r="G1388" s="26" t="str">
        <f aca="false">IF(A1388="","",COUNTIF(Pubs!$B$2:$B$3001,A1388))</f>
        <v/>
      </c>
      <c r="H1388" s="26" t="str">
        <f aca="false">IF(A1388="","",COUNTIF(Apparitions!$H$2:$H$5001,A1388))</f>
        <v/>
      </c>
      <c r="I1388" s="26" t="str">
        <f aca="false">IF(A1388="","",COUNTIFS(Apparitions!$H$2:$H$5001,A1388,Apparitions!$E$2:$E$5001,"○"))</f>
        <v/>
      </c>
      <c r="J1388" s="29" t="str">
        <f aca="false">IF(A1388="","",IFERROR(1/(1/_xlfn.MINIFS(Apparitions!$L$2:$L$5001,Apparitions!$H$2:$H$5001,A1388)),""))</f>
        <v/>
      </c>
    </row>
    <row r="1389" customFormat="false" ht="15" hidden="false" customHeight="false" outlineLevel="0" collapsed="false">
      <c r="A1389" s="19"/>
      <c r="B1389" s="19"/>
      <c r="C1389" s="19"/>
      <c r="D1389" s="19"/>
      <c r="E1389" s="32"/>
      <c r="F1389" s="19"/>
      <c r="G1389" s="26" t="str">
        <f aca="false">IF(A1389="","",COUNTIF(Pubs!$B$2:$B$3001,A1389))</f>
        <v/>
      </c>
      <c r="H1389" s="26" t="str">
        <f aca="false">IF(A1389="","",COUNTIF(Apparitions!$H$2:$H$5001,A1389))</f>
        <v/>
      </c>
      <c r="I1389" s="26" t="str">
        <f aca="false">IF(A1389="","",COUNTIFS(Apparitions!$H$2:$H$5001,A1389,Apparitions!$E$2:$E$5001,"○"))</f>
        <v/>
      </c>
      <c r="J1389" s="29" t="str">
        <f aca="false">IF(A1389="","",IFERROR(1/(1/_xlfn.MINIFS(Apparitions!$L$2:$L$5001,Apparitions!$H$2:$H$5001,A1389)),""))</f>
        <v/>
      </c>
    </row>
    <row r="1390" customFormat="false" ht="15" hidden="false" customHeight="false" outlineLevel="0" collapsed="false">
      <c r="A1390" s="19"/>
      <c r="B1390" s="19"/>
      <c r="C1390" s="19"/>
      <c r="D1390" s="19"/>
      <c r="E1390" s="32"/>
      <c r="F1390" s="19"/>
      <c r="G1390" s="26" t="str">
        <f aca="false">IF(A1390="","",COUNTIF(Pubs!$B$2:$B$3001,A1390))</f>
        <v/>
      </c>
      <c r="H1390" s="26" t="str">
        <f aca="false">IF(A1390="","",COUNTIF(Apparitions!$H$2:$H$5001,A1390))</f>
        <v/>
      </c>
      <c r="I1390" s="26" t="str">
        <f aca="false">IF(A1390="","",COUNTIFS(Apparitions!$H$2:$H$5001,A1390,Apparitions!$E$2:$E$5001,"○"))</f>
        <v/>
      </c>
      <c r="J1390" s="29" t="str">
        <f aca="false">IF(A1390="","",IFERROR(1/(1/_xlfn.MINIFS(Apparitions!$L$2:$L$5001,Apparitions!$H$2:$H$5001,A1390)),""))</f>
        <v/>
      </c>
    </row>
    <row r="1391" customFormat="false" ht="15" hidden="false" customHeight="false" outlineLevel="0" collapsed="false">
      <c r="A1391" s="19"/>
      <c r="B1391" s="19"/>
      <c r="C1391" s="19"/>
      <c r="D1391" s="19"/>
      <c r="E1391" s="32"/>
      <c r="F1391" s="19"/>
      <c r="G1391" s="26" t="str">
        <f aca="false">IF(A1391="","",COUNTIF(Pubs!$B$2:$B$3001,A1391))</f>
        <v/>
      </c>
      <c r="H1391" s="26" t="str">
        <f aca="false">IF(A1391="","",COUNTIF(Apparitions!$H$2:$H$5001,A1391))</f>
        <v/>
      </c>
      <c r="I1391" s="26" t="str">
        <f aca="false">IF(A1391="","",COUNTIFS(Apparitions!$H$2:$H$5001,A1391,Apparitions!$E$2:$E$5001,"○"))</f>
        <v/>
      </c>
      <c r="J1391" s="29" t="str">
        <f aca="false">IF(A1391="","",IFERROR(1/(1/_xlfn.MINIFS(Apparitions!$L$2:$L$5001,Apparitions!$H$2:$H$5001,A1391)),""))</f>
        <v/>
      </c>
    </row>
    <row r="1392" customFormat="false" ht="15" hidden="false" customHeight="false" outlineLevel="0" collapsed="false">
      <c r="A1392" s="19"/>
      <c r="B1392" s="19"/>
      <c r="C1392" s="19"/>
      <c r="D1392" s="19"/>
      <c r="E1392" s="32"/>
      <c r="F1392" s="19"/>
      <c r="G1392" s="26" t="str">
        <f aca="false">IF(A1392="","",COUNTIF(Pubs!$B$2:$B$3001,A1392))</f>
        <v/>
      </c>
      <c r="H1392" s="26" t="str">
        <f aca="false">IF(A1392="","",COUNTIF(Apparitions!$H$2:$H$5001,A1392))</f>
        <v/>
      </c>
      <c r="I1392" s="26" t="str">
        <f aca="false">IF(A1392="","",COUNTIFS(Apparitions!$H$2:$H$5001,A1392,Apparitions!$E$2:$E$5001,"○"))</f>
        <v/>
      </c>
      <c r="J1392" s="29" t="str">
        <f aca="false">IF(A1392="","",IFERROR(1/(1/_xlfn.MINIFS(Apparitions!$L$2:$L$5001,Apparitions!$H$2:$H$5001,A1392)),""))</f>
        <v/>
      </c>
    </row>
    <row r="1393" customFormat="false" ht="15" hidden="false" customHeight="false" outlineLevel="0" collapsed="false">
      <c r="A1393" s="19"/>
      <c r="B1393" s="19"/>
      <c r="C1393" s="19"/>
      <c r="D1393" s="19"/>
      <c r="E1393" s="32"/>
      <c r="F1393" s="19"/>
      <c r="G1393" s="26" t="str">
        <f aca="false">IF(A1393="","",COUNTIF(Pubs!$B$2:$B$3001,A1393))</f>
        <v/>
      </c>
      <c r="H1393" s="26" t="str">
        <f aca="false">IF(A1393="","",COUNTIF(Apparitions!$H$2:$H$5001,A1393))</f>
        <v/>
      </c>
      <c r="I1393" s="26" t="str">
        <f aca="false">IF(A1393="","",COUNTIFS(Apparitions!$H$2:$H$5001,A1393,Apparitions!$E$2:$E$5001,"○"))</f>
        <v/>
      </c>
      <c r="J1393" s="29" t="str">
        <f aca="false">IF(A1393="","",IFERROR(1/(1/_xlfn.MINIFS(Apparitions!$L$2:$L$5001,Apparitions!$H$2:$H$5001,A1393)),""))</f>
        <v/>
      </c>
    </row>
    <row r="1394" customFormat="false" ht="15" hidden="false" customHeight="false" outlineLevel="0" collapsed="false">
      <c r="A1394" s="19"/>
      <c r="B1394" s="19"/>
      <c r="C1394" s="19"/>
      <c r="D1394" s="19"/>
      <c r="E1394" s="32"/>
      <c r="F1394" s="19"/>
      <c r="G1394" s="26" t="str">
        <f aca="false">IF(A1394="","",COUNTIF(Pubs!$B$2:$B$3001,A1394))</f>
        <v/>
      </c>
      <c r="H1394" s="26" t="str">
        <f aca="false">IF(A1394="","",COUNTIF(Apparitions!$H$2:$H$5001,A1394))</f>
        <v/>
      </c>
      <c r="I1394" s="26" t="str">
        <f aca="false">IF(A1394="","",COUNTIFS(Apparitions!$H$2:$H$5001,A1394,Apparitions!$E$2:$E$5001,"○"))</f>
        <v/>
      </c>
      <c r="J1394" s="29" t="str">
        <f aca="false">IF(A1394="","",IFERROR(1/(1/_xlfn.MINIFS(Apparitions!$L$2:$L$5001,Apparitions!$H$2:$H$5001,A1394)),""))</f>
        <v/>
      </c>
    </row>
    <row r="1395" customFormat="false" ht="15" hidden="false" customHeight="false" outlineLevel="0" collapsed="false">
      <c r="A1395" s="19"/>
      <c r="B1395" s="19"/>
      <c r="C1395" s="19"/>
      <c r="D1395" s="19"/>
      <c r="E1395" s="32"/>
      <c r="F1395" s="19"/>
      <c r="G1395" s="26" t="str">
        <f aca="false">IF(A1395="","",COUNTIF(Pubs!$B$2:$B$3001,A1395))</f>
        <v/>
      </c>
      <c r="H1395" s="26" t="str">
        <f aca="false">IF(A1395="","",COUNTIF(Apparitions!$H$2:$H$5001,A1395))</f>
        <v/>
      </c>
      <c r="I1395" s="26" t="str">
        <f aca="false">IF(A1395="","",COUNTIFS(Apparitions!$H$2:$H$5001,A1395,Apparitions!$E$2:$E$5001,"○"))</f>
        <v/>
      </c>
      <c r="J1395" s="29" t="str">
        <f aca="false">IF(A1395="","",IFERROR(1/(1/_xlfn.MINIFS(Apparitions!$L$2:$L$5001,Apparitions!$H$2:$H$5001,A1395)),""))</f>
        <v/>
      </c>
    </row>
    <row r="1396" customFormat="false" ht="15" hidden="false" customHeight="false" outlineLevel="0" collapsed="false">
      <c r="A1396" s="19"/>
      <c r="B1396" s="19"/>
      <c r="C1396" s="19"/>
      <c r="D1396" s="19"/>
      <c r="E1396" s="32"/>
      <c r="F1396" s="19"/>
      <c r="G1396" s="26" t="str">
        <f aca="false">IF(A1396="","",COUNTIF(Pubs!$B$2:$B$3001,A1396))</f>
        <v/>
      </c>
      <c r="H1396" s="26" t="str">
        <f aca="false">IF(A1396="","",COUNTIF(Apparitions!$H$2:$H$5001,A1396))</f>
        <v/>
      </c>
      <c r="I1396" s="26" t="str">
        <f aca="false">IF(A1396="","",COUNTIFS(Apparitions!$H$2:$H$5001,A1396,Apparitions!$E$2:$E$5001,"○"))</f>
        <v/>
      </c>
      <c r="J1396" s="29" t="str">
        <f aca="false">IF(A1396="","",IFERROR(1/(1/_xlfn.MINIFS(Apparitions!$L$2:$L$5001,Apparitions!$H$2:$H$5001,A1396)),""))</f>
        <v/>
      </c>
    </row>
    <row r="1397" customFormat="false" ht="15" hidden="false" customHeight="false" outlineLevel="0" collapsed="false">
      <c r="A1397" s="19"/>
      <c r="B1397" s="19"/>
      <c r="C1397" s="19"/>
      <c r="D1397" s="19"/>
      <c r="E1397" s="32"/>
      <c r="F1397" s="19"/>
      <c r="G1397" s="26" t="str">
        <f aca="false">IF(A1397="","",COUNTIF(Pubs!$B$2:$B$3001,A1397))</f>
        <v/>
      </c>
      <c r="H1397" s="26" t="str">
        <f aca="false">IF(A1397="","",COUNTIF(Apparitions!$H$2:$H$5001,A1397))</f>
        <v/>
      </c>
      <c r="I1397" s="26" t="str">
        <f aca="false">IF(A1397="","",COUNTIFS(Apparitions!$H$2:$H$5001,A1397,Apparitions!$E$2:$E$5001,"○"))</f>
        <v/>
      </c>
      <c r="J1397" s="29" t="str">
        <f aca="false">IF(A1397="","",IFERROR(1/(1/_xlfn.MINIFS(Apparitions!$L$2:$L$5001,Apparitions!$H$2:$H$5001,A1397)),""))</f>
        <v/>
      </c>
    </row>
    <row r="1398" customFormat="false" ht="15" hidden="false" customHeight="false" outlineLevel="0" collapsed="false">
      <c r="A1398" s="19"/>
      <c r="B1398" s="19"/>
      <c r="C1398" s="19"/>
      <c r="D1398" s="19"/>
      <c r="E1398" s="32"/>
      <c r="F1398" s="19"/>
      <c r="G1398" s="26" t="str">
        <f aca="false">IF(A1398="","",COUNTIF(Pubs!$B$2:$B$3001,A1398))</f>
        <v/>
      </c>
      <c r="H1398" s="26" t="str">
        <f aca="false">IF(A1398="","",COUNTIF(Apparitions!$H$2:$H$5001,A1398))</f>
        <v/>
      </c>
      <c r="I1398" s="26" t="str">
        <f aca="false">IF(A1398="","",COUNTIFS(Apparitions!$H$2:$H$5001,A1398,Apparitions!$E$2:$E$5001,"○"))</f>
        <v/>
      </c>
      <c r="J1398" s="29" t="str">
        <f aca="false">IF(A1398="","",IFERROR(1/(1/_xlfn.MINIFS(Apparitions!$L$2:$L$5001,Apparitions!$H$2:$H$5001,A1398)),""))</f>
        <v/>
      </c>
    </row>
    <row r="1399" customFormat="false" ht="15" hidden="false" customHeight="false" outlineLevel="0" collapsed="false">
      <c r="A1399" s="19"/>
      <c r="B1399" s="19"/>
      <c r="C1399" s="19"/>
      <c r="D1399" s="19"/>
      <c r="E1399" s="32"/>
      <c r="F1399" s="19"/>
      <c r="G1399" s="26" t="str">
        <f aca="false">IF(A1399="","",COUNTIF(Pubs!$B$2:$B$3001,A1399))</f>
        <v/>
      </c>
      <c r="H1399" s="26" t="str">
        <f aca="false">IF(A1399="","",COUNTIF(Apparitions!$H$2:$H$5001,A1399))</f>
        <v/>
      </c>
      <c r="I1399" s="26" t="str">
        <f aca="false">IF(A1399="","",COUNTIFS(Apparitions!$H$2:$H$5001,A1399,Apparitions!$E$2:$E$5001,"○"))</f>
        <v/>
      </c>
      <c r="J1399" s="29" t="str">
        <f aca="false">IF(A1399="","",IFERROR(1/(1/_xlfn.MINIFS(Apparitions!$L$2:$L$5001,Apparitions!$H$2:$H$5001,A1399)),""))</f>
        <v/>
      </c>
    </row>
    <row r="1400" customFormat="false" ht="15" hidden="false" customHeight="false" outlineLevel="0" collapsed="false">
      <c r="A1400" s="19"/>
      <c r="B1400" s="19"/>
      <c r="C1400" s="19"/>
      <c r="D1400" s="19"/>
      <c r="E1400" s="32"/>
      <c r="F1400" s="19"/>
      <c r="G1400" s="26" t="str">
        <f aca="false">IF(A1400="","",COUNTIF(Pubs!$B$2:$B$3001,A1400))</f>
        <v/>
      </c>
      <c r="H1400" s="26" t="str">
        <f aca="false">IF(A1400="","",COUNTIF(Apparitions!$H$2:$H$5001,A1400))</f>
        <v/>
      </c>
      <c r="I1400" s="26" t="str">
        <f aca="false">IF(A1400="","",COUNTIFS(Apparitions!$H$2:$H$5001,A1400,Apparitions!$E$2:$E$5001,"○"))</f>
        <v/>
      </c>
      <c r="J1400" s="29" t="str">
        <f aca="false">IF(A1400="","",IFERROR(1/(1/_xlfn.MINIFS(Apparitions!$L$2:$L$5001,Apparitions!$H$2:$H$5001,A1400)),""))</f>
        <v/>
      </c>
    </row>
    <row r="1401" customFormat="false" ht="15" hidden="false" customHeight="false" outlineLevel="0" collapsed="false">
      <c r="A1401" s="19"/>
      <c r="B1401" s="19"/>
      <c r="C1401" s="19"/>
      <c r="D1401" s="19"/>
      <c r="E1401" s="32"/>
      <c r="F1401" s="19"/>
      <c r="G1401" s="26" t="str">
        <f aca="false">IF(A1401="","",COUNTIF(Pubs!$B$2:$B$3001,A1401))</f>
        <v/>
      </c>
      <c r="H1401" s="26" t="str">
        <f aca="false">IF(A1401="","",COUNTIF(Apparitions!$H$2:$H$5001,A1401))</f>
        <v/>
      </c>
      <c r="I1401" s="26" t="str">
        <f aca="false">IF(A1401="","",COUNTIFS(Apparitions!$H$2:$H$5001,A1401,Apparitions!$E$2:$E$5001,"○"))</f>
        <v/>
      </c>
      <c r="J1401" s="29" t="str">
        <f aca="false">IF(A1401="","",IFERROR(1/(1/_xlfn.MINIFS(Apparitions!$L$2:$L$5001,Apparitions!$H$2:$H$5001,A1401)),""))</f>
        <v/>
      </c>
    </row>
    <row r="1402" customFormat="false" ht="15" hidden="false" customHeight="false" outlineLevel="0" collapsed="false">
      <c r="A1402" s="19"/>
      <c r="B1402" s="19"/>
      <c r="C1402" s="19"/>
      <c r="D1402" s="19"/>
      <c r="E1402" s="32"/>
      <c r="F1402" s="19"/>
      <c r="G1402" s="26" t="str">
        <f aca="false">IF(A1402="","",COUNTIF(Pubs!$B$2:$B$3001,A1402))</f>
        <v/>
      </c>
      <c r="H1402" s="26" t="str">
        <f aca="false">IF(A1402="","",COUNTIF(Apparitions!$H$2:$H$5001,A1402))</f>
        <v/>
      </c>
      <c r="I1402" s="26" t="str">
        <f aca="false">IF(A1402="","",COUNTIFS(Apparitions!$H$2:$H$5001,A1402,Apparitions!$E$2:$E$5001,"○"))</f>
        <v/>
      </c>
      <c r="J1402" s="29" t="str">
        <f aca="false">IF(A1402="","",IFERROR(1/(1/_xlfn.MINIFS(Apparitions!$L$2:$L$5001,Apparitions!$H$2:$H$5001,A1402)),""))</f>
        <v/>
      </c>
    </row>
    <row r="1403" customFormat="false" ht="15" hidden="false" customHeight="false" outlineLevel="0" collapsed="false">
      <c r="A1403" s="19"/>
      <c r="B1403" s="19"/>
      <c r="C1403" s="19"/>
      <c r="D1403" s="19"/>
      <c r="E1403" s="32"/>
      <c r="F1403" s="19"/>
      <c r="G1403" s="26" t="str">
        <f aca="false">IF(A1403="","",COUNTIF(Pubs!$B$2:$B$3001,A1403))</f>
        <v/>
      </c>
      <c r="H1403" s="26" t="str">
        <f aca="false">IF(A1403="","",COUNTIF(Apparitions!$H$2:$H$5001,A1403))</f>
        <v/>
      </c>
      <c r="I1403" s="26" t="str">
        <f aca="false">IF(A1403="","",COUNTIFS(Apparitions!$H$2:$H$5001,A1403,Apparitions!$E$2:$E$5001,"○"))</f>
        <v/>
      </c>
      <c r="J1403" s="29" t="str">
        <f aca="false">IF(A1403="","",IFERROR(1/(1/_xlfn.MINIFS(Apparitions!$L$2:$L$5001,Apparitions!$H$2:$H$5001,A1403)),""))</f>
        <v/>
      </c>
    </row>
    <row r="1404" customFormat="false" ht="15" hidden="false" customHeight="false" outlineLevel="0" collapsed="false">
      <c r="A1404" s="19"/>
      <c r="B1404" s="19"/>
      <c r="C1404" s="19"/>
      <c r="D1404" s="19"/>
      <c r="E1404" s="32"/>
      <c r="F1404" s="19"/>
      <c r="G1404" s="26" t="str">
        <f aca="false">IF(A1404="","",COUNTIF(Pubs!$B$2:$B$3001,A1404))</f>
        <v/>
      </c>
      <c r="H1404" s="26" t="str">
        <f aca="false">IF(A1404="","",COUNTIF(Apparitions!$H$2:$H$5001,A1404))</f>
        <v/>
      </c>
      <c r="I1404" s="26" t="str">
        <f aca="false">IF(A1404="","",COUNTIFS(Apparitions!$H$2:$H$5001,A1404,Apparitions!$E$2:$E$5001,"○"))</f>
        <v/>
      </c>
      <c r="J1404" s="29" t="str">
        <f aca="false">IF(A1404="","",IFERROR(1/(1/_xlfn.MINIFS(Apparitions!$L$2:$L$5001,Apparitions!$H$2:$H$5001,A1404)),""))</f>
        <v/>
      </c>
    </row>
    <row r="1405" customFormat="false" ht="15" hidden="false" customHeight="false" outlineLevel="0" collapsed="false">
      <c r="A1405" s="19"/>
      <c r="B1405" s="19"/>
      <c r="C1405" s="19"/>
      <c r="D1405" s="19"/>
      <c r="E1405" s="32"/>
      <c r="F1405" s="19"/>
      <c r="G1405" s="26" t="str">
        <f aca="false">IF(A1405="","",COUNTIF(Pubs!$B$2:$B$3001,A1405))</f>
        <v/>
      </c>
      <c r="H1405" s="26" t="str">
        <f aca="false">IF(A1405="","",COUNTIF(Apparitions!$H$2:$H$5001,A1405))</f>
        <v/>
      </c>
      <c r="I1405" s="26" t="str">
        <f aca="false">IF(A1405="","",COUNTIFS(Apparitions!$H$2:$H$5001,A1405,Apparitions!$E$2:$E$5001,"○"))</f>
        <v/>
      </c>
      <c r="J1405" s="29" t="str">
        <f aca="false">IF(A1405="","",IFERROR(1/(1/_xlfn.MINIFS(Apparitions!$L$2:$L$5001,Apparitions!$H$2:$H$5001,A1405)),""))</f>
        <v/>
      </c>
    </row>
    <row r="1406" customFormat="false" ht="15" hidden="false" customHeight="false" outlineLevel="0" collapsed="false">
      <c r="A1406" s="19"/>
      <c r="B1406" s="19"/>
      <c r="C1406" s="19"/>
      <c r="D1406" s="19"/>
      <c r="E1406" s="32"/>
      <c r="F1406" s="19"/>
      <c r="G1406" s="26" t="str">
        <f aca="false">IF(A1406="","",COUNTIF(Pubs!$B$2:$B$3001,A1406))</f>
        <v/>
      </c>
      <c r="H1406" s="26" t="str">
        <f aca="false">IF(A1406="","",COUNTIF(Apparitions!$H$2:$H$5001,A1406))</f>
        <v/>
      </c>
      <c r="I1406" s="26" t="str">
        <f aca="false">IF(A1406="","",COUNTIFS(Apparitions!$H$2:$H$5001,A1406,Apparitions!$E$2:$E$5001,"○"))</f>
        <v/>
      </c>
      <c r="J1406" s="29" t="str">
        <f aca="false">IF(A1406="","",IFERROR(1/(1/_xlfn.MINIFS(Apparitions!$L$2:$L$5001,Apparitions!$H$2:$H$5001,A1406)),""))</f>
        <v/>
      </c>
    </row>
    <row r="1407" customFormat="false" ht="15" hidden="false" customHeight="false" outlineLevel="0" collapsed="false">
      <c r="A1407" s="19"/>
      <c r="B1407" s="19"/>
      <c r="C1407" s="19"/>
      <c r="D1407" s="19"/>
      <c r="E1407" s="32"/>
      <c r="F1407" s="19"/>
      <c r="G1407" s="26" t="str">
        <f aca="false">IF(A1407="","",COUNTIF(Pubs!$B$2:$B$3001,A1407))</f>
        <v/>
      </c>
      <c r="H1407" s="26" t="str">
        <f aca="false">IF(A1407="","",COUNTIF(Apparitions!$H$2:$H$5001,A1407))</f>
        <v/>
      </c>
      <c r="I1407" s="26" t="str">
        <f aca="false">IF(A1407="","",COUNTIFS(Apparitions!$H$2:$H$5001,A1407,Apparitions!$E$2:$E$5001,"○"))</f>
        <v/>
      </c>
      <c r="J1407" s="29" t="str">
        <f aca="false">IF(A1407="","",IFERROR(1/(1/_xlfn.MINIFS(Apparitions!$L$2:$L$5001,Apparitions!$H$2:$H$5001,A1407)),""))</f>
        <v/>
      </c>
    </row>
    <row r="1408" customFormat="false" ht="15" hidden="false" customHeight="false" outlineLevel="0" collapsed="false">
      <c r="A1408" s="19"/>
      <c r="B1408" s="19"/>
      <c r="C1408" s="19"/>
      <c r="D1408" s="19"/>
      <c r="E1408" s="32"/>
      <c r="F1408" s="19"/>
      <c r="G1408" s="26" t="str">
        <f aca="false">IF(A1408="","",COUNTIF(Pubs!$B$2:$B$3001,A1408))</f>
        <v/>
      </c>
      <c r="H1408" s="26" t="str">
        <f aca="false">IF(A1408="","",COUNTIF(Apparitions!$H$2:$H$5001,A1408))</f>
        <v/>
      </c>
      <c r="I1408" s="26" t="str">
        <f aca="false">IF(A1408="","",COUNTIFS(Apparitions!$H$2:$H$5001,A1408,Apparitions!$E$2:$E$5001,"○"))</f>
        <v/>
      </c>
      <c r="J1408" s="29" t="str">
        <f aca="false">IF(A1408="","",IFERROR(1/(1/_xlfn.MINIFS(Apparitions!$L$2:$L$5001,Apparitions!$H$2:$H$5001,A1408)),""))</f>
        <v/>
      </c>
    </row>
    <row r="1409" customFormat="false" ht="15" hidden="false" customHeight="false" outlineLevel="0" collapsed="false">
      <c r="A1409" s="19"/>
      <c r="B1409" s="19"/>
      <c r="C1409" s="19"/>
      <c r="D1409" s="19"/>
      <c r="E1409" s="32"/>
      <c r="F1409" s="19"/>
      <c r="G1409" s="26" t="str">
        <f aca="false">IF(A1409="","",COUNTIF(Pubs!$B$2:$B$3001,A1409))</f>
        <v/>
      </c>
      <c r="H1409" s="26" t="str">
        <f aca="false">IF(A1409="","",COUNTIF(Apparitions!$H$2:$H$5001,A1409))</f>
        <v/>
      </c>
      <c r="I1409" s="26" t="str">
        <f aca="false">IF(A1409="","",COUNTIFS(Apparitions!$H$2:$H$5001,A1409,Apparitions!$E$2:$E$5001,"○"))</f>
        <v/>
      </c>
      <c r="J1409" s="29" t="str">
        <f aca="false">IF(A1409="","",IFERROR(1/(1/_xlfn.MINIFS(Apparitions!$L$2:$L$5001,Apparitions!$H$2:$H$5001,A1409)),""))</f>
        <v/>
      </c>
    </row>
    <row r="1410" customFormat="false" ht="15" hidden="false" customHeight="false" outlineLevel="0" collapsed="false">
      <c r="A1410" s="19"/>
      <c r="B1410" s="19"/>
      <c r="C1410" s="19"/>
      <c r="D1410" s="19"/>
      <c r="E1410" s="32"/>
      <c r="F1410" s="19"/>
      <c r="G1410" s="26" t="str">
        <f aca="false">IF(A1410="","",COUNTIF(Pubs!$B$2:$B$3001,A1410))</f>
        <v/>
      </c>
      <c r="H1410" s="26" t="str">
        <f aca="false">IF(A1410="","",COUNTIF(Apparitions!$H$2:$H$5001,A1410))</f>
        <v/>
      </c>
      <c r="I1410" s="26" t="str">
        <f aca="false">IF(A1410="","",COUNTIFS(Apparitions!$H$2:$H$5001,A1410,Apparitions!$E$2:$E$5001,"○"))</f>
        <v/>
      </c>
      <c r="J1410" s="29" t="str">
        <f aca="false">IF(A1410="","",IFERROR(1/(1/_xlfn.MINIFS(Apparitions!$L$2:$L$5001,Apparitions!$H$2:$H$5001,A1410)),""))</f>
        <v/>
      </c>
    </row>
    <row r="1411" customFormat="false" ht="15" hidden="false" customHeight="false" outlineLevel="0" collapsed="false">
      <c r="A1411" s="19"/>
      <c r="B1411" s="19"/>
      <c r="C1411" s="19"/>
      <c r="D1411" s="19"/>
      <c r="E1411" s="32"/>
      <c r="F1411" s="19"/>
      <c r="G1411" s="26" t="str">
        <f aca="false">IF(A1411="","",COUNTIF(Pubs!$B$2:$B$3001,A1411))</f>
        <v/>
      </c>
      <c r="H1411" s="26" t="str">
        <f aca="false">IF(A1411="","",COUNTIF(Apparitions!$H$2:$H$5001,A1411))</f>
        <v/>
      </c>
      <c r="I1411" s="26" t="str">
        <f aca="false">IF(A1411="","",COUNTIFS(Apparitions!$H$2:$H$5001,A1411,Apparitions!$E$2:$E$5001,"○"))</f>
        <v/>
      </c>
      <c r="J1411" s="29" t="str">
        <f aca="false">IF(A1411="","",IFERROR(1/(1/_xlfn.MINIFS(Apparitions!$L$2:$L$5001,Apparitions!$H$2:$H$5001,A1411)),""))</f>
        <v/>
      </c>
    </row>
    <row r="1412" customFormat="false" ht="15" hidden="false" customHeight="false" outlineLevel="0" collapsed="false">
      <c r="A1412" s="19"/>
      <c r="B1412" s="19"/>
      <c r="C1412" s="19"/>
      <c r="D1412" s="19"/>
      <c r="E1412" s="32"/>
      <c r="F1412" s="19"/>
      <c r="G1412" s="26" t="str">
        <f aca="false">IF(A1412="","",COUNTIF(Pubs!$B$2:$B$3001,A1412))</f>
        <v/>
      </c>
      <c r="H1412" s="26" t="str">
        <f aca="false">IF(A1412="","",COUNTIF(Apparitions!$H$2:$H$5001,A1412))</f>
        <v/>
      </c>
      <c r="I1412" s="26" t="str">
        <f aca="false">IF(A1412="","",COUNTIFS(Apparitions!$H$2:$H$5001,A1412,Apparitions!$E$2:$E$5001,"○"))</f>
        <v/>
      </c>
      <c r="J1412" s="29" t="str">
        <f aca="false">IF(A1412="","",IFERROR(1/(1/_xlfn.MINIFS(Apparitions!$L$2:$L$5001,Apparitions!$H$2:$H$5001,A1412)),""))</f>
        <v/>
      </c>
    </row>
    <row r="1413" customFormat="false" ht="15" hidden="false" customHeight="false" outlineLevel="0" collapsed="false">
      <c r="A1413" s="19"/>
      <c r="B1413" s="19"/>
      <c r="C1413" s="19"/>
      <c r="D1413" s="19"/>
      <c r="E1413" s="32"/>
      <c r="F1413" s="19"/>
      <c r="G1413" s="26" t="str">
        <f aca="false">IF(A1413="","",COUNTIF(Pubs!$B$2:$B$3001,A1413))</f>
        <v/>
      </c>
      <c r="H1413" s="26" t="str">
        <f aca="false">IF(A1413="","",COUNTIF(Apparitions!$H$2:$H$5001,A1413))</f>
        <v/>
      </c>
      <c r="I1413" s="26" t="str">
        <f aca="false">IF(A1413="","",COUNTIFS(Apparitions!$H$2:$H$5001,A1413,Apparitions!$E$2:$E$5001,"○"))</f>
        <v/>
      </c>
      <c r="J1413" s="29" t="str">
        <f aca="false">IF(A1413="","",IFERROR(1/(1/_xlfn.MINIFS(Apparitions!$L$2:$L$5001,Apparitions!$H$2:$H$5001,A1413)),""))</f>
        <v/>
      </c>
    </row>
    <row r="1414" customFormat="false" ht="15" hidden="false" customHeight="false" outlineLevel="0" collapsed="false">
      <c r="A1414" s="19"/>
      <c r="B1414" s="19"/>
      <c r="C1414" s="19"/>
      <c r="D1414" s="19"/>
      <c r="E1414" s="32"/>
      <c r="F1414" s="19"/>
      <c r="G1414" s="26" t="str">
        <f aca="false">IF(A1414="","",COUNTIF(Pubs!$B$2:$B$3001,A1414))</f>
        <v/>
      </c>
      <c r="H1414" s="26" t="str">
        <f aca="false">IF(A1414="","",COUNTIF(Apparitions!$H$2:$H$5001,A1414))</f>
        <v/>
      </c>
      <c r="I1414" s="26" t="str">
        <f aca="false">IF(A1414="","",COUNTIFS(Apparitions!$H$2:$H$5001,A1414,Apparitions!$E$2:$E$5001,"○"))</f>
        <v/>
      </c>
      <c r="J1414" s="29" t="str">
        <f aca="false">IF(A1414="","",IFERROR(1/(1/_xlfn.MINIFS(Apparitions!$L$2:$L$5001,Apparitions!$H$2:$H$5001,A1414)),""))</f>
        <v/>
      </c>
    </row>
    <row r="1415" customFormat="false" ht="15" hidden="false" customHeight="false" outlineLevel="0" collapsed="false">
      <c r="A1415" s="19"/>
      <c r="B1415" s="19"/>
      <c r="C1415" s="19"/>
      <c r="D1415" s="19"/>
      <c r="E1415" s="32"/>
      <c r="F1415" s="19"/>
      <c r="G1415" s="26" t="str">
        <f aca="false">IF(A1415="","",COUNTIF(Pubs!$B$2:$B$3001,A1415))</f>
        <v/>
      </c>
      <c r="H1415" s="26" t="str">
        <f aca="false">IF(A1415="","",COUNTIF(Apparitions!$H$2:$H$5001,A1415))</f>
        <v/>
      </c>
      <c r="I1415" s="26" t="str">
        <f aca="false">IF(A1415="","",COUNTIFS(Apparitions!$H$2:$H$5001,A1415,Apparitions!$E$2:$E$5001,"○"))</f>
        <v/>
      </c>
      <c r="J1415" s="29" t="str">
        <f aca="false">IF(A1415="","",IFERROR(1/(1/_xlfn.MINIFS(Apparitions!$L$2:$L$5001,Apparitions!$H$2:$H$5001,A1415)),""))</f>
        <v/>
      </c>
    </row>
    <row r="1416" customFormat="false" ht="15" hidden="false" customHeight="false" outlineLevel="0" collapsed="false">
      <c r="A1416" s="19"/>
      <c r="B1416" s="19"/>
      <c r="C1416" s="19"/>
      <c r="D1416" s="19"/>
      <c r="E1416" s="32"/>
      <c r="F1416" s="19"/>
      <c r="G1416" s="26" t="str">
        <f aca="false">IF(A1416="","",COUNTIF(Pubs!$B$2:$B$3001,A1416))</f>
        <v/>
      </c>
      <c r="H1416" s="26" t="str">
        <f aca="false">IF(A1416="","",COUNTIF(Apparitions!$H$2:$H$5001,A1416))</f>
        <v/>
      </c>
      <c r="I1416" s="26" t="str">
        <f aca="false">IF(A1416="","",COUNTIFS(Apparitions!$H$2:$H$5001,A1416,Apparitions!$E$2:$E$5001,"○"))</f>
        <v/>
      </c>
      <c r="J1416" s="29" t="str">
        <f aca="false">IF(A1416="","",IFERROR(1/(1/_xlfn.MINIFS(Apparitions!$L$2:$L$5001,Apparitions!$H$2:$H$5001,A1416)),""))</f>
        <v/>
      </c>
    </row>
    <row r="1417" customFormat="false" ht="15" hidden="false" customHeight="false" outlineLevel="0" collapsed="false">
      <c r="A1417" s="19"/>
      <c r="B1417" s="19"/>
      <c r="C1417" s="19"/>
      <c r="D1417" s="19"/>
      <c r="E1417" s="32"/>
      <c r="F1417" s="19"/>
      <c r="G1417" s="26" t="str">
        <f aca="false">IF(A1417="","",COUNTIF(Pubs!$B$2:$B$3001,A1417))</f>
        <v/>
      </c>
      <c r="H1417" s="26" t="str">
        <f aca="false">IF(A1417="","",COUNTIF(Apparitions!$H$2:$H$5001,A1417))</f>
        <v/>
      </c>
      <c r="I1417" s="26" t="str">
        <f aca="false">IF(A1417="","",COUNTIFS(Apparitions!$H$2:$H$5001,A1417,Apparitions!$E$2:$E$5001,"○"))</f>
        <v/>
      </c>
      <c r="J1417" s="29" t="str">
        <f aca="false">IF(A1417="","",IFERROR(1/(1/_xlfn.MINIFS(Apparitions!$L$2:$L$5001,Apparitions!$H$2:$H$5001,A1417)),""))</f>
        <v/>
      </c>
    </row>
    <row r="1418" customFormat="false" ht="15" hidden="false" customHeight="false" outlineLevel="0" collapsed="false">
      <c r="A1418" s="19"/>
      <c r="B1418" s="19"/>
      <c r="C1418" s="19"/>
      <c r="D1418" s="19"/>
      <c r="E1418" s="32"/>
      <c r="F1418" s="19"/>
      <c r="G1418" s="26" t="str">
        <f aca="false">IF(A1418="","",COUNTIF(Pubs!$B$2:$B$3001,A1418))</f>
        <v/>
      </c>
      <c r="H1418" s="26" t="str">
        <f aca="false">IF(A1418="","",COUNTIF(Apparitions!$H$2:$H$5001,A1418))</f>
        <v/>
      </c>
      <c r="I1418" s="26" t="str">
        <f aca="false">IF(A1418="","",COUNTIFS(Apparitions!$H$2:$H$5001,A1418,Apparitions!$E$2:$E$5001,"○"))</f>
        <v/>
      </c>
      <c r="J1418" s="29" t="str">
        <f aca="false">IF(A1418="","",IFERROR(1/(1/_xlfn.MINIFS(Apparitions!$L$2:$L$5001,Apparitions!$H$2:$H$5001,A1418)),""))</f>
        <v/>
      </c>
    </row>
    <row r="1419" customFormat="false" ht="15" hidden="false" customHeight="false" outlineLevel="0" collapsed="false">
      <c r="A1419" s="19"/>
      <c r="B1419" s="19"/>
      <c r="C1419" s="19"/>
      <c r="D1419" s="19"/>
      <c r="E1419" s="32"/>
      <c r="F1419" s="19"/>
      <c r="G1419" s="26" t="str">
        <f aca="false">IF(A1419="","",COUNTIF(Pubs!$B$2:$B$3001,A1419))</f>
        <v/>
      </c>
      <c r="H1419" s="26" t="str">
        <f aca="false">IF(A1419="","",COUNTIF(Apparitions!$H$2:$H$5001,A1419))</f>
        <v/>
      </c>
      <c r="I1419" s="26" t="str">
        <f aca="false">IF(A1419="","",COUNTIFS(Apparitions!$H$2:$H$5001,A1419,Apparitions!$E$2:$E$5001,"○"))</f>
        <v/>
      </c>
      <c r="J1419" s="29" t="str">
        <f aca="false">IF(A1419="","",IFERROR(1/(1/_xlfn.MINIFS(Apparitions!$L$2:$L$5001,Apparitions!$H$2:$H$5001,A1419)),""))</f>
        <v/>
      </c>
    </row>
    <row r="1420" customFormat="false" ht="15" hidden="false" customHeight="false" outlineLevel="0" collapsed="false">
      <c r="A1420" s="19"/>
      <c r="B1420" s="19"/>
      <c r="C1420" s="19"/>
      <c r="D1420" s="19"/>
      <c r="E1420" s="32"/>
      <c r="F1420" s="19"/>
      <c r="G1420" s="26" t="str">
        <f aca="false">IF(A1420="","",COUNTIF(Pubs!$B$2:$B$3001,A1420))</f>
        <v/>
      </c>
      <c r="H1420" s="26" t="str">
        <f aca="false">IF(A1420="","",COUNTIF(Apparitions!$H$2:$H$5001,A1420))</f>
        <v/>
      </c>
      <c r="I1420" s="26" t="str">
        <f aca="false">IF(A1420="","",COUNTIFS(Apparitions!$H$2:$H$5001,A1420,Apparitions!$E$2:$E$5001,"○"))</f>
        <v/>
      </c>
      <c r="J1420" s="29" t="str">
        <f aca="false">IF(A1420="","",IFERROR(1/(1/_xlfn.MINIFS(Apparitions!$L$2:$L$5001,Apparitions!$H$2:$H$5001,A1420)),""))</f>
        <v/>
      </c>
    </row>
    <row r="1421" customFormat="false" ht="15" hidden="false" customHeight="false" outlineLevel="0" collapsed="false">
      <c r="A1421" s="19"/>
      <c r="B1421" s="19"/>
      <c r="C1421" s="19"/>
      <c r="D1421" s="19"/>
      <c r="E1421" s="32"/>
      <c r="F1421" s="19"/>
      <c r="G1421" s="26" t="str">
        <f aca="false">IF(A1421="","",COUNTIF(Pubs!$B$2:$B$3001,A1421))</f>
        <v/>
      </c>
      <c r="H1421" s="26" t="str">
        <f aca="false">IF(A1421="","",COUNTIF(Apparitions!$H$2:$H$5001,A1421))</f>
        <v/>
      </c>
      <c r="I1421" s="26" t="str">
        <f aca="false">IF(A1421="","",COUNTIFS(Apparitions!$H$2:$H$5001,A1421,Apparitions!$E$2:$E$5001,"○"))</f>
        <v/>
      </c>
      <c r="J1421" s="29" t="str">
        <f aca="false">IF(A1421="","",IFERROR(1/(1/_xlfn.MINIFS(Apparitions!$L$2:$L$5001,Apparitions!$H$2:$H$5001,A1421)),""))</f>
        <v/>
      </c>
    </row>
    <row r="1422" customFormat="false" ht="15" hidden="false" customHeight="false" outlineLevel="0" collapsed="false">
      <c r="A1422" s="19"/>
      <c r="B1422" s="19"/>
      <c r="C1422" s="19"/>
      <c r="D1422" s="19"/>
      <c r="E1422" s="32"/>
      <c r="F1422" s="19"/>
      <c r="G1422" s="26" t="str">
        <f aca="false">IF(A1422="","",COUNTIF(Pubs!$B$2:$B$3001,A1422))</f>
        <v/>
      </c>
      <c r="H1422" s="26" t="str">
        <f aca="false">IF(A1422="","",COUNTIF(Apparitions!$H$2:$H$5001,A1422))</f>
        <v/>
      </c>
      <c r="I1422" s="26" t="str">
        <f aca="false">IF(A1422="","",COUNTIFS(Apparitions!$H$2:$H$5001,A1422,Apparitions!$E$2:$E$5001,"○"))</f>
        <v/>
      </c>
      <c r="J1422" s="29" t="str">
        <f aca="false">IF(A1422="","",IFERROR(1/(1/_xlfn.MINIFS(Apparitions!$L$2:$L$5001,Apparitions!$H$2:$H$5001,A1422)),""))</f>
        <v/>
      </c>
    </row>
    <row r="1423" customFormat="false" ht="15" hidden="false" customHeight="false" outlineLevel="0" collapsed="false">
      <c r="A1423" s="19"/>
      <c r="B1423" s="19"/>
      <c r="C1423" s="19"/>
      <c r="D1423" s="19"/>
      <c r="E1423" s="32"/>
      <c r="F1423" s="19"/>
      <c r="G1423" s="26" t="str">
        <f aca="false">IF(A1423="","",COUNTIF(Pubs!$B$2:$B$3001,A1423))</f>
        <v/>
      </c>
      <c r="H1423" s="26" t="str">
        <f aca="false">IF(A1423="","",COUNTIF(Apparitions!$H$2:$H$5001,A1423))</f>
        <v/>
      </c>
      <c r="I1423" s="26" t="str">
        <f aca="false">IF(A1423="","",COUNTIFS(Apparitions!$H$2:$H$5001,A1423,Apparitions!$E$2:$E$5001,"○"))</f>
        <v/>
      </c>
      <c r="J1423" s="29" t="str">
        <f aca="false">IF(A1423="","",IFERROR(1/(1/_xlfn.MINIFS(Apparitions!$L$2:$L$5001,Apparitions!$H$2:$H$5001,A1423)),""))</f>
        <v/>
      </c>
    </row>
    <row r="1424" customFormat="false" ht="15" hidden="false" customHeight="false" outlineLevel="0" collapsed="false">
      <c r="A1424" s="19"/>
      <c r="B1424" s="19"/>
      <c r="C1424" s="19"/>
      <c r="D1424" s="19"/>
      <c r="E1424" s="32"/>
      <c r="F1424" s="19"/>
      <c r="G1424" s="26" t="str">
        <f aca="false">IF(A1424="","",COUNTIF(Pubs!$B$2:$B$3001,A1424))</f>
        <v/>
      </c>
      <c r="H1424" s="26" t="str">
        <f aca="false">IF(A1424="","",COUNTIF(Apparitions!$H$2:$H$5001,A1424))</f>
        <v/>
      </c>
      <c r="I1424" s="26" t="str">
        <f aca="false">IF(A1424="","",COUNTIFS(Apparitions!$H$2:$H$5001,A1424,Apparitions!$E$2:$E$5001,"○"))</f>
        <v/>
      </c>
      <c r="J1424" s="29" t="str">
        <f aca="false">IF(A1424="","",IFERROR(1/(1/_xlfn.MINIFS(Apparitions!$L$2:$L$5001,Apparitions!$H$2:$H$5001,A1424)),""))</f>
        <v/>
      </c>
    </row>
    <row r="1425" customFormat="false" ht="15" hidden="false" customHeight="false" outlineLevel="0" collapsed="false">
      <c r="A1425" s="19"/>
      <c r="B1425" s="19"/>
      <c r="C1425" s="19"/>
      <c r="D1425" s="19"/>
      <c r="E1425" s="32"/>
      <c r="F1425" s="19"/>
      <c r="G1425" s="26" t="str">
        <f aca="false">IF(A1425="","",COUNTIF(Pubs!$B$2:$B$3001,A1425))</f>
        <v/>
      </c>
      <c r="H1425" s="26" t="str">
        <f aca="false">IF(A1425="","",COUNTIF(Apparitions!$H$2:$H$5001,A1425))</f>
        <v/>
      </c>
      <c r="I1425" s="26" t="str">
        <f aca="false">IF(A1425="","",COUNTIFS(Apparitions!$H$2:$H$5001,A1425,Apparitions!$E$2:$E$5001,"○"))</f>
        <v/>
      </c>
      <c r="J1425" s="29" t="str">
        <f aca="false">IF(A1425="","",IFERROR(1/(1/_xlfn.MINIFS(Apparitions!$L$2:$L$5001,Apparitions!$H$2:$H$5001,A1425)),""))</f>
        <v/>
      </c>
    </row>
    <row r="1426" customFormat="false" ht="15" hidden="false" customHeight="false" outlineLevel="0" collapsed="false">
      <c r="A1426" s="19"/>
      <c r="B1426" s="19"/>
      <c r="C1426" s="19"/>
      <c r="D1426" s="19"/>
      <c r="E1426" s="32"/>
      <c r="F1426" s="19"/>
      <c r="G1426" s="26" t="str">
        <f aca="false">IF(A1426="","",COUNTIF(Pubs!$B$2:$B$3001,A1426))</f>
        <v/>
      </c>
      <c r="H1426" s="26" t="str">
        <f aca="false">IF(A1426="","",COUNTIF(Apparitions!$H$2:$H$5001,A1426))</f>
        <v/>
      </c>
      <c r="I1426" s="26" t="str">
        <f aca="false">IF(A1426="","",COUNTIFS(Apparitions!$H$2:$H$5001,A1426,Apparitions!$E$2:$E$5001,"○"))</f>
        <v/>
      </c>
      <c r="J1426" s="29" t="str">
        <f aca="false">IF(A1426="","",IFERROR(1/(1/_xlfn.MINIFS(Apparitions!$L$2:$L$5001,Apparitions!$H$2:$H$5001,A1426)),""))</f>
        <v/>
      </c>
    </row>
    <row r="1427" customFormat="false" ht="15" hidden="false" customHeight="false" outlineLevel="0" collapsed="false">
      <c r="A1427" s="19"/>
      <c r="B1427" s="19"/>
      <c r="C1427" s="19"/>
      <c r="D1427" s="19"/>
      <c r="E1427" s="32"/>
      <c r="F1427" s="19"/>
      <c r="G1427" s="26" t="str">
        <f aca="false">IF(A1427="","",COUNTIF(Pubs!$B$2:$B$3001,A1427))</f>
        <v/>
      </c>
      <c r="H1427" s="26" t="str">
        <f aca="false">IF(A1427="","",COUNTIF(Apparitions!$H$2:$H$5001,A1427))</f>
        <v/>
      </c>
      <c r="I1427" s="26" t="str">
        <f aca="false">IF(A1427="","",COUNTIFS(Apparitions!$H$2:$H$5001,A1427,Apparitions!$E$2:$E$5001,"○"))</f>
        <v/>
      </c>
      <c r="J1427" s="29" t="str">
        <f aca="false">IF(A1427="","",IFERROR(1/(1/_xlfn.MINIFS(Apparitions!$L$2:$L$5001,Apparitions!$H$2:$H$5001,A1427)),""))</f>
        <v/>
      </c>
    </row>
    <row r="1428" customFormat="false" ht="15" hidden="false" customHeight="false" outlineLevel="0" collapsed="false">
      <c r="A1428" s="19"/>
      <c r="B1428" s="19"/>
      <c r="C1428" s="19"/>
      <c r="D1428" s="19"/>
      <c r="E1428" s="32"/>
      <c r="F1428" s="19"/>
      <c r="G1428" s="26" t="str">
        <f aca="false">IF(A1428="","",COUNTIF(Pubs!$B$2:$B$3001,A1428))</f>
        <v/>
      </c>
      <c r="H1428" s="26" t="str">
        <f aca="false">IF(A1428="","",COUNTIF(Apparitions!$H$2:$H$5001,A1428))</f>
        <v/>
      </c>
      <c r="I1428" s="26" t="str">
        <f aca="false">IF(A1428="","",COUNTIFS(Apparitions!$H$2:$H$5001,A1428,Apparitions!$E$2:$E$5001,"○"))</f>
        <v/>
      </c>
      <c r="J1428" s="29" t="str">
        <f aca="false">IF(A1428="","",IFERROR(1/(1/_xlfn.MINIFS(Apparitions!$L$2:$L$5001,Apparitions!$H$2:$H$5001,A1428)),""))</f>
        <v/>
      </c>
    </row>
    <row r="1429" customFormat="false" ht="15" hidden="false" customHeight="false" outlineLevel="0" collapsed="false">
      <c r="A1429" s="19"/>
      <c r="B1429" s="19"/>
      <c r="C1429" s="19"/>
      <c r="D1429" s="19"/>
      <c r="E1429" s="32"/>
      <c r="F1429" s="19"/>
      <c r="G1429" s="26" t="str">
        <f aca="false">IF(A1429="","",COUNTIF(Pubs!$B$2:$B$3001,A1429))</f>
        <v/>
      </c>
      <c r="H1429" s="26" t="str">
        <f aca="false">IF(A1429="","",COUNTIF(Apparitions!$H$2:$H$5001,A1429))</f>
        <v/>
      </c>
      <c r="I1429" s="26" t="str">
        <f aca="false">IF(A1429="","",COUNTIFS(Apparitions!$H$2:$H$5001,A1429,Apparitions!$E$2:$E$5001,"○"))</f>
        <v/>
      </c>
      <c r="J1429" s="29" t="str">
        <f aca="false">IF(A1429="","",IFERROR(1/(1/_xlfn.MINIFS(Apparitions!$L$2:$L$5001,Apparitions!$H$2:$H$5001,A1429)),""))</f>
        <v/>
      </c>
    </row>
    <row r="1430" customFormat="false" ht="15" hidden="false" customHeight="false" outlineLevel="0" collapsed="false">
      <c r="A1430" s="19"/>
      <c r="B1430" s="19"/>
      <c r="C1430" s="19"/>
      <c r="D1430" s="19"/>
      <c r="E1430" s="32"/>
      <c r="F1430" s="19"/>
      <c r="G1430" s="26" t="str">
        <f aca="false">IF(A1430="","",COUNTIF(Pubs!$B$2:$B$3001,A1430))</f>
        <v/>
      </c>
      <c r="H1430" s="26" t="str">
        <f aca="false">IF(A1430="","",COUNTIF(Apparitions!$H$2:$H$5001,A1430))</f>
        <v/>
      </c>
      <c r="I1430" s="26" t="str">
        <f aca="false">IF(A1430="","",COUNTIFS(Apparitions!$H$2:$H$5001,A1430,Apparitions!$E$2:$E$5001,"○"))</f>
        <v/>
      </c>
      <c r="J1430" s="29" t="str">
        <f aca="false">IF(A1430="","",IFERROR(1/(1/_xlfn.MINIFS(Apparitions!$L$2:$L$5001,Apparitions!$H$2:$H$5001,A1430)),""))</f>
        <v/>
      </c>
    </row>
    <row r="1431" customFormat="false" ht="15" hidden="false" customHeight="false" outlineLevel="0" collapsed="false">
      <c r="A1431" s="19"/>
      <c r="B1431" s="19"/>
      <c r="C1431" s="19"/>
      <c r="D1431" s="19"/>
      <c r="E1431" s="32"/>
      <c r="F1431" s="19"/>
      <c r="G1431" s="26" t="str">
        <f aca="false">IF(A1431="","",COUNTIF(Pubs!$B$2:$B$3001,A1431))</f>
        <v/>
      </c>
      <c r="H1431" s="26" t="str">
        <f aca="false">IF(A1431="","",COUNTIF(Apparitions!$H$2:$H$5001,A1431))</f>
        <v/>
      </c>
      <c r="I1431" s="26" t="str">
        <f aca="false">IF(A1431="","",COUNTIFS(Apparitions!$H$2:$H$5001,A1431,Apparitions!$E$2:$E$5001,"○"))</f>
        <v/>
      </c>
      <c r="J1431" s="29" t="str">
        <f aca="false">IF(A1431="","",IFERROR(1/(1/_xlfn.MINIFS(Apparitions!$L$2:$L$5001,Apparitions!$H$2:$H$5001,A1431)),""))</f>
        <v/>
      </c>
    </row>
    <row r="1432" customFormat="false" ht="15" hidden="false" customHeight="false" outlineLevel="0" collapsed="false">
      <c r="A1432" s="19"/>
      <c r="B1432" s="19"/>
      <c r="C1432" s="19"/>
      <c r="D1432" s="19"/>
      <c r="E1432" s="32"/>
      <c r="F1432" s="19"/>
      <c r="G1432" s="26" t="str">
        <f aca="false">IF(A1432="","",COUNTIF(Pubs!$B$2:$B$3001,A1432))</f>
        <v/>
      </c>
      <c r="H1432" s="26" t="str">
        <f aca="false">IF(A1432="","",COUNTIF(Apparitions!$H$2:$H$5001,A1432))</f>
        <v/>
      </c>
      <c r="I1432" s="26" t="str">
        <f aca="false">IF(A1432="","",COUNTIFS(Apparitions!$H$2:$H$5001,A1432,Apparitions!$E$2:$E$5001,"○"))</f>
        <v/>
      </c>
      <c r="J1432" s="29" t="str">
        <f aca="false">IF(A1432="","",IFERROR(1/(1/_xlfn.MINIFS(Apparitions!$L$2:$L$5001,Apparitions!$H$2:$H$5001,A1432)),""))</f>
        <v/>
      </c>
    </row>
    <row r="1433" customFormat="false" ht="15" hidden="false" customHeight="false" outlineLevel="0" collapsed="false">
      <c r="A1433" s="19"/>
      <c r="B1433" s="19"/>
      <c r="C1433" s="19"/>
      <c r="D1433" s="19"/>
      <c r="E1433" s="32"/>
      <c r="F1433" s="19"/>
      <c r="G1433" s="26" t="str">
        <f aca="false">IF(A1433="","",COUNTIF(Pubs!$B$2:$B$3001,A1433))</f>
        <v/>
      </c>
      <c r="H1433" s="26" t="str">
        <f aca="false">IF(A1433="","",COUNTIF(Apparitions!$H$2:$H$5001,A1433))</f>
        <v/>
      </c>
      <c r="I1433" s="26" t="str">
        <f aca="false">IF(A1433="","",COUNTIFS(Apparitions!$H$2:$H$5001,A1433,Apparitions!$E$2:$E$5001,"○"))</f>
        <v/>
      </c>
      <c r="J1433" s="29" t="str">
        <f aca="false">IF(A1433="","",IFERROR(1/(1/_xlfn.MINIFS(Apparitions!$L$2:$L$5001,Apparitions!$H$2:$H$5001,A1433)),""))</f>
        <v/>
      </c>
    </row>
    <row r="1434" customFormat="false" ht="15" hidden="false" customHeight="false" outlineLevel="0" collapsed="false">
      <c r="A1434" s="19"/>
      <c r="B1434" s="19"/>
      <c r="C1434" s="19"/>
      <c r="D1434" s="19"/>
      <c r="E1434" s="32"/>
      <c r="F1434" s="19"/>
      <c r="G1434" s="26" t="str">
        <f aca="false">IF(A1434="","",COUNTIF(Pubs!$B$2:$B$3001,A1434))</f>
        <v/>
      </c>
      <c r="H1434" s="26" t="str">
        <f aca="false">IF(A1434="","",COUNTIF(Apparitions!$H$2:$H$5001,A1434))</f>
        <v/>
      </c>
      <c r="I1434" s="26" t="str">
        <f aca="false">IF(A1434="","",COUNTIFS(Apparitions!$H$2:$H$5001,A1434,Apparitions!$E$2:$E$5001,"○"))</f>
        <v/>
      </c>
      <c r="J1434" s="29" t="str">
        <f aca="false">IF(A1434="","",IFERROR(1/(1/_xlfn.MINIFS(Apparitions!$L$2:$L$5001,Apparitions!$H$2:$H$5001,A1434)),""))</f>
        <v/>
      </c>
    </row>
    <row r="1435" customFormat="false" ht="15" hidden="false" customHeight="false" outlineLevel="0" collapsed="false">
      <c r="A1435" s="19"/>
      <c r="B1435" s="19"/>
      <c r="C1435" s="19"/>
      <c r="D1435" s="19"/>
      <c r="E1435" s="32"/>
      <c r="F1435" s="19"/>
      <c r="G1435" s="26" t="str">
        <f aca="false">IF(A1435="","",COUNTIF(Pubs!$B$2:$B$3001,A1435))</f>
        <v/>
      </c>
      <c r="H1435" s="26" t="str">
        <f aca="false">IF(A1435="","",COUNTIF(Apparitions!$H$2:$H$5001,A1435))</f>
        <v/>
      </c>
      <c r="I1435" s="26" t="str">
        <f aca="false">IF(A1435="","",COUNTIFS(Apparitions!$H$2:$H$5001,A1435,Apparitions!$E$2:$E$5001,"○"))</f>
        <v/>
      </c>
      <c r="J1435" s="29" t="str">
        <f aca="false">IF(A1435="","",IFERROR(1/(1/_xlfn.MINIFS(Apparitions!$L$2:$L$5001,Apparitions!$H$2:$H$5001,A1435)),""))</f>
        <v/>
      </c>
    </row>
    <row r="1436" customFormat="false" ht="15" hidden="false" customHeight="false" outlineLevel="0" collapsed="false">
      <c r="A1436" s="19"/>
      <c r="B1436" s="19"/>
      <c r="C1436" s="19"/>
      <c r="D1436" s="19"/>
      <c r="E1436" s="32"/>
      <c r="F1436" s="19"/>
      <c r="G1436" s="26" t="str">
        <f aca="false">IF(A1436="","",COUNTIF(Pubs!$B$2:$B$3001,A1436))</f>
        <v/>
      </c>
      <c r="H1436" s="26" t="str">
        <f aca="false">IF(A1436="","",COUNTIF(Apparitions!$H$2:$H$5001,A1436))</f>
        <v/>
      </c>
      <c r="I1436" s="26" t="str">
        <f aca="false">IF(A1436="","",COUNTIFS(Apparitions!$H$2:$H$5001,A1436,Apparitions!$E$2:$E$5001,"○"))</f>
        <v/>
      </c>
      <c r="J1436" s="29" t="str">
        <f aca="false">IF(A1436="","",IFERROR(1/(1/_xlfn.MINIFS(Apparitions!$L$2:$L$5001,Apparitions!$H$2:$H$5001,A1436)),""))</f>
        <v/>
      </c>
    </row>
    <row r="1437" customFormat="false" ht="15" hidden="false" customHeight="false" outlineLevel="0" collapsed="false">
      <c r="A1437" s="19"/>
      <c r="B1437" s="19"/>
      <c r="C1437" s="19"/>
      <c r="D1437" s="19"/>
      <c r="E1437" s="32"/>
      <c r="F1437" s="19"/>
      <c r="G1437" s="26" t="str">
        <f aca="false">IF(A1437="","",COUNTIF(Pubs!$B$2:$B$3001,A1437))</f>
        <v/>
      </c>
      <c r="H1437" s="26" t="str">
        <f aca="false">IF(A1437="","",COUNTIF(Apparitions!$H$2:$H$5001,A1437))</f>
        <v/>
      </c>
      <c r="I1437" s="26" t="str">
        <f aca="false">IF(A1437="","",COUNTIFS(Apparitions!$H$2:$H$5001,A1437,Apparitions!$E$2:$E$5001,"○"))</f>
        <v/>
      </c>
      <c r="J1437" s="29" t="str">
        <f aca="false">IF(A1437="","",IFERROR(1/(1/_xlfn.MINIFS(Apparitions!$L$2:$L$5001,Apparitions!$H$2:$H$5001,A1437)),""))</f>
        <v/>
      </c>
    </row>
    <row r="1438" customFormat="false" ht="15" hidden="false" customHeight="false" outlineLevel="0" collapsed="false">
      <c r="A1438" s="19"/>
      <c r="B1438" s="19"/>
      <c r="C1438" s="19"/>
      <c r="D1438" s="19"/>
      <c r="E1438" s="32"/>
      <c r="F1438" s="19"/>
      <c r="G1438" s="26" t="str">
        <f aca="false">IF(A1438="","",COUNTIF(Pubs!$B$2:$B$3001,A1438))</f>
        <v/>
      </c>
      <c r="H1438" s="26" t="str">
        <f aca="false">IF(A1438="","",COUNTIF(Apparitions!$H$2:$H$5001,A1438))</f>
        <v/>
      </c>
      <c r="I1438" s="26" t="str">
        <f aca="false">IF(A1438="","",COUNTIFS(Apparitions!$H$2:$H$5001,A1438,Apparitions!$E$2:$E$5001,"○"))</f>
        <v/>
      </c>
      <c r="J1438" s="29" t="str">
        <f aca="false">IF(A1438="","",IFERROR(1/(1/_xlfn.MINIFS(Apparitions!$L$2:$L$5001,Apparitions!$H$2:$H$5001,A1438)),""))</f>
        <v/>
      </c>
    </row>
    <row r="1439" customFormat="false" ht="15" hidden="false" customHeight="false" outlineLevel="0" collapsed="false">
      <c r="A1439" s="19"/>
      <c r="B1439" s="19"/>
      <c r="C1439" s="19"/>
      <c r="D1439" s="19"/>
      <c r="E1439" s="32"/>
      <c r="F1439" s="19"/>
      <c r="G1439" s="26" t="str">
        <f aca="false">IF(A1439="","",COUNTIF(Pubs!$B$2:$B$3001,A1439))</f>
        <v/>
      </c>
      <c r="H1439" s="26" t="str">
        <f aca="false">IF(A1439="","",COUNTIF(Apparitions!$H$2:$H$5001,A1439))</f>
        <v/>
      </c>
      <c r="I1439" s="26" t="str">
        <f aca="false">IF(A1439="","",COUNTIFS(Apparitions!$H$2:$H$5001,A1439,Apparitions!$E$2:$E$5001,"○"))</f>
        <v/>
      </c>
      <c r="J1439" s="29" t="str">
        <f aca="false">IF(A1439="","",IFERROR(1/(1/_xlfn.MINIFS(Apparitions!$L$2:$L$5001,Apparitions!$H$2:$H$5001,A1439)),""))</f>
        <v/>
      </c>
    </row>
    <row r="1440" customFormat="false" ht="15" hidden="false" customHeight="false" outlineLevel="0" collapsed="false">
      <c r="A1440" s="19"/>
      <c r="B1440" s="19"/>
      <c r="C1440" s="19"/>
      <c r="D1440" s="19"/>
      <c r="E1440" s="32"/>
      <c r="F1440" s="19"/>
      <c r="G1440" s="26" t="str">
        <f aca="false">IF(A1440="","",COUNTIF(Pubs!$B$2:$B$3001,A1440))</f>
        <v/>
      </c>
      <c r="H1440" s="26" t="str">
        <f aca="false">IF(A1440="","",COUNTIF(Apparitions!$H$2:$H$5001,A1440))</f>
        <v/>
      </c>
      <c r="I1440" s="26" t="str">
        <f aca="false">IF(A1440="","",COUNTIFS(Apparitions!$H$2:$H$5001,A1440,Apparitions!$E$2:$E$5001,"○"))</f>
        <v/>
      </c>
      <c r="J1440" s="29" t="str">
        <f aca="false">IF(A1440="","",IFERROR(1/(1/_xlfn.MINIFS(Apparitions!$L$2:$L$5001,Apparitions!$H$2:$H$5001,A1440)),""))</f>
        <v/>
      </c>
    </row>
    <row r="1441" customFormat="false" ht="15" hidden="false" customHeight="false" outlineLevel="0" collapsed="false">
      <c r="A1441" s="19"/>
      <c r="B1441" s="19"/>
      <c r="C1441" s="19"/>
      <c r="D1441" s="19"/>
      <c r="E1441" s="32"/>
      <c r="F1441" s="19"/>
      <c r="G1441" s="26" t="str">
        <f aca="false">IF(A1441="","",COUNTIF(Pubs!$B$2:$B$3001,A1441))</f>
        <v/>
      </c>
      <c r="H1441" s="26" t="str">
        <f aca="false">IF(A1441="","",COUNTIF(Apparitions!$H$2:$H$5001,A1441))</f>
        <v/>
      </c>
      <c r="I1441" s="26" t="str">
        <f aca="false">IF(A1441="","",COUNTIFS(Apparitions!$H$2:$H$5001,A1441,Apparitions!$E$2:$E$5001,"○"))</f>
        <v/>
      </c>
      <c r="J1441" s="29" t="str">
        <f aca="false">IF(A1441="","",IFERROR(1/(1/_xlfn.MINIFS(Apparitions!$L$2:$L$5001,Apparitions!$H$2:$H$5001,A1441)),""))</f>
        <v/>
      </c>
    </row>
    <row r="1442" customFormat="false" ht="15" hidden="false" customHeight="false" outlineLevel="0" collapsed="false">
      <c r="A1442" s="19"/>
      <c r="B1442" s="19"/>
      <c r="C1442" s="19"/>
      <c r="D1442" s="19"/>
      <c r="E1442" s="32"/>
      <c r="F1442" s="19"/>
      <c r="G1442" s="26" t="str">
        <f aca="false">IF(A1442="","",COUNTIF(Pubs!$B$2:$B$3001,A1442))</f>
        <v/>
      </c>
      <c r="H1442" s="26" t="str">
        <f aca="false">IF(A1442="","",COUNTIF(Apparitions!$H$2:$H$5001,A1442))</f>
        <v/>
      </c>
      <c r="I1442" s="26" t="str">
        <f aca="false">IF(A1442="","",COUNTIFS(Apparitions!$H$2:$H$5001,A1442,Apparitions!$E$2:$E$5001,"○"))</f>
        <v/>
      </c>
      <c r="J1442" s="29" t="str">
        <f aca="false">IF(A1442="","",IFERROR(1/(1/_xlfn.MINIFS(Apparitions!$L$2:$L$5001,Apparitions!$H$2:$H$5001,A1442)),""))</f>
        <v/>
      </c>
    </row>
    <row r="1443" customFormat="false" ht="15" hidden="false" customHeight="false" outlineLevel="0" collapsed="false">
      <c r="A1443" s="19"/>
      <c r="B1443" s="19"/>
      <c r="C1443" s="19"/>
      <c r="D1443" s="19"/>
      <c r="E1443" s="32"/>
      <c r="F1443" s="19"/>
      <c r="G1443" s="26" t="str">
        <f aca="false">IF(A1443="","",COUNTIF(Pubs!$B$2:$B$3001,A1443))</f>
        <v/>
      </c>
      <c r="H1443" s="26" t="str">
        <f aca="false">IF(A1443="","",COUNTIF(Apparitions!$H$2:$H$5001,A1443))</f>
        <v/>
      </c>
      <c r="I1443" s="26" t="str">
        <f aca="false">IF(A1443="","",COUNTIFS(Apparitions!$H$2:$H$5001,A1443,Apparitions!$E$2:$E$5001,"○"))</f>
        <v/>
      </c>
      <c r="J1443" s="29" t="str">
        <f aca="false">IF(A1443="","",IFERROR(1/(1/_xlfn.MINIFS(Apparitions!$L$2:$L$5001,Apparitions!$H$2:$H$5001,A1443)),""))</f>
        <v/>
      </c>
    </row>
    <row r="1444" customFormat="false" ht="15" hidden="false" customHeight="false" outlineLevel="0" collapsed="false">
      <c r="A1444" s="19"/>
      <c r="B1444" s="19"/>
      <c r="C1444" s="19"/>
      <c r="D1444" s="19"/>
      <c r="E1444" s="32"/>
      <c r="F1444" s="19"/>
      <c r="G1444" s="26" t="str">
        <f aca="false">IF(A1444="","",COUNTIF(Pubs!$B$2:$B$3001,A1444))</f>
        <v/>
      </c>
      <c r="H1444" s="26" t="str">
        <f aca="false">IF(A1444="","",COUNTIF(Apparitions!$H$2:$H$5001,A1444))</f>
        <v/>
      </c>
      <c r="I1444" s="26" t="str">
        <f aca="false">IF(A1444="","",COUNTIFS(Apparitions!$H$2:$H$5001,A1444,Apparitions!$E$2:$E$5001,"○"))</f>
        <v/>
      </c>
      <c r="J1444" s="29" t="str">
        <f aca="false">IF(A1444="","",IFERROR(1/(1/_xlfn.MINIFS(Apparitions!$L$2:$L$5001,Apparitions!$H$2:$H$5001,A1444)),""))</f>
        <v/>
      </c>
    </row>
    <row r="1445" customFormat="false" ht="15" hidden="false" customHeight="false" outlineLevel="0" collapsed="false">
      <c r="A1445" s="19"/>
      <c r="B1445" s="19"/>
      <c r="C1445" s="19"/>
      <c r="D1445" s="19"/>
      <c r="E1445" s="32"/>
      <c r="F1445" s="19"/>
      <c r="G1445" s="26" t="str">
        <f aca="false">IF(A1445="","",COUNTIF(Pubs!$B$2:$B$3001,A1445))</f>
        <v/>
      </c>
      <c r="H1445" s="26" t="str">
        <f aca="false">IF(A1445="","",COUNTIF(Apparitions!$H$2:$H$5001,A1445))</f>
        <v/>
      </c>
      <c r="I1445" s="26" t="str">
        <f aca="false">IF(A1445="","",COUNTIFS(Apparitions!$H$2:$H$5001,A1445,Apparitions!$E$2:$E$5001,"○"))</f>
        <v/>
      </c>
      <c r="J1445" s="29" t="str">
        <f aca="false">IF(A1445="","",IFERROR(1/(1/_xlfn.MINIFS(Apparitions!$L$2:$L$5001,Apparitions!$H$2:$H$5001,A1445)),""))</f>
        <v/>
      </c>
    </row>
    <row r="1446" customFormat="false" ht="15" hidden="false" customHeight="false" outlineLevel="0" collapsed="false">
      <c r="A1446" s="19"/>
      <c r="B1446" s="19"/>
      <c r="C1446" s="19"/>
      <c r="D1446" s="19"/>
      <c r="E1446" s="32"/>
      <c r="F1446" s="19"/>
      <c r="G1446" s="26" t="str">
        <f aca="false">IF(A1446="","",COUNTIF(Pubs!$B$2:$B$3001,A1446))</f>
        <v/>
      </c>
      <c r="H1446" s="26" t="str">
        <f aca="false">IF(A1446="","",COUNTIF(Apparitions!$H$2:$H$5001,A1446))</f>
        <v/>
      </c>
      <c r="I1446" s="26" t="str">
        <f aca="false">IF(A1446="","",COUNTIFS(Apparitions!$H$2:$H$5001,A1446,Apparitions!$E$2:$E$5001,"○"))</f>
        <v/>
      </c>
      <c r="J1446" s="29" t="str">
        <f aca="false">IF(A1446="","",IFERROR(1/(1/_xlfn.MINIFS(Apparitions!$L$2:$L$5001,Apparitions!$H$2:$H$5001,A1446)),""))</f>
        <v/>
      </c>
    </row>
    <row r="1447" customFormat="false" ht="15" hidden="false" customHeight="false" outlineLevel="0" collapsed="false">
      <c r="A1447" s="19"/>
      <c r="B1447" s="19"/>
      <c r="C1447" s="19"/>
      <c r="D1447" s="19"/>
      <c r="E1447" s="32"/>
      <c r="F1447" s="19"/>
      <c r="G1447" s="26" t="str">
        <f aca="false">IF(A1447="","",COUNTIF(Pubs!$B$2:$B$3001,A1447))</f>
        <v/>
      </c>
      <c r="H1447" s="26" t="str">
        <f aca="false">IF(A1447="","",COUNTIF(Apparitions!$H$2:$H$5001,A1447))</f>
        <v/>
      </c>
      <c r="I1447" s="26" t="str">
        <f aca="false">IF(A1447="","",COUNTIFS(Apparitions!$H$2:$H$5001,A1447,Apparitions!$E$2:$E$5001,"○"))</f>
        <v/>
      </c>
      <c r="J1447" s="29" t="str">
        <f aca="false">IF(A1447="","",IFERROR(1/(1/_xlfn.MINIFS(Apparitions!$L$2:$L$5001,Apparitions!$H$2:$H$5001,A1447)),""))</f>
        <v/>
      </c>
    </row>
    <row r="1448" customFormat="false" ht="15" hidden="false" customHeight="false" outlineLevel="0" collapsed="false">
      <c r="A1448" s="19"/>
      <c r="B1448" s="19"/>
      <c r="C1448" s="19"/>
      <c r="D1448" s="19"/>
      <c r="E1448" s="32"/>
      <c r="F1448" s="19"/>
      <c r="G1448" s="26" t="str">
        <f aca="false">IF(A1448="","",COUNTIF(Pubs!$B$2:$B$3001,A1448))</f>
        <v/>
      </c>
      <c r="H1448" s="26" t="str">
        <f aca="false">IF(A1448="","",COUNTIF(Apparitions!$H$2:$H$5001,A1448))</f>
        <v/>
      </c>
      <c r="I1448" s="26" t="str">
        <f aca="false">IF(A1448="","",COUNTIFS(Apparitions!$H$2:$H$5001,A1448,Apparitions!$E$2:$E$5001,"○"))</f>
        <v/>
      </c>
      <c r="J1448" s="29" t="str">
        <f aca="false">IF(A1448="","",IFERROR(1/(1/_xlfn.MINIFS(Apparitions!$L$2:$L$5001,Apparitions!$H$2:$H$5001,A1448)),""))</f>
        <v/>
      </c>
    </row>
    <row r="1449" customFormat="false" ht="15" hidden="false" customHeight="false" outlineLevel="0" collapsed="false">
      <c r="A1449" s="19"/>
      <c r="B1449" s="19"/>
      <c r="C1449" s="19"/>
      <c r="D1449" s="19"/>
      <c r="E1449" s="32"/>
      <c r="F1449" s="19"/>
      <c r="G1449" s="26" t="str">
        <f aca="false">IF(A1449="","",COUNTIF(Pubs!$B$2:$B$3001,A1449))</f>
        <v/>
      </c>
      <c r="H1449" s="26" t="str">
        <f aca="false">IF(A1449="","",COUNTIF(Apparitions!$H$2:$H$5001,A1449))</f>
        <v/>
      </c>
      <c r="I1449" s="26" t="str">
        <f aca="false">IF(A1449="","",COUNTIFS(Apparitions!$H$2:$H$5001,A1449,Apparitions!$E$2:$E$5001,"○"))</f>
        <v/>
      </c>
      <c r="J1449" s="29" t="str">
        <f aca="false">IF(A1449="","",IFERROR(1/(1/_xlfn.MINIFS(Apparitions!$L$2:$L$5001,Apparitions!$H$2:$H$5001,A1449)),""))</f>
        <v/>
      </c>
    </row>
    <row r="1450" customFormat="false" ht="15" hidden="false" customHeight="false" outlineLevel="0" collapsed="false">
      <c r="A1450" s="19"/>
      <c r="B1450" s="19"/>
      <c r="C1450" s="19"/>
      <c r="D1450" s="19"/>
      <c r="E1450" s="32"/>
      <c r="F1450" s="19"/>
      <c r="G1450" s="26" t="str">
        <f aca="false">IF(A1450="","",COUNTIF(Pubs!$B$2:$B$3001,A1450))</f>
        <v/>
      </c>
      <c r="H1450" s="26" t="str">
        <f aca="false">IF(A1450="","",COUNTIF(Apparitions!$H$2:$H$5001,A1450))</f>
        <v/>
      </c>
      <c r="I1450" s="26" t="str">
        <f aca="false">IF(A1450="","",COUNTIFS(Apparitions!$H$2:$H$5001,A1450,Apparitions!$E$2:$E$5001,"○"))</f>
        <v/>
      </c>
      <c r="J1450" s="29" t="str">
        <f aca="false">IF(A1450="","",IFERROR(1/(1/_xlfn.MINIFS(Apparitions!$L$2:$L$5001,Apparitions!$H$2:$H$5001,A1450)),""))</f>
        <v/>
      </c>
    </row>
    <row r="1451" customFormat="false" ht="15" hidden="false" customHeight="false" outlineLevel="0" collapsed="false">
      <c r="A1451" s="19"/>
      <c r="B1451" s="19"/>
      <c r="C1451" s="19"/>
      <c r="D1451" s="19"/>
      <c r="E1451" s="32"/>
      <c r="F1451" s="19"/>
      <c r="G1451" s="26" t="str">
        <f aca="false">IF(A1451="","",COUNTIF(Pubs!$B$2:$B$3001,A1451))</f>
        <v/>
      </c>
      <c r="H1451" s="26" t="str">
        <f aca="false">IF(A1451="","",COUNTIF(Apparitions!$H$2:$H$5001,A1451))</f>
        <v/>
      </c>
      <c r="I1451" s="26" t="str">
        <f aca="false">IF(A1451="","",COUNTIFS(Apparitions!$H$2:$H$5001,A1451,Apparitions!$E$2:$E$5001,"○"))</f>
        <v/>
      </c>
      <c r="J1451" s="29" t="str">
        <f aca="false">IF(A1451="","",IFERROR(1/(1/_xlfn.MINIFS(Apparitions!$L$2:$L$5001,Apparitions!$H$2:$H$5001,A1451)),""))</f>
        <v/>
      </c>
    </row>
    <row r="1452" customFormat="false" ht="15" hidden="false" customHeight="false" outlineLevel="0" collapsed="false">
      <c r="A1452" s="19"/>
      <c r="B1452" s="19"/>
      <c r="C1452" s="19"/>
      <c r="D1452" s="19"/>
      <c r="E1452" s="32"/>
      <c r="F1452" s="19"/>
      <c r="G1452" s="26" t="str">
        <f aca="false">IF(A1452="","",COUNTIF(Pubs!$B$2:$B$3001,A1452))</f>
        <v/>
      </c>
      <c r="H1452" s="26" t="str">
        <f aca="false">IF(A1452="","",COUNTIF(Apparitions!$H$2:$H$5001,A1452))</f>
        <v/>
      </c>
      <c r="I1452" s="26" t="str">
        <f aca="false">IF(A1452="","",COUNTIFS(Apparitions!$H$2:$H$5001,A1452,Apparitions!$E$2:$E$5001,"○"))</f>
        <v/>
      </c>
      <c r="J1452" s="29" t="str">
        <f aca="false">IF(A1452="","",IFERROR(1/(1/_xlfn.MINIFS(Apparitions!$L$2:$L$5001,Apparitions!$H$2:$H$5001,A1452)),""))</f>
        <v/>
      </c>
    </row>
    <row r="1453" customFormat="false" ht="15" hidden="false" customHeight="false" outlineLevel="0" collapsed="false">
      <c r="A1453" s="19"/>
      <c r="B1453" s="19"/>
      <c r="C1453" s="19"/>
      <c r="D1453" s="19"/>
      <c r="E1453" s="32"/>
      <c r="F1453" s="19"/>
      <c r="G1453" s="26" t="str">
        <f aca="false">IF(A1453="","",COUNTIF(Pubs!$B$2:$B$3001,A1453))</f>
        <v/>
      </c>
      <c r="H1453" s="26" t="str">
        <f aca="false">IF(A1453="","",COUNTIF(Apparitions!$H$2:$H$5001,A1453))</f>
        <v/>
      </c>
      <c r="I1453" s="26" t="str">
        <f aca="false">IF(A1453="","",COUNTIFS(Apparitions!$H$2:$H$5001,A1453,Apparitions!$E$2:$E$5001,"○"))</f>
        <v/>
      </c>
      <c r="J1453" s="29" t="str">
        <f aca="false">IF(A1453="","",IFERROR(1/(1/_xlfn.MINIFS(Apparitions!$L$2:$L$5001,Apparitions!$H$2:$H$5001,A1453)),""))</f>
        <v/>
      </c>
    </row>
    <row r="1454" customFormat="false" ht="15" hidden="false" customHeight="false" outlineLevel="0" collapsed="false">
      <c r="A1454" s="19"/>
      <c r="B1454" s="19"/>
      <c r="C1454" s="19"/>
      <c r="D1454" s="19"/>
      <c r="E1454" s="32"/>
      <c r="F1454" s="19"/>
      <c r="G1454" s="26" t="str">
        <f aca="false">IF(A1454="","",COUNTIF(Pubs!$B$2:$B$3001,A1454))</f>
        <v/>
      </c>
      <c r="H1454" s="26" t="str">
        <f aca="false">IF(A1454="","",COUNTIF(Apparitions!$H$2:$H$5001,A1454))</f>
        <v/>
      </c>
      <c r="I1454" s="26" t="str">
        <f aca="false">IF(A1454="","",COUNTIFS(Apparitions!$H$2:$H$5001,A1454,Apparitions!$E$2:$E$5001,"○"))</f>
        <v/>
      </c>
      <c r="J1454" s="29" t="str">
        <f aca="false">IF(A1454="","",IFERROR(1/(1/_xlfn.MINIFS(Apparitions!$L$2:$L$5001,Apparitions!$H$2:$H$5001,A1454)),""))</f>
        <v/>
      </c>
    </row>
    <row r="1455" customFormat="false" ht="15" hidden="false" customHeight="false" outlineLevel="0" collapsed="false">
      <c r="A1455" s="19"/>
      <c r="B1455" s="19"/>
      <c r="C1455" s="19"/>
      <c r="D1455" s="19"/>
      <c r="E1455" s="32"/>
      <c r="F1455" s="19"/>
      <c r="G1455" s="26" t="str">
        <f aca="false">IF(A1455="","",COUNTIF(Pubs!$B$2:$B$3001,A1455))</f>
        <v/>
      </c>
      <c r="H1455" s="26" t="str">
        <f aca="false">IF(A1455="","",COUNTIF(Apparitions!$H$2:$H$5001,A1455))</f>
        <v/>
      </c>
      <c r="I1455" s="26" t="str">
        <f aca="false">IF(A1455="","",COUNTIFS(Apparitions!$H$2:$H$5001,A1455,Apparitions!$E$2:$E$5001,"○"))</f>
        <v/>
      </c>
      <c r="J1455" s="29" t="str">
        <f aca="false">IF(A1455="","",IFERROR(1/(1/_xlfn.MINIFS(Apparitions!$L$2:$L$5001,Apparitions!$H$2:$H$5001,A1455)),""))</f>
        <v/>
      </c>
    </row>
    <row r="1456" customFormat="false" ht="15" hidden="false" customHeight="false" outlineLevel="0" collapsed="false">
      <c r="A1456" s="19"/>
      <c r="B1456" s="19"/>
      <c r="C1456" s="19"/>
      <c r="D1456" s="19"/>
      <c r="E1456" s="32"/>
      <c r="F1456" s="19"/>
      <c r="G1456" s="26" t="str">
        <f aca="false">IF(A1456="","",COUNTIF(Pubs!$B$2:$B$3001,A1456))</f>
        <v/>
      </c>
      <c r="H1456" s="26" t="str">
        <f aca="false">IF(A1456="","",COUNTIF(Apparitions!$H$2:$H$5001,A1456))</f>
        <v/>
      </c>
      <c r="I1456" s="26" t="str">
        <f aca="false">IF(A1456="","",COUNTIFS(Apparitions!$H$2:$H$5001,A1456,Apparitions!$E$2:$E$5001,"○"))</f>
        <v/>
      </c>
      <c r="J1456" s="29" t="str">
        <f aca="false">IF(A1456="","",IFERROR(1/(1/_xlfn.MINIFS(Apparitions!$L$2:$L$5001,Apparitions!$H$2:$H$5001,A1456)),""))</f>
        <v/>
      </c>
    </row>
    <row r="1457" customFormat="false" ht="15" hidden="false" customHeight="false" outlineLevel="0" collapsed="false">
      <c r="A1457" s="19"/>
      <c r="B1457" s="19"/>
      <c r="C1457" s="19"/>
      <c r="D1457" s="19"/>
      <c r="E1457" s="32"/>
      <c r="F1457" s="19"/>
      <c r="G1457" s="26" t="str">
        <f aca="false">IF(A1457="","",COUNTIF(Pubs!$B$2:$B$3001,A1457))</f>
        <v/>
      </c>
      <c r="H1457" s="26" t="str">
        <f aca="false">IF(A1457="","",COUNTIF(Apparitions!$H$2:$H$5001,A1457))</f>
        <v/>
      </c>
      <c r="I1457" s="26" t="str">
        <f aca="false">IF(A1457="","",COUNTIFS(Apparitions!$H$2:$H$5001,A1457,Apparitions!$E$2:$E$5001,"○"))</f>
        <v/>
      </c>
      <c r="J1457" s="29" t="str">
        <f aca="false">IF(A1457="","",IFERROR(1/(1/_xlfn.MINIFS(Apparitions!$L$2:$L$5001,Apparitions!$H$2:$H$5001,A1457)),""))</f>
        <v/>
      </c>
    </row>
    <row r="1458" customFormat="false" ht="15" hidden="false" customHeight="false" outlineLevel="0" collapsed="false">
      <c r="A1458" s="19"/>
      <c r="B1458" s="19"/>
      <c r="C1458" s="19"/>
      <c r="D1458" s="19"/>
      <c r="E1458" s="32"/>
      <c r="F1458" s="19"/>
      <c r="G1458" s="26" t="str">
        <f aca="false">IF(A1458="","",COUNTIF(Pubs!$B$2:$B$3001,A1458))</f>
        <v/>
      </c>
      <c r="H1458" s="26" t="str">
        <f aca="false">IF(A1458="","",COUNTIF(Apparitions!$H$2:$H$5001,A1458))</f>
        <v/>
      </c>
      <c r="I1458" s="26" t="str">
        <f aca="false">IF(A1458="","",COUNTIFS(Apparitions!$H$2:$H$5001,A1458,Apparitions!$E$2:$E$5001,"○"))</f>
        <v/>
      </c>
      <c r="J1458" s="29" t="str">
        <f aca="false">IF(A1458="","",IFERROR(1/(1/_xlfn.MINIFS(Apparitions!$L$2:$L$5001,Apparitions!$H$2:$H$5001,A1458)),""))</f>
        <v/>
      </c>
    </row>
    <row r="1459" customFormat="false" ht="15" hidden="false" customHeight="false" outlineLevel="0" collapsed="false">
      <c r="A1459" s="19"/>
      <c r="B1459" s="19"/>
      <c r="C1459" s="19"/>
      <c r="D1459" s="19"/>
      <c r="E1459" s="32"/>
      <c r="F1459" s="19"/>
      <c r="G1459" s="26" t="str">
        <f aca="false">IF(A1459="","",COUNTIF(Pubs!$B$2:$B$3001,A1459))</f>
        <v/>
      </c>
      <c r="H1459" s="26" t="str">
        <f aca="false">IF(A1459="","",COUNTIF(Apparitions!$H$2:$H$5001,A1459))</f>
        <v/>
      </c>
      <c r="I1459" s="26" t="str">
        <f aca="false">IF(A1459="","",COUNTIFS(Apparitions!$H$2:$H$5001,A1459,Apparitions!$E$2:$E$5001,"○"))</f>
        <v/>
      </c>
      <c r="J1459" s="29" t="str">
        <f aca="false">IF(A1459="","",IFERROR(1/(1/_xlfn.MINIFS(Apparitions!$L$2:$L$5001,Apparitions!$H$2:$H$5001,A1459)),""))</f>
        <v/>
      </c>
    </row>
    <row r="1460" customFormat="false" ht="15" hidden="false" customHeight="false" outlineLevel="0" collapsed="false">
      <c r="A1460" s="19"/>
      <c r="B1460" s="19"/>
      <c r="C1460" s="19"/>
      <c r="D1460" s="19"/>
      <c r="E1460" s="32"/>
      <c r="F1460" s="19"/>
      <c r="G1460" s="26" t="str">
        <f aca="false">IF(A1460="","",COUNTIF(Pubs!$B$2:$B$3001,A1460))</f>
        <v/>
      </c>
      <c r="H1460" s="26" t="str">
        <f aca="false">IF(A1460="","",COUNTIF(Apparitions!$H$2:$H$5001,A1460))</f>
        <v/>
      </c>
      <c r="I1460" s="26" t="str">
        <f aca="false">IF(A1460="","",COUNTIFS(Apparitions!$H$2:$H$5001,A1460,Apparitions!$E$2:$E$5001,"○"))</f>
        <v/>
      </c>
      <c r="J1460" s="29" t="str">
        <f aca="false">IF(A1460="","",IFERROR(1/(1/_xlfn.MINIFS(Apparitions!$L$2:$L$5001,Apparitions!$H$2:$H$5001,A1460)),""))</f>
        <v/>
      </c>
    </row>
    <row r="1461" customFormat="false" ht="15" hidden="false" customHeight="false" outlineLevel="0" collapsed="false">
      <c r="A1461" s="19"/>
      <c r="B1461" s="19"/>
      <c r="C1461" s="19"/>
      <c r="D1461" s="19"/>
      <c r="E1461" s="32"/>
      <c r="F1461" s="19"/>
      <c r="G1461" s="26" t="str">
        <f aca="false">IF(A1461="","",COUNTIF(Pubs!$B$2:$B$3001,A1461))</f>
        <v/>
      </c>
      <c r="H1461" s="26" t="str">
        <f aca="false">IF(A1461="","",COUNTIF(Apparitions!$H$2:$H$5001,A1461))</f>
        <v/>
      </c>
      <c r="I1461" s="26" t="str">
        <f aca="false">IF(A1461="","",COUNTIFS(Apparitions!$H$2:$H$5001,A1461,Apparitions!$E$2:$E$5001,"○"))</f>
        <v/>
      </c>
      <c r="J1461" s="29" t="str">
        <f aca="false">IF(A1461="","",IFERROR(1/(1/_xlfn.MINIFS(Apparitions!$L$2:$L$5001,Apparitions!$H$2:$H$5001,A1461)),""))</f>
        <v/>
      </c>
    </row>
    <row r="1462" customFormat="false" ht="15" hidden="false" customHeight="false" outlineLevel="0" collapsed="false">
      <c r="A1462" s="19"/>
      <c r="B1462" s="19"/>
      <c r="C1462" s="19"/>
      <c r="D1462" s="19"/>
      <c r="E1462" s="32"/>
      <c r="F1462" s="19"/>
      <c r="G1462" s="26" t="str">
        <f aca="false">IF(A1462="","",COUNTIF(Pubs!$B$2:$B$3001,A1462))</f>
        <v/>
      </c>
      <c r="H1462" s="26" t="str">
        <f aca="false">IF(A1462="","",COUNTIF(Apparitions!$H$2:$H$5001,A1462))</f>
        <v/>
      </c>
      <c r="I1462" s="26" t="str">
        <f aca="false">IF(A1462="","",COUNTIFS(Apparitions!$H$2:$H$5001,A1462,Apparitions!$E$2:$E$5001,"○"))</f>
        <v/>
      </c>
      <c r="J1462" s="29" t="str">
        <f aca="false">IF(A1462="","",IFERROR(1/(1/_xlfn.MINIFS(Apparitions!$L$2:$L$5001,Apparitions!$H$2:$H$5001,A1462)),""))</f>
        <v/>
      </c>
    </row>
    <row r="1463" customFormat="false" ht="15" hidden="false" customHeight="false" outlineLevel="0" collapsed="false">
      <c r="A1463" s="19"/>
      <c r="B1463" s="19"/>
      <c r="C1463" s="19"/>
      <c r="D1463" s="19"/>
      <c r="E1463" s="32"/>
      <c r="F1463" s="19"/>
      <c r="G1463" s="26" t="str">
        <f aca="false">IF(A1463="","",COUNTIF(Pubs!$B$2:$B$3001,A1463))</f>
        <v/>
      </c>
      <c r="H1463" s="26" t="str">
        <f aca="false">IF(A1463="","",COUNTIF(Apparitions!$H$2:$H$5001,A1463))</f>
        <v/>
      </c>
      <c r="I1463" s="26" t="str">
        <f aca="false">IF(A1463="","",COUNTIFS(Apparitions!$H$2:$H$5001,A1463,Apparitions!$E$2:$E$5001,"○"))</f>
        <v/>
      </c>
      <c r="J1463" s="29" t="str">
        <f aca="false">IF(A1463="","",IFERROR(1/(1/_xlfn.MINIFS(Apparitions!$L$2:$L$5001,Apparitions!$H$2:$H$5001,A1463)),""))</f>
        <v/>
      </c>
    </row>
    <row r="1464" customFormat="false" ht="15" hidden="false" customHeight="false" outlineLevel="0" collapsed="false">
      <c r="A1464" s="19"/>
      <c r="B1464" s="19"/>
      <c r="C1464" s="19"/>
      <c r="D1464" s="19"/>
      <c r="E1464" s="32"/>
      <c r="F1464" s="19"/>
      <c r="G1464" s="26" t="str">
        <f aca="false">IF(A1464="","",COUNTIF(Pubs!$B$2:$B$3001,A1464))</f>
        <v/>
      </c>
      <c r="H1464" s="26" t="str">
        <f aca="false">IF(A1464="","",COUNTIF(Apparitions!$H$2:$H$5001,A1464))</f>
        <v/>
      </c>
      <c r="I1464" s="26" t="str">
        <f aca="false">IF(A1464="","",COUNTIFS(Apparitions!$H$2:$H$5001,A1464,Apparitions!$E$2:$E$5001,"○"))</f>
        <v/>
      </c>
      <c r="J1464" s="29" t="str">
        <f aca="false">IF(A1464="","",IFERROR(1/(1/_xlfn.MINIFS(Apparitions!$L$2:$L$5001,Apparitions!$H$2:$H$5001,A1464)),""))</f>
        <v/>
      </c>
    </row>
    <row r="1465" customFormat="false" ht="15" hidden="false" customHeight="false" outlineLevel="0" collapsed="false">
      <c r="A1465" s="19"/>
      <c r="B1465" s="19"/>
      <c r="C1465" s="19"/>
      <c r="D1465" s="19"/>
      <c r="E1465" s="32"/>
      <c r="F1465" s="19"/>
      <c r="G1465" s="26" t="str">
        <f aca="false">IF(A1465="","",COUNTIF(Pubs!$B$2:$B$3001,A1465))</f>
        <v/>
      </c>
      <c r="H1465" s="26" t="str">
        <f aca="false">IF(A1465="","",COUNTIF(Apparitions!$H$2:$H$5001,A1465))</f>
        <v/>
      </c>
      <c r="I1465" s="26" t="str">
        <f aca="false">IF(A1465="","",COUNTIFS(Apparitions!$H$2:$H$5001,A1465,Apparitions!$E$2:$E$5001,"○"))</f>
        <v/>
      </c>
      <c r="J1465" s="29" t="str">
        <f aca="false">IF(A1465="","",IFERROR(1/(1/_xlfn.MINIFS(Apparitions!$L$2:$L$5001,Apparitions!$H$2:$H$5001,A1465)),""))</f>
        <v/>
      </c>
    </row>
    <row r="1466" customFormat="false" ht="15" hidden="false" customHeight="false" outlineLevel="0" collapsed="false">
      <c r="A1466" s="19"/>
      <c r="B1466" s="19"/>
      <c r="C1466" s="19"/>
      <c r="D1466" s="19"/>
      <c r="E1466" s="32"/>
      <c r="F1466" s="19"/>
      <c r="G1466" s="26" t="str">
        <f aca="false">IF(A1466="","",COUNTIF(Pubs!$B$2:$B$3001,A1466))</f>
        <v/>
      </c>
      <c r="H1466" s="26" t="str">
        <f aca="false">IF(A1466="","",COUNTIF(Apparitions!$H$2:$H$5001,A1466))</f>
        <v/>
      </c>
      <c r="I1466" s="26" t="str">
        <f aca="false">IF(A1466="","",COUNTIFS(Apparitions!$H$2:$H$5001,A1466,Apparitions!$E$2:$E$5001,"○"))</f>
        <v/>
      </c>
      <c r="J1466" s="29" t="str">
        <f aca="false">IF(A1466="","",IFERROR(1/(1/_xlfn.MINIFS(Apparitions!$L$2:$L$5001,Apparitions!$H$2:$H$5001,A1466)),""))</f>
        <v/>
      </c>
    </row>
    <row r="1467" customFormat="false" ht="15" hidden="false" customHeight="false" outlineLevel="0" collapsed="false">
      <c r="A1467" s="19"/>
      <c r="B1467" s="19"/>
      <c r="C1467" s="19"/>
      <c r="D1467" s="19"/>
      <c r="E1467" s="32"/>
      <c r="F1467" s="19"/>
      <c r="G1467" s="26" t="str">
        <f aca="false">IF(A1467="","",COUNTIF(Pubs!$B$2:$B$3001,A1467))</f>
        <v/>
      </c>
      <c r="H1467" s="26" t="str">
        <f aca="false">IF(A1467="","",COUNTIF(Apparitions!$H$2:$H$5001,A1467))</f>
        <v/>
      </c>
      <c r="I1467" s="26" t="str">
        <f aca="false">IF(A1467="","",COUNTIFS(Apparitions!$H$2:$H$5001,A1467,Apparitions!$E$2:$E$5001,"○"))</f>
        <v/>
      </c>
      <c r="J1467" s="29" t="str">
        <f aca="false">IF(A1467="","",IFERROR(1/(1/_xlfn.MINIFS(Apparitions!$L$2:$L$5001,Apparitions!$H$2:$H$5001,A1467)),""))</f>
        <v/>
      </c>
    </row>
    <row r="1468" customFormat="false" ht="15" hidden="false" customHeight="false" outlineLevel="0" collapsed="false">
      <c r="A1468" s="19"/>
      <c r="B1468" s="19"/>
      <c r="C1468" s="19"/>
      <c r="D1468" s="19"/>
      <c r="E1468" s="32"/>
      <c r="F1468" s="19"/>
      <c r="G1468" s="26" t="str">
        <f aca="false">IF(A1468="","",COUNTIF(Pubs!$B$2:$B$3001,A1468))</f>
        <v/>
      </c>
      <c r="H1468" s="26" t="str">
        <f aca="false">IF(A1468="","",COUNTIF(Apparitions!$H$2:$H$5001,A1468))</f>
        <v/>
      </c>
      <c r="I1468" s="26" t="str">
        <f aca="false">IF(A1468="","",COUNTIFS(Apparitions!$H$2:$H$5001,A1468,Apparitions!$E$2:$E$5001,"○"))</f>
        <v/>
      </c>
      <c r="J1468" s="29" t="str">
        <f aca="false">IF(A1468="","",IFERROR(1/(1/_xlfn.MINIFS(Apparitions!$L$2:$L$5001,Apparitions!$H$2:$H$5001,A1468)),""))</f>
        <v/>
      </c>
    </row>
    <row r="1469" customFormat="false" ht="15" hidden="false" customHeight="false" outlineLevel="0" collapsed="false">
      <c r="A1469" s="19"/>
      <c r="B1469" s="19"/>
      <c r="C1469" s="19"/>
      <c r="D1469" s="19"/>
      <c r="E1469" s="32"/>
      <c r="F1469" s="19"/>
      <c r="G1469" s="26" t="str">
        <f aca="false">IF(A1469="","",COUNTIF(Pubs!$B$2:$B$3001,A1469))</f>
        <v/>
      </c>
      <c r="H1469" s="26" t="str">
        <f aca="false">IF(A1469="","",COUNTIF(Apparitions!$H$2:$H$5001,A1469))</f>
        <v/>
      </c>
      <c r="I1469" s="26" t="str">
        <f aca="false">IF(A1469="","",COUNTIFS(Apparitions!$H$2:$H$5001,A1469,Apparitions!$E$2:$E$5001,"○"))</f>
        <v/>
      </c>
      <c r="J1469" s="29" t="str">
        <f aca="false">IF(A1469="","",IFERROR(1/(1/_xlfn.MINIFS(Apparitions!$L$2:$L$5001,Apparitions!$H$2:$H$5001,A1469)),""))</f>
        <v/>
      </c>
    </row>
    <row r="1470" customFormat="false" ht="15" hidden="false" customHeight="false" outlineLevel="0" collapsed="false">
      <c r="A1470" s="19"/>
      <c r="B1470" s="19"/>
      <c r="C1470" s="19"/>
      <c r="D1470" s="19"/>
      <c r="E1470" s="32"/>
      <c r="F1470" s="19"/>
      <c r="G1470" s="26" t="str">
        <f aca="false">IF(A1470="","",COUNTIF(Pubs!$B$2:$B$3001,A1470))</f>
        <v/>
      </c>
      <c r="H1470" s="26" t="str">
        <f aca="false">IF(A1470="","",COUNTIF(Apparitions!$H$2:$H$5001,A1470))</f>
        <v/>
      </c>
      <c r="I1470" s="26" t="str">
        <f aca="false">IF(A1470="","",COUNTIFS(Apparitions!$H$2:$H$5001,A1470,Apparitions!$E$2:$E$5001,"○"))</f>
        <v/>
      </c>
      <c r="J1470" s="29" t="str">
        <f aca="false">IF(A1470="","",IFERROR(1/(1/_xlfn.MINIFS(Apparitions!$L$2:$L$5001,Apparitions!$H$2:$H$5001,A1470)),""))</f>
        <v/>
      </c>
    </row>
    <row r="1471" customFormat="false" ht="15" hidden="false" customHeight="false" outlineLevel="0" collapsed="false">
      <c r="A1471" s="19"/>
      <c r="B1471" s="19"/>
      <c r="C1471" s="19"/>
      <c r="D1471" s="19"/>
      <c r="E1471" s="32"/>
      <c r="F1471" s="19"/>
      <c r="G1471" s="26" t="str">
        <f aca="false">IF(A1471="","",COUNTIF(Pubs!$B$2:$B$3001,A1471))</f>
        <v/>
      </c>
      <c r="H1471" s="26" t="str">
        <f aca="false">IF(A1471="","",COUNTIF(Apparitions!$H$2:$H$5001,A1471))</f>
        <v/>
      </c>
      <c r="I1471" s="26" t="str">
        <f aca="false">IF(A1471="","",COUNTIFS(Apparitions!$H$2:$H$5001,A1471,Apparitions!$E$2:$E$5001,"○"))</f>
        <v/>
      </c>
      <c r="J1471" s="29" t="str">
        <f aca="false">IF(A1471="","",IFERROR(1/(1/_xlfn.MINIFS(Apparitions!$L$2:$L$5001,Apparitions!$H$2:$H$5001,A1471)),""))</f>
        <v/>
      </c>
    </row>
    <row r="1472" customFormat="false" ht="15" hidden="false" customHeight="false" outlineLevel="0" collapsed="false">
      <c r="A1472" s="19"/>
      <c r="B1472" s="19"/>
      <c r="C1472" s="19"/>
      <c r="D1472" s="19"/>
      <c r="E1472" s="32"/>
      <c r="F1472" s="19"/>
      <c r="G1472" s="26" t="str">
        <f aca="false">IF(A1472="","",COUNTIF(Pubs!$B$2:$B$3001,A1472))</f>
        <v/>
      </c>
      <c r="H1472" s="26" t="str">
        <f aca="false">IF(A1472="","",COUNTIF(Apparitions!$H$2:$H$5001,A1472))</f>
        <v/>
      </c>
      <c r="I1472" s="26" t="str">
        <f aca="false">IF(A1472="","",COUNTIFS(Apparitions!$H$2:$H$5001,A1472,Apparitions!$E$2:$E$5001,"○"))</f>
        <v/>
      </c>
      <c r="J1472" s="29" t="str">
        <f aca="false">IF(A1472="","",IFERROR(1/(1/_xlfn.MINIFS(Apparitions!$L$2:$L$5001,Apparitions!$H$2:$H$5001,A1472)),""))</f>
        <v/>
      </c>
    </row>
    <row r="1473" customFormat="false" ht="15" hidden="false" customHeight="false" outlineLevel="0" collapsed="false">
      <c r="A1473" s="19"/>
      <c r="B1473" s="19"/>
      <c r="C1473" s="19"/>
      <c r="D1473" s="19"/>
      <c r="E1473" s="32"/>
      <c r="F1473" s="19"/>
      <c r="G1473" s="26" t="str">
        <f aca="false">IF(A1473="","",COUNTIF(Pubs!$B$2:$B$3001,A1473))</f>
        <v/>
      </c>
      <c r="H1473" s="26" t="str">
        <f aca="false">IF(A1473="","",COUNTIF(Apparitions!$H$2:$H$5001,A1473))</f>
        <v/>
      </c>
      <c r="I1473" s="26" t="str">
        <f aca="false">IF(A1473="","",COUNTIFS(Apparitions!$H$2:$H$5001,A1473,Apparitions!$E$2:$E$5001,"○"))</f>
        <v/>
      </c>
      <c r="J1473" s="29" t="str">
        <f aca="false">IF(A1473="","",IFERROR(1/(1/_xlfn.MINIFS(Apparitions!$L$2:$L$5001,Apparitions!$H$2:$H$5001,A1473)),""))</f>
        <v/>
      </c>
    </row>
    <row r="1474" customFormat="false" ht="15" hidden="false" customHeight="false" outlineLevel="0" collapsed="false">
      <c r="A1474" s="19"/>
      <c r="B1474" s="19"/>
      <c r="C1474" s="19"/>
      <c r="D1474" s="19"/>
      <c r="E1474" s="32"/>
      <c r="F1474" s="19"/>
      <c r="G1474" s="26" t="str">
        <f aca="false">IF(A1474="","",COUNTIF(Pubs!$B$2:$B$3001,A1474))</f>
        <v/>
      </c>
      <c r="H1474" s="26" t="str">
        <f aca="false">IF(A1474="","",COUNTIF(Apparitions!$H$2:$H$5001,A1474))</f>
        <v/>
      </c>
      <c r="I1474" s="26" t="str">
        <f aca="false">IF(A1474="","",COUNTIFS(Apparitions!$H$2:$H$5001,A1474,Apparitions!$E$2:$E$5001,"○"))</f>
        <v/>
      </c>
      <c r="J1474" s="29" t="str">
        <f aca="false">IF(A1474="","",IFERROR(1/(1/_xlfn.MINIFS(Apparitions!$L$2:$L$5001,Apparitions!$H$2:$H$5001,A1474)),""))</f>
        <v/>
      </c>
    </row>
    <row r="1475" customFormat="false" ht="15" hidden="false" customHeight="false" outlineLevel="0" collapsed="false">
      <c r="A1475" s="19"/>
      <c r="B1475" s="19"/>
      <c r="C1475" s="19"/>
      <c r="D1475" s="19"/>
      <c r="E1475" s="32"/>
      <c r="F1475" s="19"/>
      <c r="G1475" s="26" t="str">
        <f aca="false">IF(A1475="","",COUNTIF(Pubs!$B$2:$B$3001,A1475))</f>
        <v/>
      </c>
      <c r="H1475" s="26" t="str">
        <f aca="false">IF(A1475="","",COUNTIF(Apparitions!$H$2:$H$5001,A1475))</f>
        <v/>
      </c>
      <c r="I1475" s="26" t="str">
        <f aca="false">IF(A1475="","",COUNTIFS(Apparitions!$H$2:$H$5001,A1475,Apparitions!$E$2:$E$5001,"○"))</f>
        <v/>
      </c>
      <c r="J1475" s="29" t="str">
        <f aca="false">IF(A1475="","",IFERROR(1/(1/_xlfn.MINIFS(Apparitions!$L$2:$L$5001,Apparitions!$H$2:$H$5001,A1475)),""))</f>
        <v/>
      </c>
    </row>
    <row r="1476" customFormat="false" ht="15" hidden="false" customHeight="false" outlineLevel="0" collapsed="false">
      <c r="A1476" s="19"/>
      <c r="B1476" s="19"/>
      <c r="C1476" s="19"/>
      <c r="D1476" s="19"/>
      <c r="E1476" s="32"/>
      <c r="F1476" s="19"/>
      <c r="G1476" s="26" t="str">
        <f aca="false">IF(A1476="","",COUNTIF(Pubs!$B$2:$B$3001,A1476))</f>
        <v/>
      </c>
      <c r="H1476" s="26" t="str">
        <f aca="false">IF(A1476="","",COUNTIF(Apparitions!$H$2:$H$5001,A1476))</f>
        <v/>
      </c>
      <c r="I1476" s="26" t="str">
        <f aca="false">IF(A1476="","",COUNTIFS(Apparitions!$H$2:$H$5001,A1476,Apparitions!$E$2:$E$5001,"○"))</f>
        <v/>
      </c>
      <c r="J1476" s="29" t="str">
        <f aca="false">IF(A1476="","",IFERROR(1/(1/_xlfn.MINIFS(Apparitions!$L$2:$L$5001,Apparitions!$H$2:$H$5001,A1476)),""))</f>
        <v/>
      </c>
    </row>
    <row r="1477" customFormat="false" ht="15" hidden="false" customHeight="false" outlineLevel="0" collapsed="false">
      <c r="A1477" s="19"/>
      <c r="B1477" s="19"/>
      <c r="C1477" s="19"/>
      <c r="D1477" s="19"/>
      <c r="E1477" s="32"/>
      <c r="F1477" s="19"/>
      <c r="G1477" s="26" t="str">
        <f aca="false">IF(A1477="","",COUNTIF(Pubs!$B$2:$B$3001,A1477))</f>
        <v/>
      </c>
      <c r="H1477" s="26" t="str">
        <f aca="false">IF(A1477="","",COUNTIF(Apparitions!$H$2:$H$5001,A1477))</f>
        <v/>
      </c>
      <c r="I1477" s="26" t="str">
        <f aca="false">IF(A1477="","",COUNTIFS(Apparitions!$H$2:$H$5001,A1477,Apparitions!$E$2:$E$5001,"○"))</f>
        <v/>
      </c>
      <c r="J1477" s="29" t="str">
        <f aca="false">IF(A1477="","",IFERROR(1/(1/_xlfn.MINIFS(Apparitions!$L$2:$L$5001,Apparitions!$H$2:$H$5001,A1477)),""))</f>
        <v/>
      </c>
    </row>
    <row r="1478" customFormat="false" ht="15" hidden="false" customHeight="false" outlineLevel="0" collapsed="false">
      <c r="A1478" s="19"/>
      <c r="B1478" s="19"/>
      <c r="C1478" s="19"/>
      <c r="D1478" s="19"/>
      <c r="E1478" s="32"/>
      <c r="F1478" s="19"/>
      <c r="G1478" s="26" t="str">
        <f aca="false">IF(A1478="","",COUNTIF(Pubs!$B$2:$B$3001,A1478))</f>
        <v/>
      </c>
      <c r="H1478" s="26" t="str">
        <f aca="false">IF(A1478="","",COUNTIF(Apparitions!$H$2:$H$5001,A1478))</f>
        <v/>
      </c>
      <c r="I1478" s="26" t="str">
        <f aca="false">IF(A1478="","",COUNTIFS(Apparitions!$H$2:$H$5001,A1478,Apparitions!$E$2:$E$5001,"○"))</f>
        <v/>
      </c>
      <c r="J1478" s="29" t="str">
        <f aca="false">IF(A1478="","",IFERROR(1/(1/_xlfn.MINIFS(Apparitions!$L$2:$L$5001,Apparitions!$H$2:$H$5001,A1478)),""))</f>
        <v/>
      </c>
    </row>
    <row r="1479" customFormat="false" ht="15" hidden="false" customHeight="false" outlineLevel="0" collapsed="false">
      <c r="A1479" s="19"/>
      <c r="B1479" s="19"/>
      <c r="C1479" s="19"/>
      <c r="D1479" s="19"/>
      <c r="E1479" s="32"/>
      <c r="F1479" s="19"/>
      <c r="G1479" s="26" t="str">
        <f aca="false">IF(A1479="","",COUNTIF(Pubs!$B$2:$B$3001,A1479))</f>
        <v/>
      </c>
      <c r="H1479" s="26" t="str">
        <f aca="false">IF(A1479="","",COUNTIF(Apparitions!$H$2:$H$5001,A1479))</f>
        <v/>
      </c>
      <c r="I1479" s="26" t="str">
        <f aca="false">IF(A1479="","",COUNTIFS(Apparitions!$H$2:$H$5001,A1479,Apparitions!$E$2:$E$5001,"○"))</f>
        <v/>
      </c>
      <c r="J1479" s="29" t="str">
        <f aca="false">IF(A1479="","",IFERROR(1/(1/_xlfn.MINIFS(Apparitions!$L$2:$L$5001,Apparitions!$H$2:$H$5001,A1479)),""))</f>
        <v/>
      </c>
    </row>
    <row r="1480" customFormat="false" ht="15" hidden="false" customHeight="false" outlineLevel="0" collapsed="false">
      <c r="A1480" s="19"/>
      <c r="B1480" s="19"/>
      <c r="C1480" s="19"/>
      <c r="D1480" s="19"/>
      <c r="E1480" s="32"/>
      <c r="F1480" s="19"/>
      <c r="G1480" s="26" t="str">
        <f aca="false">IF(A1480="","",COUNTIF(Pubs!$B$2:$B$3001,A1480))</f>
        <v/>
      </c>
      <c r="H1480" s="26" t="str">
        <f aca="false">IF(A1480="","",COUNTIF(Apparitions!$H$2:$H$5001,A1480))</f>
        <v/>
      </c>
      <c r="I1480" s="26" t="str">
        <f aca="false">IF(A1480="","",COUNTIFS(Apparitions!$H$2:$H$5001,A1480,Apparitions!$E$2:$E$5001,"○"))</f>
        <v/>
      </c>
      <c r="J1480" s="29" t="str">
        <f aca="false">IF(A1480="","",IFERROR(1/(1/_xlfn.MINIFS(Apparitions!$L$2:$L$5001,Apparitions!$H$2:$H$5001,A1480)),""))</f>
        <v/>
      </c>
    </row>
    <row r="1481" customFormat="false" ht="15" hidden="false" customHeight="false" outlineLevel="0" collapsed="false">
      <c r="A1481" s="19"/>
      <c r="B1481" s="19"/>
      <c r="C1481" s="19"/>
      <c r="D1481" s="19"/>
      <c r="E1481" s="32"/>
      <c r="F1481" s="19"/>
      <c r="G1481" s="26" t="str">
        <f aca="false">IF(A1481="","",COUNTIF(Pubs!$B$2:$B$3001,A1481))</f>
        <v/>
      </c>
      <c r="H1481" s="26" t="str">
        <f aca="false">IF(A1481="","",COUNTIF(Apparitions!$H$2:$H$5001,A1481))</f>
        <v/>
      </c>
      <c r="I1481" s="26" t="str">
        <f aca="false">IF(A1481="","",COUNTIFS(Apparitions!$H$2:$H$5001,A1481,Apparitions!$E$2:$E$5001,"○"))</f>
        <v/>
      </c>
      <c r="J1481" s="29" t="str">
        <f aca="false">IF(A1481="","",IFERROR(1/(1/_xlfn.MINIFS(Apparitions!$L$2:$L$5001,Apparitions!$H$2:$H$5001,A1481)),""))</f>
        <v/>
      </c>
    </row>
    <row r="1482" customFormat="false" ht="15" hidden="false" customHeight="false" outlineLevel="0" collapsed="false">
      <c r="A1482" s="19"/>
      <c r="B1482" s="19"/>
      <c r="C1482" s="19"/>
      <c r="D1482" s="19"/>
      <c r="E1482" s="32"/>
      <c r="F1482" s="19"/>
      <c r="G1482" s="26" t="str">
        <f aca="false">IF(A1482="","",COUNTIF(Pubs!$B$2:$B$3001,A1482))</f>
        <v/>
      </c>
      <c r="H1482" s="26" t="str">
        <f aca="false">IF(A1482="","",COUNTIF(Apparitions!$H$2:$H$5001,A1482))</f>
        <v/>
      </c>
      <c r="I1482" s="26" t="str">
        <f aca="false">IF(A1482="","",COUNTIFS(Apparitions!$H$2:$H$5001,A1482,Apparitions!$E$2:$E$5001,"○"))</f>
        <v/>
      </c>
      <c r="J1482" s="29" t="str">
        <f aca="false">IF(A1482="","",IFERROR(1/(1/_xlfn.MINIFS(Apparitions!$L$2:$L$5001,Apparitions!$H$2:$H$5001,A1482)),""))</f>
        <v/>
      </c>
    </row>
    <row r="1483" customFormat="false" ht="15" hidden="false" customHeight="false" outlineLevel="0" collapsed="false">
      <c r="A1483" s="19"/>
      <c r="B1483" s="19"/>
      <c r="C1483" s="19"/>
      <c r="D1483" s="19"/>
      <c r="E1483" s="32"/>
      <c r="F1483" s="19"/>
      <c r="G1483" s="26" t="str">
        <f aca="false">IF(A1483="","",COUNTIF(Pubs!$B$2:$B$3001,A1483))</f>
        <v/>
      </c>
      <c r="H1483" s="26" t="str">
        <f aca="false">IF(A1483="","",COUNTIF(Apparitions!$H$2:$H$5001,A1483))</f>
        <v/>
      </c>
      <c r="I1483" s="26" t="str">
        <f aca="false">IF(A1483="","",COUNTIFS(Apparitions!$H$2:$H$5001,A1483,Apparitions!$E$2:$E$5001,"○"))</f>
        <v/>
      </c>
      <c r="J1483" s="29" t="str">
        <f aca="false">IF(A1483="","",IFERROR(1/(1/_xlfn.MINIFS(Apparitions!$L$2:$L$5001,Apparitions!$H$2:$H$5001,A1483)),""))</f>
        <v/>
      </c>
    </row>
    <row r="1484" customFormat="false" ht="15" hidden="false" customHeight="false" outlineLevel="0" collapsed="false">
      <c r="A1484" s="19"/>
      <c r="B1484" s="19"/>
      <c r="C1484" s="19"/>
      <c r="D1484" s="19"/>
      <c r="E1484" s="32"/>
      <c r="F1484" s="19"/>
      <c r="G1484" s="26" t="str">
        <f aca="false">IF(A1484="","",COUNTIF(Pubs!$B$2:$B$3001,A1484))</f>
        <v/>
      </c>
      <c r="H1484" s="26" t="str">
        <f aca="false">IF(A1484="","",COUNTIF(Apparitions!$H$2:$H$5001,A1484))</f>
        <v/>
      </c>
      <c r="I1484" s="26" t="str">
        <f aca="false">IF(A1484="","",COUNTIFS(Apparitions!$H$2:$H$5001,A1484,Apparitions!$E$2:$E$5001,"○"))</f>
        <v/>
      </c>
      <c r="J1484" s="29" t="str">
        <f aca="false">IF(A1484="","",IFERROR(1/(1/_xlfn.MINIFS(Apparitions!$L$2:$L$5001,Apparitions!$H$2:$H$5001,A1484)),""))</f>
        <v/>
      </c>
    </row>
    <row r="1485" customFormat="false" ht="15" hidden="false" customHeight="false" outlineLevel="0" collapsed="false">
      <c r="A1485" s="19"/>
      <c r="B1485" s="19"/>
      <c r="C1485" s="19"/>
      <c r="D1485" s="19"/>
      <c r="E1485" s="32"/>
      <c r="F1485" s="19"/>
      <c r="G1485" s="26" t="str">
        <f aca="false">IF(A1485="","",COUNTIF(Pubs!$B$2:$B$3001,A1485))</f>
        <v/>
      </c>
      <c r="H1485" s="26" t="str">
        <f aca="false">IF(A1485="","",COUNTIF(Apparitions!$H$2:$H$5001,A1485))</f>
        <v/>
      </c>
      <c r="I1485" s="26" t="str">
        <f aca="false">IF(A1485="","",COUNTIFS(Apparitions!$H$2:$H$5001,A1485,Apparitions!$E$2:$E$5001,"○"))</f>
        <v/>
      </c>
      <c r="J1485" s="29" t="str">
        <f aca="false">IF(A1485="","",IFERROR(1/(1/_xlfn.MINIFS(Apparitions!$L$2:$L$5001,Apparitions!$H$2:$H$5001,A1485)),""))</f>
        <v/>
      </c>
    </row>
    <row r="1486" customFormat="false" ht="15" hidden="false" customHeight="false" outlineLevel="0" collapsed="false">
      <c r="A1486" s="19"/>
      <c r="B1486" s="19"/>
      <c r="C1486" s="19"/>
      <c r="D1486" s="19"/>
      <c r="E1486" s="32"/>
      <c r="F1486" s="19"/>
      <c r="G1486" s="26" t="str">
        <f aca="false">IF(A1486="","",COUNTIF(Pubs!$B$2:$B$3001,A1486))</f>
        <v/>
      </c>
      <c r="H1486" s="26" t="str">
        <f aca="false">IF(A1486="","",COUNTIF(Apparitions!$H$2:$H$5001,A1486))</f>
        <v/>
      </c>
      <c r="I1486" s="26" t="str">
        <f aca="false">IF(A1486="","",COUNTIFS(Apparitions!$H$2:$H$5001,A1486,Apparitions!$E$2:$E$5001,"○"))</f>
        <v/>
      </c>
      <c r="J1486" s="29" t="str">
        <f aca="false">IF(A1486="","",IFERROR(1/(1/_xlfn.MINIFS(Apparitions!$L$2:$L$5001,Apparitions!$H$2:$H$5001,A1486)),""))</f>
        <v/>
      </c>
    </row>
    <row r="1487" customFormat="false" ht="15" hidden="false" customHeight="false" outlineLevel="0" collapsed="false">
      <c r="A1487" s="19"/>
      <c r="B1487" s="19"/>
      <c r="C1487" s="19"/>
      <c r="D1487" s="19"/>
      <c r="E1487" s="32"/>
      <c r="F1487" s="19"/>
      <c r="G1487" s="26" t="str">
        <f aca="false">IF(A1487="","",COUNTIF(Pubs!$B$2:$B$3001,A1487))</f>
        <v/>
      </c>
      <c r="H1487" s="26" t="str">
        <f aca="false">IF(A1487="","",COUNTIF(Apparitions!$H$2:$H$5001,A1487))</f>
        <v/>
      </c>
      <c r="I1487" s="26" t="str">
        <f aca="false">IF(A1487="","",COUNTIFS(Apparitions!$H$2:$H$5001,A1487,Apparitions!$E$2:$E$5001,"○"))</f>
        <v/>
      </c>
      <c r="J1487" s="29" t="str">
        <f aca="false">IF(A1487="","",IFERROR(1/(1/_xlfn.MINIFS(Apparitions!$L$2:$L$5001,Apparitions!$H$2:$H$5001,A1487)),""))</f>
        <v/>
      </c>
    </row>
    <row r="1488" customFormat="false" ht="15" hidden="false" customHeight="false" outlineLevel="0" collapsed="false">
      <c r="A1488" s="19"/>
      <c r="B1488" s="19"/>
      <c r="C1488" s="19"/>
      <c r="D1488" s="19"/>
      <c r="E1488" s="32"/>
      <c r="F1488" s="19"/>
      <c r="G1488" s="26" t="str">
        <f aca="false">IF(A1488="","",COUNTIF(Pubs!$B$2:$B$3001,A1488))</f>
        <v/>
      </c>
      <c r="H1488" s="26" t="str">
        <f aca="false">IF(A1488="","",COUNTIF(Apparitions!$H$2:$H$5001,A1488))</f>
        <v/>
      </c>
      <c r="I1488" s="26" t="str">
        <f aca="false">IF(A1488="","",COUNTIFS(Apparitions!$H$2:$H$5001,A1488,Apparitions!$E$2:$E$5001,"○"))</f>
        <v/>
      </c>
      <c r="J1488" s="29" t="str">
        <f aca="false">IF(A1488="","",IFERROR(1/(1/_xlfn.MINIFS(Apparitions!$L$2:$L$5001,Apparitions!$H$2:$H$5001,A1488)),""))</f>
        <v/>
      </c>
    </row>
    <row r="1489" customFormat="false" ht="15" hidden="false" customHeight="false" outlineLevel="0" collapsed="false">
      <c r="A1489" s="19"/>
      <c r="B1489" s="19"/>
      <c r="C1489" s="19"/>
      <c r="D1489" s="19"/>
      <c r="E1489" s="32"/>
      <c r="F1489" s="19"/>
      <c r="G1489" s="26" t="str">
        <f aca="false">IF(A1489="","",COUNTIF(Pubs!$B$2:$B$3001,A1489))</f>
        <v/>
      </c>
      <c r="H1489" s="26" t="str">
        <f aca="false">IF(A1489="","",COUNTIF(Apparitions!$H$2:$H$5001,A1489))</f>
        <v/>
      </c>
      <c r="I1489" s="26" t="str">
        <f aca="false">IF(A1489="","",COUNTIFS(Apparitions!$H$2:$H$5001,A1489,Apparitions!$E$2:$E$5001,"○"))</f>
        <v/>
      </c>
      <c r="J1489" s="29" t="str">
        <f aca="false">IF(A1489="","",IFERROR(1/(1/_xlfn.MINIFS(Apparitions!$L$2:$L$5001,Apparitions!$H$2:$H$5001,A1489)),""))</f>
        <v/>
      </c>
    </row>
    <row r="1490" customFormat="false" ht="15" hidden="false" customHeight="false" outlineLevel="0" collapsed="false">
      <c r="A1490" s="19"/>
      <c r="B1490" s="19"/>
      <c r="C1490" s="19"/>
      <c r="D1490" s="19"/>
      <c r="E1490" s="32"/>
      <c r="F1490" s="19"/>
      <c r="G1490" s="26" t="str">
        <f aca="false">IF(A1490="","",COUNTIF(Pubs!$B$2:$B$3001,A1490))</f>
        <v/>
      </c>
      <c r="H1490" s="26" t="str">
        <f aca="false">IF(A1490="","",COUNTIF(Apparitions!$H$2:$H$5001,A1490))</f>
        <v/>
      </c>
      <c r="I1490" s="26" t="str">
        <f aca="false">IF(A1490="","",COUNTIFS(Apparitions!$H$2:$H$5001,A1490,Apparitions!$E$2:$E$5001,"○"))</f>
        <v/>
      </c>
      <c r="J1490" s="29" t="str">
        <f aca="false">IF(A1490="","",IFERROR(1/(1/_xlfn.MINIFS(Apparitions!$L$2:$L$5001,Apparitions!$H$2:$H$5001,A1490)),""))</f>
        <v/>
      </c>
    </row>
    <row r="1491" customFormat="false" ht="15" hidden="false" customHeight="false" outlineLevel="0" collapsed="false">
      <c r="A1491" s="19"/>
      <c r="B1491" s="19"/>
      <c r="C1491" s="19"/>
      <c r="D1491" s="19"/>
      <c r="E1491" s="32"/>
      <c r="F1491" s="19"/>
      <c r="G1491" s="26" t="str">
        <f aca="false">IF(A1491="","",COUNTIF(Pubs!$B$2:$B$3001,A1491))</f>
        <v/>
      </c>
      <c r="H1491" s="26" t="str">
        <f aca="false">IF(A1491="","",COUNTIF(Apparitions!$H$2:$H$5001,A1491))</f>
        <v/>
      </c>
      <c r="I1491" s="26" t="str">
        <f aca="false">IF(A1491="","",COUNTIFS(Apparitions!$H$2:$H$5001,A1491,Apparitions!$E$2:$E$5001,"○"))</f>
        <v/>
      </c>
      <c r="J1491" s="29" t="str">
        <f aca="false">IF(A1491="","",IFERROR(1/(1/_xlfn.MINIFS(Apparitions!$L$2:$L$5001,Apparitions!$H$2:$H$5001,A1491)),""))</f>
        <v/>
      </c>
    </row>
    <row r="1492" customFormat="false" ht="15" hidden="false" customHeight="false" outlineLevel="0" collapsed="false">
      <c r="A1492" s="19"/>
      <c r="B1492" s="19"/>
      <c r="C1492" s="19"/>
      <c r="D1492" s="19"/>
      <c r="E1492" s="32"/>
      <c r="F1492" s="19"/>
      <c r="G1492" s="26" t="str">
        <f aca="false">IF(A1492="","",COUNTIF(Pubs!$B$2:$B$3001,A1492))</f>
        <v/>
      </c>
      <c r="H1492" s="26" t="str">
        <f aca="false">IF(A1492="","",COUNTIF(Apparitions!$H$2:$H$5001,A1492))</f>
        <v/>
      </c>
      <c r="I1492" s="26" t="str">
        <f aca="false">IF(A1492="","",COUNTIFS(Apparitions!$H$2:$H$5001,A1492,Apparitions!$E$2:$E$5001,"○"))</f>
        <v/>
      </c>
      <c r="J1492" s="29" t="str">
        <f aca="false">IF(A1492="","",IFERROR(1/(1/_xlfn.MINIFS(Apparitions!$L$2:$L$5001,Apparitions!$H$2:$H$5001,A1492)),""))</f>
        <v/>
      </c>
    </row>
    <row r="1493" customFormat="false" ht="15" hidden="false" customHeight="false" outlineLevel="0" collapsed="false">
      <c r="A1493" s="19"/>
      <c r="B1493" s="19"/>
      <c r="C1493" s="19"/>
      <c r="D1493" s="19"/>
      <c r="E1493" s="32"/>
      <c r="F1493" s="19"/>
      <c r="G1493" s="26" t="str">
        <f aca="false">IF(A1493="","",COUNTIF(Pubs!$B$2:$B$3001,A1493))</f>
        <v/>
      </c>
      <c r="H1493" s="26" t="str">
        <f aca="false">IF(A1493="","",COUNTIF(Apparitions!$H$2:$H$5001,A1493))</f>
        <v/>
      </c>
      <c r="I1493" s="26" t="str">
        <f aca="false">IF(A1493="","",COUNTIFS(Apparitions!$H$2:$H$5001,A1493,Apparitions!$E$2:$E$5001,"○"))</f>
        <v/>
      </c>
      <c r="J1493" s="29" t="str">
        <f aca="false">IF(A1493="","",IFERROR(1/(1/_xlfn.MINIFS(Apparitions!$L$2:$L$5001,Apparitions!$H$2:$H$5001,A1493)),""))</f>
        <v/>
      </c>
    </row>
    <row r="1494" customFormat="false" ht="15" hidden="false" customHeight="false" outlineLevel="0" collapsed="false">
      <c r="A1494" s="19"/>
      <c r="B1494" s="19"/>
      <c r="C1494" s="19"/>
      <c r="D1494" s="19"/>
      <c r="E1494" s="32"/>
      <c r="F1494" s="19"/>
      <c r="G1494" s="26" t="str">
        <f aca="false">IF(A1494="","",COUNTIF(Pubs!$B$2:$B$3001,A1494))</f>
        <v/>
      </c>
      <c r="H1494" s="26" t="str">
        <f aca="false">IF(A1494="","",COUNTIF(Apparitions!$H$2:$H$5001,A1494))</f>
        <v/>
      </c>
      <c r="I1494" s="26" t="str">
        <f aca="false">IF(A1494="","",COUNTIFS(Apparitions!$H$2:$H$5001,A1494,Apparitions!$E$2:$E$5001,"○"))</f>
        <v/>
      </c>
      <c r="J1494" s="29" t="str">
        <f aca="false">IF(A1494="","",IFERROR(1/(1/_xlfn.MINIFS(Apparitions!$L$2:$L$5001,Apparitions!$H$2:$H$5001,A1494)),""))</f>
        <v/>
      </c>
    </row>
    <row r="1495" customFormat="false" ht="15" hidden="false" customHeight="false" outlineLevel="0" collapsed="false">
      <c r="A1495" s="19"/>
      <c r="B1495" s="19"/>
      <c r="C1495" s="19"/>
      <c r="D1495" s="19"/>
      <c r="E1495" s="32"/>
      <c r="F1495" s="19"/>
      <c r="G1495" s="26" t="str">
        <f aca="false">IF(A1495="","",COUNTIF(Pubs!$B$2:$B$3001,A1495))</f>
        <v/>
      </c>
      <c r="H1495" s="26" t="str">
        <f aca="false">IF(A1495="","",COUNTIF(Apparitions!$H$2:$H$5001,A1495))</f>
        <v/>
      </c>
      <c r="I1495" s="26" t="str">
        <f aca="false">IF(A1495="","",COUNTIFS(Apparitions!$H$2:$H$5001,A1495,Apparitions!$E$2:$E$5001,"○"))</f>
        <v/>
      </c>
      <c r="J1495" s="29" t="str">
        <f aca="false">IF(A1495="","",IFERROR(1/(1/_xlfn.MINIFS(Apparitions!$L$2:$L$5001,Apparitions!$H$2:$H$5001,A1495)),""))</f>
        <v/>
      </c>
    </row>
    <row r="1496" customFormat="false" ht="15" hidden="false" customHeight="false" outlineLevel="0" collapsed="false">
      <c r="A1496" s="19"/>
      <c r="B1496" s="19"/>
      <c r="C1496" s="19"/>
      <c r="D1496" s="19"/>
      <c r="E1496" s="32"/>
      <c r="F1496" s="19"/>
      <c r="G1496" s="26" t="str">
        <f aca="false">IF(A1496="","",COUNTIF(Pubs!$B$2:$B$3001,A1496))</f>
        <v/>
      </c>
      <c r="H1496" s="26" t="str">
        <f aca="false">IF(A1496="","",COUNTIF(Apparitions!$H$2:$H$5001,A1496))</f>
        <v/>
      </c>
      <c r="I1496" s="26" t="str">
        <f aca="false">IF(A1496="","",COUNTIFS(Apparitions!$H$2:$H$5001,A1496,Apparitions!$E$2:$E$5001,"○"))</f>
        <v/>
      </c>
      <c r="J1496" s="29" t="str">
        <f aca="false">IF(A1496="","",IFERROR(1/(1/_xlfn.MINIFS(Apparitions!$L$2:$L$5001,Apparitions!$H$2:$H$5001,A1496)),""))</f>
        <v/>
      </c>
    </row>
    <row r="1497" customFormat="false" ht="15" hidden="false" customHeight="false" outlineLevel="0" collapsed="false">
      <c r="A1497" s="19"/>
      <c r="B1497" s="19"/>
      <c r="C1497" s="19"/>
      <c r="D1497" s="19"/>
      <c r="E1497" s="32"/>
      <c r="F1497" s="19"/>
      <c r="G1497" s="26" t="str">
        <f aca="false">IF(A1497="","",COUNTIF(Pubs!$B$2:$B$3001,A1497))</f>
        <v/>
      </c>
      <c r="H1497" s="26" t="str">
        <f aca="false">IF(A1497="","",COUNTIF(Apparitions!$H$2:$H$5001,A1497))</f>
        <v/>
      </c>
      <c r="I1497" s="26" t="str">
        <f aca="false">IF(A1497="","",COUNTIFS(Apparitions!$H$2:$H$5001,A1497,Apparitions!$E$2:$E$5001,"○"))</f>
        <v/>
      </c>
      <c r="J1497" s="29" t="str">
        <f aca="false">IF(A1497="","",IFERROR(1/(1/_xlfn.MINIFS(Apparitions!$L$2:$L$5001,Apparitions!$H$2:$H$5001,A1497)),""))</f>
        <v/>
      </c>
    </row>
    <row r="1498" customFormat="false" ht="15" hidden="false" customHeight="false" outlineLevel="0" collapsed="false">
      <c r="A1498" s="19"/>
      <c r="B1498" s="19"/>
      <c r="C1498" s="19"/>
      <c r="D1498" s="19"/>
      <c r="E1498" s="32"/>
      <c r="F1498" s="19"/>
      <c r="G1498" s="26" t="str">
        <f aca="false">IF(A1498="","",COUNTIF(Pubs!$B$2:$B$3001,A1498))</f>
        <v/>
      </c>
      <c r="H1498" s="26" t="str">
        <f aca="false">IF(A1498="","",COUNTIF(Apparitions!$H$2:$H$5001,A1498))</f>
        <v/>
      </c>
      <c r="I1498" s="26" t="str">
        <f aca="false">IF(A1498="","",COUNTIFS(Apparitions!$H$2:$H$5001,A1498,Apparitions!$E$2:$E$5001,"○"))</f>
        <v/>
      </c>
      <c r="J1498" s="29" t="str">
        <f aca="false">IF(A1498="","",IFERROR(1/(1/_xlfn.MINIFS(Apparitions!$L$2:$L$5001,Apparitions!$H$2:$H$5001,A1498)),""))</f>
        <v/>
      </c>
    </row>
    <row r="1499" customFormat="false" ht="15" hidden="false" customHeight="false" outlineLevel="0" collapsed="false">
      <c r="A1499" s="19"/>
      <c r="B1499" s="19"/>
      <c r="C1499" s="19"/>
      <c r="D1499" s="19"/>
      <c r="E1499" s="32"/>
      <c r="F1499" s="19"/>
      <c r="G1499" s="26" t="str">
        <f aca="false">IF(A1499="","",COUNTIF(Pubs!$B$2:$B$3001,A1499))</f>
        <v/>
      </c>
      <c r="H1499" s="26" t="str">
        <f aca="false">IF(A1499="","",COUNTIF(Apparitions!$H$2:$H$5001,A1499))</f>
        <v/>
      </c>
      <c r="I1499" s="26" t="str">
        <f aca="false">IF(A1499="","",COUNTIFS(Apparitions!$H$2:$H$5001,A1499,Apparitions!$E$2:$E$5001,"○"))</f>
        <v/>
      </c>
      <c r="J1499" s="29" t="str">
        <f aca="false">IF(A1499="","",IFERROR(1/(1/_xlfn.MINIFS(Apparitions!$L$2:$L$5001,Apparitions!$H$2:$H$5001,A1499)),""))</f>
        <v/>
      </c>
    </row>
    <row r="1500" customFormat="false" ht="15" hidden="false" customHeight="false" outlineLevel="0" collapsed="false">
      <c r="A1500" s="19"/>
      <c r="B1500" s="19"/>
      <c r="C1500" s="19"/>
      <c r="D1500" s="19"/>
      <c r="E1500" s="32"/>
      <c r="F1500" s="19"/>
      <c r="G1500" s="26" t="str">
        <f aca="false">IF(A1500="","",COUNTIF(Pubs!$B$2:$B$3001,A1500))</f>
        <v/>
      </c>
      <c r="H1500" s="26" t="str">
        <f aca="false">IF(A1500="","",COUNTIF(Apparitions!$H$2:$H$5001,A1500))</f>
        <v/>
      </c>
      <c r="I1500" s="26" t="str">
        <f aca="false">IF(A1500="","",COUNTIFS(Apparitions!$H$2:$H$5001,A1500,Apparitions!$E$2:$E$5001,"○"))</f>
        <v/>
      </c>
      <c r="J1500" s="29" t="str">
        <f aca="false">IF(A1500="","",IFERROR(1/(1/_xlfn.MINIFS(Apparitions!$L$2:$L$5001,Apparitions!$H$2:$H$5001,A1500)),""))</f>
        <v/>
      </c>
    </row>
    <row r="1501" customFormat="false" ht="15" hidden="false" customHeight="false" outlineLevel="0" collapsed="false">
      <c r="A1501" s="19"/>
      <c r="B1501" s="19"/>
      <c r="C1501" s="19"/>
      <c r="D1501" s="19"/>
      <c r="E1501" s="32"/>
      <c r="F1501" s="19"/>
      <c r="G1501" s="26" t="str">
        <f aca="false">IF(A1501="","",COUNTIF(Pubs!$B$2:$B$3001,A1501))</f>
        <v/>
      </c>
      <c r="H1501" s="26" t="str">
        <f aca="false">IF(A1501="","",COUNTIF(Apparitions!$H$2:$H$5001,A1501))</f>
        <v/>
      </c>
      <c r="I1501" s="26" t="str">
        <f aca="false">IF(A1501="","",COUNTIFS(Apparitions!$H$2:$H$5001,A1501,Apparitions!$E$2:$E$5001,"○"))</f>
        <v/>
      </c>
      <c r="J1501" s="29" t="str">
        <f aca="false">IF(A1501="","",IFERROR(1/(1/_xlfn.MINIFS(Apparitions!$L$2:$L$5001,Apparitions!$H$2:$H$5001,A1501)),""))</f>
        <v/>
      </c>
    </row>
    <row r="1502" customFormat="false" ht="15" hidden="false" customHeight="false" outlineLevel="0" collapsed="false">
      <c r="A1502" s="19"/>
      <c r="B1502" s="19"/>
      <c r="C1502" s="19"/>
      <c r="D1502" s="19"/>
      <c r="E1502" s="32"/>
      <c r="F1502" s="19"/>
      <c r="G1502" s="26" t="str">
        <f aca="false">IF(A1502="","",COUNTIF(Pubs!$B$2:$B$3001,A1502))</f>
        <v/>
      </c>
      <c r="H1502" s="26" t="str">
        <f aca="false">IF(A1502="","",COUNTIF(Apparitions!$H$2:$H$5001,A1502))</f>
        <v/>
      </c>
      <c r="I1502" s="26" t="str">
        <f aca="false">IF(A1502="","",COUNTIFS(Apparitions!$H$2:$H$5001,A1502,Apparitions!$E$2:$E$5001,"○"))</f>
        <v/>
      </c>
      <c r="J1502" s="29" t="str">
        <f aca="false">IF(A1502="","",IFERROR(1/(1/_xlfn.MINIFS(Apparitions!$L$2:$L$5001,Apparitions!$H$2:$H$5001,A1502)),""))</f>
        <v/>
      </c>
    </row>
    <row r="1503" customFormat="false" ht="15" hidden="false" customHeight="false" outlineLevel="0" collapsed="false">
      <c r="A1503" s="19"/>
      <c r="B1503" s="19"/>
      <c r="C1503" s="19"/>
      <c r="D1503" s="19"/>
      <c r="E1503" s="32"/>
      <c r="F1503" s="19"/>
      <c r="G1503" s="26" t="str">
        <f aca="false">IF(A1503="","",COUNTIF(Pubs!$B$2:$B$3001,A1503))</f>
        <v/>
      </c>
      <c r="H1503" s="26" t="str">
        <f aca="false">IF(A1503="","",COUNTIF(Apparitions!$H$2:$H$5001,A1503))</f>
        <v/>
      </c>
      <c r="I1503" s="26" t="str">
        <f aca="false">IF(A1503="","",COUNTIFS(Apparitions!$H$2:$H$5001,A1503,Apparitions!$E$2:$E$5001,"○"))</f>
        <v/>
      </c>
      <c r="J1503" s="29" t="str">
        <f aca="false">IF(A1503="","",IFERROR(1/(1/_xlfn.MINIFS(Apparitions!$L$2:$L$5001,Apparitions!$H$2:$H$5001,A1503)),""))</f>
        <v/>
      </c>
    </row>
    <row r="1504" customFormat="false" ht="15" hidden="false" customHeight="false" outlineLevel="0" collapsed="false">
      <c r="A1504" s="19"/>
      <c r="B1504" s="19"/>
      <c r="C1504" s="19"/>
      <c r="D1504" s="19"/>
      <c r="E1504" s="32"/>
      <c r="F1504" s="19"/>
      <c r="G1504" s="26" t="str">
        <f aca="false">IF(A1504="","",COUNTIF(Pubs!$B$2:$B$3001,A1504))</f>
        <v/>
      </c>
      <c r="H1504" s="26" t="str">
        <f aca="false">IF(A1504="","",COUNTIF(Apparitions!$H$2:$H$5001,A1504))</f>
        <v/>
      </c>
      <c r="I1504" s="26" t="str">
        <f aca="false">IF(A1504="","",COUNTIFS(Apparitions!$H$2:$H$5001,A1504,Apparitions!$E$2:$E$5001,"○"))</f>
        <v/>
      </c>
      <c r="J1504" s="29" t="str">
        <f aca="false">IF(A1504="","",IFERROR(1/(1/_xlfn.MINIFS(Apparitions!$L$2:$L$5001,Apparitions!$H$2:$H$5001,A1504)),""))</f>
        <v/>
      </c>
    </row>
    <row r="1505" customFormat="false" ht="15" hidden="false" customHeight="false" outlineLevel="0" collapsed="false">
      <c r="A1505" s="19"/>
      <c r="B1505" s="19"/>
      <c r="C1505" s="19"/>
      <c r="D1505" s="19"/>
      <c r="E1505" s="32"/>
      <c r="F1505" s="19"/>
      <c r="G1505" s="26" t="str">
        <f aca="false">IF(A1505="","",COUNTIF(Pubs!$B$2:$B$3001,A1505))</f>
        <v/>
      </c>
      <c r="H1505" s="26" t="str">
        <f aca="false">IF(A1505="","",COUNTIF(Apparitions!$H$2:$H$5001,A1505))</f>
        <v/>
      </c>
      <c r="I1505" s="26" t="str">
        <f aca="false">IF(A1505="","",COUNTIFS(Apparitions!$H$2:$H$5001,A1505,Apparitions!$E$2:$E$5001,"○"))</f>
        <v/>
      </c>
      <c r="J1505" s="29" t="str">
        <f aca="false">IF(A1505="","",IFERROR(1/(1/_xlfn.MINIFS(Apparitions!$L$2:$L$5001,Apparitions!$H$2:$H$5001,A1505)),""))</f>
        <v/>
      </c>
    </row>
    <row r="1506" customFormat="false" ht="15" hidden="false" customHeight="false" outlineLevel="0" collapsed="false">
      <c r="A1506" s="19"/>
      <c r="B1506" s="19"/>
      <c r="C1506" s="19"/>
      <c r="D1506" s="19"/>
      <c r="E1506" s="32"/>
      <c r="F1506" s="19"/>
      <c r="G1506" s="26" t="str">
        <f aca="false">IF(A1506="","",COUNTIF(Pubs!$B$2:$B$3001,A1506))</f>
        <v/>
      </c>
      <c r="H1506" s="26" t="str">
        <f aca="false">IF(A1506="","",COUNTIF(Apparitions!$H$2:$H$5001,A1506))</f>
        <v/>
      </c>
      <c r="I1506" s="26" t="str">
        <f aca="false">IF(A1506="","",COUNTIFS(Apparitions!$H$2:$H$5001,A1506,Apparitions!$E$2:$E$5001,"○"))</f>
        <v/>
      </c>
      <c r="J1506" s="29" t="str">
        <f aca="false">IF(A1506="","",IFERROR(1/(1/_xlfn.MINIFS(Apparitions!$L$2:$L$5001,Apparitions!$H$2:$H$5001,A1506)),""))</f>
        <v/>
      </c>
    </row>
    <row r="1507" customFormat="false" ht="15" hidden="false" customHeight="false" outlineLevel="0" collapsed="false">
      <c r="A1507" s="19"/>
      <c r="B1507" s="19"/>
      <c r="C1507" s="19"/>
      <c r="D1507" s="19"/>
      <c r="E1507" s="32"/>
      <c r="F1507" s="19"/>
      <c r="G1507" s="26" t="str">
        <f aca="false">IF(A1507="","",COUNTIF(Pubs!$B$2:$B$3001,A1507))</f>
        <v/>
      </c>
      <c r="H1507" s="26" t="str">
        <f aca="false">IF(A1507="","",COUNTIF(Apparitions!$H$2:$H$5001,A1507))</f>
        <v/>
      </c>
      <c r="I1507" s="26" t="str">
        <f aca="false">IF(A1507="","",COUNTIFS(Apparitions!$H$2:$H$5001,A1507,Apparitions!$E$2:$E$5001,"○"))</f>
        <v/>
      </c>
      <c r="J1507" s="29" t="str">
        <f aca="false">IF(A1507="","",IFERROR(1/(1/_xlfn.MINIFS(Apparitions!$L$2:$L$5001,Apparitions!$H$2:$H$5001,A1507)),""))</f>
        <v/>
      </c>
    </row>
    <row r="1508" customFormat="false" ht="15" hidden="false" customHeight="false" outlineLevel="0" collapsed="false">
      <c r="A1508" s="19"/>
      <c r="B1508" s="19"/>
      <c r="C1508" s="19"/>
      <c r="D1508" s="19"/>
      <c r="E1508" s="32"/>
      <c r="F1508" s="19"/>
      <c r="G1508" s="26" t="str">
        <f aca="false">IF(A1508="","",COUNTIF(Pubs!$B$2:$B$3001,A1508))</f>
        <v/>
      </c>
      <c r="H1508" s="26" t="str">
        <f aca="false">IF(A1508="","",COUNTIF(Apparitions!$H$2:$H$5001,A1508))</f>
        <v/>
      </c>
      <c r="I1508" s="26" t="str">
        <f aca="false">IF(A1508="","",COUNTIFS(Apparitions!$H$2:$H$5001,A1508,Apparitions!$E$2:$E$5001,"○"))</f>
        <v/>
      </c>
      <c r="J1508" s="29" t="str">
        <f aca="false">IF(A1508="","",IFERROR(1/(1/_xlfn.MINIFS(Apparitions!$L$2:$L$5001,Apparitions!$H$2:$H$5001,A1508)),""))</f>
        <v/>
      </c>
    </row>
    <row r="1509" customFormat="false" ht="15" hidden="false" customHeight="false" outlineLevel="0" collapsed="false">
      <c r="A1509" s="19"/>
      <c r="B1509" s="19"/>
      <c r="C1509" s="19"/>
      <c r="D1509" s="19"/>
      <c r="E1509" s="32"/>
      <c r="F1509" s="19"/>
      <c r="G1509" s="26" t="str">
        <f aca="false">IF(A1509="","",COUNTIF(Pubs!$B$2:$B$3001,A1509))</f>
        <v/>
      </c>
      <c r="H1509" s="26" t="str">
        <f aca="false">IF(A1509="","",COUNTIF(Apparitions!$H$2:$H$5001,A1509))</f>
        <v/>
      </c>
      <c r="I1509" s="26" t="str">
        <f aca="false">IF(A1509="","",COUNTIFS(Apparitions!$H$2:$H$5001,A1509,Apparitions!$E$2:$E$5001,"○"))</f>
        <v/>
      </c>
      <c r="J1509" s="29" t="str">
        <f aca="false">IF(A1509="","",IFERROR(1/(1/_xlfn.MINIFS(Apparitions!$L$2:$L$5001,Apparitions!$H$2:$H$5001,A1509)),""))</f>
        <v/>
      </c>
    </row>
    <row r="1510" customFormat="false" ht="15" hidden="false" customHeight="false" outlineLevel="0" collapsed="false">
      <c r="A1510" s="19"/>
      <c r="B1510" s="19"/>
      <c r="C1510" s="19"/>
      <c r="D1510" s="19"/>
      <c r="E1510" s="32"/>
      <c r="F1510" s="19"/>
      <c r="G1510" s="26" t="str">
        <f aca="false">IF(A1510="","",COUNTIF(Pubs!$B$2:$B$3001,A1510))</f>
        <v/>
      </c>
      <c r="H1510" s="26" t="str">
        <f aca="false">IF(A1510="","",COUNTIF(Apparitions!$H$2:$H$5001,A1510))</f>
        <v/>
      </c>
      <c r="I1510" s="26" t="str">
        <f aca="false">IF(A1510="","",COUNTIFS(Apparitions!$H$2:$H$5001,A1510,Apparitions!$E$2:$E$5001,"○"))</f>
        <v/>
      </c>
      <c r="J1510" s="29" t="str">
        <f aca="false">IF(A1510="","",IFERROR(1/(1/_xlfn.MINIFS(Apparitions!$L$2:$L$5001,Apparitions!$H$2:$H$5001,A1510)),""))</f>
        <v/>
      </c>
    </row>
    <row r="1511" customFormat="false" ht="15" hidden="false" customHeight="false" outlineLevel="0" collapsed="false">
      <c r="A1511" s="19"/>
      <c r="B1511" s="19"/>
      <c r="C1511" s="19"/>
      <c r="D1511" s="19"/>
      <c r="E1511" s="32"/>
      <c r="F1511" s="19"/>
      <c r="G1511" s="26" t="str">
        <f aca="false">IF(A1511="","",COUNTIF(Pubs!$B$2:$B$3001,A1511))</f>
        <v/>
      </c>
      <c r="H1511" s="26" t="str">
        <f aca="false">IF(A1511="","",COUNTIF(Apparitions!$H$2:$H$5001,A1511))</f>
        <v/>
      </c>
      <c r="I1511" s="26" t="str">
        <f aca="false">IF(A1511="","",COUNTIFS(Apparitions!$H$2:$H$5001,A1511,Apparitions!$E$2:$E$5001,"○"))</f>
        <v/>
      </c>
      <c r="J1511" s="29" t="str">
        <f aca="false">IF(A1511="","",IFERROR(1/(1/_xlfn.MINIFS(Apparitions!$L$2:$L$5001,Apparitions!$H$2:$H$5001,A1511)),""))</f>
        <v/>
      </c>
    </row>
    <row r="1512" customFormat="false" ht="15" hidden="false" customHeight="false" outlineLevel="0" collapsed="false">
      <c r="A1512" s="19"/>
      <c r="B1512" s="19"/>
      <c r="C1512" s="19"/>
      <c r="D1512" s="19"/>
      <c r="E1512" s="32"/>
      <c r="F1512" s="19"/>
      <c r="G1512" s="26" t="str">
        <f aca="false">IF(A1512="","",COUNTIF(Pubs!$B$2:$B$3001,A1512))</f>
        <v/>
      </c>
      <c r="H1512" s="26" t="str">
        <f aca="false">IF(A1512="","",COUNTIF(Apparitions!$H$2:$H$5001,A1512))</f>
        <v/>
      </c>
      <c r="I1512" s="26" t="str">
        <f aca="false">IF(A1512="","",COUNTIFS(Apparitions!$H$2:$H$5001,A1512,Apparitions!$E$2:$E$5001,"○"))</f>
        <v/>
      </c>
      <c r="J1512" s="29" t="str">
        <f aca="false">IF(A1512="","",IFERROR(1/(1/_xlfn.MINIFS(Apparitions!$L$2:$L$5001,Apparitions!$H$2:$H$5001,A1512)),""))</f>
        <v/>
      </c>
    </row>
    <row r="1513" customFormat="false" ht="15" hidden="false" customHeight="false" outlineLevel="0" collapsed="false">
      <c r="A1513" s="19"/>
      <c r="B1513" s="19"/>
      <c r="C1513" s="19"/>
      <c r="D1513" s="19"/>
      <c r="E1513" s="32"/>
      <c r="F1513" s="19"/>
      <c r="G1513" s="26" t="str">
        <f aca="false">IF(A1513="","",COUNTIF(Pubs!$B$2:$B$3001,A1513))</f>
        <v/>
      </c>
      <c r="H1513" s="26" t="str">
        <f aca="false">IF(A1513="","",COUNTIF(Apparitions!$H$2:$H$5001,A1513))</f>
        <v/>
      </c>
      <c r="I1513" s="26" t="str">
        <f aca="false">IF(A1513="","",COUNTIFS(Apparitions!$H$2:$H$5001,A1513,Apparitions!$E$2:$E$5001,"○"))</f>
        <v/>
      </c>
      <c r="J1513" s="29" t="str">
        <f aca="false">IF(A1513="","",IFERROR(1/(1/_xlfn.MINIFS(Apparitions!$L$2:$L$5001,Apparitions!$H$2:$H$5001,A1513)),""))</f>
        <v/>
      </c>
    </row>
    <row r="1514" customFormat="false" ht="15" hidden="false" customHeight="false" outlineLevel="0" collapsed="false">
      <c r="A1514" s="19"/>
      <c r="B1514" s="19"/>
      <c r="C1514" s="19"/>
      <c r="D1514" s="19"/>
      <c r="E1514" s="32"/>
      <c r="F1514" s="19"/>
      <c r="G1514" s="26" t="str">
        <f aca="false">IF(A1514="","",COUNTIF(Pubs!$B$2:$B$3001,A1514))</f>
        <v/>
      </c>
      <c r="H1514" s="26" t="str">
        <f aca="false">IF(A1514="","",COUNTIF(Apparitions!$H$2:$H$5001,A1514))</f>
        <v/>
      </c>
      <c r="I1514" s="26" t="str">
        <f aca="false">IF(A1514="","",COUNTIFS(Apparitions!$H$2:$H$5001,A1514,Apparitions!$E$2:$E$5001,"○"))</f>
        <v/>
      </c>
      <c r="J1514" s="29" t="str">
        <f aca="false">IF(A1514="","",IFERROR(1/(1/_xlfn.MINIFS(Apparitions!$L$2:$L$5001,Apparitions!$H$2:$H$5001,A1514)),""))</f>
        <v/>
      </c>
    </row>
    <row r="1515" customFormat="false" ht="15" hidden="false" customHeight="false" outlineLevel="0" collapsed="false">
      <c r="A1515" s="19"/>
      <c r="B1515" s="19"/>
      <c r="C1515" s="19"/>
      <c r="D1515" s="19"/>
      <c r="E1515" s="32"/>
      <c r="F1515" s="19"/>
      <c r="G1515" s="26" t="str">
        <f aca="false">IF(A1515="","",COUNTIF(Pubs!$B$2:$B$3001,A1515))</f>
        <v/>
      </c>
      <c r="H1515" s="26" t="str">
        <f aca="false">IF(A1515="","",COUNTIF(Apparitions!$H$2:$H$5001,A1515))</f>
        <v/>
      </c>
      <c r="I1515" s="26" t="str">
        <f aca="false">IF(A1515="","",COUNTIFS(Apparitions!$H$2:$H$5001,A1515,Apparitions!$E$2:$E$5001,"○"))</f>
        <v/>
      </c>
      <c r="J1515" s="29" t="str">
        <f aca="false">IF(A1515="","",IFERROR(1/(1/_xlfn.MINIFS(Apparitions!$L$2:$L$5001,Apparitions!$H$2:$H$5001,A1515)),""))</f>
        <v/>
      </c>
    </row>
    <row r="1516" customFormat="false" ht="15" hidden="false" customHeight="false" outlineLevel="0" collapsed="false">
      <c r="A1516" s="19"/>
      <c r="B1516" s="19"/>
      <c r="C1516" s="19"/>
      <c r="D1516" s="19"/>
      <c r="E1516" s="32"/>
      <c r="F1516" s="19"/>
      <c r="G1516" s="26" t="str">
        <f aca="false">IF(A1516="","",COUNTIF(Pubs!$B$2:$B$3001,A1516))</f>
        <v/>
      </c>
      <c r="H1516" s="26" t="str">
        <f aca="false">IF(A1516="","",COUNTIF(Apparitions!$H$2:$H$5001,A1516))</f>
        <v/>
      </c>
      <c r="I1516" s="26" t="str">
        <f aca="false">IF(A1516="","",COUNTIFS(Apparitions!$H$2:$H$5001,A1516,Apparitions!$E$2:$E$5001,"○"))</f>
        <v/>
      </c>
      <c r="J1516" s="29" t="str">
        <f aca="false">IF(A1516="","",IFERROR(1/(1/_xlfn.MINIFS(Apparitions!$L$2:$L$5001,Apparitions!$H$2:$H$5001,A1516)),""))</f>
        <v/>
      </c>
    </row>
    <row r="1517" customFormat="false" ht="15" hidden="false" customHeight="false" outlineLevel="0" collapsed="false">
      <c r="A1517" s="19"/>
      <c r="B1517" s="19"/>
      <c r="C1517" s="19"/>
      <c r="D1517" s="19"/>
      <c r="E1517" s="32"/>
      <c r="F1517" s="19"/>
      <c r="G1517" s="26" t="str">
        <f aca="false">IF(A1517="","",COUNTIF(Pubs!$B$2:$B$3001,A1517))</f>
        <v/>
      </c>
      <c r="H1517" s="26" t="str">
        <f aca="false">IF(A1517="","",COUNTIF(Apparitions!$H$2:$H$5001,A1517))</f>
        <v/>
      </c>
      <c r="I1517" s="26" t="str">
        <f aca="false">IF(A1517="","",COUNTIFS(Apparitions!$H$2:$H$5001,A1517,Apparitions!$E$2:$E$5001,"○"))</f>
        <v/>
      </c>
      <c r="J1517" s="29" t="str">
        <f aca="false">IF(A1517="","",IFERROR(1/(1/_xlfn.MINIFS(Apparitions!$L$2:$L$5001,Apparitions!$H$2:$H$5001,A1517)),""))</f>
        <v/>
      </c>
    </row>
    <row r="1518" customFormat="false" ht="15" hidden="false" customHeight="false" outlineLevel="0" collapsed="false">
      <c r="A1518" s="19"/>
      <c r="B1518" s="19"/>
      <c r="C1518" s="19"/>
      <c r="D1518" s="19"/>
      <c r="E1518" s="32"/>
      <c r="F1518" s="19"/>
      <c r="G1518" s="26" t="str">
        <f aca="false">IF(A1518="","",COUNTIF(Pubs!$B$2:$B$3001,A1518))</f>
        <v/>
      </c>
      <c r="H1518" s="26" t="str">
        <f aca="false">IF(A1518="","",COUNTIF(Apparitions!$H$2:$H$5001,A1518))</f>
        <v/>
      </c>
      <c r="I1518" s="26" t="str">
        <f aca="false">IF(A1518="","",COUNTIFS(Apparitions!$H$2:$H$5001,A1518,Apparitions!$E$2:$E$5001,"○"))</f>
        <v/>
      </c>
      <c r="J1518" s="29" t="str">
        <f aca="false">IF(A1518="","",IFERROR(1/(1/_xlfn.MINIFS(Apparitions!$L$2:$L$5001,Apparitions!$H$2:$H$5001,A1518)),""))</f>
        <v/>
      </c>
    </row>
    <row r="1519" customFormat="false" ht="15" hidden="false" customHeight="false" outlineLevel="0" collapsed="false">
      <c r="A1519" s="19"/>
      <c r="B1519" s="19"/>
      <c r="C1519" s="19"/>
      <c r="D1519" s="19"/>
      <c r="E1519" s="32"/>
      <c r="F1519" s="19"/>
      <c r="G1519" s="26" t="str">
        <f aca="false">IF(A1519="","",COUNTIF(Pubs!$B$2:$B$3001,A1519))</f>
        <v/>
      </c>
      <c r="H1519" s="26" t="str">
        <f aca="false">IF(A1519="","",COUNTIF(Apparitions!$H$2:$H$5001,A1519))</f>
        <v/>
      </c>
      <c r="I1519" s="26" t="str">
        <f aca="false">IF(A1519="","",COUNTIFS(Apparitions!$H$2:$H$5001,A1519,Apparitions!$E$2:$E$5001,"○"))</f>
        <v/>
      </c>
      <c r="J1519" s="29" t="str">
        <f aca="false">IF(A1519="","",IFERROR(1/(1/_xlfn.MINIFS(Apparitions!$L$2:$L$5001,Apparitions!$H$2:$H$5001,A1519)),""))</f>
        <v/>
      </c>
    </row>
    <row r="1520" customFormat="false" ht="15" hidden="false" customHeight="false" outlineLevel="0" collapsed="false">
      <c r="A1520" s="19"/>
      <c r="B1520" s="19"/>
      <c r="C1520" s="19"/>
      <c r="D1520" s="19"/>
      <c r="E1520" s="32"/>
      <c r="F1520" s="19"/>
      <c r="G1520" s="26" t="str">
        <f aca="false">IF(A1520="","",COUNTIF(Pubs!$B$2:$B$3001,A1520))</f>
        <v/>
      </c>
      <c r="H1520" s="26" t="str">
        <f aca="false">IF(A1520="","",COUNTIF(Apparitions!$H$2:$H$5001,A1520))</f>
        <v/>
      </c>
      <c r="I1520" s="26" t="str">
        <f aca="false">IF(A1520="","",COUNTIFS(Apparitions!$H$2:$H$5001,A1520,Apparitions!$E$2:$E$5001,"○"))</f>
        <v/>
      </c>
      <c r="J1520" s="29" t="str">
        <f aca="false">IF(A1520="","",IFERROR(1/(1/_xlfn.MINIFS(Apparitions!$L$2:$L$5001,Apparitions!$H$2:$H$5001,A1520)),""))</f>
        <v/>
      </c>
    </row>
    <row r="1521" customFormat="false" ht="15" hidden="false" customHeight="false" outlineLevel="0" collapsed="false">
      <c r="A1521" s="19"/>
      <c r="B1521" s="19"/>
      <c r="C1521" s="19"/>
      <c r="D1521" s="19"/>
      <c r="E1521" s="32"/>
      <c r="F1521" s="19"/>
      <c r="G1521" s="26" t="str">
        <f aca="false">IF(A1521="","",COUNTIF(Pubs!$B$2:$B$3001,A1521))</f>
        <v/>
      </c>
      <c r="H1521" s="26" t="str">
        <f aca="false">IF(A1521="","",COUNTIF(Apparitions!$H$2:$H$5001,A1521))</f>
        <v/>
      </c>
      <c r="I1521" s="26" t="str">
        <f aca="false">IF(A1521="","",COUNTIFS(Apparitions!$H$2:$H$5001,A1521,Apparitions!$E$2:$E$5001,"○"))</f>
        <v/>
      </c>
      <c r="J1521" s="29" t="str">
        <f aca="false">IF(A1521="","",IFERROR(1/(1/_xlfn.MINIFS(Apparitions!$L$2:$L$5001,Apparitions!$H$2:$H$5001,A1521)),""))</f>
        <v/>
      </c>
    </row>
    <row r="1522" customFormat="false" ht="15" hidden="false" customHeight="false" outlineLevel="0" collapsed="false">
      <c r="A1522" s="19"/>
      <c r="B1522" s="19"/>
      <c r="C1522" s="19"/>
      <c r="D1522" s="19"/>
      <c r="E1522" s="32"/>
      <c r="F1522" s="19"/>
      <c r="G1522" s="26" t="str">
        <f aca="false">IF(A1522="","",COUNTIF(Pubs!$B$2:$B$3001,A1522))</f>
        <v/>
      </c>
      <c r="H1522" s="26" t="str">
        <f aca="false">IF(A1522="","",COUNTIF(Apparitions!$H$2:$H$5001,A1522))</f>
        <v/>
      </c>
      <c r="I1522" s="26" t="str">
        <f aca="false">IF(A1522="","",COUNTIFS(Apparitions!$H$2:$H$5001,A1522,Apparitions!$E$2:$E$5001,"○"))</f>
        <v/>
      </c>
      <c r="J1522" s="29" t="str">
        <f aca="false">IF(A1522="","",IFERROR(1/(1/_xlfn.MINIFS(Apparitions!$L$2:$L$5001,Apparitions!$H$2:$H$5001,A1522)),""))</f>
        <v/>
      </c>
    </row>
    <row r="1523" customFormat="false" ht="15" hidden="false" customHeight="false" outlineLevel="0" collapsed="false">
      <c r="A1523" s="19"/>
      <c r="B1523" s="19"/>
      <c r="C1523" s="19"/>
      <c r="D1523" s="19"/>
      <c r="E1523" s="32"/>
      <c r="F1523" s="19"/>
      <c r="G1523" s="26" t="str">
        <f aca="false">IF(A1523="","",COUNTIF(Pubs!$B$2:$B$3001,A1523))</f>
        <v/>
      </c>
      <c r="H1523" s="26" t="str">
        <f aca="false">IF(A1523="","",COUNTIF(Apparitions!$H$2:$H$5001,A1523))</f>
        <v/>
      </c>
      <c r="I1523" s="26" t="str">
        <f aca="false">IF(A1523="","",COUNTIFS(Apparitions!$H$2:$H$5001,A1523,Apparitions!$E$2:$E$5001,"○"))</f>
        <v/>
      </c>
      <c r="J1523" s="29" t="str">
        <f aca="false">IF(A1523="","",IFERROR(1/(1/_xlfn.MINIFS(Apparitions!$L$2:$L$5001,Apparitions!$H$2:$H$5001,A1523)),""))</f>
        <v/>
      </c>
    </row>
    <row r="1524" customFormat="false" ht="15" hidden="false" customHeight="false" outlineLevel="0" collapsed="false">
      <c r="A1524" s="19"/>
      <c r="B1524" s="19"/>
      <c r="C1524" s="19"/>
      <c r="D1524" s="19"/>
      <c r="E1524" s="32"/>
      <c r="F1524" s="19"/>
      <c r="G1524" s="26" t="str">
        <f aca="false">IF(A1524="","",COUNTIF(Pubs!$B$2:$B$3001,A1524))</f>
        <v/>
      </c>
      <c r="H1524" s="26" t="str">
        <f aca="false">IF(A1524="","",COUNTIF(Apparitions!$H$2:$H$5001,A1524))</f>
        <v/>
      </c>
      <c r="I1524" s="26" t="str">
        <f aca="false">IF(A1524="","",COUNTIFS(Apparitions!$H$2:$H$5001,A1524,Apparitions!$E$2:$E$5001,"○"))</f>
        <v/>
      </c>
      <c r="J1524" s="29" t="str">
        <f aca="false">IF(A1524="","",IFERROR(1/(1/_xlfn.MINIFS(Apparitions!$L$2:$L$5001,Apparitions!$H$2:$H$5001,A1524)),""))</f>
        <v/>
      </c>
    </row>
    <row r="1525" customFormat="false" ht="15" hidden="false" customHeight="false" outlineLevel="0" collapsed="false">
      <c r="A1525" s="19"/>
      <c r="B1525" s="19"/>
      <c r="C1525" s="19"/>
      <c r="D1525" s="19"/>
      <c r="E1525" s="32"/>
      <c r="F1525" s="19"/>
      <c r="G1525" s="26" t="str">
        <f aca="false">IF(A1525="","",COUNTIF(Pubs!$B$2:$B$3001,A1525))</f>
        <v/>
      </c>
      <c r="H1525" s="26" t="str">
        <f aca="false">IF(A1525="","",COUNTIF(Apparitions!$H$2:$H$5001,A1525))</f>
        <v/>
      </c>
      <c r="I1525" s="26" t="str">
        <f aca="false">IF(A1525="","",COUNTIFS(Apparitions!$H$2:$H$5001,A1525,Apparitions!$E$2:$E$5001,"○"))</f>
        <v/>
      </c>
      <c r="J1525" s="29" t="str">
        <f aca="false">IF(A1525="","",IFERROR(1/(1/_xlfn.MINIFS(Apparitions!$L$2:$L$5001,Apparitions!$H$2:$H$5001,A1525)),""))</f>
        <v/>
      </c>
    </row>
    <row r="1526" customFormat="false" ht="15" hidden="false" customHeight="false" outlineLevel="0" collapsed="false">
      <c r="A1526" s="19"/>
      <c r="B1526" s="19"/>
      <c r="C1526" s="19"/>
      <c r="D1526" s="19"/>
      <c r="E1526" s="32"/>
      <c r="F1526" s="19"/>
      <c r="G1526" s="26" t="str">
        <f aca="false">IF(A1526="","",COUNTIF(Pubs!$B$2:$B$3001,A1526))</f>
        <v/>
      </c>
      <c r="H1526" s="26" t="str">
        <f aca="false">IF(A1526="","",COUNTIF(Apparitions!$H$2:$H$5001,A1526))</f>
        <v/>
      </c>
      <c r="I1526" s="26" t="str">
        <f aca="false">IF(A1526="","",COUNTIFS(Apparitions!$H$2:$H$5001,A1526,Apparitions!$E$2:$E$5001,"○"))</f>
        <v/>
      </c>
      <c r="J1526" s="29" t="str">
        <f aca="false">IF(A1526="","",IFERROR(1/(1/_xlfn.MINIFS(Apparitions!$L$2:$L$5001,Apparitions!$H$2:$H$5001,A1526)),""))</f>
        <v/>
      </c>
    </row>
    <row r="1527" customFormat="false" ht="15" hidden="false" customHeight="false" outlineLevel="0" collapsed="false">
      <c r="A1527" s="19"/>
      <c r="B1527" s="19"/>
      <c r="C1527" s="19"/>
      <c r="D1527" s="19"/>
      <c r="E1527" s="32"/>
      <c r="F1527" s="19"/>
      <c r="G1527" s="26" t="str">
        <f aca="false">IF(A1527="","",COUNTIF(Pubs!$B$2:$B$3001,A1527))</f>
        <v/>
      </c>
      <c r="H1527" s="26" t="str">
        <f aca="false">IF(A1527="","",COUNTIF(Apparitions!$H$2:$H$5001,A1527))</f>
        <v/>
      </c>
      <c r="I1527" s="26" t="str">
        <f aca="false">IF(A1527="","",COUNTIFS(Apparitions!$H$2:$H$5001,A1527,Apparitions!$E$2:$E$5001,"○"))</f>
        <v/>
      </c>
      <c r="J1527" s="29" t="str">
        <f aca="false">IF(A1527="","",IFERROR(1/(1/_xlfn.MINIFS(Apparitions!$L$2:$L$5001,Apparitions!$H$2:$H$5001,A1527)),""))</f>
        <v/>
      </c>
    </row>
    <row r="1528" customFormat="false" ht="15" hidden="false" customHeight="false" outlineLevel="0" collapsed="false">
      <c r="A1528" s="19"/>
      <c r="B1528" s="19"/>
      <c r="C1528" s="19"/>
      <c r="D1528" s="19"/>
      <c r="E1528" s="32"/>
      <c r="F1528" s="19"/>
      <c r="G1528" s="26" t="str">
        <f aca="false">IF(A1528="","",COUNTIF(Pubs!$B$2:$B$3001,A1528))</f>
        <v/>
      </c>
      <c r="H1528" s="26" t="str">
        <f aca="false">IF(A1528="","",COUNTIF(Apparitions!$H$2:$H$5001,A1528))</f>
        <v/>
      </c>
      <c r="I1528" s="26" t="str">
        <f aca="false">IF(A1528="","",COUNTIFS(Apparitions!$H$2:$H$5001,A1528,Apparitions!$E$2:$E$5001,"○"))</f>
        <v/>
      </c>
      <c r="J1528" s="29" t="str">
        <f aca="false">IF(A1528="","",IFERROR(1/(1/_xlfn.MINIFS(Apparitions!$L$2:$L$5001,Apparitions!$H$2:$H$5001,A1528)),""))</f>
        <v/>
      </c>
    </row>
    <row r="1529" customFormat="false" ht="15" hidden="false" customHeight="false" outlineLevel="0" collapsed="false">
      <c r="A1529" s="19"/>
      <c r="B1529" s="19"/>
      <c r="C1529" s="19"/>
      <c r="D1529" s="19"/>
      <c r="E1529" s="32"/>
      <c r="F1529" s="19"/>
      <c r="G1529" s="26" t="str">
        <f aca="false">IF(A1529="","",COUNTIF(Pubs!$B$2:$B$3001,A1529))</f>
        <v/>
      </c>
      <c r="H1529" s="26" t="str">
        <f aca="false">IF(A1529="","",COUNTIF(Apparitions!$H$2:$H$5001,A1529))</f>
        <v/>
      </c>
      <c r="I1529" s="26" t="str">
        <f aca="false">IF(A1529="","",COUNTIFS(Apparitions!$H$2:$H$5001,A1529,Apparitions!$E$2:$E$5001,"○"))</f>
        <v/>
      </c>
      <c r="J1529" s="29" t="str">
        <f aca="false">IF(A1529="","",IFERROR(1/(1/_xlfn.MINIFS(Apparitions!$L$2:$L$5001,Apparitions!$H$2:$H$5001,A1529)),""))</f>
        <v/>
      </c>
    </row>
    <row r="1530" customFormat="false" ht="15" hidden="false" customHeight="false" outlineLevel="0" collapsed="false">
      <c r="A1530" s="19"/>
      <c r="B1530" s="19"/>
      <c r="C1530" s="19"/>
      <c r="D1530" s="19"/>
      <c r="E1530" s="32"/>
      <c r="F1530" s="19"/>
      <c r="G1530" s="26" t="str">
        <f aca="false">IF(A1530="","",COUNTIF(Pubs!$B$2:$B$3001,A1530))</f>
        <v/>
      </c>
      <c r="H1530" s="26" t="str">
        <f aca="false">IF(A1530="","",COUNTIF(Apparitions!$H$2:$H$5001,A1530))</f>
        <v/>
      </c>
      <c r="I1530" s="26" t="str">
        <f aca="false">IF(A1530="","",COUNTIFS(Apparitions!$H$2:$H$5001,A1530,Apparitions!$E$2:$E$5001,"○"))</f>
        <v/>
      </c>
      <c r="J1530" s="29" t="str">
        <f aca="false">IF(A1530="","",IFERROR(1/(1/_xlfn.MINIFS(Apparitions!$L$2:$L$5001,Apparitions!$H$2:$H$5001,A1530)),""))</f>
        <v/>
      </c>
    </row>
    <row r="1531" customFormat="false" ht="15" hidden="false" customHeight="false" outlineLevel="0" collapsed="false">
      <c r="A1531" s="19"/>
      <c r="B1531" s="19"/>
      <c r="C1531" s="19"/>
      <c r="D1531" s="19"/>
      <c r="E1531" s="32"/>
      <c r="F1531" s="19"/>
      <c r="G1531" s="26" t="str">
        <f aca="false">IF(A1531="","",COUNTIF(Pubs!$B$2:$B$3001,A1531))</f>
        <v/>
      </c>
      <c r="H1531" s="26" t="str">
        <f aca="false">IF(A1531="","",COUNTIF(Apparitions!$H$2:$H$5001,A1531))</f>
        <v/>
      </c>
      <c r="I1531" s="26" t="str">
        <f aca="false">IF(A1531="","",COUNTIFS(Apparitions!$H$2:$H$5001,A1531,Apparitions!$E$2:$E$5001,"○"))</f>
        <v/>
      </c>
      <c r="J1531" s="29" t="str">
        <f aca="false">IF(A1531="","",IFERROR(1/(1/_xlfn.MINIFS(Apparitions!$L$2:$L$5001,Apparitions!$H$2:$H$5001,A1531)),""))</f>
        <v/>
      </c>
    </row>
    <row r="1532" customFormat="false" ht="15" hidden="false" customHeight="false" outlineLevel="0" collapsed="false">
      <c r="A1532" s="19"/>
      <c r="B1532" s="19"/>
      <c r="C1532" s="19"/>
      <c r="D1532" s="19"/>
      <c r="E1532" s="32"/>
      <c r="F1532" s="19"/>
      <c r="G1532" s="26" t="str">
        <f aca="false">IF(A1532="","",COUNTIF(Pubs!$B$2:$B$3001,A1532))</f>
        <v/>
      </c>
      <c r="H1532" s="26" t="str">
        <f aca="false">IF(A1532="","",COUNTIF(Apparitions!$H$2:$H$5001,A1532))</f>
        <v/>
      </c>
      <c r="I1532" s="26" t="str">
        <f aca="false">IF(A1532="","",COUNTIFS(Apparitions!$H$2:$H$5001,A1532,Apparitions!$E$2:$E$5001,"○"))</f>
        <v/>
      </c>
      <c r="J1532" s="29" t="str">
        <f aca="false">IF(A1532="","",IFERROR(1/(1/_xlfn.MINIFS(Apparitions!$L$2:$L$5001,Apparitions!$H$2:$H$5001,A1532)),""))</f>
        <v/>
      </c>
    </row>
    <row r="1533" customFormat="false" ht="15" hidden="false" customHeight="false" outlineLevel="0" collapsed="false">
      <c r="A1533" s="19"/>
      <c r="B1533" s="19"/>
      <c r="C1533" s="19"/>
      <c r="D1533" s="19"/>
      <c r="E1533" s="32"/>
      <c r="F1533" s="19"/>
      <c r="G1533" s="26" t="str">
        <f aca="false">IF(A1533="","",COUNTIF(Pubs!$B$2:$B$3001,A1533))</f>
        <v/>
      </c>
      <c r="H1533" s="26" t="str">
        <f aca="false">IF(A1533="","",COUNTIF(Apparitions!$H$2:$H$5001,A1533))</f>
        <v/>
      </c>
      <c r="I1533" s="26" t="str">
        <f aca="false">IF(A1533="","",COUNTIFS(Apparitions!$H$2:$H$5001,A1533,Apparitions!$E$2:$E$5001,"○"))</f>
        <v/>
      </c>
      <c r="J1533" s="29" t="str">
        <f aca="false">IF(A1533="","",IFERROR(1/(1/_xlfn.MINIFS(Apparitions!$L$2:$L$5001,Apparitions!$H$2:$H$5001,A1533)),""))</f>
        <v/>
      </c>
    </row>
    <row r="1534" customFormat="false" ht="15" hidden="false" customHeight="false" outlineLevel="0" collapsed="false">
      <c r="A1534" s="19"/>
      <c r="B1534" s="19"/>
      <c r="C1534" s="19"/>
      <c r="D1534" s="19"/>
      <c r="E1534" s="32"/>
      <c r="F1534" s="19"/>
      <c r="G1534" s="26" t="str">
        <f aca="false">IF(A1534="","",COUNTIF(Pubs!$B$2:$B$3001,A1534))</f>
        <v/>
      </c>
      <c r="H1534" s="26" t="str">
        <f aca="false">IF(A1534="","",COUNTIF(Apparitions!$H$2:$H$5001,A1534))</f>
        <v/>
      </c>
      <c r="I1534" s="26" t="str">
        <f aca="false">IF(A1534="","",COUNTIFS(Apparitions!$H$2:$H$5001,A1534,Apparitions!$E$2:$E$5001,"○"))</f>
        <v/>
      </c>
      <c r="J1534" s="29" t="str">
        <f aca="false">IF(A1534="","",IFERROR(1/(1/_xlfn.MINIFS(Apparitions!$L$2:$L$5001,Apparitions!$H$2:$H$5001,A1534)),""))</f>
        <v/>
      </c>
    </row>
    <row r="1535" customFormat="false" ht="15" hidden="false" customHeight="false" outlineLevel="0" collapsed="false">
      <c r="A1535" s="19"/>
      <c r="B1535" s="19"/>
      <c r="C1535" s="19"/>
      <c r="D1535" s="19"/>
      <c r="E1535" s="32"/>
      <c r="F1535" s="19"/>
      <c r="G1535" s="26" t="str">
        <f aca="false">IF(A1535="","",COUNTIF(Pubs!$B$2:$B$3001,A1535))</f>
        <v/>
      </c>
      <c r="H1535" s="26" t="str">
        <f aca="false">IF(A1535="","",COUNTIF(Apparitions!$H$2:$H$5001,A1535))</f>
        <v/>
      </c>
      <c r="I1535" s="26" t="str">
        <f aca="false">IF(A1535="","",COUNTIFS(Apparitions!$H$2:$H$5001,A1535,Apparitions!$E$2:$E$5001,"○"))</f>
        <v/>
      </c>
      <c r="J1535" s="29" t="str">
        <f aca="false">IF(A1535="","",IFERROR(1/(1/_xlfn.MINIFS(Apparitions!$L$2:$L$5001,Apparitions!$H$2:$H$5001,A1535)),""))</f>
        <v/>
      </c>
    </row>
    <row r="1536" customFormat="false" ht="15" hidden="false" customHeight="false" outlineLevel="0" collapsed="false">
      <c r="A1536" s="19"/>
      <c r="B1536" s="19"/>
      <c r="C1536" s="19"/>
      <c r="D1536" s="19"/>
      <c r="E1536" s="32"/>
      <c r="F1536" s="19"/>
      <c r="G1536" s="26" t="str">
        <f aca="false">IF(A1536="","",COUNTIF(Pubs!$B$2:$B$3001,A1536))</f>
        <v/>
      </c>
      <c r="H1536" s="26" t="str">
        <f aca="false">IF(A1536="","",COUNTIF(Apparitions!$H$2:$H$5001,A1536))</f>
        <v/>
      </c>
      <c r="I1536" s="26" t="str">
        <f aca="false">IF(A1536="","",COUNTIFS(Apparitions!$H$2:$H$5001,A1536,Apparitions!$E$2:$E$5001,"○"))</f>
        <v/>
      </c>
      <c r="J1536" s="29" t="str">
        <f aca="false">IF(A1536="","",IFERROR(1/(1/_xlfn.MINIFS(Apparitions!$L$2:$L$5001,Apparitions!$H$2:$H$5001,A1536)),""))</f>
        <v/>
      </c>
    </row>
    <row r="1537" customFormat="false" ht="15" hidden="false" customHeight="false" outlineLevel="0" collapsed="false">
      <c r="A1537" s="19"/>
      <c r="B1537" s="19"/>
      <c r="C1537" s="19"/>
      <c r="D1537" s="19"/>
      <c r="E1537" s="32"/>
      <c r="F1537" s="19"/>
      <c r="G1537" s="26" t="str">
        <f aca="false">IF(A1537="","",COUNTIF(Pubs!$B$2:$B$3001,A1537))</f>
        <v/>
      </c>
      <c r="H1537" s="26" t="str">
        <f aca="false">IF(A1537="","",COUNTIF(Apparitions!$H$2:$H$5001,A1537))</f>
        <v/>
      </c>
      <c r="I1537" s="26" t="str">
        <f aca="false">IF(A1537="","",COUNTIFS(Apparitions!$H$2:$H$5001,A1537,Apparitions!$E$2:$E$5001,"○"))</f>
        <v/>
      </c>
      <c r="J1537" s="29" t="str">
        <f aca="false">IF(A1537="","",IFERROR(1/(1/_xlfn.MINIFS(Apparitions!$L$2:$L$5001,Apparitions!$H$2:$H$5001,A1537)),""))</f>
        <v/>
      </c>
    </row>
    <row r="1538" customFormat="false" ht="15" hidden="false" customHeight="false" outlineLevel="0" collapsed="false">
      <c r="A1538" s="19"/>
      <c r="B1538" s="19"/>
      <c r="C1538" s="19"/>
      <c r="D1538" s="19"/>
      <c r="E1538" s="32"/>
      <c r="F1538" s="19"/>
      <c r="G1538" s="26" t="str">
        <f aca="false">IF(A1538="","",COUNTIF(Pubs!$B$2:$B$3001,A1538))</f>
        <v/>
      </c>
      <c r="H1538" s="26" t="str">
        <f aca="false">IF(A1538="","",COUNTIF(Apparitions!$H$2:$H$5001,A1538))</f>
        <v/>
      </c>
      <c r="I1538" s="26" t="str">
        <f aca="false">IF(A1538="","",COUNTIFS(Apparitions!$H$2:$H$5001,A1538,Apparitions!$E$2:$E$5001,"○"))</f>
        <v/>
      </c>
      <c r="J1538" s="29" t="str">
        <f aca="false">IF(A1538="","",IFERROR(1/(1/_xlfn.MINIFS(Apparitions!$L$2:$L$5001,Apparitions!$H$2:$H$5001,A1538)),""))</f>
        <v/>
      </c>
    </row>
    <row r="1539" customFormat="false" ht="15" hidden="false" customHeight="false" outlineLevel="0" collapsed="false">
      <c r="A1539" s="19"/>
      <c r="B1539" s="19"/>
      <c r="C1539" s="19"/>
      <c r="D1539" s="19"/>
      <c r="E1539" s="32"/>
      <c r="F1539" s="19"/>
      <c r="G1539" s="26" t="str">
        <f aca="false">IF(A1539="","",COUNTIF(Pubs!$B$2:$B$3001,A1539))</f>
        <v/>
      </c>
      <c r="H1539" s="26" t="str">
        <f aca="false">IF(A1539="","",COUNTIF(Apparitions!$H$2:$H$5001,A1539))</f>
        <v/>
      </c>
      <c r="I1539" s="26" t="str">
        <f aca="false">IF(A1539="","",COUNTIFS(Apparitions!$H$2:$H$5001,A1539,Apparitions!$E$2:$E$5001,"○"))</f>
        <v/>
      </c>
      <c r="J1539" s="29" t="str">
        <f aca="false">IF(A1539="","",IFERROR(1/(1/_xlfn.MINIFS(Apparitions!$L$2:$L$5001,Apparitions!$H$2:$H$5001,A1539)),""))</f>
        <v/>
      </c>
    </row>
    <row r="1540" customFormat="false" ht="15" hidden="false" customHeight="false" outlineLevel="0" collapsed="false">
      <c r="A1540" s="19"/>
      <c r="B1540" s="19"/>
      <c r="C1540" s="19"/>
      <c r="D1540" s="19"/>
      <c r="E1540" s="32"/>
      <c r="F1540" s="19"/>
      <c r="G1540" s="26" t="str">
        <f aca="false">IF(A1540="","",COUNTIF(Pubs!$B$2:$B$3001,A1540))</f>
        <v/>
      </c>
      <c r="H1540" s="26" t="str">
        <f aca="false">IF(A1540="","",COUNTIF(Apparitions!$H$2:$H$5001,A1540))</f>
        <v/>
      </c>
      <c r="I1540" s="26" t="str">
        <f aca="false">IF(A1540="","",COUNTIFS(Apparitions!$H$2:$H$5001,A1540,Apparitions!$E$2:$E$5001,"○"))</f>
        <v/>
      </c>
      <c r="J1540" s="29" t="str">
        <f aca="false">IF(A1540="","",IFERROR(1/(1/_xlfn.MINIFS(Apparitions!$L$2:$L$5001,Apparitions!$H$2:$H$5001,A1540)),""))</f>
        <v/>
      </c>
    </row>
    <row r="1541" customFormat="false" ht="15" hidden="false" customHeight="false" outlineLevel="0" collapsed="false">
      <c r="A1541" s="19"/>
      <c r="B1541" s="19"/>
      <c r="C1541" s="19"/>
      <c r="D1541" s="19"/>
      <c r="E1541" s="32"/>
      <c r="F1541" s="19"/>
      <c r="G1541" s="26" t="str">
        <f aca="false">IF(A1541="","",COUNTIF(Pubs!$B$2:$B$3001,A1541))</f>
        <v/>
      </c>
      <c r="H1541" s="26" t="str">
        <f aca="false">IF(A1541="","",COUNTIF(Apparitions!$H$2:$H$5001,A1541))</f>
        <v/>
      </c>
      <c r="I1541" s="26" t="str">
        <f aca="false">IF(A1541="","",COUNTIFS(Apparitions!$H$2:$H$5001,A1541,Apparitions!$E$2:$E$5001,"○"))</f>
        <v/>
      </c>
      <c r="J1541" s="29" t="str">
        <f aca="false">IF(A1541="","",IFERROR(1/(1/_xlfn.MINIFS(Apparitions!$L$2:$L$5001,Apparitions!$H$2:$H$5001,A1541)),""))</f>
        <v/>
      </c>
    </row>
    <row r="1542" customFormat="false" ht="15" hidden="false" customHeight="false" outlineLevel="0" collapsed="false">
      <c r="A1542" s="19"/>
      <c r="B1542" s="19"/>
      <c r="C1542" s="19"/>
      <c r="D1542" s="19"/>
      <c r="E1542" s="32"/>
      <c r="F1542" s="19"/>
      <c r="G1542" s="26" t="str">
        <f aca="false">IF(A1542="","",COUNTIF(Pubs!$B$2:$B$3001,A1542))</f>
        <v/>
      </c>
      <c r="H1542" s="26" t="str">
        <f aca="false">IF(A1542="","",COUNTIF(Apparitions!$H$2:$H$5001,A1542))</f>
        <v/>
      </c>
      <c r="I1542" s="26" t="str">
        <f aca="false">IF(A1542="","",COUNTIFS(Apparitions!$H$2:$H$5001,A1542,Apparitions!$E$2:$E$5001,"○"))</f>
        <v/>
      </c>
      <c r="J1542" s="29" t="str">
        <f aca="false">IF(A1542="","",IFERROR(1/(1/_xlfn.MINIFS(Apparitions!$L$2:$L$5001,Apparitions!$H$2:$H$5001,A1542)),""))</f>
        <v/>
      </c>
    </row>
    <row r="1543" customFormat="false" ht="15" hidden="false" customHeight="false" outlineLevel="0" collapsed="false">
      <c r="A1543" s="19"/>
      <c r="B1543" s="19"/>
      <c r="C1543" s="19"/>
      <c r="D1543" s="19"/>
      <c r="E1543" s="32"/>
      <c r="F1543" s="19"/>
      <c r="G1543" s="26" t="str">
        <f aca="false">IF(A1543="","",COUNTIF(Pubs!$B$2:$B$3001,A1543))</f>
        <v/>
      </c>
      <c r="H1543" s="26" t="str">
        <f aca="false">IF(A1543="","",COUNTIF(Apparitions!$H$2:$H$5001,A1543))</f>
        <v/>
      </c>
      <c r="I1543" s="26" t="str">
        <f aca="false">IF(A1543="","",COUNTIFS(Apparitions!$H$2:$H$5001,A1543,Apparitions!$E$2:$E$5001,"○"))</f>
        <v/>
      </c>
      <c r="J1543" s="29" t="str">
        <f aca="false">IF(A1543="","",IFERROR(1/(1/_xlfn.MINIFS(Apparitions!$L$2:$L$5001,Apparitions!$H$2:$H$5001,A1543)),""))</f>
        <v/>
      </c>
    </row>
    <row r="1544" customFormat="false" ht="15" hidden="false" customHeight="false" outlineLevel="0" collapsed="false">
      <c r="A1544" s="19"/>
      <c r="B1544" s="19"/>
      <c r="C1544" s="19"/>
      <c r="D1544" s="19"/>
      <c r="E1544" s="32"/>
      <c r="F1544" s="19"/>
      <c r="G1544" s="26" t="str">
        <f aca="false">IF(A1544="","",COUNTIF(Pubs!$B$2:$B$3001,A1544))</f>
        <v/>
      </c>
      <c r="H1544" s="26" t="str">
        <f aca="false">IF(A1544="","",COUNTIF(Apparitions!$H$2:$H$5001,A1544))</f>
        <v/>
      </c>
      <c r="I1544" s="26" t="str">
        <f aca="false">IF(A1544="","",COUNTIFS(Apparitions!$H$2:$H$5001,A1544,Apparitions!$E$2:$E$5001,"○"))</f>
        <v/>
      </c>
      <c r="J1544" s="29" t="str">
        <f aca="false">IF(A1544="","",IFERROR(1/(1/_xlfn.MINIFS(Apparitions!$L$2:$L$5001,Apparitions!$H$2:$H$5001,A1544)),""))</f>
        <v/>
      </c>
    </row>
    <row r="1545" customFormat="false" ht="15" hidden="false" customHeight="false" outlineLevel="0" collapsed="false">
      <c r="A1545" s="19"/>
      <c r="B1545" s="19"/>
      <c r="C1545" s="19"/>
      <c r="D1545" s="19"/>
      <c r="E1545" s="32"/>
      <c r="F1545" s="19"/>
      <c r="G1545" s="26" t="str">
        <f aca="false">IF(A1545="","",COUNTIF(Pubs!$B$2:$B$3001,A1545))</f>
        <v/>
      </c>
      <c r="H1545" s="26" t="str">
        <f aca="false">IF(A1545="","",COUNTIF(Apparitions!$H$2:$H$5001,A1545))</f>
        <v/>
      </c>
      <c r="I1545" s="26" t="str">
        <f aca="false">IF(A1545="","",COUNTIFS(Apparitions!$H$2:$H$5001,A1545,Apparitions!$E$2:$E$5001,"○"))</f>
        <v/>
      </c>
      <c r="J1545" s="29" t="str">
        <f aca="false">IF(A1545="","",IFERROR(1/(1/_xlfn.MINIFS(Apparitions!$L$2:$L$5001,Apparitions!$H$2:$H$5001,A1545)),""))</f>
        <v/>
      </c>
    </row>
    <row r="1546" customFormat="false" ht="15" hidden="false" customHeight="false" outlineLevel="0" collapsed="false">
      <c r="A1546" s="19"/>
      <c r="B1546" s="19"/>
      <c r="C1546" s="19"/>
      <c r="D1546" s="19"/>
      <c r="E1546" s="32"/>
      <c r="F1546" s="19"/>
      <c r="G1546" s="26" t="str">
        <f aca="false">IF(A1546="","",COUNTIF(Pubs!$B$2:$B$3001,A1546))</f>
        <v/>
      </c>
      <c r="H1546" s="26" t="str">
        <f aca="false">IF(A1546="","",COUNTIF(Apparitions!$H$2:$H$5001,A1546))</f>
        <v/>
      </c>
      <c r="I1546" s="26" t="str">
        <f aca="false">IF(A1546="","",COUNTIFS(Apparitions!$H$2:$H$5001,A1546,Apparitions!$E$2:$E$5001,"○"))</f>
        <v/>
      </c>
      <c r="J1546" s="29" t="str">
        <f aca="false">IF(A1546="","",IFERROR(1/(1/_xlfn.MINIFS(Apparitions!$L$2:$L$5001,Apparitions!$H$2:$H$5001,A1546)),""))</f>
        <v/>
      </c>
    </row>
    <row r="1547" customFormat="false" ht="15" hidden="false" customHeight="false" outlineLevel="0" collapsed="false">
      <c r="A1547" s="19"/>
      <c r="B1547" s="19"/>
      <c r="C1547" s="19"/>
      <c r="D1547" s="19"/>
      <c r="E1547" s="32"/>
      <c r="F1547" s="19"/>
      <c r="G1547" s="26" t="str">
        <f aca="false">IF(A1547="","",COUNTIF(Pubs!$B$2:$B$3001,A1547))</f>
        <v/>
      </c>
      <c r="H1547" s="26" t="str">
        <f aca="false">IF(A1547="","",COUNTIF(Apparitions!$H$2:$H$5001,A1547))</f>
        <v/>
      </c>
      <c r="I1547" s="26" t="str">
        <f aca="false">IF(A1547="","",COUNTIFS(Apparitions!$H$2:$H$5001,A1547,Apparitions!$E$2:$E$5001,"○"))</f>
        <v/>
      </c>
      <c r="J1547" s="29" t="str">
        <f aca="false">IF(A1547="","",IFERROR(1/(1/_xlfn.MINIFS(Apparitions!$L$2:$L$5001,Apparitions!$H$2:$H$5001,A1547)),""))</f>
        <v/>
      </c>
    </row>
    <row r="1548" customFormat="false" ht="15" hidden="false" customHeight="false" outlineLevel="0" collapsed="false">
      <c r="A1548" s="19"/>
      <c r="B1548" s="19"/>
      <c r="C1548" s="19"/>
      <c r="D1548" s="19"/>
      <c r="E1548" s="32"/>
      <c r="F1548" s="19"/>
      <c r="G1548" s="26" t="str">
        <f aca="false">IF(A1548="","",COUNTIF(Pubs!$B$2:$B$3001,A1548))</f>
        <v/>
      </c>
      <c r="H1548" s="26" t="str">
        <f aca="false">IF(A1548="","",COUNTIF(Apparitions!$H$2:$H$5001,A1548))</f>
        <v/>
      </c>
      <c r="I1548" s="26" t="str">
        <f aca="false">IF(A1548="","",COUNTIFS(Apparitions!$H$2:$H$5001,A1548,Apparitions!$E$2:$E$5001,"○"))</f>
        <v/>
      </c>
      <c r="J1548" s="29" t="str">
        <f aca="false">IF(A1548="","",IFERROR(1/(1/_xlfn.MINIFS(Apparitions!$L$2:$L$5001,Apparitions!$H$2:$H$5001,A1548)),""))</f>
        <v/>
      </c>
    </row>
    <row r="1549" customFormat="false" ht="15" hidden="false" customHeight="false" outlineLevel="0" collapsed="false">
      <c r="A1549" s="19"/>
      <c r="B1549" s="19"/>
      <c r="C1549" s="19"/>
      <c r="D1549" s="19"/>
      <c r="E1549" s="32"/>
      <c r="F1549" s="19"/>
      <c r="G1549" s="26" t="str">
        <f aca="false">IF(A1549="","",COUNTIF(Pubs!$B$2:$B$3001,A1549))</f>
        <v/>
      </c>
      <c r="H1549" s="26" t="str">
        <f aca="false">IF(A1549="","",COUNTIF(Apparitions!$H$2:$H$5001,A1549))</f>
        <v/>
      </c>
      <c r="I1549" s="26" t="str">
        <f aca="false">IF(A1549="","",COUNTIFS(Apparitions!$H$2:$H$5001,A1549,Apparitions!$E$2:$E$5001,"○"))</f>
        <v/>
      </c>
      <c r="J1549" s="29" t="str">
        <f aca="false">IF(A1549="","",IFERROR(1/(1/_xlfn.MINIFS(Apparitions!$L$2:$L$5001,Apparitions!$H$2:$H$5001,A1549)),""))</f>
        <v/>
      </c>
    </row>
    <row r="1550" customFormat="false" ht="15" hidden="false" customHeight="false" outlineLevel="0" collapsed="false">
      <c r="A1550" s="19"/>
      <c r="B1550" s="19"/>
      <c r="C1550" s="19"/>
      <c r="D1550" s="19"/>
      <c r="E1550" s="32"/>
      <c r="F1550" s="19"/>
      <c r="G1550" s="26" t="str">
        <f aca="false">IF(A1550="","",COUNTIF(Pubs!$B$2:$B$3001,A1550))</f>
        <v/>
      </c>
      <c r="H1550" s="26" t="str">
        <f aca="false">IF(A1550="","",COUNTIF(Apparitions!$H$2:$H$5001,A1550))</f>
        <v/>
      </c>
      <c r="I1550" s="26" t="str">
        <f aca="false">IF(A1550="","",COUNTIFS(Apparitions!$H$2:$H$5001,A1550,Apparitions!$E$2:$E$5001,"○"))</f>
        <v/>
      </c>
      <c r="J1550" s="29" t="str">
        <f aca="false">IF(A1550="","",IFERROR(1/(1/_xlfn.MINIFS(Apparitions!$L$2:$L$5001,Apparitions!$H$2:$H$5001,A1550)),""))</f>
        <v/>
      </c>
    </row>
    <row r="1551" customFormat="false" ht="15" hidden="false" customHeight="false" outlineLevel="0" collapsed="false">
      <c r="A1551" s="19"/>
      <c r="B1551" s="19"/>
      <c r="C1551" s="19"/>
      <c r="D1551" s="19"/>
      <c r="E1551" s="32"/>
      <c r="F1551" s="19"/>
      <c r="G1551" s="26" t="str">
        <f aca="false">IF(A1551="","",COUNTIF(Pubs!$B$2:$B$3001,A1551))</f>
        <v/>
      </c>
      <c r="H1551" s="26" t="str">
        <f aca="false">IF(A1551="","",COUNTIF(Apparitions!$H$2:$H$5001,A1551))</f>
        <v/>
      </c>
      <c r="I1551" s="26" t="str">
        <f aca="false">IF(A1551="","",COUNTIFS(Apparitions!$H$2:$H$5001,A1551,Apparitions!$E$2:$E$5001,"○"))</f>
        <v/>
      </c>
      <c r="J1551" s="29" t="str">
        <f aca="false">IF(A1551="","",IFERROR(1/(1/_xlfn.MINIFS(Apparitions!$L$2:$L$5001,Apparitions!$H$2:$H$5001,A1551)),""))</f>
        <v/>
      </c>
    </row>
    <row r="1552" customFormat="false" ht="15" hidden="false" customHeight="false" outlineLevel="0" collapsed="false">
      <c r="A1552" s="19"/>
      <c r="B1552" s="19"/>
      <c r="C1552" s="19"/>
      <c r="D1552" s="19"/>
      <c r="E1552" s="32"/>
      <c r="F1552" s="19"/>
      <c r="G1552" s="26" t="str">
        <f aca="false">IF(A1552="","",COUNTIF(Pubs!$B$2:$B$3001,A1552))</f>
        <v/>
      </c>
      <c r="H1552" s="26" t="str">
        <f aca="false">IF(A1552="","",COUNTIF(Apparitions!$H$2:$H$5001,A1552))</f>
        <v/>
      </c>
      <c r="I1552" s="26" t="str">
        <f aca="false">IF(A1552="","",COUNTIFS(Apparitions!$H$2:$H$5001,A1552,Apparitions!$E$2:$E$5001,"○"))</f>
        <v/>
      </c>
      <c r="J1552" s="29" t="str">
        <f aca="false">IF(A1552="","",IFERROR(1/(1/_xlfn.MINIFS(Apparitions!$L$2:$L$5001,Apparitions!$H$2:$H$5001,A1552)),""))</f>
        <v/>
      </c>
    </row>
    <row r="1553" customFormat="false" ht="15" hidden="false" customHeight="false" outlineLevel="0" collapsed="false">
      <c r="A1553" s="19"/>
      <c r="B1553" s="19"/>
      <c r="C1553" s="19"/>
      <c r="D1553" s="19"/>
      <c r="E1553" s="32"/>
      <c r="F1553" s="19"/>
      <c r="G1553" s="26" t="str">
        <f aca="false">IF(A1553="","",COUNTIF(Pubs!$B$2:$B$3001,A1553))</f>
        <v/>
      </c>
      <c r="H1553" s="26" t="str">
        <f aca="false">IF(A1553="","",COUNTIF(Apparitions!$H$2:$H$5001,A1553))</f>
        <v/>
      </c>
      <c r="I1553" s="26" t="str">
        <f aca="false">IF(A1553="","",COUNTIFS(Apparitions!$H$2:$H$5001,A1553,Apparitions!$E$2:$E$5001,"○"))</f>
        <v/>
      </c>
      <c r="J1553" s="29" t="str">
        <f aca="false">IF(A1553="","",IFERROR(1/(1/_xlfn.MINIFS(Apparitions!$L$2:$L$5001,Apparitions!$H$2:$H$5001,A1553)),""))</f>
        <v/>
      </c>
    </row>
    <row r="1554" customFormat="false" ht="15" hidden="false" customHeight="false" outlineLevel="0" collapsed="false">
      <c r="A1554" s="19"/>
      <c r="B1554" s="19"/>
      <c r="C1554" s="19"/>
      <c r="D1554" s="19"/>
      <c r="E1554" s="32"/>
      <c r="F1554" s="19"/>
      <c r="G1554" s="26" t="str">
        <f aca="false">IF(A1554="","",COUNTIF(Pubs!$B$2:$B$3001,A1554))</f>
        <v/>
      </c>
      <c r="H1554" s="26" t="str">
        <f aca="false">IF(A1554="","",COUNTIF(Apparitions!$H$2:$H$5001,A1554))</f>
        <v/>
      </c>
      <c r="I1554" s="26" t="str">
        <f aca="false">IF(A1554="","",COUNTIFS(Apparitions!$H$2:$H$5001,A1554,Apparitions!$E$2:$E$5001,"○"))</f>
        <v/>
      </c>
      <c r="J1554" s="29" t="str">
        <f aca="false">IF(A1554="","",IFERROR(1/(1/_xlfn.MINIFS(Apparitions!$L$2:$L$5001,Apparitions!$H$2:$H$5001,A1554)),""))</f>
        <v/>
      </c>
    </row>
    <row r="1555" customFormat="false" ht="15" hidden="false" customHeight="false" outlineLevel="0" collapsed="false">
      <c r="A1555" s="19"/>
      <c r="B1555" s="19"/>
      <c r="C1555" s="19"/>
      <c r="D1555" s="19"/>
      <c r="E1555" s="32"/>
      <c r="F1555" s="19"/>
      <c r="G1555" s="26" t="str">
        <f aca="false">IF(A1555="","",COUNTIF(Pubs!$B$2:$B$3001,A1555))</f>
        <v/>
      </c>
      <c r="H1555" s="26" t="str">
        <f aca="false">IF(A1555="","",COUNTIF(Apparitions!$H$2:$H$5001,A1555))</f>
        <v/>
      </c>
      <c r="I1555" s="26" t="str">
        <f aca="false">IF(A1555="","",COUNTIFS(Apparitions!$H$2:$H$5001,A1555,Apparitions!$E$2:$E$5001,"○"))</f>
        <v/>
      </c>
      <c r="J1555" s="29" t="str">
        <f aca="false">IF(A1555="","",IFERROR(1/(1/_xlfn.MINIFS(Apparitions!$L$2:$L$5001,Apparitions!$H$2:$H$5001,A1555)),""))</f>
        <v/>
      </c>
    </row>
    <row r="1556" customFormat="false" ht="15" hidden="false" customHeight="false" outlineLevel="0" collapsed="false">
      <c r="A1556" s="19"/>
      <c r="B1556" s="19"/>
      <c r="C1556" s="19"/>
      <c r="D1556" s="19"/>
      <c r="E1556" s="32"/>
      <c r="F1556" s="19"/>
      <c r="G1556" s="26" t="str">
        <f aca="false">IF(A1556="","",COUNTIF(Pubs!$B$2:$B$3001,A1556))</f>
        <v/>
      </c>
      <c r="H1556" s="26" t="str">
        <f aca="false">IF(A1556="","",COUNTIF(Apparitions!$H$2:$H$5001,A1556))</f>
        <v/>
      </c>
      <c r="I1556" s="26" t="str">
        <f aca="false">IF(A1556="","",COUNTIFS(Apparitions!$H$2:$H$5001,A1556,Apparitions!$E$2:$E$5001,"○"))</f>
        <v/>
      </c>
      <c r="J1556" s="29" t="str">
        <f aca="false">IF(A1556="","",IFERROR(1/(1/_xlfn.MINIFS(Apparitions!$L$2:$L$5001,Apparitions!$H$2:$H$5001,A1556)),""))</f>
        <v/>
      </c>
    </row>
    <row r="1557" customFormat="false" ht="15" hidden="false" customHeight="false" outlineLevel="0" collapsed="false">
      <c r="A1557" s="19"/>
      <c r="B1557" s="19"/>
      <c r="C1557" s="19"/>
      <c r="D1557" s="19"/>
      <c r="E1557" s="32"/>
      <c r="F1557" s="19"/>
      <c r="G1557" s="26" t="str">
        <f aca="false">IF(A1557="","",COUNTIF(Pubs!$B$2:$B$3001,A1557))</f>
        <v/>
      </c>
      <c r="H1557" s="26" t="str">
        <f aca="false">IF(A1557="","",COUNTIF(Apparitions!$H$2:$H$5001,A1557))</f>
        <v/>
      </c>
      <c r="I1557" s="26" t="str">
        <f aca="false">IF(A1557="","",COUNTIFS(Apparitions!$H$2:$H$5001,A1557,Apparitions!$E$2:$E$5001,"○"))</f>
        <v/>
      </c>
      <c r="J1557" s="29" t="str">
        <f aca="false">IF(A1557="","",IFERROR(1/(1/_xlfn.MINIFS(Apparitions!$L$2:$L$5001,Apparitions!$H$2:$H$5001,A1557)),""))</f>
        <v/>
      </c>
    </row>
    <row r="1558" customFormat="false" ht="15" hidden="false" customHeight="false" outlineLevel="0" collapsed="false">
      <c r="A1558" s="19"/>
      <c r="B1558" s="19"/>
      <c r="C1558" s="19"/>
      <c r="D1558" s="19"/>
      <c r="E1558" s="32"/>
      <c r="F1558" s="19"/>
      <c r="G1558" s="26" t="str">
        <f aca="false">IF(A1558="","",COUNTIF(Pubs!$B$2:$B$3001,A1558))</f>
        <v/>
      </c>
      <c r="H1558" s="26" t="str">
        <f aca="false">IF(A1558="","",COUNTIF(Apparitions!$H$2:$H$5001,A1558))</f>
        <v/>
      </c>
      <c r="I1558" s="26" t="str">
        <f aca="false">IF(A1558="","",COUNTIFS(Apparitions!$H$2:$H$5001,A1558,Apparitions!$E$2:$E$5001,"○"))</f>
        <v/>
      </c>
      <c r="J1558" s="29" t="str">
        <f aca="false">IF(A1558="","",IFERROR(1/(1/_xlfn.MINIFS(Apparitions!$L$2:$L$5001,Apparitions!$H$2:$H$5001,A1558)),""))</f>
        <v/>
      </c>
    </row>
    <row r="1559" customFormat="false" ht="15" hidden="false" customHeight="false" outlineLevel="0" collapsed="false">
      <c r="A1559" s="19"/>
      <c r="B1559" s="19"/>
      <c r="C1559" s="19"/>
      <c r="D1559" s="19"/>
      <c r="E1559" s="32"/>
      <c r="F1559" s="19"/>
      <c r="G1559" s="26" t="str">
        <f aca="false">IF(A1559="","",COUNTIF(Pubs!$B$2:$B$3001,A1559))</f>
        <v/>
      </c>
      <c r="H1559" s="26" t="str">
        <f aca="false">IF(A1559="","",COUNTIF(Apparitions!$H$2:$H$5001,A1559))</f>
        <v/>
      </c>
      <c r="I1559" s="26" t="str">
        <f aca="false">IF(A1559="","",COUNTIFS(Apparitions!$H$2:$H$5001,A1559,Apparitions!$E$2:$E$5001,"○"))</f>
        <v/>
      </c>
      <c r="J1559" s="29" t="str">
        <f aca="false">IF(A1559="","",IFERROR(1/(1/_xlfn.MINIFS(Apparitions!$L$2:$L$5001,Apparitions!$H$2:$H$5001,A1559)),""))</f>
        <v/>
      </c>
    </row>
    <row r="1560" customFormat="false" ht="15" hidden="false" customHeight="false" outlineLevel="0" collapsed="false">
      <c r="A1560" s="19"/>
      <c r="B1560" s="19"/>
      <c r="C1560" s="19"/>
      <c r="D1560" s="19"/>
      <c r="E1560" s="32"/>
      <c r="F1560" s="19"/>
      <c r="G1560" s="26" t="str">
        <f aca="false">IF(A1560="","",COUNTIF(Pubs!$B$2:$B$3001,A1560))</f>
        <v/>
      </c>
      <c r="H1560" s="26" t="str">
        <f aca="false">IF(A1560="","",COUNTIF(Apparitions!$H$2:$H$5001,A1560))</f>
        <v/>
      </c>
      <c r="I1560" s="26" t="str">
        <f aca="false">IF(A1560="","",COUNTIFS(Apparitions!$H$2:$H$5001,A1560,Apparitions!$E$2:$E$5001,"○"))</f>
        <v/>
      </c>
      <c r="J1560" s="29" t="str">
        <f aca="false">IF(A1560="","",IFERROR(1/(1/_xlfn.MINIFS(Apparitions!$L$2:$L$5001,Apparitions!$H$2:$H$5001,A1560)),""))</f>
        <v/>
      </c>
    </row>
    <row r="1561" customFormat="false" ht="15" hidden="false" customHeight="false" outlineLevel="0" collapsed="false">
      <c r="A1561" s="19"/>
      <c r="B1561" s="19"/>
      <c r="C1561" s="19"/>
      <c r="D1561" s="19"/>
      <c r="E1561" s="32"/>
      <c r="F1561" s="19"/>
      <c r="G1561" s="26" t="str">
        <f aca="false">IF(A1561="","",COUNTIF(Pubs!$B$2:$B$3001,A1561))</f>
        <v/>
      </c>
      <c r="H1561" s="26" t="str">
        <f aca="false">IF(A1561="","",COUNTIF(Apparitions!$H$2:$H$5001,A1561))</f>
        <v/>
      </c>
      <c r="I1561" s="26" t="str">
        <f aca="false">IF(A1561="","",COUNTIFS(Apparitions!$H$2:$H$5001,A1561,Apparitions!$E$2:$E$5001,"○"))</f>
        <v/>
      </c>
      <c r="J1561" s="29" t="str">
        <f aca="false">IF(A1561="","",IFERROR(1/(1/_xlfn.MINIFS(Apparitions!$L$2:$L$5001,Apparitions!$H$2:$H$5001,A1561)),""))</f>
        <v/>
      </c>
    </row>
    <row r="1562" customFormat="false" ht="15" hidden="false" customHeight="false" outlineLevel="0" collapsed="false">
      <c r="A1562" s="19"/>
      <c r="B1562" s="19"/>
      <c r="C1562" s="19"/>
      <c r="D1562" s="19"/>
      <c r="E1562" s="32"/>
      <c r="F1562" s="19"/>
      <c r="G1562" s="26" t="str">
        <f aca="false">IF(A1562="","",COUNTIF(Pubs!$B$2:$B$3001,A1562))</f>
        <v/>
      </c>
      <c r="H1562" s="26" t="str">
        <f aca="false">IF(A1562="","",COUNTIF(Apparitions!$H$2:$H$5001,A1562))</f>
        <v/>
      </c>
      <c r="I1562" s="26" t="str">
        <f aca="false">IF(A1562="","",COUNTIFS(Apparitions!$H$2:$H$5001,A1562,Apparitions!$E$2:$E$5001,"○"))</f>
        <v/>
      </c>
      <c r="J1562" s="29" t="str">
        <f aca="false">IF(A1562="","",IFERROR(1/(1/_xlfn.MINIFS(Apparitions!$L$2:$L$5001,Apparitions!$H$2:$H$5001,A1562)),""))</f>
        <v/>
      </c>
    </row>
    <row r="1563" customFormat="false" ht="15" hidden="false" customHeight="false" outlineLevel="0" collapsed="false">
      <c r="A1563" s="19"/>
      <c r="B1563" s="19"/>
      <c r="C1563" s="19"/>
      <c r="D1563" s="19"/>
      <c r="E1563" s="32"/>
      <c r="F1563" s="19"/>
      <c r="G1563" s="26" t="str">
        <f aca="false">IF(A1563="","",COUNTIF(Pubs!$B$2:$B$3001,A1563))</f>
        <v/>
      </c>
      <c r="H1563" s="26" t="str">
        <f aca="false">IF(A1563="","",COUNTIF(Apparitions!$H$2:$H$5001,A1563))</f>
        <v/>
      </c>
      <c r="I1563" s="26" t="str">
        <f aca="false">IF(A1563="","",COUNTIFS(Apparitions!$H$2:$H$5001,A1563,Apparitions!$E$2:$E$5001,"○"))</f>
        <v/>
      </c>
      <c r="J1563" s="29" t="str">
        <f aca="false">IF(A1563="","",IFERROR(1/(1/_xlfn.MINIFS(Apparitions!$L$2:$L$5001,Apparitions!$H$2:$H$5001,A1563)),""))</f>
        <v/>
      </c>
    </row>
    <row r="1564" customFormat="false" ht="15" hidden="false" customHeight="false" outlineLevel="0" collapsed="false">
      <c r="A1564" s="19"/>
      <c r="B1564" s="19"/>
      <c r="C1564" s="19"/>
      <c r="D1564" s="19"/>
      <c r="E1564" s="32"/>
      <c r="F1564" s="19"/>
      <c r="G1564" s="26" t="str">
        <f aca="false">IF(A1564="","",COUNTIF(Pubs!$B$2:$B$3001,A1564))</f>
        <v/>
      </c>
      <c r="H1564" s="26" t="str">
        <f aca="false">IF(A1564="","",COUNTIF(Apparitions!$H$2:$H$5001,A1564))</f>
        <v/>
      </c>
      <c r="I1564" s="26" t="str">
        <f aca="false">IF(A1564="","",COUNTIFS(Apparitions!$H$2:$H$5001,A1564,Apparitions!$E$2:$E$5001,"○"))</f>
        <v/>
      </c>
      <c r="J1564" s="29" t="str">
        <f aca="false">IF(A1564="","",IFERROR(1/(1/_xlfn.MINIFS(Apparitions!$L$2:$L$5001,Apparitions!$H$2:$H$5001,A1564)),""))</f>
        <v/>
      </c>
    </row>
    <row r="1565" customFormat="false" ht="15" hidden="false" customHeight="false" outlineLevel="0" collapsed="false">
      <c r="A1565" s="19"/>
      <c r="B1565" s="19"/>
      <c r="C1565" s="19"/>
      <c r="D1565" s="19"/>
      <c r="E1565" s="32"/>
      <c r="F1565" s="19"/>
      <c r="G1565" s="26" t="str">
        <f aca="false">IF(A1565="","",COUNTIF(Pubs!$B$2:$B$3001,A1565))</f>
        <v/>
      </c>
      <c r="H1565" s="26" t="str">
        <f aca="false">IF(A1565="","",COUNTIF(Apparitions!$H$2:$H$5001,A1565))</f>
        <v/>
      </c>
      <c r="I1565" s="26" t="str">
        <f aca="false">IF(A1565="","",COUNTIFS(Apparitions!$H$2:$H$5001,A1565,Apparitions!$E$2:$E$5001,"○"))</f>
        <v/>
      </c>
      <c r="J1565" s="29" t="str">
        <f aca="false">IF(A1565="","",IFERROR(1/(1/_xlfn.MINIFS(Apparitions!$L$2:$L$5001,Apparitions!$H$2:$H$5001,A1565)),""))</f>
        <v/>
      </c>
    </row>
    <row r="1566" customFormat="false" ht="15" hidden="false" customHeight="false" outlineLevel="0" collapsed="false">
      <c r="A1566" s="19"/>
      <c r="B1566" s="19"/>
      <c r="C1566" s="19"/>
      <c r="D1566" s="19"/>
      <c r="E1566" s="32"/>
      <c r="F1566" s="19"/>
      <c r="G1566" s="26" t="str">
        <f aca="false">IF(A1566="","",COUNTIF(Pubs!$B$2:$B$3001,A1566))</f>
        <v/>
      </c>
      <c r="H1566" s="26" t="str">
        <f aca="false">IF(A1566="","",COUNTIF(Apparitions!$H$2:$H$5001,A1566))</f>
        <v/>
      </c>
      <c r="I1566" s="26" t="str">
        <f aca="false">IF(A1566="","",COUNTIFS(Apparitions!$H$2:$H$5001,A1566,Apparitions!$E$2:$E$5001,"○"))</f>
        <v/>
      </c>
      <c r="J1566" s="29" t="str">
        <f aca="false">IF(A1566="","",IFERROR(1/(1/_xlfn.MINIFS(Apparitions!$L$2:$L$5001,Apparitions!$H$2:$H$5001,A1566)),""))</f>
        <v/>
      </c>
    </row>
    <row r="1567" customFormat="false" ht="15" hidden="false" customHeight="false" outlineLevel="0" collapsed="false">
      <c r="A1567" s="19"/>
      <c r="B1567" s="19"/>
      <c r="C1567" s="19"/>
      <c r="D1567" s="19"/>
      <c r="E1567" s="32"/>
      <c r="F1567" s="19"/>
      <c r="G1567" s="26" t="str">
        <f aca="false">IF(A1567="","",COUNTIF(Pubs!$B$2:$B$3001,A1567))</f>
        <v/>
      </c>
      <c r="H1567" s="26" t="str">
        <f aca="false">IF(A1567="","",COUNTIF(Apparitions!$H$2:$H$5001,A1567))</f>
        <v/>
      </c>
      <c r="I1567" s="26" t="str">
        <f aca="false">IF(A1567="","",COUNTIFS(Apparitions!$H$2:$H$5001,A1567,Apparitions!$E$2:$E$5001,"○"))</f>
        <v/>
      </c>
      <c r="J1567" s="29" t="str">
        <f aca="false">IF(A1567="","",IFERROR(1/(1/_xlfn.MINIFS(Apparitions!$L$2:$L$5001,Apparitions!$H$2:$H$5001,A1567)),""))</f>
        <v/>
      </c>
    </row>
    <row r="1568" customFormat="false" ht="15" hidden="false" customHeight="false" outlineLevel="0" collapsed="false">
      <c r="A1568" s="19"/>
      <c r="B1568" s="19"/>
      <c r="C1568" s="19"/>
      <c r="D1568" s="19"/>
      <c r="E1568" s="32"/>
      <c r="F1568" s="19"/>
      <c r="G1568" s="26" t="str">
        <f aca="false">IF(A1568="","",COUNTIF(Pubs!$B$2:$B$3001,A1568))</f>
        <v/>
      </c>
      <c r="H1568" s="26" t="str">
        <f aca="false">IF(A1568="","",COUNTIF(Apparitions!$H$2:$H$5001,A1568))</f>
        <v/>
      </c>
      <c r="I1568" s="26" t="str">
        <f aca="false">IF(A1568="","",COUNTIFS(Apparitions!$H$2:$H$5001,A1568,Apparitions!$E$2:$E$5001,"○"))</f>
        <v/>
      </c>
      <c r="J1568" s="29" t="str">
        <f aca="false">IF(A1568="","",IFERROR(1/(1/_xlfn.MINIFS(Apparitions!$L$2:$L$5001,Apparitions!$H$2:$H$5001,A1568)),""))</f>
        <v/>
      </c>
    </row>
    <row r="1569" customFormat="false" ht="15" hidden="false" customHeight="false" outlineLevel="0" collapsed="false">
      <c r="A1569" s="19"/>
      <c r="B1569" s="19"/>
      <c r="C1569" s="19"/>
      <c r="D1569" s="19"/>
      <c r="E1569" s="32"/>
      <c r="F1569" s="19"/>
      <c r="G1569" s="26" t="str">
        <f aca="false">IF(A1569="","",COUNTIF(Pubs!$B$2:$B$3001,A1569))</f>
        <v/>
      </c>
      <c r="H1569" s="26" t="str">
        <f aca="false">IF(A1569="","",COUNTIF(Apparitions!$H$2:$H$5001,A1569))</f>
        <v/>
      </c>
      <c r="I1569" s="26" t="str">
        <f aca="false">IF(A1569="","",COUNTIFS(Apparitions!$H$2:$H$5001,A1569,Apparitions!$E$2:$E$5001,"○"))</f>
        <v/>
      </c>
      <c r="J1569" s="29" t="str">
        <f aca="false">IF(A1569="","",IFERROR(1/(1/_xlfn.MINIFS(Apparitions!$L$2:$L$5001,Apparitions!$H$2:$H$5001,A1569)),""))</f>
        <v/>
      </c>
    </row>
    <row r="1570" customFormat="false" ht="15" hidden="false" customHeight="false" outlineLevel="0" collapsed="false">
      <c r="A1570" s="19"/>
      <c r="B1570" s="19"/>
      <c r="C1570" s="19"/>
      <c r="D1570" s="19"/>
      <c r="E1570" s="32"/>
      <c r="F1570" s="19"/>
      <c r="G1570" s="26" t="str">
        <f aca="false">IF(A1570="","",COUNTIF(Pubs!$B$2:$B$3001,A1570))</f>
        <v/>
      </c>
      <c r="H1570" s="26" t="str">
        <f aca="false">IF(A1570="","",COUNTIF(Apparitions!$H$2:$H$5001,A1570))</f>
        <v/>
      </c>
      <c r="I1570" s="26" t="str">
        <f aca="false">IF(A1570="","",COUNTIFS(Apparitions!$H$2:$H$5001,A1570,Apparitions!$E$2:$E$5001,"○"))</f>
        <v/>
      </c>
      <c r="J1570" s="29" t="str">
        <f aca="false">IF(A1570="","",IFERROR(1/(1/_xlfn.MINIFS(Apparitions!$L$2:$L$5001,Apparitions!$H$2:$H$5001,A1570)),""))</f>
        <v/>
      </c>
    </row>
    <row r="1571" customFormat="false" ht="15" hidden="false" customHeight="false" outlineLevel="0" collapsed="false">
      <c r="A1571" s="19"/>
      <c r="B1571" s="19"/>
      <c r="C1571" s="19"/>
      <c r="D1571" s="19"/>
      <c r="E1571" s="32"/>
      <c r="F1571" s="19"/>
      <c r="G1571" s="26" t="str">
        <f aca="false">IF(A1571="","",COUNTIF(Pubs!$B$2:$B$3001,A1571))</f>
        <v/>
      </c>
      <c r="H1571" s="26" t="str">
        <f aca="false">IF(A1571="","",COUNTIF(Apparitions!$H$2:$H$5001,A1571))</f>
        <v/>
      </c>
      <c r="I1571" s="26" t="str">
        <f aca="false">IF(A1571="","",COUNTIFS(Apparitions!$H$2:$H$5001,A1571,Apparitions!$E$2:$E$5001,"○"))</f>
        <v/>
      </c>
      <c r="J1571" s="29" t="str">
        <f aca="false">IF(A1571="","",IFERROR(1/(1/_xlfn.MINIFS(Apparitions!$L$2:$L$5001,Apparitions!$H$2:$H$5001,A1571)),""))</f>
        <v/>
      </c>
    </row>
    <row r="1572" customFormat="false" ht="15" hidden="false" customHeight="false" outlineLevel="0" collapsed="false">
      <c r="A1572" s="19"/>
      <c r="B1572" s="19"/>
      <c r="C1572" s="19"/>
      <c r="D1572" s="19"/>
      <c r="E1572" s="32"/>
      <c r="F1572" s="19"/>
      <c r="G1572" s="26" t="str">
        <f aca="false">IF(A1572="","",COUNTIF(Pubs!$B$2:$B$3001,A1572))</f>
        <v/>
      </c>
      <c r="H1572" s="26" t="str">
        <f aca="false">IF(A1572="","",COUNTIF(Apparitions!$H$2:$H$5001,A1572))</f>
        <v/>
      </c>
      <c r="I1572" s="26" t="str">
        <f aca="false">IF(A1572="","",COUNTIFS(Apparitions!$H$2:$H$5001,A1572,Apparitions!$E$2:$E$5001,"○"))</f>
        <v/>
      </c>
      <c r="J1572" s="29" t="str">
        <f aca="false">IF(A1572="","",IFERROR(1/(1/_xlfn.MINIFS(Apparitions!$L$2:$L$5001,Apparitions!$H$2:$H$5001,A1572)),""))</f>
        <v/>
      </c>
    </row>
    <row r="1573" customFormat="false" ht="15" hidden="false" customHeight="false" outlineLevel="0" collapsed="false">
      <c r="A1573" s="19"/>
      <c r="B1573" s="19"/>
      <c r="C1573" s="19"/>
      <c r="D1573" s="19"/>
      <c r="E1573" s="32"/>
      <c r="F1573" s="19"/>
      <c r="G1573" s="26" t="str">
        <f aca="false">IF(A1573="","",COUNTIF(Pubs!$B$2:$B$3001,A1573))</f>
        <v/>
      </c>
      <c r="H1573" s="26" t="str">
        <f aca="false">IF(A1573="","",COUNTIF(Apparitions!$H$2:$H$5001,A1573))</f>
        <v/>
      </c>
      <c r="I1573" s="26" t="str">
        <f aca="false">IF(A1573="","",COUNTIFS(Apparitions!$H$2:$H$5001,A1573,Apparitions!$E$2:$E$5001,"○"))</f>
        <v/>
      </c>
      <c r="J1573" s="29" t="str">
        <f aca="false">IF(A1573="","",IFERROR(1/(1/_xlfn.MINIFS(Apparitions!$L$2:$L$5001,Apparitions!$H$2:$H$5001,A1573)),""))</f>
        <v/>
      </c>
    </row>
    <row r="1574" customFormat="false" ht="15" hidden="false" customHeight="false" outlineLevel="0" collapsed="false">
      <c r="A1574" s="19"/>
      <c r="B1574" s="19"/>
      <c r="C1574" s="19"/>
      <c r="D1574" s="19"/>
      <c r="E1574" s="32"/>
      <c r="F1574" s="19"/>
      <c r="G1574" s="26" t="str">
        <f aca="false">IF(A1574="","",COUNTIF(Pubs!$B$2:$B$3001,A1574))</f>
        <v/>
      </c>
      <c r="H1574" s="26" t="str">
        <f aca="false">IF(A1574="","",COUNTIF(Apparitions!$H$2:$H$5001,A1574))</f>
        <v/>
      </c>
      <c r="I1574" s="26" t="str">
        <f aca="false">IF(A1574="","",COUNTIFS(Apparitions!$H$2:$H$5001,A1574,Apparitions!$E$2:$E$5001,"○"))</f>
        <v/>
      </c>
      <c r="J1574" s="29" t="str">
        <f aca="false">IF(A1574="","",IFERROR(1/(1/_xlfn.MINIFS(Apparitions!$L$2:$L$5001,Apparitions!$H$2:$H$5001,A1574)),""))</f>
        <v/>
      </c>
    </row>
    <row r="1575" customFormat="false" ht="15" hidden="false" customHeight="false" outlineLevel="0" collapsed="false">
      <c r="A1575" s="19"/>
      <c r="B1575" s="19"/>
      <c r="C1575" s="19"/>
      <c r="D1575" s="19"/>
      <c r="E1575" s="32"/>
      <c r="F1575" s="19"/>
      <c r="G1575" s="26" t="str">
        <f aca="false">IF(A1575="","",COUNTIF(Pubs!$B$2:$B$3001,A1575))</f>
        <v/>
      </c>
      <c r="H1575" s="26" t="str">
        <f aca="false">IF(A1575="","",COUNTIF(Apparitions!$H$2:$H$5001,A1575))</f>
        <v/>
      </c>
      <c r="I1575" s="26" t="str">
        <f aca="false">IF(A1575="","",COUNTIFS(Apparitions!$H$2:$H$5001,A1575,Apparitions!$E$2:$E$5001,"○"))</f>
        <v/>
      </c>
      <c r="J1575" s="29" t="str">
        <f aca="false">IF(A1575="","",IFERROR(1/(1/_xlfn.MINIFS(Apparitions!$L$2:$L$5001,Apparitions!$H$2:$H$5001,A1575)),""))</f>
        <v/>
      </c>
    </row>
    <row r="1576" customFormat="false" ht="15" hidden="false" customHeight="false" outlineLevel="0" collapsed="false">
      <c r="A1576" s="19"/>
      <c r="B1576" s="19"/>
      <c r="C1576" s="19"/>
      <c r="D1576" s="19"/>
      <c r="E1576" s="32"/>
      <c r="F1576" s="19"/>
      <c r="G1576" s="26" t="str">
        <f aca="false">IF(A1576="","",COUNTIF(Pubs!$B$2:$B$3001,A1576))</f>
        <v/>
      </c>
      <c r="H1576" s="26" t="str">
        <f aca="false">IF(A1576="","",COUNTIF(Apparitions!$H$2:$H$5001,A1576))</f>
        <v/>
      </c>
      <c r="I1576" s="26" t="str">
        <f aca="false">IF(A1576="","",COUNTIFS(Apparitions!$H$2:$H$5001,A1576,Apparitions!$E$2:$E$5001,"○"))</f>
        <v/>
      </c>
      <c r="J1576" s="29" t="str">
        <f aca="false">IF(A1576="","",IFERROR(1/(1/_xlfn.MINIFS(Apparitions!$L$2:$L$5001,Apparitions!$H$2:$H$5001,A1576)),""))</f>
        <v/>
      </c>
    </row>
    <row r="1577" customFormat="false" ht="15" hidden="false" customHeight="false" outlineLevel="0" collapsed="false">
      <c r="A1577" s="19"/>
      <c r="B1577" s="19"/>
      <c r="C1577" s="19"/>
      <c r="D1577" s="19"/>
      <c r="E1577" s="32"/>
      <c r="F1577" s="19"/>
      <c r="G1577" s="26" t="str">
        <f aca="false">IF(A1577="","",COUNTIF(Pubs!$B$2:$B$3001,A1577))</f>
        <v/>
      </c>
      <c r="H1577" s="26" t="str">
        <f aca="false">IF(A1577="","",COUNTIF(Apparitions!$H$2:$H$5001,A1577))</f>
        <v/>
      </c>
      <c r="I1577" s="26" t="str">
        <f aca="false">IF(A1577="","",COUNTIFS(Apparitions!$H$2:$H$5001,A1577,Apparitions!$E$2:$E$5001,"○"))</f>
        <v/>
      </c>
      <c r="J1577" s="29" t="str">
        <f aca="false">IF(A1577="","",IFERROR(1/(1/_xlfn.MINIFS(Apparitions!$L$2:$L$5001,Apparitions!$H$2:$H$5001,A1577)),""))</f>
        <v/>
      </c>
    </row>
    <row r="1578" customFormat="false" ht="15" hidden="false" customHeight="false" outlineLevel="0" collapsed="false">
      <c r="A1578" s="19"/>
      <c r="B1578" s="19"/>
      <c r="C1578" s="19"/>
      <c r="D1578" s="19"/>
      <c r="E1578" s="32"/>
      <c r="F1578" s="19"/>
      <c r="G1578" s="26" t="str">
        <f aca="false">IF(A1578="","",COUNTIF(Pubs!$B$2:$B$3001,A1578))</f>
        <v/>
      </c>
      <c r="H1578" s="26" t="str">
        <f aca="false">IF(A1578="","",COUNTIF(Apparitions!$H$2:$H$5001,A1578))</f>
        <v/>
      </c>
      <c r="I1578" s="26" t="str">
        <f aca="false">IF(A1578="","",COUNTIFS(Apparitions!$H$2:$H$5001,A1578,Apparitions!$E$2:$E$5001,"○"))</f>
        <v/>
      </c>
      <c r="J1578" s="29" t="str">
        <f aca="false">IF(A1578="","",IFERROR(1/(1/_xlfn.MINIFS(Apparitions!$L$2:$L$5001,Apparitions!$H$2:$H$5001,A1578)),""))</f>
        <v/>
      </c>
    </row>
    <row r="1579" customFormat="false" ht="15" hidden="false" customHeight="false" outlineLevel="0" collapsed="false">
      <c r="A1579" s="19"/>
      <c r="B1579" s="19"/>
      <c r="C1579" s="19"/>
      <c r="D1579" s="19"/>
      <c r="E1579" s="32"/>
      <c r="F1579" s="19"/>
      <c r="G1579" s="26" t="str">
        <f aca="false">IF(A1579="","",COUNTIF(Pubs!$B$2:$B$3001,A1579))</f>
        <v/>
      </c>
      <c r="H1579" s="26" t="str">
        <f aca="false">IF(A1579="","",COUNTIF(Apparitions!$H$2:$H$5001,A1579))</f>
        <v/>
      </c>
      <c r="I1579" s="26" t="str">
        <f aca="false">IF(A1579="","",COUNTIFS(Apparitions!$H$2:$H$5001,A1579,Apparitions!$E$2:$E$5001,"○"))</f>
        <v/>
      </c>
      <c r="J1579" s="29" t="str">
        <f aca="false">IF(A1579="","",IFERROR(1/(1/_xlfn.MINIFS(Apparitions!$L$2:$L$5001,Apparitions!$H$2:$H$5001,A1579)),""))</f>
        <v/>
      </c>
    </row>
    <row r="1580" customFormat="false" ht="15" hidden="false" customHeight="false" outlineLevel="0" collapsed="false">
      <c r="A1580" s="19"/>
      <c r="B1580" s="19"/>
      <c r="C1580" s="19"/>
      <c r="D1580" s="19"/>
      <c r="E1580" s="32"/>
      <c r="F1580" s="19"/>
      <c r="G1580" s="26" t="str">
        <f aca="false">IF(A1580="","",COUNTIF(Pubs!$B$2:$B$3001,A1580))</f>
        <v/>
      </c>
      <c r="H1580" s="26" t="str">
        <f aca="false">IF(A1580="","",COUNTIF(Apparitions!$H$2:$H$5001,A1580))</f>
        <v/>
      </c>
      <c r="I1580" s="26" t="str">
        <f aca="false">IF(A1580="","",COUNTIFS(Apparitions!$H$2:$H$5001,A1580,Apparitions!$E$2:$E$5001,"○"))</f>
        <v/>
      </c>
      <c r="J1580" s="29" t="str">
        <f aca="false">IF(A1580="","",IFERROR(1/(1/_xlfn.MINIFS(Apparitions!$L$2:$L$5001,Apparitions!$H$2:$H$5001,A1580)),""))</f>
        <v/>
      </c>
    </row>
    <row r="1581" customFormat="false" ht="15" hidden="false" customHeight="false" outlineLevel="0" collapsed="false">
      <c r="A1581" s="19"/>
      <c r="B1581" s="19"/>
      <c r="C1581" s="19"/>
      <c r="D1581" s="19"/>
      <c r="E1581" s="32"/>
      <c r="F1581" s="19"/>
      <c r="G1581" s="26" t="str">
        <f aca="false">IF(A1581="","",COUNTIF(Pubs!$B$2:$B$3001,A1581))</f>
        <v/>
      </c>
      <c r="H1581" s="26" t="str">
        <f aca="false">IF(A1581="","",COUNTIF(Apparitions!$H$2:$H$5001,A1581))</f>
        <v/>
      </c>
      <c r="I1581" s="26" t="str">
        <f aca="false">IF(A1581="","",COUNTIFS(Apparitions!$H$2:$H$5001,A1581,Apparitions!$E$2:$E$5001,"○"))</f>
        <v/>
      </c>
      <c r="J1581" s="29" t="str">
        <f aca="false">IF(A1581="","",IFERROR(1/(1/_xlfn.MINIFS(Apparitions!$L$2:$L$5001,Apparitions!$H$2:$H$5001,A1581)),""))</f>
        <v/>
      </c>
    </row>
    <row r="1582" customFormat="false" ht="15" hidden="false" customHeight="false" outlineLevel="0" collapsed="false">
      <c r="A1582" s="19"/>
      <c r="B1582" s="19"/>
      <c r="C1582" s="19"/>
      <c r="D1582" s="19"/>
      <c r="E1582" s="32"/>
      <c r="F1582" s="19"/>
      <c r="G1582" s="26" t="str">
        <f aca="false">IF(A1582="","",COUNTIF(Pubs!$B$2:$B$3001,A1582))</f>
        <v/>
      </c>
      <c r="H1582" s="26" t="str">
        <f aca="false">IF(A1582="","",COUNTIF(Apparitions!$H$2:$H$5001,A1582))</f>
        <v/>
      </c>
      <c r="I1582" s="26" t="str">
        <f aca="false">IF(A1582="","",COUNTIFS(Apparitions!$H$2:$H$5001,A1582,Apparitions!$E$2:$E$5001,"○"))</f>
        <v/>
      </c>
      <c r="J1582" s="29" t="str">
        <f aca="false">IF(A1582="","",IFERROR(1/(1/_xlfn.MINIFS(Apparitions!$L$2:$L$5001,Apparitions!$H$2:$H$5001,A1582)),""))</f>
        <v/>
      </c>
    </row>
    <row r="1583" customFormat="false" ht="15" hidden="false" customHeight="false" outlineLevel="0" collapsed="false">
      <c r="A1583" s="19"/>
      <c r="B1583" s="19"/>
      <c r="C1583" s="19"/>
      <c r="D1583" s="19"/>
      <c r="E1583" s="32"/>
      <c r="F1583" s="19"/>
      <c r="G1583" s="26" t="str">
        <f aca="false">IF(A1583="","",COUNTIF(Pubs!$B$2:$B$3001,A1583))</f>
        <v/>
      </c>
      <c r="H1583" s="26" t="str">
        <f aca="false">IF(A1583="","",COUNTIF(Apparitions!$H$2:$H$5001,A1583))</f>
        <v/>
      </c>
      <c r="I1583" s="26" t="str">
        <f aca="false">IF(A1583="","",COUNTIFS(Apparitions!$H$2:$H$5001,A1583,Apparitions!$E$2:$E$5001,"○"))</f>
        <v/>
      </c>
      <c r="J1583" s="29" t="str">
        <f aca="false">IF(A1583="","",IFERROR(1/(1/_xlfn.MINIFS(Apparitions!$L$2:$L$5001,Apparitions!$H$2:$H$5001,A1583)),""))</f>
        <v/>
      </c>
    </row>
    <row r="1584" customFormat="false" ht="15" hidden="false" customHeight="false" outlineLevel="0" collapsed="false">
      <c r="A1584" s="19"/>
      <c r="B1584" s="19"/>
      <c r="C1584" s="19"/>
      <c r="D1584" s="19"/>
      <c r="E1584" s="32"/>
      <c r="F1584" s="19"/>
      <c r="G1584" s="26" t="str">
        <f aca="false">IF(A1584="","",COUNTIF(Pubs!$B$2:$B$3001,A1584))</f>
        <v/>
      </c>
      <c r="H1584" s="26" t="str">
        <f aca="false">IF(A1584="","",COUNTIF(Apparitions!$H$2:$H$5001,A1584))</f>
        <v/>
      </c>
      <c r="I1584" s="26" t="str">
        <f aca="false">IF(A1584="","",COUNTIFS(Apparitions!$H$2:$H$5001,A1584,Apparitions!$E$2:$E$5001,"○"))</f>
        <v/>
      </c>
      <c r="J1584" s="29" t="str">
        <f aca="false">IF(A1584="","",IFERROR(1/(1/_xlfn.MINIFS(Apparitions!$L$2:$L$5001,Apparitions!$H$2:$H$5001,A1584)),""))</f>
        <v/>
      </c>
    </row>
    <row r="1585" customFormat="false" ht="15" hidden="false" customHeight="false" outlineLevel="0" collapsed="false">
      <c r="A1585" s="19"/>
      <c r="B1585" s="19"/>
      <c r="C1585" s="19"/>
      <c r="D1585" s="19"/>
      <c r="E1585" s="32"/>
      <c r="F1585" s="19"/>
      <c r="G1585" s="26" t="str">
        <f aca="false">IF(A1585="","",COUNTIF(Pubs!$B$2:$B$3001,A1585))</f>
        <v/>
      </c>
      <c r="H1585" s="26" t="str">
        <f aca="false">IF(A1585="","",COUNTIF(Apparitions!$H$2:$H$5001,A1585))</f>
        <v/>
      </c>
      <c r="I1585" s="26" t="str">
        <f aca="false">IF(A1585="","",COUNTIFS(Apparitions!$H$2:$H$5001,A1585,Apparitions!$E$2:$E$5001,"○"))</f>
        <v/>
      </c>
      <c r="J1585" s="29" t="str">
        <f aca="false">IF(A1585="","",IFERROR(1/(1/_xlfn.MINIFS(Apparitions!$L$2:$L$5001,Apparitions!$H$2:$H$5001,A1585)),""))</f>
        <v/>
      </c>
    </row>
    <row r="1586" customFormat="false" ht="15" hidden="false" customHeight="false" outlineLevel="0" collapsed="false">
      <c r="A1586" s="19"/>
      <c r="B1586" s="19"/>
      <c r="C1586" s="19"/>
      <c r="D1586" s="19"/>
      <c r="E1586" s="32"/>
      <c r="F1586" s="19"/>
      <c r="G1586" s="26" t="str">
        <f aca="false">IF(A1586="","",COUNTIF(Pubs!$B$2:$B$3001,A1586))</f>
        <v/>
      </c>
      <c r="H1586" s="26" t="str">
        <f aca="false">IF(A1586="","",COUNTIF(Apparitions!$H$2:$H$5001,A1586))</f>
        <v/>
      </c>
      <c r="I1586" s="26" t="str">
        <f aca="false">IF(A1586="","",COUNTIFS(Apparitions!$H$2:$H$5001,A1586,Apparitions!$E$2:$E$5001,"○"))</f>
        <v/>
      </c>
      <c r="J1586" s="29" t="str">
        <f aca="false">IF(A1586="","",IFERROR(1/(1/_xlfn.MINIFS(Apparitions!$L$2:$L$5001,Apparitions!$H$2:$H$5001,A1586)),""))</f>
        <v/>
      </c>
    </row>
    <row r="1587" customFormat="false" ht="15" hidden="false" customHeight="false" outlineLevel="0" collapsed="false">
      <c r="A1587" s="19"/>
      <c r="B1587" s="19"/>
      <c r="C1587" s="19"/>
      <c r="D1587" s="19"/>
      <c r="E1587" s="32"/>
      <c r="F1587" s="19"/>
      <c r="G1587" s="26" t="str">
        <f aca="false">IF(A1587="","",COUNTIF(Pubs!$B$2:$B$3001,A1587))</f>
        <v/>
      </c>
      <c r="H1587" s="26" t="str">
        <f aca="false">IF(A1587="","",COUNTIF(Apparitions!$H$2:$H$5001,A1587))</f>
        <v/>
      </c>
      <c r="I1587" s="26" t="str">
        <f aca="false">IF(A1587="","",COUNTIFS(Apparitions!$H$2:$H$5001,A1587,Apparitions!$E$2:$E$5001,"○"))</f>
        <v/>
      </c>
      <c r="J1587" s="29" t="str">
        <f aca="false">IF(A1587="","",IFERROR(1/(1/_xlfn.MINIFS(Apparitions!$L$2:$L$5001,Apparitions!$H$2:$H$5001,A1587)),""))</f>
        <v/>
      </c>
    </row>
    <row r="1588" customFormat="false" ht="15" hidden="false" customHeight="false" outlineLevel="0" collapsed="false">
      <c r="A1588" s="19"/>
      <c r="B1588" s="19"/>
      <c r="C1588" s="19"/>
      <c r="D1588" s="19"/>
      <c r="E1588" s="32"/>
      <c r="F1588" s="19"/>
      <c r="G1588" s="26" t="str">
        <f aca="false">IF(A1588="","",COUNTIF(Pubs!$B$2:$B$3001,A1588))</f>
        <v/>
      </c>
      <c r="H1588" s="26" t="str">
        <f aca="false">IF(A1588="","",COUNTIF(Apparitions!$H$2:$H$5001,A1588))</f>
        <v/>
      </c>
      <c r="I1588" s="26" t="str">
        <f aca="false">IF(A1588="","",COUNTIFS(Apparitions!$H$2:$H$5001,A1588,Apparitions!$E$2:$E$5001,"○"))</f>
        <v/>
      </c>
      <c r="J1588" s="29" t="str">
        <f aca="false">IF(A1588="","",IFERROR(1/(1/_xlfn.MINIFS(Apparitions!$L$2:$L$5001,Apparitions!$H$2:$H$5001,A1588)),""))</f>
        <v/>
      </c>
    </row>
    <row r="1589" customFormat="false" ht="15" hidden="false" customHeight="false" outlineLevel="0" collapsed="false">
      <c r="A1589" s="19"/>
      <c r="B1589" s="19"/>
      <c r="C1589" s="19"/>
      <c r="D1589" s="19"/>
      <c r="E1589" s="32"/>
      <c r="F1589" s="19"/>
      <c r="G1589" s="26" t="str">
        <f aca="false">IF(A1589="","",COUNTIF(Pubs!$B$2:$B$3001,A1589))</f>
        <v/>
      </c>
      <c r="H1589" s="26" t="str">
        <f aca="false">IF(A1589="","",COUNTIF(Apparitions!$H$2:$H$5001,A1589))</f>
        <v/>
      </c>
      <c r="I1589" s="26" t="str">
        <f aca="false">IF(A1589="","",COUNTIFS(Apparitions!$H$2:$H$5001,A1589,Apparitions!$E$2:$E$5001,"○"))</f>
        <v/>
      </c>
      <c r="J1589" s="29" t="str">
        <f aca="false">IF(A1589="","",IFERROR(1/(1/_xlfn.MINIFS(Apparitions!$L$2:$L$5001,Apparitions!$H$2:$H$5001,A1589)),""))</f>
        <v/>
      </c>
    </row>
    <row r="1590" customFormat="false" ht="15" hidden="false" customHeight="false" outlineLevel="0" collapsed="false">
      <c r="A1590" s="19"/>
      <c r="B1590" s="19"/>
      <c r="C1590" s="19"/>
      <c r="D1590" s="19"/>
      <c r="E1590" s="32"/>
      <c r="F1590" s="19"/>
      <c r="G1590" s="26" t="str">
        <f aca="false">IF(A1590="","",COUNTIF(Pubs!$B$2:$B$3001,A1590))</f>
        <v/>
      </c>
      <c r="H1590" s="26" t="str">
        <f aca="false">IF(A1590="","",COUNTIF(Apparitions!$H$2:$H$5001,A1590))</f>
        <v/>
      </c>
      <c r="I1590" s="26" t="str">
        <f aca="false">IF(A1590="","",COUNTIFS(Apparitions!$H$2:$H$5001,A1590,Apparitions!$E$2:$E$5001,"○"))</f>
        <v/>
      </c>
      <c r="J1590" s="29" t="str">
        <f aca="false">IF(A1590="","",IFERROR(1/(1/_xlfn.MINIFS(Apparitions!$L$2:$L$5001,Apparitions!$H$2:$H$5001,A1590)),""))</f>
        <v/>
      </c>
    </row>
    <row r="1591" customFormat="false" ht="15" hidden="false" customHeight="false" outlineLevel="0" collapsed="false">
      <c r="A1591" s="19"/>
      <c r="B1591" s="19"/>
      <c r="C1591" s="19"/>
      <c r="D1591" s="19"/>
      <c r="E1591" s="32"/>
      <c r="F1591" s="19"/>
      <c r="G1591" s="26" t="str">
        <f aca="false">IF(A1591="","",COUNTIF(Pubs!$B$2:$B$3001,A1591))</f>
        <v/>
      </c>
      <c r="H1591" s="26" t="str">
        <f aca="false">IF(A1591="","",COUNTIF(Apparitions!$H$2:$H$5001,A1591))</f>
        <v/>
      </c>
      <c r="I1591" s="26" t="str">
        <f aca="false">IF(A1591="","",COUNTIFS(Apparitions!$H$2:$H$5001,A1591,Apparitions!$E$2:$E$5001,"○"))</f>
        <v/>
      </c>
      <c r="J1591" s="29" t="str">
        <f aca="false">IF(A1591="","",IFERROR(1/(1/_xlfn.MINIFS(Apparitions!$L$2:$L$5001,Apparitions!$H$2:$H$5001,A1591)),""))</f>
        <v/>
      </c>
    </row>
    <row r="1592" customFormat="false" ht="15" hidden="false" customHeight="false" outlineLevel="0" collapsed="false">
      <c r="A1592" s="19"/>
      <c r="B1592" s="19"/>
      <c r="C1592" s="19"/>
      <c r="D1592" s="19"/>
      <c r="E1592" s="32"/>
      <c r="F1592" s="19"/>
      <c r="G1592" s="26" t="str">
        <f aca="false">IF(A1592="","",COUNTIF(Pubs!$B$2:$B$3001,A1592))</f>
        <v/>
      </c>
      <c r="H1592" s="26" t="str">
        <f aca="false">IF(A1592="","",COUNTIF(Apparitions!$H$2:$H$5001,A1592))</f>
        <v/>
      </c>
      <c r="I1592" s="26" t="str">
        <f aca="false">IF(A1592="","",COUNTIFS(Apparitions!$H$2:$H$5001,A1592,Apparitions!$E$2:$E$5001,"○"))</f>
        <v/>
      </c>
      <c r="J1592" s="29" t="str">
        <f aca="false">IF(A1592="","",IFERROR(1/(1/_xlfn.MINIFS(Apparitions!$L$2:$L$5001,Apparitions!$H$2:$H$5001,A1592)),""))</f>
        <v/>
      </c>
    </row>
    <row r="1593" customFormat="false" ht="15" hidden="false" customHeight="false" outlineLevel="0" collapsed="false">
      <c r="A1593" s="19"/>
      <c r="B1593" s="19"/>
      <c r="C1593" s="19"/>
      <c r="D1593" s="19"/>
      <c r="E1593" s="32"/>
      <c r="F1593" s="19"/>
      <c r="G1593" s="26" t="str">
        <f aca="false">IF(A1593="","",COUNTIF(Pubs!$B$2:$B$3001,A1593))</f>
        <v/>
      </c>
      <c r="H1593" s="26" t="str">
        <f aca="false">IF(A1593="","",COUNTIF(Apparitions!$H$2:$H$5001,A1593))</f>
        <v/>
      </c>
      <c r="I1593" s="26" t="str">
        <f aca="false">IF(A1593="","",COUNTIFS(Apparitions!$H$2:$H$5001,A1593,Apparitions!$E$2:$E$5001,"○"))</f>
        <v/>
      </c>
      <c r="J1593" s="29" t="str">
        <f aca="false">IF(A1593="","",IFERROR(1/(1/_xlfn.MINIFS(Apparitions!$L$2:$L$5001,Apparitions!$H$2:$H$5001,A1593)),""))</f>
        <v/>
      </c>
    </row>
    <row r="1594" customFormat="false" ht="15" hidden="false" customHeight="false" outlineLevel="0" collapsed="false">
      <c r="A1594" s="19"/>
      <c r="B1594" s="19"/>
      <c r="C1594" s="19"/>
      <c r="D1594" s="19"/>
      <c r="E1594" s="32"/>
      <c r="F1594" s="19"/>
      <c r="G1594" s="26" t="str">
        <f aca="false">IF(A1594="","",COUNTIF(Pubs!$B$2:$B$3001,A1594))</f>
        <v/>
      </c>
      <c r="H1594" s="26" t="str">
        <f aca="false">IF(A1594="","",COUNTIF(Apparitions!$H$2:$H$5001,A1594))</f>
        <v/>
      </c>
      <c r="I1594" s="26" t="str">
        <f aca="false">IF(A1594="","",COUNTIFS(Apparitions!$H$2:$H$5001,A1594,Apparitions!$E$2:$E$5001,"○"))</f>
        <v/>
      </c>
      <c r="J1594" s="29" t="str">
        <f aca="false">IF(A1594="","",IFERROR(1/(1/_xlfn.MINIFS(Apparitions!$L$2:$L$5001,Apparitions!$H$2:$H$5001,A1594)),""))</f>
        <v/>
      </c>
    </row>
    <row r="1595" customFormat="false" ht="15" hidden="false" customHeight="false" outlineLevel="0" collapsed="false">
      <c r="A1595" s="19"/>
      <c r="B1595" s="19"/>
      <c r="C1595" s="19"/>
      <c r="D1595" s="19"/>
      <c r="E1595" s="32"/>
      <c r="F1595" s="19"/>
      <c r="G1595" s="26" t="str">
        <f aca="false">IF(A1595="","",COUNTIF(Pubs!$B$2:$B$3001,A1595))</f>
        <v/>
      </c>
      <c r="H1595" s="26" t="str">
        <f aca="false">IF(A1595="","",COUNTIF(Apparitions!$H$2:$H$5001,A1595))</f>
        <v/>
      </c>
      <c r="I1595" s="26" t="str">
        <f aca="false">IF(A1595="","",COUNTIFS(Apparitions!$H$2:$H$5001,A1595,Apparitions!$E$2:$E$5001,"○"))</f>
        <v/>
      </c>
      <c r="J1595" s="29" t="str">
        <f aca="false">IF(A1595="","",IFERROR(1/(1/_xlfn.MINIFS(Apparitions!$L$2:$L$5001,Apparitions!$H$2:$H$5001,A1595)),""))</f>
        <v/>
      </c>
    </row>
    <row r="1596" customFormat="false" ht="15" hidden="false" customHeight="false" outlineLevel="0" collapsed="false">
      <c r="A1596" s="19"/>
      <c r="B1596" s="19"/>
      <c r="C1596" s="19"/>
      <c r="D1596" s="19"/>
      <c r="E1596" s="32"/>
      <c r="F1596" s="19"/>
      <c r="G1596" s="26" t="str">
        <f aca="false">IF(A1596="","",COUNTIF(Pubs!$B$2:$B$3001,A1596))</f>
        <v/>
      </c>
      <c r="H1596" s="26" t="str">
        <f aca="false">IF(A1596="","",COUNTIF(Apparitions!$H$2:$H$5001,A1596))</f>
        <v/>
      </c>
      <c r="I1596" s="26" t="str">
        <f aca="false">IF(A1596="","",COUNTIFS(Apparitions!$H$2:$H$5001,A1596,Apparitions!$E$2:$E$5001,"○"))</f>
        <v/>
      </c>
      <c r="J1596" s="29" t="str">
        <f aca="false">IF(A1596="","",IFERROR(1/(1/_xlfn.MINIFS(Apparitions!$L$2:$L$5001,Apparitions!$H$2:$H$5001,A1596)),""))</f>
        <v/>
      </c>
    </row>
    <row r="1597" customFormat="false" ht="15" hidden="false" customHeight="false" outlineLevel="0" collapsed="false">
      <c r="A1597" s="19"/>
      <c r="B1597" s="19"/>
      <c r="C1597" s="19"/>
      <c r="D1597" s="19"/>
      <c r="E1597" s="32"/>
      <c r="F1597" s="19"/>
      <c r="G1597" s="26" t="str">
        <f aca="false">IF(A1597="","",COUNTIF(Pubs!$B$2:$B$3001,A1597))</f>
        <v/>
      </c>
      <c r="H1597" s="26" t="str">
        <f aca="false">IF(A1597="","",COUNTIF(Apparitions!$H$2:$H$5001,A1597))</f>
        <v/>
      </c>
      <c r="I1597" s="26" t="str">
        <f aca="false">IF(A1597="","",COUNTIFS(Apparitions!$H$2:$H$5001,A1597,Apparitions!$E$2:$E$5001,"○"))</f>
        <v/>
      </c>
      <c r="J1597" s="29" t="str">
        <f aca="false">IF(A1597="","",IFERROR(1/(1/_xlfn.MINIFS(Apparitions!$L$2:$L$5001,Apparitions!$H$2:$H$5001,A1597)),""))</f>
        <v/>
      </c>
    </row>
    <row r="1598" customFormat="false" ht="15" hidden="false" customHeight="false" outlineLevel="0" collapsed="false">
      <c r="A1598" s="19"/>
      <c r="B1598" s="19"/>
      <c r="C1598" s="19"/>
      <c r="D1598" s="19"/>
      <c r="E1598" s="32"/>
      <c r="F1598" s="19"/>
      <c r="G1598" s="26" t="str">
        <f aca="false">IF(A1598="","",COUNTIF(Pubs!$B$2:$B$3001,A1598))</f>
        <v/>
      </c>
      <c r="H1598" s="26" t="str">
        <f aca="false">IF(A1598="","",COUNTIF(Apparitions!$H$2:$H$5001,A1598))</f>
        <v/>
      </c>
      <c r="I1598" s="26" t="str">
        <f aca="false">IF(A1598="","",COUNTIFS(Apparitions!$H$2:$H$5001,A1598,Apparitions!$E$2:$E$5001,"○"))</f>
        <v/>
      </c>
      <c r="J1598" s="29" t="str">
        <f aca="false">IF(A1598="","",IFERROR(1/(1/_xlfn.MINIFS(Apparitions!$L$2:$L$5001,Apparitions!$H$2:$H$5001,A1598)),""))</f>
        <v/>
      </c>
    </row>
    <row r="1599" customFormat="false" ht="15" hidden="false" customHeight="false" outlineLevel="0" collapsed="false">
      <c r="A1599" s="19"/>
      <c r="B1599" s="19"/>
      <c r="C1599" s="19"/>
      <c r="D1599" s="19"/>
      <c r="E1599" s="32"/>
      <c r="F1599" s="19"/>
      <c r="G1599" s="26" t="str">
        <f aca="false">IF(A1599="","",COUNTIF(Pubs!$B$2:$B$3001,A1599))</f>
        <v/>
      </c>
      <c r="H1599" s="26" t="str">
        <f aca="false">IF(A1599="","",COUNTIF(Apparitions!$H$2:$H$5001,A1599))</f>
        <v/>
      </c>
      <c r="I1599" s="26" t="str">
        <f aca="false">IF(A1599="","",COUNTIFS(Apparitions!$H$2:$H$5001,A1599,Apparitions!$E$2:$E$5001,"○"))</f>
        <v/>
      </c>
      <c r="J1599" s="29" t="str">
        <f aca="false">IF(A1599="","",IFERROR(1/(1/_xlfn.MINIFS(Apparitions!$L$2:$L$5001,Apparitions!$H$2:$H$5001,A1599)),""))</f>
        <v/>
      </c>
    </row>
    <row r="1600" customFormat="false" ht="15" hidden="false" customHeight="false" outlineLevel="0" collapsed="false">
      <c r="A1600" s="19"/>
      <c r="B1600" s="19"/>
      <c r="C1600" s="19"/>
      <c r="D1600" s="19"/>
      <c r="E1600" s="32"/>
      <c r="F1600" s="19"/>
      <c r="G1600" s="26" t="str">
        <f aca="false">IF(A1600="","",COUNTIF(Pubs!$B$2:$B$3001,A1600))</f>
        <v/>
      </c>
      <c r="H1600" s="26" t="str">
        <f aca="false">IF(A1600="","",COUNTIF(Apparitions!$H$2:$H$5001,A1600))</f>
        <v/>
      </c>
      <c r="I1600" s="26" t="str">
        <f aca="false">IF(A1600="","",COUNTIFS(Apparitions!$H$2:$H$5001,A1600,Apparitions!$E$2:$E$5001,"○"))</f>
        <v/>
      </c>
      <c r="J1600" s="29" t="str">
        <f aca="false">IF(A1600="","",IFERROR(1/(1/_xlfn.MINIFS(Apparitions!$L$2:$L$5001,Apparitions!$H$2:$H$5001,A1600)),""))</f>
        <v/>
      </c>
    </row>
    <row r="1601" customFormat="false" ht="15" hidden="false" customHeight="false" outlineLevel="0" collapsed="false">
      <c r="A1601" s="19"/>
      <c r="B1601" s="19"/>
      <c r="C1601" s="19"/>
      <c r="D1601" s="19"/>
      <c r="E1601" s="32"/>
      <c r="F1601" s="19"/>
      <c r="G1601" s="26" t="str">
        <f aca="false">IF(A1601="","",COUNTIF(Pubs!$B$2:$B$3001,A1601))</f>
        <v/>
      </c>
      <c r="H1601" s="26" t="str">
        <f aca="false">IF(A1601="","",COUNTIF(Apparitions!$H$2:$H$5001,A1601))</f>
        <v/>
      </c>
      <c r="I1601" s="26" t="str">
        <f aca="false">IF(A1601="","",COUNTIFS(Apparitions!$H$2:$H$5001,A1601,Apparitions!$E$2:$E$5001,"○"))</f>
        <v/>
      </c>
      <c r="J1601" s="29" t="str">
        <f aca="false">IF(A1601="","",IFERROR(1/(1/_xlfn.MINIFS(Apparitions!$L$2:$L$5001,Apparitions!$H$2:$H$5001,A1601)),""))</f>
        <v/>
      </c>
    </row>
    <row r="1602" customFormat="false" ht="15" hidden="false" customHeight="false" outlineLevel="0" collapsed="false">
      <c r="A1602" s="19"/>
      <c r="B1602" s="19"/>
      <c r="C1602" s="19"/>
      <c r="D1602" s="19"/>
      <c r="E1602" s="32"/>
      <c r="F1602" s="19"/>
      <c r="G1602" s="26" t="str">
        <f aca="false">IF(A1602="","",COUNTIF(Pubs!$B$2:$B$3001,A1602))</f>
        <v/>
      </c>
      <c r="H1602" s="26" t="str">
        <f aca="false">IF(A1602="","",COUNTIF(Apparitions!$H$2:$H$5001,A1602))</f>
        <v/>
      </c>
      <c r="I1602" s="26" t="str">
        <f aca="false">IF(A1602="","",COUNTIFS(Apparitions!$H$2:$H$5001,A1602,Apparitions!$E$2:$E$5001,"○"))</f>
        <v/>
      </c>
      <c r="J1602" s="29" t="str">
        <f aca="false">IF(A1602="","",IFERROR(1/(1/_xlfn.MINIFS(Apparitions!$L$2:$L$5001,Apparitions!$H$2:$H$5001,A1602)),""))</f>
        <v/>
      </c>
    </row>
    <row r="1603" customFormat="false" ht="15" hidden="false" customHeight="false" outlineLevel="0" collapsed="false">
      <c r="A1603" s="19"/>
      <c r="B1603" s="19"/>
      <c r="C1603" s="19"/>
      <c r="D1603" s="19"/>
      <c r="E1603" s="32"/>
      <c r="F1603" s="19"/>
      <c r="G1603" s="26" t="str">
        <f aca="false">IF(A1603="","",COUNTIF(Pubs!$B$2:$B$3001,A1603))</f>
        <v/>
      </c>
      <c r="H1603" s="26" t="str">
        <f aca="false">IF(A1603="","",COUNTIF(Apparitions!$H$2:$H$5001,A1603))</f>
        <v/>
      </c>
      <c r="I1603" s="26" t="str">
        <f aca="false">IF(A1603="","",COUNTIFS(Apparitions!$H$2:$H$5001,A1603,Apparitions!$E$2:$E$5001,"○"))</f>
        <v/>
      </c>
      <c r="J1603" s="29" t="str">
        <f aca="false">IF(A1603="","",IFERROR(1/(1/_xlfn.MINIFS(Apparitions!$L$2:$L$5001,Apparitions!$H$2:$H$5001,A1603)),""))</f>
        <v/>
      </c>
    </row>
    <row r="1604" customFormat="false" ht="15" hidden="false" customHeight="false" outlineLevel="0" collapsed="false">
      <c r="A1604" s="19"/>
      <c r="B1604" s="19"/>
      <c r="C1604" s="19"/>
      <c r="D1604" s="19"/>
      <c r="E1604" s="32"/>
      <c r="F1604" s="19"/>
      <c r="G1604" s="26" t="str">
        <f aca="false">IF(A1604="","",COUNTIF(Pubs!$B$2:$B$3001,A1604))</f>
        <v/>
      </c>
      <c r="H1604" s="26" t="str">
        <f aca="false">IF(A1604="","",COUNTIF(Apparitions!$H$2:$H$5001,A1604))</f>
        <v/>
      </c>
      <c r="I1604" s="26" t="str">
        <f aca="false">IF(A1604="","",COUNTIFS(Apparitions!$H$2:$H$5001,A1604,Apparitions!$E$2:$E$5001,"○"))</f>
        <v/>
      </c>
      <c r="J1604" s="29" t="str">
        <f aca="false">IF(A1604="","",IFERROR(1/(1/_xlfn.MINIFS(Apparitions!$L$2:$L$5001,Apparitions!$H$2:$H$5001,A1604)),""))</f>
        <v/>
      </c>
    </row>
    <row r="1605" customFormat="false" ht="15" hidden="false" customHeight="false" outlineLevel="0" collapsed="false">
      <c r="A1605" s="19"/>
      <c r="B1605" s="19"/>
      <c r="C1605" s="19"/>
      <c r="D1605" s="19"/>
      <c r="E1605" s="32"/>
      <c r="F1605" s="19"/>
      <c r="G1605" s="26" t="str">
        <f aca="false">IF(A1605="","",COUNTIF(Pubs!$B$2:$B$3001,A1605))</f>
        <v/>
      </c>
      <c r="H1605" s="26" t="str">
        <f aca="false">IF(A1605="","",COUNTIF(Apparitions!$H$2:$H$5001,A1605))</f>
        <v/>
      </c>
      <c r="I1605" s="26" t="str">
        <f aca="false">IF(A1605="","",COUNTIFS(Apparitions!$H$2:$H$5001,A1605,Apparitions!$E$2:$E$5001,"○"))</f>
        <v/>
      </c>
      <c r="J1605" s="29" t="str">
        <f aca="false">IF(A1605="","",IFERROR(1/(1/_xlfn.MINIFS(Apparitions!$L$2:$L$5001,Apparitions!$H$2:$H$5001,A1605)),""))</f>
        <v/>
      </c>
    </row>
    <row r="1606" customFormat="false" ht="15" hidden="false" customHeight="false" outlineLevel="0" collapsed="false">
      <c r="A1606" s="19"/>
      <c r="B1606" s="19"/>
      <c r="C1606" s="19"/>
      <c r="D1606" s="19"/>
      <c r="E1606" s="32"/>
      <c r="F1606" s="19"/>
      <c r="G1606" s="26" t="str">
        <f aca="false">IF(A1606="","",COUNTIF(Pubs!$B$2:$B$3001,A1606))</f>
        <v/>
      </c>
      <c r="H1606" s="26" t="str">
        <f aca="false">IF(A1606="","",COUNTIF(Apparitions!$H$2:$H$5001,A1606))</f>
        <v/>
      </c>
      <c r="I1606" s="26" t="str">
        <f aca="false">IF(A1606="","",COUNTIFS(Apparitions!$H$2:$H$5001,A1606,Apparitions!$E$2:$E$5001,"○"))</f>
        <v/>
      </c>
      <c r="J1606" s="29" t="str">
        <f aca="false">IF(A1606="","",IFERROR(1/(1/_xlfn.MINIFS(Apparitions!$L$2:$L$5001,Apparitions!$H$2:$H$5001,A1606)),""))</f>
        <v/>
      </c>
    </row>
    <row r="1607" customFormat="false" ht="15" hidden="false" customHeight="false" outlineLevel="0" collapsed="false">
      <c r="A1607" s="19"/>
      <c r="B1607" s="19"/>
      <c r="C1607" s="19"/>
      <c r="D1607" s="19"/>
      <c r="E1607" s="32"/>
      <c r="F1607" s="19"/>
      <c r="G1607" s="26" t="str">
        <f aca="false">IF(A1607="","",COUNTIF(Pubs!$B$2:$B$3001,A1607))</f>
        <v/>
      </c>
      <c r="H1607" s="26" t="str">
        <f aca="false">IF(A1607="","",COUNTIF(Apparitions!$H$2:$H$5001,A1607))</f>
        <v/>
      </c>
      <c r="I1607" s="26" t="str">
        <f aca="false">IF(A1607="","",COUNTIFS(Apparitions!$H$2:$H$5001,A1607,Apparitions!$E$2:$E$5001,"○"))</f>
        <v/>
      </c>
      <c r="J1607" s="29" t="str">
        <f aca="false">IF(A1607="","",IFERROR(1/(1/_xlfn.MINIFS(Apparitions!$L$2:$L$5001,Apparitions!$H$2:$H$5001,A1607)),""))</f>
        <v/>
      </c>
    </row>
    <row r="1608" customFormat="false" ht="15" hidden="false" customHeight="false" outlineLevel="0" collapsed="false">
      <c r="A1608" s="19"/>
      <c r="B1608" s="19"/>
      <c r="C1608" s="19"/>
      <c r="D1608" s="19"/>
      <c r="E1608" s="32"/>
      <c r="F1608" s="19"/>
      <c r="G1608" s="26" t="str">
        <f aca="false">IF(A1608="","",COUNTIF(Pubs!$B$2:$B$3001,A1608))</f>
        <v/>
      </c>
      <c r="H1608" s="26" t="str">
        <f aca="false">IF(A1608="","",COUNTIF(Apparitions!$H$2:$H$5001,A1608))</f>
        <v/>
      </c>
      <c r="I1608" s="26" t="str">
        <f aca="false">IF(A1608="","",COUNTIFS(Apparitions!$H$2:$H$5001,A1608,Apparitions!$E$2:$E$5001,"○"))</f>
        <v/>
      </c>
      <c r="J1608" s="29" t="str">
        <f aca="false">IF(A1608="","",IFERROR(1/(1/_xlfn.MINIFS(Apparitions!$L$2:$L$5001,Apparitions!$H$2:$H$5001,A1608)),""))</f>
        <v/>
      </c>
    </row>
    <row r="1609" customFormat="false" ht="15" hidden="false" customHeight="false" outlineLevel="0" collapsed="false">
      <c r="A1609" s="19"/>
      <c r="B1609" s="19"/>
      <c r="C1609" s="19"/>
      <c r="D1609" s="19"/>
      <c r="E1609" s="32"/>
      <c r="F1609" s="19"/>
      <c r="G1609" s="26" t="str">
        <f aca="false">IF(A1609="","",COUNTIF(Pubs!$B$2:$B$3001,A1609))</f>
        <v/>
      </c>
      <c r="H1609" s="26" t="str">
        <f aca="false">IF(A1609="","",COUNTIF(Apparitions!$H$2:$H$5001,A1609))</f>
        <v/>
      </c>
      <c r="I1609" s="26" t="str">
        <f aca="false">IF(A1609="","",COUNTIFS(Apparitions!$H$2:$H$5001,A1609,Apparitions!$E$2:$E$5001,"○"))</f>
        <v/>
      </c>
      <c r="J1609" s="29" t="str">
        <f aca="false">IF(A1609="","",IFERROR(1/(1/_xlfn.MINIFS(Apparitions!$L$2:$L$5001,Apparitions!$H$2:$H$5001,A1609)),""))</f>
        <v/>
      </c>
    </row>
    <row r="1610" customFormat="false" ht="15" hidden="false" customHeight="false" outlineLevel="0" collapsed="false">
      <c r="A1610" s="19"/>
      <c r="B1610" s="19"/>
      <c r="C1610" s="19"/>
      <c r="D1610" s="19"/>
      <c r="E1610" s="32"/>
      <c r="F1610" s="19"/>
      <c r="G1610" s="26" t="str">
        <f aca="false">IF(A1610="","",COUNTIF(Pubs!$B$2:$B$3001,A1610))</f>
        <v/>
      </c>
      <c r="H1610" s="26" t="str">
        <f aca="false">IF(A1610="","",COUNTIF(Apparitions!$H$2:$H$5001,A1610))</f>
        <v/>
      </c>
      <c r="I1610" s="26" t="str">
        <f aca="false">IF(A1610="","",COUNTIFS(Apparitions!$H$2:$H$5001,A1610,Apparitions!$E$2:$E$5001,"○"))</f>
        <v/>
      </c>
      <c r="J1610" s="29" t="str">
        <f aca="false">IF(A1610="","",IFERROR(1/(1/_xlfn.MINIFS(Apparitions!$L$2:$L$5001,Apparitions!$H$2:$H$5001,A1610)),""))</f>
        <v/>
      </c>
    </row>
    <row r="1611" customFormat="false" ht="15" hidden="false" customHeight="false" outlineLevel="0" collapsed="false">
      <c r="A1611" s="19"/>
      <c r="B1611" s="19"/>
      <c r="C1611" s="19"/>
      <c r="D1611" s="19"/>
      <c r="E1611" s="32"/>
      <c r="F1611" s="19"/>
      <c r="G1611" s="26" t="str">
        <f aca="false">IF(A1611="","",COUNTIF(Pubs!$B$2:$B$3001,A1611))</f>
        <v/>
      </c>
      <c r="H1611" s="26" t="str">
        <f aca="false">IF(A1611="","",COUNTIF(Apparitions!$H$2:$H$5001,A1611))</f>
        <v/>
      </c>
      <c r="I1611" s="26" t="str">
        <f aca="false">IF(A1611="","",COUNTIFS(Apparitions!$H$2:$H$5001,A1611,Apparitions!$E$2:$E$5001,"○"))</f>
        <v/>
      </c>
      <c r="J1611" s="29" t="str">
        <f aca="false">IF(A1611="","",IFERROR(1/(1/_xlfn.MINIFS(Apparitions!$L$2:$L$5001,Apparitions!$H$2:$H$5001,A1611)),""))</f>
        <v/>
      </c>
    </row>
    <row r="1612" customFormat="false" ht="15" hidden="false" customHeight="false" outlineLevel="0" collapsed="false">
      <c r="A1612" s="19"/>
      <c r="B1612" s="19"/>
      <c r="C1612" s="19"/>
      <c r="D1612" s="19"/>
      <c r="E1612" s="32"/>
      <c r="F1612" s="19"/>
      <c r="G1612" s="26" t="str">
        <f aca="false">IF(A1612="","",COUNTIF(Pubs!$B$2:$B$3001,A1612))</f>
        <v/>
      </c>
      <c r="H1612" s="26" t="str">
        <f aca="false">IF(A1612="","",COUNTIF(Apparitions!$H$2:$H$5001,A1612))</f>
        <v/>
      </c>
      <c r="I1612" s="26" t="str">
        <f aca="false">IF(A1612="","",COUNTIFS(Apparitions!$H$2:$H$5001,A1612,Apparitions!$E$2:$E$5001,"○"))</f>
        <v/>
      </c>
      <c r="J1612" s="29" t="str">
        <f aca="false">IF(A1612="","",IFERROR(1/(1/_xlfn.MINIFS(Apparitions!$L$2:$L$5001,Apparitions!$H$2:$H$5001,A1612)),""))</f>
        <v/>
      </c>
    </row>
    <row r="1613" customFormat="false" ht="15" hidden="false" customHeight="false" outlineLevel="0" collapsed="false">
      <c r="A1613" s="19"/>
      <c r="B1613" s="19"/>
      <c r="C1613" s="19"/>
      <c r="D1613" s="19"/>
      <c r="E1613" s="32"/>
      <c r="F1613" s="19"/>
      <c r="G1613" s="26" t="str">
        <f aca="false">IF(A1613="","",COUNTIF(Pubs!$B$2:$B$3001,A1613))</f>
        <v/>
      </c>
      <c r="H1613" s="26" t="str">
        <f aca="false">IF(A1613="","",COUNTIF(Apparitions!$H$2:$H$5001,A1613))</f>
        <v/>
      </c>
      <c r="I1613" s="26" t="str">
        <f aca="false">IF(A1613="","",COUNTIFS(Apparitions!$H$2:$H$5001,A1613,Apparitions!$E$2:$E$5001,"○"))</f>
        <v/>
      </c>
      <c r="J1613" s="29" t="str">
        <f aca="false">IF(A1613="","",IFERROR(1/(1/_xlfn.MINIFS(Apparitions!$L$2:$L$5001,Apparitions!$H$2:$H$5001,A1613)),""))</f>
        <v/>
      </c>
    </row>
    <row r="1614" customFormat="false" ht="15" hidden="false" customHeight="false" outlineLevel="0" collapsed="false">
      <c r="A1614" s="19"/>
      <c r="B1614" s="19"/>
      <c r="C1614" s="19"/>
      <c r="D1614" s="19"/>
      <c r="E1614" s="32"/>
      <c r="F1614" s="19"/>
      <c r="G1614" s="26" t="str">
        <f aca="false">IF(A1614="","",COUNTIF(Pubs!$B$2:$B$3001,A1614))</f>
        <v/>
      </c>
      <c r="H1614" s="26" t="str">
        <f aca="false">IF(A1614="","",COUNTIF(Apparitions!$H$2:$H$5001,A1614))</f>
        <v/>
      </c>
      <c r="I1614" s="26" t="str">
        <f aca="false">IF(A1614="","",COUNTIFS(Apparitions!$H$2:$H$5001,A1614,Apparitions!$E$2:$E$5001,"○"))</f>
        <v/>
      </c>
      <c r="J1614" s="29" t="str">
        <f aca="false">IF(A1614="","",IFERROR(1/(1/_xlfn.MINIFS(Apparitions!$L$2:$L$5001,Apparitions!$H$2:$H$5001,A1614)),""))</f>
        <v/>
      </c>
    </row>
    <row r="1615" customFormat="false" ht="15" hidden="false" customHeight="false" outlineLevel="0" collapsed="false">
      <c r="A1615" s="19"/>
      <c r="B1615" s="19"/>
      <c r="C1615" s="19"/>
      <c r="D1615" s="19"/>
      <c r="E1615" s="32"/>
      <c r="F1615" s="19"/>
      <c r="G1615" s="26" t="str">
        <f aca="false">IF(A1615="","",COUNTIF(Pubs!$B$2:$B$3001,A1615))</f>
        <v/>
      </c>
      <c r="H1615" s="26" t="str">
        <f aca="false">IF(A1615="","",COUNTIF(Apparitions!$H$2:$H$5001,A1615))</f>
        <v/>
      </c>
      <c r="I1615" s="26" t="str">
        <f aca="false">IF(A1615="","",COUNTIFS(Apparitions!$H$2:$H$5001,A1615,Apparitions!$E$2:$E$5001,"○"))</f>
        <v/>
      </c>
      <c r="J1615" s="29" t="str">
        <f aca="false">IF(A1615="","",IFERROR(1/(1/_xlfn.MINIFS(Apparitions!$L$2:$L$5001,Apparitions!$H$2:$H$5001,A1615)),""))</f>
        <v/>
      </c>
    </row>
    <row r="1616" customFormat="false" ht="15" hidden="false" customHeight="false" outlineLevel="0" collapsed="false">
      <c r="A1616" s="19"/>
      <c r="B1616" s="19"/>
      <c r="C1616" s="19"/>
      <c r="D1616" s="19"/>
      <c r="E1616" s="32"/>
      <c r="F1616" s="19"/>
      <c r="G1616" s="26" t="str">
        <f aca="false">IF(A1616="","",COUNTIF(Pubs!$B$2:$B$3001,A1616))</f>
        <v/>
      </c>
      <c r="H1616" s="26" t="str">
        <f aca="false">IF(A1616="","",COUNTIF(Apparitions!$H$2:$H$5001,A1616))</f>
        <v/>
      </c>
      <c r="I1616" s="26" t="str">
        <f aca="false">IF(A1616="","",COUNTIFS(Apparitions!$H$2:$H$5001,A1616,Apparitions!$E$2:$E$5001,"○"))</f>
        <v/>
      </c>
      <c r="J1616" s="29" t="str">
        <f aca="false">IF(A1616="","",IFERROR(1/(1/_xlfn.MINIFS(Apparitions!$L$2:$L$5001,Apparitions!$H$2:$H$5001,A1616)),""))</f>
        <v/>
      </c>
    </row>
    <row r="1617" customFormat="false" ht="15" hidden="false" customHeight="false" outlineLevel="0" collapsed="false">
      <c r="A1617" s="19"/>
      <c r="B1617" s="19"/>
      <c r="C1617" s="19"/>
      <c r="D1617" s="19"/>
      <c r="E1617" s="32"/>
      <c r="F1617" s="19"/>
      <c r="G1617" s="26" t="str">
        <f aca="false">IF(A1617="","",COUNTIF(Pubs!$B$2:$B$3001,A1617))</f>
        <v/>
      </c>
      <c r="H1617" s="26" t="str">
        <f aca="false">IF(A1617="","",COUNTIF(Apparitions!$H$2:$H$5001,A1617))</f>
        <v/>
      </c>
      <c r="I1617" s="26" t="str">
        <f aca="false">IF(A1617="","",COUNTIFS(Apparitions!$H$2:$H$5001,A1617,Apparitions!$E$2:$E$5001,"○"))</f>
        <v/>
      </c>
      <c r="J1617" s="29" t="str">
        <f aca="false">IF(A1617="","",IFERROR(1/(1/_xlfn.MINIFS(Apparitions!$L$2:$L$5001,Apparitions!$H$2:$H$5001,A1617)),""))</f>
        <v/>
      </c>
    </row>
    <row r="1618" customFormat="false" ht="15" hidden="false" customHeight="false" outlineLevel="0" collapsed="false">
      <c r="A1618" s="19"/>
      <c r="B1618" s="19"/>
      <c r="C1618" s="19"/>
      <c r="D1618" s="19"/>
      <c r="E1618" s="32"/>
      <c r="F1618" s="19"/>
      <c r="G1618" s="26" t="str">
        <f aca="false">IF(A1618="","",COUNTIF(Pubs!$B$2:$B$3001,A1618))</f>
        <v/>
      </c>
      <c r="H1618" s="26" t="str">
        <f aca="false">IF(A1618="","",COUNTIF(Apparitions!$H$2:$H$5001,A1618))</f>
        <v/>
      </c>
      <c r="I1618" s="26" t="str">
        <f aca="false">IF(A1618="","",COUNTIFS(Apparitions!$H$2:$H$5001,A1618,Apparitions!$E$2:$E$5001,"○"))</f>
        <v/>
      </c>
      <c r="J1618" s="29" t="str">
        <f aca="false">IF(A1618="","",IFERROR(1/(1/_xlfn.MINIFS(Apparitions!$L$2:$L$5001,Apparitions!$H$2:$H$5001,A1618)),""))</f>
        <v/>
      </c>
    </row>
    <row r="1619" customFormat="false" ht="15" hidden="false" customHeight="false" outlineLevel="0" collapsed="false">
      <c r="A1619" s="19"/>
      <c r="B1619" s="19"/>
      <c r="C1619" s="19"/>
      <c r="D1619" s="19"/>
      <c r="E1619" s="32"/>
      <c r="F1619" s="19"/>
      <c r="G1619" s="26" t="str">
        <f aca="false">IF(A1619="","",COUNTIF(Pubs!$B$2:$B$3001,A1619))</f>
        <v/>
      </c>
      <c r="H1619" s="26" t="str">
        <f aca="false">IF(A1619="","",COUNTIF(Apparitions!$H$2:$H$5001,A1619))</f>
        <v/>
      </c>
      <c r="I1619" s="26" t="str">
        <f aca="false">IF(A1619="","",COUNTIFS(Apparitions!$H$2:$H$5001,A1619,Apparitions!$E$2:$E$5001,"○"))</f>
        <v/>
      </c>
      <c r="J1619" s="29" t="str">
        <f aca="false">IF(A1619="","",IFERROR(1/(1/_xlfn.MINIFS(Apparitions!$L$2:$L$5001,Apparitions!$H$2:$H$5001,A1619)),""))</f>
        <v/>
      </c>
    </row>
    <row r="1620" customFormat="false" ht="15" hidden="false" customHeight="false" outlineLevel="0" collapsed="false">
      <c r="A1620" s="19"/>
      <c r="B1620" s="19"/>
      <c r="C1620" s="19"/>
      <c r="D1620" s="19"/>
      <c r="E1620" s="32"/>
      <c r="F1620" s="19"/>
      <c r="G1620" s="26" t="str">
        <f aca="false">IF(A1620="","",COUNTIF(Pubs!$B$2:$B$3001,A1620))</f>
        <v/>
      </c>
      <c r="H1620" s="26" t="str">
        <f aca="false">IF(A1620="","",COUNTIF(Apparitions!$H$2:$H$5001,A1620))</f>
        <v/>
      </c>
      <c r="I1620" s="26" t="str">
        <f aca="false">IF(A1620="","",COUNTIFS(Apparitions!$H$2:$H$5001,A1620,Apparitions!$E$2:$E$5001,"○"))</f>
        <v/>
      </c>
      <c r="J1620" s="29" t="str">
        <f aca="false">IF(A1620="","",IFERROR(1/(1/_xlfn.MINIFS(Apparitions!$L$2:$L$5001,Apparitions!$H$2:$H$5001,A1620)),""))</f>
        <v/>
      </c>
    </row>
    <row r="1621" customFormat="false" ht="15" hidden="false" customHeight="false" outlineLevel="0" collapsed="false">
      <c r="A1621" s="19"/>
      <c r="B1621" s="19"/>
      <c r="C1621" s="19"/>
      <c r="D1621" s="19"/>
      <c r="E1621" s="32"/>
      <c r="F1621" s="19"/>
      <c r="G1621" s="26" t="str">
        <f aca="false">IF(A1621="","",COUNTIF(Pubs!$B$2:$B$3001,A1621))</f>
        <v/>
      </c>
      <c r="H1621" s="26" t="str">
        <f aca="false">IF(A1621="","",COUNTIF(Apparitions!$H$2:$H$5001,A1621))</f>
        <v/>
      </c>
      <c r="I1621" s="26" t="str">
        <f aca="false">IF(A1621="","",COUNTIFS(Apparitions!$H$2:$H$5001,A1621,Apparitions!$E$2:$E$5001,"○"))</f>
        <v/>
      </c>
      <c r="J1621" s="29" t="str">
        <f aca="false">IF(A1621="","",IFERROR(1/(1/_xlfn.MINIFS(Apparitions!$L$2:$L$5001,Apparitions!$H$2:$H$5001,A1621)),""))</f>
        <v/>
      </c>
    </row>
    <row r="1622" customFormat="false" ht="15" hidden="false" customHeight="false" outlineLevel="0" collapsed="false">
      <c r="A1622" s="19"/>
      <c r="B1622" s="19"/>
      <c r="C1622" s="19"/>
      <c r="D1622" s="19"/>
      <c r="E1622" s="32"/>
      <c r="F1622" s="19"/>
      <c r="G1622" s="26" t="str">
        <f aca="false">IF(A1622="","",COUNTIF(Pubs!$B$2:$B$3001,A1622))</f>
        <v/>
      </c>
      <c r="H1622" s="26" t="str">
        <f aca="false">IF(A1622="","",COUNTIF(Apparitions!$H$2:$H$5001,A1622))</f>
        <v/>
      </c>
      <c r="I1622" s="26" t="str">
        <f aca="false">IF(A1622="","",COUNTIFS(Apparitions!$H$2:$H$5001,A1622,Apparitions!$E$2:$E$5001,"○"))</f>
        <v/>
      </c>
      <c r="J1622" s="29" t="str">
        <f aca="false">IF(A1622="","",IFERROR(1/(1/_xlfn.MINIFS(Apparitions!$L$2:$L$5001,Apparitions!$H$2:$H$5001,A1622)),""))</f>
        <v/>
      </c>
    </row>
    <row r="1623" customFormat="false" ht="15" hidden="false" customHeight="false" outlineLevel="0" collapsed="false">
      <c r="A1623" s="19"/>
      <c r="B1623" s="19"/>
      <c r="C1623" s="19"/>
      <c r="D1623" s="19"/>
      <c r="E1623" s="32"/>
      <c r="F1623" s="19"/>
      <c r="G1623" s="26" t="str">
        <f aca="false">IF(A1623="","",COUNTIF(Pubs!$B$2:$B$3001,A1623))</f>
        <v/>
      </c>
      <c r="H1623" s="26" t="str">
        <f aca="false">IF(A1623="","",COUNTIF(Apparitions!$H$2:$H$5001,A1623))</f>
        <v/>
      </c>
      <c r="I1623" s="26" t="str">
        <f aca="false">IF(A1623="","",COUNTIFS(Apparitions!$H$2:$H$5001,A1623,Apparitions!$E$2:$E$5001,"○"))</f>
        <v/>
      </c>
      <c r="J1623" s="29" t="str">
        <f aca="false">IF(A1623="","",IFERROR(1/(1/_xlfn.MINIFS(Apparitions!$L$2:$L$5001,Apparitions!$H$2:$H$5001,A1623)),""))</f>
        <v/>
      </c>
    </row>
    <row r="1624" customFormat="false" ht="15" hidden="false" customHeight="false" outlineLevel="0" collapsed="false">
      <c r="A1624" s="19"/>
      <c r="B1624" s="19"/>
      <c r="C1624" s="19"/>
      <c r="D1624" s="19"/>
      <c r="E1624" s="32"/>
      <c r="F1624" s="19"/>
      <c r="G1624" s="26" t="str">
        <f aca="false">IF(A1624="","",COUNTIF(Pubs!$B$2:$B$3001,A1624))</f>
        <v/>
      </c>
      <c r="H1624" s="26" t="str">
        <f aca="false">IF(A1624="","",COUNTIF(Apparitions!$H$2:$H$5001,A1624))</f>
        <v/>
      </c>
      <c r="I1624" s="26" t="str">
        <f aca="false">IF(A1624="","",COUNTIFS(Apparitions!$H$2:$H$5001,A1624,Apparitions!$E$2:$E$5001,"○"))</f>
        <v/>
      </c>
      <c r="J1624" s="29" t="str">
        <f aca="false">IF(A1624="","",IFERROR(1/(1/_xlfn.MINIFS(Apparitions!$L$2:$L$5001,Apparitions!$H$2:$H$5001,A1624)),""))</f>
        <v/>
      </c>
    </row>
    <row r="1625" customFormat="false" ht="15" hidden="false" customHeight="false" outlineLevel="0" collapsed="false">
      <c r="A1625" s="19"/>
      <c r="B1625" s="19"/>
      <c r="C1625" s="19"/>
      <c r="D1625" s="19"/>
      <c r="E1625" s="32"/>
      <c r="F1625" s="19"/>
      <c r="G1625" s="26" t="str">
        <f aca="false">IF(A1625="","",COUNTIF(Pubs!$B$2:$B$3001,A1625))</f>
        <v/>
      </c>
      <c r="H1625" s="26" t="str">
        <f aca="false">IF(A1625="","",COUNTIF(Apparitions!$H$2:$H$5001,A1625))</f>
        <v/>
      </c>
      <c r="I1625" s="26" t="str">
        <f aca="false">IF(A1625="","",COUNTIFS(Apparitions!$H$2:$H$5001,A1625,Apparitions!$E$2:$E$5001,"○"))</f>
        <v/>
      </c>
      <c r="J1625" s="29" t="str">
        <f aca="false">IF(A1625="","",IFERROR(1/(1/_xlfn.MINIFS(Apparitions!$L$2:$L$5001,Apparitions!$H$2:$H$5001,A1625)),""))</f>
        <v/>
      </c>
    </row>
    <row r="1626" customFormat="false" ht="15" hidden="false" customHeight="false" outlineLevel="0" collapsed="false">
      <c r="A1626" s="19"/>
      <c r="B1626" s="19"/>
      <c r="C1626" s="19"/>
      <c r="D1626" s="19"/>
      <c r="E1626" s="32"/>
      <c r="F1626" s="19"/>
      <c r="G1626" s="26" t="str">
        <f aca="false">IF(A1626="","",COUNTIF(Pubs!$B$2:$B$3001,A1626))</f>
        <v/>
      </c>
      <c r="H1626" s="26" t="str">
        <f aca="false">IF(A1626="","",COUNTIF(Apparitions!$H$2:$H$5001,A1626))</f>
        <v/>
      </c>
      <c r="I1626" s="26" t="str">
        <f aca="false">IF(A1626="","",COUNTIFS(Apparitions!$H$2:$H$5001,A1626,Apparitions!$E$2:$E$5001,"○"))</f>
        <v/>
      </c>
      <c r="J1626" s="29" t="str">
        <f aca="false">IF(A1626="","",IFERROR(1/(1/_xlfn.MINIFS(Apparitions!$L$2:$L$5001,Apparitions!$H$2:$H$5001,A1626)),""))</f>
        <v/>
      </c>
    </row>
    <row r="1627" customFormat="false" ht="15" hidden="false" customHeight="false" outlineLevel="0" collapsed="false">
      <c r="A1627" s="19"/>
      <c r="B1627" s="19"/>
      <c r="C1627" s="19"/>
      <c r="D1627" s="19"/>
      <c r="E1627" s="32"/>
      <c r="F1627" s="19"/>
      <c r="G1627" s="26" t="str">
        <f aca="false">IF(A1627="","",COUNTIF(Pubs!$B$2:$B$3001,A1627))</f>
        <v/>
      </c>
      <c r="H1627" s="26" t="str">
        <f aca="false">IF(A1627="","",COUNTIF(Apparitions!$H$2:$H$5001,A1627))</f>
        <v/>
      </c>
      <c r="I1627" s="26" t="str">
        <f aca="false">IF(A1627="","",COUNTIFS(Apparitions!$H$2:$H$5001,A1627,Apparitions!$E$2:$E$5001,"○"))</f>
        <v/>
      </c>
      <c r="J1627" s="29" t="str">
        <f aca="false">IF(A1627="","",IFERROR(1/(1/_xlfn.MINIFS(Apparitions!$L$2:$L$5001,Apparitions!$H$2:$H$5001,A1627)),""))</f>
        <v/>
      </c>
    </row>
    <row r="1628" customFormat="false" ht="15" hidden="false" customHeight="false" outlineLevel="0" collapsed="false">
      <c r="A1628" s="19"/>
      <c r="B1628" s="19"/>
      <c r="C1628" s="19"/>
      <c r="D1628" s="19"/>
      <c r="E1628" s="32"/>
      <c r="F1628" s="19"/>
      <c r="G1628" s="26" t="str">
        <f aca="false">IF(A1628="","",COUNTIF(Pubs!$B$2:$B$3001,A1628))</f>
        <v/>
      </c>
      <c r="H1628" s="26" t="str">
        <f aca="false">IF(A1628="","",COUNTIF(Apparitions!$H$2:$H$5001,A1628))</f>
        <v/>
      </c>
      <c r="I1628" s="26" t="str">
        <f aca="false">IF(A1628="","",COUNTIFS(Apparitions!$H$2:$H$5001,A1628,Apparitions!$E$2:$E$5001,"○"))</f>
        <v/>
      </c>
      <c r="J1628" s="29" t="str">
        <f aca="false">IF(A1628="","",IFERROR(1/(1/_xlfn.MINIFS(Apparitions!$L$2:$L$5001,Apparitions!$H$2:$H$5001,A1628)),""))</f>
        <v/>
      </c>
    </row>
    <row r="1629" customFormat="false" ht="15" hidden="false" customHeight="false" outlineLevel="0" collapsed="false">
      <c r="A1629" s="19"/>
      <c r="B1629" s="19"/>
      <c r="C1629" s="19"/>
      <c r="D1629" s="19"/>
      <c r="E1629" s="32"/>
      <c r="F1629" s="19"/>
      <c r="G1629" s="26" t="str">
        <f aca="false">IF(A1629="","",COUNTIF(Pubs!$B$2:$B$3001,A1629))</f>
        <v/>
      </c>
      <c r="H1629" s="26" t="str">
        <f aca="false">IF(A1629="","",COUNTIF(Apparitions!$H$2:$H$5001,A1629))</f>
        <v/>
      </c>
      <c r="I1629" s="26" t="str">
        <f aca="false">IF(A1629="","",COUNTIFS(Apparitions!$H$2:$H$5001,A1629,Apparitions!$E$2:$E$5001,"○"))</f>
        <v/>
      </c>
      <c r="J1629" s="29" t="str">
        <f aca="false">IF(A1629="","",IFERROR(1/(1/_xlfn.MINIFS(Apparitions!$L$2:$L$5001,Apparitions!$H$2:$H$5001,A1629)),""))</f>
        <v/>
      </c>
    </row>
    <row r="1630" customFormat="false" ht="15" hidden="false" customHeight="false" outlineLevel="0" collapsed="false">
      <c r="A1630" s="19"/>
      <c r="B1630" s="19"/>
      <c r="C1630" s="19"/>
      <c r="D1630" s="19"/>
      <c r="E1630" s="32"/>
      <c r="F1630" s="19"/>
      <c r="G1630" s="26" t="str">
        <f aca="false">IF(A1630="","",COUNTIF(Pubs!$B$2:$B$3001,A1630))</f>
        <v/>
      </c>
      <c r="H1630" s="26" t="str">
        <f aca="false">IF(A1630="","",COUNTIF(Apparitions!$H$2:$H$5001,A1630))</f>
        <v/>
      </c>
      <c r="I1630" s="26" t="str">
        <f aca="false">IF(A1630="","",COUNTIFS(Apparitions!$H$2:$H$5001,A1630,Apparitions!$E$2:$E$5001,"○"))</f>
        <v/>
      </c>
      <c r="J1630" s="29" t="str">
        <f aca="false">IF(A1630="","",IFERROR(1/(1/_xlfn.MINIFS(Apparitions!$L$2:$L$5001,Apparitions!$H$2:$H$5001,A1630)),""))</f>
        <v/>
      </c>
    </row>
    <row r="1631" customFormat="false" ht="15" hidden="false" customHeight="false" outlineLevel="0" collapsed="false">
      <c r="A1631" s="19"/>
      <c r="B1631" s="19"/>
      <c r="C1631" s="19"/>
      <c r="D1631" s="19"/>
      <c r="E1631" s="32"/>
      <c r="F1631" s="19"/>
      <c r="G1631" s="26" t="str">
        <f aca="false">IF(A1631="","",COUNTIF(Pubs!$B$2:$B$3001,A1631))</f>
        <v/>
      </c>
      <c r="H1631" s="26" t="str">
        <f aca="false">IF(A1631="","",COUNTIF(Apparitions!$H$2:$H$5001,A1631))</f>
        <v/>
      </c>
      <c r="I1631" s="26" t="str">
        <f aca="false">IF(A1631="","",COUNTIFS(Apparitions!$H$2:$H$5001,A1631,Apparitions!$E$2:$E$5001,"○"))</f>
        <v/>
      </c>
      <c r="J1631" s="29" t="str">
        <f aca="false">IF(A1631="","",IFERROR(1/(1/_xlfn.MINIFS(Apparitions!$L$2:$L$5001,Apparitions!$H$2:$H$5001,A1631)),""))</f>
        <v/>
      </c>
    </row>
    <row r="1632" customFormat="false" ht="15" hidden="false" customHeight="false" outlineLevel="0" collapsed="false">
      <c r="A1632" s="19"/>
      <c r="B1632" s="19"/>
      <c r="C1632" s="19"/>
      <c r="D1632" s="19"/>
      <c r="E1632" s="32"/>
      <c r="F1632" s="19"/>
      <c r="G1632" s="26" t="str">
        <f aca="false">IF(A1632="","",COUNTIF(Pubs!$B$2:$B$3001,A1632))</f>
        <v/>
      </c>
      <c r="H1632" s="26" t="str">
        <f aca="false">IF(A1632="","",COUNTIF(Apparitions!$H$2:$H$5001,A1632))</f>
        <v/>
      </c>
      <c r="I1632" s="26" t="str">
        <f aca="false">IF(A1632="","",COUNTIFS(Apparitions!$H$2:$H$5001,A1632,Apparitions!$E$2:$E$5001,"○"))</f>
        <v/>
      </c>
      <c r="J1632" s="29" t="str">
        <f aca="false">IF(A1632="","",IFERROR(1/(1/_xlfn.MINIFS(Apparitions!$L$2:$L$5001,Apparitions!$H$2:$H$5001,A1632)),""))</f>
        <v/>
      </c>
    </row>
    <row r="1633" customFormat="false" ht="15" hidden="false" customHeight="false" outlineLevel="0" collapsed="false">
      <c r="A1633" s="19"/>
      <c r="B1633" s="19"/>
      <c r="C1633" s="19"/>
      <c r="D1633" s="19"/>
      <c r="E1633" s="32"/>
      <c r="F1633" s="19"/>
      <c r="G1633" s="26" t="str">
        <f aca="false">IF(A1633="","",COUNTIF(Pubs!$B$2:$B$3001,A1633))</f>
        <v/>
      </c>
      <c r="H1633" s="26" t="str">
        <f aca="false">IF(A1633="","",COUNTIF(Apparitions!$H$2:$H$5001,A1633))</f>
        <v/>
      </c>
      <c r="I1633" s="26" t="str">
        <f aca="false">IF(A1633="","",COUNTIFS(Apparitions!$H$2:$H$5001,A1633,Apparitions!$E$2:$E$5001,"○"))</f>
        <v/>
      </c>
      <c r="J1633" s="29" t="str">
        <f aca="false">IF(A1633="","",IFERROR(1/(1/_xlfn.MINIFS(Apparitions!$L$2:$L$5001,Apparitions!$H$2:$H$5001,A1633)),""))</f>
        <v/>
      </c>
    </row>
    <row r="1634" customFormat="false" ht="15" hidden="false" customHeight="false" outlineLevel="0" collapsed="false">
      <c r="A1634" s="19"/>
      <c r="B1634" s="19"/>
      <c r="C1634" s="19"/>
      <c r="D1634" s="19"/>
      <c r="E1634" s="32"/>
      <c r="F1634" s="19"/>
      <c r="G1634" s="26" t="str">
        <f aca="false">IF(A1634="","",COUNTIF(Pubs!$B$2:$B$3001,A1634))</f>
        <v/>
      </c>
      <c r="H1634" s="26" t="str">
        <f aca="false">IF(A1634="","",COUNTIF(Apparitions!$H$2:$H$5001,A1634))</f>
        <v/>
      </c>
      <c r="I1634" s="26" t="str">
        <f aca="false">IF(A1634="","",COUNTIFS(Apparitions!$H$2:$H$5001,A1634,Apparitions!$E$2:$E$5001,"○"))</f>
        <v/>
      </c>
      <c r="J1634" s="29" t="str">
        <f aca="false">IF(A1634="","",IFERROR(1/(1/_xlfn.MINIFS(Apparitions!$L$2:$L$5001,Apparitions!$H$2:$H$5001,A1634)),""))</f>
        <v/>
      </c>
    </row>
    <row r="1635" customFormat="false" ht="15" hidden="false" customHeight="false" outlineLevel="0" collapsed="false">
      <c r="A1635" s="19"/>
      <c r="B1635" s="19"/>
      <c r="C1635" s="19"/>
      <c r="D1635" s="19"/>
      <c r="E1635" s="32"/>
      <c r="F1635" s="19"/>
      <c r="G1635" s="26" t="str">
        <f aca="false">IF(A1635="","",COUNTIF(Pubs!$B$2:$B$3001,A1635))</f>
        <v/>
      </c>
      <c r="H1635" s="26" t="str">
        <f aca="false">IF(A1635="","",COUNTIF(Apparitions!$H$2:$H$5001,A1635))</f>
        <v/>
      </c>
      <c r="I1635" s="26" t="str">
        <f aca="false">IF(A1635="","",COUNTIFS(Apparitions!$H$2:$H$5001,A1635,Apparitions!$E$2:$E$5001,"○"))</f>
        <v/>
      </c>
      <c r="J1635" s="29" t="str">
        <f aca="false">IF(A1635="","",IFERROR(1/(1/_xlfn.MINIFS(Apparitions!$L$2:$L$5001,Apparitions!$H$2:$H$5001,A1635)),""))</f>
        <v/>
      </c>
    </row>
    <row r="1636" customFormat="false" ht="15" hidden="false" customHeight="false" outlineLevel="0" collapsed="false">
      <c r="A1636" s="19"/>
      <c r="B1636" s="19"/>
      <c r="C1636" s="19"/>
      <c r="D1636" s="19"/>
      <c r="E1636" s="32"/>
      <c r="F1636" s="19"/>
      <c r="G1636" s="26" t="str">
        <f aca="false">IF(A1636="","",COUNTIF(Pubs!$B$2:$B$3001,A1636))</f>
        <v/>
      </c>
      <c r="H1636" s="26" t="str">
        <f aca="false">IF(A1636="","",COUNTIF(Apparitions!$H$2:$H$5001,A1636))</f>
        <v/>
      </c>
      <c r="I1636" s="26" t="str">
        <f aca="false">IF(A1636="","",COUNTIFS(Apparitions!$H$2:$H$5001,A1636,Apparitions!$E$2:$E$5001,"○"))</f>
        <v/>
      </c>
      <c r="J1636" s="29" t="str">
        <f aca="false">IF(A1636="","",IFERROR(1/(1/_xlfn.MINIFS(Apparitions!$L$2:$L$5001,Apparitions!$H$2:$H$5001,A1636)),""))</f>
        <v/>
      </c>
    </row>
    <row r="1637" customFormat="false" ht="15" hidden="false" customHeight="false" outlineLevel="0" collapsed="false">
      <c r="A1637" s="19"/>
      <c r="B1637" s="19"/>
      <c r="C1637" s="19"/>
      <c r="D1637" s="19"/>
      <c r="E1637" s="32"/>
      <c r="F1637" s="19"/>
      <c r="G1637" s="26" t="str">
        <f aca="false">IF(A1637="","",COUNTIF(Pubs!$B$2:$B$3001,A1637))</f>
        <v/>
      </c>
      <c r="H1637" s="26" t="str">
        <f aca="false">IF(A1637="","",COUNTIF(Apparitions!$H$2:$H$5001,A1637))</f>
        <v/>
      </c>
      <c r="I1637" s="26" t="str">
        <f aca="false">IF(A1637="","",COUNTIFS(Apparitions!$H$2:$H$5001,A1637,Apparitions!$E$2:$E$5001,"○"))</f>
        <v/>
      </c>
      <c r="J1637" s="29" t="str">
        <f aca="false">IF(A1637="","",IFERROR(1/(1/_xlfn.MINIFS(Apparitions!$L$2:$L$5001,Apparitions!$H$2:$H$5001,A1637)),""))</f>
        <v/>
      </c>
    </row>
    <row r="1638" customFormat="false" ht="15" hidden="false" customHeight="false" outlineLevel="0" collapsed="false">
      <c r="A1638" s="19"/>
      <c r="B1638" s="19"/>
      <c r="C1638" s="19"/>
      <c r="D1638" s="19"/>
      <c r="E1638" s="32"/>
      <c r="F1638" s="19"/>
      <c r="G1638" s="26" t="str">
        <f aca="false">IF(A1638="","",COUNTIF(Pubs!$B$2:$B$3001,A1638))</f>
        <v/>
      </c>
      <c r="H1638" s="26" t="str">
        <f aca="false">IF(A1638="","",COUNTIF(Apparitions!$H$2:$H$5001,A1638))</f>
        <v/>
      </c>
      <c r="I1638" s="26" t="str">
        <f aca="false">IF(A1638="","",COUNTIFS(Apparitions!$H$2:$H$5001,A1638,Apparitions!$E$2:$E$5001,"○"))</f>
        <v/>
      </c>
      <c r="J1638" s="29" t="str">
        <f aca="false">IF(A1638="","",IFERROR(1/(1/_xlfn.MINIFS(Apparitions!$L$2:$L$5001,Apparitions!$H$2:$H$5001,A1638)),""))</f>
        <v/>
      </c>
    </row>
    <row r="1639" customFormat="false" ht="15" hidden="false" customHeight="false" outlineLevel="0" collapsed="false">
      <c r="A1639" s="19"/>
      <c r="B1639" s="19"/>
      <c r="C1639" s="19"/>
      <c r="D1639" s="19"/>
      <c r="E1639" s="32"/>
      <c r="F1639" s="19"/>
      <c r="G1639" s="26" t="str">
        <f aca="false">IF(A1639="","",COUNTIF(Pubs!$B$2:$B$3001,A1639))</f>
        <v/>
      </c>
      <c r="H1639" s="26" t="str">
        <f aca="false">IF(A1639="","",COUNTIF(Apparitions!$H$2:$H$5001,A1639))</f>
        <v/>
      </c>
      <c r="I1639" s="26" t="str">
        <f aca="false">IF(A1639="","",COUNTIFS(Apparitions!$H$2:$H$5001,A1639,Apparitions!$E$2:$E$5001,"○"))</f>
        <v/>
      </c>
      <c r="J1639" s="29" t="str">
        <f aca="false">IF(A1639="","",IFERROR(1/(1/_xlfn.MINIFS(Apparitions!$L$2:$L$5001,Apparitions!$H$2:$H$5001,A1639)),""))</f>
        <v/>
      </c>
    </row>
    <row r="1640" customFormat="false" ht="15" hidden="false" customHeight="false" outlineLevel="0" collapsed="false">
      <c r="A1640" s="19"/>
      <c r="B1640" s="19"/>
      <c r="C1640" s="19"/>
      <c r="D1640" s="19"/>
      <c r="E1640" s="32"/>
      <c r="F1640" s="19"/>
      <c r="G1640" s="26" t="str">
        <f aca="false">IF(A1640="","",COUNTIF(Pubs!$B$2:$B$3001,A1640))</f>
        <v/>
      </c>
      <c r="H1640" s="26" t="str">
        <f aca="false">IF(A1640="","",COUNTIF(Apparitions!$H$2:$H$5001,A1640))</f>
        <v/>
      </c>
      <c r="I1640" s="26" t="str">
        <f aca="false">IF(A1640="","",COUNTIFS(Apparitions!$H$2:$H$5001,A1640,Apparitions!$E$2:$E$5001,"○"))</f>
        <v/>
      </c>
      <c r="J1640" s="29" t="str">
        <f aca="false">IF(A1640="","",IFERROR(1/(1/_xlfn.MINIFS(Apparitions!$L$2:$L$5001,Apparitions!$H$2:$H$5001,A1640)),""))</f>
        <v/>
      </c>
    </row>
    <row r="1641" customFormat="false" ht="15" hidden="false" customHeight="false" outlineLevel="0" collapsed="false">
      <c r="A1641" s="19"/>
      <c r="B1641" s="19"/>
      <c r="C1641" s="19"/>
      <c r="D1641" s="19"/>
      <c r="E1641" s="32"/>
      <c r="F1641" s="19"/>
      <c r="G1641" s="26" t="str">
        <f aca="false">IF(A1641="","",COUNTIF(Pubs!$B$2:$B$3001,A1641))</f>
        <v/>
      </c>
      <c r="H1641" s="26" t="str">
        <f aca="false">IF(A1641="","",COUNTIF(Apparitions!$H$2:$H$5001,A1641))</f>
        <v/>
      </c>
      <c r="I1641" s="26" t="str">
        <f aca="false">IF(A1641="","",COUNTIFS(Apparitions!$H$2:$H$5001,A1641,Apparitions!$E$2:$E$5001,"○"))</f>
        <v/>
      </c>
      <c r="J1641" s="29" t="str">
        <f aca="false">IF(A1641="","",IFERROR(1/(1/_xlfn.MINIFS(Apparitions!$L$2:$L$5001,Apparitions!$H$2:$H$5001,A1641)),""))</f>
        <v/>
      </c>
    </row>
    <row r="1642" customFormat="false" ht="15" hidden="false" customHeight="false" outlineLevel="0" collapsed="false">
      <c r="A1642" s="19"/>
      <c r="B1642" s="19"/>
      <c r="C1642" s="19"/>
      <c r="D1642" s="19"/>
      <c r="E1642" s="32"/>
      <c r="F1642" s="19"/>
      <c r="G1642" s="26" t="str">
        <f aca="false">IF(A1642="","",COUNTIF(Pubs!$B$2:$B$3001,A1642))</f>
        <v/>
      </c>
      <c r="H1642" s="26" t="str">
        <f aca="false">IF(A1642="","",COUNTIF(Apparitions!$H$2:$H$5001,A1642))</f>
        <v/>
      </c>
      <c r="I1642" s="26" t="str">
        <f aca="false">IF(A1642="","",COUNTIFS(Apparitions!$H$2:$H$5001,A1642,Apparitions!$E$2:$E$5001,"○"))</f>
        <v/>
      </c>
      <c r="J1642" s="29" t="str">
        <f aca="false">IF(A1642="","",IFERROR(1/(1/_xlfn.MINIFS(Apparitions!$L$2:$L$5001,Apparitions!$H$2:$H$5001,A1642)),""))</f>
        <v/>
      </c>
    </row>
    <row r="1643" customFormat="false" ht="15" hidden="false" customHeight="false" outlineLevel="0" collapsed="false">
      <c r="A1643" s="19"/>
      <c r="B1643" s="19"/>
      <c r="C1643" s="19"/>
      <c r="D1643" s="19"/>
      <c r="E1643" s="32"/>
      <c r="F1643" s="19"/>
      <c r="G1643" s="26" t="str">
        <f aca="false">IF(A1643="","",COUNTIF(Pubs!$B$2:$B$3001,A1643))</f>
        <v/>
      </c>
      <c r="H1643" s="26" t="str">
        <f aca="false">IF(A1643="","",COUNTIF(Apparitions!$H$2:$H$5001,A1643))</f>
        <v/>
      </c>
      <c r="I1643" s="26" t="str">
        <f aca="false">IF(A1643="","",COUNTIFS(Apparitions!$H$2:$H$5001,A1643,Apparitions!$E$2:$E$5001,"○"))</f>
        <v/>
      </c>
      <c r="J1643" s="29" t="str">
        <f aca="false">IF(A1643="","",IFERROR(1/(1/_xlfn.MINIFS(Apparitions!$L$2:$L$5001,Apparitions!$H$2:$H$5001,A1643)),""))</f>
        <v/>
      </c>
    </row>
    <row r="1644" customFormat="false" ht="15" hidden="false" customHeight="false" outlineLevel="0" collapsed="false">
      <c r="A1644" s="19"/>
      <c r="B1644" s="19"/>
      <c r="C1644" s="19"/>
      <c r="D1644" s="19"/>
      <c r="E1644" s="32"/>
      <c r="F1644" s="19"/>
      <c r="G1644" s="26" t="str">
        <f aca="false">IF(A1644="","",COUNTIF(Pubs!$B$2:$B$3001,A1644))</f>
        <v/>
      </c>
      <c r="H1644" s="26" t="str">
        <f aca="false">IF(A1644="","",COUNTIF(Apparitions!$H$2:$H$5001,A1644))</f>
        <v/>
      </c>
      <c r="I1644" s="26" t="str">
        <f aca="false">IF(A1644="","",COUNTIFS(Apparitions!$H$2:$H$5001,A1644,Apparitions!$E$2:$E$5001,"○"))</f>
        <v/>
      </c>
      <c r="J1644" s="29" t="str">
        <f aca="false">IF(A1644="","",IFERROR(1/(1/_xlfn.MINIFS(Apparitions!$L$2:$L$5001,Apparitions!$H$2:$H$5001,A1644)),""))</f>
        <v/>
      </c>
    </row>
    <row r="1645" customFormat="false" ht="15" hidden="false" customHeight="false" outlineLevel="0" collapsed="false">
      <c r="A1645" s="19"/>
      <c r="B1645" s="19"/>
      <c r="C1645" s="19"/>
      <c r="D1645" s="19"/>
      <c r="E1645" s="32"/>
      <c r="F1645" s="19"/>
      <c r="G1645" s="26" t="str">
        <f aca="false">IF(A1645="","",COUNTIF(Pubs!$B$2:$B$3001,A1645))</f>
        <v/>
      </c>
      <c r="H1645" s="26" t="str">
        <f aca="false">IF(A1645="","",COUNTIF(Apparitions!$H$2:$H$5001,A1645))</f>
        <v/>
      </c>
      <c r="I1645" s="26" t="str">
        <f aca="false">IF(A1645="","",COUNTIFS(Apparitions!$H$2:$H$5001,A1645,Apparitions!$E$2:$E$5001,"○"))</f>
        <v/>
      </c>
      <c r="J1645" s="29" t="str">
        <f aca="false">IF(A1645="","",IFERROR(1/(1/_xlfn.MINIFS(Apparitions!$L$2:$L$5001,Apparitions!$H$2:$H$5001,A1645)),""))</f>
        <v/>
      </c>
    </row>
    <row r="1646" customFormat="false" ht="15" hidden="false" customHeight="false" outlineLevel="0" collapsed="false">
      <c r="A1646" s="19"/>
      <c r="B1646" s="19"/>
      <c r="C1646" s="19"/>
      <c r="D1646" s="19"/>
      <c r="E1646" s="32"/>
      <c r="F1646" s="19"/>
      <c r="G1646" s="26" t="str">
        <f aca="false">IF(A1646="","",COUNTIF(Pubs!$B$2:$B$3001,A1646))</f>
        <v/>
      </c>
      <c r="H1646" s="26" t="str">
        <f aca="false">IF(A1646="","",COUNTIF(Apparitions!$H$2:$H$5001,A1646))</f>
        <v/>
      </c>
      <c r="I1646" s="26" t="str">
        <f aca="false">IF(A1646="","",COUNTIFS(Apparitions!$H$2:$H$5001,A1646,Apparitions!$E$2:$E$5001,"○"))</f>
        <v/>
      </c>
      <c r="J1646" s="29" t="str">
        <f aca="false">IF(A1646="","",IFERROR(1/(1/_xlfn.MINIFS(Apparitions!$L$2:$L$5001,Apparitions!$H$2:$H$5001,A1646)),""))</f>
        <v/>
      </c>
    </row>
    <row r="1647" customFormat="false" ht="15" hidden="false" customHeight="false" outlineLevel="0" collapsed="false">
      <c r="A1647" s="19"/>
      <c r="B1647" s="19"/>
      <c r="C1647" s="19"/>
      <c r="D1647" s="19"/>
      <c r="E1647" s="32"/>
      <c r="F1647" s="19"/>
      <c r="G1647" s="26" t="str">
        <f aca="false">IF(A1647="","",COUNTIF(Pubs!$B$2:$B$3001,A1647))</f>
        <v/>
      </c>
      <c r="H1647" s="26" t="str">
        <f aca="false">IF(A1647="","",COUNTIF(Apparitions!$H$2:$H$5001,A1647))</f>
        <v/>
      </c>
      <c r="I1647" s="26" t="str">
        <f aca="false">IF(A1647="","",COUNTIFS(Apparitions!$H$2:$H$5001,A1647,Apparitions!$E$2:$E$5001,"○"))</f>
        <v/>
      </c>
      <c r="J1647" s="29" t="str">
        <f aca="false">IF(A1647="","",IFERROR(1/(1/_xlfn.MINIFS(Apparitions!$L$2:$L$5001,Apparitions!$H$2:$H$5001,A1647)),""))</f>
        <v/>
      </c>
    </row>
    <row r="1648" customFormat="false" ht="15" hidden="false" customHeight="false" outlineLevel="0" collapsed="false">
      <c r="A1648" s="19"/>
      <c r="B1648" s="19"/>
      <c r="C1648" s="19"/>
      <c r="D1648" s="19"/>
      <c r="E1648" s="32"/>
      <c r="F1648" s="19"/>
      <c r="G1648" s="26" t="str">
        <f aca="false">IF(A1648="","",COUNTIF(Pubs!$B$2:$B$3001,A1648))</f>
        <v/>
      </c>
      <c r="H1648" s="26" t="str">
        <f aca="false">IF(A1648="","",COUNTIF(Apparitions!$H$2:$H$5001,A1648))</f>
        <v/>
      </c>
      <c r="I1648" s="26" t="str">
        <f aca="false">IF(A1648="","",COUNTIFS(Apparitions!$H$2:$H$5001,A1648,Apparitions!$E$2:$E$5001,"○"))</f>
        <v/>
      </c>
      <c r="J1648" s="29" t="str">
        <f aca="false">IF(A1648="","",IFERROR(1/(1/_xlfn.MINIFS(Apparitions!$L$2:$L$5001,Apparitions!$H$2:$H$5001,A1648)),""))</f>
        <v/>
      </c>
    </row>
    <row r="1649" customFormat="false" ht="15" hidden="false" customHeight="false" outlineLevel="0" collapsed="false">
      <c r="A1649" s="19"/>
      <c r="B1649" s="19"/>
      <c r="C1649" s="19"/>
      <c r="D1649" s="19"/>
      <c r="E1649" s="32"/>
      <c r="F1649" s="19"/>
      <c r="G1649" s="26" t="str">
        <f aca="false">IF(A1649="","",COUNTIF(Pubs!$B$2:$B$3001,A1649))</f>
        <v/>
      </c>
      <c r="H1649" s="26" t="str">
        <f aca="false">IF(A1649="","",COUNTIF(Apparitions!$H$2:$H$5001,A1649))</f>
        <v/>
      </c>
      <c r="I1649" s="26" t="str">
        <f aca="false">IF(A1649="","",COUNTIFS(Apparitions!$H$2:$H$5001,A1649,Apparitions!$E$2:$E$5001,"○"))</f>
        <v/>
      </c>
      <c r="J1649" s="29" t="str">
        <f aca="false">IF(A1649="","",IFERROR(1/(1/_xlfn.MINIFS(Apparitions!$L$2:$L$5001,Apparitions!$H$2:$H$5001,A1649)),""))</f>
        <v/>
      </c>
    </row>
    <row r="1650" customFormat="false" ht="15" hidden="false" customHeight="false" outlineLevel="0" collapsed="false">
      <c r="A1650" s="19"/>
      <c r="B1650" s="19"/>
      <c r="C1650" s="19"/>
      <c r="D1650" s="19"/>
      <c r="E1650" s="32"/>
      <c r="F1650" s="19"/>
      <c r="G1650" s="26" t="str">
        <f aca="false">IF(A1650="","",COUNTIF(Pubs!$B$2:$B$3001,A1650))</f>
        <v/>
      </c>
      <c r="H1650" s="26" t="str">
        <f aca="false">IF(A1650="","",COUNTIF(Apparitions!$H$2:$H$5001,A1650))</f>
        <v/>
      </c>
      <c r="I1650" s="26" t="str">
        <f aca="false">IF(A1650="","",COUNTIFS(Apparitions!$H$2:$H$5001,A1650,Apparitions!$E$2:$E$5001,"○"))</f>
        <v/>
      </c>
      <c r="J1650" s="29" t="str">
        <f aca="false">IF(A1650="","",IFERROR(1/(1/_xlfn.MINIFS(Apparitions!$L$2:$L$5001,Apparitions!$H$2:$H$5001,A1650)),""))</f>
        <v/>
      </c>
    </row>
    <row r="1651" customFormat="false" ht="15" hidden="false" customHeight="false" outlineLevel="0" collapsed="false">
      <c r="A1651" s="19"/>
      <c r="B1651" s="19"/>
      <c r="C1651" s="19"/>
      <c r="D1651" s="19"/>
      <c r="E1651" s="32"/>
      <c r="F1651" s="19"/>
      <c r="G1651" s="26" t="str">
        <f aca="false">IF(A1651="","",COUNTIF(Pubs!$B$2:$B$3001,A1651))</f>
        <v/>
      </c>
      <c r="H1651" s="26" t="str">
        <f aca="false">IF(A1651="","",COUNTIF(Apparitions!$H$2:$H$5001,A1651))</f>
        <v/>
      </c>
      <c r="I1651" s="26" t="str">
        <f aca="false">IF(A1651="","",COUNTIFS(Apparitions!$H$2:$H$5001,A1651,Apparitions!$E$2:$E$5001,"○"))</f>
        <v/>
      </c>
      <c r="J1651" s="29" t="str">
        <f aca="false">IF(A1651="","",IFERROR(1/(1/_xlfn.MINIFS(Apparitions!$L$2:$L$5001,Apparitions!$H$2:$H$5001,A1651)),""))</f>
        <v/>
      </c>
    </row>
    <row r="1652" customFormat="false" ht="15" hidden="false" customHeight="false" outlineLevel="0" collapsed="false">
      <c r="A1652" s="19"/>
      <c r="B1652" s="19"/>
      <c r="C1652" s="19"/>
      <c r="D1652" s="19"/>
      <c r="E1652" s="32"/>
      <c r="F1652" s="19"/>
      <c r="G1652" s="26" t="str">
        <f aca="false">IF(A1652="","",COUNTIF(Pubs!$B$2:$B$3001,A1652))</f>
        <v/>
      </c>
      <c r="H1652" s="26" t="str">
        <f aca="false">IF(A1652="","",COUNTIF(Apparitions!$H$2:$H$5001,A1652))</f>
        <v/>
      </c>
      <c r="I1652" s="26" t="str">
        <f aca="false">IF(A1652="","",COUNTIFS(Apparitions!$H$2:$H$5001,A1652,Apparitions!$E$2:$E$5001,"○"))</f>
        <v/>
      </c>
      <c r="J1652" s="29" t="str">
        <f aca="false">IF(A1652="","",IFERROR(1/(1/_xlfn.MINIFS(Apparitions!$L$2:$L$5001,Apparitions!$H$2:$H$5001,A1652)),""))</f>
        <v/>
      </c>
    </row>
    <row r="1653" customFormat="false" ht="15" hidden="false" customHeight="false" outlineLevel="0" collapsed="false">
      <c r="A1653" s="19"/>
      <c r="B1653" s="19"/>
      <c r="C1653" s="19"/>
      <c r="D1653" s="19"/>
      <c r="E1653" s="32"/>
      <c r="F1653" s="19"/>
      <c r="G1653" s="26" t="str">
        <f aca="false">IF(A1653="","",COUNTIF(Pubs!$B$2:$B$3001,A1653))</f>
        <v/>
      </c>
      <c r="H1653" s="26" t="str">
        <f aca="false">IF(A1653="","",COUNTIF(Apparitions!$H$2:$H$5001,A1653))</f>
        <v/>
      </c>
      <c r="I1653" s="26" t="str">
        <f aca="false">IF(A1653="","",COUNTIFS(Apparitions!$H$2:$H$5001,A1653,Apparitions!$E$2:$E$5001,"○"))</f>
        <v/>
      </c>
      <c r="J1653" s="29" t="str">
        <f aca="false">IF(A1653="","",IFERROR(1/(1/_xlfn.MINIFS(Apparitions!$L$2:$L$5001,Apparitions!$H$2:$H$5001,A1653)),""))</f>
        <v/>
      </c>
    </row>
    <row r="1654" customFormat="false" ht="15" hidden="false" customHeight="false" outlineLevel="0" collapsed="false">
      <c r="A1654" s="19"/>
      <c r="B1654" s="19"/>
      <c r="C1654" s="19"/>
      <c r="D1654" s="19"/>
      <c r="E1654" s="32"/>
      <c r="F1654" s="19"/>
      <c r="G1654" s="26" t="str">
        <f aca="false">IF(A1654="","",COUNTIF(Pubs!$B$2:$B$3001,A1654))</f>
        <v/>
      </c>
      <c r="H1654" s="26" t="str">
        <f aca="false">IF(A1654="","",COUNTIF(Apparitions!$H$2:$H$5001,A1654))</f>
        <v/>
      </c>
      <c r="I1654" s="26" t="str">
        <f aca="false">IF(A1654="","",COUNTIFS(Apparitions!$H$2:$H$5001,A1654,Apparitions!$E$2:$E$5001,"○"))</f>
        <v/>
      </c>
      <c r="J1654" s="29" t="str">
        <f aca="false">IF(A1654="","",IFERROR(1/(1/_xlfn.MINIFS(Apparitions!$L$2:$L$5001,Apparitions!$H$2:$H$5001,A1654)),""))</f>
        <v/>
      </c>
    </row>
    <row r="1655" customFormat="false" ht="15" hidden="false" customHeight="false" outlineLevel="0" collapsed="false">
      <c r="A1655" s="19"/>
      <c r="B1655" s="19"/>
      <c r="C1655" s="19"/>
      <c r="D1655" s="19"/>
      <c r="E1655" s="32"/>
      <c r="F1655" s="19"/>
      <c r="G1655" s="26" t="str">
        <f aca="false">IF(A1655="","",COUNTIF(Pubs!$B$2:$B$3001,A1655))</f>
        <v/>
      </c>
      <c r="H1655" s="26" t="str">
        <f aca="false">IF(A1655="","",COUNTIF(Apparitions!$H$2:$H$5001,A1655))</f>
        <v/>
      </c>
      <c r="I1655" s="26" t="str">
        <f aca="false">IF(A1655="","",COUNTIFS(Apparitions!$H$2:$H$5001,A1655,Apparitions!$E$2:$E$5001,"○"))</f>
        <v/>
      </c>
      <c r="J1655" s="29" t="str">
        <f aca="false">IF(A1655="","",IFERROR(1/(1/_xlfn.MINIFS(Apparitions!$L$2:$L$5001,Apparitions!$H$2:$H$5001,A1655)),""))</f>
        <v/>
      </c>
    </row>
    <row r="1656" customFormat="false" ht="15" hidden="false" customHeight="false" outlineLevel="0" collapsed="false">
      <c r="A1656" s="19"/>
      <c r="B1656" s="19"/>
      <c r="C1656" s="19"/>
      <c r="D1656" s="19"/>
      <c r="E1656" s="32"/>
      <c r="F1656" s="19"/>
      <c r="G1656" s="26" t="str">
        <f aca="false">IF(A1656="","",COUNTIF(Pubs!$B$2:$B$3001,A1656))</f>
        <v/>
      </c>
      <c r="H1656" s="26" t="str">
        <f aca="false">IF(A1656="","",COUNTIF(Apparitions!$H$2:$H$5001,A1656))</f>
        <v/>
      </c>
      <c r="I1656" s="26" t="str">
        <f aca="false">IF(A1656="","",COUNTIFS(Apparitions!$H$2:$H$5001,A1656,Apparitions!$E$2:$E$5001,"○"))</f>
        <v/>
      </c>
      <c r="J1656" s="29" t="str">
        <f aca="false">IF(A1656="","",IFERROR(1/(1/_xlfn.MINIFS(Apparitions!$L$2:$L$5001,Apparitions!$H$2:$H$5001,A1656)),""))</f>
        <v/>
      </c>
    </row>
    <row r="1657" customFormat="false" ht="15" hidden="false" customHeight="false" outlineLevel="0" collapsed="false">
      <c r="A1657" s="19"/>
      <c r="B1657" s="19"/>
      <c r="C1657" s="19"/>
      <c r="D1657" s="19"/>
      <c r="E1657" s="32"/>
      <c r="F1657" s="19"/>
      <c r="G1657" s="26" t="str">
        <f aca="false">IF(A1657="","",COUNTIF(Pubs!$B$2:$B$3001,A1657))</f>
        <v/>
      </c>
      <c r="H1657" s="26" t="str">
        <f aca="false">IF(A1657="","",COUNTIF(Apparitions!$H$2:$H$5001,A1657))</f>
        <v/>
      </c>
      <c r="I1657" s="26" t="str">
        <f aca="false">IF(A1657="","",COUNTIFS(Apparitions!$H$2:$H$5001,A1657,Apparitions!$E$2:$E$5001,"○"))</f>
        <v/>
      </c>
      <c r="J1657" s="29" t="str">
        <f aca="false">IF(A1657="","",IFERROR(1/(1/_xlfn.MINIFS(Apparitions!$L$2:$L$5001,Apparitions!$H$2:$H$5001,A1657)),""))</f>
        <v/>
      </c>
    </row>
    <row r="1658" customFormat="false" ht="15" hidden="false" customHeight="false" outlineLevel="0" collapsed="false">
      <c r="A1658" s="19"/>
      <c r="B1658" s="19"/>
      <c r="C1658" s="19"/>
      <c r="D1658" s="19"/>
      <c r="E1658" s="32"/>
      <c r="F1658" s="19"/>
      <c r="G1658" s="26" t="str">
        <f aca="false">IF(A1658="","",COUNTIF(Pubs!$B$2:$B$3001,A1658))</f>
        <v/>
      </c>
      <c r="H1658" s="26" t="str">
        <f aca="false">IF(A1658="","",COUNTIF(Apparitions!$H$2:$H$5001,A1658))</f>
        <v/>
      </c>
      <c r="I1658" s="26" t="str">
        <f aca="false">IF(A1658="","",COUNTIFS(Apparitions!$H$2:$H$5001,A1658,Apparitions!$E$2:$E$5001,"○"))</f>
        <v/>
      </c>
      <c r="J1658" s="29" t="str">
        <f aca="false">IF(A1658="","",IFERROR(1/(1/_xlfn.MINIFS(Apparitions!$L$2:$L$5001,Apparitions!$H$2:$H$5001,A1658)),""))</f>
        <v/>
      </c>
    </row>
    <row r="1659" customFormat="false" ht="15" hidden="false" customHeight="false" outlineLevel="0" collapsed="false">
      <c r="A1659" s="19"/>
      <c r="B1659" s="19"/>
      <c r="C1659" s="19"/>
      <c r="D1659" s="19"/>
      <c r="E1659" s="32"/>
      <c r="F1659" s="19"/>
      <c r="G1659" s="26" t="str">
        <f aca="false">IF(A1659="","",COUNTIF(Pubs!$B$2:$B$3001,A1659))</f>
        <v/>
      </c>
      <c r="H1659" s="26" t="str">
        <f aca="false">IF(A1659="","",COUNTIF(Apparitions!$H$2:$H$5001,A1659))</f>
        <v/>
      </c>
      <c r="I1659" s="26" t="str">
        <f aca="false">IF(A1659="","",COUNTIFS(Apparitions!$H$2:$H$5001,A1659,Apparitions!$E$2:$E$5001,"○"))</f>
        <v/>
      </c>
      <c r="J1659" s="29" t="str">
        <f aca="false">IF(A1659="","",IFERROR(1/(1/_xlfn.MINIFS(Apparitions!$L$2:$L$5001,Apparitions!$H$2:$H$5001,A1659)),""))</f>
        <v/>
      </c>
    </row>
    <row r="1660" customFormat="false" ht="15" hidden="false" customHeight="false" outlineLevel="0" collapsed="false">
      <c r="A1660" s="19"/>
      <c r="B1660" s="19"/>
      <c r="C1660" s="19"/>
      <c r="D1660" s="19"/>
      <c r="E1660" s="32"/>
      <c r="F1660" s="19"/>
      <c r="G1660" s="26" t="str">
        <f aca="false">IF(A1660="","",COUNTIF(Pubs!$B$2:$B$3001,A1660))</f>
        <v/>
      </c>
      <c r="H1660" s="26" t="str">
        <f aca="false">IF(A1660="","",COUNTIF(Apparitions!$H$2:$H$5001,A1660))</f>
        <v/>
      </c>
      <c r="I1660" s="26" t="str">
        <f aca="false">IF(A1660="","",COUNTIFS(Apparitions!$H$2:$H$5001,A1660,Apparitions!$E$2:$E$5001,"○"))</f>
        <v/>
      </c>
      <c r="J1660" s="29" t="str">
        <f aca="false">IF(A1660="","",IFERROR(1/(1/_xlfn.MINIFS(Apparitions!$L$2:$L$5001,Apparitions!$H$2:$H$5001,A1660)),""))</f>
        <v/>
      </c>
    </row>
    <row r="1661" customFormat="false" ht="15" hidden="false" customHeight="false" outlineLevel="0" collapsed="false">
      <c r="A1661" s="19"/>
      <c r="B1661" s="19"/>
      <c r="C1661" s="19"/>
      <c r="D1661" s="19"/>
      <c r="E1661" s="32"/>
      <c r="F1661" s="19"/>
      <c r="G1661" s="26" t="str">
        <f aca="false">IF(A1661="","",COUNTIF(Pubs!$B$2:$B$3001,A1661))</f>
        <v/>
      </c>
      <c r="H1661" s="26" t="str">
        <f aca="false">IF(A1661="","",COUNTIF(Apparitions!$H$2:$H$5001,A1661))</f>
        <v/>
      </c>
      <c r="I1661" s="26" t="str">
        <f aca="false">IF(A1661="","",COUNTIFS(Apparitions!$H$2:$H$5001,A1661,Apparitions!$E$2:$E$5001,"○"))</f>
        <v/>
      </c>
      <c r="J1661" s="29" t="str">
        <f aca="false">IF(A1661="","",IFERROR(1/(1/_xlfn.MINIFS(Apparitions!$L$2:$L$5001,Apparitions!$H$2:$H$5001,A1661)),""))</f>
        <v/>
      </c>
    </row>
    <row r="1662" customFormat="false" ht="15" hidden="false" customHeight="false" outlineLevel="0" collapsed="false">
      <c r="A1662" s="19"/>
      <c r="B1662" s="19"/>
      <c r="C1662" s="19"/>
      <c r="D1662" s="19"/>
      <c r="E1662" s="32"/>
      <c r="F1662" s="19"/>
      <c r="G1662" s="26" t="str">
        <f aca="false">IF(A1662="","",COUNTIF(Pubs!$B$2:$B$3001,A1662))</f>
        <v/>
      </c>
      <c r="H1662" s="26" t="str">
        <f aca="false">IF(A1662="","",COUNTIF(Apparitions!$H$2:$H$5001,A1662))</f>
        <v/>
      </c>
      <c r="I1662" s="26" t="str">
        <f aca="false">IF(A1662="","",COUNTIFS(Apparitions!$H$2:$H$5001,A1662,Apparitions!$E$2:$E$5001,"○"))</f>
        <v/>
      </c>
      <c r="J1662" s="29" t="str">
        <f aca="false">IF(A1662="","",IFERROR(1/(1/_xlfn.MINIFS(Apparitions!$L$2:$L$5001,Apparitions!$H$2:$H$5001,A1662)),""))</f>
        <v/>
      </c>
    </row>
    <row r="1663" customFormat="false" ht="15" hidden="false" customHeight="false" outlineLevel="0" collapsed="false">
      <c r="A1663" s="19"/>
      <c r="B1663" s="19"/>
      <c r="C1663" s="19"/>
      <c r="D1663" s="19"/>
      <c r="E1663" s="32"/>
      <c r="F1663" s="19"/>
      <c r="G1663" s="26" t="str">
        <f aca="false">IF(A1663="","",COUNTIF(Pubs!$B$2:$B$3001,A1663))</f>
        <v/>
      </c>
      <c r="H1663" s="26" t="str">
        <f aca="false">IF(A1663="","",COUNTIF(Apparitions!$H$2:$H$5001,A1663))</f>
        <v/>
      </c>
      <c r="I1663" s="26" t="str">
        <f aca="false">IF(A1663="","",COUNTIFS(Apparitions!$H$2:$H$5001,A1663,Apparitions!$E$2:$E$5001,"○"))</f>
        <v/>
      </c>
      <c r="J1663" s="29" t="str">
        <f aca="false">IF(A1663="","",IFERROR(1/(1/_xlfn.MINIFS(Apparitions!$L$2:$L$5001,Apparitions!$H$2:$H$5001,A1663)),""))</f>
        <v/>
      </c>
    </row>
    <row r="1664" customFormat="false" ht="15" hidden="false" customHeight="false" outlineLevel="0" collapsed="false">
      <c r="A1664" s="19"/>
      <c r="B1664" s="19"/>
      <c r="C1664" s="19"/>
      <c r="D1664" s="19"/>
      <c r="E1664" s="32"/>
      <c r="F1664" s="19"/>
      <c r="G1664" s="26" t="str">
        <f aca="false">IF(A1664="","",COUNTIF(Pubs!$B$2:$B$3001,A1664))</f>
        <v/>
      </c>
      <c r="H1664" s="26" t="str">
        <f aca="false">IF(A1664="","",COUNTIF(Apparitions!$H$2:$H$5001,A1664))</f>
        <v/>
      </c>
      <c r="I1664" s="26" t="str">
        <f aca="false">IF(A1664="","",COUNTIFS(Apparitions!$H$2:$H$5001,A1664,Apparitions!$E$2:$E$5001,"○"))</f>
        <v/>
      </c>
      <c r="J1664" s="29" t="str">
        <f aca="false">IF(A1664="","",IFERROR(1/(1/_xlfn.MINIFS(Apparitions!$L$2:$L$5001,Apparitions!$H$2:$H$5001,A1664)),""))</f>
        <v/>
      </c>
    </row>
    <row r="1665" customFormat="false" ht="15" hidden="false" customHeight="false" outlineLevel="0" collapsed="false">
      <c r="A1665" s="19"/>
      <c r="B1665" s="19"/>
      <c r="C1665" s="19"/>
      <c r="D1665" s="19"/>
      <c r="E1665" s="32"/>
      <c r="F1665" s="19"/>
      <c r="G1665" s="26" t="str">
        <f aca="false">IF(A1665="","",COUNTIF(Pubs!$B$2:$B$3001,A1665))</f>
        <v/>
      </c>
      <c r="H1665" s="26" t="str">
        <f aca="false">IF(A1665="","",COUNTIF(Apparitions!$H$2:$H$5001,A1665))</f>
        <v/>
      </c>
      <c r="I1665" s="26" t="str">
        <f aca="false">IF(A1665="","",COUNTIFS(Apparitions!$H$2:$H$5001,A1665,Apparitions!$E$2:$E$5001,"○"))</f>
        <v/>
      </c>
      <c r="J1665" s="29" t="str">
        <f aca="false">IF(A1665="","",IFERROR(1/(1/_xlfn.MINIFS(Apparitions!$L$2:$L$5001,Apparitions!$H$2:$H$5001,A1665)),""))</f>
        <v/>
      </c>
    </row>
    <row r="1666" customFormat="false" ht="15" hidden="false" customHeight="false" outlineLevel="0" collapsed="false">
      <c r="A1666" s="19"/>
      <c r="B1666" s="19"/>
      <c r="C1666" s="19"/>
      <c r="D1666" s="19"/>
      <c r="E1666" s="32"/>
      <c r="F1666" s="19"/>
      <c r="G1666" s="26" t="str">
        <f aca="false">IF(A1666="","",COUNTIF(Pubs!$B$2:$B$3001,A1666))</f>
        <v/>
      </c>
      <c r="H1666" s="26" t="str">
        <f aca="false">IF(A1666="","",COUNTIF(Apparitions!$H$2:$H$5001,A1666))</f>
        <v/>
      </c>
      <c r="I1666" s="26" t="str">
        <f aca="false">IF(A1666="","",COUNTIFS(Apparitions!$H$2:$H$5001,A1666,Apparitions!$E$2:$E$5001,"○"))</f>
        <v/>
      </c>
      <c r="J1666" s="29" t="str">
        <f aca="false">IF(A1666="","",IFERROR(1/(1/_xlfn.MINIFS(Apparitions!$L$2:$L$5001,Apparitions!$H$2:$H$5001,A1666)),""))</f>
        <v/>
      </c>
    </row>
    <row r="1667" customFormat="false" ht="15" hidden="false" customHeight="false" outlineLevel="0" collapsed="false">
      <c r="A1667" s="19"/>
      <c r="B1667" s="19"/>
      <c r="C1667" s="19"/>
      <c r="D1667" s="19"/>
      <c r="E1667" s="32"/>
      <c r="F1667" s="19"/>
      <c r="G1667" s="26" t="str">
        <f aca="false">IF(A1667="","",COUNTIF(Pubs!$B$2:$B$3001,A1667))</f>
        <v/>
      </c>
      <c r="H1667" s="26" t="str">
        <f aca="false">IF(A1667="","",COUNTIF(Apparitions!$H$2:$H$5001,A1667))</f>
        <v/>
      </c>
      <c r="I1667" s="26" t="str">
        <f aca="false">IF(A1667="","",COUNTIFS(Apparitions!$H$2:$H$5001,A1667,Apparitions!$E$2:$E$5001,"○"))</f>
        <v/>
      </c>
      <c r="J1667" s="29" t="str">
        <f aca="false">IF(A1667="","",IFERROR(1/(1/_xlfn.MINIFS(Apparitions!$L$2:$L$5001,Apparitions!$H$2:$H$5001,A1667)),""))</f>
        <v/>
      </c>
    </row>
    <row r="1668" customFormat="false" ht="15" hidden="false" customHeight="false" outlineLevel="0" collapsed="false">
      <c r="A1668" s="19"/>
      <c r="B1668" s="19"/>
      <c r="C1668" s="19"/>
      <c r="D1668" s="19"/>
      <c r="E1668" s="32"/>
      <c r="F1668" s="19"/>
      <c r="G1668" s="26" t="str">
        <f aca="false">IF(A1668="","",COUNTIF(Pubs!$B$2:$B$3001,A1668))</f>
        <v/>
      </c>
      <c r="H1668" s="26" t="str">
        <f aca="false">IF(A1668="","",COUNTIF(Apparitions!$H$2:$H$5001,A1668))</f>
        <v/>
      </c>
      <c r="I1668" s="26" t="str">
        <f aca="false">IF(A1668="","",COUNTIFS(Apparitions!$H$2:$H$5001,A1668,Apparitions!$E$2:$E$5001,"○"))</f>
        <v/>
      </c>
      <c r="J1668" s="29" t="str">
        <f aca="false">IF(A1668="","",IFERROR(1/(1/_xlfn.MINIFS(Apparitions!$L$2:$L$5001,Apparitions!$H$2:$H$5001,A1668)),""))</f>
        <v/>
      </c>
    </row>
    <row r="1669" customFormat="false" ht="15" hidden="false" customHeight="false" outlineLevel="0" collapsed="false">
      <c r="A1669" s="19"/>
      <c r="B1669" s="19"/>
      <c r="C1669" s="19"/>
      <c r="D1669" s="19"/>
      <c r="E1669" s="32"/>
      <c r="F1669" s="19"/>
      <c r="G1669" s="26" t="str">
        <f aca="false">IF(A1669="","",COUNTIF(Pubs!$B$2:$B$3001,A1669))</f>
        <v/>
      </c>
      <c r="H1669" s="26" t="str">
        <f aca="false">IF(A1669="","",COUNTIF(Apparitions!$H$2:$H$5001,A1669))</f>
        <v/>
      </c>
      <c r="I1669" s="26" t="str">
        <f aca="false">IF(A1669="","",COUNTIFS(Apparitions!$H$2:$H$5001,A1669,Apparitions!$E$2:$E$5001,"○"))</f>
        <v/>
      </c>
      <c r="J1669" s="29" t="str">
        <f aca="false">IF(A1669="","",IFERROR(1/(1/_xlfn.MINIFS(Apparitions!$L$2:$L$5001,Apparitions!$H$2:$H$5001,A1669)),""))</f>
        <v/>
      </c>
    </row>
    <row r="1670" customFormat="false" ht="15" hidden="false" customHeight="false" outlineLevel="0" collapsed="false">
      <c r="A1670" s="19"/>
      <c r="B1670" s="19"/>
      <c r="C1670" s="19"/>
      <c r="D1670" s="19"/>
      <c r="E1670" s="32"/>
      <c r="F1670" s="19"/>
      <c r="G1670" s="26" t="str">
        <f aca="false">IF(A1670="","",COUNTIF(Pubs!$B$2:$B$3001,A1670))</f>
        <v/>
      </c>
      <c r="H1670" s="26" t="str">
        <f aca="false">IF(A1670="","",COUNTIF(Apparitions!$H$2:$H$5001,A1670))</f>
        <v/>
      </c>
      <c r="I1670" s="26" t="str">
        <f aca="false">IF(A1670="","",COUNTIFS(Apparitions!$H$2:$H$5001,A1670,Apparitions!$E$2:$E$5001,"○"))</f>
        <v/>
      </c>
      <c r="J1670" s="29" t="str">
        <f aca="false">IF(A1670="","",IFERROR(1/(1/_xlfn.MINIFS(Apparitions!$L$2:$L$5001,Apparitions!$H$2:$H$5001,A1670)),""))</f>
        <v/>
      </c>
    </row>
    <row r="1671" customFormat="false" ht="15" hidden="false" customHeight="false" outlineLevel="0" collapsed="false">
      <c r="A1671" s="19"/>
      <c r="B1671" s="19"/>
      <c r="C1671" s="19"/>
      <c r="D1671" s="19"/>
      <c r="E1671" s="32"/>
      <c r="F1671" s="19"/>
      <c r="G1671" s="26" t="str">
        <f aca="false">IF(A1671="","",COUNTIF(Pubs!$B$2:$B$3001,A1671))</f>
        <v/>
      </c>
      <c r="H1671" s="26" t="str">
        <f aca="false">IF(A1671="","",COUNTIF(Apparitions!$H$2:$H$5001,A1671))</f>
        <v/>
      </c>
      <c r="I1671" s="26" t="str">
        <f aca="false">IF(A1671="","",COUNTIFS(Apparitions!$H$2:$H$5001,A1671,Apparitions!$E$2:$E$5001,"○"))</f>
        <v/>
      </c>
      <c r="J1671" s="29" t="str">
        <f aca="false">IF(A1671="","",IFERROR(1/(1/_xlfn.MINIFS(Apparitions!$L$2:$L$5001,Apparitions!$H$2:$H$5001,A1671)),""))</f>
        <v/>
      </c>
    </row>
    <row r="1672" customFormat="false" ht="15" hidden="false" customHeight="false" outlineLevel="0" collapsed="false">
      <c r="A1672" s="19"/>
      <c r="B1672" s="19"/>
      <c r="C1672" s="19"/>
      <c r="D1672" s="19"/>
      <c r="E1672" s="32"/>
      <c r="F1672" s="19"/>
      <c r="G1672" s="26" t="str">
        <f aca="false">IF(A1672="","",COUNTIF(Pubs!$B$2:$B$3001,A1672))</f>
        <v/>
      </c>
      <c r="H1672" s="26" t="str">
        <f aca="false">IF(A1672="","",COUNTIF(Apparitions!$H$2:$H$5001,A1672))</f>
        <v/>
      </c>
      <c r="I1672" s="26" t="str">
        <f aca="false">IF(A1672="","",COUNTIFS(Apparitions!$H$2:$H$5001,A1672,Apparitions!$E$2:$E$5001,"○"))</f>
        <v/>
      </c>
      <c r="J1672" s="29" t="str">
        <f aca="false">IF(A1672="","",IFERROR(1/(1/_xlfn.MINIFS(Apparitions!$L$2:$L$5001,Apparitions!$H$2:$H$5001,A1672)),""))</f>
        <v/>
      </c>
    </row>
    <row r="1673" customFormat="false" ht="15" hidden="false" customHeight="false" outlineLevel="0" collapsed="false">
      <c r="A1673" s="19"/>
      <c r="B1673" s="19"/>
      <c r="C1673" s="19"/>
      <c r="D1673" s="19"/>
      <c r="E1673" s="32"/>
      <c r="F1673" s="19"/>
      <c r="G1673" s="26" t="str">
        <f aca="false">IF(A1673="","",COUNTIF(Pubs!$B$2:$B$3001,A1673))</f>
        <v/>
      </c>
      <c r="H1673" s="26" t="str">
        <f aca="false">IF(A1673="","",COUNTIF(Apparitions!$H$2:$H$5001,A1673))</f>
        <v/>
      </c>
      <c r="I1673" s="26" t="str">
        <f aca="false">IF(A1673="","",COUNTIFS(Apparitions!$H$2:$H$5001,A1673,Apparitions!$E$2:$E$5001,"○"))</f>
        <v/>
      </c>
      <c r="J1673" s="29" t="str">
        <f aca="false">IF(A1673="","",IFERROR(1/(1/_xlfn.MINIFS(Apparitions!$L$2:$L$5001,Apparitions!$H$2:$H$5001,A1673)),""))</f>
        <v/>
      </c>
    </row>
    <row r="1674" customFormat="false" ht="15" hidden="false" customHeight="false" outlineLevel="0" collapsed="false">
      <c r="A1674" s="19"/>
      <c r="B1674" s="19"/>
      <c r="C1674" s="19"/>
      <c r="D1674" s="19"/>
      <c r="E1674" s="32"/>
      <c r="F1674" s="19"/>
      <c r="G1674" s="26" t="str">
        <f aca="false">IF(A1674="","",COUNTIF(Pubs!$B$2:$B$3001,A1674))</f>
        <v/>
      </c>
      <c r="H1674" s="26" t="str">
        <f aca="false">IF(A1674="","",COUNTIF(Apparitions!$H$2:$H$5001,A1674))</f>
        <v/>
      </c>
      <c r="I1674" s="26" t="str">
        <f aca="false">IF(A1674="","",COUNTIFS(Apparitions!$H$2:$H$5001,A1674,Apparitions!$E$2:$E$5001,"○"))</f>
        <v/>
      </c>
      <c r="J1674" s="29" t="str">
        <f aca="false">IF(A1674="","",IFERROR(1/(1/_xlfn.MINIFS(Apparitions!$L$2:$L$5001,Apparitions!$H$2:$H$5001,A1674)),""))</f>
        <v/>
      </c>
    </row>
    <row r="1675" customFormat="false" ht="15" hidden="false" customHeight="false" outlineLevel="0" collapsed="false">
      <c r="A1675" s="19"/>
      <c r="B1675" s="19"/>
      <c r="C1675" s="19"/>
      <c r="D1675" s="19"/>
      <c r="E1675" s="32"/>
      <c r="F1675" s="19"/>
      <c r="G1675" s="26" t="str">
        <f aca="false">IF(A1675="","",COUNTIF(Pubs!$B$2:$B$3001,A1675))</f>
        <v/>
      </c>
      <c r="H1675" s="26" t="str">
        <f aca="false">IF(A1675="","",COUNTIF(Apparitions!$H$2:$H$5001,A1675))</f>
        <v/>
      </c>
      <c r="I1675" s="26" t="str">
        <f aca="false">IF(A1675="","",COUNTIFS(Apparitions!$H$2:$H$5001,A1675,Apparitions!$E$2:$E$5001,"○"))</f>
        <v/>
      </c>
      <c r="J1675" s="29" t="str">
        <f aca="false">IF(A1675="","",IFERROR(1/(1/_xlfn.MINIFS(Apparitions!$L$2:$L$5001,Apparitions!$H$2:$H$5001,A1675)),""))</f>
        <v/>
      </c>
    </row>
    <row r="1676" customFormat="false" ht="15" hidden="false" customHeight="false" outlineLevel="0" collapsed="false">
      <c r="A1676" s="19"/>
      <c r="B1676" s="19"/>
      <c r="C1676" s="19"/>
      <c r="D1676" s="19"/>
      <c r="E1676" s="32"/>
      <c r="F1676" s="19"/>
      <c r="G1676" s="26" t="str">
        <f aca="false">IF(A1676="","",COUNTIF(Pubs!$B$2:$B$3001,A1676))</f>
        <v/>
      </c>
      <c r="H1676" s="26" t="str">
        <f aca="false">IF(A1676="","",COUNTIF(Apparitions!$H$2:$H$5001,A1676))</f>
        <v/>
      </c>
      <c r="I1676" s="26" t="str">
        <f aca="false">IF(A1676="","",COUNTIFS(Apparitions!$H$2:$H$5001,A1676,Apparitions!$E$2:$E$5001,"○"))</f>
        <v/>
      </c>
      <c r="J1676" s="29" t="str">
        <f aca="false">IF(A1676="","",IFERROR(1/(1/_xlfn.MINIFS(Apparitions!$L$2:$L$5001,Apparitions!$H$2:$H$5001,A1676)),""))</f>
        <v/>
      </c>
    </row>
    <row r="1677" customFormat="false" ht="15" hidden="false" customHeight="false" outlineLevel="0" collapsed="false">
      <c r="A1677" s="19"/>
      <c r="B1677" s="19"/>
      <c r="C1677" s="19"/>
      <c r="D1677" s="19"/>
      <c r="E1677" s="32"/>
      <c r="F1677" s="19"/>
      <c r="G1677" s="26" t="str">
        <f aca="false">IF(A1677="","",COUNTIF(Pubs!$B$2:$B$3001,A1677))</f>
        <v/>
      </c>
      <c r="H1677" s="26" t="str">
        <f aca="false">IF(A1677="","",COUNTIF(Apparitions!$H$2:$H$5001,A1677))</f>
        <v/>
      </c>
      <c r="I1677" s="26" t="str">
        <f aca="false">IF(A1677="","",COUNTIFS(Apparitions!$H$2:$H$5001,A1677,Apparitions!$E$2:$E$5001,"○"))</f>
        <v/>
      </c>
      <c r="J1677" s="29" t="str">
        <f aca="false">IF(A1677="","",IFERROR(1/(1/_xlfn.MINIFS(Apparitions!$L$2:$L$5001,Apparitions!$H$2:$H$5001,A1677)),""))</f>
        <v/>
      </c>
    </row>
    <row r="1678" customFormat="false" ht="15" hidden="false" customHeight="false" outlineLevel="0" collapsed="false">
      <c r="A1678" s="19"/>
      <c r="B1678" s="19"/>
      <c r="C1678" s="19"/>
      <c r="D1678" s="19"/>
      <c r="E1678" s="32"/>
      <c r="F1678" s="19"/>
      <c r="G1678" s="26" t="str">
        <f aca="false">IF(A1678="","",COUNTIF(Pubs!$B$2:$B$3001,A1678))</f>
        <v/>
      </c>
      <c r="H1678" s="26" t="str">
        <f aca="false">IF(A1678="","",COUNTIF(Apparitions!$H$2:$H$5001,A1678))</f>
        <v/>
      </c>
      <c r="I1678" s="26" t="str">
        <f aca="false">IF(A1678="","",COUNTIFS(Apparitions!$H$2:$H$5001,A1678,Apparitions!$E$2:$E$5001,"○"))</f>
        <v/>
      </c>
      <c r="J1678" s="29" t="str">
        <f aca="false">IF(A1678="","",IFERROR(1/(1/_xlfn.MINIFS(Apparitions!$L$2:$L$5001,Apparitions!$H$2:$H$5001,A1678)),""))</f>
        <v/>
      </c>
    </row>
    <row r="1679" customFormat="false" ht="15" hidden="false" customHeight="false" outlineLevel="0" collapsed="false">
      <c r="A1679" s="19"/>
      <c r="B1679" s="19"/>
      <c r="C1679" s="19"/>
      <c r="D1679" s="19"/>
      <c r="E1679" s="32"/>
      <c r="F1679" s="19"/>
      <c r="G1679" s="26" t="str">
        <f aca="false">IF(A1679="","",COUNTIF(Pubs!$B$2:$B$3001,A1679))</f>
        <v/>
      </c>
      <c r="H1679" s="26" t="str">
        <f aca="false">IF(A1679="","",COUNTIF(Apparitions!$H$2:$H$5001,A1679))</f>
        <v/>
      </c>
      <c r="I1679" s="26" t="str">
        <f aca="false">IF(A1679="","",COUNTIFS(Apparitions!$H$2:$H$5001,A1679,Apparitions!$E$2:$E$5001,"○"))</f>
        <v/>
      </c>
      <c r="J1679" s="29" t="str">
        <f aca="false">IF(A1679="","",IFERROR(1/(1/_xlfn.MINIFS(Apparitions!$L$2:$L$5001,Apparitions!$H$2:$H$5001,A1679)),""))</f>
        <v/>
      </c>
    </row>
    <row r="1680" customFormat="false" ht="15" hidden="false" customHeight="false" outlineLevel="0" collapsed="false">
      <c r="A1680" s="19"/>
      <c r="B1680" s="19"/>
      <c r="C1680" s="19"/>
      <c r="D1680" s="19"/>
      <c r="E1680" s="32"/>
      <c r="F1680" s="19"/>
      <c r="G1680" s="26" t="str">
        <f aca="false">IF(A1680="","",COUNTIF(Pubs!$B$2:$B$3001,A1680))</f>
        <v/>
      </c>
      <c r="H1680" s="26" t="str">
        <f aca="false">IF(A1680="","",COUNTIF(Apparitions!$H$2:$H$5001,A1680))</f>
        <v/>
      </c>
      <c r="I1680" s="26" t="str">
        <f aca="false">IF(A1680="","",COUNTIFS(Apparitions!$H$2:$H$5001,A1680,Apparitions!$E$2:$E$5001,"○"))</f>
        <v/>
      </c>
      <c r="J1680" s="29" t="str">
        <f aca="false">IF(A1680="","",IFERROR(1/(1/_xlfn.MINIFS(Apparitions!$L$2:$L$5001,Apparitions!$H$2:$H$5001,A1680)),""))</f>
        <v/>
      </c>
    </row>
    <row r="1681" customFormat="false" ht="15" hidden="false" customHeight="false" outlineLevel="0" collapsed="false">
      <c r="A1681" s="19"/>
      <c r="B1681" s="19"/>
      <c r="C1681" s="19"/>
      <c r="D1681" s="19"/>
      <c r="E1681" s="32"/>
      <c r="F1681" s="19"/>
      <c r="G1681" s="26" t="str">
        <f aca="false">IF(A1681="","",COUNTIF(Pubs!$B$2:$B$3001,A1681))</f>
        <v/>
      </c>
      <c r="H1681" s="26" t="str">
        <f aca="false">IF(A1681="","",COUNTIF(Apparitions!$H$2:$H$5001,A1681))</f>
        <v/>
      </c>
      <c r="I1681" s="26" t="str">
        <f aca="false">IF(A1681="","",COUNTIFS(Apparitions!$H$2:$H$5001,A1681,Apparitions!$E$2:$E$5001,"○"))</f>
        <v/>
      </c>
      <c r="J1681" s="29" t="str">
        <f aca="false">IF(A1681="","",IFERROR(1/(1/_xlfn.MINIFS(Apparitions!$L$2:$L$5001,Apparitions!$H$2:$H$5001,A1681)),""))</f>
        <v/>
      </c>
    </row>
    <row r="1682" customFormat="false" ht="15" hidden="false" customHeight="false" outlineLevel="0" collapsed="false">
      <c r="A1682" s="19"/>
      <c r="B1682" s="19"/>
      <c r="C1682" s="19"/>
      <c r="D1682" s="19"/>
      <c r="E1682" s="32"/>
      <c r="F1682" s="19"/>
      <c r="G1682" s="26" t="str">
        <f aca="false">IF(A1682="","",COUNTIF(Pubs!$B$2:$B$3001,A1682))</f>
        <v/>
      </c>
      <c r="H1682" s="26" t="str">
        <f aca="false">IF(A1682="","",COUNTIF(Apparitions!$H$2:$H$5001,A1682))</f>
        <v/>
      </c>
      <c r="I1682" s="26" t="str">
        <f aca="false">IF(A1682="","",COUNTIFS(Apparitions!$H$2:$H$5001,A1682,Apparitions!$E$2:$E$5001,"○"))</f>
        <v/>
      </c>
      <c r="J1682" s="29" t="str">
        <f aca="false">IF(A1682="","",IFERROR(1/(1/_xlfn.MINIFS(Apparitions!$L$2:$L$5001,Apparitions!$H$2:$H$5001,A1682)),""))</f>
        <v/>
      </c>
    </row>
    <row r="1683" customFormat="false" ht="15" hidden="false" customHeight="false" outlineLevel="0" collapsed="false">
      <c r="A1683" s="19"/>
      <c r="B1683" s="19"/>
      <c r="C1683" s="19"/>
      <c r="D1683" s="19"/>
      <c r="E1683" s="32"/>
      <c r="F1683" s="19"/>
      <c r="G1683" s="26" t="str">
        <f aca="false">IF(A1683="","",COUNTIF(Pubs!$B$2:$B$3001,A1683))</f>
        <v/>
      </c>
      <c r="H1683" s="26" t="str">
        <f aca="false">IF(A1683="","",COUNTIF(Apparitions!$H$2:$H$5001,A1683))</f>
        <v/>
      </c>
      <c r="I1683" s="26" t="str">
        <f aca="false">IF(A1683="","",COUNTIFS(Apparitions!$H$2:$H$5001,A1683,Apparitions!$E$2:$E$5001,"○"))</f>
        <v/>
      </c>
      <c r="J1683" s="29" t="str">
        <f aca="false">IF(A1683="","",IFERROR(1/(1/_xlfn.MINIFS(Apparitions!$L$2:$L$5001,Apparitions!$H$2:$H$5001,A1683)),""))</f>
        <v/>
      </c>
    </row>
    <row r="1684" customFormat="false" ht="15" hidden="false" customHeight="false" outlineLevel="0" collapsed="false">
      <c r="A1684" s="19"/>
      <c r="B1684" s="19"/>
      <c r="C1684" s="19"/>
      <c r="D1684" s="19"/>
      <c r="E1684" s="32"/>
      <c r="F1684" s="19"/>
      <c r="G1684" s="26" t="str">
        <f aca="false">IF(A1684="","",COUNTIF(Pubs!$B$2:$B$3001,A1684))</f>
        <v/>
      </c>
      <c r="H1684" s="26" t="str">
        <f aca="false">IF(A1684="","",COUNTIF(Apparitions!$H$2:$H$5001,A1684))</f>
        <v/>
      </c>
      <c r="I1684" s="26" t="str">
        <f aca="false">IF(A1684="","",COUNTIFS(Apparitions!$H$2:$H$5001,A1684,Apparitions!$E$2:$E$5001,"○"))</f>
        <v/>
      </c>
      <c r="J1684" s="29" t="str">
        <f aca="false">IF(A1684="","",IFERROR(1/(1/_xlfn.MINIFS(Apparitions!$L$2:$L$5001,Apparitions!$H$2:$H$5001,A1684)),""))</f>
        <v/>
      </c>
    </row>
    <row r="1685" customFormat="false" ht="15" hidden="false" customHeight="false" outlineLevel="0" collapsed="false">
      <c r="A1685" s="19"/>
      <c r="B1685" s="19"/>
      <c r="C1685" s="19"/>
      <c r="D1685" s="19"/>
      <c r="E1685" s="32"/>
      <c r="F1685" s="19"/>
      <c r="G1685" s="26" t="str">
        <f aca="false">IF(A1685="","",COUNTIF(Pubs!$B$2:$B$3001,A1685))</f>
        <v/>
      </c>
      <c r="H1685" s="26" t="str">
        <f aca="false">IF(A1685="","",COUNTIF(Apparitions!$H$2:$H$5001,A1685))</f>
        <v/>
      </c>
      <c r="I1685" s="26" t="str">
        <f aca="false">IF(A1685="","",COUNTIFS(Apparitions!$H$2:$H$5001,A1685,Apparitions!$E$2:$E$5001,"○"))</f>
        <v/>
      </c>
      <c r="J1685" s="29" t="str">
        <f aca="false">IF(A1685="","",IFERROR(1/(1/_xlfn.MINIFS(Apparitions!$L$2:$L$5001,Apparitions!$H$2:$H$5001,A1685)),""))</f>
        <v/>
      </c>
    </row>
    <row r="1686" customFormat="false" ht="15" hidden="false" customHeight="false" outlineLevel="0" collapsed="false">
      <c r="A1686" s="19"/>
      <c r="B1686" s="19"/>
      <c r="C1686" s="19"/>
      <c r="D1686" s="19"/>
      <c r="E1686" s="32"/>
      <c r="F1686" s="19"/>
      <c r="G1686" s="26" t="str">
        <f aca="false">IF(A1686="","",COUNTIF(Pubs!$B$2:$B$3001,A1686))</f>
        <v/>
      </c>
      <c r="H1686" s="26" t="str">
        <f aca="false">IF(A1686="","",COUNTIF(Apparitions!$H$2:$H$5001,A1686))</f>
        <v/>
      </c>
      <c r="I1686" s="26" t="str">
        <f aca="false">IF(A1686="","",COUNTIFS(Apparitions!$H$2:$H$5001,A1686,Apparitions!$E$2:$E$5001,"○"))</f>
        <v/>
      </c>
      <c r="J1686" s="29" t="str">
        <f aca="false">IF(A1686="","",IFERROR(1/(1/_xlfn.MINIFS(Apparitions!$L$2:$L$5001,Apparitions!$H$2:$H$5001,A1686)),""))</f>
        <v/>
      </c>
    </row>
    <row r="1687" customFormat="false" ht="15" hidden="false" customHeight="false" outlineLevel="0" collapsed="false">
      <c r="A1687" s="19"/>
      <c r="B1687" s="19"/>
      <c r="C1687" s="19"/>
      <c r="D1687" s="19"/>
      <c r="E1687" s="32"/>
      <c r="F1687" s="19"/>
      <c r="G1687" s="26" t="str">
        <f aca="false">IF(A1687="","",COUNTIF(Pubs!$B$2:$B$3001,A1687))</f>
        <v/>
      </c>
      <c r="H1687" s="26" t="str">
        <f aca="false">IF(A1687="","",COUNTIF(Apparitions!$H$2:$H$5001,A1687))</f>
        <v/>
      </c>
      <c r="I1687" s="26" t="str">
        <f aca="false">IF(A1687="","",COUNTIFS(Apparitions!$H$2:$H$5001,A1687,Apparitions!$E$2:$E$5001,"○"))</f>
        <v/>
      </c>
      <c r="J1687" s="29" t="str">
        <f aca="false">IF(A1687="","",IFERROR(1/(1/_xlfn.MINIFS(Apparitions!$L$2:$L$5001,Apparitions!$H$2:$H$5001,A1687)),""))</f>
        <v/>
      </c>
    </row>
    <row r="1688" customFormat="false" ht="15" hidden="false" customHeight="false" outlineLevel="0" collapsed="false">
      <c r="A1688" s="19"/>
      <c r="B1688" s="19"/>
      <c r="C1688" s="19"/>
      <c r="D1688" s="19"/>
      <c r="E1688" s="32"/>
      <c r="F1688" s="19"/>
      <c r="G1688" s="26" t="str">
        <f aca="false">IF(A1688="","",COUNTIF(Pubs!$B$2:$B$3001,A1688))</f>
        <v/>
      </c>
      <c r="H1688" s="26" t="str">
        <f aca="false">IF(A1688="","",COUNTIF(Apparitions!$H$2:$H$5001,A1688))</f>
        <v/>
      </c>
      <c r="I1688" s="26" t="str">
        <f aca="false">IF(A1688="","",COUNTIFS(Apparitions!$H$2:$H$5001,A1688,Apparitions!$E$2:$E$5001,"○"))</f>
        <v/>
      </c>
      <c r="J1688" s="29" t="str">
        <f aca="false">IF(A1688="","",IFERROR(1/(1/_xlfn.MINIFS(Apparitions!$L$2:$L$5001,Apparitions!$H$2:$H$5001,A1688)),""))</f>
        <v/>
      </c>
    </row>
    <row r="1689" customFormat="false" ht="15" hidden="false" customHeight="false" outlineLevel="0" collapsed="false">
      <c r="A1689" s="19"/>
      <c r="B1689" s="19"/>
      <c r="C1689" s="19"/>
      <c r="D1689" s="19"/>
      <c r="E1689" s="32"/>
      <c r="F1689" s="19"/>
      <c r="G1689" s="26" t="str">
        <f aca="false">IF(A1689="","",COUNTIF(Pubs!$B$2:$B$3001,A1689))</f>
        <v/>
      </c>
      <c r="H1689" s="26" t="str">
        <f aca="false">IF(A1689="","",COUNTIF(Apparitions!$H$2:$H$5001,A1689))</f>
        <v/>
      </c>
      <c r="I1689" s="26" t="str">
        <f aca="false">IF(A1689="","",COUNTIFS(Apparitions!$H$2:$H$5001,A1689,Apparitions!$E$2:$E$5001,"○"))</f>
        <v/>
      </c>
      <c r="J1689" s="29" t="str">
        <f aca="false">IF(A1689="","",IFERROR(1/(1/_xlfn.MINIFS(Apparitions!$L$2:$L$5001,Apparitions!$H$2:$H$5001,A1689)),""))</f>
        <v/>
      </c>
    </row>
    <row r="1690" customFormat="false" ht="15" hidden="false" customHeight="false" outlineLevel="0" collapsed="false">
      <c r="A1690" s="19"/>
      <c r="B1690" s="19"/>
      <c r="C1690" s="19"/>
      <c r="D1690" s="19"/>
      <c r="E1690" s="32"/>
      <c r="F1690" s="19"/>
      <c r="G1690" s="26" t="str">
        <f aca="false">IF(A1690="","",COUNTIF(Pubs!$B$2:$B$3001,A1690))</f>
        <v/>
      </c>
      <c r="H1690" s="26" t="str">
        <f aca="false">IF(A1690="","",COUNTIF(Apparitions!$H$2:$H$5001,A1690))</f>
        <v/>
      </c>
      <c r="I1690" s="26" t="str">
        <f aca="false">IF(A1690="","",COUNTIFS(Apparitions!$H$2:$H$5001,A1690,Apparitions!$E$2:$E$5001,"○"))</f>
        <v/>
      </c>
      <c r="J1690" s="29" t="str">
        <f aca="false">IF(A1690="","",IFERROR(1/(1/_xlfn.MINIFS(Apparitions!$L$2:$L$5001,Apparitions!$H$2:$H$5001,A1690)),""))</f>
        <v/>
      </c>
    </row>
    <row r="1691" customFormat="false" ht="15" hidden="false" customHeight="false" outlineLevel="0" collapsed="false">
      <c r="A1691" s="19"/>
      <c r="B1691" s="19"/>
      <c r="C1691" s="19"/>
      <c r="D1691" s="19"/>
      <c r="E1691" s="32"/>
      <c r="F1691" s="19"/>
      <c r="G1691" s="26" t="str">
        <f aca="false">IF(A1691="","",COUNTIF(Pubs!$B$2:$B$3001,A1691))</f>
        <v/>
      </c>
      <c r="H1691" s="26" t="str">
        <f aca="false">IF(A1691="","",COUNTIF(Apparitions!$H$2:$H$5001,A1691))</f>
        <v/>
      </c>
      <c r="I1691" s="26" t="str">
        <f aca="false">IF(A1691="","",COUNTIFS(Apparitions!$H$2:$H$5001,A1691,Apparitions!$E$2:$E$5001,"○"))</f>
        <v/>
      </c>
      <c r="J1691" s="29" t="str">
        <f aca="false">IF(A1691="","",IFERROR(1/(1/_xlfn.MINIFS(Apparitions!$L$2:$L$5001,Apparitions!$H$2:$H$5001,A1691)),""))</f>
        <v/>
      </c>
    </row>
    <row r="1692" customFormat="false" ht="15" hidden="false" customHeight="false" outlineLevel="0" collapsed="false">
      <c r="A1692" s="19"/>
      <c r="B1692" s="19"/>
      <c r="C1692" s="19"/>
      <c r="D1692" s="19"/>
      <c r="E1692" s="32"/>
      <c r="F1692" s="19"/>
      <c r="G1692" s="26" t="str">
        <f aca="false">IF(A1692="","",COUNTIF(Pubs!$B$2:$B$3001,A1692))</f>
        <v/>
      </c>
      <c r="H1692" s="26" t="str">
        <f aca="false">IF(A1692="","",COUNTIF(Apparitions!$H$2:$H$5001,A1692))</f>
        <v/>
      </c>
      <c r="I1692" s="26" t="str">
        <f aca="false">IF(A1692="","",COUNTIFS(Apparitions!$H$2:$H$5001,A1692,Apparitions!$E$2:$E$5001,"○"))</f>
        <v/>
      </c>
      <c r="J1692" s="29" t="str">
        <f aca="false">IF(A1692="","",IFERROR(1/(1/_xlfn.MINIFS(Apparitions!$L$2:$L$5001,Apparitions!$H$2:$H$5001,A1692)),""))</f>
        <v/>
      </c>
    </row>
    <row r="1693" customFormat="false" ht="15" hidden="false" customHeight="false" outlineLevel="0" collapsed="false">
      <c r="A1693" s="19"/>
      <c r="B1693" s="19"/>
      <c r="C1693" s="19"/>
      <c r="D1693" s="19"/>
      <c r="E1693" s="32"/>
      <c r="F1693" s="19"/>
      <c r="G1693" s="26" t="str">
        <f aca="false">IF(A1693="","",COUNTIF(Pubs!$B$2:$B$3001,A1693))</f>
        <v/>
      </c>
      <c r="H1693" s="26" t="str">
        <f aca="false">IF(A1693="","",COUNTIF(Apparitions!$H$2:$H$5001,A1693))</f>
        <v/>
      </c>
      <c r="I1693" s="26" t="str">
        <f aca="false">IF(A1693="","",COUNTIFS(Apparitions!$H$2:$H$5001,A1693,Apparitions!$E$2:$E$5001,"○"))</f>
        <v/>
      </c>
      <c r="J1693" s="29" t="str">
        <f aca="false">IF(A1693="","",IFERROR(1/(1/_xlfn.MINIFS(Apparitions!$L$2:$L$5001,Apparitions!$H$2:$H$5001,A1693)),""))</f>
        <v/>
      </c>
    </row>
    <row r="1694" customFormat="false" ht="15" hidden="false" customHeight="false" outlineLevel="0" collapsed="false">
      <c r="A1694" s="19"/>
      <c r="B1694" s="19"/>
      <c r="C1694" s="19"/>
      <c r="D1694" s="19"/>
      <c r="E1694" s="32"/>
      <c r="F1694" s="19"/>
      <c r="G1694" s="26" t="str">
        <f aca="false">IF(A1694="","",COUNTIF(Pubs!$B$2:$B$3001,A1694))</f>
        <v/>
      </c>
      <c r="H1694" s="26" t="str">
        <f aca="false">IF(A1694="","",COUNTIF(Apparitions!$H$2:$H$5001,A1694))</f>
        <v/>
      </c>
      <c r="I1694" s="26" t="str">
        <f aca="false">IF(A1694="","",COUNTIFS(Apparitions!$H$2:$H$5001,A1694,Apparitions!$E$2:$E$5001,"○"))</f>
        <v/>
      </c>
      <c r="J1694" s="29" t="str">
        <f aca="false">IF(A1694="","",IFERROR(1/(1/_xlfn.MINIFS(Apparitions!$L$2:$L$5001,Apparitions!$H$2:$H$5001,A1694)),""))</f>
        <v/>
      </c>
    </row>
    <row r="1695" customFormat="false" ht="15" hidden="false" customHeight="false" outlineLevel="0" collapsed="false">
      <c r="A1695" s="19"/>
      <c r="B1695" s="19"/>
      <c r="C1695" s="19"/>
      <c r="D1695" s="19"/>
      <c r="E1695" s="32"/>
      <c r="F1695" s="19"/>
      <c r="G1695" s="26" t="str">
        <f aca="false">IF(A1695="","",COUNTIF(Pubs!$B$2:$B$3001,A1695))</f>
        <v/>
      </c>
      <c r="H1695" s="26" t="str">
        <f aca="false">IF(A1695="","",COUNTIF(Apparitions!$H$2:$H$5001,A1695))</f>
        <v/>
      </c>
      <c r="I1695" s="26" t="str">
        <f aca="false">IF(A1695="","",COUNTIFS(Apparitions!$H$2:$H$5001,A1695,Apparitions!$E$2:$E$5001,"○"))</f>
        <v/>
      </c>
      <c r="J1695" s="29" t="str">
        <f aca="false">IF(A1695="","",IFERROR(1/(1/_xlfn.MINIFS(Apparitions!$L$2:$L$5001,Apparitions!$H$2:$H$5001,A1695)),""))</f>
        <v/>
      </c>
    </row>
    <row r="1696" customFormat="false" ht="15" hidden="false" customHeight="false" outlineLevel="0" collapsed="false">
      <c r="A1696" s="19"/>
      <c r="B1696" s="19"/>
      <c r="C1696" s="19"/>
      <c r="D1696" s="19"/>
      <c r="E1696" s="32"/>
      <c r="F1696" s="19"/>
      <c r="G1696" s="26" t="str">
        <f aca="false">IF(A1696="","",COUNTIF(Pubs!$B$2:$B$3001,A1696))</f>
        <v/>
      </c>
      <c r="H1696" s="26" t="str">
        <f aca="false">IF(A1696="","",COUNTIF(Apparitions!$H$2:$H$5001,A1696))</f>
        <v/>
      </c>
      <c r="I1696" s="26" t="str">
        <f aca="false">IF(A1696="","",COUNTIFS(Apparitions!$H$2:$H$5001,A1696,Apparitions!$E$2:$E$5001,"○"))</f>
        <v/>
      </c>
      <c r="J1696" s="29" t="str">
        <f aca="false">IF(A1696="","",IFERROR(1/(1/_xlfn.MINIFS(Apparitions!$L$2:$L$5001,Apparitions!$H$2:$H$5001,A1696)),""))</f>
        <v/>
      </c>
    </row>
    <row r="1697" customFormat="false" ht="15" hidden="false" customHeight="false" outlineLevel="0" collapsed="false">
      <c r="A1697" s="19"/>
      <c r="B1697" s="19"/>
      <c r="C1697" s="19"/>
      <c r="D1697" s="19"/>
      <c r="E1697" s="32"/>
      <c r="F1697" s="19"/>
      <c r="G1697" s="26" t="str">
        <f aca="false">IF(A1697="","",COUNTIF(Pubs!$B$2:$B$3001,A1697))</f>
        <v/>
      </c>
      <c r="H1697" s="26" t="str">
        <f aca="false">IF(A1697="","",COUNTIF(Apparitions!$H$2:$H$5001,A1697))</f>
        <v/>
      </c>
      <c r="I1697" s="26" t="str">
        <f aca="false">IF(A1697="","",COUNTIFS(Apparitions!$H$2:$H$5001,A1697,Apparitions!$E$2:$E$5001,"○"))</f>
        <v/>
      </c>
      <c r="J1697" s="29" t="str">
        <f aca="false">IF(A1697="","",IFERROR(1/(1/_xlfn.MINIFS(Apparitions!$L$2:$L$5001,Apparitions!$H$2:$H$5001,A1697)),""))</f>
        <v/>
      </c>
    </row>
    <row r="1698" customFormat="false" ht="15" hidden="false" customHeight="false" outlineLevel="0" collapsed="false">
      <c r="A1698" s="19"/>
      <c r="B1698" s="19"/>
      <c r="C1698" s="19"/>
      <c r="D1698" s="19"/>
      <c r="E1698" s="32"/>
      <c r="F1698" s="19"/>
      <c r="G1698" s="26" t="str">
        <f aca="false">IF(A1698="","",COUNTIF(Pubs!$B$2:$B$3001,A1698))</f>
        <v/>
      </c>
      <c r="H1698" s="26" t="str">
        <f aca="false">IF(A1698="","",COUNTIF(Apparitions!$H$2:$H$5001,A1698))</f>
        <v/>
      </c>
      <c r="I1698" s="26" t="str">
        <f aca="false">IF(A1698="","",COUNTIFS(Apparitions!$H$2:$H$5001,A1698,Apparitions!$E$2:$E$5001,"○"))</f>
        <v/>
      </c>
      <c r="J1698" s="29" t="str">
        <f aca="false">IF(A1698="","",IFERROR(1/(1/_xlfn.MINIFS(Apparitions!$L$2:$L$5001,Apparitions!$H$2:$H$5001,A1698)),""))</f>
        <v/>
      </c>
    </row>
    <row r="1699" customFormat="false" ht="15" hidden="false" customHeight="false" outlineLevel="0" collapsed="false">
      <c r="A1699" s="19"/>
      <c r="B1699" s="19"/>
      <c r="C1699" s="19"/>
      <c r="D1699" s="19"/>
      <c r="E1699" s="32"/>
      <c r="F1699" s="19"/>
      <c r="G1699" s="26" t="str">
        <f aca="false">IF(A1699="","",COUNTIF(Pubs!$B$2:$B$3001,A1699))</f>
        <v/>
      </c>
      <c r="H1699" s="26" t="str">
        <f aca="false">IF(A1699="","",COUNTIF(Apparitions!$H$2:$H$5001,A1699))</f>
        <v/>
      </c>
      <c r="I1699" s="26" t="str">
        <f aca="false">IF(A1699="","",COUNTIFS(Apparitions!$H$2:$H$5001,A1699,Apparitions!$E$2:$E$5001,"○"))</f>
        <v/>
      </c>
      <c r="J1699" s="29" t="str">
        <f aca="false">IF(A1699="","",IFERROR(1/(1/_xlfn.MINIFS(Apparitions!$L$2:$L$5001,Apparitions!$H$2:$H$5001,A1699)),""))</f>
        <v/>
      </c>
    </row>
    <row r="1700" customFormat="false" ht="15" hidden="false" customHeight="false" outlineLevel="0" collapsed="false">
      <c r="A1700" s="19"/>
      <c r="B1700" s="19"/>
      <c r="C1700" s="19"/>
      <c r="D1700" s="19"/>
      <c r="E1700" s="32"/>
      <c r="F1700" s="19"/>
      <c r="G1700" s="26" t="str">
        <f aca="false">IF(A1700="","",COUNTIF(Pubs!$B$2:$B$3001,A1700))</f>
        <v/>
      </c>
      <c r="H1700" s="26" t="str">
        <f aca="false">IF(A1700="","",COUNTIF(Apparitions!$H$2:$H$5001,A1700))</f>
        <v/>
      </c>
      <c r="I1700" s="26" t="str">
        <f aca="false">IF(A1700="","",COUNTIFS(Apparitions!$H$2:$H$5001,A1700,Apparitions!$E$2:$E$5001,"○"))</f>
        <v/>
      </c>
      <c r="J1700" s="29" t="str">
        <f aca="false">IF(A1700="","",IFERROR(1/(1/_xlfn.MINIFS(Apparitions!$L$2:$L$5001,Apparitions!$H$2:$H$5001,A1700)),""))</f>
        <v/>
      </c>
    </row>
    <row r="1701" customFormat="false" ht="15" hidden="false" customHeight="false" outlineLevel="0" collapsed="false">
      <c r="A1701" s="19"/>
      <c r="B1701" s="19"/>
      <c r="C1701" s="19"/>
      <c r="D1701" s="19"/>
      <c r="E1701" s="32"/>
      <c r="F1701" s="19"/>
      <c r="G1701" s="26" t="str">
        <f aca="false">IF(A1701="","",COUNTIF(Pubs!$B$2:$B$3001,A1701))</f>
        <v/>
      </c>
      <c r="H1701" s="26" t="str">
        <f aca="false">IF(A1701="","",COUNTIF(Apparitions!$H$2:$H$5001,A1701))</f>
        <v/>
      </c>
      <c r="I1701" s="26" t="str">
        <f aca="false">IF(A1701="","",COUNTIFS(Apparitions!$H$2:$H$5001,A1701,Apparitions!$E$2:$E$5001,"○"))</f>
        <v/>
      </c>
      <c r="J1701" s="29" t="str">
        <f aca="false">IF(A1701="","",IFERROR(1/(1/_xlfn.MINIFS(Apparitions!$L$2:$L$5001,Apparitions!$H$2:$H$5001,A1701)),""))</f>
        <v/>
      </c>
    </row>
    <row r="1702" customFormat="false" ht="15" hidden="false" customHeight="false" outlineLevel="0" collapsed="false">
      <c r="A1702" s="19"/>
      <c r="B1702" s="19"/>
      <c r="C1702" s="19"/>
      <c r="D1702" s="19"/>
      <c r="E1702" s="32"/>
      <c r="F1702" s="19"/>
      <c r="G1702" s="26" t="str">
        <f aca="false">IF(A1702="","",COUNTIF(Pubs!$B$2:$B$3001,A1702))</f>
        <v/>
      </c>
      <c r="H1702" s="26" t="str">
        <f aca="false">IF(A1702="","",COUNTIF(Apparitions!$H$2:$H$5001,A1702))</f>
        <v/>
      </c>
      <c r="I1702" s="26" t="str">
        <f aca="false">IF(A1702="","",COUNTIFS(Apparitions!$H$2:$H$5001,A1702,Apparitions!$E$2:$E$5001,"○"))</f>
        <v/>
      </c>
      <c r="J1702" s="29" t="str">
        <f aca="false">IF(A1702="","",IFERROR(1/(1/_xlfn.MINIFS(Apparitions!$L$2:$L$5001,Apparitions!$H$2:$H$5001,A1702)),""))</f>
        <v/>
      </c>
    </row>
    <row r="1703" customFormat="false" ht="15" hidden="false" customHeight="false" outlineLevel="0" collapsed="false">
      <c r="A1703" s="19"/>
      <c r="B1703" s="19"/>
      <c r="C1703" s="19"/>
      <c r="D1703" s="19"/>
      <c r="E1703" s="32"/>
      <c r="F1703" s="19"/>
      <c r="G1703" s="26" t="str">
        <f aca="false">IF(A1703="","",COUNTIF(Pubs!$B$2:$B$3001,A1703))</f>
        <v/>
      </c>
      <c r="H1703" s="26" t="str">
        <f aca="false">IF(A1703="","",COUNTIF(Apparitions!$H$2:$H$5001,A1703))</f>
        <v/>
      </c>
      <c r="I1703" s="26" t="str">
        <f aca="false">IF(A1703="","",COUNTIFS(Apparitions!$H$2:$H$5001,A1703,Apparitions!$E$2:$E$5001,"○"))</f>
        <v/>
      </c>
      <c r="J1703" s="29" t="str">
        <f aca="false">IF(A1703="","",IFERROR(1/(1/_xlfn.MINIFS(Apparitions!$L$2:$L$5001,Apparitions!$H$2:$H$5001,A1703)),""))</f>
        <v/>
      </c>
    </row>
    <row r="1704" customFormat="false" ht="15" hidden="false" customHeight="false" outlineLevel="0" collapsed="false">
      <c r="A1704" s="19"/>
      <c r="B1704" s="19"/>
      <c r="C1704" s="19"/>
      <c r="D1704" s="19"/>
      <c r="E1704" s="32"/>
      <c r="F1704" s="19"/>
      <c r="G1704" s="26" t="str">
        <f aca="false">IF(A1704="","",COUNTIF(Pubs!$B$2:$B$3001,A1704))</f>
        <v/>
      </c>
      <c r="H1704" s="26" t="str">
        <f aca="false">IF(A1704="","",COUNTIF(Apparitions!$H$2:$H$5001,A1704))</f>
        <v/>
      </c>
      <c r="I1704" s="26" t="str">
        <f aca="false">IF(A1704="","",COUNTIFS(Apparitions!$H$2:$H$5001,A1704,Apparitions!$E$2:$E$5001,"○"))</f>
        <v/>
      </c>
      <c r="J1704" s="29" t="str">
        <f aca="false">IF(A1704="","",IFERROR(1/(1/_xlfn.MINIFS(Apparitions!$L$2:$L$5001,Apparitions!$H$2:$H$5001,A1704)),""))</f>
        <v/>
      </c>
    </row>
    <row r="1705" customFormat="false" ht="15" hidden="false" customHeight="false" outlineLevel="0" collapsed="false">
      <c r="A1705" s="19"/>
      <c r="B1705" s="19"/>
      <c r="C1705" s="19"/>
      <c r="D1705" s="19"/>
      <c r="E1705" s="32"/>
      <c r="F1705" s="19"/>
      <c r="G1705" s="26" t="str">
        <f aca="false">IF(A1705="","",COUNTIF(Pubs!$B$2:$B$3001,A1705))</f>
        <v/>
      </c>
      <c r="H1705" s="26" t="str">
        <f aca="false">IF(A1705="","",COUNTIF(Apparitions!$H$2:$H$5001,A1705))</f>
        <v/>
      </c>
      <c r="I1705" s="26" t="str">
        <f aca="false">IF(A1705="","",COUNTIFS(Apparitions!$H$2:$H$5001,A1705,Apparitions!$E$2:$E$5001,"○"))</f>
        <v/>
      </c>
      <c r="J1705" s="29" t="str">
        <f aca="false">IF(A1705="","",IFERROR(1/(1/_xlfn.MINIFS(Apparitions!$L$2:$L$5001,Apparitions!$H$2:$H$5001,A1705)),""))</f>
        <v/>
      </c>
    </row>
    <row r="1706" customFormat="false" ht="15" hidden="false" customHeight="false" outlineLevel="0" collapsed="false">
      <c r="A1706" s="19"/>
      <c r="B1706" s="19"/>
      <c r="C1706" s="19"/>
      <c r="D1706" s="19"/>
      <c r="E1706" s="32"/>
      <c r="F1706" s="19"/>
      <c r="G1706" s="26" t="str">
        <f aca="false">IF(A1706="","",COUNTIF(Pubs!$B$2:$B$3001,A1706))</f>
        <v/>
      </c>
      <c r="H1706" s="26" t="str">
        <f aca="false">IF(A1706="","",COUNTIF(Apparitions!$H$2:$H$5001,A1706))</f>
        <v/>
      </c>
      <c r="I1706" s="26" t="str">
        <f aca="false">IF(A1706="","",COUNTIFS(Apparitions!$H$2:$H$5001,A1706,Apparitions!$E$2:$E$5001,"○"))</f>
        <v/>
      </c>
      <c r="J1706" s="29" t="str">
        <f aca="false">IF(A1706="","",IFERROR(1/(1/_xlfn.MINIFS(Apparitions!$L$2:$L$5001,Apparitions!$H$2:$H$5001,A1706)),""))</f>
        <v/>
      </c>
    </row>
    <row r="1707" customFormat="false" ht="15" hidden="false" customHeight="false" outlineLevel="0" collapsed="false">
      <c r="A1707" s="19"/>
      <c r="B1707" s="19"/>
      <c r="C1707" s="19"/>
      <c r="D1707" s="19"/>
      <c r="E1707" s="32"/>
      <c r="F1707" s="19"/>
      <c r="G1707" s="26" t="str">
        <f aca="false">IF(A1707="","",COUNTIF(Pubs!$B$2:$B$3001,A1707))</f>
        <v/>
      </c>
      <c r="H1707" s="26" t="str">
        <f aca="false">IF(A1707="","",COUNTIF(Apparitions!$H$2:$H$5001,A1707))</f>
        <v/>
      </c>
      <c r="I1707" s="26" t="str">
        <f aca="false">IF(A1707="","",COUNTIFS(Apparitions!$H$2:$H$5001,A1707,Apparitions!$E$2:$E$5001,"○"))</f>
        <v/>
      </c>
      <c r="J1707" s="29" t="str">
        <f aca="false">IF(A1707="","",IFERROR(1/(1/_xlfn.MINIFS(Apparitions!$L$2:$L$5001,Apparitions!$H$2:$H$5001,A1707)),""))</f>
        <v/>
      </c>
    </row>
    <row r="1708" customFormat="false" ht="15" hidden="false" customHeight="false" outlineLevel="0" collapsed="false">
      <c r="A1708" s="19"/>
      <c r="B1708" s="19"/>
      <c r="C1708" s="19"/>
      <c r="D1708" s="19"/>
      <c r="E1708" s="32"/>
      <c r="F1708" s="19"/>
      <c r="G1708" s="26" t="str">
        <f aca="false">IF(A1708="","",COUNTIF(Pubs!$B$2:$B$3001,A1708))</f>
        <v/>
      </c>
      <c r="H1708" s="26" t="str">
        <f aca="false">IF(A1708="","",COUNTIF(Apparitions!$H$2:$H$5001,A1708))</f>
        <v/>
      </c>
      <c r="I1708" s="26" t="str">
        <f aca="false">IF(A1708="","",COUNTIFS(Apparitions!$H$2:$H$5001,A1708,Apparitions!$E$2:$E$5001,"○"))</f>
        <v/>
      </c>
      <c r="J1708" s="29" t="str">
        <f aca="false">IF(A1708="","",IFERROR(1/(1/_xlfn.MINIFS(Apparitions!$L$2:$L$5001,Apparitions!$H$2:$H$5001,A1708)),""))</f>
        <v/>
      </c>
    </row>
    <row r="1709" customFormat="false" ht="15" hidden="false" customHeight="false" outlineLevel="0" collapsed="false">
      <c r="A1709" s="19"/>
      <c r="B1709" s="19"/>
      <c r="C1709" s="19"/>
      <c r="D1709" s="19"/>
      <c r="E1709" s="32"/>
      <c r="F1709" s="19"/>
      <c r="G1709" s="26" t="str">
        <f aca="false">IF(A1709="","",COUNTIF(Pubs!$B$2:$B$3001,A1709))</f>
        <v/>
      </c>
      <c r="H1709" s="26" t="str">
        <f aca="false">IF(A1709="","",COUNTIF(Apparitions!$H$2:$H$5001,A1709))</f>
        <v/>
      </c>
      <c r="I1709" s="26" t="str">
        <f aca="false">IF(A1709="","",COUNTIFS(Apparitions!$H$2:$H$5001,A1709,Apparitions!$E$2:$E$5001,"○"))</f>
        <v/>
      </c>
      <c r="J1709" s="29" t="str">
        <f aca="false">IF(A1709="","",IFERROR(1/(1/_xlfn.MINIFS(Apparitions!$L$2:$L$5001,Apparitions!$H$2:$H$5001,A1709)),""))</f>
        <v/>
      </c>
    </row>
    <row r="1710" customFormat="false" ht="15" hidden="false" customHeight="false" outlineLevel="0" collapsed="false">
      <c r="A1710" s="19"/>
      <c r="B1710" s="19"/>
      <c r="C1710" s="19"/>
      <c r="D1710" s="19"/>
      <c r="E1710" s="32"/>
      <c r="F1710" s="19"/>
      <c r="G1710" s="26" t="str">
        <f aca="false">IF(A1710="","",COUNTIF(Pubs!$B$2:$B$3001,A1710))</f>
        <v/>
      </c>
      <c r="H1710" s="26" t="str">
        <f aca="false">IF(A1710="","",COUNTIF(Apparitions!$H$2:$H$5001,A1710))</f>
        <v/>
      </c>
      <c r="I1710" s="26" t="str">
        <f aca="false">IF(A1710="","",COUNTIFS(Apparitions!$H$2:$H$5001,A1710,Apparitions!$E$2:$E$5001,"○"))</f>
        <v/>
      </c>
      <c r="J1710" s="29" t="str">
        <f aca="false">IF(A1710="","",IFERROR(1/(1/_xlfn.MINIFS(Apparitions!$L$2:$L$5001,Apparitions!$H$2:$H$5001,A1710)),""))</f>
        <v/>
      </c>
    </row>
    <row r="1711" customFormat="false" ht="15" hidden="false" customHeight="false" outlineLevel="0" collapsed="false">
      <c r="A1711" s="19"/>
      <c r="B1711" s="19"/>
      <c r="C1711" s="19"/>
      <c r="D1711" s="19"/>
      <c r="E1711" s="32"/>
      <c r="F1711" s="19"/>
      <c r="G1711" s="26" t="str">
        <f aca="false">IF(A1711="","",COUNTIF(Pubs!$B$2:$B$3001,A1711))</f>
        <v/>
      </c>
      <c r="H1711" s="26" t="str">
        <f aca="false">IF(A1711="","",COUNTIF(Apparitions!$H$2:$H$5001,A1711))</f>
        <v/>
      </c>
      <c r="I1711" s="26" t="str">
        <f aca="false">IF(A1711="","",COUNTIFS(Apparitions!$H$2:$H$5001,A1711,Apparitions!$E$2:$E$5001,"○"))</f>
        <v/>
      </c>
      <c r="J1711" s="29" t="str">
        <f aca="false">IF(A1711="","",IFERROR(1/(1/_xlfn.MINIFS(Apparitions!$L$2:$L$5001,Apparitions!$H$2:$H$5001,A1711)),""))</f>
        <v/>
      </c>
    </row>
    <row r="1712" customFormat="false" ht="15" hidden="false" customHeight="false" outlineLevel="0" collapsed="false">
      <c r="A1712" s="19"/>
      <c r="B1712" s="19"/>
      <c r="C1712" s="19"/>
      <c r="D1712" s="19"/>
      <c r="E1712" s="32"/>
      <c r="F1712" s="19"/>
      <c r="G1712" s="26" t="str">
        <f aca="false">IF(A1712="","",COUNTIF(Pubs!$B$2:$B$3001,A1712))</f>
        <v/>
      </c>
      <c r="H1712" s="26" t="str">
        <f aca="false">IF(A1712="","",COUNTIF(Apparitions!$H$2:$H$5001,A1712))</f>
        <v/>
      </c>
      <c r="I1712" s="26" t="str">
        <f aca="false">IF(A1712="","",COUNTIFS(Apparitions!$H$2:$H$5001,A1712,Apparitions!$E$2:$E$5001,"○"))</f>
        <v/>
      </c>
      <c r="J1712" s="29" t="str">
        <f aca="false">IF(A1712="","",IFERROR(1/(1/_xlfn.MINIFS(Apparitions!$L$2:$L$5001,Apparitions!$H$2:$H$5001,A1712)),""))</f>
        <v/>
      </c>
    </row>
    <row r="1713" customFormat="false" ht="15" hidden="false" customHeight="false" outlineLevel="0" collapsed="false">
      <c r="A1713" s="19"/>
      <c r="B1713" s="19"/>
      <c r="C1713" s="19"/>
      <c r="D1713" s="19"/>
      <c r="E1713" s="32"/>
      <c r="F1713" s="19"/>
      <c r="G1713" s="26" t="str">
        <f aca="false">IF(A1713="","",COUNTIF(Pubs!$B$2:$B$3001,A1713))</f>
        <v/>
      </c>
      <c r="H1713" s="26" t="str">
        <f aca="false">IF(A1713="","",COUNTIF(Apparitions!$H$2:$H$5001,A1713))</f>
        <v/>
      </c>
      <c r="I1713" s="26" t="str">
        <f aca="false">IF(A1713="","",COUNTIFS(Apparitions!$H$2:$H$5001,A1713,Apparitions!$E$2:$E$5001,"○"))</f>
        <v/>
      </c>
      <c r="J1713" s="29" t="str">
        <f aca="false">IF(A1713="","",IFERROR(1/(1/_xlfn.MINIFS(Apparitions!$L$2:$L$5001,Apparitions!$H$2:$H$5001,A1713)),""))</f>
        <v/>
      </c>
    </row>
    <row r="1714" customFormat="false" ht="15" hidden="false" customHeight="false" outlineLevel="0" collapsed="false">
      <c r="A1714" s="19"/>
      <c r="B1714" s="19"/>
      <c r="C1714" s="19"/>
      <c r="D1714" s="19"/>
      <c r="E1714" s="32"/>
      <c r="F1714" s="19"/>
      <c r="G1714" s="26" t="str">
        <f aca="false">IF(A1714="","",COUNTIF(Pubs!$B$2:$B$3001,A1714))</f>
        <v/>
      </c>
      <c r="H1714" s="26" t="str">
        <f aca="false">IF(A1714="","",COUNTIF(Apparitions!$H$2:$H$5001,A1714))</f>
        <v/>
      </c>
      <c r="I1714" s="26" t="str">
        <f aca="false">IF(A1714="","",COUNTIFS(Apparitions!$H$2:$H$5001,A1714,Apparitions!$E$2:$E$5001,"○"))</f>
        <v/>
      </c>
      <c r="J1714" s="29" t="str">
        <f aca="false">IF(A1714="","",IFERROR(1/(1/_xlfn.MINIFS(Apparitions!$L$2:$L$5001,Apparitions!$H$2:$H$5001,A1714)),""))</f>
        <v/>
      </c>
    </row>
    <row r="1715" customFormat="false" ht="15" hidden="false" customHeight="false" outlineLevel="0" collapsed="false">
      <c r="A1715" s="19"/>
      <c r="B1715" s="19"/>
      <c r="C1715" s="19"/>
      <c r="D1715" s="19"/>
      <c r="E1715" s="32"/>
      <c r="F1715" s="19"/>
      <c r="G1715" s="26" t="str">
        <f aca="false">IF(A1715="","",COUNTIF(Pubs!$B$2:$B$3001,A1715))</f>
        <v/>
      </c>
      <c r="H1715" s="26" t="str">
        <f aca="false">IF(A1715="","",COUNTIF(Apparitions!$H$2:$H$5001,A1715))</f>
        <v/>
      </c>
      <c r="I1715" s="26" t="str">
        <f aca="false">IF(A1715="","",COUNTIFS(Apparitions!$H$2:$H$5001,A1715,Apparitions!$E$2:$E$5001,"○"))</f>
        <v/>
      </c>
      <c r="J1715" s="29" t="str">
        <f aca="false">IF(A1715="","",IFERROR(1/(1/_xlfn.MINIFS(Apparitions!$L$2:$L$5001,Apparitions!$H$2:$H$5001,A1715)),""))</f>
        <v/>
      </c>
    </row>
    <row r="1716" customFormat="false" ht="15" hidden="false" customHeight="false" outlineLevel="0" collapsed="false">
      <c r="A1716" s="19"/>
      <c r="B1716" s="19"/>
      <c r="C1716" s="19"/>
      <c r="D1716" s="19"/>
      <c r="E1716" s="32"/>
      <c r="F1716" s="19"/>
      <c r="G1716" s="26" t="str">
        <f aca="false">IF(A1716="","",COUNTIF(Pubs!$B$2:$B$3001,A1716))</f>
        <v/>
      </c>
      <c r="H1716" s="26" t="str">
        <f aca="false">IF(A1716="","",COUNTIF(Apparitions!$H$2:$H$5001,A1716))</f>
        <v/>
      </c>
      <c r="I1716" s="26" t="str">
        <f aca="false">IF(A1716="","",COUNTIFS(Apparitions!$H$2:$H$5001,A1716,Apparitions!$E$2:$E$5001,"○"))</f>
        <v/>
      </c>
      <c r="J1716" s="29" t="str">
        <f aca="false">IF(A1716="","",IFERROR(1/(1/_xlfn.MINIFS(Apparitions!$L$2:$L$5001,Apparitions!$H$2:$H$5001,A1716)),""))</f>
        <v/>
      </c>
    </row>
    <row r="1717" customFormat="false" ht="15" hidden="false" customHeight="false" outlineLevel="0" collapsed="false">
      <c r="A1717" s="19"/>
      <c r="B1717" s="19"/>
      <c r="C1717" s="19"/>
      <c r="D1717" s="19"/>
      <c r="E1717" s="32"/>
      <c r="F1717" s="19"/>
      <c r="G1717" s="26" t="str">
        <f aca="false">IF(A1717="","",COUNTIF(Pubs!$B$2:$B$3001,A1717))</f>
        <v/>
      </c>
      <c r="H1717" s="26" t="str">
        <f aca="false">IF(A1717="","",COUNTIF(Apparitions!$H$2:$H$5001,A1717))</f>
        <v/>
      </c>
      <c r="I1717" s="26" t="str">
        <f aca="false">IF(A1717="","",COUNTIFS(Apparitions!$H$2:$H$5001,A1717,Apparitions!$E$2:$E$5001,"○"))</f>
        <v/>
      </c>
      <c r="J1717" s="29" t="str">
        <f aca="false">IF(A1717="","",IFERROR(1/(1/_xlfn.MINIFS(Apparitions!$L$2:$L$5001,Apparitions!$H$2:$H$5001,A1717)),""))</f>
        <v/>
      </c>
    </row>
    <row r="1718" customFormat="false" ht="15" hidden="false" customHeight="false" outlineLevel="0" collapsed="false">
      <c r="A1718" s="19"/>
      <c r="B1718" s="19"/>
      <c r="C1718" s="19"/>
      <c r="D1718" s="19"/>
      <c r="E1718" s="32"/>
      <c r="F1718" s="19"/>
      <c r="G1718" s="26" t="str">
        <f aca="false">IF(A1718="","",COUNTIF(Pubs!$B$2:$B$3001,A1718))</f>
        <v/>
      </c>
      <c r="H1718" s="26" t="str">
        <f aca="false">IF(A1718="","",COUNTIF(Apparitions!$H$2:$H$5001,A1718))</f>
        <v/>
      </c>
      <c r="I1718" s="26" t="str">
        <f aca="false">IF(A1718="","",COUNTIFS(Apparitions!$H$2:$H$5001,A1718,Apparitions!$E$2:$E$5001,"○"))</f>
        <v/>
      </c>
      <c r="J1718" s="29" t="str">
        <f aca="false">IF(A1718="","",IFERROR(1/(1/_xlfn.MINIFS(Apparitions!$L$2:$L$5001,Apparitions!$H$2:$H$5001,A1718)),""))</f>
        <v/>
      </c>
    </row>
    <row r="1719" customFormat="false" ht="15" hidden="false" customHeight="false" outlineLevel="0" collapsed="false">
      <c r="A1719" s="19"/>
      <c r="B1719" s="19"/>
      <c r="C1719" s="19"/>
      <c r="D1719" s="19"/>
      <c r="E1719" s="32"/>
      <c r="F1719" s="19"/>
      <c r="G1719" s="26" t="str">
        <f aca="false">IF(A1719="","",COUNTIF(Pubs!$B$2:$B$3001,A1719))</f>
        <v/>
      </c>
      <c r="H1719" s="26" t="str">
        <f aca="false">IF(A1719="","",COUNTIF(Apparitions!$H$2:$H$5001,A1719))</f>
        <v/>
      </c>
      <c r="I1719" s="26" t="str">
        <f aca="false">IF(A1719="","",COUNTIFS(Apparitions!$H$2:$H$5001,A1719,Apparitions!$E$2:$E$5001,"○"))</f>
        <v/>
      </c>
      <c r="J1719" s="29" t="str">
        <f aca="false">IF(A1719="","",IFERROR(1/(1/_xlfn.MINIFS(Apparitions!$L$2:$L$5001,Apparitions!$H$2:$H$5001,A1719)),""))</f>
        <v/>
      </c>
    </row>
    <row r="1720" customFormat="false" ht="15" hidden="false" customHeight="false" outlineLevel="0" collapsed="false">
      <c r="A1720" s="19"/>
      <c r="B1720" s="19"/>
      <c r="C1720" s="19"/>
      <c r="D1720" s="19"/>
      <c r="E1720" s="32"/>
      <c r="F1720" s="19"/>
      <c r="G1720" s="26" t="str">
        <f aca="false">IF(A1720="","",COUNTIF(Pubs!$B$2:$B$3001,A1720))</f>
        <v/>
      </c>
      <c r="H1720" s="26" t="str">
        <f aca="false">IF(A1720="","",COUNTIF(Apparitions!$H$2:$H$5001,A1720))</f>
        <v/>
      </c>
      <c r="I1720" s="26" t="str">
        <f aca="false">IF(A1720="","",COUNTIFS(Apparitions!$H$2:$H$5001,A1720,Apparitions!$E$2:$E$5001,"○"))</f>
        <v/>
      </c>
      <c r="J1720" s="29" t="str">
        <f aca="false">IF(A1720="","",IFERROR(1/(1/_xlfn.MINIFS(Apparitions!$L$2:$L$5001,Apparitions!$H$2:$H$5001,A1720)),""))</f>
        <v/>
      </c>
    </row>
    <row r="1721" customFormat="false" ht="15" hidden="false" customHeight="false" outlineLevel="0" collapsed="false">
      <c r="A1721" s="19"/>
      <c r="B1721" s="19"/>
      <c r="C1721" s="19"/>
      <c r="D1721" s="19"/>
      <c r="E1721" s="32"/>
      <c r="F1721" s="19"/>
      <c r="G1721" s="26" t="str">
        <f aca="false">IF(A1721="","",COUNTIF(Pubs!$B$2:$B$3001,A1721))</f>
        <v/>
      </c>
      <c r="H1721" s="26" t="str">
        <f aca="false">IF(A1721="","",COUNTIF(Apparitions!$H$2:$H$5001,A1721))</f>
        <v/>
      </c>
      <c r="I1721" s="26" t="str">
        <f aca="false">IF(A1721="","",COUNTIFS(Apparitions!$H$2:$H$5001,A1721,Apparitions!$E$2:$E$5001,"○"))</f>
        <v/>
      </c>
      <c r="J1721" s="29" t="str">
        <f aca="false">IF(A1721="","",IFERROR(1/(1/_xlfn.MINIFS(Apparitions!$L$2:$L$5001,Apparitions!$H$2:$H$5001,A1721)),""))</f>
        <v/>
      </c>
    </row>
    <row r="1722" customFormat="false" ht="15" hidden="false" customHeight="false" outlineLevel="0" collapsed="false">
      <c r="A1722" s="19"/>
      <c r="B1722" s="19"/>
      <c r="C1722" s="19"/>
      <c r="D1722" s="19"/>
      <c r="E1722" s="32"/>
      <c r="F1722" s="19"/>
      <c r="G1722" s="26" t="str">
        <f aca="false">IF(A1722="","",COUNTIF(Pubs!$B$2:$B$3001,A1722))</f>
        <v/>
      </c>
      <c r="H1722" s="26" t="str">
        <f aca="false">IF(A1722="","",COUNTIF(Apparitions!$H$2:$H$5001,A1722))</f>
        <v/>
      </c>
      <c r="I1722" s="26" t="str">
        <f aca="false">IF(A1722="","",COUNTIFS(Apparitions!$H$2:$H$5001,A1722,Apparitions!$E$2:$E$5001,"○"))</f>
        <v/>
      </c>
      <c r="J1722" s="29" t="str">
        <f aca="false">IF(A1722="","",IFERROR(1/(1/_xlfn.MINIFS(Apparitions!$L$2:$L$5001,Apparitions!$H$2:$H$5001,A1722)),""))</f>
        <v/>
      </c>
    </row>
    <row r="1723" customFormat="false" ht="15" hidden="false" customHeight="false" outlineLevel="0" collapsed="false">
      <c r="A1723" s="19"/>
      <c r="B1723" s="19"/>
      <c r="C1723" s="19"/>
      <c r="D1723" s="19"/>
      <c r="E1723" s="32"/>
      <c r="F1723" s="19"/>
      <c r="G1723" s="26" t="str">
        <f aca="false">IF(A1723="","",COUNTIF(Pubs!$B$2:$B$3001,A1723))</f>
        <v/>
      </c>
      <c r="H1723" s="26" t="str">
        <f aca="false">IF(A1723="","",COUNTIF(Apparitions!$H$2:$H$5001,A1723))</f>
        <v/>
      </c>
      <c r="I1723" s="26" t="str">
        <f aca="false">IF(A1723="","",COUNTIFS(Apparitions!$H$2:$H$5001,A1723,Apparitions!$E$2:$E$5001,"○"))</f>
        <v/>
      </c>
      <c r="J1723" s="29" t="str">
        <f aca="false">IF(A1723="","",IFERROR(1/(1/_xlfn.MINIFS(Apparitions!$L$2:$L$5001,Apparitions!$H$2:$H$5001,A1723)),""))</f>
        <v/>
      </c>
    </row>
    <row r="1724" customFormat="false" ht="15" hidden="false" customHeight="false" outlineLevel="0" collapsed="false">
      <c r="A1724" s="19"/>
      <c r="B1724" s="19"/>
      <c r="C1724" s="19"/>
      <c r="D1724" s="19"/>
      <c r="E1724" s="32"/>
      <c r="F1724" s="19"/>
      <c r="G1724" s="26" t="str">
        <f aca="false">IF(A1724="","",COUNTIF(Pubs!$B$2:$B$3001,A1724))</f>
        <v/>
      </c>
      <c r="H1724" s="26" t="str">
        <f aca="false">IF(A1724="","",COUNTIF(Apparitions!$H$2:$H$5001,A1724))</f>
        <v/>
      </c>
      <c r="I1724" s="26" t="str">
        <f aca="false">IF(A1724="","",COUNTIFS(Apparitions!$H$2:$H$5001,A1724,Apparitions!$E$2:$E$5001,"○"))</f>
        <v/>
      </c>
      <c r="J1724" s="29" t="str">
        <f aca="false">IF(A1724="","",IFERROR(1/(1/_xlfn.MINIFS(Apparitions!$L$2:$L$5001,Apparitions!$H$2:$H$5001,A1724)),""))</f>
        <v/>
      </c>
    </row>
    <row r="1725" customFormat="false" ht="15" hidden="false" customHeight="false" outlineLevel="0" collapsed="false">
      <c r="A1725" s="19"/>
      <c r="B1725" s="19"/>
      <c r="C1725" s="19"/>
      <c r="D1725" s="19"/>
      <c r="E1725" s="32"/>
      <c r="F1725" s="19"/>
      <c r="G1725" s="26" t="str">
        <f aca="false">IF(A1725="","",COUNTIF(Pubs!$B$2:$B$3001,A1725))</f>
        <v/>
      </c>
      <c r="H1725" s="26" t="str">
        <f aca="false">IF(A1725="","",COUNTIF(Apparitions!$H$2:$H$5001,A1725))</f>
        <v/>
      </c>
      <c r="I1725" s="26" t="str">
        <f aca="false">IF(A1725="","",COUNTIFS(Apparitions!$H$2:$H$5001,A1725,Apparitions!$E$2:$E$5001,"○"))</f>
        <v/>
      </c>
      <c r="J1725" s="29" t="str">
        <f aca="false">IF(A1725="","",IFERROR(1/(1/_xlfn.MINIFS(Apparitions!$L$2:$L$5001,Apparitions!$H$2:$H$5001,A1725)),""))</f>
        <v/>
      </c>
    </row>
    <row r="1726" customFormat="false" ht="15" hidden="false" customHeight="false" outlineLevel="0" collapsed="false">
      <c r="A1726" s="19"/>
      <c r="B1726" s="19"/>
      <c r="C1726" s="19"/>
      <c r="D1726" s="19"/>
      <c r="E1726" s="32"/>
      <c r="F1726" s="19"/>
      <c r="G1726" s="26" t="str">
        <f aca="false">IF(A1726="","",COUNTIF(Pubs!$B$2:$B$3001,A1726))</f>
        <v/>
      </c>
      <c r="H1726" s="26" t="str">
        <f aca="false">IF(A1726="","",COUNTIF(Apparitions!$H$2:$H$5001,A1726))</f>
        <v/>
      </c>
      <c r="I1726" s="26" t="str">
        <f aca="false">IF(A1726="","",COUNTIFS(Apparitions!$H$2:$H$5001,A1726,Apparitions!$E$2:$E$5001,"○"))</f>
        <v/>
      </c>
      <c r="J1726" s="29" t="str">
        <f aca="false">IF(A1726="","",IFERROR(1/(1/_xlfn.MINIFS(Apparitions!$L$2:$L$5001,Apparitions!$H$2:$H$5001,A1726)),""))</f>
        <v/>
      </c>
    </row>
    <row r="1727" customFormat="false" ht="15" hidden="false" customHeight="false" outlineLevel="0" collapsed="false">
      <c r="A1727" s="19"/>
      <c r="B1727" s="19"/>
      <c r="C1727" s="19"/>
      <c r="D1727" s="19"/>
      <c r="E1727" s="32"/>
      <c r="F1727" s="19"/>
      <c r="G1727" s="26" t="str">
        <f aca="false">IF(A1727="","",COUNTIF(Pubs!$B$2:$B$3001,A1727))</f>
        <v/>
      </c>
      <c r="H1727" s="26" t="str">
        <f aca="false">IF(A1727="","",COUNTIF(Apparitions!$H$2:$H$5001,A1727))</f>
        <v/>
      </c>
      <c r="I1727" s="26" t="str">
        <f aca="false">IF(A1727="","",COUNTIFS(Apparitions!$H$2:$H$5001,A1727,Apparitions!$E$2:$E$5001,"○"))</f>
        <v/>
      </c>
      <c r="J1727" s="29" t="str">
        <f aca="false">IF(A1727="","",IFERROR(1/(1/_xlfn.MINIFS(Apparitions!$L$2:$L$5001,Apparitions!$H$2:$H$5001,A1727)),""))</f>
        <v/>
      </c>
    </row>
    <row r="1728" customFormat="false" ht="15" hidden="false" customHeight="false" outlineLevel="0" collapsed="false">
      <c r="A1728" s="19"/>
      <c r="B1728" s="19"/>
      <c r="C1728" s="19"/>
      <c r="D1728" s="19"/>
      <c r="E1728" s="32"/>
      <c r="F1728" s="19"/>
      <c r="G1728" s="26" t="str">
        <f aca="false">IF(A1728="","",COUNTIF(Pubs!$B$2:$B$3001,A1728))</f>
        <v/>
      </c>
      <c r="H1728" s="26" t="str">
        <f aca="false">IF(A1728="","",COUNTIF(Apparitions!$H$2:$H$5001,A1728))</f>
        <v/>
      </c>
      <c r="I1728" s="26" t="str">
        <f aca="false">IF(A1728="","",COUNTIFS(Apparitions!$H$2:$H$5001,A1728,Apparitions!$E$2:$E$5001,"○"))</f>
        <v/>
      </c>
      <c r="J1728" s="29" t="str">
        <f aca="false">IF(A1728="","",IFERROR(1/(1/_xlfn.MINIFS(Apparitions!$L$2:$L$5001,Apparitions!$H$2:$H$5001,A1728)),""))</f>
        <v/>
      </c>
    </row>
    <row r="1729" customFormat="false" ht="15" hidden="false" customHeight="false" outlineLevel="0" collapsed="false">
      <c r="A1729" s="19"/>
      <c r="B1729" s="19"/>
      <c r="C1729" s="19"/>
      <c r="D1729" s="19"/>
      <c r="E1729" s="32"/>
      <c r="F1729" s="19"/>
      <c r="G1729" s="26" t="str">
        <f aca="false">IF(A1729="","",COUNTIF(Pubs!$B$2:$B$3001,A1729))</f>
        <v/>
      </c>
      <c r="H1729" s="26" t="str">
        <f aca="false">IF(A1729="","",COUNTIF(Apparitions!$H$2:$H$5001,A1729))</f>
        <v/>
      </c>
      <c r="I1729" s="26" t="str">
        <f aca="false">IF(A1729="","",COUNTIFS(Apparitions!$H$2:$H$5001,A1729,Apparitions!$E$2:$E$5001,"○"))</f>
        <v/>
      </c>
      <c r="J1729" s="29" t="str">
        <f aca="false">IF(A1729="","",IFERROR(1/(1/_xlfn.MINIFS(Apparitions!$L$2:$L$5001,Apparitions!$H$2:$H$5001,A1729)),""))</f>
        <v/>
      </c>
    </row>
    <row r="1730" customFormat="false" ht="15" hidden="false" customHeight="false" outlineLevel="0" collapsed="false">
      <c r="A1730" s="19"/>
      <c r="B1730" s="19"/>
      <c r="C1730" s="19"/>
      <c r="D1730" s="19"/>
      <c r="E1730" s="32"/>
      <c r="F1730" s="19"/>
      <c r="G1730" s="26" t="str">
        <f aca="false">IF(A1730="","",COUNTIF(Pubs!$B$2:$B$3001,A1730))</f>
        <v/>
      </c>
      <c r="H1730" s="26" t="str">
        <f aca="false">IF(A1730="","",COUNTIF(Apparitions!$H$2:$H$5001,A1730))</f>
        <v/>
      </c>
      <c r="I1730" s="26" t="str">
        <f aca="false">IF(A1730="","",COUNTIFS(Apparitions!$H$2:$H$5001,A1730,Apparitions!$E$2:$E$5001,"○"))</f>
        <v/>
      </c>
      <c r="J1730" s="29" t="str">
        <f aca="false">IF(A1730="","",IFERROR(1/(1/_xlfn.MINIFS(Apparitions!$L$2:$L$5001,Apparitions!$H$2:$H$5001,A1730)),""))</f>
        <v/>
      </c>
    </row>
    <row r="1731" customFormat="false" ht="15" hidden="false" customHeight="false" outlineLevel="0" collapsed="false">
      <c r="A1731" s="19"/>
      <c r="B1731" s="19"/>
      <c r="C1731" s="19"/>
      <c r="D1731" s="19"/>
      <c r="E1731" s="32"/>
      <c r="F1731" s="19"/>
      <c r="G1731" s="26" t="str">
        <f aca="false">IF(A1731="","",COUNTIF(Pubs!$B$2:$B$3001,A1731))</f>
        <v/>
      </c>
      <c r="H1731" s="26" t="str">
        <f aca="false">IF(A1731="","",COUNTIF(Apparitions!$H$2:$H$5001,A1731))</f>
        <v/>
      </c>
      <c r="I1731" s="26" t="str">
        <f aca="false">IF(A1731="","",COUNTIFS(Apparitions!$H$2:$H$5001,A1731,Apparitions!$E$2:$E$5001,"○"))</f>
        <v/>
      </c>
      <c r="J1731" s="29" t="str">
        <f aca="false">IF(A1731="","",IFERROR(1/(1/_xlfn.MINIFS(Apparitions!$L$2:$L$5001,Apparitions!$H$2:$H$5001,A1731)),""))</f>
        <v/>
      </c>
    </row>
    <row r="1732" customFormat="false" ht="15" hidden="false" customHeight="false" outlineLevel="0" collapsed="false">
      <c r="A1732" s="19"/>
      <c r="B1732" s="19"/>
      <c r="C1732" s="19"/>
      <c r="D1732" s="19"/>
      <c r="E1732" s="32"/>
      <c r="F1732" s="19"/>
      <c r="G1732" s="26" t="str">
        <f aca="false">IF(A1732="","",COUNTIF(Pubs!$B$2:$B$3001,A1732))</f>
        <v/>
      </c>
      <c r="H1732" s="26" t="str">
        <f aca="false">IF(A1732="","",COUNTIF(Apparitions!$H$2:$H$5001,A1732))</f>
        <v/>
      </c>
      <c r="I1732" s="26" t="str">
        <f aca="false">IF(A1732="","",COUNTIFS(Apparitions!$H$2:$H$5001,A1732,Apparitions!$E$2:$E$5001,"○"))</f>
        <v/>
      </c>
      <c r="J1732" s="29" t="str">
        <f aca="false">IF(A1732="","",IFERROR(1/(1/_xlfn.MINIFS(Apparitions!$L$2:$L$5001,Apparitions!$H$2:$H$5001,A1732)),""))</f>
        <v/>
      </c>
    </row>
    <row r="1733" customFormat="false" ht="15" hidden="false" customHeight="false" outlineLevel="0" collapsed="false">
      <c r="A1733" s="19"/>
      <c r="B1733" s="19"/>
      <c r="C1733" s="19"/>
      <c r="D1733" s="19"/>
      <c r="E1733" s="32"/>
      <c r="F1733" s="19"/>
      <c r="G1733" s="26" t="str">
        <f aca="false">IF(A1733="","",COUNTIF(Pubs!$B$2:$B$3001,A1733))</f>
        <v/>
      </c>
      <c r="H1733" s="26" t="str">
        <f aca="false">IF(A1733="","",COUNTIF(Apparitions!$H$2:$H$5001,A1733))</f>
        <v/>
      </c>
      <c r="I1733" s="26" t="str">
        <f aca="false">IF(A1733="","",COUNTIFS(Apparitions!$H$2:$H$5001,A1733,Apparitions!$E$2:$E$5001,"○"))</f>
        <v/>
      </c>
      <c r="J1733" s="29" t="str">
        <f aca="false">IF(A1733="","",IFERROR(1/(1/_xlfn.MINIFS(Apparitions!$L$2:$L$5001,Apparitions!$H$2:$H$5001,A1733)),""))</f>
        <v/>
      </c>
    </row>
    <row r="1734" customFormat="false" ht="15" hidden="false" customHeight="false" outlineLevel="0" collapsed="false">
      <c r="A1734" s="19"/>
      <c r="B1734" s="19"/>
      <c r="C1734" s="19"/>
      <c r="D1734" s="19"/>
      <c r="E1734" s="32"/>
      <c r="F1734" s="19"/>
      <c r="G1734" s="26" t="str">
        <f aca="false">IF(A1734="","",COUNTIF(Pubs!$B$2:$B$3001,A1734))</f>
        <v/>
      </c>
      <c r="H1734" s="26" t="str">
        <f aca="false">IF(A1734="","",COUNTIF(Apparitions!$H$2:$H$5001,A1734))</f>
        <v/>
      </c>
      <c r="I1734" s="26" t="str">
        <f aca="false">IF(A1734="","",COUNTIFS(Apparitions!$H$2:$H$5001,A1734,Apparitions!$E$2:$E$5001,"○"))</f>
        <v/>
      </c>
      <c r="J1734" s="29" t="str">
        <f aca="false">IF(A1734="","",IFERROR(1/(1/_xlfn.MINIFS(Apparitions!$L$2:$L$5001,Apparitions!$H$2:$H$5001,A1734)),""))</f>
        <v/>
      </c>
    </row>
    <row r="1735" customFormat="false" ht="15" hidden="false" customHeight="false" outlineLevel="0" collapsed="false">
      <c r="A1735" s="19"/>
      <c r="B1735" s="19"/>
      <c r="C1735" s="19"/>
      <c r="D1735" s="19"/>
      <c r="E1735" s="32"/>
      <c r="F1735" s="19"/>
      <c r="G1735" s="26" t="str">
        <f aca="false">IF(A1735="","",COUNTIF(Pubs!$B$2:$B$3001,A1735))</f>
        <v/>
      </c>
      <c r="H1735" s="26" t="str">
        <f aca="false">IF(A1735="","",COUNTIF(Apparitions!$H$2:$H$5001,A1735))</f>
        <v/>
      </c>
      <c r="I1735" s="26" t="str">
        <f aca="false">IF(A1735="","",COUNTIFS(Apparitions!$H$2:$H$5001,A1735,Apparitions!$E$2:$E$5001,"○"))</f>
        <v/>
      </c>
      <c r="J1735" s="29" t="str">
        <f aca="false">IF(A1735="","",IFERROR(1/(1/_xlfn.MINIFS(Apparitions!$L$2:$L$5001,Apparitions!$H$2:$H$5001,A1735)),""))</f>
        <v/>
      </c>
    </row>
    <row r="1736" customFormat="false" ht="15" hidden="false" customHeight="false" outlineLevel="0" collapsed="false">
      <c r="A1736" s="19"/>
      <c r="B1736" s="19"/>
      <c r="C1736" s="19"/>
      <c r="D1736" s="19"/>
      <c r="E1736" s="32"/>
      <c r="F1736" s="19"/>
      <c r="G1736" s="26" t="str">
        <f aca="false">IF(A1736="","",COUNTIF(Pubs!$B$2:$B$3001,A1736))</f>
        <v/>
      </c>
      <c r="H1736" s="26" t="str">
        <f aca="false">IF(A1736="","",COUNTIF(Apparitions!$H$2:$H$5001,A1736))</f>
        <v/>
      </c>
      <c r="I1736" s="26" t="str">
        <f aca="false">IF(A1736="","",COUNTIFS(Apparitions!$H$2:$H$5001,A1736,Apparitions!$E$2:$E$5001,"○"))</f>
        <v/>
      </c>
      <c r="J1736" s="29" t="str">
        <f aca="false">IF(A1736="","",IFERROR(1/(1/_xlfn.MINIFS(Apparitions!$L$2:$L$5001,Apparitions!$H$2:$H$5001,A1736)),""))</f>
        <v/>
      </c>
    </row>
    <row r="1737" customFormat="false" ht="15" hidden="false" customHeight="false" outlineLevel="0" collapsed="false">
      <c r="A1737" s="19"/>
      <c r="B1737" s="19"/>
      <c r="C1737" s="19"/>
      <c r="D1737" s="19"/>
      <c r="E1737" s="32"/>
      <c r="F1737" s="19"/>
      <c r="G1737" s="26" t="str">
        <f aca="false">IF(A1737="","",COUNTIF(Pubs!$B$2:$B$3001,A1737))</f>
        <v/>
      </c>
      <c r="H1737" s="26" t="str">
        <f aca="false">IF(A1737="","",COUNTIF(Apparitions!$H$2:$H$5001,A1737))</f>
        <v/>
      </c>
      <c r="I1737" s="26" t="str">
        <f aca="false">IF(A1737="","",COUNTIFS(Apparitions!$H$2:$H$5001,A1737,Apparitions!$E$2:$E$5001,"○"))</f>
        <v/>
      </c>
      <c r="J1737" s="29" t="str">
        <f aca="false">IF(A1737="","",IFERROR(1/(1/_xlfn.MINIFS(Apparitions!$L$2:$L$5001,Apparitions!$H$2:$H$5001,A1737)),""))</f>
        <v/>
      </c>
    </row>
    <row r="1738" customFormat="false" ht="15" hidden="false" customHeight="false" outlineLevel="0" collapsed="false">
      <c r="A1738" s="19"/>
      <c r="B1738" s="19"/>
      <c r="C1738" s="19"/>
      <c r="D1738" s="19"/>
      <c r="E1738" s="32"/>
      <c r="F1738" s="19"/>
      <c r="G1738" s="26" t="str">
        <f aca="false">IF(A1738="","",COUNTIF(Pubs!$B$2:$B$3001,A1738))</f>
        <v/>
      </c>
      <c r="H1738" s="26" t="str">
        <f aca="false">IF(A1738="","",COUNTIF(Apparitions!$H$2:$H$5001,A1738))</f>
        <v/>
      </c>
      <c r="I1738" s="26" t="str">
        <f aca="false">IF(A1738="","",COUNTIFS(Apparitions!$H$2:$H$5001,A1738,Apparitions!$E$2:$E$5001,"○"))</f>
        <v/>
      </c>
      <c r="J1738" s="29" t="str">
        <f aca="false">IF(A1738="","",IFERROR(1/(1/_xlfn.MINIFS(Apparitions!$L$2:$L$5001,Apparitions!$H$2:$H$5001,A1738)),""))</f>
        <v/>
      </c>
    </row>
    <row r="1739" customFormat="false" ht="15" hidden="false" customHeight="false" outlineLevel="0" collapsed="false">
      <c r="A1739" s="19"/>
      <c r="B1739" s="19"/>
      <c r="C1739" s="19"/>
      <c r="D1739" s="19"/>
      <c r="E1739" s="32"/>
      <c r="F1739" s="19"/>
      <c r="G1739" s="26" t="str">
        <f aca="false">IF(A1739="","",COUNTIF(Pubs!$B$2:$B$3001,A1739))</f>
        <v/>
      </c>
      <c r="H1739" s="26" t="str">
        <f aca="false">IF(A1739="","",COUNTIF(Apparitions!$H$2:$H$5001,A1739))</f>
        <v/>
      </c>
      <c r="I1739" s="26" t="str">
        <f aca="false">IF(A1739="","",COUNTIFS(Apparitions!$H$2:$H$5001,A1739,Apparitions!$E$2:$E$5001,"○"))</f>
        <v/>
      </c>
      <c r="J1739" s="29" t="str">
        <f aca="false">IF(A1739="","",IFERROR(1/(1/_xlfn.MINIFS(Apparitions!$L$2:$L$5001,Apparitions!$H$2:$H$5001,A1739)),""))</f>
        <v/>
      </c>
    </row>
    <row r="1740" customFormat="false" ht="15" hidden="false" customHeight="false" outlineLevel="0" collapsed="false">
      <c r="A1740" s="19"/>
      <c r="B1740" s="19"/>
      <c r="C1740" s="19"/>
      <c r="D1740" s="19"/>
      <c r="E1740" s="32"/>
      <c r="F1740" s="19"/>
      <c r="G1740" s="26" t="str">
        <f aca="false">IF(A1740="","",COUNTIF(Pubs!$B$2:$B$3001,A1740))</f>
        <v/>
      </c>
      <c r="H1740" s="26" t="str">
        <f aca="false">IF(A1740="","",COUNTIF(Apparitions!$H$2:$H$5001,A1740))</f>
        <v/>
      </c>
      <c r="I1740" s="26" t="str">
        <f aca="false">IF(A1740="","",COUNTIFS(Apparitions!$H$2:$H$5001,A1740,Apparitions!$E$2:$E$5001,"○"))</f>
        <v/>
      </c>
      <c r="J1740" s="29" t="str">
        <f aca="false">IF(A1740="","",IFERROR(1/(1/_xlfn.MINIFS(Apparitions!$L$2:$L$5001,Apparitions!$H$2:$H$5001,A1740)),""))</f>
        <v/>
      </c>
    </row>
    <row r="1741" customFormat="false" ht="15" hidden="false" customHeight="false" outlineLevel="0" collapsed="false">
      <c r="A1741" s="19"/>
      <c r="B1741" s="19"/>
      <c r="C1741" s="19"/>
      <c r="D1741" s="19"/>
      <c r="E1741" s="32"/>
      <c r="F1741" s="19"/>
      <c r="G1741" s="26" t="str">
        <f aca="false">IF(A1741="","",COUNTIF(Pubs!$B$2:$B$3001,A1741))</f>
        <v/>
      </c>
      <c r="H1741" s="26" t="str">
        <f aca="false">IF(A1741="","",COUNTIF(Apparitions!$H$2:$H$5001,A1741))</f>
        <v/>
      </c>
      <c r="I1741" s="26" t="str">
        <f aca="false">IF(A1741="","",COUNTIFS(Apparitions!$H$2:$H$5001,A1741,Apparitions!$E$2:$E$5001,"○"))</f>
        <v/>
      </c>
      <c r="J1741" s="29" t="str">
        <f aca="false">IF(A1741="","",IFERROR(1/(1/_xlfn.MINIFS(Apparitions!$L$2:$L$5001,Apparitions!$H$2:$H$5001,A1741)),""))</f>
        <v/>
      </c>
    </row>
    <row r="1742" customFormat="false" ht="15" hidden="false" customHeight="false" outlineLevel="0" collapsed="false">
      <c r="A1742" s="19"/>
      <c r="B1742" s="19"/>
      <c r="C1742" s="19"/>
      <c r="D1742" s="19"/>
      <c r="E1742" s="32"/>
      <c r="F1742" s="19"/>
      <c r="G1742" s="26" t="str">
        <f aca="false">IF(A1742="","",COUNTIF(Pubs!$B$2:$B$3001,A1742))</f>
        <v/>
      </c>
      <c r="H1742" s="26" t="str">
        <f aca="false">IF(A1742="","",COUNTIF(Apparitions!$H$2:$H$5001,A1742))</f>
        <v/>
      </c>
      <c r="I1742" s="26" t="str">
        <f aca="false">IF(A1742="","",COUNTIFS(Apparitions!$H$2:$H$5001,A1742,Apparitions!$E$2:$E$5001,"○"))</f>
        <v/>
      </c>
      <c r="J1742" s="29" t="str">
        <f aca="false">IF(A1742="","",IFERROR(1/(1/_xlfn.MINIFS(Apparitions!$L$2:$L$5001,Apparitions!$H$2:$H$5001,A1742)),""))</f>
        <v/>
      </c>
    </row>
    <row r="1743" customFormat="false" ht="15" hidden="false" customHeight="false" outlineLevel="0" collapsed="false">
      <c r="A1743" s="19"/>
      <c r="B1743" s="19"/>
      <c r="C1743" s="19"/>
      <c r="D1743" s="19"/>
      <c r="E1743" s="32"/>
      <c r="F1743" s="19"/>
      <c r="G1743" s="26" t="str">
        <f aca="false">IF(A1743="","",COUNTIF(Pubs!$B$2:$B$3001,A1743))</f>
        <v/>
      </c>
      <c r="H1743" s="26" t="str">
        <f aca="false">IF(A1743="","",COUNTIF(Apparitions!$H$2:$H$5001,A1743))</f>
        <v/>
      </c>
      <c r="I1743" s="26" t="str">
        <f aca="false">IF(A1743="","",COUNTIFS(Apparitions!$H$2:$H$5001,A1743,Apparitions!$E$2:$E$5001,"○"))</f>
        <v/>
      </c>
      <c r="J1743" s="29" t="str">
        <f aca="false">IF(A1743="","",IFERROR(1/(1/_xlfn.MINIFS(Apparitions!$L$2:$L$5001,Apparitions!$H$2:$H$5001,A1743)),""))</f>
        <v/>
      </c>
    </row>
    <row r="1744" customFormat="false" ht="15" hidden="false" customHeight="false" outlineLevel="0" collapsed="false">
      <c r="A1744" s="19"/>
      <c r="B1744" s="19"/>
      <c r="C1744" s="19"/>
      <c r="D1744" s="19"/>
      <c r="E1744" s="32"/>
      <c r="F1744" s="19"/>
      <c r="G1744" s="26" t="str">
        <f aca="false">IF(A1744="","",COUNTIF(Pubs!$B$2:$B$3001,A1744))</f>
        <v/>
      </c>
      <c r="H1744" s="26" t="str">
        <f aca="false">IF(A1744="","",COUNTIF(Apparitions!$H$2:$H$5001,A1744))</f>
        <v/>
      </c>
      <c r="I1744" s="26" t="str">
        <f aca="false">IF(A1744="","",COUNTIFS(Apparitions!$H$2:$H$5001,A1744,Apparitions!$E$2:$E$5001,"○"))</f>
        <v/>
      </c>
      <c r="J1744" s="29" t="str">
        <f aca="false">IF(A1744="","",IFERROR(1/(1/_xlfn.MINIFS(Apparitions!$L$2:$L$5001,Apparitions!$H$2:$H$5001,A1744)),""))</f>
        <v/>
      </c>
    </row>
    <row r="1745" customFormat="false" ht="15" hidden="false" customHeight="false" outlineLevel="0" collapsed="false">
      <c r="A1745" s="19"/>
      <c r="B1745" s="19"/>
      <c r="C1745" s="19"/>
      <c r="D1745" s="19"/>
      <c r="E1745" s="32"/>
      <c r="F1745" s="19"/>
      <c r="G1745" s="26" t="str">
        <f aca="false">IF(A1745="","",COUNTIF(Pubs!$B$2:$B$3001,A1745))</f>
        <v/>
      </c>
      <c r="H1745" s="26" t="str">
        <f aca="false">IF(A1745="","",COUNTIF(Apparitions!$H$2:$H$5001,A1745))</f>
        <v/>
      </c>
      <c r="I1745" s="26" t="str">
        <f aca="false">IF(A1745="","",COUNTIFS(Apparitions!$H$2:$H$5001,A1745,Apparitions!$E$2:$E$5001,"○"))</f>
        <v/>
      </c>
      <c r="J1745" s="29" t="str">
        <f aca="false">IF(A1745="","",IFERROR(1/(1/_xlfn.MINIFS(Apparitions!$L$2:$L$5001,Apparitions!$H$2:$H$5001,A1745)),""))</f>
        <v/>
      </c>
    </row>
    <row r="1746" customFormat="false" ht="15" hidden="false" customHeight="false" outlineLevel="0" collapsed="false">
      <c r="A1746" s="19"/>
      <c r="B1746" s="19"/>
      <c r="C1746" s="19"/>
      <c r="D1746" s="19"/>
      <c r="E1746" s="32"/>
      <c r="F1746" s="19"/>
      <c r="G1746" s="26" t="str">
        <f aca="false">IF(A1746="","",COUNTIF(Pubs!$B$2:$B$3001,A1746))</f>
        <v/>
      </c>
      <c r="H1746" s="26" t="str">
        <f aca="false">IF(A1746="","",COUNTIF(Apparitions!$H$2:$H$5001,A1746))</f>
        <v/>
      </c>
      <c r="I1746" s="26" t="str">
        <f aca="false">IF(A1746="","",COUNTIFS(Apparitions!$H$2:$H$5001,A1746,Apparitions!$E$2:$E$5001,"○"))</f>
        <v/>
      </c>
      <c r="J1746" s="29" t="str">
        <f aca="false">IF(A1746="","",IFERROR(1/(1/_xlfn.MINIFS(Apparitions!$L$2:$L$5001,Apparitions!$H$2:$H$5001,A1746)),""))</f>
        <v/>
      </c>
    </row>
    <row r="1747" customFormat="false" ht="15" hidden="false" customHeight="false" outlineLevel="0" collapsed="false">
      <c r="A1747" s="19"/>
      <c r="B1747" s="19"/>
      <c r="C1747" s="19"/>
      <c r="D1747" s="19"/>
      <c r="E1747" s="32"/>
      <c r="F1747" s="19"/>
      <c r="G1747" s="26" t="str">
        <f aca="false">IF(A1747="","",COUNTIF(Pubs!$B$2:$B$3001,A1747))</f>
        <v/>
      </c>
      <c r="H1747" s="26" t="str">
        <f aca="false">IF(A1747="","",COUNTIF(Apparitions!$H$2:$H$5001,A1747))</f>
        <v/>
      </c>
      <c r="I1747" s="26" t="str">
        <f aca="false">IF(A1747="","",COUNTIFS(Apparitions!$H$2:$H$5001,A1747,Apparitions!$E$2:$E$5001,"○"))</f>
        <v/>
      </c>
      <c r="J1747" s="29" t="str">
        <f aca="false">IF(A1747="","",IFERROR(1/(1/_xlfn.MINIFS(Apparitions!$L$2:$L$5001,Apparitions!$H$2:$H$5001,A1747)),""))</f>
        <v/>
      </c>
    </row>
    <row r="1748" customFormat="false" ht="15" hidden="false" customHeight="false" outlineLevel="0" collapsed="false">
      <c r="A1748" s="19"/>
      <c r="B1748" s="19"/>
      <c r="C1748" s="19"/>
      <c r="D1748" s="19"/>
      <c r="E1748" s="32"/>
      <c r="F1748" s="19"/>
      <c r="G1748" s="26" t="str">
        <f aca="false">IF(A1748="","",COUNTIF(Pubs!$B$2:$B$3001,A1748))</f>
        <v/>
      </c>
      <c r="H1748" s="26" t="str">
        <f aca="false">IF(A1748="","",COUNTIF(Apparitions!$H$2:$H$5001,A1748))</f>
        <v/>
      </c>
      <c r="I1748" s="26" t="str">
        <f aca="false">IF(A1748="","",COUNTIFS(Apparitions!$H$2:$H$5001,A1748,Apparitions!$E$2:$E$5001,"○"))</f>
        <v/>
      </c>
      <c r="J1748" s="29" t="str">
        <f aca="false">IF(A1748="","",IFERROR(1/(1/_xlfn.MINIFS(Apparitions!$L$2:$L$5001,Apparitions!$H$2:$H$5001,A1748)),""))</f>
        <v/>
      </c>
    </row>
    <row r="1749" customFormat="false" ht="15" hidden="false" customHeight="false" outlineLevel="0" collapsed="false">
      <c r="A1749" s="19"/>
      <c r="B1749" s="19"/>
      <c r="C1749" s="19"/>
      <c r="D1749" s="19"/>
      <c r="E1749" s="32"/>
      <c r="F1749" s="19"/>
      <c r="G1749" s="26" t="str">
        <f aca="false">IF(A1749="","",COUNTIF(Pubs!$B$2:$B$3001,A1749))</f>
        <v/>
      </c>
      <c r="H1749" s="26" t="str">
        <f aca="false">IF(A1749="","",COUNTIF(Apparitions!$H$2:$H$5001,A1749))</f>
        <v/>
      </c>
      <c r="I1749" s="26" t="str">
        <f aca="false">IF(A1749="","",COUNTIFS(Apparitions!$H$2:$H$5001,A1749,Apparitions!$E$2:$E$5001,"○"))</f>
        <v/>
      </c>
      <c r="J1749" s="29" t="str">
        <f aca="false">IF(A1749="","",IFERROR(1/(1/_xlfn.MINIFS(Apparitions!$L$2:$L$5001,Apparitions!$H$2:$H$5001,A1749)),""))</f>
        <v/>
      </c>
    </row>
    <row r="1750" customFormat="false" ht="15" hidden="false" customHeight="false" outlineLevel="0" collapsed="false">
      <c r="A1750" s="19"/>
      <c r="B1750" s="19"/>
      <c r="C1750" s="19"/>
      <c r="D1750" s="19"/>
      <c r="E1750" s="32"/>
      <c r="F1750" s="19"/>
      <c r="G1750" s="26" t="str">
        <f aca="false">IF(A1750="","",COUNTIF(Pubs!$B$2:$B$3001,A1750))</f>
        <v/>
      </c>
      <c r="H1750" s="26" t="str">
        <f aca="false">IF(A1750="","",COUNTIF(Apparitions!$H$2:$H$5001,A1750))</f>
        <v/>
      </c>
      <c r="I1750" s="26" t="str">
        <f aca="false">IF(A1750="","",COUNTIFS(Apparitions!$H$2:$H$5001,A1750,Apparitions!$E$2:$E$5001,"○"))</f>
        <v/>
      </c>
      <c r="J1750" s="29" t="str">
        <f aca="false">IF(A1750="","",IFERROR(1/(1/_xlfn.MINIFS(Apparitions!$L$2:$L$5001,Apparitions!$H$2:$H$5001,A1750)),""))</f>
        <v/>
      </c>
    </row>
    <row r="1751" customFormat="false" ht="15" hidden="false" customHeight="false" outlineLevel="0" collapsed="false">
      <c r="A1751" s="19"/>
      <c r="B1751" s="19"/>
      <c r="C1751" s="19"/>
      <c r="D1751" s="19"/>
      <c r="E1751" s="32"/>
      <c r="F1751" s="19"/>
      <c r="G1751" s="26" t="str">
        <f aca="false">IF(A1751="","",COUNTIF(Pubs!$B$2:$B$3001,A1751))</f>
        <v/>
      </c>
      <c r="H1751" s="26" t="str">
        <f aca="false">IF(A1751="","",COUNTIF(Apparitions!$H$2:$H$5001,A1751))</f>
        <v/>
      </c>
      <c r="I1751" s="26" t="str">
        <f aca="false">IF(A1751="","",COUNTIFS(Apparitions!$H$2:$H$5001,A1751,Apparitions!$E$2:$E$5001,"○"))</f>
        <v/>
      </c>
      <c r="J1751" s="29" t="str">
        <f aca="false">IF(A1751="","",IFERROR(1/(1/_xlfn.MINIFS(Apparitions!$L$2:$L$5001,Apparitions!$H$2:$H$5001,A1751)),""))</f>
        <v/>
      </c>
    </row>
    <row r="1752" customFormat="false" ht="15" hidden="false" customHeight="false" outlineLevel="0" collapsed="false">
      <c r="A1752" s="19"/>
      <c r="B1752" s="19"/>
      <c r="C1752" s="19"/>
      <c r="D1752" s="19"/>
      <c r="E1752" s="32"/>
      <c r="F1752" s="19"/>
      <c r="G1752" s="26" t="str">
        <f aca="false">IF(A1752="","",COUNTIF(Pubs!$B$2:$B$3001,A1752))</f>
        <v/>
      </c>
      <c r="H1752" s="26" t="str">
        <f aca="false">IF(A1752="","",COUNTIF(Apparitions!$H$2:$H$5001,A1752))</f>
        <v/>
      </c>
      <c r="I1752" s="26" t="str">
        <f aca="false">IF(A1752="","",COUNTIFS(Apparitions!$H$2:$H$5001,A1752,Apparitions!$E$2:$E$5001,"○"))</f>
        <v/>
      </c>
      <c r="J1752" s="29" t="str">
        <f aca="false">IF(A1752="","",IFERROR(1/(1/_xlfn.MINIFS(Apparitions!$L$2:$L$5001,Apparitions!$H$2:$H$5001,A1752)),""))</f>
        <v/>
      </c>
    </row>
    <row r="1753" customFormat="false" ht="15" hidden="false" customHeight="false" outlineLevel="0" collapsed="false">
      <c r="A1753" s="19"/>
      <c r="B1753" s="19"/>
      <c r="C1753" s="19"/>
      <c r="D1753" s="19"/>
      <c r="E1753" s="32"/>
      <c r="F1753" s="19"/>
      <c r="G1753" s="26" t="str">
        <f aca="false">IF(A1753="","",COUNTIF(Pubs!$B$2:$B$3001,A1753))</f>
        <v/>
      </c>
      <c r="H1753" s="26" t="str">
        <f aca="false">IF(A1753="","",COUNTIF(Apparitions!$H$2:$H$5001,A1753))</f>
        <v/>
      </c>
      <c r="I1753" s="26" t="str">
        <f aca="false">IF(A1753="","",COUNTIFS(Apparitions!$H$2:$H$5001,A1753,Apparitions!$E$2:$E$5001,"○"))</f>
        <v/>
      </c>
      <c r="J1753" s="29" t="str">
        <f aca="false">IF(A1753="","",IFERROR(1/(1/_xlfn.MINIFS(Apparitions!$L$2:$L$5001,Apparitions!$H$2:$H$5001,A1753)),""))</f>
        <v/>
      </c>
    </row>
    <row r="1754" customFormat="false" ht="15" hidden="false" customHeight="false" outlineLevel="0" collapsed="false">
      <c r="A1754" s="19"/>
      <c r="B1754" s="19"/>
      <c r="C1754" s="19"/>
      <c r="D1754" s="19"/>
      <c r="E1754" s="32"/>
      <c r="F1754" s="19"/>
      <c r="G1754" s="26" t="str">
        <f aca="false">IF(A1754="","",COUNTIF(Pubs!$B$2:$B$3001,A1754))</f>
        <v/>
      </c>
      <c r="H1754" s="26" t="str">
        <f aca="false">IF(A1754="","",COUNTIF(Apparitions!$H$2:$H$5001,A1754))</f>
        <v/>
      </c>
      <c r="I1754" s="26" t="str">
        <f aca="false">IF(A1754="","",COUNTIFS(Apparitions!$H$2:$H$5001,A1754,Apparitions!$E$2:$E$5001,"○"))</f>
        <v/>
      </c>
      <c r="J1754" s="29" t="str">
        <f aca="false">IF(A1754="","",IFERROR(1/(1/_xlfn.MINIFS(Apparitions!$L$2:$L$5001,Apparitions!$H$2:$H$5001,A1754)),""))</f>
        <v/>
      </c>
    </row>
    <row r="1755" customFormat="false" ht="15" hidden="false" customHeight="false" outlineLevel="0" collapsed="false">
      <c r="A1755" s="19"/>
      <c r="B1755" s="19"/>
      <c r="C1755" s="19"/>
      <c r="D1755" s="19"/>
      <c r="E1755" s="32"/>
      <c r="F1755" s="19"/>
      <c r="G1755" s="26" t="str">
        <f aca="false">IF(A1755="","",COUNTIF(Pubs!$B$2:$B$3001,A1755))</f>
        <v/>
      </c>
      <c r="H1755" s="26" t="str">
        <f aca="false">IF(A1755="","",COUNTIF(Apparitions!$H$2:$H$5001,A1755))</f>
        <v/>
      </c>
      <c r="I1755" s="26" t="str">
        <f aca="false">IF(A1755="","",COUNTIFS(Apparitions!$H$2:$H$5001,A1755,Apparitions!$E$2:$E$5001,"○"))</f>
        <v/>
      </c>
      <c r="J1755" s="29" t="str">
        <f aca="false">IF(A1755="","",IFERROR(1/(1/_xlfn.MINIFS(Apparitions!$L$2:$L$5001,Apparitions!$H$2:$H$5001,A1755)),""))</f>
        <v/>
      </c>
    </row>
    <row r="1756" customFormat="false" ht="15" hidden="false" customHeight="false" outlineLevel="0" collapsed="false">
      <c r="A1756" s="19"/>
      <c r="B1756" s="19"/>
      <c r="C1756" s="19"/>
      <c r="D1756" s="19"/>
      <c r="E1756" s="32"/>
      <c r="F1756" s="19"/>
      <c r="G1756" s="26" t="str">
        <f aca="false">IF(A1756="","",COUNTIF(Pubs!$B$2:$B$3001,A1756))</f>
        <v/>
      </c>
      <c r="H1756" s="26" t="str">
        <f aca="false">IF(A1756="","",COUNTIF(Apparitions!$H$2:$H$5001,A1756))</f>
        <v/>
      </c>
      <c r="I1756" s="26" t="str">
        <f aca="false">IF(A1756="","",COUNTIFS(Apparitions!$H$2:$H$5001,A1756,Apparitions!$E$2:$E$5001,"○"))</f>
        <v/>
      </c>
      <c r="J1756" s="29" t="str">
        <f aca="false">IF(A1756="","",IFERROR(1/(1/_xlfn.MINIFS(Apparitions!$L$2:$L$5001,Apparitions!$H$2:$H$5001,A1756)),""))</f>
        <v/>
      </c>
    </row>
    <row r="1757" customFormat="false" ht="15" hidden="false" customHeight="false" outlineLevel="0" collapsed="false">
      <c r="A1757" s="19"/>
      <c r="B1757" s="19"/>
      <c r="C1757" s="19"/>
      <c r="D1757" s="19"/>
      <c r="E1757" s="32"/>
      <c r="F1757" s="19"/>
      <c r="G1757" s="26" t="str">
        <f aca="false">IF(A1757="","",COUNTIF(Pubs!$B$2:$B$3001,A1757))</f>
        <v/>
      </c>
      <c r="H1757" s="26" t="str">
        <f aca="false">IF(A1757="","",COUNTIF(Apparitions!$H$2:$H$5001,A1757))</f>
        <v/>
      </c>
      <c r="I1757" s="26" t="str">
        <f aca="false">IF(A1757="","",COUNTIFS(Apparitions!$H$2:$H$5001,A1757,Apparitions!$E$2:$E$5001,"○"))</f>
        <v/>
      </c>
      <c r="J1757" s="29" t="str">
        <f aca="false">IF(A1757="","",IFERROR(1/(1/_xlfn.MINIFS(Apparitions!$L$2:$L$5001,Apparitions!$H$2:$H$5001,A1757)),""))</f>
        <v/>
      </c>
    </row>
    <row r="1758" customFormat="false" ht="15" hidden="false" customHeight="false" outlineLevel="0" collapsed="false">
      <c r="A1758" s="19"/>
      <c r="B1758" s="19"/>
      <c r="C1758" s="19"/>
      <c r="D1758" s="19"/>
      <c r="E1758" s="32"/>
      <c r="F1758" s="19"/>
      <c r="G1758" s="26" t="str">
        <f aca="false">IF(A1758="","",COUNTIF(Pubs!$B$2:$B$3001,A1758))</f>
        <v/>
      </c>
      <c r="H1758" s="26" t="str">
        <f aca="false">IF(A1758="","",COUNTIF(Apparitions!$H$2:$H$5001,A1758))</f>
        <v/>
      </c>
      <c r="I1758" s="26" t="str">
        <f aca="false">IF(A1758="","",COUNTIFS(Apparitions!$H$2:$H$5001,A1758,Apparitions!$E$2:$E$5001,"○"))</f>
        <v/>
      </c>
      <c r="J1758" s="29" t="str">
        <f aca="false">IF(A1758="","",IFERROR(1/(1/_xlfn.MINIFS(Apparitions!$L$2:$L$5001,Apparitions!$H$2:$H$5001,A1758)),""))</f>
        <v/>
      </c>
    </row>
    <row r="1759" customFormat="false" ht="15" hidden="false" customHeight="false" outlineLevel="0" collapsed="false">
      <c r="A1759" s="19"/>
      <c r="B1759" s="19"/>
      <c r="C1759" s="19"/>
      <c r="D1759" s="19"/>
      <c r="E1759" s="32"/>
      <c r="F1759" s="19"/>
      <c r="G1759" s="26" t="str">
        <f aca="false">IF(A1759="","",COUNTIF(Pubs!$B$2:$B$3001,A1759))</f>
        <v/>
      </c>
      <c r="H1759" s="26" t="str">
        <f aca="false">IF(A1759="","",COUNTIF(Apparitions!$H$2:$H$5001,A1759))</f>
        <v/>
      </c>
      <c r="I1759" s="26" t="str">
        <f aca="false">IF(A1759="","",COUNTIFS(Apparitions!$H$2:$H$5001,A1759,Apparitions!$E$2:$E$5001,"○"))</f>
        <v/>
      </c>
      <c r="J1759" s="29" t="str">
        <f aca="false">IF(A1759="","",IFERROR(1/(1/_xlfn.MINIFS(Apparitions!$L$2:$L$5001,Apparitions!$H$2:$H$5001,A1759)),""))</f>
        <v/>
      </c>
    </row>
    <row r="1760" customFormat="false" ht="15" hidden="false" customHeight="false" outlineLevel="0" collapsed="false">
      <c r="A1760" s="19"/>
      <c r="B1760" s="19"/>
      <c r="C1760" s="19"/>
      <c r="D1760" s="19"/>
      <c r="E1760" s="32"/>
      <c r="F1760" s="19"/>
      <c r="G1760" s="26" t="str">
        <f aca="false">IF(A1760="","",COUNTIF(Pubs!$B$2:$B$3001,A1760))</f>
        <v/>
      </c>
      <c r="H1760" s="26" t="str">
        <f aca="false">IF(A1760="","",COUNTIF(Apparitions!$H$2:$H$5001,A1760))</f>
        <v/>
      </c>
      <c r="I1760" s="26" t="str">
        <f aca="false">IF(A1760="","",COUNTIFS(Apparitions!$H$2:$H$5001,A1760,Apparitions!$E$2:$E$5001,"○"))</f>
        <v/>
      </c>
      <c r="J1760" s="29" t="str">
        <f aca="false">IF(A1760="","",IFERROR(1/(1/_xlfn.MINIFS(Apparitions!$L$2:$L$5001,Apparitions!$H$2:$H$5001,A1760)),""))</f>
        <v/>
      </c>
    </row>
    <row r="1761" customFormat="false" ht="15" hidden="false" customHeight="false" outlineLevel="0" collapsed="false">
      <c r="A1761" s="19"/>
      <c r="B1761" s="19"/>
      <c r="C1761" s="19"/>
      <c r="D1761" s="19"/>
      <c r="E1761" s="32"/>
      <c r="F1761" s="19"/>
      <c r="G1761" s="26" t="str">
        <f aca="false">IF(A1761="","",COUNTIF(Pubs!$B$2:$B$3001,A1761))</f>
        <v/>
      </c>
      <c r="H1761" s="26" t="str">
        <f aca="false">IF(A1761="","",COUNTIF(Apparitions!$H$2:$H$5001,A1761))</f>
        <v/>
      </c>
      <c r="I1761" s="26" t="str">
        <f aca="false">IF(A1761="","",COUNTIFS(Apparitions!$H$2:$H$5001,A1761,Apparitions!$E$2:$E$5001,"○"))</f>
        <v/>
      </c>
      <c r="J1761" s="29" t="str">
        <f aca="false">IF(A1761="","",IFERROR(1/(1/_xlfn.MINIFS(Apparitions!$L$2:$L$5001,Apparitions!$H$2:$H$5001,A1761)),""))</f>
        <v/>
      </c>
    </row>
    <row r="1762" customFormat="false" ht="15" hidden="false" customHeight="false" outlineLevel="0" collapsed="false">
      <c r="A1762" s="19"/>
      <c r="B1762" s="19"/>
      <c r="C1762" s="19"/>
      <c r="D1762" s="19"/>
      <c r="E1762" s="32"/>
      <c r="F1762" s="19"/>
      <c r="G1762" s="26" t="str">
        <f aca="false">IF(A1762="","",COUNTIF(Pubs!$B$2:$B$3001,A1762))</f>
        <v/>
      </c>
      <c r="H1762" s="26" t="str">
        <f aca="false">IF(A1762="","",COUNTIF(Apparitions!$H$2:$H$5001,A1762))</f>
        <v/>
      </c>
      <c r="I1762" s="26" t="str">
        <f aca="false">IF(A1762="","",COUNTIFS(Apparitions!$H$2:$H$5001,A1762,Apparitions!$E$2:$E$5001,"○"))</f>
        <v/>
      </c>
      <c r="J1762" s="29" t="str">
        <f aca="false">IF(A1762="","",IFERROR(1/(1/_xlfn.MINIFS(Apparitions!$L$2:$L$5001,Apparitions!$H$2:$H$5001,A1762)),""))</f>
        <v/>
      </c>
    </row>
    <row r="1763" customFormat="false" ht="15" hidden="false" customHeight="false" outlineLevel="0" collapsed="false">
      <c r="A1763" s="19"/>
      <c r="B1763" s="19"/>
      <c r="C1763" s="19"/>
      <c r="D1763" s="19"/>
      <c r="E1763" s="32"/>
      <c r="F1763" s="19"/>
      <c r="G1763" s="26" t="str">
        <f aca="false">IF(A1763="","",COUNTIF(Pubs!$B$2:$B$3001,A1763))</f>
        <v/>
      </c>
      <c r="H1763" s="26" t="str">
        <f aca="false">IF(A1763="","",COUNTIF(Apparitions!$H$2:$H$5001,A1763))</f>
        <v/>
      </c>
      <c r="I1763" s="26" t="str">
        <f aca="false">IF(A1763="","",COUNTIFS(Apparitions!$H$2:$H$5001,A1763,Apparitions!$E$2:$E$5001,"○"))</f>
        <v/>
      </c>
      <c r="J1763" s="29" t="str">
        <f aca="false">IF(A1763="","",IFERROR(1/(1/_xlfn.MINIFS(Apparitions!$L$2:$L$5001,Apparitions!$H$2:$H$5001,A1763)),""))</f>
        <v/>
      </c>
    </row>
    <row r="1764" customFormat="false" ht="15" hidden="false" customHeight="false" outlineLevel="0" collapsed="false">
      <c r="A1764" s="19"/>
      <c r="B1764" s="19"/>
      <c r="C1764" s="19"/>
      <c r="D1764" s="19"/>
      <c r="E1764" s="32"/>
      <c r="F1764" s="19"/>
      <c r="G1764" s="26" t="str">
        <f aca="false">IF(A1764="","",COUNTIF(Pubs!$B$2:$B$3001,A1764))</f>
        <v/>
      </c>
      <c r="H1764" s="26" t="str">
        <f aca="false">IF(A1764="","",COUNTIF(Apparitions!$H$2:$H$5001,A1764))</f>
        <v/>
      </c>
      <c r="I1764" s="26" t="str">
        <f aca="false">IF(A1764="","",COUNTIFS(Apparitions!$H$2:$H$5001,A1764,Apparitions!$E$2:$E$5001,"○"))</f>
        <v/>
      </c>
      <c r="J1764" s="29" t="str">
        <f aca="false">IF(A1764="","",IFERROR(1/(1/_xlfn.MINIFS(Apparitions!$L$2:$L$5001,Apparitions!$H$2:$H$5001,A1764)),""))</f>
        <v/>
      </c>
    </row>
    <row r="1765" customFormat="false" ht="15" hidden="false" customHeight="false" outlineLevel="0" collapsed="false">
      <c r="A1765" s="19"/>
      <c r="B1765" s="19"/>
      <c r="C1765" s="19"/>
      <c r="D1765" s="19"/>
      <c r="E1765" s="32"/>
      <c r="F1765" s="19"/>
      <c r="G1765" s="26" t="str">
        <f aca="false">IF(A1765="","",COUNTIF(Pubs!$B$2:$B$3001,A1765))</f>
        <v/>
      </c>
      <c r="H1765" s="26" t="str">
        <f aca="false">IF(A1765="","",COUNTIF(Apparitions!$H$2:$H$5001,A1765))</f>
        <v/>
      </c>
      <c r="I1765" s="26" t="str">
        <f aca="false">IF(A1765="","",COUNTIFS(Apparitions!$H$2:$H$5001,A1765,Apparitions!$E$2:$E$5001,"○"))</f>
        <v/>
      </c>
      <c r="J1765" s="29" t="str">
        <f aca="false">IF(A1765="","",IFERROR(1/(1/_xlfn.MINIFS(Apparitions!$L$2:$L$5001,Apparitions!$H$2:$H$5001,A1765)),""))</f>
        <v/>
      </c>
    </row>
    <row r="1766" customFormat="false" ht="15" hidden="false" customHeight="false" outlineLevel="0" collapsed="false">
      <c r="A1766" s="19"/>
      <c r="B1766" s="19"/>
      <c r="C1766" s="19"/>
      <c r="D1766" s="19"/>
      <c r="E1766" s="32"/>
      <c r="F1766" s="19"/>
      <c r="G1766" s="26" t="str">
        <f aca="false">IF(A1766="","",COUNTIF(Pubs!$B$2:$B$3001,A1766))</f>
        <v/>
      </c>
      <c r="H1766" s="26" t="str">
        <f aca="false">IF(A1766="","",COUNTIF(Apparitions!$H$2:$H$5001,A1766))</f>
        <v/>
      </c>
      <c r="I1766" s="26" t="str">
        <f aca="false">IF(A1766="","",COUNTIFS(Apparitions!$H$2:$H$5001,A1766,Apparitions!$E$2:$E$5001,"○"))</f>
        <v/>
      </c>
      <c r="J1766" s="29" t="str">
        <f aca="false">IF(A1766="","",IFERROR(1/(1/_xlfn.MINIFS(Apparitions!$L$2:$L$5001,Apparitions!$H$2:$H$5001,A1766)),""))</f>
        <v/>
      </c>
    </row>
    <row r="1767" customFormat="false" ht="15" hidden="false" customHeight="false" outlineLevel="0" collapsed="false">
      <c r="A1767" s="19"/>
      <c r="B1767" s="19"/>
      <c r="C1767" s="19"/>
      <c r="D1767" s="19"/>
      <c r="E1767" s="32"/>
      <c r="F1767" s="19"/>
      <c r="G1767" s="26" t="str">
        <f aca="false">IF(A1767="","",COUNTIF(Pubs!$B$2:$B$3001,A1767))</f>
        <v/>
      </c>
      <c r="H1767" s="26" t="str">
        <f aca="false">IF(A1767="","",COUNTIF(Apparitions!$H$2:$H$5001,A1767))</f>
        <v/>
      </c>
      <c r="I1767" s="26" t="str">
        <f aca="false">IF(A1767="","",COUNTIFS(Apparitions!$H$2:$H$5001,A1767,Apparitions!$E$2:$E$5001,"○"))</f>
        <v/>
      </c>
      <c r="J1767" s="29" t="str">
        <f aca="false">IF(A1767="","",IFERROR(1/(1/_xlfn.MINIFS(Apparitions!$L$2:$L$5001,Apparitions!$H$2:$H$5001,A1767)),""))</f>
        <v/>
      </c>
    </row>
    <row r="1768" customFormat="false" ht="15" hidden="false" customHeight="false" outlineLevel="0" collapsed="false">
      <c r="A1768" s="19"/>
      <c r="B1768" s="19"/>
      <c r="C1768" s="19"/>
      <c r="D1768" s="19"/>
      <c r="E1768" s="32"/>
      <c r="F1768" s="19"/>
      <c r="G1768" s="26" t="str">
        <f aca="false">IF(A1768="","",COUNTIF(Pubs!$B$2:$B$3001,A1768))</f>
        <v/>
      </c>
      <c r="H1768" s="26" t="str">
        <f aca="false">IF(A1768="","",COUNTIF(Apparitions!$H$2:$H$5001,A1768))</f>
        <v/>
      </c>
      <c r="I1768" s="26" t="str">
        <f aca="false">IF(A1768="","",COUNTIFS(Apparitions!$H$2:$H$5001,A1768,Apparitions!$E$2:$E$5001,"○"))</f>
        <v/>
      </c>
      <c r="J1768" s="29" t="str">
        <f aca="false">IF(A1768="","",IFERROR(1/(1/_xlfn.MINIFS(Apparitions!$L$2:$L$5001,Apparitions!$H$2:$H$5001,A1768)),""))</f>
        <v/>
      </c>
    </row>
    <row r="1769" customFormat="false" ht="15" hidden="false" customHeight="false" outlineLevel="0" collapsed="false">
      <c r="A1769" s="19"/>
      <c r="B1769" s="19"/>
      <c r="C1769" s="19"/>
      <c r="D1769" s="19"/>
      <c r="E1769" s="32"/>
      <c r="F1769" s="19"/>
      <c r="G1769" s="26" t="str">
        <f aca="false">IF(A1769="","",COUNTIF(Pubs!$B$2:$B$3001,A1769))</f>
        <v/>
      </c>
      <c r="H1769" s="26" t="str">
        <f aca="false">IF(A1769="","",COUNTIF(Apparitions!$H$2:$H$5001,A1769))</f>
        <v/>
      </c>
      <c r="I1769" s="26" t="str">
        <f aca="false">IF(A1769="","",COUNTIFS(Apparitions!$H$2:$H$5001,A1769,Apparitions!$E$2:$E$5001,"○"))</f>
        <v/>
      </c>
      <c r="J1769" s="29" t="str">
        <f aca="false">IF(A1769="","",IFERROR(1/(1/_xlfn.MINIFS(Apparitions!$L$2:$L$5001,Apparitions!$H$2:$H$5001,A1769)),""))</f>
        <v/>
      </c>
    </row>
    <row r="1770" customFormat="false" ht="15" hidden="false" customHeight="false" outlineLevel="0" collapsed="false">
      <c r="A1770" s="19"/>
      <c r="B1770" s="19"/>
      <c r="C1770" s="19"/>
      <c r="D1770" s="19"/>
      <c r="E1770" s="32"/>
      <c r="F1770" s="19"/>
      <c r="G1770" s="26" t="str">
        <f aca="false">IF(A1770="","",COUNTIF(Pubs!$B$2:$B$3001,A1770))</f>
        <v/>
      </c>
      <c r="H1770" s="26" t="str">
        <f aca="false">IF(A1770="","",COUNTIF(Apparitions!$H$2:$H$5001,A1770))</f>
        <v/>
      </c>
      <c r="I1770" s="26" t="str">
        <f aca="false">IF(A1770="","",COUNTIFS(Apparitions!$H$2:$H$5001,A1770,Apparitions!$E$2:$E$5001,"○"))</f>
        <v/>
      </c>
      <c r="J1770" s="29" t="str">
        <f aca="false">IF(A1770="","",IFERROR(1/(1/_xlfn.MINIFS(Apparitions!$L$2:$L$5001,Apparitions!$H$2:$H$5001,A1770)),""))</f>
        <v/>
      </c>
    </row>
    <row r="1771" customFormat="false" ht="15" hidden="false" customHeight="false" outlineLevel="0" collapsed="false">
      <c r="A1771" s="19"/>
      <c r="B1771" s="19"/>
      <c r="C1771" s="19"/>
      <c r="D1771" s="19"/>
      <c r="E1771" s="32"/>
      <c r="F1771" s="19"/>
      <c r="G1771" s="26" t="str">
        <f aca="false">IF(A1771="","",COUNTIF(Pubs!$B$2:$B$3001,A1771))</f>
        <v/>
      </c>
      <c r="H1771" s="26" t="str">
        <f aca="false">IF(A1771="","",COUNTIF(Apparitions!$H$2:$H$5001,A1771))</f>
        <v/>
      </c>
      <c r="I1771" s="26" t="str">
        <f aca="false">IF(A1771="","",COUNTIFS(Apparitions!$H$2:$H$5001,A1771,Apparitions!$E$2:$E$5001,"○"))</f>
        <v/>
      </c>
      <c r="J1771" s="29" t="str">
        <f aca="false">IF(A1771="","",IFERROR(1/(1/_xlfn.MINIFS(Apparitions!$L$2:$L$5001,Apparitions!$H$2:$H$5001,A1771)),""))</f>
        <v/>
      </c>
    </row>
    <row r="1772" customFormat="false" ht="15" hidden="false" customHeight="false" outlineLevel="0" collapsed="false">
      <c r="A1772" s="19"/>
      <c r="B1772" s="19"/>
      <c r="C1772" s="19"/>
      <c r="D1772" s="19"/>
      <c r="E1772" s="32"/>
      <c r="F1772" s="19"/>
      <c r="G1772" s="26" t="str">
        <f aca="false">IF(A1772="","",COUNTIF(Pubs!$B$2:$B$3001,A1772))</f>
        <v/>
      </c>
      <c r="H1772" s="26" t="str">
        <f aca="false">IF(A1772="","",COUNTIF(Apparitions!$H$2:$H$5001,A1772))</f>
        <v/>
      </c>
      <c r="I1772" s="26" t="str">
        <f aca="false">IF(A1772="","",COUNTIFS(Apparitions!$H$2:$H$5001,A1772,Apparitions!$E$2:$E$5001,"○"))</f>
        <v/>
      </c>
      <c r="J1772" s="29" t="str">
        <f aca="false">IF(A1772="","",IFERROR(1/(1/_xlfn.MINIFS(Apparitions!$L$2:$L$5001,Apparitions!$H$2:$H$5001,A1772)),""))</f>
        <v/>
      </c>
    </row>
    <row r="1773" customFormat="false" ht="15" hidden="false" customHeight="false" outlineLevel="0" collapsed="false">
      <c r="A1773" s="19"/>
      <c r="B1773" s="19"/>
      <c r="C1773" s="19"/>
      <c r="D1773" s="19"/>
      <c r="E1773" s="32"/>
      <c r="F1773" s="19"/>
      <c r="G1773" s="26" t="str">
        <f aca="false">IF(A1773="","",COUNTIF(Pubs!$B$2:$B$3001,A1773))</f>
        <v/>
      </c>
      <c r="H1773" s="26" t="str">
        <f aca="false">IF(A1773="","",COUNTIF(Apparitions!$H$2:$H$5001,A1773))</f>
        <v/>
      </c>
      <c r="I1773" s="26" t="str">
        <f aca="false">IF(A1773="","",COUNTIFS(Apparitions!$H$2:$H$5001,A1773,Apparitions!$E$2:$E$5001,"○"))</f>
        <v/>
      </c>
      <c r="J1773" s="29" t="str">
        <f aca="false">IF(A1773="","",IFERROR(1/(1/_xlfn.MINIFS(Apparitions!$L$2:$L$5001,Apparitions!$H$2:$H$5001,A1773)),""))</f>
        <v/>
      </c>
    </row>
    <row r="1774" customFormat="false" ht="15" hidden="false" customHeight="false" outlineLevel="0" collapsed="false">
      <c r="A1774" s="19"/>
      <c r="B1774" s="19"/>
      <c r="C1774" s="19"/>
      <c r="D1774" s="19"/>
      <c r="E1774" s="32"/>
      <c r="F1774" s="19"/>
      <c r="G1774" s="26" t="str">
        <f aca="false">IF(A1774="","",COUNTIF(Pubs!$B$2:$B$3001,A1774))</f>
        <v/>
      </c>
      <c r="H1774" s="26" t="str">
        <f aca="false">IF(A1774="","",COUNTIF(Apparitions!$H$2:$H$5001,A1774))</f>
        <v/>
      </c>
      <c r="I1774" s="26" t="str">
        <f aca="false">IF(A1774="","",COUNTIFS(Apparitions!$H$2:$H$5001,A1774,Apparitions!$E$2:$E$5001,"○"))</f>
        <v/>
      </c>
      <c r="J1774" s="29" t="str">
        <f aca="false">IF(A1774="","",IFERROR(1/(1/_xlfn.MINIFS(Apparitions!$L$2:$L$5001,Apparitions!$H$2:$H$5001,A1774)),""))</f>
        <v/>
      </c>
    </row>
    <row r="1775" customFormat="false" ht="15" hidden="false" customHeight="false" outlineLevel="0" collapsed="false">
      <c r="A1775" s="19"/>
      <c r="B1775" s="19"/>
      <c r="C1775" s="19"/>
      <c r="D1775" s="19"/>
      <c r="E1775" s="32"/>
      <c r="F1775" s="19"/>
      <c r="G1775" s="26" t="str">
        <f aca="false">IF(A1775="","",COUNTIF(Pubs!$B$2:$B$3001,A1775))</f>
        <v/>
      </c>
      <c r="H1775" s="26" t="str">
        <f aca="false">IF(A1775="","",COUNTIF(Apparitions!$H$2:$H$5001,A1775))</f>
        <v/>
      </c>
      <c r="I1775" s="26" t="str">
        <f aca="false">IF(A1775="","",COUNTIFS(Apparitions!$H$2:$H$5001,A1775,Apparitions!$E$2:$E$5001,"○"))</f>
        <v/>
      </c>
      <c r="J1775" s="29" t="str">
        <f aca="false">IF(A1775="","",IFERROR(1/(1/_xlfn.MINIFS(Apparitions!$L$2:$L$5001,Apparitions!$H$2:$H$5001,A1775)),""))</f>
        <v/>
      </c>
    </row>
    <row r="1776" customFormat="false" ht="15" hidden="false" customHeight="false" outlineLevel="0" collapsed="false">
      <c r="A1776" s="19"/>
      <c r="B1776" s="19"/>
      <c r="C1776" s="19"/>
      <c r="D1776" s="19"/>
      <c r="E1776" s="32"/>
      <c r="F1776" s="19"/>
      <c r="G1776" s="26" t="str">
        <f aca="false">IF(A1776="","",COUNTIF(Pubs!$B$2:$B$3001,A1776))</f>
        <v/>
      </c>
      <c r="H1776" s="26" t="str">
        <f aca="false">IF(A1776="","",COUNTIF(Apparitions!$H$2:$H$5001,A1776))</f>
        <v/>
      </c>
      <c r="I1776" s="26" t="str">
        <f aca="false">IF(A1776="","",COUNTIFS(Apparitions!$H$2:$H$5001,A1776,Apparitions!$E$2:$E$5001,"○"))</f>
        <v/>
      </c>
      <c r="J1776" s="29" t="str">
        <f aca="false">IF(A1776="","",IFERROR(1/(1/_xlfn.MINIFS(Apparitions!$L$2:$L$5001,Apparitions!$H$2:$H$5001,A1776)),""))</f>
        <v/>
      </c>
    </row>
    <row r="1777" customFormat="false" ht="15" hidden="false" customHeight="false" outlineLevel="0" collapsed="false">
      <c r="A1777" s="19"/>
      <c r="B1777" s="19"/>
      <c r="C1777" s="19"/>
      <c r="D1777" s="19"/>
      <c r="E1777" s="32"/>
      <c r="F1777" s="19"/>
      <c r="G1777" s="26" t="str">
        <f aca="false">IF(A1777="","",COUNTIF(Pubs!$B$2:$B$3001,A1777))</f>
        <v/>
      </c>
      <c r="H1777" s="26" t="str">
        <f aca="false">IF(A1777="","",COUNTIF(Apparitions!$H$2:$H$5001,A1777))</f>
        <v/>
      </c>
      <c r="I1777" s="26" t="str">
        <f aca="false">IF(A1777="","",COUNTIFS(Apparitions!$H$2:$H$5001,A1777,Apparitions!$E$2:$E$5001,"○"))</f>
        <v/>
      </c>
      <c r="J1777" s="29" t="str">
        <f aca="false">IF(A1777="","",IFERROR(1/(1/_xlfn.MINIFS(Apparitions!$L$2:$L$5001,Apparitions!$H$2:$H$5001,A1777)),""))</f>
        <v/>
      </c>
    </row>
    <row r="1778" customFormat="false" ht="15" hidden="false" customHeight="false" outlineLevel="0" collapsed="false">
      <c r="A1778" s="19"/>
      <c r="B1778" s="19"/>
      <c r="C1778" s="19"/>
      <c r="D1778" s="19"/>
      <c r="E1778" s="32"/>
      <c r="F1778" s="19"/>
      <c r="G1778" s="26" t="str">
        <f aca="false">IF(A1778="","",COUNTIF(Pubs!$B$2:$B$3001,A1778))</f>
        <v/>
      </c>
      <c r="H1778" s="26" t="str">
        <f aca="false">IF(A1778="","",COUNTIF(Apparitions!$H$2:$H$5001,A1778))</f>
        <v/>
      </c>
      <c r="I1778" s="26" t="str">
        <f aca="false">IF(A1778="","",COUNTIFS(Apparitions!$H$2:$H$5001,A1778,Apparitions!$E$2:$E$5001,"○"))</f>
        <v/>
      </c>
      <c r="J1778" s="29" t="str">
        <f aca="false">IF(A1778="","",IFERROR(1/(1/_xlfn.MINIFS(Apparitions!$L$2:$L$5001,Apparitions!$H$2:$H$5001,A1778)),""))</f>
        <v/>
      </c>
    </row>
    <row r="1779" customFormat="false" ht="15" hidden="false" customHeight="false" outlineLevel="0" collapsed="false">
      <c r="A1779" s="19"/>
      <c r="B1779" s="19"/>
      <c r="C1779" s="19"/>
      <c r="D1779" s="19"/>
      <c r="E1779" s="32"/>
      <c r="F1779" s="19"/>
      <c r="G1779" s="26" t="str">
        <f aca="false">IF(A1779="","",COUNTIF(Pubs!$B$2:$B$3001,A1779))</f>
        <v/>
      </c>
      <c r="H1779" s="26" t="str">
        <f aca="false">IF(A1779="","",COUNTIF(Apparitions!$H$2:$H$5001,A1779))</f>
        <v/>
      </c>
      <c r="I1779" s="26" t="str">
        <f aca="false">IF(A1779="","",COUNTIFS(Apparitions!$H$2:$H$5001,A1779,Apparitions!$E$2:$E$5001,"○"))</f>
        <v/>
      </c>
      <c r="J1779" s="29" t="str">
        <f aca="false">IF(A1779="","",IFERROR(1/(1/_xlfn.MINIFS(Apparitions!$L$2:$L$5001,Apparitions!$H$2:$H$5001,A1779)),""))</f>
        <v/>
      </c>
    </row>
    <row r="1780" customFormat="false" ht="15" hidden="false" customHeight="false" outlineLevel="0" collapsed="false">
      <c r="A1780" s="19"/>
      <c r="B1780" s="19"/>
      <c r="C1780" s="19"/>
      <c r="D1780" s="19"/>
      <c r="E1780" s="32"/>
      <c r="F1780" s="19"/>
      <c r="G1780" s="26" t="str">
        <f aca="false">IF(A1780="","",COUNTIF(Pubs!$B$2:$B$3001,A1780))</f>
        <v/>
      </c>
      <c r="H1780" s="26" t="str">
        <f aca="false">IF(A1780="","",COUNTIF(Apparitions!$H$2:$H$5001,A1780))</f>
        <v/>
      </c>
      <c r="I1780" s="26" t="str">
        <f aca="false">IF(A1780="","",COUNTIFS(Apparitions!$H$2:$H$5001,A1780,Apparitions!$E$2:$E$5001,"○"))</f>
        <v/>
      </c>
      <c r="J1780" s="29" t="str">
        <f aca="false">IF(A1780="","",IFERROR(1/(1/_xlfn.MINIFS(Apparitions!$L$2:$L$5001,Apparitions!$H$2:$H$5001,A1780)),""))</f>
        <v/>
      </c>
    </row>
    <row r="1781" customFormat="false" ht="15" hidden="false" customHeight="false" outlineLevel="0" collapsed="false">
      <c r="A1781" s="19"/>
      <c r="B1781" s="19"/>
      <c r="C1781" s="19"/>
      <c r="D1781" s="19"/>
      <c r="E1781" s="32"/>
      <c r="F1781" s="19"/>
      <c r="G1781" s="26" t="str">
        <f aca="false">IF(A1781="","",COUNTIF(Pubs!$B$2:$B$3001,A1781))</f>
        <v/>
      </c>
      <c r="H1781" s="26" t="str">
        <f aca="false">IF(A1781="","",COUNTIF(Apparitions!$H$2:$H$5001,A1781))</f>
        <v/>
      </c>
      <c r="I1781" s="26" t="str">
        <f aca="false">IF(A1781="","",COUNTIFS(Apparitions!$H$2:$H$5001,A1781,Apparitions!$E$2:$E$5001,"○"))</f>
        <v/>
      </c>
      <c r="J1781" s="29" t="str">
        <f aca="false">IF(A1781="","",IFERROR(1/(1/_xlfn.MINIFS(Apparitions!$L$2:$L$5001,Apparitions!$H$2:$H$5001,A1781)),""))</f>
        <v/>
      </c>
    </row>
    <row r="1782" customFormat="false" ht="15" hidden="false" customHeight="false" outlineLevel="0" collapsed="false">
      <c r="A1782" s="19"/>
      <c r="B1782" s="19"/>
      <c r="C1782" s="19"/>
      <c r="D1782" s="19"/>
      <c r="E1782" s="32"/>
      <c r="F1782" s="19"/>
      <c r="G1782" s="26" t="str">
        <f aca="false">IF(A1782="","",COUNTIF(Pubs!$B$2:$B$3001,A1782))</f>
        <v/>
      </c>
      <c r="H1782" s="26" t="str">
        <f aca="false">IF(A1782="","",COUNTIF(Apparitions!$H$2:$H$5001,A1782))</f>
        <v/>
      </c>
      <c r="I1782" s="26" t="str">
        <f aca="false">IF(A1782="","",COUNTIFS(Apparitions!$H$2:$H$5001,A1782,Apparitions!$E$2:$E$5001,"○"))</f>
        <v/>
      </c>
      <c r="J1782" s="29" t="str">
        <f aca="false">IF(A1782="","",IFERROR(1/(1/_xlfn.MINIFS(Apparitions!$L$2:$L$5001,Apparitions!$H$2:$H$5001,A1782)),""))</f>
        <v/>
      </c>
    </row>
    <row r="1783" customFormat="false" ht="15" hidden="false" customHeight="false" outlineLevel="0" collapsed="false">
      <c r="A1783" s="19"/>
      <c r="B1783" s="19"/>
      <c r="C1783" s="19"/>
      <c r="D1783" s="19"/>
      <c r="E1783" s="32"/>
      <c r="F1783" s="19"/>
      <c r="G1783" s="26" t="str">
        <f aca="false">IF(A1783="","",COUNTIF(Pubs!$B$2:$B$3001,A1783))</f>
        <v/>
      </c>
      <c r="H1783" s="26" t="str">
        <f aca="false">IF(A1783="","",COUNTIF(Apparitions!$H$2:$H$5001,A1783))</f>
        <v/>
      </c>
      <c r="I1783" s="26" t="str">
        <f aca="false">IF(A1783="","",COUNTIFS(Apparitions!$H$2:$H$5001,A1783,Apparitions!$E$2:$E$5001,"○"))</f>
        <v/>
      </c>
      <c r="J1783" s="29" t="str">
        <f aca="false">IF(A1783="","",IFERROR(1/(1/_xlfn.MINIFS(Apparitions!$L$2:$L$5001,Apparitions!$H$2:$H$5001,A1783)),""))</f>
        <v/>
      </c>
    </row>
    <row r="1784" customFormat="false" ht="15" hidden="false" customHeight="false" outlineLevel="0" collapsed="false">
      <c r="A1784" s="19"/>
      <c r="B1784" s="19"/>
      <c r="C1784" s="19"/>
      <c r="D1784" s="19"/>
      <c r="E1784" s="32"/>
      <c r="F1784" s="19"/>
      <c r="G1784" s="26" t="str">
        <f aca="false">IF(A1784="","",COUNTIF(Pubs!$B$2:$B$3001,A1784))</f>
        <v/>
      </c>
      <c r="H1784" s="26" t="str">
        <f aca="false">IF(A1784="","",COUNTIF(Apparitions!$H$2:$H$5001,A1784))</f>
        <v/>
      </c>
      <c r="I1784" s="26" t="str">
        <f aca="false">IF(A1784="","",COUNTIFS(Apparitions!$H$2:$H$5001,A1784,Apparitions!$E$2:$E$5001,"○"))</f>
        <v/>
      </c>
      <c r="J1784" s="29" t="str">
        <f aca="false">IF(A1784="","",IFERROR(1/(1/_xlfn.MINIFS(Apparitions!$L$2:$L$5001,Apparitions!$H$2:$H$5001,A1784)),""))</f>
        <v/>
      </c>
    </row>
    <row r="1785" customFormat="false" ht="15" hidden="false" customHeight="false" outlineLevel="0" collapsed="false">
      <c r="A1785" s="19"/>
      <c r="B1785" s="19"/>
      <c r="C1785" s="19"/>
      <c r="D1785" s="19"/>
      <c r="E1785" s="32"/>
      <c r="F1785" s="19"/>
      <c r="G1785" s="26" t="str">
        <f aca="false">IF(A1785="","",COUNTIF(Pubs!$B$2:$B$3001,A1785))</f>
        <v/>
      </c>
      <c r="H1785" s="26" t="str">
        <f aca="false">IF(A1785="","",COUNTIF(Apparitions!$H$2:$H$5001,A1785))</f>
        <v/>
      </c>
      <c r="I1785" s="26" t="str">
        <f aca="false">IF(A1785="","",COUNTIFS(Apparitions!$H$2:$H$5001,A1785,Apparitions!$E$2:$E$5001,"○"))</f>
        <v/>
      </c>
      <c r="J1785" s="29" t="str">
        <f aca="false">IF(A1785="","",IFERROR(1/(1/_xlfn.MINIFS(Apparitions!$L$2:$L$5001,Apparitions!$H$2:$H$5001,A1785)),""))</f>
        <v/>
      </c>
    </row>
    <row r="1786" customFormat="false" ht="15" hidden="false" customHeight="false" outlineLevel="0" collapsed="false">
      <c r="A1786" s="19"/>
      <c r="B1786" s="19"/>
      <c r="C1786" s="19"/>
      <c r="D1786" s="19"/>
      <c r="E1786" s="32"/>
      <c r="F1786" s="19"/>
      <c r="G1786" s="26" t="str">
        <f aca="false">IF(A1786="","",COUNTIF(Pubs!$B$2:$B$3001,A1786))</f>
        <v/>
      </c>
      <c r="H1786" s="26" t="str">
        <f aca="false">IF(A1786="","",COUNTIF(Apparitions!$H$2:$H$5001,A1786))</f>
        <v/>
      </c>
      <c r="I1786" s="26" t="str">
        <f aca="false">IF(A1786="","",COUNTIFS(Apparitions!$H$2:$H$5001,A1786,Apparitions!$E$2:$E$5001,"○"))</f>
        <v/>
      </c>
      <c r="J1786" s="29" t="str">
        <f aca="false">IF(A1786="","",IFERROR(1/(1/_xlfn.MINIFS(Apparitions!$L$2:$L$5001,Apparitions!$H$2:$H$5001,A1786)),""))</f>
        <v/>
      </c>
    </row>
    <row r="1787" customFormat="false" ht="15" hidden="false" customHeight="false" outlineLevel="0" collapsed="false">
      <c r="A1787" s="19"/>
      <c r="B1787" s="19"/>
      <c r="C1787" s="19"/>
      <c r="D1787" s="19"/>
      <c r="E1787" s="32"/>
      <c r="F1787" s="19"/>
      <c r="G1787" s="26" t="str">
        <f aca="false">IF(A1787="","",COUNTIF(Pubs!$B$2:$B$3001,A1787))</f>
        <v/>
      </c>
      <c r="H1787" s="26" t="str">
        <f aca="false">IF(A1787="","",COUNTIF(Apparitions!$H$2:$H$5001,A1787))</f>
        <v/>
      </c>
      <c r="I1787" s="26" t="str">
        <f aca="false">IF(A1787="","",COUNTIFS(Apparitions!$H$2:$H$5001,A1787,Apparitions!$E$2:$E$5001,"○"))</f>
        <v/>
      </c>
      <c r="J1787" s="29" t="str">
        <f aca="false">IF(A1787="","",IFERROR(1/(1/_xlfn.MINIFS(Apparitions!$L$2:$L$5001,Apparitions!$H$2:$H$5001,A1787)),""))</f>
        <v/>
      </c>
    </row>
    <row r="1788" customFormat="false" ht="15" hidden="false" customHeight="false" outlineLevel="0" collapsed="false">
      <c r="A1788" s="19"/>
      <c r="B1788" s="19"/>
      <c r="C1788" s="19"/>
      <c r="D1788" s="19"/>
      <c r="E1788" s="32"/>
      <c r="F1788" s="19"/>
      <c r="G1788" s="26" t="str">
        <f aca="false">IF(A1788="","",COUNTIF(Pubs!$B$2:$B$3001,A1788))</f>
        <v/>
      </c>
      <c r="H1788" s="26" t="str">
        <f aca="false">IF(A1788="","",COUNTIF(Apparitions!$H$2:$H$5001,A1788))</f>
        <v/>
      </c>
      <c r="I1788" s="26" t="str">
        <f aca="false">IF(A1788="","",COUNTIFS(Apparitions!$H$2:$H$5001,A1788,Apparitions!$E$2:$E$5001,"○"))</f>
        <v/>
      </c>
      <c r="J1788" s="29" t="str">
        <f aca="false">IF(A1788="","",IFERROR(1/(1/_xlfn.MINIFS(Apparitions!$L$2:$L$5001,Apparitions!$H$2:$H$5001,A1788)),""))</f>
        <v/>
      </c>
    </row>
    <row r="1789" customFormat="false" ht="15" hidden="false" customHeight="false" outlineLevel="0" collapsed="false">
      <c r="A1789" s="19"/>
      <c r="B1789" s="19"/>
      <c r="C1789" s="19"/>
      <c r="D1789" s="19"/>
      <c r="E1789" s="32"/>
      <c r="F1789" s="19"/>
      <c r="G1789" s="26" t="str">
        <f aca="false">IF(A1789="","",COUNTIF(Pubs!$B$2:$B$3001,A1789))</f>
        <v/>
      </c>
      <c r="H1789" s="26" t="str">
        <f aca="false">IF(A1789="","",COUNTIF(Apparitions!$H$2:$H$5001,A1789))</f>
        <v/>
      </c>
      <c r="I1789" s="26" t="str">
        <f aca="false">IF(A1789="","",COUNTIFS(Apparitions!$H$2:$H$5001,A1789,Apparitions!$E$2:$E$5001,"○"))</f>
        <v/>
      </c>
      <c r="J1789" s="29" t="str">
        <f aca="false">IF(A1789="","",IFERROR(1/(1/_xlfn.MINIFS(Apparitions!$L$2:$L$5001,Apparitions!$H$2:$H$5001,A1789)),""))</f>
        <v/>
      </c>
    </row>
    <row r="1790" customFormat="false" ht="15" hidden="false" customHeight="false" outlineLevel="0" collapsed="false">
      <c r="A1790" s="19"/>
      <c r="B1790" s="19"/>
      <c r="C1790" s="19"/>
      <c r="D1790" s="19"/>
      <c r="E1790" s="32"/>
      <c r="F1790" s="19"/>
      <c r="G1790" s="26" t="str">
        <f aca="false">IF(A1790="","",COUNTIF(Pubs!$B$2:$B$3001,A1790))</f>
        <v/>
      </c>
      <c r="H1790" s="26" t="str">
        <f aca="false">IF(A1790="","",COUNTIF(Apparitions!$H$2:$H$5001,A1790))</f>
        <v/>
      </c>
      <c r="I1790" s="26" t="str">
        <f aca="false">IF(A1790="","",COUNTIFS(Apparitions!$H$2:$H$5001,A1790,Apparitions!$E$2:$E$5001,"○"))</f>
        <v/>
      </c>
      <c r="J1790" s="29" t="str">
        <f aca="false">IF(A1790="","",IFERROR(1/(1/_xlfn.MINIFS(Apparitions!$L$2:$L$5001,Apparitions!$H$2:$H$5001,A1790)),""))</f>
        <v/>
      </c>
    </row>
    <row r="1791" customFormat="false" ht="15" hidden="false" customHeight="false" outlineLevel="0" collapsed="false">
      <c r="A1791" s="19"/>
      <c r="B1791" s="19"/>
      <c r="C1791" s="19"/>
      <c r="D1791" s="19"/>
      <c r="E1791" s="32"/>
      <c r="F1791" s="19"/>
      <c r="G1791" s="26" t="str">
        <f aca="false">IF(A1791="","",COUNTIF(Pubs!$B$2:$B$3001,A1791))</f>
        <v/>
      </c>
      <c r="H1791" s="26" t="str">
        <f aca="false">IF(A1791="","",COUNTIF(Apparitions!$H$2:$H$5001,A1791))</f>
        <v/>
      </c>
      <c r="I1791" s="26" t="str">
        <f aca="false">IF(A1791="","",COUNTIFS(Apparitions!$H$2:$H$5001,A1791,Apparitions!$E$2:$E$5001,"○"))</f>
        <v/>
      </c>
      <c r="J1791" s="29" t="str">
        <f aca="false">IF(A1791="","",IFERROR(1/(1/_xlfn.MINIFS(Apparitions!$L$2:$L$5001,Apparitions!$H$2:$H$5001,A1791)),""))</f>
        <v/>
      </c>
    </row>
    <row r="1792" customFormat="false" ht="15" hidden="false" customHeight="false" outlineLevel="0" collapsed="false">
      <c r="A1792" s="19"/>
      <c r="B1792" s="19"/>
      <c r="C1792" s="19"/>
      <c r="D1792" s="19"/>
      <c r="E1792" s="32"/>
      <c r="F1792" s="19"/>
      <c r="G1792" s="26" t="str">
        <f aca="false">IF(A1792="","",COUNTIF(Pubs!$B$2:$B$3001,A1792))</f>
        <v/>
      </c>
      <c r="H1792" s="26" t="str">
        <f aca="false">IF(A1792="","",COUNTIF(Apparitions!$H$2:$H$5001,A1792))</f>
        <v/>
      </c>
      <c r="I1792" s="26" t="str">
        <f aca="false">IF(A1792="","",COUNTIFS(Apparitions!$H$2:$H$5001,A1792,Apparitions!$E$2:$E$5001,"○"))</f>
        <v/>
      </c>
      <c r="J1792" s="29" t="str">
        <f aca="false">IF(A1792="","",IFERROR(1/(1/_xlfn.MINIFS(Apparitions!$L$2:$L$5001,Apparitions!$H$2:$H$5001,A1792)),""))</f>
        <v/>
      </c>
    </row>
    <row r="1793" customFormat="false" ht="15" hidden="false" customHeight="false" outlineLevel="0" collapsed="false">
      <c r="A1793" s="19"/>
      <c r="B1793" s="19"/>
      <c r="C1793" s="19"/>
      <c r="D1793" s="19"/>
      <c r="E1793" s="32"/>
      <c r="F1793" s="19"/>
      <c r="G1793" s="26" t="str">
        <f aca="false">IF(A1793="","",COUNTIF(Pubs!$B$2:$B$3001,A1793))</f>
        <v/>
      </c>
      <c r="H1793" s="26" t="str">
        <f aca="false">IF(A1793="","",COUNTIF(Apparitions!$H$2:$H$5001,A1793))</f>
        <v/>
      </c>
      <c r="I1793" s="26" t="str">
        <f aca="false">IF(A1793="","",COUNTIFS(Apparitions!$H$2:$H$5001,A1793,Apparitions!$E$2:$E$5001,"○"))</f>
        <v/>
      </c>
      <c r="J1793" s="29" t="str">
        <f aca="false">IF(A1793="","",IFERROR(1/(1/_xlfn.MINIFS(Apparitions!$L$2:$L$5001,Apparitions!$H$2:$H$5001,A1793)),""))</f>
        <v/>
      </c>
    </row>
    <row r="1794" customFormat="false" ht="15" hidden="false" customHeight="false" outlineLevel="0" collapsed="false">
      <c r="A1794" s="19"/>
      <c r="B1794" s="19"/>
      <c r="C1794" s="19"/>
      <c r="D1794" s="19"/>
      <c r="E1794" s="32"/>
      <c r="F1794" s="19"/>
      <c r="G1794" s="26" t="str">
        <f aca="false">IF(A1794="","",COUNTIF(Pubs!$B$2:$B$3001,A1794))</f>
        <v/>
      </c>
      <c r="H1794" s="26" t="str">
        <f aca="false">IF(A1794="","",COUNTIF(Apparitions!$H$2:$H$5001,A1794))</f>
        <v/>
      </c>
      <c r="I1794" s="26" t="str">
        <f aca="false">IF(A1794="","",COUNTIFS(Apparitions!$H$2:$H$5001,A1794,Apparitions!$E$2:$E$5001,"○"))</f>
        <v/>
      </c>
      <c r="J1794" s="29" t="str">
        <f aca="false">IF(A1794="","",IFERROR(1/(1/_xlfn.MINIFS(Apparitions!$L$2:$L$5001,Apparitions!$H$2:$H$5001,A1794)),""))</f>
        <v/>
      </c>
    </row>
    <row r="1795" customFormat="false" ht="15" hidden="false" customHeight="false" outlineLevel="0" collapsed="false">
      <c r="A1795" s="19"/>
      <c r="B1795" s="19"/>
      <c r="C1795" s="19"/>
      <c r="D1795" s="19"/>
      <c r="E1795" s="32"/>
      <c r="F1795" s="19"/>
      <c r="G1795" s="26" t="str">
        <f aca="false">IF(A1795="","",COUNTIF(Pubs!$B$2:$B$3001,A1795))</f>
        <v/>
      </c>
      <c r="H1795" s="26" t="str">
        <f aca="false">IF(A1795="","",COUNTIF(Apparitions!$H$2:$H$5001,A1795))</f>
        <v/>
      </c>
      <c r="I1795" s="26" t="str">
        <f aca="false">IF(A1795="","",COUNTIFS(Apparitions!$H$2:$H$5001,A1795,Apparitions!$E$2:$E$5001,"○"))</f>
        <v/>
      </c>
      <c r="J1795" s="29" t="str">
        <f aca="false">IF(A1795="","",IFERROR(1/(1/_xlfn.MINIFS(Apparitions!$L$2:$L$5001,Apparitions!$H$2:$H$5001,A1795)),""))</f>
        <v/>
      </c>
    </row>
    <row r="1796" customFormat="false" ht="15" hidden="false" customHeight="false" outlineLevel="0" collapsed="false">
      <c r="A1796" s="19"/>
      <c r="B1796" s="19"/>
      <c r="C1796" s="19"/>
      <c r="D1796" s="19"/>
      <c r="E1796" s="32"/>
      <c r="F1796" s="19"/>
      <c r="G1796" s="26" t="str">
        <f aca="false">IF(A1796="","",COUNTIF(Pubs!$B$2:$B$3001,A1796))</f>
        <v/>
      </c>
      <c r="H1796" s="26" t="str">
        <f aca="false">IF(A1796="","",COUNTIF(Apparitions!$H$2:$H$5001,A1796))</f>
        <v/>
      </c>
      <c r="I1796" s="26" t="str">
        <f aca="false">IF(A1796="","",COUNTIFS(Apparitions!$H$2:$H$5001,A1796,Apparitions!$E$2:$E$5001,"○"))</f>
        <v/>
      </c>
      <c r="J1796" s="29" t="str">
        <f aca="false">IF(A1796="","",IFERROR(1/(1/_xlfn.MINIFS(Apparitions!$L$2:$L$5001,Apparitions!$H$2:$H$5001,A1796)),""))</f>
        <v/>
      </c>
    </row>
    <row r="1797" customFormat="false" ht="15" hidden="false" customHeight="false" outlineLevel="0" collapsed="false">
      <c r="A1797" s="19"/>
      <c r="B1797" s="19"/>
      <c r="C1797" s="19"/>
      <c r="D1797" s="19"/>
      <c r="E1797" s="32"/>
      <c r="F1797" s="19"/>
      <c r="G1797" s="26" t="str">
        <f aca="false">IF(A1797="","",COUNTIF(Pubs!$B$2:$B$3001,A1797))</f>
        <v/>
      </c>
      <c r="H1797" s="26" t="str">
        <f aca="false">IF(A1797="","",COUNTIF(Apparitions!$H$2:$H$5001,A1797))</f>
        <v/>
      </c>
      <c r="I1797" s="26" t="str">
        <f aca="false">IF(A1797="","",COUNTIFS(Apparitions!$H$2:$H$5001,A1797,Apparitions!$E$2:$E$5001,"○"))</f>
        <v/>
      </c>
      <c r="J1797" s="29" t="str">
        <f aca="false">IF(A1797="","",IFERROR(1/(1/_xlfn.MINIFS(Apparitions!$L$2:$L$5001,Apparitions!$H$2:$H$5001,A1797)),""))</f>
        <v/>
      </c>
    </row>
    <row r="1798" customFormat="false" ht="15" hidden="false" customHeight="false" outlineLevel="0" collapsed="false">
      <c r="A1798" s="19"/>
      <c r="B1798" s="19"/>
      <c r="C1798" s="19"/>
      <c r="D1798" s="19"/>
      <c r="E1798" s="32"/>
      <c r="F1798" s="19"/>
      <c r="G1798" s="26" t="str">
        <f aca="false">IF(A1798="","",COUNTIF(Pubs!$B$2:$B$3001,A1798))</f>
        <v/>
      </c>
      <c r="H1798" s="26" t="str">
        <f aca="false">IF(A1798="","",COUNTIF(Apparitions!$H$2:$H$5001,A1798))</f>
        <v/>
      </c>
      <c r="I1798" s="26" t="str">
        <f aca="false">IF(A1798="","",COUNTIFS(Apparitions!$H$2:$H$5001,A1798,Apparitions!$E$2:$E$5001,"○"))</f>
        <v/>
      </c>
      <c r="J1798" s="29" t="str">
        <f aca="false">IF(A1798="","",IFERROR(1/(1/_xlfn.MINIFS(Apparitions!$L$2:$L$5001,Apparitions!$H$2:$H$5001,A1798)),""))</f>
        <v/>
      </c>
    </row>
    <row r="1799" customFormat="false" ht="15" hidden="false" customHeight="false" outlineLevel="0" collapsed="false">
      <c r="A1799" s="19"/>
      <c r="B1799" s="19"/>
      <c r="C1799" s="19"/>
      <c r="D1799" s="19"/>
      <c r="E1799" s="32"/>
      <c r="F1799" s="19"/>
      <c r="G1799" s="26" t="str">
        <f aca="false">IF(A1799="","",COUNTIF(Pubs!$B$2:$B$3001,A1799))</f>
        <v/>
      </c>
      <c r="H1799" s="26" t="str">
        <f aca="false">IF(A1799="","",COUNTIF(Apparitions!$H$2:$H$5001,A1799))</f>
        <v/>
      </c>
      <c r="I1799" s="26" t="str">
        <f aca="false">IF(A1799="","",COUNTIFS(Apparitions!$H$2:$H$5001,A1799,Apparitions!$E$2:$E$5001,"○"))</f>
        <v/>
      </c>
      <c r="J1799" s="29" t="str">
        <f aca="false">IF(A1799="","",IFERROR(1/(1/_xlfn.MINIFS(Apparitions!$L$2:$L$5001,Apparitions!$H$2:$H$5001,A1799)),""))</f>
        <v/>
      </c>
    </row>
    <row r="1800" customFormat="false" ht="15" hidden="false" customHeight="false" outlineLevel="0" collapsed="false">
      <c r="A1800" s="19"/>
      <c r="B1800" s="19"/>
      <c r="C1800" s="19"/>
      <c r="D1800" s="19"/>
      <c r="E1800" s="32"/>
      <c r="F1800" s="19"/>
      <c r="G1800" s="26" t="str">
        <f aca="false">IF(A1800="","",COUNTIF(Pubs!$B$2:$B$3001,A1800))</f>
        <v/>
      </c>
      <c r="H1800" s="26" t="str">
        <f aca="false">IF(A1800="","",COUNTIF(Apparitions!$H$2:$H$5001,A1800))</f>
        <v/>
      </c>
      <c r="I1800" s="26" t="str">
        <f aca="false">IF(A1800="","",COUNTIFS(Apparitions!$H$2:$H$5001,A1800,Apparitions!$E$2:$E$5001,"○"))</f>
        <v/>
      </c>
      <c r="J1800" s="29" t="str">
        <f aca="false">IF(A1800="","",IFERROR(1/(1/_xlfn.MINIFS(Apparitions!$L$2:$L$5001,Apparitions!$H$2:$H$5001,A1800)),""))</f>
        <v/>
      </c>
    </row>
    <row r="1801" customFormat="false" ht="15" hidden="false" customHeight="false" outlineLevel="0" collapsed="false">
      <c r="A1801" s="19"/>
      <c r="B1801" s="19"/>
      <c r="C1801" s="19"/>
      <c r="D1801" s="19"/>
      <c r="E1801" s="32"/>
      <c r="F1801" s="19"/>
      <c r="G1801" s="26" t="str">
        <f aca="false">IF(A1801="","",COUNTIF(Pubs!$B$2:$B$3001,A1801))</f>
        <v/>
      </c>
      <c r="H1801" s="26" t="str">
        <f aca="false">IF(A1801="","",COUNTIF(Apparitions!$H$2:$H$5001,A1801))</f>
        <v/>
      </c>
      <c r="I1801" s="26" t="str">
        <f aca="false">IF(A1801="","",COUNTIFS(Apparitions!$H$2:$H$5001,A1801,Apparitions!$E$2:$E$5001,"○"))</f>
        <v/>
      </c>
      <c r="J1801" s="29" t="str">
        <f aca="false">IF(A1801="","",IFERROR(1/(1/_xlfn.MINIFS(Apparitions!$L$2:$L$5001,Apparitions!$H$2:$H$5001,A1801)),""))</f>
        <v/>
      </c>
    </row>
    <row r="1802" customFormat="false" ht="15" hidden="false" customHeight="false" outlineLevel="0" collapsed="false">
      <c r="A1802" s="19"/>
      <c r="B1802" s="19"/>
      <c r="C1802" s="19"/>
      <c r="D1802" s="19"/>
      <c r="E1802" s="32"/>
      <c r="F1802" s="19"/>
      <c r="G1802" s="26" t="str">
        <f aca="false">IF(A1802="","",COUNTIF(Pubs!$B$2:$B$3001,A1802))</f>
        <v/>
      </c>
      <c r="H1802" s="26" t="str">
        <f aca="false">IF(A1802="","",COUNTIF(Apparitions!$H$2:$H$5001,A1802))</f>
        <v/>
      </c>
      <c r="I1802" s="26" t="str">
        <f aca="false">IF(A1802="","",COUNTIFS(Apparitions!$H$2:$H$5001,A1802,Apparitions!$E$2:$E$5001,"○"))</f>
        <v/>
      </c>
      <c r="J1802" s="29" t="str">
        <f aca="false">IF(A1802="","",IFERROR(1/(1/_xlfn.MINIFS(Apparitions!$L$2:$L$5001,Apparitions!$H$2:$H$5001,A1802)),""))</f>
        <v/>
      </c>
    </row>
    <row r="1803" customFormat="false" ht="15" hidden="false" customHeight="false" outlineLevel="0" collapsed="false">
      <c r="A1803" s="19"/>
      <c r="B1803" s="19"/>
      <c r="C1803" s="19"/>
      <c r="D1803" s="19"/>
      <c r="E1803" s="32"/>
      <c r="F1803" s="19"/>
      <c r="G1803" s="26" t="str">
        <f aca="false">IF(A1803="","",COUNTIF(Pubs!$B$2:$B$3001,A1803))</f>
        <v/>
      </c>
      <c r="H1803" s="26" t="str">
        <f aca="false">IF(A1803="","",COUNTIF(Apparitions!$H$2:$H$5001,A1803))</f>
        <v/>
      </c>
      <c r="I1803" s="26" t="str">
        <f aca="false">IF(A1803="","",COUNTIFS(Apparitions!$H$2:$H$5001,A1803,Apparitions!$E$2:$E$5001,"○"))</f>
        <v/>
      </c>
      <c r="J1803" s="29" t="str">
        <f aca="false">IF(A1803="","",IFERROR(1/(1/_xlfn.MINIFS(Apparitions!$L$2:$L$5001,Apparitions!$H$2:$H$5001,A1803)),""))</f>
        <v/>
      </c>
    </row>
    <row r="1804" customFormat="false" ht="15" hidden="false" customHeight="false" outlineLevel="0" collapsed="false">
      <c r="A1804" s="19"/>
      <c r="B1804" s="19"/>
      <c r="C1804" s="19"/>
      <c r="D1804" s="19"/>
      <c r="E1804" s="32"/>
      <c r="F1804" s="19"/>
      <c r="G1804" s="26" t="str">
        <f aca="false">IF(A1804="","",COUNTIF(Pubs!$B$2:$B$3001,A1804))</f>
        <v/>
      </c>
      <c r="H1804" s="26" t="str">
        <f aca="false">IF(A1804="","",COUNTIF(Apparitions!$H$2:$H$5001,A1804))</f>
        <v/>
      </c>
      <c r="I1804" s="26" t="str">
        <f aca="false">IF(A1804="","",COUNTIFS(Apparitions!$H$2:$H$5001,A1804,Apparitions!$E$2:$E$5001,"○"))</f>
        <v/>
      </c>
      <c r="J1804" s="29" t="str">
        <f aca="false">IF(A1804="","",IFERROR(1/(1/_xlfn.MINIFS(Apparitions!$L$2:$L$5001,Apparitions!$H$2:$H$5001,A1804)),""))</f>
        <v/>
      </c>
    </row>
    <row r="1805" customFormat="false" ht="15" hidden="false" customHeight="false" outlineLevel="0" collapsed="false">
      <c r="A1805" s="19"/>
      <c r="B1805" s="19"/>
      <c r="C1805" s="19"/>
      <c r="D1805" s="19"/>
      <c r="E1805" s="32"/>
      <c r="F1805" s="19"/>
      <c r="G1805" s="26" t="str">
        <f aca="false">IF(A1805="","",COUNTIF(Pubs!$B$2:$B$3001,A1805))</f>
        <v/>
      </c>
      <c r="H1805" s="26" t="str">
        <f aca="false">IF(A1805="","",COUNTIF(Apparitions!$H$2:$H$5001,A1805))</f>
        <v/>
      </c>
      <c r="I1805" s="26" t="str">
        <f aca="false">IF(A1805="","",COUNTIFS(Apparitions!$H$2:$H$5001,A1805,Apparitions!$E$2:$E$5001,"○"))</f>
        <v/>
      </c>
      <c r="J1805" s="29" t="str">
        <f aca="false">IF(A1805="","",IFERROR(1/(1/_xlfn.MINIFS(Apparitions!$L$2:$L$5001,Apparitions!$H$2:$H$5001,A1805)),""))</f>
        <v/>
      </c>
    </row>
    <row r="1806" customFormat="false" ht="15" hidden="false" customHeight="false" outlineLevel="0" collapsed="false">
      <c r="A1806" s="19"/>
      <c r="B1806" s="19"/>
      <c r="C1806" s="19"/>
      <c r="D1806" s="19"/>
      <c r="E1806" s="32"/>
      <c r="F1806" s="19"/>
      <c r="G1806" s="26" t="str">
        <f aca="false">IF(A1806="","",COUNTIF(Pubs!$B$2:$B$3001,A1806))</f>
        <v/>
      </c>
      <c r="H1806" s="26" t="str">
        <f aca="false">IF(A1806="","",COUNTIF(Apparitions!$H$2:$H$5001,A1806))</f>
        <v/>
      </c>
      <c r="I1806" s="26" t="str">
        <f aca="false">IF(A1806="","",COUNTIFS(Apparitions!$H$2:$H$5001,A1806,Apparitions!$E$2:$E$5001,"○"))</f>
        <v/>
      </c>
      <c r="J1806" s="29" t="str">
        <f aca="false">IF(A1806="","",IFERROR(1/(1/_xlfn.MINIFS(Apparitions!$L$2:$L$5001,Apparitions!$H$2:$H$5001,A1806)),""))</f>
        <v/>
      </c>
    </row>
    <row r="1807" customFormat="false" ht="15" hidden="false" customHeight="false" outlineLevel="0" collapsed="false">
      <c r="A1807" s="19"/>
      <c r="B1807" s="19"/>
      <c r="C1807" s="19"/>
      <c r="D1807" s="19"/>
      <c r="E1807" s="32"/>
      <c r="F1807" s="19"/>
      <c r="G1807" s="26" t="str">
        <f aca="false">IF(A1807="","",COUNTIF(Pubs!$B$2:$B$3001,A1807))</f>
        <v/>
      </c>
      <c r="H1807" s="26" t="str">
        <f aca="false">IF(A1807="","",COUNTIF(Apparitions!$H$2:$H$5001,A1807))</f>
        <v/>
      </c>
      <c r="I1807" s="26" t="str">
        <f aca="false">IF(A1807="","",COUNTIFS(Apparitions!$H$2:$H$5001,A1807,Apparitions!$E$2:$E$5001,"○"))</f>
        <v/>
      </c>
      <c r="J1807" s="29" t="str">
        <f aca="false">IF(A1807="","",IFERROR(1/(1/_xlfn.MINIFS(Apparitions!$L$2:$L$5001,Apparitions!$H$2:$H$5001,A1807)),""))</f>
        <v/>
      </c>
    </row>
    <row r="1808" customFormat="false" ht="15" hidden="false" customHeight="false" outlineLevel="0" collapsed="false">
      <c r="A1808" s="19"/>
      <c r="B1808" s="19"/>
      <c r="C1808" s="19"/>
      <c r="D1808" s="19"/>
      <c r="E1808" s="32"/>
      <c r="F1808" s="19"/>
      <c r="G1808" s="26" t="str">
        <f aca="false">IF(A1808="","",COUNTIF(Pubs!$B$2:$B$3001,A1808))</f>
        <v/>
      </c>
      <c r="H1808" s="26" t="str">
        <f aca="false">IF(A1808="","",COUNTIF(Apparitions!$H$2:$H$5001,A1808))</f>
        <v/>
      </c>
      <c r="I1808" s="26" t="str">
        <f aca="false">IF(A1808="","",COUNTIFS(Apparitions!$H$2:$H$5001,A1808,Apparitions!$E$2:$E$5001,"○"))</f>
        <v/>
      </c>
      <c r="J1808" s="29" t="str">
        <f aca="false">IF(A1808="","",IFERROR(1/(1/_xlfn.MINIFS(Apparitions!$L$2:$L$5001,Apparitions!$H$2:$H$5001,A1808)),""))</f>
        <v/>
      </c>
    </row>
    <row r="1809" customFormat="false" ht="15" hidden="false" customHeight="false" outlineLevel="0" collapsed="false">
      <c r="A1809" s="19"/>
      <c r="B1809" s="19"/>
      <c r="C1809" s="19"/>
      <c r="D1809" s="19"/>
      <c r="E1809" s="32"/>
      <c r="F1809" s="19"/>
      <c r="G1809" s="26" t="str">
        <f aca="false">IF(A1809="","",COUNTIF(Pubs!$B$2:$B$3001,A1809))</f>
        <v/>
      </c>
      <c r="H1809" s="26" t="str">
        <f aca="false">IF(A1809="","",COUNTIF(Apparitions!$H$2:$H$5001,A1809))</f>
        <v/>
      </c>
      <c r="I1809" s="26" t="str">
        <f aca="false">IF(A1809="","",COUNTIFS(Apparitions!$H$2:$H$5001,A1809,Apparitions!$E$2:$E$5001,"○"))</f>
        <v/>
      </c>
      <c r="J1809" s="29" t="str">
        <f aca="false">IF(A1809="","",IFERROR(1/(1/_xlfn.MINIFS(Apparitions!$L$2:$L$5001,Apparitions!$H$2:$H$5001,A1809)),""))</f>
        <v/>
      </c>
    </row>
    <row r="1810" customFormat="false" ht="15" hidden="false" customHeight="false" outlineLevel="0" collapsed="false">
      <c r="A1810" s="19"/>
      <c r="B1810" s="19"/>
      <c r="C1810" s="19"/>
      <c r="D1810" s="19"/>
      <c r="E1810" s="32"/>
      <c r="F1810" s="19"/>
      <c r="G1810" s="26" t="str">
        <f aca="false">IF(A1810="","",COUNTIF(Pubs!$B$2:$B$3001,A1810))</f>
        <v/>
      </c>
      <c r="H1810" s="26" t="str">
        <f aca="false">IF(A1810="","",COUNTIF(Apparitions!$H$2:$H$5001,A1810))</f>
        <v/>
      </c>
      <c r="I1810" s="26" t="str">
        <f aca="false">IF(A1810="","",COUNTIFS(Apparitions!$H$2:$H$5001,A1810,Apparitions!$E$2:$E$5001,"○"))</f>
        <v/>
      </c>
      <c r="J1810" s="29" t="str">
        <f aca="false">IF(A1810="","",IFERROR(1/(1/_xlfn.MINIFS(Apparitions!$L$2:$L$5001,Apparitions!$H$2:$H$5001,A1810)),""))</f>
        <v/>
      </c>
    </row>
    <row r="1811" customFormat="false" ht="15" hidden="false" customHeight="false" outlineLevel="0" collapsed="false">
      <c r="A1811" s="19"/>
      <c r="B1811" s="19"/>
      <c r="C1811" s="19"/>
      <c r="D1811" s="19"/>
      <c r="E1811" s="32"/>
      <c r="F1811" s="19"/>
      <c r="G1811" s="26" t="str">
        <f aca="false">IF(A1811="","",COUNTIF(Pubs!$B$2:$B$3001,A1811))</f>
        <v/>
      </c>
      <c r="H1811" s="26" t="str">
        <f aca="false">IF(A1811="","",COUNTIF(Apparitions!$H$2:$H$5001,A1811))</f>
        <v/>
      </c>
      <c r="I1811" s="26" t="str">
        <f aca="false">IF(A1811="","",COUNTIFS(Apparitions!$H$2:$H$5001,A1811,Apparitions!$E$2:$E$5001,"○"))</f>
        <v/>
      </c>
      <c r="J1811" s="29" t="str">
        <f aca="false">IF(A1811="","",IFERROR(1/(1/_xlfn.MINIFS(Apparitions!$L$2:$L$5001,Apparitions!$H$2:$H$5001,A1811)),""))</f>
        <v/>
      </c>
    </row>
    <row r="1812" customFormat="false" ht="15" hidden="false" customHeight="false" outlineLevel="0" collapsed="false">
      <c r="A1812" s="19"/>
      <c r="B1812" s="19"/>
      <c r="C1812" s="19"/>
      <c r="D1812" s="19"/>
      <c r="E1812" s="32"/>
      <c r="F1812" s="19"/>
      <c r="G1812" s="26" t="str">
        <f aca="false">IF(A1812="","",COUNTIF(Pubs!$B$2:$B$3001,A1812))</f>
        <v/>
      </c>
      <c r="H1812" s="26" t="str">
        <f aca="false">IF(A1812="","",COUNTIF(Apparitions!$H$2:$H$5001,A1812))</f>
        <v/>
      </c>
      <c r="I1812" s="26" t="str">
        <f aca="false">IF(A1812="","",COUNTIFS(Apparitions!$H$2:$H$5001,A1812,Apparitions!$E$2:$E$5001,"○"))</f>
        <v/>
      </c>
      <c r="J1812" s="29" t="str">
        <f aca="false">IF(A1812="","",IFERROR(1/(1/_xlfn.MINIFS(Apparitions!$L$2:$L$5001,Apparitions!$H$2:$H$5001,A1812)),""))</f>
        <v/>
      </c>
    </row>
    <row r="1813" customFormat="false" ht="15" hidden="false" customHeight="false" outlineLevel="0" collapsed="false">
      <c r="A1813" s="19"/>
      <c r="B1813" s="19"/>
      <c r="C1813" s="19"/>
      <c r="D1813" s="19"/>
      <c r="E1813" s="32"/>
      <c r="F1813" s="19"/>
      <c r="G1813" s="26" t="str">
        <f aca="false">IF(A1813="","",COUNTIF(Pubs!$B$2:$B$3001,A1813))</f>
        <v/>
      </c>
      <c r="H1813" s="26" t="str">
        <f aca="false">IF(A1813="","",COUNTIF(Apparitions!$H$2:$H$5001,A1813))</f>
        <v/>
      </c>
      <c r="I1813" s="26" t="str">
        <f aca="false">IF(A1813="","",COUNTIFS(Apparitions!$H$2:$H$5001,A1813,Apparitions!$E$2:$E$5001,"○"))</f>
        <v/>
      </c>
      <c r="J1813" s="29" t="str">
        <f aca="false">IF(A1813="","",IFERROR(1/(1/_xlfn.MINIFS(Apparitions!$L$2:$L$5001,Apparitions!$H$2:$H$5001,A1813)),""))</f>
        <v/>
      </c>
    </row>
    <row r="1814" customFormat="false" ht="15" hidden="false" customHeight="false" outlineLevel="0" collapsed="false">
      <c r="A1814" s="19"/>
      <c r="B1814" s="19"/>
      <c r="C1814" s="19"/>
      <c r="D1814" s="19"/>
      <c r="E1814" s="32"/>
      <c r="F1814" s="19"/>
      <c r="G1814" s="26" t="str">
        <f aca="false">IF(A1814="","",COUNTIF(Pubs!$B$2:$B$3001,A1814))</f>
        <v/>
      </c>
      <c r="H1814" s="26" t="str">
        <f aca="false">IF(A1814="","",COUNTIF(Apparitions!$H$2:$H$5001,A1814))</f>
        <v/>
      </c>
      <c r="I1814" s="26" t="str">
        <f aca="false">IF(A1814="","",COUNTIFS(Apparitions!$H$2:$H$5001,A1814,Apparitions!$E$2:$E$5001,"○"))</f>
        <v/>
      </c>
      <c r="J1814" s="29" t="str">
        <f aca="false">IF(A1814="","",IFERROR(1/(1/_xlfn.MINIFS(Apparitions!$L$2:$L$5001,Apparitions!$H$2:$H$5001,A1814)),""))</f>
        <v/>
      </c>
    </row>
    <row r="1815" customFormat="false" ht="15" hidden="false" customHeight="false" outlineLevel="0" collapsed="false">
      <c r="A1815" s="19"/>
      <c r="B1815" s="19"/>
      <c r="C1815" s="19"/>
      <c r="D1815" s="19"/>
      <c r="E1815" s="32"/>
      <c r="F1815" s="19"/>
      <c r="G1815" s="26" t="str">
        <f aca="false">IF(A1815="","",COUNTIF(Pubs!$B$2:$B$3001,A1815))</f>
        <v/>
      </c>
      <c r="H1815" s="26" t="str">
        <f aca="false">IF(A1815="","",COUNTIF(Apparitions!$H$2:$H$5001,A1815))</f>
        <v/>
      </c>
      <c r="I1815" s="26" t="str">
        <f aca="false">IF(A1815="","",COUNTIFS(Apparitions!$H$2:$H$5001,A1815,Apparitions!$E$2:$E$5001,"○"))</f>
        <v/>
      </c>
      <c r="J1815" s="29" t="str">
        <f aca="false">IF(A1815="","",IFERROR(1/(1/_xlfn.MINIFS(Apparitions!$L$2:$L$5001,Apparitions!$H$2:$H$5001,A1815)),""))</f>
        <v/>
      </c>
    </row>
    <row r="1816" customFormat="false" ht="15" hidden="false" customHeight="false" outlineLevel="0" collapsed="false">
      <c r="A1816" s="19"/>
      <c r="B1816" s="19"/>
      <c r="C1816" s="19"/>
      <c r="D1816" s="19"/>
      <c r="E1816" s="32"/>
      <c r="F1816" s="19"/>
      <c r="G1816" s="26" t="str">
        <f aca="false">IF(A1816="","",COUNTIF(Pubs!$B$2:$B$3001,A1816))</f>
        <v/>
      </c>
      <c r="H1816" s="26" t="str">
        <f aca="false">IF(A1816="","",COUNTIF(Apparitions!$H$2:$H$5001,A1816))</f>
        <v/>
      </c>
      <c r="I1816" s="26" t="str">
        <f aca="false">IF(A1816="","",COUNTIFS(Apparitions!$H$2:$H$5001,A1816,Apparitions!$E$2:$E$5001,"○"))</f>
        <v/>
      </c>
      <c r="J1816" s="29" t="str">
        <f aca="false">IF(A1816="","",IFERROR(1/(1/_xlfn.MINIFS(Apparitions!$L$2:$L$5001,Apparitions!$H$2:$H$5001,A1816)),""))</f>
        <v/>
      </c>
    </row>
    <row r="1817" customFormat="false" ht="15" hidden="false" customHeight="false" outlineLevel="0" collapsed="false">
      <c r="A1817" s="19"/>
      <c r="B1817" s="19"/>
      <c r="C1817" s="19"/>
      <c r="D1817" s="19"/>
      <c r="E1817" s="32"/>
      <c r="F1817" s="19"/>
      <c r="G1817" s="26" t="str">
        <f aca="false">IF(A1817="","",COUNTIF(Pubs!$B$2:$B$3001,A1817))</f>
        <v/>
      </c>
      <c r="H1817" s="26" t="str">
        <f aca="false">IF(A1817="","",COUNTIF(Apparitions!$H$2:$H$5001,A1817))</f>
        <v/>
      </c>
      <c r="I1817" s="26" t="str">
        <f aca="false">IF(A1817="","",COUNTIFS(Apparitions!$H$2:$H$5001,A1817,Apparitions!$E$2:$E$5001,"○"))</f>
        <v/>
      </c>
      <c r="J1817" s="29" t="str">
        <f aca="false">IF(A1817="","",IFERROR(1/(1/_xlfn.MINIFS(Apparitions!$L$2:$L$5001,Apparitions!$H$2:$H$5001,A1817)),""))</f>
        <v/>
      </c>
    </row>
    <row r="1818" customFormat="false" ht="15" hidden="false" customHeight="false" outlineLevel="0" collapsed="false">
      <c r="A1818" s="19"/>
      <c r="B1818" s="19"/>
      <c r="C1818" s="19"/>
      <c r="D1818" s="19"/>
      <c r="E1818" s="32"/>
      <c r="F1818" s="19"/>
      <c r="G1818" s="26" t="str">
        <f aca="false">IF(A1818="","",COUNTIF(Pubs!$B$2:$B$3001,A1818))</f>
        <v/>
      </c>
      <c r="H1818" s="26" t="str">
        <f aca="false">IF(A1818="","",COUNTIF(Apparitions!$H$2:$H$5001,A1818))</f>
        <v/>
      </c>
      <c r="I1818" s="26" t="str">
        <f aca="false">IF(A1818="","",COUNTIFS(Apparitions!$H$2:$H$5001,A1818,Apparitions!$E$2:$E$5001,"○"))</f>
        <v/>
      </c>
      <c r="J1818" s="29" t="str">
        <f aca="false">IF(A1818="","",IFERROR(1/(1/_xlfn.MINIFS(Apparitions!$L$2:$L$5001,Apparitions!$H$2:$H$5001,A1818)),""))</f>
        <v/>
      </c>
    </row>
    <row r="1819" customFormat="false" ht="15" hidden="false" customHeight="false" outlineLevel="0" collapsed="false">
      <c r="A1819" s="19"/>
      <c r="B1819" s="19"/>
      <c r="C1819" s="19"/>
      <c r="D1819" s="19"/>
      <c r="E1819" s="32"/>
      <c r="F1819" s="19"/>
      <c r="G1819" s="26" t="str">
        <f aca="false">IF(A1819="","",COUNTIF(Pubs!$B$2:$B$3001,A1819))</f>
        <v/>
      </c>
      <c r="H1819" s="26" t="str">
        <f aca="false">IF(A1819="","",COUNTIF(Apparitions!$H$2:$H$5001,A1819))</f>
        <v/>
      </c>
      <c r="I1819" s="26" t="str">
        <f aca="false">IF(A1819="","",COUNTIFS(Apparitions!$H$2:$H$5001,A1819,Apparitions!$E$2:$E$5001,"○"))</f>
        <v/>
      </c>
      <c r="J1819" s="29" t="str">
        <f aca="false">IF(A1819="","",IFERROR(1/(1/_xlfn.MINIFS(Apparitions!$L$2:$L$5001,Apparitions!$H$2:$H$5001,A1819)),""))</f>
        <v/>
      </c>
    </row>
    <row r="1820" customFormat="false" ht="15" hidden="false" customHeight="false" outlineLevel="0" collapsed="false">
      <c r="A1820" s="19"/>
      <c r="B1820" s="19"/>
      <c r="C1820" s="19"/>
      <c r="D1820" s="19"/>
      <c r="E1820" s="32"/>
      <c r="F1820" s="19"/>
      <c r="G1820" s="26" t="str">
        <f aca="false">IF(A1820="","",COUNTIF(Pubs!$B$2:$B$3001,A1820))</f>
        <v/>
      </c>
      <c r="H1820" s="26" t="str">
        <f aca="false">IF(A1820="","",COUNTIF(Apparitions!$H$2:$H$5001,A1820))</f>
        <v/>
      </c>
      <c r="I1820" s="26" t="str">
        <f aca="false">IF(A1820="","",COUNTIFS(Apparitions!$H$2:$H$5001,A1820,Apparitions!$E$2:$E$5001,"○"))</f>
        <v/>
      </c>
      <c r="J1820" s="29" t="str">
        <f aca="false">IF(A1820="","",IFERROR(1/(1/_xlfn.MINIFS(Apparitions!$L$2:$L$5001,Apparitions!$H$2:$H$5001,A1820)),""))</f>
        <v/>
      </c>
    </row>
    <row r="1821" customFormat="false" ht="15" hidden="false" customHeight="false" outlineLevel="0" collapsed="false">
      <c r="A1821" s="19"/>
      <c r="B1821" s="19"/>
      <c r="C1821" s="19"/>
      <c r="D1821" s="19"/>
      <c r="E1821" s="32"/>
      <c r="F1821" s="19"/>
      <c r="G1821" s="26" t="str">
        <f aca="false">IF(A1821="","",COUNTIF(Pubs!$B$2:$B$3001,A1821))</f>
        <v/>
      </c>
      <c r="H1821" s="26" t="str">
        <f aca="false">IF(A1821="","",COUNTIF(Apparitions!$H$2:$H$5001,A1821))</f>
        <v/>
      </c>
      <c r="I1821" s="26" t="str">
        <f aca="false">IF(A1821="","",COUNTIFS(Apparitions!$H$2:$H$5001,A1821,Apparitions!$E$2:$E$5001,"○"))</f>
        <v/>
      </c>
      <c r="J1821" s="29" t="str">
        <f aca="false">IF(A1821="","",IFERROR(1/(1/_xlfn.MINIFS(Apparitions!$L$2:$L$5001,Apparitions!$H$2:$H$5001,A1821)),""))</f>
        <v/>
      </c>
    </row>
    <row r="1822" customFormat="false" ht="15" hidden="false" customHeight="false" outlineLevel="0" collapsed="false">
      <c r="A1822" s="19"/>
      <c r="B1822" s="19"/>
      <c r="C1822" s="19"/>
      <c r="D1822" s="19"/>
      <c r="E1822" s="32"/>
      <c r="F1822" s="19"/>
      <c r="G1822" s="26" t="str">
        <f aca="false">IF(A1822="","",COUNTIF(Pubs!$B$2:$B$3001,A1822))</f>
        <v/>
      </c>
      <c r="H1822" s="26" t="str">
        <f aca="false">IF(A1822="","",COUNTIF(Apparitions!$H$2:$H$5001,A1822))</f>
        <v/>
      </c>
      <c r="I1822" s="26" t="str">
        <f aca="false">IF(A1822="","",COUNTIFS(Apparitions!$H$2:$H$5001,A1822,Apparitions!$E$2:$E$5001,"○"))</f>
        <v/>
      </c>
      <c r="J1822" s="29" t="str">
        <f aca="false">IF(A1822="","",IFERROR(1/(1/_xlfn.MINIFS(Apparitions!$L$2:$L$5001,Apparitions!$H$2:$H$5001,A1822)),""))</f>
        <v/>
      </c>
    </row>
    <row r="1823" customFormat="false" ht="15" hidden="false" customHeight="false" outlineLevel="0" collapsed="false">
      <c r="A1823" s="19"/>
      <c r="B1823" s="19"/>
      <c r="C1823" s="19"/>
      <c r="D1823" s="19"/>
      <c r="E1823" s="32"/>
      <c r="F1823" s="19"/>
      <c r="G1823" s="26" t="str">
        <f aca="false">IF(A1823="","",COUNTIF(Pubs!$B$2:$B$3001,A1823))</f>
        <v/>
      </c>
      <c r="H1823" s="26" t="str">
        <f aca="false">IF(A1823="","",COUNTIF(Apparitions!$H$2:$H$5001,A1823))</f>
        <v/>
      </c>
      <c r="I1823" s="26" t="str">
        <f aca="false">IF(A1823="","",COUNTIFS(Apparitions!$H$2:$H$5001,A1823,Apparitions!$E$2:$E$5001,"○"))</f>
        <v/>
      </c>
      <c r="J1823" s="29" t="str">
        <f aca="false">IF(A1823="","",IFERROR(1/(1/_xlfn.MINIFS(Apparitions!$L$2:$L$5001,Apparitions!$H$2:$H$5001,A1823)),""))</f>
        <v/>
      </c>
    </row>
    <row r="1824" customFormat="false" ht="15" hidden="false" customHeight="false" outlineLevel="0" collapsed="false">
      <c r="A1824" s="19"/>
      <c r="B1824" s="19"/>
      <c r="C1824" s="19"/>
      <c r="D1824" s="19"/>
      <c r="E1824" s="32"/>
      <c r="F1824" s="19"/>
      <c r="G1824" s="26" t="str">
        <f aca="false">IF(A1824="","",COUNTIF(Pubs!$B$2:$B$3001,A1824))</f>
        <v/>
      </c>
      <c r="H1824" s="26" t="str">
        <f aca="false">IF(A1824="","",COUNTIF(Apparitions!$H$2:$H$5001,A1824))</f>
        <v/>
      </c>
      <c r="I1824" s="26" t="str">
        <f aca="false">IF(A1824="","",COUNTIFS(Apparitions!$H$2:$H$5001,A1824,Apparitions!$E$2:$E$5001,"○"))</f>
        <v/>
      </c>
      <c r="J1824" s="29" t="str">
        <f aca="false">IF(A1824="","",IFERROR(1/(1/_xlfn.MINIFS(Apparitions!$L$2:$L$5001,Apparitions!$H$2:$H$5001,A1824)),""))</f>
        <v/>
      </c>
    </row>
    <row r="1825" customFormat="false" ht="15" hidden="false" customHeight="false" outlineLevel="0" collapsed="false">
      <c r="A1825" s="19"/>
      <c r="B1825" s="19"/>
      <c r="C1825" s="19"/>
      <c r="D1825" s="19"/>
      <c r="E1825" s="32"/>
      <c r="F1825" s="19"/>
      <c r="G1825" s="26" t="str">
        <f aca="false">IF(A1825="","",COUNTIF(Pubs!$B$2:$B$3001,A1825))</f>
        <v/>
      </c>
      <c r="H1825" s="26" t="str">
        <f aca="false">IF(A1825="","",COUNTIF(Apparitions!$H$2:$H$5001,A1825))</f>
        <v/>
      </c>
      <c r="I1825" s="26" t="str">
        <f aca="false">IF(A1825="","",COUNTIFS(Apparitions!$H$2:$H$5001,A1825,Apparitions!$E$2:$E$5001,"○"))</f>
        <v/>
      </c>
      <c r="J1825" s="29" t="str">
        <f aca="false">IF(A1825="","",IFERROR(1/(1/_xlfn.MINIFS(Apparitions!$L$2:$L$5001,Apparitions!$H$2:$H$5001,A1825)),""))</f>
        <v/>
      </c>
    </row>
    <row r="1826" customFormat="false" ht="15" hidden="false" customHeight="false" outlineLevel="0" collapsed="false">
      <c r="A1826" s="19"/>
      <c r="B1826" s="19"/>
      <c r="C1826" s="19"/>
      <c r="D1826" s="19"/>
      <c r="E1826" s="32"/>
      <c r="F1826" s="19"/>
      <c r="G1826" s="26" t="str">
        <f aca="false">IF(A1826="","",COUNTIF(Pubs!$B$2:$B$3001,A1826))</f>
        <v/>
      </c>
      <c r="H1826" s="26" t="str">
        <f aca="false">IF(A1826="","",COUNTIF(Apparitions!$H$2:$H$5001,A1826))</f>
        <v/>
      </c>
      <c r="I1826" s="26" t="str">
        <f aca="false">IF(A1826="","",COUNTIFS(Apparitions!$H$2:$H$5001,A1826,Apparitions!$E$2:$E$5001,"○"))</f>
        <v/>
      </c>
      <c r="J1826" s="29" t="str">
        <f aca="false">IF(A1826="","",IFERROR(1/(1/_xlfn.MINIFS(Apparitions!$L$2:$L$5001,Apparitions!$H$2:$H$5001,A1826)),""))</f>
        <v/>
      </c>
    </row>
    <row r="1827" customFormat="false" ht="15" hidden="false" customHeight="false" outlineLevel="0" collapsed="false">
      <c r="A1827" s="19"/>
      <c r="B1827" s="19"/>
      <c r="C1827" s="19"/>
      <c r="D1827" s="19"/>
      <c r="E1827" s="32"/>
      <c r="F1827" s="19"/>
      <c r="G1827" s="26" t="str">
        <f aca="false">IF(A1827="","",COUNTIF(Pubs!$B$2:$B$3001,A1827))</f>
        <v/>
      </c>
      <c r="H1827" s="26" t="str">
        <f aca="false">IF(A1827="","",COUNTIF(Apparitions!$H$2:$H$5001,A1827))</f>
        <v/>
      </c>
      <c r="I1827" s="26" t="str">
        <f aca="false">IF(A1827="","",COUNTIFS(Apparitions!$H$2:$H$5001,A1827,Apparitions!$E$2:$E$5001,"○"))</f>
        <v/>
      </c>
      <c r="J1827" s="29" t="str">
        <f aca="false">IF(A1827="","",IFERROR(1/(1/_xlfn.MINIFS(Apparitions!$L$2:$L$5001,Apparitions!$H$2:$H$5001,A1827)),""))</f>
        <v/>
      </c>
    </row>
    <row r="1828" customFormat="false" ht="15" hidden="false" customHeight="false" outlineLevel="0" collapsed="false">
      <c r="A1828" s="19"/>
      <c r="B1828" s="19"/>
      <c r="C1828" s="19"/>
      <c r="D1828" s="19"/>
      <c r="E1828" s="32"/>
      <c r="F1828" s="19"/>
      <c r="G1828" s="26" t="str">
        <f aca="false">IF(A1828="","",COUNTIF(Pubs!$B$2:$B$3001,A1828))</f>
        <v/>
      </c>
      <c r="H1828" s="26" t="str">
        <f aca="false">IF(A1828="","",COUNTIF(Apparitions!$H$2:$H$5001,A1828))</f>
        <v/>
      </c>
      <c r="I1828" s="26" t="str">
        <f aca="false">IF(A1828="","",COUNTIFS(Apparitions!$H$2:$H$5001,A1828,Apparitions!$E$2:$E$5001,"○"))</f>
        <v/>
      </c>
      <c r="J1828" s="29" t="str">
        <f aca="false">IF(A1828="","",IFERROR(1/(1/_xlfn.MINIFS(Apparitions!$L$2:$L$5001,Apparitions!$H$2:$H$5001,A1828)),""))</f>
        <v/>
      </c>
    </row>
    <row r="1829" customFormat="false" ht="15" hidden="false" customHeight="false" outlineLevel="0" collapsed="false">
      <c r="A1829" s="19"/>
      <c r="B1829" s="19"/>
      <c r="C1829" s="19"/>
      <c r="D1829" s="19"/>
      <c r="E1829" s="32"/>
      <c r="F1829" s="19"/>
      <c r="G1829" s="26" t="str">
        <f aca="false">IF(A1829="","",COUNTIF(Pubs!$B$2:$B$3001,A1829))</f>
        <v/>
      </c>
      <c r="H1829" s="26" t="str">
        <f aca="false">IF(A1829="","",COUNTIF(Apparitions!$H$2:$H$5001,A1829))</f>
        <v/>
      </c>
      <c r="I1829" s="26" t="str">
        <f aca="false">IF(A1829="","",COUNTIFS(Apparitions!$H$2:$H$5001,A1829,Apparitions!$E$2:$E$5001,"○"))</f>
        <v/>
      </c>
      <c r="J1829" s="29" t="str">
        <f aca="false">IF(A1829="","",IFERROR(1/(1/_xlfn.MINIFS(Apparitions!$L$2:$L$5001,Apparitions!$H$2:$H$5001,A1829)),""))</f>
        <v/>
      </c>
    </row>
    <row r="1830" customFormat="false" ht="15" hidden="false" customHeight="false" outlineLevel="0" collapsed="false">
      <c r="A1830" s="19"/>
      <c r="B1830" s="19"/>
      <c r="C1830" s="19"/>
      <c r="D1830" s="19"/>
      <c r="E1830" s="32"/>
      <c r="F1830" s="19"/>
      <c r="G1830" s="26" t="str">
        <f aca="false">IF(A1830="","",COUNTIF(Pubs!$B$2:$B$3001,A1830))</f>
        <v/>
      </c>
      <c r="H1830" s="26" t="str">
        <f aca="false">IF(A1830="","",COUNTIF(Apparitions!$H$2:$H$5001,A1830))</f>
        <v/>
      </c>
      <c r="I1830" s="26" t="str">
        <f aca="false">IF(A1830="","",COUNTIFS(Apparitions!$H$2:$H$5001,A1830,Apparitions!$E$2:$E$5001,"○"))</f>
        <v/>
      </c>
      <c r="J1830" s="29" t="str">
        <f aca="false">IF(A1830="","",IFERROR(1/(1/_xlfn.MINIFS(Apparitions!$L$2:$L$5001,Apparitions!$H$2:$H$5001,A1830)),""))</f>
        <v/>
      </c>
    </row>
    <row r="1831" customFormat="false" ht="15" hidden="false" customHeight="false" outlineLevel="0" collapsed="false">
      <c r="A1831" s="19"/>
      <c r="B1831" s="19"/>
      <c r="C1831" s="19"/>
      <c r="D1831" s="19"/>
      <c r="E1831" s="32"/>
      <c r="F1831" s="19"/>
      <c r="G1831" s="26" t="str">
        <f aca="false">IF(A1831="","",COUNTIF(Pubs!$B$2:$B$3001,A1831))</f>
        <v/>
      </c>
      <c r="H1831" s="26" t="str">
        <f aca="false">IF(A1831="","",COUNTIF(Apparitions!$H$2:$H$5001,A1831))</f>
        <v/>
      </c>
      <c r="I1831" s="26" t="str">
        <f aca="false">IF(A1831="","",COUNTIFS(Apparitions!$H$2:$H$5001,A1831,Apparitions!$E$2:$E$5001,"○"))</f>
        <v/>
      </c>
      <c r="J1831" s="29" t="str">
        <f aca="false">IF(A1831="","",IFERROR(1/(1/_xlfn.MINIFS(Apparitions!$L$2:$L$5001,Apparitions!$H$2:$H$5001,A1831)),""))</f>
        <v/>
      </c>
    </row>
    <row r="1832" customFormat="false" ht="15" hidden="false" customHeight="false" outlineLevel="0" collapsed="false">
      <c r="A1832" s="19"/>
      <c r="B1832" s="19"/>
      <c r="C1832" s="19"/>
      <c r="D1832" s="19"/>
      <c r="E1832" s="32"/>
      <c r="F1832" s="19"/>
      <c r="G1832" s="26" t="str">
        <f aca="false">IF(A1832="","",COUNTIF(Pubs!$B$2:$B$3001,A1832))</f>
        <v/>
      </c>
      <c r="H1832" s="26" t="str">
        <f aca="false">IF(A1832="","",COUNTIF(Apparitions!$H$2:$H$5001,A1832))</f>
        <v/>
      </c>
      <c r="I1832" s="26" t="str">
        <f aca="false">IF(A1832="","",COUNTIFS(Apparitions!$H$2:$H$5001,A1832,Apparitions!$E$2:$E$5001,"○"))</f>
        <v/>
      </c>
      <c r="J1832" s="29" t="str">
        <f aca="false">IF(A1832="","",IFERROR(1/(1/_xlfn.MINIFS(Apparitions!$L$2:$L$5001,Apparitions!$H$2:$H$5001,A1832)),""))</f>
        <v/>
      </c>
    </row>
    <row r="1833" customFormat="false" ht="15" hidden="false" customHeight="false" outlineLevel="0" collapsed="false">
      <c r="A1833" s="19"/>
      <c r="B1833" s="19"/>
      <c r="C1833" s="19"/>
      <c r="D1833" s="19"/>
      <c r="E1833" s="32"/>
      <c r="F1833" s="19"/>
      <c r="G1833" s="26" t="str">
        <f aca="false">IF(A1833="","",COUNTIF(Pubs!$B$2:$B$3001,A1833))</f>
        <v/>
      </c>
      <c r="H1833" s="26" t="str">
        <f aca="false">IF(A1833="","",COUNTIF(Apparitions!$H$2:$H$5001,A1833))</f>
        <v/>
      </c>
      <c r="I1833" s="26" t="str">
        <f aca="false">IF(A1833="","",COUNTIFS(Apparitions!$H$2:$H$5001,A1833,Apparitions!$E$2:$E$5001,"○"))</f>
        <v/>
      </c>
      <c r="J1833" s="29" t="str">
        <f aca="false">IF(A1833="","",IFERROR(1/(1/_xlfn.MINIFS(Apparitions!$L$2:$L$5001,Apparitions!$H$2:$H$5001,A1833)),""))</f>
        <v/>
      </c>
    </row>
    <row r="1834" customFormat="false" ht="15" hidden="false" customHeight="false" outlineLevel="0" collapsed="false">
      <c r="A1834" s="19"/>
      <c r="B1834" s="19"/>
      <c r="C1834" s="19"/>
      <c r="D1834" s="19"/>
      <c r="E1834" s="32"/>
      <c r="F1834" s="19"/>
      <c r="G1834" s="26" t="str">
        <f aca="false">IF(A1834="","",COUNTIF(Pubs!$B$2:$B$3001,A1834))</f>
        <v/>
      </c>
      <c r="H1834" s="26" t="str">
        <f aca="false">IF(A1834="","",COUNTIF(Apparitions!$H$2:$H$5001,A1834))</f>
        <v/>
      </c>
      <c r="I1834" s="26" t="str">
        <f aca="false">IF(A1834="","",COUNTIFS(Apparitions!$H$2:$H$5001,A1834,Apparitions!$E$2:$E$5001,"○"))</f>
        <v/>
      </c>
      <c r="J1834" s="29" t="str">
        <f aca="false">IF(A1834="","",IFERROR(1/(1/_xlfn.MINIFS(Apparitions!$L$2:$L$5001,Apparitions!$H$2:$H$5001,A1834)),""))</f>
        <v/>
      </c>
    </row>
    <row r="1835" customFormat="false" ht="15" hidden="false" customHeight="false" outlineLevel="0" collapsed="false">
      <c r="A1835" s="19"/>
      <c r="B1835" s="19"/>
      <c r="C1835" s="19"/>
      <c r="D1835" s="19"/>
      <c r="E1835" s="32"/>
      <c r="F1835" s="19"/>
      <c r="G1835" s="26" t="str">
        <f aca="false">IF(A1835="","",COUNTIF(Pubs!$B$2:$B$3001,A1835))</f>
        <v/>
      </c>
      <c r="H1835" s="26" t="str">
        <f aca="false">IF(A1835="","",COUNTIF(Apparitions!$H$2:$H$5001,A1835))</f>
        <v/>
      </c>
      <c r="I1835" s="26" t="str">
        <f aca="false">IF(A1835="","",COUNTIFS(Apparitions!$H$2:$H$5001,A1835,Apparitions!$E$2:$E$5001,"○"))</f>
        <v/>
      </c>
      <c r="J1835" s="29" t="str">
        <f aca="false">IF(A1835="","",IFERROR(1/(1/_xlfn.MINIFS(Apparitions!$L$2:$L$5001,Apparitions!$H$2:$H$5001,A1835)),""))</f>
        <v/>
      </c>
    </row>
    <row r="1836" customFormat="false" ht="15" hidden="false" customHeight="false" outlineLevel="0" collapsed="false">
      <c r="A1836" s="19"/>
      <c r="B1836" s="19"/>
      <c r="C1836" s="19"/>
      <c r="D1836" s="19"/>
      <c r="E1836" s="32"/>
      <c r="F1836" s="19"/>
      <c r="G1836" s="26" t="str">
        <f aca="false">IF(A1836="","",COUNTIF(Pubs!$B$2:$B$3001,A1836))</f>
        <v/>
      </c>
      <c r="H1836" s="26" t="str">
        <f aca="false">IF(A1836="","",COUNTIF(Apparitions!$H$2:$H$5001,A1836))</f>
        <v/>
      </c>
      <c r="I1836" s="26" t="str">
        <f aca="false">IF(A1836="","",COUNTIFS(Apparitions!$H$2:$H$5001,A1836,Apparitions!$E$2:$E$5001,"○"))</f>
        <v/>
      </c>
      <c r="J1836" s="29" t="str">
        <f aca="false">IF(A1836="","",IFERROR(1/(1/_xlfn.MINIFS(Apparitions!$L$2:$L$5001,Apparitions!$H$2:$H$5001,A1836)),""))</f>
        <v/>
      </c>
    </row>
    <row r="1837" customFormat="false" ht="15" hidden="false" customHeight="false" outlineLevel="0" collapsed="false">
      <c r="A1837" s="19"/>
      <c r="B1837" s="19"/>
      <c r="C1837" s="19"/>
      <c r="D1837" s="19"/>
      <c r="E1837" s="32"/>
      <c r="F1837" s="19"/>
      <c r="G1837" s="26" t="str">
        <f aca="false">IF(A1837="","",COUNTIF(Pubs!$B$2:$B$3001,A1837))</f>
        <v/>
      </c>
      <c r="H1837" s="26" t="str">
        <f aca="false">IF(A1837="","",COUNTIF(Apparitions!$H$2:$H$5001,A1837))</f>
        <v/>
      </c>
      <c r="I1837" s="26" t="str">
        <f aca="false">IF(A1837="","",COUNTIFS(Apparitions!$H$2:$H$5001,A1837,Apparitions!$E$2:$E$5001,"○"))</f>
        <v/>
      </c>
      <c r="J1837" s="29" t="str">
        <f aca="false">IF(A1837="","",IFERROR(1/(1/_xlfn.MINIFS(Apparitions!$L$2:$L$5001,Apparitions!$H$2:$H$5001,A1837)),""))</f>
        <v/>
      </c>
    </row>
    <row r="1838" customFormat="false" ht="15" hidden="false" customHeight="false" outlineLevel="0" collapsed="false">
      <c r="A1838" s="19"/>
      <c r="B1838" s="19"/>
      <c r="C1838" s="19"/>
      <c r="D1838" s="19"/>
      <c r="E1838" s="32"/>
      <c r="F1838" s="19"/>
      <c r="G1838" s="26" t="str">
        <f aca="false">IF(A1838="","",COUNTIF(Pubs!$B$2:$B$3001,A1838))</f>
        <v/>
      </c>
      <c r="H1838" s="26" t="str">
        <f aca="false">IF(A1838="","",COUNTIF(Apparitions!$H$2:$H$5001,A1838))</f>
        <v/>
      </c>
      <c r="I1838" s="26" t="str">
        <f aca="false">IF(A1838="","",COUNTIFS(Apparitions!$H$2:$H$5001,A1838,Apparitions!$E$2:$E$5001,"○"))</f>
        <v/>
      </c>
      <c r="J1838" s="29" t="str">
        <f aca="false">IF(A1838="","",IFERROR(1/(1/_xlfn.MINIFS(Apparitions!$L$2:$L$5001,Apparitions!$H$2:$H$5001,A1838)),""))</f>
        <v/>
      </c>
    </row>
    <row r="1839" customFormat="false" ht="15" hidden="false" customHeight="false" outlineLevel="0" collapsed="false">
      <c r="A1839" s="19"/>
      <c r="B1839" s="19"/>
      <c r="C1839" s="19"/>
      <c r="D1839" s="19"/>
      <c r="E1839" s="32"/>
      <c r="F1839" s="19"/>
      <c r="G1839" s="26" t="str">
        <f aca="false">IF(A1839="","",COUNTIF(Pubs!$B$2:$B$3001,A1839))</f>
        <v/>
      </c>
      <c r="H1839" s="26" t="str">
        <f aca="false">IF(A1839="","",COUNTIF(Apparitions!$H$2:$H$5001,A1839))</f>
        <v/>
      </c>
      <c r="I1839" s="26" t="str">
        <f aca="false">IF(A1839="","",COUNTIFS(Apparitions!$H$2:$H$5001,A1839,Apparitions!$E$2:$E$5001,"○"))</f>
        <v/>
      </c>
      <c r="J1839" s="29" t="str">
        <f aca="false">IF(A1839="","",IFERROR(1/(1/_xlfn.MINIFS(Apparitions!$L$2:$L$5001,Apparitions!$H$2:$H$5001,A1839)),""))</f>
        <v/>
      </c>
    </row>
    <row r="1840" customFormat="false" ht="15" hidden="false" customHeight="false" outlineLevel="0" collapsed="false">
      <c r="A1840" s="19"/>
      <c r="B1840" s="19"/>
      <c r="C1840" s="19"/>
      <c r="D1840" s="19"/>
      <c r="E1840" s="32"/>
      <c r="F1840" s="19"/>
      <c r="G1840" s="26" t="str">
        <f aca="false">IF(A1840="","",COUNTIF(Pubs!$B$2:$B$3001,A1840))</f>
        <v/>
      </c>
      <c r="H1840" s="26" t="str">
        <f aca="false">IF(A1840="","",COUNTIF(Apparitions!$H$2:$H$5001,A1840))</f>
        <v/>
      </c>
      <c r="I1840" s="26" t="str">
        <f aca="false">IF(A1840="","",COUNTIFS(Apparitions!$H$2:$H$5001,A1840,Apparitions!$E$2:$E$5001,"○"))</f>
        <v/>
      </c>
      <c r="J1840" s="29" t="str">
        <f aca="false">IF(A1840="","",IFERROR(1/(1/_xlfn.MINIFS(Apparitions!$L$2:$L$5001,Apparitions!$H$2:$H$5001,A1840)),""))</f>
        <v/>
      </c>
    </row>
    <row r="1841" customFormat="false" ht="15" hidden="false" customHeight="false" outlineLevel="0" collapsed="false">
      <c r="A1841" s="19"/>
      <c r="B1841" s="19"/>
      <c r="C1841" s="19"/>
      <c r="D1841" s="19"/>
      <c r="E1841" s="32"/>
      <c r="F1841" s="19"/>
      <c r="G1841" s="26" t="str">
        <f aca="false">IF(A1841="","",COUNTIF(Pubs!$B$2:$B$3001,A1841))</f>
        <v/>
      </c>
      <c r="H1841" s="26" t="str">
        <f aca="false">IF(A1841="","",COUNTIF(Apparitions!$H$2:$H$5001,A1841))</f>
        <v/>
      </c>
      <c r="I1841" s="26" t="str">
        <f aca="false">IF(A1841="","",COUNTIFS(Apparitions!$H$2:$H$5001,A1841,Apparitions!$E$2:$E$5001,"○"))</f>
        <v/>
      </c>
      <c r="J1841" s="29" t="str">
        <f aca="false">IF(A1841="","",IFERROR(1/(1/_xlfn.MINIFS(Apparitions!$L$2:$L$5001,Apparitions!$H$2:$H$5001,A1841)),""))</f>
        <v/>
      </c>
    </row>
    <row r="1842" customFormat="false" ht="15" hidden="false" customHeight="false" outlineLevel="0" collapsed="false">
      <c r="A1842" s="19"/>
      <c r="B1842" s="19"/>
      <c r="C1842" s="19"/>
      <c r="D1842" s="19"/>
      <c r="E1842" s="32"/>
      <c r="F1842" s="19"/>
      <c r="G1842" s="26" t="str">
        <f aca="false">IF(A1842="","",COUNTIF(Pubs!$B$2:$B$3001,A1842))</f>
        <v/>
      </c>
      <c r="H1842" s="26" t="str">
        <f aca="false">IF(A1842="","",COUNTIF(Apparitions!$H$2:$H$5001,A1842))</f>
        <v/>
      </c>
      <c r="I1842" s="26" t="str">
        <f aca="false">IF(A1842="","",COUNTIFS(Apparitions!$H$2:$H$5001,A1842,Apparitions!$E$2:$E$5001,"○"))</f>
        <v/>
      </c>
      <c r="J1842" s="29" t="str">
        <f aca="false">IF(A1842="","",IFERROR(1/(1/_xlfn.MINIFS(Apparitions!$L$2:$L$5001,Apparitions!$H$2:$H$5001,A1842)),""))</f>
        <v/>
      </c>
    </row>
    <row r="1843" customFormat="false" ht="15" hidden="false" customHeight="false" outlineLevel="0" collapsed="false">
      <c r="A1843" s="19"/>
      <c r="B1843" s="19"/>
      <c r="C1843" s="19"/>
      <c r="D1843" s="19"/>
      <c r="E1843" s="32"/>
      <c r="F1843" s="19"/>
      <c r="G1843" s="26" t="str">
        <f aca="false">IF(A1843="","",COUNTIF(Pubs!$B$2:$B$3001,A1843))</f>
        <v/>
      </c>
      <c r="H1843" s="26" t="str">
        <f aca="false">IF(A1843="","",COUNTIF(Apparitions!$H$2:$H$5001,A1843))</f>
        <v/>
      </c>
      <c r="I1843" s="26" t="str">
        <f aca="false">IF(A1843="","",COUNTIFS(Apparitions!$H$2:$H$5001,A1843,Apparitions!$E$2:$E$5001,"○"))</f>
        <v/>
      </c>
      <c r="J1843" s="29" t="str">
        <f aca="false">IF(A1843="","",IFERROR(1/(1/_xlfn.MINIFS(Apparitions!$L$2:$L$5001,Apparitions!$H$2:$H$5001,A1843)),""))</f>
        <v/>
      </c>
    </row>
    <row r="1844" customFormat="false" ht="15" hidden="false" customHeight="false" outlineLevel="0" collapsed="false">
      <c r="A1844" s="19"/>
      <c r="B1844" s="19"/>
      <c r="C1844" s="19"/>
      <c r="D1844" s="19"/>
      <c r="E1844" s="32"/>
      <c r="F1844" s="19"/>
      <c r="G1844" s="26" t="str">
        <f aca="false">IF(A1844="","",COUNTIF(Pubs!$B$2:$B$3001,A1844))</f>
        <v/>
      </c>
      <c r="H1844" s="26" t="str">
        <f aca="false">IF(A1844="","",COUNTIF(Apparitions!$H$2:$H$5001,A1844))</f>
        <v/>
      </c>
      <c r="I1844" s="26" t="str">
        <f aca="false">IF(A1844="","",COUNTIFS(Apparitions!$H$2:$H$5001,A1844,Apparitions!$E$2:$E$5001,"○"))</f>
        <v/>
      </c>
      <c r="J1844" s="29" t="str">
        <f aca="false">IF(A1844="","",IFERROR(1/(1/_xlfn.MINIFS(Apparitions!$L$2:$L$5001,Apparitions!$H$2:$H$5001,A1844)),""))</f>
        <v/>
      </c>
    </row>
    <row r="1845" customFormat="false" ht="15" hidden="false" customHeight="false" outlineLevel="0" collapsed="false">
      <c r="A1845" s="19"/>
      <c r="B1845" s="19"/>
      <c r="C1845" s="19"/>
      <c r="D1845" s="19"/>
      <c r="E1845" s="32"/>
      <c r="F1845" s="19"/>
      <c r="G1845" s="26" t="str">
        <f aca="false">IF(A1845="","",COUNTIF(Pubs!$B$2:$B$3001,A1845))</f>
        <v/>
      </c>
      <c r="H1845" s="26" t="str">
        <f aca="false">IF(A1845="","",COUNTIF(Apparitions!$H$2:$H$5001,A1845))</f>
        <v/>
      </c>
      <c r="I1845" s="26" t="str">
        <f aca="false">IF(A1845="","",COUNTIFS(Apparitions!$H$2:$H$5001,A1845,Apparitions!$E$2:$E$5001,"○"))</f>
        <v/>
      </c>
      <c r="J1845" s="29" t="str">
        <f aca="false">IF(A1845="","",IFERROR(1/(1/_xlfn.MINIFS(Apparitions!$L$2:$L$5001,Apparitions!$H$2:$H$5001,A1845)),""))</f>
        <v/>
      </c>
    </row>
    <row r="1846" customFormat="false" ht="15" hidden="false" customHeight="false" outlineLevel="0" collapsed="false">
      <c r="A1846" s="19"/>
      <c r="B1846" s="19"/>
      <c r="C1846" s="19"/>
      <c r="D1846" s="19"/>
      <c r="E1846" s="32"/>
      <c r="F1846" s="19"/>
      <c r="G1846" s="26" t="str">
        <f aca="false">IF(A1846="","",COUNTIF(Pubs!$B$2:$B$3001,A1846))</f>
        <v/>
      </c>
      <c r="H1846" s="26" t="str">
        <f aca="false">IF(A1846="","",COUNTIF(Apparitions!$H$2:$H$5001,A1846))</f>
        <v/>
      </c>
      <c r="I1846" s="26" t="str">
        <f aca="false">IF(A1846="","",COUNTIFS(Apparitions!$H$2:$H$5001,A1846,Apparitions!$E$2:$E$5001,"○"))</f>
        <v/>
      </c>
      <c r="J1846" s="29" t="str">
        <f aca="false">IF(A1846="","",IFERROR(1/(1/_xlfn.MINIFS(Apparitions!$L$2:$L$5001,Apparitions!$H$2:$H$5001,A1846)),""))</f>
        <v/>
      </c>
    </row>
    <row r="1847" customFormat="false" ht="15" hidden="false" customHeight="false" outlineLevel="0" collapsed="false">
      <c r="A1847" s="19"/>
      <c r="B1847" s="19"/>
      <c r="C1847" s="19"/>
      <c r="D1847" s="19"/>
      <c r="E1847" s="32"/>
      <c r="F1847" s="19"/>
      <c r="G1847" s="26" t="str">
        <f aca="false">IF(A1847="","",COUNTIF(Pubs!$B$2:$B$3001,A1847))</f>
        <v/>
      </c>
      <c r="H1847" s="26" t="str">
        <f aca="false">IF(A1847="","",COUNTIF(Apparitions!$H$2:$H$5001,A1847))</f>
        <v/>
      </c>
      <c r="I1847" s="26" t="str">
        <f aca="false">IF(A1847="","",COUNTIFS(Apparitions!$H$2:$H$5001,A1847,Apparitions!$E$2:$E$5001,"○"))</f>
        <v/>
      </c>
      <c r="J1847" s="29" t="str">
        <f aca="false">IF(A1847="","",IFERROR(1/(1/_xlfn.MINIFS(Apparitions!$L$2:$L$5001,Apparitions!$H$2:$H$5001,A1847)),""))</f>
        <v/>
      </c>
    </row>
    <row r="1848" customFormat="false" ht="15" hidden="false" customHeight="false" outlineLevel="0" collapsed="false">
      <c r="A1848" s="19"/>
      <c r="B1848" s="19"/>
      <c r="C1848" s="19"/>
      <c r="D1848" s="19"/>
      <c r="E1848" s="32"/>
      <c r="F1848" s="19"/>
      <c r="G1848" s="26" t="str">
        <f aca="false">IF(A1848="","",COUNTIF(Pubs!$B$2:$B$3001,A1848))</f>
        <v/>
      </c>
      <c r="H1848" s="26" t="str">
        <f aca="false">IF(A1848="","",COUNTIF(Apparitions!$H$2:$H$5001,A1848))</f>
        <v/>
      </c>
      <c r="I1848" s="26" t="str">
        <f aca="false">IF(A1848="","",COUNTIFS(Apparitions!$H$2:$H$5001,A1848,Apparitions!$E$2:$E$5001,"○"))</f>
        <v/>
      </c>
      <c r="J1848" s="29" t="str">
        <f aca="false">IF(A1848="","",IFERROR(1/(1/_xlfn.MINIFS(Apparitions!$L$2:$L$5001,Apparitions!$H$2:$H$5001,A1848)),""))</f>
        <v/>
      </c>
    </row>
    <row r="1849" customFormat="false" ht="15" hidden="false" customHeight="false" outlineLevel="0" collapsed="false">
      <c r="A1849" s="19"/>
      <c r="B1849" s="19"/>
      <c r="C1849" s="19"/>
      <c r="D1849" s="19"/>
      <c r="E1849" s="32"/>
      <c r="F1849" s="19"/>
      <c r="G1849" s="26" t="str">
        <f aca="false">IF(A1849="","",COUNTIF(Pubs!$B$2:$B$3001,A1849))</f>
        <v/>
      </c>
      <c r="H1849" s="26" t="str">
        <f aca="false">IF(A1849="","",COUNTIF(Apparitions!$H$2:$H$5001,A1849))</f>
        <v/>
      </c>
      <c r="I1849" s="26" t="str">
        <f aca="false">IF(A1849="","",COUNTIFS(Apparitions!$H$2:$H$5001,A1849,Apparitions!$E$2:$E$5001,"○"))</f>
        <v/>
      </c>
      <c r="J1849" s="29" t="str">
        <f aca="false">IF(A1849="","",IFERROR(1/(1/_xlfn.MINIFS(Apparitions!$L$2:$L$5001,Apparitions!$H$2:$H$5001,A1849)),""))</f>
        <v/>
      </c>
    </row>
    <row r="1850" customFormat="false" ht="15" hidden="false" customHeight="false" outlineLevel="0" collapsed="false">
      <c r="A1850" s="19"/>
      <c r="B1850" s="19"/>
      <c r="C1850" s="19"/>
      <c r="D1850" s="19"/>
      <c r="E1850" s="32"/>
      <c r="F1850" s="19"/>
      <c r="G1850" s="26" t="str">
        <f aca="false">IF(A1850="","",COUNTIF(Pubs!$B$2:$B$3001,A1850))</f>
        <v/>
      </c>
      <c r="H1850" s="26" t="str">
        <f aca="false">IF(A1850="","",COUNTIF(Apparitions!$H$2:$H$5001,A1850))</f>
        <v/>
      </c>
      <c r="I1850" s="26" t="str">
        <f aca="false">IF(A1850="","",COUNTIFS(Apparitions!$H$2:$H$5001,A1850,Apparitions!$E$2:$E$5001,"○"))</f>
        <v/>
      </c>
      <c r="J1850" s="29" t="str">
        <f aca="false">IF(A1850="","",IFERROR(1/(1/_xlfn.MINIFS(Apparitions!$L$2:$L$5001,Apparitions!$H$2:$H$5001,A1850)),""))</f>
        <v/>
      </c>
    </row>
    <row r="1851" customFormat="false" ht="15" hidden="false" customHeight="false" outlineLevel="0" collapsed="false">
      <c r="A1851" s="19"/>
      <c r="B1851" s="19"/>
      <c r="C1851" s="19"/>
      <c r="D1851" s="19"/>
      <c r="E1851" s="32"/>
      <c r="F1851" s="19"/>
      <c r="G1851" s="26" t="str">
        <f aca="false">IF(A1851="","",COUNTIF(Pubs!$B$2:$B$3001,A1851))</f>
        <v/>
      </c>
      <c r="H1851" s="26" t="str">
        <f aca="false">IF(A1851="","",COUNTIF(Apparitions!$H$2:$H$5001,A1851))</f>
        <v/>
      </c>
      <c r="I1851" s="26" t="str">
        <f aca="false">IF(A1851="","",COUNTIFS(Apparitions!$H$2:$H$5001,A1851,Apparitions!$E$2:$E$5001,"○"))</f>
        <v/>
      </c>
      <c r="J1851" s="29" t="str">
        <f aca="false">IF(A1851="","",IFERROR(1/(1/_xlfn.MINIFS(Apparitions!$L$2:$L$5001,Apparitions!$H$2:$H$5001,A1851)),""))</f>
        <v/>
      </c>
    </row>
    <row r="1852" customFormat="false" ht="15" hidden="false" customHeight="false" outlineLevel="0" collapsed="false">
      <c r="A1852" s="19"/>
      <c r="B1852" s="19"/>
      <c r="C1852" s="19"/>
      <c r="D1852" s="19"/>
      <c r="E1852" s="32"/>
      <c r="F1852" s="19"/>
      <c r="G1852" s="26" t="str">
        <f aca="false">IF(A1852="","",COUNTIF(Pubs!$B$2:$B$3001,A1852))</f>
        <v/>
      </c>
      <c r="H1852" s="26" t="str">
        <f aca="false">IF(A1852="","",COUNTIF(Apparitions!$H$2:$H$5001,A1852))</f>
        <v/>
      </c>
      <c r="I1852" s="26" t="str">
        <f aca="false">IF(A1852="","",COUNTIFS(Apparitions!$H$2:$H$5001,A1852,Apparitions!$E$2:$E$5001,"○"))</f>
        <v/>
      </c>
      <c r="J1852" s="29" t="str">
        <f aca="false">IF(A1852="","",IFERROR(1/(1/_xlfn.MINIFS(Apparitions!$L$2:$L$5001,Apparitions!$H$2:$H$5001,A1852)),""))</f>
        <v/>
      </c>
    </row>
    <row r="1853" customFormat="false" ht="15" hidden="false" customHeight="false" outlineLevel="0" collapsed="false">
      <c r="A1853" s="19"/>
      <c r="B1853" s="19"/>
      <c r="C1853" s="19"/>
      <c r="D1853" s="19"/>
      <c r="E1853" s="32"/>
      <c r="F1853" s="19"/>
      <c r="G1853" s="26" t="str">
        <f aca="false">IF(A1853="","",COUNTIF(Pubs!$B$2:$B$3001,A1853))</f>
        <v/>
      </c>
      <c r="H1853" s="26" t="str">
        <f aca="false">IF(A1853="","",COUNTIF(Apparitions!$H$2:$H$5001,A1853))</f>
        <v/>
      </c>
      <c r="I1853" s="26" t="str">
        <f aca="false">IF(A1853="","",COUNTIFS(Apparitions!$H$2:$H$5001,A1853,Apparitions!$E$2:$E$5001,"○"))</f>
        <v/>
      </c>
      <c r="J1853" s="29" t="str">
        <f aca="false">IF(A1853="","",IFERROR(1/(1/_xlfn.MINIFS(Apparitions!$L$2:$L$5001,Apparitions!$H$2:$H$5001,A1853)),""))</f>
        <v/>
      </c>
    </row>
    <row r="1854" customFormat="false" ht="15" hidden="false" customHeight="false" outlineLevel="0" collapsed="false">
      <c r="A1854" s="19"/>
      <c r="B1854" s="19"/>
      <c r="C1854" s="19"/>
      <c r="D1854" s="19"/>
      <c r="E1854" s="32"/>
      <c r="F1854" s="19"/>
      <c r="G1854" s="26" t="str">
        <f aca="false">IF(A1854="","",COUNTIF(Pubs!$B$2:$B$3001,A1854))</f>
        <v/>
      </c>
      <c r="H1854" s="26" t="str">
        <f aca="false">IF(A1854="","",COUNTIF(Apparitions!$H$2:$H$5001,A1854))</f>
        <v/>
      </c>
      <c r="I1854" s="26" t="str">
        <f aca="false">IF(A1854="","",COUNTIFS(Apparitions!$H$2:$H$5001,A1854,Apparitions!$E$2:$E$5001,"○"))</f>
        <v/>
      </c>
      <c r="J1854" s="29" t="str">
        <f aca="false">IF(A1854="","",IFERROR(1/(1/_xlfn.MINIFS(Apparitions!$L$2:$L$5001,Apparitions!$H$2:$H$5001,A1854)),""))</f>
        <v/>
      </c>
    </row>
    <row r="1855" customFormat="false" ht="15" hidden="false" customHeight="false" outlineLevel="0" collapsed="false">
      <c r="A1855" s="19"/>
      <c r="B1855" s="19"/>
      <c r="C1855" s="19"/>
      <c r="D1855" s="19"/>
      <c r="E1855" s="32"/>
      <c r="F1855" s="19"/>
      <c r="G1855" s="26" t="str">
        <f aca="false">IF(A1855="","",COUNTIF(Pubs!$B$2:$B$3001,A1855))</f>
        <v/>
      </c>
      <c r="H1855" s="26" t="str">
        <f aca="false">IF(A1855="","",COUNTIF(Apparitions!$H$2:$H$5001,A1855))</f>
        <v/>
      </c>
      <c r="I1855" s="26" t="str">
        <f aca="false">IF(A1855="","",COUNTIFS(Apparitions!$H$2:$H$5001,A1855,Apparitions!$E$2:$E$5001,"○"))</f>
        <v/>
      </c>
      <c r="J1855" s="29" t="str">
        <f aca="false">IF(A1855="","",IFERROR(1/(1/_xlfn.MINIFS(Apparitions!$L$2:$L$5001,Apparitions!$H$2:$H$5001,A1855)),""))</f>
        <v/>
      </c>
    </row>
    <row r="1856" customFormat="false" ht="15" hidden="false" customHeight="false" outlineLevel="0" collapsed="false">
      <c r="A1856" s="19"/>
      <c r="B1856" s="19"/>
      <c r="C1856" s="19"/>
      <c r="D1856" s="19"/>
      <c r="E1856" s="32"/>
      <c r="F1856" s="19"/>
      <c r="G1856" s="26" t="str">
        <f aca="false">IF(A1856="","",COUNTIF(Pubs!$B$2:$B$3001,A1856))</f>
        <v/>
      </c>
      <c r="H1856" s="26" t="str">
        <f aca="false">IF(A1856="","",COUNTIF(Apparitions!$H$2:$H$5001,A1856))</f>
        <v/>
      </c>
      <c r="I1856" s="26" t="str">
        <f aca="false">IF(A1856="","",COUNTIFS(Apparitions!$H$2:$H$5001,A1856,Apparitions!$E$2:$E$5001,"○"))</f>
        <v/>
      </c>
      <c r="J1856" s="29" t="str">
        <f aca="false">IF(A1856="","",IFERROR(1/(1/_xlfn.MINIFS(Apparitions!$L$2:$L$5001,Apparitions!$H$2:$H$5001,A1856)),""))</f>
        <v/>
      </c>
    </row>
    <row r="1857" customFormat="false" ht="15" hidden="false" customHeight="false" outlineLevel="0" collapsed="false">
      <c r="A1857" s="19"/>
      <c r="B1857" s="19"/>
      <c r="C1857" s="19"/>
      <c r="D1857" s="19"/>
      <c r="E1857" s="32"/>
      <c r="F1857" s="19"/>
      <c r="G1857" s="26" t="str">
        <f aca="false">IF(A1857="","",COUNTIF(Pubs!$B$2:$B$3001,A1857))</f>
        <v/>
      </c>
      <c r="H1857" s="26" t="str">
        <f aca="false">IF(A1857="","",COUNTIF(Apparitions!$H$2:$H$5001,A1857))</f>
        <v/>
      </c>
      <c r="I1857" s="26" t="str">
        <f aca="false">IF(A1857="","",COUNTIFS(Apparitions!$H$2:$H$5001,A1857,Apparitions!$E$2:$E$5001,"○"))</f>
        <v/>
      </c>
      <c r="J1857" s="29" t="str">
        <f aca="false">IF(A1857="","",IFERROR(1/(1/_xlfn.MINIFS(Apparitions!$L$2:$L$5001,Apparitions!$H$2:$H$5001,A1857)),""))</f>
        <v/>
      </c>
    </row>
    <row r="1858" customFormat="false" ht="15" hidden="false" customHeight="false" outlineLevel="0" collapsed="false">
      <c r="A1858" s="19"/>
      <c r="B1858" s="19"/>
      <c r="C1858" s="19"/>
      <c r="D1858" s="19"/>
      <c r="E1858" s="32"/>
      <c r="F1858" s="19"/>
      <c r="G1858" s="26" t="str">
        <f aca="false">IF(A1858="","",COUNTIF(Pubs!$B$2:$B$3001,A1858))</f>
        <v/>
      </c>
      <c r="H1858" s="26" t="str">
        <f aca="false">IF(A1858="","",COUNTIF(Apparitions!$H$2:$H$5001,A1858))</f>
        <v/>
      </c>
      <c r="I1858" s="26" t="str">
        <f aca="false">IF(A1858="","",COUNTIFS(Apparitions!$H$2:$H$5001,A1858,Apparitions!$E$2:$E$5001,"○"))</f>
        <v/>
      </c>
      <c r="J1858" s="29" t="str">
        <f aca="false">IF(A1858="","",IFERROR(1/(1/_xlfn.MINIFS(Apparitions!$L$2:$L$5001,Apparitions!$H$2:$H$5001,A1858)),""))</f>
        <v/>
      </c>
    </row>
    <row r="1859" customFormat="false" ht="15" hidden="false" customHeight="false" outlineLevel="0" collapsed="false">
      <c r="A1859" s="19"/>
      <c r="B1859" s="19"/>
      <c r="C1859" s="19"/>
      <c r="D1859" s="19"/>
      <c r="E1859" s="32"/>
      <c r="F1859" s="19"/>
      <c r="G1859" s="26" t="str">
        <f aca="false">IF(A1859="","",COUNTIF(Pubs!$B$2:$B$3001,A1859))</f>
        <v/>
      </c>
      <c r="H1859" s="26" t="str">
        <f aca="false">IF(A1859="","",COUNTIF(Apparitions!$H$2:$H$5001,A1859))</f>
        <v/>
      </c>
      <c r="I1859" s="26" t="str">
        <f aca="false">IF(A1859="","",COUNTIFS(Apparitions!$H$2:$H$5001,A1859,Apparitions!$E$2:$E$5001,"○"))</f>
        <v/>
      </c>
      <c r="J1859" s="29" t="str">
        <f aca="false">IF(A1859="","",IFERROR(1/(1/_xlfn.MINIFS(Apparitions!$L$2:$L$5001,Apparitions!$H$2:$H$5001,A1859)),""))</f>
        <v/>
      </c>
    </row>
    <row r="1860" customFormat="false" ht="15" hidden="false" customHeight="false" outlineLevel="0" collapsed="false">
      <c r="A1860" s="19"/>
      <c r="B1860" s="19"/>
      <c r="C1860" s="19"/>
      <c r="D1860" s="19"/>
      <c r="E1860" s="32"/>
      <c r="F1860" s="19"/>
      <c r="G1860" s="26" t="str">
        <f aca="false">IF(A1860="","",COUNTIF(Pubs!$B$2:$B$3001,A1860))</f>
        <v/>
      </c>
      <c r="H1860" s="26" t="str">
        <f aca="false">IF(A1860="","",COUNTIF(Apparitions!$H$2:$H$5001,A1860))</f>
        <v/>
      </c>
      <c r="I1860" s="26" t="str">
        <f aca="false">IF(A1860="","",COUNTIFS(Apparitions!$H$2:$H$5001,A1860,Apparitions!$E$2:$E$5001,"○"))</f>
        <v/>
      </c>
      <c r="J1860" s="29" t="str">
        <f aca="false">IF(A1860="","",IFERROR(1/(1/_xlfn.MINIFS(Apparitions!$L$2:$L$5001,Apparitions!$H$2:$H$5001,A1860)),""))</f>
        <v/>
      </c>
    </row>
    <row r="1861" customFormat="false" ht="15" hidden="false" customHeight="false" outlineLevel="0" collapsed="false">
      <c r="A1861" s="19"/>
      <c r="B1861" s="19"/>
      <c r="C1861" s="19"/>
      <c r="D1861" s="19"/>
      <c r="E1861" s="32"/>
      <c r="F1861" s="19"/>
      <c r="G1861" s="26" t="str">
        <f aca="false">IF(A1861="","",COUNTIF(Pubs!$B$2:$B$3001,A1861))</f>
        <v/>
      </c>
      <c r="H1861" s="26" t="str">
        <f aca="false">IF(A1861="","",COUNTIF(Apparitions!$H$2:$H$5001,A1861))</f>
        <v/>
      </c>
      <c r="I1861" s="26" t="str">
        <f aca="false">IF(A1861="","",COUNTIFS(Apparitions!$H$2:$H$5001,A1861,Apparitions!$E$2:$E$5001,"○"))</f>
        <v/>
      </c>
      <c r="J1861" s="29" t="str">
        <f aca="false">IF(A1861="","",IFERROR(1/(1/_xlfn.MINIFS(Apparitions!$L$2:$L$5001,Apparitions!$H$2:$H$5001,A1861)),""))</f>
        <v/>
      </c>
    </row>
    <row r="1862" customFormat="false" ht="15" hidden="false" customHeight="false" outlineLevel="0" collapsed="false">
      <c r="A1862" s="19"/>
      <c r="B1862" s="19"/>
      <c r="C1862" s="19"/>
      <c r="D1862" s="19"/>
      <c r="E1862" s="32"/>
      <c r="F1862" s="19"/>
      <c r="G1862" s="26" t="str">
        <f aca="false">IF(A1862="","",COUNTIF(Pubs!$B$2:$B$3001,A1862))</f>
        <v/>
      </c>
      <c r="H1862" s="26" t="str">
        <f aca="false">IF(A1862="","",COUNTIF(Apparitions!$H$2:$H$5001,A1862))</f>
        <v/>
      </c>
      <c r="I1862" s="26" t="str">
        <f aca="false">IF(A1862="","",COUNTIFS(Apparitions!$H$2:$H$5001,A1862,Apparitions!$E$2:$E$5001,"○"))</f>
        <v/>
      </c>
      <c r="J1862" s="29" t="str">
        <f aca="false">IF(A1862="","",IFERROR(1/(1/_xlfn.MINIFS(Apparitions!$L$2:$L$5001,Apparitions!$H$2:$H$5001,A1862)),""))</f>
        <v/>
      </c>
    </row>
    <row r="1863" customFormat="false" ht="15" hidden="false" customHeight="false" outlineLevel="0" collapsed="false">
      <c r="A1863" s="19"/>
      <c r="B1863" s="19"/>
      <c r="C1863" s="19"/>
      <c r="D1863" s="19"/>
      <c r="E1863" s="32"/>
      <c r="F1863" s="19"/>
      <c r="G1863" s="26" t="str">
        <f aca="false">IF(A1863="","",COUNTIF(Pubs!$B$2:$B$3001,A1863))</f>
        <v/>
      </c>
      <c r="H1863" s="26" t="str">
        <f aca="false">IF(A1863="","",COUNTIF(Apparitions!$H$2:$H$5001,A1863))</f>
        <v/>
      </c>
      <c r="I1863" s="26" t="str">
        <f aca="false">IF(A1863="","",COUNTIFS(Apparitions!$H$2:$H$5001,A1863,Apparitions!$E$2:$E$5001,"○"))</f>
        <v/>
      </c>
      <c r="J1863" s="29" t="str">
        <f aca="false">IF(A1863="","",IFERROR(1/(1/_xlfn.MINIFS(Apparitions!$L$2:$L$5001,Apparitions!$H$2:$H$5001,A1863)),""))</f>
        <v/>
      </c>
    </row>
    <row r="1864" customFormat="false" ht="15" hidden="false" customHeight="false" outlineLevel="0" collapsed="false">
      <c r="A1864" s="19"/>
      <c r="B1864" s="19"/>
      <c r="C1864" s="19"/>
      <c r="D1864" s="19"/>
      <c r="E1864" s="32"/>
      <c r="F1864" s="19"/>
      <c r="G1864" s="26" t="str">
        <f aca="false">IF(A1864="","",COUNTIF(Pubs!$B$2:$B$3001,A1864))</f>
        <v/>
      </c>
      <c r="H1864" s="26" t="str">
        <f aca="false">IF(A1864="","",COUNTIF(Apparitions!$H$2:$H$5001,A1864))</f>
        <v/>
      </c>
      <c r="I1864" s="26" t="str">
        <f aca="false">IF(A1864="","",COUNTIFS(Apparitions!$H$2:$H$5001,A1864,Apparitions!$E$2:$E$5001,"○"))</f>
        <v/>
      </c>
      <c r="J1864" s="29" t="str">
        <f aca="false">IF(A1864="","",IFERROR(1/(1/_xlfn.MINIFS(Apparitions!$L$2:$L$5001,Apparitions!$H$2:$H$5001,A1864)),""))</f>
        <v/>
      </c>
    </row>
    <row r="1865" customFormat="false" ht="15" hidden="false" customHeight="false" outlineLevel="0" collapsed="false">
      <c r="A1865" s="19"/>
      <c r="B1865" s="19"/>
      <c r="C1865" s="19"/>
      <c r="D1865" s="19"/>
      <c r="E1865" s="32"/>
      <c r="F1865" s="19"/>
      <c r="G1865" s="26" t="str">
        <f aca="false">IF(A1865="","",COUNTIF(Pubs!$B$2:$B$3001,A1865))</f>
        <v/>
      </c>
      <c r="H1865" s="26" t="str">
        <f aca="false">IF(A1865="","",COUNTIF(Apparitions!$H$2:$H$5001,A1865))</f>
        <v/>
      </c>
      <c r="I1865" s="26" t="str">
        <f aca="false">IF(A1865="","",COUNTIFS(Apparitions!$H$2:$H$5001,A1865,Apparitions!$E$2:$E$5001,"○"))</f>
        <v/>
      </c>
      <c r="J1865" s="29" t="str">
        <f aca="false">IF(A1865="","",IFERROR(1/(1/_xlfn.MINIFS(Apparitions!$L$2:$L$5001,Apparitions!$H$2:$H$5001,A1865)),""))</f>
        <v/>
      </c>
    </row>
    <row r="1866" customFormat="false" ht="15" hidden="false" customHeight="false" outlineLevel="0" collapsed="false">
      <c r="A1866" s="19"/>
      <c r="B1866" s="19"/>
      <c r="C1866" s="19"/>
      <c r="D1866" s="19"/>
      <c r="E1866" s="32"/>
      <c r="F1866" s="19"/>
      <c r="G1866" s="26" t="str">
        <f aca="false">IF(A1866="","",COUNTIF(Pubs!$B$2:$B$3001,A1866))</f>
        <v/>
      </c>
      <c r="H1866" s="26" t="str">
        <f aca="false">IF(A1866="","",COUNTIF(Apparitions!$H$2:$H$5001,A1866))</f>
        <v/>
      </c>
      <c r="I1866" s="26" t="str">
        <f aca="false">IF(A1866="","",COUNTIFS(Apparitions!$H$2:$H$5001,A1866,Apparitions!$E$2:$E$5001,"○"))</f>
        <v/>
      </c>
      <c r="J1866" s="29" t="str">
        <f aca="false">IF(A1866="","",IFERROR(1/(1/_xlfn.MINIFS(Apparitions!$L$2:$L$5001,Apparitions!$H$2:$H$5001,A1866)),""))</f>
        <v/>
      </c>
    </row>
    <row r="1867" customFormat="false" ht="15" hidden="false" customHeight="false" outlineLevel="0" collapsed="false">
      <c r="A1867" s="19"/>
      <c r="B1867" s="19"/>
      <c r="C1867" s="19"/>
      <c r="D1867" s="19"/>
      <c r="E1867" s="32"/>
      <c r="F1867" s="19"/>
      <c r="G1867" s="26" t="str">
        <f aca="false">IF(A1867="","",COUNTIF(Pubs!$B$2:$B$3001,A1867))</f>
        <v/>
      </c>
      <c r="H1867" s="26" t="str">
        <f aca="false">IF(A1867="","",COUNTIF(Apparitions!$H$2:$H$5001,A1867))</f>
        <v/>
      </c>
      <c r="I1867" s="26" t="str">
        <f aca="false">IF(A1867="","",COUNTIFS(Apparitions!$H$2:$H$5001,A1867,Apparitions!$E$2:$E$5001,"○"))</f>
        <v/>
      </c>
      <c r="J1867" s="29" t="str">
        <f aca="false">IF(A1867="","",IFERROR(1/(1/_xlfn.MINIFS(Apparitions!$L$2:$L$5001,Apparitions!$H$2:$H$5001,A1867)),""))</f>
        <v/>
      </c>
    </row>
    <row r="1868" customFormat="false" ht="15" hidden="false" customHeight="false" outlineLevel="0" collapsed="false">
      <c r="A1868" s="19"/>
      <c r="B1868" s="19"/>
      <c r="C1868" s="19"/>
      <c r="D1868" s="19"/>
      <c r="E1868" s="32"/>
      <c r="F1868" s="19"/>
      <c r="G1868" s="26" t="str">
        <f aca="false">IF(A1868="","",COUNTIF(Pubs!$B$2:$B$3001,A1868))</f>
        <v/>
      </c>
      <c r="H1868" s="26" t="str">
        <f aca="false">IF(A1868="","",COUNTIF(Apparitions!$H$2:$H$5001,A1868))</f>
        <v/>
      </c>
      <c r="I1868" s="26" t="str">
        <f aca="false">IF(A1868="","",COUNTIFS(Apparitions!$H$2:$H$5001,A1868,Apparitions!$E$2:$E$5001,"○"))</f>
        <v/>
      </c>
      <c r="J1868" s="29" t="str">
        <f aca="false">IF(A1868="","",IFERROR(1/(1/_xlfn.MINIFS(Apparitions!$L$2:$L$5001,Apparitions!$H$2:$H$5001,A1868)),""))</f>
        <v/>
      </c>
    </row>
    <row r="1869" customFormat="false" ht="15" hidden="false" customHeight="false" outlineLevel="0" collapsed="false">
      <c r="A1869" s="19"/>
      <c r="B1869" s="19"/>
      <c r="C1869" s="19"/>
      <c r="D1869" s="19"/>
      <c r="E1869" s="32"/>
      <c r="F1869" s="19"/>
      <c r="G1869" s="26" t="str">
        <f aca="false">IF(A1869="","",COUNTIF(Pubs!$B$2:$B$3001,A1869))</f>
        <v/>
      </c>
      <c r="H1869" s="26" t="str">
        <f aca="false">IF(A1869="","",COUNTIF(Apparitions!$H$2:$H$5001,A1869))</f>
        <v/>
      </c>
      <c r="I1869" s="26" t="str">
        <f aca="false">IF(A1869="","",COUNTIFS(Apparitions!$H$2:$H$5001,A1869,Apparitions!$E$2:$E$5001,"○"))</f>
        <v/>
      </c>
      <c r="J1869" s="29" t="str">
        <f aca="false">IF(A1869="","",IFERROR(1/(1/_xlfn.MINIFS(Apparitions!$L$2:$L$5001,Apparitions!$H$2:$H$5001,A1869)),""))</f>
        <v/>
      </c>
    </row>
    <row r="1870" customFormat="false" ht="15" hidden="false" customHeight="false" outlineLevel="0" collapsed="false">
      <c r="A1870" s="19"/>
      <c r="B1870" s="19"/>
      <c r="C1870" s="19"/>
      <c r="D1870" s="19"/>
      <c r="E1870" s="32"/>
      <c r="F1870" s="19"/>
      <c r="G1870" s="26" t="str">
        <f aca="false">IF(A1870="","",COUNTIF(Pubs!$B$2:$B$3001,A1870))</f>
        <v/>
      </c>
      <c r="H1870" s="26" t="str">
        <f aca="false">IF(A1870="","",COUNTIF(Apparitions!$H$2:$H$5001,A1870))</f>
        <v/>
      </c>
      <c r="I1870" s="26" t="str">
        <f aca="false">IF(A1870="","",COUNTIFS(Apparitions!$H$2:$H$5001,A1870,Apparitions!$E$2:$E$5001,"○"))</f>
        <v/>
      </c>
      <c r="J1870" s="29" t="str">
        <f aca="false">IF(A1870="","",IFERROR(1/(1/_xlfn.MINIFS(Apparitions!$L$2:$L$5001,Apparitions!$H$2:$H$5001,A1870)),""))</f>
        <v/>
      </c>
    </row>
    <row r="1871" customFormat="false" ht="15" hidden="false" customHeight="false" outlineLevel="0" collapsed="false">
      <c r="A1871" s="19"/>
      <c r="B1871" s="19"/>
      <c r="C1871" s="19"/>
      <c r="D1871" s="19"/>
      <c r="E1871" s="32"/>
      <c r="F1871" s="19"/>
      <c r="G1871" s="26" t="str">
        <f aca="false">IF(A1871="","",COUNTIF(Pubs!$B$2:$B$3001,A1871))</f>
        <v/>
      </c>
      <c r="H1871" s="26" t="str">
        <f aca="false">IF(A1871="","",COUNTIF(Apparitions!$H$2:$H$5001,A1871))</f>
        <v/>
      </c>
      <c r="I1871" s="26" t="str">
        <f aca="false">IF(A1871="","",COUNTIFS(Apparitions!$H$2:$H$5001,A1871,Apparitions!$E$2:$E$5001,"○"))</f>
        <v/>
      </c>
      <c r="J1871" s="29" t="str">
        <f aca="false">IF(A1871="","",IFERROR(1/(1/_xlfn.MINIFS(Apparitions!$L$2:$L$5001,Apparitions!$H$2:$H$5001,A1871)),""))</f>
        <v/>
      </c>
    </row>
    <row r="1872" customFormat="false" ht="15" hidden="false" customHeight="false" outlineLevel="0" collapsed="false">
      <c r="A1872" s="19"/>
      <c r="B1872" s="19"/>
      <c r="C1872" s="19"/>
      <c r="D1872" s="19"/>
      <c r="E1872" s="32"/>
      <c r="F1872" s="19"/>
      <c r="G1872" s="26" t="str">
        <f aca="false">IF(A1872="","",COUNTIF(Pubs!$B$2:$B$3001,A1872))</f>
        <v/>
      </c>
      <c r="H1872" s="26" t="str">
        <f aca="false">IF(A1872="","",COUNTIF(Apparitions!$H$2:$H$5001,A1872))</f>
        <v/>
      </c>
      <c r="I1872" s="26" t="str">
        <f aca="false">IF(A1872="","",COUNTIFS(Apparitions!$H$2:$H$5001,A1872,Apparitions!$E$2:$E$5001,"○"))</f>
        <v/>
      </c>
      <c r="J1872" s="29" t="str">
        <f aca="false">IF(A1872="","",IFERROR(1/(1/_xlfn.MINIFS(Apparitions!$L$2:$L$5001,Apparitions!$H$2:$H$5001,A1872)),""))</f>
        <v/>
      </c>
    </row>
    <row r="1873" customFormat="false" ht="15" hidden="false" customHeight="false" outlineLevel="0" collapsed="false">
      <c r="A1873" s="19"/>
      <c r="B1873" s="19"/>
      <c r="C1873" s="19"/>
      <c r="D1873" s="19"/>
      <c r="E1873" s="32"/>
      <c r="F1873" s="19"/>
      <c r="G1873" s="26" t="str">
        <f aca="false">IF(A1873="","",COUNTIF(Pubs!$B$2:$B$3001,A1873))</f>
        <v/>
      </c>
      <c r="H1873" s="26" t="str">
        <f aca="false">IF(A1873="","",COUNTIF(Apparitions!$H$2:$H$5001,A1873))</f>
        <v/>
      </c>
      <c r="I1873" s="26" t="str">
        <f aca="false">IF(A1873="","",COUNTIFS(Apparitions!$H$2:$H$5001,A1873,Apparitions!$E$2:$E$5001,"○"))</f>
        <v/>
      </c>
      <c r="J1873" s="29" t="str">
        <f aca="false">IF(A1873="","",IFERROR(1/(1/_xlfn.MINIFS(Apparitions!$L$2:$L$5001,Apparitions!$H$2:$H$5001,A1873)),""))</f>
        <v/>
      </c>
    </row>
    <row r="1874" customFormat="false" ht="15" hidden="false" customHeight="false" outlineLevel="0" collapsed="false">
      <c r="A1874" s="19"/>
      <c r="B1874" s="19"/>
      <c r="C1874" s="19"/>
      <c r="D1874" s="19"/>
      <c r="E1874" s="32"/>
      <c r="F1874" s="19"/>
      <c r="G1874" s="26" t="str">
        <f aca="false">IF(A1874="","",COUNTIF(Pubs!$B$2:$B$3001,A1874))</f>
        <v/>
      </c>
      <c r="H1874" s="26" t="str">
        <f aca="false">IF(A1874="","",COUNTIF(Apparitions!$H$2:$H$5001,A1874))</f>
        <v/>
      </c>
      <c r="I1874" s="26" t="str">
        <f aca="false">IF(A1874="","",COUNTIFS(Apparitions!$H$2:$H$5001,A1874,Apparitions!$E$2:$E$5001,"○"))</f>
        <v/>
      </c>
      <c r="J1874" s="29" t="str">
        <f aca="false">IF(A1874="","",IFERROR(1/(1/_xlfn.MINIFS(Apparitions!$L$2:$L$5001,Apparitions!$H$2:$H$5001,A1874)),""))</f>
        <v/>
      </c>
    </row>
    <row r="1875" customFormat="false" ht="15" hidden="false" customHeight="false" outlineLevel="0" collapsed="false">
      <c r="A1875" s="19"/>
      <c r="B1875" s="19"/>
      <c r="C1875" s="19"/>
      <c r="D1875" s="19"/>
      <c r="E1875" s="32"/>
      <c r="F1875" s="19"/>
      <c r="G1875" s="26" t="str">
        <f aca="false">IF(A1875="","",COUNTIF(Pubs!$B$2:$B$3001,A1875))</f>
        <v/>
      </c>
      <c r="H1875" s="26" t="str">
        <f aca="false">IF(A1875="","",COUNTIF(Apparitions!$H$2:$H$5001,A1875))</f>
        <v/>
      </c>
      <c r="I1875" s="26" t="str">
        <f aca="false">IF(A1875="","",COUNTIFS(Apparitions!$H$2:$H$5001,A1875,Apparitions!$E$2:$E$5001,"○"))</f>
        <v/>
      </c>
      <c r="J1875" s="29" t="str">
        <f aca="false">IF(A1875="","",IFERROR(1/(1/_xlfn.MINIFS(Apparitions!$L$2:$L$5001,Apparitions!$H$2:$H$5001,A1875)),""))</f>
        <v/>
      </c>
    </row>
    <row r="1876" customFormat="false" ht="15" hidden="false" customHeight="false" outlineLevel="0" collapsed="false">
      <c r="A1876" s="19"/>
      <c r="B1876" s="19"/>
      <c r="C1876" s="19"/>
      <c r="D1876" s="19"/>
      <c r="E1876" s="32"/>
      <c r="F1876" s="19"/>
      <c r="G1876" s="26" t="str">
        <f aca="false">IF(A1876="","",COUNTIF(Pubs!$B$2:$B$3001,A1876))</f>
        <v/>
      </c>
      <c r="H1876" s="26" t="str">
        <f aca="false">IF(A1876="","",COUNTIF(Apparitions!$H$2:$H$5001,A1876))</f>
        <v/>
      </c>
      <c r="I1876" s="26" t="str">
        <f aca="false">IF(A1876="","",COUNTIFS(Apparitions!$H$2:$H$5001,A1876,Apparitions!$E$2:$E$5001,"○"))</f>
        <v/>
      </c>
      <c r="J1876" s="29" t="str">
        <f aca="false">IF(A1876="","",IFERROR(1/(1/_xlfn.MINIFS(Apparitions!$L$2:$L$5001,Apparitions!$H$2:$H$5001,A1876)),""))</f>
        <v/>
      </c>
    </row>
    <row r="1877" customFormat="false" ht="15" hidden="false" customHeight="false" outlineLevel="0" collapsed="false">
      <c r="A1877" s="19"/>
      <c r="B1877" s="19"/>
      <c r="C1877" s="19"/>
      <c r="D1877" s="19"/>
      <c r="E1877" s="32"/>
      <c r="F1877" s="19"/>
      <c r="G1877" s="26" t="str">
        <f aca="false">IF(A1877="","",COUNTIF(Pubs!$B$2:$B$3001,A1877))</f>
        <v/>
      </c>
      <c r="H1877" s="26" t="str">
        <f aca="false">IF(A1877="","",COUNTIF(Apparitions!$H$2:$H$5001,A1877))</f>
        <v/>
      </c>
      <c r="I1877" s="26" t="str">
        <f aca="false">IF(A1877="","",COUNTIFS(Apparitions!$H$2:$H$5001,A1877,Apparitions!$E$2:$E$5001,"○"))</f>
        <v/>
      </c>
      <c r="J1877" s="29" t="str">
        <f aca="false">IF(A1877="","",IFERROR(1/(1/_xlfn.MINIFS(Apparitions!$L$2:$L$5001,Apparitions!$H$2:$H$5001,A1877)),""))</f>
        <v/>
      </c>
    </row>
    <row r="1878" customFormat="false" ht="15" hidden="false" customHeight="false" outlineLevel="0" collapsed="false">
      <c r="A1878" s="19"/>
      <c r="B1878" s="19"/>
      <c r="C1878" s="19"/>
      <c r="D1878" s="19"/>
      <c r="E1878" s="32"/>
      <c r="F1878" s="19"/>
      <c r="G1878" s="26" t="str">
        <f aca="false">IF(A1878="","",COUNTIF(Pubs!$B$2:$B$3001,A1878))</f>
        <v/>
      </c>
      <c r="H1878" s="26" t="str">
        <f aca="false">IF(A1878="","",COUNTIF(Apparitions!$H$2:$H$5001,A1878))</f>
        <v/>
      </c>
      <c r="I1878" s="26" t="str">
        <f aca="false">IF(A1878="","",COUNTIFS(Apparitions!$H$2:$H$5001,A1878,Apparitions!$E$2:$E$5001,"○"))</f>
        <v/>
      </c>
      <c r="J1878" s="29" t="str">
        <f aca="false">IF(A1878="","",IFERROR(1/(1/_xlfn.MINIFS(Apparitions!$L$2:$L$5001,Apparitions!$H$2:$H$5001,A1878)),""))</f>
        <v/>
      </c>
    </row>
    <row r="1879" customFormat="false" ht="15" hidden="false" customHeight="false" outlineLevel="0" collapsed="false">
      <c r="A1879" s="19"/>
      <c r="B1879" s="19"/>
      <c r="C1879" s="19"/>
      <c r="D1879" s="19"/>
      <c r="E1879" s="32"/>
      <c r="F1879" s="19"/>
      <c r="G1879" s="26" t="str">
        <f aca="false">IF(A1879="","",COUNTIF(Pubs!$B$2:$B$3001,A1879))</f>
        <v/>
      </c>
      <c r="H1879" s="26" t="str">
        <f aca="false">IF(A1879="","",COUNTIF(Apparitions!$H$2:$H$5001,A1879))</f>
        <v/>
      </c>
      <c r="I1879" s="26" t="str">
        <f aca="false">IF(A1879="","",COUNTIFS(Apparitions!$H$2:$H$5001,A1879,Apparitions!$E$2:$E$5001,"○"))</f>
        <v/>
      </c>
      <c r="J1879" s="29" t="str">
        <f aca="false">IF(A1879="","",IFERROR(1/(1/_xlfn.MINIFS(Apparitions!$L$2:$L$5001,Apparitions!$H$2:$H$5001,A1879)),""))</f>
        <v/>
      </c>
    </row>
    <row r="1880" customFormat="false" ht="15" hidden="false" customHeight="false" outlineLevel="0" collapsed="false">
      <c r="A1880" s="19"/>
      <c r="B1880" s="19"/>
      <c r="C1880" s="19"/>
      <c r="D1880" s="19"/>
      <c r="E1880" s="32"/>
      <c r="F1880" s="19"/>
      <c r="G1880" s="26" t="str">
        <f aca="false">IF(A1880="","",COUNTIF(Pubs!$B$2:$B$3001,A1880))</f>
        <v/>
      </c>
      <c r="H1880" s="26" t="str">
        <f aca="false">IF(A1880="","",COUNTIF(Apparitions!$H$2:$H$5001,A1880))</f>
        <v/>
      </c>
      <c r="I1880" s="26" t="str">
        <f aca="false">IF(A1880="","",COUNTIFS(Apparitions!$H$2:$H$5001,A1880,Apparitions!$E$2:$E$5001,"○"))</f>
        <v/>
      </c>
      <c r="J1880" s="29" t="str">
        <f aca="false">IF(A1880="","",IFERROR(1/(1/_xlfn.MINIFS(Apparitions!$L$2:$L$5001,Apparitions!$H$2:$H$5001,A1880)),""))</f>
        <v/>
      </c>
    </row>
    <row r="1881" customFormat="false" ht="15" hidden="false" customHeight="false" outlineLevel="0" collapsed="false">
      <c r="A1881" s="19"/>
      <c r="B1881" s="19"/>
      <c r="C1881" s="19"/>
      <c r="D1881" s="19"/>
      <c r="E1881" s="32"/>
      <c r="F1881" s="19"/>
      <c r="G1881" s="26" t="str">
        <f aca="false">IF(A1881="","",COUNTIF(Pubs!$B$2:$B$3001,A1881))</f>
        <v/>
      </c>
      <c r="H1881" s="26" t="str">
        <f aca="false">IF(A1881="","",COUNTIF(Apparitions!$H$2:$H$5001,A1881))</f>
        <v/>
      </c>
      <c r="I1881" s="26" t="str">
        <f aca="false">IF(A1881="","",COUNTIFS(Apparitions!$H$2:$H$5001,A1881,Apparitions!$E$2:$E$5001,"○"))</f>
        <v/>
      </c>
      <c r="J1881" s="29" t="str">
        <f aca="false">IF(A1881="","",IFERROR(1/(1/_xlfn.MINIFS(Apparitions!$L$2:$L$5001,Apparitions!$H$2:$H$5001,A1881)),""))</f>
        <v/>
      </c>
    </row>
    <row r="1882" customFormat="false" ht="15" hidden="false" customHeight="false" outlineLevel="0" collapsed="false">
      <c r="A1882" s="19"/>
      <c r="B1882" s="19"/>
      <c r="C1882" s="19"/>
      <c r="D1882" s="19"/>
      <c r="E1882" s="32"/>
      <c r="F1882" s="19"/>
      <c r="G1882" s="26" t="str">
        <f aca="false">IF(A1882="","",COUNTIF(Pubs!$B$2:$B$3001,A1882))</f>
        <v/>
      </c>
      <c r="H1882" s="26" t="str">
        <f aca="false">IF(A1882="","",COUNTIF(Apparitions!$H$2:$H$5001,A1882))</f>
        <v/>
      </c>
      <c r="I1882" s="26" t="str">
        <f aca="false">IF(A1882="","",COUNTIFS(Apparitions!$H$2:$H$5001,A1882,Apparitions!$E$2:$E$5001,"○"))</f>
        <v/>
      </c>
      <c r="J1882" s="29" t="str">
        <f aca="false">IF(A1882="","",IFERROR(1/(1/_xlfn.MINIFS(Apparitions!$L$2:$L$5001,Apparitions!$H$2:$H$5001,A1882)),""))</f>
        <v/>
      </c>
    </row>
    <row r="1883" customFormat="false" ht="15" hidden="false" customHeight="false" outlineLevel="0" collapsed="false">
      <c r="A1883" s="19"/>
      <c r="B1883" s="19"/>
      <c r="C1883" s="19"/>
      <c r="D1883" s="19"/>
      <c r="E1883" s="32"/>
      <c r="F1883" s="19"/>
      <c r="G1883" s="26" t="str">
        <f aca="false">IF(A1883="","",COUNTIF(Pubs!$B$2:$B$3001,A1883))</f>
        <v/>
      </c>
      <c r="H1883" s="26" t="str">
        <f aca="false">IF(A1883="","",COUNTIF(Apparitions!$H$2:$H$5001,A1883))</f>
        <v/>
      </c>
      <c r="I1883" s="26" t="str">
        <f aca="false">IF(A1883="","",COUNTIFS(Apparitions!$H$2:$H$5001,A1883,Apparitions!$E$2:$E$5001,"○"))</f>
        <v/>
      </c>
      <c r="J1883" s="29" t="str">
        <f aca="false">IF(A1883="","",IFERROR(1/(1/_xlfn.MINIFS(Apparitions!$L$2:$L$5001,Apparitions!$H$2:$H$5001,A1883)),""))</f>
        <v/>
      </c>
    </row>
    <row r="1884" customFormat="false" ht="15" hidden="false" customHeight="false" outlineLevel="0" collapsed="false">
      <c r="A1884" s="19"/>
      <c r="B1884" s="19"/>
      <c r="C1884" s="19"/>
      <c r="D1884" s="19"/>
      <c r="E1884" s="32"/>
      <c r="F1884" s="19"/>
      <c r="G1884" s="26" t="str">
        <f aca="false">IF(A1884="","",COUNTIF(Pubs!$B$2:$B$3001,A1884))</f>
        <v/>
      </c>
      <c r="H1884" s="26" t="str">
        <f aca="false">IF(A1884="","",COUNTIF(Apparitions!$H$2:$H$5001,A1884))</f>
        <v/>
      </c>
      <c r="I1884" s="26" t="str">
        <f aca="false">IF(A1884="","",COUNTIFS(Apparitions!$H$2:$H$5001,A1884,Apparitions!$E$2:$E$5001,"○"))</f>
        <v/>
      </c>
      <c r="J1884" s="29" t="str">
        <f aca="false">IF(A1884="","",IFERROR(1/(1/_xlfn.MINIFS(Apparitions!$L$2:$L$5001,Apparitions!$H$2:$H$5001,A1884)),""))</f>
        <v/>
      </c>
    </row>
    <row r="1885" customFormat="false" ht="15" hidden="false" customHeight="false" outlineLevel="0" collapsed="false">
      <c r="A1885" s="19"/>
      <c r="B1885" s="19"/>
      <c r="C1885" s="19"/>
      <c r="D1885" s="19"/>
      <c r="E1885" s="32"/>
      <c r="F1885" s="19"/>
      <c r="G1885" s="26" t="str">
        <f aca="false">IF(A1885="","",COUNTIF(Pubs!$B$2:$B$3001,A1885))</f>
        <v/>
      </c>
      <c r="H1885" s="26" t="str">
        <f aca="false">IF(A1885="","",COUNTIF(Apparitions!$H$2:$H$5001,A1885))</f>
        <v/>
      </c>
      <c r="I1885" s="26" t="str">
        <f aca="false">IF(A1885="","",COUNTIFS(Apparitions!$H$2:$H$5001,A1885,Apparitions!$E$2:$E$5001,"○"))</f>
        <v/>
      </c>
      <c r="J1885" s="29" t="str">
        <f aca="false">IF(A1885="","",IFERROR(1/(1/_xlfn.MINIFS(Apparitions!$L$2:$L$5001,Apparitions!$H$2:$H$5001,A1885)),""))</f>
        <v/>
      </c>
    </row>
    <row r="1886" customFormat="false" ht="15" hidden="false" customHeight="false" outlineLevel="0" collapsed="false">
      <c r="A1886" s="19"/>
      <c r="B1886" s="19"/>
      <c r="C1886" s="19"/>
      <c r="D1886" s="19"/>
      <c r="E1886" s="32"/>
      <c r="F1886" s="19"/>
      <c r="G1886" s="26" t="str">
        <f aca="false">IF(A1886="","",COUNTIF(Pubs!$B$2:$B$3001,A1886))</f>
        <v/>
      </c>
      <c r="H1886" s="26" t="str">
        <f aca="false">IF(A1886="","",COUNTIF(Apparitions!$H$2:$H$5001,A1886))</f>
        <v/>
      </c>
      <c r="I1886" s="26" t="str">
        <f aca="false">IF(A1886="","",COUNTIFS(Apparitions!$H$2:$H$5001,A1886,Apparitions!$E$2:$E$5001,"○"))</f>
        <v/>
      </c>
      <c r="J1886" s="29" t="str">
        <f aca="false">IF(A1886="","",IFERROR(1/(1/_xlfn.MINIFS(Apparitions!$L$2:$L$5001,Apparitions!$H$2:$H$5001,A1886)),""))</f>
        <v/>
      </c>
    </row>
    <row r="1887" customFormat="false" ht="15" hidden="false" customHeight="false" outlineLevel="0" collapsed="false">
      <c r="A1887" s="19"/>
      <c r="B1887" s="19"/>
      <c r="C1887" s="19"/>
      <c r="D1887" s="19"/>
      <c r="E1887" s="32"/>
      <c r="F1887" s="19"/>
      <c r="G1887" s="26" t="str">
        <f aca="false">IF(A1887="","",COUNTIF(Pubs!$B$2:$B$3001,A1887))</f>
        <v/>
      </c>
      <c r="H1887" s="26" t="str">
        <f aca="false">IF(A1887="","",COUNTIF(Apparitions!$H$2:$H$5001,A1887))</f>
        <v/>
      </c>
      <c r="I1887" s="26" t="str">
        <f aca="false">IF(A1887="","",COUNTIFS(Apparitions!$H$2:$H$5001,A1887,Apparitions!$E$2:$E$5001,"○"))</f>
        <v/>
      </c>
      <c r="J1887" s="29" t="str">
        <f aca="false">IF(A1887="","",IFERROR(1/(1/_xlfn.MINIFS(Apparitions!$L$2:$L$5001,Apparitions!$H$2:$H$5001,A1887)),""))</f>
        <v/>
      </c>
    </row>
    <row r="1888" customFormat="false" ht="15" hidden="false" customHeight="false" outlineLevel="0" collapsed="false">
      <c r="A1888" s="19"/>
      <c r="B1888" s="19"/>
      <c r="C1888" s="19"/>
      <c r="D1888" s="19"/>
      <c r="E1888" s="32"/>
      <c r="F1888" s="19"/>
      <c r="G1888" s="26" t="str">
        <f aca="false">IF(A1888="","",COUNTIF(Pubs!$B$2:$B$3001,A1888))</f>
        <v/>
      </c>
      <c r="H1888" s="26" t="str">
        <f aca="false">IF(A1888="","",COUNTIF(Apparitions!$H$2:$H$5001,A1888))</f>
        <v/>
      </c>
      <c r="I1888" s="26" t="str">
        <f aca="false">IF(A1888="","",COUNTIFS(Apparitions!$H$2:$H$5001,A1888,Apparitions!$E$2:$E$5001,"○"))</f>
        <v/>
      </c>
      <c r="J1888" s="29" t="str">
        <f aca="false">IF(A1888="","",IFERROR(1/(1/_xlfn.MINIFS(Apparitions!$L$2:$L$5001,Apparitions!$H$2:$H$5001,A1888)),""))</f>
        <v/>
      </c>
    </row>
    <row r="1889" customFormat="false" ht="15" hidden="false" customHeight="false" outlineLevel="0" collapsed="false">
      <c r="A1889" s="19"/>
      <c r="B1889" s="19"/>
      <c r="C1889" s="19"/>
      <c r="D1889" s="19"/>
      <c r="E1889" s="32"/>
      <c r="F1889" s="19"/>
      <c r="G1889" s="26" t="str">
        <f aca="false">IF(A1889="","",COUNTIF(Pubs!$B$2:$B$3001,A1889))</f>
        <v/>
      </c>
      <c r="H1889" s="26" t="str">
        <f aca="false">IF(A1889="","",COUNTIF(Apparitions!$H$2:$H$5001,A1889))</f>
        <v/>
      </c>
      <c r="I1889" s="26" t="str">
        <f aca="false">IF(A1889="","",COUNTIFS(Apparitions!$H$2:$H$5001,A1889,Apparitions!$E$2:$E$5001,"○"))</f>
        <v/>
      </c>
      <c r="J1889" s="29" t="str">
        <f aca="false">IF(A1889="","",IFERROR(1/(1/_xlfn.MINIFS(Apparitions!$L$2:$L$5001,Apparitions!$H$2:$H$5001,A1889)),""))</f>
        <v/>
      </c>
    </row>
    <row r="1890" customFormat="false" ht="15" hidden="false" customHeight="false" outlineLevel="0" collapsed="false">
      <c r="A1890" s="19"/>
      <c r="B1890" s="19"/>
      <c r="C1890" s="19"/>
      <c r="D1890" s="19"/>
      <c r="E1890" s="32"/>
      <c r="F1890" s="19"/>
      <c r="G1890" s="26" t="str">
        <f aca="false">IF(A1890="","",COUNTIF(Pubs!$B$2:$B$3001,A1890))</f>
        <v/>
      </c>
      <c r="H1890" s="26" t="str">
        <f aca="false">IF(A1890="","",COUNTIF(Apparitions!$H$2:$H$5001,A1890))</f>
        <v/>
      </c>
      <c r="I1890" s="26" t="str">
        <f aca="false">IF(A1890="","",COUNTIFS(Apparitions!$H$2:$H$5001,A1890,Apparitions!$E$2:$E$5001,"○"))</f>
        <v/>
      </c>
      <c r="J1890" s="29" t="str">
        <f aca="false">IF(A1890="","",IFERROR(1/(1/_xlfn.MINIFS(Apparitions!$L$2:$L$5001,Apparitions!$H$2:$H$5001,A1890)),""))</f>
        <v/>
      </c>
    </row>
    <row r="1891" customFormat="false" ht="15" hidden="false" customHeight="false" outlineLevel="0" collapsed="false">
      <c r="A1891" s="19"/>
      <c r="B1891" s="19"/>
      <c r="C1891" s="19"/>
      <c r="D1891" s="19"/>
      <c r="E1891" s="32"/>
      <c r="F1891" s="19"/>
      <c r="G1891" s="26" t="str">
        <f aca="false">IF(A1891="","",COUNTIF(Pubs!$B$2:$B$3001,A1891))</f>
        <v/>
      </c>
      <c r="H1891" s="26" t="str">
        <f aca="false">IF(A1891="","",COUNTIF(Apparitions!$H$2:$H$5001,A1891))</f>
        <v/>
      </c>
      <c r="I1891" s="26" t="str">
        <f aca="false">IF(A1891="","",COUNTIFS(Apparitions!$H$2:$H$5001,A1891,Apparitions!$E$2:$E$5001,"○"))</f>
        <v/>
      </c>
      <c r="J1891" s="29" t="str">
        <f aca="false">IF(A1891="","",IFERROR(1/(1/_xlfn.MINIFS(Apparitions!$L$2:$L$5001,Apparitions!$H$2:$H$5001,A1891)),""))</f>
        <v/>
      </c>
    </row>
    <row r="1892" customFormat="false" ht="15" hidden="false" customHeight="false" outlineLevel="0" collapsed="false">
      <c r="A1892" s="19"/>
      <c r="B1892" s="19"/>
      <c r="C1892" s="19"/>
      <c r="D1892" s="19"/>
      <c r="E1892" s="32"/>
      <c r="F1892" s="19"/>
      <c r="G1892" s="26" t="str">
        <f aca="false">IF(A1892="","",COUNTIF(Pubs!$B$2:$B$3001,A1892))</f>
        <v/>
      </c>
      <c r="H1892" s="26" t="str">
        <f aca="false">IF(A1892="","",COUNTIF(Apparitions!$H$2:$H$5001,A1892))</f>
        <v/>
      </c>
      <c r="I1892" s="26" t="str">
        <f aca="false">IF(A1892="","",COUNTIFS(Apparitions!$H$2:$H$5001,A1892,Apparitions!$E$2:$E$5001,"○"))</f>
        <v/>
      </c>
      <c r="J1892" s="29" t="str">
        <f aca="false">IF(A1892="","",IFERROR(1/(1/_xlfn.MINIFS(Apparitions!$L$2:$L$5001,Apparitions!$H$2:$H$5001,A1892)),""))</f>
        <v/>
      </c>
    </row>
    <row r="1893" customFormat="false" ht="15" hidden="false" customHeight="false" outlineLevel="0" collapsed="false">
      <c r="A1893" s="19"/>
      <c r="B1893" s="19"/>
      <c r="C1893" s="19"/>
      <c r="D1893" s="19"/>
      <c r="E1893" s="32"/>
      <c r="F1893" s="19"/>
      <c r="G1893" s="26" t="str">
        <f aca="false">IF(A1893="","",COUNTIF(Pubs!$B$2:$B$3001,A1893))</f>
        <v/>
      </c>
      <c r="H1893" s="26" t="str">
        <f aca="false">IF(A1893="","",COUNTIF(Apparitions!$H$2:$H$5001,A1893))</f>
        <v/>
      </c>
      <c r="I1893" s="26" t="str">
        <f aca="false">IF(A1893="","",COUNTIFS(Apparitions!$H$2:$H$5001,A1893,Apparitions!$E$2:$E$5001,"○"))</f>
        <v/>
      </c>
      <c r="J1893" s="29" t="str">
        <f aca="false">IF(A1893="","",IFERROR(1/(1/_xlfn.MINIFS(Apparitions!$L$2:$L$5001,Apparitions!$H$2:$H$5001,A1893)),""))</f>
        <v/>
      </c>
    </row>
    <row r="1894" customFormat="false" ht="15" hidden="false" customHeight="false" outlineLevel="0" collapsed="false">
      <c r="A1894" s="19"/>
      <c r="B1894" s="19"/>
      <c r="C1894" s="19"/>
      <c r="D1894" s="19"/>
      <c r="E1894" s="32"/>
      <c r="F1894" s="19"/>
      <c r="G1894" s="26" t="str">
        <f aca="false">IF(A1894="","",COUNTIF(Pubs!$B$2:$B$3001,A1894))</f>
        <v/>
      </c>
      <c r="H1894" s="26" t="str">
        <f aca="false">IF(A1894="","",COUNTIF(Apparitions!$H$2:$H$5001,A1894))</f>
        <v/>
      </c>
      <c r="I1894" s="26" t="str">
        <f aca="false">IF(A1894="","",COUNTIFS(Apparitions!$H$2:$H$5001,A1894,Apparitions!$E$2:$E$5001,"○"))</f>
        <v/>
      </c>
      <c r="J1894" s="29" t="str">
        <f aca="false">IF(A1894="","",IFERROR(1/(1/_xlfn.MINIFS(Apparitions!$L$2:$L$5001,Apparitions!$H$2:$H$5001,A1894)),""))</f>
        <v/>
      </c>
    </row>
    <row r="1895" customFormat="false" ht="15" hidden="false" customHeight="false" outlineLevel="0" collapsed="false">
      <c r="A1895" s="19"/>
      <c r="B1895" s="19"/>
      <c r="C1895" s="19"/>
      <c r="D1895" s="19"/>
      <c r="E1895" s="32"/>
      <c r="F1895" s="19"/>
      <c r="G1895" s="26" t="str">
        <f aca="false">IF(A1895="","",COUNTIF(Pubs!$B$2:$B$3001,A1895))</f>
        <v/>
      </c>
      <c r="H1895" s="26" t="str">
        <f aca="false">IF(A1895="","",COUNTIF(Apparitions!$H$2:$H$5001,A1895))</f>
        <v/>
      </c>
      <c r="I1895" s="26" t="str">
        <f aca="false">IF(A1895="","",COUNTIFS(Apparitions!$H$2:$H$5001,A1895,Apparitions!$E$2:$E$5001,"○"))</f>
        <v/>
      </c>
      <c r="J1895" s="29" t="str">
        <f aca="false">IF(A1895="","",IFERROR(1/(1/_xlfn.MINIFS(Apparitions!$L$2:$L$5001,Apparitions!$H$2:$H$5001,A1895)),""))</f>
        <v/>
      </c>
    </row>
    <row r="1896" customFormat="false" ht="15" hidden="false" customHeight="false" outlineLevel="0" collapsed="false">
      <c r="A1896" s="19"/>
      <c r="B1896" s="19"/>
      <c r="C1896" s="19"/>
      <c r="D1896" s="19"/>
      <c r="E1896" s="32"/>
      <c r="F1896" s="19"/>
      <c r="G1896" s="26" t="str">
        <f aca="false">IF(A1896="","",COUNTIF(Pubs!$B$2:$B$3001,A1896))</f>
        <v/>
      </c>
      <c r="H1896" s="26" t="str">
        <f aca="false">IF(A1896="","",COUNTIF(Apparitions!$H$2:$H$5001,A1896))</f>
        <v/>
      </c>
      <c r="I1896" s="26" t="str">
        <f aca="false">IF(A1896="","",COUNTIFS(Apparitions!$H$2:$H$5001,A1896,Apparitions!$E$2:$E$5001,"○"))</f>
        <v/>
      </c>
      <c r="J1896" s="29" t="str">
        <f aca="false">IF(A1896="","",IFERROR(1/(1/_xlfn.MINIFS(Apparitions!$L$2:$L$5001,Apparitions!$H$2:$H$5001,A1896)),""))</f>
        <v/>
      </c>
    </row>
    <row r="1897" customFormat="false" ht="15" hidden="false" customHeight="false" outlineLevel="0" collapsed="false">
      <c r="A1897" s="19"/>
      <c r="B1897" s="19"/>
      <c r="C1897" s="19"/>
      <c r="D1897" s="19"/>
      <c r="E1897" s="32"/>
      <c r="F1897" s="19"/>
      <c r="G1897" s="26" t="str">
        <f aca="false">IF(A1897="","",COUNTIF(Pubs!$B$2:$B$3001,A1897))</f>
        <v/>
      </c>
      <c r="H1897" s="26" t="str">
        <f aca="false">IF(A1897="","",COUNTIF(Apparitions!$H$2:$H$5001,A1897))</f>
        <v/>
      </c>
      <c r="I1897" s="26" t="str">
        <f aca="false">IF(A1897="","",COUNTIFS(Apparitions!$H$2:$H$5001,A1897,Apparitions!$E$2:$E$5001,"○"))</f>
        <v/>
      </c>
      <c r="J1897" s="29" t="str">
        <f aca="false">IF(A1897="","",IFERROR(1/(1/_xlfn.MINIFS(Apparitions!$L$2:$L$5001,Apparitions!$H$2:$H$5001,A1897)),""))</f>
        <v/>
      </c>
    </row>
    <row r="1898" customFormat="false" ht="15" hidden="false" customHeight="false" outlineLevel="0" collapsed="false">
      <c r="A1898" s="19"/>
      <c r="B1898" s="19"/>
      <c r="C1898" s="19"/>
      <c r="D1898" s="19"/>
      <c r="E1898" s="32"/>
      <c r="F1898" s="19"/>
      <c r="G1898" s="26" t="str">
        <f aca="false">IF(A1898="","",COUNTIF(Pubs!$B$2:$B$3001,A1898))</f>
        <v/>
      </c>
      <c r="H1898" s="26" t="str">
        <f aca="false">IF(A1898="","",COUNTIF(Apparitions!$H$2:$H$5001,A1898))</f>
        <v/>
      </c>
      <c r="I1898" s="26" t="str">
        <f aca="false">IF(A1898="","",COUNTIFS(Apparitions!$H$2:$H$5001,A1898,Apparitions!$E$2:$E$5001,"○"))</f>
        <v/>
      </c>
      <c r="J1898" s="29" t="str">
        <f aca="false">IF(A1898="","",IFERROR(1/(1/_xlfn.MINIFS(Apparitions!$L$2:$L$5001,Apparitions!$H$2:$H$5001,A1898)),""))</f>
        <v/>
      </c>
    </row>
    <row r="1899" customFormat="false" ht="15" hidden="false" customHeight="false" outlineLevel="0" collapsed="false">
      <c r="A1899" s="19"/>
      <c r="B1899" s="19"/>
      <c r="C1899" s="19"/>
      <c r="D1899" s="19"/>
      <c r="E1899" s="32"/>
      <c r="F1899" s="19"/>
      <c r="G1899" s="26" t="str">
        <f aca="false">IF(A1899="","",COUNTIF(Pubs!$B$2:$B$3001,A1899))</f>
        <v/>
      </c>
      <c r="H1899" s="26" t="str">
        <f aca="false">IF(A1899="","",COUNTIF(Apparitions!$H$2:$H$5001,A1899))</f>
        <v/>
      </c>
      <c r="I1899" s="26" t="str">
        <f aca="false">IF(A1899="","",COUNTIFS(Apparitions!$H$2:$H$5001,A1899,Apparitions!$E$2:$E$5001,"○"))</f>
        <v/>
      </c>
      <c r="J1899" s="29" t="str">
        <f aca="false">IF(A1899="","",IFERROR(1/(1/_xlfn.MINIFS(Apparitions!$L$2:$L$5001,Apparitions!$H$2:$H$5001,A1899)),""))</f>
        <v/>
      </c>
    </row>
    <row r="1900" customFormat="false" ht="15" hidden="false" customHeight="false" outlineLevel="0" collapsed="false">
      <c r="A1900" s="19"/>
      <c r="B1900" s="19"/>
      <c r="C1900" s="19"/>
      <c r="D1900" s="19"/>
      <c r="E1900" s="32"/>
      <c r="F1900" s="19"/>
      <c r="G1900" s="26" t="str">
        <f aca="false">IF(A1900="","",COUNTIF(Pubs!$B$2:$B$3001,A1900))</f>
        <v/>
      </c>
      <c r="H1900" s="26" t="str">
        <f aca="false">IF(A1900="","",COUNTIF(Apparitions!$H$2:$H$5001,A1900))</f>
        <v/>
      </c>
      <c r="I1900" s="26" t="str">
        <f aca="false">IF(A1900="","",COUNTIFS(Apparitions!$H$2:$H$5001,A1900,Apparitions!$E$2:$E$5001,"○"))</f>
        <v/>
      </c>
      <c r="J1900" s="29" t="str">
        <f aca="false">IF(A1900="","",IFERROR(1/(1/_xlfn.MINIFS(Apparitions!$L$2:$L$5001,Apparitions!$H$2:$H$5001,A1900)),""))</f>
        <v/>
      </c>
    </row>
    <row r="1901" customFormat="false" ht="15" hidden="false" customHeight="false" outlineLevel="0" collapsed="false">
      <c r="A1901" s="19"/>
      <c r="B1901" s="19"/>
      <c r="C1901" s="19"/>
      <c r="D1901" s="19"/>
      <c r="E1901" s="32"/>
      <c r="F1901" s="19"/>
      <c r="G1901" s="26" t="str">
        <f aca="false">IF(A1901="","",COUNTIF(Pubs!$B$2:$B$3001,A1901))</f>
        <v/>
      </c>
      <c r="H1901" s="26" t="str">
        <f aca="false">IF(A1901="","",COUNTIF(Apparitions!$H$2:$H$5001,A1901))</f>
        <v/>
      </c>
      <c r="I1901" s="26" t="str">
        <f aca="false">IF(A1901="","",COUNTIFS(Apparitions!$H$2:$H$5001,A1901,Apparitions!$E$2:$E$5001,"○"))</f>
        <v/>
      </c>
      <c r="J1901" s="29" t="str">
        <f aca="false">IF(A1901="","",IFERROR(1/(1/_xlfn.MINIFS(Apparitions!$L$2:$L$5001,Apparitions!$H$2:$H$5001,A1901)),""))</f>
        <v/>
      </c>
    </row>
    <row r="1902" customFormat="false" ht="15" hidden="false" customHeight="false" outlineLevel="0" collapsed="false">
      <c r="A1902" s="19"/>
      <c r="B1902" s="19"/>
      <c r="C1902" s="19"/>
      <c r="D1902" s="19"/>
      <c r="E1902" s="32"/>
      <c r="F1902" s="19"/>
      <c r="G1902" s="26" t="str">
        <f aca="false">IF(A1902="","",COUNTIF(Pubs!$B$2:$B$3001,A1902))</f>
        <v/>
      </c>
      <c r="H1902" s="26" t="str">
        <f aca="false">IF(A1902="","",COUNTIF(Apparitions!$H$2:$H$5001,A1902))</f>
        <v/>
      </c>
      <c r="I1902" s="26" t="str">
        <f aca="false">IF(A1902="","",COUNTIFS(Apparitions!$H$2:$H$5001,A1902,Apparitions!$E$2:$E$5001,"○"))</f>
        <v/>
      </c>
      <c r="J1902" s="29" t="str">
        <f aca="false">IF(A1902="","",IFERROR(1/(1/_xlfn.MINIFS(Apparitions!$L$2:$L$5001,Apparitions!$H$2:$H$5001,A1902)),""))</f>
        <v/>
      </c>
    </row>
    <row r="1903" customFormat="false" ht="15" hidden="false" customHeight="false" outlineLevel="0" collapsed="false">
      <c r="A1903" s="19"/>
      <c r="B1903" s="19"/>
      <c r="C1903" s="19"/>
      <c r="D1903" s="19"/>
      <c r="E1903" s="32"/>
      <c r="F1903" s="19"/>
      <c r="G1903" s="26" t="str">
        <f aca="false">IF(A1903="","",COUNTIF(Pubs!$B$2:$B$3001,A1903))</f>
        <v/>
      </c>
      <c r="H1903" s="26" t="str">
        <f aca="false">IF(A1903="","",COUNTIF(Apparitions!$H$2:$H$5001,A1903))</f>
        <v/>
      </c>
      <c r="I1903" s="26" t="str">
        <f aca="false">IF(A1903="","",COUNTIFS(Apparitions!$H$2:$H$5001,A1903,Apparitions!$E$2:$E$5001,"○"))</f>
        <v/>
      </c>
      <c r="J1903" s="29" t="str">
        <f aca="false">IF(A1903="","",IFERROR(1/(1/_xlfn.MINIFS(Apparitions!$L$2:$L$5001,Apparitions!$H$2:$H$5001,A1903)),""))</f>
        <v/>
      </c>
    </row>
    <row r="1904" customFormat="false" ht="15" hidden="false" customHeight="false" outlineLevel="0" collapsed="false">
      <c r="A1904" s="19"/>
      <c r="B1904" s="19"/>
      <c r="C1904" s="19"/>
      <c r="D1904" s="19"/>
      <c r="E1904" s="32"/>
      <c r="F1904" s="19"/>
      <c r="G1904" s="26" t="str">
        <f aca="false">IF(A1904="","",COUNTIF(Pubs!$B$2:$B$3001,A1904))</f>
        <v/>
      </c>
      <c r="H1904" s="26" t="str">
        <f aca="false">IF(A1904="","",COUNTIF(Apparitions!$H$2:$H$5001,A1904))</f>
        <v/>
      </c>
      <c r="I1904" s="26" t="str">
        <f aca="false">IF(A1904="","",COUNTIFS(Apparitions!$H$2:$H$5001,A1904,Apparitions!$E$2:$E$5001,"○"))</f>
        <v/>
      </c>
      <c r="J1904" s="29" t="str">
        <f aca="false">IF(A1904="","",IFERROR(1/(1/_xlfn.MINIFS(Apparitions!$L$2:$L$5001,Apparitions!$H$2:$H$5001,A1904)),""))</f>
        <v/>
      </c>
    </row>
    <row r="1905" customFormat="false" ht="15" hidden="false" customHeight="false" outlineLevel="0" collapsed="false">
      <c r="A1905" s="19"/>
      <c r="B1905" s="19"/>
      <c r="C1905" s="19"/>
      <c r="D1905" s="19"/>
      <c r="E1905" s="32"/>
      <c r="F1905" s="19"/>
      <c r="G1905" s="26" t="str">
        <f aca="false">IF(A1905="","",COUNTIF(Pubs!$B$2:$B$3001,A1905))</f>
        <v/>
      </c>
      <c r="H1905" s="26" t="str">
        <f aca="false">IF(A1905="","",COUNTIF(Apparitions!$H$2:$H$5001,A1905))</f>
        <v/>
      </c>
      <c r="I1905" s="26" t="str">
        <f aca="false">IF(A1905="","",COUNTIFS(Apparitions!$H$2:$H$5001,A1905,Apparitions!$E$2:$E$5001,"○"))</f>
        <v/>
      </c>
      <c r="J1905" s="29" t="str">
        <f aca="false">IF(A1905="","",IFERROR(1/(1/_xlfn.MINIFS(Apparitions!$L$2:$L$5001,Apparitions!$H$2:$H$5001,A1905)),""))</f>
        <v/>
      </c>
    </row>
    <row r="1906" customFormat="false" ht="15" hidden="false" customHeight="false" outlineLevel="0" collapsed="false">
      <c r="A1906" s="19"/>
      <c r="B1906" s="19"/>
      <c r="C1906" s="19"/>
      <c r="D1906" s="19"/>
      <c r="E1906" s="32"/>
      <c r="F1906" s="19"/>
      <c r="G1906" s="26" t="str">
        <f aca="false">IF(A1906="","",COUNTIF(Pubs!$B$2:$B$3001,A1906))</f>
        <v/>
      </c>
      <c r="H1906" s="26" t="str">
        <f aca="false">IF(A1906="","",COUNTIF(Apparitions!$H$2:$H$5001,A1906))</f>
        <v/>
      </c>
      <c r="I1906" s="26" t="str">
        <f aca="false">IF(A1906="","",COUNTIFS(Apparitions!$H$2:$H$5001,A1906,Apparitions!$E$2:$E$5001,"○"))</f>
        <v/>
      </c>
      <c r="J1906" s="29" t="str">
        <f aca="false">IF(A1906="","",IFERROR(1/(1/_xlfn.MINIFS(Apparitions!$L$2:$L$5001,Apparitions!$H$2:$H$5001,A1906)),""))</f>
        <v/>
      </c>
    </row>
    <row r="1907" customFormat="false" ht="15" hidden="false" customHeight="false" outlineLevel="0" collapsed="false">
      <c r="A1907" s="19"/>
      <c r="B1907" s="19"/>
      <c r="C1907" s="19"/>
      <c r="D1907" s="19"/>
      <c r="E1907" s="32"/>
      <c r="F1907" s="19"/>
      <c r="G1907" s="26" t="str">
        <f aca="false">IF(A1907="","",COUNTIF(Pubs!$B$2:$B$3001,A1907))</f>
        <v/>
      </c>
      <c r="H1907" s="26" t="str">
        <f aca="false">IF(A1907="","",COUNTIF(Apparitions!$H$2:$H$5001,A1907))</f>
        <v/>
      </c>
      <c r="I1907" s="26" t="str">
        <f aca="false">IF(A1907="","",COUNTIFS(Apparitions!$H$2:$H$5001,A1907,Apparitions!$E$2:$E$5001,"○"))</f>
        <v/>
      </c>
      <c r="J1907" s="29" t="str">
        <f aca="false">IF(A1907="","",IFERROR(1/(1/_xlfn.MINIFS(Apparitions!$L$2:$L$5001,Apparitions!$H$2:$H$5001,A1907)),""))</f>
        <v/>
      </c>
    </row>
    <row r="1908" customFormat="false" ht="15" hidden="false" customHeight="false" outlineLevel="0" collapsed="false">
      <c r="A1908" s="19"/>
      <c r="B1908" s="19"/>
      <c r="C1908" s="19"/>
      <c r="D1908" s="19"/>
      <c r="E1908" s="32"/>
      <c r="F1908" s="19"/>
      <c r="G1908" s="26" t="str">
        <f aca="false">IF(A1908="","",COUNTIF(Pubs!$B$2:$B$3001,A1908))</f>
        <v/>
      </c>
      <c r="H1908" s="26" t="str">
        <f aca="false">IF(A1908="","",COUNTIF(Apparitions!$H$2:$H$5001,A1908))</f>
        <v/>
      </c>
      <c r="I1908" s="26" t="str">
        <f aca="false">IF(A1908="","",COUNTIFS(Apparitions!$H$2:$H$5001,A1908,Apparitions!$E$2:$E$5001,"○"))</f>
        <v/>
      </c>
      <c r="J1908" s="29" t="str">
        <f aca="false">IF(A1908="","",IFERROR(1/(1/_xlfn.MINIFS(Apparitions!$L$2:$L$5001,Apparitions!$H$2:$H$5001,A1908)),""))</f>
        <v/>
      </c>
    </row>
    <row r="1909" customFormat="false" ht="15" hidden="false" customHeight="false" outlineLevel="0" collapsed="false">
      <c r="A1909" s="19"/>
      <c r="B1909" s="19"/>
      <c r="C1909" s="19"/>
      <c r="D1909" s="19"/>
      <c r="E1909" s="32"/>
      <c r="F1909" s="19"/>
      <c r="G1909" s="26" t="str">
        <f aca="false">IF(A1909="","",COUNTIF(Pubs!$B$2:$B$3001,A1909))</f>
        <v/>
      </c>
      <c r="H1909" s="26" t="str">
        <f aca="false">IF(A1909="","",COUNTIF(Apparitions!$H$2:$H$5001,A1909))</f>
        <v/>
      </c>
      <c r="I1909" s="26" t="str">
        <f aca="false">IF(A1909="","",COUNTIFS(Apparitions!$H$2:$H$5001,A1909,Apparitions!$E$2:$E$5001,"○"))</f>
        <v/>
      </c>
      <c r="J1909" s="29" t="str">
        <f aca="false">IF(A1909="","",IFERROR(1/(1/_xlfn.MINIFS(Apparitions!$L$2:$L$5001,Apparitions!$H$2:$H$5001,A1909)),""))</f>
        <v/>
      </c>
    </row>
    <row r="1910" customFormat="false" ht="15" hidden="false" customHeight="false" outlineLevel="0" collapsed="false">
      <c r="A1910" s="19"/>
      <c r="B1910" s="19"/>
      <c r="C1910" s="19"/>
      <c r="D1910" s="19"/>
      <c r="E1910" s="32"/>
      <c r="F1910" s="19"/>
      <c r="G1910" s="26" t="str">
        <f aca="false">IF(A1910="","",COUNTIF(Pubs!$B$2:$B$3001,A1910))</f>
        <v/>
      </c>
      <c r="H1910" s="26" t="str">
        <f aca="false">IF(A1910="","",COUNTIF(Apparitions!$H$2:$H$5001,A1910))</f>
        <v/>
      </c>
      <c r="I1910" s="26" t="str">
        <f aca="false">IF(A1910="","",COUNTIFS(Apparitions!$H$2:$H$5001,A1910,Apparitions!$E$2:$E$5001,"○"))</f>
        <v/>
      </c>
      <c r="J1910" s="29" t="str">
        <f aca="false">IF(A1910="","",IFERROR(1/(1/_xlfn.MINIFS(Apparitions!$L$2:$L$5001,Apparitions!$H$2:$H$5001,A1910)),""))</f>
        <v/>
      </c>
    </row>
    <row r="1911" customFormat="false" ht="15" hidden="false" customHeight="false" outlineLevel="0" collapsed="false">
      <c r="A1911" s="19"/>
      <c r="B1911" s="19"/>
      <c r="C1911" s="19"/>
      <c r="D1911" s="19"/>
      <c r="E1911" s="32"/>
      <c r="F1911" s="19"/>
      <c r="G1911" s="26" t="str">
        <f aca="false">IF(A1911="","",COUNTIF(Pubs!$B$2:$B$3001,A1911))</f>
        <v/>
      </c>
      <c r="H1911" s="26" t="str">
        <f aca="false">IF(A1911="","",COUNTIF(Apparitions!$H$2:$H$5001,A1911))</f>
        <v/>
      </c>
      <c r="I1911" s="26" t="str">
        <f aca="false">IF(A1911="","",COUNTIFS(Apparitions!$H$2:$H$5001,A1911,Apparitions!$E$2:$E$5001,"○"))</f>
        <v/>
      </c>
      <c r="J1911" s="29" t="str">
        <f aca="false">IF(A1911="","",IFERROR(1/(1/_xlfn.MINIFS(Apparitions!$L$2:$L$5001,Apparitions!$H$2:$H$5001,A1911)),""))</f>
        <v/>
      </c>
    </row>
    <row r="1912" customFormat="false" ht="15" hidden="false" customHeight="false" outlineLevel="0" collapsed="false">
      <c r="A1912" s="19"/>
      <c r="B1912" s="19"/>
      <c r="C1912" s="19"/>
      <c r="D1912" s="19"/>
      <c r="E1912" s="32"/>
      <c r="F1912" s="19"/>
      <c r="G1912" s="26" t="str">
        <f aca="false">IF(A1912="","",COUNTIF(Pubs!$B$2:$B$3001,A1912))</f>
        <v/>
      </c>
      <c r="H1912" s="26" t="str">
        <f aca="false">IF(A1912="","",COUNTIF(Apparitions!$H$2:$H$5001,A1912))</f>
        <v/>
      </c>
      <c r="I1912" s="26" t="str">
        <f aca="false">IF(A1912="","",COUNTIFS(Apparitions!$H$2:$H$5001,A1912,Apparitions!$E$2:$E$5001,"○"))</f>
        <v/>
      </c>
      <c r="J1912" s="29" t="str">
        <f aca="false">IF(A1912="","",IFERROR(1/(1/_xlfn.MINIFS(Apparitions!$L$2:$L$5001,Apparitions!$H$2:$H$5001,A1912)),""))</f>
        <v/>
      </c>
    </row>
    <row r="1913" customFormat="false" ht="15" hidden="false" customHeight="false" outlineLevel="0" collapsed="false">
      <c r="A1913" s="19"/>
      <c r="B1913" s="19"/>
      <c r="C1913" s="19"/>
      <c r="D1913" s="19"/>
      <c r="E1913" s="32"/>
      <c r="F1913" s="19"/>
      <c r="G1913" s="26" t="str">
        <f aca="false">IF(A1913="","",COUNTIF(Pubs!$B$2:$B$3001,A1913))</f>
        <v/>
      </c>
      <c r="H1913" s="26" t="str">
        <f aca="false">IF(A1913="","",COUNTIF(Apparitions!$H$2:$H$5001,A1913))</f>
        <v/>
      </c>
      <c r="I1913" s="26" t="str">
        <f aca="false">IF(A1913="","",COUNTIFS(Apparitions!$H$2:$H$5001,A1913,Apparitions!$E$2:$E$5001,"○"))</f>
        <v/>
      </c>
      <c r="J1913" s="29" t="str">
        <f aca="false">IF(A1913="","",IFERROR(1/(1/_xlfn.MINIFS(Apparitions!$L$2:$L$5001,Apparitions!$H$2:$H$5001,A1913)),""))</f>
        <v/>
      </c>
    </row>
    <row r="1914" customFormat="false" ht="15" hidden="false" customHeight="false" outlineLevel="0" collapsed="false">
      <c r="A1914" s="19"/>
      <c r="B1914" s="19"/>
      <c r="C1914" s="19"/>
      <c r="D1914" s="19"/>
      <c r="E1914" s="32"/>
      <c r="F1914" s="19"/>
      <c r="G1914" s="26" t="str">
        <f aca="false">IF(A1914="","",COUNTIF(Pubs!$B$2:$B$3001,A1914))</f>
        <v/>
      </c>
      <c r="H1914" s="26" t="str">
        <f aca="false">IF(A1914="","",COUNTIF(Apparitions!$H$2:$H$5001,A1914))</f>
        <v/>
      </c>
      <c r="I1914" s="26" t="str">
        <f aca="false">IF(A1914="","",COUNTIFS(Apparitions!$H$2:$H$5001,A1914,Apparitions!$E$2:$E$5001,"○"))</f>
        <v/>
      </c>
      <c r="J1914" s="29" t="str">
        <f aca="false">IF(A1914="","",IFERROR(1/(1/_xlfn.MINIFS(Apparitions!$L$2:$L$5001,Apparitions!$H$2:$H$5001,A1914)),""))</f>
        <v/>
      </c>
    </row>
    <row r="1915" customFormat="false" ht="15" hidden="false" customHeight="false" outlineLevel="0" collapsed="false">
      <c r="A1915" s="19"/>
      <c r="B1915" s="19"/>
      <c r="C1915" s="19"/>
      <c r="D1915" s="19"/>
      <c r="E1915" s="32"/>
      <c r="F1915" s="19"/>
      <c r="G1915" s="26" t="str">
        <f aca="false">IF(A1915="","",COUNTIF(Pubs!$B$2:$B$3001,A1915))</f>
        <v/>
      </c>
      <c r="H1915" s="26" t="str">
        <f aca="false">IF(A1915="","",COUNTIF(Apparitions!$H$2:$H$5001,A1915))</f>
        <v/>
      </c>
      <c r="I1915" s="26" t="str">
        <f aca="false">IF(A1915="","",COUNTIFS(Apparitions!$H$2:$H$5001,A1915,Apparitions!$E$2:$E$5001,"○"))</f>
        <v/>
      </c>
      <c r="J1915" s="29" t="str">
        <f aca="false">IF(A1915="","",IFERROR(1/(1/_xlfn.MINIFS(Apparitions!$L$2:$L$5001,Apparitions!$H$2:$H$5001,A1915)),""))</f>
        <v/>
      </c>
    </row>
    <row r="1916" customFormat="false" ht="15" hidden="false" customHeight="false" outlineLevel="0" collapsed="false">
      <c r="A1916" s="19"/>
      <c r="B1916" s="19"/>
      <c r="C1916" s="19"/>
      <c r="D1916" s="19"/>
      <c r="E1916" s="32"/>
      <c r="F1916" s="19"/>
      <c r="G1916" s="26" t="str">
        <f aca="false">IF(A1916="","",COUNTIF(Pubs!$B$2:$B$3001,A1916))</f>
        <v/>
      </c>
      <c r="H1916" s="26" t="str">
        <f aca="false">IF(A1916="","",COUNTIF(Apparitions!$H$2:$H$5001,A1916))</f>
        <v/>
      </c>
      <c r="I1916" s="26" t="str">
        <f aca="false">IF(A1916="","",COUNTIFS(Apparitions!$H$2:$H$5001,A1916,Apparitions!$E$2:$E$5001,"○"))</f>
        <v/>
      </c>
      <c r="J1916" s="29" t="str">
        <f aca="false">IF(A1916="","",IFERROR(1/(1/_xlfn.MINIFS(Apparitions!$L$2:$L$5001,Apparitions!$H$2:$H$5001,A1916)),""))</f>
        <v/>
      </c>
    </row>
    <row r="1917" customFormat="false" ht="15" hidden="false" customHeight="false" outlineLevel="0" collapsed="false">
      <c r="A1917" s="19"/>
      <c r="B1917" s="19"/>
      <c r="C1917" s="19"/>
      <c r="D1917" s="19"/>
      <c r="E1917" s="32"/>
      <c r="F1917" s="19"/>
      <c r="G1917" s="26" t="str">
        <f aca="false">IF(A1917="","",COUNTIF(Pubs!$B$2:$B$3001,A1917))</f>
        <v/>
      </c>
      <c r="H1917" s="26" t="str">
        <f aca="false">IF(A1917="","",COUNTIF(Apparitions!$H$2:$H$5001,A1917))</f>
        <v/>
      </c>
      <c r="I1917" s="26" t="str">
        <f aca="false">IF(A1917="","",COUNTIFS(Apparitions!$H$2:$H$5001,A1917,Apparitions!$E$2:$E$5001,"○"))</f>
        <v/>
      </c>
      <c r="J1917" s="29" t="str">
        <f aca="false">IF(A1917="","",IFERROR(1/(1/_xlfn.MINIFS(Apparitions!$L$2:$L$5001,Apparitions!$H$2:$H$5001,A1917)),""))</f>
        <v/>
      </c>
    </row>
    <row r="1918" customFormat="false" ht="15" hidden="false" customHeight="false" outlineLevel="0" collapsed="false">
      <c r="A1918" s="19"/>
      <c r="B1918" s="19"/>
      <c r="C1918" s="19"/>
      <c r="D1918" s="19"/>
      <c r="E1918" s="32"/>
      <c r="F1918" s="19"/>
      <c r="G1918" s="26" t="str">
        <f aca="false">IF(A1918="","",COUNTIF(Pubs!$B$2:$B$3001,A1918))</f>
        <v/>
      </c>
      <c r="H1918" s="26" t="str">
        <f aca="false">IF(A1918="","",COUNTIF(Apparitions!$H$2:$H$5001,A1918))</f>
        <v/>
      </c>
      <c r="I1918" s="26" t="str">
        <f aca="false">IF(A1918="","",COUNTIFS(Apparitions!$H$2:$H$5001,A1918,Apparitions!$E$2:$E$5001,"○"))</f>
        <v/>
      </c>
      <c r="J1918" s="29" t="str">
        <f aca="false">IF(A1918="","",IFERROR(1/(1/_xlfn.MINIFS(Apparitions!$L$2:$L$5001,Apparitions!$H$2:$H$5001,A1918)),""))</f>
        <v/>
      </c>
    </row>
    <row r="1919" customFormat="false" ht="15" hidden="false" customHeight="false" outlineLevel="0" collapsed="false">
      <c r="A1919" s="19"/>
      <c r="B1919" s="19"/>
      <c r="C1919" s="19"/>
      <c r="D1919" s="19"/>
      <c r="E1919" s="32"/>
      <c r="F1919" s="19"/>
      <c r="G1919" s="26" t="str">
        <f aca="false">IF(A1919="","",COUNTIF(Pubs!$B$2:$B$3001,A1919))</f>
        <v/>
      </c>
      <c r="H1919" s="26" t="str">
        <f aca="false">IF(A1919="","",COUNTIF(Apparitions!$H$2:$H$5001,A1919))</f>
        <v/>
      </c>
      <c r="I1919" s="26" t="str">
        <f aca="false">IF(A1919="","",COUNTIFS(Apparitions!$H$2:$H$5001,A1919,Apparitions!$E$2:$E$5001,"○"))</f>
        <v/>
      </c>
      <c r="J1919" s="29" t="str">
        <f aca="false">IF(A1919="","",IFERROR(1/(1/_xlfn.MINIFS(Apparitions!$L$2:$L$5001,Apparitions!$H$2:$H$5001,A1919)),""))</f>
        <v/>
      </c>
    </row>
    <row r="1920" customFormat="false" ht="15" hidden="false" customHeight="false" outlineLevel="0" collapsed="false">
      <c r="A1920" s="19"/>
      <c r="B1920" s="19"/>
      <c r="C1920" s="19"/>
      <c r="D1920" s="19"/>
      <c r="E1920" s="32"/>
      <c r="F1920" s="19"/>
      <c r="G1920" s="26" t="str">
        <f aca="false">IF(A1920="","",COUNTIF(Pubs!$B$2:$B$3001,A1920))</f>
        <v/>
      </c>
      <c r="H1920" s="26" t="str">
        <f aca="false">IF(A1920="","",COUNTIF(Apparitions!$H$2:$H$5001,A1920))</f>
        <v/>
      </c>
      <c r="I1920" s="26" t="str">
        <f aca="false">IF(A1920="","",COUNTIFS(Apparitions!$H$2:$H$5001,A1920,Apparitions!$E$2:$E$5001,"○"))</f>
        <v/>
      </c>
      <c r="J1920" s="29" t="str">
        <f aca="false">IF(A1920="","",IFERROR(1/(1/_xlfn.MINIFS(Apparitions!$L$2:$L$5001,Apparitions!$H$2:$H$5001,A1920)),""))</f>
        <v/>
      </c>
    </row>
    <row r="1921" customFormat="false" ht="15" hidden="false" customHeight="false" outlineLevel="0" collapsed="false">
      <c r="A1921" s="19"/>
      <c r="B1921" s="19"/>
      <c r="C1921" s="19"/>
      <c r="D1921" s="19"/>
      <c r="E1921" s="32"/>
      <c r="F1921" s="19"/>
      <c r="G1921" s="26" t="str">
        <f aca="false">IF(A1921="","",COUNTIF(Pubs!$B$2:$B$3001,A1921))</f>
        <v/>
      </c>
      <c r="H1921" s="26" t="str">
        <f aca="false">IF(A1921="","",COUNTIF(Apparitions!$H$2:$H$5001,A1921))</f>
        <v/>
      </c>
      <c r="I1921" s="26" t="str">
        <f aca="false">IF(A1921="","",COUNTIFS(Apparitions!$H$2:$H$5001,A1921,Apparitions!$E$2:$E$5001,"○"))</f>
        <v/>
      </c>
      <c r="J1921" s="29" t="str">
        <f aca="false">IF(A1921="","",IFERROR(1/(1/_xlfn.MINIFS(Apparitions!$L$2:$L$5001,Apparitions!$H$2:$H$5001,A1921)),""))</f>
        <v/>
      </c>
    </row>
    <row r="1922" customFormat="false" ht="15" hidden="false" customHeight="false" outlineLevel="0" collapsed="false">
      <c r="A1922" s="19"/>
      <c r="B1922" s="19"/>
      <c r="C1922" s="19"/>
      <c r="D1922" s="19"/>
      <c r="E1922" s="32"/>
      <c r="F1922" s="19"/>
      <c r="G1922" s="26" t="str">
        <f aca="false">IF(A1922="","",COUNTIF(Pubs!$B$2:$B$3001,A1922))</f>
        <v/>
      </c>
      <c r="H1922" s="26" t="str">
        <f aca="false">IF(A1922="","",COUNTIF(Apparitions!$H$2:$H$5001,A1922))</f>
        <v/>
      </c>
      <c r="I1922" s="26" t="str">
        <f aca="false">IF(A1922="","",COUNTIFS(Apparitions!$H$2:$H$5001,A1922,Apparitions!$E$2:$E$5001,"○"))</f>
        <v/>
      </c>
      <c r="J1922" s="29" t="str">
        <f aca="false">IF(A1922="","",IFERROR(1/(1/_xlfn.MINIFS(Apparitions!$L$2:$L$5001,Apparitions!$H$2:$H$5001,A1922)),""))</f>
        <v/>
      </c>
    </row>
    <row r="1923" customFormat="false" ht="15" hidden="false" customHeight="false" outlineLevel="0" collapsed="false">
      <c r="A1923" s="19"/>
      <c r="B1923" s="19"/>
      <c r="C1923" s="19"/>
      <c r="D1923" s="19"/>
      <c r="E1923" s="32"/>
      <c r="F1923" s="19"/>
      <c r="G1923" s="26" t="str">
        <f aca="false">IF(A1923="","",COUNTIF(Pubs!$B$2:$B$3001,A1923))</f>
        <v/>
      </c>
      <c r="H1923" s="26" t="str">
        <f aca="false">IF(A1923="","",COUNTIF(Apparitions!$H$2:$H$5001,A1923))</f>
        <v/>
      </c>
      <c r="I1923" s="26" t="str">
        <f aca="false">IF(A1923="","",COUNTIFS(Apparitions!$H$2:$H$5001,A1923,Apparitions!$E$2:$E$5001,"○"))</f>
        <v/>
      </c>
      <c r="J1923" s="29" t="str">
        <f aca="false">IF(A1923="","",IFERROR(1/(1/_xlfn.MINIFS(Apparitions!$L$2:$L$5001,Apparitions!$H$2:$H$5001,A1923)),""))</f>
        <v/>
      </c>
    </row>
    <row r="1924" customFormat="false" ht="15" hidden="false" customHeight="false" outlineLevel="0" collapsed="false">
      <c r="A1924" s="19"/>
      <c r="B1924" s="19"/>
      <c r="C1924" s="19"/>
      <c r="D1924" s="19"/>
      <c r="E1924" s="32"/>
      <c r="F1924" s="19"/>
      <c r="G1924" s="26" t="str">
        <f aca="false">IF(A1924="","",COUNTIF(Pubs!$B$2:$B$3001,A1924))</f>
        <v/>
      </c>
      <c r="H1924" s="26" t="str">
        <f aca="false">IF(A1924="","",COUNTIF(Apparitions!$H$2:$H$5001,A1924))</f>
        <v/>
      </c>
      <c r="I1924" s="26" t="str">
        <f aca="false">IF(A1924="","",COUNTIFS(Apparitions!$H$2:$H$5001,A1924,Apparitions!$E$2:$E$5001,"○"))</f>
        <v/>
      </c>
      <c r="J1924" s="29" t="str">
        <f aca="false">IF(A1924="","",IFERROR(1/(1/_xlfn.MINIFS(Apparitions!$L$2:$L$5001,Apparitions!$H$2:$H$5001,A1924)),""))</f>
        <v/>
      </c>
    </row>
    <row r="1925" customFormat="false" ht="15" hidden="false" customHeight="false" outlineLevel="0" collapsed="false">
      <c r="A1925" s="19"/>
      <c r="B1925" s="19"/>
      <c r="C1925" s="19"/>
      <c r="D1925" s="19"/>
      <c r="E1925" s="32"/>
      <c r="F1925" s="19"/>
      <c r="G1925" s="26" t="str">
        <f aca="false">IF(A1925="","",COUNTIF(Pubs!$B$2:$B$3001,A1925))</f>
        <v/>
      </c>
      <c r="H1925" s="26" t="str">
        <f aca="false">IF(A1925="","",COUNTIF(Apparitions!$H$2:$H$5001,A1925))</f>
        <v/>
      </c>
      <c r="I1925" s="26" t="str">
        <f aca="false">IF(A1925="","",COUNTIFS(Apparitions!$H$2:$H$5001,A1925,Apparitions!$E$2:$E$5001,"○"))</f>
        <v/>
      </c>
      <c r="J1925" s="29" t="str">
        <f aca="false">IF(A1925="","",IFERROR(1/(1/_xlfn.MINIFS(Apparitions!$L$2:$L$5001,Apparitions!$H$2:$H$5001,A1925)),""))</f>
        <v/>
      </c>
    </row>
    <row r="1926" customFormat="false" ht="15" hidden="false" customHeight="false" outlineLevel="0" collapsed="false">
      <c r="A1926" s="19"/>
      <c r="B1926" s="19"/>
      <c r="C1926" s="19"/>
      <c r="D1926" s="19"/>
      <c r="E1926" s="32"/>
      <c r="F1926" s="19"/>
      <c r="G1926" s="26" t="str">
        <f aca="false">IF(A1926="","",COUNTIF(Pubs!$B$2:$B$3001,A1926))</f>
        <v/>
      </c>
      <c r="H1926" s="26" t="str">
        <f aca="false">IF(A1926="","",COUNTIF(Apparitions!$H$2:$H$5001,A1926))</f>
        <v/>
      </c>
      <c r="I1926" s="26" t="str">
        <f aca="false">IF(A1926="","",COUNTIFS(Apparitions!$H$2:$H$5001,A1926,Apparitions!$E$2:$E$5001,"○"))</f>
        <v/>
      </c>
      <c r="J1926" s="29" t="str">
        <f aca="false">IF(A1926="","",IFERROR(1/(1/_xlfn.MINIFS(Apparitions!$L$2:$L$5001,Apparitions!$H$2:$H$5001,A1926)),""))</f>
        <v/>
      </c>
    </row>
    <row r="1927" customFormat="false" ht="15" hidden="false" customHeight="false" outlineLevel="0" collapsed="false">
      <c r="A1927" s="19"/>
      <c r="B1927" s="19"/>
      <c r="C1927" s="19"/>
      <c r="D1927" s="19"/>
      <c r="E1927" s="32"/>
      <c r="F1927" s="19"/>
      <c r="G1927" s="26" t="str">
        <f aca="false">IF(A1927="","",COUNTIF(Pubs!$B$2:$B$3001,A1927))</f>
        <v/>
      </c>
      <c r="H1927" s="26" t="str">
        <f aca="false">IF(A1927="","",COUNTIF(Apparitions!$H$2:$H$5001,A1927))</f>
        <v/>
      </c>
      <c r="I1927" s="26" t="str">
        <f aca="false">IF(A1927="","",COUNTIFS(Apparitions!$H$2:$H$5001,A1927,Apparitions!$E$2:$E$5001,"○"))</f>
        <v/>
      </c>
      <c r="J1927" s="29" t="str">
        <f aca="false">IF(A1927="","",IFERROR(1/(1/_xlfn.MINIFS(Apparitions!$L$2:$L$5001,Apparitions!$H$2:$H$5001,A1927)),""))</f>
        <v/>
      </c>
    </row>
    <row r="1928" customFormat="false" ht="15" hidden="false" customHeight="false" outlineLevel="0" collapsed="false">
      <c r="A1928" s="19"/>
      <c r="B1928" s="19"/>
      <c r="C1928" s="19"/>
      <c r="D1928" s="19"/>
      <c r="E1928" s="32"/>
      <c r="F1928" s="19"/>
      <c r="G1928" s="26" t="str">
        <f aca="false">IF(A1928="","",COUNTIF(Pubs!$B$2:$B$3001,A1928))</f>
        <v/>
      </c>
      <c r="H1928" s="26" t="str">
        <f aca="false">IF(A1928="","",COUNTIF(Apparitions!$H$2:$H$5001,A1928))</f>
        <v/>
      </c>
      <c r="I1928" s="26" t="str">
        <f aca="false">IF(A1928="","",COUNTIFS(Apparitions!$H$2:$H$5001,A1928,Apparitions!$E$2:$E$5001,"○"))</f>
        <v/>
      </c>
      <c r="J1928" s="29" t="str">
        <f aca="false">IF(A1928="","",IFERROR(1/(1/_xlfn.MINIFS(Apparitions!$L$2:$L$5001,Apparitions!$H$2:$H$5001,A1928)),""))</f>
        <v/>
      </c>
    </row>
    <row r="1929" customFormat="false" ht="15" hidden="false" customHeight="false" outlineLevel="0" collapsed="false">
      <c r="A1929" s="19"/>
      <c r="B1929" s="19"/>
      <c r="C1929" s="19"/>
      <c r="D1929" s="19"/>
      <c r="E1929" s="32"/>
      <c r="F1929" s="19"/>
      <c r="G1929" s="26" t="str">
        <f aca="false">IF(A1929="","",COUNTIF(Pubs!$B$2:$B$3001,A1929))</f>
        <v/>
      </c>
      <c r="H1929" s="26" t="str">
        <f aca="false">IF(A1929="","",COUNTIF(Apparitions!$H$2:$H$5001,A1929))</f>
        <v/>
      </c>
      <c r="I1929" s="26" t="str">
        <f aca="false">IF(A1929="","",COUNTIFS(Apparitions!$H$2:$H$5001,A1929,Apparitions!$E$2:$E$5001,"○"))</f>
        <v/>
      </c>
      <c r="J1929" s="29" t="str">
        <f aca="false">IF(A1929="","",IFERROR(1/(1/_xlfn.MINIFS(Apparitions!$L$2:$L$5001,Apparitions!$H$2:$H$5001,A1929)),""))</f>
        <v/>
      </c>
    </row>
    <row r="1930" customFormat="false" ht="15" hidden="false" customHeight="false" outlineLevel="0" collapsed="false">
      <c r="A1930" s="19"/>
      <c r="B1930" s="19"/>
      <c r="C1930" s="19"/>
      <c r="D1930" s="19"/>
      <c r="E1930" s="32"/>
      <c r="F1930" s="19"/>
      <c r="G1930" s="26" t="str">
        <f aca="false">IF(A1930="","",COUNTIF(Pubs!$B$2:$B$3001,A1930))</f>
        <v/>
      </c>
      <c r="H1930" s="26" t="str">
        <f aca="false">IF(A1930="","",COUNTIF(Apparitions!$H$2:$H$5001,A1930))</f>
        <v/>
      </c>
      <c r="I1930" s="26" t="str">
        <f aca="false">IF(A1930="","",COUNTIFS(Apparitions!$H$2:$H$5001,A1930,Apparitions!$E$2:$E$5001,"○"))</f>
        <v/>
      </c>
      <c r="J1930" s="29" t="str">
        <f aca="false">IF(A1930="","",IFERROR(1/(1/_xlfn.MINIFS(Apparitions!$L$2:$L$5001,Apparitions!$H$2:$H$5001,A1930)),""))</f>
        <v/>
      </c>
    </row>
    <row r="1931" customFormat="false" ht="15" hidden="false" customHeight="false" outlineLevel="0" collapsed="false">
      <c r="A1931" s="19"/>
      <c r="B1931" s="19"/>
      <c r="C1931" s="19"/>
      <c r="D1931" s="19"/>
      <c r="E1931" s="32"/>
      <c r="F1931" s="19"/>
      <c r="G1931" s="26" t="str">
        <f aca="false">IF(A1931="","",COUNTIF(Pubs!$B$2:$B$3001,A1931))</f>
        <v/>
      </c>
      <c r="H1931" s="26" t="str">
        <f aca="false">IF(A1931="","",COUNTIF(Apparitions!$H$2:$H$5001,A1931))</f>
        <v/>
      </c>
      <c r="I1931" s="26" t="str">
        <f aca="false">IF(A1931="","",COUNTIFS(Apparitions!$H$2:$H$5001,A1931,Apparitions!$E$2:$E$5001,"○"))</f>
        <v/>
      </c>
      <c r="J1931" s="29" t="str">
        <f aca="false">IF(A1931="","",IFERROR(1/(1/_xlfn.MINIFS(Apparitions!$L$2:$L$5001,Apparitions!$H$2:$H$5001,A1931)),""))</f>
        <v/>
      </c>
    </row>
    <row r="1932" customFormat="false" ht="15" hidden="false" customHeight="false" outlineLevel="0" collapsed="false">
      <c r="A1932" s="19"/>
      <c r="B1932" s="19"/>
      <c r="C1932" s="19"/>
      <c r="D1932" s="19"/>
      <c r="E1932" s="32"/>
      <c r="F1932" s="19"/>
      <c r="G1932" s="26" t="str">
        <f aca="false">IF(A1932="","",COUNTIF(Pubs!$B$2:$B$3001,A1932))</f>
        <v/>
      </c>
      <c r="H1932" s="26" t="str">
        <f aca="false">IF(A1932="","",COUNTIF(Apparitions!$H$2:$H$5001,A1932))</f>
        <v/>
      </c>
      <c r="I1932" s="26" t="str">
        <f aca="false">IF(A1932="","",COUNTIFS(Apparitions!$H$2:$H$5001,A1932,Apparitions!$E$2:$E$5001,"○"))</f>
        <v/>
      </c>
      <c r="J1932" s="29" t="str">
        <f aca="false">IF(A1932="","",IFERROR(1/(1/_xlfn.MINIFS(Apparitions!$L$2:$L$5001,Apparitions!$H$2:$H$5001,A1932)),""))</f>
        <v/>
      </c>
    </row>
    <row r="1933" customFormat="false" ht="15" hidden="false" customHeight="false" outlineLevel="0" collapsed="false">
      <c r="A1933" s="19"/>
      <c r="B1933" s="19"/>
      <c r="C1933" s="19"/>
      <c r="D1933" s="19"/>
      <c r="E1933" s="32"/>
      <c r="F1933" s="19"/>
      <c r="G1933" s="26" t="str">
        <f aca="false">IF(A1933="","",COUNTIF(Pubs!$B$2:$B$3001,A1933))</f>
        <v/>
      </c>
      <c r="H1933" s="26" t="str">
        <f aca="false">IF(A1933="","",COUNTIF(Apparitions!$H$2:$H$5001,A1933))</f>
        <v/>
      </c>
      <c r="I1933" s="26" t="str">
        <f aca="false">IF(A1933="","",COUNTIFS(Apparitions!$H$2:$H$5001,A1933,Apparitions!$E$2:$E$5001,"○"))</f>
        <v/>
      </c>
      <c r="J1933" s="29" t="str">
        <f aca="false">IF(A1933="","",IFERROR(1/(1/_xlfn.MINIFS(Apparitions!$L$2:$L$5001,Apparitions!$H$2:$H$5001,A1933)),""))</f>
        <v/>
      </c>
    </row>
    <row r="1934" customFormat="false" ht="15" hidden="false" customHeight="false" outlineLevel="0" collapsed="false">
      <c r="A1934" s="19"/>
      <c r="B1934" s="19"/>
      <c r="C1934" s="19"/>
      <c r="D1934" s="19"/>
      <c r="E1934" s="32"/>
      <c r="F1934" s="19"/>
      <c r="G1934" s="26" t="str">
        <f aca="false">IF(A1934="","",COUNTIF(Pubs!$B$2:$B$3001,A1934))</f>
        <v/>
      </c>
      <c r="H1934" s="26" t="str">
        <f aca="false">IF(A1934="","",COUNTIF(Apparitions!$H$2:$H$5001,A1934))</f>
        <v/>
      </c>
      <c r="I1934" s="26" t="str">
        <f aca="false">IF(A1934="","",COUNTIFS(Apparitions!$H$2:$H$5001,A1934,Apparitions!$E$2:$E$5001,"○"))</f>
        <v/>
      </c>
      <c r="J1934" s="29" t="str">
        <f aca="false">IF(A1934="","",IFERROR(1/(1/_xlfn.MINIFS(Apparitions!$L$2:$L$5001,Apparitions!$H$2:$H$5001,A1934)),""))</f>
        <v/>
      </c>
    </row>
    <row r="1935" customFormat="false" ht="15" hidden="false" customHeight="false" outlineLevel="0" collapsed="false">
      <c r="A1935" s="19"/>
      <c r="B1935" s="19"/>
      <c r="C1935" s="19"/>
      <c r="D1935" s="19"/>
      <c r="E1935" s="32"/>
      <c r="F1935" s="19"/>
      <c r="G1935" s="26" t="str">
        <f aca="false">IF(A1935="","",COUNTIF(Pubs!$B$2:$B$3001,A1935))</f>
        <v/>
      </c>
      <c r="H1935" s="26" t="str">
        <f aca="false">IF(A1935="","",COUNTIF(Apparitions!$H$2:$H$5001,A1935))</f>
        <v/>
      </c>
      <c r="I1935" s="26" t="str">
        <f aca="false">IF(A1935="","",COUNTIFS(Apparitions!$H$2:$H$5001,A1935,Apparitions!$E$2:$E$5001,"○"))</f>
        <v/>
      </c>
      <c r="J1935" s="29" t="str">
        <f aca="false">IF(A1935="","",IFERROR(1/(1/_xlfn.MINIFS(Apparitions!$L$2:$L$5001,Apparitions!$H$2:$H$5001,A1935)),""))</f>
        <v/>
      </c>
    </row>
    <row r="1936" customFormat="false" ht="15" hidden="false" customHeight="false" outlineLevel="0" collapsed="false">
      <c r="A1936" s="19"/>
      <c r="B1936" s="19"/>
      <c r="C1936" s="19"/>
      <c r="D1936" s="19"/>
      <c r="E1936" s="32"/>
      <c r="F1936" s="19"/>
      <c r="G1936" s="26" t="str">
        <f aca="false">IF(A1936="","",COUNTIF(Pubs!$B$2:$B$3001,A1936))</f>
        <v/>
      </c>
      <c r="H1936" s="26" t="str">
        <f aca="false">IF(A1936="","",COUNTIF(Apparitions!$H$2:$H$5001,A1936))</f>
        <v/>
      </c>
      <c r="I1936" s="26" t="str">
        <f aca="false">IF(A1936="","",COUNTIFS(Apparitions!$H$2:$H$5001,A1936,Apparitions!$E$2:$E$5001,"○"))</f>
        <v/>
      </c>
      <c r="J1936" s="29" t="str">
        <f aca="false">IF(A1936="","",IFERROR(1/(1/_xlfn.MINIFS(Apparitions!$L$2:$L$5001,Apparitions!$H$2:$H$5001,A1936)),""))</f>
        <v/>
      </c>
    </row>
    <row r="1937" customFormat="false" ht="15" hidden="false" customHeight="false" outlineLevel="0" collapsed="false">
      <c r="A1937" s="19"/>
      <c r="B1937" s="19"/>
      <c r="C1937" s="19"/>
      <c r="D1937" s="19"/>
      <c r="E1937" s="32"/>
      <c r="F1937" s="19"/>
      <c r="G1937" s="26" t="str">
        <f aca="false">IF(A1937="","",COUNTIF(Pubs!$B$2:$B$3001,A1937))</f>
        <v/>
      </c>
      <c r="H1937" s="26" t="str">
        <f aca="false">IF(A1937="","",COUNTIF(Apparitions!$H$2:$H$5001,A1937))</f>
        <v/>
      </c>
      <c r="I1937" s="26" t="str">
        <f aca="false">IF(A1937="","",COUNTIFS(Apparitions!$H$2:$H$5001,A1937,Apparitions!$E$2:$E$5001,"○"))</f>
        <v/>
      </c>
      <c r="J1937" s="29" t="str">
        <f aca="false">IF(A1937="","",IFERROR(1/(1/_xlfn.MINIFS(Apparitions!$L$2:$L$5001,Apparitions!$H$2:$H$5001,A1937)),""))</f>
        <v/>
      </c>
    </row>
    <row r="1938" customFormat="false" ht="15" hidden="false" customHeight="false" outlineLevel="0" collapsed="false">
      <c r="A1938" s="19"/>
      <c r="B1938" s="19"/>
      <c r="C1938" s="19"/>
      <c r="D1938" s="19"/>
      <c r="E1938" s="32"/>
      <c r="F1938" s="19"/>
      <c r="G1938" s="26" t="str">
        <f aca="false">IF(A1938="","",COUNTIF(Pubs!$B$2:$B$3001,A1938))</f>
        <v/>
      </c>
      <c r="H1938" s="26" t="str">
        <f aca="false">IF(A1938="","",COUNTIF(Apparitions!$H$2:$H$5001,A1938))</f>
        <v/>
      </c>
      <c r="I1938" s="26" t="str">
        <f aca="false">IF(A1938="","",COUNTIFS(Apparitions!$H$2:$H$5001,A1938,Apparitions!$E$2:$E$5001,"○"))</f>
        <v/>
      </c>
      <c r="J1938" s="29" t="str">
        <f aca="false">IF(A1938="","",IFERROR(1/(1/_xlfn.MINIFS(Apparitions!$L$2:$L$5001,Apparitions!$H$2:$H$5001,A1938)),""))</f>
        <v/>
      </c>
    </row>
    <row r="1939" customFormat="false" ht="15" hidden="false" customHeight="false" outlineLevel="0" collapsed="false">
      <c r="A1939" s="19"/>
      <c r="B1939" s="19"/>
      <c r="C1939" s="19"/>
      <c r="D1939" s="19"/>
      <c r="E1939" s="32"/>
      <c r="F1939" s="19"/>
      <c r="G1939" s="26" t="str">
        <f aca="false">IF(A1939="","",COUNTIF(Pubs!$B$2:$B$3001,A1939))</f>
        <v/>
      </c>
      <c r="H1939" s="26" t="str">
        <f aca="false">IF(A1939="","",COUNTIF(Apparitions!$H$2:$H$5001,A1939))</f>
        <v/>
      </c>
      <c r="I1939" s="26" t="str">
        <f aca="false">IF(A1939="","",COUNTIFS(Apparitions!$H$2:$H$5001,A1939,Apparitions!$E$2:$E$5001,"○"))</f>
        <v/>
      </c>
      <c r="J1939" s="29" t="str">
        <f aca="false">IF(A1939="","",IFERROR(1/(1/_xlfn.MINIFS(Apparitions!$L$2:$L$5001,Apparitions!$H$2:$H$5001,A1939)),""))</f>
        <v/>
      </c>
    </row>
    <row r="1940" customFormat="false" ht="15" hidden="false" customHeight="false" outlineLevel="0" collapsed="false">
      <c r="A1940" s="19"/>
      <c r="B1940" s="19"/>
      <c r="C1940" s="19"/>
      <c r="D1940" s="19"/>
      <c r="E1940" s="32"/>
      <c r="F1940" s="19"/>
      <c r="G1940" s="26" t="str">
        <f aca="false">IF(A1940="","",COUNTIF(Pubs!$B$2:$B$3001,A1940))</f>
        <v/>
      </c>
      <c r="H1940" s="26" t="str">
        <f aca="false">IF(A1940="","",COUNTIF(Apparitions!$H$2:$H$5001,A1940))</f>
        <v/>
      </c>
      <c r="I1940" s="26" t="str">
        <f aca="false">IF(A1940="","",COUNTIFS(Apparitions!$H$2:$H$5001,A1940,Apparitions!$E$2:$E$5001,"○"))</f>
        <v/>
      </c>
      <c r="J1940" s="29" t="str">
        <f aca="false">IF(A1940="","",IFERROR(1/(1/_xlfn.MINIFS(Apparitions!$L$2:$L$5001,Apparitions!$H$2:$H$5001,A1940)),""))</f>
        <v/>
      </c>
    </row>
    <row r="1941" customFormat="false" ht="15" hidden="false" customHeight="false" outlineLevel="0" collapsed="false">
      <c r="A1941" s="19"/>
      <c r="B1941" s="19"/>
      <c r="C1941" s="19"/>
      <c r="D1941" s="19"/>
      <c r="E1941" s="32"/>
      <c r="F1941" s="19"/>
      <c r="G1941" s="26" t="str">
        <f aca="false">IF(A1941="","",COUNTIF(Pubs!$B$2:$B$3001,A1941))</f>
        <v/>
      </c>
      <c r="H1941" s="26" t="str">
        <f aca="false">IF(A1941="","",COUNTIF(Apparitions!$H$2:$H$5001,A1941))</f>
        <v/>
      </c>
      <c r="I1941" s="26" t="str">
        <f aca="false">IF(A1941="","",COUNTIFS(Apparitions!$H$2:$H$5001,A1941,Apparitions!$E$2:$E$5001,"○"))</f>
        <v/>
      </c>
      <c r="J1941" s="29" t="str">
        <f aca="false">IF(A1941="","",IFERROR(1/(1/_xlfn.MINIFS(Apparitions!$L$2:$L$5001,Apparitions!$H$2:$H$5001,A1941)),""))</f>
        <v/>
      </c>
    </row>
    <row r="1942" customFormat="false" ht="15" hidden="false" customHeight="false" outlineLevel="0" collapsed="false">
      <c r="A1942" s="19"/>
      <c r="B1942" s="19"/>
      <c r="C1942" s="19"/>
      <c r="D1942" s="19"/>
      <c r="E1942" s="32"/>
      <c r="F1942" s="19"/>
      <c r="G1942" s="26" t="str">
        <f aca="false">IF(A1942="","",COUNTIF(Pubs!$B$2:$B$3001,A1942))</f>
        <v/>
      </c>
      <c r="H1942" s="26" t="str">
        <f aca="false">IF(A1942="","",COUNTIF(Apparitions!$H$2:$H$5001,A1942))</f>
        <v/>
      </c>
      <c r="I1942" s="26" t="str">
        <f aca="false">IF(A1942="","",COUNTIFS(Apparitions!$H$2:$H$5001,A1942,Apparitions!$E$2:$E$5001,"○"))</f>
        <v/>
      </c>
      <c r="J1942" s="29" t="str">
        <f aca="false">IF(A1942="","",IFERROR(1/(1/_xlfn.MINIFS(Apparitions!$L$2:$L$5001,Apparitions!$H$2:$H$5001,A1942)),""))</f>
        <v/>
      </c>
    </row>
    <row r="1943" customFormat="false" ht="15" hidden="false" customHeight="false" outlineLevel="0" collapsed="false">
      <c r="A1943" s="19"/>
      <c r="B1943" s="19"/>
      <c r="C1943" s="19"/>
      <c r="D1943" s="19"/>
      <c r="E1943" s="32"/>
      <c r="F1943" s="19"/>
      <c r="G1943" s="26" t="str">
        <f aca="false">IF(A1943="","",COUNTIF(Pubs!$B$2:$B$3001,A1943))</f>
        <v/>
      </c>
      <c r="H1943" s="26" t="str">
        <f aca="false">IF(A1943="","",COUNTIF(Apparitions!$H$2:$H$5001,A1943))</f>
        <v/>
      </c>
      <c r="I1943" s="26" t="str">
        <f aca="false">IF(A1943="","",COUNTIFS(Apparitions!$H$2:$H$5001,A1943,Apparitions!$E$2:$E$5001,"○"))</f>
        <v/>
      </c>
      <c r="J1943" s="29" t="str">
        <f aca="false">IF(A1943="","",IFERROR(1/(1/_xlfn.MINIFS(Apparitions!$L$2:$L$5001,Apparitions!$H$2:$H$5001,A1943)),""))</f>
        <v/>
      </c>
    </row>
    <row r="1944" customFormat="false" ht="15" hidden="false" customHeight="false" outlineLevel="0" collapsed="false">
      <c r="A1944" s="19"/>
      <c r="B1944" s="19"/>
      <c r="C1944" s="19"/>
      <c r="D1944" s="19"/>
      <c r="E1944" s="32"/>
      <c r="F1944" s="19"/>
      <c r="G1944" s="26" t="str">
        <f aca="false">IF(A1944="","",COUNTIF(Pubs!$B$2:$B$3001,A1944))</f>
        <v/>
      </c>
      <c r="H1944" s="26" t="str">
        <f aca="false">IF(A1944="","",COUNTIF(Apparitions!$H$2:$H$5001,A1944))</f>
        <v/>
      </c>
      <c r="I1944" s="26" t="str">
        <f aca="false">IF(A1944="","",COUNTIFS(Apparitions!$H$2:$H$5001,A1944,Apparitions!$E$2:$E$5001,"○"))</f>
        <v/>
      </c>
      <c r="J1944" s="29" t="str">
        <f aca="false">IF(A1944="","",IFERROR(1/(1/_xlfn.MINIFS(Apparitions!$L$2:$L$5001,Apparitions!$H$2:$H$5001,A1944)),""))</f>
        <v/>
      </c>
    </row>
    <row r="1945" customFormat="false" ht="15" hidden="false" customHeight="false" outlineLevel="0" collapsed="false">
      <c r="A1945" s="19"/>
      <c r="B1945" s="19"/>
      <c r="C1945" s="19"/>
      <c r="D1945" s="19"/>
      <c r="E1945" s="32"/>
      <c r="F1945" s="19"/>
      <c r="G1945" s="26" t="str">
        <f aca="false">IF(A1945="","",COUNTIF(Pubs!$B$2:$B$3001,A1945))</f>
        <v/>
      </c>
      <c r="H1945" s="26" t="str">
        <f aca="false">IF(A1945="","",COUNTIF(Apparitions!$H$2:$H$5001,A1945))</f>
        <v/>
      </c>
      <c r="I1945" s="26" t="str">
        <f aca="false">IF(A1945="","",COUNTIFS(Apparitions!$H$2:$H$5001,A1945,Apparitions!$E$2:$E$5001,"○"))</f>
        <v/>
      </c>
      <c r="J1945" s="29" t="str">
        <f aca="false">IF(A1945="","",IFERROR(1/(1/_xlfn.MINIFS(Apparitions!$L$2:$L$5001,Apparitions!$H$2:$H$5001,A1945)),""))</f>
        <v/>
      </c>
    </row>
    <row r="1946" customFormat="false" ht="15" hidden="false" customHeight="false" outlineLevel="0" collapsed="false">
      <c r="A1946" s="19"/>
      <c r="B1946" s="19"/>
      <c r="C1946" s="19"/>
      <c r="D1946" s="19"/>
      <c r="E1946" s="32"/>
      <c r="F1946" s="19"/>
      <c r="G1946" s="26" t="str">
        <f aca="false">IF(A1946="","",COUNTIF(Pubs!$B$2:$B$3001,A1946))</f>
        <v/>
      </c>
      <c r="H1946" s="26" t="str">
        <f aca="false">IF(A1946="","",COUNTIF(Apparitions!$H$2:$H$5001,A1946))</f>
        <v/>
      </c>
      <c r="I1946" s="26" t="str">
        <f aca="false">IF(A1946="","",COUNTIFS(Apparitions!$H$2:$H$5001,A1946,Apparitions!$E$2:$E$5001,"○"))</f>
        <v/>
      </c>
      <c r="J1946" s="29" t="str">
        <f aca="false">IF(A1946="","",IFERROR(1/(1/_xlfn.MINIFS(Apparitions!$L$2:$L$5001,Apparitions!$H$2:$H$5001,A1946)),""))</f>
        <v/>
      </c>
    </row>
    <row r="1947" customFormat="false" ht="15" hidden="false" customHeight="false" outlineLevel="0" collapsed="false">
      <c r="A1947" s="19"/>
      <c r="B1947" s="19"/>
      <c r="C1947" s="19"/>
      <c r="D1947" s="19"/>
      <c r="E1947" s="32"/>
      <c r="F1947" s="19"/>
      <c r="G1947" s="26" t="str">
        <f aca="false">IF(A1947="","",COUNTIF(Pubs!$B$2:$B$3001,A1947))</f>
        <v/>
      </c>
      <c r="H1947" s="26" t="str">
        <f aca="false">IF(A1947="","",COUNTIF(Apparitions!$H$2:$H$5001,A1947))</f>
        <v/>
      </c>
      <c r="I1947" s="26" t="str">
        <f aca="false">IF(A1947="","",COUNTIFS(Apparitions!$H$2:$H$5001,A1947,Apparitions!$E$2:$E$5001,"○"))</f>
        <v/>
      </c>
      <c r="J1947" s="29" t="str">
        <f aca="false">IF(A1947="","",IFERROR(1/(1/_xlfn.MINIFS(Apparitions!$L$2:$L$5001,Apparitions!$H$2:$H$5001,A1947)),""))</f>
        <v/>
      </c>
    </row>
    <row r="1948" customFormat="false" ht="15" hidden="false" customHeight="false" outlineLevel="0" collapsed="false">
      <c r="A1948" s="19"/>
      <c r="B1948" s="19"/>
      <c r="C1948" s="19"/>
      <c r="D1948" s="19"/>
      <c r="E1948" s="32"/>
      <c r="F1948" s="19"/>
      <c r="G1948" s="26" t="str">
        <f aca="false">IF(A1948="","",COUNTIF(Pubs!$B$2:$B$3001,A1948))</f>
        <v/>
      </c>
      <c r="H1948" s="26" t="str">
        <f aca="false">IF(A1948="","",COUNTIF(Apparitions!$H$2:$H$5001,A1948))</f>
        <v/>
      </c>
      <c r="I1948" s="26" t="str">
        <f aca="false">IF(A1948="","",COUNTIFS(Apparitions!$H$2:$H$5001,A1948,Apparitions!$E$2:$E$5001,"○"))</f>
        <v/>
      </c>
      <c r="J1948" s="29" t="str">
        <f aca="false">IF(A1948="","",IFERROR(1/(1/_xlfn.MINIFS(Apparitions!$L$2:$L$5001,Apparitions!$H$2:$H$5001,A1948)),""))</f>
        <v/>
      </c>
    </row>
    <row r="1949" customFormat="false" ht="15" hidden="false" customHeight="false" outlineLevel="0" collapsed="false">
      <c r="A1949" s="19"/>
      <c r="B1949" s="19"/>
      <c r="C1949" s="19"/>
      <c r="D1949" s="19"/>
      <c r="E1949" s="32"/>
      <c r="F1949" s="19"/>
      <c r="G1949" s="26" t="str">
        <f aca="false">IF(A1949="","",COUNTIF(Pubs!$B$2:$B$3001,A1949))</f>
        <v/>
      </c>
      <c r="H1949" s="26" t="str">
        <f aca="false">IF(A1949="","",COUNTIF(Apparitions!$H$2:$H$5001,A1949))</f>
        <v/>
      </c>
      <c r="I1949" s="26" t="str">
        <f aca="false">IF(A1949="","",COUNTIFS(Apparitions!$H$2:$H$5001,A1949,Apparitions!$E$2:$E$5001,"○"))</f>
        <v/>
      </c>
      <c r="J1949" s="29" t="str">
        <f aca="false">IF(A1949="","",IFERROR(1/(1/_xlfn.MINIFS(Apparitions!$L$2:$L$5001,Apparitions!$H$2:$H$5001,A1949)),""))</f>
        <v/>
      </c>
    </row>
    <row r="1950" customFormat="false" ht="15" hidden="false" customHeight="false" outlineLevel="0" collapsed="false">
      <c r="A1950" s="19"/>
      <c r="B1950" s="19"/>
      <c r="C1950" s="19"/>
      <c r="D1950" s="19"/>
      <c r="E1950" s="32"/>
      <c r="F1950" s="19"/>
      <c r="G1950" s="26" t="str">
        <f aca="false">IF(A1950="","",COUNTIF(Pubs!$B$2:$B$3001,A1950))</f>
        <v/>
      </c>
      <c r="H1950" s="26" t="str">
        <f aca="false">IF(A1950="","",COUNTIF(Apparitions!$H$2:$H$5001,A1950))</f>
        <v/>
      </c>
      <c r="I1950" s="26" t="str">
        <f aca="false">IF(A1950="","",COUNTIFS(Apparitions!$H$2:$H$5001,A1950,Apparitions!$E$2:$E$5001,"○"))</f>
        <v/>
      </c>
      <c r="J1950" s="29" t="str">
        <f aca="false">IF(A1950="","",IFERROR(1/(1/_xlfn.MINIFS(Apparitions!$L$2:$L$5001,Apparitions!$H$2:$H$5001,A1950)),""))</f>
        <v/>
      </c>
    </row>
    <row r="1951" customFormat="false" ht="15" hidden="false" customHeight="false" outlineLevel="0" collapsed="false">
      <c r="A1951" s="19"/>
      <c r="B1951" s="19"/>
      <c r="C1951" s="19"/>
      <c r="D1951" s="19"/>
      <c r="E1951" s="32"/>
      <c r="F1951" s="19"/>
      <c r="G1951" s="26" t="str">
        <f aca="false">IF(A1951="","",COUNTIF(Pubs!$B$2:$B$3001,A1951))</f>
        <v/>
      </c>
      <c r="H1951" s="26" t="str">
        <f aca="false">IF(A1951="","",COUNTIF(Apparitions!$H$2:$H$5001,A1951))</f>
        <v/>
      </c>
      <c r="I1951" s="26" t="str">
        <f aca="false">IF(A1951="","",COUNTIFS(Apparitions!$H$2:$H$5001,A1951,Apparitions!$E$2:$E$5001,"○"))</f>
        <v/>
      </c>
      <c r="J1951" s="29" t="str">
        <f aca="false">IF(A1951="","",IFERROR(1/(1/_xlfn.MINIFS(Apparitions!$L$2:$L$5001,Apparitions!$H$2:$H$5001,A1951)),""))</f>
        <v/>
      </c>
    </row>
    <row r="1952" customFormat="false" ht="15" hidden="false" customHeight="false" outlineLevel="0" collapsed="false">
      <c r="A1952" s="19"/>
      <c r="B1952" s="19"/>
      <c r="C1952" s="19"/>
      <c r="D1952" s="19"/>
      <c r="E1952" s="32"/>
      <c r="F1952" s="19"/>
      <c r="G1952" s="26" t="str">
        <f aca="false">IF(A1952="","",COUNTIF(Pubs!$B$2:$B$3001,A1952))</f>
        <v/>
      </c>
      <c r="H1952" s="26" t="str">
        <f aca="false">IF(A1952="","",COUNTIF(Apparitions!$H$2:$H$5001,A1952))</f>
        <v/>
      </c>
      <c r="I1952" s="26" t="str">
        <f aca="false">IF(A1952="","",COUNTIFS(Apparitions!$H$2:$H$5001,A1952,Apparitions!$E$2:$E$5001,"○"))</f>
        <v/>
      </c>
      <c r="J1952" s="29" t="str">
        <f aca="false">IF(A1952="","",IFERROR(1/(1/_xlfn.MINIFS(Apparitions!$L$2:$L$5001,Apparitions!$H$2:$H$5001,A1952)),""))</f>
        <v/>
      </c>
    </row>
    <row r="1953" customFormat="false" ht="15" hidden="false" customHeight="false" outlineLevel="0" collapsed="false">
      <c r="A1953" s="19"/>
      <c r="B1953" s="19"/>
      <c r="C1953" s="19"/>
      <c r="D1953" s="19"/>
      <c r="E1953" s="32"/>
      <c r="F1953" s="19"/>
      <c r="G1953" s="26" t="str">
        <f aca="false">IF(A1953="","",COUNTIF(Pubs!$B$2:$B$3001,A1953))</f>
        <v/>
      </c>
      <c r="H1953" s="26" t="str">
        <f aca="false">IF(A1953="","",COUNTIF(Apparitions!$H$2:$H$5001,A1953))</f>
        <v/>
      </c>
      <c r="I1953" s="26" t="str">
        <f aca="false">IF(A1953="","",COUNTIFS(Apparitions!$H$2:$H$5001,A1953,Apparitions!$E$2:$E$5001,"○"))</f>
        <v/>
      </c>
      <c r="J1953" s="29" t="str">
        <f aca="false">IF(A1953="","",IFERROR(1/(1/_xlfn.MINIFS(Apparitions!$L$2:$L$5001,Apparitions!$H$2:$H$5001,A1953)),""))</f>
        <v/>
      </c>
    </row>
    <row r="1954" customFormat="false" ht="15" hidden="false" customHeight="false" outlineLevel="0" collapsed="false">
      <c r="A1954" s="19"/>
      <c r="B1954" s="19"/>
      <c r="C1954" s="19"/>
      <c r="D1954" s="19"/>
      <c r="E1954" s="32"/>
      <c r="F1954" s="19"/>
      <c r="G1954" s="26" t="str">
        <f aca="false">IF(A1954="","",COUNTIF(Pubs!$B$2:$B$3001,A1954))</f>
        <v/>
      </c>
      <c r="H1954" s="26" t="str">
        <f aca="false">IF(A1954="","",COUNTIF(Apparitions!$H$2:$H$5001,A1954))</f>
        <v/>
      </c>
      <c r="I1954" s="26" t="str">
        <f aca="false">IF(A1954="","",COUNTIFS(Apparitions!$H$2:$H$5001,A1954,Apparitions!$E$2:$E$5001,"○"))</f>
        <v/>
      </c>
      <c r="J1954" s="29" t="str">
        <f aca="false">IF(A1954="","",IFERROR(1/(1/_xlfn.MINIFS(Apparitions!$L$2:$L$5001,Apparitions!$H$2:$H$5001,A1954)),""))</f>
        <v/>
      </c>
    </row>
    <row r="1955" customFormat="false" ht="15" hidden="false" customHeight="false" outlineLevel="0" collapsed="false">
      <c r="A1955" s="19"/>
      <c r="B1955" s="19"/>
      <c r="C1955" s="19"/>
      <c r="D1955" s="19"/>
      <c r="E1955" s="32"/>
      <c r="F1955" s="19"/>
      <c r="G1955" s="26" t="str">
        <f aca="false">IF(A1955="","",COUNTIF(Pubs!$B$2:$B$3001,A1955))</f>
        <v/>
      </c>
      <c r="H1955" s="26" t="str">
        <f aca="false">IF(A1955="","",COUNTIF(Apparitions!$H$2:$H$5001,A1955))</f>
        <v/>
      </c>
      <c r="I1955" s="26" t="str">
        <f aca="false">IF(A1955="","",COUNTIFS(Apparitions!$H$2:$H$5001,A1955,Apparitions!$E$2:$E$5001,"○"))</f>
        <v/>
      </c>
      <c r="J1955" s="29" t="str">
        <f aca="false">IF(A1955="","",IFERROR(1/(1/_xlfn.MINIFS(Apparitions!$L$2:$L$5001,Apparitions!$H$2:$H$5001,A1955)),""))</f>
        <v/>
      </c>
    </row>
    <row r="1956" customFormat="false" ht="15" hidden="false" customHeight="false" outlineLevel="0" collapsed="false">
      <c r="A1956" s="19"/>
      <c r="B1956" s="19"/>
      <c r="C1956" s="19"/>
      <c r="D1956" s="19"/>
      <c r="E1956" s="32"/>
      <c r="F1956" s="19"/>
      <c r="G1956" s="26" t="str">
        <f aca="false">IF(A1956="","",COUNTIF(Pubs!$B$2:$B$3001,A1956))</f>
        <v/>
      </c>
      <c r="H1956" s="26" t="str">
        <f aca="false">IF(A1956="","",COUNTIF(Apparitions!$H$2:$H$5001,A1956))</f>
        <v/>
      </c>
      <c r="I1956" s="26" t="str">
        <f aca="false">IF(A1956="","",COUNTIFS(Apparitions!$H$2:$H$5001,A1956,Apparitions!$E$2:$E$5001,"○"))</f>
        <v/>
      </c>
      <c r="J1956" s="29" t="str">
        <f aca="false">IF(A1956="","",IFERROR(1/(1/_xlfn.MINIFS(Apparitions!$L$2:$L$5001,Apparitions!$H$2:$H$5001,A1956)),""))</f>
        <v/>
      </c>
    </row>
    <row r="1957" customFormat="false" ht="15" hidden="false" customHeight="false" outlineLevel="0" collapsed="false">
      <c r="A1957" s="19"/>
      <c r="B1957" s="19"/>
      <c r="C1957" s="19"/>
      <c r="D1957" s="19"/>
      <c r="E1957" s="32"/>
      <c r="F1957" s="19"/>
      <c r="G1957" s="26" t="str">
        <f aca="false">IF(A1957="","",COUNTIF(Pubs!$B$2:$B$3001,A1957))</f>
        <v/>
      </c>
      <c r="H1957" s="26" t="str">
        <f aca="false">IF(A1957="","",COUNTIF(Apparitions!$H$2:$H$5001,A1957))</f>
        <v/>
      </c>
      <c r="I1957" s="26" t="str">
        <f aca="false">IF(A1957="","",COUNTIFS(Apparitions!$H$2:$H$5001,A1957,Apparitions!$E$2:$E$5001,"○"))</f>
        <v/>
      </c>
      <c r="J1957" s="29" t="str">
        <f aca="false">IF(A1957="","",IFERROR(1/(1/_xlfn.MINIFS(Apparitions!$L$2:$L$5001,Apparitions!$H$2:$H$5001,A1957)),""))</f>
        <v/>
      </c>
    </row>
    <row r="1958" customFormat="false" ht="15" hidden="false" customHeight="false" outlineLevel="0" collapsed="false">
      <c r="A1958" s="19"/>
      <c r="B1958" s="19"/>
      <c r="C1958" s="19"/>
      <c r="D1958" s="19"/>
      <c r="E1958" s="32"/>
      <c r="F1958" s="19"/>
      <c r="G1958" s="26" t="str">
        <f aca="false">IF(A1958="","",COUNTIF(Pubs!$B$2:$B$3001,A1958))</f>
        <v/>
      </c>
      <c r="H1958" s="26" t="str">
        <f aca="false">IF(A1958="","",COUNTIF(Apparitions!$H$2:$H$5001,A1958))</f>
        <v/>
      </c>
      <c r="I1958" s="26" t="str">
        <f aca="false">IF(A1958="","",COUNTIFS(Apparitions!$H$2:$H$5001,A1958,Apparitions!$E$2:$E$5001,"○"))</f>
        <v/>
      </c>
      <c r="J1958" s="29" t="str">
        <f aca="false">IF(A1958="","",IFERROR(1/(1/_xlfn.MINIFS(Apparitions!$L$2:$L$5001,Apparitions!$H$2:$H$5001,A1958)),""))</f>
        <v/>
      </c>
    </row>
    <row r="1959" customFormat="false" ht="15" hidden="false" customHeight="false" outlineLevel="0" collapsed="false">
      <c r="A1959" s="19"/>
      <c r="B1959" s="19"/>
      <c r="C1959" s="19"/>
      <c r="D1959" s="19"/>
      <c r="E1959" s="32"/>
      <c r="F1959" s="19"/>
      <c r="G1959" s="26" t="str">
        <f aca="false">IF(A1959="","",COUNTIF(Pubs!$B$2:$B$3001,A1959))</f>
        <v/>
      </c>
      <c r="H1959" s="26" t="str">
        <f aca="false">IF(A1959="","",COUNTIF(Apparitions!$H$2:$H$5001,A1959))</f>
        <v/>
      </c>
      <c r="I1959" s="26" t="str">
        <f aca="false">IF(A1959="","",COUNTIFS(Apparitions!$H$2:$H$5001,A1959,Apparitions!$E$2:$E$5001,"○"))</f>
        <v/>
      </c>
      <c r="J1959" s="29" t="str">
        <f aca="false">IF(A1959="","",IFERROR(1/(1/_xlfn.MINIFS(Apparitions!$L$2:$L$5001,Apparitions!$H$2:$H$5001,A1959)),""))</f>
        <v/>
      </c>
    </row>
    <row r="1960" customFormat="false" ht="15" hidden="false" customHeight="false" outlineLevel="0" collapsed="false">
      <c r="A1960" s="19"/>
      <c r="B1960" s="19"/>
      <c r="C1960" s="19"/>
      <c r="D1960" s="19"/>
      <c r="E1960" s="32"/>
      <c r="F1960" s="19"/>
      <c r="G1960" s="26" t="str">
        <f aca="false">IF(A1960="","",COUNTIF(Pubs!$B$2:$B$3001,A1960))</f>
        <v/>
      </c>
      <c r="H1960" s="26" t="str">
        <f aca="false">IF(A1960="","",COUNTIF(Apparitions!$H$2:$H$5001,A1960))</f>
        <v/>
      </c>
      <c r="I1960" s="26" t="str">
        <f aca="false">IF(A1960="","",COUNTIFS(Apparitions!$H$2:$H$5001,A1960,Apparitions!$E$2:$E$5001,"○"))</f>
        <v/>
      </c>
      <c r="J1960" s="29" t="str">
        <f aca="false">IF(A1960="","",IFERROR(1/(1/_xlfn.MINIFS(Apparitions!$L$2:$L$5001,Apparitions!$H$2:$H$5001,A1960)),""))</f>
        <v/>
      </c>
    </row>
    <row r="1961" customFormat="false" ht="15" hidden="false" customHeight="false" outlineLevel="0" collapsed="false">
      <c r="A1961" s="19"/>
      <c r="B1961" s="19"/>
      <c r="C1961" s="19"/>
      <c r="D1961" s="19"/>
      <c r="E1961" s="32"/>
      <c r="F1961" s="19"/>
      <c r="G1961" s="26" t="str">
        <f aca="false">IF(A1961="","",COUNTIF(Pubs!$B$2:$B$3001,A1961))</f>
        <v/>
      </c>
      <c r="H1961" s="26" t="str">
        <f aca="false">IF(A1961="","",COUNTIF(Apparitions!$H$2:$H$5001,A1961))</f>
        <v/>
      </c>
      <c r="I1961" s="26" t="str">
        <f aca="false">IF(A1961="","",COUNTIFS(Apparitions!$H$2:$H$5001,A1961,Apparitions!$E$2:$E$5001,"○"))</f>
        <v/>
      </c>
      <c r="J1961" s="29" t="str">
        <f aca="false">IF(A1961="","",IFERROR(1/(1/_xlfn.MINIFS(Apparitions!$L$2:$L$5001,Apparitions!$H$2:$H$5001,A1961)),""))</f>
        <v/>
      </c>
    </row>
    <row r="1962" customFormat="false" ht="15" hidden="false" customHeight="false" outlineLevel="0" collapsed="false">
      <c r="A1962" s="19"/>
      <c r="B1962" s="19"/>
      <c r="C1962" s="19"/>
      <c r="D1962" s="19"/>
      <c r="E1962" s="32"/>
      <c r="F1962" s="19"/>
      <c r="G1962" s="26" t="str">
        <f aca="false">IF(A1962="","",COUNTIF(Pubs!$B$2:$B$3001,A1962))</f>
        <v/>
      </c>
      <c r="H1962" s="26" t="str">
        <f aca="false">IF(A1962="","",COUNTIF(Apparitions!$H$2:$H$5001,A1962))</f>
        <v/>
      </c>
      <c r="I1962" s="26" t="str">
        <f aca="false">IF(A1962="","",COUNTIFS(Apparitions!$H$2:$H$5001,A1962,Apparitions!$E$2:$E$5001,"○"))</f>
        <v/>
      </c>
      <c r="J1962" s="29" t="str">
        <f aca="false">IF(A1962="","",IFERROR(1/(1/_xlfn.MINIFS(Apparitions!$L$2:$L$5001,Apparitions!$H$2:$H$5001,A1962)),""))</f>
        <v/>
      </c>
    </row>
    <row r="1963" customFormat="false" ht="15" hidden="false" customHeight="false" outlineLevel="0" collapsed="false">
      <c r="A1963" s="19"/>
      <c r="B1963" s="19"/>
      <c r="C1963" s="19"/>
      <c r="D1963" s="19"/>
      <c r="E1963" s="32"/>
      <c r="F1963" s="19"/>
      <c r="G1963" s="26" t="str">
        <f aca="false">IF(A1963="","",COUNTIF(Pubs!$B$2:$B$3001,A1963))</f>
        <v/>
      </c>
      <c r="H1963" s="26" t="str">
        <f aca="false">IF(A1963="","",COUNTIF(Apparitions!$H$2:$H$5001,A1963))</f>
        <v/>
      </c>
      <c r="I1963" s="26" t="str">
        <f aca="false">IF(A1963="","",COUNTIFS(Apparitions!$H$2:$H$5001,A1963,Apparitions!$E$2:$E$5001,"○"))</f>
        <v/>
      </c>
      <c r="J1963" s="29" t="str">
        <f aca="false">IF(A1963="","",IFERROR(1/(1/_xlfn.MINIFS(Apparitions!$L$2:$L$5001,Apparitions!$H$2:$H$5001,A1963)),""))</f>
        <v/>
      </c>
    </row>
    <row r="1964" customFormat="false" ht="15" hidden="false" customHeight="false" outlineLevel="0" collapsed="false">
      <c r="A1964" s="19"/>
      <c r="B1964" s="19"/>
      <c r="C1964" s="19"/>
      <c r="D1964" s="19"/>
      <c r="E1964" s="32"/>
      <c r="F1964" s="19"/>
      <c r="G1964" s="26" t="str">
        <f aca="false">IF(A1964="","",COUNTIF(Pubs!$B$2:$B$3001,A1964))</f>
        <v/>
      </c>
      <c r="H1964" s="26" t="str">
        <f aca="false">IF(A1964="","",COUNTIF(Apparitions!$H$2:$H$5001,A1964))</f>
        <v/>
      </c>
      <c r="I1964" s="26" t="str">
        <f aca="false">IF(A1964="","",COUNTIFS(Apparitions!$H$2:$H$5001,A1964,Apparitions!$E$2:$E$5001,"○"))</f>
        <v/>
      </c>
      <c r="J1964" s="29" t="str">
        <f aca="false">IF(A1964="","",IFERROR(1/(1/_xlfn.MINIFS(Apparitions!$L$2:$L$5001,Apparitions!$H$2:$H$5001,A1964)),""))</f>
        <v/>
      </c>
    </row>
    <row r="1965" customFormat="false" ht="15" hidden="false" customHeight="false" outlineLevel="0" collapsed="false">
      <c r="A1965" s="19"/>
      <c r="B1965" s="19"/>
      <c r="C1965" s="19"/>
      <c r="D1965" s="19"/>
      <c r="E1965" s="32"/>
      <c r="F1965" s="19"/>
      <c r="G1965" s="26" t="str">
        <f aca="false">IF(A1965="","",COUNTIF(Pubs!$B$2:$B$3001,A1965))</f>
        <v/>
      </c>
      <c r="H1965" s="26" t="str">
        <f aca="false">IF(A1965="","",COUNTIF(Apparitions!$H$2:$H$5001,A1965))</f>
        <v/>
      </c>
      <c r="I1965" s="26" t="str">
        <f aca="false">IF(A1965="","",COUNTIFS(Apparitions!$H$2:$H$5001,A1965,Apparitions!$E$2:$E$5001,"○"))</f>
        <v/>
      </c>
      <c r="J1965" s="29" t="str">
        <f aca="false">IF(A1965="","",IFERROR(1/(1/_xlfn.MINIFS(Apparitions!$L$2:$L$5001,Apparitions!$H$2:$H$5001,A1965)),""))</f>
        <v/>
      </c>
    </row>
    <row r="1966" customFormat="false" ht="15" hidden="false" customHeight="false" outlineLevel="0" collapsed="false">
      <c r="A1966" s="19"/>
      <c r="B1966" s="19"/>
      <c r="C1966" s="19"/>
      <c r="D1966" s="19"/>
      <c r="E1966" s="32"/>
      <c r="F1966" s="19"/>
      <c r="G1966" s="26" t="str">
        <f aca="false">IF(A1966="","",COUNTIF(Pubs!$B$2:$B$3001,A1966))</f>
        <v/>
      </c>
      <c r="H1966" s="26" t="str">
        <f aca="false">IF(A1966="","",COUNTIF(Apparitions!$H$2:$H$5001,A1966))</f>
        <v/>
      </c>
      <c r="I1966" s="26" t="str">
        <f aca="false">IF(A1966="","",COUNTIFS(Apparitions!$H$2:$H$5001,A1966,Apparitions!$E$2:$E$5001,"○"))</f>
        <v/>
      </c>
      <c r="J1966" s="29" t="str">
        <f aca="false">IF(A1966="","",IFERROR(1/(1/_xlfn.MINIFS(Apparitions!$L$2:$L$5001,Apparitions!$H$2:$H$5001,A1966)),""))</f>
        <v/>
      </c>
    </row>
    <row r="1967" customFormat="false" ht="15" hidden="false" customHeight="false" outlineLevel="0" collapsed="false">
      <c r="A1967" s="19"/>
      <c r="B1967" s="19"/>
      <c r="C1967" s="19"/>
      <c r="D1967" s="19"/>
      <c r="E1967" s="32"/>
      <c r="F1967" s="19"/>
      <c r="G1967" s="26" t="str">
        <f aca="false">IF(A1967="","",COUNTIF(Pubs!$B$2:$B$3001,A1967))</f>
        <v/>
      </c>
      <c r="H1967" s="26" t="str">
        <f aca="false">IF(A1967="","",COUNTIF(Apparitions!$H$2:$H$5001,A1967))</f>
        <v/>
      </c>
      <c r="I1967" s="26" t="str">
        <f aca="false">IF(A1967="","",COUNTIFS(Apparitions!$H$2:$H$5001,A1967,Apparitions!$E$2:$E$5001,"○"))</f>
        <v/>
      </c>
      <c r="J1967" s="29" t="str">
        <f aca="false">IF(A1967="","",IFERROR(1/(1/_xlfn.MINIFS(Apparitions!$L$2:$L$5001,Apparitions!$H$2:$H$5001,A1967)),""))</f>
        <v/>
      </c>
    </row>
    <row r="1968" customFormat="false" ht="15" hidden="false" customHeight="false" outlineLevel="0" collapsed="false">
      <c r="A1968" s="19"/>
      <c r="B1968" s="19"/>
      <c r="C1968" s="19"/>
      <c r="D1968" s="19"/>
      <c r="E1968" s="32"/>
      <c r="F1968" s="19"/>
      <c r="G1968" s="26" t="str">
        <f aca="false">IF(A1968="","",COUNTIF(Pubs!$B$2:$B$3001,A1968))</f>
        <v/>
      </c>
      <c r="H1968" s="26" t="str">
        <f aca="false">IF(A1968="","",COUNTIF(Apparitions!$H$2:$H$5001,A1968))</f>
        <v/>
      </c>
      <c r="I1968" s="26" t="str">
        <f aca="false">IF(A1968="","",COUNTIFS(Apparitions!$H$2:$H$5001,A1968,Apparitions!$E$2:$E$5001,"○"))</f>
        <v/>
      </c>
      <c r="J1968" s="29" t="str">
        <f aca="false">IF(A1968="","",IFERROR(1/(1/_xlfn.MINIFS(Apparitions!$L$2:$L$5001,Apparitions!$H$2:$H$5001,A1968)),""))</f>
        <v/>
      </c>
    </row>
    <row r="1969" customFormat="false" ht="15" hidden="false" customHeight="false" outlineLevel="0" collapsed="false">
      <c r="A1969" s="19"/>
      <c r="B1969" s="19"/>
      <c r="C1969" s="19"/>
      <c r="D1969" s="19"/>
      <c r="E1969" s="32"/>
      <c r="F1969" s="19"/>
      <c r="G1969" s="26" t="str">
        <f aca="false">IF(A1969="","",COUNTIF(Pubs!$B$2:$B$3001,A1969))</f>
        <v/>
      </c>
      <c r="H1969" s="26" t="str">
        <f aca="false">IF(A1969="","",COUNTIF(Apparitions!$H$2:$H$5001,A1969))</f>
        <v/>
      </c>
      <c r="I1969" s="26" t="str">
        <f aca="false">IF(A1969="","",COUNTIFS(Apparitions!$H$2:$H$5001,A1969,Apparitions!$E$2:$E$5001,"○"))</f>
        <v/>
      </c>
      <c r="J1969" s="29" t="str">
        <f aca="false">IF(A1969="","",IFERROR(1/(1/_xlfn.MINIFS(Apparitions!$L$2:$L$5001,Apparitions!$H$2:$H$5001,A1969)),""))</f>
        <v/>
      </c>
    </row>
    <row r="1970" customFormat="false" ht="15" hidden="false" customHeight="false" outlineLevel="0" collapsed="false">
      <c r="A1970" s="19"/>
      <c r="B1970" s="19"/>
      <c r="C1970" s="19"/>
      <c r="D1970" s="19"/>
      <c r="E1970" s="32"/>
      <c r="F1970" s="19"/>
      <c r="G1970" s="26" t="str">
        <f aca="false">IF(A1970="","",COUNTIF(Pubs!$B$2:$B$3001,A1970))</f>
        <v/>
      </c>
      <c r="H1970" s="26" t="str">
        <f aca="false">IF(A1970="","",COUNTIF(Apparitions!$H$2:$H$5001,A1970))</f>
        <v/>
      </c>
      <c r="I1970" s="26" t="str">
        <f aca="false">IF(A1970="","",COUNTIFS(Apparitions!$H$2:$H$5001,A1970,Apparitions!$E$2:$E$5001,"○"))</f>
        <v/>
      </c>
      <c r="J1970" s="29" t="str">
        <f aca="false">IF(A1970="","",IFERROR(1/(1/_xlfn.MINIFS(Apparitions!$L$2:$L$5001,Apparitions!$H$2:$H$5001,A1970)),""))</f>
        <v/>
      </c>
    </row>
    <row r="1971" customFormat="false" ht="15" hidden="false" customHeight="false" outlineLevel="0" collapsed="false">
      <c r="A1971" s="19"/>
      <c r="B1971" s="19"/>
      <c r="C1971" s="19"/>
      <c r="D1971" s="19"/>
      <c r="E1971" s="32"/>
      <c r="F1971" s="19"/>
      <c r="G1971" s="26" t="str">
        <f aca="false">IF(A1971="","",COUNTIF(Pubs!$B$2:$B$3001,A1971))</f>
        <v/>
      </c>
      <c r="H1971" s="26" t="str">
        <f aca="false">IF(A1971="","",COUNTIF(Apparitions!$H$2:$H$5001,A1971))</f>
        <v/>
      </c>
      <c r="I1971" s="26" t="str">
        <f aca="false">IF(A1971="","",COUNTIFS(Apparitions!$H$2:$H$5001,A1971,Apparitions!$E$2:$E$5001,"○"))</f>
        <v/>
      </c>
      <c r="J1971" s="29" t="str">
        <f aca="false">IF(A1971="","",IFERROR(1/(1/_xlfn.MINIFS(Apparitions!$L$2:$L$5001,Apparitions!$H$2:$H$5001,A1971)),""))</f>
        <v/>
      </c>
    </row>
    <row r="1972" customFormat="false" ht="15" hidden="false" customHeight="false" outlineLevel="0" collapsed="false">
      <c r="A1972" s="19"/>
      <c r="B1972" s="19"/>
      <c r="C1972" s="19"/>
      <c r="D1972" s="19"/>
      <c r="E1972" s="32"/>
      <c r="F1972" s="19"/>
      <c r="G1972" s="26" t="str">
        <f aca="false">IF(A1972="","",COUNTIF(Pubs!$B$2:$B$3001,A1972))</f>
        <v/>
      </c>
      <c r="H1972" s="26" t="str">
        <f aca="false">IF(A1972="","",COUNTIF(Apparitions!$H$2:$H$5001,A1972))</f>
        <v/>
      </c>
      <c r="I1972" s="26" t="str">
        <f aca="false">IF(A1972="","",COUNTIFS(Apparitions!$H$2:$H$5001,A1972,Apparitions!$E$2:$E$5001,"○"))</f>
        <v/>
      </c>
      <c r="J1972" s="29" t="str">
        <f aca="false">IF(A1972="","",IFERROR(1/(1/_xlfn.MINIFS(Apparitions!$L$2:$L$5001,Apparitions!$H$2:$H$5001,A1972)),""))</f>
        <v/>
      </c>
    </row>
    <row r="1973" customFormat="false" ht="15" hidden="false" customHeight="false" outlineLevel="0" collapsed="false">
      <c r="A1973" s="19"/>
      <c r="B1973" s="19"/>
      <c r="C1973" s="19"/>
      <c r="D1973" s="19"/>
      <c r="E1973" s="32"/>
      <c r="F1973" s="19"/>
      <c r="G1973" s="26" t="str">
        <f aca="false">IF(A1973="","",COUNTIF(Pubs!$B$2:$B$3001,A1973))</f>
        <v/>
      </c>
      <c r="H1973" s="26" t="str">
        <f aca="false">IF(A1973="","",COUNTIF(Apparitions!$H$2:$H$5001,A1973))</f>
        <v/>
      </c>
      <c r="I1973" s="26" t="str">
        <f aca="false">IF(A1973="","",COUNTIFS(Apparitions!$H$2:$H$5001,A1973,Apparitions!$E$2:$E$5001,"○"))</f>
        <v/>
      </c>
      <c r="J1973" s="29" t="str">
        <f aca="false">IF(A1973="","",IFERROR(1/(1/_xlfn.MINIFS(Apparitions!$L$2:$L$5001,Apparitions!$H$2:$H$5001,A1973)),""))</f>
        <v/>
      </c>
    </row>
    <row r="1974" customFormat="false" ht="15" hidden="false" customHeight="false" outlineLevel="0" collapsed="false">
      <c r="A1974" s="19"/>
      <c r="B1974" s="19"/>
      <c r="C1974" s="19"/>
      <c r="D1974" s="19"/>
      <c r="E1974" s="32"/>
      <c r="F1974" s="19"/>
      <c r="G1974" s="26" t="str">
        <f aca="false">IF(A1974="","",COUNTIF(Pubs!$B$2:$B$3001,A1974))</f>
        <v/>
      </c>
      <c r="H1974" s="26" t="str">
        <f aca="false">IF(A1974="","",COUNTIF(Apparitions!$H$2:$H$5001,A1974))</f>
        <v/>
      </c>
      <c r="I1974" s="26" t="str">
        <f aca="false">IF(A1974="","",COUNTIFS(Apparitions!$H$2:$H$5001,A1974,Apparitions!$E$2:$E$5001,"○"))</f>
        <v/>
      </c>
      <c r="J1974" s="29" t="str">
        <f aca="false">IF(A1974="","",IFERROR(1/(1/_xlfn.MINIFS(Apparitions!$L$2:$L$5001,Apparitions!$H$2:$H$5001,A1974)),""))</f>
        <v/>
      </c>
    </row>
    <row r="1975" customFormat="false" ht="15" hidden="false" customHeight="false" outlineLevel="0" collapsed="false">
      <c r="A1975" s="19"/>
      <c r="B1975" s="19"/>
      <c r="C1975" s="19"/>
      <c r="D1975" s="19"/>
      <c r="E1975" s="32"/>
      <c r="F1975" s="19"/>
      <c r="G1975" s="26" t="str">
        <f aca="false">IF(A1975="","",COUNTIF(Pubs!$B$2:$B$3001,A1975))</f>
        <v/>
      </c>
      <c r="H1975" s="26" t="str">
        <f aca="false">IF(A1975="","",COUNTIF(Apparitions!$H$2:$H$5001,A1975))</f>
        <v/>
      </c>
      <c r="I1975" s="26" t="str">
        <f aca="false">IF(A1975="","",COUNTIFS(Apparitions!$H$2:$H$5001,A1975,Apparitions!$E$2:$E$5001,"○"))</f>
        <v/>
      </c>
      <c r="J1975" s="29" t="str">
        <f aca="false">IF(A1975="","",IFERROR(1/(1/_xlfn.MINIFS(Apparitions!$L$2:$L$5001,Apparitions!$H$2:$H$5001,A1975)),""))</f>
        <v/>
      </c>
    </row>
    <row r="1976" customFormat="false" ht="15" hidden="false" customHeight="false" outlineLevel="0" collapsed="false">
      <c r="A1976" s="19"/>
      <c r="B1976" s="19"/>
      <c r="C1976" s="19"/>
      <c r="D1976" s="19"/>
      <c r="E1976" s="32"/>
      <c r="F1976" s="19"/>
      <c r="G1976" s="26" t="str">
        <f aca="false">IF(A1976="","",COUNTIF(Pubs!$B$2:$B$3001,A1976))</f>
        <v/>
      </c>
      <c r="H1976" s="26" t="str">
        <f aca="false">IF(A1976="","",COUNTIF(Apparitions!$H$2:$H$5001,A1976))</f>
        <v/>
      </c>
      <c r="I1976" s="26" t="str">
        <f aca="false">IF(A1976="","",COUNTIFS(Apparitions!$H$2:$H$5001,A1976,Apparitions!$E$2:$E$5001,"○"))</f>
        <v/>
      </c>
      <c r="J1976" s="29" t="str">
        <f aca="false">IF(A1976="","",IFERROR(1/(1/_xlfn.MINIFS(Apparitions!$L$2:$L$5001,Apparitions!$H$2:$H$5001,A1976)),""))</f>
        <v/>
      </c>
    </row>
    <row r="1977" customFormat="false" ht="15" hidden="false" customHeight="false" outlineLevel="0" collapsed="false">
      <c r="A1977" s="19"/>
      <c r="B1977" s="19"/>
      <c r="C1977" s="19"/>
      <c r="D1977" s="19"/>
      <c r="E1977" s="32"/>
      <c r="F1977" s="19"/>
      <c r="G1977" s="26" t="str">
        <f aca="false">IF(A1977="","",COUNTIF(Pubs!$B$2:$B$3001,A1977))</f>
        <v/>
      </c>
      <c r="H1977" s="26" t="str">
        <f aca="false">IF(A1977="","",COUNTIF(Apparitions!$H$2:$H$5001,A1977))</f>
        <v/>
      </c>
      <c r="I1977" s="26" t="str">
        <f aca="false">IF(A1977="","",COUNTIFS(Apparitions!$H$2:$H$5001,A1977,Apparitions!$E$2:$E$5001,"○"))</f>
        <v/>
      </c>
      <c r="J1977" s="29" t="str">
        <f aca="false">IF(A1977="","",IFERROR(1/(1/_xlfn.MINIFS(Apparitions!$L$2:$L$5001,Apparitions!$H$2:$H$5001,A1977)),""))</f>
        <v/>
      </c>
    </row>
    <row r="1978" customFormat="false" ht="15" hidden="false" customHeight="false" outlineLevel="0" collapsed="false">
      <c r="A1978" s="19"/>
      <c r="B1978" s="19"/>
      <c r="C1978" s="19"/>
      <c r="D1978" s="19"/>
      <c r="E1978" s="32"/>
      <c r="F1978" s="19"/>
      <c r="G1978" s="26" t="str">
        <f aca="false">IF(A1978="","",COUNTIF(Pubs!$B$2:$B$3001,A1978))</f>
        <v/>
      </c>
      <c r="H1978" s="26" t="str">
        <f aca="false">IF(A1978="","",COUNTIF(Apparitions!$H$2:$H$5001,A1978))</f>
        <v/>
      </c>
      <c r="I1978" s="26" t="str">
        <f aca="false">IF(A1978="","",COUNTIFS(Apparitions!$H$2:$H$5001,A1978,Apparitions!$E$2:$E$5001,"○"))</f>
        <v/>
      </c>
      <c r="J1978" s="29" t="str">
        <f aca="false">IF(A1978="","",IFERROR(1/(1/_xlfn.MINIFS(Apparitions!$L$2:$L$5001,Apparitions!$H$2:$H$5001,A1978)),""))</f>
        <v/>
      </c>
    </row>
    <row r="1979" customFormat="false" ht="15" hidden="false" customHeight="false" outlineLevel="0" collapsed="false">
      <c r="A1979" s="19"/>
      <c r="B1979" s="19"/>
      <c r="C1979" s="19"/>
      <c r="D1979" s="19"/>
      <c r="E1979" s="32"/>
      <c r="F1979" s="19"/>
      <c r="G1979" s="26" t="str">
        <f aca="false">IF(A1979="","",COUNTIF(Pubs!$B$2:$B$3001,A1979))</f>
        <v/>
      </c>
      <c r="H1979" s="26" t="str">
        <f aca="false">IF(A1979="","",COUNTIF(Apparitions!$H$2:$H$5001,A1979))</f>
        <v/>
      </c>
      <c r="I1979" s="26" t="str">
        <f aca="false">IF(A1979="","",COUNTIFS(Apparitions!$H$2:$H$5001,A1979,Apparitions!$E$2:$E$5001,"○"))</f>
        <v/>
      </c>
      <c r="J1979" s="29" t="str">
        <f aca="false">IF(A1979="","",IFERROR(1/(1/_xlfn.MINIFS(Apparitions!$L$2:$L$5001,Apparitions!$H$2:$H$5001,A1979)),""))</f>
        <v/>
      </c>
    </row>
    <row r="1980" customFormat="false" ht="15" hidden="false" customHeight="false" outlineLevel="0" collapsed="false">
      <c r="A1980" s="19"/>
      <c r="B1980" s="19"/>
      <c r="C1980" s="19"/>
      <c r="D1980" s="19"/>
      <c r="E1980" s="32"/>
      <c r="F1980" s="19"/>
      <c r="G1980" s="26" t="str">
        <f aca="false">IF(A1980="","",COUNTIF(Pubs!$B$2:$B$3001,A1980))</f>
        <v/>
      </c>
      <c r="H1980" s="26" t="str">
        <f aca="false">IF(A1980="","",COUNTIF(Apparitions!$H$2:$H$5001,A1980))</f>
        <v/>
      </c>
      <c r="I1980" s="26" t="str">
        <f aca="false">IF(A1980="","",COUNTIFS(Apparitions!$H$2:$H$5001,A1980,Apparitions!$E$2:$E$5001,"○"))</f>
        <v/>
      </c>
      <c r="J1980" s="29" t="str">
        <f aca="false">IF(A1980="","",IFERROR(1/(1/_xlfn.MINIFS(Apparitions!$L$2:$L$5001,Apparitions!$H$2:$H$5001,A1980)),""))</f>
        <v/>
      </c>
    </row>
    <row r="1981" customFormat="false" ht="15" hidden="false" customHeight="false" outlineLevel="0" collapsed="false">
      <c r="A1981" s="19"/>
      <c r="B1981" s="19"/>
      <c r="C1981" s="19"/>
      <c r="D1981" s="19"/>
      <c r="E1981" s="32"/>
      <c r="F1981" s="19"/>
      <c r="G1981" s="26" t="str">
        <f aca="false">IF(A1981="","",COUNTIF(Pubs!$B$2:$B$3001,A1981))</f>
        <v/>
      </c>
      <c r="H1981" s="26" t="str">
        <f aca="false">IF(A1981="","",COUNTIF(Apparitions!$H$2:$H$5001,A1981))</f>
        <v/>
      </c>
      <c r="I1981" s="26" t="str">
        <f aca="false">IF(A1981="","",COUNTIFS(Apparitions!$H$2:$H$5001,A1981,Apparitions!$E$2:$E$5001,"○"))</f>
        <v/>
      </c>
      <c r="J1981" s="29" t="str">
        <f aca="false">IF(A1981="","",IFERROR(1/(1/_xlfn.MINIFS(Apparitions!$L$2:$L$5001,Apparitions!$H$2:$H$5001,A1981)),""))</f>
        <v/>
      </c>
    </row>
    <row r="1982" customFormat="false" ht="15" hidden="false" customHeight="false" outlineLevel="0" collapsed="false">
      <c r="A1982" s="19"/>
      <c r="B1982" s="19"/>
      <c r="C1982" s="19"/>
      <c r="D1982" s="19"/>
      <c r="E1982" s="32"/>
      <c r="F1982" s="19"/>
      <c r="G1982" s="26" t="str">
        <f aca="false">IF(A1982="","",COUNTIF(Pubs!$B$2:$B$3001,A1982))</f>
        <v/>
      </c>
      <c r="H1982" s="26" t="str">
        <f aca="false">IF(A1982="","",COUNTIF(Apparitions!$H$2:$H$5001,A1982))</f>
        <v/>
      </c>
      <c r="I1982" s="26" t="str">
        <f aca="false">IF(A1982="","",COUNTIFS(Apparitions!$H$2:$H$5001,A1982,Apparitions!$E$2:$E$5001,"○"))</f>
        <v/>
      </c>
      <c r="J1982" s="29" t="str">
        <f aca="false">IF(A1982="","",IFERROR(1/(1/_xlfn.MINIFS(Apparitions!$L$2:$L$5001,Apparitions!$H$2:$H$5001,A1982)),""))</f>
        <v/>
      </c>
    </row>
    <row r="1983" customFormat="false" ht="15" hidden="false" customHeight="false" outlineLevel="0" collapsed="false">
      <c r="A1983" s="19"/>
      <c r="B1983" s="19"/>
      <c r="C1983" s="19"/>
      <c r="D1983" s="19"/>
      <c r="E1983" s="32"/>
      <c r="F1983" s="19"/>
      <c r="G1983" s="26" t="str">
        <f aca="false">IF(A1983="","",COUNTIF(Pubs!$B$2:$B$3001,A1983))</f>
        <v/>
      </c>
      <c r="H1983" s="26" t="str">
        <f aca="false">IF(A1983="","",COUNTIF(Apparitions!$H$2:$H$5001,A1983))</f>
        <v/>
      </c>
      <c r="I1983" s="26" t="str">
        <f aca="false">IF(A1983="","",COUNTIFS(Apparitions!$H$2:$H$5001,A1983,Apparitions!$E$2:$E$5001,"○"))</f>
        <v/>
      </c>
      <c r="J1983" s="29" t="str">
        <f aca="false">IF(A1983="","",IFERROR(1/(1/_xlfn.MINIFS(Apparitions!$L$2:$L$5001,Apparitions!$H$2:$H$5001,A1983)),""))</f>
        <v/>
      </c>
    </row>
    <row r="1984" customFormat="false" ht="15" hidden="false" customHeight="false" outlineLevel="0" collapsed="false">
      <c r="A1984" s="19"/>
      <c r="B1984" s="19"/>
      <c r="C1984" s="19"/>
      <c r="D1984" s="19"/>
      <c r="E1984" s="32"/>
      <c r="F1984" s="19"/>
      <c r="G1984" s="26" t="str">
        <f aca="false">IF(A1984="","",COUNTIF(Pubs!$B$2:$B$3001,A1984))</f>
        <v/>
      </c>
      <c r="H1984" s="26" t="str">
        <f aca="false">IF(A1984="","",COUNTIF(Apparitions!$H$2:$H$5001,A1984))</f>
        <v/>
      </c>
      <c r="I1984" s="26" t="str">
        <f aca="false">IF(A1984="","",COUNTIFS(Apparitions!$H$2:$H$5001,A1984,Apparitions!$E$2:$E$5001,"○"))</f>
        <v/>
      </c>
      <c r="J1984" s="29" t="str">
        <f aca="false">IF(A1984="","",IFERROR(1/(1/_xlfn.MINIFS(Apparitions!$L$2:$L$5001,Apparitions!$H$2:$H$5001,A1984)),""))</f>
        <v/>
      </c>
    </row>
    <row r="1985" customFormat="false" ht="15" hidden="false" customHeight="false" outlineLevel="0" collapsed="false">
      <c r="A1985" s="19"/>
      <c r="B1985" s="19"/>
      <c r="C1985" s="19"/>
      <c r="D1985" s="19"/>
      <c r="E1985" s="32"/>
      <c r="F1985" s="19"/>
      <c r="G1985" s="26" t="str">
        <f aca="false">IF(A1985="","",COUNTIF(Pubs!$B$2:$B$3001,A1985))</f>
        <v/>
      </c>
      <c r="H1985" s="26" t="str">
        <f aca="false">IF(A1985="","",COUNTIF(Apparitions!$H$2:$H$5001,A1985))</f>
        <v/>
      </c>
      <c r="I1985" s="26" t="str">
        <f aca="false">IF(A1985="","",COUNTIFS(Apparitions!$H$2:$H$5001,A1985,Apparitions!$E$2:$E$5001,"○"))</f>
        <v/>
      </c>
      <c r="J1985" s="29" t="str">
        <f aca="false">IF(A1985="","",IFERROR(1/(1/_xlfn.MINIFS(Apparitions!$L$2:$L$5001,Apparitions!$H$2:$H$5001,A1985)),""))</f>
        <v/>
      </c>
    </row>
    <row r="1986" customFormat="false" ht="15" hidden="false" customHeight="false" outlineLevel="0" collapsed="false">
      <c r="A1986" s="19"/>
      <c r="B1986" s="19"/>
      <c r="C1986" s="19"/>
      <c r="D1986" s="19"/>
      <c r="E1986" s="32"/>
      <c r="F1986" s="19"/>
      <c r="G1986" s="26" t="str">
        <f aca="false">IF(A1986="","",COUNTIF(Pubs!$B$2:$B$3001,A1986))</f>
        <v/>
      </c>
      <c r="H1986" s="26" t="str">
        <f aca="false">IF(A1986="","",COUNTIF(Apparitions!$H$2:$H$5001,A1986))</f>
        <v/>
      </c>
      <c r="I1986" s="26" t="str">
        <f aca="false">IF(A1986="","",COUNTIFS(Apparitions!$H$2:$H$5001,A1986,Apparitions!$E$2:$E$5001,"○"))</f>
        <v/>
      </c>
      <c r="J1986" s="29" t="str">
        <f aca="false">IF(A1986="","",IFERROR(1/(1/_xlfn.MINIFS(Apparitions!$L$2:$L$5001,Apparitions!$H$2:$H$5001,A1986)),""))</f>
        <v/>
      </c>
    </row>
    <row r="1987" customFormat="false" ht="15" hidden="false" customHeight="false" outlineLevel="0" collapsed="false">
      <c r="A1987" s="19"/>
      <c r="B1987" s="19"/>
      <c r="C1987" s="19"/>
      <c r="D1987" s="19"/>
      <c r="E1987" s="32"/>
      <c r="F1987" s="19"/>
      <c r="G1987" s="26" t="str">
        <f aca="false">IF(A1987="","",COUNTIF(Pubs!$B$2:$B$3001,A1987))</f>
        <v/>
      </c>
      <c r="H1987" s="26" t="str">
        <f aca="false">IF(A1987="","",COUNTIF(Apparitions!$H$2:$H$5001,A1987))</f>
        <v/>
      </c>
      <c r="I1987" s="26" t="str">
        <f aca="false">IF(A1987="","",COUNTIFS(Apparitions!$H$2:$H$5001,A1987,Apparitions!$E$2:$E$5001,"○"))</f>
        <v/>
      </c>
      <c r="J1987" s="29" t="str">
        <f aca="false">IF(A1987="","",IFERROR(1/(1/_xlfn.MINIFS(Apparitions!$L$2:$L$5001,Apparitions!$H$2:$H$5001,A1987)),""))</f>
        <v/>
      </c>
    </row>
    <row r="1988" customFormat="false" ht="15" hidden="false" customHeight="false" outlineLevel="0" collapsed="false">
      <c r="A1988" s="19"/>
      <c r="B1988" s="19"/>
      <c r="C1988" s="19"/>
      <c r="D1988" s="19"/>
      <c r="E1988" s="32"/>
      <c r="F1988" s="19"/>
      <c r="G1988" s="26" t="str">
        <f aca="false">IF(A1988="","",COUNTIF(Pubs!$B$2:$B$3001,A1988))</f>
        <v/>
      </c>
      <c r="H1988" s="26" t="str">
        <f aca="false">IF(A1988="","",COUNTIF(Apparitions!$H$2:$H$5001,A1988))</f>
        <v/>
      </c>
      <c r="I1988" s="26" t="str">
        <f aca="false">IF(A1988="","",COUNTIFS(Apparitions!$H$2:$H$5001,A1988,Apparitions!$E$2:$E$5001,"○"))</f>
        <v/>
      </c>
      <c r="J1988" s="29" t="str">
        <f aca="false">IF(A1988="","",IFERROR(1/(1/_xlfn.MINIFS(Apparitions!$L$2:$L$5001,Apparitions!$H$2:$H$5001,A1988)),""))</f>
        <v/>
      </c>
    </row>
    <row r="1989" customFormat="false" ht="15" hidden="false" customHeight="false" outlineLevel="0" collapsed="false">
      <c r="A1989" s="19"/>
      <c r="B1989" s="19"/>
      <c r="C1989" s="19"/>
      <c r="D1989" s="19"/>
      <c r="E1989" s="32"/>
      <c r="F1989" s="19"/>
      <c r="G1989" s="26" t="str">
        <f aca="false">IF(A1989="","",COUNTIF(Pubs!$B$2:$B$3001,A1989))</f>
        <v/>
      </c>
      <c r="H1989" s="26" t="str">
        <f aca="false">IF(A1989="","",COUNTIF(Apparitions!$H$2:$H$5001,A1989))</f>
        <v/>
      </c>
      <c r="I1989" s="26" t="str">
        <f aca="false">IF(A1989="","",COUNTIFS(Apparitions!$H$2:$H$5001,A1989,Apparitions!$E$2:$E$5001,"○"))</f>
        <v/>
      </c>
      <c r="J1989" s="29" t="str">
        <f aca="false">IF(A1989="","",IFERROR(1/(1/_xlfn.MINIFS(Apparitions!$L$2:$L$5001,Apparitions!$H$2:$H$5001,A1989)),""))</f>
        <v/>
      </c>
    </row>
    <row r="1990" customFormat="false" ht="15" hidden="false" customHeight="false" outlineLevel="0" collapsed="false">
      <c r="A1990" s="19"/>
      <c r="B1990" s="19"/>
      <c r="C1990" s="19"/>
      <c r="D1990" s="19"/>
      <c r="E1990" s="32"/>
      <c r="F1990" s="19"/>
      <c r="G1990" s="26" t="str">
        <f aca="false">IF(A1990="","",COUNTIF(Pubs!$B$2:$B$3001,A1990))</f>
        <v/>
      </c>
      <c r="H1990" s="26" t="str">
        <f aca="false">IF(A1990="","",COUNTIF(Apparitions!$H$2:$H$5001,A1990))</f>
        <v/>
      </c>
      <c r="I1990" s="26" t="str">
        <f aca="false">IF(A1990="","",COUNTIFS(Apparitions!$H$2:$H$5001,A1990,Apparitions!$E$2:$E$5001,"○"))</f>
        <v/>
      </c>
      <c r="J1990" s="29" t="str">
        <f aca="false">IF(A1990="","",IFERROR(1/(1/_xlfn.MINIFS(Apparitions!$L$2:$L$5001,Apparitions!$H$2:$H$5001,A1990)),""))</f>
        <v/>
      </c>
    </row>
    <row r="1991" customFormat="false" ht="15" hidden="false" customHeight="false" outlineLevel="0" collapsed="false">
      <c r="A1991" s="19"/>
      <c r="B1991" s="19"/>
      <c r="C1991" s="19"/>
      <c r="D1991" s="19"/>
      <c r="E1991" s="32"/>
      <c r="F1991" s="19"/>
      <c r="G1991" s="26" t="str">
        <f aca="false">IF(A1991="","",COUNTIF(Pubs!$B$2:$B$3001,A1991))</f>
        <v/>
      </c>
      <c r="H1991" s="26" t="str">
        <f aca="false">IF(A1991="","",COUNTIF(Apparitions!$H$2:$H$5001,A1991))</f>
        <v/>
      </c>
      <c r="I1991" s="26" t="str">
        <f aca="false">IF(A1991="","",COUNTIFS(Apparitions!$H$2:$H$5001,A1991,Apparitions!$E$2:$E$5001,"○"))</f>
        <v/>
      </c>
      <c r="J1991" s="29" t="str">
        <f aca="false">IF(A1991="","",IFERROR(1/(1/_xlfn.MINIFS(Apparitions!$L$2:$L$5001,Apparitions!$H$2:$H$5001,A1991)),""))</f>
        <v/>
      </c>
    </row>
    <row r="1992" customFormat="false" ht="15" hidden="false" customHeight="false" outlineLevel="0" collapsed="false">
      <c r="A1992" s="19"/>
      <c r="B1992" s="19"/>
      <c r="C1992" s="19"/>
      <c r="D1992" s="19"/>
      <c r="E1992" s="32"/>
      <c r="F1992" s="19"/>
      <c r="G1992" s="26" t="str">
        <f aca="false">IF(A1992="","",COUNTIF(Pubs!$B$2:$B$3001,A1992))</f>
        <v/>
      </c>
      <c r="H1992" s="26" t="str">
        <f aca="false">IF(A1992="","",COUNTIF(Apparitions!$H$2:$H$5001,A1992))</f>
        <v/>
      </c>
      <c r="I1992" s="26" t="str">
        <f aca="false">IF(A1992="","",COUNTIFS(Apparitions!$H$2:$H$5001,A1992,Apparitions!$E$2:$E$5001,"○"))</f>
        <v/>
      </c>
      <c r="J1992" s="29" t="str">
        <f aca="false">IF(A1992="","",IFERROR(1/(1/_xlfn.MINIFS(Apparitions!$L$2:$L$5001,Apparitions!$H$2:$H$5001,A1992)),""))</f>
        <v/>
      </c>
    </row>
    <row r="1993" customFormat="false" ht="15" hidden="false" customHeight="false" outlineLevel="0" collapsed="false">
      <c r="A1993" s="19"/>
      <c r="B1993" s="19"/>
      <c r="C1993" s="19"/>
      <c r="D1993" s="19"/>
      <c r="E1993" s="32"/>
      <c r="F1993" s="19"/>
      <c r="G1993" s="26" t="str">
        <f aca="false">IF(A1993="","",COUNTIF(Pubs!$B$2:$B$3001,A1993))</f>
        <v/>
      </c>
      <c r="H1993" s="26" t="str">
        <f aca="false">IF(A1993="","",COUNTIF(Apparitions!$H$2:$H$5001,A1993))</f>
        <v/>
      </c>
      <c r="I1993" s="26" t="str">
        <f aca="false">IF(A1993="","",COUNTIFS(Apparitions!$H$2:$H$5001,A1993,Apparitions!$E$2:$E$5001,"○"))</f>
        <v/>
      </c>
      <c r="J1993" s="29" t="str">
        <f aca="false">IF(A1993="","",IFERROR(1/(1/_xlfn.MINIFS(Apparitions!$L$2:$L$5001,Apparitions!$H$2:$H$5001,A1993)),""))</f>
        <v/>
      </c>
    </row>
    <row r="1994" customFormat="false" ht="15" hidden="false" customHeight="false" outlineLevel="0" collapsed="false">
      <c r="A1994" s="19"/>
      <c r="B1994" s="19"/>
      <c r="C1994" s="19"/>
      <c r="D1994" s="19"/>
      <c r="E1994" s="32"/>
      <c r="F1994" s="19"/>
      <c r="G1994" s="26" t="str">
        <f aca="false">IF(A1994="","",COUNTIF(Pubs!$B$2:$B$3001,A1994))</f>
        <v/>
      </c>
      <c r="H1994" s="26" t="str">
        <f aca="false">IF(A1994="","",COUNTIF(Apparitions!$H$2:$H$5001,A1994))</f>
        <v/>
      </c>
      <c r="I1994" s="26" t="str">
        <f aca="false">IF(A1994="","",COUNTIFS(Apparitions!$H$2:$H$5001,A1994,Apparitions!$E$2:$E$5001,"○"))</f>
        <v/>
      </c>
      <c r="J1994" s="29" t="str">
        <f aca="false">IF(A1994="","",IFERROR(1/(1/_xlfn.MINIFS(Apparitions!$L$2:$L$5001,Apparitions!$H$2:$H$5001,A1994)),""))</f>
        <v/>
      </c>
    </row>
    <row r="1995" customFormat="false" ht="15" hidden="false" customHeight="false" outlineLevel="0" collapsed="false">
      <c r="A1995" s="19"/>
      <c r="B1995" s="19"/>
      <c r="C1995" s="19"/>
      <c r="D1995" s="19"/>
      <c r="E1995" s="32"/>
      <c r="F1995" s="19"/>
      <c r="G1995" s="26" t="str">
        <f aca="false">IF(A1995="","",COUNTIF(Pubs!$B$2:$B$3001,A1995))</f>
        <v/>
      </c>
      <c r="H1995" s="26" t="str">
        <f aca="false">IF(A1995="","",COUNTIF(Apparitions!$H$2:$H$5001,A1995))</f>
        <v/>
      </c>
      <c r="I1995" s="26" t="str">
        <f aca="false">IF(A1995="","",COUNTIFS(Apparitions!$H$2:$H$5001,A1995,Apparitions!$E$2:$E$5001,"○"))</f>
        <v/>
      </c>
      <c r="J1995" s="29" t="str">
        <f aca="false">IF(A1995="","",IFERROR(1/(1/_xlfn.MINIFS(Apparitions!$L$2:$L$5001,Apparitions!$H$2:$H$5001,A1995)),""))</f>
        <v/>
      </c>
    </row>
    <row r="1996" customFormat="false" ht="15" hidden="false" customHeight="false" outlineLevel="0" collapsed="false">
      <c r="A1996" s="19"/>
      <c r="B1996" s="19"/>
      <c r="C1996" s="19"/>
      <c r="D1996" s="19"/>
      <c r="E1996" s="32"/>
      <c r="F1996" s="19"/>
      <c r="G1996" s="26" t="str">
        <f aca="false">IF(A1996="","",COUNTIF(Pubs!$B$2:$B$3001,A1996))</f>
        <v/>
      </c>
      <c r="H1996" s="26" t="str">
        <f aca="false">IF(A1996="","",COUNTIF(Apparitions!$H$2:$H$5001,A1996))</f>
        <v/>
      </c>
      <c r="I1996" s="26" t="str">
        <f aca="false">IF(A1996="","",COUNTIFS(Apparitions!$H$2:$H$5001,A1996,Apparitions!$E$2:$E$5001,"○"))</f>
        <v/>
      </c>
      <c r="J1996" s="29" t="str">
        <f aca="false">IF(A1996="","",IFERROR(1/(1/_xlfn.MINIFS(Apparitions!$L$2:$L$5001,Apparitions!$H$2:$H$5001,A1996)),""))</f>
        <v/>
      </c>
    </row>
    <row r="1997" customFormat="false" ht="15" hidden="false" customHeight="false" outlineLevel="0" collapsed="false">
      <c r="A1997" s="19"/>
      <c r="B1997" s="19"/>
      <c r="C1997" s="19"/>
      <c r="D1997" s="19"/>
      <c r="E1997" s="32"/>
      <c r="F1997" s="19"/>
      <c r="G1997" s="26" t="str">
        <f aca="false">IF(A1997="","",COUNTIF(Pubs!$B$2:$B$3001,A1997))</f>
        <v/>
      </c>
      <c r="H1997" s="26" t="str">
        <f aca="false">IF(A1997="","",COUNTIF(Apparitions!$H$2:$H$5001,A1997))</f>
        <v/>
      </c>
      <c r="I1997" s="26" t="str">
        <f aca="false">IF(A1997="","",COUNTIFS(Apparitions!$H$2:$H$5001,A1997,Apparitions!$E$2:$E$5001,"○"))</f>
        <v/>
      </c>
      <c r="J1997" s="29" t="str">
        <f aca="false">IF(A1997="","",IFERROR(1/(1/_xlfn.MINIFS(Apparitions!$L$2:$L$5001,Apparitions!$H$2:$H$5001,A1997)),""))</f>
        <v/>
      </c>
    </row>
    <row r="1998" customFormat="false" ht="15" hidden="false" customHeight="false" outlineLevel="0" collapsed="false">
      <c r="A1998" s="19"/>
      <c r="B1998" s="19"/>
      <c r="C1998" s="19"/>
      <c r="D1998" s="19"/>
      <c r="E1998" s="32"/>
      <c r="F1998" s="19"/>
      <c r="G1998" s="26" t="str">
        <f aca="false">IF(A1998="","",COUNTIF(Pubs!$B$2:$B$3001,A1998))</f>
        <v/>
      </c>
      <c r="H1998" s="26" t="str">
        <f aca="false">IF(A1998="","",COUNTIF(Apparitions!$H$2:$H$5001,A1998))</f>
        <v/>
      </c>
      <c r="I1998" s="26" t="str">
        <f aca="false">IF(A1998="","",COUNTIFS(Apparitions!$H$2:$H$5001,A1998,Apparitions!$E$2:$E$5001,"○"))</f>
        <v/>
      </c>
      <c r="J1998" s="29" t="str">
        <f aca="false">IF(A1998="","",IFERROR(1/(1/_xlfn.MINIFS(Apparitions!$L$2:$L$5001,Apparitions!$H$2:$H$5001,A1998)),""))</f>
        <v/>
      </c>
    </row>
    <row r="1999" customFormat="false" ht="15" hidden="false" customHeight="false" outlineLevel="0" collapsed="false">
      <c r="A1999" s="19"/>
      <c r="B1999" s="19"/>
      <c r="C1999" s="19"/>
      <c r="D1999" s="19"/>
      <c r="E1999" s="32"/>
      <c r="F1999" s="19"/>
      <c r="G1999" s="26" t="str">
        <f aca="false">IF(A1999="","",COUNTIF(Pubs!$B$2:$B$3001,A1999))</f>
        <v/>
      </c>
      <c r="H1999" s="26" t="str">
        <f aca="false">IF(A1999="","",COUNTIF(Apparitions!$H$2:$H$5001,A1999))</f>
        <v/>
      </c>
      <c r="I1999" s="26" t="str">
        <f aca="false">IF(A1999="","",COUNTIFS(Apparitions!$H$2:$H$5001,A1999,Apparitions!$E$2:$E$5001,"○"))</f>
        <v/>
      </c>
      <c r="J1999" s="29" t="str">
        <f aca="false">IF(A1999="","",IFERROR(1/(1/_xlfn.MINIFS(Apparitions!$L$2:$L$5001,Apparitions!$H$2:$H$5001,A1999)),""))</f>
        <v/>
      </c>
    </row>
    <row r="2000" customFormat="false" ht="15" hidden="false" customHeight="false" outlineLevel="0" collapsed="false">
      <c r="A2000" s="19"/>
      <c r="B2000" s="19"/>
      <c r="C2000" s="19"/>
      <c r="D2000" s="19"/>
      <c r="E2000" s="32"/>
      <c r="F2000" s="19"/>
      <c r="G2000" s="26" t="str">
        <f aca="false">IF(A2000="","",COUNTIF(Pubs!$B$2:$B$3001,A2000))</f>
        <v/>
      </c>
      <c r="H2000" s="26" t="str">
        <f aca="false">IF(A2000="","",COUNTIF(Apparitions!$H$2:$H$5001,A2000))</f>
        <v/>
      </c>
      <c r="I2000" s="26" t="str">
        <f aca="false">IF(A2000="","",COUNTIFS(Apparitions!$H$2:$H$5001,A2000,Apparitions!$E$2:$E$5001,"○"))</f>
        <v/>
      </c>
      <c r="J2000" s="29" t="str">
        <f aca="false">IF(A2000="","",IFERROR(1/(1/_xlfn.MINIFS(Apparitions!$L$2:$L$5001,Apparitions!$H$2:$H$5001,A2000)),""))</f>
        <v/>
      </c>
    </row>
    <row r="2001" customFormat="false" ht="15" hidden="false" customHeight="false" outlineLevel="0" collapsed="false">
      <c r="A2001" s="19"/>
      <c r="B2001" s="19"/>
      <c r="C2001" s="19"/>
      <c r="D2001" s="19"/>
      <c r="E2001" s="32"/>
      <c r="F2001" s="19"/>
      <c r="G2001" s="26" t="str">
        <f aca="false">IF(A2001="","",COUNTIF(Pubs!$B$2:$B$3001,A2001))</f>
        <v/>
      </c>
      <c r="H2001" s="26" t="str">
        <f aca="false">IF(A2001="","",COUNTIF(Apparitions!$H$2:$H$5001,A2001))</f>
        <v/>
      </c>
      <c r="I2001" s="26" t="str">
        <f aca="false">IF(A2001="","",COUNTIFS(Apparitions!$H$2:$H$5001,A2001,Apparitions!$E$2:$E$5001,"○"))</f>
        <v/>
      </c>
      <c r="J2001" s="29" t="str">
        <f aca="false">IF(A2001="","",IFERROR(1/(1/_xlfn.MINIFS(Apparitions!$L$2:$L$5001,Apparitions!$H$2:$H$5001,A2001)),""))</f>
        <v/>
      </c>
    </row>
    <row r="2002" customFormat="false" ht="15" hidden="false" customHeight="false" outlineLevel="0" collapsed="false">
      <c r="A2002" s="19"/>
      <c r="B2002" s="19"/>
      <c r="C2002" s="19"/>
      <c r="D2002" s="19"/>
      <c r="E2002" s="32"/>
      <c r="F2002" s="19"/>
      <c r="G2002" s="26" t="str">
        <f aca="false">IF(A2002="","",COUNTIF(Pubs!$B$2:$B$3001,A2002))</f>
        <v/>
      </c>
      <c r="H2002" s="26" t="str">
        <f aca="false">IF(A2002="","",COUNTIF(Apparitions!$H$2:$H$5001,A2002))</f>
        <v/>
      </c>
      <c r="I2002" s="26" t="str">
        <f aca="false">IF(A2002="","",COUNTIFS(Apparitions!$H$2:$H$5001,A2002,Apparitions!$E$2:$E$5001,"○"))</f>
        <v/>
      </c>
      <c r="J2002" s="29" t="str">
        <f aca="false">IF(A2002="","",IFERROR(1/(1/_xlfn.MINIFS(Apparitions!$L$2:$L$5001,Apparitions!$H$2:$H$5001,A2002)),""))</f>
        <v/>
      </c>
    </row>
    <row r="2003" customFormat="false" ht="15" hidden="false" customHeight="false" outlineLevel="0" collapsed="false">
      <c r="A2003" s="19"/>
      <c r="B2003" s="19"/>
      <c r="C2003" s="19"/>
      <c r="D2003" s="19"/>
      <c r="E2003" s="32"/>
      <c r="F2003" s="19"/>
      <c r="G2003" s="26" t="str">
        <f aca="false">IF(A2003="","",COUNTIF(Pubs!$B$2:$B$3001,A2003))</f>
        <v/>
      </c>
      <c r="H2003" s="26" t="str">
        <f aca="false">IF(A2003="","",COUNTIF(Apparitions!$H$2:$H$5001,A2003))</f>
        <v/>
      </c>
      <c r="I2003" s="26" t="str">
        <f aca="false">IF(A2003="","",COUNTIFS(Apparitions!$H$2:$H$5001,A2003,Apparitions!$E$2:$E$5001,"○"))</f>
        <v/>
      </c>
      <c r="J2003" s="29" t="str">
        <f aca="false">IF(A2003="","",IFERROR(1/(1/_xlfn.MINIFS(Apparitions!$L$2:$L$5001,Apparitions!$H$2:$H$5001,A2003)),""))</f>
        <v/>
      </c>
    </row>
    <row r="2004" customFormat="false" ht="15" hidden="false" customHeight="false" outlineLevel="0" collapsed="false">
      <c r="A2004" s="19"/>
      <c r="B2004" s="19"/>
      <c r="C2004" s="19"/>
      <c r="D2004" s="19"/>
      <c r="E2004" s="32"/>
      <c r="F2004" s="19"/>
      <c r="G2004" s="26" t="str">
        <f aca="false">IF(A2004="","",COUNTIF(Pubs!$B$2:$B$3001,A2004))</f>
        <v/>
      </c>
      <c r="H2004" s="26" t="str">
        <f aca="false">IF(A2004="","",COUNTIF(Apparitions!$H$2:$H$5001,A2004))</f>
        <v/>
      </c>
      <c r="I2004" s="26" t="str">
        <f aca="false">IF(A2004="","",COUNTIFS(Apparitions!$H$2:$H$5001,A2004,Apparitions!$E$2:$E$5001,"○"))</f>
        <v/>
      </c>
      <c r="J2004" s="29" t="str">
        <f aca="false">IF(A2004="","",IFERROR(1/(1/_xlfn.MINIFS(Apparitions!$L$2:$L$5001,Apparitions!$H$2:$H$5001,A2004)),""))</f>
        <v/>
      </c>
    </row>
    <row r="2005" customFormat="false" ht="15" hidden="false" customHeight="false" outlineLevel="0" collapsed="false">
      <c r="A2005" s="19"/>
      <c r="B2005" s="19"/>
      <c r="C2005" s="19"/>
      <c r="D2005" s="19"/>
      <c r="E2005" s="32"/>
      <c r="F2005" s="19"/>
      <c r="G2005" s="26" t="str">
        <f aca="false">IF(A2005="","",COUNTIF(Pubs!$B$2:$B$3001,A2005))</f>
        <v/>
      </c>
      <c r="H2005" s="26" t="str">
        <f aca="false">IF(A2005="","",COUNTIF(Apparitions!$H$2:$H$5001,A2005))</f>
        <v/>
      </c>
      <c r="I2005" s="26" t="str">
        <f aca="false">IF(A2005="","",COUNTIFS(Apparitions!$H$2:$H$5001,A2005,Apparitions!$E$2:$E$5001,"○"))</f>
        <v/>
      </c>
      <c r="J2005" s="29" t="str">
        <f aca="false">IF(A2005="","",IFERROR(1/(1/_xlfn.MINIFS(Apparitions!$L$2:$L$5001,Apparitions!$H$2:$H$5001,A2005)),""))</f>
        <v/>
      </c>
    </row>
    <row r="2006" customFormat="false" ht="15" hidden="false" customHeight="false" outlineLevel="0" collapsed="false">
      <c r="A2006" s="19"/>
      <c r="B2006" s="19"/>
      <c r="C2006" s="19"/>
      <c r="D2006" s="19"/>
      <c r="E2006" s="32"/>
      <c r="F2006" s="19"/>
      <c r="G2006" s="26" t="str">
        <f aca="false">IF(A2006="","",COUNTIF(Pubs!$B$2:$B$3001,A2006))</f>
        <v/>
      </c>
      <c r="H2006" s="26" t="str">
        <f aca="false">IF(A2006="","",COUNTIF(Apparitions!$H$2:$H$5001,A2006))</f>
        <v/>
      </c>
      <c r="I2006" s="26" t="str">
        <f aca="false">IF(A2006="","",COUNTIFS(Apparitions!$H$2:$H$5001,A2006,Apparitions!$E$2:$E$5001,"○"))</f>
        <v/>
      </c>
      <c r="J2006" s="29" t="str">
        <f aca="false">IF(A2006="","",IFERROR(1/(1/_xlfn.MINIFS(Apparitions!$L$2:$L$5001,Apparitions!$H$2:$H$5001,A2006)),""))</f>
        <v/>
      </c>
    </row>
    <row r="2007" customFormat="false" ht="15" hidden="false" customHeight="false" outlineLevel="0" collapsed="false">
      <c r="A2007" s="19"/>
      <c r="B2007" s="19"/>
      <c r="C2007" s="19"/>
      <c r="D2007" s="19"/>
      <c r="E2007" s="32"/>
      <c r="F2007" s="19"/>
      <c r="G2007" s="26" t="str">
        <f aca="false">IF(A2007="","",COUNTIF(Pubs!$B$2:$B$3001,A2007))</f>
        <v/>
      </c>
      <c r="H2007" s="26" t="str">
        <f aca="false">IF(A2007="","",COUNTIF(Apparitions!$H$2:$H$5001,A2007))</f>
        <v/>
      </c>
      <c r="I2007" s="26" t="str">
        <f aca="false">IF(A2007="","",COUNTIFS(Apparitions!$H$2:$H$5001,A2007,Apparitions!$E$2:$E$5001,"○"))</f>
        <v/>
      </c>
      <c r="J2007" s="29" t="str">
        <f aca="false">IF(A2007="","",IFERROR(1/(1/_xlfn.MINIFS(Apparitions!$L$2:$L$5001,Apparitions!$H$2:$H$5001,A2007)),""))</f>
        <v/>
      </c>
    </row>
    <row r="2008" customFormat="false" ht="15" hidden="false" customHeight="false" outlineLevel="0" collapsed="false">
      <c r="A2008" s="19"/>
      <c r="B2008" s="19"/>
      <c r="C2008" s="19"/>
      <c r="D2008" s="19"/>
      <c r="E2008" s="32"/>
      <c r="F2008" s="19"/>
      <c r="G2008" s="26" t="str">
        <f aca="false">IF(A2008="","",COUNTIF(Pubs!$B$2:$B$3001,A2008))</f>
        <v/>
      </c>
      <c r="H2008" s="26" t="str">
        <f aca="false">IF(A2008="","",COUNTIF(Apparitions!$H$2:$H$5001,A2008))</f>
        <v/>
      </c>
      <c r="I2008" s="26" t="str">
        <f aca="false">IF(A2008="","",COUNTIFS(Apparitions!$H$2:$H$5001,A2008,Apparitions!$E$2:$E$5001,"○"))</f>
        <v/>
      </c>
      <c r="J2008" s="29" t="str">
        <f aca="false">IF(A2008="","",IFERROR(1/(1/_xlfn.MINIFS(Apparitions!$L$2:$L$5001,Apparitions!$H$2:$H$5001,A2008)),""))</f>
        <v/>
      </c>
    </row>
    <row r="2009" customFormat="false" ht="15" hidden="false" customHeight="false" outlineLevel="0" collapsed="false">
      <c r="A2009" s="19"/>
      <c r="B2009" s="19"/>
      <c r="C2009" s="19"/>
      <c r="D2009" s="19"/>
      <c r="E2009" s="32"/>
      <c r="F2009" s="19"/>
      <c r="G2009" s="26" t="str">
        <f aca="false">IF(A2009="","",COUNTIF(Pubs!$B$2:$B$3001,A2009))</f>
        <v/>
      </c>
      <c r="H2009" s="26" t="str">
        <f aca="false">IF(A2009="","",COUNTIF(Apparitions!$H$2:$H$5001,A2009))</f>
        <v/>
      </c>
      <c r="I2009" s="26" t="str">
        <f aca="false">IF(A2009="","",COUNTIFS(Apparitions!$H$2:$H$5001,A2009,Apparitions!$E$2:$E$5001,"○"))</f>
        <v/>
      </c>
      <c r="J2009" s="29" t="str">
        <f aca="false">IF(A2009="","",IFERROR(1/(1/_xlfn.MINIFS(Apparitions!$L$2:$L$5001,Apparitions!$H$2:$H$5001,A2009)),""))</f>
        <v/>
      </c>
    </row>
    <row r="2010" customFormat="false" ht="15" hidden="false" customHeight="false" outlineLevel="0" collapsed="false">
      <c r="A2010" s="19"/>
      <c r="B2010" s="19"/>
      <c r="C2010" s="19"/>
      <c r="D2010" s="19"/>
      <c r="E2010" s="32"/>
      <c r="F2010" s="19"/>
      <c r="G2010" s="26" t="str">
        <f aca="false">IF(A2010="","",COUNTIF(Pubs!$B$2:$B$3001,A2010))</f>
        <v/>
      </c>
      <c r="H2010" s="26" t="str">
        <f aca="false">IF(A2010="","",COUNTIF(Apparitions!$H$2:$H$5001,A2010))</f>
        <v/>
      </c>
      <c r="I2010" s="26" t="str">
        <f aca="false">IF(A2010="","",COUNTIFS(Apparitions!$H$2:$H$5001,A2010,Apparitions!$E$2:$E$5001,"○"))</f>
        <v/>
      </c>
      <c r="J2010" s="29" t="str">
        <f aca="false">IF(A2010="","",IFERROR(1/(1/_xlfn.MINIFS(Apparitions!$L$2:$L$5001,Apparitions!$H$2:$H$5001,A2010)),""))</f>
        <v/>
      </c>
    </row>
    <row r="2011" customFormat="false" ht="15" hidden="false" customHeight="false" outlineLevel="0" collapsed="false">
      <c r="A2011" s="19"/>
      <c r="B2011" s="19"/>
      <c r="C2011" s="19"/>
      <c r="D2011" s="19"/>
      <c r="E2011" s="32"/>
      <c r="F2011" s="19"/>
      <c r="G2011" s="26" t="str">
        <f aca="false">IF(A2011="","",COUNTIF(Pubs!$B$2:$B$3001,A2011))</f>
        <v/>
      </c>
      <c r="H2011" s="26" t="str">
        <f aca="false">IF(A2011="","",COUNTIF(Apparitions!$H$2:$H$5001,A2011))</f>
        <v/>
      </c>
      <c r="I2011" s="26" t="str">
        <f aca="false">IF(A2011="","",COUNTIFS(Apparitions!$H$2:$H$5001,A2011,Apparitions!$E$2:$E$5001,"○"))</f>
        <v/>
      </c>
      <c r="J2011" s="29" t="str">
        <f aca="false">IF(A2011="","",IFERROR(1/(1/_xlfn.MINIFS(Apparitions!$L$2:$L$5001,Apparitions!$H$2:$H$5001,A2011)),""))</f>
        <v/>
      </c>
    </row>
    <row r="2012" customFormat="false" ht="15" hidden="false" customHeight="false" outlineLevel="0" collapsed="false">
      <c r="A2012" s="19"/>
      <c r="B2012" s="19"/>
      <c r="C2012" s="19"/>
      <c r="D2012" s="19"/>
      <c r="E2012" s="32"/>
      <c r="F2012" s="19"/>
      <c r="G2012" s="26" t="str">
        <f aca="false">IF(A2012="","",COUNTIF(Pubs!$B$2:$B$3001,A2012))</f>
        <v/>
      </c>
      <c r="H2012" s="26" t="str">
        <f aca="false">IF(A2012="","",COUNTIF(Apparitions!$H$2:$H$5001,A2012))</f>
        <v/>
      </c>
      <c r="I2012" s="26" t="str">
        <f aca="false">IF(A2012="","",COUNTIFS(Apparitions!$H$2:$H$5001,A2012,Apparitions!$E$2:$E$5001,"○"))</f>
        <v/>
      </c>
      <c r="J2012" s="29" t="str">
        <f aca="false">IF(A2012="","",IFERROR(1/(1/_xlfn.MINIFS(Apparitions!$L$2:$L$5001,Apparitions!$H$2:$H$5001,A2012)),""))</f>
        <v/>
      </c>
    </row>
    <row r="2013" customFormat="false" ht="15" hidden="false" customHeight="false" outlineLevel="0" collapsed="false">
      <c r="A2013" s="19"/>
      <c r="B2013" s="19"/>
      <c r="C2013" s="19"/>
      <c r="D2013" s="19"/>
      <c r="E2013" s="32"/>
      <c r="F2013" s="19"/>
      <c r="G2013" s="26" t="str">
        <f aca="false">IF(A2013="","",COUNTIF(Pubs!$B$2:$B$3001,A2013))</f>
        <v/>
      </c>
      <c r="H2013" s="26" t="str">
        <f aca="false">IF(A2013="","",COUNTIF(Apparitions!$H$2:$H$5001,A2013))</f>
        <v/>
      </c>
      <c r="I2013" s="26" t="str">
        <f aca="false">IF(A2013="","",COUNTIFS(Apparitions!$H$2:$H$5001,A2013,Apparitions!$E$2:$E$5001,"○"))</f>
        <v/>
      </c>
      <c r="J2013" s="29" t="str">
        <f aca="false">IF(A2013="","",IFERROR(1/(1/_xlfn.MINIFS(Apparitions!$L$2:$L$5001,Apparitions!$H$2:$H$5001,A2013)),""))</f>
        <v/>
      </c>
    </row>
    <row r="2014" customFormat="false" ht="15" hidden="false" customHeight="false" outlineLevel="0" collapsed="false">
      <c r="A2014" s="19"/>
      <c r="B2014" s="19"/>
      <c r="C2014" s="19"/>
      <c r="D2014" s="19"/>
      <c r="E2014" s="32"/>
      <c r="F2014" s="19"/>
      <c r="G2014" s="26" t="str">
        <f aca="false">IF(A2014="","",COUNTIF(Pubs!$B$2:$B$3001,A2014))</f>
        <v/>
      </c>
      <c r="H2014" s="26" t="str">
        <f aca="false">IF(A2014="","",COUNTIF(Apparitions!$H$2:$H$5001,A2014))</f>
        <v/>
      </c>
      <c r="I2014" s="26" t="str">
        <f aca="false">IF(A2014="","",COUNTIFS(Apparitions!$H$2:$H$5001,A2014,Apparitions!$E$2:$E$5001,"○"))</f>
        <v/>
      </c>
      <c r="J2014" s="29" t="str">
        <f aca="false">IF(A2014="","",IFERROR(1/(1/_xlfn.MINIFS(Apparitions!$L$2:$L$5001,Apparitions!$H$2:$H$5001,A2014)),""))</f>
        <v/>
      </c>
    </row>
    <row r="2015" customFormat="false" ht="15" hidden="false" customHeight="false" outlineLevel="0" collapsed="false">
      <c r="A2015" s="19"/>
      <c r="B2015" s="19"/>
      <c r="C2015" s="19"/>
      <c r="D2015" s="19"/>
      <c r="E2015" s="32"/>
      <c r="F2015" s="19"/>
      <c r="G2015" s="26" t="str">
        <f aca="false">IF(A2015="","",COUNTIF(Pubs!$B$2:$B$3001,A2015))</f>
        <v/>
      </c>
      <c r="H2015" s="26" t="str">
        <f aca="false">IF(A2015="","",COUNTIF(Apparitions!$H$2:$H$5001,A2015))</f>
        <v/>
      </c>
      <c r="I2015" s="26" t="str">
        <f aca="false">IF(A2015="","",COUNTIFS(Apparitions!$H$2:$H$5001,A2015,Apparitions!$E$2:$E$5001,"○"))</f>
        <v/>
      </c>
      <c r="J2015" s="29" t="str">
        <f aca="false">IF(A2015="","",IFERROR(1/(1/_xlfn.MINIFS(Apparitions!$L$2:$L$5001,Apparitions!$H$2:$H$5001,A2015)),""))</f>
        <v/>
      </c>
    </row>
    <row r="2016" customFormat="false" ht="15" hidden="false" customHeight="false" outlineLevel="0" collapsed="false">
      <c r="A2016" s="19"/>
      <c r="B2016" s="19"/>
      <c r="C2016" s="19"/>
      <c r="D2016" s="19"/>
      <c r="E2016" s="32"/>
      <c r="F2016" s="19"/>
      <c r="G2016" s="26" t="str">
        <f aca="false">IF(A2016="","",COUNTIF(Pubs!$B$2:$B$3001,A2016))</f>
        <v/>
      </c>
      <c r="H2016" s="26" t="str">
        <f aca="false">IF(A2016="","",COUNTIF(Apparitions!$H$2:$H$5001,A2016))</f>
        <v/>
      </c>
      <c r="I2016" s="26" t="str">
        <f aca="false">IF(A2016="","",COUNTIFS(Apparitions!$H$2:$H$5001,A2016,Apparitions!$E$2:$E$5001,"○"))</f>
        <v/>
      </c>
      <c r="J2016" s="29" t="str">
        <f aca="false">IF(A2016="","",IFERROR(1/(1/_xlfn.MINIFS(Apparitions!$L$2:$L$5001,Apparitions!$H$2:$H$5001,A2016)),""))</f>
        <v/>
      </c>
    </row>
    <row r="2017" customFormat="false" ht="15" hidden="false" customHeight="false" outlineLevel="0" collapsed="false">
      <c r="A2017" s="19"/>
      <c r="B2017" s="19"/>
      <c r="C2017" s="19"/>
      <c r="D2017" s="19"/>
      <c r="E2017" s="32"/>
      <c r="F2017" s="19"/>
      <c r="G2017" s="26" t="str">
        <f aca="false">IF(A2017="","",COUNTIF(Pubs!$B$2:$B$3001,A2017))</f>
        <v/>
      </c>
      <c r="H2017" s="26" t="str">
        <f aca="false">IF(A2017="","",COUNTIF(Apparitions!$H$2:$H$5001,A2017))</f>
        <v/>
      </c>
      <c r="I2017" s="26" t="str">
        <f aca="false">IF(A2017="","",COUNTIFS(Apparitions!$H$2:$H$5001,A2017,Apparitions!$E$2:$E$5001,"○"))</f>
        <v/>
      </c>
      <c r="J2017" s="29" t="str">
        <f aca="false">IF(A2017="","",IFERROR(1/(1/_xlfn.MINIFS(Apparitions!$L$2:$L$5001,Apparitions!$H$2:$H$5001,A2017)),""))</f>
        <v/>
      </c>
    </row>
    <row r="2018" customFormat="false" ht="15" hidden="false" customHeight="false" outlineLevel="0" collapsed="false">
      <c r="A2018" s="19"/>
      <c r="B2018" s="19"/>
      <c r="C2018" s="19"/>
      <c r="D2018" s="19"/>
      <c r="E2018" s="32"/>
      <c r="F2018" s="19"/>
      <c r="G2018" s="26" t="str">
        <f aca="false">IF(A2018="","",COUNTIF(Pubs!$B$2:$B$3001,A2018))</f>
        <v/>
      </c>
      <c r="H2018" s="26" t="str">
        <f aca="false">IF(A2018="","",COUNTIF(Apparitions!$H$2:$H$5001,A2018))</f>
        <v/>
      </c>
      <c r="I2018" s="26" t="str">
        <f aca="false">IF(A2018="","",COUNTIFS(Apparitions!$H$2:$H$5001,A2018,Apparitions!$E$2:$E$5001,"○"))</f>
        <v/>
      </c>
      <c r="J2018" s="29" t="str">
        <f aca="false">IF(A2018="","",IFERROR(1/(1/_xlfn.MINIFS(Apparitions!$L$2:$L$5001,Apparitions!$H$2:$H$5001,A2018)),""))</f>
        <v/>
      </c>
    </row>
    <row r="2019" customFormat="false" ht="15" hidden="false" customHeight="false" outlineLevel="0" collapsed="false">
      <c r="A2019" s="19"/>
      <c r="B2019" s="19"/>
      <c r="C2019" s="19"/>
      <c r="D2019" s="19"/>
      <c r="E2019" s="32"/>
      <c r="F2019" s="19"/>
      <c r="G2019" s="26" t="str">
        <f aca="false">IF(A2019="","",COUNTIF(Pubs!$B$2:$B$3001,A2019))</f>
        <v/>
      </c>
      <c r="H2019" s="26" t="str">
        <f aca="false">IF(A2019="","",COUNTIF(Apparitions!$H$2:$H$5001,A2019))</f>
        <v/>
      </c>
      <c r="I2019" s="26" t="str">
        <f aca="false">IF(A2019="","",COUNTIFS(Apparitions!$H$2:$H$5001,A2019,Apparitions!$E$2:$E$5001,"○"))</f>
        <v/>
      </c>
      <c r="J2019" s="29" t="str">
        <f aca="false">IF(A2019="","",IFERROR(1/(1/_xlfn.MINIFS(Apparitions!$L$2:$L$5001,Apparitions!$H$2:$H$5001,A2019)),""))</f>
        <v/>
      </c>
    </row>
    <row r="2020" customFormat="false" ht="15" hidden="false" customHeight="false" outlineLevel="0" collapsed="false">
      <c r="A2020" s="19"/>
      <c r="B2020" s="19"/>
      <c r="C2020" s="19"/>
      <c r="D2020" s="19"/>
      <c r="E2020" s="32"/>
      <c r="F2020" s="19"/>
      <c r="G2020" s="26" t="str">
        <f aca="false">IF(A2020="","",COUNTIF(Pubs!$B$2:$B$3001,A2020))</f>
        <v/>
      </c>
      <c r="H2020" s="26" t="str">
        <f aca="false">IF(A2020="","",COUNTIF(Apparitions!$H$2:$H$5001,A2020))</f>
        <v/>
      </c>
      <c r="I2020" s="26" t="str">
        <f aca="false">IF(A2020="","",COUNTIFS(Apparitions!$H$2:$H$5001,A2020,Apparitions!$E$2:$E$5001,"○"))</f>
        <v/>
      </c>
      <c r="J2020" s="29" t="str">
        <f aca="false">IF(A2020="","",IFERROR(1/(1/_xlfn.MINIFS(Apparitions!$L$2:$L$5001,Apparitions!$H$2:$H$5001,A2020)),""))</f>
        <v/>
      </c>
    </row>
    <row r="2021" customFormat="false" ht="15" hidden="false" customHeight="false" outlineLevel="0" collapsed="false">
      <c r="A2021" s="19"/>
      <c r="B2021" s="19"/>
      <c r="C2021" s="19"/>
      <c r="D2021" s="19"/>
      <c r="E2021" s="32"/>
      <c r="F2021" s="19"/>
      <c r="G2021" s="26" t="str">
        <f aca="false">IF(A2021="","",COUNTIF(Pubs!$B$2:$B$3001,A2021))</f>
        <v/>
      </c>
      <c r="H2021" s="26" t="str">
        <f aca="false">IF(A2021="","",COUNTIF(Apparitions!$H$2:$H$5001,A2021))</f>
        <v/>
      </c>
      <c r="I2021" s="26" t="str">
        <f aca="false">IF(A2021="","",COUNTIFS(Apparitions!$H$2:$H$5001,A2021,Apparitions!$E$2:$E$5001,"○"))</f>
        <v/>
      </c>
      <c r="J2021" s="29" t="str">
        <f aca="false">IF(A2021="","",IFERROR(1/(1/_xlfn.MINIFS(Apparitions!$L$2:$L$5001,Apparitions!$H$2:$H$5001,A2021)),""))</f>
        <v/>
      </c>
    </row>
    <row r="2022" customFormat="false" ht="15" hidden="false" customHeight="false" outlineLevel="0" collapsed="false">
      <c r="A2022" s="19"/>
      <c r="B2022" s="19"/>
      <c r="C2022" s="19"/>
      <c r="D2022" s="19"/>
      <c r="E2022" s="32"/>
      <c r="F2022" s="19"/>
      <c r="G2022" s="26" t="str">
        <f aca="false">IF(A2022="","",COUNTIF(Pubs!$B$2:$B$3001,A2022))</f>
        <v/>
      </c>
      <c r="H2022" s="26" t="str">
        <f aca="false">IF(A2022="","",COUNTIF(Apparitions!$H$2:$H$5001,A2022))</f>
        <v/>
      </c>
      <c r="I2022" s="26" t="str">
        <f aca="false">IF(A2022="","",COUNTIFS(Apparitions!$H$2:$H$5001,A2022,Apparitions!$E$2:$E$5001,"○"))</f>
        <v/>
      </c>
      <c r="J2022" s="29" t="str">
        <f aca="false">IF(A2022="","",IFERROR(1/(1/_xlfn.MINIFS(Apparitions!$L$2:$L$5001,Apparitions!$H$2:$H$5001,A2022)),""))</f>
        <v/>
      </c>
    </row>
    <row r="2023" customFormat="false" ht="15" hidden="false" customHeight="false" outlineLevel="0" collapsed="false">
      <c r="A2023" s="19"/>
      <c r="B2023" s="19"/>
      <c r="C2023" s="19"/>
      <c r="D2023" s="19"/>
      <c r="E2023" s="32"/>
      <c r="F2023" s="19"/>
      <c r="G2023" s="26" t="str">
        <f aca="false">IF(A2023="","",COUNTIF(Pubs!$B$2:$B$3001,A2023))</f>
        <v/>
      </c>
      <c r="H2023" s="26" t="str">
        <f aca="false">IF(A2023="","",COUNTIF(Apparitions!$H$2:$H$5001,A2023))</f>
        <v/>
      </c>
      <c r="I2023" s="26" t="str">
        <f aca="false">IF(A2023="","",COUNTIFS(Apparitions!$H$2:$H$5001,A2023,Apparitions!$E$2:$E$5001,"○"))</f>
        <v/>
      </c>
      <c r="J2023" s="29" t="str">
        <f aca="false">IF(A2023="","",IFERROR(1/(1/_xlfn.MINIFS(Apparitions!$L$2:$L$5001,Apparitions!$H$2:$H$5001,A2023)),""))</f>
        <v/>
      </c>
    </row>
    <row r="2024" customFormat="false" ht="15" hidden="false" customHeight="false" outlineLevel="0" collapsed="false">
      <c r="A2024" s="19"/>
      <c r="B2024" s="19"/>
      <c r="C2024" s="19"/>
      <c r="D2024" s="19"/>
      <c r="E2024" s="32"/>
      <c r="F2024" s="19"/>
      <c r="G2024" s="26" t="str">
        <f aca="false">IF(A2024="","",COUNTIF(Pubs!$B$2:$B$3001,A2024))</f>
        <v/>
      </c>
      <c r="H2024" s="26" t="str">
        <f aca="false">IF(A2024="","",COUNTIF(Apparitions!$H$2:$H$5001,A2024))</f>
        <v/>
      </c>
      <c r="I2024" s="26" t="str">
        <f aca="false">IF(A2024="","",COUNTIFS(Apparitions!$H$2:$H$5001,A2024,Apparitions!$E$2:$E$5001,"○"))</f>
        <v/>
      </c>
      <c r="J2024" s="29" t="str">
        <f aca="false">IF(A2024="","",IFERROR(1/(1/_xlfn.MINIFS(Apparitions!$L$2:$L$5001,Apparitions!$H$2:$H$5001,A2024)),""))</f>
        <v/>
      </c>
    </row>
    <row r="2025" customFormat="false" ht="15" hidden="false" customHeight="false" outlineLevel="0" collapsed="false">
      <c r="A2025" s="19"/>
      <c r="B2025" s="19"/>
      <c r="C2025" s="19"/>
      <c r="D2025" s="19"/>
      <c r="E2025" s="32"/>
      <c r="F2025" s="19"/>
      <c r="G2025" s="26" t="str">
        <f aca="false">IF(A2025="","",COUNTIF(Pubs!$B$2:$B$3001,A2025))</f>
        <v/>
      </c>
      <c r="H2025" s="26" t="str">
        <f aca="false">IF(A2025="","",COUNTIF(Apparitions!$H$2:$H$5001,A2025))</f>
        <v/>
      </c>
      <c r="I2025" s="26" t="str">
        <f aca="false">IF(A2025="","",COUNTIFS(Apparitions!$H$2:$H$5001,A2025,Apparitions!$E$2:$E$5001,"○"))</f>
        <v/>
      </c>
      <c r="J2025" s="29" t="str">
        <f aca="false">IF(A2025="","",IFERROR(1/(1/_xlfn.MINIFS(Apparitions!$L$2:$L$5001,Apparitions!$H$2:$H$5001,A2025)),""))</f>
        <v/>
      </c>
    </row>
    <row r="2026" customFormat="false" ht="15" hidden="false" customHeight="false" outlineLevel="0" collapsed="false">
      <c r="A2026" s="19"/>
      <c r="B2026" s="19"/>
      <c r="C2026" s="19"/>
      <c r="D2026" s="19"/>
      <c r="E2026" s="32"/>
      <c r="F2026" s="19"/>
      <c r="G2026" s="26" t="str">
        <f aca="false">IF(A2026="","",COUNTIF(Pubs!$B$2:$B$3001,A2026))</f>
        <v/>
      </c>
      <c r="H2026" s="26" t="str">
        <f aca="false">IF(A2026="","",COUNTIF(Apparitions!$H$2:$H$5001,A2026))</f>
        <v/>
      </c>
      <c r="I2026" s="26" t="str">
        <f aca="false">IF(A2026="","",COUNTIFS(Apparitions!$H$2:$H$5001,A2026,Apparitions!$E$2:$E$5001,"○"))</f>
        <v/>
      </c>
      <c r="J2026" s="29" t="str">
        <f aca="false">IF(A2026="","",IFERROR(1/(1/_xlfn.MINIFS(Apparitions!$L$2:$L$5001,Apparitions!$H$2:$H$5001,A2026)),""))</f>
        <v/>
      </c>
    </row>
    <row r="2027" customFormat="false" ht="15" hidden="false" customHeight="false" outlineLevel="0" collapsed="false">
      <c r="A2027" s="19"/>
      <c r="B2027" s="19"/>
      <c r="C2027" s="19"/>
      <c r="D2027" s="19"/>
      <c r="E2027" s="32"/>
      <c r="F2027" s="19"/>
      <c r="G2027" s="26" t="str">
        <f aca="false">IF(A2027="","",COUNTIF(Pubs!$B$2:$B$3001,A2027))</f>
        <v/>
      </c>
      <c r="H2027" s="26" t="str">
        <f aca="false">IF(A2027="","",COUNTIF(Apparitions!$H$2:$H$5001,A2027))</f>
        <v/>
      </c>
      <c r="I2027" s="26" t="str">
        <f aca="false">IF(A2027="","",COUNTIFS(Apparitions!$H$2:$H$5001,A2027,Apparitions!$E$2:$E$5001,"○"))</f>
        <v/>
      </c>
      <c r="J2027" s="29" t="str">
        <f aca="false">IF(A2027="","",IFERROR(1/(1/_xlfn.MINIFS(Apparitions!$L$2:$L$5001,Apparitions!$H$2:$H$5001,A2027)),""))</f>
        <v/>
      </c>
    </row>
    <row r="2028" customFormat="false" ht="15" hidden="false" customHeight="false" outlineLevel="0" collapsed="false">
      <c r="A2028" s="19"/>
      <c r="B2028" s="19"/>
      <c r="C2028" s="19"/>
      <c r="D2028" s="19"/>
      <c r="E2028" s="32"/>
      <c r="F2028" s="19"/>
      <c r="G2028" s="26" t="str">
        <f aca="false">IF(A2028="","",COUNTIF(Pubs!$B$2:$B$3001,A2028))</f>
        <v/>
      </c>
      <c r="H2028" s="26" t="str">
        <f aca="false">IF(A2028="","",COUNTIF(Apparitions!$H$2:$H$5001,A2028))</f>
        <v/>
      </c>
      <c r="I2028" s="26" t="str">
        <f aca="false">IF(A2028="","",COUNTIFS(Apparitions!$H$2:$H$5001,A2028,Apparitions!$E$2:$E$5001,"○"))</f>
        <v/>
      </c>
      <c r="J2028" s="29" t="str">
        <f aca="false">IF(A2028="","",IFERROR(1/(1/_xlfn.MINIFS(Apparitions!$L$2:$L$5001,Apparitions!$H$2:$H$5001,A2028)),""))</f>
        <v/>
      </c>
    </row>
    <row r="2029" customFormat="false" ht="15" hidden="false" customHeight="false" outlineLevel="0" collapsed="false">
      <c r="A2029" s="19"/>
      <c r="B2029" s="19"/>
      <c r="C2029" s="19"/>
      <c r="D2029" s="19"/>
      <c r="E2029" s="32"/>
      <c r="F2029" s="19"/>
      <c r="G2029" s="26" t="str">
        <f aca="false">IF(A2029="","",COUNTIF(Pubs!$B$2:$B$3001,A2029))</f>
        <v/>
      </c>
      <c r="H2029" s="26" t="str">
        <f aca="false">IF(A2029="","",COUNTIF(Apparitions!$H$2:$H$5001,A2029))</f>
        <v/>
      </c>
      <c r="I2029" s="26" t="str">
        <f aca="false">IF(A2029="","",COUNTIFS(Apparitions!$H$2:$H$5001,A2029,Apparitions!$E$2:$E$5001,"○"))</f>
        <v/>
      </c>
      <c r="J2029" s="29" t="str">
        <f aca="false">IF(A2029="","",IFERROR(1/(1/_xlfn.MINIFS(Apparitions!$L$2:$L$5001,Apparitions!$H$2:$H$5001,A2029)),""))</f>
        <v/>
      </c>
    </row>
    <row r="2030" customFormat="false" ht="15" hidden="false" customHeight="false" outlineLevel="0" collapsed="false">
      <c r="A2030" s="19"/>
      <c r="B2030" s="19"/>
      <c r="C2030" s="19"/>
      <c r="D2030" s="19"/>
      <c r="E2030" s="32"/>
      <c r="F2030" s="19"/>
      <c r="G2030" s="26" t="str">
        <f aca="false">IF(A2030="","",COUNTIF(Pubs!$B$2:$B$3001,A2030))</f>
        <v/>
      </c>
      <c r="H2030" s="26" t="str">
        <f aca="false">IF(A2030="","",COUNTIF(Apparitions!$H$2:$H$5001,A2030))</f>
        <v/>
      </c>
      <c r="I2030" s="26" t="str">
        <f aca="false">IF(A2030="","",COUNTIFS(Apparitions!$H$2:$H$5001,A2030,Apparitions!$E$2:$E$5001,"○"))</f>
        <v/>
      </c>
      <c r="J2030" s="29" t="str">
        <f aca="false">IF(A2030="","",IFERROR(1/(1/_xlfn.MINIFS(Apparitions!$L$2:$L$5001,Apparitions!$H$2:$H$5001,A2030)),""))</f>
        <v/>
      </c>
    </row>
    <row r="2031" customFormat="false" ht="15" hidden="false" customHeight="false" outlineLevel="0" collapsed="false">
      <c r="A2031" s="19"/>
      <c r="B2031" s="19"/>
      <c r="C2031" s="19"/>
      <c r="D2031" s="19"/>
      <c r="E2031" s="32"/>
      <c r="F2031" s="19"/>
      <c r="G2031" s="26" t="str">
        <f aca="false">IF(A2031="","",COUNTIF(Pubs!$B$2:$B$3001,A2031))</f>
        <v/>
      </c>
      <c r="H2031" s="26" t="str">
        <f aca="false">IF(A2031="","",COUNTIF(Apparitions!$H$2:$H$5001,A2031))</f>
        <v/>
      </c>
      <c r="I2031" s="26" t="str">
        <f aca="false">IF(A2031="","",COUNTIFS(Apparitions!$H$2:$H$5001,A2031,Apparitions!$E$2:$E$5001,"○"))</f>
        <v/>
      </c>
      <c r="J2031" s="29" t="str">
        <f aca="false">IF(A2031="","",IFERROR(1/(1/_xlfn.MINIFS(Apparitions!$L$2:$L$5001,Apparitions!$H$2:$H$5001,A2031)),""))</f>
        <v/>
      </c>
    </row>
    <row r="2032" customFormat="false" ht="15" hidden="false" customHeight="false" outlineLevel="0" collapsed="false">
      <c r="A2032" s="19"/>
      <c r="B2032" s="19"/>
      <c r="C2032" s="19"/>
      <c r="D2032" s="19"/>
      <c r="E2032" s="32"/>
      <c r="F2032" s="19"/>
      <c r="G2032" s="26" t="str">
        <f aca="false">IF(A2032="","",COUNTIF(Pubs!$B$2:$B$3001,A2032))</f>
        <v/>
      </c>
      <c r="H2032" s="26" t="str">
        <f aca="false">IF(A2032="","",COUNTIF(Apparitions!$H$2:$H$5001,A2032))</f>
        <v/>
      </c>
      <c r="I2032" s="26" t="str">
        <f aca="false">IF(A2032="","",COUNTIFS(Apparitions!$H$2:$H$5001,A2032,Apparitions!$E$2:$E$5001,"○"))</f>
        <v/>
      </c>
      <c r="J2032" s="29" t="str">
        <f aca="false">IF(A2032="","",IFERROR(1/(1/_xlfn.MINIFS(Apparitions!$L$2:$L$5001,Apparitions!$H$2:$H$5001,A2032)),""))</f>
        <v/>
      </c>
    </row>
    <row r="2033" customFormat="false" ht="15" hidden="false" customHeight="false" outlineLevel="0" collapsed="false">
      <c r="A2033" s="19"/>
      <c r="B2033" s="19"/>
      <c r="C2033" s="19"/>
      <c r="D2033" s="19"/>
      <c r="E2033" s="32"/>
      <c r="F2033" s="19"/>
      <c r="G2033" s="26" t="str">
        <f aca="false">IF(A2033="","",COUNTIF(Pubs!$B$2:$B$3001,A2033))</f>
        <v/>
      </c>
      <c r="H2033" s="26" t="str">
        <f aca="false">IF(A2033="","",COUNTIF(Apparitions!$H$2:$H$5001,A2033))</f>
        <v/>
      </c>
      <c r="I2033" s="26" t="str">
        <f aca="false">IF(A2033="","",COUNTIFS(Apparitions!$H$2:$H$5001,A2033,Apparitions!$E$2:$E$5001,"○"))</f>
        <v/>
      </c>
      <c r="J2033" s="29" t="str">
        <f aca="false">IF(A2033="","",IFERROR(1/(1/_xlfn.MINIFS(Apparitions!$L$2:$L$5001,Apparitions!$H$2:$H$5001,A2033)),""))</f>
        <v/>
      </c>
    </row>
    <row r="2034" customFormat="false" ht="15" hidden="false" customHeight="false" outlineLevel="0" collapsed="false">
      <c r="A2034" s="19"/>
      <c r="B2034" s="19"/>
      <c r="C2034" s="19"/>
      <c r="D2034" s="19"/>
      <c r="E2034" s="32"/>
      <c r="F2034" s="19"/>
      <c r="G2034" s="26" t="str">
        <f aca="false">IF(A2034="","",COUNTIF(Pubs!$B$2:$B$3001,A2034))</f>
        <v/>
      </c>
      <c r="H2034" s="26" t="str">
        <f aca="false">IF(A2034="","",COUNTIF(Apparitions!$H$2:$H$5001,A2034))</f>
        <v/>
      </c>
      <c r="I2034" s="26" t="str">
        <f aca="false">IF(A2034="","",COUNTIFS(Apparitions!$H$2:$H$5001,A2034,Apparitions!$E$2:$E$5001,"○"))</f>
        <v/>
      </c>
      <c r="J2034" s="29" t="str">
        <f aca="false">IF(A2034="","",IFERROR(1/(1/_xlfn.MINIFS(Apparitions!$L$2:$L$5001,Apparitions!$H$2:$H$5001,A2034)),""))</f>
        <v/>
      </c>
    </row>
    <row r="2035" customFormat="false" ht="15" hidden="false" customHeight="false" outlineLevel="0" collapsed="false">
      <c r="A2035" s="19"/>
      <c r="B2035" s="19"/>
      <c r="C2035" s="19"/>
      <c r="D2035" s="19"/>
      <c r="E2035" s="32"/>
      <c r="F2035" s="19"/>
      <c r="G2035" s="26" t="str">
        <f aca="false">IF(A2035="","",COUNTIF(Pubs!$B$2:$B$3001,A2035))</f>
        <v/>
      </c>
      <c r="H2035" s="26" t="str">
        <f aca="false">IF(A2035="","",COUNTIF(Apparitions!$H$2:$H$5001,A2035))</f>
        <v/>
      </c>
      <c r="I2035" s="26" t="str">
        <f aca="false">IF(A2035="","",COUNTIFS(Apparitions!$H$2:$H$5001,A2035,Apparitions!$E$2:$E$5001,"○"))</f>
        <v/>
      </c>
      <c r="J2035" s="29" t="str">
        <f aca="false">IF(A2035="","",IFERROR(1/(1/_xlfn.MINIFS(Apparitions!$L$2:$L$5001,Apparitions!$H$2:$H$5001,A2035)),""))</f>
        <v/>
      </c>
    </row>
    <row r="2036" customFormat="false" ht="15" hidden="false" customHeight="false" outlineLevel="0" collapsed="false">
      <c r="A2036" s="19"/>
      <c r="B2036" s="19"/>
      <c r="C2036" s="19"/>
      <c r="D2036" s="19"/>
      <c r="E2036" s="32"/>
      <c r="F2036" s="19"/>
      <c r="G2036" s="26" t="str">
        <f aca="false">IF(A2036="","",COUNTIF(Pubs!$B$2:$B$3001,A2036))</f>
        <v/>
      </c>
      <c r="H2036" s="26" t="str">
        <f aca="false">IF(A2036="","",COUNTIF(Apparitions!$H$2:$H$5001,A2036))</f>
        <v/>
      </c>
      <c r="I2036" s="26" t="str">
        <f aca="false">IF(A2036="","",COUNTIFS(Apparitions!$H$2:$H$5001,A2036,Apparitions!$E$2:$E$5001,"○"))</f>
        <v/>
      </c>
      <c r="J2036" s="29" t="str">
        <f aca="false">IF(A2036="","",IFERROR(1/(1/_xlfn.MINIFS(Apparitions!$L$2:$L$5001,Apparitions!$H$2:$H$5001,A2036)),""))</f>
        <v/>
      </c>
    </row>
    <row r="2037" customFormat="false" ht="15" hidden="false" customHeight="false" outlineLevel="0" collapsed="false">
      <c r="A2037" s="19"/>
      <c r="B2037" s="19"/>
      <c r="C2037" s="19"/>
      <c r="D2037" s="19"/>
      <c r="E2037" s="32"/>
      <c r="F2037" s="19"/>
      <c r="G2037" s="26" t="str">
        <f aca="false">IF(A2037="","",COUNTIF(Pubs!$B$2:$B$3001,A2037))</f>
        <v/>
      </c>
      <c r="H2037" s="26" t="str">
        <f aca="false">IF(A2037="","",COUNTIF(Apparitions!$H$2:$H$5001,A2037))</f>
        <v/>
      </c>
      <c r="I2037" s="26" t="str">
        <f aca="false">IF(A2037="","",COUNTIFS(Apparitions!$H$2:$H$5001,A2037,Apparitions!$E$2:$E$5001,"○"))</f>
        <v/>
      </c>
      <c r="J2037" s="29" t="str">
        <f aca="false">IF(A2037="","",IFERROR(1/(1/_xlfn.MINIFS(Apparitions!$L$2:$L$5001,Apparitions!$H$2:$H$5001,A2037)),""))</f>
        <v/>
      </c>
    </row>
    <row r="2038" customFormat="false" ht="15" hidden="false" customHeight="false" outlineLevel="0" collapsed="false">
      <c r="A2038" s="19"/>
      <c r="B2038" s="19"/>
      <c r="C2038" s="19"/>
      <c r="D2038" s="19"/>
      <c r="E2038" s="32"/>
      <c r="F2038" s="19"/>
      <c r="G2038" s="26" t="str">
        <f aca="false">IF(A2038="","",COUNTIF(Pubs!$B$2:$B$3001,A2038))</f>
        <v/>
      </c>
      <c r="H2038" s="26" t="str">
        <f aca="false">IF(A2038="","",COUNTIF(Apparitions!$H$2:$H$5001,A2038))</f>
        <v/>
      </c>
      <c r="I2038" s="26" t="str">
        <f aca="false">IF(A2038="","",COUNTIFS(Apparitions!$H$2:$H$5001,A2038,Apparitions!$E$2:$E$5001,"○"))</f>
        <v/>
      </c>
      <c r="J2038" s="29" t="str">
        <f aca="false">IF(A2038="","",IFERROR(1/(1/_xlfn.MINIFS(Apparitions!$L$2:$L$5001,Apparitions!$H$2:$H$5001,A2038)),""))</f>
        <v/>
      </c>
    </row>
    <row r="2039" customFormat="false" ht="15" hidden="false" customHeight="false" outlineLevel="0" collapsed="false">
      <c r="A2039" s="19"/>
      <c r="B2039" s="19"/>
      <c r="C2039" s="19"/>
      <c r="D2039" s="19"/>
      <c r="E2039" s="32"/>
      <c r="F2039" s="19"/>
      <c r="G2039" s="26" t="str">
        <f aca="false">IF(A2039="","",COUNTIF(Pubs!$B$2:$B$3001,A2039))</f>
        <v/>
      </c>
      <c r="H2039" s="26" t="str">
        <f aca="false">IF(A2039="","",COUNTIF(Apparitions!$H$2:$H$5001,A2039))</f>
        <v/>
      </c>
      <c r="I2039" s="26" t="str">
        <f aca="false">IF(A2039="","",COUNTIFS(Apparitions!$H$2:$H$5001,A2039,Apparitions!$E$2:$E$5001,"○"))</f>
        <v/>
      </c>
      <c r="J2039" s="29" t="str">
        <f aca="false">IF(A2039="","",IFERROR(1/(1/_xlfn.MINIFS(Apparitions!$L$2:$L$5001,Apparitions!$H$2:$H$5001,A2039)),""))</f>
        <v/>
      </c>
    </row>
    <row r="2040" customFormat="false" ht="15" hidden="false" customHeight="false" outlineLevel="0" collapsed="false">
      <c r="A2040" s="19"/>
      <c r="B2040" s="19"/>
      <c r="C2040" s="19"/>
      <c r="D2040" s="19"/>
      <c r="E2040" s="32"/>
      <c r="F2040" s="19"/>
      <c r="G2040" s="26" t="str">
        <f aca="false">IF(A2040="","",COUNTIF(Pubs!$B$2:$B$3001,A2040))</f>
        <v/>
      </c>
      <c r="H2040" s="26" t="str">
        <f aca="false">IF(A2040="","",COUNTIF(Apparitions!$H$2:$H$5001,A2040))</f>
        <v/>
      </c>
      <c r="I2040" s="26" t="str">
        <f aca="false">IF(A2040="","",COUNTIFS(Apparitions!$H$2:$H$5001,A2040,Apparitions!$E$2:$E$5001,"○"))</f>
        <v/>
      </c>
      <c r="J2040" s="29" t="str">
        <f aca="false">IF(A2040="","",IFERROR(1/(1/_xlfn.MINIFS(Apparitions!$L$2:$L$5001,Apparitions!$H$2:$H$5001,A2040)),""))</f>
        <v/>
      </c>
    </row>
    <row r="2041" customFormat="false" ht="15" hidden="false" customHeight="false" outlineLevel="0" collapsed="false">
      <c r="A2041" s="19"/>
      <c r="B2041" s="19"/>
      <c r="C2041" s="19"/>
      <c r="D2041" s="19"/>
      <c r="E2041" s="32"/>
      <c r="F2041" s="19"/>
      <c r="G2041" s="26" t="str">
        <f aca="false">IF(A2041="","",COUNTIF(Pubs!$B$2:$B$3001,A2041))</f>
        <v/>
      </c>
      <c r="H2041" s="26" t="str">
        <f aca="false">IF(A2041="","",COUNTIF(Apparitions!$H$2:$H$5001,A2041))</f>
        <v/>
      </c>
      <c r="I2041" s="26" t="str">
        <f aca="false">IF(A2041="","",COUNTIFS(Apparitions!$H$2:$H$5001,A2041,Apparitions!$E$2:$E$5001,"○"))</f>
        <v/>
      </c>
      <c r="J2041" s="29" t="str">
        <f aca="false">IF(A2041="","",IFERROR(1/(1/_xlfn.MINIFS(Apparitions!$L$2:$L$5001,Apparitions!$H$2:$H$5001,A2041)),""))</f>
        <v/>
      </c>
    </row>
    <row r="2042" customFormat="false" ht="15" hidden="false" customHeight="false" outlineLevel="0" collapsed="false">
      <c r="A2042" s="19"/>
      <c r="B2042" s="19"/>
      <c r="C2042" s="19"/>
      <c r="D2042" s="19"/>
      <c r="E2042" s="32"/>
      <c r="F2042" s="19"/>
      <c r="G2042" s="26" t="str">
        <f aca="false">IF(A2042="","",COUNTIF(Pubs!$B$2:$B$3001,A2042))</f>
        <v/>
      </c>
      <c r="H2042" s="26" t="str">
        <f aca="false">IF(A2042="","",COUNTIF(Apparitions!$H$2:$H$5001,A2042))</f>
        <v/>
      </c>
      <c r="I2042" s="26" t="str">
        <f aca="false">IF(A2042="","",COUNTIFS(Apparitions!$H$2:$H$5001,A2042,Apparitions!$E$2:$E$5001,"○"))</f>
        <v/>
      </c>
      <c r="J2042" s="29" t="str">
        <f aca="false">IF(A2042="","",IFERROR(1/(1/_xlfn.MINIFS(Apparitions!$L$2:$L$5001,Apparitions!$H$2:$H$5001,A2042)),""))</f>
        <v/>
      </c>
    </row>
    <row r="2043" customFormat="false" ht="15" hidden="false" customHeight="false" outlineLevel="0" collapsed="false">
      <c r="A2043" s="19"/>
      <c r="B2043" s="19"/>
      <c r="C2043" s="19"/>
      <c r="D2043" s="19"/>
      <c r="E2043" s="32"/>
      <c r="F2043" s="19"/>
      <c r="G2043" s="26" t="str">
        <f aca="false">IF(A2043="","",COUNTIF(Pubs!$B$2:$B$3001,A2043))</f>
        <v/>
      </c>
      <c r="H2043" s="26" t="str">
        <f aca="false">IF(A2043="","",COUNTIF(Apparitions!$H$2:$H$5001,A2043))</f>
        <v/>
      </c>
      <c r="I2043" s="26" t="str">
        <f aca="false">IF(A2043="","",COUNTIFS(Apparitions!$H$2:$H$5001,A2043,Apparitions!$E$2:$E$5001,"○"))</f>
        <v/>
      </c>
      <c r="J2043" s="29" t="str">
        <f aca="false">IF(A2043="","",IFERROR(1/(1/_xlfn.MINIFS(Apparitions!$L$2:$L$5001,Apparitions!$H$2:$H$5001,A2043)),""))</f>
        <v/>
      </c>
    </row>
    <row r="2044" customFormat="false" ht="15" hidden="false" customHeight="false" outlineLevel="0" collapsed="false">
      <c r="A2044" s="19"/>
      <c r="B2044" s="19"/>
      <c r="C2044" s="19"/>
      <c r="D2044" s="19"/>
      <c r="E2044" s="32"/>
      <c r="F2044" s="19"/>
      <c r="G2044" s="26" t="str">
        <f aca="false">IF(A2044="","",COUNTIF(Pubs!$B$2:$B$3001,A2044))</f>
        <v/>
      </c>
      <c r="H2044" s="26" t="str">
        <f aca="false">IF(A2044="","",COUNTIF(Apparitions!$H$2:$H$5001,A2044))</f>
        <v/>
      </c>
      <c r="I2044" s="26" t="str">
        <f aca="false">IF(A2044="","",COUNTIFS(Apparitions!$H$2:$H$5001,A2044,Apparitions!$E$2:$E$5001,"○"))</f>
        <v/>
      </c>
      <c r="J2044" s="29" t="str">
        <f aca="false">IF(A2044="","",IFERROR(1/(1/_xlfn.MINIFS(Apparitions!$L$2:$L$5001,Apparitions!$H$2:$H$5001,A2044)),""))</f>
        <v/>
      </c>
    </row>
    <row r="2045" customFormat="false" ht="15" hidden="false" customHeight="false" outlineLevel="0" collapsed="false">
      <c r="A2045" s="19"/>
      <c r="B2045" s="19"/>
      <c r="C2045" s="19"/>
      <c r="D2045" s="19"/>
      <c r="E2045" s="32"/>
      <c r="F2045" s="19"/>
      <c r="G2045" s="26" t="str">
        <f aca="false">IF(A2045="","",COUNTIF(Pubs!$B$2:$B$3001,A2045))</f>
        <v/>
      </c>
      <c r="H2045" s="26" t="str">
        <f aca="false">IF(A2045="","",COUNTIF(Apparitions!$H$2:$H$5001,A2045))</f>
        <v/>
      </c>
      <c r="I2045" s="26" t="str">
        <f aca="false">IF(A2045="","",COUNTIFS(Apparitions!$H$2:$H$5001,A2045,Apparitions!$E$2:$E$5001,"○"))</f>
        <v/>
      </c>
      <c r="J2045" s="29" t="str">
        <f aca="false">IF(A2045="","",IFERROR(1/(1/_xlfn.MINIFS(Apparitions!$L$2:$L$5001,Apparitions!$H$2:$H$5001,A2045)),""))</f>
        <v/>
      </c>
    </row>
    <row r="2046" customFormat="false" ht="15" hidden="false" customHeight="false" outlineLevel="0" collapsed="false">
      <c r="A2046" s="19"/>
      <c r="B2046" s="19"/>
      <c r="C2046" s="19"/>
      <c r="D2046" s="19"/>
      <c r="E2046" s="32"/>
      <c r="F2046" s="19"/>
      <c r="G2046" s="26" t="str">
        <f aca="false">IF(A2046="","",COUNTIF(Pubs!$B$2:$B$3001,A2046))</f>
        <v/>
      </c>
      <c r="H2046" s="26" t="str">
        <f aca="false">IF(A2046="","",COUNTIF(Apparitions!$H$2:$H$5001,A2046))</f>
        <v/>
      </c>
      <c r="I2046" s="26" t="str">
        <f aca="false">IF(A2046="","",COUNTIFS(Apparitions!$H$2:$H$5001,A2046,Apparitions!$E$2:$E$5001,"○"))</f>
        <v/>
      </c>
      <c r="J2046" s="29" t="str">
        <f aca="false">IF(A2046="","",IFERROR(1/(1/_xlfn.MINIFS(Apparitions!$L$2:$L$5001,Apparitions!$H$2:$H$5001,A2046)),""))</f>
        <v/>
      </c>
    </row>
    <row r="2047" customFormat="false" ht="15" hidden="false" customHeight="false" outlineLevel="0" collapsed="false">
      <c r="A2047" s="19"/>
      <c r="B2047" s="19"/>
      <c r="C2047" s="19"/>
      <c r="D2047" s="19"/>
      <c r="E2047" s="32"/>
      <c r="F2047" s="19"/>
      <c r="G2047" s="26" t="str">
        <f aca="false">IF(A2047="","",COUNTIF(Pubs!$B$2:$B$3001,A2047))</f>
        <v/>
      </c>
      <c r="H2047" s="26" t="str">
        <f aca="false">IF(A2047="","",COUNTIF(Apparitions!$H$2:$H$5001,A2047))</f>
        <v/>
      </c>
      <c r="I2047" s="26" t="str">
        <f aca="false">IF(A2047="","",COUNTIFS(Apparitions!$H$2:$H$5001,A2047,Apparitions!$E$2:$E$5001,"○"))</f>
        <v/>
      </c>
      <c r="J2047" s="29" t="str">
        <f aca="false">IF(A2047="","",IFERROR(1/(1/_xlfn.MINIFS(Apparitions!$L$2:$L$5001,Apparitions!$H$2:$H$5001,A2047)),""))</f>
        <v/>
      </c>
    </row>
    <row r="2048" customFormat="false" ht="15" hidden="false" customHeight="false" outlineLevel="0" collapsed="false">
      <c r="A2048" s="19"/>
      <c r="B2048" s="19"/>
      <c r="C2048" s="19"/>
      <c r="D2048" s="19"/>
      <c r="E2048" s="32"/>
      <c r="F2048" s="19"/>
      <c r="G2048" s="26" t="str">
        <f aca="false">IF(A2048="","",COUNTIF(Pubs!$B$2:$B$3001,A2048))</f>
        <v/>
      </c>
      <c r="H2048" s="26" t="str">
        <f aca="false">IF(A2048="","",COUNTIF(Apparitions!$H$2:$H$5001,A2048))</f>
        <v/>
      </c>
      <c r="I2048" s="26" t="str">
        <f aca="false">IF(A2048="","",COUNTIFS(Apparitions!$H$2:$H$5001,A2048,Apparitions!$E$2:$E$5001,"○"))</f>
        <v/>
      </c>
      <c r="J2048" s="29" t="str">
        <f aca="false">IF(A2048="","",IFERROR(1/(1/_xlfn.MINIFS(Apparitions!$L$2:$L$5001,Apparitions!$H$2:$H$5001,A2048)),""))</f>
        <v/>
      </c>
    </row>
    <row r="2049" customFormat="false" ht="15" hidden="false" customHeight="false" outlineLevel="0" collapsed="false">
      <c r="A2049" s="19"/>
      <c r="B2049" s="19"/>
      <c r="C2049" s="19"/>
      <c r="D2049" s="19"/>
      <c r="E2049" s="32"/>
      <c r="F2049" s="19"/>
      <c r="G2049" s="26" t="str">
        <f aca="false">IF(A2049="","",COUNTIF(Pubs!$B$2:$B$3001,A2049))</f>
        <v/>
      </c>
      <c r="H2049" s="26" t="str">
        <f aca="false">IF(A2049="","",COUNTIF(Apparitions!$H$2:$H$5001,A2049))</f>
        <v/>
      </c>
      <c r="I2049" s="26" t="str">
        <f aca="false">IF(A2049="","",COUNTIFS(Apparitions!$H$2:$H$5001,A2049,Apparitions!$E$2:$E$5001,"○"))</f>
        <v/>
      </c>
      <c r="J2049" s="29" t="str">
        <f aca="false">IF(A2049="","",IFERROR(1/(1/_xlfn.MINIFS(Apparitions!$L$2:$L$5001,Apparitions!$H$2:$H$5001,A2049)),""))</f>
        <v/>
      </c>
    </row>
    <row r="2050" customFormat="false" ht="15" hidden="false" customHeight="false" outlineLevel="0" collapsed="false">
      <c r="A2050" s="19"/>
      <c r="B2050" s="19"/>
      <c r="C2050" s="19"/>
      <c r="D2050" s="19"/>
      <c r="E2050" s="32"/>
      <c r="F2050" s="19"/>
      <c r="G2050" s="26" t="str">
        <f aca="false">IF(A2050="","",COUNTIF(Pubs!$B$2:$B$3001,A2050))</f>
        <v/>
      </c>
      <c r="H2050" s="26" t="str">
        <f aca="false">IF(A2050="","",COUNTIF(Apparitions!$H$2:$H$5001,A2050))</f>
        <v/>
      </c>
      <c r="I2050" s="26" t="str">
        <f aca="false">IF(A2050="","",COUNTIFS(Apparitions!$H$2:$H$5001,A2050,Apparitions!$E$2:$E$5001,"○"))</f>
        <v/>
      </c>
      <c r="J2050" s="29" t="str">
        <f aca="false">IF(A2050="","",IFERROR(1/(1/_xlfn.MINIFS(Apparitions!$L$2:$L$5001,Apparitions!$H$2:$H$5001,A2050)),""))</f>
        <v/>
      </c>
    </row>
    <row r="2051" customFormat="false" ht="15" hidden="false" customHeight="false" outlineLevel="0" collapsed="false">
      <c r="A2051" s="19"/>
      <c r="B2051" s="19"/>
      <c r="C2051" s="19"/>
      <c r="D2051" s="19"/>
      <c r="E2051" s="32"/>
      <c r="F2051" s="19"/>
      <c r="G2051" s="26" t="str">
        <f aca="false">IF(A2051="","",COUNTIF(Pubs!$B$2:$B$3001,A2051))</f>
        <v/>
      </c>
      <c r="H2051" s="26" t="str">
        <f aca="false">IF(A2051="","",COUNTIF(Apparitions!$H$2:$H$5001,A2051))</f>
        <v/>
      </c>
      <c r="I2051" s="26" t="str">
        <f aca="false">IF(A2051="","",COUNTIFS(Apparitions!$H$2:$H$5001,A2051,Apparitions!$E$2:$E$5001,"○"))</f>
        <v/>
      </c>
      <c r="J2051" s="29" t="str">
        <f aca="false">IF(A2051="","",IFERROR(1/(1/_xlfn.MINIFS(Apparitions!$L$2:$L$5001,Apparitions!$H$2:$H$5001,A2051)),""))</f>
        <v/>
      </c>
    </row>
    <row r="2052" customFormat="false" ht="15" hidden="false" customHeight="false" outlineLevel="0" collapsed="false">
      <c r="A2052" s="19"/>
      <c r="B2052" s="19"/>
      <c r="C2052" s="19"/>
      <c r="D2052" s="19"/>
      <c r="E2052" s="32"/>
      <c r="F2052" s="19"/>
      <c r="G2052" s="26" t="str">
        <f aca="false">IF(A2052="","",COUNTIF(Pubs!$B$2:$B$3001,A2052))</f>
        <v/>
      </c>
      <c r="H2052" s="26" t="str">
        <f aca="false">IF(A2052="","",COUNTIF(Apparitions!$H$2:$H$5001,A2052))</f>
        <v/>
      </c>
      <c r="I2052" s="26" t="str">
        <f aca="false">IF(A2052="","",COUNTIFS(Apparitions!$H$2:$H$5001,A2052,Apparitions!$E$2:$E$5001,"○"))</f>
        <v/>
      </c>
      <c r="J2052" s="29" t="str">
        <f aca="false">IF(A2052="","",IFERROR(1/(1/_xlfn.MINIFS(Apparitions!$L$2:$L$5001,Apparitions!$H$2:$H$5001,A2052)),""))</f>
        <v/>
      </c>
    </row>
    <row r="2053" customFormat="false" ht="15" hidden="false" customHeight="false" outlineLevel="0" collapsed="false">
      <c r="A2053" s="19"/>
      <c r="B2053" s="19"/>
      <c r="C2053" s="19"/>
      <c r="D2053" s="19"/>
      <c r="E2053" s="32"/>
      <c r="F2053" s="19"/>
      <c r="G2053" s="26" t="str">
        <f aca="false">IF(A2053="","",COUNTIF(Pubs!$B$2:$B$3001,A2053))</f>
        <v/>
      </c>
      <c r="H2053" s="26" t="str">
        <f aca="false">IF(A2053="","",COUNTIF(Apparitions!$H$2:$H$5001,A2053))</f>
        <v/>
      </c>
      <c r="I2053" s="26" t="str">
        <f aca="false">IF(A2053="","",COUNTIFS(Apparitions!$H$2:$H$5001,A2053,Apparitions!$E$2:$E$5001,"○"))</f>
        <v/>
      </c>
      <c r="J2053" s="29" t="str">
        <f aca="false">IF(A2053="","",IFERROR(1/(1/_xlfn.MINIFS(Apparitions!$L$2:$L$5001,Apparitions!$H$2:$H$5001,A2053)),""))</f>
        <v/>
      </c>
    </row>
    <row r="2054" customFormat="false" ht="15" hidden="false" customHeight="false" outlineLevel="0" collapsed="false">
      <c r="A2054" s="19"/>
      <c r="B2054" s="19"/>
      <c r="C2054" s="19"/>
      <c r="D2054" s="19"/>
      <c r="E2054" s="32"/>
      <c r="F2054" s="19"/>
      <c r="G2054" s="26" t="str">
        <f aca="false">IF(A2054="","",COUNTIF(Pubs!$B$2:$B$3001,A2054))</f>
        <v/>
      </c>
      <c r="H2054" s="26" t="str">
        <f aca="false">IF(A2054="","",COUNTIF(Apparitions!$H$2:$H$5001,A2054))</f>
        <v/>
      </c>
      <c r="I2054" s="26" t="str">
        <f aca="false">IF(A2054="","",COUNTIFS(Apparitions!$H$2:$H$5001,A2054,Apparitions!$E$2:$E$5001,"○"))</f>
        <v/>
      </c>
      <c r="J2054" s="29" t="str">
        <f aca="false">IF(A2054="","",IFERROR(1/(1/_xlfn.MINIFS(Apparitions!$L$2:$L$5001,Apparitions!$H$2:$H$5001,A2054)),""))</f>
        <v/>
      </c>
    </row>
    <row r="2055" customFormat="false" ht="15" hidden="false" customHeight="false" outlineLevel="0" collapsed="false">
      <c r="A2055" s="19"/>
      <c r="B2055" s="19"/>
      <c r="C2055" s="19"/>
      <c r="D2055" s="19"/>
      <c r="E2055" s="32"/>
      <c r="F2055" s="19"/>
      <c r="G2055" s="26" t="str">
        <f aca="false">IF(A2055="","",COUNTIF(Pubs!$B$2:$B$3001,A2055))</f>
        <v/>
      </c>
      <c r="H2055" s="26" t="str">
        <f aca="false">IF(A2055="","",COUNTIF(Apparitions!$H$2:$H$5001,A2055))</f>
        <v/>
      </c>
      <c r="I2055" s="26" t="str">
        <f aca="false">IF(A2055="","",COUNTIFS(Apparitions!$H$2:$H$5001,A2055,Apparitions!$E$2:$E$5001,"○"))</f>
        <v/>
      </c>
      <c r="J2055" s="29" t="str">
        <f aca="false">IF(A2055="","",IFERROR(1/(1/_xlfn.MINIFS(Apparitions!$L$2:$L$5001,Apparitions!$H$2:$H$5001,A2055)),""))</f>
        <v/>
      </c>
    </row>
    <row r="2056" customFormat="false" ht="15" hidden="false" customHeight="false" outlineLevel="0" collapsed="false">
      <c r="A2056" s="19"/>
      <c r="B2056" s="19"/>
      <c r="C2056" s="19"/>
      <c r="D2056" s="19"/>
      <c r="E2056" s="32"/>
      <c r="F2056" s="19"/>
      <c r="G2056" s="26" t="str">
        <f aca="false">IF(A2056="","",COUNTIF(Pubs!$B$2:$B$3001,A2056))</f>
        <v/>
      </c>
      <c r="H2056" s="26" t="str">
        <f aca="false">IF(A2056="","",COUNTIF(Apparitions!$H$2:$H$5001,A2056))</f>
        <v/>
      </c>
      <c r="I2056" s="26" t="str">
        <f aca="false">IF(A2056="","",COUNTIFS(Apparitions!$H$2:$H$5001,A2056,Apparitions!$E$2:$E$5001,"○"))</f>
        <v/>
      </c>
      <c r="J2056" s="29" t="str">
        <f aca="false">IF(A2056="","",IFERROR(1/(1/_xlfn.MINIFS(Apparitions!$L$2:$L$5001,Apparitions!$H$2:$H$5001,A2056)),""))</f>
        <v/>
      </c>
    </row>
    <row r="2057" customFormat="false" ht="15" hidden="false" customHeight="false" outlineLevel="0" collapsed="false">
      <c r="A2057" s="19"/>
      <c r="B2057" s="19"/>
      <c r="C2057" s="19"/>
      <c r="D2057" s="19"/>
      <c r="E2057" s="32"/>
      <c r="F2057" s="19"/>
      <c r="G2057" s="26" t="str">
        <f aca="false">IF(A2057="","",COUNTIF(Pubs!$B$2:$B$3001,A2057))</f>
        <v/>
      </c>
      <c r="H2057" s="26" t="str">
        <f aca="false">IF(A2057="","",COUNTIF(Apparitions!$H$2:$H$5001,A2057))</f>
        <v/>
      </c>
      <c r="I2057" s="26" t="str">
        <f aca="false">IF(A2057="","",COUNTIFS(Apparitions!$H$2:$H$5001,A2057,Apparitions!$E$2:$E$5001,"○"))</f>
        <v/>
      </c>
      <c r="J2057" s="29" t="str">
        <f aca="false">IF(A2057="","",IFERROR(1/(1/_xlfn.MINIFS(Apparitions!$L$2:$L$5001,Apparitions!$H$2:$H$5001,A2057)),""))</f>
        <v/>
      </c>
    </row>
    <row r="2058" customFormat="false" ht="15" hidden="false" customHeight="false" outlineLevel="0" collapsed="false">
      <c r="A2058" s="19"/>
      <c r="B2058" s="19"/>
      <c r="C2058" s="19"/>
      <c r="D2058" s="19"/>
      <c r="E2058" s="32"/>
      <c r="F2058" s="19"/>
      <c r="G2058" s="26" t="str">
        <f aca="false">IF(A2058="","",COUNTIF(Pubs!$B$2:$B$3001,A2058))</f>
        <v/>
      </c>
      <c r="H2058" s="26" t="str">
        <f aca="false">IF(A2058="","",COUNTIF(Apparitions!$H$2:$H$5001,A2058))</f>
        <v/>
      </c>
      <c r="I2058" s="26" t="str">
        <f aca="false">IF(A2058="","",COUNTIFS(Apparitions!$H$2:$H$5001,A2058,Apparitions!$E$2:$E$5001,"○"))</f>
        <v/>
      </c>
      <c r="J2058" s="29" t="str">
        <f aca="false">IF(A2058="","",IFERROR(1/(1/_xlfn.MINIFS(Apparitions!$L$2:$L$5001,Apparitions!$H$2:$H$5001,A2058)),""))</f>
        <v/>
      </c>
    </row>
    <row r="2059" customFormat="false" ht="15" hidden="false" customHeight="false" outlineLevel="0" collapsed="false">
      <c r="A2059" s="19"/>
      <c r="B2059" s="19"/>
      <c r="C2059" s="19"/>
      <c r="D2059" s="19"/>
      <c r="E2059" s="32"/>
      <c r="F2059" s="19"/>
      <c r="G2059" s="26" t="str">
        <f aca="false">IF(A2059="","",COUNTIF(Pubs!$B$2:$B$3001,A2059))</f>
        <v/>
      </c>
      <c r="H2059" s="26" t="str">
        <f aca="false">IF(A2059="","",COUNTIF(Apparitions!$H$2:$H$5001,A2059))</f>
        <v/>
      </c>
      <c r="I2059" s="26" t="str">
        <f aca="false">IF(A2059="","",COUNTIFS(Apparitions!$H$2:$H$5001,A2059,Apparitions!$E$2:$E$5001,"○"))</f>
        <v/>
      </c>
      <c r="J2059" s="29" t="str">
        <f aca="false">IF(A2059="","",IFERROR(1/(1/_xlfn.MINIFS(Apparitions!$L$2:$L$5001,Apparitions!$H$2:$H$5001,A2059)),""))</f>
        <v/>
      </c>
    </row>
    <row r="2060" customFormat="false" ht="15" hidden="false" customHeight="false" outlineLevel="0" collapsed="false">
      <c r="A2060" s="19"/>
      <c r="B2060" s="19"/>
      <c r="C2060" s="19"/>
      <c r="D2060" s="19"/>
      <c r="E2060" s="32"/>
      <c r="F2060" s="19"/>
      <c r="G2060" s="26" t="str">
        <f aca="false">IF(A2060="","",COUNTIF(Pubs!$B$2:$B$3001,A2060))</f>
        <v/>
      </c>
      <c r="H2060" s="26" t="str">
        <f aca="false">IF(A2060="","",COUNTIF(Apparitions!$H$2:$H$5001,A2060))</f>
        <v/>
      </c>
      <c r="I2060" s="26" t="str">
        <f aca="false">IF(A2060="","",COUNTIFS(Apparitions!$H$2:$H$5001,A2060,Apparitions!$E$2:$E$5001,"○"))</f>
        <v/>
      </c>
      <c r="J2060" s="29" t="str">
        <f aca="false">IF(A2060="","",IFERROR(1/(1/_xlfn.MINIFS(Apparitions!$L$2:$L$5001,Apparitions!$H$2:$H$5001,A2060)),""))</f>
        <v/>
      </c>
    </row>
    <row r="2061" customFormat="false" ht="15" hidden="false" customHeight="false" outlineLevel="0" collapsed="false">
      <c r="A2061" s="19"/>
      <c r="B2061" s="19"/>
      <c r="C2061" s="19"/>
      <c r="D2061" s="19"/>
      <c r="E2061" s="32"/>
      <c r="F2061" s="19"/>
      <c r="G2061" s="26" t="str">
        <f aca="false">IF(A2061="","",COUNTIF(Pubs!$B$2:$B$3001,A2061))</f>
        <v/>
      </c>
      <c r="H2061" s="26" t="str">
        <f aca="false">IF(A2061="","",COUNTIF(Apparitions!$H$2:$H$5001,A2061))</f>
        <v/>
      </c>
      <c r="I2061" s="26" t="str">
        <f aca="false">IF(A2061="","",COUNTIFS(Apparitions!$H$2:$H$5001,A2061,Apparitions!$E$2:$E$5001,"○"))</f>
        <v/>
      </c>
      <c r="J2061" s="29" t="str">
        <f aca="false">IF(A2061="","",IFERROR(1/(1/_xlfn.MINIFS(Apparitions!$L$2:$L$5001,Apparitions!$H$2:$H$5001,A2061)),""))</f>
        <v/>
      </c>
    </row>
    <row r="2062" customFormat="false" ht="15" hidden="false" customHeight="false" outlineLevel="0" collapsed="false">
      <c r="A2062" s="19"/>
      <c r="B2062" s="19"/>
      <c r="C2062" s="19"/>
      <c r="D2062" s="19"/>
      <c r="E2062" s="32"/>
      <c r="F2062" s="19"/>
      <c r="G2062" s="26" t="str">
        <f aca="false">IF(A2062="","",COUNTIF(Pubs!$B$2:$B$3001,A2062))</f>
        <v/>
      </c>
      <c r="H2062" s="26" t="str">
        <f aca="false">IF(A2062="","",COUNTIF(Apparitions!$H$2:$H$5001,A2062))</f>
        <v/>
      </c>
      <c r="I2062" s="26" t="str">
        <f aca="false">IF(A2062="","",COUNTIFS(Apparitions!$H$2:$H$5001,A2062,Apparitions!$E$2:$E$5001,"○"))</f>
        <v/>
      </c>
      <c r="J2062" s="29" t="str">
        <f aca="false">IF(A2062="","",IFERROR(1/(1/_xlfn.MINIFS(Apparitions!$L$2:$L$5001,Apparitions!$H$2:$H$5001,A2062)),""))</f>
        <v/>
      </c>
    </row>
    <row r="2063" customFormat="false" ht="15" hidden="false" customHeight="false" outlineLevel="0" collapsed="false">
      <c r="A2063" s="19"/>
      <c r="B2063" s="19"/>
      <c r="C2063" s="19"/>
      <c r="D2063" s="19"/>
      <c r="E2063" s="32"/>
      <c r="F2063" s="19"/>
      <c r="G2063" s="26" t="str">
        <f aca="false">IF(A2063="","",COUNTIF(Pubs!$B$2:$B$3001,A2063))</f>
        <v/>
      </c>
      <c r="H2063" s="26" t="str">
        <f aca="false">IF(A2063="","",COUNTIF(Apparitions!$H$2:$H$5001,A2063))</f>
        <v/>
      </c>
      <c r="I2063" s="26" t="str">
        <f aca="false">IF(A2063="","",COUNTIFS(Apparitions!$H$2:$H$5001,A2063,Apparitions!$E$2:$E$5001,"○"))</f>
        <v/>
      </c>
      <c r="J2063" s="29" t="str">
        <f aca="false">IF(A2063="","",IFERROR(1/(1/_xlfn.MINIFS(Apparitions!$L$2:$L$5001,Apparitions!$H$2:$H$5001,A2063)),""))</f>
        <v/>
      </c>
    </row>
    <row r="2064" customFormat="false" ht="15" hidden="false" customHeight="false" outlineLevel="0" collapsed="false">
      <c r="A2064" s="19"/>
      <c r="B2064" s="19"/>
      <c r="C2064" s="19"/>
      <c r="D2064" s="19"/>
      <c r="E2064" s="32"/>
      <c r="F2064" s="19"/>
      <c r="G2064" s="26" t="str">
        <f aca="false">IF(A2064="","",COUNTIF(Pubs!$B$2:$B$3001,A2064))</f>
        <v/>
      </c>
      <c r="H2064" s="26" t="str">
        <f aca="false">IF(A2064="","",COUNTIF(Apparitions!$H$2:$H$5001,A2064))</f>
        <v/>
      </c>
      <c r="I2064" s="26" t="str">
        <f aca="false">IF(A2064="","",COUNTIFS(Apparitions!$H$2:$H$5001,A2064,Apparitions!$E$2:$E$5001,"○"))</f>
        <v/>
      </c>
      <c r="J2064" s="29" t="str">
        <f aca="false">IF(A2064="","",IFERROR(1/(1/_xlfn.MINIFS(Apparitions!$L$2:$L$5001,Apparitions!$H$2:$H$5001,A2064)),""))</f>
        <v/>
      </c>
    </row>
    <row r="2065" customFormat="false" ht="15" hidden="false" customHeight="false" outlineLevel="0" collapsed="false">
      <c r="A2065" s="19"/>
      <c r="B2065" s="19"/>
      <c r="C2065" s="19"/>
      <c r="D2065" s="19"/>
      <c r="E2065" s="32"/>
      <c r="F2065" s="19"/>
      <c r="G2065" s="26" t="str">
        <f aca="false">IF(A2065="","",COUNTIF(Pubs!$B$2:$B$3001,A2065))</f>
        <v/>
      </c>
      <c r="H2065" s="26" t="str">
        <f aca="false">IF(A2065="","",COUNTIF(Apparitions!$H$2:$H$5001,A2065))</f>
        <v/>
      </c>
      <c r="I2065" s="26" t="str">
        <f aca="false">IF(A2065="","",COUNTIFS(Apparitions!$H$2:$H$5001,A2065,Apparitions!$E$2:$E$5001,"○"))</f>
        <v/>
      </c>
      <c r="J2065" s="29" t="str">
        <f aca="false">IF(A2065="","",IFERROR(1/(1/_xlfn.MINIFS(Apparitions!$L$2:$L$5001,Apparitions!$H$2:$H$5001,A2065)),""))</f>
        <v/>
      </c>
    </row>
    <row r="2066" customFormat="false" ht="15" hidden="false" customHeight="false" outlineLevel="0" collapsed="false">
      <c r="A2066" s="19"/>
      <c r="B2066" s="19"/>
      <c r="C2066" s="19"/>
      <c r="D2066" s="19"/>
      <c r="E2066" s="32"/>
      <c r="F2066" s="19"/>
      <c r="G2066" s="26" t="str">
        <f aca="false">IF(A2066="","",COUNTIF(Pubs!$B$2:$B$3001,A2066))</f>
        <v/>
      </c>
      <c r="H2066" s="26" t="str">
        <f aca="false">IF(A2066="","",COUNTIF(Apparitions!$H$2:$H$5001,A2066))</f>
        <v/>
      </c>
      <c r="I2066" s="26" t="str">
        <f aca="false">IF(A2066="","",COUNTIFS(Apparitions!$H$2:$H$5001,A2066,Apparitions!$E$2:$E$5001,"○"))</f>
        <v/>
      </c>
      <c r="J2066" s="29" t="str">
        <f aca="false">IF(A2066="","",IFERROR(1/(1/_xlfn.MINIFS(Apparitions!$L$2:$L$5001,Apparitions!$H$2:$H$5001,A2066)),""))</f>
        <v/>
      </c>
    </row>
    <row r="2067" customFormat="false" ht="15" hidden="false" customHeight="false" outlineLevel="0" collapsed="false">
      <c r="A2067" s="19"/>
      <c r="B2067" s="19"/>
      <c r="C2067" s="19"/>
      <c r="D2067" s="19"/>
      <c r="E2067" s="32"/>
      <c r="F2067" s="19"/>
      <c r="G2067" s="26" t="str">
        <f aca="false">IF(A2067="","",COUNTIF(Pubs!$B$2:$B$3001,A2067))</f>
        <v/>
      </c>
      <c r="H2067" s="26" t="str">
        <f aca="false">IF(A2067="","",COUNTIF(Apparitions!$H$2:$H$5001,A2067))</f>
        <v/>
      </c>
      <c r="I2067" s="26" t="str">
        <f aca="false">IF(A2067="","",COUNTIFS(Apparitions!$H$2:$H$5001,A2067,Apparitions!$E$2:$E$5001,"○"))</f>
        <v/>
      </c>
      <c r="J2067" s="29" t="str">
        <f aca="false">IF(A2067="","",IFERROR(1/(1/_xlfn.MINIFS(Apparitions!$L$2:$L$5001,Apparitions!$H$2:$H$5001,A2067)),""))</f>
        <v/>
      </c>
    </row>
    <row r="2068" customFormat="false" ht="15" hidden="false" customHeight="false" outlineLevel="0" collapsed="false">
      <c r="A2068" s="19"/>
      <c r="B2068" s="19"/>
      <c r="C2068" s="19"/>
      <c r="D2068" s="19"/>
      <c r="E2068" s="32"/>
      <c r="F2068" s="19"/>
      <c r="G2068" s="26" t="str">
        <f aca="false">IF(A2068="","",COUNTIF(Pubs!$B$2:$B$3001,A2068))</f>
        <v/>
      </c>
      <c r="H2068" s="26" t="str">
        <f aca="false">IF(A2068="","",COUNTIF(Apparitions!$H$2:$H$5001,A2068))</f>
        <v/>
      </c>
      <c r="I2068" s="26" t="str">
        <f aca="false">IF(A2068="","",COUNTIFS(Apparitions!$H$2:$H$5001,A2068,Apparitions!$E$2:$E$5001,"○"))</f>
        <v/>
      </c>
      <c r="J2068" s="29" t="str">
        <f aca="false">IF(A2068="","",IFERROR(1/(1/_xlfn.MINIFS(Apparitions!$L$2:$L$5001,Apparitions!$H$2:$H$5001,A2068)),""))</f>
        <v/>
      </c>
    </row>
    <row r="2069" customFormat="false" ht="15" hidden="false" customHeight="false" outlineLevel="0" collapsed="false">
      <c r="A2069" s="19"/>
      <c r="B2069" s="19"/>
      <c r="C2069" s="19"/>
      <c r="D2069" s="19"/>
      <c r="E2069" s="32"/>
      <c r="F2069" s="19"/>
      <c r="G2069" s="26" t="str">
        <f aca="false">IF(A2069="","",COUNTIF(Pubs!$B$2:$B$3001,A2069))</f>
        <v/>
      </c>
      <c r="H2069" s="26" t="str">
        <f aca="false">IF(A2069="","",COUNTIF(Apparitions!$H$2:$H$5001,A2069))</f>
        <v/>
      </c>
      <c r="I2069" s="26" t="str">
        <f aca="false">IF(A2069="","",COUNTIFS(Apparitions!$H$2:$H$5001,A2069,Apparitions!$E$2:$E$5001,"○"))</f>
        <v/>
      </c>
      <c r="J2069" s="29" t="str">
        <f aca="false">IF(A2069="","",IFERROR(1/(1/_xlfn.MINIFS(Apparitions!$L$2:$L$5001,Apparitions!$H$2:$H$5001,A2069)),""))</f>
        <v/>
      </c>
    </row>
    <row r="2070" customFormat="false" ht="15" hidden="false" customHeight="false" outlineLevel="0" collapsed="false">
      <c r="A2070" s="19"/>
      <c r="B2070" s="19"/>
      <c r="C2070" s="19"/>
      <c r="D2070" s="19"/>
      <c r="E2070" s="32"/>
      <c r="F2070" s="19"/>
      <c r="G2070" s="26" t="str">
        <f aca="false">IF(A2070="","",COUNTIF(Pubs!$B$2:$B$3001,A2070))</f>
        <v/>
      </c>
      <c r="H2070" s="26" t="str">
        <f aca="false">IF(A2070="","",COUNTIF(Apparitions!$H$2:$H$5001,A2070))</f>
        <v/>
      </c>
      <c r="I2070" s="26" t="str">
        <f aca="false">IF(A2070="","",COUNTIFS(Apparitions!$H$2:$H$5001,A2070,Apparitions!$E$2:$E$5001,"○"))</f>
        <v/>
      </c>
      <c r="J2070" s="29" t="str">
        <f aca="false">IF(A2070="","",IFERROR(1/(1/_xlfn.MINIFS(Apparitions!$L$2:$L$5001,Apparitions!$H$2:$H$5001,A2070)),""))</f>
        <v/>
      </c>
    </row>
    <row r="2071" customFormat="false" ht="15" hidden="false" customHeight="false" outlineLevel="0" collapsed="false">
      <c r="A2071" s="19"/>
      <c r="B2071" s="19"/>
      <c r="C2071" s="19"/>
      <c r="D2071" s="19"/>
      <c r="E2071" s="32"/>
      <c r="F2071" s="19"/>
      <c r="G2071" s="26" t="str">
        <f aca="false">IF(A2071="","",COUNTIF(Pubs!$B$2:$B$3001,A2071))</f>
        <v/>
      </c>
      <c r="H2071" s="26" t="str">
        <f aca="false">IF(A2071="","",COUNTIF(Apparitions!$H$2:$H$5001,A2071))</f>
        <v/>
      </c>
      <c r="I2071" s="26" t="str">
        <f aca="false">IF(A2071="","",COUNTIFS(Apparitions!$H$2:$H$5001,A2071,Apparitions!$E$2:$E$5001,"○"))</f>
        <v/>
      </c>
      <c r="J2071" s="29" t="str">
        <f aca="false">IF(A2071="","",IFERROR(1/(1/_xlfn.MINIFS(Apparitions!$L$2:$L$5001,Apparitions!$H$2:$H$5001,A2071)),""))</f>
        <v/>
      </c>
    </row>
    <row r="2072" customFormat="false" ht="15" hidden="false" customHeight="false" outlineLevel="0" collapsed="false">
      <c r="A2072" s="19"/>
      <c r="B2072" s="19"/>
      <c r="C2072" s="19"/>
      <c r="D2072" s="19"/>
      <c r="E2072" s="32"/>
      <c r="F2072" s="19"/>
      <c r="G2072" s="26" t="str">
        <f aca="false">IF(A2072="","",COUNTIF(Pubs!$B$2:$B$3001,A2072))</f>
        <v/>
      </c>
      <c r="H2072" s="26" t="str">
        <f aca="false">IF(A2072="","",COUNTIF(Apparitions!$H$2:$H$5001,A2072))</f>
        <v/>
      </c>
      <c r="I2072" s="26" t="str">
        <f aca="false">IF(A2072="","",COUNTIFS(Apparitions!$H$2:$H$5001,A2072,Apparitions!$E$2:$E$5001,"○"))</f>
        <v/>
      </c>
      <c r="J2072" s="29" t="str">
        <f aca="false">IF(A2072="","",IFERROR(1/(1/_xlfn.MINIFS(Apparitions!$L$2:$L$5001,Apparitions!$H$2:$H$5001,A2072)),""))</f>
        <v/>
      </c>
    </row>
    <row r="2073" customFormat="false" ht="15" hidden="false" customHeight="false" outlineLevel="0" collapsed="false">
      <c r="A2073" s="19"/>
      <c r="B2073" s="19"/>
      <c r="C2073" s="19"/>
      <c r="D2073" s="19"/>
      <c r="E2073" s="32"/>
      <c r="F2073" s="19"/>
      <c r="G2073" s="26" t="str">
        <f aca="false">IF(A2073="","",COUNTIF(Pubs!$B$2:$B$3001,A2073))</f>
        <v/>
      </c>
      <c r="H2073" s="26" t="str">
        <f aca="false">IF(A2073="","",COUNTIF(Apparitions!$H$2:$H$5001,A2073))</f>
        <v/>
      </c>
      <c r="I2073" s="26" t="str">
        <f aca="false">IF(A2073="","",COUNTIFS(Apparitions!$H$2:$H$5001,A2073,Apparitions!$E$2:$E$5001,"○"))</f>
        <v/>
      </c>
      <c r="J2073" s="29" t="str">
        <f aca="false">IF(A2073="","",IFERROR(1/(1/_xlfn.MINIFS(Apparitions!$L$2:$L$5001,Apparitions!$H$2:$H$5001,A2073)),""))</f>
        <v/>
      </c>
    </row>
    <row r="2074" customFormat="false" ht="15" hidden="false" customHeight="false" outlineLevel="0" collapsed="false">
      <c r="A2074" s="19"/>
      <c r="B2074" s="19"/>
      <c r="C2074" s="19"/>
      <c r="D2074" s="19"/>
      <c r="E2074" s="32"/>
      <c r="F2074" s="19"/>
      <c r="G2074" s="26" t="str">
        <f aca="false">IF(A2074="","",COUNTIF(Pubs!$B$2:$B$3001,A2074))</f>
        <v/>
      </c>
      <c r="H2074" s="26" t="str">
        <f aca="false">IF(A2074="","",COUNTIF(Apparitions!$H$2:$H$5001,A2074))</f>
        <v/>
      </c>
      <c r="I2074" s="26" t="str">
        <f aca="false">IF(A2074="","",COUNTIFS(Apparitions!$H$2:$H$5001,A2074,Apparitions!$E$2:$E$5001,"○"))</f>
        <v/>
      </c>
      <c r="J2074" s="29" t="str">
        <f aca="false">IF(A2074="","",IFERROR(1/(1/_xlfn.MINIFS(Apparitions!$L$2:$L$5001,Apparitions!$H$2:$H$5001,A2074)),""))</f>
        <v/>
      </c>
    </row>
    <row r="2075" customFormat="false" ht="15" hidden="false" customHeight="false" outlineLevel="0" collapsed="false">
      <c r="A2075" s="19"/>
      <c r="B2075" s="19"/>
      <c r="C2075" s="19"/>
      <c r="D2075" s="19"/>
      <c r="E2075" s="32"/>
      <c r="F2075" s="19"/>
      <c r="G2075" s="26" t="str">
        <f aca="false">IF(A2075="","",COUNTIF(Pubs!$B$2:$B$3001,A2075))</f>
        <v/>
      </c>
      <c r="H2075" s="26" t="str">
        <f aca="false">IF(A2075="","",COUNTIF(Apparitions!$H$2:$H$5001,A2075))</f>
        <v/>
      </c>
      <c r="I2075" s="26" t="str">
        <f aca="false">IF(A2075="","",COUNTIFS(Apparitions!$H$2:$H$5001,A2075,Apparitions!$E$2:$E$5001,"○"))</f>
        <v/>
      </c>
      <c r="J2075" s="29" t="str">
        <f aca="false">IF(A2075="","",IFERROR(1/(1/_xlfn.MINIFS(Apparitions!$L$2:$L$5001,Apparitions!$H$2:$H$5001,A2075)),""))</f>
        <v/>
      </c>
    </row>
    <row r="2076" customFormat="false" ht="15" hidden="false" customHeight="false" outlineLevel="0" collapsed="false">
      <c r="A2076" s="19"/>
      <c r="B2076" s="19"/>
      <c r="C2076" s="19"/>
      <c r="D2076" s="19"/>
      <c r="E2076" s="32"/>
      <c r="F2076" s="19"/>
      <c r="G2076" s="26" t="str">
        <f aca="false">IF(A2076="","",COUNTIF(Pubs!$B$2:$B$3001,A2076))</f>
        <v/>
      </c>
      <c r="H2076" s="26" t="str">
        <f aca="false">IF(A2076="","",COUNTIF(Apparitions!$H$2:$H$5001,A2076))</f>
        <v/>
      </c>
      <c r="I2076" s="26" t="str">
        <f aca="false">IF(A2076="","",COUNTIFS(Apparitions!$H$2:$H$5001,A2076,Apparitions!$E$2:$E$5001,"○"))</f>
        <v/>
      </c>
      <c r="J2076" s="29" t="str">
        <f aca="false">IF(A2076="","",IFERROR(1/(1/_xlfn.MINIFS(Apparitions!$L$2:$L$5001,Apparitions!$H$2:$H$5001,A2076)),""))</f>
        <v/>
      </c>
    </row>
    <row r="2077" customFormat="false" ht="15" hidden="false" customHeight="false" outlineLevel="0" collapsed="false">
      <c r="A2077" s="19"/>
      <c r="B2077" s="19"/>
      <c r="C2077" s="19"/>
      <c r="D2077" s="19"/>
      <c r="E2077" s="32"/>
      <c r="F2077" s="19"/>
      <c r="G2077" s="26" t="str">
        <f aca="false">IF(A2077="","",COUNTIF(Pubs!$B$2:$B$3001,A2077))</f>
        <v/>
      </c>
      <c r="H2077" s="26" t="str">
        <f aca="false">IF(A2077="","",COUNTIF(Apparitions!$H$2:$H$5001,A2077))</f>
        <v/>
      </c>
      <c r="I2077" s="26" t="str">
        <f aca="false">IF(A2077="","",COUNTIFS(Apparitions!$H$2:$H$5001,A2077,Apparitions!$E$2:$E$5001,"○"))</f>
        <v/>
      </c>
      <c r="J2077" s="29" t="str">
        <f aca="false">IF(A2077="","",IFERROR(1/(1/_xlfn.MINIFS(Apparitions!$L$2:$L$5001,Apparitions!$H$2:$H$5001,A2077)),""))</f>
        <v/>
      </c>
    </row>
    <row r="2078" customFormat="false" ht="15" hidden="false" customHeight="false" outlineLevel="0" collapsed="false">
      <c r="A2078" s="19"/>
      <c r="B2078" s="19"/>
      <c r="C2078" s="19"/>
      <c r="D2078" s="19"/>
      <c r="E2078" s="32"/>
      <c r="F2078" s="19"/>
      <c r="G2078" s="26" t="str">
        <f aca="false">IF(A2078="","",COUNTIF(Pubs!$B$2:$B$3001,A2078))</f>
        <v/>
      </c>
      <c r="H2078" s="26" t="str">
        <f aca="false">IF(A2078="","",COUNTIF(Apparitions!$H$2:$H$5001,A2078))</f>
        <v/>
      </c>
      <c r="I2078" s="26" t="str">
        <f aca="false">IF(A2078="","",COUNTIFS(Apparitions!$H$2:$H$5001,A2078,Apparitions!$E$2:$E$5001,"○"))</f>
        <v/>
      </c>
      <c r="J2078" s="29" t="str">
        <f aca="false">IF(A2078="","",IFERROR(1/(1/_xlfn.MINIFS(Apparitions!$L$2:$L$5001,Apparitions!$H$2:$H$5001,A2078)),""))</f>
        <v/>
      </c>
    </row>
    <row r="2079" customFormat="false" ht="15" hidden="false" customHeight="false" outlineLevel="0" collapsed="false">
      <c r="A2079" s="19"/>
      <c r="B2079" s="19"/>
      <c r="C2079" s="19"/>
      <c r="D2079" s="19"/>
      <c r="E2079" s="32"/>
      <c r="F2079" s="19"/>
      <c r="G2079" s="26" t="str">
        <f aca="false">IF(A2079="","",COUNTIF(Pubs!$B$2:$B$3001,A2079))</f>
        <v/>
      </c>
      <c r="H2079" s="26" t="str">
        <f aca="false">IF(A2079="","",COUNTIF(Apparitions!$H$2:$H$5001,A2079))</f>
        <v/>
      </c>
      <c r="I2079" s="26" t="str">
        <f aca="false">IF(A2079="","",COUNTIFS(Apparitions!$H$2:$H$5001,A2079,Apparitions!$E$2:$E$5001,"○"))</f>
        <v/>
      </c>
      <c r="J2079" s="29" t="str">
        <f aca="false">IF(A2079="","",IFERROR(1/(1/_xlfn.MINIFS(Apparitions!$L$2:$L$5001,Apparitions!$H$2:$H$5001,A2079)),""))</f>
        <v/>
      </c>
    </row>
    <row r="2080" customFormat="false" ht="15" hidden="false" customHeight="false" outlineLevel="0" collapsed="false">
      <c r="A2080" s="19"/>
      <c r="B2080" s="19"/>
      <c r="C2080" s="19"/>
      <c r="D2080" s="19"/>
      <c r="E2080" s="32"/>
      <c r="F2080" s="19"/>
      <c r="G2080" s="26" t="str">
        <f aca="false">IF(A2080="","",COUNTIF(Pubs!$B$2:$B$3001,A2080))</f>
        <v/>
      </c>
      <c r="H2080" s="26" t="str">
        <f aca="false">IF(A2080="","",COUNTIF(Apparitions!$H$2:$H$5001,A2080))</f>
        <v/>
      </c>
      <c r="I2080" s="26" t="str">
        <f aca="false">IF(A2080="","",COUNTIFS(Apparitions!$H$2:$H$5001,A2080,Apparitions!$E$2:$E$5001,"○"))</f>
        <v/>
      </c>
      <c r="J2080" s="29" t="str">
        <f aca="false">IF(A2080="","",IFERROR(1/(1/_xlfn.MINIFS(Apparitions!$L$2:$L$5001,Apparitions!$H$2:$H$5001,A2080)),""))</f>
        <v/>
      </c>
    </row>
    <row r="2081" customFormat="false" ht="15" hidden="false" customHeight="false" outlineLevel="0" collapsed="false">
      <c r="A2081" s="19"/>
      <c r="B2081" s="19"/>
      <c r="C2081" s="19"/>
      <c r="D2081" s="19"/>
      <c r="E2081" s="32"/>
      <c r="F2081" s="19"/>
      <c r="G2081" s="26" t="str">
        <f aca="false">IF(A2081="","",COUNTIF(Pubs!$B$2:$B$3001,A2081))</f>
        <v/>
      </c>
      <c r="H2081" s="26" t="str">
        <f aca="false">IF(A2081="","",COUNTIF(Apparitions!$H$2:$H$5001,A2081))</f>
        <v/>
      </c>
      <c r="I2081" s="26" t="str">
        <f aca="false">IF(A2081="","",COUNTIFS(Apparitions!$H$2:$H$5001,A2081,Apparitions!$E$2:$E$5001,"○"))</f>
        <v/>
      </c>
      <c r="J2081" s="29" t="str">
        <f aca="false">IF(A2081="","",IFERROR(1/(1/_xlfn.MINIFS(Apparitions!$L$2:$L$5001,Apparitions!$H$2:$H$5001,A2081)),""))</f>
        <v/>
      </c>
    </row>
    <row r="2082" customFormat="false" ht="15" hidden="false" customHeight="false" outlineLevel="0" collapsed="false">
      <c r="A2082" s="19"/>
      <c r="B2082" s="19"/>
      <c r="C2082" s="19"/>
      <c r="D2082" s="19"/>
      <c r="E2082" s="32"/>
      <c r="F2082" s="19"/>
      <c r="G2082" s="26" t="str">
        <f aca="false">IF(A2082="","",COUNTIF(Pubs!$B$2:$B$3001,A2082))</f>
        <v/>
      </c>
      <c r="H2082" s="26" t="str">
        <f aca="false">IF(A2082="","",COUNTIF(Apparitions!$H$2:$H$5001,A2082))</f>
        <v/>
      </c>
      <c r="I2082" s="26" t="str">
        <f aca="false">IF(A2082="","",COUNTIFS(Apparitions!$H$2:$H$5001,A2082,Apparitions!$E$2:$E$5001,"○"))</f>
        <v/>
      </c>
      <c r="J2082" s="29" t="str">
        <f aca="false">IF(A2082="","",IFERROR(1/(1/_xlfn.MINIFS(Apparitions!$L$2:$L$5001,Apparitions!$H$2:$H$5001,A2082)),""))</f>
        <v/>
      </c>
    </row>
    <row r="2083" customFormat="false" ht="15" hidden="false" customHeight="false" outlineLevel="0" collapsed="false">
      <c r="A2083" s="19"/>
      <c r="B2083" s="19"/>
      <c r="C2083" s="19"/>
      <c r="D2083" s="19"/>
      <c r="E2083" s="32"/>
      <c r="F2083" s="19"/>
      <c r="G2083" s="26" t="str">
        <f aca="false">IF(A2083="","",COUNTIF(Pubs!$B$2:$B$3001,A2083))</f>
        <v/>
      </c>
      <c r="H2083" s="26" t="str">
        <f aca="false">IF(A2083="","",COUNTIF(Apparitions!$H$2:$H$5001,A2083))</f>
        <v/>
      </c>
      <c r="I2083" s="26" t="str">
        <f aca="false">IF(A2083="","",COUNTIFS(Apparitions!$H$2:$H$5001,A2083,Apparitions!$E$2:$E$5001,"○"))</f>
        <v/>
      </c>
      <c r="J2083" s="29" t="str">
        <f aca="false">IF(A2083="","",IFERROR(1/(1/_xlfn.MINIFS(Apparitions!$L$2:$L$5001,Apparitions!$H$2:$H$5001,A2083)),""))</f>
        <v/>
      </c>
    </row>
    <row r="2084" customFormat="false" ht="15" hidden="false" customHeight="false" outlineLevel="0" collapsed="false">
      <c r="A2084" s="19"/>
      <c r="B2084" s="19"/>
      <c r="C2084" s="19"/>
      <c r="D2084" s="19"/>
      <c r="E2084" s="32"/>
      <c r="F2084" s="19"/>
      <c r="G2084" s="26" t="str">
        <f aca="false">IF(A2084="","",COUNTIF(Pubs!$B$2:$B$3001,A2084))</f>
        <v/>
      </c>
      <c r="H2084" s="26" t="str">
        <f aca="false">IF(A2084="","",COUNTIF(Apparitions!$H$2:$H$5001,A2084))</f>
        <v/>
      </c>
      <c r="I2084" s="26" t="str">
        <f aca="false">IF(A2084="","",COUNTIFS(Apparitions!$H$2:$H$5001,A2084,Apparitions!$E$2:$E$5001,"○"))</f>
        <v/>
      </c>
      <c r="J2084" s="29" t="str">
        <f aca="false">IF(A2084="","",IFERROR(1/(1/_xlfn.MINIFS(Apparitions!$L$2:$L$5001,Apparitions!$H$2:$H$5001,A2084)),""))</f>
        <v/>
      </c>
    </row>
    <row r="2085" customFormat="false" ht="15" hidden="false" customHeight="false" outlineLevel="0" collapsed="false">
      <c r="A2085" s="19"/>
      <c r="B2085" s="19"/>
      <c r="C2085" s="19"/>
      <c r="D2085" s="19"/>
      <c r="E2085" s="32"/>
      <c r="F2085" s="19"/>
      <c r="G2085" s="26" t="str">
        <f aca="false">IF(A2085="","",COUNTIF(Pubs!$B$2:$B$3001,A2085))</f>
        <v/>
      </c>
      <c r="H2085" s="26" t="str">
        <f aca="false">IF(A2085="","",COUNTIF(Apparitions!$H$2:$H$5001,A2085))</f>
        <v/>
      </c>
      <c r="I2085" s="26" t="str">
        <f aca="false">IF(A2085="","",COUNTIFS(Apparitions!$H$2:$H$5001,A2085,Apparitions!$E$2:$E$5001,"○"))</f>
        <v/>
      </c>
      <c r="J2085" s="29" t="str">
        <f aca="false">IF(A2085="","",IFERROR(1/(1/_xlfn.MINIFS(Apparitions!$L$2:$L$5001,Apparitions!$H$2:$H$5001,A2085)),""))</f>
        <v/>
      </c>
    </row>
    <row r="2086" customFormat="false" ht="15" hidden="false" customHeight="false" outlineLevel="0" collapsed="false">
      <c r="A2086" s="19"/>
      <c r="B2086" s="19"/>
      <c r="C2086" s="19"/>
      <c r="D2086" s="19"/>
      <c r="E2086" s="32"/>
      <c r="F2086" s="19"/>
      <c r="G2086" s="26" t="str">
        <f aca="false">IF(A2086="","",COUNTIF(Pubs!$B$2:$B$3001,A2086))</f>
        <v/>
      </c>
      <c r="H2086" s="26" t="str">
        <f aca="false">IF(A2086="","",COUNTIF(Apparitions!$H$2:$H$5001,A2086))</f>
        <v/>
      </c>
      <c r="I2086" s="26" t="str">
        <f aca="false">IF(A2086="","",COUNTIFS(Apparitions!$H$2:$H$5001,A2086,Apparitions!$E$2:$E$5001,"○"))</f>
        <v/>
      </c>
      <c r="J2086" s="29" t="str">
        <f aca="false">IF(A2086="","",IFERROR(1/(1/_xlfn.MINIFS(Apparitions!$L$2:$L$5001,Apparitions!$H$2:$H$5001,A2086)),""))</f>
        <v/>
      </c>
    </row>
    <row r="2087" customFormat="false" ht="15" hidden="false" customHeight="false" outlineLevel="0" collapsed="false">
      <c r="A2087" s="19"/>
      <c r="B2087" s="19"/>
      <c r="C2087" s="19"/>
      <c r="D2087" s="19"/>
      <c r="E2087" s="32"/>
      <c r="F2087" s="19"/>
      <c r="G2087" s="26" t="str">
        <f aca="false">IF(A2087="","",COUNTIF(Pubs!$B$2:$B$3001,A2087))</f>
        <v/>
      </c>
      <c r="H2087" s="26" t="str">
        <f aca="false">IF(A2087="","",COUNTIF(Apparitions!$H$2:$H$5001,A2087))</f>
        <v/>
      </c>
      <c r="I2087" s="26" t="str">
        <f aca="false">IF(A2087="","",COUNTIFS(Apparitions!$H$2:$H$5001,A2087,Apparitions!$E$2:$E$5001,"○"))</f>
        <v/>
      </c>
      <c r="J2087" s="29" t="str">
        <f aca="false">IF(A2087="","",IFERROR(1/(1/_xlfn.MINIFS(Apparitions!$L$2:$L$5001,Apparitions!$H$2:$H$5001,A2087)),""))</f>
        <v/>
      </c>
    </row>
    <row r="2088" customFormat="false" ht="15" hidden="false" customHeight="false" outlineLevel="0" collapsed="false">
      <c r="A2088" s="19"/>
      <c r="B2088" s="19"/>
      <c r="C2088" s="19"/>
      <c r="D2088" s="19"/>
      <c r="E2088" s="32"/>
      <c r="F2088" s="19"/>
      <c r="G2088" s="26" t="str">
        <f aca="false">IF(A2088="","",COUNTIF(Pubs!$B$2:$B$3001,A2088))</f>
        <v/>
      </c>
      <c r="H2088" s="26" t="str">
        <f aca="false">IF(A2088="","",COUNTIF(Apparitions!$H$2:$H$5001,A2088))</f>
        <v/>
      </c>
      <c r="I2088" s="26" t="str">
        <f aca="false">IF(A2088="","",COUNTIFS(Apparitions!$H$2:$H$5001,A2088,Apparitions!$E$2:$E$5001,"○"))</f>
        <v/>
      </c>
      <c r="J2088" s="29" t="str">
        <f aca="false">IF(A2088="","",IFERROR(1/(1/_xlfn.MINIFS(Apparitions!$L$2:$L$5001,Apparitions!$H$2:$H$5001,A2088)),""))</f>
        <v/>
      </c>
    </row>
    <row r="2089" customFormat="false" ht="15" hidden="false" customHeight="false" outlineLevel="0" collapsed="false">
      <c r="A2089" s="19"/>
      <c r="B2089" s="19"/>
      <c r="C2089" s="19"/>
      <c r="D2089" s="19"/>
      <c r="E2089" s="32"/>
      <c r="F2089" s="19"/>
      <c r="G2089" s="26" t="str">
        <f aca="false">IF(A2089="","",COUNTIF(Pubs!$B$2:$B$3001,A2089))</f>
        <v/>
      </c>
      <c r="H2089" s="26" t="str">
        <f aca="false">IF(A2089="","",COUNTIF(Apparitions!$H$2:$H$5001,A2089))</f>
        <v/>
      </c>
      <c r="I2089" s="26" t="str">
        <f aca="false">IF(A2089="","",COUNTIFS(Apparitions!$H$2:$H$5001,A2089,Apparitions!$E$2:$E$5001,"○"))</f>
        <v/>
      </c>
      <c r="J2089" s="29" t="str">
        <f aca="false">IF(A2089="","",IFERROR(1/(1/_xlfn.MINIFS(Apparitions!$L$2:$L$5001,Apparitions!$H$2:$H$5001,A2089)),""))</f>
        <v/>
      </c>
    </row>
    <row r="2090" customFormat="false" ht="15" hidden="false" customHeight="false" outlineLevel="0" collapsed="false">
      <c r="A2090" s="19"/>
      <c r="B2090" s="19"/>
      <c r="C2090" s="19"/>
      <c r="D2090" s="19"/>
      <c r="E2090" s="32"/>
      <c r="F2090" s="19"/>
      <c r="G2090" s="26" t="str">
        <f aca="false">IF(A2090="","",COUNTIF(Pubs!$B$2:$B$3001,A2090))</f>
        <v/>
      </c>
      <c r="H2090" s="26" t="str">
        <f aca="false">IF(A2090="","",COUNTIF(Apparitions!$H$2:$H$5001,A2090))</f>
        <v/>
      </c>
      <c r="I2090" s="26" t="str">
        <f aca="false">IF(A2090="","",COUNTIFS(Apparitions!$H$2:$H$5001,A2090,Apparitions!$E$2:$E$5001,"○"))</f>
        <v/>
      </c>
      <c r="J2090" s="29" t="str">
        <f aca="false">IF(A2090="","",IFERROR(1/(1/_xlfn.MINIFS(Apparitions!$L$2:$L$5001,Apparitions!$H$2:$H$5001,A2090)),""))</f>
        <v/>
      </c>
    </row>
    <row r="2091" customFormat="false" ht="15" hidden="false" customHeight="false" outlineLevel="0" collapsed="false">
      <c r="A2091" s="19"/>
      <c r="B2091" s="19"/>
      <c r="C2091" s="19"/>
      <c r="D2091" s="19"/>
      <c r="E2091" s="32"/>
      <c r="F2091" s="19"/>
      <c r="G2091" s="26" t="str">
        <f aca="false">IF(A2091="","",COUNTIF(Pubs!$B$2:$B$3001,A2091))</f>
        <v/>
      </c>
      <c r="H2091" s="26" t="str">
        <f aca="false">IF(A2091="","",COUNTIF(Apparitions!$H$2:$H$5001,A2091))</f>
        <v/>
      </c>
      <c r="I2091" s="26" t="str">
        <f aca="false">IF(A2091="","",COUNTIFS(Apparitions!$H$2:$H$5001,A2091,Apparitions!$E$2:$E$5001,"○"))</f>
        <v/>
      </c>
      <c r="J2091" s="29" t="str">
        <f aca="false">IF(A2091="","",IFERROR(1/(1/_xlfn.MINIFS(Apparitions!$L$2:$L$5001,Apparitions!$H$2:$H$5001,A2091)),""))</f>
        <v/>
      </c>
    </row>
    <row r="2092" customFormat="false" ht="15" hidden="false" customHeight="false" outlineLevel="0" collapsed="false">
      <c r="A2092" s="19"/>
      <c r="B2092" s="19"/>
      <c r="C2092" s="19"/>
      <c r="D2092" s="19"/>
      <c r="E2092" s="32"/>
      <c r="F2092" s="19"/>
      <c r="G2092" s="26" t="str">
        <f aca="false">IF(A2092="","",COUNTIF(Pubs!$B$2:$B$3001,A2092))</f>
        <v/>
      </c>
      <c r="H2092" s="26" t="str">
        <f aca="false">IF(A2092="","",COUNTIF(Apparitions!$H$2:$H$5001,A2092))</f>
        <v/>
      </c>
      <c r="I2092" s="26" t="str">
        <f aca="false">IF(A2092="","",COUNTIFS(Apparitions!$H$2:$H$5001,A2092,Apparitions!$E$2:$E$5001,"○"))</f>
        <v/>
      </c>
      <c r="J2092" s="29" t="str">
        <f aca="false">IF(A2092="","",IFERROR(1/(1/_xlfn.MINIFS(Apparitions!$L$2:$L$5001,Apparitions!$H$2:$H$5001,A2092)),""))</f>
        <v/>
      </c>
    </row>
    <row r="2093" customFormat="false" ht="15" hidden="false" customHeight="false" outlineLevel="0" collapsed="false">
      <c r="A2093" s="19"/>
      <c r="B2093" s="19"/>
      <c r="C2093" s="19"/>
      <c r="D2093" s="19"/>
      <c r="E2093" s="32"/>
      <c r="F2093" s="19"/>
      <c r="G2093" s="26" t="str">
        <f aca="false">IF(A2093="","",COUNTIF(Pubs!$B$2:$B$3001,A2093))</f>
        <v/>
      </c>
      <c r="H2093" s="26" t="str">
        <f aca="false">IF(A2093="","",COUNTIF(Apparitions!$H$2:$H$5001,A2093))</f>
        <v/>
      </c>
      <c r="I2093" s="26" t="str">
        <f aca="false">IF(A2093="","",COUNTIFS(Apparitions!$H$2:$H$5001,A2093,Apparitions!$E$2:$E$5001,"○"))</f>
        <v/>
      </c>
      <c r="J2093" s="29" t="str">
        <f aca="false">IF(A2093="","",IFERROR(1/(1/_xlfn.MINIFS(Apparitions!$L$2:$L$5001,Apparitions!$H$2:$H$5001,A2093)),""))</f>
        <v/>
      </c>
    </row>
    <row r="2094" customFormat="false" ht="15" hidden="false" customHeight="false" outlineLevel="0" collapsed="false">
      <c r="A2094" s="19"/>
      <c r="B2094" s="19"/>
      <c r="C2094" s="19"/>
      <c r="D2094" s="19"/>
      <c r="E2094" s="32"/>
      <c r="F2094" s="19"/>
      <c r="G2094" s="26" t="str">
        <f aca="false">IF(A2094="","",COUNTIF(Pubs!$B$2:$B$3001,A2094))</f>
        <v/>
      </c>
      <c r="H2094" s="26" t="str">
        <f aca="false">IF(A2094="","",COUNTIF(Apparitions!$H$2:$H$5001,A2094))</f>
        <v/>
      </c>
      <c r="I2094" s="26" t="str">
        <f aca="false">IF(A2094="","",COUNTIFS(Apparitions!$H$2:$H$5001,A2094,Apparitions!$E$2:$E$5001,"○"))</f>
        <v/>
      </c>
      <c r="J2094" s="29" t="str">
        <f aca="false">IF(A2094="","",IFERROR(1/(1/_xlfn.MINIFS(Apparitions!$L$2:$L$5001,Apparitions!$H$2:$H$5001,A2094)),""))</f>
        <v/>
      </c>
    </row>
    <row r="2095" customFormat="false" ht="15" hidden="false" customHeight="false" outlineLevel="0" collapsed="false">
      <c r="A2095" s="19"/>
      <c r="B2095" s="19"/>
      <c r="C2095" s="19"/>
      <c r="D2095" s="19"/>
      <c r="E2095" s="32"/>
      <c r="F2095" s="19"/>
      <c r="G2095" s="26" t="str">
        <f aca="false">IF(A2095="","",COUNTIF(Pubs!$B$2:$B$3001,A2095))</f>
        <v/>
      </c>
      <c r="H2095" s="26" t="str">
        <f aca="false">IF(A2095="","",COUNTIF(Apparitions!$H$2:$H$5001,A2095))</f>
        <v/>
      </c>
      <c r="I2095" s="26" t="str">
        <f aca="false">IF(A2095="","",COUNTIFS(Apparitions!$H$2:$H$5001,A2095,Apparitions!$E$2:$E$5001,"○"))</f>
        <v/>
      </c>
      <c r="J2095" s="29" t="str">
        <f aca="false">IF(A2095="","",IFERROR(1/(1/_xlfn.MINIFS(Apparitions!$L$2:$L$5001,Apparitions!$H$2:$H$5001,A2095)),""))</f>
        <v/>
      </c>
    </row>
    <row r="2096" customFormat="false" ht="15" hidden="false" customHeight="false" outlineLevel="0" collapsed="false">
      <c r="A2096" s="19"/>
      <c r="B2096" s="19"/>
      <c r="C2096" s="19"/>
      <c r="D2096" s="19"/>
      <c r="E2096" s="32"/>
      <c r="F2096" s="19"/>
      <c r="G2096" s="26" t="str">
        <f aca="false">IF(A2096="","",COUNTIF(Pubs!$B$2:$B$3001,A2096))</f>
        <v/>
      </c>
      <c r="H2096" s="26" t="str">
        <f aca="false">IF(A2096="","",COUNTIF(Apparitions!$H$2:$H$5001,A2096))</f>
        <v/>
      </c>
      <c r="I2096" s="26" t="str">
        <f aca="false">IF(A2096="","",COUNTIFS(Apparitions!$H$2:$H$5001,A2096,Apparitions!$E$2:$E$5001,"○"))</f>
        <v/>
      </c>
      <c r="J2096" s="29" t="str">
        <f aca="false">IF(A2096="","",IFERROR(1/(1/_xlfn.MINIFS(Apparitions!$L$2:$L$5001,Apparitions!$H$2:$H$5001,A2096)),""))</f>
        <v/>
      </c>
    </row>
    <row r="2097" customFormat="false" ht="15" hidden="false" customHeight="false" outlineLevel="0" collapsed="false">
      <c r="A2097" s="19"/>
      <c r="B2097" s="19"/>
      <c r="C2097" s="19"/>
      <c r="D2097" s="19"/>
      <c r="E2097" s="32"/>
      <c r="F2097" s="19"/>
      <c r="G2097" s="26" t="str">
        <f aca="false">IF(A2097="","",COUNTIF(Pubs!$B$2:$B$3001,A2097))</f>
        <v/>
      </c>
      <c r="H2097" s="26" t="str">
        <f aca="false">IF(A2097="","",COUNTIF(Apparitions!$H$2:$H$5001,A2097))</f>
        <v/>
      </c>
      <c r="I2097" s="26" t="str">
        <f aca="false">IF(A2097="","",COUNTIFS(Apparitions!$H$2:$H$5001,A2097,Apparitions!$E$2:$E$5001,"○"))</f>
        <v/>
      </c>
      <c r="J2097" s="29" t="str">
        <f aca="false">IF(A2097="","",IFERROR(1/(1/_xlfn.MINIFS(Apparitions!$L$2:$L$5001,Apparitions!$H$2:$H$5001,A2097)),""))</f>
        <v/>
      </c>
    </row>
    <row r="2098" customFormat="false" ht="15" hidden="false" customHeight="false" outlineLevel="0" collapsed="false">
      <c r="A2098" s="19"/>
      <c r="B2098" s="19"/>
      <c r="C2098" s="19"/>
      <c r="D2098" s="19"/>
      <c r="E2098" s="32"/>
      <c r="F2098" s="19"/>
      <c r="G2098" s="26" t="str">
        <f aca="false">IF(A2098="","",COUNTIF(Pubs!$B$2:$B$3001,A2098))</f>
        <v/>
      </c>
      <c r="H2098" s="26" t="str">
        <f aca="false">IF(A2098="","",COUNTIF(Apparitions!$H$2:$H$5001,A2098))</f>
        <v/>
      </c>
      <c r="I2098" s="26" t="str">
        <f aca="false">IF(A2098="","",COUNTIFS(Apparitions!$H$2:$H$5001,A2098,Apparitions!$E$2:$E$5001,"○"))</f>
        <v/>
      </c>
      <c r="J2098" s="29" t="str">
        <f aca="false">IF(A2098="","",IFERROR(1/(1/_xlfn.MINIFS(Apparitions!$L$2:$L$5001,Apparitions!$H$2:$H$5001,A2098)),""))</f>
        <v/>
      </c>
    </row>
    <row r="2099" customFormat="false" ht="15" hidden="false" customHeight="false" outlineLevel="0" collapsed="false">
      <c r="A2099" s="19"/>
      <c r="B2099" s="19"/>
      <c r="C2099" s="19"/>
      <c r="D2099" s="19"/>
      <c r="E2099" s="32"/>
      <c r="F2099" s="19"/>
      <c r="G2099" s="26" t="str">
        <f aca="false">IF(A2099="","",COUNTIF(Pubs!$B$2:$B$3001,A2099))</f>
        <v/>
      </c>
      <c r="H2099" s="26" t="str">
        <f aca="false">IF(A2099="","",COUNTIF(Apparitions!$H$2:$H$5001,A2099))</f>
        <v/>
      </c>
      <c r="I2099" s="26" t="str">
        <f aca="false">IF(A2099="","",COUNTIFS(Apparitions!$H$2:$H$5001,A2099,Apparitions!$E$2:$E$5001,"○"))</f>
        <v/>
      </c>
      <c r="J2099" s="29" t="str">
        <f aca="false">IF(A2099="","",IFERROR(1/(1/_xlfn.MINIFS(Apparitions!$L$2:$L$5001,Apparitions!$H$2:$H$5001,A2099)),""))</f>
        <v/>
      </c>
    </row>
    <row r="2100" customFormat="false" ht="15" hidden="false" customHeight="false" outlineLevel="0" collapsed="false">
      <c r="A2100" s="19"/>
      <c r="B2100" s="19"/>
      <c r="C2100" s="19"/>
      <c r="D2100" s="19"/>
      <c r="E2100" s="32"/>
      <c r="F2100" s="19"/>
      <c r="G2100" s="26" t="str">
        <f aca="false">IF(A2100="","",COUNTIF(Pubs!$B$2:$B$3001,A2100))</f>
        <v/>
      </c>
      <c r="H2100" s="26" t="str">
        <f aca="false">IF(A2100="","",COUNTIF(Apparitions!$H$2:$H$5001,A2100))</f>
        <v/>
      </c>
      <c r="I2100" s="26" t="str">
        <f aca="false">IF(A2100="","",COUNTIFS(Apparitions!$H$2:$H$5001,A2100,Apparitions!$E$2:$E$5001,"○"))</f>
        <v/>
      </c>
      <c r="J2100" s="29" t="str">
        <f aca="false">IF(A2100="","",IFERROR(1/(1/_xlfn.MINIFS(Apparitions!$L$2:$L$5001,Apparitions!$H$2:$H$5001,A2100)),""))</f>
        <v/>
      </c>
    </row>
    <row r="2101" customFormat="false" ht="15" hidden="false" customHeight="false" outlineLevel="0" collapsed="false">
      <c r="A2101" s="19"/>
      <c r="B2101" s="19"/>
      <c r="C2101" s="19"/>
      <c r="D2101" s="19"/>
      <c r="E2101" s="32"/>
      <c r="F2101" s="19"/>
      <c r="G2101" s="26" t="str">
        <f aca="false">IF(A2101="","",COUNTIF(Pubs!$B$2:$B$3001,A2101))</f>
        <v/>
      </c>
      <c r="H2101" s="26" t="str">
        <f aca="false">IF(A2101="","",COUNTIF(Apparitions!$H$2:$H$5001,A2101))</f>
        <v/>
      </c>
      <c r="I2101" s="26" t="str">
        <f aca="false">IF(A2101="","",COUNTIFS(Apparitions!$H$2:$H$5001,A2101,Apparitions!$E$2:$E$5001,"○"))</f>
        <v/>
      </c>
      <c r="J2101" s="29" t="str">
        <f aca="false">IF(A2101="","",IFERROR(1/(1/_xlfn.MINIFS(Apparitions!$L$2:$L$5001,Apparitions!$H$2:$H$5001,A2101)),""))</f>
        <v/>
      </c>
    </row>
    <row r="2102" customFormat="false" ht="15" hidden="false" customHeight="false" outlineLevel="0" collapsed="false">
      <c r="A2102" s="19"/>
      <c r="B2102" s="19"/>
      <c r="C2102" s="19"/>
      <c r="D2102" s="19"/>
      <c r="E2102" s="32"/>
      <c r="F2102" s="19"/>
      <c r="G2102" s="26" t="str">
        <f aca="false">IF(A2102="","",COUNTIF(Pubs!$B$2:$B$3001,A2102))</f>
        <v/>
      </c>
      <c r="H2102" s="26" t="str">
        <f aca="false">IF(A2102="","",COUNTIF(Apparitions!$H$2:$H$5001,A2102))</f>
        <v/>
      </c>
      <c r="I2102" s="26" t="str">
        <f aca="false">IF(A2102="","",COUNTIFS(Apparitions!$H$2:$H$5001,A2102,Apparitions!$E$2:$E$5001,"○"))</f>
        <v/>
      </c>
      <c r="J2102" s="29" t="str">
        <f aca="false">IF(A2102="","",IFERROR(1/(1/_xlfn.MINIFS(Apparitions!$L$2:$L$5001,Apparitions!$H$2:$H$5001,A2102)),""))</f>
        <v/>
      </c>
    </row>
    <row r="2103" customFormat="false" ht="15" hidden="false" customHeight="false" outlineLevel="0" collapsed="false">
      <c r="A2103" s="19"/>
      <c r="B2103" s="19"/>
      <c r="C2103" s="19"/>
      <c r="D2103" s="19"/>
      <c r="E2103" s="32"/>
      <c r="F2103" s="19"/>
      <c r="G2103" s="26" t="str">
        <f aca="false">IF(A2103="","",COUNTIF(Pubs!$B$2:$B$3001,A2103))</f>
        <v/>
      </c>
      <c r="H2103" s="26" t="str">
        <f aca="false">IF(A2103="","",COUNTIF(Apparitions!$H$2:$H$5001,A2103))</f>
        <v/>
      </c>
      <c r="I2103" s="26" t="str">
        <f aca="false">IF(A2103="","",COUNTIFS(Apparitions!$H$2:$H$5001,A2103,Apparitions!$E$2:$E$5001,"○"))</f>
        <v/>
      </c>
      <c r="J2103" s="29" t="str">
        <f aca="false">IF(A2103="","",IFERROR(1/(1/_xlfn.MINIFS(Apparitions!$L$2:$L$5001,Apparitions!$H$2:$H$5001,A2103)),""))</f>
        <v/>
      </c>
    </row>
    <row r="2104" customFormat="false" ht="15" hidden="false" customHeight="false" outlineLevel="0" collapsed="false">
      <c r="A2104" s="19"/>
      <c r="B2104" s="19"/>
      <c r="C2104" s="19"/>
      <c r="D2104" s="19"/>
      <c r="E2104" s="32"/>
      <c r="F2104" s="19"/>
      <c r="G2104" s="26" t="str">
        <f aca="false">IF(A2104="","",COUNTIF(Pubs!$B$2:$B$3001,A2104))</f>
        <v/>
      </c>
      <c r="H2104" s="26" t="str">
        <f aca="false">IF(A2104="","",COUNTIF(Apparitions!$H$2:$H$5001,A2104))</f>
        <v/>
      </c>
      <c r="I2104" s="26" t="str">
        <f aca="false">IF(A2104="","",COUNTIFS(Apparitions!$H$2:$H$5001,A2104,Apparitions!$E$2:$E$5001,"○"))</f>
        <v/>
      </c>
      <c r="J2104" s="29" t="str">
        <f aca="false">IF(A2104="","",IFERROR(1/(1/_xlfn.MINIFS(Apparitions!$L$2:$L$5001,Apparitions!$H$2:$H$5001,A2104)),""))</f>
        <v/>
      </c>
    </row>
    <row r="2105" customFormat="false" ht="15" hidden="false" customHeight="false" outlineLevel="0" collapsed="false">
      <c r="A2105" s="19"/>
      <c r="B2105" s="19"/>
      <c r="C2105" s="19"/>
      <c r="D2105" s="19"/>
      <c r="E2105" s="32"/>
      <c r="F2105" s="19"/>
      <c r="G2105" s="26" t="str">
        <f aca="false">IF(A2105="","",COUNTIF(Pubs!$B$2:$B$3001,A2105))</f>
        <v/>
      </c>
      <c r="H2105" s="26" t="str">
        <f aca="false">IF(A2105="","",COUNTIF(Apparitions!$H$2:$H$5001,A2105))</f>
        <v/>
      </c>
      <c r="I2105" s="26" t="str">
        <f aca="false">IF(A2105="","",COUNTIFS(Apparitions!$H$2:$H$5001,A2105,Apparitions!$E$2:$E$5001,"○"))</f>
        <v/>
      </c>
      <c r="J2105" s="29" t="str">
        <f aca="false">IF(A2105="","",IFERROR(1/(1/_xlfn.MINIFS(Apparitions!$L$2:$L$5001,Apparitions!$H$2:$H$5001,A2105)),""))</f>
        <v/>
      </c>
    </row>
    <row r="2106" customFormat="false" ht="15" hidden="false" customHeight="false" outlineLevel="0" collapsed="false">
      <c r="A2106" s="19"/>
      <c r="B2106" s="19"/>
      <c r="C2106" s="19"/>
      <c r="D2106" s="19"/>
      <c r="E2106" s="32"/>
      <c r="F2106" s="19"/>
      <c r="G2106" s="26" t="str">
        <f aca="false">IF(A2106="","",COUNTIF(Pubs!$B$2:$B$3001,A2106))</f>
        <v/>
      </c>
      <c r="H2106" s="26" t="str">
        <f aca="false">IF(A2106="","",COUNTIF(Apparitions!$H$2:$H$5001,A2106))</f>
        <v/>
      </c>
      <c r="I2106" s="26" t="str">
        <f aca="false">IF(A2106="","",COUNTIFS(Apparitions!$H$2:$H$5001,A2106,Apparitions!$E$2:$E$5001,"○"))</f>
        <v/>
      </c>
      <c r="J2106" s="29" t="str">
        <f aca="false">IF(A2106="","",IFERROR(1/(1/_xlfn.MINIFS(Apparitions!$L$2:$L$5001,Apparitions!$H$2:$H$5001,A2106)),""))</f>
        <v/>
      </c>
    </row>
    <row r="2107" customFormat="false" ht="15" hidden="false" customHeight="false" outlineLevel="0" collapsed="false">
      <c r="A2107" s="19"/>
      <c r="B2107" s="19"/>
      <c r="C2107" s="19"/>
      <c r="D2107" s="19"/>
      <c r="E2107" s="32"/>
      <c r="F2107" s="19"/>
      <c r="G2107" s="26" t="str">
        <f aca="false">IF(A2107="","",COUNTIF(Pubs!$B$2:$B$3001,A2107))</f>
        <v/>
      </c>
      <c r="H2107" s="26" t="str">
        <f aca="false">IF(A2107="","",COUNTIF(Apparitions!$H$2:$H$5001,A2107))</f>
        <v/>
      </c>
      <c r="I2107" s="26" t="str">
        <f aca="false">IF(A2107="","",COUNTIFS(Apparitions!$H$2:$H$5001,A2107,Apparitions!$E$2:$E$5001,"○"))</f>
        <v/>
      </c>
      <c r="J2107" s="29" t="str">
        <f aca="false">IF(A2107="","",IFERROR(1/(1/_xlfn.MINIFS(Apparitions!$L$2:$L$5001,Apparitions!$H$2:$H$5001,A2107)),""))</f>
        <v/>
      </c>
    </row>
    <row r="2108" customFormat="false" ht="15" hidden="false" customHeight="false" outlineLevel="0" collapsed="false">
      <c r="A2108" s="19"/>
      <c r="B2108" s="19"/>
      <c r="C2108" s="19"/>
      <c r="D2108" s="19"/>
      <c r="E2108" s="32"/>
      <c r="F2108" s="19"/>
      <c r="G2108" s="26" t="str">
        <f aca="false">IF(A2108="","",COUNTIF(Pubs!$B$2:$B$3001,A2108))</f>
        <v/>
      </c>
      <c r="H2108" s="26" t="str">
        <f aca="false">IF(A2108="","",COUNTIF(Apparitions!$H$2:$H$5001,A2108))</f>
        <v/>
      </c>
      <c r="I2108" s="26" t="str">
        <f aca="false">IF(A2108="","",COUNTIFS(Apparitions!$H$2:$H$5001,A2108,Apparitions!$E$2:$E$5001,"○"))</f>
        <v/>
      </c>
      <c r="J2108" s="29" t="str">
        <f aca="false">IF(A2108="","",IFERROR(1/(1/_xlfn.MINIFS(Apparitions!$L$2:$L$5001,Apparitions!$H$2:$H$5001,A2108)),""))</f>
        <v/>
      </c>
    </row>
    <row r="2109" customFormat="false" ht="15" hidden="false" customHeight="false" outlineLevel="0" collapsed="false">
      <c r="A2109" s="19"/>
      <c r="B2109" s="19"/>
      <c r="C2109" s="19"/>
      <c r="D2109" s="19"/>
      <c r="E2109" s="32"/>
      <c r="F2109" s="19"/>
      <c r="G2109" s="26" t="str">
        <f aca="false">IF(A2109="","",COUNTIF(Pubs!$B$2:$B$3001,A2109))</f>
        <v/>
      </c>
      <c r="H2109" s="26" t="str">
        <f aca="false">IF(A2109="","",COUNTIF(Apparitions!$H$2:$H$5001,A2109))</f>
        <v/>
      </c>
      <c r="I2109" s="26" t="str">
        <f aca="false">IF(A2109="","",COUNTIFS(Apparitions!$H$2:$H$5001,A2109,Apparitions!$E$2:$E$5001,"○"))</f>
        <v/>
      </c>
      <c r="J2109" s="29" t="str">
        <f aca="false">IF(A2109="","",IFERROR(1/(1/_xlfn.MINIFS(Apparitions!$L$2:$L$5001,Apparitions!$H$2:$H$5001,A2109)),""))</f>
        <v/>
      </c>
    </row>
    <row r="2110" customFormat="false" ht="15" hidden="false" customHeight="false" outlineLevel="0" collapsed="false">
      <c r="A2110" s="19"/>
      <c r="B2110" s="19"/>
      <c r="C2110" s="19"/>
      <c r="D2110" s="19"/>
      <c r="E2110" s="32"/>
      <c r="F2110" s="19"/>
      <c r="G2110" s="26" t="str">
        <f aca="false">IF(A2110="","",COUNTIF(Pubs!$B$2:$B$3001,A2110))</f>
        <v/>
      </c>
      <c r="H2110" s="26" t="str">
        <f aca="false">IF(A2110="","",COUNTIF(Apparitions!$H$2:$H$5001,A2110))</f>
        <v/>
      </c>
      <c r="I2110" s="26" t="str">
        <f aca="false">IF(A2110="","",COUNTIFS(Apparitions!$H$2:$H$5001,A2110,Apparitions!$E$2:$E$5001,"○"))</f>
        <v/>
      </c>
      <c r="J2110" s="29" t="str">
        <f aca="false">IF(A2110="","",IFERROR(1/(1/_xlfn.MINIFS(Apparitions!$L$2:$L$5001,Apparitions!$H$2:$H$5001,A2110)),""))</f>
        <v/>
      </c>
    </row>
    <row r="2111" customFormat="false" ht="15" hidden="false" customHeight="false" outlineLevel="0" collapsed="false">
      <c r="A2111" s="19"/>
      <c r="B2111" s="19"/>
      <c r="C2111" s="19"/>
      <c r="D2111" s="19"/>
      <c r="E2111" s="32"/>
      <c r="F2111" s="19"/>
      <c r="G2111" s="26" t="str">
        <f aca="false">IF(A2111="","",COUNTIF(Pubs!$B$2:$B$3001,A2111))</f>
        <v/>
      </c>
      <c r="H2111" s="26" t="str">
        <f aca="false">IF(A2111="","",COUNTIF(Apparitions!$H$2:$H$5001,A2111))</f>
        <v/>
      </c>
      <c r="I2111" s="26" t="str">
        <f aca="false">IF(A2111="","",COUNTIFS(Apparitions!$H$2:$H$5001,A2111,Apparitions!$E$2:$E$5001,"○"))</f>
        <v/>
      </c>
      <c r="J2111" s="29" t="str">
        <f aca="false">IF(A2111="","",IFERROR(1/(1/_xlfn.MINIFS(Apparitions!$L$2:$L$5001,Apparitions!$H$2:$H$5001,A2111)),""))</f>
        <v/>
      </c>
    </row>
    <row r="2112" customFormat="false" ht="15" hidden="false" customHeight="false" outlineLevel="0" collapsed="false">
      <c r="A2112" s="19"/>
      <c r="B2112" s="19"/>
      <c r="C2112" s="19"/>
      <c r="D2112" s="19"/>
      <c r="E2112" s="32"/>
      <c r="F2112" s="19"/>
      <c r="G2112" s="26" t="str">
        <f aca="false">IF(A2112="","",COUNTIF(Pubs!$B$2:$B$3001,A2112))</f>
        <v/>
      </c>
      <c r="H2112" s="26" t="str">
        <f aca="false">IF(A2112="","",COUNTIF(Apparitions!$H$2:$H$5001,A2112))</f>
        <v/>
      </c>
      <c r="I2112" s="26" t="str">
        <f aca="false">IF(A2112="","",COUNTIFS(Apparitions!$H$2:$H$5001,A2112,Apparitions!$E$2:$E$5001,"○"))</f>
        <v/>
      </c>
      <c r="J2112" s="29" t="str">
        <f aca="false">IF(A2112="","",IFERROR(1/(1/_xlfn.MINIFS(Apparitions!$L$2:$L$5001,Apparitions!$H$2:$H$5001,A2112)),""))</f>
        <v/>
      </c>
    </row>
    <row r="2113" customFormat="false" ht="15" hidden="false" customHeight="false" outlineLevel="0" collapsed="false">
      <c r="A2113" s="19"/>
      <c r="B2113" s="19"/>
      <c r="C2113" s="19"/>
      <c r="D2113" s="19"/>
      <c r="E2113" s="32"/>
      <c r="F2113" s="19"/>
      <c r="G2113" s="26" t="str">
        <f aca="false">IF(A2113="","",COUNTIF(Pubs!$B$2:$B$3001,A2113))</f>
        <v/>
      </c>
      <c r="H2113" s="26" t="str">
        <f aca="false">IF(A2113="","",COUNTIF(Apparitions!$H$2:$H$5001,A2113))</f>
        <v/>
      </c>
      <c r="I2113" s="26" t="str">
        <f aca="false">IF(A2113="","",COUNTIFS(Apparitions!$H$2:$H$5001,A2113,Apparitions!$E$2:$E$5001,"○"))</f>
        <v/>
      </c>
      <c r="J2113" s="29" t="str">
        <f aca="false">IF(A2113="","",IFERROR(1/(1/_xlfn.MINIFS(Apparitions!$L$2:$L$5001,Apparitions!$H$2:$H$5001,A2113)),""))</f>
        <v/>
      </c>
    </row>
    <row r="2114" customFormat="false" ht="15" hidden="false" customHeight="false" outlineLevel="0" collapsed="false">
      <c r="A2114" s="19"/>
      <c r="B2114" s="19"/>
      <c r="C2114" s="19"/>
      <c r="D2114" s="19"/>
      <c r="E2114" s="32"/>
      <c r="F2114" s="19"/>
      <c r="G2114" s="26" t="str">
        <f aca="false">IF(A2114="","",COUNTIF(Pubs!$B$2:$B$3001,A2114))</f>
        <v/>
      </c>
      <c r="H2114" s="26" t="str">
        <f aca="false">IF(A2114="","",COUNTIF(Apparitions!$H$2:$H$5001,A2114))</f>
        <v/>
      </c>
      <c r="I2114" s="26" t="str">
        <f aca="false">IF(A2114="","",COUNTIFS(Apparitions!$H$2:$H$5001,A2114,Apparitions!$E$2:$E$5001,"○"))</f>
        <v/>
      </c>
      <c r="J2114" s="29" t="str">
        <f aca="false">IF(A2114="","",IFERROR(1/(1/_xlfn.MINIFS(Apparitions!$L$2:$L$5001,Apparitions!$H$2:$H$5001,A2114)),""))</f>
        <v/>
      </c>
    </row>
    <row r="2115" customFormat="false" ht="15" hidden="false" customHeight="false" outlineLevel="0" collapsed="false">
      <c r="A2115" s="19"/>
      <c r="B2115" s="19"/>
      <c r="C2115" s="19"/>
      <c r="D2115" s="19"/>
      <c r="E2115" s="32"/>
      <c r="F2115" s="19"/>
      <c r="G2115" s="26" t="str">
        <f aca="false">IF(A2115="","",COUNTIF(Pubs!$B$2:$B$3001,A2115))</f>
        <v/>
      </c>
      <c r="H2115" s="26" t="str">
        <f aca="false">IF(A2115="","",COUNTIF(Apparitions!$H$2:$H$5001,A2115))</f>
        <v/>
      </c>
      <c r="I2115" s="26" t="str">
        <f aca="false">IF(A2115="","",COUNTIFS(Apparitions!$H$2:$H$5001,A2115,Apparitions!$E$2:$E$5001,"○"))</f>
        <v/>
      </c>
      <c r="J2115" s="29" t="str">
        <f aca="false">IF(A2115="","",IFERROR(1/(1/_xlfn.MINIFS(Apparitions!$L$2:$L$5001,Apparitions!$H$2:$H$5001,A2115)),""))</f>
        <v/>
      </c>
    </row>
    <row r="2116" customFormat="false" ht="15" hidden="false" customHeight="false" outlineLevel="0" collapsed="false">
      <c r="A2116" s="19"/>
      <c r="B2116" s="19"/>
      <c r="C2116" s="19"/>
      <c r="D2116" s="19"/>
      <c r="E2116" s="32"/>
      <c r="F2116" s="19"/>
      <c r="G2116" s="26" t="str">
        <f aca="false">IF(A2116="","",COUNTIF(Pubs!$B$2:$B$3001,A2116))</f>
        <v/>
      </c>
      <c r="H2116" s="26" t="str">
        <f aca="false">IF(A2116="","",COUNTIF(Apparitions!$H$2:$H$5001,A2116))</f>
        <v/>
      </c>
      <c r="I2116" s="26" t="str">
        <f aca="false">IF(A2116="","",COUNTIFS(Apparitions!$H$2:$H$5001,A2116,Apparitions!$E$2:$E$5001,"○"))</f>
        <v/>
      </c>
      <c r="J2116" s="29" t="str">
        <f aca="false">IF(A2116="","",IFERROR(1/(1/_xlfn.MINIFS(Apparitions!$L$2:$L$5001,Apparitions!$H$2:$H$5001,A2116)),""))</f>
        <v/>
      </c>
    </row>
    <row r="2117" customFormat="false" ht="15" hidden="false" customHeight="false" outlineLevel="0" collapsed="false">
      <c r="A2117" s="19"/>
      <c r="B2117" s="19"/>
      <c r="C2117" s="19"/>
      <c r="D2117" s="19"/>
      <c r="E2117" s="32"/>
      <c r="F2117" s="19"/>
      <c r="G2117" s="26" t="str">
        <f aca="false">IF(A2117="","",COUNTIF(Pubs!$B$2:$B$3001,A2117))</f>
        <v/>
      </c>
      <c r="H2117" s="26" t="str">
        <f aca="false">IF(A2117="","",COUNTIF(Apparitions!$H$2:$H$5001,A2117))</f>
        <v/>
      </c>
      <c r="I2117" s="26" t="str">
        <f aca="false">IF(A2117="","",COUNTIFS(Apparitions!$H$2:$H$5001,A2117,Apparitions!$E$2:$E$5001,"○"))</f>
        <v/>
      </c>
      <c r="J2117" s="29" t="str">
        <f aca="false">IF(A2117="","",IFERROR(1/(1/_xlfn.MINIFS(Apparitions!$L$2:$L$5001,Apparitions!$H$2:$H$5001,A2117)),""))</f>
        <v/>
      </c>
    </row>
    <row r="2118" customFormat="false" ht="15" hidden="false" customHeight="false" outlineLevel="0" collapsed="false">
      <c r="A2118" s="19"/>
      <c r="B2118" s="19"/>
      <c r="C2118" s="19"/>
      <c r="D2118" s="19"/>
      <c r="E2118" s="32"/>
      <c r="F2118" s="19"/>
      <c r="G2118" s="26" t="str">
        <f aca="false">IF(A2118="","",COUNTIF(Pubs!$B$2:$B$3001,A2118))</f>
        <v/>
      </c>
      <c r="H2118" s="26" t="str">
        <f aca="false">IF(A2118="","",COUNTIF(Apparitions!$H$2:$H$5001,A2118))</f>
        <v/>
      </c>
      <c r="I2118" s="26" t="str">
        <f aca="false">IF(A2118="","",COUNTIFS(Apparitions!$H$2:$H$5001,A2118,Apparitions!$E$2:$E$5001,"○"))</f>
        <v/>
      </c>
      <c r="J2118" s="29" t="str">
        <f aca="false">IF(A2118="","",IFERROR(1/(1/_xlfn.MINIFS(Apparitions!$L$2:$L$5001,Apparitions!$H$2:$H$5001,A2118)),""))</f>
        <v/>
      </c>
    </row>
    <row r="2119" customFormat="false" ht="15" hidden="false" customHeight="false" outlineLevel="0" collapsed="false">
      <c r="A2119" s="19"/>
      <c r="B2119" s="19"/>
      <c r="C2119" s="19"/>
      <c r="D2119" s="19"/>
      <c r="E2119" s="32"/>
      <c r="F2119" s="19"/>
      <c r="G2119" s="26" t="str">
        <f aca="false">IF(A2119="","",COUNTIF(Pubs!$B$2:$B$3001,A2119))</f>
        <v/>
      </c>
      <c r="H2119" s="26" t="str">
        <f aca="false">IF(A2119="","",COUNTIF(Apparitions!$H$2:$H$5001,A2119))</f>
        <v/>
      </c>
      <c r="I2119" s="26" t="str">
        <f aca="false">IF(A2119="","",COUNTIFS(Apparitions!$H$2:$H$5001,A2119,Apparitions!$E$2:$E$5001,"○"))</f>
        <v/>
      </c>
      <c r="J2119" s="29" t="str">
        <f aca="false">IF(A2119="","",IFERROR(1/(1/_xlfn.MINIFS(Apparitions!$L$2:$L$5001,Apparitions!$H$2:$H$5001,A2119)),""))</f>
        <v/>
      </c>
    </row>
    <row r="2120" customFormat="false" ht="15" hidden="false" customHeight="false" outlineLevel="0" collapsed="false">
      <c r="A2120" s="19"/>
      <c r="B2120" s="19"/>
      <c r="C2120" s="19"/>
      <c r="D2120" s="19"/>
      <c r="E2120" s="32"/>
      <c r="F2120" s="19"/>
      <c r="G2120" s="26" t="str">
        <f aca="false">IF(A2120="","",COUNTIF(Pubs!$B$2:$B$3001,A2120))</f>
        <v/>
      </c>
      <c r="H2120" s="26" t="str">
        <f aca="false">IF(A2120="","",COUNTIF(Apparitions!$H$2:$H$5001,A2120))</f>
        <v/>
      </c>
      <c r="I2120" s="26" t="str">
        <f aca="false">IF(A2120="","",COUNTIFS(Apparitions!$H$2:$H$5001,A2120,Apparitions!$E$2:$E$5001,"○"))</f>
        <v/>
      </c>
      <c r="J2120" s="29" t="str">
        <f aca="false">IF(A2120="","",IFERROR(1/(1/_xlfn.MINIFS(Apparitions!$L$2:$L$5001,Apparitions!$H$2:$H$5001,A2120)),""))</f>
        <v/>
      </c>
    </row>
    <row r="2121" customFormat="false" ht="15" hidden="false" customHeight="false" outlineLevel="0" collapsed="false">
      <c r="A2121" s="19"/>
      <c r="B2121" s="19"/>
      <c r="C2121" s="19"/>
      <c r="D2121" s="19"/>
      <c r="E2121" s="32"/>
      <c r="F2121" s="19"/>
      <c r="G2121" s="26" t="str">
        <f aca="false">IF(A2121="","",COUNTIF(Pubs!$B$2:$B$3001,A2121))</f>
        <v/>
      </c>
      <c r="H2121" s="26" t="str">
        <f aca="false">IF(A2121="","",COUNTIF(Apparitions!$H$2:$H$5001,A2121))</f>
        <v/>
      </c>
      <c r="I2121" s="26" t="str">
        <f aca="false">IF(A2121="","",COUNTIFS(Apparitions!$H$2:$H$5001,A2121,Apparitions!$E$2:$E$5001,"○"))</f>
        <v/>
      </c>
      <c r="J2121" s="29" t="str">
        <f aca="false">IF(A2121="","",IFERROR(1/(1/_xlfn.MINIFS(Apparitions!$L$2:$L$5001,Apparitions!$H$2:$H$5001,A2121)),""))</f>
        <v/>
      </c>
    </row>
    <row r="2122" customFormat="false" ht="15" hidden="false" customHeight="false" outlineLevel="0" collapsed="false">
      <c r="A2122" s="19"/>
      <c r="B2122" s="19"/>
      <c r="C2122" s="19"/>
      <c r="D2122" s="19"/>
      <c r="E2122" s="32"/>
      <c r="F2122" s="19"/>
      <c r="G2122" s="26" t="str">
        <f aca="false">IF(A2122="","",COUNTIF(Pubs!$B$2:$B$3001,A2122))</f>
        <v/>
      </c>
      <c r="H2122" s="26" t="str">
        <f aca="false">IF(A2122="","",COUNTIF(Apparitions!$H$2:$H$5001,A2122))</f>
        <v/>
      </c>
      <c r="I2122" s="26" t="str">
        <f aca="false">IF(A2122="","",COUNTIFS(Apparitions!$H$2:$H$5001,A2122,Apparitions!$E$2:$E$5001,"○"))</f>
        <v/>
      </c>
      <c r="J2122" s="29" t="str">
        <f aca="false">IF(A2122="","",IFERROR(1/(1/_xlfn.MINIFS(Apparitions!$L$2:$L$5001,Apparitions!$H$2:$H$5001,A2122)),""))</f>
        <v/>
      </c>
    </row>
    <row r="2123" customFormat="false" ht="15" hidden="false" customHeight="false" outlineLevel="0" collapsed="false">
      <c r="A2123" s="19"/>
      <c r="B2123" s="19"/>
      <c r="C2123" s="19"/>
      <c r="D2123" s="19"/>
      <c r="E2123" s="32"/>
      <c r="F2123" s="19"/>
      <c r="G2123" s="26" t="str">
        <f aca="false">IF(A2123="","",COUNTIF(Pubs!$B$2:$B$3001,A2123))</f>
        <v/>
      </c>
      <c r="H2123" s="26" t="str">
        <f aca="false">IF(A2123="","",COUNTIF(Apparitions!$H$2:$H$5001,A2123))</f>
        <v/>
      </c>
      <c r="I2123" s="26" t="str">
        <f aca="false">IF(A2123="","",COUNTIFS(Apparitions!$H$2:$H$5001,A2123,Apparitions!$E$2:$E$5001,"○"))</f>
        <v/>
      </c>
      <c r="J2123" s="29" t="str">
        <f aca="false">IF(A2123="","",IFERROR(1/(1/_xlfn.MINIFS(Apparitions!$L$2:$L$5001,Apparitions!$H$2:$H$5001,A2123)),""))</f>
        <v/>
      </c>
    </row>
    <row r="2124" customFormat="false" ht="15" hidden="false" customHeight="false" outlineLevel="0" collapsed="false">
      <c r="A2124" s="19"/>
      <c r="B2124" s="19"/>
      <c r="C2124" s="19"/>
      <c r="D2124" s="19"/>
      <c r="E2124" s="32"/>
      <c r="F2124" s="19"/>
      <c r="G2124" s="26" t="str">
        <f aca="false">IF(A2124="","",COUNTIF(Pubs!$B$2:$B$3001,A2124))</f>
        <v/>
      </c>
      <c r="H2124" s="26" t="str">
        <f aca="false">IF(A2124="","",COUNTIF(Apparitions!$H$2:$H$5001,A2124))</f>
        <v/>
      </c>
      <c r="I2124" s="26" t="str">
        <f aca="false">IF(A2124="","",COUNTIFS(Apparitions!$H$2:$H$5001,A2124,Apparitions!$E$2:$E$5001,"○"))</f>
        <v/>
      </c>
      <c r="J2124" s="29" t="str">
        <f aca="false">IF(A2124="","",IFERROR(1/(1/_xlfn.MINIFS(Apparitions!$L$2:$L$5001,Apparitions!$H$2:$H$5001,A2124)),""))</f>
        <v/>
      </c>
    </row>
    <row r="2125" customFormat="false" ht="15" hidden="false" customHeight="false" outlineLevel="0" collapsed="false">
      <c r="A2125" s="19"/>
      <c r="B2125" s="19"/>
      <c r="C2125" s="19"/>
      <c r="D2125" s="19"/>
      <c r="E2125" s="32"/>
      <c r="F2125" s="19"/>
      <c r="G2125" s="26" t="str">
        <f aca="false">IF(A2125="","",COUNTIF(Pubs!$B$2:$B$3001,A2125))</f>
        <v/>
      </c>
      <c r="H2125" s="26" t="str">
        <f aca="false">IF(A2125="","",COUNTIF(Apparitions!$H$2:$H$5001,A2125))</f>
        <v/>
      </c>
      <c r="I2125" s="26" t="str">
        <f aca="false">IF(A2125="","",COUNTIFS(Apparitions!$H$2:$H$5001,A2125,Apparitions!$E$2:$E$5001,"○"))</f>
        <v/>
      </c>
      <c r="J2125" s="29" t="str">
        <f aca="false">IF(A2125="","",IFERROR(1/(1/_xlfn.MINIFS(Apparitions!$L$2:$L$5001,Apparitions!$H$2:$H$5001,A2125)),""))</f>
        <v/>
      </c>
    </row>
    <row r="2126" customFormat="false" ht="15" hidden="false" customHeight="false" outlineLevel="0" collapsed="false">
      <c r="A2126" s="19"/>
      <c r="B2126" s="19"/>
      <c r="C2126" s="19"/>
      <c r="D2126" s="19"/>
      <c r="E2126" s="32"/>
      <c r="F2126" s="19"/>
      <c r="G2126" s="26" t="str">
        <f aca="false">IF(A2126="","",COUNTIF(Pubs!$B$2:$B$3001,A2126))</f>
        <v/>
      </c>
      <c r="H2126" s="26" t="str">
        <f aca="false">IF(A2126="","",COUNTIF(Apparitions!$H$2:$H$5001,A2126))</f>
        <v/>
      </c>
      <c r="I2126" s="26" t="str">
        <f aca="false">IF(A2126="","",COUNTIFS(Apparitions!$H$2:$H$5001,A2126,Apparitions!$E$2:$E$5001,"○"))</f>
        <v/>
      </c>
      <c r="J2126" s="29" t="str">
        <f aca="false">IF(A2126="","",IFERROR(1/(1/_xlfn.MINIFS(Apparitions!$L$2:$L$5001,Apparitions!$H$2:$H$5001,A2126)),""))</f>
        <v/>
      </c>
    </row>
    <row r="2127" customFormat="false" ht="15" hidden="false" customHeight="false" outlineLevel="0" collapsed="false">
      <c r="A2127" s="19"/>
      <c r="B2127" s="19"/>
      <c r="C2127" s="19"/>
      <c r="D2127" s="19"/>
      <c r="E2127" s="32"/>
      <c r="F2127" s="19"/>
      <c r="G2127" s="26" t="str">
        <f aca="false">IF(A2127="","",COUNTIF(Pubs!$B$2:$B$3001,A2127))</f>
        <v/>
      </c>
      <c r="H2127" s="26" t="str">
        <f aca="false">IF(A2127="","",COUNTIF(Apparitions!$H$2:$H$5001,A2127))</f>
        <v/>
      </c>
      <c r="I2127" s="26" t="str">
        <f aca="false">IF(A2127="","",COUNTIFS(Apparitions!$H$2:$H$5001,A2127,Apparitions!$E$2:$E$5001,"○"))</f>
        <v/>
      </c>
      <c r="J2127" s="29" t="str">
        <f aca="false">IF(A2127="","",IFERROR(1/(1/_xlfn.MINIFS(Apparitions!$L$2:$L$5001,Apparitions!$H$2:$H$5001,A2127)),""))</f>
        <v/>
      </c>
    </row>
    <row r="2128" customFormat="false" ht="15" hidden="false" customHeight="false" outlineLevel="0" collapsed="false">
      <c r="A2128" s="19"/>
      <c r="B2128" s="19"/>
      <c r="C2128" s="19"/>
      <c r="D2128" s="19"/>
      <c r="E2128" s="32"/>
      <c r="F2128" s="19"/>
      <c r="G2128" s="26" t="str">
        <f aca="false">IF(A2128="","",COUNTIF(Pubs!$B$2:$B$3001,A2128))</f>
        <v/>
      </c>
      <c r="H2128" s="26" t="str">
        <f aca="false">IF(A2128="","",COUNTIF(Apparitions!$H$2:$H$5001,A2128))</f>
        <v/>
      </c>
      <c r="I2128" s="26" t="str">
        <f aca="false">IF(A2128="","",COUNTIFS(Apparitions!$H$2:$H$5001,A2128,Apparitions!$E$2:$E$5001,"○"))</f>
        <v/>
      </c>
      <c r="J2128" s="29" t="str">
        <f aca="false">IF(A2128="","",IFERROR(1/(1/_xlfn.MINIFS(Apparitions!$L$2:$L$5001,Apparitions!$H$2:$H$5001,A2128)),""))</f>
        <v/>
      </c>
    </row>
    <row r="2129" customFormat="false" ht="15" hidden="false" customHeight="false" outlineLevel="0" collapsed="false">
      <c r="A2129" s="19"/>
      <c r="B2129" s="19"/>
      <c r="C2129" s="19"/>
      <c r="D2129" s="19"/>
      <c r="E2129" s="32"/>
      <c r="F2129" s="19"/>
      <c r="G2129" s="26" t="str">
        <f aca="false">IF(A2129="","",COUNTIF(Pubs!$B$2:$B$3001,A2129))</f>
        <v/>
      </c>
      <c r="H2129" s="26" t="str">
        <f aca="false">IF(A2129="","",COUNTIF(Apparitions!$H$2:$H$5001,A2129))</f>
        <v/>
      </c>
      <c r="I2129" s="26" t="str">
        <f aca="false">IF(A2129="","",COUNTIFS(Apparitions!$H$2:$H$5001,A2129,Apparitions!$E$2:$E$5001,"○"))</f>
        <v/>
      </c>
      <c r="J2129" s="29" t="str">
        <f aca="false">IF(A2129="","",IFERROR(1/(1/_xlfn.MINIFS(Apparitions!$L$2:$L$5001,Apparitions!$H$2:$H$5001,A2129)),""))</f>
        <v/>
      </c>
    </row>
    <row r="2130" customFormat="false" ht="15" hidden="false" customHeight="false" outlineLevel="0" collapsed="false">
      <c r="A2130" s="19"/>
      <c r="B2130" s="19"/>
      <c r="C2130" s="19"/>
      <c r="D2130" s="19"/>
      <c r="E2130" s="32"/>
      <c r="F2130" s="19"/>
      <c r="G2130" s="26" t="str">
        <f aca="false">IF(A2130="","",COUNTIF(Pubs!$B$2:$B$3001,A2130))</f>
        <v/>
      </c>
      <c r="H2130" s="26" t="str">
        <f aca="false">IF(A2130="","",COUNTIF(Apparitions!$H$2:$H$5001,A2130))</f>
        <v/>
      </c>
      <c r="I2130" s="26" t="str">
        <f aca="false">IF(A2130="","",COUNTIFS(Apparitions!$H$2:$H$5001,A2130,Apparitions!$E$2:$E$5001,"○"))</f>
        <v/>
      </c>
      <c r="J2130" s="29" t="str">
        <f aca="false">IF(A2130="","",IFERROR(1/(1/_xlfn.MINIFS(Apparitions!$L$2:$L$5001,Apparitions!$H$2:$H$5001,A2130)),""))</f>
        <v/>
      </c>
    </row>
    <row r="2131" customFormat="false" ht="15" hidden="false" customHeight="false" outlineLevel="0" collapsed="false">
      <c r="A2131" s="19"/>
      <c r="B2131" s="19"/>
      <c r="C2131" s="19"/>
      <c r="D2131" s="19"/>
      <c r="E2131" s="32"/>
      <c r="F2131" s="19"/>
      <c r="G2131" s="26" t="str">
        <f aca="false">IF(A2131="","",COUNTIF(Pubs!$B$2:$B$3001,A2131))</f>
        <v/>
      </c>
      <c r="H2131" s="26" t="str">
        <f aca="false">IF(A2131="","",COUNTIF(Apparitions!$H$2:$H$5001,A2131))</f>
        <v/>
      </c>
      <c r="I2131" s="26" t="str">
        <f aca="false">IF(A2131="","",COUNTIFS(Apparitions!$H$2:$H$5001,A2131,Apparitions!$E$2:$E$5001,"○"))</f>
        <v/>
      </c>
      <c r="J2131" s="29" t="str">
        <f aca="false">IF(A2131="","",IFERROR(1/(1/_xlfn.MINIFS(Apparitions!$L$2:$L$5001,Apparitions!$H$2:$H$5001,A2131)),""))</f>
        <v/>
      </c>
    </row>
    <row r="2132" customFormat="false" ht="15" hidden="false" customHeight="false" outlineLevel="0" collapsed="false">
      <c r="A2132" s="19"/>
      <c r="B2132" s="19"/>
      <c r="C2132" s="19"/>
      <c r="D2132" s="19"/>
      <c r="E2132" s="32"/>
      <c r="F2132" s="19"/>
      <c r="G2132" s="26" t="str">
        <f aca="false">IF(A2132="","",COUNTIF(Pubs!$B$2:$B$3001,A2132))</f>
        <v/>
      </c>
      <c r="H2132" s="26" t="str">
        <f aca="false">IF(A2132="","",COUNTIF(Apparitions!$H$2:$H$5001,A2132))</f>
        <v/>
      </c>
      <c r="I2132" s="26" t="str">
        <f aca="false">IF(A2132="","",COUNTIFS(Apparitions!$H$2:$H$5001,A2132,Apparitions!$E$2:$E$5001,"○"))</f>
        <v/>
      </c>
      <c r="J2132" s="29" t="str">
        <f aca="false">IF(A2132="","",IFERROR(1/(1/_xlfn.MINIFS(Apparitions!$L$2:$L$5001,Apparitions!$H$2:$H$5001,A2132)),""))</f>
        <v/>
      </c>
    </row>
    <row r="2133" customFormat="false" ht="15" hidden="false" customHeight="false" outlineLevel="0" collapsed="false">
      <c r="A2133" s="19"/>
      <c r="B2133" s="19"/>
      <c r="C2133" s="19"/>
      <c r="D2133" s="19"/>
      <c r="E2133" s="32"/>
      <c r="F2133" s="19"/>
      <c r="G2133" s="26" t="str">
        <f aca="false">IF(A2133="","",COUNTIF(Pubs!$B$2:$B$3001,A2133))</f>
        <v/>
      </c>
      <c r="H2133" s="26" t="str">
        <f aca="false">IF(A2133="","",COUNTIF(Apparitions!$H$2:$H$5001,A2133))</f>
        <v/>
      </c>
      <c r="I2133" s="26" t="str">
        <f aca="false">IF(A2133="","",COUNTIFS(Apparitions!$H$2:$H$5001,A2133,Apparitions!$E$2:$E$5001,"○"))</f>
        <v/>
      </c>
      <c r="J2133" s="29" t="str">
        <f aca="false">IF(A2133="","",IFERROR(1/(1/_xlfn.MINIFS(Apparitions!$L$2:$L$5001,Apparitions!$H$2:$H$5001,A2133)),""))</f>
        <v/>
      </c>
    </row>
    <row r="2134" customFormat="false" ht="15" hidden="false" customHeight="false" outlineLevel="0" collapsed="false">
      <c r="A2134" s="19"/>
      <c r="B2134" s="19"/>
      <c r="C2134" s="19"/>
      <c r="D2134" s="19"/>
      <c r="E2134" s="32"/>
      <c r="F2134" s="19"/>
      <c r="G2134" s="26" t="str">
        <f aca="false">IF(A2134="","",COUNTIF(Pubs!$B$2:$B$3001,A2134))</f>
        <v/>
      </c>
      <c r="H2134" s="26" t="str">
        <f aca="false">IF(A2134="","",COUNTIF(Apparitions!$H$2:$H$5001,A2134))</f>
        <v/>
      </c>
      <c r="I2134" s="26" t="str">
        <f aca="false">IF(A2134="","",COUNTIFS(Apparitions!$H$2:$H$5001,A2134,Apparitions!$E$2:$E$5001,"○"))</f>
        <v/>
      </c>
      <c r="J2134" s="29" t="str">
        <f aca="false">IF(A2134="","",IFERROR(1/(1/_xlfn.MINIFS(Apparitions!$L$2:$L$5001,Apparitions!$H$2:$H$5001,A2134)),""))</f>
        <v/>
      </c>
    </row>
    <row r="2135" customFormat="false" ht="15" hidden="false" customHeight="false" outlineLevel="0" collapsed="false">
      <c r="A2135" s="19"/>
      <c r="B2135" s="19"/>
      <c r="C2135" s="19"/>
      <c r="D2135" s="19"/>
      <c r="E2135" s="32"/>
      <c r="F2135" s="19"/>
      <c r="G2135" s="26" t="str">
        <f aca="false">IF(A2135="","",COUNTIF(Pubs!$B$2:$B$3001,A2135))</f>
        <v/>
      </c>
      <c r="H2135" s="26" t="str">
        <f aca="false">IF(A2135="","",COUNTIF(Apparitions!$H$2:$H$5001,A2135))</f>
        <v/>
      </c>
      <c r="I2135" s="26" t="str">
        <f aca="false">IF(A2135="","",COUNTIFS(Apparitions!$H$2:$H$5001,A2135,Apparitions!$E$2:$E$5001,"○"))</f>
        <v/>
      </c>
      <c r="J2135" s="29" t="str">
        <f aca="false">IF(A2135="","",IFERROR(1/(1/_xlfn.MINIFS(Apparitions!$L$2:$L$5001,Apparitions!$H$2:$H$5001,A2135)),""))</f>
        <v/>
      </c>
    </row>
    <row r="2136" customFormat="false" ht="15" hidden="false" customHeight="false" outlineLevel="0" collapsed="false">
      <c r="A2136" s="19"/>
      <c r="B2136" s="19"/>
      <c r="C2136" s="19"/>
      <c r="D2136" s="19"/>
      <c r="E2136" s="32"/>
      <c r="F2136" s="19"/>
      <c r="G2136" s="26" t="str">
        <f aca="false">IF(A2136="","",COUNTIF(Pubs!$B$2:$B$3001,A2136))</f>
        <v/>
      </c>
      <c r="H2136" s="26" t="str">
        <f aca="false">IF(A2136="","",COUNTIF(Apparitions!$H$2:$H$5001,A2136))</f>
        <v/>
      </c>
      <c r="I2136" s="26" t="str">
        <f aca="false">IF(A2136="","",COUNTIFS(Apparitions!$H$2:$H$5001,A2136,Apparitions!$E$2:$E$5001,"○"))</f>
        <v/>
      </c>
      <c r="J2136" s="29" t="str">
        <f aca="false">IF(A2136="","",IFERROR(1/(1/_xlfn.MINIFS(Apparitions!$L$2:$L$5001,Apparitions!$H$2:$H$5001,A2136)),""))</f>
        <v/>
      </c>
    </row>
    <row r="2137" customFormat="false" ht="15" hidden="false" customHeight="false" outlineLevel="0" collapsed="false">
      <c r="A2137" s="19"/>
      <c r="B2137" s="19"/>
      <c r="C2137" s="19"/>
      <c r="D2137" s="19"/>
      <c r="E2137" s="32"/>
      <c r="F2137" s="19"/>
      <c r="G2137" s="26" t="str">
        <f aca="false">IF(A2137="","",COUNTIF(Pubs!$B$2:$B$3001,A2137))</f>
        <v/>
      </c>
      <c r="H2137" s="26" t="str">
        <f aca="false">IF(A2137="","",COUNTIF(Apparitions!$H$2:$H$5001,A2137))</f>
        <v/>
      </c>
      <c r="I2137" s="26" t="str">
        <f aca="false">IF(A2137="","",COUNTIFS(Apparitions!$H$2:$H$5001,A2137,Apparitions!$E$2:$E$5001,"○"))</f>
        <v/>
      </c>
      <c r="J2137" s="29" t="str">
        <f aca="false">IF(A2137="","",IFERROR(1/(1/_xlfn.MINIFS(Apparitions!$L$2:$L$5001,Apparitions!$H$2:$H$5001,A2137)),""))</f>
        <v/>
      </c>
    </row>
    <row r="2138" customFormat="false" ht="15" hidden="false" customHeight="false" outlineLevel="0" collapsed="false">
      <c r="A2138" s="19"/>
      <c r="B2138" s="19"/>
      <c r="C2138" s="19"/>
      <c r="D2138" s="19"/>
      <c r="E2138" s="32"/>
      <c r="F2138" s="19"/>
      <c r="G2138" s="26" t="str">
        <f aca="false">IF(A2138="","",COUNTIF(Pubs!$B$2:$B$3001,A2138))</f>
        <v/>
      </c>
      <c r="H2138" s="26" t="str">
        <f aca="false">IF(A2138="","",COUNTIF(Apparitions!$H$2:$H$5001,A2138))</f>
        <v/>
      </c>
      <c r="I2138" s="26" t="str">
        <f aca="false">IF(A2138="","",COUNTIFS(Apparitions!$H$2:$H$5001,A2138,Apparitions!$E$2:$E$5001,"○"))</f>
        <v/>
      </c>
      <c r="J2138" s="29" t="str">
        <f aca="false">IF(A2138="","",IFERROR(1/(1/_xlfn.MINIFS(Apparitions!$L$2:$L$5001,Apparitions!$H$2:$H$5001,A2138)),""))</f>
        <v/>
      </c>
    </row>
    <row r="2139" customFormat="false" ht="15" hidden="false" customHeight="false" outlineLevel="0" collapsed="false">
      <c r="A2139" s="19"/>
      <c r="B2139" s="19"/>
      <c r="C2139" s="19"/>
      <c r="D2139" s="19"/>
      <c r="E2139" s="32"/>
      <c r="F2139" s="19"/>
      <c r="G2139" s="26" t="str">
        <f aca="false">IF(A2139="","",COUNTIF(Pubs!$B$2:$B$3001,A2139))</f>
        <v/>
      </c>
      <c r="H2139" s="26" t="str">
        <f aca="false">IF(A2139="","",COUNTIF(Apparitions!$H$2:$H$5001,A2139))</f>
        <v/>
      </c>
      <c r="I2139" s="26" t="str">
        <f aca="false">IF(A2139="","",COUNTIFS(Apparitions!$H$2:$H$5001,A2139,Apparitions!$E$2:$E$5001,"○"))</f>
        <v/>
      </c>
      <c r="J2139" s="29" t="str">
        <f aca="false">IF(A2139="","",IFERROR(1/(1/_xlfn.MINIFS(Apparitions!$L$2:$L$5001,Apparitions!$H$2:$H$5001,A2139)),""))</f>
        <v/>
      </c>
    </row>
    <row r="2140" customFormat="false" ht="15" hidden="false" customHeight="false" outlineLevel="0" collapsed="false">
      <c r="A2140" s="19"/>
      <c r="B2140" s="19"/>
      <c r="C2140" s="19"/>
      <c r="D2140" s="19"/>
      <c r="E2140" s="32"/>
      <c r="F2140" s="19"/>
      <c r="G2140" s="26" t="str">
        <f aca="false">IF(A2140="","",COUNTIF(Pubs!$B$2:$B$3001,A2140))</f>
        <v/>
      </c>
      <c r="H2140" s="26" t="str">
        <f aca="false">IF(A2140="","",COUNTIF(Apparitions!$H$2:$H$5001,A2140))</f>
        <v/>
      </c>
      <c r="I2140" s="26" t="str">
        <f aca="false">IF(A2140="","",COUNTIFS(Apparitions!$H$2:$H$5001,A2140,Apparitions!$E$2:$E$5001,"○"))</f>
        <v/>
      </c>
      <c r="J2140" s="29" t="str">
        <f aca="false">IF(A2140="","",IFERROR(1/(1/_xlfn.MINIFS(Apparitions!$L$2:$L$5001,Apparitions!$H$2:$H$5001,A2140)),""))</f>
        <v/>
      </c>
    </row>
    <row r="2141" customFormat="false" ht="15" hidden="false" customHeight="false" outlineLevel="0" collapsed="false">
      <c r="A2141" s="19"/>
      <c r="B2141" s="19"/>
      <c r="C2141" s="19"/>
      <c r="D2141" s="19"/>
      <c r="E2141" s="32"/>
      <c r="F2141" s="19"/>
      <c r="G2141" s="26" t="str">
        <f aca="false">IF(A2141="","",COUNTIF(Pubs!$B$2:$B$3001,A2141))</f>
        <v/>
      </c>
      <c r="H2141" s="26" t="str">
        <f aca="false">IF(A2141="","",COUNTIF(Apparitions!$H$2:$H$5001,A2141))</f>
        <v/>
      </c>
      <c r="I2141" s="26" t="str">
        <f aca="false">IF(A2141="","",COUNTIFS(Apparitions!$H$2:$H$5001,A2141,Apparitions!$E$2:$E$5001,"○"))</f>
        <v/>
      </c>
      <c r="J2141" s="29" t="str">
        <f aca="false">IF(A2141="","",IFERROR(1/(1/_xlfn.MINIFS(Apparitions!$L$2:$L$5001,Apparitions!$H$2:$H$5001,A2141)),""))</f>
        <v/>
      </c>
    </row>
    <row r="2142" customFormat="false" ht="15" hidden="false" customHeight="false" outlineLevel="0" collapsed="false">
      <c r="A2142" s="19"/>
      <c r="B2142" s="19"/>
      <c r="C2142" s="19"/>
      <c r="D2142" s="19"/>
      <c r="E2142" s="32"/>
      <c r="F2142" s="19"/>
      <c r="G2142" s="26" t="str">
        <f aca="false">IF(A2142="","",COUNTIF(Pubs!$B$2:$B$3001,A2142))</f>
        <v/>
      </c>
      <c r="H2142" s="26" t="str">
        <f aca="false">IF(A2142="","",COUNTIF(Apparitions!$H$2:$H$5001,A2142))</f>
        <v/>
      </c>
      <c r="I2142" s="26" t="str">
        <f aca="false">IF(A2142="","",COUNTIFS(Apparitions!$H$2:$H$5001,A2142,Apparitions!$E$2:$E$5001,"○"))</f>
        <v/>
      </c>
      <c r="J2142" s="29" t="str">
        <f aca="false">IF(A2142="","",IFERROR(1/(1/_xlfn.MINIFS(Apparitions!$L$2:$L$5001,Apparitions!$H$2:$H$5001,A2142)),""))</f>
        <v/>
      </c>
    </row>
    <row r="2143" customFormat="false" ht="15" hidden="false" customHeight="false" outlineLevel="0" collapsed="false">
      <c r="A2143" s="19"/>
      <c r="B2143" s="19"/>
      <c r="C2143" s="19"/>
      <c r="D2143" s="19"/>
      <c r="E2143" s="32"/>
      <c r="F2143" s="19"/>
      <c r="G2143" s="26" t="str">
        <f aca="false">IF(A2143="","",COUNTIF(Pubs!$B$2:$B$3001,A2143))</f>
        <v/>
      </c>
      <c r="H2143" s="26" t="str">
        <f aca="false">IF(A2143="","",COUNTIF(Apparitions!$H$2:$H$5001,A2143))</f>
        <v/>
      </c>
      <c r="I2143" s="26" t="str">
        <f aca="false">IF(A2143="","",COUNTIFS(Apparitions!$H$2:$H$5001,A2143,Apparitions!$E$2:$E$5001,"○"))</f>
        <v/>
      </c>
      <c r="J2143" s="29" t="str">
        <f aca="false">IF(A2143="","",IFERROR(1/(1/_xlfn.MINIFS(Apparitions!$L$2:$L$5001,Apparitions!$H$2:$H$5001,A2143)),""))</f>
        <v/>
      </c>
    </row>
    <row r="2144" customFormat="false" ht="15" hidden="false" customHeight="false" outlineLevel="0" collapsed="false">
      <c r="A2144" s="19"/>
      <c r="B2144" s="19"/>
      <c r="C2144" s="19"/>
      <c r="D2144" s="19"/>
      <c r="E2144" s="32"/>
      <c r="F2144" s="19"/>
      <c r="G2144" s="26" t="str">
        <f aca="false">IF(A2144="","",COUNTIF(Pubs!$B$2:$B$3001,A2144))</f>
        <v/>
      </c>
      <c r="H2144" s="26" t="str">
        <f aca="false">IF(A2144="","",COUNTIF(Apparitions!$H$2:$H$5001,A2144))</f>
        <v/>
      </c>
      <c r="I2144" s="26" t="str">
        <f aca="false">IF(A2144="","",COUNTIFS(Apparitions!$H$2:$H$5001,A2144,Apparitions!$E$2:$E$5001,"○"))</f>
        <v/>
      </c>
      <c r="J2144" s="29" t="str">
        <f aca="false">IF(A2144="","",IFERROR(1/(1/_xlfn.MINIFS(Apparitions!$L$2:$L$5001,Apparitions!$H$2:$H$5001,A2144)),""))</f>
        <v/>
      </c>
    </row>
    <row r="2145" customFormat="false" ht="15" hidden="false" customHeight="false" outlineLevel="0" collapsed="false">
      <c r="A2145" s="19"/>
      <c r="B2145" s="19"/>
      <c r="C2145" s="19"/>
      <c r="D2145" s="19"/>
      <c r="E2145" s="32"/>
      <c r="F2145" s="19"/>
      <c r="G2145" s="26" t="str">
        <f aca="false">IF(A2145="","",COUNTIF(Pubs!$B$2:$B$3001,A2145))</f>
        <v/>
      </c>
      <c r="H2145" s="26" t="str">
        <f aca="false">IF(A2145="","",COUNTIF(Apparitions!$H$2:$H$5001,A2145))</f>
        <v/>
      </c>
      <c r="I2145" s="26" t="str">
        <f aca="false">IF(A2145="","",COUNTIFS(Apparitions!$H$2:$H$5001,A2145,Apparitions!$E$2:$E$5001,"○"))</f>
        <v/>
      </c>
      <c r="J2145" s="29" t="str">
        <f aca="false">IF(A2145="","",IFERROR(1/(1/_xlfn.MINIFS(Apparitions!$L$2:$L$5001,Apparitions!$H$2:$H$5001,A2145)),""))</f>
        <v/>
      </c>
    </row>
    <row r="2146" customFormat="false" ht="15" hidden="false" customHeight="false" outlineLevel="0" collapsed="false">
      <c r="A2146" s="19"/>
      <c r="B2146" s="19"/>
      <c r="C2146" s="19"/>
      <c r="D2146" s="19"/>
      <c r="E2146" s="32"/>
      <c r="F2146" s="19"/>
      <c r="G2146" s="26" t="str">
        <f aca="false">IF(A2146="","",COUNTIF(Pubs!$B$2:$B$3001,A2146))</f>
        <v/>
      </c>
      <c r="H2146" s="26" t="str">
        <f aca="false">IF(A2146="","",COUNTIF(Apparitions!$H$2:$H$5001,A2146))</f>
        <v/>
      </c>
      <c r="I2146" s="26" t="str">
        <f aca="false">IF(A2146="","",COUNTIFS(Apparitions!$H$2:$H$5001,A2146,Apparitions!$E$2:$E$5001,"○"))</f>
        <v/>
      </c>
      <c r="J2146" s="29" t="str">
        <f aca="false">IF(A2146="","",IFERROR(1/(1/_xlfn.MINIFS(Apparitions!$L$2:$L$5001,Apparitions!$H$2:$H$5001,A2146)),""))</f>
        <v/>
      </c>
    </row>
    <row r="2147" customFormat="false" ht="15" hidden="false" customHeight="false" outlineLevel="0" collapsed="false">
      <c r="A2147" s="19"/>
      <c r="B2147" s="19"/>
      <c r="C2147" s="19"/>
      <c r="D2147" s="19"/>
      <c r="E2147" s="32"/>
      <c r="F2147" s="19"/>
      <c r="G2147" s="26" t="str">
        <f aca="false">IF(A2147="","",COUNTIF(Pubs!$B$2:$B$3001,A2147))</f>
        <v/>
      </c>
      <c r="H2147" s="26" t="str">
        <f aca="false">IF(A2147="","",COUNTIF(Apparitions!$H$2:$H$5001,A2147))</f>
        <v/>
      </c>
      <c r="I2147" s="26" t="str">
        <f aca="false">IF(A2147="","",COUNTIFS(Apparitions!$H$2:$H$5001,A2147,Apparitions!$E$2:$E$5001,"○"))</f>
        <v/>
      </c>
      <c r="J2147" s="29" t="str">
        <f aca="false">IF(A2147="","",IFERROR(1/(1/_xlfn.MINIFS(Apparitions!$L$2:$L$5001,Apparitions!$H$2:$H$5001,A2147)),""))</f>
        <v/>
      </c>
    </row>
    <row r="2148" customFormat="false" ht="15" hidden="false" customHeight="false" outlineLevel="0" collapsed="false">
      <c r="A2148" s="19"/>
      <c r="B2148" s="19"/>
      <c r="C2148" s="19"/>
      <c r="D2148" s="19"/>
      <c r="E2148" s="32"/>
      <c r="F2148" s="19"/>
      <c r="G2148" s="26" t="str">
        <f aca="false">IF(A2148="","",COUNTIF(Pubs!$B$2:$B$3001,A2148))</f>
        <v/>
      </c>
      <c r="H2148" s="26" t="str">
        <f aca="false">IF(A2148="","",COUNTIF(Apparitions!$H$2:$H$5001,A2148))</f>
        <v/>
      </c>
      <c r="I2148" s="26" t="str">
        <f aca="false">IF(A2148="","",COUNTIFS(Apparitions!$H$2:$H$5001,A2148,Apparitions!$E$2:$E$5001,"○"))</f>
        <v/>
      </c>
      <c r="J2148" s="29" t="str">
        <f aca="false">IF(A2148="","",IFERROR(1/(1/_xlfn.MINIFS(Apparitions!$L$2:$L$5001,Apparitions!$H$2:$H$5001,A2148)),""))</f>
        <v/>
      </c>
    </row>
    <row r="2149" customFormat="false" ht="15" hidden="false" customHeight="false" outlineLevel="0" collapsed="false">
      <c r="A2149" s="19"/>
      <c r="B2149" s="19"/>
      <c r="C2149" s="19"/>
      <c r="D2149" s="19"/>
      <c r="E2149" s="32"/>
      <c r="F2149" s="19"/>
      <c r="G2149" s="26" t="str">
        <f aca="false">IF(A2149="","",COUNTIF(Pubs!$B$2:$B$3001,A2149))</f>
        <v/>
      </c>
      <c r="H2149" s="26" t="str">
        <f aca="false">IF(A2149="","",COUNTIF(Apparitions!$H$2:$H$5001,A2149))</f>
        <v/>
      </c>
      <c r="I2149" s="26" t="str">
        <f aca="false">IF(A2149="","",COUNTIFS(Apparitions!$H$2:$H$5001,A2149,Apparitions!$E$2:$E$5001,"○"))</f>
        <v/>
      </c>
      <c r="J2149" s="29" t="str">
        <f aca="false">IF(A2149="","",IFERROR(1/(1/_xlfn.MINIFS(Apparitions!$L$2:$L$5001,Apparitions!$H$2:$H$5001,A2149)),""))</f>
        <v/>
      </c>
    </row>
    <row r="2150" customFormat="false" ht="15" hidden="false" customHeight="false" outlineLevel="0" collapsed="false">
      <c r="A2150" s="19"/>
      <c r="B2150" s="19"/>
      <c r="C2150" s="19"/>
      <c r="D2150" s="19"/>
      <c r="E2150" s="32"/>
      <c r="F2150" s="19"/>
      <c r="G2150" s="26" t="str">
        <f aca="false">IF(A2150="","",COUNTIF(Pubs!$B$2:$B$3001,A2150))</f>
        <v/>
      </c>
      <c r="H2150" s="26" t="str">
        <f aca="false">IF(A2150="","",COUNTIF(Apparitions!$H$2:$H$5001,A2150))</f>
        <v/>
      </c>
      <c r="I2150" s="26" t="str">
        <f aca="false">IF(A2150="","",COUNTIFS(Apparitions!$H$2:$H$5001,A2150,Apparitions!$E$2:$E$5001,"○"))</f>
        <v/>
      </c>
      <c r="J2150" s="29" t="str">
        <f aca="false">IF(A2150="","",IFERROR(1/(1/_xlfn.MINIFS(Apparitions!$L$2:$L$5001,Apparitions!$H$2:$H$5001,A2150)),""))</f>
        <v/>
      </c>
    </row>
    <row r="2151" customFormat="false" ht="15" hidden="false" customHeight="false" outlineLevel="0" collapsed="false">
      <c r="A2151" s="19"/>
      <c r="B2151" s="19"/>
      <c r="C2151" s="19"/>
      <c r="D2151" s="19"/>
      <c r="E2151" s="32"/>
      <c r="F2151" s="19"/>
      <c r="G2151" s="26" t="str">
        <f aca="false">IF(A2151="","",COUNTIF(Pubs!$B$2:$B$3001,A2151))</f>
        <v/>
      </c>
      <c r="H2151" s="26" t="str">
        <f aca="false">IF(A2151="","",COUNTIF(Apparitions!$H$2:$H$5001,A2151))</f>
        <v/>
      </c>
      <c r="I2151" s="26" t="str">
        <f aca="false">IF(A2151="","",COUNTIFS(Apparitions!$H$2:$H$5001,A2151,Apparitions!$E$2:$E$5001,"○"))</f>
        <v/>
      </c>
      <c r="J2151" s="29" t="str">
        <f aca="false">IF(A2151="","",IFERROR(1/(1/_xlfn.MINIFS(Apparitions!$L$2:$L$5001,Apparitions!$H$2:$H$5001,A2151)),""))</f>
        <v/>
      </c>
    </row>
    <row r="2152" customFormat="false" ht="15" hidden="false" customHeight="false" outlineLevel="0" collapsed="false">
      <c r="A2152" s="19"/>
      <c r="B2152" s="19"/>
      <c r="C2152" s="19"/>
      <c r="D2152" s="19"/>
      <c r="E2152" s="32"/>
      <c r="F2152" s="19"/>
      <c r="G2152" s="26" t="str">
        <f aca="false">IF(A2152="","",COUNTIF(Pubs!$B$2:$B$3001,A2152))</f>
        <v/>
      </c>
      <c r="H2152" s="26" t="str">
        <f aca="false">IF(A2152="","",COUNTIF(Apparitions!$H$2:$H$5001,A2152))</f>
        <v/>
      </c>
      <c r="I2152" s="26" t="str">
        <f aca="false">IF(A2152="","",COUNTIFS(Apparitions!$H$2:$H$5001,A2152,Apparitions!$E$2:$E$5001,"○"))</f>
        <v/>
      </c>
      <c r="J2152" s="29" t="str">
        <f aca="false">IF(A2152="","",IFERROR(1/(1/_xlfn.MINIFS(Apparitions!$L$2:$L$5001,Apparitions!$H$2:$H$5001,A2152)),""))</f>
        <v/>
      </c>
    </row>
    <row r="2153" customFormat="false" ht="15" hidden="false" customHeight="false" outlineLevel="0" collapsed="false">
      <c r="A2153" s="19"/>
      <c r="B2153" s="19"/>
      <c r="C2153" s="19"/>
      <c r="D2153" s="19"/>
      <c r="E2153" s="32"/>
      <c r="F2153" s="19"/>
      <c r="G2153" s="26" t="str">
        <f aca="false">IF(A2153="","",COUNTIF(Pubs!$B$2:$B$3001,A2153))</f>
        <v/>
      </c>
      <c r="H2153" s="26" t="str">
        <f aca="false">IF(A2153="","",COUNTIF(Apparitions!$H$2:$H$5001,A2153))</f>
        <v/>
      </c>
      <c r="I2153" s="26" t="str">
        <f aca="false">IF(A2153="","",COUNTIFS(Apparitions!$H$2:$H$5001,A2153,Apparitions!$E$2:$E$5001,"○"))</f>
        <v/>
      </c>
      <c r="J2153" s="29" t="str">
        <f aca="false">IF(A2153="","",IFERROR(1/(1/_xlfn.MINIFS(Apparitions!$L$2:$L$5001,Apparitions!$H$2:$H$5001,A2153)),""))</f>
        <v/>
      </c>
    </row>
    <row r="2154" customFormat="false" ht="15" hidden="false" customHeight="false" outlineLevel="0" collapsed="false">
      <c r="A2154" s="19"/>
      <c r="B2154" s="19"/>
      <c r="C2154" s="19"/>
      <c r="D2154" s="19"/>
      <c r="E2154" s="32"/>
      <c r="F2154" s="19"/>
      <c r="G2154" s="26" t="str">
        <f aca="false">IF(A2154="","",COUNTIF(Pubs!$B$2:$B$3001,A2154))</f>
        <v/>
      </c>
      <c r="H2154" s="26" t="str">
        <f aca="false">IF(A2154="","",COUNTIF(Apparitions!$H$2:$H$5001,A2154))</f>
        <v/>
      </c>
      <c r="I2154" s="26" t="str">
        <f aca="false">IF(A2154="","",COUNTIFS(Apparitions!$H$2:$H$5001,A2154,Apparitions!$E$2:$E$5001,"○"))</f>
        <v/>
      </c>
      <c r="J2154" s="29" t="str">
        <f aca="false">IF(A2154="","",IFERROR(1/(1/_xlfn.MINIFS(Apparitions!$L$2:$L$5001,Apparitions!$H$2:$H$5001,A2154)),""))</f>
        <v/>
      </c>
    </row>
    <row r="2155" customFormat="false" ht="15" hidden="false" customHeight="false" outlineLevel="0" collapsed="false">
      <c r="A2155" s="19"/>
      <c r="B2155" s="19"/>
      <c r="C2155" s="19"/>
      <c r="D2155" s="19"/>
      <c r="E2155" s="32"/>
      <c r="F2155" s="19"/>
      <c r="G2155" s="26" t="str">
        <f aca="false">IF(A2155="","",COUNTIF(Pubs!$B$2:$B$3001,A2155))</f>
        <v/>
      </c>
      <c r="H2155" s="26" t="str">
        <f aca="false">IF(A2155="","",COUNTIF(Apparitions!$H$2:$H$5001,A2155))</f>
        <v/>
      </c>
      <c r="I2155" s="26" t="str">
        <f aca="false">IF(A2155="","",COUNTIFS(Apparitions!$H$2:$H$5001,A2155,Apparitions!$E$2:$E$5001,"○"))</f>
        <v/>
      </c>
      <c r="J2155" s="29" t="str">
        <f aca="false">IF(A2155="","",IFERROR(1/(1/_xlfn.MINIFS(Apparitions!$L$2:$L$5001,Apparitions!$H$2:$H$5001,A2155)),""))</f>
        <v/>
      </c>
    </row>
    <row r="2156" customFormat="false" ht="15" hidden="false" customHeight="false" outlineLevel="0" collapsed="false">
      <c r="A2156" s="19"/>
      <c r="B2156" s="19"/>
      <c r="C2156" s="19"/>
      <c r="D2156" s="19"/>
      <c r="E2156" s="32"/>
      <c r="F2156" s="19"/>
      <c r="G2156" s="26" t="str">
        <f aca="false">IF(A2156="","",COUNTIF(Pubs!$B$2:$B$3001,A2156))</f>
        <v/>
      </c>
      <c r="H2156" s="26" t="str">
        <f aca="false">IF(A2156="","",COUNTIF(Apparitions!$H$2:$H$5001,A2156))</f>
        <v/>
      </c>
      <c r="I2156" s="26" t="str">
        <f aca="false">IF(A2156="","",COUNTIFS(Apparitions!$H$2:$H$5001,A2156,Apparitions!$E$2:$E$5001,"○"))</f>
        <v/>
      </c>
      <c r="J2156" s="29" t="str">
        <f aca="false">IF(A2156="","",IFERROR(1/(1/_xlfn.MINIFS(Apparitions!$L$2:$L$5001,Apparitions!$H$2:$H$5001,A2156)),""))</f>
        <v/>
      </c>
    </row>
    <row r="2157" customFormat="false" ht="15" hidden="false" customHeight="false" outlineLevel="0" collapsed="false">
      <c r="A2157" s="19"/>
      <c r="B2157" s="19"/>
      <c r="C2157" s="19"/>
      <c r="D2157" s="19"/>
      <c r="E2157" s="32"/>
      <c r="F2157" s="19"/>
      <c r="G2157" s="26" t="str">
        <f aca="false">IF(A2157="","",COUNTIF(Pubs!$B$2:$B$3001,A2157))</f>
        <v/>
      </c>
      <c r="H2157" s="26" t="str">
        <f aca="false">IF(A2157="","",COUNTIF(Apparitions!$H$2:$H$5001,A2157))</f>
        <v/>
      </c>
      <c r="I2157" s="26" t="str">
        <f aca="false">IF(A2157="","",COUNTIFS(Apparitions!$H$2:$H$5001,A2157,Apparitions!$E$2:$E$5001,"○"))</f>
        <v/>
      </c>
      <c r="J2157" s="29" t="str">
        <f aca="false">IF(A2157="","",IFERROR(1/(1/_xlfn.MINIFS(Apparitions!$L$2:$L$5001,Apparitions!$H$2:$H$5001,A2157)),""))</f>
        <v/>
      </c>
    </row>
    <row r="2158" customFormat="false" ht="15" hidden="false" customHeight="false" outlineLevel="0" collapsed="false">
      <c r="A2158" s="19"/>
      <c r="B2158" s="19"/>
      <c r="C2158" s="19"/>
      <c r="D2158" s="19"/>
      <c r="E2158" s="32"/>
      <c r="F2158" s="19"/>
      <c r="G2158" s="26" t="str">
        <f aca="false">IF(A2158="","",COUNTIF(Pubs!$B$2:$B$3001,A2158))</f>
        <v/>
      </c>
      <c r="H2158" s="26" t="str">
        <f aca="false">IF(A2158="","",COUNTIF(Apparitions!$H$2:$H$5001,A2158))</f>
        <v/>
      </c>
      <c r="I2158" s="26" t="str">
        <f aca="false">IF(A2158="","",COUNTIFS(Apparitions!$H$2:$H$5001,A2158,Apparitions!$E$2:$E$5001,"○"))</f>
        <v/>
      </c>
      <c r="J2158" s="29" t="str">
        <f aca="false">IF(A2158="","",IFERROR(1/(1/_xlfn.MINIFS(Apparitions!$L$2:$L$5001,Apparitions!$H$2:$H$5001,A2158)),""))</f>
        <v/>
      </c>
    </row>
    <row r="2159" customFormat="false" ht="15" hidden="false" customHeight="false" outlineLevel="0" collapsed="false">
      <c r="A2159" s="19"/>
      <c r="B2159" s="19"/>
      <c r="C2159" s="19"/>
      <c r="D2159" s="19"/>
      <c r="E2159" s="32"/>
      <c r="F2159" s="19"/>
      <c r="G2159" s="26" t="str">
        <f aca="false">IF(A2159="","",COUNTIF(Pubs!$B$2:$B$3001,A2159))</f>
        <v/>
      </c>
      <c r="H2159" s="26" t="str">
        <f aca="false">IF(A2159="","",COUNTIF(Apparitions!$H$2:$H$5001,A2159))</f>
        <v/>
      </c>
      <c r="I2159" s="26" t="str">
        <f aca="false">IF(A2159="","",COUNTIFS(Apparitions!$H$2:$H$5001,A2159,Apparitions!$E$2:$E$5001,"○"))</f>
        <v/>
      </c>
      <c r="J2159" s="29" t="str">
        <f aca="false">IF(A2159="","",IFERROR(1/(1/_xlfn.MINIFS(Apparitions!$L$2:$L$5001,Apparitions!$H$2:$H$5001,A2159)),""))</f>
        <v/>
      </c>
    </row>
    <row r="2160" customFormat="false" ht="15" hidden="false" customHeight="false" outlineLevel="0" collapsed="false">
      <c r="A2160" s="19"/>
      <c r="B2160" s="19"/>
      <c r="C2160" s="19"/>
      <c r="D2160" s="19"/>
      <c r="E2160" s="32"/>
      <c r="F2160" s="19"/>
      <c r="G2160" s="26" t="str">
        <f aca="false">IF(A2160="","",COUNTIF(Pubs!$B$2:$B$3001,A2160))</f>
        <v/>
      </c>
      <c r="H2160" s="26" t="str">
        <f aca="false">IF(A2160="","",COUNTIF(Apparitions!$H$2:$H$5001,A2160))</f>
        <v/>
      </c>
      <c r="I2160" s="26" t="str">
        <f aca="false">IF(A2160="","",COUNTIFS(Apparitions!$H$2:$H$5001,A2160,Apparitions!$E$2:$E$5001,"○"))</f>
        <v/>
      </c>
      <c r="J2160" s="29" t="str">
        <f aca="false">IF(A2160="","",IFERROR(1/(1/_xlfn.MINIFS(Apparitions!$L$2:$L$5001,Apparitions!$H$2:$H$5001,A2160)),""))</f>
        <v/>
      </c>
    </row>
    <row r="2161" customFormat="false" ht="15" hidden="false" customHeight="false" outlineLevel="0" collapsed="false">
      <c r="A2161" s="19"/>
      <c r="B2161" s="19"/>
      <c r="C2161" s="19"/>
      <c r="D2161" s="19"/>
      <c r="E2161" s="32"/>
      <c r="F2161" s="19"/>
      <c r="G2161" s="26" t="str">
        <f aca="false">IF(A2161="","",COUNTIF(Pubs!$B$2:$B$3001,A2161))</f>
        <v/>
      </c>
      <c r="H2161" s="26" t="str">
        <f aca="false">IF(A2161="","",COUNTIF(Apparitions!$H$2:$H$5001,A2161))</f>
        <v/>
      </c>
      <c r="I2161" s="26" t="str">
        <f aca="false">IF(A2161="","",COUNTIFS(Apparitions!$H$2:$H$5001,A2161,Apparitions!$E$2:$E$5001,"○"))</f>
        <v/>
      </c>
      <c r="J2161" s="29" t="str">
        <f aca="false">IF(A2161="","",IFERROR(1/(1/_xlfn.MINIFS(Apparitions!$L$2:$L$5001,Apparitions!$H$2:$H$5001,A2161)),""))</f>
        <v/>
      </c>
    </row>
    <row r="2162" customFormat="false" ht="15" hidden="false" customHeight="false" outlineLevel="0" collapsed="false">
      <c r="A2162" s="19"/>
      <c r="B2162" s="19"/>
      <c r="C2162" s="19"/>
      <c r="D2162" s="19"/>
      <c r="E2162" s="32"/>
      <c r="F2162" s="19"/>
      <c r="G2162" s="26" t="str">
        <f aca="false">IF(A2162="","",COUNTIF(Pubs!$B$2:$B$3001,A2162))</f>
        <v/>
      </c>
      <c r="H2162" s="26" t="str">
        <f aca="false">IF(A2162="","",COUNTIF(Apparitions!$H$2:$H$5001,A2162))</f>
        <v/>
      </c>
      <c r="I2162" s="26" t="str">
        <f aca="false">IF(A2162="","",COUNTIFS(Apparitions!$H$2:$H$5001,A2162,Apparitions!$E$2:$E$5001,"○"))</f>
        <v/>
      </c>
      <c r="J2162" s="29" t="str">
        <f aca="false">IF(A2162="","",IFERROR(1/(1/_xlfn.MINIFS(Apparitions!$L$2:$L$5001,Apparitions!$H$2:$H$5001,A2162)),""))</f>
        <v/>
      </c>
    </row>
    <row r="2163" customFormat="false" ht="15" hidden="false" customHeight="false" outlineLevel="0" collapsed="false">
      <c r="A2163" s="19"/>
      <c r="B2163" s="19"/>
      <c r="C2163" s="19"/>
      <c r="D2163" s="19"/>
      <c r="E2163" s="32"/>
      <c r="F2163" s="19"/>
      <c r="G2163" s="26" t="str">
        <f aca="false">IF(A2163="","",COUNTIF(Pubs!$B$2:$B$3001,A2163))</f>
        <v/>
      </c>
      <c r="H2163" s="26" t="str">
        <f aca="false">IF(A2163="","",COUNTIF(Apparitions!$H$2:$H$5001,A2163))</f>
        <v/>
      </c>
      <c r="I2163" s="26" t="str">
        <f aca="false">IF(A2163="","",COUNTIFS(Apparitions!$H$2:$H$5001,A2163,Apparitions!$E$2:$E$5001,"○"))</f>
        <v/>
      </c>
      <c r="J2163" s="29" t="str">
        <f aca="false">IF(A2163="","",IFERROR(1/(1/_xlfn.MINIFS(Apparitions!$L$2:$L$5001,Apparitions!$H$2:$H$5001,A2163)),""))</f>
        <v/>
      </c>
    </row>
    <row r="2164" customFormat="false" ht="15" hidden="false" customHeight="false" outlineLevel="0" collapsed="false">
      <c r="A2164" s="19"/>
      <c r="B2164" s="19"/>
      <c r="C2164" s="19"/>
      <c r="D2164" s="19"/>
      <c r="E2164" s="32"/>
      <c r="F2164" s="19"/>
      <c r="G2164" s="26" t="str">
        <f aca="false">IF(A2164="","",COUNTIF(Pubs!$B$2:$B$3001,A2164))</f>
        <v/>
      </c>
      <c r="H2164" s="26" t="str">
        <f aca="false">IF(A2164="","",COUNTIF(Apparitions!$H$2:$H$5001,A2164))</f>
        <v/>
      </c>
      <c r="I2164" s="26" t="str">
        <f aca="false">IF(A2164="","",COUNTIFS(Apparitions!$H$2:$H$5001,A2164,Apparitions!$E$2:$E$5001,"○"))</f>
        <v/>
      </c>
      <c r="J2164" s="29" t="str">
        <f aca="false">IF(A2164="","",IFERROR(1/(1/_xlfn.MINIFS(Apparitions!$L$2:$L$5001,Apparitions!$H$2:$H$5001,A2164)),""))</f>
        <v/>
      </c>
    </row>
    <row r="2165" customFormat="false" ht="15" hidden="false" customHeight="false" outlineLevel="0" collapsed="false">
      <c r="A2165" s="19"/>
      <c r="B2165" s="19"/>
      <c r="C2165" s="19"/>
      <c r="D2165" s="19"/>
      <c r="E2165" s="32"/>
      <c r="F2165" s="19"/>
      <c r="G2165" s="26" t="str">
        <f aca="false">IF(A2165="","",COUNTIF(Pubs!$B$2:$B$3001,A2165))</f>
        <v/>
      </c>
      <c r="H2165" s="26" t="str">
        <f aca="false">IF(A2165="","",COUNTIF(Apparitions!$H$2:$H$5001,A2165))</f>
        <v/>
      </c>
      <c r="I2165" s="26" t="str">
        <f aca="false">IF(A2165="","",COUNTIFS(Apparitions!$H$2:$H$5001,A2165,Apparitions!$E$2:$E$5001,"○"))</f>
        <v/>
      </c>
      <c r="J2165" s="29" t="str">
        <f aca="false">IF(A2165="","",IFERROR(1/(1/_xlfn.MINIFS(Apparitions!$L$2:$L$5001,Apparitions!$H$2:$H$5001,A2165)),""))</f>
        <v/>
      </c>
    </row>
    <row r="2166" customFormat="false" ht="15" hidden="false" customHeight="false" outlineLevel="0" collapsed="false">
      <c r="A2166" s="19"/>
      <c r="B2166" s="19"/>
      <c r="C2166" s="19"/>
      <c r="D2166" s="19"/>
      <c r="E2166" s="32"/>
      <c r="F2166" s="19"/>
      <c r="G2166" s="26" t="str">
        <f aca="false">IF(A2166="","",COUNTIF(Pubs!$B$2:$B$3001,A2166))</f>
        <v/>
      </c>
      <c r="H2166" s="26" t="str">
        <f aca="false">IF(A2166="","",COUNTIF(Apparitions!$H$2:$H$5001,A2166))</f>
        <v/>
      </c>
      <c r="I2166" s="26" t="str">
        <f aca="false">IF(A2166="","",COUNTIFS(Apparitions!$H$2:$H$5001,A2166,Apparitions!$E$2:$E$5001,"○"))</f>
        <v/>
      </c>
      <c r="J2166" s="29" t="str">
        <f aca="false">IF(A2166="","",IFERROR(1/(1/_xlfn.MINIFS(Apparitions!$L$2:$L$5001,Apparitions!$H$2:$H$5001,A2166)),""))</f>
        <v/>
      </c>
    </row>
    <row r="2167" customFormat="false" ht="15" hidden="false" customHeight="false" outlineLevel="0" collapsed="false">
      <c r="A2167" s="19"/>
      <c r="B2167" s="19"/>
      <c r="C2167" s="19"/>
      <c r="D2167" s="19"/>
      <c r="E2167" s="32"/>
      <c r="F2167" s="19"/>
      <c r="G2167" s="26" t="str">
        <f aca="false">IF(A2167="","",COUNTIF(Pubs!$B$2:$B$3001,A2167))</f>
        <v/>
      </c>
      <c r="H2167" s="26" t="str">
        <f aca="false">IF(A2167="","",COUNTIF(Apparitions!$H$2:$H$5001,A2167))</f>
        <v/>
      </c>
      <c r="I2167" s="26" t="str">
        <f aca="false">IF(A2167="","",COUNTIFS(Apparitions!$H$2:$H$5001,A2167,Apparitions!$E$2:$E$5001,"○"))</f>
        <v/>
      </c>
      <c r="J2167" s="29" t="str">
        <f aca="false">IF(A2167="","",IFERROR(1/(1/_xlfn.MINIFS(Apparitions!$L$2:$L$5001,Apparitions!$H$2:$H$5001,A2167)),""))</f>
        <v/>
      </c>
    </row>
    <row r="2168" customFormat="false" ht="15" hidden="false" customHeight="false" outlineLevel="0" collapsed="false">
      <c r="A2168" s="19"/>
      <c r="B2168" s="19"/>
      <c r="C2168" s="19"/>
      <c r="D2168" s="19"/>
      <c r="E2168" s="32"/>
      <c r="F2168" s="19"/>
      <c r="G2168" s="26" t="str">
        <f aca="false">IF(A2168="","",COUNTIF(Pubs!$B$2:$B$3001,A2168))</f>
        <v/>
      </c>
      <c r="H2168" s="26" t="str">
        <f aca="false">IF(A2168="","",COUNTIF(Apparitions!$H$2:$H$5001,A2168))</f>
        <v/>
      </c>
      <c r="I2168" s="26" t="str">
        <f aca="false">IF(A2168="","",COUNTIFS(Apparitions!$H$2:$H$5001,A2168,Apparitions!$E$2:$E$5001,"○"))</f>
        <v/>
      </c>
      <c r="J2168" s="29" t="str">
        <f aca="false">IF(A2168="","",IFERROR(1/(1/_xlfn.MINIFS(Apparitions!$L$2:$L$5001,Apparitions!$H$2:$H$5001,A2168)),""))</f>
        <v/>
      </c>
    </row>
    <row r="2169" customFormat="false" ht="15" hidden="false" customHeight="false" outlineLevel="0" collapsed="false">
      <c r="A2169" s="19"/>
      <c r="B2169" s="19"/>
      <c r="C2169" s="19"/>
      <c r="D2169" s="19"/>
      <c r="E2169" s="32"/>
      <c r="F2169" s="19"/>
      <c r="G2169" s="26" t="str">
        <f aca="false">IF(A2169="","",COUNTIF(Pubs!$B$2:$B$3001,A2169))</f>
        <v/>
      </c>
      <c r="H2169" s="26" t="str">
        <f aca="false">IF(A2169="","",COUNTIF(Apparitions!$H$2:$H$5001,A2169))</f>
        <v/>
      </c>
      <c r="I2169" s="26" t="str">
        <f aca="false">IF(A2169="","",COUNTIFS(Apparitions!$H$2:$H$5001,A2169,Apparitions!$E$2:$E$5001,"○"))</f>
        <v/>
      </c>
      <c r="J2169" s="29" t="str">
        <f aca="false">IF(A2169="","",IFERROR(1/(1/_xlfn.MINIFS(Apparitions!$L$2:$L$5001,Apparitions!$H$2:$H$5001,A2169)),""))</f>
        <v/>
      </c>
    </row>
    <row r="2170" customFormat="false" ht="15" hidden="false" customHeight="false" outlineLevel="0" collapsed="false">
      <c r="A2170" s="19"/>
      <c r="B2170" s="19"/>
      <c r="C2170" s="19"/>
      <c r="D2170" s="19"/>
      <c r="E2170" s="32"/>
      <c r="F2170" s="19"/>
      <c r="G2170" s="26" t="str">
        <f aca="false">IF(A2170="","",COUNTIF(Pubs!$B$2:$B$3001,A2170))</f>
        <v/>
      </c>
      <c r="H2170" s="26" t="str">
        <f aca="false">IF(A2170="","",COUNTIF(Apparitions!$H$2:$H$5001,A2170))</f>
        <v/>
      </c>
      <c r="I2170" s="26" t="str">
        <f aca="false">IF(A2170="","",COUNTIFS(Apparitions!$H$2:$H$5001,A2170,Apparitions!$E$2:$E$5001,"○"))</f>
        <v/>
      </c>
      <c r="J2170" s="29" t="str">
        <f aca="false">IF(A2170="","",IFERROR(1/(1/_xlfn.MINIFS(Apparitions!$L$2:$L$5001,Apparitions!$H$2:$H$5001,A2170)),""))</f>
        <v/>
      </c>
    </row>
    <row r="2171" customFormat="false" ht="15" hidden="false" customHeight="false" outlineLevel="0" collapsed="false">
      <c r="A2171" s="19"/>
      <c r="B2171" s="19"/>
      <c r="C2171" s="19"/>
      <c r="D2171" s="19"/>
      <c r="E2171" s="32"/>
      <c r="F2171" s="19"/>
      <c r="G2171" s="26" t="str">
        <f aca="false">IF(A2171="","",COUNTIF(Pubs!$B$2:$B$3001,A2171))</f>
        <v/>
      </c>
      <c r="H2171" s="26" t="str">
        <f aca="false">IF(A2171="","",COUNTIF(Apparitions!$H$2:$H$5001,A2171))</f>
        <v/>
      </c>
      <c r="I2171" s="26" t="str">
        <f aca="false">IF(A2171="","",COUNTIFS(Apparitions!$H$2:$H$5001,A2171,Apparitions!$E$2:$E$5001,"○"))</f>
        <v/>
      </c>
      <c r="J2171" s="29" t="str">
        <f aca="false">IF(A2171="","",IFERROR(1/(1/_xlfn.MINIFS(Apparitions!$L$2:$L$5001,Apparitions!$H$2:$H$5001,A2171)),""))</f>
        <v/>
      </c>
    </row>
    <row r="2172" customFormat="false" ht="15" hidden="false" customHeight="false" outlineLevel="0" collapsed="false">
      <c r="A2172" s="19"/>
      <c r="B2172" s="19"/>
      <c r="C2172" s="19"/>
      <c r="D2172" s="19"/>
      <c r="E2172" s="32"/>
      <c r="F2172" s="19"/>
      <c r="G2172" s="26" t="str">
        <f aca="false">IF(A2172="","",COUNTIF(Pubs!$B$2:$B$3001,A2172))</f>
        <v/>
      </c>
      <c r="H2172" s="26" t="str">
        <f aca="false">IF(A2172="","",COUNTIF(Apparitions!$H$2:$H$5001,A2172))</f>
        <v/>
      </c>
      <c r="I2172" s="26" t="str">
        <f aca="false">IF(A2172="","",COUNTIFS(Apparitions!$H$2:$H$5001,A2172,Apparitions!$E$2:$E$5001,"○"))</f>
        <v/>
      </c>
      <c r="J2172" s="29" t="str">
        <f aca="false">IF(A2172="","",IFERROR(1/(1/_xlfn.MINIFS(Apparitions!$L$2:$L$5001,Apparitions!$H$2:$H$5001,A2172)),""))</f>
        <v/>
      </c>
    </row>
    <row r="2173" customFormat="false" ht="15" hidden="false" customHeight="false" outlineLevel="0" collapsed="false">
      <c r="A2173" s="19"/>
      <c r="B2173" s="19"/>
      <c r="C2173" s="19"/>
      <c r="D2173" s="19"/>
      <c r="E2173" s="32"/>
      <c r="F2173" s="19"/>
      <c r="G2173" s="26" t="str">
        <f aca="false">IF(A2173="","",COUNTIF(Pubs!$B$2:$B$3001,A2173))</f>
        <v/>
      </c>
      <c r="H2173" s="26" t="str">
        <f aca="false">IF(A2173="","",COUNTIF(Apparitions!$H$2:$H$5001,A2173))</f>
        <v/>
      </c>
      <c r="I2173" s="26" t="str">
        <f aca="false">IF(A2173="","",COUNTIFS(Apparitions!$H$2:$H$5001,A2173,Apparitions!$E$2:$E$5001,"○"))</f>
        <v/>
      </c>
      <c r="J2173" s="29" t="str">
        <f aca="false">IF(A2173="","",IFERROR(1/(1/_xlfn.MINIFS(Apparitions!$L$2:$L$5001,Apparitions!$H$2:$H$5001,A2173)),""))</f>
        <v/>
      </c>
    </row>
    <row r="2174" customFormat="false" ht="15" hidden="false" customHeight="false" outlineLevel="0" collapsed="false">
      <c r="A2174" s="19"/>
      <c r="B2174" s="19"/>
      <c r="C2174" s="19"/>
      <c r="D2174" s="19"/>
      <c r="E2174" s="32"/>
      <c r="F2174" s="19"/>
      <c r="G2174" s="26" t="str">
        <f aca="false">IF(A2174="","",COUNTIF(Pubs!$B$2:$B$3001,A2174))</f>
        <v/>
      </c>
      <c r="H2174" s="26" t="str">
        <f aca="false">IF(A2174="","",COUNTIF(Apparitions!$H$2:$H$5001,A2174))</f>
        <v/>
      </c>
      <c r="I2174" s="26" t="str">
        <f aca="false">IF(A2174="","",COUNTIFS(Apparitions!$H$2:$H$5001,A2174,Apparitions!$E$2:$E$5001,"○"))</f>
        <v/>
      </c>
      <c r="J2174" s="29" t="str">
        <f aca="false">IF(A2174="","",IFERROR(1/(1/_xlfn.MINIFS(Apparitions!$L$2:$L$5001,Apparitions!$H$2:$H$5001,A2174)),""))</f>
        <v/>
      </c>
    </row>
    <row r="2175" customFormat="false" ht="15" hidden="false" customHeight="false" outlineLevel="0" collapsed="false">
      <c r="A2175" s="19"/>
      <c r="B2175" s="19"/>
      <c r="C2175" s="19"/>
      <c r="D2175" s="19"/>
      <c r="E2175" s="32"/>
      <c r="F2175" s="19"/>
      <c r="G2175" s="26" t="str">
        <f aca="false">IF(A2175="","",COUNTIF(Pubs!$B$2:$B$3001,A2175))</f>
        <v/>
      </c>
      <c r="H2175" s="26" t="str">
        <f aca="false">IF(A2175="","",COUNTIF(Apparitions!$H$2:$H$5001,A2175))</f>
        <v/>
      </c>
      <c r="I2175" s="26" t="str">
        <f aca="false">IF(A2175="","",COUNTIFS(Apparitions!$H$2:$H$5001,A2175,Apparitions!$E$2:$E$5001,"○"))</f>
        <v/>
      </c>
      <c r="J2175" s="29" t="str">
        <f aca="false">IF(A2175="","",IFERROR(1/(1/_xlfn.MINIFS(Apparitions!$L$2:$L$5001,Apparitions!$H$2:$H$5001,A2175)),""))</f>
        <v/>
      </c>
    </row>
    <row r="2176" customFormat="false" ht="15" hidden="false" customHeight="false" outlineLevel="0" collapsed="false">
      <c r="A2176" s="19"/>
      <c r="B2176" s="19"/>
      <c r="C2176" s="19"/>
      <c r="D2176" s="19"/>
      <c r="E2176" s="32"/>
      <c r="F2176" s="19"/>
      <c r="G2176" s="26" t="str">
        <f aca="false">IF(A2176="","",COUNTIF(Pubs!$B$2:$B$3001,A2176))</f>
        <v/>
      </c>
      <c r="H2176" s="26" t="str">
        <f aca="false">IF(A2176="","",COUNTIF(Apparitions!$H$2:$H$5001,A2176))</f>
        <v/>
      </c>
      <c r="I2176" s="26" t="str">
        <f aca="false">IF(A2176="","",COUNTIFS(Apparitions!$H$2:$H$5001,A2176,Apparitions!$E$2:$E$5001,"○"))</f>
        <v/>
      </c>
      <c r="J2176" s="29" t="str">
        <f aca="false">IF(A2176="","",IFERROR(1/(1/_xlfn.MINIFS(Apparitions!$L$2:$L$5001,Apparitions!$H$2:$H$5001,A2176)),""))</f>
        <v/>
      </c>
    </row>
    <row r="2177" customFormat="false" ht="15" hidden="false" customHeight="false" outlineLevel="0" collapsed="false">
      <c r="A2177" s="19"/>
      <c r="B2177" s="19"/>
      <c r="C2177" s="19"/>
      <c r="D2177" s="19"/>
      <c r="E2177" s="32"/>
      <c r="F2177" s="19"/>
      <c r="G2177" s="26" t="str">
        <f aca="false">IF(A2177="","",COUNTIF(Pubs!$B$2:$B$3001,A2177))</f>
        <v/>
      </c>
      <c r="H2177" s="26" t="str">
        <f aca="false">IF(A2177="","",COUNTIF(Apparitions!$H$2:$H$5001,A2177))</f>
        <v/>
      </c>
      <c r="I2177" s="26" t="str">
        <f aca="false">IF(A2177="","",COUNTIFS(Apparitions!$H$2:$H$5001,A2177,Apparitions!$E$2:$E$5001,"○"))</f>
        <v/>
      </c>
      <c r="J2177" s="29" t="str">
        <f aca="false">IF(A2177="","",IFERROR(1/(1/_xlfn.MINIFS(Apparitions!$L$2:$L$5001,Apparitions!$H$2:$H$5001,A2177)),""))</f>
        <v/>
      </c>
    </row>
    <row r="2178" customFormat="false" ht="15" hidden="false" customHeight="false" outlineLevel="0" collapsed="false">
      <c r="A2178" s="19"/>
      <c r="B2178" s="19"/>
      <c r="C2178" s="19"/>
      <c r="D2178" s="19"/>
      <c r="E2178" s="32"/>
      <c r="F2178" s="19"/>
      <c r="G2178" s="26" t="str">
        <f aca="false">IF(A2178="","",COUNTIF(Pubs!$B$2:$B$3001,A2178))</f>
        <v/>
      </c>
      <c r="H2178" s="26" t="str">
        <f aca="false">IF(A2178="","",COUNTIF(Apparitions!$H$2:$H$5001,A2178))</f>
        <v/>
      </c>
      <c r="I2178" s="26" t="str">
        <f aca="false">IF(A2178="","",COUNTIFS(Apparitions!$H$2:$H$5001,A2178,Apparitions!$E$2:$E$5001,"○"))</f>
        <v/>
      </c>
      <c r="J2178" s="29" t="str">
        <f aca="false">IF(A2178="","",IFERROR(1/(1/_xlfn.MINIFS(Apparitions!$L$2:$L$5001,Apparitions!$H$2:$H$5001,A2178)),""))</f>
        <v/>
      </c>
    </row>
    <row r="2179" customFormat="false" ht="15" hidden="false" customHeight="false" outlineLevel="0" collapsed="false">
      <c r="A2179" s="19"/>
      <c r="B2179" s="19"/>
      <c r="C2179" s="19"/>
      <c r="D2179" s="19"/>
      <c r="E2179" s="32"/>
      <c r="F2179" s="19"/>
      <c r="G2179" s="26" t="str">
        <f aca="false">IF(A2179="","",COUNTIF(Pubs!$B$2:$B$3001,A2179))</f>
        <v/>
      </c>
      <c r="H2179" s="26" t="str">
        <f aca="false">IF(A2179="","",COUNTIF(Apparitions!$H$2:$H$5001,A2179))</f>
        <v/>
      </c>
      <c r="I2179" s="26" t="str">
        <f aca="false">IF(A2179="","",COUNTIFS(Apparitions!$H$2:$H$5001,A2179,Apparitions!$E$2:$E$5001,"○"))</f>
        <v/>
      </c>
      <c r="J2179" s="29" t="str">
        <f aca="false">IF(A2179="","",IFERROR(1/(1/_xlfn.MINIFS(Apparitions!$L$2:$L$5001,Apparitions!$H$2:$H$5001,A2179)),""))</f>
        <v/>
      </c>
    </row>
    <row r="2180" customFormat="false" ht="15" hidden="false" customHeight="false" outlineLevel="0" collapsed="false">
      <c r="A2180" s="19"/>
      <c r="B2180" s="19"/>
      <c r="C2180" s="19"/>
      <c r="D2180" s="19"/>
      <c r="E2180" s="32"/>
      <c r="F2180" s="19"/>
      <c r="G2180" s="26" t="str">
        <f aca="false">IF(A2180="","",COUNTIF(Pubs!$B$2:$B$3001,A2180))</f>
        <v/>
      </c>
      <c r="H2180" s="26" t="str">
        <f aca="false">IF(A2180="","",COUNTIF(Apparitions!$H$2:$H$5001,A2180))</f>
        <v/>
      </c>
      <c r="I2180" s="26" t="str">
        <f aca="false">IF(A2180="","",COUNTIFS(Apparitions!$H$2:$H$5001,A2180,Apparitions!$E$2:$E$5001,"○"))</f>
        <v/>
      </c>
      <c r="J2180" s="29" t="str">
        <f aca="false">IF(A2180="","",IFERROR(1/(1/_xlfn.MINIFS(Apparitions!$L$2:$L$5001,Apparitions!$H$2:$H$5001,A2180)),""))</f>
        <v/>
      </c>
    </row>
    <row r="2181" customFormat="false" ht="15" hidden="false" customHeight="false" outlineLevel="0" collapsed="false">
      <c r="A2181" s="19"/>
      <c r="B2181" s="19"/>
      <c r="C2181" s="19"/>
      <c r="D2181" s="19"/>
      <c r="E2181" s="32"/>
      <c r="F2181" s="19"/>
      <c r="G2181" s="26" t="str">
        <f aca="false">IF(A2181="","",COUNTIF(Pubs!$B$2:$B$3001,A2181))</f>
        <v/>
      </c>
      <c r="H2181" s="26" t="str">
        <f aca="false">IF(A2181="","",COUNTIF(Apparitions!$H$2:$H$5001,A2181))</f>
        <v/>
      </c>
      <c r="I2181" s="26" t="str">
        <f aca="false">IF(A2181="","",COUNTIFS(Apparitions!$H$2:$H$5001,A2181,Apparitions!$E$2:$E$5001,"○"))</f>
        <v/>
      </c>
      <c r="J2181" s="29" t="str">
        <f aca="false">IF(A2181="","",IFERROR(1/(1/_xlfn.MINIFS(Apparitions!$L$2:$L$5001,Apparitions!$H$2:$H$5001,A2181)),""))</f>
        <v/>
      </c>
    </row>
    <row r="2182" customFormat="false" ht="15" hidden="false" customHeight="false" outlineLevel="0" collapsed="false">
      <c r="A2182" s="19"/>
      <c r="B2182" s="19"/>
      <c r="C2182" s="19"/>
      <c r="D2182" s="19"/>
      <c r="E2182" s="32"/>
      <c r="F2182" s="19"/>
      <c r="G2182" s="26" t="str">
        <f aca="false">IF(A2182="","",COUNTIF(Pubs!$B$2:$B$3001,A2182))</f>
        <v/>
      </c>
      <c r="H2182" s="26" t="str">
        <f aca="false">IF(A2182="","",COUNTIF(Apparitions!$H$2:$H$5001,A2182))</f>
        <v/>
      </c>
      <c r="I2182" s="26" t="str">
        <f aca="false">IF(A2182="","",COUNTIFS(Apparitions!$H$2:$H$5001,A2182,Apparitions!$E$2:$E$5001,"○"))</f>
        <v/>
      </c>
      <c r="J2182" s="29" t="str">
        <f aca="false">IF(A2182="","",IFERROR(1/(1/_xlfn.MINIFS(Apparitions!$L$2:$L$5001,Apparitions!$H$2:$H$5001,A2182)),""))</f>
        <v/>
      </c>
    </row>
    <row r="2183" customFormat="false" ht="15" hidden="false" customHeight="false" outlineLevel="0" collapsed="false">
      <c r="A2183" s="19"/>
      <c r="B2183" s="19"/>
      <c r="C2183" s="19"/>
      <c r="D2183" s="19"/>
      <c r="E2183" s="32"/>
      <c r="F2183" s="19"/>
      <c r="G2183" s="26" t="str">
        <f aca="false">IF(A2183="","",COUNTIF(Pubs!$B$2:$B$3001,A2183))</f>
        <v/>
      </c>
      <c r="H2183" s="26" t="str">
        <f aca="false">IF(A2183="","",COUNTIF(Apparitions!$H$2:$H$5001,A2183))</f>
        <v/>
      </c>
      <c r="I2183" s="26" t="str">
        <f aca="false">IF(A2183="","",COUNTIFS(Apparitions!$H$2:$H$5001,A2183,Apparitions!$E$2:$E$5001,"○"))</f>
        <v/>
      </c>
      <c r="J2183" s="29" t="str">
        <f aca="false">IF(A2183="","",IFERROR(1/(1/_xlfn.MINIFS(Apparitions!$L$2:$L$5001,Apparitions!$H$2:$H$5001,A2183)),""))</f>
        <v/>
      </c>
    </row>
    <row r="2184" customFormat="false" ht="15" hidden="false" customHeight="false" outlineLevel="0" collapsed="false">
      <c r="A2184" s="19"/>
      <c r="B2184" s="19"/>
      <c r="C2184" s="19"/>
      <c r="D2184" s="19"/>
      <c r="E2184" s="32"/>
      <c r="F2184" s="19"/>
      <c r="G2184" s="26" t="str">
        <f aca="false">IF(A2184="","",COUNTIF(Pubs!$B$2:$B$3001,A2184))</f>
        <v/>
      </c>
      <c r="H2184" s="26" t="str">
        <f aca="false">IF(A2184="","",COUNTIF(Apparitions!$H$2:$H$5001,A2184))</f>
        <v/>
      </c>
      <c r="I2184" s="26" t="str">
        <f aca="false">IF(A2184="","",COUNTIFS(Apparitions!$H$2:$H$5001,A2184,Apparitions!$E$2:$E$5001,"○"))</f>
        <v/>
      </c>
      <c r="J2184" s="29" t="str">
        <f aca="false">IF(A2184="","",IFERROR(1/(1/_xlfn.MINIFS(Apparitions!$L$2:$L$5001,Apparitions!$H$2:$H$5001,A2184)),""))</f>
        <v/>
      </c>
    </row>
    <row r="2185" customFormat="false" ht="15" hidden="false" customHeight="false" outlineLevel="0" collapsed="false">
      <c r="A2185" s="19"/>
      <c r="B2185" s="19"/>
      <c r="C2185" s="19"/>
      <c r="D2185" s="19"/>
      <c r="E2185" s="32"/>
      <c r="F2185" s="19"/>
      <c r="G2185" s="26" t="str">
        <f aca="false">IF(A2185="","",COUNTIF(Pubs!$B$2:$B$3001,A2185))</f>
        <v/>
      </c>
      <c r="H2185" s="26" t="str">
        <f aca="false">IF(A2185="","",COUNTIF(Apparitions!$H$2:$H$5001,A2185))</f>
        <v/>
      </c>
      <c r="I2185" s="26" t="str">
        <f aca="false">IF(A2185="","",COUNTIFS(Apparitions!$H$2:$H$5001,A2185,Apparitions!$E$2:$E$5001,"○"))</f>
        <v/>
      </c>
      <c r="J2185" s="29" t="str">
        <f aca="false">IF(A2185="","",IFERROR(1/(1/_xlfn.MINIFS(Apparitions!$L$2:$L$5001,Apparitions!$H$2:$H$5001,A2185)),""))</f>
        <v/>
      </c>
    </row>
    <row r="2186" customFormat="false" ht="15" hidden="false" customHeight="false" outlineLevel="0" collapsed="false">
      <c r="A2186" s="19"/>
      <c r="B2186" s="19"/>
      <c r="C2186" s="19"/>
      <c r="D2186" s="19"/>
      <c r="E2186" s="32"/>
      <c r="F2186" s="19"/>
      <c r="G2186" s="26" t="str">
        <f aca="false">IF(A2186="","",COUNTIF(Pubs!$B$2:$B$3001,A2186))</f>
        <v/>
      </c>
      <c r="H2186" s="26" t="str">
        <f aca="false">IF(A2186="","",COUNTIF(Apparitions!$H$2:$H$5001,A2186))</f>
        <v/>
      </c>
      <c r="I2186" s="26" t="str">
        <f aca="false">IF(A2186="","",COUNTIFS(Apparitions!$H$2:$H$5001,A2186,Apparitions!$E$2:$E$5001,"○"))</f>
        <v/>
      </c>
      <c r="J2186" s="29" t="str">
        <f aca="false">IF(A2186="","",IFERROR(1/(1/_xlfn.MINIFS(Apparitions!$L$2:$L$5001,Apparitions!$H$2:$H$5001,A2186)),""))</f>
        <v/>
      </c>
    </row>
    <row r="2187" customFormat="false" ht="15" hidden="false" customHeight="false" outlineLevel="0" collapsed="false">
      <c r="A2187" s="19"/>
      <c r="B2187" s="19"/>
      <c r="C2187" s="19"/>
      <c r="D2187" s="19"/>
      <c r="E2187" s="32"/>
      <c r="F2187" s="19"/>
      <c r="G2187" s="26" t="str">
        <f aca="false">IF(A2187="","",COUNTIF(Pubs!$B$2:$B$3001,A2187))</f>
        <v/>
      </c>
      <c r="H2187" s="26" t="str">
        <f aca="false">IF(A2187="","",COUNTIF(Apparitions!$H$2:$H$5001,A2187))</f>
        <v/>
      </c>
      <c r="I2187" s="26" t="str">
        <f aca="false">IF(A2187="","",COUNTIFS(Apparitions!$H$2:$H$5001,A2187,Apparitions!$E$2:$E$5001,"○"))</f>
        <v/>
      </c>
      <c r="J2187" s="29" t="str">
        <f aca="false">IF(A2187="","",IFERROR(1/(1/_xlfn.MINIFS(Apparitions!$L$2:$L$5001,Apparitions!$H$2:$H$5001,A2187)),""))</f>
        <v/>
      </c>
    </row>
    <row r="2188" customFormat="false" ht="15" hidden="false" customHeight="false" outlineLevel="0" collapsed="false">
      <c r="A2188" s="19"/>
      <c r="B2188" s="19"/>
      <c r="C2188" s="19"/>
      <c r="D2188" s="19"/>
      <c r="E2188" s="32"/>
      <c r="F2188" s="19"/>
      <c r="G2188" s="26" t="str">
        <f aca="false">IF(A2188="","",COUNTIF(Pubs!$B$2:$B$3001,A2188))</f>
        <v/>
      </c>
      <c r="H2188" s="26" t="str">
        <f aca="false">IF(A2188="","",COUNTIF(Apparitions!$H$2:$H$5001,A2188))</f>
        <v/>
      </c>
      <c r="I2188" s="26" t="str">
        <f aca="false">IF(A2188="","",COUNTIFS(Apparitions!$H$2:$H$5001,A2188,Apparitions!$E$2:$E$5001,"○"))</f>
        <v/>
      </c>
      <c r="J2188" s="29" t="str">
        <f aca="false">IF(A2188="","",IFERROR(1/(1/_xlfn.MINIFS(Apparitions!$L$2:$L$5001,Apparitions!$H$2:$H$5001,A2188)),""))</f>
        <v/>
      </c>
    </row>
    <row r="2189" customFormat="false" ht="15" hidden="false" customHeight="false" outlineLevel="0" collapsed="false">
      <c r="A2189" s="19"/>
      <c r="B2189" s="19"/>
      <c r="C2189" s="19"/>
      <c r="D2189" s="19"/>
      <c r="E2189" s="32"/>
      <c r="F2189" s="19"/>
      <c r="G2189" s="26" t="str">
        <f aca="false">IF(A2189="","",COUNTIF(Pubs!$B$2:$B$3001,A2189))</f>
        <v/>
      </c>
      <c r="H2189" s="26" t="str">
        <f aca="false">IF(A2189="","",COUNTIF(Apparitions!$H$2:$H$5001,A2189))</f>
        <v/>
      </c>
      <c r="I2189" s="26" t="str">
        <f aca="false">IF(A2189="","",COUNTIFS(Apparitions!$H$2:$H$5001,A2189,Apparitions!$E$2:$E$5001,"○"))</f>
        <v/>
      </c>
      <c r="J2189" s="29" t="str">
        <f aca="false">IF(A2189="","",IFERROR(1/(1/_xlfn.MINIFS(Apparitions!$L$2:$L$5001,Apparitions!$H$2:$H$5001,A2189)),""))</f>
        <v/>
      </c>
    </row>
    <row r="2190" customFormat="false" ht="15" hidden="false" customHeight="false" outlineLevel="0" collapsed="false">
      <c r="A2190" s="19"/>
      <c r="B2190" s="19"/>
      <c r="C2190" s="19"/>
      <c r="D2190" s="19"/>
      <c r="E2190" s="32"/>
      <c r="F2190" s="19"/>
      <c r="G2190" s="26" t="str">
        <f aca="false">IF(A2190="","",COUNTIF(Pubs!$B$2:$B$3001,A2190))</f>
        <v/>
      </c>
      <c r="H2190" s="26" t="str">
        <f aca="false">IF(A2190="","",COUNTIF(Apparitions!$H$2:$H$5001,A2190))</f>
        <v/>
      </c>
      <c r="I2190" s="26" t="str">
        <f aca="false">IF(A2190="","",COUNTIFS(Apparitions!$H$2:$H$5001,A2190,Apparitions!$E$2:$E$5001,"○"))</f>
        <v/>
      </c>
      <c r="J2190" s="29" t="str">
        <f aca="false">IF(A2190="","",IFERROR(1/(1/_xlfn.MINIFS(Apparitions!$L$2:$L$5001,Apparitions!$H$2:$H$5001,A2190)),""))</f>
        <v/>
      </c>
    </row>
    <row r="2191" customFormat="false" ht="15" hidden="false" customHeight="false" outlineLevel="0" collapsed="false">
      <c r="A2191" s="19"/>
      <c r="B2191" s="19"/>
      <c r="C2191" s="19"/>
      <c r="D2191" s="19"/>
      <c r="E2191" s="32"/>
      <c r="F2191" s="19"/>
      <c r="G2191" s="26" t="str">
        <f aca="false">IF(A2191="","",COUNTIF(Pubs!$B$2:$B$3001,A2191))</f>
        <v/>
      </c>
      <c r="H2191" s="26" t="str">
        <f aca="false">IF(A2191="","",COUNTIF(Apparitions!$H$2:$H$5001,A2191))</f>
        <v/>
      </c>
      <c r="I2191" s="26" t="str">
        <f aca="false">IF(A2191="","",COUNTIFS(Apparitions!$H$2:$H$5001,A2191,Apparitions!$E$2:$E$5001,"○"))</f>
        <v/>
      </c>
      <c r="J2191" s="29" t="str">
        <f aca="false">IF(A2191="","",IFERROR(1/(1/_xlfn.MINIFS(Apparitions!$L$2:$L$5001,Apparitions!$H$2:$H$5001,A2191)),""))</f>
        <v/>
      </c>
    </row>
    <row r="2192" customFormat="false" ht="15" hidden="false" customHeight="false" outlineLevel="0" collapsed="false">
      <c r="A2192" s="19"/>
      <c r="B2192" s="19"/>
      <c r="C2192" s="19"/>
      <c r="D2192" s="19"/>
      <c r="E2192" s="32"/>
      <c r="F2192" s="19"/>
      <c r="G2192" s="26" t="str">
        <f aca="false">IF(A2192="","",COUNTIF(Pubs!$B$2:$B$3001,A2192))</f>
        <v/>
      </c>
      <c r="H2192" s="26" t="str">
        <f aca="false">IF(A2192="","",COUNTIF(Apparitions!$H$2:$H$5001,A2192))</f>
        <v/>
      </c>
      <c r="I2192" s="26" t="str">
        <f aca="false">IF(A2192="","",COUNTIFS(Apparitions!$H$2:$H$5001,A2192,Apparitions!$E$2:$E$5001,"○"))</f>
        <v/>
      </c>
      <c r="J2192" s="29" t="str">
        <f aca="false">IF(A2192="","",IFERROR(1/(1/_xlfn.MINIFS(Apparitions!$L$2:$L$5001,Apparitions!$H$2:$H$5001,A2192)),""))</f>
        <v/>
      </c>
    </row>
    <row r="2193" customFormat="false" ht="15" hidden="false" customHeight="false" outlineLevel="0" collapsed="false">
      <c r="A2193" s="19"/>
      <c r="B2193" s="19"/>
      <c r="C2193" s="19"/>
      <c r="D2193" s="19"/>
      <c r="E2193" s="32"/>
      <c r="F2193" s="19"/>
      <c r="G2193" s="26" t="str">
        <f aca="false">IF(A2193="","",COUNTIF(Pubs!$B$2:$B$3001,A2193))</f>
        <v/>
      </c>
      <c r="H2193" s="26" t="str">
        <f aca="false">IF(A2193="","",COUNTIF(Apparitions!$H$2:$H$5001,A2193))</f>
        <v/>
      </c>
      <c r="I2193" s="26" t="str">
        <f aca="false">IF(A2193="","",COUNTIFS(Apparitions!$H$2:$H$5001,A2193,Apparitions!$E$2:$E$5001,"○"))</f>
        <v/>
      </c>
      <c r="J2193" s="29" t="str">
        <f aca="false">IF(A2193="","",IFERROR(1/(1/_xlfn.MINIFS(Apparitions!$L$2:$L$5001,Apparitions!$H$2:$H$5001,A2193)),""))</f>
        <v/>
      </c>
    </row>
    <row r="2194" customFormat="false" ht="15" hidden="false" customHeight="false" outlineLevel="0" collapsed="false">
      <c r="A2194" s="19"/>
      <c r="B2194" s="19"/>
      <c r="C2194" s="19"/>
      <c r="D2194" s="19"/>
      <c r="E2194" s="32"/>
      <c r="F2194" s="19"/>
      <c r="G2194" s="26" t="str">
        <f aca="false">IF(A2194="","",COUNTIF(Pubs!$B$2:$B$3001,A2194))</f>
        <v/>
      </c>
      <c r="H2194" s="26" t="str">
        <f aca="false">IF(A2194="","",COUNTIF(Apparitions!$H$2:$H$5001,A2194))</f>
        <v/>
      </c>
      <c r="I2194" s="26" t="str">
        <f aca="false">IF(A2194="","",COUNTIFS(Apparitions!$H$2:$H$5001,A2194,Apparitions!$E$2:$E$5001,"○"))</f>
        <v/>
      </c>
      <c r="J2194" s="29" t="str">
        <f aca="false">IF(A2194="","",IFERROR(1/(1/_xlfn.MINIFS(Apparitions!$L$2:$L$5001,Apparitions!$H$2:$H$5001,A2194)),""))</f>
        <v/>
      </c>
    </row>
    <row r="2195" customFormat="false" ht="15" hidden="false" customHeight="false" outlineLevel="0" collapsed="false">
      <c r="A2195" s="19"/>
      <c r="B2195" s="19"/>
      <c r="C2195" s="19"/>
      <c r="D2195" s="19"/>
      <c r="E2195" s="32"/>
      <c r="F2195" s="19"/>
      <c r="G2195" s="26" t="str">
        <f aca="false">IF(A2195="","",COUNTIF(Pubs!$B$2:$B$3001,A2195))</f>
        <v/>
      </c>
      <c r="H2195" s="26" t="str">
        <f aca="false">IF(A2195="","",COUNTIF(Apparitions!$H$2:$H$5001,A2195))</f>
        <v/>
      </c>
      <c r="I2195" s="26" t="str">
        <f aca="false">IF(A2195="","",COUNTIFS(Apparitions!$H$2:$H$5001,A2195,Apparitions!$E$2:$E$5001,"○"))</f>
        <v/>
      </c>
      <c r="J2195" s="29" t="str">
        <f aca="false">IF(A2195="","",IFERROR(1/(1/_xlfn.MINIFS(Apparitions!$L$2:$L$5001,Apparitions!$H$2:$H$5001,A2195)),""))</f>
        <v/>
      </c>
    </row>
    <row r="2196" customFormat="false" ht="15" hidden="false" customHeight="false" outlineLevel="0" collapsed="false">
      <c r="A2196" s="19"/>
      <c r="B2196" s="19"/>
      <c r="C2196" s="19"/>
      <c r="D2196" s="19"/>
      <c r="E2196" s="32"/>
      <c r="F2196" s="19"/>
      <c r="G2196" s="26" t="str">
        <f aca="false">IF(A2196="","",COUNTIF(Pubs!$B$2:$B$3001,A2196))</f>
        <v/>
      </c>
      <c r="H2196" s="26" t="str">
        <f aca="false">IF(A2196="","",COUNTIF(Apparitions!$H$2:$H$5001,A2196))</f>
        <v/>
      </c>
      <c r="I2196" s="26" t="str">
        <f aca="false">IF(A2196="","",COUNTIFS(Apparitions!$H$2:$H$5001,A2196,Apparitions!$E$2:$E$5001,"○"))</f>
        <v/>
      </c>
      <c r="J2196" s="29" t="str">
        <f aca="false">IF(A2196="","",IFERROR(1/(1/_xlfn.MINIFS(Apparitions!$L$2:$L$5001,Apparitions!$H$2:$H$5001,A2196)),""))</f>
        <v/>
      </c>
    </row>
    <row r="2197" customFormat="false" ht="15" hidden="false" customHeight="false" outlineLevel="0" collapsed="false">
      <c r="A2197" s="19"/>
      <c r="B2197" s="19"/>
      <c r="C2197" s="19"/>
      <c r="D2197" s="19"/>
      <c r="E2197" s="32"/>
      <c r="F2197" s="19"/>
      <c r="G2197" s="26" t="str">
        <f aca="false">IF(A2197="","",COUNTIF(Pubs!$B$2:$B$3001,A2197))</f>
        <v/>
      </c>
      <c r="H2197" s="26" t="str">
        <f aca="false">IF(A2197="","",COUNTIF(Apparitions!$H$2:$H$5001,A2197))</f>
        <v/>
      </c>
      <c r="I2197" s="26" t="str">
        <f aca="false">IF(A2197="","",COUNTIFS(Apparitions!$H$2:$H$5001,A2197,Apparitions!$E$2:$E$5001,"○"))</f>
        <v/>
      </c>
      <c r="J2197" s="29" t="str">
        <f aca="false">IF(A2197="","",IFERROR(1/(1/_xlfn.MINIFS(Apparitions!$L$2:$L$5001,Apparitions!$H$2:$H$5001,A2197)),""))</f>
        <v/>
      </c>
    </row>
    <row r="2198" customFormat="false" ht="15" hidden="false" customHeight="false" outlineLevel="0" collapsed="false">
      <c r="A2198" s="19"/>
      <c r="B2198" s="19"/>
      <c r="C2198" s="19"/>
      <c r="D2198" s="19"/>
      <c r="E2198" s="32"/>
      <c r="F2198" s="19"/>
      <c r="G2198" s="26" t="str">
        <f aca="false">IF(A2198="","",COUNTIF(Pubs!$B$2:$B$3001,A2198))</f>
        <v/>
      </c>
      <c r="H2198" s="26" t="str">
        <f aca="false">IF(A2198="","",COUNTIF(Apparitions!$H$2:$H$5001,A2198))</f>
        <v/>
      </c>
      <c r="I2198" s="26" t="str">
        <f aca="false">IF(A2198="","",COUNTIFS(Apparitions!$H$2:$H$5001,A2198,Apparitions!$E$2:$E$5001,"○"))</f>
        <v/>
      </c>
      <c r="J2198" s="29" t="str">
        <f aca="false">IF(A2198="","",IFERROR(1/(1/_xlfn.MINIFS(Apparitions!$L$2:$L$5001,Apparitions!$H$2:$H$5001,A2198)),""))</f>
        <v/>
      </c>
    </row>
    <row r="2199" customFormat="false" ht="15" hidden="false" customHeight="false" outlineLevel="0" collapsed="false">
      <c r="A2199" s="19"/>
      <c r="B2199" s="19"/>
      <c r="C2199" s="19"/>
      <c r="D2199" s="19"/>
      <c r="E2199" s="32"/>
      <c r="F2199" s="19"/>
      <c r="G2199" s="26" t="str">
        <f aca="false">IF(A2199="","",COUNTIF(Pubs!$B$2:$B$3001,A2199))</f>
        <v/>
      </c>
      <c r="H2199" s="26" t="str">
        <f aca="false">IF(A2199="","",COUNTIF(Apparitions!$H$2:$H$5001,A2199))</f>
        <v/>
      </c>
      <c r="I2199" s="26" t="str">
        <f aca="false">IF(A2199="","",COUNTIFS(Apparitions!$H$2:$H$5001,A2199,Apparitions!$E$2:$E$5001,"○"))</f>
        <v/>
      </c>
      <c r="J2199" s="29" t="str">
        <f aca="false">IF(A2199="","",IFERROR(1/(1/_xlfn.MINIFS(Apparitions!$L$2:$L$5001,Apparitions!$H$2:$H$5001,A2199)),""))</f>
        <v/>
      </c>
    </row>
    <row r="2200" customFormat="false" ht="15" hidden="false" customHeight="false" outlineLevel="0" collapsed="false">
      <c r="A2200" s="19"/>
      <c r="B2200" s="19"/>
      <c r="C2200" s="19"/>
      <c r="D2200" s="19"/>
      <c r="E2200" s="32"/>
      <c r="F2200" s="19"/>
      <c r="G2200" s="26" t="str">
        <f aca="false">IF(A2200="","",COUNTIF(Pubs!$B$2:$B$3001,A2200))</f>
        <v/>
      </c>
      <c r="H2200" s="26" t="str">
        <f aca="false">IF(A2200="","",COUNTIF(Apparitions!$H$2:$H$5001,A2200))</f>
        <v/>
      </c>
      <c r="I2200" s="26" t="str">
        <f aca="false">IF(A2200="","",COUNTIFS(Apparitions!$H$2:$H$5001,A2200,Apparitions!$E$2:$E$5001,"○"))</f>
        <v/>
      </c>
      <c r="J2200" s="29" t="str">
        <f aca="false">IF(A2200="","",IFERROR(1/(1/_xlfn.MINIFS(Apparitions!$L$2:$L$5001,Apparitions!$H$2:$H$5001,A2200)),""))</f>
        <v/>
      </c>
    </row>
    <row r="2201" customFormat="false" ht="15" hidden="false" customHeight="false" outlineLevel="0" collapsed="false">
      <c r="A2201" s="19"/>
      <c r="B2201" s="19"/>
      <c r="C2201" s="19"/>
      <c r="D2201" s="19"/>
      <c r="E2201" s="32"/>
      <c r="F2201" s="19"/>
      <c r="G2201" s="26" t="str">
        <f aca="false">IF(A2201="","",COUNTIF(Pubs!$B$2:$B$3001,A2201))</f>
        <v/>
      </c>
      <c r="H2201" s="26" t="str">
        <f aca="false">IF(A2201="","",COUNTIF(Apparitions!$H$2:$H$5001,A2201))</f>
        <v/>
      </c>
      <c r="I2201" s="26" t="str">
        <f aca="false">IF(A2201="","",COUNTIFS(Apparitions!$H$2:$H$5001,A2201,Apparitions!$E$2:$E$5001,"○"))</f>
        <v/>
      </c>
      <c r="J2201" s="29" t="str">
        <f aca="false">IF(A2201="","",IFERROR(1/(1/_xlfn.MINIFS(Apparitions!$L$2:$L$5001,Apparitions!$H$2:$H$5001,A2201)),""))</f>
        <v/>
      </c>
    </row>
    <row r="2202" customFormat="false" ht="15" hidden="false" customHeight="false" outlineLevel="0" collapsed="false">
      <c r="A2202" s="19"/>
      <c r="B2202" s="19"/>
      <c r="C2202" s="19"/>
      <c r="D2202" s="19"/>
      <c r="E2202" s="32"/>
      <c r="F2202" s="19"/>
      <c r="G2202" s="26" t="str">
        <f aca="false">IF(A2202="","",COUNTIF(Pubs!$B$2:$B$3001,A2202))</f>
        <v/>
      </c>
      <c r="H2202" s="26" t="str">
        <f aca="false">IF(A2202="","",COUNTIF(Apparitions!$H$2:$H$5001,A2202))</f>
        <v/>
      </c>
      <c r="I2202" s="26" t="str">
        <f aca="false">IF(A2202="","",COUNTIFS(Apparitions!$H$2:$H$5001,A2202,Apparitions!$E$2:$E$5001,"○"))</f>
        <v/>
      </c>
      <c r="J2202" s="29" t="str">
        <f aca="false">IF(A2202="","",IFERROR(1/(1/_xlfn.MINIFS(Apparitions!$L$2:$L$5001,Apparitions!$H$2:$H$5001,A2202)),""))</f>
        <v/>
      </c>
    </row>
    <row r="2203" customFormat="false" ht="15" hidden="false" customHeight="false" outlineLevel="0" collapsed="false">
      <c r="A2203" s="19"/>
      <c r="B2203" s="19"/>
      <c r="C2203" s="19"/>
      <c r="D2203" s="19"/>
      <c r="E2203" s="32"/>
      <c r="F2203" s="19"/>
      <c r="G2203" s="26" t="str">
        <f aca="false">IF(A2203="","",COUNTIF(Pubs!$B$2:$B$3001,A2203))</f>
        <v/>
      </c>
      <c r="H2203" s="26" t="str">
        <f aca="false">IF(A2203="","",COUNTIF(Apparitions!$H$2:$H$5001,A2203))</f>
        <v/>
      </c>
      <c r="I2203" s="26" t="str">
        <f aca="false">IF(A2203="","",COUNTIFS(Apparitions!$H$2:$H$5001,A2203,Apparitions!$E$2:$E$5001,"○"))</f>
        <v/>
      </c>
      <c r="J2203" s="29" t="str">
        <f aca="false">IF(A2203="","",IFERROR(1/(1/_xlfn.MINIFS(Apparitions!$L$2:$L$5001,Apparitions!$H$2:$H$5001,A2203)),""))</f>
        <v/>
      </c>
    </row>
    <row r="2204" customFormat="false" ht="15" hidden="false" customHeight="false" outlineLevel="0" collapsed="false">
      <c r="A2204" s="19"/>
      <c r="B2204" s="19"/>
      <c r="C2204" s="19"/>
      <c r="D2204" s="19"/>
      <c r="E2204" s="32"/>
      <c r="F2204" s="19"/>
      <c r="G2204" s="26" t="str">
        <f aca="false">IF(A2204="","",COUNTIF(Pubs!$B$2:$B$3001,A2204))</f>
        <v/>
      </c>
      <c r="H2204" s="26" t="str">
        <f aca="false">IF(A2204="","",COUNTIF(Apparitions!$H$2:$H$5001,A2204))</f>
        <v/>
      </c>
      <c r="I2204" s="26" t="str">
        <f aca="false">IF(A2204="","",COUNTIFS(Apparitions!$H$2:$H$5001,A2204,Apparitions!$E$2:$E$5001,"○"))</f>
        <v/>
      </c>
      <c r="J2204" s="29" t="str">
        <f aca="false">IF(A2204="","",IFERROR(1/(1/_xlfn.MINIFS(Apparitions!$L$2:$L$5001,Apparitions!$H$2:$H$5001,A2204)),""))</f>
        <v/>
      </c>
    </row>
    <row r="2205" customFormat="false" ht="15" hidden="false" customHeight="false" outlineLevel="0" collapsed="false">
      <c r="A2205" s="19"/>
      <c r="B2205" s="19"/>
      <c r="C2205" s="19"/>
      <c r="D2205" s="19"/>
      <c r="E2205" s="32"/>
      <c r="F2205" s="19"/>
      <c r="G2205" s="26" t="str">
        <f aca="false">IF(A2205="","",COUNTIF(Pubs!$B$2:$B$3001,A2205))</f>
        <v/>
      </c>
      <c r="H2205" s="26" t="str">
        <f aca="false">IF(A2205="","",COUNTIF(Apparitions!$H$2:$H$5001,A2205))</f>
        <v/>
      </c>
      <c r="I2205" s="26" t="str">
        <f aca="false">IF(A2205="","",COUNTIFS(Apparitions!$H$2:$H$5001,A2205,Apparitions!$E$2:$E$5001,"○"))</f>
        <v/>
      </c>
      <c r="J2205" s="29" t="str">
        <f aca="false">IF(A2205="","",IFERROR(1/(1/_xlfn.MINIFS(Apparitions!$L$2:$L$5001,Apparitions!$H$2:$H$5001,A2205)),""))</f>
        <v/>
      </c>
    </row>
    <row r="2206" customFormat="false" ht="15" hidden="false" customHeight="false" outlineLevel="0" collapsed="false">
      <c r="A2206" s="19"/>
      <c r="B2206" s="19"/>
      <c r="C2206" s="19"/>
      <c r="D2206" s="19"/>
      <c r="E2206" s="32"/>
      <c r="F2206" s="19"/>
      <c r="G2206" s="26" t="str">
        <f aca="false">IF(A2206="","",COUNTIF(Pubs!$B$2:$B$3001,A2206))</f>
        <v/>
      </c>
      <c r="H2206" s="26" t="str">
        <f aca="false">IF(A2206="","",COUNTIF(Apparitions!$H$2:$H$5001,A2206))</f>
        <v/>
      </c>
      <c r="I2206" s="26" t="str">
        <f aca="false">IF(A2206="","",COUNTIFS(Apparitions!$H$2:$H$5001,A2206,Apparitions!$E$2:$E$5001,"○"))</f>
        <v/>
      </c>
      <c r="J2206" s="29" t="str">
        <f aca="false">IF(A2206="","",IFERROR(1/(1/_xlfn.MINIFS(Apparitions!$L$2:$L$5001,Apparitions!$H$2:$H$5001,A2206)),""))</f>
        <v/>
      </c>
    </row>
    <row r="2207" customFormat="false" ht="15" hidden="false" customHeight="false" outlineLevel="0" collapsed="false">
      <c r="A2207" s="19"/>
      <c r="B2207" s="19"/>
      <c r="C2207" s="19"/>
      <c r="D2207" s="19"/>
      <c r="E2207" s="32"/>
      <c r="F2207" s="19"/>
      <c r="G2207" s="26" t="str">
        <f aca="false">IF(A2207="","",COUNTIF(Pubs!$B$2:$B$3001,A2207))</f>
        <v/>
      </c>
      <c r="H2207" s="26" t="str">
        <f aca="false">IF(A2207="","",COUNTIF(Apparitions!$H$2:$H$5001,A2207))</f>
        <v/>
      </c>
      <c r="I2207" s="26" t="str">
        <f aca="false">IF(A2207="","",COUNTIFS(Apparitions!$H$2:$H$5001,A2207,Apparitions!$E$2:$E$5001,"○"))</f>
        <v/>
      </c>
      <c r="J2207" s="29" t="str">
        <f aca="false">IF(A2207="","",IFERROR(1/(1/_xlfn.MINIFS(Apparitions!$L$2:$L$5001,Apparitions!$H$2:$H$5001,A2207)),""))</f>
        <v/>
      </c>
    </row>
    <row r="2208" customFormat="false" ht="15" hidden="false" customHeight="false" outlineLevel="0" collapsed="false">
      <c r="A2208" s="19"/>
      <c r="B2208" s="19"/>
      <c r="C2208" s="19"/>
      <c r="D2208" s="19"/>
      <c r="E2208" s="32"/>
      <c r="F2208" s="19"/>
      <c r="G2208" s="26" t="str">
        <f aca="false">IF(A2208="","",COUNTIF(Pubs!$B$2:$B$3001,A2208))</f>
        <v/>
      </c>
      <c r="H2208" s="26" t="str">
        <f aca="false">IF(A2208="","",COUNTIF(Apparitions!$H$2:$H$5001,A2208))</f>
        <v/>
      </c>
      <c r="I2208" s="26" t="str">
        <f aca="false">IF(A2208="","",COUNTIFS(Apparitions!$H$2:$H$5001,A2208,Apparitions!$E$2:$E$5001,"○"))</f>
        <v/>
      </c>
      <c r="J2208" s="29" t="str">
        <f aca="false">IF(A2208="","",IFERROR(1/(1/_xlfn.MINIFS(Apparitions!$L$2:$L$5001,Apparitions!$H$2:$H$5001,A2208)),""))</f>
        <v/>
      </c>
    </row>
    <row r="2209" customFormat="false" ht="15" hidden="false" customHeight="false" outlineLevel="0" collapsed="false">
      <c r="A2209" s="19"/>
      <c r="B2209" s="19"/>
      <c r="C2209" s="19"/>
      <c r="D2209" s="19"/>
      <c r="E2209" s="32"/>
      <c r="F2209" s="19"/>
      <c r="G2209" s="26" t="str">
        <f aca="false">IF(A2209="","",COUNTIF(Pubs!$B$2:$B$3001,A2209))</f>
        <v/>
      </c>
      <c r="H2209" s="26" t="str">
        <f aca="false">IF(A2209="","",COUNTIF(Apparitions!$H$2:$H$5001,A2209))</f>
        <v/>
      </c>
      <c r="I2209" s="26" t="str">
        <f aca="false">IF(A2209="","",COUNTIFS(Apparitions!$H$2:$H$5001,A2209,Apparitions!$E$2:$E$5001,"○"))</f>
        <v/>
      </c>
      <c r="J2209" s="29" t="str">
        <f aca="false">IF(A2209="","",IFERROR(1/(1/_xlfn.MINIFS(Apparitions!$L$2:$L$5001,Apparitions!$H$2:$H$5001,A2209)),""))</f>
        <v/>
      </c>
    </row>
    <row r="2210" customFormat="false" ht="15" hidden="false" customHeight="false" outlineLevel="0" collapsed="false">
      <c r="A2210" s="19"/>
      <c r="B2210" s="19"/>
      <c r="C2210" s="19"/>
      <c r="D2210" s="19"/>
      <c r="E2210" s="32"/>
      <c r="F2210" s="19"/>
      <c r="G2210" s="26" t="str">
        <f aca="false">IF(A2210="","",COUNTIF(Pubs!$B$2:$B$3001,A2210))</f>
        <v/>
      </c>
      <c r="H2210" s="26" t="str">
        <f aca="false">IF(A2210="","",COUNTIF(Apparitions!$H$2:$H$5001,A2210))</f>
        <v/>
      </c>
      <c r="I2210" s="26" t="str">
        <f aca="false">IF(A2210="","",COUNTIFS(Apparitions!$H$2:$H$5001,A2210,Apparitions!$E$2:$E$5001,"○"))</f>
        <v/>
      </c>
      <c r="J2210" s="29" t="str">
        <f aca="false">IF(A2210="","",IFERROR(1/(1/_xlfn.MINIFS(Apparitions!$L$2:$L$5001,Apparitions!$H$2:$H$5001,A2210)),""))</f>
        <v/>
      </c>
    </row>
    <row r="2211" customFormat="false" ht="15" hidden="false" customHeight="false" outlineLevel="0" collapsed="false">
      <c r="A2211" s="19"/>
      <c r="B2211" s="19"/>
      <c r="C2211" s="19"/>
      <c r="D2211" s="19"/>
      <c r="E2211" s="32"/>
      <c r="F2211" s="19"/>
      <c r="G2211" s="26" t="str">
        <f aca="false">IF(A2211="","",COUNTIF(Pubs!$B$2:$B$3001,A2211))</f>
        <v/>
      </c>
      <c r="H2211" s="26" t="str">
        <f aca="false">IF(A2211="","",COUNTIF(Apparitions!$H$2:$H$5001,A2211))</f>
        <v/>
      </c>
      <c r="I2211" s="26" t="str">
        <f aca="false">IF(A2211="","",COUNTIFS(Apparitions!$H$2:$H$5001,A2211,Apparitions!$E$2:$E$5001,"○"))</f>
        <v/>
      </c>
      <c r="J2211" s="29" t="str">
        <f aca="false">IF(A2211="","",IFERROR(1/(1/_xlfn.MINIFS(Apparitions!$L$2:$L$5001,Apparitions!$H$2:$H$5001,A2211)),""))</f>
        <v/>
      </c>
    </row>
    <row r="2212" customFormat="false" ht="15" hidden="false" customHeight="false" outlineLevel="0" collapsed="false">
      <c r="A2212" s="19"/>
      <c r="B2212" s="19"/>
      <c r="C2212" s="19"/>
      <c r="D2212" s="19"/>
      <c r="E2212" s="32"/>
      <c r="F2212" s="19"/>
      <c r="G2212" s="26" t="str">
        <f aca="false">IF(A2212="","",COUNTIF(Pubs!$B$2:$B$3001,A2212))</f>
        <v/>
      </c>
      <c r="H2212" s="26" t="str">
        <f aca="false">IF(A2212="","",COUNTIF(Apparitions!$H$2:$H$5001,A2212))</f>
        <v/>
      </c>
      <c r="I2212" s="26" t="str">
        <f aca="false">IF(A2212="","",COUNTIFS(Apparitions!$H$2:$H$5001,A2212,Apparitions!$E$2:$E$5001,"○"))</f>
        <v/>
      </c>
      <c r="J2212" s="29" t="str">
        <f aca="false">IF(A2212="","",IFERROR(1/(1/_xlfn.MINIFS(Apparitions!$L$2:$L$5001,Apparitions!$H$2:$H$5001,A2212)),""))</f>
        <v/>
      </c>
    </row>
    <row r="2213" customFormat="false" ht="15" hidden="false" customHeight="false" outlineLevel="0" collapsed="false">
      <c r="A2213" s="19"/>
      <c r="B2213" s="19"/>
      <c r="C2213" s="19"/>
      <c r="D2213" s="19"/>
      <c r="E2213" s="32"/>
      <c r="F2213" s="19"/>
      <c r="G2213" s="26" t="str">
        <f aca="false">IF(A2213="","",COUNTIF(Pubs!$B$2:$B$3001,A2213))</f>
        <v/>
      </c>
      <c r="H2213" s="26" t="str">
        <f aca="false">IF(A2213="","",COUNTIF(Apparitions!$H$2:$H$5001,A2213))</f>
        <v/>
      </c>
      <c r="I2213" s="26" t="str">
        <f aca="false">IF(A2213="","",COUNTIFS(Apparitions!$H$2:$H$5001,A2213,Apparitions!$E$2:$E$5001,"○"))</f>
        <v/>
      </c>
      <c r="J2213" s="29" t="str">
        <f aca="false">IF(A2213="","",IFERROR(1/(1/_xlfn.MINIFS(Apparitions!$L$2:$L$5001,Apparitions!$H$2:$H$5001,A2213)),""))</f>
        <v/>
      </c>
    </row>
    <row r="2214" customFormat="false" ht="15" hidden="false" customHeight="false" outlineLevel="0" collapsed="false">
      <c r="A2214" s="19"/>
      <c r="B2214" s="19"/>
      <c r="C2214" s="19"/>
      <c r="D2214" s="19"/>
      <c r="E2214" s="32"/>
      <c r="F2214" s="19"/>
      <c r="G2214" s="26" t="str">
        <f aca="false">IF(A2214="","",COUNTIF(Pubs!$B$2:$B$3001,A2214))</f>
        <v/>
      </c>
      <c r="H2214" s="26" t="str">
        <f aca="false">IF(A2214="","",COUNTIF(Apparitions!$H$2:$H$5001,A2214))</f>
        <v/>
      </c>
      <c r="I2214" s="26" t="str">
        <f aca="false">IF(A2214="","",COUNTIFS(Apparitions!$H$2:$H$5001,A2214,Apparitions!$E$2:$E$5001,"○"))</f>
        <v/>
      </c>
      <c r="J2214" s="29" t="str">
        <f aca="false">IF(A2214="","",IFERROR(1/(1/_xlfn.MINIFS(Apparitions!$L$2:$L$5001,Apparitions!$H$2:$H$5001,A2214)),""))</f>
        <v/>
      </c>
    </row>
    <row r="2215" customFormat="false" ht="15" hidden="false" customHeight="false" outlineLevel="0" collapsed="false">
      <c r="A2215" s="19"/>
      <c r="B2215" s="19"/>
      <c r="C2215" s="19"/>
      <c r="D2215" s="19"/>
      <c r="E2215" s="32"/>
      <c r="F2215" s="19"/>
      <c r="G2215" s="26" t="str">
        <f aca="false">IF(A2215="","",COUNTIF(Pubs!$B$2:$B$3001,A2215))</f>
        <v/>
      </c>
      <c r="H2215" s="26" t="str">
        <f aca="false">IF(A2215="","",COUNTIF(Apparitions!$H$2:$H$5001,A2215))</f>
        <v/>
      </c>
      <c r="I2215" s="26" t="str">
        <f aca="false">IF(A2215="","",COUNTIFS(Apparitions!$H$2:$H$5001,A2215,Apparitions!$E$2:$E$5001,"○"))</f>
        <v/>
      </c>
      <c r="J2215" s="29" t="str">
        <f aca="false">IF(A2215="","",IFERROR(1/(1/_xlfn.MINIFS(Apparitions!$L$2:$L$5001,Apparitions!$H$2:$H$5001,A2215)),""))</f>
        <v/>
      </c>
    </row>
    <row r="2216" customFormat="false" ht="15" hidden="false" customHeight="false" outlineLevel="0" collapsed="false">
      <c r="A2216" s="19"/>
      <c r="B2216" s="19"/>
      <c r="C2216" s="19"/>
      <c r="D2216" s="19"/>
      <c r="E2216" s="32"/>
      <c r="F2216" s="19"/>
      <c r="G2216" s="26" t="str">
        <f aca="false">IF(A2216="","",COUNTIF(Pubs!$B$2:$B$3001,A2216))</f>
        <v/>
      </c>
      <c r="H2216" s="26" t="str">
        <f aca="false">IF(A2216="","",COUNTIF(Apparitions!$H$2:$H$5001,A2216))</f>
        <v/>
      </c>
      <c r="I2216" s="26" t="str">
        <f aca="false">IF(A2216="","",COUNTIFS(Apparitions!$H$2:$H$5001,A2216,Apparitions!$E$2:$E$5001,"○"))</f>
        <v/>
      </c>
      <c r="J2216" s="29" t="str">
        <f aca="false">IF(A2216="","",IFERROR(1/(1/_xlfn.MINIFS(Apparitions!$L$2:$L$5001,Apparitions!$H$2:$H$5001,A2216)),""))</f>
        <v/>
      </c>
    </row>
    <row r="2217" customFormat="false" ht="15" hidden="false" customHeight="false" outlineLevel="0" collapsed="false">
      <c r="A2217" s="19"/>
      <c r="B2217" s="19"/>
      <c r="C2217" s="19"/>
      <c r="D2217" s="19"/>
      <c r="E2217" s="32"/>
      <c r="F2217" s="19"/>
      <c r="G2217" s="26" t="str">
        <f aca="false">IF(A2217="","",COUNTIF(Pubs!$B$2:$B$3001,A2217))</f>
        <v/>
      </c>
      <c r="H2217" s="26" t="str">
        <f aca="false">IF(A2217="","",COUNTIF(Apparitions!$H$2:$H$5001,A2217))</f>
        <v/>
      </c>
      <c r="I2217" s="26" t="str">
        <f aca="false">IF(A2217="","",COUNTIFS(Apparitions!$H$2:$H$5001,A2217,Apparitions!$E$2:$E$5001,"○"))</f>
        <v/>
      </c>
      <c r="J2217" s="29" t="str">
        <f aca="false">IF(A2217="","",IFERROR(1/(1/_xlfn.MINIFS(Apparitions!$L$2:$L$5001,Apparitions!$H$2:$H$5001,A2217)),""))</f>
        <v/>
      </c>
    </row>
    <row r="2218" customFormat="false" ht="15" hidden="false" customHeight="false" outlineLevel="0" collapsed="false">
      <c r="A2218" s="19"/>
      <c r="B2218" s="19"/>
      <c r="C2218" s="19"/>
      <c r="D2218" s="19"/>
      <c r="E2218" s="32"/>
      <c r="F2218" s="19"/>
      <c r="G2218" s="26" t="str">
        <f aca="false">IF(A2218="","",COUNTIF(Pubs!$B$2:$B$3001,A2218))</f>
        <v/>
      </c>
      <c r="H2218" s="26" t="str">
        <f aca="false">IF(A2218="","",COUNTIF(Apparitions!$H$2:$H$5001,A2218))</f>
        <v/>
      </c>
      <c r="I2218" s="26" t="str">
        <f aca="false">IF(A2218="","",COUNTIFS(Apparitions!$H$2:$H$5001,A2218,Apparitions!$E$2:$E$5001,"○"))</f>
        <v/>
      </c>
      <c r="J2218" s="29" t="str">
        <f aca="false">IF(A2218="","",IFERROR(1/(1/_xlfn.MINIFS(Apparitions!$L$2:$L$5001,Apparitions!$H$2:$H$5001,A2218)),""))</f>
        <v/>
      </c>
    </row>
    <row r="2219" customFormat="false" ht="15" hidden="false" customHeight="false" outlineLevel="0" collapsed="false">
      <c r="A2219" s="19"/>
      <c r="B2219" s="19"/>
      <c r="C2219" s="19"/>
      <c r="D2219" s="19"/>
      <c r="E2219" s="32"/>
      <c r="F2219" s="19"/>
      <c r="G2219" s="26" t="str">
        <f aca="false">IF(A2219="","",COUNTIF(Pubs!$B$2:$B$3001,A2219))</f>
        <v/>
      </c>
      <c r="H2219" s="26" t="str">
        <f aca="false">IF(A2219="","",COUNTIF(Apparitions!$H$2:$H$5001,A2219))</f>
        <v/>
      </c>
      <c r="I2219" s="26" t="str">
        <f aca="false">IF(A2219="","",COUNTIFS(Apparitions!$H$2:$H$5001,A2219,Apparitions!$E$2:$E$5001,"○"))</f>
        <v/>
      </c>
      <c r="J2219" s="29" t="str">
        <f aca="false">IF(A2219="","",IFERROR(1/(1/_xlfn.MINIFS(Apparitions!$L$2:$L$5001,Apparitions!$H$2:$H$5001,A2219)),""))</f>
        <v/>
      </c>
    </row>
    <row r="2220" customFormat="false" ht="15" hidden="false" customHeight="false" outlineLevel="0" collapsed="false">
      <c r="A2220" s="19"/>
      <c r="B2220" s="19"/>
      <c r="C2220" s="19"/>
      <c r="D2220" s="19"/>
      <c r="E2220" s="32"/>
      <c r="F2220" s="19"/>
      <c r="G2220" s="26" t="str">
        <f aca="false">IF(A2220="","",COUNTIF(Pubs!$B$2:$B$3001,A2220))</f>
        <v/>
      </c>
      <c r="H2220" s="26" t="str">
        <f aca="false">IF(A2220="","",COUNTIF(Apparitions!$H$2:$H$5001,A2220))</f>
        <v/>
      </c>
      <c r="I2220" s="26" t="str">
        <f aca="false">IF(A2220="","",COUNTIFS(Apparitions!$H$2:$H$5001,A2220,Apparitions!$E$2:$E$5001,"○"))</f>
        <v/>
      </c>
      <c r="J2220" s="29" t="str">
        <f aca="false">IF(A2220="","",IFERROR(1/(1/_xlfn.MINIFS(Apparitions!$L$2:$L$5001,Apparitions!$H$2:$H$5001,A2220)),""))</f>
        <v/>
      </c>
    </row>
    <row r="2221" customFormat="false" ht="15" hidden="false" customHeight="false" outlineLevel="0" collapsed="false">
      <c r="A2221" s="19"/>
      <c r="B2221" s="19"/>
      <c r="C2221" s="19"/>
      <c r="D2221" s="19"/>
      <c r="E2221" s="32"/>
      <c r="F2221" s="19"/>
      <c r="G2221" s="26" t="str">
        <f aca="false">IF(A2221="","",COUNTIF(Pubs!$B$2:$B$3001,A2221))</f>
        <v/>
      </c>
      <c r="H2221" s="26" t="str">
        <f aca="false">IF(A2221="","",COUNTIF(Apparitions!$H$2:$H$5001,A2221))</f>
        <v/>
      </c>
      <c r="I2221" s="26" t="str">
        <f aca="false">IF(A2221="","",COUNTIFS(Apparitions!$H$2:$H$5001,A2221,Apparitions!$E$2:$E$5001,"○"))</f>
        <v/>
      </c>
      <c r="J2221" s="29" t="str">
        <f aca="false">IF(A2221="","",IFERROR(1/(1/_xlfn.MINIFS(Apparitions!$L$2:$L$5001,Apparitions!$H$2:$H$5001,A2221)),""))</f>
        <v/>
      </c>
    </row>
    <row r="2222" customFormat="false" ht="15" hidden="false" customHeight="false" outlineLevel="0" collapsed="false">
      <c r="A2222" s="19"/>
      <c r="B2222" s="19"/>
      <c r="C2222" s="19"/>
      <c r="D2222" s="19"/>
      <c r="E2222" s="32"/>
      <c r="F2222" s="19"/>
      <c r="G2222" s="26" t="str">
        <f aca="false">IF(A2222="","",COUNTIF(Pubs!$B$2:$B$3001,A2222))</f>
        <v/>
      </c>
      <c r="H2222" s="26" t="str">
        <f aca="false">IF(A2222="","",COUNTIF(Apparitions!$H$2:$H$5001,A2222))</f>
        <v/>
      </c>
      <c r="I2222" s="26" t="str">
        <f aca="false">IF(A2222="","",COUNTIFS(Apparitions!$H$2:$H$5001,A2222,Apparitions!$E$2:$E$5001,"○"))</f>
        <v/>
      </c>
      <c r="J2222" s="29" t="str">
        <f aca="false">IF(A2222="","",IFERROR(1/(1/_xlfn.MINIFS(Apparitions!$L$2:$L$5001,Apparitions!$H$2:$H$5001,A2222)),""))</f>
        <v/>
      </c>
    </row>
    <row r="2223" customFormat="false" ht="15" hidden="false" customHeight="false" outlineLevel="0" collapsed="false">
      <c r="A2223" s="19"/>
      <c r="B2223" s="19"/>
      <c r="C2223" s="19"/>
      <c r="D2223" s="19"/>
      <c r="E2223" s="32"/>
      <c r="F2223" s="19"/>
      <c r="G2223" s="26" t="str">
        <f aca="false">IF(A2223="","",COUNTIF(Pubs!$B$2:$B$3001,A2223))</f>
        <v/>
      </c>
      <c r="H2223" s="26" t="str">
        <f aca="false">IF(A2223="","",COUNTIF(Apparitions!$H$2:$H$5001,A2223))</f>
        <v/>
      </c>
      <c r="I2223" s="26" t="str">
        <f aca="false">IF(A2223="","",COUNTIFS(Apparitions!$H$2:$H$5001,A2223,Apparitions!$E$2:$E$5001,"○"))</f>
        <v/>
      </c>
      <c r="J2223" s="29" t="str">
        <f aca="false">IF(A2223="","",IFERROR(1/(1/_xlfn.MINIFS(Apparitions!$L$2:$L$5001,Apparitions!$H$2:$H$5001,A2223)),""))</f>
        <v/>
      </c>
    </row>
    <row r="2224" customFormat="false" ht="15" hidden="false" customHeight="false" outlineLevel="0" collapsed="false">
      <c r="A2224" s="19"/>
      <c r="B2224" s="19"/>
      <c r="C2224" s="19"/>
      <c r="D2224" s="19"/>
      <c r="E2224" s="32"/>
      <c r="F2224" s="19"/>
      <c r="G2224" s="26" t="str">
        <f aca="false">IF(A2224="","",COUNTIF(Pubs!$B$2:$B$3001,A2224))</f>
        <v/>
      </c>
      <c r="H2224" s="26" t="str">
        <f aca="false">IF(A2224="","",COUNTIF(Apparitions!$H$2:$H$5001,A2224))</f>
        <v/>
      </c>
      <c r="I2224" s="26" t="str">
        <f aca="false">IF(A2224="","",COUNTIFS(Apparitions!$H$2:$H$5001,A2224,Apparitions!$E$2:$E$5001,"○"))</f>
        <v/>
      </c>
      <c r="J2224" s="29" t="str">
        <f aca="false">IF(A2224="","",IFERROR(1/(1/_xlfn.MINIFS(Apparitions!$L$2:$L$5001,Apparitions!$H$2:$H$5001,A2224)),""))</f>
        <v/>
      </c>
    </row>
    <row r="2225" customFormat="false" ht="15" hidden="false" customHeight="false" outlineLevel="0" collapsed="false">
      <c r="A2225" s="19"/>
      <c r="B2225" s="19"/>
      <c r="C2225" s="19"/>
      <c r="D2225" s="19"/>
      <c r="E2225" s="32"/>
      <c r="F2225" s="19"/>
      <c r="G2225" s="26" t="str">
        <f aca="false">IF(A2225="","",COUNTIF(Pubs!$B$2:$B$3001,A2225))</f>
        <v/>
      </c>
      <c r="H2225" s="26" t="str">
        <f aca="false">IF(A2225="","",COUNTIF(Apparitions!$H$2:$H$5001,A2225))</f>
        <v/>
      </c>
      <c r="I2225" s="26" t="str">
        <f aca="false">IF(A2225="","",COUNTIFS(Apparitions!$H$2:$H$5001,A2225,Apparitions!$E$2:$E$5001,"○"))</f>
        <v/>
      </c>
      <c r="J2225" s="29" t="str">
        <f aca="false">IF(A2225="","",IFERROR(1/(1/_xlfn.MINIFS(Apparitions!$L$2:$L$5001,Apparitions!$H$2:$H$5001,A2225)),""))</f>
        <v/>
      </c>
    </row>
    <row r="2226" customFormat="false" ht="15" hidden="false" customHeight="false" outlineLevel="0" collapsed="false">
      <c r="A2226" s="19"/>
      <c r="B2226" s="19"/>
      <c r="C2226" s="19"/>
      <c r="D2226" s="19"/>
      <c r="E2226" s="32"/>
      <c r="F2226" s="19"/>
      <c r="G2226" s="26" t="str">
        <f aca="false">IF(A2226="","",COUNTIF(Pubs!$B$2:$B$3001,A2226))</f>
        <v/>
      </c>
      <c r="H2226" s="26" t="str">
        <f aca="false">IF(A2226="","",COUNTIF(Apparitions!$H$2:$H$5001,A2226))</f>
        <v/>
      </c>
      <c r="I2226" s="26" t="str">
        <f aca="false">IF(A2226="","",COUNTIFS(Apparitions!$H$2:$H$5001,A2226,Apparitions!$E$2:$E$5001,"○"))</f>
        <v/>
      </c>
      <c r="J2226" s="29" t="str">
        <f aca="false">IF(A2226="","",IFERROR(1/(1/_xlfn.MINIFS(Apparitions!$L$2:$L$5001,Apparitions!$H$2:$H$5001,A2226)),""))</f>
        <v/>
      </c>
    </row>
    <row r="2227" customFormat="false" ht="15" hidden="false" customHeight="false" outlineLevel="0" collapsed="false">
      <c r="A2227" s="19"/>
      <c r="B2227" s="19"/>
      <c r="C2227" s="19"/>
      <c r="D2227" s="19"/>
      <c r="E2227" s="32"/>
      <c r="F2227" s="19"/>
      <c r="G2227" s="26" t="str">
        <f aca="false">IF(A2227="","",COUNTIF(Pubs!$B$2:$B$3001,A2227))</f>
        <v/>
      </c>
      <c r="H2227" s="26" t="str">
        <f aca="false">IF(A2227="","",COUNTIF(Apparitions!$H$2:$H$5001,A2227))</f>
        <v/>
      </c>
      <c r="I2227" s="26" t="str">
        <f aca="false">IF(A2227="","",COUNTIFS(Apparitions!$H$2:$H$5001,A2227,Apparitions!$E$2:$E$5001,"○"))</f>
        <v/>
      </c>
      <c r="J2227" s="29" t="str">
        <f aca="false">IF(A2227="","",IFERROR(1/(1/_xlfn.MINIFS(Apparitions!$L$2:$L$5001,Apparitions!$H$2:$H$5001,A2227)),""))</f>
        <v/>
      </c>
    </row>
    <row r="2228" customFormat="false" ht="15" hidden="false" customHeight="false" outlineLevel="0" collapsed="false">
      <c r="A2228" s="19"/>
      <c r="B2228" s="19"/>
      <c r="C2228" s="19"/>
      <c r="D2228" s="19"/>
      <c r="E2228" s="32"/>
      <c r="F2228" s="19"/>
      <c r="G2228" s="26" t="str">
        <f aca="false">IF(A2228="","",COUNTIF(Pubs!$B$2:$B$3001,A2228))</f>
        <v/>
      </c>
      <c r="H2228" s="26" t="str">
        <f aca="false">IF(A2228="","",COUNTIF(Apparitions!$H$2:$H$5001,A2228))</f>
        <v/>
      </c>
      <c r="I2228" s="26" t="str">
        <f aca="false">IF(A2228="","",COUNTIFS(Apparitions!$H$2:$H$5001,A2228,Apparitions!$E$2:$E$5001,"○"))</f>
        <v/>
      </c>
      <c r="J2228" s="29" t="str">
        <f aca="false">IF(A2228="","",IFERROR(1/(1/_xlfn.MINIFS(Apparitions!$L$2:$L$5001,Apparitions!$H$2:$H$5001,A2228)),""))</f>
        <v/>
      </c>
    </row>
    <row r="2229" customFormat="false" ht="15" hidden="false" customHeight="false" outlineLevel="0" collapsed="false">
      <c r="A2229" s="19"/>
      <c r="B2229" s="19"/>
      <c r="C2229" s="19"/>
      <c r="D2229" s="19"/>
      <c r="E2229" s="32"/>
      <c r="F2229" s="19"/>
      <c r="G2229" s="26" t="str">
        <f aca="false">IF(A2229="","",COUNTIF(Pubs!$B$2:$B$3001,A2229))</f>
        <v/>
      </c>
      <c r="H2229" s="26" t="str">
        <f aca="false">IF(A2229="","",COUNTIF(Apparitions!$H$2:$H$5001,A2229))</f>
        <v/>
      </c>
      <c r="I2229" s="26" t="str">
        <f aca="false">IF(A2229="","",COUNTIFS(Apparitions!$H$2:$H$5001,A2229,Apparitions!$E$2:$E$5001,"○"))</f>
        <v/>
      </c>
      <c r="J2229" s="29" t="str">
        <f aca="false">IF(A2229="","",IFERROR(1/(1/_xlfn.MINIFS(Apparitions!$L$2:$L$5001,Apparitions!$H$2:$H$5001,A2229)),""))</f>
        <v/>
      </c>
    </row>
    <row r="2230" customFormat="false" ht="15" hidden="false" customHeight="false" outlineLevel="0" collapsed="false">
      <c r="A2230" s="19"/>
      <c r="B2230" s="19"/>
      <c r="C2230" s="19"/>
      <c r="D2230" s="19"/>
      <c r="E2230" s="32"/>
      <c r="F2230" s="19"/>
      <c r="G2230" s="26" t="str">
        <f aca="false">IF(A2230="","",COUNTIF(Pubs!$B$2:$B$3001,A2230))</f>
        <v/>
      </c>
      <c r="H2230" s="26" t="str">
        <f aca="false">IF(A2230="","",COUNTIF(Apparitions!$H$2:$H$5001,A2230))</f>
        <v/>
      </c>
      <c r="I2230" s="26" t="str">
        <f aca="false">IF(A2230="","",COUNTIFS(Apparitions!$H$2:$H$5001,A2230,Apparitions!$E$2:$E$5001,"○"))</f>
        <v/>
      </c>
      <c r="J2230" s="29" t="str">
        <f aca="false">IF(A2230="","",IFERROR(1/(1/_xlfn.MINIFS(Apparitions!$L$2:$L$5001,Apparitions!$H$2:$H$5001,A2230)),""))</f>
        <v/>
      </c>
    </row>
    <row r="2231" customFormat="false" ht="15" hidden="false" customHeight="false" outlineLevel="0" collapsed="false">
      <c r="A2231" s="19"/>
      <c r="B2231" s="19"/>
      <c r="C2231" s="19"/>
      <c r="D2231" s="19"/>
      <c r="E2231" s="32"/>
      <c r="F2231" s="19"/>
      <c r="G2231" s="26" t="str">
        <f aca="false">IF(A2231="","",COUNTIF(Pubs!$B$2:$B$3001,A2231))</f>
        <v/>
      </c>
      <c r="H2231" s="26" t="str">
        <f aca="false">IF(A2231="","",COUNTIF(Apparitions!$H$2:$H$5001,A2231))</f>
        <v/>
      </c>
      <c r="I2231" s="26" t="str">
        <f aca="false">IF(A2231="","",COUNTIFS(Apparitions!$H$2:$H$5001,A2231,Apparitions!$E$2:$E$5001,"○"))</f>
        <v/>
      </c>
      <c r="J2231" s="29" t="str">
        <f aca="false">IF(A2231="","",IFERROR(1/(1/_xlfn.MINIFS(Apparitions!$L$2:$L$5001,Apparitions!$H$2:$H$5001,A2231)),""))</f>
        <v/>
      </c>
    </row>
    <row r="2232" customFormat="false" ht="15" hidden="false" customHeight="false" outlineLevel="0" collapsed="false">
      <c r="A2232" s="19"/>
      <c r="B2232" s="19"/>
      <c r="C2232" s="19"/>
      <c r="D2232" s="19"/>
      <c r="E2232" s="32"/>
      <c r="F2232" s="19"/>
      <c r="G2232" s="26" t="str">
        <f aca="false">IF(A2232="","",COUNTIF(Pubs!$B$2:$B$3001,A2232))</f>
        <v/>
      </c>
      <c r="H2232" s="26" t="str">
        <f aca="false">IF(A2232="","",COUNTIF(Apparitions!$H$2:$H$5001,A2232))</f>
        <v/>
      </c>
      <c r="I2232" s="26" t="str">
        <f aca="false">IF(A2232="","",COUNTIFS(Apparitions!$H$2:$H$5001,A2232,Apparitions!$E$2:$E$5001,"○"))</f>
        <v/>
      </c>
      <c r="J2232" s="29" t="str">
        <f aca="false">IF(A2232="","",IFERROR(1/(1/_xlfn.MINIFS(Apparitions!$L$2:$L$5001,Apparitions!$H$2:$H$5001,A2232)),""))</f>
        <v/>
      </c>
    </row>
    <row r="2233" customFormat="false" ht="15" hidden="false" customHeight="false" outlineLevel="0" collapsed="false">
      <c r="A2233" s="19"/>
      <c r="B2233" s="19"/>
      <c r="C2233" s="19"/>
      <c r="D2233" s="19"/>
      <c r="E2233" s="32"/>
      <c r="F2233" s="19"/>
      <c r="G2233" s="26" t="str">
        <f aca="false">IF(A2233="","",COUNTIF(Pubs!$B$2:$B$3001,A2233))</f>
        <v/>
      </c>
      <c r="H2233" s="26" t="str">
        <f aca="false">IF(A2233="","",COUNTIF(Apparitions!$H$2:$H$5001,A2233))</f>
        <v/>
      </c>
      <c r="I2233" s="26" t="str">
        <f aca="false">IF(A2233="","",COUNTIFS(Apparitions!$H$2:$H$5001,A2233,Apparitions!$E$2:$E$5001,"○"))</f>
        <v/>
      </c>
      <c r="J2233" s="29" t="str">
        <f aca="false">IF(A2233="","",IFERROR(1/(1/_xlfn.MINIFS(Apparitions!$L$2:$L$5001,Apparitions!$H$2:$H$5001,A2233)),""))</f>
        <v/>
      </c>
    </row>
    <row r="2234" customFormat="false" ht="15" hidden="false" customHeight="false" outlineLevel="0" collapsed="false">
      <c r="A2234" s="19"/>
      <c r="B2234" s="19"/>
      <c r="C2234" s="19"/>
      <c r="D2234" s="19"/>
      <c r="E2234" s="32"/>
      <c r="F2234" s="19"/>
      <c r="G2234" s="26" t="str">
        <f aca="false">IF(A2234="","",COUNTIF(Pubs!$B$2:$B$3001,A2234))</f>
        <v/>
      </c>
      <c r="H2234" s="26" t="str">
        <f aca="false">IF(A2234="","",COUNTIF(Apparitions!$H$2:$H$5001,A2234))</f>
        <v/>
      </c>
      <c r="I2234" s="26" t="str">
        <f aca="false">IF(A2234="","",COUNTIFS(Apparitions!$H$2:$H$5001,A2234,Apparitions!$E$2:$E$5001,"○"))</f>
        <v/>
      </c>
      <c r="J2234" s="29" t="str">
        <f aca="false">IF(A2234="","",IFERROR(1/(1/_xlfn.MINIFS(Apparitions!$L$2:$L$5001,Apparitions!$H$2:$H$5001,A2234)),""))</f>
        <v/>
      </c>
    </row>
    <row r="2235" customFormat="false" ht="15" hidden="false" customHeight="false" outlineLevel="0" collapsed="false">
      <c r="A2235" s="19"/>
      <c r="B2235" s="19"/>
      <c r="C2235" s="19"/>
      <c r="D2235" s="19"/>
      <c r="E2235" s="32"/>
      <c r="F2235" s="19"/>
      <c r="G2235" s="26" t="str">
        <f aca="false">IF(A2235="","",COUNTIF(Pubs!$B$2:$B$3001,A2235))</f>
        <v/>
      </c>
      <c r="H2235" s="26" t="str">
        <f aca="false">IF(A2235="","",COUNTIF(Apparitions!$H$2:$H$5001,A2235))</f>
        <v/>
      </c>
      <c r="I2235" s="26" t="str">
        <f aca="false">IF(A2235="","",COUNTIFS(Apparitions!$H$2:$H$5001,A2235,Apparitions!$E$2:$E$5001,"○"))</f>
        <v/>
      </c>
      <c r="J2235" s="29" t="str">
        <f aca="false">IF(A2235="","",IFERROR(1/(1/_xlfn.MINIFS(Apparitions!$L$2:$L$5001,Apparitions!$H$2:$H$5001,A2235)),""))</f>
        <v/>
      </c>
    </row>
    <row r="2236" customFormat="false" ht="15" hidden="false" customHeight="false" outlineLevel="0" collapsed="false">
      <c r="A2236" s="19"/>
      <c r="B2236" s="19"/>
      <c r="C2236" s="19"/>
      <c r="D2236" s="19"/>
      <c r="E2236" s="32"/>
      <c r="F2236" s="19"/>
      <c r="G2236" s="26" t="str">
        <f aca="false">IF(A2236="","",COUNTIF(Pubs!$B$2:$B$3001,A2236))</f>
        <v/>
      </c>
      <c r="H2236" s="26" t="str">
        <f aca="false">IF(A2236="","",COUNTIF(Apparitions!$H$2:$H$5001,A2236))</f>
        <v/>
      </c>
      <c r="I2236" s="26" t="str">
        <f aca="false">IF(A2236="","",COUNTIFS(Apparitions!$H$2:$H$5001,A2236,Apparitions!$E$2:$E$5001,"○"))</f>
        <v/>
      </c>
      <c r="J2236" s="29" t="str">
        <f aca="false">IF(A2236="","",IFERROR(1/(1/_xlfn.MINIFS(Apparitions!$L$2:$L$5001,Apparitions!$H$2:$H$5001,A2236)),""))</f>
        <v/>
      </c>
    </row>
    <row r="2237" customFormat="false" ht="15" hidden="false" customHeight="false" outlineLevel="0" collapsed="false">
      <c r="A2237" s="19"/>
      <c r="B2237" s="19"/>
      <c r="C2237" s="19"/>
      <c r="D2237" s="19"/>
      <c r="E2237" s="32"/>
      <c r="F2237" s="19"/>
      <c r="G2237" s="26" t="str">
        <f aca="false">IF(A2237="","",COUNTIF(Pubs!$B$2:$B$3001,A2237))</f>
        <v/>
      </c>
      <c r="H2237" s="26" t="str">
        <f aca="false">IF(A2237="","",COUNTIF(Apparitions!$H$2:$H$5001,A2237))</f>
        <v/>
      </c>
      <c r="I2237" s="26" t="str">
        <f aca="false">IF(A2237="","",COUNTIFS(Apparitions!$H$2:$H$5001,A2237,Apparitions!$E$2:$E$5001,"○"))</f>
        <v/>
      </c>
      <c r="J2237" s="29" t="str">
        <f aca="false">IF(A2237="","",IFERROR(1/(1/_xlfn.MINIFS(Apparitions!$L$2:$L$5001,Apparitions!$H$2:$H$5001,A2237)),""))</f>
        <v/>
      </c>
    </row>
    <row r="2238" customFormat="false" ht="15" hidden="false" customHeight="false" outlineLevel="0" collapsed="false">
      <c r="A2238" s="19"/>
      <c r="B2238" s="19"/>
      <c r="C2238" s="19"/>
      <c r="D2238" s="19"/>
      <c r="E2238" s="32"/>
      <c r="F2238" s="19"/>
      <c r="G2238" s="26" t="str">
        <f aca="false">IF(A2238="","",COUNTIF(Pubs!$B$2:$B$3001,A2238))</f>
        <v/>
      </c>
      <c r="H2238" s="26" t="str">
        <f aca="false">IF(A2238="","",COUNTIF(Apparitions!$H$2:$H$5001,A2238))</f>
        <v/>
      </c>
      <c r="I2238" s="26" t="str">
        <f aca="false">IF(A2238="","",COUNTIFS(Apparitions!$H$2:$H$5001,A2238,Apparitions!$E$2:$E$5001,"○"))</f>
        <v/>
      </c>
      <c r="J2238" s="29" t="str">
        <f aca="false">IF(A2238="","",IFERROR(1/(1/_xlfn.MINIFS(Apparitions!$L$2:$L$5001,Apparitions!$H$2:$H$5001,A2238)),""))</f>
        <v/>
      </c>
    </row>
    <row r="2239" customFormat="false" ht="15" hidden="false" customHeight="false" outlineLevel="0" collapsed="false">
      <c r="A2239" s="19"/>
      <c r="B2239" s="19"/>
      <c r="C2239" s="19"/>
      <c r="D2239" s="19"/>
      <c r="E2239" s="32"/>
      <c r="F2239" s="19"/>
      <c r="G2239" s="26" t="str">
        <f aca="false">IF(A2239="","",COUNTIF(Pubs!$B$2:$B$3001,A2239))</f>
        <v/>
      </c>
      <c r="H2239" s="26" t="str">
        <f aca="false">IF(A2239="","",COUNTIF(Apparitions!$H$2:$H$5001,A2239))</f>
        <v/>
      </c>
      <c r="I2239" s="26" t="str">
        <f aca="false">IF(A2239="","",COUNTIFS(Apparitions!$H$2:$H$5001,A2239,Apparitions!$E$2:$E$5001,"○"))</f>
        <v/>
      </c>
      <c r="J2239" s="29" t="str">
        <f aca="false">IF(A2239="","",IFERROR(1/(1/_xlfn.MINIFS(Apparitions!$L$2:$L$5001,Apparitions!$H$2:$H$5001,A2239)),""))</f>
        <v/>
      </c>
    </row>
    <row r="2240" customFormat="false" ht="15" hidden="false" customHeight="false" outlineLevel="0" collapsed="false">
      <c r="A2240" s="19"/>
      <c r="B2240" s="19"/>
      <c r="C2240" s="19"/>
      <c r="D2240" s="19"/>
      <c r="E2240" s="32"/>
      <c r="F2240" s="19"/>
      <c r="G2240" s="26" t="str">
        <f aca="false">IF(A2240="","",COUNTIF(Pubs!$B$2:$B$3001,A2240))</f>
        <v/>
      </c>
      <c r="H2240" s="26" t="str">
        <f aca="false">IF(A2240="","",COUNTIF(Apparitions!$H$2:$H$5001,A2240))</f>
        <v/>
      </c>
      <c r="I2240" s="26" t="str">
        <f aca="false">IF(A2240="","",COUNTIFS(Apparitions!$H$2:$H$5001,A2240,Apparitions!$E$2:$E$5001,"○"))</f>
        <v/>
      </c>
      <c r="J2240" s="29" t="str">
        <f aca="false">IF(A2240="","",IFERROR(1/(1/_xlfn.MINIFS(Apparitions!$L$2:$L$5001,Apparitions!$H$2:$H$5001,A2240)),""))</f>
        <v/>
      </c>
    </row>
    <row r="2241" customFormat="false" ht="15" hidden="false" customHeight="false" outlineLevel="0" collapsed="false">
      <c r="A2241" s="19"/>
      <c r="B2241" s="19"/>
      <c r="C2241" s="19"/>
      <c r="D2241" s="19"/>
      <c r="E2241" s="32"/>
      <c r="F2241" s="19"/>
      <c r="G2241" s="26" t="str">
        <f aca="false">IF(A2241="","",COUNTIF(Pubs!$B$2:$B$3001,A2241))</f>
        <v/>
      </c>
      <c r="H2241" s="26" t="str">
        <f aca="false">IF(A2241="","",COUNTIF(Apparitions!$H$2:$H$5001,A2241))</f>
        <v/>
      </c>
      <c r="I2241" s="26" t="str">
        <f aca="false">IF(A2241="","",COUNTIFS(Apparitions!$H$2:$H$5001,A2241,Apparitions!$E$2:$E$5001,"○"))</f>
        <v/>
      </c>
      <c r="J2241" s="29" t="str">
        <f aca="false">IF(A2241="","",IFERROR(1/(1/_xlfn.MINIFS(Apparitions!$L$2:$L$5001,Apparitions!$H$2:$H$5001,A2241)),""))</f>
        <v/>
      </c>
    </row>
    <row r="2242" customFormat="false" ht="15" hidden="false" customHeight="false" outlineLevel="0" collapsed="false">
      <c r="A2242" s="19"/>
      <c r="B2242" s="19"/>
      <c r="C2242" s="19"/>
      <c r="D2242" s="19"/>
      <c r="E2242" s="32"/>
      <c r="F2242" s="19"/>
      <c r="G2242" s="26" t="str">
        <f aca="false">IF(A2242="","",COUNTIF(Pubs!$B$2:$B$3001,A2242))</f>
        <v/>
      </c>
      <c r="H2242" s="26" t="str">
        <f aca="false">IF(A2242="","",COUNTIF(Apparitions!$H$2:$H$5001,A2242))</f>
        <v/>
      </c>
      <c r="I2242" s="26" t="str">
        <f aca="false">IF(A2242="","",COUNTIFS(Apparitions!$H$2:$H$5001,A2242,Apparitions!$E$2:$E$5001,"○"))</f>
        <v/>
      </c>
      <c r="J2242" s="29" t="str">
        <f aca="false">IF(A2242="","",IFERROR(1/(1/_xlfn.MINIFS(Apparitions!$L$2:$L$5001,Apparitions!$H$2:$H$5001,A2242)),""))</f>
        <v/>
      </c>
    </row>
    <row r="2243" customFormat="false" ht="15" hidden="false" customHeight="false" outlineLevel="0" collapsed="false">
      <c r="A2243" s="19"/>
      <c r="B2243" s="19"/>
      <c r="C2243" s="19"/>
      <c r="D2243" s="19"/>
      <c r="E2243" s="32"/>
      <c r="F2243" s="19"/>
      <c r="G2243" s="26" t="str">
        <f aca="false">IF(A2243="","",COUNTIF(Pubs!$B$2:$B$3001,A2243))</f>
        <v/>
      </c>
      <c r="H2243" s="26" t="str">
        <f aca="false">IF(A2243="","",COUNTIF(Apparitions!$H$2:$H$5001,A2243))</f>
        <v/>
      </c>
      <c r="I2243" s="26" t="str">
        <f aca="false">IF(A2243="","",COUNTIFS(Apparitions!$H$2:$H$5001,A2243,Apparitions!$E$2:$E$5001,"○"))</f>
        <v/>
      </c>
      <c r="J2243" s="29" t="str">
        <f aca="false">IF(A2243="","",IFERROR(1/(1/_xlfn.MINIFS(Apparitions!$L$2:$L$5001,Apparitions!$H$2:$H$5001,A2243)),""))</f>
        <v/>
      </c>
    </row>
    <row r="2244" customFormat="false" ht="15" hidden="false" customHeight="false" outlineLevel="0" collapsed="false">
      <c r="A2244" s="19"/>
      <c r="B2244" s="19"/>
      <c r="C2244" s="19"/>
      <c r="D2244" s="19"/>
      <c r="E2244" s="32"/>
      <c r="F2244" s="19"/>
      <c r="G2244" s="26" t="str">
        <f aca="false">IF(A2244="","",COUNTIF(Pubs!$B$2:$B$3001,A2244))</f>
        <v/>
      </c>
      <c r="H2244" s="26" t="str">
        <f aca="false">IF(A2244="","",COUNTIF(Apparitions!$H$2:$H$5001,A2244))</f>
        <v/>
      </c>
      <c r="I2244" s="26" t="str">
        <f aca="false">IF(A2244="","",COUNTIFS(Apparitions!$H$2:$H$5001,A2244,Apparitions!$E$2:$E$5001,"○"))</f>
        <v/>
      </c>
      <c r="J2244" s="29" t="str">
        <f aca="false">IF(A2244="","",IFERROR(1/(1/_xlfn.MINIFS(Apparitions!$L$2:$L$5001,Apparitions!$H$2:$H$5001,A2244)),""))</f>
        <v/>
      </c>
    </row>
    <row r="2245" customFormat="false" ht="15" hidden="false" customHeight="false" outlineLevel="0" collapsed="false">
      <c r="A2245" s="19"/>
      <c r="B2245" s="19"/>
      <c r="C2245" s="19"/>
      <c r="D2245" s="19"/>
      <c r="E2245" s="32"/>
      <c r="F2245" s="19"/>
      <c r="G2245" s="26" t="str">
        <f aca="false">IF(A2245="","",COUNTIF(Pubs!$B$2:$B$3001,A2245))</f>
        <v/>
      </c>
      <c r="H2245" s="26" t="str">
        <f aca="false">IF(A2245="","",COUNTIF(Apparitions!$H$2:$H$5001,A2245))</f>
        <v/>
      </c>
      <c r="I2245" s="26" t="str">
        <f aca="false">IF(A2245="","",COUNTIFS(Apparitions!$H$2:$H$5001,A2245,Apparitions!$E$2:$E$5001,"○"))</f>
        <v/>
      </c>
      <c r="J2245" s="29" t="str">
        <f aca="false">IF(A2245="","",IFERROR(1/(1/_xlfn.MINIFS(Apparitions!$L$2:$L$5001,Apparitions!$H$2:$H$5001,A2245)),""))</f>
        <v/>
      </c>
    </row>
    <row r="2246" customFormat="false" ht="15" hidden="false" customHeight="false" outlineLevel="0" collapsed="false">
      <c r="A2246" s="19"/>
      <c r="B2246" s="19"/>
      <c r="C2246" s="19"/>
      <c r="D2246" s="19"/>
      <c r="E2246" s="32"/>
      <c r="F2246" s="19"/>
      <c r="G2246" s="26" t="str">
        <f aca="false">IF(A2246="","",COUNTIF(Pubs!$B$2:$B$3001,A2246))</f>
        <v/>
      </c>
      <c r="H2246" s="26" t="str">
        <f aca="false">IF(A2246="","",COUNTIF(Apparitions!$H$2:$H$5001,A2246))</f>
        <v/>
      </c>
      <c r="I2246" s="26" t="str">
        <f aca="false">IF(A2246="","",COUNTIFS(Apparitions!$H$2:$H$5001,A2246,Apparitions!$E$2:$E$5001,"○"))</f>
        <v/>
      </c>
      <c r="J2246" s="29" t="str">
        <f aca="false">IF(A2246="","",IFERROR(1/(1/_xlfn.MINIFS(Apparitions!$L$2:$L$5001,Apparitions!$H$2:$H$5001,A2246)),""))</f>
        <v/>
      </c>
    </row>
    <row r="2247" customFormat="false" ht="15" hidden="false" customHeight="false" outlineLevel="0" collapsed="false">
      <c r="A2247" s="19"/>
      <c r="B2247" s="19"/>
      <c r="C2247" s="19"/>
      <c r="D2247" s="19"/>
      <c r="E2247" s="32"/>
      <c r="F2247" s="19"/>
      <c r="G2247" s="26" t="str">
        <f aca="false">IF(A2247="","",COUNTIF(Pubs!$B$2:$B$3001,A2247))</f>
        <v/>
      </c>
      <c r="H2247" s="26" t="str">
        <f aca="false">IF(A2247="","",COUNTIF(Apparitions!$H$2:$H$5001,A2247))</f>
        <v/>
      </c>
      <c r="I2247" s="26" t="str">
        <f aca="false">IF(A2247="","",COUNTIFS(Apparitions!$H$2:$H$5001,A2247,Apparitions!$E$2:$E$5001,"○"))</f>
        <v/>
      </c>
      <c r="J2247" s="29" t="str">
        <f aca="false">IF(A2247="","",IFERROR(1/(1/_xlfn.MINIFS(Apparitions!$L$2:$L$5001,Apparitions!$H$2:$H$5001,A2247)),""))</f>
        <v/>
      </c>
    </row>
    <row r="2248" customFormat="false" ht="15" hidden="false" customHeight="false" outlineLevel="0" collapsed="false">
      <c r="A2248" s="19"/>
      <c r="B2248" s="19"/>
      <c r="C2248" s="19"/>
      <c r="D2248" s="19"/>
      <c r="E2248" s="32"/>
      <c r="F2248" s="19"/>
      <c r="G2248" s="26" t="str">
        <f aca="false">IF(A2248="","",COUNTIF(Pubs!$B$2:$B$3001,A2248))</f>
        <v/>
      </c>
      <c r="H2248" s="26" t="str">
        <f aca="false">IF(A2248="","",COUNTIF(Apparitions!$H$2:$H$5001,A2248))</f>
        <v/>
      </c>
      <c r="I2248" s="26" t="str">
        <f aca="false">IF(A2248="","",COUNTIFS(Apparitions!$H$2:$H$5001,A2248,Apparitions!$E$2:$E$5001,"○"))</f>
        <v/>
      </c>
      <c r="J2248" s="29" t="str">
        <f aca="false">IF(A2248="","",IFERROR(1/(1/_xlfn.MINIFS(Apparitions!$L$2:$L$5001,Apparitions!$H$2:$H$5001,A2248)),""))</f>
        <v/>
      </c>
    </row>
    <row r="2249" customFormat="false" ht="15" hidden="false" customHeight="false" outlineLevel="0" collapsed="false">
      <c r="A2249" s="19"/>
      <c r="B2249" s="19"/>
      <c r="C2249" s="19"/>
      <c r="D2249" s="19"/>
      <c r="E2249" s="32"/>
      <c r="F2249" s="19"/>
      <c r="G2249" s="26" t="str">
        <f aca="false">IF(A2249="","",COUNTIF(Pubs!$B$2:$B$3001,A2249))</f>
        <v/>
      </c>
      <c r="H2249" s="26" t="str">
        <f aca="false">IF(A2249="","",COUNTIF(Apparitions!$H$2:$H$5001,A2249))</f>
        <v/>
      </c>
      <c r="I2249" s="26" t="str">
        <f aca="false">IF(A2249="","",COUNTIFS(Apparitions!$H$2:$H$5001,A2249,Apparitions!$E$2:$E$5001,"○"))</f>
        <v/>
      </c>
      <c r="J2249" s="29" t="str">
        <f aca="false">IF(A2249="","",IFERROR(1/(1/_xlfn.MINIFS(Apparitions!$L$2:$L$5001,Apparitions!$H$2:$H$5001,A2249)),""))</f>
        <v/>
      </c>
    </row>
    <row r="2250" customFormat="false" ht="15" hidden="false" customHeight="false" outlineLevel="0" collapsed="false">
      <c r="A2250" s="19"/>
      <c r="B2250" s="19"/>
      <c r="C2250" s="19"/>
      <c r="D2250" s="19"/>
      <c r="E2250" s="32"/>
      <c r="F2250" s="19"/>
      <c r="G2250" s="26" t="str">
        <f aca="false">IF(A2250="","",COUNTIF(Pubs!$B$2:$B$3001,A2250))</f>
        <v/>
      </c>
      <c r="H2250" s="26" t="str">
        <f aca="false">IF(A2250="","",COUNTIF(Apparitions!$H$2:$H$5001,A2250))</f>
        <v/>
      </c>
      <c r="I2250" s="26" t="str">
        <f aca="false">IF(A2250="","",COUNTIFS(Apparitions!$H$2:$H$5001,A2250,Apparitions!$E$2:$E$5001,"○"))</f>
        <v/>
      </c>
      <c r="J2250" s="29" t="str">
        <f aca="false">IF(A2250="","",IFERROR(1/(1/_xlfn.MINIFS(Apparitions!$L$2:$L$5001,Apparitions!$H$2:$H$5001,A2250)),""))</f>
        <v/>
      </c>
    </row>
    <row r="2251" customFormat="false" ht="15" hidden="false" customHeight="false" outlineLevel="0" collapsed="false">
      <c r="A2251" s="19"/>
      <c r="B2251" s="19"/>
      <c r="C2251" s="19"/>
      <c r="D2251" s="19"/>
      <c r="E2251" s="32"/>
      <c r="F2251" s="19"/>
      <c r="G2251" s="26" t="str">
        <f aca="false">IF(A2251="","",COUNTIF(Pubs!$B$2:$B$3001,A2251))</f>
        <v/>
      </c>
      <c r="H2251" s="26" t="str">
        <f aca="false">IF(A2251="","",COUNTIF(Apparitions!$H$2:$H$5001,A2251))</f>
        <v/>
      </c>
      <c r="I2251" s="26" t="str">
        <f aca="false">IF(A2251="","",COUNTIFS(Apparitions!$H$2:$H$5001,A2251,Apparitions!$E$2:$E$5001,"○"))</f>
        <v/>
      </c>
      <c r="J2251" s="29" t="str">
        <f aca="false">IF(A2251="","",IFERROR(1/(1/_xlfn.MINIFS(Apparitions!$L$2:$L$5001,Apparitions!$H$2:$H$5001,A2251)),""))</f>
        <v/>
      </c>
    </row>
    <row r="2252" customFormat="false" ht="15" hidden="false" customHeight="false" outlineLevel="0" collapsed="false">
      <c r="A2252" s="19"/>
      <c r="B2252" s="19"/>
      <c r="C2252" s="19"/>
      <c r="D2252" s="19"/>
      <c r="E2252" s="32"/>
      <c r="F2252" s="19"/>
      <c r="G2252" s="26" t="str">
        <f aca="false">IF(A2252="","",COUNTIF(Pubs!$B$2:$B$3001,A2252))</f>
        <v/>
      </c>
      <c r="H2252" s="26" t="str">
        <f aca="false">IF(A2252="","",COUNTIF(Apparitions!$H$2:$H$5001,A2252))</f>
        <v/>
      </c>
      <c r="I2252" s="26" t="str">
        <f aca="false">IF(A2252="","",COUNTIFS(Apparitions!$H$2:$H$5001,A2252,Apparitions!$E$2:$E$5001,"○"))</f>
        <v/>
      </c>
      <c r="J2252" s="29" t="str">
        <f aca="false">IF(A2252="","",IFERROR(1/(1/_xlfn.MINIFS(Apparitions!$L$2:$L$5001,Apparitions!$H$2:$H$5001,A2252)),""))</f>
        <v/>
      </c>
    </row>
    <row r="2253" customFormat="false" ht="15" hidden="false" customHeight="false" outlineLevel="0" collapsed="false">
      <c r="A2253" s="19"/>
      <c r="B2253" s="19"/>
      <c r="C2253" s="19"/>
      <c r="D2253" s="19"/>
      <c r="E2253" s="32"/>
      <c r="F2253" s="19"/>
      <c r="G2253" s="26" t="str">
        <f aca="false">IF(A2253="","",COUNTIF(Pubs!$B$2:$B$3001,A2253))</f>
        <v/>
      </c>
      <c r="H2253" s="26" t="str">
        <f aca="false">IF(A2253="","",COUNTIF(Apparitions!$H$2:$H$5001,A2253))</f>
        <v/>
      </c>
      <c r="I2253" s="26" t="str">
        <f aca="false">IF(A2253="","",COUNTIFS(Apparitions!$H$2:$H$5001,A2253,Apparitions!$E$2:$E$5001,"○"))</f>
        <v/>
      </c>
      <c r="J2253" s="29" t="str">
        <f aca="false">IF(A2253="","",IFERROR(1/(1/_xlfn.MINIFS(Apparitions!$L$2:$L$5001,Apparitions!$H$2:$H$5001,A2253)),""))</f>
        <v/>
      </c>
    </row>
    <row r="2254" customFormat="false" ht="15" hidden="false" customHeight="false" outlineLevel="0" collapsed="false">
      <c r="A2254" s="19"/>
      <c r="B2254" s="19"/>
      <c r="C2254" s="19"/>
      <c r="D2254" s="19"/>
      <c r="E2254" s="32"/>
      <c r="F2254" s="19"/>
      <c r="G2254" s="26" t="str">
        <f aca="false">IF(A2254="","",COUNTIF(Pubs!$B$2:$B$3001,A2254))</f>
        <v/>
      </c>
      <c r="H2254" s="26" t="str">
        <f aca="false">IF(A2254="","",COUNTIF(Apparitions!$H$2:$H$5001,A2254))</f>
        <v/>
      </c>
      <c r="I2254" s="26" t="str">
        <f aca="false">IF(A2254="","",COUNTIFS(Apparitions!$H$2:$H$5001,A2254,Apparitions!$E$2:$E$5001,"○"))</f>
        <v/>
      </c>
      <c r="J2254" s="29" t="str">
        <f aca="false">IF(A2254="","",IFERROR(1/(1/_xlfn.MINIFS(Apparitions!$L$2:$L$5001,Apparitions!$H$2:$H$5001,A2254)),""))</f>
        <v/>
      </c>
    </row>
    <row r="2255" customFormat="false" ht="15" hidden="false" customHeight="false" outlineLevel="0" collapsed="false">
      <c r="A2255" s="19"/>
      <c r="B2255" s="19"/>
      <c r="C2255" s="19"/>
      <c r="D2255" s="19"/>
      <c r="E2255" s="32"/>
      <c r="F2255" s="19"/>
      <c r="G2255" s="26" t="str">
        <f aca="false">IF(A2255="","",COUNTIF(Pubs!$B$2:$B$3001,A2255))</f>
        <v/>
      </c>
      <c r="H2255" s="26" t="str">
        <f aca="false">IF(A2255="","",COUNTIF(Apparitions!$H$2:$H$5001,A2255))</f>
        <v/>
      </c>
      <c r="I2255" s="26" t="str">
        <f aca="false">IF(A2255="","",COUNTIFS(Apparitions!$H$2:$H$5001,A2255,Apparitions!$E$2:$E$5001,"○"))</f>
        <v/>
      </c>
      <c r="J2255" s="29" t="str">
        <f aca="false">IF(A2255="","",IFERROR(1/(1/_xlfn.MINIFS(Apparitions!$L$2:$L$5001,Apparitions!$H$2:$H$5001,A2255)),""))</f>
        <v/>
      </c>
    </row>
    <row r="2256" customFormat="false" ht="15" hidden="false" customHeight="false" outlineLevel="0" collapsed="false">
      <c r="A2256" s="19"/>
      <c r="B2256" s="19"/>
      <c r="C2256" s="19"/>
      <c r="D2256" s="19"/>
      <c r="E2256" s="32"/>
      <c r="F2256" s="19"/>
      <c r="G2256" s="26" t="str">
        <f aca="false">IF(A2256="","",COUNTIF(Pubs!$B$2:$B$3001,A2256))</f>
        <v/>
      </c>
      <c r="H2256" s="26" t="str">
        <f aca="false">IF(A2256="","",COUNTIF(Apparitions!$H$2:$H$5001,A2256))</f>
        <v/>
      </c>
      <c r="I2256" s="26" t="str">
        <f aca="false">IF(A2256="","",COUNTIFS(Apparitions!$H$2:$H$5001,A2256,Apparitions!$E$2:$E$5001,"○"))</f>
        <v/>
      </c>
      <c r="J2256" s="29" t="str">
        <f aca="false">IF(A2256="","",IFERROR(1/(1/_xlfn.MINIFS(Apparitions!$L$2:$L$5001,Apparitions!$H$2:$H$5001,A2256)),""))</f>
        <v/>
      </c>
    </row>
    <row r="2257" customFormat="false" ht="15" hidden="false" customHeight="false" outlineLevel="0" collapsed="false">
      <c r="A2257" s="19"/>
      <c r="B2257" s="19"/>
      <c r="C2257" s="19"/>
      <c r="D2257" s="19"/>
      <c r="E2257" s="32"/>
      <c r="F2257" s="19"/>
      <c r="G2257" s="26" t="str">
        <f aca="false">IF(A2257="","",COUNTIF(Pubs!$B$2:$B$3001,A2257))</f>
        <v/>
      </c>
      <c r="H2257" s="26" t="str">
        <f aca="false">IF(A2257="","",COUNTIF(Apparitions!$H$2:$H$5001,A2257))</f>
        <v/>
      </c>
      <c r="I2257" s="26" t="str">
        <f aca="false">IF(A2257="","",COUNTIFS(Apparitions!$H$2:$H$5001,A2257,Apparitions!$E$2:$E$5001,"○"))</f>
        <v/>
      </c>
      <c r="J2257" s="29" t="str">
        <f aca="false">IF(A2257="","",IFERROR(1/(1/_xlfn.MINIFS(Apparitions!$L$2:$L$5001,Apparitions!$H$2:$H$5001,A2257)),""))</f>
        <v/>
      </c>
    </row>
    <row r="2258" customFormat="false" ht="15" hidden="false" customHeight="false" outlineLevel="0" collapsed="false">
      <c r="A2258" s="19"/>
      <c r="B2258" s="19"/>
      <c r="C2258" s="19"/>
      <c r="D2258" s="19"/>
      <c r="E2258" s="32"/>
      <c r="F2258" s="19"/>
      <c r="G2258" s="26" t="str">
        <f aca="false">IF(A2258="","",COUNTIF(Pubs!$B$2:$B$3001,A2258))</f>
        <v/>
      </c>
      <c r="H2258" s="26" t="str">
        <f aca="false">IF(A2258="","",COUNTIF(Apparitions!$H$2:$H$5001,A2258))</f>
        <v/>
      </c>
      <c r="I2258" s="26" t="str">
        <f aca="false">IF(A2258="","",COUNTIFS(Apparitions!$H$2:$H$5001,A2258,Apparitions!$E$2:$E$5001,"○"))</f>
        <v/>
      </c>
      <c r="J2258" s="29" t="str">
        <f aca="false">IF(A2258="","",IFERROR(1/(1/_xlfn.MINIFS(Apparitions!$L$2:$L$5001,Apparitions!$H$2:$H$5001,A2258)),""))</f>
        <v/>
      </c>
    </row>
    <row r="2259" customFormat="false" ht="15" hidden="false" customHeight="false" outlineLevel="0" collapsed="false">
      <c r="A2259" s="19"/>
      <c r="B2259" s="19"/>
      <c r="C2259" s="19"/>
      <c r="D2259" s="19"/>
      <c r="E2259" s="32"/>
      <c r="F2259" s="19"/>
      <c r="G2259" s="26" t="str">
        <f aca="false">IF(A2259="","",COUNTIF(Pubs!$B$2:$B$3001,A2259))</f>
        <v/>
      </c>
      <c r="H2259" s="26" t="str">
        <f aca="false">IF(A2259="","",COUNTIF(Apparitions!$H$2:$H$5001,A2259))</f>
        <v/>
      </c>
      <c r="I2259" s="26" t="str">
        <f aca="false">IF(A2259="","",COUNTIFS(Apparitions!$H$2:$H$5001,A2259,Apparitions!$E$2:$E$5001,"○"))</f>
        <v/>
      </c>
      <c r="J2259" s="29" t="str">
        <f aca="false">IF(A2259="","",IFERROR(1/(1/_xlfn.MINIFS(Apparitions!$L$2:$L$5001,Apparitions!$H$2:$H$5001,A2259)),""))</f>
        <v/>
      </c>
    </row>
    <row r="2260" customFormat="false" ht="15" hidden="false" customHeight="false" outlineLevel="0" collapsed="false">
      <c r="A2260" s="19"/>
      <c r="B2260" s="19"/>
      <c r="C2260" s="19"/>
      <c r="D2260" s="19"/>
      <c r="E2260" s="32"/>
      <c r="F2260" s="19"/>
      <c r="G2260" s="26" t="str">
        <f aca="false">IF(A2260="","",COUNTIF(Pubs!$B$2:$B$3001,A2260))</f>
        <v/>
      </c>
      <c r="H2260" s="26" t="str">
        <f aca="false">IF(A2260="","",COUNTIF(Apparitions!$H$2:$H$5001,A2260))</f>
        <v/>
      </c>
      <c r="I2260" s="26" t="str">
        <f aca="false">IF(A2260="","",COUNTIFS(Apparitions!$H$2:$H$5001,A2260,Apparitions!$E$2:$E$5001,"○"))</f>
        <v/>
      </c>
      <c r="J2260" s="29" t="str">
        <f aca="false">IF(A2260="","",IFERROR(1/(1/_xlfn.MINIFS(Apparitions!$L$2:$L$5001,Apparitions!$H$2:$H$5001,A2260)),""))</f>
        <v/>
      </c>
    </row>
    <row r="2261" customFormat="false" ht="15" hidden="false" customHeight="false" outlineLevel="0" collapsed="false">
      <c r="A2261" s="19"/>
      <c r="B2261" s="19"/>
      <c r="C2261" s="19"/>
      <c r="D2261" s="19"/>
      <c r="E2261" s="32"/>
      <c r="F2261" s="19"/>
      <c r="G2261" s="26" t="str">
        <f aca="false">IF(A2261="","",COUNTIF(Pubs!$B$2:$B$3001,A2261))</f>
        <v/>
      </c>
      <c r="H2261" s="26" t="str">
        <f aca="false">IF(A2261="","",COUNTIF(Apparitions!$H$2:$H$5001,A2261))</f>
        <v/>
      </c>
      <c r="I2261" s="26" t="str">
        <f aca="false">IF(A2261="","",COUNTIFS(Apparitions!$H$2:$H$5001,A2261,Apparitions!$E$2:$E$5001,"○"))</f>
        <v/>
      </c>
      <c r="J2261" s="29" t="str">
        <f aca="false">IF(A2261="","",IFERROR(1/(1/_xlfn.MINIFS(Apparitions!$L$2:$L$5001,Apparitions!$H$2:$H$5001,A2261)),""))</f>
        <v/>
      </c>
    </row>
    <row r="2262" customFormat="false" ht="15" hidden="false" customHeight="false" outlineLevel="0" collapsed="false">
      <c r="A2262" s="19"/>
      <c r="B2262" s="19"/>
      <c r="C2262" s="19"/>
      <c r="D2262" s="19"/>
      <c r="E2262" s="32"/>
      <c r="F2262" s="19"/>
      <c r="G2262" s="26" t="str">
        <f aca="false">IF(A2262="","",COUNTIF(Pubs!$B$2:$B$3001,A2262))</f>
        <v/>
      </c>
      <c r="H2262" s="26" t="str">
        <f aca="false">IF(A2262="","",COUNTIF(Apparitions!$H$2:$H$5001,A2262))</f>
        <v/>
      </c>
      <c r="I2262" s="26" t="str">
        <f aca="false">IF(A2262="","",COUNTIFS(Apparitions!$H$2:$H$5001,A2262,Apparitions!$E$2:$E$5001,"○"))</f>
        <v/>
      </c>
      <c r="J2262" s="29" t="str">
        <f aca="false">IF(A2262="","",IFERROR(1/(1/_xlfn.MINIFS(Apparitions!$L$2:$L$5001,Apparitions!$H$2:$H$5001,A2262)),""))</f>
        <v/>
      </c>
    </row>
    <row r="2263" customFormat="false" ht="15" hidden="false" customHeight="false" outlineLevel="0" collapsed="false">
      <c r="A2263" s="19"/>
      <c r="B2263" s="19"/>
      <c r="C2263" s="19"/>
      <c r="D2263" s="19"/>
      <c r="E2263" s="32"/>
      <c r="F2263" s="19"/>
      <c r="G2263" s="26" t="str">
        <f aca="false">IF(A2263="","",COUNTIF(Pubs!$B$2:$B$3001,A2263))</f>
        <v/>
      </c>
      <c r="H2263" s="26" t="str">
        <f aca="false">IF(A2263="","",COUNTIF(Apparitions!$H$2:$H$5001,A2263))</f>
        <v/>
      </c>
      <c r="I2263" s="26" t="str">
        <f aca="false">IF(A2263="","",COUNTIFS(Apparitions!$H$2:$H$5001,A2263,Apparitions!$E$2:$E$5001,"○"))</f>
        <v/>
      </c>
      <c r="J2263" s="29" t="str">
        <f aca="false">IF(A2263="","",IFERROR(1/(1/_xlfn.MINIFS(Apparitions!$L$2:$L$5001,Apparitions!$H$2:$H$5001,A2263)),""))</f>
        <v/>
      </c>
    </row>
    <row r="2264" customFormat="false" ht="15" hidden="false" customHeight="false" outlineLevel="0" collapsed="false">
      <c r="A2264" s="19"/>
      <c r="B2264" s="19"/>
      <c r="C2264" s="19"/>
      <c r="D2264" s="19"/>
      <c r="E2264" s="32"/>
      <c r="F2264" s="19"/>
      <c r="G2264" s="26" t="str">
        <f aca="false">IF(A2264="","",COUNTIF(Pubs!$B$2:$B$3001,A2264))</f>
        <v/>
      </c>
      <c r="H2264" s="26" t="str">
        <f aca="false">IF(A2264="","",COUNTIF(Apparitions!$H$2:$H$5001,A2264))</f>
        <v/>
      </c>
      <c r="I2264" s="26" t="str">
        <f aca="false">IF(A2264="","",COUNTIFS(Apparitions!$H$2:$H$5001,A2264,Apparitions!$E$2:$E$5001,"○"))</f>
        <v/>
      </c>
      <c r="J2264" s="29" t="str">
        <f aca="false">IF(A2264="","",IFERROR(1/(1/_xlfn.MINIFS(Apparitions!$L$2:$L$5001,Apparitions!$H$2:$H$5001,A2264)),""))</f>
        <v/>
      </c>
    </row>
    <row r="2265" customFormat="false" ht="15" hidden="false" customHeight="false" outlineLevel="0" collapsed="false">
      <c r="A2265" s="19"/>
      <c r="B2265" s="19"/>
      <c r="C2265" s="19"/>
      <c r="D2265" s="19"/>
      <c r="E2265" s="32"/>
      <c r="F2265" s="19"/>
      <c r="G2265" s="26" t="str">
        <f aca="false">IF(A2265="","",COUNTIF(Pubs!$B$2:$B$3001,A2265))</f>
        <v/>
      </c>
      <c r="H2265" s="26" t="str">
        <f aca="false">IF(A2265="","",COUNTIF(Apparitions!$H$2:$H$5001,A2265))</f>
        <v/>
      </c>
      <c r="I2265" s="26" t="str">
        <f aca="false">IF(A2265="","",COUNTIFS(Apparitions!$H$2:$H$5001,A2265,Apparitions!$E$2:$E$5001,"○"))</f>
        <v/>
      </c>
      <c r="J2265" s="29" t="str">
        <f aca="false">IF(A2265="","",IFERROR(1/(1/_xlfn.MINIFS(Apparitions!$L$2:$L$5001,Apparitions!$H$2:$H$5001,A2265)),""))</f>
        <v/>
      </c>
    </row>
    <row r="2266" customFormat="false" ht="15" hidden="false" customHeight="false" outlineLevel="0" collapsed="false">
      <c r="A2266" s="19"/>
      <c r="B2266" s="19"/>
      <c r="C2266" s="19"/>
      <c r="D2266" s="19"/>
      <c r="E2266" s="32"/>
      <c r="F2266" s="19"/>
      <c r="G2266" s="26" t="str">
        <f aca="false">IF(A2266="","",COUNTIF(Pubs!$B$2:$B$3001,A2266))</f>
        <v/>
      </c>
      <c r="H2266" s="26" t="str">
        <f aca="false">IF(A2266="","",COUNTIF(Apparitions!$H$2:$H$5001,A2266))</f>
        <v/>
      </c>
      <c r="I2266" s="26" t="str">
        <f aca="false">IF(A2266="","",COUNTIFS(Apparitions!$H$2:$H$5001,A2266,Apparitions!$E$2:$E$5001,"○"))</f>
        <v/>
      </c>
      <c r="J2266" s="29" t="str">
        <f aca="false">IF(A2266="","",IFERROR(1/(1/_xlfn.MINIFS(Apparitions!$L$2:$L$5001,Apparitions!$H$2:$H$5001,A2266)),""))</f>
        <v/>
      </c>
    </row>
    <row r="2267" customFormat="false" ht="15" hidden="false" customHeight="false" outlineLevel="0" collapsed="false">
      <c r="A2267" s="19"/>
      <c r="B2267" s="19"/>
      <c r="C2267" s="19"/>
      <c r="D2267" s="19"/>
      <c r="E2267" s="32"/>
      <c r="F2267" s="19"/>
      <c r="G2267" s="26" t="str">
        <f aca="false">IF(A2267="","",COUNTIF(Pubs!$B$2:$B$3001,A2267))</f>
        <v/>
      </c>
      <c r="H2267" s="26" t="str">
        <f aca="false">IF(A2267="","",COUNTIF(Apparitions!$H$2:$H$5001,A2267))</f>
        <v/>
      </c>
      <c r="I2267" s="26" t="str">
        <f aca="false">IF(A2267="","",COUNTIFS(Apparitions!$H$2:$H$5001,A2267,Apparitions!$E$2:$E$5001,"○"))</f>
        <v/>
      </c>
      <c r="J2267" s="29" t="str">
        <f aca="false">IF(A2267="","",IFERROR(1/(1/_xlfn.MINIFS(Apparitions!$L$2:$L$5001,Apparitions!$H$2:$H$5001,A2267)),""))</f>
        <v/>
      </c>
    </row>
    <row r="2268" customFormat="false" ht="15" hidden="false" customHeight="false" outlineLevel="0" collapsed="false">
      <c r="A2268" s="19"/>
      <c r="B2268" s="19"/>
      <c r="C2268" s="19"/>
      <c r="D2268" s="19"/>
      <c r="E2268" s="32"/>
      <c r="F2268" s="19"/>
      <c r="G2268" s="26" t="str">
        <f aca="false">IF(A2268="","",COUNTIF(Pubs!$B$2:$B$3001,A2268))</f>
        <v/>
      </c>
      <c r="H2268" s="26" t="str">
        <f aca="false">IF(A2268="","",COUNTIF(Apparitions!$H$2:$H$5001,A2268))</f>
        <v/>
      </c>
      <c r="I2268" s="26" t="str">
        <f aca="false">IF(A2268="","",COUNTIFS(Apparitions!$H$2:$H$5001,A2268,Apparitions!$E$2:$E$5001,"○"))</f>
        <v/>
      </c>
      <c r="J2268" s="29" t="str">
        <f aca="false">IF(A2268="","",IFERROR(1/(1/_xlfn.MINIFS(Apparitions!$L$2:$L$5001,Apparitions!$H$2:$H$5001,A2268)),""))</f>
        <v/>
      </c>
    </row>
    <row r="2269" customFormat="false" ht="15" hidden="false" customHeight="false" outlineLevel="0" collapsed="false">
      <c r="A2269" s="19"/>
      <c r="B2269" s="19"/>
      <c r="C2269" s="19"/>
      <c r="D2269" s="19"/>
      <c r="E2269" s="32"/>
      <c r="F2269" s="19"/>
      <c r="G2269" s="26" t="str">
        <f aca="false">IF(A2269="","",COUNTIF(Pubs!$B$2:$B$3001,A2269))</f>
        <v/>
      </c>
      <c r="H2269" s="26" t="str">
        <f aca="false">IF(A2269="","",COUNTIF(Apparitions!$H$2:$H$5001,A2269))</f>
        <v/>
      </c>
      <c r="I2269" s="26" t="str">
        <f aca="false">IF(A2269="","",COUNTIFS(Apparitions!$H$2:$H$5001,A2269,Apparitions!$E$2:$E$5001,"○"))</f>
        <v/>
      </c>
      <c r="J2269" s="29" t="str">
        <f aca="false">IF(A2269="","",IFERROR(1/(1/_xlfn.MINIFS(Apparitions!$L$2:$L$5001,Apparitions!$H$2:$H$5001,A2269)),""))</f>
        <v/>
      </c>
    </row>
    <row r="2270" customFormat="false" ht="15" hidden="false" customHeight="false" outlineLevel="0" collapsed="false">
      <c r="A2270" s="19"/>
      <c r="B2270" s="19"/>
      <c r="C2270" s="19"/>
      <c r="D2270" s="19"/>
      <c r="E2270" s="32"/>
      <c r="F2270" s="19"/>
      <c r="G2270" s="26" t="str">
        <f aca="false">IF(A2270="","",COUNTIF(Pubs!$B$2:$B$3001,A2270))</f>
        <v/>
      </c>
      <c r="H2270" s="26" t="str">
        <f aca="false">IF(A2270="","",COUNTIF(Apparitions!$H$2:$H$5001,A2270))</f>
        <v/>
      </c>
      <c r="I2270" s="26" t="str">
        <f aca="false">IF(A2270="","",COUNTIFS(Apparitions!$H$2:$H$5001,A2270,Apparitions!$E$2:$E$5001,"○"))</f>
        <v/>
      </c>
      <c r="J2270" s="29" t="str">
        <f aca="false">IF(A2270="","",IFERROR(1/(1/_xlfn.MINIFS(Apparitions!$L$2:$L$5001,Apparitions!$H$2:$H$5001,A2270)),""))</f>
        <v/>
      </c>
    </row>
    <row r="2271" customFormat="false" ht="15" hidden="false" customHeight="false" outlineLevel="0" collapsed="false">
      <c r="A2271" s="19"/>
      <c r="B2271" s="19"/>
      <c r="C2271" s="19"/>
      <c r="D2271" s="19"/>
      <c r="E2271" s="32"/>
      <c r="F2271" s="19"/>
      <c r="G2271" s="26" t="str">
        <f aca="false">IF(A2271="","",COUNTIF(Pubs!$B$2:$B$3001,A2271))</f>
        <v/>
      </c>
      <c r="H2271" s="26" t="str">
        <f aca="false">IF(A2271="","",COUNTIF(Apparitions!$H$2:$H$5001,A2271))</f>
        <v/>
      </c>
      <c r="I2271" s="26" t="str">
        <f aca="false">IF(A2271="","",COUNTIFS(Apparitions!$H$2:$H$5001,A2271,Apparitions!$E$2:$E$5001,"○"))</f>
        <v/>
      </c>
      <c r="J2271" s="29" t="str">
        <f aca="false">IF(A2271="","",IFERROR(1/(1/_xlfn.MINIFS(Apparitions!$L$2:$L$5001,Apparitions!$H$2:$H$5001,A2271)),""))</f>
        <v/>
      </c>
    </row>
    <row r="2272" customFormat="false" ht="15" hidden="false" customHeight="false" outlineLevel="0" collapsed="false">
      <c r="A2272" s="19"/>
      <c r="B2272" s="19"/>
      <c r="C2272" s="19"/>
      <c r="D2272" s="19"/>
      <c r="E2272" s="32"/>
      <c r="F2272" s="19"/>
      <c r="G2272" s="26" t="str">
        <f aca="false">IF(A2272="","",COUNTIF(Pubs!$B$2:$B$3001,A2272))</f>
        <v/>
      </c>
      <c r="H2272" s="26" t="str">
        <f aca="false">IF(A2272="","",COUNTIF(Apparitions!$H$2:$H$5001,A2272))</f>
        <v/>
      </c>
      <c r="I2272" s="26" t="str">
        <f aca="false">IF(A2272="","",COUNTIFS(Apparitions!$H$2:$H$5001,A2272,Apparitions!$E$2:$E$5001,"○"))</f>
        <v/>
      </c>
      <c r="J2272" s="29" t="str">
        <f aca="false">IF(A2272="","",IFERROR(1/(1/_xlfn.MINIFS(Apparitions!$L$2:$L$5001,Apparitions!$H$2:$H$5001,A2272)),""))</f>
        <v/>
      </c>
    </row>
    <row r="2273" customFormat="false" ht="15" hidden="false" customHeight="false" outlineLevel="0" collapsed="false">
      <c r="A2273" s="19"/>
      <c r="B2273" s="19"/>
      <c r="C2273" s="19"/>
      <c r="D2273" s="19"/>
      <c r="E2273" s="32"/>
      <c r="F2273" s="19"/>
      <c r="G2273" s="26" t="str">
        <f aca="false">IF(A2273="","",COUNTIF(Pubs!$B$2:$B$3001,A2273))</f>
        <v/>
      </c>
      <c r="H2273" s="26" t="str">
        <f aca="false">IF(A2273="","",COUNTIF(Apparitions!$H$2:$H$5001,A2273))</f>
        <v/>
      </c>
      <c r="I2273" s="26" t="str">
        <f aca="false">IF(A2273="","",COUNTIFS(Apparitions!$H$2:$H$5001,A2273,Apparitions!$E$2:$E$5001,"○"))</f>
        <v/>
      </c>
      <c r="J2273" s="29" t="str">
        <f aca="false">IF(A2273="","",IFERROR(1/(1/_xlfn.MINIFS(Apparitions!$L$2:$L$5001,Apparitions!$H$2:$H$5001,A2273)),""))</f>
        <v/>
      </c>
    </row>
    <row r="2274" customFormat="false" ht="15" hidden="false" customHeight="false" outlineLevel="0" collapsed="false">
      <c r="A2274" s="19"/>
      <c r="B2274" s="19"/>
      <c r="C2274" s="19"/>
      <c r="D2274" s="19"/>
      <c r="E2274" s="32"/>
      <c r="F2274" s="19"/>
      <c r="G2274" s="26" t="str">
        <f aca="false">IF(A2274="","",COUNTIF(Pubs!$B$2:$B$3001,A2274))</f>
        <v/>
      </c>
      <c r="H2274" s="26" t="str">
        <f aca="false">IF(A2274="","",COUNTIF(Apparitions!$H$2:$H$5001,A2274))</f>
        <v/>
      </c>
      <c r="I2274" s="26" t="str">
        <f aca="false">IF(A2274="","",COUNTIFS(Apparitions!$H$2:$H$5001,A2274,Apparitions!$E$2:$E$5001,"○"))</f>
        <v/>
      </c>
      <c r="J2274" s="29" t="str">
        <f aca="false">IF(A2274="","",IFERROR(1/(1/_xlfn.MINIFS(Apparitions!$L$2:$L$5001,Apparitions!$H$2:$H$5001,A2274)),""))</f>
        <v/>
      </c>
    </row>
    <row r="2275" customFormat="false" ht="15" hidden="false" customHeight="false" outlineLevel="0" collapsed="false">
      <c r="A2275" s="19"/>
      <c r="B2275" s="19"/>
      <c r="C2275" s="19"/>
      <c r="D2275" s="19"/>
      <c r="E2275" s="32"/>
      <c r="F2275" s="19"/>
      <c r="G2275" s="26" t="str">
        <f aca="false">IF(A2275="","",COUNTIF(Pubs!$B$2:$B$3001,A2275))</f>
        <v/>
      </c>
      <c r="H2275" s="26" t="str">
        <f aca="false">IF(A2275="","",COUNTIF(Apparitions!$H$2:$H$5001,A2275))</f>
        <v/>
      </c>
      <c r="I2275" s="26" t="str">
        <f aca="false">IF(A2275="","",COUNTIFS(Apparitions!$H$2:$H$5001,A2275,Apparitions!$E$2:$E$5001,"○"))</f>
        <v/>
      </c>
      <c r="J2275" s="29" t="str">
        <f aca="false">IF(A2275="","",IFERROR(1/(1/_xlfn.MINIFS(Apparitions!$L$2:$L$5001,Apparitions!$H$2:$H$5001,A2275)),""))</f>
        <v/>
      </c>
    </row>
    <row r="2276" customFormat="false" ht="15" hidden="false" customHeight="false" outlineLevel="0" collapsed="false">
      <c r="A2276" s="19"/>
      <c r="B2276" s="19"/>
      <c r="C2276" s="19"/>
      <c r="D2276" s="19"/>
      <c r="E2276" s="32"/>
      <c r="F2276" s="19"/>
      <c r="G2276" s="26" t="str">
        <f aca="false">IF(A2276="","",COUNTIF(Pubs!$B$2:$B$3001,A2276))</f>
        <v/>
      </c>
      <c r="H2276" s="26" t="str">
        <f aca="false">IF(A2276="","",COUNTIF(Apparitions!$H$2:$H$5001,A2276))</f>
        <v/>
      </c>
      <c r="I2276" s="26" t="str">
        <f aca="false">IF(A2276="","",COUNTIFS(Apparitions!$H$2:$H$5001,A2276,Apparitions!$E$2:$E$5001,"○"))</f>
        <v/>
      </c>
      <c r="J2276" s="29" t="str">
        <f aca="false">IF(A2276="","",IFERROR(1/(1/_xlfn.MINIFS(Apparitions!$L$2:$L$5001,Apparitions!$H$2:$H$5001,A2276)),""))</f>
        <v/>
      </c>
    </row>
    <row r="2277" customFormat="false" ht="15" hidden="false" customHeight="false" outlineLevel="0" collapsed="false">
      <c r="A2277" s="19"/>
      <c r="B2277" s="19"/>
      <c r="C2277" s="19"/>
      <c r="D2277" s="19"/>
      <c r="E2277" s="32"/>
      <c r="F2277" s="19"/>
      <c r="G2277" s="26" t="str">
        <f aca="false">IF(A2277="","",COUNTIF(Pubs!$B$2:$B$3001,A2277))</f>
        <v/>
      </c>
      <c r="H2277" s="26" t="str">
        <f aca="false">IF(A2277="","",COUNTIF(Apparitions!$H$2:$H$5001,A2277))</f>
        <v/>
      </c>
      <c r="I2277" s="26" t="str">
        <f aca="false">IF(A2277="","",COUNTIFS(Apparitions!$H$2:$H$5001,A2277,Apparitions!$E$2:$E$5001,"○"))</f>
        <v/>
      </c>
      <c r="J2277" s="29" t="str">
        <f aca="false">IF(A2277="","",IFERROR(1/(1/_xlfn.MINIFS(Apparitions!$L$2:$L$5001,Apparitions!$H$2:$H$5001,A2277)),""))</f>
        <v/>
      </c>
    </row>
    <row r="2278" customFormat="false" ht="15" hidden="false" customHeight="false" outlineLevel="0" collapsed="false">
      <c r="A2278" s="19"/>
      <c r="B2278" s="19"/>
      <c r="C2278" s="19"/>
      <c r="D2278" s="19"/>
      <c r="E2278" s="32"/>
      <c r="F2278" s="19"/>
      <c r="G2278" s="26" t="str">
        <f aca="false">IF(A2278="","",COUNTIF(Pubs!$B$2:$B$3001,A2278))</f>
        <v/>
      </c>
      <c r="H2278" s="26" t="str">
        <f aca="false">IF(A2278="","",COUNTIF(Apparitions!$H$2:$H$5001,A2278))</f>
        <v/>
      </c>
      <c r="I2278" s="26" t="str">
        <f aca="false">IF(A2278="","",COUNTIFS(Apparitions!$H$2:$H$5001,A2278,Apparitions!$E$2:$E$5001,"○"))</f>
        <v/>
      </c>
      <c r="J2278" s="29" t="str">
        <f aca="false">IF(A2278="","",IFERROR(1/(1/_xlfn.MINIFS(Apparitions!$L$2:$L$5001,Apparitions!$H$2:$H$5001,A2278)),""))</f>
        <v/>
      </c>
    </row>
    <row r="2279" customFormat="false" ht="15" hidden="false" customHeight="false" outlineLevel="0" collapsed="false">
      <c r="A2279" s="19"/>
      <c r="B2279" s="19"/>
      <c r="C2279" s="19"/>
      <c r="D2279" s="19"/>
      <c r="E2279" s="32"/>
      <c r="F2279" s="19"/>
      <c r="G2279" s="26" t="str">
        <f aca="false">IF(A2279="","",COUNTIF(Pubs!$B$2:$B$3001,A2279))</f>
        <v/>
      </c>
      <c r="H2279" s="26" t="str">
        <f aca="false">IF(A2279="","",COUNTIF(Apparitions!$H$2:$H$5001,A2279))</f>
        <v/>
      </c>
      <c r="I2279" s="26" t="str">
        <f aca="false">IF(A2279="","",COUNTIFS(Apparitions!$H$2:$H$5001,A2279,Apparitions!$E$2:$E$5001,"○"))</f>
        <v/>
      </c>
      <c r="J2279" s="29" t="str">
        <f aca="false">IF(A2279="","",IFERROR(1/(1/_xlfn.MINIFS(Apparitions!$L$2:$L$5001,Apparitions!$H$2:$H$5001,A2279)),""))</f>
        <v/>
      </c>
    </row>
    <row r="2280" customFormat="false" ht="15" hidden="false" customHeight="false" outlineLevel="0" collapsed="false">
      <c r="A2280" s="19"/>
      <c r="B2280" s="19"/>
      <c r="C2280" s="19"/>
      <c r="D2280" s="19"/>
      <c r="E2280" s="32"/>
      <c r="F2280" s="19"/>
      <c r="G2280" s="26" t="str">
        <f aca="false">IF(A2280="","",COUNTIF(Pubs!$B$2:$B$3001,A2280))</f>
        <v/>
      </c>
      <c r="H2280" s="26" t="str">
        <f aca="false">IF(A2280="","",COUNTIF(Apparitions!$H$2:$H$5001,A2280))</f>
        <v/>
      </c>
      <c r="I2280" s="26" t="str">
        <f aca="false">IF(A2280="","",COUNTIFS(Apparitions!$H$2:$H$5001,A2280,Apparitions!$E$2:$E$5001,"○"))</f>
        <v/>
      </c>
      <c r="J2280" s="29" t="str">
        <f aca="false">IF(A2280="","",IFERROR(1/(1/_xlfn.MINIFS(Apparitions!$L$2:$L$5001,Apparitions!$H$2:$H$5001,A2280)),""))</f>
        <v/>
      </c>
    </row>
    <row r="2281" customFormat="false" ht="15" hidden="false" customHeight="false" outlineLevel="0" collapsed="false">
      <c r="A2281" s="19"/>
      <c r="B2281" s="19"/>
      <c r="C2281" s="19"/>
      <c r="D2281" s="19"/>
      <c r="E2281" s="32"/>
      <c r="F2281" s="19"/>
      <c r="G2281" s="26" t="str">
        <f aca="false">IF(A2281="","",COUNTIF(Pubs!$B$2:$B$3001,A2281))</f>
        <v/>
      </c>
      <c r="H2281" s="26" t="str">
        <f aca="false">IF(A2281="","",COUNTIF(Apparitions!$H$2:$H$5001,A2281))</f>
        <v/>
      </c>
      <c r="I2281" s="26" t="str">
        <f aca="false">IF(A2281="","",COUNTIFS(Apparitions!$H$2:$H$5001,A2281,Apparitions!$E$2:$E$5001,"○"))</f>
        <v/>
      </c>
      <c r="J2281" s="29" t="str">
        <f aca="false">IF(A2281="","",IFERROR(1/(1/_xlfn.MINIFS(Apparitions!$L$2:$L$5001,Apparitions!$H$2:$H$5001,A2281)),""))</f>
        <v/>
      </c>
    </row>
    <row r="2282" customFormat="false" ht="15" hidden="false" customHeight="false" outlineLevel="0" collapsed="false">
      <c r="A2282" s="19"/>
      <c r="B2282" s="19"/>
      <c r="C2282" s="19"/>
      <c r="D2282" s="19"/>
      <c r="E2282" s="32"/>
      <c r="F2282" s="19"/>
      <c r="G2282" s="26" t="str">
        <f aca="false">IF(A2282="","",COUNTIF(Pubs!$B$2:$B$3001,A2282))</f>
        <v/>
      </c>
      <c r="H2282" s="26" t="str">
        <f aca="false">IF(A2282="","",COUNTIF(Apparitions!$H$2:$H$5001,A2282))</f>
        <v/>
      </c>
      <c r="I2282" s="26" t="str">
        <f aca="false">IF(A2282="","",COUNTIFS(Apparitions!$H$2:$H$5001,A2282,Apparitions!$E$2:$E$5001,"○"))</f>
        <v/>
      </c>
      <c r="J2282" s="29" t="str">
        <f aca="false">IF(A2282="","",IFERROR(1/(1/_xlfn.MINIFS(Apparitions!$L$2:$L$5001,Apparitions!$H$2:$H$5001,A2282)),""))</f>
        <v/>
      </c>
    </row>
    <row r="2283" customFormat="false" ht="15" hidden="false" customHeight="false" outlineLevel="0" collapsed="false">
      <c r="A2283" s="19"/>
      <c r="B2283" s="19"/>
      <c r="C2283" s="19"/>
      <c r="D2283" s="19"/>
      <c r="E2283" s="32"/>
      <c r="F2283" s="19"/>
      <c r="G2283" s="26" t="str">
        <f aca="false">IF(A2283="","",COUNTIF(Pubs!$B$2:$B$3001,A2283))</f>
        <v/>
      </c>
      <c r="H2283" s="26" t="str">
        <f aca="false">IF(A2283="","",COUNTIF(Apparitions!$H$2:$H$5001,A2283))</f>
        <v/>
      </c>
      <c r="I2283" s="26" t="str">
        <f aca="false">IF(A2283="","",COUNTIFS(Apparitions!$H$2:$H$5001,A2283,Apparitions!$E$2:$E$5001,"○"))</f>
        <v/>
      </c>
      <c r="J2283" s="29" t="str">
        <f aca="false">IF(A2283="","",IFERROR(1/(1/_xlfn.MINIFS(Apparitions!$L$2:$L$5001,Apparitions!$H$2:$H$5001,A2283)),""))</f>
        <v/>
      </c>
    </row>
    <row r="2284" customFormat="false" ht="15" hidden="false" customHeight="false" outlineLevel="0" collapsed="false">
      <c r="A2284" s="19"/>
      <c r="B2284" s="19"/>
      <c r="C2284" s="19"/>
      <c r="D2284" s="19"/>
      <c r="E2284" s="32"/>
      <c r="F2284" s="19"/>
      <c r="G2284" s="26" t="str">
        <f aca="false">IF(A2284="","",COUNTIF(Pubs!$B$2:$B$3001,A2284))</f>
        <v/>
      </c>
      <c r="H2284" s="26" t="str">
        <f aca="false">IF(A2284="","",COUNTIF(Apparitions!$H$2:$H$5001,A2284))</f>
        <v/>
      </c>
      <c r="I2284" s="26" t="str">
        <f aca="false">IF(A2284="","",COUNTIFS(Apparitions!$H$2:$H$5001,A2284,Apparitions!$E$2:$E$5001,"○"))</f>
        <v/>
      </c>
      <c r="J2284" s="29" t="str">
        <f aca="false">IF(A2284="","",IFERROR(1/(1/_xlfn.MINIFS(Apparitions!$L$2:$L$5001,Apparitions!$H$2:$H$5001,A2284)),""))</f>
        <v/>
      </c>
    </row>
    <row r="2285" customFormat="false" ht="15" hidden="false" customHeight="false" outlineLevel="0" collapsed="false">
      <c r="A2285" s="19"/>
      <c r="B2285" s="19"/>
      <c r="C2285" s="19"/>
      <c r="D2285" s="19"/>
      <c r="E2285" s="32"/>
      <c r="F2285" s="19"/>
      <c r="G2285" s="26" t="str">
        <f aca="false">IF(A2285="","",COUNTIF(Pubs!$B$2:$B$3001,A2285))</f>
        <v/>
      </c>
      <c r="H2285" s="26" t="str">
        <f aca="false">IF(A2285="","",COUNTIF(Apparitions!$H$2:$H$5001,A2285))</f>
        <v/>
      </c>
      <c r="I2285" s="26" t="str">
        <f aca="false">IF(A2285="","",COUNTIFS(Apparitions!$H$2:$H$5001,A2285,Apparitions!$E$2:$E$5001,"○"))</f>
        <v/>
      </c>
      <c r="J2285" s="29" t="str">
        <f aca="false">IF(A2285="","",IFERROR(1/(1/_xlfn.MINIFS(Apparitions!$L$2:$L$5001,Apparitions!$H$2:$H$5001,A2285)),""))</f>
        <v/>
      </c>
    </row>
    <row r="2286" customFormat="false" ht="15" hidden="false" customHeight="false" outlineLevel="0" collapsed="false">
      <c r="A2286" s="19"/>
      <c r="B2286" s="19"/>
      <c r="C2286" s="19"/>
      <c r="D2286" s="19"/>
      <c r="E2286" s="32"/>
      <c r="F2286" s="19"/>
      <c r="G2286" s="26" t="str">
        <f aca="false">IF(A2286="","",COUNTIF(Pubs!$B$2:$B$3001,A2286))</f>
        <v/>
      </c>
      <c r="H2286" s="26" t="str">
        <f aca="false">IF(A2286="","",COUNTIF(Apparitions!$H$2:$H$5001,A2286))</f>
        <v/>
      </c>
      <c r="I2286" s="26" t="str">
        <f aca="false">IF(A2286="","",COUNTIFS(Apparitions!$H$2:$H$5001,A2286,Apparitions!$E$2:$E$5001,"○"))</f>
        <v/>
      </c>
      <c r="J2286" s="29" t="str">
        <f aca="false">IF(A2286="","",IFERROR(1/(1/_xlfn.MINIFS(Apparitions!$L$2:$L$5001,Apparitions!$H$2:$H$5001,A2286)),""))</f>
        <v/>
      </c>
    </row>
    <row r="2287" customFormat="false" ht="15" hidden="false" customHeight="false" outlineLevel="0" collapsed="false">
      <c r="A2287" s="19"/>
      <c r="B2287" s="19"/>
      <c r="C2287" s="19"/>
      <c r="D2287" s="19"/>
      <c r="E2287" s="32"/>
      <c r="F2287" s="19"/>
      <c r="G2287" s="26" t="str">
        <f aca="false">IF(A2287="","",COUNTIF(Pubs!$B$2:$B$3001,A2287))</f>
        <v/>
      </c>
      <c r="H2287" s="26" t="str">
        <f aca="false">IF(A2287="","",COUNTIF(Apparitions!$H$2:$H$5001,A2287))</f>
        <v/>
      </c>
      <c r="I2287" s="26" t="str">
        <f aca="false">IF(A2287="","",COUNTIFS(Apparitions!$H$2:$H$5001,A2287,Apparitions!$E$2:$E$5001,"○"))</f>
        <v/>
      </c>
      <c r="J2287" s="29" t="str">
        <f aca="false">IF(A2287="","",IFERROR(1/(1/_xlfn.MINIFS(Apparitions!$L$2:$L$5001,Apparitions!$H$2:$H$5001,A2287)),""))</f>
        <v/>
      </c>
    </row>
    <row r="2288" customFormat="false" ht="15" hidden="false" customHeight="false" outlineLevel="0" collapsed="false">
      <c r="A2288" s="19"/>
      <c r="B2288" s="19"/>
      <c r="C2288" s="19"/>
      <c r="D2288" s="19"/>
      <c r="E2288" s="32"/>
      <c r="F2288" s="19"/>
      <c r="G2288" s="26" t="str">
        <f aca="false">IF(A2288="","",COUNTIF(Pubs!$B$2:$B$3001,A2288))</f>
        <v/>
      </c>
      <c r="H2288" s="26" t="str">
        <f aca="false">IF(A2288="","",COUNTIF(Apparitions!$H$2:$H$5001,A2288))</f>
        <v/>
      </c>
      <c r="I2288" s="26" t="str">
        <f aca="false">IF(A2288="","",COUNTIFS(Apparitions!$H$2:$H$5001,A2288,Apparitions!$E$2:$E$5001,"○"))</f>
        <v/>
      </c>
      <c r="J2288" s="29" t="str">
        <f aca="false">IF(A2288="","",IFERROR(1/(1/_xlfn.MINIFS(Apparitions!$L$2:$L$5001,Apparitions!$H$2:$H$5001,A2288)),""))</f>
        <v/>
      </c>
    </row>
    <row r="2289" customFormat="false" ht="15" hidden="false" customHeight="false" outlineLevel="0" collapsed="false">
      <c r="A2289" s="19"/>
      <c r="B2289" s="19"/>
      <c r="C2289" s="19"/>
      <c r="D2289" s="19"/>
      <c r="E2289" s="32"/>
      <c r="F2289" s="19"/>
      <c r="G2289" s="26" t="str">
        <f aca="false">IF(A2289="","",COUNTIF(Pubs!$B$2:$B$3001,A2289))</f>
        <v/>
      </c>
      <c r="H2289" s="26" t="str">
        <f aca="false">IF(A2289="","",COUNTIF(Apparitions!$H$2:$H$5001,A2289))</f>
        <v/>
      </c>
      <c r="I2289" s="26" t="str">
        <f aca="false">IF(A2289="","",COUNTIFS(Apparitions!$H$2:$H$5001,A2289,Apparitions!$E$2:$E$5001,"○"))</f>
        <v/>
      </c>
      <c r="J2289" s="29" t="str">
        <f aca="false">IF(A2289="","",IFERROR(1/(1/_xlfn.MINIFS(Apparitions!$L$2:$L$5001,Apparitions!$H$2:$H$5001,A2289)),""))</f>
        <v/>
      </c>
    </row>
    <row r="2290" customFormat="false" ht="15" hidden="false" customHeight="false" outlineLevel="0" collapsed="false">
      <c r="A2290" s="19"/>
      <c r="B2290" s="19"/>
      <c r="C2290" s="19"/>
      <c r="D2290" s="19"/>
      <c r="E2290" s="32"/>
      <c r="F2290" s="19"/>
      <c r="G2290" s="26" t="str">
        <f aca="false">IF(A2290="","",COUNTIF(Pubs!$B$2:$B$3001,A2290))</f>
        <v/>
      </c>
      <c r="H2290" s="26" t="str">
        <f aca="false">IF(A2290="","",COUNTIF(Apparitions!$H$2:$H$5001,A2290))</f>
        <v/>
      </c>
      <c r="I2290" s="26" t="str">
        <f aca="false">IF(A2290="","",COUNTIFS(Apparitions!$H$2:$H$5001,A2290,Apparitions!$E$2:$E$5001,"○"))</f>
        <v/>
      </c>
      <c r="J2290" s="29" t="str">
        <f aca="false">IF(A2290="","",IFERROR(1/(1/_xlfn.MINIFS(Apparitions!$L$2:$L$5001,Apparitions!$H$2:$H$5001,A2290)),""))</f>
        <v/>
      </c>
    </row>
    <row r="2291" customFormat="false" ht="15" hidden="false" customHeight="false" outlineLevel="0" collapsed="false">
      <c r="A2291" s="19"/>
      <c r="B2291" s="19"/>
      <c r="C2291" s="19"/>
      <c r="D2291" s="19"/>
      <c r="E2291" s="32"/>
      <c r="F2291" s="19"/>
      <c r="G2291" s="26" t="str">
        <f aca="false">IF(A2291="","",COUNTIF(Pubs!$B$2:$B$3001,A2291))</f>
        <v/>
      </c>
      <c r="H2291" s="26" t="str">
        <f aca="false">IF(A2291="","",COUNTIF(Apparitions!$H$2:$H$5001,A2291))</f>
        <v/>
      </c>
      <c r="I2291" s="26" t="str">
        <f aca="false">IF(A2291="","",COUNTIFS(Apparitions!$H$2:$H$5001,A2291,Apparitions!$E$2:$E$5001,"○"))</f>
        <v/>
      </c>
      <c r="J2291" s="29" t="str">
        <f aca="false">IF(A2291="","",IFERROR(1/(1/_xlfn.MINIFS(Apparitions!$L$2:$L$5001,Apparitions!$H$2:$H$5001,A2291)),""))</f>
        <v/>
      </c>
    </row>
    <row r="2292" customFormat="false" ht="15" hidden="false" customHeight="false" outlineLevel="0" collapsed="false">
      <c r="A2292" s="19"/>
      <c r="B2292" s="19"/>
      <c r="C2292" s="19"/>
      <c r="D2292" s="19"/>
      <c r="E2292" s="32"/>
      <c r="F2292" s="19"/>
      <c r="G2292" s="26" t="str">
        <f aca="false">IF(A2292="","",COUNTIF(Pubs!$B$2:$B$3001,A2292))</f>
        <v/>
      </c>
      <c r="H2292" s="26" t="str">
        <f aca="false">IF(A2292="","",COUNTIF(Apparitions!$H$2:$H$5001,A2292))</f>
        <v/>
      </c>
      <c r="I2292" s="26" t="str">
        <f aca="false">IF(A2292="","",COUNTIFS(Apparitions!$H$2:$H$5001,A2292,Apparitions!$E$2:$E$5001,"○"))</f>
        <v/>
      </c>
      <c r="J2292" s="29" t="str">
        <f aca="false">IF(A2292="","",IFERROR(1/(1/_xlfn.MINIFS(Apparitions!$L$2:$L$5001,Apparitions!$H$2:$H$5001,A2292)),""))</f>
        <v/>
      </c>
    </row>
    <row r="2293" customFormat="false" ht="15" hidden="false" customHeight="false" outlineLevel="0" collapsed="false">
      <c r="A2293" s="19"/>
      <c r="B2293" s="19"/>
      <c r="C2293" s="19"/>
      <c r="D2293" s="19"/>
      <c r="E2293" s="32"/>
      <c r="F2293" s="19"/>
      <c r="G2293" s="26" t="str">
        <f aca="false">IF(A2293="","",COUNTIF(Pubs!$B$2:$B$3001,A2293))</f>
        <v/>
      </c>
      <c r="H2293" s="26" t="str">
        <f aca="false">IF(A2293="","",COUNTIF(Apparitions!$H$2:$H$5001,A2293))</f>
        <v/>
      </c>
      <c r="I2293" s="26" t="str">
        <f aca="false">IF(A2293="","",COUNTIFS(Apparitions!$H$2:$H$5001,A2293,Apparitions!$E$2:$E$5001,"○"))</f>
        <v/>
      </c>
      <c r="J2293" s="29" t="str">
        <f aca="false">IF(A2293="","",IFERROR(1/(1/_xlfn.MINIFS(Apparitions!$L$2:$L$5001,Apparitions!$H$2:$H$5001,A2293)),""))</f>
        <v/>
      </c>
    </row>
    <row r="2294" customFormat="false" ht="15" hidden="false" customHeight="false" outlineLevel="0" collapsed="false">
      <c r="A2294" s="19"/>
      <c r="B2294" s="19"/>
      <c r="C2294" s="19"/>
      <c r="D2294" s="19"/>
      <c r="E2294" s="32"/>
      <c r="F2294" s="19"/>
      <c r="G2294" s="26" t="str">
        <f aca="false">IF(A2294="","",COUNTIF(Pubs!$B$2:$B$3001,A2294))</f>
        <v/>
      </c>
      <c r="H2294" s="26" t="str">
        <f aca="false">IF(A2294="","",COUNTIF(Apparitions!$H$2:$H$5001,A2294))</f>
        <v/>
      </c>
      <c r="I2294" s="26" t="str">
        <f aca="false">IF(A2294="","",COUNTIFS(Apparitions!$H$2:$H$5001,A2294,Apparitions!$E$2:$E$5001,"○"))</f>
        <v/>
      </c>
      <c r="J2294" s="29" t="str">
        <f aca="false">IF(A2294="","",IFERROR(1/(1/_xlfn.MINIFS(Apparitions!$L$2:$L$5001,Apparitions!$H$2:$H$5001,A2294)),""))</f>
        <v/>
      </c>
    </row>
    <row r="2295" customFormat="false" ht="15" hidden="false" customHeight="false" outlineLevel="0" collapsed="false">
      <c r="A2295" s="19"/>
      <c r="B2295" s="19"/>
      <c r="C2295" s="19"/>
      <c r="D2295" s="19"/>
      <c r="E2295" s="32"/>
      <c r="F2295" s="19"/>
      <c r="G2295" s="26" t="str">
        <f aca="false">IF(A2295="","",COUNTIF(Pubs!$B$2:$B$3001,A2295))</f>
        <v/>
      </c>
      <c r="H2295" s="26" t="str">
        <f aca="false">IF(A2295="","",COUNTIF(Apparitions!$H$2:$H$5001,A2295))</f>
        <v/>
      </c>
      <c r="I2295" s="26" t="str">
        <f aca="false">IF(A2295="","",COUNTIFS(Apparitions!$H$2:$H$5001,A2295,Apparitions!$E$2:$E$5001,"○"))</f>
        <v/>
      </c>
      <c r="J2295" s="29" t="str">
        <f aca="false">IF(A2295="","",IFERROR(1/(1/_xlfn.MINIFS(Apparitions!$L$2:$L$5001,Apparitions!$H$2:$H$5001,A2295)),""))</f>
        <v/>
      </c>
    </row>
    <row r="2296" customFormat="false" ht="15" hidden="false" customHeight="false" outlineLevel="0" collapsed="false">
      <c r="A2296" s="19"/>
      <c r="B2296" s="19"/>
      <c r="C2296" s="19"/>
      <c r="D2296" s="19"/>
      <c r="E2296" s="32"/>
      <c r="F2296" s="19"/>
      <c r="G2296" s="26" t="str">
        <f aca="false">IF(A2296="","",COUNTIF(Pubs!$B$2:$B$3001,A2296))</f>
        <v/>
      </c>
      <c r="H2296" s="26" t="str">
        <f aca="false">IF(A2296="","",COUNTIF(Apparitions!$H$2:$H$5001,A2296))</f>
        <v/>
      </c>
      <c r="I2296" s="26" t="str">
        <f aca="false">IF(A2296="","",COUNTIFS(Apparitions!$H$2:$H$5001,A2296,Apparitions!$E$2:$E$5001,"○"))</f>
        <v/>
      </c>
      <c r="J2296" s="29" t="str">
        <f aca="false">IF(A2296="","",IFERROR(1/(1/_xlfn.MINIFS(Apparitions!$L$2:$L$5001,Apparitions!$H$2:$H$5001,A2296)),""))</f>
        <v/>
      </c>
    </row>
    <row r="2297" customFormat="false" ht="15" hidden="false" customHeight="false" outlineLevel="0" collapsed="false">
      <c r="A2297" s="19"/>
      <c r="B2297" s="19"/>
      <c r="C2297" s="19"/>
      <c r="D2297" s="19"/>
      <c r="E2297" s="32"/>
      <c r="F2297" s="19"/>
      <c r="G2297" s="26" t="str">
        <f aca="false">IF(A2297="","",COUNTIF(Pubs!$B$2:$B$3001,A2297))</f>
        <v/>
      </c>
      <c r="H2297" s="26" t="str">
        <f aca="false">IF(A2297="","",COUNTIF(Apparitions!$H$2:$H$5001,A2297))</f>
        <v/>
      </c>
      <c r="I2297" s="26" t="str">
        <f aca="false">IF(A2297="","",COUNTIFS(Apparitions!$H$2:$H$5001,A2297,Apparitions!$E$2:$E$5001,"○"))</f>
        <v/>
      </c>
      <c r="J2297" s="29" t="str">
        <f aca="false">IF(A2297="","",IFERROR(1/(1/_xlfn.MINIFS(Apparitions!$L$2:$L$5001,Apparitions!$H$2:$H$5001,A2297)),""))</f>
        <v/>
      </c>
    </row>
    <row r="2298" customFormat="false" ht="15" hidden="false" customHeight="false" outlineLevel="0" collapsed="false">
      <c r="A2298" s="19"/>
      <c r="B2298" s="19"/>
      <c r="C2298" s="19"/>
      <c r="D2298" s="19"/>
      <c r="E2298" s="32"/>
      <c r="F2298" s="19"/>
      <c r="G2298" s="26" t="str">
        <f aca="false">IF(A2298="","",COUNTIF(Pubs!$B$2:$B$3001,A2298))</f>
        <v/>
      </c>
      <c r="H2298" s="26" t="str">
        <f aca="false">IF(A2298="","",COUNTIF(Apparitions!$H$2:$H$5001,A2298))</f>
        <v/>
      </c>
      <c r="I2298" s="26" t="str">
        <f aca="false">IF(A2298="","",COUNTIFS(Apparitions!$H$2:$H$5001,A2298,Apparitions!$E$2:$E$5001,"○"))</f>
        <v/>
      </c>
      <c r="J2298" s="29" t="str">
        <f aca="false">IF(A2298="","",IFERROR(1/(1/_xlfn.MINIFS(Apparitions!$L$2:$L$5001,Apparitions!$H$2:$H$5001,A2298)),""))</f>
        <v/>
      </c>
    </row>
    <row r="2299" customFormat="false" ht="15" hidden="false" customHeight="false" outlineLevel="0" collapsed="false">
      <c r="A2299" s="19"/>
      <c r="B2299" s="19"/>
      <c r="C2299" s="19"/>
      <c r="D2299" s="19"/>
      <c r="E2299" s="32"/>
      <c r="F2299" s="19"/>
      <c r="G2299" s="26" t="str">
        <f aca="false">IF(A2299="","",COUNTIF(Pubs!$B$2:$B$3001,A2299))</f>
        <v/>
      </c>
      <c r="H2299" s="26" t="str">
        <f aca="false">IF(A2299="","",COUNTIF(Apparitions!$H$2:$H$5001,A2299))</f>
        <v/>
      </c>
      <c r="I2299" s="26" t="str">
        <f aca="false">IF(A2299="","",COUNTIFS(Apparitions!$H$2:$H$5001,A2299,Apparitions!$E$2:$E$5001,"○"))</f>
        <v/>
      </c>
      <c r="J2299" s="29" t="str">
        <f aca="false">IF(A2299="","",IFERROR(1/(1/_xlfn.MINIFS(Apparitions!$L$2:$L$5001,Apparitions!$H$2:$H$5001,A2299)),""))</f>
        <v/>
      </c>
    </row>
    <row r="2300" customFormat="false" ht="15" hidden="false" customHeight="false" outlineLevel="0" collapsed="false">
      <c r="A2300" s="19"/>
      <c r="B2300" s="19"/>
      <c r="C2300" s="19"/>
      <c r="D2300" s="19"/>
      <c r="E2300" s="32"/>
      <c r="F2300" s="19"/>
      <c r="G2300" s="26" t="str">
        <f aca="false">IF(A2300="","",COUNTIF(Pubs!$B$2:$B$3001,A2300))</f>
        <v/>
      </c>
      <c r="H2300" s="26" t="str">
        <f aca="false">IF(A2300="","",COUNTIF(Apparitions!$H$2:$H$5001,A2300))</f>
        <v/>
      </c>
      <c r="I2300" s="26" t="str">
        <f aca="false">IF(A2300="","",COUNTIFS(Apparitions!$H$2:$H$5001,A2300,Apparitions!$E$2:$E$5001,"○"))</f>
        <v/>
      </c>
      <c r="J2300" s="29" t="str">
        <f aca="false">IF(A2300="","",IFERROR(1/(1/_xlfn.MINIFS(Apparitions!$L$2:$L$5001,Apparitions!$H$2:$H$5001,A2300)),""))</f>
        <v/>
      </c>
    </row>
    <row r="2301" customFormat="false" ht="15" hidden="false" customHeight="false" outlineLevel="0" collapsed="false">
      <c r="A2301" s="19"/>
      <c r="B2301" s="19"/>
      <c r="C2301" s="19"/>
      <c r="D2301" s="19"/>
      <c r="E2301" s="32"/>
      <c r="F2301" s="19"/>
      <c r="G2301" s="26" t="str">
        <f aca="false">IF(A2301="","",COUNTIF(Pubs!$B$2:$B$3001,A2301))</f>
        <v/>
      </c>
      <c r="H2301" s="26" t="str">
        <f aca="false">IF(A2301="","",COUNTIF(Apparitions!$H$2:$H$5001,A2301))</f>
        <v/>
      </c>
      <c r="I2301" s="26" t="str">
        <f aca="false">IF(A2301="","",COUNTIFS(Apparitions!$H$2:$H$5001,A2301,Apparitions!$E$2:$E$5001,"○"))</f>
        <v/>
      </c>
      <c r="J2301" s="29" t="str">
        <f aca="false">IF(A2301="","",IFERROR(1/(1/_xlfn.MINIFS(Apparitions!$L$2:$L$5001,Apparitions!$H$2:$H$5001,A2301)),""))</f>
        <v/>
      </c>
    </row>
    <row r="2302" customFormat="false" ht="15" hidden="false" customHeight="false" outlineLevel="0" collapsed="false">
      <c r="A2302" s="19"/>
      <c r="B2302" s="19"/>
      <c r="C2302" s="19"/>
      <c r="D2302" s="19"/>
      <c r="E2302" s="32"/>
      <c r="F2302" s="19"/>
      <c r="G2302" s="26" t="str">
        <f aca="false">IF(A2302="","",COUNTIF(Pubs!$B$2:$B$3001,A2302))</f>
        <v/>
      </c>
      <c r="H2302" s="26" t="str">
        <f aca="false">IF(A2302="","",COUNTIF(Apparitions!$H$2:$H$5001,A2302))</f>
        <v/>
      </c>
      <c r="I2302" s="26" t="str">
        <f aca="false">IF(A2302="","",COUNTIFS(Apparitions!$H$2:$H$5001,A2302,Apparitions!$E$2:$E$5001,"○"))</f>
        <v/>
      </c>
      <c r="J2302" s="29" t="str">
        <f aca="false">IF(A2302="","",IFERROR(1/(1/_xlfn.MINIFS(Apparitions!$L$2:$L$5001,Apparitions!$H$2:$H$5001,A2302)),""))</f>
        <v/>
      </c>
    </row>
    <row r="2303" customFormat="false" ht="15" hidden="false" customHeight="false" outlineLevel="0" collapsed="false">
      <c r="A2303" s="19"/>
      <c r="B2303" s="19"/>
      <c r="C2303" s="19"/>
      <c r="D2303" s="19"/>
      <c r="E2303" s="32"/>
      <c r="F2303" s="19"/>
      <c r="G2303" s="26" t="str">
        <f aca="false">IF(A2303="","",COUNTIF(Pubs!$B$2:$B$3001,A2303))</f>
        <v/>
      </c>
      <c r="H2303" s="26" t="str">
        <f aca="false">IF(A2303="","",COUNTIF(Apparitions!$H$2:$H$5001,A2303))</f>
        <v/>
      </c>
      <c r="I2303" s="26" t="str">
        <f aca="false">IF(A2303="","",COUNTIFS(Apparitions!$H$2:$H$5001,A2303,Apparitions!$E$2:$E$5001,"○"))</f>
        <v/>
      </c>
      <c r="J2303" s="29" t="str">
        <f aca="false">IF(A2303="","",IFERROR(1/(1/_xlfn.MINIFS(Apparitions!$L$2:$L$5001,Apparitions!$H$2:$H$5001,A2303)),""))</f>
        <v/>
      </c>
    </row>
    <row r="2304" customFormat="false" ht="15" hidden="false" customHeight="false" outlineLevel="0" collapsed="false">
      <c r="A2304" s="19"/>
      <c r="B2304" s="19"/>
      <c r="C2304" s="19"/>
      <c r="D2304" s="19"/>
      <c r="E2304" s="32"/>
      <c r="F2304" s="19"/>
      <c r="G2304" s="26" t="str">
        <f aca="false">IF(A2304="","",COUNTIF(Pubs!$B$2:$B$3001,A2304))</f>
        <v/>
      </c>
      <c r="H2304" s="26" t="str">
        <f aca="false">IF(A2304="","",COUNTIF(Apparitions!$H$2:$H$5001,A2304))</f>
        <v/>
      </c>
      <c r="I2304" s="26" t="str">
        <f aca="false">IF(A2304="","",COUNTIFS(Apparitions!$H$2:$H$5001,A2304,Apparitions!$E$2:$E$5001,"○"))</f>
        <v/>
      </c>
      <c r="J2304" s="29" t="str">
        <f aca="false">IF(A2304="","",IFERROR(1/(1/_xlfn.MINIFS(Apparitions!$L$2:$L$5001,Apparitions!$H$2:$H$5001,A2304)),""))</f>
        <v/>
      </c>
    </row>
    <row r="2305" customFormat="false" ht="15" hidden="false" customHeight="false" outlineLevel="0" collapsed="false">
      <c r="A2305" s="19"/>
      <c r="B2305" s="19"/>
      <c r="C2305" s="19"/>
      <c r="D2305" s="19"/>
      <c r="E2305" s="32"/>
      <c r="F2305" s="19"/>
      <c r="G2305" s="26" t="str">
        <f aca="false">IF(A2305="","",COUNTIF(Pubs!$B$2:$B$3001,A2305))</f>
        <v/>
      </c>
      <c r="H2305" s="26" t="str">
        <f aca="false">IF(A2305="","",COUNTIF(Apparitions!$H$2:$H$5001,A2305))</f>
        <v/>
      </c>
      <c r="I2305" s="26" t="str">
        <f aca="false">IF(A2305="","",COUNTIFS(Apparitions!$H$2:$H$5001,A2305,Apparitions!$E$2:$E$5001,"○"))</f>
        <v/>
      </c>
      <c r="J2305" s="29" t="str">
        <f aca="false">IF(A2305="","",IFERROR(1/(1/_xlfn.MINIFS(Apparitions!$L$2:$L$5001,Apparitions!$H$2:$H$5001,A2305)),""))</f>
        <v/>
      </c>
    </row>
    <row r="2306" customFormat="false" ht="15" hidden="false" customHeight="false" outlineLevel="0" collapsed="false">
      <c r="A2306" s="19"/>
      <c r="B2306" s="19"/>
      <c r="C2306" s="19"/>
      <c r="D2306" s="19"/>
      <c r="E2306" s="32"/>
      <c r="F2306" s="19"/>
      <c r="G2306" s="26" t="str">
        <f aca="false">IF(A2306="","",COUNTIF(Pubs!$B$2:$B$3001,A2306))</f>
        <v/>
      </c>
      <c r="H2306" s="26" t="str">
        <f aca="false">IF(A2306="","",COUNTIF(Apparitions!$H$2:$H$5001,A2306))</f>
        <v/>
      </c>
      <c r="I2306" s="26" t="str">
        <f aca="false">IF(A2306="","",COUNTIFS(Apparitions!$H$2:$H$5001,A2306,Apparitions!$E$2:$E$5001,"○"))</f>
        <v/>
      </c>
      <c r="J2306" s="29" t="str">
        <f aca="false">IF(A2306="","",IFERROR(1/(1/_xlfn.MINIFS(Apparitions!$L$2:$L$5001,Apparitions!$H$2:$H$5001,A2306)),""))</f>
        <v/>
      </c>
    </row>
    <row r="2307" customFormat="false" ht="15" hidden="false" customHeight="false" outlineLevel="0" collapsed="false">
      <c r="A2307" s="19"/>
      <c r="B2307" s="19"/>
      <c r="C2307" s="19"/>
      <c r="D2307" s="19"/>
      <c r="E2307" s="32"/>
      <c r="F2307" s="19"/>
      <c r="G2307" s="26" t="str">
        <f aca="false">IF(A2307="","",COUNTIF(Pubs!$B$2:$B$3001,A2307))</f>
        <v/>
      </c>
      <c r="H2307" s="26" t="str">
        <f aca="false">IF(A2307="","",COUNTIF(Apparitions!$H$2:$H$5001,A2307))</f>
        <v/>
      </c>
      <c r="I2307" s="26" t="str">
        <f aca="false">IF(A2307="","",COUNTIFS(Apparitions!$H$2:$H$5001,A2307,Apparitions!$E$2:$E$5001,"○"))</f>
        <v/>
      </c>
      <c r="J2307" s="29" t="str">
        <f aca="false">IF(A2307="","",IFERROR(1/(1/_xlfn.MINIFS(Apparitions!$L$2:$L$5001,Apparitions!$H$2:$H$5001,A2307)),""))</f>
        <v/>
      </c>
    </row>
    <row r="2308" customFormat="false" ht="15" hidden="false" customHeight="false" outlineLevel="0" collapsed="false">
      <c r="A2308" s="19"/>
      <c r="B2308" s="19"/>
      <c r="C2308" s="19"/>
      <c r="D2308" s="19"/>
      <c r="E2308" s="32"/>
      <c r="F2308" s="19"/>
      <c r="G2308" s="26" t="str">
        <f aca="false">IF(A2308="","",COUNTIF(Pubs!$B$2:$B$3001,A2308))</f>
        <v/>
      </c>
      <c r="H2308" s="26" t="str">
        <f aca="false">IF(A2308="","",COUNTIF(Apparitions!$H$2:$H$5001,A2308))</f>
        <v/>
      </c>
      <c r="I2308" s="26" t="str">
        <f aca="false">IF(A2308="","",COUNTIFS(Apparitions!$H$2:$H$5001,A2308,Apparitions!$E$2:$E$5001,"○"))</f>
        <v/>
      </c>
      <c r="J2308" s="29" t="str">
        <f aca="false">IF(A2308="","",IFERROR(1/(1/_xlfn.MINIFS(Apparitions!$L$2:$L$5001,Apparitions!$H$2:$H$5001,A2308)),""))</f>
        <v/>
      </c>
    </row>
    <row r="2309" customFormat="false" ht="15" hidden="false" customHeight="false" outlineLevel="0" collapsed="false">
      <c r="A2309" s="19"/>
      <c r="B2309" s="19"/>
      <c r="C2309" s="19"/>
      <c r="D2309" s="19"/>
      <c r="E2309" s="32"/>
      <c r="F2309" s="19"/>
      <c r="G2309" s="26" t="str">
        <f aca="false">IF(A2309="","",COUNTIF(Pubs!$B$2:$B$3001,A2309))</f>
        <v/>
      </c>
      <c r="H2309" s="26" t="str">
        <f aca="false">IF(A2309="","",COUNTIF(Apparitions!$H$2:$H$5001,A2309))</f>
        <v/>
      </c>
      <c r="I2309" s="26" t="str">
        <f aca="false">IF(A2309="","",COUNTIFS(Apparitions!$H$2:$H$5001,A2309,Apparitions!$E$2:$E$5001,"○"))</f>
        <v/>
      </c>
      <c r="J2309" s="29" t="str">
        <f aca="false">IF(A2309="","",IFERROR(1/(1/_xlfn.MINIFS(Apparitions!$L$2:$L$5001,Apparitions!$H$2:$H$5001,A2309)),""))</f>
        <v/>
      </c>
    </row>
    <row r="2310" customFormat="false" ht="15" hidden="false" customHeight="false" outlineLevel="0" collapsed="false">
      <c r="A2310" s="19"/>
      <c r="B2310" s="19"/>
      <c r="C2310" s="19"/>
      <c r="D2310" s="19"/>
      <c r="E2310" s="32"/>
      <c r="F2310" s="19"/>
      <c r="G2310" s="26" t="str">
        <f aca="false">IF(A2310="","",COUNTIF(Pubs!$B$2:$B$3001,A2310))</f>
        <v/>
      </c>
      <c r="H2310" s="26" t="str">
        <f aca="false">IF(A2310="","",COUNTIF(Apparitions!$H$2:$H$5001,A2310))</f>
        <v/>
      </c>
      <c r="I2310" s="26" t="str">
        <f aca="false">IF(A2310="","",COUNTIFS(Apparitions!$H$2:$H$5001,A2310,Apparitions!$E$2:$E$5001,"○"))</f>
        <v/>
      </c>
      <c r="J2310" s="29" t="str">
        <f aca="false">IF(A2310="","",IFERROR(1/(1/_xlfn.MINIFS(Apparitions!$L$2:$L$5001,Apparitions!$H$2:$H$5001,A2310)),""))</f>
        <v/>
      </c>
    </row>
    <row r="2311" customFormat="false" ht="15" hidden="false" customHeight="false" outlineLevel="0" collapsed="false">
      <c r="A2311" s="19"/>
      <c r="B2311" s="19"/>
      <c r="C2311" s="19"/>
      <c r="D2311" s="19"/>
      <c r="E2311" s="32"/>
      <c r="F2311" s="19"/>
      <c r="G2311" s="26" t="str">
        <f aca="false">IF(A2311="","",COUNTIF(Pubs!$B$2:$B$3001,A2311))</f>
        <v/>
      </c>
      <c r="H2311" s="26" t="str">
        <f aca="false">IF(A2311="","",COUNTIF(Apparitions!$H$2:$H$5001,A2311))</f>
        <v/>
      </c>
      <c r="I2311" s="26" t="str">
        <f aca="false">IF(A2311="","",COUNTIFS(Apparitions!$H$2:$H$5001,A2311,Apparitions!$E$2:$E$5001,"○"))</f>
        <v/>
      </c>
      <c r="J2311" s="29" t="str">
        <f aca="false">IF(A2311="","",IFERROR(1/(1/_xlfn.MINIFS(Apparitions!$L$2:$L$5001,Apparitions!$H$2:$H$5001,A2311)),""))</f>
        <v/>
      </c>
    </row>
    <row r="2312" customFormat="false" ht="15" hidden="false" customHeight="false" outlineLevel="0" collapsed="false">
      <c r="A2312" s="19"/>
      <c r="B2312" s="19"/>
      <c r="C2312" s="19"/>
      <c r="D2312" s="19"/>
      <c r="E2312" s="32"/>
      <c r="F2312" s="19"/>
      <c r="G2312" s="26" t="str">
        <f aca="false">IF(A2312="","",COUNTIF(Pubs!$B$2:$B$3001,A2312))</f>
        <v/>
      </c>
      <c r="H2312" s="26" t="str">
        <f aca="false">IF(A2312="","",COUNTIF(Apparitions!$H$2:$H$5001,A2312))</f>
        <v/>
      </c>
      <c r="I2312" s="26" t="str">
        <f aca="false">IF(A2312="","",COUNTIFS(Apparitions!$H$2:$H$5001,A2312,Apparitions!$E$2:$E$5001,"○"))</f>
        <v/>
      </c>
      <c r="J2312" s="29" t="str">
        <f aca="false">IF(A2312="","",IFERROR(1/(1/_xlfn.MINIFS(Apparitions!$L$2:$L$5001,Apparitions!$H$2:$H$5001,A2312)),""))</f>
        <v/>
      </c>
    </row>
    <row r="2313" customFormat="false" ht="15" hidden="false" customHeight="false" outlineLevel="0" collapsed="false">
      <c r="A2313" s="19"/>
      <c r="B2313" s="19"/>
      <c r="C2313" s="19"/>
      <c r="D2313" s="19"/>
      <c r="E2313" s="32"/>
      <c r="F2313" s="19"/>
      <c r="G2313" s="26" t="str">
        <f aca="false">IF(A2313="","",COUNTIF(Pubs!$B$2:$B$3001,A2313))</f>
        <v/>
      </c>
      <c r="H2313" s="26" t="str">
        <f aca="false">IF(A2313="","",COUNTIF(Apparitions!$H$2:$H$5001,A2313))</f>
        <v/>
      </c>
      <c r="I2313" s="26" t="str">
        <f aca="false">IF(A2313="","",COUNTIFS(Apparitions!$H$2:$H$5001,A2313,Apparitions!$E$2:$E$5001,"○"))</f>
        <v/>
      </c>
      <c r="J2313" s="29" t="str">
        <f aca="false">IF(A2313="","",IFERROR(1/(1/_xlfn.MINIFS(Apparitions!$L$2:$L$5001,Apparitions!$H$2:$H$5001,A2313)),""))</f>
        <v/>
      </c>
    </row>
    <row r="2314" customFormat="false" ht="15" hidden="false" customHeight="false" outlineLevel="0" collapsed="false">
      <c r="A2314" s="19"/>
      <c r="B2314" s="19"/>
      <c r="C2314" s="19"/>
      <c r="D2314" s="19"/>
      <c r="E2314" s="32"/>
      <c r="F2314" s="19"/>
      <c r="G2314" s="26" t="str">
        <f aca="false">IF(A2314="","",COUNTIF(Pubs!$B$2:$B$3001,A2314))</f>
        <v/>
      </c>
      <c r="H2314" s="26" t="str">
        <f aca="false">IF(A2314="","",COUNTIF(Apparitions!$H$2:$H$5001,A2314))</f>
        <v/>
      </c>
      <c r="I2314" s="26" t="str">
        <f aca="false">IF(A2314="","",COUNTIFS(Apparitions!$H$2:$H$5001,A2314,Apparitions!$E$2:$E$5001,"○"))</f>
        <v/>
      </c>
      <c r="J2314" s="29" t="str">
        <f aca="false">IF(A2314="","",IFERROR(1/(1/_xlfn.MINIFS(Apparitions!$L$2:$L$5001,Apparitions!$H$2:$H$5001,A2314)),""))</f>
        <v/>
      </c>
    </row>
    <row r="2315" customFormat="false" ht="15" hidden="false" customHeight="false" outlineLevel="0" collapsed="false">
      <c r="A2315" s="19"/>
      <c r="B2315" s="19"/>
      <c r="C2315" s="19"/>
      <c r="D2315" s="19"/>
      <c r="E2315" s="32"/>
      <c r="F2315" s="19"/>
      <c r="G2315" s="26" t="str">
        <f aca="false">IF(A2315="","",COUNTIF(Pubs!$B$2:$B$3001,A2315))</f>
        <v/>
      </c>
      <c r="H2315" s="26" t="str">
        <f aca="false">IF(A2315="","",COUNTIF(Apparitions!$H$2:$H$5001,A2315))</f>
        <v/>
      </c>
      <c r="I2315" s="26" t="str">
        <f aca="false">IF(A2315="","",COUNTIFS(Apparitions!$H$2:$H$5001,A2315,Apparitions!$E$2:$E$5001,"○"))</f>
        <v/>
      </c>
      <c r="J2315" s="29" t="str">
        <f aca="false">IF(A2315="","",IFERROR(1/(1/_xlfn.MINIFS(Apparitions!$L$2:$L$5001,Apparitions!$H$2:$H$5001,A2315)),""))</f>
        <v/>
      </c>
    </row>
    <row r="2316" customFormat="false" ht="15" hidden="false" customHeight="false" outlineLevel="0" collapsed="false">
      <c r="A2316" s="19"/>
      <c r="B2316" s="19"/>
      <c r="C2316" s="19"/>
      <c r="D2316" s="19"/>
      <c r="E2316" s="32"/>
      <c r="F2316" s="19"/>
      <c r="G2316" s="26" t="str">
        <f aca="false">IF(A2316="","",COUNTIF(Pubs!$B$2:$B$3001,A2316))</f>
        <v/>
      </c>
      <c r="H2316" s="26" t="str">
        <f aca="false">IF(A2316="","",COUNTIF(Apparitions!$H$2:$H$5001,A2316))</f>
        <v/>
      </c>
      <c r="I2316" s="26" t="str">
        <f aca="false">IF(A2316="","",COUNTIFS(Apparitions!$H$2:$H$5001,A2316,Apparitions!$E$2:$E$5001,"○"))</f>
        <v/>
      </c>
      <c r="J2316" s="29" t="str">
        <f aca="false">IF(A2316="","",IFERROR(1/(1/_xlfn.MINIFS(Apparitions!$L$2:$L$5001,Apparitions!$H$2:$H$5001,A2316)),""))</f>
        <v/>
      </c>
    </row>
    <row r="2317" customFormat="false" ht="15" hidden="false" customHeight="false" outlineLevel="0" collapsed="false">
      <c r="A2317" s="19"/>
      <c r="B2317" s="19"/>
      <c r="C2317" s="19"/>
      <c r="D2317" s="19"/>
      <c r="E2317" s="32"/>
      <c r="F2317" s="19"/>
      <c r="G2317" s="26" t="str">
        <f aca="false">IF(A2317="","",COUNTIF(Pubs!$B$2:$B$3001,A2317))</f>
        <v/>
      </c>
      <c r="H2317" s="26" t="str">
        <f aca="false">IF(A2317="","",COUNTIF(Apparitions!$H$2:$H$5001,A2317))</f>
        <v/>
      </c>
      <c r="I2317" s="26" t="str">
        <f aca="false">IF(A2317="","",COUNTIFS(Apparitions!$H$2:$H$5001,A2317,Apparitions!$E$2:$E$5001,"○"))</f>
        <v/>
      </c>
      <c r="J2317" s="29" t="str">
        <f aca="false">IF(A2317="","",IFERROR(1/(1/_xlfn.MINIFS(Apparitions!$L$2:$L$5001,Apparitions!$H$2:$H$5001,A2317)),""))</f>
        <v/>
      </c>
    </row>
    <row r="2318" customFormat="false" ht="15" hidden="false" customHeight="false" outlineLevel="0" collapsed="false">
      <c r="A2318" s="19"/>
      <c r="B2318" s="19"/>
      <c r="C2318" s="19"/>
      <c r="D2318" s="19"/>
      <c r="E2318" s="32"/>
      <c r="F2318" s="19"/>
      <c r="G2318" s="26" t="str">
        <f aca="false">IF(A2318="","",COUNTIF(Pubs!$B$2:$B$3001,A2318))</f>
        <v/>
      </c>
      <c r="H2318" s="26" t="str">
        <f aca="false">IF(A2318="","",COUNTIF(Apparitions!$H$2:$H$5001,A2318))</f>
        <v/>
      </c>
      <c r="I2318" s="26" t="str">
        <f aca="false">IF(A2318="","",COUNTIFS(Apparitions!$H$2:$H$5001,A2318,Apparitions!$E$2:$E$5001,"○"))</f>
        <v/>
      </c>
      <c r="J2318" s="29" t="str">
        <f aca="false">IF(A2318="","",IFERROR(1/(1/_xlfn.MINIFS(Apparitions!$L$2:$L$5001,Apparitions!$H$2:$H$5001,A2318)),""))</f>
        <v/>
      </c>
    </row>
    <row r="2319" customFormat="false" ht="15" hidden="false" customHeight="false" outlineLevel="0" collapsed="false">
      <c r="A2319" s="19"/>
      <c r="B2319" s="19"/>
      <c r="C2319" s="19"/>
      <c r="D2319" s="19"/>
      <c r="E2319" s="32"/>
      <c r="F2319" s="19"/>
      <c r="G2319" s="26" t="str">
        <f aca="false">IF(A2319="","",COUNTIF(Pubs!$B$2:$B$3001,A2319))</f>
        <v/>
      </c>
      <c r="H2319" s="26" t="str">
        <f aca="false">IF(A2319="","",COUNTIF(Apparitions!$H$2:$H$5001,A2319))</f>
        <v/>
      </c>
      <c r="I2319" s="26" t="str">
        <f aca="false">IF(A2319="","",COUNTIFS(Apparitions!$H$2:$H$5001,A2319,Apparitions!$E$2:$E$5001,"○"))</f>
        <v/>
      </c>
      <c r="J2319" s="29" t="str">
        <f aca="false">IF(A2319="","",IFERROR(1/(1/_xlfn.MINIFS(Apparitions!$L$2:$L$5001,Apparitions!$H$2:$H$5001,A2319)),""))</f>
        <v/>
      </c>
    </row>
    <row r="2320" customFormat="false" ht="15" hidden="false" customHeight="false" outlineLevel="0" collapsed="false">
      <c r="A2320" s="19"/>
      <c r="B2320" s="19"/>
      <c r="C2320" s="19"/>
      <c r="D2320" s="19"/>
      <c r="E2320" s="32"/>
      <c r="F2320" s="19"/>
      <c r="G2320" s="26" t="str">
        <f aca="false">IF(A2320="","",COUNTIF(Pubs!$B$2:$B$3001,A2320))</f>
        <v/>
      </c>
      <c r="H2320" s="26" t="str">
        <f aca="false">IF(A2320="","",COUNTIF(Apparitions!$H$2:$H$5001,A2320))</f>
        <v/>
      </c>
      <c r="I2320" s="26" t="str">
        <f aca="false">IF(A2320="","",COUNTIFS(Apparitions!$H$2:$H$5001,A2320,Apparitions!$E$2:$E$5001,"○"))</f>
        <v/>
      </c>
      <c r="J2320" s="29" t="str">
        <f aca="false">IF(A2320="","",IFERROR(1/(1/_xlfn.MINIFS(Apparitions!$L$2:$L$5001,Apparitions!$H$2:$H$5001,A2320)),""))</f>
        <v/>
      </c>
    </row>
    <row r="2321" customFormat="false" ht="15" hidden="false" customHeight="false" outlineLevel="0" collapsed="false">
      <c r="A2321" s="19"/>
      <c r="B2321" s="19"/>
      <c r="C2321" s="19"/>
      <c r="D2321" s="19"/>
      <c r="E2321" s="32"/>
      <c r="F2321" s="19"/>
      <c r="G2321" s="26" t="str">
        <f aca="false">IF(A2321="","",COUNTIF(Pubs!$B$2:$B$3001,A2321))</f>
        <v/>
      </c>
      <c r="H2321" s="26" t="str">
        <f aca="false">IF(A2321="","",COUNTIF(Apparitions!$H$2:$H$5001,A2321))</f>
        <v/>
      </c>
      <c r="I2321" s="26" t="str">
        <f aca="false">IF(A2321="","",COUNTIFS(Apparitions!$H$2:$H$5001,A2321,Apparitions!$E$2:$E$5001,"○"))</f>
        <v/>
      </c>
      <c r="J2321" s="29" t="str">
        <f aca="false">IF(A2321="","",IFERROR(1/(1/_xlfn.MINIFS(Apparitions!$L$2:$L$5001,Apparitions!$H$2:$H$5001,A2321)),""))</f>
        <v/>
      </c>
    </row>
    <row r="2322" customFormat="false" ht="15" hidden="false" customHeight="false" outlineLevel="0" collapsed="false">
      <c r="A2322" s="19"/>
      <c r="B2322" s="19"/>
      <c r="C2322" s="19"/>
      <c r="D2322" s="19"/>
      <c r="E2322" s="32"/>
      <c r="F2322" s="19"/>
      <c r="G2322" s="26" t="str">
        <f aca="false">IF(A2322="","",COUNTIF(Pubs!$B$2:$B$3001,A2322))</f>
        <v/>
      </c>
      <c r="H2322" s="26" t="str">
        <f aca="false">IF(A2322="","",COUNTIF(Apparitions!$H$2:$H$5001,A2322))</f>
        <v/>
      </c>
      <c r="I2322" s="26" t="str">
        <f aca="false">IF(A2322="","",COUNTIFS(Apparitions!$H$2:$H$5001,A2322,Apparitions!$E$2:$E$5001,"○"))</f>
        <v/>
      </c>
      <c r="J2322" s="29" t="str">
        <f aca="false">IF(A2322="","",IFERROR(1/(1/_xlfn.MINIFS(Apparitions!$L$2:$L$5001,Apparitions!$H$2:$H$5001,A2322)),""))</f>
        <v/>
      </c>
    </row>
    <row r="2323" customFormat="false" ht="15" hidden="false" customHeight="false" outlineLevel="0" collapsed="false">
      <c r="A2323" s="19"/>
      <c r="B2323" s="19"/>
      <c r="C2323" s="19"/>
      <c r="D2323" s="19"/>
      <c r="E2323" s="32"/>
      <c r="F2323" s="19"/>
      <c r="G2323" s="26" t="str">
        <f aca="false">IF(A2323="","",COUNTIF(Pubs!$B$2:$B$3001,A2323))</f>
        <v/>
      </c>
      <c r="H2323" s="26" t="str">
        <f aca="false">IF(A2323="","",COUNTIF(Apparitions!$H$2:$H$5001,A2323))</f>
        <v/>
      </c>
      <c r="I2323" s="26" t="str">
        <f aca="false">IF(A2323="","",COUNTIFS(Apparitions!$H$2:$H$5001,A2323,Apparitions!$E$2:$E$5001,"○"))</f>
        <v/>
      </c>
      <c r="J2323" s="29" t="str">
        <f aca="false">IF(A2323="","",IFERROR(1/(1/_xlfn.MINIFS(Apparitions!$L$2:$L$5001,Apparitions!$H$2:$H$5001,A2323)),""))</f>
        <v/>
      </c>
    </row>
    <row r="2324" customFormat="false" ht="15" hidden="false" customHeight="false" outlineLevel="0" collapsed="false">
      <c r="A2324" s="19"/>
      <c r="B2324" s="19"/>
      <c r="C2324" s="19"/>
      <c r="D2324" s="19"/>
      <c r="E2324" s="32"/>
      <c r="F2324" s="19"/>
      <c r="G2324" s="26" t="str">
        <f aca="false">IF(A2324="","",COUNTIF(Pubs!$B$2:$B$3001,A2324))</f>
        <v/>
      </c>
      <c r="H2324" s="26" t="str">
        <f aca="false">IF(A2324="","",COUNTIF(Apparitions!$H$2:$H$5001,A2324))</f>
        <v/>
      </c>
      <c r="I2324" s="26" t="str">
        <f aca="false">IF(A2324="","",COUNTIFS(Apparitions!$H$2:$H$5001,A2324,Apparitions!$E$2:$E$5001,"○"))</f>
        <v/>
      </c>
      <c r="J2324" s="29" t="str">
        <f aca="false">IF(A2324="","",IFERROR(1/(1/_xlfn.MINIFS(Apparitions!$L$2:$L$5001,Apparitions!$H$2:$H$5001,A2324)),""))</f>
        <v/>
      </c>
    </row>
    <row r="2325" customFormat="false" ht="15" hidden="false" customHeight="false" outlineLevel="0" collapsed="false">
      <c r="A2325" s="19"/>
      <c r="B2325" s="19"/>
      <c r="C2325" s="19"/>
      <c r="D2325" s="19"/>
      <c r="E2325" s="32"/>
      <c r="F2325" s="19"/>
      <c r="G2325" s="26" t="str">
        <f aca="false">IF(A2325="","",COUNTIF(Pubs!$B$2:$B$3001,A2325))</f>
        <v/>
      </c>
      <c r="H2325" s="26" t="str">
        <f aca="false">IF(A2325="","",COUNTIF(Apparitions!$H$2:$H$5001,A2325))</f>
        <v/>
      </c>
      <c r="I2325" s="26" t="str">
        <f aca="false">IF(A2325="","",COUNTIFS(Apparitions!$H$2:$H$5001,A2325,Apparitions!$E$2:$E$5001,"○"))</f>
        <v/>
      </c>
      <c r="J2325" s="29" t="str">
        <f aca="false">IF(A2325="","",IFERROR(1/(1/_xlfn.MINIFS(Apparitions!$L$2:$L$5001,Apparitions!$H$2:$H$5001,A2325)),""))</f>
        <v/>
      </c>
    </row>
    <row r="2326" customFormat="false" ht="15" hidden="false" customHeight="false" outlineLevel="0" collapsed="false">
      <c r="A2326" s="19"/>
      <c r="B2326" s="19"/>
      <c r="C2326" s="19"/>
      <c r="D2326" s="19"/>
      <c r="E2326" s="32"/>
      <c r="F2326" s="19"/>
      <c r="G2326" s="26" t="str">
        <f aca="false">IF(A2326="","",COUNTIF(Pubs!$B$2:$B$3001,A2326))</f>
        <v/>
      </c>
      <c r="H2326" s="26" t="str">
        <f aca="false">IF(A2326="","",COUNTIF(Apparitions!$H$2:$H$5001,A2326))</f>
        <v/>
      </c>
      <c r="I2326" s="26" t="str">
        <f aca="false">IF(A2326="","",COUNTIFS(Apparitions!$H$2:$H$5001,A2326,Apparitions!$E$2:$E$5001,"○"))</f>
        <v/>
      </c>
      <c r="J2326" s="29" t="str">
        <f aca="false">IF(A2326="","",IFERROR(1/(1/_xlfn.MINIFS(Apparitions!$L$2:$L$5001,Apparitions!$H$2:$H$5001,A2326)),""))</f>
        <v/>
      </c>
    </row>
    <row r="2327" customFormat="false" ht="15" hidden="false" customHeight="false" outlineLevel="0" collapsed="false">
      <c r="A2327" s="19"/>
      <c r="B2327" s="19"/>
      <c r="C2327" s="19"/>
      <c r="D2327" s="19"/>
      <c r="E2327" s="32"/>
      <c r="F2327" s="19"/>
      <c r="G2327" s="26" t="str">
        <f aca="false">IF(A2327="","",COUNTIF(Pubs!$B$2:$B$3001,A2327))</f>
        <v/>
      </c>
      <c r="H2327" s="26" t="str">
        <f aca="false">IF(A2327="","",COUNTIF(Apparitions!$H$2:$H$5001,A2327))</f>
        <v/>
      </c>
      <c r="I2327" s="26" t="str">
        <f aca="false">IF(A2327="","",COUNTIFS(Apparitions!$H$2:$H$5001,A2327,Apparitions!$E$2:$E$5001,"○"))</f>
        <v/>
      </c>
      <c r="J2327" s="29" t="str">
        <f aca="false">IF(A2327="","",IFERROR(1/(1/_xlfn.MINIFS(Apparitions!$L$2:$L$5001,Apparitions!$H$2:$H$5001,A2327)),""))</f>
        <v/>
      </c>
    </row>
    <row r="2328" customFormat="false" ht="15" hidden="false" customHeight="false" outlineLevel="0" collapsed="false">
      <c r="A2328" s="19"/>
      <c r="B2328" s="19"/>
      <c r="C2328" s="19"/>
      <c r="D2328" s="19"/>
      <c r="E2328" s="32"/>
      <c r="F2328" s="19"/>
      <c r="G2328" s="26" t="str">
        <f aca="false">IF(A2328="","",COUNTIF(Pubs!$B$2:$B$3001,A2328))</f>
        <v/>
      </c>
      <c r="H2328" s="26" t="str">
        <f aca="false">IF(A2328="","",COUNTIF(Apparitions!$H$2:$H$5001,A2328))</f>
        <v/>
      </c>
      <c r="I2328" s="26" t="str">
        <f aca="false">IF(A2328="","",COUNTIFS(Apparitions!$H$2:$H$5001,A2328,Apparitions!$E$2:$E$5001,"○"))</f>
        <v/>
      </c>
      <c r="J2328" s="29" t="str">
        <f aca="false">IF(A2328="","",IFERROR(1/(1/_xlfn.MINIFS(Apparitions!$L$2:$L$5001,Apparitions!$H$2:$H$5001,A2328)),""))</f>
        <v/>
      </c>
    </row>
    <row r="2329" customFormat="false" ht="15" hidden="false" customHeight="false" outlineLevel="0" collapsed="false">
      <c r="A2329" s="19"/>
      <c r="B2329" s="19"/>
      <c r="C2329" s="19"/>
      <c r="D2329" s="19"/>
      <c r="E2329" s="32"/>
      <c r="F2329" s="19"/>
      <c r="G2329" s="26" t="str">
        <f aca="false">IF(A2329="","",COUNTIF(Pubs!$B$2:$B$3001,A2329))</f>
        <v/>
      </c>
      <c r="H2329" s="26" t="str">
        <f aca="false">IF(A2329="","",COUNTIF(Apparitions!$H$2:$H$5001,A2329))</f>
        <v/>
      </c>
      <c r="I2329" s="26" t="str">
        <f aca="false">IF(A2329="","",COUNTIFS(Apparitions!$H$2:$H$5001,A2329,Apparitions!$E$2:$E$5001,"○"))</f>
        <v/>
      </c>
      <c r="J2329" s="29" t="str">
        <f aca="false">IF(A2329="","",IFERROR(1/(1/_xlfn.MINIFS(Apparitions!$L$2:$L$5001,Apparitions!$H$2:$H$5001,A2329)),""))</f>
        <v/>
      </c>
    </row>
    <row r="2330" customFormat="false" ht="15" hidden="false" customHeight="false" outlineLevel="0" collapsed="false">
      <c r="A2330" s="19"/>
      <c r="B2330" s="19"/>
      <c r="C2330" s="19"/>
      <c r="D2330" s="19"/>
      <c r="E2330" s="32"/>
      <c r="F2330" s="19"/>
      <c r="G2330" s="26" t="str">
        <f aca="false">IF(A2330="","",COUNTIF(Pubs!$B$2:$B$3001,A2330))</f>
        <v/>
      </c>
      <c r="H2330" s="26" t="str">
        <f aca="false">IF(A2330="","",COUNTIF(Apparitions!$H$2:$H$5001,A2330))</f>
        <v/>
      </c>
      <c r="I2330" s="26" t="str">
        <f aca="false">IF(A2330="","",COUNTIFS(Apparitions!$H$2:$H$5001,A2330,Apparitions!$E$2:$E$5001,"○"))</f>
        <v/>
      </c>
      <c r="J2330" s="29" t="str">
        <f aca="false">IF(A2330="","",IFERROR(1/(1/_xlfn.MINIFS(Apparitions!$L$2:$L$5001,Apparitions!$H$2:$H$5001,A2330)),""))</f>
        <v/>
      </c>
    </row>
    <row r="2331" customFormat="false" ht="15" hidden="false" customHeight="false" outlineLevel="0" collapsed="false">
      <c r="A2331" s="19"/>
      <c r="B2331" s="19"/>
      <c r="C2331" s="19"/>
      <c r="D2331" s="19"/>
      <c r="E2331" s="32"/>
      <c r="F2331" s="19"/>
      <c r="G2331" s="26" t="str">
        <f aca="false">IF(A2331="","",COUNTIF(Pubs!$B$2:$B$3001,A2331))</f>
        <v/>
      </c>
      <c r="H2331" s="26" t="str">
        <f aca="false">IF(A2331="","",COUNTIF(Apparitions!$H$2:$H$5001,A2331))</f>
        <v/>
      </c>
      <c r="I2331" s="26" t="str">
        <f aca="false">IF(A2331="","",COUNTIFS(Apparitions!$H$2:$H$5001,A2331,Apparitions!$E$2:$E$5001,"○"))</f>
        <v/>
      </c>
      <c r="J2331" s="29" t="str">
        <f aca="false">IF(A2331="","",IFERROR(1/(1/_xlfn.MINIFS(Apparitions!$L$2:$L$5001,Apparitions!$H$2:$H$5001,A2331)),""))</f>
        <v/>
      </c>
    </row>
    <row r="2332" customFormat="false" ht="15" hidden="false" customHeight="false" outlineLevel="0" collapsed="false">
      <c r="A2332" s="19"/>
      <c r="B2332" s="19"/>
      <c r="C2332" s="19"/>
      <c r="D2332" s="19"/>
      <c r="E2332" s="32"/>
      <c r="F2332" s="19"/>
      <c r="G2332" s="26" t="str">
        <f aca="false">IF(A2332="","",COUNTIF(Pubs!$B$2:$B$3001,A2332))</f>
        <v/>
      </c>
      <c r="H2332" s="26" t="str">
        <f aca="false">IF(A2332="","",COUNTIF(Apparitions!$H$2:$H$5001,A2332))</f>
        <v/>
      </c>
      <c r="I2332" s="26" t="str">
        <f aca="false">IF(A2332="","",COUNTIFS(Apparitions!$H$2:$H$5001,A2332,Apparitions!$E$2:$E$5001,"○"))</f>
        <v/>
      </c>
      <c r="J2332" s="29" t="str">
        <f aca="false">IF(A2332="","",IFERROR(1/(1/_xlfn.MINIFS(Apparitions!$L$2:$L$5001,Apparitions!$H$2:$H$5001,A2332)),""))</f>
        <v/>
      </c>
    </row>
    <row r="2333" customFormat="false" ht="15" hidden="false" customHeight="false" outlineLevel="0" collapsed="false">
      <c r="A2333" s="19"/>
      <c r="B2333" s="19"/>
      <c r="C2333" s="19"/>
      <c r="D2333" s="19"/>
      <c r="E2333" s="32"/>
      <c r="F2333" s="19"/>
      <c r="G2333" s="26" t="str">
        <f aca="false">IF(A2333="","",COUNTIF(Pubs!$B$2:$B$3001,A2333))</f>
        <v/>
      </c>
      <c r="H2333" s="26" t="str">
        <f aca="false">IF(A2333="","",COUNTIF(Apparitions!$H$2:$H$5001,A2333))</f>
        <v/>
      </c>
      <c r="I2333" s="26" t="str">
        <f aca="false">IF(A2333="","",COUNTIFS(Apparitions!$H$2:$H$5001,A2333,Apparitions!$E$2:$E$5001,"○"))</f>
        <v/>
      </c>
      <c r="J2333" s="29" t="str">
        <f aca="false">IF(A2333="","",IFERROR(1/(1/_xlfn.MINIFS(Apparitions!$L$2:$L$5001,Apparitions!$H$2:$H$5001,A2333)),""))</f>
        <v/>
      </c>
    </row>
    <row r="2334" customFormat="false" ht="15" hidden="false" customHeight="false" outlineLevel="0" collapsed="false">
      <c r="A2334" s="19"/>
      <c r="B2334" s="19"/>
      <c r="C2334" s="19"/>
      <c r="D2334" s="19"/>
      <c r="E2334" s="32"/>
      <c r="F2334" s="19"/>
      <c r="G2334" s="26" t="str">
        <f aca="false">IF(A2334="","",COUNTIF(Pubs!$B$2:$B$3001,A2334))</f>
        <v/>
      </c>
      <c r="H2334" s="26" t="str">
        <f aca="false">IF(A2334="","",COUNTIF(Apparitions!$H$2:$H$5001,A2334))</f>
        <v/>
      </c>
      <c r="I2334" s="26" t="str">
        <f aca="false">IF(A2334="","",COUNTIFS(Apparitions!$H$2:$H$5001,A2334,Apparitions!$E$2:$E$5001,"○"))</f>
        <v/>
      </c>
      <c r="J2334" s="29" t="str">
        <f aca="false">IF(A2334="","",IFERROR(1/(1/_xlfn.MINIFS(Apparitions!$L$2:$L$5001,Apparitions!$H$2:$H$5001,A2334)),""))</f>
        <v/>
      </c>
    </row>
    <row r="2335" customFormat="false" ht="15" hidden="false" customHeight="false" outlineLevel="0" collapsed="false">
      <c r="A2335" s="19"/>
      <c r="B2335" s="19"/>
      <c r="C2335" s="19"/>
      <c r="D2335" s="19"/>
      <c r="E2335" s="32"/>
      <c r="F2335" s="19"/>
      <c r="G2335" s="26" t="str">
        <f aca="false">IF(A2335="","",COUNTIF(Pubs!$B$2:$B$3001,A2335))</f>
        <v/>
      </c>
      <c r="H2335" s="26" t="str">
        <f aca="false">IF(A2335="","",COUNTIF(Apparitions!$H$2:$H$5001,A2335))</f>
        <v/>
      </c>
      <c r="I2335" s="26" t="str">
        <f aca="false">IF(A2335="","",COUNTIFS(Apparitions!$H$2:$H$5001,A2335,Apparitions!$E$2:$E$5001,"○"))</f>
        <v/>
      </c>
      <c r="J2335" s="29" t="str">
        <f aca="false">IF(A2335="","",IFERROR(1/(1/_xlfn.MINIFS(Apparitions!$L$2:$L$5001,Apparitions!$H$2:$H$5001,A2335)),""))</f>
        <v/>
      </c>
    </row>
    <row r="2336" customFormat="false" ht="15" hidden="false" customHeight="false" outlineLevel="0" collapsed="false">
      <c r="A2336" s="19"/>
      <c r="B2336" s="19"/>
      <c r="C2336" s="19"/>
      <c r="D2336" s="19"/>
      <c r="E2336" s="32"/>
      <c r="F2336" s="19"/>
      <c r="G2336" s="26" t="str">
        <f aca="false">IF(A2336="","",COUNTIF(Pubs!$B$2:$B$3001,A2336))</f>
        <v/>
      </c>
      <c r="H2336" s="26" t="str">
        <f aca="false">IF(A2336="","",COUNTIF(Apparitions!$H$2:$H$5001,A2336))</f>
        <v/>
      </c>
      <c r="I2336" s="26" t="str">
        <f aca="false">IF(A2336="","",COUNTIFS(Apparitions!$H$2:$H$5001,A2336,Apparitions!$E$2:$E$5001,"○"))</f>
        <v/>
      </c>
      <c r="J2336" s="29" t="str">
        <f aca="false">IF(A2336="","",IFERROR(1/(1/_xlfn.MINIFS(Apparitions!$L$2:$L$5001,Apparitions!$H$2:$H$5001,A2336)),""))</f>
        <v/>
      </c>
    </row>
    <row r="2337" customFormat="false" ht="15" hidden="false" customHeight="false" outlineLevel="0" collapsed="false">
      <c r="A2337" s="19"/>
      <c r="B2337" s="19"/>
      <c r="C2337" s="19"/>
      <c r="D2337" s="19"/>
      <c r="E2337" s="32"/>
      <c r="F2337" s="19"/>
      <c r="G2337" s="26" t="str">
        <f aca="false">IF(A2337="","",COUNTIF(Pubs!$B$2:$B$3001,A2337))</f>
        <v/>
      </c>
      <c r="H2337" s="26" t="str">
        <f aca="false">IF(A2337="","",COUNTIF(Apparitions!$H$2:$H$5001,A2337))</f>
        <v/>
      </c>
      <c r="I2337" s="26" t="str">
        <f aca="false">IF(A2337="","",COUNTIFS(Apparitions!$H$2:$H$5001,A2337,Apparitions!$E$2:$E$5001,"○"))</f>
        <v/>
      </c>
      <c r="J2337" s="29" t="str">
        <f aca="false">IF(A2337="","",IFERROR(1/(1/_xlfn.MINIFS(Apparitions!$L$2:$L$5001,Apparitions!$H$2:$H$5001,A2337)),""))</f>
        <v/>
      </c>
    </row>
    <row r="2338" customFormat="false" ht="15" hidden="false" customHeight="false" outlineLevel="0" collapsed="false">
      <c r="A2338" s="19"/>
      <c r="B2338" s="19"/>
      <c r="C2338" s="19"/>
      <c r="D2338" s="19"/>
      <c r="E2338" s="32"/>
      <c r="F2338" s="19"/>
      <c r="G2338" s="26" t="str">
        <f aca="false">IF(A2338="","",COUNTIF(Pubs!$B$2:$B$3001,A2338))</f>
        <v/>
      </c>
      <c r="H2338" s="26" t="str">
        <f aca="false">IF(A2338="","",COUNTIF(Apparitions!$H$2:$H$5001,A2338))</f>
        <v/>
      </c>
      <c r="I2338" s="26" t="str">
        <f aca="false">IF(A2338="","",COUNTIFS(Apparitions!$H$2:$H$5001,A2338,Apparitions!$E$2:$E$5001,"○"))</f>
        <v/>
      </c>
      <c r="J2338" s="29" t="str">
        <f aca="false">IF(A2338="","",IFERROR(1/(1/_xlfn.MINIFS(Apparitions!$L$2:$L$5001,Apparitions!$H$2:$H$5001,A2338)),""))</f>
        <v/>
      </c>
    </row>
    <row r="2339" customFormat="false" ht="15" hidden="false" customHeight="false" outlineLevel="0" collapsed="false">
      <c r="A2339" s="19"/>
      <c r="B2339" s="19"/>
      <c r="C2339" s="19"/>
      <c r="D2339" s="19"/>
      <c r="E2339" s="32"/>
      <c r="F2339" s="19"/>
      <c r="G2339" s="26" t="str">
        <f aca="false">IF(A2339="","",COUNTIF(Pubs!$B$2:$B$3001,A2339))</f>
        <v/>
      </c>
      <c r="H2339" s="26" t="str">
        <f aca="false">IF(A2339="","",COUNTIF(Apparitions!$H$2:$H$5001,A2339))</f>
        <v/>
      </c>
      <c r="I2339" s="26" t="str">
        <f aca="false">IF(A2339="","",COUNTIFS(Apparitions!$H$2:$H$5001,A2339,Apparitions!$E$2:$E$5001,"○"))</f>
        <v/>
      </c>
      <c r="J2339" s="29" t="str">
        <f aca="false">IF(A2339="","",IFERROR(1/(1/_xlfn.MINIFS(Apparitions!$L$2:$L$5001,Apparitions!$H$2:$H$5001,A2339)),""))</f>
        <v/>
      </c>
    </row>
    <row r="2340" customFormat="false" ht="15" hidden="false" customHeight="false" outlineLevel="0" collapsed="false">
      <c r="A2340" s="19"/>
      <c r="B2340" s="19"/>
      <c r="C2340" s="19"/>
      <c r="D2340" s="19"/>
      <c r="E2340" s="32"/>
      <c r="F2340" s="19"/>
      <c r="G2340" s="26" t="str">
        <f aca="false">IF(A2340="","",COUNTIF(Pubs!$B$2:$B$3001,A2340))</f>
        <v/>
      </c>
      <c r="H2340" s="26" t="str">
        <f aca="false">IF(A2340="","",COUNTIF(Apparitions!$H$2:$H$5001,A2340))</f>
        <v/>
      </c>
      <c r="I2340" s="26" t="str">
        <f aca="false">IF(A2340="","",COUNTIFS(Apparitions!$H$2:$H$5001,A2340,Apparitions!$E$2:$E$5001,"○"))</f>
        <v/>
      </c>
      <c r="J2340" s="29" t="str">
        <f aca="false">IF(A2340="","",IFERROR(1/(1/_xlfn.MINIFS(Apparitions!$L$2:$L$5001,Apparitions!$H$2:$H$5001,A2340)),""))</f>
        <v/>
      </c>
    </row>
    <row r="2341" customFormat="false" ht="15" hidden="false" customHeight="false" outlineLevel="0" collapsed="false">
      <c r="A2341" s="19"/>
      <c r="B2341" s="19"/>
      <c r="C2341" s="19"/>
      <c r="D2341" s="19"/>
      <c r="E2341" s="32"/>
      <c r="F2341" s="19"/>
      <c r="G2341" s="26" t="str">
        <f aca="false">IF(A2341="","",COUNTIF(Pubs!$B$2:$B$3001,A2341))</f>
        <v/>
      </c>
      <c r="H2341" s="26" t="str">
        <f aca="false">IF(A2341="","",COUNTIF(Apparitions!$H$2:$H$5001,A2341))</f>
        <v/>
      </c>
      <c r="I2341" s="26" t="str">
        <f aca="false">IF(A2341="","",COUNTIFS(Apparitions!$H$2:$H$5001,A2341,Apparitions!$E$2:$E$5001,"○"))</f>
        <v/>
      </c>
      <c r="J2341" s="29" t="str">
        <f aca="false">IF(A2341="","",IFERROR(1/(1/_xlfn.MINIFS(Apparitions!$L$2:$L$5001,Apparitions!$H$2:$H$5001,A2341)),""))</f>
        <v/>
      </c>
    </row>
    <row r="2342" customFormat="false" ht="15" hidden="false" customHeight="false" outlineLevel="0" collapsed="false">
      <c r="A2342" s="19"/>
      <c r="B2342" s="19"/>
      <c r="C2342" s="19"/>
      <c r="D2342" s="19"/>
      <c r="E2342" s="32"/>
      <c r="F2342" s="19"/>
      <c r="G2342" s="26" t="str">
        <f aca="false">IF(A2342="","",COUNTIF(Pubs!$B$2:$B$3001,A2342))</f>
        <v/>
      </c>
      <c r="H2342" s="26" t="str">
        <f aca="false">IF(A2342="","",COUNTIF(Apparitions!$H$2:$H$5001,A2342))</f>
        <v/>
      </c>
      <c r="I2342" s="26" t="str">
        <f aca="false">IF(A2342="","",COUNTIFS(Apparitions!$H$2:$H$5001,A2342,Apparitions!$E$2:$E$5001,"○"))</f>
        <v/>
      </c>
      <c r="J2342" s="29" t="str">
        <f aca="false">IF(A2342="","",IFERROR(1/(1/_xlfn.MINIFS(Apparitions!$L$2:$L$5001,Apparitions!$H$2:$H$5001,A2342)),""))</f>
        <v/>
      </c>
    </row>
    <row r="2343" customFormat="false" ht="15" hidden="false" customHeight="false" outlineLevel="0" collapsed="false">
      <c r="A2343" s="19"/>
      <c r="B2343" s="19"/>
      <c r="C2343" s="19"/>
      <c r="D2343" s="19"/>
      <c r="E2343" s="32"/>
      <c r="F2343" s="19"/>
      <c r="G2343" s="26" t="str">
        <f aca="false">IF(A2343="","",COUNTIF(Pubs!$B$2:$B$3001,A2343))</f>
        <v/>
      </c>
      <c r="H2343" s="26" t="str">
        <f aca="false">IF(A2343="","",COUNTIF(Apparitions!$H$2:$H$5001,A2343))</f>
        <v/>
      </c>
      <c r="I2343" s="26" t="str">
        <f aca="false">IF(A2343="","",COUNTIFS(Apparitions!$H$2:$H$5001,A2343,Apparitions!$E$2:$E$5001,"○"))</f>
        <v/>
      </c>
      <c r="J2343" s="29" t="str">
        <f aca="false">IF(A2343="","",IFERROR(1/(1/_xlfn.MINIFS(Apparitions!$L$2:$L$5001,Apparitions!$H$2:$H$5001,A2343)),""))</f>
        <v/>
      </c>
    </row>
    <row r="2344" customFormat="false" ht="15" hidden="false" customHeight="false" outlineLevel="0" collapsed="false">
      <c r="A2344" s="19"/>
      <c r="B2344" s="19"/>
      <c r="C2344" s="19"/>
      <c r="D2344" s="19"/>
      <c r="E2344" s="32"/>
      <c r="F2344" s="19"/>
      <c r="G2344" s="26" t="str">
        <f aca="false">IF(A2344="","",COUNTIF(Pubs!$B$2:$B$3001,A2344))</f>
        <v/>
      </c>
      <c r="H2344" s="26" t="str">
        <f aca="false">IF(A2344="","",COUNTIF(Apparitions!$H$2:$H$5001,A2344))</f>
        <v/>
      </c>
      <c r="I2344" s="26" t="str">
        <f aca="false">IF(A2344="","",COUNTIFS(Apparitions!$H$2:$H$5001,A2344,Apparitions!$E$2:$E$5001,"○"))</f>
        <v/>
      </c>
      <c r="J2344" s="29" t="str">
        <f aca="false">IF(A2344="","",IFERROR(1/(1/_xlfn.MINIFS(Apparitions!$L$2:$L$5001,Apparitions!$H$2:$H$5001,A2344)),""))</f>
        <v/>
      </c>
    </row>
    <row r="2345" customFormat="false" ht="15" hidden="false" customHeight="false" outlineLevel="0" collapsed="false">
      <c r="A2345" s="19"/>
      <c r="B2345" s="19"/>
      <c r="C2345" s="19"/>
      <c r="D2345" s="19"/>
      <c r="E2345" s="32"/>
      <c r="F2345" s="19"/>
      <c r="G2345" s="26" t="str">
        <f aca="false">IF(A2345="","",COUNTIF(Pubs!$B$2:$B$3001,A2345))</f>
        <v/>
      </c>
      <c r="H2345" s="26" t="str">
        <f aca="false">IF(A2345="","",COUNTIF(Apparitions!$H$2:$H$5001,A2345))</f>
        <v/>
      </c>
      <c r="I2345" s="26" t="str">
        <f aca="false">IF(A2345="","",COUNTIFS(Apparitions!$H$2:$H$5001,A2345,Apparitions!$E$2:$E$5001,"○"))</f>
        <v/>
      </c>
      <c r="J2345" s="29" t="str">
        <f aca="false">IF(A2345="","",IFERROR(1/(1/_xlfn.MINIFS(Apparitions!$L$2:$L$5001,Apparitions!$H$2:$H$5001,A2345)),""))</f>
        <v/>
      </c>
    </row>
    <row r="2346" customFormat="false" ht="15" hidden="false" customHeight="false" outlineLevel="0" collapsed="false">
      <c r="A2346" s="19"/>
      <c r="B2346" s="19"/>
      <c r="C2346" s="19"/>
      <c r="D2346" s="19"/>
      <c r="E2346" s="32"/>
      <c r="F2346" s="19"/>
      <c r="G2346" s="26" t="str">
        <f aca="false">IF(A2346="","",COUNTIF(Pubs!$B$2:$B$3001,A2346))</f>
        <v/>
      </c>
      <c r="H2346" s="26" t="str">
        <f aca="false">IF(A2346="","",COUNTIF(Apparitions!$H$2:$H$5001,A2346))</f>
        <v/>
      </c>
      <c r="I2346" s="26" t="str">
        <f aca="false">IF(A2346="","",COUNTIFS(Apparitions!$H$2:$H$5001,A2346,Apparitions!$E$2:$E$5001,"○"))</f>
        <v/>
      </c>
      <c r="J2346" s="29" t="str">
        <f aca="false">IF(A2346="","",IFERROR(1/(1/_xlfn.MINIFS(Apparitions!$L$2:$L$5001,Apparitions!$H$2:$H$5001,A2346)),""))</f>
        <v/>
      </c>
    </row>
    <row r="2347" customFormat="false" ht="15" hidden="false" customHeight="false" outlineLevel="0" collapsed="false">
      <c r="A2347" s="19"/>
      <c r="B2347" s="19"/>
      <c r="C2347" s="19"/>
      <c r="D2347" s="19"/>
      <c r="E2347" s="32"/>
      <c r="F2347" s="19"/>
      <c r="G2347" s="26" t="str">
        <f aca="false">IF(A2347="","",COUNTIF(Pubs!$B$2:$B$3001,A2347))</f>
        <v/>
      </c>
      <c r="H2347" s="26" t="str">
        <f aca="false">IF(A2347="","",COUNTIF(Apparitions!$H$2:$H$5001,A2347))</f>
        <v/>
      </c>
      <c r="I2347" s="26" t="str">
        <f aca="false">IF(A2347="","",COUNTIFS(Apparitions!$H$2:$H$5001,A2347,Apparitions!$E$2:$E$5001,"○"))</f>
        <v/>
      </c>
      <c r="J2347" s="29" t="str">
        <f aca="false">IF(A2347="","",IFERROR(1/(1/_xlfn.MINIFS(Apparitions!$L$2:$L$5001,Apparitions!$H$2:$H$5001,A2347)),""))</f>
        <v/>
      </c>
    </row>
    <row r="2348" customFormat="false" ht="15" hidden="false" customHeight="false" outlineLevel="0" collapsed="false">
      <c r="A2348" s="19"/>
      <c r="B2348" s="19"/>
      <c r="C2348" s="19"/>
      <c r="D2348" s="19"/>
      <c r="E2348" s="32"/>
      <c r="F2348" s="19"/>
      <c r="G2348" s="26" t="str">
        <f aca="false">IF(A2348="","",COUNTIF(Pubs!$B$2:$B$3001,A2348))</f>
        <v/>
      </c>
      <c r="H2348" s="26" t="str">
        <f aca="false">IF(A2348="","",COUNTIF(Apparitions!$H$2:$H$5001,A2348))</f>
        <v/>
      </c>
      <c r="I2348" s="26" t="str">
        <f aca="false">IF(A2348="","",COUNTIFS(Apparitions!$H$2:$H$5001,A2348,Apparitions!$E$2:$E$5001,"○"))</f>
        <v/>
      </c>
      <c r="J2348" s="29" t="str">
        <f aca="false">IF(A2348="","",IFERROR(1/(1/_xlfn.MINIFS(Apparitions!$L$2:$L$5001,Apparitions!$H$2:$H$5001,A2348)),""))</f>
        <v/>
      </c>
    </row>
    <row r="2349" customFormat="false" ht="15" hidden="false" customHeight="false" outlineLevel="0" collapsed="false">
      <c r="A2349" s="19"/>
      <c r="B2349" s="19"/>
      <c r="C2349" s="19"/>
      <c r="D2349" s="19"/>
      <c r="E2349" s="32"/>
      <c r="F2349" s="19"/>
      <c r="G2349" s="26" t="str">
        <f aca="false">IF(A2349="","",COUNTIF(Pubs!$B$2:$B$3001,A2349))</f>
        <v/>
      </c>
      <c r="H2349" s="26" t="str">
        <f aca="false">IF(A2349="","",COUNTIF(Apparitions!$H$2:$H$5001,A2349))</f>
        <v/>
      </c>
      <c r="I2349" s="26" t="str">
        <f aca="false">IF(A2349="","",COUNTIFS(Apparitions!$H$2:$H$5001,A2349,Apparitions!$E$2:$E$5001,"○"))</f>
        <v/>
      </c>
      <c r="J2349" s="29" t="str">
        <f aca="false">IF(A2349="","",IFERROR(1/(1/_xlfn.MINIFS(Apparitions!$L$2:$L$5001,Apparitions!$H$2:$H$5001,A2349)),""))</f>
        <v/>
      </c>
    </row>
    <row r="2350" customFormat="false" ht="15" hidden="false" customHeight="false" outlineLevel="0" collapsed="false">
      <c r="A2350" s="19"/>
      <c r="B2350" s="19"/>
      <c r="C2350" s="19"/>
      <c r="D2350" s="19"/>
      <c r="E2350" s="32"/>
      <c r="F2350" s="19"/>
      <c r="G2350" s="26" t="str">
        <f aca="false">IF(A2350="","",COUNTIF(Pubs!$B$2:$B$3001,A2350))</f>
        <v/>
      </c>
      <c r="H2350" s="26" t="str">
        <f aca="false">IF(A2350="","",COUNTIF(Apparitions!$H$2:$H$5001,A2350))</f>
        <v/>
      </c>
      <c r="I2350" s="26" t="str">
        <f aca="false">IF(A2350="","",COUNTIFS(Apparitions!$H$2:$H$5001,A2350,Apparitions!$E$2:$E$5001,"○"))</f>
        <v/>
      </c>
      <c r="J2350" s="29" t="str">
        <f aca="false">IF(A2350="","",IFERROR(1/(1/_xlfn.MINIFS(Apparitions!$L$2:$L$5001,Apparitions!$H$2:$H$5001,A2350)),""))</f>
        <v/>
      </c>
    </row>
    <row r="2351" customFormat="false" ht="15" hidden="false" customHeight="false" outlineLevel="0" collapsed="false">
      <c r="A2351" s="19"/>
      <c r="B2351" s="19"/>
      <c r="C2351" s="19"/>
      <c r="D2351" s="19"/>
      <c r="E2351" s="32"/>
      <c r="F2351" s="19"/>
      <c r="G2351" s="26" t="str">
        <f aca="false">IF(A2351="","",COUNTIF(Pubs!$B$2:$B$3001,A2351))</f>
        <v/>
      </c>
      <c r="H2351" s="26" t="str">
        <f aca="false">IF(A2351="","",COUNTIF(Apparitions!$H$2:$H$5001,A2351))</f>
        <v/>
      </c>
      <c r="I2351" s="26" t="str">
        <f aca="false">IF(A2351="","",COUNTIFS(Apparitions!$H$2:$H$5001,A2351,Apparitions!$E$2:$E$5001,"○"))</f>
        <v/>
      </c>
      <c r="J2351" s="29" t="str">
        <f aca="false">IF(A2351="","",IFERROR(1/(1/_xlfn.MINIFS(Apparitions!$L$2:$L$5001,Apparitions!$H$2:$H$5001,A2351)),""))</f>
        <v/>
      </c>
    </row>
    <row r="2352" customFormat="false" ht="15" hidden="false" customHeight="false" outlineLevel="0" collapsed="false">
      <c r="A2352" s="19"/>
      <c r="B2352" s="19"/>
      <c r="C2352" s="19"/>
      <c r="D2352" s="19"/>
      <c r="E2352" s="32"/>
      <c r="F2352" s="19"/>
      <c r="G2352" s="26" t="str">
        <f aca="false">IF(A2352="","",COUNTIF(Pubs!$B$2:$B$3001,A2352))</f>
        <v/>
      </c>
      <c r="H2352" s="26" t="str">
        <f aca="false">IF(A2352="","",COUNTIF(Apparitions!$H$2:$H$5001,A2352))</f>
        <v/>
      </c>
      <c r="I2352" s="26" t="str">
        <f aca="false">IF(A2352="","",COUNTIFS(Apparitions!$H$2:$H$5001,A2352,Apparitions!$E$2:$E$5001,"○"))</f>
        <v/>
      </c>
      <c r="J2352" s="29" t="str">
        <f aca="false">IF(A2352="","",IFERROR(1/(1/_xlfn.MINIFS(Apparitions!$L$2:$L$5001,Apparitions!$H$2:$H$5001,A2352)),""))</f>
        <v/>
      </c>
    </row>
    <row r="2353" customFormat="false" ht="15" hidden="false" customHeight="false" outlineLevel="0" collapsed="false">
      <c r="A2353" s="19"/>
      <c r="B2353" s="19"/>
      <c r="C2353" s="19"/>
      <c r="D2353" s="19"/>
      <c r="E2353" s="32"/>
      <c r="F2353" s="19"/>
      <c r="G2353" s="26" t="str">
        <f aca="false">IF(A2353="","",COUNTIF(Pubs!$B$2:$B$3001,A2353))</f>
        <v/>
      </c>
      <c r="H2353" s="26" t="str">
        <f aca="false">IF(A2353="","",COUNTIF(Apparitions!$H$2:$H$5001,A2353))</f>
        <v/>
      </c>
      <c r="I2353" s="26" t="str">
        <f aca="false">IF(A2353="","",COUNTIFS(Apparitions!$H$2:$H$5001,A2353,Apparitions!$E$2:$E$5001,"○"))</f>
        <v/>
      </c>
      <c r="J2353" s="29" t="str">
        <f aca="false">IF(A2353="","",IFERROR(1/(1/_xlfn.MINIFS(Apparitions!$L$2:$L$5001,Apparitions!$H$2:$H$5001,A2353)),""))</f>
        <v/>
      </c>
    </row>
    <row r="2354" customFormat="false" ht="15" hidden="false" customHeight="false" outlineLevel="0" collapsed="false">
      <c r="A2354" s="19"/>
      <c r="B2354" s="19"/>
      <c r="C2354" s="19"/>
      <c r="D2354" s="19"/>
      <c r="E2354" s="32"/>
      <c r="F2354" s="19"/>
      <c r="G2354" s="26" t="str">
        <f aca="false">IF(A2354="","",COUNTIF(Pubs!$B$2:$B$3001,A2354))</f>
        <v/>
      </c>
      <c r="H2354" s="26" t="str">
        <f aca="false">IF(A2354="","",COUNTIF(Apparitions!$H$2:$H$5001,A2354))</f>
        <v/>
      </c>
      <c r="I2354" s="26" t="str">
        <f aca="false">IF(A2354="","",COUNTIFS(Apparitions!$H$2:$H$5001,A2354,Apparitions!$E$2:$E$5001,"○"))</f>
        <v/>
      </c>
      <c r="J2354" s="29" t="str">
        <f aca="false">IF(A2354="","",IFERROR(1/(1/_xlfn.MINIFS(Apparitions!$L$2:$L$5001,Apparitions!$H$2:$H$5001,A2354)),""))</f>
        <v/>
      </c>
    </row>
    <row r="2355" customFormat="false" ht="15" hidden="false" customHeight="false" outlineLevel="0" collapsed="false">
      <c r="A2355" s="19"/>
      <c r="B2355" s="19"/>
      <c r="C2355" s="19"/>
      <c r="D2355" s="19"/>
      <c r="E2355" s="32"/>
      <c r="F2355" s="19"/>
      <c r="G2355" s="26" t="str">
        <f aca="false">IF(A2355="","",COUNTIF(Pubs!$B$2:$B$3001,A2355))</f>
        <v/>
      </c>
      <c r="H2355" s="26" t="str">
        <f aca="false">IF(A2355="","",COUNTIF(Apparitions!$H$2:$H$5001,A2355))</f>
        <v/>
      </c>
      <c r="I2355" s="26" t="str">
        <f aca="false">IF(A2355="","",COUNTIFS(Apparitions!$H$2:$H$5001,A2355,Apparitions!$E$2:$E$5001,"○"))</f>
        <v/>
      </c>
      <c r="J2355" s="29" t="str">
        <f aca="false">IF(A2355="","",IFERROR(1/(1/_xlfn.MINIFS(Apparitions!$L$2:$L$5001,Apparitions!$H$2:$H$5001,A2355)),""))</f>
        <v/>
      </c>
    </row>
    <row r="2356" customFormat="false" ht="15" hidden="false" customHeight="false" outlineLevel="0" collapsed="false">
      <c r="A2356" s="19"/>
      <c r="B2356" s="19"/>
      <c r="C2356" s="19"/>
      <c r="D2356" s="19"/>
      <c r="E2356" s="32"/>
      <c r="F2356" s="19"/>
      <c r="G2356" s="26" t="str">
        <f aca="false">IF(A2356="","",COUNTIF(Pubs!$B$2:$B$3001,A2356))</f>
        <v/>
      </c>
      <c r="H2356" s="26" t="str">
        <f aca="false">IF(A2356="","",COUNTIF(Apparitions!$H$2:$H$5001,A2356))</f>
        <v/>
      </c>
      <c r="I2356" s="26" t="str">
        <f aca="false">IF(A2356="","",COUNTIFS(Apparitions!$H$2:$H$5001,A2356,Apparitions!$E$2:$E$5001,"○"))</f>
        <v/>
      </c>
      <c r="J2356" s="29" t="str">
        <f aca="false">IF(A2356="","",IFERROR(1/(1/_xlfn.MINIFS(Apparitions!$L$2:$L$5001,Apparitions!$H$2:$H$5001,A2356)),""))</f>
        <v/>
      </c>
    </row>
    <row r="2357" customFormat="false" ht="15" hidden="false" customHeight="false" outlineLevel="0" collapsed="false">
      <c r="A2357" s="19"/>
      <c r="B2357" s="19"/>
      <c r="C2357" s="19"/>
      <c r="D2357" s="19"/>
      <c r="E2357" s="32"/>
      <c r="F2357" s="19"/>
      <c r="G2357" s="26" t="str">
        <f aca="false">IF(A2357="","",COUNTIF(Pubs!$B$2:$B$3001,A2357))</f>
        <v/>
      </c>
      <c r="H2357" s="26" t="str">
        <f aca="false">IF(A2357="","",COUNTIF(Apparitions!$H$2:$H$5001,A2357))</f>
        <v/>
      </c>
      <c r="I2357" s="26" t="str">
        <f aca="false">IF(A2357="","",COUNTIFS(Apparitions!$H$2:$H$5001,A2357,Apparitions!$E$2:$E$5001,"○"))</f>
        <v/>
      </c>
      <c r="J2357" s="29" t="str">
        <f aca="false">IF(A2357="","",IFERROR(1/(1/_xlfn.MINIFS(Apparitions!$L$2:$L$5001,Apparitions!$H$2:$H$5001,A2357)),""))</f>
        <v/>
      </c>
    </row>
    <row r="2358" customFormat="false" ht="15" hidden="false" customHeight="false" outlineLevel="0" collapsed="false">
      <c r="A2358" s="19"/>
      <c r="B2358" s="19"/>
      <c r="C2358" s="19"/>
      <c r="D2358" s="19"/>
      <c r="E2358" s="32"/>
      <c r="F2358" s="19"/>
      <c r="G2358" s="26" t="str">
        <f aca="false">IF(A2358="","",COUNTIF(Pubs!$B$2:$B$3001,A2358))</f>
        <v/>
      </c>
      <c r="H2358" s="26" t="str">
        <f aca="false">IF(A2358="","",COUNTIF(Apparitions!$H$2:$H$5001,A2358))</f>
        <v/>
      </c>
      <c r="I2358" s="26" t="str">
        <f aca="false">IF(A2358="","",COUNTIFS(Apparitions!$H$2:$H$5001,A2358,Apparitions!$E$2:$E$5001,"○"))</f>
        <v/>
      </c>
      <c r="J2358" s="29" t="str">
        <f aca="false">IF(A2358="","",IFERROR(1/(1/_xlfn.MINIFS(Apparitions!$L$2:$L$5001,Apparitions!$H$2:$H$5001,A2358)),""))</f>
        <v/>
      </c>
    </row>
    <row r="2359" customFormat="false" ht="15" hidden="false" customHeight="false" outlineLevel="0" collapsed="false">
      <c r="A2359" s="19"/>
      <c r="B2359" s="19"/>
      <c r="C2359" s="19"/>
      <c r="D2359" s="19"/>
      <c r="E2359" s="32"/>
      <c r="F2359" s="19"/>
      <c r="G2359" s="26" t="str">
        <f aca="false">IF(A2359="","",COUNTIF(Pubs!$B$2:$B$3001,A2359))</f>
        <v/>
      </c>
      <c r="H2359" s="26" t="str">
        <f aca="false">IF(A2359="","",COUNTIF(Apparitions!$H$2:$H$5001,A2359))</f>
        <v/>
      </c>
      <c r="I2359" s="26" t="str">
        <f aca="false">IF(A2359="","",COUNTIFS(Apparitions!$H$2:$H$5001,A2359,Apparitions!$E$2:$E$5001,"○"))</f>
        <v/>
      </c>
      <c r="J2359" s="29" t="str">
        <f aca="false">IF(A2359="","",IFERROR(1/(1/_xlfn.MINIFS(Apparitions!$L$2:$L$5001,Apparitions!$H$2:$H$5001,A2359)),""))</f>
        <v/>
      </c>
    </row>
    <row r="2360" customFormat="false" ht="15" hidden="false" customHeight="false" outlineLevel="0" collapsed="false">
      <c r="A2360" s="19"/>
      <c r="B2360" s="19"/>
      <c r="C2360" s="19"/>
      <c r="D2360" s="19"/>
      <c r="E2360" s="32"/>
      <c r="F2360" s="19"/>
      <c r="G2360" s="26" t="str">
        <f aca="false">IF(A2360="","",COUNTIF(Pubs!$B$2:$B$3001,A2360))</f>
        <v/>
      </c>
      <c r="H2360" s="26" t="str">
        <f aca="false">IF(A2360="","",COUNTIF(Apparitions!$H$2:$H$5001,A2360))</f>
        <v/>
      </c>
      <c r="I2360" s="26" t="str">
        <f aca="false">IF(A2360="","",COUNTIFS(Apparitions!$H$2:$H$5001,A2360,Apparitions!$E$2:$E$5001,"○"))</f>
        <v/>
      </c>
      <c r="J2360" s="29" t="str">
        <f aca="false">IF(A2360="","",IFERROR(1/(1/_xlfn.MINIFS(Apparitions!$L$2:$L$5001,Apparitions!$H$2:$H$5001,A2360)),""))</f>
        <v/>
      </c>
    </row>
    <row r="2361" customFormat="false" ht="15" hidden="false" customHeight="false" outlineLevel="0" collapsed="false">
      <c r="A2361" s="19"/>
      <c r="B2361" s="19"/>
      <c r="C2361" s="19"/>
      <c r="D2361" s="19"/>
      <c r="E2361" s="32"/>
      <c r="F2361" s="19"/>
      <c r="G2361" s="26" t="str">
        <f aca="false">IF(A2361="","",COUNTIF(Pubs!$B$2:$B$3001,A2361))</f>
        <v/>
      </c>
      <c r="H2361" s="26" t="str">
        <f aca="false">IF(A2361="","",COUNTIF(Apparitions!$H$2:$H$5001,A2361))</f>
        <v/>
      </c>
      <c r="I2361" s="26" t="str">
        <f aca="false">IF(A2361="","",COUNTIFS(Apparitions!$H$2:$H$5001,A2361,Apparitions!$E$2:$E$5001,"○"))</f>
        <v/>
      </c>
      <c r="J2361" s="29" t="str">
        <f aca="false">IF(A2361="","",IFERROR(1/(1/_xlfn.MINIFS(Apparitions!$L$2:$L$5001,Apparitions!$H$2:$H$5001,A2361)),""))</f>
        <v/>
      </c>
    </row>
    <row r="2362" customFormat="false" ht="15" hidden="false" customHeight="false" outlineLevel="0" collapsed="false">
      <c r="A2362" s="19"/>
      <c r="B2362" s="19"/>
      <c r="C2362" s="19"/>
      <c r="D2362" s="19"/>
      <c r="E2362" s="32"/>
      <c r="F2362" s="19"/>
      <c r="G2362" s="26" t="str">
        <f aca="false">IF(A2362="","",COUNTIF(Pubs!$B$2:$B$3001,A2362))</f>
        <v/>
      </c>
      <c r="H2362" s="26" t="str">
        <f aca="false">IF(A2362="","",COUNTIF(Apparitions!$H$2:$H$5001,A2362))</f>
        <v/>
      </c>
      <c r="I2362" s="26" t="str">
        <f aca="false">IF(A2362="","",COUNTIFS(Apparitions!$H$2:$H$5001,A2362,Apparitions!$E$2:$E$5001,"○"))</f>
        <v/>
      </c>
      <c r="J2362" s="29" t="str">
        <f aca="false">IF(A2362="","",IFERROR(1/(1/_xlfn.MINIFS(Apparitions!$L$2:$L$5001,Apparitions!$H$2:$H$5001,A2362)),""))</f>
        <v/>
      </c>
    </row>
    <row r="2363" customFormat="false" ht="15" hidden="false" customHeight="false" outlineLevel="0" collapsed="false">
      <c r="A2363" s="19"/>
      <c r="B2363" s="19"/>
      <c r="C2363" s="19"/>
      <c r="D2363" s="19"/>
      <c r="E2363" s="32"/>
      <c r="F2363" s="19"/>
      <c r="G2363" s="26" t="str">
        <f aca="false">IF(A2363="","",COUNTIF(Pubs!$B$2:$B$3001,A2363))</f>
        <v/>
      </c>
      <c r="H2363" s="26" t="str">
        <f aca="false">IF(A2363="","",COUNTIF(Apparitions!$H$2:$H$5001,A2363))</f>
        <v/>
      </c>
      <c r="I2363" s="26" t="str">
        <f aca="false">IF(A2363="","",COUNTIFS(Apparitions!$H$2:$H$5001,A2363,Apparitions!$E$2:$E$5001,"○"))</f>
        <v/>
      </c>
      <c r="J2363" s="29" t="str">
        <f aca="false">IF(A2363="","",IFERROR(1/(1/_xlfn.MINIFS(Apparitions!$L$2:$L$5001,Apparitions!$H$2:$H$5001,A2363)),""))</f>
        <v/>
      </c>
    </row>
    <row r="2364" customFormat="false" ht="15" hidden="false" customHeight="false" outlineLevel="0" collapsed="false">
      <c r="A2364" s="19"/>
      <c r="B2364" s="19"/>
      <c r="C2364" s="19"/>
      <c r="D2364" s="19"/>
      <c r="E2364" s="32"/>
      <c r="F2364" s="19"/>
      <c r="G2364" s="26" t="str">
        <f aca="false">IF(A2364="","",COUNTIF(Pubs!$B$2:$B$3001,A2364))</f>
        <v/>
      </c>
      <c r="H2364" s="26" t="str">
        <f aca="false">IF(A2364="","",COUNTIF(Apparitions!$H$2:$H$5001,A2364))</f>
        <v/>
      </c>
      <c r="I2364" s="26" t="str">
        <f aca="false">IF(A2364="","",COUNTIFS(Apparitions!$H$2:$H$5001,A2364,Apparitions!$E$2:$E$5001,"○"))</f>
        <v/>
      </c>
      <c r="J2364" s="29" t="str">
        <f aca="false">IF(A2364="","",IFERROR(1/(1/_xlfn.MINIFS(Apparitions!$L$2:$L$5001,Apparitions!$H$2:$H$5001,A2364)),""))</f>
        <v/>
      </c>
    </row>
    <row r="2365" customFormat="false" ht="15" hidden="false" customHeight="false" outlineLevel="0" collapsed="false">
      <c r="A2365" s="19"/>
      <c r="B2365" s="19"/>
      <c r="C2365" s="19"/>
      <c r="D2365" s="19"/>
      <c r="E2365" s="32"/>
      <c r="F2365" s="19"/>
      <c r="G2365" s="26" t="str">
        <f aca="false">IF(A2365="","",COUNTIF(Pubs!$B$2:$B$3001,A2365))</f>
        <v/>
      </c>
      <c r="H2365" s="26" t="str">
        <f aca="false">IF(A2365="","",COUNTIF(Apparitions!$H$2:$H$5001,A2365))</f>
        <v/>
      </c>
      <c r="I2365" s="26" t="str">
        <f aca="false">IF(A2365="","",COUNTIFS(Apparitions!$H$2:$H$5001,A2365,Apparitions!$E$2:$E$5001,"○"))</f>
        <v/>
      </c>
      <c r="J2365" s="29" t="str">
        <f aca="false">IF(A2365="","",IFERROR(1/(1/_xlfn.MINIFS(Apparitions!$L$2:$L$5001,Apparitions!$H$2:$H$5001,A2365)),""))</f>
        <v/>
      </c>
    </row>
    <row r="2366" customFormat="false" ht="15" hidden="false" customHeight="false" outlineLevel="0" collapsed="false">
      <c r="A2366" s="19"/>
      <c r="B2366" s="19"/>
      <c r="C2366" s="19"/>
      <c r="D2366" s="19"/>
      <c r="E2366" s="32"/>
      <c r="F2366" s="19"/>
      <c r="G2366" s="26" t="str">
        <f aca="false">IF(A2366="","",COUNTIF(Pubs!$B$2:$B$3001,A2366))</f>
        <v/>
      </c>
      <c r="H2366" s="26" t="str">
        <f aca="false">IF(A2366="","",COUNTIF(Apparitions!$H$2:$H$5001,A2366))</f>
        <v/>
      </c>
      <c r="I2366" s="26" t="str">
        <f aca="false">IF(A2366="","",COUNTIFS(Apparitions!$H$2:$H$5001,A2366,Apparitions!$E$2:$E$5001,"○"))</f>
        <v/>
      </c>
      <c r="J2366" s="29" t="str">
        <f aca="false">IF(A2366="","",IFERROR(1/(1/_xlfn.MINIFS(Apparitions!$L$2:$L$5001,Apparitions!$H$2:$H$5001,A2366)),""))</f>
        <v/>
      </c>
    </row>
    <row r="2367" customFormat="false" ht="15" hidden="false" customHeight="false" outlineLevel="0" collapsed="false">
      <c r="A2367" s="19"/>
      <c r="B2367" s="19"/>
      <c r="C2367" s="19"/>
      <c r="D2367" s="19"/>
      <c r="E2367" s="32"/>
      <c r="F2367" s="19"/>
      <c r="G2367" s="26" t="str">
        <f aca="false">IF(A2367="","",COUNTIF(Pubs!$B$2:$B$3001,A2367))</f>
        <v/>
      </c>
      <c r="H2367" s="26" t="str">
        <f aca="false">IF(A2367="","",COUNTIF(Apparitions!$H$2:$H$5001,A2367))</f>
        <v/>
      </c>
      <c r="I2367" s="26" t="str">
        <f aca="false">IF(A2367="","",COUNTIFS(Apparitions!$H$2:$H$5001,A2367,Apparitions!$E$2:$E$5001,"○"))</f>
        <v/>
      </c>
      <c r="J2367" s="29" t="str">
        <f aca="false">IF(A2367="","",IFERROR(1/(1/_xlfn.MINIFS(Apparitions!$L$2:$L$5001,Apparitions!$H$2:$H$5001,A2367)),""))</f>
        <v/>
      </c>
    </row>
    <row r="2368" customFormat="false" ht="15" hidden="false" customHeight="false" outlineLevel="0" collapsed="false">
      <c r="A2368" s="19"/>
      <c r="B2368" s="19"/>
      <c r="C2368" s="19"/>
      <c r="D2368" s="19"/>
      <c r="E2368" s="32"/>
      <c r="F2368" s="19"/>
      <c r="G2368" s="26" t="str">
        <f aca="false">IF(A2368="","",COUNTIF(Pubs!$B$2:$B$3001,A2368))</f>
        <v/>
      </c>
      <c r="H2368" s="26" t="str">
        <f aca="false">IF(A2368="","",COUNTIF(Apparitions!$H$2:$H$5001,A2368))</f>
        <v/>
      </c>
      <c r="I2368" s="26" t="str">
        <f aca="false">IF(A2368="","",COUNTIFS(Apparitions!$H$2:$H$5001,A2368,Apparitions!$E$2:$E$5001,"○"))</f>
        <v/>
      </c>
      <c r="J2368" s="29" t="str">
        <f aca="false">IF(A2368="","",IFERROR(1/(1/_xlfn.MINIFS(Apparitions!$L$2:$L$5001,Apparitions!$H$2:$H$5001,A2368)),""))</f>
        <v/>
      </c>
    </row>
    <row r="2369" customFormat="false" ht="15" hidden="false" customHeight="false" outlineLevel="0" collapsed="false">
      <c r="A2369" s="19"/>
      <c r="B2369" s="19"/>
      <c r="C2369" s="19"/>
      <c r="D2369" s="19"/>
      <c r="E2369" s="32"/>
      <c r="F2369" s="19"/>
      <c r="G2369" s="26" t="str">
        <f aca="false">IF(A2369="","",COUNTIF(Pubs!$B$2:$B$3001,A2369))</f>
        <v/>
      </c>
      <c r="H2369" s="26" t="str">
        <f aca="false">IF(A2369="","",COUNTIF(Apparitions!$H$2:$H$5001,A2369))</f>
        <v/>
      </c>
      <c r="I2369" s="26" t="str">
        <f aca="false">IF(A2369="","",COUNTIFS(Apparitions!$H$2:$H$5001,A2369,Apparitions!$E$2:$E$5001,"○"))</f>
        <v/>
      </c>
      <c r="J2369" s="29" t="str">
        <f aca="false">IF(A2369="","",IFERROR(1/(1/_xlfn.MINIFS(Apparitions!$L$2:$L$5001,Apparitions!$H$2:$H$5001,A2369)),""))</f>
        <v/>
      </c>
    </row>
    <row r="2370" customFormat="false" ht="15" hidden="false" customHeight="false" outlineLevel="0" collapsed="false">
      <c r="A2370" s="19"/>
      <c r="B2370" s="19"/>
      <c r="C2370" s="19"/>
      <c r="D2370" s="19"/>
      <c r="E2370" s="32"/>
      <c r="F2370" s="19"/>
      <c r="G2370" s="26" t="str">
        <f aca="false">IF(A2370="","",COUNTIF(Pubs!$B$2:$B$3001,A2370))</f>
        <v/>
      </c>
      <c r="H2370" s="26" t="str">
        <f aca="false">IF(A2370="","",COUNTIF(Apparitions!$H$2:$H$5001,A2370))</f>
        <v/>
      </c>
      <c r="I2370" s="26" t="str">
        <f aca="false">IF(A2370="","",COUNTIFS(Apparitions!$H$2:$H$5001,A2370,Apparitions!$E$2:$E$5001,"○"))</f>
        <v/>
      </c>
      <c r="J2370" s="29" t="str">
        <f aca="false">IF(A2370="","",IFERROR(1/(1/_xlfn.MINIFS(Apparitions!$L$2:$L$5001,Apparitions!$H$2:$H$5001,A2370)),""))</f>
        <v/>
      </c>
    </row>
    <row r="2371" customFormat="false" ht="15" hidden="false" customHeight="false" outlineLevel="0" collapsed="false">
      <c r="A2371" s="19"/>
      <c r="B2371" s="19"/>
      <c r="C2371" s="19"/>
      <c r="D2371" s="19"/>
      <c r="E2371" s="32"/>
      <c r="F2371" s="19"/>
      <c r="G2371" s="26" t="str">
        <f aca="false">IF(A2371="","",COUNTIF(Pubs!$B$2:$B$3001,A2371))</f>
        <v/>
      </c>
      <c r="H2371" s="26" t="str">
        <f aca="false">IF(A2371="","",COUNTIF(Apparitions!$H$2:$H$5001,A2371))</f>
        <v/>
      </c>
      <c r="I2371" s="26" t="str">
        <f aca="false">IF(A2371="","",COUNTIFS(Apparitions!$H$2:$H$5001,A2371,Apparitions!$E$2:$E$5001,"○"))</f>
        <v/>
      </c>
      <c r="J2371" s="29" t="str">
        <f aca="false">IF(A2371="","",IFERROR(1/(1/_xlfn.MINIFS(Apparitions!$L$2:$L$5001,Apparitions!$H$2:$H$5001,A2371)),""))</f>
        <v/>
      </c>
    </row>
    <row r="2372" customFormat="false" ht="15" hidden="false" customHeight="false" outlineLevel="0" collapsed="false">
      <c r="A2372" s="19"/>
      <c r="B2372" s="19"/>
      <c r="C2372" s="19"/>
      <c r="D2372" s="19"/>
      <c r="E2372" s="32"/>
      <c r="F2372" s="19"/>
      <c r="G2372" s="26" t="str">
        <f aca="false">IF(A2372="","",COUNTIF(Pubs!$B$2:$B$3001,A2372))</f>
        <v/>
      </c>
      <c r="H2372" s="26" t="str">
        <f aca="false">IF(A2372="","",COUNTIF(Apparitions!$H$2:$H$5001,A2372))</f>
        <v/>
      </c>
      <c r="I2372" s="26" t="str">
        <f aca="false">IF(A2372="","",COUNTIFS(Apparitions!$H$2:$H$5001,A2372,Apparitions!$E$2:$E$5001,"○"))</f>
        <v/>
      </c>
      <c r="J2372" s="29" t="str">
        <f aca="false">IF(A2372="","",IFERROR(1/(1/_xlfn.MINIFS(Apparitions!$L$2:$L$5001,Apparitions!$H$2:$H$5001,A2372)),""))</f>
        <v/>
      </c>
    </row>
    <row r="2373" customFormat="false" ht="15" hidden="false" customHeight="false" outlineLevel="0" collapsed="false">
      <c r="A2373" s="19"/>
      <c r="B2373" s="19"/>
      <c r="C2373" s="19"/>
      <c r="D2373" s="19"/>
      <c r="E2373" s="32"/>
      <c r="F2373" s="19"/>
      <c r="G2373" s="26" t="str">
        <f aca="false">IF(A2373="","",COUNTIF(Pubs!$B$2:$B$3001,A2373))</f>
        <v/>
      </c>
      <c r="H2373" s="26" t="str">
        <f aca="false">IF(A2373="","",COUNTIF(Apparitions!$H$2:$H$5001,A2373))</f>
        <v/>
      </c>
      <c r="I2373" s="26" t="str">
        <f aca="false">IF(A2373="","",COUNTIFS(Apparitions!$H$2:$H$5001,A2373,Apparitions!$E$2:$E$5001,"○"))</f>
        <v/>
      </c>
      <c r="J2373" s="29" t="str">
        <f aca="false">IF(A2373="","",IFERROR(1/(1/_xlfn.MINIFS(Apparitions!$L$2:$L$5001,Apparitions!$H$2:$H$5001,A2373)),""))</f>
        <v/>
      </c>
    </row>
    <row r="2374" customFormat="false" ht="15" hidden="false" customHeight="false" outlineLevel="0" collapsed="false">
      <c r="A2374" s="19"/>
      <c r="B2374" s="19"/>
      <c r="C2374" s="19"/>
      <c r="D2374" s="19"/>
      <c r="E2374" s="32"/>
      <c r="F2374" s="19"/>
      <c r="G2374" s="26" t="str">
        <f aca="false">IF(A2374="","",COUNTIF(Pubs!$B$2:$B$3001,A2374))</f>
        <v/>
      </c>
      <c r="H2374" s="26" t="str">
        <f aca="false">IF(A2374="","",COUNTIF(Apparitions!$H$2:$H$5001,A2374))</f>
        <v/>
      </c>
      <c r="I2374" s="26" t="str">
        <f aca="false">IF(A2374="","",COUNTIFS(Apparitions!$H$2:$H$5001,A2374,Apparitions!$E$2:$E$5001,"○"))</f>
        <v/>
      </c>
      <c r="J2374" s="29" t="str">
        <f aca="false">IF(A2374="","",IFERROR(1/(1/_xlfn.MINIFS(Apparitions!$L$2:$L$5001,Apparitions!$H$2:$H$5001,A2374)),""))</f>
        <v/>
      </c>
    </row>
    <row r="2375" customFormat="false" ht="15" hidden="false" customHeight="false" outlineLevel="0" collapsed="false">
      <c r="A2375" s="19"/>
      <c r="B2375" s="19"/>
      <c r="C2375" s="19"/>
      <c r="D2375" s="19"/>
      <c r="E2375" s="32"/>
      <c r="F2375" s="19"/>
      <c r="G2375" s="26" t="str">
        <f aca="false">IF(A2375="","",COUNTIF(Pubs!$B$2:$B$3001,A2375))</f>
        <v/>
      </c>
      <c r="H2375" s="26" t="str">
        <f aca="false">IF(A2375="","",COUNTIF(Apparitions!$H$2:$H$5001,A2375))</f>
        <v/>
      </c>
      <c r="I2375" s="26" t="str">
        <f aca="false">IF(A2375="","",COUNTIFS(Apparitions!$H$2:$H$5001,A2375,Apparitions!$E$2:$E$5001,"○"))</f>
        <v/>
      </c>
      <c r="J2375" s="29" t="str">
        <f aca="false">IF(A2375="","",IFERROR(1/(1/_xlfn.MINIFS(Apparitions!$L$2:$L$5001,Apparitions!$H$2:$H$5001,A2375)),""))</f>
        <v/>
      </c>
    </row>
    <row r="2376" customFormat="false" ht="15" hidden="false" customHeight="false" outlineLevel="0" collapsed="false">
      <c r="A2376" s="19"/>
      <c r="B2376" s="19"/>
      <c r="C2376" s="19"/>
      <c r="D2376" s="19"/>
      <c r="E2376" s="32"/>
      <c r="F2376" s="19"/>
      <c r="G2376" s="26" t="str">
        <f aca="false">IF(A2376="","",COUNTIF(Pubs!$B$2:$B$3001,A2376))</f>
        <v/>
      </c>
      <c r="H2376" s="26" t="str">
        <f aca="false">IF(A2376="","",COUNTIF(Apparitions!$H$2:$H$5001,A2376))</f>
        <v/>
      </c>
      <c r="I2376" s="26" t="str">
        <f aca="false">IF(A2376="","",COUNTIFS(Apparitions!$H$2:$H$5001,A2376,Apparitions!$E$2:$E$5001,"○"))</f>
        <v/>
      </c>
      <c r="J2376" s="29" t="str">
        <f aca="false">IF(A2376="","",IFERROR(1/(1/_xlfn.MINIFS(Apparitions!$L$2:$L$5001,Apparitions!$H$2:$H$5001,A2376)),""))</f>
        <v/>
      </c>
    </row>
    <row r="2377" customFormat="false" ht="15" hidden="false" customHeight="false" outlineLevel="0" collapsed="false">
      <c r="A2377" s="19"/>
      <c r="B2377" s="19"/>
      <c r="C2377" s="19"/>
      <c r="D2377" s="19"/>
      <c r="E2377" s="32"/>
      <c r="F2377" s="19"/>
      <c r="G2377" s="26" t="str">
        <f aca="false">IF(A2377="","",COUNTIF(Pubs!$B$2:$B$3001,A2377))</f>
        <v/>
      </c>
      <c r="H2377" s="26" t="str">
        <f aca="false">IF(A2377="","",COUNTIF(Apparitions!$H$2:$H$5001,A2377))</f>
        <v/>
      </c>
      <c r="I2377" s="26" t="str">
        <f aca="false">IF(A2377="","",COUNTIFS(Apparitions!$H$2:$H$5001,A2377,Apparitions!$E$2:$E$5001,"○"))</f>
        <v/>
      </c>
      <c r="J2377" s="29" t="str">
        <f aca="false">IF(A2377="","",IFERROR(1/(1/_xlfn.MINIFS(Apparitions!$L$2:$L$5001,Apparitions!$H$2:$H$5001,A2377)),""))</f>
        <v/>
      </c>
    </row>
    <row r="2378" customFormat="false" ht="15" hidden="false" customHeight="false" outlineLevel="0" collapsed="false">
      <c r="A2378" s="19"/>
      <c r="B2378" s="19"/>
      <c r="C2378" s="19"/>
      <c r="D2378" s="19"/>
      <c r="E2378" s="32"/>
      <c r="F2378" s="19"/>
      <c r="G2378" s="26" t="str">
        <f aca="false">IF(A2378="","",COUNTIF(Pubs!$B$2:$B$3001,A2378))</f>
        <v/>
      </c>
      <c r="H2378" s="26" t="str">
        <f aca="false">IF(A2378="","",COUNTIF(Apparitions!$H$2:$H$5001,A2378))</f>
        <v/>
      </c>
      <c r="I2378" s="26" t="str">
        <f aca="false">IF(A2378="","",COUNTIFS(Apparitions!$H$2:$H$5001,A2378,Apparitions!$E$2:$E$5001,"○"))</f>
        <v/>
      </c>
      <c r="J2378" s="29" t="str">
        <f aca="false">IF(A2378="","",IFERROR(1/(1/_xlfn.MINIFS(Apparitions!$L$2:$L$5001,Apparitions!$H$2:$H$5001,A2378)),""))</f>
        <v/>
      </c>
    </row>
    <row r="2379" customFormat="false" ht="15" hidden="false" customHeight="false" outlineLevel="0" collapsed="false">
      <c r="A2379" s="19"/>
      <c r="B2379" s="19"/>
      <c r="C2379" s="19"/>
      <c r="D2379" s="19"/>
      <c r="E2379" s="32"/>
      <c r="F2379" s="19"/>
      <c r="G2379" s="26" t="str">
        <f aca="false">IF(A2379="","",COUNTIF(Pubs!$B$2:$B$3001,A2379))</f>
        <v/>
      </c>
      <c r="H2379" s="26" t="str">
        <f aca="false">IF(A2379="","",COUNTIF(Apparitions!$H$2:$H$5001,A2379))</f>
        <v/>
      </c>
      <c r="I2379" s="26" t="str">
        <f aca="false">IF(A2379="","",COUNTIFS(Apparitions!$H$2:$H$5001,A2379,Apparitions!$E$2:$E$5001,"○"))</f>
        <v/>
      </c>
      <c r="J2379" s="29" t="str">
        <f aca="false">IF(A2379="","",IFERROR(1/(1/_xlfn.MINIFS(Apparitions!$L$2:$L$5001,Apparitions!$H$2:$H$5001,A2379)),""))</f>
        <v/>
      </c>
    </row>
    <row r="2380" customFormat="false" ht="15" hidden="false" customHeight="false" outlineLevel="0" collapsed="false">
      <c r="A2380" s="19"/>
      <c r="B2380" s="19"/>
      <c r="C2380" s="19"/>
      <c r="D2380" s="19"/>
      <c r="E2380" s="32"/>
      <c r="F2380" s="19"/>
      <c r="G2380" s="26" t="str">
        <f aca="false">IF(A2380="","",COUNTIF(Pubs!$B$2:$B$3001,A2380))</f>
        <v/>
      </c>
      <c r="H2380" s="26" t="str">
        <f aca="false">IF(A2380="","",COUNTIF(Apparitions!$H$2:$H$5001,A2380))</f>
        <v/>
      </c>
      <c r="I2380" s="26" t="str">
        <f aca="false">IF(A2380="","",COUNTIFS(Apparitions!$H$2:$H$5001,A2380,Apparitions!$E$2:$E$5001,"○"))</f>
        <v/>
      </c>
      <c r="J2380" s="29" t="str">
        <f aca="false">IF(A2380="","",IFERROR(1/(1/_xlfn.MINIFS(Apparitions!$L$2:$L$5001,Apparitions!$H$2:$H$5001,A2380)),""))</f>
        <v/>
      </c>
    </row>
    <row r="2381" customFormat="false" ht="15" hidden="false" customHeight="false" outlineLevel="0" collapsed="false">
      <c r="A2381" s="19"/>
      <c r="B2381" s="19"/>
      <c r="C2381" s="19"/>
      <c r="D2381" s="19"/>
      <c r="E2381" s="32"/>
      <c r="F2381" s="19"/>
      <c r="G2381" s="26" t="str">
        <f aca="false">IF(A2381="","",COUNTIF(Pubs!$B$2:$B$3001,A2381))</f>
        <v/>
      </c>
      <c r="H2381" s="26" t="str">
        <f aca="false">IF(A2381="","",COUNTIF(Apparitions!$H$2:$H$5001,A2381))</f>
        <v/>
      </c>
      <c r="I2381" s="26" t="str">
        <f aca="false">IF(A2381="","",COUNTIFS(Apparitions!$H$2:$H$5001,A2381,Apparitions!$E$2:$E$5001,"○"))</f>
        <v/>
      </c>
      <c r="J2381" s="29" t="str">
        <f aca="false">IF(A2381="","",IFERROR(1/(1/_xlfn.MINIFS(Apparitions!$L$2:$L$5001,Apparitions!$H$2:$H$5001,A2381)),""))</f>
        <v/>
      </c>
    </row>
    <row r="2382" customFormat="false" ht="15" hidden="false" customHeight="false" outlineLevel="0" collapsed="false">
      <c r="A2382" s="19"/>
      <c r="B2382" s="19"/>
      <c r="C2382" s="19"/>
      <c r="D2382" s="19"/>
      <c r="E2382" s="32"/>
      <c r="F2382" s="19"/>
      <c r="G2382" s="26" t="str">
        <f aca="false">IF(A2382="","",COUNTIF(Pubs!$B$2:$B$3001,A2382))</f>
        <v/>
      </c>
      <c r="H2382" s="26" t="str">
        <f aca="false">IF(A2382="","",COUNTIF(Apparitions!$H$2:$H$5001,A2382))</f>
        <v/>
      </c>
      <c r="I2382" s="26" t="str">
        <f aca="false">IF(A2382="","",COUNTIFS(Apparitions!$H$2:$H$5001,A2382,Apparitions!$E$2:$E$5001,"○"))</f>
        <v/>
      </c>
      <c r="J2382" s="29" t="str">
        <f aca="false">IF(A2382="","",IFERROR(1/(1/_xlfn.MINIFS(Apparitions!$L$2:$L$5001,Apparitions!$H$2:$H$5001,A2382)),""))</f>
        <v/>
      </c>
    </row>
    <row r="2383" customFormat="false" ht="15" hidden="false" customHeight="false" outlineLevel="0" collapsed="false">
      <c r="A2383" s="19"/>
      <c r="B2383" s="19"/>
      <c r="C2383" s="19"/>
      <c r="D2383" s="19"/>
      <c r="E2383" s="32"/>
      <c r="F2383" s="19"/>
      <c r="G2383" s="26" t="str">
        <f aca="false">IF(A2383="","",COUNTIF(Pubs!$B$2:$B$3001,A2383))</f>
        <v/>
      </c>
      <c r="H2383" s="26" t="str">
        <f aca="false">IF(A2383="","",COUNTIF(Apparitions!$H$2:$H$5001,A2383))</f>
        <v/>
      </c>
      <c r="I2383" s="26" t="str">
        <f aca="false">IF(A2383="","",COUNTIFS(Apparitions!$H$2:$H$5001,A2383,Apparitions!$E$2:$E$5001,"○"))</f>
        <v/>
      </c>
      <c r="J2383" s="29" t="str">
        <f aca="false">IF(A2383="","",IFERROR(1/(1/_xlfn.MINIFS(Apparitions!$L$2:$L$5001,Apparitions!$H$2:$H$5001,A2383)),""))</f>
        <v/>
      </c>
    </row>
    <row r="2384" customFormat="false" ht="15" hidden="false" customHeight="false" outlineLevel="0" collapsed="false">
      <c r="A2384" s="19"/>
      <c r="B2384" s="19"/>
      <c r="C2384" s="19"/>
      <c r="D2384" s="19"/>
      <c r="E2384" s="32"/>
      <c r="F2384" s="19"/>
      <c r="G2384" s="26" t="str">
        <f aca="false">IF(A2384="","",COUNTIF(Pubs!$B$2:$B$3001,A2384))</f>
        <v/>
      </c>
      <c r="H2384" s="26" t="str">
        <f aca="false">IF(A2384="","",COUNTIF(Apparitions!$H$2:$H$5001,A2384))</f>
        <v/>
      </c>
      <c r="I2384" s="26" t="str">
        <f aca="false">IF(A2384="","",COUNTIFS(Apparitions!$H$2:$H$5001,A2384,Apparitions!$E$2:$E$5001,"○"))</f>
        <v/>
      </c>
      <c r="J2384" s="29" t="str">
        <f aca="false">IF(A2384="","",IFERROR(1/(1/_xlfn.MINIFS(Apparitions!$L$2:$L$5001,Apparitions!$H$2:$H$5001,A2384)),""))</f>
        <v/>
      </c>
    </row>
    <row r="2385" customFormat="false" ht="15" hidden="false" customHeight="false" outlineLevel="0" collapsed="false">
      <c r="A2385" s="19"/>
      <c r="B2385" s="19"/>
      <c r="C2385" s="19"/>
      <c r="D2385" s="19"/>
      <c r="E2385" s="32"/>
      <c r="F2385" s="19"/>
      <c r="G2385" s="26" t="str">
        <f aca="false">IF(A2385="","",COUNTIF(Pubs!$B$2:$B$3001,A2385))</f>
        <v/>
      </c>
      <c r="H2385" s="26" t="str">
        <f aca="false">IF(A2385="","",COUNTIF(Apparitions!$H$2:$H$5001,A2385))</f>
        <v/>
      </c>
      <c r="I2385" s="26" t="str">
        <f aca="false">IF(A2385="","",COUNTIFS(Apparitions!$H$2:$H$5001,A2385,Apparitions!$E$2:$E$5001,"○"))</f>
        <v/>
      </c>
      <c r="J2385" s="29" t="str">
        <f aca="false">IF(A2385="","",IFERROR(1/(1/_xlfn.MINIFS(Apparitions!$L$2:$L$5001,Apparitions!$H$2:$H$5001,A2385)),""))</f>
        <v/>
      </c>
    </row>
    <row r="2386" customFormat="false" ht="15" hidden="false" customHeight="false" outlineLevel="0" collapsed="false">
      <c r="A2386" s="19"/>
      <c r="B2386" s="19"/>
      <c r="C2386" s="19"/>
      <c r="D2386" s="19"/>
      <c r="E2386" s="32"/>
      <c r="F2386" s="19"/>
      <c r="G2386" s="26" t="str">
        <f aca="false">IF(A2386="","",COUNTIF(Pubs!$B$2:$B$3001,A2386))</f>
        <v/>
      </c>
      <c r="H2386" s="26" t="str">
        <f aca="false">IF(A2386="","",COUNTIF(Apparitions!$H$2:$H$5001,A2386))</f>
        <v/>
      </c>
      <c r="I2386" s="26" t="str">
        <f aca="false">IF(A2386="","",COUNTIFS(Apparitions!$H$2:$H$5001,A2386,Apparitions!$E$2:$E$5001,"○"))</f>
        <v/>
      </c>
      <c r="J2386" s="29" t="str">
        <f aca="false">IF(A2386="","",IFERROR(1/(1/_xlfn.MINIFS(Apparitions!$L$2:$L$5001,Apparitions!$H$2:$H$5001,A2386)),""))</f>
        <v/>
      </c>
    </row>
    <row r="2387" customFormat="false" ht="15" hidden="false" customHeight="false" outlineLevel="0" collapsed="false">
      <c r="A2387" s="19"/>
      <c r="B2387" s="19"/>
      <c r="C2387" s="19"/>
      <c r="D2387" s="19"/>
      <c r="E2387" s="32"/>
      <c r="F2387" s="19"/>
      <c r="G2387" s="26" t="str">
        <f aca="false">IF(A2387="","",COUNTIF(Pubs!$B$2:$B$3001,A2387))</f>
        <v/>
      </c>
      <c r="H2387" s="26" t="str">
        <f aca="false">IF(A2387="","",COUNTIF(Apparitions!$H$2:$H$5001,A2387))</f>
        <v/>
      </c>
      <c r="I2387" s="26" t="str">
        <f aca="false">IF(A2387="","",COUNTIFS(Apparitions!$H$2:$H$5001,A2387,Apparitions!$E$2:$E$5001,"○"))</f>
        <v/>
      </c>
      <c r="J2387" s="29" t="str">
        <f aca="false">IF(A2387="","",IFERROR(1/(1/_xlfn.MINIFS(Apparitions!$L$2:$L$5001,Apparitions!$H$2:$H$5001,A2387)),""))</f>
        <v/>
      </c>
    </row>
    <row r="2388" customFormat="false" ht="15" hidden="false" customHeight="false" outlineLevel="0" collapsed="false">
      <c r="A2388" s="19"/>
      <c r="B2388" s="19"/>
      <c r="C2388" s="19"/>
      <c r="D2388" s="19"/>
      <c r="E2388" s="32"/>
      <c r="F2388" s="19"/>
      <c r="G2388" s="26" t="str">
        <f aca="false">IF(A2388="","",COUNTIF(Pubs!$B$2:$B$3001,A2388))</f>
        <v/>
      </c>
      <c r="H2388" s="26" t="str">
        <f aca="false">IF(A2388="","",COUNTIF(Apparitions!$H$2:$H$5001,A2388))</f>
        <v/>
      </c>
      <c r="I2388" s="26" t="str">
        <f aca="false">IF(A2388="","",COUNTIFS(Apparitions!$H$2:$H$5001,A2388,Apparitions!$E$2:$E$5001,"○"))</f>
        <v/>
      </c>
      <c r="J2388" s="29" t="str">
        <f aca="false">IF(A2388="","",IFERROR(1/(1/_xlfn.MINIFS(Apparitions!$L$2:$L$5001,Apparitions!$H$2:$H$5001,A2388)),""))</f>
        <v/>
      </c>
    </row>
    <row r="2389" customFormat="false" ht="15" hidden="false" customHeight="false" outlineLevel="0" collapsed="false">
      <c r="A2389" s="19"/>
      <c r="B2389" s="19"/>
      <c r="C2389" s="19"/>
      <c r="D2389" s="19"/>
      <c r="E2389" s="32"/>
      <c r="F2389" s="19"/>
      <c r="G2389" s="26" t="str">
        <f aca="false">IF(A2389="","",COUNTIF(Pubs!$B$2:$B$3001,A2389))</f>
        <v/>
      </c>
      <c r="H2389" s="26" t="str">
        <f aca="false">IF(A2389="","",COUNTIF(Apparitions!$H$2:$H$5001,A2389))</f>
        <v/>
      </c>
      <c r="I2389" s="26" t="str">
        <f aca="false">IF(A2389="","",COUNTIFS(Apparitions!$H$2:$H$5001,A2389,Apparitions!$E$2:$E$5001,"○"))</f>
        <v/>
      </c>
      <c r="J2389" s="29" t="str">
        <f aca="false">IF(A2389="","",IFERROR(1/(1/_xlfn.MINIFS(Apparitions!$L$2:$L$5001,Apparitions!$H$2:$H$5001,A2389)),""))</f>
        <v/>
      </c>
    </row>
    <row r="2390" customFormat="false" ht="15" hidden="false" customHeight="false" outlineLevel="0" collapsed="false">
      <c r="A2390" s="19"/>
      <c r="B2390" s="19"/>
      <c r="C2390" s="19"/>
      <c r="D2390" s="19"/>
      <c r="E2390" s="32"/>
      <c r="F2390" s="19"/>
      <c r="G2390" s="26" t="str">
        <f aca="false">IF(A2390="","",COUNTIF(Pubs!$B$2:$B$3001,A2390))</f>
        <v/>
      </c>
      <c r="H2390" s="26" t="str">
        <f aca="false">IF(A2390="","",COUNTIF(Apparitions!$H$2:$H$5001,A2390))</f>
        <v/>
      </c>
      <c r="I2390" s="26" t="str">
        <f aca="false">IF(A2390="","",COUNTIFS(Apparitions!$H$2:$H$5001,A2390,Apparitions!$E$2:$E$5001,"○"))</f>
        <v/>
      </c>
      <c r="J2390" s="29" t="str">
        <f aca="false">IF(A2390="","",IFERROR(1/(1/_xlfn.MINIFS(Apparitions!$L$2:$L$5001,Apparitions!$H$2:$H$5001,A2390)),""))</f>
        <v/>
      </c>
    </row>
    <row r="2391" customFormat="false" ht="15" hidden="false" customHeight="false" outlineLevel="0" collapsed="false">
      <c r="A2391" s="19"/>
      <c r="B2391" s="19"/>
      <c r="C2391" s="19"/>
      <c r="D2391" s="19"/>
      <c r="E2391" s="32"/>
      <c r="F2391" s="19"/>
      <c r="G2391" s="26" t="str">
        <f aca="false">IF(A2391="","",COUNTIF(Pubs!$B$2:$B$3001,A2391))</f>
        <v/>
      </c>
      <c r="H2391" s="26" t="str">
        <f aca="false">IF(A2391="","",COUNTIF(Apparitions!$H$2:$H$5001,A2391))</f>
        <v/>
      </c>
      <c r="I2391" s="26" t="str">
        <f aca="false">IF(A2391="","",COUNTIFS(Apparitions!$H$2:$H$5001,A2391,Apparitions!$E$2:$E$5001,"○"))</f>
        <v/>
      </c>
      <c r="J2391" s="29" t="str">
        <f aca="false">IF(A2391="","",IFERROR(1/(1/_xlfn.MINIFS(Apparitions!$L$2:$L$5001,Apparitions!$H$2:$H$5001,A2391)),""))</f>
        <v/>
      </c>
    </row>
    <row r="2392" customFormat="false" ht="15" hidden="false" customHeight="false" outlineLevel="0" collapsed="false">
      <c r="A2392" s="19"/>
      <c r="B2392" s="19"/>
      <c r="C2392" s="19"/>
      <c r="D2392" s="19"/>
      <c r="E2392" s="32"/>
      <c r="F2392" s="19"/>
      <c r="G2392" s="26" t="str">
        <f aca="false">IF(A2392="","",COUNTIF(Pubs!$B$2:$B$3001,A2392))</f>
        <v/>
      </c>
      <c r="H2392" s="26" t="str">
        <f aca="false">IF(A2392="","",COUNTIF(Apparitions!$H$2:$H$5001,A2392))</f>
        <v/>
      </c>
      <c r="I2392" s="26" t="str">
        <f aca="false">IF(A2392="","",COUNTIFS(Apparitions!$H$2:$H$5001,A2392,Apparitions!$E$2:$E$5001,"○"))</f>
        <v/>
      </c>
      <c r="J2392" s="29" t="str">
        <f aca="false">IF(A2392="","",IFERROR(1/(1/_xlfn.MINIFS(Apparitions!$L$2:$L$5001,Apparitions!$H$2:$H$5001,A2392)),""))</f>
        <v/>
      </c>
    </row>
    <row r="2393" customFormat="false" ht="15" hidden="false" customHeight="false" outlineLevel="0" collapsed="false">
      <c r="A2393" s="19"/>
      <c r="B2393" s="19"/>
      <c r="C2393" s="19"/>
      <c r="D2393" s="19"/>
      <c r="E2393" s="32"/>
      <c r="F2393" s="19"/>
      <c r="G2393" s="26" t="str">
        <f aca="false">IF(A2393="","",COUNTIF(Pubs!$B$2:$B$3001,A2393))</f>
        <v/>
      </c>
      <c r="H2393" s="26" t="str">
        <f aca="false">IF(A2393="","",COUNTIF(Apparitions!$H$2:$H$5001,A2393))</f>
        <v/>
      </c>
      <c r="I2393" s="26" t="str">
        <f aca="false">IF(A2393="","",COUNTIFS(Apparitions!$H$2:$H$5001,A2393,Apparitions!$E$2:$E$5001,"○"))</f>
        <v/>
      </c>
      <c r="J2393" s="29" t="str">
        <f aca="false">IF(A2393="","",IFERROR(1/(1/_xlfn.MINIFS(Apparitions!$L$2:$L$5001,Apparitions!$H$2:$H$5001,A2393)),""))</f>
        <v/>
      </c>
    </row>
    <row r="2394" customFormat="false" ht="15" hidden="false" customHeight="false" outlineLevel="0" collapsed="false">
      <c r="A2394" s="19"/>
      <c r="B2394" s="19"/>
      <c r="C2394" s="19"/>
      <c r="D2394" s="19"/>
      <c r="E2394" s="32"/>
      <c r="F2394" s="19"/>
      <c r="G2394" s="26" t="str">
        <f aca="false">IF(A2394="","",COUNTIF(Pubs!$B$2:$B$3001,A2394))</f>
        <v/>
      </c>
      <c r="H2394" s="26" t="str">
        <f aca="false">IF(A2394="","",COUNTIF(Apparitions!$H$2:$H$5001,A2394))</f>
        <v/>
      </c>
      <c r="I2394" s="26" t="str">
        <f aca="false">IF(A2394="","",COUNTIFS(Apparitions!$H$2:$H$5001,A2394,Apparitions!$E$2:$E$5001,"○"))</f>
        <v/>
      </c>
      <c r="J2394" s="29" t="str">
        <f aca="false">IF(A2394="","",IFERROR(1/(1/_xlfn.MINIFS(Apparitions!$L$2:$L$5001,Apparitions!$H$2:$H$5001,A2394)),""))</f>
        <v/>
      </c>
    </row>
    <row r="2395" customFormat="false" ht="15" hidden="false" customHeight="false" outlineLevel="0" collapsed="false">
      <c r="A2395" s="19"/>
      <c r="B2395" s="19"/>
      <c r="C2395" s="19"/>
      <c r="D2395" s="19"/>
      <c r="E2395" s="32"/>
      <c r="F2395" s="19"/>
      <c r="G2395" s="26" t="str">
        <f aca="false">IF(A2395="","",COUNTIF(Pubs!$B$2:$B$3001,A2395))</f>
        <v/>
      </c>
      <c r="H2395" s="26" t="str">
        <f aca="false">IF(A2395="","",COUNTIF(Apparitions!$H$2:$H$5001,A2395))</f>
        <v/>
      </c>
      <c r="I2395" s="26" t="str">
        <f aca="false">IF(A2395="","",COUNTIFS(Apparitions!$H$2:$H$5001,A2395,Apparitions!$E$2:$E$5001,"○"))</f>
        <v/>
      </c>
      <c r="J2395" s="29" t="str">
        <f aca="false">IF(A2395="","",IFERROR(1/(1/_xlfn.MINIFS(Apparitions!$L$2:$L$5001,Apparitions!$H$2:$H$5001,A2395)),""))</f>
        <v/>
      </c>
    </row>
    <row r="2396" customFormat="false" ht="15" hidden="false" customHeight="false" outlineLevel="0" collapsed="false">
      <c r="A2396" s="19"/>
      <c r="B2396" s="19"/>
      <c r="C2396" s="19"/>
      <c r="D2396" s="19"/>
      <c r="E2396" s="32"/>
      <c r="F2396" s="19"/>
      <c r="G2396" s="26" t="str">
        <f aca="false">IF(A2396="","",COUNTIF(Pubs!$B$2:$B$3001,A2396))</f>
        <v/>
      </c>
      <c r="H2396" s="26" t="str">
        <f aca="false">IF(A2396="","",COUNTIF(Apparitions!$H$2:$H$5001,A2396))</f>
        <v/>
      </c>
      <c r="I2396" s="26" t="str">
        <f aca="false">IF(A2396="","",COUNTIFS(Apparitions!$H$2:$H$5001,A2396,Apparitions!$E$2:$E$5001,"○"))</f>
        <v/>
      </c>
      <c r="J2396" s="29" t="str">
        <f aca="false">IF(A2396="","",IFERROR(1/(1/_xlfn.MINIFS(Apparitions!$L$2:$L$5001,Apparitions!$H$2:$H$5001,A2396)),""))</f>
        <v/>
      </c>
    </row>
    <row r="2397" customFormat="false" ht="15" hidden="false" customHeight="false" outlineLevel="0" collapsed="false">
      <c r="A2397" s="19"/>
      <c r="B2397" s="19"/>
      <c r="C2397" s="19"/>
      <c r="D2397" s="19"/>
      <c r="E2397" s="32"/>
      <c r="F2397" s="19"/>
      <c r="G2397" s="26" t="str">
        <f aca="false">IF(A2397="","",COUNTIF(Pubs!$B$2:$B$3001,A2397))</f>
        <v/>
      </c>
      <c r="H2397" s="26" t="str">
        <f aca="false">IF(A2397="","",COUNTIF(Apparitions!$H$2:$H$5001,A2397))</f>
        <v/>
      </c>
      <c r="I2397" s="26" t="str">
        <f aca="false">IF(A2397="","",COUNTIFS(Apparitions!$H$2:$H$5001,A2397,Apparitions!$E$2:$E$5001,"○"))</f>
        <v/>
      </c>
      <c r="J2397" s="29" t="str">
        <f aca="false">IF(A2397="","",IFERROR(1/(1/_xlfn.MINIFS(Apparitions!$L$2:$L$5001,Apparitions!$H$2:$H$5001,A2397)),""))</f>
        <v/>
      </c>
    </row>
    <row r="2398" customFormat="false" ht="15" hidden="false" customHeight="false" outlineLevel="0" collapsed="false">
      <c r="A2398" s="19"/>
      <c r="B2398" s="19"/>
      <c r="C2398" s="19"/>
      <c r="D2398" s="19"/>
      <c r="E2398" s="32"/>
      <c r="F2398" s="19"/>
      <c r="G2398" s="26" t="str">
        <f aca="false">IF(A2398="","",COUNTIF(Pubs!$B$2:$B$3001,A2398))</f>
        <v/>
      </c>
      <c r="H2398" s="26" t="str">
        <f aca="false">IF(A2398="","",COUNTIF(Apparitions!$H$2:$H$5001,A2398))</f>
        <v/>
      </c>
      <c r="I2398" s="26" t="str">
        <f aca="false">IF(A2398="","",COUNTIFS(Apparitions!$H$2:$H$5001,A2398,Apparitions!$E$2:$E$5001,"○"))</f>
        <v/>
      </c>
      <c r="J2398" s="29" t="str">
        <f aca="false">IF(A2398="","",IFERROR(1/(1/_xlfn.MINIFS(Apparitions!$L$2:$L$5001,Apparitions!$H$2:$H$5001,A2398)),""))</f>
        <v/>
      </c>
    </row>
    <row r="2399" customFormat="false" ht="15" hidden="false" customHeight="false" outlineLevel="0" collapsed="false">
      <c r="A2399" s="19"/>
      <c r="B2399" s="19"/>
      <c r="C2399" s="19"/>
      <c r="D2399" s="19"/>
      <c r="E2399" s="32"/>
      <c r="F2399" s="19"/>
      <c r="G2399" s="26" t="str">
        <f aca="false">IF(A2399="","",COUNTIF(Pubs!$B$2:$B$3001,A2399))</f>
        <v/>
      </c>
      <c r="H2399" s="26" t="str">
        <f aca="false">IF(A2399="","",COUNTIF(Apparitions!$H$2:$H$5001,A2399))</f>
        <v/>
      </c>
      <c r="I2399" s="26" t="str">
        <f aca="false">IF(A2399="","",COUNTIFS(Apparitions!$H$2:$H$5001,A2399,Apparitions!$E$2:$E$5001,"○"))</f>
        <v/>
      </c>
      <c r="J2399" s="29" t="str">
        <f aca="false">IF(A2399="","",IFERROR(1/(1/_xlfn.MINIFS(Apparitions!$L$2:$L$5001,Apparitions!$H$2:$H$5001,A2399)),""))</f>
        <v/>
      </c>
    </row>
    <row r="2400" customFormat="false" ht="15" hidden="false" customHeight="false" outlineLevel="0" collapsed="false">
      <c r="A2400" s="19"/>
      <c r="B2400" s="19"/>
      <c r="C2400" s="19"/>
      <c r="D2400" s="19"/>
      <c r="E2400" s="32"/>
      <c r="F2400" s="19"/>
      <c r="G2400" s="26" t="str">
        <f aca="false">IF(A2400="","",COUNTIF(Pubs!$B$2:$B$3001,A2400))</f>
        <v/>
      </c>
      <c r="H2400" s="26" t="str">
        <f aca="false">IF(A2400="","",COUNTIF(Apparitions!$H$2:$H$5001,A2400))</f>
        <v/>
      </c>
      <c r="I2400" s="26" t="str">
        <f aca="false">IF(A2400="","",COUNTIFS(Apparitions!$H$2:$H$5001,A2400,Apparitions!$E$2:$E$5001,"○"))</f>
        <v/>
      </c>
      <c r="J2400" s="29" t="str">
        <f aca="false">IF(A2400="","",IFERROR(1/(1/_xlfn.MINIFS(Apparitions!$L$2:$L$5001,Apparitions!$H$2:$H$5001,A2400)),""))</f>
        <v/>
      </c>
    </row>
    <row r="2401" customFormat="false" ht="15" hidden="false" customHeight="false" outlineLevel="0" collapsed="false">
      <c r="A2401" s="19"/>
      <c r="B2401" s="19"/>
      <c r="C2401" s="19"/>
      <c r="D2401" s="19"/>
      <c r="E2401" s="32"/>
      <c r="F2401" s="19"/>
      <c r="G2401" s="26" t="str">
        <f aca="false">IF(A2401="","",COUNTIF(Pubs!$B$2:$B$3001,A2401))</f>
        <v/>
      </c>
      <c r="H2401" s="26" t="str">
        <f aca="false">IF(A2401="","",COUNTIF(Apparitions!$H$2:$H$5001,A2401))</f>
        <v/>
      </c>
      <c r="I2401" s="26" t="str">
        <f aca="false">IF(A2401="","",COUNTIFS(Apparitions!$H$2:$H$5001,A2401,Apparitions!$E$2:$E$5001,"○"))</f>
        <v/>
      </c>
      <c r="J2401" s="29" t="str">
        <f aca="false">IF(A2401="","",IFERROR(1/(1/_xlfn.MINIFS(Apparitions!$L$2:$L$5001,Apparitions!$H$2:$H$5001,A2401)),""))</f>
        <v/>
      </c>
    </row>
    <row r="2402" customFormat="false" ht="15" hidden="false" customHeight="false" outlineLevel="0" collapsed="false">
      <c r="A2402" s="19"/>
      <c r="B2402" s="19"/>
      <c r="C2402" s="19"/>
      <c r="D2402" s="19"/>
      <c r="E2402" s="32"/>
      <c r="F2402" s="19"/>
      <c r="G2402" s="26" t="str">
        <f aca="false">IF(A2402="","",COUNTIF(Pubs!$B$2:$B$3001,A2402))</f>
        <v/>
      </c>
      <c r="H2402" s="26" t="str">
        <f aca="false">IF(A2402="","",COUNTIF(Apparitions!$H$2:$H$5001,A2402))</f>
        <v/>
      </c>
      <c r="I2402" s="26" t="str">
        <f aca="false">IF(A2402="","",COUNTIFS(Apparitions!$H$2:$H$5001,A2402,Apparitions!$E$2:$E$5001,"○"))</f>
        <v/>
      </c>
      <c r="J2402" s="29" t="str">
        <f aca="false">IF(A2402="","",IFERROR(1/(1/_xlfn.MINIFS(Apparitions!$L$2:$L$5001,Apparitions!$H$2:$H$5001,A2402)),""))</f>
        <v/>
      </c>
    </row>
    <row r="2403" customFormat="false" ht="15" hidden="false" customHeight="false" outlineLevel="0" collapsed="false">
      <c r="A2403" s="19"/>
      <c r="B2403" s="19"/>
      <c r="C2403" s="19"/>
      <c r="D2403" s="19"/>
      <c r="E2403" s="32"/>
      <c r="F2403" s="19"/>
      <c r="G2403" s="26" t="str">
        <f aca="false">IF(A2403="","",COUNTIF(Pubs!$B$2:$B$3001,A2403))</f>
        <v/>
      </c>
      <c r="H2403" s="26" t="str">
        <f aca="false">IF(A2403="","",COUNTIF(Apparitions!$H$2:$H$5001,A2403))</f>
        <v/>
      </c>
      <c r="I2403" s="26" t="str">
        <f aca="false">IF(A2403="","",COUNTIFS(Apparitions!$H$2:$H$5001,A2403,Apparitions!$E$2:$E$5001,"○"))</f>
        <v/>
      </c>
      <c r="J2403" s="29" t="str">
        <f aca="false">IF(A2403="","",IFERROR(1/(1/_xlfn.MINIFS(Apparitions!$L$2:$L$5001,Apparitions!$H$2:$H$5001,A2403)),""))</f>
        <v/>
      </c>
    </row>
    <row r="2404" customFormat="false" ht="15" hidden="false" customHeight="false" outlineLevel="0" collapsed="false">
      <c r="A2404" s="19"/>
      <c r="B2404" s="19"/>
      <c r="C2404" s="19"/>
      <c r="D2404" s="19"/>
      <c r="E2404" s="32"/>
      <c r="F2404" s="19"/>
      <c r="G2404" s="26" t="str">
        <f aca="false">IF(A2404="","",COUNTIF(Pubs!$B$2:$B$3001,A2404))</f>
        <v/>
      </c>
      <c r="H2404" s="26" t="str">
        <f aca="false">IF(A2404="","",COUNTIF(Apparitions!$H$2:$H$5001,A2404))</f>
        <v/>
      </c>
      <c r="I2404" s="26" t="str">
        <f aca="false">IF(A2404="","",COUNTIFS(Apparitions!$H$2:$H$5001,A2404,Apparitions!$E$2:$E$5001,"○"))</f>
        <v/>
      </c>
      <c r="J2404" s="29" t="str">
        <f aca="false">IF(A2404="","",IFERROR(1/(1/_xlfn.MINIFS(Apparitions!$L$2:$L$5001,Apparitions!$H$2:$H$5001,A2404)),""))</f>
        <v/>
      </c>
    </row>
    <row r="2405" customFormat="false" ht="15" hidden="false" customHeight="false" outlineLevel="0" collapsed="false">
      <c r="A2405" s="19"/>
      <c r="B2405" s="19"/>
      <c r="C2405" s="19"/>
      <c r="D2405" s="19"/>
      <c r="E2405" s="32"/>
      <c r="F2405" s="19"/>
      <c r="G2405" s="26" t="str">
        <f aca="false">IF(A2405="","",COUNTIF(Pubs!$B$2:$B$3001,A2405))</f>
        <v/>
      </c>
      <c r="H2405" s="26" t="str">
        <f aca="false">IF(A2405="","",COUNTIF(Apparitions!$H$2:$H$5001,A2405))</f>
        <v/>
      </c>
      <c r="I2405" s="26" t="str">
        <f aca="false">IF(A2405="","",COUNTIFS(Apparitions!$H$2:$H$5001,A2405,Apparitions!$E$2:$E$5001,"○"))</f>
        <v/>
      </c>
      <c r="J2405" s="29" t="str">
        <f aca="false">IF(A2405="","",IFERROR(1/(1/_xlfn.MINIFS(Apparitions!$L$2:$L$5001,Apparitions!$H$2:$H$5001,A2405)),""))</f>
        <v/>
      </c>
    </row>
    <row r="2406" customFormat="false" ht="15" hidden="false" customHeight="false" outlineLevel="0" collapsed="false">
      <c r="A2406" s="19"/>
      <c r="B2406" s="19"/>
      <c r="C2406" s="19"/>
      <c r="D2406" s="19"/>
      <c r="E2406" s="32"/>
      <c r="F2406" s="19"/>
      <c r="G2406" s="26" t="str">
        <f aca="false">IF(A2406="","",COUNTIF(Pubs!$B$2:$B$3001,A2406))</f>
        <v/>
      </c>
      <c r="H2406" s="26" t="str">
        <f aca="false">IF(A2406="","",COUNTIF(Apparitions!$H$2:$H$5001,A2406))</f>
        <v/>
      </c>
      <c r="I2406" s="26" t="str">
        <f aca="false">IF(A2406="","",COUNTIFS(Apparitions!$H$2:$H$5001,A2406,Apparitions!$E$2:$E$5001,"○"))</f>
        <v/>
      </c>
      <c r="J2406" s="29" t="str">
        <f aca="false">IF(A2406="","",IFERROR(1/(1/_xlfn.MINIFS(Apparitions!$L$2:$L$5001,Apparitions!$H$2:$H$5001,A2406)),""))</f>
        <v/>
      </c>
    </row>
    <row r="2407" customFormat="false" ht="15" hidden="false" customHeight="false" outlineLevel="0" collapsed="false">
      <c r="A2407" s="19"/>
      <c r="B2407" s="19"/>
      <c r="C2407" s="19"/>
      <c r="D2407" s="19"/>
      <c r="E2407" s="32"/>
      <c r="F2407" s="19"/>
      <c r="G2407" s="26" t="str">
        <f aca="false">IF(A2407="","",COUNTIF(Pubs!$B$2:$B$3001,A2407))</f>
        <v/>
      </c>
      <c r="H2407" s="26" t="str">
        <f aca="false">IF(A2407="","",COUNTIF(Apparitions!$H$2:$H$5001,A2407))</f>
        <v/>
      </c>
      <c r="I2407" s="26" t="str">
        <f aca="false">IF(A2407="","",COUNTIFS(Apparitions!$H$2:$H$5001,A2407,Apparitions!$E$2:$E$5001,"○"))</f>
        <v/>
      </c>
      <c r="J2407" s="29" t="str">
        <f aca="false">IF(A2407="","",IFERROR(1/(1/_xlfn.MINIFS(Apparitions!$L$2:$L$5001,Apparitions!$H$2:$H$5001,A2407)),""))</f>
        <v/>
      </c>
    </row>
    <row r="2408" customFormat="false" ht="15" hidden="false" customHeight="false" outlineLevel="0" collapsed="false">
      <c r="A2408" s="19"/>
      <c r="B2408" s="19"/>
      <c r="C2408" s="19"/>
      <c r="D2408" s="19"/>
      <c r="E2408" s="32"/>
      <c r="F2408" s="19"/>
      <c r="G2408" s="26" t="str">
        <f aca="false">IF(A2408="","",COUNTIF(Pubs!$B$2:$B$3001,A2408))</f>
        <v/>
      </c>
      <c r="H2408" s="26" t="str">
        <f aca="false">IF(A2408="","",COUNTIF(Apparitions!$H$2:$H$5001,A2408))</f>
        <v/>
      </c>
      <c r="I2408" s="26" t="str">
        <f aca="false">IF(A2408="","",COUNTIFS(Apparitions!$H$2:$H$5001,A2408,Apparitions!$E$2:$E$5001,"○"))</f>
        <v/>
      </c>
      <c r="J2408" s="29" t="str">
        <f aca="false">IF(A2408="","",IFERROR(1/(1/_xlfn.MINIFS(Apparitions!$L$2:$L$5001,Apparitions!$H$2:$H$5001,A2408)),""))</f>
        <v/>
      </c>
    </row>
    <row r="2409" customFormat="false" ht="15" hidden="false" customHeight="false" outlineLevel="0" collapsed="false">
      <c r="A2409" s="19"/>
      <c r="B2409" s="19"/>
      <c r="C2409" s="19"/>
      <c r="D2409" s="19"/>
      <c r="E2409" s="32"/>
      <c r="F2409" s="19"/>
      <c r="G2409" s="26" t="str">
        <f aca="false">IF(A2409="","",COUNTIF(Pubs!$B$2:$B$3001,A2409))</f>
        <v/>
      </c>
      <c r="H2409" s="26" t="str">
        <f aca="false">IF(A2409="","",COUNTIF(Apparitions!$H$2:$H$5001,A2409))</f>
        <v/>
      </c>
      <c r="I2409" s="26" t="str">
        <f aca="false">IF(A2409="","",COUNTIFS(Apparitions!$H$2:$H$5001,A2409,Apparitions!$E$2:$E$5001,"○"))</f>
        <v/>
      </c>
      <c r="J2409" s="29" t="str">
        <f aca="false">IF(A2409="","",IFERROR(1/(1/_xlfn.MINIFS(Apparitions!$L$2:$L$5001,Apparitions!$H$2:$H$5001,A2409)),""))</f>
        <v/>
      </c>
    </row>
    <row r="2410" customFormat="false" ht="15" hidden="false" customHeight="false" outlineLevel="0" collapsed="false">
      <c r="A2410" s="19"/>
      <c r="B2410" s="19"/>
      <c r="C2410" s="19"/>
      <c r="D2410" s="19"/>
      <c r="E2410" s="32"/>
      <c r="F2410" s="19"/>
      <c r="G2410" s="26" t="str">
        <f aca="false">IF(A2410="","",COUNTIF(Pubs!$B$2:$B$3001,A2410))</f>
        <v/>
      </c>
      <c r="H2410" s="26" t="str">
        <f aca="false">IF(A2410="","",COUNTIF(Apparitions!$H$2:$H$5001,A2410))</f>
        <v/>
      </c>
      <c r="I2410" s="26" t="str">
        <f aca="false">IF(A2410="","",COUNTIFS(Apparitions!$H$2:$H$5001,A2410,Apparitions!$E$2:$E$5001,"○"))</f>
        <v/>
      </c>
      <c r="J2410" s="29" t="str">
        <f aca="false">IF(A2410="","",IFERROR(1/(1/_xlfn.MINIFS(Apparitions!$L$2:$L$5001,Apparitions!$H$2:$H$5001,A2410)),""))</f>
        <v/>
      </c>
    </row>
    <row r="2411" customFormat="false" ht="15" hidden="false" customHeight="false" outlineLevel="0" collapsed="false">
      <c r="A2411" s="19"/>
      <c r="B2411" s="19"/>
      <c r="C2411" s="19"/>
      <c r="D2411" s="19"/>
      <c r="E2411" s="32"/>
      <c r="F2411" s="19"/>
      <c r="G2411" s="26" t="str">
        <f aca="false">IF(A2411="","",COUNTIF(Pubs!$B$2:$B$3001,A2411))</f>
        <v/>
      </c>
      <c r="H2411" s="26" t="str">
        <f aca="false">IF(A2411="","",COUNTIF(Apparitions!$H$2:$H$5001,A2411))</f>
        <v/>
      </c>
      <c r="I2411" s="26" t="str">
        <f aca="false">IF(A2411="","",COUNTIFS(Apparitions!$H$2:$H$5001,A2411,Apparitions!$E$2:$E$5001,"○"))</f>
        <v/>
      </c>
      <c r="J2411" s="29" t="str">
        <f aca="false">IF(A2411="","",IFERROR(1/(1/_xlfn.MINIFS(Apparitions!$L$2:$L$5001,Apparitions!$H$2:$H$5001,A2411)),""))</f>
        <v/>
      </c>
    </row>
    <row r="2412" customFormat="false" ht="15" hidden="false" customHeight="false" outlineLevel="0" collapsed="false">
      <c r="A2412" s="19"/>
      <c r="B2412" s="19"/>
      <c r="C2412" s="19"/>
      <c r="D2412" s="19"/>
      <c r="E2412" s="32"/>
      <c r="F2412" s="19"/>
      <c r="G2412" s="26" t="str">
        <f aca="false">IF(A2412="","",COUNTIF(Pubs!$B$2:$B$3001,A2412))</f>
        <v/>
      </c>
      <c r="H2412" s="26" t="str">
        <f aca="false">IF(A2412="","",COUNTIF(Apparitions!$H$2:$H$5001,A2412))</f>
        <v/>
      </c>
      <c r="I2412" s="26" t="str">
        <f aca="false">IF(A2412="","",COUNTIFS(Apparitions!$H$2:$H$5001,A2412,Apparitions!$E$2:$E$5001,"○"))</f>
        <v/>
      </c>
      <c r="J2412" s="29" t="str">
        <f aca="false">IF(A2412="","",IFERROR(1/(1/_xlfn.MINIFS(Apparitions!$L$2:$L$5001,Apparitions!$H$2:$H$5001,A2412)),""))</f>
        <v/>
      </c>
    </row>
    <row r="2413" customFormat="false" ht="15" hidden="false" customHeight="false" outlineLevel="0" collapsed="false">
      <c r="A2413" s="19"/>
      <c r="B2413" s="19"/>
      <c r="C2413" s="19"/>
      <c r="D2413" s="19"/>
      <c r="E2413" s="32"/>
      <c r="F2413" s="19"/>
      <c r="G2413" s="26" t="str">
        <f aca="false">IF(A2413="","",COUNTIF(Pubs!$B$2:$B$3001,A2413))</f>
        <v/>
      </c>
      <c r="H2413" s="26" t="str">
        <f aca="false">IF(A2413="","",COUNTIF(Apparitions!$H$2:$H$5001,A2413))</f>
        <v/>
      </c>
      <c r="I2413" s="26" t="str">
        <f aca="false">IF(A2413="","",COUNTIFS(Apparitions!$H$2:$H$5001,A2413,Apparitions!$E$2:$E$5001,"○"))</f>
        <v/>
      </c>
      <c r="J2413" s="29" t="str">
        <f aca="false">IF(A2413="","",IFERROR(1/(1/_xlfn.MINIFS(Apparitions!$L$2:$L$5001,Apparitions!$H$2:$H$5001,A2413)),""))</f>
        <v/>
      </c>
    </row>
    <row r="2414" customFormat="false" ht="15" hidden="false" customHeight="false" outlineLevel="0" collapsed="false">
      <c r="A2414" s="19"/>
      <c r="B2414" s="19"/>
      <c r="C2414" s="19"/>
      <c r="D2414" s="19"/>
      <c r="E2414" s="32"/>
      <c r="F2414" s="19"/>
      <c r="G2414" s="26" t="str">
        <f aca="false">IF(A2414="","",COUNTIF(Pubs!$B$2:$B$3001,A2414))</f>
        <v/>
      </c>
      <c r="H2414" s="26" t="str">
        <f aca="false">IF(A2414="","",COUNTIF(Apparitions!$H$2:$H$5001,A2414))</f>
        <v/>
      </c>
      <c r="I2414" s="26" t="str">
        <f aca="false">IF(A2414="","",COUNTIFS(Apparitions!$H$2:$H$5001,A2414,Apparitions!$E$2:$E$5001,"○"))</f>
        <v/>
      </c>
      <c r="J2414" s="29" t="str">
        <f aca="false">IF(A2414="","",IFERROR(1/(1/_xlfn.MINIFS(Apparitions!$L$2:$L$5001,Apparitions!$H$2:$H$5001,A2414)),""))</f>
        <v/>
      </c>
    </row>
    <row r="2415" customFormat="false" ht="15" hidden="false" customHeight="false" outlineLevel="0" collapsed="false">
      <c r="A2415" s="19"/>
      <c r="B2415" s="19"/>
      <c r="C2415" s="19"/>
      <c r="D2415" s="19"/>
      <c r="E2415" s="32"/>
      <c r="F2415" s="19"/>
      <c r="G2415" s="26" t="str">
        <f aca="false">IF(A2415="","",COUNTIF(Pubs!$B$2:$B$3001,A2415))</f>
        <v/>
      </c>
      <c r="H2415" s="26" t="str">
        <f aca="false">IF(A2415="","",COUNTIF(Apparitions!$H$2:$H$5001,A2415))</f>
        <v/>
      </c>
      <c r="I2415" s="26" t="str">
        <f aca="false">IF(A2415="","",COUNTIFS(Apparitions!$H$2:$H$5001,A2415,Apparitions!$E$2:$E$5001,"○"))</f>
        <v/>
      </c>
      <c r="J2415" s="29" t="str">
        <f aca="false">IF(A2415="","",IFERROR(1/(1/_xlfn.MINIFS(Apparitions!$L$2:$L$5001,Apparitions!$H$2:$H$5001,A2415)),""))</f>
        <v/>
      </c>
    </row>
    <row r="2416" customFormat="false" ht="15" hidden="false" customHeight="false" outlineLevel="0" collapsed="false">
      <c r="A2416" s="19"/>
      <c r="B2416" s="19"/>
      <c r="C2416" s="19"/>
      <c r="D2416" s="19"/>
      <c r="E2416" s="32"/>
      <c r="F2416" s="19"/>
      <c r="G2416" s="26" t="str">
        <f aca="false">IF(A2416="","",COUNTIF(Pubs!$B$2:$B$3001,A2416))</f>
        <v/>
      </c>
      <c r="H2416" s="26" t="str">
        <f aca="false">IF(A2416="","",COUNTIF(Apparitions!$H$2:$H$5001,A2416))</f>
        <v/>
      </c>
      <c r="I2416" s="26" t="str">
        <f aca="false">IF(A2416="","",COUNTIFS(Apparitions!$H$2:$H$5001,A2416,Apparitions!$E$2:$E$5001,"○"))</f>
        <v/>
      </c>
      <c r="J2416" s="29" t="str">
        <f aca="false">IF(A2416="","",IFERROR(1/(1/_xlfn.MINIFS(Apparitions!$L$2:$L$5001,Apparitions!$H$2:$H$5001,A2416)),""))</f>
        <v/>
      </c>
    </row>
    <row r="2417" customFormat="false" ht="15" hidden="false" customHeight="false" outlineLevel="0" collapsed="false">
      <c r="A2417" s="19"/>
      <c r="B2417" s="19"/>
      <c r="C2417" s="19"/>
      <c r="D2417" s="19"/>
      <c r="E2417" s="32"/>
      <c r="F2417" s="19"/>
      <c r="G2417" s="26" t="str">
        <f aca="false">IF(A2417="","",COUNTIF(Pubs!$B$2:$B$3001,A2417))</f>
        <v/>
      </c>
      <c r="H2417" s="26" t="str">
        <f aca="false">IF(A2417="","",COUNTIF(Apparitions!$H$2:$H$5001,A2417))</f>
        <v/>
      </c>
      <c r="I2417" s="26" t="str">
        <f aca="false">IF(A2417="","",COUNTIFS(Apparitions!$H$2:$H$5001,A2417,Apparitions!$E$2:$E$5001,"○"))</f>
        <v/>
      </c>
      <c r="J2417" s="29" t="str">
        <f aca="false">IF(A2417="","",IFERROR(1/(1/_xlfn.MINIFS(Apparitions!$L$2:$L$5001,Apparitions!$H$2:$H$5001,A2417)),""))</f>
        <v/>
      </c>
    </row>
    <row r="2418" customFormat="false" ht="15" hidden="false" customHeight="false" outlineLevel="0" collapsed="false">
      <c r="A2418" s="19"/>
      <c r="B2418" s="19"/>
      <c r="C2418" s="19"/>
      <c r="D2418" s="19"/>
      <c r="E2418" s="32"/>
      <c r="F2418" s="19"/>
      <c r="G2418" s="26" t="str">
        <f aca="false">IF(A2418="","",COUNTIF(Pubs!$B$2:$B$3001,A2418))</f>
        <v/>
      </c>
      <c r="H2418" s="26" t="str">
        <f aca="false">IF(A2418="","",COUNTIF(Apparitions!$H$2:$H$5001,A2418))</f>
        <v/>
      </c>
      <c r="I2418" s="26" t="str">
        <f aca="false">IF(A2418="","",COUNTIFS(Apparitions!$H$2:$H$5001,A2418,Apparitions!$E$2:$E$5001,"○"))</f>
        <v/>
      </c>
      <c r="J2418" s="29" t="str">
        <f aca="false">IF(A2418="","",IFERROR(1/(1/_xlfn.MINIFS(Apparitions!$L$2:$L$5001,Apparitions!$H$2:$H$5001,A2418)),""))</f>
        <v/>
      </c>
    </row>
    <row r="2419" customFormat="false" ht="15" hidden="false" customHeight="false" outlineLevel="0" collapsed="false">
      <c r="A2419" s="19"/>
      <c r="B2419" s="19"/>
      <c r="C2419" s="19"/>
      <c r="D2419" s="19"/>
      <c r="E2419" s="32"/>
      <c r="F2419" s="19"/>
      <c r="G2419" s="26" t="str">
        <f aca="false">IF(A2419="","",COUNTIF(Pubs!$B$2:$B$3001,A2419))</f>
        <v/>
      </c>
      <c r="H2419" s="26" t="str">
        <f aca="false">IF(A2419="","",COUNTIF(Apparitions!$H$2:$H$5001,A2419))</f>
        <v/>
      </c>
      <c r="I2419" s="26" t="str">
        <f aca="false">IF(A2419="","",COUNTIFS(Apparitions!$H$2:$H$5001,A2419,Apparitions!$E$2:$E$5001,"○"))</f>
        <v/>
      </c>
      <c r="J2419" s="29" t="str">
        <f aca="false">IF(A2419="","",IFERROR(1/(1/_xlfn.MINIFS(Apparitions!$L$2:$L$5001,Apparitions!$H$2:$H$5001,A2419)),""))</f>
        <v/>
      </c>
    </row>
    <row r="2420" customFormat="false" ht="15" hidden="false" customHeight="false" outlineLevel="0" collapsed="false">
      <c r="A2420" s="19"/>
      <c r="B2420" s="19"/>
      <c r="C2420" s="19"/>
      <c r="D2420" s="19"/>
      <c r="E2420" s="32"/>
      <c r="F2420" s="19"/>
      <c r="G2420" s="26" t="str">
        <f aca="false">IF(A2420="","",COUNTIF(Pubs!$B$2:$B$3001,A2420))</f>
        <v/>
      </c>
      <c r="H2420" s="26" t="str">
        <f aca="false">IF(A2420="","",COUNTIF(Apparitions!$H$2:$H$5001,A2420))</f>
        <v/>
      </c>
      <c r="I2420" s="26" t="str">
        <f aca="false">IF(A2420="","",COUNTIFS(Apparitions!$H$2:$H$5001,A2420,Apparitions!$E$2:$E$5001,"○"))</f>
        <v/>
      </c>
      <c r="J2420" s="29" t="str">
        <f aca="false">IF(A2420="","",IFERROR(1/(1/_xlfn.MINIFS(Apparitions!$L$2:$L$5001,Apparitions!$H$2:$H$5001,A2420)),""))</f>
        <v/>
      </c>
    </row>
    <row r="2421" customFormat="false" ht="15" hidden="false" customHeight="false" outlineLevel="0" collapsed="false">
      <c r="A2421" s="19"/>
      <c r="B2421" s="19"/>
      <c r="C2421" s="19"/>
      <c r="D2421" s="19"/>
      <c r="E2421" s="32"/>
      <c r="F2421" s="19"/>
      <c r="G2421" s="26" t="str">
        <f aca="false">IF(A2421="","",COUNTIF(Pubs!$B$2:$B$3001,A2421))</f>
        <v/>
      </c>
      <c r="H2421" s="26" t="str">
        <f aca="false">IF(A2421="","",COUNTIF(Apparitions!$H$2:$H$5001,A2421))</f>
        <v/>
      </c>
      <c r="I2421" s="26" t="str">
        <f aca="false">IF(A2421="","",COUNTIFS(Apparitions!$H$2:$H$5001,A2421,Apparitions!$E$2:$E$5001,"○"))</f>
        <v/>
      </c>
      <c r="J2421" s="29" t="str">
        <f aca="false">IF(A2421="","",IFERROR(1/(1/_xlfn.MINIFS(Apparitions!$L$2:$L$5001,Apparitions!$H$2:$H$5001,A2421)),""))</f>
        <v/>
      </c>
    </row>
    <row r="2422" customFormat="false" ht="15" hidden="false" customHeight="false" outlineLevel="0" collapsed="false">
      <c r="A2422" s="19"/>
      <c r="B2422" s="19"/>
      <c r="C2422" s="19"/>
      <c r="D2422" s="19"/>
      <c r="E2422" s="32"/>
      <c r="F2422" s="19"/>
      <c r="G2422" s="26" t="str">
        <f aca="false">IF(A2422="","",COUNTIF(Pubs!$B$2:$B$3001,A2422))</f>
        <v/>
      </c>
      <c r="H2422" s="26" t="str">
        <f aca="false">IF(A2422="","",COUNTIF(Apparitions!$H$2:$H$5001,A2422))</f>
        <v/>
      </c>
      <c r="I2422" s="26" t="str">
        <f aca="false">IF(A2422="","",COUNTIFS(Apparitions!$H$2:$H$5001,A2422,Apparitions!$E$2:$E$5001,"○"))</f>
        <v/>
      </c>
      <c r="J2422" s="29" t="str">
        <f aca="false">IF(A2422="","",IFERROR(1/(1/_xlfn.MINIFS(Apparitions!$L$2:$L$5001,Apparitions!$H$2:$H$5001,A2422)),""))</f>
        <v/>
      </c>
    </row>
    <row r="2423" customFormat="false" ht="15" hidden="false" customHeight="false" outlineLevel="0" collapsed="false">
      <c r="A2423" s="19"/>
      <c r="B2423" s="19"/>
      <c r="C2423" s="19"/>
      <c r="D2423" s="19"/>
      <c r="E2423" s="32"/>
      <c r="F2423" s="19"/>
      <c r="G2423" s="26" t="str">
        <f aca="false">IF(A2423="","",COUNTIF(Pubs!$B$2:$B$3001,A2423))</f>
        <v/>
      </c>
      <c r="H2423" s="26" t="str">
        <f aca="false">IF(A2423="","",COUNTIF(Apparitions!$H$2:$H$5001,A2423))</f>
        <v/>
      </c>
      <c r="I2423" s="26" t="str">
        <f aca="false">IF(A2423="","",COUNTIFS(Apparitions!$H$2:$H$5001,A2423,Apparitions!$E$2:$E$5001,"○"))</f>
        <v/>
      </c>
      <c r="J2423" s="29" t="str">
        <f aca="false">IF(A2423="","",IFERROR(1/(1/_xlfn.MINIFS(Apparitions!$L$2:$L$5001,Apparitions!$H$2:$H$5001,A2423)),""))</f>
        <v/>
      </c>
    </row>
    <row r="2424" customFormat="false" ht="15" hidden="false" customHeight="false" outlineLevel="0" collapsed="false">
      <c r="A2424" s="19"/>
      <c r="B2424" s="19"/>
      <c r="C2424" s="19"/>
      <c r="D2424" s="19"/>
      <c r="E2424" s="32"/>
      <c r="F2424" s="19"/>
      <c r="G2424" s="26" t="str">
        <f aca="false">IF(A2424="","",COUNTIF(Pubs!$B$2:$B$3001,A2424))</f>
        <v/>
      </c>
      <c r="H2424" s="26" t="str">
        <f aca="false">IF(A2424="","",COUNTIF(Apparitions!$H$2:$H$5001,A2424))</f>
        <v/>
      </c>
      <c r="I2424" s="26" t="str">
        <f aca="false">IF(A2424="","",COUNTIFS(Apparitions!$H$2:$H$5001,A2424,Apparitions!$E$2:$E$5001,"○"))</f>
        <v/>
      </c>
      <c r="J2424" s="29" t="str">
        <f aca="false">IF(A2424="","",IFERROR(1/(1/_xlfn.MINIFS(Apparitions!$L$2:$L$5001,Apparitions!$H$2:$H$5001,A2424)),""))</f>
        <v/>
      </c>
    </row>
    <row r="2425" customFormat="false" ht="15" hidden="false" customHeight="false" outlineLevel="0" collapsed="false">
      <c r="A2425" s="19"/>
      <c r="B2425" s="19"/>
      <c r="C2425" s="19"/>
      <c r="D2425" s="19"/>
      <c r="E2425" s="32"/>
      <c r="F2425" s="19"/>
      <c r="G2425" s="26" t="str">
        <f aca="false">IF(A2425="","",COUNTIF(Pubs!$B$2:$B$3001,A2425))</f>
        <v/>
      </c>
      <c r="H2425" s="26" t="str">
        <f aca="false">IF(A2425="","",COUNTIF(Apparitions!$H$2:$H$5001,A2425))</f>
        <v/>
      </c>
      <c r="I2425" s="26" t="str">
        <f aca="false">IF(A2425="","",COUNTIFS(Apparitions!$H$2:$H$5001,A2425,Apparitions!$E$2:$E$5001,"○"))</f>
        <v/>
      </c>
      <c r="J2425" s="29" t="str">
        <f aca="false">IF(A2425="","",IFERROR(1/(1/_xlfn.MINIFS(Apparitions!$L$2:$L$5001,Apparitions!$H$2:$H$5001,A2425)),""))</f>
        <v/>
      </c>
    </row>
    <row r="2426" customFormat="false" ht="15" hidden="false" customHeight="false" outlineLevel="0" collapsed="false">
      <c r="A2426" s="19"/>
      <c r="B2426" s="19"/>
      <c r="C2426" s="19"/>
      <c r="D2426" s="19"/>
      <c r="E2426" s="32"/>
      <c r="F2426" s="19"/>
      <c r="G2426" s="26" t="str">
        <f aca="false">IF(A2426="","",COUNTIF(Pubs!$B$2:$B$3001,A2426))</f>
        <v/>
      </c>
      <c r="H2426" s="26" t="str">
        <f aca="false">IF(A2426="","",COUNTIF(Apparitions!$H$2:$H$5001,A2426))</f>
        <v/>
      </c>
      <c r="I2426" s="26" t="str">
        <f aca="false">IF(A2426="","",COUNTIFS(Apparitions!$H$2:$H$5001,A2426,Apparitions!$E$2:$E$5001,"○"))</f>
        <v/>
      </c>
      <c r="J2426" s="29" t="str">
        <f aca="false">IF(A2426="","",IFERROR(1/(1/_xlfn.MINIFS(Apparitions!$L$2:$L$5001,Apparitions!$H$2:$H$5001,A2426)),""))</f>
        <v/>
      </c>
    </row>
    <row r="2427" customFormat="false" ht="15" hidden="false" customHeight="false" outlineLevel="0" collapsed="false">
      <c r="A2427" s="19"/>
      <c r="B2427" s="19"/>
      <c r="C2427" s="19"/>
      <c r="D2427" s="19"/>
      <c r="E2427" s="32"/>
      <c r="F2427" s="19"/>
      <c r="G2427" s="26" t="str">
        <f aca="false">IF(A2427="","",COUNTIF(Pubs!$B$2:$B$3001,A2427))</f>
        <v/>
      </c>
      <c r="H2427" s="26" t="str">
        <f aca="false">IF(A2427="","",COUNTIF(Apparitions!$H$2:$H$5001,A2427))</f>
        <v/>
      </c>
      <c r="I2427" s="26" t="str">
        <f aca="false">IF(A2427="","",COUNTIFS(Apparitions!$H$2:$H$5001,A2427,Apparitions!$E$2:$E$5001,"○"))</f>
        <v/>
      </c>
      <c r="J2427" s="29" t="str">
        <f aca="false">IF(A2427="","",IFERROR(1/(1/_xlfn.MINIFS(Apparitions!$L$2:$L$5001,Apparitions!$H$2:$H$5001,A2427)),""))</f>
        <v/>
      </c>
    </row>
    <row r="2428" customFormat="false" ht="15" hidden="false" customHeight="false" outlineLevel="0" collapsed="false">
      <c r="A2428" s="19"/>
      <c r="B2428" s="19"/>
      <c r="C2428" s="19"/>
      <c r="D2428" s="19"/>
      <c r="E2428" s="32"/>
      <c r="F2428" s="19"/>
      <c r="G2428" s="26" t="str">
        <f aca="false">IF(A2428="","",COUNTIF(Pubs!$B$2:$B$3001,A2428))</f>
        <v/>
      </c>
      <c r="H2428" s="26" t="str">
        <f aca="false">IF(A2428="","",COUNTIF(Apparitions!$H$2:$H$5001,A2428))</f>
        <v/>
      </c>
      <c r="I2428" s="26" t="str">
        <f aca="false">IF(A2428="","",COUNTIFS(Apparitions!$H$2:$H$5001,A2428,Apparitions!$E$2:$E$5001,"○"))</f>
        <v/>
      </c>
      <c r="J2428" s="29" t="str">
        <f aca="false">IF(A2428="","",IFERROR(1/(1/_xlfn.MINIFS(Apparitions!$L$2:$L$5001,Apparitions!$H$2:$H$5001,A2428)),""))</f>
        <v/>
      </c>
    </row>
    <row r="2429" customFormat="false" ht="15" hidden="false" customHeight="false" outlineLevel="0" collapsed="false">
      <c r="A2429" s="19"/>
      <c r="B2429" s="19"/>
      <c r="C2429" s="19"/>
      <c r="D2429" s="19"/>
      <c r="E2429" s="32"/>
      <c r="F2429" s="19"/>
      <c r="G2429" s="26" t="str">
        <f aca="false">IF(A2429="","",COUNTIF(Pubs!$B$2:$B$3001,A2429))</f>
        <v/>
      </c>
      <c r="H2429" s="26" t="str">
        <f aca="false">IF(A2429="","",COUNTIF(Apparitions!$H$2:$H$5001,A2429))</f>
        <v/>
      </c>
      <c r="I2429" s="26" t="str">
        <f aca="false">IF(A2429="","",COUNTIFS(Apparitions!$H$2:$H$5001,A2429,Apparitions!$E$2:$E$5001,"○"))</f>
        <v/>
      </c>
      <c r="J2429" s="29" t="str">
        <f aca="false">IF(A2429="","",IFERROR(1/(1/_xlfn.MINIFS(Apparitions!$L$2:$L$5001,Apparitions!$H$2:$H$5001,A2429)),""))</f>
        <v/>
      </c>
    </row>
    <row r="2430" customFormat="false" ht="15" hidden="false" customHeight="false" outlineLevel="0" collapsed="false">
      <c r="A2430" s="19"/>
      <c r="B2430" s="19"/>
      <c r="C2430" s="19"/>
      <c r="D2430" s="19"/>
      <c r="E2430" s="32"/>
      <c r="F2430" s="19"/>
      <c r="G2430" s="26" t="str">
        <f aca="false">IF(A2430="","",COUNTIF(Pubs!$B$2:$B$3001,A2430))</f>
        <v/>
      </c>
      <c r="H2430" s="26" t="str">
        <f aca="false">IF(A2430="","",COUNTIF(Apparitions!$H$2:$H$5001,A2430))</f>
        <v/>
      </c>
      <c r="I2430" s="26" t="str">
        <f aca="false">IF(A2430="","",COUNTIFS(Apparitions!$H$2:$H$5001,A2430,Apparitions!$E$2:$E$5001,"○"))</f>
        <v/>
      </c>
      <c r="J2430" s="29" t="str">
        <f aca="false">IF(A2430="","",IFERROR(1/(1/_xlfn.MINIFS(Apparitions!$L$2:$L$5001,Apparitions!$H$2:$H$5001,A2430)),""))</f>
        <v/>
      </c>
    </row>
    <row r="2431" customFormat="false" ht="15" hidden="false" customHeight="false" outlineLevel="0" collapsed="false">
      <c r="A2431" s="19"/>
      <c r="B2431" s="19"/>
      <c r="C2431" s="19"/>
      <c r="D2431" s="19"/>
      <c r="E2431" s="32"/>
      <c r="F2431" s="19"/>
      <c r="G2431" s="26" t="str">
        <f aca="false">IF(A2431="","",COUNTIF(Pubs!$B$2:$B$3001,A2431))</f>
        <v/>
      </c>
      <c r="H2431" s="26" t="str">
        <f aca="false">IF(A2431="","",COUNTIF(Apparitions!$H$2:$H$5001,A2431))</f>
        <v/>
      </c>
      <c r="I2431" s="26" t="str">
        <f aca="false">IF(A2431="","",COUNTIFS(Apparitions!$H$2:$H$5001,A2431,Apparitions!$E$2:$E$5001,"○"))</f>
        <v/>
      </c>
      <c r="J2431" s="29" t="str">
        <f aca="false">IF(A2431="","",IFERROR(1/(1/_xlfn.MINIFS(Apparitions!$L$2:$L$5001,Apparitions!$H$2:$H$5001,A2431)),""))</f>
        <v/>
      </c>
    </row>
    <row r="2432" customFormat="false" ht="15" hidden="false" customHeight="false" outlineLevel="0" collapsed="false">
      <c r="A2432" s="19"/>
      <c r="B2432" s="19"/>
      <c r="C2432" s="19"/>
      <c r="D2432" s="19"/>
      <c r="E2432" s="32"/>
      <c r="F2432" s="19"/>
      <c r="G2432" s="26" t="str">
        <f aca="false">IF(A2432="","",COUNTIF(Pubs!$B$2:$B$3001,A2432))</f>
        <v/>
      </c>
      <c r="H2432" s="26" t="str">
        <f aca="false">IF(A2432="","",COUNTIF(Apparitions!$H$2:$H$5001,A2432))</f>
        <v/>
      </c>
      <c r="I2432" s="26" t="str">
        <f aca="false">IF(A2432="","",COUNTIFS(Apparitions!$H$2:$H$5001,A2432,Apparitions!$E$2:$E$5001,"○"))</f>
        <v/>
      </c>
      <c r="J2432" s="29" t="str">
        <f aca="false">IF(A2432="","",IFERROR(1/(1/_xlfn.MINIFS(Apparitions!$L$2:$L$5001,Apparitions!$H$2:$H$5001,A2432)),""))</f>
        <v/>
      </c>
    </row>
    <row r="2433" customFormat="false" ht="15" hidden="false" customHeight="false" outlineLevel="0" collapsed="false">
      <c r="A2433" s="19"/>
      <c r="B2433" s="19"/>
      <c r="C2433" s="19"/>
      <c r="D2433" s="19"/>
      <c r="E2433" s="32"/>
      <c r="F2433" s="19"/>
      <c r="G2433" s="26" t="str">
        <f aca="false">IF(A2433="","",COUNTIF(Pubs!$B$2:$B$3001,A2433))</f>
        <v/>
      </c>
      <c r="H2433" s="26" t="str">
        <f aca="false">IF(A2433="","",COUNTIF(Apparitions!$H$2:$H$5001,A2433))</f>
        <v/>
      </c>
      <c r="I2433" s="26" t="str">
        <f aca="false">IF(A2433="","",COUNTIFS(Apparitions!$H$2:$H$5001,A2433,Apparitions!$E$2:$E$5001,"○"))</f>
        <v/>
      </c>
      <c r="J2433" s="29" t="str">
        <f aca="false">IF(A2433="","",IFERROR(1/(1/_xlfn.MINIFS(Apparitions!$L$2:$L$5001,Apparitions!$H$2:$H$5001,A2433)),""))</f>
        <v/>
      </c>
    </row>
    <row r="2434" customFormat="false" ht="15" hidden="false" customHeight="false" outlineLevel="0" collapsed="false">
      <c r="A2434" s="19"/>
      <c r="B2434" s="19"/>
      <c r="C2434" s="19"/>
      <c r="D2434" s="19"/>
      <c r="E2434" s="32"/>
      <c r="F2434" s="19"/>
      <c r="G2434" s="26" t="str">
        <f aca="false">IF(A2434="","",COUNTIF(Pubs!$B$2:$B$3001,A2434))</f>
        <v/>
      </c>
      <c r="H2434" s="26" t="str">
        <f aca="false">IF(A2434="","",COUNTIF(Apparitions!$H$2:$H$5001,A2434))</f>
        <v/>
      </c>
      <c r="I2434" s="26" t="str">
        <f aca="false">IF(A2434="","",COUNTIFS(Apparitions!$H$2:$H$5001,A2434,Apparitions!$E$2:$E$5001,"○"))</f>
        <v/>
      </c>
      <c r="J2434" s="29" t="str">
        <f aca="false">IF(A2434="","",IFERROR(1/(1/_xlfn.MINIFS(Apparitions!$L$2:$L$5001,Apparitions!$H$2:$H$5001,A2434)),""))</f>
        <v/>
      </c>
    </row>
    <row r="2435" customFormat="false" ht="15" hidden="false" customHeight="false" outlineLevel="0" collapsed="false">
      <c r="A2435" s="19"/>
      <c r="B2435" s="19"/>
      <c r="C2435" s="19"/>
      <c r="D2435" s="19"/>
      <c r="E2435" s="32"/>
      <c r="F2435" s="19"/>
      <c r="G2435" s="26" t="str">
        <f aca="false">IF(A2435="","",COUNTIF(Pubs!$B$2:$B$3001,A2435))</f>
        <v/>
      </c>
      <c r="H2435" s="26" t="str">
        <f aca="false">IF(A2435="","",COUNTIF(Apparitions!$H$2:$H$5001,A2435))</f>
        <v/>
      </c>
      <c r="I2435" s="26" t="str">
        <f aca="false">IF(A2435="","",COUNTIFS(Apparitions!$H$2:$H$5001,A2435,Apparitions!$E$2:$E$5001,"○"))</f>
        <v/>
      </c>
      <c r="J2435" s="29" t="str">
        <f aca="false">IF(A2435="","",IFERROR(1/(1/_xlfn.MINIFS(Apparitions!$L$2:$L$5001,Apparitions!$H$2:$H$5001,A2435)),""))</f>
        <v/>
      </c>
    </row>
    <row r="2436" customFormat="false" ht="15" hidden="false" customHeight="false" outlineLevel="0" collapsed="false">
      <c r="A2436" s="19"/>
      <c r="B2436" s="19"/>
      <c r="C2436" s="19"/>
      <c r="D2436" s="19"/>
      <c r="E2436" s="32"/>
      <c r="F2436" s="19"/>
      <c r="G2436" s="26" t="str">
        <f aca="false">IF(A2436="","",COUNTIF(Pubs!$B$2:$B$3001,A2436))</f>
        <v/>
      </c>
      <c r="H2436" s="26" t="str">
        <f aca="false">IF(A2436="","",COUNTIF(Apparitions!$H$2:$H$5001,A2436))</f>
        <v/>
      </c>
      <c r="I2436" s="26" t="str">
        <f aca="false">IF(A2436="","",COUNTIFS(Apparitions!$H$2:$H$5001,A2436,Apparitions!$E$2:$E$5001,"○"))</f>
        <v/>
      </c>
      <c r="J2436" s="29" t="str">
        <f aca="false">IF(A2436="","",IFERROR(1/(1/_xlfn.MINIFS(Apparitions!$L$2:$L$5001,Apparitions!$H$2:$H$5001,A2436)),""))</f>
        <v/>
      </c>
    </row>
    <row r="2437" customFormat="false" ht="15" hidden="false" customHeight="false" outlineLevel="0" collapsed="false">
      <c r="A2437" s="19"/>
      <c r="B2437" s="19"/>
      <c r="C2437" s="19"/>
      <c r="D2437" s="19"/>
      <c r="E2437" s="32"/>
      <c r="F2437" s="19"/>
      <c r="G2437" s="26" t="str">
        <f aca="false">IF(A2437="","",COUNTIF(Pubs!$B$2:$B$3001,A2437))</f>
        <v/>
      </c>
      <c r="H2437" s="26" t="str">
        <f aca="false">IF(A2437="","",COUNTIF(Apparitions!$H$2:$H$5001,A2437))</f>
        <v/>
      </c>
      <c r="I2437" s="26" t="str">
        <f aca="false">IF(A2437="","",COUNTIFS(Apparitions!$H$2:$H$5001,A2437,Apparitions!$E$2:$E$5001,"○"))</f>
        <v/>
      </c>
      <c r="J2437" s="29" t="str">
        <f aca="false">IF(A2437="","",IFERROR(1/(1/_xlfn.MINIFS(Apparitions!$L$2:$L$5001,Apparitions!$H$2:$H$5001,A2437)),""))</f>
        <v/>
      </c>
    </row>
    <row r="2438" customFormat="false" ht="15" hidden="false" customHeight="false" outlineLevel="0" collapsed="false">
      <c r="A2438" s="19"/>
      <c r="B2438" s="19"/>
      <c r="C2438" s="19"/>
      <c r="D2438" s="19"/>
      <c r="E2438" s="32"/>
      <c r="F2438" s="19"/>
      <c r="G2438" s="26" t="str">
        <f aca="false">IF(A2438="","",COUNTIF(Pubs!$B$2:$B$3001,A2438))</f>
        <v/>
      </c>
      <c r="H2438" s="26" t="str">
        <f aca="false">IF(A2438="","",COUNTIF(Apparitions!$H$2:$H$5001,A2438))</f>
        <v/>
      </c>
      <c r="I2438" s="26" t="str">
        <f aca="false">IF(A2438="","",COUNTIFS(Apparitions!$H$2:$H$5001,A2438,Apparitions!$E$2:$E$5001,"○"))</f>
        <v/>
      </c>
      <c r="J2438" s="29" t="str">
        <f aca="false">IF(A2438="","",IFERROR(1/(1/_xlfn.MINIFS(Apparitions!$L$2:$L$5001,Apparitions!$H$2:$H$5001,A2438)),""))</f>
        <v/>
      </c>
    </row>
    <row r="2439" customFormat="false" ht="15" hidden="false" customHeight="false" outlineLevel="0" collapsed="false">
      <c r="A2439" s="19"/>
      <c r="B2439" s="19"/>
      <c r="C2439" s="19"/>
      <c r="D2439" s="19"/>
      <c r="E2439" s="32"/>
      <c r="F2439" s="19"/>
      <c r="G2439" s="26" t="str">
        <f aca="false">IF(A2439="","",COUNTIF(Pubs!$B$2:$B$3001,A2439))</f>
        <v/>
      </c>
      <c r="H2439" s="26" t="str">
        <f aca="false">IF(A2439="","",COUNTIF(Apparitions!$H$2:$H$5001,A2439))</f>
        <v/>
      </c>
      <c r="I2439" s="26" t="str">
        <f aca="false">IF(A2439="","",COUNTIFS(Apparitions!$H$2:$H$5001,A2439,Apparitions!$E$2:$E$5001,"○"))</f>
        <v/>
      </c>
      <c r="J2439" s="29" t="str">
        <f aca="false">IF(A2439="","",IFERROR(1/(1/_xlfn.MINIFS(Apparitions!$L$2:$L$5001,Apparitions!$H$2:$H$5001,A2439)),""))</f>
        <v/>
      </c>
    </row>
    <row r="2440" customFormat="false" ht="15" hidden="false" customHeight="false" outlineLevel="0" collapsed="false">
      <c r="A2440" s="19"/>
      <c r="B2440" s="19"/>
      <c r="C2440" s="19"/>
      <c r="D2440" s="19"/>
      <c r="E2440" s="32"/>
      <c r="F2440" s="19"/>
      <c r="G2440" s="26" t="str">
        <f aca="false">IF(A2440="","",COUNTIF(Pubs!$B$2:$B$3001,A2440))</f>
        <v/>
      </c>
      <c r="H2440" s="26" t="str">
        <f aca="false">IF(A2440="","",COUNTIF(Apparitions!$H$2:$H$5001,A2440))</f>
        <v/>
      </c>
      <c r="I2440" s="26" t="str">
        <f aca="false">IF(A2440="","",COUNTIFS(Apparitions!$H$2:$H$5001,A2440,Apparitions!$E$2:$E$5001,"○"))</f>
        <v/>
      </c>
      <c r="J2440" s="29" t="str">
        <f aca="false">IF(A2440="","",IFERROR(1/(1/_xlfn.MINIFS(Apparitions!$L$2:$L$5001,Apparitions!$H$2:$H$5001,A2440)),""))</f>
        <v/>
      </c>
    </row>
    <row r="2441" customFormat="false" ht="15" hidden="false" customHeight="false" outlineLevel="0" collapsed="false">
      <c r="A2441" s="19"/>
      <c r="B2441" s="19"/>
      <c r="C2441" s="19"/>
      <c r="D2441" s="19"/>
      <c r="E2441" s="32"/>
      <c r="F2441" s="19"/>
      <c r="G2441" s="26" t="str">
        <f aca="false">IF(A2441="","",COUNTIF(Pubs!$B$2:$B$3001,A2441))</f>
        <v/>
      </c>
      <c r="H2441" s="26" t="str">
        <f aca="false">IF(A2441="","",COUNTIF(Apparitions!$H$2:$H$5001,A2441))</f>
        <v/>
      </c>
      <c r="I2441" s="26" t="str">
        <f aca="false">IF(A2441="","",COUNTIFS(Apparitions!$H$2:$H$5001,A2441,Apparitions!$E$2:$E$5001,"○"))</f>
        <v/>
      </c>
      <c r="J2441" s="29" t="str">
        <f aca="false">IF(A2441="","",IFERROR(1/(1/_xlfn.MINIFS(Apparitions!$L$2:$L$5001,Apparitions!$H$2:$H$5001,A2441)),""))</f>
        <v/>
      </c>
    </row>
    <row r="2442" customFormat="false" ht="15" hidden="false" customHeight="false" outlineLevel="0" collapsed="false">
      <c r="A2442" s="19"/>
      <c r="B2442" s="19"/>
      <c r="C2442" s="19"/>
      <c r="D2442" s="19"/>
      <c r="E2442" s="32"/>
      <c r="F2442" s="19"/>
      <c r="G2442" s="26" t="str">
        <f aca="false">IF(A2442="","",COUNTIF(Pubs!$B$2:$B$3001,A2442))</f>
        <v/>
      </c>
      <c r="H2442" s="26" t="str">
        <f aca="false">IF(A2442="","",COUNTIF(Apparitions!$H$2:$H$5001,A2442))</f>
        <v/>
      </c>
      <c r="I2442" s="26" t="str">
        <f aca="false">IF(A2442="","",COUNTIFS(Apparitions!$H$2:$H$5001,A2442,Apparitions!$E$2:$E$5001,"○"))</f>
        <v/>
      </c>
      <c r="J2442" s="29" t="str">
        <f aca="false">IF(A2442="","",IFERROR(1/(1/_xlfn.MINIFS(Apparitions!$L$2:$L$5001,Apparitions!$H$2:$H$5001,A2442)),""))</f>
        <v/>
      </c>
    </row>
    <row r="2443" customFormat="false" ht="15" hidden="false" customHeight="false" outlineLevel="0" collapsed="false">
      <c r="A2443" s="19"/>
      <c r="B2443" s="19"/>
      <c r="C2443" s="19"/>
      <c r="D2443" s="19"/>
      <c r="E2443" s="32"/>
      <c r="F2443" s="19"/>
      <c r="G2443" s="26" t="str">
        <f aca="false">IF(A2443="","",COUNTIF(Pubs!$B$2:$B$3001,A2443))</f>
        <v/>
      </c>
      <c r="H2443" s="26" t="str">
        <f aca="false">IF(A2443="","",COUNTIF(Apparitions!$H$2:$H$5001,A2443))</f>
        <v/>
      </c>
      <c r="I2443" s="26" t="str">
        <f aca="false">IF(A2443="","",COUNTIFS(Apparitions!$H$2:$H$5001,A2443,Apparitions!$E$2:$E$5001,"○"))</f>
        <v/>
      </c>
      <c r="J2443" s="29" t="str">
        <f aca="false">IF(A2443="","",IFERROR(1/(1/_xlfn.MINIFS(Apparitions!$L$2:$L$5001,Apparitions!$H$2:$H$5001,A2443)),""))</f>
        <v/>
      </c>
    </row>
    <row r="2444" customFormat="false" ht="15" hidden="false" customHeight="false" outlineLevel="0" collapsed="false">
      <c r="A2444" s="19"/>
      <c r="B2444" s="19"/>
      <c r="C2444" s="19"/>
      <c r="D2444" s="19"/>
      <c r="E2444" s="32"/>
      <c r="F2444" s="19"/>
      <c r="G2444" s="26" t="str">
        <f aca="false">IF(A2444="","",COUNTIF(Pubs!$B$2:$B$3001,A2444))</f>
        <v/>
      </c>
      <c r="H2444" s="26" t="str">
        <f aca="false">IF(A2444="","",COUNTIF(Apparitions!$H$2:$H$5001,A2444))</f>
        <v/>
      </c>
      <c r="I2444" s="26" t="str">
        <f aca="false">IF(A2444="","",COUNTIFS(Apparitions!$H$2:$H$5001,A2444,Apparitions!$E$2:$E$5001,"○"))</f>
        <v/>
      </c>
      <c r="J2444" s="29" t="str">
        <f aca="false">IF(A2444="","",IFERROR(1/(1/_xlfn.MINIFS(Apparitions!$L$2:$L$5001,Apparitions!$H$2:$H$5001,A2444)),""))</f>
        <v/>
      </c>
    </row>
    <row r="2445" customFormat="false" ht="15" hidden="false" customHeight="false" outlineLevel="0" collapsed="false">
      <c r="A2445" s="19"/>
      <c r="B2445" s="19"/>
      <c r="C2445" s="19"/>
      <c r="D2445" s="19"/>
      <c r="E2445" s="32"/>
      <c r="F2445" s="19"/>
      <c r="G2445" s="26" t="str">
        <f aca="false">IF(A2445="","",COUNTIF(Pubs!$B$2:$B$3001,A2445))</f>
        <v/>
      </c>
      <c r="H2445" s="26" t="str">
        <f aca="false">IF(A2445="","",COUNTIF(Apparitions!$H$2:$H$5001,A2445))</f>
        <v/>
      </c>
      <c r="I2445" s="26" t="str">
        <f aca="false">IF(A2445="","",COUNTIFS(Apparitions!$H$2:$H$5001,A2445,Apparitions!$E$2:$E$5001,"○"))</f>
        <v/>
      </c>
      <c r="J2445" s="29" t="str">
        <f aca="false">IF(A2445="","",IFERROR(1/(1/_xlfn.MINIFS(Apparitions!$L$2:$L$5001,Apparitions!$H$2:$H$5001,A2445)),""))</f>
        <v/>
      </c>
    </row>
    <row r="2446" customFormat="false" ht="15" hidden="false" customHeight="false" outlineLevel="0" collapsed="false">
      <c r="A2446" s="19"/>
      <c r="B2446" s="19"/>
      <c r="C2446" s="19"/>
      <c r="D2446" s="19"/>
      <c r="E2446" s="32"/>
      <c r="F2446" s="19"/>
      <c r="G2446" s="26" t="str">
        <f aca="false">IF(A2446="","",COUNTIF(Pubs!$B$2:$B$3001,A2446))</f>
        <v/>
      </c>
      <c r="H2446" s="26" t="str">
        <f aca="false">IF(A2446="","",COUNTIF(Apparitions!$H$2:$H$5001,A2446))</f>
        <v/>
      </c>
      <c r="I2446" s="26" t="str">
        <f aca="false">IF(A2446="","",COUNTIFS(Apparitions!$H$2:$H$5001,A2446,Apparitions!$E$2:$E$5001,"○"))</f>
        <v/>
      </c>
      <c r="J2446" s="29" t="str">
        <f aca="false">IF(A2446="","",IFERROR(1/(1/_xlfn.MINIFS(Apparitions!$L$2:$L$5001,Apparitions!$H$2:$H$5001,A2446)),""))</f>
        <v/>
      </c>
    </row>
    <row r="2447" customFormat="false" ht="15" hidden="false" customHeight="false" outlineLevel="0" collapsed="false">
      <c r="A2447" s="19"/>
      <c r="B2447" s="19"/>
      <c r="C2447" s="19"/>
      <c r="D2447" s="19"/>
      <c r="E2447" s="32"/>
      <c r="F2447" s="19"/>
      <c r="G2447" s="26" t="str">
        <f aca="false">IF(A2447="","",COUNTIF(Pubs!$B$2:$B$3001,A2447))</f>
        <v/>
      </c>
      <c r="H2447" s="26" t="str">
        <f aca="false">IF(A2447="","",COUNTIF(Apparitions!$H$2:$H$5001,A2447))</f>
        <v/>
      </c>
      <c r="I2447" s="26" t="str">
        <f aca="false">IF(A2447="","",COUNTIFS(Apparitions!$H$2:$H$5001,A2447,Apparitions!$E$2:$E$5001,"○"))</f>
        <v/>
      </c>
      <c r="J2447" s="29" t="str">
        <f aca="false">IF(A2447="","",IFERROR(1/(1/_xlfn.MINIFS(Apparitions!$L$2:$L$5001,Apparitions!$H$2:$H$5001,A2447)),""))</f>
        <v/>
      </c>
    </row>
    <row r="2448" customFormat="false" ht="15" hidden="false" customHeight="false" outlineLevel="0" collapsed="false">
      <c r="A2448" s="19"/>
      <c r="B2448" s="19"/>
      <c r="C2448" s="19"/>
      <c r="D2448" s="19"/>
      <c r="E2448" s="32"/>
      <c r="F2448" s="19"/>
      <c r="G2448" s="26" t="str">
        <f aca="false">IF(A2448="","",COUNTIF(Pubs!$B$2:$B$3001,A2448))</f>
        <v/>
      </c>
      <c r="H2448" s="26" t="str">
        <f aca="false">IF(A2448="","",COUNTIF(Apparitions!$H$2:$H$5001,A2448))</f>
        <v/>
      </c>
      <c r="I2448" s="26" t="str">
        <f aca="false">IF(A2448="","",COUNTIFS(Apparitions!$H$2:$H$5001,A2448,Apparitions!$E$2:$E$5001,"○"))</f>
        <v/>
      </c>
      <c r="J2448" s="29" t="str">
        <f aca="false">IF(A2448="","",IFERROR(1/(1/_xlfn.MINIFS(Apparitions!$L$2:$L$5001,Apparitions!$H$2:$H$5001,A2448)),""))</f>
        <v/>
      </c>
    </row>
    <row r="2449" customFormat="false" ht="15" hidden="false" customHeight="false" outlineLevel="0" collapsed="false">
      <c r="A2449" s="19"/>
      <c r="B2449" s="19"/>
      <c r="C2449" s="19"/>
      <c r="D2449" s="19"/>
      <c r="E2449" s="32"/>
      <c r="F2449" s="19"/>
      <c r="G2449" s="26" t="str">
        <f aca="false">IF(A2449="","",COUNTIF(Pubs!$B$2:$B$3001,A2449))</f>
        <v/>
      </c>
      <c r="H2449" s="26" t="str">
        <f aca="false">IF(A2449="","",COUNTIF(Apparitions!$H$2:$H$5001,A2449))</f>
        <v/>
      </c>
      <c r="I2449" s="26" t="str">
        <f aca="false">IF(A2449="","",COUNTIFS(Apparitions!$H$2:$H$5001,A2449,Apparitions!$E$2:$E$5001,"○"))</f>
        <v/>
      </c>
      <c r="J2449" s="29" t="str">
        <f aca="false">IF(A2449="","",IFERROR(1/(1/_xlfn.MINIFS(Apparitions!$L$2:$L$5001,Apparitions!$H$2:$H$5001,A2449)),""))</f>
        <v/>
      </c>
    </row>
    <row r="2450" customFormat="false" ht="15" hidden="false" customHeight="false" outlineLevel="0" collapsed="false">
      <c r="A2450" s="19"/>
      <c r="B2450" s="19"/>
      <c r="C2450" s="19"/>
      <c r="D2450" s="19"/>
      <c r="E2450" s="32"/>
      <c r="F2450" s="19"/>
      <c r="G2450" s="26" t="str">
        <f aca="false">IF(A2450="","",COUNTIF(Pubs!$B$2:$B$3001,A2450))</f>
        <v/>
      </c>
      <c r="H2450" s="26" t="str">
        <f aca="false">IF(A2450="","",COUNTIF(Apparitions!$H$2:$H$5001,A2450))</f>
        <v/>
      </c>
      <c r="I2450" s="26" t="str">
        <f aca="false">IF(A2450="","",COUNTIFS(Apparitions!$H$2:$H$5001,A2450,Apparitions!$E$2:$E$5001,"○"))</f>
        <v/>
      </c>
      <c r="J2450" s="29" t="str">
        <f aca="false">IF(A2450="","",IFERROR(1/(1/_xlfn.MINIFS(Apparitions!$L$2:$L$5001,Apparitions!$H$2:$H$5001,A2450)),""))</f>
        <v/>
      </c>
    </row>
    <row r="2451" customFormat="false" ht="15" hidden="false" customHeight="false" outlineLevel="0" collapsed="false">
      <c r="A2451" s="19"/>
      <c r="B2451" s="19"/>
      <c r="C2451" s="19"/>
      <c r="D2451" s="19"/>
      <c r="E2451" s="32"/>
      <c r="F2451" s="19"/>
      <c r="G2451" s="26" t="str">
        <f aca="false">IF(A2451="","",COUNTIF(Pubs!$B$2:$B$3001,A2451))</f>
        <v/>
      </c>
      <c r="H2451" s="26" t="str">
        <f aca="false">IF(A2451="","",COUNTIF(Apparitions!$H$2:$H$5001,A2451))</f>
        <v/>
      </c>
      <c r="I2451" s="26" t="str">
        <f aca="false">IF(A2451="","",COUNTIFS(Apparitions!$H$2:$H$5001,A2451,Apparitions!$E$2:$E$5001,"○"))</f>
        <v/>
      </c>
      <c r="J2451" s="29" t="str">
        <f aca="false">IF(A2451="","",IFERROR(1/(1/_xlfn.MINIFS(Apparitions!$L$2:$L$5001,Apparitions!$H$2:$H$5001,A2451)),""))</f>
        <v/>
      </c>
    </row>
    <row r="2452" customFormat="false" ht="15" hidden="false" customHeight="false" outlineLevel="0" collapsed="false">
      <c r="A2452" s="19"/>
      <c r="B2452" s="19"/>
      <c r="C2452" s="19"/>
      <c r="D2452" s="19"/>
      <c r="E2452" s="32"/>
      <c r="F2452" s="19"/>
      <c r="G2452" s="26" t="str">
        <f aca="false">IF(A2452="","",COUNTIF(Pubs!$B$2:$B$3001,A2452))</f>
        <v/>
      </c>
      <c r="H2452" s="26" t="str">
        <f aca="false">IF(A2452="","",COUNTIF(Apparitions!$H$2:$H$5001,A2452))</f>
        <v/>
      </c>
      <c r="I2452" s="26" t="str">
        <f aca="false">IF(A2452="","",COUNTIFS(Apparitions!$H$2:$H$5001,A2452,Apparitions!$E$2:$E$5001,"○"))</f>
        <v/>
      </c>
      <c r="J2452" s="29" t="str">
        <f aca="false">IF(A2452="","",IFERROR(1/(1/_xlfn.MINIFS(Apparitions!$L$2:$L$5001,Apparitions!$H$2:$H$5001,A2452)),""))</f>
        <v/>
      </c>
    </row>
    <row r="2453" customFormat="false" ht="15" hidden="false" customHeight="false" outlineLevel="0" collapsed="false">
      <c r="A2453" s="19"/>
      <c r="B2453" s="19"/>
      <c r="C2453" s="19"/>
      <c r="D2453" s="19"/>
      <c r="E2453" s="32"/>
      <c r="F2453" s="19"/>
      <c r="G2453" s="26" t="str">
        <f aca="false">IF(A2453="","",COUNTIF(Pubs!$B$2:$B$3001,A2453))</f>
        <v/>
      </c>
      <c r="H2453" s="26" t="str">
        <f aca="false">IF(A2453="","",COUNTIF(Apparitions!$H$2:$H$5001,A2453))</f>
        <v/>
      </c>
      <c r="I2453" s="26" t="str">
        <f aca="false">IF(A2453="","",COUNTIFS(Apparitions!$H$2:$H$5001,A2453,Apparitions!$E$2:$E$5001,"○"))</f>
        <v/>
      </c>
      <c r="J2453" s="29" t="str">
        <f aca="false">IF(A2453="","",IFERROR(1/(1/_xlfn.MINIFS(Apparitions!$L$2:$L$5001,Apparitions!$H$2:$H$5001,A2453)),""))</f>
        <v/>
      </c>
    </row>
    <row r="2454" customFormat="false" ht="15" hidden="false" customHeight="false" outlineLevel="0" collapsed="false">
      <c r="A2454" s="19"/>
      <c r="B2454" s="19"/>
      <c r="C2454" s="19"/>
      <c r="D2454" s="19"/>
      <c r="E2454" s="32"/>
      <c r="F2454" s="19"/>
      <c r="G2454" s="26" t="str">
        <f aca="false">IF(A2454="","",COUNTIF(Pubs!$B$2:$B$3001,A2454))</f>
        <v/>
      </c>
      <c r="H2454" s="26" t="str">
        <f aca="false">IF(A2454="","",COUNTIF(Apparitions!$H$2:$H$5001,A2454))</f>
        <v/>
      </c>
      <c r="I2454" s="26" t="str">
        <f aca="false">IF(A2454="","",COUNTIFS(Apparitions!$H$2:$H$5001,A2454,Apparitions!$E$2:$E$5001,"○"))</f>
        <v/>
      </c>
      <c r="J2454" s="29" t="str">
        <f aca="false">IF(A2454="","",IFERROR(1/(1/_xlfn.MINIFS(Apparitions!$L$2:$L$5001,Apparitions!$H$2:$H$5001,A2454)),""))</f>
        <v/>
      </c>
    </row>
    <row r="2455" customFormat="false" ht="15" hidden="false" customHeight="false" outlineLevel="0" collapsed="false">
      <c r="A2455" s="19"/>
      <c r="B2455" s="19"/>
      <c r="C2455" s="19"/>
      <c r="D2455" s="19"/>
      <c r="E2455" s="32"/>
      <c r="F2455" s="19"/>
      <c r="G2455" s="26" t="str">
        <f aca="false">IF(A2455="","",COUNTIF(Pubs!$B$2:$B$3001,A2455))</f>
        <v/>
      </c>
      <c r="H2455" s="26" t="str">
        <f aca="false">IF(A2455="","",COUNTIF(Apparitions!$H$2:$H$5001,A2455))</f>
        <v/>
      </c>
      <c r="I2455" s="26" t="str">
        <f aca="false">IF(A2455="","",COUNTIFS(Apparitions!$H$2:$H$5001,A2455,Apparitions!$E$2:$E$5001,"○"))</f>
        <v/>
      </c>
      <c r="J2455" s="29" t="str">
        <f aca="false">IF(A2455="","",IFERROR(1/(1/_xlfn.MINIFS(Apparitions!$L$2:$L$5001,Apparitions!$H$2:$H$5001,A2455)),""))</f>
        <v/>
      </c>
    </row>
    <row r="2456" customFormat="false" ht="15" hidden="false" customHeight="false" outlineLevel="0" collapsed="false">
      <c r="A2456" s="19"/>
      <c r="B2456" s="19"/>
      <c r="C2456" s="19"/>
      <c r="D2456" s="19"/>
      <c r="E2456" s="32"/>
      <c r="F2456" s="19"/>
      <c r="G2456" s="26" t="str">
        <f aca="false">IF(A2456="","",COUNTIF(Pubs!$B$2:$B$3001,A2456))</f>
        <v/>
      </c>
      <c r="H2456" s="26" t="str">
        <f aca="false">IF(A2456="","",COUNTIF(Apparitions!$H$2:$H$5001,A2456))</f>
        <v/>
      </c>
      <c r="I2456" s="26" t="str">
        <f aca="false">IF(A2456="","",COUNTIFS(Apparitions!$H$2:$H$5001,A2456,Apparitions!$E$2:$E$5001,"○"))</f>
        <v/>
      </c>
      <c r="J2456" s="29" t="str">
        <f aca="false">IF(A2456="","",IFERROR(1/(1/_xlfn.MINIFS(Apparitions!$L$2:$L$5001,Apparitions!$H$2:$H$5001,A2456)),""))</f>
        <v/>
      </c>
    </row>
    <row r="2457" customFormat="false" ht="15" hidden="false" customHeight="false" outlineLevel="0" collapsed="false">
      <c r="A2457" s="19"/>
      <c r="B2457" s="19"/>
      <c r="C2457" s="19"/>
      <c r="D2457" s="19"/>
      <c r="E2457" s="32"/>
      <c r="F2457" s="19"/>
      <c r="G2457" s="26" t="str">
        <f aca="false">IF(A2457="","",COUNTIF(Pubs!$B$2:$B$3001,A2457))</f>
        <v/>
      </c>
      <c r="H2457" s="26" t="str">
        <f aca="false">IF(A2457="","",COUNTIF(Apparitions!$H$2:$H$5001,A2457))</f>
        <v/>
      </c>
      <c r="I2457" s="26" t="str">
        <f aca="false">IF(A2457="","",COUNTIFS(Apparitions!$H$2:$H$5001,A2457,Apparitions!$E$2:$E$5001,"○"))</f>
        <v/>
      </c>
      <c r="J2457" s="29" t="str">
        <f aca="false">IF(A2457="","",IFERROR(1/(1/_xlfn.MINIFS(Apparitions!$L$2:$L$5001,Apparitions!$H$2:$H$5001,A2457)),""))</f>
        <v/>
      </c>
    </row>
    <row r="2458" customFormat="false" ht="15" hidden="false" customHeight="false" outlineLevel="0" collapsed="false">
      <c r="A2458" s="19"/>
      <c r="B2458" s="19"/>
      <c r="C2458" s="19"/>
      <c r="D2458" s="19"/>
      <c r="E2458" s="32"/>
      <c r="F2458" s="19"/>
      <c r="G2458" s="26" t="str">
        <f aca="false">IF(A2458="","",COUNTIF(Pubs!$B$2:$B$3001,A2458))</f>
        <v/>
      </c>
      <c r="H2458" s="26" t="str">
        <f aca="false">IF(A2458="","",COUNTIF(Apparitions!$H$2:$H$5001,A2458))</f>
        <v/>
      </c>
      <c r="I2458" s="26" t="str">
        <f aca="false">IF(A2458="","",COUNTIFS(Apparitions!$H$2:$H$5001,A2458,Apparitions!$E$2:$E$5001,"○"))</f>
        <v/>
      </c>
      <c r="J2458" s="29" t="str">
        <f aca="false">IF(A2458="","",IFERROR(1/(1/_xlfn.MINIFS(Apparitions!$L$2:$L$5001,Apparitions!$H$2:$H$5001,A2458)),""))</f>
        <v/>
      </c>
    </row>
    <row r="2459" customFormat="false" ht="15" hidden="false" customHeight="false" outlineLevel="0" collapsed="false">
      <c r="A2459" s="19"/>
      <c r="B2459" s="19"/>
      <c r="C2459" s="19"/>
      <c r="D2459" s="19"/>
      <c r="E2459" s="32"/>
      <c r="F2459" s="19"/>
      <c r="G2459" s="26" t="str">
        <f aca="false">IF(A2459="","",COUNTIF(Pubs!$B$2:$B$3001,A2459))</f>
        <v/>
      </c>
      <c r="H2459" s="26" t="str">
        <f aca="false">IF(A2459="","",COUNTIF(Apparitions!$H$2:$H$5001,A2459))</f>
        <v/>
      </c>
      <c r="I2459" s="26" t="str">
        <f aca="false">IF(A2459="","",COUNTIFS(Apparitions!$H$2:$H$5001,A2459,Apparitions!$E$2:$E$5001,"○"))</f>
        <v/>
      </c>
      <c r="J2459" s="29" t="str">
        <f aca="false">IF(A2459="","",IFERROR(1/(1/_xlfn.MINIFS(Apparitions!$L$2:$L$5001,Apparitions!$H$2:$H$5001,A2459)),""))</f>
        <v/>
      </c>
    </row>
    <row r="2460" customFormat="false" ht="15" hidden="false" customHeight="false" outlineLevel="0" collapsed="false">
      <c r="A2460" s="19"/>
      <c r="B2460" s="19"/>
      <c r="C2460" s="19"/>
      <c r="D2460" s="19"/>
      <c r="E2460" s="32"/>
      <c r="F2460" s="19"/>
      <c r="G2460" s="26" t="str">
        <f aca="false">IF(A2460="","",COUNTIF(Pubs!$B$2:$B$3001,A2460))</f>
        <v/>
      </c>
      <c r="H2460" s="26" t="str">
        <f aca="false">IF(A2460="","",COUNTIF(Apparitions!$H$2:$H$5001,A2460))</f>
        <v/>
      </c>
      <c r="I2460" s="26" t="str">
        <f aca="false">IF(A2460="","",COUNTIFS(Apparitions!$H$2:$H$5001,A2460,Apparitions!$E$2:$E$5001,"○"))</f>
        <v/>
      </c>
      <c r="J2460" s="29" t="str">
        <f aca="false">IF(A2460="","",IFERROR(1/(1/_xlfn.MINIFS(Apparitions!$L$2:$L$5001,Apparitions!$H$2:$H$5001,A2460)),""))</f>
        <v/>
      </c>
    </row>
    <row r="2461" customFormat="false" ht="15" hidden="false" customHeight="false" outlineLevel="0" collapsed="false">
      <c r="A2461" s="19"/>
      <c r="B2461" s="19"/>
      <c r="C2461" s="19"/>
      <c r="D2461" s="19"/>
      <c r="E2461" s="32"/>
      <c r="F2461" s="19"/>
      <c r="G2461" s="26" t="str">
        <f aca="false">IF(A2461="","",COUNTIF(Pubs!$B$2:$B$3001,A2461))</f>
        <v/>
      </c>
      <c r="H2461" s="26" t="str">
        <f aca="false">IF(A2461="","",COUNTIF(Apparitions!$H$2:$H$5001,A2461))</f>
        <v/>
      </c>
      <c r="I2461" s="26" t="str">
        <f aca="false">IF(A2461="","",COUNTIFS(Apparitions!$H$2:$H$5001,A2461,Apparitions!$E$2:$E$5001,"○"))</f>
        <v/>
      </c>
      <c r="J2461" s="29" t="str">
        <f aca="false">IF(A2461="","",IFERROR(1/(1/_xlfn.MINIFS(Apparitions!$L$2:$L$5001,Apparitions!$H$2:$H$5001,A2461)),""))</f>
        <v/>
      </c>
    </row>
    <row r="2462" customFormat="false" ht="15" hidden="false" customHeight="false" outlineLevel="0" collapsed="false">
      <c r="A2462" s="19"/>
      <c r="B2462" s="19"/>
      <c r="C2462" s="19"/>
      <c r="D2462" s="19"/>
      <c r="E2462" s="32"/>
      <c r="F2462" s="19"/>
      <c r="G2462" s="26" t="str">
        <f aca="false">IF(A2462="","",COUNTIF(Pubs!$B$2:$B$3001,A2462))</f>
        <v/>
      </c>
      <c r="H2462" s="26" t="str">
        <f aca="false">IF(A2462="","",COUNTIF(Apparitions!$H$2:$H$5001,A2462))</f>
        <v/>
      </c>
      <c r="I2462" s="26" t="str">
        <f aca="false">IF(A2462="","",COUNTIFS(Apparitions!$H$2:$H$5001,A2462,Apparitions!$E$2:$E$5001,"○"))</f>
        <v/>
      </c>
      <c r="J2462" s="29" t="str">
        <f aca="false">IF(A2462="","",IFERROR(1/(1/_xlfn.MINIFS(Apparitions!$L$2:$L$5001,Apparitions!$H$2:$H$5001,A2462)),""))</f>
        <v/>
      </c>
    </row>
    <row r="2463" customFormat="false" ht="15" hidden="false" customHeight="false" outlineLevel="0" collapsed="false">
      <c r="A2463" s="19"/>
      <c r="B2463" s="19"/>
      <c r="C2463" s="19"/>
      <c r="D2463" s="19"/>
      <c r="E2463" s="32"/>
      <c r="F2463" s="19"/>
      <c r="G2463" s="26" t="str">
        <f aca="false">IF(A2463="","",COUNTIF(Pubs!$B$2:$B$3001,A2463))</f>
        <v/>
      </c>
      <c r="H2463" s="26" t="str">
        <f aca="false">IF(A2463="","",COUNTIF(Apparitions!$H$2:$H$5001,A2463))</f>
        <v/>
      </c>
      <c r="I2463" s="26" t="str">
        <f aca="false">IF(A2463="","",COUNTIFS(Apparitions!$H$2:$H$5001,A2463,Apparitions!$E$2:$E$5001,"○"))</f>
        <v/>
      </c>
      <c r="J2463" s="29" t="str">
        <f aca="false">IF(A2463="","",IFERROR(1/(1/_xlfn.MINIFS(Apparitions!$L$2:$L$5001,Apparitions!$H$2:$H$5001,A2463)),""))</f>
        <v/>
      </c>
    </row>
    <row r="2464" customFormat="false" ht="15" hidden="false" customHeight="false" outlineLevel="0" collapsed="false">
      <c r="A2464" s="19"/>
      <c r="B2464" s="19"/>
      <c r="C2464" s="19"/>
      <c r="D2464" s="19"/>
      <c r="E2464" s="32"/>
      <c r="F2464" s="19"/>
      <c r="G2464" s="26" t="str">
        <f aca="false">IF(A2464="","",COUNTIF(Pubs!$B$2:$B$3001,A2464))</f>
        <v/>
      </c>
      <c r="H2464" s="26" t="str">
        <f aca="false">IF(A2464="","",COUNTIF(Apparitions!$H$2:$H$5001,A2464))</f>
        <v/>
      </c>
      <c r="I2464" s="26" t="str">
        <f aca="false">IF(A2464="","",COUNTIFS(Apparitions!$H$2:$H$5001,A2464,Apparitions!$E$2:$E$5001,"○"))</f>
        <v/>
      </c>
      <c r="J2464" s="29" t="str">
        <f aca="false">IF(A2464="","",IFERROR(1/(1/_xlfn.MINIFS(Apparitions!$L$2:$L$5001,Apparitions!$H$2:$H$5001,A2464)),""))</f>
        <v/>
      </c>
    </row>
    <row r="2465" customFormat="false" ht="15" hidden="false" customHeight="false" outlineLevel="0" collapsed="false">
      <c r="A2465" s="19"/>
      <c r="B2465" s="19"/>
      <c r="C2465" s="19"/>
      <c r="D2465" s="19"/>
      <c r="E2465" s="32"/>
      <c r="F2465" s="19"/>
      <c r="G2465" s="26" t="str">
        <f aca="false">IF(A2465="","",COUNTIF(Pubs!$B$2:$B$3001,A2465))</f>
        <v/>
      </c>
      <c r="H2465" s="26" t="str">
        <f aca="false">IF(A2465="","",COUNTIF(Apparitions!$H$2:$H$5001,A2465))</f>
        <v/>
      </c>
      <c r="I2465" s="26" t="str">
        <f aca="false">IF(A2465="","",COUNTIFS(Apparitions!$H$2:$H$5001,A2465,Apparitions!$E$2:$E$5001,"○"))</f>
        <v/>
      </c>
      <c r="J2465" s="29" t="str">
        <f aca="false">IF(A2465="","",IFERROR(1/(1/_xlfn.MINIFS(Apparitions!$L$2:$L$5001,Apparitions!$H$2:$H$5001,A2465)),""))</f>
        <v/>
      </c>
    </row>
    <row r="2466" customFormat="false" ht="15" hidden="false" customHeight="false" outlineLevel="0" collapsed="false">
      <c r="A2466" s="19"/>
      <c r="B2466" s="19"/>
      <c r="C2466" s="19"/>
      <c r="D2466" s="19"/>
      <c r="E2466" s="32"/>
      <c r="F2466" s="19"/>
      <c r="G2466" s="26" t="str">
        <f aca="false">IF(A2466="","",COUNTIF(Pubs!$B$2:$B$3001,A2466))</f>
        <v/>
      </c>
      <c r="H2466" s="26" t="str">
        <f aca="false">IF(A2466="","",COUNTIF(Apparitions!$H$2:$H$5001,A2466))</f>
        <v/>
      </c>
      <c r="I2466" s="26" t="str">
        <f aca="false">IF(A2466="","",COUNTIFS(Apparitions!$H$2:$H$5001,A2466,Apparitions!$E$2:$E$5001,"○"))</f>
        <v/>
      </c>
      <c r="J2466" s="29" t="str">
        <f aca="false">IF(A2466="","",IFERROR(1/(1/_xlfn.MINIFS(Apparitions!$L$2:$L$5001,Apparitions!$H$2:$H$5001,A2466)),""))</f>
        <v/>
      </c>
    </row>
    <row r="2467" customFormat="false" ht="15" hidden="false" customHeight="false" outlineLevel="0" collapsed="false">
      <c r="A2467" s="19"/>
      <c r="B2467" s="19"/>
      <c r="C2467" s="19"/>
      <c r="D2467" s="19"/>
      <c r="E2467" s="32"/>
      <c r="F2467" s="19"/>
      <c r="G2467" s="26" t="str">
        <f aca="false">IF(A2467="","",COUNTIF(Pubs!$B$2:$B$3001,A2467))</f>
        <v/>
      </c>
      <c r="H2467" s="26" t="str">
        <f aca="false">IF(A2467="","",COUNTIF(Apparitions!$H$2:$H$5001,A2467))</f>
        <v/>
      </c>
      <c r="I2467" s="26" t="str">
        <f aca="false">IF(A2467="","",COUNTIFS(Apparitions!$H$2:$H$5001,A2467,Apparitions!$E$2:$E$5001,"○"))</f>
        <v/>
      </c>
      <c r="J2467" s="29" t="str">
        <f aca="false">IF(A2467="","",IFERROR(1/(1/_xlfn.MINIFS(Apparitions!$L$2:$L$5001,Apparitions!$H$2:$H$5001,A2467)),""))</f>
        <v/>
      </c>
    </row>
    <row r="2468" customFormat="false" ht="15" hidden="false" customHeight="false" outlineLevel="0" collapsed="false">
      <c r="A2468" s="19"/>
      <c r="B2468" s="19"/>
      <c r="C2468" s="19"/>
      <c r="D2468" s="19"/>
      <c r="E2468" s="32"/>
      <c r="F2468" s="19"/>
      <c r="G2468" s="26" t="str">
        <f aca="false">IF(A2468="","",COUNTIF(Pubs!$B$2:$B$3001,A2468))</f>
        <v/>
      </c>
      <c r="H2468" s="26" t="str">
        <f aca="false">IF(A2468="","",COUNTIF(Apparitions!$H$2:$H$5001,A2468))</f>
        <v/>
      </c>
      <c r="I2468" s="26" t="str">
        <f aca="false">IF(A2468="","",COUNTIFS(Apparitions!$H$2:$H$5001,A2468,Apparitions!$E$2:$E$5001,"○"))</f>
        <v/>
      </c>
      <c r="J2468" s="29" t="str">
        <f aca="false">IF(A2468="","",IFERROR(1/(1/_xlfn.MINIFS(Apparitions!$L$2:$L$5001,Apparitions!$H$2:$H$5001,A2468)),""))</f>
        <v/>
      </c>
    </row>
    <row r="2469" customFormat="false" ht="15" hidden="false" customHeight="false" outlineLevel="0" collapsed="false">
      <c r="A2469" s="19"/>
      <c r="B2469" s="19"/>
      <c r="C2469" s="19"/>
      <c r="D2469" s="19"/>
      <c r="E2469" s="32"/>
      <c r="F2469" s="19"/>
      <c r="G2469" s="26" t="str">
        <f aca="false">IF(A2469="","",COUNTIF(Pubs!$B$2:$B$3001,A2469))</f>
        <v/>
      </c>
      <c r="H2469" s="26" t="str">
        <f aca="false">IF(A2469="","",COUNTIF(Apparitions!$H$2:$H$5001,A2469))</f>
        <v/>
      </c>
      <c r="I2469" s="26" t="str">
        <f aca="false">IF(A2469="","",COUNTIFS(Apparitions!$H$2:$H$5001,A2469,Apparitions!$E$2:$E$5001,"○"))</f>
        <v/>
      </c>
      <c r="J2469" s="29" t="str">
        <f aca="false">IF(A2469="","",IFERROR(1/(1/_xlfn.MINIFS(Apparitions!$L$2:$L$5001,Apparitions!$H$2:$H$5001,A2469)),""))</f>
        <v/>
      </c>
    </row>
    <row r="2470" customFormat="false" ht="15" hidden="false" customHeight="false" outlineLevel="0" collapsed="false">
      <c r="A2470" s="19"/>
      <c r="B2470" s="19"/>
      <c r="C2470" s="19"/>
      <c r="D2470" s="19"/>
      <c r="E2470" s="32"/>
      <c r="F2470" s="19"/>
      <c r="G2470" s="26" t="str">
        <f aca="false">IF(A2470="","",COUNTIF(Pubs!$B$2:$B$3001,A2470))</f>
        <v/>
      </c>
      <c r="H2470" s="26" t="str">
        <f aca="false">IF(A2470="","",COUNTIF(Apparitions!$H$2:$H$5001,A2470))</f>
        <v/>
      </c>
      <c r="I2470" s="26" t="str">
        <f aca="false">IF(A2470="","",COUNTIFS(Apparitions!$H$2:$H$5001,A2470,Apparitions!$E$2:$E$5001,"○"))</f>
        <v/>
      </c>
      <c r="J2470" s="29" t="str">
        <f aca="false">IF(A2470="","",IFERROR(1/(1/_xlfn.MINIFS(Apparitions!$L$2:$L$5001,Apparitions!$H$2:$H$5001,A2470)),""))</f>
        <v/>
      </c>
    </row>
    <row r="2471" customFormat="false" ht="15" hidden="false" customHeight="false" outlineLevel="0" collapsed="false">
      <c r="A2471" s="19"/>
      <c r="B2471" s="19"/>
      <c r="C2471" s="19"/>
      <c r="D2471" s="19"/>
      <c r="E2471" s="32"/>
      <c r="F2471" s="19"/>
      <c r="G2471" s="26" t="str">
        <f aca="false">IF(A2471="","",COUNTIF(Pubs!$B$2:$B$3001,A2471))</f>
        <v/>
      </c>
      <c r="H2471" s="26" t="str">
        <f aca="false">IF(A2471="","",COUNTIF(Apparitions!$H$2:$H$5001,A2471))</f>
        <v/>
      </c>
      <c r="I2471" s="26" t="str">
        <f aca="false">IF(A2471="","",COUNTIFS(Apparitions!$H$2:$H$5001,A2471,Apparitions!$E$2:$E$5001,"○"))</f>
        <v/>
      </c>
      <c r="J2471" s="29" t="str">
        <f aca="false">IF(A2471="","",IFERROR(1/(1/_xlfn.MINIFS(Apparitions!$L$2:$L$5001,Apparitions!$H$2:$H$5001,A2471)),""))</f>
        <v/>
      </c>
    </row>
    <row r="2472" customFormat="false" ht="15" hidden="false" customHeight="false" outlineLevel="0" collapsed="false">
      <c r="A2472" s="19"/>
      <c r="B2472" s="19"/>
      <c r="C2472" s="19"/>
      <c r="D2472" s="19"/>
      <c r="E2472" s="32"/>
      <c r="F2472" s="19"/>
      <c r="G2472" s="26" t="str">
        <f aca="false">IF(A2472="","",COUNTIF(Pubs!$B$2:$B$3001,A2472))</f>
        <v/>
      </c>
      <c r="H2472" s="26" t="str">
        <f aca="false">IF(A2472="","",COUNTIF(Apparitions!$H$2:$H$5001,A2472))</f>
        <v/>
      </c>
      <c r="I2472" s="26" t="str">
        <f aca="false">IF(A2472="","",COUNTIFS(Apparitions!$H$2:$H$5001,A2472,Apparitions!$E$2:$E$5001,"○"))</f>
        <v/>
      </c>
      <c r="J2472" s="29" t="str">
        <f aca="false">IF(A2472="","",IFERROR(1/(1/_xlfn.MINIFS(Apparitions!$L$2:$L$5001,Apparitions!$H$2:$H$5001,A2472)),""))</f>
        <v/>
      </c>
    </row>
    <row r="2473" customFormat="false" ht="15" hidden="false" customHeight="false" outlineLevel="0" collapsed="false">
      <c r="A2473" s="19"/>
      <c r="B2473" s="19"/>
      <c r="C2473" s="19"/>
      <c r="D2473" s="19"/>
      <c r="E2473" s="32"/>
      <c r="F2473" s="19"/>
      <c r="G2473" s="26" t="str">
        <f aca="false">IF(A2473="","",COUNTIF(Pubs!$B$2:$B$3001,A2473))</f>
        <v/>
      </c>
      <c r="H2473" s="26" t="str">
        <f aca="false">IF(A2473="","",COUNTIF(Apparitions!$H$2:$H$5001,A2473))</f>
        <v/>
      </c>
      <c r="I2473" s="26" t="str">
        <f aca="false">IF(A2473="","",COUNTIFS(Apparitions!$H$2:$H$5001,A2473,Apparitions!$E$2:$E$5001,"○"))</f>
        <v/>
      </c>
      <c r="J2473" s="29" t="str">
        <f aca="false">IF(A2473="","",IFERROR(1/(1/_xlfn.MINIFS(Apparitions!$L$2:$L$5001,Apparitions!$H$2:$H$5001,A2473)),""))</f>
        <v/>
      </c>
    </row>
    <row r="2474" customFormat="false" ht="15" hidden="false" customHeight="false" outlineLevel="0" collapsed="false">
      <c r="A2474" s="19"/>
      <c r="B2474" s="19"/>
      <c r="C2474" s="19"/>
      <c r="D2474" s="19"/>
      <c r="E2474" s="32"/>
      <c r="F2474" s="19"/>
      <c r="G2474" s="26" t="str">
        <f aca="false">IF(A2474="","",COUNTIF(Pubs!$B$2:$B$3001,A2474))</f>
        <v/>
      </c>
      <c r="H2474" s="26" t="str">
        <f aca="false">IF(A2474="","",COUNTIF(Apparitions!$H$2:$H$5001,A2474))</f>
        <v/>
      </c>
      <c r="I2474" s="26" t="str">
        <f aca="false">IF(A2474="","",COUNTIFS(Apparitions!$H$2:$H$5001,A2474,Apparitions!$E$2:$E$5001,"○"))</f>
        <v/>
      </c>
      <c r="J2474" s="29" t="str">
        <f aca="false">IF(A2474="","",IFERROR(1/(1/_xlfn.MINIFS(Apparitions!$L$2:$L$5001,Apparitions!$H$2:$H$5001,A2474)),""))</f>
        <v/>
      </c>
    </row>
    <row r="2475" customFormat="false" ht="15" hidden="false" customHeight="false" outlineLevel="0" collapsed="false">
      <c r="A2475" s="19"/>
      <c r="B2475" s="19"/>
      <c r="C2475" s="19"/>
      <c r="D2475" s="19"/>
      <c r="E2475" s="32"/>
      <c r="F2475" s="19"/>
      <c r="G2475" s="26" t="str">
        <f aca="false">IF(A2475="","",COUNTIF(Pubs!$B$2:$B$3001,A2475))</f>
        <v/>
      </c>
      <c r="H2475" s="26" t="str">
        <f aca="false">IF(A2475="","",COUNTIF(Apparitions!$H$2:$H$5001,A2475))</f>
        <v/>
      </c>
      <c r="I2475" s="26" t="str">
        <f aca="false">IF(A2475="","",COUNTIFS(Apparitions!$H$2:$H$5001,A2475,Apparitions!$E$2:$E$5001,"○"))</f>
        <v/>
      </c>
      <c r="J2475" s="29" t="str">
        <f aca="false">IF(A2475="","",IFERROR(1/(1/_xlfn.MINIFS(Apparitions!$L$2:$L$5001,Apparitions!$H$2:$H$5001,A2475)),""))</f>
        <v/>
      </c>
    </row>
    <row r="2476" customFormat="false" ht="15" hidden="false" customHeight="false" outlineLevel="0" collapsed="false">
      <c r="A2476" s="19"/>
      <c r="B2476" s="19"/>
      <c r="C2476" s="19"/>
      <c r="D2476" s="19"/>
      <c r="E2476" s="32"/>
      <c r="F2476" s="19"/>
      <c r="G2476" s="26" t="str">
        <f aca="false">IF(A2476="","",COUNTIF(Pubs!$B$2:$B$3001,A2476))</f>
        <v/>
      </c>
      <c r="H2476" s="26" t="str">
        <f aca="false">IF(A2476="","",COUNTIF(Apparitions!$H$2:$H$5001,A2476))</f>
        <v/>
      </c>
      <c r="I2476" s="26" t="str">
        <f aca="false">IF(A2476="","",COUNTIFS(Apparitions!$H$2:$H$5001,A2476,Apparitions!$E$2:$E$5001,"○"))</f>
        <v/>
      </c>
      <c r="J2476" s="29" t="str">
        <f aca="false">IF(A2476="","",IFERROR(1/(1/_xlfn.MINIFS(Apparitions!$L$2:$L$5001,Apparitions!$H$2:$H$5001,A2476)),""))</f>
        <v/>
      </c>
    </row>
    <row r="2477" customFormat="false" ht="15" hidden="false" customHeight="false" outlineLevel="0" collapsed="false">
      <c r="A2477" s="19"/>
      <c r="B2477" s="19"/>
      <c r="C2477" s="19"/>
      <c r="D2477" s="19"/>
      <c r="E2477" s="32"/>
      <c r="F2477" s="19"/>
      <c r="G2477" s="26" t="str">
        <f aca="false">IF(A2477="","",COUNTIF(Pubs!$B$2:$B$3001,A2477))</f>
        <v/>
      </c>
      <c r="H2477" s="26" t="str">
        <f aca="false">IF(A2477="","",COUNTIF(Apparitions!$H$2:$H$5001,A2477))</f>
        <v/>
      </c>
      <c r="I2477" s="26" t="str">
        <f aca="false">IF(A2477="","",COUNTIFS(Apparitions!$H$2:$H$5001,A2477,Apparitions!$E$2:$E$5001,"○"))</f>
        <v/>
      </c>
      <c r="J2477" s="29" t="str">
        <f aca="false">IF(A2477="","",IFERROR(1/(1/_xlfn.MINIFS(Apparitions!$L$2:$L$5001,Apparitions!$H$2:$H$5001,A2477)),""))</f>
        <v/>
      </c>
    </row>
    <row r="2478" customFormat="false" ht="15" hidden="false" customHeight="false" outlineLevel="0" collapsed="false">
      <c r="A2478" s="19"/>
      <c r="B2478" s="19"/>
      <c r="C2478" s="19"/>
      <c r="D2478" s="19"/>
      <c r="E2478" s="32"/>
      <c r="F2478" s="19"/>
      <c r="G2478" s="26" t="str">
        <f aca="false">IF(A2478="","",COUNTIF(Pubs!$B$2:$B$3001,A2478))</f>
        <v/>
      </c>
      <c r="H2478" s="26" t="str">
        <f aca="false">IF(A2478="","",COUNTIF(Apparitions!$H$2:$H$5001,A2478))</f>
        <v/>
      </c>
      <c r="I2478" s="26" t="str">
        <f aca="false">IF(A2478="","",COUNTIFS(Apparitions!$H$2:$H$5001,A2478,Apparitions!$E$2:$E$5001,"○"))</f>
        <v/>
      </c>
      <c r="J2478" s="29" t="str">
        <f aca="false">IF(A2478="","",IFERROR(1/(1/_xlfn.MINIFS(Apparitions!$L$2:$L$5001,Apparitions!$H$2:$H$5001,A2478)),""))</f>
        <v/>
      </c>
    </row>
    <row r="2479" customFormat="false" ht="15" hidden="false" customHeight="false" outlineLevel="0" collapsed="false">
      <c r="A2479" s="19"/>
      <c r="B2479" s="19"/>
      <c r="C2479" s="19"/>
      <c r="D2479" s="19"/>
      <c r="E2479" s="32"/>
      <c r="F2479" s="19"/>
      <c r="G2479" s="26" t="str">
        <f aca="false">IF(A2479="","",COUNTIF(Pubs!$B$2:$B$3001,A2479))</f>
        <v/>
      </c>
      <c r="H2479" s="26" t="str">
        <f aca="false">IF(A2479="","",COUNTIF(Apparitions!$H$2:$H$5001,A2479))</f>
        <v/>
      </c>
      <c r="I2479" s="26" t="str">
        <f aca="false">IF(A2479="","",COUNTIFS(Apparitions!$H$2:$H$5001,A2479,Apparitions!$E$2:$E$5001,"○"))</f>
        <v/>
      </c>
      <c r="J2479" s="29" t="str">
        <f aca="false">IF(A2479="","",IFERROR(1/(1/_xlfn.MINIFS(Apparitions!$L$2:$L$5001,Apparitions!$H$2:$H$5001,A2479)),""))</f>
        <v/>
      </c>
    </row>
    <row r="2480" customFormat="false" ht="15" hidden="false" customHeight="false" outlineLevel="0" collapsed="false">
      <c r="A2480" s="19"/>
      <c r="B2480" s="19"/>
      <c r="C2480" s="19"/>
      <c r="D2480" s="19"/>
      <c r="E2480" s="32"/>
      <c r="F2480" s="19"/>
      <c r="G2480" s="26" t="str">
        <f aca="false">IF(A2480="","",COUNTIF(Pubs!$B$2:$B$3001,A2480))</f>
        <v/>
      </c>
      <c r="H2480" s="26" t="str">
        <f aca="false">IF(A2480="","",COUNTIF(Apparitions!$H$2:$H$5001,A2480))</f>
        <v/>
      </c>
      <c r="I2480" s="26" t="str">
        <f aca="false">IF(A2480="","",COUNTIFS(Apparitions!$H$2:$H$5001,A2480,Apparitions!$E$2:$E$5001,"○"))</f>
        <v/>
      </c>
      <c r="J2480" s="29" t="str">
        <f aca="false">IF(A2480="","",IFERROR(1/(1/_xlfn.MINIFS(Apparitions!$L$2:$L$5001,Apparitions!$H$2:$H$5001,A2480)),""))</f>
        <v/>
      </c>
    </row>
    <row r="2481" customFormat="false" ht="15" hidden="false" customHeight="false" outlineLevel="0" collapsed="false">
      <c r="A2481" s="19"/>
      <c r="B2481" s="19"/>
      <c r="C2481" s="19"/>
      <c r="D2481" s="19"/>
      <c r="E2481" s="32"/>
      <c r="F2481" s="19"/>
      <c r="G2481" s="26" t="str">
        <f aca="false">IF(A2481="","",COUNTIF(Pubs!$B$2:$B$3001,A2481))</f>
        <v/>
      </c>
      <c r="H2481" s="26" t="str">
        <f aca="false">IF(A2481="","",COUNTIF(Apparitions!$H$2:$H$5001,A2481))</f>
        <v/>
      </c>
      <c r="I2481" s="26" t="str">
        <f aca="false">IF(A2481="","",COUNTIFS(Apparitions!$H$2:$H$5001,A2481,Apparitions!$E$2:$E$5001,"○"))</f>
        <v/>
      </c>
      <c r="J2481" s="29" t="str">
        <f aca="false">IF(A2481="","",IFERROR(1/(1/_xlfn.MINIFS(Apparitions!$L$2:$L$5001,Apparitions!$H$2:$H$5001,A2481)),""))</f>
        <v/>
      </c>
    </row>
    <row r="2482" customFormat="false" ht="15" hidden="false" customHeight="false" outlineLevel="0" collapsed="false">
      <c r="A2482" s="19"/>
      <c r="B2482" s="19"/>
      <c r="C2482" s="19"/>
      <c r="D2482" s="19"/>
      <c r="E2482" s="32"/>
      <c r="F2482" s="19"/>
      <c r="G2482" s="26" t="str">
        <f aca="false">IF(A2482="","",COUNTIF(Pubs!$B$2:$B$3001,A2482))</f>
        <v/>
      </c>
      <c r="H2482" s="26" t="str">
        <f aca="false">IF(A2482="","",COUNTIF(Apparitions!$H$2:$H$5001,A2482))</f>
        <v/>
      </c>
      <c r="I2482" s="26" t="str">
        <f aca="false">IF(A2482="","",COUNTIFS(Apparitions!$H$2:$H$5001,A2482,Apparitions!$E$2:$E$5001,"○"))</f>
        <v/>
      </c>
      <c r="J2482" s="29" t="str">
        <f aca="false">IF(A2482="","",IFERROR(1/(1/_xlfn.MINIFS(Apparitions!$L$2:$L$5001,Apparitions!$H$2:$H$5001,A2482)),""))</f>
        <v/>
      </c>
    </row>
    <row r="2483" customFormat="false" ht="15" hidden="false" customHeight="false" outlineLevel="0" collapsed="false">
      <c r="A2483" s="19"/>
      <c r="B2483" s="19"/>
      <c r="C2483" s="19"/>
      <c r="D2483" s="19"/>
      <c r="E2483" s="32"/>
      <c r="F2483" s="19"/>
      <c r="G2483" s="26" t="str">
        <f aca="false">IF(A2483="","",COUNTIF(Pubs!$B$2:$B$3001,A2483))</f>
        <v/>
      </c>
      <c r="H2483" s="26" t="str">
        <f aca="false">IF(A2483="","",COUNTIF(Apparitions!$H$2:$H$5001,A2483))</f>
        <v/>
      </c>
      <c r="I2483" s="26" t="str">
        <f aca="false">IF(A2483="","",COUNTIFS(Apparitions!$H$2:$H$5001,A2483,Apparitions!$E$2:$E$5001,"○"))</f>
        <v/>
      </c>
      <c r="J2483" s="29" t="str">
        <f aca="false">IF(A2483="","",IFERROR(1/(1/_xlfn.MINIFS(Apparitions!$L$2:$L$5001,Apparitions!$H$2:$H$5001,A2483)),""))</f>
        <v/>
      </c>
    </row>
    <row r="2484" customFormat="false" ht="15" hidden="false" customHeight="false" outlineLevel="0" collapsed="false">
      <c r="A2484" s="19"/>
      <c r="B2484" s="19"/>
      <c r="C2484" s="19"/>
      <c r="D2484" s="19"/>
      <c r="E2484" s="32"/>
      <c r="F2484" s="19"/>
      <c r="G2484" s="26" t="str">
        <f aca="false">IF(A2484="","",COUNTIF(Pubs!$B$2:$B$3001,A2484))</f>
        <v/>
      </c>
      <c r="H2484" s="26" t="str">
        <f aca="false">IF(A2484="","",COUNTIF(Apparitions!$H$2:$H$5001,A2484))</f>
        <v/>
      </c>
      <c r="I2484" s="26" t="str">
        <f aca="false">IF(A2484="","",COUNTIFS(Apparitions!$H$2:$H$5001,A2484,Apparitions!$E$2:$E$5001,"○"))</f>
        <v/>
      </c>
      <c r="J2484" s="29" t="str">
        <f aca="false">IF(A2484="","",IFERROR(1/(1/_xlfn.MINIFS(Apparitions!$L$2:$L$5001,Apparitions!$H$2:$H$5001,A2484)),""))</f>
        <v/>
      </c>
    </row>
    <row r="2485" customFormat="false" ht="15" hidden="false" customHeight="false" outlineLevel="0" collapsed="false">
      <c r="A2485" s="19"/>
      <c r="B2485" s="19"/>
      <c r="C2485" s="19"/>
      <c r="D2485" s="19"/>
      <c r="E2485" s="32"/>
      <c r="F2485" s="19"/>
      <c r="G2485" s="26" t="str">
        <f aca="false">IF(A2485="","",COUNTIF(Pubs!$B$2:$B$3001,A2485))</f>
        <v/>
      </c>
      <c r="H2485" s="26" t="str">
        <f aca="false">IF(A2485="","",COUNTIF(Apparitions!$H$2:$H$5001,A2485))</f>
        <v/>
      </c>
      <c r="I2485" s="26" t="str">
        <f aca="false">IF(A2485="","",COUNTIFS(Apparitions!$H$2:$H$5001,A2485,Apparitions!$E$2:$E$5001,"○"))</f>
        <v/>
      </c>
      <c r="J2485" s="29" t="str">
        <f aca="false">IF(A2485="","",IFERROR(1/(1/_xlfn.MINIFS(Apparitions!$L$2:$L$5001,Apparitions!$H$2:$H$5001,A2485)),""))</f>
        <v/>
      </c>
    </row>
    <row r="2486" customFormat="false" ht="15" hidden="false" customHeight="false" outlineLevel="0" collapsed="false">
      <c r="A2486" s="19"/>
      <c r="B2486" s="19"/>
      <c r="C2486" s="19"/>
      <c r="D2486" s="19"/>
      <c r="E2486" s="32"/>
      <c r="F2486" s="19"/>
      <c r="G2486" s="26" t="str">
        <f aca="false">IF(A2486="","",COUNTIF(Pubs!$B$2:$B$3001,A2486))</f>
        <v/>
      </c>
      <c r="H2486" s="26" t="str">
        <f aca="false">IF(A2486="","",COUNTIF(Apparitions!$H$2:$H$5001,A2486))</f>
        <v/>
      </c>
      <c r="I2486" s="26" t="str">
        <f aca="false">IF(A2486="","",COUNTIFS(Apparitions!$H$2:$H$5001,A2486,Apparitions!$E$2:$E$5001,"○"))</f>
        <v/>
      </c>
      <c r="J2486" s="29" t="str">
        <f aca="false">IF(A2486="","",IFERROR(1/(1/_xlfn.MINIFS(Apparitions!$L$2:$L$5001,Apparitions!$H$2:$H$5001,A2486)),""))</f>
        <v/>
      </c>
    </row>
    <row r="2487" customFormat="false" ht="15" hidden="false" customHeight="false" outlineLevel="0" collapsed="false">
      <c r="A2487" s="19"/>
      <c r="B2487" s="19"/>
      <c r="C2487" s="19"/>
      <c r="D2487" s="19"/>
      <c r="E2487" s="32"/>
      <c r="F2487" s="19"/>
      <c r="G2487" s="26" t="str">
        <f aca="false">IF(A2487="","",COUNTIF(Pubs!$B$2:$B$3001,A2487))</f>
        <v/>
      </c>
      <c r="H2487" s="26" t="str">
        <f aca="false">IF(A2487="","",COUNTIF(Apparitions!$H$2:$H$5001,A2487))</f>
        <v/>
      </c>
      <c r="I2487" s="26" t="str">
        <f aca="false">IF(A2487="","",COUNTIFS(Apparitions!$H$2:$H$5001,A2487,Apparitions!$E$2:$E$5001,"○"))</f>
        <v/>
      </c>
      <c r="J2487" s="29" t="str">
        <f aca="false">IF(A2487="","",IFERROR(1/(1/_xlfn.MINIFS(Apparitions!$L$2:$L$5001,Apparitions!$H$2:$H$5001,A2487)),""))</f>
        <v/>
      </c>
    </row>
    <row r="2488" customFormat="false" ht="15" hidden="false" customHeight="false" outlineLevel="0" collapsed="false">
      <c r="A2488" s="19"/>
      <c r="B2488" s="19"/>
      <c r="C2488" s="19"/>
      <c r="D2488" s="19"/>
      <c r="E2488" s="32"/>
      <c r="F2488" s="19"/>
      <c r="G2488" s="26" t="str">
        <f aca="false">IF(A2488="","",COUNTIF(Pubs!$B$2:$B$3001,A2488))</f>
        <v/>
      </c>
      <c r="H2488" s="26" t="str">
        <f aca="false">IF(A2488="","",COUNTIF(Apparitions!$H$2:$H$5001,A2488))</f>
        <v/>
      </c>
      <c r="I2488" s="26" t="str">
        <f aca="false">IF(A2488="","",COUNTIFS(Apparitions!$H$2:$H$5001,A2488,Apparitions!$E$2:$E$5001,"○"))</f>
        <v/>
      </c>
      <c r="J2488" s="29" t="str">
        <f aca="false">IF(A2488="","",IFERROR(1/(1/_xlfn.MINIFS(Apparitions!$L$2:$L$5001,Apparitions!$H$2:$H$5001,A2488)),""))</f>
        <v/>
      </c>
    </row>
    <row r="2489" customFormat="false" ht="15" hidden="false" customHeight="false" outlineLevel="0" collapsed="false">
      <c r="A2489" s="19"/>
      <c r="B2489" s="19"/>
      <c r="C2489" s="19"/>
      <c r="D2489" s="19"/>
      <c r="E2489" s="32"/>
      <c r="F2489" s="19"/>
      <c r="G2489" s="26" t="str">
        <f aca="false">IF(A2489="","",COUNTIF(Pubs!$B$2:$B$3001,A2489))</f>
        <v/>
      </c>
      <c r="H2489" s="26" t="str">
        <f aca="false">IF(A2489="","",COUNTIF(Apparitions!$H$2:$H$5001,A2489))</f>
        <v/>
      </c>
      <c r="I2489" s="26" t="str">
        <f aca="false">IF(A2489="","",COUNTIFS(Apparitions!$H$2:$H$5001,A2489,Apparitions!$E$2:$E$5001,"○"))</f>
        <v/>
      </c>
      <c r="J2489" s="29" t="str">
        <f aca="false">IF(A2489="","",IFERROR(1/(1/_xlfn.MINIFS(Apparitions!$L$2:$L$5001,Apparitions!$H$2:$H$5001,A2489)),""))</f>
        <v/>
      </c>
    </row>
    <row r="2490" customFormat="false" ht="15" hidden="false" customHeight="false" outlineLevel="0" collapsed="false">
      <c r="A2490" s="19"/>
      <c r="B2490" s="19"/>
      <c r="C2490" s="19"/>
      <c r="D2490" s="19"/>
      <c r="E2490" s="32"/>
      <c r="F2490" s="19"/>
      <c r="G2490" s="26" t="str">
        <f aca="false">IF(A2490="","",COUNTIF(Pubs!$B$2:$B$3001,A2490))</f>
        <v/>
      </c>
      <c r="H2490" s="26" t="str">
        <f aca="false">IF(A2490="","",COUNTIF(Apparitions!$H$2:$H$5001,A2490))</f>
        <v/>
      </c>
      <c r="I2490" s="26" t="str">
        <f aca="false">IF(A2490="","",COUNTIFS(Apparitions!$H$2:$H$5001,A2490,Apparitions!$E$2:$E$5001,"○"))</f>
        <v/>
      </c>
      <c r="J2490" s="29" t="str">
        <f aca="false">IF(A2490="","",IFERROR(1/(1/_xlfn.MINIFS(Apparitions!$L$2:$L$5001,Apparitions!$H$2:$H$5001,A2490)),""))</f>
        <v/>
      </c>
    </row>
    <row r="2491" customFormat="false" ht="15" hidden="false" customHeight="false" outlineLevel="0" collapsed="false">
      <c r="A2491" s="19"/>
      <c r="B2491" s="19"/>
      <c r="C2491" s="19"/>
      <c r="D2491" s="19"/>
      <c r="E2491" s="32"/>
      <c r="F2491" s="19"/>
      <c r="G2491" s="26" t="str">
        <f aca="false">IF(A2491="","",COUNTIF(Pubs!$B$2:$B$3001,A2491))</f>
        <v/>
      </c>
      <c r="H2491" s="26" t="str">
        <f aca="false">IF(A2491="","",COUNTIF(Apparitions!$H$2:$H$5001,A2491))</f>
        <v/>
      </c>
      <c r="I2491" s="26" t="str">
        <f aca="false">IF(A2491="","",COUNTIFS(Apparitions!$H$2:$H$5001,A2491,Apparitions!$E$2:$E$5001,"○"))</f>
        <v/>
      </c>
      <c r="J2491" s="29" t="str">
        <f aca="false">IF(A2491="","",IFERROR(1/(1/_xlfn.MINIFS(Apparitions!$L$2:$L$5001,Apparitions!$H$2:$H$5001,A2491)),""))</f>
        <v/>
      </c>
    </row>
    <row r="2492" customFormat="false" ht="15" hidden="false" customHeight="false" outlineLevel="0" collapsed="false">
      <c r="A2492" s="19"/>
      <c r="B2492" s="19"/>
      <c r="C2492" s="19"/>
      <c r="D2492" s="19"/>
      <c r="E2492" s="32"/>
      <c r="F2492" s="19"/>
      <c r="G2492" s="26" t="str">
        <f aca="false">IF(A2492="","",COUNTIF(Pubs!$B$2:$B$3001,A2492))</f>
        <v/>
      </c>
      <c r="H2492" s="26" t="str">
        <f aca="false">IF(A2492="","",COUNTIF(Apparitions!$H$2:$H$5001,A2492))</f>
        <v/>
      </c>
      <c r="I2492" s="26" t="str">
        <f aca="false">IF(A2492="","",COUNTIFS(Apparitions!$H$2:$H$5001,A2492,Apparitions!$E$2:$E$5001,"○"))</f>
        <v/>
      </c>
      <c r="J2492" s="29" t="str">
        <f aca="false">IF(A2492="","",IFERROR(1/(1/_xlfn.MINIFS(Apparitions!$L$2:$L$5001,Apparitions!$H$2:$H$5001,A2492)),""))</f>
        <v/>
      </c>
    </row>
    <row r="2493" customFormat="false" ht="15" hidden="false" customHeight="false" outlineLevel="0" collapsed="false">
      <c r="A2493" s="19"/>
      <c r="B2493" s="19"/>
      <c r="C2493" s="19"/>
      <c r="D2493" s="19"/>
      <c r="E2493" s="32"/>
      <c r="F2493" s="19"/>
      <c r="G2493" s="26" t="str">
        <f aca="false">IF(A2493="","",COUNTIF(Pubs!$B$2:$B$3001,A2493))</f>
        <v/>
      </c>
      <c r="H2493" s="26" t="str">
        <f aca="false">IF(A2493="","",COUNTIF(Apparitions!$H$2:$H$5001,A2493))</f>
        <v/>
      </c>
      <c r="I2493" s="26" t="str">
        <f aca="false">IF(A2493="","",COUNTIFS(Apparitions!$H$2:$H$5001,A2493,Apparitions!$E$2:$E$5001,"○"))</f>
        <v/>
      </c>
      <c r="J2493" s="29" t="str">
        <f aca="false">IF(A2493="","",IFERROR(1/(1/_xlfn.MINIFS(Apparitions!$L$2:$L$5001,Apparitions!$H$2:$H$5001,A2493)),""))</f>
        <v/>
      </c>
    </row>
    <row r="2494" customFormat="false" ht="15" hidden="false" customHeight="false" outlineLevel="0" collapsed="false">
      <c r="A2494" s="19"/>
      <c r="B2494" s="19"/>
      <c r="C2494" s="19"/>
      <c r="D2494" s="19"/>
      <c r="E2494" s="32"/>
      <c r="F2494" s="19"/>
      <c r="G2494" s="26" t="str">
        <f aca="false">IF(A2494="","",COUNTIF(Pubs!$B$2:$B$3001,A2494))</f>
        <v/>
      </c>
      <c r="H2494" s="26" t="str">
        <f aca="false">IF(A2494="","",COUNTIF(Apparitions!$H$2:$H$5001,A2494))</f>
        <v/>
      </c>
      <c r="I2494" s="26" t="str">
        <f aca="false">IF(A2494="","",COUNTIFS(Apparitions!$H$2:$H$5001,A2494,Apparitions!$E$2:$E$5001,"○"))</f>
        <v/>
      </c>
      <c r="J2494" s="29" t="str">
        <f aca="false">IF(A2494="","",IFERROR(1/(1/_xlfn.MINIFS(Apparitions!$L$2:$L$5001,Apparitions!$H$2:$H$5001,A2494)),""))</f>
        <v/>
      </c>
    </row>
    <row r="2495" customFormat="false" ht="15" hidden="false" customHeight="false" outlineLevel="0" collapsed="false">
      <c r="A2495" s="19"/>
      <c r="B2495" s="19"/>
      <c r="C2495" s="19"/>
      <c r="D2495" s="19"/>
      <c r="E2495" s="32"/>
      <c r="F2495" s="19"/>
      <c r="G2495" s="26" t="str">
        <f aca="false">IF(A2495="","",COUNTIF(Pubs!$B$2:$B$3001,A2495))</f>
        <v/>
      </c>
      <c r="H2495" s="26" t="str">
        <f aca="false">IF(A2495="","",COUNTIF(Apparitions!$H$2:$H$5001,A2495))</f>
        <v/>
      </c>
      <c r="I2495" s="26" t="str">
        <f aca="false">IF(A2495="","",COUNTIFS(Apparitions!$H$2:$H$5001,A2495,Apparitions!$E$2:$E$5001,"○"))</f>
        <v/>
      </c>
      <c r="J2495" s="29" t="str">
        <f aca="false">IF(A2495="","",IFERROR(1/(1/_xlfn.MINIFS(Apparitions!$L$2:$L$5001,Apparitions!$H$2:$H$5001,A2495)),""))</f>
        <v/>
      </c>
    </row>
    <row r="2496" customFormat="false" ht="15" hidden="false" customHeight="false" outlineLevel="0" collapsed="false">
      <c r="A2496" s="19"/>
      <c r="B2496" s="19"/>
      <c r="C2496" s="19"/>
      <c r="D2496" s="19"/>
      <c r="E2496" s="32"/>
      <c r="F2496" s="19"/>
      <c r="G2496" s="26" t="str">
        <f aca="false">IF(A2496="","",COUNTIF(Pubs!$B$2:$B$3001,A2496))</f>
        <v/>
      </c>
      <c r="H2496" s="26" t="str">
        <f aca="false">IF(A2496="","",COUNTIF(Apparitions!$H$2:$H$5001,A2496))</f>
        <v/>
      </c>
      <c r="I2496" s="26" t="str">
        <f aca="false">IF(A2496="","",COUNTIFS(Apparitions!$H$2:$H$5001,A2496,Apparitions!$E$2:$E$5001,"○"))</f>
        <v/>
      </c>
      <c r="J2496" s="29" t="str">
        <f aca="false">IF(A2496="","",IFERROR(1/(1/_xlfn.MINIFS(Apparitions!$L$2:$L$5001,Apparitions!$H$2:$H$5001,A2496)),""))</f>
        <v/>
      </c>
    </row>
    <row r="2497" customFormat="false" ht="15" hidden="false" customHeight="false" outlineLevel="0" collapsed="false">
      <c r="A2497" s="19"/>
      <c r="B2497" s="19"/>
      <c r="C2497" s="19"/>
      <c r="D2497" s="19"/>
      <c r="E2497" s="32"/>
      <c r="F2497" s="19"/>
      <c r="G2497" s="26" t="str">
        <f aca="false">IF(A2497="","",COUNTIF(Pubs!$B$2:$B$3001,A2497))</f>
        <v/>
      </c>
      <c r="H2497" s="26" t="str">
        <f aca="false">IF(A2497="","",COUNTIF(Apparitions!$H$2:$H$5001,A2497))</f>
        <v/>
      </c>
      <c r="I2497" s="26" t="str">
        <f aca="false">IF(A2497="","",COUNTIFS(Apparitions!$H$2:$H$5001,A2497,Apparitions!$E$2:$E$5001,"○"))</f>
        <v/>
      </c>
      <c r="J2497" s="29" t="str">
        <f aca="false">IF(A2497="","",IFERROR(1/(1/_xlfn.MINIFS(Apparitions!$L$2:$L$5001,Apparitions!$H$2:$H$5001,A2497)),""))</f>
        <v/>
      </c>
    </row>
    <row r="2498" customFormat="false" ht="15" hidden="false" customHeight="false" outlineLevel="0" collapsed="false">
      <c r="A2498" s="19"/>
      <c r="B2498" s="19"/>
      <c r="C2498" s="19"/>
      <c r="D2498" s="19"/>
      <c r="E2498" s="32"/>
      <c r="F2498" s="19"/>
      <c r="G2498" s="26" t="str">
        <f aca="false">IF(A2498="","",COUNTIF(Pubs!$B$2:$B$3001,A2498))</f>
        <v/>
      </c>
      <c r="H2498" s="26" t="str">
        <f aca="false">IF(A2498="","",COUNTIF(Apparitions!$H$2:$H$5001,A2498))</f>
        <v/>
      </c>
      <c r="I2498" s="26" t="str">
        <f aca="false">IF(A2498="","",COUNTIFS(Apparitions!$H$2:$H$5001,A2498,Apparitions!$E$2:$E$5001,"○"))</f>
        <v/>
      </c>
      <c r="J2498" s="29" t="str">
        <f aca="false">IF(A2498="","",IFERROR(1/(1/_xlfn.MINIFS(Apparitions!$L$2:$L$5001,Apparitions!$H$2:$H$5001,A2498)),""))</f>
        <v/>
      </c>
    </row>
    <row r="2499" customFormat="false" ht="15" hidden="false" customHeight="false" outlineLevel="0" collapsed="false">
      <c r="A2499" s="19"/>
      <c r="B2499" s="19"/>
      <c r="C2499" s="19"/>
      <c r="D2499" s="19"/>
      <c r="E2499" s="32"/>
      <c r="F2499" s="19"/>
      <c r="G2499" s="26" t="str">
        <f aca="false">IF(A2499="","",COUNTIF(Pubs!$B$2:$B$3001,A2499))</f>
        <v/>
      </c>
      <c r="H2499" s="26" t="str">
        <f aca="false">IF(A2499="","",COUNTIF(Apparitions!$H$2:$H$5001,A2499))</f>
        <v/>
      </c>
      <c r="I2499" s="26" t="str">
        <f aca="false">IF(A2499="","",COUNTIFS(Apparitions!$H$2:$H$5001,A2499,Apparitions!$E$2:$E$5001,"○"))</f>
        <v/>
      </c>
      <c r="J2499" s="29" t="str">
        <f aca="false">IF(A2499="","",IFERROR(1/(1/_xlfn.MINIFS(Apparitions!$L$2:$L$5001,Apparitions!$H$2:$H$5001,A2499)),""))</f>
        <v/>
      </c>
    </row>
    <row r="2500" customFormat="false" ht="15" hidden="false" customHeight="false" outlineLevel="0" collapsed="false">
      <c r="A2500" s="19"/>
      <c r="B2500" s="19"/>
      <c r="C2500" s="19"/>
      <c r="D2500" s="19"/>
      <c r="E2500" s="32"/>
      <c r="F2500" s="19"/>
      <c r="G2500" s="26" t="str">
        <f aca="false">IF(A2500="","",COUNTIF(Pubs!$B$2:$B$3001,A2500))</f>
        <v/>
      </c>
      <c r="H2500" s="26" t="str">
        <f aca="false">IF(A2500="","",COUNTIF(Apparitions!$H$2:$H$5001,A2500))</f>
        <v/>
      </c>
      <c r="I2500" s="26" t="str">
        <f aca="false">IF(A2500="","",COUNTIFS(Apparitions!$H$2:$H$5001,A2500,Apparitions!$E$2:$E$5001,"○"))</f>
        <v/>
      </c>
      <c r="J2500" s="29" t="str">
        <f aca="false">IF(A2500="","",IFERROR(1/(1/_xlfn.MINIFS(Apparitions!$L$2:$L$5001,Apparitions!$H$2:$H$5001,A2500)),""))</f>
        <v/>
      </c>
    </row>
    <row r="2501" customFormat="false" ht="15" hidden="false" customHeight="false" outlineLevel="0" collapsed="false">
      <c r="A2501" s="19"/>
      <c r="B2501" s="19"/>
      <c r="C2501" s="19"/>
      <c r="D2501" s="19"/>
      <c r="E2501" s="32"/>
      <c r="F2501" s="19"/>
      <c r="G2501" s="26" t="str">
        <f aca="false">IF(A2501="","",COUNTIF(Pubs!$B$2:$B$3001,A2501))</f>
        <v/>
      </c>
      <c r="H2501" s="26" t="str">
        <f aca="false">IF(A2501="","",COUNTIF(Apparitions!$H$2:$H$5001,A2501))</f>
        <v/>
      </c>
      <c r="I2501" s="26" t="str">
        <f aca="false">IF(A2501="","",COUNTIFS(Apparitions!$H$2:$H$5001,A2501,Apparitions!$E$2:$E$5001,"○"))</f>
        <v/>
      </c>
      <c r="J2501" s="29" t="str">
        <f aca="false">IF(A2501="","",IFERROR(1/(1/_xlfn.MINIFS(Apparitions!$L$2:$L$5001,Apparitions!$H$2:$H$5001,A2501)),""))</f>
        <v/>
      </c>
    </row>
    <row r="2502" customFormat="false" ht="15" hidden="false" customHeight="false" outlineLevel="0" collapsed="false">
      <c r="A2502" s="19"/>
      <c r="B2502" s="19"/>
      <c r="C2502" s="19"/>
      <c r="D2502" s="19"/>
      <c r="E2502" s="32"/>
      <c r="F2502" s="19"/>
      <c r="G2502" s="26" t="str">
        <f aca="false">IF(A2502="","",COUNTIF(Pubs!$B$2:$B$3001,A2502))</f>
        <v/>
      </c>
      <c r="H2502" s="26" t="str">
        <f aca="false">IF(A2502="","",COUNTIF(Apparitions!$H$2:$H$5001,A2502))</f>
        <v/>
      </c>
      <c r="I2502" s="26" t="str">
        <f aca="false">IF(A2502="","",COUNTIFS(Apparitions!$H$2:$H$5001,A2502,Apparitions!$E$2:$E$5001,"○"))</f>
        <v/>
      </c>
      <c r="J2502" s="29" t="str">
        <f aca="false">IF(A2502="","",IFERROR(1/(1/_xlfn.MINIFS(Apparitions!$L$2:$L$5001,Apparitions!$H$2:$H$5001,A2502)),""))</f>
        <v/>
      </c>
    </row>
    <row r="2503" customFormat="false" ht="15" hidden="false" customHeight="false" outlineLevel="0" collapsed="false">
      <c r="A2503" s="19"/>
      <c r="B2503" s="19"/>
      <c r="C2503" s="19"/>
      <c r="D2503" s="19"/>
      <c r="E2503" s="32"/>
      <c r="F2503" s="19"/>
      <c r="G2503" s="26" t="str">
        <f aca="false">IF(A2503="","",COUNTIF(Pubs!$B$2:$B$3001,A2503))</f>
        <v/>
      </c>
      <c r="H2503" s="26" t="str">
        <f aca="false">IF(A2503="","",COUNTIF(Apparitions!$H$2:$H$5001,A2503))</f>
        <v/>
      </c>
      <c r="I2503" s="26" t="str">
        <f aca="false">IF(A2503="","",COUNTIFS(Apparitions!$H$2:$H$5001,A2503,Apparitions!$E$2:$E$5001,"○"))</f>
        <v/>
      </c>
      <c r="J2503" s="29" t="str">
        <f aca="false">IF(A2503="","",IFERROR(1/(1/_xlfn.MINIFS(Apparitions!$L$2:$L$5001,Apparitions!$H$2:$H$5001,A2503)),""))</f>
        <v/>
      </c>
    </row>
    <row r="2504" customFormat="false" ht="15" hidden="false" customHeight="false" outlineLevel="0" collapsed="false">
      <c r="A2504" s="19"/>
      <c r="B2504" s="19"/>
      <c r="C2504" s="19"/>
      <c r="D2504" s="19"/>
      <c r="E2504" s="32"/>
      <c r="F2504" s="19"/>
      <c r="G2504" s="26" t="str">
        <f aca="false">IF(A2504="","",COUNTIF(Pubs!$B$2:$B$3001,A2504))</f>
        <v/>
      </c>
      <c r="H2504" s="26" t="str">
        <f aca="false">IF(A2504="","",COUNTIF(Apparitions!$H$2:$H$5001,A2504))</f>
        <v/>
      </c>
      <c r="I2504" s="26" t="str">
        <f aca="false">IF(A2504="","",COUNTIFS(Apparitions!$H$2:$H$5001,A2504,Apparitions!$E$2:$E$5001,"○"))</f>
        <v/>
      </c>
      <c r="J2504" s="29" t="str">
        <f aca="false">IF(A2504="","",IFERROR(1/(1/_xlfn.MINIFS(Apparitions!$L$2:$L$5001,Apparitions!$H$2:$H$5001,A2504)),""))</f>
        <v/>
      </c>
    </row>
    <row r="2505" customFormat="false" ht="15" hidden="false" customHeight="false" outlineLevel="0" collapsed="false">
      <c r="A2505" s="19"/>
      <c r="B2505" s="19"/>
      <c r="C2505" s="19"/>
      <c r="D2505" s="19"/>
      <c r="E2505" s="32"/>
      <c r="F2505" s="19"/>
      <c r="G2505" s="26" t="str">
        <f aca="false">IF(A2505="","",COUNTIF(Pubs!$B$2:$B$3001,A2505))</f>
        <v/>
      </c>
      <c r="H2505" s="26" t="str">
        <f aca="false">IF(A2505="","",COUNTIF(Apparitions!$H$2:$H$5001,A2505))</f>
        <v/>
      </c>
      <c r="I2505" s="26" t="str">
        <f aca="false">IF(A2505="","",COUNTIFS(Apparitions!$H$2:$H$5001,A2505,Apparitions!$E$2:$E$5001,"○"))</f>
        <v/>
      </c>
      <c r="J2505" s="29" t="str">
        <f aca="false">IF(A2505="","",IFERROR(1/(1/_xlfn.MINIFS(Apparitions!$L$2:$L$5001,Apparitions!$H$2:$H$5001,A2505)),""))</f>
        <v/>
      </c>
    </row>
    <row r="2506" customFormat="false" ht="15" hidden="false" customHeight="false" outlineLevel="0" collapsed="false">
      <c r="A2506" s="19"/>
      <c r="B2506" s="19"/>
      <c r="C2506" s="19"/>
      <c r="D2506" s="19"/>
      <c r="E2506" s="32"/>
      <c r="F2506" s="19"/>
      <c r="G2506" s="26" t="str">
        <f aca="false">IF(A2506="","",COUNTIF(Pubs!$B$2:$B$3001,A2506))</f>
        <v/>
      </c>
      <c r="H2506" s="26" t="str">
        <f aca="false">IF(A2506="","",COUNTIF(Apparitions!$H$2:$H$5001,A2506))</f>
        <v/>
      </c>
      <c r="I2506" s="26" t="str">
        <f aca="false">IF(A2506="","",COUNTIFS(Apparitions!$H$2:$H$5001,A2506,Apparitions!$E$2:$E$5001,"○"))</f>
        <v/>
      </c>
      <c r="J2506" s="29" t="str">
        <f aca="false">IF(A2506="","",IFERROR(1/(1/_xlfn.MINIFS(Apparitions!$L$2:$L$5001,Apparitions!$H$2:$H$5001,A2506)),""))</f>
        <v/>
      </c>
    </row>
    <row r="2507" customFormat="false" ht="15" hidden="false" customHeight="false" outlineLevel="0" collapsed="false">
      <c r="A2507" s="19"/>
      <c r="B2507" s="19"/>
      <c r="C2507" s="19"/>
      <c r="D2507" s="19"/>
      <c r="E2507" s="32"/>
      <c r="F2507" s="19"/>
      <c r="G2507" s="26" t="str">
        <f aca="false">IF(A2507="","",COUNTIF(Pubs!$B$2:$B$3001,A2507))</f>
        <v/>
      </c>
      <c r="H2507" s="26" t="str">
        <f aca="false">IF(A2507="","",COUNTIF(Apparitions!$H$2:$H$5001,A2507))</f>
        <v/>
      </c>
      <c r="I2507" s="26" t="str">
        <f aca="false">IF(A2507="","",COUNTIFS(Apparitions!$H$2:$H$5001,A2507,Apparitions!$E$2:$E$5001,"○"))</f>
        <v/>
      </c>
      <c r="J2507" s="29" t="str">
        <f aca="false">IF(A2507="","",IFERROR(1/(1/_xlfn.MINIFS(Apparitions!$L$2:$L$5001,Apparitions!$H$2:$H$5001,A2507)),""))</f>
        <v/>
      </c>
    </row>
    <row r="2508" customFormat="false" ht="15" hidden="false" customHeight="false" outlineLevel="0" collapsed="false">
      <c r="A2508" s="19"/>
      <c r="B2508" s="19"/>
      <c r="C2508" s="19"/>
      <c r="D2508" s="19"/>
      <c r="E2508" s="32"/>
      <c r="F2508" s="19"/>
      <c r="G2508" s="26" t="str">
        <f aca="false">IF(A2508="","",COUNTIF(Pubs!$B$2:$B$3001,A2508))</f>
        <v/>
      </c>
      <c r="H2508" s="26" t="str">
        <f aca="false">IF(A2508="","",COUNTIF(Apparitions!$H$2:$H$5001,A2508))</f>
        <v/>
      </c>
      <c r="I2508" s="26" t="str">
        <f aca="false">IF(A2508="","",COUNTIFS(Apparitions!$H$2:$H$5001,A2508,Apparitions!$E$2:$E$5001,"○"))</f>
        <v/>
      </c>
      <c r="J2508" s="29" t="str">
        <f aca="false">IF(A2508="","",IFERROR(1/(1/_xlfn.MINIFS(Apparitions!$L$2:$L$5001,Apparitions!$H$2:$H$5001,A2508)),""))</f>
        <v/>
      </c>
    </row>
    <row r="2509" customFormat="false" ht="15" hidden="false" customHeight="false" outlineLevel="0" collapsed="false">
      <c r="A2509" s="19"/>
      <c r="B2509" s="19"/>
      <c r="C2509" s="19"/>
      <c r="D2509" s="19"/>
      <c r="E2509" s="32"/>
      <c r="F2509" s="19"/>
      <c r="G2509" s="26" t="str">
        <f aca="false">IF(A2509="","",COUNTIF(Pubs!$B$2:$B$3001,A2509))</f>
        <v/>
      </c>
      <c r="H2509" s="26" t="str">
        <f aca="false">IF(A2509="","",COUNTIF(Apparitions!$H$2:$H$5001,A2509))</f>
        <v/>
      </c>
      <c r="I2509" s="26" t="str">
        <f aca="false">IF(A2509="","",COUNTIFS(Apparitions!$H$2:$H$5001,A2509,Apparitions!$E$2:$E$5001,"○"))</f>
        <v/>
      </c>
      <c r="J2509" s="29" t="str">
        <f aca="false">IF(A2509="","",IFERROR(1/(1/_xlfn.MINIFS(Apparitions!$L$2:$L$5001,Apparitions!$H$2:$H$5001,A2509)),""))</f>
        <v/>
      </c>
    </row>
    <row r="2510" customFormat="false" ht="15" hidden="false" customHeight="false" outlineLevel="0" collapsed="false">
      <c r="A2510" s="19"/>
      <c r="B2510" s="19"/>
      <c r="C2510" s="19"/>
      <c r="D2510" s="19"/>
      <c r="E2510" s="32"/>
      <c r="F2510" s="19"/>
      <c r="G2510" s="26" t="str">
        <f aca="false">IF(A2510="","",COUNTIF(Pubs!$B$2:$B$3001,A2510))</f>
        <v/>
      </c>
      <c r="H2510" s="26" t="str">
        <f aca="false">IF(A2510="","",COUNTIF(Apparitions!$H$2:$H$5001,A2510))</f>
        <v/>
      </c>
      <c r="I2510" s="26" t="str">
        <f aca="false">IF(A2510="","",COUNTIFS(Apparitions!$H$2:$H$5001,A2510,Apparitions!$E$2:$E$5001,"○"))</f>
        <v/>
      </c>
      <c r="J2510" s="29" t="str">
        <f aca="false">IF(A2510="","",IFERROR(1/(1/_xlfn.MINIFS(Apparitions!$L$2:$L$5001,Apparitions!$H$2:$H$5001,A2510)),""))</f>
        <v/>
      </c>
    </row>
    <row r="2511" customFormat="false" ht="15" hidden="false" customHeight="false" outlineLevel="0" collapsed="false">
      <c r="A2511" s="19"/>
      <c r="B2511" s="19"/>
      <c r="C2511" s="19"/>
      <c r="D2511" s="19"/>
      <c r="E2511" s="32"/>
      <c r="F2511" s="19"/>
      <c r="G2511" s="26" t="str">
        <f aca="false">IF(A2511="","",COUNTIF(Pubs!$B$2:$B$3001,A2511))</f>
        <v/>
      </c>
      <c r="H2511" s="26" t="str">
        <f aca="false">IF(A2511="","",COUNTIF(Apparitions!$H$2:$H$5001,A2511))</f>
        <v/>
      </c>
      <c r="I2511" s="26" t="str">
        <f aca="false">IF(A2511="","",COUNTIFS(Apparitions!$H$2:$H$5001,A2511,Apparitions!$E$2:$E$5001,"○"))</f>
        <v/>
      </c>
      <c r="J2511" s="29" t="str">
        <f aca="false">IF(A2511="","",IFERROR(1/(1/_xlfn.MINIFS(Apparitions!$L$2:$L$5001,Apparitions!$H$2:$H$5001,A2511)),""))</f>
        <v/>
      </c>
    </row>
    <row r="2512" customFormat="false" ht="15" hidden="false" customHeight="false" outlineLevel="0" collapsed="false">
      <c r="A2512" s="19"/>
      <c r="B2512" s="19"/>
      <c r="C2512" s="19"/>
      <c r="D2512" s="19"/>
      <c r="E2512" s="32"/>
      <c r="F2512" s="19"/>
      <c r="G2512" s="26" t="str">
        <f aca="false">IF(A2512="","",COUNTIF(Pubs!$B$2:$B$3001,A2512))</f>
        <v/>
      </c>
      <c r="H2512" s="26" t="str">
        <f aca="false">IF(A2512="","",COUNTIF(Apparitions!$H$2:$H$5001,A2512))</f>
        <v/>
      </c>
      <c r="I2512" s="26" t="str">
        <f aca="false">IF(A2512="","",COUNTIFS(Apparitions!$H$2:$H$5001,A2512,Apparitions!$E$2:$E$5001,"○"))</f>
        <v/>
      </c>
      <c r="J2512" s="29" t="str">
        <f aca="false">IF(A2512="","",IFERROR(1/(1/_xlfn.MINIFS(Apparitions!$L$2:$L$5001,Apparitions!$H$2:$H$5001,A2512)),""))</f>
        <v/>
      </c>
    </row>
    <row r="2513" customFormat="false" ht="15" hidden="false" customHeight="false" outlineLevel="0" collapsed="false">
      <c r="A2513" s="19"/>
      <c r="B2513" s="19"/>
      <c r="C2513" s="19"/>
      <c r="D2513" s="19"/>
      <c r="E2513" s="32"/>
      <c r="F2513" s="19"/>
      <c r="G2513" s="26" t="str">
        <f aca="false">IF(A2513="","",COUNTIF(Pubs!$B$2:$B$3001,A2513))</f>
        <v/>
      </c>
      <c r="H2513" s="26" t="str">
        <f aca="false">IF(A2513="","",COUNTIF(Apparitions!$H$2:$H$5001,A2513))</f>
        <v/>
      </c>
      <c r="I2513" s="26" t="str">
        <f aca="false">IF(A2513="","",COUNTIFS(Apparitions!$H$2:$H$5001,A2513,Apparitions!$E$2:$E$5001,"○"))</f>
        <v/>
      </c>
      <c r="J2513" s="29" t="str">
        <f aca="false">IF(A2513="","",IFERROR(1/(1/_xlfn.MINIFS(Apparitions!$L$2:$L$5001,Apparitions!$H$2:$H$5001,A2513)),""))</f>
        <v/>
      </c>
    </row>
    <row r="2514" customFormat="false" ht="15" hidden="false" customHeight="false" outlineLevel="0" collapsed="false">
      <c r="A2514" s="19"/>
      <c r="B2514" s="19"/>
      <c r="C2514" s="19"/>
      <c r="D2514" s="19"/>
      <c r="E2514" s="32"/>
      <c r="F2514" s="19"/>
      <c r="G2514" s="26" t="str">
        <f aca="false">IF(A2514="","",COUNTIF(Pubs!$B$2:$B$3001,A2514))</f>
        <v/>
      </c>
      <c r="H2514" s="26" t="str">
        <f aca="false">IF(A2514="","",COUNTIF(Apparitions!$H$2:$H$5001,A2514))</f>
        <v/>
      </c>
      <c r="I2514" s="26" t="str">
        <f aca="false">IF(A2514="","",COUNTIFS(Apparitions!$H$2:$H$5001,A2514,Apparitions!$E$2:$E$5001,"○"))</f>
        <v/>
      </c>
      <c r="J2514" s="29" t="str">
        <f aca="false">IF(A2514="","",IFERROR(1/(1/_xlfn.MINIFS(Apparitions!$L$2:$L$5001,Apparitions!$H$2:$H$5001,A2514)),""))</f>
        <v/>
      </c>
    </row>
    <row r="2515" customFormat="false" ht="15" hidden="false" customHeight="false" outlineLevel="0" collapsed="false">
      <c r="A2515" s="19"/>
      <c r="B2515" s="19"/>
      <c r="C2515" s="19"/>
      <c r="D2515" s="19"/>
      <c r="E2515" s="32"/>
      <c r="F2515" s="19"/>
      <c r="G2515" s="26" t="str">
        <f aca="false">IF(A2515="","",COUNTIF(Pubs!$B$2:$B$3001,A2515))</f>
        <v/>
      </c>
      <c r="H2515" s="26" t="str">
        <f aca="false">IF(A2515="","",COUNTIF(Apparitions!$H$2:$H$5001,A2515))</f>
        <v/>
      </c>
      <c r="I2515" s="26" t="str">
        <f aca="false">IF(A2515="","",COUNTIFS(Apparitions!$H$2:$H$5001,A2515,Apparitions!$E$2:$E$5001,"○"))</f>
        <v/>
      </c>
      <c r="J2515" s="29" t="str">
        <f aca="false">IF(A2515="","",IFERROR(1/(1/_xlfn.MINIFS(Apparitions!$L$2:$L$5001,Apparitions!$H$2:$H$5001,A2515)),""))</f>
        <v/>
      </c>
    </row>
    <row r="2516" customFormat="false" ht="15" hidden="false" customHeight="false" outlineLevel="0" collapsed="false">
      <c r="A2516" s="19"/>
      <c r="B2516" s="19"/>
      <c r="C2516" s="19"/>
      <c r="D2516" s="19"/>
      <c r="E2516" s="32"/>
      <c r="F2516" s="19"/>
      <c r="G2516" s="26" t="str">
        <f aca="false">IF(A2516="","",COUNTIF(Pubs!$B$2:$B$3001,A2516))</f>
        <v/>
      </c>
      <c r="H2516" s="26" t="str">
        <f aca="false">IF(A2516="","",COUNTIF(Apparitions!$H$2:$H$5001,A2516))</f>
        <v/>
      </c>
      <c r="I2516" s="26" t="str">
        <f aca="false">IF(A2516="","",COUNTIFS(Apparitions!$H$2:$H$5001,A2516,Apparitions!$E$2:$E$5001,"○"))</f>
        <v/>
      </c>
      <c r="J2516" s="29" t="str">
        <f aca="false">IF(A2516="","",IFERROR(1/(1/_xlfn.MINIFS(Apparitions!$L$2:$L$5001,Apparitions!$H$2:$H$5001,A2516)),""))</f>
        <v/>
      </c>
    </row>
    <row r="2517" customFormat="false" ht="15" hidden="false" customHeight="false" outlineLevel="0" collapsed="false">
      <c r="A2517" s="19"/>
      <c r="B2517" s="19"/>
      <c r="C2517" s="19"/>
      <c r="D2517" s="19"/>
      <c r="E2517" s="32"/>
      <c r="F2517" s="19"/>
      <c r="G2517" s="26" t="str">
        <f aca="false">IF(A2517="","",COUNTIF(Pubs!$B$2:$B$3001,A2517))</f>
        <v/>
      </c>
      <c r="H2517" s="26" t="str">
        <f aca="false">IF(A2517="","",COUNTIF(Apparitions!$H$2:$H$5001,A2517))</f>
        <v/>
      </c>
      <c r="I2517" s="26" t="str">
        <f aca="false">IF(A2517="","",COUNTIFS(Apparitions!$H$2:$H$5001,A2517,Apparitions!$E$2:$E$5001,"○"))</f>
        <v/>
      </c>
      <c r="J2517" s="29" t="str">
        <f aca="false">IF(A2517="","",IFERROR(1/(1/_xlfn.MINIFS(Apparitions!$L$2:$L$5001,Apparitions!$H$2:$H$5001,A2517)),""))</f>
        <v/>
      </c>
    </row>
    <row r="2518" customFormat="false" ht="15" hidden="false" customHeight="false" outlineLevel="0" collapsed="false">
      <c r="A2518" s="19"/>
      <c r="B2518" s="19"/>
      <c r="C2518" s="19"/>
      <c r="D2518" s="19"/>
      <c r="E2518" s="32"/>
      <c r="F2518" s="19"/>
      <c r="G2518" s="26" t="str">
        <f aca="false">IF(A2518="","",COUNTIF(Pubs!$B$2:$B$3001,A2518))</f>
        <v/>
      </c>
      <c r="H2518" s="26" t="str">
        <f aca="false">IF(A2518="","",COUNTIF(Apparitions!$H$2:$H$5001,A2518))</f>
        <v/>
      </c>
      <c r="I2518" s="26" t="str">
        <f aca="false">IF(A2518="","",COUNTIFS(Apparitions!$H$2:$H$5001,A2518,Apparitions!$E$2:$E$5001,"○"))</f>
        <v/>
      </c>
      <c r="J2518" s="29" t="str">
        <f aca="false">IF(A2518="","",IFERROR(1/(1/_xlfn.MINIFS(Apparitions!$L$2:$L$5001,Apparitions!$H$2:$H$5001,A2518)),""))</f>
        <v/>
      </c>
    </row>
    <row r="2519" customFormat="false" ht="15" hidden="false" customHeight="false" outlineLevel="0" collapsed="false">
      <c r="A2519" s="19"/>
      <c r="B2519" s="19"/>
      <c r="C2519" s="19"/>
      <c r="D2519" s="19"/>
      <c r="E2519" s="32"/>
      <c r="F2519" s="19"/>
      <c r="G2519" s="26" t="str">
        <f aca="false">IF(A2519="","",COUNTIF(Pubs!$B$2:$B$3001,A2519))</f>
        <v/>
      </c>
      <c r="H2519" s="26" t="str">
        <f aca="false">IF(A2519="","",COUNTIF(Apparitions!$H$2:$H$5001,A2519))</f>
        <v/>
      </c>
      <c r="I2519" s="26" t="str">
        <f aca="false">IF(A2519="","",COUNTIFS(Apparitions!$H$2:$H$5001,A2519,Apparitions!$E$2:$E$5001,"○"))</f>
        <v/>
      </c>
      <c r="J2519" s="29" t="str">
        <f aca="false">IF(A2519="","",IFERROR(1/(1/_xlfn.MINIFS(Apparitions!$L$2:$L$5001,Apparitions!$H$2:$H$5001,A2519)),""))</f>
        <v/>
      </c>
    </row>
    <row r="2520" customFormat="false" ht="15" hidden="false" customHeight="false" outlineLevel="0" collapsed="false">
      <c r="A2520" s="19"/>
      <c r="B2520" s="19"/>
      <c r="C2520" s="19"/>
      <c r="D2520" s="19"/>
      <c r="E2520" s="32"/>
      <c r="F2520" s="19"/>
      <c r="G2520" s="26" t="str">
        <f aca="false">IF(A2520="","",COUNTIF(Pubs!$B$2:$B$3001,A2520))</f>
        <v/>
      </c>
      <c r="H2520" s="26" t="str">
        <f aca="false">IF(A2520="","",COUNTIF(Apparitions!$H$2:$H$5001,A2520))</f>
        <v/>
      </c>
      <c r="I2520" s="26" t="str">
        <f aca="false">IF(A2520="","",COUNTIFS(Apparitions!$H$2:$H$5001,A2520,Apparitions!$E$2:$E$5001,"○"))</f>
        <v/>
      </c>
      <c r="J2520" s="29" t="str">
        <f aca="false">IF(A2520="","",IFERROR(1/(1/_xlfn.MINIFS(Apparitions!$L$2:$L$5001,Apparitions!$H$2:$H$5001,A2520)),""))</f>
        <v/>
      </c>
    </row>
    <row r="2521" customFormat="false" ht="15" hidden="false" customHeight="false" outlineLevel="0" collapsed="false">
      <c r="A2521" s="19"/>
      <c r="B2521" s="19"/>
      <c r="C2521" s="19"/>
      <c r="D2521" s="19"/>
      <c r="E2521" s="32"/>
      <c r="F2521" s="19"/>
      <c r="G2521" s="26" t="str">
        <f aca="false">IF(A2521="","",COUNTIF(Pubs!$B$2:$B$3001,A2521))</f>
        <v/>
      </c>
      <c r="H2521" s="26" t="str">
        <f aca="false">IF(A2521="","",COUNTIF(Apparitions!$H$2:$H$5001,A2521))</f>
        <v/>
      </c>
      <c r="I2521" s="26" t="str">
        <f aca="false">IF(A2521="","",COUNTIFS(Apparitions!$H$2:$H$5001,A2521,Apparitions!$E$2:$E$5001,"○"))</f>
        <v/>
      </c>
      <c r="J2521" s="29" t="str">
        <f aca="false">IF(A2521="","",IFERROR(1/(1/_xlfn.MINIFS(Apparitions!$L$2:$L$5001,Apparitions!$H$2:$H$5001,A2521)),""))</f>
        <v/>
      </c>
    </row>
    <row r="2522" customFormat="false" ht="15" hidden="false" customHeight="false" outlineLevel="0" collapsed="false">
      <c r="A2522" s="19"/>
      <c r="B2522" s="19"/>
      <c r="C2522" s="19"/>
      <c r="D2522" s="19"/>
      <c r="E2522" s="32"/>
      <c r="F2522" s="19"/>
      <c r="G2522" s="26" t="str">
        <f aca="false">IF(A2522="","",COUNTIF(Pubs!$B$2:$B$3001,A2522))</f>
        <v/>
      </c>
      <c r="H2522" s="26" t="str">
        <f aca="false">IF(A2522="","",COUNTIF(Apparitions!$H$2:$H$5001,A2522))</f>
        <v/>
      </c>
      <c r="I2522" s="26" t="str">
        <f aca="false">IF(A2522="","",COUNTIFS(Apparitions!$H$2:$H$5001,A2522,Apparitions!$E$2:$E$5001,"○"))</f>
        <v/>
      </c>
      <c r="J2522" s="29" t="str">
        <f aca="false">IF(A2522="","",IFERROR(1/(1/_xlfn.MINIFS(Apparitions!$L$2:$L$5001,Apparitions!$H$2:$H$5001,A2522)),""))</f>
        <v/>
      </c>
    </row>
    <row r="2523" customFormat="false" ht="15" hidden="false" customHeight="false" outlineLevel="0" collapsed="false">
      <c r="A2523" s="19"/>
      <c r="B2523" s="19"/>
      <c r="C2523" s="19"/>
      <c r="D2523" s="19"/>
      <c r="E2523" s="32"/>
      <c r="F2523" s="19"/>
      <c r="G2523" s="26" t="str">
        <f aca="false">IF(A2523="","",COUNTIF(Pubs!$B$2:$B$3001,A2523))</f>
        <v/>
      </c>
      <c r="H2523" s="26" t="str">
        <f aca="false">IF(A2523="","",COUNTIF(Apparitions!$H$2:$H$5001,A2523))</f>
        <v/>
      </c>
      <c r="I2523" s="26" t="str">
        <f aca="false">IF(A2523="","",COUNTIFS(Apparitions!$H$2:$H$5001,A2523,Apparitions!$E$2:$E$5001,"○"))</f>
        <v/>
      </c>
      <c r="J2523" s="29" t="str">
        <f aca="false">IF(A2523="","",IFERROR(1/(1/_xlfn.MINIFS(Apparitions!$L$2:$L$5001,Apparitions!$H$2:$H$5001,A2523)),""))</f>
        <v/>
      </c>
    </row>
    <row r="2524" customFormat="false" ht="15" hidden="false" customHeight="false" outlineLevel="0" collapsed="false">
      <c r="A2524" s="19"/>
      <c r="B2524" s="19"/>
      <c r="C2524" s="19"/>
      <c r="D2524" s="19"/>
      <c r="E2524" s="32"/>
      <c r="F2524" s="19"/>
      <c r="G2524" s="26" t="str">
        <f aca="false">IF(A2524="","",COUNTIF(Pubs!$B$2:$B$3001,A2524))</f>
        <v/>
      </c>
      <c r="H2524" s="26" t="str">
        <f aca="false">IF(A2524="","",COUNTIF(Apparitions!$H$2:$H$5001,A2524))</f>
        <v/>
      </c>
      <c r="I2524" s="26" t="str">
        <f aca="false">IF(A2524="","",COUNTIFS(Apparitions!$H$2:$H$5001,A2524,Apparitions!$E$2:$E$5001,"○"))</f>
        <v/>
      </c>
      <c r="J2524" s="29" t="str">
        <f aca="false">IF(A2524="","",IFERROR(1/(1/_xlfn.MINIFS(Apparitions!$L$2:$L$5001,Apparitions!$H$2:$H$5001,A2524)),""))</f>
        <v/>
      </c>
    </row>
    <row r="2525" customFormat="false" ht="15" hidden="false" customHeight="false" outlineLevel="0" collapsed="false">
      <c r="A2525" s="19"/>
      <c r="B2525" s="19"/>
      <c r="C2525" s="19"/>
      <c r="D2525" s="19"/>
      <c r="E2525" s="32"/>
      <c r="F2525" s="19"/>
      <c r="G2525" s="26" t="str">
        <f aca="false">IF(A2525="","",COUNTIF(Pubs!$B$2:$B$3001,A2525))</f>
        <v/>
      </c>
      <c r="H2525" s="26" t="str">
        <f aca="false">IF(A2525="","",COUNTIF(Apparitions!$H$2:$H$5001,A2525))</f>
        <v/>
      </c>
      <c r="I2525" s="26" t="str">
        <f aca="false">IF(A2525="","",COUNTIFS(Apparitions!$H$2:$H$5001,A2525,Apparitions!$E$2:$E$5001,"○"))</f>
        <v/>
      </c>
      <c r="J2525" s="29" t="str">
        <f aca="false">IF(A2525="","",IFERROR(1/(1/_xlfn.MINIFS(Apparitions!$L$2:$L$5001,Apparitions!$H$2:$H$5001,A2525)),""))</f>
        <v/>
      </c>
    </row>
    <row r="2526" customFormat="false" ht="15" hidden="false" customHeight="false" outlineLevel="0" collapsed="false">
      <c r="A2526" s="19"/>
      <c r="B2526" s="19"/>
      <c r="C2526" s="19"/>
      <c r="D2526" s="19"/>
      <c r="E2526" s="32"/>
      <c r="F2526" s="19"/>
      <c r="G2526" s="26" t="str">
        <f aca="false">IF(A2526="","",COUNTIF(Pubs!$B$2:$B$3001,A2526))</f>
        <v/>
      </c>
      <c r="H2526" s="26" t="str">
        <f aca="false">IF(A2526="","",COUNTIF(Apparitions!$H$2:$H$5001,A2526))</f>
        <v/>
      </c>
      <c r="I2526" s="26" t="str">
        <f aca="false">IF(A2526="","",COUNTIFS(Apparitions!$H$2:$H$5001,A2526,Apparitions!$E$2:$E$5001,"○"))</f>
        <v/>
      </c>
      <c r="J2526" s="29" t="str">
        <f aca="false">IF(A2526="","",IFERROR(1/(1/_xlfn.MINIFS(Apparitions!$L$2:$L$5001,Apparitions!$H$2:$H$5001,A2526)),""))</f>
        <v/>
      </c>
    </row>
    <row r="2527" customFormat="false" ht="15" hidden="false" customHeight="false" outlineLevel="0" collapsed="false">
      <c r="A2527" s="19"/>
      <c r="B2527" s="19"/>
      <c r="C2527" s="19"/>
      <c r="D2527" s="19"/>
      <c r="E2527" s="32"/>
      <c r="F2527" s="19"/>
      <c r="G2527" s="26" t="str">
        <f aca="false">IF(A2527="","",COUNTIF(Pubs!$B$2:$B$3001,A2527))</f>
        <v/>
      </c>
      <c r="H2527" s="26" t="str">
        <f aca="false">IF(A2527="","",COUNTIF(Apparitions!$H$2:$H$5001,A2527))</f>
        <v/>
      </c>
      <c r="I2527" s="26" t="str">
        <f aca="false">IF(A2527="","",COUNTIFS(Apparitions!$H$2:$H$5001,A2527,Apparitions!$E$2:$E$5001,"○"))</f>
        <v/>
      </c>
      <c r="J2527" s="29" t="str">
        <f aca="false">IF(A2527="","",IFERROR(1/(1/_xlfn.MINIFS(Apparitions!$L$2:$L$5001,Apparitions!$H$2:$H$5001,A2527)),""))</f>
        <v/>
      </c>
    </row>
    <row r="2528" customFormat="false" ht="15" hidden="false" customHeight="false" outlineLevel="0" collapsed="false">
      <c r="A2528" s="19"/>
      <c r="B2528" s="19"/>
      <c r="C2528" s="19"/>
      <c r="D2528" s="19"/>
      <c r="E2528" s="32"/>
      <c r="F2528" s="19"/>
      <c r="G2528" s="26" t="str">
        <f aca="false">IF(A2528="","",COUNTIF(Pubs!$B$2:$B$3001,A2528))</f>
        <v/>
      </c>
      <c r="H2528" s="26" t="str">
        <f aca="false">IF(A2528="","",COUNTIF(Apparitions!$H$2:$H$5001,A2528))</f>
        <v/>
      </c>
      <c r="I2528" s="26" t="str">
        <f aca="false">IF(A2528="","",COUNTIFS(Apparitions!$H$2:$H$5001,A2528,Apparitions!$E$2:$E$5001,"○"))</f>
        <v/>
      </c>
      <c r="J2528" s="29" t="str">
        <f aca="false">IF(A2528="","",IFERROR(1/(1/_xlfn.MINIFS(Apparitions!$L$2:$L$5001,Apparitions!$H$2:$H$5001,A2528)),""))</f>
        <v/>
      </c>
    </row>
    <row r="2529" customFormat="false" ht="15" hidden="false" customHeight="false" outlineLevel="0" collapsed="false">
      <c r="A2529" s="19"/>
      <c r="B2529" s="19"/>
      <c r="C2529" s="19"/>
      <c r="D2529" s="19"/>
      <c r="E2529" s="32"/>
      <c r="F2529" s="19"/>
      <c r="G2529" s="26" t="str">
        <f aca="false">IF(A2529="","",COUNTIF(Pubs!$B$2:$B$3001,A2529))</f>
        <v/>
      </c>
      <c r="H2529" s="26" t="str">
        <f aca="false">IF(A2529="","",COUNTIF(Apparitions!$H$2:$H$5001,A2529))</f>
        <v/>
      </c>
      <c r="I2529" s="26" t="str">
        <f aca="false">IF(A2529="","",COUNTIFS(Apparitions!$H$2:$H$5001,A2529,Apparitions!$E$2:$E$5001,"○"))</f>
        <v/>
      </c>
      <c r="J2529" s="29" t="str">
        <f aca="false">IF(A2529="","",IFERROR(1/(1/_xlfn.MINIFS(Apparitions!$L$2:$L$5001,Apparitions!$H$2:$H$5001,A2529)),""))</f>
        <v/>
      </c>
    </row>
    <row r="2530" customFormat="false" ht="15" hidden="false" customHeight="false" outlineLevel="0" collapsed="false">
      <c r="A2530" s="19"/>
      <c r="B2530" s="19"/>
      <c r="C2530" s="19"/>
      <c r="D2530" s="19"/>
      <c r="E2530" s="32"/>
      <c r="F2530" s="19"/>
      <c r="G2530" s="26" t="str">
        <f aca="false">IF(A2530="","",COUNTIF(Pubs!$B$2:$B$3001,A2530))</f>
        <v/>
      </c>
      <c r="H2530" s="26" t="str">
        <f aca="false">IF(A2530="","",COUNTIF(Apparitions!$H$2:$H$5001,A2530))</f>
        <v/>
      </c>
      <c r="I2530" s="26" t="str">
        <f aca="false">IF(A2530="","",COUNTIFS(Apparitions!$H$2:$H$5001,A2530,Apparitions!$E$2:$E$5001,"○"))</f>
        <v/>
      </c>
      <c r="J2530" s="29" t="str">
        <f aca="false">IF(A2530="","",IFERROR(1/(1/_xlfn.MINIFS(Apparitions!$L$2:$L$5001,Apparitions!$H$2:$H$5001,A2530)),""))</f>
        <v/>
      </c>
    </row>
    <row r="2531" customFormat="false" ht="15" hidden="false" customHeight="false" outlineLevel="0" collapsed="false">
      <c r="A2531" s="19"/>
      <c r="B2531" s="19"/>
      <c r="C2531" s="19"/>
      <c r="D2531" s="19"/>
      <c r="E2531" s="32"/>
      <c r="F2531" s="19"/>
      <c r="G2531" s="26" t="str">
        <f aca="false">IF(A2531="","",COUNTIF(Pubs!$B$2:$B$3001,A2531))</f>
        <v/>
      </c>
      <c r="H2531" s="26" t="str">
        <f aca="false">IF(A2531="","",COUNTIF(Apparitions!$H$2:$H$5001,A2531))</f>
        <v/>
      </c>
      <c r="I2531" s="26" t="str">
        <f aca="false">IF(A2531="","",COUNTIFS(Apparitions!$H$2:$H$5001,A2531,Apparitions!$E$2:$E$5001,"○"))</f>
        <v/>
      </c>
      <c r="J2531" s="29" t="str">
        <f aca="false">IF(A2531="","",IFERROR(1/(1/_xlfn.MINIFS(Apparitions!$L$2:$L$5001,Apparitions!$H$2:$H$5001,A2531)),""))</f>
        <v/>
      </c>
    </row>
    <row r="2532" customFormat="false" ht="15" hidden="false" customHeight="false" outlineLevel="0" collapsed="false">
      <c r="A2532" s="19"/>
      <c r="B2532" s="19"/>
      <c r="C2532" s="19"/>
      <c r="D2532" s="19"/>
      <c r="E2532" s="32"/>
      <c r="F2532" s="19"/>
      <c r="G2532" s="26" t="str">
        <f aca="false">IF(A2532="","",COUNTIF(Pubs!$B$2:$B$3001,A2532))</f>
        <v/>
      </c>
      <c r="H2532" s="26" t="str">
        <f aca="false">IF(A2532="","",COUNTIF(Apparitions!$H$2:$H$5001,A2532))</f>
        <v/>
      </c>
      <c r="I2532" s="26" t="str">
        <f aca="false">IF(A2532="","",COUNTIFS(Apparitions!$H$2:$H$5001,A2532,Apparitions!$E$2:$E$5001,"○"))</f>
        <v/>
      </c>
      <c r="J2532" s="29" t="str">
        <f aca="false">IF(A2532="","",IFERROR(1/(1/_xlfn.MINIFS(Apparitions!$L$2:$L$5001,Apparitions!$H$2:$H$5001,A2532)),""))</f>
        <v/>
      </c>
    </row>
    <row r="2533" customFormat="false" ht="15" hidden="false" customHeight="false" outlineLevel="0" collapsed="false">
      <c r="A2533" s="19"/>
      <c r="B2533" s="19"/>
      <c r="C2533" s="19"/>
      <c r="D2533" s="19"/>
      <c r="E2533" s="32"/>
      <c r="F2533" s="19"/>
      <c r="G2533" s="26" t="str">
        <f aca="false">IF(A2533="","",COUNTIF(Pubs!$B$2:$B$3001,A2533))</f>
        <v/>
      </c>
      <c r="H2533" s="26" t="str">
        <f aca="false">IF(A2533="","",COUNTIF(Apparitions!$H$2:$H$5001,A2533))</f>
        <v/>
      </c>
      <c r="I2533" s="26" t="str">
        <f aca="false">IF(A2533="","",COUNTIFS(Apparitions!$H$2:$H$5001,A2533,Apparitions!$E$2:$E$5001,"○"))</f>
        <v/>
      </c>
      <c r="J2533" s="29" t="str">
        <f aca="false">IF(A2533="","",IFERROR(1/(1/_xlfn.MINIFS(Apparitions!$L$2:$L$5001,Apparitions!$H$2:$H$5001,A2533)),""))</f>
        <v/>
      </c>
    </row>
    <row r="2534" customFormat="false" ht="15" hidden="false" customHeight="false" outlineLevel="0" collapsed="false">
      <c r="A2534" s="19"/>
      <c r="B2534" s="19"/>
      <c r="C2534" s="19"/>
      <c r="D2534" s="19"/>
      <c r="E2534" s="32"/>
      <c r="F2534" s="19"/>
      <c r="G2534" s="26" t="str">
        <f aca="false">IF(A2534="","",COUNTIF(Pubs!$B$2:$B$3001,A2534))</f>
        <v/>
      </c>
      <c r="H2534" s="26" t="str">
        <f aca="false">IF(A2534="","",COUNTIF(Apparitions!$H$2:$H$5001,A2534))</f>
        <v/>
      </c>
      <c r="I2534" s="26" t="str">
        <f aca="false">IF(A2534="","",COUNTIFS(Apparitions!$H$2:$H$5001,A2534,Apparitions!$E$2:$E$5001,"○"))</f>
        <v/>
      </c>
      <c r="J2534" s="29" t="str">
        <f aca="false">IF(A2534="","",IFERROR(1/(1/_xlfn.MINIFS(Apparitions!$L$2:$L$5001,Apparitions!$H$2:$H$5001,A2534)),""))</f>
        <v/>
      </c>
    </row>
    <row r="2535" customFormat="false" ht="15" hidden="false" customHeight="false" outlineLevel="0" collapsed="false">
      <c r="A2535" s="19"/>
      <c r="B2535" s="19"/>
      <c r="C2535" s="19"/>
      <c r="D2535" s="19"/>
      <c r="E2535" s="32"/>
      <c r="F2535" s="19"/>
      <c r="G2535" s="26" t="str">
        <f aca="false">IF(A2535="","",COUNTIF(Pubs!$B$2:$B$3001,A2535))</f>
        <v/>
      </c>
      <c r="H2535" s="26" t="str">
        <f aca="false">IF(A2535="","",COUNTIF(Apparitions!$H$2:$H$5001,A2535))</f>
        <v/>
      </c>
      <c r="I2535" s="26" t="str">
        <f aca="false">IF(A2535="","",COUNTIFS(Apparitions!$H$2:$H$5001,A2535,Apparitions!$E$2:$E$5001,"○"))</f>
        <v/>
      </c>
      <c r="J2535" s="29" t="str">
        <f aca="false">IF(A2535="","",IFERROR(1/(1/_xlfn.MINIFS(Apparitions!$L$2:$L$5001,Apparitions!$H$2:$H$5001,A2535)),""))</f>
        <v/>
      </c>
    </row>
    <row r="2536" customFormat="false" ht="15" hidden="false" customHeight="false" outlineLevel="0" collapsed="false">
      <c r="A2536" s="19"/>
      <c r="B2536" s="19"/>
      <c r="C2536" s="19"/>
      <c r="D2536" s="19"/>
      <c r="E2536" s="32"/>
      <c r="F2536" s="19"/>
      <c r="G2536" s="26" t="str">
        <f aca="false">IF(A2536="","",COUNTIF(Pubs!$B$2:$B$3001,A2536))</f>
        <v/>
      </c>
      <c r="H2536" s="26" t="str">
        <f aca="false">IF(A2536="","",COUNTIF(Apparitions!$H$2:$H$5001,A2536))</f>
        <v/>
      </c>
      <c r="I2536" s="26" t="str">
        <f aca="false">IF(A2536="","",COUNTIFS(Apparitions!$H$2:$H$5001,A2536,Apparitions!$E$2:$E$5001,"○"))</f>
        <v/>
      </c>
      <c r="J2536" s="29" t="str">
        <f aca="false">IF(A2536="","",IFERROR(1/(1/_xlfn.MINIFS(Apparitions!$L$2:$L$5001,Apparitions!$H$2:$H$5001,A2536)),""))</f>
        <v/>
      </c>
    </row>
    <row r="2537" customFormat="false" ht="15" hidden="false" customHeight="false" outlineLevel="0" collapsed="false">
      <c r="A2537" s="19"/>
      <c r="B2537" s="19"/>
      <c r="C2537" s="19"/>
      <c r="D2537" s="19"/>
      <c r="E2537" s="32"/>
      <c r="F2537" s="19"/>
      <c r="G2537" s="26" t="str">
        <f aca="false">IF(A2537="","",COUNTIF(Pubs!$B$2:$B$3001,A2537))</f>
        <v/>
      </c>
      <c r="H2537" s="26" t="str">
        <f aca="false">IF(A2537="","",COUNTIF(Apparitions!$H$2:$H$5001,A2537))</f>
        <v/>
      </c>
      <c r="I2537" s="26" t="str">
        <f aca="false">IF(A2537="","",COUNTIFS(Apparitions!$H$2:$H$5001,A2537,Apparitions!$E$2:$E$5001,"○"))</f>
        <v/>
      </c>
      <c r="J2537" s="29" t="str">
        <f aca="false">IF(A2537="","",IFERROR(1/(1/_xlfn.MINIFS(Apparitions!$L$2:$L$5001,Apparitions!$H$2:$H$5001,A2537)),""))</f>
        <v/>
      </c>
    </row>
    <row r="2538" customFormat="false" ht="15" hidden="false" customHeight="false" outlineLevel="0" collapsed="false">
      <c r="A2538" s="19"/>
      <c r="B2538" s="19"/>
      <c r="C2538" s="19"/>
      <c r="D2538" s="19"/>
      <c r="E2538" s="32"/>
      <c r="F2538" s="19"/>
      <c r="G2538" s="26" t="str">
        <f aca="false">IF(A2538="","",COUNTIF(Pubs!$B$2:$B$3001,A2538))</f>
        <v/>
      </c>
      <c r="H2538" s="26" t="str">
        <f aca="false">IF(A2538="","",COUNTIF(Apparitions!$H$2:$H$5001,A2538))</f>
        <v/>
      </c>
      <c r="I2538" s="26" t="str">
        <f aca="false">IF(A2538="","",COUNTIFS(Apparitions!$H$2:$H$5001,A2538,Apparitions!$E$2:$E$5001,"○"))</f>
        <v/>
      </c>
      <c r="J2538" s="29" t="str">
        <f aca="false">IF(A2538="","",IFERROR(1/(1/_xlfn.MINIFS(Apparitions!$L$2:$L$5001,Apparitions!$H$2:$H$5001,A2538)),""))</f>
        <v/>
      </c>
    </row>
    <row r="2539" customFormat="false" ht="15" hidden="false" customHeight="false" outlineLevel="0" collapsed="false">
      <c r="A2539" s="19"/>
      <c r="B2539" s="19"/>
      <c r="C2539" s="19"/>
      <c r="D2539" s="19"/>
      <c r="E2539" s="32"/>
      <c r="F2539" s="19"/>
      <c r="G2539" s="26" t="str">
        <f aca="false">IF(A2539="","",COUNTIF(Pubs!$B$2:$B$3001,A2539))</f>
        <v/>
      </c>
      <c r="H2539" s="26" t="str">
        <f aca="false">IF(A2539="","",COUNTIF(Apparitions!$H$2:$H$5001,A2539))</f>
        <v/>
      </c>
      <c r="I2539" s="26" t="str">
        <f aca="false">IF(A2539="","",COUNTIFS(Apparitions!$H$2:$H$5001,A2539,Apparitions!$E$2:$E$5001,"○"))</f>
        <v/>
      </c>
      <c r="J2539" s="29" t="str">
        <f aca="false">IF(A2539="","",IFERROR(1/(1/_xlfn.MINIFS(Apparitions!$L$2:$L$5001,Apparitions!$H$2:$H$5001,A2539)),""))</f>
        <v/>
      </c>
    </row>
    <row r="2540" customFormat="false" ht="15" hidden="false" customHeight="false" outlineLevel="0" collapsed="false">
      <c r="A2540" s="19"/>
      <c r="B2540" s="19"/>
      <c r="C2540" s="19"/>
      <c r="D2540" s="19"/>
      <c r="E2540" s="32"/>
      <c r="F2540" s="19"/>
      <c r="G2540" s="26" t="str">
        <f aca="false">IF(A2540="","",COUNTIF(Pubs!$B$2:$B$3001,A2540))</f>
        <v/>
      </c>
      <c r="H2540" s="26" t="str">
        <f aca="false">IF(A2540="","",COUNTIF(Apparitions!$H$2:$H$5001,A2540))</f>
        <v/>
      </c>
      <c r="I2540" s="26" t="str">
        <f aca="false">IF(A2540="","",COUNTIFS(Apparitions!$H$2:$H$5001,A2540,Apparitions!$E$2:$E$5001,"○"))</f>
        <v/>
      </c>
      <c r="J2540" s="29" t="str">
        <f aca="false">IF(A2540="","",IFERROR(1/(1/_xlfn.MINIFS(Apparitions!$L$2:$L$5001,Apparitions!$H$2:$H$5001,A2540)),""))</f>
        <v/>
      </c>
    </row>
    <row r="2541" customFormat="false" ht="15" hidden="false" customHeight="false" outlineLevel="0" collapsed="false">
      <c r="A2541" s="19"/>
      <c r="B2541" s="19"/>
      <c r="C2541" s="19"/>
      <c r="D2541" s="19"/>
      <c r="E2541" s="32"/>
      <c r="F2541" s="19"/>
      <c r="G2541" s="26" t="str">
        <f aca="false">IF(A2541="","",COUNTIF(Pubs!$B$2:$B$3001,A2541))</f>
        <v/>
      </c>
      <c r="H2541" s="26" t="str">
        <f aca="false">IF(A2541="","",COUNTIF(Apparitions!$H$2:$H$5001,A2541))</f>
        <v/>
      </c>
      <c r="I2541" s="26" t="str">
        <f aca="false">IF(A2541="","",COUNTIFS(Apparitions!$H$2:$H$5001,A2541,Apparitions!$E$2:$E$5001,"○"))</f>
        <v/>
      </c>
      <c r="J2541" s="29" t="str">
        <f aca="false">IF(A2541="","",IFERROR(1/(1/_xlfn.MINIFS(Apparitions!$L$2:$L$5001,Apparitions!$H$2:$H$5001,A2541)),""))</f>
        <v/>
      </c>
    </row>
    <row r="2542" customFormat="false" ht="15" hidden="false" customHeight="false" outlineLevel="0" collapsed="false">
      <c r="A2542" s="19"/>
      <c r="B2542" s="19"/>
      <c r="C2542" s="19"/>
      <c r="D2542" s="19"/>
      <c r="E2542" s="32"/>
      <c r="F2542" s="19"/>
      <c r="G2542" s="26" t="str">
        <f aca="false">IF(A2542="","",COUNTIF(Pubs!$B$2:$B$3001,A2542))</f>
        <v/>
      </c>
      <c r="H2542" s="26" t="str">
        <f aca="false">IF(A2542="","",COUNTIF(Apparitions!$H$2:$H$5001,A2542))</f>
        <v/>
      </c>
      <c r="I2542" s="26" t="str">
        <f aca="false">IF(A2542="","",COUNTIFS(Apparitions!$H$2:$H$5001,A2542,Apparitions!$E$2:$E$5001,"○"))</f>
        <v/>
      </c>
      <c r="J2542" s="29" t="str">
        <f aca="false">IF(A2542="","",IFERROR(1/(1/_xlfn.MINIFS(Apparitions!$L$2:$L$5001,Apparitions!$H$2:$H$5001,A2542)),""))</f>
        <v/>
      </c>
    </row>
    <row r="2543" customFormat="false" ht="15" hidden="false" customHeight="false" outlineLevel="0" collapsed="false">
      <c r="A2543" s="19"/>
      <c r="B2543" s="19"/>
      <c r="C2543" s="19"/>
      <c r="D2543" s="19"/>
      <c r="E2543" s="32"/>
      <c r="F2543" s="19"/>
      <c r="G2543" s="26" t="str">
        <f aca="false">IF(A2543="","",COUNTIF(Pubs!$B$2:$B$3001,A2543))</f>
        <v/>
      </c>
      <c r="H2543" s="26" t="str">
        <f aca="false">IF(A2543="","",COUNTIF(Apparitions!$H$2:$H$5001,A2543))</f>
        <v/>
      </c>
      <c r="I2543" s="26" t="str">
        <f aca="false">IF(A2543="","",COUNTIFS(Apparitions!$H$2:$H$5001,A2543,Apparitions!$E$2:$E$5001,"○"))</f>
        <v/>
      </c>
      <c r="J2543" s="29" t="str">
        <f aca="false">IF(A2543="","",IFERROR(1/(1/_xlfn.MINIFS(Apparitions!$L$2:$L$5001,Apparitions!$H$2:$H$5001,A2543)),""))</f>
        <v/>
      </c>
    </row>
    <row r="2544" customFormat="false" ht="15" hidden="false" customHeight="false" outlineLevel="0" collapsed="false">
      <c r="A2544" s="19"/>
      <c r="B2544" s="19"/>
      <c r="C2544" s="19"/>
      <c r="D2544" s="19"/>
      <c r="E2544" s="32"/>
      <c r="F2544" s="19"/>
      <c r="G2544" s="26" t="str">
        <f aca="false">IF(A2544="","",COUNTIF(Pubs!$B$2:$B$3001,A2544))</f>
        <v/>
      </c>
      <c r="H2544" s="26" t="str">
        <f aca="false">IF(A2544="","",COUNTIF(Apparitions!$H$2:$H$5001,A2544))</f>
        <v/>
      </c>
      <c r="I2544" s="26" t="str">
        <f aca="false">IF(A2544="","",COUNTIFS(Apparitions!$H$2:$H$5001,A2544,Apparitions!$E$2:$E$5001,"○"))</f>
        <v/>
      </c>
      <c r="J2544" s="29" t="str">
        <f aca="false">IF(A2544="","",IFERROR(1/(1/_xlfn.MINIFS(Apparitions!$L$2:$L$5001,Apparitions!$H$2:$H$5001,A2544)),""))</f>
        <v/>
      </c>
    </row>
    <row r="2545" customFormat="false" ht="15" hidden="false" customHeight="false" outlineLevel="0" collapsed="false">
      <c r="A2545" s="19"/>
      <c r="B2545" s="19"/>
      <c r="C2545" s="19"/>
      <c r="D2545" s="19"/>
      <c r="E2545" s="32"/>
      <c r="F2545" s="19"/>
      <c r="G2545" s="26" t="str">
        <f aca="false">IF(A2545="","",COUNTIF(Pubs!$B$2:$B$3001,A2545))</f>
        <v/>
      </c>
      <c r="H2545" s="26" t="str">
        <f aca="false">IF(A2545="","",COUNTIF(Apparitions!$H$2:$H$5001,A2545))</f>
        <v/>
      </c>
      <c r="I2545" s="26" t="str">
        <f aca="false">IF(A2545="","",COUNTIFS(Apparitions!$H$2:$H$5001,A2545,Apparitions!$E$2:$E$5001,"○"))</f>
        <v/>
      </c>
      <c r="J2545" s="29" t="str">
        <f aca="false">IF(A2545="","",IFERROR(1/(1/_xlfn.MINIFS(Apparitions!$L$2:$L$5001,Apparitions!$H$2:$H$5001,A2545)),""))</f>
        <v/>
      </c>
    </row>
    <row r="2546" customFormat="false" ht="15" hidden="false" customHeight="false" outlineLevel="0" collapsed="false">
      <c r="A2546" s="19"/>
      <c r="B2546" s="19"/>
      <c r="C2546" s="19"/>
      <c r="D2546" s="19"/>
      <c r="E2546" s="32"/>
      <c r="F2546" s="19"/>
      <c r="G2546" s="26" t="str">
        <f aca="false">IF(A2546="","",COUNTIF(Pubs!$B$2:$B$3001,A2546))</f>
        <v/>
      </c>
      <c r="H2546" s="26" t="str">
        <f aca="false">IF(A2546="","",COUNTIF(Apparitions!$H$2:$H$5001,A2546))</f>
        <v/>
      </c>
      <c r="I2546" s="26" t="str">
        <f aca="false">IF(A2546="","",COUNTIFS(Apparitions!$H$2:$H$5001,A2546,Apparitions!$E$2:$E$5001,"○"))</f>
        <v/>
      </c>
      <c r="J2546" s="29" t="str">
        <f aca="false">IF(A2546="","",IFERROR(1/(1/_xlfn.MINIFS(Apparitions!$L$2:$L$5001,Apparitions!$H$2:$H$5001,A2546)),""))</f>
        <v/>
      </c>
    </row>
    <row r="2547" customFormat="false" ht="15" hidden="false" customHeight="false" outlineLevel="0" collapsed="false">
      <c r="A2547" s="19"/>
      <c r="B2547" s="19"/>
      <c r="C2547" s="19"/>
      <c r="D2547" s="19"/>
      <c r="E2547" s="32"/>
      <c r="F2547" s="19"/>
      <c r="G2547" s="26" t="str">
        <f aca="false">IF(A2547="","",COUNTIF(Pubs!$B$2:$B$3001,A2547))</f>
        <v/>
      </c>
      <c r="H2547" s="26" t="str">
        <f aca="false">IF(A2547="","",COUNTIF(Apparitions!$H$2:$H$5001,A2547))</f>
        <v/>
      </c>
      <c r="I2547" s="26" t="str">
        <f aca="false">IF(A2547="","",COUNTIFS(Apparitions!$H$2:$H$5001,A2547,Apparitions!$E$2:$E$5001,"○"))</f>
        <v/>
      </c>
      <c r="J2547" s="29" t="str">
        <f aca="false">IF(A2547="","",IFERROR(1/(1/_xlfn.MINIFS(Apparitions!$L$2:$L$5001,Apparitions!$H$2:$H$5001,A2547)),""))</f>
        <v/>
      </c>
    </row>
    <row r="2548" customFormat="false" ht="15" hidden="false" customHeight="false" outlineLevel="0" collapsed="false">
      <c r="A2548" s="19"/>
      <c r="B2548" s="19"/>
      <c r="C2548" s="19"/>
      <c r="D2548" s="19"/>
      <c r="E2548" s="32"/>
      <c r="F2548" s="19"/>
      <c r="G2548" s="26" t="str">
        <f aca="false">IF(A2548="","",COUNTIF(Pubs!$B$2:$B$3001,A2548))</f>
        <v/>
      </c>
      <c r="H2548" s="26" t="str">
        <f aca="false">IF(A2548="","",COUNTIF(Apparitions!$H$2:$H$5001,A2548))</f>
        <v/>
      </c>
      <c r="I2548" s="26" t="str">
        <f aca="false">IF(A2548="","",COUNTIFS(Apparitions!$H$2:$H$5001,A2548,Apparitions!$E$2:$E$5001,"○"))</f>
        <v/>
      </c>
      <c r="J2548" s="29" t="str">
        <f aca="false">IF(A2548="","",IFERROR(1/(1/_xlfn.MINIFS(Apparitions!$L$2:$L$5001,Apparitions!$H$2:$H$5001,A2548)),""))</f>
        <v/>
      </c>
    </row>
    <row r="2549" customFormat="false" ht="15" hidden="false" customHeight="false" outlineLevel="0" collapsed="false">
      <c r="A2549" s="19"/>
      <c r="B2549" s="19"/>
      <c r="C2549" s="19"/>
      <c r="D2549" s="19"/>
      <c r="E2549" s="32"/>
      <c r="F2549" s="19"/>
      <c r="G2549" s="26" t="str">
        <f aca="false">IF(A2549="","",COUNTIF(Pubs!$B$2:$B$3001,A2549))</f>
        <v/>
      </c>
      <c r="H2549" s="26" t="str">
        <f aca="false">IF(A2549="","",COUNTIF(Apparitions!$H$2:$H$5001,A2549))</f>
        <v/>
      </c>
      <c r="I2549" s="26" t="str">
        <f aca="false">IF(A2549="","",COUNTIFS(Apparitions!$H$2:$H$5001,A2549,Apparitions!$E$2:$E$5001,"○"))</f>
        <v/>
      </c>
      <c r="J2549" s="29" t="str">
        <f aca="false">IF(A2549="","",IFERROR(1/(1/_xlfn.MINIFS(Apparitions!$L$2:$L$5001,Apparitions!$H$2:$H$5001,A2549)),""))</f>
        <v/>
      </c>
    </row>
    <row r="2550" customFormat="false" ht="15" hidden="false" customHeight="false" outlineLevel="0" collapsed="false">
      <c r="A2550" s="19"/>
      <c r="B2550" s="19"/>
      <c r="C2550" s="19"/>
      <c r="D2550" s="19"/>
      <c r="E2550" s="32"/>
      <c r="F2550" s="19"/>
      <c r="G2550" s="26" t="str">
        <f aca="false">IF(A2550="","",COUNTIF(Pubs!$B$2:$B$3001,A2550))</f>
        <v/>
      </c>
      <c r="H2550" s="26" t="str">
        <f aca="false">IF(A2550="","",COUNTIF(Apparitions!$H$2:$H$5001,A2550))</f>
        <v/>
      </c>
      <c r="I2550" s="26" t="str">
        <f aca="false">IF(A2550="","",COUNTIFS(Apparitions!$H$2:$H$5001,A2550,Apparitions!$E$2:$E$5001,"○"))</f>
        <v/>
      </c>
      <c r="J2550" s="29" t="str">
        <f aca="false">IF(A2550="","",IFERROR(1/(1/_xlfn.MINIFS(Apparitions!$L$2:$L$5001,Apparitions!$H$2:$H$5001,A2550)),""))</f>
        <v/>
      </c>
    </row>
    <row r="2551" customFormat="false" ht="15" hidden="false" customHeight="false" outlineLevel="0" collapsed="false">
      <c r="A2551" s="19"/>
      <c r="B2551" s="19"/>
      <c r="C2551" s="19"/>
      <c r="D2551" s="19"/>
      <c r="E2551" s="32"/>
      <c r="F2551" s="19"/>
      <c r="G2551" s="26" t="str">
        <f aca="false">IF(A2551="","",COUNTIF(Pubs!$B$2:$B$3001,A2551))</f>
        <v/>
      </c>
      <c r="H2551" s="26" t="str">
        <f aca="false">IF(A2551="","",COUNTIF(Apparitions!$H$2:$H$5001,A2551))</f>
        <v/>
      </c>
      <c r="I2551" s="26" t="str">
        <f aca="false">IF(A2551="","",COUNTIFS(Apparitions!$H$2:$H$5001,A2551,Apparitions!$E$2:$E$5001,"○"))</f>
        <v/>
      </c>
      <c r="J2551" s="29" t="str">
        <f aca="false">IF(A2551="","",IFERROR(1/(1/_xlfn.MINIFS(Apparitions!$L$2:$L$5001,Apparitions!$H$2:$H$5001,A2551)),""))</f>
        <v/>
      </c>
    </row>
    <row r="2552" customFormat="false" ht="15" hidden="false" customHeight="false" outlineLevel="0" collapsed="false">
      <c r="A2552" s="19"/>
      <c r="B2552" s="19"/>
      <c r="C2552" s="19"/>
      <c r="D2552" s="19"/>
      <c r="E2552" s="32"/>
      <c r="F2552" s="19"/>
      <c r="G2552" s="26" t="str">
        <f aca="false">IF(A2552="","",COUNTIF(Pubs!$B$2:$B$3001,A2552))</f>
        <v/>
      </c>
      <c r="H2552" s="26" t="str">
        <f aca="false">IF(A2552="","",COUNTIF(Apparitions!$H$2:$H$5001,A2552))</f>
        <v/>
      </c>
      <c r="I2552" s="26" t="str">
        <f aca="false">IF(A2552="","",COUNTIFS(Apparitions!$H$2:$H$5001,A2552,Apparitions!$E$2:$E$5001,"○"))</f>
        <v/>
      </c>
      <c r="J2552" s="29" t="str">
        <f aca="false">IF(A2552="","",IFERROR(1/(1/_xlfn.MINIFS(Apparitions!$L$2:$L$5001,Apparitions!$H$2:$H$5001,A2552)),""))</f>
        <v/>
      </c>
    </row>
    <row r="2553" customFormat="false" ht="15" hidden="false" customHeight="false" outlineLevel="0" collapsed="false">
      <c r="A2553" s="19"/>
      <c r="B2553" s="19"/>
      <c r="C2553" s="19"/>
      <c r="D2553" s="19"/>
      <c r="E2553" s="32"/>
      <c r="F2553" s="19"/>
      <c r="G2553" s="26" t="str">
        <f aca="false">IF(A2553="","",COUNTIF(Pubs!$B$2:$B$3001,A2553))</f>
        <v/>
      </c>
      <c r="H2553" s="26" t="str">
        <f aca="false">IF(A2553="","",COUNTIF(Apparitions!$H$2:$H$5001,A2553))</f>
        <v/>
      </c>
      <c r="I2553" s="26" t="str">
        <f aca="false">IF(A2553="","",COUNTIFS(Apparitions!$H$2:$H$5001,A2553,Apparitions!$E$2:$E$5001,"○"))</f>
        <v/>
      </c>
      <c r="J2553" s="29" t="str">
        <f aca="false">IF(A2553="","",IFERROR(1/(1/_xlfn.MINIFS(Apparitions!$L$2:$L$5001,Apparitions!$H$2:$H$5001,A2553)),""))</f>
        <v/>
      </c>
    </row>
    <row r="2554" customFormat="false" ht="15" hidden="false" customHeight="false" outlineLevel="0" collapsed="false">
      <c r="A2554" s="19"/>
      <c r="B2554" s="19"/>
      <c r="C2554" s="19"/>
      <c r="D2554" s="19"/>
      <c r="E2554" s="32"/>
      <c r="F2554" s="19"/>
      <c r="G2554" s="26" t="str">
        <f aca="false">IF(A2554="","",COUNTIF(Pubs!$B$2:$B$3001,A2554))</f>
        <v/>
      </c>
      <c r="H2554" s="26" t="str">
        <f aca="false">IF(A2554="","",COUNTIF(Apparitions!$H$2:$H$5001,A2554))</f>
        <v/>
      </c>
      <c r="I2554" s="26" t="str">
        <f aca="false">IF(A2554="","",COUNTIFS(Apparitions!$H$2:$H$5001,A2554,Apparitions!$E$2:$E$5001,"○"))</f>
        <v/>
      </c>
      <c r="J2554" s="29" t="str">
        <f aca="false">IF(A2554="","",IFERROR(1/(1/_xlfn.MINIFS(Apparitions!$L$2:$L$5001,Apparitions!$H$2:$H$5001,A2554)),""))</f>
        <v/>
      </c>
    </row>
    <row r="2555" customFormat="false" ht="15" hidden="false" customHeight="false" outlineLevel="0" collapsed="false">
      <c r="A2555" s="19"/>
      <c r="B2555" s="19"/>
      <c r="C2555" s="19"/>
      <c r="D2555" s="19"/>
      <c r="E2555" s="32"/>
      <c r="F2555" s="19"/>
      <c r="G2555" s="26" t="str">
        <f aca="false">IF(A2555="","",COUNTIF(Pubs!$B$2:$B$3001,A2555))</f>
        <v/>
      </c>
      <c r="H2555" s="26" t="str">
        <f aca="false">IF(A2555="","",COUNTIF(Apparitions!$H$2:$H$5001,A2555))</f>
        <v/>
      </c>
      <c r="I2555" s="26" t="str">
        <f aca="false">IF(A2555="","",COUNTIFS(Apparitions!$H$2:$H$5001,A2555,Apparitions!$E$2:$E$5001,"○"))</f>
        <v/>
      </c>
      <c r="J2555" s="29" t="str">
        <f aca="false">IF(A2555="","",IFERROR(1/(1/_xlfn.MINIFS(Apparitions!$L$2:$L$5001,Apparitions!$H$2:$H$5001,A2555)),""))</f>
        <v/>
      </c>
    </row>
    <row r="2556" customFormat="false" ht="15" hidden="false" customHeight="false" outlineLevel="0" collapsed="false">
      <c r="A2556" s="19"/>
      <c r="B2556" s="19"/>
      <c r="C2556" s="19"/>
      <c r="D2556" s="19"/>
      <c r="E2556" s="32"/>
      <c r="F2556" s="19"/>
      <c r="G2556" s="26" t="str">
        <f aca="false">IF(A2556="","",COUNTIF(Pubs!$B$2:$B$3001,A2556))</f>
        <v/>
      </c>
      <c r="H2556" s="26" t="str">
        <f aca="false">IF(A2556="","",COUNTIF(Apparitions!$H$2:$H$5001,A2556))</f>
        <v/>
      </c>
      <c r="I2556" s="26" t="str">
        <f aca="false">IF(A2556="","",COUNTIFS(Apparitions!$H$2:$H$5001,A2556,Apparitions!$E$2:$E$5001,"○"))</f>
        <v/>
      </c>
      <c r="J2556" s="29" t="str">
        <f aca="false">IF(A2556="","",IFERROR(1/(1/_xlfn.MINIFS(Apparitions!$L$2:$L$5001,Apparitions!$H$2:$H$5001,A2556)),""))</f>
        <v/>
      </c>
    </row>
    <row r="2557" customFormat="false" ht="15" hidden="false" customHeight="false" outlineLevel="0" collapsed="false">
      <c r="A2557" s="19"/>
      <c r="B2557" s="19"/>
      <c r="C2557" s="19"/>
      <c r="D2557" s="19"/>
      <c r="E2557" s="32"/>
      <c r="F2557" s="19"/>
      <c r="G2557" s="26" t="str">
        <f aca="false">IF(A2557="","",COUNTIF(Pubs!$B$2:$B$3001,A2557))</f>
        <v/>
      </c>
      <c r="H2557" s="26" t="str">
        <f aca="false">IF(A2557="","",COUNTIF(Apparitions!$H$2:$H$5001,A2557))</f>
        <v/>
      </c>
      <c r="I2557" s="26" t="str">
        <f aca="false">IF(A2557="","",COUNTIFS(Apparitions!$H$2:$H$5001,A2557,Apparitions!$E$2:$E$5001,"○"))</f>
        <v/>
      </c>
      <c r="J2557" s="29" t="str">
        <f aca="false">IF(A2557="","",IFERROR(1/(1/_xlfn.MINIFS(Apparitions!$L$2:$L$5001,Apparitions!$H$2:$H$5001,A2557)),""))</f>
        <v/>
      </c>
    </row>
    <row r="2558" customFormat="false" ht="15" hidden="false" customHeight="false" outlineLevel="0" collapsed="false">
      <c r="A2558" s="19"/>
      <c r="B2558" s="19"/>
      <c r="C2558" s="19"/>
      <c r="D2558" s="19"/>
      <c r="E2558" s="32"/>
      <c r="F2558" s="19"/>
      <c r="G2558" s="26" t="str">
        <f aca="false">IF(A2558="","",COUNTIF(Pubs!$B$2:$B$3001,A2558))</f>
        <v/>
      </c>
      <c r="H2558" s="26" t="str">
        <f aca="false">IF(A2558="","",COUNTIF(Apparitions!$H$2:$H$5001,A2558))</f>
        <v/>
      </c>
      <c r="I2558" s="26" t="str">
        <f aca="false">IF(A2558="","",COUNTIFS(Apparitions!$H$2:$H$5001,A2558,Apparitions!$E$2:$E$5001,"○"))</f>
        <v/>
      </c>
      <c r="J2558" s="29" t="str">
        <f aca="false">IF(A2558="","",IFERROR(1/(1/_xlfn.MINIFS(Apparitions!$L$2:$L$5001,Apparitions!$H$2:$H$5001,A2558)),""))</f>
        <v/>
      </c>
    </row>
    <row r="2559" customFormat="false" ht="15" hidden="false" customHeight="false" outlineLevel="0" collapsed="false">
      <c r="A2559" s="19"/>
      <c r="B2559" s="19"/>
      <c r="C2559" s="19"/>
      <c r="D2559" s="19"/>
      <c r="E2559" s="32"/>
      <c r="F2559" s="19"/>
      <c r="G2559" s="26" t="str">
        <f aca="false">IF(A2559="","",COUNTIF(Pubs!$B$2:$B$3001,A2559))</f>
        <v/>
      </c>
      <c r="H2559" s="26" t="str">
        <f aca="false">IF(A2559="","",COUNTIF(Apparitions!$H$2:$H$5001,A2559))</f>
        <v/>
      </c>
      <c r="I2559" s="26" t="str">
        <f aca="false">IF(A2559="","",COUNTIFS(Apparitions!$H$2:$H$5001,A2559,Apparitions!$E$2:$E$5001,"○"))</f>
        <v/>
      </c>
      <c r="J2559" s="29" t="str">
        <f aca="false">IF(A2559="","",IFERROR(1/(1/_xlfn.MINIFS(Apparitions!$L$2:$L$5001,Apparitions!$H$2:$H$5001,A2559)),""))</f>
        <v/>
      </c>
    </row>
    <row r="2560" customFormat="false" ht="15" hidden="false" customHeight="false" outlineLevel="0" collapsed="false">
      <c r="A2560" s="19"/>
      <c r="B2560" s="19"/>
      <c r="C2560" s="19"/>
      <c r="D2560" s="19"/>
      <c r="E2560" s="32"/>
      <c r="F2560" s="19"/>
      <c r="G2560" s="26" t="str">
        <f aca="false">IF(A2560="","",COUNTIF(Pubs!$B$2:$B$3001,A2560))</f>
        <v/>
      </c>
      <c r="H2560" s="26" t="str">
        <f aca="false">IF(A2560="","",COUNTIF(Apparitions!$H$2:$H$5001,A2560))</f>
        <v/>
      </c>
      <c r="I2560" s="26" t="str">
        <f aca="false">IF(A2560="","",COUNTIFS(Apparitions!$H$2:$H$5001,A2560,Apparitions!$E$2:$E$5001,"○"))</f>
        <v/>
      </c>
      <c r="J2560" s="29" t="str">
        <f aca="false">IF(A2560="","",IFERROR(1/(1/_xlfn.MINIFS(Apparitions!$L$2:$L$5001,Apparitions!$H$2:$H$5001,A2560)),""))</f>
        <v/>
      </c>
    </row>
    <row r="2561" customFormat="false" ht="15" hidden="false" customHeight="false" outlineLevel="0" collapsed="false">
      <c r="A2561" s="19"/>
      <c r="B2561" s="19"/>
      <c r="C2561" s="19"/>
      <c r="D2561" s="19"/>
      <c r="E2561" s="32"/>
      <c r="F2561" s="19"/>
      <c r="G2561" s="26" t="str">
        <f aca="false">IF(A2561="","",COUNTIF(Pubs!$B$2:$B$3001,A2561))</f>
        <v/>
      </c>
      <c r="H2561" s="26" t="str">
        <f aca="false">IF(A2561="","",COUNTIF(Apparitions!$H$2:$H$5001,A2561))</f>
        <v/>
      </c>
      <c r="I2561" s="26" t="str">
        <f aca="false">IF(A2561="","",COUNTIFS(Apparitions!$H$2:$H$5001,A2561,Apparitions!$E$2:$E$5001,"○"))</f>
        <v/>
      </c>
      <c r="J2561" s="29" t="str">
        <f aca="false">IF(A2561="","",IFERROR(1/(1/_xlfn.MINIFS(Apparitions!$L$2:$L$5001,Apparitions!$H$2:$H$5001,A2561)),""))</f>
        <v/>
      </c>
    </row>
    <row r="2562" customFormat="false" ht="15" hidden="false" customHeight="false" outlineLevel="0" collapsed="false">
      <c r="A2562" s="19"/>
      <c r="B2562" s="19"/>
      <c r="C2562" s="19"/>
      <c r="D2562" s="19"/>
      <c r="E2562" s="32"/>
      <c r="F2562" s="19"/>
      <c r="G2562" s="26" t="str">
        <f aca="false">IF(A2562="","",COUNTIF(Pubs!$B$2:$B$3001,A2562))</f>
        <v/>
      </c>
      <c r="H2562" s="26" t="str">
        <f aca="false">IF(A2562="","",COUNTIF(Apparitions!$H$2:$H$5001,A2562))</f>
        <v/>
      </c>
      <c r="I2562" s="26" t="str">
        <f aca="false">IF(A2562="","",COUNTIFS(Apparitions!$H$2:$H$5001,A2562,Apparitions!$E$2:$E$5001,"○"))</f>
        <v/>
      </c>
      <c r="J2562" s="29" t="str">
        <f aca="false">IF(A2562="","",IFERROR(1/(1/_xlfn.MINIFS(Apparitions!$L$2:$L$5001,Apparitions!$H$2:$H$5001,A2562)),""))</f>
        <v/>
      </c>
    </row>
    <row r="2563" customFormat="false" ht="15" hidden="false" customHeight="false" outlineLevel="0" collapsed="false">
      <c r="A2563" s="19"/>
      <c r="B2563" s="19"/>
      <c r="C2563" s="19"/>
      <c r="D2563" s="19"/>
      <c r="E2563" s="32"/>
      <c r="F2563" s="19"/>
      <c r="G2563" s="26" t="str">
        <f aca="false">IF(A2563="","",COUNTIF(Pubs!$B$2:$B$3001,A2563))</f>
        <v/>
      </c>
      <c r="H2563" s="26" t="str">
        <f aca="false">IF(A2563="","",COUNTIF(Apparitions!$H$2:$H$5001,A2563))</f>
        <v/>
      </c>
      <c r="I2563" s="26" t="str">
        <f aca="false">IF(A2563="","",COUNTIFS(Apparitions!$H$2:$H$5001,A2563,Apparitions!$E$2:$E$5001,"○"))</f>
        <v/>
      </c>
      <c r="J2563" s="29" t="str">
        <f aca="false">IF(A2563="","",IFERROR(1/(1/_xlfn.MINIFS(Apparitions!$L$2:$L$5001,Apparitions!$H$2:$H$5001,A2563)),""))</f>
        <v/>
      </c>
    </row>
    <row r="2564" customFormat="false" ht="15" hidden="false" customHeight="false" outlineLevel="0" collapsed="false">
      <c r="A2564" s="19"/>
      <c r="B2564" s="19"/>
      <c r="C2564" s="19"/>
      <c r="D2564" s="19"/>
      <c r="E2564" s="32"/>
      <c r="F2564" s="19"/>
      <c r="G2564" s="26" t="str">
        <f aca="false">IF(A2564="","",COUNTIF(Pubs!$B$2:$B$3001,A2564))</f>
        <v/>
      </c>
      <c r="H2564" s="26" t="str">
        <f aca="false">IF(A2564="","",COUNTIF(Apparitions!$H$2:$H$5001,A2564))</f>
        <v/>
      </c>
      <c r="I2564" s="26" t="str">
        <f aca="false">IF(A2564="","",COUNTIFS(Apparitions!$H$2:$H$5001,A2564,Apparitions!$E$2:$E$5001,"○"))</f>
        <v/>
      </c>
      <c r="J2564" s="29" t="str">
        <f aca="false">IF(A2564="","",IFERROR(1/(1/_xlfn.MINIFS(Apparitions!$L$2:$L$5001,Apparitions!$H$2:$H$5001,A2564)),""))</f>
        <v/>
      </c>
    </row>
    <row r="2565" customFormat="false" ht="15" hidden="false" customHeight="false" outlineLevel="0" collapsed="false">
      <c r="A2565" s="19"/>
      <c r="B2565" s="19"/>
      <c r="C2565" s="19"/>
      <c r="D2565" s="19"/>
      <c r="E2565" s="32"/>
      <c r="F2565" s="19"/>
      <c r="G2565" s="26" t="str">
        <f aca="false">IF(A2565="","",COUNTIF(Pubs!$B$2:$B$3001,A2565))</f>
        <v/>
      </c>
      <c r="H2565" s="26" t="str">
        <f aca="false">IF(A2565="","",COUNTIF(Apparitions!$H$2:$H$5001,A2565))</f>
        <v/>
      </c>
      <c r="I2565" s="26" t="str">
        <f aca="false">IF(A2565="","",COUNTIFS(Apparitions!$H$2:$H$5001,A2565,Apparitions!$E$2:$E$5001,"○"))</f>
        <v/>
      </c>
      <c r="J2565" s="29" t="str">
        <f aca="false">IF(A2565="","",IFERROR(1/(1/_xlfn.MINIFS(Apparitions!$L$2:$L$5001,Apparitions!$H$2:$H$5001,A2565)),""))</f>
        <v/>
      </c>
    </row>
    <row r="2566" customFormat="false" ht="15" hidden="false" customHeight="false" outlineLevel="0" collapsed="false">
      <c r="A2566" s="19"/>
      <c r="B2566" s="19"/>
      <c r="C2566" s="19"/>
      <c r="D2566" s="19"/>
      <c r="E2566" s="32"/>
      <c r="F2566" s="19"/>
      <c r="G2566" s="26" t="str">
        <f aca="false">IF(A2566="","",COUNTIF(Pubs!$B$2:$B$3001,A2566))</f>
        <v/>
      </c>
      <c r="H2566" s="26" t="str">
        <f aca="false">IF(A2566="","",COUNTIF(Apparitions!$H$2:$H$5001,A2566))</f>
        <v/>
      </c>
      <c r="I2566" s="26" t="str">
        <f aca="false">IF(A2566="","",COUNTIFS(Apparitions!$H$2:$H$5001,A2566,Apparitions!$E$2:$E$5001,"○"))</f>
        <v/>
      </c>
      <c r="J2566" s="29" t="str">
        <f aca="false">IF(A2566="","",IFERROR(1/(1/_xlfn.MINIFS(Apparitions!$L$2:$L$5001,Apparitions!$H$2:$H$5001,A2566)),""))</f>
        <v/>
      </c>
    </row>
    <row r="2567" customFormat="false" ht="15" hidden="false" customHeight="false" outlineLevel="0" collapsed="false">
      <c r="A2567" s="19"/>
      <c r="B2567" s="19"/>
      <c r="C2567" s="19"/>
      <c r="D2567" s="19"/>
      <c r="E2567" s="32"/>
      <c r="F2567" s="19"/>
      <c r="G2567" s="26" t="str">
        <f aca="false">IF(A2567="","",COUNTIF(Pubs!$B$2:$B$3001,A2567))</f>
        <v/>
      </c>
      <c r="H2567" s="26" t="str">
        <f aca="false">IF(A2567="","",COUNTIF(Apparitions!$H$2:$H$5001,A2567))</f>
        <v/>
      </c>
      <c r="I2567" s="26" t="str">
        <f aca="false">IF(A2567="","",COUNTIFS(Apparitions!$H$2:$H$5001,A2567,Apparitions!$E$2:$E$5001,"○"))</f>
        <v/>
      </c>
      <c r="J2567" s="29" t="str">
        <f aca="false">IF(A2567="","",IFERROR(1/(1/_xlfn.MINIFS(Apparitions!$L$2:$L$5001,Apparitions!$H$2:$H$5001,A2567)),""))</f>
        <v/>
      </c>
    </row>
    <row r="2568" customFormat="false" ht="15" hidden="false" customHeight="false" outlineLevel="0" collapsed="false">
      <c r="A2568" s="19"/>
      <c r="B2568" s="19"/>
      <c r="C2568" s="19"/>
      <c r="D2568" s="19"/>
      <c r="E2568" s="32"/>
      <c r="F2568" s="19"/>
      <c r="G2568" s="26" t="str">
        <f aca="false">IF(A2568="","",COUNTIF(Pubs!$B$2:$B$3001,A2568))</f>
        <v/>
      </c>
      <c r="H2568" s="26" t="str">
        <f aca="false">IF(A2568="","",COUNTIF(Apparitions!$H$2:$H$5001,A2568))</f>
        <v/>
      </c>
      <c r="I2568" s="26" t="str">
        <f aca="false">IF(A2568="","",COUNTIFS(Apparitions!$H$2:$H$5001,A2568,Apparitions!$E$2:$E$5001,"○"))</f>
        <v/>
      </c>
      <c r="J2568" s="29" t="str">
        <f aca="false">IF(A2568="","",IFERROR(1/(1/_xlfn.MINIFS(Apparitions!$L$2:$L$5001,Apparitions!$H$2:$H$5001,A2568)),""))</f>
        <v/>
      </c>
    </row>
    <row r="2569" customFormat="false" ht="15" hidden="false" customHeight="false" outlineLevel="0" collapsed="false">
      <c r="A2569" s="19"/>
      <c r="B2569" s="19"/>
      <c r="C2569" s="19"/>
      <c r="D2569" s="19"/>
      <c r="E2569" s="32"/>
      <c r="F2569" s="19"/>
      <c r="G2569" s="26" t="str">
        <f aca="false">IF(A2569="","",COUNTIF(Pubs!$B$2:$B$3001,A2569))</f>
        <v/>
      </c>
      <c r="H2569" s="26" t="str">
        <f aca="false">IF(A2569="","",COUNTIF(Apparitions!$H$2:$H$5001,A2569))</f>
        <v/>
      </c>
      <c r="I2569" s="26" t="str">
        <f aca="false">IF(A2569="","",COUNTIFS(Apparitions!$H$2:$H$5001,A2569,Apparitions!$E$2:$E$5001,"○"))</f>
        <v/>
      </c>
      <c r="J2569" s="29" t="str">
        <f aca="false">IF(A2569="","",IFERROR(1/(1/_xlfn.MINIFS(Apparitions!$L$2:$L$5001,Apparitions!$H$2:$H$5001,A2569)),""))</f>
        <v/>
      </c>
    </row>
    <row r="2570" customFormat="false" ht="15" hidden="false" customHeight="false" outlineLevel="0" collapsed="false">
      <c r="A2570" s="19"/>
      <c r="B2570" s="19"/>
      <c r="C2570" s="19"/>
      <c r="D2570" s="19"/>
      <c r="E2570" s="32"/>
      <c r="F2570" s="19"/>
      <c r="G2570" s="26" t="str">
        <f aca="false">IF(A2570="","",COUNTIF(Pubs!$B$2:$B$3001,A2570))</f>
        <v/>
      </c>
      <c r="H2570" s="26" t="str">
        <f aca="false">IF(A2570="","",COUNTIF(Apparitions!$H$2:$H$5001,A2570))</f>
        <v/>
      </c>
      <c r="I2570" s="26" t="str">
        <f aca="false">IF(A2570="","",COUNTIFS(Apparitions!$H$2:$H$5001,A2570,Apparitions!$E$2:$E$5001,"○"))</f>
        <v/>
      </c>
      <c r="J2570" s="29" t="str">
        <f aca="false">IF(A2570="","",IFERROR(1/(1/_xlfn.MINIFS(Apparitions!$L$2:$L$5001,Apparitions!$H$2:$H$5001,A2570)),""))</f>
        <v/>
      </c>
    </row>
    <row r="2571" customFormat="false" ht="15" hidden="false" customHeight="false" outlineLevel="0" collapsed="false">
      <c r="A2571" s="19"/>
      <c r="B2571" s="19"/>
      <c r="C2571" s="19"/>
      <c r="D2571" s="19"/>
      <c r="E2571" s="32"/>
      <c r="F2571" s="19"/>
      <c r="G2571" s="26" t="str">
        <f aca="false">IF(A2571="","",COUNTIF(Pubs!$B$2:$B$3001,A2571))</f>
        <v/>
      </c>
      <c r="H2571" s="26" t="str">
        <f aca="false">IF(A2571="","",COUNTIF(Apparitions!$H$2:$H$5001,A2571))</f>
        <v/>
      </c>
      <c r="I2571" s="26" t="str">
        <f aca="false">IF(A2571="","",COUNTIFS(Apparitions!$H$2:$H$5001,A2571,Apparitions!$E$2:$E$5001,"○"))</f>
        <v/>
      </c>
      <c r="J2571" s="29" t="str">
        <f aca="false">IF(A2571="","",IFERROR(1/(1/_xlfn.MINIFS(Apparitions!$L$2:$L$5001,Apparitions!$H$2:$H$5001,A2571)),""))</f>
        <v/>
      </c>
    </row>
    <row r="2572" customFormat="false" ht="15" hidden="false" customHeight="false" outlineLevel="0" collapsed="false">
      <c r="A2572" s="19"/>
      <c r="B2572" s="19"/>
      <c r="C2572" s="19"/>
      <c r="D2572" s="19"/>
      <c r="E2572" s="32"/>
      <c r="F2572" s="19"/>
      <c r="G2572" s="26" t="str">
        <f aca="false">IF(A2572="","",COUNTIF(Pubs!$B$2:$B$3001,A2572))</f>
        <v/>
      </c>
      <c r="H2572" s="26" t="str">
        <f aca="false">IF(A2572="","",COUNTIF(Apparitions!$H$2:$H$5001,A2572))</f>
        <v/>
      </c>
      <c r="I2572" s="26" t="str">
        <f aca="false">IF(A2572="","",COUNTIFS(Apparitions!$H$2:$H$5001,A2572,Apparitions!$E$2:$E$5001,"○"))</f>
        <v/>
      </c>
      <c r="J2572" s="29" t="str">
        <f aca="false">IF(A2572="","",IFERROR(1/(1/_xlfn.MINIFS(Apparitions!$L$2:$L$5001,Apparitions!$H$2:$H$5001,A2572)),""))</f>
        <v/>
      </c>
    </row>
    <row r="2573" customFormat="false" ht="15" hidden="false" customHeight="false" outlineLevel="0" collapsed="false">
      <c r="A2573" s="19"/>
      <c r="B2573" s="19"/>
      <c r="C2573" s="19"/>
      <c r="D2573" s="19"/>
      <c r="E2573" s="32"/>
      <c r="F2573" s="19"/>
      <c r="G2573" s="26" t="str">
        <f aca="false">IF(A2573="","",COUNTIF(Pubs!$B$2:$B$3001,A2573))</f>
        <v/>
      </c>
      <c r="H2573" s="26" t="str">
        <f aca="false">IF(A2573="","",COUNTIF(Apparitions!$H$2:$H$5001,A2573))</f>
        <v/>
      </c>
      <c r="I2573" s="26" t="str">
        <f aca="false">IF(A2573="","",COUNTIFS(Apparitions!$H$2:$H$5001,A2573,Apparitions!$E$2:$E$5001,"○"))</f>
        <v/>
      </c>
      <c r="J2573" s="29" t="str">
        <f aca="false">IF(A2573="","",IFERROR(1/(1/_xlfn.MINIFS(Apparitions!$L$2:$L$5001,Apparitions!$H$2:$H$5001,A2573)),""))</f>
        <v/>
      </c>
    </row>
    <row r="2574" customFormat="false" ht="15" hidden="false" customHeight="false" outlineLevel="0" collapsed="false">
      <c r="A2574" s="19"/>
      <c r="B2574" s="19"/>
      <c r="C2574" s="19"/>
      <c r="D2574" s="19"/>
      <c r="E2574" s="32"/>
      <c r="F2574" s="19"/>
      <c r="G2574" s="26" t="str">
        <f aca="false">IF(A2574="","",COUNTIF(Pubs!$B$2:$B$3001,A2574))</f>
        <v/>
      </c>
      <c r="H2574" s="26" t="str">
        <f aca="false">IF(A2574="","",COUNTIF(Apparitions!$H$2:$H$5001,A2574))</f>
        <v/>
      </c>
      <c r="I2574" s="26" t="str">
        <f aca="false">IF(A2574="","",COUNTIFS(Apparitions!$H$2:$H$5001,A2574,Apparitions!$E$2:$E$5001,"○"))</f>
        <v/>
      </c>
      <c r="J2574" s="29" t="str">
        <f aca="false">IF(A2574="","",IFERROR(1/(1/_xlfn.MINIFS(Apparitions!$L$2:$L$5001,Apparitions!$H$2:$H$5001,A2574)),""))</f>
        <v/>
      </c>
    </row>
    <row r="2575" customFormat="false" ht="15" hidden="false" customHeight="false" outlineLevel="0" collapsed="false">
      <c r="A2575" s="19"/>
      <c r="B2575" s="19"/>
      <c r="C2575" s="19"/>
      <c r="D2575" s="19"/>
      <c r="E2575" s="32"/>
      <c r="F2575" s="19"/>
      <c r="G2575" s="26" t="str">
        <f aca="false">IF(A2575="","",COUNTIF(Pubs!$B$2:$B$3001,A2575))</f>
        <v/>
      </c>
      <c r="H2575" s="26" t="str">
        <f aca="false">IF(A2575="","",COUNTIF(Apparitions!$H$2:$H$5001,A2575))</f>
        <v/>
      </c>
      <c r="I2575" s="26" t="str">
        <f aca="false">IF(A2575="","",COUNTIFS(Apparitions!$H$2:$H$5001,A2575,Apparitions!$E$2:$E$5001,"○"))</f>
        <v/>
      </c>
      <c r="J2575" s="29" t="str">
        <f aca="false">IF(A2575="","",IFERROR(1/(1/_xlfn.MINIFS(Apparitions!$L$2:$L$5001,Apparitions!$H$2:$H$5001,A2575)),""))</f>
        <v/>
      </c>
    </row>
    <row r="2576" customFormat="false" ht="15" hidden="false" customHeight="false" outlineLevel="0" collapsed="false">
      <c r="A2576" s="19"/>
      <c r="B2576" s="19"/>
      <c r="C2576" s="19"/>
      <c r="D2576" s="19"/>
      <c r="E2576" s="32"/>
      <c r="F2576" s="19"/>
      <c r="G2576" s="26" t="str">
        <f aca="false">IF(A2576="","",COUNTIF(Pubs!$B$2:$B$3001,A2576))</f>
        <v/>
      </c>
      <c r="H2576" s="26" t="str">
        <f aca="false">IF(A2576="","",COUNTIF(Apparitions!$H$2:$H$5001,A2576))</f>
        <v/>
      </c>
      <c r="I2576" s="26" t="str">
        <f aca="false">IF(A2576="","",COUNTIFS(Apparitions!$H$2:$H$5001,A2576,Apparitions!$E$2:$E$5001,"○"))</f>
        <v/>
      </c>
      <c r="J2576" s="29" t="str">
        <f aca="false">IF(A2576="","",IFERROR(1/(1/_xlfn.MINIFS(Apparitions!$L$2:$L$5001,Apparitions!$H$2:$H$5001,A2576)),""))</f>
        <v/>
      </c>
    </row>
    <row r="2577" customFormat="false" ht="15" hidden="false" customHeight="false" outlineLevel="0" collapsed="false">
      <c r="A2577" s="19"/>
      <c r="B2577" s="19"/>
      <c r="C2577" s="19"/>
      <c r="D2577" s="19"/>
      <c r="E2577" s="32"/>
      <c r="F2577" s="19"/>
      <c r="G2577" s="26" t="str">
        <f aca="false">IF(A2577="","",COUNTIF(Pubs!$B$2:$B$3001,A2577))</f>
        <v/>
      </c>
      <c r="H2577" s="26" t="str">
        <f aca="false">IF(A2577="","",COUNTIF(Apparitions!$H$2:$H$5001,A2577))</f>
        <v/>
      </c>
      <c r="I2577" s="26" t="str">
        <f aca="false">IF(A2577="","",COUNTIFS(Apparitions!$H$2:$H$5001,A2577,Apparitions!$E$2:$E$5001,"○"))</f>
        <v/>
      </c>
      <c r="J2577" s="29" t="str">
        <f aca="false">IF(A2577="","",IFERROR(1/(1/_xlfn.MINIFS(Apparitions!$L$2:$L$5001,Apparitions!$H$2:$H$5001,A2577)),""))</f>
        <v/>
      </c>
    </row>
    <row r="2578" customFormat="false" ht="15" hidden="false" customHeight="false" outlineLevel="0" collapsed="false">
      <c r="A2578" s="19"/>
      <c r="B2578" s="19"/>
      <c r="C2578" s="19"/>
      <c r="D2578" s="19"/>
      <c r="E2578" s="32"/>
      <c r="F2578" s="19"/>
      <c r="G2578" s="26" t="str">
        <f aca="false">IF(A2578="","",COUNTIF(Pubs!$B$2:$B$3001,A2578))</f>
        <v/>
      </c>
      <c r="H2578" s="26" t="str">
        <f aca="false">IF(A2578="","",COUNTIF(Apparitions!$H$2:$H$5001,A2578))</f>
        <v/>
      </c>
      <c r="I2578" s="26" t="str">
        <f aca="false">IF(A2578="","",COUNTIFS(Apparitions!$H$2:$H$5001,A2578,Apparitions!$E$2:$E$5001,"○"))</f>
        <v/>
      </c>
      <c r="J2578" s="29" t="str">
        <f aca="false">IF(A2578="","",IFERROR(1/(1/_xlfn.MINIFS(Apparitions!$L$2:$L$5001,Apparitions!$H$2:$H$5001,A2578)),""))</f>
        <v/>
      </c>
    </row>
    <row r="2579" customFormat="false" ht="15" hidden="false" customHeight="false" outlineLevel="0" collapsed="false">
      <c r="A2579" s="19"/>
      <c r="B2579" s="19"/>
      <c r="C2579" s="19"/>
      <c r="D2579" s="19"/>
      <c r="E2579" s="32"/>
      <c r="F2579" s="19"/>
      <c r="G2579" s="26" t="str">
        <f aca="false">IF(A2579="","",COUNTIF(Pubs!$B$2:$B$3001,A2579))</f>
        <v/>
      </c>
      <c r="H2579" s="26" t="str">
        <f aca="false">IF(A2579="","",COUNTIF(Apparitions!$H$2:$H$5001,A2579))</f>
        <v/>
      </c>
      <c r="I2579" s="26" t="str">
        <f aca="false">IF(A2579="","",COUNTIFS(Apparitions!$H$2:$H$5001,A2579,Apparitions!$E$2:$E$5001,"○"))</f>
        <v/>
      </c>
      <c r="J2579" s="29" t="str">
        <f aca="false">IF(A2579="","",IFERROR(1/(1/_xlfn.MINIFS(Apparitions!$L$2:$L$5001,Apparitions!$H$2:$H$5001,A2579)),""))</f>
        <v/>
      </c>
    </row>
    <row r="2580" customFormat="false" ht="15" hidden="false" customHeight="false" outlineLevel="0" collapsed="false">
      <c r="A2580" s="19"/>
      <c r="B2580" s="19"/>
      <c r="C2580" s="19"/>
      <c r="D2580" s="19"/>
      <c r="E2580" s="32"/>
      <c r="F2580" s="19"/>
      <c r="G2580" s="26" t="str">
        <f aca="false">IF(A2580="","",COUNTIF(Pubs!$B$2:$B$3001,A2580))</f>
        <v/>
      </c>
      <c r="H2580" s="26" t="str">
        <f aca="false">IF(A2580="","",COUNTIF(Apparitions!$H$2:$H$5001,A2580))</f>
        <v/>
      </c>
      <c r="I2580" s="26" t="str">
        <f aca="false">IF(A2580="","",COUNTIFS(Apparitions!$H$2:$H$5001,A2580,Apparitions!$E$2:$E$5001,"○"))</f>
        <v/>
      </c>
      <c r="J2580" s="29" t="str">
        <f aca="false">IF(A2580="","",IFERROR(1/(1/_xlfn.MINIFS(Apparitions!$L$2:$L$5001,Apparitions!$H$2:$H$5001,A2580)),""))</f>
        <v/>
      </c>
    </row>
    <row r="2581" customFormat="false" ht="15" hidden="false" customHeight="false" outlineLevel="0" collapsed="false">
      <c r="A2581" s="19"/>
      <c r="B2581" s="19"/>
      <c r="C2581" s="19"/>
      <c r="D2581" s="19"/>
      <c r="E2581" s="32"/>
      <c r="F2581" s="19"/>
      <c r="G2581" s="26" t="str">
        <f aca="false">IF(A2581="","",COUNTIF(Pubs!$B$2:$B$3001,A2581))</f>
        <v/>
      </c>
      <c r="H2581" s="26" t="str">
        <f aca="false">IF(A2581="","",COUNTIF(Apparitions!$H$2:$H$5001,A2581))</f>
        <v/>
      </c>
      <c r="I2581" s="26" t="str">
        <f aca="false">IF(A2581="","",COUNTIFS(Apparitions!$H$2:$H$5001,A2581,Apparitions!$E$2:$E$5001,"○"))</f>
        <v/>
      </c>
      <c r="J2581" s="29" t="str">
        <f aca="false">IF(A2581="","",IFERROR(1/(1/_xlfn.MINIFS(Apparitions!$L$2:$L$5001,Apparitions!$H$2:$H$5001,A2581)),""))</f>
        <v/>
      </c>
    </row>
    <row r="2582" customFormat="false" ht="15" hidden="false" customHeight="false" outlineLevel="0" collapsed="false">
      <c r="A2582" s="19"/>
      <c r="B2582" s="19"/>
      <c r="C2582" s="19"/>
      <c r="D2582" s="19"/>
      <c r="E2582" s="32"/>
      <c r="F2582" s="19"/>
      <c r="G2582" s="26" t="str">
        <f aca="false">IF(A2582="","",COUNTIF(Pubs!$B$2:$B$3001,A2582))</f>
        <v/>
      </c>
      <c r="H2582" s="26" t="str">
        <f aca="false">IF(A2582="","",COUNTIF(Apparitions!$H$2:$H$5001,A2582))</f>
        <v/>
      </c>
      <c r="I2582" s="26" t="str">
        <f aca="false">IF(A2582="","",COUNTIFS(Apparitions!$H$2:$H$5001,A2582,Apparitions!$E$2:$E$5001,"○"))</f>
        <v/>
      </c>
      <c r="J2582" s="29" t="str">
        <f aca="false">IF(A2582="","",IFERROR(1/(1/_xlfn.MINIFS(Apparitions!$L$2:$L$5001,Apparitions!$H$2:$H$5001,A2582)),""))</f>
        <v/>
      </c>
    </row>
    <row r="2583" customFormat="false" ht="15" hidden="false" customHeight="false" outlineLevel="0" collapsed="false">
      <c r="A2583" s="19"/>
      <c r="B2583" s="19"/>
      <c r="C2583" s="19"/>
      <c r="D2583" s="19"/>
      <c r="E2583" s="32"/>
      <c r="F2583" s="19"/>
      <c r="G2583" s="26" t="str">
        <f aca="false">IF(A2583="","",COUNTIF(Pubs!$B$2:$B$3001,A2583))</f>
        <v/>
      </c>
      <c r="H2583" s="26" t="str">
        <f aca="false">IF(A2583="","",COUNTIF(Apparitions!$H$2:$H$5001,A2583))</f>
        <v/>
      </c>
      <c r="I2583" s="26" t="str">
        <f aca="false">IF(A2583="","",COUNTIFS(Apparitions!$H$2:$H$5001,A2583,Apparitions!$E$2:$E$5001,"○"))</f>
        <v/>
      </c>
      <c r="J2583" s="29" t="str">
        <f aca="false">IF(A2583="","",IFERROR(1/(1/_xlfn.MINIFS(Apparitions!$L$2:$L$5001,Apparitions!$H$2:$H$5001,A2583)),""))</f>
        <v/>
      </c>
    </row>
    <row r="2584" customFormat="false" ht="15" hidden="false" customHeight="false" outlineLevel="0" collapsed="false">
      <c r="A2584" s="19"/>
      <c r="B2584" s="19"/>
      <c r="C2584" s="19"/>
      <c r="D2584" s="19"/>
      <c r="E2584" s="32"/>
      <c r="F2584" s="19"/>
      <c r="G2584" s="26" t="str">
        <f aca="false">IF(A2584="","",COUNTIF(Pubs!$B$2:$B$3001,A2584))</f>
        <v/>
      </c>
      <c r="H2584" s="26" t="str">
        <f aca="false">IF(A2584="","",COUNTIF(Apparitions!$H$2:$H$5001,A2584))</f>
        <v/>
      </c>
      <c r="I2584" s="26" t="str">
        <f aca="false">IF(A2584="","",COUNTIFS(Apparitions!$H$2:$H$5001,A2584,Apparitions!$E$2:$E$5001,"○"))</f>
        <v/>
      </c>
      <c r="J2584" s="29" t="str">
        <f aca="false">IF(A2584="","",IFERROR(1/(1/_xlfn.MINIFS(Apparitions!$L$2:$L$5001,Apparitions!$H$2:$H$5001,A2584)),""))</f>
        <v/>
      </c>
    </row>
    <row r="2585" customFormat="false" ht="15" hidden="false" customHeight="false" outlineLevel="0" collapsed="false">
      <c r="A2585" s="19"/>
      <c r="B2585" s="19"/>
      <c r="C2585" s="19"/>
      <c r="D2585" s="19"/>
      <c r="E2585" s="32"/>
      <c r="F2585" s="19"/>
      <c r="G2585" s="26" t="str">
        <f aca="false">IF(A2585="","",COUNTIF(Pubs!$B$2:$B$3001,A2585))</f>
        <v/>
      </c>
      <c r="H2585" s="26" t="str">
        <f aca="false">IF(A2585="","",COUNTIF(Apparitions!$H$2:$H$5001,A2585))</f>
        <v/>
      </c>
      <c r="I2585" s="26" t="str">
        <f aca="false">IF(A2585="","",COUNTIFS(Apparitions!$H$2:$H$5001,A2585,Apparitions!$E$2:$E$5001,"○"))</f>
        <v/>
      </c>
      <c r="J2585" s="29" t="str">
        <f aca="false">IF(A2585="","",IFERROR(1/(1/_xlfn.MINIFS(Apparitions!$L$2:$L$5001,Apparitions!$H$2:$H$5001,A2585)),""))</f>
        <v/>
      </c>
    </row>
    <row r="2586" customFormat="false" ht="15" hidden="false" customHeight="false" outlineLevel="0" collapsed="false">
      <c r="A2586" s="19"/>
      <c r="B2586" s="19"/>
      <c r="C2586" s="19"/>
      <c r="D2586" s="19"/>
      <c r="E2586" s="32"/>
      <c r="F2586" s="19"/>
      <c r="G2586" s="26" t="str">
        <f aca="false">IF(A2586="","",COUNTIF(Pubs!$B$2:$B$3001,A2586))</f>
        <v/>
      </c>
      <c r="H2586" s="26" t="str">
        <f aca="false">IF(A2586="","",COUNTIF(Apparitions!$H$2:$H$5001,A2586))</f>
        <v/>
      </c>
      <c r="I2586" s="26" t="str">
        <f aca="false">IF(A2586="","",COUNTIFS(Apparitions!$H$2:$H$5001,A2586,Apparitions!$E$2:$E$5001,"○"))</f>
        <v/>
      </c>
      <c r="J2586" s="29" t="str">
        <f aca="false">IF(A2586="","",IFERROR(1/(1/_xlfn.MINIFS(Apparitions!$L$2:$L$5001,Apparitions!$H$2:$H$5001,A2586)),""))</f>
        <v/>
      </c>
    </row>
    <row r="2587" customFormat="false" ht="15" hidden="false" customHeight="false" outlineLevel="0" collapsed="false">
      <c r="A2587" s="19"/>
      <c r="B2587" s="19"/>
      <c r="C2587" s="19"/>
      <c r="D2587" s="19"/>
      <c r="E2587" s="32"/>
      <c r="F2587" s="19"/>
      <c r="G2587" s="26" t="str">
        <f aca="false">IF(A2587="","",COUNTIF(Pubs!$B$2:$B$3001,A2587))</f>
        <v/>
      </c>
      <c r="H2587" s="26" t="str">
        <f aca="false">IF(A2587="","",COUNTIF(Apparitions!$H$2:$H$5001,A2587))</f>
        <v/>
      </c>
      <c r="I2587" s="26" t="str">
        <f aca="false">IF(A2587="","",COUNTIFS(Apparitions!$H$2:$H$5001,A2587,Apparitions!$E$2:$E$5001,"○"))</f>
        <v/>
      </c>
      <c r="J2587" s="29" t="str">
        <f aca="false">IF(A2587="","",IFERROR(1/(1/_xlfn.MINIFS(Apparitions!$L$2:$L$5001,Apparitions!$H$2:$H$5001,A2587)),""))</f>
        <v/>
      </c>
    </row>
    <row r="2588" customFormat="false" ht="15" hidden="false" customHeight="false" outlineLevel="0" collapsed="false">
      <c r="A2588" s="19"/>
      <c r="B2588" s="19"/>
      <c r="C2588" s="19"/>
      <c r="D2588" s="19"/>
      <c r="E2588" s="32"/>
      <c r="F2588" s="19"/>
      <c r="G2588" s="26" t="str">
        <f aca="false">IF(A2588="","",COUNTIF(Pubs!$B$2:$B$3001,A2588))</f>
        <v/>
      </c>
      <c r="H2588" s="26" t="str">
        <f aca="false">IF(A2588="","",COUNTIF(Apparitions!$H$2:$H$5001,A2588))</f>
        <v/>
      </c>
      <c r="I2588" s="26" t="str">
        <f aca="false">IF(A2588="","",COUNTIFS(Apparitions!$H$2:$H$5001,A2588,Apparitions!$E$2:$E$5001,"○"))</f>
        <v/>
      </c>
      <c r="J2588" s="29" t="str">
        <f aca="false">IF(A2588="","",IFERROR(1/(1/_xlfn.MINIFS(Apparitions!$L$2:$L$5001,Apparitions!$H$2:$H$5001,A2588)),""))</f>
        <v/>
      </c>
    </row>
    <row r="2589" customFormat="false" ht="15" hidden="false" customHeight="false" outlineLevel="0" collapsed="false">
      <c r="A2589" s="19"/>
      <c r="B2589" s="19"/>
      <c r="C2589" s="19"/>
      <c r="D2589" s="19"/>
      <c r="E2589" s="32"/>
      <c r="F2589" s="19"/>
      <c r="G2589" s="26" t="str">
        <f aca="false">IF(A2589="","",COUNTIF(Pubs!$B$2:$B$3001,A2589))</f>
        <v/>
      </c>
      <c r="H2589" s="26" t="str">
        <f aca="false">IF(A2589="","",COUNTIF(Apparitions!$H$2:$H$5001,A2589))</f>
        <v/>
      </c>
      <c r="I2589" s="26" t="str">
        <f aca="false">IF(A2589="","",COUNTIFS(Apparitions!$H$2:$H$5001,A2589,Apparitions!$E$2:$E$5001,"○"))</f>
        <v/>
      </c>
      <c r="J2589" s="29" t="str">
        <f aca="false">IF(A2589="","",IFERROR(1/(1/_xlfn.MINIFS(Apparitions!$L$2:$L$5001,Apparitions!$H$2:$H$5001,A2589)),""))</f>
        <v/>
      </c>
    </row>
    <row r="2590" customFormat="false" ht="15" hidden="false" customHeight="false" outlineLevel="0" collapsed="false">
      <c r="A2590" s="19"/>
      <c r="B2590" s="19"/>
      <c r="C2590" s="19"/>
      <c r="D2590" s="19"/>
      <c r="E2590" s="32"/>
      <c r="F2590" s="19"/>
      <c r="G2590" s="26" t="str">
        <f aca="false">IF(A2590="","",COUNTIF(Pubs!$B$2:$B$3001,A2590))</f>
        <v/>
      </c>
      <c r="H2590" s="26" t="str">
        <f aca="false">IF(A2590="","",COUNTIF(Apparitions!$H$2:$H$5001,A2590))</f>
        <v/>
      </c>
      <c r="I2590" s="26" t="str">
        <f aca="false">IF(A2590="","",COUNTIFS(Apparitions!$H$2:$H$5001,A2590,Apparitions!$E$2:$E$5001,"○"))</f>
        <v/>
      </c>
      <c r="J2590" s="29" t="str">
        <f aca="false">IF(A2590="","",IFERROR(1/(1/_xlfn.MINIFS(Apparitions!$L$2:$L$5001,Apparitions!$H$2:$H$5001,A2590)),""))</f>
        <v/>
      </c>
    </row>
    <row r="2591" customFormat="false" ht="15" hidden="false" customHeight="false" outlineLevel="0" collapsed="false">
      <c r="A2591" s="19"/>
      <c r="B2591" s="19"/>
      <c r="C2591" s="19"/>
      <c r="D2591" s="19"/>
      <c r="E2591" s="32"/>
      <c r="F2591" s="19"/>
      <c r="G2591" s="26" t="str">
        <f aca="false">IF(A2591="","",COUNTIF(Pubs!$B$2:$B$3001,A2591))</f>
        <v/>
      </c>
      <c r="H2591" s="26" t="str">
        <f aca="false">IF(A2591="","",COUNTIF(Apparitions!$H$2:$H$5001,A2591))</f>
        <v/>
      </c>
      <c r="I2591" s="26" t="str">
        <f aca="false">IF(A2591="","",COUNTIFS(Apparitions!$H$2:$H$5001,A2591,Apparitions!$E$2:$E$5001,"○"))</f>
        <v/>
      </c>
      <c r="J2591" s="29" t="str">
        <f aca="false">IF(A2591="","",IFERROR(1/(1/_xlfn.MINIFS(Apparitions!$L$2:$L$5001,Apparitions!$H$2:$H$5001,A2591)),""))</f>
        <v/>
      </c>
    </row>
    <row r="2592" customFormat="false" ht="15" hidden="false" customHeight="false" outlineLevel="0" collapsed="false">
      <c r="A2592" s="19"/>
      <c r="B2592" s="19"/>
      <c r="C2592" s="19"/>
      <c r="D2592" s="19"/>
      <c r="E2592" s="32"/>
      <c r="F2592" s="19"/>
      <c r="G2592" s="26" t="str">
        <f aca="false">IF(A2592="","",COUNTIF(Pubs!$B$2:$B$3001,A2592))</f>
        <v/>
      </c>
      <c r="H2592" s="26" t="str">
        <f aca="false">IF(A2592="","",COUNTIF(Apparitions!$H$2:$H$5001,A2592))</f>
        <v/>
      </c>
      <c r="I2592" s="26" t="str">
        <f aca="false">IF(A2592="","",COUNTIFS(Apparitions!$H$2:$H$5001,A2592,Apparitions!$E$2:$E$5001,"○"))</f>
        <v/>
      </c>
      <c r="J2592" s="29" t="str">
        <f aca="false">IF(A2592="","",IFERROR(1/(1/_xlfn.MINIFS(Apparitions!$L$2:$L$5001,Apparitions!$H$2:$H$5001,A2592)),""))</f>
        <v/>
      </c>
    </row>
    <row r="2593" customFormat="false" ht="15" hidden="false" customHeight="false" outlineLevel="0" collapsed="false">
      <c r="A2593" s="19"/>
      <c r="B2593" s="19"/>
      <c r="C2593" s="19"/>
      <c r="D2593" s="19"/>
      <c r="E2593" s="32"/>
      <c r="F2593" s="19"/>
      <c r="G2593" s="26" t="str">
        <f aca="false">IF(A2593="","",COUNTIF(Pubs!$B$2:$B$3001,A2593))</f>
        <v/>
      </c>
      <c r="H2593" s="26" t="str">
        <f aca="false">IF(A2593="","",COUNTIF(Apparitions!$H$2:$H$5001,A2593))</f>
        <v/>
      </c>
      <c r="I2593" s="26" t="str">
        <f aca="false">IF(A2593="","",COUNTIFS(Apparitions!$H$2:$H$5001,A2593,Apparitions!$E$2:$E$5001,"○"))</f>
        <v/>
      </c>
      <c r="J2593" s="29" t="str">
        <f aca="false">IF(A2593="","",IFERROR(1/(1/_xlfn.MINIFS(Apparitions!$L$2:$L$5001,Apparitions!$H$2:$H$5001,A2593)),""))</f>
        <v/>
      </c>
    </row>
    <row r="2594" customFormat="false" ht="15" hidden="false" customHeight="false" outlineLevel="0" collapsed="false">
      <c r="A2594" s="19"/>
      <c r="B2594" s="19"/>
      <c r="C2594" s="19"/>
      <c r="D2594" s="19"/>
      <c r="E2594" s="32"/>
      <c r="F2594" s="19"/>
      <c r="G2594" s="26" t="str">
        <f aca="false">IF(A2594="","",COUNTIF(Pubs!$B$2:$B$3001,A2594))</f>
        <v/>
      </c>
      <c r="H2594" s="26" t="str">
        <f aca="false">IF(A2594="","",COUNTIF(Apparitions!$H$2:$H$5001,A2594))</f>
        <v/>
      </c>
      <c r="I2594" s="26" t="str">
        <f aca="false">IF(A2594="","",COUNTIFS(Apparitions!$H$2:$H$5001,A2594,Apparitions!$E$2:$E$5001,"○"))</f>
        <v/>
      </c>
      <c r="J2594" s="29" t="str">
        <f aca="false">IF(A2594="","",IFERROR(1/(1/_xlfn.MINIFS(Apparitions!$L$2:$L$5001,Apparitions!$H$2:$H$5001,A2594)),""))</f>
        <v/>
      </c>
    </row>
    <row r="2595" customFormat="false" ht="15" hidden="false" customHeight="false" outlineLevel="0" collapsed="false">
      <c r="A2595" s="19"/>
      <c r="B2595" s="19"/>
      <c r="C2595" s="19"/>
      <c r="D2595" s="19"/>
      <c r="E2595" s="32"/>
      <c r="F2595" s="19"/>
      <c r="G2595" s="26" t="str">
        <f aca="false">IF(A2595="","",COUNTIF(Pubs!$B$2:$B$3001,A2595))</f>
        <v/>
      </c>
      <c r="H2595" s="26" t="str">
        <f aca="false">IF(A2595="","",COUNTIF(Apparitions!$H$2:$H$5001,A2595))</f>
        <v/>
      </c>
      <c r="I2595" s="26" t="str">
        <f aca="false">IF(A2595="","",COUNTIFS(Apparitions!$H$2:$H$5001,A2595,Apparitions!$E$2:$E$5001,"○"))</f>
        <v/>
      </c>
      <c r="J2595" s="29" t="str">
        <f aca="false">IF(A2595="","",IFERROR(1/(1/_xlfn.MINIFS(Apparitions!$L$2:$L$5001,Apparitions!$H$2:$H$5001,A2595)),""))</f>
        <v/>
      </c>
    </row>
    <row r="2596" customFormat="false" ht="15" hidden="false" customHeight="false" outlineLevel="0" collapsed="false">
      <c r="A2596" s="19"/>
      <c r="B2596" s="19"/>
      <c r="C2596" s="19"/>
      <c r="D2596" s="19"/>
      <c r="E2596" s="32"/>
      <c r="F2596" s="19"/>
      <c r="G2596" s="26" t="str">
        <f aca="false">IF(A2596="","",COUNTIF(Pubs!$B$2:$B$3001,A2596))</f>
        <v/>
      </c>
      <c r="H2596" s="26" t="str">
        <f aca="false">IF(A2596="","",COUNTIF(Apparitions!$H$2:$H$5001,A2596))</f>
        <v/>
      </c>
      <c r="I2596" s="26" t="str">
        <f aca="false">IF(A2596="","",COUNTIFS(Apparitions!$H$2:$H$5001,A2596,Apparitions!$E$2:$E$5001,"○"))</f>
        <v/>
      </c>
      <c r="J2596" s="29" t="str">
        <f aca="false">IF(A2596="","",IFERROR(1/(1/_xlfn.MINIFS(Apparitions!$L$2:$L$5001,Apparitions!$H$2:$H$5001,A2596)),""))</f>
        <v/>
      </c>
    </row>
    <row r="2597" customFormat="false" ht="15" hidden="false" customHeight="false" outlineLevel="0" collapsed="false">
      <c r="A2597" s="19"/>
      <c r="B2597" s="19"/>
      <c r="C2597" s="19"/>
      <c r="D2597" s="19"/>
      <c r="E2597" s="32"/>
      <c r="F2597" s="19"/>
      <c r="G2597" s="26" t="str">
        <f aca="false">IF(A2597="","",COUNTIF(Pubs!$B$2:$B$3001,A2597))</f>
        <v/>
      </c>
      <c r="H2597" s="26" t="str">
        <f aca="false">IF(A2597="","",COUNTIF(Apparitions!$H$2:$H$5001,A2597))</f>
        <v/>
      </c>
      <c r="I2597" s="26" t="str">
        <f aca="false">IF(A2597="","",COUNTIFS(Apparitions!$H$2:$H$5001,A2597,Apparitions!$E$2:$E$5001,"○"))</f>
        <v/>
      </c>
      <c r="J2597" s="29" t="str">
        <f aca="false">IF(A2597="","",IFERROR(1/(1/_xlfn.MINIFS(Apparitions!$L$2:$L$5001,Apparitions!$H$2:$H$5001,A2597)),""))</f>
        <v/>
      </c>
    </row>
    <row r="2598" customFormat="false" ht="15" hidden="false" customHeight="false" outlineLevel="0" collapsed="false">
      <c r="A2598" s="19"/>
      <c r="B2598" s="19"/>
      <c r="C2598" s="19"/>
      <c r="D2598" s="19"/>
      <c r="E2598" s="32"/>
      <c r="F2598" s="19"/>
      <c r="G2598" s="26" t="str">
        <f aca="false">IF(A2598="","",COUNTIF(Pubs!$B$2:$B$3001,A2598))</f>
        <v/>
      </c>
      <c r="H2598" s="26" t="str">
        <f aca="false">IF(A2598="","",COUNTIF(Apparitions!$H$2:$H$5001,A2598))</f>
        <v/>
      </c>
      <c r="I2598" s="26" t="str">
        <f aca="false">IF(A2598="","",COUNTIFS(Apparitions!$H$2:$H$5001,A2598,Apparitions!$E$2:$E$5001,"○"))</f>
        <v/>
      </c>
      <c r="J2598" s="29" t="str">
        <f aca="false">IF(A2598="","",IFERROR(1/(1/_xlfn.MINIFS(Apparitions!$L$2:$L$5001,Apparitions!$H$2:$H$5001,A2598)),""))</f>
        <v/>
      </c>
    </row>
    <row r="2599" customFormat="false" ht="15" hidden="false" customHeight="false" outlineLevel="0" collapsed="false">
      <c r="A2599" s="19"/>
      <c r="B2599" s="19"/>
      <c r="C2599" s="19"/>
      <c r="D2599" s="19"/>
      <c r="E2599" s="32"/>
      <c r="F2599" s="19"/>
      <c r="G2599" s="26" t="str">
        <f aca="false">IF(A2599="","",COUNTIF(Pubs!$B$2:$B$3001,A2599))</f>
        <v/>
      </c>
      <c r="H2599" s="26" t="str">
        <f aca="false">IF(A2599="","",COUNTIF(Apparitions!$H$2:$H$5001,A2599))</f>
        <v/>
      </c>
      <c r="I2599" s="26" t="str">
        <f aca="false">IF(A2599="","",COUNTIFS(Apparitions!$H$2:$H$5001,A2599,Apparitions!$E$2:$E$5001,"○"))</f>
        <v/>
      </c>
      <c r="J2599" s="29" t="str">
        <f aca="false">IF(A2599="","",IFERROR(1/(1/_xlfn.MINIFS(Apparitions!$L$2:$L$5001,Apparitions!$H$2:$H$5001,A2599)),""))</f>
        <v/>
      </c>
    </row>
    <row r="2600" customFormat="false" ht="15" hidden="false" customHeight="false" outlineLevel="0" collapsed="false">
      <c r="A2600" s="19"/>
      <c r="B2600" s="19"/>
      <c r="C2600" s="19"/>
      <c r="D2600" s="19"/>
      <c r="E2600" s="32"/>
      <c r="F2600" s="19"/>
      <c r="G2600" s="26" t="str">
        <f aca="false">IF(A2600="","",COUNTIF(Pubs!$B$2:$B$3001,A2600))</f>
        <v/>
      </c>
      <c r="H2600" s="26" t="str">
        <f aca="false">IF(A2600="","",COUNTIF(Apparitions!$H$2:$H$5001,A2600))</f>
        <v/>
      </c>
      <c r="I2600" s="26" t="str">
        <f aca="false">IF(A2600="","",COUNTIFS(Apparitions!$H$2:$H$5001,A2600,Apparitions!$E$2:$E$5001,"○"))</f>
        <v/>
      </c>
      <c r="J2600" s="29" t="str">
        <f aca="false">IF(A2600="","",IFERROR(1/(1/_xlfn.MINIFS(Apparitions!$L$2:$L$5001,Apparitions!$H$2:$H$5001,A2600)),""))</f>
        <v/>
      </c>
    </row>
    <row r="2601" customFormat="false" ht="15" hidden="false" customHeight="false" outlineLevel="0" collapsed="false">
      <c r="A2601" s="19"/>
      <c r="B2601" s="19"/>
      <c r="C2601" s="19"/>
      <c r="D2601" s="19"/>
      <c r="E2601" s="32"/>
      <c r="F2601" s="19"/>
      <c r="G2601" s="26" t="str">
        <f aca="false">IF(A2601="","",COUNTIF(Pubs!$B$2:$B$3001,A2601))</f>
        <v/>
      </c>
      <c r="H2601" s="26" t="str">
        <f aca="false">IF(A2601="","",COUNTIF(Apparitions!$H$2:$H$5001,A2601))</f>
        <v/>
      </c>
      <c r="I2601" s="26" t="str">
        <f aca="false">IF(A2601="","",COUNTIFS(Apparitions!$H$2:$H$5001,A2601,Apparitions!$E$2:$E$5001,"○"))</f>
        <v/>
      </c>
      <c r="J2601" s="29" t="str">
        <f aca="false">IF(A2601="","",IFERROR(1/(1/_xlfn.MINIFS(Apparitions!$L$2:$L$5001,Apparitions!$H$2:$H$5001,A2601)),""))</f>
        <v/>
      </c>
    </row>
    <row r="2602" customFormat="false" ht="15" hidden="false" customHeight="false" outlineLevel="0" collapsed="false">
      <c r="A2602" s="19"/>
      <c r="B2602" s="19"/>
      <c r="C2602" s="19"/>
      <c r="D2602" s="19"/>
      <c r="E2602" s="32"/>
      <c r="F2602" s="19"/>
      <c r="G2602" s="26" t="str">
        <f aca="false">IF(A2602="","",COUNTIF(Pubs!$B$2:$B$3001,A2602))</f>
        <v/>
      </c>
      <c r="H2602" s="26" t="str">
        <f aca="false">IF(A2602="","",COUNTIF(Apparitions!$H$2:$H$5001,A2602))</f>
        <v/>
      </c>
      <c r="I2602" s="26" t="str">
        <f aca="false">IF(A2602="","",COUNTIFS(Apparitions!$H$2:$H$5001,A2602,Apparitions!$E$2:$E$5001,"○"))</f>
        <v/>
      </c>
      <c r="J2602" s="29" t="str">
        <f aca="false">IF(A2602="","",IFERROR(1/(1/_xlfn.MINIFS(Apparitions!$L$2:$L$5001,Apparitions!$H$2:$H$5001,A2602)),""))</f>
        <v/>
      </c>
    </row>
    <row r="2603" customFormat="false" ht="15" hidden="false" customHeight="false" outlineLevel="0" collapsed="false">
      <c r="A2603" s="19"/>
      <c r="B2603" s="19"/>
      <c r="C2603" s="19"/>
      <c r="D2603" s="19"/>
      <c r="E2603" s="32"/>
      <c r="F2603" s="19"/>
      <c r="G2603" s="26" t="str">
        <f aca="false">IF(A2603="","",COUNTIF(Pubs!$B$2:$B$3001,A2603))</f>
        <v/>
      </c>
      <c r="H2603" s="26" t="str">
        <f aca="false">IF(A2603="","",COUNTIF(Apparitions!$H$2:$H$5001,A2603))</f>
        <v/>
      </c>
      <c r="I2603" s="26" t="str">
        <f aca="false">IF(A2603="","",COUNTIFS(Apparitions!$H$2:$H$5001,A2603,Apparitions!$E$2:$E$5001,"○"))</f>
        <v/>
      </c>
      <c r="J2603" s="29" t="str">
        <f aca="false">IF(A2603="","",IFERROR(1/(1/_xlfn.MINIFS(Apparitions!$L$2:$L$5001,Apparitions!$H$2:$H$5001,A2603)),""))</f>
        <v/>
      </c>
    </row>
    <row r="2604" customFormat="false" ht="15" hidden="false" customHeight="false" outlineLevel="0" collapsed="false">
      <c r="A2604" s="19"/>
      <c r="B2604" s="19"/>
      <c r="C2604" s="19"/>
      <c r="D2604" s="19"/>
      <c r="E2604" s="32"/>
      <c r="F2604" s="19"/>
      <c r="G2604" s="26" t="str">
        <f aca="false">IF(A2604="","",COUNTIF(Pubs!$B$2:$B$3001,A2604))</f>
        <v/>
      </c>
      <c r="H2604" s="26" t="str">
        <f aca="false">IF(A2604="","",COUNTIF(Apparitions!$H$2:$H$5001,A2604))</f>
        <v/>
      </c>
      <c r="I2604" s="26" t="str">
        <f aca="false">IF(A2604="","",COUNTIFS(Apparitions!$H$2:$H$5001,A2604,Apparitions!$E$2:$E$5001,"○"))</f>
        <v/>
      </c>
      <c r="J2604" s="29" t="str">
        <f aca="false">IF(A2604="","",IFERROR(1/(1/_xlfn.MINIFS(Apparitions!$L$2:$L$5001,Apparitions!$H$2:$H$5001,A2604)),""))</f>
        <v/>
      </c>
    </row>
    <row r="2605" customFormat="false" ht="15" hidden="false" customHeight="false" outlineLevel="0" collapsed="false">
      <c r="A2605" s="19"/>
      <c r="B2605" s="19"/>
      <c r="C2605" s="19"/>
      <c r="D2605" s="19"/>
      <c r="E2605" s="32"/>
      <c r="F2605" s="19"/>
      <c r="G2605" s="26" t="str">
        <f aca="false">IF(A2605="","",COUNTIF(Pubs!$B$2:$B$3001,A2605))</f>
        <v/>
      </c>
      <c r="H2605" s="26" t="str">
        <f aca="false">IF(A2605="","",COUNTIF(Apparitions!$H$2:$H$5001,A2605))</f>
        <v/>
      </c>
      <c r="I2605" s="26" t="str">
        <f aca="false">IF(A2605="","",COUNTIFS(Apparitions!$H$2:$H$5001,A2605,Apparitions!$E$2:$E$5001,"○"))</f>
        <v/>
      </c>
      <c r="J2605" s="29" t="str">
        <f aca="false">IF(A2605="","",IFERROR(1/(1/_xlfn.MINIFS(Apparitions!$L$2:$L$5001,Apparitions!$H$2:$H$5001,A2605)),""))</f>
        <v/>
      </c>
    </row>
    <row r="2606" customFormat="false" ht="15" hidden="false" customHeight="false" outlineLevel="0" collapsed="false">
      <c r="A2606" s="19"/>
      <c r="B2606" s="19"/>
      <c r="C2606" s="19"/>
      <c r="D2606" s="19"/>
      <c r="E2606" s="32"/>
      <c r="F2606" s="19"/>
      <c r="G2606" s="26" t="str">
        <f aca="false">IF(A2606="","",COUNTIF(Pubs!$B$2:$B$3001,A2606))</f>
        <v/>
      </c>
      <c r="H2606" s="26" t="str">
        <f aca="false">IF(A2606="","",COUNTIF(Apparitions!$H$2:$H$5001,A2606))</f>
        <v/>
      </c>
      <c r="I2606" s="26" t="str">
        <f aca="false">IF(A2606="","",COUNTIFS(Apparitions!$H$2:$H$5001,A2606,Apparitions!$E$2:$E$5001,"○"))</f>
        <v/>
      </c>
      <c r="J2606" s="29" t="str">
        <f aca="false">IF(A2606="","",IFERROR(1/(1/_xlfn.MINIFS(Apparitions!$L$2:$L$5001,Apparitions!$H$2:$H$5001,A2606)),""))</f>
        <v/>
      </c>
    </row>
    <row r="2607" customFormat="false" ht="15" hidden="false" customHeight="false" outlineLevel="0" collapsed="false">
      <c r="A2607" s="19"/>
      <c r="B2607" s="19"/>
      <c r="C2607" s="19"/>
      <c r="D2607" s="19"/>
      <c r="E2607" s="32"/>
      <c r="F2607" s="19"/>
      <c r="G2607" s="26" t="str">
        <f aca="false">IF(A2607="","",COUNTIF(Pubs!$B$2:$B$3001,A2607))</f>
        <v/>
      </c>
      <c r="H2607" s="26" t="str">
        <f aca="false">IF(A2607="","",COUNTIF(Apparitions!$H$2:$H$5001,A2607))</f>
        <v/>
      </c>
      <c r="I2607" s="26" t="str">
        <f aca="false">IF(A2607="","",COUNTIFS(Apparitions!$H$2:$H$5001,A2607,Apparitions!$E$2:$E$5001,"○"))</f>
        <v/>
      </c>
      <c r="J2607" s="29" t="str">
        <f aca="false">IF(A2607="","",IFERROR(1/(1/_xlfn.MINIFS(Apparitions!$L$2:$L$5001,Apparitions!$H$2:$H$5001,A2607)),""))</f>
        <v/>
      </c>
    </row>
    <row r="2608" customFormat="false" ht="15" hidden="false" customHeight="false" outlineLevel="0" collapsed="false">
      <c r="A2608" s="19"/>
      <c r="B2608" s="19"/>
      <c r="C2608" s="19"/>
      <c r="D2608" s="19"/>
      <c r="E2608" s="32"/>
      <c r="F2608" s="19"/>
      <c r="G2608" s="26" t="str">
        <f aca="false">IF(A2608="","",COUNTIF(Pubs!$B$2:$B$3001,A2608))</f>
        <v/>
      </c>
      <c r="H2608" s="26" t="str">
        <f aca="false">IF(A2608="","",COUNTIF(Apparitions!$H$2:$H$5001,A2608))</f>
        <v/>
      </c>
      <c r="I2608" s="26" t="str">
        <f aca="false">IF(A2608="","",COUNTIFS(Apparitions!$H$2:$H$5001,A2608,Apparitions!$E$2:$E$5001,"○"))</f>
        <v/>
      </c>
      <c r="J2608" s="29" t="str">
        <f aca="false">IF(A2608="","",IFERROR(1/(1/_xlfn.MINIFS(Apparitions!$L$2:$L$5001,Apparitions!$H$2:$H$5001,A2608)),""))</f>
        <v/>
      </c>
    </row>
    <row r="2609" customFormat="false" ht="15" hidden="false" customHeight="false" outlineLevel="0" collapsed="false">
      <c r="A2609" s="19"/>
      <c r="B2609" s="19"/>
      <c r="C2609" s="19"/>
      <c r="D2609" s="19"/>
      <c r="E2609" s="32"/>
      <c r="F2609" s="19"/>
      <c r="G2609" s="26" t="str">
        <f aca="false">IF(A2609="","",COUNTIF(Pubs!$B$2:$B$3001,A2609))</f>
        <v/>
      </c>
      <c r="H2609" s="26" t="str">
        <f aca="false">IF(A2609="","",COUNTIF(Apparitions!$H$2:$H$5001,A2609))</f>
        <v/>
      </c>
      <c r="I2609" s="26" t="str">
        <f aca="false">IF(A2609="","",COUNTIFS(Apparitions!$H$2:$H$5001,A2609,Apparitions!$E$2:$E$5001,"○"))</f>
        <v/>
      </c>
      <c r="J2609" s="29" t="str">
        <f aca="false">IF(A2609="","",IFERROR(1/(1/_xlfn.MINIFS(Apparitions!$L$2:$L$5001,Apparitions!$H$2:$H$5001,A2609)),""))</f>
        <v/>
      </c>
    </row>
    <row r="2610" customFormat="false" ht="15" hidden="false" customHeight="false" outlineLevel="0" collapsed="false">
      <c r="A2610" s="19"/>
      <c r="B2610" s="19"/>
      <c r="C2610" s="19"/>
      <c r="D2610" s="19"/>
      <c r="E2610" s="32"/>
      <c r="F2610" s="19"/>
      <c r="G2610" s="26" t="str">
        <f aca="false">IF(A2610="","",COUNTIF(Pubs!$B$2:$B$3001,A2610))</f>
        <v/>
      </c>
      <c r="H2610" s="26" t="str">
        <f aca="false">IF(A2610="","",COUNTIF(Apparitions!$H$2:$H$5001,A2610))</f>
        <v/>
      </c>
      <c r="I2610" s="26" t="str">
        <f aca="false">IF(A2610="","",COUNTIFS(Apparitions!$H$2:$H$5001,A2610,Apparitions!$E$2:$E$5001,"○"))</f>
        <v/>
      </c>
      <c r="J2610" s="29" t="str">
        <f aca="false">IF(A2610="","",IFERROR(1/(1/_xlfn.MINIFS(Apparitions!$L$2:$L$5001,Apparitions!$H$2:$H$5001,A2610)),""))</f>
        <v/>
      </c>
    </row>
    <row r="2611" customFormat="false" ht="15" hidden="false" customHeight="false" outlineLevel="0" collapsed="false">
      <c r="A2611" s="19"/>
      <c r="B2611" s="19"/>
      <c r="C2611" s="19"/>
      <c r="D2611" s="19"/>
      <c r="E2611" s="32"/>
      <c r="F2611" s="19"/>
      <c r="G2611" s="26" t="str">
        <f aca="false">IF(A2611="","",COUNTIF(Pubs!$B$2:$B$3001,A2611))</f>
        <v/>
      </c>
      <c r="H2611" s="26" t="str">
        <f aca="false">IF(A2611="","",COUNTIF(Apparitions!$H$2:$H$5001,A2611))</f>
        <v/>
      </c>
      <c r="I2611" s="26" t="str">
        <f aca="false">IF(A2611="","",COUNTIFS(Apparitions!$H$2:$H$5001,A2611,Apparitions!$E$2:$E$5001,"○"))</f>
        <v/>
      </c>
      <c r="J2611" s="29" t="str">
        <f aca="false">IF(A2611="","",IFERROR(1/(1/_xlfn.MINIFS(Apparitions!$L$2:$L$5001,Apparitions!$H$2:$H$5001,A2611)),""))</f>
        <v/>
      </c>
    </row>
    <row r="2612" customFormat="false" ht="15" hidden="false" customHeight="false" outlineLevel="0" collapsed="false">
      <c r="A2612" s="19"/>
      <c r="B2612" s="19"/>
      <c r="C2612" s="19"/>
      <c r="D2612" s="19"/>
      <c r="E2612" s="32"/>
      <c r="F2612" s="19"/>
      <c r="G2612" s="26" t="str">
        <f aca="false">IF(A2612="","",COUNTIF(Pubs!$B$2:$B$3001,A2612))</f>
        <v/>
      </c>
      <c r="H2612" s="26" t="str">
        <f aca="false">IF(A2612="","",COUNTIF(Apparitions!$H$2:$H$5001,A2612))</f>
        <v/>
      </c>
      <c r="I2612" s="26" t="str">
        <f aca="false">IF(A2612="","",COUNTIFS(Apparitions!$H$2:$H$5001,A2612,Apparitions!$E$2:$E$5001,"○"))</f>
        <v/>
      </c>
      <c r="J2612" s="29" t="str">
        <f aca="false">IF(A2612="","",IFERROR(1/(1/_xlfn.MINIFS(Apparitions!$L$2:$L$5001,Apparitions!$H$2:$H$5001,A2612)),""))</f>
        <v/>
      </c>
    </row>
    <row r="2613" customFormat="false" ht="15" hidden="false" customHeight="false" outlineLevel="0" collapsed="false">
      <c r="A2613" s="19"/>
      <c r="B2613" s="19"/>
      <c r="C2613" s="19"/>
      <c r="D2613" s="19"/>
      <c r="E2613" s="32"/>
      <c r="F2613" s="19"/>
      <c r="G2613" s="26" t="str">
        <f aca="false">IF(A2613="","",COUNTIF(Pubs!$B$2:$B$3001,A2613))</f>
        <v/>
      </c>
      <c r="H2613" s="26" t="str">
        <f aca="false">IF(A2613="","",COUNTIF(Apparitions!$H$2:$H$5001,A2613))</f>
        <v/>
      </c>
      <c r="I2613" s="26" t="str">
        <f aca="false">IF(A2613="","",COUNTIFS(Apparitions!$H$2:$H$5001,A2613,Apparitions!$E$2:$E$5001,"○"))</f>
        <v/>
      </c>
      <c r="J2613" s="29" t="str">
        <f aca="false">IF(A2613="","",IFERROR(1/(1/_xlfn.MINIFS(Apparitions!$L$2:$L$5001,Apparitions!$H$2:$H$5001,A2613)),""))</f>
        <v/>
      </c>
    </row>
    <row r="2614" customFormat="false" ht="15" hidden="false" customHeight="false" outlineLevel="0" collapsed="false">
      <c r="A2614" s="19"/>
      <c r="B2614" s="19"/>
      <c r="C2614" s="19"/>
      <c r="D2614" s="19"/>
      <c r="E2614" s="32"/>
      <c r="F2614" s="19"/>
      <c r="G2614" s="26" t="str">
        <f aca="false">IF(A2614="","",COUNTIF(Pubs!$B$2:$B$3001,A2614))</f>
        <v/>
      </c>
      <c r="H2614" s="26" t="str">
        <f aca="false">IF(A2614="","",COUNTIF(Apparitions!$H$2:$H$5001,A2614))</f>
        <v/>
      </c>
      <c r="I2614" s="26" t="str">
        <f aca="false">IF(A2614="","",COUNTIFS(Apparitions!$H$2:$H$5001,A2614,Apparitions!$E$2:$E$5001,"○"))</f>
        <v/>
      </c>
      <c r="J2614" s="29" t="str">
        <f aca="false">IF(A2614="","",IFERROR(1/(1/_xlfn.MINIFS(Apparitions!$L$2:$L$5001,Apparitions!$H$2:$H$5001,A2614)),""))</f>
        <v/>
      </c>
    </row>
    <row r="2615" customFormat="false" ht="15" hidden="false" customHeight="false" outlineLevel="0" collapsed="false">
      <c r="A2615" s="19"/>
      <c r="B2615" s="19"/>
      <c r="C2615" s="19"/>
      <c r="D2615" s="19"/>
      <c r="E2615" s="32"/>
      <c r="F2615" s="19"/>
      <c r="G2615" s="26" t="str">
        <f aca="false">IF(A2615="","",COUNTIF(Pubs!$B$2:$B$3001,A2615))</f>
        <v/>
      </c>
      <c r="H2615" s="26" t="str">
        <f aca="false">IF(A2615="","",COUNTIF(Apparitions!$H$2:$H$5001,A2615))</f>
        <v/>
      </c>
      <c r="I2615" s="26" t="str">
        <f aca="false">IF(A2615="","",COUNTIFS(Apparitions!$H$2:$H$5001,A2615,Apparitions!$E$2:$E$5001,"○"))</f>
        <v/>
      </c>
      <c r="J2615" s="29" t="str">
        <f aca="false">IF(A2615="","",IFERROR(1/(1/_xlfn.MINIFS(Apparitions!$L$2:$L$5001,Apparitions!$H$2:$H$5001,A2615)),""))</f>
        <v/>
      </c>
    </row>
    <row r="2616" customFormat="false" ht="15" hidden="false" customHeight="false" outlineLevel="0" collapsed="false">
      <c r="A2616" s="19"/>
      <c r="B2616" s="19"/>
      <c r="C2616" s="19"/>
      <c r="D2616" s="19"/>
      <c r="E2616" s="32"/>
      <c r="F2616" s="19"/>
      <c r="G2616" s="26" t="str">
        <f aca="false">IF(A2616="","",COUNTIF(Pubs!$B$2:$B$3001,A2616))</f>
        <v/>
      </c>
      <c r="H2616" s="26" t="str">
        <f aca="false">IF(A2616="","",COUNTIF(Apparitions!$H$2:$H$5001,A2616))</f>
        <v/>
      </c>
      <c r="I2616" s="26" t="str">
        <f aca="false">IF(A2616="","",COUNTIFS(Apparitions!$H$2:$H$5001,A2616,Apparitions!$E$2:$E$5001,"○"))</f>
        <v/>
      </c>
      <c r="J2616" s="29" t="str">
        <f aca="false">IF(A2616="","",IFERROR(1/(1/_xlfn.MINIFS(Apparitions!$L$2:$L$5001,Apparitions!$H$2:$H$5001,A2616)),""))</f>
        <v/>
      </c>
    </row>
    <row r="2617" customFormat="false" ht="15" hidden="false" customHeight="false" outlineLevel="0" collapsed="false">
      <c r="A2617" s="19"/>
      <c r="B2617" s="19"/>
      <c r="C2617" s="19"/>
      <c r="D2617" s="19"/>
      <c r="E2617" s="32"/>
      <c r="F2617" s="19"/>
      <c r="G2617" s="26" t="str">
        <f aca="false">IF(A2617="","",COUNTIF(Pubs!$B$2:$B$3001,A2617))</f>
        <v/>
      </c>
      <c r="H2617" s="26" t="str">
        <f aca="false">IF(A2617="","",COUNTIF(Apparitions!$H$2:$H$5001,A2617))</f>
        <v/>
      </c>
      <c r="I2617" s="26" t="str">
        <f aca="false">IF(A2617="","",COUNTIFS(Apparitions!$H$2:$H$5001,A2617,Apparitions!$E$2:$E$5001,"○"))</f>
        <v/>
      </c>
      <c r="J2617" s="29" t="str">
        <f aca="false">IF(A2617="","",IFERROR(1/(1/_xlfn.MINIFS(Apparitions!$L$2:$L$5001,Apparitions!$H$2:$H$5001,A2617)),""))</f>
        <v/>
      </c>
    </row>
    <row r="2618" customFormat="false" ht="15" hidden="false" customHeight="false" outlineLevel="0" collapsed="false">
      <c r="A2618" s="19"/>
      <c r="B2618" s="19"/>
      <c r="C2618" s="19"/>
      <c r="D2618" s="19"/>
      <c r="E2618" s="32"/>
      <c r="F2618" s="19"/>
      <c r="G2618" s="26" t="str">
        <f aca="false">IF(A2618="","",COUNTIF(Pubs!$B$2:$B$3001,A2618))</f>
        <v/>
      </c>
      <c r="H2618" s="26" t="str">
        <f aca="false">IF(A2618="","",COUNTIF(Apparitions!$H$2:$H$5001,A2618))</f>
        <v/>
      </c>
      <c r="I2618" s="26" t="str">
        <f aca="false">IF(A2618="","",COUNTIFS(Apparitions!$H$2:$H$5001,A2618,Apparitions!$E$2:$E$5001,"○"))</f>
        <v/>
      </c>
      <c r="J2618" s="29" t="str">
        <f aca="false">IF(A2618="","",IFERROR(1/(1/_xlfn.MINIFS(Apparitions!$L$2:$L$5001,Apparitions!$H$2:$H$5001,A2618)),""))</f>
        <v/>
      </c>
    </row>
    <row r="2619" customFormat="false" ht="15" hidden="false" customHeight="false" outlineLevel="0" collapsed="false">
      <c r="A2619" s="19"/>
      <c r="B2619" s="19"/>
      <c r="C2619" s="19"/>
      <c r="D2619" s="19"/>
      <c r="E2619" s="32"/>
      <c r="F2619" s="19"/>
      <c r="G2619" s="26" t="str">
        <f aca="false">IF(A2619="","",COUNTIF(Pubs!$B$2:$B$3001,A2619))</f>
        <v/>
      </c>
      <c r="H2619" s="26" t="str">
        <f aca="false">IF(A2619="","",COUNTIF(Apparitions!$H$2:$H$5001,A2619))</f>
        <v/>
      </c>
      <c r="I2619" s="26" t="str">
        <f aca="false">IF(A2619="","",COUNTIFS(Apparitions!$H$2:$H$5001,A2619,Apparitions!$E$2:$E$5001,"○"))</f>
        <v/>
      </c>
      <c r="J2619" s="29" t="str">
        <f aca="false">IF(A2619="","",IFERROR(1/(1/_xlfn.MINIFS(Apparitions!$L$2:$L$5001,Apparitions!$H$2:$H$5001,A2619)),""))</f>
        <v/>
      </c>
    </row>
    <row r="2620" customFormat="false" ht="15" hidden="false" customHeight="false" outlineLevel="0" collapsed="false">
      <c r="A2620" s="19"/>
      <c r="B2620" s="19"/>
      <c r="C2620" s="19"/>
      <c r="D2620" s="19"/>
      <c r="E2620" s="32"/>
      <c r="F2620" s="19"/>
      <c r="G2620" s="26" t="str">
        <f aca="false">IF(A2620="","",COUNTIF(Pubs!$B$2:$B$3001,A2620))</f>
        <v/>
      </c>
      <c r="H2620" s="26" t="str">
        <f aca="false">IF(A2620="","",COUNTIF(Apparitions!$H$2:$H$5001,A2620))</f>
        <v/>
      </c>
      <c r="I2620" s="26" t="str">
        <f aca="false">IF(A2620="","",COUNTIFS(Apparitions!$H$2:$H$5001,A2620,Apparitions!$E$2:$E$5001,"○"))</f>
        <v/>
      </c>
      <c r="J2620" s="29" t="str">
        <f aca="false">IF(A2620="","",IFERROR(1/(1/_xlfn.MINIFS(Apparitions!$L$2:$L$5001,Apparitions!$H$2:$H$5001,A2620)),""))</f>
        <v/>
      </c>
    </row>
    <row r="2621" customFormat="false" ht="15" hidden="false" customHeight="false" outlineLevel="0" collapsed="false">
      <c r="A2621" s="19"/>
      <c r="B2621" s="19"/>
      <c r="C2621" s="19"/>
      <c r="D2621" s="19"/>
      <c r="E2621" s="32"/>
      <c r="F2621" s="19"/>
      <c r="G2621" s="26" t="str">
        <f aca="false">IF(A2621="","",COUNTIF(Pubs!$B$2:$B$3001,A2621))</f>
        <v/>
      </c>
      <c r="H2621" s="26" t="str">
        <f aca="false">IF(A2621="","",COUNTIF(Apparitions!$H$2:$H$5001,A2621))</f>
        <v/>
      </c>
      <c r="I2621" s="26" t="str">
        <f aca="false">IF(A2621="","",COUNTIFS(Apparitions!$H$2:$H$5001,A2621,Apparitions!$E$2:$E$5001,"○"))</f>
        <v/>
      </c>
      <c r="J2621" s="29" t="str">
        <f aca="false">IF(A2621="","",IFERROR(1/(1/_xlfn.MINIFS(Apparitions!$L$2:$L$5001,Apparitions!$H$2:$H$5001,A2621)),""))</f>
        <v/>
      </c>
    </row>
    <row r="2622" customFormat="false" ht="15" hidden="false" customHeight="false" outlineLevel="0" collapsed="false">
      <c r="A2622" s="19"/>
      <c r="B2622" s="19"/>
      <c r="C2622" s="19"/>
      <c r="D2622" s="19"/>
      <c r="E2622" s="32"/>
      <c r="F2622" s="19"/>
      <c r="G2622" s="26" t="str">
        <f aca="false">IF(A2622="","",COUNTIF(Pubs!$B$2:$B$3001,A2622))</f>
        <v/>
      </c>
      <c r="H2622" s="26" t="str">
        <f aca="false">IF(A2622="","",COUNTIF(Apparitions!$H$2:$H$5001,A2622))</f>
        <v/>
      </c>
      <c r="I2622" s="26" t="str">
        <f aca="false">IF(A2622="","",COUNTIFS(Apparitions!$H$2:$H$5001,A2622,Apparitions!$E$2:$E$5001,"○"))</f>
        <v/>
      </c>
      <c r="J2622" s="29" t="str">
        <f aca="false">IF(A2622="","",IFERROR(1/(1/_xlfn.MINIFS(Apparitions!$L$2:$L$5001,Apparitions!$H$2:$H$5001,A2622)),""))</f>
        <v/>
      </c>
    </row>
    <row r="2623" customFormat="false" ht="15" hidden="false" customHeight="false" outlineLevel="0" collapsed="false">
      <c r="A2623" s="19"/>
      <c r="B2623" s="19"/>
      <c r="C2623" s="19"/>
      <c r="D2623" s="19"/>
      <c r="E2623" s="32"/>
      <c r="F2623" s="19"/>
      <c r="G2623" s="26" t="str">
        <f aca="false">IF(A2623="","",COUNTIF(Pubs!$B$2:$B$3001,A2623))</f>
        <v/>
      </c>
      <c r="H2623" s="26" t="str">
        <f aca="false">IF(A2623="","",COUNTIF(Apparitions!$H$2:$H$5001,A2623))</f>
        <v/>
      </c>
      <c r="I2623" s="26" t="str">
        <f aca="false">IF(A2623="","",COUNTIFS(Apparitions!$H$2:$H$5001,A2623,Apparitions!$E$2:$E$5001,"○"))</f>
        <v/>
      </c>
      <c r="J2623" s="29" t="str">
        <f aca="false">IF(A2623="","",IFERROR(1/(1/_xlfn.MINIFS(Apparitions!$L$2:$L$5001,Apparitions!$H$2:$H$5001,A2623)),""))</f>
        <v/>
      </c>
    </row>
    <row r="2624" customFormat="false" ht="15" hidden="false" customHeight="false" outlineLevel="0" collapsed="false">
      <c r="A2624" s="19"/>
      <c r="B2624" s="19"/>
      <c r="C2624" s="19"/>
      <c r="D2624" s="19"/>
      <c r="E2624" s="32"/>
      <c r="F2624" s="19"/>
      <c r="G2624" s="26" t="str">
        <f aca="false">IF(A2624="","",COUNTIF(Pubs!$B$2:$B$3001,A2624))</f>
        <v/>
      </c>
      <c r="H2624" s="26" t="str">
        <f aca="false">IF(A2624="","",COUNTIF(Apparitions!$H$2:$H$5001,A2624))</f>
        <v/>
      </c>
      <c r="I2624" s="26" t="str">
        <f aca="false">IF(A2624="","",COUNTIFS(Apparitions!$H$2:$H$5001,A2624,Apparitions!$E$2:$E$5001,"○"))</f>
        <v/>
      </c>
      <c r="J2624" s="29" t="str">
        <f aca="false">IF(A2624="","",IFERROR(1/(1/_xlfn.MINIFS(Apparitions!$L$2:$L$5001,Apparitions!$H$2:$H$5001,A2624)),""))</f>
        <v/>
      </c>
    </row>
    <row r="2625" customFormat="false" ht="15" hidden="false" customHeight="false" outlineLevel="0" collapsed="false">
      <c r="A2625" s="19"/>
      <c r="B2625" s="19"/>
      <c r="C2625" s="19"/>
      <c r="D2625" s="19"/>
      <c r="E2625" s="32"/>
      <c r="F2625" s="19"/>
      <c r="G2625" s="26" t="str">
        <f aca="false">IF(A2625="","",COUNTIF(Pubs!$B$2:$B$3001,A2625))</f>
        <v/>
      </c>
      <c r="H2625" s="26" t="str">
        <f aca="false">IF(A2625="","",COUNTIF(Apparitions!$H$2:$H$5001,A2625))</f>
        <v/>
      </c>
      <c r="I2625" s="26" t="str">
        <f aca="false">IF(A2625="","",COUNTIFS(Apparitions!$H$2:$H$5001,A2625,Apparitions!$E$2:$E$5001,"○"))</f>
        <v/>
      </c>
      <c r="J2625" s="29" t="str">
        <f aca="false">IF(A2625="","",IFERROR(1/(1/_xlfn.MINIFS(Apparitions!$L$2:$L$5001,Apparitions!$H$2:$H$5001,A2625)),""))</f>
        <v/>
      </c>
    </row>
    <row r="2626" customFormat="false" ht="15" hidden="false" customHeight="false" outlineLevel="0" collapsed="false">
      <c r="A2626" s="19"/>
      <c r="B2626" s="19"/>
      <c r="C2626" s="19"/>
      <c r="D2626" s="19"/>
      <c r="E2626" s="32"/>
      <c r="F2626" s="19"/>
      <c r="G2626" s="26" t="str">
        <f aca="false">IF(A2626="","",COUNTIF(Pubs!$B$2:$B$3001,A2626))</f>
        <v/>
      </c>
      <c r="H2626" s="26" t="str">
        <f aca="false">IF(A2626="","",COUNTIF(Apparitions!$H$2:$H$5001,A2626))</f>
        <v/>
      </c>
      <c r="I2626" s="26" t="str">
        <f aca="false">IF(A2626="","",COUNTIFS(Apparitions!$H$2:$H$5001,A2626,Apparitions!$E$2:$E$5001,"○"))</f>
        <v/>
      </c>
      <c r="J2626" s="29" t="str">
        <f aca="false">IF(A2626="","",IFERROR(1/(1/_xlfn.MINIFS(Apparitions!$L$2:$L$5001,Apparitions!$H$2:$H$5001,A2626)),""))</f>
        <v/>
      </c>
    </row>
    <row r="2627" customFormat="false" ht="15" hidden="false" customHeight="false" outlineLevel="0" collapsed="false">
      <c r="A2627" s="19"/>
      <c r="B2627" s="19"/>
      <c r="C2627" s="19"/>
      <c r="D2627" s="19"/>
      <c r="E2627" s="32"/>
      <c r="F2627" s="19"/>
      <c r="G2627" s="26" t="str">
        <f aca="false">IF(A2627="","",COUNTIF(Pubs!$B$2:$B$3001,A2627))</f>
        <v/>
      </c>
      <c r="H2627" s="26" t="str">
        <f aca="false">IF(A2627="","",COUNTIF(Apparitions!$H$2:$H$5001,A2627))</f>
        <v/>
      </c>
      <c r="I2627" s="26" t="str">
        <f aca="false">IF(A2627="","",COUNTIFS(Apparitions!$H$2:$H$5001,A2627,Apparitions!$E$2:$E$5001,"○"))</f>
        <v/>
      </c>
      <c r="J2627" s="29" t="str">
        <f aca="false">IF(A2627="","",IFERROR(1/(1/_xlfn.MINIFS(Apparitions!$L$2:$L$5001,Apparitions!$H$2:$H$5001,A2627)),""))</f>
        <v/>
      </c>
    </row>
    <row r="2628" customFormat="false" ht="15" hidden="false" customHeight="false" outlineLevel="0" collapsed="false">
      <c r="A2628" s="19"/>
      <c r="B2628" s="19"/>
      <c r="C2628" s="19"/>
      <c r="D2628" s="19"/>
      <c r="E2628" s="32"/>
      <c r="F2628" s="19"/>
      <c r="G2628" s="26" t="str">
        <f aca="false">IF(A2628="","",COUNTIF(Pubs!$B$2:$B$3001,A2628))</f>
        <v/>
      </c>
      <c r="H2628" s="26" t="str">
        <f aca="false">IF(A2628="","",COUNTIF(Apparitions!$H$2:$H$5001,A2628))</f>
        <v/>
      </c>
      <c r="I2628" s="26" t="str">
        <f aca="false">IF(A2628="","",COUNTIFS(Apparitions!$H$2:$H$5001,A2628,Apparitions!$E$2:$E$5001,"○"))</f>
        <v/>
      </c>
      <c r="J2628" s="29" t="str">
        <f aca="false">IF(A2628="","",IFERROR(1/(1/_xlfn.MINIFS(Apparitions!$L$2:$L$5001,Apparitions!$H$2:$H$5001,A2628)),""))</f>
        <v/>
      </c>
    </row>
    <row r="2629" customFormat="false" ht="15" hidden="false" customHeight="false" outlineLevel="0" collapsed="false">
      <c r="A2629" s="19"/>
      <c r="B2629" s="19"/>
      <c r="C2629" s="19"/>
      <c r="D2629" s="19"/>
      <c r="E2629" s="32"/>
      <c r="F2629" s="19"/>
      <c r="G2629" s="26" t="str">
        <f aca="false">IF(A2629="","",COUNTIF(Pubs!$B$2:$B$3001,A2629))</f>
        <v/>
      </c>
      <c r="H2629" s="26" t="str">
        <f aca="false">IF(A2629="","",COUNTIF(Apparitions!$H$2:$H$5001,A2629))</f>
        <v/>
      </c>
      <c r="I2629" s="26" t="str">
        <f aca="false">IF(A2629="","",COUNTIFS(Apparitions!$H$2:$H$5001,A2629,Apparitions!$E$2:$E$5001,"○"))</f>
        <v/>
      </c>
      <c r="J2629" s="29" t="str">
        <f aca="false">IF(A2629="","",IFERROR(1/(1/_xlfn.MINIFS(Apparitions!$L$2:$L$5001,Apparitions!$H$2:$H$5001,A2629)),""))</f>
        <v/>
      </c>
    </row>
    <row r="2630" customFormat="false" ht="15" hidden="false" customHeight="false" outlineLevel="0" collapsed="false">
      <c r="A2630" s="19"/>
      <c r="B2630" s="19"/>
      <c r="C2630" s="19"/>
      <c r="D2630" s="19"/>
      <c r="E2630" s="32"/>
      <c r="F2630" s="19"/>
      <c r="G2630" s="26" t="str">
        <f aca="false">IF(A2630="","",COUNTIF(Pubs!$B$2:$B$3001,A2630))</f>
        <v/>
      </c>
      <c r="H2630" s="26" t="str">
        <f aca="false">IF(A2630="","",COUNTIF(Apparitions!$H$2:$H$5001,A2630))</f>
        <v/>
      </c>
      <c r="I2630" s="26" t="str">
        <f aca="false">IF(A2630="","",COUNTIFS(Apparitions!$H$2:$H$5001,A2630,Apparitions!$E$2:$E$5001,"○"))</f>
        <v/>
      </c>
      <c r="J2630" s="29" t="str">
        <f aca="false">IF(A2630="","",IFERROR(1/(1/_xlfn.MINIFS(Apparitions!$L$2:$L$5001,Apparitions!$H$2:$H$5001,A2630)),""))</f>
        <v/>
      </c>
    </row>
    <row r="2631" customFormat="false" ht="15" hidden="false" customHeight="false" outlineLevel="0" collapsed="false">
      <c r="A2631" s="19"/>
      <c r="B2631" s="19"/>
      <c r="C2631" s="19"/>
      <c r="D2631" s="19"/>
      <c r="E2631" s="32"/>
      <c r="F2631" s="19"/>
      <c r="G2631" s="26" t="str">
        <f aca="false">IF(A2631="","",COUNTIF(Pubs!$B$2:$B$3001,A2631))</f>
        <v/>
      </c>
      <c r="H2631" s="26" t="str">
        <f aca="false">IF(A2631="","",COUNTIF(Apparitions!$H$2:$H$5001,A2631))</f>
        <v/>
      </c>
      <c r="I2631" s="26" t="str">
        <f aca="false">IF(A2631="","",COUNTIFS(Apparitions!$H$2:$H$5001,A2631,Apparitions!$E$2:$E$5001,"○"))</f>
        <v/>
      </c>
      <c r="J2631" s="29" t="str">
        <f aca="false">IF(A2631="","",IFERROR(1/(1/_xlfn.MINIFS(Apparitions!$L$2:$L$5001,Apparitions!$H$2:$H$5001,A2631)),""))</f>
        <v/>
      </c>
    </row>
    <row r="2632" customFormat="false" ht="15" hidden="false" customHeight="false" outlineLevel="0" collapsed="false">
      <c r="A2632" s="19"/>
      <c r="B2632" s="19"/>
      <c r="C2632" s="19"/>
      <c r="D2632" s="19"/>
      <c r="E2632" s="32"/>
      <c r="F2632" s="19"/>
      <c r="G2632" s="26" t="str">
        <f aca="false">IF(A2632="","",COUNTIF(Pubs!$B$2:$B$3001,A2632))</f>
        <v/>
      </c>
      <c r="H2632" s="26" t="str">
        <f aca="false">IF(A2632="","",COUNTIF(Apparitions!$H$2:$H$5001,A2632))</f>
        <v/>
      </c>
      <c r="I2632" s="26" t="str">
        <f aca="false">IF(A2632="","",COUNTIFS(Apparitions!$H$2:$H$5001,A2632,Apparitions!$E$2:$E$5001,"○"))</f>
        <v/>
      </c>
      <c r="J2632" s="29" t="str">
        <f aca="false">IF(A2632="","",IFERROR(1/(1/_xlfn.MINIFS(Apparitions!$L$2:$L$5001,Apparitions!$H$2:$H$5001,A2632)),""))</f>
        <v/>
      </c>
    </row>
    <row r="2633" customFormat="false" ht="15" hidden="false" customHeight="false" outlineLevel="0" collapsed="false">
      <c r="A2633" s="19"/>
      <c r="B2633" s="19"/>
      <c r="C2633" s="19"/>
      <c r="D2633" s="19"/>
      <c r="E2633" s="32"/>
      <c r="F2633" s="19"/>
      <c r="G2633" s="26" t="str">
        <f aca="false">IF(A2633="","",COUNTIF(Pubs!$B$2:$B$3001,A2633))</f>
        <v/>
      </c>
      <c r="H2633" s="26" t="str">
        <f aca="false">IF(A2633="","",COUNTIF(Apparitions!$H$2:$H$5001,A2633))</f>
        <v/>
      </c>
      <c r="I2633" s="26" t="str">
        <f aca="false">IF(A2633="","",COUNTIFS(Apparitions!$H$2:$H$5001,A2633,Apparitions!$E$2:$E$5001,"○"))</f>
        <v/>
      </c>
      <c r="J2633" s="29" t="str">
        <f aca="false">IF(A2633="","",IFERROR(1/(1/_xlfn.MINIFS(Apparitions!$L$2:$L$5001,Apparitions!$H$2:$H$5001,A2633)),""))</f>
        <v/>
      </c>
    </row>
    <row r="2634" customFormat="false" ht="15" hidden="false" customHeight="false" outlineLevel="0" collapsed="false">
      <c r="A2634" s="19"/>
      <c r="B2634" s="19"/>
      <c r="C2634" s="19"/>
      <c r="D2634" s="19"/>
      <c r="E2634" s="32"/>
      <c r="F2634" s="19"/>
      <c r="G2634" s="26" t="str">
        <f aca="false">IF(A2634="","",COUNTIF(Pubs!$B$2:$B$3001,A2634))</f>
        <v/>
      </c>
      <c r="H2634" s="26" t="str">
        <f aca="false">IF(A2634="","",COUNTIF(Apparitions!$H$2:$H$5001,A2634))</f>
        <v/>
      </c>
      <c r="I2634" s="26" t="str">
        <f aca="false">IF(A2634="","",COUNTIFS(Apparitions!$H$2:$H$5001,A2634,Apparitions!$E$2:$E$5001,"○"))</f>
        <v/>
      </c>
      <c r="J2634" s="29" t="str">
        <f aca="false">IF(A2634="","",IFERROR(1/(1/_xlfn.MINIFS(Apparitions!$L$2:$L$5001,Apparitions!$H$2:$H$5001,A2634)),""))</f>
        <v/>
      </c>
    </row>
    <row r="2635" customFormat="false" ht="15" hidden="false" customHeight="false" outlineLevel="0" collapsed="false">
      <c r="A2635" s="19"/>
      <c r="B2635" s="19"/>
      <c r="C2635" s="19"/>
      <c r="D2635" s="19"/>
      <c r="E2635" s="32"/>
      <c r="F2635" s="19"/>
      <c r="G2635" s="26" t="str">
        <f aca="false">IF(A2635="","",COUNTIF(Pubs!$B$2:$B$3001,A2635))</f>
        <v/>
      </c>
      <c r="H2635" s="26" t="str">
        <f aca="false">IF(A2635="","",COUNTIF(Apparitions!$H$2:$H$5001,A2635))</f>
        <v/>
      </c>
      <c r="I2635" s="26" t="str">
        <f aca="false">IF(A2635="","",COUNTIFS(Apparitions!$H$2:$H$5001,A2635,Apparitions!$E$2:$E$5001,"○"))</f>
        <v/>
      </c>
      <c r="J2635" s="29" t="str">
        <f aca="false">IF(A2635="","",IFERROR(1/(1/_xlfn.MINIFS(Apparitions!$L$2:$L$5001,Apparitions!$H$2:$H$5001,A2635)),""))</f>
        <v/>
      </c>
    </row>
    <row r="2636" customFormat="false" ht="15" hidden="false" customHeight="false" outlineLevel="0" collapsed="false">
      <c r="A2636" s="19"/>
      <c r="B2636" s="19"/>
      <c r="C2636" s="19"/>
      <c r="D2636" s="19"/>
      <c r="E2636" s="32"/>
      <c r="F2636" s="19"/>
      <c r="G2636" s="26" t="str">
        <f aca="false">IF(A2636="","",COUNTIF(Pubs!$B$2:$B$3001,A2636))</f>
        <v/>
      </c>
      <c r="H2636" s="26" t="str">
        <f aca="false">IF(A2636="","",COUNTIF(Apparitions!$H$2:$H$5001,A2636))</f>
        <v/>
      </c>
      <c r="I2636" s="26" t="str">
        <f aca="false">IF(A2636="","",COUNTIFS(Apparitions!$H$2:$H$5001,A2636,Apparitions!$E$2:$E$5001,"○"))</f>
        <v/>
      </c>
      <c r="J2636" s="29" t="str">
        <f aca="false">IF(A2636="","",IFERROR(1/(1/_xlfn.MINIFS(Apparitions!$L$2:$L$5001,Apparitions!$H$2:$H$5001,A2636)),""))</f>
        <v/>
      </c>
    </row>
    <row r="2637" customFormat="false" ht="15" hidden="false" customHeight="false" outlineLevel="0" collapsed="false">
      <c r="A2637" s="19"/>
      <c r="B2637" s="19"/>
      <c r="C2637" s="19"/>
      <c r="D2637" s="19"/>
      <c r="E2637" s="32"/>
      <c r="F2637" s="19"/>
      <c r="G2637" s="26" t="str">
        <f aca="false">IF(A2637="","",COUNTIF(Pubs!$B$2:$B$3001,A2637))</f>
        <v/>
      </c>
      <c r="H2637" s="26" t="str">
        <f aca="false">IF(A2637="","",COUNTIF(Apparitions!$H$2:$H$5001,A2637))</f>
        <v/>
      </c>
      <c r="I2637" s="26" t="str">
        <f aca="false">IF(A2637="","",COUNTIFS(Apparitions!$H$2:$H$5001,A2637,Apparitions!$E$2:$E$5001,"○"))</f>
        <v/>
      </c>
      <c r="J2637" s="29" t="str">
        <f aca="false">IF(A2637="","",IFERROR(1/(1/_xlfn.MINIFS(Apparitions!$L$2:$L$5001,Apparitions!$H$2:$H$5001,A2637)),""))</f>
        <v/>
      </c>
    </row>
    <row r="2638" customFormat="false" ht="15" hidden="false" customHeight="false" outlineLevel="0" collapsed="false">
      <c r="A2638" s="19"/>
      <c r="B2638" s="19"/>
      <c r="C2638" s="19"/>
      <c r="D2638" s="19"/>
      <c r="E2638" s="32"/>
      <c r="F2638" s="19"/>
      <c r="G2638" s="26" t="str">
        <f aca="false">IF(A2638="","",COUNTIF(Pubs!$B$2:$B$3001,A2638))</f>
        <v/>
      </c>
      <c r="H2638" s="26" t="str">
        <f aca="false">IF(A2638="","",COUNTIF(Apparitions!$H$2:$H$5001,A2638))</f>
        <v/>
      </c>
      <c r="I2638" s="26" t="str">
        <f aca="false">IF(A2638="","",COUNTIFS(Apparitions!$H$2:$H$5001,A2638,Apparitions!$E$2:$E$5001,"○"))</f>
        <v/>
      </c>
      <c r="J2638" s="29" t="str">
        <f aca="false">IF(A2638="","",IFERROR(1/(1/_xlfn.MINIFS(Apparitions!$L$2:$L$5001,Apparitions!$H$2:$H$5001,A2638)),""))</f>
        <v/>
      </c>
    </row>
    <row r="2639" customFormat="false" ht="15" hidden="false" customHeight="false" outlineLevel="0" collapsed="false">
      <c r="A2639" s="19"/>
      <c r="B2639" s="19"/>
      <c r="C2639" s="19"/>
      <c r="D2639" s="19"/>
      <c r="E2639" s="32"/>
      <c r="F2639" s="19"/>
      <c r="G2639" s="26" t="str">
        <f aca="false">IF(A2639="","",COUNTIF(Pubs!$B$2:$B$3001,A2639))</f>
        <v/>
      </c>
      <c r="H2639" s="26" t="str">
        <f aca="false">IF(A2639="","",COUNTIF(Apparitions!$H$2:$H$5001,A2639))</f>
        <v/>
      </c>
      <c r="I2639" s="26" t="str">
        <f aca="false">IF(A2639="","",COUNTIFS(Apparitions!$H$2:$H$5001,A2639,Apparitions!$E$2:$E$5001,"○"))</f>
        <v/>
      </c>
      <c r="J2639" s="29" t="str">
        <f aca="false">IF(A2639="","",IFERROR(1/(1/_xlfn.MINIFS(Apparitions!$L$2:$L$5001,Apparitions!$H$2:$H$5001,A2639)),""))</f>
        <v/>
      </c>
    </row>
    <row r="2640" customFormat="false" ht="15" hidden="false" customHeight="false" outlineLevel="0" collapsed="false">
      <c r="A2640" s="19"/>
      <c r="B2640" s="19"/>
      <c r="C2640" s="19"/>
      <c r="D2640" s="19"/>
      <c r="E2640" s="32"/>
      <c r="F2640" s="19"/>
      <c r="G2640" s="26" t="str">
        <f aca="false">IF(A2640="","",COUNTIF(Pubs!$B$2:$B$3001,A2640))</f>
        <v/>
      </c>
      <c r="H2640" s="26" t="str">
        <f aca="false">IF(A2640="","",COUNTIF(Apparitions!$H$2:$H$5001,A2640))</f>
        <v/>
      </c>
      <c r="I2640" s="26" t="str">
        <f aca="false">IF(A2640="","",COUNTIFS(Apparitions!$H$2:$H$5001,A2640,Apparitions!$E$2:$E$5001,"○"))</f>
        <v/>
      </c>
      <c r="J2640" s="29" t="str">
        <f aca="false">IF(A2640="","",IFERROR(1/(1/_xlfn.MINIFS(Apparitions!$L$2:$L$5001,Apparitions!$H$2:$H$5001,A2640)),""))</f>
        <v/>
      </c>
    </row>
    <row r="2641" customFormat="false" ht="15" hidden="false" customHeight="false" outlineLevel="0" collapsed="false">
      <c r="A2641" s="19"/>
      <c r="B2641" s="19"/>
      <c r="C2641" s="19"/>
      <c r="D2641" s="19"/>
      <c r="E2641" s="32"/>
      <c r="F2641" s="19"/>
      <c r="G2641" s="26" t="str">
        <f aca="false">IF(A2641="","",COUNTIF(Pubs!$B$2:$B$3001,A2641))</f>
        <v/>
      </c>
      <c r="H2641" s="26" t="str">
        <f aca="false">IF(A2641="","",COUNTIF(Apparitions!$H$2:$H$5001,A2641))</f>
        <v/>
      </c>
      <c r="I2641" s="26" t="str">
        <f aca="false">IF(A2641="","",COUNTIFS(Apparitions!$H$2:$H$5001,A2641,Apparitions!$E$2:$E$5001,"○"))</f>
        <v/>
      </c>
      <c r="J2641" s="29" t="str">
        <f aca="false">IF(A2641="","",IFERROR(1/(1/_xlfn.MINIFS(Apparitions!$L$2:$L$5001,Apparitions!$H$2:$H$5001,A2641)),""))</f>
        <v/>
      </c>
    </row>
    <row r="2642" customFormat="false" ht="15" hidden="false" customHeight="false" outlineLevel="0" collapsed="false">
      <c r="A2642" s="19"/>
      <c r="B2642" s="19"/>
      <c r="C2642" s="19"/>
      <c r="D2642" s="19"/>
      <c r="E2642" s="32"/>
      <c r="F2642" s="19"/>
      <c r="G2642" s="26" t="str">
        <f aca="false">IF(A2642="","",COUNTIF(Pubs!$B$2:$B$3001,A2642))</f>
        <v/>
      </c>
      <c r="H2642" s="26" t="str">
        <f aca="false">IF(A2642="","",COUNTIF(Apparitions!$H$2:$H$5001,A2642))</f>
        <v/>
      </c>
      <c r="I2642" s="26" t="str">
        <f aca="false">IF(A2642="","",COUNTIFS(Apparitions!$H$2:$H$5001,A2642,Apparitions!$E$2:$E$5001,"○"))</f>
        <v/>
      </c>
      <c r="J2642" s="29" t="str">
        <f aca="false">IF(A2642="","",IFERROR(1/(1/_xlfn.MINIFS(Apparitions!$L$2:$L$5001,Apparitions!$H$2:$H$5001,A2642)),""))</f>
        <v/>
      </c>
    </row>
    <row r="2643" customFormat="false" ht="15" hidden="false" customHeight="false" outlineLevel="0" collapsed="false">
      <c r="A2643" s="19"/>
      <c r="B2643" s="19"/>
      <c r="C2643" s="19"/>
      <c r="D2643" s="19"/>
      <c r="E2643" s="32"/>
      <c r="F2643" s="19"/>
      <c r="G2643" s="26" t="str">
        <f aca="false">IF(A2643="","",COUNTIF(Pubs!$B$2:$B$3001,A2643))</f>
        <v/>
      </c>
      <c r="H2643" s="26" t="str">
        <f aca="false">IF(A2643="","",COUNTIF(Apparitions!$H$2:$H$5001,A2643))</f>
        <v/>
      </c>
      <c r="I2643" s="26" t="str">
        <f aca="false">IF(A2643="","",COUNTIFS(Apparitions!$H$2:$H$5001,A2643,Apparitions!$E$2:$E$5001,"○"))</f>
        <v/>
      </c>
      <c r="J2643" s="29" t="str">
        <f aca="false">IF(A2643="","",IFERROR(1/(1/_xlfn.MINIFS(Apparitions!$L$2:$L$5001,Apparitions!$H$2:$H$5001,A2643)),""))</f>
        <v/>
      </c>
    </row>
    <row r="2644" customFormat="false" ht="15" hidden="false" customHeight="false" outlineLevel="0" collapsed="false">
      <c r="A2644" s="19"/>
      <c r="B2644" s="19"/>
      <c r="C2644" s="19"/>
      <c r="D2644" s="19"/>
      <c r="E2644" s="32"/>
      <c r="F2644" s="19"/>
      <c r="G2644" s="26" t="str">
        <f aca="false">IF(A2644="","",COUNTIF(Pubs!$B$2:$B$3001,A2644))</f>
        <v/>
      </c>
      <c r="H2644" s="26" t="str">
        <f aca="false">IF(A2644="","",COUNTIF(Apparitions!$H$2:$H$5001,A2644))</f>
        <v/>
      </c>
      <c r="I2644" s="26" t="str">
        <f aca="false">IF(A2644="","",COUNTIFS(Apparitions!$H$2:$H$5001,A2644,Apparitions!$E$2:$E$5001,"○"))</f>
        <v/>
      </c>
      <c r="J2644" s="29" t="str">
        <f aca="false">IF(A2644="","",IFERROR(1/(1/_xlfn.MINIFS(Apparitions!$L$2:$L$5001,Apparitions!$H$2:$H$5001,A2644)),""))</f>
        <v/>
      </c>
    </row>
    <row r="2645" customFormat="false" ht="15" hidden="false" customHeight="false" outlineLevel="0" collapsed="false">
      <c r="A2645" s="19"/>
      <c r="B2645" s="19"/>
      <c r="C2645" s="19"/>
      <c r="D2645" s="19"/>
      <c r="E2645" s="32"/>
      <c r="F2645" s="19"/>
      <c r="G2645" s="26" t="str">
        <f aca="false">IF(A2645="","",COUNTIF(Pubs!$B$2:$B$3001,A2645))</f>
        <v/>
      </c>
      <c r="H2645" s="26" t="str">
        <f aca="false">IF(A2645="","",COUNTIF(Apparitions!$H$2:$H$5001,A2645))</f>
        <v/>
      </c>
      <c r="I2645" s="26" t="str">
        <f aca="false">IF(A2645="","",COUNTIFS(Apparitions!$H$2:$H$5001,A2645,Apparitions!$E$2:$E$5001,"○"))</f>
        <v/>
      </c>
      <c r="J2645" s="29" t="str">
        <f aca="false">IF(A2645="","",IFERROR(1/(1/_xlfn.MINIFS(Apparitions!$L$2:$L$5001,Apparitions!$H$2:$H$5001,A2645)),""))</f>
        <v/>
      </c>
    </row>
    <row r="2646" customFormat="false" ht="15" hidden="false" customHeight="false" outlineLevel="0" collapsed="false">
      <c r="A2646" s="19"/>
      <c r="B2646" s="19"/>
      <c r="C2646" s="19"/>
      <c r="D2646" s="19"/>
      <c r="E2646" s="32"/>
      <c r="F2646" s="19"/>
      <c r="G2646" s="26" t="str">
        <f aca="false">IF(A2646="","",COUNTIF(Pubs!$B$2:$B$3001,A2646))</f>
        <v/>
      </c>
      <c r="H2646" s="26" t="str">
        <f aca="false">IF(A2646="","",COUNTIF(Apparitions!$H$2:$H$5001,A2646))</f>
        <v/>
      </c>
      <c r="I2646" s="26" t="str">
        <f aca="false">IF(A2646="","",COUNTIFS(Apparitions!$H$2:$H$5001,A2646,Apparitions!$E$2:$E$5001,"○"))</f>
        <v/>
      </c>
      <c r="J2646" s="29" t="str">
        <f aca="false">IF(A2646="","",IFERROR(1/(1/_xlfn.MINIFS(Apparitions!$L$2:$L$5001,Apparitions!$H$2:$H$5001,A2646)),""))</f>
        <v/>
      </c>
    </row>
    <row r="2647" customFormat="false" ht="15" hidden="false" customHeight="false" outlineLevel="0" collapsed="false">
      <c r="A2647" s="19"/>
      <c r="B2647" s="19"/>
      <c r="C2647" s="19"/>
      <c r="D2647" s="19"/>
      <c r="E2647" s="32"/>
      <c r="F2647" s="19"/>
      <c r="G2647" s="26" t="str">
        <f aca="false">IF(A2647="","",COUNTIF(Pubs!$B$2:$B$3001,A2647))</f>
        <v/>
      </c>
      <c r="H2647" s="26" t="str">
        <f aca="false">IF(A2647="","",COUNTIF(Apparitions!$H$2:$H$5001,A2647))</f>
        <v/>
      </c>
      <c r="I2647" s="26" t="str">
        <f aca="false">IF(A2647="","",COUNTIFS(Apparitions!$H$2:$H$5001,A2647,Apparitions!$E$2:$E$5001,"○"))</f>
        <v/>
      </c>
      <c r="J2647" s="29" t="str">
        <f aca="false">IF(A2647="","",IFERROR(1/(1/_xlfn.MINIFS(Apparitions!$L$2:$L$5001,Apparitions!$H$2:$H$5001,A2647)),""))</f>
        <v/>
      </c>
    </row>
    <row r="2648" customFormat="false" ht="15" hidden="false" customHeight="false" outlineLevel="0" collapsed="false">
      <c r="A2648" s="19"/>
      <c r="B2648" s="19"/>
      <c r="C2648" s="19"/>
      <c r="D2648" s="19"/>
      <c r="E2648" s="32"/>
      <c r="F2648" s="19"/>
      <c r="G2648" s="26" t="str">
        <f aca="false">IF(A2648="","",COUNTIF(Pubs!$B$2:$B$3001,A2648))</f>
        <v/>
      </c>
      <c r="H2648" s="26" t="str">
        <f aca="false">IF(A2648="","",COUNTIF(Apparitions!$H$2:$H$5001,A2648))</f>
        <v/>
      </c>
      <c r="I2648" s="26" t="str">
        <f aca="false">IF(A2648="","",COUNTIFS(Apparitions!$H$2:$H$5001,A2648,Apparitions!$E$2:$E$5001,"○"))</f>
        <v/>
      </c>
      <c r="J2648" s="29" t="str">
        <f aca="false">IF(A2648="","",IFERROR(1/(1/_xlfn.MINIFS(Apparitions!$L$2:$L$5001,Apparitions!$H$2:$H$5001,A2648)),""))</f>
        <v/>
      </c>
    </row>
    <row r="2649" customFormat="false" ht="15" hidden="false" customHeight="false" outlineLevel="0" collapsed="false">
      <c r="A2649" s="19"/>
      <c r="B2649" s="19"/>
      <c r="C2649" s="19"/>
      <c r="D2649" s="19"/>
      <c r="E2649" s="32"/>
      <c r="F2649" s="19"/>
      <c r="G2649" s="26" t="str">
        <f aca="false">IF(A2649="","",COUNTIF(Pubs!$B$2:$B$3001,A2649))</f>
        <v/>
      </c>
      <c r="H2649" s="26" t="str">
        <f aca="false">IF(A2649="","",COUNTIF(Apparitions!$H$2:$H$5001,A2649))</f>
        <v/>
      </c>
      <c r="I2649" s="26" t="str">
        <f aca="false">IF(A2649="","",COUNTIFS(Apparitions!$H$2:$H$5001,A2649,Apparitions!$E$2:$E$5001,"○"))</f>
        <v/>
      </c>
      <c r="J2649" s="29" t="str">
        <f aca="false">IF(A2649="","",IFERROR(1/(1/_xlfn.MINIFS(Apparitions!$L$2:$L$5001,Apparitions!$H$2:$H$5001,A2649)),""))</f>
        <v/>
      </c>
    </row>
    <row r="2650" customFormat="false" ht="15" hidden="false" customHeight="false" outlineLevel="0" collapsed="false">
      <c r="A2650" s="19"/>
      <c r="B2650" s="19"/>
      <c r="C2650" s="19"/>
      <c r="D2650" s="19"/>
      <c r="E2650" s="32"/>
      <c r="F2650" s="19"/>
      <c r="G2650" s="26" t="str">
        <f aca="false">IF(A2650="","",COUNTIF(Pubs!$B$2:$B$3001,A2650))</f>
        <v/>
      </c>
      <c r="H2650" s="26" t="str">
        <f aca="false">IF(A2650="","",COUNTIF(Apparitions!$H$2:$H$5001,A2650))</f>
        <v/>
      </c>
      <c r="I2650" s="26" t="str">
        <f aca="false">IF(A2650="","",COUNTIFS(Apparitions!$H$2:$H$5001,A2650,Apparitions!$E$2:$E$5001,"○"))</f>
        <v/>
      </c>
      <c r="J2650" s="29" t="str">
        <f aca="false">IF(A2650="","",IFERROR(1/(1/_xlfn.MINIFS(Apparitions!$L$2:$L$5001,Apparitions!$H$2:$H$5001,A2650)),""))</f>
        <v/>
      </c>
    </row>
    <row r="2651" customFormat="false" ht="15" hidden="false" customHeight="false" outlineLevel="0" collapsed="false">
      <c r="A2651" s="19"/>
      <c r="B2651" s="19"/>
      <c r="C2651" s="19"/>
      <c r="D2651" s="19"/>
      <c r="E2651" s="32"/>
      <c r="F2651" s="19"/>
      <c r="G2651" s="26" t="str">
        <f aca="false">IF(A2651="","",COUNTIF(Pubs!$B$2:$B$3001,A2651))</f>
        <v/>
      </c>
      <c r="H2651" s="26" t="str">
        <f aca="false">IF(A2651="","",COUNTIF(Apparitions!$H$2:$H$5001,A2651))</f>
        <v/>
      </c>
      <c r="I2651" s="26" t="str">
        <f aca="false">IF(A2651="","",COUNTIFS(Apparitions!$H$2:$H$5001,A2651,Apparitions!$E$2:$E$5001,"○"))</f>
        <v/>
      </c>
      <c r="J2651" s="29" t="str">
        <f aca="false">IF(A2651="","",IFERROR(1/(1/_xlfn.MINIFS(Apparitions!$L$2:$L$5001,Apparitions!$H$2:$H$5001,A2651)),""))</f>
        <v/>
      </c>
    </row>
    <row r="2652" customFormat="false" ht="15" hidden="false" customHeight="false" outlineLevel="0" collapsed="false">
      <c r="A2652" s="19"/>
      <c r="B2652" s="19"/>
      <c r="C2652" s="19"/>
      <c r="D2652" s="19"/>
      <c r="E2652" s="32"/>
      <c r="F2652" s="19"/>
      <c r="G2652" s="26" t="str">
        <f aca="false">IF(A2652="","",COUNTIF(Pubs!$B$2:$B$3001,A2652))</f>
        <v/>
      </c>
      <c r="H2652" s="26" t="str">
        <f aca="false">IF(A2652="","",COUNTIF(Apparitions!$H$2:$H$5001,A2652))</f>
        <v/>
      </c>
      <c r="I2652" s="26" t="str">
        <f aca="false">IF(A2652="","",COUNTIFS(Apparitions!$H$2:$H$5001,A2652,Apparitions!$E$2:$E$5001,"○"))</f>
        <v/>
      </c>
      <c r="J2652" s="29" t="str">
        <f aca="false">IF(A2652="","",IFERROR(1/(1/_xlfn.MINIFS(Apparitions!$L$2:$L$5001,Apparitions!$H$2:$H$5001,A2652)),""))</f>
        <v/>
      </c>
    </row>
    <row r="2653" customFormat="false" ht="15" hidden="false" customHeight="false" outlineLevel="0" collapsed="false">
      <c r="A2653" s="19"/>
      <c r="B2653" s="19"/>
      <c r="C2653" s="19"/>
      <c r="D2653" s="19"/>
      <c r="E2653" s="32"/>
      <c r="F2653" s="19"/>
      <c r="G2653" s="26" t="str">
        <f aca="false">IF(A2653="","",COUNTIF(Pubs!$B$2:$B$3001,A2653))</f>
        <v/>
      </c>
      <c r="H2653" s="26" t="str">
        <f aca="false">IF(A2653="","",COUNTIF(Apparitions!$H$2:$H$5001,A2653))</f>
        <v/>
      </c>
      <c r="I2653" s="26" t="str">
        <f aca="false">IF(A2653="","",COUNTIFS(Apparitions!$H$2:$H$5001,A2653,Apparitions!$E$2:$E$5001,"○"))</f>
        <v/>
      </c>
      <c r="J2653" s="29" t="str">
        <f aca="false">IF(A2653="","",IFERROR(1/(1/_xlfn.MINIFS(Apparitions!$L$2:$L$5001,Apparitions!$H$2:$H$5001,A2653)),""))</f>
        <v/>
      </c>
    </row>
    <row r="2654" customFormat="false" ht="15" hidden="false" customHeight="false" outlineLevel="0" collapsed="false">
      <c r="A2654" s="19"/>
      <c r="B2654" s="19"/>
      <c r="C2654" s="19"/>
      <c r="D2654" s="19"/>
      <c r="E2654" s="32"/>
      <c r="F2654" s="19"/>
      <c r="G2654" s="26" t="str">
        <f aca="false">IF(A2654="","",COUNTIF(Pubs!$B$2:$B$3001,A2654))</f>
        <v/>
      </c>
      <c r="H2654" s="26" t="str">
        <f aca="false">IF(A2654="","",COUNTIF(Apparitions!$H$2:$H$5001,A2654))</f>
        <v/>
      </c>
      <c r="I2654" s="26" t="str">
        <f aca="false">IF(A2654="","",COUNTIFS(Apparitions!$H$2:$H$5001,A2654,Apparitions!$E$2:$E$5001,"○"))</f>
        <v/>
      </c>
      <c r="J2654" s="29" t="str">
        <f aca="false">IF(A2654="","",IFERROR(1/(1/_xlfn.MINIFS(Apparitions!$L$2:$L$5001,Apparitions!$H$2:$H$5001,A2654)),""))</f>
        <v/>
      </c>
    </row>
    <row r="2655" customFormat="false" ht="15" hidden="false" customHeight="false" outlineLevel="0" collapsed="false">
      <c r="A2655" s="19"/>
      <c r="B2655" s="19"/>
      <c r="C2655" s="19"/>
      <c r="D2655" s="19"/>
      <c r="E2655" s="32"/>
      <c r="F2655" s="19"/>
      <c r="G2655" s="26" t="str">
        <f aca="false">IF(A2655="","",COUNTIF(Pubs!$B$2:$B$3001,A2655))</f>
        <v/>
      </c>
      <c r="H2655" s="26" t="str">
        <f aca="false">IF(A2655="","",COUNTIF(Apparitions!$H$2:$H$5001,A2655))</f>
        <v/>
      </c>
      <c r="I2655" s="26" t="str">
        <f aca="false">IF(A2655="","",COUNTIFS(Apparitions!$H$2:$H$5001,A2655,Apparitions!$E$2:$E$5001,"○"))</f>
        <v/>
      </c>
      <c r="J2655" s="29" t="str">
        <f aca="false">IF(A2655="","",IFERROR(1/(1/_xlfn.MINIFS(Apparitions!$L$2:$L$5001,Apparitions!$H$2:$H$5001,A2655)),""))</f>
        <v/>
      </c>
    </row>
    <row r="2656" customFormat="false" ht="15" hidden="false" customHeight="false" outlineLevel="0" collapsed="false">
      <c r="A2656" s="19"/>
      <c r="B2656" s="19"/>
      <c r="C2656" s="19"/>
      <c r="D2656" s="19"/>
      <c r="E2656" s="32"/>
      <c r="F2656" s="19"/>
      <c r="G2656" s="26" t="str">
        <f aca="false">IF(A2656="","",COUNTIF(Pubs!$B$2:$B$3001,A2656))</f>
        <v/>
      </c>
      <c r="H2656" s="26" t="str">
        <f aca="false">IF(A2656="","",COUNTIF(Apparitions!$H$2:$H$5001,A2656))</f>
        <v/>
      </c>
      <c r="I2656" s="26" t="str">
        <f aca="false">IF(A2656="","",COUNTIFS(Apparitions!$H$2:$H$5001,A2656,Apparitions!$E$2:$E$5001,"○"))</f>
        <v/>
      </c>
      <c r="J2656" s="29" t="str">
        <f aca="false">IF(A2656="","",IFERROR(1/(1/_xlfn.MINIFS(Apparitions!$L$2:$L$5001,Apparitions!$H$2:$H$5001,A2656)),""))</f>
        <v/>
      </c>
    </row>
    <row r="2657" customFormat="false" ht="15" hidden="false" customHeight="false" outlineLevel="0" collapsed="false">
      <c r="A2657" s="19"/>
      <c r="B2657" s="19"/>
      <c r="C2657" s="19"/>
      <c r="D2657" s="19"/>
      <c r="E2657" s="32"/>
      <c r="F2657" s="19"/>
      <c r="G2657" s="26" t="str">
        <f aca="false">IF(A2657="","",COUNTIF(Pubs!$B$2:$B$3001,A2657))</f>
        <v/>
      </c>
      <c r="H2657" s="26" t="str">
        <f aca="false">IF(A2657="","",COUNTIF(Apparitions!$H$2:$H$5001,A2657))</f>
        <v/>
      </c>
      <c r="I2657" s="26" t="str">
        <f aca="false">IF(A2657="","",COUNTIFS(Apparitions!$H$2:$H$5001,A2657,Apparitions!$E$2:$E$5001,"○"))</f>
        <v/>
      </c>
      <c r="J2657" s="29" t="str">
        <f aca="false">IF(A2657="","",IFERROR(1/(1/_xlfn.MINIFS(Apparitions!$L$2:$L$5001,Apparitions!$H$2:$H$5001,A2657)),""))</f>
        <v/>
      </c>
    </row>
    <row r="2658" customFormat="false" ht="15" hidden="false" customHeight="false" outlineLevel="0" collapsed="false">
      <c r="A2658" s="19"/>
      <c r="B2658" s="19"/>
      <c r="C2658" s="19"/>
      <c r="D2658" s="19"/>
      <c r="E2658" s="32"/>
      <c r="F2658" s="19"/>
      <c r="G2658" s="26" t="str">
        <f aca="false">IF(A2658="","",COUNTIF(Pubs!$B$2:$B$3001,A2658))</f>
        <v/>
      </c>
      <c r="H2658" s="26" t="str">
        <f aca="false">IF(A2658="","",COUNTIF(Apparitions!$H$2:$H$5001,A2658))</f>
        <v/>
      </c>
      <c r="I2658" s="26" t="str">
        <f aca="false">IF(A2658="","",COUNTIFS(Apparitions!$H$2:$H$5001,A2658,Apparitions!$E$2:$E$5001,"○"))</f>
        <v/>
      </c>
      <c r="J2658" s="29" t="str">
        <f aca="false">IF(A2658="","",IFERROR(1/(1/_xlfn.MINIFS(Apparitions!$L$2:$L$5001,Apparitions!$H$2:$H$5001,A2658)),""))</f>
        <v/>
      </c>
    </row>
    <row r="2659" customFormat="false" ht="15" hidden="false" customHeight="false" outlineLevel="0" collapsed="false">
      <c r="A2659" s="19"/>
      <c r="B2659" s="19"/>
      <c r="C2659" s="19"/>
      <c r="D2659" s="19"/>
      <c r="E2659" s="32"/>
      <c r="F2659" s="19"/>
      <c r="G2659" s="26" t="str">
        <f aca="false">IF(A2659="","",COUNTIF(Pubs!$B$2:$B$3001,A2659))</f>
        <v/>
      </c>
      <c r="H2659" s="26" t="str">
        <f aca="false">IF(A2659="","",COUNTIF(Apparitions!$H$2:$H$5001,A2659))</f>
        <v/>
      </c>
      <c r="I2659" s="26" t="str">
        <f aca="false">IF(A2659="","",COUNTIFS(Apparitions!$H$2:$H$5001,A2659,Apparitions!$E$2:$E$5001,"○"))</f>
        <v/>
      </c>
      <c r="J2659" s="29" t="str">
        <f aca="false">IF(A2659="","",IFERROR(1/(1/_xlfn.MINIFS(Apparitions!$L$2:$L$5001,Apparitions!$H$2:$H$5001,A2659)),""))</f>
        <v/>
      </c>
    </row>
    <row r="2660" customFormat="false" ht="15" hidden="false" customHeight="false" outlineLevel="0" collapsed="false">
      <c r="A2660" s="19"/>
      <c r="B2660" s="19"/>
      <c r="C2660" s="19"/>
      <c r="D2660" s="19"/>
      <c r="E2660" s="32"/>
      <c r="F2660" s="19"/>
      <c r="G2660" s="26" t="str">
        <f aca="false">IF(A2660="","",COUNTIF(Pubs!$B$2:$B$3001,A2660))</f>
        <v/>
      </c>
      <c r="H2660" s="26" t="str">
        <f aca="false">IF(A2660="","",COUNTIF(Apparitions!$H$2:$H$5001,A2660))</f>
        <v/>
      </c>
      <c r="I2660" s="26" t="str">
        <f aca="false">IF(A2660="","",COUNTIFS(Apparitions!$H$2:$H$5001,A2660,Apparitions!$E$2:$E$5001,"○"))</f>
        <v/>
      </c>
      <c r="J2660" s="29" t="str">
        <f aca="false">IF(A2660="","",IFERROR(1/(1/_xlfn.MINIFS(Apparitions!$L$2:$L$5001,Apparitions!$H$2:$H$5001,A2660)),""))</f>
        <v/>
      </c>
    </row>
    <row r="2661" customFormat="false" ht="15" hidden="false" customHeight="false" outlineLevel="0" collapsed="false">
      <c r="A2661" s="19"/>
      <c r="B2661" s="19"/>
      <c r="C2661" s="19"/>
      <c r="D2661" s="19"/>
      <c r="E2661" s="32"/>
      <c r="F2661" s="19"/>
      <c r="G2661" s="26" t="str">
        <f aca="false">IF(A2661="","",COUNTIF(Pubs!$B$2:$B$3001,A2661))</f>
        <v/>
      </c>
      <c r="H2661" s="26" t="str">
        <f aca="false">IF(A2661="","",COUNTIF(Apparitions!$H$2:$H$5001,A2661))</f>
        <v/>
      </c>
      <c r="I2661" s="26" t="str">
        <f aca="false">IF(A2661="","",COUNTIFS(Apparitions!$H$2:$H$5001,A2661,Apparitions!$E$2:$E$5001,"○"))</f>
        <v/>
      </c>
      <c r="J2661" s="29" t="str">
        <f aca="false">IF(A2661="","",IFERROR(1/(1/_xlfn.MINIFS(Apparitions!$L$2:$L$5001,Apparitions!$H$2:$H$5001,A2661)),""))</f>
        <v/>
      </c>
    </row>
    <row r="2662" customFormat="false" ht="15" hidden="false" customHeight="false" outlineLevel="0" collapsed="false">
      <c r="A2662" s="19"/>
      <c r="B2662" s="19"/>
      <c r="C2662" s="19"/>
      <c r="D2662" s="19"/>
      <c r="E2662" s="32"/>
      <c r="F2662" s="19"/>
      <c r="G2662" s="26" t="str">
        <f aca="false">IF(A2662="","",COUNTIF(Pubs!$B$2:$B$3001,A2662))</f>
        <v/>
      </c>
      <c r="H2662" s="26" t="str">
        <f aca="false">IF(A2662="","",COUNTIF(Apparitions!$H$2:$H$5001,A2662))</f>
        <v/>
      </c>
      <c r="I2662" s="26" t="str">
        <f aca="false">IF(A2662="","",COUNTIFS(Apparitions!$H$2:$H$5001,A2662,Apparitions!$E$2:$E$5001,"○"))</f>
        <v/>
      </c>
      <c r="J2662" s="29" t="str">
        <f aca="false">IF(A2662="","",IFERROR(1/(1/_xlfn.MINIFS(Apparitions!$L$2:$L$5001,Apparitions!$H$2:$H$5001,A2662)),""))</f>
        <v/>
      </c>
    </row>
    <row r="2663" customFormat="false" ht="15" hidden="false" customHeight="false" outlineLevel="0" collapsed="false">
      <c r="A2663" s="19"/>
      <c r="B2663" s="19"/>
      <c r="C2663" s="19"/>
      <c r="D2663" s="19"/>
      <c r="E2663" s="32"/>
      <c r="F2663" s="19"/>
      <c r="G2663" s="26" t="str">
        <f aca="false">IF(A2663="","",COUNTIF(Pubs!$B$2:$B$3001,A2663))</f>
        <v/>
      </c>
      <c r="H2663" s="26" t="str">
        <f aca="false">IF(A2663="","",COUNTIF(Apparitions!$H$2:$H$5001,A2663))</f>
        <v/>
      </c>
      <c r="I2663" s="26" t="str">
        <f aca="false">IF(A2663="","",COUNTIFS(Apparitions!$H$2:$H$5001,A2663,Apparitions!$E$2:$E$5001,"○"))</f>
        <v/>
      </c>
      <c r="J2663" s="29" t="str">
        <f aca="false">IF(A2663="","",IFERROR(1/(1/_xlfn.MINIFS(Apparitions!$L$2:$L$5001,Apparitions!$H$2:$H$5001,A2663)),""))</f>
        <v/>
      </c>
    </row>
    <row r="2664" customFormat="false" ht="15" hidden="false" customHeight="false" outlineLevel="0" collapsed="false">
      <c r="A2664" s="19"/>
      <c r="B2664" s="19"/>
      <c r="C2664" s="19"/>
      <c r="D2664" s="19"/>
      <c r="E2664" s="32"/>
      <c r="F2664" s="19"/>
      <c r="G2664" s="26" t="str">
        <f aca="false">IF(A2664="","",COUNTIF(Pubs!$B$2:$B$3001,A2664))</f>
        <v/>
      </c>
      <c r="H2664" s="26" t="str">
        <f aca="false">IF(A2664="","",COUNTIF(Apparitions!$H$2:$H$5001,A2664))</f>
        <v/>
      </c>
      <c r="I2664" s="26" t="str">
        <f aca="false">IF(A2664="","",COUNTIFS(Apparitions!$H$2:$H$5001,A2664,Apparitions!$E$2:$E$5001,"○"))</f>
        <v/>
      </c>
      <c r="J2664" s="29" t="str">
        <f aca="false">IF(A2664="","",IFERROR(1/(1/_xlfn.MINIFS(Apparitions!$L$2:$L$5001,Apparitions!$H$2:$H$5001,A2664)),""))</f>
        <v/>
      </c>
    </row>
    <row r="2665" customFormat="false" ht="15" hidden="false" customHeight="false" outlineLevel="0" collapsed="false">
      <c r="A2665" s="19"/>
      <c r="B2665" s="19"/>
      <c r="C2665" s="19"/>
      <c r="D2665" s="19"/>
      <c r="E2665" s="32"/>
      <c r="F2665" s="19"/>
      <c r="G2665" s="26" t="str">
        <f aca="false">IF(A2665="","",COUNTIF(Pubs!$B$2:$B$3001,A2665))</f>
        <v/>
      </c>
      <c r="H2665" s="26" t="str">
        <f aca="false">IF(A2665="","",COUNTIF(Apparitions!$H$2:$H$5001,A2665))</f>
        <v/>
      </c>
      <c r="I2665" s="26" t="str">
        <f aca="false">IF(A2665="","",COUNTIFS(Apparitions!$H$2:$H$5001,A2665,Apparitions!$E$2:$E$5001,"○"))</f>
        <v/>
      </c>
      <c r="J2665" s="29" t="str">
        <f aca="false">IF(A2665="","",IFERROR(1/(1/_xlfn.MINIFS(Apparitions!$L$2:$L$5001,Apparitions!$H$2:$H$5001,A2665)),""))</f>
        <v/>
      </c>
    </row>
    <row r="2666" customFormat="false" ht="15" hidden="false" customHeight="false" outlineLevel="0" collapsed="false">
      <c r="A2666" s="19"/>
      <c r="B2666" s="19"/>
      <c r="C2666" s="19"/>
      <c r="D2666" s="19"/>
      <c r="E2666" s="32"/>
      <c r="F2666" s="19"/>
      <c r="G2666" s="26" t="str">
        <f aca="false">IF(A2666="","",COUNTIF(Pubs!$B$2:$B$3001,A2666))</f>
        <v/>
      </c>
      <c r="H2666" s="26" t="str">
        <f aca="false">IF(A2666="","",COUNTIF(Apparitions!$H$2:$H$5001,A2666))</f>
        <v/>
      </c>
      <c r="I2666" s="26" t="str">
        <f aca="false">IF(A2666="","",COUNTIFS(Apparitions!$H$2:$H$5001,A2666,Apparitions!$E$2:$E$5001,"○"))</f>
        <v/>
      </c>
      <c r="J2666" s="29" t="str">
        <f aca="false">IF(A2666="","",IFERROR(1/(1/_xlfn.MINIFS(Apparitions!$L$2:$L$5001,Apparitions!$H$2:$H$5001,A2666)),""))</f>
        <v/>
      </c>
    </row>
    <row r="2667" customFormat="false" ht="15" hidden="false" customHeight="false" outlineLevel="0" collapsed="false">
      <c r="A2667" s="19"/>
      <c r="B2667" s="19"/>
      <c r="C2667" s="19"/>
      <c r="D2667" s="19"/>
      <c r="E2667" s="32"/>
      <c r="F2667" s="19"/>
      <c r="G2667" s="26" t="str">
        <f aca="false">IF(A2667="","",COUNTIF(Pubs!$B$2:$B$3001,A2667))</f>
        <v/>
      </c>
      <c r="H2667" s="26" t="str">
        <f aca="false">IF(A2667="","",COUNTIF(Apparitions!$H$2:$H$5001,A2667))</f>
        <v/>
      </c>
      <c r="I2667" s="26" t="str">
        <f aca="false">IF(A2667="","",COUNTIFS(Apparitions!$H$2:$H$5001,A2667,Apparitions!$E$2:$E$5001,"○"))</f>
        <v/>
      </c>
      <c r="J2667" s="29" t="str">
        <f aca="false">IF(A2667="","",IFERROR(1/(1/_xlfn.MINIFS(Apparitions!$L$2:$L$5001,Apparitions!$H$2:$H$5001,A2667)),""))</f>
        <v/>
      </c>
    </row>
    <row r="2668" customFormat="false" ht="15" hidden="false" customHeight="false" outlineLevel="0" collapsed="false">
      <c r="A2668" s="19"/>
      <c r="B2668" s="19"/>
      <c r="C2668" s="19"/>
      <c r="D2668" s="19"/>
      <c r="E2668" s="32"/>
      <c r="F2668" s="19"/>
      <c r="G2668" s="26" t="str">
        <f aca="false">IF(A2668="","",COUNTIF(Pubs!$B$2:$B$3001,A2668))</f>
        <v/>
      </c>
      <c r="H2668" s="26" t="str">
        <f aca="false">IF(A2668="","",COUNTIF(Apparitions!$H$2:$H$5001,A2668))</f>
        <v/>
      </c>
      <c r="I2668" s="26" t="str">
        <f aca="false">IF(A2668="","",COUNTIFS(Apparitions!$H$2:$H$5001,A2668,Apparitions!$E$2:$E$5001,"○"))</f>
        <v/>
      </c>
      <c r="J2668" s="29" t="str">
        <f aca="false">IF(A2668="","",IFERROR(1/(1/_xlfn.MINIFS(Apparitions!$L$2:$L$5001,Apparitions!$H$2:$H$5001,A2668)),""))</f>
        <v/>
      </c>
    </row>
    <row r="2669" customFormat="false" ht="15" hidden="false" customHeight="false" outlineLevel="0" collapsed="false">
      <c r="A2669" s="19"/>
      <c r="B2669" s="19"/>
      <c r="C2669" s="19"/>
      <c r="D2669" s="19"/>
      <c r="E2669" s="32"/>
      <c r="F2669" s="19"/>
      <c r="G2669" s="26" t="str">
        <f aca="false">IF(A2669="","",COUNTIF(Pubs!$B$2:$B$3001,A2669))</f>
        <v/>
      </c>
      <c r="H2669" s="26" t="str">
        <f aca="false">IF(A2669="","",COUNTIF(Apparitions!$H$2:$H$5001,A2669))</f>
        <v/>
      </c>
      <c r="I2669" s="26" t="str">
        <f aca="false">IF(A2669="","",COUNTIFS(Apparitions!$H$2:$H$5001,A2669,Apparitions!$E$2:$E$5001,"○"))</f>
        <v/>
      </c>
      <c r="J2669" s="29" t="str">
        <f aca="false">IF(A2669="","",IFERROR(1/(1/_xlfn.MINIFS(Apparitions!$L$2:$L$5001,Apparitions!$H$2:$H$5001,A2669)),""))</f>
        <v/>
      </c>
    </row>
    <row r="2670" customFormat="false" ht="15" hidden="false" customHeight="false" outlineLevel="0" collapsed="false">
      <c r="A2670" s="19"/>
      <c r="B2670" s="19"/>
      <c r="C2670" s="19"/>
      <c r="D2670" s="19"/>
      <c r="E2670" s="32"/>
      <c r="F2670" s="19"/>
      <c r="G2670" s="26" t="str">
        <f aca="false">IF(A2670="","",COUNTIF(Pubs!$B$2:$B$3001,A2670))</f>
        <v/>
      </c>
      <c r="H2670" s="26" t="str">
        <f aca="false">IF(A2670="","",COUNTIF(Apparitions!$H$2:$H$5001,A2670))</f>
        <v/>
      </c>
      <c r="I2670" s="26" t="str">
        <f aca="false">IF(A2670="","",COUNTIFS(Apparitions!$H$2:$H$5001,A2670,Apparitions!$E$2:$E$5001,"○"))</f>
        <v/>
      </c>
      <c r="J2670" s="29" t="str">
        <f aca="false">IF(A2670="","",IFERROR(1/(1/_xlfn.MINIFS(Apparitions!$L$2:$L$5001,Apparitions!$H$2:$H$5001,A2670)),""))</f>
        <v/>
      </c>
    </row>
    <row r="2671" customFormat="false" ht="15" hidden="false" customHeight="false" outlineLevel="0" collapsed="false">
      <c r="A2671" s="19"/>
      <c r="B2671" s="19"/>
      <c r="C2671" s="19"/>
      <c r="D2671" s="19"/>
      <c r="E2671" s="32"/>
      <c r="F2671" s="19"/>
      <c r="G2671" s="26" t="str">
        <f aca="false">IF(A2671="","",COUNTIF(Pubs!$B$2:$B$3001,A2671))</f>
        <v/>
      </c>
      <c r="H2671" s="26" t="str">
        <f aca="false">IF(A2671="","",COUNTIF(Apparitions!$H$2:$H$5001,A2671))</f>
        <v/>
      </c>
      <c r="I2671" s="26" t="str">
        <f aca="false">IF(A2671="","",COUNTIFS(Apparitions!$H$2:$H$5001,A2671,Apparitions!$E$2:$E$5001,"○"))</f>
        <v/>
      </c>
      <c r="J2671" s="29" t="str">
        <f aca="false">IF(A2671="","",IFERROR(1/(1/_xlfn.MINIFS(Apparitions!$L$2:$L$5001,Apparitions!$H$2:$H$5001,A2671)),""))</f>
        <v/>
      </c>
    </row>
    <row r="2672" customFormat="false" ht="15" hidden="false" customHeight="false" outlineLevel="0" collapsed="false">
      <c r="A2672" s="19"/>
      <c r="B2672" s="19"/>
      <c r="C2672" s="19"/>
      <c r="D2672" s="19"/>
      <c r="E2672" s="32"/>
      <c r="F2672" s="19"/>
      <c r="G2672" s="26" t="str">
        <f aca="false">IF(A2672="","",COUNTIF(Pubs!$B$2:$B$3001,A2672))</f>
        <v/>
      </c>
      <c r="H2672" s="26" t="str">
        <f aca="false">IF(A2672="","",COUNTIF(Apparitions!$H$2:$H$5001,A2672))</f>
        <v/>
      </c>
      <c r="I2672" s="26" t="str">
        <f aca="false">IF(A2672="","",COUNTIFS(Apparitions!$H$2:$H$5001,A2672,Apparitions!$E$2:$E$5001,"○"))</f>
        <v/>
      </c>
      <c r="J2672" s="29" t="str">
        <f aca="false">IF(A2672="","",IFERROR(1/(1/_xlfn.MINIFS(Apparitions!$L$2:$L$5001,Apparitions!$H$2:$H$5001,A2672)),""))</f>
        <v/>
      </c>
    </row>
    <row r="2673" customFormat="false" ht="15" hidden="false" customHeight="false" outlineLevel="0" collapsed="false">
      <c r="A2673" s="19"/>
      <c r="B2673" s="19"/>
      <c r="C2673" s="19"/>
      <c r="D2673" s="19"/>
      <c r="E2673" s="32"/>
      <c r="F2673" s="19"/>
      <c r="G2673" s="26" t="str">
        <f aca="false">IF(A2673="","",COUNTIF(Pubs!$B$2:$B$3001,A2673))</f>
        <v/>
      </c>
      <c r="H2673" s="26" t="str">
        <f aca="false">IF(A2673="","",COUNTIF(Apparitions!$H$2:$H$5001,A2673))</f>
        <v/>
      </c>
      <c r="I2673" s="26" t="str">
        <f aca="false">IF(A2673="","",COUNTIFS(Apparitions!$H$2:$H$5001,A2673,Apparitions!$E$2:$E$5001,"○"))</f>
        <v/>
      </c>
      <c r="J2673" s="29" t="str">
        <f aca="false">IF(A2673="","",IFERROR(1/(1/_xlfn.MINIFS(Apparitions!$L$2:$L$5001,Apparitions!$H$2:$H$5001,A2673)),""))</f>
        <v/>
      </c>
    </row>
    <row r="2674" customFormat="false" ht="15" hidden="false" customHeight="false" outlineLevel="0" collapsed="false">
      <c r="A2674" s="19"/>
      <c r="B2674" s="19"/>
      <c r="C2674" s="19"/>
      <c r="D2674" s="19"/>
      <c r="E2674" s="32"/>
      <c r="F2674" s="19"/>
      <c r="G2674" s="26" t="str">
        <f aca="false">IF(A2674="","",COUNTIF(Pubs!$B$2:$B$3001,A2674))</f>
        <v/>
      </c>
      <c r="H2674" s="26" t="str">
        <f aca="false">IF(A2674="","",COUNTIF(Apparitions!$H$2:$H$5001,A2674))</f>
        <v/>
      </c>
      <c r="I2674" s="26" t="str">
        <f aca="false">IF(A2674="","",COUNTIFS(Apparitions!$H$2:$H$5001,A2674,Apparitions!$E$2:$E$5001,"○"))</f>
        <v/>
      </c>
      <c r="J2674" s="29" t="str">
        <f aca="false">IF(A2674="","",IFERROR(1/(1/_xlfn.MINIFS(Apparitions!$L$2:$L$5001,Apparitions!$H$2:$H$5001,A2674)),""))</f>
        <v/>
      </c>
    </row>
    <row r="2675" customFormat="false" ht="15" hidden="false" customHeight="false" outlineLevel="0" collapsed="false">
      <c r="A2675" s="19"/>
      <c r="B2675" s="19"/>
      <c r="C2675" s="19"/>
      <c r="D2675" s="19"/>
      <c r="E2675" s="32"/>
      <c r="F2675" s="19"/>
      <c r="G2675" s="26" t="str">
        <f aca="false">IF(A2675="","",COUNTIF(Pubs!$B$2:$B$3001,A2675))</f>
        <v/>
      </c>
      <c r="H2675" s="26" t="str">
        <f aca="false">IF(A2675="","",COUNTIF(Apparitions!$H$2:$H$5001,A2675))</f>
        <v/>
      </c>
      <c r="I2675" s="26" t="str">
        <f aca="false">IF(A2675="","",COUNTIFS(Apparitions!$H$2:$H$5001,A2675,Apparitions!$E$2:$E$5001,"○"))</f>
        <v/>
      </c>
      <c r="J2675" s="29" t="str">
        <f aca="false">IF(A2675="","",IFERROR(1/(1/_xlfn.MINIFS(Apparitions!$L$2:$L$5001,Apparitions!$H$2:$H$5001,A2675)),""))</f>
        <v/>
      </c>
    </row>
    <row r="2676" customFormat="false" ht="15" hidden="false" customHeight="false" outlineLevel="0" collapsed="false">
      <c r="A2676" s="19"/>
      <c r="B2676" s="19"/>
      <c r="C2676" s="19"/>
      <c r="D2676" s="19"/>
      <c r="E2676" s="32"/>
      <c r="F2676" s="19"/>
      <c r="G2676" s="26" t="str">
        <f aca="false">IF(A2676="","",COUNTIF(Pubs!$B$2:$B$3001,A2676))</f>
        <v/>
      </c>
      <c r="H2676" s="26" t="str">
        <f aca="false">IF(A2676="","",COUNTIF(Apparitions!$H$2:$H$5001,A2676))</f>
        <v/>
      </c>
      <c r="I2676" s="26" t="str">
        <f aca="false">IF(A2676="","",COUNTIFS(Apparitions!$H$2:$H$5001,A2676,Apparitions!$E$2:$E$5001,"○"))</f>
        <v/>
      </c>
      <c r="J2676" s="29" t="str">
        <f aca="false">IF(A2676="","",IFERROR(1/(1/_xlfn.MINIFS(Apparitions!$L$2:$L$5001,Apparitions!$H$2:$H$5001,A2676)),""))</f>
        <v/>
      </c>
    </row>
    <row r="2677" customFormat="false" ht="15" hidden="false" customHeight="false" outlineLevel="0" collapsed="false">
      <c r="A2677" s="19"/>
      <c r="B2677" s="19"/>
      <c r="C2677" s="19"/>
      <c r="D2677" s="19"/>
      <c r="E2677" s="32"/>
      <c r="F2677" s="19"/>
      <c r="G2677" s="26" t="str">
        <f aca="false">IF(A2677="","",COUNTIF(Pubs!$B$2:$B$3001,A2677))</f>
        <v/>
      </c>
      <c r="H2677" s="26" t="str">
        <f aca="false">IF(A2677="","",COUNTIF(Apparitions!$H$2:$H$5001,A2677))</f>
        <v/>
      </c>
      <c r="I2677" s="26" t="str">
        <f aca="false">IF(A2677="","",COUNTIFS(Apparitions!$H$2:$H$5001,A2677,Apparitions!$E$2:$E$5001,"○"))</f>
        <v/>
      </c>
      <c r="J2677" s="29" t="str">
        <f aca="false">IF(A2677="","",IFERROR(1/(1/_xlfn.MINIFS(Apparitions!$L$2:$L$5001,Apparitions!$H$2:$H$5001,A2677)),""))</f>
        <v/>
      </c>
    </row>
    <row r="2678" customFormat="false" ht="15" hidden="false" customHeight="false" outlineLevel="0" collapsed="false">
      <c r="A2678" s="19"/>
      <c r="B2678" s="19"/>
      <c r="C2678" s="19"/>
      <c r="D2678" s="19"/>
      <c r="E2678" s="32"/>
      <c r="F2678" s="19"/>
      <c r="G2678" s="26" t="str">
        <f aca="false">IF(A2678="","",COUNTIF(Pubs!$B$2:$B$3001,A2678))</f>
        <v/>
      </c>
      <c r="H2678" s="26" t="str">
        <f aca="false">IF(A2678="","",COUNTIF(Apparitions!$H$2:$H$5001,A2678))</f>
        <v/>
      </c>
      <c r="I2678" s="26" t="str">
        <f aca="false">IF(A2678="","",COUNTIFS(Apparitions!$H$2:$H$5001,A2678,Apparitions!$E$2:$E$5001,"○"))</f>
        <v/>
      </c>
      <c r="J2678" s="29" t="str">
        <f aca="false">IF(A2678="","",IFERROR(1/(1/_xlfn.MINIFS(Apparitions!$L$2:$L$5001,Apparitions!$H$2:$H$5001,A2678)),""))</f>
        <v/>
      </c>
    </row>
    <row r="2679" customFormat="false" ht="15" hidden="false" customHeight="false" outlineLevel="0" collapsed="false">
      <c r="A2679" s="19"/>
      <c r="B2679" s="19"/>
      <c r="C2679" s="19"/>
      <c r="D2679" s="19"/>
      <c r="E2679" s="32"/>
      <c r="F2679" s="19"/>
      <c r="G2679" s="26" t="str">
        <f aca="false">IF(A2679="","",COUNTIF(Pubs!$B$2:$B$3001,A2679))</f>
        <v/>
      </c>
      <c r="H2679" s="26" t="str">
        <f aca="false">IF(A2679="","",COUNTIF(Apparitions!$H$2:$H$5001,A2679))</f>
        <v/>
      </c>
      <c r="I2679" s="26" t="str">
        <f aca="false">IF(A2679="","",COUNTIFS(Apparitions!$H$2:$H$5001,A2679,Apparitions!$E$2:$E$5001,"○"))</f>
        <v/>
      </c>
      <c r="J2679" s="29" t="str">
        <f aca="false">IF(A2679="","",IFERROR(1/(1/_xlfn.MINIFS(Apparitions!$L$2:$L$5001,Apparitions!$H$2:$H$5001,A2679)),""))</f>
        <v/>
      </c>
    </row>
    <row r="2680" customFormat="false" ht="15" hidden="false" customHeight="false" outlineLevel="0" collapsed="false">
      <c r="A2680" s="19"/>
      <c r="B2680" s="19"/>
      <c r="C2680" s="19"/>
      <c r="D2680" s="19"/>
      <c r="E2680" s="32"/>
      <c r="F2680" s="19"/>
      <c r="G2680" s="26" t="str">
        <f aca="false">IF(A2680="","",COUNTIF(Pubs!$B$2:$B$3001,A2680))</f>
        <v/>
      </c>
      <c r="H2680" s="26" t="str">
        <f aca="false">IF(A2680="","",COUNTIF(Apparitions!$H$2:$H$5001,A2680))</f>
        <v/>
      </c>
      <c r="I2680" s="26" t="str">
        <f aca="false">IF(A2680="","",COUNTIFS(Apparitions!$H$2:$H$5001,A2680,Apparitions!$E$2:$E$5001,"○"))</f>
        <v/>
      </c>
      <c r="J2680" s="29" t="str">
        <f aca="false">IF(A2680="","",IFERROR(1/(1/_xlfn.MINIFS(Apparitions!$L$2:$L$5001,Apparitions!$H$2:$H$5001,A2680)),""))</f>
        <v/>
      </c>
    </row>
    <row r="2681" customFormat="false" ht="15" hidden="false" customHeight="false" outlineLevel="0" collapsed="false">
      <c r="A2681" s="19"/>
      <c r="B2681" s="19"/>
      <c r="C2681" s="19"/>
      <c r="D2681" s="19"/>
      <c r="E2681" s="32"/>
      <c r="F2681" s="19"/>
      <c r="G2681" s="26" t="str">
        <f aca="false">IF(A2681="","",COUNTIF(Pubs!$B$2:$B$3001,A2681))</f>
        <v/>
      </c>
      <c r="H2681" s="26" t="str">
        <f aca="false">IF(A2681="","",COUNTIF(Apparitions!$H$2:$H$5001,A2681))</f>
        <v/>
      </c>
      <c r="I2681" s="26" t="str">
        <f aca="false">IF(A2681="","",COUNTIFS(Apparitions!$H$2:$H$5001,A2681,Apparitions!$E$2:$E$5001,"○"))</f>
        <v/>
      </c>
      <c r="J2681" s="29" t="str">
        <f aca="false">IF(A2681="","",IFERROR(1/(1/_xlfn.MINIFS(Apparitions!$L$2:$L$5001,Apparitions!$H$2:$H$5001,A2681)),""))</f>
        <v/>
      </c>
    </row>
    <row r="2682" customFormat="false" ht="15" hidden="false" customHeight="false" outlineLevel="0" collapsed="false">
      <c r="A2682" s="19"/>
      <c r="B2682" s="19"/>
      <c r="C2682" s="19"/>
      <c r="D2682" s="19"/>
      <c r="E2682" s="32"/>
      <c r="F2682" s="19"/>
      <c r="G2682" s="26" t="str">
        <f aca="false">IF(A2682="","",COUNTIF(Pubs!$B$2:$B$3001,A2682))</f>
        <v/>
      </c>
      <c r="H2682" s="26" t="str">
        <f aca="false">IF(A2682="","",COUNTIF(Apparitions!$H$2:$H$5001,A2682))</f>
        <v/>
      </c>
      <c r="I2682" s="26" t="str">
        <f aca="false">IF(A2682="","",COUNTIFS(Apparitions!$H$2:$H$5001,A2682,Apparitions!$E$2:$E$5001,"○"))</f>
        <v/>
      </c>
      <c r="J2682" s="29" t="str">
        <f aca="false">IF(A2682="","",IFERROR(1/(1/_xlfn.MINIFS(Apparitions!$L$2:$L$5001,Apparitions!$H$2:$H$5001,A2682)),""))</f>
        <v/>
      </c>
    </row>
    <row r="2683" customFormat="false" ht="15" hidden="false" customHeight="false" outlineLevel="0" collapsed="false">
      <c r="A2683" s="19"/>
      <c r="B2683" s="19"/>
      <c r="C2683" s="19"/>
      <c r="D2683" s="19"/>
      <c r="E2683" s="32"/>
      <c r="F2683" s="19"/>
      <c r="G2683" s="26" t="str">
        <f aca="false">IF(A2683="","",COUNTIF(Pubs!$B$2:$B$3001,A2683))</f>
        <v/>
      </c>
      <c r="H2683" s="26" t="str">
        <f aca="false">IF(A2683="","",COUNTIF(Apparitions!$H$2:$H$5001,A2683))</f>
        <v/>
      </c>
      <c r="I2683" s="26" t="str">
        <f aca="false">IF(A2683="","",COUNTIFS(Apparitions!$H$2:$H$5001,A2683,Apparitions!$E$2:$E$5001,"○"))</f>
        <v/>
      </c>
      <c r="J2683" s="29" t="str">
        <f aca="false">IF(A2683="","",IFERROR(1/(1/_xlfn.MINIFS(Apparitions!$L$2:$L$5001,Apparitions!$H$2:$H$5001,A2683)),""))</f>
        <v/>
      </c>
    </row>
    <row r="2684" customFormat="false" ht="15" hidden="false" customHeight="false" outlineLevel="0" collapsed="false">
      <c r="A2684" s="19"/>
      <c r="B2684" s="19"/>
      <c r="C2684" s="19"/>
      <c r="D2684" s="19"/>
      <c r="E2684" s="32"/>
      <c r="F2684" s="19"/>
      <c r="G2684" s="26" t="str">
        <f aca="false">IF(A2684="","",COUNTIF(Pubs!$B$2:$B$3001,A2684))</f>
        <v/>
      </c>
      <c r="H2684" s="26" t="str">
        <f aca="false">IF(A2684="","",COUNTIF(Apparitions!$H$2:$H$5001,A2684))</f>
        <v/>
      </c>
      <c r="I2684" s="26" t="str">
        <f aca="false">IF(A2684="","",COUNTIFS(Apparitions!$H$2:$H$5001,A2684,Apparitions!$E$2:$E$5001,"○"))</f>
        <v/>
      </c>
      <c r="J2684" s="29" t="str">
        <f aca="false">IF(A2684="","",IFERROR(1/(1/_xlfn.MINIFS(Apparitions!$L$2:$L$5001,Apparitions!$H$2:$H$5001,A2684)),""))</f>
        <v/>
      </c>
    </row>
    <row r="2685" customFormat="false" ht="15" hidden="false" customHeight="false" outlineLevel="0" collapsed="false">
      <c r="A2685" s="19"/>
      <c r="B2685" s="19"/>
      <c r="C2685" s="19"/>
      <c r="D2685" s="19"/>
      <c r="E2685" s="32"/>
      <c r="F2685" s="19"/>
      <c r="G2685" s="26" t="str">
        <f aca="false">IF(A2685="","",COUNTIF(Pubs!$B$2:$B$3001,A2685))</f>
        <v/>
      </c>
      <c r="H2685" s="26" t="str">
        <f aca="false">IF(A2685="","",COUNTIF(Apparitions!$H$2:$H$5001,A2685))</f>
        <v/>
      </c>
      <c r="I2685" s="26" t="str">
        <f aca="false">IF(A2685="","",COUNTIFS(Apparitions!$H$2:$H$5001,A2685,Apparitions!$E$2:$E$5001,"○"))</f>
        <v/>
      </c>
      <c r="J2685" s="29" t="str">
        <f aca="false">IF(A2685="","",IFERROR(1/(1/_xlfn.MINIFS(Apparitions!$L$2:$L$5001,Apparitions!$H$2:$H$5001,A2685)),""))</f>
        <v/>
      </c>
    </row>
    <row r="2686" customFormat="false" ht="15" hidden="false" customHeight="false" outlineLevel="0" collapsed="false">
      <c r="A2686" s="19"/>
      <c r="B2686" s="19"/>
      <c r="C2686" s="19"/>
      <c r="D2686" s="19"/>
      <c r="E2686" s="32"/>
      <c r="F2686" s="19"/>
      <c r="G2686" s="26" t="str">
        <f aca="false">IF(A2686="","",COUNTIF(Pubs!$B$2:$B$3001,A2686))</f>
        <v/>
      </c>
      <c r="H2686" s="26" t="str">
        <f aca="false">IF(A2686="","",COUNTIF(Apparitions!$H$2:$H$5001,A2686))</f>
        <v/>
      </c>
      <c r="I2686" s="26" t="str">
        <f aca="false">IF(A2686="","",COUNTIFS(Apparitions!$H$2:$H$5001,A2686,Apparitions!$E$2:$E$5001,"○"))</f>
        <v/>
      </c>
      <c r="J2686" s="29" t="str">
        <f aca="false">IF(A2686="","",IFERROR(1/(1/_xlfn.MINIFS(Apparitions!$L$2:$L$5001,Apparitions!$H$2:$H$5001,A2686)),""))</f>
        <v/>
      </c>
    </row>
    <row r="2687" customFormat="false" ht="15" hidden="false" customHeight="false" outlineLevel="0" collapsed="false">
      <c r="A2687" s="19"/>
      <c r="B2687" s="19"/>
      <c r="C2687" s="19"/>
      <c r="D2687" s="19"/>
      <c r="E2687" s="32"/>
      <c r="F2687" s="19"/>
      <c r="G2687" s="26" t="str">
        <f aca="false">IF(A2687="","",COUNTIF(Pubs!$B$2:$B$3001,A2687))</f>
        <v/>
      </c>
      <c r="H2687" s="26" t="str">
        <f aca="false">IF(A2687="","",COUNTIF(Apparitions!$H$2:$H$5001,A2687))</f>
        <v/>
      </c>
      <c r="I2687" s="26" t="str">
        <f aca="false">IF(A2687="","",COUNTIFS(Apparitions!$H$2:$H$5001,A2687,Apparitions!$E$2:$E$5001,"○"))</f>
        <v/>
      </c>
      <c r="J2687" s="29" t="str">
        <f aca="false">IF(A2687="","",IFERROR(1/(1/_xlfn.MINIFS(Apparitions!$L$2:$L$5001,Apparitions!$H$2:$H$5001,A2687)),""))</f>
        <v/>
      </c>
    </row>
    <row r="2688" customFormat="false" ht="15" hidden="false" customHeight="false" outlineLevel="0" collapsed="false">
      <c r="A2688" s="19"/>
      <c r="B2688" s="19"/>
      <c r="C2688" s="19"/>
      <c r="D2688" s="19"/>
      <c r="E2688" s="32"/>
      <c r="F2688" s="19"/>
      <c r="G2688" s="26" t="str">
        <f aca="false">IF(A2688="","",COUNTIF(Pubs!$B$2:$B$3001,A2688))</f>
        <v/>
      </c>
      <c r="H2688" s="26" t="str">
        <f aca="false">IF(A2688="","",COUNTIF(Apparitions!$H$2:$H$5001,A2688))</f>
        <v/>
      </c>
      <c r="I2688" s="26" t="str">
        <f aca="false">IF(A2688="","",COUNTIFS(Apparitions!$H$2:$H$5001,A2688,Apparitions!$E$2:$E$5001,"○"))</f>
        <v/>
      </c>
      <c r="J2688" s="29" t="str">
        <f aca="false">IF(A2688="","",IFERROR(1/(1/_xlfn.MINIFS(Apparitions!$L$2:$L$5001,Apparitions!$H$2:$H$5001,A2688)),""))</f>
        <v/>
      </c>
    </row>
    <row r="2689" customFormat="false" ht="15" hidden="false" customHeight="false" outlineLevel="0" collapsed="false">
      <c r="A2689" s="19"/>
      <c r="B2689" s="19"/>
      <c r="C2689" s="19"/>
      <c r="D2689" s="19"/>
      <c r="E2689" s="32"/>
      <c r="F2689" s="19"/>
      <c r="G2689" s="26" t="str">
        <f aca="false">IF(A2689="","",COUNTIF(Pubs!$B$2:$B$3001,A2689))</f>
        <v/>
      </c>
      <c r="H2689" s="26" t="str">
        <f aca="false">IF(A2689="","",COUNTIF(Apparitions!$H$2:$H$5001,A2689))</f>
        <v/>
      </c>
      <c r="I2689" s="26" t="str">
        <f aca="false">IF(A2689="","",COUNTIFS(Apparitions!$H$2:$H$5001,A2689,Apparitions!$E$2:$E$5001,"○"))</f>
        <v/>
      </c>
      <c r="J2689" s="29" t="str">
        <f aca="false">IF(A2689="","",IFERROR(1/(1/_xlfn.MINIFS(Apparitions!$L$2:$L$5001,Apparitions!$H$2:$H$5001,A2689)),""))</f>
        <v/>
      </c>
    </row>
    <row r="2690" customFormat="false" ht="15" hidden="false" customHeight="false" outlineLevel="0" collapsed="false">
      <c r="A2690" s="19"/>
      <c r="B2690" s="19"/>
      <c r="C2690" s="19"/>
      <c r="D2690" s="19"/>
      <c r="E2690" s="32"/>
      <c r="F2690" s="19"/>
      <c r="G2690" s="26" t="str">
        <f aca="false">IF(A2690="","",COUNTIF(Pubs!$B$2:$B$3001,A2690))</f>
        <v/>
      </c>
      <c r="H2690" s="26" t="str">
        <f aca="false">IF(A2690="","",COUNTIF(Apparitions!$H$2:$H$5001,A2690))</f>
        <v/>
      </c>
      <c r="I2690" s="26" t="str">
        <f aca="false">IF(A2690="","",COUNTIFS(Apparitions!$H$2:$H$5001,A2690,Apparitions!$E$2:$E$5001,"○"))</f>
        <v/>
      </c>
      <c r="J2690" s="29" t="str">
        <f aca="false">IF(A2690="","",IFERROR(1/(1/_xlfn.MINIFS(Apparitions!$L$2:$L$5001,Apparitions!$H$2:$H$5001,A2690)),""))</f>
        <v/>
      </c>
    </row>
    <row r="2691" customFormat="false" ht="15" hidden="false" customHeight="false" outlineLevel="0" collapsed="false">
      <c r="A2691" s="19"/>
      <c r="B2691" s="19"/>
      <c r="C2691" s="19"/>
      <c r="D2691" s="19"/>
      <c r="E2691" s="32"/>
      <c r="F2691" s="19"/>
      <c r="G2691" s="26" t="str">
        <f aca="false">IF(A2691="","",COUNTIF(Pubs!$B$2:$B$3001,A2691))</f>
        <v/>
      </c>
      <c r="H2691" s="26" t="str">
        <f aca="false">IF(A2691="","",COUNTIF(Apparitions!$H$2:$H$5001,A2691))</f>
        <v/>
      </c>
      <c r="I2691" s="26" t="str">
        <f aca="false">IF(A2691="","",COUNTIFS(Apparitions!$H$2:$H$5001,A2691,Apparitions!$E$2:$E$5001,"○"))</f>
        <v/>
      </c>
      <c r="J2691" s="29" t="str">
        <f aca="false">IF(A2691="","",IFERROR(1/(1/_xlfn.MINIFS(Apparitions!$L$2:$L$5001,Apparitions!$H$2:$H$5001,A2691)),""))</f>
        <v/>
      </c>
    </row>
    <row r="2692" customFormat="false" ht="15" hidden="false" customHeight="false" outlineLevel="0" collapsed="false">
      <c r="A2692" s="19"/>
      <c r="B2692" s="19"/>
      <c r="C2692" s="19"/>
      <c r="D2692" s="19"/>
      <c r="E2692" s="32"/>
      <c r="F2692" s="19"/>
      <c r="G2692" s="26" t="str">
        <f aca="false">IF(A2692="","",COUNTIF(Pubs!$B$2:$B$3001,A2692))</f>
        <v/>
      </c>
      <c r="H2692" s="26" t="str">
        <f aca="false">IF(A2692="","",COUNTIF(Apparitions!$H$2:$H$5001,A2692))</f>
        <v/>
      </c>
      <c r="I2692" s="26" t="str">
        <f aca="false">IF(A2692="","",COUNTIFS(Apparitions!$H$2:$H$5001,A2692,Apparitions!$E$2:$E$5001,"○"))</f>
        <v/>
      </c>
      <c r="J2692" s="29" t="str">
        <f aca="false">IF(A2692="","",IFERROR(1/(1/_xlfn.MINIFS(Apparitions!$L$2:$L$5001,Apparitions!$H$2:$H$5001,A2692)),""))</f>
        <v/>
      </c>
    </row>
    <row r="2693" customFormat="false" ht="15" hidden="false" customHeight="false" outlineLevel="0" collapsed="false">
      <c r="A2693" s="19"/>
      <c r="B2693" s="19"/>
      <c r="C2693" s="19"/>
      <c r="D2693" s="19"/>
      <c r="E2693" s="32"/>
      <c r="F2693" s="19"/>
      <c r="G2693" s="26" t="str">
        <f aca="false">IF(A2693="","",COUNTIF(Pubs!$B$2:$B$3001,A2693))</f>
        <v/>
      </c>
      <c r="H2693" s="26" t="str">
        <f aca="false">IF(A2693="","",COUNTIF(Apparitions!$H$2:$H$5001,A2693))</f>
        <v/>
      </c>
      <c r="I2693" s="26" t="str">
        <f aca="false">IF(A2693="","",COUNTIFS(Apparitions!$H$2:$H$5001,A2693,Apparitions!$E$2:$E$5001,"○"))</f>
        <v/>
      </c>
      <c r="J2693" s="29" t="str">
        <f aca="false">IF(A2693="","",IFERROR(1/(1/_xlfn.MINIFS(Apparitions!$L$2:$L$5001,Apparitions!$H$2:$H$5001,A2693)),""))</f>
        <v/>
      </c>
    </row>
    <row r="2694" customFormat="false" ht="15" hidden="false" customHeight="false" outlineLevel="0" collapsed="false">
      <c r="A2694" s="19"/>
      <c r="B2694" s="19"/>
      <c r="C2694" s="19"/>
      <c r="D2694" s="19"/>
      <c r="E2694" s="32"/>
      <c r="F2694" s="19"/>
      <c r="G2694" s="26" t="str">
        <f aca="false">IF(A2694="","",COUNTIF(Pubs!$B$2:$B$3001,A2694))</f>
        <v/>
      </c>
      <c r="H2694" s="26" t="str">
        <f aca="false">IF(A2694="","",COUNTIF(Apparitions!$H$2:$H$5001,A2694))</f>
        <v/>
      </c>
      <c r="I2694" s="26" t="str">
        <f aca="false">IF(A2694="","",COUNTIFS(Apparitions!$H$2:$H$5001,A2694,Apparitions!$E$2:$E$5001,"○"))</f>
        <v/>
      </c>
      <c r="J2694" s="29" t="str">
        <f aca="false">IF(A2694="","",IFERROR(1/(1/_xlfn.MINIFS(Apparitions!$L$2:$L$5001,Apparitions!$H$2:$H$5001,A2694)),""))</f>
        <v/>
      </c>
    </row>
    <row r="2695" customFormat="false" ht="15" hidden="false" customHeight="false" outlineLevel="0" collapsed="false">
      <c r="A2695" s="19"/>
      <c r="B2695" s="19"/>
      <c r="C2695" s="19"/>
      <c r="D2695" s="19"/>
      <c r="E2695" s="32"/>
      <c r="F2695" s="19"/>
      <c r="G2695" s="26" t="str">
        <f aca="false">IF(A2695="","",COUNTIF(Pubs!$B$2:$B$3001,A2695))</f>
        <v/>
      </c>
      <c r="H2695" s="26" t="str">
        <f aca="false">IF(A2695="","",COUNTIF(Apparitions!$H$2:$H$5001,A2695))</f>
        <v/>
      </c>
      <c r="I2695" s="26" t="str">
        <f aca="false">IF(A2695="","",COUNTIFS(Apparitions!$H$2:$H$5001,A2695,Apparitions!$E$2:$E$5001,"○"))</f>
        <v/>
      </c>
      <c r="J2695" s="29" t="str">
        <f aca="false">IF(A2695="","",IFERROR(1/(1/_xlfn.MINIFS(Apparitions!$L$2:$L$5001,Apparitions!$H$2:$H$5001,A2695)),""))</f>
        <v/>
      </c>
    </row>
    <row r="2696" customFormat="false" ht="15" hidden="false" customHeight="false" outlineLevel="0" collapsed="false">
      <c r="A2696" s="19"/>
      <c r="B2696" s="19"/>
      <c r="C2696" s="19"/>
      <c r="D2696" s="19"/>
      <c r="E2696" s="32"/>
      <c r="F2696" s="19"/>
      <c r="G2696" s="26" t="str">
        <f aca="false">IF(A2696="","",COUNTIF(Pubs!$B$2:$B$3001,A2696))</f>
        <v/>
      </c>
      <c r="H2696" s="26" t="str">
        <f aca="false">IF(A2696="","",COUNTIF(Apparitions!$H$2:$H$5001,A2696))</f>
        <v/>
      </c>
      <c r="I2696" s="26" t="str">
        <f aca="false">IF(A2696="","",COUNTIFS(Apparitions!$H$2:$H$5001,A2696,Apparitions!$E$2:$E$5001,"○"))</f>
        <v/>
      </c>
      <c r="J2696" s="29" t="str">
        <f aca="false">IF(A2696="","",IFERROR(1/(1/_xlfn.MINIFS(Apparitions!$L$2:$L$5001,Apparitions!$H$2:$H$5001,A2696)),""))</f>
        <v/>
      </c>
    </row>
    <row r="2697" customFormat="false" ht="15" hidden="false" customHeight="false" outlineLevel="0" collapsed="false">
      <c r="A2697" s="19"/>
      <c r="B2697" s="19"/>
      <c r="C2697" s="19"/>
      <c r="D2697" s="19"/>
      <c r="E2697" s="32"/>
      <c r="F2697" s="19"/>
      <c r="G2697" s="26" t="str">
        <f aca="false">IF(A2697="","",COUNTIF(Pubs!$B$2:$B$3001,A2697))</f>
        <v/>
      </c>
      <c r="H2697" s="26" t="str">
        <f aca="false">IF(A2697="","",COUNTIF(Apparitions!$H$2:$H$5001,A2697))</f>
        <v/>
      </c>
      <c r="I2697" s="26" t="str">
        <f aca="false">IF(A2697="","",COUNTIFS(Apparitions!$H$2:$H$5001,A2697,Apparitions!$E$2:$E$5001,"○"))</f>
        <v/>
      </c>
      <c r="J2697" s="29" t="str">
        <f aca="false">IF(A2697="","",IFERROR(1/(1/_xlfn.MINIFS(Apparitions!$L$2:$L$5001,Apparitions!$H$2:$H$5001,A2697)),""))</f>
        <v/>
      </c>
    </row>
    <row r="2698" customFormat="false" ht="15" hidden="false" customHeight="false" outlineLevel="0" collapsed="false">
      <c r="A2698" s="19"/>
      <c r="B2698" s="19"/>
      <c r="C2698" s="19"/>
      <c r="D2698" s="19"/>
      <c r="E2698" s="32"/>
      <c r="F2698" s="19"/>
      <c r="G2698" s="26" t="str">
        <f aca="false">IF(A2698="","",COUNTIF(Pubs!$B$2:$B$3001,A2698))</f>
        <v/>
      </c>
      <c r="H2698" s="26" t="str">
        <f aca="false">IF(A2698="","",COUNTIF(Apparitions!$H$2:$H$5001,A2698))</f>
        <v/>
      </c>
      <c r="I2698" s="26" t="str">
        <f aca="false">IF(A2698="","",COUNTIFS(Apparitions!$H$2:$H$5001,A2698,Apparitions!$E$2:$E$5001,"○"))</f>
        <v/>
      </c>
      <c r="J2698" s="29" t="str">
        <f aca="false">IF(A2698="","",IFERROR(1/(1/_xlfn.MINIFS(Apparitions!$L$2:$L$5001,Apparitions!$H$2:$H$5001,A2698)),""))</f>
        <v/>
      </c>
    </row>
    <row r="2699" customFormat="false" ht="15" hidden="false" customHeight="false" outlineLevel="0" collapsed="false">
      <c r="A2699" s="19"/>
      <c r="B2699" s="19"/>
      <c r="C2699" s="19"/>
      <c r="D2699" s="19"/>
      <c r="E2699" s="32"/>
      <c r="F2699" s="19"/>
      <c r="G2699" s="26" t="str">
        <f aca="false">IF(A2699="","",COUNTIF(Pubs!$B$2:$B$3001,A2699))</f>
        <v/>
      </c>
      <c r="H2699" s="26" t="str">
        <f aca="false">IF(A2699="","",COUNTIF(Apparitions!$H$2:$H$5001,A2699))</f>
        <v/>
      </c>
      <c r="I2699" s="26" t="str">
        <f aca="false">IF(A2699="","",COUNTIFS(Apparitions!$H$2:$H$5001,A2699,Apparitions!$E$2:$E$5001,"○"))</f>
        <v/>
      </c>
      <c r="J2699" s="29" t="str">
        <f aca="false">IF(A2699="","",IFERROR(1/(1/_xlfn.MINIFS(Apparitions!$L$2:$L$5001,Apparitions!$H$2:$H$5001,A2699)),""))</f>
        <v/>
      </c>
    </row>
    <row r="2700" customFormat="false" ht="15" hidden="false" customHeight="false" outlineLevel="0" collapsed="false">
      <c r="A2700" s="19"/>
      <c r="B2700" s="19"/>
      <c r="C2700" s="19"/>
      <c r="D2700" s="19"/>
      <c r="E2700" s="32"/>
      <c r="F2700" s="19"/>
      <c r="G2700" s="26" t="str">
        <f aca="false">IF(A2700="","",COUNTIF(Pubs!$B$2:$B$3001,A2700))</f>
        <v/>
      </c>
      <c r="H2700" s="26" t="str">
        <f aca="false">IF(A2700="","",COUNTIF(Apparitions!$H$2:$H$5001,A2700))</f>
        <v/>
      </c>
      <c r="I2700" s="26" t="str">
        <f aca="false">IF(A2700="","",COUNTIFS(Apparitions!$H$2:$H$5001,A2700,Apparitions!$E$2:$E$5001,"○"))</f>
        <v/>
      </c>
      <c r="J2700" s="29" t="str">
        <f aca="false">IF(A2700="","",IFERROR(1/(1/_xlfn.MINIFS(Apparitions!$L$2:$L$5001,Apparitions!$H$2:$H$5001,A2700)),""))</f>
        <v/>
      </c>
    </row>
    <row r="2701" customFormat="false" ht="15" hidden="false" customHeight="false" outlineLevel="0" collapsed="false">
      <c r="A2701" s="19"/>
      <c r="B2701" s="19"/>
      <c r="C2701" s="19"/>
      <c r="D2701" s="19"/>
      <c r="E2701" s="32"/>
      <c r="F2701" s="19"/>
      <c r="G2701" s="26" t="str">
        <f aca="false">IF(A2701="","",COUNTIF(Pubs!$B$2:$B$3001,A2701))</f>
        <v/>
      </c>
      <c r="H2701" s="26" t="str">
        <f aca="false">IF(A2701="","",COUNTIF(Apparitions!$H$2:$H$5001,A2701))</f>
        <v/>
      </c>
      <c r="I2701" s="26" t="str">
        <f aca="false">IF(A2701="","",COUNTIFS(Apparitions!$H$2:$H$5001,A2701,Apparitions!$E$2:$E$5001,"○"))</f>
        <v/>
      </c>
      <c r="J2701" s="29" t="str">
        <f aca="false">IF(A2701="","",IFERROR(1/(1/_xlfn.MINIFS(Apparitions!$L$2:$L$5001,Apparitions!$H$2:$H$5001,A2701)),""))</f>
        <v/>
      </c>
    </row>
    <row r="2702" customFormat="false" ht="15" hidden="false" customHeight="false" outlineLevel="0" collapsed="false">
      <c r="A2702" s="19"/>
      <c r="B2702" s="19"/>
      <c r="C2702" s="19"/>
      <c r="D2702" s="19"/>
      <c r="E2702" s="32"/>
      <c r="F2702" s="19"/>
      <c r="G2702" s="26" t="str">
        <f aca="false">IF(A2702="","",COUNTIF(Pubs!$B$2:$B$3001,A2702))</f>
        <v/>
      </c>
      <c r="H2702" s="26" t="str">
        <f aca="false">IF(A2702="","",COUNTIF(Apparitions!$H$2:$H$5001,A2702))</f>
        <v/>
      </c>
      <c r="I2702" s="26" t="str">
        <f aca="false">IF(A2702="","",COUNTIFS(Apparitions!$H$2:$H$5001,A2702,Apparitions!$E$2:$E$5001,"○"))</f>
        <v/>
      </c>
      <c r="J2702" s="29" t="str">
        <f aca="false">IF(A2702="","",IFERROR(1/(1/_xlfn.MINIFS(Apparitions!$L$2:$L$5001,Apparitions!$H$2:$H$5001,A2702)),""))</f>
        <v/>
      </c>
    </row>
    <row r="2703" customFormat="false" ht="15" hidden="false" customHeight="false" outlineLevel="0" collapsed="false">
      <c r="A2703" s="19"/>
      <c r="B2703" s="19"/>
      <c r="C2703" s="19"/>
      <c r="D2703" s="19"/>
      <c r="E2703" s="32"/>
      <c r="F2703" s="19"/>
      <c r="G2703" s="26" t="str">
        <f aca="false">IF(A2703="","",COUNTIF(Pubs!$B$2:$B$3001,A2703))</f>
        <v/>
      </c>
      <c r="H2703" s="26" t="str">
        <f aca="false">IF(A2703="","",COUNTIF(Apparitions!$H$2:$H$5001,A2703))</f>
        <v/>
      </c>
      <c r="I2703" s="26" t="str">
        <f aca="false">IF(A2703="","",COUNTIFS(Apparitions!$H$2:$H$5001,A2703,Apparitions!$E$2:$E$5001,"○"))</f>
        <v/>
      </c>
      <c r="J2703" s="29" t="str">
        <f aca="false">IF(A2703="","",IFERROR(1/(1/_xlfn.MINIFS(Apparitions!$L$2:$L$5001,Apparitions!$H$2:$H$5001,A2703)),""))</f>
        <v/>
      </c>
    </row>
    <row r="2704" customFormat="false" ht="15" hidden="false" customHeight="false" outlineLevel="0" collapsed="false">
      <c r="A2704" s="19"/>
      <c r="B2704" s="19"/>
      <c r="C2704" s="19"/>
      <c r="D2704" s="19"/>
      <c r="E2704" s="32"/>
      <c r="F2704" s="19"/>
      <c r="G2704" s="26" t="str">
        <f aca="false">IF(A2704="","",COUNTIF(Pubs!$B$2:$B$3001,A2704))</f>
        <v/>
      </c>
      <c r="H2704" s="26" t="str">
        <f aca="false">IF(A2704="","",COUNTIF(Apparitions!$H$2:$H$5001,A2704))</f>
        <v/>
      </c>
      <c r="I2704" s="26" t="str">
        <f aca="false">IF(A2704="","",COUNTIFS(Apparitions!$H$2:$H$5001,A2704,Apparitions!$E$2:$E$5001,"○"))</f>
        <v/>
      </c>
      <c r="J2704" s="29" t="str">
        <f aca="false">IF(A2704="","",IFERROR(1/(1/_xlfn.MINIFS(Apparitions!$L$2:$L$5001,Apparitions!$H$2:$H$5001,A2704)),""))</f>
        <v/>
      </c>
    </row>
    <row r="2705" customFormat="false" ht="15" hidden="false" customHeight="false" outlineLevel="0" collapsed="false">
      <c r="A2705" s="19"/>
      <c r="B2705" s="19"/>
      <c r="C2705" s="19"/>
      <c r="D2705" s="19"/>
      <c r="E2705" s="32"/>
      <c r="F2705" s="19"/>
      <c r="G2705" s="26" t="str">
        <f aca="false">IF(A2705="","",COUNTIF(Pubs!$B$2:$B$3001,A2705))</f>
        <v/>
      </c>
      <c r="H2705" s="26" t="str">
        <f aca="false">IF(A2705="","",COUNTIF(Apparitions!$H$2:$H$5001,A2705))</f>
        <v/>
      </c>
      <c r="I2705" s="26" t="str">
        <f aca="false">IF(A2705="","",COUNTIFS(Apparitions!$H$2:$H$5001,A2705,Apparitions!$E$2:$E$5001,"○"))</f>
        <v/>
      </c>
      <c r="J2705" s="29" t="str">
        <f aca="false">IF(A2705="","",IFERROR(1/(1/_xlfn.MINIFS(Apparitions!$L$2:$L$5001,Apparitions!$H$2:$H$5001,A2705)),""))</f>
        <v/>
      </c>
    </row>
    <row r="2706" customFormat="false" ht="15" hidden="false" customHeight="false" outlineLevel="0" collapsed="false">
      <c r="A2706" s="19"/>
      <c r="B2706" s="19"/>
      <c r="C2706" s="19"/>
      <c r="D2706" s="19"/>
      <c r="E2706" s="32"/>
      <c r="F2706" s="19"/>
      <c r="G2706" s="26" t="str">
        <f aca="false">IF(A2706="","",COUNTIF(Pubs!$B$2:$B$3001,A2706))</f>
        <v/>
      </c>
      <c r="H2706" s="26" t="str">
        <f aca="false">IF(A2706="","",COUNTIF(Apparitions!$H$2:$H$5001,A2706))</f>
        <v/>
      </c>
      <c r="I2706" s="26" t="str">
        <f aca="false">IF(A2706="","",COUNTIFS(Apparitions!$H$2:$H$5001,A2706,Apparitions!$E$2:$E$5001,"○"))</f>
        <v/>
      </c>
      <c r="J2706" s="29" t="str">
        <f aca="false">IF(A2706="","",IFERROR(1/(1/_xlfn.MINIFS(Apparitions!$L$2:$L$5001,Apparitions!$H$2:$H$5001,A2706)),""))</f>
        <v/>
      </c>
    </row>
    <row r="2707" customFormat="false" ht="15" hidden="false" customHeight="false" outlineLevel="0" collapsed="false">
      <c r="A2707" s="19"/>
      <c r="B2707" s="19"/>
      <c r="C2707" s="19"/>
      <c r="D2707" s="19"/>
      <c r="E2707" s="32"/>
      <c r="F2707" s="19"/>
      <c r="G2707" s="26" t="str">
        <f aca="false">IF(A2707="","",COUNTIF(Pubs!$B$2:$B$3001,A2707))</f>
        <v/>
      </c>
      <c r="H2707" s="26" t="str">
        <f aca="false">IF(A2707="","",COUNTIF(Apparitions!$H$2:$H$5001,A2707))</f>
        <v/>
      </c>
      <c r="I2707" s="26" t="str">
        <f aca="false">IF(A2707="","",COUNTIFS(Apparitions!$H$2:$H$5001,A2707,Apparitions!$E$2:$E$5001,"○"))</f>
        <v/>
      </c>
      <c r="J2707" s="29" t="str">
        <f aca="false">IF(A2707="","",IFERROR(1/(1/_xlfn.MINIFS(Apparitions!$L$2:$L$5001,Apparitions!$H$2:$H$5001,A2707)),""))</f>
        <v/>
      </c>
    </row>
    <row r="2708" customFormat="false" ht="15" hidden="false" customHeight="false" outlineLevel="0" collapsed="false">
      <c r="A2708" s="19"/>
      <c r="B2708" s="19"/>
      <c r="C2708" s="19"/>
      <c r="D2708" s="19"/>
      <c r="E2708" s="32"/>
      <c r="F2708" s="19"/>
      <c r="G2708" s="26" t="str">
        <f aca="false">IF(A2708="","",COUNTIF(Pubs!$B$2:$B$3001,A2708))</f>
        <v/>
      </c>
      <c r="H2708" s="26" t="str">
        <f aca="false">IF(A2708="","",COUNTIF(Apparitions!$H$2:$H$5001,A2708))</f>
        <v/>
      </c>
      <c r="I2708" s="26" t="str">
        <f aca="false">IF(A2708="","",COUNTIFS(Apparitions!$H$2:$H$5001,A2708,Apparitions!$E$2:$E$5001,"○"))</f>
        <v/>
      </c>
      <c r="J2708" s="29" t="str">
        <f aca="false">IF(A2708="","",IFERROR(1/(1/_xlfn.MINIFS(Apparitions!$L$2:$L$5001,Apparitions!$H$2:$H$5001,A2708)),""))</f>
        <v/>
      </c>
    </row>
    <row r="2709" customFormat="false" ht="15" hidden="false" customHeight="false" outlineLevel="0" collapsed="false">
      <c r="A2709" s="19"/>
      <c r="B2709" s="19"/>
      <c r="C2709" s="19"/>
      <c r="D2709" s="19"/>
      <c r="E2709" s="32"/>
      <c r="F2709" s="19"/>
      <c r="G2709" s="26" t="str">
        <f aca="false">IF(A2709="","",COUNTIF(Pubs!$B$2:$B$3001,A2709))</f>
        <v/>
      </c>
      <c r="H2709" s="26" t="str">
        <f aca="false">IF(A2709="","",COUNTIF(Apparitions!$H$2:$H$5001,A2709))</f>
        <v/>
      </c>
      <c r="I2709" s="26" t="str">
        <f aca="false">IF(A2709="","",COUNTIFS(Apparitions!$H$2:$H$5001,A2709,Apparitions!$E$2:$E$5001,"○"))</f>
        <v/>
      </c>
      <c r="J2709" s="29" t="str">
        <f aca="false">IF(A2709="","",IFERROR(1/(1/_xlfn.MINIFS(Apparitions!$L$2:$L$5001,Apparitions!$H$2:$H$5001,A2709)),""))</f>
        <v/>
      </c>
    </row>
    <row r="2710" customFormat="false" ht="15" hidden="false" customHeight="false" outlineLevel="0" collapsed="false">
      <c r="A2710" s="19"/>
      <c r="B2710" s="19"/>
      <c r="C2710" s="19"/>
      <c r="D2710" s="19"/>
      <c r="E2710" s="32"/>
      <c r="F2710" s="19"/>
      <c r="G2710" s="26" t="str">
        <f aca="false">IF(A2710="","",COUNTIF(Pubs!$B$2:$B$3001,A2710))</f>
        <v/>
      </c>
      <c r="H2710" s="26" t="str">
        <f aca="false">IF(A2710="","",COUNTIF(Apparitions!$H$2:$H$5001,A2710))</f>
        <v/>
      </c>
      <c r="I2710" s="26" t="str">
        <f aca="false">IF(A2710="","",COUNTIFS(Apparitions!$H$2:$H$5001,A2710,Apparitions!$E$2:$E$5001,"○"))</f>
        <v/>
      </c>
      <c r="J2710" s="29" t="str">
        <f aca="false">IF(A2710="","",IFERROR(1/(1/_xlfn.MINIFS(Apparitions!$L$2:$L$5001,Apparitions!$H$2:$H$5001,A2710)),""))</f>
        <v/>
      </c>
    </row>
    <row r="2711" customFormat="false" ht="15" hidden="false" customHeight="false" outlineLevel="0" collapsed="false">
      <c r="A2711" s="19"/>
      <c r="B2711" s="19"/>
      <c r="C2711" s="19"/>
      <c r="D2711" s="19"/>
      <c r="E2711" s="32"/>
      <c r="F2711" s="19"/>
      <c r="G2711" s="26" t="str">
        <f aca="false">IF(A2711="","",COUNTIF(Pubs!$B$2:$B$3001,A2711))</f>
        <v/>
      </c>
      <c r="H2711" s="26" t="str">
        <f aca="false">IF(A2711="","",COUNTIF(Apparitions!$H$2:$H$5001,A2711))</f>
        <v/>
      </c>
      <c r="I2711" s="26" t="str">
        <f aca="false">IF(A2711="","",COUNTIFS(Apparitions!$H$2:$H$5001,A2711,Apparitions!$E$2:$E$5001,"○"))</f>
        <v/>
      </c>
      <c r="J2711" s="29" t="str">
        <f aca="false">IF(A2711="","",IFERROR(1/(1/_xlfn.MINIFS(Apparitions!$L$2:$L$5001,Apparitions!$H$2:$H$5001,A2711)),""))</f>
        <v/>
      </c>
    </row>
    <row r="2712" customFormat="false" ht="15" hidden="false" customHeight="false" outlineLevel="0" collapsed="false">
      <c r="A2712" s="19"/>
      <c r="B2712" s="19"/>
      <c r="C2712" s="19"/>
      <c r="D2712" s="19"/>
      <c r="E2712" s="32"/>
      <c r="F2712" s="19"/>
      <c r="G2712" s="26" t="str">
        <f aca="false">IF(A2712="","",COUNTIF(Pubs!$B$2:$B$3001,A2712))</f>
        <v/>
      </c>
      <c r="H2712" s="26" t="str">
        <f aca="false">IF(A2712="","",COUNTIF(Apparitions!$H$2:$H$5001,A2712))</f>
        <v/>
      </c>
      <c r="I2712" s="26" t="str">
        <f aca="false">IF(A2712="","",COUNTIFS(Apparitions!$H$2:$H$5001,A2712,Apparitions!$E$2:$E$5001,"○"))</f>
        <v/>
      </c>
      <c r="J2712" s="29" t="str">
        <f aca="false">IF(A2712="","",IFERROR(1/(1/_xlfn.MINIFS(Apparitions!$L$2:$L$5001,Apparitions!$H$2:$H$5001,A2712)),""))</f>
        <v/>
      </c>
    </row>
    <row r="2713" customFormat="false" ht="15" hidden="false" customHeight="false" outlineLevel="0" collapsed="false">
      <c r="A2713" s="19"/>
      <c r="B2713" s="19"/>
      <c r="C2713" s="19"/>
      <c r="D2713" s="19"/>
      <c r="E2713" s="32"/>
      <c r="F2713" s="19"/>
      <c r="G2713" s="26" t="str">
        <f aca="false">IF(A2713="","",COUNTIF(Pubs!$B$2:$B$3001,A2713))</f>
        <v/>
      </c>
      <c r="H2713" s="26" t="str">
        <f aca="false">IF(A2713="","",COUNTIF(Apparitions!$H$2:$H$5001,A2713))</f>
        <v/>
      </c>
      <c r="I2713" s="26" t="str">
        <f aca="false">IF(A2713="","",COUNTIFS(Apparitions!$H$2:$H$5001,A2713,Apparitions!$E$2:$E$5001,"○"))</f>
        <v/>
      </c>
      <c r="J2713" s="29" t="str">
        <f aca="false">IF(A2713="","",IFERROR(1/(1/_xlfn.MINIFS(Apparitions!$L$2:$L$5001,Apparitions!$H$2:$H$5001,A2713)),""))</f>
        <v/>
      </c>
    </row>
    <row r="2714" customFormat="false" ht="15" hidden="false" customHeight="false" outlineLevel="0" collapsed="false">
      <c r="A2714" s="19"/>
      <c r="B2714" s="19"/>
      <c r="C2714" s="19"/>
      <c r="D2714" s="19"/>
      <c r="E2714" s="32"/>
      <c r="F2714" s="19"/>
      <c r="G2714" s="26" t="str">
        <f aca="false">IF(A2714="","",COUNTIF(Pubs!$B$2:$B$3001,A2714))</f>
        <v/>
      </c>
      <c r="H2714" s="26" t="str">
        <f aca="false">IF(A2714="","",COUNTIF(Apparitions!$H$2:$H$5001,A2714))</f>
        <v/>
      </c>
      <c r="I2714" s="26" t="str">
        <f aca="false">IF(A2714="","",COUNTIFS(Apparitions!$H$2:$H$5001,A2714,Apparitions!$E$2:$E$5001,"○"))</f>
        <v/>
      </c>
      <c r="J2714" s="29" t="str">
        <f aca="false">IF(A2714="","",IFERROR(1/(1/_xlfn.MINIFS(Apparitions!$L$2:$L$5001,Apparitions!$H$2:$H$5001,A2714)),""))</f>
        <v/>
      </c>
    </row>
    <row r="2715" customFormat="false" ht="15" hidden="false" customHeight="false" outlineLevel="0" collapsed="false">
      <c r="A2715" s="19"/>
      <c r="B2715" s="19"/>
      <c r="C2715" s="19"/>
      <c r="D2715" s="19"/>
      <c r="E2715" s="32"/>
      <c r="F2715" s="19"/>
      <c r="G2715" s="26" t="str">
        <f aca="false">IF(A2715="","",COUNTIF(Pubs!$B$2:$B$3001,A2715))</f>
        <v/>
      </c>
      <c r="H2715" s="26" t="str">
        <f aca="false">IF(A2715="","",COUNTIF(Apparitions!$H$2:$H$5001,A2715))</f>
        <v/>
      </c>
      <c r="I2715" s="26" t="str">
        <f aca="false">IF(A2715="","",COUNTIFS(Apparitions!$H$2:$H$5001,A2715,Apparitions!$E$2:$E$5001,"○"))</f>
        <v/>
      </c>
      <c r="J2715" s="29" t="str">
        <f aca="false">IF(A2715="","",IFERROR(1/(1/_xlfn.MINIFS(Apparitions!$L$2:$L$5001,Apparitions!$H$2:$H$5001,A2715)),""))</f>
        <v/>
      </c>
    </row>
    <row r="2716" customFormat="false" ht="15" hidden="false" customHeight="false" outlineLevel="0" collapsed="false">
      <c r="A2716" s="19"/>
      <c r="B2716" s="19"/>
      <c r="C2716" s="19"/>
      <c r="D2716" s="19"/>
      <c r="E2716" s="32"/>
      <c r="F2716" s="19"/>
      <c r="G2716" s="26" t="str">
        <f aca="false">IF(A2716="","",COUNTIF(Pubs!$B$2:$B$3001,A2716))</f>
        <v/>
      </c>
      <c r="H2716" s="26" t="str">
        <f aca="false">IF(A2716="","",COUNTIF(Apparitions!$H$2:$H$5001,A2716))</f>
        <v/>
      </c>
      <c r="I2716" s="26" t="str">
        <f aca="false">IF(A2716="","",COUNTIFS(Apparitions!$H$2:$H$5001,A2716,Apparitions!$E$2:$E$5001,"○"))</f>
        <v/>
      </c>
      <c r="J2716" s="29" t="str">
        <f aca="false">IF(A2716="","",IFERROR(1/(1/_xlfn.MINIFS(Apparitions!$L$2:$L$5001,Apparitions!$H$2:$H$5001,A2716)),""))</f>
        <v/>
      </c>
    </row>
    <row r="2717" customFormat="false" ht="15" hidden="false" customHeight="false" outlineLevel="0" collapsed="false">
      <c r="A2717" s="19"/>
      <c r="B2717" s="19"/>
      <c r="C2717" s="19"/>
      <c r="D2717" s="19"/>
      <c r="E2717" s="32"/>
      <c r="F2717" s="19"/>
      <c r="G2717" s="26" t="str">
        <f aca="false">IF(A2717="","",COUNTIF(Pubs!$B$2:$B$3001,A2717))</f>
        <v/>
      </c>
      <c r="H2717" s="26" t="str">
        <f aca="false">IF(A2717="","",COUNTIF(Apparitions!$H$2:$H$5001,A2717))</f>
        <v/>
      </c>
      <c r="I2717" s="26" t="str">
        <f aca="false">IF(A2717="","",COUNTIFS(Apparitions!$H$2:$H$5001,A2717,Apparitions!$E$2:$E$5001,"○"))</f>
        <v/>
      </c>
      <c r="J2717" s="29" t="str">
        <f aca="false">IF(A2717="","",IFERROR(1/(1/_xlfn.MINIFS(Apparitions!$L$2:$L$5001,Apparitions!$H$2:$H$5001,A2717)),""))</f>
        <v/>
      </c>
    </row>
    <row r="2718" customFormat="false" ht="15" hidden="false" customHeight="false" outlineLevel="0" collapsed="false">
      <c r="A2718" s="19"/>
      <c r="B2718" s="19"/>
      <c r="C2718" s="19"/>
      <c r="D2718" s="19"/>
      <c r="E2718" s="32"/>
      <c r="F2718" s="19"/>
      <c r="G2718" s="26" t="str">
        <f aca="false">IF(A2718="","",COUNTIF(Pubs!$B$2:$B$3001,A2718))</f>
        <v/>
      </c>
      <c r="H2718" s="26" t="str">
        <f aca="false">IF(A2718="","",COUNTIF(Apparitions!$H$2:$H$5001,A2718))</f>
        <v/>
      </c>
      <c r="I2718" s="26" t="str">
        <f aca="false">IF(A2718="","",COUNTIFS(Apparitions!$H$2:$H$5001,A2718,Apparitions!$E$2:$E$5001,"○"))</f>
        <v/>
      </c>
      <c r="J2718" s="29" t="str">
        <f aca="false">IF(A2718="","",IFERROR(1/(1/_xlfn.MINIFS(Apparitions!$L$2:$L$5001,Apparitions!$H$2:$H$5001,A2718)),""))</f>
        <v/>
      </c>
    </row>
    <row r="2719" customFormat="false" ht="15" hidden="false" customHeight="false" outlineLevel="0" collapsed="false">
      <c r="A2719" s="19"/>
      <c r="B2719" s="19"/>
      <c r="C2719" s="19"/>
      <c r="D2719" s="19"/>
      <c r="E2719" s="32"/>
      <c r="F2719" s="19"/>
      <c r="G2719" s="26" t="str">
        <f aca="false">IF(A2719="","",COUNTIF(Pubs!$B$2:$B$3001,A2719))</f>
        <v/>
      </c>
      <c r="H2719" s="26" t="str">
        <f aca="false">IF(A2719="","",COUNTIF(Apparitions!$H$2:$H$5001,A2719))</f>
        <v/>
      </c>
      <c r="I2719" s="26" t="str">
        <f aca="false">IF(A2719="","",COUNTIFS(Apparitions!$H$2:$H$5001,A2719,Apparitions!$E$2:$E$5001,"○"))</f>
        <v/>
      </c>
      <c r="J2719" s="29" t="str">
        <f aca="false">IF(A2719="","",IFERROR(1/(1/_xlfn.MINIFS(Apparitions!$L$2:$L$5001,Apparitions!$H$2:$H$5001,A2719)),""))</f>
        <v/>
      </c>
    </row>
    <row r="2720" customFormat="false" ht="15" hidden="false" customHeight="false" outlineLevel="0" collapsed="false">
      <c r="A2720" s="19"/>
      <c r="B2720" s="19"/>
      <c r="C2720" s="19"/>
      <c r="D2720" s="19"/>
      <c r="E2720" s="32"/>
      <c r="F2720" s="19"/>
      <c r="G2720" s="26" t="str">
        <f aca="false">IF(A2720="","",COUNTIF(Pubs!$B$2:$B$3001,A2720))</f>
        <v/>
      </c>
      <c r="H2720" s="26" t="str">
        <f aca="false">IF(A2720="","",COUNTIF(Apparitions!$H$2:$H$5001,A2720))</f>
        <v/>
      </c>
      <c r="I2720" s="26" t="str">
        <f aca="false">IF(A2720="","",COUNTIFS(Apparitions!$H$2:$H$5001,A2720,Apparitions!$E$2:$E$5001,"○"))</f>
        <v/>
      </c>
      <c r="J2720" s="29" t="str">
        <f aca="false">IF(A2720="","",IFERROR(1/(1/_xlfn.MINIFS(Apparitions!$L$2:$L$5001,Apparitions!$H$2:$H$5001,A2720)),""))</f>
        <v/>
      </c>
    </row>
    <row r="2721" customFormat="false" ht="15" hidden="false" customHeight="false" outlineLevel="0" collapsed="false">
      <c r="A2721" s="19"/>
      <c r="B2721" s="19"/>
      <c r="C2721" s="19"/>
      <c r="D2721" s="19"/>
      <c r="E2721" s="32"/>
      <c r="F2721" s="19"/>
      <c r="G2721" s="26" t="str">
        <f aca="false">IF(A2721="","",COUNTIF(Pubs!$B$2:$B$3001,A2721))</f>
        <v/>
      </c>
      <c r="H2721" s="26" t="str">
        <f aca="false">IF(A2721="","",COUNTIF(Apparitions!$H$2:$H$5001,A2721))</f>
        <v/>
      </c>
      <c r="I2721" s="26" t="str">
        <f aca="false">IF(A2721="","",COUNTIFS(Apparitions!$H$2:$H$5001,A2721,Apparitions!$E$2:$E$5001,"○"))</f>
        <v/>
      </c>
      <c r="J2721" s="29" t="str">
        <f aca="false">IF(A2721="","",IFERROR(1/(1/_xlfn.MINIFS(Apparitions!$L$2:$L$5001,Apparitions!$H$2:$H$5001,A2721)),""))</f>
        <v/>
      </c>
    </row>
    <row r="2722" customFormat="false" ht="15" hidden="false" customHeight="false" outlineLevel="0" collapsed="false">
      <c r="A2722" s="19"/>
      <c r="B2722" s="19"/>
      <c r="C2722" s="19"/>
      <c r="D2722" s="19"/>
      <c r="E2722" s="32"/>
      <c r="F2722" s="19"/>
      <c r="G2722" s="26" t="str">
        <f aca="false">IF(A2722="","",COUNTIF(Pubs!$B$2:$B$3001,A2722))</f>
        <v/>
      </c>
      <c r="H2722" s="26" t="str">
        <f aca="false">IF(A2722="","",COUNTIF(Apparitions!$H$2:$H$5001,A2722))</f>
        <v/>
      </c>
      <c r="I2722" s="26" t="str">
        <f aca="false">IF(A2722="","",COUNTIFS(Apparitions!$H$2:$H$5001,A2722,Apparitions!$E$2:$E$5001,"○"))</f>
        <v/>
      </c>
      <c r="J2722" s="29" t="str">
        <f aca="false">IF(A2722="","",IFERROR(1/(1/_xlfn.MINIFS(Apparitions!$L$2:$L$5001,Apparitions!$H$2:$H$5001,A2722)),""))</f>
        <v/>
      </c>
    </row>
    <row r="2723" customFormat="false" ht="15" hidden="false" customHeight="false" outlineLevel="0" collapsed="false">
      <c r="A2723" s="19"/>
      <c r="B2723" s="19"/>
      <c r="C2723" s="19"/>
      <c r="D2723" s="19"/>
      <c r="E2723" s="32"/>
      <c r="F2723" s="19"/>
      <c r="G2723" s="26" t="str">
        <f aca="false">IF(A2723="","",COUNTIF(Pubs!$B$2:$B$3001,A2723))</f>
        <v/>
      </c>
      <c r="H2723" s="26" t="str">
        <f aca="false">IF(A2723="","",COUNTIF(Apparitions!$H$2:$H$5001,A2723))</f>
        <v/>
      </c>
      <c r="I2723" s="26" t="str">
        <f aca="false">IF(A2723="","",COUNTIFS(Apparitions!$H$2:$H$5001,A2723,Apparitions!$E$2:$E$5001,"○"))</f>
        <v/>
      </c>
      <c r="J2723" s="29" t="str">
        <f aca="false">IF(A2723="","",IFERROR(1/(1/_xlfn.MINIFS(Apparitions!$L$2:$L$5001,Apparitions!$H$2:$H$5001,A2723)),""))</f>
        <v/>
      </c>
    </row>
    <row r="2724" customFormat="false" ht="15" hidden="false" customHeight="false" outlineLevel="0" collapsed="false">
      <c r="A2724" s="19"/>
      <c r="B2724" s="19"/>
      <c r="C2724" s="19"/>
      <c r="D2724" s="19"/>
      <c r="E2724" s="32"/>
      <c r="F2724" s="19"/>
      <c r="G2724" s="26" t="str">
        <f aca="false">IF(A2724="","",COUNTIF(Pubs!$B$2:$B$3001,A2724))</f>
        <v/>
      </c>
      <c r="H2724" s="26" t="str">
        <f aca="false">IF(A2724="","",COUNTIF(Apparitions!$H$2:$H$5001,A2724))</f>
        <v/>
      </c>
      <c r="I2724" s="26" t="str">
        <f aca="false">IF(A2724="","",COUNTIFS(Apparitions!$H$2:$H$5001,A2724,Apparitions!$E$2:$E$5001,"○"))</f>
        <v/>
      </c>
      <c r="J2724" s="29" t="str">
        <f aca="false">IF(A2724="","",IFERROR(1/(1/_xlfn.MINIFS(Apparitions!$L$2:$L$5001,Apparitions!$H$2:$H$5001,A2724)),""))</f>
        <v/>
      </c>
    </row>
    <row r="2725" customFormat="false" ht="15" hidden="false" customHeight="false" outlineLevel="0" collapsed="false">
      <c r="A2725" s="19"/>
      <c r="B2725" s="19"/>
      <c r="C2725" s="19"/>
      <c r="D2725" s="19"/>
      <c r="E2725" s="32"/>
      <c r="F2725" s="19"/>
      <c r="G2725" s="26" t="str">
        <f aca="false">IF(A2725="","",COUNTIF(Pubs!$B$2:$B$3001,A2725))</f>
        <v/>
      </c>
      <c r="H2725" s="26" t="str">
        <f aca="false">IF(A2725="","",COUNTIF(Apparitions!$H$2:$H$5001,A2725))</f>
        <v/>
      </c>
      <c r="I2725" s="26" t="str">
        <f aca="false">IF(A2725="","",COUNTIFS(Apparitions!$H$2:$H$5001,A2725,Apparitions!$E$2:$E$5001,"○"))</f>
        <v/>
      </c>
      <c r="J2725" s="29" t="str">
        <f aca="false">IF(A2725="","",IFERROR(1/(1/_xlfn.MINIFS(Apparitions!$L$2:$L$5001,Apparitions!$H$2:$H$5001,A2725)),""))</f>
        <v/>
      </c>
    </row>
    <row r="2726" customFormat="false" ht="15" hidden="false" customHeight="false" outlineLevel="0" collapsed="false">
      <c r="A2726" s="19"/>
      <c r="B2726" s="19"/>
      <c r="C2726" s="19"/>
      <c r="D2726" s="19"/>
      <c r="E2726" s="32"/>
      <c r="F2726" s="19"/>
      <c r="G2726" s="26" t="str">
        <f aca="false">IF(A2726="","",COUNTIF(Pubs!$B$2:$B$3001,A2726))</f>
        <v/>
      </c>
      <c r="H2726" s="26" t="str">
        <f aca="false">IF(A2726="","",COUNTIF(Apparitions!$H$2:$H$5001,A2726))</f>
        <v/>
      </c>
      <c r="I2726" s="26" t="str">
        <f aca="false">IF(A2726="","",COUNTIFS(Apparitions!$H$2:$H$5001,A2726,Apparitions!$E$2:$E$5001,"○"))</f>
        <v/>
      </c>
      <c r="J2726" s="29" t="str">
        <f aca="false">IF(A2726="","",IFERROR(1/(1/_xlfn.MINIFS(Apparitions!$L$2:$L$5001,Apparitions!$H$2:$H$5001,A2726)),""))</f>
        <v/>
      </c>
    </row>
    <row r="2727" customFormat="false" ht="15" hidden="false" customHeight="false" outlineLevel="0" collapsed="false">
      <c r="A2727" s="19"/>
      <c r="B2727" s="19"/>
      <c r="C2727" s="19"/>
      <c r="D2727" s="19"/>
      <c r="E2727" s="32"/>
      <c r="F2727" s="19"/>
      <c r="G2727" s="26" t="str">
        <f aca="false">IF(A2727="","",COUNTIF(Pubs!$B$2:$B$3001,A2727))</f>
        <v/>
      </c>
      <c r="H2727" s="26" t="str">
        <f aca="false">IF(A2727="","",COUNTIF(Apparitions!$H$2:$H$5001,A2727))</f>
        <v/>
      </c>
      <c r="I2727" s="26" t="str">
        <f aca="false">IF(A2727="","",COUNTIFS(Apparitions!$H$2:$H$5001,A2727,Apparitions!$E$2:$E$5001,"○"))</f>
        <v/>
      </c>
      <c r="J2727" s="29" t="str">
        <f aca="false">IF(A2727="","",IFERROR(1/(1/_xlfn.MINIFS(Apparitions!$L$2:$L$5001,Apparitions!$H$2:$H$5001,A2727)),""))</f>
        <v/>
      </c>
    </row>
    <row r="2728" customFormat="false" ht="15" hidden="false" customHeight="false" outlineLevel="0" collapsed="false">
      <c r="A2728" s="19"/>
      <c r="B2728" s="19"/>
      <c r="C2728" s="19"/>
      <c r="D2728" s="19"/>
      <c r="E2728" s="32"/>
      <c r="F2728" s="19"/>
      <c r="G2728" s="26" t="str">
        <f aca="false">IF(A2728="","",COUNTIF(Pubs!$B$2:$B$3001,A2728))</f>
        <v/>
      </c>
      <c r="H2728" s="26" t="str">
        <f aca="false">IF(A2728="","",COUNTIF(Apparitions!$H$2:$H$5001,A2728))</f>
        <v/>
      </c>
      <c r="I2728" s="26" t="str">
        <f aca="false">IF(A2728="","",COUNTIFS(Apparitions!$H$2:$H$5001,A2728,Apparitions!$E$2:$E$5001,"○"))</f>
        <v/>
      </c>
      <c r="J2728" s="29" t="str">
        <f aca="false">IF(A2728="","",IFERROR(1/(1/_xlfn.MINIFS(Apparitions!$L$2:$L$5001,Apparitions!$H$2:$H$5001,A2728)),""))</f>
        <v/>
      </c>
    </row>
    <row r="2729" customFormat="false" ht="15" hidden="false" customHeight="false" outlineLevel="0" collapsed="false">
      <c r="A2729" s="19"/>
      <c r="B2729" s="19"/>
      <c r="C2729" s="19"/>
      <c r="D2729" s="19"/>
      <c r="E2729" s="32"/>
      <c r="F2729" s="19"/>
      <c r="G2729" s="26" t="str">
        <f aca="false">IF(A2729="","",COUNTIF(Pubs!$B$2:$B$3001,A2729))</f>
        <v/>
      </c>
      <c r="H2729" s="26" t="str">
        <f aca="false">IF(A2729="","",COUNTIF(Apparitions!$H$2:$H$5001,A2729))</f>
        <v/>
      </c>
      <c r="I2729" s="26" t="str">
        <f aca="false">IF(A2729="","",COUNTIFS(Apparitions!$H$2:$H$5001,A2729,Apparitions!$E$2:$E$5001,"○"))</f>
        <v/>
      </c>
      <c r="J2729" s="29" t="str">
        <f aca="false">IF(A2729="","",IFERROR(1/(1/_xlfn.MINIFS(Apparitions!$L$2:$L$5001,Apparitions!$H$2:$H$5001,A2729)),""))</f>
        <v/>
      </c>
    </row>
    <row r="2730" customFormat="false" ht="15" hidden="false" customHeight="false" outlineLevel="0" collapsed="false">
      <c r="A2730" s="19"/>
      <c r="B2730" s="19"/>
      <c r="C2730" s="19"/>
      <c r="D2730" s="19"/>
      <c r="E2730" s="32"/>
      <c r="F2730" s="19"/>
      <c r="G2730" s="26" t="str">
        <f aca="false">IF(A2730="","",COUNTIF(Pubs!$B$2:$B$3001,A2730))</f>
        <v/>
      </c>
      <c r="H2730" s="26" t="str">
        <f aca="false">IF(A2730="","",COUNTIF(Apparitions!$H$2:$H$5001,A2730))</f>
        <v/>
      </c>
      <c r="I2730" s="26" t="str">
        <f aca="false">IF(A2730="","",COUNTIFS(Apparitions!$H$2:$H$5001,A2730,Apparitions!$E$2:$E$5001,"○"))</f>
        <v/>
      </c>
      <c r="J2730" s="29" t="str">
        <f aca="false">IF(A2730="","",IFERROR(1/(1/_xlfn.MINIFS(Apparitions!$L$2:$L$5001,Apparitions!$H$2:$H$5001,A2730)),""))</f>
        <v/>
      </c>
    </row>
    <row r="2731" customFormat="false" ht="15" hidden="false" customHeight="false" outlineLevel="0" collapsed="false">
      <c r="A2731" s="19"/>
      <c r="B2731" s="19"/>
      <c r="C2731" s="19"/>
      <c r="D2731" s="19"/>
      <c r="E2731" s="32"/>
      <c r="F2731" s="19"/>
      <c r="G2731" s="26" t="str">
        <f aca="false">IF(A2731="","",COUNTIF(Pubs!$B$2:$B$3001,A2731))</f>
        <v/>
      </c>
      <c r="H2731" s="26" t="str">
        <f aca="false">IF(A2731="","",COUNTIF(Apparitions!$H$2:$H$5001,A2731))</f>
        <v/>
      </c>
      <c r="I2731" s="26" t="str">
        <f aca="false">IF(A2731="","",COUNTIFS(Apparitions!$H$2:$H$5001,A2731,Apparitions!$E$2:$E$5001,"○"))</f>
        <v/>
      </c>
      <c r="J2731" s="29" t="str">
        <f aca="false">IF(A2731="","",IFERROR(1/(1/_xlfn.MINIFS(Apparitions!$L$2:$L$5001,Apparitions!$H$2:$H$5001,A2731)),""))</f>
        <v/>
      </c>
    </row>
    <row r="2732" customFormat="false" ht="15" hidden="false" customHeight="false" outlineLevel="0" collapsed="false">
      <c r="A2732" s="19"/>
      <c r="B2732" s="19"/>
      <c r="C2732" s="19"/>
      <c r="D2732" s="19"/>
      <c r="E2732" s="32"/>
      <c r="F2732" s="19"/>
      <c r="G2732" s="26" t="str">
        <f aca="false">IF(A2732="","",COUNTIF(Pubs!$B$2:$B$3001,A2732))</f>
        <v/>
      </c>
      <c r="H2732" s="26" t="str">
        <f aca="false">IF(A2732="","",COUNTIF(Apparitions!$H$2:$H$5001,A2732))</f>
        <v/>
      </c>
      <c r="I2732" s="26" t="str">
        <f aca="false">IF(A2732="","",COUNTIFS(Apparitions!$H$2:$H$5001,A2732,Apparitions!$E$2:$E$5001,"○"))</f>
        <v/>
      </c>
      <c r="J2732" s="29" t="str">
        <f aca="false">IF(A2732="","",IFERROR(1/(1/_xlfn.MINIFS(Apparitions!$L$2:$L$5001,Apparitions!$H$2:$H$5001,A2732)),""))</f>
        <v/>
      </c>
    </row>
    <row r="2733" customFormat="false" ht="15" hidden="false" customHeight="false" outlineLevel="0" collapsed="false">
      <c r="A2733" s="19"/>
      <c r="B2733" s="19"/>
      <c r="C2733" s="19"/>
      <c r="D2733" s="19"/>
      <c r="E2733" s="32"/>
      <c r="F2733" s="19"/>
      <c r="G2733" s="26" t="str">
        <f aca="false">IF(A2733="","",COUNTIF(Pubs!$B$2:$B$3001,A2733))</f>
        <v/>
      </c>
      <c r="H2733" s="26" t="str">
        <f aca="false">IF(A2733="","",COUNTIF(Apparitions!$H$2:$H$5001,A2733))</f>
        <v/>
      </c>
      <c r="I2733" s="26" t="str">
        <f aca="false">IF(A2733="","",COUNTIFS(Apparitions!$H$2:$H$5001,A2733,Apparitions!$E$2:$E$5001,"○"))</f>
        <v/>
      </c>
      <c r="J2733" s="29" t="str">
        <f aca="false">IF(A2733="","",IFERROR(1/(1/_xlfn.MINIFS(Apparitions!$L$2:$L$5001,Apparitions!$H$2:$H$5001,A2733)),""))</f>
        <v/>
      </c>
    </row>
    <row r="2734" customFormat="false" ht="15" hidden="false" customHeight="false" outlineLevel="0" collapsed="false">
      <c r="A2734" s="19"/>
      <c r="B2734" s="19"/>
      <c r="C2734" s="19"/>
      <c r="D2734" s="19"/>
      <c r="E2734" s="32"/>
      <c r="F2734" s="19"/>
      <c r="G2734" s="26" t="str">
        <f aca="false">IF(A2734="","",COUNTIF(Pubs!$B$2:$B$3001,A2734))</f>
        <v/>
      </c>
      <c r="H2734" s="26" t="str">
        <f aca="false">IF(A2734="","",COUNTIF(Apparitions!$H$2:$H$5001,A2734))</f>
        <v/>
      </c>
      <c r="I2734" s="26" t="str">
        <f aca="false">IF(A2734="","",COUNTIFS(Apparitions!$H$2:$H$5001,A2734,Apparitions!$E$2:$E$5001,"○"))</f>
        <v/>
      </c>
      <c r="J2734" s="29" t="str">
        <f aca="false">IF(A2734="","",IFERROR(1/(1/_xlfn.MINIFS(Apparitions!$L$2:$L$5001,Apparitions!$H$2:$H$5001,A2734)),""))</f>
        <v/>
      </c>
    </row>
    <row r="2735" customFormat="false" ht="15" hidden="false" customHeight="false" outlineLevel="0" collapsed="false">
      <c r="A2735" s="19"/>
      <c r="B2735" s="19"/>
      <c r="C2735" s="19"/>
      <c r="D2735" s="19"/>
      <c r="E2735" s="32"/>
      <c r="F2735" s="19"/>
      <c r="G2735" s="26" t="str">
        <f aca="false">IF(A2735="","",COUNTIF(Pubs!$B$2:$B$3001,A2735))</f>
        <v/>
      </c>
      <c r="H2735" s="26" t="str">
        <f aca="false">IF(A2735="","",COUNTIF(Apparitions!$H$2:$H$5001,A2735))</f>
        <v/>
      </c>
      <c r="I2735" s="26" t="str">
        <f aca="false">IF(A2735="","",COUNTIFS(Apparitions!$H$2:$H$5001,A2735,Apparitions!$E$2:$E$5001,"○"))</f>
        <v/>
      </c>
      <c r="J2735" s="29" t="str">
        <f aca="false">IF(A2735="","",IFERROR(1/(1/_xlfn.MINIFS(Apparitions!$L$2:$L$5001,Apparitions!$H$2:$H$5001,A2735)),""))</f>
        <v/>
      </c>
    </row>
    <row r="2736" customFormat="false" ht="15" hidden="false" customHeight="false" outlineLevel="0" collapsed="false">
      <c r="A2736" s="19"/>
      <c r="B2736" s="19"/>
      <c r="C2736" s="19"/>
      <c r="D2736" s="19"/>
      <c r="E2736" s="32"/>
      <c r="F2736" s="19"/>
      <c r="G2736" s="26" t="str">
        <f aca="false">IF(A2736="","",COUNTIF(Pubs!$B$2:$B$3001,A2736))</f>
        <v/>
      </c>
      <c r="H2736" s="26" t="str">
        <f aca="false">IF(A2736="","",COUNTIF(Apparitions!$H$2:$H$5001,A2736))</f>
        <v/>
      </c>
      <c r="I2736" s="26" t="str">
        <f aca="false">IF(A2736="","",COUNTIFS(Apparitions!$H$2:$H$5001,A2736,Apparitions!$E$2:$E$5001,"○"))</f>
        <v/>
      </c>
      <c r="J2736" s="29" t="str">
        <f aca="false">IF(A2736="","",IFERROR(1/(1/_xlfn.MINIFS(Apparitions!$L$2:$L$5001,Apparitions!$H$2:$H$5001,A2736)),""))</f>
        <v/>
      </c>
    </row>
    <row r="2737" customFormat="false" ht="15" hidden="false" customHeight="false" outlineLevel="0" collapsed="false">
      <c r="A2737" s="19"/>
      <c r="B2737" s="19"/>
      <c r="C2737" s="19"/>
      <c r="D2737" s="19"/>
      <c r="E2737" s="32"/>
      <c r="F2737" s="19"/>
      <c r="G2737" s="26" t="str">
        <f aca="false">IF(A2737="","",COUNTIF(Pubs!$B$2:$B$3001,A2737))</f>
        <v/>
      </c>
      <c r="H2737" s="26" t="str">
        <f aca="false">IF(A2737="","",COUNTIF(Apparitions!$H$2:$H$5001,A2737))</f>
        <v/>
      </c>
      <c r="I2737" s="26" t="str">
        <f aca="false">IF(A2737="","",COUNTIFS(Apparitions!$H$2:$H$5001,A2737,Apparitions!$E$2:$E$5001,"○"))</f>
        <v/>
      </c>
      <c r="J2737" s="29" t="str">
        <f aca="false">IF(A2737="","",IFERROR(1/(1/_xlfn.MINIFS(Apparitions!$L$2:$L$5001,Apparitions!$H$2:$H$5001,A2737)),""))</f>
        <v/>
      </c>
    </row>
    <row r="2738" customFormat="false" ht="15" hidden="false" customHeight="false" outlineLevel="0" collapsed="false">
      <c r="A2738" s="19"/>
      <c r="B2738" s="19"/>
      <c r="C2738" s="19"/>
      <c r="D2738" s="19"/>
      <c r="E2738" s="32"/>
      <c r="F2738" s="19"/>
      <c r="G2738" s="26" t="str">
        <f aca="false">IF(A2738="","",COUNTIF(Pubs!$B$2:$B$3001,A2738))</f>
        <v/>
      </c>
      <c r="H2738" s="26" t="str">
        <f aca="false">IF(A2738="","",COUNTIF(Apparitions!$H$2:$H$5001,A2738))</f>
        <v/>
      </c>
      <c r="I2738" s="26" t="str">
        <f aca="false">IF(A2738="","",COUNTIFS(Apparitions!$H$2:$H$5001,A2738,Apparitions!$E$2:$E$5001,"○"))</f>
        <v/>
      </c>
      <c r="J2738" s="29" t="str">
        <f aca="false">IF(A2738="","",IFERROR(1/(1/_xlfn.MINIFS(Apparitions!$L$2:$L$5001,Apparitions!$H$2:$H$5001,A2738)),""))</f>
        <v/>
      </c>
    </row>
    <row r="2739" customFormat="false" ht="15" hidden="false" customHeight="false" outlineLevel="0" collapsed="false">
      <c r="A2739" s="19"/>
      <c r="B2739" s="19"/>
      <c r="C2739" s="19"/>
      <c r="D2739" s="19"/>
      <c r="E2739" s="32"/>
      <c r="F2739" s="19"/>
      <c r="G2739" s="26" t="str">
        <f aca="false">IF(A2739="","",COUNTIF(Pubs!$B$2:$B$3001,A2739))</f>
        <v/>
      </c>
      <c r="H2739" s="26" t="str">
        <f aca="false">IF(A2739="","",COUNTIF(Apparitions!$H$2:$H$5001,A2739))</f>
        <v/>
      </c>
      <c r="I2739" s="26" t="str">
        <f aca="false">IF(A2739="","",COUNTIFS(Apparitions!$H$2:$H$5001,A2739,Apparitions!$E$2:$E$5001,"○"))</f>
        <v/>
      </c>
      <c r="J2739" s="29" t="str">
        <f aca="false">IF(A2739="","",IFERROR(1/(1/_xlfn.MINIFS(Apparitions!$L$2:$L$5001,Apparitions!$H$2:$H$5001,A2739)),""))</f>
        <v/>
      </c>
    </row>
    <row r="2740" customFormat="false" ht="15" hidden="false" customHeight="false" outlineLevel="0" collapsed="false">
      <c r="A2740" s="19"/>
      <c r="B2740" s="19"/>
      <c r="C2740" s="19"/>
      <c r="D2740" s="19"/>
      <c r="E2740" s="32"/>
      <c r="F2740" s="19"/>
      <c r="G2740" s="26" t="str">
        <f aca="false">IF(A2740="","",COUNTIF(Pubs!$B$2:$B$3001,A2740))</f>
        <v/>
      </c>
      <c r="H2740" s="26" t="str">
        <f aca="false">IF(A2740="","",COUNTIF(Apparitions!$H$2:$H$5001,A2740))</f>
        <v/>
      </c>
      <c r="I2740" s="26" t="str">
        <f aca="false">IF(A2740="","",COUNTIFS(Apparitions!$H$2:$H$5001,A2740,Apparitions!$E$2:$E$5001,"○"))</f>
        <v/>
      </c>
      <c r="J2740" s="29" t="str">
        <f aca="false">IF(A2740="","",IFERROR(1/(1/_xlfn.MINIFS(Apparitions!$L$2:$L$5001,Apparitions!$H$2:$H$5001,A2740)),""))</f>
        <v/>
      </c>
    </row>
    <row r="2741" customFormat="false" ht="15" hidden="false" customHeight="false" outlineLevel="0" collapsed="false">
      <c r="A2741" s="19"/>
      <c r="B2741" s="19"/>
      <c r="C2741" s="19"/>
      <c r="D2741" s="19"/>
      <c r="E2741" s="32"/>
      <c r="F2741" s="19"/>
      <c r="G2741" s="26" t="str">
        <f aca="false">IF(A2741="","",COUNTIF(Pubs!$B$2:$B$3001,A2741))</f>
        <v/>
      </c>
      <c r="H2741" s="26" t="str">
        <f aca="false">IF(A2741="","",COUNTIF(Apparitions!$H$2:$H$5001,A2741))</f>
        <v/>
      </c>
      <c r="I2741" s="26" t="str">
        <f aca="false">IF(A2741="","",COUNTIFS(Apparitions!$H$2:$H$5001,A2741,Apparitions!$E$2:$E$5001,"○"))</f>
        <v/>
      </c>
      <c r="J2741" s="29" t="str">
        <f aca="false">IF(A2741="","",IFERROR(1/(1/_xlfn.MINIFS(Apparitions!$L$2:$L$5001,Apparitions!$H$2:$H$5001,A2741)),""))</f>
        <v/>
      </c>
    </row>
    <row r="2742" customFormat="false" ht="15" hidden="false" customHeight="false" outlineLevel="0" collapsed="false">
      <c r="A2742" s="19"/>
      <c r="B2742" s="19"/>
      <c r="C2742" s="19"/>
      <c r="D2742" s="19"/>
      <c r="E2742" s="32"/>
      <c r="F2742" s="19"/>
      <c r="G2742" s="26" t="str">
        <f aca="false">IF(A2742="","",COUNTIF(Pubs!$B$2:$B$3001,A2742))</f>
        <v/>
      </c>
      <c r="H2742" s="26" t="str">
        <f aca="false">IF(A2742="","",COUNTIF(Apparitions!$H$2:$H$5001,A2742))</f>
        <v/>
      </c>
      <c r="I2742" s="26" t="str">
        <f aca="false">IF(A2742="","",COUNTIFS(Apparitions!$H$2:$H$5001,A2742,Apparitions!$E$2:$E$5001,"○"))</f>
        <v/>
      </c>
      <c r="J2742" s="29" t="str">
        <f aca="false">IF(A2742="","",IFERROR(1/(1/_xlfn.MINIFS(Apparitions!$L$2:$L$5001,Apparitions!$H$2:$H$5001,A2742)),""))</f>
        <v/>
      </c>
    </row>
    <row r="2743" customFormat="false" ht="15" hidden="false" customHeight="false" outlineLevel="0" collapsed="false">
      <c r="A2743" s="19"/>
      <c r="B2743" s="19"/>
      <c r="C2743" s="19"/>
      <c r="D2743" s="19"/>
      <c r="E2743" s="32"/>
      <c r="F2743" s="19"/>
      <c r="G2743" s="26" t="str">
        <f aca="false">IF(A2743="","",COUNTIF(Pubs!$B$2:$B$3001,A2743))</f>
        <v/>
      </c>
      <c r="H2743" s="26" t="str">
        <f aca="false">IF(A2743="","",COUNTIF(Apparitions!$H$2:$H$5001,A2743))</f>
        <v/>
      </c>
      <c r="I2743" s="26" t="str">
        <f aca="false">IF(A2743="","",COUNTIFS(Apparitions!$H$2:$H$5001,A2743,Apparitions!$E$2:$E$5001,"○"))</f>
        <v/>
      </c>
      <c r="J2743" s="29" t="str">
        <f aca="false">IF(A2743="","",IFERROR(1/(1/_xlfn.MINIFS(Apparitions!$L$2:$L$5001,Apparitions!$H$2:$H$5001,A2743)),""))</f>
        <v/>
      </c>
    </row>
    <row r="2744" customFormat="false" ht="15" hidden="false" customHeight="false" outlineLevel="0" collapsed="false">
      <c r="A2744" s="19"/>
      <c r="B2744" s="19"/>
      <c r="C2744" s="19"/>
      <c r="D2744" s="19"/>
      <c r="E2744" s="32"/>
      <c r="F2744" s="19"/>
      <c r="G2744" s="26" t="str">
        <f aca="false">IF(A2744="","",COUNTIF(Pubs!$B$2:$B$3001,A2744))</f>
        <v/>
      </c>
      <c r="H2744" s="26" t="str">
        <f aca="false">IF(A2744="","",COUNTIF(Apparitions!$H$2:$H$5001,A2744))</f>
        <v/>
      </c>
      <c r="I2744" s="26" t="str">
        <f aca="false">IF(A2744="","",COUNTIFS(Apparitions!$H$2:$H$5001,A2744,Apparitions!$E$2:$E$5001,"○"))</f>
        <v/>
      </c>
      <c r="J2744" s="29" t="str">
        <f aca="false">IF(A2744="","",IFERROR(1/(1/_xlfn.MINIFS(Apparitions!$L$2:$L$5001,Apparitions!$H$2:$H$5001,A2744)),""))</f>
        <v/>
      </c>
    </row>
    <row r="2745" customFormat="false" ht="15" hidden="false" customHeight="false" outlineLevel="0" collapsed="false">
      <c r="A2745" s="19"/>
      <c r="B2745" s="19"/>
      <c r="C2745" s="19"/>
      <c r="D2745" s="19"/>
      <c r="E2745" s="32"/>
      <c r="F2745" s="19"/>
      <c r="G2745" s="26" t="str">
        <f aca="false">IF(A2745="","",COUNTIF(Pubs!$B$2:$B$3001,A2745))</f>
        <v/>
      </c>
      <c r="H2745" s="26" t="str">
        <f aca="false">IF(A2745="","",COUNTIF(Apparitions!$H$2:$H$5001,A2745))</f>
        <v/>
      </c>
      <c r="I2745" s="26" t="str">
        <f aca="false">IF(A2745="","",COUNTIFS(Apparitions!$H$2:$H$5001,A2745,Apparitions!$E$2:$E$5001,"○"))</f>
        <v/>
      </c>
      <c r="J2745" s="29" t="str">
        <f aca="false">IF(A2745="","",IFERROR(1/(1/_xlfn.MINIFS(Apparitions!$L$2:$L$5001,Apparitions!$H$2:$H$5001,A2745)),""))</f>
        <v/>
      </c>
    </row>
    <row r="2746" customFormat="false" ht="15" hidden="false" customHeight="false" outlineLevel="0" collapsed="false">
      <c r="A2746" s="19"/>
      <c r="B2746" s="19"/>
      <c r="C2746" s="19"/>
      <c r="D2746" s="19"/>
      <c r="E2746" s="32"/>
      <c r="F2746" s="19"/>
      <c r="G2746" s="26" t="str">
        <f aca="false">IF(A2746="","",COUNTIF(Pubs!$B$2:$B$3001,A2746))</f>
        <v/>
      </c>
      <c r="H2746" s="26" t="str">
        <f aca="false">IF(A2746="","",COUNTIF(Apparitions!$H$2:$H$5001,A2746))</f>
        <v/>
      </c>
      <c r="I2746" s="26" t="str">
        <f aca="false">IF(A2746="","",COUNTIFS(Apparitions!$H$2:$H$5001,A2746,Apparitions!$E$2:$E$5001,"○"))</f>
        <v/>
      </c>
      <c r="J2746" s="29" t="str">
        <f aca="false">IF(A2746="","",IFERROR(1/(1/_xlfn.MINIFS(Apparitions!$L$2:$L$5001,Apparitions!$H$2:$H$5001,A2746)),""))</f>
        <v/>
      </c>
    </row>
    <row r="2747" customFormat="false" ht="15" hidden="false" customHeight="false" outlineLevel="0" collapsed="false">
      <c r="A2747" s="19"/>
      <c r="B2747" s="19"/>
      <c r="C2747" s="19"/>
      <c r="D2747" s="19"/>
      <c r="E2747" s="32"/>
      <c r="F2747" s="19"/>
      <c r="G2747" s="26" t="str">
        <f aca="false">IF(A2747="","",COUNTIF(Pubs!$B$2:$B$3001,A2747))</f>
        <v/>
      </c>
      <c r="H2747" s="26" t="str">
        <f aca="false">IF(A2747="","",COUNTIF(Apparitions!$H$2:$H$5001,A2747))</f>
        <v/>
      </c>
      <c r="I2747" s="26" t="str">
        <f aca="false">IF(A2747="","",COUNTIFS(Apparitions!$H$2:$H$5001,A2747,Apparitions!$E$2:$E$5001,"○"))</f>
        <v/>
      </c>
      <c r="J2747" s="29" t="str">
        <f aca="false">IF(A2747="","",IFERROR(1/(1/_xlfn.MINIFS(Apparitions!$L$2:$L$5001,Apparitions!$H$2:$H$5001,A2747)),""))</f>
        <v/>
      </c>
    </row>
    <row r="2748" customFormat="false" ht="15" hidden="false" customHeight="false" outlineLevel="0" collapsed="false">
      <c r="A2748" s="19"/>
      <c r="B2748" s="19"/>
      <c r="C2748" s="19"/>
      <c r="D2748" s="19"/>
      <c r="E2748" s="32"/>
      <c r="F2748" s="19"/>
      <c r="G2748" s="26" t="str">
        <f aca="false">IF(A2748="","",COUNTIF(Pubs!$B$2:$B$3001,A2748))</f>
        <v/>
      </c>
      <c r="H2748" s="26" t="str">
        <f aca="false">IF(A2748="","",COUNTIF(Apparitions!$H$2:$H$5001,A2748))</f>
        <v/>
      </c>
      <c r="I2748" s="26" t="str">
        <f aca="false">IF(A2748="","",COUNTIFS(Apparitions!$H$2:$H$5001,A2748,Apparitions!$E$2:$E$5001,"○"))</f>
        <v/>
      </c>
      <c r="J2748" s="29" t="str">
        <f aca="false">IF(A2748="","",IFERROR(1/(1/_xlfn.MINIFS(Apparitions!$L$2:$L$5001,Apparitions!$H$2:$H$5001,A2748)),""))</f>
        <v/>
      </c>
    </row>
    <row r="2749" customFormat="false" ht="15" hidden="false" customHeight="false" outlineLevel="0" collapsed="false">
      <c r="A2749" s="19"/>
      <c r="B2749" s="19"/>
      <c r="C2749" s="19"/>
      <c r="D2749" s="19"/>
      <c r="E2749" s="32"/>
      <c r="F2749" s="19"/>
      <c r="G2749" s="26" t="str">
        <f aca="false">IF(A2749="","",COUNTIF(Pubs!$B$2:$B$3001,A2749))</f>
        <v/>
      </c>
      <c r="H2749" s="26" t="str">
        <f aca="false">IF(A2749="","",COUNTIF(Apparitions!$H$2:$H$5001,A2749))</f>
        <v/>
      </c>
      <c r="I2749" s="26" t="str">
        <f aca="false">IF(A2749="","",COUNTIFS(Apparitions!$H$2:$H$5001,A2749,Apparitions!$E$2:$E$5001,"○"))</f>
        <v/>
      </c>
      <c r="J2749" s="29" t="str">
        <f aca="false">IF(A2749="","",IFERROR(1/(1/_xlfn.MINIFS(Apparitions!$L$2:$L$5001,Apparitions!$H$2:$H$5001,A2749)),""))</f>
        <v/>
      </c>
    </row>
    <row r="2750" customFormat="false" ht="15" hidden="false" customHeight="false" outlineLevel="0" collapsed="false">
      <c r="A2750" s="19"/>
      <c r="B2750" s="19"/>
      <c r="C2750" s="19"/>
      <c r="D2750" s="19"/>
      <c r="E2750" s="32"/>
      <c r="F2750" s="19"/>
      <c r="G2750" s="26" t="str">
        <f aca="false">IF(A2750="","",COUNTIF(Pubs!$B$2:$B$3001,A2750))</f>
        <v/>
      </c>
      <c r="H2750" s="26" t="str">
        <f aca="false">IF(A2750="","",COUNTIF(Apparitions!$H$2:$H$5001,A2750))</f>
        <v/>
      </c>
      <c r="I2750" s="26" t="str">
        <f aca="false">IF(A2750="","",COUNTIFS(Apparitions!$H$2:$H$5001,A2750,Apparitions!$E$2:$E$5001,"○"))</f>
        <v/>
      </c>
      <c r="J2750" s="29" t="str">
        <f aca="false">IF(A2750="","",IFERROR(1/(1/_xlfn.MINIFS(Apparitions!$L$2:$L$5001,Apparitions!$H$2:$H$5001,A2750)),""))</f>
        <v/>
      </c>
    </row>
    <row r="2751" customFormat="false" ht="15" hidden="false" customHeight="false" outlineLevel="0" collapsed="false">
      <c r="A2751" s="19"/>
      <c r="B2751" s="19"/>
      <c r="C2751" s="19"/>
      <c r="D2751" s="19"/>
      <c r="E2751" s="32"/>
      <c r="F2751" s="19"/>
      <c r="G2751" s="26" t="str">
        <f aca="false">IF(A2751="","",COUNTIF(Pubs!$B$2:$B$3001,A2751))</f>
        <v/>
      </c>
      <c r="H2751" s="26" t="str">
        <f aca="false">IF(A2751="","",COUNTIF(Apparitions!$H$2:$H$5001,A2751))</f>
        <v/>
      </c>
      <c r="I2751" s="26" t="str">
        <f aca="false">IF(A2751="","",COUNTIFS(Apparitions!$H$2:$H$5001,A2751,Apparitions!$E$2:$E$5001,"○"))</f>
        <v/>
      </c>
      <c r="J2751" s="29" t="str">
        <f aca="false">IF(A2751="","",IFERROR(1/(1/_xlfn.MINIFS(Apparitions!$L$2:$L$5001,Apparitions!$H$2:$H$5001,A2751)),""))</f>
        <v/>
      </c>
    </row>
    <row r="2752" customFormat="false" ht="15" hidden="false" customHeight="false" outlineLevel="0" collapsed="false">
      <c r="A2752" s="19"/>
      <c r="B2752" s="19"/>
      <c r="C2752" s="19"/>
      <c r="D2752" s="19"/>
      <c r="E2752" s="32"/>
      <c r="F2752" s="19"/>
      <c r="G2752" s="26" t="str">
        <f aca="false">IF(A2752="","",COUNTIF(Pubs!$B$2:$B$3001,A2752))</f>
        <v/>
      </c>
      <c r="H2752" s="26" t="str">
        <f aca="false">IF(A2752="","",COUNTIF(Apparitions!$H$2:$H$5001,A2752))</f>
        <v/>
      </c>
      <c r="I2752" s="26" t="str">
        <f aca="false">IF(A2752="","",COUNTIFS(Apparitions!$H$2:$H$5001,A2752,Apparitions!$E$2:$E$5001,"○"))</f>
        <v/>
      </c>
      <c r="J2752" s="29" t="str">
        <f aca="false">IF(A2752="","",IFERROR(1/(1/_xlfn.MINIFS(Apparitions!$L$2:$L$5001,Apparitions!$H$2:$H$5001,A2752)),""))</f>
        <v/>
      </c>
    </row>
    <row r="2753" customFormat="false" ht="15" hidden="false" customHeight="false" outlineLevel="0" collapsed="false">
      <c r="A2753" s="19"/>
      <c r="B2753" s="19"/>
      <c r="C2753" s="19"/>
      <c r="D2753" s="19"/>
      <c r="E2753" s="32"/>
      <c r="F2753" s="19"/>
      <c r="G2753" s="26" t="str">
        <f aca="false">IF(A2753="","",COUNTIF(Pubs!$B$2:$B$3001,A2753))</f>
        <v/>
      </c>
      <c r="H2753" s="26" t="str">
        <f aca="false">IF(A2753="","",COUNTIF(Apparitions!$H$2:$H$5001,A2753))</f>
        <v/>
      </c>
      <c r="I2753" s="26" t="str">
        <f aca="false">IF(A2753="","",COUNTIFS(Apparitions!$H$2:$H$5001,A2753,Apparitions!$E$2:$E$5001,"○"))</f>
        <v/>
      </c>
      <c r="J2753" s="29" t="str">
        <f aca="false">IF(A2753="","",IFERROR(1/(1/_xlfn.MINIFS(Apparitions!$L$2:$L$5001,Apparitions!$H$2:$H$5001,A2753)),""))</f>
        <v/>
      </c>
    </row>
    <row r="2754" customFormat="false" ht="15" hidden="false" customHeight="false" outlineLevel="0" collapsed="false">
      <c r="A2754" s="19"/>
      <c r="B2754" s="19"/>
      <c r="C2754" s="19"/>
      <c r="D2754" s="19"/>
      <c r="E2754" s="32"/>
      <c r="F2754" s="19"/>
      <c r="G2754" s="26" t="str">
        <f aca="false">IF(A2754="","",COUNTIF(Pubs!$B$2:$B$3001,A2754))</f>
        <v/>
      </c>
      <c r="H2754" s="26" t="str">
        <f aca="false">IF(A2754="","",COUNTIF(Apparitions!$H$2:$H$5001,A2754))</f>
        <v/>
      </c>
      <c r="I2754" s="26" t="str">
        <f aca="false">IF(A2754="","",COUNTIFS(Apparitions!$H$2:$H$5001,A2754,Apparitions!$E$2:$E$5001,"○"))</f>
        <v/>
      </c>
      <c r="J2754" s="29" t="str">
        <f aca="false">IF(A2754="","",IFERROR(1/(1/_xlfn.MINIFS(Apparitions!$L$2:$L$5001,Apparitions!$H$2:$H$5001,A2754)),""))</f>
        <v/>
      </c>
    </row>
    <row r="2755" customFormat="false" ht="15" hidden="false" customHeight="false" outlineLevel="0" collapsed="false">
      <c r="A2755" s="19"/>
      <c r="B2755" s="19"/>
      <c r="C2755" s="19"/>
      <c r="D2755" s="19"/>
      <c r="E2755" s="32"/>
      <c r="F2755" s="19"/>
      <c r="G2755" s="26" t="str">
        <f aca="false">IF(A2755="","",COUNTIF(Pubs!$B$2:$B$3001,A2755))</f>
        <v/>
      </c>
      <c r="H2755" s="26" t="str">
        <f aca="false">IF(A2755="","",COUNTIF(Apparitions!$H$2:$H$5001,A2755))</f>
        <v/>
      </c>
      <c r="I2755" s="26" t="str">
        <f aca="false">IF(A2755="","",COUNTIFS(Apparitions!$H$2:$H$5001,A2755,Apparitions!$E$2:$E$5001,"○"))</f>
        <v/>
      </c>
      <c r="J2755" s="29" t="str">
        <f aca="false">IF(A2755="","",IFERROR(1/(1/_xlfn.MINIFS(Apparitions!$L$2:$L$5001,Apparitions!$H$2:$H$5001,A2755)),""))</f>
        <v/>
      </c>
    </row>
    <row r="2756" customFormat="false" ht="15" hidden="false" customHeight="false" outlineLevel="0" collapsed="false">
      <c r="A2756" s="19"/>
      <c r="B2756" s="19"/>
      <c r="C2756" s="19"/>
      <c r="D2756" s="19"/>
      <c r="E2756" s="32"/>
      <c r="F2756" s="19"/>
      <c r="G2756" s="26" t="str">
        <f aca="false">IF(A2756="","",COUNTIF(Pubs!$B$2:$B$3001,A2756))</f>
        <v/>
      </c>
      <c r="H2756" s="26" t="str">
        <f aca="false">IF(A2756="","",COUNTIF(Apparitions!$H$2:$H$5001,A2756))</f>
        <v/>
      </c>
      <c r="I2756" s="26" t="str">
        <f aca="false">IF(A2756="","",COUNTIFS(Apparitions!$H$2:$H$5001,A2756,Apparitions!$E$2:$E$5001,"○"))</f>
        <v/>
      </c>
      <c r="J2756" s="29" t="str">
        <f aca="false">IF(A2756="","",IFERROR(1/(1/_xlfn.MINIFS(Apparitions!$L$2:$L$5001,Apparitions!$H$2:$H$5001,A2756)),""))</f>
        <v/>
      </c>
    </row>
    <row r="2757" customFormat="false" ht="15" hidden="false" customHeight="false" outlineLevel="0" collapsed="false">
      <c r="A2757" s="19"/>
      <c r="B2757" s="19"/>
      <c r="C2757" s="19"/>
      <c r="D2757" s="19"/>
      <c r="E2757" s="32"/>
      <c r="F2757" s="19"/>
      <c r="G2757" s="26" t="str">
        <f aca="false">IF(A2757="","",COUNTIF(Pubs!$B$2:$B$3001,A2757))</f>
        <v/>
      </c>
      <c r="H2757" s="26" t="str">
        <f aca="false">IF(A2757="","",COUNTIF(Apparitions!$H$2:$H$5001,A2757))</f>
        <v/>
      </c>
      <c r="I2757" s="26" t="str">
        <f aca="false">IF(A2757="","",COUNTIFS(Apparitions!$H$2:$H$5001,A2757,Apparitions!$E$2:$E$5001,"○"))</f>
        <v/>
      </c>
      <c r="J2757" s="29" t="str">
        <f aca="false">IF(A2757="","",IFERROR(1/(1/_xlfn.MINIFS(Apparitions!$L$2:$L$5001,Apparitions!$H$2:$H$5001,A2757)),""))</f>
        <v/>
      </c>
    </row>
    <row r="2758" customFormat="false" ht="15" hidden="false" customHeight="false" outlineLevel="0" collapsed="false">
      <c r="A2758" s="19"/>
      <c r="B2758" s="19"/>
      <c r="C2758" s="19"/>
      <c r="D2758" s="19"/>
      <c r="E2758" s="32"/>
      <c r="F2758" s="19"/>
      <c r="G2758" s="26" t="str">
        <f aca="false">IF(A2758="","",COUNTIF(Pubs!$B$2:$B$3001,A2758))</f>
        <v/>
      </c>
      <c r="H2758" s="26" t="str">
        <f aca="false">IF(A2758="","",COUNTIF(Apparitions!$H$2:$H$5001,A2758))</f>
        <v/>
      </c>
      <c r="I2758" s="26" t="str">
        <f aca="false">IF(A2758="","",COUNTIFS(Apparitions!$H$2:$H$5001,A2758,Apparitions!$E$2:$E$5001,"○"))</f>
        <v/>
      </c>
      <c r="J2758" s="29" t="str">
        <f aca="false">IF(A2758="","",IFERROR(1/(1/_xlfn.MINIFS(Apparitions!$L$2:$L$5001,Apparitions!$H$2:$H$5001,A2758)),""))</f>
        <v/>
      </c>
    </row>
    <row r="2759" customFormat="false" ht="15" hidden="false" customHeight="false" outlineLevel="0" collapsed="false">
      <c r="A2759" s="19"/>
      <c r="B2759" s="19"/>
      <c r="C2759" s="19"/>
      <c r="D2759" s="19"/>
      <c r="E2759" s="32"/>
      <c r="F2759" s="19"/>
      <c r="G2759" s="26" t="str">
        <f aca="false">IF(A2759="","",COUNTIF(Pubs!$B$2:$B$3001,A2759))</f>
        <v/>
      </c>
      <c r="H2759" s="26" t="str">
        <f aca="false">IF(A2759="","",COUNTIF(Apparitions!$H$2:$H$5001,A2759))</f>
        <v/>
      </c>
      <c r="I2759" s="26" t="str">
        <f aca="false">IF(A2759="","",COUNTIFS(Apparitions!$H$2:$H$5001,A2759,Apparitions!$E$2:$E$5001,"○"))</f>
        <v/>
      </c>
      <c r="J2759" s="29" t="str">
        <f aca="false">IF(A2759="","",IFERROR(1/(1/_xlfn.MINIFS(Apparitions!$L$2:$L$5001,Apparitions!$H$2:$H$5001,A2759)),""))</f>
        <v/>
      </c>
    </row>
    <row r="2760" customFormat="false" ht="15" hidden="false" customHeight="false" outlineLevel="0" collapsed="false">
      <c r="A2760" s="19"/>
      <c r="B2760" s="19"/>
      <c r="C2760" s="19"/>
      <c r="D2760" s="19"/>
      <c r="E2760" s="32"/>
      <c r="F2760" s="19"/>
      <c r="G2760" s="26" t="str">
        <f aca="false">IF(A2760="","",COUNTIF(Pubs!$B$2:$B$3001,A2760))</f>
        <v/>
      </c>
      <c r="H2760" s="26" t="str">
        <f aca="false">IF(A2760="","",COUNTIF(Apparitions!$H$2:$H$5001,A2760))</f>
        <v/>
      </c>
      <c r="I2760" s="26" t="str">
        <f aca="false">IF(A2760="","",COUNTIFS(Apparitions!$H$2:$H$5001,A2760,Apparitions!$E$2:$E$5001,"○"))</f>
        <v/>
      </c>
      <c r="J2760" s="29" t="str">
        <f aca="false">IF(A2760="","",IFERROR(1/(1/_xlfn.MINIFS(Apparitions!$L$2:$L$5001,Apparitions!$H$2:$H$5001,A2760)),""))</f>
        <v/>
      </c>
    </row>
    <row r="2761" customFormat="false" ht="15" hidden="false" customHeight="false" outlineLevel="0" collapsed="false">
      <c r="A2761" s="19"/>
      <c r="B2761" s="19"/>
      <c r="C2761" s="19"/>
      <c r="D2761" s="19"/>
      <c r="E2761" s="32"/>
      <c r="F2761" s="19"/>
      <c r="G2761" s="26" t="str">
        <f aca="false">IF(A2761="","",COUNTIF(Pubs!$B$2:$B$3001,A2761))</f>
        <v/>
      </c>
      <c r="H2761" s="26" t="str">
        <f aca="false">IF(A2761="","",COUNTIF(Apparitions!$H$2:$H$5001,A2761))</f>
        <v/>
      </c>
      <c r="I2761" s="26" t="str">
        <f aca="false">IF(A2761="","",COUNTIFS(Apparitions!$H$2:$H$5001,A2761,Apparitions!$E$2:$E$5001,"○"))</f>
        <v/>
      </c>
      <c r="J2761" s="29" t="str">
        <f aca="false">IF(A2761="","",IFERROR(1/(1/_xlfn.MINIFS(Apparitions!$L$2:$L$5001,Apparitions!$H$2:$H$5001,A2761)),""))</f>
        <v/>
      </c>
    </row>
    <row r="2762" customFormat="false" ht="15" hidden="false" customHeight="false" outlineLevel="0" collapsed="false">
      <c r="A2762" s="19"/>
      <c r="B2762" s="19"/>
      <c r="C2762" s="19"/>
      <c r="D2762" s="19"/>
      <c r="E2762" s="32"/>
      <c r="F2762" s="19"/>
      <c r="G2762" s="26" t="str">
        <f aca="false">IF(A2762="","",COUNTIF(Pubs!$B$2:$B$3001,A2762))</f>
        <v/>
      </c>
      <c r="H2762" s="26" t="str">
        <f aca="false">IF(A2762="","",COUNTIF(Apparitions!$H$2:$H$5001,A2762))</f>
        <v/>
      </c>
      <c r="I2762" s="26" t="str">
        <f aca="false">IF(A2762="","",COUNTIFS(Apparitions!$H$2:$H$5001,A2762,Apparitions!$E$2:$E$5001,"○"))</f>
        <v/>
      </c>
      <c r="J2762" s="29" t="str">
        <f aca="false">IF(A2762="","",IFERROR(1/(1/_xlfn.MINIFS(Apparitions!$L$2:$L$5001,Apparitions!$H$2:$H$5001,A2762)),""))</f>
        <v/>
      </c>
    </row>
    <row r="2763" customFormat="false" ht="15" hidden="false" customHeight="false" outlineLevel="0" collapsed="false">
      <c r="A2763" s="19"/>
      <c r="B2763" s="19"/>
      <c r="C2763" s="19"/>
      <c r="D2763" s="19"/>
      <c r="E2763" s="32"/>
      <c r="F2763" s="19"/>
      <c r="G2763" s="26" t="str">
        <f aca="false">IF(A2763="","",COUNTIF(Pubs!$B$2:$B$3001,A2763))</f>
        <v/>
      </c>
      <c r="H2763" s="26" t="str">
        <f aca="false">IF(A2763="","",COUNTIF(Apparitions!$H$2:$H$5001,A2763))</f>
        <v/>
      </c>
      <c r="I2763" s="26" t="str">
        <f aca="false">IF(A2763="","",COUNTIFS(Apparitions!$H$2:$H$5001,A2763,Apparitions!$E$2:$E$5001,"○"))</f>
        <v/>
      </c>
      <c r="J2763" s="29" t="str">
        <f aca="false">IF(A2763="","",IFERROR(1/(1/_xlfn.MINIFS(Apparitions!$L$2:$L$5001,Apparitions!$H$2:$H$5001,A2763)),""))</f>
        <v/>
      </c>
    </row>
    <row r="2764" customFormat="false" ht="15" hidden="false" customHeight="false" outlineLevel="0" collapsed="false">
      <c r="A2764" s="19"/>
      <c r="B2764" s="19"/>
      <c r="C2764" s="19"/>
      <c r="D2764" s="19"/>
      <c r="E2764" s="32"/>
      <c r="F2764" s="19"/>
      <c r="G2764" s="26" t="str">
        <f aca="false">IF(A2764="","",COUNTIF(Pubs!$B$2:$B$3001,A2764))</f>
        <v/>
      </c>
      <c r="H2764" s="26" t="str">
        <f aca="false">IF(A2764="","",COUNTIF(Apparitions!$H$2:$H$5001,A2764))</f>
        <v/>
      </c>
      <c r="I2764" s="26" t="str">
        <f aca="false">IF(A2764="","",COUNTIFS(Apparitions!$H$2:$H$5001,A2764,Apparitions!$E$2:$E$5001,"○"))</f>
        <v/>
      </c>
      <c r="J2764" s="29" t="str">
        <f aca="false">IF(A2764="","",IFERROR(1/(1/_xlfn.MINIFS(Apparitions!$L$2:$L$5001,Apparitions!$H$2:$H$5001,A2764)),""))</f>
        <v/>
      </c>
    </row>
    <row r="2765" customFormat="false" ht="15" hidden="false" customHeight="false" outlineLevel="0" collapsed="false">
      <c r="A2765" s="19"/>
      <c r="B2765" s="19"/>
      <c r="C2765" s="19"/>
      <c r="D2765" s="19"/>
      <c r="E2765" s="32"/>
      <c r="F2765" s="19"/>
      <c r="G2765" s="26" t="str">
        <f aca="false">IF(A2765="","",COUNTIF(Pubs!$B$2:$B$3001,A2765))</f>
        <v/>
      </c>
      <c r="H2765" s="26" t="str">
        <f aca="false">IF(A2765="","",COUNTIF(Apparitions!$H$2:$H$5001,A2765))</f>
        <v/>
      </c>
      <c r="I2765" s="26" t="str">
        <f aca="false">IF(A2765="","",COUNTIFS(Apparitions!$H$2:$H$5001,A2765,Apparitions!$E$2:$E$5001,"○"))</f>
        <v/>
      </c>
      <c r="J2765" s="29" t="str">
        <f aca="false">IF(A2765="","",IFERROR(1/(1/_xlfn.MINIFS(Apparitions!$L$2:$L$5001,Apparitions!$H$2:$H$5001,A2765)),""))</f>
        <v/>
      </c>
    </row>
    <row r="2766" customFormat="false" ht="15" hidden="false" customHeight="false" outlineLevel="0" collapsed="false">
      <c r="A2766" s="19"/>
      <c r="B2766" s="19"/>
      <c r="C2766" s="19"/>
      <c r="D2766" s="19"/>
      <c r="E2766" s="32"/>
      <c r="F2766" s="19"/>
      <c r="G2766" s="26" t="str">
        <f aca="false">IF(A2766="","",COUNTIF(Pubs!$B$2:$B$3001,A2766))</f>
        <v/>
      </c>
      <c r="H2766" s="26" t="str">
        <f aca="false">IF(A2766="","",COUNTIF(Apparitions!$H$2:$H$5001,A2766))</f>
        <v/>
      </c>
      <c r="I2766" s="26" t="str">
        <f aca="false">IF(A2766="","",COUNTIFS(Apparitions!$H$2:$H$5001,A2766,Apparitions!$E$2:$E$5001,"○"))</f>
        <v/>
      </c>
      <c r="J2766" s="29" t="str">
        <f aca="false">IF(A2766="","",IFERROR(1/(1/_xlfn.MINIFS(Apparitions!$L$2:$L$5001,Apparitions!$H$2:$H$5001,A2766)),""))</f>
        <v/>
      </c>
    </row>
    <row r="2767" customFormat="false" ht="15" hidden="false" customHeight="false" outlineLevel="0" collapsed="false">
      <c r="A2767" s="19"/>
      <c r="B2767" s="19"/>
      <c r="C2767" s="19"/>
      <c r="D2767" s="19"/>
      <c r="E2767" s="32"/>
      <c r="F2767" s="19"/>
      <c r="G2767" s="26" t="str">
        <f aca="false">IF(A2767="","",COUNTIF(Pubs!$B$2:$B$3001,A2767))</f>
        <v/>
      </c>
      <c r="H2767" s="26" t="str">
        <f aca="false">IF(A2767="","",COUNTIF(Apparitions!$H$2:$H$5001,A2767))</f>
        <v/>
      </c>
      <c r="I2767" s="26" t="str">
        <f aca="false">IF(A2767="","",COUNTIFS(Apparitions!$H$2:$H$5001,A2767,Apparitions!$E$2:$E$5001,"○"))</f>
        <v/>
      </c>
      <c r="J2767" s="29" t="str">
        <f aca="false">IF(A2767="","",IFERROR(1/(1/_xlfn.MINIFS(Apparitions!$L$2:$L$5001,Apparitions!$H$2:$H$5001,A2767)),""))</f>
        <v/>
      </c>
    </row>
    <row r="2768" customFormat="false" ht="15" hidden="false" customHeight="false" outlineLevel="0" collapsed="false">
      <c r="A2768" s="19"/>
      <c r="B2768" s="19"/>
      <c r="C2768" s="19"/>
      <c r="D2768" s="19"/>
      <c r="E2768" s="32"/>
      <c r="F2768" s="19"/>
      <c r="G2768" s="26" t="str">
        <f aca="false">IF(A2768="","",COUNTIF(Pubs!$B$2:$B$3001,A2768))</f>
        <v/>
      </c>
      <c r="H2768" s="26" t="str">
        <f aca="false">IF(A2768="","",COUNTIF(Apparitions!$H$2:$H$5001,A2768))</f>
        <v/>
      </c>
      <c r="I2768" s="26" t="str">
        <f aca="false">IF(A2768="","",COUNTIFS(Apparitions!$H$2:$H$5001,A2768,Apparitions!$E$2:$E$5001,"○"))</f>
        <v/>
      </c>
      <c r="J2768" s="29" t="str">
        <f aca="false">IF(A2768="","",IFERROR(1/(1/_xlfn.MINIFS(Apparitions!$L$2:$L$5001,Apparitions!$H$2:$H$5001,A2768)),""))</f>
        <v/>
      </c>
    </row>
    <row r="2769" customFormat="false" ht="15" hidden="false" customHeight="false" outlineLevel="0" collapsed="false">
      <c r="A2769" s="19"/>
      <c r="B2769" s="19"/>
      <c r="C2769" s="19"/>
      <c r="D2769" s="19"/>
      <c r="E2769" s="32"/>
      <c r="F2769" s="19"/>
      <c r="G2769" s="26" t="str">
        <f aca="false">IF(A2769="","",COUNTIF(Pubs!$B$2:$B$3001,A2769))</f>
        <v/>
      </c>
      <c r="H2769" s="26" t="str">
        <f aca="false">IF(A2769="","",COUNTIF(Apparitions!$H$2:$H$5001,A2769))</f>
        <v/>
      </c>
      <c r="I2769" s="26" t="str">
        <f aca="false">IF(A2769="","",COUNTIFS(Apparitions!$H$2:$H$5001,A2769,Apparitions!$E$2:$E$5001,"○"))</f>
        <v/>
      </c>
      <c r="J2769" s="29" t="str">
        <f aca="false">IF(A2769="","",IFERROR(1/(1/_xlfn.MINIFS(Apparitions!$L$2:$L$5001,Apparitions!$H$2:$H$5001,A2769)),""))</f>
        <v/>
      </c>
    </row>
    <row r="2770" customFormat="false" ht="15" hidden="false" customHeight="false" outlineLevel="0" collapsed="false">
      <c r="A2770" s="19"/>
      <c r="B2770" s="19"/>
      <c r="C2770" s="19"/>
      <c r="D2770" s="19"/>
      <c r="E2770" s="32"/>
      <c r="F2770" s="19"/>
      <c r="G2770" s="26" t="str">
        <f aca="false">IF(A2770="","",COUNTIF(Pubs!$B$2:$B$3001,A2770))</f>
        <v/>
      </c>
      <c r="H2770" s="26" t="str">
        <f aca="false">IF(A2770="","",COUNTIF(Apparitions!$H$2:$H$5001,A2770))</f>
        <v/>
      </c>
      <c r="I2770" s="26" t="str">
        <f aca="false">IF(A2770="","",COUNTIFS(Apparitions!$H$2:$H$5001,A2770,Apparitions!$E$2:$E$5001,"○"))</f>
        <v/>
      </c>
      <c r="J2770" s="29" t="str">
        <f aca="false">IF(A2770="","",IFERROR(1/(1/_xlfn.MINIFS(Apparitions!$L$2:$L$5001,Apparitions!$H$2:$H$5001,A2770)),""))</f>
        <v/>
      </c>
    </row>
    <row r="2771" customFormat="false" ht="15" hidden="false" customHeight="false" outlineLevel="0" collapsed="false">
      <c r="A2771" s="19"/>
      <c r="B2771" s="19"/>
      <c r="C2771" s="19"/>
      <c r="D2771" s="19"/>
      <c r="E2771" s="32"/>
      <c r="F2771" s="19"/>
      <c r="G2771" s="26" t="str">
        <f aca="false">IF(A2771="","",COUNTIF(Pubs!$B$2:$B$3001,A2771))</f>
        <v/>
      </c>
      <c r="H2771" s="26" t="str">
        <f aca="false">IF(A2771="","",COUNTIF(Apparitions!$H$2:$H$5001,A2771))</f>
        <v/>
      </c>
      <c r="I2771" s="26" t="str">
        <f aca="false">IF(A2771="","",COUNTIFS(Apparitions!$H$2:$H$5001,A2771,Apparitions!$E$2:$E$5001,"○"))</f>
        <v/>
      </c>
      <c r="J2771" s="29" t="str">
        <f aca="false">IF(A2771="","",IFERROR(1/(1/_xlfn.MINIFS(Apparitions!$L$2:$L$5001,Apparitions!$H$2:$H$5001,A2771)),""))</f>
        <v/>
      </c>
    </row>
    <row r="2772" customFormat="false" ht="15" hidden="false" customHeight="false" outlineLevel="0" collapsed="false">
      <c r="A2772" s="19"/>
      <c r="B2772" s="19"/>
      <c r="C2772" s="19"/>
      <c r="D2772" s="19"/>
      <c r="E2772" s="32"/>
      <c r="F2772" s="19"/>
      <c r="G2772" s="26" t="str">
        <f aca="false">IF(A2772="","",COUNTIF(Pubs!$B$2:$B$3001,A2772))</f>
        <v/>
      </c>
      <c r="H2772" s="26" t="str">
        <f aca="false">IF(A2772="","",COUNTIF(Apparitions!$H$2:$H$5001,A2772))</f>
        <v/>
      </c>
      <c r="I2772" s="26" t="str">
        <f aca="false">IF(A2772="","",COUNTIFS(Apparitions!$H$2:$H$5001,A2772,Apparitions!$E$2:$E$5001,"○"))</f>
        <v/>
      </c>
      <c r="J2772" s="29" t="str">
        <f aca="false">IF(A2772="","",IFERROR(1/(1/_xlfn.MINIFS(Apparitions!$L$2:$L$5001,Apparitions!$H$2:$H$5001,A2772)),""))</f>
        <v/>
      </c>
    </row>
    <row r="2773" customFormat="false" ht="15" hidden="false" customHeight="false" outlineLevel="0" collapsed="false">
      <c r="A2773" s="19"/>
      <c r="B2773" s="19"/>
      <c r="C2773" s="19"/>
      <c r="D2773" s="19"/>
      <c r="E2773" s="32"/>
      <c r="F2773" s="19"/>
      <c r="G2773" s="26" t="str">
        <f aca="false">IF(A2773="","",COUNTIF(Pubs!$B$2:$B$3001,A2773))</f>
        <v/>
      </c>
      <c r="H2773" s="26" t="str">
        <f aca="false">IF(A2773="","",COUNTIF(Apparitions!$H$2:$H$5001,A2773))</f>
        <v/>
      </c>
      <c r="I2773" s="26" t="str">
        <f aca="false">IF(A2773="","",COUNTIFS(Apparitions!$H$2:$H$5001,A2773,Apparitions!$E$2:$E$5001,"○"))</f>
        <v/>
      </c>
      <c r="J2773" s="29" t="str">
        <f aca="false">IF(A2773="","",IFERROR(1/(1/_xlfn.MINIFS(Apparitions!$L$2:$L$5001,Apparitions!$H$2:$H$5001,A2773)),""))</f>
        <v/>
      </c>
    </row>
    <row r="2774" customFormat="false" ht="15" hidden="false" customHeight="false" outlineLevel="0" collapsed="false">
      <c r="A2774" s="19"/>
      <c r="B2774" s="19"/>
      <c r="C2774" s="19"/>
      <c r="D2774" s="19"/>
      <c r="E2774" s="32"/>
      <c r="F2774" s="19"/>
      <c r="G2774" s="26" t="str">
        <f aca="false">IF(A2774="","",COUNTIF(Pubs!$B$2:$B$3001,A2774))</f>
        <v/>
      </c>
      <c r="H2774" s="26" t="str">
        <f aca="false">IF(A2774="","",COUNTIF(Apparitions!$H$2:$H$5001,A2774))</f>
        <v/>
      </c>
      <c r="I2774" s="26" t="str">
        <f aca="false">IF(A2774="","",COUNTIFS(Apparitions!$H$2:$H$5001,A2774,Apparitions!$E$2:$E$5001,"○"))</f>
        <v/>
      </c>
      <c r="J2774" s="29" t="str">
        <f aca="false">IF(A2774="","",IFERROR(1/(1/_xlfn.MINIFS(Apparitions!$L$2:$L$5001,Apparitions!$H$2:$H$5001,A2774)),""))</f>
        <v/>
      </c>
    </row>
    <row r="2775" customFormat="false" ht="15" hidden="false" customHeight="false" outlineLevel="0" collapsed="false">
      <c r="A2775" s="19"/>
      <c r="B2775" s="19"/>
      <c r="C2775" s="19"/>
      <c r="D2775" s="19"/>
      <c r="E2775" s="32"/>
      <c r="F2775" s="19"/>
      <c r="G2775" s="26" t="str">
        <f aca="false">IF(A2775="","",COUNTIF(Pubs!$B$2:$B$3001,A2775))</f>
        <v/>
      </c>
      <c r="H2775" s="26" t="str">
        <f aca="false">IF(A2775="","",COUNTIF(Apparitions!$H$2:$H$5001,A2775))</f>
        <v/>
      </c>
      <c r="I2775" s="26" t="str">
        <f aca="false">IF(A2775="","",COUNTIFS(Apparitions!$H$2:$H$5001,A2775,Apparitions!$E$2:$E$5001,"○"))</f>
        <v/>
      </c>
      <c r="J2775" s="29" t="str">
        <f aca="false">IF(A2775="","",IFERROR(1/(1/_xlfn.MINIFS(Apparitions!$L$2:$L$5001,Apparitions!$H$2:$H$5001,A2775)),""))</f>
        <v/>
      </c>
    </row>
    <row r="2776" customFormat="false" ht="15" hidden="false" customHeight="false" outlineLevel="0" collapsed="false">
      <c r="A2776" s="19"/>
      <c r="B2776" s="19"/>
      <c r="C2776" s="19"/>
      <c r="D2776" s="19"/>
      <c r="E2776" s="32"/>
      <c r="F2776" s="19"/>
      <c r="G2776" s="26" t="str">
        <f aca="false">IF(A2776="","",COUNTIF(Pubs!$B$2:$B$3001,A2776))</f>
        <v/>
      </c>
      <c r="H2776" s="26" t="str">
        <f aca="false">IF(A2776="","",COUNTIF(Apparitions!$H$2:$H$5001,A2776))</f>
        <v/>
      </c>
      <c r="I2776" s="26" t="str">
        <f aca="false">IF(A2776="","",COUNTIFS(Apparitions!$H$2:$H$5001,A2776,Apparitions!$E$2:$E$5001,"○"))</f>
        <v/>
      </c>
      <c r="J2776" s="29" t="str">
        <f aca="false">IF(A2776="","",IFERROR(1/(1/_xlfn.MINIFS(Apparitions!$L$2:$L$5001,Apparitions!$H$2:$H$5001,A2776)),""))</f>
        <v/>
      </c>
    </row>
    <row r="2777" customFormat="false" ht="15" hidden="false" customHeight="false" outlineLevel="0" collapsed="false">
      <c r="A2777" s="19"/>
      <c r="B2777" s="19"/>
      <c r="C2777" s="19"/>
      <c r="D2777" s="19"/>
      <c r="E2777" s="32"/>
      <c r="F2777" s="19"/>
      <c r="G2777" s="26" t="str">
        <f aca="false">IF(A2777="","",COUNTIF(Pubs!$B$2:$B$3001,A2777))</f>
        <v/>
      </c>
      <c r="H2777" s="26" t="str">
        <f aca="false">IF(A2777="","",COUNTIF(Apparitions!$H$2:$H$5001,A2777))</f>
        <v/>
      </c>
      <c r="I2777" s="26" t="str">
        <f aca="false">IF(A2777="","",COUNTIFS(Apparitions!$H$2:$H$5001,A2777,Apparitions!$E$2:$E$5001,"○"))</f>
        <v/>
      </c>
      <c r="J2777" s="29" t="str">
        <f aca="false">IF(A2777="","",IFERROR(1/(1/_xlfn.MINIFS(Apparitions!$L$2:$L$5001,Apparitions!$H$2:$H$5001,A2777)),""))</f>
        <v/>
      </c>
    </row>
    <row r="2778" customFormat="false" ht="15" hidden="false" customHeight="false" outlineLevel="0" collapsed="false">
      <c r="A2778" s="19"/>
      <c r="B2778" s="19"/>
      <c r="C2778" s="19"/>
      <c r="D2778" s="19"/>
      <c r="E2778" s="32"/>
      <c r="F2778" s="19"/>
      <c r="G2778" s="26" t="str">
        <f aca="false">IF(A2778="","",COUNTIF(Pubs!$B$2:$B$3001,A2778))</f>
        <v/>
      </c>
      <c r="H2778" s="26" t="str">
        <f aca="false">IF(A2778="","",COUNTIF(Apparitions!$H$2:$H$5001,A2778))</f>
        <v/>
      </c>
      <c r="I2778" s="26" t="str">
        <f aca="false">IF(A2778="","",COUNTIFS(Apparitions!$H$2:$H$5001,A2778,Apparitions!$E$2:$E$5001,"○"))</f>
        <v/>
      </c>
      <c r="J2778" s="29" t="str">
        <f aca="false">IF(A2778="","",IFERROR(1/(1/_xlfn.MINIFS(Apparitions!$L$2:$L$5001,Apparitions!$H$2:$H$5001,A2778)),""))</f>
        <v/>
      </c>
    </row>
    <row r="2779" customFormat="false" ht="15" hidden="false" customHeight="false" outlineLevel="0" collapsed="false">
      <c r="A2779" s="19"/>
      <c r="B2779" s="19"/>
      <c r="C2779" s="19"/>
      <c r="D2779" s="19"/>
      <c r="E2779" s="32"/>
      <c r="F2779" s="19"/>
      <c r="G2779" s="26" t="str">
        <f aca="false">IF(A2779="","",COUNTIF(Pubs!$B$2:$B$3001,A2779))</f>
        <v/>
      </c>
      <c r="H2779" s="26" t="str">
        <f aca="false">IF(A2779="","",COUNTIF(Apparitions!$H$2:$H$5001,A2779))</f>
        <v/>
      </c>
      <c r="I2779" s="26" t="str">
        <f aca="false">IF(A2779="","",COUNTIFS(Apparitions!$H$2:$H$5001,A2779,Apparitions!$E$2:$E$5001,"○"))</f>
        <v/>
      </c>
      <c r="J2779" s="29" t="str">
        <f aca="false">IF(A2779="","",IFERROR(1/(1/_xlfn.MINIFS(Apparitions!$L$2:$L$5001,Apparitions!$H$2:$H$5001,A2779)),""))</f>
        <v/>
      </c>
    </row>
    <row r="2780" customFormat="false" ht="15" hidden="false" customHeight="false" outlineLevel="0" collapsed="false">
      <c r="A2780" s="19"/>
      <c r="B2780" s="19"/>
      <c r="C2780" s="19"/>
      <c r="D2780" s="19"/>
      <c r="E2780" s="32"/>
      <c r="F2780" s="19"/>
      <c r="G2780" s="26" t="str">
        <f aca="false">IF(A2780="","",COUNTIF(Pubs!$B$2:$B$3001,A2780))</f>
        <v/>
      </c>
      <c r="H2780" s="26" t="str">
        <f aca="false">IF(A2780="","",COUNTIF(Apparitions!$H$2:$H$5001,A2780))</f>
        <v/>
      </c>
      <c r="I2780" s="26" t="str">
        <f aca="false">IF(A2780="","",COUNTIFS(Apparitions!$H$2:$H$5001,A2780,Apparitions!$E$2:$E$5001,"○"))</f>
        <v/>
      </c>
      <c r="J2780" s="29" t="str">
        <f aca="false">IF(A2780="","",IFERROR(1/(1/_xlfn.MINIFS(Apparitions!$L$2:$L$5001,Apparitions!$H$2:$H$5001,A2780)),""))</f>
        <v/>
      </c>
    </row>
    <row r="2781" customFormat="false" ht="15" hidden="false" customHeight="false" outlineLevel="0" collapsed="false">
      <c r="A2781" s="19"/>
      <c r="B2781" s="19"/>
      <c r="C2781" s="19"/>
      <c r="D2781" s="19"/>
      <c r="E2781" s="32"/>
      <c r="F2781" s="19"/>
      <c r="G2781" s="26" t="str">
        <f aca="false">IF(A2781="","",COUNTIF(Pubs!$B$2:$B$3001,A2781))</f>
        <v/>
      </c>
      <c r="H2781" s="26" t="str">
        <f aca="false">IF(A2781="","",COUNTIF(Apparitions!$H$2:$H$5001,A2781))</f>
        <v/>
      </c>
      <c r="I2781" s="26" t="str">
        <f aca="false">IF(A2781="","",COUNTIFS(Apparitions!$H$2:$H$5001,A2781,Apparitions!$E$2:$E$5001,"○"))</f>
        <v/>
      </c>
      <c r="J2781" s="29" t="str">
        <f aca="false">IF(A2781="","",IFERROR(1/(1/_xlfn.MINIFS(Apparitions!$L$2:$L$5001,Apparitions!$H$2:$H$5001,A2781)),""))</f>
        <v/>
      </c>
    </row>
    <row r="2782" customFormat="false" ht="15" hidden="false" customHeight="false" outlineLevel="0" collapsed="false">
      <c r="A2782" s="19"/>
      <c r="B2782" s="19"/>
      <c r="C2782" s="19"/>
      <c r="D2782" s="19"/>
      <c r="E2782" s="32"/>
      <c r="F2782" s="19"/>
      <c r="G2782" s="26" t="str">
        <f aca="false">IF(A2782="","",COUNTIF(Pubs!$B$2:$B$3001,A2782))</f>
        <v/>
      </c>
      <c r="H2782" s="26" t="str">
        <f aca="false">IF(A2782="","",COUNTIF(Apparitions!$H$2:$H$5001,A2782))</f>
        <v/>
      </c>
      <c r="I2782" s="26" t="str">
        <f aca="false">IF(A2782="","",COUNTIFS(Apparitions!$H$2:$H$5001,A2782,Apparitions!$E$2:$E$5001,"○"))</f>
        <v/>
      </c>
      <c r="J2782" s="29" t="str">
        <f aca="false">IF(A2782="","",IFERROR(1/(1/_xlfn.MINIFS(Apparitions!$L$2:$L$5001,Apparitions!$H$2:$H$5001,A2782)),""))</f>
        <v/>
      </c>
    </row>
    <row r="2783" customFormat="false" ht="15" hidden="false" customHeight="false" outlineLevel="0" collapsed="false">
      <c r="A2783" s="19"/>
      <c r="B2783" s="19"/>
      <c r="C2783" s="19"/>
      <c r="D2783" s="19"/>
      <c r="E2783" s="32"/>
      <c r="F2783" s="19"/>
      <c r="G2783" s="26" t="str">
        <f aca="false">IF(A2783="","",COUNTIF(Pubs!$B$2:$B$3001,A2783))</f>
        <v/>
      </c>
      <c r="H2783" s="26" t="str">
        <f aca="false">IF(A2783="","",COUNTIF(Apparitions!$H$2:$H$5001,A2783))</f>
        <v/>
      </c>
      <c r="I2783" s="26" t="str">
        <f aca="false">IF(A2783="","",COUNTIFS(Apparitions!$H$2:$H$5001,A2783,Apparitions!$E$2:$E$5001,"○"))</f>
        <v/>
      </c>
      <c r="J2783" s="29" t="str">
        <f aca="false">IF(A2783="","",IFERROR(1/(1/_xlfn.MINIFS(Apparitions!$L$2:$L$5001,Apparitions!$H$2:$H$5001,A2783)),""))</f>
        <v/>
      </c>
    </row>
    <row r="2784" customFormat="false" ht="15" hidden="false" customHeight="false" outlineLevel="0" collapsed="false">
      <c r="A2784" s="19"/>
      <c r="B2784" s="19"/>
      <c r="C2784" s="19"/>
      <c r="D2784" s="19"/>
      <c r="E2784" s="32"/>
      <c r="F2784" s="19"/>
      <c r="G2784" s="26" t="str">
        <f aca="false">IF(A2784="","",COUNTIF(Pubs!$B$2:$B$3001,A2784))</f>
        <v/>
      </c>
      <c r="H2784" s="26" t="str">
        <f aca="false">IF(A2784="","",COUNTIF(Apparitions!$H$2:$H$5001,A2784))</f>
        <v/>
      </c>
      <c r="I2784" s="26" t="str">
        <f aca="false">IF(A2784="","",COUNTIFS(Apparitions!$H$2:$H$5001,A2784,Apparitions!$E$2:$E$5001,"○"))</f>
        <v/>
      </c>
      <c r="J2784" s="29" t="str">
        <f aca="false">IF(A2784="","",IFERROR(1/(1/_xlfn.MINIFS(Apparitions!$L$2:$L$5001,Apparitions!$H$2:$H$5001,A2784)),""))</f>
        <v/>
      </c>
    </row>
    <row r="2785" customFormat="false" ht="15" hidden="false" customHeight="false" outlineLevel="0" collapsed="false">
      <c r="A2785" s="19"/>
      <c r="B2785" s="19"/>
      <c r="C2785" s="19"/>
      <c r="D2785" s="19"/>
      <c r="E2785" s="32"/>
      <c r="F2785" s="19"/>
      <c r="G2785" s="26" t="str">
        <f aca="false">IF(A2785="","",COUNTIF(Pubs!$B$2:$B$3001,A2785))</f>
        <v/>
      </c>
      <c r="H2785" s="26" t="str">
        <f aca="false">IF(A2785="","",COUNTIF(Apparitions!$H$2:$H$5001,A2785))</f>
        <v/>
      </c>
      <c r="I2785" s="26" t="str">
        <f aca="false">IF(A2785="","",COUNTIFS(Apparitions!$H$2:$H$5001,A2785,Apparitions!$E$2:$E$5001,"○"))</f>
        <v/>
      </c>
      <c r="J2785" s="29" t="str">
        <f aca="false">IF(A2785="","",IFERROR(1/(1/_xlfn.MINIFS(Apparitions!$L$2:$L$5001,Apparitions!$H$2:$H$5001,A2785)),""))</f>
        <v/>
      </c>
    </row>
    <row r="2786" customFormat="false" ht="15" hidden="false" customHeight="false" outlineLevel="0" collapsed="false">
      <c r="A2786" s="19"/>
      <c r="B2786" s="19"/>
      <c r="C2786" s="19"/>
      <c r="D2786" s="19"/>
      <c r="E2786" s="32"/>
      <c r="F2786" s="19"/>
      <c r="G2786" s="26" t="str">
        <f aca="false">IF(A2786="","",COUNTIF(Pubs!$B$2:$B$3001,A2786))</f>
        <v/>
      </c>
      <c r="H2786" s="26" t="str">
        <f aca="false">IF(A2786="","",COUNTIF(Apparitions!$H$2:$H$5001,A2786))</f>
        <v/>
      </c>
      <c r="I2786" s="26" t="str">
        <f aca="false">IF(A2786="","",COUNTIFS(Apparitions!$H$2:$H$5001,A2786,Apparitions!$E$2:$E$5001,"○"))</f>
        <v/>
      </c>
      <c r="J2786" s="29" t="str">
        <f aca="false">IF(A2786="","",IFERROR(1/(1/_xlfn.MINIFS(Apparitions!$L$2:$L$5001,Apparitions!$H$2:$H$5001,A2786)),""))</f>
        <v/>
      </c>
    </row>
    <row r="2787" customFormat="false" ht="15" hidden="false" customHeight="false" outlineLevel="0" collapsed="false">
      <c r="A2787" s="19"/>
      <c r="B2787" s="19"/>
      <c r="C2787" s="19"/>
      <c r="D2787" s="19"/>
      <c r="E2787" s="32"/>
      <c r="F2787" s="19"/>
      <c r="G2787" s="26" t="str">
        <f aca="false">IF(A2787="","",COUNTIF(Pubs!$B$2:$B$3001,A2787))</f>
        <v/>
      </c>
      <c r="H2787" s="26" t="str">
        <f aca="false">IF(A2787="","",COUNTIF(Apparitions!$H$2:$H$5001,A2787))</f>
        <v/>
      </c>
      <c r="I2787" s="26" t="str">
        <f aca="false">IF(A2787="","",COUNTIFS(Apparitions!$H$2:$H$5001,A2787,Apparitions!$E$2:$E$5001,"○"))</f>
        <v/>
      </c>
      <c r="J2787" s="29" t="str">
        <f aca="false">IF(A2787="","",IFERROR(1/(1/_xlfn.MINIFS(Apparitions!$L$2:$L$5001,Apparitions!$H$2:$H$5001,A2787)),""))</f>
        <v/>
      </c>
    </row>
    <row r="2788" customFormat="false" ht="15" hidden="false" customHeight="false" outlineLevel="0" collapsed="false">
      <c r="A2788" s="19"/>
      <c r="B2788" s="19"/>
      <c r="C2788" s="19"/>
      <c r="D2788" s="19"/>
      <c r="E2788" s="32"/>
      <c r="F2788" s="19"/>
      <c r="G2788" s="26" t="str">
        <f aca="false">IF(A2788="","",COUNTIF(Pubs!$B$2:$B$3001,A2788))</f>
        <v/>
      </c>
      <c r="H2788" s="26" t="str">
        <f aca="false">IF(A2788="","",COUNTIF(Apparitions!$H$2:$H$5001,A2788))</f>
        <v/>
      </c>
      <c r="I2788" s="26" t="str">
        <f aca="false">IF(A2788="","",COUNTIFS(Apparitions!$H$2:$H$5001,A2788,Apparitions!$E$2:$E$5001,"○"))</f>
        <v/>
      </c>
      <c r="J2788" s="29" t="str">
        <f aca="false">IF(A2788="","",IFERROR(1/(1/_xlfn.MINIFS(Apparitions!$L$2:$L$5001,Apparitions!$H$2:$H$5001,A2788)),""))</f>
        <v/>
      </c>
    </row>
    <row r="2789" customFormat="false" ht="15" hidden="false" customHeight="false" outlineLevel="0" collapsed="false">
      <c r="A2789" s="19"/>
      <c r="B2789" s="19"/>
      <c r="C2789" s="19"/>
      <c r="D2789" s="19"/>
      <c r="E2789" s="32"/>
      <c r="F2789" s="19"/>
      <c r="G2789" s="26" t="str">
        <f aca="false">IF(A2789="","",COUNTIF(Pubs!$B$2:$B$3001,A2789))</f>
        <v/>
      </c>
      <c r="H2789" s="26" t="str">
        <f aca="false">IF(A2789="","",COUNTIF(Apparitions!$H$2:$H$5001,A2789))</f>
        <v/>
      </c>
      <c r="I2789" s="26" t="str">
        <f aca="false">IF(A2789="","",COUNTIFS(Apparitions!$H$2:$H$5001,A2789,Apparitions!$E$2:$E$5001,"○"))</f>
        <v/>
      </c>
      <c r="J2789" s="29" t="str">
        <f aca="false">IF(A2789="","",IFERROR(1/(1/_xlfn.MINIFS(Apparitions!$L$2:$L$5001,Apparitions!$H$2:$H$5001,A2789)),""))</f>
        <v/>
      </c>
    </row>
    <row r="2790" customFormat="false" ht="15" hidden="false" customHeight="false" outlineLevel="0" collapsed="false">
      <c r="A2790" s="19"/>
      <c r="B2790" s="19"/>
      <c r="C2790" s="19"/>
      <c r="D2790" s="19"/>
      <c r="E2790" s="32"/>
      <c r="F2790" s="19"/>
      <c r="G2790" s="26" t="str">
        <f aca="false">IF(A2790="","",COUNTIF(Pubs!$B$2:$B$3001,A2790))</f>
        <v/>
      </c>
      <c r="H2790" s="26" t="str">
        <f aca="false">IF(A2790="","",COUNTIF(Apparitions!$H$2:$H$5001,A2790))</f>
        <v/>
      </c>
      <c r="I2790" s="26" t="str">
        <f aca="false">IF(A2790="","",COUNTIFS(Apparitions!$H$2:$H$5001,A2790,Apparitions!$E$2:$E$5001,"○"))</f>
        <v/>
      </c>
      <c r="J2790" s="29" t="str">
        <f aca="false">IF(A2790="","",IFERROR(1/(1/_xlfn.MINIFS(Apparitions!$L$2:$L$5001,Apparitions!$H$2:$H$5001,A2790)),""))</f>
        <v/>
      </c>
    </row>
    <row r="2791" customFormat="false" ht="15" hidden="false" customHeight="false" outlineLevel="0" collapsed="false">
      <c r="A2791" s="19"/>
      <c r="B2791" s="19"/>
      <c r="C2791" s="19"/>
      <c r="D2791" s="19"/>
      <c r="E2791" s="32"/>
      <c r="F2791" s="19"/>
      <c r="G2791" s="26" t="str">
        <f aca="false">IF(A2791="","",COUNTIF(Pubs!$B$2:$B$3001,A2791))</f>
        <v/>
      </c>
      <c r="H2791" s="26" t="str">
        <f aca="false">IF(A2791="","",COUNTIF(Apparitions!$H$2:$H$5001,A2791))</f>
        <v/>
      </c>
      <c r="I2791" s="26" t="str">
        <f aca="false">IF(A2791="","",COUNTIFS(Apparitions!$H$2:$H$5001,A2791,Apparitions!$E$2:$E$5001,"○"))</f>
        <v/>
      </c>
      <c r="J2791" s="29" t="str">
        <f aca="false">IF(A2791="","",IFERROR(1/(1/_xlfn.MINIFS(Apparitions!$L$2:$L$5001,Apparitions!$H$2:$H$5001,A2791)),""))</f>
        <v/>
      </c>
    </row>
    <row r="2792" customFormat="false" ht="15" hidden="false" customHeight="false" outlineLevel="0" collapsed="false">
      <c r="A2792" s="19"/>
      <c r="B2792" s="19"/>
      <c r="C2792" s="19"/>
      <c r="D2792" s="19"/>
      <c r="E2792" s="32"/>
      <c r="F2792" s="19"/>
      <c r="G2792" s="26" t="str">
        <f aca="false">IF(A2792="","",COUNTIF(Pubs!$B$2:$B$3001,A2792))</f>
        <v/>
      </c>
      <c r="H2792" s="26" t="str">
        <f aca="false">IF(A2792="","",COUNTIF(Apparitions!$H$2:$H$5001,A2792))</f>
        <v/>
      </c>
      <c r="I2792" s="26" t="str">
        <f aca="false">IF(A2792="","",COUNTIFS(Apparitions!$H$2:$H$5001,A2792,Apparitions!$E$2:$E$5001,"○"))</f>
        <v/>
      </c>
      <c r="J2792" s="29" t="str">
        <f aca="false">IF(A2792="","",IFERROR(1/(1/_xlfn.MINIFS(Apparitions!$L$2:$L$5001,Apparitions!$H$2:$H$5001,A2792)),""))</f>
        <v/>
      </c>
    </row>
    <row r="2793" customFormat="false" ht="15" hidden="false" customHeight="false" outlineLevel="0" collapsed="false">
      <c r="A2793" s="19"/>
      <c r="B2793" s="19"/>
      <c r="C2793" s="19"/>
      <c r="D2793" s="19"/>
      <c r="E2793" s="32"/>
      <c r="F2793" s="19"/>
      <c r="G2793" s="26" t="str">
        <f aca="false">IF(A2793="","",COUNTIF(Pubs!$B$2:$B$3001,A2793))</f>
        <v/>
      </c>
      <c r="H2793" s="26" t="str">
        <f aca="false">IF(A2793="","",COUNTIF(Apparitions!$H$2:$H$5001,A2793))</f>
        <v/>
      </c>
      <c r="I2793" s="26" t="str">
        <f aca="false">IF(A2793="","",COUNTIFS(Apparitions!$H$2:$H$5001,A2793,Apparitions!$E$2:$E$5001,"○"))</f>
        <v/>
      </c>
      <c r="J2793" s="29" t="str">
        <f aca="false">IF(A2793="","",IFERROR(1/(1/_xlfn.MINIFS(Apparitions!$L$2:$L$5001,Apparitions!$H$2:$H$5001,A2793)),""))</f>
        <v/>
      </c>
    </row>
    <row r="2794" customFormat="false" ht="15" hidden="false" customHeight="false" outlineLevel="0" collapsed="false">
      <c r="A2794" s="19"/>
      <c r="B2794" s="19"/>
      <c r="C2794" s="19"/>
      <c r="D2794" s="19"/>
      <c r="E2794" s="32"/>
      <c r="F2794" s="19"/>
      <c r="G2794" s="26" t="str">
        <f aca="false">IF(A2794="","",COUNTIF(Pubs!$B$2:$B$3001,A2794))</f>
        <v/>
      </c>
      <c r="H2794" s="26" t="str">
        <f aca="false">IF(A2794="","",COUNTIF(Apparitions!$H$2:$H$5001,A2794))</f>
        <v/>
      </c>
      <c r="I2794" s="26" t="str">
        <f aca="false">IF(A2794="","",COUNTIFS(Apparitions!$H$2:$H$5001,A2794,Apparitions!$E$2:$E$5001,"○"))</f>
        <v/>
      </c>
      <c r="J2794" s="29" t="str">
        <f aca="false">IF(A2794="","",IFERROR(1/(1/_xlfn.MINIFS(Apparitions!$L$2:$L$5001,Apparitions!$H$2:$H$5001,A2794)),""))</f>
        <v/>
      </c>
    </row>
    <row r="2795" customFormat="false" ht="15" hidden="false" customHeight="false" outlineLevel="0" collapsed="false">
      <c r="A2795" s="19"/>
      <c r="B2795" s="19"/>
      <c r="C2795" s="19"/>
      <c r="D2795" s="19"/>
      <c r="E2795" s="32"/>
      <c r="F2795" s="19"/>
      <c r="G2795" s="26" t="str">
        <f aca="false">IF(A2795="","",COUNTIF(Pubs!$B$2:$B$3001,A2795))</f>
        <v/>
      </c>
      <c r="H2795" s="26" t="str">
        <f aca="false">IF(A2795="","",COUNTIF(Apparitions!$H$2:$H$5001,A2795))</f>
        <v/>
      </c>
      <c r="I2795" s="26" t="str">
        <f aca="false">IF(A2795="","",COUNTIFS(Apparitions!$H$2:$H$5001,A2795,Apparitions!$E$2:$E$5001,"○"))</f>
        <v/>
      </c>
      <c r="J2795" s="29" t="str">
        <f aca="false">IF(A2795="","",IFERROR(1/(1/_xlfn.MINIFS(Apparitions!$L$2:$L$5001,Apparitions!$H$2:$H$5001,A2795)),""))</f>
        <v/>
      </c>
    </row>
    <row r="2796" customFormat="false" ht="15" hidden="false" customHeight="false" outlineLevel="0" collapsed="false">
      <c r="A2796" s="19"/>
      <c r="B2796" s="19"/>
      <c r="C2796" s="19"/>
      <c r="D2796" s="19"/>
      <c r="E2796" s="32"/>
      <c r="F2796" s="19"/>
      <c r="G2796" s="26" t="str">
        <f aca="false">IF(A2796="","",COUNTIF(Pubs!$B$2:$B$3001,A2796))</f>
        <v/>
      </c>
      <c r="H2796" s="26" t="str">
        <f aca="false">IF(A2796="","",COUNTIF(Apparitions!$H$2:$H$5001,A2796))</f>
        <v/>
      </c>
      <c r="I2796" s="26" t="str">
        <f aca="false">IF(A2796="","",COUNTIFS(Apparitions!$H$2:$H$5001,A2796,Apparitions!$E$2:$E$5001,"○"))</f>
        <v/>
      </c>
      <c r="J2796" s="29" t="str">
        <f aca="false">IF(A2796="","",IFERROR(1/(1/_xlfn.MINIFS(Apparitions!$L$2:$L$5001,Apparitions!$H$2:$H$5001,A2796)),""))</f>
        <v/>
      </c>
    </row>
    <row r="2797" customFormat="false" ht="15" hidden="false" customHeight="false" outlineLevel="0" collapsed="false">
      <c r="A2797" s="19"/>
      <c r="B2797" s="19"/>
      <c r="C2797" s="19"/>
      <c r="D2797" s="19"/>
      <c r="E2797" s="32"/>
      <c r="F2797" s="19"/>
      <c r="G2797" s="26" t="str">
        <f aca="false">IF(A2797="","",COUNTIF(Pubs!$B$2:$B$3001,A2797))</f>
        <v/>
      </c>
      <c r="H2797" s="26" t="str">
        <f aca="false">IF(A2797="","",COUNTIF(Apparitions!$H$2:$H$5001,A2797))</f>
        <v/>
      </c>
      <c r="I2797" s="26" t="str">
        <f aca="false">IF(A2797="","",COUNTIFS(Apparitions!$H$2:$H$5001,A2797,Apparitions!$E$2:$E$5001,"○"))</f>
        <v/>
      </c>
      <c r="J2797" s="29" t="str">
        <f aca="false">IF(A2797="","",IFERROR(1/(1/_xlfn.MINIFS(Apparitions!$L$2:$L$5001,Apparitions!$H$2:$H$5001,A2797)),""))</f>
        <v/>
      </c>
    </row>
    <row r="2798" customFormat="false" ht="15" hidden="false" customHeight="false" outlineLevel="0" collapsed="false">
      <c r="A2798" s="19"/>
      <c r="B2798" s="19"/>
      <c r="C2798" s="19"/>
      <c r="D2798" s="19"/>
      <c r="E2798" s="32"/>
      <c r="F2798" s="19"/>
      <c r="G2798" s="26" t="str">
        <f aca="false">IF(A2798="","",COUNTIF(Pubs!$B$2:$B$3001,A2798))</f>
        <v/>
      </c>
      <c r="H2798" s="26" t="str">
        <f aca="false">IF(A2798="","",COUNTIF(Apparitions!$H$2:$H$5001,A2798))</f>
        <v/>
      </c>
      <c r="I2798" s="26" t="str">
        <f aca="false">IF(A2798="","",COUNTIFS(Apparitions!$H$2:$H$5001,A2798,Apparitions!$E$2:$E$5001,"○"))</f>
        <v/>
      </c>
      <c r="J2798" s="29" t="str">
        <f aca="false">IF(A2798="","",IFERROR(1/(1/_xlfn.MINIFS(Apparitions!$L$2:$L$5001,Apparitions!$H$2:$H$5001,A2798)),""))</f>
        <v/>
      </c>
    </row>
    <row r="2799" customFormat="false" ht="15" hidden="false" customHeight="false" outlineLevel="0" collapsed="false">
      <c r="A2799" s="19"/>
      <c r="B2799" s="19"/>
      <c r="C2799" s="19"/>
      <c r="D2799" s="19"/>
      <c r="E2799" s="32"/>
      <c r="F2799" s="19"/>
      <c r="G2799" s="26" t="str">
        <f aca="false">IF(A2799="","",COUNTIF(Pubs!$B$2:$B$3001,A2799))</f>
        <v/>
      </c>
      <c r="H2799" s="26" t="str">
        <f aca="false">IF(A2799="","",COUNTIF(Apparitions!$H$2:$H$5001,A2799))</f>
        <v/>
      </c>
      <c r="I2799" s="26" t="str">
        <f aca="false">IF(A2799="","",COUNTIFS(Apparitions!$H$2:$H$5001,A2799,Apparitions!$E$2:$E$5001,"○"))</f>
        <v/>
      </c>
      <c r="J2799" s="29" t="str">
        <f aca="false">IF(A2799="","",IFERROR(1/(1/_xlfn.MINIFS(Apparitions!$L$2:$L$5001,Apparitions!$H$2:$H$5001,A2799)),""))</f>
        <v/>
      </c>
    </row>
    <row r="2800" customFormat="false" ht="15" hidden="false" customHeight="false" outlineLevel="0" collapsed="false">
      <c r="A2800" s="19"/>
      <c r="B2800" s="19"/>
      <c r="C2800" s="19"/>
      <c r="D2800" s="19"/>
      <c r="E2800" s="32"/>
      <c r="F2800" s="19"/>
      <c r="G2800" s="26" t="str">
        <f aca="false">IF(A2800="","",COUNTIF(Pubs!$B$2:$B$3001,A2800))</f>
        <v/>
      </c>
      <c r="H2800" s="26" t="str">
        <f aca="false">IF(A2800="","",COUNTIF(Apparitions!$H$2:$H$5001,A2800))</f>
        <v/>
      </c>
      <c r="I2800" s="26" t="str">
        <f aca="false">IF(A2800="","",COUNTIFS(Apparitions!$H$2:$H$5001,A2800,Apparitions!$E$2:$E$5001,"○"))</f>
        <v/>
      </c>
      <c r="J2800" s="29" t="str">
        <f aca="false">IF(A2800="","",IFERROR(1/(1/_xlfn.MINIFS(Apparitions!$L$2:$L$5001,Apparitions!$H$2:$H$5001,A2800)),""))</f>
        <v/>
      </c>
    </row>
    <row r="2801" customFormat="false" ht="15" hidden="false" customHeight="false" outlineLevel="0" collapsed="false">
      <c r="A2801" s="19"/>
      <c r="B2801" s="19"/>
      <c r="C2801" s="19"/>
      <c r="D2801" s="19"/>
      <c r="E2801" s="32"/>
      <c r="F2801" s="19"/>
      <c r="G2801" s="26" t="str">
        <f aca="false">IF(A2801="","",COUNTIF(Pubs!$B$2:$B$3001,A2801))</f>
        <v/>
      </c>
      <c r="H2801" s="26" t="str">
        <f aca="false">IF(A2801="","",COUNTIF(Apparitions!$H$2:$H$5001,A2801))</f>
        <v/>
      </c>
      <c r="I2801" s="26" t="str">
        <f aca="false">IF(A2801="","",COUNTIFS(Apparitions!$H$2:$H$5001,A2801,Apparitions!$E$2:$E$5001,"○"))</f>
        <v/>
      </c>
      <c r="J2801" s="29" t="str">
        <f aca="false">IF(A2801="","",IFERROR(1/(1/_xlfn.MINIFS(Apparitions!$L$2:$L$5001,Apparitions!$H$2:$H$5001,A2801)),""))</f>
        <v/>
      </c>
    </row>
    <row r="2802" customFormat="false" ht="15" hidden="false" customHeight="false" outlineLevel="0" collapsed="false">
      <c r="A2802" s="19"/>
      <c r="B2802" s="19"/>
      <c r="C2802" s="19"/>
      <c r="D2802" s="19"/>
      <c r="E2802" s="32"/>
      <c r="F2802" s="19"/>
      <c r="G2802" s="26" t="str">
        <f aca="false">IF(A2802="","",COUNTIF(Pubs!$B$2:$B$3001,A2802))</f>
        <v/>
      </c>
      <c r="H2802" s="26" t="str">
        <f aca="false">IF(A2802="","",COUNTIF(Apparitions!$H$2:$H$5001,A2802))</f>
        <v/>
      </c>
      <c r="I2802" s="26" t="str">
        <f aca="false">IF(A2802="","",COUNTIFS(Apparitions!$H$2:$H$5001,A2802,Apparitions!$E$2:$E$5001,"○"))</f>
        <v/>
      </c>
      <c r="J2802" s="29" t="str">
        <f aca="false">IF(A2802="","",IFERROR(1/(1/_xlfn.MINIFS(Apparitions!$L$2:$L$5001,Apparitions!$H$2:$H$5001,A2802)),""))</f>
        <v/>
      </c>
    </row>
    <row r="2803" customFormat="false" ht="15" hidden="false" customHeight="false" outlineLevel="0" collapsed="false">
      <c r="A2803" s="19"/>
      <c r="B2803" s="19"/>
      <c r="C2803" s="19"/>
      <c r="D2803" s="19"/>
      <c r="E2803" s="32"/>
      <c r="F2803" s="19"/>
      <c r="G2803" s="26" t="str">
        <f aca="false">IF(A2803="","",COUNTIF(Pubs!$B$2:$B$3001,A2803))</f>
        <v/>
      </c>
      <c r="H2803" s="26" t="str">
        <f aca="false">IF(A2803="","",COUNTIF(Apparitions!$H$2:$H$5001,A2803))</f>
        <v/>
      </c>
      <c r="I2803" s="26" t="str">
        <f aca="false">IF(A2803="","",COUNTIFS(Apparitions!$H$2:$H$5001,A2803,Apparitions!$E$2:$E$5001,"○"))</f>
        <v/>
      </c>
      <c r="J2803" s="29" t="str">
        <f aca="false">IF(A2803="","",IFERROR(1/(1/_xlfn.MINIFS(Apparitions!$L$2:$L$5001,Apparitions!$H$2:$H$5001,A2803)),""))</f>
        <v/>
      </c>
    </row>
    <row r="2804" customFormat="false" ht="15" hidden="false" customHeight="false" outlineLevel="0" collapsed="false">
      <c r="A2804" s="19"/>
      <c r="B2804" s="19"/>
      <c r="C2804" s="19"/>
      <c r="D2804" s="19"/>
      <c r="E2804" s="32"/>
      <c r="F2804" s="19"/>
      <c r="G2804" s="26" t="str">
        <f aca="false">IF(A2804="","",COUNTIF(Pubs!$B$2:$B$3001,A2804))</f>
        <v/>
      </c>
      <c r="H2804" s="26" t="str">
        <f aca="false">IF(A2804="","",COUNTIF(Apparitions!$H$2:$H$5001,A2804))</f>
        <v/>
      </c>
      <c r="I2804" s="26" t="str">
        <f aca="false">IF(A2804="","",COUNTIFS(Apparitions!$H$2:$H$5001,A2804,Apparitions!$E$2:$E$5001,"○"))</f>
        <v/>
      </c>
      <c r="J2804" s="29" t="str">
        <f aca="false">IF(A2804="","",IFERROR(1/(1/_xlfn.MINIFS(Apparitions!$L$2:$L$5001,Apparitions!$H$2:$H$5001,A2804)),""))</f>
        <v/>
      </c>
    </row>
    <row r="2805" customFormat="false" ht="15" hidden="false" customHeight="false" outlineLevel="0" collapsed="false">
      <c r="A2805" s="19"/>
      <c r="B2805" s="19"/>
      <c r="C2805" s="19"/>
      <c r="D2805" s="19"/>
      <c r="E2805" s="32"/>
      <c r="F2805" s="19"/>
      <c r="G2805" s="26" t="str">
        <f aca="false">IF(A2805="","",COUNTIF(Pubs!$B$2:$B$3001,A2805))</f>
        <v/>
      </c>
      <c r="H2805" s="26" t="str">
        <f aca="false">IF(A2805="","",COUNTIF(Apparitions!$H$2:$H$5001,A2805))</f>
        <v/>
      </c>
      <c r="I2805" s="26" t="str">
        <f aca="false">IF(A2805="","",COUNTIFS(Apparitions!$H$2:$H$5001,A2805,Apparitions!$E$2:$E$5001,"○"))</f>
        <v/>
      </c>
      <c r="J2805" s="29" t="str">
        <f aca="false">IF(A2805="","",IFERROR(1/(1/_xlfn.MINIFS(Apparitions!$L$2:$L$5001,Apparitions!$H$2:$H$5001,A2805)),""))</f>
        <v/>
      </c>
    </row>
    <row r="2806" customFormat="false" ht="15" hidden="false" customHeight="false" outlineLevel="0" collapsed="false">
      <c r="A2806" s="19"/>
      <c r="B2806" s="19"/>
      <c r="C2806" s="19"/>
      <c r="D2806" s="19"/>
      <c r="E2806" s="32"/>
      <c r="F2806" s="19"/>
      <c r="G2806" s="26" t="str">
        <f aca="false">IF(A2806="","",COUNTIF(Pubs!$B$2:$B$3001,A2806))</f>
        <v/>
      </c>
      <c r="H2806" s="26" t="str">
        <f aca="false">IF(A2806="","",COUNTIF(Apparitions!$H$2:$H$5001,A2806))</f>
        <v/>
      </c>
      <c r="I2806" s="26" t="str">
        <f aca="false">IF(A2806="","",COUNTIFS(Apparitions!$H$2:$H$5001,A2806,Apparitions!$E$2:$E$5001,"○"))</f>
        <v/>
      </c>
      <c r="J2806" s="29" t="str">
        <f aca="false">IF(A2806="","",IFERROR(1/(1/_xlfn.MINIFS(Apparitions!$L$2:$L$5001,Apparitions!$H$2:$H$5001,A2806)),""))</f>
        <v/>
      </c>
    </row>
    <row r="2807" customFormat="false" ht="15" hidden="false" customHeight="false" outlineLevel="0" collapsed="false">
      <c r="A2807" s="19"/>
      <c r="B2807" s="19"/>
      <c r="C2807" s="19"/>
      <c r="D2807" s="19"/>
      <c r="E2807" s="32"/>
      <c r="F2807" s="19"/>
      <c r="G2807" s="26" t="str">
        <f aca="false">IF(A2807="","",COUNTIF(Pubs!$B$2:$B$3001,A2807))</f>
        <v/>
      </c>
      <c r="H2807" s="26" t="str">
        <f aca="false">IF(A2807="","",COUNTIF(Apparitions!$H$2:$H$5001,A2807))</f>
        <v/>
      </c>
      <c r="I2807" s="26" t="str">
        <f aca="false">IF(A2807="","",COUNTIFS(Apparitions!$H$2:$H$5001,A2807,Apparitions!$E$2:$E$5001,"○"))</f>
        <v/>
      </c>
      <c r="J2807" s="29" t="str">
        <f aca="false">IF(A2807="","",IFERROR(1/(1/_xlfn.MINIFS(Apparitions!$L$2:$L$5001,Apparitions!$H$2:$H$5001,A2807)),""))</f>
        <v/>
      </c>
    </row>
    <row r="2808" customFormat="false" ht="15" hidden="false" customHeight="false" outlineLevel="0" collapsed="false">
      <c r="A2808" s="19"/>
      <c r="B2808" s="19"/>
      <c r="C2808" s="19"/>
      <c r="D2808" s="19"/>
      <c r="E2808" s="32"/>
      <c r="F2808" s="19"/>
      <c r="G2808" s="26" t="str">
        <f aca="false">IF(A2808="","",COUNTIF(Pubs!$B$2:$B$3001,A2808))</f>
        <v/>
      </c>
      <c r="H2808" s="26" t="str">
        <f aca="false">IF(A2808="","",COUNTIF(Apparitions!$H$2:$H$5001,A2808))</f>
        <v/>
      </c>
      <c r="I2808" s="26" t="str">
        <f aca="false">IF(A2808="","",COUNTIFS(Apparitions!$H$2:$H$5001,A2808,Apparitions!$E$2:$E$5001,"○"))</f>
        <v/>
      </c>
      <c r="J2808" s="29" t="str">
        <f aca="false">IF(A2808="","",IFERROR(1/(1/_xlfn.MINIFS(Apparitions!$L$2:$L$5001,Apparitions!$H$2:$H$5001,A2808)),""))</f>
        <v/>
      </c>
    </row>
    <row r="2809" customFormat="false" ht="15" hidden="false" customHeight="false" outlineLevel="0" collapsed="false">
      <c r="A2809" s="19"/>
      <c r="B2809" s="19"/>
      <c r="C2809" s="19"/>
      <c r="D2809" s="19"/>
      <c r="E2809" s="32"/>
      <c r="F2809" s="19"/>
      <c r="G2809" s="26" t="str">
        <f aca="false">IF(A2809="","",COUNTIF(Pubs!$B$2:$B$3001,A2809))</f>
        <v/>
      </c>
      <c r="H2809" s="26" t="str">
        <f aca="false">IF(A2809="","",COUNTIF(Apparitions!$H$2:$H$5001,A2809))</f>
        <v/>
      </c>
      <c r="I2809" s="26" t="str">
        <f aca="false">IF(A2809="","",COUNTIFS(Apparitions!$H$2:$H$5001,A2809,Apparitions!$E$2:$E$5001,"○"))</f>
        <v/>
      </c>
      <c r="J2809" s="29" t="str">
        <f aca="false">IF(A2809="","",IFERROR(1/(1/_xlfn.MINIFS(Apparitions!$L$2:$L$5001,Apparitions!$H$2:$H$5001,A2809)),""))</f>
        <v/>
      </c>
    </row>
    <row r="2810" customFormat="false" ht="15" hidden="false" customHeight="false" outlineLevel="0" collapsed="false">
      <c r="A2810" s="19"/>
      <c r="B2810" s="19"/>
      <c r="C2810" s="19"/>
      <c r="D2810" s="19"/>
      <c r="E2810" s="32"/>
      <c r="F2810" s="19"/>
      <c r="G2810" s="26" t="str">
        <f aca="false">IF(A2810="","",COUNTIF(Pubs!$B$2:$B$3001,A2810))</f>
        <v/>
      </c>
      <c r="H2810" s="26" t="str">
        <f aca="false">IF(A2810="","",COUNTIF(Apparitions!$H$2:$H$5001,A2810))</f>
        <v/>
      </c>
      <c r="I2810" s="26" t="str">
        <f aca="false">IF(A2810="","",COUNTIFS(Apparitions!$H$2:$H$5001,A2810,Apparitions!$E$2:$E$5001,"○"))</f>
        <v/>
      </c>
      <c r="J2810" s="29" t="str">
        <f aca="false">IF(A2810="","",IFERROR(1/(1/_xlfn.MINIFS(Apparitions!$L$2:$L$5001,Apparitions!$H$2:$H$5001,A2810)),""))</f>
        <v/>
      </c>
    </row>
    <row r="2811" customFormat="false" ht="15" hidden="false" customHeight="false" outlineLevel="0" collapsed="false">
      <c r="A2811" s="19"/>
      <c r="B2811" s="19"/>
      <c r="C2811" s="19"/>
      <c r="D2811" s="19"/>
      <c r="E2811" s="32"/>
      <c r="F2811" s="19"/>
      <c r="G2811" s="26" t="str">
        <f aca="false">IF(A2811="","",COUNTIF(Pubs!$B$2:$B$3001,A2811))</f>
        <v/>
      </c>
      <c r="H2811" s="26" t="str">
        <f aca="false">IF(A2811="","",COUNTIF(Apparitions!$H$2:$H$5001,A2811))</f>
        <v/>
      </c>
      <c r="I2811" s="26" t="str">
        <f aca="false">IF(A2811="","",COUNTIFS(Apparitions!$H$2:$H$5001,A2811,Apparitions!$E$2:$E$5001,"○"))</f>
        <v/>
      </c>
      <c r="J2811" s="29" t="str">
        <f aca="false">IF(A2811="","",IFERROR(1/(1/_xlfn.MINIFS(Apparitions!$L$2:$L$5001,Apparitions!$H$2:$H$5001,A2811)),""))</f>
        <v/>
      </c>
    </row>
    <row r="2812" customFormat="false" ht="15" hidden="false" customHeight="false" outlineLevel="0" collapsed="false">
      <c r="A2812" s="19"/>
      <c r="B2812" s="19"/>
      <c r="C2812" s="19"/>
      <c r="D2812" s="19"/>
      <c r="E2812" s="32"/>
      <c r="F2812" s="19"/>
      <c r="G2812" s="26" t="str">
        <f aca="false">IF(A2812="","",COUNTIF(Pubs!$B$2:$B$3001,A2812))</f>
        <v/>
      </c>
      <c r="H2812" s="26" t="str">
        <f aca="false">IF(A2812="","",COUNTIF(Apparitions!$H$2:$H$5001,A2812))</f>
        <v/>
      </c>
      <c r="I2812" s="26" t="str">
        <f aca="false">IF(A2812="","",COUNTIFS(Apparitions!$H$2:$H$5001,A2812,Apparitions!$E$2:$E$5001,"○"))</f>
        <v/>
      </c>
      <c r="J2812" s="29" t="str">
        <f aca="false">IF(A2812="","",IFERROR(1/(1/_xlfn.MINIFS(Apparitions!$L$2:$L$5001,Apparitions!$H$2:$H$5001,A2812)),""))</f>
        <v/>
      </c>
    </row>
    <row r="2813" customFormat="false" ht="15" hidden="false" customHeight="false" outlineLevel="0" collapsed="false">
      <c r="A2813" s="19"/>
      <c r="B2813" s="19"/>
      <c r="C2813" s="19"/>
      <c r="D2813" s="19"/>
      <c r="E2813" s="32"/>
      <c r="F2813" s="19"/>
      <c r="G2813" s="26" t="str">
        <f aca="false">IF(A2813="","",COUNTIF(Pubs!$B$2:$B$3001,A2813))</f>
        <v/>
      </c>
      <c r="H2813" s="26" t="str">
        <f aca="false">IF(A2813="","",COUNTIF(Apparitions!$H$2:$H$5001,A2813))</f>
        <v/>
      </c>
      <c r="I2813" s="26" t="str">
        <f aca="false">IF(A2813="","",COUNTIFS(Apparitions!$H$2:$H$5001,A2813,Apparitions!$E$2:$E$5001,"○"))</f>
        <v/>
      </c>
      <c r="J2813" s="29" t="str">
        <f aca="false">IF(A2813="","",IFERROR(1/(1/_xlfn.MINIFS(Apparitions!$L$2:$L$5001,Apparitions!$H$2:$H$5001,A2813)),""))</f>
        <v/>
      </c>
    </row>
    <row r="2814" customFormat="false" ht="15" hidden="false" customHeight="false" outlineLevel="0" collapsed="false">
      <c r="A2814" s="19"/>
      <c r="B2814" s="19"/>
      <c r="C2814" s="19"/>
      <c r="D2814" s="19"/>
      <c r="E2814" s="32"/>
      <c r="F2814" s="19"/>
      <c r="G2814" s="26" t="str">
        <f aca="false">IF(A2814="","",COUNTIF(Pubs!$B$2:$B$3001,A2814))</f>
        <v/>
      </c>
      <c r="H2814" s="26" t="str">
        <f aca="false">IF(A2814="","",COUNTIF(Apparitions!$H$2:$H$5001,A2814))</f>
        <v/>
      </c>
      <c r="I2814" s="26" t="str">
        <f aca="false">IF(A2814="","",COUNTIFS(Apparitions!$H$2:$H$5001,A2814,Apparitions!$E$2:$E$5001,"○"))</f>
        <v/>
      </c>
      <c r="J2814" s="29" t="str">
        <f aca="false">IF(A2814="","",IFERROR(1/(1/_xlfn.MINIFS(Apparitions!$L$2:$L$5001,Apparitions!$H$2:$H$5001,A2814)),""))</f>
        <v/>
      </c>
    </row>
    <row r="2815" customFormat="false" ht="15" hidden="false" customHeight="false" outlineLevel="0" collapsed="false">
      <c r="A2815" s="19"/>
      <c r="B2815" s="19"/>
      <c r="C2815" s="19"/>
      <c r="D2815" s="19"/>
      <c r="E2815" s="32"/>
      <c r="F2815" s="19"/>
      <c r="G2815" s="26" t="str">
        <f aca="false">IF(A2815="","",COUNTIF(Pubs!$B$2:$B$3001,A2815))</f>
        <v/>
      </c>
      <c r="H2815" s="26" t="str">
        <f aca="false">IF(A2815="","",COUNTIF(Apparitions!$H$2:$H$5001,A2815))</f>
        <v/>
      </c>
      <c r="I2815" s="26" t="str">
        <f aca="false">IF(A2815="","",COUNTIFS(Apparitions!$H$2:$H$5001,A2815,Apparitions!$E$2:$E$5001,"○"))</f>
        <v/>
      </c>
      <c r="J2815" s="29" t="str">
        <f aca="false">IF(A2815="","",IFERROR(1/(1/_xlfn.MINIFS(Apparitions!$L$2:$L$5001,Apparitions!$H$2:$H$5001,A2815)),""))</f>
        <v/>
      </c>
    </row>
    <row r="2816" customFormat="false" ht="15" hidden="false" customHeight="false" outlineLevel="0" collapsed="false">
      <c r="A2816" s="19"/>
      <c r="B2816" s="19"/>
      <c r="C2816" s="19"/>
      <c r="D2816" s="19"/>
      <c r="E2816" s="32"/>
      <c r="F2816" s="19"/>
      <c r="G2816" s="26" t="str">
        <f aca="false">IF(A2816="","",COUNTIF(Pubs!$B$2:$B$3001,A2816))</f>
        <v/>
      </c>
      <c r="H2816" s="26" t="str">
        <f aca="false">IF(A2816="","",COUNTIF(Apparitions!$H$2:$H$5001,A2816))</f>
        <v/>
      </c>
      <c r="I2816" s="26" t="str">
        <f aca="false">IF(A2816="","",COUNTIFS(Apparitions!$H$2:$H$5001,A2816,Apparitions!$E$2:$E$5001,"○"))</f>
        <v/>
      </c>
      <c r="J2816" s="29" t="str">
        <f aca="false">IF(A2816="","",IFERROR(1/(1/_xlfn.MINIFS(Apparitions!$L$2:$L$5001,Apparitions!$H$2:$H$5001,A2816)),""))</f>
        <v/>
      </c>
    </row>
    <row r="2817" customFormat="false" ht="15" hidden="false" customHeight="false" outlineLevel="0" collapsed="false">
      <c r="A2817" s="19"/>
      <c r="B2817" s="19"/>
      <c r="C2817" s="19"/>
      <c r="D2817" s="19"/>
      <c r="E2817" s="32"/>
      <c r="F2817" s="19"/>
      <c r="G2817" s="26" t="str">
        <f aca="false">IF(A2817="","",COUNTIF(Pubs!$B$2:$B$3001,A2817))</f>
        <v/>
      </c>
      <c r="H2817" s="26" t="str">
        <f aca="false">IF(A2817="","",COUNTIF(Apparitions!$H$2:$H$5001,A2817))</f>
        <v/>
      </c>
      <c r="I2817" s="26" t="str">
        <f aca="false">IF(A2817="","",COUNTIFS(Apparitions!$H$2:$H$5001,A2817,Apparitions!$E$2:$E$5001,"○"))</f>
        <v/>
      </c>
      <c r="J2817" s="29" t="str">
        <f aca="false">IF(A2817="","",IFERROR(1/(1/_xlfn.MINIFS(Apparitions!$L$2:$L$5001,Apparitions!$H$2:$H$5001,A2817)),""))</f>
        <v/>
      </c>
    </row>
    <row r="2818" customFormat="false" ht="15" hidden="false" customHeight="false" outlineLevel="0" collapsed="false">
      <c r="A2818" s="19"/>
      <c r="B2818" s="19"/>
      <c r="C2818" s="19"/>
      <c r="D2818" s="19"/>
      <c r="E2818" s="32"/>
      <c r="F2818" s="19"/>
      <c r="G2818" s="26" t="str">
        <f aca="false">IF(A2818="","",COUNTIF(Pubs!$B$2:$B$3001,A2818))</f>
        <v/>
      </c>
      <c r="H2818" s="26" t="str">
        <f aca="false">IF(A2818="","",COUNTIF(Apparitions!$H$2:$H$5001,A2818))</f>
        <v/>
      </c>
      <c r="I2818" s="26" t="str">
        <f aca="false">IF(A2818="","",COUNTIFS(Apparitions!$H$2:$H$5001,A2818,Apparitions!$E$2:$E$5001,"○"))</f>
        <v/>
      </c>
      <c r="J2818" s="29" t="str">
        <f aca="false">IF(A2818="","",IFERROR(1/(1/_xlfn.MINIFS(Apparitions!$L$2:$L$5001,Apparitions!$H$2:$H$5001,A2818)),""))</f>
        <v/>
      </c>
    </row>
    <row r="2819" customFormat="false" ht="15" hidden="false" customHeight="false" outlineLevel="0" collapsed="false">
      <c r="A2819" s="19"/>
      <c r="B2819" s="19"/>
      <c r="C2819" s="19"/>
      <c r="D2819" s="19"/>
      <c r="E2819" s="32"/>
      <c r="F2819" s="19"/>
      <c r="G2819" s="26" t="str">
        <f aca="false">IF(A2819="","",COUNTIF(Pubs!$B$2:$B$3001,A2819))</f>
        <v/>
      </c>
      <c r="H2819" s="26" t="str">
        <f aca="false">IF(A2819="","",COUNTIF(Apparitions!$H$2:$H$5001,A2819))</f>
        <v/>
      </c>
      <c r="I2819" s="26" t="str">
        <f aca="false">IF(A2819="","",COUNTIFS(Apparitions!$H$2:$H$5001,A2819,Apparitions!$E$2:$E$5001,"○"))</f>
        <v/>
      </c>
      <c r="J2819" s="29" t="str">
        <f aca="false">IF(A2819="","",IFERROR(1/(1/_xlfn.MINIFS(Apparitions!$L$2:$L$5001,Apparitions!$H$2:$H$5001,A2819)),""))</f>
        <v/>
      </c>
    </row>
    <row r="2820" customFormat="false" ht="15" hidden="false" customHeight="false" outlineLevel="0" collapsed="false">
      <c r="A2820" s="19"/>
      <c r="B2820" s="19"/>
      <c r="C2820" s="19"/>
      <c r="D2820" s="19"/>
      <c r="E2820" s="32"/>
      <c r="F2820" s="19"/>
      <c r="G2820" s="26" t="str">
        <f aca="false">IF(A2820="","",COUNTIF(Pubs!$B$2:$B$3001,A2820))</f>
        <v/>
      </c>
      <c r="H2820" s="26" t="str">
        <f aca="false">IF(A2820="","",COUNTIF(Apparitions!$H$2:$H$5001,A2820))</f>
        <v/>
      </c>
      <c r="I2820" s="26" t="str">
        <f aca="false">IF(A2820="","",COUNTIFS(Apparitions!$H$2:$H$5001,A2820,Apparitions!$E$2:$E$5001,"○"))</f>
        <v/>
      </c>
      <c r="J2820" s="29" t="str">
        <f aca="false">IF(A2820="","",IFERROR(1/(1/_xlfn.MINIFS(Apparitions!$L$2:$L$5001,Apparitions!$H$2:$H$5001,A2820)),""))</f>
        <v/>
      </c>
    </row>
    <row r="2821" customFormat="false" ht="15" hidden="false" customHeight="false" outlineLevel="0" collapsed="false">
      <c r="A2821" s="19"/>
      <c r="B2821" s="19"/>
      <c r="C2821" s="19"/>
      <c r="D2821" s="19"/>
      <c r="E2821" s="32"/>
      <c r="F2821" s="19"/>
      <c r="G2821" s="26" t="str">
        <f aca="false">IF(A2821="","",COUNTIF(Pubs!$B$2:$B$3001,A2821))</f>
        <v/>
      </c>
      <c r="H2821" s="26" t="str">
        <f aca="false">IF(A2821="","",COUNTIF(Apparitions!$H$2:$H$5001,A2821))</f>
        <v/>
      </c>
      <c r="I2821" s="26" t="str">
        <f aca="false">IF(A2821="","",COUNTIFS(Apparitions!$H$2:$H$5001,A2821,Apparitions!$E$2:$E$5001,"○"))</f>
        <v/>
      </c>
      <c r="J2821" s="29" t="str">
        <f aca="false">IF(A2821="","",IFERROR(1/(1/_xlfn.MINIFS(Apparitions!$L$2:$L$5001,Apparitions!$H$2:$H$5001,A2821)),""))</f>
        <v/>
      </c>
    </row>
    <row r="2822" customFormat="false" ht="15" hidden="false" customHeight="false" outlineLevel="0" collapsed="false">
      <c r="A2822" s="19"/>
      <c r="B2822" s="19"/>
      <c r="C2822" s="19"/>
      <c r="D2822" s="19"/>
      <c r="E2822" s="32"/>
      <c r="F2822" s="19"/>
      <c r="G2822" s="26" t="str">
        <f aca="false">IF(A2822="","",COUNTIF(Pubs!$B$2:$B$3001,A2822))</f>
        <v/>
      </c>
      <c r="H2822" s="26" t="str">
        <f aca="false">IF(A2822="","",COUNTIF(Apparitions!$H$2:$H$5001,A2822))</f>
        <v/>
      </c>
      <c r="I2822" s="26" t="str">
        <f aca="false">IF(A2822="","",COUNTIFS(Apparitions!$H$2:$H$5001,A2822,Apparitions!$E$2:$E$5001,"○"))</f>
        <v/>
      </c>
      <c r="J2822" s="29" t="str">
        <f aca="false">IF(A2822="","",IFERROR(1/(1/_xlfn.MINIFS(Apparitions!$L$2:$L$5001,Apparitions!$H$2:$H$5001,A2822)),""))</f>
        <v/>
      </c>
    </row>
    <row r="2823" customFormat="false" ht="15" hidden="false" customHeight="false" outlineLevel="0" collapsed="false">
      <c r="A2823" s="19"/>
      <c r="B2823" s="19"/>
      <c r="C2823" s="19"/>
      <c r="D2823" s="19"/>
      <c r="E2823" s="32"/>
      <c r="F2823" s="19"/>
      <c r="G2823" s="26" t="str">
        <f aca="false">IF(A2823="","",COUNTIF(Pubs!$B$2:$B$3001,A2823))</f>
        <v/>
      </c>
      <c r="H2823" s="26" t="str">
        <f aca="false">IF(A2823="","",COUNTIF(Apparitions!$H$2:$H$5001,A2823))</f>
        <v/>
      </c>
      <c r="I2823" s="26" t="str">
        <f aca="false">IF(A2823="","",COUNTIFS(Apparitions!$H$2:$H$5001,A2823,Apparitions!$E$2:$E$5001,"○"))</f>
        <v/>
      </c>
      <c r="J2823" s="29" t="str">
        <f aca="false">IF(A2823="","",IFERROR(1/(1/_xlfn.MINIFS(Apparitions!$L$2:$L$5001,Apparitions!$H$2:$H$5001,A2823)),""))</f>
        <v/>
      </c>
    </row>
    <row r="2824" customFormat="false" ht="15" hidden="false" customHeight="false" outlineLevel="0" collapsed="false">
      <c r="A2824" s="19"/>
      <c r="B2824" s="19"/>
      <c r="C2824" s="19"/>
      <c r="D2824" s="19"/>
      <c r="E2824" s="32"/>
      <c r="F2824" s="19"/>
      <c r="G2824" s="26" t="str">
        <f aca="false">IF(A2824="","",COUNTIF(Pubs!$B$2:$B$3001,A2824))</f>
        <v/>
      </c>
      <c r="H2824" s="26" t="str">
        <f aca="false">IF(A2824="","",COUNTIF(Apparitions!$H$2:$H$5001,A2824))</f>
        <v/>
      </c>
      <c r="I2824" s="26" t="str">
        <f aca="false">IF(A2824="","",COUNTIFS(Apparitions!$H$2:$H$5001,A2824,Apparitions!$E$2:$E$5001,"○"))</f>
        <v/>
      </c>
      <c r="J2824" s="29" t="str">
        <f aca="false">IF(A2824="","",IFERROR(1/(1/_xlfn.MINIFS(Apparitions!$L$2:$L$5001,Apparitions!$H$2:$H$5001,A2824)),""))</f>
        <v/>
      </c>
    </row>
    <row r="2825" customFormat="false" ht="15" hidden="false" customHeight="false" outlineLevel="0" collapsed="false">
      <c r="A2825" s="19"/>
      <c r="B2825" s="19"/>
      <c r="C2825" s="19"/>
      <c r="D2825" s="19"/>
      <c r="E2825" s="32"/>
      <c r="F2825" s="19"/>
      <c r="G2825" s="26" t="str">
        <f aca="false">IF(A2825="","",COUNTIF(Pubs!$B$2:$B$3001,A2825))</f>
        <v/>
      </c>
      <c r="H2825" s="26" t="str">
        <f aca="false">IF(A2825="","",COUNTIF(Apparitions!$H$2:$H$5001,A2825))</f>
        <v/>
      </c>
      <c r="I2825" s="26" t="str">
        <f aca="false">IF(A2825="","",COUNTIFS(Apparitions!$H$2:$H$5001,A2825,Apparitions!$E$2:$E$5001,"○"))</f>
        <v/>
      </c>
      <c r="J2825" s="29" t="str">
        <f aca="false">IF(A2825="","",IFERROR(1/(1/_xlfn.MINIFS(Apparitions!$L$2:$L$5001,Apparitions!$H$2:$H$5001,A2825)),""))</f>
        <v/>
      </c>
    </row>
    <row r="2826" customFormat="false" ht="15" hidden="false" customHeight="false" outlineLevel="0" collapsed="false">
      <c r="A2826" s="19"/>
      <c r="B2826" s="19"/>
      <c r="C2826" s="19"/>
      <c r="D2826" s="19"/>
      <c r="E2826" s="32"/>
      <c r="F2826" s="19"/>
      <c r="G2826" s="26" t="str">
        <f aca="false">IF(A2826="","",COUNTIF(Pubs!$B$2:$B$3001,A2826))</f>
        <v/>
      </c>
      <c r="H2826" s="26" t="str">
        <f aca="false">IF(A2826="","",COUNTIF(Apparitions!$H$2:$H$5001,A2826))</f>
        <v/>
      </c>
      <c r="I2826" s="26" t="str">
        <f aca="false">IF(A2826="","",COUNTIFS(Apparitions!$H$2:$H$5001,A2826,Apparitions!$E$2:$E$5001,"○"))</f>
        <v/>
      </c>
      <c r="J2826" s="29" t="str">
        <f aca="false">IF(A2826="","",IFERROR(1/(1/_xlfn.MINIFS(Apparitions!$L$2:$L$5001,Apparitions!$H$2:$H$5001,A2826)),""))</f>
        <v/>
      </c>
    </row>
    <row r="2827" customFormat="false" ht="15" hidden="false" customHeight="false" outlineLevel="0" collapsed="false">
      <c r="A2827" s="19"/>
      <c r="B2827" s="19"/>
      <c r="C2827" s="19"/>
      <c r="D2827" s="19"/>
      <c r="E2827" s="32"/>
      <c r="F2827" s="19"/>
      <c r="G2827" s="26" t="str">
        <f aca="false">IF(A2827="","",COUNTIF(Pubs!$B$2:$B$3001,A2827))</f>
        <v/>
      </c>
      <c r="H2827" s="26" t="str">
        <f aca="false">IF(A2827="","",COUNTIF(Apparitions!$H$2:$H$5001,A2827))</f>
        <v/>
      </c>
      <c r="I2827" s="26" t="str">
        <f aca="false">IF(A2827="","",COUNTIFS(Apparitions!$H$2:$H$5001,A2827,Apparitions!$E$2:$E$5001,"○"))</f>
        <v/>
      </c>
      <c r="J2827" s="29" t="str">
        <f aca="false">IF(A2827="","",IFERROR(1/(1/_xlfn.MINIFS(Apparitions!$L$2:$L$5001,Apparitions!$H$2:$H$5001,A2827)),""))</f>
        <v/>
      </c>
    </row>
    <row r="2828" customFormat="false" ht="15" hidden="false" customHeight="false" outlineLevel="0" collapsed="false">
      <c r="A2828" s="19"/>
      <c r="B2828" s="19"/>
      <c r="C2828" s="19"/>
      <c r="D2828" s="19"/>
      <c r="E2828" s="32"/>
      <c r="F2828" s="19"/>
      <c r="G2828" s="26" t="str">
        <f aca="false">IF(A2828="","",COUNTIF(Pubs!$B$2:$B$3001,A2828))</f>
        <v/>
      </c>
      <c r="H2828" s="26" t="str">
        <f aca="false">IF(A2828="","",COUNTIF(Apparitions!$H$2:$H$5001,A2828))</f>
        <v/>
      </c>
      <c r="I2828" s="26" t="str">
        <f aca="false">IF(A2828="","",COUNTIFS(Apparitions!$H$2:$H$5001,A2828,Apparitions!$E$2:$E$5001,"○"))</f>
        <v/>
      </c>
      <c r="J2828" s="29" t="str">
        <f aca="false">IF(A2828="","",IFERROR(1/(1/_xlfn.MINIFS(Apparitions!$L$2:$L$5001,Apparitions!$H$2:$H$5001,A2828)),""))</f>
        <v/>
      </c>
    </row>
    <row r="2829" customFormat="false" ht="15" hidden="false" customHeight="false" outlineLevel="0" collapsed="false">
      <c r="A2829" s="19"/>
      <c r="B2829" s="19"/>
      <c r="C2829" s="19"/>
      <c r="D2829" s="19"/>
      <c r="E2829" s="32"/>
      <c r="F2829" s="19"/>
      <c r="G2829" s="26" t="str">
        <f aca="false">IF(A2829="","",COUNTIF(Pubs!$B$2:$B$3001,A2829))</f>
        <v/>
      </c>
      <c r="H2829" s="26" t="str">
        <f aca="false">IF(A2829="","",COUNTIF(Apparitions!$H$2:$H$5001,A2829))</f>
        <v/>
      </c>
      <c r="I2829" s="26" t="str">
        <f aca="false">IF(A2829="","",COUNTIFS(Apparitions!$H$2:$H$5001,A2829,Apparitions!$E$2:$E$5001,"○"))</f>
        <v/>
      </c>
      <c r="J2829" s="29" t="str">
        <f aca="false">IF(A2829="","",IFERROR(1/(1/_xlfn.MINIFS(Apparitions!$L$2:$L$5001,Apparitions!$H$2:$H$5001,A2829)),""))</f>
        <v/>
      </c>
    </row>
    <row r="2830" customFormat="false" ht="15" hidden="false" customHeight="false" outlineLevel="0" collapsed="false">
      <c r="A2830" s="19"/>
      <c r="B2830" s="19"/>
      <c r="C2830" s="19"/>
      <c r="D2830" s="19"/>
      <c r="E2830" s="32"/>
      <c r="F2830" s="19"/>
      <c r="G2830" s="26" t="str">
        <f aca="false">IF(A2830="","",COUNTIF(Pubs!$B$2:$B$3001,A2830))</f>
        <v/>
      </c>
      <c r="H2830" s="26" t="str">
        <f aca="false">IF(A2830="","",COUNTIF(Apparitions!$H$2:$H$5001,A2830))</f>
        <v/>
      </c>
      <c r="I2830" s="26" t="str">
        <f aca="false">IF(A2830="","",COUNTIFS(Apparitions!$H$2:$H$5001,A2830,Apparitions!$E$2:$E$5001,"○"))</f>
        <v/>
      </c>
      <c r="J2830" s="29" t="str">
        <f aca="false">IF(A2830="","",IFERROR(1/(1/_xlfn.MINIFS(Apparitions!$L$2:$L$5001,Apparitions!$H$2:$H$5001,A2830)),""))</f>
        <v/>
      </c>
    </row>
    <row r="2831" customFormat="false" ht="15" hidden="false" customHeight="false" outlineLevel="0" collapsed="false">
      <c r="A2831" s="19"/>
      <c r="B2831" s="19"/>
      <c r="C2831" s="19"/>
      <c r="D2831" s="19"/>
      <c r="E2831" s="32"/>
      <c r="F2831" s="19"/>
      <c r="G2831" s="26" t="str">
        <f aca="false">IF(A2831="","",COUNTIF(Pubs!$B$2:$B$3001,A2831))</f>
        <v/>
      </c>
      <c r="H2831" s="26" t="str">
        <f aca="false">IF(A2831="","",COUNTIF(Apparitions!$H$2:$H$5001,A2831))</f>
        <v/>
      </c>
      <c r="I2831" s="26" t="str">
        <f aca="false">IF(A2831="","",COUNTIFS(Apparitions!$H$2:$H$5001,A2831,Apparitions!$E$2:$E$5001,"○"))</f>
        <v/>
      </c>
      <c r="J2831" s="29" t="str">
        <f aca="false">IF(A2831="","",IFERROR(1/(1/_xlfn.MINIFS(Apparitions!$L$2:$L$5001,Apparitions!$H$2:$H$5001,A2831)),""))</f>
        <v/>
      </c>
    </row>
    <row r="2832" customFormat="false" ht="15" hidden="false" customHeight="false" outlineLevel="0" collapsed="false">
      <c r="A2832" s="19"/>
      <c r="B2832" s="19"/>
      <c r="C2832" s="19"/>
      <c r="D2832" s="19"/>
      <c r="E2832" s="32"/>
      <c r="F2832" s="19"/>
      <c r="G2832" s="26" t="str">
        <f aca="false">IF(A2832="","",COUNTIF(Pubs!$B$2:$B$3001,A2832))</f>
        <v/>
      </c>
      <c r="H2832" s="26" t="str">
        <f aca="false">IF(A2832="","",COUNTIF(Apparitions!$H$2:$H$5001,A2832))</f>
        <v/>
      </c>
      <c r="I2832" s="26" t="str">
        <f aca="false">IF(A2832="","",COUNTIFS(Apparitions!$H$2:$H$5001,A2832,Apparitions!$E$2:$E$5001,"○"))</f>
        <v/>
      </c>
      <c r="J2832" s="29" t="str">
        <f aca="false">IF(A2832="","",IFERROR(1/(1/_xlfn.MINIFS(Apparitions!$L$2:$L$5001,Apparitions!$H$2:$H$5001,A2832)),""))</f>
        <v/>
      </c>
    </row>
    <row r="2833" customFormat="false" ht="15" hidden="false" customHeight="false" outlineLevel="0" collapsed="false">
      <c r="A2833" s="19"/>
      <c r="B2833" s="19"/>
      <c r="C2833" s="19"/>
      <c r="D2833" s="19"/>
      <c r="E2833" s="32"/>
      <c r="F2833" s="19"/>
      <c r="G2833" s="26" t="str">
        <f aca="false">IF(A2833="","",COUNTIF(Pubs!$B$2:$B$3001,A2833))</f>
        <v/>
      </c>
      <c r="H2833" s="26" t="str">
        <f aca="false">IF(A2833="","",COUNTIF(Apparitions!$H$2:$H$5001,A2833))</f>
        <v/>
      </c>
      <c r="I2833" s="26" t="str">
        <f aca="false">IF(A2833="","",COUNTIFS(Apparitions!$H$2:$H$5001,A2833,Apparitions!$E$2:$E$5001,"○"))</f>
        <v/>
      </c>
      <c r="J2833" s="29" t="str">
        <f aca="false">IF(A2833="","",IFERROR(1/(1/_xlfn.MINIFS(Apparitions!$L$2:$L$5001,Apparitions!$H$2:$H$5001,A2833)),""))</f>
        <v/>
      </c>
    </row>
    <row r="2834" customFormat="false" ht="15" hidden="false" customHeight="false" outlineLevel="0" collapsed="false">
      <c r="A2834" s="19"/>
      <c r="B2834" s="19"/>
      <c r="C2834" s="19"/>
      <c r="D2834" s="19"/>
      <c r="E2834" s="32"/>
      <c r="F2834" s="19"/>
      <c r="G2834" s="26" t="str">
        <f aca="false">IF(A2834="","",COUNTIF(Pubs!$B$2:$B$3001,A2834))</f>
        <v/>
      </c>
      <c r="H2834" s="26" t="str">
        <f aca="false">IF(A2834="","",COUNTIF(Apparitions!$H$2:$H$5001,A2834))</f>
        <v/>
      </c>
      <c r="I2834" s="26" t="str">
        <f aca="false">IF(A2834="","",COUNTIFS(Apparitions!$H$2:$H$5001,A2834,Apparitions!$E$2:$E$5001,"○"))</f>
        <v/>
      </c>
      <c r="J2834" s="29" t="str">
        <f aca="false">IF(A2834="","",IFERROR(1/(1/_xlfn.MINIFS(Apparitions!$L$2:$L$5001,Apparitions!$H$2:$H$5001,A2834)),""))</f>
        <v/>
      </c>
    </row>
    <row r="2835" customFormat="false" ht="15" hidden="false" customHeight="false" outlineLevel="0" collapsed="false">
      <c r="A2835" s="19"/>
      <c r="B2835" s="19"/>
      <c r="C2835" s="19"/>
      <c r="D2835" s="19"/>
      <c r="E2835" s="32"/>
      <c r="F2835" s="19"/>
      <c r="G2835" s="26" t="str">
        <f aca="false">IF(A2835="","",COUNTIF(Pubs!$B$2:$B$3001,A2835))</f>
        <v/>
      </c>
      <c r="H2835" s="26" t="str">
        <f aca="false">IF(A2835="","",COUNTIF(Apparitions!$H$2:$H$5001,A2835))</f>
        <v/>
      </c>
      <c r="I2835" s="26" t="str">
        <f aca="false">IF(A2835="","",COUNTIFS(Apparitions!$H$2:$H$5001,A2835,Apparitions!$E$2:$E$5001,"○"))</f>
        <v/>
      </c>
      <c r="J2835" s="29" t="str">
        <f aca="false">IF(A2835="","",IFERROR(1/(1/_xlfn.MINIFS(Apparitions!$L$2:$L$5001,Apparitions!$H$2:$H$5001,A2835)),""))</f>
        <v/>
      </c>
    </row>
    <row r="2836" customFormat="false" ht="15" hidden="false" customHeight="false" outlineLevel="0" collapsed="false">
      <c r="A2836" s="19"/>
      <c r="B2836" s="19"/>
      <c r="C2836" s="19"/>
      <c r="D2836" s="19"/>
      <c r="E2836" s="32"/>
      <c r="F2836" s="19"/>
      <c r="G2836" s="26" t="str">
        <f aca="false">IF(A2836="","",COUNTIF(Pubs!$B$2:$B$3001,A2836))</f>
        <v/>
      </c>
      <c r="H2836" s="26" t="str">
        <f aca="false">IF(A2836="","",COUNTIF(Apparitions!$H$2:$H$5001,A2836))</f>
        <v/>
      </c>
      <c r="I2836" s="26" t="str">
        <f aca="false">IF(A2836="","",COUNTIFS(Apparitions!$H$2:$H$5001,A2836,Apparitions!$E$2:$E$5001,"○"))</f>
        <v/>
      </c>
      <c r="J2836" s="29" t="str">
        <f aca="false">IF(A2836="","",IFERROR(1/(1/_xlfn.MINIFS(Apparitions!$L$2:$L$5001,Apparitions!$H$2:$H$5001,A2836)),""))</f>
        <v/>
      </c>
    </row>
    <row r="2837" customFormat="false" ht="15" hidden="false" customHeight="false" outlineLevel="0" collapsed="false">
      <c r="A2837" s="19"/>
      <c r="B2837" s="19"/>
      <c r="C2837" s="19"/>
      <c r="D2837" s="19"/>
      <c r="E2837" s="32"/>
      <c r="F2837" s="19"/>
      <c r="G2837" s="26" t="str">
        <f aca="false">IF(A2837="","",COUNTIF(Pubs!$B$2:$B$3001,A2837))</f>
        <v/>
      </c>
      <c r="H2837" s="26" t="str">
        <f aca="false">IF(A2837="","",COUNTIF(Apparitions!$H$2:$H$5001,A2837))</f>
        <v/>
      </c>
      <c r="I2837" s="26" t="str">
        <f aca="false">IF(A2837="","",COUNTIFS(Apparitions!$H$2:$H$5001,A2837,Apparitions!$E$2:$E$5001,"○"))</f>
        <v/>
      </c>
      <c r="J2837" s="29" t="str">
        <f aca="false">IF(A2837="","",IFERROR(1/(1/_xlfn.MINIFS(Apparitions!$L$2:$L$5001,Apparitions!$H$2:$H$5001,A2837)),""))</f>
        <v/>
      </c>
    </row>
    <row r="2838" customFormat="false" ht="15" hidden="false" customHeight="false" outlineLevel="0" collapsed="false">
      <c r="A2838" s="19"/>
      <c r="B2838" s="19"/>
      <c r="C2838" s="19"/>
      <c r="D2838" s="19"/>
      <c r="E2838" s="32"/>
      <c r="F2838" s="19"/>
      <c r="G2838" s="26" t="str">
        <f aca="false">IF(A2838="","",COUNTIF(Pubs!$B$2:$B$3001,A2838))</f>
        <v/>
      </c>
      <c r="H2838" s="26" t="str">
        <f aca="false">IF(A2838="","",COUNTIF(Apparitions!$H$2:$H$5001,A2838))</f>
        <v/>
      </c>
      <c r="I2838" s="26" t="str">
        <f aca="false">IF(A2838="","",COUNTIFS(Apparitions!$H$2:$H$5001,A2838,Apparitions!$E$2:$E$5001,"○"))</f>
        <v/>
      </c>
      <c r="J2838" s="29" t="str">
        <f aca="false">IF(A2838="","",IFERROR(1/(1/_xlfn.MINIFS(Apparitions!$L$2:$L$5001,Apparitions!$H$2:$H$5001,A2838)),""))</f>
        <v/>
      </c>
    </row>
    <row r="2839" customFormat="false" ht="15" hidden="false" customHeight="false" outlineLevel="0" collapsed="false">
      <c r="A2839" s="19"/>
      <c r="B2839" s="19"/>
      <c r="C2839" s="19"/>
      <c r="D2839" s="19"/>
      <c r="E2839" s="32"/>
      <c r="F2839" s="19"/>
      <c r="G2839" s="26" t="str">
        <f aca="false">IF(A2839="","",COUNTIF(Pubs!$B$2:$B$3001,A2839))</f>
        <v/>
      </c>
      <c r="H2839" s="26" t="str">
        <f aca="false">IF(A2839="","",COUNTIF(Apparitions!$H$2:$H$5001,A2839))</f>
        <v/>
      </c>
      <c r="I2839" s="26" t="str">
        <f aca="false">IF(A2839="","",COUNTIFS(Apparitions!$H$2:$H$5001,A2839,Apparitions!$E$2:$E$5001,"○"))</f>
        <v/>
      </c>
      <c r="J2839" s="29" t="str">
        <f aca="false">IF(A2839="","",IFERROR(1/(1/_xlfn.MINIFS(Apparitions!$L$2:$L$5001,Apparitions!$H$2:$H$5001,A2839)),""))</f>
        <v/>
      </c>
    </row>
    <row r="2840" customFormat="false" ht="15" hidden="false" customHeight="false" outlineLevel="0" collapsed="false">
      <c r="A2840" s="19"/>
      <c r="B2840" s="19"/>
      <c r="C2840" s="19"/>
      <c r="D2840" s="19"/>
      <c r="E2840" s="32"/>
      <c r="F2840" s="19"/>
      <c r="G2840" s="26" t="str">
        <f aca="false">IF(A2840="","",COUNTIF(Pubs!$B$2:$B$3001,A2840))</f>
        <v/>
      </c>
      <c r="H2840" s="26" t="str">
        <f aca="false">IF(A2840="","",COUNTIF(Apparitions!$H$2:$H$5001,A2840))</f>
        <v/>
      </c>
      <c r="I2840" s="26" t="str">
        <f aca="false">IF(A2840="","",COUNTIFS(Apparitions!$H$2:$H$5001,A2840,Apparitions!$E$2:$E$5001,"○"))</f>
        <v/>
      </c>
      <c r="J2840" s="29" t="str">
        <f aca="false">IF(A2840="","",IFERROR(1/(1/_xlfn.MINIFS(Apparitions!$L$2:$L$5001,Apparitions!$H$2:$H$5001,A2840)),""))</f>
        <v/>
      </c>
    </row>
    <row r="2841" customFormat="false" ht="15" hidden="false" customHeight="false" outlineLevel="0" collapsed="false">
      <c r="A2841" s="19"/>
      <c r="B2841" s="19"/>
      <c r="C2841" s="19"/>
      <c r="D2841" s="19"/>
      <c r="E2841" s="32"/>
      <c r="F2841" s="19"/>
      <c r="G2841" s="26" t="str">
        <f aca="false">IF(A2841="","",COUNTIF(Pubs!$B$2:$B$3001,A2841))</f>
        <v/>
      </c>
      <c r="H2841" s="26" t="str">
        <f aca="false">IF(A2841="","",COUNTIF(Apparitions!$H$2:$H$5001,A2841))</f>
        <v/>
      </c>
      <c r="I2841" s="26" t="str">
        <f aca="false">IF(A2841="","",COUNTIFS(Apparitions!$H$2:$H$5001,A2841,Apparitions!$E$2:$E$5001,"○"))</f>
        <v/>
      </c>
      <c r="J2841" s="29" t="str">
        <f aca="false">IF(A2841="","",IFERROR(1/(1/_xlfn.MINIFS(Apparitions!$L$2:$L$5001,Apparitions!$H$2:$H$5001,A2841)),""))</f>
        <v/>
      </c>
    </row>
    <row r="2842" customFormat="false" ht="15" hidden="false" customHeight="false" outlineLevel="0" collapsed="false">
      <c r="A2842" s="19"/>
      <c r="B2842" s="19"/>
      <c r="C2842" s="19"/>
      <c r="D2842" s="19"/>
      <c r="E2842" s="32"/>
      <c r="F2842" s="19"/>
      <c r="G2842" s="26" t="str">
        <f aca="false">IF(A2842="","",COUNTIF(Pubs!$B$2:$B$3001,A2842))</f>
        <v/>
      </c>
      <c r="H2842" s="26" t="str">
        <f aca="false">IF(A2842="","",COUNTIF(Apparitions!$H$2:$H$5001,A2842))</f>
        <v/>
      </c>
      <c r="I2842" s="26" t="str">
        <f aca="false">IF(A2842="","",COUNTIFS(Apparitions!$H$2:$H$5001,A2842,Apparitions!$E$2:$E$5001,"○"))</f>
        <v/>
      </c>
      <c r="J2842" s="29" t="str">
        <f aca="false">IF(A2842="","",IFERROR(1/(1/_xlfn.MINIFS(Apparitions!$L$2:$L$5001,Apparitions!$H$2:$H$5001,A2842)),""))</f>
        <v/>
      </c>
    </row>
    <row r="2843" customFormat="false" ht="15" hidden="false" customHeight="false" outlineLevel="0" collapsed="false">
      <c r="A2843" s="19"/>
      <c r="B2843" s="19"/>
      <c r="C2843" s="19"/>
      <c r="D2843" s="19"/>
      <c r="E2843" s="32"/>
      <c r="F2843" s="19"/>
      <c r="G2843" s="26" t="str">
        <f aca="false">IF(A2843="","",COUNTIF(Pubs!$B$2:$B$3001,A2843))</f>
        <v/>
      </c>
      <c r="H2843" s="26" t="str">
        <f aca="false">IF(A2843="","",COUNTIF(Apparitions!$H$2:$H$5001,A2843))</f>
        <v/>
      </c>
      <c r="I2843" s="26" t="str">
        <f aca="false">IF(A2843="","",COUNTIFS(Apparitions!$H$2:$H$5001,A2843,Apparitions!$E$2:$E$5001,"○"))</f>
        <v/>
      </c>
      <c r="J2843" s="29" t="str">
        <f aca="false">IF(A2843="","",IFERROR(1/(1/_xlfn.MINIFS(Apparitions!$L$2:$L$5001,Apparitions!$H$2:$H$5001,A2843)),""))</f>
        <v/>
      </c>
    </row>
    <row r="2844" customFormat="false" ht="15" hidden="false" customHeight="false" outlineLevel="0" collapsed="false">
      <c r="A2844" s="19"/>
      <c r="B2844" s="19"/>
      <c r="C2844" s="19"/>
      <c r="D2844" s="19"/>
      <c r="E2844" s="32"/>
      <c r="F2844" s="19"/>
      <c r="G2844" s="26" t="str">
        <f aca="false">IF(A2844="","",COUNTIF(Pubs!$B$2:$B$3001,A2844))</f>
        <v/>
      </c>
      <c r="H2844" s="26" t="str">
        <f aca="false">IF(A2844="","",COUNTIF(Apparitions!$H$2:$H$5001,A2844))</f>
        <v/>
      </c>
      <c r="I2844" s="26" t="str">
        <f aca="false">IF(A2844="","",COUNTIFS(Apparitions!$H$2:$H$5001,A2844,Apparitions!$E$2:$E$5001,"○"))</f>
        <v/>
      </c>
      <c r="J2844" s="29" t="str">
        <f aca="false">IF(A2844="","",IFERROR(1/(1/_xlfn.MINIFS(Apparitions!$L$2:$L$5001,Apparitions!$H$2:$H$5001,A2844)),""))</f>
        <v/>
      </c>
    </row>
    <row r="2845" customFormat="false" ht="15" hidden="false" customHeight="false" outlineLevel="0" collapsed="false">
      <c r="A2845" s="19"/>
      <c r="B2845" s="19"/>
      <c r="C2845" s="19"/>
      <c r="D2845" s="19"/>
      <c r="E2845" s="32"/>
      <c r="F2845" s="19"/>
      <c r="G2845" s="26" t="str">
        <f aca="false">IF(A2845="","",COUNTIF(Pubs!$B$2:$B$3001,A2845))</f>
        <v/>
      </c>
      <c r="H2845" s="26" t="str">
        <f aca="false">IF(A2845="","",COUNTIF(Apparitions!$H$2:$H$5001,A2845))</f>
        <v/>
      </c>
      <c r="I2845" s="26" t="str">
        <f aca="false">IF(A2845="","",COUNTIFS(Apparitions!$H$2:$H$5001,A2845,Apparitions!$E$2:$E$5001,"○"))</f>
        <v/>
      </c>
      <c r="J2845" s="29" t="str">
        <f aca="false">IF(A2845="","",IFERROR(1/(1/_xlfn.MINIFS(Apparitions!$L$2:$L$5001,Apparitions!$H$2:$H$5001,A2845)),""))</f>
        <v/>
      </c>
    </row>
    <row r="2846" customFormat="false" ht="15" hidden="false" customHeight="false" outlineLevel="0" collapsed="false">
      <c r="A2846" s="19"/>
      <c r="B2846" s="19"/>
      <c r="C2846" s="19"/>
      <c r="D2846" s="19"/>
      <c r="E2846" s="32"/>
      <c r="F2846" s="19"/>
      <c r="G2846" s="26" t="str">
        <f aca="false">IF(A2846="","",COUNTIF(Pubs!$B$2:$B$3001,A2846))</f>
        <v/>
      </c>
      <c r="H2846" s="26" t="str">
        <f aca="false">IF(A2846="","",COUNTIF(Apparitions!$H$2:$H$5001,A2846))</f>
        <v/>
      </c>
      <c r="I2846" s="26" t="str">
        <f aca="false">IF(A2846="","",COUNTIFS(Apparitions!$H$2:$H$5001,A2846,Apparitions!$E$2:$E$5001,"○"))</f>
        <v/>
      </c>
      <c r="J2846" s="29" t="str">
        <f aca="false">IF(A2846="","",IFERROR(1/(1/_xlfn.MINIFS(Apparitions!$L$2:$L$5001,Apparitions!$H$2:$H$5001,A2846)),""))</f>
        <v/>
      </c>
    </row>
    <row r="2847" customFormat="false" ht="15" hidden="false" customHeight="false" outlineLevel="0" collapsed="false">
      <c r="A2847" s="19"/>
      <c r="B2847" s="19"/>
      <c r="C2847" s="19"/>
      <c r="D2847" s="19"/>
      <c r="E2847" s="32"/>
      <c r="F2847" s="19"/>
      <c r="G2847" s="26" t="str">
        <f aca="false">IF(A2847="","",COUNTIF(Pubs!$B$2:$B$3001,A2847))</f>
        <v/>
      </c>
      <c r="H2847" s="26" t="str">
        <f aca="false">IF(A2847="","",COUNTIF(Apparitions!$H$2:$H$5001,A2847))</f>
        <v/>
      </c>
      <c r="I2847" s="26" t="str">
        <f aca="false">IF(A2847="","",COUNTIFS(Apparitions!$H$2:$H$5001,A2847,Apparitions!$E$2:$E$5001,"○"))</f>
        <v/>
      </c>
      <c r="J2847" s="29" t="str">
        <f aca="false">IF(A2847="","",IFERROR(1/(1/_xlfn.MINIFS(Apparitions!$L$2:$L$5001,Apparitions!$H$2:$H$5001,A2847)),""))</f>
        <v/>
      </c>
    </row>
    <row r="2848" customFormat="false" ht="15" hidden="false" customHeight="false" outlineLevel="0" collapsed="false">
      <c r="A2848" s="19"/>
      <c r="B2848" s="19"/>
      <c r="C2848" s="19"/>
      <c r="D2848" s="19"/>
      <c r="E2848" s="32"/>
      <c r="F2848" s="19"/>
      <c r="G2848" s="26" t="str">
        <f aca="false">IF(A2848="","",COUNTIF(Pubs!$B$2:$B$3001,A2848))</f>
        <v/>
      </c>
      <c r="H2848" s="26" t="str">
        <f aca="false">IF(A2848="","",COUNTIF(Apparitions!$H$2:$H$5001,A2848))</f>
        <v/>
      </c>
      <c r="I2848" s="26" t="str">
        <f aca="false">IF(A2848="","",COUNTIFS(Apparitions!$H$2:$H$5001,A2848,Apparitions!$E$2:$E$5001,"○"))</f>
        <v/>
      </c>
      <c r="J2848" s="29" t="str">
        <f aca="false">IF(A2848="","",IFERROR(1/(1/_xlfn.MINIFS(Apparitions!$L$2:$L$5001,Apparitions!$H$2:$H$5001,A2848)),""))</f>
        <v/>
      </c>
    </row>
    <row r="2849" customFormat="false" ht="15" hidden="false" customHeight="false" outlineLevel="0" collapsed="false">
      <c r="A2849" s="19"/>
      <c r="B2849" s="19"/>
      <c r="C2849" s="19"/>
      <c r="D2849" s="19"/>
      <c r="E2849" s="32"/>
      <c r="F2849" s="19"/>
      <c r="G2849" s="26" t="str">
        <f aca="false">IF(A2849="","",COUNTIF(Pubs!$B$2:$B$3001,A2849))</f>
        <v/>
      </c>
      <c r="H2849" s="26" t="str">
        <f aca="false">IF(A2849="","",COUNTIF(Apparitions!$H$2:$H$5001,A2849))</f>
        <v/>
      </c>
      <c r="I2849" s="26" t="str">
        <f aca="false">IF(A2849="","",COUNTIFS(Apparitions!$H$2:$H$5001,A2849,Apparitions!$E$2:$E$5001,"○"))</f>
        <v/>
      </c>
      <c r="J2849" s="29" t="str">
        <f aca="false">IF(A2849="","",IFERROR(1/(1/_xlfn.MINIFS(Apparitions!$L$2:$L$5001,Apparitions!$H$2:$H$5001,A2849)),""))</f>
        <v/>
      </c>
    </row>
    <row r="2850" customFormat="false" ht="15" hidden="false" customHeight="false" outlineLevel="0" collapsed="false">
      <c r="A2850" s="19"/>
      <c r="B2850" s="19"/>
      <c r="C2850" s="19"/>
      <c r="D2850" s="19"/>
      <c r="E2850" s="32"/>
      <c r="F2850" s="19"/>
      <c r="G2850" s="26" t="str">
        <f aca="false">IF(A2850="","",COUNTIF(Pubs!$B$2:$B$3001,A2850))</f>
        <v/>
      </c>
      <c r="H2850" s="26" t="str">
        <f aca="false">IF(A2850="","",COUNTIF(Apparitions!$H$2:$H$5001,A2850))</f>
        <v/>
      </c>
      <c r="I2850" s="26" t="str">
        <f aca="false">IF(A2850="","",COUNTIFS(Apparitions!$H$2:$H$5001,A2850,Apparitions!$E$2:$E$5001,"○"))</f>
        <v/>
      </c>
      <c r="J2850" s="29" t="str">
        <f aca="false">IF(A2850="","",IFERROR(1/(1/_xlfn.MINIFS(Apparitions!$L$2:$L$5001,Apparitions!$H$2:$H$5001,A2850)),""))</f>
        <v/>
      </c>
    </row>
    <row r="2851" customFormat="false" ht="15" hidden="false" customHeight="false" outlineLevel="0" collapsed="false">
      <c r="A2851" s="19"/>
      <c r="B2851" s="19"/>
      <c r="C2851" s="19"/>
      <c r="D2851" s="19"/>
      <c r="E2851" s="32"/>
      <c r="F2851" s="19"/>
      <c r="G2851" s="26" t="str">
        <f aca="false">IF(A2851="","",COUNTIF(Pubs!$B$2:$B$3001,A2851))</f>
        <v/>
      </c>
      <c r="H2851" s="26" t="str">
        <f aca="false">IF(A2851="","",COUNTIF(Apparitions!$H$2:$H$5001,A2851))</f>
        <v/>
      </c>
      <c r="I2851" s="26" t="str">
        <f aca="false">IF(A2851="","",COUNTIFS(Apparitions!$H$2:$H$5001,A2851,Apparitions!$E$2:$E$5001,"○"))</f>
        <v/>
      </c>
      <c r="J2851" s="29" t="str">
        <f aca="false">IF(A2851="","",IFERROR(1/(1/_xlfn.MINIFS(Apparitions!$L$2:$L$5001,Apparitions!$H$2:$H$5001,A2851)),""))</f>
        <v/>
      </c>
    </row>
    <row r="2852" customFormat="false" ht="15" hidden="false" customHeight="false" outlineLevel="0" collapsed="false">
      <c r="A2852" s="19"/>
      <c r="B2852" s="19"/>
      <c r="C2852" s="19"/>
      <c r="D2852" s="19"/>
      <c r="E2852" s="32"/>
      <c r="F2852" s="19"/>
      <c r="G2852" s="26" t="str">
        <f aca="false">IF(A2852="","",COUNTIF(Pubs!$B$2:$B$3001,A2852))</f>
        <v/>
      </c>
      <c r="H2852" s="26" t="str">
        <f aca="false">IF(A2852="","",COUNTIF(Apparitions!$H$2:$H$5001,A2852))</f>
        <v/>
      </c>
      <c r="I2852" s="26" t="str">
        <f aca="false">IF(A2852="","",COUNTIFS(Apparitions!$H$2:$H$5001,A2852,Apparitions!$E$2:$E$5001,"○"))</f>
        <v/>
      </c>
      <c r="J2852" s="29" t="str">
        <f aca="false">IF(A2852="","",IFERROR(1/(1/_xlfn.MINIFS(Apparitions!$L$2:$L$5001,Apparitions!$H$2:$H$5001,A2852)),""))</f>
        <v/>
      </c>
    </row>
    <row r="2853" customFormat="false" ht="15" hidden="false" customHeight="false" outlineLevel="0" collapsed="false">
      <c r="A2853" s="19"/>
      <c r="B2853" s="19"/>
      <c r="C2853" s="19"/>
      <c r="D2853" s="19"/>
      <c r="E2853" s="32"/>
      <c r="F2853" s="19"/>
      <c r="G2853" s="26" t="str">
        <f aca="false">IF(A2853="","",COUNTIF(Pubs!$B$2:$B$3001,A2853))</f>
        <v/>
      </c>
      <c r="H2853" s="26" t="str">
        <f aca="false">IF(A2853="","",COUNTIF(Apparitions!$H$2:$H$5001,A2853))</f>
        <v/>
      </c>
      <c r="I2853" s="26" t="str">
        <f aca="false">IF(A2853="","",COUNTIFS(Apparitions!$H$2:$H$5001,A2853,Apparitions!$E$2:$E$5001,"○"))</f>
        <v/>
      </c>
      <c r="J2853" s="29" t="str">
        <f aca="false">IF(A2853="","",IFERROR(1/(1/_xlfn.MINIFS(Apparitions!$L$2:$L$5001,Apparitions!$H$2:$H$5001,A2853)),""))</f>
        <v/>
      </c>
    </row>
    <row r="2854" customFormat="false" ht="15" hidden="false" customHeight="false" outlineLevel="0" collapsed="false">
      <c r="A2854" s="19"/>
      <c r="B2854" s="19"/>
      <c r="C2854" s="19"/>
      <c r="D2854" s="19"/>
      <c r="E2854" s="32"/>
      <c r="F2854" s="19"/>
      <c r="G2854" s="26" t="str">
        <f aca="false">IF(A2854="","",COUNTIF(Pubs!$B$2:$B$3001,A2854))</f>
        <v/>
      </c>
      <c r="H2854" s="26" t="str">
        <f aca="false">IF(A2854="","",COUNTIF(Apparitions!$H$2:$H$5001,A2854))</f>
        <v/>
      </c>
      <c r="I2854" s="26" t="str">
        <f aca="false">IF(A2854="","",COUNTIFS(Apparitions!$H$2:$H$5001,A2854,Apparitions!$E$2:$E$5001,"○"))</f>
        <v/>
      </c>
      <c r="J2854" s="29" t="str">
        <f aca="false">IF(A2854="","",IFERROR(1/(1/_xlfn.MINIFS(Apparitions!$L$2:$L$5001,Apparitions!$H$2:$H$5001,A2854)),""))</f>
        <v/>
      </c>
    </row>
    <row r="2855" customFormat="false" ht="15" hidden="false" customHeight="false" outlineLevel="0" collapsed="false">
      <c r="A2855" s="19"/>
      <c r="B2855" s="19"/>
      <c r="C2855" s="19"/>
      <c r="D2855" s="19"/>
      <c r="E2855" s="32"/>
      <c r="F2855" s="19"/>
      <c r="G2855" s="26" t="str">
        <f aca="false">IF(A2855="","",COUNTIF(Pubs!$B$2:$B$3001,A2855))</f>
        <v/>
      </c>
      <c r="H2855" s="26" t="str">
        <f aca="false">IF(A2855="","",COUNTIF(Apparitions!$H$2:$H$5001,A2855))</f>
        <v/>
      </c>
      <c r="I2855" s="26" t="str">
        <f aca="false">IF(A2855="","",COUNTIFS(Apparitions!$H$2:$H$5001,A2855,Apparitions!$E$2:$E$5001,"○"))</f>
        <v/>
      </c>
      <c r="J2855" s="29" t="str">
        <f aca="false">IF(A2855="","",IFERROR(1/(1/_xlfn.MINIFS(Apparitions!$L$2:$L$5001,Apparitions!$H$2:$H$5001,A2855)),""))</f>
        <v/>
      </c>
    </row>
    <row r="2856" customFormat="false" ht="15" hidden="false" customHeight="false" outlineLevel="0" collapsed="false">
      <c r="A2856" s="19"/>
      <c r="B2856" s="19"/>
      <c r="C2856" s="19"/>
      <c r="D2856" s="19"/>
      <c r="E2856" s="32"/>
      <c r="F2856" s="19"/>
      <c r="G2856" s="26" t="str">
        <f aca="false">IF(A2856="","",COUNTIF(Pubs!$B$2:$B$3001,A2856))</f>
        <v/>
      </c>
      <c r="H2856" s="26" t="str">
        <f aca="false">IF(A2856="","",COUNTIF(Apparitions!$H$2:$H$5001,A2856))</f>
        <v/>
      </c>
      <c r="I2856" s="26" t="str">
        <f aca="false">IF(A2856="","",COUNTIFS(Apparitions!$H$2:$H$5001,A2856,Apparitions!$E$2:$E$5001,"○"))</f>
        <v/>
      </c>
      <c r="J2856" s="29" t="str">
        <f aca="false">IF(A2856="","",IFERROR(1/(1/_xlfn.MINIFS(Apparitions!$L$2:$L$5001,Apparitions!$H$2:$H$5001,A2856)),""))</f>
        <v/>
      </c>
    </row>
    <row r="2857" customFormat="false" ht="15" hidden="false" customHeight="false" outlineLevel="0" collapsed="false">
      <c r="A2857" s="19"/>
      <c r="B2857" s="19"/>
      <c r="C2857" s="19"/>
      <c r="D2857" s="19"/>
      <c r="E2857" s="32"/>
      <c r="F2857" s="19"/>
      <c r="G2857" s="26" t="str">
        <f aca="false">IF(A2857="","",COUNTIF(Pubs!$B$2:$B$3001,A2857))</f>
        <v/>
      </c>
      <c r="H2857" s="26" t="str">
        <f aca="false">IF(A2857="","",COUNTIF(Apparitions!$H$2:$H$5001,A2857))</f>
        <v/>
      </c>
      <c r="I2857" s="26" t="str">
        <f aca="false">IF(A2857="","",COUNTIFS(Apparitions!$H$2:$H$5001,A2857,Apparitions!$E$2:$E$5001,"○"))</f>
        <v/>
      </c>
      <c r="J2857" s="29" t="str">
        <f aca="false">IF(A2857="","",IFERROR(1/(1/_xlfn.MINIFS(Apparitions!$L$2:$L$5001,Apparitions!$H$2:$H$5001,A2857)),""))</f>
        <v/>
      </c>
    </row>
    <row r="2858" customFormat="false" ht="15" hidden="false" customHeight="false" outlineLevel="0" collapsed="false">
      <c r="A2858" s="19"/>
      <c r="B2858" s="19"/>
      <c r="C2858" s="19"/>
      <c r="D2858" s="19"/>
      <c r="E2858" s="32"/>
      <c r="F2858" s="19"/>
      <c r="G2858" s="26" t="str">
        <f aca="false">IF(A2858="","",COUNTIF(Pubs!$B$2:$B$3001,A2858))</f>
        <v/>
      </c>
      <c r="H2858" s="26" t="str">
        <f aca="false">IF(A2858="","",COUNTIF(Apparitions!$H$2:$H$5001,A2858))</f>
        <v/>
      </c>
      <c r="I2858" s="26" t="str">
        <f aca="false">IF(A2858="","",COUNTIFS(Apparitions!$H$2:$H$5001,A2858,Apparitions!$E$2:$E$5001,"○"))</f>
        <v/>
      </c>
      <c r="J2858" s="29" t="str">
        <f aca="false">IF(A2858="","",IFERROR(1/(1/_xlfn.MINIFS(Apparitions!$L$2:$L$5001,Apparitions!$H$2:$H$5001,A2858)),""))</f>
        <v/>
      </c>
    </row>
    <row r="2859" customFormat="false" ht="15" hidden="false" customHeight="false" outlineLevel="0" collapsed="false">
      <c r="A2859" s="19"/>
      <c r="B2859" s="19"/>
      <c r="C2859" s="19"/>
      <c r="D2859" s="19"/>
      <c r="E2859" s="32"/>
      <c r="F2859" s="19"/>
      <c r="G2859" s="26" t="str">
        <f aca="false">IF(A2859="","",COUNTIF(Pubs!$B$2:$B$3001,A2859))</f>
        <v/>
      </c>
      <c r="H2859" s="26" t="str">
        <f aca="false">IF(A2859="","",COUNTIF(Apparitions!$H$2:$H$5001,A2859))</f>
        <v/>
      </c>
      <c r="I2859" s="26" t="str">
        <f aca="false">IF(A2859="","",COUNTIFS(Apparitions!$H$2:$H$5001,A2859,Apparitions!$E$2:$E$5001,"○"))</f>
        <v/>
      </c>
      <c r="J2859" s="29" t="str">
        <f aca="false">IF(A2859="","",IFERROR(1/(1/_xlfn.MINIFS(Apparitions!$L$2:$L$5001,Apparitions!$H$2:$H$5001,A2859)),""))</f>
        <v/>
      </c>
    </row>
    <row r="2860" customFormat="false" ht="15" hidden="false" customHeight="false" outlineLevel="0" collapsed="false">
      <c r="A2860" s="19"/>
      <c r="B2860" s="19"/>
      <c r="C2860" s="19"/>
      <c r="D2860" s="19"/>
      <c r="E2860" s="32"/>
      <c r="F2860" s="19"/>
      <c r="G2860" s="26" t="str">
        <f aca="false">IF(A2860="","",COUNTIF(Pubs!$B$2:$B$3001,A2860))</f>
        <v/>
      </c>
      <c r="H2860" s="26" t="str">
        <f aca="false">IF(A2860="","",COUNTIF(Apparitions!$H$2:$H$5001,A2860))</f>
        <v/>
      </c>
      <c r="I2860" s="26" t="str">
        <f aca="false">IF(A2860="","",COUNTIFS(Apparitions!$H$2:$H$5001,A2860,Apparitions!$E$2:$E$5001,"○"))</f>
        <v/>
      </c>
      <c r="J2860" s="29" t="str">
        <f aca="false">IF(A2860="","",IFERROR(1/(1/_xlfn.MINIFS(Apparitions!$L$2:$L$5001,Apparitions!$H$2:$H$5001,A2860)),""))</f>
        <v/>
      </c>
    </row>
    <row r="2861" customFormat="false" ht="15" hidden="false" customHeight="false" outlineLevel="0" collapsed="false">
      <c r="A2861" s="19"/>
      <c r="B2861" s="19"/>
      <c r="C2861" s="19"/>
      <c r="D2861" s="19"/>
      <c r="E2861" s="32"/>
      <c r="F2861" s="19"/>
      <c r="G2861" s="26" t="str">
        <f aca="false">IF(A2861="","",COUNTIF(Pubs!$B$2:$B$3001,A2861))</f>
        <v/>
      </c>
      <c r="H2861" s="26" t="str">
        <f aca="false">IF(A2861="","",COUNTIF(Apparitions!$H$2:$H$5001,A2861))</f>
        <v/>
      </c>
      <c r="I2861" s="26" t="str">
        <f aca="false">IF(A2861="","",COUNTIFS(Apparitions!$H$2:$H$5001,A2861,Apparitions!$E$2:$E$5001,"○"))</f>
        <v/>
      </c>
      <c r="J2861" s="29" t="str">
        <f aca="false">IF(A2861="","",IFERROR(1/(1/_xlfn.MINIFS(Apparitions!$L$2:$L$5001,Apparitions!$H$2:$H$5001,A2861)),""))</f>
        <v/>
      </c>
    </row>
    <row r="2862" customFormat="false" ht="15" hidden="false" customHeight="false" outlineLevel="0" collapsed="false">
      <c r="A2862" s="19"/>
      <c r="B2862" s="19"/>
      <c r="C2862" s="19"/>
      <c r="D2862" s="19"/>
      <c r="E2862" s="32"/>
      <c r="F2862" s="19"/>
      <c r="G2862" s="26" t="str">
        <f aca="false">IF(A2862="","",COUNTIF(Pubs!$B$2:$B$3001,A2862))</f>
        <v/>
      </c>
      <c r="H2862" s="26" t="str">
        <f aca="false">IF(A2862="","",COUNTIF(Apparitions!$H$2:$H$5001,A2862))</f>
        <v/>
      </c>
      <c r="I2862" s="26" t="str">
        <f aca="false">IF(A2862="","",COUNTIFS(Apparitions!$H$2:$H$5001,A2862,Apparitions!$E$2:$E$5001,"○"))</f>
        <v/>
      </c>
      <c r="J2862" s="29" t="str">
        <f aca="false">IF(A2862="","",IFERROR(1/(1/_xlfn.MINIFS(Apparitions!$L$2:$L$5001,Apparitions!$H$2:$H$5001,A2862)),""))</f>
        <v/>
      </c>
    </row>
    <row r="2863" customFormat="false" ht="15" hidden="false" customHeight="false" outlineLevel="0" collapsed="false">
      <c r="A2863" s="19"/>
      <c r="B2863" s="19"/>
      <c r="C2863" s="19"/>
      <c r="D2863" s="19"/>
      <c r="E2863" s="32"/>
      <c r="F2863" s="19"/>
      <c r="G2863" s="26" t="str">
        <f aca="false">IF(A2863="","",COUNTIF(Pubs!$B$2:$B$3001,A2863))</f>
        <v/>
      </c>
      <c r="H2863" s="26" t="str">
        <f aca="false">IF(A2863="","",COUNTIF(Apparitions!$H$2:$H$5001,A2863))</f>
        <v/>
      </c>
      <c r="I2863" s="26" t="str">
        <f aca="false">IF(A2863="","",COUNTIFS(Apparitions!$H$2:$H$5001,A2863,Apparitions!$E$2:$E$5001,"○"))</f>
        <v/>
      </c>
      <c r="J2863" s="29" t="str">
        <f aca="false">IF(A2863="","",IFERROR(1/(1/_xlfn.MINIFS(Apparitions!$L$2:$L$5001,Apparitions!$H$2:$H$5001,A2863)),""))</f>
        <v/>
      </c>
    </row>
    <row r="2864" customFormat="false" ht="15" hidden="false" customHeight="false" outlineLevel="0" collapsed="false">
      <c r="A2864" s="19"/>
      <c r="B2864" s="19"/>
      <c r="C2864" s="19"/>
      <c r="D2864" s="19"/>
      <c r="E2864" s="32"/>
      <c r="F2864" s="19"/>
      <c r="G2864" s="26" t="str">
        <f aca="false">IF(A2864="","",COUNTIF(Pubs!$B$2:$B$3001,A2864))</f>
        <v/>
      </c>
      <c r="H2864" s="26" t="str">
        <f aca="false">IF(A2864="","",COUNTIF(Apparitions!$H$2:$H$5001,A2864))</f>
        <v/>
      </c>
      <c r="I2864" s="26" t="str">
        <f aca="false">IF(A2864="","",COUNTIFS(Apparitions!$H$2:$H$5001,A2864,Apparitions!$E$2:$E$5001,"○"))</f>
        <v/>
      </c>
      <c r="J2864" s="29" t="str">
        <f aca="false">IF(A2864="","",IFERROR(1/(1/_xlfn.MINIFS(Apparitions!$L$2:$L$5001,Apparitions!$H$2:$H$5001,A2864)),""))</f>
        <v/>
      </c>
    </row>
    <row r="2865" customFormat="false" ht="15" hidden="false" customHeight="false" outlineLevel="0" collapsed="false">
      <c r="A2865" s="19"/>
      <c r="B2865" s="19"/>
      <c r="C2865" s="19"/>
      <c r="D2865" s="19"/>
      <c r="E2865" s="32"/>
      <c r="F2865" s="19"/>
      <c r="G2865" s="26" t="str">
        <f aca="false">IF(A2865="","",COUNTIF(Pubs!$B$2:$B$3001,A2865))</f>
        <v/>
      </c>
      <c r="H2865" s="26" t="str">
        <f aca="false">IF(A2865="","",COUNTIF(Apparitions!$H$2:$H$5001,A2865))</f>
        <v/>
      </c>
      <c r="I2865" s="26" t="str">
        <f aca="false">IF(A2865="","",COUNTIFS(Apparitions!$H$2:$H$5001,A2865,Apparitions!$E$2:$E$5001,"○"))</f>
        <v/>
      </c>
      <c r="J2865" s="29" t="str">
        <f aca="false">IF(A2865="","",IFERROR(1/(1/_xlfn.MINIFS(Apparitions!$L$2:$L$5001,Apparitions!$H$2:$H$5001,A2865)),""))</f>
        <v/>
      </c>
    </row>
    <row r="2866" customFormat="false" ht="15" hidden="false" customHeight="false" outlineLevel="0" collapsed="false">
      <c r="A2866" s="19"/>
      <c r="B2866" s="19"/>
      <c r="C2866" s="19"/>
      <c r="D2866" s="19"/>
      <c r="E2866" s="32"/>
      <c r="F2866" s="19"/>
      <c r="G2866" s="26" t="str">
        <f aca="false">IF(A2866="","",COUNTIF(Pubs!$B$2:$B$3001,A2866))</f>
        <v/>
      </c>
      <c r="H2866" s="26" t="str">
        <f aca="false">IF(A2866="","",COUNTIF(Apparitions!$H$2:$H$5001,A2866))</f>
        <v/>
      </c>
      <c r="I2866" s="26" t="str">
        <f aca="false">IF(A2866="","",COUNTIFS(Apparitions!$H$2:$H$5001,A2866,Apparitions!$E$2:$E$5001,"○"))</f>
        <v/>
      </c>
      <c r="J2866" s="29" t="str">
        <f aca="false">IF(A2866="","",IFERROR(1/(1/_xlfn.MINIFS(Apparitions!$L$2:$L$5001,Apparitions!$H$2:$H$5001,A2866)),""))</f>
        <v/>
      </c>
    </row>
    <row r="2867" customFormat="false" ht="15" hidden="false" customHeight="false" outlineLevel="0" collapsed="false">
      <c r="A2867" s="19"/>
      <c r="B2867" s="19"/>
      <c r="C2867" s="19"/>
      <c r="D2867" s="19"/>
      <c r="E2867" s="32"/>
      <c r="F2867" s="19"/>
      <c r="G2867" s="26" t="str">
        <f aca="false">IF(A2867="","",COUNTIF(Pubs!$B$2:$B$3001,A2867))</f>
        <v/>
      </c>
      <c r="H2867" s="26" t="str">
        <f aca="false">IF(A2867="","",COUNTIF(Apparitions!$H$2:$H$5001,A2867))</f>
        <v/>
      </c>
      <c r="I2867" s="26" t="str">
        <f aca="false">IF(A2867="","",COUNTIFS(Apparitions!$H$2:$H$5001,A2867,Apparitions!$E$2:$E$5001,"○"))</f>
        <v/>
      </c>
      <c r="J2867" s="29" t="str">
        <f aca="false">IF(A2867="","",IFERROR(1/(1/_xlfn.MINIFS(Apparitions!$L$2:$L$5001,Apparitions!$H$2:$H$5001,A2867)),""))</f>
        <v/>
      </c>
    </row>
    <row r="2868" customFormat="false" ht="15" hidden="false" customHeight="false" outlineLevel="0" collapsed="false">
      <c r="A2868" s="19"/>
      <c r="B2868" s="19"/>
      <c r="C2868" s="19"/>
      <c r="D2868" s="19"/>
      <c r="E2868" s="32"/>
      <c r="F2868" s="19"/>
      <c r="G2868" s="26" t="str">
        <f aca="false">IF(A2868="","",COUNTIF(Pubs!$B$2:$B$3001,A2868))</f>
        <v/>
      </c>
      <c r="H2868" s="26" t="str">
        <f aca="false">IF(A2868="","",COUNTIF(Apparitions!$H$2:$H$5001,A2868))</f>
        <v/>
      </c>
      <c r="I2868" s="26" t="str">
        <f aca="false">IF(A2868="","",COUNTIFS(Apparitions!$H$2:$H$5001,A2868,Apparitions!$E$2:$E$5001,"○"))</f>
        <v/>
      </c>
      <c r="J2868" s="29" t="str">
        <f aca="false">IF(A2868="","",IFERROR(1/(1/_xlfn.MINIFS(Apparitions!$L$2:$L$5001,Apparitions!$H$2:$H$5001,A2868)),""))</f>
        <v/>
      </c>
    </row>
    <row r="2869" customFormat="false" ht="15" hidden="false" customHeight="false" outlineLevel="0" collapsed="false">
      <c r="A2869" s="19"/>
      <c r="B2869" s="19"/>
      <c r="C2869" s="19"/>
      <c r="D2869" s="19"/>
      <c r="E2869" s="32"/>
      <c r="F2869" s="19"/>
      <c r="G2869" s="26" t="str">
        <f aca="false">IF(A2869="","",COUNTIF(Pubs!$B$2:$B$3001,A2869))</f>
        <v/>
      </c>
      <c r="H2869" s="26" t="str">
        <f aca="false">IF(A2869="","",COUNTIF(Apparitions!$H$2:$H$5001,A2869))</f>
        <v/>
      </c>
      <c r="I2869" s="26" t="str">
        <f aca="false">IF(A2869="","",COUNTIFS(Apparitions!$H$2:$H$5001,A2869,Apparitions!$E$2:$E$5001,"○"))</f>
        <v/>
      </c>
      <c r="J2869" s="29" t="str">
        <f aca="false">IF(A2869="","",IFERROR(1/(1/_xlfn.MINIFS(Apparitions!$L$2:$L$5001,Apparitions!$H$2:$H$5001,A2869)),""))</f>
        <v/>
      </c>
    </row>
    <row r="2870" customFormat="false" ht="15" hidden="false" customHeight="false" outlineLevel="0" collapsed="false">
      <c r="A2870" s="19"/>
      <c r="B2870" s="19"/>
      <c r="C2870" s="19"/>
      <c r="D2870" s="19"/>
      <c r="E2870" s="32"/>
      <c r="F2870" s="19"/>
      <c r="G2870" s="26" t="str">
        <f aca="false">IF(A2870="","",COUNTIF(Pubs!$B$2:$B$3001,A2870))</f>
        <v/>
      </c>
      <c r="H2870" s="26" t="str">
        <f aca="false">IF(A2870="","",COUNTIF(Apparitions!$H$2:$H$5001,A2870))</f>
        <v/>
      </c>
      <c r="I2870" s="26" t="str">
        <f aca="false">IF(A2870="","",COUNTIFS(Apparitions!$H$2:$H$5001,A2870,Apparitions!$E$2:$E$5001,"○"))</f>
        <v/>
      </c>
      <c r="J2870" s="29" t="str">
        <f aca="false">IF(A2870="","",IFERROR(1/(1/_xlfn.MINIFS(Apparitions!$L$2:$L$5001,Apparitions!$H$2:$H$5001,A2870)),""))</f>
        <v/>
      </c>
    </row>
    <row r="2871" customFormat="false" ht="15" hidden="false" customHeight="false" outlineLevel="0" collapsed="false">
      <c r="A2871" s="19"/>
      <c r="B2871" s="19"/>
      <c r="C2871" s="19"/>
      <c r="D2871" s="19"/>
      <c r="E2871" s="32"/>
      <c r="F2871" s="19"/>
      <c r="G2871" s="26" t="str">
        <f aca="false">IF(A2871="","",COUNTIF(Pubs!$B$2:$B$3001,A2871))</f>
        <v/>
      </c>
      <c r="H2871" s="26" t="str">
        <f aca="false">IF(A2871="","",COUNTIF(Apparitions!$H$2:$H$5001,A2871))</f>
        <v/>
      </c>
      <c r="I2871" s="26" t="str">
        <f aca="false">IF(A2871="","",COUNTIFS(Apparitions!$H$2:$H$5001,A2871,Apparitions!$E$2:$E$5001,"○"))</f>
        <v/>
      </c>
      <c r="J2871" s="29" t="str">
        <f aca="false">IF(A2871="","",IFERROR(1/(1/_xlfn.MINIFS(Apparitions!$L$2:$L$5001,Apparitions!$H$2:$H$5001,A2871)),""))</f>
        <v/>
      </c>
    </row>
    <row r="2872" customFormat="false" ht="15" hidden="false" customHeight="false" outlineLevel="0" collapsed="false">
      <c r="A2872" s="19"/>
      <c r="B2872" s="19"/>
      <c r="C2872" s="19"/>
      <c r="D2872" s="19"/>
      <c r="E2872" s="32"/>
      <c r="F2872" s="19"/>
      <c r="G2872" s="26" t="str">
        <f aca="false">IF(A2872="","",COUNTIF(Pubs!$B$2:$B$3001,A2872))</f>
        <v/>
      </c>
      <c r="H2872" s="26" t="str">
        <f aca="false">IF(A2872="","",COUNTIF(Apparitions!$H$2:$H$5001,A2872))</f>
        <v/>
      </c>
      <c r="I2872" s="26" t="str">
        <f aca="false">IF(A2872="","",COUNTIFS(Apparitions!$H$2:$H$5001,A2872,Apparitions!$E$2:$E$5001,"○"))</f>
        <v/>
      </c>
      <c r="J2872" s="29" t="str">
        <f aca="false">IF(A2872="","",IFERROR(1/(1/_xlfn.MINIFS(Apparitions!$L$2:$L$5001,Apparitions!$H$2:$H$5001,A2872)),""))</f>
        <v/>
      </c>
    </row>
    <row r="2873" customFormat="false" ht="15" hidden="false" customHeight="false" outlineLevel="0" collapsed="false">
      <c r="A2873" s="19"/>
      <c r="B2873" s="19"/>
      <c r="C2873" s="19"/>
      <c r="D2873" s="19"/>
      <c r="E2873" s="32"/>
      <c r="F2873" s="19"/>
      <c r="G2873" s="26" t="str">
        <f aca="false">IF(A2873="","",COUNTIF(Pubs!$B$2:$B$3001,A2873))</f>
        <v/>
      </c>
      <c r="H2873" s="26" t="str">
        <f aca="false">IF(A2873="","",COUNTIF(Apparitions!$H$2:$H$5001,A2873))</f>
        <v/>
      </c>
      <c r="I2873" s="26" t="str">
        <f aca="false">IF(A2873="","",COUNTIFS(Apparitions!$H$2:$H$5001,A2873,Apparitions!$E$2:$E$5001,"○"))</f>
        <v/>
      </c>
      <c r="J2873" s="29" t="str">
        <f aca="false">IF(A2873="","",IFERROR(1/(1/_xlfn.MINIFS(Apparitions!$L$2:$L$5001,Apparitions!$H$2:$H$5001,A2873)),""))</f>
        <v/>
      </c>
    </row>
    <row r="2874" customFormat="false" ht="15" hidden="false" customHeight="false" outlineLevel="0" collapsed="false">
      <c r="A2874" s="19"/>
      <c r="B2874" s="19"/>
      <c r="C2874" s="19"/>
      <c r="D2874" s="19"/>
      <c r="E2874" s="32"/>
      <c r="F2874" s="19"/>
      <c r="G2874" s="26" t="str">
        <f aca="false">IF(A2874="","",COUNTIF(Pubs!$B$2:$B$3001,A2874))</f>
        <v/>
      </c>
      <c r="H2874" s="26" t="str">
        <f aca="false">IF(A2874="","",COUNTIF(Apparitions!$H$2:$H$5001,A2874))</f>
        <v/>
      </c>
      <c r="I2874" s="26" t="str">
        <f aca="false">IF(A2874="","",COUNTIFS(Apparitions!$H$2:$H$5001,A2874,Apparitions!$E$2:$E$5001,"○"))</f>
        <v/>
      </c>
      <c r="J2874" s="29" t="str">
        <f aca="false">IF(A2874="","",IFERROR(1/(1/_xlfn.MINIFS(Apparitions!$L$2:$L$5001,Apparitions!$H$2:$H$5001,A2874)),""))</f>
        <v/>
      </c>
    </row>
    <row r="2875" customFormat="false" ht="15" hidden="false" customHeight="false" outlineLevel="0" collapsed="false">
      <c r="A2875" s="19"/>
      <c r="B2875" s="19"/>
      <c r="C2875" s="19"/>
      <c r="D2875" s="19"/>
      <c r="E2875" s="32"/>
      <c r="F2875" s="19"/>
      <c r="G2875" s="26" t="str">
        <f aca="false">IF(A2875="","",COUNTIF(Pubs!$B$2:$B$3001,A2875))</f>
        <v/>
      </c>
      <c r="H2875" s="26" t="str">
        <f aca="false">IF(A2875="","",COUNTIF(Apparitions!$H$2:$H$5001,A2875))</f>
        <v/>
      </c>
      <c r="I2875" s="26" t="str">
        <f aca="false">IF(A2875="","",COUNTIFS(Apparitions!$H$2:$H$5001,A2875,Apparitions!$E$2:$E$5001,"○"))</f>
        <v/>
      </c>
      <c r="J2875" s="29" t="str">
        <f aca="false">IF(A2875="","",IFERROR(1/(1/_xlfn.MINIFS(Apparitions!$L$2:$L$5001,Apparitions!$H$2:$H$5001,A2875)),""))</f>
        <v/>
      </c>
    </row>
    <row r="2876" customFormat="false" ht="15" hidden="false" customHeight="false" outlineLevel="0" collapsed="false">
      <c r="A2876" s="19"/>
      <c r="B2876" s="19"/>
      <c r="C2876" s="19"/>
      <c r="D2876" s="19"/>
      <c r="E2876" s="32"/>
      <c r="F2876" s="19"/>
      <c r="G2876" s="26" t="str">
        <f aca="false">IF(A2876="","",COUNTIF(Pubs!$B$2:$B$3001,A2876))</f>
        <v/>
      </c>
      <c r="H2876" s="26" t="str">
        <f aca="false">IF(A2876="","",COUNTIF(Apparitions!$H$2:$H$5001,A2876))</f>
        <v/>
      </c>
      <c r="I2876" s="26" t="str">
        <f aca="false">IF(A2876="","",COUNTIFS(Apparitions!$H$2:$H$5001,A2876,Apparitions!$E$2:$E$5001,"○"))</f>
        <v/>
      </c>
      <c r="J2876" s="29" t="str">
        <f aca="false">IF(A2876="","",IFERROR(1/(1/_xlfn.MINIFS(Apparitions!$L$2:$L$5001,Apparitions!$H$2:$H$5001,A2876)),""))</f>
        <v/>
      </c>
    </row>
    <row r="2877" customFormat="false" ht="15" hidden="false" customHeight="false" outlineLevel="0" collapsed="false">
      <c r="A2877" s="19"/>
      <c r="B2877" s="19"/>
      <c r="C2877" s="19"/>
      <c r="D2877" s="19"/>
      <c r="E2877" s="32"/>
      <c r="F2877" s="19"/>
      <c r="G2877" s="26" t="str">
        <f aca="false">IF(A2877="","",COUNTIF(Pubs!$B$2:$B$3001,A2877))</f>
        <v/>
      </c>
      <c r="H2877" s="26" t="str">
        <f aca="false">IF(A2877="","",COUNTIF(Apparitions!$H$2:$H$5001,A2877))</f>
        <v/>
      </c>
      <c r="I2877" s="26" t="str">
        <f aca="false">IF(A2877="","",COUNTIFS(Apparitions!$H$2:$H$5001,A2877,Apparitions!$E$2:$E$5001,"○"))</f>
        <v/>
      </c>
      <c r="J2877" s="29" t="str">
        <f aca="false">IF(A2877="","",IFERROR(1/(1/_xlfn.MINIFS(Apparitions!$L$2:$L$5001,Apparitions!$H$2:$H$5001,A2877)),""))</f>
        <v/>
      </c>
    </row>
    <row r="2878" customFormat="false" ht="15" hidden="false" customHeight="false" outlineLevel="0" collapsed="false">
      <c r="A2878" s="19"/>
      <c r="B2878" s="19"/>
      <c r="C2878" s="19"/>
      <c r="D2878" s="19"/>
      <c r="E2878" s="32"/>
      <c r="F2878" s="19"/>
      <c r="G2878" s="26" t="str">
        <f aca="false">IF(A2878="","",COUNTIF(Pubs!$B$2:$B$3001,A2878))</f>
        <v/>
      </c>
      <c r="H2878" s="26" t="str">
        <f aca="false">IF(A2878="","",COUNTIF(Apparitions!$H$2:$H$5001,A2878))</f>
        <v/>
      </c>
      <c r="I2878" s="26" t="str">
        <f aca="false">IF(A2878="","",COUNTIFS(Apparitions!$H$2:$H$5001,A2878,Apparitions!$E$2:$E$5001,"○"))</f>
        <v/>
      </c>
      <c r="J2878" s="29" t="str">
        <f aca="false">IF(A2878="","",IFERROR(1/(1/_xlfn.MINIFS(Apparitions!$L$2:$L$5001,Apparitions!$H$2:$H$5001,A2878)),""))</f>
        <v/>
      </c>
    </row>
    <row r="2879" customFormat="false" ht="15" hidden="false" customHeight="false" outlineLevel="0" collapsed="false">
      <c r="A2879" s="19"/>
      <c r="B2879" s="19"/>
      <c r="C2879" s="19"/>
      <c r="D2879" s="19"/>
      <c r="E2879" s="32"/>
      <c r="F2879" s="19"/>
      <c r="G2879" s="26" t="str">
        <f aca="false">IF(A2879="","",COUNTIF(Pubs!$B$2:$B$3001,A2879))</f>
        <v/>
      </c>
      <c r="H2879" s="26" t="str">
        <f aca="false">IF(A2879="","",COUNTIF(Apparitions!$H$2:$H$5001,A2879))</f>
        <v/>
      </c>
      <c r="I2879" s="26" t="str">
        <f aca="false">IF(A2879="","",COUNTIFS(Apparitions!$H$2:$H$5001,A2879,Apparitions!$E$2:$E$5001,"○"))</f>
        <v/>
      </c>
      <c r="J2879" s="29" t="str">
        <f aca="false">IF(A2879="","",IFERROR(1/(1/_xlfn.MINIFS(Apparitions!$L$2:$L$5001,Apparitions!$H$2:$H$5001,A2879)),""))</f>
        <v/>
      </c>
    </row>
    <row r="2880" customFormat="false" ht="15" hidden="false" customHeight="false" outlineLevel="0" collapsed="false">
      <c r="A2880" s="19"/>
      <c r="B2880" s="19"/>
      <c r="C2880" s="19"/>
      <c r="D2880" s="19"/>
      <c r="E2880" s="32"/>
      <c r="F2880" s="19"/>
      <c r="G2880" s="26" t="str">
        <f aca="false">IF(A2880="","",COUNTIF(Pubs!$B$2:$B$3001,A2880))</f>
        <v/>
      </c>
      <c r="H2880" s="26" t="str">
        <f aca="false">IF(A2880="","",COUNTIF(Apparitions!$H$2:$H$5001,A2880))</f>
        <v/>
      </c>
      <c r="I2880" s="26" t="str">
        <f aca="false">IF(A2880="","",COUNTIFS(Apparitions!$H$2:$H$5001,A2880,Apparitions!$E$2:$E$5001,"○"))</f>
        <v/>
      </c>
      <c r="J2880" s="29" t="str">
        <f aca="false">IF(A2880="","",IFERROR(1/(1/_xlfn.MINIFS(Apparitions!$L$2:$L$5001,Apparitions!$H$2:$H$5001,A2880)),""))</f>
        <v/>
      </c>
    </row>
    <row r="2881" customFormat="false" ht="15" hidden="false" customHeight="false" outlineLevel="0" collapsed="false">
      <c r="A2881" s="19"/>
      <c r="B2881" s="19"/>
      <c r="C2881" s="19"/>
      <c r="D2881" s="19"/>
      <c r="E2881" s="32"/>
      <c r="F2881" s="19"/>
      <c r="G2881" s="26" t="str">
        <f aca="false">IF(A2881="","",COUNTIF(Pubs!$B$2:$B$3001,A2881))</f>
        <v/>
      </c>
      <c r="H2881" s="26" t="str">
        <f aca="false">IF(A2881="","",COUNTIF(Apparitions!$H$2:$H$5001,A2881))</f>
        <v/>
      </c>
      <c r="I2881" s="26" t="str">
        <f aca="false">IF(A2881="","",COUNTIFS(Apparitions!$H$2:$H$5001,A2881,Apparitions!$E$2:$E$5001,"○"))</f>
        <v/>
      </c>
      <c r="J2881" s="29" t="str">
        <f aca="false">IF(A2881="","",IFERROR(1/(1/_xlfn.MINIFS(Apparitions!$L$2:$L$5001,Apparitions!$H$2:$H$5001,A2881)),""))</f>
        <v/>
      </c>
    </row>
    <row r="2882" customFormat="false" ht="15" hidden="false" customHeight="false" outlineLevel="0" collapsed="false">
      <c r="A2882" s="19"/>
      <c r="B2882" s="19"/>
      <c r="C2882" s="19"/>
      <c r="D2882" s="19"/>
      <c r="E2882" s="32"/>
      <c r="F2882" s="19"/>
      <c r="G2882" s="26" t="str">
        <f aca="false">IF(A2882="","",COUNTIF(Pubs!$B$2:$B$3001,A2882))</f>
        <v/>
      </c>
      <c r="H2882" s="26" t="str">
        <f aca="false">IF(A2882="","",COUNTIF(Apparitions!$H$2:$H$5001,A2882))</f>
        <v/>
      </c>
      <c r="I2882" s="26" t="str">
        <f aca="false">IF(A2882="","",COUNTIFS(Apparitions!$H$2:$H$5001,A2882,Apparitions!$E$2:$E$5001,"○"))</f>
        <v/>
      </c>
      <c r="J2882" s="29" t="str">
        <f aca="false">IF(A2882="","",IFERROR(1/(1/_xlfn.MINIFS(Apparitions!$L$2:$L$5001,Apparitions!$H$2:$H$5001,A2882)),""))</f>
        <v/>
      </c>
    </row>
    <row r="2883" customFormat="false" ht="15" hidden="false" customHeight="false" outlineLevel="0" collapsed="false">
      <c r="A2883" s="19"/>
      <c r="B2883" s="19"/>
      <c r="C2883" s="19"/>
      <c r="D2883" s="19"/>
      <c r="E2883" s="32"/>
      <c r="F2883" s="19"/>
      <c r="G2883" s="26" t="str">
        <f aca="false">IF(A2883="","",COUNTIF(Pubs!$B$2:$B$3001,A2883))</f>
        <v/>
      </c>
      <c r="H2883" s="26" t="str">
        <f aca="false">IF(A2883="","",COUNTIF(Apparitions!$H$2:$H$5001,A2883))</f>
        <v/>
      </c>
      <c r="I2883" s="26" t="str">
        <f aca="false">IF(A2883="","",COUNTIFS(Apparitions!$H$2:$H$5001,A2883,Apparitions!$E$2:$E$5001,"○"))</f>
        <v/>
      </c>
      <c r="J2883" s="29" t="str">
        <f aca="false">IF(A2883="","",IFERROR(1/(1/_xlfn.MINIFS(Apparitions!$L$2:$L$5001,Apparitions!$H$2:$H$5001,A2883)),""))</f>
        <v/>
      </c>
    </row>
    <row r="2884" customFormat="false" ht="15" hidden="false" customHeight="false" outlineLevel="0" collapsed="false">
      <c r="A2884" s="19"/>
      <c r="B2884" s="19"/>
      <c r="C2884" s="19"/>
      <c r="D2884" s="19"/>
      <c r="E2884" s="32"/>
      <c r="F2884" s="19"/>
      <c r="G2884" s="26" t="str">
        <f aca="false">IF(A2884="","",COUNTIF(Pubs!$B$2:$B$3001,A2884))</f>
        <v/>
      </c>
      <c r="H2884" s="26" t="str">
        <f aca="false">IF(A2884="","",COUNTIF(Apparitions!$H$2:$H$5001,A2884))</f>
        <v/>
      </c>
      <c r="I2884" s="26" t="str">
        <f aca="false">IF(A2884="","",COUNTIFS(Apparitions!$H$2:$H$5001,A2884,Apparitions!$E$2:$E$5001,"○"))</f>
        <v/>
      </c>
      <c r="J2884" s="29" t="str">
        <f aca="false">IF(A2884="","",IFERROR(1/(1/_xlfn.MINIFS(Apparitions!$L$2:$L$5001,Apparitions!$H$2:$H$5001,A2884)),""))</f>
        <v/>
      </c>
    </row>
    <row r="2885" customFormat="false" ht="15" hidden="false" customHeight="false" outlineLevel="0" collapsed="false">
      <c r="A2885" s="19"/>
      <c r="B2885" s="19"/>
      <c r="C2885" s="19"/>
      <c r="D2885" s="19"/>
      <c r="E2885" s="32"/>
      <c r="F2885" s="19"/>
      <c r="G2885" s="26" t="str">
        <f aca="false">IF(A2885="","",COUNTIF(Pubs!$B$2:$B$3001,A2885))</f>
        <v/>
      </c>
      <c r="H2885" s="26" t="str">
        <f aca="false">IF(A2885="","",COUNTIF(Apparitions!$H$2:$H$5001,A2885))</f>
        <v/>
      </c>
      <c r="I2885" s="26" t="str">
        <f aca="false">IF(A2885="","",COUNTIFS(Apparitions!$H$2:$H$5001,A2885,Apparitions!$E$2:$E$5001,"○"))</f>
        <v/>
      </c>
      <c r="J2885" s="29" t="str">
        <f aca="false">IF(A2885="","",IFERROR(1/(1/_xlfn.MINIFS(Apparitions!$L$2:$L$5001,Apparitions!$H$2:$H$5001,A2885)),""))</f>
        <v/>
      </c>
    </row>
    <row r="2886" customFormat="false" ht="15" hidden="false" customHeight="false" outlineLevel="0" collapsed="false">
      <c r="A2886" s="19"/>
      <c r="B2886" s="19"/>
      <c r="C2886" s="19"/>
      <c r="D2886" s="19"/>
      <c r="E2886" s="32"/>
      <c r="F2886" s="19"/>
      <c r="G2886" s="26" t="str">
        <f aca="false">IF(A2886="","",COUNTIF(Pubs!$B$2:$B$3001,A2886))</f>
        <v/>
      </c>
      <c r="H2886" s="26" t="str">
        <f aca="false">IF(A2886="","",COUNTIF(Apparitions!$H$2:$H$5001,A2886))</f>
        <v/>
      </c>
      <c r="I2886" s="26" t="str">
        <f aca="false">IF(A2886="","",COUNTIFS(Apparitions!$H$2:$H$5001,A2886,Apparitions!$E$2:$E$5001,"○"))</f>
        <v/>
      </c>
      <c r="J2886" s="29" t="str">
        <f aca="false">IF(A2886="","",IFERROR(1/(1/_xlfn.MINIFS(Apparitions!$L$2:$L$5001,Apparitions!$H$2:$H$5001,A2886)),""))</f>
        <v/>
      </c>
    </row>
    <row r="2887" customFormat="false" ht="15" hidden="false" customHeight="false" outlineLevel="0" collapsed="false">
      <c r="A2887" s="19"/>
      <c r="B2887" s="19"/>
      <c r="C2887" s="19"/>
      <c r="D2887" s="19"/>
      <c r="E2887" s="32"/>
      <c r="F2887" s="19"/>
      <c r="G2887" s="26" t="str">
        <f aca="false">IF(A2887="","",COUNTIF(Pubs!$B$2:$B$3001,A2887))</f>
        <v/>
      </c>
      <c r="H2887" s="26" t="str">
        <f aca="false">IF(A2887="","",COUNTIF(Apparitions!$H$2:$H$5001,A2887))</f>
        <v/>
      </c>
      <c r="I2887" s="26" t="str">
        <f aca="false">IF(A2887="","",COUNTIFS(Apparitions!$H$2:$H$5001,A2887,Apparitions!$E$2:$E$5001,"○"))</f>
        <v/>
      </c>
      <c r="J2887" s="29" t="str">
        <f aca="false">IF(A2887="","",IFERROR(1/(1/_xlfn.MINIFS(Apparitions!$L$2:$L$5001,Apparitions!$H$2:$H$5001,A2887)),""))</f>
        <v/>
      </c>
    </row>
    <row r="2888" customFormat="false" ht="15" hidden="false" customHeight="false" outlineLevel="0" collapsed="false">
      <c r="A2888" s="19"/>
      <c r="B2888" s="19"/>
      <c r="C2888" s="19"/>
      <c r="D2888" s="19"/>
      <c r="E2888" s="32"/>
      <c r="F2888" s="19"/>
      <c r="G2888" s="26" t="str">
        <f aca="false">IF(A2888="","",COUNTIF(Pubs!$B$2:$B$3001,A2888))</f>
        <v/>
      </c>
      <c r="H2888" s="26" t="str">
        <f aca="false">IF(A2888="","",COUNTIF(Apparitions!$H$2:$H$5001,A2888))</f>
        <v/>
      </c>
      <c r="I2888" s="26" t="str">
        <f aca="false">IF(A2888="","",COUNTIFS(Apparitions!$H$2:$H$5001,A2888,Apparitions!$E$2:$E$5001,"○"))</f>
        <v/>
      </c>
      <c r="J2888" s="29" t="str">
        <f aca="false">IF(A2888="","",IFERROR(1/(1/_xlfn.MINIFS(Apparitions!$L$2:$L$5001,Apparitions!$H$2:$H$5001,A2888)),""))</f>
        <v/>
      </c>
    </row>
    <row r="2889" customFormat="false" ht="15" hidden="false" customHeight="false" outlineLevel="0" collapsed="false">
      <c r="A2889" s="19"/>
      <c r="B2889" s="19"/>
      <c r="C2889" s="19"/>
      <c r="D2889" s="19"/>
      <c r="E2889" s="32"/>
      <c r="F2889" s="19"/>
      <c r="G2889" s="26" t="str">
        <f aca="false">IF(A2889="","",COUNTIF(Pubs!$B$2:$B$3001,A2889))</f>
        <v/>
      </c>
      <c r="H2889" s="26" t="str">
        <f aca="false">IF(A2889="","",COUNTIF(Apparitions!$H$2:$H$5001,A2889))</f>
        <v/>
      </c>
      <c r="I2889" s="26" t="str">
        <f aca="false">IF(A2889="","",COUNTIFS(Apparitions!$H$2:$H$5001,A2889,Apparitions!$E$2:$E$5001,"○"))</f>
        <v/>
      </c>
      <c r="J2889" s="29" t="str">
        <f aca="false">IF(A2889="","",IFERROR(1/(1/_xlfn.MINIFS(Apparitions!$L$2:$L$5001,Apparitions!$H$2:$H$5001,A2889)),""))</f>
        <v/>
      </c>
    </row>
    <row r="2890" customFormat="false" ht="15" hidden="false" customHeight="false" outlineLevel="0" collapsed="false">
      <c r="A2890" s="19"/>
      <c r="B2890" s="19"/>
      <c r="C2890" s="19"/>
      <c r="D2890" s="19"/>
      <c r="E2890" s="32"/>
      <c r="F2890" s="19"/>
      <c r="G2890" s="26" t="str">
        <f aca="false">IF(A2890="","",COUNTIF(Pubs!$B$2:$B$3001,A2890))</f>
        <v/>
      </c>
      <c r="H2890" s="26" t="str">
        <f aca="false">IF(A2890="","",COUNTIF(Apparitions!$H$2:$H$5001,A2890))</f>
        <v/>
      </c>
      <c r="I2890" s="26" t="str">
        <f aca="false">IF(A2890="","",COUNTIFS(Apparitions!$H$2:$H$5001,A2890,Apparitions!$E$2:$E$5001,"○"))</f>
        <v/>
      </c>
      <c r="J2890" s="29" t="str">
        <f aca="false">IF(A2890="","",IFERROR(1/(1/_xlfn.MINIFS(Apparitions!$L$2:$L$5001,Apparitions!$H$2:$H$5001,A2890)),""))</f>
        <v/>
      </c>
    </row>
    <row r="2891" customFormat="false" ht="15" hidden="false" customHeight="false" outlineLevel="0" collapsed="false">
      <c r="A2891" s="19"/>
      <c r="B2891" s="19"/>
      <c r="C2891" s="19"/>
      <c r="D2891" s="19"/>
      <c r="E2891" s="32"/>
      <c r="F2891" s="19"/>
      <c r="G2891" s="26" t="str">
        <f aca="false">IF(A2891="","",COUNTIF(Pubs!$B$2:$B$3001,A2891))</f>
        <v/>
      </c>
      <c r="H2891" s="26" t="str">
        <f aca="false">IF(A2891="","",COUNTIF(Apparitions!$H$2:$H$5001,A2891))</f>
        <v/>
      </c>
      <c r="I2891" s="26" t="str">
        <f aca="false">IF(A2891="","",COUNTIFS(Apparitions!$H$2:$H$5001,A2891,Apparitions!$E$2:$E$5001,"○"))</f>
        <v/>
      </c>
      <c r="J2891" s="29" t="str">
        <f aca="false">IF(A2891="","",IFERROR(1/(1/_xlfn.MINIFS(Apparitions!$L$2:$L$5001,Apparitions!$H$2:$H$5001,A2891)),""))</f>
        <v/>
      </c>
    </row>
    <row r="2892" customFormat="false" ht="15" hidden="false" customHeight="false" outlineLevel="0" collapsed="false">
      <c r="A2892" s="19"/>
      <c r="B2892" s="19"/>
      <c r="C2892" s="19"/>
      <c r="D2892" s="19"/>
      <c r="E2892" s="32"/>
      <c r="F2892" s="19"/>
      <c r="G2892" s="26" t="str">
        <f aca="false">IF(A2892="","",COUNTIF(Pubs!$B$2:$B$3001,A2892))</f>
        <v/>
      </c>
      <c r="H2892" s="26" t="str">
        <f aca="false">IF(A2892="","",COUNTIF(Apparitions!$H$2:$H$5001,A2892))</f>
        <v/>
      </c>
      <c r="I2892" s="26" t="str">
        <f aca="false">IF(A2892="","",COUNTIFS(Apparitions!$H$2:$H$5001,A2892,Apparitions!$E$2:$E$5001,"○"))</f>
        <v/>
      </c>
      <c r="J2892" s="29" t="str">
        <f aca="false">IF(A2892="","",IFERROR(1/(1/_xlfn.MINIFS(Apparitions!$L$2:$L$5001,Apparitions!$H$2:$H$5001,A2892)),""))</f>
        <v/>
      </c>
    </row>
    <row r="2893" customFormat="false" ht="15" hidden="false" customHeight="false" outlineLevel="0" collapsed="false">
      <c r="A2893" s="19"/>
      <c r="B2893" s="19"/>
      <c r="C2893" s="19"/>
      <c r="D2893" s="19"/>
      <c r="E2893" s="32"/>
      <c r="F2893" s="19"/>
      <c r="G2893" s="26" t="str">
        <f aca="false">IF(A2893="","",COUNTIF(Pubs!$B$2:$B$3001,A2893))</f>
        <v/>
      </c>
      <c r="H2893" s="26" t="str">
        <f aca="false">IF(A2893="","",COUNTIF(Apparitions!$H$2:$H$5001,A2893))</f>
        <v/>
      </c>
      <c r="I2893" s="26" t="str">
        <f aca="false">IF(A2893="","",COUNTIFS(Apparitions!$H$2:$H$5001,A2893,Apparitions!$E$2:$E$5001,"○"))</f>
        <v/>
      </c>
      <c r="J2893" s="29" t="str">
        <f aca="false">IF(A2893="","",IFERROR(1/(1/_xlfn.MINIFS(Apparitions!$L$2:$L$5001,Apparitions!$H$2:$H$5001,A2893)),""))</f>
        <v/>
      </c>
    </row>
    <row r="2894" customFormat="false" ht="15" hidden="false" customHeight="false" outlineLevel="0" collapsed="false">
      <c r="A2894" s="19"/>
      <c r="B2894" s="19"/>
      <c r="C2894" s="19"/>
      <c r="D2894" s="19"/>
      <c r="E2894" s="32"/>
      <c r="F2894" s="19"/>
      <c r="G2894" s="26" t="str">
        <f aca="false">IF(A2894="","",COUNTIF(Pubs!$B$2:$B$3001,A2894))</f>
        <v/>
      </c>
      <c r="H2894" s="26" t="str">
        <f aca="false">IF(A2894="","",COUNTIF(Apparitions!$H$2:$H$5001,A2894))</f>
        <v/>
      </c>
      <c r="I2894" s="26" t="str">
        <f aca="false">IF(A2894="","",COUNTIFS(Apparitions!$H$2:$H$5001,A2894,Apparitions!$E$2:$E$5001,"○"))</f>
        <v/>
      </c>
      <c r="J2894" s="29" t="str">
        <f aca="false">IF(A2894="","",IFERROR(1/(1/_xlfn.MINIFS(Apparitions!$L$2:$L$5001,Apparitions!$H$2:$H$5001,A2894)),""))</f>
        <v/>
      </c>
    </row>
    <row r="2895" customFormat="false" ht="15" hidden="false" customHeight="false" outlineLevel="0" collapsed="false">
      <c r="A2895" s="19"/>
      <c r="B2895" s="19"/>
      <c r="C2895" s="19"/>
      <c r="D2895" s="19"/>
      <c r="E2895" s="32"/>
      <c r="F2895" s="19"/>
      <c r="G2895" s="26" t="str">
        <f aca="false">IF(A2895="","",COUNTIF(Pubs!$B$2:$B$3001,A2895))</f>
        <v/>
      </c>
      <c r="H2895" s="26" t="str">
        <f aca="false">IF(A2895="","",COUNTIF(Apparitions!$H$2:$H$5001,A2895))</f>
        <v/>
      </c>
      <c r="I2895" s="26" t="str">
        <f aca="false">IF(A2895="","",COUNTIFS(Apparitions!$H$2:$H$5001,A2895,Apparitions!$E$2:$E$5001,"○"))</f>
        <v/>
      </c>
      <c r="J2895" s="29" t="str">
        <f aca="false">IF(A2895="","",IFERROR(1/(1/_xlfn.MINIFS(Apparitions!$L$2:$L$5001,Apparitions!$H$2:$H$5001,A2895)),""))</f>
        <v/>
      </c>
    </row>
    <row r="2896" customFormat="false" ht="15" hidden="false" customHeight="false" outlineLevel="0" collapsed="false">
      <c r="A2896" s="19"/>
      <c r="B2896" s="19"/>
      <c r="C2896" s="19"/>
      <c r="D2896" s="19"/>
      <c r="E2896" s="32"/>
      <c r="F2896" s="19"/>
      <c r="G2896" s="26" t="str">
        <f aca="false">IF(A2896="","",COUNTIF(Pubs!$B$2:$B$3001,A2896))</f>
        <v/>
      </c>
      <c r="H2896" s="26" t="str">
        <f aca="false">IF(A2896="","",COUNTIF(Apparitions!$H$2:$H$5001,A2896))</f>
        <v/>
      </c>
      <c r="I2896" s="26" t="str">
        <f aca="false">IF(A2896="","",COUNTIFS(Apparitions!$H$2:$H$5001,A2896,Apparitions!$E$2:$E$5001,"○"))</f>
        <v/>
      </c>
      <c r="J2896" s="29" t="str">
        <f aca="false">IF(A2896="","",IFERROR(1/(1/_xlfn.MINIFS(Apparitions!$L$2:$L$5001,Apparitions!$H$2:$H$5001,A2896)),""))</f>
        <v/>
      </c>
    </row>
    <row r="2897" customFormat="false" ht="15" hidden="false" customHeight="false" outlineLevel="0" collapsed="false">
      <c r="A2897" s="19"/>
      <c r="B2897" s="19"/>
      <c r="C2897" s="19"/>
      <c r="D2897" s="19"/>
      <c r="E2897" s="32"/>
      <c r="F2897" s="19"/>
      <c r="G2897" s="26" t="str">
        <f aca="false">IF(A2897="","",COUNTIF(Pubs!$B$2:$B$3001,A2897))</f>
        <v/>
      </c>
      <c r="H2897" s="26" t="str">
        <f aca="false">IF(A2897="","",COUNTIF(Apparitions!$H$2:$H$5001,A2897))</f>
        <v/>
      </c>
      <c r="I2897" s="26" t="str">
        <f aca="false">IF(A2897="","",COUNTIFS(Apparitions!$H$2:$H$5001,A2897,Apparitions!$E$2:$E$5001,"○"))</f>
        <v/>
      </c>
      <c r="J2897" s="29" t="str">
        <f aca="false">IF(A2897="","",IFERROR(1/(1/_xlfn.MINIFS(Apparitions!$L$2:$L$5001,Apparitions!$H$2:$H$5001,A2897)),""))</f>
        <v/>
      </c>
    </row>
    <row r="2898" customFormat="false" ht="15" hidden="false" customHeight="false" outlineLevel="0" collapsed="false">
      <c r="A2898" s="19"/>
      <c r="B2898" s="19"/>
      <c r="C2898" s="19"/>
      <c r="D2898" s="19"/>
      <c r="E2898" s="32"/>
      <c r="F2898" s="19"/>
      <c r="G2898" s="26" t="str">
        <f aca="false">IF(A2898="","",COUNTIF(Pubs!$B$2:$B$3001,A2898))</f>
        <v/>
      </c>
      <c r="H2898" s="26" t="str">
        <f aca="false">IF(A2898="","",COUNTIF(Apparitions!$H$2:$H$5001,A2898))</f>
        <v/>
      </c>
      <c r="I2898" s="26" t="str">
        <f aca="false">IF(A2898="","",COUNTIFS(Apparitions!$H$2:$H$5001,A2898,Apparitions!$E$2:$E$5001,"○"))</f>
        <v/>
      </c>
      <c r="J2898" s="29" t="str">
        <f aca="false">IF(A2898="","",IFERROR(1/(1/_xlfn.MINIFS(Apparitions!$L$2:$L$5001,Apparitions!$H$2:$H$5001,A2898)),""))</f>
        <v/>
      </c>
    </row>
    <row r="2899" customFormat="false" ht="15" hidden="false" customHeight="false" outlineLevel="0" collapsed="false">
      <c r="A2899" s="19"/>
      <c r="B2899" s="19"/>
      <c r="C2899" s="19"/>
      <c r="D2899" s="19"/>
      <c r="E2899" s="32"/>
      <c r="F2899" s="19"/>
      <c r="G2899" s="26" t="str">
        <f aca="false">IF(A2899="","",COUNTIF(Pubs!$B$2:$B$3001,A2899))</f>
        <v/>
      </c>
      <c r="H2899" s="26" t="str">
        <f aca="false">IF(A2899="","",COUNTIF(Apparitions!$H$2:$H$5001,A2899))</f>
        <v/>
      </c>
      <c r="I2899" s="26" t="str">
        <f aca="false">IF(A2899="","",COUNTIFS(Apparitions!$H$2:$H$5001,A2899,Apparitions!$E$2:$E$5001,"○"))</f>
        <v/>
      </c>
      <c r="J2899" s="29" t="str">
        <f aca="false">IF(A2899="","",IFERROR(1/(1/_xlfn.MINIFS(Apparitions!$L$2:$L$5001,Apparitions!$H$2:$H$5001,A2899)),""))</f>
        <v/>
      </c>
    </row>
    <row r="2900" customFormat="false" ht="15" hidden="false" customHeight="false" outlineLevel="0" collapsed="false">
      <c r="A2900" s="19"/>
      <c r="B2900" s="19"/>
      <c r="C2900" s="19"/>
      <c r="D2900" s="19"/>
      <c r="E2900" s="32"/>
      <c r="F2900" s="19"/>
      <c r="G2900" s="26" t="str">
        <f aca="false">IF(A2900="","",COUNTIF(Pubs!$B$2:$B$3001,A2900))</f>
        <v/>
      </c>
      <c r="H2900" s="26" t="str">
        <f aca="false">IF(A2900="","",COUNTIF(Apparitions!$H$2:$H$5001,A2900))</f>
        <v/>
      </c>
      <c r="I2900" s="26" t="str">
        <f aca="false">IF(A2900="","",COUNTIFS(Apparitions!$H$2:$H$5001,A2900,Apparitions!$E$2:$E$5001,"○"))</f>
        <v/>
      </c>
      <c r="J2900" s="29" t="str">
        <f aca="false">IF(A2900="","",IFERROR(1/(1/_xlfn.MINIFS(Apparitions!$L$2:$L$5001,Apparitions!$H$2:$H$5001,A2900)),""))</f>
        <v/>
      </c>
    </row>
    <row r="2901" customFormat="false" ht="15" hidden="false" customHeight="false" outlineLevel="0" collapsed="false">
      <c r="A2901" s="19"/>
      <c r="B2901" s="19"/>
      <c r="C2901" s="19"/>
      <c r="D2901" s="19"/>
      <c r="E2901" s="32"/>
      <c r="F2901" s="19"/>
      <c r="G2901" s="26" t="str">
        <f aca="false">IF(A2901="","",COUNTIF(Pubs!$B$2:$B$3001,A2901))</f>
        <v/>
      </c>
      <c r="H2901" s="26" t="str">
        <f aca="false">IF(A2901="","",COUNTIF(Apparitions!$H$2:$H$5001,A2901))</f>
        <v/>
      </c>
      <c r="I2901" s="26" t="str">
        <f aca="false">IF(A2901="","",COUNTIFS(Apparitions!$H$2:$H$5001,A2901,Apparitions!$E$2:$E$5001,"○"))</f>
        <v/>
      </c>
      <c r="J2901" s="29" t="str">
        <f aca="false">IF(A2901="","",IFERROR(1/(1/_xlfn.MINIFS(Apparitions!$L$2:$L$5001,Apparitions!$H$2:$H$5001,A2901)),""))</f>
        <v/>
      </c>
    </row>
    <row r="2902" customFormat="false" ht="15" hidden="false" customHeight="false" outlineLevel="0" collapsed="false">
      <c r="A2902" s="19"/>
      <c r="B2902" s="19"/>
      <c r="C2902" s="19"/>
      <c r="D2902" s="19"/>
      <c r="E2902" s="32"/>
      <c r="F2902" s="19"/>
      <c r="G2902" s="26" t="str">
        <f aca="false">IF(A2902="","",COUNTIF(Pubs!$B$2:$B$3001,A2902))</f>
        <v/>
      </c>
      <c r="H2902" s="26" t="str">
        <f aca="false">IF(A2902="","",COUNTIF(Apparitions!$H$2:$H$5001,A2902))</f>
        <v/>
      </c>
      <c r="I2902" s="26" t="str">
        <f aca="false">IF(A2902="","",COUNTIFS(Apparitions!$H$2:$H$5001,A2902,Apparitions!$E$2:$E$5001,"○"))</f>
        <v/>
      </c>
      <c r="J2902" s="29" t="str">
        <f aca="false">IF(A2902="","",IFERROR(1/(1/_xlfn.MINIFS(Apparitions!$L$2:$L$5001,Apparitions!$H$2:$H$5001,A2902)),""))</f>
        <v/>
      </c>
    </row>
    <row r="2903" customFormat="false" ht="15" hidden="false" customHeight="false" outlineLevel="0" collapsed="false">
      <c r="A2903" s="19"/>
      <c r="B2903" s="19"/>
      <c r="C2903" s="19"/>
      <c r="D2903" s="19"/>
      <c r="E2903" s="32"/>
      <c r="F2903" s="19"/>
      <c r="G2903" s="26" t="str">
        <f aca="false">IF(A2903="","",COUNTIF(Pubs!$B$2:$B$3001,A2903))</f>
        <v/>
      </c>
      <c r="H2903" s="26" t="str">
        <f aca="false">IF(A2903="","",COUNTIF(Apparitions!$H$2:$H$5001,A2903))</f>
        <v/>
      </c>
      <c r="I2903" s="26" t="str">
        <f aca="false">IF(A2903="","",COUNTIFS(Apparitions!$H$2:$H$5001,A2903,Apparitions!$E$2:$E$5001,"○"))</f>
        <v/>
      </c>
      <c r="J2903" s="29" t="str">
        <f aca="false">IF(A2903="","",IFERROR(1/(1/_xlfn.MINIFS(Apparitions!$L$2:$L$5001,Apparitions!$H$2:$H$5001,A2903)),""))</f>
        <v/>
      </c>
    </row>
    <row r="2904" customFormat="false" ht="15" hidden="false" customHeight="false" outlineLevel="0" collapsed="false">
      <c r="A2904" s="19"/>
      <c r="B2904" s="19"/>
      <c r="C2904" s="19"/>
      <c r="D2904" s="19"/>
      <c r="E2904" s="32"/>
      <c r="F2904" s="19"/>
      <c r="G2904" s="26" t="str">
        <f aca="false">IF(A2904="","",COUNTIF(Pubs!$B$2:$B$3001,A2904))</f>
        <v/>
      </c>
      <c r="H2904" s="26" t="str">
        <f aca="false">IF(A2904="","",COUNTIF(Apparitions!$H$2:$H$5001,A2904))</f>
        <v/>
      </c>
      <c r="I2904" s="26" t="str">
        <f aca="false">IF(A2904="","",COUNTIFS(Apparitions!$H$2:$H$5001,A2904,Apparitions!$E$2:$E$5001,"○"))</f>
        <v/>
      </c>
      <c r="J2904" s="29" t="str">
        <f aca="false">IF(A2904="","",IFERROR(1/(1/_xlfn.MINIFS(Apparitions!$L$2:$L$5001,Apparitions!$H$2:$H$5001,A2904)),""))</f>
        <v/>
      </c>
    </row>
    <row r="2905" customFormat="false" ht="15" hidden="false" customHeight="false" outlineLevel="0" collapsed="false">
      <c r="A2905" s="19"/>
      <c r="B2905" s="19"/>
      <c r="C2905" s="19"/>
      <c r="D2905" s="19"/>
      <c r="E2905" s="32"/>
      <c r="F2905" s="19"/>
      <c r="G2905" s="26" t="str">
        <f aca="false">IF(A2905="","",COUNTIF(Pubs!$B$2:$B$3001,A2905))</f>
        <v/>
      </c>
      <c r="H2905" s="26" t="str">
        <f aca="false">IF(A2905="","",COUNTIF(Apparitions!$H$2:$H$5001,A2905))</f>
        <v/>
      </c>
      <c r="I2905" s="26" t="str">
        <f aca="false">IF(A2905="","",COUNTIFS(Apparitions!$H$2:$H$5001,A2905,Apparitions!$E$2:$E$5001,"○"))</f>
        <v/>
      </c>
      <c r="J2905" s="29" t="str">
        <f aca="false">IF(A2905="","",IFERROR(1/(1/_xlfn.MINIFS(Apparitions!$L$2:$L$5001,Apparitions!$H$2:$H$5001,A2905)),""))</f>
        <v/>
      </c>
    </row>
    <row r="2906" customFormat="false" ht="15" hidden="false" customHeight="false" outlineLevel="0" collapsed="false">
      <c r="A2906" s="19"/>
      <c r="B2906" s="19"/>
      <c r="C2906" s="19"/>
      <c r="D2906" s="19"/>
      <c r="E2906" s="32"/>
      <c r="F2906" s="19"/>
      <c r="G2906" s="26" t="str">
        <f aca="false">IF(A2906="","",COUNTIF(Pubs!$B$2:$B$3001,A2906))</f>
        <v/>
      </c>
      <c r="H2906" s="26" t="str">
        <f aca="false">IF(A2906="","",COUNTIF(Apparitions!$H$2:$H$5001,A2906))</f>
        <v/>
      </c>
      <c r="I2906" s="26" t="str">
        <f aca="false">IF(A2906="","",COUNTIFS(Apparitions!$H$2:$H$5001,A2906,Apparitions!$E$2:$E$5001,"○"))</f>
        <v/>
      </c>
      <c r="J2906" s="29" t="str">
        <f aca="false">IF(A2906="","",IFERROR(1/(1/_xlfn.MINIFS(Apparitions!$L$2:$L$5001,Apparitions!$H$2:$H$5001,A2906)),""))</f>
        <v/>
      </c>
    </row>
    <row r="2907" customFormat="false" ht="15" hidden="false" customHeight="false" outlineLevel="0" collapsed="false">
      <c r="A2907" s="19"/>
      <c r="B2907" s="19"/>
      <c r="C2907" s="19"/>
      <c r="D2907" s="19"/>
      <c r="E2907" s="32"/>
      <c r="F2907" s="19"/>
      <c r="G2907" s="26" t="str">
        <f aca="false">IF(A2907="","",COUNTIF(Pubs!$B$2:$B$3001,A2907))</f>
        <v/>
      </c>
      <c r="H2907" s="26" t="str">
        <f aca="false">IF(A2907="","",COUNTIF(Apparitions!$H$2:$H$5001,A2907))</f>
        <v/>
      </c>
      <c r="I2907" s="26" t="str">
        <f aca="false">IF(A2907="","",COUNTIFS(Apparitions!$H$2:$H$5001,A2907,Apparitions!$E$2:$E$5001,"○"))</f>
        <v/>
      </c>
      <c r="J2907" s="29" t="str">
        <f aca="false">IF(A2907="","",IFERROR(1/(1/_xlfn.MINIFS(Apparitions!$L$2:$L$5001,Apparitions!$H$2:$H$5001,A2907)),""))</f>
        <v/>
      </c>
    </row>
    <row r="2908" customFormat="false" ht="15" hidden="false" customHeight="false" outlineLevel="0" collapsed="false">
      <c r="A2908" s="19"/>
      <c r="B2908" s="19"/>
      <c r="C2908" s="19"/>
      <c r="D2908" s="19"/>
      <c r="E2908" s="32"/>
      <c r="F2908" s="19"/>
      <c r="G2908" s="26" t="str">
        <f aca="false">IF(A2908="","",COUNTIF(Pubs!$B$2:$B$3001,A2908))</f>
        <v/>
      </c>
      <c r="H2908" s="26" t="str">
        <f aca="false">IF(A2908="","",COUNTIF(Apparitions!$H$2:$H$5001,A2908))</f>
        <v/>
      </c>
      <c r="I2908" s="26" t="str">
        <f aca="false">IF(A2908="","",COUNTIFS(Apparitions!$H$2:$H$5001,A2908,Apparitions!$E$2:$E$5001,"○"))</f>
        <v/>
      </c>
      <c r="J2908" s="29" t="str">
        <f aca="false">IF(A2908="","",IFERROR(1/(1/_xlfn.MINIFS(Apparitions!$L$2:$L$5001,Apparitions!$H$2:$H$5001,A2908)),""))</f>
        <v/>
      </c>
    </row>
    <row r="2909" customFormat="false" ht="15" hidden="false" customHeight="false" outlineLevel="0" collapsed="false">
      <c r="A2909" s="19"/>
      <c r="B2909" s="19"/>
      <c r="C2909" s="19"/>
      <c r="D2909" s="19"/>
      <c r="E2909" s="32"/>
      <c r="F2909" s="19"/>
      <c r="G2909" s="26" t="str">
        <f aca="false">IF(A2909="","",COUNTIF(Pubs!$B$2:$B$3001,A2909))</f>
        <v/>
      </c>
      <c r="H2909" s="26" t="str">
        <f aca="false">IF(A2909="","",COUNTIF(Apparitions!$H$2:$H$5001,A2909))</f>
        <v/>
      </c>
      <c r="I2909" s="26" t="str">
        <f aca="false">IF(A2909="","",COUNTIFS(Apparitions!$H$2:$H$5001,A2909,Apparitions!$E$2:$E$5001,"○"))</f>
        <v/>
      </c>
      <c r="J2909" s="29" t="str">
        <f aca="false">IF(A2909="","",IFERROR(1/(1/_xlfn.MINIFS(Apparitions!$L$2:$L$5001,Apparitions!$H$2:$H$5001,A2909)),""))</f>
        <v/>
      </c>
    </row>
    <row r="2910" customFormat="false" ht="15" hidden="false" customHeight="false" outlineLevel="0" collapsed="false">
      <c r="A2910" s="19"/>
      <c r="B2910" s="19"/>
      <c r="C2910" s="19"/>
      <c r="D2910" s="19"/>
      <c r="E2910" s="32"/>
      <c r="F2910" s="19"/>
      <c r="G2910" s="26" t="str">
        <f aca="false">IF(A2910="","",COUNTIF(Pubs!$B$2:$B$3001,A2910))</f>
        <v/>
      </c>
      <c r="H2910" s="26" t="str">
        <f aca="false">IF(A2910="","",COUNTIF(Apparitions!$H$2:$H$5001,A2910))</f>
        <v/>
      </c>
      <c r="I2910" s="26" t="str">
        <f aca="false">IF(A2910="","",COUNTIFS(Apparitions!$H$2:$H$5001,A2910,Apparitions!$E$2:$E$5001,"○"))</f>
        <v/>
      </c>
      <c r="J2910" s="29" t="str">
        <f aca="false">IF(A2910="","",IFERROR(1/(1/_xlfn.MINIFS(Apparitions!$L$2:$L$5001,Apparitions!$H$2:$H$5001,A2910)),""))</f>
        <v/>
      </c>
    </row>
    <row r="2911" customFormat="false" ht="15" hidden="false" customHeight="false" outlineLevel="0" collapsed="false">
      <c r="A2911" s="19"/>
      <c r="B2911" s="19"/>
      <c r="C2911" s="19"/>
      <c r="D2911" s="19"/>
      <c r="E2911" s="32"/>
      <c r="F2911" s="19"/>
      <c r="G2911" s="26" t="str">
        <f aca="false">IF(A2911="","",COUNTIF(Pubs!$B$2:$B$3001,A2911))</f>
        <v/>
      </c>
      <c r="H2911" s="26" t="str">
        <f aca="false">IF(A2911="","",COUNTIF(Apparitions!$H$2:$H$5001,A2911))</f>
        <v/>
      </c>
      <c r="I2911" s="26" t="str">
        <f aca="false">IF(A2911="","",COUNTIFS(Apparitions!$H$2:$H$5001,A2911,Apparitions!$E$2:$E$5001,"○"))</f>
        <v/>
      </c>
      <c r="J2911" s="29" t="str">
        <f aca="false">IF(A2911="","",IFERROR(1/(1/_xlfn.MINIFS(Apparitions!$L$2:$L$5001,Apparitions!$H$2:$H$5001,A2911)),""))</f>
        <v/>
      </c>
    </row>
    <row r="2912" customFormat="false" ht="15" hidden="false" customHeight="false" outlineLevel="0" collapsed="false">
      <c r="A2912" s="19"/>
      <c r="B2912" s="19"/>
      <c r="C2912" s="19"/>
      <c r="D2912" s="19"/>
      <c r="E2912" s="32"/>
      <c r="F2912" s="19"/>
      <c r="G2912" s="26" t="str">
        <f aca="false">IF(A2912="","",COUNTIF(Pubs!$B$2:$B$3001,A2912))</f>
        <v/>
      </c>
      <c r="H2912" s="26" t="str">
        <f aca="false">IF(A2912="","",COUNTIF(Apparitions!$H$2:$H$5001,A2912))</f>
        <v/>
      </c>
      <c r="I2912" s="26" t="str">
        <f aca="false">IF(A2912="","",COUNTIFS(Apparitions!$H$2:$H$5001,A2912,Apparitions!$E$2:$E$5001,"○"))</f>
        <v/>
      </c>
      <c r="J2912" s="29" t="str">
        <f aca="false">IF(A2912="","",IFERROR(1/(1/_xlfn.MINIFS(Apparitions!$L$2:$L$5001,Apparitions!$H$2:$H$5001,A2912)),""))</f>
        <v/>
      </c>
    </row>
    <row r="2913" customFormat="false" ht="15" hidden="false" customHeight="false" outlineLevel="0" collapsed="false">
      <c r="A2913" s="19"/>
      <c r="B2913" s="19"/>
      <c r="C2913" s="19"/>
      <c r="D2913" s="19"/>
      <c r="E2913" s="32"/>
      <c r="F2913" s="19"/>
      <c r="G2913" s="26" t="str">
        <f aca="false">IF(A2913="","",COUNTIF(Pubs!$B$2:$B$3001,A2913))</f>
        <v/>
      </c>
      <c r="H2913" s="26" t="str">
        <f aca="false">IF(A2913="","",COUNTIF(Apparitions!$H$2:$H$5001,A2913))</f>
        <v/>
      </c>
      <c r="I2913" s="26" t="str">
        <f aca="false">IF(A2913="","",COUNTIFS(Apparitions!$H$2:$H$5001,A2913,Apparitions!$E$2:$E$5001,"○"))</f>
        <v/>
      </c>
      <c r="J2913" s="29" t="str">
        <f aca="false">IF(A2913="","",IFERROR(1/(1/_xlfn.MINIFS(Apparitions!$L$2:$L$5001,Apparitions!$H$2:$H$5001,A2913)),""))</f>
        <v/>
      </c>
    </row>
    <row r="2914" customFormat="false" ht="15" hidden="false" customHeight="false" outlineLevel="0" collapsed="false">
      <c r="A2914" s="19"/>
      <c r="B2914" s="19"/>
      <c r="C2914" s="19"/>
      <c r="D2914" s="19"/>
      <c r="E2914" s="32"/>
      <c r="F2914" s="19"/>
      <c r="G2914" s="26" t="str">
        <f aca="false">IF(A2914="","",COUNTIF(Pubs!$B$2:$B$3001,A2914))</f>
        <v/>
      </c>
      <c r="H2914" s="26" t="str">
        <f aca="false">IF(A2914="","",COUNTIF(Apparitions!$H$2:$H$5001,A2914))</f>
        <v/>
      </c>
      <c r="I2914" s="26" t="str">
        <f aca="false">IF(A2914="","",COUNTIFS(Apparitions!$H$2:$H$5001,A2914,Apparitions!$E$2:$E$5001,"○"))</f>
        <v/>
      </c>
      <c r="J2914" s="29" t="str">
        <f aca="false">IF(A2914="","",IFERROR(1/(1/_xlfn.MINIFS(Apparitions!$L$2:$L$5001,Apparitions!$H$2:$H$5001,A2914)),""))</f>
        <v/>
      </c>
    </row>
    <row r="2915" customFormat="false" ht="15" hidden="false" customHeight="false" outlineLevel="0" collapsed="false">
      <c r="A2915" s="19"/>
      <c r="B2915" s="19"/>
      <c r="C2915" s="19"/>
      <c r="D2915" s="19"/>
      <c r="E2915" s="32"/>
      <c r="F2915" s="19"/>
      <c r="G2915" s="26" t="str">
        <f aca="false">IF(A2915="","",COUNTIF(Pubs!$B$2:$B$3001,A2915))</f>
        <v/>
      </c>
      <c r="H2915" s="26" t="str">
        <f aca="false">IF(A2915="","",COUNTIF(Apparitions!$H$2:$H$5001,A2915))</f>
        <v/>
      </c>
      <c r="I2915" s="26" t="str">
        <f aca="false">IF(A2915="","",COUNTIFS(Apparitions!$H$2:$H$5001,A2915,Apparitions!$E$2:$E$5001,"○"))</f>
        <v/>
      </c>
      <c r="J2915" s="29" t="str">
        <f aca="false">IF(A2915="","",IFERROR(1/(1/_xlfn.MINIFS(Apparitions!$L$2:$L$5001,Apparitions!$H$2:$H$5001,A2915)),""))</f>
        <v/>
      </c>
    </row>
    <row r="2916" customFormat="false" ht="15" hidden="false" customHeight="false" outlineLevel="0" collapsed="false">
      <c r="A2916" s="19"/>
      <c r="B2916" s="19"/>
      <c r="C2916" s="19"/>
      <c r="D2916" s="19"/>
      <c r="E2916" s="32"/>
      <c r="F2916" s="19"/>
      <c r="G2916" s="26" t="str">
        <f aca="false">IF(A2916="","",COUNTIF(Pubs!$B$2:$B$3001,A2916))</f>
        <v/>
      </c>
      <c r="H2916" s="26" t="str">
        <f aca="false">IF(A2916="","",COUNTIF(Apparitions!$H$2:$H$5001,A2916))</f>
        <v/>
      </c>
      <c r="I2916" s="26" t="str">
        <f aca="false">IF(A2916="","",COUNTIFS(Apparitions!$H$2:$H$5001,A2916,Apparitions!$E$2:$E$5001,"○"))</f>
        <v/>
      </c>
      <c r="J2916" s="29" t="str">
        <f aca="false">IF(A2916="","",IFERROR(1/(1/_xlfn.MINIFS(Apparitions!$L$2:$L$5001,Apparitions!$H$2:$H$5001,A2916)),""))</f>
        <v/>
      </c>
    </row>
    <row r="2917" customFormat="false" ht="15" hidden="false" customHeight="false" outlineLevel="0" collapsed="false">
      <c r="A2917" s="19"/>
      <c r="B2917" s="19"/>
      <c r="C2917" s="19"/>
      <c r="D2917" s="19"/>
      <c r="E2917" s="32"/>
      <c r="F2917" s="19"/>
      <c r="G2917" s="26" t="str">
        <f aca="false">IF(A2917="","",COUNTIF(Pubs!$B$2:$B$3001,A2917))</f>
        <v/>
      </c>
      <c r="H2917" s="26" t="str">
        <f aca="false">IF(A2917="","",COUNTIF(Apparitions!$H$2:$H$5001,A2917))</f>
        <v/>
      </c>
      <c r="I2917" s="26" t="str">
        <f aca="false">IF(A2917="","",COUNTIFS(Apparitions!$H$2:$H$5001,A2917,Apparitions!$E$2:$E$5001,"○"))</f>
        <v/>
      </c>
      <c r="J2917" s="29" t="str">
        <f aca="false">IF(A2917="","",IFERROR(1/(1/_xlfn.MINIFS(Apparitions!$L$2:$L$5001,Apparitions!$H$2:$H$5001,A2917)),""))</f>
        <v/>
      </c>
    </row>
    <row r="2918" customFormat="false" ht="15" hidden="false" customHeight="false" outlineLevel="0" collapsed="false">
      <c r="A2918" s="19"/>
      <c r="B2918" s="19"/>
      <c r="C2918" s="19"/>
      <c r="D2918" s="19"/>
      <c r="E2918" s="32"/>
      <c r="F2918" s="19"/>
      <c r="G2918" s="26" t="str">
        <f aca="false">IF(A2918="","",COUNTIF(Pubs!$B$2:$B$3001,A2918))</f>
        <v/>
      </c>
      <c r="H2918" s="26" t="str">
        <f aca="false">IF(A2918="","",COUNTIF(Apparitions!$H$2:$H$5001,A2918))</f>
        <v/>
      </c>
      <c r="I2918" s="26" t="str">
        <f aca="false">IF(A2918="","",COUNTIFS(Apparitions!$H$2:$H$5001,A2918,Apparitions!$E$2:$E$5001,"○"))</f>
        <v/>
      </c>
      <c r="J2918" s="29" t="str">
        <f aca="false">IF(A2918="","",IFERROR(1/(1/_xlfn.MINIFS(Apparitions!$L$2:$L$5001,Apparitions!$H$2:$H$5001,A2918)),""))</f>
        <v/>
      </c>
    </row>
    <row r="2919" customFormat="false" ht="15" hidden="false" customHeight="false" outlineLevel="0" collapsed="false">
      <c r="A2919" s="19"/>
      <c r="B2919" s="19"/>
      <c r="C2919" s="19"/>
      <c r="D2919" s="19"/>
      <c r="E2919" s="32"/>
      <c r="F2919" s="19"/>
      <c r="G2919" s="26" t="str">
        <f aca="false">IF(A2919="","",COUNTIF(Pubs!$B$2:$B$3001,A2919))</f>
        <v/>
      </c>
      <c r="H2919" s="26" t="str">
        <f aca="false">IF(A2919="","",COUNTIF(Apparitions!$H$2:$H$5001,A2919))</f>
        <v/>
      </c>
      <c r="I2919" s="26" t="str">
        <f aca="false">IF(A2919="","",COUNTIFS(Apparitions!$H$2:$H$5001,A2919,Apparitions!$E$2:$E$5001,"○"))</f>
        <v/>
      </c>
      <c r="J2919" s="29" t="str">
        <f aca="false">IF(A2919="","",IFERROR(1/(1/_xlfn.MINIFS(Apparitions!$L$2:$L$5001,Apparitions!$H$2:$H$5001,A2919)),""))</f>
        <v/>
      </c>
    </row>
    <row r="2920" customFormat="false" ht="15" hidden="false" customHeight="false" outlineLevel="0" collapsed="false">
      <c r="A2920" s="19"/>
      <c r="B2920" s="19"/>
      <c r="C2920" s="19"/>
      <c r="D2920" s="19"/>
      <c r="E2920" s="32"/>
      <c r="F2920" s="19"/>
      <c r="G2920" s="26" t="str">
        <f aca="false">IF(A2920="","",COUNTIF(Pubs!$B$2:$B$3001,A2920))</f>
        <v/>
      </c>
      <c r="H2920" s="26" t="str">
        <f aca="false">IF(A2920="","",COUNTIF(Apparitions!$H$2:$H$5001,A2920))</f>
        <v/>
      </c>
      <c r="I2920" s="26" t="str">
        <f aca="false">IF(A2920="","",COUNTIFS(Apparitions!$H$2:$H$5001,A2920,Apparitions!$E$2:$E$5001,"○"))</f>
        <v/>
      </c>
      <c r="J2920" s="29" t="str">
        <f aca="false">IF(A2920="","",IFERROR(1/(1/_xlfn.MINIFS(Apparitions!$L$2:$L$5001,Apparitions!$H$2:$H$5001,A2920)),""))</f>
        <v/>
      </c>
    </row>
    <row r="2921" customFormat="false" ht="15" hidden="false" customHeight="false" outlineLevel="0" collapsed="false">
      <c r="A2921" s="19"/>
      <c r="B2921" s="19"/>
      <c r="C2921" s="19"/>
      <c r="D2921" s="19"/>
      <c r="E2921" s="32"/>
      <c r="F2921" s="19"/>
      <c r="G2921" s="26" t="str">
        <f aca="false">IF(A2921="","",COUNTIF(Pubs!$B$2:$B$3001,A2921))</f>
        <v/>
      </c>
      <c r="H2921" s="26" t="str">
        <f aca="false">IF(A2921="","",COUNTIF(Apparitions!$H$2:$H$5001,A2921))</f>
        <v/>
      </c>
      <c r="I2921" s="26" t="str">
        <f aca="false">IF(A2921="","",COUNTIFS(Apparitions!$H$2:$H$5001,A2921,Apparitions!$E$2:$E$5001,"○"))</f>
        <v/>
      </c>
      <c r="J2921" s="29" t="str">
        <f aca="false">IF(A2921="","",IFERROR(1/(1/_xlfn.MINIFS(Apparitions!$L$2:$L$5001,Apparitions!$H$2:$H$5001,A2921)),""))</f>
        <v/>
      </c>
    </row>
    <row r="2922" customFormat="false" ht="15" hidden="false" customHeight="false" outlineLevel="0" collapsed="false">
      <c r="A2922" s="19"/>
      <c r="B2922" s="19"/>
      <c r="C2922" s="19"/>
      <c r="D2922" s="19"/>
      <c r="E2922" s="32"/>
      <c r="F2922" s="19"/>
      <c r="G2922" s="26" t="str">
        <f aca="false">IF(A2922="","",COUNTIF(Pubs!$B$2:$B$3001,A2922))</f>
        <v/>
      </c>
      <c r="H2922" s="26" t="str">
        <f aca="false">IF(A2922="","",COUNTIF(Apparitions!$H$2:$H$5001,A2922))</f>
        <v/>
      </c>
      <c r="I2922" s="26" t="str">
        <f aca="false">IF(A2922="","",COUNTIFS(Apparitions!$H$2:$H$5001,A2922,Apparitions!$E$2:$E$5001,"○"))</f>
        <v/>
      </c>
      <c r="J2922" s="29" t="str">
        <f aca="false">IF(A2922="","",IFERROR(1/(1/_xlfn.MINIFS(Apparitions!$L$2:$L$5001,Apparitions!$H$2:$H$5001,A2922)),""))</f>
        <v/>
      </c>
    </row>
    <row r="2923" customFormat="false" ht="15" hidden="false" customHeight="false" outlineLevel="0" collapsed="false">
      <c r="A2923" s="19"/>
      <c r="B2923" s="19"/>
      <c r="C2923" s="19"/>
      <c r="D2923" s="19"/>
      <c r="E2923" s="32"/>
      <c r="F2923" s="19"/>
      <c r="G2923" s="26" t="str">
        <f aca="false">IF(A2923="","",COUNTIF(Pubs!$B$2:$B$3001,A2923))</f>
        <v/>
      </c>
      <c r="H2923" s="26" t="str">
        <f aca="false">IF(A2923="","",COUNTIF(Apparitions!$H$2:$H$5001,A2923))</f>
        <v/>
      </c>
      <c r="I2923" s="26" t="str">
        <f aca="false">IF(A2923="","",COUNTIFS(Apparitions!$H$2:$H$5001,A2923,Apparitions!$E$2:$E$5001,"○"))</f>
        <v/>
      </c>
      <c r="J2923" s="29" t="str">
        <f aca="false">IF(A2923="","",IFERROR(1/(1/_xlfn.MINIFS(Apparitions!$L$2:$L$5001,Apparitions!$H$2:$H$5001,A2923)),""))</f>
        <v/>
      </c>
    </row>
    <row r="2924" customFormat="false" ht="15" hidden="false" customHeight="false" outlineLevel="0" collapsed="false">
      <c r="A2924" s="19"/>
      <c r="B2924" s="19"/>
      <c r="C2924" s="19"/>
      <c r="D2924" s="19"/>
      <c r="E2924" s="32"/>
      <c r="F2924" s="19"/>
      <c r="G2924" s="26" t="str">
        <f aca="false">IF(A2924="","",COUNTIF(Pubs!$B$2:$B$3001,A2924))</f>
        <v/>
      </c>
      <c r="H2924" s="26" t="str">
        <f aca="false">IF(A2924="","",COUNTIF(Apparitions!$H$2:$H$5001,A2924))</f>
        <v/>
      </c>
      <c r="I2924" s="26" t="str">
        <f aca="false">IF(A2924="","",COUNTIFS(Apparitions!$H$2:$H$5001,A2924,Apparitions!$E$2:$E$5001,"○"))</f>
        <v/>
      </c>
      <c r="J2924" s="29" t="str">
        <f aca="false">IF(A2924="","",IFERROR(1/(1/_xlfn.MINIFS(Apparitions!$L$2:$L$5001,Apparitions!$H$2:$H$5001,A2924)),""))</f>
        <v/>
      </c>
    </row>
    <row r="2925" customFormat="false" ht="15" hidden="false" customHeight="false" outlineLevel="0" collapsed="false">
      <c r="A2925" s="19"/>
      <c r="B2925" s="19"/>
      <c r="C2925" s="19"/>
      <c r="D2925" s="19"/>
      <c r="E2925" s="32"/>
      <c r="F2925" s="19"/>
      <c r="G2925" s="26" t="str">
        <f aca="false">IF(A2925="","",COUNTIF(Pubs!$B$2:$B$3001,A2925))</f>
        <v/>
      </c>
      <c r="H2925" s="26" t="str">
        <f aca="false">IF(A2925="","",COUNTIF(Apparitions!$H$2:$H$5001,A2925))</f>
        <v/>
      </c>
      <c r="I2925" s="26" t="str">
        <f aca="false">IF(A2925="","",COUNTIFS(Apparitions!$H$2:$H$5001,A2925,Apparitions!$E$2:$E$5001,"○"))</f>
        <v/>
      </c>
      <c r="J2925" s="29" t="str">
        <f aca="false">IF(A2925="","",IFERROR(1/(1/_xlfn.MINIFS(Apparitions!$L$2:$L$5001,Apparitions!$H$2:$H$5001,A2925)),""))</f>
        <v/>
      </c>
    </row>
    <row r="2926" customFormat="false" ht="15" hidden="false" customHeight="false" outlineLevel="0" collapsed="false">
      <c r="A2926" s="19"/>
      <c r="B2926" s="19"/>
      <c r="C2926" s="19"/>
      <c r="D2926" s="19"/>
      <c r="E2926" s="32"/>
      <c r="F2926" s="19"/>
      <c r="G2926" s="26" t="str">
        <f aca="false">IF(A2926="","",COUNTIF(Pubs!$B$2:$B$3001,A2926))</f>
        <v/>
      </c>
      <c r="H2926" s="26" t="str">
        <f aca="false">IF(A2926="","",COUNTIF(Apparitions!$H$2:$H$5001,A2926))</f>
        <v/>
      </c>
      <c r="I2926" s="26" t="str">
        <f aca="false">IF(A2926="","",COUNTIFS(Apparitions!$H$2:$H$5001,A2926,Apparitions!$E$2:$E$5001,"○"))</f>
        <v/>
      </c>
      <c r="J2926" s="29" t="str">
        <f aca="false">IF(A2926="","",IFERROR(1/(1/_xlfn.MINIFS(Apparitions!$L$2:$L$5001,Apparitions!$H$2:$H$5001,A2926)),""))</f>
        <v/>
      </c>
    </row>
    <row r="2927" customFormat="false" ht="15" hidden="false" customHeight="false" outlineLevel="0" collapsed="false">
      <c r="A2927" s="19"/>
      <c r="B2927" s="19"/>
      <c r="C2927" s="19"/>
      <c r="D2927" s="19"/>
      <c r="E2927" s="32"/>
      <c r="F2927" s="19"/>
      <c r="G2927" s="26" t="str">
        <f aca="false">IF(A2927="","",COUNTIF(Pubs!$B$2:$B$3001,A2927))</f>
        <v/>
      </c>
      <c r="H2927" s="26" t="str">
        <f aca="false">IF(A2927="","",COUNTIF(Apparitions!$H$2:$H$5001,A2927))</f>
        <v/>
      </c>
      <c r="I2927" s="26" t="str">
        <f aca="false">IF(A2927="","",COUNTIFS(Apparitions!$H$2:$H$5001,A2927,Apparitions!$E$2:$E$5001,"○"))</f>
        <v/>
      </c>
      <c r="J2927" s="29" t="str">
        <f aca="false">IF(A2927="","",IFERROR(1/(1/_xlfn.MINIFS(Apparitions!$L$2:$L$5001,Apparitions!$H$2:$H$5001,A2927)),""))</f>
        <v/>
      </c>
    </row>
    <row r="2928" customFormat="false" ht="15" hidden="false" customHeight="false" outlineLevel="0" collapsed="false">
      <c r="A2928" s="19"/>
      <c r="B2928" s="19"/>
      <c r="C2928" s="19"/>
      <c r="D2928" s="19"/>
      <c r="E2928" s="32"/>
      <c r="F2928" s="19"/>
      <c r="G2928" s="26" t="str">
        <f aca="false">IF(A2928="","",COUNTIF(Pubs!$B$2:$B$3001,A2928))</f>
        <v/>
      </c>
      <c r="H2928" s="26" t="str">
        <f aca="false">IF(A2928="","",COUNTIF(Apparitions!$H$2:$H$5001,A2928))</f>
        <v/>
      </c>
      <c r="I2928" s="26" t="str">
        <f aca="false">IF(A2928="","",COUNTIFS(Apparitions!$H$2:$H$5001,A2928,Apparitions!$E$2:$E$5001,"○"))</f>
        <v/>
      </c>
      <c r="J2928" s="29" t="str">
        <f aca="false">IF(A2928="","",IFERROR(1/(1/_xlfn.MINIFS(Apparitions!$L$2:$L$5001,Apparitions!$H$2:$H$5001,A2928)),""))</f>
        <v/>
      </c>
    </row>
    <row r="2929" customFormat="false" ht="15" hidden="false" customHeight="false" outlineLevel="0" collapsed="false">
      <c r="A2929" s="19"/>
      <c r="B2929" s="19"/>
      <c r="C2929" s="19"/>
      <c r="D2929" s="19"/>
      <c r="E2929" s="32"/>
      <c r="F2929" s="19"/>
      <c r="G2929" s="26" t="str">
        <f aca="false">IF(A2929="","",COUNTIF(Pubs!$B$2:$B$3001,A2929))</f>
        <v/>
      </c>
      <c r="H2929" s="26" t="str">
        <f aca="false">IF(A2929="","",COUNTIF(Apparitions!$H$2:$H$5001,A2929))</f>
        <v/>
      </c>
      <c r="I2929" s="26" t="str">
        <f aca="false">IF(A2929="","",COUNTIFS(Apparitions!$H$2:$H$5001,A2929,Apparitions!$E$2:$E$5001,"○"))</f>
        <v/>
      </c>
      <c r="J2929" s="29" t="str">
        <f aca="false">IF(A2929="","",IFERROR(1/(1/_xlfn.MINIFS(Apparitions!$L$2:$L$5001,Apparitions!$H$2:$H$5001,A2929)),""))</f>
        <v/>
      </c>
    </row>
    <row r="2930" customFormat="false" ht="15" hidden="false" customHeight="false" outlineLevel="0" collapsed="false">
      <c r="A2930" s="19"/>
      <c r="B2930" s="19"/>
      <c r="C2930" s="19"/>
      <c r="D2930" s="19"/>
      <c r="E2930" s="32"/>
      <c r="F2930" s="19"/>
      <c r="G2930" s="26" t="str">
        <f aca="false">IF(A2930="","",COUNTIF(Pubs!$B$2:$B$3001,A2930))</f>
        <v/>
      </c>
      <c r="H2930" s="26" t="str">
        <f aca="false">IF(A2930="","",COUNTIF(Apparitions!$H$2:$H$5001,A2930))</f>
        <v/>
      </c>
      <c r="I2930" s="26" t="str">
        <f aca="false">IF(A2930="","",COUNTIFS(Apparitions!$H$2:$H$5001,A2930,Apparitions!$E$2:$E$5001,"○"))</f>
        <v/>
      </c>
      <c r="J2930" s="29" t="str">
        <f aca="false">IF(A2930="","",IFERROR(1/(1/_xlfn.MINIFS(Apparitions!$L$2:$L$5001,Apparitions!$H$2:$H$5001,A2930)),""))</f>
        <v/>
      </c>
    </row>
    <row r="2931" customFormat="false" ht="15" hidden="false" customHeight="false" outlineLevel="0" collapsed="false">
      <c r="A2931" s="19"/>
      <c r="B2931" s="19"/>
      <c r="C2931" s="19"/>
      <c r="D2931" s="19"/>
      <c r="E2931" s="32"/>
      <c r="F2931" s="19"/>
      <c r="G2931" s="26" t="str">
        <f aca="false">IF(A2931="","",COUNTIF(Pubs!$B$2:$B$3001,A2931))</f>
        <v/>
      </c>
      <c r="H2931" s="26" t="str">
        <f aca="false">IF(A2931="","",COUNTIF(Apparitions!$H$2:$H$5001,A2931))</f>
        <v/>
      </c>
      <c r="I2931" s="26" t="str">
        <f aca="false">IF(A2931="","",COUNTIFS(Apparitions!$H$2:$H$5001,A2931,Apparitions!$E$2:$E$5001,"○"))</f>
        <v/>
      </c>
      <c r="J2931" s="29" t="str">
        <f aca="false">IF(A2931="","",IFERROR(1/(1/_xlfn.MINIFS(Apparitions!$L$2:$L$5001,Apparitions!$H$2:$H$5001,A2931)),""))</f>
        <v/>
      </c>
    </row>
    <row r="2932" customFormat="false" ht="15" hidden="false" customHeight="false" outlineLevel="0" collapsed="false">
      <c r="A2932" s="19"/>
      <c r="B2932" s="19"/>
      <c r="C2932" s="19"/>
      <c r="D2932" s="19"/>
      <c r="E2932" s="32"/>
      <c r="F2932" s="19"/>
      <c r="G2932" s="26" t="str">
        <f aca="false">IF(A2932="","",COUNTIF(Pubs!$B$2:$B$3001,A2932))</f>
        <v/>
      </c>
      <c r="H2932" s="26" t="str">
        <f aca="false">IF(A2932="","",COUNTIF(Apparitions!$H$2:$H$5001,A2932))</f>
        <v/>
      </c>
      <c r="I2932" s="26" t="str">
        <f aca="false">IF(A2932="","",COUNTIFS(Apparitions!$H$2:$H$5001,A2932,Apparitions!$E$2:$E$5001,"○"))</f>
        <v/>
      </c>
      <c r="J2932" s="29" t="str">
        <f aca="false">IF(A2932="","",IFERROR(1/(1/_xlfn.MINIFS(Apparitions!$L$2:$L$5001,Apparitions!$H$2:$H$5001,A2932)),""))</f>
        <v/>
      </c>
    </row>
    <row r="2933" customFormat="false" ht="15" hidden="false" customHeight="false" outlineLevel="0" collapsed="false">
      <c r="A2933" s="19"/>
      <c r="B2933" s="19"/>
      <c r="C2933" s="19"/>
      <c r="D2933" s="19"/>
      <c r="E2933" s="32"/>
      <c r="F2933" s="19"/>
      <c r="G2933" s="26" t="str">
        <f aca="false">IF(A2933="","",COUNTIF(Pubs!$B$2:$B$3001,A2933))</f>
        <v/>
      </c>
      <c r="H2933" s="26" t="str">
        <f aca="false">IF(A2933="","",COUNTIF(Apparitions!$H$2:$H$5001,A2933))</f>
        <v/>
      </c>
      <c r="I2933" s="26" t="str">
        <f aca="false">IF(A2933="","",COUNTIFS(Apparitions!$H$2:$H$5001,A2933,Apparitions!$E$2:$E$5001,"○"))</f>
        <v/>
      </c>
      <c r="J2933" s="29" t="str">
        <f aca="false">IF(A2933="","",IFERROR(1/(1/_xlfn.MINIFS(Apparitions!$L$2:$L$5001,Apparitions!$H$2:$H$5001,A2933)),""))</f>
        <v/>
      </c>
    </row>
    <row r="2934" customFormat="false" ht="15" hidden="false" customHeight="false" outlineLevel="0" collapsed="false">
      <c r="A2934" s="19"/>
      <c r="B2934" s="19"/>
      <c r="C2934" s="19"/>
      <c r="D2934" s="19"/>
      <c r="E2934" s="32"/>
      <c r="F2934" s="19"/>
      <c r="G2934" s="26" t="str">
        <f aca="false">IF(A2934="","",COUNTIF(Pubs!$B$2:$B$3001,A2934))</f>
        <v/>
      </c>
      <c r="H2934" s="26" t="str">
        <f aca="false">IF(A2934="","",COUNTIF(Apparitions!$H$2:$H$5001,A2934))</f>
        <v/>
      </c>
      <c r="I2934" s="26" t="str">
        <f aca="false">IF(A2934="","",COUNTIFS(Apparitions!$H$2:$H$5001,A2934,Apparitions!$E$2:$E$5001,"○"))</f>
        <v/>
      </c>
      <c r="J2934" s="29" t="str">
        <f aca="false">IF(A2934="","",IFERROR(1/(1/_xlfn.MINIFS(Apparitions!$L$2:$L$5001,Apparitions!$H$2:$H$5001,A2934)),""))</f>
        <v/>
      </c>
    </row>
    <row r="2935" customFormat="false" ht="15" hidden="false" customHeight="false" outlineLevel="0" collapsed="false">
      <c r="A2935" s="19"/>
      <c r="B2935" s="19"/>
      <c r="C2935" s="19"/>
      <c r="D2935" s="19"/>
      <c r="E2935" s="32"/>
      <c r="F2935" s="19"/>
      <c r="G2935" s="26" t="str">
        <f aca="false">IF(A2935="","",COUNTIF(Pubs!$B$2:$B$3001,A2935))</f>
        <v/>
      </c>
      <c r="H2935" s="26" t="str">
        <f aca="false">IF(A2935="","",COUNTIF(Apparitions!$H$2:$H$5001,A2935))</f>
        <v/>
      </c>
      <c r="I2935" s="26" t="str">
        <f aca="false">IF(A2935="","",COUNTIFS(Apparitions!$H$2:$H$5001,A2935,Apparitions!$E$2:$E$5001,"○"))</f>
        <v/>
      </c>
      <c r="J2935" s="29" t="str">
        <f aca="false">IF(A2935="","",IFERROR(1/(1/_xlfn.MINIFS(Apparitions!$L$2:$L$5001,Apparitions!$H$2:$H$5001,A2935)),""))</f>
        <v/>
      </c>
    </row>
    <row r="2936" customFormat="false" ht="15" hidden="false" customHeight="false" outlineLevel="0" collapsed="false">
      <c r="A2936" s="19"/>
      <c r="B2936" s="19"/>
      <c r="C2936" s="19"/>
      <c r="D2936" s="19"/>
      <c r="E2936" s="32"/>
      <c r="F2936" s="19"/>
      <c r="G2936" s="26" t="str">
        <f aca="false">IF(A2936="","",COUNTIF(Pubs!$B$2:$B$3001,A2936))</f>
        <v/>
      </c>
      <c r="H2936" s="26" t="str">
        <f aca="false">IF(A2936="","",COUNTIF(Apparitions!$H$2:$H$5001,A2936))</f>
        <v/>
      </c>
      <c r="I2936" s="26" t="str">
        <f aca="false">IF(A2936="","",COUNTIFS(Apparitions!$H$2:$H$5001,A2936,Apparitions!$E$2:$E$5001,"○"))</f>
        <v/>
      </c>
      <c r="J2936" s="29" t="str">
        <f aca="false">IF(A2936="","",IFERROR(1/(1/_xlfn.MINIFS(Apparitions!$L$2:$L$5001,Apparitions!$H$2:$H$5001,A2936)),""))</f>
        <v/>
      </c>
    </row>
    <row r="2937" customFormat="false" ht="15" hidden="false" customHeight="false" outlineLevel="0" collapsed="false">
      <c r="A2937" s="19"/>
      <c r="B2937" s="19"/>
      <c r="C2937" s="19"/>
      <c r="D2937" s="19"/>
      <c r="E2937" s="32"/>
      <c r="F2937" s="19"/>
      <c r="G2937" s="26" t="str">
        <f aca="false">IF(A2937="","",COUNTIF(Pubs!$B$2:$B$3001,A2937))</f>
        <v/>
      </c>
      <c r="H2937" s="26" t="str">
        <f aca="false">IF(A2937="","",COUNTIF(Apparitions!$H$2:$H$5001,A2937))</f>
        <v/>
      </c>
      <c r="I2937" s="26" t="str">
        <f aca="false">IF(A2937="","",COUNTIFS(Apparitions!$H$2:$H$5001,A2937,Apparitions!$E$2:$E$5001,"○"))</f>
        <v/>
      </c>
      <c r="J2937" s="29" t="str">
        <f aca="false">IF(A2937="","",IFERROR(1/(1/_xlfn.MINIFS(Apparitions!$L$2:$L$5001,Apparitions!$H$2:$H$5001,A2937)),""))</f>
        <v/>
      </c>
    </row>
    <row r="2938" customFormat="false" ht="15" hidden="false" customHeight="false" outlineLevel="0" collapsed="false">
      <c r="A2938" s="19"/>
      <c r="B2938" s="19"/>
      <c r="C2938" s="19"/>
      <c r="D2938" s="19"/>
      <c r="E2938" s="32"/>
      <c r="F2938" s="19"/>
      <c r="G2938" s="26" t="str">
        <f aca="false">IF(A2938="","",COUNTIF(Pubs!$B$2:$B$3001,A2938))</f>
        <v/>
      </c>
      <c r="H2938" s="26" t="str">
        <f aca="false">IF(A2938="","",COUNTIF(Apparitions!$H$2:$H$5001,A2938))</f>
        <v/>
      </c>
      <c r="I2938" s="26" t="str">
        <f aca="false">IF(A2938="","",COUNTIFS(Apparitions!$H$2:$H$5001,A2938,Apparitions!$E$2:$E$5001,"○"))</f>
        <v/>
      </c>
      <c r="J2938" s="29" t="str">
        <f aca="false">IF(A2938="","",IFERROR(1/(1/_xlfn.MINIFS(Apparitions!$L$2:$L$5001,Apparitions!$H$2:$H$5001,A2938)),""))</f>
        <v/>
      </c>
    </row>
    <row r="2939" customFormat="false" ht="15" hidden="false" customHeight="false" outlineLevel="0" collapsed="false">
      <c r="A2939" s="19"/>
      <c r="B2939" s="19"/>
      <c r="C2939" s="19"/>
      <c r="D2939" s="19"/>
      <c r="E2939" s="32"/>
      <c r="F2939" s="19"/>
      <c r="G2939" s="26" t="str">
        <f aca="false">IF(A2939="","",COUNTIF(Pubs!$B$2:$B$3001,A2939))</f>
        <v/>
      </c>
      <c r="H2939" s="26" t="str">
        <f aca="false">IF(A2939="","",COUNTIF(Apparitions!$H$2:$H$5001,A2939))</f>
        <v/>
      </c>
      <c r="I2939" s="26" t="str">
        <f aca="false">IF(A2939="","",COUNTIFS(Apparitions!$H$2:$H$5001,A2939,Apparitions!$E$2:$E$5001,"○"))</f>
        <v/>
      </c>
      <c r="J2939" s="29" t="str">
        <f aca="false">IF(A2939="","",IFERROR(1/(1/_xlfn.MINIFS(Apparitions!$L$2:$L$5001,Apparitions!$H$2:$H$5001,A2939)),""))</f>
        <v/>
      </c>
    </row>
    <row r="2940" customFormat="false" ht="15" hidden="false" customHeight="false" outlineLevel="0" collapsed="false">
      <c r="A2940" s="19"/>
      <c r="B2940" s="19"/>
      <c r="C2940" s="19"/>
      <c r="D2940" s="19"/>
      <c r="E2940" s="32"/>
      <c r="F2940" s="19"/>
      <c r="G2940" s="26" t="str">
        <f aca="false">IF(A2940="","",COUNTIF(Pubs!$B$2:$B$3001,A2940))</f>
        <v/>
      </c>
      <c r="H2940" s="26" t="str">
        <f aca="false">IF(A2940="","",COUNTIF(Apparitions!$H$2:$H$5001,A2940))</f>
        <v/>
      </c>
      <c r="I2940" s="26" t="str">
        <f aca="false">IF(A2940="","",COUNTIFS(Apparitions!$H$2:$H$5001,A2940,Apparitions!$E$2:$E$5001,"○"))</f>
        <v/>
      </c>
      <c r="J2940" s="29" t="str">
        <f aca="false">IF(A2940="","",IFERROR(1/(1/_xlfn.MINIFS(Apparitions!$L$2:$L$5001,Apparitions!$H$2:$H$5001,A2940)),""))</f>
        <v/>
      </c>
    </row>
    <row r="2941" customFormat="false" ht="15" hidden="false" customHeight="false" outlineLevel="0" collapsed="false">
      <c r="A2941" s="19"/>
      <c r="B2941" s="19"/>
      <c r="C2941" s="19"/>
      <c r="D2941" s="19"/>
      <c r="E2941" s="32"/>
      <c r="F2941" s="19"/>
      <c r="G2941" s="26" t="str">
        <f aca="false">IF(A2941="","",COUNTIF(Pubs!$B$2:$B$3001,A2941))</f>
        <v/>
      </c>
      <c r="H2941" s="26" t="str">
        <f aca="false">IF(A2941="","",COUNTIF(Apparitions!$H$2:$H$5001,A2941))</f>
        <v/>
      </c>
      <c r="I2941" s="26" t="str">
        <f aca="false">IF(A2941="","",COUNTIFS(Apparitions!$H$2:$H$5001,A2941,Apparitions!$E$2:$E$5001,"○"))</f>
        <v/>
      </c>
      <c r="J2941" s="29" t="str">
        <f aca="false">IF(A2941="","",IFERROR(1/(1/_xlfn.MINIFS(Apparitions!$L$2:$L$5001,Apparitions!$H$2:$H$5001,A2941)),""))</f>
        <v/>
      </c>
    </row>
    <row r="2942" customFormat="false" ht="15" hidden="false" customHeight="false" outlineLevel="0" collapsed="false">
      <c r="A2942" s="19"/>
      <c r="B2942" s="19"/>
      <c r="C2942" s="19"/>
      <c r="D2942" s="19"/>
      <c r="E2942" s="32"/>
      <c r="F2942" s="19"/>
      <c r="G2942" s="26" t="str">
        <f aca="false">IF(A2942="","",COUNTIF(Pubs!$B$2:$B$3001,A2942))</f>
        <v/>
      </c>
      <c r="H2942" s="26" t="str">
        <f aca="false">IF(A2942="","",COUNTIF(Apparitions!$H$2:$H$5001,A2942))</f>
        <v/>
      </c>
      <c r="I2942" s="26" t="str">
        <f aca="false">IF(A2942="","",COUNTIFS(Apparitions!$H$2:$H$5001,A2942,Apparitions!$E$2:$E$5001,"○"))</f>
        <v/>
      </c>
      <c r="J2942" s="29" t="str">
        <f aca="false">IF(A2942="","",IFERROR(1/(1/_xlfn.MINIFS(Apparitions!$L$2:$L$5001,Apparitions!$H$2:$H$5001,A2942)),""))</f>
        <v/>
      </c>
    </row>
    <row r="2943" customFormat="false" ht="15" hidden="false" customHeight="false" outlineLevel="0" collapsed="false">
      <c r="A2943" s="19"/>
      <c r="B2943" s="19"/>
      <c r="C2943" s="19"/>
      <c r="D2943" s="19"/>
      <c r="E2943" s="32"/>
      <c r="F2943" s="19"/>
      <c r="G2943" s="26" t="str">
        <f aca="false">IF(A2943="","",COUNTIF(Pubs!$B$2:$B$3001,A2943))</f>
        <v/>
      </c>
      <c r="H2943" s="26" t="str">
        <f aca="false">IF(A2943="","",COUNTIF(Apparitions!$H$2:$H$5001,A2943))</f>
        <v/>
      </c>
      <c r="I2943" s="26" t="str">
        <f aca="false">IF(A2943="","",COUNTIFS(Apparitions!$H$2:$H$5001,A2943,Apparitions!$E$2:$E$5001,"○"))</f>
        <v/>
      </c>
      <c r="J2943" s="29" t="str">
        <f aca="false">IF(A2943="","",IFERROR(1/(1/_xlfn.MINIFS(Apparitions!$L$2:$L$5001,Apparitions!$H$2:$H$5001,A2943)),""))</f>
        <v/>
      </c>
    </row>
    <row r="2944" customFormat="false" ht="15" hidden="false" customHeight="false" outlineLevel="0" collapsed="false">
      <c r="A2944" s="19"/>
      <c r="B2944" s="19"/>
      <c r="C2944" s="19"/>
      <c r="D2944" s="19"/>
      <c r="E2944" s="32"/>
      <c r="F2944" s="19"/>
      <c r="G2944" s="26" t="str">
        <f aca="false">IF(A2944="","",COUNTIF(Pubs!$B$2:$B$3001,A2944))</f>
        <v/>
      </c>
      <c r="H2944" s="26" t="str">
        <f aca="false">IF(A2944="","",COUNTIF(Apparitions!$H$2:$H$5001,A2944))</f>
        <v/>
      </c>
      <c r="I2944" s="26" t="str">
        <f aca="false">IF(A2944="","",COUNTIFS(Apparitions!$H$2:$H$5001,A2944,Apparitions!$E$2:$E$5001,"○"))</f>
        <v/>
      </c>
      <c r="J2944" s="29" t="str">
        <f aca="false">IF(A2944="","",IFERROR(1/(1/_xlfn.MINIFS(Apparitions!$L$2:$L$5001,Apparitions!$H$2:$H$5001,A2944)),""))</f>
        <v/>
      </c>
    </row>
    <row r="2945" customFormat="false" ht="15" hidden="false" customHeight="false" outlineLevel="0" collapsed="false">
      <c r="A2945" s="19"/>
      <c r="B2945" s="19"/>
      <c r="C2945" s="19"/>
      <c r="D2945" s="19"/>
      <c r="E2945" s="32"/>
      <c r="F2945" s="19"/>
      <c r="G2945" s="26" t="str">
        <f aca="false">IF(A2945="","",COUNTIF(Pubs!$B$2:$B$3001,A2945))</f>
        <v/>
      </c>
      <c r="H2945" s="26" t="str">
        <f aca="false">IF(A2945="","",COUNTIF(Apparitions!$H$2:$H$5001,A2945))</f>
        <v/>
      </c>
      <c r="I2945" s="26" t="str">
        <f aca="false">IF(A2945="","",COUNTIFS(Apparitions!$H$2:$H$5001,A2945,Apparitions!$E$2:$E$5001,"○"))</f>
        <v/>
      </c>
      <c r="J2945" s="29" t="str">
        <f aca="false">IF(A2945="","",IFERROR(1/(1/_xlfn.MINIFS(Apparitions!$L$2:$L$5001,Apparitions!$H$2:$H$5001,A2945)),""))</f>
        <v/>
      </c>
    </row>
    <row r="2946" customFormat="false" ht="15" hidden="false" customHeight="false" outlineLevel="0" collapsed="false">
      <c r="A2946" s="19"/>
      <c r="B2946" s="19"/>
      <c r="C2946" s="19"/>
      <c r="D2946" s="19"/>
      <c r="E2946" s="32"/>
      <c r="F2946" s="19"/>
      <c r="G2946" s="26" t="str">
        <f aca="false">IF(A2946="","",COUNTIF(Pubs!$B$2:$B$3001,A2946))</f>
        <v/>
      </c>
      <c r="H2946" s="26" t="str">
        <f aca="false">IF(A2946="","",COUNTIF(Apparitions!$H$2:$H$5001,A2946))</f>
        <v/>
      </c>
      <c r="I2946" s="26" t="str">
        <f aca="false">IF(A2946="","",COUNTIFS(Apparitions!$H$2:$H$5001,A2946,Apparitions!$E$2:$E$5001,"○"))</f>
        <v/>
      </c>
      <c r="J2946" s="29" t="str">
        <f aca="false">IF(A2946="","",IFERROR(1/(1/_xlfn.MINIFS(Apparitions!$L$2:$L$5001,Apparitions!$H$2:$H$5001,A2946)),""))</f>
        <v/>
      </c>
    </row>
    <row r="2947" customFormat="false" ht="15" hidden="false" customHeight="false" outlineLevel="0" collapsed="false">
      <c r="A2947" s="19"/>
      <c r="B2947" s="19"/>
      <c r="C2947" s="19"/>
      <c r="D2947" s="19"/>
      <c r="E2947" s="32"/>
      <c r="F2947" s="19"/>
      <c r="G2947" s="26" t="str">
        <f aca="false">IF(A2947="","",COUNTIF(Pubs!$B$2:$B$3001,A2947))</f>
        <v/>
      </c>
      <c r="H2947" s="26" t="str">
        <f aca="false">IF(A2947="","",COUNTIF(Apparitions!$H$2:$H$5001,A2947))</f>
        <v/>
      </c>
      <c r="I2947" s="26" t="str">
        <f aca="false">IF(A2947="","",COUNTIFS(Apparitions!$H$2:$H$5001,A2947,Apparitions!$E$2:$E$5001,"○"))</f>
        <v/>
      </c>
      <c r="J2947" s="29" t="str">
        <f aca="false">IF(A2947="","",IFERROR(1/(1/_xlfn.MINIFS(Apparitions!$L$2:$L$5001,Apparitions!$H$2:$H$5001,A2947)),""))</f>
        <v/>
      </c>
    </row>
    <row r="2948" customFormat="false" ht="15" hidden="false" customHeight="false" outlineLevel="0" collapsed="false">
      <c r="A2948" s="19"/>
      <c r="B2948" s="19"/>
      <c r="C2948" s="19"/>
      <c r="D2948" s="19"/>
      <c r="E2948" s="32"/>
      <c r="F2948" s="19"/>
      <c r="G2948" s="26" t="str">
        <f aca="false">IF(A2948="","",COUNTIF(Pubs!$B$2:$B$3001,A2948))</f>
        <v/>
      </c>
      <c r="H2948" s="26" t="str">
        <f aca="false">IF(A2948="","",COUNTIF(Apparitions!$H$2:$H$5001,A2948))</f>
        <v/>
      </c>
      <c r="I2948" s="26" t="str">
        <f aca="false">IF(A2948="","",COUNTIFS(Apparitions!$H$2:$H$5001,A2948,Apparitions!$E$2:$E$5001,"○"))</f>
        <v/>
      </c>
      <c r="J2948" s="29" t="str">
        <f aca="false">IF(A2948="","",IFERROR(1/(1/_xlfn.MINIFS(Apparitions!$L$2:$L$5001,Apparitions!$H$2:$H$5001,A2948)),""))</f>
        <v/>
      </c>
    </row>
    <row r="2949" customFormat="false" ht="15" hidden="false" customHeight="false" outlineLevel="0" collapsed="false">
      <c r="A2949" s="19"/>
      <c r="B2949" s="19"/>
      <c r="C2949" s="19"/>
      <c r="D2949" s="19"/>
      <c r="E2949" s="32"/>
      <c r="F2949" s="19"/>
      <c r="G2949" s="26" t="str">
        <f aca="false">IF(A2949="","",COUNTIF(Pubs!$B$2:$B$3001,A2949))</f>
        <v/>
      </c>
      <c r="H2949" s="26" t="str">
        <f aca="false">IF(A2949="","",COUNTIF(Apparitions!$H$2:$H$5001,A2949))</f>
        <v/>
      </c>
      <c r="I2949" s="26" t="str">
        <f aca="false">IF(A2949="","",COUNTIFS(Apparitions!$H$2:$H$5001,A2949,Apparitions!$E$2:$E$5001,"○"))</f>
        <v/>
      </c>
      <c r="J2949" s="29" t="str">
        <f aca="false">IF(A2949="","",IFERROR(1/(1/_xlfn.MINIFS(Apparitions!$L$2:$L$5001,Apparitions!$H$2:$H$5001,A2949)),""))</f>
        <v/>
      </c>
    </row>
    <row r="2950" customFormat="false" ht="15" hidden="false" customHeight="false" outlineLevel="0" collapsed="false">
      <c r="A2950" s="19"/>
      <c r="B2950" s="19"/>
      <c r="C2950" s="19"/>
      <c r="D2950" s="19"/>
      <c r="E2950" s="32"/>
      <c r="F2950" s="19"/>
      <c r="G2950" s="26" t="str">
        <f aca="false">IF(A2950="","",COUNTIF(Pubs!$B$2:$B$3001,A2950))</f>
        <v/>
      </c>
      <c r="H2950" s="26" t="str">
        <f aca="false">IF(A2950="","",COUNTIF(Apparitions!$H$2:$H$5001,A2950))</f>
        <v/>
      </c>
      <c r="I2950" s="26" t="str">
        <f aca="false">IF(A2950="","",COUNTIFS(Apparitions!$H$2:$H$5001,A2950,Apparitions!$E$2:$E$5001,"○"))</f>
        <v/>
      </c>
      <c r="J2950" s="29" t="str">
        <f aca="false">IF(A2950="","",IFERROR(1/(1/_xlfn.MINIFS(Apparitions!$L$2:$L$5001,Apparitions!$H$2:$H$5001,A2950)),""))</f>
        <v/>
      </c>
    </row>
    <row r="2951" customFormat="false" ht="15" hidden="false" customHeight="false" outlineLevel="0" collapsed="false">
      <c r="A2951" s="19"/>
      <c r="B2951" s="19"/>
      <c r="C2951" s="19"/>
      <c r="D2951" s="19"/>
      <c r="E2951" s="32"/>
      <c r="F2951" s="19"/>
      <c r="G2951" s="26" t="str">
        <f aca="false">IF(A2951="","",COUNTIF(Pubs!$B$2:$B$3001,A2951))</f>
        <v/>
      </c>
      <c r="H2951" s="26" t="str">
        <f aca="false">IF(A2951="","",COUNTIF(Apparitions!$H$2:$H$5001,A2951))</f>
        <v/>
      </c>
      <c r="I2951" s="26" t="str">
        <f aca="false">IF(A2951="","",COUNTIFS(Apparitions!$H$2:$H$5001,A2951,Apparitions!$E$2:$E$5001,"○"))</f>
        <v/>
      </c>
      <c r="J2951" s="29" t="str">
        <f aca="false">IF(A2951="","",IFERROR(1/(1/_xlfn.MINIFS(Apparitions!$L$2:$L$5001,Apparitions!$H$2:$H$5001,A2951)),""))</f>
        <v/>
      </c>
    </row>
    <row r="2952" customFormat="false" ht="15" hidden="false" customHeight="false" outlineLevel="0" collapsed="false">
      <c r="A2952" s="19"/>
      <c r="B2952" s="19"/>
      <c r="C2952" s="19"/>
      <c r="D2952" s="19"/>
      <c r="E2952" s="32"/>
      <c r="F2952" s="19"/>
      <c r="G2952" s="26" t="str">
        <f aca="false">IF(A2952="","",COUNTIF(Pubs!$B$2:$B$3001,A2952))</f>
        <v/>
      </c>
      <c r="H2952" s="26" t="str">
        <f aca="false">IF(A2952="","",COUNTIF(Apparitions!$H$2:$H$5001,A2952))</f>
        <v/>
      </c>
      <c r="I2952" s="26" t="str">
        <f aca="false">IF(A2952="","",COUNTIFS(Apparitions!$H$2:$H$5001,A2952,Apparitions!$E$2:$E$5001,"○"))</f>
        <v/>
      </c>
      <c r="J2952" s="29" t="str">
        <f aca="false">IF(A2952="","",IFERROR(1/(1/_xlfn.MINIFS(Apparitions!$L$2:$L$5001,Apparitions!$H$2:$H$5001,A2952)),""))</f>
        <v/>
      </c>
    </row>
    <row r="2953" customFormat="false" ht="15" hidden="false" customHeight="false" outlineLevel="0" collapsed="false">
      <c r="A2953" s="19"/>
      <c r="B2953" s="19"/>
      <c r="C2953" s="19"/>
      <c r="D2953" s="19"/>
      <c r="E2953" s="32"/>
      <c r="F2953" s="19"/>
      <c r="G2953" s="26" t="str">
        <f aca="false">IF(A2953="","",COUNTIF(Pubs!$B$2:$B$3001,A2953))</f>
        <v/>
      </c>
      <c r="H2953" s="26" t="str">
        <f aca="false">IF(A2953="","",COUNTIF(Apparitions!$H$2:$H$5001,A2953))</f>
        <v/>
      </c>
      <c r="I2953" s="26" t="str">
        <f aca="false">IF(A2953="","",COUNTIFS(Apparitions!$H$2:$H$5001,A2953,Apparitions!$E$2:$E$5001,"○"))</f>
        <v/>
      </c>
      <c r="J2953" s="29" t="str">
        <f aca="false">IF(A2953="","",IFERROR(1/(1/_xlfn.MINIFS(Apparitions!$L$2:$L$5001,Apparitions!$H$2:$H$5001,A2953)),""))</f>
        <v/>
      </c>
    </row>
    <row r="2954" customFormat="false" ht="15" hidden="false" customHeight="false" outlineLevel="0" collapsed="false">
      <c r="A2954" s="19"/>
      <c r="B2954" s="19"/>
      <c r="C2954" s="19"/>
      <c r="D2954" s="19"/>
      <c r="E2954" s="32"/>
      <c r="F2954" s="19"/>
      <c r="G2954" s="26" t="str">
        <f aca="false">IF(A2954="","",COUNTIF(Pubs!$B$2:$B$3001,A2954))</f>
        <v/>
      </c>
      <c r="H2954" s="26" t="str">
        <f aca="false">IF(A2954="","",COUNTIF(Apparitions!$H$2:$H$5001,A2954))</f>
        <v/>
      </c>
      <c r="I2954" s="26" t="str">
        <f aca="false">IF(A2954="","",COUNTIFS(Apparitions!$H$2:$H$5001,A2954,Apparitions!$E$2:$E$5001,"○"))</f>
        <v/>
      </c>
      <c r="J2954" s="29" t="str">
        <f aca="false">IF(A2954="","",IFERROR(1/(1/_xlfn.MINIFS(Apparitions!$L$2:$L$5001,Apparitions!$H$2:$H$5001,A2954)),""))</f>
        <v/>
      </c>
    </row>
    <row r="2955" customFormat="false" ht="15" hidden="false" customHeight="false" outlineLevel="0" collapsed="false">
      <c r="A2955" s="19"/>
      <c r="B2955" s="19"/>
      <c r="C2955" s="19"/>
      <c r="D2955" s="19"/>
      <c r="E2955" s="32"/>
      <c r="F2955" s="19"/>
      <c r="G2955" s="26" t="str">
        <f aca="false">IF(A2955="","",COUNTIF(Pubs!$B$2:$B$3001,A2955))</f>
        <v/>
      </c>
      <c r="H2955" s="26" t="str">
        <f aca="false">IF(A2955="","",COUNTIF(Apparitions!$H$2:$H$5001,A2955))</f>
        <v/>
      </c>
      <c r="I2955" s="26" t="str">
        <f aca="false">IF(A2955="","",COUNTIFS(Apparitions!$H$2:$H$5001,A2955,Apparitions!$E$2:$E$5001,"○"))</f>
        <v/>
      </c>
      <c r="J2955" s="29" t="str">
        <f aca="false">IF(A2955="","",IFERROR(1/(1/_xlfn.MINIFS(Apparitions!$L$2:$L$5001,Apparitions!$H$2:$H$5001,A2955)),""))</f>
        <v/>
      </c>
    </row>
    <row r="2956" customFormat="false" ht="15" hidden="false" customHeight="false" outlineLevel="0" collapsed="false">
      <c r="A2956" s="19"/>
      <c r="B2956" s="19"/>
      <c r="C2956" s="19"/>
      <c r="D2956" s="19"/>
      <c r="E2956" s="32"/>
      <c r="F2956" s="19"/>
      <c r="G2956" s="26" t="str">
        <f aca="false">IF(A2956="","",COUNTIF(Pubs!$B$2:$B$3001,A2956))</f>
        <v/>
      </c>
      <c r="H2956" s="26" t="str">
        <f aca="false">IF(A2956="","",COUNTIF(Apparitions!$H$2:$H$5001,A2956))</f>
        <v/>
      </c>
      <c r="I2956" s="26" t="str">
        <f aca="false">IF(A2956="","",COUNTIFS(Apparitions!$H$2:$H$5001,A2956,Apparitions!$E$2:$E$5001,"○"))</f>
        <v/>
      </c>
      <c r="J2956" s="29" t="str">
        <f aca="false">IF(A2956="","",IFERROR(1/(1/_xlfn.MINIFS(Apparitions!$L$2:$L$5001,Apparitions!$H$2:$H$5001,A2956)),""))</f>
        <v/>
      </c>
    </row>
    <row r="2957" customFormat="false" ht="15" hidden="false" customHeight="false" outlineLevel="0" collapsed="false">
      <c r="A2957" s="19"/>
      <c r="B2957" s="19"/>
      <c r="C2957" s="19"/>
      <c r="D2957" s="19"/>
      <c r="E2957" s="32"/>
      <c r="F2957" s="19"/>
      <c r="G2957" s="26" t="str">
        <f aca="false">IF(A2957="","",COUNTIF(Pubs!$B$2:$B$3001,A2957))</f>
        <v/>
      </c>
      <c r="H2957" s="26" t="str">
        <f aca="false">IF(A2957="","",COUNTIF(Apparitions!$H$2:$H$5001,A2957))</f>
        <v/>
      </c>
      <c r="I2957" s="26" t="str">
        <f aca="false">IF(A2957="","",COUNTIFS(Apparitions!$H$2:$H$5001,A2957,Apparitions!$E$2:$E$5001,"○"))</f>
        <v/>
      </c>
      <c r="J2957" s="29" t="str">
        <f aca="false">IF(A2957="","",IFERROR(1/(1/_xlfn.MINIFS(Apparitions!$L$2:$L$5001,Apparitions!$H$2:$H$5001,A2957)),""))</f>
        <v/>
      </c>
    </row>
    <row r="2958" customFormat="false" ht="15" hidden="false" customHeight="false" outlineLevel="0" collapsed="false">
      <c r="A2958" s="19"/>
      <c r="B2958" s="19"/>
      <c r="C2958" s="19"/>
      <c r="D2958" s="19"/>
      <c r="E2958" s="32"/>
      <c r="F2958" s="19"/>
      <c r="G2958" s="26" t="str">
        <f aca="false">IF(A2958="","",COUNTIF(Pubs!$B$2:$B$3001,A2958))</f>
        <v/>
      </c>
      <c r="H2958" s="26" t="str">
        <f aca="false">IF(A2958="","",COUNTIF(Apparitions!$H$2:$H$5001,A2958))</f>
        <v/>
      </c>
      <c r="I2958" s="26" t="str">
        <f aca="false">IF(A2958="","",COUNTIFS(Apparitions!$H$2:$H$5001,A2958,Apparitions!$E$2:$E$5001,"○"))</f>
        <v/>
      </c>
      <c r="J2958" s="29" t="str">
        <f aca="false">IF(A2958="","",IFERROR(1/(1/_xlfn.MINIFS(Apparitions!$L$2:$L$5001,Apparitions!$H$2:$H$5001,A2958)),""))</f>
        <v/>
      </c>
    </row>
    <row r="2959" customFormat="false" ht="15" hidden="false" customHeight="false" outlineLevel="0" collapsed="false">
      <c r="A2959" s="19"/>
      <c r="B2959" s="19"/>
      <c r="C2959" s="19"/>
      <c r="D2959" s="19"/>
      <c r="E2959" s="32"/>
      <c r="F2959" s="19"/>
      <c r="G2959" s="26" t="str">
        <f aca="false">IF(A2959="","",COUNTIF(Pubs!$B$2:$B$3001,A2959))</f>
        <v/>
      </c>
      <c r="H2959" s="26" t="str">
        <f aca="false">IF(A2959="","",COUNTIF(Apparitions!$H$2:$H$5001,A2959))</f>
        <v/>
      </c>
      <c r="I2959" s="26" t="str">
        <f aca="false">IF(A2959="","",COUNTIFS(Apparitions!$H$2:$H$5001,A2959,Apparitions!$E$2:$E$5001,"○"))</f>
        <v/>
      </c>
      <c r="J2959" s="29" t="str">
        <f aca="false">IF(A2959="","",IFERROR(1/(1/_xlfn.MINIFS(Apparitions!$L$2:$L$5001,Apparitions!$H$2:$H$5001,A2959)),""))</f>
        <v/>
      </c>
    </row>
    <row r="2960" customFormat="false" ht="15" hidden="false" customHeight="false" outlineLevel="0" collapsed="false">
      <c r="A2960" s="19"/>
      <c r="B2960" s="19"/>
      <c r="C2960" s="19"/>
      <c r="D2960" s="19"/>
      <c r="E2960" s="32"/>
      <c r="F2960" s="19"/>
      <c r="G2960" s="26" t="str">
        <f aca="false">IF(A2960="","",COUNTIF(Pubs!$B$2:$B$3001,A2960))</f>
        <v/>
      </c>
      <c r="H2960" s="26" t="str">
        <f aca="false">IF(A2960="","",COUNTIF(Apparitions!$H$2:$H$5001,A2960))</f>
        <v/>
      </c>
      <c r="I2960" s="26" t="str">
        <f aca="false">IF(A2960="","",COUNTIFS(Apparitions!$H$2:$H$5001,A2960,Apparitions!$E$2:$E$5001,"○"))</f>
        <v/>
      </c>
      <c r="J2960" s="29" t="str">
        <f aca="false">IF(A2960="","",IFERROR(1/(1/_xlfn.MINIFS(Apparitions!$L$2:$L$5001,Apparitions!$H$2:$H$5001,A2960)),""))</f>
        <v/>
      </c>
    </row>
    <row r="2961" customFormat="false" ht="15" hidden="false" customHeight="false" outlineLevel="0" collapsed="false">
      <c r="A2961" s="19"/>
      <c r="B2961" s="19"/>
      <c r="C2961" s="19"/>
      <c r="D2961" s="19"/>
      <c r="E2961" s="32"/>
      <c r="F2961" s="19"/>
      <c r="G2961" s="26" t="str">
        <f aca="false">IF(A2961="","",COUNTIF(Pubs!$B$2:$B$3001,A2961))</f>
        <v/>
      </c>
      <c r="H2961" s="26" t="str">
        <f aca="false">IF(A2961="","",COUNTIF(Apparitions!$H$2:$H$5001,A2961))</f>
        <v/>
      </c>
      <c r="I2961" s="26" t="str">
        <f aca="false">IF(A2961="","",COUNTIFS(Apparitions!$H$2:$H$5001,A2961,Apparitions!$E$2:$E$5001,"○"))</f>
        <v/>
      </c>
      <c r="J2961" s="29" t="str">
        <f aca="false">IF(A2961="","",IFERROR(1/(1/_xlfn.MINIFS(Apparitions!$L$2:$L$5001,Apparitions!$H$2:$H$5001,A2961)),""))</f>
        <v/>
      </c>
    </row>
    <row r="2962" customFormat="false" ht="15" hidden="false" customHeight="false" outlineLevel="0" collapsed="false">
      <c r="A2962" s="19"/>
      <c r="B2962" s="19"/>
      <c r="C2962" s="19"/>
      <c r="D2962" s="19"/>
      <c r="E2962" s="32"/>
      <c r="F2962" s="19"/>
      <c r="G2962" s="26" t="str">
        <f aca="false">IF(A2962="","",COUNTIF(Pubs!$B$2:$B$3001,A2962))</f>
        <v/>
      </c>
      <c r="H2962" s="26" t="str">
        <f aca="false">IF(A2962="","",COUNTIF(Apparitions!$H$2:$H$5001,A2962))</f>
        <v/>
      </c>
      <c r="I2962" s="26" t="str">
        <f aca="false">IF(A2962="","",COUNTIFS(Apparitions!$H$2:$H$5001,A2962,Apparitions!$E$2:$E$5001,"○"))</f>
        <v/>
      </c>
      <c r="J2962" s="29" t="str">
        <f aca="false">IF(A2962="","",IFERROR(1/(1/_xlfn.MINIFS(Apparitions!$L$2:$L$5001,Apparitions!$H$2:$H$5001,A2962)),""))</f>
        <v/>
      </c>
    </row>
    <row r="2963" customFormat="false" ht="15" hidden="false" customHeight="false" outlineLevel="0" collapsed="false">
      <c r="A2963" s="19"/>
      <c r="B2963" s="19"/>
      <c r="C2963" s="19"/>
      <c r="D2963" s="19"/>
      <c r="E2963" s="32"/>
      <c r="F2963" s="19"/>
      <c r="G2963" s="26" t="str">
        <f aca="false">IF(A2963="","",COUNTIF(Pubs!$B$2:$B$3001,A2963))</f>
        <v/>
      </c>
      <c r="H2963" s="26" t="str">
        <f aca="false">IF(A2963="","",COUNTIF(Apparitions!$H$2:$H$5001,A2963))</f>
        <v/>
      </c>
      <c r="I2963" s="26" t="str">
        <f aca="false">IF(A2963="","",COUNTIFS(Apparitions!$H$2:$H$5001,A2963,Apparitions!$E$2:$E$5001,"○"))</f>
        <v/>
      </c>
      <c r="J2963" s="29" t="str">
        <f aca="false">IF(A2963="","",IFERROR(1/(1/_xlfn.MINIFS(Apparitions!$L$2:$L$5001,Apparitions!$H$2:$H$5001,A2963)),""))</f>
        <v/>
      </c>
    </row>
    <row r="2964" customFormat="false" ht="15" hidden="false" customHeight="false" outlineLevel="0" collapsed="false">
      <c r="A2964" s="19"/>
      <c r="B2964" s="19"/>
      <c r="C2964" s="19"/>
      <c r="D2964" s="19"/>
      <c r="E2964" s="32"/>
      <c r="F2964" s="19"/>
      <c r="G2964" s="26" t="str">
        <f aca="false">IF(A2964="","",COUNTIF(Pubs!$B$2:$B$3001,A2964))</f>
        <v/>
      </c>
      <c r="H2964" s="26" t="str">
        <f aca="false">IF(A2964="","",COUNTIF(Apparitions!$H$2:$H$5001,A2964))</f>
        <v/>
      </c>
      <c r="I2964" s="26" t="str">
        <f aca="false">IF(A2964="","",COUNTIFS(Apparitions!$H$2:$H$5001,A2964,Apparitions!$E$2:$E$5001,"○"))</f>
        <v/>
      </c>
      <c r="J2964" s="29" t="str">
        <f aca="false">IF(A2964="","",IFERROR(1/(1/_xlfn.MINIFS(Apparitions!$L$2:$L$5001,Apparitions!$H$2:$H$5001,A2964)),""))</f>
        <v/>
      </c>
    </row>
    <row r="2965" customFormat="false" ht="15" hidden="false" customHeight="false" outlineLevel="0" collapsed="false">
      <c r="A2965" s="19"/>
      <c r="B2965" s="19"/>
      <c r="C2965" s="19"/>
      <c r="D2965" s="19"/>
      <c r="E2965" s="32"/>
      <c r="F2965" s="19"/>
      <c r="G2965" s="26" t="str">
        <f aca="false">IF(A2965="","",COUNTIF(Pubs!$B$2:$B$3001,A2965))</f>
        <v/>
      </c>
      <c r="H2965" s="26" t="str">
        <f aca="false">IF(A2965="","",COUNTIF(Apparitions!$H$2:$H$5001,A2965))</f>
        <v/>
      </c>
      <c r="I2965" s="26" t="str">
        <f aca="false">IF(A2965="","",COUNTIFS(Apparitions!$H$2:$H$5001,A2965,Apparitions!$E$2:$E$5001,"○"))</f>
        <v/>
      </c>
      <c r="J2965" s="29" t="str">
        <f aca="false">IF(A2965="","",IFERROR(1/(1/_xlfn.MINIFS(Apparitions!$L$2:$L$5001,Apparitions!$H$2:$H$5001,A2965)),""))</f>
        <v/>
      </c>
    </row>
    <row r="2966" customFormat="false" ht="15" hidden="false" customHeight="false" outlineLevel="0" collapsed="false">
      <c r="A2966" s="19"/>
      <c r="B2966" s="19"/>
      <c r="C2966" s="19"/>
      <c r="D2966" s="19"/>
      <c r="E2966" s="32"/>
      <c r="F2966" s="19"/>
      <c r="G2966" s="26" t="str">
        <f aca="false">IF(A2966="","",COUNTIF(Pubs!$B$2:$B$3001,A2966))</f>
        <v/>
      </c>
      <c r="H2966" s="26" t="str">
        <f aca="false">IF(A2966="","",COUNTIF(Apparitions!$H$2:$H$5001,A2966))</f>
        <v/>
      </c>
      <c r="I2966" s="26" t="str">
        <f aca="false">IF(A2966="","",COUNTIFS(Apparitions!$H$2:$H$5001,A2966,Apparitions!$E$2:$E$5001,"○"))</f>
        <v/>
      </c>
      <c r="J2966" s="29" t="str">
        <f aca="false">IF(A2966="","",IFERROR(1/(1/_xlfn.MINIFS(Apparitions!$L$2:$L$5001,Apparitions!$H$2:$H$5001,A2966)),""))</f>
        <v/>
      </c>
    </row>
    <row r="2967" customFormat="false" ht="15" hidden="false" customHeight="false" outlineLevel="0" collapsed="false">
      <c r="A2967" s="19"/>
      <c r="B2967" s="19"/>
      <c r="C2967" s="19"/>
      <c r="D2967" s="19"/>
      <c r="E2967" s="32"/>
      <c r="F2967" s="19"/>
      <c r="G2967" s="26" t="str">
        <f aca="false">IF(A2967="","",COUNTIF(Pubs!$B$2:$B$3001,A2967))</f>
        <v/>
      </c>
      <c r="H2967" s="26" t="str">
        <f aca="false">IF(A2967="","",COUNTIF(Apparitions!$H$2:$H$5001,A2967))</f>
        <v/>
      </c>
      <c r="I2967" s="26" t="str">
        <f aca="false">IF(A2967="","",COUNTIFS(Apparitions!$H$2:$H$5001,A2967,Apparitions!$E$2:$E$5001,"○"))</f>
        <v/>
      </c>
      <c r="J2967" s="29" t="str">
        <f aca="false">IF(A2967="","",IFERROR(1/(1/_xlfn.MINIFS(Apparitions!$L$2:$L$5001,Apparitions!$H$2:$H$5001,A2967)),""))</f>
        <v/>
      </c>
    </row>
    <row r="2968" customFormat="false" ht="15" hidden="false" customHeight="false" outlineLevel="0" collapsed="false">
      <c r="A2968" s="19"/>
      <c r="B2968" s="19"/>
      <c r="C2968" s="19"/>
      <c r="D2968" s="19"/>
      <c r="E2968" s="32"/>
      <c r="F2968" s="19"/>
      <c r="G2968" s="26" t="str">
        <f aca="false">IF(A2968="","",COUNTIF(Pubs!$B$2:$B$3001,A2968))</f>
        <v/>
      </c>
      <c r="H2968" s="26" t="str">
        <f aca="false">IF(A2968="","",COUNTIF(Apparitions!$H$2:$H$5001,A2968))</f>
        <v/>
      </c>
      <c r="I2968" s="26" t="str">
        <f aca="false">IF(A2968="","",COUNTIFS(Apparitions!$H$2:$H$5001,A2968,Apparitions!$E$2:$E$5001,"○"))</f>
        <v/>
      </c>
      <c r="J2968" s="29" t="str">
        <f aca="false">IF(A2968="","",IFERROR(1/(1/_xlfn.MINIFS(Apparitions!$L$2:$L$5001,Apparitions!$H$2:$H$5001,A2968)),""))</f>
        <v/>
      </c>
    </row>
    <row r="2969" customFormat="false" ht="15" hidden="false" customHeight="false" outlineLevel="0" collapsed="false">
      <c r="A2969" s="19"/>
      <c r="B2969" s="19"/>
      <c r="C2969" s="19"/>
      <c r="D2969" s="19"/>
      <c r="E2969" s="32"/>
      <c r="F2969" s="19"/>
      <c r="G2969" s="26" t="str">
        <f aca="false">IF(A2969="","",COUNTIF(Pubs!$B$2:$B$3001,A2969))</f>
        <v/>
      </c>
      <c r="H2969" s="26" t="str">
        <f aca="false">IF(A2969="","",COUNTIF(Apparitions!$H$2:$H$5001,A2969))</f>
        <v/>
      </c>
      <c r="I2969" s="26" t="str">
        <f aca="false">IF(A2969="","",COUNTIFS(Apparitions!$H$2:$H$5001,A2969,Apparitions!$E$2:$E$5001,"○"))</f>
        <v/>
      </c>
      <c r="J2969" s="29" t="str">
        <f aca="false">IF(A2969="","",IFERROR(1/(1/_xlfn.MINIFS(Apparitions!$L$2:$L$5001,Apparitions!$H$2:$H$5001,A2969)),""))</f>
        <v/>
      </c>
    </row>
    <row r="2970" customFormat="false" ht="15" hidden="false" customHeight="false" outlineLevel="0" collapsed="false">
      <c r="A2970" s="19"/>
      <c r="B2970" s="19"/>
      <c r="C2970" s="19"/>
      <c r="D2970" s="19"/>
      <c r="E2970" s="32"/>
      <c r="F2970" s="19"/>
      <c r="G2970" s="26" t="str">
        <f aca="false">IF(A2970="","",COUNTIF(Pubs!$B$2:$B$3001,A2970))</f>
        <v/>
      </c>
      <c r="H2970" s="26" t="str">
        <f aca="false">IF(A2970="","",COUNTIF(Apparitions!$H$2:$H$5001,A2970))</f>
        <v/>
      </c>
      <c r="I2970" s="26" t="str">
        <f aca="false">IF(A2970="","",COUNTIFS(Apparitions!$H$2:$H$5001,A2970,Apparitions!$E$2:$E$5001,"○"))</f>
        <v/>
      </c>
      <c r="J2970" s="29" t="str">
        <f aca="false">IF(A2970="","",IFERROR(1/(1/_xlfn.MINIFS(Apparitions!$L$2:$L$5001,Apparitions!$H$2:$H$5001,A2970)),""))</f>
        <v/>
      </c>
    </row>
    <row r="2971" customFormat="false" ht="15" hidden="false" customHeight="false" outlineLevel="0" collapsed="false">
      <c r="A2971" s="19"/>
      <c r="B2971" s="19"/>
      <c r="C2971" s="19"/>
      <c r="D2971" s="19"/>
      <c r="E2971" s="32"/>
      <c r="F2971" s="19"/>
      <c r="G2971" s="26" t="str">
        <f aca="false">IF(A2971="","",COUNTIF(Pubs!$B$2:$B$3001,A2971))</f>
        <v/>
      </c>
      <c r="H2971" s="26" t="str">
        <f aca="false">IF(A2971="","",COUNTIF(Apparitions!$H$2:$H$5001,A2971))</f>
        <v/>
      </c>
      <c r="I2971" s="26" t="str">
        <f aca="false">IF(A2971="","",COUNTIFS(Apparitions!$H$2:$H$5001,A2971,Apparitions!$E$2:$E$5001,"○"))</f>
        <v/>
      </c>
      <c r="J2971" s="29" t="str">
        <f aca="false">IF(A2971="","",IFERROR(1/(1/_xlfn.MINIFS(Apparitions!$L$2:$L$5001,Apparitions!$H$2:$H$5001,A2971)),""))</f>
        <v/>
      </c>
    </row>
    <row r="2972" customFormat="false" ht="15" hidden="false" customHeight="false" outlineLevel="0" collapsed="false">
      <c r="A2972" s="19"/>
      <c r="B2972" s="19"/>
      <c r="C2972" s="19"/>
      <c r="D2972" s="19"/>
      <c r="E2972" s="32"/>
      <c r="F2972" s="19"/>
      <c r="G2972" s="26" t="str">
        <f aca="false">IF(A2972="","",COUNTIF(Pubs!$B$2:$B$3001,A2972))</f>
        <v/>
      </c>
      <c r="H2972" s="26" t="str">
        <f aca="false">IF(A2972="","",COUNTIF(Apparitions!$H$2:$H$5001,A2972))</f>
        <v/>
      </c>
      <c r="I2972" s="26" t="str">
        <f aca="false">IF(A2972="","",COUNTIFS(Apparitions!$H$2:$H$5001,A2972,Apparitions!$E$2:$E$5001,"○"))</f>
        <v/>
      </c>
      <c r="J2972" s="29" t="str">
        <f aca="false">IF(A2972="","",IFERROR(1/(1/_xlfn.MINIFS(Apparitions!$L$2:$L$5001,Apparitions!$H$2:$H$5001,A2972)),""))</f>
        <v/>
      </c>
    </row>
    <row r="2973" customFormat="false" ht="15" hidden="false" customHeight="false" outlineLevel="0" collapsed="false">
      <c r="A2973" s="19"/>
      <c r="B2973" s="19"/>
      <c r="C2973" s="19"/>
      <c r="D2973" s="19"/>
      <c r="E2973" s="32"/>
      <c r="F2973" s="19"/>
      <c r="G2973" s="26" t="str">
        <f aca="false">IF(A2973="","",COUNTIF(Pubs!$B$2:$B$3001,A2973))</f>
        <v/>
      </c>
      <c r="H2973" s="26" t="str">
        <f aca="false">IF(A2973="","",COUNTIF(Apparitions!$H$2:$H$5001,A2973))</f>
        <v/>
      </c>
      <c r="I2973" s="26" t="str">
        <f aca="false">IF(A2973="","",COUNTIFS(Apparitions!$H$2:$H$5001,A2973,Apparitions!$E$2:$E$5001,"○"))</f>
        <v/>
      </c>
      <c r="J2973" s="29" t="str">
        <f aca="false">IF(A2973="","",IFERROR(1/(1/_xlfn.MINIFS(Apparitions!$L$2:$L$5001,Apparitions!$H$2:$H$5001,A2973)),""))</f>
        <v/>
      </c>
    </row>
    <row r="2974" customFormat="false" ht="15" hidden="false" customHeight="false" outlineLevel="0" collapsed="false">
      <c r="A2974" s="19"/>
      <c r="B2974" s="19"/>
      <c r="C2974" s="19"/>
      <c r="D2974" s="19"/>
      <c r="E2974" s="32"/>
      <c r="F2974" s="19"/>
      <c r="G2974" s="26" t="str">
        <f aca="false">IF(A2974="","",COUNTIF(Pubs!$B$2:$B$3001,A2974))</f>
        <v/>
      </c>
      <c r="H2974" s="26" t="str">
        <f aca="false">IF(A2974="","",COUNTIF(Apparitions!$H$2:$H$5001,A2974))</f>
        <v/>
      </c>
      <c r="I2974" s="26" t="str">
        <f aca="false">IF(A2974="","",COUNTIFS(Apparitions!$H$2:$H$5001,A2974,Apparitions!$E$2:$E$5001,"○"))</f>
        <v/>
      </c>
      <c r="J2974" s="29" t="str">
        <f aca="false">IF(A2974="","",IFERROR(1/(1/_xlfn.MINIFS(Apparitions!$L$2:$L$5001,Apparitions!$H$2:$H$5001,A2974)),""))</f>
        <v/>
      </c>
    </row>
    <row r="2975" customFormat="false" ht="15" hidden="false" customHeight="false" outlineLevel="0" collapsed="false">
      <c r="A2975" s="19"/>
      <c r="B2975" s="19"/>
      <c r="C2975" s="19"/>
      <c r="D2975" s="19"/>
      <c r="E2975" s="32"/>
      <c r="F2975" s="19"/>
      <c r="G2975" s="26" t="str">
        <f aca="false">IF(A2975="","",COUNTIF(Pubs!$B$2:$B$3001,A2975))</f>
        <v/>
      </c>
      <c r="H2975" s="26" t="str">
        <f aca="false">IF(A2975="","",COUNTIF(Apparitions!$H$2:$H$5001,A2975))</f>
        <v/>
      </c>
      <c r="I2975" s="26" t="str">
        <f aca="false">IF(A2975="","",COUNTIFS(Apparitions!$H$2:$H$5001,A2975,Apparitions!$E$2:$E$5001,"○"))</f>
        <v/>
      </c>
      <c r="J2975" s="29" t="str">
        <f aca="false">IF(A2975="","",IFERROR(1/(1/_xlfn.MINIFS(Apparitions!$L$2:$L$5001,Apparitions!$H$2:$H$5001,A2975)),""))</f>
        <v/>
      </c>
    </row>
    <row r="2976" customFormat="false" ht="15" hidden="false" customHeight="false" outlineLevel="0" collapsed="false">
      <c r="A2976" s="19"/>
      <c r="B2976" s="19"/>
      <c r="C2976" s="19"/>
      <c r="D2976" s="19"/>
      <c r="E2976" s="32"/>
      <c r="F2976" s="19"/>
      <c r="G2976" s="26" t="str">
        <f aca="false">IF(A2976="","",COUNTIF(Pubs!$B$2:$B$3001,A2976))</f>
        <v/>
      </c>
      <c r="H2976" s="26" t="str">
        <f aca="false">IF(A2976="","",COUNTIF(Apparitions!$H$2:$H$5001,A2976))</f>
        <v/>
      </c>
      <c r="I2976" s="26" t="str">
        <f aca="false">IF(A2976="","",COUNTIFS(Apparitions!$H$2:$H$5001,A2976,Apparitions!$E$2:$E$5001,"○"))</f>
        <v/>
      </c>
      <c r="J2976" s="29" t="str">
        <f aca="false">IF(A2976="","",IFERROR(1/(1/_xlfn.MINIFS(Apparitions!$L$2:$L$5001,Apparitions!$H$2:$H$5001,A2976)),""))</f>
        <v/>
      </c>
    </row>
    <row r="2977" customFormat="false" ht="15" hidden="false" customHeight="false" outlineLevel="0" collapsed="false">
      <c r="A2977" s="19"/>
      <c r="B2977" s="19"/>
      <c r="C2977" s="19"/>
      <c r="D2977" s="19"/>
      <c r="E2977" s="32"/>
      <c r="F2977" s="19"/>
      <c r="G2977" s="26" t="str">
        <f aca="false">IF(A2977="","",COUNTIF(Pubs!$B$2:$B$3001,A2977))</f>
        <v/>
      </c>
      <c r="H2977" s="26" t="str">
        <f aca="false">IF(A2977="","",COUNTIF(Apparitions!$H$2:$H$5001,A2977))</f>
        <v/>
      </c>
      <c r="I2977" s="26" t="str">
        <f aca="false">IF(A2977="","",COUNTIFS(Apparitions!$H$2:$H$5001,A2977,Apparitions!$E$2:$E$5001,"○"))</f>
        <v/>
      </c>
      <c r="J2977" s="29" t="str">
        <f aca="false">IF(A2977="","",IFERROR(1/(1/_xlfn.MINIFS(Apparitions!$L$2:$L$5001,Apparitions!$H$2:$H$5001,A2977)),""))</f>
        <v/>
      </c>
    </row>
    <row r="2978" customFormat="false" ht="15" hidden="false" customHeight="false" outlineLevel="0" collapsed="false">
      <c r="A2978" s="19"/>
      <c r="B2978" s="19"/>
      <c r="C2978" s="19"/>
      <c r="D2978" s="19"/>
      <c r="E2978" s="32"/>
      <c r="F2978" s="19"/>
      <c r="G2978" s="26" t="str">
        <f aca="false">IF(A2978="","",COUNTIF(Pubs!$B$2:$B$3001,A2978))</f>
        <v/>
      </c>
      <c r="H2978" s="26" t="str">
        <f aca="false">IF(A2978="","",COUNTIF(Apparitions!$H$2:$H$5001,A2978))</f>
        <v/>
      </c>
      <c r="I2978" s="26" t="str">
        <f aca="false">IF(A2978="","",COUNTIFS(Apparitions!$H$2:$H$5001,A2978,Apparitions!$E$2:$E$5001,"○"))</f>
        <v/>
      </c>
      <c r="J2978" s="29" t="str">
        <f aca="false">IF(A2978="","",IFERROR(1/(1/_xlfn.MINIFS(Apparitions!$L$2:$L$5001,Apparitions!$H$2:$H$5001,A2978)),""))</f>
        <v/>
      </c>
    </row>
    <row r="2979" customFormat="false" ht="15" hidden="false" customHeight="false" outlineLevel="0" collapsed="false">
      <c r="A2979" s="19"/>
      <c r="B2979" s="19"/>
      <c r="C2979" s="19"/>
      <c r="D2979" s="19"/>
      <c r="E2979" s="32"/>
      <c r="F2979" s="19"/>
      <c r="G2979" s="26" t="str">
        <f aca="false">IF(A2979="","",COUNTIF(Pubs!$B$2:$B$3001,A2979))</f>
        <v/>
      </c>
      <c r="H2979" s="26" t="str">
        <f aca="false">IF(A2979="","",COUNTIF(Apparitions!$H$2:$H$5001,A2979))</f>
        <v/>
      </c>
      <c r="I2979" s="26" t="str">
        <f aca="false">IF(A2979="","",COUNTIFS(Apparitions!$H$2:$H$5001,A2979,Apparitions!$E$2:$E$5001,"○"))</f>
        <v/>
      </c>
      <c r="J2979" s="29" t="str">
        <f aca="false">IF(A2979="","",IFERROR(1/(1/_xlfn.MINIFS(Apparitions!$L$2:$L$5001,Apparitions!$H$2:$H$5001,A2979)),""))</f>
        <v/>
      </c>
    </row>
    <row r="2980" customFormat="false" ht="15" hidden="false" customHeight="false" outlineLevel="0" collapsed="false">
      <c r="A2980" s="19"/>
      <c r="B2980" s="19"/>
      <c r="C2980" s="19"/>
      <c r="D2980" s="19"/>
      <c r="E2980" s="32"/>
      <c r="F2980" s="19"/>
      <c r="G2980" s="26" t="str">
        <f aca="false">IF(A2980="","",COUNTIF(Pubs!$B$2:$B$3001,A2980))</f>
        <v/>
      </c>
      <c r="H2980" s="26" t="str">
        <f aca="false">IF(A2980="","",COUNTIF(Apparitions!$H$2:$H$5001,A2980))</f>
        <v/>
      </c>
      <c r="I2980" s="26" t="str">
        <f aca="false">IF(A2980="","",COUNTIFS(Apparitions!$H$2:$H$5001,A2980,Apparitions!$E$2:$E$5001,"○"))</f>
        <v/>
      </c>
      <c r="J2980" s="29" t="str">
        <f aca="false">IF(A2980="","",IFERROR(1/(1/_xlfn.MINIFS(Apparitions!$L$2:$L$5001,Apparitions!$H$2:$H$5001,A2980)),""))</f>
        <v/>
      </c>
    </row>
    <row r="2981" customFormat="false" ht="15" hidden="false" customHeight="false" outlineLevel="0" collapsed="false">
      <c r="A2981" s="19"/>
      <c r="B2981" s="19"/>
      <c r="C2981" s="19"/>
      <c r="D2981" s="19"/>
      <c r="E2981" s="32"/>
      <c r="F2981" s="19"/>
      <c r="G2981" s="26" t="str">
        <f aca="false">IF(A2981="","",COUNTIF(Pubs!$B$2:$B$3001,A2981))</f>
        <v/>
      </c>
      <c r="H2981" s="26" t="str">
        <f aca="false">IF(A2981="","",COUNTIF(Apparitions!$H$2:$H$5001,A2981))</f>
        <v/>
      </c>
      <c r="I2981" s="26" t="str">
        <f aca="false">IF(A2981="","",COUNTIFS(Apparitions!$H$2:$H$5001,A2981,Apparitions!$E$2:$E$5001,"○"))</f>
        <v/>
      </c>
      <c r="J2981" s="29" t="str">
        <f aca="false">IF(A2981="","",IFERROR(1/(1/_xlfn.MINIFS(Apparitions!$L$2:$L$5001,Apparitions!$H$2:$H$5001,A2981)),""))</f>
        <v/>
      </c>
    </row>
    <row r="2982" customFormat="false" ht="15" hidden="false" customHeight="false" outlineLevel="0" collapsed="false">
      <c r="A2982" s="19"/>
      <c r="B2982" s="19"/>
      <c r="C2982" s="19"/>
      <c r="D2982" s="19"/>
      <c r="E2982" s="32"/>
      <c r="F2982" s="19"/>
      <c r="G2982" s="26" t="str">
        <f aca="false">IF(A2982="","",COUNTIF(Pubs!$B$2:$B$3001,A2982))</f>
        <v/>
      </c>
      <c r="H2982" s="26" t="str">
        <f aca="false">IF(A2982="","",COUNTIF(Apparitions!$H$2:$H$5001,A2982))</f>
        <v/>
      </c>
      <c r="I2982" s="26" t="str">
        <f aca="false">IF(A2982="","",COUNTIFS(Apparitions!$H$2:$H$5001,A2982,Apparitions!$E$2:$E$5001,"○"))</f>
        <v/>
      </c>
      <c r="J2982" s="29" t="str">
        <f aca="false">IF(A2982="","",IFERROR(1/(1/_xlfn.MINIFS(Apparitions!$L$2:$L$5001,Apparitions!$H$2:$H$5001,A2982)),""))</f>
        <v/>
      </c>
    </row>
    <row r="2983" customFormat="false" ht="15" hidden="false" customHeight="false" outlineLevel="0" collapsed="false">
      <c r="A2983" s="19"/>
      <c r="B2983" s="19"/>
      <c r="C2983" s="19"/>
      <c r="D2983" s="19"/>
      <c r="E2983" s="32"/>
      <c r="F2983" s="19"/>
      <c r="G2983" s="26" t="str">
        <f aca="false">IF(A2983="","",COUNTIF(Pubs!$B$2:$B$3001,A2983))</f>
        <v/>
      </c>
      <c r="H2983" s="26" t="str">
        <f aca="false">IF(A2983="","",COUNTIF(Apparitions!$H$2:$H$5001,A2983))</f>
        <v/>
      </c>
      <c r="I2983" s="26" t="str">
        <f aca="false">IF(A2983="","",COUNTIFS(Apparitions!$H$2:$H$5001,A2983,Apparitions!$E$2:$E$5001,"○"))</f>
        <v/>
      </c>
      <c r="J2983" s="29" t="str">
        <f aca="false">IF(A2983="","",IFERROR(1/(1/_xlfn.MINIFS(Apparitions!$L$2:$L$5001,Apparitions!$H$2:$H$5001,A2983)),""))</f>
        <v/>
      </c>
    </row>
    <row r="2984" customFormat="false" ht="15" hidden="false" customHeight="false" outlineLevel="0" collapsed="false">
      <c r="A2984" s="19"/>
      <c r="B2984" s="19"/>
      <c r="C2984" s="19"/>
      <c r="D2984" s="19"/>
      <c r="E2984" s="32"/>
      <c r="F2984" s="19"/>
      <c r="G2984" s="26" t="str">
        <f aca="false">IF(A2984="","",COUNTIF(Pubs!$B$2:$B$3001,A2984))</f>
        <v/>
      </c>
      <c r="H2984" s="26" t="str">
        <f aca="false">IF(A2984="","",COUNTIF(Apparitions!$H$2:$H$5001,A2984))</f>
        <v/>
      </c>
      <c r="I2984" s="26" t="str">
        <f aca="false">IF(A2984="","",COUNTIFS(Apparitions!$H$2:$H$5001,A2984,Apparitions!$E$2:$E$5001,"○"))</f>
        <v/>
      </c>
      <c r="J2984" s="29" t="str">
        <f aca="false">IF(A2984="","",IFERROR(1/(1/_xlfn.MINIFS(Apparitions!$L$2:$L$5001,Apparitions!$H$2:$H$5001,A2984)),""))</f>
        <v/>
      </c>
    </row>
    <row r="2985" customFormat="false" ht="15" hidden="false" customHeight="false" outlineLevel="0" collapsed="false">
      <c r="A2985" s="19"/>
      <c r="B2985" s="19"/>
      <c r="C2985" s="19"/>
      <c r="D2985" s="19"/>
      <c r="E2985" s="32"/>
      <c r="F2985" s="19"/>
      <c r="G2985" s="26" t="str">
        <f aca="false">IF(A2985="","",COUNTIF(Pubs!$B$2:$B$3001,A2985))</f>
        <v/>
      </c>
      <c r="H2985" s="26" t="str">
        <f aca="false">IF(A2985="","",COUNTIF(Apparitions!$H$2:$H$5001,A2985))</f>
        <v/>
      </c>
      <c r="I2985" s="26" t="str">
        <f aca="false">IF(A2985="","",COUNTIFS(Apparitions!$H$2:$H$5001,A2985,Apparitions!$E$2:$E$5001,"○"))</f>
        <v/>
      </c>
      <c r="J2985" s="29" t="str">
        <f aca="false">IF(A2985="","",IFERROR(1/(1/_xlfn.MINIFS(Apparitions!$L$2:$L$5001,Apparitions!$H$2:$H$5001,A2985)),""))</f>
        <v/>
      </c>
    </row>
    <row r="2986" customFormat="false" ht="15" hidden="false" customHeight="false" outlineLevel="0" collapsed="false">
      <c r="A2986" s="19"/>
      <c r="B2986" s="19"/>
      <c r="C2986" s="19"/>
      <c r="D2986" s="19"/>
      <c r="E2986" s="32"/>
      <c r="F2986" s="19"/>
      <c r="G2986" s="26" t="str">
        <f aca="false">IF(A2986="","",COUNTIF(Pubs!$B$2:$B$3001,A2986))</f>
        <v/>
      </c>
      <c r="H2986" s="26" t="str">
        <f aca="false">IF(A2986="","",COUNTIF(Apparitions!$H$2:$H$5001,A2986))</f>
        <v/>
      </c>
      <c r="I2986" s="26" t="str">
        <f aca="false">IF(A2986="","",COUNTIFS(Apparitions!$H$2:$H$5001,A2986,Apparitions!$E$2:$E$5001,"○"))</f>
        <v/>
      </c>
      <c r="J2986" s="29" t="str">
        <f aca="false">IF(A2986="","",IFERROR(1/(1/_xlfn.MINIFS(Apparitions!$L$2:$L$5001,Apparitions!$H$2:$H$5001,A2986)),""))</f>
        <v/>
      </c>
    </row>
    <row r="2987" customFormat="false" ht="15" hidden="false" customHeight="false" outlineLevel="0" collapsed="false">
      <c r="A2987" s="19"/>
      <c r="B2987" s="19"/>
      <c r="C2987" s="19"/>
      <c r="D2987" s="19"/>
      <c r="E2987" s="32"/>
      <c r="F2987" s="19"/>
      <c r="G2987" s="26" t="str">
        <f aca="false">IF(A2987="","",COUNTIF(Pubs!$B$2:$B$3001,A2987))</f>
        <v/>
      </c>
      <c r="H2987" s="26" t="str">
        <f aca="false">IF(A2987="","",COUNTIF(Apparitions!$H$2:$H$5001,A2987))</f>
        <v/>
      </c>
      <c r="I2987" s="26" t="str">
        <f aca="false">IF(A2987="","",COUNTIFS(Apparitions!$H$2:$H$5001,A2987,Apparitions!$E$2:$E$5001,"○"))</f>
        <v/>
      </c>
      <c r="J2987" s="29" t="str">
        <f aca="false">IF(A2987="","",IFERROR(1/(1/_xlfn.MINIFS(Apparitions!$L$2:$L$5001,Apparitions!$H$2:$H$5001,A2987)),""))</f>
        <v/>
      </c>
    </row>
    <row r="2988" customFormat="false" ht="15" hidden="false" customHeight="false" outlineLevel="0" collapsed="false">
      <c r="A2988" s="19"/>
      <c r="B2988" s="19"/>
      <c r="C2988" s="19"/>
      <c r="D2988" s="19"/>
      <c r="E2988" s="32"/>
      <c r="F2988" s="19"/>
      <c r="G2988" s="26" t="str">
        <f aca="false">IF(A2988="","",COUNTIF(Pubs!$B$2:$B$3001,A2988))</f>
        <v/>
      </c>
      <c r="H2988" s="26" t="str">
        <f aca="false">IF(A2988="","",COUNTIF(Apparitions!$H$2:$H$5001,A2988))</f>
        <v/>
      </c>
      <c r="I2988" s="26" t="str">
        <f aca="false">IF(A2988="","",COUNTIFS(Apparitions!$H$2:$H$5001,A2988,Apparitions!$E$2:$E$5001,"○"))</f>
        <v/>
      </c>
      <c r="J2988" s="29" t="str">
        <f aca="false">IF(A2988="","",IFERROR(1/(1/_xlfn.MINIFS(Apparitions!$L$2:$L$5001,Apparitions!$H$2:$H$5001,A2988)),""))</f>
        <v/>
      </c>
    </row>
    <row r="2989" customFormat="false" ht="15" hidden="false" customHeight="false" outlineLevel="0" collapsed="false">
      <c r="A2989" s="19"/>
      <c r="B2989" s="19"/>
      <c r="C2989" s="19"/>
      <c r="D2989" s="19"/>
      <c r="E2989" s="32"/>
      <c r="F2989" s="19"/>
      <c r="G2989" s="26" t="str">
        <f aca="false">IF(A2989="","",COUNTIF(Pubs!$B$2:$B$3001,A2989))</f>
        <v/>
      </c>
      <c r="H2989" s="26" t="str">
        <f aca="false">IF(A2989="","",COUNTIF(Apparitions!$H$2:$H$5001,A2989))</f>
        <v/>
      </c>
      <c r="I2989" s="26" t="str">
        <f aca="false">IF(A2989="","",COUNTIFS(Apparitions!$H$2:$H$5001,A2989,Apparitions!$E$2:$E$5001,"○"))</f>
        <v/>
      </c>
      <c r="J2989" s="29" t="str">
        <f aca="false">IF(A2989="","",IFERROR(1/(1/_xlfn.MINIFS(Apparitions!$L$2:$L$5001,Apparitions!$H$2:$H$5001,A2989)),""))</f>
        <v/>
      </c>
    </row>
    <row r="2990" customFormat="false" ht="15" hidden="false" customHeight="false" outlineLevel="0" collapsed="false">
      <c r="A2990" s="19"/>
      <c r="B2990" s="19"/>
      <c r="C2990" s="19"/>
      <c r="D2990" s="19"/>
      <c r="E2990" s="32"/>
      <c r="F2990" s="19"/>
      <c r="G2990" s="26" t="str">
        <f aca="false">IF(A2990="","",COUNTIF(Pubs!$B$2:$B$3001,A2990))</f>
        <v/>
      </c>
      <c r="H2990" s="26" t="str">
        <f aca="false">IF(A2990="","",COUNTIF(Apparitions!$H$2:$H$5001,A2990))</f>
        <v/>
      </c>
      <c r="I2990" s="26" t="str">
        <f aca="false">IF(A2990="","",COUNTIFS(Apparitions!$H$2:$H$5001,A2990,Apparitions!$E$2:$E$5001,"○"))</f>
        <v/>
      </c>
      <c r="J2990" s="29" t="str">
        <f aca="false">IF(A2990="","",IFERROR(1/(1/_xlfn.MINIFS(Apparitions!$L$2:$L$5001,Apparitions!$H$2:$H$5001,A2990)),""))</f>
        <v/>
      </c>
    </row>
    <row r="2991" customFormat="false" ht="15" hidden="false" customHeight="false" outlineLevel="0" collapsed="false">
      <c r="A2991" s="19"/>
      <c r="B2991" s="19"/>
      <c r="C2991" s="19"/>
      <c r="D2991" s="19"/>
      <c r="E2991" s="32"/>
      <c r="F2991" s="19"/>
      <c r="G2991" s="26" t="str">
        <f aca="false">IF(A2991="","",COUNTIF(Pubs!$B$2:$B$3001,A2991))</f>
        <v/>
      </c>
      <c r="H2991" s="26" t="str">
        <f aca="false">IF(A2991="","",COUNTIF(Apparitions!$H$2:$H$5001,A2991))</f>
        <v/>
      </c>
      <c r="I2991" s="26" t="str">
        <f aca="false">IF(A2991="","",COUNTIFS(Apparitions!$H$2:$H$5001,A2991,Apparitions!$E$2:$E$5001,"○"))</f>
        <v/>
      </c>
      <c r="J2991" s="29" t="str">
        <f aca="false">IF(A2991="","",IFERROR(1/(1/_xlfn.MINIFS(Apparitions!$L$2:$L$5001,Apparitions!$H$2:$H$5001,A2991)),""))</f>
        <v/>
      </c>
    </row>
    <row r="2992" customFormat="false" ht="15" hidden="false" customHeight="false" outlineLevel="0" collapsed="false">
      <c r="A2992" s="19"/>
      <c r="B2992" s="19"/>
      <c r="C2992" s="19"/>
      <c r="D2992" s="19"/>
      <c r="E2992" s="32"/>
      <c r="F2992" s="19"/>
      <c r="G2992" s="26" t="str">
        <f aca="false">IF(A2992="","",COUNTIF(Pubs!$B$2:$B$3001,A2992))</f>
        <v/>
      </c>
      <c r="H2992" s="26" t="str">
        <f aca="false">IF(A2992="","",COUNTIF(Apparitions!$H$2:$H$5001,A2992))</f>
        <v/>
      </c>
      <c r="I2992" s="26" t="str">
        <f aca="false">IF(A2992="","",COUNTIFS(Apparitions!$H$2:$H$5001,A2992,Apparitions!$E$2:$E$5001,"○"))</f>
        <v/>
      </c>
      <c r="J2992" s="29" t="str">
        <f aca="false">IF(A2992="","",IFERROR(1/(1/_xlfn.MINIFS(Apparitions!$L$2:$L$5001,Apparitions!$H$2:$H$5001,A2992)),""))</f>
        <v/>
      </c>
    </row>
    <row r="2993" customFormat="false" ht="15" hidden="false" customHeight="false" outlineLevel="0" collapsed="false">
      <c r="A2993" s="19"/>
      <c r="B2993" s="19"/>
      <c r="C2993" s="19"/>
      <c r="D2993" s="19"/>
      <c r="E2993" s="32"/>
      <c r="F2993" s="19"/>
      <c r="G2993" s="26" t="str">
        <f aca="false">IF(A2993="","",COUNTIF(Pubs!$B$2:$B$3001,A2993))</f>
        <v/>
      </c>
      <c r="H2993" s="26" t="str">
        <f aca="false">IF(A2993="","",COUNTIF(Apparitions!$H$2:$H$5001,A2993))</f>
        <v/>
      </c>
      <c r="I2993" s="26" t="str">
        <f aca="false">IF(A2993="","",COUNTIFS(Apparitions!$H$2:$H$5001,A2993,Apparitions!$E$2:$E$5001,"○"))</f>
        <v/>
      </c>
      <c r="J2993" s="29" t="str">
        <f aca="false">IF(A2993="","",IFERROR(1/(1/_xlfn.MINIFS(Apparitions!$L$2:$L$5001,Apparitions!$H$2:$H$5001,A2993)),""))</f>
        <v/>
      </c>
    </row>
    <row r="2994" customFormat="false" ht="15" hidden="false" customHeight="false" outlineLevel="0" collapsed="false">
      <c r="A2994" s="19"/>
      <c r="B2994" s="19"/>
      <c r="C2994" s="19"/>
      <c r="D2994" s="19"/>
      <c r="E2994" s="32"/>
      <c r="F2994" s="19"/>
      <c r="G2994" s="26" t="str">
        <f aca="false">IF(A2994="","",COUNTIF(Pubs!$B$2:$B$3001,A2994))</f>
        <v/>
      </c>
      <c r="H2994" s="26" t="str">
        <f aca="false">IF(A2994="","",COUNTIF(Apparitions!$H$2:$H$5001,A2994))</f>
        <v/>
      </c>
      <c r="I2994" s="26" t="str">
        <f aca="false">IF(A2994="","",COUNTIFS(Apparitions!$H$2:$H$5001,A2994,Apparitions!$E$2:$E$5001,"○"))</f>
        <v/>
      </c>
      <c r="J2994" s="29" t="str">
        <f aca="false">IF(A2994="","",IFERROR(1/(1/_xlfn.MINIFS(Apparitions!$L$2:$L$5001,Apparitions!$H$2:$H$5001,A2994)),""))</f>
        <v/>
      </c>
    </row>
    <row r="2995" customFormat="false" ht="15" hidden="false" customHeight="false" outlineLevel="0" collapsed="false">
      <c r="A2995" s="19"/>
      <c r="B2995" s="19"/>
      <c r="C2995" s="19"/>
      <c r="D2995" s="19"/>
      <c r="E2995" s="32"/>
      <c r="F2995" s="19"/>
      <c r="G2995" s="26" t="str">
        <f aca="false">IF(A2995="","",COUNTIF(Pubs!$B$2:$B$3001,A2995))</f>
        <v/>
      </c>
      <c r="H2995" s="26" t="str">
        <f aca="false">IF(A2995="","",COUNTIF(Apparitions!$H$2:$H$5001,A2995))</f>
        <v/>
      </c>
      <c r="I2995" s="26" t="str">
        <f aca="false">IF(A2995="","",COUNTIFS(Apparitions!$H$2:$H$5001,A2995,Apparitions!$E$2:$E$5001,"○"))</f>
        <v/>
      </c>
      <c r="J2995" s="29" t="str">
        <f aca="false">IF(A2995="","",IFERROR(1/(1/_xlfn.MINIFS(Apparitions!$L$2:$L$5001,Apparitions!$H$2:$H$5001,A2995)),""))</f>
        <v/>
      </c>
    </row>
    <row r="2996" customFormat="false" ht="15" hidden="false" customHeight="false" outlineLevel="0" collapsed="false">
      <c r="A2996" s="19"/>
      <c r="B2996" s="19"/>
      <c r="C2996" s="19"/>
      <c r="D2996" s="19"/>
      <c r="E2996" s="32"/>
      <c r="F2996" s="19"/>
      <c r="G2996" s="26" t="str">
        <f aca="false">IF(A2996="","",COUNTIF(Pubs!$B$2:$B$3001,A2996))</f>
        <v/>
      </c>
      <c r="H2996" s="26" t="str">
        <f aca="false">IF(A2996="","",COUNTIF(Apparitions!$H$2:$H$5001,A2996))</f>
        <v/>
      </c>
      <c r="I2996" s="26" t="str">
        <f aca="false">IF(A2996="","",COUNTIFS(Apparitions!$H$2:$H$5001,A2996,Apparitions!$E$2:$E$5001,"○"))</f>
        <v/>
      </c>
      <c r="J2996" s="29" t="str">
        <f aca="false">IF(A2996="","",IFERROR(1/(1/_xlfn.MINIFS(Apparitions!$L$2:$L$5001,Apparitions!$H$2:$H$5001,A2996)),""))</f>
        <v/>
      </c>
    </row>
    <row r="2997" customFormat="false" ht="15" hidden="false" customHeight="false" outlineLevel="0" collapsed="false">
      <c r="A2997" s="19"/>
      <c r="B2997" s="19"/>
      <c r="C2997" s="19"/>
      <c r="D2997" s="19"/>
      <c r="E2997" s="32"/>
      <c r="F2997" s="19"/>
      <c r="G2997" s="26" t="str">
        <f aca="false">IF(A2997="","",COUNTIF(Pubs!$B$2:$B$3001,A2997))</f>
        <v/>
      </c>
      <c r="H2997" s="26" t="str">
        <f aca="false">IF(A2997="","",COUNTIF(Apparitions!$H$2:$H$5001,A2997))</f>
        <v/>
      </c>
      <c r="I2997" s="26" t="str">
        <f aca="false">IF(A2997="","",COUNTIFS(Apparitions!$H$2:$H$5001,A2997,Apparitions!$E$2:$E$5001,"○"))</f>
        <v/>
      </c>
      <c r="J2997" s="29" t="str">
        <f aca="false">IF(A2997="","",IFERROR(1/(1/_xlfn.MINIFS(Apparitions!$L$2:$L$5001,Apparitions!$H$2:$H$5001,A2997)),""))</f>
        <v/>
      </c>
    </row>
    <row r="2998" customFormat="false" ht="15" hidden="false" customHeight="false" outlineLevel="0" collapsed="false">
      <c r="A2998" s="19"/>
      <c r="B2998" s="19"/>
      <c r="C2998" s="19"/>
      <c r="D2998" s="19"/>
      <c r="E2998" s="32"/>
      <c r="F2998" s="19"/>
      <c r="G2998" s="26" t="str">
        <f aca="false">IF(A2998="","",COUNTIF(Pubs!$B$2:$B$3001,A2998))</f>
        <v/>
      </c>
      <c r="H2998" s="26" t="str">
        <f aca="false">IF(A2998="","",COUNTIF(Apparitions!$H$2:$H$5001,A2998))</f>
        <v/>
      </c>
      <c r="I2998" s="26" t="str">
        <f aca="false">IF(A2998="","",COUNTIFS(Apparitions!$H$2:$H$5001,A2998,Apparitions!$E$2:$E$5001,"○"))</f>
        <v/>
      </c>
      <c r="J2998" s="29" t="str">
        <f aca="false">IF(A2998="","",IFERROR(1/(1/_xlfn.MINIFS(Apparitions!$L$2:$L$5001,Apparitions!$H$2:$H$5001,A2998)),""))</f>
        <v/>
      </c>
    </row>
    <row r="2999" customFormat="false" ht="15" hidden="false" customHeight="false" outlineLevel="0" collapsed="false">
      <c r="A2999" s="19"/>
      <c r="B2999" s="19"/>
      <c r="C2999" s="19"/>
      <c r="D2999" s="19"/>
      <c r="E2999" s="32"/>
      <c r="F2999" s="19"/>
      <c r="G2999" s="26" t="str">
        <f aca="false">IF(A2999="","",COUNTIF(Pubs!$B$2:$B$3001,A2999))</f>
        <v/>
      </c>
      <c r="H2999" s="26" t="str">
        <f aca="false">IF(A2999="","",COUNTIF(Apparitions!$H$2:$H$5001,A2999))</f>
        <v/>
      </c>
      <c r="I2999" s="26" t="str">
        <f aca="false">IF(A2999="","",COUNTIFS(Apparitions!$H$2:$H$5001,A2999,Apparitions!$E$2:$E$5001,"○"))</f>
        <v/>
      </c>
      <c r="J2999" s="29" t="str">
        <f aca="false">IF(A2999="","",IFERROR(1/(1/_xlfn.MINIFS(Apparitions!$L$2:$L$5001,Apparitions!$H$2:$H$5001,A2999)),""))</f>
        <v/>
      </c>
    </row>
    <row r="3000" customFormat="false" ht="15" hidden="false" customHeight="false" outlineLevel="0" collapsed="false">
      <c r="A3000" s="19"/>
      <c r="B3000" s="19"/>
      <c r="C3000" s="19"/>
      <c r="D3000" s="19"/>
      <c r="E3000" s="32"/>
      <c r="F3000" s="19"/>
      <c r="G3000" s="26" t="str">
        <f aca="false">IF(A3000="","",COUNTIF(Pubs!$B$2:$B$3001,A3000))</f>
        <v/>
      </c>
      <c r="H3000" s="26" t="str">
        <f aca="false">IF(A3000="","",COUNTIF(Apparitions!$H$2:$H$5001,A3000))</f>
        <v/>
      </c>
      <c r="I3000" s="26" t="str">
        <f aca="false">IF(A3000="","",COUNTIFS(Apparitions!$H$2:$H$5001,A3000,Apparitions!$E$2:$E$5001,"○"))</f>
        <v/>
      </c>
      <c r="J3000" s="29" t="str">
        <f aca="false">IF(A3000="","",IFERROR(1/(1/_xlfn.MINIFS(Apparitions!$L$2:$L$5001,Apparitions!$H$2:$H$5001,A3000)),""))</f>
        <v/>
      </c>
    </row>
    <row r="3001" customFormat="false" ht="15" hidden="false" customHeight="false" outlineLevel="0" collapsed="false">
      <c r="A3001" s="19"/>
      <c r="B3001" s="19"/>
      <c r="C3001" s="19"/>
      <c r="D3001" s="19"/>
      <c r="E3001" s="32"/>
      <c r="F3001" s="19"/>
      <c r="G3001" s="26" t="str">
        <f aca="false">IF(A3001="","",COUNTIF(Pubs!$B$2:$B$3001,A3001))</f>
        <v/>
      </c>
      <c r="H3001" s="26" t="str">
        <f aca="false">IF(A3001="","",COUNTIF(Apparitions!$H$2:$H$5001,A3001))</f>
        <v/>
      </c>
      <c r="I3001" s="26" t="str">
        <f aca="false">IF(A3001="","",COUNTIFS(Apparitions!$H$2:$H$5001,A3001,Apparitions!$E$2:$E$5001,"○"))</f>
        <v/>
      </c>
      <c r="J3001" s="29" t="str">
        <f aca="false">IF(A3001="","",IFERROR(1/(1/_xlfn.MINIFS(Apparitions!$L$2:$L$5001,Apparitions!$H$2:$H$5001,A3001)),""))</f>
        <v/>
      </c>
    </row>
  </sheetData>
  <autoFilter ref="A1:J3001"/>
  <conditionalFormatting sqref="A2:A3001">
    <cfRule type="expression" priority="2" aboveAverage="0" equalAverage="0" bottom="0" percent="0" rank="0" text="" dxfId="1">
      <formula>AND(A2&lt;&gt;"",COUNTIF($A$2:$A$3001,A2)&gt;1)</formula>
    </cfRule>
  </conditionalFormatting>
  <dataValidations count="1"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C2:C3001" type="list">
      <formula1>L_Series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F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true" outlineLevel="0" max="6" min="6" style="0" width="6"/>
  </cols>
  <sheetData>
    <row r="1" customFormat="false" ht="30" hidden="false" customHeight="true" outlineLevel="0" collapsed="false">
      <c r="A1" s="24" t="s">
        <v>60</v>
      </c>
      <c r="B1" s="24" t="s">
        <v>63</v>
      </c>
      <c r="C1" s="24" t="s">
        <v>140</v>
      </c>
      <c r="D1" s="24" t="s">
        <v>89</v>
      </c>
      <c r="E1" s="25" t="s">
        <v>141</v>
      </c>
      <c r="F1" s="25" t="s">
        <v>142</v>
      </c>
    </row>
    <row r="2" customFormat="false" ht="15" hidden="false" customHeight="false" outlineLevel="0" collapsed="false">
      <c r="A2" s="19" t="s">
        <v>95</v>
      </c>
      <c r="B2" s="19" t="n">
        <v>421</v>
      </c>
      <c r="C2" s="20" t="n">
        <v>35433</v>
      </c>
      <c r="D2" s="19" t="s">
        <v>98</v>
      </c>
      <c r="E2" s="26" t="n">
        <f aca="false">IF(A2="","",COUNTIFS(Apparitions!$A$2:$A$5001,A2,Apparitions!$B$2:$B$5001,B2))</f>
        <v>2</v>
      </c>
      <c r="F2" s="27" t="str">
        <f aca="false">IF(A2="","",A2&amp;"|"&amp;B2)</f>
        <v>Weekly Famitsu|421</v>
      </c>
    </row>
    <row r="3" customFormat="false" ht="15" hidden="false" customHeight="false" outlineLevel="0" collapsed="false">
      <c r="A3" s="19" t="s">
        <v>95</v>
      </c>
      <c r="B3" s="19" t="n">
        <v>425</v>
      </c>
      <c r="C3" s="20" t="n">
        <v>35461</v>
      </c>
      <c r="D3" s="19" t="s">
        <v>98</v>
      </c>
      <c r="E3" s="26" t="n">
        <f aca="false">IF(A3="","",COUNTIFS(Apparitions!$A$2:$A$5001,A3,Apparitions!$B$2:$B$5001,B3))</f>
        <v>1</v>
      </c>
      <c r="F3" s="27" t="str">
        <f aca="false">IF(A3="","",A3&amp;"|"&amp;B3)</f>
        <v>Weekly Famitsu|425</v>
      </c>
    </row>
    <row r="4" customFormat="false" ht="15" hidden="false" customHeight="false" outlineLevel="0" collapsed="false">
      <c r="A4" s="19" t="s">
        <v>95</v>
      </c>
      <c r="B4" s="19" t="n">
        <v>430</v>
      </c>
      <c r="C4" s="20" t="n">
        <v>35496</v>
      </c>
      <c r="D4" s="19" t="s">
        <v>98</v>
      </c>
      <c r="E4" s="26" t="n">
        <f aca="false">IF(A4="","",COUNTIFS(Apparitions!$A$2:$A$5001,A4,Apparitions!$B$2:$B$5001,B4))</f>
        <v>1</v>
      </c>
      <c r="F4" s="27" t="str">
        <f aca="false">IF(A4="","",A4&amp;"|"&amp;B4)</f>
        <v>Weekly Famitsu|430</v>
      </c>
    </row>
    <row r="5" customFormat="false" ht="15" hidden="false" customHeight="false" outlineLevel="0" collapsed="false">
      <c r="A5" s="19" t="s">
        <v>102</v>
      </c>
      <c r="B5" s="19" t="n">
        <v>38</v>
      </c>
      <c r="C5" s="20" t="n">
        <v>35440</v>
      </c>
      <c r="D5" s="19" t="s">
        <v>98</v>
      </c>
      <c r="E5" s="26" t="n">
        <f aca="false">IF(A5="","",COUNTIFS(Apparitions!$A$2:$A$5001,A5,Apparitions!$B$2:$B$5001,B5))</f>
        <v>2</v>
      </c>
      <c r="F5" s="27" t="str">
        <f aca="false">IF(A5="","",A5&amp;"|"&amp;B5)</f>
        <v>Dengeki PlayStation|38</v>
      </c>
    </row>
    <row r="6" customFormat="false" ht="15" hidden="false" customHeight="false" outlineLevel="0" collapsed="false">
      <c r="A6" s="19" t="s">
        <v>104</v>
      </c>
      <c r="B6" s="19" t="n">
        <v>5</v>
      </c>
      <c r="C6" s="20" t="n">
        <v>35309</v>
      </c>
      <c r="D6" s="19" t="s">
        <v>98</v>
      </c>
      <c r="E6" s="26" t="n">
        <f aca="false">IF(A6="","",COUNTIFS(Apparitions!$A$2:$A$5001,A6,Apparitions!$B$2:$B$5001,B6))</f>
        <v>1</v>
      </c>
      <c r="F6" s="27" t="str">
        <f aca="false">IF(A6="","",A6&amp;"|"&amp;B6)</f>
        <v>Sega Saturn Magazine|5</v>
      </c>
    </row>
    <row r="7" customFormat="false" ht="15" hidden="false" customHeight="false" outlineLevel="0" collapsed="false">
      <c r="A7" s="19"/>
      <c r="B7" s="19"/>
      <c r="C7" s="20"/>
      <c r="D7" s="19"/>
      <c r="E7" s="26" t="str">
        <f aca="false">IF(A7="","",COUNTIFS(Apparitions!$A$2:$A$5001,A7,Apparitions!$B$2:$B$5001,B7))</f>
        <v/>
      </c>
      <c r="F7" s="27" t="str">
        <f aca="false">IF(A7="","",A7&amp;"|"&amp;B7)</f>
        <v/>
      </c>
    </row>
    <row r="8" customFormat="false" ht="15" hidden="false" customHeight="false" outlineLevel="0" collapsed="false">
      <c r="A8" s="19"/>
      <c r="B8" s="19"/>
      <c r="C8" s="20"/>
      <c r="D8" s="19"/>
      <c r="E8" s="26" t="str">
        <f aca="false">IF(A8="","",COUNTIFS(Apparitions!$A$2:$A$5001,A8,Apparitions!$B$2:$B$5001,B8))</f>
        <v/>
      </c>
      <c r="F8" s="27" t="str">
        <f aca="false">IF(A8="","",A8&amp;"|"&amp;B8)</f>
        <v/>
      </c>
    </row>
    <row r="9" customFormat="false" ht="15" hidden="false" customHeight="false" outlineLevel="0" collapsed="false">
      <c r="A9" s="19"/>
      <c r="B9" s="19"/>
      <c r="C9" s="20"/>
      <c r="D9" s="19"/>
      <c r="E9" s="26" t="str">
        <f aca="false">IF(A9="","",COUNTIFS(Apparitions!$A$2:$A$5001,A9,Apparitions!$B$2:$B$5001,B9))</f>
        <v/>
      </c>
      <c r="F9" s="27" t="str">
        <f aca="false">IF(A9="","",A9&amp;"|"&amp;B9)</f>
        <v/>
      </c>
    </row>
    <row r="10" customFormat="false" ht="15" hidden="false" customHeight="false" outlineLevel="0" collapsed="false">
      <c r="A10" s="19"/>
      <c r="B10" s="19"/>
      <c r="C10" s="20"/>
      <c r="D10" s="19"/>
      <c r="E10" s="26" t="str">
        <f aca="false">IF(A10="","",COUNTIFS(Apparitions!$A$2:$A$5001,A10,Apparitions!$B$2:$B$5001,B10))</f>
        <v/>
      </c>
      <c r="F10" s="27" t="str">
        <f aca="false">IF(A10="","",A10&amp;"|"&amp;B10)</f>
        <v/>
      </c>
    </row>
    <row r="11" customFormat="false" ht="15" hidden="false" customHeight="false" outlineLevel="0" collapsed="false">
      <c r="A11" s="19"/>
      <c r="B11" s="19"/>
      <c r="C11" s="20"/>
      <c r="D11" s="19"/>
      <c r="E11" s="26" t="str">
        <f aca="false">IF(A11="","",COUNTIFS(Apparitions!$A$2:$A$5001,A11,Apparitions!$B$2:$B$5001,B11))</f>
        <v/>
      </c>
      <c r="F11" s="27" t="str">
        <f aca="false">IF(A11="","",A11&amp;"|"&amp;B11)</f>
        <v/>
      </c>
    </row>
    <row r="12" customFormat="false" ht="15" hidden="false" customHeight="false" outlineLevel="0" collapsed="false">
      <c r="A12" s="19"/>
      <c r="B12" s="19"/>
      <c r="C12" s="20"/>
      <c r="D12" s="19"/>
      <c r="E12" s="26" t="str">
        <f aca="false">IF(A12="","",COUNTIFS(Apparitions!$A$2:$A$5001,A12,Apparitions!$B$2:$B$5001,B12))</f>
        <v/>
      </c>
      <c r="F12" s="27" t="str">
        <f aca="false">IF(A12="","",A12&amp;"|"&amp;B12)</f>
        <v/>
      </c>
    </row>
    <row r="13" customFormat="false" ht="15" hidden="false" customHeight="false" outlineLevel="0" collapsed="false">
      <c r="A13" s="19"/>
      <c r="B13" s="19"/>
      <c r="C13" s="20"/>
      <c r="D13" s="19"/>
      <c r="E13" s="26" t="str">
        <f aca="false">IF(A13="","",COUNTIFS(Apparitions!$A$2:$A$5001,A13,Apparitions!$B$2:$B$5001,B13))</f>
        <v/>
      </c>
      <c r="F13" s="27" t="str">
        <f aca="false">IF(A13="","",A13&amp;"|"&amp;B13)</f>
        <v/>
      </c>
    </row>
    <row r="14" customFormat="false" ht="15" hidden="false" customHeight="false" outlineLevel="0" collapsed="false">
      <c r="A14" s="19"/>
      <c r="B14" s="19"/>
      <c r="C14" s="20"/>
      <c r="D14" s="19"/>
      <c r="E14" s="26" t="str">
        <f aca="false">IF(A14="","",COUNTIFS(Apparitions!$A$2:$A$5001,A14,Apparitions!$B$2:$B$5001,B14))</f>
        <v/>
      </c>
      <c r="F14" s="27" t="str">
        <f aca="false">IF(A14="","",A14&amp;"|"&amp;B14)</f>
        <v/>
      </c>
    </row>
    <row r="15" customFormat="false" ht="15" hidden="false" customHeight="false" outlineLevel="0" collapsed="false">
      <c r="A15" s="19"/>
      <c r="B15" s="19"/>
      <c r="C15" s="20"/>
      <c r="D15" s="19"/>
      <c r="E15" s="26" t="str">
        <f aca="false">IF(A15="","",COUNTIFS(Apparitions!$A$2:$A$5001,A15,Apparitions!$B$2:$B$5001,B15))</f>
        <v/>
      </c>
      <c r="F15" s="27" t="str">
        <f aca="false">IF(A15="","",A15&amp;"|"&amp;B15)</f>
        <v/>
      </c>
    </row>
    <row r="16" customFormat="false" ht="15" hidden="false" customHeight="false" outlineLevel="0" collapsed="false">
      <c r="A16" s="19"/>
      <c r="B16" s="19"/>
      <c r="C16" s="20"/>
      <c r="D16" s="19"/>
      <c r="E16" s="26" t="str">
        <f aca="false">IF(A16="","",COUNTIFS(Apparitions!$A$2:$A$5001,A16,Apparitions!$B$2:$B$5001,B16))</f>
        <v/>
      </c>
      <c r="F16" s="27" t="str">
        <f aca="false">IF(A16="","",A16&amp;"|"&amp;B16)</f>
        <v/>
      </c>
    </row>
    <row r="17" customFormat="false" ht="15" hidden="false" customHeight="false" outlineLevel="0" collapsed="false">
      <c r="A17" s="19"/>
      <c r="B17" s="19"/>
      <c r="C17" s="20"/>
      <c r="D17" s="19"/>
      <c r="E17" s="26" t="str">
        <f aca="false">IF(A17="","",COUNTIFS(Apparitions!$A$2:$A$5001,A17,Apparitions!$B$2:$B$5001,B17))</f>
        <v/>
      </c>
      <c r="F17" s="27" t="str">
        <f aca="false">IF(A17="","",A17&amp;"|"&amp;B17)</f>
        <v/>
      </c>
    </row>
    <row r="18" customFormat="false" ht="15" hidden="false" customHeight="false" outlineLevel="0" collapsed="false">
      <c r="A18" s="19"/>
      <c r="B18" s="19"/>
      <c r="C18" s="20"/>
      <c r="D18" s="19"/>
      <c r="E18" s="26" t="str">
        <f aca="false">IF(A18="","",COUNTIFS(Apparitions!$A$2:$A$5001,A18,Apparitions!$B$2:$B$5001,B18))</f>
        <v/>
      </c>
      <c r="F18" s="27" t="str">
        <f aca="false">IF(A18="","",A18&amp;"|"&amp;B18)</f>
        <v/>
      </c>
    </row>
    <row r="19" customFormat="false" ht="15" hidden="false" customHeight="false" outlineLevel="0" collapsed="false">
      <c r="A19" s="19"/>
      <c r="B19" s="19"/>
      <c r="C19" s="20"/>
      <c r="D19" s="19"/>
      <c r="E19" s="26" t="str">
        <f aca="false">IF(A19="","",COUNTIFS(Apparitions!$A$2:$A$5001,A19,Apparitions!$B$2:$B$5001,B19))</f>
        <v/>
      </c>
      <c r="F19" s="27" t="str">
        <f aca="false">IF(A19="","",A19&amp;"|"&amp;B19)</f>
        <v/>
      </c>
    </row>
    <row r="20" customFormat="false" ht="15" hidden="false" customHeight="false" outlineLevel="0" collapsed="false">
      <c r="A20" s="19"/>
      <c r="B20" s="19"/>
      <c r="C20" s="20"/>
      <c r="D20" s="19"/>
      <c r="E20" s="26" t="str">
        <f aca="false">IF(A20="","",COUNTIFS(Apparitions!$A$2:$A$5001,A20,Apparitions!$B$2:$B$5001,B20))</f>
        <v/>
      </c>
      <c r="F20" s="27" t="str">
        <f aca="false">IF(A20="","",A20&amp;"|"&amp;B20)</f>
        <v/>
      </c>
    </row>
    <row r="21" customFormat="false" ht="15" hidden="false" customHeight="false" outlineLevel="0" collapsed="false">
      <c r="A21" s="19"/>
      <c r="B21" s="19"/>
      <c r="C21" s="20"/>
      <c r="D21" s="19"/>
      <c r="E21" s="26" t="str">
        <f aca="false">IF(A21="","",COUNTIFS(Apparitions!$A$2:$A$5001,A21,Apparitions!$B$2:$B$5001,B21))</f>
        <v/>
      </c>
      <c r="F21" s="27" t="str">
        <f aca="false">IF(A21="","",A21&amp;"|"&amp;B21)</f>
        <v/>
      </c>
    </row>
    <row r="22" customFormat="false" ht="15" hidden="false" customHeight="false" outlineLevel="0" collapsed="false">
      <c r="A22" s="19"/>
      <c r="B22" s="19"/>
      <c r="C22" s="20"/>
      <c r="D22" s="19"/>
      <c r="E22" s="26" t="str">
        <f aca="false">IF(A22="","",COUNTIFS(Apparitions!$A$2:$A$5001,A22,Apparitions!$B$2:$B$5001,B22))</f>
        <v/>
      </c>
      <c r="F22" s="27" t="str">
        <f aca="false">IF(A22="","",A22&amp;"|"&amp;B22)</f>
        <v/>
      </c>
    </row>
    <row r="23" customFormat="false" ht="15" hidden="false" customHeight="false" outlineLevel="0" collapsed="false">
      <c r="A23" s="19"/>
      <c r="B23" s="19"/>
      <c r="C23" s="20"/>
      <c r="D23" s="19"/>
      <c r="E23" s="26" t="str">
        <f aca="false">IF(A23="","",COUNTIFS(Apparitions!$A$2:$A$5001,A23,Apparitions!$B$2:$B$5001,B23))</f>
        <v/>
      </c>
      <c r="F23" s="27" t="str">
        <f aca="false">IF(A23="","",A23&amp;"|"&amp;B23)</f>
        <v/>
      </c>
    </row>
    <row r="24" customFormat="false" ht="15" hidden="false" customHeight="false" outlineLevel="0" collapsed="false">
      <c r="A24" s="19"/>
      <c r="B24" s="19"/>
      <c r="C24" s="20"/>
      <c r="D24" s="19"/>
      <c r="E24" s="26" t="str">
        <f aca="false">IF(A24="","",COUNTIFS(Apparitions!$A$2:$A$5001,A24,Apparitions!$B$2:$B$5001,B24))</f>
        <v/>
      </c>
      <c r="F24" s="27" t="str">
        <f aca="false">IF(A24="","",A24&amp;"|"&amp;B24)</f>
        <v/>
      </c>
    </row>
    <row r="25" customFormat="false" ht="15" hidden="false" customHeight="false" outlineLevel="0" collapsed="false">
      <c r="A25" s="19"/>
      <c r="B25" s="19"/>
      <c r="C25" s="20"/>
      <c r="D25" s="19"/>
      <c r="E25" s="26" t="str">
        <f aca="false">IF(A25="","",COUNTIFS(Apparitions!$A$2:$A$5001,A25,Apparitions!$B$2:$B$5001,B25))</f>
        <v/>
      </c>
      <c r="F25" s="27" t="str">
        <f aca="false">IF(A25="","",A25&amp;"|"&amp;B25)</f>
        <v/>
      </c>
    </row>
    <row r="26" customFormat="false" ht="15" hidden="false" customHeight="false" outlineLevel="0" collapsed="false">
      <c r="A26" s="19"/>
      <c r="B26" s="19"/>
      <c r="C26" s="20"/>
      <c r="D26" s="19"/>
      <c r="E26" s="26" t="str">
        <f aca="false">IF(A26="","",COUNTIFS(Apparitions!$A$2:$A$5001,A26,Apparitions!$B$2:$B$5001,B26))</f>
        <v/>
      </c>
      <c r="F26" s="27" t="str">
        <f aca="false">IF(A26="","",A26&amp;"|"&amp;B26)</f>
        <v/>
      </c>
    </row>
    <row r="27" customFormat="false" ht="15" hidden="false" customHeight="false" outlineLevel="0" collapsed="false">
      <c r="A27" s="19"/>
      <c r="B27" s="19"/>
      <c r="C27" s="20"/>
      <c r="D27" s="19"/>
      <c r="E27" s="26" t="str">
        <f aca="false">IF(A27="","",COUNTIFS(Apparitions!$A$2:$A$5001,A27,Apparitions!$B$2:$B$5001,B27))</f>
        <v/>
      </c>
      <c r="F27" s="27" t="str">
        <f aca="false">IF(A27="","",A27&amp;"|"&amp;B27)</f>
        <v/>
      </c>
    </row>
    <row r="28" customFormat="false" ht="15" hidden="false" customHeight="false" outlineLevel="0" collapsed="false">
      <c r="A28" s="19"/>
      <c r="B28" s="19"/>
      <c r="C28" s="20"/>
      <c r="D28" s="19"/>
      <c r="E28" s="26" t="str">
        <f aca="false">IF(A28="","",COUNTIFS(Apparitions!$A$2:$A$5001,A28,Apparitions!$B$2:$B$5001,B28))</f>
        <v/>
      </c>
      <c r="F28" s="27" t="str">
        <f aca="false">IF(A28="","",A28&amp;"|"&amp;B28)</f>
        <v/>
      </c>
    </row>
    <row r="29" customFormat="false" ht="15" hidden="false" customHeight="false" outlineLevel="0" collapsed="false">
      <c r="A29" s="19"/>
      <c r="B29" s="19"/>
      <c r="C29" s="20"/>
      <c r="D29" s="19"/>
      <c r="E29" s="26" t="str">
        <f aca="false">IF(A29="","",COUNTIFS(Apparitions!$A$2:$A$5001,A29,Apparitions!$B$2:$B$5001,B29))</f>
        <v/>
      </c>
      <c r="F29" s="27" t="str">
        <f aca="false">IF(A29="","",A29&amp;"|"&amp;B29)</f>
        <v/>
      </c>
    </row>
    <row r="30" customFormat="false" ht="15" hidden="false" customHeight="false" outlineLevel="0" collapsed="false">
      <c r="A30" s="19"/>
      <c r="B30" s="19"/>
      <c r="C30" s="20"/>
      <c r="D30" s="19"/>
      <c r="E30" s="26" t="str">
        <f aca="false">IF(A30="","",COUNTIFS(Apparitions!$A$2:$A$5001,A30,Apparitions!$B$2:$B$5001,B30))</f>
        <v/>
      </c>
      <c r="F30" s="27" t="str">
        <f aca="false">IF(A30="","",A30&amp;"|"&amp;B30)</f>
        <v/>
      </c>
    </row>
    <row r="31" customFormat="false" ht="15" hidden="false" customHeight="false" outlineLevel="0" collapsed="false">
      <c r="A31" s="19"/>
      <c r="B31" s="19"/>
      <c r="C31" s="20"/>
      <c r="D31" s="19"/>
      <c r="E31" s="26" t="str">
        <f aca="false">IF(A31="","",COUNTIFS(Apparitions!$A$2:$A$5001,A31,Apparitions!$B$2:$B$5001,B31))</f>
        <v/>
      </c>
      <c r="F31" s="27" t="str">
        <f aca="false">IF(A31="","",A31&amp;"|"&amp;B31)</f>
        <v/>
      </c>
    </row>
    <row r="32" customFormat="false" ht="15" hidden="false" customHeight="false" outlineLevel="0" collapsed="false">
      <c r="A32" s="19"/>
      <c r="B32" s="19"/>
      <c r="C32" s="20"/>
      <c r="D32" s="19"/>
      <c r="E32" s="26" t="str">
        <f aca="false">IF(A32="","",COUNTIFS(Apparitions!$A$2:$A$5001,A32,Apparitions!$B$2:$B$5001,B32))</f>
        <v/>
      </c>
      <c r="F32" s="27" t="str">
        <f aca="false">IF(A32="","",A32&amp;"|"&amp;B32)</f>
        <v/>
      </c>
    </row>
    <row r="33" customFormat="false" ht="15" hidden="false" customHeight="false" outlineLevel="0" collapsed="false">
      <c r="A33" s="19"/>
      <c r="B33" s="19"/>
      <c r="C33" s="20"/>
      <c r="D33" s="19"/>
      <c r="E33" s="26" t="str">
        <f aca="false">IF(A33="","",COUNTIFS(Apparitions!$A$2:$A$5001,A33,Apparitions!$B$2:$B$5001,B33))</f>
        <v/>
      </c>
      <c r="F33" s="27" t="str">
        <f aca="false">IF(A33="","",A33&amp;"|"&amp;B33)</f>
        <v/>
      </c>
    </row>
    <row r="34" customFormat="false" ht="15" hidden="false" customHeight="false" outlineLevel="0" collapsed="false">
      <c r="A34" s="19"/>
      <c r="B34" s="19"/>
      <c r="C34" s="20"/>
      <c r="D34" s="19"/>
      <c r="E34" s="26" t="str">
        <f aca="false">IF(A34="","",COUNTIFS(Apparitions!$A$2:$A$5001,A34,Apparitions!$B$2:$B$5001,B34))</f>
        <v/>
      </c>
      <c r="F34" s="27" t="str">
        <f aca="false">IF(A34="","",A34&amp;"|"&amp;B34)</f>
        <v/>
      </c>
    </row>
    <row r="35" customFormat="false" ht="15" hidden="false" customHeight="false" outlineLevel="0" collapsed="false">
      <c r="A35" s="19"/>
      <c r="B35" s="19"/>
      <c r="C35" s="20"/>
      <c r="D35" s="19"/>
      <c r="E35" s="26" t="str">
        <f aca="false">IF(A35="","",COUNTIFS(Apparitions!$A$2:$A$5001,A35,Apparitions!$B$2:$B$5001,B35))</f>
        <v/>
      </c>
      <c r="F35" s="27" t="str">
        <f aca="false">IF(A35="","",A35&amp;"|"&amp;B35)</f>
        <v/>
      </c>
    </row>
    <row r="36" customFormat="false" ht="15" hidden="false" customHeight="false" outlineLevel="0" collapsed="false">
      <c r="A36" s="19"/>
      <c r="B36" s="19"/>
      <c r="C36" s="20"/>
      <c r="D36" s="19"/>
      <c r="E36" s="26" t="str">
        <f aca="false">IF(A36="","",COUNTIFS(Apparitions!$A$2:$A$5001,A36,Apparitions!$B$2:$B$5001,B36))</f>
        <v/>
      </c>
      <c r="F36" s="27" t="str">
        <f aca="false">IF(A36="","",A36&amp;"|"&amp;B36)</f>
        <v/>
      </c>
    </row>
    <row r="37" customFormat="false" ht="15" hidden="false" customHeight="false" outlineLevel="0" collapsed="false">
      <c r="A37" s="19"/>
      <c r="B37" s="19"/>
      <c r="C37" s="20"/>
      <c r="D37" s="19"/>
      <c r="E37" s="26" t="str">
        <f aca="false">IF(A37="","",COUNTIFS(Apparitions!$A$2:$A$5001,A37,Apparitions!$B$2:$B$5001,B37))</f>
        <v/>
      </c>
      <c r="F37" s="27" t="str">
        <f aca="false">IF(A37="","",A37&amp;"|"&amp;B37)</f>
        <v/>
      </c>
    </row>
    <row r="38" customFormat="false" ht="15" hidden="false" customHeight="false" outlineLevel="0" collapsed="false">
      <c r="A38" s="19"/>
      <c r="B38" s="19"/>
      <c r="C38" s="20"/>
      <c r="D38" s="19"/>
      <c r="E38" s="26" t="str">
        <f aca="false">IF(A38="","",COUNTIFS(Apparitions!$A$2:$A$5001,A38,Apparitions!$B$2:$B$5001,B38))</f>
        <v/>
      </c>
      <c r="F38" s="27" t="str">
        <f aca="false">IF(A38="","",A38&amp;"|"&amp;B38)</f>
        <v/>
      </c>
    </row>
    <row r="39" customFormat="false" ht="15" hidden="false" customHeight="false" outlineLevel="0" collapsed="false">
      <c r="A39" s="19"/>
      <c r="B39" s="19"/>
      <c r="C39" s="20"/>
      <c r="D39" s="19"/>
      <c r="E39" s="26" t="str">
        <f aca="false">IF(A39="","",COUNTIFS(Apparitions!$A$2:$A$5001,A39,Apparitions!$B$2:$B$5001,B39))</f>
        <v/>
      </c>
      <c r="F39" s="27" t="str">
        <f aca="false">IF(A39="","",A39&amp;"|"&amp;B39)</f>
        <v/>
      </c>
    </row>
    <row r="40" customFormat="false" ht="15" hidden="false" customHeight="false" outlineLevel="0" collapsed="false">
      <c r="A40" s="19"/>
      <c r="B40" s="19"/>
      <c r="C40" s="20"/>
      <c r="D40" s="19"/>
      <c r="E40" s="26" t="str">
        <f aca="false">IF(A40="","",COUNTIFS(Apparitions!$A$2:$A$5001,A40,Apparitions!$B$2:$B$5001,B40))</f>
        <v/>
      </c>
      <c r="F40" s="27" t="str">
        <f aca="false">IF(A40="","",A40&amp;"|"&amp;B40)</f>
        <v/>
      </c>
    </row>
    <row r="41" customFormat="false" ht="15" hidden="false" customHeight="false" outlineLevel="0" collapsed="false">
      <c r="A41" s="19"/>
      <c r="B41" s="19"/>
      <c r="C41" s="20"/>
      <c r="D41" s="19"/>
      <c r="E41" s="26" t="str">
        <f aca="false">IF(A41="","",COUNTIFS(Apparitions!$A$2:$A$5001,A41,Apparitions!$B$2:$B$5001,B41))</f>
        <v/>
      </c>
      <c r="F41" s="27" t="str">
        <f aca="false">IF(A41="","",A41&amp;"|"&amp;B41)</f>
        <v/>
      </c>
    </row>
    <row r="42" customFormat="false" ht="15" hidden="false" customHeight="false" outlineLevel="0" collapsed="false">
      <c r="A42" s="19"/>
      <c r="B42" s="19"/>
      <c r="C42" s="20"/>
      <c r="D42" s="19"/>
      <c r="E42" s="26" t="str">
        <f aca="false">IF(A42="","",COUNTIFS(Apparitions!$A$2:$A$5001,A42,Apparitions!$B$2:$B$5001,B42))</f>
        <v/>
      </c>
      <c r="F42" s="27" t="str">
        <f aca="false">IF(A42="","",A42&amp;"|"&amp;B42)</f>
        <v/>
      </c>
    </row>
    <row r="43" customFormat="false" ht="15" hidden="false" customHeight="false" outlineLevel="0" collapsed="false">
      <c r="A43" s="19"/>
      <c r="B43" s="19"/>
      <c r="C43" s="20"/>
      <c r="D43" s="19"/>
      <c r="E43" s="26" t="str">
        <f aca="false">IF(A43="","",COUNTIFS(Apparitions!$A$2:$A$5001,A43,Apparitions!$B$2:$B$5001,B43))</f>
        <v/>
      </c>
      <c r="F43" s="27" t="str">
        <f aca="false">IF(A43="","",A43&amp;"|"&amp;B43)</f>
        <v/>
      </c>
    </row>
    <row r="44" customFormat="false" ht="15" hidden="false" customHeight="false" outlineLevel="0" collapsed="false">
      <c r="A44" s="19"/>
      <c r="B44" s="19"/>
      <c r="C44" s="20"/>
      <c r="D44" s="19"/>
      <c r="E44" s="26" t="str">
        <f aca="false">IF(A44="","",COUNTIFS(Apparitions!$A$2:$A$5001,A44,Apparitions!$B$2:$B$5001,B44))</f>
        <v/>
      </c>
      <c r="F44" s="27" t="str">
        <f aca="false">IF(A44="","",A44&amp;"|"&amp;B44)</f>
        <v/>
      </c>
    </row>
    <row r="45" customFormat="false" ht="15" hidden="false" customHeight="false" outlineLevel="0" collapsed="false">
      <c r="A45" s="19"/>
      <c r="B45" s="19"/>
      <c r="C45" s="20"/>
      <c r="D45" s="19"/>
      <c r="E45" s="26" t="str">
        <f aca="false">IF(A45="","",COUNTIFS(Apparitions!$A$2:$A$5001,A45,Apparitions!$B$2:$B$5001,B45))</f>
        <v/>
      </c>
      <c r="F45" s="27" t="str">
        <f aca="false">IF(A45="","",A45&amp;"|"&amp;B45)</f>
        <v/>
      </c>
    </row>
    <row r="46" customFormat="false" ht="15" hidden="false" customHeight="false" outlineLevel="0" collapsed="false">
      <c r="A46" s="19"/>
      <c r="B46" s="19"/>
      <c r="C46" s="20"/>
      <c r="D46" s="19"/>
      <c r="E46" s="26" t="str">
        <f aca="false">IF(A46="","",COUNTIFS(Apparitions!$A$2:$A$5001,A46,Apparitions!$B$2:$B$5001,B46))</f>
        <v/>
      </c>
      <c r="F46" s="27" t="str">
        <f aca="false">IF(A46="","",A46&amp;"|"&amp;B46)</f>
        <v/>
      </c>
    </row>
    <row r="47" customFormat="false" ht="15" hidden="false" customHeight="false" outlineLevel="0" collapsed="false">
      <c r="A47" s="19"/>
      <c r="B47" s="19"/>
      <c r="C47" s="20"/>
      <c r="D47" s="19"/>
      <c r="E47" s="26" t="str">
        <f aca="false">IF(A47="","",COUNTIFS(Apparitions!$A$2:$A$5001,A47,Apparitions!$B$2:$B$5001,B47))</f>
        <v/>
      </c>
      <c r="F47" s="27" t="str">
        <f aca="false">IF(A47="","",A47&amp;"|"&amp;B47)</f>
        <v/>
      </c>
    </row>
    <row r="48" customFormat="false" ht="15" hidden="false" customHeight="false" outlineLevel="0" collapsed="false">
      <c r="A48" s="19"/>
      <c r="B48" s="19"/>
      <c r="C48" s="20"/>
      <c r="D48" s="19"/>
      <c r="E48" s="26" t="str">
        <f aca="false">IF(A48="","",COUNTIFS(Apparitions!$A$2:$A$5001,A48,Apparitions!$B$2:$B$5001,B48))</f>
        <v/>
      </c>
      <c r="F48" s="27" t="str">
        <f aca="false">IF(A48="","",A48&amp;"|"&amp;B48)</f>
        <v/>
      </c>
    </row>
    <row r="49" customFormat="false" ht="15" hidden="false" customHeight="false" outlineLevel="0" collapsed="false">
      <c r="A49" s="19"/>
      <c r="B49" s="19"/>
      <c r="C49" s="20"/>
      <c r="D49" s="19"/>
      <c r="E49" s="26" t="str">
        <f aca="false">IF(A49="","",COUNTIFS(Apparitions!$A$2:$A$5001,A49,Apparitions!$B$2:$B$5001,B49))</f>
        <v/>
      </c>
      <c r="F49" s="27" t="str">
        <f aca="false">IF(A49="","",A49&amp;"|"&amp;B49)</f>
        <v/>
      </c>
    </row>
    <row r="50" customFormat="false" ht="15" hidden="false" customHeight="false" outlineLevel="0" collapsed="false">
      <c r="A50" s="19"/>
      <c r="B50" s="19"/>
      <c r="C50" s="20"/>
      <c r="D50" s="19"/>
      <c r="E50" s="26" t="str">
        <f aca="false">IF(A50="","",COUNTIFS(Apparitions!$A$2:$A$5001,A50,Apparitions!$B$2:$B$5001,B50))</f>
        <v/>
      </c>
      <c r="F50" s="27" t="str">
        <f aca="false">IF(A50="","",A50&amp;"|"&amp;B50)</f>
        <v/>
      </c>
    </row>
    <row r="51" customFormat="false" ht="15" hidden="false" customHeight="false" outlineLevel="0" collapsed="false">
      <c r="A51" s="19"/>
      <c r="B51" s="19"/>
      <c r="C51" s="20"/>
      <c r="D51" s="19"/>
      <c r="E51" s="26" t="str">
        <f aca="false">IF(A51="","",COUNTIFS(Apparitions!$A$2:$A$5001,A51,Apparitions!$B$2:$B$5001,B51))</f>
        <v/>
      </c>
      <c r="F51" s="27" t="str">
        <f aca="false">IF(A51="","",A51&amp;"|"&amp;B51)</f>
        <v/>
      </c>
    </row>
    <row r="52" customFormat="false" ht="15" hidden="false" customHeight="false" outlineLevel="0" collapsed="false">
      <c r="A52" s="19"/>
      <c r="B52" s="19"/>
      <c r="C52" s="20"/>
      <c r="D52" s="19"/>
      <c r="E52" s="26" t="str">
        <f aca="false">IF(A52="","",COUNTIFS(Apparitions!$A$2:$A$5001,A52,Apparitions!$B$2:$B$5001,B52))</f>
        <v/>
      </c>
      <c r="F52" s="27" t="str">
        <f aca="false">IF(A52="","",A52&amp;"|"&amp;B52)</f>
        <v/>
      </c>
    </row>
    <row r="53" customFormat="false" ht="15" hidden="false" customHeight="false" outlineLevel="0" collapsed="false">
      <c r="A53" s="19"/>
      <c r="B53" s="19"/>
      <c r="C53" s="20"/>
      <c r="D53" s="19"/>
      <c r="E53" s="26" t="str">
        <f aca="false">IF(A53="","",COUNTIFS(Apparitions!$A$2:$A$5001,A53,Apparitions!$B$2:$B$5001,B53))</f>
        <v/>
      </c>
      <c r="F53" s="27" t="str">
        <f aca="false">IF(A53="","",A53&amp;"|"&amp;B53)</f>
        <v/>
      </c>
    </row>
    <row r="54" customFormat="false" ht="15" hidden="false" customHeight="false" outlineLevel="0" collapsed="false">
      <c r="A54" s="19"/>
      <c r="B54" s="19"/>
      <c r="C54" s="20"/>
      <c r="D54" s="19"/>
      <c r="E54" s="26" t="str">
        <f aca="false">IF(A54="","",COUNTIFS(Apparitions!$A$2:$A$5001,A54,Apparitions!$B$2:$B$5001,B54))</f>
        <v/>
      </c>
      <c r="F54" s="27" t="str">
        <f aca="false">IF(A54="","",A54&amp;"|"&amp;B54)</f>
        <v/>
      </c>
    </row>
    <row r="55" customFormat="false" ht="15" hidden="false" customHeight="false" outlineLevel="0" collapsed="false">
      <c r="A55" s="19"/>
      <c r="B55" s="19"/>
      <c r="C55" s="20"/>
      <c r="D55" s="19"/>
      <c r="E55" s="26" t="str">
        <f aca="false">IF(A55="","",COUNTIFS(Apparitions!$A$2:$A$5001,A55,Apparitions!$B$2:$B$5001,B55))</f>
        <v/>
      </c>
      <c r="F55" s="27" t="str">
        <f aca="false">IF(A55="","",A55&amp;"|"&amp;B55)</f>
        <v/>
      </c>
    </row>
    <row r="56" customFormat="false" ht="15" hidden="false" customHeight="false" outlineLevel="0" collapsed="false">
      <c r="A56" s="19"/>
      <c r="B56" s="19"/>
      <c r="C56" s="20"/>
      <c r="D56" s="19"/>
      <c r="E56" s="26" t="str">
        <f aca="false">IF(A56="","",COUNTIFS(Apparitions!$A$2:$A$5001,A56,Apparitions!$B$2:$B$5001,B56))</f>
        <v/>
      </c>
      <c r="F56" s="27" t="str">
        <f aca="false">IF(A56="","",A56&amp;"|"&amp;B56)</f>
        <v/>
      </c>
    </row>
    <row r="57" customFormat="false" ht="15" hidden="false" customHeight="false" outlineLevel="0" collapsed="false">
      <c r="A57" s="19"/>
      <c r="B57" s="19"/>
      <c r="C57" s="20"/>
      <c r="D57" s="19"/>
      <c r="E57" s="26" t="str">
        <f aca="false">IF(A57="","",COUNTIFS(Apparitions!$A$2:$A$5001,A57,Apparitions!$B$2:$B$5001,B57))</f>
        <v/>
      </c>
      <c r="F57" s="27" t="str">
        <f aca="false">IF(A57="","",A57&amp;"|"&amp;B57)</f>
        <v/>
      </c>
    </row>
    <row r="58" customFormat="false" ht="15" hidden="false" customHeight="false" outlineLevel="0" collapsed="false">
      <c r="A58" s="19"/>
      <c r="B58" s="19"/>
      <c r="C58" s="20"/>
      <c r="D58" s="19"/>
      <c r="E58" s="26" t="str">
        <f aca="false">IF(A58="","",COUNTIFS(Apparitions!$A$2:$A$5001,A58,Apparitions!$B$2:$B$5001,B58))</f>
        <v/>
      </c>
      <c r="F58" s="27" t="str">
        <f aca="false">IF(A58="","",A58&amp;"|"&amp;B58)</f>
        <v/>
      </c>
    </row>
    <row r="59" customFormat="false" ht="15" hidden="false" customHeight="false" outlineLevel="0" collapsed="false">
      <c r="A59" s="19"/>
      <c r="B59" s="19"/>
      <c r="C59" s="20"/>
      <c r="D59" s="19"/>
      <c r="E59" s="26" t="str">
        <f aca="false">IF(A59="","",COUNTIFS(Apparitions!$A$2:$A$5001,A59,Apparitions!$B$2:$B$5001,B59))</f>
        <v/>
      </c>
      <c r="F59" s="27" t="str">
        <f aca="false">IF(A59="","",A59&amp;"|"&amp;B59)</f>
        <v/>
      </c>
    </row>
    <row r="60" customFormat="false" ht="15" hidden="false" customHeight="false" outlineLevel="0" collapsed="false">
      <c r="A60" s="19"/>
      <c r="B60" s="19"/>
      <c r="C60" s="20"/>
      <c r="D60" s="19"/>
      <c r="E60" s="26" t="str">
        <f aca="false">IF(A60="","",COUNTIFS(Apparitions!$A$2:$A$5001,A60,Apparitions!$B$2:$B$5001,B60))</f>
        <v/>
      </c>
      <c r="F60" s="27" t="str">
        <f aca="false">IF(A60="","",A60&amp;"|"&amp;B60)</f>
        <v/>
      </c>
    </row>
    <row r="61" customFormat="false" ht="15" hidden="false" customHeight="false" outlineLevel="0" collapsed="false">
      <c r="A61" s="19"/>
      <c r="B61" s="19"/>
      <c r="C61" s="20"/>
      <c r="D61" s="19"/>
      <c r="E61" s="26" t="str">
        <f aca="false">IF(A61="","",COUNTIFS(Apparitions!$A$2:$A$5001,A61,Apparitions!$B$2:$B$5001,B61))</f>
        <v/>
      </c>
      <c r="F61" s="27" t="str">
        <f aca="false">IF(A61="","",A61&amp;"|"&amp;B61)</f>
        <v/>
      </c>
    </row>
    <row r="62" customFormat="false" ht="15" hidden="false" customHeight="false" outlineLevel="0" collapsed="false">
      <c r="A62" s="19"/>
      <c r="B62" s="19"/>
      <c r="C62" s="20"/>
      <c r="D62" s="19"/>
      <c r="E62" s="26" t="str">
        <f aca="false">IF(A62="","",COUNTIFS(Apparitions!$A$2:$A$5001,A62,Apparitions!$B$2:$B$5001,B62))</f>
        <v/>
      </c>
      <c r="F62" s="27" t="str">
        <f aca="false">IF(A62="","",A62&amp;"|"&amp;B62)</f>
        <v/>
      </c>
    </row>
    <row r="63" customFormat="false" ht="15" hidden="false" customHeight="false" outlineLevel="0" collapsed="false">
      <c r="A63" s="19"/>
      <c r="B63" s="19"/>
      <c r="C63" s="20"/>
      <c r="D63" s="19"/>
      <c r="E63" s="26" t="str">
        <f aca="false">IF(A63="","",COUNTIFS(Apparitions!$A$2:$A$5001,A63,Apparitions!$B$2:$B$5001,B63))</f>
        <v/>
      </c>
      <c r="F63" s="27" t="str">
        <f aca="false">IF(A63="","",A63&amp;"|"&amp;B63)</f>
        <v/>
      </c>
    </row>
    <row r="64" customFormat="false" ht="15" hidden="false" customHeight="false" outlineLevel="0" collapsed="false">
      <c r="A64" s="19"/>
      <c r="B64" s="19"/>
      <c r="C64" s="20"/>
      <c r="D64" s="19"/>
      <c r="E64" s="26" t="str">
        <f aca="false">IF(A64="","",COUNTIFS(Apparitions!$A$2:$A$5001,A64,Apparitions!$B$2:$B$5001,B64))</f>
        <v/>
      </c>
      <c r="F64" s="27" t="str">
        <f aca="false">IF(A64="","",A64&amp;"|"&amp;B64)</f>
        <v/>
      </c>
    </row>
    <row r="65" customFormat="false" ht="15" hidden="false" customHeight="false" outlineLevel="0" collapsed="false">
      <c r="A65" s="19"/>
      <c r="B65" s="19"/>
      <c r="C65" s="20"/>
      <c r="D65" s="19"/>
      <c r="E65" s="26" t="str">
        <f aca="false">IF(A65="","",COUNTIFS(Apparitions!$A$2:$A$5001,A65,Apparitions!$B$2:$B$5001,B65))</f>
        <v/>
      </c>
      <c r="F65" s="27" t="str">
        <f aca="false">IF(A65="","",A65&amp;"|"&amp;B65)</f>
        <v/>
      </c>
    </row>
    <row r="66" customFormat="false" ht="15" hidden="false" customHeight="false" outlineLevel="0" collapsed="false">
      <c r="A66" s="19"/>
      <c r="B66" s="19"/>
      <c r="C66" s="20"/>
      <c r="D66" s="19"/>
      <c r="E66" s="26" t="str">
        <f aca="false">IF(A66="","",COUNTIFS(Apparitions!$A$2:$A$5001,A66,Apparitions!$B$2:$B$5001,B66))</f>
        <v/>
      </c>
      <c r="F66" s="27" t="str">
        <f aca="false">IF(A66="","",A66&amp;"|"&amp;B66)</f>
        <v/>
      </c>
    </row>
    <row r="67" customFormat="false" ht="15" hidden="false" customHeight="false" outlineLevel="0" collapsed="false">
      <c r="A67" s="19"/>
      <c r="B67" s="19"/>
      <c r="C67" s="20"/>
      <c r="D67" s="19"/>
      <c r="E67" s="26" t="str">
        <f aca="false">IF(A67="","",COUNTIFS(Apparitions!$A$2:$A$5001,A67,Apparitions!$B$2:$B$5001,B67))</f>
        <v/>
      </c>
      <c r="F67" s="27" t="str">
        <f aca="false">IF(A67="","",A67&amp;"|"&amp;B67)</f>
        <v/>
      </c>
    </row>
    <row r="68" customFormat="false" ht="15" hidden="false" customHeight="false" outlineLevel="0" collapsed="false">
      <c r="A68" s="19"/>
      <c r="B68" s="19"/>
      <c r="C68" s="20"/>
      <c r="D68" s="19"/>
      <c r="E68" s="26" t="str">
        <f aca="false">IF(A68="","",COUNTIFS(Apparitions!$A$2:$A$5001,A68,Apparitions!$B$2:$B$5001,B68))</f>
        <v/>
      </c>
      <c r="F68" s="27" t="str">
        <f aca="false">IF(A68="","",A68&amp;"|"&amp;B68)</f>
        <v/>
      </c>
    </row>
    <row r="69" customFormat="false" ht="15" hidden="false" customHeight="false" outlineLevel="0" collapsed="false">
      <c r="A69" s="19"/>
      <c r="B69" s="19"/>
      <c r="C69" s="20"/>
      <c r="D69" s="19"/>
      <c r="E69" s="26" t="str">
        <f aca="false">IF(A69="","",COUNTIFS(Apparitions!$A$2:$A$5001,A69,Apparitions!$B$2:$B$5001,B69))</f>
        <v/>
      </c>
      <c r="F69" s="27" t="str">
        <f aca="false">IF(A69="","",A69&amp;"|"&amp;B69)</f>
        <v/>
      </c>
    </row>
    <row r="70" customFormat="false" ht="15" hidden="false" customHeight="false" outlineLevel="0" collapsed="false">
      <c r="A70" s="19"/>
      <c r="B70" s="19"/>
      <c r="C70" s="20"/>
      <c r="D70" s="19"/>
      <c r="E70" s="26" t="str">
        <f aca="false">IF(A70="","",COUNTIFS(Apparitions!$A$2:$A$5001,A70,Apparitions!$B$2:$B$5001,B70))</f>
        <v/>
      </c>
      <c r="F70" s="27" t="str">
        <f aca="false">IF(A70="","",A70&amp;"|"&amp;B70)</f>
        <v/>
      </c>
    </row>
    <row r="71" customFormat="false" ht="15" hidden="false" customHeight="false" outlineLevel="0" collapsed="false">
      <c r="A71" s="19"/>
      <c r="B71" s="19"/>
      <c r="C71" s="20"/>
      <c r="D71" s="19"/>
      <c r="E71" s="26" t="str">
        <f aca="false">IF(A71="","",COUNTIFS(Apparitions!$A$2:$A$5001,A71,Apparitions!$B$2:$B$5001,B71))</f>
        <v/>
      </c>
      <c r="F71" s="27" t="str">
        <f aca="false">IF(A71="","",A71&amp;"|"&amp;B71)</f>
        <v/>
      </c>
    </row>
    <row r="72" customFormat="false" ht="15" hidden="false" customHeight="false" outlineLevel="0" collapsed="false">
      <c r="A72" s="19"/>
      <c r="B72" s="19"/>
      <c r="C72" s="20"/>
      <c r="D72" s="19"/>
      <c r="E72" s="26" t="str">
        <f aca="false">IF(A72="","",COUNTIFS(Apparitions!$A$2:$A$5001,A72,Apparitions!$B$2:$B$5001,B72))</f>
        <v/>
      </c>
      <c r="F72" s="27" t="str">
        <f aca="false">IF(A72="","",A72&amp;"|"&amp;B72)</f>
        <v/>
      </c>
    </row>
    <row r="73" customFormat="false" ht="15" hidden="false" customHeight="false" outlineLevel="0" collapsed="false">
      <c r="A73" s="19"/>
      <c r="B73" s="19"/>
      <c r="C73" s="20"/>
      <c r="D73" s="19"/>
      <c r="E73" s="26" t="str">
        <f aca="false">IF(A73="","",COUNTIFS(Apparitions!$A$2:$A$5001,A73,Apparitions!$B$2:$B$5001,B73))</f>
        <v/>
      </c>
      <c r="F73" s="27" t="str">
        <f aca="false">IF(A73="","",A73&amp;"|"&amp;B73)</f>
        <v/>
      </c>
    </row>
    <row r="74" customFormat="false" ht="15" hidden="false" customHeight="false" outlineLevel="0" collapsed="false">
      <c r="A74" s="19"/>
      <c r="B74" s="19"/>
      <c r="C74" s="20"/>
      <c r="D74" s="19"/>
      <c r="E74" s="26" t="str">
        <f aca="false">IF(A74="","",COUNTIFS(Apparitions!$A$2:$A$5001,A74,Apparitions!$B$2:$B$5001,B74))</f>
        <v/>
      </c>
      <c r="F74" s="27" t="str">
        <f aca="false">IF(A74="","",A74&amp;"|"&amp;B74)</f>
        <v/>
      </c>
    </row>
    <row r="75" customFormat="false" ht="15" hidden="false" customHeight="false" outlineLevel="0" collapsed="false">
      <c r="A75" s="19"/>
      <c r="B75" s="19"/>
      <c r="C75" s="20"/>
      <c r="D75" s="19"/>
      <c r="E75" s="26" t="str">
        <f aca="false">IF(A75="","",COUNTIFS(Apparitions!$A$2:$A$5001,A75,Apparitions!$B$2:$B$5001,B75))</f>
        <v/>
      </c>
      <c r="F75" s="27" t="str">
        <f aca="false">IF(A75="","",A75&amp;"|"&amp;B75)</f>
        <v/>
      </c>
    </row>
    <row r="76" customFormat="false" ht="15" hidden="false" customHeight="false" outlineLevel="0" collapsed="false">
      <c r="A76" s="19"/>
      <c r="B76" s="19"/>
      <c r="C76" s="20"/>
      <c r="D76" s="19"/>
      <c r="E76" s="26" t="str">
        <f aca="false">IF(A76="","",COUNTIFS(Apparitions!$A$2:$A$5001,A76,Apparitions!$B$2:$B$5001,B76))</f>
        <v/>
      </c>
      <c r="F76" s="27" t="str">
        <f aca="false">IF(A76="","",A76&amp;"|"&amp;B76)</f>
        <v/>
      </c>
    </row>
    <row r="77" customFormat="false" ht="15" hidden="false" customHeight="false" outlineLevel="0" collapsed="false">
      <c r="A77" s="19"/>
      <c r="B77" s="19"/>
      <c r="C77" s="20"/>
      <c r="D77" s="19"/>
      <c r="E77" s="26" t="str">
        <f aca="false">IF(A77="","",COUNTIFS(Apparitions!$A$2:$A$5001,A77,Apparitions!$B$2:$B$5001,B77))</f>
        <v/>
      </c>
      <c r="F77" s="27" t="str">
        <f aca="false">IF(A77="","",A77&amp;"|"&amp;B77)</f>
        <v/>
      </c>
    </row>
    <row r="78" customFormat="false" ht="15" hidden="false" customHeight="false" outlineLevel="0" collapsed="false">
      <c r="A78" s="19"/>
      <c r="B78" s="19"/>
      <c r="C78" s="20"/>
      <c r="D78" s="19"/>
      <c r="E78" s="26" t="str">
        <f aca="false">IF(A78="","",COUNTIFS(Apparitions!$A$2:$A$5001,A78,Apparitions!$B$2:$B$5001,B78))</f>
        <v/>
      </c>
      <c r="F78" s="27" t="str">
        <f aca="false">IF(A78="","",A78&amp;"|"&amp;B78)</f>
        <v/>
      </c>
    </row>
    <row r="79" customFormat="false" ht="15" hidden="false" customHeight="false" outlineLevel="0" collapsed="false">
      <c r="A79" s="19"/>
      <c r="B79" s="19"/>
      <c r="C79" s="20"/>
      <c r="D79" s="19"/>
      <c r="E79" s="26" t="str">
        <f aca="false">IF(A79="","",COUNTIFS(Apparitions!$A$2:$A$5001,A79,Apparitions!$B$2:$B$5001,B79))</f>
        <v/>
      </c>
      <c r="F79" s="27" t="str">
        <f aca="false">IF(A79="","",A79&amp;"|"&amp;B79)</f>
        <v/>
      </c>
    </row>
    <row r="80" customFormat="false" ht="15" hidden="false" customHeight="false" outlineLevel="0" collapsed="false">
      <c r="A80" s="19"/>
      <c r="B80" s="19"/>
      <c r="C80" s="20"/>
      <c r="D80" s="19"/>
      <c r="E80" s="26" t="str">
        <f aca="false">IF(A80="","",COUNTIFS(Apparitions!$A$2:$A$5001,A80,Apparitions!$B$2:$B$5001,B80))</f>
        <v/>
      </c>
      <c r="F80" s="27" t="str">
        <f aca="false">IF(A80="","",A80&amp;"|"&amp;B80)</f>
        <v/>
      </c>
    </row>
    <row r="81" customFormat="false" ht="15" hidden="false" customHeight="false" outlineLevel="0" collapsed="false">
      <c r="A81" s="19"/>
      <c r="B81" s="19"/>
      <c r="C81" s="20"/>
      <c r="D81" s="19"/>
      <c r="E81" s="26" t="str">
        <f aca="false">IF(A81="","",COUNTIFS(Apparitions!$A$2:$A$5001,A81,Apparitions!$B$2:$B$5001,B81))</f>
        <v/>
      </c>
      <c r="F81" s="27" t="str">
        <f aca="false">IF(A81="","",A81&amp;"|"&amp;B81)</f>
        <v/>
      </c>
    </row>
    <row r="82" customFormat="false" ht="15" hidden="false" customHeight="false" outlineLevel="0" collapsed="false">
      <c r="A82" s="19"/>
      <c r="B82" s="19"/>
      <c r="C82" s="20"/>
      <c r="D82" s="19"/>
      <c r="E82" s="26" t="str">
        <f aca="false">IF(A82="","",COUNTIFS(Apparitions!$A$2:$A$5001,A82,Apparitions!$B$2:$B$5001,B82))</f>
        <v/>
      </c>
      <c r="F82" s="27" t="str">
        <f aca="false">IF(A82="","",A82&amp;"|"&amp;B82)</f>
        <v/>
      </c>
    </row>
    <row r="83" customFormat="false" ht="15" hidden="false" customHeight="false" outlineLevel="0" collapsed="false">
      <c r="A83" s="19"/>
      <c r="B83" s="19"/>
      <c r="C83" s="20"/>
      <c r="D83" s="19"/>
      <c r="E83" s="26" t="str">
        <f aca="false">IF(A83="","",COUNTIFS(Apparitions!$A$2:$A$5001,A83,Apparitions!$B$2:$B$5001,B83))</f>
        <v/>
      </c>
      <c r="F83" s="27" t="str">
        <f aca="false">IF(A83="","",A83&amp;"|"&amp;B83)</f>
        <v/>
      </c>
    </row>
    <row r="84" customFormat="false" ht="15" hidden="false" customHeight="false" outlineLevel="0" collapsed="false">
      <c r="A84" s="19"/>
      <c r="B84" s="19"/>
      <c r="C84" s="20"/>
      <c r="D84" s="19"/>
      <c r="E84" s="26" t="str">
        <f aca="false">IF(A84="","",COUNTIFS(Apparitions!$A$2:$A$5001,A84,Apparitions!$B$2:$B$5001,B84))</f>
        <v/>
      </c>
      <c r="F84" s="27" t="str">
        <f aca="false">IF(A84="","",A84&amp;"|"&amp;B84)</f>
        <v/>
      </c>
    </row>
    <row r="85" customFormat="false" ht="15" hidden="false" customHeight="false" outlineLevel="0" collapsed="false">
      <c r="A85" s="19"/>
      <c r="B85" s="19"/>
      <c r="C85" s="20"/>
      <c r="D85" s="19"/>
      <c r="E85" s="26" t="str">
        <f aca="false">IF(A85="","",COUNTIFS(Apparitions!$A$2:$A$5001,A85,Apparitions!$B$2:$B$5001,B85))</f>
        <v/>
      </c>
      <c r="F85" s="27" t="str">
        <f aca="false">IF(A85="","",A85&amp;"|"&amp;B85)</f>
        <v/>
      </c>
    </row>
    <row r="86" customFormat="false" ht="15" hidden="false" customHeight="false" outlineLevel="0" collapsed="false">
      <c r="A86" s="19"/>
      <c r="B86" s="19"/>
      <c r="C86" s="20"/>
      <c r="D86" s="19"/>
      <c r="E86" s="26" t="str">
        <f aca="false">IF(A86="","",COUNTIFS(Apparitions!$A$2:$A$5001,A86,Apparitions!$B$2:$B$5001,B86))</f>
        <v/>
      </c>
      <c r="F86" s="27" t="str">
        <f aca="false">IF(A86="","",A86&amp;"|"&amp;B86)</f>
        <v/>
      </c>
    </row>
    <row r="87" customFormat="false" ht="15" hidden="false" customHeight="false" outlineLevel="0" collapsed="false">
      <c r="A87" s="19"/>
      <c r="B87" s="19"/>
      <c r="C87" s="20"/>
      <c r="D87" s="19"/>
      <c r="E87" s="26" t="str">
        <f aca="false">IF(A87="","",COUNTIFS(Apparitions!$A$2:$A$5001,A87,Apparitions!$B$2:$B$5001,B87))</f>
        <v/>
      </c>
      <c r="F87" s="27" t="str">
        <f aca="false">IF(A87="","",A87&amp;"|"&amp;B87)</f>
        <v/>
      </c>
    </row>
    <row r="88" customFormat="false" ht="15" hidden="false" customHeight="false" outlineLevel="0" collapsed="false">
      <c r="A88" s="19"/>
      <c r="B88" s="19"/>
      <c r="C88" s="20"/>
      <c r="D88" s="19"/>
      <c r="E88" s="26" t="str">
        <f aca="false">IF(A88="","",COUNTIFS(Apparitions!$A$2:$A$5001,A88,Apparitions!$B$2:$B$5001,B88))</f>
        <v/>
      </c>
      <c r="F88" s="27" t="str">
        <f aca="false">IF(A88="","",A88&amp;"|"&amp;B88)</f>
        <v/>
      </c>
    </row>
    <row r="89" customFormat="false" ht="15" hidden="false" customHeight="false" outlineLevel="0" collapsed="false">
      <c r="A89" s="19"/>
      <c r="B89" s="19"/>
      <c r="C89" s="20"/>
      <c r="D89" s="19"/>
      <c r="E89" s="26" t="str">
        <f aca="false">IF(A89="","",COUNTIFS(Apparitions!$A$2:$A$5001,A89,Apparitions!$B$2:$B$5001,B89))</f>
        <v/>
      </c>
      <c r="F89" s="27" t="str">
        <f aca="false">IF(A89="","",A89&amp;"|"&amp;B89)</f>
        <v/>
      </c>
    </row>
    <row r="90" customFormat="false" ht="15" hidden="false" customHeight="false" outlineLevel="0" collapsed="false">
      <c r="A90" s="19"/>
      <c r="B90" s="19"/>
      <c r="C90" s="20"/>
      <c r="D90" s="19"/>
      <c r="E90" s="26" t="str">
        <f aca="false">IF(A90="","",COUNTIFS(Apparitions!$A$2:$A$5001,A90,Apparitions!$B$2:$B$5001,B90))</f>
        <v/>
      </c>
      <c r="F90" s="27" t="str">
        <f aca="false">IF(A90="","",A90&amp;"|"&amp;B90)</f>
        <v/>
      </c>
    </row>
    <row r="91" customFormat="false" ht="15" hidden="false" customHeight="false" outlineLevel="0" collapsed="false">
      <c r="A91" s="19"/>
      <c r="B91" s="19"/>
      <c r="C91" s="20"/>
      <c r="D91" s="19"/>
      <c r="E91" s="26" t="str">
        <f aca="false">IF(A91="","",COUNTIFS(Apparitions!$A$2:$A$5001,A91,Apparitions!$B$2:$B$5001,B91))</f>
        <v/>
      </c>
      <c r="F91" s="27" t="str">
        <f aca="false">IF(A91="","",A91&amp;"|"&amp;B91)</f>
        <v/>
      </c>
    </row>
    <row r="92" customFormat="false" ht="15" hidden="false" customHeight="false" outlineLevel="0" collapsed="false">
      <c r="A92" s="19"/>
      <c r="B92" s="19"/>
      <c r="C92" s="20"/>
      <c r="D92" s="19"/>
      <c r="E92" s="26" t="str">
        <f aca="false">IF(A92="","",COUNTIFS(Apparitions!$A$2:$A$5001,A92,Apparitions!$B$2:$B$5001,B92))</f>
        <v/>
      </c>
      <c r="F92" s="27" t="str">
        <f aca="false">IF(A92="","",A92&amp;"|"&amp;B92)</f>
        <v/>
      </c>
    </row>
    <row r="93" customFormat="false" ht="15" hidden="false" customHeight="false" outlineLevel="0" collapsed="false">
      <c r="A93" s="19"/>
      <c r="B93" s="19"/>
      <c r="C93" s="20"/>
      <c r="D93" s="19"/>
      <c r="E93" s="26" t="str">
        <f aca="false">IF(A93="","",COUNTIFS(Apparitions!$A$2:$A$5001,A93,Apparitions!$B$2:$B$5001,B93))</f>
        <v/>
      </c>
      <c r="F93" s="27" t="str">
        <f aca="false">IF(A93="","",A93&amp;"|"&amp;B93)</f>
        <v/>
      </c>
    </row>
    <row r="94" customFormat="false" ht="15" hidden="false" customHeight="false" outlineLevel="0" collapsed="false">
      <c r="A94" s="19"/>
      <c r="B94" s="19"/>
      <c r="C94" s="20"/>
      <c r="D94" s="19"/>
      <c r="E94" s="26" t="str">
        <f aca="false">IF(A94="","",COUNTIFS(Apparitions!$A$2:$A$5001,A94,Apparitions!$B$2:$B$5001,B94))</f>
        <v/>
      </c>
      <c r="F94" s="27" t="str">
        <f aca="false">IF(A94="","",A94&amp;"|"&amp;B94)</f>
        <v/>
      </c>
    </row>
    <row r="95" customFormat="false" ht="15" hidden="false" customHeight="false" outlineLevel="0" collapsed="false">
      <c r="A95" s="19"/>
      <c r="B95" s="19"/>
      <c r="C95" s="20"/>
      <c r="D95" s="19"/>
      <c r="E95" s="26" t="str">
        <f aca="false">IF(A95="","",COUNTIFS(Apparitions!$A$2:$A$5001,A95,Apparitions!$B$2:$B$5001,B95))</f>
        <v/>
      </c>
      <c r="F95" s="27" t="str">
        <f aca="false">IF(A95="","",A95&amp;"|"&amp;B95)</f>
        <v/>
      </c>
    </row>
    <row r="96" customFormat="false" ht="15" hidden="false" customHeight="false" outlineLevel="0" collapsed="false">
      <c r="A96" s="19"/>
      <c r="B96" s="19"/>
      <c r="C96" s="20"/>
      <c r="D96" s="19"/>
      <c r="E96" s="26" t="str">
        <f aca="false">IF(A96="","",COUNTIFS(Apparitions!$A$2:$A$5001,A96,Apparitions!$B$2:$B$5001,B96))</f>
        <v/>
      </c>
      <c r="F96" s="27" t="str">
        <f aca="false">IF(A96="","",A96&amp;"|"&amp;B96)</f>
        <v/>
      </c>
    </row>
    <row r="97" customFormat="false" ht="15" hidden="false" customHeight="false" outlineLevel="0" collapsed="false">
      <c r="A97" s="19"/>
      <c r="B97" s="19"/>
      <c r="C97" s="20"/>
      <c r="D97" s="19"/>
      <c r="E97" s="26" t="str">
        <f aca="false">IF(A97="","",COUNTIFS(Apparitions!$A$2:$A$5001,A97,Apparitions!$B$2:$B$5001,B97))</f>
        <v/>
      </c>
      <c r="F97" s="27" t="str">
        <f aca="false">IF(A97="","",A97&amp;"|"&amp;B97)</f>
        <v/>
      </c>
    </row>
    <row r="98" customFormat="false" ht="15" hidden="false" customHeight="false" outlineLevel="0" collapsed="false">
      <c r="A98" s="19"/>
      <c r="B98" s="19"/>
      <c r="C98" s="20"/>
      <c r="D98" s="19"/>
      <c r="E98" s="26" t="str">
        <f aca="false">IF(A98="","",COUNTIFS(Apparitions!$A$2:$A$5001,A98,Apparitions!$B$2:$B$5001,B98))</f>
        <v/>
      </c>
      <c r="F98" s="27" t="str">
        <f aca="false">IF(A98="","",A98&amp;"|"&amp;B98)</f>
        <v/>
      </c>
    </row>
    <row r="99" customFormat="false" ht="15" hidden="false" customHeight="false" outlineLevel="0" collapsed="false">
      <c r="A99" s="19"/>
      <c r="B99" s="19"/>
      <c r="C99" s="20"/>
      <c r="D99" s="19"/>
      <c r="E99" s="26" t="str">
        <f aca="false">IF(A99="","",COUNTIFS(Apparitions!$A$2:$A$5001,A99,Apparitions!$B$2:$B$5001,B99))</f>
        <v/>
      </c>
      <c r="F99" s="27" t="str">
        <f aca="false">IF(A99="","",A99&amp;"|"&amp;B99)</f>
        <v/>
      </c>
    </row>
    <row r="100" customFormat="false" ht="15" hidden="false" customHeight="false" outlineLevel="0" collapsed="false">
      <c r="A100" s="19"/>
      <c r="B100" s="19"/>
      <c r="C100" s="20"/>
      <c r="D100" s="19"/>
      <c r="E100" s="26" t="str">
        <f aca="false">IF(A100="","",COUNTIFS(Apparitions!$A$2:$A$5001,A100,Apparitions!$B$2:$B$5001,B100))</f>
        <v/>
      </c>
      <c r="F100" s="27" t="str">
        <f aca="false">IF(A100="","",A100&amp;"|"&amp;B100)</f>
        <v/>
      </c>
    </row>
    <row r="101" customFormat="false" ht="15" hidden="false" customHeight="false" outlineLevel="0" collapsed="false">
      <c r="A101" s="19"/>
      <c r="B101" s="19"/>
      <c r="C101" s="20"/>
      <c r="D101" s="19"/>
      <c r="E101" s="26" t="str">
        <f aca="false">IF(A101="","",COUNTIFS(Apparitions!$A$2:$A$5001,A101,Apparitions!$B$2:$B$5001,B101))</f>
        <v/>
      </c>
      <c r="F101" s="27" t="str">
        <f aca="false">IF(A101="","",A101&amp;"|"&amp;B101)</f>
        <v/>
      </c>
    </row>
    <row r="102" customFormat="false" ht="15" hidden="false" customHeight="false" outlineLevel="0" collapsed="false">
      <c r="A102" s="19"/>
      <c r="B102" s="19"/>
      <c r="C102" s="20"/>
      <c r="D102" s="19"/>
      <c r="E102" s="26" t="str">
        <f aca="false">IF(A102="","",COUNTIFS(Apparitions!$A$2:$A$5001,A102,Apparitions!$B$2:$B$5001,B102))</f>
        <v/>
      </c>
      <c r="F102" s="27" t="str">
        <f aca="false">IF(A102="","",A102&amp;"|"&amp;B102)</f>
        <v/>
      </c>
    </row>
    <row r="103" customFormat="false" ht="15" hidden="false" customHeight="false" outlineLevel="0" collapsed="false">
      <c r="A103" s="19"/>
      <c r="B103" s="19"/>
      <c r="C103" s="20"/>
      <c r="D103" s="19"/>
      <c r="E103" s="26" t="str">
        <f aca="false">IF(A103="","",COUNTIFS(Apparitions!$A$2:$A$5001,A103,Apparitions!$B$2:$B$5001,B103))</f>
        <v/>
      </c>
      <c r="F103" s="27" t="str">
        <f aca="false">IF(A103="","",A103&amp;"|"&amp;B103)</f>
        <v/>
      </c>
    </row>
    <row r="104" customFormat="false" ht="15" hidden="false" customHeight="false" outlineLevel="0" collapsed="false">
      <c r="A104" s="19"/>
      <c r="B104" s="19"/>
      <c r="C104" s="20"/>
      <c r="D104" s="19"/>
      <c r="E104" s="26" t="str">
        <f aca="false">IF(A104="","",COUNTIFS(Apparitions!$A$2:$A$5001,A104,Apparitions!$B$2:$B$5001,B104))</f>
        <v/>
      </c>
      <c r="F104" s="27" t="str">
        <f aca="false">IF(A104="","",A104&amp;"|"&amp;B104)</f>
        <v/>
      </c>
    </row>
    <row r="105" customFormat="false" ht="15" hidden="false" customHeight="false" outlineLevel="0" collapsed="false">
      <c r="A105" s="19"/>
      <c r="B105" s="19"/>
      <c r="C105" s="20"/>
      <c r="D105" s="19"/>
      <c r="E105" s="26" t="str">
        <f aca="false">IF(A105="","",COUNTIFS(Apparitions!$A$2:$A$5001,A105,Apparitions!$B$2:$B$5001,B105))</f>
        <v/>
      </c>
      <c r="F105" s="27" t="str">
        <f aca="false">IF(A105="","",A105&amp;"|"&amp;B105)</f>
        <v/>
      </c>
    </row>
    <row r="106" customFormat="false" ht="15" hidden="false" customHeight="false" outlineLevel="0" collapsed="false">
      <c r="A106" s="19"/>
      <c r="B106" s="19"/>
      <c r="C106" s="20"/>
      <c r="D106" s="19"/>
      <c r="E106" s="26" t="str">
        <f aca="false">IF(A106="","",COUNTIFS(Apparitions!$A$2:$A$5001,A106,Apparitions!$B$2:$B$5001,B106))</f>
        <v/>
      </c>
      <c r="F106" s="27" t="str">
        <f aca="false">IF(A106="","",A106&amp;"|"&amp;B106)</f>
        <v/>
      </c>
    </row>
    <row r="107" customFormat="false" ht="15" hidden="false" customHeight="false" outlineLevel="0" collapsed="false">
      <c r="A107" s="19"/>
      <c r="B107" s="19"/>
      <c r="C107" s="20"/>
      <c r="D107" s="19"/>
      <c r="E107" s="26" t="str">
        <f aca="false">IF(A107="","",COUNTIFS(Apparitions!$A$2:$A$5001,A107,Apparitions!$B$2:$B$5001,B107))</f>
        <v/>
      </c>
      <c r="F107" s="27" t="str">
        <f aca="false">IF(A107="","",A107&amp;"|"&amp;B107)</f>
        <v/>
      </c>
    </row>
    <row r="108" customFormat="false" ht="15" hidden="false" customHeight="false" outlineLevel="0" collapsed="false">
      <c r="A108" s="19"/>
      <c r="B108" s="19"/>
      <c r="C108" s="20"/>
      <c r="D108" s="19"/>
      <c r="E108" s="26" t="str">
        <f aca="false">IF(A108="","",COUNTIFS(Apparitions!$A$2:$A$5001,A108,Apparitions!$B$2:$B$5001,B108))</f>
        <v/>
      </c>
      <c r="F108" s="27" t="str">
        <f aca="false">IF(A108="","",A108&amp;"|"&amp;B108)</f>
        <v/>
      </c>
    </row>
    <row r="109" customFormat="false" ht="15" hidden="false" customHeight="false" outlineLevel="0" collapsed="false">
      <c r="A109" s="19"/>
      <c r="B109" s="19"/>
      <c r="C109" s="20"/>
      <c r="D109" s="19"/>
      <c r="E109" s="26" t="str">
        <f aca="false">IF(A109="","",COUNTIFS(Apparitions!$A$2:$A$5001,A109,Apparitions!$B$2:$B$5001,B109))</f>
        <v/>
      </c>
      <c r="F109" s="27" t="str">
        <f aca="false">IF(A109="","",A109&amp;"|"&amp;B109)</f>
        <v/>
      </c>
    </row>
    <row r="110" customFormat="false" ht="15" hidden="false" customHeight="false" outlineLevel="0" collapsed="false">
      <c r="A110" s="19"/>
      <c r="B110" s="19"/>
      <c r="C110" s="20"/>
      <c r="D110" s="19"/>
      <c r="E110" s="26" t="str">
        <f aca="false">IF(A110="","",COUNTIFS(Apparitions!$A$2:$A$5001,A110,Apparitions!$B$2:$B$5001,B110))</f>
        <v/>
      </c>
      <c r="F110" s="27" t="str">
        <f aca="false">IF(A110="","",A110&amp;"|"&amp;B110)</f>
        <v/>
      </c>
    </row>
    <row r="111" customFormat="false" ht="15" hidden="false" customHeight="false" outlineLevel="0" collapsed="false">
      <c r="A111" s="19"/>
      <c r="B111" s="19"/>
      <c r="C111" s="20"/>
      <c r="D111" s="19"/>
      <c r="E111" s="26" t="str">
        <f aca="false">IF(A111="","",COUNTIFS(Apparitions!$A$2:$A$5001,A111,Apparitions!$B$2:$B$5001,B111))</f>
        <v/>
      </c>
      <c r="F111" s="27" t="str">
        <f aca="false">IF(A111="","",A111&amp;"|"&amp;B111)</f>
        <v/>
      </c>
    </row>
    <row r="112" customFormat="false" ht="15" hidden="false" customHeight="false" outlineLevel="0" collapsed="false">
      <c r="A112" s="19"/>
      <c r="B112" s="19"/>
      <c r="C112" s="20"/>
      <c r="D112" s="19"/>
      <c r="E112" s="26" t="str">
        <f aca="false">IF(A112="","",COUNTIFS(Apparitions!$A$2:$A$5001,A112,Apparitions!$B$2:$B$5001,B112))</f>
        <v/>
      </c>
      <c r="F112" s="27" t="str">
        <f aca="false">IF(A112="","",A112&amp;"|"&amp;B112)</f>
        <v/>
      </c>
    </row>
    <row r="113" customFormat="false" ht="15" hidden="false" customHeight="false" outlineLevel="0" collapsed="false">
      <c r="A113" s="19"/>
      <c r="B113" s="19"/>
      <c r="C113" s="20"/>
      <c r="D113" s="19"/>
      <c r="E113" s="26" t="str">
        <f aca="false">IF(A113="","",COUNTIFS(Apparitions!$A$2:$A$5001,A113,Apparitions!$B$2:$B$5001,B113))</f>
        <v/>
      </c>
      <c r="F113" s="27" t="str">
        <f aca="false">IF(A113="","",A113&amp;"|"&amp;B113)</f>
        <v/>
      </c>
    </row>
    <row r="114" customFormat="false" ht="15" hidden="false" customHeight="false" outlineLevel="0" collapsed="false">
      <c r="A114" s="19"/>
      <c r="B114" s="19"/>
      <c r="C114" s="20"/>
      <c r="D114" s="19"/>
      <c r="E114" s="26" t="str">
        <f aca="false">IF(A114="","",COUNTIFS(Apparitions!$A$2:$A$5001,A114,Apparitions!$B$2:$B$5001,B114))</f>
        <v/>
      </c>
      <c r="F114" s="27" t="str">
        <f aca="false">IF(A114="","",A114&amp;"|"&amp;B114)</f>
        <v/>
      </c>
    </row>
    <row r="115" customFormat="false" ht="15" hidden="false" customHeight="false" outlineLevel="0" collapsed="false">
      <c r="A115" s="19"/>
      <c r="B115" s="19"/>
      <c r="C115" s="20"/>
      <c r="D115" s="19"/>
      <c r="E115" s="26" t="str">
        <f aca="false">IF(A115="","",COUNTIFS(Apparitions!$A$2:$A$5001,A115,Apparitions!$B$2:$B$5001,B115))</f>
        <v/>
      </c>
      <c r="F115" s="27" t="str">
        <f aca="false">IF(A115="","",A115&amp;"|"&amp;B115)</f>
        <v/>
      </c>
    </row>
    <row r="116" customFormat="false" ht="15" hidden="false" customHeight="false" outlineLevel="0" collapsed="false">
      <c r="A116" s="19"/>
      <c r="B116" s="19"/>
      <c r="C116" s="20"/>
      <c r="D116" s="19"/>
      <c r="E116" s="26" t="str">
        <f aca="false">IF(A116="","",COUNTIFS(Apparitions!$A$2:$A$5001,A116,Apparitions!$B$2:$B$5001,B116))</f>
        <v/>
      </c>
      <c r="F116" s="27" t="str">
        <f aca="false">IF(A116="","",A116&amp;"|"&amp;B116)</f>
        <v/>
      </c>
    </row>
    <row r="117" customFormat="false" ht="15" hidden="false" customHeight="false" outlineLevel="0" collapsed="false">
      <c r="A117" s="19"/>
      <c r="B117" s="19"/>
      <c r="C117" s="20"/>
      <c r="D117" s="19"/>
      <c r="E117" s="26" t="str">
        <f aca="false">IF(A117="","",COUNTIFS(Apparitions!$A$2:$A$5001,A117,Apparitions!$B$2:$B$5001,B117))</f>
        <v/>
      </c>
      <c r="F117" s="27" t="str">
        <f aca="false">IF(A117="","",A117&amp;"|"&amp;B117)</f>
        <v/>
      </c>
    </row>
    <row r="118" customFormat="false" ht="15" hidden="false" customHeight="false" outlineLevel="0" collapsed="false">
      <c r="A118" s="19"/>
      <c r="B118" s="19"/>
      <c r="C118" s="20"/>
      <c r="D118" s="19"/>
      <c r="E118" s="26" t="str">
        <f aca="false">IF(A118="","",COUNTIFS(Apparitions!$A$2:$A$5001,A118,Apparitions!$B$2:$B$5001,B118))</f>
        <v/>
      </c>
      <c r="F118" s="27" t="str">
        <f aca="false">IF(A118="","",A118&amp;"|"&amp;B118)</f>
        <v/>
      </c>
    </row>
    <row r="119" customFormat="false" ht="15" hidden="false" customHeight="false" outlineLevel="0" collapsed="false">
      <c r="A119" s="19"/>
      <c r="B119" s="19"/>
      <c r="C119" s="20"/>
      <c r="D119" s="19"/>
      <c r="E119" s="26" t="str">
        <f aca="false">IF(A119="","",COUNTIFS(Apparitions!$A$2:$A$5001,A119,Apparitions!$B$2:$B$5001,B119))</f>
        <v/>
      </c>
      <c r="F119" s="27" t="str">
        <f aca="false">IF(A119="","",A119&amp;"|"&amp;B119)</f>
        <v/>
      </c>
    </row>
    <row r="120" customFormat="false" ht="15" hidden="false" customHeight="false" outlineLevel="0" collapsed="false">
      <c r="A120" s="19"/>
      <c r="B120" s="19"/>
      <c r="C120" s="20"/>
      <c r="D120" s="19"/>
      <c r="E120" s="26" t="str">
        <f aca="false">IF(A120="","",COUNTIFS(Apparitions!$A$2:$A$5001,A120,Apparitions!$B$2:$B$5001,B120))</f>
        <v/>
      </c>
      <c r="F120" s="27" t="str">
        <f aca="false">IF(A120="","",A120&amp;"|"&amp;B120)</f>
        <v/>
      </c>
    </row>
    <row r="121" customFormat="false" ht="15" hidden="false" customHeight="false" outlineLevel="0" collapsed="false">
      <c r="A121" s="19"/>
      <c r="B121" s="19"/>
      <c r="C121" s="20"/>
      <c r="D121" s="19"/>
      <c r="E121" s="26" t="str">
        <f aca="false">IF(A121="","",COUNTIFS(Apparitions!$A$2:$A$5001,A121,Apparitions!$B$2:$B$5001,B121))</f>
        <v/>
      </c>
      <c r="F121" s="27" t="str">
        <f aca="false">IF(A121="","",A121&amp;"|"&amp;B121)</f>
        <v/>
      </c>
    </row>
    <row r="122" customFormat="false" ht="15" hidden="false" customHeight="false" outlineLevel="0" collapsed="false">
      <c r="A122" s="19"/>
      <c r="B122" s="19"/>
      <c r="C122" s="20"/>
      <c r="D122" s="19"/>
      <c r="E122" s="26" t="str">
        <f aca="false">IF(A122="","",COUNTIFS(Apparitions!$A$2:$A$5001,A122,Apparitions!$B$2:$B$5001,B122))</f>
        <v/>
      </c>
      <c r="F122" s="27" t="str">
        <f aca="false">IF(A122="","",A122&amp;"|"&amp;B122)</f>
        <v/>
      </c>
    </row>
    <row r="123" customFormat="false" ht="15" hidden="false" customHeight="false" outlineLevel="0" collapsed="false">
      <c r="A123" s="19"/>
      <c r="B123" s="19"/>
      <c r="C123" s="20"/>
      <c r="D123" s="19"/>
      <c r="E123" s="26" t="str">
        <f aca="false">IF(A123="","",COUNTIFS(Apparitions!$A$2:$A$5001,A123,Apparitions!$B$2:$B$5001,B123))</f>
        <v/>
      </c>
      <c r="F123" s="27" t="str">
        <f aca="false">IF(A123="","",A123&amp;"|"&amp;B123)</f>
        <v/>
      </c>
    </row>
    <row r="124" customFormat="false" ht="15" hidden="false" customHeight="false" outlineLevel="0" collapsed="false">
      <c r="A124" s="19"/>
      <c r="B124" s="19"/>
      <c r="C124" s="20"/>
      <c r="D124" s="19"/>
      <c r="E124" s="26" t="str">
        <f aca="false">IF(A124="","",COUNTIFS(Apparitions!$A$2:$A$5001,A124,Apparitions!$B$2:$B$5001,B124))</f>
        <v/>
      </c>
      <c r="F124" s="27" t="str">
        <f aca="false">IF(A124="","",A124&amp;"|"&amp;B124)</f>
        <v/>
      </c>
    </row>
    <row r="125" customFormat="false" ht="15" hidden="false" customHeight="false" outlineLevel="0" collapsed="false">
      <c r="A125" s="19"/>
      <c r="B125" s="19"/>
      <c r="C125" s="20"/>
      <c r="D125" s="19"/>
      <c r="E125" s="26" t="str">
        <f aca="false">IF(A125="","",COUNTIFS(Apparitions!$A$2:$A$5001,A125,Apparitions!$B$2:$B$5001,B125))</f>
        <v/>
      </c>
      <c r="F125" s="27" t="str">
        <f aca="false">IF(A125="","",A125&amp;"|"&amp;B125)</f>
        <v/>
      </c>
    </row>
    <row r="126" customFormat="false" ht="15" hidden="false" customHeight="false" outlineLevel="0" collapsed="false">
      <c r="A126" s="19"/>
      <c r="B126" s="19"/>
      <c r="C126" s="20"/>
      <c r="D126" s="19"/>
      <c r="E126" s="26" t="str">
        <f aca="false">IF(A126="","",COUNTIFS(Apparitions!$A$2:$A$5001,A126,Apparitions!$B$2:$B$5001,B126))</f>
        <v/>
      </c>
      <c r="F126" s="27" t="str">
        <f aca="false">IF(A126="","",A126&amp;"|"&amp;B126)</f>
        <v/>
      </c>
    </row>
    <row r="127" customFormat="false" ht="15" hidden="false" customHeight="false" outlineLevel="0" collapsed="false">
      <c r="A127" s="19"/>
      <c r="B127" s="19"/>
      <c r="C127" s="20"/>
      <c r="D127" s="19"/>
      <c r="E127" s="26" t="str">
        <f aca="false">IF(A127="","",COUNTIFS(Apparitions!$A$2:$A$5001,A127,Apparitions!$B$2:$B$5001,B127))</f>
        <v/>
      </c>
      <c r="F127" s="27" t="str">
        <f aca="false">IF(A127="","",A127&amp;"|"&amp;B127)</f>
        <v/>
      </c>
    </row>
    <row r="128" customFormat="false" ht="15" hidden="false" customHeight="false" outlineLevel="0" collapsed="false">
      <c r="A128" s="19"/>
      <c r="B128" s="19"/>
      <c r="C128" s="20"/>
      <c r="D128" s="19"/>
      <c r="E128" s="26" t="str">
        <f aca="false">IF(A128="","",COUNTIFS(Apparitions!$A$2:$A$5001,A128,Apparitions!$B$2:$B$5001,B128))</f>
        <v/>
      </c>
      <c r="F128" s="27" t="str">
        <f aca="false">IF(A128="","",A128&amp;"|"&amp;B128)</f>
        <v/>
      </c>
    </row>
    <row r="129" customFormat="false" ht="15" hidden="false" customHeight="false" outlineLevel="0" collapsed="false">
      <c r="A129" s="19"/>
      <c r="B129" s="19"/>
      <c r="C129" s="20"/>
      <c r="D129" s="19"/>
      <c r="E129" s="26" t="str">
        <f aca="false">IF(A129="","",COUNTIFS(Apparitions!$A$2:$A$5001,A129,Apparitions!$B$2:$B$5001,B129))</f>
        <v/>
      </c>
      <c r="F129" s="27" t="str">
        <f aca="false">IF(A129="","",A129&amp;"|"&amp;B129)</f>
        <v/>
      </c>
    </row>
    <row r="130" customFormat="false" ht="15" hidden="false" customHeight="false" outlineLevel="0" collapsed="false">
      <c r="A130" s="19"/>
      <c r="B130" s="19"/>
      <c r="C130" s="20"/>
      <c r="D130" s="19"/>
      <c r="E130" s="26" t="str">
        <f aca="false">IF(A130="","",COUNTIFS(Apparitions!$A$2:$A$5001,A130,Apparitions!$B$2:$B$5001,B130))</f>
        <v/>
      </c>
      <c r="F130" s="27" t="str">
        <f aca="false">IF(A130="","",A130&amp;"|"&amp;B130)</f>
        <v/>
      </c>
    </row>
    <row r="131" customFormat="false" ht="15" hidden="false" customHeight="false" outlineLevel="0" collapsed="false">
      <c r="A131" s="19"/>
      <c r="B131" s="19"/>
      <c r="C131" s="20"/>
      <c r="D131" s="19"/>
      <c r="E131" s="26" t="str">
        <f aca="false">IF(A131="","",COUNTIFS(Apparitions!$A$2:$A$5001,A131,Apparitions!$B$2:$B$5001,B131))</f>
        <v/>
      </c>
      <c r="F131" s="27" t="str">
        <f aca="false">IF(A131="","",A131&amp;"|"&amp;B131)</f>
        <v/>
      </c>
    </row>
    <row r="132" customFormat="false" ht="15" hidden="false" customHeight="false" outlineLevel="0" collapsed="false">
      <c r="A132" s="19"/>
      <c r="B132" s="19"/>
      <c r="C132" s="20"/>
      <c r="D132" s="19"/>
      <c r="E132" s="26" t="str">
        <f aca="false">IF(A132="","",COUNTIFS(Apparitions!$A$2:$A$5001,A132,Apparitions!$B$2:$B$5001,B132))</f>
        <v/>
      </c>
      <c r="F132" s="27" t="str">
        <f aca="false">IF(A132="","",A132&amp;"|"&amp;B132)</f>
        <v/>
      </c>
    </row>
    <row r="133" customFormat="false" ht="15" hidden="false" customHeight="false" outlineLevel="0" collapsed="false">
      <c r="A133" s="19"/>
      <c r="B133" s="19"/>
      <c r="C133" s="20"/>
      <c r="D133" s="19"/>
      <c r="E133" s="26" t="str">
        <f aca="false">IF(A133="","",COUNTIFS(Apparitions!$A$2:$A$5001,A133,Apparitions!$B$2:$B$5001,B133))</f>
        <v/>
      </c>
      <c r="F133" s="27" t="str">
        <f aca="false">IF(A133="","",A133&amp;"|"&amp;B133)</f>
        <v/>
      </c>
    </row>
    <row r="134" customFormat="false" ht="15" hidden="false" customHeight="false" outlineLevel="0" collapsed="false">
      <c r="A134" s="19"/>
      <c r="B134" s="19"/>
      <c r="C134" s="20"/>
      <c r="D134" s="19"/>
      <c r="E134" s="26" t="str">
        <f aca="false">IF(A134="","",COUNTIFS(Apparitions!$A$2:$A$5001,A134,Apparitions!$B$2:$B$5001,B134))</f>
        <v/>
      </c>
      <c r="F134" s="27" t="str">
        <f aca="false">IF(A134="","",A134&amp;"|"&amp;B134)</f>
        <v/>
      </c>
    </row>
    <row r="135" customFormat="false" ht="15" hidden="false" customHeight="false" outlineLevel="0" collapsed="false">
      <c r="A135" s="19"/>
      <c r="B135" s="19"/>
      <c r="C135" s="20"/>
      <c r="D135" s="19"/>
      <c r="E135" s="26" t="str">
        <f aca="false">IF(A135="","",COUNTIFS(Apparitions!$A$2:$A$5001,A135,Apparitions!$B$2:$B$5001,B135))</f>
        <v/>
      </c>
      <c r="F135" s="27" t="str">
        <f aca="false">IF(A135="","",A135&amp;"|"&amp;B135)</f>
        <v/>
      </c>
    </row>
    <row r="136" customFormat="false" ht="15" hidden="false" customHeight="false" outlineLevel="0" collapsed="false">
      <c r="A136" s="19"/>
      <c r="B136" s="19"/>
      <c r="C136" s="20"/>
      <c r="D136" s="19"/>
      <c r="E136" s="26" t="str">
        <f aca="false">IF(A136="","",COUNTIFS(Apparitions!$A$2:$A$5001,A136,Apparitions!$B$2:$B$5001,B136))</f>
        <v/>
      </c>
      <c r="F136" s="27" t="str">
        <f aca="false">IF(A136="","",A136&amp;"|"&amp;B136)</f>
        <v/>
      </c>
    </row>
    <row r="137" customFormat="false" ht="15" hidden="false" customHeight="false" outlineLevel="0" collapsed="false">
      <c r="A137" s="19"/>
      <c r="B137" s="19"/>
      <c r="C137" s="20"/>
      <c r="D137" s="19"/>
      <c r="E137" s="26" t="str">
        <f aca="false">IF(A137="","",COUNTIFS(Apparitions!$A$2:$A$5001,A137,Apparitions!$B$2:$B$5001,B137))</f>
        <v/>
      </c>
      <c r="F137" s="27" t="str">
        <f aca="false">IF(A137="","",A137&amp;"|"&amp;B137)</f>
        <v/>
      </c>
    </row>
    <row r="138" customFormat="false" ht="15" hidden="false" customHeight="false" outlineLevel="0" collapsed="false">
      <c r="A138" s="19"/>
      <c r="B138" s="19"/>
      <c r="C138" s="20"/>
      <c r="D138" s="19"/>
      <c r="E138" s="26" t="str">
        <f aca="false">IF(A138="","",COUNTIFS(Apparitions!$A$2:$A$5001,A138,Apparitions!$B$2:$B$5001,B138))</f>
        <v/>
      </c>
      <c r="F138" s="27" t="str">
        <f aca="false">IF(A138="","",A138&amp;"|"&amp;B138)</f>
        <v/>
      </c>
    </row>
    <row r="139" customFormat="false" ht="15" hidden="false" customHeight="false" outlineLevel="0" collapsed="false">
      <c r="A139" s="19"/>
      <c r="B139" s="19"/>
      <c r="C139" s="20"/>
      <c r="D139" s="19"/>
      <c r="E139" s="26" t="str">
        <f aca="false">IF(A139="","",COUNTIFS(Apparitions!$A$2:$A$5001,A139,Apparitions!$B$2:$B$5001,B139))</f>
        <v/>
      </c>
      <c r="F139" s="27" t="str">
        <f aca="false">IF(A139="","",A139&amp;"|"&amp;B139)</f>
        <v/>
      </c>
    </row>
    <row r="140" customFormat="false" ht="15" hidden="false" customHeight="false" outlineLevel="0" collapsed="false">
      <c r="A140" s="19"/>
      <c r="B140" s="19"/>
      <c r="C140" s="20"/>
      <c r="D140" s="19"/>
      <c r="E140" s="26" t="str">
        <f aca="false">IF(A140="","",COUNTIFS(Apparitions!$A$2:$A$5001,A140,Apparitions!$B$2:$B$5001,B140))</f>
        <v/>
      </c>
      <c r="F140" s="27" t="str">
        <f aca="false">IF(A140="","",A140&amp;"|"&amp;B140)</f>
        <v/>
      </c>
    </row>
    <row r="141" customFormat="false" ht="15" hidden="false" customHeight="false" outlineLevel="0" collapsed="false">
      <c r="A141" s="19"/>
      <c r="B141" s="19"/>
      <c r="C141" s="20"/>
      <c r="D141" s="19"/>
      <c r="E141" s="26" t="str">
        <f aca="false">IF(A141="","",COUNTIFS(Apparitions!$A$2:$A$5001,A141,Apparitions!$B$2:$B$5001,B141))</f>
        <v/>
      </c>
      <c r="F141" s="27" t="str">
        <f aca="false">IF(A141="","",A141&amp;"|"&amp;B141)</f>
        <v/>
      </c>
    </row>
    <row r="142" customFormat="false" ht="15" hidden="false" customHeight="false" outlineLevel="0" collapsed="false">
      <c r="A142" s="19"/>
      <c r="B142" s="19"/>
      <c r="C142" s="20"/>
      <c r="D142" s="19"/>
      <c r="E142" s="26" t="str">
        <f aca="false">IF(A142="","",COUNTIFS(Apparitions!$A$2:$A$5001,A142,Apparitions!$B$2:$B$5001,B142))</f>
        <v/>
      </c>
      <c r="F142" s="27" t="str">
        <f aca="false">IF(A142="","",A142&amp;"|"&amp;B142)</f>
        <v/>
      </c>
    </row>
    <row r="143" customFormat="false" ht="15" hidden="false" customHeight="false" outlineLevel="0" collapsed="false">
      <c r="A143" s="19"/>
      <c r="B143" s="19"/>
      <c r="C143" s="20"/>
      <c r="D143" s="19"/>
      <c r="E143" s="26" t="str">
        <f aca="false">IF(A143="","",COUNTIFS(Apparitions!$A$2:$A$5001,A143,Apparitions!$B$2:$B$5001,B143))</f>
        <v/>
      </c>
      <c r="F143" s="27" t="str">
        <f aca="false">IF(A143="","",A143&amp;"|"&amp;B143)</f>
        <v/>
      </c>
    </row>
    <row r="144" customFormat="false" ht="15" hidden="false" customHeight="false" outlineLevel="0" collapsed="false">
      <c r="A144" s="19"/>
      <c r="B144" s="19"/>
      <c r="C144" s="20"/>
      <c r="D144" s="19"/>
      <c r="E144" s="26" t="str">
        <f aca="false">IF(A144="","",COUNTIFS(Apparitions!$A$2:$A$5001,A144,Apparitions!$B$2:$B$5001,B144))</f>
        <v/>
      </c>
      <c r="F144" s="27" t="str">
        <f aca="false">IF(A144="","",A144&amp;"|"&amp;B144)</f>
        <v/>
      </c>
    </row>
    <row r="145" customFormat="false" ht="15" hidden="false" customHeight="false" outlineLevel="0" collapsed="false">
      <c r="A145" s="19"/>
      <c r="B145" s="19"/>
      <c r="C145" s="20"/>
      <c r="D145" s="19"/>
      <c r="E145" s="26" t="str">
        <f aca="false">IF(A145="","",COUNTIFS(Apparitions!$A$2:$A$5001,A145,Apparitions!$B$2:$B$5001,B145))</f>
        <v/>
      </c>
      <c r="F145" s="27" t="str">
        <f aca="false">IF(A145="","",A145&amp;"|"&amp;B145)</f>
        <v/>
      </c>
    </row>
    <row r="146" customFormat="false" ht="15" hidden="false" customHeight="false" outlineLevel="0" collapsed="false">
      <c r="A146" s="19"/>
      <c r="B146" s="19"/>
      <c r="C146" s="20"/>
      <c r="D146" s="19"/>
      <c r="E146" s="26" t="str">
        <f aca="false">IF(A146="","",COUNTIFS(Apparitions!$A$2:$A$5001,A146,Apparitions!$B$2:$B$5001,B146))</f>
        <v/>
      </c>
      <c r="F146" s="27" t="str">
        <f aca="false">IF(A146="","",A146&amp;"|"&amp;B146)</f>
        <v/>
      </c>
    </row>
    <row r="147" customFormat="false" ht="15" hidden="false" customHeight="false" outlineLevel="0" collapsed="false">
      <c r="A147" s="19"/>
      <c r="B147" s="19"/>
      <c r="C147" s="20"/>
      <c r="D147" s="19"/>
      <c r="E147" s="26" t="str">
        <f aca="false">IF(A147="","",COUNTIFS(Apparitions!$A$2:$A$5001,A147,Apparitions!$B$2:$B$5001,B147))</f>
        <v/>
      </c>
      <c r="F147" s="27" t="str">
        <f aca="false">IF(A147="","",A147&amp;"|"&amp;B147)</f>
        <v/>
      </c>
    </row>
    <row r="148" customFormat="false" ht="15" hidden="false" customHeight="false" outlineLevel="0" collapsed="false">
      <c r="A148" s="19"/>
      <c r="B148" s="19"/>
      <c r="C148" s="20"/>
      <c r="D148" s="19"/>
      <c r="E148" s="26" t="str">
        <f aca="false">IF(A148="","",COUNTIFS(Apparitions!$A$2:$A$5001,A148,Apparitions!$B$2:$B$5001,B148))</f>
        <v/>
      </c>
      <c r="F148" s="27" t="str">
        <f aca="false">IF(A148="","",A148&amp;"|"&amp;B148)</f>
        <v/>
      </c>
    </row>
    <row r="149" customFormat="false" ht="15" hidden="false" customHeight="false" outlineLevel="0" collapsed="false">
      <c r="A149" s="19"/>
      <c r="B149" s="19"/>
      <c r="C149" s="20"/>
      <c r="D149" s="19"/>
      <c r="E149" s="26" t="str">
        <f aca="false">IF(A149="","",COUNTIFS(Apparitions!$A$2:$A$5001,A149,Apparitions!$B$2:$B$5001,B149))</f>
        <v/>
      </c>
      <c r="F149" s="27" t="str">
        <f aca="false">IF(A149="","",A149&amp;"|"&amp;B149)</f>
        <v/>
      </c>
    </row>
    <row r="150" customFormat="false" ht="15" hidden="false" customHeight="false" outlineLevel="0" collapsed="false">
      <c r="A150" s="19"/>
      <c r="B150" s="19"/>
      <c r="C150" s="20"/>
      <c r="D150" s="19"/>
      <c r="E150" s="26" t="str">
        <f aca="false">IF(A150="","",COUNTIFS(Apparitions!$A$2:$A$5001,A150,Apparitions!$B$2:$B$5001,B150))</f>
        <v/>
      </c>
      <c r="F150" s="27" t="str">
        <f aca="false">IF(A150="","",A150&amp;"|"&amp;B150)</f>
        <v/>
      </c>
    </row>
    <row r="151" customFormat="false" ht="15" hidden="false" customHeight="false" outlineLevel="0" collapsed="false">
      <c r="A151" s="19"/>
      <c r="B151" s="19"/>
      <c r="C151" s="20"/>
      <c r="D151" s="19"/>
      <c r="E151" s="26" t="str">
        <f aca="false">IF(A151="","",COUNTIFS(Apparitions!$A$2:$A$5001,A151,Apparitions!$B$2:$B$5001,B151))</f>
        <v/>
      </c>
      <c r="F151" s="27" t="str">
        <f aca="false">IF(A151="","",A151&amp;"|"&amp;B151)</f>
        <v/>
      </c>
    </row>
    <row r="152" customFormat="false" ht="15" hidden="false" customHeight="false" outlineLevel="0" collapsed="false">
      <c r="A152" s="19"/>
      <c r="B152" s="19"/>
      <c r="C152" s="20"/>
      <c r="D152" s="19"/>
      <c r="E152" s="26" t="str">
        <f aca="false">IF(A152="","",COUNTIFS(Apparitions!$A$2:$A$5001,A152,Apparitions!$B$2:$B$5001,B152))</f>
        <v/>
      </c>
      <c r="F152" s="27" t="str">
        <f aca="false">IF(A152="","",A152&amp;"|"&amp;B152)</f>
        <v/>
      </c>
    </row>
    <row r="153" customFormat="false" ht="15" hidden="false" customHeight="false" outlineLevel="0" collapsed="false">
      <c r="A153" s="19"/>
      <c r="B153" s="19"/>
      <c r="C153" s="20"/>
      <c r="D153" s="19"/>
      <c r="E153" s="26" t="str">
        <f aca="false">IF(A153="","",COUNTIFS(Apparitions!$A$2:$A$5001,A153,Apparitions!$B$2:$B$5001,B153))</f>
        <v/>
      </c>
      <c r="F153" s="27" t="str">
        <f aca="false">IF(A153="","",A153&amp;"|"&amp;B153)</f>
        <v/>
      </c>
    </row>
    <row r="154" customFormat="false" ht="15" hidden="false" customHeight="false" outlineLevel="0" collapsed="false">
      <c r="A154" s="19"/>
      <c r="B154" s="19"/>
      <c r="C154" s="20"/>
      <c r="D154" s="19"/>
      <c r="E154" s="26" t="str">
        <f aca="false">IF(A154="","",COUNTIFS(Apparitions!$A$2:$A$5001,A154,Apparitions!$B$2:$B$5001,B154))</f>
        <v/>
      </c>
      <c r="F154" s="27" t="str">
        <f aca="false">IF(A154="","",A154&amp;"|"&amp;B154)</f>
        <v/>
      </c>
    </row>
    <row r="155" customFormat="false" ht="15" hidden="false" customHeight="false" outlineLevel="0" collapsed="false">
      <c r="A155" s="19"/>
      <c r="B155" s="19"/>
      <c r="C155" s="20"/>
      <c r="D155" s="19"/>
      <c r="E155" s="26" t="str">
        <f aca="false">IF(A155="","",COUNTIFS(Apparitions!$A$2:$A$5001,A155,Apparitions!$B$2:$B$5001,B155))</f>
        <v/>
      </c>
      <c r="F155" s="27" t="str">
        <f aca="false">IF(A155="","",A155&amp;"|"&amp;B155)</f>
        <v/>
      </c>
    </row>
    <row r="156" customFormat="false" ht="15" hidden="false" customHeight="false" outlineLevel="0" collapsed="false">
      <c r="A156" s="19"/>
      <c r="B156" s="19"/>
      <c r="C156" s="20"/>
      <c r="D156" s="19"/>
      <c r="E156" s="26" t="str">
        <f aca="false">IF(A156="","",COUNTIFS(Apparitions!$A$2:$A$5001,A156,Apparitions!$B$2:$B$5001,B156))</f>
        <v/>
      </c>
      <c r="F156" s="27" t="str">
        <f aca="false">IF(A156="","",A156&amp;"|"&amp;B156)</f>
        <v/>
      </c>
    </row>
    <row r="157" customFormat="false" ht="15" hidden="false" customHeight="false" outlineLevel="0" collapsed="false">
      <c r="A157" s="19"/>
      <c r="B157" s="19"/>
      <c r="C157" s="20"/>
      <c r="D157" s="19"/>
      <c r="E157" s="26" t="str">
        <f aca="false">IF(A157="","",COUNTIFS(Apparitions!$A$2:$A$5001,A157,Apparitions!$B$2:$B$5001,B157))</f>
        <v/>
      </c>
      <c r="F157" s="27" t="str">
        <f aca="false">IF(A157="","",A157&amp;"|"&amp;B157)</f>
        <v/>
      </c>
    </row>
    <row r="158" customFormat="false" ht="15" hidden="false" customHeight="false" outlineLevel="0" collapsed="false">
      <c r="A158" s="19"/>
      <c r="B158" s="19"/>
      <c r="C158" s="20"/>
      <c r="D158" s="19"/>
      <c r="E158" s="26" t="str">
        <f aca="false">IF(A158="","",COUNTIFS(Apparitions!$A$2:$A$5001,A158,Apparitions!$B$2:$B$5001,B158))</f>
        <v/>
      </c>
      <c r="F158" s="27" t="str">
        <f aca="false">IF(A158="","",A158&amp;"|"&amp;B158)</f>
        <v/>
      </c>
    </row>
    <row r="159" customFormat="false" ht="15" hidden="false" customHeight="false" outlineLevel="0" collapsed="false">
      <c r="A159" s="19"/>
      <c r="B159" s="19"/>
      <c r="C159" s="20"/>
      <c r="D159" s="19"/>
      <c r="E159" s="26" t="str">
        <f aca="false">IF(A159="","",COUNTIFS(Apparitions!$A$2:$A$5001,A159,Apparitions!$B$2:$B$5001,B159))</f>
        <v/>
      </c>
      <c r="F159" s="27" t="str">
        <f aca="false">IF(A159="","",A159&amp;"|"&amp;B159)</f>
        <v/>
      </c>
    </row>
    <row r="160" customFormat="false" ht="15" hidden="false" customHeight="false" outlineLevel="0" collapsed="false">
      <c r="A160" s="19"/>
      <c r="B160" s="19"/>
      <c r="C160" s="20"/>
      <c r="D160" s="19"/>
      <c r="E160" s="26" t="str">
        <f aca="false">IF(A160="","",COUNTIFS(Apparitions!$A$2:$A$5001,A160,Apparitions!$B$2:$B$5001,B160))</f>
        <v/>
      </c>
      <c r="F160" s="27" t="str">
        <f aca="false">IF(A160="","",A160&amp;"|"&amp;B160)</f>
        <v/>
      </c>
    </row>
    <row r="161" customFormat="false" ht="15" hidden="false" customHeight="false" outlineLevel="0" collapsed="false">
      <c r="A161" s="19"/>
      <c r="B161" s="19"/>
      <c r="C161" s="20"/>
      <c r="D161" s="19"/>
      <c r="E161" s="26" t="str">
        <f aca="false">IF(A161="","",COUNTIFS(Apparitions!$A$2:$A$5001,A161,Apparitions!$B$2:$B$5001,B161))</f>
        <v/>
      </c>
      <c r="F161" s="27" t="str">
        <f aca="false">IF(A161="","",A161&amp;"|"&amp;B161)</f>
        <v/>
      </c>
    </row>
    <row r="162" customFormat="false" ht="15" hidden="false" customHeight="false" outlineLevel="0" collapsed="false">
      <c r="A162" s="19"/>
      <c r="B162" s="19"/>
      <c r="C162" s="20"/>
      <c r="D162" s="19"/>
      <c r="E162" s="26" t="str">
        <f aca="false">IF(A162="","",COUNTIFS(Apparitions!$A$2:$A$5001,A162,Apparitions!$B$2:$B$5001,B162))</f>
        <v/>
      </c>
      <c r="F162" s="27" t="str">
        <f aca="false">IF(A162="","",A162&amp;"|"&amp;B162)</f>
        <v/>
      </c>
    </row>
    <row r="163" customFormat="false" ht="15" hidden="false" customHeight="false" outlineLevel="0" collapsed="false">
      <c r="A163" s="19"/>
      <c r="B163" s="19"/>
      <c r="C163" s="20"/>
      <c r="D163" s="19"/>
      <c r="E163" s="26" t="str">
        <f aca="false">IF(A163="","",COUNTIFS(Apparitions!$A$2:$A$5001,A163,Apparitions!$B$2:$B$5001,B163))</f>
        <v/>
      </c>
      <c r="F163" s="27" t="str">
        <f aca="false">IF(A163="","",A163&amp;"|"&amp;B163)</f>
        <v/>
      </c>
    </row>
    <row r="164" customFormat="false" ht="15" hidden="false" customHeight="false" outlineLevel="0" collapsed="false">
      <c r="A164" s="19"/>
      <c r="B164" s="19"/>
      <c r="C164" s="20"/>
      <c r="D164" s="19"/>
      <c r="E164" s="26" t="str">
        <f aca="false">IF(A164="","",COUNTIFS(Apparitions!$A$2:$A$5001,A164,Apparitions!$B$2:$B$5001,B164))</f>
        <v/>
      </c>
      <c r="F164" s="27" t="str">
        <f aca="false">IF(A164="","",A164&amp;"|"&amp;B164)</f>
        <v/>
      </c>
    </row>
    <row r="165" customFormat="false" ht="15" hidden="false" customHeight="false" outlineLevel="0" collapsed="false">
      <c r="A165" s="19"/>
      <c r="B165" s="19"/>
      <c r="C165" s="20"/>
      <c r="D165" s="19"/>
      <c r="E165" s="26" t="str">
        <f aca="false">IF(A165="","",COUNTIFS(Apparitions!$A$2:$A$5001,A165,Apparitions!$B$2:$B$5001,B165))</f>
        <v/>
      </c>
      <c r="F165" s="27" t="str">
        <f aca="false">IF(A165="","",A165&amp;"|"&amp;B165)</f>
        <v/>
      </c>
    </row>
    <row r="166" customFormat="false" ht="15" hidden="false" customHeight="false" outlineLevel="0" collapsed="false">
      <c r="A166" s="19"/>
      <c r="B166" s="19"/>
      <c r="C166" s="20"/>
      <c r="D166" s="19"/>
      <c r="E166" s="26" t="str">
        <f aca="false">IF(A166="","",COUNTIFS(Apparitions!$A$2:$A$5001,A166,Apparitions!$B$2:$B$5001,B166))</f>
        <v/>
      </c>
      <c r="F166" s="27" t="str">
        <f aca="false">IF(A166="","",A166&amp;"|"&amp;B166)</f>
        <v/>
      </c>
    </row>
    <row r="167" customFormat="false" ht="15" hidden="false" customHeight="false" outlineLevel="0" collapsed="false">
      <c r="A167" s="19"/>
      <c r="B167" s="19"/>
      <c r="C167" s="20"/>
      <c r="D167" s="19"/>
      <c r="E167" s="26" t="str">
        <f aca="false">IF(A167="","",COUNTIFS(Apparitions!$A$2:$A$5001,A167,Apparitions!$B$2:$B$5001,B167))</f>
        <v/>
      </c>
      <c r="F167" s="27" t="str">
        <f aca="false">IF(A167="","",A167&amp;"|"&amp;B167)</f>
        <v/>
      </c>
    </row>
    <row r="168" customFormat="false" ht="15" hidden="false" customHeight="false" outlineLevel="0" collapsed="false">
      <c r="A168" s="19"/>
      <c r="B168" s="19"/>
      <c r="C168" s="20"/>
      <c r="D168" s="19"/>
      <c r="E168" s="26" t="str">
        <f aca="false">IF(A168="","",COUNTIFS(Apparitions!$A$2:$A$5001,A168,Apparitions!$B$2:$B$5001,B168))</f>
        <v/>
      </c>
      <c r="F168" s="27" t="str">
        <f aca="false">IF(A168="","",A168&amp;"|"&amp;B168)</f>
        <v/>
      </c>
    </row>
    <row r="169" customFormat="false" ht="15" hidden="false" customHeight="false" outlineLevel="0" collapsed="false">
      <c r="A169" s="19"/>
      <c r="B169" s="19"/>
      <c r="C169" s="20"/>
      <c r="D169" s="19"/>
      <c r="E169" s="26" t="str">
        <f aca="false">IF(A169="","",COUNTIFS(Apparitions!$A$2:$A$5001,A169,Apparitions!$B$2:$B$5001,B169))</f>
        <v/>
      </c>
      <c r="F169" s="27" t="str">
        <f aca="false">IF(A169="","",A169&amp;"|"&amp;B169)</f>
        <v/>
      </c>
    </row>
    <row r="170" customFormat="false" ht="15" hidden="false" customHeight="false" outlineLevel="0" collapsed="false">
      <c r="A170" s="19"/>
      <c r="B170" s="19"/>
      <c r="C170" s="20"/>
      <c r="D170" s="19"/>
      <c r="E170" s="26" t="str">
        <f aca="false">IF(A170="","",COUNTIFS(Apparitions!$A$2:$A$5001,A170,Apparitions!$B$2:$B$5001,B170))</f>
        <v/>
      </c>
      <c r="F170" s="27" t="str">
        <f aca="false">IF(A170="","",A170&amp;"|"&amp;B170)</f>
        <v/>
      </c>
    </row>
    <row r="171" customFormat="false" ht="15" hidden="false" customHeight="false" outlineLevel="0" collapsed="false">
      <c r="A171" s="19"/>
      <c r="B171" s="19"/>
      <c r="C171" s="20"/>
      <c r="D171" s="19"/>
      <c r="E171" s="26" t="str">
        <f aca="false">IF(A171="","",COUNTIFS(Apparitions!$A$2:$A$5001,A171,Apparitions!$B$2:$B$5001,B171))</f>
        <v/>
      </c>
      <c r="F171" s="27" t="str">
        <f aca="false">IF(A171="","",A171&amp;"|"&amp;B171)</f>
        <v/>
      </c>
    </row>
    <row r="172" customFormat="false" ht="15" hidden="false" customHeight="false" outlineLevel="0" collapsed="false">
      <c r="A172" s="19"/>
      <c r="B172" s="19"/>
      <c r="C172" s="20"/>
      <c r="D172" s="19"/>
      <c r="E172" s="26" t="str">
        <f aca="false">IF(A172="","",COUNTIFS(Apparitions!$A$2:$A$5001,A172,Apparitions!$B$2:$B$5001,B172))</f>
        <v/>
      </c>
      <c r="F172" s="27" t="str">
        <f aca="false">IF(A172="","",A172&amp;"|"&amp;B172)</f>
        <v/>
      </c>
    </row>
    <row r="173" customFormat="false" ht="15" hidden="false" customHeight="false" outlineLevel="0" collapsed="false">
      <c r="A173" s="19"/>
      <c r="B173" s="19"/>
      <c r="C173" s="20"/>
      <c r="D173" s="19"/>
      <c r="E173" s="26" t="str">
        <f aca="false">IF(A173="","",COUNTIFS(Apparitions!$A$2:$A$5001,A173,Apparitions!$B$2:$B$5001,B173))</f>
        <v/>
      </c>
      <c r="F173" s="27" t="str">
        <f aca="false">IF(A173="","",A173&amp;"|"&amp;B173)</f>
        <v/>
      </c>
    </row>
    <row r="174" customFormat="false" ht="15" hidden="false" customHeight="false" outlineLevel="0" collapsed="false">
      <c r="A174" s="19"/>
      <c r="B174" s="19"/>
      <c r="C174" s="20"/>
      <c r="D174" s="19"/>
      <c r="E174" s="26" t="str">
        <f aca="false">IF(A174="","",COUNTIFS(Apparitions!$A$2:$A$5001,A174,Apparitions!$B$2:$B$5001,B174))</f>
        <v/>
      </c>
      <c r="F174" s="27" t="str">
        <f aca="false">IF(A174="","",A174&amp;"|"&amp;B174)</f>
        <v/>
      </c>
    </row>
    <row r="175" customFormat="false" ht="15" hidden="false" customHeight="false" outlineLevel="0" collapsed="false">
      <c r="A175" s="19"/>
      <c r="B175" s="19"/>
      <c r="C175" s="20"/>
      <c r="D175" s="19"/>
      <c r="E175" s="26" t="str">
        <f aca="false">IF(A175="","",COUNTIFS(Apparitions!$A$2:$A$5001,A175,Apparitions!$B$2:$B$5001,B175))</f>
        <v/>
      </c>
      <c r="F175" s="27" t="str">
        <f aca="false">IF(A175="","",A175&amp;"|"&amp;B175)</f>
        <v/>
      </c>
    </row>
    <row r="176" customFormat="false" ht="15" hidden="false" customHeight="false" outlineLevel="0" collapsed="false">
      <c r="A176" s="19"/>
      <c r="B176" s="19"/>
      <c r="C176" s="20"/>
      <c r="D176" s="19"/>
      <c r="E176" s="26" t="str">
        <f aca="false">IF(A176="","",COUNTIFS(Apparitions!$A$2:$A$5001,A176,Apparitions!$B$2:$B$5001,B176))</f>
        <v/>
      </c>
      <c r="F176" s="27" t="str">
        <f aca="false">IF(A176="","",A176&amp;"|"&amp;B176)</f>
        <v/>
      </c>
    </row>
    <row r="177" customFormat="false" ht="15" hidden="false" customHeight="false" outlineLevel="0" collapsed="false">
      <c r="A177" s="19"/>
      <c r="B177" s="19"/>
      <c r="C177" s="20"/>
      <c r="D177" s="19"/>
      <c r="E177" s="26" t="str">
        <f aca="false">IF(A177="","",COUNTIFS(Apparitions!$A$2:$A$5001,A177,Apparitions!$B$2:$B$5001,B177))</f>
        <v/>
      </c>
      <c r="F177" s="27" t="str">
        <f aca="false">IF(A177="","",A177&amp;"|"&amp;B177)</f>
        <v/>
      </c>
    </row>
    <row r="178" customFormat="false" ht="15" hidden="false" customHeight="false" outlineLevel="0" collapsed="false">
      <c r="A178" s="19"/>
      <c r="B178" s="19"/>
      <c r="C178" s="20"/>
      <c r="D178" s="19"/>
      <c r="E178" s="26" t="str">
        <f aca="false">IF(A178="","",COUNTIFS(Apparitions!$A$2:$A$5001,A178,Apparitions!$B$2:$B$5001,B178))</f>
        <v/>
      </c>
      <c r="F178" s="27" t="str">
        <f aca="false">IF(A178="","",A178&amp;"|"&amp;B178)</f>
        <v/>
      </c>
    </row>
    <row r="179" customFormat="false" ht="15" hidden="false" customHeight="false" outlineLevel="0" collapsed="false">
      <c r="A179" s="19"/>
      <c r="B179" s="19"/>
      <c r="C179" s="20"/>
      <c r="D179" s="19"/>
      <c r="E179" s="26" t="str">
        <f aca="false">IF(A179="","",COUNTIFS(Apparitions!$A$2:$A$5001,A179,Apparitions!$B$2:$B$5001,B179))</f>
        <v/>
      </c>
      <c r="F179" s="27" t="str">
        <f aca="false">IF(A179="","",A179&amp;"|"&amp;B179)</f>
        <v/>
      </c>
    </row>
    <row r="180" customFormat="false" ht="15" hidden="false" customHeight="false" outlineLevel="0" collapsed="false">
      <c r="A180" s="19"/>
      <c r="B180" s="19"/>
      <c r="C180" s="20"/>
      <c r="D180" s="19"/>
      <c r="E180" s="26" t="str">
        <f aca="false">IF(A180="","",COUNTIFS(Apparitions!$A$2:$A$5001,A180,Apparitions!$B$2:$B$5001,B180))</f>
        <v/>
      </c>
      <c r="F180" s="27" t="str">
        <f aca="false">IF(A180="","",A180&amp;"|"&amp;B180)</f>
        <v/>
      </c>
    </row>
    <row r="181" customFormat="false" ht="15" hidden="false" customHeight="false" outlineLevel="0" collapsed="false">
      <c r="A181" s="19"/>
      <c r="B181" s="19"/>
      <c r="C181" s="20"/>
      <c r="D181" s="19"/>
      <c r="E181" s="26" t="str">
        <f aca="false">IF(A181="","",COUNTIFS(Apparitions!$A$2:$A$5001,A181,Apparitions!$B$2:$B$5001,B181))</f>
        <v/>
      </c>
      <c r="F181" s="27" t="str">
        <f aca="false">IF(A181="","",A181&amp;"|"&amp;B181)</f>
        <v/>
      </c>
    </row>
    <row r="182" customFormat="false" ht="15" hidden="false" customHeight="false" outlineLevel="0" collapsed="false">
      <c r="A182" s="19"/>
      <c r="B182" s="19"/>
      <c r="C182" s="20"/>
      <c r="D182" s="19"/>
      <c r="E182" s="26" t="str">
        <f aca="false">IF(A182="","",COUNTIFS(Apparitions!$A$2:$A$5001,A182,Apparitions!$B$2:$B$5001,B182))</f>
        <v/>
      </c>
      <c r="F182" s="27" t="str">
        <f aca="false">IF(A182="","",A182&amp;"|"&amp;B182)</f>
        <v/>
      </c>
    </row>
    <row r="183" customFormat="false" ht="15" hidden="false" customHeight="false" outlineLevel="0" collapsed="false">
      <c r="A183" s="19"/>
      <c r="B183" s="19"/>
      <c r="C183" s="20"/>
      <c r="D183" s="19"/>
      <c r="E183" s="26" t="str">
        <f aca="false">IF(A183="","",COUNTIFS(Apparitions!$A$2:$A$5001,A183,Apparitions!$B$2:$B$5001,B183))</f>
        <v/>
      </c>
      <c r="F183" s="27" t="str">
        <f aca="false">IF(A183="","",A183&amp;"|"&amp;B183)</f>
        <v/>
      </c>
    </row>
    <row r="184" customFormat="false" ht="15" hidden="false" customHeight="false" outlineLevel="0" collapsed="false">
      <c r="A184" s="19"/>
      <c r="B184" s="19"/>
      <c r="C184" s="20"/>
      <c r="D184" s="19"/>
      <c r="E184" s="26" t="str">
        <f aca="false">IF(A184="","",COUNTIFS(Apparitions!$A$2:$A$5001,A184,Apparitions!$B$2:$B$5001,B184))</f>
        <v/>
      </c>
      <c r="F184" s="27" t="str">
        <f aca="false">IF(A184="","",A184&amp;"|"&amp;B184)</f>
        <v/>
      </c>
    </row>
    <row r="185" customFormat="false" ht="15" hidden="false" customHeight="false" outlineLevel="0" collapsed="false">
      <c r="A185" s="19"/>
      <c r="B185" s="19"/>
      <c r="C185" s="20"/>
      <c r="D185" s="19"/>
      <c r="E185" s="26" t="str">
        <f aca="false">IF(A185="","",COUNTIFS(Apparitions!$A$2:$A$5001,A185,Apparitions!$B$2:$B$5001,B185))</f>
        <v/>
      </c>
      <c r="F185" s="27" t="str">
        <f aca="false">IF(A185="","",A185&amp;"|"&amp;B185)</f>
        <v/>
      </c>
    </row>
    <row r="186" customFormat="false" ht="15" hidden="false" customHeight="false" outlineLevel="0" collapsed="false">
      <c r="A186" s="19"/>
      <c r="B186" s="19"/>
      <c r="C186" s="20"/>
      <c r="D186" s="19"/>
      <c r="E186" s="26" t="str">
        <f aca="false">IF(A186="","",COUNTIFS(Apparitions!$A$2:$A$5001,A186,Apparitions!$B$2:$B$5001,B186))</f>
        <v/>
      </c>
      <c r="F186" s="27" t="str">
        <f aca="false">IF(A186="","",A186&amp;"|"&amp;B186)</f>
        <v/>
      </c>
    </row>
    <row r="187" customFormat="false" ht="15" hidden="false" customHeight="false" outlineLevel="0" collapsed="false">
      <c r="A187" s="19"/>
      <c r="B187" s="19"/>
      <c r="C187" s="20"/>
      <c r="D187" s="19"/>
      <c r="E187" s="26" t="str">
        <f aca="false">IF(A187="","",COUNTIFS(Apparitions!$A$2:$A$5001,A187,Apparitions!$B$2:$B$5001,B187))</f>
        <v/>
      </c>
      <c r="F187" s="27" t="str">
        <f aca="false">IF(A187="","",A187&amp;"|"&amp;B187)</f>
        <v/>
      </c>
    </row>
    <row r="188" customFormat="false" ht="15" hidden="false" customHeight="false" outlineLevel="0" collapsed="false">
      <c r="A188" s="19"/>
      <c r="B188" s="19"/>
      <c r="C188" s="20"/>
      <c r="D188" s="19"/>
      <c r="E188" s="26" t="str">
        <f aca="false">IF(A188="","",COUNTIFS(Apparitions!$A$2:$A$5001,A188,Apparitions!$B$2:$B$5001,B188))</f>
        <v/>
      </c>
      <c r="F188" s="27" t="str">
        <f aca="false">IF(A188="","",A188&amp;"|"&amp;B188)</f>
        <v/>
      </c>
    </row>
    <row r="189" customFormat="false" ht="15" hidden="false" customHeight="false" outlineLevel="0" collapsed="false">
      <c r="A189" s="19"/>
      <c r="B189" s="19"/>
      <c r="C189" s="20"/>
      <c r="D189" s="19"/>
      <c r="E189" s="26" t="str">
        <f aca="false">IF(A189="","",COUNTIFS(Apparitions!$A$2:$A$5001,A189,Apparitions!$B$2:$B$5001,B189))</f>
        <v/>
      </c>
      <c r="F189" s="27" t="str">
        <f aca="false">IF(A189="","",A189&amp;"|"&amp;B189)</f>
        <v/>
      </c>
    </row>
    <row r="190" customFormat="false" ht="15" hidden="false" customHeight="false" outlineLevel="0" collapsed="false">
      <c r="A190" s="19"/>
      <c r="B190" s="19"/>
      <c r="C190" s="20"/>
      <c r="D190" s="19"/>
      <c r="E190" s="26" t="str">
        <f aca="false">IF(A190="","",COUNTIFS(Apparitions!$A$2:$A$5001,A190,Apparitions!$B$2:$B$5001,B190))</f>
        <v/>
      </c>
      <c r="F190" s="27" t="str">
        <f aca="false">IF(A190="","",A190&amp;"|"&amp;B190)</f>
        <v/>
      </c>
    </row>
    <row r="191" customFormat="false" ht="15" hidden="false" customHeight="false" outlineLevel="0" collapsed="false">
      <c r="A191" s="19"/>
      <c r="B191" s="19"/>
      <c r="C191" s="20"/>
      <c r="D191" s="19"/>
      <c r="E191" s="26" t="str">
        <f aca="false">IF(A191="","",COUNTIFS(Apparitions!$A$2:$A$5001,A191,Apparitions!$B$2:$B$5001,B191))</f>
        <v/>
      </c>
      <c r="F191" s="27" t="str">
        <f aca="false">IF(A191="","",A191&amp;"|"&amp;B191)</f>
        <v/>
      </c>
    </row>
    <row r="192" customFormat="false" ht="15" hidden="false" customHeight="false" outlineLevel="0" collapsed="false">
      <c r="A192" s="19"/>
      <c r="B192" s="19"/>
      <c r="C192" s="20"/>
      <c r="D192" s="19"/>
      <c r="E192" s="26" t="str">
        <f aca="false">IF(A192="","",COUNTIFS(Apparitions!$A$2:$A$5001,A192,Apparitions!$B$2:$B$5001,B192))</f>
        <v/>
      </c>
      <c r="F192" s="27" t="str">
        <f aca="false">IF(A192="","",A192&amp;"|"&amp;B192)</f>
        <v/>
      </c>
    </row>
    <row r="193" customFormat="false" ht="15" hidden="false" customHeight="false" outlineLevel="0" collapsed="false">
      <c r="A193" s="19"/>
      <c r="B193" s="19"/>
      <c r="C193" s="20"/>
      <c r="D193" s="19"/>
      <c r="E193" s="26" t="str">
        <f aca="false">IF(A193="","",COUNTIFS(Apparitions!$A$2:$A$5001,A193,Apparitions!$B$2:$B$5001,B193))</f>
        <v/>
      </c>
      <c r="F193" s="27" t="str">
        <f aca="false">IF(A193="","",A193&amp;"|"&amp;B193)</f>
        <v/>
      </c>
    </row>
    <row r="194" customFormat="false" ht="15" hidden="false" customHeight="false" outlineLevel="0" collapsed="false">
      <c r="A194" s="19"/>
      <c r="B194" s="19"/>
      <c r="C194" s="20"/>
      <c r="D194" s="19"/>
      <c r="E194" s="26" t="str">
        <f aca="false">IF(A194="","",COUNTIFS(Apparitions!$A$2:$A$5001,A194,Apparitions!$B$2:$B$5001,B194))</f>
        <v/>
      </c>
      <c r="F194" s="27" t="str">
        <f aca="false">IF(A194="","",A194&amp;"|"&amp;B194)</f>
        <v/>
      </c>
    </row>
    <row r="195" customFormat="false" ht="15" hidden="false" customHeight="false" outlineLevel="0" collapsed="false">
      <c r="A195" s="19"/>
      <c r="B195" s="19"/>
      <c r="C195" s="20"/>
      <c r="D195" s="19"/>
      <c r="E195" s="26" t="str">
        <f aca="false">IF(A195="","",COUNTIFS(Apparitions!$A$2:$A$5001,A195,Apparitions!$B$2:$B$5001,B195))</f>
        <v/>
      </c>
      <c r="F195" s="27" t="str">
        <f aca="false">IF(A195="","",A195&amp;"|"&amp;B195)</f>
        <v/>
      </c>
    </row>
    <row r="196" customFormat="false" ht="15" hidden="false" customHeight="false" outlineLevel="0" collapsed="false">
      <c r="A196" s="19"/>
      <c r="B196" s="19"/>
      <c r="C196" s="20"/>
      <c r="D196" s="19"/>
      <c r="E196" s="26" t="str">
        <f aca="false">IF(A196="","",COUNTIFS(Apparitions!$A$2:$A$5001,A196,Apparitions!$B$2:$B$5001,B196))</f>
        <v/>
      </c>
      <c r="F196" s="27" t="str">
        <f aca="false">IF(A196="","",A196&amp;"|"&amp;B196)</f>
        <v/>
      </c>
    </row>
    <row r="197" customFormat="false" ht="15" hidden="false" customHeight="false" outlineLevel="0" collapsed="false">
      <c r="A197" s="19"/>
      <c r="B197" s="19"/>
      <c r="C197" s="20"/>
      <c r="D197" s="19"/>
      <c r="E197" s="26" t="str">
        <f aca="false">IF(A197="","",COUNTIFS(Apparitions!$A$2:$A$5001,A197,Apparitions!$B$2:$B$5001,B197))</f>
        <v/>
      </c>
      <c r="F197" s="27" t="str">
        <f aca="false">IF(A197="","",A197&amp;"|"&amp;B197)</f>
        <v/>
      </c>
    </row>
    <row r="198" customFormat="false" ht="15" hidden="false" customHeight="false" outlineLevel="0" collapsed="false">
      <c r="A198" s="19"/>
      <c r="B198" s="19"/>
      <c r="C198" s="20"/>
      <c r="D198" s="19"/>
      <c r="E198" s="26" t="str">
        <f aca="false">IF(A198="","",COUNTIFS(Apparitions!$A$2:$A$5001,A198,Apparitions!$B$2:$B$5001,B198))</f>
        <v/>
      </c>
      <c r="F198" s="27" t="str">
        <f aca="false">IF(A198="","",A198&amp;"|"&amp;B198)</f>
        <v/>
      </c>
    </row>
    <row r="199" customFormat="false" ht="15" hidden="false" customHeight="false" outlineLevel="0" collapsed="false">
      <c r="A199" s="19"/>
      <c r="B199" s="19"/>
      <c r="C199" s="20"/>
      <c r="D199" s="19"/>
      <c r="E199" s="26" t="str">
        <f aca="false">IF(A199="","",COUNTIFS(Apparitions!$A$2:$A$5001,A199,Apparitions!$B$2:$B$5001,B199))</f>
        <v/>
      </c>
      <c r="F199" s="27" t="str">
        <f aca="false">IF(A199="","",A199&amp;"|"&amp;B199)</f>
        <v/>
      </c>
    </row>
    <row r="200" customFormat="false" ht="15" hidden="false" customHeight="false" outlineLevel="0" collapsed="false">
      <c r="A200" s="19"/>
      <c r="B200" s="19"/>
      <c r="C200" s="20"/>
      <c r="D200" s="19"/>
      <c r="E200" s="26" t="str">
        <f aca="false">IF(A200="","",COUNTIFS(Apparitions!$A$2:$A$5001,A200,Apparitions!$B$2:$B$5001,B200))</f>
        <v/>
      </c>
      <c r="F200" s="27" t="str">
        <f aca="false">IF(A200="","",A200&amp;"|"&amp;B200)</f>
        <v/>
      </c>
    </row>
    <row r="201" customFormat="false" ht="15" hidden="false" customHeight="false" outlineLevel="0" collapsed="false">
      <c r="A201" s="19"/>
      <c r="B201" s="19"/>
      <c r="C201" s="20"/>
      <c r="D201" s="19"/>
      <c r="E201" s="26" t="str">
        <f aca="false">IF(A201="","",COUNTIFS(Apparitions!$A$2:$A$5001,A201,Apparitions!$B$2:$B$5001,B201))</f>
        <v/>
      </c>
      <c r="F201" s="27" t="str">
        <f aca="false">IF(A201="","",A201&amp;"|"&amp;B201)</f>
        <v/>
      </c>
    </row>
    <row r="202" customFormat="false" ht="15" hidden="false" customHeight="false" outlineLevel="0" collapsed="false">
      <c r="A202" s="19"/>
      <c r="B202" s="19"/>
      <c r="C202" s="20"/>
      <c r="D202" s="19"/>
      <c r="E202" s="26" t="str">
        <f aca="false">IF(A202="","",COUNTIFS(Apparitions!$A$2:$A$5001,A202,Apparitions!$B$2:$B$5001,B202))</f>
        <v/>
      </c>
      <c r="F202" s="27" t="str">
        <f aca="false">IF(A202="","",A202&amp;"|"&amp;B202)</f>
        <v/>
      </c>
    </row>
    <row r="203" customFormat="false" ht="15" hidden="false" customHeight="false" outlineLevel="0" collapsed="false">
      <c r="A203" s="19"/>
      <c r="B203" s="19"/>
      <c r="C203" s="20"/>
      <c r="D203" s="19"/>
      <c r="E203" s="26" t="str">
        <f aca="false">IF(A203="","",COUNTIFS(Apparitions!$A$2:$A$5001,A203,Apparitions!$B$2:$B$5001,B203))</f>
        <v/>
      </c>
      <c r="F203" s="27" t="str">
        <f aca="false">IF(A203="","",A203&amp;"|"&amp;B203)</f>
        <v/>
      </c>
    </row>
    <row r="204" customFormat="false" ht="15" hidden="false" customHeight="false" outlineLevel="0" collapsed="false">
      <c r="A204" s="19"/>
      <c r="B204" s="19"/>
      <c r="C204" s="20"/>
      <c r="D204" s="19"/>
      <c r="E204" s="26" t="str">
        <f aca="false">IF(A204="","",COUNTIFS(Apparitions!$A$2:$A$5001,A204,Apparitions!$B$2:$B$5001,B204))</f>
        <v/>
      </c>
      <c r="F204" s="27" t="str">
        <f aca="false">IF(A204="","",A204&amp;"|"&amp;B204)</f>
        <v/>
      </c>
    </row>
    <row r="205" customFormat="false" ht="15" hidden="false" customHeight="false" outlineLevel="0" collapsed="false">
      <c r="A205" s="19"/>
      <c r="B205" s="19"/>
      <c r="C205" s="20"/>
      <c r="D205" s="19"/>
      <c r="E205" s="26" t="str">
        <f aca="false">IF(A205="","",COUNTIFS(Apparitions!$A$2:$A$5001,A205,Apparitions!$B$2:$B$5001,B205))</f>
        <v/>
      </c>
      <c r="F205" s="27" t="str">
        <f aca="false">IF(A205="","",A205&amp;"|"&amp;B205)</f>
        <v/>
      </c>
    </row>
    <row r="206" customFormat="false" ht="15" hidden="false" customHeight="false" outlineLevel="0" collapsed="false">
      <c r="A206" s="19"/>
      <c r="B206" s="19"/>
      <c r="C206" s="20"/>
      <c r="D206" s="19"/>
      <c r="E206" s="26" t="str">
        <f aca="false">IF(A206="","",COUNTIFS(Apparitions!$A$2:$A$5001,A206,Apparitions!$B$2:$B$5001,B206))</f>
        <v/>
      </c>
      <c r="F206" s="27" t="str">
        <f aca="false">IF(A206="","",A206&amp;"|"&amp;B206)</f>
        <v/>
      </c>
    </row>
    <row r="207" customFormat="false" ht="15" hidden="false" customHeight="false" outlineLevel="0" collapsed="false">
      <c r="A207" s="19"/>
      <c r="B207" s="19"/>
      <c r="C207" s="20"/>
      <c r="D207" s="19"/>
      <c r="E207" s="26" t="str">
        <f aca="false">IF(A207="","",COUNTIFS(Apparitions!$A$2:$A$5001,A207,Apparitions!$B$2:$B$5001,B207))</f>
        <v/>
      </c>
      <c r="F207" s="27" t="str">
        <f aca="false">IF(A207="","",A207&amp;"|"&amp;B207)</f>
        <v/>
      </c>
    </row>
    <row r="208" customFormat="false" ht="15" hidden="false" customHeight="false" outlineLevel="0" collapsed="false">
      <c r="A208" s="19"/>
      <c r="B208" s="19"/>
      <c r="C208" s="20"/>
      <c r="D208" s="19"/>
      <c r="E208" s="26" t="str">
        <f aca="false">IF(A208="","",COUNTIFS(Apparitions!$A$2:$A$5001,A208,Apparitions!$B$2:$B$5001,B208))</f>
        <v/>
      </c>
      <c r="F208" s="27" t="str">
        <f aca="false">IF(A208="","",A208&amp;"|"&amp;B208)</f>
        <v/>
      </c>
    </row>
    <row r="209" customFormat="false" ht="15" hidden="false" customHeight="false" outlineLevel="0" collapsed="false">
      <c r="A209" s="19"/>
      <c r="B209" s="19"/>
      <c r="C209" s="20"/>
      <c r="D209" s="19"/>
      <c r="E209" s="26" t="str">
        <f aca="false">IF(A209="","",COUNTIFS(Apparitions!$A$2:$A$5001,A209,Apparitions!$B$2:$B$5001,B209))</f>
        <v/>
      </c>
      <c r="F209" s="27" t="str">
        <f aca="false">IF(A209="","",A209&amp;"|"&amp;B209)</f>
        <v/>
      </c>
    </row>
    <row r="210" customFormat="false" ht="15" hidden="false" customHeight="false" outlineLevel="0" collapsed="false">
      <c r="A210" s="19"/>
      <c r="B210" s="19"/>
      <c r="C210" s="20"/>
      <c r="D210" s="19"/>
      <c r="E210" s="26" t="str">
        <f aca="false">IF(A210="","",COUNTIFS(Apparitions!$A$2:$A$5001,A210,Apparitions!$B$2:$B$5001,B210))</f>
        <v/>
      </c>
      <c r="F210" s="27" t="str">
        <f aca="false">IF(A210="","",A210&amp;"|"&amp;B210)</f>
        <v/>
      </c>
    </row>
    <row r="211" customFormat="false" ht="15" hidden="false" customHeight="false" outlineLevel="0" collapsed="false">
      <c r="A211" s="19"/>
      <c r="B211" s="19"/>
      <c r="C211" s="20"/>
      <c r="D211" s="19"/>
      <c r="E211" s="26" t="str">
        <f aca="false">IF(A211="","",COUNTIFS(Apparitions!$A$2:$A$5001,A211,Apparitions!$B$2:$B$5001,B211))</f>
        <v/>
      </c>
      <c r="F211" s="27" t="str">
        <f aca="false">IF(A211="","",A211&amp;"|"&amp;B211)</f>
        <v/>
      </c>
    </row>
    <row r="212" customFormat="false" ht="15" hidden="false" customHeight="false" outlineLevel="0" collapsed="false">
      <c r="A212" s="19"/>
      <c r="B212" s="19"/>
      <c r="C212" s="20"/>
      <c r="D212" s="19"/>
      <c r="E212" s="26" t="str">
        <f aca="false">IF(A212="","",COUNTIFS(Apparitions!$A$2:$A$5001,A212,Apparitions!$B$2:$B$5001,B212))</f>
        <v/>
      </c>
      <c r="F212" s="27" t="str">
        <f aca="false">IF(A212="","",A212&amp;"|"&amp;B212)</f>
        <v/>
      </c>
    </row>
    <row r="213" customFormat="false" ht="15" hidden="false" customHeight="false" outlineLevel="0" collapsed="false">
      <c r="A213" s="19"/>
      <c r="B213" s="19"/>
      <c r="C213" s="20"/>
      <c r="D213" s="19"/>
      <c r="E213" s="26" t="str">
        <f aca="false">IF(A213="","",COUNTIFS(Apparitions!$A$2:$A$5001,A213,Apparitions!$B$2:$B$5001,B213))</f>
        <v/>
      </c>
      <c r="F213" s="27" t="str">
        <f aca="false">IF(A213="","",A213&amp;"|"&amp;B213)</f>
        <v/>
      </c>
    </row>
    <row r="214" customFormat="false" ht="15" hidden="false" customHeight="false" outlineLevel="0" collapsed="false">
      <c r="A214" s="19"/>
      <c r="B214" s="19"/>
      <c r="C214" s="20"/>
      <c r="D214" s="19"/>
      <c r="E214" s="26" t="str">
        <f aca="false">IF(A214="","",COUNTIFS(Apparitions!$A$2:$A$5001,A214,Apparitions!$B$2:$B$5001,B214))</f>
        <v/>
      </c>
      <c r="F214" s="27" t="str">
        <f aca="false">IF(A214="","",A214&amp;"|"&amp;B214)</f>
        <v/>
      </c>
    </row>
    <row r="215" customFormat="false" ht="15" hidden="false" customHeight="false" outlineLevel="0" collapsed="false">
      <c r="A215" s="19"/>
      <c r="B215" s="19"/>
      <c r="C215" s="20"/>
      <c r="D215" s="19"/>
      <c r="E215" s="26" t="str">
        <f aca="false">IF(A215="","",COUNTIFS(Apparitions!$A$2:$A$5001,A215,Apparitions!$B$2:$B$5001,B215))</f>
        <v/>
      </c>
      <c r="F215" s="27" t="str">
        <f aca="false">IF(A215="","",A215&amp;"|"&amp;B215)</f>
        <v/>
      </c>
    </row>
    <row r="216" customFormat="false" ht="15" hidden="false" customHeight="false" outlineLevel="0" collapsed="false">
      <c r="A216" s="19"/>
      <c r="B216" s="19"/>
      <c r="C216" s="20"/>
      <c r="D216" s="19"/>
      <c r="E216" s="26" t="str">
        <f aca="false">IF(A216="","",COUNTIFS(Apparitions!$A$2:$A$5001,A216,Apparitions!$B$2:$B$5001,B216))</f>
        <v/>
      </c>
      <c r="F216" s="27" t="str">
        <f aca="false">IF(A216="","",A216&amp;"|"&amp;B216)</f>
        <v/>
      </c>
    </row>
    <row r="217" customFormat="false" ht="15" hidden="false" customHeight="false" outlineLevel="0" collapsed="false">
      <c r="A217" s="19"/>
      <c r="B217" s="19"/>
      <c r="C217" s="20"/>
      <c r="D217" s="19"/>
      <c r="E217" s="26" t="str">
        <f aca="false">IF(A217="","",COUNTIFS(Apparitions!$A$2:$A$5001,A217,Apparitions!$B$2:$B$5001,B217))</f>
        <v/>
      </c>
      <c r="F217" s="27" t="str">
        <f aca="false">IF(A217="","",A217&amp;"|"&amp;B217)</f>
        <v/>
      </c>
    </row>
    <row r="218" customFormat="false" ht="15" hidden="false" customHeight="false" outlineLevel="0" collapsed="false">
      <c r="A218" s="19"/>
      <c r="B218" s="19"/>
      <c r="C218" s="20"/>
      <c r="D218" s="19"/>
      <c r="E218" s="26" t="str">
        <f aca="false">IF(A218="","",COUNTIFS(Apparitions!$A$2:$A$5001,A218,Apparitions!$B$2:$B$5001,B218))</f>
        <v/>
      </c>
      <c r="F218" s="27" t="str">
        <f aca="false">IF(A218="","",A218&amp;"|"&amp;B218)</f>
        <v/>
      </c>
    </row>
    <row r="219" customFormat="false" ht="15" hidden="false" customHeight="false" outlineLevel="0" collapsed="false">
      <c r="A219" s="19"/>
      <c r="B219" s="19"/>
      <c r="C219" s="20"/>
      <c r="D219" s="19"/>
      <c r="E219" s="26" t="str">
        <f aca="false">IF(A219="","",COUNTIFS(Apparitions!$A$2:$A$5001,A219,Apparitions!$B$2:$B$5001,B219))</f>
        <v/>
      </c>
      <c r="F219" s="27" t="str">
        <f aca="false">IF(A219="","",A219&amp;"|"&amp;B219)</f>
        <v/>
      </c>
    </row>
    <row r="220" customFormat="false" ht="15" hidden="false" customHeight="false" outlineLevel="0" collapsed="false">
      <c r="A220" s="19"/>
      <c r="B220" s="19"/>
      <c r="C220" s="20"/>
      <c r="D220" s="19"/>
      <c r="E220" s="26" t="str">
        <f aca="false">IF(A220="","",COUNTIFS(Apparitions!$A$2:$A$5001,A220,Apparitions!$B$2:$B$5001,B220))</f>
        <v/>
      </c>
      <c r="F220" s="27" t="str">
        <f aca="false">IF(A220="","",A220&amp;"|"&amp;B220)</f>
        <v/>
      </c>
    </row>
    <row r="221" customFormat="false" ht="15" hidden="false" customHeight="false" outlineLevel="0" collapsed="false">
      <c r="A221" s="19"/>
      <c r="B221" s="19"/>
      <c r="C221" s="20"/>
      <c r="D221" s="19"/>
      <c r="E221" s="26" t="str">
        <f aca="false">IF(A221="","",COUNTIFS(Apparitions!$A$2:$A$5001,A221,Apparitions!$B$2:$B$5001,B221))</f>
        <v/>
      </c>
      <c r="F221" s="27" t="str">
        <f aca="false">IF(A221="","",A221&amp;"|"&amp;B221)</f>
        <v/>
      </c>
    </row>
    <row r="222" customFormat="false" ht="15" hidden="false" customHeight="false" outlineLevel="0" collapsed="false">
      <c r="A222" s="19"/>
      <c r="B222" s="19"/>
      <c r="C222" s="20"/>
      <c r="D222" s="19"/>
      <c r="E222" s="26" t="str">
        <f aca="false">IF(A222="","",COUNTIFS(Apparitions!$A$2:$A$5001,A222,Apparitions!$B$2:$B$5001,B222))</f>
        <v/>
      </c>
      <c r="F222" s="27" t="str">
        <f aca="false">IF(A222="","",A222&amp;"|"&amp;B222)</f>
        <v/>
      </c>
    </row>
    <row r="223" customFormat="false" ht="15" hidden="false" customHeight="false" outlineLevel="0" collapsed="false">
      <c r="A223" s="19"/>
      <c r="B223" s="19"/>
      <c r="C223" s="20"/>
      <c r="D223" s="19"/>
      <c r="E223" s="26" t="str">
        <f aca="false">IF(A223="","",COUNTIFS(Apparitions!$A$2:$A$5001,A223,Apparitions!$B$2:$B$5001,B223))</f>
        <v/>
      </c>
      <c r="F223" s="27" t="str">
        <f aca="false">IF(A223="","",A223&amp;"|"&amp;B223)</f>
        <v/>
      </c>
    </row>
    <row r="224" customFormat="false" ht="15" hidden="false" customHeight="false" outlineLevel="0" collapsed="false">
      <c r="A224" s="19"/>
      <c r="B224" s="19"/>
      <c r="C224" s="20"/>
      <c r="D224" s="19"/>
      <c r="E224" s="26" t="str">
        <f aca="false">IF(A224="","",COUNTIFS(Apparitions!$A$2:$A$5001,A224,Apparitions!$B$2:$B$5001,B224))</f>
        <v/>
      </c>
      <c r="F224" s="27" t="str">
        <f aca="false">IF(A224="","",A224&amp;"|"&amp;B224)</f>
        <v/>
      </c>
    </row>
    <row r="225" customFormat="false" ht="15" hidden="false" customHeight="false" outlineLevel="0" collapsed="false">
      <c r="A225" s="19"/>
      <c r="B225" s="19"/>
      <c r="C225" s="20"/>
      <c r="D225" s="19"/>
      <c r="E225" s="26" t="str">
        <f aca="false">IF(A225="","",COUNTIFS(Apparitions!$A$2:$A$5001,A225,Apparitions!$B$2:$B$5001,B225))</f>
        <v/>
      </c>
      <c r="F225" s="27" t="str">
        <f aca="false">IF(A225="","",A225&amp;"|"&amp;B225)</f>
        <v/>
      </c>
    </row>
    <row r="226" customFormat="false" ht="15" hidden="false" customHeight="false" outlineLevel="0" collapsed="false">
      <c r="A226" s="19"/>
      <c r="B226" s="19"/>
      <c r="C226" s="20"/>
      <c r="D226" s="19"/>
      <c r="E226" s="26" t="str">
        <f aca="false">IF(A226="","",COUNTIFS(Apparitions!$A$2:$A$5001,A226,Apparitions!$B$2:$B$5001,B226))</f>
        <v/>
      </c>
      <c r="F226" s="27" t="str">
        <f aca="false">IF(A226="","",A226&amp;"|"&amp;B226)</f>
        <v/>
      </c>
    </row>
    <row r="227" customFormat="false" ht="15" hidden="false" customHeight="false" outlineLevel="0" collapsed="false">
      <c r="A227" s="19"/>
      <c r="B227" s="19"/>
      <c r="C227" s="20"/>
      <c r="D227" s="19"/>
      <c r="E227" s="26" t="str">
        <f aca="false">IF(A227="","",COUNTIFS(Apparitions!$A$2:$A$5001,A227,Apparitions!$B$2:$B$5001,B227))</f>
        <v/>
      </c>
      <c r="F227" s="27" t="str">
        <f aca="false">IF(A227="","",A227&amp;"|"&amp;B227)</f>
        <v/>
      </c>
    </row>
    <row r="228" customFormat="false" ht="15" hidden="false" customHeight="false" outlineLevel="0" collapsed="false">
      <c r="A228" s="19"/>
      <c r="B228" s="19"/>
      <c r="C228" s="20"/>
      <c r="D228" s="19"/>
      <c r="E228" s="26" t="str">
        <f aca="false">IF(A228="","",COUNTIFS(Apparitions!$A$2:$A$5001,A228,Apparitions!$B$2:$B$5001,B228))</f>
        <v/>
      </c>
      <c r="F228" s="27" t="str">
        <f aca="false">IF(A228="","",A228&amp;"|"&amp;B228)</f>
        <v/>
      </c>
    </row>
    <row r="229" customFormat="false" ht="15" hidden="false" customHeight="false" outlineLevel="0" collapsed="false">
      <c r="A229" s="19"/>
      <c r="B229" s="19"/>
      <c r="C229" s="20"/>
      <c r="D229" s="19"/>
      <c r="E229" s="26" t="str">
        <f aca="false">IF(A229="","",COUNTIFS(Apparitions!$A$2:$A$5001,A229,Apparitions!$B$2:$B$5001,B229))</f>
        <v/>
      </c>
      <c r="F229" s="27" t="str">
        <f aca="false">IF(A229="","",A229&amp;"|"&amp;B229)</f>
        <v/>
      </c>
    </row>
    <row r="230" customFormat="false" ht="15" hidden="false" customHeight="false" outlineLevel="0" collapsed="false">
      <c r="A230" s="19"/>
      <c r="B230" s="19"/>
      <c r="C230" s="20"/>
      <c r="D230" s="19"/>
      <c r="E230" s="26" t="str">
        <f aca="false">IF(A230="","",COUNTIFS(Apparitions!$A$2:$A$5001,A230,Apparitions!$B$2:$B$5001,B230))</f>
        <v/>
      </c>
      <c r="F230" s="27" t="str">
        <f aca="false">IF(A230="","",A230&amp;"|"&amp;B230)</f>
        <v/>
      </c>
    </row>
    <row r="231" customFormat="false" ht="15" hidden="false" customHeight="false" outlineLevel="0" collapsed="false">
      <c r="A231" s="19"/>
      <c r="B231" s="19"/>
      <c r="C231" s="20"/>
      <c r="D231" s="19"/>
      <c r="E231" s="26" t="str">
        <f aca="false">IF(A231="","",COUNTIFS(Apparitions!$A$2:$A$5001,A231,Apparitions!$B$2:$B$5001,B231))</f>
        <v/>
      </c>
      <c r="F231" s="27" t="str">
        <f aca="false">IF(A231="","",A231&amp;"|"&amp;B231)</f>
        <v/>
      </c>
    </row>
    <row r="232" customFormat="false" ht="15" hidden="false" customHeight="false" outlineLevel="0" collapsed="false">
      <c r="A232" s="19"/>
      <c r="B232" s="19"/>
      <c r="C232" s="20"/>
      <c r="D232" s="19"/>
      <c r="E232" s="26" t="str">
        <f aca="false">IF(A232="","",COUNTIFS(Apparitions!$A$2:$A$5001,A232,Apparitions!$B$2:$B$5001,B232))</f>
        <v/>
      </c>
      <c r="F232" s="27" t="str">
        <f aca="false">IF(A232="","",A232&amp;"|"&amp;B232)</f>
        <v/>
      </c>
    </row>
    <row r="233" customFormat="false" ht="15" hidden="false" customHeight="false" outlineLevel="0" collapsed="false">
      <c r="A233" s="19"/>
      <c r="B233" s="19"/>
      <c r="C233" s="20"/>
      <c r="D233" s="19"/>
      <c r="E233" s="26" t="str">
        <f aca="false">IF(A233="","",COUNTIFS(Apparitions!$A$2:$A$5001,A233,Apparitions!$B$2:$B$5001,B233))</f>
        <v/>
      </c>
      <c r="F233" s="27" t="str">
        <f aca="false">IF(A233="","",A233&amp;"|"&amp;B233)</f>
        <v/>
      </c>
    </row>
    <row r="234" customFormat="false" ht="15" hidden="false" customHeight="false" outlineLevel="0" collapsed="false">
      <c r="A234" s="19"/>
      <c r="B234" s="19"/>
      <c r="C234" s="20"/>
      <c r="D234" s="19"/>
      <c r="E234" s="26" t="str">
        <f aca="false">IF(A234="","",COUNTIFS(Apparitions!$A$2:$A$5001,A234,Apparitions!$B$2:$B$5001,B234))</f>
        <v/>
      </c>
      <c r="F234" s="27" t="str">
        <f aca="false">IF(A234="","",A234&amp;"|"&amp;B234)</f>
        <v/>
      </c>
    </row>
    <row r="235" customFormat="false" ht="15" hidden="false" customHeight="false" outlineLevel="0" collapsed="false">
      <c r="A235" s="19"/>
      <c r="B235" s="19"/>
      <c r="C235" s="20"/>
      <c r="D235" s="19"/>
      <c r="E235" s="26" t="str">
        <f aca="false">IF(A235="","",COUNTIFS(Apparitions!$A$2:$A$5001,A235,Apparitions!$B$2:$B$5001,B235))</f>
        <v/>
      </c>
      <c r="F235" s="27" t="str">
        <f aca="false">IF(A235="","",A235&amp;"|"&amp;B235)</f>
        <v/>
      </c>
    </row>
    <row r="236" customFormat="false" ht="15" hidden="false" customHeight="false" outlineLevel="0" collapsed="false">
      <c r="A236" s="19"/>
      <c r="B236" s="19"/>
      <c r="C236" s="20"/>
      <c r="D236" s="19"/>
      <c r="E236" s="26" t="str">
        <f aca="false">IF(A236="","",COUNTIFS(Apparitions!$A$2:$A$5001,A236,Apparitions!$B$2:$B$5001,B236))</f>
        <v/>
      </c>
      <c r="F236" s="27" t="str">
        <f aca="false">IF(A236="","",A236&amp;"|"&amp;B236)</f>
        <v/>
      </c>
    </row>
    <row r="237" customFormat="false" ht="15" hidden="false" customHeight="false" outlineLevel="0" collapsed="false">
      <c r="A237" s="19"/>
      <c r="B237" s="19"/>
      <c r="C237" s="20"/>
      <c r="D237" s="19"/>
      <c r="E237" s="26" t="str">
        <f aca="false">IF(A237="","",COUNTIFS(Apparitions!$A$2:$A$5001,A237,Apparitions!$B$2:$B$5001,B237))</f>
        <v/>
      </c>
      <c r="F237" s="27" t="str">
        <f aca="false">IF(A237="","",A237&amp;"|"&amp;B237)</f>
        <v/>
      </c>
    </row>
    <row r="238" customFormat="false" ht="15" hidden="false" customHeight="false" outlineLevel="0" collapsed="false">
      <c r="A238" s="19"/>
      <c r="B238" s="19"/>
      <c r="C238" s="20"/>
      <c r="D238" s="19"/>
      <c r="E238" s="26" t="str">
        <f aca="false">IF(A238="","",COUNTIFS(Apparitions!$A$2:$A$5001,A238,Apparitions!$B$2:$B$5001,B238))</f>
        <v/>
      </c>
      <c r="F238" s="27" t="str">
        <f aca="false">IF(A238="","",A238&amp;"|"&amp;B238)</f>
        <v/>
      </c>
    </row>
    <row r="239" customFormat="false" ht="15" hidden="false" customHeight="false" outlineLevel="0" collapsed="false">
      <c r="A239" s="19"/>
      <c r="B239" s="19"/>
      <c r="C239" s="20"/>
      <c r="D239" s="19"/>
      <c r="E239" s="26" t="str">
        <f aca="false">IF(A239="","",COUNTIFS(Apparitions!$A$2:$A$5001,A239,Apparitions!$B$2:$B$5001,B239))</f>
        <v/>
      </c>
      <c r="F239" s="27" t="str">
        <f aca="false">IF(A239="","",A239&amp;"|"&amp;B239)</f>
        <v/>
      </c>
    </row>
    <row r="240" customFormat="false" ht="15" hidden="false" customHeight="false" outlineLevel="0" collapsed="false">
      <c r="A240" s="19"/>
      <c r="B240" s="19"/>
      <c r="C240" s="20"/>
      <c r="D240" s="19"/>
      <c r="E240" s="26" t="str">
        <f aca="false">IF(A240="","",COUNTIFS(Apparitions!$A$2:$A$5001,A240,Apparitions!$B$2:$B$5001,B240))</f>
        <v/>
      </c>
      <c r="F240" s="27" t="str">
        <f aca="false">IF(A240="","",A240&amp;"|"&amp;B240)</f>
        <v/>
      </c>
    </row>
    <row r="241" customFormat="false" ht="15" hidden="false" customHeight="false" outlineLevel="0" collapsed="false">
      <c r="A241" s="19"/>
      <c r="B241" s="19"/>
      <c r="C241" s="20"/>
      <c r="D241" s="19"/>
      <c r="E241" s="26" t="str">
        <f aca="false">IF(A241="","",COUNTIFS(Apparitions!$A$2:$A$5001,A241,Apparitions!$B$2:$B$5001,B241))</f>
        <v/>
      </c>
      <c r="F241" s="27" t="str">
        <f aca="false">IF(A241="","",A241&amp;"|"&amp;B241)</f>
        <v/>
      </c>
    </row>
    <row r="242" customFormat="false" ht="15" hidden="false" customHeight="false" outlineLevel="0" collapsed="false">
      <c r="A242" s="19"/>
      <c r="B242" s="19"/>
      <c r="C242" s="20"/>
      <c r="D242" s="19"/>
      <c r="E242" s="26" t="str">
        <f aca="false">IF(A242="","",COUNTIFS(Apparitions!$A$2:$A$5001,A242,Apparitions!$B$2:$B$5001,B242))</f>
        <v/>
      </c>
      <c r="F242" s="27" t="str">
        <f aca="false">IF(A242="","",A242&amp;"|"&amp;B242)</f>
        <v/>
      </c>
    </row>
    <row r="243" customFormat="false" ht="15" hidden="false" customHeight="false" outlineLevel="0" collapsed="false">
      <c r="A243" s="19"/>
      <c r="B243" s="19"/>
      <c r="C243" s="20"/>
      <c r="D243" s="19"/>
      <c r="E243" s="26" t="str">
        <f aca="false">IF(A243="","",COUNTIFS(Apparitions!$A$2:$A$5001,A243,Apparitions!$B$2:$B$5001,B243))</f>
        <v/>
      </c>
      <c r="F243" s="27" t="str">
        <f aca="false">IF(A243="","",A243&amp;"|"&amp;B243)</f>
        <v/>
      </c>
    </row>
    <row r="244" customFormat="false" ht="15" hidden="false" customHeight="false" outlineLevel="0" collapsed="false">
      <c r="A244" s="19"/>
      <c r="B244" s="19"/>
      <c r="C244" s="20"/>
      <c r="D244" s="19"/>
      <c r="E244" s="26" t="str">
        <f aca="false">IF(A244="","",COUNTIFS(Apparitions!$A$2:$A$5001,A244,Apparitions!$B$2:$B$5001,B244))</f>
        <v/>
      </c>
      <c r="F244" s="27" t="str">
        <f aca="false">IF(A244="","",A244&amp;"|"&amp;B244)</f>
        <v/>
      </c>
    </row>
    <row r="245" customFormat="false" ht="15" hidden="false" customHeight="false" outlineLevel="0" collapsed="false">
      <c r="A245" s="19"/>
      <c r="B245" s="19"/>
      <c r="C245" s="20"/>
      <c r="D245" s="19"/>
      <c r="E245" s="26" t="str">
        <f aca="false">IF(A245="","",COUNTIFS(Apparitions!$A$2:$A$5001,A245,Apparitions!$B$2:$B$5001,B245))</f>
        <v/>
      </c>
      <c r="F245" s="27" t="str">
        <f aca="false">IF(A245="","",A245&amp;"|"&amp;B245)</f>
        <v/>
      </c>
    </row>
    <row r="246" customFormat="false" ht="15" hidden="false" customHeight="false" outlineLevel="0" collapsed="false">
      <c r="A246" s="19"/>
      <c r="B246" s="19"/>
      <c r="C246" s="20"/>
      <c r="D246" s="19"/>
      <c r="E246" s="26" t="str">
        <f aca="false">IF(A246="","",COUNTIFS(Apparitions!$A$2:$A$5001,A246,Apparitions!$B$2:$B$5001,B246))</f>
        <v/>
      </c>
      <c r="F246" s="27" t="str">
        <f aca="false">IF(A246="","",A246&amp;"|"&amp;B246)</f>
        <v/>
      </c>
    </row>
    <row r="247" customFormat="false" ht="15" hidden="false" customHeight="false" outlineLevel="0" collapsed="false">
      <c r="A247" s="19"/>
      <c r="B247" s="19"/>
      <c r="C247" s="20"/>
      <c r="D247" s="19"/>
      <c r="E247" s="26" t="str">
        <f aca="false">IF(A247="","",COUNTIFS(Apparitions!$A$2:$A$5001,A247,Apparitions!$B$2:$B$5001,B247))</f>
        <v/>
      </c>
      <c r="F247" s="27" t="str">
        <f aca="false">IF(A247="","",A247&amp;"|"&amp;B247)</f>
        <v/>
      </c>
    </row>
    <row r="248" customFormat="false" ht="15" hidden="false" customHeight="false" outlineLevel="0" collapsed="false">
      <c r="A248" s="19"/>
      <c r="B248" s="19"/>
      <c r="C248" s="20"/>
      <c r="D248" s="19"/>
      <c r="E248" s="26" t="str">
        <f aca="false">IF(A248="","",COUNTIFS(Apparitions!$A$2:$A$5001,A248,Apparitions!$B$2:$B$5001,B248))</f>
        <v/>
      </c>
      <c r="F248" s="27" t="str">
        <f aca="false">IF(A248="","",A248&amp;"|"&amp;B248)</f>
        <v/>
      </c>
    </row>
    <row r="249" customFormat="false" ht="15" hidden="false" customHeight="false" outlineLevel="0" collapsed="false">
      <c r="A249" s="19"/>
      <c r="B249" s="19"/>
      <c r="C249" s="20"/>
      <c r="D249" s="19"/>
      <c r="E249" s="26" t="str">
        <f aca="false">IF(A249="","",COUNTIFS(Apparitions!$A$2:$A$5001,A249,Apparitions!$B$2:$B$5001,B249))</f>
        <v/>
      </c>
      <c r="F249" s="27" t="str">
        <f aca="false">IF(A249="","",A249&amp;"|"&amp;B249)</f>
        <v/>
      </c>
    </row>
    <row r="250" customFormat="false" ht="15" hidden="false" customHeight="false" outlineLevel="0" collapsed="false">
      <c r="A250" s="19"/>
      <c r="B250" s="19"/>
      <c r="C250" s="20"/>
      <c r="D250" s="19"/>
      <c r="E250" s="26" t="str">
        <f aca="false">IF(A250="","",COUNTIFS(Apparitions!$A$2:$A$5001,A250,Apparitions!$B$2:$B$5001,B250))</f>
        <v/>
      </c>
      <c r="F250" s="27" t="str">
        <f aca="false">IF(A250="","",A250&amp;"|"&amp;B250)</f>
        <v/>
      </c>
    </row>
    <row r="251" customFormat="false" ht="15" hidden="false" customHeight="false" outlineLevel="0" collapsed="false">
      <c r="A251" s="19"/>
      <c r="B251" s="19"/>
      <c r="C251" s="20"/>
      <c r="D251" s="19"/>
      <c r="E251" s="26" t="str">
        <f aca="false">IF(A251="","",COUNTIFS(Apparitions!$A$2:$A$5001,A251,Apparitions!$B$2:$B$5001,B251))</f>
        <v/>
      </c>
      <c r="F251" s="27" t="str">
        <f aca="false">IF(A251="","",A251&amp;"|"&amp;B251)</f>
        <v/>
      </c>
    </row>
    <row r="252" customFormat="false" ht="15" hidden="false" customHeight="false" outlineLevel="0" collapsed="false">
      <c r="A252" s="19"/>
      <c r="B252" s="19"/>
      <c r="C252" s="20"/>
      <c r="D252" s="19"/>
      <c r="E252" s="26" t="str">
        <f aca="false">IF(A252="","",COUNTIFS(Apparitions!$A$2:$A$5001,A252,Apparitions!$B$2:$B$5001,B252))</f>
        <v/>
      </c>
      <c r="F252" s="27" t="str">
        <f aca="false">IF(A252="","",A252&amp;"|"&amp;B252)</f>
        <v/>
      </c>
    </row>
    <row r="253" customFormat="false" ht="15" hidden="false" customHeight="false" outlineLevel="0" collapsed="false">
      <c r="A253" s="19"/>
      <c r="B253" s="19"/>
      <c r="C253" s="20"/>
      <c r="D253" s="19"/>
      <c r="E253" s="26" t="str">
        <f aca="false">IF(A253="","",COUNTIFS(Apparitions!$A$2:$A$5001,A253,Apparitions!$B$2:$B$5001,B253))</f>
        <v/>
      </c>
      <c r="F253" s="27" t="str">
        <f aca="false">IF(A253="","",A253&amp;"|"&amp;B253)</f>
        <v/>
      </c>
    </row>
    <row r="254" customFormat="false" ht="15" hidden="false" customHeight="false" outlineLevel="0" collapsed="false">
      <c r="A254" s="19"/>
      <c r="B254" s="19"/>
      <c r="C254" s="20"/>
      <c r="D254" s="19"/>
      <c r="E254" s="26" t="str">
        <f aca="false">IF(A254="","",COUNTIFS(Apparitions!$A$2:$A$5001,A254,Apparitions!$B$2:$B$5001,B254))</f>
        <v/>
      </c>
      <c r="F254" s="27" t="str">
        <f aca="false">IF(A254="","",A254&amp;"|"&amp;B254)</f>
        <v/>
      </c>
    </row>
    <row r="255" customFormat="false" ht="15" hidden="false" customHeight="false" outlineLevel="0" collapsed="false">
      <c r="A255" s="19"/>
      <c r="B255" s="19"/>
      <c r="C255" s="20"/>
      <c r="D255" s="19"/>
      <c r="E255" s="26" t="str">
        <f aca="false">IF(A255="","",COUNTIFS(Apparitions!$A$2:$A$5001,A255,Apparitions!$B$2:$B$5001,B255))</f>
        <v/>
      </c>
      <c r="F255" s="27" t="str">
        <f aca="false">IF(A255="","",A255&amp;"|"&amp;B255)</f>
        <v/>
      </c>
    </row>
    <row r="256" customFormat="false" ht="15" hidden="false" customHeight="false" outlineLevel="0" collapsed="false">
      <c r="A256" s="19"/>
      <c r="B256" s="19"/>
      <c r="C256" s="20"/>
      <c r="D256" s="19"/>
      <c r="E256" s="26" t="str">
        <f aca="false">IF(A256="","",COUNTIFS(Apparitions!$A$2:$A$5001,A256,Apparitions!$B$2:$B$5001,B256))</f>
        <v/>
      </c>
      <c r="F256" s="27" t="str">
        <f aca="false">IF(A256="","",A256&amp;"|"&amp;B256)</f>
        <v/>
      </c>
    </row>
    <row r="257" customFormat="false" ht="15" hidden="false" customHeight="false" outlineLevel="0" collapsed="false">
      <c r="A257" s="19"/>
      <c r="B257" s="19"/>
      <c r="C257" s="20"/>
      <c r="D257" s="19"/>
      <c r="E257" s="26" t="str">
        <f aca="false">IF(A257="","",COUNTIFS(Apparitions!$A$2:$A$5001,A257,Apparitions!$B$2:$B$5001,B257))</f>
        <v/>
      </c>
      <c r="F257" s="27" t="str">
        <f aca="false">IF(A257="","",A257&amp;"|"&amp;B257)</f>
        <v/>
      </c>
    </row>
    <row r="258" customFormat="false" ht="15" hidden="false" customHeight="false" outlineLevel="0" collapsed="false">
      <c r="A258" s="19"/>
      <c r="B258" s="19"/>
      <c r="C258" s="20"/>
      <c r="D258" s="19"/>
      <c r="E258" s="26" t="str">
        <f aca="false">IF(A258="","",COUNTIFS(Apparitions!$A$2:$A$5001,A258,Apparitions!$B$2:$B$5001,B258))</f>
        <v/>
      </c>
      <c r="F258" s="27" t="str">
        <f aca="false">IF(A258="","",A258&amp;"|"&amp;B258)</f>
        <v/>
      </c>
    </row>
    <row r="259" customFormat="false" ht="15" hidden="false" customHeight="false" outlineLevel="0" collapsed="false">
      <c r="A259" s="19"/>
      <c r="B259" s="19"/>
      <c r="C259" s="20"/>
      <c r="D259" s="19"/>
      <c r="E259" s="26" t="str">
        <f aca="false">IF(A259="","",COUNTIFS(Apparitions!$A$2:$A$5001,A259,Apparitions!$B$2:$B$5001,B259))</f>
        <v/>
      </c>
      <c r="F259" s="27" t="str">
        <f aca="false">IF(A259="","",A259&amp;"|"&amp;B259)</f>
        <v/>
      </c>
    </row>
    <row r="260" customFormat="false" ht="15" hidden="false" customHeight="false" outlineLevel="0" collapsed="false">
      <c r="A260" s="19"/>
      <c r="B260" s="19"/>
      <c r="C260" s="20"/>
      <c r="D260" s="19"/>
      <c r="E260" s="26" t="str">
        <f aca="false">IF(A260="","",COUNTIFS(Apparitions!$A$2:$A$5001,A260,Apparitions!$B$2:$B$5001,B260))</f>
        <v/>
      </c>
      <c r="F260" s="27" t="str">
        <f aca="false">IF(A260="","",A260&amp;"|"&amp;B260)</f>
        <v/>
      </c>
    </row>
    <row r="261" customFormat="false" ht="15" hidden="false" customHeight="false" outlineLevel="0" collapsed="false">
      <c r="A261" s="19"/>
      <c r="B261" s="19"/>
      <c r="C261" s="20"/>
      <c r="D261" s="19"/>
      <c r="E261" s="26" t="str">
        <f aca="false">IF(A261="","",COUNTIFS(Apparitions!$A$2:$A$5001,A261,Apparitions!$B$2:$B$5001,B261))</f>
        <v/>
      </c>
      <c r="F261" s="27" t="str">
        <f aca="false">IF(A261="","",A261&amp;"|"&amp;B261)</f>
        <v/>
      </c>
    </row>
    <row r="262" customFormat="false" ht="15" hidden="false" customHeight="false" outlineLevel="0" collapsed="false">
      <c r="A262" s="19"/>
      <c r="B262" s="19"/>
      <c r="C262" s="20"/>
      <c r="D262" s="19"/>
      <c r="E262" s="26" t="str">
        <f aca="false">IF(A262="","",COUNTIFS(Apparitions!$A$2:$A$5001,A262,Apparitions!$B$2:$B$5001,B262))</f>
        <v/>
      </c>
      <c r="F262" s="27" t="str">
        <f aca="false">IF(A262="","",A262&amp;"|"&amp;B262)</f>
        <v/>
      </c>
    </row>
    <row r="263" customFormat="false" ht="15" hidden="false" customHeight="false" outlineLevel="0" collapsed="false">
      <c r="A263" s="19"/>
      <c r="B263" s="19"/>
      <c r="C263" s="20"/>
      <c r="D263" s="19"/>
      <c r="E263" s="26" t="str">
        <f aca="false">IF(A263="","",COUNTIFS(Apparitions!$A$2:$A$5001,A263,Apparitions!$B$2:$B$5001,B263))</f>
        <v/>
      </c>
      <c r="F263" s="27" t="str">
        <f aca="false">IF(A263="","",A263&amp;"|"&amp;B263)</f>
        <v/>
      </c>
    </row>
    <row r="264" customFormat="false" ht="15" hidden="false" customHeight="false" outlineLevel="0" collapsed="false">
      <c r="A264" s="19"/>
      <c r="B264" s="19"/>
      <c r="C264" s="20"/>
      <c r="D264" s="19"/>
      <c r="E264" s="26" t="str">
        <f aca="false">IF(A264="","",COUNTIFS(Apparitions!$A$2:$A$5001,A264,Apparitions!$B$2:$B$5001,B264))</f>
        <v/>
      </c>
      <c r="F264" s="27" t="str">
        <f aca="false">IF(A264="","",A264&amp;"|"&amp;B264)</f>
        <v/>
      </c>
    </row>
    <row r="265" customFormat="false" ht="15" hidden="false" customHeight="false" outlineLevel="0" collapsed="false">
      <c r="A265" s="19"/>
      <c r="B265" s="19"/>
      <c r="C265" s="20"/>
      <c r="D265" s="19"/>
      <c r="E265" s="26" t="str">
        <f aca="false">IF(A265="","",COUNTIFS(Apparitions!$A$2:$A$5001,A265,Apparitions!$B$2:$B$5001,B265))</f>
        <v/>
      </c>
      <c r="F265" s="27" t="str">
        <f aca="false">IF(A265="","",A265&amp;"|"&amp;B265)</f>
        <v/>
      </c>
    </row>
    <row r="266" customFormat="false" ht="15" hidden="false" customHeight="false" outlineLevel="0" collapsed="false">
      <c r="A266" s="19"/>
      <c r="B266" s="19"/>
      <c r="C266" s="20"/>
      <c r="D266" s="19"/>
      <c r="E266" s="26" t="str">
        <f aca="false">IF(A266="","",COUNTIFS(Apparitions!$A$2:$A$5001,A266,Apparitions!$B$2:$B$5001,B266))</f>
        <v/>
      </c>
      <c r="F266" s="27" t="str">
        <f aca="false">IF(A266="","",A266&amp;"|"&amp;B266)</f>
        <v/>
      </c>
    </row>
    <row r="267" customFormat="false" ht="15" hidden="false" customHeight="false" outlineLevel="0" collapsed="false">
      <c r="A267" s="19"/>
      <c r="B267" s="19"/>
      <c r="C267" s="20"/>
      <c r="D267" s="19"/>
      <c r="E267" s="26" t="str">
        <f aca="false">IF(A267="","",COUNTIFS(Apparitions!$A$2:$A$5001,A267,Apparitions!$B$2:$B$5001,B267))</f>
        <v/>
      </c>
      <c r="F267" s="27" t="str">
        <f aca="false">IF(A267="","",A267&amp;"|"&amp;B267)</f>
        <v/>
      </c>
    </row>
    <row r="268" customFormat="false" ht="15" hidden="false" customHeight="false" outlineLevel="0" collapsed="false">
      <c r="A268" s="19"/>
      <c r="B268" s="19"/>
      <c r="C268" s="20"/>
      <c r="D268" s="19"/>
      <c r="E268" s="26" t="str">
        <f aca="false">IF(A268="","",COUNTIFS(Apparitions!$A$2:$A$5001,A268,Apparitions!$B$2:$B$5001,B268))</f>
        <v/>
      </c>
      <c r="F268" s="27" t="str">
        <f aca="false">IF(A268="","",A268&amp;"|"&amp;B268)</f>
        <v/>
      </c>
    </row>
    <row r="269" customFormat="false" ht="15" hidden="false" customHeight="false" outlineLevel="0" collapsed="false">
      <c r="A269" s="19"/>
      <c r="B269" s="19"/>
      <c r="C269" s="20"/>
      <c r="D269" s="19"/>
      <c r="E269" s="26" t="str">
        <f aca="false">IF(A269="","",COUNTIFS(Apparitions!$A$2:$A$5001,A269,Apparitions!$B$2:$B$5001,B269))</f>
        <v/>
      </c>
      <c r="F269" s="27" t="str">
        <f aca="false">IF(A269="","",A269&amp;"|"&amp;B269)</f>
        <v/>
      </c>
    </row>
    <row r="270" customFormat="false" ht="15" hidden="false" customHeight="false" outlineLevel="0" collapsed="false">
      <c r="A270" s="19"/>
      <c r="B270" s="19"/>
      <c r="C270" s="20"/>
      <c r="D270" s="19"/>
      <c r="E270" s="26" t="str">
        <f aca="false">IF(A270="","",COUNTIFS(Apparitions!$A$2:$A$5001,A270,Apparitions!$B$2:$B$5001,B270))</f>
        <v/>
      </c>
      <c r="F270" s="27" t="str">
        <f aca="false">IF(A270="","",A270&amp;"|"&amp;B270)</f>
        <v/>
      </c>
    </row>
    <row r="271" customFormat="false" ht="15" hidden="false" customHeight="false" outlineLevel="0" collapsed="false">
      <c r="A271" s="19"/>
      <c r="B271" s="19"/>
      <c r="C271" s="20"/>
      <c r="D271" s="19"/>
      <c r="E271" s="26" t="str">
        <f aca="false">IF(A271="","",COUNTIFS(Apparitions!$A$2:$A$5001,A271,Apparitions!$B$2:$B$5001,B271))</f>
        <v/>
      </c>
      <c r="F271" s="27" t="str">
        <f aca="false">IF(A271="","",A271&amp;"|"&amp;B271)</f>
        <v/>
      </c>
    </row>
    <row r="272" customFormat="false" ht="15" hidden="false" customHeight="false" outlineLevel="0" collapsed="false">
      <c r="A272" s="19"/>
      <c r="B272" s="19"/>
      <c r="C272" s="20"/>
      <c r="D272" s="19"/>
      <c r="E272" s="26" t="str">
        <f aca="false">IF(A272="","",COUNTIFS(Apparitions!$A$2:$A$5001,A272,Apparitions!$B$2:$B$5001,B272))</f>
        <v/>
      </c>
      <c r="F272" s="27" t="str">
        <f aca="false">IF(A272="","",A272&amp;"|"&amp;B272)</f>
        <v/>
      </c>
    </row>
    <row r="273" customFormat="false" ht="15" hidden="false" customHeight="false" outlineLevel="0" collapsed="false">
      <c r="A273" s="19"/>
      <c r="B273" s="19"/>
      <c r="C273" s="20"/>
      <c r="D273" s="19"/>
      <c r="E273" s="26" t="str">
        <f aca="false">IF(A273="","",COUNTIFS(Apparitions!$A$2:$A$5001,A273,Apparitions!$B$2:$B$5001,B273))</f>
        <v/>
      </c>
      <c r="F273" s="27" t="str">
        <f aca="false">IF(A273="","",A273&amp;"|"&amp;B273)</f>
        <v/>
      </c>
    </row>
    <row r="274" customFormat="false" ht="15" hidden="false" customHeight="false" outlineLevel="0" collapsed="false">
      <c r="A274" s="19"/>
      <c r="B274" s="19"/>
      <c r="C274" s="20"/>
      <c r="D274" s="19"/>
      <c r="E274" s="26" t="str">
        <f aca="false">IF(A274="","",COUNTIFS(Apparitions!$A$2:$A$5001,A274,Apparitions!$B$2:$B$5001,B274))</f>
        <v/>
      </c>
      <c r="F274" s="27" t="str">
        <f aca="false">IF(A274="","",A274&amp;"|"&amp;B274)</f>
        <v/>
      </c>
    </row>
    <row r="275" customFormat="false" ht="15" hidden="false" customHeight="false" outlineLevel="0" collapsed="false">
      <c r="A275" s="19"/>
      <c r="B275" s="19"/>
      <c r="C275" s="20"/>
      <c r="D275" s="19"/>
      <c r="E275" s="26" t="str">
        <f aca="false">IF(A275="","",COUNTIFS(Apparitions!$A$2:$A$5001,A275,Apparitions!$B$2:$B$5001,B275))</f>
        <v/>
      </c>
      <c r="F275" s="27" t="str">
        <f aca="false">IF(A275="","",A275&amp;"|"&amp;B275)</f>
        <v/>
      </c>
    </row>
    <row r="276" customFormat="false" ht="15" hidden="false" customHeight="false" outlineLevel="0" collapsed="false">
      <c r="A276" s="19"/>
      <c r="B276" s="19"/>
      <c r="C276" s="20"/>
      <c r="D276" s="19"/>
      <c r="E276" s="26" t="str">
        <f aca="false">IF(A276="","",COUNTIFS(Apparitions!$A$2:$A$5001,A276,Apparitions!$B$2:$B$5001,B276))</f>
        <v/>
      </c>
      <c r="F276" s="27" t="str">
        <f aca="false">IF(A276="","",A276&amp;"|"&amp;B276)</f>
        <v/>
      </c>
    </row>
    <row r="277" customFormat="false" ht="15" hidden="false" customHeight="false" outlineLevel="0" collapsed="false">
      <c r="A277" s="19"/>
      <c r="B277" s="19"/>
      <c r="C277" s="20"/>
      <c r="D277" s="19"/>
      <c r="E277" s="26" t="str">
        <f aca="false">IF(A277="","",COUNTIFS(Apparitions!$A$2:$A$5001,A277,Apparitions!$B$2:$B$5001,B277))</f>
        <v/>
      </c>
      <c r="F277" s="27" t="str">
        <f aca="false">IF(A277="","",A277&amp;"|"&amp;B277)</f>
        <v/>
      </c>
    </row>
    <row r="278" customFormat="false" ht="15" hidden="false" customHeight="false" outlineLevel="0" collapsed="false">
      <c r="A278" s="19"/>
      <c r="B278" s="19"/>
      <c r="C278" s="20"/>
      <c r="D278" s="19"/>
      <c r="E278" s="26" t="str">
        <f aca="false">IF(A278="","",COUNTIFS(Apparitions!$A$2:$A$5001,A278,Apparitions!$B$2:$B$5001,B278))</f>
        <v/>
      </c>
      <c r="F278" s="27" t="str">
        <f aca="false">IF(A278="","",A278&amp;"|"&amp;B278)</f>
        <v/>
      </c>
    </row>
    <row r="279" customFormat="false" ht="15" hidden="false" customHeight="false" outlineLevel="0" collapsed="false">
      <c r="A279" s="19"/>
      <c r="B279" s="19"/>
      <c r="C279" s="20"/>
      <c r="D279" s="19"/>
      <c r="E279" s="26" t="str">
        <f aca="false">IF(A279="","",COUNTIFS(Apparitions!$A$2:$A$5001,A279,Apparitions!$B$2:$B$5001,B279))</f>
        <v/>
      </c>
      <c r="F279" s="27" t="str">
        <f aca="false">IF(A279="","",A279&amp;"|"&amp;B279)</f>
        <v/>
      </c>
    </row>
    <row r="280" customFormat="false" ht="15" hidden="false" customHeight="false" outlineLevel="0" collapsed="false">
      <c r="A280" s="19"/>
      <c r="B280" s="19"/>
      <c r="C280" s="20"/>
      <c r="D280" s="19"/>
      <c r="E280" s="26" t="str">
        <f aca="false">IF(A280="","",COUNTIFS(Apparitions!$A$2:$A$5001,A280,Apparitions!$B$2:$B$5001,B280))</f>
        <v/>
      </c>
      <c r="F280" s="27" t="str">
        <f aca="false">IF(A280="","",A280&amp;"|"&amp;B280)</f>
        <v/>
      </c>
    </row>
    <row r="281" customFormat="false" ht="15" hidden="false" customHeight="false" outlineLevel="0" collapsed="false">
      <c r="A281" s="19"/>
      <c r="B281" s="19"/>
      <c r="C281" s="20"/>
      <c r="D281" s="19"/>
      <c r="E281" s="26" t="str">
        <f aca="false">IF(A281="","",COUNTIFS(Apparitions!$A$2:$A$5001,A281,Apparitions!$B$2:$B$5001,B281))</f>
        <v/>
      </c>
      <c r="F281" s="27" t="str">
        <f aca="false">IF(A281="","",A281&amp;"|"&amp;B281)</f>
        <v/>
      </c>
    </row>
    <row r="282" customFormat="false" ht="15" hidden="false" customHeight="false" outlineLevel="0" collapsed="false">
      <c r="A282" s="19"/>
      <c r="B282" s="19"/>
      <c r="C282" s="20"/>
      <c r="D282" s="19"/>
      <c r="E282" s="26" t="str">
        <f aca="false">IF(A282="","",COUNTIFS(Apparitions!$A$2:$A$5001,A282,Apparitions!$B$2:$B$5001,B282))</f>
        <v/>
      </c>
      <c r="F282" s="27" t="str">
        <f aca="false">IF(A282="","",A282&amp;"|"&amp;B282)</f>
        <v/>
      </c>
    </row>
    <row r="283" customFormat="false" ht="15" hidden="false" customHeight="false" outlineLevel="0" collapsed="false">
      <c r="A283" s="19"/>
      <c r="B283" s="19"/>
      <c r="C283" s="20"/>
      <c r="D283" s="19"/>
      <c r="E283" s="26" t="str">
        <f aca="false">IF(A283="","",COUNTIFS(Apparitions!$A$2:$A$5001,A283,Apparitions!$B$2:$B$5001,B283))</f>
        <v/>
      </c>
      <c r="F283" s="27" t="str">
        <f aca="false">IF(A283="","",A283&amp;"|"&amp;B283)</f>
        <v/>
      </c>
    </row>
    <row r="284" customFormat="false" ht="15" hidden="false" customHeight="false" outlineLevel="0" collapsed="false">
      <c r="A284" s="19"/>
      <c r="B284" s="19"/>
      <c r="C284" s="20"/>
      <c r="D284" s="19"/>
      <c r="E284" s="26" t="str">
        <f aca="false">IF(A284="","",COUNTIFS(Apparitions!$A$2:$A$5001,A284,Apparitions!$B$2:$B$5001,B284))</f>
        <v/>
      </c>
      <c r="F284" s="27" t="str">
        <f aca="false">IF(A284="","",A284&amp;"|"&amp;B284)</f>
        <v/>
      </c>
    </row>
    <row r="285" customFormat="false" ht="15" hidden="false" customHeight="false" outlineLevel="0" collapsed="false">
      <c r="A285" s="19"/>
      <c r="B285" s="19"/>
      <c r="C285" s="20"/>
      <c r="D285" s="19"/>
      <c r="E285" s="26" t="str">
        <f aca="false">IF(A285="","",COUNTIFS(Apparitions!$A$2:$A$5001,A285,Apparitions!$B$2:$B$5001,B285))</f>
        <v/>
      </c>
      <c r="F285" s="27" t="str">
        <f aca="false">IF(A285="","",A285&amp;"|"&amp;B285)</f>
        <v/>
      </c>
    </row>
    <row r="286" customFormat="false" ht="15" hidden="false" customHeight="false" outlineLevel="0" collapsed="false">
      <c r="A286" s="19"/>
      <c r="B286" s="19"/>
      <c r="C286" s="20"/>
      <c r="D286" s="19"/>
      <c r="E286" s="26" t="str">
        <f aca="false">IF(A286="","",COUNTIFS(Apparitions!$A$2:$A$5001,A286,Apparitions!$B$2:$B$5001,B286))</f>
        <v/>
      </c>
      <c r="F286" s="27" t="str">
        <f aca="false">IF(A286="","",A286&amp;"|"&amp;B286)</f>
        <v/>
      </c>
    </row>
    <row r="287" customFormat="false" ht="15" hidden="false" customHeight="false" outlineLevel="0" collapsed="false">
      <c r="A287" s="19"/>
      <c r="B287" s="19"/>
      <c r="C287" s="20"/>
      <c r="D287" s="19"/>
      <c r="E287" s="26" t="str">
        <f aca="false">IF(A287="","",COUNTIFS(Apparitions!$A$2:$A$5001,A287,Apparitions!$B$2:$B$5001,B287))</f>
        <v/>
      </c>
      <c r="F287" s="27" t="str">
        <f aca="false">IF(A287="","",A287&amp;"|"&amp;B287)</f>
        <v/>
      </c>
    </row>
    <row r="288" customFormat="false" ht="15" hidden="false" customHeight="false" outlineLevel="0" collapsed="false">
      <c r="A288" s="19"/>
      <c r="B288" s="19"/>
      <c r="C288" s="20"/>
      <c r="D288" s="19"/>
      <c r="E288" s="26" t="str">
        <f aca="false">IF(A288="","",COUNTIFS(Apparitions!$A$2:$A$5001,A288,Apparitions!$B$2:$B$5001,B288))</f>
        <v/>
      </c>
      <c r="F288" s="27" t="str">
        <f aca="false">IF(A288="","",A288&amp;"|"&amp;B288)</f>
        <v/>
      </c>
    </row>
    <row r="289" customFormat="false" ht="15" hidden="false" customHeight="false" outlineLevel="0" collapsed="false">
      <c r="A289" s="19"/>
      <c r="B289" s="19"/>
      <c r="C289" s="20"/>
      <c r="D289" s="19"/>
      <c r="E289" s="26" t="str">
        <f aca="false">IF(A289="","",COUNTIFS(Apparitions!$A$2:$A$5001,A289,Apparitions!$B$2:$B$5001,B289))</f>
        <v/>
      </c>
      <c r="F289" s="27" t="str">
        <f aca="false">IF(A289="","",A289&amp;"|"&amp;B289)</f>
        <v/>
      </c>
    </row>
    <row r="290" customFormat="false" ht="15" hidden="false" customHeight="false" outlineLevel="0" collapsed="false">
      <c r="A290" s="19"/>
      <c r="B290" s="19"/>
      <c r="C290" s="20"/>
      <c r="D290" s="19"/>
      <c r="E290" s="26" t="str">
        <f aca="false">IF(A290="","",COUNTIFS(Apparitions!$A$2:$A$5001,A290,Apparitions!$B$2:$B$5001,B290))</f>
        <v/>
      </c>
      <c r="F290" s="27" t="str">
        <f aca="false">IF(A290="","",A290&amp;"|"&amp;B290)</f>
        <v/>
      </c>
    </row>
    <row r="291" customFormat="false" ht="15" hidden="false" customHeight="false" outlineLevel="0" collapsed="false">
      <c r="A291" s="19"/>
      <c r="B291" s="19"/>
      <c r="C291" s="20"/>
      <c r="D291" s="19"/>
      <c r="E291" s="26" t="str">
        <f aca="false">IF(A291="","",COUNTIFS(Apparitions!$A$2:$A$5001,A291,Apparitions!$B$2:$B$5001,B291))</f>
        <v/>
      </c>
      <c r="F291" s="27" t="str">
        <f aca="false">IF(A291="","",A291&amp;"|"&amp;B291)</f>
        <v/>
      </c>
    </row>
    <row r="292" customFormat="false" ht="15" hidden="false" customHeight="false" outlineLevel="0" collapsed="false">
      <c r="A292" s="19"/>
      <c r="B292" s="19"/>
      <c r="C292" s="20"/>
      <c r="D292" s="19"/>
      <c r="E292" s="26" t="str">
        <f aca="false">IF(A292="","",COUNTIFS(Apparitions!$A$2:$A$5001,A292,Apparitions!$B$2:$B$5001,B292))</f>
        <v/>
      </c>
      <c r="F292" s="27" t="str">
        <f aca="false">IF(A292="","",A292&amp;"|"&amp;B292)</f>
        <v/>
      </c>
    </row>
    <row r="293" customFormat="false" ht="15" hidden="false" customHeight="false" outlineLevel="0" collapsed="false">
      <c r="A293" s="19"/>
      <c r="B293" s="19"/>
      <c r="C293" s="20"/>
      <c r="D293" s="19"/>
      <c r="E293" s="26" t="str">
        <f aca="false">IF(A293="","",COUNTIFS(Apparitions!$A$2:$A$5001,A293,Apparitions!$B$2:$B$5001,B293))</f>
        <v/>
      </c>
      <c r="F293" s="27" t="str">
        <f aca="false">IF(A293="","",A293&amp;"|"&amp;B293)</f>
        <v/>
      </c>
    </row>
    <row r="294" customFormat="false" ht="15" hidden="false" customHeight="false" outlineLevel="0" collapsed="false">
      <c r="A294" s="19"/>
      <c r="B294" s="19"/>
      <c r="C294" s="20"/>
      <c r="D294" s="19"/>
      <c r="E294" s="26" t="str">
        <f aca="false">IF(A294="","",COUNTIFS(Apparitions!$A$2:$A$5001,A294,Apparitions!$B$2:$B$5001,B294))</f>
        <v/>
      </c>
      <c r="F294" s="27" t="str">
        <f aca="false">IF(A294="","",A294&amp;"|"&amp;B294)</f>
        <v/>
      </c>
    </row>
    <row r="295" customFormat="false" ht="15" hidden="false" customHeight="false" outlineLevel="0" collapsed="false">
      <c r="A295" s="19"/>
      <c r="B295" s="19"/>
      <c r="C295" s="20"/>
      <c r="D295" s="19"/>
      <c r="E295" s="26" t="str">
        <f aca="false">IF(A295="","",COUNTIFS(Apparitions!$A$2:$A$5001,A295,Apparitions!$B$2:$B$5001,B295))</f>
        <v/>
      </c>
      <c r="F295" s="27" t="str">
        <f aca="false">IF(A295="","",A295&amp;"|"&amp;B295)</f>
        <v/>
      </c>
    </row>
    <row r="296" customFormat="false" ht="15" hidden="false" customHeight="false" outlineLevel="0" collapsed="false">
      <c r="A296" s="19"/>
      <c r="B296" s="19"/>
      <c r="C296" s="20"/>
      <c r="D296" s="19"/>
      <c r="E296" s="26" t="str">
        <f aca="false">IF(A296="","",COUNTIFS(Apparitions!$A$2:$A$5001,A296,Apparitions!$B$2:$B$5001,B296))</f>
        <v/>
      </c>
      <c r="F296" s="27" t="str">
        <f aca="false">IF(A296="","",A296&amp;"|"&amp;B296)</f>
        <v/>
      </c>
    </row>
    <row r="297" customFormat="false" ht="15" hidden="false" customHeight="false" outlineLevel="0" collapsed="false">
      <c r="A297" s="19"/>
      <c r="B297" s="19"/>
      <c r="C297" s="20"/>
      <c r="D297" s="19"/>
      <c r="E297" s="26" t="str">
        <f aca="false">IF(A297="","",COUNTIFS(Apparitions!$A$2:$A$5001,A297,Apparitions!$B$2:$B$5001,B297))</f>
        <v/>
      </c>
      <c r="F297" s="27" t="str">
        <f aca="false">IF(A297="","",A297&amp;"|"&amp;B297)</f>
        <v/>
      </c>
    </row>
    <row r="298" customFormat="false" ht="15" hidden="false" customHeight="false" outlineLevel="0" collapsed="false">
      <c r="A298" s="19"/>
      <c r="B298" s="19"/>
      <c r="C298" s="20"/>
      <c r="D298" s="19"/>
      <c r="E298" s="26" t="str">
        <f aca="false">IF(A298="","",COUNTIFS(Apparitions!$A$2:$A$5001,A298,Apparitions!$B$2:$B$5001,B298))</f>
        <v/>
      </c>
      <c r="F298" s="27" t="str">
        <f aca="false">IF(A298="","",A298&amp;"|"&amp;B298)</f>
        <v/>
      </c>
    </row>
    <row r="299" customFormat="false" ht="15" hidden="false" customHeight="false" outlineLevel="0" collapsed="false">
      <c r="A299" s="19"/>
      <c r="B299" s="19"/>
      <c r="C299" s="20"/>
      <c r="D299" s="19"/>
      <c r="E299" s="26" t="str">
        <f aca="false">IF(A299="","",COUNTIFS(Apparitions!$A$2:$A$5001,A299,Apparitions!$B$2:$B$5001,B299))</f>
        <v/>
      </c>
      <c r="F299" s="27" t="str">
        <f aca="false">IF(A299="","",A299&amp;"|"&amp;B299)</f>
        <v/>
      </c>
    </row>
    <row r="300" customFormat="false" ht="15" hidden="false" customHeight="false" outlineLevel="0" collapsed="false">
      <c r="A300" s="19"/>
      <c r="B300" s="19"/>
      <c r="C300" s="20"/>
      <c r="D300" s="19"/>
      <c r="E300" s="26" t="str">
        <f aca="false">IF(A300="","",COUNTIFS(Apparitions!$A$2:$A$5001,A300,Apparitions!$B$2:$B$5001,B300))</f>
        <v/>
      </c>
      <c r="F300" s="27" t="str">
        <f aca="false">IF(A300="","",A300&amp;"|"&amp;B300)</f>
        <v/>
      </c>
    </row>
    <row r="301" customFormat="false" ht="15" hidden="false" customHeight="false" outlineLevel="0" collapsed="false">
      <c r="A301" s="19"/>
      <c r="B301" s="19"/>
      <c r="C301" s="20"/>
      <c r="D301" s="19"/>
      <c r="E301" s="26" t="str">
        <f aca="false">IF(A301="","",COUNTIFS(Apparitions!$A$2:$A$5001,A301,Apparitions!$B$2:$B$5001,B301))</f>
        <v/>
      </c>
      <c r="F301" s="27" t="str">
        <f aca="false">IF(A301="","",A301&amp;"|"&amp;B301)</f>
        <v/>
      </c>
    </row>
    <row r="302" customFormat="false" ht="15" hidden="false" customHeight="false" outlineLevel="0" collapsed="false">
      <c r="A302" s="19"/>
      <c r="B302" s="19"/>
      <c r="C302" s="20"/>
      <c r="D302" s="19"/>
      <c r="E302" s="26" t="str">
        <f aca="false">IF(A302="","",COUNTIFS(Apparitions!$A$2:$A$5001,A302,Apparitions!$B$2:$B$5001,B302))</f>
        <v/>
      </c>
      <c r="F302" s="27" t="str">
        <f aca="false">IF(A302="","",A302&amp;"|"&amp;B302)</f>
        <v/>
      </c>
    </row>
    <row r="303" customFormat="false" ht="15" hidden="false" customHeight="false" outlineLevel="0" collapsed="false">
      <c r="A303" s="19"/>
      <c r="B303" s="19"/>
      <c r="C303" s="20"/>
      <c r="D303" s="19"/>
      <c r="E303" s="26" t="str">
        <f aca="false">IF(A303="","",COUNTIFS(Apparitions!$A$2:$A$5001,A303,Apparitions!$B$2:$B$5001,B303))</f>
        <v/>
      </c>
      <c r="F303" s="27" t="str">
        <f aca="false">IF(A303="","",A303&amp;"|"&amp;B303)</f>
        <v/>
      </c>
    </row>
    <row r="304" customFormat="false" ht="15" hidden="false" customHeight="false" outlineLevel="0" collapsed="false">
      <c r="A304" s="19"/>
      <c r="B304" s="19"/>
      <c r="C304" s="20"/>
      <c r="D304" s="19"/>
      <c r="E304" s="26" t="str">
        <f aca="false">IF(A304="","",COUNTIFS(Apparitions!$A$2:$A$5001,A304,Apparitions!$B$2:$B$5001,B304))</f>
        <v/>
      </c>
      <c r="F304" s="27" t="str">
        <f aca="false">IF(A304="","",A304&amp;"|"&amp;B304)</f>
        <v/>
      </c>
    </row>
    <row r="305" customFormat="false" ht="15" hidden="false" customHeight="false" outlineLevel="0" collapsed="false">
      <c r="A305" s="19"/>
      <c r="B305" s="19"/>
      <c r="C305" s="20"/>
      <c r="D305" s="19"/>
      <c r="E305" s="26" t="str">
        <f aca="false">IF(A305="","",COUNTIFS(Apparitions!$A$2:$A$5001,A305,Apparitions!$B$2:$B$5001,B305))</f>
        <v/>
      </c>
      <c r="F305" s="27" t="str">
        <f aca="false">IF(A305="","",A305&amp;"|"&amp;B305)</f>
        <v/>
      </c>
    </row>
    <row r="306" customFormat="false" ht="15" hidden="false" customHeight="false" outlineLevel="0" collapsed="false">
      <c r="A306" s="19"/>
      <c r="B306" s="19"/>
      <c r="C306" s="20"/>
      <c r="D306" s="19"/>
      <c r="E306" s="26" t="str">
        <f aca="false">IF(A306="","",COUNTIFS(Apparitions!$A$2:$A$5001,A306,Apparitions!$B$2:$B$5001,B306))</f>
        <v/>
      </c>
      <c r="F306" s="27" t="str">
        <f aca="false">IF(A306="","",A306&amp;"|"&amp;B306)</f>
        <v/>
      </c>
    </row>
    <row r="307" customFormat="false" ht="15" hidden="false" customHeight="false" outlineLevel="0" collapsed="false">
      <c r="A307" s="19"/>
      <c r="B307" s="19"/>
      <c r="C307" s="20"/>
      <c r="D307" s="19"/>
      <c r="E307" s="26" t="str">
        <f aca="false">IF(A307="","",COUNTIFS(Apparitions!$A$2:$A$5001,A307,Apparitions!$B$2:$B$5001,B307))</f>
        <v/>
      </c>
      <c r="F307" s="27" t="str">
        <f aca="false">IF(A307="","",A307&amp;"|"&amp;B307)</f>
        <v/>
      </c>
    </row>
    <row r="308" customFormat="false" ht="15" hidden="false" customHeight="false" outlineLevel="0" collapsed="false">
      <c r="A308" s="19"/>
      <c r="B308" s="19"/>
      <c r="C308" s="20"/>
      <c r="D308" s="19"/>
      <c r="E308" s="26" t="str">
        <f aca="false">IF(A308="","",COUNTIFS(Apparitions!$A$2:$A$5001,A308,Apparitions!$B$2:$B$5001,B308))</f>
        <v/>
      </c>
      <c r="F308" s="27" t="str">
        <f aca="false">IF(A308="","",A308&amp;"|"&amp;B308)</f>
        <v/>
      </c>
    </row>
    <row r="309" customFormat="false" ht="15" hidden="false" customHeight="false" outlineLevel="0" collapsed="false">
      <c r="A309" s="19"/>
      <c r="B309" s="19"/>
      <c r="C309" s="20"/>
      <c r="D309" s="19"/>
      <c r="E309" s="26" t="str">
        <f aca="false">IF(A309="","",COUNTIFS(Apparitions!$A$2:$A$5001,A309,Apparitions!$B$2:$B$5001,B309))</f>
        <v/>
      </c>
      <c r="F309" s="27" t="str">
        <f aca="false">IF(A309="","",A309&amp;"|"&amp;B309)</f>
        <v/>
      </c>
    </row>
    <row r="310" customFormat="false" ht="15" hidden="false" customHeight="false" outlineLevel="0" collapsed="false">
      <c r="A310" s="19"/>
      <c r="B310" s="19"/>
      <c r="C310" s="20"/>
      <c r="D310" s="19"/>
      <c r="E310" s="26" t="str">
        <f aca="false">IF(A310="","",COUNTIFS(Apparitions!$A$2:$A$5001,A310,Apparitions!$B$2:$B$5001,B310))</f>
        <v/>
      </c>
      <c r="F310" s="27" t="str">
        <f aca="false">IF(A310="","",A310&amp;"|"&amp;B310)</f>
        <v/>
      </c>
    </row>
    <row r="311" customFormat="false" ht="15" hidden="false" customHeight="false" outlineLevel="0" collapsed="false">
      <c r="A311" s="19"/>
      <c r="B311" s="19"/>
      <c r="C311" s="20"/>
      <c r="D311" s="19"/>
      <c r="E311" s="26" t="str">
        <f aca="false">IF(A311="","",COUNTIFS(Apparitions!$A$2:$A$5001,A311,Apparitions!$B$2:$B$5001,B311))</f>
        <v/>
      </c>
      <c r="F311" s="27" t="str">
        <f aca="false">IF(A311="","",A311&amp;"|"&amp;B311)</f>
        <v/>
      </c>
    </row>
    <row r="312" customFormat="false" ht="15" hidden="false" customHeight="false" outlineLevel="0" collapsed="false">
      <c r="A312" s="19"/>
      <c r="B312" s="19"/>
      <c r="C312" s="20"/>
      <c r="D312" s="19"/>
      <c r="E312" s="26" t="str">
        <f aca="false">IF(A312="","",COUNTIFS(Apparitions!$A$2:$A$5001,A312,Apparitions!$B$2:$B$5001,B312))</f>
        <v/>
      </c>
      <c r="F312" s="27" t="str">
        <f aca="false">IF(A312="","",A312&amp;"|"&amp;B312)</f>
        <v/>
      </c>
    </row>
    <row r="313" customFormat="false" ht="15" hidden="false" customHeight="false" outlineLevel="0" collapsed="false">
      <c r="A313" s="19"/>
      <c r="B313" s="19"/>
      <c r="C313" s="20"/>
      <c r="D313" s="19"/>
      <c r="E313" s="26" t="str">
        <f aca="false">IF(A313="","",COUNTIFS(Apparitions!$A$2:$A$5001,A313,Apparitions!$B$2:$B$5001,B313))</f>
        <v/>
      </c>
      <c r="F313" s="27" t="str">
        <f aca="false">IF(A313="","",A313&amp;"|"&amp;B313)</f>
        <v/>
      </c>
    </row>
    <row r="314" customFormat="false" ht="15" hidden="false" customHeight="false" outlineLevel="0" collapsed="false">
      <c r="A314" s="19"/>
      <c r="B314" s="19"/>
      <c r="C314" s="20"/>
      <c r="D314" s="19"/>
      <c r="E314" s="26" t="str">
        <f aca="false">IF(A314="","",COUNTIFS(Apparitions!$A$2:$A$5001,A314,Apparitions!$B$2:$B$5001,B314))</f>
        <v/>
      </c>
      <c r="F314" s="27" t="str">
        <f aca="false">IF(A314="","",A314&amp;"|"&amp;B314)</f>
        <v/>
      </c>
    </row>
    <row r="315" customFormat="false" ht="15" hidden="false" customHeight="false" outlineLevel="0" collapsed="false">
      <c r="A315" s="19"/>
      <c r="B315" s="19"/>
      <c r="C315" s="20"/>
      <c r="D315" s="19"/>
      <c r="E315" s="26" t="str">
        <f aca="false">IF(A315="","",COUNTIFS(Apparitions!$A$2:$A$5001,A315,Apparitions!$B$2:$B$5001,B315))</f>
        <v/>
      </c>
      <c r="F315" s="27" t="str">
        <f aca="false">IF(A315="","",A315&amp;"|"&amp;B315)</f>
        <v/>
      </c>
    </row>
    <row r="316" customFormat="false" ht="15" hidden="false" customHeight="false" outlineLevel="0" collapsed="false">
      <c r="A316" s="19"/>
      <c r="B316" s="19"/>
      <c r="C316" s="20"/>
      <c r="D316" s="19"/>
      <c r="E316" s="26" t="str">
        <f aca="false">IF(A316="","",COUNTIFS(Apparitions!$A$2:$A$5001,A316,Apparitions!$B$2:$B$5001,B316))</f>
        <v/>
      </c>
      <c r="F316" s="27" t="str">
        <f aca="false">IF(A316="","",A316&amp;"|"&amp;B316)</f>
        <v/>
      </c>
    </row>
    <row r="317" customFormat="false" ht="15" hidden="false" customHeight="false" outlineLevel="0" collapsed="false">
      <c r="A317" s="19"/>
      <c r="B317" s="19"/>
      <c r="C317" s="20"/>
      <c r="D317" s="19"/>
      <c r="E317" s="26" t="str">
        <f aca="false">IF(A317="","",COUNTIFS(Apparitions!$A$2:$A$5001,A317,Apparitions!$B$2:$B$5001,B317))</f>
        <v/>
      </c>
      <c r="F317" s="27" t="str">
        <f aca="false">IF(A317="","",A317&amp;"|"&amp;B317)</f>
        <v/>
      </c>
    </row>
    <row r="318" customFormat="false" ht="15" hidden="false" customHeight="false" outlineLevel="0" collapsed="false">
      <c r="A318" s="19"/>
      <c r="B318" s="19"/>
      <c r="C318" s="20"/>
      <c r="D318" s="19"/>
      <c r="E318" s="26" t="str">
        <f aca="false">IF(A318="","",COUNTIFS(Apparitions!$A$2:$A$5001,A318,Apparitions!$B$2:$B$5001,B318))</f>
        <v/>
      </c>
      <c r="F318" s="27" t="str">
        <f aca="false">IF(A318="","",A318&amp;"|"&amp;B318)</f>
        <v/>
      </c>
    </row>
    <row r="319" customFormat="false" ht="15" hidden="false" customHeight="false" outlineLevel="0" collapsed="false">
      <c r="A319" s="19"/>
      <c r="B319" s="19"/>
      <c r="C319" s="20"/>
      <c r="D319" s="19"/>
      <c r="E319" s="26" t="str">
        <f aca="false">IF(A319="","",COUNTIFS(Apparitions!$A$2:$A$5001,A319,Apparitions!$B$2:$B$5001,B319))</f>
        <v/>
      </c>
      <c r="F319" s="27" t="str">
        <f aca="false">IF(A319="","",A319&amp;"|"&amp;B319)</f>
        <v/>
      </c>
    </row>
    <row r="320" customFormat="false" ht="15" hidden="false" customHeight="false" outlineLevel="0" collapsed="false">
      <c r="A320" s="19"/>
      <c r="B320" s="19"/>
      <c r="C320" s="20"/>
      <c r="D320" s="19"/>
      <c r="E320" s="26" t="str">
        <f aca="false">IF(A320="","",COUNTIFS(Apparitions!$A$2:$A$5001,A320,Apparitions!$B$2:$B$5001,B320))</f>
        <v/>
      </c>
      <c r="F320" s="27" t="str">
        <f aca="false">IF(A320="","",A320&amp;"|"&amp;B320)</f>
        <v/>
      </c>
    </row>
    <row r="321" customFormat="false" ht="15" hidden="false" customHeight="false" outlineLevel="0" collapsed="false">
      <c r="A321" s="19"/>
      <c r="B321" s="19"/>
      <c r="C321" s="20"/>
      <c r="D321" s="19"/>
      <c r="E321" s="26" t="str">
        <f aca="false">IF(A321="","",COUNTIFS(Apparitions!$A$2:$A$5001,A321,Apparitions!$B$2:$B$5001,B321))</f>
        <v/>
      </c>
      <c r="F321" s="27" t="str">
        <f aca="false">IF(A321="","",A321&amp;"|"&amp;B321)</f>
        <v/>
      </c>
    </row>
    <row r="322" customFormat="false" ht="15" hidden="false" customHeight="false" outlineLevel="0" collapsed="false">
      <c r="A322" s="19"/>
      <c r="B322" s="19"/>
      <c r="C322" s="20"/>
      <c r="D322" s="19"/>
      <c r="E322" s="26" t="str">
        <f aca="false">IF(A322="","",COUNTIFS(Apparitions!$A$2:$A$5001,A322,Apparitions!$B$2:$B$5001,B322))</f>
        <v/>
      </c>
      <c r="F322" s="27" t="str">
        <f aca="false">IF(A322="","",A322&amp;"|"&amp;B322)</f>
        <v/>
      </c>
    </row>
    <row r="323" customFormat="false" ht="15" hidden="false" customHeight="false" outlineLevel="0" collapsed="false">
      <c r="A323" s="19"/>
      <c r="B323" s="19"/>
      <c r="C323" s="20"/>
      <c r="D323" s="19"/>
      <c r="E323" s="26" t="str">
        <f aca="false">IF(A323="","",COUNTIFS(Apparitions!$A$2:$A$5001,A323,Apparitions!$B$2:$B$5001,B323))</f>
        <v/>
      </c>
      <c r="F323" s="27" t="str">
        <f aca="false">IF(A323="","",A323&amp;"|"&amp;B323)</f>
        <v/>
      </c>
    </row>
    <row r="324" customFormat="false" ht="15" hidden="false" customHeight="false" outlineLevel="0" collapsed="false">
      <c r="A324" s="19"/>
      <c r="B324" s="19"/>
      <c r="C324" s="20"/>
      <c r="D324" s="19"/>
      <c r="E324" s="26" t="str">
        <f aca="false">IF(A324="","",COUNTIFS(Apparitions!$A$2:$A$5001,A324,Apparitions!$B$2:$B$5001,B324))</f>
        <v/>
      </c>
      <c r="F324" s="27" t="str">
        <f aca="false">IF(A324="","",A324&amp;"|"&amp;B324)</f>
        <v/>
      </c>
    </row>
    <row r="325" customFormat="false" ht="15" hidden="false" customHeight="false" outlineLevel="0" collapsed="false">
      <c r="A325" s="19"/>
      <c r="B325" s="19"/>
      <c r="C325" s="20"/>
      <c r="D325" s="19"/>
      <c r="E325" s="26" t="str">
        <f aca="false">IF(A325="","",COUNTIFS(Apparitions!$A$2:$A$5001,A325,Apparitions!$B$2:$B$5001,B325))</f>
        <v/>
      </c>
      <c r="F325" s="27" t="str">
        <f aca="false">IF(A325="","",A325&amp;"|"&amp;B325)</f>
        <v/>
      </c>
    </row>
    <row r="326" customFormat="false" ht="15" hidden="false" customHeight="false" outlineLevel="0" collapsed="false">
      <c r="A326" s="19"/>
      <c r="B326" s="19"/>
      <c r="C326" s="20"/>
      <c r="D326" s="19"/>
      <c r="E326" s="26" t="str">
        <f aca="false">IF(A326="","",COUNTIFS(Apparitions!$A$2:$A$5001,A326,Apparitions!$B$2:$B$5001,B326))</f>
        <v/>
      </c>
      <c r="F326" s="27" t="str">
        <f aca="false">IF(A326="","",A326&amp;"|"&amp;B326)</f>
        <v/>
      </c>
    </row>
    <row r="327" customFormat="false" ht="15" hidden="false" customHeight="false" outlineLevel="0" collapsed="false">
      <c r="A327" s="19"/>
      <c r="B327" s="19"/>
      <c r="C327" s="20"/>
      <c r="D327" s="19"/>
      <c r="E327" s="26" t="str">
        <f aca="false">IF(A327="","",COUNTIFS(Apparitions!$A$2:$A$5001,A327,Apparitions!$B$2:$B$5001,B327))</f>
        <v/>
      </c>
      <c r="F327" s="27" t="str">
        <f aca="false">IF(A327="","",A327&amp;"|"&amp;B327)</f>
        <v/>
      </c>
    </row>
    <row r="328" customFormat="false" ht="15" hidden="false" customHeight="false" outlineLevel="0" collapsed="false">
      <c r="A328" s="19"/>
      <c r="B328" s="19"/>
      <c r="C328" s="20"/>
      <c r="D328" s="19"/>
      <c r="E328" s="26" t="str">
        <f aca="false">IF(A328="","",COUNTIFS(Apparitions!$A$2:$A$5001,A328,Apparitions!$B$2:$B$5001,B328))</f>
        <v/>
      </c>
      <c r="F328" s="27" t="str">
        <f aca="false">IF(A328="","",A328&amp;"|"&amp;B328)</f>
        <v/>
      </c>
    </row>
    <row r="329" customFormat="false" ht="15" hidden="false" customHeight="false" outlineLevel="0" collapsed="false">
      <c r="A329" s="19"/>
      <c r="B329" s="19"/>
      <c r="C329" s="20"/>
      <c r="D329" s="19"/>
      <c r="E329" s="26" t="str">
        <f aca="false">IF(A329="","",COUNTIFS(Apparitions!$A$2:$A$5001,A329,Apparitions!$B$2:$B$5001,B329))</f>
        <v/>
      </c>
      <c r="F329" s="27" t="str">
        <f aca="false">IF(A329="","",A329&amp;"|"&amp;B329)</f>
        <v/>
      </c>
    </row>
    <row r="330" customFormat="false" ht="15" hidden="false" customHeight="false" outlineLevel="0" collapsed="false">
      <c r="A330" s="19"/>
      <c r="B330" s="19"/>
      <c r="C330" s="20"/>
      <c r="D330" s="19"/>
      <c r="E330" s="26" t="str">
        <f aca="false">IF(A330="","",COUNTIFS(Apparitions!$A$2:$A$5001,A330,Apparitions!$B$2:$B$5001,B330))</f>
        <v/>
      </c>
      <c r="F330" s="27" t="str">
        <f aca="false">IF(A330="","",A330&amp;"|"&amp;B330)</f>
        <v/>
      </c>
    </row>
    <row r="331" customFormat="false" ht="15" hidden="false" customHeight="false" outlineLevel="0" collapsed="false">
      <c r="A331" s="19"/>
      <c r="B331" s="19"/>
      <c r="C331" s="20"/>
      <c r="D331" s="19"/>
      <c r="E331" s="26" t="str">
        <f aca="false">IF(A331="","",COUNTIFS(Apparitions!$A$2:$A$5001,A331,Apparitions!$B$2:$B$5001,B331))</f>
        <v/>
      </c>
      <c r="F331" s="27" t="str">
        <f aca="false">IF(A331="","",A331&amp;"|"&amp;B331)</f>
        <v/>
      </c>
    </row>
    <row r="332" customFormat="false" ht="15" hidden="false" customHeight="false" outlineLevel="0" collapsed="false">
      <c r="A332" s="19"/>
      <c r="B332" s="19"/>
      <c r="C332" s="20"/>
      <c r="D332" s="19"/>
      <c r="E332" s="26" t="str">
        <f aca="false">IF(A332="","",COUNTIFS(Apparitions!$A$2:$A$5001,A332,Apparitions!$B$2:$B$5001,B332))</f>
        <v/>
      </c>
      <c r="F332" s="27" t="str">
        <f aca="false">IF(A332="","",A332&amp;"|"&amp;B332)</f>
        <v/>
      </c>
    </row>
    <row r="333" customFormat="false" ht="15" hidden="false" customHeight="false" outlineLevel="0" collapsed="false">
      <c r="A333" s="19"/>
      <c r="B333" s="19"/>
      <c r="C333" s="20"/>
      <c r="D333" s="19"/>
      <c r="E333" s="26" t="str">
        <f aca="false">IF(A333="","",COUNTIFS(Apparitions!$A$2:$A$5001,A333,Apparitions!$B$2:$B$5001,B333))</f>
        <v/>
      </c>
      <c r="F333" s="27" t="str">
        <f aca="false">IF(A333="","",A333&amp;"|"&amp;B333)</f>
        <v/>
      </c>
    </row>
    <row r="334" customFormat="false" ht="15" hidden="false" customHeight="false" outlineLevel="0" collapsed="false">
      <c r="A334" s="19"/>
      <c r="B334" s="19"/>
      <c r="C334" s="20"/>
      <c r="D334" s="19"/>
      <c r="E334" s="26" t="str">
        <f aca="false">IF(A334="","",COUNTIFS(Apparitions!$A$2:$A$5001,A334,Apparitions!$B$2:$B$5001,B334))</f>
        <v/>
      </c>
      <c r="F334" s="27" t="str">
        <f aca="false">IF(A334="","",A334&amp;"|"&amp;B334)</f>
        <v/>
      </c>
    </row>
    <row r="335" customFormat="false" ht="15" hidden="false" customHeight="false" outlineLevel="0" collapsed="false">
      <c r="A335" s="19"/>
      <c r="B335" s="19"/>
      <c r="C335" s="20"/>
      <c r="D335" s="19"/>
      <c r="E335" s="26" t="str">
        <f aca="false">IF(A335="","",COUNTIFS(Apparitions!$A$2:$A$5001,A335,Apparitions!$B$2:$B$5001,B335))</f>
        <v/>
      </c>
      <c r="F335" s="27" t="str">
        <f aca="false">IF(A335="","",A335&amp;"|"&amp;B335)</f>
        <v/>
      </c>
    </row>
    <row r="336" customFormat="false" ht="15" hidden="false" customHeight="false" outlineLevel="0" collapsed="false">
      <c r="A336" s="19"/>
      <c r="B336" s="19"/>
      <c r="C336" s="20"/>
      <c r="D336" s="19"/>
      <c r="E336" s="26" t="str">
        <f aca="false">IF(A336="","",COUNTIFS(Apparitions!$A$2:$A$5001,A336,Apparitions!$B$2:$B$5001,B336))</f>
        <v/>
      </c>
      <c r="F336" s="27" t="str">
        <f aca="false">IF(A336="","",A336&amp;"|"&amp;B336)</f>
        <v/>
      </c>
    </row>
    <row r="337" customFormat="false" ht="15" hidden="false" customHeight="false" outlineLevel="0" collapsed="false">
      <c r="A337" s="19"/>
      <c r="B337" s="19"/>
      <c r="C337" s="20"/>
      <c r="D337" s="19"/>
      <c r="E337" s="26" t="str">
        <f aca="false">IF(A337="","",COUNTIFS(Apparitions!$A$2:$A$5001,A337,Apparitions!$B$2:$B$5001,B337))</f>
        <v/>
      </c>
      <c r="F337" s="27" t="str">
        <f aca="false">IF(A337="","",A337&amp;"|"&amp;B337)</f>
        <v/>
      </c>
    </row>
    <row r="338" customFormat="false" ht="15" hidden="false" customHeight="false" outlineLevel="0" collapsed="false">
      <c r="A338" s="19"/>
      <c r="B338" s="19"/>
      <c r="C338" s="20"/>
      <c r="D338" s="19"/>
      <c r="E338" s="26" t="str">
        <f aca="false">IF(A338="","",COUNTIFS(Apparitions!$A$2:$A$5001,A338,Apparitions!$B$2:$B$5001,B338))</f>
        <v/>
      </c>
      <c r="F338" s="27" t="str">
        <f aca="false">IF(A338="","",A338&amp;"|"&amp;B338)</f>
        <v/>
      </c>
    </row>
    <row r="339" customFormat="false" ht="15" hidden="false" customHeight="false" outlineLevel="0" collapsed="false">
      <c r="A339" s="19"/>
      <c r="B339" s="19"/>
      <c r="C339" s="20"/>
      <c r="D339" s="19"/>
      <c r="E339" s="26" t="str">
        <f aca="false">IF(A339="","",COUNTIFS(Apparitions!$A$2:$A$5001,A339,Apparitions!$B$2:$B$5001,B339))</f>
        <v/>
      </c>
      <c r="F339" s="27" t="str">
        <f aca="false">IF(A339="","",A339&amp;"|"&amp;B339)</f>
        <v/>
      </c>
    </row>
    <row r="340" customFormat="false" ht="15" hidden="false" customHeight="false" outlineLevel="0" collapsed="false">
      <c r="A340" s="19"/>
      <c r="B340" s="19"/>
      <c r="C340" s="20"/>
      <c r="D340" s="19"/>
      <c r="E340" s="26" t="str">
        <f aca="false">IF(A340="","",COUNTIFS(Apparitions!$A$2:$A$5001,A340,Apparitions!$B$2:$B$5001,B340))</f>
        <v/>
      </c>
      <c r="F340" s="27" t="str">
        <f aca="false">IF(A340="","",A340&amp;"|"&amp;B340)</f>
        <v/>
      </c>
    </row>
    <row r="341" customFormat="false" ht="15" hidden="false" customHeight="false" outlineLevel="0" collapsed="false">
      <c r="A341" s="19"/>
      <c r="B341" s="19"/>
      <c r="C341" s="20"/>
      <c r="D341" s="19"/>
      <c r="E341" s="26" t="str">
        <f aca="false">IF(A341="","",COUNTIFS(Apparitions!$A$2:$A$5001,A341,Apparitions!$B$2:$B$5001,B341))</f>
        <v/>
      </c>
      <c r="F341" s="27" t="str">
        <f aca="false">IF(A341="","",A341&amp;"|"&amp;B341)</f>
        <v/>
      </c>
    </row>
    <row r="342" customFormat="false" ht="15" hidden="false" customHeight="false" outlineLevel="0" collapsed="false">
      <c r="A342" s="19"/>
      <c r="B342" s="19"/>
      <c r="C342" s="20"/>
      <c r="D342" s="19"/>
      <c r="E342" s="26" t="str">
        <f aca="false">IF(A342="","",COUNTIFS(Apparitions!$A$2:$A$5001,A342,Apparitions!$B$2:$B$5001,B342))</f>
        <v/>
      </c>
      <c r="F342" s="27" t="str">
        <f aca="false">IF(A342="","",A342&amp;"|"&amp;B342)</f>
        <v/>
      </c>
    </row>
    <row r="343" customFormat="false" ht="15" hidden="false" customHeight="false" outlineLevel="0" collapsed="false">
      <c r="A343" s="19"/>
      <c r="B343" s="19"/>
      <c r="C343" s="20"/>
      <c r="D343" s="19"/>
      <c r="E343" s="26" t="str">
        <f aca="false">IF(A343="","",COUNTIFS(Apparitions!$A$2:$A$5001,A343,Apparitions!$B$2:$B$5001,B343))</f>
        <v/>
      </c>
      <c r="F343" s="27" t="str">
        <f aca="false">IF(A343="","",A343&amp;"|"&amp;B343)</f>
        <v/>
      </c>
    </row>
    <row r="344" customFormat="false" ht="15" hidden="false" customHeight="false" outlineLevel="0" collapsed="false">
      <c r="A344" s="19"/>
      <c r="B344" s="19"/>
      <c r="C344" s="20"/>
      <c r="D344" s="19"/>
      <c r="E344" s="26" t="str">
        <f aca="false">IF(A344="","",COUNTIFS(Apparitions!$A$2:$A$5001,A344,Apparitions!$B$2:$B$5001,B344))</f>
        <v/>
      </c>
      <c r="F344" s="27" t="str">
        <f aca="false">IF(A344="","",A344&amp;"|"&amp;B344)</f>
        <v/>
      </c>
    </row>
    <row r="345" customFormat="false" ht="15" hidden="false" customHeight="false" outlineLevel="0" collapsed="false">
      <c r="A345" s="19"/>
      <c r="B345" s="19"/>
      <c r="C345" s="20"/>
      <c r="D345" s="19"/>
      <c r="E345" s="26" t="str">
        <f aca="false">IF(A345="","",COUNTIFS(Apparitions!$A$2:$A$5001,A345,Apparitions!$B$2:$B$5001,B345))</f>
        <v/>
      </c>
      <c r="F345" s="27" t="str">
        <f aca="false">IF(A345="","",A345&amp;"|"&amp;B345)</f>
        <v/>
      </c>
    </row>
    <row r="346" customFormat="false" ht="15" hidden="false" customHeight="false" outlineLevel="0" collapsed="false">
      <c r="A346" s="19"/>
      <c r="B346" s="19"/>
      <c r="C346" s="20"/>
      <c r="D346" s="19"/>
      <c r="E346" s="26" t="str">
        <f aca="false">IF(A346="","",COUNTIFS(Apparitions!$A$2:$A$5001,A346,Apparitions!$B$2:$B$5001,B346))</f>
        <v/>
      </c>
      <c r="F346" s="27" t="str">
        <f aca="false">IF(A346="","",A346&amp;"|"&amp;B346)</f>
        <v/>
      </c>
    </row>
    <row r="347" customFormat="false" ht="15" hidden="false" customHeight="false" outlineLevel="0" collapsed="false">
      <c r="A347" s="19"/>
      <c r="B347" s="19"/>
      <c r="C347" s="20"/>
      <c r="D347" s="19"/>
      <c r="E347" s="26" t="str">
        <f aca="false">IF(A347="","",COUNTIFS(Apparitions!$A$2:$A$5001,A347,Apparitions!$B$2:$B$5001,B347))</f>
        <v/>
      </c>
      <c r="F347" s="27" t="str">
        <f aca="false">IF(A347="","",A347&amp;"|"&amp;B347)</f>
        <v/>
      </c>
    </row>
    <row r="348" customFormat="false" ht="15" hidden="false" customHeight="false" outlineLevel="0" collapsed="false">
      <c r="A348" s="19"/>
      <c r="B348" s="19"/>
      <c r="C348" s="20"/>
      <c r="D348" s="19"/>
      <c r="E348" s="26" t="str">
        <f aca="false">IF(A348="","",COUNTIFS(Apparitions!$A$2:$A$5001,A348,Apparitions!$B$2:$B$5001,B348))</f>
        <v/>
      </c>
      <c r="F348" s="27" t="str">
        <f aca="false">IF(A348="","",A348&amp;"|"&amp;B348)</f>
        <v/>
      </c>
    </row>
    <row r="349" customFormat="false" ht="15" hidden="false" customHeight="false" outlineLevel="0" collapsed="false">
      <c r="A349" s="19"/>
      <c r="B349" s="19"/>
      <c r="C349" s="20"/>
      <c r="D349" s="19"/>
      <c r="E349" s="26" t="str">
        <f aca="false">IF(A349="","",COUNTIFS(Apparitions!$A$2:$A$5001,A349,Apparitions!$B$2:$B$5001,B349))</f>
        <v/>
      </c>
      <c r="F349" s="27" t="str">
        <f aca="false">IF(A349="","",A349&amp;"|"&amp;B349)</f>
        <v/>
      </c>
    </row>
    <row r="350" customFormat="false" ht="15" hidden="false" customHeight="false" outlineLevel="0" collapsed="false">
      <c r="A350" s="19"/>
      <c r="B350" s="19"/>
      <c r="C350" s="20"/>
      <c r="D350" s="19"/>
      <c r="E350" s="26" t="str">
        <f aca="false">IF(A350="","",COUNTIFS(Apparitions!$A$2:$A$5001,A350,Apparitions!$B$2:$B$5001,B350))</f>
        <v/>
      </c>
      <c r="F350" s="27" t="str">
        <f aca="false">IF(A350="","",A350&amp;"|"&amp;B350)</f>
        <v/>
      </c>
    </row>
    <row r="351" customFormat="false" ht="15" hidden="false" customHeight="false" outlineLevel="0" collapsed="false">
      <c r="A351" s="19"/>
      <c r="B351" s="19"/>
      <c r="C351" s="20"/>
      <c r="D351" s="19"/>
      <c r="E351" s="26" t="str">
        <f aca="false">IF(A351="","",COUNTIFS(Apparitions!$A$2:$A$5001,A351,Apparitions!$B$2:$B$5001,B351))</f>
        <v/>
      </c>
      <c r="F351" s="27" t="str">
        <f aca="false">IF(A351="","",A351&amp;"|"&amp;B351)</f>
        <v/>
      </c>
    </row>
    <row r="352" customFormat="false" ht="15" hidden="false" customHeight="false" outlineLevel="0" collapsed="false">
      <c r="A352" s="19"/>
      <c r="B352" s="19"/>
      <c r="C352" s="20"/>
      <c r="D352" s="19"/>
      <c r="E352" s="26" t="str">
        <f aca="false">IF(A352="","",COUNTIFS(Apparitions!$A$2:$A$5001,A352,Apparitions!$B$2:$B$5001,B352))</f>
        <v/>
      </c>
      <c r="F352" s="27" t="str">
        <f aca="false">IF(A352="","",A352&amp;"|"&amp;B352)</f>
        <v/>
      </c>
    </row>
    <row r="353" customFormat="false" ht="15" hidden="false" customHeight="false" outlineLevel="0" collapsed="false">
      <c r="A353" s="19"/>
      <c r="B353" s="19"/>
      <c r="C353" s="20"/>
      <c r="D353" s="19"/>
      <c r="E353" s="26" t="str">
        <f aca="false">IF(A353="","",COUNTIFS(Apparitions!$A$2:$A$5001,A353,Apparitions!$B$2:$B$5001,B353))</f>
        <v/>
      </c>
      <c r="F353" s="27" t="str">
        <f aca="false">IF(A353="","",A353&amp;"|"&amp;B353)</f>
        <v/>
      </c>
    </row>
    <row r="354" customFormat="false" ht="15" hidden="false" customHeight="false" outlineLevel="0" collapsed="false">
      <c r="A354" s="19"/>
      <c r="B354" s="19"/>
      <c r="C354" s="20"/>
      <c r="D354" s="19"/>
      <c r="E354" s="26" t="str">
        <f aca="false">IF(A354="","",COUNTIFS(Apparitions!$A$2:$A$5001,A354,Apparitions!$B$2:$B$5001,B354))</f>
        <v/>
      </c>
      <c r="F354" s="27" t="str">
        <f aca="false">IF(A354="","",A354&amp;"|"&amp;B354)</f>
        <v/>
      </c>
    </row>
    <row r="355" customFormat="false" ht="15" hidden="false" customHeight="false" outlineLevel="0" collapsed="false">
      <c r="A355" s="19"/>
      <c r="B355" s="19"/>
      <c r="C355" s="20"/>
      <c r="D355" s="19"/>
      <c r="E355" s="26" t="str">
        <f aca="false">IF(A355="","",COUNTIFS(Apparitions!$A$2:$A$5001,A355,Apparitions!$B$2:$B$5001,B355))</f>
        <v/>
      </c>
      <c r="F355" s="27" t="str">
        <f aca="false">IF(A355="","",A355&amp;"|"&amp;B355)</f>
        <v/>
      </c>
    </row>
    <row r="356" customFormat="false" ht="15" hidden="false" customHeight="false" outlineLevel="0" collapsed="false">
      <c r="A356" s="19"/>
      <c r="B356" s="19"/>
      <c r="C356" s="20"/>
      <c r="D356" s="19"/>
      <c r="E356" s="26" t="str">
        <f aca="false">IF(A356="","",COUNTIFS(Apparitions!$A$2:$A$5001,A356,Apparitions!$B$2:$B$5001,B356))</f>
        <v/>
      </c>
      <c r="F356" s="27" t="str">
        <f aca="false">IF(A356="","",A356&amp;"|"&amp;B356)</f>
        <v/>
      </c>
    </row>
    <row r="357" customFormat="false" ht="15" hidden="false" customHeight="false" outlineLevel="0" collapsed="false">
      <c r="A357" s="19"/>
      <c r="B357" s="19"/>
      <c r="C357" s="20"/>
      <c r="D357" s="19"/>
      <c r="E357" s="26" t="str">
        <f aca="false">IF(A357="","",COUNTIFS(Apparitions!$A$2:$A$5001,A357,Apparitions!$B$2:$B$5001,B357))</f>
        <v/>
      </c>
      <c r="F357" s="27" t="str">
        <f aca="false">IF(A357="","",A357&amp;"|"&amp;B357)</f>
        <v/>
      </c>
    </row>
    <row r="358" customFormat="false" ht="15" hidden="false" customHeight="false" outlineLevel="0" collapsed="false">
      <c r="A358" s="19"/>
      <c r="B358" s="19"/>
      <c r="C358" s="20"/>
      <c r="D358" s="19"/>
      <c r="E358" s="26" t="str">
        <f aca="false">IF(A358="","",COUNTIFS(Apparitions!$A$2:$A$5001,A358,Apparitions!$B$2:$B$5001,B358))</f>
        <v/>
      </c>
      <c r="F358" s="27" t="str">
        <f aca="false">IF(A358="","",A358&amp;"|"&amp;B358)</f>
        <v/>
      </c>
    </row>
    <row r="359" customFormat="false" ht="15" hidden="false" customHeight="false" outlineLevel="0" collapsed="false">
      <c r="A359" s="19"/>
      <c r="B359" s="19"/>
      <c r="C359" s="20"/>
      <c r="D359" s="19"/>
      <c r="E359" s="26" t="str">
        <f aca="false">IF(A359="","",COUNTIFS(Apparitions!$A$2:$A$5001,A359,Apparitions!$B$2:$B$5001,B359))</f>
        <v/>
      </c>
      <c r="F359" s="27" t="str">
        <f aca="false">IF(A359="","",A359&amp;"|"&amp;B359)</f>
        <v/>
      </c>
    </row>
    <row r="360" customFormat="false" ht="15" hidden="false" customHeight="false" outlineLevel="0" collapsed="false">
      <c r="A360" s="19"/>
      <c r="B360" s="19"/>
      <c r="C360" s="20"/>
      <c r="D360" s="19"/>
      <c r="E360" s="26" t="str">
        <f aca="false">IF(A360="","",COUNTIFS(Apparitions!$A$2:$A$5001,A360,Apparitions!$B$2:$B$5001,B360))</f>
        <v/>
      </c>
      <c r="F360" s="27" t="str">
        <f aca="false">IF(A360="","",A360&amp;"|"&amp;B360)</f>
        <v/>
      </c>
    </row>
    <row r="361" customFormat="false" ht="15" hidden="false" customHeight="false" outlineLevel="0" collapsed="false">
      <c r="A361" s="19"/>
      <c r="B361" s="19"/>
      <c r="C361" s="20"/>
      <c r="D361" s="19"/>
      <c r="E361" s="26" t="str">
        <f aca="false">IF(A361="","",COUNTIFS(Apparitions!$A$2:$A$5001,A361,Apparitions!$B$2:$B$5001,B361))</f>
        <v/>
      </c>
      <c r="F361" s="27" t="str">
        <f aca="false">IF(A361="","",A361&amp;"|"&amp;B361)</f>
        <v/>
      </c>
    </row>
    <row r="362" customFormat="false" ht="15" hidden="false" customHeight="false" outlineLevel="0" collapsed="false">
      <c r="A362" s="19"/>
      <c r="B362" s="19"/>
      <c r="C362" s="20"/>
      <c r="D362" s="19"/>
      <c r="E362" s="26" t="str">
        <f aca="false">IF(A362="","",COUNTIFS(Apparitions!$A$2:$A$5001,A362,Apparitions!$B$2:$B$5001,B362))</f>
        <v/>
      </c>
      <c r="F362" s="27" t="str">
        <f aca="false">IF(A362="","",A362&amp;"|"&amp;B362)</f>
        <v/>
      </c>
    </row>
    <row r="363" customFormat="false" ht="15" hidden="false" customHeight="false" outlineLevel="0" collapsed="false">
      <c r="A363" s="19"/>
      <c r="B363" s="19"/>
      <c r="C363" s="20"/>
      <c r="D363" s="19"/>
      <c r="E363" s="26" t="str">
        <f aca="false">IF(A363="","",COUNTIFS(Apparitions!$A$2:$A$5001,A363,Apparitions!$B$2:$B$5001,B363))</f>
        <v/>
      </c>
      <c r="F363" s="27" t="str">
        <f aca="false">IF(A363="","",A363&amp;"|"&amp;B363)</f>
        <v/>
      </c>
    </row>
    <row r="364" customFormat="false" ht="15" hidden="false" customHeight="false" outlineLevel="0" collapsed="false">
      <c r="A364" s="19"/>
      <c r="B364" s="19"/>
      <c r="C364" s="20"/>
      <c r="D364" s="19"/>
      <c r="E364" s="26" t="str">
        <f aca="false">IF(A364="","",COUNTIFS(Apparitions!$A$2:$A$5001,A364,Apparitions!$B$2:$B$5001,B364))</f>
        <v/>
      </c>
      <c r="F364" s="27" t="str">
        <f aca="false">IF(A364="","",A364&amp;"|"&amp;B364)</f>
        <v/>
      </c>
    </row>
    <row r="365" customFormat="false" ht="15" hidden="false" customHeight="false" outlineLevel="0" collapsed="false">
      <c r="A365" s="19"/>
      <c r="B365" s="19"/>
      <c r="C365" s="20"/>
      <c r="D365" s="19"/>
      <c r="E365" s="26" t="str">
        <f aca="false">IF(A365="","",COUNTIFS(Apparitions!$A$2:$A$5001,A365,Apparitions!$B$2:$B$5001,B365))</f>
        <v/>
      </c>
      <c r="F365" s="27" t="str">
        <f aca="false">IF(A365="","",A365&amp;"|"&amp;B365)</f>
        <v/>
      </c>
    </row>
    <row r="366" customFormat="false" ht="15" hidden="false" customHeight="false" outlineLevel="0" collapsed="false">
      <c r="A366" s="19"/>
      <c r="B366" s="19"/>
      <c r="C366" s="20"/>
      <c r="D366" s="19"/>
      <c r="E366" s="26" t="str">
        <f aca="false">IF(A366="","",COUNTIFS(Apparitions!$A$2:$A$5001,A366,Apparitions!$B$2:$B$5001,B366))</f>
        <v/>
      </c>
      <c r="F366" s="27" t="str">
        <f aca="false">IF(A366="","",A366&amp;"|"&amp;B366)</f>
        <v/>
      </c>
    </row>
    <row r="367" customFormat="false" ht="15" hidden="false" customHeight="false" outlineLevel="0" collapsed="false">
      <c r="A367" s="19"/>
      <c r="B367" s="19"/>
      <c r="C367" s="20"/>
      <c r="D367" s="19"/>
      <c r="E367" s="26" t="str">
        <f aca="false">IF(A367="","",COUNTIFS(Apparitions!$A$2:$A$5001,A367,Apparitions!$B$2:$B$5001,B367))</f>
        <v/>
      </c>
      <c r="F367" s="27" t="str">
        <f aca="false">IF(A367="","",A367&amp;"|"&amp;B367)</f>
        <v/>
      </c>
    </row>
    <row r="368" customFormat="false" ht="15" hidden="false" customHeight="false" outlineLevel="0" collapsed="false">
      <c r="A368" s="19"/>
      <c r="B368" s="19"/>
      <c r="C368" s="20"/>
      <c r="D368" s="19"/>
      <c r="E368" s="26" t="str">
        <f aca="false">IF(A368="","",COUNTIFS(Apparitions!$A$2:$A$5001,A368,Apparitions!$B$2:$B$5001,B368))</f>
        <v/>
      </c>
      <c r="F368" s="27" t="str">
        <f aca="false">IF(A368="","",A368&amp;"|"&amp;B368)</f>
        <v/>
      </c>
    </row>
    <row r="369" customFormat="false" ht="15" hidden="false" customHeight="false" outlineLevel="0" collapsed="false">
      <c r="A369" s="19"/>
      <c r="B369" s="19"/>
      <c r="C369" s="20"/>
      <c r="D369" s="19"/>
      <c r="E369" s="26" t="str">
        <f aca="false">IF(A369="","",COUNTIFS(Apparitions!$A$2:$A$5001,A369,Apparitions!$B$2:$B$5001,B369))</f>
        <v/>
      </c>
      <c r="F369" s="27" t="str">
        <f aca="false">IF(A369="","",A369&amp;"|"&amp;B369)</f>
        <v/>
      </c>
    </row>
    <row r="370" customFormat="false" ht="15" hidden="false" customHeight="false" outlineLevel="0" collapsed="false">
      <c r="A370" s="19"/>
      <c r="B370" s="19"/>
      <c r="C370" s="20"/>
      <c r="D370" s="19"/>
      <c r="E370" s="26" t="str">
        <f aca="false">IF(A370="","",COUNTIFS(Apparitions!$A$2:$A$5001,A370,Apparitions!$B$2:$B$5001,B370))</f>
        <v/>
      </c>
      <c r="F370" s="27" t="str">
        <f aca="false">IF(A370="","",A370&amp;"|"&amp;B370)</f>
        <v/>
      </c>
    </row>
    <row r="371" customFormat="false" ht="15" hidden="false" customHeight="false" outlineLevel="0" collapsed="false">
      <c r="A371" s="19"/>
      <c r="B371" s="19"/>
      <c r="C371" s="20"/>
      <c r="D371" s="19"/>
      <c r="E371" s="26" t="str">
        <f aca="false">IF(A371="","",COUNTIFS(Apparitions!$A$2:$A$5001,A371,Apparitions!$B$2:$B$5001,B371))</f>
        <v/>
      </c>
      <c r="F371" s="27" t="str">
        <f aca="false">IF(A371="","",A371&amp;"|"&amp;B371)</f>
        <v/>
      </c>
    </row>
    <row r="372" customFormat="false" ht="15" hidden="false" customHeight="false" outlineLevel="0" collapsed="false">
      <c r="A372" s="19"/>
      <c r="B372" s="19"/>
      <c r="C372" s="20"/>
      <c r="D372" s="19"/>
      <c r="E372" s="26" t="str">
        <f aca="false">IF(A372="","",COUNTIFS(Apparitions!$A$2:$A$5001,A372,Apparitions!$B$2:$B$5001,B372))</f>
        <v/>
      </c>
      <c r="F372" s="27" t="str">
        <f aca="false">IF(A372="","",A372&amp;"|"&amp;B372)</f>
        <v/>
      </c>
    </row>
    <row r="373" customFormat="false" ht="15" hidden="false" customHeight="false" outlineLevel="0" collapsed="false">
      <c r="A373" s="19"/>
      <c r="B373" s="19"/>
      <c r="C373" s="20"/>
      <c r="D373" s="19"/>
      <c r="E373" s="26" t="str">
        <f aca="false">IF(A373="","",COUNTIFS(Apparitions!$A$2:$A$5001,A373,Apparitions!$B$2:$B$5001,B373))</f>
        <v/>
      </c>
      <c r="F373" s="27" t="str">
        <f aca="false">IF(A373="","",A373&amp;"|"&amp;B373)</f>
        <v/>
      </c>
    </row>
    <row r="374" customFormat="false" ht="15" hidden="false" customHeight="false" outlineLevel="0" collapsed="false">
      <c r="A374" s="19"/>
      <c r="B374" s="19"/>
      <c r="C374" s="20"/>
      <c r="D374" s="19"/>
      <c r="E374" s="26" t="str">
        <f aca="false">IF(A374="","",COUNTIFS(Apparitions!$A$2:$A$5001,A374,Apparitions!$B$2:$B$5001,B374))</f>
        <v/>
      </c>
      <c r="F374" s="27" t="str">
        <f aca="false">IF(A374="","",A374&amp;"|"&amp;B374)</f>
        <v/>
      </c>
    </row>
    <row r="375" customFormat="false" ht="15" hidden="false" customHeight="false" outlineLevel="0" collapsed="false">
      <c r="A375" s="19"/>
      <c r="B375" s="19"/>
      <c r="C375" s="20"/>
      <c r="D375" s="19"/>
      <c r="E375" s="26" t="str">
        <f aca="false">IF(A375="","",COUNTIFS(Apparitions!$A$2:$A$5001,A375,Apparitions!$B$2:$B$5001,B375))</f>
        <v/>
      </c>
      <c r="F375" s="27" t="str">
        <f aca="false">IF(A375="","",A375&amp;"|"&amp;B375)</f>
        <v/>
      </c>
    </row>
    <row r="376" customFormat="false" ht="15" hidden="false" customHeight="false" outlineLevel="0" collapsed="false">
      <c r="A376" s="19"/>
      <c r="B376" s="19"/>
      <c r="C376" s="20"/>
      <c r="D376" s="19"/>
      <c r="E376" s="26" t="str">
        <f aca="false">IF(A376="","",COUNTIFS(Apparitions!$A$2:$A$5001,A376,Apparitions!$B$2:$B$5001,B376))</f>
        <v/>
      </c>
      <c r="F376" s="27" t="str">
        <f aca="false">IF(A376="","",A376&amp;"|"&amp;B376)</f>
        <v/>
      </c>
    </row>
    <row r="377" customFormat="false" ht="15" hidden="false" customHeight="false" outlineLevel="0" collapsed="false">
      <c r="A377" s="19"/>
      <c r="B377" s="19"/>
      <c r="C377" s="20"/>
      <c r="D377" s="19"/>
      <c r="E377" s="26" t="str">
        <f aca="false">IF(A377="","",COUNTIFS(Apparitions!$A$2:$A$5001,A377,Apparitions!$B$2:$B$5001,B377))</f>
        <v/>
      </c>
      <c r="F377" s="27" t="str">
        <f aca="false">IF(A377="","",A377&amp;"|"&amp;B377)</f>
        <v/>
      </c>
    </row>
    <row r="378" customFormat="false" ht="15" hidden="false" customHeight="false" outlineLevel="0" collapsed="false">
      <c r="A378" s="19"/>
      <c r="B378" s="19"/>
      <c r="C378" s="20"/>
      <c r="D378" s="19"/>
      <c r="E378" s="26" t="str">
        <f aca="false">IF(A378="","",COUNTIFS(Apparitions!$A$2:$A$5001,A378,Apparitions!$B$2:$B$5001,B378))</f>
        <v/>
      </c>
      <c r="F378" s="27" t="str">
        <f aca="false">IF(A378="","",A378&amp;"|"&amp;B378)</f>
        <v/>
      </c>
    </row>
    <row r="379" customFormat="false" ht="15" hidden="false" customHeight="false" outlineLevel="0" collapsed="false">
      <c r="A379" s="19"/>
      <c r="B379" s="19"/>
      <c r="C379" s="20"/>
      <c r="D379" s="19"/>
      <c r="E379" s="26" t="str">
        <f aca="false">IF(A379="","",COUNTIFS(Apparitions!$A$2:$A$5001,A379,Apparitions!$B$2:$B$5001,B379))</f>
        <v/>
      </c>
      <c r="F379" s="27" t="str">
        <f aca="false">IF(A379="","",A379&amp;"|"&amp;B379)</f>
        <v/>
      </c>
    </row>
    <row r="380" customFormat="false" ht="15" hidden="false" customHeight="false" outlineLevel="0" collapsed="false">
      <c r="A380" s="19"/>
      <c r="B380" s="19"/>
      <c r="C380" s="20"/>
      <c r="D380" s="19"/>
      <c r="E380" s="26" t="str">
        <f aca="false">IF(A380="","",COUNTIFS(Apparitions!$A$2:$A$5001,A380,Apparitions!$B$2:$B$5001,B380))</f>
        <v/>
      </c>
      <c r="F380" s="27" t="str">
        <f aca="false">IF(A380="","",A380&amp;"|"&amp;B380)</f>
        <v/>
      </c>
    </row>
    <row r="381" customFormat="false" ht="15" hidden="false" customHeight="false" outlineLevel="0" collapsed="false">
      <c r="A381" s="19"/>
      <c r="B381" s="19"/>
      <c r="C381" s="20"/>
      <c r="D381" s="19"/>
      <c r="E381" s="26" t="str">
        <f aca="false">IF(A381="","",COUNTIFS(Apparitions!$A$2:$A$5001,A381,Apparitions!$B$2:$B$5001,B381))</f>
        <v/>
      </c>
      <c r="F381" s="27" t="str">
        <f aca="false">IF(A381="","",A381&amp;"|"&amp;B381)</f>
        <v/>
      </c>
    </row>
    <row r="382" customFormat="false" ht="15" hidden="false" customHeight="false" outlineLevel="0" collapsed="false">
      <c r="A382" s="19"/>
      <c r="B382" s="19"/>
      <c r="C382" s="20"/>
      <c r="D382" s="19"/>
      <c r="E382" s="26" t="str">
        <f aca="false">IF(A382="","",COUNTIFS(Apparitions!$A$2:$A$5001,A382,Apparitions!$B$2:$B$5001,B382))</f>
        <v/>
      </c>
      <c r="F382" s="27" t="str">
        <f aca="false">IF(A382="","",A382&amp;"|"&amp;B382)</f>
        <v/>
      </c>
    </row>
    <row r="383" customFormat="false" ht="15" hidden="false" customHeight="false" outlineLevel="0" collapsed="false">
      <c r="A383" s="19"/>
      <c r="B383" s="19"/>
      <c r="C383" s="20"/>
      <c r="D383" s="19"/>
      <c r="E383" s="26" t="str">
        <f aca="false">IF(A383="","",COUNTIFS(Apparitions!$A$2:$A$5001,A383,Apparitions!$B$2:$B$5001,B383))</f>
        <v/>
      </c>
      <c r="F383" s="27" t="str">
        <f aca="false">IF(A383="","",A383&amp;"|"&amp;B383)</f>
        <v/>
      </c>
    </row>
    <row r="384" customFormat="false" ht="15" hidden="false" customHeight="false" outlineLevel="0" collapsed="false">
      <c r="A384" s="19"/>
      <c r="B384" s="19"/>
      <c r="C384" s="20"/>
      <c r="D384" s="19"/>
      <c r="E384" s="26" t="str">
        <f aca="false">IF(A384="","",COUNTIFS(Apparitions!$A$2:$A$5001,A384,Apparitions!$B$2:$B$5001,B384))</f>
        <v/>
      </c>
      <c r="F384" s="27" t="str">
        <f aca="false">IF(A384="","",A384&amp;"|"&amp;B384)</f>
        <v/>
      </c>
    </row>
    <row r="385" customFormat="false" ht="15" hidden="false" customHeight="false" outlineLevel="0" collapsed="false">
      <c r="A385" s="19"/>
      <c r="B385" s="19"/>
      <c r="C385" s="20"/>
      <c r="D385" s="19"/>
      <c r="E385" s="26" t="str">
        <f aca="false">IF(A385="","",COUNTIFS(Apparitions!$A$2:$A$5001,A385,Apparitions!$B$2:$B$5001,B385))</f>
        <v/>
      </c>
      <c r="F385" s="27" t="str">
        <f aca="false">IF(A385="","",A385&amp;"|"&amp;B385)</f>
        <v/>
      </c>
    </row>
    <row r="386" customFormat="false" ht="15" hidden="false" customHeight="false" outlineLevel="0" collapsed="false">
      <c r="A386" s="19"/>
      <c r="B386" s="19"/>
      <c r="C386" s="20"/>
      <c r="D386" s="19"/>
      <c r="E386" s="26" t="str">
        <f aca="false">IF(A386="","",COUNTIFS(Apparitions!$A$2:$A$5001,A386,Apparitions!$B$2:$B$5001,B386))</f>
        <v/>
      </c>
      <c r="F386" s="27" t="str">
        <f aca="false">IF(A386="","",A386&amp;"|"&amp;B386)</f>
        <v/>
      </c>
    </row>
    <row r="387" customFormat="false" ht="15" hidden="false" customHeight="false" outlineLevel="0" collapsed="false">
      <c r="A387" s="19"/>
      <c r="B387" s="19"/>
      <c r="C387" s="20"/>
      <c r="D387" s="19"/>
      <c r="E387" s="26" t="str">
        <f aca="false">IF(A387="","",COUNTIFS(Apparitions!$A$2:$A$5001,A387,Apparitions!$B$2:$B$5001,B387))</f>
        <v/>
      </c>
      <c r="F387" s="27" t="str">
        <f aca="false">IF(A387="","",A387&amp;"|"&amp;B387)</f>
        <v/>
      </c>
    </row>
    <row r="388" customFormat="false" ht="15" hidden="false" customHeight="false" outlineLevel="0" collapsed="false">
      <c r="A388" s="19"/>
      <c r="B388" s="19"/>
      <c r="C388" s="20"/>
      <c r="D388" s="19"/>
      <c r="E388" s="26" t="str">
        <f aca="false">IF(A388="","",COUNTIFS(Apparitions!$A$2:$A$5001,A388,Apparitions!$B$2:$B$5001,B388))</f>
        <v/>
      </c>
      <c r="F388" s="27" t="str">
        <f aca="false">IF(A388="","",A388&amp;"|"&amp;B388)</f>
        <v/>
      </c>
    </row>
    <row r="389" customFormat="false" ht="15" hidden="false" customHeight="false" outlineLevel="0" collapsed="false">
      <c r="A389" s="19"/>
      <c r="B389" s="19"/>
      <c r="C389" s="20"/>
      <c r="D389" s="19"/>
      <c r="E389" s="26" t="str">
        <f aca="false">IF(A389="","",COUNTIFS(Apparitions!$A$2:$A$5001,A389,Apparitions!$B$2:$B$5001,B389))</f>
        <v/>
      </c>
      <c r="F389" s="27" t="str">
        <f aca="false">IF(A389="","",A389&amp;"|"&amp;B389)</f>
        <v/>
      </c>
    </row>
    <row r="390" customFormat="false" ht="15" hidden="false" customHeight="false" outlineLevel="0" collapsed="false">
      <c r="A390" s="19"/>
      <c r="B390" s="19"/>
      <c r="C390" s="20"/>
      <c r="D390" s="19"/>
      <c r="E390" s="26" t="str">
        <f aca="false">IF(A390="","",COUNTIFS(Apparitions!$A$2:$A$5001,A390,Apparitions!$B$2:$B$5001,B390))</f>
        <v/>
      </c>
      <c r="F390" s="27" t="str">
        <f aca="false">IF(A390="","",A390&amp;"|"&amp;B390)</f>
        <v/>
      </c>
    </row>
    <row r="391" customFormat="false" ht="15" hidden="false" customHeight="false" outlineLevel="0" collapsed="false">
      <c r="A391" s="19"/>
      <c r="B391" s="19"/>
      <c r="C391" s="20"/>
      <c r="D391" s="19"/>
      <c r="E391" s="26" t="str">
        <f aca="false">IF(A391="","",COUNTIFS(Apparitions!$A$2:$A$5001,A391,Apparitions!$B$2:$B$5001,B391))</f>
        <v/>
      </c>
      <c r="F391" s="27" t="str">
        <f aca="false">IF(A391="","",A391&amp;"|"&amp;B391)</f>
        <v/>
      </c>
    </row>
    <row r="392" customFormat="false" ht="15" hidden="false" customHeight="false" outlineLevel="0" collapsed="false">
      <c r="A392" s="19"/>
      <c r="B392" s="19"/>
      <c r="C392" s="20"/>
      <c r="D392" s="19"/>
      <c r="E392" s="26" t="str">
        <f aca="false">IF(A392="","",COUNTIFS(Apparitions!$A$2:$A$5001,A392,Apparitions!$B$2:$B$5001,B392))</f>
        <v/>
      </c>
      <c r="F392" s="27" t="str">
        <f aca="false">IF(A392="","",A392&amp;"|"&amp;B392)</f>
        <v/>
      </c>
    </row>
    <row r="393" customFormat="false" ht="15" hidden="false" customHeight="false" outlineLevel="0" collapsed="false">
      <c r="A393" s="19"/>
      <c r="B393" s="19"/>
      <c r="C393" s="20"/>
      <c r="D393" s="19"/>
      <c r="E393" s="26" t="str">
        <f aca="false">IF(A393="","",COUNTIFS(Apparitions!$A$2:$A$5001,A393,Apparitions!$B$2:$B$5001,B393))</f>
        <v/>
      </c>
      <c r="F393" s="27" t="str">
        <f aca="false">IF(A393="","",A393&amp;"|"&amp;B393)</f>
        <v/>
      </c>
    </row>
    <row r="394" customFormat="false" ht="15" hidden="false" customHeight="false" outlineLevel="0" collapsed="false">
      <c r="A394" s="19"/>
      <c r="B394" s="19"/>
      <c r="C394" s="20"/>
      <c r="D394" s="19"/>
      <c r="E394" s="26" t="str">
        <f aca="false">IF(A394="","",COUNTIFS(Apparitions!$A$2:$A$5001,A394,Apparitions!$B$2:$B$5001,B394))</f>
        <v/>
      </c>
      <c r="F394" s="27" t="str">
        <f aca="false">IF(A394="","",A394&amp;"|"&amp;B394)</f>
        <v/>
      </c>
    </row>
    <row r="395" customFormat="false" ht="15" hidden="false" customHeight="false" outlineLevel="0" collapsed="false">
      <c r="A395" s="19"/>
      <c r="B395" s="19"/>
      <c r="C395" s="20"/>
      <c r="D395" s="19"/>
      <c r="E395" s="26" t="str">
        <f aca="false">IF(A395="","",COUNTIFS(Apparitions!$A$2:$A$5001,A395,Apparitions!$B$2:$B$5001,B395))</f>
        <v/>
      </c>
      <c r="F395" s="27" t="str">
        <f aca="false">IF(A395="","",A395&amp;"|"&amp;B395)</f>
        <v/>
      </c>
    </row>
    <row r="396" customFormat="false" ht="15" hidden="false" customHeight="false" outlineLevel="0" collapsed="false">
      <c r="A396" s="19"/>
      <c r="B396" s="19"/>
      <c r="C396" s="20"/>
      <c r="D396" s="19"/>
      <c r="E396" s="26" t="str">
        <f aca="false">IF(A396="","",COUNTIFS(Apparitions!$A$2:$A$5001,A396,Apparitions!$B$2:$B$5001,B396))</f>
        <v/>
      </c>
      <c r="F396" s="27" t="str">
        <f aca="false">IF(A396="","",A396&amp;"|"&amp;B396)</f>
        <v/>
      </c>
    </row>
    <row r="397" customFormat="false" ht="15" hidden="false" customHeight="false" outlineLevel="0" collapsed="false">
      <c r="A397" s="19"/>
      <c r="B397" s="19"/>
      <c r="C397" s="20"/>
      <c r="D397" s="19"/>
      <c r="E397" s="26" t="str">
        <f aca="false">IF(A397="","",COUNTIFS(Apparitions!$A$2:$A$5001,A397,Apparitions!$B$2:$B$5001,B397))</f>
        <v/>
      </c>
      <c r="F397" s="27" t="str">
        <f aca="false">IF(A397="","",A397&amp;"|"&amp;B397)</f>
        <v/>
      </c>
    </row>
    <row r="398" customFormat="false" ht="15" hidden="false" customHeight="false" outlineLevel="0" collapsed="false">
      <c r="A398" s="19"/>
      <c r="B398" s="19"/>
      <c r="C398" s="20"/>
      <c r="D398" s="19"/>
      <c r="E398" s="26" t="str">
        <f aca="false">IF(A398="","",COUNTIFS(Apparitions!$A$2:$A$5001,A398,Apparitions!$B$2:$B$5001,B398))</f>
        <v/>
      </c>
      <c r="F398" s="27" t="str">
        <f aca="false">IF(A398="","",A398&amp;"|"&amp;B398)</f>
        <v/>
      </c>
    </row>
    <row r="399" customFormat="false" ht="15" hidden="false" customHeight="false" outlineLevel="0" collapsed="false">
      <c r="A399" s="19"/>
      <c r="B399" s="19"/>
      <c r="C399" s="20"/>
      <c r="D399" s="19"/>
      <c r="E399" s="26" t="str">
        <f aca="false">IF(A399="","",COUNTIFS(Apparitions!$A$2:$A$5001,A399,Apparitions!$B$2:$B$5001,B399))</f>
        <v/>
      </c>
      <c r="F399" s="27" t="str">
        <f aca="false">IF(A399="","",A399&amp;"|"&amp;B399)</f>
        <v/>
      </c>
    </row>
    <row r="400" customFormat="false" ht="15" hidden="false" customHeight="false" outlineLevel="0" collapsed="false">
      <c r="A400" s="19"/>
      <c r="B400" s="19"/>
      <c r="C400" s="20"/>
      <c r="D400" s="19"/>
      <c r="E400" s="26" t="str">
        <f aca="false">IF(A400="","",COUNTIFS(Apparitions!$A$2:$A$5001,A400,Apparitions!$B$2:$B$5001,B400))</f>
        <v/>
      </c>
      <c r="F400" s="27" t="str">
        <f aca="false">IF(A400="","",A400&amp;"|"&amp;B400)</f>
        <v/>
      </c>
    </row>
    <row r="401" customFormat="false" ht="15" hidden="false" customHeight="false" outlineLevel="0" collapsed="false">
      <c r="A401" s="19"/>
      <c r="B401" s="19"/>
      <c r="C401" s="20"/>
      <c r="D401" s="19"/>
      <c r="E401" s="26" t="str">
        <f aca="false">IF(A401="","",COUNTIFS(Apparitions!$A$2:$A$5001,A401,Apparitions!$B$2:$B$5001,B401))</f>
        <v/>
      </c>
      <c r="F401" s="27" t="str">
        <f aca="false">IF(A401="","",A401&amp;"|"&amp;B401)</f>
        <v/>
      </c>
    </row>
    <row r="402" customFormat="false" ht="15" hidden="false" customHeight="false" outlineLevel="0" collapsed="false">
      <c r="A402" s="19"/>
      <c r="B402" s="19"/>
      <c r="C402" s="20"/>
      <c r="D402" s="19"/>
      <c r="E402" s="26" t="str">
        <f aca="false">IF(A402="","",COUNTIFS(Apparitions!$A$2:$A$5001,A402,Apparitions!$B$2:$B$5001,B402))</f>
        <v/>
      </c>
      <c r="F402" s="27" t="str">
        <f aca="false">IF(A402="","",A402&amp;"|"&amp;B402)</f>
        <v/>
      </c>
    </row>
    <row r="403" customFormat="false" ht="15" hidden="false" customHeight="false" outlineLevel="0" collapsed="false">
      <c r="A403" s="19"/>
      <c r="B403" s="19"/>
      <c r="C403" s="20"/>
      <c r="D403" s="19"/>
      <c r="E403" s="26" t="str">
        <f aca="false">IF(A403="","",COUNTIFS(Apparitions!$A$2:$A$5001,A403,Apparitions!$B$2:$B$5001,B403))</f>
        <v/>
      </c>
      <c r="F403" s="27" t="str">
        <f aca="false">IF(A403="","",A403&amp;"|"&amp;B403)</f>
        <v/>
      </c>
    </row>
    <row r="404" customFormat="false" ht="15" hidden="false" customHeight="false" outlineLevel="0" collapsed="false">
      <c r="A404" s="19"/>
      <c r="B404" s="19"/>
      <c r="C404" s="20"/>
      <c r="D404" s="19"/>
      <c r="E404" s="26" t="str">
        <f aca="false">IF(A404="","",COUNTIFS(Apparitions!$A$2:$A$5001,A404,Apparitions!$B$2:$B$5001,B404))</f>
        <v/>
      </c>
      <c r="F404" s="27" t="str">
        <f aca="false">IF(A404="","",A404&amp;"|"&amp;B404)</f>
        <v/>
      </c>
    </row>
    <row r="405" customFormat="false" ht="15" hidden="false" customHeight="false" outlineLevel="0" collapsed="false">
      <c r="A405" s="19"/>
      <c r="B405" s="19"/>
      <c r="C405" s="20"/>
      <c r="D405" s="19"/>
      <c r="E405" s="26" t="str">
        <f aca="false">IF(A405="","",COUNTIFS(Apparitions!$A$2:$A$5001,A405,Apparitions!$B$2:$B$5001,B405))</f>
        <v/>
      </c>
      <c r="F405" s="27" t="str">
        <f aca="false">IF(A405="","",A405&amp;"|"&amp;B405)</f>
        <v/>
      </c>
    </row>
    <row r="406" customFormat="false" ht="15" hidden="false" customHeight="false" outlineLevel="0" collapsed="false">
      <c r="A406" s="19"/>
      <c r="B406" s="19"/>
      <c r="C406" s="20"/>
      <c r="D406" s="19"/>
      <c r="E406" s="26" t="str">
        <f aca="false">IF(A406="","",COUNTIFS(Apparitions!$A$2:$A$5001,A406,Apparitions!$B$2:$B$5001,B406))</f>
        <v/>
      </c>
      <c r="F406" s="27" t="str">
        <f aca="false">IF(A406="","",A406&amp;"|"&amp;B406)</f>
        <v/>
      </c>
    </row>
    <row r="407" customFormat="false" ht="15" hidden="false" customHeight="false" outlineLevel="0" collapsed="false">
      <c r="A407" s="19"/>
      <c r="B407" s="19"/>
      <c r="C407" s="20"/>
      <c r="D407" s="19"/>
      <c r="E407" s="26" t="str">
        <f aca="false">IF(A407="","",COUNTIFS(Apparitions!$A$2:$A$5001,A407,Apparitions!$B$2:$B$5001,B407))</f>
        <v/>
      </c>
      <c r="F407" s="27" t="str">
        <f aca="false">IF(A407="","",A407&amp;"|"&amp;B407)</f>
        <v/>
      </c>
    </row>
    <row r="408" customFormat="false" ht="15" hidden="false" customHeight="false" outlineLevel="0" collapsed="false">
      <c r="A408" s="19"/>
      <c r="B408" s="19"/>
      <c r="C408" s="20"/>
      <c r="D408" s="19"/>
      <c r="E408" s="26" t="str">
        <f aca="false">IF(A408="","",COUNTIFS(Apparitions!$A$2:$A$5001,A408,Apparitions!$B$2:$B$5001,B408))</f>
        <v/>
      </c>
      <c r="F408" s="27" t="str">
        <f aca="false">IF(A408="","",A408&amp;"|"&amp;B408)</f>
        <v/>
      </c>
    </row>
    <row r="409" customFormat="false" ht="15" hidden="false" customHeight="false" outlineLevel="0" collapsed="false">
      <c r="A409" s="19"/>
      <c r="B409" s="19"/>
      <c r="C409" s="20"/>
      <c r="D409" s="19"/>
      <c r="E409" s="26" t="str">
        <f aca="false">IF(A409="","",COUNTIFS(Apparitions!$A$2:$A$5001,A409,Apparitions!$B$2:$B$5001,B409))</f>
        <v/>
      </c>
      <c r="F409" s="27" t="str">
        <f aca="false">IF(A409="","",A409&amp;"|"&amp;B409)</f>
        <v/>
      </c>
    </row>
    <row r="410" customFormat="false" ht="15" hidden="false" customHeight="false" outlineLevel="0" collapsed="false">
      <c r="A410" s="19"/>
      <c r="B410" s="19"/>
      <c r="C410" s="20"/>
      <c r="D410" s="19"/>
      <c r="E410" s="26" t="str">
        <f aca="false">IF(A410="","",COUNTIFS(Apparitions!$A$2:$A$5001,A410,Apparitions!$B$2:$B$5001,B410))</f>
        <v/>
      </c>
      <c r="F410" s="27" t="str">
        <f aca="false">IF(A410="","",A410&amp;"|"&amp;B410)</f>
        <v/>
      </c>
    </row>
    <row r="411" customFormat="false" ht="15" hidden="false" customHeight="false" outlineLevel="0" collapsed="false">
      <c r="A411" s="19"/>
      <c r="B411" s="19"/>
      <c r="C411" s="20"/>
      <c r="D411" s="19"/>
      <c r="E411" s="26" t="str">
        <f aca="false">IF(A411="","",COUNTIFS(Apparitions!$A$2:$A$5001,A411,Apparitions!$B$2:$B$5001,B411))</f>
        <v/>
      </c>
      <c r="F411" s="27" t="str">
        <f aca="false">IF(A411="","",A411&amp;"|"&amp;B411)</f>
        <v/>
      </c>
    </row>
    <row r="412" customFormat="false" ht="15" hidden="false" customHeight="false" outlineLevel="0" collapsed="false">
      <c r="A412" s="19"/>
      <c r="B412" s="19"/>
      <c r="C412" s="20"/>
      <c r="D412" s="19"/>
      <c r="E412" s="26" t="str">
        <f aca="false">IF(A412="","",COUNTIFS(Apparitions!$A$2:$A$5001,A412,Apparitions!$B$2:$B$5001,B412))</f>
        <v/>
      </c>
      <c r="F412" s="27" t="str">
        <f aca="false">IF(A412="","",A412&amp;"|"&amp;B412)</f>
        <v/>
      </c>
    </row>
    <row r="413" customFormat="false" ht="15" hidden="false" customHeight="false" outlineLevel="0" collapsed="false">
      <c r="A413" s="19"/>
      <c r="B413" s="19"/>
      <c r="C413" s="20"/>
      <c r="D413" s="19"/>
      <c r="E413" s="26" t="str">
        <f aca="false">IF(A413="","",COUNTIFS(Apparitions!$A$2:$A$5001,A413,Apparitions!$B$2:$B$5001,B413))</f>
        <v/>
      </c>
      <c r="F413" s="27" t="str">
        <f aca="false">IF(A413="","",A413&amp;"|"&amp;B413)</f>
        <v/>
      </c>
    </row>
    <row r="414" customFormat="false" ht="15" hidden="false" customHeight="false" outlineLevel="0" collapsed="false">
      <c r="A414" s="19"/>
      <c r="B414" s="19"/>
      <c r="C414" s="20"/>
      <c r="D414" s="19"/>
      <c r="E414" s="26" t="str">
        <f aca="false">IF(A414="","",COUNTIFS(Apparitions!$A$2:$A$5001,A414,Apparitions!$B$2:$B$5001,B414))</f>
        <v/>
      </c>
      <c r="F414" s="27" t="str">
        <f aca="false">IF(A414="","",A414&amp;"|"&amp;B414)</f>
        <v/>
      </c>
    </row>
    <row r="415" customFormat="false" ht="15" hidden="false" customHeight="false" outlineLevel="0" collapsed="false">
      <c r="A415" s="19"/>
      <c r="B415" s="19"/>
      <c r="C415" s="20"/>
      <c r="D415" s="19"/>
      <c r="E415" s="26" t="str">
        <f aca="false">IF(A415="","",COUNTIFS(Apparitions!$A$2:$A$5001,A415,Apparitions!$B$2:$B$5001,B415))</f>
        <v/>
      </c>
      <c r="F415" s="27" t="str">
        <f aca="false">IF(A415="","",A415&amp;"|"&amp;B415)</f>
        <v/>
      </c>
    </row>
    <row r="416" customFormat="false" ht="15" hidden="false" customHeight="false" outlineLevel="0" collapsed="false">
      <c r="A416" s="19"/>
      <c r="B416" s="19"/>
      <c r="C416" s="20"/>
      <c r="D416" s="19"/>
      <c r="E416" s="26" t="str">
        <f aca="false">IF(A416="","",COUNTIFS(Apparitions!$A$2:$A$5001,A416,Apparitions!$B$2:$B$5001,B416))</f>
        <v/>
      </c>
      <c r="F416" s="27" t="str">
        <f aca="false">IF(A416="","",A416&amp;"|"&amp;B416)</f>
        <v/>
      </c>
    </row>
    <row r="417" customFormat="false" ht="15" hidden="false" customHeight="false" outlineLevel="0" collapsed="false">
      <c r="A417" s="19"/>
      <c r="B417" s="19"/>
      <c r="C417" s="20"/>
      <c r="D417" s="19"/>
      <c r="E417" s="26" t="str">
        <f aca="false">IF(A417="","",COUNTIFS(Apparitions!$A$2:$A$5001,A417,Apparitions!$B$2:$B$5001,B417))</f>
        <v/>
      </c>
      <c r="F417" s="27" t="str">
        <f aca="false">IF(A417="","",A417&amp;"|"&amp;B417)</f>
        <v/>
      </c>
    </row>
    <row r="418" customFormat="false" ht="15" hidden="false" customHeight="false" outlineLevel="0" collapsed="false">
      <c r="A418" s="19"/>
      <c r="B418" s="19"/>
      <c r="C418" s="20"/>
      <c r="D418" s="19"/>
      <c r="E418" s="26" t="str">
        <f aca="false">IF(A418="","",COUNTIFS(Apparitions!$A$2:$A$5001,A418,Apparitions!$B$2:$B$5001,B418))</f>
        <v/>
      </c>
      <c r="F418" s="27" t="str">
        <f aca="false">IF(A418="","",A418&amp;"|"&amp;B418)</f>
        <v/>
      </c>
    </row>
    <row r="419" customFormat="false" ht="15" hidden="false" customHeight="false" outlineLevel="0" collapsed="false">
      <c r="A419" s="19"/>
      <c r="B419" s="19"/>
      <c r="C419" s="20"/>
      <c r="D419" s="19"/>
      <c r="E419" s="26" t="str">
        <f aca="false">IF(A419="","",COUNTIFS(Apparitions!$A$2:$A$5001,A419,Apparitions!$B$2:$B$5001,B419))</f>
        <v/>
      </c>
      <c r="F419" s="27" t="str">
        <f aca="false">IF(A419="","",A419&amp;"|"&amp;B419)</f>
        <v/>
      </c>
    </row>
    <row r="420" customFormat="false" ht="15" hidden="false" customHeight="false" outlineLevel="0" collapsed="false">
      <c r="A420" s="19"/>
      <c r="B420" s="19"/>
      <c r="C420" s="20"/>
      <c r="D420" s="19"/>
      <c r="E420" s="26" t="str">
        <f aca="false">IF(A420="","",COUNTIFS(Apparitions!$A$2:$A$5001,A420,Apparitions!$B$2:$B$5001,B420))</f>
        <v/>
      </c>
      <c r="F420" s="27" t="str">
        <f aca="false">IF(A420="","",A420&amp;"|"&amp;B420)</f>
        <v/>
      </c>
    </row>
    <row r="421" customFormat="false" ht="15" hidden="false" customHeight="false" outlineLevel="0" collapsed="false">
      <c r="A421" s="19"/>
      <c r="B421" s="19"/>
      <c r="C421" s="20"/>
      <c r="D421" s="19"/>
      <c r="E421" s="26" t="str">
        <f aca="false">IF(A421="","",COUNTIFS(Apparitions!$A$2:$A$5001,A421,Apparitions!$B$2:$B$5001,B421))</f>
        <v/>
      </c>
      <c r="F421" s="27" t="str">
        <f aca="false">IF(A421="","",A421&amp;"|"&amp;B421)</f>
        <v/>
      </c>
    </row>
    <row r="422" customFormat="false" ht="15" hidden="false" customHeight="false" outlineLevel="0" collapsed="false">
      <c r="A422" s="19"/>
      <c r="B422" s="19"/>
      <c r="C422" s="20"/>
      <c r="D422" s="19"/>
      <c r="E422" s="26" t="str">
        <f aca="false">IF(A422="","",COUNTIFS(Apparitions!$A$2:$A$5001,A422,Apparitions!$B$2:$B$5001,B422))</f>
        <v/>
      </c>
      <c r="F422" s="27" t="str">
        <f aca="false">IF(A422="","",A422&amp;"|"&amp;B422)</f>
        <v/>
      </c>
    </row>
    <row r="423" customFormat="false" ht="15" hidden="false" customHeight="false" outlineLevel="0" collapsed="false">
      <c r="A423" s="19"/>
      <c r="B423" s="19"/>
      <c r="C423" s="20"/>
      <c r="D423" s="19"/>
      <c r="E423" s="26" t="str">
        <f aca="false">IF(A423="","",COUNTIFS(Apparitions!$A$2:$A$5001,A423,Apparitions!$B$2:$B$5001,B423))</f>
        <v/>
      </c>
      <c r="F423" s="27" t="str">
        <f aca="false">IF(A423="","",A423&amp;"|"&amp;B423)</f>
        <v/>
      </c>
    </row>
    <row r="424" customFormat="false" ht="15" hidden="false" customHeight="false" outlineLevel="0" collapsed="false">
      <c r="A424" s="19"/>
      <c r="B424" s="19"/>
      <c r="C424" s="20"/>
      <c r="D424" s="19"/>
      <c r="E424" s="26" t="str">
        <f aca="false">IF(A424="","",COUNTIFS(Apparitions!$A$2:$A$5001,A424,Apparitions!$B$2:$B$5001,B424))</f>
        <v/>
      </c>
      <c r="F424" s="27" t="str">
        <f aca="false">IF(A424="","",A424&amp;"|"&amp;B424)</f>
        <v/>
      </c>
    </row>
    <row r="425" customFormat="false" ht="15" hidden="false" customHeight="false" outlineLevel="0" collapsed="false">
      <c r="A425" s="19"/>
      <c r="B425" s="19"/>
      <c r="C425" s="20"/>
      <c r="D425" s="19"/>
      <c r="E425" s="26" t="str">
        <f aca="false">IF(A425="","",COUNTIFS(Apparitions!$A$2:$A$5001,A425,Apparitions!$B$2:$B$5001,B425))</f>
        <v/>
      </c>
      <c r="F425" s="27" t="str">
        <f aca="false">IF(A425="","",A425&amp;"|"&amp;B425)</f>
        <v/>
      </c>
    </row>
    <row r="426" customFormat="false" ht="15" hidden="false" customHeight="false" outlineLevel="0" collapsed="false">
      <c r="A426" s="19"/>
      <c r="B426" s="19"/>
      <c r="C426" s="20"/>
      <c r="D426" s="19"/>
      <c r="E426" s="26" t="str">
        <f aca="false">IF(A426="","",COUNTIFS(Apparitions!$A$2:$A$5001,A426,Apparitions!$B$2:$B$5001,B426))</f>
        <v/>
      </c>
      <c r="F426" s="27" t="str">
        <f aca="false">IF(A426="","",A426&amp;"|"&amp;B426)</f>
        <v/>
      </c>
    </row>
    <row r="427" customFormat="false" ht="15" hidden="false" customHeight="false" outlineLevel="0" collapsed="false">
      <c r="A427" s="19"/>
      <c r="B427" s="19"/>
      <c r="C427" s="20"/>
      <c r="D427" s="19"/>
      <c r="E427" s="26" t="str">
        <f aca="false">IF(A427="","",COUNTIFS(Apparitions!$A$2:$A$5001,A427,Apparitions!$B$2:$B$5001,B427))</f>
        <v/>
      </c>
      <c r="F427" s="27" t="str">
        <f aca="false">IF(A427="","",A427&amp;"|"&amp;B427)</f>
        <v/>
      </c>
    </row>
    <row r="428" customFormat="false" ht="15" hidden="false" customHeight="false" outlineLevel="0" collapsed="false">
      <c r="A428" s="19"/>
      <c r="B428" s="19"/>
      <c r="C428" s="20"/>
      <c r="D428" s="19"/>
      <c r="E428" s="26" t="str">
        <f aca="false">IF(A428="","",COUNTIFS(Apparitions!$A$2:$A$5001,A428,Apparitions!$B$2:$B$5001,B428))</f>
        <v/>
      </c>
      <c r="F428" s="27" t="str">
        <f aca="false">IF(A428="","",A428&amp;"|"&amp;B428)</f>
        <v/>
      </c>
    </row>
    <row r="429" customFormat="false" ht="15" hidden="false" customHeight="false" outlineLevel="0" collapsed="false">
      <c r="A429" s="19"/>
      <c r="B429" s="19"/>
      <c r="C429" s="20"/>
      <c r="D429" s="19"/>
      <c r="E429" s="26" t="str">
        <f aca="false">IF(A429="","",COUNTIFS(Apparitions!$A$2:$A$5001,A429,Apparitions!$B$2:$B$5001,B429))</f>
        <v/>
      </c>
      <c r="F429" s="27" t="str">
        <f aca="false">IF(A429="","",A429&amp;"|"&amp;B429)</f>
        <v/>
      </c>
    </row>
    <row r="430" customFormat="false" ht="15" hidden="false" customHeight="false" outlineLevel="0" collapsed="false">
      <c r="A430" s="19"/>
      <c r="B430" s="19"/>
      <c r="C430" s="20"/>
      <c r="D430" s="19"/>
      <c r="E430" s="26" t="str">
        <f aca="false">IF(A430="","",COUNTIFS(Apparitions!$A$2:$A$5001,A430,Apparitions!$B$2:$B$5001,B430))</f>
        <v/>
      </c>
      <c r="F430" s="27" t="str">
        <f aca="false">IF(A430="","",A430&amp;"|"&amp;B430)</f>
        <v/>
      </c>
    </row>
    <row r="431" customFormat="false" ht="15" hidden="false" customHeight="false" outlineLevel="0" collapsed="false">
      <c r="A431" s="19"/>
      <c r="B431" s="19"/>
      <c r="C431" s="20"/>
      <c r="D431" s="19"/>
      <c r="E431" s="26" t="str">
        <f aca="false">IF(A431="","",COUNTIFS(Apparitions!$A$2:$A$5001,A431,Apparitions!$B$2:$B$5001,B431))</f>
        <v/>
      </c>
      <c r="F431" s="27" t="str">
        <f aca="false">IF(A431="","",A431&amp;"|"&amp;B431)</f>
        <v/>
      </c>
    </row>
    <row r="432" customFormat="false" ht="15" hidden="false" customHeight="false" outlineLevel="0" collapsed="false">
      <c r="A432" s="19"/>
      <c r="B432" s="19"/>
      <c r="C432" s="20"/>
      <c r="D432" s="19"/>
      <c r="E432" s="26" t="str">
        <f aca="false">IF(A432="","",COUNTIFS(Apparitions!$A$2:$A$5001,A432,Apparitions!$B$2:$B$5001,B432))</f>
        <v/>
      </c>
      <c r="F432" s="27" t="str">
        <f aca="false">IF(A432="","",A432&amp;"|"&amp;B432)</f>
        <v/>
      </c>
    </row>
    <row r="433" customFormat="false" ht="15" hidden="false" customHeight="false" outlineLevel="0" collapsed="false">
      <c r="A433" s="19"/>
      <c r="B433" s="19"/>
      <c r="C433" s="20"/>
      <c r="D433" s="19"/>
      <c r="E433" s="26" t="str">
        <f aca="false">IF(A433="","",COUNTIFS(Apparitions!$A$2:$A$5001,A433,Apparitions!$B$2:$B$5001,B433))</f>
        <v/>
      </c>
      <c r="F433" s="27" t="str">
        <f aca="false">IF(A433="","",A433&amp;"|"&amp;B433)</f>
        <v/>
      </c>
    </row>
    <row r="434" customFormat="false" ht="15" hidden="false" customHeight="false" outlineLevel="0" collapsed="false">
      <c r="A434" s="19"/>
      <c r="B434" s="19"/>
      <c r="C434" s="20"/>
      <c r="D434" s="19"/>
      <c r="E434" s="26" t="str">
        <f aca="false">IF(A434="","",COUNTIFS(Apparitions!$A$2:$A$5001,A434,Apparitions!$B$2:$B$5001,B434))</f>
        <v/>
      </c>
      <c r="F434" s="27" t="str">
        <f aca="false">IF(A434="","",A434&amp;"|"&amp;B434)</f>
        <v/>
      </c>
    </row>
    <row r="435" customFormat="false" ht="15" hidden="false" customHeight="false" outlineLevel="0" collapsed="false">
      <c r="A435" s="19"/>
      <c r="B435" s="19"/>
      <c r="C435" s="20"/>
      <c r="D435" s="19"/>
      <c r="E435" s="26" t="str">
        <f aca="false">IF(A435="","",COUNTIFS(Apparitions!$A$2:$A$5001,A435,Apparitions!$B$2:$B$5001,B435))</f>
        <v/>
      </c>
      <c r="F435" s="27" t="str">
        <f aca="false">IF(A435="","",A435&amp;"|"&amp;B435)</f>
        <v/>
      </c>
    </row>
    <row r="436" customFormat="false" ht="15" hidden="false" customHeight="false" outlineLevel="0" collapsed="false">
      <c r="A436" s="19"/>
      <c r="B436" s="19"/>
      <c r="C436" s="20"/>
      <c r="D436" s="19"/>
      <c r="E436" s="26" t="str">
        <f aca="false">IF(A436="","",COUNTIFS(Apparitions!$A$2:$A$5001,A436,Apparitions!$B$2:$B$5001,B436))</f>
        <v/>
      </c>
      <c r="F436" s="27" t="str">
        <f aca="false">IF(A436="","",A436&amp;"|"&amp;B436)</f>
        <v/>
      </c>
    </row>
    <row r="437" customFormat="false" ht="15" hidden="false" customHeight="false" outlineLevel="0" collapsed="false">
      <c r="A437" s="19"/>
      <c r="B437" s="19"/>
      <c r="C437" s="20"/>
      <c r="D437" s="19"/>
      <c r="E437" s="26" t="str">
        <f aca="false">IF(A437="","",COUNTIFS(Apparitions!$A$2:$A$5001,A437,Apparitions!$B$2:$B$5001,B437))</f>
        <v/>
      </c>
      <c r="F437" s="27" t="str">
        <f aca="false">IF(A437="","",A437&amp;"|"&amp;B437)</f>
        <v/>
      </c>
    </row>
    <row r="438" customFormat="false" ht="15" hidden="false" customHeight="false" outlineLevel="0" collapsed="false">
      <c r="A438" s="19"/>
      <c r="B438" s="19"/>
      <c r="C438" s="20"/>
      <c r="D438" s="19"/>
      <c r="E438" s="26" t="str">
        <f aca="false">IF(A438="","",COUNTIFS(Apparitions!$A$2:$A$5001,A438,Apparitions!$B$2:$B$5001,B438))</f>
        <v/>
      </c>
      <c r="F438" s="27" t="str">
        <f aca="false">IF(A438="","",A438&amp;"|"&amp;B438)</f>
        <v/>
      </c>
    </row>
    <row r="439" customFormat="false" ht="15" hidden="false" customHeight="false" outlineLevel="0" collapsed="false">
      <c r="A439" s="19"/>
      <c r="B439" s="19"/>
      <c r="C439" s="20"/>
      <c r="D439" s="19"/>
      <c r="E439" s="26" t="str">
        <f aca="false">IF(A439="","",COUNTIFS(Apparitions!$A$2:$A$5001,A439,Apparitions!$B$2:$B$5001,B439))</f>
        <v/>
      </c>
      <c r="F439" s="27" t="str">
        <f aca="false">IF(A439="","",A439&amp;"|"&amp;B439)</f>
        <v/>
      </c>
    </row>
    <row r="440" customFormat="false" ht="15" hidden="false" customHeight="false" outlineLevel="0" collapsed="false">
      <c r="A440" s="19"/>
      <c r="B440" s="19"/>
      <c r="C440" s="20"/>
      <c r="D440" s="19"/>
      <c r="E440" s="26" t="str">
        <f aca="false">IF(A440="","",COUNTIFS(Apparitions!$A$2:$A$5001,A440,Apparitions!$B$2:$B$5001,B440))</f>
        <v/>
      </c>
      <c r="F440" s="27" t="str">
        <f aca="false">IF(A440="","",A440&amp;"|"&amp;B440)</f>
        <v/>
      </c>
    </row>
    <row r="441" customFormat="false" ht="15" hidden="false" customHeight="false" outlineLevel="0" collapsed="false">
      <c r="A441" s="19"/>
      <c r="B441" s="19"/>
      <c r="C441" s="20"/>
      <c r="D441" s="19"/>
      <c r="E441" s="26" t="str">
        <f aca="false">IF(A441="","",COUNTIFS(Apparitions!$A$2:$A$5001,A441,Apparitions!$B$2:$B$5001,B441))</f>
        <v/>
      </c>
      <c r="F441" s="27" t="str">
        <f aca="false">IF(A441="","",A441&amp;"|"&amp;B441)</f>
        <v/>
      </c>
    </row>
    <row r="442" customFormat="false" ht="15" hidden="false" customHeight="false" outlineLevel="0" collapsed="false">
      <c r="A442" s="19"/>
      <c r="B442" s="19"/>
      <c r="C442" s="20"/>
      <c r="D442" s="19"/>
      <c r="E442" s="26" t="str">
        <f aca="false">IF(A442="","",COUNTIFS(Apparitions!$A$2:$A$5001,A442,Apparitions!$B$2:$B$5001,B442))</f>
        <v/>
      </c>
      <c r="F442" s="27" t="str">
        <f aca="false">IF(A442="","",A442&amp;"|"&amp;B442)</f>
        <v/>
      </c>
    </row>
    <row r="443" customFormat="false" ht="15" hidden="false" customHeight="false" outlineLevel="0" collapsed="false">
      <c r="A443" s="19"/>
      <c r="B443" s="19"/>
      <c r="C443" s="20"/>
      <c r="D443" s="19"/>
      <c r="E443" s="26" t="str">
        <f aca="false">IF(A443="","",COUNTIFS(Apparitions!$A$2:$A$5001,A443,Apparitions!$B$2:$B$5001,B443))</f>
        <v/>
      </c>
      <c r="F443" s="27" t="str">
        <f aca="false">IF(A443="","",A443&amp;"|"&amp;B443)</f>
        <v/>
      </c>
    </row>
    <row r="444" customFormat="false" ht="15" hidden="false" customHeight="false" outlineLevel="0" collapsed="false">
      <c r="A444" s="19"/>
      <c r="B444" s="19"/>
      <c r="C444" s="20"/>
      <c r="D444" s="19"/>
      <c r="E444" s="26" t="str">
        <f aca="false">IF(A444="","",COUNTIFS(Apparitions!$A$2:$A$5001,A444,Apparitions!$B$2:$B$5001,B444))</f>
        <v/>
      </c>
      <c r="F444" s="27" t="str">
        <f aca="false">IF(A444="","",A444&amp;"|"&amp;B444)</f>
        <v/>
      </c>
    </row>
    <row r="445" customFormat="false" ht="15" hidden="false" customHeight="false" outlineLevel="0" collapsed="false">
      <c r="A445" s="19"/>
      <c r="B445" s="19"/>
      <c r="C445" s="20"/>
      <c r="D445" s="19"/>
      <c r="E445" s="26" t="str">
        <f aca="false">IF(A445="","",COUNTIFS(Apparitions!$A$2:$A$5001,A445,Apparitions!$B$2:$B$5001,B445))</f>
        <v/>
      </c>
      <c r="F445" s="27" t="str">
        <f aca="false">IF(A445="","",A445&amp;"|"&amp;B445)</f>
        <v/>
      </c>
    </row>
    <row r="446" customFormat="false" ht="15" hidden="false" customHeight="false" outlineLevel="0" collapsed="false">
      <c r="A446" s="19"/>
      <c r="B446" s="19"/>
      <c r="C446" s="20"/>
      <c r="D446" s="19"/>
      <c r="E446" s="26" t="str">
        <f aca="false">IF(A446="","",COUNTIFS(Apparitions!$A$2:$A$5001,A446,Apparitions!$B$2:$B$5001,B446))</f>
        <v/>
      </c>
      <c r="F446" s="27" t="str">
        <f aca="false">IF(A446="","",A446&amp;"|"&amp;B446)</f>
        <v/>
      </c>
    </row>
    <row r="447" customFormat="false" ht="15" hidden="false" customHeight="false" outlineLevel="0" collapsed="false">
      <c r="A447" s="19"/>
      <c r="B447" s="19"/>
      <c r="C447" s="20"/>
      <c r="D447" s="19"/>
      <c r="E447" s="26" t="str">
        <f aca="false">IF(A447="","",COUNTIFS(Apparitions!$A$2:$A$5001,A447,Apparitions!$B$2:$B$5001,B447))</f>
        <v/>
      </c>
      <c r="F447" s="27" t="str">
        <f aca="false">IF(A447="","",A447&amp;"|"&amp;B447)</f>
        <v/>
      </c>
    </row>
    <row r="448" customFormat="false" ht="15" hidden="false" customHeight="false" outlineLevel="0" collapsed="false">
      <c r="A448" s="19"/>
      <c r="B448" s="19"/>
      <c r="C448" s="20"/>
      <c r="D448" s="19"/>
      <c r="E448" s="26" t="str">
        <f aca="false">IF(A448="","",COUNTIFS(Apparitions!$A$2:$A$5001,A448,Apparitions!$B$2:$B$5001,B448))</f>
        <v/>
      </c>
      <c r="F448" s="27" t="str">
        <f aca="false">IF(A448="","",A448&amp;"|"&amp;B448)</f>
        <v/>
      </c>
    </row>
    <row r="449" customFormat="false" ht="15" hidden="false" customHeight="false" outlineLevel="0" collapsed="false">
      <c r="A449" s="19"/>
      <c r="B449" s="19"/>
      <c r="C449" s="20"/>
      <c r="D449" s="19"/>
      <c r="E449" s="26" t="str">
        <f aca="false">IF(A449="","",COUNTIFS(Apparitions!$A$2:$A$5001,A449,Apparitions!$B$2:$B$5001,B449))</f>
        <v/>
      </c>
      <c r="F449" s="27" t="str">
        <f aca="false">IF(A449="","",A449&amp;"|"&amp;B449)</f>
        <v/>
      </c>
    </row>
    <row r="450" customFormat="false" ht="15" hidden="false" customHeight="false" outlineLevel="0" collapsed="false">
      <c r="A450" s="19"/>
      <c r="B450" s="19"/>
      <c r="C450" s="20"/>
      <c r="D450" s="19"/>
      <c r="E450" s="26" t="str">
        <f aca="false">IF(A450="","",COUNTIFS(Apparitions!$A$2:$A$5001,A450,Apparitions!$B$2:$B$5001,B450))</f>
        <v/>
      </c>
      <c r="F450" s="27" t="str">
        <f aca="false">IF(A450="","",A450&amp;"|"&amp;B450)</f>
        <v/>
      </c>
    </row>
    <row r="451" customFormat="false" ht="15" hidden="false" customHeight="false" outlineLevel="0" collapsed="false">
      <c r="A451" s="19"/>
      <c r="B451" s="19"/>
      <c r="C451" s="20"/>
      <c r="D451" s="19"/>
      <c r="E451" s="26" t="str">
        <f aca="false">IF(A451="","",COUNTIFS(Apparitions!$A$2:$A$5001,A451,Apparitions!$B$2:$B$5001,B451))</f>
        <v/>
      </c>
      <c r="F451" s="27" t="str">
        <f aca="false">IF(A451="","",A451&amp;"|"&amp;B451)</f>
        <v/>
      </c>
    </row>
    <row r="452" customFormat="false" ht="15" hidden="false" customHeight="false" outlineLevel="0" collapsed="false">
      <c r="A452" s="19"/>
      <c r="B452" s="19"/>
      <c r="C452" s="20"/>
      <c r="D452" s="19"/>
      <c r="E452" s="26" t="str">
        <f aca="false">IF(A452="","",COUNTIFS(Apparitions!$A$2:$A$5001,A452,Apparitions!$B$2:$B$5001,B452))</f>
        <v/>
      </c>
      <c r="F452" s="27" t="str">
        <f aca="false">IF(A452="","",A452&amp;"|"&amp;B452)</f>
        <v/>
      </c>
    </row>
    <row r="453" customFormat="false" ht="15" hidden="false" customHeight="false" outlineLevel="0" collapsed="false">
      <c r="A453" s="19"/>
      <c r="B453" s="19"/>
      <c r="C453" s="20"/>
      <c r="D453" s="19"/>
      <c r="E453" s="26" t="str">
        <f aca="false">IF(A453="","",COUNTIFS(Apparitions!$A$2:$A$5001,A453,Apparitions!$B$2:$B$5001,B453))</f>
        <v/>
      </c>
      <c r="F453" s="27" t="str">
        <f aca="false">IF(A453="","",A453&amp;"|"&amp;B453)</f>
        <v/>
      </c>
    </row>
    <row r="454" customFormat="false" ht="15" hidden="false" customHeight="false" outlineLevel="0" collapsed="false">
      <c r="A454" s="19"/>
      <c r="B454" s="19"/>
      <c r="C454" s="20"/>
      <c r="D454" s="19"/>
      <c r="E454" s="26" t="str">
        <f aca="false">IF(A454="","",COUNTIFS(Apparitions!$A$2:$A$5001,A454,Apparitions!$B$2:$B$5001,B454))</f>
        <v/>
      </c>
      <c r="F454" s="27" t="str">
        <f aca="false">IF(A454="","",A454&amp;"|"&amp;B454)</f>
        <v/>
      </c>
    </row>
    <row r="455" customFormat="false" ht="15" hidden="false" customHeight="false" outlineLevel="0" collapsed="false">
      <c r="A455" s="19"/>
      <c r="B455" s="19"/>
      <c r="C455" s="20"/>
      <c r="D455" s="19"/>
      <c r="E455" s="26" t="str">
        <f aca="false">IF(A455="","",COUNTIFS(Apparitions!$A$2:$A$5001,A455,Apparitions!$B$2:$B$5001,B455))</f>
        <v/>
      </c>
      <c r="F455" s="27" t="str">
        <f aca="false">IF(A455="","",A455&amp;"|"&amp;B455)</f>
        <v/>
      </c>
    </row>
    <row r="456" customFormat="false" ht="15" hidden="false" customHeight="false" outlineLevel="0" collapsed="false">
      <c r="A456" s="19"/>
      <c r="B456" s="19"/>
      <c r="C456" s="20"/>
      <c r="D456" s="19"/>
      <c r="E456" s="26" t="str">
        <f aca="false">IF(A456="","",COUNTIFS(Apparitions!$A$2:$A$5001,A456,Apparitions!$B$2:$B$5001,B456))</f>
        <v/>
      </c>
      <c r="F456" s="27" t="str">
        <f aca="false">IF(A456="","",A456&amp;"|"&amp;B456)</f>
        <v/>
      </c>
    </row>
    <row r="457" customFormat="false" ht="15" hidden="false" customHeight="false" outlineLevel="0" collapsed="false">
      <c r="A457" s="19"/>
      <c r="B457" s="19"/>
      <c r="C457" s="20"/>
      <c r="D457" s="19"/>
      <c r="E457" s="26" t="str">
        <f aca="false">IF(A457="","",COUNTIFS(Apparitions!$A$2:$A$5001,A457,Apparitions!$B$2:$B$5001,B457))</f>
        <v/>
      </c>
      <c r="F457" s="27" t="str">
        <f aca="false">IF(A457="","",A457&amp;"|"&amp;B457)</f>
        <v/>
      </c>
    </row>
    <row r="458" customFormat="false" ht="15" hidden="false" customHeight="false" outlineLevel="0" collapsed="false">
      <c r="A458" s="19"/>
      <c r="B458" s="19"/>
      <c r="C458" s="20"/>
      <c r="D458" s="19"/>
      <c r="E458" s="26" t="str">
        <f aca="false">IF(A458="","",COUNTIFS(Apparitions!$A$2:$A$5001,A458,Apparitions!$B$2:$B$5001,B458))</f>
        <v/>
      </c>
      <c r="F458" s="27" t="str">
        <f aca="false">IF(A458="","",A458&amp;"|"&amp;B458)</f>
        <v/>
      </c>
    </row>
    <row r="459" customFormat="false" ht="15" hidden="false" customHeight="false" outlineLevel="0" collapsed="false">
      <c r="A459" s="19"/>
      <c r="B459" s="19"/>
      <c r="C459" s="20"/>
      <c r="D459" s="19"/>
      <c r="E459" s="26" t="str">
        <f aca="false">IF(A459="","",COUNTIFS(Apparitions!$A$2:$A$5001,A459,Apparitions!$B$2:$B$5001,B459))</f>
        <v/>
      </c>
      <c r="F459" s="27" t="str">
        <f aca="false">IF(A459="","",A459&amp;"|"&amp;B459)</f>
        <v/>
      </c>
    </row>
    <row r="460" customFormat="false" ht="15" hidden="false" customHeight="false" outlineLevel="0" collapsed="false">
      <c r="A460" s="19"/>
      <c r="B460" s="19"/>
      <c r="C460" s="20"/>
      <c r="D460" s="19"/>
      <c r="E460" s="26" t="str">
        <f aca="false">IF(A460="","",COUNTIFS(Apparitions!$A$2:$A$5001,A460,Apparitions!$B$2:$B$5001,B460))</f>
        <v/>
      </c>
      <c r="F460" s="27" t="str">
        <f aca="false">IF(A460="","",A460&amp;"|"&amp;B460)</f>
        <v/>
      </c>
    </row>
    <row r="461" customFormat="false" ht="15" hidden="false" customHeight="false" outlineLevel="0" collapsed="false">
      <c r="A461" s="19"/>
      <c r="B461" s="19"/>
      <c r="C461" s="20"/>
      <c r="D461" s="19"/>
      <c r="E461" s="26" t="str">
        <f aca="false">IF(A461="","",COUNTIFS(Apparitions!$A$2:$A$5001,A461,Apparitions!$B$2:$B$5001,B461))</f>
        <v/>
      </c>
      <c r="F461" s="27" t="str">
        <f aca="false">IF(A461="","",A461&amp;"|"&amp;B461)</f>
        <v/>
      </c>
    </row>
    <row r="462" customFormat="false" ht="15" hidden="false" customHeight="false" outlineLevel="0" collapsed="false">
      <c r="A462" s="19"/>
      <c r="B462" s="19"/>
      <c r="C462" s="20"/>
      <c r="D462" s="19"/>
      <c r="E462" s="26" t="str">
        <f aca="false">IF(A462="","",COUNTIFS(Apparitions!$A$2:$A$5001,A462,Apparitions!$B$2:$B$5001,B462))</f>
        <v/>
      </c>
      <c r="F462" s="27" t="str">
        <f aca="false">IF(A462="","",A462&amp;"|"&amp;B462)</f>
        <v/>
      </c>
    </row>
    <row r="463" customFormat="false" ht="15" hidden="false" customHeight="false" outlineLevel="0" collapsed="false">
      <c r="A463" s="19"/>
      <c r="B463" s="19"/>
      <c r="C463" s="20"/>
      <c r="D463" s="19"/>
      <c r="E463" s="26" t="str">
        <f aca="false">IF(A463="","",COUNTIFS(Apparitions!$A$2:$A$5001,A463,Apparitions!$B$2:$B$5001,B463))</f>
        <v/>
      </c>
      <c r="F463" s="27" t="str">
        <f aca="false">IF(A463="","",A463&amp;"|"&amp;B463)</f>
        <v/>
      </c>
    </row>
    <row r="464" customFormat="false" ht="15" hidden="false" customHeight="false" outlineLevel="0" collapsed="false">
      <c r="A464" s="19"/>
      <c r="B464" s="19"/>
      <c r="C464" s="20"/>
      <c r="D464" s="19"/>
      <c r="E464" s="26" t="str">
        <f aca="false">IF(A464="","",COUNTIFS(Apparitions!$A$2:$A$5001,A464,Apparitions!$B$2:$B$5001,B464))</f>
        <v/>
      </c>
      <c r="F464" s="27" t="str">
        <f aca="false">IF(A464="","",A464&amp;"|"&amp;B464)</f>
        <v/>
      </c>
    </row>
    <row r="465" customFormat="false" ht="15" hidden="false" customHeight="false" outlineLevel="0" collapsed="false">
      <c r="A465" s="19"/>
      <c r="B465" s="19"/>
      <c r="C465" s="20"/>
      <c r="D465" s="19"/>
      <c r="E465" s="26" t="str">
        <f aca="false">IF(A465="","",COUNTIFS(Apparitions!$A$2:$A$5001,A465,Apparitions!$B$2:$B$5001,B465))</f>
        <v/>
      </c>
      <c r="F465" s="27" t="str">
        <f aca="false">IF(A465="","",A465&amp;"|"&amp;B465)</f>
        <v/>
      </c>
    </row>
    <row r="466" customFormat="false" ht="15" hidden="false" customHeight="false" outlineLevel="0" collapsed="false">
      <c r="A466" s="19"/>
      <c r="B466" s="19"/>
      <c r="C466" s="20"/>
      <c r="D466" s="19"/>
      <c r="E466" s="26" t="str">
        <f aca="false">IF(A466="","",COUNTIFS(Apparitions!$A$2:$A$5001,A466,Apparitions!$B$2:$B$5001,B466))</f>
        <v/>
      </c>
      <c r="F466" s="27" t="str">
        <f aca="false">IF(A466="","",A466&amp;"|"&amp;B466)</f>
        <v/>
      </c>
    </row>
    <row r="467" customFormat="false" ht="15" hidden="false" customHeight="false" outlineLevel="0" collapsed="false">
      <c r="A467" s="19"/>
      <c r="B467" s="19"/>
      <c r="C467" s="20"/>
      <c r="D467" s="19"/>
      <c r="E467" s="26" t="str">
        <f aca="false">IF(A467="","",COUNTIFS(Apparitions!$A$2:$A$5001,A467,Apparitions!$B$2:$B$5001,B467))</f>
        <v/>
      </c>
      <c r="F467" s="27" t="str">
        <f aca="false">IF(A467="","",A467&amp;"|"&amp;B467)</f>
        <v/>
      </c>
    </row>
    <row r="468" customFormat="false" ht="15" hidden="false" customHeight="false" outlineLevel="0" collapsed="false">
      <c r="A468" s="19"/>
      <c r="B468" s="19"/>
      <c r="C468" s="20"/>
      <c r="D468" s="19"/>
      <c r="E468" s="26" t="str">
        <f aca="false">IF(A468="","",COUNTIFS(Apparitions!$A$2:$A$5001,A468,Apparitions!$B$2:$B$5001,B468))</f>
        <v/>
      </c>
      <c r="F468" s="27" t="str">
        <f aca="false">IF(A468="","",A468&amp;"|"&amp;B468)</f>
        <v/>
      </c>
    </row>
    <row r="469" customFormat="false" ht="15" hidden="false" customHeight="false" outlineLevel="0" collapsed="false">
      <c r="A469" s="19"/>
      <c r="B469" s="19"/>
      <c r="C469" s="20"/>
      <c r="D469" s="19"/>
      <c r="E469" s="26" t="str">
        <f aca="false">IF(A469="","",COUNTIFS(Apparitions!$A$2:$A$5001,A469,Apparitions!$B$2:$B$5001,B469))</f>
        <v/>
      </c>
      <c r="F469" s="27" t="str">
        <f aca="false">IF(A469="","",A469&amp;"|"&amp;B469)</f>
        <v/>
      </c>
    </row>
    <row r="470" customFormat="false" ht="15" hidden="false" customHeight="false" outlineLevel="0" collapsed="false">
      <c r="A470" s="19"/>
      <c r="B470" s="19"/>
      <c r="C470" s="20"/>
      <c r="D470" s="19"/>
      <c r="E470" s="26" t="str">
        <f aca="false">IF(A470="","",COUNTIFS(Apparitions!$A$2:$A$5001,A470,Apparitions!$B$2:$B$5001,B470))</f>
        <v/>
      </c>
      <c r="F470" s="27" t="str">
        <f aca="false">IF(A470="","",A470&amp;"|"&amp;B470)</f>
        <v/>
      </c>
    </row>
    <row r="471" customFormat="false" ht="15" hidden="false" customHeight="false" outlineLevel="0" collapsed="false">
      <c r="A471" s="19"/>
      <c r="B471" s="19"/>
      <c r="C471" s="20"/>
      <c r="D471" s="19"/>
      <c r="E471" s="26" t="str">
        <f aca="false">IF(A471="","",COUNTIFS(Apparitions!$A$2:$A$5001,A471,Apparitions!$B$2:$B$5001,B471))</f>
        <v/>
      </c>
      <c r="F471" s="27" t="str">
        <f aca="false">IF(A471="","",A471&amp;"|"&amp;B471)</f>
        <v/>
      </c>
    </row>
    <row r="472" customFormat="false" ht="15" hidden="false" customHeight="false" outlineLevel="0" collapsed="false">
      <c r="A472" s="19"/>
      <c r="B472" s="19"/>
      <c r="C472" s="20"/>
      <c r="D472" s="19"/>
      <c r="E472" s="26" t="str">
        <f aca="false">IF(A472="","",COUNTIFS(Apparitions!$A$2:$A$5001,A472,Apparitions!$B$2:$B$5001,B472))</f>
        <v/>
      </c>
      <c r="F472" s="27" t="str">
        <f aca="false">IF(A472="","",A472&amp;"|"&amp;B472)</f>
        <v/>
      </c>
    </row>
    <row r="473" customFormat="false" ht="15" hidden="false" customHeight="false" outlineLevel="0" collapsed="false">
      <c r="A473" s="19"/>
      <c r="B473" s="19"/>
      <c r="C473" s="20"/>
      <c r="D473" s="19"/>
      <c r="E473" s="26" t="str">
        <f aca="false">IF(A473="","",COUNTIFS(Apparitions!$A$2:$A$5001,A473,Apparitions!$B$2:$B$5001,B473))</f>
        <v/>
      </c>
      <c r="F473" s="27" t="str">
        <f aca="false">IF(A473="","",A473&amp;"|"&amp;B473)</f>
        <v/>
      </c>
    </row>
    <row r="474" customFormat="false" ht="15" hidden="false" customHeight="false" outlineLevel="0" collapsed="false">
      <c r="A474" s="19"/>
      <c r="B474" s="19"/>
      <c r="C474" s="20"/>
      <c r="D474" s="19"/>
      <c r="E474" s="26" t="str">
        <f aca="false">IF(A474="","",COUNTIFS(Apparitions!$A$2:$A$5001,A474,Apparitions!$B$2:$B$5001,B474))</f>
        <v/>
      </c>
      <c r="F474" s="27" t="str">
        <f aca="false">IF(A474="","",A474&amp;"|"&amp;B474)</f>
        <v/>
      </c>
    </row>
    <row r="475" customFormat="false" ht="15" hidden="false" customHeight="false" outlineLevel="0" collapsed="false">
      <c r="A475" s="19"/>
      <c r="B475" s="19"/>
      <c r="C475" s="20"/>
      <c r="D475" s="19"/>
      <c r="E475" s="26" t="str">
        <f aca="false">IF(A475="","",COUNTIFS(Apparitions!$A$2:$A$5001,A475,Apparitions!$B$2:$B$5001,B475))</f>
        <v/>
      </c>
      <c r="F475" s="27" t="str">
        <f aca="false">IF(A475="","",A475&amp;"|"&amp;B475)</f>
        <v/>
      </c>
    </row>
    <row r="476" customFormat="false" ht="15" hidden="false" customHeight="false" outlineLevel="0" collapsed="false">
      <c r="A476" s="19"/>
      <c r="B476" s="19"/>
      <c r="C476" s="20"/>
      <c r="D476" s="19"/>
      <c r="E476" s="26" t="str">
        <f aca="false">IF(A476="","",COUNTIFS(Apparitions!$A$2:$A$5001,A476,Apparitions!$B$2:$B$5001,B476))</f>
        <v/>
      </c>
      <c r="F476" s="27" t="str">
        <f aca="false">IF(A476="","",A476&amp;"|"&amp;B476)</f>
        <v/>
      </c>
    </row>
    <row r="477" customFormat="false" ht="15" hidden="false" customHeight="false" outlineLevel="0" collapsed="false">
      <c r="A477" s="19"/>
      <c r="B477" s="19"/>
      <c r="C477" s="20"/>
      <c r="D477" s="19"/>
      <c r="E477" s="26" t="str">
        <f aca="false">IF(A477="","",COUNTIFS(Apparitions!$A$2:$A$5001,A477,Apparitions!$B$2:$B$5001,B477))</f>
        <v/>
      </c>
      <c r="F477" s="27" t="str">
        <f aca="false">IF(A477="","",A477&amp;"|"&amp;B477)</f>
        <v/>
      </c>
    </row>
    <row r="478" customFormat="false" ht="15" hidden="false" customHeight="false" outlineLevel="0" collapsed="false">
      <c r="A478" s="19"/>
      <c r="B478" s="19"/>
      <c r="C478" s="20"/>
      <c r="D478" s="19"/>
      <c r="E478" s="26" t="str">
        <f aca="false">IF(A478="","",COUNTIFS(Apparitions!$A$2:$A$5001,A478,Apparitions!$B$2:$B$5001,B478))</f>
        <v/>
      </c>
      <c r="F478" s="27" t="str">
        <f aca="false">IF(A478="","",A478&amp;"|"&amp;B478)</f>
        <v/>
      </c>
    </row>
    <row r="479" customFormat="false" ht="15" hidden="false" customHeight="false" outlineLevel="0" collapsed="false">
      <c r="A479" s="19"/>
      <c r="B479" s="19"/>
      <c r="C479" s="20"/>
      <c r="D479" s="19"/>
      <c r="E479" s="26" t="str">
        <f aca="false">IF(A479="","",COUNTIFS(Apparitions!$A$2:$A$5001,A479,Apparitions!$B$2:$B$5001,B479))</f>
        <v/>
      </c>
      <c r="F479" s="27" t="str">
        <f aca="false">IF(A479="","",A479&amp;"|"&amp;B479)</f>
        <v/>
      </c>
    </row>
    <row r="480" customFormat="false" ht="15" hidden="false" customHeight="false" outlineLevel="0" collapsed="false">
      <c r="A480" s="19"/>
      <c r="B480" s="19"/>
      <c r="C480" s="20"/>
      <c r="D480" s="19"/>
      <c r="E480" s="26" t="str">
        <f aca="false">IF(A480="","",COUNTIFS(Apparitions!$A$2:$A$5001,A480,Apparitions!$B$2:$B$5001,B480))</f>
        <v/>
      </c>
      <c r="F480" s="27" t="str">
        <f aca="false">IF(A480="","",A480&amp;"|"&amp;B480)</f>
        <v/>
      </c>
    </row>
    <row r="481" customFormat="false" ht="15" hidden="false" customHeight="false" outlineLevel="0" collapsed="false">
      <c r="A481" s="19"/>
      <c r="B481" s="19"/>
      <c r="C481" s="20"/>
      <c r="D481" s="19"/>
      <c r="E481" s="26" t="str">
        <f aca="false">IF(A481="","",COUNTIFS(Apparitions!$A$2:$A$5001,A481,Apparitions!$B$2:$B$5001,B481))</f>
        <v/>
      </c>
      <c r="F481" s="27" t="str">
        <f aca="false">IF(A481="","",A481&amp;"|"&amp;B481)</f>
        <v/>
      </c>
    </row>
    <row r="482" customFormat="false" ht="15" hidden="false" customHeight="false" outlineLevel="0" collapsed="false">
      <c r="A482" s="19"/>
      <c r="B482" s="19"/>
      <c r="C482" s="20"/>
      <c r="D482" s="19"/>
      <c r="E482" s="26" t="str">
        <f aca="false">IF(A482="","",COUNTIFS(Apparitions!$A$2:$A$5001,A482,Apparitions!$B$2:$B$5001,B482))</f>
        <v/>
      </c>
      <c r="F482" s="27" t="str">
        <f aca="false">IF(A482="","",A482&amp;"|"&amp;B482)</f>
        <v/>
      </c>
    </row>
    <row r="483" customFormat="false" ht="15" hidden="false" customHeight="false" outlineLevel="0" collapsed="false">
      <c r="A483" s="19"/>
      <c r="B483" s="19"/>
      <c r="C483" s="20"/>
      <c r="D483" s="19"/>
      <c r="E483" s="26" t="str">
        <f aca="false">IF(A483="","",COUNTIFS(Apparitions!$A$2:$A$5001,A483,Apparitions!$B$2:$B$5001,B483))</f>
        <v/>
      </c>
      <c r="F483" s="27" t="str">
        <f aca="false">IF(A483="","",A483&amp;"|"&amp;B483)</f>
        <v/>
      </c>
    </row>
    <row r="484" customFormat="false" ht="15" hidden="false" customHeight="false" outlineLevel="0" collapsed="false">
      <c r="A484" s="19"/>
      <c r="B484" s="19"/>
      <c r="C484" s="20"/>
      <c r="D484" s="19"/>
      <c r="E484" s="26" t="str">
        <f aca="false">IF(A484="","",COUNTIFS(Apparitions!$A$2:$A$5001,A484,Apparitions!$B$2:$B$5001,B484))</f>
        <v/>
      </c>
      <c r="F484" s="27" t="str">
        <f aca="false">IF(A484="","",A484&amp;"|"&amp;B484)</f>
        <v/>
      </c>
    </row>
    <row r="485" customFormat="false" ht="15" hidden="false" customHeight="false" outlineLevel="0" collapsed="false">
      <c r="A485" s="19"/>
      <c r="B485" s="19"/>
      <c r="C485" s="20"/>
      <c r="D485" s="19"/>
      <c r="E485" s="26" t="str">
        <f aca="false">IF(A485="","",COUNTIFS(Apparitions!$A$2:$A$5001,A485,Apparitions!$B$2:$B$5001,B485))</f>
        <v/>
      </c>
      <c r="F485" s="27" t="str">
        <f aca="false">IF(A485="","",A485&amp;"|"&amp;B485)</f>
        <v/>
      </c>
    </row>
    <row r="486" customFormat="false" ht="15" hidden="false" customHeight="false" outlineLevel="0" collapsed="false">
      <c r="A486" s="19"/>
      <c r="B486" s="19"/>
      <c r="C486" s="20"/>
      <c r="D486" s="19"/>
      <c r="E486" s="26" t="str">
        <f aca="false">IF(A486="","",COUNTIFS(Apparitions!$A$2:$A$5001,A486,Apparitions!$B$2:$B$5001,B486))</f>
        <v/>
      </c>
      <c r="F486" s="27" t="str">
        <f aca="false">IF(A486="","",A486&amp;"|"&amp;B486)</f>
        <v/>
      </c>
    </row>
    <row r="487" customFormat="false" ht="15" hidden="false" customHeight="false" outlineLevel="0" collapsed="false">
      <c r="A487" s="19"/>
      <c r="B487" s="19"/>
      <c r="C487" s="20"/>
      <c r="D487" s="19"/>
      <c r="E487" s="26" t="str">
        <f aca="false">IF(A487="","",COUNTIFS(Apparitions!$A$2:$A$5001,A487,Apparitions!$B$2:$B$5001,B487))</f>
        <v/>
      </c>
      <c r="F487" s="27" t="str">
        <f aca="false">IF(A487="","",A487&amp;"|"&amp;B487)</f>
        <v/>
      </c>
    </row>
    <row r="488" customFormat="false" ht="15" hidden="false" customHeight="false" outlineLevel="0" collapsed="false">
      <c r="A488" s="19"/>
      <c r="B488" s="19"/>
      <c r="C488" s="20"/>
      <c r="D488" s="19"/>
      <c r="E488" s="26" t="str">
        <f aca="false">IF(A488="","",COUNTIFS(Apparitions!$A$2:$A$5001,A488,Apparitions!$B$2:$B$5001,B488))</f>
        <v/>
      </c>
      <c r="F488" s="27" t="str">
        <f aca="false">IF(A488="","",A488&amp;"|"&amp;B488)</f>
        <v/>
      </c>
    </row>
    <row r="489" customFormat="false" ht="15" hidden="false" customHeight="false" outlineLevel="0" collapsed="false">
      <c r="A489" s="19"/>
      <c r="B489" s="19"/>
      <c r="C489" s="20"/>
      <c r="D489" s="19"/>
      <c r="E489" s="26" t="str">
        <f aca="false">IF(A489="","",COUNTIFS(Apparitions!$A$2:$A$5001,A489,Apparitions!$B$2:$B$5001,B489))</f>
        <v/>
      </c>
      <c r="F489" s="27" t="str">
        <f aca="false">IF(A489="","",A489&amp;"|"&amp;B489)</f>
        <v/>
      </c>
    </row>
    <row r="490" customFormat="false" ht="15" hidden="false" customHeight="false" outlineLevel="0" collapsed="false">
      <c r="A490" s="19"/>
      <c r="B490" s="19"/>
      <c r="C490" s="20"/>
      <c r="D490" s="19"/>
      <c r="E490" s="26" t="str">
        <f aca="false">IF(A490="","",COUNTIFS(Apparitions!$A$2:$A$5001,A490,Apparitions!$B$2:$B$5001,B490))</f>
        <v/>
      </c>
      <c r="F490" s="27" t="str">
        <f aca="false">IF(A490="","",A490&amp;"|"&amp;B490)</f>
        <v/>
      </c>
    </row>
    <row r="491" customFormat="false" ht="15" hidden="false" customHeight="false" outlineLevel="0" collapsed="false">
      <c r="A491" s="19"/>
      <c r="B491" s="19"/>
      <c r="C491" s="20"/>
      <c r="D491" s="19"/>
      <c r="E491" s="26" t="str">
        <f aca="false">IF(A491="","",COUNTIFS(Apparitions!$A$2:$A$5001,A491,Apparitions!$B$2:$B$5001,B491))</f>
        <v/>
      </c>
      <c r="F491" s="27" t="str">
        <f aca="false">IF(A491="","",A491&amp;"|"&amp;B491)</f>
        <v/>
      </c>
    </row>
    <row r="492" customFormat="false" ht="15" hidden="false" customHeight="false" outlineLevel="0" collapsed="false">
      <c r="A492" s="19"/>
      <c r="B492" s="19"/>
      <c r="C492" s="20"/>
      <c r="D492" s="19"/>
      <c r="E492" s="26" t="str">
        <f aca="false">IF(A492="","",COUNTIFS(Apparitions!$A$2:$A$5001,A492,Apparitions!$B$2:$B$5001,B492))</f>
        <v/>
      </c>
      <c r="F492" s="27" t="str">
        <f aca="false">IF(A492="","",A492&amp;"|"&amp;B492)</f>
        <v/>
      </c>
    </row>
    <row r="493" customFormat="false" ht="15" hidden="false" customHeight="false" outlineLevel="0" collapsed="false">
      <c r="A493" s="19"/>
      <c r="B493" s="19"/>
      <c r="C493" s="20"/>
      <c r="D493" s="19"/>
      <c r="E493" s="26" t="str">
        <f aca="false">IF(A493="","",COUNTIFS(Apparitions!$A$2:$A$5001,A493,Apparitions!$B$2:$B$5001,B493))</f>
        <v/>
      </c>
      <c r="F493" s="27" t="str">
        <f aca="false">IF(A493="","",A493&amp;"|"&amp;B493)</f>
        <v/>
      </c>
    </row>
    <row r="494" customFormat="false" ht="15" hidden="false" customHeight="false" outlineLevel="0" collapsed="false">
      <c r="A494" s="19"/>
      <c r="B494" s="19"/>
      <c r="C494" s="20"/>
      <c r="D494" s="19"/>
      <c r="E494" s="26" t="str">
        <f aca="false">IF(A494="","",COUNTIFS(Apparitions!$A$2:$A$5001,A494,Apparitions!$B$2:$B$5001,B494))</f>
        <v/>
      </c>
      <c r="F494" s="27" t="str">
        <f aca="false">IF(A494="","",A494&amp;"|"&amp;B494)</f>
        <v/>
      </c>
    </row>
    <row r="495" customFormat="false" ht="15" hidden="false" customHeight="false" outlineLevel="0" collapsed="false">
      <c r="A495" s="19"/>
      <c r="B495" s="19"/>
      <c r="C495" s="20"/>
      <c r="D495" s="19"/>
      <c r="E495" s="26" t="str">
        <f aca="false">IF(A495="","",COUNTIFS(Apparitions!$A$2:$A$5001,A495,Apparitions!$B$2:$B$5001,B495))</f>
        <v/>
      </c>
      <c r="F495" s="27" t="str">
        <f aca="false">IF(A495="","",A495&amp;"|"&amp;B495)</f>
        <v/>
      </c>
    </row>
    <row r="496" customFormat="false" ht="15" hidden="false" customHeight="false" outlineLevel="0" collapsed="false">
      <c r="A496" s="19"/>
      <c r="B496" s="19"/>
      <c r="C496" s="20"/>
      <c r="D496" s="19"/>
      <c r="E496" s="26" t="str">
        <f aca="false">IF(A496="","",COUNTIFS(Apparitions!$A$2:$A$5001,A496,Apparitions!$B$2:$B$5001,B496))</f>
        <v/>
      </c>
      <c r="F496" s="27" t="str">
        <f aca="false">IF(A496="","",A496&amp;"|"&amp;B496)</f>
        <v/>
      </c>
    </row>
    <row r="497" customFormat="false" ht="15" hidden="false" customHeight="false" outlineLevel="0" collapsed="false">
      <c r="A497" s="19"/>
      <c r="B497" s="19"/>
      <c r="C497" s="20"/>
      <c r="D497" s="19"/>
      <c r="E497" s="26" t="str">
        <f aca="false">IF(A497="","",COUNTIFS(Apparitions!$A$2:$A$5001,A497,Apparitions!$B$2:$B$5001,B497))</f>
        <v/>
      </c>
      <c r="F497" s="27" t="str">
        <f aca="false">IF(A497="","",A497&amp;"|"&amp;B497)</f>
        <v/>
      </c>
    </row>
    <row r="498" customFormat="false" ht="15" hidden="false" customHeight="false" outlineLevel="0" collapsed="false">
      <c r="A498" s="19"/>
      <c r="B498" s="19"/>
      <c r="C498" s="20"/>
      <c r="D498" s="19"/>
      <c r="E498" s="26" t="str">
        <f aca="false">IF(A498="","",COUNTIFS(Apparitions!$A$2:$A$5001,A498,Apparitions!$B$2:$B$5001,B498))</f>
        <v/>
      </c>
      <c r="F498" s="27" t="str">
        <f aca="false">IF(A498="","",A498&amp;"|"&amp;B498)</f>
        <v/>
      </c>
    </row>
    <row r="499" customFormat="false" ht="15" hidden="false" customHeight="false" outlineLevel="0" collapsed="false">
      <c r="A499" s="19"/>
      <c r="B499" s="19"/>
      <c r="C499" s="20"/>
      <c r="D499" s="19"/>
      <c r="E499" s="26" t="str">
        <f aca="false">IF(A499="","",COUNTIFS(Apparitions!$A$2:$A$5001,A499,Apparitions!$B$2:$B$5001,B499))</f>
        <v/>
      </c>
      <c r="F499" s="27" t="str">
        <f aca="false">IF(A499="","",A499&amp;"|"&amp;B499)</f>
        <v/>
      </c>
    </row>
    <row r="500" customFormat="false" ht="15" hidden="false" customHeight="false" outlineLevel="0" collapsed="false">
      <c r="A500" s="19"/>
      <c r="B500" s="19"/>
      <c r="C500" s="20"/>
      <c r="D500" s="19"/>
      <c r="E500" s="26" t="str">
        <f aca="false">IF(A500="","",COUNTIFS(Apparitions!$A$2:$A$5001,A500,Apparitions!$B$2:$B$5001,B500))</f>
        <v/>
      </c>
      <c r="F500" s="27" t="str">
        <f aca="false">IF(A500="","",A500&amp;"|"&amp;B500)</f>
        <v/>
      </c>
    </row>
    <row r="501" customFormat="false" ht="15" hidden="false" customHeight="false" outlineLevel="0" collapsed="false">
      <c r="A501" s="19"/>
      <c r="B501" s="19"/>
      <c r="C501" s="20"/>
      <c r="D501" s="19"/>
      <c r="E501" s="26" t="str">
        <f aca="false">IF(A501="","",COUNTIFS(Apparitions!$A$2:$A$5001,A501,Apparitions!$B$2:$B$5001,B501))</f>
        <v/>
      </c>
      <c r="F501" s="27" t="str">
        <f aca="false">IF(A501="","",A501&amp;"|"&amp;B501)</f>
        <v/>
      </c>
    </row>
    <row r="502" customFormat="false" ht="15" hidden="false" customHeight="false" outlineLevel="0" collapsed="false">
      <c r="A502" s="19"/>
      <c r="B502" s="19"/>
      <c r="C502" s="20"/>
      <c r="D502" s="19"/>
      <c r="E502" s="26" t="str">
        <f aca="false">IF(A502="","",COUNTIFS(Apparitions!$A$2:$A$5001,A502,Apparitions!$B$2:$B$5001,B502))</f>
        <v/>
      </c>
      <c r="F502" s="27" t="str">
        <f aca="false">IF(A502="","",A502&amp;"|"&amp;B502)</f>
        <v/>
      </c>
    </row>
    <row r="503" customFormat="false" ht="15" hidden="false" customHeight="false" outlineLevel="0" collapsed="false">
      <c r="A503" s="19"/>
      <c r="B503" s="19"/>
      <c r="C503" s="20"/>
      <c r="D503" s="19"/>
      <c r="E503" s="26" t="str">
        <f aca="false">IF(A503="","",COUNTIFS(Apparitions!$A$2:$A$5001,A503,Apparitions!$B$2:$B$5001,B503))</f>
        <v/>
      </c>
      <c r="F503" s="27" t="str">
        <f aca="false">IF(A503="","",A503&amp;"|"&amp;B503)</f>
        <v/>
      </c>
    </row>
    <row r="504" customFormat="false" ht="15" hidden="false" customHeight="false" outlineLevel="0" collapsed="false">
      <c r="A504" s="19"/>
      <c r="B504" s="19"/>
      <c r="C504" s="20"/>
      <c r="D504" s="19"/>
      <c r="E504" s="26" t="str">
        <f aca="false">IF(A504="","",COUNTIFS(Apparitions!$A$2:$A$5001,A504,Apparitions!$B$2:$B$5001,B504))</f>
        <v/>
      </c>
      <c r="F504" s="27" t="str">
        <f aca="false">IF(A504="","",A504&amp;"|"&amp;B504)</f>
        <v/>
      </c>
    </row>
    <row r="505" customFormat="false" ht="15" hidden="false" customHeight="false" outlineLevel="0" collapsed="false">
      <c r="A505" s="19"/>
      <c r="B505" s="19"/>
      <c r="C505" s="20"/>
      <c r="D505" s="19"/>
      <c r="E505" s="26" t="str">
        <f aca="false">IF(A505="","",COUNTIFS(Apparitions!$A$2:$A$5001,A505,Apparitions!$B$2:$B$5001,B505))</f>
        <v/>
      </c>
      <c r="F505" s="27" t="str">
        <f aca="false">IF(A505="","",A505&amp;"|"&amp;B505)</f>
        <v/>
      </c>
    </row>
    <row r="506" customFormat="false" ht="15" hidden="false" customHeight="false" outlineLevel="0" collapsed="false">
      <c r="A506" s="19"/>
      <c r="B506" s="19"/>
      <c r="C506" s="20"/>
      <c r="D506" s="19"/>
      <c r="E506" s="26" t="str">
        <f aca="false">IF(A506="","",COUNTIFS(Apparitions!$A$2:$A$5001,A506,Apparitions!$B$2:$B$5001,B506))</f>
        <v/>
      </c>
      <c r="F506" s="27" t="str">
        <f aca="false">IF(A506="","",A506&amp;"|"&amp;B506)</f>
        <v/>
      </c>
    </row>
    <row r="507" customFormat="false" ht="15" hidden="false" customHeight="false" outlineLevel="0" collapsed="false">
      <c r="A507" s="19"/>
      <c r="B507" s="19"/>
      <c r="C507" s="20"/>
      <c r="D507" s="19"/>
      <c r="E507" s="26" t="str">
        <f aca="false">IF(A507="","",COUNTIFS(Apparitions!$A$2:$A$5001,A507,Apparitions!$B$2:$B$5001,B507))</f>
        <v/>
      </c>
      <c r="F507" s="27" t="str">
        <f aca="false">IF(A507="","",A507&amp;"|"&amp;B507)</f>
        <v/>
      </c>
    </row>
    <row r="508" customFormat="false" ht="15" hidden="false" customHeight="false" outlineLevel="0" collapsed="false">
      <c r="A508" s="19"/>
      <c r="B508" s="19"/>
      <c r="C508" s="20"/>
      <c r="D508" s="19"/>
      <c r="E508" s="26" t="str">
        <f aca="false">IF(A508="","",COUNTIFS(Apparitions!$A$2:$A$5001,A508,Apparitions!$B$2:$B$5001,B508))</f>
        <v/>
      </c>
      <c r="F508" s="27" t="str">
        <f aca="false">IF(A508="","",A508&amp;"|"&amp;B508)</f>
        <v/>
      </c>
    </row>
    <row r="509" customFormat="false" ht="15" hidden="false" customHeight="false" outlineLevel="0" collapsed="false">
      <c r="A509" s="19"/>
      <c r="B509" s="19"/>
      <c r="C509" s="20"/>
      <c r="D509" s="19"/>
      <c r="E509" s="26" t="str">
        <f aca="false">IF(A509="","",COUNTIFS(Apparitions!$A$2:$A$5001,A509,Apparitions!$B$2:$B$5001,B509))</f>
        <v/>
      </c>
      <c r="F509" s="27" t="str">
        <f aca="false">IF(A509="","",A509&amp;"|"&amp;B509)</f>
        <v/>
      </c>
    </row>
    <row r="510" customFormat="false" ht="15" hidden="false" customHeight="false" outlineLevel="0" collapsed="false">
      <c r="A510" s="19"/>
      <c r="B510" s="19"/>
      <c r="C510" s="20"/>
      <c r="D510" s="19"/>
      <c r="E510" s="26" t="str">
        <f aca="false">IF(A510="","",COUNTIFS(Apparitions!$A$2:$A$5001,A510,Apparitions!$B$2:$B$5001,B510))</f>
        <v/>
      </c>
      <c r="F510" s="27" t="str">
        <f aca="false">IF(A510="","",A510&amp;"|"&amp;B510)</f>
        <v/>
      </c>
    </row>
    <row r="511" customFormat="false" ht="15" hidden="false" customHeight="false" outlineLevel="0" collapsed="false">
      <c r="A511" s="19"/>
      <c r="B511" s="19"/>
      <c r="C511" s="20"/>
      <c r="D511" s="19"/>
      <c r="E511" s="26" t="str">
        <f aca="false">IF(A511="","",COUNTIFS(Apparitions!$A$2:$A$5001,A511,Apparitions!$B$2:$B$5001,B511))</f>
        <v/>
      </c>
      <c r="F511" s="27" t="str">
        <f aca="false">IF(A511="","",A511&amp;"|"&amp;B511)</f>
        <v/>
      </c>
    </row>
    <row r="512" customFormat="false" ht="15" hidden="false" customHeight="false" outlineLevel="0" collapsed="false">
      <c r="A512" s="19"/>
      <c r="B512" s="19"/>
      <c r="C512" s="20"/>
      <c r="D512" s="19"/>
      <c r="E512" s="26" t="str">
        <f aca="false">IF(A512="","",COUNTIFS(Apparitions!$A$2:$A$5001,A512,Apparitions!$B$2:$B$5001,B512))</f>
        <v/>
      </c>
      <c r="F512" s="27" t="str">
        <f aca="false">IF(A512="","",A512&amp;"|"&amp;B512)</f>
        <v/>
      </c>
    </row>
    <row r="513" customFormat="false" ht="15" hidden="false" customHeight="false" outlineLevel="0" collapsed="false">
      <c r="A513" s="19"/>
      <c r="B513" s="19"/>
      <c r="C513" s="20"/>
      <c r="D513" s="19"/>
      <c r="E513" s="26" t="str">
        <f aca="false">IF(A513="","",COUNTIFS(Apparitions!$A$2:$A$5001,A513,Apparitions!$B$2:$B$5001,B513))</f>
        <v/>
      </c>
      <c r="F513" s="27" t="str">
        <f aca="false">IF(A513="","",A513&amp;"|"&amp;B513)</f>
        <v/>
      </c>
    </row>
    <row r="514" customFormat="false" ht="15" hidden="false" customHeight="false" outlineLevel="0" collapsed="false">
      <c r="A514" s="19"/>
      <c r="B514" s="19"/>
      <c r="C514" s="20"/>
      <c r="D514" s="19"/>
      <c r="E514" s="26" t="str">
        <f aca="false">IF(A514="","",COUNTIFS(Apparitions!$A$2:$A$5001,A514,Apparitions!$B$2:$B$5001,B514))</f>
        <v/>
      </c>
      <c r="F514" s="27" t="str">
        <f aca="false">IF(A514="","",A514&amp;"|"&amp;B514)</f>
        <v/>
      </c>
    </row>
    <row r="515" customFormat="false" ht="15" hidden="false" customHeight="false" outlineLevel="0" collapsed="false">
      <c r="A515" s="19"/>
      <c r="B515" s="19"/>
      <c r="C515" s="20"/>
      <c r="D515" s="19"/>
      <c r="E515" s="26" t="str">
        <f aca="false">IF(A515="","",COUNTIFS(Apparitions!$A$2:$A$5001,A515,Apparitions!$B$2:$B$5001,B515))</f>
        <v/>
      </c>
      <c r="F515" s="27" t="str">
        <f aca="false">IF(A515="","",A515&amp;"|"&amp;B515)</f>
        <v/>
      </c>
    </row>
    <row r="516" customFormat="false" ht="15" hidden="false" customHeight="false" outlineLevel="0" collapsed="false">
      <c r="A516" s="19"/>
      <c r="B516" s="19"/>
      <c r="C516" s="20"/>
      <c r="D516" s="19"/>
      <c r="E516" s="26" t="str">
        <f aca="false">IF(A516="","",COUNTIFS(Apparitions!$A$2:$A$5001,A516,Apparitions!$B$2:$B$5001,B516))</f>
        <v/>
      </c>
      <c r="F516" s="27" t="str">
        <f aca="false">IF(A516="","",A516&amp;"|"&amp;B516)</f>
        <v/>
      </c>
    </row>
    <row r="517" customFormat="false" ht="15" hidden="false" customHeight="false" outlineLevel="0" collapsed="false">
      <c r="A517" s="19"/>
      <c r="B517" s="19"/>
      <c r="C517" s="20"/>
      <c r="D517" s="19"/>
      <c r="E517" s="26" t="str">
        <f aca="false">IF(A517="","",COUNTIFS(Apparitions!$A$2:$A$5001,A517,Apparitions!$B$2:$B$5001,B517))</f>
        <v/>
      </c>
      <c r="F517" s="27" t="str">
        <f aca="false">IF(A517="","",A517&amp;"|"&amp;B517)</f>
        <v/>
      </c>
    </row>
    <row r="518" customFormat="false" ht="15" hidden="false" customHeight="false" outlineLevel="0" collapsed="false">
      <c r="A518" s="19"/>
      <c r="B518" s="19"/>
      <c r="C518" s="20"/>
      <c r="D518" s="19"/>
      <c r="E518" s="26" t="str">
        <f aca="false">IF(A518="","",COUNTIFS(Apparitions!$A$2:$A$5001,A518,Apparitions!$B$2:$B$5001,B518))</f>
        <v/>
      </c>
      <c r="F518" s="27" t="str">
        <f aca="false">IF(A518="","",A518&amp;"|"&amp;B518)</f>
        <v/>
      </c>
    </row>
    <row r="519" customFormat="false" ht="15" hidden="false" customHeight="false" outlineLevel="0" collapsed="false">
      <c r="A519" s="19"/>
      <c r="B519" s="19"/>
      <c r="C519" s="20"/>
      <c r="D519" s="19"/>
      <c r="E519" s="26" t="str">
        <f aca="false">IF(A519="","",COUNTIFS(Apparitions!$A$2:$A$5001,A519,Apparitions!$B$2:$B$5001,B519))</f>
        <v/>
      </c>
      <c r="F519" s="27" t="str">
        <f aca="false">IF(A519="","",A519&amp;"|"&amp;B519)</f>
        <v/>
      </c>
    </row>
    <row r="520" customFormat="false" ht="15" hidden="false" customHeight="false" outlineLevel="0" collapsed="false">
      <c r="A520" s="19"/>
      <c r="B520" s="19"/>
      <c r="C520" s="20"/>
      <c r="D520" s="19"/>
      <c r="E520" s="26" t="str">
        <f aca="false">IF(A520="","",COUNTIFS(Apparitions!$A$2:$A$5001,A520,Apparitions!$B$2:$B$5001,B520))</f>
        <v/>
      </c>
      <c r="F520" s="27" t="str">
        <f aca="false">IF(A520="","",A520&amp;"|"&amp;B520)</f>
        <v/>
      </c>
    </row>
    <row r="521" customFormat="false" ht="15" hidden="false" customHeight="false" outlineLevel="0" collapsed="false">
      <c r="A521" s="19"/>
      <c r="B521" s="19"/>
      <c r="C521" s="20"/>
      <c r="D521" s="19"/>
      <c r="E521" s="26" t="str">
        <f aca="false">IF(A521="","",COUNTIFS(Apparitions!$A$2:$A$5001,A521,Apparitions!$B$2:$B$5001,B521))</f>
        <v/>
      </c>
      <c r="F521" s="27" t="str">
        <f aca="false">IF(A521="","",A521&amp;"|"&amp;B521)</f>
        <v/>
      </c>
    </row>
    <row r="522" customFormat="false" ht="15" hidden="false" customHeight="false" outlineLevel="0" collapsed="false">
      <c r="A522" s="19"/>
      <c r="B522" s="19"/>
      <c r="C522" s="20"/>
      <c r="D522" s="19"/>
      <c r="E522" s="26" t="str">
        <f aca="false">IF(A522="","",COUNTIFS(Apparitions!$A$2:$A$5001,A522,Apparitions!$B$2:$B$5001,B522))</f>
        <v/>
      </c>
      <c r="F522" s="27" t="str">
        <f aca="false">IF(A522="","",A522&amp;"|"&amp;B522)</f>
        <v/>
      </c>
    </row>
    <row r="523" customFormat="false" ht="15" hidden="false" customHeight="false" outlineLevel="0" collapsed="false">
      <c r="A523" s="19"/>
      <c r="B523" s="19"/>
      <c r="C523" s="20"/>
      <c r="D523" s="19"/>
      <c r="E523" s="26" t="str">
        <f aca="false">IF(A523="","",COUNTIFS(Apparitions!$A$2:$A$5001,A523,Apparitions!$B$2:$B$5001,B523))</f>
        <v/>
      </c>
      <c r="F523" s="27" t="str">
        <f aca="false">IF(A523="","",A523&amp;"|"&amp;B523)</f>
        <v/>
      </c>
    </row>
    <row r="524" customFormat="false" ht="15" hidden="false" customHeight="false" outlineLevel="0" collapsed="false">
      <c r="A524" s="19"/>
      <c r="B524" s="19"/>
      <c r="C524" s="20"/>
      <c r="D524" s="19"/>
      <c r="E524" s="26" t="str">
        <f aca="false">IF(A524="","",COUNTIFS(Apparitions!$A$2:$A$5001,A524,Apparitions!$B$2:$B$5001,B524))</f>
        <v/>
      </c>
      <c r="F524" s="27" t="str">
        <f aca="false">IF(A524="","",A524&amp;"|"&amp;B524)</f>
        <v/>
      </c>
    </row>
    <row r="525" customFormat="false" ht="15" hidden="false" customHeight="false" outlineLevel="0" collapsed="false">
      <c r="A525" s="19"/>
      <c r="B525" s="19"/>
      <c r="C525" s="20"/>
      <c r="D525" s="19"/>
      <c r="E525" s="26" t="str">
        <f aca="false">IF(A525="","",COUNTIFS(Apparitions!$A$2:$A$5001,A525,Apparitions!$B$2:$B$5001,B525))</f>
        <v/>
      </c>
      <c r="F525" s="27" t="str">
        <f aca="false">IF(A525="","",A525&amp;"|"&amp;B525)</f>
        <v/>
      </c>
    </row>
    <row r="526" customFormat="false" ht="15" hidden="false" customHeight="false" outlineLevel="0" collapsed="false">
      <c r="A526" s="19"/>
      <c r="B526" s="19"/>
      <c r="C526" s="20"/>
      <c r="D526" s="19"/>
      <c r="E526" s="26" t="str">
        <f aca="false">IF(A526="","",COUNTIFS(Apparitions!$A$2:$A$5001,A526,Apparitions!$B$2:$B$5001,B526))</f>
        <v/>
      </c>
      <c r="F526" s="27" t="str">
        <f aca="false">IF(A526="","",A526&amp;"|"&amp;B526)</f>
        <v/>
      </c>
    </row>
    <row r="527" customFormat="false" ht="15" hidden="false" customHeight="false" outlineLevel="0" collapsed="false">
      <c r="A527" s="19"/>
      <c r="B527" s="19"/>
      <c r="C527" s="20"/>
      <c r="D527" s="19"/>
      <c r="E527" s="26" t="str">
        <f aca="false">IF(A527="","",COUNTIFS(Apparitions!$A$2:$A$5001,A527,Apparitions!$B$2:$B$5001,B527))</f>
        <v/>
      </c>
      <c r="F527" s="27" t="str">
        <f aca="false">IF(A527="","",A527&amp;"|"&amp;B527)</f>
        <v/>
      </c>
    </row>
    <row r="528" customFormat="false" ht="15" hidden="false" customHeight="false" outlineLevel="0" collapsed="false">
      <c r="A528" s="19"/>
      <c r="B528" s="19"/>
      <c r="C528" s="20"/>
      <c r="D528" s="19"/>
      <c r="E528" s="26" t="str">
        <f aca="false">IF(A528="","",COUNTIFS(Apparitions!$A$2:$A$5001,A528,Apparitions!$B$2:$B$5001,B528))</f>
        <v/>
      </c>
      <c r="F528" s="27" t="str">
        <f aca="false">IF(A528="","",A528&amp;"|"&amp;B528)</f>
        <v/>
      </c>
    </row>
    <row r="529" customFormat="false" ht="15" hidden="false" customHeight="false" outlineLevel="0" collapsed="false">
      <c r="A529" s="19"/>
      <c r="B529" s="19"/>
      <c r="C529" s="20"/>
      <c r="D529" s="19"/>
      <c r="E529" s="26" t="str">
        <f aca="false">IF(A529="","",COUNTIFS(Apparitions!$A$2:$A$5001,A529,Apparitions!$B$2:$B$5001,B529))</f>
        <v/>
      </c>
      <c r="F529" s="27" t="str">
        <f aca="false">IF(A529="","",A529&amp;"|"&amp;B529)</f>
        <v/>
      </c>
    </row>
    <row r="530" customFormat="false" ht="15" hidden="false" customHeight="false" outlineLevel="0" collapsed="false">
      <c r="A530" s="19"/>
      <c r="B530" s="19"/>
      <c r="C530" s="20"/>
      <c r="D530" s="19"/>
      <c r="E530" s="26" t="str">
        <f aca="false">IF(A530="","",COUNTIFS(Apparitions!$A$2:$A$5001,A530,Apparitions!$B$2:$B$5001,B530))</f>
        <v/>
      </c>
      <c r="F530" s="27" t="str">
        <f aca="false">IF(A530="","",A530&amp;"|"&amp;B530)</f>
        <v/>
      </c>
    </row>
    <row r="531" customFormat="false" ht="15" hidden="false" customHeight="false" outlineLevel="0" collapsed="false">
      <c r="A531" s="19"/>
      <c r="B531" s="19"/>
      <c r="C531" s="20"/>
      <c r="D531" s="19"/>
      <c r="E531" s="26" t="str">
        <f aca="false">IF(A531="","",COUNTIFS(Apparitions!$A$2:$A$5001,A531,Apparitions!$B$2:$B$5001,B531))</f>
        <v/>
      </c>
      <c r="F531" s="27" t="str">
        <f aca="false">IF(A531="","",A531&amp;"|"&amp;B531)</f>
        <v/>
      </c>
    </row>
    <row r="532" customFormat="false" ht="15" hidden="false" customHeight="false" outlineLevel="0" collapsed="false">
      <c r="A532" s="19"/>
      <c r="B532" s="19"/>
      <c r="C532" s="20"/>
      <c r="D532" s="19"/>
      <c r="E532" s="26" t="str">
        <f aca="false">IF(A532="","",COUNTIFS(Apparitions!$A$2:$A$5001,A532,Apparitions!$B$2:$B$5001,B532))</f>
        <v/>
      </c>
      <c r="F532" s="27" t="str">
        <f aca="false">IF(A532="","",A532&amp;"|"&amp;B532)</f>
        <v/>
      </c>
    </row>
    <row r="533" customFormat="false" ht="15" hidden="false" customHeight="false" outlineLevel="0" collapsed="false">
      <c r="A533" s="19"/>
      <c r="B533" s="19"/>
      <c r="C533" s="20"/>
      <c r="D533" s="19"/>
      <c r="E533" s="26" t="str">
        <f aca="false">IF(A533="","",COUNTIFS(Apparitions!$A$2:$A$5001,A533,Apparitions!$B$2:$B$5001,B533))</f>
        <v/>
      </c>
      <c r="F533" s="27" t="str">
        <f aca="false">IF(A533="","",A533&amp;"|"&amp;B533)</f>
        <v/>
      </c>
    </row>
    <row r="534" customFormat="false" ht="15" hidden="false" customHeight="false" outlineLevel="0" collapsed="false">
      <c r="A534" s="19"/>
      <c r="B534" s="19"/>
      <c r="C534" s="20"/>
      <c r="D534" s="19"/>
      <c r="E534" s="26" t="str">
        <f aca="false">IF(A534="","",COUNTIFS(Apparitions!$A$2:$A$5001,A534,Apparitions!$B$2:$B$5001,B534))</f>
        <v/>
      </c>
      <c r="F534" s="27" t="str">
        <f aca="false">IF(A534="","",A534&amp;"|"&amp;B534)</f>
        <v/>
      </c>
    </row>
    <row r="535" customFormat="false" ht="15" hidden="false" customHeight="false" outlineLevel="0" collapsed="false">
      <c r="A535" s="19"/>
      <c r="B535" s="19"/>
      <c r="C535" s="20"/>
      <c r="D535" s="19"/>
      <c r="E535" s="26" t="str">
        <f aca="false">IF(A535="","",COUNTIFS(Apparitions!$A$2:$A$5001,A535,Apparitions!$B$2:$B$5001,B535))</f>
        <v/>
      </c>
      <c r="F535" s="27" t="str">
        <f aca="false">IF(A535="","",A535&amp;"|"&amp;B535)</f>
        <v/>
      </c>
    </row>
    <row r="536" customFormat="false" ht="15" hidden="false" customHeight="false" outlineLevel="0" collapsed="false">
      <c r="A536" s="19"/>
      <c r="B536" s="19"/>
      <c r="C536" s="20"/>
      <c r="D536" s="19"/>
      <c r="E536" s="26" t="str">
        <f aca="false">IF(A536="","",COUNTIFS(Apparitions!$A$2:$A$5001,A536,Apparitions!$B$2:$B$5001,B536))</f>
        <v/>
      </c>
      <c r="F536" s="27" t="str">
        <f aca="false">IF(A536="","",A536&amp;"|"&amp;B536)</f>
        <v/>
      </c>
    </row>
    <row r="537" customFormat="false" ht="15" hidden="false" customHeight="false" outlineLevel="0" collapsed="false">
      <c r="A537" s="19"/>
      <c r="B537" s="19"/>
      <c r="C537" s="20"/>
      <c r="D537" s="19"/>
      <c r="E537" s="26" t="str">
        <f aca="false">IF(A537="","",COUNTIFS(Apparitions!$A$2:$A$5001,A537,Apparitions!$B$2:$B$5001,B537))</f>
        <v/>
      </c>
      <c r="F537" s="27" t="str">
        <f aca="false">IF(A537="","",A537&amp;"|"&amp;B537)</f>
        <v/>
      </c>
    </row>
    <row r="538" customFormat="false" ht="15" hidden="false" customHeight="false" outlineLevel="0" collapsed="false">
      <c r="A538" s="19"/>
      <c r="B538" s="19"/>
      <c r="C538" s="20"/>
      <c r="D538" s="19"/>
      <c r="E538" s="26" t="str">
        <f aca="false">IF(A538="","",COUNTIFS(Apparitions!$A$2:$A$5001,A538,Apparitions!$B$2:$B$5001,B538))</f>
        <v/>
      </c>
      <c r="F538" s="27" t="str">
        <f aca="false">IF(A538="","",A538&amp;"|"&amp;B538)</f>
        <v/>
      </c>
    </row>
    <row r="539" customFormat="false" ht="15" hidden="false" customHeight="false" outlineLevel="0" collapsed="false">
      <c r="A539" s="19"/>
      <c r="B539" s="19"/>
      <c r="C539" s="20"/>
      <c r="D539" s="19"/>
      <c r="E539" s="26" t="str">
        <f aca="false">IF(A539="","",COUNTIFS(Apparitions!$A$2:$A$5001,A539,Apparitions!$B$2:$B$5001,B539))</f>
        <v/>
      </c>
      <c r="F539" s="27" t="str">
        <f aca="false">IF(A539="","",A539&amp;"|"&amp;B539)</f>
        <v/>
      </c>
    </row>
    <row r="540" customFormat="false" ht="15" hidden="false" customHeight="false" outlineLevel="0" collapsed="false">
      <c r="A540" s="19"/>
      <c r="B540" s="19"/>
      <c r="C540" s="20"/>
      <c r="D540" s="19"/>
      <c r="E540" s="26" t="str">
        <f aca="false">IF(A540="","",COUNTIFS(Apparitions!$A$2:$A$5001,A540,Apparitions!$B$2:$B$5001,B540))</f>
        <v/>
      </c>
      <c r="F540" s="27" t="str">
        <f aca="false">IF(A540="","",A540&amp;"|"&amp;B540)</f>
        <v/>
      </c>
    </row>
    <row r="541" customFormat="false" ht="15" hidden="false" customHeight="false" outlineLevel="0" collapsed="false">
      <c r="A541" s="19"/>
      <c r="B541" s="19"/>
      <c r="C541" s="20"/>
      <c r="D541" s="19"/>
      <c r="E541" s="26" t="str">
        <f aca="false">IF(A541="","",COUNTIFS(Apparitions!$A$2:$A$5001,A541,Apparitions!$B$2:$B$5001,B541))</f>
        <v/>
      </c>
      <c r="F541" s="27" t="str">
        <f aca="false">IF(A541="","",A541&amp;"|"&amp;B541)</f>
        <v/>
      </c>
    </row>
    <row r="542" customFormat="false" ht="15" hidden="false" customHeight="false" outlineLevel="0" collapsed="false">
      <c r="A542" s="19"/>
      <c r="B542" s="19"/>
      <c r="C542" s="20"/>
      <c r="D542" s="19"/>
      <c r="E542" s="26" t="str">
        <f aca="false">IF(A542="","",COUNTIFS(Apparitions!$A$2:$A$5001,A542,Apparitions!$B$2:$B$5001,B542))</f>
        <v/>
      </c>
      <c r="F542" s="27" t="str">
        <f aca="false">IF(A542="","",A542&amp;"|"&amp;B542)</f>
        <v/>
      </c>
    </row>
    <row r="543" customFormat="false" ht="15" hidden="false" customHeight="false" outlineLevel="0" collapsed="false">
      <c r="A543" s="19"/>
      <c r="B543" s="19"/>
      <c r="C543" s="20"/>
      <c r="D543" s="19"/>
      <c r="E543" s="26" t="str">
        <f aca="false">IF(A543="","",COUNTIFS(Apparitions!$A$2:$A$5001,A543,Apparitions!$B$2:$B$5001,B543))</f>
        <v/>
      </c>
      <c r="F543" s="27" t="str">
        <f aca="false">IF(A543="","",A543&amp;"|"&amp;B543)</f>
        <v/>
      </c>
    </row>
    <row r="544" customFormat="false" ht="15" hidden="false" customHeight="false" outlineLevel="0" collapsed="false">
      <c r="A544" s="19"/>
      <c r="B544" s="19"/>
      <c r="C544" s="20"/>
      <c r="D544" s="19"/>
      <c r="E544" s="26" t="str">
        <f aca="false">IF(A544="","",COUNTIFS(Apparitions!$A$2:$A$5001,A544,Apparitions!$B$2:$B$5001,B544))</f>
        <v/>
      </c>
      <c r="F544" s="27" t="str">
        <f aca="false">IF(A544="","",A544&amp;"|"&amp;B544)</f>
        <v/>
      </c>
    </row>
    <row r="545" customFormat="false" ht="15" hidden="false" customHeight="false" outlineLevel="0" collapsed="false">
      <c r="A545" s="19"/>
      <c r="B545" s="19"/>
      <c r="C545" s="20"/>
      <c r="D545" s="19"/>
      <c r="E545" s="26" t="str">
        <f aca="false">IF(A545="","",COUNTIFS(Apparitions!$A$2:$A$5001,A545,Apparitions!$B$2:$B$5001,B545))</f>
        <v/>
      </c>
      <c r="F545" s="27" t="str">
        <f aca="false">IF(A545="","",A545&amp;"|"&amp;B545)</f>
        <v/>
      </c>
    </row>
    <row r="546" customFormat="false" ht="15" hidden="false" customHeight="false" outlineLevel="0" collapsed="false">
      <c r="A546" s="19"/>
      <c r="B546" s="19"/>
      <c r="C546" s="20"/>
      <c r="D546" s="19"/>
      <c r="E546" s="26" t="str">
        <f aca="false">IF(A546="","",COUNTIFS(Apparitions!$A$2:$A$5001,A546,Apparitions!$B$2:$B$5001,B546))</f>
        <v/>
      </c>
      <c r="F546" s="27" t="str">
        <f aca="false">IF(A546="","",A546&amp;"|"&amp;B546)</f>
        <v/>
      </c>
    </row>
    <row r="547" customFormat="false" ht="15" hidden="false" customHeight="false" outlineLevel="0" collapsed="false">
      <c r="A547" s="19"/>
      <c r="B547" s="19"/>
      <c r="C547" s="20"/>
      <c r="D547" s="19"/>
      <c r="E547" s="26" t="str">
        <f aca="false">IF(A547="","",COUNTIFS(Apparitions!$A$2:$A$5001,A547,Apparitions!$B$2:$B$5001,B547))</f>
        <v/>
      </c>
      <c r="F547" s="27" t="str">
        <f aca="false">IF(A547="","",A547&amp;"|"&amp;B547)</f>
        <v/>
      </c>
    </row>
    <row r="548" customFormat="false" ht="15" hidden="false" customHeight="false" outlineLevel="0" collapsed="false">
      <c r="A548" s="19"/>
      <c r="B548" s="19"/>
      <c r="C548" s="20"/>
      <c r="D548" s="19"/>
      <c r="E548" s="26" t="str">
        <f aca="false">IF(A548="","",COUNTIFS(Apparitions!$A$2:$A$5001,A548,Apparitions!$B$2:$B$5001,B548))</f>
        <v/>
      </c>
      <c r="F548" s="27" t="str">
        <f aca="false">IF(A548="","",A548&amp;"|"&amp;B548)</f>
        <v/>
      </c>
    </row>
    <row r="549" customFormat="false" ht="15" hidden="false" customHeight="false" outlineLevel="0" collapsed="false">
      <c r="A549" s="19"/>
      <c r="B549" s="19"/>
      <c r="C549" s="20"/>
      <c r="D549" s="19"/>
      <c r="E549" s="26" t="str">
        <f aca="false">IF(A549="","",COUNTIFS(Apparitions!$A$2:$A$5001,A549,Apparitions!$B$2:$B$5001,B549))</f>
        <v/>
      </c>
      <c r="F549" s="27" t="str">
        <f aca="false">IF(A549="","",A549&amp;"|"&amp;B549)</f>
        <v/>
      </c>
    </row>
    <row r="550" customFormat="false" ht="15" hidden="false" customHeight="false" outlineLevel="0" collapsed="false">
      <c r="A550" s="19"/>
      <c r="B550" s="19"/>
      <c r="C550" s="20"/>
      <c r="D550" s="19"/>
      <c r="E550" s="26" t="str">
        <f aca="false">IF(A550="","",COUNTIFS(Apparitions!$A$2:$A$5001,A550,Apparitions!$B$2:$B$5001,B550))</f>
        <v/>
      </c>
      <c r="F550" s="27" t="str">
        <f aca="false">IF(A550="","",A550&amp;"|"&amp;B550)</f>
        <v/>
      </c>
    </row>
    <row r="551" customFormat="false" ht="15" hidden="false" customHeight="false" outlineLevel="0" collapsed="false">
      <c r="A551" s="19"/>
      <c r="B551" s="19"/>
      <c r="C551" s="20"/>
      <c r="D551" s="19"/>
      <c r="E551" s="26" t="str">
        <f aca="false">IF(A551="","",COUNTIFS(Apparitions!$A$2:$A$5001,A551,Apparitions!$B$2:$B$5001,B551))</f>
        <v/>
      </c>
      <c r="F551" s="27" t="str">
        <f aca="false">IF(A551="","",A551&amp;"|"&amp;B551)</f>
        <v/>
      </c>
    </row>
    <row r="552" customFormat="false" ht="15" hidden="false" customHeight="false" outlineLevel="0" collapsed="false">
      <c r="A552" s="19"/>
      <c r="B552" s="19"/>
      <c r="C552" s="20"/>
      <c r="D552" s="19"/>
      <c r="E552" s="26" t="str">
        <f aca="false">IF(A552="","",COUNTIFS(Apparitions!$A$2:$A$5001,A552,Apparitions!$B$2:$B$5001,B552))</f>
        <v/>
      </c>
      <c r="F552" s="27" t="str">
        <f aca="false">IF(A552="","",A552&amp;"|"&amp;B552)</f>
        <v/>
      </c>
    </row>
    <row r="553" customFormat="false" ht="15" hidden="false" customHeight="false" outlineLevel="0" collapsed="false">
      <c r="A553" s="19"/>
      <c r="B553" s="19"/>
      <c r="C553" s="20"/>
      <c r="D553" s="19"/>
      <c r="E553" s="26" t="str">
        <f aca="false">IF(A553="","",COUNTIFS(Apparitions!$A$2:$A$5001,A553,Apparitions!$B$2:$B$5001,B553))</f>
        <v/>
      </c>
      <c r="F553" s="27" t="str">
        <f aca="false">IF(A553="","",A553&amp;"|"&amp;B553)</f>
        <v/>
      </c>
    </row>
    <row r="554" customFormat="false" ht="15" hidden="false" customHeight="false" outlineLevel="0" collapsed="false">
      <c r="A554" s="19"/>
      <c r="B554" s="19"/>
      <c r="C554" s="20"/>
      <c r="D554" s="19"/>
      <c r="E554" s="26" t="str">
        <f aca="false">IF(A554="","",COUNTIFS(Apparitions!$A$2:$A$5001,A554,Apparitions!$B$2:$B$5001,B554))</f>
        <v/>
      </c>
      <c r="F554" s="27" t="str">
        <f aca="false">IF(A554="","",A554&amp;"|"&amp;B554)</f>
        <v/>
      </c>
    </row>
    <row r="555" customFormat="false" ht="15" hidden="false" customHeight="false" outlineLevel="0" collapsed="false">
      <c r="A555" s="19"/>
      <c r="B555" s="19"/>
      <c r="C555" s="20"/>
      <c r="D555" s="19"/>
      <c r="E555" s="26" t="str">
        <f aca="false">IF(A555="","",COUNTIFS(Apparitions!$A$2:$A$5001,A555,Apparitions!$B$2:$B$5001,B555))</f>
        <v/>
      </c>
      <c r="F555" s="27" t="str">
        <f aca="false">IF(A555="","",A555&amp;"|"&amp;B555)</f>
        <v/>
      </c>
    </row>
    <row r="556" customFormat="false" ht="15" hidden="false" customHeight="false" outlineLevel="0" collapsed="false">
      <c r="A556" s="19"/>
      <c r="B556" s="19"/>
      <c r="C556" s="20"/>
      <c r="D556" s="19"/>
      <c r="E556" s="26" t="str">
        <f aca="false">IF(A556="","",COUNTIFS(Apparitions!$A$2:$A$5001,A556,Apparitions!$B$2:$B$5001,B556))</f>
        <v/>
      </c>
      <c r="F556" s="27" t="str">
        <f aca="false">IF(A556="","",A556&amp;"|"&amp;B556)</f>
        <v/>
      </c>
    </row>
    <row r="557" customFormat="false" ht="15" hidden="false" customHeight="false" outlineLevel="0" collapsed="false">
      <c r="A557" s="19"/>
      <c r="B557" s="19"/>
      <c r="C557" s="20"/>
      <c r="D557" s="19"/>
      <c r="E557" s="26" t="str">
        <f aca="false">IF(A557="","",COUNTIFS(Apparitions!$A$2:$A$5001,A557,Apparitions!$B$2:$B$5001,B557))</f>
        <v/>
      </c>
      <c r="F557" s="27" t="str">
        <f aca="false">IF(A557="","",A557&amp;"|"&amp;B557)</f>
        <v/>
      </c>
    </row>
    <row r="558" customFormat="false" ht="15" hidden="false" customHeight="false" outlineLevel="0" collapsed="false">
      <c r="A558" s="19"/>
      <c r="B558" s="19"/>
      <c r="C558" s="20"/>
      <c r="D558" s="19"/>
      <c r="E558" s="26" t="str">
        <f aca="false">IF(A558="","",COUNTIFS(Apparitions!$A$2:$A$5001,A558,Apparitions!$B$2:$B$5001,B558))</f>
        <v/>
      </c>
      <c r="F558" s="27" t="str">
        <f aca="false">IF(A558="","",A558&amp;"|"&amp;B558)</f>
        <v/>
      </c>
    </row>
    <row r="559" customFormat="false" ht="15" hidden="false" customHeight="false" outlineLevel="0" collapsed="false">
      <c r="A559" s="19"/>
      <c r="B559" s="19"/>
      <c r="C559" s="20"/>
      <c r="D559" s="19"/>
      <c r="E559" s="26" t="str">
        <f aca="false">IF(A559="","",COUNTIFS(Apparitions!$A$2:$A$5001,A559,Apparitions!$B$2:$B$5001,B559))</f>
        <v/>
      </c>
      <c r="F559" s="27" t="str">
        <f aca="false">IF(A559="","",A559&amp;"|"&amp;B559)</f>
        <v/>
      </c>
    </row>
    <row r="560" customFormat="false" ht="15" hidden="false" customHeight="false" outlineLevel="0" collapsed="false">
      <c r="A560" s="19"/>
      <c r="B560" s="19"/>
      <c r="C560" s="20"/>
      <c r="D560" s="19"/>
      <c r="E560" s="26" t="str">
        <f aca="false">IF(A560="","",COUNTIFS(Apparitions!$A$2:$A$5001,A560,Apparitions!$B$2:$B$5001,B560))</f>
        <v/>
      </c>
      <c r="F560" s="27" t="str">
        <f aca="false">IF(A560="","",A560&amp;"|"&amp;B560)</f>
        <v/>
      </c>
    </row>
    <row r="561" customFormat="false" ht="15" hidden="false" customHeight="false" outlineLevel="0" collapsed="false">
      <c r="A561" s="19"/>
      <c r="B561" s="19"/>
      <c r="C561" s="20"/>
      <c r="D561" s="19"/>
      <c r="E561" s="26" t="str">
        <f aca="false">IF(A561="","",COUNTIFS(Apparitions!$A$2:$A$5001,A561,Apparitions!$B$2:$B$5001,B561))</f>
        <v/>
      </c>
      <c r="F561" s="27" t="str">
        <f aca="false">IF(A561="","",A561&amp;"|"&amp;B561)</f>
        <v/>
      </c>
    </row>
    <row r="562" customFormat="false" ht="15" hidden="false" customHeight="false" outlineLevel="0" collapsed="false">
      <c r="A562" s="19"/>
      <c r="B562" s="19"/>
      <c r="C562" s="20"/>
      <c r="D562" s="19"/>
      <c r="E562" s="26" t="str">
        <f aca="false">IF(A562="","",COUNTIFS(Apparitions!$A$2:$A$5001,A562,Apparitions!$B$2:$B$5001,B562))</f>
        <v/>
      </c>
      <c r="F562" s="27" t="str">
        <f aca="false">IF(A562="","",A562&amp;"|"&amp;B562)</f>
        <v/>
      </c>
    </row>
    <row r="563" customFormat="false" ht="15" hidden="false" customHeight="false" outlineLevel="0" collapsed="false">
      <c r="A563" s="19"/>
      <c r="B563" s="19"/>
      <c r="C563" s="20"/>
      <c r="D563" s="19"/>
      <c r="E563" s="26" t="str">
        <f aca="false">IF(A563="","",COUNTIFS(Apparitions!$A$2:$A$5001,A563,Apparitions!$B$2:$B$5001,B563))</f>
        <v/>
      </c>
      <c r="F563" s="27" t="str">
        <f aca="false">IF(A563="","",A563&amp;"|"&amp;B563)</f>
        <v/>
      </c>
    </row>
    <row r="564" customFormat="false" ht="15" hidden="false" customHeight="false" outlineLevel="0" collapsed="false">
      <c r="A564" s="19"/>
      <c r="B564" s="19"/>
      <c r="C564" s="20"/>
      <c r="D564" s="19"/>
      <c r="E564" s="26" t="str">
        <f aca="false">IF(A564="","",COUNTIFS(Apparitions!$A$2:$A$5001,A564,Apparitions!$B$2:$B$5001,B564))</f>
        <v/>
      </c>
      <c r="F564" s="27" t="str">
        <f aca="false">IF(A564="","",A564&amp;"|"&amp;B564)</f>
        <v/>
      </c>
    </row>
    <row r="565" customFormat="false" ht="15" hidden="false" customHeight="false" outlineLevel="0" collapsed="false">
      <c r="A565" s="19"/>
      <c r="B565" s="19"/>
      <c r="C565" s="20"/>
      <c r="D565" s="19"/>
      <c r="E565" s="26" t="str">
        <f aca="false">IF(A565="","",COUNTIFS(Apparitions!$A$2:$A$5001,A565,Apparitions!$B$2:$B$5001,B565))</f>
        <v/>
      </c>
      <c r="F565" s="27" t="str">
        <f aca="false">IF(A565="","",A565&amp;"|"&amp;B565)</f>
        <v/>
      </c>
    </row>
    <row r="566" customFormat="false" ht="15" hidden="false" customHeight="false" outlineLevel="0" collapsed="false">
      <c r="A566" s="19"/>
      <c r="B566" s="19"/>
      <c r="C566" s="20"/>
      <c r="D566" s="19"/>
      <c r="E566" s="26" t="str">
        <f aca="false">IF(A566="","",COUNTIFS(Apparitions!$A$2:$A$5001,A566,Apparitions!$B$2:$B$5001,B566))</f>
        <v/>
      </c>
      <c r="F566" s="27" t="str">
        <f aca="false">IF(A566="","",A566&amp;"|"&amp;B566)</f>
        <v/>
      </c>
    </row>
    <row r="567" customFormat="false" ht="15" hidden="false" customHeight="false" outlineLevel="0" collapsed="false">
      <c r="A567" s="19"/>
      <c r="B567" s="19"/>
      <c r="C567" s="20"/>
      <c r="D567" s="19"/>
      <c r="E567" s="26" t="str">
        <f aca="false">IF(A567="","",COUNTIFS(Apparitions!$A$2:$A$5001,A567,Apparitions!$B$2:$B$5001,B567))</f>
        <v/>
      </c>
      <c r="F567" s="27" t="str">
        <f aca="false">IF(A567="","",A567&amp;"|"&amp;B567)</f>
        <v/>
      </c>
    </row>
    <row r="568" customFormat="false" ht="15" hidden="false" customHeight="false" outlineLevel="0" collapsed="false">
      <c r="A568" s="19"/>
      <c r="B568" s="19"/>
      <c r="C568" s="20"/>
      <c r="D568" s="19"/>
      <c r="E568" s="26" t="str">
        <f aca="false">IF(A568="","",COUNTIFS(Apparitions!$A$2:$A$5001,A568,Apparitions!$B$2:$B$5001,B568))</f>
        <v/>
      </c>
      <c r="F568" s="27" t="str">
        <f aca="false">IF(A568="","",A568&amp;"|"&amp;B568)</f>
        <v/>
      </c>
    </row>
    <row r="569" customFormat="false" ht="15" hidden="false" customHeight="false" outlineLevel="0" collapsed="false">
      <c r="A569" s="19"/>
      <c r="B569" s="19"/>
      <c r="C569" s="20"/>
      <c r="D569" s="19"/>
      <c r="E569" s="26" t="str">
        <f aca="false">IF(A569="","",COUNTIFS(Apparitions!$A$2:$A$5001,A569,Apparitions!$B$2:$B$5001,B569))</f>
        <v/>
      </c>
      <c r="F569" s="27" t="str">
        <f aca="false">IF(A569="","",A569&amp;"|"&amp;B569)</f>
        <v/>
      </c>
    </row>
    <row r="570" customFormat="false" ht="15" hidden="false" customHeight="false" outlineLevel="0" collapsed="false">
      <c r="A570" s="19"/>
      <c r="B570" s="19"/>
      <c r="C570" s="20"/>
      <c r="D570" s="19"/>
      <c r="E570" s="26" t="str">
        <f aca="false">IF(A570="","",COUNTIFS(Apparitions!$A$2:$A$5001,A570,Apparitions!$B$2:$B$5001,B570))</f>
        <v/>
      </c>
      <c r="F570" s="27" t="str">
        <f aca="false">IF(A570="","",A570&amp;"|"&amp;B570)</f>
        <v/>
      </c>
    </row>
    <row r="571" customFormat="false" ht="15" hidden="false" customHeight="false" outlineLevel="0" collapsed="false">
      <c r="A571" s="19"/>
      <c r="B571" s="19"/>
      <c r="C571" s="20"/>
      <c r="D571" s="19"/>
      <c r="E571" s="26" t="str">
        <f aca="false">IF(A571="","",COUNTIFS(Apparitions!$A$2:$A$5001,A571,Apparitions!$B$2:$B$5001,B571))</f>
        <v/>
      </c>
      <c r="F571" s="27" t="str">
        <f aca="false">IF(A571="","",A571&amp;"|"&amp;B571)</f>
        <v/>
      </c>
    </row>
    <row r="572" customFormat="false" ht="15" hidden="false" customHeight="false" outlineLevel="0" collapsed="false">
      <c r="A572" s="19"/>
      <c r="B572" s="19"/>
      <c r="C572" s="20"/>
      <c r="D572" s="19"/>
      <c r="E572" s="26" t="str">
        <f aca="false">IF(A572="","",COUNTIFS(Apparitions!$A$2:$A$5001,A572,Apparitions!$B$2:$B$5001,B572))</f>
        <v/>
      </c>
      <c r="F572" s="27" t="str">
        <f aca="false">IF(A572="","",A572&amp;"|"&amp;B572)</f>
        <v/>
      </c>
    </row>
    <row r="573" customFormat="false" ht="15" hidden="false" customHeight="false" outlineLevel="0" collapsed="false">
      <c r="A573" s="19"/>
      <c r="B573" s="19"/>
      <c r="C573" s="20"/>
      <c r="D573" s="19"/>
      <c r="E573" s="26" t="str">
        <f aca="false">IF(A573="","",COUNTIFS(Apparitions!$A$2:$A$5001,A573,Apparitions!$B$2:$B$5001,B573))</f>
        <v/>
      </c>
      <c r="F573" s="27" t="str">
        <f aca="false">IF(A573="","",A573&amp;"|"&amp;B573)</f>
        <v/>
      </c>
    </row>
    <row r="574" customFormat="false" ht="15" hidden="false" customHeight="false" outlineLevel="0" collapsed="false">
      <c r="A574" s="19"/>
      <c r="B574" s="19"/>
      <c r="C574" s="20"/>
      <c r="D574" s="19"/>
      <c r="E574" s="26" t="str">
        <f aca="false">IF(A574="","",COUNTIFS(Apparitions!$A$2:$A$5001,A574,Apparitions!$B$2:$B$5001,B574))</f>
        <v/>
      </c>
      <c r="F574" s="27" t="str">
        <f aca="false">IF(A574="","",A574&amp;"|"&amp;B574)</f>
        <v/>
      </c>
    </row>
    <row r="575" customFormat="false" ht="15" hidden="false" customHeight="false" outlineLevel="0" collapsed="false">
      <c r="A575" s="19"/>
      <c r="B575" s="19"/>
      <c r="C575" s="20"/>
      <c r="D575" s="19"/>
      <c r="E575" s="26" t="str">
        <f aca="false">IF(A575="","",COUNTIFS(Apparitions!$A$2:$A$5001,A575,Apparitions!$B$2:$B$5001,B575))</f>
        <v/>
      </c>
      <c r="F575" s="27" t="str">
        <f aca="false">IF(A575="","",A575&amp;"|"&amp;B575)</f>
        <v/>
      </c>
    </row>
    <row r="576" customFormat="false" ht="15" hidden="false" customHeight="false" outlineLevel="0" collapsed="false">
      <c r="A576" s="19"/>
      <c r="B576" s="19"/>
      <c r="C576" s="20"/>
      <c r="D576" s="19"/>
      <c r="E576" s="26" t="str">
        <f aca="false">IF(A576="","",COUNTIFS(Apparitions!$A$2:$A$5001,A576,Apparitions!$B$2:$B$5001,B576))</f>
        <v/>
      </c>
      <c r="F576" s="27" t="str">
        <f aca="false">IF(A576="","",A576&amp;"|"&amp;B576)</f>
        <v/>
      </c>
    </row>
    <row r="577" customFormat="false" ht="15" hidden="false" customHeight="false" outlineLevel="0" collapsed="false">
      <c r="A577" s="19"/>
      <c r="B577" s="19"/>
      <c r="C577" s="20"/>
      <c r="D577" s="19"/>
      <c r="E577" s="26" t="str">
        <f aca="false">IF(A577="","",COUNTIFS(Apparitions!$A$2:$A$5001,A577,Apparitions!$B$2:$B$5001,B577))</f>
        <v/>
      </c>
      <c r="F577" s="27" t="str">
        <f aca="false">IF(A577="","",A577&amp;"|"&amp;B577)</f>
        <v/>
      </c>
    </row>
    <row r="578" customFormat="false" ht="15" hidden="false" customHeight="false" outlineLevel="0" collapsed="false">
      <c r="A578" s="19"/>
      <c r="B578" s="19"/>
      <c r="C578" s="20"/>
      <c r="D578" s="19"/>
      <c r="E578" s="26" t="str">
        <f aca="false">IF(A578="","",COUNTIFS(Apparitions!$A$2:$A$5001,A578,Apparitions!$B$2:$B$5001,B578))</f>
        <v/>
      </c>
      <c r="F578" s="27" t="str">
        <f aca="false">IF(A578="","",A578&amp;"|"&amp;B578)</f>
        <v/>
      </c>
    </row>
    <row r="579" customFormat="false" ht="15" hidden="false" customHeight="false" outlineLevel="0" collapsed="false">
      <c r="A579" s="19"/>
      <c r="B579" s="19"/>
      <c r="C579" s="20"/>
      <c r="D579" s="19"/>
      <c r="E579" s="26" t="str">
        <f aca="false">IF(A579="","",COUNTIFS(Apparitions!$A$2:$A$5001,A579,Apparitions!$B$2:$B$5001,B579))</f>
        <v/>
      </c>
      <c r="F579" s="27" t="str">
        <f aca="false">IF(A579="","",A579&amp;"|"&amp;B579)</f>
        <v/>
      </c>
    </row>
    <row r="580" customFormat="false" ht="15" hidden="false" customHeight="false" outlineLevel="0" collapsed="false">
      <c r="A580" s="19"/>
      <c r="B580" s="19"/>
      <c r="C580" s="20"/>
      <c r="D580" s="19"/>
      <c r="E580" s="26" t="str">
        <f aca="false">IF(A580="","",COUNTIFS(Apparitions!$A$2:$A$5001,A580,Apparitions!$B$2:$B$5001,B580))</f>
        <v/>
      </c>
      <c r="F580" s="27" t="str">
        <f aca="false">IF(A580="","",A580&amp;"|"&amp;B580)</f>
        <v/>
      </c>
    </row>
    <row r="581" customFormat="false" ht="15" hidden="false" customHeight="false" outlineLevel="0" collapsed="false">
      <c r="A581" s="19"/>
      <c r="B581" s="19"/>
      <c r="C581" s="20"/>
      <c r="D581" s="19"/>
      <c r="E581" s="26" t="str">
        <f aca="false">IF(A581="","",COUNTIFS(Apparitions!$A$2:$A$5001,A581,Apparitions!$B$2:$B$5001,B581))</f>
        <v/>
      </c>
      <c r="F581" s="27" t="str">
        <f aca="false">IF(A581="","",A581&amp;"|"&amp;B581)</f>
        <v/>
      </c>
    </row>
    <row r="582" customFormat="false" ht="15" hidden="false" customHeight="false" outlineLevel="0" collapsed="false">
      <c r="A582" s="19"/>
      <c r="B582" s="19"/>
      <c r="C582" s="20"/>
      <c r="D582" s="19"/>
      <c r="E582" s="26" t="str">
        <f aca="false">IF(A582="","",COUNTIFS(Apparitions!$A$2:$A$5001,A582,Apparitions!$B$2:$B$5001,B582))</f>
        <v/>
      </c>
      <c r="F582" s="27" t="str">
        <f aca="false">IF(A582="","",A582&amp;"|"&amp;B582)</f>
        <v/>
      </c>
    </row>
    <row r="583" customFormat="false" ht="15" hidden="false" customHeight="false" outlineLevel="0" collapsed="false">
      <c r="A583" s="19"/>
      <c r="B583" s="19"/>
      <c r="C583" s="20"/>
      <c r="D583" s="19"/>
      <c r="E583" s="26" t="str">
        <f aca="false">IF(A583="","",COUNTIFS(Apparitions!$A$2:$A$5001,A583,Apparitions!$B$2:$B$5001,B583))</f>
        <v/>
      </c>
      <c r="F583" s="27" t="str">
        <f aca="false">IF(A583="","",A583&amp;"|"&amp;B583)</f>
        <v/>
      </c>
    </row>
    <row r="584" customFormat="false" ht="15" hidden="false" customHeight="false" outlineLevel="0" collapsed="false">
      <c r="A584" s="19"/>
      <c r="B584" s="19"/>
      <c r="C584" s="20"/>
      <c r="D584" s="19"/>
      <c r="E584" s="26" t="str">
        <f aca="false">IF(A584="","",COUNTIFS(Apparitions!$A$2:$A$5001,A584,Apparitions!$B$2:$B$5001,B584))</f>
        <v/>
      </c>
      <c r="F584" s="27" t="str">
        <f aca="false">IF(A584="","",A584&amp;"|"&amp;B584)</f>
        <v/>
      </c>
    </row>
    <row r="585" customFormat="false" ht="15" hidden="false" customHeight="false" outlineLevel="0" collapsed="false">
      <c r="A585" s="19"/>
      <c r="B585" s="19"/>
      <c r="C585" s="20"/>
      <c r="D585" s="19"/>
      <c r="E585" s="26" t="str">
        <f aca="false">IF(A585="","",COUNTIFS(Apparitions!$A$2:$A$5001,A585,Apparitions!$B$2:$B$5001,B585))</f>
        <v/>
      </c>
      <c r="F585" s="27" t="str">
        <f aca="false">IF(A585="","",A585&amp;"|"&amp;B585)</f>
        <v/>
      </c>
    </row>
    <row r="586" customFormat="false" ht="15" hidden="false" customHeight="false" outlineLevel="0" collapsed="false">
      <c r="A586" s="19"/>
      <c r="B586" s="19"/>
      <c r="C586" s="20"/>
      <c r="D586" s="19"/>
      <c r="E586" s="26" t="str">
        <f aca="false">IF(A586="","",COUNTIFS(Apparitions!$A$2:$A$5001,A586,Apparitions!$B$2:$B$5001,B586))</f>
        <v/>
      </c>
      <c r="F586" s="27" t="str">
        <f aca="false">IF(A586="","",A586&amp;"|"&amp;B586)</f>
        <v/>
      </c>
    </row>
    <row r="587" customFormat="false" ht="15" hidden="false" customHeight="false" outlineLevel="0" collapsed="false">
      <c r="A587" s="19"/>
      <c r="B587" s="19"/>
      <c r="C587" s="20"/>
      <c r="D587" s="19"/>
      <c r="E587" s="26" t="str">
        <f aca="false">IF(A587="","",COUNTIFS(Apparitions!$A$2:$A$5001,A587,Apparitions!$B$2:$B$5001,B587))</f>
        <v/>
      </c>
      <c r="F587" s="27" t="str">
        <f aca="false">IF(A587="","",A587&amp;"|"&amp;B587)</f>
        <v/>
      </c>
    </row>
    <row r="588" customFormat="false" ht="15" hidden="false" customHeight="false" outlineLevel="0" collapsed="false">
      <c r="A588" s="19"/>
      <c r="B588" s="19"/>
      <c r="C588" s="20"/>
      <c r="D588" s="19"/>
      <c r="E588" s="26" t="str">
        <f aca="false">IF(A588="","",COUNTIFS(Apparitions!$A$2:$A$5001,A588,Apparitions!$B$2:$B$5001,B588))</f>
        <v/>
      </c>
      <c r="F588" s="27" t="str">
        <f aca="false">IF(A588="","",A588&amp;"|"&amp;B588)</f>
        <v/>
      </c>
    </row>
    <row r="589" customFormat="false" ht="15" hidden="false" customHeight="false" outlineLevel="0" collapsed="false">
      <c r="A589" s="19"/>
      <c r="B589" s="19"/>
      <c r="C589" s="20"/>
      <c r="D589" s="19"/>
      <c r="E589" s="26" t="str">
        <f aca="false">IF(A589="","",COUNTIFS(Apparitions!$A$2:$A$5001,A589,Apparitions!$B$2:$B$5001,B589))</f>
        <v/>
      </c>
      <c r="F589" s="27" t="str">
        <f aca="false">IF(A589="","",A589&amp;"|"&amp;B589)</f>
        <v/>
      </c>
    </row>
    <row r="590" customFormat="false" ht="15" hidden="false" customHeight="false" outlineLevel="0" collapsed="false">
      <c r="A590" s="19"/>
      <c r="B590" s="19"/>
      <c r="C590" s="20"/>
      <c r="D590" s="19"/>
      <c r="E590" s="26" t="str">
        <f aca="false">IF(A590="","",COUNTIFS(Apparitions!$A$2:$A$5001,A590,Apparitions!$B$2:$B$5001,B590))</f>
        <v/>
      </c>
      <c r="F590" s="27" t="str">
        <f aca="false">IF(A590="","",A590&amp;"|"&amp;B590)</f>
        <v/>
      </c>
    </row>
    <row r="591" customFormat="false" ht="15" hidden="false" customHeight="false" outlineLevel="0" collapsed="false">
      <c r="A591" s="19"/>
      <c r="B591" s="19"/>
      <c r="C591" s="20"/>
      <c r="D591" s="19"/>
      <c r="E591" s="26" t="str">
        <f aca="false">IF(A591="","",COUNTIFS(Apparitions!$A$2:$A$5001,A591,Apparitions!$B$2:$B$5001,B591))</f>
        <v/>
      </c>
      <c r="F591" s="27" t="str">
        <f aca="false">IF(A591="","",A591&amp;"|"&amp;B591)</f>
        <v/>
      </c>
    </row>
    <row r="592" customFormat="false" ht="15" hidden="false" customHeight="false" outlineLevel="0" collapsed="false">
      <c r="A592" s="19"/>
      <c r="B592" s="19"/>
      <c r="C592" s="20"/>
      <c r="D592" s="19"/>
      <c r="E592" s="26" t="str">
        <f aca="false">IF(A592="","",COUNTIFS(Apparitions!$A$2:$A$5001,A592,Apparitions!$B$2:$B$5001,B592))</f>
        <v/>
      </c>
      <c r="F592" s="27" t="str">
        <f aca="false">IF(A592="","",A592&amp;"|"&amp;B592)</f>
        <v/>
      </c>
    </row>
    <row r="593" customFormat="false" ht="15" hidden="false" customHeight="false" outlineLevel="0" collapsed="false">
      <c r="A593" s="19"/>
      <c r="B593" s="19"/>
      <c r="C593" s="20"/>
      <c r="D593" s="19"/>
      <c r="E593" s="26" t="str">
        <f aca="false">IF(A593="","",COUNTIFS(Apparitions!$A$2:$A$5001,A593,Apparitions!$B$2:$B$5001,B593))</f>
        <v/>
      </c>
      <c r="F593" s="27" t="str">
        <f aca="false">IF(A593="","",A593&amp;"|"&amp;B593)</f>
        <v/>
      </c>
    </row>
    <row r="594" customFormat="false" ht="15" hidden="false" customHeight="false" outlineLevel="0" collapsed="false">
      <c r="A594" s="19"/>
      <c r="B594" s="19"/>
      <c r="C594" s="20"/>
      <c r="D594" s="19"/>
      <c r="E594" s="26" t="str">
        <f aca="false">IF(A594="","",COUNTIFS(Apparitions!$A$2:$A$5001,A594,Apparitions!$B$2:$B$5001,B594))</f>
        <v/>
      </c>
      <c r="F594" s="27" t="str">
        <f aca="false">IF(A594="","",A594&amp;"|"&amp;B594)</f>
        <v/>
      </c>
    </row>
    <row r="595" customFormat="false" ht="15" hidden="false" customHeight="false" outlineLevel="0" collapsed="false">
      <c r="A595" s="19"/>
      <c r="B595" s="19"/>
      <c r="C595" s="20"/>
      <c r="D595" s="19"/>
      <c r="E595" s="26" t="str">
        <f aca="false">IF(A595="","",COUNTIFS(Apparitions!$A$2:$A$5001,A595,Apparitions!$B$2:$B$5001,B595))</f>
        <v/>
      </c>
      <c r="F595" s="27" t="str">
        <f aca="false">IF(A595="","",A595&amp;"|"&amp;B595)</f>
        <v/>
      </c>
    </row>
    <row r="596" customFormat="false" ht="15" hidden="false" customHeight="false" outlineLevel="0" collapsed="false">
      <c r="A596" s="19"/>
      <c r="B596" s="19"/>
      <c r="C596" s="20"/>
      <c r="D596" s="19"/>
      <c r="E596" s="26" t="str">
        <f aca="false">IF(A596="","",COUNTIFS(Apparitions!$A$2:$A$5001,A596,Apparitions!$B$2:$B$5001,B596))</f>
        <v/>
      </c>
      <c r="F596" s="27" t="str">
        <f aca="false">IF(A596="","",A596&amp;"|"&amp;B596)</f>
        <v/>
      </c>
    </row>
    <row r="597" customFormat="false" ht="15" hidden="false" customHeight="false" outlineLevel="0" collapsed="false">
      <c r="A597" s="19"/>
      <c r="B597" s="19"/>
      <c r="C597" s="20"/>
      <c r="D597" s="19"/>
      <c r="E597" s="26" t="str">
        <f aca="false">IF(A597="","",COUNTIFS(Apparitions!$A$2:$A$5001,A597,Apparitions!$B$2:$B$5001,B597))</f>
        <v/>
      </c>
      <c r="F597" s="27" t="str">
        <f aca="false">IF(A597="","",A597&amp;"|"&amp;B597)</f>
        <v/>
      </c>
    </row>
    <row r="598" customFormat="false" ht="15" hidden="false" customHeight="false" outlineLevel="0" collapsed="false">
      <c r="A598" s="19"/>
      <c r="B598" s="19"/>
      <c r="C598" s="20"/>
      <c r="D598" s="19"/>
      <c r="E598" s="26" t="str">
        <f aca="false">IF(A598="","",COUNTIFS(Apparitions!$A$2:$A$5001,A598,Apparitions!$B$2:$B$5001,B598))</f>
        <v/>
      </c>
      <c r="F598" s="27" t="str">
        <f aca="false">IF(A598="","",A598&amp;"|"&amp;B598)</f>
        <v/>
      </c>
    </row>
    <row r="599" customFormat="false" ht="15" hidden="false" customHeight="false" outlineLevel="0" collapsed="false">
      <c r="A599" s="19"/>
      <c r="B599" s="19"/>
      <c r="C599" s="20"/>
      <c r="D599" s="19"/>
      <c r="E599" s="26" t="str">
        <f aca="false">IF(A599="","",COUNTIFS(Apparitions!$A$2:$A$5001,A599,Apparitions!$B$2:$B$5001,B599))</f>
        <v/>
      </c>
      <c r="F599" s="27" t="str">
        <f aca="false">IF(A599="","",A599&amp;"|"&amp;B599)</f>
        <v/>
      </c>
    </row>
    <row r="600" customFormat="false" ht="15" hidden="false" customHeight="false" outlineLevel="0" collapsed="false">
      <c r="A600" s="19"/>
      <c r="B600" s="19"/>
      <c r="C600" s="20"/>
      <c r="D600" s="19"/>
      <c r="E600" s="26" t="str">
        <f aca="false">IF(A600="","",COUNTIFS(Apparitions!$A$2:$A$5001,A600,Apparitions!$B$2:$B$5001,B600))</f>
        <v/>
      </c>
      <c r="F600" s="27" t="str">
        <f aca="false">IF(A600="","",A600&amp;"|"&amp;B600)</f>
        <v/>
      </c>
    </row>
    <row r="601" customFormat="false" ht="15" hidden="false" customHeight="false" outlineLevel="0" collapsed="false">
      <c r="A601" s="19"/>
      <c r="B601" s="19"/>
      <c r="C601" s="20"/>
      <c r="D601" s="19"/>
      <c r="E601" s="26" t="str">
        <f aca="false">IF(A601="","",COUNTIFS(Apparitions!$A$2:$A$5001,A601,Apparitions!$B$2:$B$5001,B601))</f>
        <v/>
      </c>
      <c r="F601" s="27" t="str">
        <f aca="false">IF(A601="","",A601&amp;"|"&amp;B601)</f>
        <v/>
      </c>
    </row>
    <row r="602" customFormat="false" ht="15" hidden="false" customHeight="false" outlineLevel="0" collapsed="false">
      <c r="A602" s="19"/>
      <c r="B602" s="19"/>
      <c r="C602" s="20"/>
      <c r="D602" s="19"/>
      <c r="E602" s="26" t="str">
        <f aca="false">IF(A602="","",COUNTIFS(Apparitions!$A$2:$A$5001,A602,Apparitions!$B$2:$B$5001,B602))</f>
        <v/>
      </c>
      <c r="F602" s="27" t="str">
        <f aca="false">IF(A602="","",A602&amp;"|"&amp;B602)</f>
        <v/>
      </c>
    </row>
    <row r="603" customFormat="false" ht="15" hidden="false" customHeight="false" outlineLevel="0" collapsed="false">
      <c r="A603" s="19"/>
      <c r="B603" s="19"/>
      <c r="C603" s="20"/>
      <c r="D603" s="19"/>
      <c r="E603" s="26" t="str">
        <f aca="false">IF(A603="","",COUNTIFS(Apparitions!$A$2:$A$5001,A603,Apparitions!$B$2:$B$5001,B603))</f>
        <v/>
      </c>
      <c r="F603" s="27" t="str">
        <f aca="false">IF(A603="","",A603&amp;"|"&amp;B603)</f>
        <v/>
      </c>
    </row>
    <row r="604" customFormat="false" ht="15" hidden="false" customHeight="false" outlineLevel="0" collapsed="false">
      <c r="A604" s="19"/>
      <c r="B604" s="19"/>
      <c r="C604" s="20"/>
      <c r="D604" s="19"/>
      <c r="E604" s="26" t="str">
        <f aca="false">IF(A604="","",COUNTIFS(Apparitions!$A$2:$A$5001,A604,Apparitions!$B$2:$B$5001,B604))</f>
        <v/>
      </c>
      <c r="F604" s="27" t="str">
        <f aca="false">IF(A604="","",A604&amp;"|"&amp;B604)</f>
        <v/>
      </c>
    </row>
    <row r="605" customFormat="false" ht="15" hidden="false" customHeight="false" outlineLevel="0" collapsed="false">
      <c r="A605" s="19"/>
      <c r="B605" s="19"/>
      <c r="C605" s="20"/>
      <c r="D605" s="19"/>
      <c r="E605" s="26" t="str">
        <f aca="false">IF(A605="","",COUNTIFS(Apparitions!$A$2:$A$5001,A605,Apparitions!$B$2:$B$5001,B605))</f>
        <v/>
      </c>
      <c r="F605" s="27" t="str">
        <f aca="false">IF(A605="","",A605&amp;"|"&amp;B605)</f>
        <v/>
      </c>
    </row>
    <row r="606" customFormat="false" ht="15" hidden="false" customHeight="false" outlineLevel="0" collapsed="false">
      <c r="A606" s="19"/>
      <c r="B606" s="19"/>
      <c r="C606" s="20"/>
      <c r="D606" s="19"/>
      <c r="E606" s="26" t="str">
        <f aca="false">IF(A606="","",COUNTIFS(Apparitions!$A$2:$A$5001,A606,Apparitions!$B$2:$B$5001,B606))</f>
        <v/>
      </c>
      <c r="F606" s="27" t="str">
        <f aca="false">IF(A606="","",A606&amp;"|"&amp;B606)</f>
        <v/>
      </c>
    </row>
    <row r="607" customFormat="false" ht="15" hidden="false" customHeight="false" outlineLevel="0" collapsed="false">
      <c r="A607" s="19"/>
      <c r="B607" s="19"/>
      <c r="C607" s="20"/>
      <c r="D607" s="19"/>
      <c r="E607" s="26" t="str">
        <f aca="false">IF(A607="","",COUNTIFS(Apparitions!$A$2:$A$5001,A607,Apparitions!$B$2:$B$5001,B607))</f>
        <v/>
      </c>
      <c r="F607" s="27" t="str">
        <f aca="false">IF(A607="","",A607&amp;"|"&amp;B607)</f>
        <v/>
      </c>
    </row>
    <row r="608" customFormat="false" ht="15" hidden="false" customHeight="false" outlineLevel="0" collapsed="false">
      <c r="A608" s="19"/>
      <c r="B608" s="19"/>
      <c r="C608" s="20"/>
      <c r="D608" s="19"/>
      <c r="E608" s="26" t="str">
        <f aca="false">IF(A608="","",COUNTIFS(Apparitions!$A$2:$A$5001,A608,Apparitions!$B$2:$B$5001,B608))</f>
        <v/>
      </c>
      <c r="F608" s="27" t="str">
        <f aca="false">IF(A608="","",A608&amp;"|"&amp;B608)</f>
        <v/>
      </c>
    </row>
    <row r="609" customFormat="false" ht="15" hidden="false" customHeight="false" outlineLevel="0" collapsed="false">
      <c r="A609" s="19"/>
      <c r="B609" s="19"/>
      <c r="C609" s="20"/>
      <c r="D609" s="19"/>
      <c r="E609" s="26" t="str">
        <f aca="false">IF(A609="","",COUNTIFS(Apparitions!$A$2:$A$5001,A609,Apparitions!$B$2:$B$5001,B609))</f>
        <v/>
      </c>
      <c r="F609" s="27" t="str">
        <f aca="false">IF(A609="","",A609&amp;"|"&amp;B609)</f>
        <v/>
      </c>
    </row>
    <row r="610" customFormat="false" ht="15" hidden="false" customHeight="false" outlineLevel="0" collapsed="false">
      <c r="A610" s="19"/>
      <c r="B610" s="19"/>
      <c r="C610" s="20"/>
      <c r="D610" s="19"/>
      <c r="E610" s="26" t="str">
        <f aca="false">IF(A610="","",COUNTIFS(Apparitions!$A$2:$A$5001,A610,Apparitions!$B$2:$B$5001,B610))</f>
        <v/>
      </c>
      <c r="F610" s="27" t="str">
        <f aca="false">IF(A610="","",A610&amp;"|"&amp;B610)</f>
        <v/>
      </c>
    </row>
    <row r="611" customFormat="false" ht="15" hidden="false" customHeight="false" outlineLevel="0" collapsed="false">
      <c r="A611" s="19"/>
      <c r="B611" s="19"/>
      <c r="C611" s="20"/>
      <c r="D611" s="19"/>
      <c r="E611" s="26" t="str">
        <f aca="false">IF(A611="","",COUNTIFS(Apparitions!$A$2:$A$5001,A611,Apparitions!$B$2:$B$5001,B611))</f>
        <v/>
      </c>
      <c r="F611" s="27" t="str">
        <f aca="false">IF(A611="","",A611&amp;"|"&amp;B611)</f>
        <v/>
      </c>
    </row>
    <row r="612" customFormat="false" ht="15" hidden="false" customHeight="false" outlineLevel="0" collapsed="false">
      <c r="A612" s="19"/>
      <c r="B612" s="19"/>
      <c r="C612" s="20"/>
      <c r="D612" s="19"/>
      <c r="E612" s="26" t="str">
        <f aca="false">IF(A612="","",COUNTIFS(Apparitions!$A$2:$A$5001,A612,Apparitions!$B$2:$B$5001,B612))</f>
        <v/>
      </c>
      <c r="F612" s="27" t="str">
        <f aca="false">IF(A612="","",A612&amp;"|"&amp;B612)</f>
        <v/>
      </c>
    </row>
    <row r="613" customFormat="false" ht="15" hidden="false" customHeight="false" outlineLevel="0" collapsed="false">
      <c r="A613" s="19"/>
      <c r="B613" s="19"/>
      <c r="C613" s="20"/>
      <c r="D613" s="19"/>
      <c r="E613" s="26" t="str">
        <f aca="false">IF(A613="","",COUNTIFS(Apparitions!$A$2:$A$5001,A613,Apparitions!$B$2:$B$5001,B613))</f>
        <v/>
      </c>
      <c r="F613" s="27" t="str">
        <f aca="false">IF(A613="","",A613&amp;"|"&amp;B613)</f>
        <v/>
      </c>
    </row>
    <row r="614" customFormat="false" ht="15" hidden="false" customHeight="false" outlineLevel="0" collapsed="false">
      <c r="A614" s="19"/>
      <c r="B614" s="19"/>
      <c r="C614" s="20"/>
      <c r="D614" s="19"/>
      <c r="E614" s="26" t="str">
        <f aca="false">IF(A614="","",COUNTIFS(Apparitions!$A$2:$A$5001,A614,Apparitions!$B$2:$B$5001,B614))</f>
        <v/>
      </c>
      <c r="F614" s="27" t="str">
        <f aca="false">IF(A614="","",A614&amp;"|"&amp;B614)</f>
        <v/>
      </c>
    </row>
    <row r="615" customFormat="false" ht="15" hidden="false" customHeight="false" outlineLevel="0" collapsed="false">
      <c r="A615" s="19"/>
      <c r="B615" s="19"/>
      <c r="C615" s="20"/>
      <c r="D615" s="19"/>
      <c r="E615" s="26" t="str">
        <f aca="false">IF(A615="","",COUNTIFS(Apparitions!$A$2:$A$5001,A615,Apparitions!$B$2:$B$5001,B615))</f>
        <v/>
      </c>
      <c r="F615" s="27" t="str">
        <f aca="false">IF(A615="","",A615&amp;"|"&amp;B615)</f>
        <v/>
      </c>
    </row>
    <row r="616" customFormat="false" ht="15" hidden="false" customHeight="false" outlineLevel="0" collapsed="false">
      <c r="A616" s="19"/>
      <c r="B616" s="19"/>
      <c r="C616" s="20"/>
      <c r="D616" s="19"/>
      <c r="E616" s="26" t="str">
        <f aca="false">IF(A616="","",COUNTIFS(Apparitions!$A$2:$A$5001,A616,Apparitions!$B$2:$B$5001,B616))</f>
        <v/>
      </c>
      <c r="F616" s="27" t="str">
        <f aca="false">IF(A616="","",A616&amp;"|"&amp;B616)</f>
        <v/>
      </c>
    </row>
    <row r="617" customFormat="false" ht="15" hidden="false" customHeight="false" outlineLevel="0" collapsed="false">
      <c r="A617" s="19"/>
      <c r="B617" s="19"/>
      <c r="C617" s="20"/>
      <c r="D617" s="19"/>
      <c r="E617" s="26" t="str">
        <f aca="false">IF(A617="","",COUNTIFS(Apparitions!$A$2:$A$5001,A617,Apparitions!$B$2:$B$5001,B617))</f>
        <v/>
      </c>
      <c r="F617" s="27" t="str">
        <f aca="false">IF(A617="","",A617&amp;"|"&amp;B617)</f>
        <v/>
      </c>
    </row>
    <row r="618" customFormat="false" ht="15" hidden="false" customHeight="false" outlineLevel="0" collapsed="false">
      <c r="A618" s="19"/>
      <c r="B618" s="19"/>
      <c r="C618" s="20"/>
      <c r="D618" s="19"/>
      <c r="E618" s="26" t="str">
        <f aca="false">IF(A618="","",COUNTIFS(Apparitions!$A$2:$A$5001,A618,Apparitions!$B$2:$B$5001,B618))</f>
        <v/>
      </c>
      <c r="F618" s="27" t="str">
        <f aca="false">IF(A618="","",A618&amp;"|"&amp;B618)</f>
        <v/>
      </c>
    </row>
    <row r="619" customFormat="false" ht="15" hidden="false" customHeight="false" outlineLevel="0" collapsed="false">
      <c r="A619" s="19"/>
      <c r="B619" s="19"/>
      <c r="C619" s="20"/>
      <c r="D619" s="19"/>
      <c r="E619" s="26" t="str">
        <f aca="false">IF(A619="","",COUNTIFS(Apparitions!$A$2:$A$5001,A619,Apparitions!$B$2:$B$5001,B619))</f>
        <v/>
      </c>
      <c r="F619" s="27" t="str">
        <f aca="false">IF(A619="","",A619&amp;"|"&amp;B619)</f>
        <v/>
      </c>
    </row>
    <row r="620" customFormat="false" ht="15" hidden="false" customHeight="false" outlineLevel="0" collapsed="false">
      <c r="A620" s="19"/>
      <c r="B620" s="19"/>
      <c r="C620" s="20"/>
      <c r="D620" s="19"/>
      <c r="E620" s="26" t="str">
        <f aca="false">IF(A620="","",COUNTIFS(Apparitions!$A$2:$A$5001,A620,Apparitions!$B$2:$B$5001,B620))</f>
        <v/>
      </c>
      <c r="F620" s="27" t="str">
        <f aca="false">IF(A620="","",A620&amp;"|"&amp;B620)</f>
        <v/>
      </c>
    </row>
    <row r="621" customFormat="false" ht="15" hidden="false" customHeight="false" outlineLevel="0" collapsed="false">
      <c r="A621" s="19"/>
      <c r="B621" s="19"/>
      <c r="C621" s="20"/>
      <c r="D621" s="19"/>
      <c r="E621" s="26" t="str">
        <f aca="false">IF(A621="","",COUNTIFS(Apparitions!$A$2:$A$5001,A621,Apparitions!$B$2:$B$5001,B621))</f>
        <v/>
      </c>
      <c r="F621" s="27" t="str">
        <f aca="false">IF(A621="","",A621&amp;"|"&amp;B621)</f>
        <v/>
      </c>
    </row>
    <row r="622" customFormat="false" ht="15" hidden="false" customHeight="false" outlineLevel="0" collapsed="false">
      <c r="A622" s="19"/>
      <c r="B622" s="19"/>
      <c r="C622" s="20"/>
      <c r="D622" s="19"/>
      <c r="E622" s="26" t="str">
        <f aca="false">IF(A622="","",COUNTIFS(Apparitions!$A$2:$A$5001,A622,Apparitions!$B$2:$B$5001,B622))</f>
        <v/>
      </c>
      <c r="F622" s="27" t="str">
        <f aca="false">IF(A622="","",A622&amp;"|"&amp;B622)</f>
        <v/>
      </c>
    </row>
    <row r="623" customFormat="false" ht="15" hidden="false" customHeight="false" outlineLevel="0" collapsed="false">
      <c r="A623" s="19"/>
      <c r="B623" s="19"/>
      <c r="C623" s="20"/>
      <c r="D623" s="19"/>
      <c r="E623" s="26" t="str">
        <f aca="false">IF(A623="","",COUNTIFS(Apparitions!$A$2:$A$5001,A623,Apparitions!$B$2:$B$5001,B623))</f>
        <v/>
      </c>
      <c r="F623" s="27" t="str">
        <f aca="false">IF(A623="","",A623&amp;"|"&amp;B623)</f>
        <v/>
      </c>
    </row>
    <row r="624" customFormat="false" ht="15" hidden="false" customHeight="false" outlineLevel="0" collapsed="false">
      <c r="A624" s="19"/>
      <c r="B624" s="19"/>
      <c r="C624" s="20"/>
      <c r="D624" s="19"/>
      <c r="E624" s="26" t="str">
        <f aca="false">IF(A624="","",COUNTIFS(Apparitions!$A$2:$A$5001,A624,Apparitions!$B$2:$B$5001,B624))</f>
        <v/>
      </c>
      <c r="F624" s="27" t="str">
        <f aca="false">IF(A624="","",A624&amp;"|"&amp;B624)</f>
        <v/>
      </c>
    </row>
    <row r="625" customFormat="false" ht="15" hidden="false" customHeight="false" outlineLevel="0" collapsed="false">
      <c r="A625" s="19"/>
      <c r="B625" s="19"/>
      <c r="C625" s="20"/>
      <c r="D625" s="19"/>
      <c r="E625" s="26" t="str">
        <f aca="false">IF(A625="","",COUNTIFS(Apparitions!$A$2:$A$5001,A625,Apparitions!$B$2:$B$5001,B625))</f>
        <v/>
      </c>
      <c r="F625" s="27" t="str">
        <f aca="false">IF(A625="","",A625&amp;"|"&amp;B625)</f>
        <v/>
      </c>
    </row>
    <row r="626" customFormat="false" ht="15" hidden="false" customHeight="false" outlineLevel="0" collapsed="false">
      <c r="A626" s="19"/>
      <c r="B626" s="19"/>
      <c r="C626" s="20"/>
      <c r="D626" s="19"/>
      <c r="E626" s="26" t="str">
        <f aca="false">IF(A626="","",COUNTIFS(Apparitions!$A$2:$A$5001,A626,Apparitions!$B$2:$B$5001,B626))</f>
        <v/>
      </c>
      <c r="F626" s="27" t="str">
        <f aca="false">IF(A626="","",A626&amp;"|"&amp;B626)</f>
        <v/>
      </c>
    </row>
    <row r="627" customFormat="false" ht="15" hidden="false" customHeight="false" outlineLevel="0" collapsed="false">
      <c r="A627" s="19"/>
      <c r="B627" s="19"/>
      <c r="C627" s="20"/>
      <c r="D627" s="19"/>
      <c r="E627" s="26" t="str">
        <f aca="false">IF(A627="","",COUNTIFS(Apparitions!$A$2:$A$5001,A627,Apparitions!$B$2:$B$5001,B627))</f>
        <v/>
      </c>
      <c r="F627" s="27" t="str">
        <f aca="false">IF(A627="","",A627&amp;"|"&amp;B627)</f>
        <v/>
      </c>
    </row>
    <row r="628" customFormat="false" ht="15" hidden="false" customHeight="false" outlineLevel="0" collapsed="false">
      <c r="A628" s="19"/>
      <c r="B628" s="19"/>
      <c r="C628" s="20"/>
      <c r="D628" s="19"/>
      <c r="E628" s="26" t="str">
        <f aca="false">IF(A628="","",COUNTIFS(Apparitions!$A$2:$A$5001,A628,Apparitions!$B$2:$B$5001,B628))</f>
        <v/>
      </c>
      <c r="F628" s="27" t="str">
        <f aca="false">IF(A628="","",A628&amp;"|"&amp;B628)</f>
        <v/>
      </c>
    </row>
    <row r="629" customFormat="false" ht="15" hidden="false" customHeight="false" outlineLevel="0" collapsed="false">
      <c r="A629" s="19"/>
      <c r="B629" s="19"/>
      <c r="C629" s="20"/>
      <c r="D629" s="19"/>
      <c r="E629" s="26" t="str">
        <f aca="false">IF(A629="","",COUNTIFS(Apparitions!$A$2:$A$5001,A629,Apparitions!$B$2:$B$5001,B629))</f>
        <v/>
      </c>
      <c r="F629" s="27" t="str">
        <f aca="false">IF(A629="","",A629&amp;"|"&amp;B629)</f>
        <v/>
      </c>
    </row>
    <row r="630" customFormat="false" ht="15" hidden="false" customHeight="false" outlineLevel="0" collapsed="false">
      <c r="A630" s="19"/>
      <c r="B630" s="19"/>
      <c r="C630" s="20"/>
      <c r="D630" s="19"/>
      <c r="E630" s="26" t="str">
        <f aca="false">IF(A630="","",COUNTIFS(Apparitions!$A$2:$A$5001,A630,Apparitions!$B$2:$B$5001,B630))</f>
        <v/>
      </c>
      <c r="F630" s="27" t="str">
        <f aca="false">IF(A630="","",A630&amp;"|"&amp;B630)</f>
        <v/>
      </c>
    </row>
    <row r="631" customFormat="false" ht="15" hidden="false" customHeight="false" outlineLevel="0" collapsed="false">
      <c r="A631" s="19"/>
      <c r="B631" s="19"/>
      <c r="C631" s="20"/>
      <c r="D631" s="19"/>
      <c r="E631" s="26" t="str">
        <f aca="false">IF(A631="","",COUNTIFS(Apparitions!$A$2:$A$5001,A631,Apparitions!$B$2:$B$5001,B631))</f>
        <v/>
      </c>
      <c r="F631" s="27" t="str">
        <f aca="false">IF(A631="","",A631&amp;"|"&amp;B631)</f>
        <v/>
      </c>
    </row>
    <row r="632" customFormat="false" ht="15" hidden="false" customHeight="false" outlineLevel="0" collapsed="false">
      <c r="A632" s="19"/>
      <c r="B632" s="19"/>
      <c r="C632" s="20"/>
      <c r="D632" s="19"/>
      <c r="E632" s="26" t="str">
        <f aca="false">IF(A632="","",COUNTIFS(Apparitions!$A$2:$A$5001,A632,Apparitions!$B$2:$B$5001,B632))</f>
        <v/>
      </c>
      <c r="F632" s="27" t="str">
        <f aca="false">IF(A632="","",A632&amp;"|"&amp;B632)</f>
        <v/>
      </c>
    </row>
    <row r="633" customFormat="false" ht="15" hidden="false" customHeight="false" outlineLevel="0" collapsed="false">
      <c r="A633" s="19"/>
      <c r="B633" s="19"/>
      <c r="C633" s="20"/>
      <c r="D633" s="19"/>
      <c r="E633" s="26" t="str">
        <f aca="false">IF(A633="","",COUNTIFS(Apparitions!$A$2:$A$5001,A633,Apparitions!$B$2:$B$5001,B633))</f>
        <v/>
      </c>
      <c r="F633" s="27" t="str">
        <f aca="false">IF(A633="","",A633&amp;"|"&amp;B633)</f>
        <v/>
      </c>
    </row>
    <row r="634" customFormat="false" ht="15" hidden="false" customHeight="false" outlineLevel="0" collapsed="false">
      <c r="A634" s="19"/>
      <c r="B634" s="19"/>
      <c r="C634" s="20"/>
      <c r="D634" s="19"/>
      <c r="E634" s="26" t="str">
        <f aca="false">IF(A634="","",COUNTIFS(Apparitions!$A$2:$A$5001,A634,Apparitions!$B$2:$B$5001,B634))</f>
        <v/>
      </c>
      <c r="F634" s="27" t="str">
        <f aca="false">IF(A634="","",A634&amp;"|"&amp;B634)</f>
        <v/>
      </c>
    </row>
    <row r="635" customFormat="false" ht="15" hidden="false" customHeight="false" outlineLevel="0" collapsed="false">
      <c r="A635" s="19"/>
      <c r="B635" s="19"/>
      <c r="C635" s="20"/>
      <c r="D635" s="19"/>
      <c r="E635" s="26" t="str">
        <f aca="false">IF(A635="","",COUNTIFS(Apparitions!$A$2:$A$5001,A635,Apparitions!$B$2:$B$5001,B635))</f>
        <v/>
      </c>
      <c r="F635" s="27" t="str">
        <f aca="false">IF(A635="","",A635&amp;"|"&amp;B635)</f>
        <v/>
      </c>
    </row>
    <row r="636" customFormat="false" ht="15" hidden="false" customHeight="false" outlineLevel="0" collapsed="false">
      <c r="A636" s="19"/>
      <c r="B636" s="19"/>
      <c r="C636" s="20"/>
      <c r="D636" s="19"/>
      <c r="E636" s="26" t="str">
        <f aca="false">IF(A636="","",COUNTIFS(Apparitions!$A$2:$A$5001,A636,Apparitions!$B$2:$B$5001,B636))</f>
        <v/>
      </c>
      <c r="F636" s="27" t="str">
        <f aca="false">IF(A636="","",A636&amp;"|"&amp;B636)</f>
        <v/>
      </c>
    </row>
    <row r="637" customFormat="false" ht="15" hidden="false" customHeight="false" outlineLevel="0" collapsed="false">
      <c r="A637" s="19"/>
      <c r="B637" s="19"/>
      <c r="C637" s="20"/>
      <c r="D637" s="19"/>
      <c r="E637" s="26" t="str">
        <f aca="false">IF(A637="","",COUNTIFS(Apparitions!$A$2:$A$5001,A637,Apparitions!$B$2:$B$5001,B637))</f>
        <v/>
      </c>
      <c r="F637" s="27" t="str">
        <f aca="false">IF(A637="","",A637&amp;"|"&amp;B637)</f>
        <v/>
      </c>
    </row>
    <row r="638" customFormat="false" ht="15" hidden="false" customHeight="false" outlineLevel="0" collapsed="false">
      <c r="A638" s="19"/>
      <c r="B638" s="19"/>
      <c r="C638" s="20"/>
      <c r="D638" s="19"/>
      <c r="E638" s="26" t="str">
        <f aca="false">IF(A638="","",COUNTIFS(Apparitions!$A$2:$A$5001,A638,Apparitions!$B$2:$B$5001,B638))</f>
        <v/>
      </c>
      <c r="F638" s="27" t="str">
        <f aca="false">IF(A638="","",A638&amp;"|"&amp;B638)</f>
        <v/>
      </c>
    </row>
    <row r="639" customFormat="false" ht="15" hidden="false" customHeight="false" outlineLevel="0" collapsed="false">
      <c r="A639" s="19"/>
      <c r="B639" s="19"/>
      <c r="C639" s="20"/>
      <c r="D639" s="19"/>
      <c r="E639" s="26" t="str">
        <f aca="false">IF(A639="","",COUNTIFS(Apparitions!$A$2:$A$5001,A639,Apparitions!$B$2:$B$5001,B639))</f>
        <v/>
      </c>
      <c r="F639" s="27" t="str">
        <f aca="false">IF(A639="","",A639&amp;"|"&amp;B639)</f>
        <v/>
      </c>
    </row>
    <row r="640" customFormat="false" ht="15" hidden="false" customHeight="false" outlineLevel="0" collapsed="false">
      <c r="A640" s="19"/>
      <c r="B640" s="19"/>
      <c r="C640" s="20"/>
      <c r="D640" s="19"/>
      <c r="E640" s="26" t="str">
        <f aca="false">IF(A640="","",COUNTIFS(Apparitions!$A$2:$A$5001,A640,Apparitions!$B$2:$B$5001,B640))</f>
        <v/>
      </c>
      <c r="F640" s="27" t="str">
        <f aca="false">IF(A640="","",A640&amp;"|"&amp;B640)</f>
        <v/>
      </c>
    </row>
    <row r="641" customFormat="false" ht="15" hidden="false" customHeight="false" outlineLevel="0" collapsed="false">
      <c r="A641" s="19"/>
      <c r="B641" s="19"/>
      <c r="C641" s="20"/>
      <c r="D641" s="19"/>
      <c r="E641" s="26" t="str">
        <f aca="false">IF(A641="","",COUNTIFS(Apparitions!$A$2:$A$5001,A641,Apparitions!$B$2:$B$5001,B641))</f>
        <v/>
      </c>
      <c r="F641" s="27" t="str">
        <f aca="false">IF(A641="","",A641&amp;"|"&amp;B641)</f>
        <v/>
      </c>
    </row>
    <row r="642" customFormat="false" ht="15" hidden="false" customHeight="false" outlineLevel="0" collapsed="false">
      <c r="A642" s="19"/>
      <c r="B642" s="19"/>
      <c r="C642" s="20"/>
      <c r="D642" s="19"/>
      <c r="E642" s="26" t="str">
        <f aca="false">IF(A642="","",COUNTIFS(Apparitions!$A$2:$A$5001,A642,Apparitions!$B$2:$B$5001,B642))</f>
        <v/>
      </c>
      <c r="F642" s="27" t="str">
        <f aca="false">IF(A642="","",A642&amp;"|"&amp;B642)</f>
        <v/>
      </c>
    </row>
    <row r="643" customFormat="false" ht="15" hidden="false" customHeight="false" outlineLevel="0" collapsed="false">
      <c r="A643" s="19"/>
      <c r="B643" s="19"/>
      <c r="C643" s="20"/>
      <c r="D643" s="19"/>
      <c r="E643" s="26" t="str">
        <f aca="false">IF(A643="","",COUNTIFS(Apparitions!$A$2:$A$5001,A643,Apparitions!$B$2:$B$5001,B643))</f>
        <v/>
      </c>
      <c r="F643" s="27" t="str">
        <f aca="false">IF(A643="","",A643&amp;"|"&amp;B643)</f>
        <v/>
      </c>
    </row>
    <row r="644" customFormat="false" ht="15" hidden="false" customHeight="false" outlineLevel="0" collapsed="false">
      <c r="A644" s="19"/>
      <c r="B644" s="19"/>
      <c r="C644" s="20"/>
      <c r="D644" s="19"/>
      <c r="E644" s="26" t="str">
        <f aca="false">IF(A644="","",COUNTIFS(Apparitions!$A$2:$A$5001,A644,Apparitions!$B$2:$B$5001,B644))</f>
        <v/>
      </c>
      <c r="F644" s="27" t="str">
        <f aca="false">IF(A644="","",A644&amp;"|"&amp;B644)</f>
        <v/>
      </c>
    </row>
    <row r="645" customFormat="false" ht="15" hidden="false" customHeight="false" outlineLevel="0" collapsed="false">
      <c r="A645" s="19"/>
      <c r="B645" s="19"/>
      <c r="C645" s="20"/>
      <c r="D645" s="19"/>
      <c r="E645" s="26" t="str">
        <f aca="false">IF(A645="","",COUNTIFS(Apparitions!$A$2:$A$5001,A645,Apparitions!$B$2:$B$5001,B645))</f>
        <v/>
      </c>
      <c r="F645" s="27" t="str">
        <f aca="false">IF(A645="","",A645&amp;"|"&amp;B645)</f>
        <v/>
      </c>
    </row>
    <row r="646" customFormat="false" ht="15" hidden="false" customHeight="false" outlineLevel="0" collapsed="false">
      <c r="A646" s="19"/>
      <c r="B646" s="19"/>
      <c r="C646" s="20"/>
      <c r="D646" s="19"/>
      <c r="E646" s="26" t="str">
        <f aca="false">IF(A646="","",COUNTIFS(Apparitions!$A$2:$A$5001,A646,Apparitions!$B$2:$B$5001,B646))</f>
        <v/>
      </c>
      <c r="F646" s="27" t="str">
        <f aca="false">IF(A646="","",A646&amp;"|"&amp;B646)</f>
        <v/>
      </c>
    </row>
    <row r="647" customFormat="false" ht="15" hidden="false" customHeight="false" outlineLevel="0" collapsed="false">
      <c r="A647" s="19"/>
      <c r="B647" s="19"/>
      <c r="C647" s="20"/>
      <c r="D647" s="19"/>
      <c r="E647" s="26" t="str">
        <f aca="false">IF(A647="","",COUNTIFS(Apparitions!$A$2:$A$5001,A647,Apparitions!$B$2:$B$5001,B647))</f>
        <v/>
      </c>
      <c r="F647" s="27" t="str">
        <f aca="false">IF(A647="","",A647&amp;"|"&amp;B647)</f>
        <v/>
      </c>
    </row>
    <row r="648" customFormat="false" ht="15" hidden="false" customHeight="false" outlineLevel="0" collapsed="false">
      <c r="A648" s="19"/>
      <c r="B648" s="19"/>
      <c r="C648" s="20"/>
      <c r="D648" s="19"/>
      <c r="E648" s="26" t="str">
        <f aca="false">IF(A648="","",COUNTIFS(Apparitions!$A$2:$A$5001,A648,Apparitions!$B$2:$B$5001,B648))</f>
        <v/>
      </c>
      <c r="F648" s="27" t="str">
        <f aca="false">IF(A648="","",A648&amp;"|"&amp;B648)</f>
        <v/>
      </c>
    </row>
    <row r="649" customFormat="false" ht="15" hidden="false" customHeight="false" outlineLevel="0" collapsed="false">
      <c r="A649" s="19"/>
      <c r="B649" s="19"/>
      <c r="C649" s="20"/>
      <c r="D649" s="19"/>
      <c r="E649" s="26" t="str">
        <f aca="false">IF(A649="","",COUNTIFS(Apparitions!$A$2:$A$5001,A649,Apparitions!$B$2:$B$5001,B649))</f>
        <v/>
      </c>
      <c r="F649" s="27" t="str">
        <f aca="false">IF(A649="","",A649&amp;"|"&amp;B649)</f>
        <v/>
      </c>
    </row>
    <row r="650" customFormat="false" ht="15" hidden="false" customHeight="false" outlineLevel="0" collapsed="false">
      <c r="A650" s="19"/>
      <c r="B650" s="19"/>
      <c r="C650" s="20"/>
      <c r="D650" s="19"/>
      <c r="E650" s="26" t="str">
        <f aca="false">IF(A650="","",COUNTIFS(Apparitions!$A$2:$A$5001,A650,Apparitions!$B$2:$B$5001,B650))</f>
        <v/>
      </c>
      <c r="F650" s="27" t="str">
        <f aca="false">IF(A650="","",A650&amp;"|"&amp;B650)</f>
        <v/>
      </c>
    </row>
    <row r="651" customFormat="false" ht="15" hidden="false" customHeight="false" outlineLevel="0" collapsed="false">
      <c r="A651" s="19"/>
      <c r="B651" s="19"/>
      <c r="C651" s="20"/>
      <c r="D651" s="19"/>
      <c r="E651" s="26" t="str">
        <f aca="false">IF(A651="","",COUNTIFS(Apparitions!$A$2:$A$5001,A651,Apparitions!$B$2:$B$5001,B651))</f>
        <v/>
      </c>
      <c r="F651" s="27" t="str">
        <f aca="false">IF(A651="","",A651&amp;"|"&amp;B651)</f>
        <v/>
      </c>
    </row>
    <row r="652" customFormat="false" ht="15" hidden="false" customHeight="false" outlineLevel="0" collapsed="false">
      <c r="A652" s="19"/>
      <c r="B652" s="19"/>
      <c r="C652" s="20"/>
      <c r="D652" s="19"/>
      <c r="E652" s="26" t="str">
        <f aca="false">IF(A652="","",COUNTIFS(Apparitions!$A$2:$A$5001,A652,Apparitions!$B$2:$B$5001,B652))</f>
        <v/>
      </c>
      <c r="F652" s="27" t="str">
        <f aca="false">IF(A652="","",A652&amp;"|"&amp;B652)</f>
        <v/>
      </c>
    </row>
    <row r="653" customFormat="false" ht="15" hidden="false" customHeight="false" outlineLevel="0" collapsed="false">
      <c r="A653" s="19"/>
      <c r="B653" s="19"/>
      <c r="C653" s="20"/>
      <c r="D653" s="19"/>
      <c r="E653" s="26" t="str">
        <f aca="false">IF(A653="","",COUNTIFS(Apparitions!$A$2:$A$5001,A653,Apparitions!$B$2:$B$5001,B653))</f>
        <v/>
      </c>
      <c r="F653" s="27" t="str">
        <f aca="false">IF(A653="","",A653&amp;"|"&amp;B653)</f>
        <v/>
      </c>
    </row>
    <row r="654" customFormat="false" ht="15" hidden="false" customHeight="false" outlineLevel="0" collapsed="false">
      <c r="A654" s="19"/>
      <c r="B654" s="19"/>
      <c r="C654" s="20"/>
      <c r="D654" s="19"/>
      <c r="E654" s="26" t="str">
        <f aca="false">IF(A654="","",COUNTIFS(Apparitions!$A$2:$A$5001,A654,Apparitions!$B$2:$B$5001,B654))</f>
        <v/>
      </c>
      <c r="F654" s="27" t="str">
        <f aca="false">IF(A654="","",A654&amp;"|"&amp;B654)</f>
        <v/>
      </c>
    </row>
    <row r="655" customFormat="false" ht="15" hidden="false" customHeight="false" outlineLevel="0" collapsed="false">
      <c r="A655" s="19"/>
      <c r="B655" s="19"/>
      <c r="C655" s="20"/>
      <c r="D655" s="19"/>
      <c r="E655" s="26" t="str">
        <f aca="false">IF(A655="","",COUNTIFS(Apparitions!$A$2:$A$5001,A655,Apparitions!$B$2:$B$5001,B655))</f>
        <v/>
      </c>
      <c r="F655" s="27" t="str">
        <f aca="false">IF(A655="","",A655&amp;"|"&amp;B655)</f>
        <v/>
      </c>
    </row>
    <row r="656" customFormat="false" ht="15" hidden="false" customHeight="false" outlineLevel="0" collapsed="false">
      <c r="A656" s="19"/>
      <c r="B656" s="19"/>
      <c r="C656" s="20"/>
      <c r="D656" s="19"/>
      <c r="E656" s="26" t="str">
        <f aca="false">IF(A656="","",COUNTIFS(Apparitions!$A$2:$A$5001,A656,Apparitions!$B$2:$B$5001,B656))</f>
        <v/>
      </c>
      <c r="F656" s="27" t="str">
        <f aca="false">IF(A656="","",A656&amp;"|"&amp;B656)</f>
        <v/>
      </c>
    </row>
    <row r="657" customFormat="false" ht="15" hidden="false" customHeight="false" outlineLevel="0" collapsed="false">
      <c r="A657" s="19"/>
      <c r="B657" s="19"/>
      <c r="C657" s="20"/>
      <c r="D657" s="19"/>
      <c r="E657" s="26" t="str">
        <f aca="false">IF(A657="","",COUNTIFS(Apparitions!$A$2:$A$5001,A657,Apparitions!$B$2:$B$5001,B657))</f>
        <v/>
      </c>
      <c r="F657" s="27" t="str">
        <f aca="false">IF(A657="","",A657&amp;"|"&amp;B657)</f>
        <v/>
      </c>
    </row>
    <row r="658" customFormat="false" ht="15" hidden="false" customHeight="false" outlineLevel="0" collapsed="false">
      <c r="A658" s="19"/>
      <c r="B658" s="19"/>
      <c r="C658" s="20"/>
      <c r="D658" s="19"/>
      <c r="E658" s="26" t="str">
        <f aca="false">IF(A658="","",COUNTIFS(Apparitions!$A$2:$A$5001,A658,Apparitions!$B$2:$B$5001,B658))</f>
        <v/>
      </c>
      <c r="F658" s="27" t="str">
        <f aca="false">IF(A658="","",A658&amp;"|"&amp;B658)</f>
        <v/>
      </c>
    </row>
    <row r="659" customFormat="false" ht="15" hidden="false" customHeight="false" outlineLevel="0" collapsed="false">
      <c r="A659" s="19"/>
      <c r="B659" s="19"/>
      <c r="C659" s="20"/>
      <c r="D659" s="19"/>
      <c r="E659" s="26" t="str">
        <f aca="false">IF(A659="","",COUNTIFS(Apparitions!$A$2:$A$5001,A659,Apparitions!$B$2:$B$5001,B659))</f>
        <v/>
      </c>
      <c r="F659" s="27" t="str">
        <f aca="false">IF(A659="","",A659&amp;"|"&amp;B659)</f>
        <v/>
      </c>
    </row>
    <row r="660" customFormat="false" ht="15" hidden="false" customHeight="false" outlineLevel="0" collapsed="false">
      <c r="A660" s="19"/>
      <c r="B660" s="19"/>
      <c r="C660" s="20"/>
      <c r="D660" s="19"/>
      <c r="E660" s="26" t="str">
        <f aca="false">IF(A660="","",COUNTIFS(Apparitions!$A$2:$A$5001,A660,Apparitions!$B$2:$B$5001,B660))</f>
        <v/>
      </c>
      <c r="F660" s="27" t="str">
        <f aca="false">IF(A660="","",A660&amp;"|"&amp;B660)</f>
        <v/>
      </c>
    </row>
    <row r="661" customFormat="false" ht="15" hidden="false" customHeight="false" outlineLevel="0" collapsed="false">
      <c r="A661" s="19"/>
      <c r="B661" s="19"/>
      <c r="C661" s="20"/>
      <c r="D661" s="19"/>
      <c r="E661" s="26" t="str">
        <f aca="false">IF(A661="","",COUNTIFS(Apparitions!$A$2:$A$5001,A661,Apparitions!$B$2:$B$5001,B661))</f>
        <v/>
      </c>
      <c r="F661" s="27" t="str">
        <f aca="false">IF(A661="","",A661&amp;"|"&amp;B661)</f>
        <v/>
      </c>
    </row>
    <row r="662" customFormat="false" ht="15" hidden="false" customHeight="false" outlineLevel="0" collapsed="false">
      <c r="A662" s="19"/>
      <c r="B662" s="19"/>
      <c r="C662" s="20"/>
      <c r="D662" s="19"/>
      <c r="E662" s="26" t="str">
        <f aca="false">IF(A662="","",COUNTIFS(Apparitions!$A$2:$A$5001,A662,Apparitions!$B$2:$B$5001,B662))</f>
        <v/>
      </c>
      <c r="F662" s="27" t="str">
        <f aca="false">IF(A662="","",A662&amp;"|"&amp;B662)</f>
        <v/>
      </c>
    </row>
    <row r="663" customFormat="false" ht="15" hidden="false" customHeight="false" outlineLevel="0" collapsed="false">
      <c r="A663" s="19"/>
      <c r="B663" s="19"/>
      <c r="C663" s="20"/>
      <c r="D663" s="19"/>
      <c r="E663" s="26" t="str">
        <f aca="false">IF(A663="","",COUNTIFS(Apparitions!$A$2:$A$5001,A663,Apparitions!$B$2:$B$5001,B663))</f>
        <v/>
      </c>
      <c r="F663" s="27" t="str">
        <f aca="false">IF(A663="","",A663&amp;"|"&amp;B663)</f>
        <v/>
      </c>
    </row>
    <row r="664" customFormat="false" ht="15" hidden="false" customHeight="false" outlineLevel="0" collapsed="false">
      <c r="A664" s="19"/>
      <c r="B664" s="19"/>
      <c r="C664" s="20"/>
      <c r="D664" s="19"/>
      <c r="E664" s="26" t="str">
        <f aca="false">IF(A664="","",COUNTIFS(Apparitions!$A$2:$A$5001,A664,Apparitions!$B$2:$B$5001,B664))</f>
        <v/>
      </c>
      <c r="F664" s="27" t="str">
        <f aca="false">IF(A664="","",A664&amp;"|"&amp;B664)</f>
        <v/>
      </c>
    </row>
    <row r="665" customFormat="false" ht="15" hidden="false" customHeight="false" outlineLevel="0" collapsed="false">
      <c r="A665" s="19"/>
      <c r="B665" s="19"/>
      <c r="C665" s="20"/>
      <c r="D665" s="19"/>
      <c r="E665" s="26" t="str">
        <f aca="false">IF(A665="","",COUNTIFS(Apparitions!$A$2:$A$5001,A665,Apparitions!$B$2:$B$5001,B665))</f>
        <v/>
      </c>
      <c r="F665" s="27" t="str">
        <f aca="false">IF(A665="","",A665&amp;"|"&amp;B665)</f>
        <v/>
      </c>
    </row>
    <row r="666" customFormat="false" ht="15" hidden="false" customHeight="false" outlineLevel="0" collapsed="false">
      <c r="A666" s="19"/>
      <c r="B666" s="19"/>
      <c r="C666" s="20"/>
      <c r="D666" s="19"/>
      <c r="E666" s="26" t="str">
        <f aca="false">IF(A666="","",COUNTIFS(Apparitions!$A$2:$A$5001,A666,Apparitions!$B$2:$B$5001,B666))</f>
        <v/>
      </c>
      <c r="F666" s="27" t="str">
        <f aca="false">IF(A666="","",A666&amp;"|"&amp;B666)</f>
        <v/>
      </c>
    </row>
    <row r="667" customFormat="false" ht="15" hidden="false" customHeight="false" outlineLevel="0" collapsed="false">
      <c r="A667" s="19"/>
      <c r="B667" s="19"/>
      <c r="C667" s="20"/>
      <c r="D667" s="19"/>
      <c r="E667" s="26" t="str">
        <f aca="false">IF(A667="","",COUNTIFS(Apparitions!$A$2:$A$5001,A667,Apparitions!$B$2:$B$5001,B667))</f>
        <v/>
      </c>
      <c r="F667" s="27" t="str">
        <f aca="false">IF(A667="","",A667&amp;"|"&amp;B667)</f>
        <v/>
      </c>
    </row>
    <row r="668" customFormat="false" ht="15" hidden="false" customHeight="false" outlineLevel="0" collapsed="false">
      <c r="A668" s="19"/>
      <c r="B668" s="19"/>
      <c r="C668" s="20"/>
      <c r="D668" s="19"/>
      <c r="E668" s="26" t="str">
        <f aca="false">IF(A668="","",COUNTIFS(Apparitions!$A$2:$A$5001,A668,Apparitions!$B$2:$B$5001,B668))</f>
        <v/>
      </c>
      <c r="F668" s="27" t="str">
        <f aca="false">IF(A668="","",A668&amp;"|"&amp;B668)</f>
        <v/>
      </c>
    </row>
    <row r="669" customFormat="false" ht="15" hidden="false" customHeight="false" outlineLevel="0" collapsed="false">
      <c r="A669" s="19"/>
      <c r="B669" s="19"/>
      <c r="C669" s="20"/>
      <c r="D669" s="19"/>
      <c r="E669" s="26" t="str">
        <f aca="false">IF(A669="","",COUNTIFS(Apparitions!$A$2:$A$5001,A669,Apparitions!$B$2:$B$5001,B669))</f>
        <v/>
      </c>
      <c r="F669" s="27" t="str">
        <f aca="false">IF(A669="","",A669&amp;"|"&amp;B669)</f>
        <v/>
      </c>
    </row>
    <row r="670" customFormat="false" ht="15" hidden="false" customHeight="false" outlineLevel="0" collapsed="false">
      <c r="A670" s="19"/>
      <c r="B670" s="19"/>
      <c r="C670" s="20"/>
      <c r="D670" s="19"/>
      <c r="E670" s="26" t="str">
        <f aca="false">IF(A670="","",COUNTIFS(Apparitions!$A$2:$A$5001,A670,Apparitions!$B$2:$B$5001,B670))</f>
        <v/>
      </c>
      <c r="F670" s="27" t="str">
        <f aca="false">IF(A670="","",A670&amp;"|"&amp;B670)</f>
        <v/>
      </c>
    </row>
    <row r="671" customFormat="false" ht="15" hidden="false" customHeight="false" outlineLevel="0" collapsed="false">
      <c r="A671" s="19"/>
      <c r="B671" s="19"/>
      <c r="C671" s="20"/>
      <c r="D671" s="19"/>
      <c r="E671" s="26" t="str">
        <f aca="false">IF(A671="","",COUNTIFS(Apparitions!$A$2:$A$5001,A671,Apparitions!$B$2:$B$5001,B671))</f>
        <v/>
      </c>
      <c r="F671" s="27" t="str">
        <f aca="false">IF(A671="","",A671&amp;"|"&amp;B671)</f>
        <v/>
      </c>
    </row>
    <row r="672" customFormat="false" ht="15" hidden="false" customHeight="false" outlineLevel="0" collapsed="false">
      <c r="A672" s="19"/>
      <c r="B672" s="19"/>
      <c r="C672" s="20"/>
      <c r="D672" s="19"/>
      <c r="E672" s="26" t="str">
        <f aca="false">IF(A672="","",COUNTIFS(Apparitions!$A$2:$A$5001,A672,Apparitions!$B$2:$B$5001,B672))</f>
        <v/>
      </c>
      <c r="F672" s="27" t="str">
        <f aca="false">IF(A672="","",A672&amp;"|"&amp;B672)</f>
        <v/>
      </c>
    </row>
    <row r="673" customFormat="false" ht="15" hidden="false" customHeight="false" outlineLevel="0" collapsed="false">
      <c r="A673" s="19"/>
      <c r="B673" s="19"/>
      <c r="C673" s="20"/>
      <c r="D673" s="19"/>
      <c r="E673" s="26" t="str">
        <f aca="false">IF(A673="","",COUNTIFS(Apparitions!$A$2:$A$5001,A673,Apparitions!$B$2:$B$5001,B673))</f>
        <v/>
      </c>
      <c r="F673" s="27" t="str">
        <f aca="false">IF(A673="","",A673&amp;"|"&amp;B673)</f>
        <v/>
      </c>
    </row>
    <row r="674" customFormat="false" ht="15" hidden="false" customHeight="false" outlineLevel="0" collapsed="false">
      <c r="A674" s="19"/>
      <c r="B674" s="19"/>
      <c r="C674" s="20"/>
      <c r="D674" s="19"/>
      <c r="E674" s="26" t="str">
        <f aca="false">IF(A674="","",COUNTIFS(Apparitions!$A$2:$A$5001,A674,Apparitions!$B$2:$B$5001,B674))</f>
        <v/>
      </c>
      <c r="F674" s="27" t="str">
        <f aca="false">IF(A674="","",A674&amp;"|"&amp;B674)</f>
        <v/>
      </c>
    </row>
    <row r="675" customFormat="false" ht="15" hidden="false" customHeight="false" outlineLevel="0" collapsed="false">
      <c r="A675" s="19"/>
      <c r="B675" s="19"/>
      <c r="C675" s="20"/>
      <c r="D675" s="19"/>
      <c r="E675" s="26" t="str">
        <f aca="false">IF(A675="","",COUNTIFS(Apparitions!$A$2:$A$5001,A675,Apparitions!$B$2:$B$5001,B675))</f>
        <v/>
      </c>
      <c r="F675" s="27" t="str">
        <f aca="false">IF(A675="","",A675&amp;"|"&amp;B675)</f>
        <v/>
      </c>
    </row>
    <row r="676" customFormat="false" ht="15" hidden="false" customHeight="false" outlineLevel="0" collapsed="false">
      <c r="A676" s="19"/>
      <c r="B676" s="19"/>
      <c r="C676" s="20"/>
      <c r="D676" s="19"/>
      <c r="E676" s="26" t="str">
        <f aca="false">IF(A676="","",COUNTIFS(Apparitions!$A$2:$A$5001,A676,Apparitions!$B$2:$B$5001,B676))</f>
        <v/>
      </c>
      <c r="F676" s="27" t="str">
        <f aca="false">IF(A676="","",A676&amp;"|"&amp;B676)</f>
        <v/>
      </c>
    </row>
    <row r="677" customFormat="false" ht="15" hidden="false" customHeight="false" outlineLevel="0" collapsed="false">
      <c r="A677" s="19"/>
      <c r="B677" s="19"/>
      <c r="C677" s="20"/>
      <c r="D677" s="19"/>
      <c r="E677" s="26" t="str">
        <f aca="false">IF(A677="","",COUNTIFS(Apparitions!$A$2:$A$5001,A677,Apparitions!$B$2:$B$5001,B677))</f>
        <v/>
      </c>
      <c r="F677" s="27" t="str">
        <f aca="false">IF(A677="","",A677&amp;"|"&amp;B677)</f>
        <v/>
      </c>
    </row>
    <row r="678" customFormat="false" ht="15" hidden="false" customHeight="false" outlineLevel="0" collapsed="false">
      <c r="A678" s="19"/>
      <c r="B678" s="19"/>
      <c r="C678" s="20"/>
      <c r="D678" s="19"/>
      <c r="E678" s="26" t="str">
        <f aca="false">IF(A678="","",COUNTIFS(Apparitions!$A$2:$A$5001,A678,Apparitions!$B$2:$B$5001,B678))</f>
        <v/>
      </c>
      <c r="F678" s="27" t="str">
        <f aca="false">IF(A678="","",A678&amp;"|"&amp;B678)</f>
        <v/>
      </c>
    </row>
    <row r="679" customFormat="false" ht="15" hidden="false" customHeight="false" outlineLevel="0" collapsed="false">
      <c r="A679" s="19"/>
      <c r="B679" s="19"/>
      <c r="C679" s="20"/>
      <c r="D679" s="19"/>
      <c r="E679" s="26" t="str">
        <f aca="false">IF(A679="","",COUNTIFS(Apparitions!$A$2:$A$5001,A679,Apparitions!$B$2:$B$5001,B679))</f>
        <v/>
      </c>
      <c r="F679" s="27" t="str">
        <f aca="false">IF(A679="","",A679&amp;"|"&amp;B679)</f>
        <v/>
      </c>
    </row>
    <row r="680" customFormat="false" ht="15" hidden="false" customHeight="false" outlineLevel="0" collapsed="false">
      <c r="A680" s="19"/>
      <c r="B680" s="19"/>
      <c r="C680" s="20"/>
      <c r="D680" s="19"/>
      <c r="E680" s="26" t="str">
        <f aca="false">IF(A680="","",COUNTIFS(Apparitions!$A$2:$A$5001,A680,Apparitions!$B$2:$B$5001,B680))</f>
        <v/>
      </c>
      <c r="F680" s="27" t="str">
        <f aca="false">IF(A680="","",A680&amp;"|"&amp;B680)</f>
        <v/>
      </c>
    </row>
    <row r="681" customFormat="false" ht="15" hidden="false" customHeight="false" outlineLevel="0" collapsed="false">
      <c r="A681" s="19"/>
      <c r="B681" s="19"/>
      <c r="C681" s="20"/>
      <c r="D681" s="19"/>
      <c r="E681" s="26" t="str">
        <f aca="false">IF(A681="","",COUNTIFS(Apparitions!$A$2:$A$5001,A681,Apparitions!$B$2:$B$5001,B681))</f>
        <v/>
      </c>
      <c r="F681" s="27" t="str">
        <f aca="false">IF(A681="","",A681&amp;"|"&amp;B681)</f>
        <v/>
      </c>
    </row>
    <row r="682" customFormat="false" ht="15" hidden="false" customHeight="false" outlineLevel="0" collapsed="false">
      <c r="A682" s="19"/>
      <c r="B682" s="19"/>
      <c r="C682" s="20"/>
      <c r="D682" s="19"/>
      <c r="E682" s="26" t="str">
        <f aca="false">IF(A682="","",COUNTIFS(Apparitions!$A$2:$A$5001,A682,Apparitions!$B$2:$B$5001,B682))</f>
        <v/>
      </c>
      <c r="F682" s="27" t="str">
        <f aca="false">IF(A682="","",A682&amp;"|"&amp;B682)</f>
        <v/>
      </c>
    </row>
    <row r="683" customFormat="false" ht="15" hidden="false" customHeight="false" outlineLevel="0" collapsed="false">
      <c r="A683" s="19"/>
      <c r="B683" s="19"/>
      <c r="C683" s="20"/>
      <c r="D683" s="19"/>
      <c r="E683" s="26" t="str">
        <f aca="false">IF(A683="","",COUNTIFS(Apparitions!$A$2:$A$5001,A683,Apparitions!$B$2:$B$5001,B683))</f>
        <v/>
      </c>
      <c r="F683" s="27" t="str">
        <f aca="false">IF(A683="","",A683&amp;"|"&amp;B683)</f>
        <v/>
      </c>
    </row>
    <row r="684" customFormat="false" ht="15" hidden="false" customHeight="false" outlineLevel="0" collapsed="false">
      <c r="A684" s="19"/>
      <c r="B684" s="19"/>
      <c r="C684" s="20"/>
      <c r="D684" s="19"/>
      <c r="E684" s="26" t="str">
        <f aca="false">IF(A684="","",COUNTIFS(Apparitions!$A$2:$A$5001,A684,Apparitions!$B$2:$B$5001,B684))</f>
        <v/>
      </c>
      <c r="F684" s="27" t="str">
        <f aca="false">IF(A684="","",A684&amp;"|"&amp;B684)</f>
        <v/>
      </c>
    </row>
    <row r="685" customFormat="false" ht="15" hidden="false" customHeight="false" outlineLevel="0" collapsed="false">
      <c r="A685" s="19"/>
      <c r="B685" s="19"/>
      <c r="C685" s="20"/>
      <c r="D685" s="19"/>
      <c r="E685" s="26" t="str">
        <f aca="false">IF(A685="","",COUNTIFS(Apparitions!$A$2:$A$5001,A685,Apparitions!$B$2:$B$5001,B685))</f>
        <v/>
      </c>
      <c r="F685" s="27" t="str">
        <f aca="false">IF(A685="","",A685&amp;"|"&amp;B685)</f>
        <v/>
      </c>
    </row>
    <row r="686" customFormat="false" ht="15" hidden="false" customHeight="false" outlineLevel="0" collapsed="false">
      <c r="A686" s="19"/>
      <c r="B686" s="19"/>
      <c r="C686" s="20"/>
      <c r="D686" s="19"/>
      <c r="E686" s="26" t="str">
        <f aca="false">IF(A686="","",COUNTIFS(Apparitions!$A$2:$A$5001,A686,Apparitions!$B$2:$B$5001,B686))</f>
        <v/>
      </c>
      <c r="F686" s="27" t="str">
        <f aca="false">IF(A686="","",A686&amp;"|"&amp;B686)</f>
        <v/>
      </c>
    </row>
    <row r="687" customFormat="false" ht="15" hidden="false" customHeight="false" outlineLevel="0" collapsed="false">
      <c r="A687" s="19"/>
      <c r="B687" s="19"/>
      <c r="C687" s="20"/>
      <c r="D687" s="19"/>
      <c r="E687" s="26" t="str">
        <f aca="false">IF(A687="","",COUNTIFS(Apparitions!$A$2:$A$5001,A687,Apparitions!$B$2:$B$5001,B687))</f>
        <v/>
      </c>
      <c r="F687" s="27" t="str">
        <f aca="false">IF(A687="","",A687&amp;"|"&amp;B687)</f>
        <v/>
      </c>
    </row>
    <row r="688" customFormat="false" ht="15" hidden="false" customHeight="false" outlineLevel="0" collapsed="false">
      <c r="A688" s="19"/>
      <c r="B688" s="19"/>
      <c r="C688" s="20"/>
      <c r="D688" s="19"/>
      <c r="E688" s="26" t="str">
        <f aca="false">IF(A688="","",COUNTIFS(Apparitions!$A$2:$A$5001,A688,Apparitions!$B$2:$B$5001,B688))</f>
        <v/>
      </c>
      <c r="F688" s="27" t="str">
        <f aca="false">IF(A688="","",A688&amp;"|"&amp;B688)</f>
        <v/>
      </c>
    </row>
    <row r="689" customFormat="false" ht="15" hidden="false" customHeight="false" outlineLevel="0" collapsed="false">
      <c r="A689" s="19"/>
      <c r="B689" s="19"/>
      <c r="C689" s="20"/>
      <c r="D689" s="19"/>
      <c r="E689" s="26" t="str">
        <f aca="false">IF(A689="","",COUNTIFS(Apparitions!$A$2:$A$5001,A689,Apparitions!$B$2:$B$5001,B689))</f>
        <v/>
      </c>
      <c r="F689" s="27" t="str">
        <f aca="false">IF(A689="","",A689&amp;"|"&amp;B689)</f>
        <v/>
      </c>
    </row>
    <row r="690" customFormat="false" ht="15" hidden="false" customHeight="false" outlineLevel="0" collapsed="false">
      <c r="A690" s="19"/>
      <c r="B690" s="19"/>
      <c r="C690" s="20"/>
      <c r="D690" s="19"/>
      <c r="E690" s="26" t="str">
        <f aca="false">IF(A690="","",COUNTIFS(Apparitions!$A$2:$A$5001,A690,Apparitions!$B$2:$B$5001,B690))</f>
        <v/>
      </c>
      <c r="F690" s="27" t="str">
        <f aca="false">IF(A690="","",A690&amp;"|"&amp;B690)</f>
        <v/>
      </c>
    </row>
    <row r="691" customFormat="false" ht="15" hidden="false" customHeight="false" outlineLevel="0" collapsed="false">
      <c r="A691" s="19"/>
      <c r="B691" s="19"/>
      <c r="C691" s="20"/>
      <c r="D691" s="19"/>
      <c r="E691" s="26" t="str">
        <f aca="false">IF(A691="","",COUNTIFS(Apparitions!$A$2:$A$5001,A691,Apparitions!$B$2:$B$5001,B691))</f>
        <v/>
      </c>
      <c r="F691" s="27" t="str">
        <f aca="false">IF(A691="","",A691&amp;"|"&amp;B691)</f>
        <v/>
      </c>
    </row>
    <row r="692" customFormat="false" ht="15" hidden="false" customHeight="false" outlineLevel="0" collapsed="false">
      <c r="A692" s="19"/>
      <c r="B692" s="19"/>
      <c r="C692" s="20"/>
      <c r="D692" s="19"/>
      <c r="E692" s="26" t="str">
        <f aca="false">IF(A692="","",COUNTIFS(Apparitions!$A$2:$A$5001,A692,Apparitions!$B$2:$B$5001,B692))</f>
        <v/>
      </c>
      <c r="F692" s="27" t="str">
        <f aca="false">IF(A692="","",A692&amp;"|"&amp;B692)</f>
        <v/>
      </c>
    </row>
    <row r="693" customFormat="false" ht="15" hidden="false" customHeight="false" outlineLevel="0" collapsed="false">
      <c r="A693" s="19"/>
      <c r="B693" s="19"/>
      <c r="C693" s="20"/>
      <c r="D693" s="19"/>
      <c r="E693" s="26" t="str">
        <f aca="false">IF(A693="","",COUNTIFS(Apparitions!$A$2:$A$5001,A693,Apparitions!$B$2:$B$5001,B693))</f>
        <v/>
      </c>
      <c r="F693" s="27" t="str">
        <f aca="false">IF(A693="","",A693&amp;"|"&amp;B693)</f>
        <v/>
      </c>
    </row>
    <row r="694" customFormat="false" ht="15" hidden="false" customHeight="false" outlineLevel="0" collapsed="false">
      <c r="A694" s="19"/>
      <c r="B694" s="19"/>
      <c r="C694" s="20"/>
      <c r="D694" s="19"/>
      <c r="E694" s="26" t="str">
        <f aca="false">IF(A694="","",COUNTIFS(Apparitions!$A$2:$A$5001,A694,Apparitions!$B$2:$B$5001,B694))</f>
        <v/>
      </c>
      <c r="F694" s="27" t="str">
        <f aca="false">IF(A694="","",A694&amp;"|"&amp;B694)</f>
        <v/>
      </c>
    </row>
    <row r="695" customFormat="false" ht="15" hidden="false" customHeight="false" outlineLevel="0" collapsed="false">
      <c r="A695" s="19"/>
      <c r="B695" s="19"/>
      <c r="C695" s="20"/>
      <c r="D695" s="19"/>
      <c r="E695" s="26" t="str">
        <f aca="false">IF(A695="","",COUNTIFS(Apparitions!$A$2:$A$5001,A695,Apparitions!$B$2:$B$5001,B695))</f>
        <v/>
      </c>
      <c r="F695" s="27" t="str">
        <f aca="false">IF(A695="","",A695&amp;"|"&amp;B695)</f>
        <v/>
      </c>
    </row>
    <row r="696" customFormat="false" ht="15" hidden="false" customHeight="false" outlineLevel="0" collapsed="false">
      <c r="A696" s="19"/>
      <c r="B696" s="19"/>
      <c r="C696" s="20"/>
      <c r="D696" s="19"/>
      <c r="E696" s="26" t="str">
        <f aca="false">IF(A696="","",COUNTIFS(Apparitions!$A$2:$A$5001,A696,Apparitions!$B$2:$B$5001,B696))</f>
        <v/>
      </c>
      <c r="F696" s="27" t="str">
        <f aca="false">IF(A696="","",A696&amp;"|"&amp;B696)</f>
        <v/>
      </c>
    </row>
    <row r="697" customFormat="false" ht="15" hidden="false" customHeight="false" outlineLevel="0" collapsed="false">
      <c r="A697" s="19"/>
      <c r="B697" s="19"/>
      <c r="C697" s="20"/>
      <c r="D697" s="19"/>
      <c r="E697" s="26" t="str">
        <f aca="false">IF(A697="","",COUNTIFS(Apparitions!$A$2:$A$5001,A697,Apparitions!$B$2:$B$5001,B697))</f>
        <v/>
      </c>
      <c r="F697" s="27" t="str">
        <f aca="false">IF(A697="","",A697&amp;"|"&amp;B697)</f>
        <v/>
      </c>
    </row>
    <row r="698" customFormat="false" ht="15" hidden="false" customHeight="false" outlineLevel="0" collapsed="false">
      <c r="A698" s="19"/>
      <c r="B698" s="19"/>
      <c r="C698" s="20"/>
      <c r="D698" s="19"/>
      <c r="E698" s="26" t="str">
        <f aca="false">IF(A698="","",COUNTIFS(Apparitions!$A$2:$A$5001,A698,Apparitions!$B$2:$B$5001,B698))</f>
        <v/>
      </c>
      <c r="F698" s="27" t="str">
        <f aca="false">IF(A698="","",A698&amp;"|"&amp;B698)</f>
        <v/>
      </c>
    </row>
    <row r="699" customFormat="false" ht="15" hidden="false" customHeight="false" outlineLevel="0" collapsed="false">
      <c r="A699" s="19"/>
      <c r="B699" s="19"/>
      <c r="C699" s="20"/>
      <c r="D699" s="19"/>
      <c r="E699" s="26" t="str">
        <f aca="false">IF(A699="","",COUNTIFS(Apparitions!$A$2:$A$5001,A699,Apparitions!$B$2:$B$5001,B699))</f>
        <v/>
      </c>
      <c r="F699" s="27" t="str">
        <f aca="false">IF(A699="","",A699&amp;"|"&amp;B699)</f>
        <v/>
      </c>
    </row>
    <row r="700" customFormat="false" ht="15" hidden="false" customHeight="false" outlineLevel="0" collapsed="false">
      <c r="A700" s="19"/>
      <c r="B700" s="19"/>
      <c r="C700" s="20"/>
      <c r="D700" s="19"/>
      <c r="E700" s="26" t="str">
        <f aca="false">IF(A700="","",COUNTIFS(Apparitions!$A$2:$A$5001,A700,Apparitions!$B$2:$B$5001,B700))</f>
        <v/>
      </c>
      <c r="F700" s="27" t="str">
        <f aca="false">IF(A700="","",A700&amp;"|"&amp;B700)</f>
        <v/>
      </c>
    </row>
    <row r="701" customFormat="false" ht="15" hidden="false" customHeight="false" outlineLevel="0" collapsed="false">
      <c r="A701" s="19"/>
      <c r="B701" s="19"/>
      <c r="C701" s="20"/>
      <c r="D701" s="19"/>
      <c r="E701" s="26" t="str">
        <f aca="false">IF(A701="","",COUNTIFS(Apparitions!$A$2:$A$5001,A701,Apparitions!$B$2:$B$5001,B701))</f>
        <v/>
      </c>
      <c r="F701" s="27" t="str">
        <f aca="false">IF(A701="","",A701&amp;"|"&amp;B701)</f>
        <v/>
      </c>
    </row>
    <row r="702" customFormat="false" ht="15" hidden="false" customHeight="false" outlineLevel="0" collapsed="false">
      <c r="A702" s="19"/>
      <c r="B702" s="19"/>
      <c r="C702" s="20"/>
      <c r="D702" s="19"/>
      <c r="E702" s="26" t="str">
        <f aca="false">IF(A702="","",COUNTIFS(Apparitions!$A$2:$A$5001,A702,Apparitions!$B$2:$B$5001,B702))</f>
        <v/>
      </c>
      <c r="F702" s="27" t="str">
        <f aca="false">IF(A702="","",A702&amp;"|"&amp;B702)</f>
        <v/>
      </c>
    </row>
    <row r="703" customFormat="false" ht="15" hidden="false" customHeight="false" outlineLevel="0" collapsed="false">
      <c r="A703" s="19"/>
      <c r="B703" s="19"/>
      <c r="C703" s="20"/>
      <c r="D703" s="19"/>
      <c r="E703" s="26" t="str">
        <f aca="false">IF(A703="","",COUNTIFS(Apparitions!$A$2:$A$5001,A703,Apparitions!$B$2:$B$5001,B703))</f>
        <v/>
      </c>
      <c r="F703" s="27" t="str">
        <f aca="false">IF(A703="","",A703&amp;"|"&amp;B703)</f>
        <v/>
      </c>
    </row>
    <row r="704" customFormat="false" ht="15" hidden="false" customHeight="false" outlineLevel="0" collapsed="false">
      <c r="A704" s="19"/>
      <c r="B704" s="19"/>
      <c r="C704" s="20"/>
      <c r="D704" s="19"/>
      <c r="E704" s="26" t="str">
        <f aca="false">IF(A704="","",COUNTIFS(Apparitions!$A$2:$A$5001,A704,Apparitions!$B$2:$B$5001,B704))</f>
        <v/>
      </c>
      <c r="F704" s="27" t="str">
        <f aca="false">IF(A704="","",A704&amp;"|"&amp;B704)</f>
        <v/>
      </c>
    </row>
    <row r="705" customFormat="false" ht="15" hidden="false" customHeight="false" outlineLevel="0" collapsed="false">
      <c r="A705" s="19"/>
      <c r="B705" s="19"/>
      <c r="C705" s="20"/>
      <c r="D705" s="19"/>
      <c r="E705" s="26" t="str">
        <f aca="false">IF(A705="","",COUNTIFS(Apparitions!$A$2:$A$5001,A705,Apparitions!$B$2:$B$5001,B705))</f>
        <v/>
      </c>
      <c r="F705" s="27" t="str">
        <f aca="false">IF(A705="","",A705&amp;"|"&amp;B705)</f>
        <v/>
      </c>
    </row>
    <row r="706" customFormat="false" ht="15" hidden="false" customHeight="false" outlineLevel="0" collapsed="false">
      <c r="A706" s="19"/>
      <c r="B706" s="19"/>
      <c r="C706" s="20"/>
      <c r="D706" s="19"/>
      <c r="E706" s="26" t="str">
        <f aca="false">IF(A706="","",COUNTIFS(Apparitions!$A$2:$A$5001,A706,Apparitions!$B$2:$B$5001,B706))</f>
        <v/>
      </c>
      <c r="F706" s="27" t="str">
        <f aca="false">IF(A706="","",A706&amp;"|"&amp;B706)</f>
        <v/>
      </c>
    </row>
    <row r="707" customFormat="false" ht="15" hidden="false" customHeight="false" outlineLevel="0" collapsed="false">
      <c r="A707" s="19"/>
      <c r="B707" s="19"/>
      <c r="C707" s="20"/>
      <c r="D707" s="19"/>
      <c r="E707" s="26" t="str">
        <f aca="false">IF(A707="","",COUNTIFS(Apparitions!$A$2:$A$5001,A707,Apparitions!$B$2:$B$5001,B707))</f>
        <v/>
      </c>
      <c r="F707" s="27" t="str">
        <f aca="false">IF(A707="","",A707&amp;"|"&amp;B707)</f>
        <v/>
      </c>
    </row>
    <row r="708" customFormat="false" ht="15" hidden="false" customHeight="false" outlineLevel="0" collapsed="false">
      <c r="A708" s="19"/>
      <c r="B708" s="19"/>
      <c r="C708" s="20"/>
      <c r="D708" s="19"/>
      <c r="E708" s="26" t="str">
        <f aca="false">IF(A708="","",COUNTIFS(Apparitions!$A$2:$A$5001,A708,Apparitions!$B$2:$B$5001,B708))</f>
        <v/>
      </c>
      <c r="F708" s="27" t="str">
        <f aca="false">IF(A708="","",A708&amp;"|"&amp;B708)</f>
        <v/>
      </c>
    </row>
    <row r="709" customFormat="false" ht="15" hidden="false" customHeight="false" outlineLevel="0" collapsed="false">
      <c r="A709" s="19"/>
      <c r="B709" s="19"/>
      <c r="C709" s="20"/>
      <c r="D709" s="19"/>
      <c r="E709" s="26" t="str">
        <f aca="false">IF(A709="","",COUNTIFS(Apparitions!$A$2:$A$5001,A709,Apparitions!$B$2:$B$5001,B709))</f>
        <v/>
      </c>
      <c r="F709" s="27" t="str">
        <f aca="false">IF(A709="","",A709&amp;"|"&amp;B709)</f>
        <v/>
      </c>
    </row>
    <row r="710" customFormat="false" ht="15" hidden="false" customHeight="false" outlineLevel="0" collapsed="false">
      <c r="A710" s="19"/>
      <c r="B710" s="19"/>
      <c r="C710" s="20"/>
      <c r="D710" s="19"/>
      <c r="E710" s="26" t="str">
        <f aca="false">IF(A710="","",COUNTIFS(Apparitions!$A$2:$A$5001,A710,Apparitions!$B$2:$B$5001,B710))</f>
        <v/>
      </c>
      <c r="F710" s="27" t="str">
        <f aca="false">IF(A710="","",A710&amp;"|"&amp;B710)</f>
        <v/>
      </c>
    </row>
    <row r="711" customFormat="false" ht="15" hidden="false" customHeight="false" outlineLevel="0" collapsed="false">
      <c r="A711" s="19"/>
      <c r="B711" s="19"/>
      <c r="C711" s="20"/>
      <c r="D711" s="19"/>
      <c r="E711" s="26" t="str">
        <f aca="false">IF(A711="","",COUNTIFS(Apparitions!$A$2:$A$5001,A711,Apparitions!$B$2:$B$5001,B711))</f>
        <v/>
      </c>
      <c r="F711" s="27" t="str">
        <f aca="false">IF(A711="","",A711&amp;"|"&amp;B711)</f>
        <v/>
      </c>
    </row>
    <row r="712" customFormat="false" ht="15" hidden="false" customHeight="false" outlineLevel="0" collapsed="false">
      <c r="A712" s="19"/>
      <c r="B712" s="19"/>
      <c r="C712" s="20"/>
      <c r="D712" s="19"/>
      <c r="E712" s="26" t="str">
        <f aca="false">IF(A712="","",COUNTIFS(Apparitions!$A$2:$A$5001,A712,Apparitions!$B$2:$B$5001,B712))</f>
        <v/>
      </c>
      <c r="F712" s="27" t="str">
        <f aca="false">IF(A712="","",A712&amp;"|"&amp;B712)</f>
        <v/>
      </c>
    </row>
    <row r="713" customFormat="false" ht="15" hidden="false" customHeight="false" outlineLevel="0" collapsed="false">
      <c r="A713" s="19"/>
      <c r="B713" s="19"/>
      <c r="C713" s="20"/>
      <c r="D713" s="19"/>
      <c r="E713" s="26" t="str">
        <f aca="false">IF(A713="","",COUNTIFS(Apparitions!$A$2:$A$5001,A713,Apparitions!$B$2:$B$5001,B713))</f>
        <v/>
      </c>
      <c r="F713" s="27" t="str">
        <f aca="false">IF(A713="","",A713&amp;"|"&amp;B713)</f>
        <v/>
      </c>
    </row>
    <row r="714" customFormat="false" ht="15" hidden="false" customHeight="false" outlineLevel="0" collapsed="false">
      <c r="A714" s="19"/>
      <c r="B714" s="19"/>
      <c r="C714" s="20"/>
      <c r="D714" s="19"/>
      <c r="E714" s="26" t="str">
        <f aca="false">IF(A714="","",COUNTIFS(Apparitions!$A$2:$A$5001,A714,Apparitions!$B$2:$B$5001,B714))</f>
        <v/>
      </c>
      <c r="F714" s="27" t="str">
        <f aca="false">IF(A714="","",A714&amp;"|"&amp;B714)</f>
        <v/>
      </c>
    </row>
    <row r="715" customFormat="false" ht="15" hidden="false" customHeight="false" outlineLevel="0" collapsed="false">
      <c r="A715" s="19"/>
      <c r="B715" s="19"/>
      <c r="C715" s="20"/>
      <c r="D715" s="19"/>
      <c r="E715" s="26" t="str">
        <f aca="false">IF(A715="","",COUNTIFS(Apparitions!$A$2:$A$5001,A715,Apparitions!$B$2:$B$5001,B715))</f>
        <v/>
      </c>
      <c r="F715" s="27" t="str">
        <f aca="false">IF(A715="","",A715&amp;"|"&amp;B715)</f>
        <v/>
      </c>
    </row>
    <row r="716" customFormat="false" ht="15" hidden="false" customHeight="false" outlineLevel="0" collapsed="false">
      <c r="A716" s="19"/>
      <c r="B716" s="19"/>
      <c r="C716" s="20"/>
      <c r="D716" s="19"/>
      <c r="E716" s="26" t="str">
        <f aca="false">IF(A716="","",COUNTIFS(Apparitions!$A$2:$A$5001,A716,Apparitions!$B$2:$B$5001,B716))</f>
        <v/>
      </c>
      <c r="F716" s="27" t="str">
        <f aca="false">IF(A716="","",A716&amp;"|"&amp;B716)</f>
        <v/>
      </c>
    </row>
    <row r="717" customFormat="false" ht="15" hidden="false" customHeight="false" outlineLevel="0" collapsed="false">
      <c r="A717" s="19"/>
      <c r="B717" s="19"/>
      <c r="C717" s="20"/>
      <c r="D717" s="19"/>
      <c r="E717" s="26" t="str">
        <f aca="false">IF(A717="","",COUNTIFS(Apparitions!$A$2:$A$5001,A717,Apparitions!$B$2:$B$5001,B717))</f>
        <v/>
      </c>
      <c r="F717" s="27" t="str">
        <f aca="false">IF(A717="","",A717&amp;"|"&amp;B717)</f>
        <v/>
      </c>
    </row>
    <row r="718" customFormat="false" ht="15" hidden="false" customHeight="false" outlineLevel="0" collapsed="false">
      <c r="A718" s="19"/>
      <c r="B718" s="19"/>
      <c r="C718" s="20"/>
      <c r="D718" s="19"/>
      <c r="E718" s="26" t="str">
        <f aca="false">IF(A718="","",COUNTIFS(Apparitions!$A$2:$A$5001,A718,Apparitions!$B$2:$B$5001,B718))</f>
        <v/>
      </c>
      <c r="F718" s="27" t="str">
        <f aca="false">IF(A718="","",A718&amp;"|"&amp;B718)</f>
        <v/>
      </c>
    </row>
    <row r="719" customFormat="false" ht="15" hidden="false" customHeight="false" outlineLevel="0" collapsed="false">
      <c r="A719" s="19"/>
      <c r="B719" s="19"/>
      <c r="C719" s="20"/>
      <c r="D719" s="19"/>
      <c r="E719" s="26" t="str">
        <f aca="false">IF(A719="","",COUNTIFS(Apparitions!$A$2:$A$5001,A719,Apparitions!$B$2:$B$5001,B719))</f>
        <v/>
      </c>
      <c r="F719" s="27" t="str">
        <f aca="false">IF(A719="","",A719&amp;"|"&amp;B719)</f>
        <v/>
      </c>
    </row>
    <row r="720" customFormat="false" ht="15" hidden="false" customHeight="false" outlineLevel="0" collapsed="false">
      <c r="A720" s="19"/>
      <c r="B720" s="19"/>
      <c r="C720" s="20"/>
      <c r="D720" s="19"/>
      <c r="E720" s="26" t="str">
        <f aca="false">IF(A720="","",COUNTIFS(Apparitions!$A$2:$A$5001,A720,Apparitions!$B$2:$B$5001,B720))</f>
        <v/>
      </c>
      <c r="F720" s="27" t="str">
        <f aca="false">IF(A720="","",A720&amp;"|"&amp;B720)</f>
        <v/>
      </c>
    </row>
    <row r="721" customFormat="false" ht="15" hidden="false" customHeight="false" outlineLevel="0" collapsed="false">
      <c r="A721" s="19"/>
      <c r="B721" s="19"/>
      <c r="C721" s="20"/>
      <c r="D721" s="19"/>
      <c r="E721" s="26" t="str">
        <f aca="false">IF(A721="","",COUNTIFS(Apparitions!$A$2:$A$5001,A721,Apparitions!$B$2:$B$5001,B721))</f>
        <v/>
      </c>
      <c r="F721" s="27" t="str">
        <f aca="false">IF(A721="","",A721&amp;"|"&amp;B721)</f>
        <v/>
      </c>
    </row>
    <row r="722" customFormat="false" ht="15" hidden="false" customHeight="false" outlineLevel="0" collapsed="false">
      <c r="A722" s="19"/>
      <c r="B722" s="19"/>
      <c r="C722" s="20"/>
      <c r="D722" s="19"/>
      <c r="E722" s="26" t="str">
        <f aca="false">IF(A722="","",COUNTIFS(Apparitions!$A$2:$A$5001,A722,Apparitions!$B$2:$B$5001,B722))</f>
        <v/>
      </c>
      <c r="F722" s="27" t="str">
        <f aca="false">IF(A722="","",A722&amp;"|"&amp;B722)</f>
        <v/>
      </c>
    </row>
    <row r="723" customFormat="false" ht="15" hidden="false" customHeight="false" outlineLevel="0" collapsed="false">
      <c r="A723" s="19"/>
      <c r="B723" s="19"/>
      <c r="C723" s="20"/>
      <c r="D723" s="19"/>
      <c r="E723" s="26" t="str">
        <f aca="false">IF(A723="","",COUNTIFS(Apparitions!$A$2:$A$5001,A723,Apparitions!$B$2:$B$5001,B723))</f>
        <v/>
      </c>
      <c r="F723" s="27" t="str">
        <f aca="false">IF(A723="","",A723&amp;"|"&amp;B723)</f>
        <v/>
      </c>
    </row>
    <row r="724" customFormat="false" ht="15" hidden="false" customHeight="false" outlineLevel="0" collapsed="false">
      <c r="A724" s="19"/>
      <c r="B724" s="19"/>
      <c r="C724" s="20"/>
      <c r="D724" s="19"/>
      <c r="E724" s="26" t="str">
        <f aca="false">IF(A724="","",COUNTIFS(Apparitions!$A$2:$A$5001,A724,Apparitions!$B$2:$B$5001,B724))</f>
        <v/>
      </c>
      <c r="F724" s="27" t="str">
        <f aca="false">IF(A724="","",A724&amp;"|"&amp;B724)</f>
        <v/>
      </c>
    </row>
    <row r="725" customFormat="false" ht="15" hidden="false" customHeight="false" outlineLevel="0" collapsed="false">
      <c r="A725" s="19"/>
      <c r="B725" s="19"/>
      <c r="C725" s="20"/>
      <c r="D725" s="19"/>
      <c r="E725" s="26" t="str">
        <f aca="false">IF(A725="","",COUNTIFS(Apparitions!$A$2:$A$5001,A725,Apparitions!$B$2:$B$5001,B725))</f>
        <v/>
      </c>
      <c r="F725" s="27" t="str">
        <f aca="false">IF(A725="","",A725&amp;"|"&amp;B725)</f>
        <v/>
      </c>
    </row>
    <row r="726" customFormat="false" ht="15" hidden="false" customHeight="false" outlineLevel="0" collapsed="false">
      <c r="A726" s="19"/>
      <c r="B726" s="19"/>
      <c r="C726" s="20"/>
      <c r="D726" s="19"/>
      <c r="E726" s="26" t="str">
        <f aca="false">IF(A726="","",COUNTIFS(Apparitions!$A$2:$A$5001,A726,Apparitions!$B$2:$B$5001,B726))</f>
        <v/>
      </c>
      <c r="F726" s="27" t="str">
        <f aca="false">IF(A726="","",A726&amp;"|"&amp;B726)</f>
        <v/>
      </c>
    </row>
    <row r="727" customFormat="false" ht="15" hidden="false" customHeight="false" outlineLevel="0" collapsed="false">
      <c r="A727" s="19"/>
      <c r="B727" s="19"/>
      <c r="C727" s="20"/>
      <c r="D727" s="19"/>
      <c r="E727" s="26" t="str">
        <f aca="false">IF(A727="","",COUNTIFS(Apparitions!$A$2:$A$5001,A727,Apparitions!$B$2:$B$5001,B727))</f>
        <v/>
      </c>
      <c r="F727" s="27" t="str">
        <f aca="false">IF(A727="","",A727&amp;"|"&amp;B727)</f>
        <v/>
      </c>
    </row>
    <row r="728" customFormat="false" ht="15" hidden="false" customHeight="false" outlineLevel="0" collapsed="false">
      <c r="A728" s="19"/>
      <c r="B728" s="19"/>
      <c r="C728" s="20"/>
      <c r="D728" s="19"/>
      <c r="E728" s="26" t="str">
        <f aca="false">IF(A728="","",COUNTIFS(Apparitions!$A$2:$A$5001,A728,Apparitions!$B$2:$B$5001,B728))</f>
        <v/>
      </c>
      <c r="F728" s="27" t="str">
        <f aca="false">IF(A728="","",A728&amp;"|"&amp;B728)</f>
        <v/>
      </c>
    </row>
    <row r="729" customFormat="false" ht="15" hidden="false" customHeight="false" outlineLevel="0" collapsed="false">
      <c r="A729" s="19"/>
      <c r="B729" s="19"/>
      <c r="C729" s="20"/>
      <c r="D729" s="19"/>
      <c r="E729" s="26" t="str">
        <f aca="false">IF(A729="","",COUNTIFS(Apparitions!$A$2:$A$5001,A729,Apparitions!$B$2:$B$5001,B729))</f>
        <v/>
      </c>
      <c r="F729" s="27" t="str">
        <f aca="false">IF(A729="","",A729&amp;"|"&amp;B729)</f>
        <v/>
      </c>
    </row>
    <row r="730" customFormat="false" ht="15" hidden="false" customHeight="false" outlineLevel="0" collapsed="false">
      <c r="A730" s="19"/>
      <c r="B730" s="19"/>
      <c r="C730" s="20"/>
      <c r="D730" s="19"/>
      <c r="E730" s="26" t="str">
        <f aca="false">IF(A730="","",COUNTIFS(Apparitions!$A$2:$A$5001,A730,Apparitions!$B$2:$B$5001,B730))</f>
        <v/>
      </c>
      <c r="F730" s="27" t="str">
        <f aca="false">IF(A730="","",A730&amp;"|"&amp;B730)</f>
        <v/>
      </c>
    </row>
    <row r="731" customFormat="false" ht="15" hidden="false" customHeight="false" outlineLevel="0" collapsed="false">
      <c r="A731" s="19"/>
      <c r="B731" s="19"/>
      <c r="C731" s="20"/>
      <c r="D731" s="19"/>
      <c r="E731" s="26" t="str">
        <f aca="false">IF(A731="","",COUNTIFS(Apparitions!$A$2:$A$5001,A731,Apparitions!$B$2:$B$5001,B731))</f>
        <v/>
      </c>
      <c r="F731" s="27" t="str">
        <f aca="false">IF(A731="","",A731&amp;"|"&amp;B731)</f>
        <v/>
      </c>
    </row>
    <row r="732" customFormat="false" ht="15" hidden="false" customHeight="false" outlineLevel="0" collapsed="false">
      <c r="A732" s="19"/>
      <c r="B732" s="19"/>
      <c r="C732" s="20"/>
      <c r="D732" s="19"/>
      <c r="E732" s="26" t="str">
        <f aca="false">IF(A732="","",COUNTIFS(Apparitions!$A$2:$A$5001,A732,Apparitions!$B$2:$B$5001,B732))</f>
        <v/>
      </c>
      <c r="F732" s="27" t="str">
        <f aca="false">IF(A732="","",A732&amp;"|"&amp;B732)</f>
        <v/>
      </c>
    </row>
    <row r="733" customFormat="false" ht="15" hidden="false" customHeight="false" outlineLevel="0" collapsed="false">
      <c r="A733" s="19"/>
      <c r="B733" s="19"/>
      <c r="C733" s="20"/>
      <c r="D733" s="19"/>
      <c r="E733" s="26" t="str">
        <f aca="false">IF(A733="","",COUNTIFS(Apparitions!$A$2:$A$5001,A733,Apparitions!$B$2:$B$5001,B733))</f>
        <v/>
      </c>
      <c r="F733" s="27" t="str">
        <f aca="false">IF(A733="","",A733&amp;"|"&amp;B733)</f>
        <v/>
      </c>
    </row>
    <row r="734" customFormat="false" ht="15" hidden="false" customHeight="false" outlineLevel="0" collapsed="false">
      <c r="A734" s="19"/>
      <c r="B734" s="19"/>
      <c r="C734" s="20"/>
      <c r="D734" s="19"/>
      <c r="E734" s="26" t="str">
        <f aca="false">IF(A734="","",COUNTIFS(Apparitions!$A$2:$A$5001,A734,Apparitions!$B$2:$B$5001,B734))</f>
        <v/>
      </c>
      <c r="F734" s="27" t="str">
        <f aca="false">IF(A734="","",A734&amp;"|"&amp;B734)</f>
        <v/>
      </c>
    </row>
    <row r="735" customFormat="false" ht="15" hidden="false" customHeight="false" outlineLevel="0" collapsed="false">
      <c r="A735" s="19"/>
      <c r="B735" s="19"/>
      <c r="C735" s="20"/>
      <c r="D735" s="19"/>
      <c r="E735" s="26" t="str">
        <f aca="false">IF(A735="","",COUNTIFS(Apparitions!$A$2:$A$5001,A735,Apparitions!$B$2:$B$5001,B735))</f>
        <v/>
      </c>
      <c r="F735" s="27" t="str">
        <f aca="false">IF(A735="","",A735&amp;"|"&amp;B735)</f>
        <v/>
      </c>
    </row>
    <row r="736" customFormat="false" ht="15" hidden="false" customHeight="false" outlineLevel="0" collapsed="false">
      <c r="A736" s="19"/>
      <c r="B736" s="19"/>
      <c r="C736" s="20"/>
      <c r="D736" s="19"/>
      <c r="E736" s="26" t="str">
        <f aca="false">IF(A736="","",COUNTIFS(Apparitions!$A$2:$A$5001,A736,Apparitions!$B$2:$B$5001,B736))</f>
        <v/>
      </c>
      <c r="F736" s="27" t="str">
        <f aca="false">IF(A736="","",A736&amp;"|"&amp;B736)</f>
        <v/>
      </c>
    </row>
    <row r="737" customFormat="false" ht="15" hidden="false" customHeight="false" outlineLevel="0" collapsed="false">
      <c r="A737" s="19"/>
      <c r="B737" s="19"/>
      <c r="C737" s="20"/>
      <c r="D737" s="19"/>
      <c r="E737" s="26" t="str">
        <f aca="false">IF(A737="","",COUNTIFS(Apparitions!$A$2:$A$5001,A737,Apparitions!$B$2:$B$5001,B737))</f>
        <v/>
      </c>
      <c r="F737" s="27" t="str">
        <f aca="false">IF(A737="","",A737&amp;"|"&amp;B737)</f>
        <v/>
      </c>
    </row>
    <row r="738" customFormat="false" ht="15" hidden="false" customHeight="false" outlineLevel="0" collapsed="false">
      <c r="A738" s="19"/>
      <c r="B738" s="19"/>
      <c r="C738" s="20"/>
      <c r="D738" s="19"/>
      <c r="E738" s="26" t="str">
        <f aca="false">IF(A738="","",COUNTIFS(Apparitions!$A$2:$A$5001,A738,Apparitions!$B$2:$B$5001,B738))</f>
        <v/>
      </c>
      <c r="F738" s="27" t="str">
        <f aca="false">IF(A738="","",A738&amp;"|"&amp;B738)</f>
        <v/>
      </c>
    </row>
    <row r="739" customFormat="false" ht="15" hidden="false" customHeight="false" outlineLevel="0" collapsed="false">
      <c r="A739" s="19"/>
      <c r="B739" s="19"/>
      <c r="C739" s="20"/>
      <c r="D739" s="19"/>
      <c r="E739" s="26" t="str">
        <f aca="false">IF(A739="","",COUNTIFS(Apparitions!$A$2:$A$5001,A739,Apparitions!$B$2:$B$5001,B739))</f>
        <v/>
      </c>
      <c r="F739" s="27" t="str">
        <f aca="false">IF(A739="","",A739&amp;"|"&amp;B739)</f>
        <v/>
      </c>
    </row>
    <row r="740" customFormat="false" ht="15" hidden="false" customHeight="false" outlineLevel="0" collapsed="false">
      <c r="A740" s="19"/>
      <c r="B740" s="19"/>
      <c r="C740" s="20"/>
      <c r="D740" s="19"/>
      <c r="E740" s="26" t="str">
        <f aca="false">IF(A740="","",COUNTIFS(Apparitions!$A$2:$A$5001,A740,Apparitions!$B$2:$B$5001,B740))</f>
        <v/>
      </c>
      <c r="F740" s="27" t="str">
        <f aca="false">IF(A740="","",A740&amp;"|"&amp;B740)</f>
        <v/>
      </c>
    </row>
    <row r="741" customFormat="false" ht="15" hidden="false" customHeight="false" outlineLevel="0" collapsed="false">
      <c r="A741" s="19"/>
      <c r="B741" s="19"/>
      <c r="C741" s="20"/>
      <c r="D741" s="19"/>
      <c r="E741" s="26" t="str">
        <f aca="false">IF(A741="","",COUNTIFS(Apparitions!$A$2:$A$5001,A741,Apparitions!$B$2:$B$5001,B741))</f>
        <v/>
      </c>
      <c r="F741" s="27" t="str">
        <f aca="false">IF(A741="","",A741&amp;"|"&amp;B741)</f>
        <v/>
      </c>
    </row>
    <row r="742" customFormat="false" ht="15" hidden="false" customHeight="false" outlineLevel="0" collapsed="false">
      <c r="A742" s="19"/>
      <c r="B742" s="19"/>
      <c r="C742" s="20"/>
      <c r="D742" s="19"/>
      <c r="E742" s="26" t="str">
        <f aca="false">IF(A742="","",COUNTIFS(Apparitions!$A$2:$A$5001,A742,Apparitions!$B$2:$B$5001,B742))</f>
        <v/>
      </c>
      <c r="F742" s="27" t="str">
        <f aca="false">IF(A742="","",A742&amp;"|"&amp;B742)</f>
        <v/>
      </c>
    </row>
    <row r="743" customFormat="false" ht="15" hidden="false" customHeight="false" outlineLevel="0" collapsed="false">
      <c r="A743" s="19"/>
      <c r="B743" s="19"/>
      <c r="C743" s="20"/>
      <c r="D743" s="19"/>
      <c r="E743" s="26" t="str">
        <f aca="false">IF(A743="","",COUNTIFS(Apparitions!$A$2:$A$5001,A743,Apparitions!$B$2:$B$5001,B743))</f>
        <v/>
      </c>
      <c r="F743" s="27" t="str">
        <f aca="false">IF(A743="","",A743&amp;"|"&amp;B743)</f>
        <v/>
      </c>
    </row>
    <row r="744" customFormat="false" ht="15" hidden="false" customHeight="false" outlineLevel="0" collapsed="false">
      <c r="A744" s="19"/>
      <c r="B744" s="19"/>
      <c r="C744" s="20"/>
      <c r="D744" s="19"/>
      <c r="E744" s="26" t="str">
        <f aca="false">IF(A744="","",COUNTIFS(Apparitions!$A$2:$A$5001,A744,Apparitions!$B$2:$B$5001,B744))</f>
        <v/>
      </c>
      <c r="F744" s="27" t="str">
        <f aca="false">IF(A744="","",A744&amp;"|"&amp;B744)</f>
        <v/>
      </c>
    </row>
    <row r="745" customFormat="false" ht="15" hidden="false" customHeight="false" outlineLevel="0" collapsed="false">
      <c r="A745" s="19"/>
      <c r="B745" s="19"/>
      <c r="C745" s="20"/>
      <c r="D745" s="19"/>
      <c r="E745" s="26" t="str">
        <f aca="false">IF(A745="","",COUNTIFS(Apparitions!$A$2:$A$5001,A745,Apparitions!$B$2:$B$5001,B745))</f>
        <v/>
      </c>
      <c r="F745" s="27" t="str">
        <f aca="false">IF(A745="","",A745&amp;"|"&amp;B745)</f>
        <v/>
      </c>
    </row>
    <row r="746" customFormat="false" ht="15" hidden="false" customHeight="false" outlineLevel="0" collapsed="false">
      <c r="A746" s="19"/>
      <c r="B746" s="19"/>
      <c r="C746" s="20"/>
      <c r="D746" s="19"/>
      <c r="E746" s="26" t="str">
        <f aca="false">IF(A746="","",COUNTIFS(Apparitions!$A$2:$A$5001,A746,Apparitions!$B$2:$B$5001,B746))</f>
        <v/>
      </c>
      <c r="F746" s="27" t="str">
        <f aca="false">IF(A746="","",A746&amp;"|"&amp;B746)</f>
        <v/>
      </c>
    </row>
    <row r="747" customFormat="false" ht="15" hidden="false" customHeight="false" outlineLevel="0" collapsed="false">
      <c r="A747" s="19"/>
      <c r="B747" s="19"/>
      <c r="C747" s="20"/>
      <c r="D747" s="19"/>
      <c r="E747" s="26" t="str">
        <f aca="false">IF(A747="","",COUNTIFS(Apparitions!$A$2:$A$5001,A747,Apparitions!$B$2:$B$5001,B747))</f>
        <v/>
      </c>
      <c r="F747" s="27" t="str">
        <f aca="false">IF(A747="","",A747&amp;"|"&amp;B747)</f>
        <v/>
      </c>
    </row>
    <row r="748" customFormat="false" ht="15" hidden="false" customHeight="false" outlineLevel="0" collapsed="false">
      <c r="A748" s="19"/>
      <c r="B748" s="19"/>
      <c r="C748" s="20"/>
      <c r="D748" s="19"/>
      <c r="E748" s="26" t="str">
        <f aca="false">IF(A748="","",COUNTIFS(Apparitions!$A$2:$A$5001,A748,Apparitions!$B$2:$B$5001,B748))</f>
        <v/>
      </c>
      <c r="F748" s="27" t="str">
        <f aca="false">IF(A748="","",A748&amp;"|"&amp;B748)</f>
        <v/>
      </c>
    </row>
    <row r="749" customFormat="false" ht="15" hidden="false" customHeight="false" outlineLevel="0" collapsed="false">
      <c r="A749" s="19"/>
      <c r="B749" s="19"/>
      <c r="C749" s="20"/>
      <c r="D749" s="19"/>
      <c r="E749" s="26" t="str">
        <f aca="false">IF(A749="","",COUNTIFS(Apparitions!$A$2:$A$5001,A749,Apparitions!$B$2:$B$5001,B749))</f>
        <v/>
      </c>
      <c r="F749" s="27" t="str">
        <f aca="false">IF(A749="","",A749&amp;"|"&amp;B749)</f>
        <v/>
      </c>
    </row>
    <row r="750" customFormat="false" ht="15" hidden="false" customHeight="false" outlineLevel="0" collapsed="false">
      <c r="A750" s="19"/>
      <c r="B750" s="19"/>
      <c r="C750" s="20"/>
      <c r="D750" s="19"/>
      <c r="E750" s="26" t="str">
        <f aca="false">IF(A750="","",COUNTIFS(Apparitions!$A$2:$A$5001,A750,Apparitions!$B$2:$B$5001,B750))</f>
        <v/>
      </c>
      <c r="F750" s="27" t="str">
        <f aca="false">IF(A750="","",A750&amp;"|"&amp;B750)</f>
        <v/>
      </c>
    </row>
    <row r="751" customFormat="false" ht="15" hidden="false" customHeight="false" outlineLevel="0" collapsed="false">
      <c r="A751" s="19"/>
      <c r="B751" s="19"/>
      <c r="C751" s="20"/>
      <c r="D751" s="19"/>
      <c r="E751" s="26" t="str">
        <f aca="false">IF(A751="","",COUNTIFS(Apparitions!$A$2:$A$5001,A751,Apparitions!$B$2:$B$5001,B751))</f>
        <v/>
      </c>
      <c r="F751" s="27" t="str">
        <f aca="false">IF(A751="","",A751&amp;"|"&amp;B751)</f>
        <v/>
      </c>
    </row>
    <row r="752" customFormat="false" ht="15" hidden="false" customHeight="false" outlineLevel="0" collapsed="false">
      <c r="A752" s="19"/>
      <c r="B752" s="19"/>
      <c r="C752" s="20"/>
      <c r="D752" s="19"/>
      <c r="E752" s="26" t="str">
        <f aca="false">IF(A752="","",COUNTIFS(Apparitions!$A$2:$A$5001,A752,Apparitions!$B$2:$B$5001,B752))</f>
        <v/>
      </c>
      <c r="F752" s="27" t="str">
        <f aca="false">IF(A752="","",A752&amp;"|"&amp;B752)</f>
        <v/>
      </c>
    </row>
    <row r="753" customFormat="false" ht="15" hidden="false" customHeight="false" outlineLevel="0" collapsed="false">
      <c r="A753" s="19"/>
      <c r="B753" s="19"/>
      <c r="C753" s="20"/>
      <c r="D753" s="19"/>
      <c r="E753" s="26" t="str">
        <f aca="false">IF(A753="","",COUNTIFS(Apparitions!$A$2:$A$5001,A753,Apparitions!$B$2:$B$5001,B753))</f>
        <v/>
      </c>
      <c r="F753" s="27" t="str">
        <f aca="false">IF(A753="","",A753&amp;"|"&amp;B753)</f>
        <v/>
      </c>
    </row>
    <row r="754" customFormat="false" ht="15" hidden="false" customHeight="false" outlineLevel="0" collapsed="false">
      <c r="A754" s="19"/>
      <c r="B754" s="19"/>
      <c r="C754" s="20"/>
      <c r="D754" s="19"/>
      <c r="E754" s="26" t="str">
        <f aca="false">IF(A754="","",COUNTIFS(Apparitions!$A$2:$A$5001,A754,Apparitions!$B$2:$B$5001,B754))</f>
        <v/>
      </c>
      <c r="F754" s="27" t="str">
        <f aca="false">IF(A754="","",A754&amp;"|"&amp;B754)</f>
        <v/>
      </c>
    </row>
    <row r="755" customFormat="false" ht="15" hidden="false" customHeight="false" outlineLevel="0" collapsed="false">
      <c r="A755" s="19"/>
      <c r="B755" s="19"/>
      <c r="C755" s="20"/>
      <c r="D755" s="19"/>
      <c r="E755" s="26" t="str">
        <f aca="false">IF(A755="","",COUNTIFS(Apparitions!$A$2:$A$5001,A755,Apparitions!$B$2:$B$5001,B755))</f>
        <v/>
      </c>
      <c r="F755" s="27" t="str">
        <f aca="false">IF(A755="","",A755&amp;"|"&amp;B755)</f>
        <v/>
      </c>
    </row>
    <row r="756" customFormat="false" ht="15" hidden="false" customHeight="false" outlineLevel="0" collapsed="false">
      <c r="A756" s="19"/>
      <c r="B756" s="19"/>
      <c r="C756" s="20"/>
      <c r="D756" s="19"/>
      <c r="E756" s="26" t="str">
        <f aca="false">IF(A756="","",COUNTIFS(Apparitions!$A$2:$A$5001,A756,Apparitions!$B$2:$B$5001,B756))</f>
        <v/>
      </c>
      <c r="F756" s="27" t="str">
        <f aca="false">IF(A756="","",A756&amp;"|"&amp;B756)</f>
        <v/>
      </c>
    </row>
    <row r="757" customFormat="false" ht="15" hidden="false" customHeight="false" outlineLevel="0" collapsed="false">
      <c r="A757" s="19"/>
      <c r="B757" s="19"/>
      <c r="C757" s="20"/>
      <c r="D757" s="19"/>
      <c r="E757" s="26" t="str">
        <f aca="false">IF(A757="","",COUNTIFS(Apparitions!$A$2:$A$5001,A757,Apparitions!$B$2:$B$5001,B757))</f>
        <v/>
      </c>
      <c r="F757" s="27" t="str">
        <f aca="false">IF(A757="","",A757&amp;"|"&amp;B757)</f>
        <v/>
      </c>
    </row>
    <row r="758" customFormat="false" ht="15" hidden="false" customHeight="false" outlineLevel="0" collapsed="false">
      <c r="A758" s="19"/>
      <c r="B758" s="19"/>
      <c r="C758" s="20"/>
      <c r="D758" s="19"/>
      <c r="E758" s="26" t="str">
        <f aca="false">IF(A758="","",COUNTIFS(Apparitions!$A$2:$A$5001,A758,Apparitions!$B$2:$B$5001,B758))</f>
        <v/>
      </c>
      <c r="F758" s="27" t="str">
        <f aca="false">IF(A758="","",A758&amp;"|"&amp;B758)</f>
        <v/>
      </c>
    </row>
    <row r="759" customFormat="false" ht="15" hidden="false" customHeight="false" outlineLevel="0" collapsed="false">
      <c r="A759" s="19"/>
      <c r="B759" s="19"/>
      <c r="C759" s="20"/>
      <c r="D759" s="19"/>
      <c r="E759" s="26" t="str">
        <f aca="false">IF(A759="","",COUNTIFS(Apparitions!$A$2:$A$5001,A759,Apparitions!$B$2:$B$5001,B759))</f>
        <v/>
      </c>
      <c r="F759" s="27" t="str">
        <f aca="false">IF(A759="","",A759&amp;"|"&amp;B759)</f>
        <v/>
      </c>
    </row>
    <row r="760" customFormat="false" ht="15" hidden="false" customHeight="false" outlineLevel="0" collapsed="false">
      <c r="A760" s="19"/>
      <c r="B760" s="19"/>
      <c r="C760" s="20"/>
      <c r="D760" s="19"/>
      <c r="E760" s="26" t="str">
        <f aca="false">IF(A760="","",COUNTIFS(Apparitions!$A$2:$A$5001,A760,Apparitions!$B$2:$B$5001,B760))</f>
        <v/>
      </c>
      <c r="F760" s="27" t="str">
        <f aca="false">IF(A760="","",A760&amp;"|"&amp;B760)</f>
        <v/>
      </c>
    </row>
    <row r="761" customFormat="false" ht="15" hidden="false" customHeight="false" outlineLevel="0" collapsed="false">
      <c r="A761" s="19"/>
      <c r="B761" s="19"/>
      <c r="C761" s="20"/>
      <c r="D761" s="19"/>
      <c r="E761" s="26" t="str">
        <f aca="false">IF(A761="","",COUNTIFS(Apparitions!$A$2:$A$5001,A761,Apparitions!$B$2:$B$5001,B761))</f>
        <v/>
      </c>
      <c r="F761" s="27" t="str">
        <f aca="false">IF(A761="","",A761&amp;"|"&amp;B761)</f>
        <v/>
      </c>
    </row>
    <row r="762" customFormat="false" ht="15" hidden="false" customHeight="false" outlineLevel="0" collapsed="false">
      <c r="A762" s="19"/>
      <c r="B762" s="19"/>
      <c r="C762" s="20"/>
      <c r="D762" s="19"/>
      <c r="E762" s="26" t="str">
        <f aca="false">IF(A762="","",COUNTIFS(Apparitions!$A$2:$A$5001,A762,Apparitions!$B$2:$B$5001,B762))</f>
        <v/>
      </c>
      <c r="F762" s="27" t="str">
        <f aca="false">IF(A762="","",A762&amp;"|"&amp;B762)</f>
        <v/>
      </c>
    </row>
    <row r="763" customFormat="false" ht="15" hidden="false" customHeight="false" outlineLevel="0" collapsed="false">
      <c r="A763" s="19"/>
      <c r="B763" s="19"/>
      <c r="C763" s="20"/>
      <c r="D763" s="19"/>
      <c r="E763" s="26" t="str">
        <f aca="false">IF(A763="","",COUNTIFS(Apparitions!$A$2:$A$5001,A763,Apparitions!$B$2:$B$5001,B763))</f>
        <v/>
      </c>
      <c r="F763" s="27" t="str">
        <f aca="false">IF(A763="","",A763&amp;"|"&amp;B763)</f>
        <v/>
      </c>
    </row>
    <row r="764" customFormat="false" ht="15" hidden="false" customHeight="false" outlineLevel="0" collapsed="false">
      <c r="A764" s="19"/>
      <c r="B764" s="19"/>
      <c r="C764" s="20"/>
      <c r="D764" s="19"/>
      <c r="E764" s="26" t="str">
        <f aca="false">IF(A764="","",COUNTIFS(Apparitions!$A$2:$A$5001,A764,Apparitions!$B$2:$B$5001,B764))</f>
        <v/>
      </c>
      <c r="F764" s="27" t="str">
        <f aca="false">IF(A764="","",A764&amp;"|"&amp;B764)</f>
        <v/>
      </c>
    </row>
    <row r="765" customFormat="false" ht="15" hidden="false" customHeight="false" outlineLevel="0" collapsed="false">
      <c r="A765" s="19"/>
      <c r="B765" s="19"/>
      <c r="C765" s="20"/>
      <c r="D765" s="19"/>
      <c r="E765" s="26" t="str">
        <f aca="false">IF(A765="","",COUNTIFS(Apparitions!$A$2:$A$5001,A765,Apparitions!$B$2:$B$5001,B765))</f>
        <v/>
      </c>
      <c r="F765" s="27" t="str">
        <f aca="false">IF(A765="","",A765&amp;"|"&amp;B765)</f>
        <v/>
      </c>
    </row>
    <row r="766" customFormat="false" ht="15" hidden="false" customHeight="false" outlineLevel="0" collapsed="false">
      <c r="A766" s="19"/>
      <c r="B766" s="19"/>
      <c r="C766" s="20"/>
      <c r="D766" s="19"/>
      <c r="E766" s="26" t="str">
        <f aca="false">IF(A766="","",COUNTIFS(Apparitions!$A$2:$A$5001,A766,Apparitions!$B$2:$B$5001,B766))</f>
        <v/>
      </c>
      <c r="F766" s="27" t="str">
        <f aca="false">IF(A766="","",A766&amp;"|"&amp;B766)</f>
        <v/>
      </c>
    </row>
    <row r="767" customFormat="false" ht="15" hidden="false" customHeight="false" outlineLevel="0" collapsed="false">
      <c r="A767" s="19"/>
      <c r="B767" s="19"/>
      <c r="C767" s="20"/>
      <c r="D767" s="19"/>
      <c r="E767" s="26" t="str">
        <f aca="false">IF(A767="","",COUNTIFS(Apparitions!$A$2:$A$5001,A767,Apparitions!$B$2:$B$5001,B767))</f>
        <v/>
      </c>
      <c r="F767" s="27" t="str">
        <f aca="false">IF(A767="","",A767&amp;"|"&amp;B767)</f>
        <v/>
      </c>
    </row>
    <row r="768" customFormat="false" ht="15" hidden="false" customHeight="false" outlineLevel="0" collapsed="false">
      <c r="A768" s="19"/>
      <c r="B768" s="19"/>
      <c r="C768" s="20"/>
      <c r="D768" s="19"/>
      <c r="E768" s="26" t="str">
        <f aca="false">IF(A768="","",COUNTIFS(Apparitions!$A$2:$A$5001,A768,Apparitions!$B$2:$B$5001,B768))</f>
        <v/>
      </c>
      <c r="F768" s="27" t="str">
        <f aca="false">IF(A768="","",A768&amp;"|"&amp;B768)</f>
        <v/>
      </c>
    </row>
    <row r="769" customFormat="false" ht="15" hidden="false" customHeight="false" outlineLevel="0" collapsed="false">
      <c r="A769" s="19"/>
      <c r="B769" s="19"/>
      <c r="C769" s="20"/>
      <c r="D769" s="19"/>
      <c r="E769" s="26" t="str">
        <f aca="false">IF(A769="","",COUNTIFS(Apparitions!$A$2:$A$5001,A769,Apparitions!$B$2:$B$5001,B769))</f>
        <v/>
      </c>
      <c r="F769" s="27" t="str">
        <f aca="false">IF(A769="","",A769&amp;"|"&amp;B769)</f>
        <v/>
      </c>
    </row>
    <row r="770" customFormat="false" ht="15" hidden="false" customHeight="false" outlineLevel="0" collapsed="false">
      <c r="A770" s="19"/>
      <c r="B770" s="19"/>
      <c r="C770" s="20"/>
      <c r="D770" s="19"/>
      <c r="E770" s="26" t="str">
        <f aca="false">IF(A770="","",COUNTIFS(Apparitions!$A$2:$A$5001,A770,Apparitions!$B$2:$B$5001,B770))</f>
        <v/>
      </c>
      <c r="F770" s="27" t="str">
        <f aca="false">IF(A770="","",A770&amp;"|"&amp;B770)</f>
        <v/>
      </c>
    </row>
    <row r="771" customFormat="false" ht="15" hidden="false" customHeight="false" outlineLevel="0" collapsed="false">
      <c r="A771" s="19"/>
      <c r="B771" s="19"/>
      <c r="C771" s="20"/>
      <c r="D771" s="19"/>
      <c r="E771" s="26" t="str">
        <f aca="false">IF(A771="","",COUNTIFS(Apparitions!$A$2:$A$5001,A771,Apparitions!$B$2:$B$5001,B771))</f>
        <v/>
      </c>
      <c r="F771" s="27" t="str">
        <f aca="false">IF(A771="","",A771&amp;"|"&amp;B771)</f>
        <v/>
      </c>
    </row>
    <row r="772" customFormat="false" ht="15" hidden="false" customHeight="false" outlineLevel="0" collapsed="false">
      <c r="A772" s="19"/>
      <c r="B772" s="19"/>
      <c r="C772" s="20"/>
      <c r="D772" s="19"/>
      <c r="E772" s="26" t="str">
        <f aca="false">IF(A772="","",COUNTIFS(Apparitions!$A$2:$A$5001,A772,Apparitions!$B$2:$B$5001,B772))</f>
        <v/>
      </c>
      <c r="F772" s="27" t="str">
        <f aca="false">IF(A772="","",A772&amp;"|"&amp;B772)</f>
        <v/>
      </c>
    </row>
    <row r="773" customFormat="false" ht="15" hidden="false" customHeight="false" outlineLevel="0" collapsed="false">
      <c r="A773" s="19"/>
      <c r="B773" s="19"/>
      <c r="C773" s="20"/>
      <c r="D773" s="19"/>
      <c r="E773" s="26" t="str">
        <f aca="false">IF(A773="","",COUNTIFS(Apparitions!$A$2:$A$5001,A773,Apparitions!$B$2:$B$5001,B773))</f>
        <v/>
      </c>
      <c r="F773" s="27" t="str">
        <f aca="false">IF(A773="","",A773&amp;"|"&amp;B773)</f>
        <v/>
      </c>
    </row>
    <row r="774" customFormat="false" ht="15" hidden="false" customHeight="false" outlineLevel="0" collapsed="false">
      <c r="A774" s="19"/>
      <c r="B774" s="19"/>
      <c r="C774" s="20"/>
      <c r="D774" s="19"/>
      <c r="E774" s="26" t="str">
        <f aca="false">IF(A774="","",COUNTIFS(Apparitions!$A$2:$A$5001,A774,Apparitions!$B$2:$B$5001,B774))</f>
        <v/>
      </c>
      <c r="F774" s="27" t="str">
        <f aca="false">IF(A774="","",A774&amp;"|"&amp;B774)</f>
        <v/>
      </c>
    </row>
    <row r="775" customFormat="false" ht="15" hidden="false" customHeight="false" outlineLevel="0" collapsed="false">
      <c r="A775" s="19"/>
      <c r="B775" s="19"/>
      <c r="C775" s="20"/>
      <c r="D775" s="19"/>
      <c r="E775" s="26" t="str">
        <f aca="false">IF(A775="","",COUNTIFS(Apparitions!$A$2:$A$5001,A775,Apparitions!$B$2:$B$5001,B775))</f>
        <v/>
      </c>
      <c r="F775" s="27" t="str">
        <f aca="false">IF(A775="","",A775&amp;"|"&amp;B775)</f>
        <v/>
      </c>
    </row>
    <row r="776" customFormat="false" ht="15" hidden="false" customHeight="false" outlineLevel="0" collapsed="false">
      <c r="A776" s="19"/>
      <c r="B776" s="19"/>
      <c r="C776" s="20"/>
      <c r="D776" s="19"/>
      <c r="E776" s="26" t="str">
        <f aca="false">IF(A776="","",COUNTIFS(Apparitions!$A$2:$A$5001,A776,Apparitions!$B$2:$B$5001,B776))</f>
        <v/>
      </c>
      <c r="F776" s="27" t="str">
        <f aca="false">IF(A776="","",A776&amp;"|"&amp;B776)</f>
        <v/>
      </c>
    </row>
    <row r="777" customFormat="false" ht="15" hidden="false" customHeight="false" outlineLevel="0" collapsed="false">
      <c r="A777" s="19"/>
      <c r="B777" s="19"/>
      <c r="C777" s="20"/>
      <c r="D777" s="19"/>
      <c r="E777" s="26" t="str">
        <f aca="false">IF(A777="","",COUNTIFS(Apparitions!$A$2:$A$5001,A777,Apparitions!$B$2:$B$5001,B777))</f>
        <v/>
      </c>
      <c r="F777" s="27" t="str">
        <f aca="false">IF(A777="","",A777&amp;"|"&amp;B777)</f>
        <v/>
      </c>
    </row>
    <row r="778" customFormat="false" ht="15" hidden="false" customHeight="false" outlineLevel="0" collapsed="false">
      <c r="A778" s="19"/>
      <c r="B778" s="19"/>
      <c r="C778" s="20"/>
      <c r="D778" s="19"/>
      <c r="E778" s="26" t="str">
        <f aca="false">IF(A778="","",COUNTIFS(Apparitions!$A$2:$A$5001,A778,Apparitions!$B$2:$B$5001,B778))</f>
        <v/>
      </c>
      <c r="F778" s="27" t="str">
        <f aca="false">IF(A778="","",A778&amp;"|"&amp;B778)</f>
        <v/>
      </c>
    </row>
    <row r="779" customFormat="false" ht="15" hidden="false" customHeight="false" outlineLevel="0" collapsed="false">
      <c r="A779" s="19"/>
      <c r="B779" s="19"/>
      <c r="C779" s="20"/>
      <c r="D779" s="19"/>
      <c r="E779" s="26" t="str">
        <f aca="false">IF(A779="","",COUNTIFS(Apparitions!$A$2:$A$5001,A779,Apparitions!$B$2:$B$5001,B779))</f>
        <v/>
      </c>
      <c r="F779" s="27" t="str">
        <f aca="false">IF(A779="","",A779&amp;"|"&amp;B779)</f>
        <v/>
      </c>
    </row>
    <row r="780" customFormat="false" ht="15" hidden="false" customHeight="false" outlineLevel="0" collapsed="false">
      <c r="A780" s="19"/>
      <c r="B780" s="19"/>
      <c r="C780" s="20"/>
      <c r="D780" s="19"/>
      <c r="E780" s="26" t="str">
        <f aca="false">IF(A780="","",COUNTIFS(Apparitions!$A$2:$A$5001,A780,Apparitions!$B$2:$B$5001,B780))</f>
        <v/>
      </c>
      <c r="F780" s="27" t="str">
        <f aca="false">IF(A780="","",A780&amp;"|"&amp;B780)</f>
        <v/>
      </c>
    </row>
    <row r="781" customFormat="false" ht="15" hidden="false" customHeight="false" outlineLevel="0" collapsed="false">
      <c r="A781" s="19"/>
      <c r="B781" s="19"/>
      <c r="C781" s="20"/>
      <c r="D781" s="19"/>
      <c r="E781" s="26" t="str">
        <f aca="false">IF(A781="","",COUNTIFS(Apparitions!$A$2:$A$5001,A781,Apparitions!$B$2:$B$5001,B781))</f>
        <v/>
      </c>
      <c r="F781" s="27" t="str">
        <f aca="false">IF(A781="","",A781&amp;"|"&amp;B781)</f>
        <v/>
      </c>
    </row>
    <row r="782" customFormat="false" ht="15" hidden="false" customHeight="false" outlineLevel="0" collapsed="false">
      <c r="A782" s="19"/>
      <c r="B782" s="19"/>
      <c r="C782" s="20"/>
      <c r="D782" s="19"/>
      <c r="E782" s="26" t="str">
        <f aca="false">IF(A782="","",COUNTIFS(Apparitions!$A$2:$A$5001,A782,Apparitions!$B$2:$B$5001,B782))</f>
        <v/>
      </c>
      <c r="F782" s="27" t="str">
        <f aca="false">IF(A782="","",A782&amp;"|"&amp;B782)</f>
        <v/>
      </c>
    </row>
    <row r="783" customFormat="false" ht="15" hidden="false" customHeight="false" outlineLevel="0" collapsed="false">
      <c r="A783" s="19"/>
      <c r="B783" s="19"/>
      <c r="C783" s="20"/>
      <c r="D783" s="19"/>
      <c r="E783" s="26" t="str">
        <f aca="false">IF(A783="","",COUNTIFS(Apparitions!$A$2:$A$5001,A783,Apparitions!$B$2:$B$5001,B783))</f>
        <v/>
      </c>
      <c r="F783" s="27" t="str">
        <f aca="false">IF(A783="","",A783&amp;"|"&amp;B783)</f>
        <v/>
      </c>
    </row>
    <row r="784" customFormat="false" ht="15" hidden="false" customHeight="false" outlineLevel="0" collapsed="false">
      <c r="A784" s="19"/>
      <c r="B784" s="19"/>
      <c r="C784" s="20"/>
      <c r="D784" s="19"/>
      <c r="E784" s="26" t="str">
        <f aca="false">IF(A784="","",COUNTIFS(Apparitions!$A$2:$A$5001,A784,Apparitions!$B$2:$B$5001,B784))</f>
        <v/>
      </c>
      <c r="F784" s="27" t="str">
        <f aca="false">IF(A784="","",A784&amp;"|"&amp;B784)</f>
        <v/>
      </c>
    </row>
    <row r="785" customFormat="false" ht="15" hidden="false" customHeight="false" outlineLevel="0" collapsed="false">
      <c r="A785" s="19"/>
      <c r="B785" s="19"/>
      <c r="C785" s="20"/>
      <c r="D785" s="19"/>
      <c r="E785" s="26" t="str">
        <f aca="false">IF(A785="","",COUNTIFS(Apparitions!$A$2:$A$5001,A785,Apparitions!$B$2:$B$5001,B785))</f>
        <v/>
      </c>
      <c r="F785" s="27" t="str">
        <f aca="false">IF(A785="","",A785&amp;"|"&amp;B785)</f>
        <v/>
      </c>
    </row>
    <row r="786" customFormat="false" ht="15" hidden="false" customHeight="false" outlineLevel="0" collapsed="false">
      <c r="A786" s="19"/>
      <c r="B786" s="19"/>
      <c r="C786" s="20"/>
      <c r="D786" s="19"/>
      <c r="E786" s="26" t="str">
        <f aca="false">IF(A786="","",COUNTIFS(Apparitions!$A$2:$A$5001,A786,Apparitions!$B$2:$B$5001,B786))</f>
        <v/>
      </c>
      <c r="F786" s="27" t="str">
        <f aca="false">IF(A786="","",A786&amp;"|"&amp;B786)</f>
        <v/>
      </c>
    </row>
    <row r="787" customFormat="false" ht="15" hidden="false" customHeight="false" outlineLevel="0" collapsed="false">
      <c r="A787" s="19"/>
      <c r="B787" s="19"/>
      <c r="C787" s="20"/>
      <c r="D787" s="19"/>
      <c r="E787" s="26" t="str">
        <f aca="false">IF(A787="","",COUNTIFS(Apparitions!$A$2:$A$5001,A787,Apparitions!$B$2:$B$5001,B787))</f>
        <v/>
      </c>
      <c r="F787" s="27" t="str">
        <f aca="false">IF(A787="","",A787&amp;"|"&amp;B787)</f>
        <v/>
      </c>
    </row>
    <row r="788" customFormat="false" ht="15" hidden="false" customHeight="false" outlineLevel="0" collapsed="false">
      <c r="A788" s="19"/>
      <c r="B788" s="19"/>
      <c r="C788" s="20"/>
      <c r="D788" s="19"/>
      <c r="E788" s="26" t="str">
        <f aca="false">IF(A788="","",COUNTIFS(Apparitions!$A$2:$A$5001,A788,Apparitions!$B$2:$B$5001,B788))</f>
        <v/>
      </c>
      <c r="F788" s="27" t="str">
        <f aca="false">IF(A788="","",A788&amp;"|"&amp;B788)</f>
        <v/>
      </c>
    </row>
    <row r="789" customFormat="false" ht="15" hidden="false" customHeight="false" outlineLevel="0" collapsed="false">
      <c r="A789" s="19"/>
      <c r="B789" s="19"/>
      <c r="C789" s="20"/>
      <c r="D789" s="19"/>
      <c r="E789" s="26" t="str">
        <f aca="false">IF(A789="","",COUNTIFS(Apparitions!$A$2:$A$5001,A789,Apparitions!$B$2:$B$5001,B789))</f>
        <v/>
      </c>
      <c r="F789" s="27" t="str">
        <f aca="false">IF(A789="","",A789&amp;"|"&amp;B789)</f>
        <v/>
      </c>
    </row>
    <row r="790" customFormat="false" ht="15" hidden="false" customHeight="false" outlineLevel="0" collapsed="false">
      <c r="A790" s="19"/>
      <c r="B790" s="19"/>
      <c r="C790" s="20"/>
      <c r="D790" s="19"/>
      <c r="E790" s="26" t="str">
        <f aca="false">IF(A790="","",COUNTIFS(Apparitions!$A$2:$A$5001,A790,Apparitions!$B$2:$B$5001,B790))</f>
        <v/>
      </c>
      <c r="F790" s="27" t="str">
        <f aca="false">IF(A790="","",A790&amp;"|"&amp;B790)</f>
        <v/>
      </c>
    </row>
    <row r="791" customFormat="false" ht="15" hidden="false" customHeight="false" outlineLevel="0" collapsed="false">
      <c r="A791" s="19"/>
      <c r="B791" s="19"/>
      <c r="C791" s="20"/>
      <c r="D791" s="19"/>
      <c r="E791" s="26" t="str">
        <f aca="false">IF(A791="","",COUNTIFS(Apparitions!$A$2:$A$5001,A791,Apparitions!$B$2:$B$5001,B791))</f>
        <v/>
      </c>
      <c r="F791" s="27" t="str">
        <f aca="false">IF(A791="","",A791&amp;"|"&amp;B791)</f>
        <v/>
      </c>
    </row>
    <row r="792" customFormat="false" ht="15" hidden="false" customHeight="false" outlineLevel="0" collapsed="false">
      <c r="A792" s="19"/>
      <c r="B792" s="19"/>
      <c r="C792" s="20"/>
      <c r="D792" s="19"/>
      <c r="E792" s="26" t="str">
        <f aca="false">IF(A792="","",COUNTIFS(Apparitions!$A$2:$A$5001,A792,Apparitions!$B$2:$B$5001,B792))</f>
        <v/>
      </c>
      <c r="F792" s="27" t="str">
        <f aca="false">IF(A792="","",A792&amp;"|"&amp;B792)</f>
        <v/>
      </c>
    </row>
    <row r="793" customFormat="false" ht="15" hidden="false" customHeight="false" outlineLevel="0" collapsed="false">
      <c r="A793" s="19"/>
      <c r="B793" s="19"/>
      <c r="C793" s="20"/>
      <c r="D793" s="19"/>
      <c r="E793" s="26" t="str">
        <f aca="false">IF(A793="","",COUNTIFS(Apparitions!$A$2:$A$5001,A793,Apparitions!$B$2:$B$5001,B793))</f>
        <v/>
      </c>
      <c r="F793" s="27" t="str">
        <f aca="false">IF(A793="","",A793&amp;"|"&amp;B793)</f>
        <v/>
      </c>
    </row>
    <row r="794" customFormat="false" ht="15" hidden="false" customHeight="false" outlineLevel="0" collapsed="false">
      <c r="A794" s="19"/>
      <c r="B794" s="19"/>
      <c r="C794" s="20"/>
      <c r="D794" s="19"/>
      <c r="E794" s="26" t="str">
        <f aca="false">IF(A794="","",COUNTIFS(Apparitions!$A$2:$A$5001,A794,Apparitions!$B$2:$B$5001,B794))</f>
        <v/>
      </c>
      <c r="F794" s="27" t="str">
        <f aca="false">IF(A794="","",A794&amp;"|"&amp;B794)</f>
        <v/>
      </c>
    </row>
    <row r="795" customFormat="false" ht="15" hidden="false" customHeight="false" outlineLevel="0" collapsed="false">
      <c r="A795" s="19"/>
      <c r="B795" s="19"/>
      <c r="C795" s="20"/>
      <c r="D795" s="19"/>
      <c r="E795" s="26" t="str">
        <f aca="false">IF(A795="","",COUNTIFS(Apparitions!$A$2:$A$5001,A795,Apparitions!$B$2:$B$5001,B795))</f>
        <v/>
      </c>
      <c r="F795" s="27" t="str">
        <f aca="false">IF(A795="","",A795&amp;"|"&amp;B795)</f>
        <v/>
      </c>
    </row>
    <row r="796" customFormat="false" ht="15" hidden="false" customHeight="false" outlineLevel="0" collapsed="false">
      <c r="A796" s="19"/>
      <c r="B796" s="19"/>
      <c r="C796" s="20"/>
      <c r="D796" s="19"/>
      <c r="E796" s="26" t="str">
        <f aca="false">IF(A796="","",COUNTIFS(Apparitions!$A$2:$A$5001,A796,Apparitions!$B$2:$B$5001,B796))</f>
        <v/>
      </c>
      <c r="F796" s="27" t="str">
        <f aca="false">IF(A796="","",A796&amp;"|"&amp;B796)</f>
        <v/>
      </c>
    </row>
    <row r="797" customFormat="false" ht="15" hidden="false" customHeight="false" outlineLevel="0" collapsed="false">
      <c r="A797" s="19"/>
      <c r="B797" s="19"/>
      <c r="C797" s="20"/>
      <c r="D797" s="19"/>
      <c r="E797" s="26" t="str">
        <f aca="false">IF(A797="","",COUNTIFS(Apparitions!$A$2:$A$5001,A797,Apparitions!$B$2:$B$5001,B797))</f>
        <v/>
      </c>
      <c r="F797" s="27" t="str">
        <f aca="false">IF(A797="","",A797&amp;"|"&amp;B797)</f>
        <v/>
      </c>
    </row>
    <row r="798" customFormat="false" ht="15" hidden="false" customHeight="false" outlineLevel="0" collapsed="false">
      <c r="A798" s="19"/>
      <c r="B798" s="19"/>
      <c r="C798" s="20"/>
      <c r="D798" s="19"/>
      <c r="E798" s="26" t="str">
        <f aca="false">IF(A798="","",COUNTIFS(Apparitions!$A$2:$A$5001,A798,Apparitions!$B$2:$B$5001,B798))</f>
        <v/>
      </c>
      <c r="F798" s="27" t="str">
        <f aca="false">IF(A798="","",A798&amp;"|"&amp;B798)</f>
        <v/>
      </c>
    </row>
    <row r="799" customFormat="false" ht="15" hidden="false" customHeight="false" outlineLevel="0" collapsed="false">
      <c r="A799" s="19"/>
      <c r="B799" s="19"/>
      <c r="C799" s="20"/>
      <c r="D799" s="19"/>
      <c r="E799" s="26" t="str">
        <f aca="false">IF(A799="","",COUNTIFS(Apparitions!$A$2:$A$5001,A799,Apparitions!$B$2:$B$5001,B799))</f>
        <v/>
      </c>
      <c r="F799" s="27" t="str">
        <f aca="false">IF(A799="","",A799&amp;"|"&amp;B799)</f>
        <v/>
      </c>
    </row>
    <row r="800" customFormat="false" ht="15" hidden="false" customHeight="false" outlineLevel="0" collapsed="false">
      <c r="A800" s="19"/>
      <c r="B800" s="19"/>
      <c r="C800" s="20"/>
      <c r="D800" s="19"/>
      <c r="E800" s="26" t="str">
        <f aca="false">IF(A800="","",COUNTIFS(Apparitions!$A$2:$A$5001,A800,Apparitions!$B$2:$B$5001,B800))</f>
        <v/>
      </c>
      <c r="F800" s="27" t="str">
        <f aca="false">IF(A800="","",A800&amp;"|"&amp;B800)</f>
        <v/>
      </c>
    </row>
    <row r="801" customFormat="false" ht="15" hidden="false" customHeight="false" outlineLevel="0" collapsed="false">
      <c r="A801" s="19"/>
      <c r="B801" s="19"/>
      <c r="C801" s="20"/>
      <c r="D801" s="19"/>
      <c r="E801" s="26" t="str">
        <f aca="false">IF(A801="","",COUNTIFS(Apparitions!$A$2:$A$5001,A801,Apparitions!$B$2:$B$5001,B801))</f>
        <v/>
      </c>
      <c r="F801" s="27" t="str">
        <f aca="false">IF(A801="","",A801&amp;"|"&amp;B801)</f>
        <v/>
      </c>
    </row>
    <row r="802" customFormat="false" ht="15" hidden="false" customHeight="false" outlineLevel="0" collapsed="false">
      <c r="A802" s="19"/>
      <c r="B802" s="19"/>
      <c r="C802" s="20"/>
      <c r="D802" s="19"/>
      <c r="E802" s="26" t="str">
        <f aca="false">IF(A802="","",COUNTIFS(Apparitions!$A$2:$A$5001,A802,Apparitions!$B$2:$B$5001,B802))</f>
        <v/>
      </c>
      <c r="F802" s="27" t="str">
        <f aca="false">IF(A802="","",A802&amp;"|"&amp;B802)</f>
        <v/>
      </c>
    </row>
    <row r="803" customFormat="false" ht="15" hidden="false" customHeight="false" outlineLevel="0" collapsed="false">
      <c r="A803" s="19"/>
      <c r="B803" s="19"/>
      <c r="C803" s="20"/>
      <c r="D803" s="19"/>
      <c r="E803" s="26" t="str">
        <f aca="false">IF(A803="","",COUNTIFS(Apparitions!$A$2:$A$5001,A803,Apparitions!$B$2:$B$5001,B803))</f>
        <v/>
      </c>
      <c r="F803" s="27" t="str">
        <f aca="false">IF(A803="","",A803&amp;"|"&amp;B803)</f>
        <v/>
      </c>
    </row>
    <row r="804" customFormat="false" ht="15" hidden="false" customHeight="false" outlineLevel="0" collapsed="false">
      <c r="A804" s="19"/>
      <c r="B804" s="19"/>
      <c r="C804" s="20"/>
      <c r="D804" s="19"/>
      <c r="E804" s="26" t="str">
        <f aca="false">IF(A804="","",COUNTIFS(Apparitions!$A$2:$A$5001,A804,Apparitions!$B$2:$B$5001,B804))</f>
        <v/>
      </c>
      <c r="F804" s="27" t="str">
        <f aca="false">IF(A804="","",A804&amp;"|"&amp;B804)</f>
        <v/>
      </c>
    </row>
    <row r="805" customFormat="false" ht="15" hidden="false" customHeight="false" outlineLevel="0" collapsed="false">
      <c r="A805" s="19"/>
      <c r="B805" s="19"/>
      <c r="C805" s="20"/>
      <c r="D805" s="19"/>
      <c r="E805" s="26" t="str">
        <f aca="false">IF(A805="","",COUNTIFS(Apparitions!$A$2:$A$5001,A805,Apparitions!$B$2:$B$5001,B805))</f>
        <v/>
      </c>
      <c r="F805" s="27" t="str">
        <f aca="false">IF(A805="","",A805&amp;"|"&amp;B805)</f>
        <v/>
      </c>
    </row>
    <row r="806" customFormat="false" ht="15" hidden="false" customHeight="false" outlineLevel="0" collapsed="false">
      <c r="A806" s="19"/>
      <c r="B806" s="19"/>
      <c r="C806" s="20"/>
      <c r="D806" s="19"/>
      <c r="E806" s="26" t="str">
        <f aca="false">IF(A806="","",COUNTIFS(Apparitions!$A$2:$A$5001,A806,Apparitions!$B$2:$B$5001,B806))</f>
        <v/>
      </c>
      <c r="F806" s="27" t="str">
        <f aca="false">IF(A806="","",A806&amp;"|"&amp;B806)</f>
        <v/>
      </c>
    </row>
    <row r="807" customFormat="false" ht="15" hidden="false" customHeight="false" outlineLevel="0" collapsed="false">
      <c r="A807" s="19"/>
      <c r="B807" s="19"/>
      <c r="C807" s="20"/>
      <c r="D807" s="19"/>
      <c r="E807" s="26" t="str">
        <f aca="false">IF(A807="","",COUNTIFS(Apparitions!$A$2:$A$5001,A807,Apparitions!$B$2:$B$5001,B807))</f>
        <v/>
      </c>
      <c r="F807" s="27" t="str">
        <f aca="false">IF(A807="","",A807&amp;"|"&amp;B807)</f>
        <v/>
      </c>
    </row>
    <row r="808" customFormat="false" ht="15" hidden="false" customHeight="false" outlineLevel="0" collapsed="false">
      <c r="A808" s="19"/>
      <c r="B808" s="19"/>
      <c r="C808" s="20"/>
      <c r="D808" s="19"/>
      <c r="E808" s="26" t="str">
        <f aca="false">IF(A808="","",COUNTIFS(Apparitions!$A$2:$A$5001,A808,Apparitions!$B$2:$B$5001,B808))</f>
        <v/>
      </c>
      <c r="F808" s="27" t="str">
        <f aca="false">IF(A808="","",A808&amp;"|"&amp;B808)</f>
        <v/>
      </c>
    </row>
    <row r="809" customFormat="false" ht="15" hidden="false" customHeight="false" outlineLevel="0" collapsed="false">
      <c r="A809" s="19"/>
      <c r="B809" s="19"/>
      <c r="C809" s="20"/>
      <c r="D809" s="19"/>
      <c r="E809" s="26" t="str">
        <f aca="false">IF(A809="","",COUNTIFS(Apparitions!$A$2:$A$5001,A809,Apparitions!$B$2:$B$5001,B809))</f>
        <v/>
      </c>
      <c r="F809" s="27" t="str">
        <f aca="false">IF(A809="","",A809&amp;"|"&amp;B809)</f>
        <v/>
      </c>
    </row>
    <row r="810" customFormat="false" ht="15" hidden="false" customHeight="false" outlineLevel="0" collapsed="false">
      <c r="A810" s="19"/>
      <c r="B810" s="19"/>
      <c r="C810" s="20"/>
      <c r="D810" s="19"/>
      <c r="E810" s="26" t="str">
        <f aca="false">IF(A810="","",COUNTIFS(Apparitions!$A$2:$A$5001,A810,Apparitions!$B$2:$B$5001,B810))</f>
        <v/>
      </c>
      <c r="F810" s="27" t="str">
        <f aca="false">IF(A810="","",A810&amp;"|"&amp;B810)</f>
        <v/>
      </c>
    </row>
    <row r="811" customFormat="false" ht="15" hidden="false" customHeight="false" outlineLevel="0" collapsed="false">
      <c r="A811" s="19"/>
      <c r="B811" s="19"/>
      <c r="C811" s="20"/>
      <c r="D811" s="19"/>
      <c r="E811" s="26" t="str">
        <f aca="false">IF(A811="","",COUNTIFS(Apparitions!$A$2:$A$5001,A811,Apparitions!$B$2:$B$5001,B811))</f>
        <v/>
      </c>
      <c r="F811" s="27" t="str">
        <f aca="false">IF(A811="","",A811&amp;"|"&amp;B811)</f>
        <v/>
      </c>
    </row>
    <row r="812" customFormat="false" ht="15" hidden="false" customHeight="false" outlineLevel="0" collapsed="false">
      <c r="A812" s="19"/>
      <c r="B812" s="19"/>
      <c r="C812" s="20"/>
      <c r="D812" s="19"/>
      <c r="E812" s="26" t="str">
        <f aca="false">IF(A812="","",COUNTIFS(Apparitions!$A$2:$A$5001,A812,Apparitions!$B$2:$B$5001,B812))</f>
        <v/>
      </c>
      <c r="F812" s="27" t="str">
        <f aca="false">IF(A812="","",A812&amp;"|"&amp;B812)</f>
        <v/>
      </c>
    </row>
    <row r="813" customFormat="false" ht="15" hidden="false" customHeight="false" outlineLevel="0" collapsed="false">
      <c r="A813" s="19"/>
      <c r="B813" s="19"/>
      <c r="C813" s="20"/>
      <c r="D813" s="19"/>
      <c r="E813" s="26" t="str">
        <f aca="false">IF(A813="","",COUNTIFS(Apparitions!$A$2:$A$5001,A813,Apparitions!$B$2:$B$5001,B813))</f>
        <v/>
      </c>
      <c r="F813" s="27" t="str">
        <f aca="false">IF(A813="","",A813&amp;"|"&amp;B813)</f>
        <v/>
      </c>
    </row>
    <row r="814" customFormat="false" ht="15" hidden="false" customHeight="false" outlineLevel="0" collapsed="false">
      <c r="A814" s="19"/>
      <c r="B814" s="19"/>
      <c r="C814" s="20"/>
      <c r="D814" s="19"/>
      <c r="E814" s="26" t="str">
        <f aca="false">IF(A814="","",COUNTIFS(Apparitions!$A$2:$A$5001,A814,Apparitions!$B$2:$B$5001,B814))</f>
        <v/>
      </c>
      <c r="F814" s="27" t="str">
        <f aca="false">IF(A814="","",A814&amp;"|"&amp;B814)</f>
        <v/>
      </c>
    </row>
    <row r="815" customFormat="false" ht="15" hidden="false" customHeight="false" outlineLevel="0" collapsed="false">
      <c r="A815" s="19"/>
      <c r="B815" s="19"/>
      <c r="C815" s="20"/>
      <c r="D815" s="19"/>
      <c r="E815" s="26" t="str">
        <f aca="false">IF(A815="","",COUNTIFS(Apparitions!$A$2:$A$5001,A815,Apparitions!$B$2:$B$5001,B815))</f>
        <v/>
      </c>
      <c r="F815" s="27" t="str">
        <f aca="false">IF(A815="","",A815&amp;"|"&amp;B815)</f>
        <v/>
      </c>
    </row>
    <row r="816" customFormat="false" ht="15" hidden="false" customHeight="false" outlineLevel="0" collapsed="false">
      <c r="A816" s="19"/>
      <c r="B816" s="19"/>
      <c r="C816" s="20"/>
      <c r="D816" s="19"/>
      <c r="E816" s="26" t="str">
        <f aca="false">IF(A816="","",COUNTIFS(Apparitions!$A$2:$A$5001,A816,Apparitions!$B$2:$B$5001,B816))</f>
        <v/>
      </c>
      <c r="F816" s="27" t="str">
        <f aca="false">IF(A816="","",A816&amp;"|"&amp;B816)</f>
        <v/>
      </c>
    </row>
    <row r="817" customFormat="false" ht="15" hidden="false" customHeight="false" outlineLevel="0" collapsed="false">
      <c r="A817" s="19"/>
      <c r="B817" s="19"/>
      <c r="C817" s="20"/>
      <c r="D817" s="19"/>
      <c r="E817" s="26" t="str">
        <f aca="false">IF(A817="","",COUNTIFS(Apparitions!$A$2:$A$5001,A817,Apparitions!$B$2:$B$5001,B817))</f>
        <v/>
      </c>
      <c r="F817" s="27" t="str">
        <f aca="false">IF(A817="","",A817&amp;"|"&amp;B817)</f>
        <v/>
      </c>
    </row>
    <row r="818" customFormat="false" ht="15" hidden="false" customHeight="false" outlineLevel="0" collapsed="false">
      <c r="A818" s="19"/>
      <c r="B818" s="19"/>
      <c r="C818" s="20"/>
      <c r="D818" s="19"/>
      <c r="E818" s="26" t="str">
        <f aca="false">IF(A818="","",COUNTIFS(Apparitions!$A$2:$A$5001,A818,Apparitions!$B$2:$B$5001,B818))</f>
        <v/>
      </c>
      <c r="F818" s="27" t="str">
        <f aca="false">IF(A818="","",A818&amp;"|"&amp;B818)</f>
        <v/>
      </c>
    </row>
    <row r="819" customFormat="false" ht="15" hidden="false" customHeight="false" outlineLevel="0" collapsed="false">
      <c r="A819" s="19"/>
      <c r="B819" s="19"/>
      <c r="C819" s="20"/>
      <c r="D819" s="19"/>
      <c r="E819" s="26" t="str">
        <f aca="false">IF(A819="","",COUNTIFS(Apparitions!$A$2:$A$5001,A819,Apparitions!$B$2:$B$5001,B819))</f>
        <v/>
      </c>
      <c r="F819" s="27" t="str">
        <f aca="false">IF(A819="","",A819&amp;"|"&amp;B819)</f>
        <v/>
      </c>
    </row>
    <row r="820" customFormat="false" ht="15" hidden="false" customHeight="false" outlineLevel="0" collapsed="false">
      <c r="A820" s="19"/>
      <c r="B820" s="19"/>
      <c r="C820" s="20"/>
      <c r="D820" s="19"/>
      <c r="E820" s="26" t="str">
        <f aca="false">IF(A820="","",COUNTIFS(Apparitions!$A$2:$A$5001,A820,Apparitions!$B$2:$B$5001,B820))</f>
        <v/>
      </c>
      <c r="F820" s="27" t="str">
        <f aca="false">IF(A820="","",A820&amp;"|"&amp;B820)</f>
        <v/>
      </c>
    </row>
    <row r="821" customFormat="false" ht="15" hidden="false" customHeight="false" outlineLevel="0" collapsed="false">
      <c r="A821" s="19"/>
      <c r="B821" s="19"/>
      <c r="C821" s="20"/>
      <c r="D821" s="19"/>
      <c r="E821" s="26" t="str">
        <f aca="false">IF(A821="","",COUNTIFS(Apparitions!$A$2:$A$5001,A821,Apparitions!$B$2:$B$5001,B821))</f>
        <v/>
      </c>
      <c r="F821" s="27" t="str">
        <f aca="false">IF(A821="","",A821&amp;"|"&amp;B821)</f>
        <v/>
      </c>
    </row>
    <row r="822" customFormat="false" ht="15" hidden="false" customHeight="false" outlineLevel="0" collapsed="false">
      <c r="A822" s="19"/>
      <c r="B822" s="19"/>
      <c r="C822" s="20"/>
      <c r="D822" s="19"/>
      <c r="E822" s="26" t="str">
        <f aca="false">IF(A822="","",COUNTIFS(Apparitions!$A$2:$A$5001,A822,Apparitions!$B$2:$B$5001,B822))</f>
        <v/>
      </c>
      <c r="F822" s="27" t="str">
        <f aca="false">IF(A822="","",A822&amp;"|"&amp;B822)</f>
        <v/>
      </c>
    </row>
    <row r="823" customFormat="false" ht="15" hidden="false" customHeight="false" outlineLevel="0" collapsed="false">
      <c r="A823" s="19"/>
      <c r="B823" s="19"/>
      <c r="C823" s="20"/>
      <c r="D823" s="19"/>
      <c r="E823" s="26" t="str">
        <f aca="false">IF(A823="","",COUNTIFS(Apparitions!$A$2:$A$5001,A823,Apparitions!$B$2:$B$5001,B823))</f>
        <v/>
      </c>
      <c r="F823" s="27" t="str">
        <f aca="false">IF(A823="","",A823&amp;"|"&amp;B823)</f>
        <v/>
      </c>
    </row>
    <row r="824" customFormat="false" ht="15" hidden="false" customHeight="false" outlineLevel="0" collapsed="false">
      <c r="A824" s="19"/>
      <c r="B824" s="19"/>
      <c r="C824" s="20"/>
      <c r="D824" s="19"/>
      <c r="E824" s="26" t="str">
        <f aca="false">IF(A824="","",COUNTIFS(Apparitions!$A$2:$A$5001,A824,Apparitions!$B$2:$B$5001,B824))</f>
        <v/>
      </c>
      <c r="F824" s="27" t="str">
        <f aca="false">IF(A824="","",A824&amp;"|"&amp;B824)</f>
        <v/>
      </c>
    </row>
    <row r="825" customFormat="false" ht="15" hidden="false" customHeight="false" outlineLevel="0" collapsed="false">
      <c r="A825" s="19"/>
      <c r="B825" s="19"/>
      <c r="C825" s="20"/>
      <c r="D825" s="19"/>
      <c r="E825" s="26" t="str">
        <f aca="false">IF(A825="","",COUNTIFS(Apparitions!$A$2:$A$5001,A825,Apparitions!$B$2:$B$5001,B825))</f>
        <v/>
      </c>
      <c r="F825" s="27" t="str">
        <f aca="false">IF(A825="","",A825&amp;"|"&amp;B825)</f>
        <v/>
      </c>
    </row>
    <row r="826" customFormat="false" ht="15" hidden="false" customHeight="false" outlineLevel="0" collapsed="false">
      <c r="A826" s="19"/>
      <c r="B826" s="19"/>
      <c r="C826" s="20"/>
      <c r="D826" s="19"/>
      <c r="E826" s="26" t="str">
        <f aca="false">IF(A826="","",COUNTIFS(Apparitions!$A$2:$A$5001,A826,Apparitions!$B$2:$B$5001,B826))</f>
        <v/>
      </c>
      <c r="F826" s="27" t="str">
        <f aca="false">IF(A826="","",A826&amp;"|"&amp;B826)</f>
        <v/>
      </c>
    </row>
    <row r="827" customFormat="false" ht="15" hidden="false" customHeight="false" outlineLevel="0" collapsed="false">
      <c r="A827" s="19"/>
      <c r="B827" s="19"/>
      <c r="C827" s="20"/>
      <c r="D827" s="19"/>
      <c r="E827" s="26" t="str">
        <f aca="false">IF(A827="","",COUNTIFS(Apparitions!$A$2:$A$5001,A827,Apparitions!$B$2:$B$5001,B827))</f>
        <v/>
      </c>
      <c r="F827" s="27" t="str">
        <f aca="false">IF(A827="","",A827&amp;"|"&amp;B827)</f>
        <v/>
      </c>
    </row>
    <row r="828" customFormat="false" ht="15" hidden="false" customHeight="false" outlineLevel="0" collapsed="false">
      <c r="A828" s="19"/>
      <c r="B828" s="19"/>
      <c r="C828" s="20"/>
      <c r="D828" s="19"/>
      <c r="E828" s="26" t="str">
        <f aca="false">IF(A828="","",COUNTIFS(Apparitions!$A$2:$A$5001,A828,Apparitions!$B$2:$B$5001,B828))</f>
        <v/>
      </c>
      <c r="F828" s="27" t="str">
        <f aca="false">IF(A828="","",A828&amp;"|"&amp;B828)</f>
        <v/>
      </c>
    </row>
    <row r="829" customFormat="false" ht="15" hidden="false" customHeight="false" outlineLevel="0" collapsed="false">
      <c r="A829" s="19"/>
      <c r="B829" s="19"/>
      <c r="C829" s="20"/>
      <c r="D829" s="19"/>
      <c r="E829" s="26" t="str">
        <f aca="false">IF(A829="","",COUNTIFS(Apparitions!$A$2:$A$5001,A829,Apparitions!$B$2:$B$5001,B829))</f>
        <v/>
      </c>
      <c r="F829" s="27" t="str">
        <f aca="false">IF(A829="","",A829&amp;"|"&amp;B829)</f>
        <v/>
      </c>
    </row>
    <row r="830" customFormat="false" ht="15" hidden="false" customHeight="false" outlineLevel="0" collapsed="false">
      <c r="A830" s="19"/>
      <c r="B830" s="19"/>
      <c r="C830" s="20"/>
      <c r="D830" s="19"/>
      <c r="E830" s="26" t="str">
        <f aca="false">IF(A830="","",COUNTIFS(Apparitions!$A$2:$A$5001,A830,Apparitions!$B$2:$B$5001,B830))</f>
        <v/>
      </c>
      <c r="F830" s="27" t="str">
        <f aca="false">IF(A830="","",A830&amp;"|"&amp;B830)</f>
        <v/>
      </c>
    </row>
    <row r="831" customFormat="false" ht="15" hidden="false" customHeight="false" outlineLevel="0" collapsed="false">
      <c r="A831" s="19"/>
      <c r="B831" s="19"/>
      <c r="C831" s="20"/>
      <c r="D831" s="19"/>
      <c r="E831" s="26" t="str">
        <f aca="false">IF(A831="","",COUNTIFS(Apparitions!$A$2:$A$5001,A831,Apparitions!$B$2:$B$5001,B831))</f>
        <v/>
      </c>
      <c r="F831" s="27" t="str">
        <f aca="false">IF(A831="","",A831&amp;"|"&amp;B831)</f>
        <v/>
      </c>
    </row>
    <row r="832" customFormat="false" ht="15" hidden="false" customHeight="false" outlineLevel="0" collapsed="false">
      <c r="A832" s="19"/>
      <c r="B832" s="19"/>
      <c r="C832" s="20"/>
      <c r="D832" s="19"/>
      <c r="E832" s="26" t="str">
        <f aca="false">IF(A832="","",COUNTIFS(Apparitions!$A$2:$A$5001,A832,Apparitions!$B$2:$B$5001,B832))</f>
        <v/>
      </c>
      <c r="F832" s="27" t="str">
        <f aca="false">IF(A832="","",A832&amp;"|"&amp;B832)</f>
        <v/>
      </c>
    </row>
    <row r="833" customFormat="false" ht="15" hidden="false" customHeight="false" outlineLevel="0" collapsed="false">
      <c r="A833" s="19"/>
      <c r="B833" s="19"/>
      <c r="C833" s="20"/>
      <c r="D833" s="19"/>
      <c r="E833" s="26" t="str">
        <f aca="false">IF(A833="","",COUNTIFS(Apparitions!$A$2:$A$5001,A833,Apparitions!$B$2:$B$5001,B833))</f>
        <v/>
      </c>
      <c r="F833" s="27" t="str">
        <f aca="false">IF(A833="","",A833&amp;"|"&amp;B833)</f>
        <v/>
      </c>
    </row>
    <row r="834" customFormat="false" ht="15" hidden="false" customHeight="false" outlineLevel="0" collapsed="false">
      <c r="A834" s="19"/>
      <c r="B834" s="19"/>
      <c r="C834" s="20"/>
      <c r="D834" s="19"/>
      <c r="E834" s="26" t="str">
        <f aca="false">IF(A834="","",COUNTIFS(Apparitions!$A$2:$A$5001,A834,Apparitions!$B$2:$B$5001,B834))</f>
        <v/>
      </c>
      <c r="F834" s="27" t="str">
        <f aca="false">IF(A834="","",A834&amp;"|"&amp;B834)</f>
        <v/>
      </c>
    </row>
    <row r="835" customFormat="false" ht="15" hidden="false" customHeight="false" outlineLevel="0" collapsed="false">
      <c r="A835" s="19"/>
      <c r="B835" s="19"/>
      <c r="C835" s="20"/>
      <c r="D835" s="19"/>
      <c r="E835" s="26" t="str">
        <f aca="false">IF(A835="","",COUNTIFS(Apparitions!$A$2:$A$5001,A835,Apparitions!$B$2:$B$5001,B835))</f>
        <v/>
      </c>
      <c r="F835" s="27" t="str">
        <f aca="false">IF(A835="","",A835&amp;"|"&amp;B835)</f>
        <v/>
      </c>
    </row>
    <row r="836" customFormat="false" ht="15" hidden="false" customHeight="false" outlineLevel="0" collapsed="false">
      <c r="A836" s="19"/>
      <c r="B836" s="19"/>
      <c r="C836" s="20"/>
      <c r="D836" s="19"/>
      <c r="E836" s="26" t="str">
        <f aca="false">IF(A836="","",COUNTIFS(Apparitions!$A$2:$A$5001,A836,Apparitions!$B$2:$B$5001,B836))</f>
        <v/>
      </c>
      <c r="F836" s="27" t="str">
        <f aca="false">IF(A836="","",A836&amp;"|"&amp;B836)</f>
        <v/>
      </c>
    </row>
    <row r="837" customFormat="false" ht="15" hidden="false" customHeight="false" outlineLevel="0" collapsed="false">
      <c r="A837" s="19"/>
      <c r="B837" s="19"/>
      <c r="C837" s="20"/>
      <c r="D837" s="19"/>
      <c r="E837" s="26" t="str">
        <f aca="false">IF(A837="","",COUNTIFS(Apparitions!$A$2:$A$5001,A837,Apparitions!$B$2:$B$5001,B837))</f>
        <v/>
      </c>
      <c r="F837" s="27" t="str">
        <f aca="false">IF(A837="","",A837&amp;"|"&amp;B837)</f>
        <v/>
      </c>
    </row>
    <row r="838" customFormat="false" ht="15" hidden="false" customHeight="false" outlineLevel="0" collapsed="false">
      <c r="A838" s="19"/>
      <c r="B838" s="19"/>
      <c r="C838" s="20"/>
      <c r="D838" s="19"/>
      <c r="E838" s="26" t="str">
        <f aca="false">IF(A838="","",COUNTIFS(Apparitions!$A$2:$A$5001,A838,Apparitions!$B$2:$B$5001,B838))</f>
        <v/>
      </c>
      <c r="F838" s="27" t="str">
        <f aca="false">IF(A838="","",A838&amp;"|"&amp;B838)</f>
        <v/>
      </c>
    </row>
    <row r="839" customFormat="false" ht="15" hidden="false" customHeight="false" outlineLevel="0" collapsed="false">
      <c r="A839" s="19"/>
      <c r="B839" s="19"/>
      <c r="C839" s="20"/>
      <c r="D839" s="19"/>
      <c r="E839" s="26" t="str">
        <f aca="false">IF(A839="","",COUNTIFS(Apparitions!$A$2:$A$5001,A839,Apparitions!$B$2:$B$5001,B839))</f>
        <v/>
      </c>
      <c r="F839" s="27" t="str">
        <f aca="false">IF(A839="","",A839&amp;"|"&amp;B839)</f>
        <v/>
      </c>
    </row>
    <row r="840" customFormat="false" ht="15" hidden="false" customHeight="false" outlineLevel="0" collapsed="false">
      <c r="A840" s="19"/>
      <c r="B840" s="19"/>
      <c r="C840" s="20"/>
      <c r="D840" s="19"/>
      <c r="E840" s="26" t="str">
        <f aca="false">IF(A840="","",COUNTIFS(Apparitions!$A$2:$A$5001,A840,Apparitions!$B$2:$B$5001,B840))</f>
        <v/>
      </c>
      <c r="F840" s="27" t="str">
        <f aca="false">IF(A840="","",A840&amp;"|"&amp;B840)</f>
        <v/>
      </c>
    </row>
    <row r="841" customFormat="false" ht="15" hidden="false" customHeight="false" outlineLevel="0" collapsed="false">
      <c r="A841" s="19"/>
      <c r="B841" s="19"/>
      <c r="C841" s="20"/>
      <c r="D841" s="19"/>
      <c r="E841" s="26" t="str">
        <f aca="false">IF(A841="","",COUNTIFS(Apparitions!$A$2:$A$5001,A841,Apparitions!$B$2:$B$5001,B841))</f>
        <v/>
      </c>
      <c r="F841" s="27" t="str">
        <f aca="false">IF(A841="","",A841&amp;"|"&amp;B841)</f>
        <v/>
      </c>
    </row>
    <row r="842" customFormat="false" ht="15" hidden="false" customHeight="false" outlineLevel="0" collapsed="false">
      <c r="A842" s="19"/>
      <c r="B842" s="19"/>
      <c r="C842" s="20"/>
      <c r="D842" s="19"/>
      <c r="E842" s="26" t="str">
        <f aca="false">IF(A842="","",COUNTIFS(Apparitions!$A$2:$A$5001,A842,Apparitions!$B$2:$B$5001,B842))</f>
        <v/>
      </c>
      <c r="F842" s="27" t="str">
        <f aca="false">IF(A842="","",A842&amp;"|"&amp;B842)</f>
        <v/>
      </c>
    </row>
    <row r="843" customFormat="false" ht="15" hidden="false" customHeight="false" outlineLevel="0" collapsed="false">
      <c r="A843" s="19"/>
      <c r="B843" s="19"/>
      <c r="C843" s="20"/>
      <c r="D843" s="19"/>
      <c r="E843" s="26" t="str">
        <f aca="false">IF(A843="","",COUNTIFS(Apparitions!$A$2:$A$5001,A843,Apparitions!$B$2:$B$5001,B843))</f>
        <v/>
      </c>
      <c r="F843" s="27" t="str">
        <f aca="false">IF(A843="","",A843&amp;"|"&amp;B843)</f>
        <v/>
      </c>
    </row>
    <row r="844" customFormat="false" ht="15" hidden="false" customHeight="false" outlineLevel="0" collapsed="false">
      <c r="A844" s="19"/>
      <c r="B844" s="19"/>
      <c r="C844" s="20"/>
      <c r="D844" s="19"/>
      <c r="E844" s="26" t="str">
        <f aca="false">IF(A844="","",COUNTIFS(Apparitions!$A$2:$A$5001,A844,Apparitions!$B$2:$B$5001,B844))</f>
        <v/>
      </c>
      <c r="F844" s="27" t="str">
        <f aca="false">IF(A844="","",A844&amp;"|"&amp;B844)</f>
        <v/>
      </c>
    </row>
    <row r="845" customFormat="false" ht="15" hidden="false" customHeight="false" outlineLevel="0" collapsed="false">
      <c r="A845" s="19"/>
      <c r="B845" s="19"/>
      <c r="C845" s="20"/>
      <c r="D845" s="19"/>
      <c r="E845" s="26" t="str">
        <f aca="false">IF(A845="","",COUNTIFS(Apparitions!$A$2:$A$5001,A845,Apparitions!$B$2:$B$5001,B845))</f>
        <v/>
      </c>
      <c r="F845" s="27" t="str">
        <f aca="false">IF(A845="","",A845&amp;"|"&amp;B845)</f>
        <v/>
      </c>
    </row>
    <row r="846" customFormat="false" ht="15" hidden="false" customHeight="false" outlineLevel="0" collapsed="false">
      <c r="A846" s="19"/>
      <c r="B846" s="19"/>
      <c r="C846" s="20"/>
      <c r="D846" s="19"/>
      <c r="E846" s="26" t="str">
        <f aca="false">IF(A846="","",COUNTIFS(Apparitions!$A$2:$A$5001,A846,Apparitions!$B$2:$B$5001,B846))</f>
        <v/>
      </c>
      <c r="F846" s="27" t="str">
        <f aca="false">IF(A846="","",A846&amp;"|"&amp;B846)</f>
        <v/>
      </c>
    </row>
    <row r="847" customFormat="false" ht="15" hidden="false" customHeight="false" outlineLevel="0" collapsed="false">
      <c r="A847" s="19"/>
      <c r="B847" s="19"/>
      <c r="C847" s="20"/>
      <c r="D847" s="19"/>
      <c r="E847" s="26" t="str">
        <f aca="false">IF(A847="","",COUNTIFS(Apparitions!$A$2:$A$5001,A847,Apparitions!$B$2:$B$5001,B847))</f>
        <v/>
      </c>
      <c r="F847" s="27" t="str">
        <f aca="false">IF(A847="","",A847&amp;"|"&amp;B847)</f>
        <v/>
      </c>
    </row>
    <row r="848" customFormat="false" ht="15" hidden="false" customHeight="false" outlineLevel="0" collapsed="false">
      <c r="A848" s="19"/>
      <c r="B848" s="19"/>
      <c r="C848" s="20"/>
      <c r="D848" s="19"/>
      <c r="E848" s="26" t="str">
        <f aca="false">IF(A848="","",COUNTIFS(Apparitions!$A$2:$A$5001,A848,Apparitions!$B$2:$B$5001,B848))</f>
        <v/>
      </c>
      <c r="F848" s="27" t="str">
        <f aca="false">IF(A848="","",A848&amp;"|"&amp;B848)</f>
        <v/>
      </c>
    </row>
    <row r="849" customFormat="false" ht="15" hidden="false" customHeight="false" outlineLevel="0" collapsed="false">
      <c r="A849" s="19"/>
      <c r="B849" s="19"/>
      <c r="C849" s="20"/>
      <c r="D849" s="19"/>
      <c r="E849" s="26" t="str">
        <f aca="false">IF(A849="","",COUNTIFS(Apparitions!$A$2:$A$5001,A849,Apparitions!$B$2:$B$5001,B849))</f>
        <v/>
      </c>
      <c r="F849" s="27" t="str">
        <f aca="false">IF(A849="","",A849&amp;"|"&amp;B849)</f>
        <v/>
      </c>
    </row>
    <row r="850" customFormat="false" ht="15" hidden="false" customHeight="false" outlineLevel="0" collapsed="false">
      <c r="A850" s="19"/>
      <c r="B850" s="19"/>
      <c r="C850" s="20"/>
      <c r="D850" s="19"/>
      <c r="E850" s="26" t="str">
        <f aca="false">IF(A850="","",COUNTIFS(Apparitions!$A$2:$A$5001,A850,Apparitions!$B$2:$B$5001,B850))</f>
        <v/>
      </c>
      <c r="F850" s="27" t="str">
        <f aca="false">IF(A850="","",A850&amp;"|"&amp;B850)</f>
        <v/>
      </c>
    </row>
    <row r="851" customFormat="false" ht="15" hidden="false" customHeight="false" outlineLevel="0" collapsed="false">
      <c r="A851" s="19"/>
      <c r="B851" s="19"/>
      <c r="C851" s="20"/>
      <c r="D851" s="19"/>
      <c r="E851" s="26" t="str">
        <f aca="false">IF(A851="","",COUNTIFS(Apparitions!$A$2:$A$5001,A851,Apparitions!$B$2:$B$5001,B851))</f>
        <v/>
      </c>
      <c r="F851" s="27" t="str">
        <f aca="false">IF(A851="","",A851&amp;"|"&amp;B851)</f>
        <v/>
      </c>
    </row>
    <row r="852" customFormat="false" ht="15" hidden="false" customHeight="false" outlineLevel="0" collapsed="false">
      <c r="A852" s="19"/>
      <c r="B852" s="19"/>
      <c r="C852" s="20"/>
      <c r="D852" s="19"/>
      <c r="E852" s="26" t="str">
        <f aca="false">IF(A852="","",COUNTIFS(Apparitions!$A$2:$A$5001,A852,Apparitions!$B$2:$B$5001,B852))</f>
        <v/>
      </c>
      <c r="F852" s="27" t="str">
        <f aca="false">IF(A852="","",A852&amp;"|"&amp;B852)</f>
        <v/>
      </c>
    </row>
    <row r="853" customFormat="false" ht="15" hidden="false" customHeight="false" outlineLevel="0" collapsed="false">
      <c r="A853" s="19"/>
      <c r="B853" s="19"/>
      <c r="C853" s="20"/>
      <c r="D853" s="19"/>
      <c r="E853" s="26" t="str">
        <f aca="false">IF(A853="","",COUNTIFS(Apparitions!$A$2:$A$5001,A853,Apparitions!$B$2:$B$5001,B853))</f>
        <v/>
      </c>
      <c r="F853" s="27" t="str">
        <f aca="false">IF(A853="","",A853&amp;"|"&amp;B853)</f>
        <v/>
      </c>
    </row>
    <row r="854" customFormat="false" ht="15" hidden="false" customHeight="false" outlineLevel="0" collapsed="false">
      <c r="A854" s="19"/>
      <c r="B854" s="19"/>
      <c r="C854" s="20"/>
      <c r="D854" s="19"/>
      <c r="E854" s="26" t="str">
        <f aca="false">IF(A854="","",COUNTIFS(Apparitions!$A$2:$A$5001,A854,Apparitions!$B$2:$B$5001,B854))</f>
        <v/>
      </c>
      <c r="F854" s="27" t="str">
        <f aca="false">IF(A854="","",A854&amp;"|"&amp;B854)</f>
        <v/>
      </c>
    </row>
    <row r="855" customFormat="false" ht="15" hidden="false" customHeight="false" outlineLevel="0" collapsed="false">
      <c r="A855" s="19"/>
      <c r="B855" s="19"/>
      <c r="C855" s="20"/>
      <c r="D855" s="19"/>
      <c r="E855" s="26" t="str">
        <f aca="false">IF(A855="","",COUNTIFS(Apparitions!$A$2:$A$5001,A855,Apparitions!$B$2:$B$5001,B855))</f>
        <v/>
      </c>
      <c r="F855" s="27" t="str">
        <f aca="false">IF(A855="","",A855&amp;"|"&amp;B855)</f>
        <v/>
      </c>
    </row>
    <row r="856" customFormat="false" ht="15" hidden="false" customHeight="false" outlineLevel="0" collapsed="false">
      <c r="A856" s="19"/>
      <c r="B856" s="19"/>
      <c r="C856" s="20"/>
      <c r="D856" s="19"/>
      <c r="E856" s="26" t="str">
        <f aca="false">IF(A856="","",COUNTIFS(Apparitions!$A$2:$A$5001,A856,Apparitions!$B$2:$B$5001,B856))</f>
        <v/>
      </c>
      <c r="F856" s="27" t="str">
        <f aca="false">IF(A856="","",A856&amp;"|"&amp;B856)</f>
        <v/>
      </c>
    </row>
    <row r="857" customFormat="false" ht="15" hidden="false" customHeight="false" outlineLevel="0" collapsed="false">
      <c r="A857" s="19"/>
      <c r="B857" s="19"/>
      <c r="C857" s="20"/>
      <c r="D857" s="19"/>
      <c r="E857" s="26" t="str">
        <f aca="false">IF(A857="","",COUNTIFS(Apparitions!$A$2:$A$5001,A857,Apparitions!$B$2:$B$5001,B857))</f>
        <v/>
      </c>
      <c r="F857" s="27" t="str">
        <f aca="false">IF(A857="","",A857&amp;"|"&amp;B857)</f>
        <v/>
      </c>
    </row>
    <row r="858" customFormat="false" ht="15" hidden="false" customHeight="false" outlineLevel="0" collapsed="false">
      <c r="A858" s="19"/>
      <c r="B858" s="19"/>
      <c r="C858" s="20"/>
      <c r="D858" s="19"/>
      <c r="E858" s="26" t="str">
        <f aca="false">IF(A858="","",COUNTIFS(Apparitions!$A$2:$A$5001,A858,Apparitions!$B$2:$B$5001,B858))</f>
        <v/>
      </c>
      <c r="F858" s="27" t="str">
        <f aca="false">IF(A858="","",A858&amp;"|"&amp;B858)</f>
        <v/>
      </c>
    </row>
    <row r="859" customFormat="false" ht="15" hidden="false" customHeight="false" outlineLevel="0" collapsed="false">
      <c r="A859" s="19"/>
      <c r="B859" s="19"/>
      <c r="C859" s="20"/>
      <c r="D859" s="19"/>
      <c r="E859" s="26" t="str">
        <f aca="false">IF(A859="","",COUNTIFS(Apparitions!$A$2:$A$5001,A859,Apparitions!$B$2:$B$5001,B859))</f>
        <v/>
      </c>
      <c r="F859" s="27" t="str">
        <f aca="false">IF(A859="","",A859&amp;"|"&amp;B859)</f>
        <v/>
      </c>
    </row>
    <row r="860" customFormat="false" ht="15" hidden="false" customHeight="false" outlineLevel="0" collapsed="false">
      <c r="A860" s="19"/>
      <c r="B860" s="19"/>
      <c r="C860" s="20"/>
      <c r="D860" s="19"/>
      <c r="E860" s="26" t="str">
        <f aca="false">IF(A860="","",COUNTIFS(Apparitions!$A$2:$A$5001,A860,Apparitions!$B$2:$B$5001,B860))</f>
        <v/>
      </c>
      <c r="F860" s="27" t="str">
        <f aca="false">IF(A860="","",A860&amp;"|"&amp;B860)</f>
        <v/>
      </c>
    </row>
    <row r="861" customFormat="false" ht="15" hidden="false" customHeight="false" outlineLevel="0" collapsed="false">
      <c r="A861" s="19"/>
      <c r="B861" s="19"/>
      <c r="C861" s="20"/>
      <c r="D861" s="19"/>
      <c r="E861" s="26" t="str">
        <f aca="false">IF(A861="","",COUNTIFS(Apparitions!$A$2:$A$5001,A861,Apparitions!$B$2:$B$5001,B861))</f>
        <v/>
      </c>
      <c r="F861" s="27" t="str">
        <f aca="false">IF(A861="","",A861&amp;"|"&amp;B861)</f>
        <v/>
      </c>
    </row>
    <row r="862" customFormat="false" ht="15" hidden="false" customHeight="false" outlineLevel="0" collapsed="false">
      <c r="A862" s="19"/>
      <c r="B862" s="19"/>
      <c r="C862" s="20"/>
      <c r="D862" s="19"/>
      <c r="E862" s="26" t="str">
        <f aca="false">IF(A862="","",COUNTIFS(Apparitions!$A$2:$A$5001,A862,Apparitions!$B$2:$B$5001,B862))</f>
        <v/>
      </c>
      <c r="F862" s="27" t="str">
        <f aca="false">IF(A862="","",A862&amp;"|"&amp;B862)</f>
        <v/>
      </c>
    </row>
    <row r="863" customFormat="false" ht="15" hidden="false" customHeight="false" outlineLevel="0" collapsed="false">
      <c r="A863" s="19"/>
      <c r="B863" s="19"/>
      <c r="C863" s="20"/>
      <c r="D863" s="19"/>
      <c r="E863" s="26" t="str">
        <f aca="false">IF(A863="","",COUNTIFS(Apparitions!$A$2:$A$5001,A863,Apparitions!$B$2:$B$5001,B863))</f>
        <v/>
      </c>
      <c r="F863" s="27" t="str">
        <f aca="false">IF(A863="","",A863&amp;"|"&amp;B863)</f>
        <v/>
      </c>
    </row>
    <row r="864" customFormat="false" ht="15" hidden="false" customHeight="false" outlineLevel="0" collapsed="false">
      <c r="A864" s="19"/>
      <c r="B864" s="19"/>
      <c r="C864" s="20"/>
      <c r="D864" s="19"/>
      <c r="E864" s="26" t="str">
        <f aca="false">IF(A864="","",COUNTIFS(Apparitions!$A$2:$A$5001,A864,Apparitions!$B$2:$B$5001,B864))</f>
        <v/>
      </c>
      <c r="F864" s="27" t="str">
        <f aca="false">IF(A864="","",A864&amp;"|"&amp;B864)</f>
        <v/>
      </c>
    </row>
    <row r="865" customFormat="false" ht="15" hidden="false" customHeight="false" outlineLevel="0" collapsed="false">
      <c r="A865" s="19"/>
      <c r="B865" s="19"/>
      <c r="C865" s="20"/>
      <c r="D865" s="19"/>
      <c r="E865" s="26" t="str">
        <f aca="false">IF(A865="","",COUNTIFS(Apparitions!$A$2:$A$5001,A865,Apparitions!$B$2:$B$5001,B865))</f>
        <v/>
      </c>
      <c r="F865" s="27" t="str">
        <f aca="false">IF(A865="","",A865&amp;"|"&amp;B865)</f>
        <v/>
      </c>
    </row>
    <row r="866" customFormat="false" ht="15" hidden="false" customHeight="false" outlineLevel="0" collapsed="false">
      <c r="A866" s="19"/>
      <c r="B866" s="19"/>
      <c r="C866" s="20"/>
      <c r="D866" s="19"/>
      <c r="E866" s="26" t="str">
        <f aca="false">IF(A866="","",COUNTIFS(Apparitions!$A$2:$A$5001,A866,Apparitions!$B$2:$B$5001,B866))</f>
        <v/>
      </c>
      <c r="F866" s="27" t="str">
        <f aca="false">IF(A866="","",A866&amp;"|"&amp;B866)</f>
        <v/>
      </c>
    </row>
    <row r="867" customFormat="false" ht="15" hidden="false" customHeight="false" outlineLevel="0" collapsed="false">
      <c r="A867" s="19"/>
      <c r="B867" s="19"/>
      <c r="C867" s="20"/>
      <c r="D867" s="19"/>
      <c r="E867" s="26" t="str">
        <f aca="false">IF(A867="","",COUNTIFS(Apparitions!$A$2:$A$5001,A867,Apparitions!$B$2:$B$5001,B867))</f>
        <v/>
      </c>
      <c r="F867" s="27" t="str">
        <f aca="false">IF(A867="","",A867&amp;"|"&amp;B867)</f>
        <v/>
      </c>
    </row>
    <row r="868" customFormat="false" ht="15" hidden="false" customHeight="false" outlineLevel="0" collapsed="false">
      <c r="A868" s="19"/>
      <c r="B868" s="19"/>
      <c r="C868" s="20"/>
      <c r="D868" s="19"/>
      <c r="E868" s="26" t="str">
        <f aca="false">IF(A868="","",COUNTIFS(Apparitions!$A$2:$A$5001,A868,Apparitions!$B$2:$B$5001,B868))</f>
        <v/>
      </c>
      <c r="F868" s="27" t="str">
        <f aca="false">IF(A868="","",A868&amp;"|"&amp;B868)</f>
        <v/>
      </c>
    </row>
    <row r="869" customFormat="false" ht="15" hidden="false" customHeight="false" outlineLevel="0" collapsed="false">
      <c r="A869" s="19"/>
      <c r="B869" s="19"/>
      <c r="C869" s="20"/>
      <c r="D869" s="19"/>
      <c r="E869" s="26" t="str">
        <f aca="false">IF(A869="","",COUNTIFS(Apparitions!$A$2:$A$5001,A869,Apparitions!$B$2:$B$5001,B869))</f>
        <v/>
      </c>
      <c r="F869" s="27" t="str">
        <f aca="false">IF(A869="","",A869&amp;"|"&amp;B869)</f>
        <v/>
      </c>
    </row>
    <row r="870" customFormat="false" ht="15" hidden="false" customHeight="false" outlineLevel="0" collapsed="false">
      <c r="A870" s="19"/>
      <c r="B870" s="19"/>
      <c r="C870" s="20"/>
      <c r="D870" s="19"/>
      <c r="E870" s="26" t="str">
        <f aca="false">IF(A870="","",COUNTIFS(Apparitions!$A$2:$A$5001,A870,Apparitions!$B$2:$B$5001,B870))</f>
        <v/>
      </c>
      <c r="F870" s="27" t="str">
        <f aca="false">IF(A870="","",A870&amp;"|"&amp;B870)</f>
        <v/>
      </c>
    </row>
    <row r="871" customFormat="false" ht="15" hidden="false" customHeight="false" outlineLevel="0" collapsed="false">
      <c r="A871" s="19"/>
      <c r="B871" s="19"/>
      <c r="C871" s="20"/>
      <c r="D871" s="19"/>
      <c r="E871" s="26" t="str">
        <f aca="false">IF(A871="","",COUNTIFS(Apparitions!$A$2:$A$5001,A871,Apparitions!$B$2:$B$5001,B871))</f>
        <v/>
      </c>
      <c r="F871" s="27" t="str">
        <f aca="false">IF(A871="","",A871&amp;"|"&amp;B871)</f>
        <v/>
      </c>
    </row>
    <row r="872" customFormat="false" ht="15" hidden="false" customHeight="false" outlineLevel="0" collapsed="false">
      <c r="A872" s="19"/>
      <c r="B872" s="19"/>
      <c r="C872" s="20"/>
      <c r="D872" s="19"/>
      <c r="E872" s="26" t="str">
        <f aca="false">IF(A872="","",COUNTIFS(Apparitions!$A$2:$A$5001,A872,Apparitions!$B$2:$B$5001,B872))</f>
        <v/>
      </c>
      <c r="F872" s="27" t="str">
        <f aca="false">IF(A872="","",A872&amp;"|"&amp;B872)</f>
        <v/>
      </c>
    </row>
    <row r="873" customFormat="false" ht="15" hidden="false" customHeight="false" outlineLevel="0" collapsed="false">
      <c r="A873" s="19"/>
      <c r="B873" s="19"/>
      <c r="C873" s="20"/>
      <c r="D873" s="19"/>
      <c r="E873" s="26" t="str">
        <f aca="false">IF(A873="","",COUNTIFS(Apparitions!$A$2:$A$5001,A873,Apparitions!$B$2:$B$5001,B873))</f>
        <v/>
      </c>
      <c r="F873" s="27" t="str">
        <f aca="false">IF(A873="","",A873&amp;"|"&amp;B873)</f>
        <v/>
      </c>
    </row>
    <row r="874" customFormat="false" ht="15" hidden="false" customHeight="false" outlineLevel="0" collapsed="false">
      <c r="A874" s="19"/>
      <c r="B874" s="19"/>
      <c r="C874" s="20"/>
      <c r="D874" s="19"/>
      <c r="E874" s="26" t="str">
        <f aca="false">IF(A874="","",COUNTIFS(Apparitions!$A$2:$A$5001,A874,Apparitions!$B$2:$B$5001,B874))</f>
        <v/>
      </c>
      <c r="F874" s="27" t="str">
        <f aca="false">IF(A874="","",A874&amp;"|"&amp;B874)</f>
        <v/>
      </c>
    </row>
    <row r="875" customFormat="false" ht="15" hidden="false" customHeight="false" outlineLevel="0" collapsed="false">
      <c r="A875" s="19"/>
      <c r="B875" s="19"/>
      <c r="C875" s="20"/>
      <c r="D875" s="19"/>
      <c r="E875" s="26" t="str">
        <f aca="false">IF(A875="","",COUNTIFS(Apparitions!$A$2:$A$5001,A875,Apparitions!$B$2:$B$5001,B875))</f>
        <v/>
      </c>
      <c r="F875" s="27" t="str">
        <f aca="false">IF(A875="","",A875&amp;"|"&amp;B875)</f>
        <v/>
      </c>
    </row>
    <row r="876" customFormat="false" ht="15" hidden="false" customHeight="false" outlineLevel="0" collapsed="false">
      <c r="A876" s="19"/>
      <c r="B876" s="19"/>
      <c r="C876" s="20"/>
      <c r="D876" s="19"/>
      <c r="E876" s="26" t="str">
        <f aca="false">IF(A876="","",COUNTIFS(Apparitions!$A$2:$A$5001,A876,Apparitions!$B$2:$B$5001,B876))</f>
        <v/>
      </c>
      <c r="F876" s="27" t="str">
        <f aca="false">IF(A876="","",A876&amp;"|"&amp;B876)</f>
        <v/>
      </c>
    </row>
    <row r="877" customFormat="false" ht="15" hidden="false" customHeight="false" outlineLevel="0" collapsed="false">
      <c r="A877" s="19"/>
      <c r="B877" s="19"/>
      <c r="C877" s="20"/>
      <c r="D877" s="19"/>
      <c r="E877" s="26" t="str">
        <f aca="false">IF(A877="","",COUNTIFS(Apparitions!$A$2:$A$5001,A877,Apparitions!$B$2:$B$5001,B877))</f>
        <v/>
      </c>
      <c r="F877" s="27" t="str">
        <f aca="false">IF(A877="","",A877&amp;"|"&amp;B877)</f>
        <v/>
      </c>
    </row>
    <row r="878" customFormat="false" ht="15" hidden="false" customHeight="false" outlineLevel="0" collapsed="false">
      <c r="A878" s="19"/>
      <c r="B878" s="19"/>
      <c r="C878" s="20"/>
      <c r="D878" s="19"/>
      <c r="E878" s="26" t="str">
        <f aca="false">IF(A878="","",COUNTIFS(Apparitions!$A$2:$A$5001,A878,Apparitions!$B$2:$B$5001,B878))</f>
        <v/>
      </c>
      <c r="F878" s="27" t="str">
        <f aca="false">IF(A878="","",A878&amp;"|"&amp;B878)</f>
        <v/>
      </c>
    </row>
    <row r="879" customFormat="false" ht="15" hidden="false" customHeight="false" outlineLevel="0" collapsed="false">
      <c r="A879" s="19"/>
      <c r="B879" s="19"/>
      <c r="C879" s="20"/>
      <c r="D879" s="19"/>
      <c r="E879" s="26" t="str">
        <f aca="false">IF(A879="","",COUNTIFS(Apparitions!$A$2:$A$5001,A879,Apparitions!$B$2:$B$5001,B879))</f>
        <v/>
      </c>
      <c r="F879" s="27" t="str">
        <f aca="false">IF(A879="","",A879&amp;"|"&amp;B879)</f>
        <v/>
      </c>
    </row>
    <row r="880" customFormat="false" ht="15" hidden="false" customHeight="false" outlineLevel="0" collapsed="false">
      <c r="A880" s="19"/>
      <c r="B880" s="19"/>
      <c r="C880" s="20"/>
      <c r="D880" s="19"/>
      <c r="E880" s="26" t="str">
        <f aca="false">IF(A880="","",COUNTIFS(Apparitions!$A$2:$A$5001,A880,Apparitions!$B$2:$B$5001,B880))</f>
        <v/>
      </c>
      <c r="F880" s="27" t="str">
        <f aca="false">IF(A880="","",A880&amp;"|"&amp;B880)</f>
        <v/>
      </c>
    </row>
    <row r="881" customFormat="false" ht="15" hidden="false" customHeight="false" outlineLevel="0" collapsed="false">
      <c r="A881" s="19"/>
      <c r="B881" s="19"/>
      <c r="C881" s="20"/>
      <c r="D881" s="19"/>
      <c r="E881" s="26" t="str">
        <f aca="false">IF(A881="","",COUNTIFS(Apparitions!$A$2:$A$5001,A881,Apparitions!$B$2:$B$5001,B881))</f>
        <v/>
      </c>
      <c r="F881" s="27" t="str">
        <f aca="false">IF(A881="","",A881&amp;"|"&amp;B881)</f>
        <v/>
      </c>
    </row>
    <row r="882" customFormat="false" ht="15" hidden="false" customHeight="false" outlineLevel="0" collapsed="false">
      <c r="A882" s="19"/>
      <c r="B882" s="19"/>
      <c r="C882" s="20"/>
      <c r="D882" s="19"/>
      <c r="E882" s="26" t="str">
        <f aca="false">IF(A882="","",COUNTIFS(Apparitions!$A$2:$A$5001,A882,Apparitions!$B$2:$B$5001,B882))</f>
        <v/>
      </c>
      <c r="F882" s="27" t="str">
        <f aca="false">IF(A882="","",A882&amp;"|"&amp;B882)</f>
        <v/>
      </c>
    </row>
    <row r="883" customFormat="false" ht="15" hidden="false" customHeight="false" outlineLevel="0" collapsed="false">
      <c r="A883" s="19"/>
      <c r="B883" s="19"/>
      <c r="C883" s="20"/>
      <c r="D883" s="19"/>
      <c r="E883" s="26" t="str">
        <f aca="false">IF(A883="","",COUNTIFS(Apparitions!$A$2:$A$5001,A883,Apparitions!$B$2:$B$5001,B883))</f>
        <v/>
      </c>
      <c r="F883" s="27" t="str">
        <f aca="false">IF(A883="","",A883&amp;"|"&amp;B883)</f>
        <v/>
      </c>
    </row>
    <row r="884" customFormat="false" ht="15" hidden="false" customHeight="false" outlineLevel="0" collapsed="false">
      <c r="A884" s="19"/>
      <c r="B884" s="19"/>
      <c r="C884" s="20"/>
      <c r="D884" s="19"/>
      <c r="E884" s="26" t="str">
        <f aca="false">IF(A884="","",COUNTIFS(Apparitions!$A$2:$A$5001,A884,Apparitions!$B$2:$B$5001,B884))</f>
        <v/>
      </c>
      <c r="F884" s="27" t="str">
        <f aca="false">IF(A884="","",A884&amp;"|"&amp;B884)</f>
        <v/>
      </c>
    </row>
    <row r="885" customFormat="false" ht="15" hidden="false" customHeight="false" outlineLevel="0" collapsed="false">
      <c r="A885" s="19"/>
      <c r="B885" s="19"/>
      <c r="C885" s="20"/>
      <c r="D885" s="19"/>
      <c r="E885" s="26" t="str">
        <f aca="false">IF(A885="","",COUNTIFS(Apparitions!$A$2:$A$5001,A885,Apparitions!$B$2:$B$5001,B885))</f>
        <v/>
      </c>
      <c r="F885" s="27" t="str">
        <f aca="false">IF(A885="","",A885&amp;"|"&amp;B885)</f>
        <v/>
      </c>
    </row>
    <row r="886" customFormat="false" ht="15" hidden="false" customHeight="false" outlineLevel="0" collapsed="false">
      <c r="A886" s="19"/>
      <c r="B886" s="19"/>
      <c r="C886" s="20"/>
      <c r="D886" s="19"/>
      <c r="E886" s="26" t="str">
        <f aca="false">IF(A886="","",COUNTIFS(Apparitions!$A$2:$A$5001,A886,Apparitions!$B$2:$B$5001,B886))</f>
        <v/>
      </c>
      <c r="F886" s="27" t="str">
        <f aca="false">IF(A886="","",A886&amp;"|"&amp;B886)</f>
        <v/>
      </c>
    </row>
    <row r="887" customFormat="false" ht="15" hidden="false" customHeight="false" outlineLevel="0" collapsed="false">
      <c r="A887" s="19"/>
      <c r="B887" s="19"/>
      <c r="C887" s="20"/>
      <c r="D887" s="19"/>
      <c r="E887" s="26" t="str">
        <f aca="false">IF(A887="","",COUNTIFS(Apparitions!$A$2:$A$5001,A887,Apparitions!$B$2:$B$5001,B887))</f>
        <v/>
      </c>
      <c r="F887" s="27" t="str">
        <f aca="false">IF(A887="","",A887&amp;"|"&amp;B887)</f>
        <v/>
      </c>
    </row>
    <row r="888" customFormat="false" ht="15" hidden="false" customHeight="false" outlineLevel="0" collapsed="false">
      <c r="A888" s="19"/>
      <c r="B888" s="19"/>
      <c r="C888" s="20"/>
      <c r="D888" s="19"/>
      <c r="E888" s="26" t="str">
        <f aca="false">IF(A888="","",COUNTIFS(Apparitions!$A$2:$A$5001,A888,Apparitions!$B$2:$B$5001,B888))</f>
        <v/>
      </c>
      <c r="F888" s="27" t="str">
        <f aca="false">IF(A888="","",A888&amp;"|"&amp;B888)</f>
        <v/>
      </c>
    </row>
    <row r="889" customFormat="false" ht="15" hidden="false" customHeight="false" outlineLevel="0" collapsed="false">
      <c r="A889" s="19"/>
      <c r="B889" s="19"/>
      <c r="C889" s="20"/>
      <c r="D889" s="19"/>
      <c r="E889" s="26" t="str">
        <f aca="false">IF(A889="","",COUNTIFS(Apparitions!$A$2:$A$5001,A889,Apparitions!$B$2:$B$5001,B889))</f>
        <v/>
      </c>
      <c r="F889" s="27" t="str">
        <f aca="false">IF(A889="","",A889&amp;"|"&amp;B889)</f>
        <v/>
      </c>
    </row>
    <row r="890" customFormat="false" ht="15" hidden="false" customHeight="false" outlineLevel="0" collapsed="false">
      <c r="A890" s="19"/>
      <c r="B890" s="19"/>
      <c r="C890" s="20"/>
      <c r="D890" s="19"/>
      <c r="E890" s="26" t="str">
        <f aca="false">IF(A890="","",COUNTIFS(Apparitions!$A$2:$A$5001,A890,Apparitions!$B$2:$B$5001,B890))</f>
        <v/>
      </c>
      <c r="F890" s="27" t="str">
        <f aca="false">IF(A890="","",A890&amp;"|"&amp;B890)</f>
        <v/>
      </c>
    </row>
    <row r="891" customFormat="false" ht="15" hidden="false" customHeight="false" outlineLevel="0" collapsed="false">
      <c r="A891" s="19"/>
      <c r="B891" s="19"/>
      <c r="C891" s="20"/>
      <c r="D891" s="19"/>
      <c r="E891" s="26" t="str">
        <f aca="false">IF(A891="","",COUNTIFS(Apparitions!$A$2:$A$5001,A891,Apparitions!$B$2:$B$5001,B891))</f>
        <v/>
      </c>
      <c r="F891" s="27" t="str">
        <f aca="false">IF(A891="","",A891&amp;"|"&amp;B891)</f>
        <v/>
      </c>
    </row>
    <row r="892" customFormat="false" ht="15" hidden="false" customHeight="false" outlineLevel="0" collapsed="false">
      <c r="A892" s="19"/>
      <c r="B892" s="19"/>
      <c r="C892" s="20"/>
      <c r="D892" s="19"/>
      <c r="E892" s="26" t="str">
        <f aca="false">IF(A892="","",COUNTIFS(Apparitions!$A$2:$A$5001,A892,Apparitions!$B$2:$B$5001,B892))</f>
        <v/>
      </c>
      <c r="F892" s="27" t="str">
        <f aca="false">IF(A892="","",A892&amp;"|"&amp;B892)</f>
        <v/>
      </c>
    </row>
    <row r="893" customFormat="false" ht="15" hidden="false" customHeight="false" outlineLevel="0" collapsed="false">
      <c r="A893" s="19"/>
      <c r="B893" s="19"/>
      <c r="C893" s="20"/>
      <c r="D893" s="19"/>
      <c r="E893" s="26" t="str">
        <f aca="false">IF(A893="","",COUNTIFS(Apparitions!$A$2:$A$5001,A893,Apparitions!$B$2:$B$5001,B893))</f>
        <v/>
      </c>
      <c r="F893" s="27" t="str">
        <f aca="false">IF(A893="","",A893&amp;"|"&amp;B893)</f>
        <v/>
      </c>
    </row>
    <row r="894" customFormat="false" ht="15" hidden="false" customHeight="false" outlineLevel="0" collapsed="false">
      <c r="A894" s="19"/>
      <c r="B894" s="19"/>
      <c r="C894" s="20"/>
      <c r="D894" s="19"/>
      <c r="E894" s="26" t="str">
        <f aca="false">IF(A894="","",COUNTIFS(Apparitions!$A$2:$A$5001,A894,Apparitions!$B$2:$B$5001,B894))</f>
        <v/>
      </c>
      <c r="F894" s="27" t="str">
        <f aca="false">IF(A894="","",A894&amp;"|"&amp;B894)</f>
        <v/>
      </c>
    </row>
    <row r="895" customFormat="false" ht="15" hidden="false" customHeight="false" outlineLevel="0" collapsed="false">
      <c r="A895" s="19"/>
      <c r="B895" s="19"/>
      <c r="C895" s="20"/>
      <c r="D895" s="19"/>
      <c r="E895" s="26" t="str">
        <f aca="false">IF(A895="","",COUNTIFS(Apparitions!$A$2:$A$5001,A895,Apparitions!$B$2:$B$5001,B895))</f>
        <v/>
      </c>
      <c r="F895" s="27" t="str">
        <f aca="false">IF(A895="","",A895&amp;"|"&amp;B895)</f>
        <v/>
      </c>
    </row>
    <row r="896" customFormat="false" ht="15" hidden="false" customHeight="false" outlineLevel="0" collapsed="false">
      <c r="A896" s="19"/>
      <c r="B896" s="19"/>
      <c r="C896" s="20"/>
      <c r="D896" s="19"/>
      <c r="E896" s="26" t="str">
        <f aca="false">IF(A896="","",COUNTIFS(Apparitions!$A$2:$A$5001,A896,Apparitions!$B$2:$B$5001,B896))</f>
        <v/>
      </c>
      <c r="F896" s="27" t="str">
        <f aca="false">IF(A896="","",A896&amp;"|"&amp;B896)</f>
        <v/>
      </c>
    </row>
    <row r="897" customFormat="false" ht="15" hidden="false" customHeight="false" outlineLevel="0" collapsed="false">
      <c r="A897" s="19"/>
      <c r="B897" s="19"/>
      <c r="C897" s="20"/>
      <c r="D897" s="19"/>
      <c r="E897" s="26" t="str">
        <f aca="false">IF(A897="","",COUNTIFS(Apparitions!$A$2:$A$5001,A897,Apparitions!$B$2:$B$5001,B897))</f>
        <v/>
      </c>
      <c r="F897" s="27" t="str">
        <f aca="false">IF(A897="","",A897&amp;"|"&amp;B897)</f>
        <v/>
      </c>
    </row>
    <row r="898" customFormat="false" ht="15" hidden="false" customHeight="false" outlineLevel="0" collapsed="false">
      <c r="A898" s="19"/>
      <c r="B898" s="19"/>
      <c r="C898" s="20"/>
      <c r="D898" s="19"/>
      <c r="E898" s="26" t="str">
        <f aca="false">IF(A898="","",COUNTIFS(Apparitions!$A$2:$A$5001,A898,Apparitions!$B$2:$B$5001,B898))</f>
        <v/>
      </c>
      <c r="F898" s="27" t="str">
        <f aca="false">IF(A898="","",A898&amp;"|"&amp;B898)</f>
        <v/>
      </c>
    </row>
    <row r="899" customFormat="false" ht="15" hidden="false" customHeight="false" outlineLevel="0" collapsed="false">
      <c r="A899" s="19"/>
      <c r="B899" s="19"/>
      <c r="C899" s="20"/>
      <c r="D899" s="19"/>
      <c r="E899" s="26" t="str">
        <f aca="false">IF(A899="","",COUNTIFS(Apparitions!$A$2:$A$5001,A899,Apparitions!$B$2:$B$5001,B899))</f>
        <v/>
      </c>
      <c r="F899" s="27" t="str">
        <f aca="false">IF(A899="","",A899&amp;"|"&amp;B899)</f>
        <v/>
      </c>
    </row>
    <row r="900" customFormat="false" ht="15" hidden="false" customHeight="false" outlineLevel="0" collapsed="false">
      <c r="A900" s="19"/>
      <c r="B900" s="19"/>
      <c r="C900" s="20"/>
      <c r="D900" s="19"/>
      <c r="E900" s="26" t="str">
        <f aca="false">IF(A900="","",COUNTIFS(Apparitions!$A$2:$A$5001,A900,Apparitions!$B$2:$B$5001,B900))</f>
        <v/>
      </c>
      <c r="F900" s="27" t="str">
        <f aca="false">IF(A900="","",A900&amp;"|"&amp;B900)</f>
        <v/>
      </c>
    </row>
    <row r="901" customFormat="false" ht="15" hidden="false" customHeight="false" outlineLevel="0" collapsed="false">
      <c r="A901" s="19"/>
      <c r="B901" s="19"/>
      <c r="C901" s="20"/>
      <c r="D901" s="19"/>
      <c r="E901" s="26" t="str">
        <f aca="false">IF(A901="","",COUNTIFS(Apparitions!$A$2:$A$5001,A901,Apparitions!$B$2:$B$5001,B901))</f>
        <v/>
      </c>
      <c r="F901" s="27" t="str">
        <f aca="false">IF(A901="","",A901&amp;"|"&amp;B901)</f>
        <v/>
      </c>
    </row>
    <row r="902" customFormat="false" ht="15" hidden="false" customHeight="false" outlineLevel="0" collapsed="false">
      <c r="A902" s="19"/>
      <c r="B902" s="19"/>
      <c r="C902" s="20"/>
      <c r="D902" s="19"/>
      <c r="E902" s="26" t="str">
        <f aca="false">IF(A902="","",COUNTIFS(Apparitions!$A$2:$A$5001,A902,Apparitions!$B$2:$B$5001,B902))</f>
        <v/>
      </c>
      <c r="F902" s="27" t="str">
        <f aca="false">IF(A902="","",A902&amp;"|"&amp;B902)</f>
        <v/>
      </c>
    </row>
    <row r="903" customFormat="false" ht="15" hidden="false" customHeight="false" outlineLevel="0" collapsed="false">
      <c r="A903" s="19"/>
      <c r="B903" s="19"/>
      <c r="C903" s="20"/>
      <c r="D903" s="19"/>
      <c r="E903" s="26" t="str">
        <f aca="false">IF(A903="","",COUNTIFS(Apparitions!$A$2:$A$5001,A903,Apparitions!$B$2:$B$5001,B903))</f>
        <v/>
      </c>
      <c r="F903" s="27" t="str">
        <f aca="false">IF(A903="","",A903&amp;"|"&amp;B903)</f>
        <v/>
      </c>
    </row>
    <row r="904" customFormat="false" ht="15" hidden="false" customHeight="false" outlineLevel="0" collapsed="false">
      <c r="A904" s="19"/>
      <c r="B904" s="19"/>
      <c r="C904" s="20"/>
      <c r="D904" s="19"/>
      <c r="E904" s="26" t="str">
        <f aca="false">IF(A904="","",COUNTIFS(Apparitions!$A$2:$A$5001,A904,Apparitions!$B$2:$B$5001,B904))</f>
        <v/>
      </c>
      <c r="F904" s="27" t="str">
        <f aca="false">IF(A904="","",A904&amp;"|"&amp;B904)</f>
        <v/>
      </c>
    </row>
    <row r="905" customFormat="false" ht="15" hidden="false" customHeight="false" outlineLevel="0" collapsed="false">
      <c r="A905" s="19"/>
      <c r="B905" s="19"/>
      <c r="C905" s="20"/>
      <c r="D905" s="19"/>
      <c r="E905" s="26" t="str">
        <f aca="false">IF(A905="","",COUNTIFS(Apparitions!$A$2:$A$5001,A905,Apparitions!$B$2:$B$5001,B905))</f>
        <v/>
      </c>
      <c r="F905" s="27" t="str">
        <f aca="false">IF(A905="","",A905&amp;"|"&amp;B905)</f>
        <v/>
      </c>
    </row>
    <row r="906" customFormat="false" ht="15" hidden="false" customHeight="false" outlineLevel="0" collapsed="false">
      <c r="A906" s="19"/>
      <c r="B906" s="19"/>
      <c r="C906" s="20"/>
      <c r="D906" s="19"/>
      <c r="E906" s="26" t="str">
        <f aca="false">IF(A906="","",COUNTIFS(Apparitions!$A$2:$A$5001,A906,Apparitions!$B$2:$B$5001,B906))</f>
        <v/>
      </c>
      <c r="F906" s="27" t="str">
        <f aca="false">IF(A906="","",A906&amp;"|"&amp;B906)</f>
        <v/>
      </c>
    </row>
    <row r="907" customFormat="false" ht="15" hidden="false" customHeight="false" outlineLevel="0" collapsed="false">
      <c r="A907" s="19"/>
      <c r="B907" s="19"/>
      <c r="C907" s="20"/>
      <c r="D907" s="19"/>
      <c r="E907" s="26" t="str">
        <f aca="false">IF(A907="","",COUNTIFS(Apparitions!$A$2:$A$5001,A907,Apparitions!$B$2:$B$5001,B907))</f>
        <v/>
      </c>
      <c r="F907" s="27" t="str">
        <f aca="false">IF(A907="","",A907&amp;"|"&amp;B907)</f>
        <v/>
      </c>
    </row>
    <row r="908" customFormat="false" ht="15" hidden="false" customHeight="false" outlineLevel="0" collapsed="false">
      <c r="A908" s="19"/>
      <c r="B908" s="19"/>
      <c r="C908" s="20"/>
      <c r="D908" s="19"/>
      <c r="E908" s="26" t="str">
        <f aca="false">IF(A908="","",COUNTIFS(Apparitions!$A$2:$A$5001,A908,Apparitions!$B$2:$B$5001,B908))</f>
        <v/>
      </c>
      <c r="F908" s="27" t="str">
        <f aca="false">IF(A908="","",A908&amp;"|"&amp;B908)</f>
        <v/>
      </c>
    </row>
    <row r="909" customFormat="false" ht="15" hidden="false" customHeight="false" outlineLevel="0" collapsed="false">
      <c r="A909" s="19"/>
      <c r="B909" s="19"/>
      <c r="C909" s="20"/>
      <c r="D909" s="19"/>
      <c r="E909" s="26" t="str">
        <f aca="false">IF(A909="","",COUNTIFS(Apparitions!$A$2:$A$5001,A909,Apparitions!$B$2:$B$5001,B909))</f>
        <v/>
      </c>
      <c r="F909" s="27" t="str">
        <f aca="false">IF(A909="","",A909&amp;"|"&amp;B909)</f>
        <v/>
      </c>
    </row>
    <row r="910" customFormat="false" ht="15" hidden="false" customHeight="false" outlineLevel="0" collapsed="false">
      <c r="A910" s="19"/>
      <c r="B910" s="19"/>
      <c r="C910" s="20"/>
      <c r="D910" s="19"/>
      <c r="E910" s="26" t="str">
        <f aca="false">IF(A910="","",COUNTIFS(Apparitions!$A$2:$A$5001,A910,Apparitions!$B$2:$B$5001,B910))</f>
        <v/>
      </c>
      <c r="F910" s="27" t="str">
        <f aca="false">IF(A910="","",A910&amp;"|"&amp;B910)</f>
        <v/>
      </c>
    </row>
    <row r="911" customFormat="false" ht="15" hidden="false" customHeight="false" outlineLevel="0" collapsed="false">
      <c r="A911" s="19"/>
      <c r="B911" s="19"/>
      <c r="C911" s="20"/>
      <c r="D911" s="19"/>
      <c r="E911" s="26" t="str">
        <f aca="false">IF(A911="","",COUNTIFS(Apparitions!$A$2:$A$5001,A911,Apparitions!$B$2:$B$5001,B911))</f>
        <v/>
      </c>
      <c r="F911" s="27" t="str">
        <f aca="false">IF(A911="","",A911&amp;"|"&amp;B911)</f>
        <v/>
      </c>
    </row>
    <row r="912" customFormat="false" ht="15" hidden="false" customHeight="false" outlineLevel="0" collapsed="false">
      <c r="A912" s="19"/>
      <c r="B912" s="19"/>
      <c r="C912" s="20"/>
      <c r="D912" s="19"/>
      <c r="E912" s="26" t="str">
        <f aca="false">IF(A912="","",COUNTIFS(Apparitions!$A$2:$A$5001,A912,Apparitions!$B$2:$B$5001,B912))</f>
        <v/>
      </c>
      <c r="F912" s="27" t="str">
        <f aca="false">IF(A912="","",A912&amp;"|"&amp;B912)</f>
        <v/>
      </c>
    </row>
    <row r="913" customFormat="false" ht="15" hidden="false" customHeight="false" outlineLevel="0" collapsed="false">
      <c r="A913" s="19"/>
      <c r="B913" s="19"/>
      <c r="C913" s="20"/>
      <c r="D913" s="19"/>
      <c r="E913" s="26" t="str">
        <f aca="false">IF(A913="","",COUNTIFS(Apparitions!$A$2:$A$5001,A913,Apparitions!$B$2:$B$5001,B913))</f>
        <v/>
      </c>
      <c r="F913" s="27" t="str">
        <f aca="false">IF(A913="","",A913&amp;"|"&amp;B913)</f>
        <v/>
      </c>
    </row>
    <row r="914" customFormat="false" ht="15" hidden="false" customHeight="false" outlineLevel="0" collapsed="false">
      <c r="A914" s="19"/>
      <c r="B914" s="19"/>
      <c r="C914" s="20"/>
      <c r="D914" s="19"/>
      <c r="E914" s="26" t="str">
        <f aca="false">IF(A914="","",COUNTIFS(Apparitions!$A$2:$A$5001,A914,Apparitions!$B$2:$B$5001,B914))</f>
        <v/>
      </c>
      <c r="F914" s="27" t="str">
        <f aca="false">IF(A914="","",A914&amp;"|"&amp;B914)</f>
        <v/>
      </c>
    </row>
    <row r="915" customFormat="false" ht="15" hidden="false" customHeight="false" outlineLevel="0" collapsed="false">
      <c r="A915" s="19"/>
      <c r="B915" s="19"/>
      <c r="C915" s="20"/>
      <c r="D915" s="19"/>
      <c r="E915" s="26" t="str">
        <f aca="false">IF(A915="","",COUNTIFS(Apparitions!$A$2:$A$5001,A915,Apparitions!$B$2:$B$5001,B915))</f>
        <v/>
      </c>
      <c r="F915" s="27" t="str">
        <f aca="false">IF(A915="","",A915&amp;"|"&amp;B915)</f>
        <v/>
      </c>
    </row>
    <row r="916" customFormat="false" ht="15" hidden="false" customHeight="false" outlineLevel="0" collapsed="false">
      <c r="A916" s="19"/>
      <c r="B916" s="19"/>
      <c r="C916" s="20"/>
      <c r="D916" s="19"/>
      <c r="E916" s="26" t="str">
        <f aca="false">IF(A916="","",COUNTIFS(Apparitions!$A$2:$A$5001,A916,Apparitions!$B$2:$B$5001,B916))</f>
        <v/>
      </c>
      <c r="F916" s="27" t="str">
        <f aca="false">IF(A916="","",A916&amp;"|"&amp;B916)</f>
        <v/>
      </c>
    </row>
    <row r="917" customFormat="false" ht="15" hidden="false" customHeight="false" outlineLevel="0" collapsed="false">
      <c r="A917" s="19"/>
      <c r="B917" s="19"/>
      <c r="C917" s="20"/>
      <c r="D917" s="19"/>
      <c r="E917" s="26" t="str">
        <f aca="false">IF(A917="","",COUNTIFS(Apparitions!$A$2:$A$5001,A917,Apparitions!$B$2:$B$5001,B917))</f>
        <v/>
      </c>
      <c r="F917" s="27" t="str">
        <f aca="false">IF(A917="","",A917&amp;"|"&amp;B917)</f>
        <v/>
      </c>
    </row>
    <row r="918" customFormat="false" ht="15" hidden="false" customHeight="false" outlineLevel="0" collapsed="false">
      <c r="A918" s="19"/>
      <c r="B918" s="19"/>
      <c r="C918" s="20"/>
      <c r="D918" s="19"/>
      <c r="E918" s="26" t="str">
        <f aca="false">IF(A918="","",COUNTIFS(Apparitions!$A$2:$A$5001,A918,Apparitions!$B$2:$B$5001,B918))</f>
        <v/>
      </c>
      <c r="F918" s="27" t="str">
        <f aca="false">IF(A918="","",A918&amp;"|"&amp;B918)</f>
        <v/>
      </c>
    </row>
    <row r="919" customFormat="false" ht="15" hidden="false" customHeight="false" outlineLevel="0" collapsed="false">
      <c r="A919" s="19"/>
      <c r="B919" s="19"/>
      <c r="C919" s="20"/>
      <c r="D919" s="19"/>
      <c r="E919" s="26" t="str">
        <f aca="false">IF(A919="","",COUNTIFS(Apparitions!$A$2:$A$5001,A919,Apparitions!$B$2:$B$5001,B919))</f>
        <v/>
      </c>
      <c r="F919" s="27" t="str">
        <f aca="false">IF(A919="","",A919&amp;"|"&amp;B919)</f>
        <v/>
      </c>
    </row>
    <row r="920" customFormat="false" ht="15" hidden="false" customHeight="false" outlineLevel="0" collapsed="false">
      <c r="A920" s="19"/>
      <c r="B920" s="19"/>
      <c r="C920" s="20"/>
      <c r="D920" s="19"/>
      <c r="E920" s="26" t="str">
        <f aca="false">IF(A920="","",COUNTIFS(Apparitions!$A$2:$A$5001,A920,Apparitions!$B$2:$B$5001,B920))</f>
        <v/>
      </c>
      <c r="F920" s="27" t="str">
        <f aca="false">IF(A920="","",A920&amp;"|"&amp;B920)</f>
        <v/>
      </c>
    </row>
    <row r="921" customFormat="false" ht="15" hidden="false" customHeight="false" outlineLevel="0" collapsed="false">
      <c r="A921" s="19"/>
      <c r="B921" s="19"/>
      <c r="C921" s="20"/>
      <c r="D921" s="19"/>
      <c r="E921" s="26" t="str">
        <f aca="false">IF(A921="","",COUNTIFS(Apparitions!$A$2:$A$5001,A921,Apparitions!$B$2:$B$5001,B921))</f>
        <v/>
      </c>
      <c r="F921" s="27" t="str">
        <f aca="false">IF(A921="","",A921&amp;"|"&amp;B921)</f>
        <v/>
      </c>
    </row>
    <row r="922" customFormat="false" ht="15" hidden="false" customHeight="false" outlineLevel="0" collapsed="false">
      <c r="A922" s="19"/>
      <c r="B922" s="19"/>
      <c r="C922" s="20"/>
      <c r="D922" s="19"/>
      <c r="E922" s="26" t="str">
        <f aca="false">IF(A922="","",COUNTIFS(Apparitions!$A$2:$A$5001,A922,Apparitions!$B$2:$B$5001,B922))</f>
        <v/>
      </c>
      <c r="F922" s="27" t="str">
        <f aca="false">IF(A922="","",A922&amp;"|"&amp;B922)</f>
        <v/>
      </c>
    </row>
    <row r="923" customFormat="false" ht="15" hidden="false" customHeight="false" outlineLevel="0" collapsed="false">
      <c r="A923" s="19"/>
      <c r="B923" s="19"/>
      <c r="C923" s="20"/>
      <c r="D923" s="19"/>
      <c r="E923" s="26" t="str">
        <f aca="false">IF(A923="","",COUNTIFS(Apparitions!$A$2:$A$5001,A923,Apparitions!$B$2:$B$5001,B923))</f>
        <v/>
      </c>
      <c r="F923" s="27" t="str">
        <f aca="false">IF(A923="","",A923&amp;"|"&amp;B923)</f>
        <v/>
      </c>
    </row>
    <row r="924" customFormat="false" ht="15" hidden="false" customHeight="false" outlineLevel="0" collapsed="false">
      <c r="A924" s="19"/>
      <c r="B924" s="19"/>
      <c r="C924" s="20"/>
      <c r="D924" s="19"/>
      <c r="E924" s="26" t="str">
        <f aca="false">IF(A924="","",COUNTIFS(Apparitions!$A$2:$A$5001,A924,Apparitions!$B$2:$B$5001,B924))</f>
        <v/>
      </c>
      <c r="F924" s="27" t="str">
        <f aca="false">IF(A924="","",A924&amp;"|"&amp;B924)</f>
        <v/>
      </c>
    </row>
    <row r="925" customFormat="false" ht="15" hidden="false" customHeight="false" outlineLevel="0" collapsed="false">
      <c r="A925" s="19"/>
      <c r="B925" s="19"/>
      <c r="C925" s="20"/>
      <c r="D925" s="19"/>
      <c r="E925" s="26" t="str">
        <f aca="false">IF(A925="","",COUNTIFS(Apparitions!$A$2:$A$5001,A925,Apparitions!$B$2:$B$5001,B925))</f>
        <v/>
      </c>
      <c r="F925" s="27" t="str">
        <f aca="false">IF(A925="","",A925&amp;"|"&amp;B925)</f>
        <v/>
      </c>
    </row>
    <row r="926" customFormat="false" ht="15" hidden="false" customHeight="false" outlineLevel="0" collapsed="false">
      <c r="A926" s="19"/>
      <c r="B926" s="19"/>
      <c r="C926" s="20"/>
      <c r="D926" s="19"/>
      <c r="E926" s="26" t="str">
        <f aca="false">IF(A926="","",COUNTIFS(Apparitions!$A$2:$A$5001,A926,Apparitions!$B$2:$B$5001,B926))</f>
        <v/>
      </c>
      <c r="F926" s="27" t="str">
        <f aca="false">IF(A926="","",A926&amp;"|"&amp;B926)</f>
        <v/>
      </c>
    </row>
    <row r="927" customFormat="false" ht="15" hidden="false" customHeight="false" outlineLevel="0" collapsed="false">
      <c r="A927" s="19"/>
      <c r="B927" s="19"/>
      <c r="C927" s="20"/>
      <c r="D927" s="19"/>
      <c r="E927" s="26" t="str">
        <f aca="false">IF(A927="","",COUNTIFS(Apparitions!$A$2:$A$5001,A927,Apparitions!$B$2:$B$5001,B927))</f>
        <v/>
      </c>
      <c r="F927" s="27" t="str">
        <f aca="false">IF(A927="","",A927&amp;"|"&amp;B927)</f>
        <v/>
      </c>
    </row>
    <row r="928" customFormat="false" ht="15" hidden="false" customHeight="false" outlineLevel="0" collapsed="false">
      <c r="A928" s="19"/>
      <c r="B928" s="19"/>
      <c r="C928" s="20"/>
      <c r="D928" s="19"/>
      <c r="E928" s="26" t="str">
        <f aca="false">IF(A928="","",COUNTIFS(Apparitions!$A$2:$A$5001,A928,Apparitions!$B$2:$B$5001,B928))</f>
        <v/>
      </c>
      <c r="F928" s="27" t="str">
        <f aca="false">IF(A928="","",A928&amp;"|"&amp;B928)</f>
        <v/>
      </c>
    </row>
    <row r="929" customFormat="false" ht="15" hidden="false" customHeight="false" outlineLevel="0" collapsed="false">
      <c r="A929" s="19"/>
      <c r="B929" s="19"/>
      <c r="C929" s="20"/>
      <c r="D929" s="19"/>
      <c r="E929" s="26" t="str">
        <f aca="false">IF(A929="","",COUNTIFS(Apparitions!$A$2:$A$5001,A929,Apparitions!$B$2:$B$5001,B929))</f>
        <v/>
      </c>
      <c r="F929" s="27" t="str">
        <f aca="false">IF(A929="","",A929&amp;"|"&amp;B929)</f>
        <v/>
      </c>
    </row>
    <row r="930" customFormat="false" ht="15" hidden="false" customHeight="false" outlineLevel="0" collapsed="false">
      <c r="A930" s="19"/>
      <c r="B930" s="19"/>
      <c r="C930" s="20"/>
      <c r="D930" s="19"/>
      <c r="E930" s="26" t="str">
        <f aca="false">IF(A930="","",COUNTIFS(Apparitions!$A$2:$A$5001,A930,Apparitions!$B$2:$B$5001,B930))</f>
        <v/>
      </c>
      <c r="F930" s="27" t="str">
        <f aca="false">IF(A930="","",A930&amp;"|"&amp;B930)</f>
        <v/>
      </c>
    </row>
    <row r="931" customFormat="false" ht="15" hidden="false" customHeight="false" outlineLevel="0" collapsed="false">
      <c r="A931" s="19"/>
      <c r="B931" s="19"/>
      <c r="C931" s="20"/>
      <c r="D931" s="19"/>
      <c r="E931" s="26" t="str">
        <f aca="false">IF(A931="","",COUNTIFS(Apparitions!$A$2:$A$5001,A931,Apparitions!$B$2:$B$5001,B931))</f>
        <v/>
      </c>
      <c r="F931" s="27" t="str">
        <f aca="false">IF(A931="","",A931&amp;"|"&amp;B931)</f>
        <v/>
      </c>
    </row>
    <row r="932" customFormat="false" ht="15" hidden="false" customHeight="false" outlineLevel="0" collapsed="false">
      <c r="A932" s="19"/>
      <c r="B932" s="19"/>
      <c r="C932" s="20"/>
      <c r="D932" s="19"/>
      <c r="E932" s="26" t="str">
        <f aca="false">IF(A932="","",COUNTIFS(Apparitions!$A$2:$A$5001,A932,Apparitions!$B$2:$B$5001,B932))</f>
        <v/>
      </c>
      <c r="F932" s="27" t="str">
        <f aca="false">IF(A932="","",A932&amp;"|"&amp;B932)</f>
        <v/>
      </c>
    </row>
    <row r="933" customFormat="false" ht="15" hidden="false" customHeight="false" outlineLevel="0" collapsed="false">
      <c r="A933" s="19"/>
      <c r="B933" s="19"/>
      <c r="C933" s="20"/>
      <c r="D933" s="19"/>
      <c r="E933" s="26" t="str">
        <f aca="false">IF(A933="","",COUNTIFS(Apparitions!$A$2:$A$5001,A933,Apparitions!$B$2:$B$5001,B933))</f>
        <v/>
      </c>
      <c r="F933" s="27" t="str">
        <f aca="false">IF(A933="","",A933&amp;"|"&amp;B933)</f>
        <v/>
      </c>
    </row>
    <row r="934" customFormat="false" ht="15" hidden="false" customHeight="false" outlineLevel="0" collapsed="false">
      <c r="A934" s="19"/>
      <c r="B934" s="19"/>
      <c r="C934" s="20"/>
      <c r="D934" s="19"/>
      <c r="E934" s="26" t="str">
        <f aca="false">IF(A934="","",COUNTIFS(Apparitions!$A$2:$A$5001,A934,Apparitions!$B$2:$B$5001,B934))</f>
        <v/>
      </c>
      <c r="F934" s="27" t="str">
        <f aca="false">IF(A934="","",A934&amp;"|"&amp;B934)</f>
        <v/>
      </c>
    </row>
    <row r="935" customFormat="false" ht="15" hidden="false" customHeight="false" outlineLevel="0" collapsed="false">
      <c r="A935" s="19"/>
      <c r="B935" s="19"/>
      <c r="C935" s="20"/>
      <c r="D935" s="19"/>
      <c r="E935" s="26" t="str">
        <f aca="false">IF(A935="","",COUNTIFS(Apparitions!$A$2:$A$5001,A935,Apparitions!$B$2:$B$5001,B935))</f>
        <v/>
      </c>
      <c r="F935" s="27" t="str">
        <f aca="false">IF(A935="","",A935&amp;"|"&amp;B935)</f>
        <v/>
      </c>
    </row>
    <row r="936" customFormat="false" ht="15" hidden="false" customHeight="false" outlineLevel="0" collapsed="false">
      <c r="A936" s="19"/>
      <c r="B936" s="19"/>
      <c r="C936" s="20"/>
      <c r="D936" s="19"/>
      <c r="E936" s="26" t="str">
        <f aca="false">IF(A936="","",COUNTIFS(Apparitions!$A$2:$A$5001,A936,Apparitions!$B$2:$B$5001,B936))</f>
        <v/>
      </c>
      <c r="F936" s="27" t="str">
        <f aca="false">IF(A936="","",A936&amp;"|"&amp;B936)</f>
        <v/>
      </c>
    </row>
    <row r="937" customFormat="false" ht="15" hidden="false" customHeight="false" outlineLevel="0" collapsed="false">
      <c r="A937" s="19"/>
      <c r="B937" s="19"/>
      <c r="C937" s="20"/>
      <c r="D937" s="19"/>
      <c r="E937" s="26" t="str">
        <f aca="false">IF(A937="","",COUNTIFS(Apparitions!$A$2:$A$5001,A937,Apparitions!$B$2:$B$5001,B937))</f>
        <v/>
      </c>
      <c r="F937" s="27" t="str">
        <f aca="false">IF(A937="","",A937&amp;"|"&amp;B937)</f>
        <v/>
      </c>
    </row>
    <row r="938" customFormat="false" ht="15" hidden="false" customHeight="false" outlineLevel="0" collapsed="false">
      <c r="A938" s="19"/>
      <c r="B938" s="19"/>
      <c r="C938" s="20"/>
      <c r="D938" s="19"/>
      <c r="E938" s="26" t="str">
        <f aca="false">IF(A938="","",COUNTIFS(Apparitions!$A$2:$A$5001,A938,Apparitions!$B$2:$B$5001,B938))</f>
        <v/>
      </c>
      <c r="F938" s="27" t="str">
        <f aca="false">IF(A938="","",A938&amp;"|"&amp;B938)</f>
        <v/>
      </c>
    </row>
    <row r="939" customFormat="false" ht="15" hidden="false" customHeight="false" outlineLevel="0" collapsed="false">
      <c r="A939" s="19"/>
      <c r="B939" s="19"/>
      <c r="C939" s="20"/>
      <c r="D939" s="19"/>
      <c r="E939" s="26" t="str">
        <f aca="false">IF(A939="","",COUNTIFS(Apparitions!$A$2:$A$5001,A939,Apparitions!$B$2:$B$5001,B939))</f>
        <v/>
      </c>
      <c r="F939" s="27" t="str">
        <f aca="false">IF(A939="","",A939&amp;"|"&amp;B939)</f>
        <v/>
      </c>
    </row>
    <row r="940" customFormat="false" ht="15" hidden="false" customHeight="false" outlineLevel="0" collapsed="false">
      <c r="A940" s="19"/>
      <c r="B940" s="19"/>
      <c r="C940" s="20"/>
      <c r="D940" s="19"/>
      <c r="E940" s="26" t="str">
        <f aca="false">IF(A940="","",COUNTIFS(Apparitions!$A$2:$A$5001,A940,Apparitions!$B$2:$B$5001,B940))</f>
        <v/>
      </c>
      <c r="F940" s="27" t="str">
        <f aca="false">IF(A940="","",A940&amp;"|"&amp;B940)</f>
        <v/>
      </c>
    </row>
    <row r="941" customFormat="false" ht="15" hidden="false" customHeight="false" outlineLevel="0" collapsed="false">
      <c r="A941" s="19"/>
      <c r="B941" s="19"/>
      <c r="C941" s="20"/>
      <c r="D941" s="19"/>
      <c r="E941" s="26" t="str">
        <f aca="false">IF(A941="","",COUNTIFS(Apparitions!$A$2:$A$5001,A941,Apparitions!$B$2:$B$5001,B941))</f>
        <v/>
      </c>
      <c r="F941" s="27" t="str">
        <f aca="false">IF(A941="","",A941&amp;"|"&amp;B941)</f>
        <v/>
      </c>
    </row>
    <row r="942" customFormat="false" ht="15" hidden="false" customHeight="false" outlineLevel="0" collapsed="false">
      <c r="A942" s="19"/>
      <c r="B942" s="19"/>
      <c r="C942" s="20"/>
      <c r="D942" s="19"/>
      <c r="E942" s="26" t="str">
        <f aca="false">IF(A942="","",COUNTIFS(Apparitions!$A$2:$A$5001,A942,Apparitions!$B$2:$B$5001,B942))</f>
        <v/>
      </c>
      <c r="F942" s="27" t="str">
        <f aca="false">IF(A942="","",A942&amp;"|"&amp;B942)</f>
        <v/>
      </c>
    </row>
    <row r="943" customFormat="false" ht="15" hidden="false" customHeight="false" outlineLevel="0" collapsed="false">
      <c r="A943" s="19"/>
      <c r="B943" s="19"/>
      <c r="C943" s="20"/>
      <c r="D943" s="19"/>
      <c r="E943" s="26" t="str">
        <f aca="false">IF(A943="","",COUNTIFS(Apparitions!$A$2:$A$5001,A943,Apparitions!$B$2:$B$5001,B943))</f>
        <v/>
      </c>
      <c r="F943" s="27" t="str">
        <f aca="false">IF(A943="","",A943&amp;"|"&amp;B943)</f>
        <v/>
      </c>
    </row>
    <row r="944" customFormat="false" ht="15" hidden="false" customHeight="false" outlineLevel="0" collapsed="false">
      <c r="A944" s="19"/>
      <c r="B944" s="19"/>
      <c r="C944" s="20"/>
      <c r="D944" s="19"/>
      <c r="E944" s="26" t="str">
        <f aca="false">IF(A944="","",COUNTIFS(Apparitions!$A$2:$A$5001,A944,Apparitions!$B$2:$B$5001,B944))</f>
        <v/>
      </c>
      <c r="F944" s="27" t="str">
        <f aca="false">IF(A944="","",A944&amp;"|"&amp;B944)</f>
        <v/>
      </c>
    </row>
    <row r="945" customFormat="false" ht="15" hidden="false" customHeight="false" outlineLevel="0" collapsed="false">
      <c r="A945" s="19"/>
      <c r="B945" s="19"/>
      <c r="C945" s="20"/>
      <c r="D945" s="19"/>
      <c r="E945" s="26" t="str">
        <f aca="false">IF(A945="","",COUNTIFS(Apparitions!$A$2:$A$5001,A945,Apparitions!$B$2:$B$5001,B945))</f>
        <v/>
      </c>
      <c r="F945" s="27" t="str">
        <f aca="false">IF(A945="","",A945&amp;"|"&amp;B945)</f>
        <v/>
      </c>
    </row>
    <row r="946" customFormat="false" ht="15" hidden="false" customHeight="false" outlineLevel="0" collapsed="false">
      <c r="A946" s="19"/>
      <c r="B946" s="19"/>
      <c r="C946" s="20"/>
      <c r="D946" s="19"/>
      <c r="E946" s="26" t="str">
        <f aca="false">IF(A946="","",COUNTIFS(Apparitions!$A$2:$A$5001,A946,Apparitions!$B$2:$B$5001,B946))</f>
        <v/>
      </c>
      <c r="F946" s="27" t="str">
        <f aca="false">IF(A946="","",A946&amp;"|"&amp;B946)</f>
        <v/>
      </c>
    </row>
    <row r="947" customFormat="false" ht="15" hidden="false" customHeight="false" outlineLevel="0" collapsed="false">
      <c r="A947" s="19"/>
      <c r="B947" s="19"/>
      <c r="C947" s="20"/>
      <c r="D947" s="19"/>
      <c r="E947" s="26" t="str">
        <f aca="false">IF(A947="","",COUNTIFS(Apparitions!$A$2:$A$5001,A947,Apparitions!$B$2:$B$5001,B947))</f>
        <v/>
      </c>
      <c r="F947" s="27" t="str">
        <f aca="false">IF(A947="","",A947&amp;"|"&amp;B947)</f>
        <v/>
      </c>
    </row>
    <row r="948" customFormat="false" ht="15" hidden="false" customHeight="false" outlineLevel="0" collapsed="false">
      <c r="A948" s="19"/>
      <c r="B948" s="19"/>
      <c r="C948" s="20"/>
      <c r="D948" s="19"/>
      <c r="E948" s="26" t="str">
        <f aca="false">IF(A948="","",COUNTIFS(Apparitions!$A$2:$A$5001,A948,Apparitions!$B$2:$B$5001,B948))</f>
        <v/>
      </c>
      <c r="F948" s="27" t="str">
        <f aca="false">IF(A948="","",A948&amp;"|"&amp;B948)</f>
        <v/>
      </c>
    </row>
    <row r="949" customFormat="false" ht="15" hidden="false" customHeight="false" outlineLevel="0" collapsed="false">
      <c r="A949" s="19"/>
      <c r="B949" s="19"/>
      <c r="C949" s="20"/>
      <c r="D949" s="19"/>
      <c r="E949" s="26" t="str">
        <f aca="false">IF(A949="","",COUNTIFS(Apparitions!$A$2:$A$5001,A949,Apparitions!$B$2:$B$5001,B949))</f>
        <v/>
      </c>
      <c r="F949" s="27" t="str">
        <f aca="false">IF(A949="","",A949&amp;"|"&amp;B949)</f>
        <v/>
      </c>
    </row>
    <row r="950" customFormat="false" ht="15" hidden="false" customHeight="false" outlineLevel="0" collapsed="false">
      <c r="A950" s="19"/>
      <c r="B950" s="19"/>
      <c r="C950" s="20"/>
      <c r="D950" s="19"/>
      <c r="E950" s="26" t="str">
        <f aca="false">IF(A950="","",COUNTIFS(Apparitions!$A$2:$A$5001,A950,Apparitions!$B$2:$B$5001,B950))</f>
        <v/>
      </c>
      <c r="F950" s="27" t="str">
        <f aca="false">IF(A950="","",A950&amp;"|"&amp;B950)</f>
        <v/>
      </c>
    </row>
    <row r="951" customFormat="false" ht="15" hidden="false" customHeight="false" outlineLevel="0" collapsed="false">
      <c r="A951" s="19"/>
      <c r="B951" s="19"/>
      <c r="C951" s="20"/>
      <c r="D951" s="19"/>
      <c r="E951" s="26" t="str">
        <f aca="false">IF(A951="","",COUNTIFS(Apparitions!$A$2:$A$5001,A951,Apparitions!$B$2:$B$5001,B951))</f>
        <v/>
      </c>
      <c r="F951" s="27" t="str">
        <f aca="false">IF(A951="","",A951&amp;"|"&amp;B951)</f>
        <v/>
      </c>
    </row>
    <row r="952" customFormat="false" ht="15" hidden="false" customHeight="false" outlineLevel="0" collapsed="false">
      <c r="A952" s="19"/>
      <c r="B952" s="19"/>
      <c r="C952" s="20"/>
      <c r="D952" s="19"/>
      <c r="E952" s="26" t="str">
        <f aca="false">IF(A952="","",COUNTIFS(Apparitions!$A$2:$A$5001,A952,Apparitions!$B$2:$B$5001,B952))</f>
        <v/>
      </c>
      <c r="F952" s="27" t="str">
        <f aca="false">IF(A952="","",A952&amp;"|"&amp;B952)</f>
        <v/>
      </c>
    </row>
    <row r="953" customFormat="false" ht="15" hidden="false" customHeight="false" outlineLevel="0" collapsed="false">
      <c r="A953" s="19"/>
      <c r="B953" s="19"/>
      <c r="C953" s="20"/>
      <c r="D953" s="19"/>
      <c r="E953" s="26" t="str">
        <f aca="false">IF(A953="","",COUNTIFS(Apparitions!$A$2:$A$5001,A953,Apparitions!$B$2:$B$5001,B953))</f>
        <v/>
      </c>
      <c r="F953" s="27" t="str">
        <f aca="false">IF(A953="","",A953&amp;"|"&amp;B953)</f>
        <v/>
      </c>
    </row>
    <row r="954" customFormat="false" ht="15" hidden="false" customHeight="false" outlineLevel="0" collapsed="false">
      <c r="A954" s="19"/>
      <c r="B954" s="19"/>
      <c r="C954" s="20"/>
      <c r="D954" s="19"/>
      <c r="E954" s="26" t="str">
        <f aca="false">IF(A954="","",COUNTIFS(Apparitions!$A$2:$A$5001,A954,Apparitions!$B$2:$B$5001,B954))</f>
        <v/>
      </c>
      <c r="F954" s="27" t="str">
        <f aca="false">IF(A954="","",A954&amp;"|"&amp;B954)</f>
        <v/>
      </c>
    </row>
    <row r="955" customFormat="false" ht="15" hidden="false" customHeight="false" outlineLevel="0" collapsed="false">
      <c r="A955" s="19"/>
      <c r="B955" s="19"/>
      <c r="C955" s="20"/>
      <c r="D955" s="19"/>
      <c r="E955" s="26" t="str">
        <f aca="false">IF(A955="","",COUNTIFS(Apparitions!$A$2:$A$5001,A955,Apparitions!$B$2:$B$5001,B955))</f>
        <v/>
      </c>
      <c r="F955" s="27" t="str">
        <f aca="false">IF(A955="","",A955&amp;"|"&amp;B955)</f>
        <v/>
      </c>
    </row>
    <row r="956" customFormat="false" ht="15" hidden="false" customHeight="false" outlineLevel="0" collapsed="false">
      <c r="A956" s="19"/>
      <c r="B956" s="19"/>
      <c r="C956" s="20"/>
      <c r="D956" s="19"/>
      <c r="E956" s="26" t="str">
        <f aca="false">IF(A956="","",COUNTIFS(Apparitions!$A$2:$A$5001,A956,Apparitions!$B$2:$B$5001,B956))</f>
        <v/>
      </c>
      <c r="F956" s="27" t="str">
        <f aca="false">IF(A956="","",A956&amp;"|"&amp;B956)</f>
        <v/>
      </c>
    </row>
    <row r="957" customFormat="false" ht="15" hidden="false" customHeight="false" outlineLevel="0" collapsed="false">
      <c r="A957" s="19"/>
      <c r="B957" s="19"/>
      <c r="C957" s="20"/>
      <c r="D957" s="19"/>
      <c r="E957" s="26" t="str">
        <f aca="false">IF(A957="","",COUNTIFS(Apparitions!$A$2:$A$5001,A957,Apparitions!$B$2:$B$5001,B957))</f>
        <v/>
      </c>
      <c r="F957" s="27" t="str">
        <f aca="false">IF(A957="","",A957&amp;"|"&amp;B957)</f>
        <v/>
      </c>
    </row>
    <row r="958" customFormat="false" ht="15" hidden="false" customHeight="false" outlineLevel="0" collapsed="false">
      <c r="A958" s="19"/>
      <c r="B958" s="19"/>
      <c r="C958" s="20"/>
      <c r="D958" s="19"/>
      <c r="E958" s="26" t="str">
        <f aca="false">IF(A958="","",COUNTIFS(Apparitions!$A$2:$A$5001,A958,Apparitions!$B$2:$B$5001,B958))</f>
        <v/>
      </c>
      <c r="F958" s="27" t="str">
        <f aca="false">IF(A958="","",A958&amp;"|"&amp;B958)</f>
        <v/>
      </c>
    </row>
    <row r="959" customFormat="false" ht="15" hidden="false" customHeight="false" outlineLevel="0" collapsed="false">
      <c r="A959" s="19"/>
      <c r="B959" s="19"/>
      <c r="C959" s="20"/>
      <c r="D959" s="19"/>
      <c r="E959" s="26" t="str">
        <f aca="false">IF(A959="","",COUNTIFS(Apparitions!$A$2:$A$5001,A959,Apparitions!$B$2:$B$5001,B959))</f>
        <v/>
      </c>
      <c r="F959" s="27" t="str">
        <f aca="false">IF(A959="","",A959&amp;"|"&amp;B959)</f>
        <v/>
      </c>
    </row>
    <row r="960" customFormat="false" ht="15" hidden="false" customHeight="false" outlineLevel="0" collapsed="false">
      <c r="A960" s="19"/>
      <c r="B960" s="19"/>
      <c r="C960" s="20"/>
      <c r="D960" s="19"/>
      <c r="E960" s="26" t="str">
        <f aca="false">IF(A960="","",COUNTIFS(Apparitions!$A$2:$A$5001,A960,Apparitions!$B$2:$B$5001,B960))</f>
        <v/>
      </c>
      <c r="F960" s="27" t="str">
        <f aca="false">IF(A960="","",A960&amp;"|"&amp;B960)</f>
        <v/>
      </c>
    </row>
    <row r="961" customFormat="false" ht="15" hidden="false" customHeight="false" outlineLevel="0" collapsed="false">
      <c r="A961" s="19"/>
      <c r="B961" s="19"/>
      <c r="C961" s="20"/>
      <c r="D961" s="19"/>
      <c r="E961" s="26" t="str">
        <f aca="false">IF(A961="","",COUNTIFS(Apparitions!$A$2:$A$5001,A961,Apparitions!$B$2:$B$5001,B961))</f>
        <v/>
      </c>
      <c r="F961" s="27" t="str">
        <f aca="false">IF(A961="","",A961&amp;"|"&amp;B961)</f>
        <v/>
      </c>
    </row>
    <row r="962" customFormat="false" ht="15" hidden="false" customHeight="false" outlineLevel="0" collapsed="false">
      <c r="A962" s="19"/>
      <c r="B962" s="19"/>
      <c r="C962" s="20"/>
      <c r="D962" s="19"/>
      <c r="E962" s="26" t="str">
        <f aca="false">IF(A962="","",COUNTIFS(Apparitions!$A$2:$A$5001,A962,Apparitions!$B$2:$B$5001,B962))</f>
        <v/>
      </c>
      <c r="F962" s="27" t="str">
        <f aca="false">IF(A962="","",A962&amp;"|"&amp;B962)</f>
        <v/>
      </c>
    </row>
    <row r="963" customFormat="false" ht="15" hidden="false" customHeight="false" outlineLevel="0" collapsed="false">
      <c r="A963" s="19"/>
      <c r="B963" s="19"/>
      <c r="C963" s="20"/>
      <c r="D963" s="19"/>
      <c r="E963" s="26" t="str">
        <f aca="false">IF(A963="","",COUNTIFS(Apparitions!$A$2:$A$5001,A963,Apparitions!$B$2:$B$5001,B963))</f>
        <v/>
      </c>
      <c r="F963" s="27" t="str">
        <f aca="false">IF(A963="","",A963&amp;"|"&amp;B963)</f>
        <v/>
      </c>
    </row>
    <row r="964" customFormat="false" ht="15" hidden="false" customHeight="false" outlineLevel="0" collapsed="false">
      <c r="A964" s="19"/>
      <c r="B964" s="19"/>
      <c r="C964" s="20"/>
      <c r="D964" s="19"/>
      <c r="E964" s="26" t="str">
        <f aca="false">IF(A964="","",COUNTIFS(Apparitions!$A$2:$A$5001,A964,Apparitions!$B$2:$B$5001,B964))</f>
        <v/>
      </c>
      <c r="F964" s="27" t="str">
        <f aca="false">IF(A964="","",A964&amp;"|"&amp;B964)</f>
        <v/>
      </c>
    </row>
    <row r="965" customFormat="false" ht="15" hidden="false" customHeight="false" outlineLevel="0" collapsed="false">
      <c r="A965" s="19"/>
      <c r="B965" s="19"/>
      <c r="C965" s="20"/>
      <c r="D965" s="19"/>
      <c r="E965" s="26" t="str">
        <f aca="false">IF(A965="","",COUNTIFS(Apparitions!$A$2:$A$5001,A965,Apparitions!$B$2:$B$5001,B965))</f>
        <v/>
      </c>
      <c r="F965" s="27" t="str">
        <f aca="false">IF(A965="","",A965&amp;"|"&amp;B965)</f>
        <v/>
      </c>
    </row>
    <row r="966" customFormat="false" ht="15" hidden="false" customHeight="false" outlineLevel="0" collapsed="false">
      <c r="A966" s="19"/>
      <c r="B966" s="19"/>
      <c r="C966" s="20"/>
      <c r="D966" s="19"/>
      <c r="E966" s="26" t="str">
        <f aca="false">IF(A966="","",COUNTIFS(Apparitions!$A$2:$A$5001,A966,Apparitions!$B$2:$B$5001,B966))</f>
        <v/>
      </c>
      <c r="F966" s="27" t="str">
        <f aca="false">IF(A966="","",A966&amp;"|"&amp;B966)</f>
        <v/>
      </c>
    </row>
    <row r="967" customFormat="false" ht="15" hidden="false" customHeight="false" outlineLevel="0" collapsed="false">
      <c r="A967" s="19"/>
      <c r="B967" s="19"/>
      <c r="C967" s="20"/>
      <c r="D967" s="19"/>
      <c r="E967" s="26" t="str">
        <f aca="false">IF(A967="","",COUNTIFS(Apparitions!$A$2:$A$5001,A967,Apparitions!$B$2:$B$5001,B967))</f>
        <v/>
      </c>
      <c r="F967" s="27" t="str">
        <f aca="false">IF(A967="","",A967&amp;"|"&amp;B967)</f>
        <v/>
      </c>
    </row>
    <row r="968" customFormat="false" ht="15" hidden="false" customHeight="false" outlineLevel="0" collapsed="false">
      <c r="A968" s="19"/>
      <c r="B968" s="19"/>
      <c r="C968" s="20"/>
      <c r="D968" s="19"/>
      <c r="E968" s="26" t="str">
        <f aca="false">IF(A968="","",COUNTIFS(Apparitions!$A$2:$A$5001,A968,Apparitions!$B$2:$B$5001,B968))</f>
        <v/>
      </c>
      <c r="F968" s="27" t="str">
        <f aca="false">IF(A968="","",A968&amp;"|"&amp;B968)</f>
        <v/>
      </c>
    </row>
    <row r="969" customFormat="false" ht="15" hidden="false" customHeight="false" outlineLevel="0" collapsed="false">
      <c r="A969" s="19"/>
      <c r="B969" s="19"/>
      <c r="C969" s="20"/>
      <c r="D969" s="19"/>
      <c r="E969" s="26" t="str">
        <f aca="false">IF(A969="","",COUNTIFS(Apparitions!$A$2:$A$5001,A969,Apparitions!$B$2:$B$5001,B969))</f>
        <v/>
      </c>
      <c r="F969" s="27" t="str">
        <f aca="false">IF(A969="","",A969&amp;"|"&amp;B969)</f>
        <v/>
      </c>
    </row>
    <row r="970" customFormat="false" ht="15" hidden="false" customHeight="false" outlineLevel="0" collapsed="false">
      <c r="A970" s="19"/>
      <c r="B970" s="19"/>
      <c r="C970" s="20"/>
      <c r="D970" s="19"/>
      <c r="E970" s="26" t="str">
        <f aca="false">IF(A970="","",COUNTIFS(Apparitions!$A$2:$A$5001,A970,Apparitions!$B$2:$B$5001,B970))</f>
        <v/>
      </c>
      <c r="F970" s="27" t="str">
        <f aca="false">IF(A970="","",A970&amp;"|"&amp;B970)</f>
        <v/>
      </c>
    </row>
    <row r="971" customFormat="false" ht="15" hidden="false" customHeight="false" outlineLevel="0" collapsed="false">
      <c r="A971" s="19"/>
      <c r="B971" s="19"/>
      <c r="C971" s="20"/>
      <c r="D971" s="19"/>
      <c r="E971" s="26" t="str">
        <f aca="false">IF(A971="","",COUNTIFS(Apparitions!$A$2:$A$5001,A971,Apparitions!$B$2:$B$5001,B971))</f>
        <v/>
      </c>
      <c r="F971" s="27" t="str">
        <f aca="false">IF(A971="","",A971&amp;"|"&amp;B971)</f>
        <v/>
      </c>
    </row>
    <row r="972" customFormat="false" ht="15" hidden="false" customHeight="false" outlineLevel="0" collapsed="false">
      <c r="A972" s="19"/>
      <c r="B972" s="19"/>
      <c r="C972" s="20"/>
      <c r="D972" s="19"/>
      <c r="E972" s="26" t="str">
        <f aca="false">IF(A972="","",COUNTIFS(Apparitions!$A$2:$A$5001,A972,Apparitions!$B$2:$B$5001,B972))</f>
        <v/>
      </c>
      <c r="F972" s="27" t="str">
        <f aca="false">IF(A972="","",A972&amp;"|"&amp;B972)</f>
        <v/>
      </c>
    </row>
    <row r="973" customFormat="false" ht="15" hidden="false" customHeight="false" outlineLevel="0" collapsed="false">
      <c r="A973" s="19"/>
      <c r="B973" s="19"/>
      <c r="C973" s="20"/>
      <c r="D973" s="19"/>
      <c r="E973" s="26" t="str">
        <f aca="false">IF(A973="","",COUNTIFS(Apparitions!$A$2:$A$5001,A973,Apparitions!$B$2:$B$5001,B973))</f>
        <v/>
      </c>
      <c r="F973" s="27" t="str">
        <f aca="false">IF(A973="","",A973&amp;"|"&amp;B973)</f>
        <v/>
      </c>
    </row>
    <row r="974" customFormat="false" ht="15" hidden="false" customHeight="false" outlineLevel="0" collapsed="false">
      <c r="A974" s="19"/>
      <c r="B974" s="19"/>
      <c r="C974" s="20"/>
      <c r="D974" s="19"/>
      <c r="E974" s="26" t="str">
        <f aca="false">IF(A974="","",COUNTIFS(Apparitions!$A$2:$A$5001,A974,Apparitions!$B$2:$B$5001,B974))</f>
        <v/>
      </c>
      <c r="F974" s="27" t="str">
        <f aca="false">IF(A974="","",A974&amp;"|"&amp;B974)</f>
        <v/>
      </c>
    </row>
    <row r="975" customFormat="false" ht="15" hidden="false" customHeight="false" outlineLevel="0" collapsed="false">
      <c r="A975" s="19"/>
      <c r="B975" s="19"/>
      <c r="C975" s="20"/>
      <c r="D975" s="19"/>
      <c r="E975" s="26" t="str">
        <f aca="false">IF(A975="","",COUNTIFS(Apparitions!$A$2:$A$5001,A975,Apparitions!$B$2:$B$5001,B975))</f>
        <v/>
      </c>
      <c r="F975" s="27" t="str">
        <f aca="false">IF(A975="","",A975&amp;"|"&amp;B975)</f>
        <v/>
      </c>
    </row>
    <row r="976" customFormat="false" ht="15" hidden="false" customHeight="false" outlineLevel="0" collapsed="false">
      <c r="A976" s="19"/>
      <c r="B976" s="19"/>
      <c r="C976" s="20"/>
      <c r="D976" s="19"/>
      <c r="E976" s="26" t="str">
        <f aca="false">IF(A976="","",COUNTIFS(Apparitions!$A$2:$A$5001,A976,Apparitions!$B$2:$B$5001,B976))</f>
        <v/>
      </c>
      <c r="F976" s="27" t="str">
        <f aca="false">IF(A976="","",A976&amp;"|"&amp;B976)</f>
        <v/>
      </c>
    </row>
    <row r="977" customFormat="false" ht="15" hidden="false" customHeight="false" outlineLevel="0" collapsed="false">
      <c r="A977" s="19"/>
      <c r="B977" s="19"/>
      <c r="C977" s="20"/>
      <c r="D977" s="19"/>
      <c r="E977" s="26" t="str">
        <f aca="false">IF(A977="","",COUNTIFS(Apparitions!$A$2:$A$5001,A977,Apparitions!$B$2:$B$5001,B977))</f>
        <v/>
      </c>
      <c r="F977" s="27" t="str">
        <f aca="false">IF(A977="","",A977&amp;"|"&amp;B977)</f>
        <v/>
      </c>
    </row>
    <row r="978" customFormat="false" ht="15" hidden="false" customHeight="false" outlineLevel="0" collapsed="false">
      <c r="A978" s="19"/>
      <c r="B978" s="19"/>
      <c r="C978" s="20"/>
      <c r="D978" s="19"/>
      <c r="E978" s="26" t="str">
        <f aca="false">IF(A978="","",COUNTIFS(Apparitions!$A$2:$A$5001,A978,Apparitions!$B$2:$B$5001,B978))</f>
        <v/>
      </c>
      <c r="F978" s="27" t="str">
        <f aca="false">IF(A978="","",A978&amp;"|"&amp;B978)</f>
        <v/>
      </c>
    </row>
    <row r="979" customFormat="false" ht="15" hidden="false" customHeight="false" outlineLevel="0" collapsed="false">
      <c r="A979" s="19"/>
      <c r="B979" s="19"/>
      <c r="C979" s="20"/>
      <c r="D979" s="19"/>
      <c r="E979" s="26" t="str">
        <f aca="false">IF(A979="","",COUNTIFS(Apparitions!$A$2:$A$5001,A979,Apparitions!$B$2:$B$5001,B979))</f>
        <v/>
      </c>
      <c r="F979" s="27" t="str">
        <f aca="false">IF(A979="","",A979&amp;"|"&amp;B979)</f>
        <v/>
      </c>
    </row>
    <row r="980" customFormat="false" ht="15" hidden="false" customHeight="false" outlineLevel="0" collapsed="false">
      <c r="A980" s="19"/>
      <c r="B980" s="19"/>
      <c r="C980" s="20"/>
      <c r="D980" s="19"/>
      <c r="E980" s="26" t="str">
        <f aca="false">IF(A980="","",COUNTIFS(Apparitions!$A$2:$A$5001,A980,Apparitions!$B$2:$B$5001,B980))</f>
        <v/>
      </c>
      <c r="F980" s="27" t="str">
        <f aca="false">IF(A980="","",A980&amp;"|"&amp;B980)</f>
        <v/>
      </c>
    </row>
    <row r="981" customFormat="false" ht="15" hidden="false" customHeight="false" outlineLevel="0" collapsed="false">
      <c r="A981" s="19"/>
      <c r="B981" s="19"/>
      <c r="C981" s="20"/>
      <c r="D981" s="19"/>
      <c r="E981" s="26" t="str">
        <f aca="false">IF(A981="","",COUNTIFS(Apparitions!$A$2:$A$5001,A981,Apparitions!$B$2:$B$5001,B981))</f>
        <v/>
      </c>
      <c r="F981" s="27" t="str">
        <f aca="false">IF(A981="","",A981&amp;"|"&amp;B981)</f>
        <v/>
      </c>
    </row>
    <row r="982" customFormat="false" ht="15" hidden="false" customHeight="false" outlineLevel="0" collapsed="false">
      <c r="A982" s="19"/>
      <c r="B982" s="19"/>
      <c r="C982" s="20"/>
      <c r="D982" s="19"/>
      <c r="E982" s="26" t="str">
        <f aca="false">IF(A982="","",COUNTIFS(Apparitions!$A$2:$A$5001,A982,Apparitions!$B$2:$B$5001,B982))</f>
        <v/>
      </c>
      <c r="F982" s="27" t="str">
        <f aca="false">IF(A982="","",A982&amp;"|"&amp;B982)</f>
        <v/>
      </c>
    </row>
    <row r="983" customFormat="false" ht="15" hidden="false" customHeight="false" outlineLevel="0" collapsed="false">
      <c r="A983" s="19"/>
      <c r="B983" s="19"/>
      <c r="C983" s="20"/>
      <c r="D983" s="19"/>
      <c r="E983" s="26" t="str">
        <f aca="false">IF(A983="","",COUNTIFS(Apparitions!$A$2:$A$5001,A983,Apparitions!$B$2:$B$5001,B983))</f>
        <v/>
      </c>
      <c r="F983" s="27" t="str">
        <f aca="false">IF(A983="","",A983&amp;"|"&amp;B983)</f>
        <v/>
      </c>
    </row>
    <row r="984" customFormat="false" ht="15" hidden="false" customHeight="false" outlineLevel="0" collapsed="false">
      <c r="A984" s="19"/>
      <c r="B984" s="19"/>
      <c r="C984" s="20"/>
      <c r="D984" s="19"/>
      <c r="E984" s="26" t="str">
        <f aca="false">IF(A984="","",COUNTIFS(Apparitions!$A$2:$A$5001,A984,Apparitions!$B$2:$B$5001,B984))</f>
        <v/>
      </c>
      <c r="F984" s="27" t="str">
        <f aca="false">IF(A984="","",A984&amp;"|"&amp;B984)</f>
        <v/>
      </c>
    </row>
    <row r="985" customFormat="false" ht="15" hidden="false" customHeight="false" outlineLevel="0" collapsed="false">
      <c r="A985" s="19"/>
      <c r="B985" s="19"/>
      <c r="C985" s="20"/>
      <c r="D985" s="19"/>
      <c r="E985" s="26" t="str">
        <f aca="false">IF(A985="","",COUNTIFS(Apparitions!$A$2:$A$5001,A985,Apparitions!$B$2:$B$5001,B985))</f>
        <v/>
      </c>
      <c r="F985" s="27" t="str">
        <f aca="false">IF(A985="","",A985&amp;"|"&amp;B985)</f>
        <v/>
      </c>
    </row>
    <row r="986" customFormat="false" ht="15" hidden="false" customHeight="false" outlineLevel="0" collapsed="false">
      <c r="A986" s="19"/>
      <c r="B986" s="19"/>
      <c r="C986" s="20"/>
      <c r="D986" s="19"/>
      <c r="E986" s="26" t="str">
        <f aca="false">IF(A986="","",COUNTIFS(Apparitions!$A$2:$A$5001,A986,Apparitions!$B$2:$B$5001,B986))</f>
        <v/>
      </c>
      <c r="F986" s="27" t="str">
        <f aca="false">IF(A986="","",A986&amp;"|"&amp;B986)</f>
        <v/>
      </c>
    </row>
    <row r="987" customFormat="false" ht="15" hidden="false" customHeight="false" outlineLevel="0" collapsed="false">
      <c r="A987" s="19"/>
      <c r="B987" s="19"/>
      <c r="C987" s="20"/>
      <c r="D987" s="19"/>
      <c r="E987" s="26" t="str">
        <f aca="false">IF(A987="","",COUNTIFS(Apparitions!$A$2:$A$5001,A987,Apparitions!$B$2:$B$5001,B987))</f>
        <v/>
      </c>
      <c r="F987" s="27" t="str">
        <f aca="false">IF(A987="","",A987&amp;"|"&amp;B987)</f>
        <v/>
      </c>
    </row>
    <row r="988" customFormat="false" ht="15" hidden="false" customHeight="false" outlineLevel="0" collapsed="false">
      <c r="A988" s="19"/>
      <c r="B988" s="19"/>
      <c r="C988" s="20"/>
      <c r="D988" s="19"/>
      <c r="E988" s="26" t="str">
        <f aca="false">IF(A988="","",COUNTIFS(Apparitions!$A$2:$A$5001,A988,Apparitions!$B$2:$B$5001,B988))</f>
        <v/>
      </c>
      <c r="F988" s="27" t="str">
        <f aca="false">IF(A988="","",A988&amp;"|"&amp;B988)</f>
        <v/>
      </c>
    </row>
    <row r="989" customFormat="false" ht="15" hidden="false" customHeight="false" outlineLevel="0" collapsed="false">
      <c r="A989" s="19"/>
      <c r="B989" s="19"/>
      <c r="C989" s="20"/>
      <c r="D989" s="19"/>
      <c r="E989" s="26" t="str">
        <f aca="false">IF(A989="","",COUNTIFS(Apparitions!$A$2:$A$5001,A989,Apparitions!$B$2:$B$5001,B989))</f>
        <v/>
      </c>
      <c r="F989" s="27" t="str">
        <f aca="false">IF(A989="","",A989&amp;"|"&amp;B989)</f>
        <v/>
      </c>
    </row>
    <row r="990" customFormat="false" ht="15" hidden="false" customHeight="false" outlineLevel="0" collapsed="false">
      <c r="A990" s="19"/>
      <c r="B990" s="19"/>
      <c r="C990" s="20"/>
      <c r="D990" s="19"/>
      <c r="E990" s="26" t="str">
        <f aca="false">IF(A990="","",COUNTIFS(Apparitions!$A$2:$A$5001,A990,Apparitions!$B$2:$B$5001,B990))</f>
        <v/>
      </c>
      <c r="F990" s="27" t="str">
        <f aca="false">IF(A990="","",A990&amp;"|"&amp;B990)</f>
        <v/>
      </c>
    </row>
    <row r="991" customFormat="false" ht="15" hidden="false" customHeight="false" outlineLevel="0" collapsed="false">
      <c r="A991" s="19"/>
      <c r="B991" s="19"/>
      <c r="C991" s="20"/>
      <c r="D991" s="19"/>
      <c r="E991" s="26" t="str">
        <f aca="false">IF(A991="","",COUNTIFS(Apparitions!$A$2:$A$5001,A991,Apparitions!$B$2:$B$5001,B991))</f>
        <v/>
      </c>
      <c r="F991" s="27" t="str">
        <f aca="false">IF(A991="","",A991&amp;"|"&amp;B991)</f>
        <v/>
      </c>
    </row>
    <row r="992" customFormat="false" ht="15" hidden="false" customHeight="false" outlineLevel="0" collapsed="false">
      <c r="A992" s="19"/>
      <c r="B992" s="19"/>
      <c r="C992" s="20"/>
      <c r="D992" s="19"/>
      <c r="E992" s="26" t="str">
        <f aca="false">IF(A992="","",COUNTIFS(Apparitions!$A$2:$A$5001,A992,Apparitions!$B$2:$B$5001,B992))</f>
        <v/>
      </c>
      <c r="F992" s="27" t="str">
        <f aca="false">IF(A992="","",A992&amp;"|"&amp;B992)</f>
        <v/>
      </c>
    </row>
    <row r="993" customFormat="false" ht="15" hidden="false" customHeight="false" outlineLevel="0" collapsed="false">
      <c r="A993" s="19"/>
      <c r="B993" s="19"/>
      <c r="C993" s="20"/>
      <c r="D993" s="19"/>
      <c r="E993" s="26" t="str">
        <f aca="false">IF(A993="","",COUNTIFS(Apparitions!$A$2:$A$5001,A993,Apparitions!$B$2:$B$5001,B993))</f>
        <v/>
      </c>
      <c r="F993" s="27" t="str">
        <f aca="false">IF(A993="","",A993&amp;"|"&amp;B993)</f>
        <v/>
      </c>
    </row>
    <row r="994" customFormat="false" ht="15" hidden="false" customHeight="false" outlineLevel="0" collapsed="false">
      <c r="A994" s="19"/>
      <c r="B994" s="19"/>
      <c r="C994" s="20"/>
      <c r="D994" s="19"/>
      <c r="E994" s="26" t="str">
        <f aca="false">IF(A994="","",COUNTIFS(Apparitions!$A$2:$A$5001,A994,Apparitions!$B$2:$B$5001,B994))</f>
        <v/>
      </c>
      <c r="F994" s="27" t="str">
        <f aca="false">IF(A994="","",A994&amp;"|"&amp;B994)</f>
        <v/>
      </c>
    </row>
    <row r="995" customFormat="false" ht="15" hidden="false" customHeight="false" outlineLevel="0" collapsed="false">
      <c r="A995" s="19"/>
      <c r="B995" s="19"/>
      <c r="C995" s="20"/>
      <c r="D995" s="19"/>
      <c r="E995" s="26" t="str">
        <f aca="false">IF(A995="","",COUNTIFS(Apparitions!$A$2:$A$5001,A995,Apparitions!$B$2:$B$5001,B995))</f>
        <v/>
      </c>
      <c r="F995" s="27" t="str">
        <f aca="false">IF(A995="","",A995&amp;"|"&amp;B995)</f>
        <v/>
      </c>
    </row>
    <row r="996" customFormat="false" ht="15" hidden="false" customHeight="false" outlineLevel="0" collapsed="false">
      <c r="A996" s="19"/>
      <c r="B996" s="19"/>
      <c r="C996" s="20"/>
      <c r="D996" s="19"/>
      <c r="E996" s="26" t="str">
        <f aca="false">IF(A996="","",COUNTIFS(Apparitions!$A$2:$A$5001,A996,Apparitions!$B$2:$B$5001,B996))</f>
        <v/>
      </c>
      <c r="F996" s="27" t="str">
        <f aca="false">IF(A996="","",A996&amp;"|"&amp;B996)</f>
        <v/>
      </c>
    </row>
    <row r="997" customFormat="false" ht="15" hidden="false" customHeight="false" outlineLevel="0" collapsed="false">
      <c r="A997" s="19"/>
      <c r="B997" s="19"/>
      <c r="C997" s="20"/>
      <c r="D997" s="19"/>
      <c r="E997" s="26" t="str">
        <f aca="false">IF(A997="","",COUNTIFS(Apparitions!$A$2:$A$5001,A997,Apparitions!$B$2:$B$5001,B997))</f>
        <v/>
      </c>
      <c r="F997" s="27" t="str">
        <f aca="false">IF(A997="","",A997&amp;"|"&amp;B997)</f>
        <v/>
      </c>
    </row>
    <row r="998" customFormat="false" ht="15" hidden="false" customHeight="false" outlineLevel="0" collapsed="false">
      <c r="A998" s="19"/>
      <c r="B998" s="19"/>
      <c r="C998" s="20"/>
      <c r="D998" s="19"/>
      <c r="E998" s="26" t="str">
        <f aca="false">IF(A998="","",COUNTIFS(Apparitions!$A$2:$A$5001,A998,Apparitions!$B$2:$B$5001,B998))</f>
        <v/>
      </c>
      <c r="F998" s="27" t="str">
        <f aca="false">IF(A998="","",A998&amp;"|"&amp;B998)</f>
        <v/>
      </c>
    </row>
    <row r="999" customFormat="false" ht="15" hidden="false" customHeight="false" outlineLevel="0" collapsed="false">
      <c r="A999" s="19"/>
      <c r="B999" s="19"/>
      <c r="C999" s="20"/>
      <c r="D999" s="19"/>
      <c r="E999" s="26" t="str">
        <f aca="false">IF(A999="","",COUNTIFS(Apparitions!$A$2:$A$5001,A999,Apparitions!$B$2:$B$5001,B999))</f>
        <v/>
      </c>
      <c r="F999" s="27" t="str">
        <f aca="false">IF(A999="","",A999&amp;"|"&amp;B999)</f>
        <v/>
      </c>
    </row>
    <row r="1000" customFormat="false" ht="15" hidden="false" customHeight="false" outlineLevel="0" collapsed="false">
      <c r="A1000" s="19"/>
      <c r="B1000" s="19"/>
      <c r="C1000" s="20"/>
      <c r="D1000" s="19"/>
      <c r="E1000" s="26" t="str">
        <f aca="false">IF(A1000="","",COUNTIFS(Apparitions!$A$2:$A$5001,A1000,Apparitions!$B$2:$B$5001,B1000))</f>
        <v/>
      </c>
      <c r="F1000" s="27" t="str">
        <f aca="false">IF(A1000="","",A1000&amp;"|"&amp;B1000)</f>
        <v/>
      </c>
    </row>
    <row r="1001" customFormat="false" ht="15" hidden="false" customHeight="false" outlineLevel="0" collapsed="false">
      <c r="A1001" s="19"/>
      <c r="B1001" s="19"/>
      <c r="C1001" s="20"/>
      <c r="D1001" s="19"/>
      <c r="E1001" s="26" t="str">
        <f aca="false">IF(A1001="","",COUNTIFS(Apparitions!$A$2:$A$5001,A1001,Apparitions!$B$2:$B$5001,B1001))</f>
        <v/>
      </c>
      <c r="F1001" s="27" t="str">
        <f aca="false">IF(A1001="","",A1001&amp;"|"&amp;B1001)</f>
        <v/>
      </c>
    </row>
    <row r="1002" customFormat="false" ht="15" hidden="false" customHeight="false" outlineLevel="0" collapsed="false">
      <c r="A1002" s="19"/>
      <c r="B1002" s="19"/>
      <c r="C1002" s="20"/>
      <c r="D1002" s="19"/>
      <c r="E1002" s="26" t="str">
        <f aca="false">IF(A1002="","",COUNTIFS(Apparitions!$A$2:$A$5001,A1002,Apparitions!$B$2:$B$5001,B1002))</f>
        <v/>
      </c>
      <c r="F1002" s="27" t="str">
        <f aca="false">IF(A1002="","",A1002&amp;"|"&amp;B1002)</f>
        <v/>
      </c>
    </row>
    <row r="1003" customFormat="false" ht="15" hidden="false" customHeight="false" outlineLevel="0" collapsed="false">
      <c r="A1003" s="19"/>
      <c r="B1003" s="19"/>
      <c r="C1003" s="20"/>
      <c r="D1003" s="19"/>
      <c r="E1003" s="26" t="str">
        <f aca="false">IF(A1003="","",COUNTIFS(Apparitions!$A$2:$A$5001,A1003,Apparitions!$B$2:$B$5001,B1003))</f>
        <v/>
      </c>
      <c r="F1003" s="27" t="str">
        <f aca="false">IF(A1003="","",A1003&amp;"|"&amp;B1003)</f>
        <v/>
      </c>
    </row>
    <row r="1004" customFormat="false" ht="15" hidden="false" customHeight="false" outlineLevel="0" collapsed="false">
      <c r="A1004" s="19"/>
      <c r="B1004" s="19"/>
      <c r="C1004" s="20"/>
      <c r="D1004" s="19"/>
      <c r="E1004" s="26" t="str">
        <f aca="false">IF(A1004="","",COUNTIFS(Apparitions!$A$2:$A$5001,A1004,Apparitions!$B$2:$B$5001,B1004))</f>
        <v/>
      </c>
      <c r="F1004" s="27" t="str">
        <f aca="false">IF(A1004="","",A1004&amp;"|"&amp;B1004)</f>
        <v/>
      </c>
    </row>
    <row r="1005" customFormat="false" ht="15" hidden="false" customHeight="false" outlineLevel="0" collapsed="false">
      <c r="A1005" s="19"/>
      <c r="B1005" s="19"/>
      <c r="C1005" s="20"/>
      <c r="D1005" s="19"/>
      <c r="E1005" s="26" t="str">
        <f aca="false">IF(A1005="","",COUNTIFS(Apparitions!$A$2:$A$5001,A1005,Apparitions!$B$2:$B$5001,B1005))</f>
        <v/>
      </c>
      <c r="F1005" s="27" t="str">
        <f aca="false">IF(A1005="","",A1005&amp;"|"&amp;B1005)</f>
        <v/>
      </c>
    </row>
    <row r="1006" customFormat="false" ht="15" hidden="false" customHeight="false" outlineLevel="0" collapsed="false">
      <c r="A1006" s="19"/>
      <c r="B1006" s="19"/>
      <c r="C1006" s="20"/>
      <c r="D1006" s="19"/>
      <c r="E1006" s="26" t="str">
        <f aca="false">IF(A1006="","",COUNTIFS(Apparitions!$A$2:$A$5001,A1006,Apparitions!$B$2:$B$5001,B1006))</f>
        <v/>
      </c>
      <c r="F1006" s="27" t="str">
        <f aca="false">IF(A1006="","",A1006&amp;"|"&amp;B1006)</f>
        <v/>
      </c>
    </row>
    <row r="1007" customFormat="false" ht="15" hidden="false" customHeight="false" outlineLevel="0" collapsed="false">
      <c r="A1007" s="19"/>
      <c r="B1007" s="19"/>
      <c r="C1007" s="20"/>
      <c r="D1007" s="19"/>
      <c r="E1007" s="26" t="str">
        <f aca="false">IF(A1007="","",COUNTIFS(Apparitions!$A$2:$A$5001,A1007,Apparitions!$B$2:$B$5001,B1007))</f>
        <v/>
      </c>
      <c r="F1007" s="27" t="str">
        <f aca="false">IF(A1007="","",A1007&amp;"|"&amp;B1007)</f>
        <v/>
      </c>
    </row>
    <row r="1008" customFormat="false" ht="15" hidden="false" customHeight="false" outlineLevel="0" collapsed="false">
      <c r="A1008" s="19"/>
      <c r="B1008" s="19"/>
      <c r="C1008" s="20"/>
      <c r="D1008" s="19"/>
      <c r="E1008" s="26" t="str">
        <f aca="false">IF(A1008="","",COUNTIFS(Apparitions!$A$2:$A$5001,A1008,Apparitions!$B$2:$B$5001,B1008))</f>
        <v/>
      </c>
      <c r="F1008" s="27" t="str">
        <f aca="false">IF(A1008="","",A1008&amp;"|"&amp;B1008)</f>
        <v/>
      </c>
    </row>
    <row r="1009" customFormat="false" ht="15" hidden="false" customHeight="false" outlineLevel="0" collapsed="false">
      <c r="A1009" s="19"/>
      <c r="B1009" s="19"/>
      <c r="C1009" s="20"/>
      <c r="D1009" s="19"/>
      <c r="E1009" s="26" t="str">
        <f aca="false">IF(A1009="","",COUNTIFS(Apparitions!$A$2:$A$5001,A1009,Apparitions!$B$2:$B$5001,B1009))</f>
        <v/>
      </c>
      <c r="F1009" s="27" t="str">
        <f aca="false">IF(A1009="","",A1009&amp;"|"&amp;B1009)</f>
        <v/>
      </c>
    </row>
    <row r="1010" customFormat="false" ht="15" hidden="false" customHeight="false" outlineLevel="0" collapsed="false">
      <c r="A1010" s="19"/>
      <c r="B1010" s="19"/>
      <c r="C1010" s="20"/>
      <c r="D1010" s="19"/>
      <c r="E1010" s="26" t="str">
        <f aca="false">IF(A1010="","",COUNTIFS(Apparitions!$A$2:$A$5001,A1010,Apparitions!$B$2:$B$5001,B1010))</f>
        <v/>
      </c>
      <c r="F1010" s="27" t="str">
        <f aca="false">IF(A1010="","",A1010&amp;"|"&amp;B1010)</f>
        <v/>
      </c>
    </row>
    <row r="1011" customFormat="false" ht="15" hidden="false" customHeight="false" outlineLevel="0" collapsed="false">
      <c r="A1011" s="19"/>
      <c r="B1011" s="19"/>
      <c r="C1011" s="20"/>
      <c r="D1011" s="19"/>
      <c r="E1011" s="26" t="str">
        <f aca="false">IF(A1011="","",COUNTIFS(Apparitions!$A$2:$A$5001,A1011,Apparitions!$B$2:$B$5001,B1011))</f>
        <v/>
      </c>
      <c r="F1011" s="27" t="str">
        <f aca="false">IF(A1011="","",A1011&amp;"|"&amp;B1011)</f>
        <v/>
      </c>
    </row>
    <row r="1012" customFormat="false" ht="15" hidden="false" customHeight="false" outlineLevel="0" collapsed="false">
      <c r="A1012" s="19"/>
      <c r="B1012" s="19"/>
      <c r="C1012" s="20"/>
      <c r="D1012" s="19"/>
      <c r="E1012" s="26" t="str">
        <f aca="false">IF(A1012="","",COUNTIFS(Apparitions!$A$2:$A$5001,A1012,Apparitions!$B$2:$B$5001,B1012))</f>
        <v/>
      </c>
      <c r="F1012" s="27" t="str">
        <f aca="false">IF(A1012="","",A1012&amp;"|"&amp;B1012)</f>
        <v/>
      </c>
    </row>
    <row r="1013" customFormat="false" ht="15" hidden="false" customHeight="false" outlineLevel="0" collapsed="false">
      <c r="A1013" s="19"/>
      <c r="B1013" s="19"/>
      <c r="C1013" s="20"/>
      <c r="D1013" s="19"/>
      <c r="E1013" s="26" t="str">
        <f aca="false">IF(A1013="","",COUNTIFS(Apparitions!$A$2:$A$5001,A1013,Apparitions!$B$2:$B$5001,B1013))</f>
        <v/>
      </c>
      <c r="F1013" s="27" t="str">
        <f aca="false">IF(A1013="","",A1013&amp;"|"&amp;B1013)</f>
        <v/>
      </c>
    </row>
    <row r="1014" customFormat="false" ht="15" hidden="false" customHeight="false" outlineLevel="0" collapsed="false">
      <c r="A1014" s="19"/>
      <c r="B1014" s="19"/>
      <c r="C1014" s="20"/>
      <c r="D1014" s="19"/>
      <c r="E1014" s="26" t="str">
        <f aca="false">IF(A1014="","",COUNTIFS(Apparitions!$A$2:$A$5001,A1014,Apparitions!$B$2:$B$5001,B1014))</f>
        <v/>
      </c>
      <c r="F1014" s="27" t="str">
        <f aca="false">IF(A1014="","",A1014&amp;"|"&amp;B1014)</f>
        <v/>
      </c>
    </row>
    <row r="1015" customFormat="false" ht="15" hidden="false" customHeight="false" outlineLevel="0" collapsed="false">
      <c r="A1015" s="19"/>
      <c r="B1015" s="19"/>
      <c r="C1015" s="20"/>
      <c r="D1015" s="19"/>
      <c r="E1015" s="26" t="str">
        <f aca="false">IF(A1015="","",COUNTIFS(Apparitions!$A$2:$A$5001,A1015,Apparitions!$B$2:$B$5001,B1015))</f>
        <v/>
      </c>
      <c r="F1015" s="27" t="str">
        <f aca="false">IF(A1015="","",A1015&amp;"|"&amp;B1015)</f>
        <v/>
      </c>
    </row>
    <row r="1016" customFormat="false" ht="15" hidden="false" customHeight="false" outlineLevel="0" collapsed="false">
      <c r="A1016" s="19"/>
      <c r="B1016" s="19"/>
      <c r="C1016" s="20"/>
      <c r="D1016" s="19"/>
      <c r="E1016" s="26" t="str">
        <f aca="false">IF(A1016="","",COUNTIFS(Apparitions!$A$2:$A$5001,A1016,Apparitions!$B$2:$B$5001,B1016))</f>
        <v/>
      </c>
      <c r="F1016" s="27" t="str">
        <f aca="false">IF(A1016="","",A1016&amp;"|"&amp;B1016)</f>
        <v/>
      </c>
    </row>
    <row r="1017" customFormat="false" ht="15" hidden="false" customHeight="false" outlineLevel="0" collapsed="false">
      <c r="A1017" s="19"/>
      <c r="B1017" s="19"/>
      <c r="C1017" s="20"/>
      <c r="D1017" s="19"/>
      <c r="E1017" s="26" t="str">
        <f aca="false">IF(A1017="","",COUNTIFS(Apparitions!$A$2:$A$5001,A1017,Apparitions!$B$2:$B$5001,B1017))</f>
        <v/>
      </c>
      <c r="F1017" s="27" t="str">
        <f aca="false">IF(A1017="","",A1017&amp;"|"&amp;B1017)</f>
        <v/>
      </c>
    </row>
    <row r="1018" customFormat="false" ht="15" hidden="false" customHeight="false" outlineLevel="0" collapsed="false">
      <c r="A1018" s="19"/>
      <c r="B1018" s="19"/>
      <c r="C1018" s="20"/>
      <c r="D1018" s="19"/>
      <c r="E1018" s="26" t="str">
        <f aca="false">IF(A1018="","",COUNTIFS(Apparitions!$A$2:$A$5001,A1018,Apparitions!$B$2:$B$5001,B1018))</f>
        <v/>
      </c>
      <c r="F1018" s="27" t="str">
        <f aca="false">IF(A1018="","",A1018&amp;"|"&amp;B1018)</f>
        <v/>
      </c>
    </row>
    <row r="1019" customFormat="false" ht="15" hidden="false" customHeight="false" outlineLevel="0" collapsed="false">
      <c r="A1019" s="19"/>
      <c r="B1019" s="19"/>
      <c r="C1019" s="20"/>
      <c r="D1019" s="19"/>
      <c r="E1019" s="26" t="str">
        <f aca="false">IF(A1019="","",COUNTIFS(Apparitions!$A$2:$A$5001,A1019,Apparitions!$B$2:$B$5001,B1019))</f>
        <v/>
      </c>
      <c r="F1019" s="27" t="str">
        <f aca="false">IF(A1019="","",A1019&amp;"|"&amp;B1019)</f>
        <v/>
      </c>
    </row>
    <row r="1020" customFormat="false" ht="15" hidden="false" customHeight="false" outlineLevel="0" collapsed="false">
      <c r="A1020" s="19"/>
      <c r="B1020" s="19"/>
      <c r="C1020" s="20"/>
      <c r="D1020" s="19"/>
      <c r="E1020" s="26" t="str">
        <f aca="false">IF(A1020="","",COUNTIFS(Apparitions!$A$2:$A$5001,A1020,Apparitions!$B$2:$B$5001,B1020))</f>
        <v/>
      </c>
      <c r="F1020" s="27" t="str">
        <f aca="false">IF(A1020="","",A1020&amp;"|"&amp;B1020)</f>
        <v/>
      </c>
    </row>
    <row r="1021" customFormat="false" ht="15" hidden="false" customHeight="false" outlineLevel="0" collapsed="false">
      <c r="A1021" s="19"/>
      <c r="B1021" s="19"/>
      <c r="C1021" s="20"/>
      <c r="D1021" s="19"/>
      <c r="E1021" s="26" t="str">
        <f aca="false">IF(A1021="","",COUNTIFS(Apparitions!$A$2:$A$5001,A1021,Apparitions!$B$2:$B$5001,B1021))</f>
        <v/>
      </c>
      <c r="F1021" s="27" t="str">
        <f aca="false">IF(A1021="","",A1021&amp;"|"&amp;B1021)</f>
        <v/>
      </c>
    </row>
    <row r="1022" customFormat="false" ht="15" hidden="false" customHeight="false" outlineLevel="0" collapsed="false">
      <c r="A1022" s="19"/>
      <c r="B1022" s="19"/>
      <c r="C1022" s="20"/>
      <c r="D1022" s="19"/>
      <c r="E1022" s="26" t="str">
        <f aca="false">IF(A1022="","",COUNTIFS(Apparitions!$A$2:$A$5001,A1022,Apparitions!$B$2:$B$5001,B1022))</f>
        <v/>
      </c>
      <c r="F1022" s="27" t="str">
        <f aca="false">IF(A1022="","",A1022&amp;"|"&amp;B1022)</f>
        <v/>
      </c>
    </row>
    <row r="1023" customFormat="false" ht="15" hidden="false" customHeight="false" outlineLevel="0" collapsed="false">
      <c r="A1023" s="19"/>
      <c r="B1023" s="19"/>
      <c r="C1023" s="20"/>
      <c r="D1023" s="19"/>
      <c r="E1023" s="26" t="str">
        <f aca="false">IF(A1023="","",COUNTIFS(Apparitions!$A$2:$A$5001,A1023,Apparitions!$B$2:$B$5001,B1023))</f>
        <v/>
      </c>
      <c r="F1023" s="27" t="str">
        <f aca="false">IF(A1023="","",A1023&amp;"|"&amp;B1023)</f>
        <v/>
      </c>
    </row>
    <row r="1024" customFormat="false" ht="15" hidden="false" customHeight="false" outlineLevel="0" collapsed="false">
      <c r="A1024" s="19"/>
      <c r="B1024" s="19"/>
      <c r="C1024" s="20"/>
      <c r="D1024" s="19"/>
      <c r="E1024" s="26" t="str">
        <f aca="false">IF(A1024="","",COUNTIFS(Apparitions!$A$2:$A$5001,A1024,Apparitions!$B$2:$B$5001,B1024))</f>
        <v/>
      </c>
      <c r="F1024" s="27" t="str">
        <f aca="false">IF(A1024="","",A1024&amp;"|"&amp;B1024)</f>
        <v/>
      </c>
    </row>
    <row r="1025" customFormat="false" ht="15" hidden="false" customHeight="false" outlineLevel="0" collapsed="false">
      <c r="A1025" s="19"/>
      <c r="B1025" s="19"/>
      <c r="C1025" s="20"/>
      <c r="D1025" s="19"/>
      <c r="E1025" s="26" t="str">
        <f aca="false">IF(A1025="","",COUNTIFS(Apparitions!$A$2:$A$5001,A1025,Apparitions!$B$2:$B$5001,B1025))</f>
        <v/>
      </c>
      <c r="F1025" s="27" t="str">
        <f aca="false">IF(A1025="","",A1025&amp;"|"&amp;B1025)</f>
        <v/>
      </c>
    </row>
    <row r="1026" customFormat="false" ht="15" hidden="false" customHeight="false" outlineLevel="0" collapsed="false">
      <c r="A1026" s="19"/>
      <c r="B1026" s="19"/>
      <c r="C1026" s="20"/>
      <c r="D1026" s="19"/>
      <c r="E1026" s="26" t="str">
        <f aca="false">IF(A1026="","",COUNTIFS(Apparitions!$A$2:$A$5001,A1026,Apparitions!$B$2:$B$5001,B1026))</f>
        <v/>
      </c>
      <c r="F1026" s="27" t="str">
        <f aca="false">IF(A1026="","",A1026&amp;"|"&amp;B1026)</f>
        <v/>
      </c>
    </row>
    <row r="1027" customFormat="false" ht="15" hidden="false" customHeight="false" outlineLevel="0" collapsed="false">
      <c r="A1027" s="19"/>
      <c r="B1027" s="19"/>
      <c r="C1027" s="20"/>
      <c r="D1027" s="19"/>
      <c r="E1027" s="26" t="str">
        <f aca="false">IF(A1027="","",COUNTIFS(Apparitions!$A$2:$A$5001,A1027,Apparitions!$B$2:$B$5001,B1027))</f>
        <v/>
      </c>
      <c r="F1027" s="27" t="str">
        <f aca="false">IF(A1027="","",A1027&amp;"|"&amp;B1027)</f>
        <v/>
      </c>
    </row>
    <row r="1028" customFormat="false" ht="15" hidden="false" customHeight="false" outlineLevel="0" collapsed="false">
      <c r="A1028" s="19"/>
      <c r="B1028" s="19"/>
      <c r="C1028" s="20"/>
      <c r="D1028" s="19"/>
      <c r="E1028" s="26" t="str">
        <f aca="false">IF(A1028="","",COUNTIFS(Apparitions!$A$2:$A$5001,A1028,Apparitions!$B$2:$B$5001,B1028))</f>
        <v/>
      </c>
      <c r="F1028" s="27" t="str">
        <f aca="false">IF(A1028="","",A1028&amp;"|"&amp;B1028)</f>
        <v/>
      </c>
    </row>
    <row r="1029" customFormat="false" ht="15" hidden="false" customHeight="false" outlineLevel="0" collapsed="false">
      <c r="A1029" s="19"/>
      <c r="B1029" s="19"/>
      <c r="C1029" s="20"/>
      <c r="D1029" s="19"/>
      <c r="E1029" s="26" t="str">
        <f aca="false">IF(A1029="","",COUNTIFS(Apparitions!$A$2:$A$5001,A1029,Apparitions!$B$2:$B$5001,B1029))</f>
        <v/>
      </c>
      <c r="F1029" s="27" t="str">
        <f aca="false">IF(A1029="","",A1029&amp;"|"&amp;B1029)</f>
        <v/>
      </c>
    </row>
    <row r="1030" customFormat="false" ht="15" hidden="false" customHeight="false" outlineLevel="0" collapsed="false">
      <c r="A1030" s="19"/>
      <c r="B1030" s="19"/>
      <c r="C1030" s="20"/>
      <c r="D1030" s="19"/>
      <c r="E1030" s="26" t="str">
        <f aca="false">IF(A1030="","",COUNTIFS(Apparitions!$A$2:$A$5001,A1030,Apparitions!$B$2:$B$5001,B1030))</f>
        <v/>
      </c>
      <c r="F1030" s="27" t="str">
        <f aca="false">IF(A1030="","",A1030&amp;"|"&amp;B1030)</f>
        <v/>
      </c>
    </row>
    <row r="1031" customFormat="false" ht="15" hidden="false" customHeight="false" outlineLevel="0" collapsed="false">
      <c r="A1031" s="19"/>
      <c r="B1031" s="19"/>
      <c r="C1031" s="20"/>
      <c r="D1031" s="19"/>
      <c r="E1031" s="26" t="str">
        <f aca="false">IF(A1031="","",COUNTIFS(Apparitions!$A$2:$A$5001,A1031,Apparitions!$B$2:$B$5001,B1031))</f>
        <v/>
      </c>
      <c r="F1031" s="27" t="str">
        <f aca="false">IF(A1031="","",A1031&amp;"|"&amp;B1031)</f>
        <v/>
      </c>
    </row>
    <row r="1032" customFormat="false" ht="15" hidden="false" customHeight="false" outlineLevel="0" collapsed="false">
      <c r="A1032" s="19"/>
      <c r="B1032" s="19"/>
      <c r="C1032" s="20"/>
      <c r="D1032" s="19"/>
      <c r="E1032" s="26" t="str">
        <f aca="false">IF(A1032="","",COUNTIFS(Apparitions!$A$2:$A$5001,A1032,Apparitions!$B$2:$B$5001,B1032))</f>
        <v/>
      </c>
      <c r="F1032" s="27" t="str">
        <f aca="false">IF(A1032="","",A1032&amp;"|"&amp;B1032)</f>
        <v/>
      </c>
    </row>
    <row r="1033" customFormat="false" ht="15" hidden="false" customHeight="false" outlineLevel="0" collapsed="false">
      <c r="A1033" s="19"/>
      <c r="B1033" s="19"/>
      <c r="C1033" s="20"/>
      <c r="D1033" s="19"/>
      <c r="E1033" s="26" t="str">
        <f aca="false">IF(A1033="","",COUNTIFS(Apparitions!$A$2:$A$5001,A1033,Apparitions!$B$2:$B$5001,B1033))</f>
        <v/>
      </c>
      <c r="F1033" s="27" t="str">
        <f aca="false">IF(A1033="","",A1033&amp;"|"&amp;B1033)</f>
        <v/>
      </c>
    </row>
    <row r="1034" customFormat="false" ht="15" hidden="false" customHeight="false" outlineLevel="0" collapsed="false">
      <c r="A1034" s="19"/>
      <c r="B1034" s="19"/>
      <c r="C1034" s="20"/>
      <c r="D1034" s="19"/>
      <c r="E1034" s="26" t="str">
        <f aca="false">IF(A1034="","",COUNTIFS(Apparitions!$A$2:$A$5001,A1034,Apparitions!$B$2:$B$5001,B1034))</f>
        <v/>
      </c>
      <c r="F1034" s="27" t="str">
        <f aca="false">IF(A1034="","",A1034&amp;"|"&amp;B1034)</f>
        <v/>
      </c>
    </row>
    <row r="1035" customFormat="false" ht="15" hidden="false" customHeight="false" outlineLevel="0" collapsed="false">
      <c r="A1035" s="19"/>
      <c r="B1035" s="19"/>
      <c r="C1035" s="20"/>
      <c r="D1035" s="19"/>
      <c r="E1035" s="26" t="str">
        <f aca="false">IF(A1035="","",COUNTIFS(Apparitions!$A$2:$A$5001,A1035,Apparitions!$B$2:$B$5001,B1035))</f>
        <v/>
      </c>
      <c r="F1035" s="27" t="str">
        <f aca="false">IF(A1035="","",A1035&amp;"|"&amp;B1035)</f>
        <v/>
      </c>
    </row>
    <row r="1036" customFormat="false" ht="15" hidden="false" customHeight="false" outlineLevel="0" collapsed="false">
      <c r="A1036" s="19"/>
      <c r="B1036" s="19"/>
      <c r="C1036" s="20"/>
      <c r="D1036" s="19"/>
      <c r="E1036" s="26" t="str">
        <f aca="false">IF(A1036="","",COUNTIFS(Apparitions!$A$2:$A$5001,A1036,Apparitions!$B$2:$B$5001,B1036))</f>
        <v/>
      </c>
      <c r="F1036" s="27" t="str">
        <f aca="false">IF(A1036="","",A1036&amp;"|"&amp;B1036)</f>
        <v/>
      </c>
    </row>
    <row r="1037" customFormat="false" ht="15" hidden="false" customHeight="false" outlineLevel="0" collapsed="false">
      <c r="A1037" s="19"/>
      <c r="B1037" s="19"/>
      <c r="C1037" s="20"/>
      <c r="D1037" s="19"/>
      <c r="E1037" s="26" t="str">
        <f aca="false">IF(A1037="","",COUNTIFS(Apparitions!$A$2:$A$5001,A1037,Apparitions!$B$2:$B$5001,B1037))</f>
        <v/>
      </c>
      <c r="F1037" s="27" t="str">
        <f aca="false">IF(A1037="","",A1037&amp;"|"&amp;B1037)</f>
        <v/>
      </c>
    </row>
    <row r="1038" customFormat="false" ht="15" hidden="false" customHeight="false" outlineLevel="0" collapsed="false">
      <c r="A1038" s="19"/>
      <c r="B1038" s="19"/>
      <c r="C1038" s="20"/>
      <c r="D1038" s="19"/>
      <c r="E1038" s="26" t="str">
        <f aca="false">IF(A1038="","",COUNTIFS(Apparitions!$A$2:$A$5001,A1038,Apparitions!$B$2:$B$5001,B1038))</f>
        <v/>
      </c>
      <c r="F1038" s="27" t="str">
        <f aca="false">IF(A1038="","",A1038&amp;"|"&amp;B1038)</f>
        <v/>
      </c>
    </row>
    <row r="1039" customFormat="false" ht="15" hidden="false" customHeight="false" outlineLevel="0" collapsed="false">
      <c r="A1039" s="19"/>
      <c r="B1039" s="19"/>
      <c r="C1039" s="20"/>
      <c r="D1039" s="19"/>
      <c r="E1039" s="26" t="str">
        <f aca="false">IF(A1039="","",COUNTIFS(Apparitions!$A$2:$A$5001,A1039,Apparitions!$B$2:$B$5001,B1039))</f>
        <v/>
      </c>
      <c r="F1039" s="27" t="str">
        <f aca="false">IF(A1039="","",A1039&amp;"|"&amp;B1039)</f>
        <v/>
      </c>
    </row>
    <row r="1040" customFormat="false" ht="15" hidden="false" customHeight="false" outlineLevel="0" collapsed="false">
      <c r="A1040" s="19"/>
      <c r="B1040" s="19"/>
      <c r="C1040" s="20"/>
      <c r="D1040" s="19"/>
      <c r="E1040" s="26" t="str">
        <f aca="false">IF(A1040="","",COUNTIFS(Apparitions!$A$2:$A$5001,A1040,Apparitions!$B$2:$B$5001,B1040))</f>
        <v/>
      </c>
      <c r="F1040" s="27" t="str">
        <f aca="false">IF(A1040="","",A1040&amp;"|"&amp;B1040)</f>
        <v/>
      </c>
    </row>
    <row r="1041" customFormat="false" ht="15" hidden="false" customHeight="false" outlineLevel="0" collapsed="false">
      <c r="A1041" s="19"/>
      <c r="B1041" s="19"/>
      <c r="C1041" s="20"/>
      <c r="D1041" s="19"/>
      <c r="E1041" s="26" t="str">
        <f aca="false">IF(A1041="","",COUNTIFS(Apparitions!$A$2:$A$5001,A1041,Apparitions!$B$2:$B$5001,B1041))</f>
        <v/>
      </c>
      <c r="F1041" s="27" t="str">
        <f aca="false">IF(A1041="","",A1041&amp;"|"&amp;B1041)</f>
        <v/>
      </c>
    </row>
    <row r="1042" customFormat="false" ht="15" hidden="false" customHeight="false" outlineLevel="0" collapsed="false">
      <c r="A1042" s="19"/>
      <c r="B1042" s="19"/>
      <c r="C1042" s="20"/>
      <c r="D1042" s="19"/>
      <c r="E1042" s="26" t="str">
        <f aca="false">IF(A1042="","",COUNTIFS(Apparitions!$A$2:$A$5001,A1042,Apparitions!$B$2:$B$5001,B1042))</f>
        <v/>
      </c>
      <c r="F1042" s="27" t="str">
        <f aca="false">IF(A1042="","",A1042&amp;"|"&amp;B1042)</f>
        <v/>
      </c>
    </row>
    <row r="1043" customFormat="false" ht="15" hidden="false" customHeight="false" outlineLevel="0" collapsed="false">
      <c r="A1043" s="19"/>
      <c r="B1043" s="19"/>
      <c r="C1043" s="20"/>
      <c r="D1043" s="19"/>
      <c r="E1043" s="26" t="str">
        <f aca="false">IF(A1043="","",COUNTIFS(Apparitions!$A$2:$A$5001,A1043,Apparitions!$B$2:$B$5001,B1043))</f>
        <v/>
      </c>
      <c r="F1043" s="27" t="str">
        <f aca="false">IF(A1043="","",A1043&amp;"|"&amp;B1043)</f>
        <v/>
      </c>
    </row>
    <row r="1044" customFormat="false" ht="15" hidden="false" customHeight="false" outlineLevel="0" collapsed="false">
      <c r="A1044" s="19"/>
      <c r="B1044" s="19"/>
      <c r="C1044" s="20"/>
      <c r="D1044" s="19"/>
      <c r="E1044" s="26" t="str">
        <f aca="false">IF(A1044="","",COUNTIFS(Apparitions!$A$2:$A$5001,A1044,Apparitions!$B$2:$B$5001,B1044))</f>
        <v/>
      </c>
      <c r="F1044" s="27" t="str">
        <f aca="false">IF(A1044="","",A1044&amp;"|"&amp;B1044)</f>
        <v/>
      </c>
    </row>
    <row r="1045" customFormat="false" ht="15" hidden="false" customHeight="false" outlineLevel="0" collapsed="false">
      <c r="A1045" s="19"/>
      <c r="B1045" s="19"/>
      <c r="C1045" s="20"/>
      <c r="D1045" s="19"/>
      <c r="E1045" s="26" t="str">
        <f aca="false">IF(A1045="","",COUNTIFS(Apparitions!$A$2:$A$5001,A1045,Apparitions!$B$2:$B$5001,B1045))</f>
        <v/>
      </c>
      <c r="F1045" s="27" t="str">
        <f aca="false">IF(A1045="","",A1045&amp;"|"&amp;B1045)</f>
        <v/>
      </c>
    </row>
    <row r="1046" customFormat="false" ht="15" hidden="false" customHeight="false" outlineLevel="0" collapsed="false">
      <c r="A1046" s="19"/>
      <c r="B1046" s="19"/>
      <c r="C1046" s="20"/>
      <c r="D1046" s="19"/>
      <c r="E1046" s="26" t="str">
        <f aca="false">IF(A1046="","",COUNTIFS(Apparitions!$A$2:$A$5001,A1046,Apparitions!$B$2:$B$5001,B1046))</f>
        <v/>
      </c>
      <c r="F1046" s="27" t="str">
        <f aca="false">IF(A1046="","",A1046&amp;"|"&amp;B1046)</f>
        <v/>
      </c>
    </row>
    <row r="1047" customFormat="false" ht="15" hidden="false" customHeight="false" outlineLevel="0" collapsed="false">
      <c r="A1047" s="19"/>
      <c r="B1047" s="19"/>
      <c r="C1047" s="20"/>
      <c r="D1047" s="19"/>
      <c r="E1047" s="26" t="str">
        <f aca="false">IF(A1047="","",COUNTIFS(Apparitions!$A$2:$A$5001,A1047,Apparitions!$B$2:$B$5001,B1047))</f>
        <v/>
      </c>
      <c r="F1047" s="27" t="str">
        <f aca="false">IF(A1047="","",A1047&amp;"|"&amp;B1047)</f>
        <v/>
      </c>
    </row>
    <row r="1048" customFormat="false" ht="15" hidden="false" customHeight="false" outlineLevel="0" collapsed="false">
      <c r="A1048" s="19"/>
      <c r="B1048" s="19"/>
      <c r="C1048" s="20"/>
      <c r="D1048" s="19"/>
      <c r="E1048" s="26" t="str">
        <f aca="false">IF(A1048="","",COUNTIFS(Apparitions!$A$2:$A$5001,A1048,Apparitions!$B$2:$B$5001,B1048))</f>
        <v/>
      </c>
      <c r="F1048" s="27" t="str">
        <f aca="false">IF(A1048="","",A1048&amp;"|"&amp;B1048)</f>
        <v/>
      </c>
    </row>
    <row r="1049" customFormat="false" ht="15" hidden="false" customHeight="false" outlineLevel="0" collapsed="false">
      <c r="A1049" s="19"/>
      <c r="B1049" s="19"/>
      <c r="C1049" s="20"/>
      <c r="D1049" s="19"/>
      <c r="E1049" s="26" t="str">
        <f aca="false">IF(A1049="","",COUNTIFS(Apparitions!$A$2:$A$5001,A1049,Apparitions!$B$2:$B$5001,B1049))</f>
        <v/>
      </c>
      <c r="F1049" s="27" t="str">
        <f aca="false">IF(A1049="","",A1049&amp;"|"&amp;B1049)</f>
        <v/>
      </c>
    </row>
    <row r="1050" customFormat="false" ht="15" hidden="false" customHeight="false" outlineLevel="0" collapsed="false">
      <c r="A1050" s="19"/>
      <c r="B1050" s="19"/>
      <c r="C1050" s="20"/>
      <c r="D1050" s="19"/>
      <c r="E1050" s="26" t="str">
        <f aca="false">IF(A1050="","",COUNTIFS(Apparitions!$A$2:$A$5001,A1050,Apparitions!$B$2:$B$5001,B1050))</f>
        <v/>
      </c>
      <c r="F1050" s="27" t="str">
        <f aca="false">IF(A1050="","",A1050&amp;"|"&amp;B1050)</f>
        <v/>
      </c>
    </row>
    <row r="1051" customFormat="false" ht="15" hidden="false" customHeight="false" outlineLevel="0" collapsed="false">
      <c r="A1051" s="19"/>
      <c r="B1051" s="19"/>
      <c r="C1051" s="20"/>
      <c r="D1051" s="19"/>
      <c r="E1051" s="26" t="str">
        <f aca="false">IF(A1051="","",COUNTIFS(Apparitions!$A$2:$A$5001,A1051,Apparitions!$B$2:$B$5001,B1051))</f>
        <v/>
      </c>
      <c r="F1051" s="27" t="str">
        <f aca="false">IF(A1051="","",A1051&amp;"|"&amp;B1051)</f>
        <v/>
      </c>
    </row>
    <row r="1052" customFormat="false" ht="15" hidden="false" customHeight="false" outlineLevel="0" collapsed="false">
      <c r="A1052" s="19"/>
      <c r="B1052" s="19"/>
      <c r="C1052" s="20"/>
      <c r="D1052" s="19"/>
      <c r="E1052" s="26" t="str">
        <f aca="false">IF(A1052="","",COUNTIFS(Apparitions!$A$2:$A$5001,A1052,Apparitions!$B$2:$B$5001,B1052))</f>
        <v/>
      </c>
      <c r="F1052" s="27" t="str">
        <f aca="false">IF(A1052="","",A1052&amp;"|"&amp;B1052)</f>
        <v/>
      </c>
    </row>
    <row r="1053" customFormat="false" ht="15" hidden="false" customHeight="false" outlineLevel="0" collapsed="false">
      <c r="A1053" s="19"/>
      <c r="B1053" s="19"/>
      <c r="C1053" s="20"/>
      <c r="D1053" s="19"/>
      <c r="E1053" s="26" t="str">
        <f aca="false">IF(A1053="","",COUNTIFS(Apparitions!$A$2:$A$5001,A1053,Apparitions!$B$2:$B$5001,B1053))</f>
        <v/>
      </c>
      <c r="F1053" s="27" t="str">
        <f aca="false">IF(A1053="","",A1053&amp;"|"&amp;B1053)</f>
        <v/>
      </c>
    </row>
    <row r="1054" customFormat="false" ht="15" hidden="false" customHeight="false" outlineLevel="0" collapsed="false">
      <c r="A1054" s="19"/>
      <c r="B1054" s="19"/>
      <c r="C1054" s="20"/>
      <c r="D1054" s="19"/>
      <c r="E1054" s="26" t="str">
        <f aca="false">IF(A1054="","",COUNTIFS(Apparitions!$A$2:$A$5001,A1054,Apparitions!$B$2:$B$5001,B1054))</f>
        <v/>
      </c>
      <c r="F1054" s="27" t="str">
        <f aca="false">IF(A1054="","",A1054&amp;"|"&amp;B1054)</f>
        <v/>
      </c>
    </row>
    <row r="1055" customFormat="false" ht="15" hidden="false" customHeight="false" outlineLevel="0" collapsed="false">
      <c r="A1055" s="19"/>
      <c r="B1055" s="19"/>
      <c r="C1055" s="20"/>
      <c r="D1055" s="19"/>
      <c r="E1055" s="26" t="str">
        <f aca="false">IF(A1055="","",COUNTIFS(Apparitions!$A$2:$A$5001,A1055,Apparitions!$B$2:$B$5001,B1055))</f>
        <v/>
      </c>
      <c r="F1055" s="27" t="str">
        <f aca="false">IF(A1055="","",A1055&amp;"|"&amp;B1055)</f>
        <v/>
      </c>
    </row>
    <row r="1056" customFormat="false" ht="15" hidden="false" customHeight="false" outlineLevel="0" collapsed="false">
      <c r="A1056" s="19"/>
      <c r="B1056" s="19"/>
      <c r="C1056" s="20"/>
      <c r="D1056" s="19"/>
      <c r="E1056" s="26" t="str">
        <f aca="false">IF(A1056="","",COUNTIFS(Apparitions!$A$2:$A$5001,A1056,Apparitions!$B$2:$B$5001,B1056))</f>
        <v/>
      </c>
      <c r="F1056" s="27" t="str">
        <f aca="false">IF(A1056="","",A1056&amp;"|"&amp;B1056)</f>
        <v/>
      </c>
    </row>
    <row r="1057" customFormat="false" ht="15" hidden="false" customHeight="false" outlineLevel="0" collapsed="false">
      <c r="A1057" s="19"/>
      <c r="B1057" s="19"/>
      <c r="C1057" s="20"/>
      <c r="D1057" s="19"/>
      <c r="E1057" s="26" t="str">
        <f aca="false">IF(A1057="","",COUNTIFS(Apparitions!$A$2:$A$5001,A1057,Apparitions!$B$2:$B$5001,B1057))</f>
        <v/>
      </c>
      <c r="F1057" s="27" t="str">
        <f aca="false">IF(A1057="","",A1057&amp;"|"&amp;B1057)</f>
        <v/>
      </c>
    </row>
    <row r="1058" customFormat="false" ht="15" hidden="false" customHeight="false" outlineLevel="0" collapsed="false">
      <c r="A1058" s="19"/>
      <c r="B1058" s="19"/>
      <c r="C1058" s="20"/>
      <c r="D1058" s="19"/>
      <c r="E1058" s="26" t="str">
        <f aca="false">IF(A1058="","",COUNTIFS(Apparitions!$A$2:$A$5001,A1058,Apparitions!$B$2:$B$5001,B1058))</f>
        <v/>
      </c>
      <c r="F1058" s="27" t="str">
        <f aca="false">IF(A1058="","",A1058&amp;"|"&amp;B1058)</f>
        <v/>
      </c>
    </row>
    <row r="1059" customFormat="false" ht="15" hidden="false" customHeight="false" outlineLevel="0" collapsed="false">
      <c r="A1059" s="19"/>
      <c r="B1059" s="19"/>
      <c r="C1059" s="20"/>
      <c r="D1059" s="19"/>
      <c r="E1059" s="26" t="str">
        <f aca="false">IF(A1059="","",COUNTIFS(Apparitions!$A$2:$A$5001,A1059,Apparitions!$B$2:$B$5001,B1059))</f>
        <v/>
      </c>
      <c r="F1059" s="27" t="str">
        <f aca="false">IF(A1059="","",A1059&amp;"|"&amp;B1059)</f>
        <v/>
      </c>
    </row>
    <row r="1060" customFormat="false" ht="15" hidden="false" customHeight="false" outlineLevel="0" collapsed="false">
      <c r="A1060" s="19"/>
      <c r="B1060" s="19"/>
      <c r="C1060" s="20"/>
      <c r="D1060" s="19"/>
      <c r="E1060" s="26" t="str">
        <f aca="false">IF(A1060="","",COUNTIFS(Apparitions!$A$2:$A$5001,A1060,Apparitions!$B$2:$B$5001,B1060))</f>
        <v/>
      </c>
      <c r="F1060" s="27" t="str">
        <f aca="false">IF(A1060="","",A1060&amp;"|"&amp;B1060)</f>
        <v/>
      </c>
    </row>
    <row r="1061" customFormat="false" ht="15" hidden="false" customHeight="false" outlineLevel="0" collapsed="false">
      <c r="A1061" s="19"/>
      <c r="B1061" s="19"/>
      <c r="C1061" s="20"/>
      <c r="D1061" s="19"/>
      <c r="E1061" s="26" t="str">
        <f aca="false">IF(A1061="","",COUNTIFS(Apparitions!$A$2:$A$5001,A1061,Apparitions!$B$2:$B$5001,B1061))</f>
        <v/>
      </c>
      <c r="F1061" s="27" t="str">
        <f aca="false">IF(A1061="","",A1061&amp;"|"&amp;B1061)</f>
        <v/>
      </c>
    </row>
    <row r="1062" customFormat="false" ht="15" hidden="false" customHeight="false" outlineLevel="0" collapsed="false">
      <c r="A1062" s="19"/>
      <c r="B1062" s="19"/>
      <c r="C1062" s="20"/>
      <c r="D1062" s="19"/>
      <c r="E1062" s="26" t="str">
        <f aca="false">IF(A1062="","",COUNTIFS(Apparitions!$A$2:$A$5001,A1062,Apparitions!$B$2:$B$5001,B1062))</f>
        <v/>
      </c>
      <c r="F1062" s="27" t="str">
        <f aca="false">IF(A1062="","",A1062&amp;"|"&amp;B1062)</f>
        <v/>
      </c>
    </row>
    <row r="1063" customFormat="false" ht="15" hidden="false" customHeight="false" outlineLevel="0" collapsed="false">
      <c r="A1063" s="19"/>
      <c r="B1063" s="19"/>
      <c r="C1063" s="20"/>
      <c r="D1063" s="19"/>
      <c r="E1063" s="26" t="str">
        <f aca="false">IF(A1063="","",COUNTIFS(Apparitions!$A$2:$A$5001,A1063,Apparitions!$B$2:$B$5001,B1063))</f>
        <v/>
      </c>
      <c r="F1063" s="27" t="str">
        <f aca="false">IF(A1063="","",A1063&amp;"|"&amp;B1063)</f>
        <v/>
      </c>
    </row>
    <row r="1064" customFormat="false" ht="15" hidden="false" customHeight="false" outlineLevel="0" collapsed="false">
      <c r="A1064" s="19"/>
      <c r="B1064" s="19"/>
      <c r="C1064" s="20"/>
      <c r="D1064" s="19"/>
      <c r="E1064" s="26" t="str">
        <f aca="false">IF(A1064="","",COUNTIFS(Apparitions!$A$2:$A$5001,A1064,Apparitions!$B$2:$B$5001,B1064))</f>
        <v/>
      </c>
      <c r="F1064" s="27" t="str">
        <f aca="false">IF(A1064="","",A1064&amp;"|"&amp;B1064)</f>
        <v/>
      </c>
    </row>
    <row r="1065" customFormat="false" ht="15" hidden="false" customHeight="false" outlineLevel="0" collapsed="false">
      <c r="A1065" s="19"/>
      <c r="B1065" s="19"/>
      <c r="C1065" s="20"/>
      <c r="D1065" s="19"/>
      <c r="E1065" s="26" t="str">
        <f aca="false">IF(A1065="","",COUNTIFS(Apparitions!$A$2:$A$5001,A1065,Apparitions!$B$2:$B$5001,B1065))</f>
        <v/>
      </c>
      <c r="F1065" s="27" t="str">
        <f aca="false">IF(A1065="","",A1065&amp;"|"&amp;B1065)</f>
        <v/>
      </c>
    </row>
    <row r="1066" customFormat="false" ht="15" hidden="false" customHeight="false" outlineLevel="0" collapsed="false">
      <c r="A1066" s="19"/>
      <c r="B1066" s="19"/>
      <c r="C1066" s="20"/>
      <c r="D1066" s="19"/>
      <c r="E1066" s="26" t="str">
        <f aca="false">IF(A1066="","",COUNTIFS(Apparitions!$A$2:$A$5001,A1066,Apparitions!$B$2:$B$5001,B1066))</f>
        <v/>
      </c>
      <c r="F1066" s="27" t="str">
        <f aca="false">IF(A1066="","",A1066&amp;"|"&amp;B1066)</f>
        <v/>
      </c>
    </row>
    <row r="1067" customFormat="false" ht="15" hidden="false" customHeight="false" outlineLevel="0" collapsed="false">
      <c r="A1067" s="19"/>
      <c r="B1067" s="19"/>
      <c r="C1067" s="20"/>
      <c r="D1067" s="19"/>
      <c r="E1067" s="26" t="str">
        <f aca="false">IF(A1067="","",COUNTIFS(Apparitions!$A$2:$A$5001,A1067,Apparitions!$B$2:$B$5001,B1067))</f>
        <v/>
      </c>
      <c r="F1067" s="27" t="str">
        <f aca="false">IF(A1067="","",A1067&amp;"|"&amp;B1067)</f>
        <v/>
      </c>
    </row>
    <row r="1068" customFormat="false" ht="15" hidden="false" customHeight="false" outlineLevel="0" collapsed="false">
      <c r="A1068" s="19"/>
      <c r="B1068" s="19"/>
      <c r="C1068" s="20"/>
      <c r="D1068" s="19"/>
      <c r="E1068" s="26" t="str">
        <f aca="false">IF(A1068="","",COUNTIFS(Apparitions!$A$2:$A$5001,A1068,Apparitions!$B$2:$B$5001,B1068))</f>
        <v/>
      </c>
      <c r="F1068" s="27" t="str">
        <f aca="false">IF(A1068="","",A1068&amp;"|"&amp;B1068)</f>
        <v/>
      </c>
    </row>
    <row r="1069" customFormat="false" ht="15" hidden="false" customHeight="false" outlineLevel="0" collapsed="false">
      <c r="A1069" s="19"/>
      <c r="B1069" s="19"/>
      <c r="C1069" s="20"/>
      <c r="D1069" s="19"/>
      <c r="E1069" s="26" t="str">
        <f aca="false">IF(A1069="","",COUNTIFS(Apparitions!$A$2:$A$5001,A1069,Apparitions!$B$2:$B$5001,B1069))</f>
        <v/>
      </c>
      <c r="F1069" s="27" t="str">
        <f aca="false">IF(A1069="","",A1069&amp;"|"&amp;B1069)</f>
        <v/>
      </c>
    </row>
    <row r="1070" customFormat="false" ht="15" hidden="false" customHeight="false" outlineLevel="0" collapsed="false">
      <c r="A1070" s="19"/>
      <c r="B1070" s="19"/>
      <c r="C1070" s="20"/>
      <c r="D1070" s="19"/>
      <c r="E1070" s="26" t="str">
        <f aca="false">IF(A1070="","",COUNTIFS(Apparitions!$A$2:$A$5001,A1070,Apparitions!$B$2:$B$5001,B1070))</f>
        <v/>
      </c>
      <c r="F1070" s="27" t="str">
        <f aca="false">IF(A1070="","",A1070&amp;"|"&amp;B1070)</f>
        <v/>
      </c>
    </row>
    <row r="1071" customFormat="false" ht="15" hidden="false" customHeight="false" outlineLevel="0" collapsed="false">
      <c r="A1071" s="19"/>
      <c r="B1071" s="19"/>
      <c r="C1071" s="20"/>
      <c r="D1071" s="19"/>
      <c r="E1071" s="26" t="str">
        <f aca="false">IF(A1071="","",COUNTIFS(Apparitions!$A$2:$A$5001,A1071,Apparitions!$B$2:$B$5001,B1071))</f>
        <v/>
      </c>
      <c r="F1071" s="27" t="str">
        <f aca="false">IF(A1071="","",A1071&amp;"|"&amp;B1071)</f>
        <v/>
      </c>
    </row>
    <row r="1072" customFormat="false" ht="15" hidden="false" customHeight="false" outlineLevel="0" collapsed="false">
      <c r="A1072" s="19"/>
      <c r="B1072" s="19"/>
      <c r="C1072" s="20"/>
      <c r="D1072" s="19"/>
      <c r="E1072" s="26" t="str">
        <f aca="false">IF(A1072="","",COUNTIFS(Apparitions!$A$2:$A$5001,A1072,Apparitions!$B$2:$B$5001,B1072))</f>
        <v/>
      </c>
      <c r="F1072" s="27" t="str">
        <f aca="false">IF(A1072="","",A1072&amp;"|"&amp;B1072)</f>
        <v/>
      </c>
    </row>
    <row r="1073" customFormat="false" ht="15" hidden="false" customHeight="false" outlineLevel="0" collapsed="false">
      <c r="A1073" s="19"/>
      <c r="B1073" s="19"/>
      <c r="C1073" s="20"/>
      <c r="D1073" s="19"/>
      <c r="E1073" s="26" t="str">
        <f aca="false">IF(A1073="","",COUNTIFS(Apparitions!$A$2:$A$5001,A1073,Apparitions!$B$2:$B$5001,B1073))</f>
        <v/>
      </c>
      <c r="F1073" s="27" t="str">
        <f aca="false">IF(A1073="","",A1073&amp;"|"&amp;B1073)</f>
        <v/>
      </c>
    </row>
    <row r="1074" customFormat="false" ht="15" hidden="false" customHeight="false" outlineLevel="0" collapsed="false">
      <c r="A1074" s="19"/>
      <c r="B1074" s="19"/>
      <c r="C1074" s="20"/>
      <c r="D1074" s="19"/>
      <c r="E1074" s="26" t="str">
        <f aca="false">IF(A1074="","",COUNTIFS(Apparitions!$A$2:$A$5001,A1074,Apparitions!$B$2:$B$5001,B1074))</f>
        <v/>
      </c>
      <c r="F1074" s="27" t="str">
        <f aca="false">IF(A1074="","",A1074&amp;"|"&amp;B1074)</f>
        <v/>
      </c>
    </row>
    <row r="1075" customFormat="false" ht="15" hidden="false" customHeight="false" outlineLevel="0" collapsed="false">
      <c r="A1075" s="19"/>
      <c r="B1075" s="19"/>
      <c r="C1075" s="20"/>
      <c r="D1075" s="19"/>
      <c r="E1075" s="26" t="str">
        <f aca="false">IF(A1075="","",COUNTIFS(Apparitions!$A$2:$A$5001,A1075,Apparitions!$B$2:$B$5001,B1075))</f>
        <v/>
      </c>
      <c r="F1075" s="27" t="str">
        <f aca="false">IF(A1075="","",A1075&amp;"|"&amp;B1075)</f>
        <v/>
      </c>
    </row>
    <row r="1076" customFormat="false" ht="15" hidden="false" customHeight="false" outlineLevel="0" collapsed="false">
      <c r="A1076" s="19"/>
      <c r="B1076" s="19"/>
      <c r="C1076" s="20"/>
      <c r="D1076" s="19"/>
      <c r="E1076" s="26" t="str">
        <f aca="false">IF(A1076="","",COUNTIFS(Apparitions!$A$2:$A$5001,A1076,Apparitions!$B$2:$B$5001,B1076))</f>
        <v/>
      </c>
      <c r="F1076" s="27" t="str">
        <f aca="false">IF(A1076="","",A1076&amp;"|"&amp;B1076)</f>
        <v/>
      </c>
    </row>
    <row r="1077" customFormat="false" ht="15" hidden="false" customHeight="false" outlineLevel="0" collapsed="false">
      <c r="A1077" s="19"/>
      <c r="B1077" s="19"/>
      <c r="C1077" s="20"/>
      <c r="D1077" s="19"/>
      <c r="E1077" s="26" t="str">
        <f aca="false">IF(A1077="","",COUNTIFS(Apparitions!$A$2:$A$5001,A1077,Apparitions!$B$2:$B$5001,B1077))</f>
        <v/>
      </c>
      <c r="F1077" s="27" t="str">
        <f aca="false">IF(A1077="","",A1077&amp;"|"&amp;B1077)</f>
        <v/>
      </c>
    </row>
    <row r="1078" customFormat="false" ht="15" hidden="false" customHeight="false" outlineLevel="0" collapsed="false">
      <c r="A1078" s="19"/>
      <c r="B1078" s="19"/>
      <c r="C1078" s="20"/>
      <c r="D1078" s="19"/>
      <c r="E1078" s="26" t="str">
        <f aca="false">IF(A1078="","",COUNTIFS(Apparitions!$A$2:$A$5001,A1078,Apparitions!$B$2:$B$5001,B1078))</f>
        <v/>
      </c>
      <c r="F1078" s="27" t="str">
        <f aca="false">IF(A1078="","",A1078&amp;"|"&amp;B1078)</f>
        <v/>
      </c>
    </row>
    <row r="1079" customFormat="false" ht="15" hidden="false" customHeight="false" outlineLevel="0" collapsed="false">
      <c r="A1079" s="19"/>
      <c r="B1079" s="19"/>
      <c r="C1079" s="20"/>
      <c r="D1079" s="19"/>
      <c r="E1079" s="26" t="str">
        <f aca="false">IF(A1079="","",COUNTIFS(Apparitions!$A$2:$A$5001,A1079,Apparitions!$B$2:$B$5001,B1079))</f>
        <v/>
      </c>
      <c r="F1079" s="27" t="str">
        <f aca="false">IF(A1079="","",A1079&amp;"|"&amp;B1079)</f>
        <v/>
      </c>
    </row>
    <row r="1080" customFormat="false" ht="15" hidden="false" customHeight="false" outlineLevel="0" collapsed="false">
      <c r="A1080" s="19"/>
      <c r="B1080" s="19"/>
      <c r="C1080" s="20"/>
      <c r="D1080" s="19"/>
      <c r="E1080" s="26" t="str">
        <f aca="false">IF(A1080="","",COUNTIFS(Apparitions!$A$2:$A$5001,A1080,Apparitions!$B$2:$B$5001,B1080))</f>
        <v/>
      </c>
      <c r="F1080" s="27" t="str">
        <f aca="false">IF(A1080="","",A1080&amp;"|"&amp;B1080)</f>
        <v/>
      </c>
    </row>
    <row r="1081" customFormat="false" ht="15" hidden="false" customHeight="false" outlineLevel="0" collapsed="false">
      <c r="A1081" s="19"/>
      <c r="B1081" s="19"/>
      <c r="C1081" s="20"/>
      <c r="D1081" s="19"/>
      <c r="E1081" s="26" t="str">
        <f aca="false">IF(A1081="","",COUNTIFS(Apparitions!$A$2:$A$5001,A1081,Apparitions!$B$2:$B$5001,B1081))</f>
        <v/>
      </c>
      <c r="F1081" s="27" t="str">
        <f aca="false">IF(A1081="","",A1081&amp;"|"&amp;B1081)</f>
        <v/>
      </c>
    </row>
    <row r="1082" customFormat="false" ht="15" hidden="false" customHeight="false" outlineLevel="0" collapsed="false">
      <c r="A1082" s="19"/>
      <c r="B1082" s="19"/>
      <c r="C1082" s="20"/>
      <c r="D1082" s="19"/>
      <c r="E1082" s="26" t="str">
        <f aca="false">IF(A1082="","",COUNTIFS(Apparitions!$A$2:$A$5001,A1082,Apparitions!$B$2:$B$5001,B1082))</f>
        <v/>
      </c>
      <c r="F1082" s="27" t="str">
        <f aca="false">IF(A1082="","",A1082&amp;"|"&amp;B1082)</f>
        <v/>
      </c>
    </row>
    <row r="1083" customFormat="false" ht="15" hidden="false" customHeight="false" outlineLevel="0" collapsed="false">
      <c r="A1083" s="19"/>
      <c r="B1083" s="19"/>
      <c r="C1083" s="20"/>
      <c r="D1083" s="19"/>
      <c r="E1083" s="26" t="str">
        <f aca="false">IF(A1083="","",COUNTIFS(Apparitions!$A$2:$A$5001,A1083,Apparitions!$B$2:$B$5001,B1083))</f>
        <v/>
      </c>
      <c r="F1083" s="27" t="str">
        <f aca="false">IF(A1083="","",A1083&amp;"|"&amp;B1083)</f>
        <v/>
      </c>
    </row>
    <row r="1084" customFormat="false" ht="15" hidden="false" customHeight="false" outlineLevel="0" collapsed="false">
      <c r="A1084" s="19"/>
      <c r="B1084" s="19"/>
      <c r="C1084" s="20"/>
      <c r="D1084" s="19"/>
      <c r="E1084" s="26" t="str">
        <f aca="false">IF(A1084="","",COUNTIFS(Apparitions!$A$2:$A$5001,A1084,Apparitions!$B$2:$B$5001,B1084))</f>
        <v/>
      </c>
      <c r="F1084" s="27" t="str">
        <f aca="false">IF(A1084="","",A1084&amp;"|"&amp;B1084)</f>
        <v/>
      </c>
    </row>
    <row r="1085" customFormat="false" ht="15" hidden="false" customHeight="false" outlineLevel="0" collapsed="false">
      <c r="A1085" s="19"/>
      <c r="B1085" s="19"/>
      <c r="C1085" s="20"/>
      <c r="D1085" s="19"/>
      <c r="E1085" s="26" t="str">
        <f aca="false">IF(A1085="","",COUNTIFS(Apparitions!$A$2:$A$5001,A1085,Apparitions!$B$2:$B$5001,B1085))</f>
        <v/>
      </c>
      <c r="F1085" s="27" t="str">
        <f aca="false">IF(A1085="","",A1085&amp;"|"&amp;B1085)</f>
        <v/>
      </c>
    </row>
    <row r="1086" customFormat="false" ht="15" hidden="false" customHeight="false" outlineLevel="0" collapsed="false">
      <c r="A1086" s="19"/>
      <c r="B1086" s="19"/>
      <c r="C1086" s="20"/>
      <c r="D1086" s="19"/>
      <c r="E1086" s="26" t="str">
        <f aca="false">IF(A1086="","",COUNTIFS(Apparitions!$A$2:$A$5001,A1086,Apparitions!$B$2:$B$5001,B1086))</f>
        <v/>
      </c>
      <c r="F1086" s="27" t="str">
        <f aca="false">IF(A1086="","",A1086&amp;"|"&amp;B1086)</f>
        <v/>
      </c>
    </row>
    <row r="1087" customFormat="false" ht="15" hidden="false" customHeight="false" outlineLevel="0" collapsed="false">
      <c r="A1087" s="19"/>
      <c r="B1087" s="19"/>
      <c r="C1087" s="20"/>
      <c r="D1087" s="19"/>
      <c r="E1087" s="26" t="str">
        <f aca="false">IF(A1087="","",COUNTIFS(Apparitions!$A$2:$A$5001,A1087,Apparitions!$B$2:$B$5001,B1087))</f>
        <v/>
      </c>
      <c r="F1087" s="27" t="str">
        <f aca="false">IF(A1087="","",A1087&amp;"|"&amp;B1087)</f>
        <v/>
      </c>
    </row>
    <row r="1088" customFormat="false" ht="15" hidden="false" customHeight="false" outlineLevel="0" collapsed="false">
      <c r="A1088" s="19"/>
      <c r="B1088" s="19"/>
      <c r="C1088" s="20"/>
      <c r="D1088" s="19"/>
      <c r="E1088" s="26" t="str">
        <f aca="false">IF(A1088="","",COUNTIFS(Apparitions!$A$2:$A$5001,A1088,Apparitions!$B$2:$B$5001,B1088))</f>
        <v/>
      </c>
      <c r="F1088" s="27" t="str">
        <f aca="false">IF(A1088="","",A1088&amp;"|"&amp;B1088)</f>
        <v/>
      </c>
    </row>
    <row r="1089" customFormat="false" ht="15" hidden="false" customHeight="false" outlineLevel="0" collapsed="false">
      <c r="A1089" s="19"/>
      <c r="B1089" s="19"/>
      <c r="C1089" s="20"/>
      <c r="D1089" s="19"/>
      <c r="E1089" s="26" t="str">
        <f aca="false">IF(A1089="","",COUNTIFS(Apparitions!$A$2:$A$5001,A1089,Apparitions!$B$2:$B$5001,B1089))</f>
        <v/>
      </c>
      <c r="F1089" s="27" t="str">
        <f aca="false">IF(A1089="","",A1089&amp;"|"&amp;B1089)</f>
        <v/>
      </c>
    </row>
    <row r="1090" customFormat="false" ht="15" hidden="false" customHeight="false" outlineLevel="0" collapsed="false">
      <c r="A1090" s="19"/>
      <c r="B1090" s="19"/>
      <c r="C1090" s="20"/>
      <c r="D1090" s="19"/>
      <c r="E1090" s="26" t="str">
        <f aca="false">IF(A1090="","",COUNTIFS(Apparitions!$A$2:$A$5001,A1090,Apparitions!$B$2:$B$5001,B1090))</f>
        <v/>
      </c>
      <c r="F1090" s="27" t="str">
        <f aca="false">IF(A1090="","",A1090&amp;"|"&amp;B1090)</f>
        <v/>
      </c>
    </row>
    <row r="1091" customFormat="false" ht="15" hidden="false" customHeight="false" outlineLevel="0" collapsed="false">
      <c r="A1091" s="19"/>
      <c r="B1091" s="19"/>
      <c r="C1091" s="20"/>
      <c r="D1091" s="19"/>
      <c r="E1091" s="26" t="str">
        <f aca="false">IF(A1091="","",COUNTIFS(Apparitions!$A$2:$A$5001,A1091,Apparitions!$B$2:$B$5001,B1091))</f>
        <v/>
      </c>
      <c r="F1091" s="27" t="str">
        <f aca="false">IF(A1091="","",A1091&amp;"|"&amp;B1091)</f>
        <v/>
      </c>
    </row>
    <row r="1092" customFormat="false" ht="15" hidden="false" customHeight="false" outlineLevel="0" collapsed="false">
      <c r="A1092" s="19"/>
      <c r="B1092" s="19"/>
      <c r="C1092" s="20"/>
      <c r="D1092" s="19"/>
      <c r="E1092" s="26" t="str">
        <f aca="false">IF(A1092="","",COUNTIFS(Apparitions!$A$2:$A$5001,A1092,Apparitions!$B$2:$B$5001,B1092))</f>
        <v/>
      </c>
      <c r="F1092" s="27" t="str">
        <f aca="false">IF(A1092="","",A1092&amp;"|"&amp;B1092)</f>
        <v/>
      </c>
    </row>
    <row r="1093" customFormat="false" ht="15" hidden="false" customHeight="false" outlineLevel="0" collapsed="false">
      <c r="A1093" s="19"/>
      <c r="B1093" s="19"/>
      <c r="C1093" s="20"/>
      <c r="D1093" s="19"/>
      <c r="E1093" s="26" t="str">
        <f aca="false">IF(A1093="","",COUNTIFS(Apparitions!$A$2:$A$5001,A1093,Apparitions!$B$2:$B$5001,B1093))</f>
        <v/>
      </c>
      <c r="F1093" s="27" t="str">
        <f aca="false">IF(A1093="","",A1093&amp;"|"&amp;B1093)</f>
        <v/>
      </c>
    </row>
    <row r="1094" customFormat="false" ht="15" hidden="false" customHeight="false" outlineLevel="0" collapsed="false">
      <c r="A1094" s="19"/>
      <c r="B1094" s="19"/>
      <c r="C1094" s="20"/>
      <c r="D1094" s="19"/>
      <c r="E1094" s="26" t="str">
        <f aca="false">IF(A1094="","",COUNTIFS(Apparitions!$A$2:$A$5001,A1094,Apparitions!$B$2:$B$5001,B1094))</f>
        <v/>
      </c>
      <c r="F1094" s="27" t="str">
        <f aca="false">IF(A1094="","",A1094&amp;"|"&amp;B1094)</f>
        <v/>
      </c>
    </row>
    <row r="1095" customFormat="false" ht="15" hidden="false" customHeight="false" outlineLevel="0" collapsed="false">
      <c r="A1095" s="19"/>
      <c r="B1095" s="19"/>
      <c r="C1095" s="20"/>
      <c r="D1095" s="19"/>
      <c r="E1095" s="26" t="str">
        <f aca="false">IF(A1095="","",COUNTIFS(Apparitions!$A$2:$A$5001,A1095,Apparitions!$B$2:$B$5001,B1095))</f>
        <v/>
      </c>
      <c r="F1095" s="27" t="str">
        <f aca="false">IF(A1095="","",A1095&amp;"|"&amp;B1095)</f>
        <v/>
      </c>
    </row>
    <row r="1096" customFormat="false" ht="15" hidden="false" customHeight="false" outlineLevel="0" collapsed="false">
      <c r="A1096" s="19"/>
      <c r="B1096" s="19"/>
      <c r="C1096" s="20"/>
      <c r="D1096" s="19"/>
      <c r="E1096" s="26" t="str">
        <f aca="false">IF(A1096="","",COUNTIFS(Apparitions!$A$2:$A$5001,A1096,Apparitions!$B$2:$B$5001,B1096))</f>
        <v/>
      </c>
      <c r="F1096" s="27" t="str">
        <f aca="false">IF(A1096="","",A1096&amp;"|"&amp;B1096)</f>
        <v/>
      </c>
    </row>
    <row r="1097" customFormat="false" ht="15" hidden="false" customHeight="false" outlineLevel="0" collapsed="false">
      <c r="A1097" s="19"/>
      <c r="B1097" s="19"/>
      <c r="C1097" s="20"/>
      <c r="D1097" s="19"/>
      <c r="E1097" s="26" t="str">
        <f aca="false">IF(A1097="","",COUNTIFS(Apparitions!$A$2:$A$5001,A1097,Apparitions!$B$2:$B$5001,B1097))</f>
        <v/>
      </c>
      <c r="F1097" s="27" t="str">
        <f aca="false">IF(A1097="","",A1097&amp;"|"&amp;B1097)</f>
        <v/>
      </c>
    </row>
    <row r="1098" customFormat="false" ht="15" hidden="false" customHeight="false" outlineLevel="0" collapsed="false">
      <c r="A1098" s="19"/>
      <c r="B1098" s="19"/>
      <c r="C1098" s="20"/>
      <c r="D1098" s="19"/>
      <c r="E1098" s="26" t="str">
        <f aca="false">IF(A1098="","",COUNTIFS(Apparitions!$A$2:$A$5001,A1098,Apparitions!$B$2:$B$5001,B1098))</f>
        <v/>
      </c>
      <c r="F1098" s="27" t="str">
        <f aca="false">IF(A1098="","",A1098&amp;"|"&amp;B1098)</f>
        <v/>
      </c>
    </row>
    <row r="1099" customFormat="false" ht="15" hidden="false" customHeight="false" outlineLevel="0" collapsed="false">
      <c r="A1099" s="19"/>
      <c r="B1099" s="19"/>
      <c r="C1099" s="20"/>
      <c r="D1099" s="19"/>
      <c r="E1099" s="26" t="str">
        <f aca="false">IF(A1099="","",COUNTIFS(Apparitions!$A$2:$A$5001,A1099,Apparitions!$B$2:$B$5001,B1099))</f>
        <v/>
      </c>
      <c r="F1099" s="27" t="str">
        <f aca="false">IF(A1099="","",A1099&amp;"|"&amp;B1099)</f>
        <v/>
      </c>
    </row>
    <row r="1100" customFormat="false" ht="15" hidden="false" customHeight="false" outlineLevel="0" collapsed="false">
      <c r="A1100" s="19"/>
      <c r="B1100" s="19"/>
      <c r="C1100" s="20"/>
      <c r="D1100" s="19"/>
      <c r="E1100" s="26" t="str">
        <f aca="false">IF(A1100="","",COUNTIFS(Apparitions!$A$2:$A$5001,A1100,Apparitions!$B$2:$B$5001,B1100))</f>
        <v/>
      </c>
      <c r="F1100" s="27" t="str">
        <f aca="false">IF(A1100="","",A1100&amp;"|"&amp;B1100)</f>
        <v/>
      </c>
    </row>
    <row r="1101" customFormat="false" ht="15" hidden="false" customHeight="false" outlineLevel="0" collapsed="false">
      <c r="A1101" s="19"/>
      <c r="B1101" s="19"/>
      <c r="C1101" s="20"/>
      <c r="D1101" s="19"/>
      <c r="E1101" s="26" t="str">
        <f aca="false">IF(A1101="","",COUNTIFS(Apparitions!$A$2:$A$5001,A1101,Apparitions!$B$2:$B$5001,B1101))</f>
        <v/>
      </c>
      <c r="F1101" s="27" t="str">
        <f aca="false">IF(A1101="","",A1101&amp;"|"&amp;B1101)</f>
        <v/>
      </c>
    </row>
    <row r="1102" customFormat="false" ht="15" hidden="false" customHeight="false" outlineLevel="0" collapsed="false">
      <c r="A1102" s="19"/>
      <c r="B1102" s="19"/>
      <c r="C1102" s="20"/>
      <c r="D1102" s="19"/>
      <c r="E1102" s="26" t="str">
        <f aca="false">IF(A1102="","",COUNTIFS(Apparitions!$A$2:$A$5001,A1102,Apparitions!$B$2:$B$5001,B1102))</f>
        <v/>
      </c>
      <c r="F1102" s="27" t="str">
        <f aca="false">IF(A1102="","",A1102&amp;"|"&amp;B1102)</f>
        <v/>
      </c>
    </row>
    <row r="1103" customFormat="false" ht="15" hidden="false" customHeight="false" outlineLevel="0" collapsed="false">
      <c r="A1103" s="19"/>
      <c r="B1103" s="19"/>
      <c r="C1103" s="20"/>
      <c r="D1103" s="19"/>
      <c r="E1103" s="26" t="str">
        <f aca="false">IF(A1103="","",COUNTIFS(Apparitions!$A$2:$A$5001,A1103,Apparitions!$B$2:$B$5001,B1103))</f>
        <v/>
      </c>
      <c r="F1103" s="27" t="str">
        <f aca="false">IF(A1103="","",A1103&amp;"|"&amp;B1103)</f>
        <v/>
      </c>
    </row>
    <row r="1104" customFormat="false" ht="15" hidden="false" customHeight="false" outlineLevel="0" collapsed="false">
      <c r="A1104" s="19"/>
      <c r="B1104" s="19"/>
      <c r="C1104" s="20"/>
      <c r="D1104" s="19"/>
      <c r="E1104" s="26" t="str">
        <f aca="false">IF(A1104="","",COUNTIFS(Apparitions!$A$2:$A$5001,A1104,Apparitions!$B$2:$B$5001,B1104))</f>
        <v/>
      </c>
      <c r="F1104" s="27" t="str">
        <f aca="false">IF(A1104="","",A1104&amp;"|"&amp;B1104)</f>
        <v/>
      </c>
    </row>
    <row r="1105" customFormat="false" ht="15" hidden="false" customHeight="false" outlineLevel="0" collapsed="false">
      <c r="A1105" s="19"/>
      <c r="B1105" s="19"/>
      <c r="C1105" s="20"/>
      <c r="D1105" s="19"/>
      <c r="E1105" s="26" t="str">
        <f aca="false">IF(A1105="","",COUNTIFS(Apparitions!$A$2:$A$5001,A1105,Apparitions!$B$2:$B$5001,B1105))</f>
        <v/>
      </c>
      <c r="F1105" s="27" t="str">
        <f aca="false">IF(A1105="","",A1105&amp;"|"&amp;B1105)</f>
        <v/>
      </c>
    </row>
    <row r="1106" customFormat="false" ht="15" hidden="false" customHeight="false" outlineLevel="0" collapsed="false">
      <c r="A1106" s="19"/>
      <c r="B1106" s="19"/>
      <c r="C1106" s="20"/>
      <c r="D1106" s="19"/>
      <c r="E1106" s="26" t="str">
        <f aca="false">IF(A1106="","",COUNTIFS(Apparitions!$A$2:$A$5001,A1106,Apparitions!$B$2:$B$5001,B1106))</f>
        <v/>
      </c>
      <c r="F1106" s="27" t="str">
        <f aca="false">IF(A1106="","",A1106&amp;"|"&amp;B1106)</f>
        <v/>
      </c>
    </row>
    <row r="1107" customFormat="false" ht="15" hidden="false" customHeight="false" outlineLevel="0" collapsed="false">
      <c r="A1107" s="19"/>
      <c r="B1107" s="19"/>
      <c r="C1107" s="20"/>
      <c r="D1107" s="19"/>
      <c r="E1107" s="26" t="str">
        <f aca="false">IF(A1107="","",COUNTIFS(Apparitions!$A$2:$A$5001,A1107,Apparitions!$B$2:$B$5001,B1107))</f>
        <v/>
      </c>
      <c r="F1107" s="27" t="str">
        <f aca="false">IF(A1107="","",A1107&amp;"|"&amp;B1107)</f>
        <v/>
      </c>
    </row>
    <row r="1108" customFormat="false" ht="15" hidden="false" customHeight="false" outlineLevel="0" collapsed="false">
      <c r="A1108" s="19"/>
      <c r="B1108" s="19"/>
      <c r="C1108" s="20"/>
      <c r="D1108" s="19"/>
      <c r="E1108" s="26" t="str">
        <f aca="false">IF(A1108="","",COUNTIFS(Apparitions!$A$2:$A$5001,A1108,Apparitions!$B$2:$B$5001,B1108))</f>
        <v/>
      </c>
      <c r="F1108" s="27" t="str">
        <f aca="false">IF(A1108="","",A1108&amp;"|"&amp;B1108)</f>
        <v/>
      </c>
    </row>
    <row r="1109" customFormat="false" ht="15" hidden="false" customHeight="false" outlineLevel="0" collapsed="false">
      <c r="A1109" s="19"/>
      <c r="B1109" s="19"/>
      <c r="C1109" s="20"/>
      <c r="D1109" s="19"/>
      <c r="E1109" s="26" t="str">
        <f aca="false">IF(A1109="","",COUNTIFS(Apparitions!$A$2:$A$5001,A1109,Apparitions!$B$2:$B$5001,B1109))</f>
        <v/>
      </c>
      <c r="F1109" s="27" t="str">
        <f aca="false">IF(A1109="","",A1109&amp;"|"&amp;B1109)</f>
        <v/>
      </c>
    </row>
    <row r="1110" customFormat="false" ht="15" hidden="false" customHeight="false" outlineLevel="0" collapsed="false">
      <c r="A1110" s="19"/>
      <c r="B1110" s="19"/>
      <c r="C1110" s="20"/>
      <c r="D1110" s="19"/>
      <c r="E1110" s="26" t="str">
        <f aca="false">IF(A1110="","",COUNTIFS(Apparitions!$A$2:$A$5001,A1110,Apparitions!$B$2:$B$5001,B1110))</f>
        <v/>
      </c>
      <c r="F1110" s="27" t="str">
        <f aca="false">IF(A1110="","",A1110&amp;"|"&amp;B1110)</f>
        <v/>
      </c>
    </row>
    <row r="1111" customFormat="false" ht="15" hidden="false" customHeight="false" outlineLevel="0" collapsed="false">
      <c r="A1111" s="19"/>
      <c r="B1111" s="19"/>
      <c r="C1111" s="20"/>
      <c r="D1111" s="19"/>
      <c r="E1111" s="26" t="str">
        <f aca="false">IF(A1111="","",COUNTIFS(Apparitions!$A$2:$A$5001,A1111,Apparitions!$B$2:$B$5001,B1111))</f>
        <v/>
      </c>
      <c r="F1111" s="27" t="str">
        <f aca="false">IF(A1111="","",A1111&amp;"|"&amp;B1111)</f>
        <v/>
      </c>
    </row>
    <row r="1112" customFormat="false" ht="15" hidden="false" customHeight="false" outlineLevel="0" collapsed="false">
      <c r="A1112" s="19"/>
      <c r="B1112" s="19"/>
      <c r="C1112" s="20"/>
      <c r="D1112" s="19"/>
      <c r="E1112" s="26" t="str">
        <f aca="false">IF(A1112="","",COUNTIFS(Apparitions!$A$2:$A$5001,A1112,Apparitions!$B$2:$B$5001,B1112))</f>
        <v/>
      </c>
      <c r="F1112" s="27" t="str">
        <f aca="false">IF(A1112="","",A1112&amp;"|"&amp;B1112)</f>
        <v/>
      </c>
    </row>
    <row r="1113" customFormat="false" ht="15" hidden="false" customHeight="false" outlineLevel="0" collapsed="false">
      <c r="A1113" s="19"/>
      <c r="B1113" s="19"/>
      <c r="C1113" s="20"/>
      <c r="D1113" s="19"/>
      <c r="E1113" s="26" t="str">
        <f aca="false">IF(A1113="","",COUNTIFS(Apparitions!$A$2:$A$5001,A1113,Apparitions!$B$2:$B$5001,B1113))</f>
        <v/>
      </c>
      <c r="F1113" s="27" t="str">
        <f aca="false">IF(A1113="","",A1113&amp;"|"&amp;B1113)</f>
        <v/>
      </c>
    </row>
    <row r="1114" customFormat="false" ht="15" hidden="false" customHeight="false" outlineLevel="0" collapsed="false">
      <c r="A1114" s="19"/>
      <c r="B1114" s="19"/>
      <c r="C1114" s="20"/>
      <c r="D1114" s="19"/>
      <c r="E1114" s="26" t="str">
        <f aca="false">IF(A1114="","",COUNTIFS(Apparitions!$A$2:$A$5001,A1114,Apparitions!$B$2:$B$5001,B1114))</f>
        <v/>
      </c>
      <c r="F1114" s="27" t="str">
        <f aca="false">IF(A1114="","",A1114&amp;"|"&amp;B1114)</f>
        <v/>
      </c>
    </row>
    <row r="1115" customFormat="false" ht="15" hidden="false" customHeight="false" outlineLevel="0" collapsed="false">
      <c r="A1115" s="19"/>
      <c r="B1115" s="19"/>
      <c r="C1115" s="20"/>
      <c r="D1115" s="19"/>
      <c r="E1115" s="26" t="str">
        <f aca="false">IF(A1115="","",COUNTIFS(Apparitions!$A$2:$A$5001,A1115,Apparitions!$B$2:$B$5001,B1115))</f>
        <v/>
      </c>
      <c r="F1115" s="27" t="str">
        <f aca="false">IF(A1115="","",A1115&amp;"|"&amp;B1115)</f>
        <v/>
      </c>
    </row>
    <row r="1116" customFormat="false" ht="15" hidden="false" customHeight="false" outlineLevel="0" collapsed="false">
      <c r="A1116" s="19"/>
      <c r="B1116" s="19"/>
      <c r="C1116" s="20"/>
      <c r="D1116" s="19"/>
      <c r="E1116" s="26" t="str">
        <f aca="false">IF(A1116="","",COUNTIFS(Apparitions!$A$2:$A$5001,A1116,Apparitions!$B$2:$B$5001,B1116))</f>
        <v/>
      </c>
      <c r="F1116" s="27" t="str">
        <f aca="false">IF(A1116="","",A1116&amp;"|"&amp;B1116)</f>
        <v/>
      </c>
    </row>
    <row r="1117" customFormat="false" ht="15" hidden="false" customHeight="false" outlineLevel="0" collapsed="false">
      <c r="A1117" s="19"/>
      <c r="B1117" s="19"/>
      <c r="C1117" s="20"/>
      <c r="D1117" s="19"/>
      <c r="E1117" s="26" t="str">
        <f aca="false">IF(A1117="","",COUNTIFS(Apparitions!$A$2:$A$5001,A1117,Apparitions!$B$2:$B$5001,B1117))</f>
        <v/>
      </c>
      <c r="F1117" s="27" t="str">
        <f aca="false">IF(A1117="","",A1117&amp;"|"&amp;B1117)</f>
        <v/>
      </c>
    </row>
    <row r="1118" customFormat="false" ht="15" hidden="false" customHeight="false" outlineLevel="0" collapsed="false">
      <c r="A1118" s="19"/>
      <c r="B1118" s="19"/>
      <c r="C1118" s="20"/>
      <c r="D1118" s="19"/>
      <c r="E1118" s="26" t="str">
        <f aca="false">IF(A1118="","",COUNTIFS(Apparitions!$A$2:$A$5001,A1118,Apparitions!$B$2:$B$5001,B1118))</f>
        <v/>
      </c>
      <c r="F1118" s="27" t="str">
        <f aca="false">IF(A1118="","",A1118&amp;"|"&amp;B1118)</f>
        <v/>
      </c>
    </row>
    <row r="1119" customFormat="false" ht="15" hidden="false" customHeight="false" outlineLevel="0" collapsed="false">
      <c r="A1119" s="19"/>
      <c r="B1119" s="19"/>
      <c r="C1119" s="20"/>
      <c r="D1119" s="19"/>
      <c r="E1119" s="26" t="str">
        <f aca="false">IF(A1119="","",COUNTIFS(Apparitions!$A$2:$A$5001,A1119,Apparitions!$B$2:$B$5001,B1119))</f>
        <v/>
      </c>
      <c r="F1119" s="27" t="str">
        <f aca="false">IF(A1119="","",A1119&amp;"|"&amp;B1119)</f>
        <v/>
      </c>
    </row>
    <row r="1120" customFormat="false" ht="15" hidden="false" customHeight="false" outlineLevel="0" collapsed="false">
      <c r="A1120" s="19"/>
      <c r="B1120" s="19"/>
      <c r="C1120" s="20"/>
      <c r="D1120" s="19"/>
      <c r="E1120" s="26" t="str">
        <f aca="false">IF(A1120="","",COUNTIFS(Apparitions!$A$2:$A$5001,A1120,Apparitions!$B$2:$B$5001,B1120))</f>
        <v/>
      </c>
      <c r="F1120" s="27" t="str">
        <f aca="false">IF(A1120="","",A1120&amp;"|"&amp;B1120)</f>
        <v/>
      </c>
    </row>
    <row r="1121" customFormat="false" ht="15" hidden="false" customHeight="false" outlineLevel="0" collapsed="false">
      <c r="A1121" s="19"/>
      <c r="B1121" s="19"/>
      <c r="C1121" s="20"/>
      <c r="D1121" s="19"/>
      <c r="E1121" s="26" t="str">
        <f aca="false">IF(A1121="","",COUNTIFS(Apparitions!$A$2:$A$5001,A1121,Apparitions!$B$2:$B$5001,B1121))</f>
        <v/>
      </c>
      <c r="F1121" s="27" t="str">
        <f aca="false">IF(A1121="","",A1121&amp;"|"&amp;B1121)</f>
        <v/>
      </c>
    </row>
    <row r="1122" customFormat="false" ht="15" hidden="false" customHeight="false" outlineLevel="0" collapsed="false">
      <c r="A1122" s="19"/>
      <c r="B1122" s="19"/>
      <c r="C1122" s="20"/>
      <c r="D1122" s="19"/>
      <c r="E1122" s="26" t="str">
        <f aca="false">IF(A1122="","",COUNTIFS(Apparitions!$A$2:$A$5001,A1122,Apparitions!$B$2:$B$5001,B1122))</f>
        <v/>
      </c>
      <c r="F1122" s="27" t="str">
        <f aca="false">IF(A1122="","",A1122&amp;"|"&amp;B1122)</f>
        <v/>
      </c>
    </row>
    <row r="1123" customFormat="false" ht="15" hidden="false" customHeight="false" outlineLevel="0" collapsed="false">
      <c r="A1123" s="19"/>
      <c r="B1123" s="19"/>
      <c r="C1123" s="20"/>
      <c r="D1123" s="19"/>
      <c r="E1123" s="26" t="str">
        <f aca="false">IF(A1123="","",COUNTIFS(Apparitions!$A$2:$A$5001,A1123,Apparitions!$B$2:$B$5001,B1123))</f>
        <v/>
      </c>
      <c r="F1123" s="27" t="str">
        <f aca="false">IF(A1123="","",A1123&amp;"|"&amp;B1123)</f>
        <v/>
      </c>
    </row>
    <row r="1124" customFormat="false" ht="15" hidden="false" customHeight="false" outlineLevel="0" collapsed="false">
      <c r="A1124" s="19"/>
      <c r="B1124" s="19"/>
      <c r="C1124" s="20"/>
      <c r="D1124" s="19"/>
      <c r="E1124" s="26" t="str">
        <f aca="false">IF(A1124="","",COUNTIFS(Apparitions!$A$2:$A$5001,A1124,Apparitions!$B$2:$B$5001,B1124))</f>
        <v/>
      </c>
      <c r="F1124" s="27" t="str">
        <f aca="false">IF(A1124="","",A1124&amp;"|"&amp;B1124)</f>
        <v/>
      </c>
    </row>
    <row r="1125" customFormat="false" ht="15" hidden="false" customHeight="false" outlineLevel="0" collapsed="false">
      <c r="A1125" s="19"/>
      <c r="B1125" s="19"/>
      <c r="C1125" s="20"/>
      <c r="D1125" s="19"/>
      <c r="E1125" s="26" t="str">
        <f aca="false">IF(A1125="","",COUNTIFS(Apparitions!$A$2:$A$5001,A1125,Apparitions!$B$2:$B$5001,B1125))</f>
        <v/>
      </c>
      <c r="F1125" s="27" t="str">
        <f aca="false">IF(A1125="","",A1125&amp;"|"&amp;B1125)</f>
        <v/>
      </c>
    </row>
    <row r="1126" customFormat="false" ht="15" hidden="false" customHeight="false" outlineLevel="0" collapsed="false">
      <c r="A1126" s="19"/>
      <c r="B1126" s="19"/>
      <c r="C1126" s="20"/>
      <c r="D1126" s="19"/>
      <c r="E1126" s="26" t="str">
        <f aca="false">IF(A1126="","",COUNTIFS(Apparitions!$A$2:$A$5001,A1126,Apparitions!$B$2:$B$5001,B1126))</f>
        <v/>
      </c>
      <c r="F1126" s="27" t="str">
        <f aca="false">IF(A1126="","",A1126&amp;"|"&amp;B1126)</f>
        <v/>
      </c>
    </row>
    <row r="1127" customFormat="false" ht="15" hidden="false" customHeight="false" outlineLevel="0" collapsed="false">
      <c r="A1127" s="19"/>
      <c r="B1127" s="19"/>
      <c r="C1127" s="20"/>
      <c r="D1127" s="19"/>
      <c r="E1127" s="26" t="str">
        <f aca="false">IF(A1127="","",COUNTIFS(Apparitions!$A$2:$A$5001,A1127,Apparitions!$B$2:$B$5001,B1127))</f>
        <v/>
      </c>
      <c r="F1127" s="27" t="str">
        <f aca="false">IF(A1127="","",A1127&amp;"|"&amp;B1127)</f>
        <v/>
      </c>
    </row>
    <row r="1128" customFormat="false" ht="15" hidden="false" customHeight="false" outlineLevel="0" collapsed="false">
      <c r="A1128" s="19"/>
      <c r="B1128" s="19"/>
      <c r="C1128" s="20"/>
      <c r="D1128" s="19"/>
      <c r="E1128" s="26" t="str">
        <f aca="false">IF(A1128="","",COUNTIFS(Apparitions!$A$2:$A$5001,A1128,Apparitions!$B$2:$B$5001,B1128))</f>
        <v/>
      </c>
      <c r="F1128" s="27" t="str">
        <f aca="false">IF(A1128="","",A1128&amp;"|"&amp;B1128)</f>
        <v/>
      </c>
    </row>
    <row r="1129" customFormat="false" ht="15" hidden="false" customHeight="false" outlineLevel="0" collapsed="false">
      <c r="A1129" s="19"/>
      <c r="B1129" s="19"/>
      <c r="C1129" s="20"/>
      <c r="D1129" s="19"/>
      <c r="E1129" s="26" t="str">
        <f aca="false">IF(A1129="","",COUNTIFS(Apparitions!$A$2:$A$5001,A1129,Apparitions!$B$2:$B$5001,B1129))</f>
        <v/>
      </c>
      <c r="F1129" s="27" t="str">
        <f aca="false">IF(A1129="","",A1129&amp;"|"&amp;B1129)</f>
        <v/>
      </c>
    </row>
    <row r="1130" customFormat="false" ht="15" hidden="false" customHeight="false" outlineLevel="0" collapsed="false">
      <c r="A1130" s="19"/>
      <c r="B1130" s="19"/>
      <c r="C1130" s="20"/>
      <c r="D1130" s="19"/>
      <c r="E1130" s="26" t="str">
        <f aca="false">IF(A1130="","",COUNTIFS(Apparitions!$A$2:$A$5001,A1130,Apparitions!$B$2:$B$5001,B1130))</f>
        <v/>
      </c>
      <c r="F1130" s="27" t="str">
        <f aca="false">IF(A1130="","",A1130&amp;"|"&amp;B1130)</f>
        <v/>
      </c>
    </row>
    <row r="1131" customFormat="false" ht="15" hidden="false" customHeight="false" outlineLevel="0" collapsed="false">
      <c r="A1131" s="19"/>
      <c r="B1131" s="19"/>
      <c r="C1131" s="20"/>
      <c r="D1131" s="19"/>
      <c r="E1131" s="26" t="str">
        <f aca="false">IF(A1131="","",COUNTIFS(Apparitions!$A$2:$A$5001,A1131,Apparitions!$B$2:$B$5001,B1131))</f>
        <v/>
      </c>
      <c r="F1131" s="27" t="str">
        <f aca="false">IF(A1131="","",A1131&amp;"|"&amp;B1131)</f>
        <v/>
      </c>
    </row>
    <row r="1132" customFormat="false" ht="15" hidden="false" customHeight="false" outlineLevel="0" collapsed="false">
      <c r="A1132" s="19"/>
      <c r="B1132" s="19"/>
      <c r="C1132" s="20"/>
      <c r="D1132" s="19"/>
      <c r="E1132" s="26" t="str">
        <f aca="false">IF(A1132="","",COUNTIFS(Apparitions!$A$2:$A$5001,A1132,Apparitions!$B$2:$B$5001,B1132))</f>
        <v/>
      </c>
      <c r="F1132" s="27" t="str">
        <f aca="false">IF(A1132="","",A1132&amp;"|"&amp;B1132)</f>
        <v/>
      </c>
    </row>
    <row r="1133" customFormat="false" ht="15" hidden="false" customHeight="false" outlineLevel="0" collapsed="false">
      <c r="A1133" s="19"/>
      <c r="B1133" s="19"/>
      <c r="C1133" s="20"/>
      <c r="D1133" s="19"/>
      <c r="E1133" s="26" t="str">
        <f aca="false">IF(A1133="","",COUNTIFS(Apparitions!$A$2:$A$5001,A1133,Apparitions!$B$2:$B$5001,B1133))</f>
        <v/>
      </c>
      <c r="F1133" s="27" t="str">
        <f aca="false">IF(A1133="","",A1133&amp;"|"&amp;B1133)</f>
        <v/>
      </c>
    </row>
    <row r="1134" customFormat="false" ht="15" hidden="false" customHeight="false" outlineLevel="0" collapsed="false">
      <c r="A1134" s="19"/>
      <c r="B1134" s="19"/>
      <c r="C1134" s="20"/>
      <c r="D1134" s="19"/>
      <c r="E1134" s="26" t="str">
        <f aca="false">IF(A1134="","",COUNTIFS(Apparitions!$A$2:$A$5001,A1134,Apparitions!$B$2:$B$5001,B1134))</f>
        <v/>
      </c>
      <c r="F1134" s="27" t="str">
        <f aca="false">IF(A1134="","",A1134&amp;"|"&amp;B1134)</f>
        <v/>
      </c>
    </row>
    <row r="1135" customFormat="false" ht="15" hidden="false" customHeight="false" outlineLevel="0" collapsed="false">
      <c r="A1135" s="19"/>
      <c r="B1135" s="19"/>
      <c r="C1135" s="20"/>
      <c r="D1135" s="19"/>
      <c r="E1135" s="26" t="str">
        <f aca="false">IF(A1135="","",COUNTIFS(Apparitions!$A$2:$A$5001,A1135,Apparitions!$B$2:$B$5001,B1135))</f>
        <v/>
      </c>
      <c r="F1135" s="27" t="str">
        <f aca="false">IF(A1135="","",A1135&amp;"|"&amp;B1135)</f>
        <v/>
      </c>
    </row>
    <row r="1136" customFormat="false" ht="15" hidden="false" customHeight="false" outlineLevel="0" collapsed="false">
      <c r="A1136" s="19"/>
      <c r="B1136" s="19"/>
      <c r="C1136" s="20"/>
      <c r="D1136" s="19"/>
      <c r="E1136" s="26" t="str">
        <f aca="false">IF(A1136="","",COUNTIFS(Apparitions!$A$2:$A$5001,A1136,Apparitions!$B$2:$B$5001,B1136))</f>
        <v/>
      </c>
      <c r="F1136" s="27" t="str">
        <f aca="false">IF(A1136="","",A1136&amp;"|"&amp;B1136)</f>
        <v/>
      </c>
    </row>
    <row r="1137" customFormat="false" ht="15" hidden="false" customHeight="false" outlineLevel="0" collapsed="false">
      <c r="A1137" s="19"/>
      <c r="B1137" s="19"/>
      <c r="C1137" s="20"/>
      <c r="D1137" s="19"/>
      <c r="E1137" s="26" t="str">
        <f aca="false">IF(A1137="","",COUNTIFS(Apparitions!$A$2:$A$5001,A1137,Apparitions!$B$2:$B$5001,B1137))</f>
        <v/>
      </c>
      <c r="F1137" s="27" t="str">
        <f aca="false">IF(A1137="","",A1137&amp;"|"&amp;B1137)</f>
        <v/>
      </c>
    </row>
    <row r="1138" customFormat="false" ht="15" hidden="false" customHeight="false" outlineLevel="0" collapsed="false">
      <c r="A1138" s="19"/>
      <c r="B1138" s="19"/>
      <c r="C1138" s="20"/>
      <c r="D1138" s="19"/>
      <c r="E1138" s="26" t="str">
        <f aca="false">IF(A1138="","",COUNTIFS(Apparitions!$A$2:$A$5001,A1138,Apparitions!$B$2:$B$5001,B1138))</f>
        <v/>
      </c>
      <c r="F1138" s="27" t="str">
        <f aca="false">IF(A1138="","",A1138&amp;"|"&amp;B1138)</f>
        <v/>
      </c>
    </row>
    <row r="1139" customFormat="false" ht="15" hidden="false" customHeight="false" outlineLevel="0" collapsed="false">
      <c r="A1139" s="19"/>
      <c r="B1139" s="19"/>
      <c r="C1139" s="20"/>
      <c r="D1139" s="19"/>
      <c r="E1139" s="26" t="str">
        <f aca="false">IF(A1139="","",COUNTIFS(Apparitions!$A$2:$A$5001,A1139,Apparitions!$B$2:$B$5001,B1139))</f>
        <v/>
      </c>
      <c r="F1139" s="27" t="str">
        <f aca="false">IF(A1139="","",A1139&amp;"|"&amp;B1139)</f>
        <v/>
      </c>
    </row>
    <row r="1140" customFormat="false" ht="15" hidden="false" customHeight="false" outlineLevel="0" collapsed="false">
      <c r="A1140" s="19"/>
      <c r="B1140" s="19"/>
      <c r="C1140" s="20"/>
      <c r="D1140" s="19"/>
      <c r="E1140" s="26" t="str">
        <f aca="false">IF(A1140="","",COUNTIFS(Apparitions!$A$2:$A$5001,A1140,Apparitions!$B$2:$B$5001,B1140))</f>
        <v/>
      </c>
      <c r="F1140" s="27" t="str">
        <f aca="false">IF(A1140="","",A1140&amp;"|"&amp;B1140)</f>
        <v/>
      </c>
    </row>
    <row r="1141" customFormat="false" ht="15" hidden="false" customHeight="false" outlineLevel="0" collapsed="false">
      <c r="A1141" s="19"/>
      <c r="B1141" s="19"/>
      <c r="C1141" s="20"/>
      <c r="D1141" s="19"/>
      <c r="E1141" s="26" t="str">
        <f aca="false">IF(A1141="","",COUNTIFS(Apparitions!$A$2:$A$5001,A1141,Apparitions!$B$2:$B$5001,B1141))</f>
        <v/>
      </c>
      <c r="F1141" s="27" t="str">
        <f aca="false">IF(A1141="","",A1141&amp;"|"&amp;B1141)</f>
        <v/>
      </c>
    </row>
    <row r="1142" customFormat="false" ht="15" hidden="false" customHeight="false" outlineLevel="0" collapsed="false">
      <c r="A1142" s="19"/>
      <c r="B1142" s="19"/>
      <c r="C1142" s="20"/>
      <c r="D1142" s="19"/>
      <c r="E1142" s="26" t="str">
        <f aca="false">IF(A1142="","",COUNTIFS(Apparitions!$A$2:$A$5001,A1142,Apparitions!$B$2:$B$5001,B1142))</f>
        <v/>
      </c>
      <c r="F1142" s="27" t="str">
        <f aca="false">IF(A1142="","",A1142&amp;"|"&amp;B1142)</f>
        <v/>
      </c>
    </row>
    <row r="1143" customFormat="false" ht="15" hidden="false" customHeight="false" outlineLevel="0" collapsed="false">
      <c r="A1143" s="19"/>
      <c r="B1143" s="19"/>
      <c r="C1143" s="20"/>
      <c r="D1143" s="19"/>
      <c r="E1143" s="26" t="str">
        <f aca="false">IF(A1143="","",COUNTIFS(Apparitions!$A$2:$A$5001,A1143,Apparitions!$B$2:$B$5001,B1143))</f>
        <v/>
      </c>
      <c r="F1143" s="27" t="str">
        <f aca="false">IF(A1143="","",A1143&amp;"|"&amp;B1143)</f>
        <v/>
      </c>
    </row>
    <row r="1144" customFormat="false" ht="15" hidden="false" customHeight="false" outlineLevel="0" collapsed="false">
      <c r="A1144" s="19"/>
      <c r="B1144" s="19"/>
      <c r="C1144" s="20"/>
      <c r="D1144" s="19"/>
      <c r="E1144" s="26" t="str">
        <f aca="false">IF(A1144="","",COUNTIFS(Apparitions!$A$2:$A$5001,A1144,Apparitions!$B$2:$B$5001,B1144))</f>
        <v/>
      </c>
      <c r="F1144" s="27" t="str">
        <f aca="false">IF(A1144="","",A1144&amp;"|"&amp;B1144)</f>
        <v/>
      </c>
    </row>
    <row r="1145" customFormat="false" ht="15" hidden="false" customHeight="false" outlineLevel="0" collapsed="false">
      <c r="A1145" s="19"/>
      <c r="B1145" s="19"/>
      <c r="C1145" s="20"/>
      <c r="D1145" s="19"/>
      <c r="E1145" s="26" t="str">
        <f aca="false">IF(A1145="","",COUNTIFS(Apparitions!$A$2:$A$5001,A1145,Apparitions!$B$2:$B$5001,B1145))</f>
        <v/>
      </c>
      <c r="F1145" s="27" t="str">
        <f aca="false">IF(A1145="","",A1145&amp;"|"&amp;B1145)</f>
        <v/>
      </c>
    </row>
    <row r="1146" customFormat="false" ht="15" hidden="false" customHeight="false" outlineLevel="0" collapsed="false">
      <c r="A1146" s="19"/>
      <c r="B1146" s="19"/>
      <c r="C1146" s="20"/>
      <c r="D1146" s="19"/>
      <c r="E1146" s="26" t="str">
        <f aca="false">IF(A1146="","",COUNTIFS(Apparitions!$A$2:$A$5001,A1146,Apparitions!$B$2:$B$5001,B1146))</f>
        <v/>
      </c>
      <c r="F1146" s="27" t="str">
        <f aca="false">IF(A1146="","",A1146&amp;"|"&amp;B1146)</f>
        <v/>
      </c>
    </row>
    <row r="1147" customFormat="false" ht="15" hidden="false" customHeight="false" outlineLevel="0" collapsed="false">
      <c r="A1147" s="19"/>
      <c r="B1147" s="19"/>
      <c r="C1147" s="20"/>
      <c r="D1147" s="19"/>
      <c r="E1147" s="26" t="str">
        <f aca="false">IF(A1147="","",COUNTIFS(Apparitions!$A$2:$A$5001,A1147,Apparitions!$B$2:$B$5001,B1147))</f>
        <v/>
      </c>
      <c r="F1147" s="27" t="str">
        <f aca="false">IF(A1147="","",A1147&amp;"|"&amp;B1147)</f>
        <v/>
      </c>
    </row>
    <row r="1148" customFormat="false" ht="15" hidden="false" customHeight="false" outlineLevel="0" collapsed="false">
      <c r="A1148" s="19"/>
      <c r="B1148" s="19"/>
      <c r="C1148" s="20"/>
      <c r="D1148" s="19"/>
      <c r="E1148" s="26" t="str">
        <f aca="false">IF(A1148="","",COUNTIFS(Apparitions!$A$2:$A$5001,A1148,Apparitions!$B$2:$B$5001,B1148))</f>
        <v/>
      </c>
      <c r="F1148" s="27" t="str">
        <f aca="false">IF(A1148="","",A1148&amp;"|"&amp;B1148)</f>
        <v/>
      </c>
    </row>
    <row r="1149" customFormat="false" ht="15" hidden="false" customHeight="false" outlineLevel="0" collapsed="false">
      <c r="A1149" s="19"/>
      <c r="B1149" s="19"/>
      <c r="C1149" s="20"/>
      <c r="D1149" s="19"/>
      <c r="E1149" s="26" t="str">
        <f aca="false">IF(A1149="","",COUNTIFS(Apparitions!$A$2:$A$5001,A1149,Apparitions!$B$2:$B$5001,B1149))</f>
        <v/>
      </c>
      <c r="F1149" s="27" t="str">
        <f aca="false">IF(A1149="","",A1149&amp;"|"&amp;B1149)</f>
        <v/>
      </c>
    </row>
    <row r="1150" customFormat="false" ht="15" hidden="false" customHeight="false" outlineLevel="0" collapsed="false">
      <c r="A1150" s="19"/>
      <c r="B1150" s="19"/>
      <c r="C1150" s="20"/>
      <c r="D1150" s="19"/>
      <c r="E1150" s="26" t="str">
        <f aca="false">IF(A1150="","",COUNTIFS(Apparitions!$A$2:$A$5001,A1150,Apparitions!$B$2:$B$5001,B1150))</f>
        <v/>
      </c>
      <c r="F1150" s="27" t="str">
        <f aca="false">IF(A1150="","",A1150&amp;"|"&amp;B1150)</f>
        <v/>
      </c>
    </row>
    <row r="1151" customFormat="false" ht="15" hidden="false" customHeight="false" outlineLevel="0" collapsed="false">
      <c r="A1151" s="19"/>
      <c r="B1151" s="19"/>
      <c r="C1151" s="20"/>
      <c r="D1151" s="19"/>
      <c r="E1151" s="26" t="str">
        <f aca="false">IF(A1151="","",COUNTIFS(Apparitions!$A$2:$A$5001,A1151,Apparitions!$B$2:$B$5001,B1151))</f>
        <v/>
      </c>
      <c r="F1151" s="27" t="str">
        <f aca="false">IF(A1151="","",A1151&amp;"|"&amp;B1151)</f>
        <v/>
      </c>
    </row>
    <row r="1152" customFormat="false" ht="15" hidden="false" customHeight="false" outlineLevel="0" collapsed="false">
      <c r="A1152" s="19"/>
      <c r="B1152" s="19"/>
      <c r="C1152" s="20"/>
      <c r="D1152" s="19"/>
      <c r="E1152" s="26" t="str">
        <f aca="false">IF(A1152="","",COUNTIFS(Apparitions!$A$2:$A$5001,A1152,Apparitions!$B$2:$B$5001,B1152))</f>
        <v/>
      </c>
      <c r="F1152" s="27" t="str">
        <f aca="false">IF(A1152="","",A1152&amp;"|"&amp;B1152)</f>
        <v/>
      </c>
    </row>
    <row r="1153" customFormat="false" ht="15" hidden="false" customHeight="false" outlineLevel="0" collapsed="false">
      <c r="A1153" s="19"/>
      <c r="B1153" s="19"/>
      <c r="C1153" s="20"/>
      <c r="D1153" s="19"/>
      <c r="E1153" s="26" t="str">
        <f aca="false">IF(A1153="","",COUNTIFS(Apparitions!$A$2:$A$5001,A1153,Apparitions!$B$2:$B$5001,B1153))</f>
        <v/>
      </c>
      <c r="F1153" s="27" t="str">
        <f aca="false">IF(A1153="","",A1153&amp;"|"&amp;B1153)</f>
        <v/>
      </c>
    </row>
    <row r="1154" customFormat="false" ht="15" hidden="false" customHeight="false" outlineLevel="0" collapsed="false">
      <c r="A1154" s="19"/>
      <c r="B1154" s="19"/>
      <c r="C1154" s="20"/>
      <c r="D1154" s="19"/>
      <c r="E1154" s="26" t="str">
        <f aca="false">IF(A1154="","",COUNTIFS(Apparitions!$A$2:$A$5001,A1154,Apparitions!$B$2:$B$5001,B1154))</f>
        <v/>
      </c>
      <c r="F1154" s="27" t="str">
        <f aca="false">IF(A1154="","",A1154&amp;"|"&amp;B1154)</f>
        <v/>
      </c>
    </row>
    <row r="1155" customFormat="false" ht="15" hidden="false" customHeight="false" outlineLevel="0" collapsed="false">
      <c r="A1155" s="19"/>
      <c r="B1155" s="19"/>
      <c r="C1155" s="20"/>
      <c r="D1155" s="19"/>
      <c r="E1155" s="26" t="str">
        <f aca="false">IF(A1155="","",COUNTIFS(Apparitions!$A$2:$A$5001,A1155,Apparitions!$B$2:$B$5001,B1155))</f>
        <v/>
      </c>
      <c r="F1155" s="27" t="str">
        <f aca="false">IF(A1155="","",A1155&amp;"|"&amp;B1155)</f>
        <v/>
      </c>
    </row>
    <row r="1156" customFormat="false" ht="15" hidden="false" customHeight="false" outlineLevel="0" collapsed="false">
      <c r="A1156" s="19"/>
      <c r="B1156" s="19"/>
      <c r="C1156" s="20"/>
      <c r="D1156" s="19"/>
      <c r="E1156" s="26" t="str">
        <f aca="false">IF(A1156="","",COUNTIFS(Apparitions!$A$2:$A$5001,A1156,Apparitions!$B$2:$B$5001,B1156))</f>
        <v/>
      </c>
      <c r="F1156" s="27" t="str">
        <f aca="false">IF(A1156="","",A1156&amp;"|"&amp;B1156)</f>
        <v/>
      </c>
    </row>
    <row r="1157" customFormat="false" ht="15" hidden="false" customHeight="false" outlineLevel="0" collapsed="false">
      <c r="A1157" s="19"/>
      <c r="B1157" s="19"/>
      <c r="C1157" s="20"/>
      <c r="D1157" s="19"/>
      <c r="E1157" s="26" t="str">
        <f aca="false">IF(A1157="","",COUNTIFS(Apparitions!$A$2:$A$5001,A1157,Apparitions!$B$2:$B$5001,B1157))</f>
        <v/>
      </c>
      <c r="F1157" s="27" t="str">
        <f aca="false">IF(A1157="","",A1157&amp;"|"&amp;B1157)</f>
        <v/>
      </c>
    </row>
    <row r="1158" customFormat="false" ht="15" hidden="false" customHeight="false" outlineLevel="0" collapsed="false">
      <c r="A1158" s="19"/>
      <c r="B1158" s="19"/>
      <c r="C1158" s="20"/>
      <c r="D1158" s="19"/>
      <c r="E1158" s="26" t="str">
        <f aca="false">IF(A1158="","",COUNTIFS(Apparitions!$A$2:$A$5001,A1158,Apparitions!$B$2:$B$5001,B1158))</f>
        <v/>
      </c>
      <c r="F1158" s="27" t="str">
        <f aca="false">IF(A1158="","",A1158&amp;"|"&amp;B1158)</f>
        <v/>
      </c>
    </row>
    <row r="1159" customFormat="false" ht="15" hidden="false" customHeight="false" outlineLevel="0" collapsed="false">
      <c r="A1159" s="19"/>
      <c r="B1159" s="19"/>
      <c r="C1159" s="20"/>
      <c r="D1159" s="19"/>
      <c r="E1159" s="26" t="str">
        <f aca="false">IF(A1159="","",COUNTIFS(Apparitions!$A$2:$A$5001,A1159,Apparitions!$B$2:$B$5001,B1159))</f>
        <v/>
      </c>
      <c r="F1159" s="27" t="str">
        <f aca="false">IF(A1159="","",A1159&amp;"|"&amp;B1159)</f>
        <v/>
      </c>
    </row>
    <row r="1160" customFormat="false" ht="15" hidden="false" customHeight="false" outlineLevel="0" collapsed="false">
      <c r="A1160" s="19"/>
      <c r="B1160" s="19"/>
      <c r="C1160" s="20"/>
      <c r="D1160" s="19"/>
      <c r="E1160" s="26" t="str">
        <f aca="false">IF(A1160="","",COUNTIFS(Apparitions!$A$2:$A$5001,A1160,Apparitions!$B$2:$B$5001,B1160))</f>
        <v/>
      </c>
      <c r="F1160" s="27" t="str">
        <f aca="false">IF(A1160="","",A1160&amp;"|"&amp;B1160)</f>
        <v/>
      </c>
    </row>
    <row r="1161" customFormat="false" ht="15" hidden="false" customHeight="false" outlineLevel="0" collapsed="false">
      <c r="A1161" s="19"/>
      <c r="B1161" s="19"/>
      <c r="C1161" s="20"/>
      <c r="D1161" s="19"/>
      <c r="E1161" s="26" t="str">
        <f aca="false">IF(A1161="","",COUNTIFS(Apparitions!$A$2:$A$5001,A1161,Apparitions!$B$2:$B$5001,B1161))</f>
        <v/>
      </c>
      <c r="F1161" s="27" t="str">
        <f aca="false">IF(A1161="","",A1161&amp;"|"&amp;B1161)</f>
        <v/>
      </c>
    </row>
    <row r="1162" customFormat="false" ht="15" hidden="false" customHeight="false" outlineLevel="0" collapsed="false">
      <c r="A1162" s="19"/>
      <c r="B1162" s="19"/>
      <c r="C1162" s="20"/>
      <c r="D1162" s="19"/>
      <c r="E1162" s="26" t="str">
        <f aca="false">IF(A1162="","",COUNTIFS(Apparitions!$A$2:$A$5001,A1162,Apparitions!$B$2:$B$5001,B1162))</f>
        <v/>
      </c>
      <c r="F1162" s="27" t="str">
        <f aca="false">IF(A1162="","",A1162&amp;"|"&amp;B1162)</f>
        <v/>
      </c>
    </row>
    <row r="1163" customFormat="false" ht="15" hidden="false" customHeight="false" outlineLevel="0" collapsed="false">
      <c r="A1163" s="19"/>
      <c r="B1163" s="19"/>
      <c r="C1163" s="20"/>
      <c r="D1163" s="19"/>
      <c r="E1163" s="26" t="str">
        <f aca="false">IF(A1163="","",COUNTIFS(Apparitions!$A$2:$A$5001,A1163,Apparitions!$B$2:$B$5001,B1163))</f>
        <v/>
      </c>
      <c r="F1163" s="27" t="str">
        <f aca="false">IF(A1163="","",A1163&amp;"|"&amp;B1163)</f>
        <v/>
      </c>
    </row>
    <row r="1164" customFormat="false" ht="15" hidden="false" customHeight="false" outlineLevel="0" collapsed="false">
      <c r="A1164" s="19"/>
      <c r="B1164" s="19"/>
      <c r="C1164" s="20"/>
      <c r="D1164" s="19"/>
      <c r="E1164" s="26" t="str">
        <f aca="false">IF(A1164="","",COUNTIFS(Apparitions!$A$2:$A$5001,A1164,Apparitions!$B$2:$B$5001,B1164))</f>
        <v/>
      </c>
      <c r="F1164" s="27" t="str">
        <f aca="false">IF(A1164="","",A1164&amp;"|"&amp;B1164)</f>
        <v/>
      </c>
    </row>
    <row r="1165" customFormat="false" ht="15" hidden="false" customHeight="false" outlineLevel="0" collapsed="false">
      <c r="A1165" s="19"/>
      <c r="B1165" s="19"/>
      <c r="C1165" s="20"/>
      <c r="D1165" s="19"/>
      <c r="E1165" s="26" t="str">
        <f aca="false">IF(A1165="","",COUNTIFS(Apparitions!$A$2:$A$5001,A1165,Apparitions!$B$2:$B$5001,B1165))</f>
        <v/>
      </c>
      <c r="F1165" s="27" t="str">
        <f aca="false">IF(A1165="","",A1165&amp;"|"&amp;B1165)</f>
        <v/>
      </c>
    </row>
    <row r="1166" customFormat="false" ht="15" hidden="false" customHeight="false" outlineLevel="0" collapsed="false">
      <c r="A1166" s="19"/>
      <c r="B1166" s="19"/>
      <c r="C1166" s="20"/>
      <c r="D1166" s="19"/>
      <c r="E1166" s="26" t="str">
        <f aca="false">IF(A1166="","",COUNTIFS(Apparitions!$A$2:$A$5001,A1166,Apparitions!$B$2:$B$5001,B1166))</f>
        <v/>
      </c>
      <c r="F1166" s="27" t="str">
        <f aca="false">IF(A1166="","",A1166&amp;"|"&amp;B1166)</f>
        <v/>
      </c>
    </row>
    <row r="1167" customFormat="false" ht="15" hidden="false" customHeight="false" outlineLevel="0" collapsed="false">
      <c r="A1167" s="19"/>
      <c r="B1167" s="19"/>
      <c r="C1167" s="20"/>
      <c r="D1167" s="19"/>
      <c r="E1167" s="26" t="str">
        <f aca="false">IF(A1167="","",COUNTIFS(Apparitions!$A$2:$A$5001,A1167,Apparitions!$B$2:$B$5001,B1167))</f>
        <v/>
      </c>
      <c r="F1167" s="27" t="str">
        <f aca="false">IF(A1167="","",A1167&amp;"|"&amp;B1167)</f>
        <v/>
      </c>
    </row>
    <row r="1168" customFormat="false" ht="15" hidden="false" customHeight="false" outlineLevel="0" collapsed="false">
      <c r="A1168" s="19"/>
      <c r="B1168" s="19"/>
      <c r="C1168" s="20"/>
      <c r="D1168" s="19"/>
      <c r="E1168" s="26" t="str">
        <f aca="false">IF(A1168="","",COUNTIFS(Apparitions!$A$2:$A$5001,A1168,Apparitions!$B$2:$B$5001,B1168))</f>
        <v/>
      </c>
      <c r="F1168" s="27" t="str">
        <f aca="false">IF(A1168="","",A1168&amp;"|"&amp;B1168)</f>
        <v/>
      </c>
    </row>
    <row r="1169" customFormat="false" ht="15" hidden="false" customHeight="false" outlineLevel="0" collapsed="false">
      <c r="A1169" s="19"/>
      <c r="B1169" s="19"/>
      <c r="C1169" s="20"/>
      <c r="D1169" s="19"/>
      <c r="E1169" s="26" t="str">
        <f aca="false">IF(A1169="","",COUNTIFS(Apparitions!$A$2:$A$5001,A1169,Apparitions!$B$2:$B$5001,B1169))</f>
        <v/>
      </c>
      <c r="F1169" s="27" t="str">
        <f aca="false">IF(A1169="","",A1169&amp;"|"&amp;B1169)</f>
        <v/>
      </c>
    </row>
    <row r="1170" customFormat="false" ht="15" hidden="false" customHeight="false" outlineLevel="0" collapsed="false">
      <c r="A1170" s="19"/>
      <c r="B1170" s="19"/>
      <c r="C1170" s="20"/>
      <c r="D1170" s="19"/>
      <c r="E1170" s="26" t="str">
        <f aca="false">IF(A1170="","",COUNTIFS(Apparitions!$A$2:$A$5001,A1170,Apparitions!$B$2:$B$5001,B1170))</f>
        <v/>
      </c>
      <c r="F1170" s="27" t="str">
        <f aca="false">IF(A1170="","",A1170&amp;"|"&amp;B1170)</f>
        <v/>
      </c>
    </row>
    <row r="1171" customFormat="false" ht="15" hidden="false" customHeight="false" outlineLevel="0" collapsed="false">
      <c r="A1171" s="19"/>
      <c r="B1171" s="19"/>
      <c r="C1171" s="20"/>
      <c r="D1171" s="19"/>
      <c r="E1171" s="26" t="str">
        <f aca="false">IF(A1171="","",COUNTIFS(Apparitions!$A$2:$A$5001,A1171,Apparitions!$B$2:$B$5001,B1171))</f>
        <v/>
      </c>
      <c r="F1171" s="27" t="str">
        <f aca="false">IF(A1171="","",A1171&amp;"|"&amp;B1171)</f>
        <v/>
      </c>
    </row>
    <row r="1172" customFormat="false" ht="15" hidden="false" customHeight="false" outlineLevel="0" collapsed="false">
      <c r="A1172" s="19"/>
      <c r="B1172" s="19"/>
      <c r="C1172" s="20"/>
      <c r="D1172" s="19"/>
      <c r="E1172" s="26" t="str">
        <f aca="false">IF(A1172="","",COUNTIFS(Apparitions!$A$2:$A$5001,A1172,Apparitions!$B$2:$B$5001,B1172))</f>
        <v/>
      </c>
      <c r="F1172" s="27" t="str">
        <f aca="false">IF(A1172="","",A1172&amp;"|"&amp;B1172)</f>
        <v/>
      </c>
    </row>
    <row r="1173" customFormat="false" ht="15" hidden="false" customHeight="false" outlineLevel="0" collapsed="false">
      <c r="A1173" s="19"/>
      <c r="B1173" s="19"/>
      <c r="C1173" s="20"/>
      <c r="D1173" s="19"/>
      <c r="E1173" s="26" t="str">
        <f aca="false">IF(A1173="","",COUNTIFS(Apparitions!$A$2:$A$5001,A1173,Apparitions!$B$2:$B$5001,B1173))</f>
        <v/>
      </c>
      <c r="F1173" s="27" t="str">
        <f aca="false">IF(A1173="","",A1173&amp;"|"&amp;B1173)</f>
        <v/>
      </c>
    </row>
    <row r="1174" customFormat="false" ht="15" hidden="false" customHeight="false" outlineLevel="0" collapsed="false">
      <c r="A1174" s="19"/>
      <c r="B1174" s="19"/>
      <c r="C1174" s="20"/>
      <c r="D1174" s="19"/>
      <c r="E1174" s="26" t="str">
        <f aca="false">IF(A1174="","",COUNTIFS(Apparitions!$A$2:$A$5001,A1174,Apparitions!$B$2:$B$5001,B1174))</f>
        <v/>
      </c>
      <c r="F1174" s="27" t="str">
        <f aca="false">IF(A1174="","",A1174&amp;"|"&amp;B1174)</f>
        <v/>
      </c>
    </row>
    <row r="1175" customFormat="false" ht="15" hidden="false" customHeight="false" outlineLevel="0" collapsed="false">
      <c r="A1175" s="19"/>
      <c r="B1175" s="19"/>
      <c r="C1175" s="20"/>
      <c r="D1175" s="19"/>
      <c r="E1175" s="26" t="str">
        <f aca="false">IF(A1175="","",COUNTIFS(Apparitions!$A$2:$A$5001,A1175,Apparitions!$B$2:$B$5001,B1175))</f>
        <v/>
      </c>
      <c r="F1175" s="27" t="str">
        <f aca="false">IF(A1175="","",A1175&amp;"|"&amp;B1175)</f>
        <v/>
      </c>
    </row>
    <row r="1176" customFormat="false" ht="15" hidden="false" customHeight="false" outlineLevel="0" collapsed="false">
      <c r="A1176" s="19"/>
      <c r="B1176" s="19"/>
      <c r="C1176" s="20"/>
      <c r="D1176" s="19"/>
      <c r="E1176" s="26" t="str">
        <f aca="false">IF(A1176="","",COUNTIFS(Apparitions!$A$2:$A$5001,A1176,Apparitions!$B$2:$B$5001,B1176))</f>
        <v/>
      </c>
      <c r="F1176" s="27" t="str">
        <f aca="false">IF(A1176="","",A1176&amp;"|"&amp;B1176)</f>
        <v/>
      </c>
    </row>
    <row r="1177" customFormat="false" ht="15" hidden="false" customHeight="false" outlineLevel="0" collapsed="false">
      <c r="A1177" s="19"/>
      <c r="B1177" s="19"/>
      <c r="C1177" s="20"/>
      <c r="D1177" s="19"/>
      <c r="E1177" s="26" t="str">
        <f aca="false">IF(A1177="","",COUNTIFS(Apparitions!$A$2:$A$5001,A1177,Apparitions!$B$2:$B$5001,B1177))</f>
        <v/>
      </c>
      <c r="F1177" s="27" t="str">
        <f aca="false">IF(A1177="","",A1177&amp;"|"&amp;B1177)</f>
        <v/>
      </c>
    </row>
    <row r="1178" customFormat="false" ht="15" hidden="false" customHeight="false" outlineLevel="0" collapsed="false">
      <c r="A1178" s="19"/>
      <c r="B1178" s="19"/>
      <c r="C1178" s="20"/>
      <c r="D1178" s="19"/>
      <c r="E1178" s="26" t="str">
        <f aca="false">IF(A1178="","",COUNTIFS(Apparitions!$A$2:$A$5001,A1178,Apparitions!$B$2:$B$5001,B1178))</f>
        <v/>
      </c>
      <c r="F1178" s="27" t="str">
        <f aca="false">IF(A1178="","",A1178&amp;"|"&amp;B1178)</f>
        <v/>
      </c>
    </row>
    <row r="1179" customFormat="false" ht="15" hidden="false" customHeight="false" outlineLevel="0" collapsed="false">
      <c r="A1179" s="19"/>
      <c r="B1179" s="19"/>
      <c r="C1179" s="20"/>
      <c r="D1179" s="19"/>
      <c r="E1179" s="26" t="str">
        <f aca="false">IF(A1179="","",COUNTIFS(Apparitions!$A$2:$A$5001,A1179,Apparitions!$B$2:$B$5001,B1179))</f>
        <v/>
      </c>
      <c r="F1179" s="27" t="str">
        <f aca="false">IF(A1179="","",A1179&amp;"|"&amp;B1179)</f>
        <v/>
      </c>
    </row>
    <row r="1180" customFormat="false" ht="15" hidden="false" customHeight="false" outlineLevel="0" collapsed="false">
      <c r="A1180" s="19"/>
      <c r="B1180" s="19"/>
      <c r="C1180" s="20"/>
      <c r="D1180" s="19"/>
      <c r="E1180" s="26" t="str">
        <f aca="false">IF(A1180="","",COUNTIFS(Apparitions!$A$2:$A$5001,A1180,Apparitions!$B$2:$B$5001,B1180))</f>
        <v/>
      </c>
      <c r="F1180" s="27" t="str">
        <f aca="false">IF(A1180="","",A1180&amp;"|"&amp;B1180)</f>
        <v/>
      </c>
    </row>
    <row r="1181" customFormat="false" ht="15" hidden="false" customHeight="false" outlineLevel="0" collapsed="false">
      <c r="A1181" s="19"/>
      <c r="B1181" s="19"/>
      <c r="C1181" s="20"/>
      <c r="D1181" s="19"/>
      <c r="E1181" s="26" t="str">
        <f aca="false">IF(A1181="","",COUNTIFS(Apparitions!$A$2:$A$5001,A1181,Apparitions!$B$2:$B$5001,B1181))</f>
        <v/>
      </c>
      <c r="F1181" s="27" t="str">
        <f aca="false">IF(A1181="","",A1181&amp;"|"&amp;B1181)</f>
        <v/>
      </c>
    </row>
    <row r="1182" customFormat="false" ht="15" hidden="false" customHeight="false" outlineLevel="0" collapsed="false">
      <c r="A1182" s="19"/>
      <c r="B1182" s="19"/>
      <c r="C1182" s="20"/>
      <c r="D1182" s="19"/>
      <c r="E1182" s="26" t="str">
        <f aca="false">IF(A1182="","",COUNTIFS(Apparitions!$A$2:$A$5001,A1182,Apparitions!$B$2:$B$5001,B1182))</f>
        <v/>
      </c>
      <c r="F1182" s="27" t="str">
        <f aca="false">IF(A1182="","",A1182&amp;"|"&amp;B1182)</f>
        <v/>
      </c>
    </row>
    <row r="1183" customFormat="false" ht="15" hidden="false" customHeight="false" outlineLevel="0" collapsed="false">
      <c r="A1183" s="19"/>
      <c r="B1183" s="19"/>
      <c r="C1183" s="20"/>
      <c r="D1183" s="19"/>
      <c r="E1183" s="26" t="str">
        <f aca="false">IF(A1183="","",COUNTIFS(Apparitions!$A$2:$A$5001,A1183,Apparitions!$B$2:$B$5001,B1183))</f>
        <v/>
      </c>
      <c r="F1183" s="27" t="str">
        <f aca="false">IF(A1183="","",A1183&amp;"|"&amp;B1183)</f>
        <v/>
      </c>
    </row>
    <row r="1184" customFormat="false" ht="15" hidden="false" customHeight="false" outlineLevel="0" collapsed="false">
      <c r="A1184" s="19"/>
      <c r="B1184" s="19"/>
      <c r="C1184" s="20"/>
      <c r="D1184" s="19"/>
      <c r="E1184" s="26" t="str">
        <f aca="false">IF(A1184="","",COUNTIFS(Apparitions!$A$2:$A$5001,A1184,Apparitions!$B$2:$B$5001,B1184))</f>
        <v/>
      </c>
      <c r="F1184" s="27" t="str">
        <f aca="false">IF(A1184="","",A1184&amp;"|"&amp;B1184)</f>
        <v/>
      </c>
    </row>
    <row r="1185" customFormat="false" ht="15" hidden="false" customHeight="false" outlineLevel="0" collapsed="false">
      <c r="A1185" s="19"/>
      <c r="B1185" s="19"/>
      <c r="C1185" s="20"/>
      <c r="D1185" s="19"/>
      <c r="E1185" s="26" t="str">
        <f aca="false">IF(A1185="","",COUNTIFS(Apparitions!$A$2:$A$5001,A1185,Apparitions!$B$2:$B$5001,B1185))</f>
        <v/>
      </c>
      <c r="F1185" s="27" t="str">
        <f aca="false">IF(A1185="","",A1185&amp;"|"&amp;B1185)</f>
        <v/>
      </c>
    </row>
    <row r="1186" customFormat="false" ht="15" hidden="false" customHeight="false" outlineLevel="0" collapsed="false">
      <c r="A1186" s="19"/>
      <c r="B1186" s="19"/>
      <c r="C1186" s="20"/>
      <c r="D1186" s="19"/>
      <c r="E1186" s="26" t="str">
        <f aca="false">IF(A1186="","",COUNTIFS(Apparitions!$A$2:$A$5001,A1186,Apparitions!$B$2:$B$5001,B1186))</f>
        <v/>
      </c>
      <c r="F1186" s="27" t="str">
        <f aca="false">IF(A1186="","",A1186&amp;"|"&amp;B1186)</f>
        <v/>
      </c>
    </row>
    <row r="1187" customFormat="false" ht="15" hidden="false" customHeight="false" outlineLevel="0" collapsed="false">
      <c r="A1187" s="19"/>
      <c r="B1187" s="19"/>
      <c r="C1187" s="20"/>
      <c r="D1187" s="19"/>
      <c r="E1187" s="26" t="str">
        <f aca="false">IF(A1187="","",COUNTIFS(Apparitions!$A$2:$A$5001,A1187,Apparitions!$B$2:$B$5001,B1187))</f>
        <v/>
      </c>
      <c r="F1187" s="27" t="str">
        <f aca="false">IF(A1187="","",A1187&amp;"|"&amp;B1187)</f>
        <v/>
      </c>
    </row>
    <row r="1188" customFormat="false" ht="15" hidden="false" customHeight="false" outlineLevel="0" collapsed="false">
      <c r="A1188" s="19"/>
      <c r="B1188" s="19"/>
      <c r="C1188" s="20"/>
      <c r="D1188" s="19"/>
      <c r="E1188" s="26" t="str">
        <f aca="false">IF(A1188="","",COUNTIFS(Apparitions!$A$2:$A$5001,A1188,Apparitions!$B$2:$B$5001,B1188))</f>
        <v/>
      </c>
      <c r="F1188" s="27" t="str">
        <f aca="false">IF(A1188="","",A1188&amp;"|"&amp;B1188)</f>
        <v/>
      </c>
    </row>
    <row r="1189" customFormat="false" ht="15" hidden="false" customHeight="false" outlineLevel="0" collapsed="false">
      <c r="A1189" s="19"/>
      <c r="B1189" s="19"/>
      <c r="C1189" s="20"/>
      <c r="D1189" s="19"/>
      <c r="E1189" s="26" t="str">
        <f aca="false">IF(A1189="","",COUNTIFS(Apparitions!$A$2:$A$5001,A1189,Apparitions!$B$2:$B$5001,B1189))</f>
        <v/>
      </c>
      <c r="F1189" s="27" t="str">
        <f aca="false">IF(A1189="","",A1189&amp;"|"&amp;B1189)</f>
        <v/>
      </c>
    </row>
    <row r="1190" customFormat="false" ht="15" hidden="false" customHeight="false" outlineLevel="0" collapsed="false">
      <c r="A1190" s="19"/>
      <c r="B1190" s="19"/>
      <c r="C1190" s="20"/>
      <c r="D1190" s="19"/>
      <c r="E1190" s="26" t="str">
        <f aca="false">IF(A1190="","",COUNTIFS(Apparitions!$A$2:$A$5001,A1190,Apparitions!$B$2:$B$5001,B1190))</f>
        <v/>
      </c>
      <c r="F1190" s="27" t="str">
        <f aca="false">IF(A1190="","",A1190&amp;"|"&amp;B1190)</f>
        <v/>
      </c>
    </row>
    <row r="1191" customFormat="false" ht="15" hidden="false" customHeight="false" outlineLevel="0" collapsed="false">
      <c r="A1191" s="19"/>
      <c r="B1191" s="19"/>
      <c r="C1191" s="20"/>
      <c r="D1191" s="19"/>
      <c r="E1191" s="26" t="str">
        <f aca="false">IF(A1191="","",COUNTIFS(Apparitions!$A$2:$A$5001,A1191,Apparitions!$B$2:$B$5001,B1191))</f>
        <v/>
      </c>
      <c r="F1191" s="27" t="str">
        <f aca="false">IF(A1191="","",A1191&amp;"|"&amp;B1191)</f>
        <v/>
      </c>
    </row>
    <row r="1192" customFormat="false" ht="15" hidden="false" customHeight="false" outlineLevel="0" collapsed="false">
      <c r="A1192" s="19"/>
      <c r="B1192" s="19"/>
      <c r="C1192" s="20"/>
      <c r="D1192" s="19"/>
      <c r="E1192" s="26" t="str">
        <f aca="false">IF(A1192="","",COUNTIFS(Apparitions!$A$2:$A$5001,A1192,Apparitions!$B$2:$B$5001,B1192))</f>
        <v/>
      </c>
      <c r="F1192" s="27" t="str">
        <f aca="false">IF(A1192="","",A1192&amp;"|"&amp;B1192)</f>
        <v/>
      </c>
    </row>
    <row r="1193" customFormat="false" ht="15" hidden="false" customHeight="false" outlineLevel="0" collapsed="false">
      <c r="A1193" s="19"/>
      <c r="B1193" s="19"/>
      <c r="C1193" s="20"/>
      <c r="D1193" s="19"/>
      <c r="E1193" s="26" t="str">
        <f aca="false">IF(A1193="","",COUNTIFS(Apparitions!$A$2:$A$5001,A1193,Apparitions!$B$2:$B$5001,B1193))</f>
        <v/>
      </c>
      <c r="F1193" s="27" t="str">
        <f aca="false">IF(A1193="","",A1193&amp;"|"&amp;B1193)</f>
        <v/>
      </c>
    </row>
    <row r="1194" customFormat="false" ht="15" hidden="false" customHeight="false" outlineLevel="0" collapsed="false">
      <c r="A1194" s="19"/>
      <c r="B1194" s="19"/>
      <c r="C1194" s="20"/>
      <c r="D1194" s="19"/>
      <c r="E1194" s="26" t="str">
        <f aca="false">IF(A1194="","",COUNTIFS(Apparitions!$A$2:$A$5001,A1194,Apparitions!$B$2:$B$5001,B1194))</f>
        <v/>
      </c>
      <c r="F1194" s="27" t="str">
        <f aca="false">IF(A1194="","",A1194&amp;"|"&amp;B1194)</f>
        <v/>
      </c>
    </row>
    <row r="1195" customFormat="false" ht="15" hidden="false" customHeight="false" outlineLevel="0" collapsed="false">
      <c r="A1195" s="19"/>
      <c r="B1195" s="19"/>
      <c r="C1195" s="20"/>
      <c r="D1195" s="19"/>
      <c r="E1195" s="26" t="str">
        <f aca="false">IF(A1195="","",COUNTIFS(Apparitions!$A$2:$A$5001,A1195,Apparitions!$B$2:$B$5001,B1195))</f>
        <v/>
      </c>
      <c r="F1195" s="27" t="str">
        <f aca="false">IF(A1195="","",A1195&amp;"|"&amp;B1195)</f>
        <v/>
      </c>
    </row>
    <row r="1196" customFormat="false" ht="15" hidden="false" customHeight="false" outlineLevel="0" collapsed="false">
      <c r="A1196" s="19"/>
      <c r="B1196" s="19"/>
      <c r="C1196" s="20"/>
      <c r="D1196" s="19"/>
      <c r="E1196" s="26" t="str">
        <f aca="false">IF(A1196="","",COUNTIFS(Apparitions!$A$2:$A$5001,A1196,Apparitions!$B$2:$B$5001,B1196))</f>
        <v/>
      </c>
      <c r="F1196" s="27" t="str">
        <f aca="false">IF(A1196="","",A1196&amp;"|"&amp;B1196)</f>
        <v/>
      </c>
    </row>
    <row r="1197" customFormat="false" ht="15" hidden="false" customHeight="false" outlineLevel="0" collapsed="false">
      <c r="A1197" s="19"/>
      <c r="B1197" s="19"/>
      <c r="C1197" s="20"/>
      <c r="D1197" s="19"/>
      <c r="E1197" s="26" t="str">
        <f aca="false">IF(A1197="","",COUNTIFS(Apparitions!$A$2:$A$5001,A1197,Apparitions!$B$2:$B$5001,B1197))</f>
        <v/>
      </c>
      <c r="F1197" s="27" t="str">
        <f aca="false">IF(A1197="","",A1197&amp;"|"&amp;B1197)</f>
        <v/>
      </c>
    </row>
    <row r="1198" customFormat="false" ht="15" hidden="false" customHeight="false" outlineLevel="0" collapsed="false">
      <c r="A1198" s="19"/>
      <c r="B1198" s="19"/>
      <c r="C1198" s="20"/>
      <c r="D1198" s="19"/>
      <c r="E1198" s="26" t="str">
        <f aca="false">IF(A1198="","",COUNTIFS(Apparitions!$A$2:$A$5001,A1198,Apparitions!$B$2:$B$5001,B1198))</f>
        <v/>
      </c>
      <c r="F1198" s="27" t="str">
        <f aca="false">IF(A1198="","",A1198&amp;"|"&amp;B1198)</f>
        <v/>
      </c>
    </row>
    <row r="1199" customFormat="false" ht="15" hidden="false" customHeight="false" outlineLevel="0" collapsed="false">
      <c r="A1199" s="19"/>
      <c r="B1199" s="19"/>
      <c r="C1199" s="20"/>
      <c r="D1199" s="19"/>
      <c r="E1199" s="26" t="str">
        <f aca="false">IF(A1199="","",COUNTIFS(Apparitions!$A$2:$A$5001,A1199,Apparitions!$B$2:$B$5001,B1199))</f>
        <v/>
      </c>
      <c r="F1199" s="27" t="str">
        <f aca="false">IF(A1199="","",A1199&amp;"|"&amp;B1199)</f>
        <v/>
      </c>
    </row>
    <row r="1200" customFormat="false" ht="15" hidden="false" customHeight="false" outlineLevel="0" collapsed="false">
      <c r="A1200" s="19"/>
      <c r="B1200" s="19"/>
      <c r="C1200" s="20"/>
      <c r="D1200" s="19"/>
      <c r="E1200" s="26" t="str">
        <f aca="false">IF(A1200="","",COUNTIFS(Apparitions!$A$2:$A$5001,A1200,Apparitions!$B$2:$B$5001,B1200))</f>
        <v/>
      </c>
      <c r="F1200" s="27" t="str">
        <f aca="false">IF(A1200="","",A1200&amp;"|"&amp;B1200)</f>
        <v/>
      </c>
    </row>
    <row r="1201" customFormat="false" ht="15" hidden="false" customHeight="false" outlineLevel="0" collapsed="false">
      <c r="A1201" s="19"/>
      <c r="B1201" s="19"/>
      <c r="C1201" s="20"/>
      <c r="D1201" s="19"/>
      <c r="E1201" s="26" t="str">
        <f aca="false">IF(A1201="","",COUNTIFS(Apparitions!$A$2:$A$5001,A1201,Apparitions!$B$2:$B$5001,B1201))</f>
        <v/>
      </c>
      <c r="F1201" s="27" t="str">
        <f aca="false">IF(A1201="","",A1201&amp;"|"&amp;B1201)</f>
        <v/>
      </c>
    </row>
    <row r="1202" customFormat="false" ht="15" hidden="false" customHeight="false" outlineLevel="0" collapsed="false">
      <c r="A1202" s="19"/>
      <c r="B1202" s="19"/>
      <c r="C1202" s="20"/>
      <c r="D1202" s="19"/>
      <c r="E1202" s="26" t="str">
        <f aca="false">IF(A1202="","",COUNTIFS(Apparitions!$A$2:$A$5001,A1202,Apparitions!$B$2:$B$5001,B1202))</f>
        <v/>
      </c>
      <c r="F1202" s="27" t="str">
        <f aca="false">IF(A1202="","",A1202&amp;"|"&amp;B1202)</f>
        <v/>
      </c>
    </row>
    <row r="1203" customFormat="false" ht="15" hidden="false" customHeight="false" outlineLevel="0" collapsed="false">
      <c r="A1203" s="19"/>
      <c r="B1203" s="19"/>
      <c r="C1203" s="20"/>
      <c r="D1203" s="19"/>
      <c r="E1203" s="26" t="str">
        <f aca="false">IF(A1203="","",COUNTIFS(Apparitions!$A$2:$A$5001,A1203,Apparitions!$B$2:$B$5001,B1203))</f>
        <v/>
      </c>
      <c r="F1203" s="27" t="str">
        <f aca="false">IF(A1203="","",A1203&amp;"|"&amp;B1203)</f>
        <v/>
      </c>
    </row>
    <row r="1204" customFormat="false" ht="15" hidden="false" customHeight="false" outlineLevel="0" collapsed="false">
      <c r="A1204" s="19"/>
      <c r="B1204" s="19"/>
      <c r="C1204" s="20"/>
      <c r="D1204" s="19"/>
      <c r="E1204" s="26" t="str">
        <f aca="false">IF(A1204="","",COUNTIFS(Apparitions!$A$2:$A$5001,A1204,Apparitions!$B$2:$B$5001,B1204))</f>
        <v/>
      </c>
      <c r="F1204" s="27" t="str">
        <f aca="false">IF(A1204="","",A1204&amp;"|"&amp;B1204)</f>
        <v/>
      </c>
    </row>
    <row r="1205" customFormat="false" ht="15" hidden="false" customHeight="false" outlineLevel="0" collapsed="false">
      <c r="A1205" s="19"/>
      <c r="B1205" s="19"/>
      <c r="C1205" s="20"/>
      <c r="D1205" s="19"/>
      <c r="E1205" s="26" t="str">
        <f aca="false">IF(A1205="","",COUNTIFS(Apparitions!$A$2:$A$5001,A1205,Apparitions!$B$2:$B$5001,B1205))</f>
        <v/>
      </c>
      <c r="F1205" s="27" t="str">
        <f aca="false">IF(A1205="","",A1205&amp;"|"&amp;B1205)</f>
        <v/>
      </c>
    </row>
    <row r="1206" customFormat="false" ht="15" hidden="false" customHeight="false" outlineLevel="0" collapsed="false">
      <c r="A1206" s="19"/>
      <c r="B1206" s="19"/>
      <c r="C1206" s="20"/>
      <c r="D1206" s="19"/>
      <c r="E1206" s="26" t="str">
        <f aca="false">IF(A1206="","",COUNTIFS(Apparitions!$A$2:$A$5001,A1206,Apparitions!$B$2:$B$5001,B1206))</f>
        <v/>
      </c>
      <c r="F1206" s="27" t="str">
        <f aca="false">IF(A1206="","",A1206&amp;"|"&amp;B1206)</f>
        <v/>
      </c>
    </row>
    <row r="1207" customFormat="false" ht="15" hidden="false" customHeight="false" outlineLevel="0" collapsed="false">
      <c r="A1207" s="19"/>
      <c r="B1207" s="19"/>
      <c r="C1207" s="20"/>
      <c r="D1207" s="19"/>
      <c r="E1207" s="26" t="str">
        <f aca="false">IF(A1207="","",COUNTIFS(Apparitions!$A$2:$A$5001,A1207,Apparitions!$B$2:$B$5001,B1207))</f>
        <v/>
      </c>
      <c r="F1207" s="27" t="str">
        <f aca="false">IF(A1207="","",A1207&amp;"|"&amp;B1207)</f>
        <v/>
      </c>
    </row>
    <row r="1208" customFormat="false" ht="15" hidden="false" customHeight="false" outlineLevel="0" collapsed="false">
      <c r="A1208" s="19"/>
      <c r="B1208" s="19"/>
      <c r="C1208" s="20"/>
      <c r="D1208" s="19"/>
      <c r="E1208" s="26" t="str">
        <f aca="false">IF(A1208="","",COUNTIFS(Apparitions!$A$2:$A$5001,A1208,Apparitions!$B$2:$B$5001,B1208))</f>
        <v/>
      </c>
      <c r="F1208" s="27" t="str">
        <f aca="false">IF(A1208="","",A1208&amp;"|"&amp;B1208)</f>
        <v/>
      </c>
    </row>
    <row r="1209" customFormat="false" ht="15" hidden="false" customHeight="false" outlineLevel="0" collapsed="false">
      <c r="A1209" s="19"/>
      <c r="B1209" s="19"/>
      <c r="C1209" s="20"/>
      <c r="D1209" s="19"/>
      <c r="E1209" s="26" t="str">
        <f aca="false">IF(A1209="","",COUNTIFS(Apparitions!$A$2:$A$5001,A1209,Apparitions!$B$2:$B$5001,B1209))</f>
        <v/>
      </c>
      <c r="F1209" s="27" t="str">
        <f aca="false">IF(A1209="","",A1209&amp;"|"&amp;B1209)</f>
        <v/>
      </c>
    </row>
    <row r="1210" customFormat="false" ht="15" hidden="false" customHeight="false" outlineLevel="0" collapsed="false">
      <c r="A1210" s="19"/>
      <c r="B1210" s="19"/>
      <c r="C1210" s="20"/>
      <c r="D1210" s="19"/>
      <c r="E1210" s="26" t="str">
        <f aca="false">IF(A1210="","",COUNTIFS(Apparitions!$A$2:$A$5001,A1210,Apparitions!$B$2:$B$5001,B1210))</f>
        <v/>
      </c>
      <c r="F1210" s="27" t="str">
        <f aca="false">IF(A1210="","",A1210&amp;"|"&amp;B1210)</f>
        <v/>
      </c>
    </row>
    <row r="1211" customFormat="false" ht="15" hidden="false" customHeight="false" outlineLevel="0" collapsed="false">
      <c r="A1211" s="19"/>
      <c r="B1211" s="19"/>
      <c r="C1211" s="20"/>
      <c r="D1211" s="19"/>
      <c r="E1211" s="26" t="str">
        <f aca="false">IF(A1211="","",COUNTIFS(Apparitions!$A$2:$A$5001,A1211,Apparitions!$B$2:$B$5001,B1211))</f>
        <v/>
      </c>
      <c r="F1211" s="27" t="str">
        <f aca="false">IF(A1211="","",A1211&amp;"|"&amp;B1211)</f>
        <v/>
      </c>
    </row>
    <row r="1212" customFormat="false" ht="15" hidden="false" customHeight="false" outlineLevel="0" collapsed="false">
      <c r="A1212" s="19"/>
      <c r="B1212" s="19"/>
      <c r="C1212" s="20"/>
      <c r="D1212" s="19"/>
      <c r="E1212" s="26" t="str">
        <f aca="false">IF(A1212="","",COUNTIFS(Apparitions!$A$2:$A$5001,A1212,Apparitions!$B$2:$B$5001,B1212))</f>
        <v/>
      </c>
      <c r="F1212" s="27" t="str">
        <f aca="false">IF(A1212="","",A1212&amp;"|"&amp;B1212)</f>
        <v/>
      </c>
    </row>
    <row r="1213" customFormat="false" ht="15" hidden="false" customHeight="false" outlineLevel="0" collapsed="false">
      <c r="A1213" s="19"/>
      <c r="B1213" s="19"/>
      <c r="C1213" s="20"/>
      <c r="D1213" s="19"/>
      <c r="E1213" s="26" t="str">
        <f aca="false">IF(A1213="","",COUNTIFS(Apparitions!$A$2:$A$5001,A1213,Apparitions!$B$2:$B$5001,B1213))</f>
        <v/>
      </c>
      <c r="F1213" s="27" t="str">
        <f aca="false">IF(A1213="","",A1213&amp;"|"&amp;B1213)</f>
        <v/>
      </c>
    </row>
    <row r="1214" customFormat="false" ht="15" hidden="false" customHeight="false" outlineLevel="0" collapsed="false">
      <c r="A1214" s="19"/>
      <c r="B1214" s="19"/>
      <c r="C1214" s="20"/>
      <c r="D1214" s="19"/>
      <c r="E1214" s="26" t="str">
        <f aca="false">IF(A1214="","",COUNTIFS(Apparitions!$A$2:$A$5001,A1214,Apparitions!$B$2:$B$5001,B1214))</f>
        <v/>
      </c>
      <c r="F1214" s="27" t="str">
        <f aca="false">IF(A1214="","",A1214&amp;"|"&amp;B1214)</f>
        <v/>
      </c>
    </row>
    <row r="1215" customFormat="false" ht="15" hidden="false" customHeight="false" outlineLevel="0" collapsed="false">
      <c r="A1215" s="19"/>
      <c r="B1215" s="19"/>
      <c r="C1215" s="20"/>
      <c r="D1215" s="19"/>
      <c r="E1215" s="26" t="str">
        <f aca="false">IF(A1215="","",COUNTIFS(Apparitions!$A$2:$A$5001,A1215,Apparitions!$B$2:$B$5001,B1215))</f>
        <v/>
      </c>
      <c r="F1215" s="27" t="str">
        <f aca="false">IF(A1215="","",A1215&amp;"|"&amp;B1215)</f>
        <v/>
      </c>
    </row>
    <row r="1216" customFormat="false" ht="15" hidden="false" customHeight="false" outlineLevel="0" collapsed="false">
      <c r="A1216" s="19"/>
      <c r="B1216" s="19"/>
      <c r="C1216" s="20"/>
      <c r="D1216" s="19"/>
      <c r="E1216" s="26" t="str">
        <f aca="false">IF(A1216="","",COUNTIFS(Apparitions!$A$2:$A$5001,A1216,Apparitions!$B$2:$B$5001,B1216))</f>
        <v/>
      </c>
      <c r="F1216" s="27" t="str">
        <f aca="false">IF(A1216="","",A1216&amp;"|"&amp;B1216)</f>
        <v/>
      </c>
    </row>
    <row r="1217" customFormat="false" ht="15" hidden="false" customHeight="false" outlineLevel="0" collapsed="false">
      <c r="A1217" s="19"/>
      <c r="B1217" s="19"/>
      <c r="C1217" s="20"/>
      <c r="D1217" s="19"/>
      <c r="E1217" s="26" t="str">
        <f aca="false">IF(A1217="","",COUNTIFS(Apparitions!$A$2:$A$5001,A1217,Apparitions!$B$2:$B$5001,B1217))</f>
        <v/>
      </c>
      <c r="F1217" s="27" t="str">
        <f aca="false">IF(A1217="","",A1217&amp;"|"&amp;B1217)</f>
        <v/>
      </c>
    </row>
    <row r="1218" customFormat="false" ht="15" hidden="false" customHeight="false" outlineLevel="0" collapsed="false">
      <c r="A1218" s="19"/>
      <c r="B1218" s="19"/>
      <c r="C1218" s="20"/>
      <c r="D1218" s="19"/>
      <c r="E1218" s="26" t="str">
        <f aca="false">IF(A1218="","",COUNTIFS(Apparitions!$A$2:$A$5001,A1218,Apparitions!$B$2:$B$5001,B1218))</f>
        <v/>
      </c>
      <c r="F1218" s="27" t="str">
        <f aca="false">IF(A1218="","",A1218&amp;"|"&amp;B1218)</f>
        <v/>
      </c>
    </row>
    <row r="1219" customFormat="false" ht="15" hidden="false" customHeight="false" outlineLevel="0" collapsed="false">
      <c r="A1219" s="19"/>
      <c r="B1219" s="19"/>
      <c r="C1219" s="20"/>
      <c r="D1219" s="19"/>
      <c r="E1219" s="26" t="str">
        <f aca="false">IF(A1219="","",COUNTIFS(Apparitions!$A$2:$A$5001,A1219,Apparitions!$B$2:$B$5001,B1219))</f>
        <v/>
      </c>
      <c r="F1219" s="27" t="str">
        <f aca="false">IF(A1219="","",A1219&amp;"|"&amp;B1219)</f>
        <v/>
      </c>
    </row>
    <row r="1220" customFormat="false" ht="15" hidden="false" customHeight="false" outlineLevel="0" collapsed="false">
      <c r="A1220" s="19"/>
      <c r="B1220" s="19"/>
      <c r="C1220" s="20"/>
      <c r="D1220" s="19"/>
      <c r="E1220" s="26" t="str">
        <f aca="false">IF(A1220="","",COUNTIFS(Apparitions!$A$2:$A$5001,A1220,Apparitions!$B$2:$B$5001,B1220))</f>
        <v/>
      </c>
      <c r="F1220" s="27" t="str">
        <f aca="false">IF(A1220="","",A1220&amp;"|"&amp;B1220)</f>
        <v/>
      </c>
    </row>
    <row r="1221" customFormat="false" ht="15" hidden="false" customHeight="false" outlineLevel="0" collapsed="false">
      <c r="A1221" s="19"/>
      <c r="B1221" s="19"/>
      <c r="C1221" s="20"/>
      <c r="D1221" s="19"/>
      <c r="E1221" s="26" t="str">
        <f aca="false">IF(A1221="","",COUNTIFS(Apparitions!$A$2:$A$5001,A1221,Apparitions!$B$2:$B$5001,B1221))</f>
        <v/>
      </c>
      <c r="F1221" s="27" t="str">
        <f aca="false">IF(A1221="","",A1221&amp;"|"&amp;B1221)</f>
        <v/>
      </c>
    </row>
    <row r="1222" customFormat="false" ht="15" hidden="false" customHeight="false" outlineLevel="0" collapsed="false">
      <c r="A1222" s="19"/>
      <c r="B1222" s="19"/>
      <c r="C1222" s="20"/>
      <c r="D1222" s="19"/>
      <c r="E1222" s="26" t="str">
        <f aca="false">IF(A1222="","",COUNTIFS(Apparitions!$A$2:$A$5001,A1222,Apparitions!$B$2:$B$5001,B1222))</f>
        <v/>
      </c>
      <c r="F1222" s="27" t="str">
        <f aca="false">IF(A1222="","",A1222&amp;"|"&amp;B1222)</f>
        <v/>
      </c>
    </row>
    <row r="1223" customFormat="false" ht="15" hidden="false" customHeight="false" outlineLevel="0" collapsed="false">
      <c r="A1223" s="19"/>
      <c r="B1223" s="19"/>
      <c r="C1223" s="20"/>
      <c r="D1223" s="19"/>
      <c r="E1223" s="26" t="str">
        <f aca="false">IF(A1223="","",COUNTIFS(Apparitions!$A$2:$A$5001,A1223,Apparitions!$B$2:$B$5001,B1223))</f>
        <v/>
      </c>
      <c r="F1223" s="27" t="str">
        <f aca="false">IF(A1223="","",A1223&amp;"|"&amp;B1223)</f>
        <v/>
      </c>
    </row>
    <row r="1224" customFormat="false" ht="15" hidden="false" customHeight="false" outlineLevel="0" collapsed="false">
      <c r="A1224" s="19"/>
      <c r="B1224" s="19"/>
      <c r="C1224" s="20"/>
      <c r="D1224" s="19"/>
      <c r="E1224" s="26" t="str">
        <f aca="false">IF(A1224="","",COUNTIFS(Apparitions!$A$2:$A$5001,A1224,Apparitions!$B$2:$B$5001,B1224))</f>
        <v/>
      </c>
      <c r="F1224" s="27" t="str">
        <f aca="false">IF(A1224="","",A1224&amp;"|"&amp;B1224)</f>
        <v/>
      </c>
    </row>
    <row r="1225" customFormat="false" ht="15" hidden="false" customHeight="false" outlineLevel="0" collapsed="false">
      <c r="A1225" s="19"/>
      <c r="B1225" s="19"/>
      <c r="C1225" s="20"/>
      <c r="D1225" s="19"/>
      <c r="E1225" s="26" t="str">
        <f aca="false">IF(A1225="","",COUNTIFS(Apparitions!$A$2:$A$5001,A1225,Apparitions!$B$2:$B$5001,B1225))</f>
        <v/>
      </c>
      <c r="F1225" s="27" t="str">
        <f aca="false">IF(A1225="","",A1225&amp;"|"&amp;B1225)</f>
        <v/>
      </c>
    </row>
    <row r="1226" customFormat="false" ht="15" hidden="false" customHeight="false" outlineLevel="0" collapsed="false">
      <c r="A1226" s="19"/>
      <c r="B1226" s="19"/>
      <c r="C1226" s="20"/>
      <c r="D1226" s="19"/>
      <c r="E1226" s="26" t="str">
        <f aca="false">IF(A1226="","",COUNTIFS(Apparitions!$A$2:$A$5001,A1226,Apparitions!$B$2:$B$5001,B1226))</f>
        <v/>
      </c>
      <c r="F1226" s="27" t="str">
        <f aca="false">IF(A1226="","",A1226&amp;"|"&amp;B1226)</f>
        <v/>
      </c>
    </row>
    <row r="1227" customFormat="false" ht="15" hidden="false" customHeight="false" outlineLevel="0" collapsed="false">
      <c r="A1227" s="19"/>
      <c r="B1227" s="19"/>
      <c r="C1227" s="20"/>
      <c r="D1227" s="19"/>
      <c r="E1227" s="26" t="str">
        <f aca="false">IF(A1227="","",COUNTIFS(Apparitions!$A$2:$A$5001,A1227,Apparitions!$B$2:$B$5001,B1227))</f>
        <v/>
      </c>
      <c r="F1227" s="27" t="str">
        <f aca="false">IF(A1227="","",A1227&amp;"|"&amp;B1227)</f>
        <v/>
      </c>
    </row>
    <row r="1228" customFormat="false" ht="15" hidden="false" customHeight="false" outlineLevel="0" collapsed="false">
      <c r="A1228" s="19"/>
      <c r="B1228" s="19"/>
      <c r="C1228" s="20"/>
      <c r="D1228" s="19"/>
      <c r="E1228" s="26" t="str">
        <f aca="false">IF(A1228="","",COUNTIFS(Apparitions!$A$2:$A$5001,A1228,Apparitions!$B$2:$B$5001,B1228))</f>
        <v/>
      </c>
      <c r="F1228" s="27" t="str">
        <f aca="false">IF(A1228="","",A1228&amp;"|"&amp;B1228)</f>
        <v/>
      </c>
    </row>
    <row r="1229" customFormat="false" ht="15" hidden="false" customHeight="false" outlineLevel="0" collapsed="false">
      <c r="A1229" s="19"/>
      <c r="B1229" s="19"/>
      <c r="C1229" s="20"/>
      <c r="D1229" s="19"/>
      <c r="E1229" s="26" t="str">
        <f aca="false">IF(A1229="","",COUNTIFS(Apparitions!$A$2:$A$5001,A1229,Apparitions!$B$2:$B$5001,B1229))</f>
        <v/>
      </c>
      <c r="F1229" s="27" t="str">
        <f aca="false">IF(A1229="","",A1229&amp;"|"&amp;B1229)</f>
        <v/>
      </c>
    </row>
    <row r="1230" customFormat="false" ht="15" hidden="false" customHeight="false" outlineLevel="0" collapsed="false">
      <c r="A1230" s="19"/>
      <c r="B1230" s="19"/>
      <c r="C1230" s="20"/>
      <c r="D1230" s="19"/>
      <c r="E1230" s="26" t="str">
        <f aca="false">IF(A1230="","",COUNTIFS(Apparitions!$A$2:$A$5001,A1230,Apparitions!$B$2:$B$5001,B1230))</f>
        <v/>
      </c>
      <c r="F1230" s="27" t="str">
        <f aca="false">IF(A1230="","",A1230&amp;"|"&amp;B1230)</f>
        <v/>
      </c>
    </row>
    <row r="1231" customFormat="false" ht="15" hidden="false" customHeight="false" outlineLevel="0" collapsed="false">
      <c r="A1231" s="19"/>
      <c r="B1231" s="19"/>
      <c r="C1231" s="20"/>
      <c r="D1231" s="19"/>
      <c r="E1231" s="26" t="str">
        <f aca="false">IF(A1231="","",COUNTIFS(Apparitions!$A$2:$A$5001,A1231,Apparitions!$B$2:$B$5001,B1231))</f>
        <v/>
      </c>
      <c r="F1231" s="27" t="str">
        <f aca="false">IF(A1231="","",A1231&amp;"|"&amp;B1231)</f>
        <v/>
      </c>
    </row>
    <row r="1232" customFormat="false" ht="15" hidden="false" customHeight="false" outlineLevel="0" collapsed="false">
      <c r="A1232" s="19"/>
      <c r="B1232" s="19"/>
      <c r="C1232" s="20"/>
      <c r="D1232" s="19"/>
      <c r="E1232" s="26" t="str">
        <f aca="false">IF(A1232="","",COUNTIFS(Apparitions!$A$2:$A$5001,A1232,Apparitions!$B$2:$B$5001,B1232))</f>
        <v/>
      </c>
      <c r="F1232" s="27" t="str">
        <f aca="false">IF(A1232="","",A1232&amp;"|"&amp;B1232)</f>
        <v/>
      </c>
    </row>
    <row r="1233" customFormat="false" ht="15" hidden="false" customHeight="false" outlineLevel="0" collapsed="false">
      <c r="A1233" s="19"/>
      <c r="B1233" s="19"/>
      <c r="C1233" s="20"/>
      <c r="D1233" s="19"/>
      <c r="E1233" s="26" t="str">
        <f aca="false">IF(A1233="","",COUNTIFS(Apparitions!$A$2:$A$5001,A1233,Apparitions!$B$2:$B$5001,B1233))</f>
        <v/>
      </c>
      <c r="F1233" s="27" t="str">
        <f aca="false">IF(A1233="","",A1233&amp;"|"&amp;B1233)</f>
        <v/>
      </c>
    </row>
    <row r="1234" customFormat="false" ht="15" hidden="false" customHeight="false" outlineLevel="0" collapsed="false">
      <c r="A1234" s="19"/>
      <c r="B1234" s="19"/>
      <c r="C1234" s="20"/>
      <c r="D1234" s="19"/>
      <c r="E1234" s="26" t="str">
        <f aca="false">IF(A1234="","",COUNTIFS(Apparitions!$A$2:$A$5001,A1234,Apparitions!$B$2:$B$5001,B1234))</f>
        <v/>
      </c>
      <c r="F1234" s="27" t="str">
        <f aca="false">IF(A1234="","",A1234&amp;"|"&amp;B1234)</f>
        <v/>
      </c>
    </row>
    <row r="1235" customFormat="false" ht="15" hidden="false" customHeight="false" outlineLevel="0" collapsed="false">
      <c r="A1235" s="19"/>
      <c r="B1235" s="19"/>
      <c r="C1235" s="20"/>
      <c r="D1235" s="19"/>
      <c r="E1235" s="26" t="str">
        <f aca="false">IF(A1235="","",COUNTIFS(Apparitions!$A$2:$A$5001,A1235,Apparitions!$B$2:$B$5001,B1235))</f>
        <v/>
      </c>
      <c r="F1235" s="27" t="str">
        <f aca="false">IF(A1235="","",A1235&amp;"|"&amp;B1235)</f>
        <v/>
      </c>
    </row>
    <row r="1236" customFormat="false" ht="15" hidden="false" customHeight="false" outlineLevel="0" collapsed="false">
      <c r="A1236" s="19"/>
      <c r="B1236" s="19"/>
      <c r="C1236" s="20"/>
      <c r="D1236" s="19"/>
      <c r="E1236" s="26" t="str">
        <f aca="false">IF(A1236="","",COUNTIFS(Apparitions!$A$2:$A$5001,A1236,Apparitions!$B$2:$B$5001,B1236))</f>
        <v/>
      </c>
      <c r="F1236" s="27" t="str">
        <f aca="false">IF(A1236="","",A1236&amp;"|"&amp;B1236)</f>
        <v/>
      </c>
    </row>
    <row r="1237" customFormat="false" ht="15" hidden="false" customHeight="false" outlineLevel="0" collapsed="false">
      <c r="A1237" s="19"/>
      <c r="B1237" s="19"/>
      <c r="C1237" s="20"/>
      <c r="D1237" s="19"/>
      <c r="E1237" s="26" t="str">
        <f aca="false">IF(A1237="","",COUNTIFS(Apparitions!$A$2:$A$5001,A1237,Apparitions!$B$2:$B$5001,B1237))</f>
        <v/>
      </c>
      <c r="F1237" s="27" t="str">
        <f aca="false">IF(A1237="","",A1237&amp;"|"&amp;B1237)</f>
        <v/>
      </c>
    </row>
    <row r="1238" customFormat="false" ht="15" hidden="false" customHeight="false" outlineLevel="0" collapsed="false">
      <c r="A1238" s="19"/>
      <c r="B1238" s="19"/>
      <c r="C1238" s="20"/>
      <c r="D1238" s="19"/>
      <c r="E1238" s="26" t="str">
        <f aca="false">IF(A1238="","",COUNTIFS(Apparitions!$A$2:$A$5001,A1238,Apparitions!$B$2:$B$5001,B1238))</f>
        <v/>
      </c>
      <c r="F1238" s="27" t="str">
        <f aca="false">IF(A1238="","",A1238&amp;"|"&amp;B1238)</f>
        <v/>
      </c>
    </row>
    <row r="1239" customFormat="false" ht="15" hidden="false" customHeight="false" outlineLevel="0" collapsed="false">
      <c r="A1239" s="19"/>
      <c r="B1239" s="19"/>
      <c r="C1239" s="20"/>
      <c r="D1239" s="19"/>
      <c r="E1239" s="26" t="str">
        <f aca="false">IF(A1239="","",COUNTIFS(Apparitions!$A$2:$A$5001,A1239,Apparitions!$B$2:$B$5001,B1239))</f>
        <v/>
      </c>
      <c r="F1239" s="27" t="str">
        <f aca="false">IF(A1239="","",A1239&amp;"|"&amp;B1239)</f>
        <v/>
      </c>
    </row>
    <row r="1240" customFormat="false" ht="15" hidden="false" customHeight="false" outlineLevel="0" collapsed="false">
      <c r="A1240" s="19"/>
      <c r="B1240" s="19"/>
      <c r="C1240" s="20"/>
      <c r="D1240" s="19"/>
      <c r="E1240" s="26" t="str">
        <f aca="false">IF(A1240="","",COUNTIFS(Apparitions!$A$2:$A$5001,A1240,Apparitions!$B$2:$B$5001,B1240))</f>
        <v/>
      </c>
      <c r="F1240" s="27" t="str">
        <f aca="false">IF(A1240="","",A1240&amp;"|"&amp;B1240)</f>
        <v/>
      </c>
    </row>
    <row r="1241" customFormat="false" ht="15" hidden="false" customHeight="false" outlineLevel="0" collapsed="false">
      <c r="A1241" s="19"/>
      <c r="B1241" s="19"/>
      <c r="C1241" s="20"/>
      <c r="D1241" s="19"/>
      <c r="E1241" s="26" t="str">
        <f aca="false">IF(A1241="","",COUNTIFS(Apparitions!$A$2:$A$5001,A1241,Apparitions!$B$2:$B$5001,B1241))</f>
        <v/>
      </c>
      <c r="F1241" s="27" t="str">
        <f aca="false">IF(A1241="","",A1241&amp;"|"&amp;B1241)</f>
        <v/>
      </c>
    </row>
    <row r="1242" customFormat="false" ht="15" hidden="false" customHeight="false" outlineLevel="0" collapsed="false">
      <c r="A1242" s="19"/>
      <c r="B1242" s="19"/>
      <c r="C1242" s="20"/>
      <c r="D1242" s="19"/>
      <c r="E1242" s="26" t="str">
        <f aca="false">IF(A1242="","",COUNTIFS(Apparitions!$A$2:$A$5001,A1242,Apparitions!$B$2:$B$5001,B1242))</f>
        <v/>
      </c>
      <c r="F1242" s="27" t="str">
        <f aca="false">IF(A1242="","",A1242&amp;"|"&amp;B1242)</f>
        <v/>
      </c>
    </row>
    <row r="1243" customFormat="false" ht="15" hidden="false" customHeight="false" outlineLevel="0" collapsed="false">
      <c r="A1243" s="19"/>
      <c r="B1243" s="19"/>
      <c r="C1243" s="20"/>
      <c r="D1243" s="19"/>
      <c r="E1243" s="26" t="str">
        <f aca="false">IF(A1243="","",COUNTIFS(Apparitions!$A$2:$A$5001,A1243,Apparitions!$B$2:$B$5001,B1243))</f>
        <v/>
      </c>
      <c r="F1243" s="27" t="str">
        <f aca="false">IF(A1243="","",A1243&amp;"|"&amp;B1243)</f>
        <v/>
      </c>
    </row>
    <row r="1244" customFormat="false" ht="15" hidden="false" customHeight="false" outlineLevel="0" collapsed="false">
      <c r="A1244" s="19"/>
      <c r="B1244" s="19"/>
      <c r="C1244" s="20"/>
      <c r="D1244" s="19"/>
      <c r="E1244" s="26" t="str">
        <f aca="false">IF(A1244="","",COUNTIFS(Apparitions!$A$2:$A$5001,A1244,Apparitions!$B$2:$B$5001,B1244))</f>
        <v/>
      </c>
      <c r="F1244" s="27" t="str">
        <f aca="false">IF(A1244="","",A1244&amp;"|"&amp;B1244)</f>
        <v/>
      </c>
    </row>
    <row r="1245" customFormat="false" ht="15" hidden="false" customHeight="false" outlineLevel="0" collapsed="false">
      <c r="A1245" s="19"/>
      <c r="B1245" s="19"/>
      <c r="C1245" s="20"/>
      <c r="D1245" s="19"/>
      <c r="E1245" s="26" t="str">
        <f aca="false">IF(A1245="","",COUNTIFS(Apparitions!$A$2:$A$5001,A1245,Apparitions!$B$2:$B$5001,B1245))</f>
        <v/>
      </c>
      <c r="F1245" s="27" t="str">
        <f aca="false">IF(A1245="","",A1245&amp;"|"&amp;B1245)</f>
        <v/>
      </c>
    </row>
    <row r="1246" customFormat="false" ht="15" hidden="false" customHeight="false" outlineLevel="0" collapsed="false">
      <c r="A1246" s="19"/>
      <c r="B1246" s="19"/>
      <c r="C1246" s="20"/>
      <c r="D1246" s="19"/>
      <c r="E1246" s="26" t="str">
        <f aca="false">IF(A1246="","",COUNTIFS(Apparitions!$A$2:$A$5001,A1246,Apparitions!$B$2:$B$5001,B1246))</f>
        <v/>
      </c>
      <c r="F1246" s="27" t="str">
        <f aca="false">IF(A1246="","",A1246&amp;"|"&amp;B1246)</f>
        <v/>
      </c>
    </row>
    <row r="1247" customFormat="false" ht="15" hidden="false" customHeight="false" outlineLevel="0" collapsed="false">
      <c r="A1247" s="19"/>
      <c r="B1247" s="19"/>
      <c r="C1247" s="20"/>
      <c r="D1247" s="19"/>
      <c r="E1247" s="26" t="str">
        <f aca="false">IF(A1247="","",COUNTIFS(Apparitions!$A$2:$A$5001,A1247,Apparitions!$B$2:$B$5001,B1247))</f>
        <v/>
      </c>
      <c r="F1247" s="27" t="str">
        <f aca="false">IF(A1247="","",A1247&amp;"|"&amp;B1247)</f>
        <v/>
      </c>
    </row>
    <row r="1248" customFormat="false" ht="15" hidden="false" customHeight="false" outlineLevel="0" collapsed="false">
      <c r="A1248" s="19"/>
      <c r="B1248" s="19"/>
      <c r="C1248" s="20"/>
      <c r="D1248" s="19"/>
      <c r="E1248" s="26" t="str">
        <f aca="false">IF(A1248="","",COUNTIFS(Apparitions!$A$2:$A$5001,A1248,Apparitions!$B$2:$B$5001,B1248))</f>
        <v/>
      </c>
      <c r="F1248" s="27" t="str">
        <f aca="false">IF(A1248="","",A1248&amp;"|"&amp;B1248)</f>
        <v/>
      </c>
    </row>
    <row r="1249" customFormat="false" ht="15" hidden="false" customHeight="false" outlineLevel="0" collapsed="false">
      <c r="A1249" s="19"/>
      <c r="B1249" s="19"/>
      <c r="C1249" s="20"/>
      <c r="D1249" s="19"/>
      <c r="E1249" s="26" t="str">
        <f aca="false">IF(A1249="","",COUNTIFS(Apparitions!$A$2:$A$5001,A1249,Apparitions!$B$2:$B$5001,B1249))</f>
        <v/>
      </c>
      <c r="F1249" s="27" t="str">
        <f aca="false">IF(A1249="","",A1249&amp;"|"&amp;B1249)</f>
        <v/>
      </c>
    </row>
    <row r="1250" customFormat="false" ht="15" hidden="false" customHeight="false" outlineLevel="0" collapsed="false">
      <c r="A1250" s="19"/>
      <c r="B1250" s="19"/>
      <c r="C1250" s="20"/>
      <c r="D1250" s="19"/>
      <c r="E1250" s="26" t="str">
        <f aca="false">IF(A1250="","",COUNTIFS(Apparitions!$A$2:$A$5001,A1250,Apparitions!$B$2:$B$5001,B1250))</f>
        <v/>
      </c>
      <c r="F1250" s="27" t="str">
        <f aca="false">IF(A1250="","",A1250&amp;"|"&amp;B1250)</f>
        <v/>
      </c>
    </row>
    <row r="1251" customFormat="false" ht="15" hidden="false" customHeight="false" outlineLevel="0" collapsed="false">
      <c r="A1251" s="19"/>
      <c r="B1251" s="19"/>
      <c r="C1251" s="20"/>
      <c r="D1251" s="19"/>
      <c r="E1251" s="26" t="str">
        <f aca="false">IF(A1251="","",COUNTIFS(Apparitions!$A$2:$A$5001,A1251,Apparitions!$B$2:$B$5001,B1251))</f>
        <v/>
      </c>
      <c r="F1251" s="27" t="str">
        <f aca="false">IF(A1251="","",A1251&amp;"|"&amp;B1251)</f>
        <v/>
      </c>
    </row>
    <row r="1252" customFormat="false" ht="15" hidden="false" customHeight="false" outlineLevel="0" collapsed="false">
      <c r="A1252" s="19"/>
      <c r="B1252" s="19"/>
      <c r="C1252" s="20"/>
      <c r="D1252" s="19"/>
      <c r="E1252" s="26" t="str">
        <f aca="false">IF(A1252="","",COUNTIFS(Apparitions!$A$2:$A$5001,A1252,Apparitions!$B$2:$B$5001,B1252))</f>
        <v/>
      </c>
      <c r="F1252" s="27" t="str">
        <f aca="false">IF(A1252="","",A1252&amp;"|"&amp;B1252)</f>
        <v/>
      </c>
    </row>
    <row r="1253" customFormat="false" ht="15" hidden="false" customHeight="false" outlineLevel="0" collapsed="false">
      <c r="A1253" s="19"/>
      <c r="B1253" s="19"/>
      <c r="C1253" s="20"/>
      <c r="D1253" s="19"/>
      <c r="E1253" s="26" t="str">
        <f aca="false">IF(A1253="","",COUNTIFS(Apparitions!$A$2:$A$5001,A1253,Apparitions!$B$2:$B$5001,B1253))</f>
        <v/>
      </c>
      <c r="F1253" s="27" t="str">
        <f aca="false">IF(A1253="","",A1253&amp;"|"&amp;B1253)</f>
        <v/>
      </c>
    </row>
    <row r="1254" customFormat="false" ht="15" hidden="false" customHeight="false" outlineLevel="0" collapsed="false">
      <c r="A1254" s="19"/>
      <c r="B1254" s="19"/>
      <c r="C1254" s="20"/>
      <c r="D1254" s="19"/>
      <c r="E1254" s="26" t="str">
        <f aca="false">IF(A1254="","",COUNTIFS(Apparitions!$A$2:$A$5001,A1254,Apparitions!$B$2:$B$5001,B1254))</f>
        <v/>
      </c>
      <c r="F1254" s="27" t="str">
        <f aca="false">IF(A1254="","",A1254&amp;"|"&amp;B1254)</f>
        <v/>
      </c>
    </row>
    <row r="1255" customFormat="false" ht="15" hidden="false" customHeight="false" outlineLevel="0" collapsed="false">
      <c r="A1255" s="19"/>
      <c r="B1255" s="19"/>
      <c r="C1255" s="20"/>
      <c r="D1255" s="19"/>
      <c r="E1255" s="26" t="str">
        <f aca="false">IF(A1255="","",COUNTIFS(Apparitions!$A$2:$A$5001,A1255,Apparitions!$B$2:$B$5001,B1255))</f>
        <v/>
      </c>
      <c r="F1255" s="27" t="str">
        <f aca="false">IF(A1255="","",A1255&amp;"|"&amp;B1255)</f>
        <v/>
      </c>
    </row>
    <row r="1256" customFormat="false" ht="15" hidden="false" customHeight="false" outlineLevel="0" collapsed="false">
      <c r="A1256" s="19"/>
      <c r="B1256" s="19"/>
      <c r="C1256" s="20"/>
      <c r="D1256" s="19"/>
      <c r="E1256" s="26" t="str">
        <f aca="false">IF(A1256="","",COUNTIFS(Apparitions!$A$2:$A$5001,A1256,Apparitions!$B$2:$B$5001,B1256))</f>
        <v/>
      </c>
      <c r="F1256" s="27" t="str">
        <f aca="false">IF(A1256="","",A1256&amp;"|"&amp;B1256)</f>
        <v/>
      </c>
    </row>
    <row r="1257" customFormat="false" ht="15" hidden="false" customHeight="false" outlineLevel="0" collapsed="false">
      <c r="A1257" s="19"/>
      <c r="B1257" s="19"/>
      <c r="C1257" s="20"/>
      <c r="D1257" s="19"/>
      <c r="E1257" s="26" t="str">
        <f aca="false">IF(A1257="","",COUNTIFS(Apparitions!$A$2:$A$5001,A1257,Apparitions!$B$2:$B$5001,B1257))</f>
        <v/>
      </c>
      <c r="F1257" s="27" t="str">
        <f aca="false">IF(A1257="","",A1257&amp;"|"&amp;B1257)</f>
        <v/>
      </c>
    </row>
    <row r="1258" customFormat="false" ht="15" hidden="false" customHeight="false" outlineLevel="0" collapsed="false">
      <c r="A1258" s="19"/>
      <c r="B1258" s="19"/>
      <c r="C1258" s="20"/>
      <c r="D1258" s="19"/>
      <c r="E1258" s="26" t="str">
        <f aca="false">IF(A1258="","",COUNTIFS(Apparitions!$A$2:$A$5001,A1258,Apparitions!$B$2:$B$5001,B1258))</f>
        <v/>
      </c>
      <c r="F1258" s="27" t="str">
        <f aca="false">IF(A1258="","",A1258&amp;"|"&amp;B1258)</f>
        <v/>
      </c>
    </row>
    <row r="1259" customFormat="false" ht="15" hidden="false" customHeight="false" outlineLevel="0" collapsed="false">
      <c r="A1259" s="19"/>
      <c r="B1259" s="19"/>
      <c r="C1259" s="20"/>
      <c r="D1259" s="19"/>
      <c r="E1259" s="26" t="str">
        <f aca="false">IF(A1259="","",COUNTIFS(Apparitions!$A$2:$A$5001,A1259,Apparitions!$B$2:$B$5001,B1259))</f>
        <v/>
      </c>
      <c r="F1259" s="27" t="str">
        <f aca="false">IF(A1259="","",A1259&amp;"|"&amp;B1259)</f>
        <v/>
      </c>
    </row>
    <row r="1260" customFormat="false" ht="15" hidden="false" customHeight="false" outlineLevel="0" collapsed="false">
      <c r="A1260" s="19"/>
      <c r="B1260" s="19"/>
      <c r="C1260" s="20"/>
      <c r="D1260" s="19"/>
      <c r="E1260" s="26" t="str">
        <f aca="false">IF(A1260="","",COUNTIFS(Apparitions!$A$2:$A$5001,A1260,Apparitions!$B$2:$B$5001,B1260))</f>
        <v/>
      </c>
      <c r="F1260" s="27" t="str">
        <f aca="false">IF(A1260="","",A1260&amp;"|"&amp;B1260)</f>
        <v/>
      </c>
    </row>
    <row r="1261" customFormat="false" ht="15" hidden="false" customHeight="false" outlineLevel="0" collapsed="false">
      <c r="A1261" s="19"/>
      <c r="B1261" s="19"/>
      <c r="C1261" s="20"/>
      <c r="D1261" s="19"/>
      <c r="E1261" s="26" t="str">
        <f aca="false">IF(A1261="","",COUNTIFS(Apparitions!$A$2:$A$5001,A1261,Apparitions!$B$2:$B$5001,B1261))</f>
        <v/>
      </c>
      <c r="F1261" s="27" t="str">
        <f aca="false">IF(A1261="","",A1261&amp;"|"&amp;B1261)</f>
        <v/>
      </c>
    </row>
    <row r="1262" customFormat="false" ht="15" hidden="false" customHeight="false" outlineLevel="0" collapsed="false">
      <c r="A1262" s="19"/>
      <c r="B1262" s="19"/>
      <c r="C1262" s="20"/>
      <c r="D1262" s="19"/>
      <c r="E1262" s="26" t="str">
        <f aca="false">IF(A1262="","",COUNTIFS(Apparitions!$A$2:$A$5001,A1262,Apparitions!$B$2:$B$5001,B1262))</f>
        <v/>
      </c>
      <c r="F1262" s="27" t="str">
        <f aca="false">IF(A1262="","",A1262&amp;"|"&amp;B1262)</f>
        <v/>
      </c>
    </row>
    <row r="1263" customFormat="false" ht="15" hidden="false" customHeight="false" outlineLevel="0" collapsed="false">
      <c r="A1263" s="19"/>
      <c r="B1263" s="19"/>
      <c r="C1263" s="20"/>
      <c r="D1263" s="19"/>
      <c r="E1263" s="26" t="str">
        <f aca="false">IF(A1263="","",COUNTIFS(Apparitions!$A$2:$A$5001,A1263,Apparitions!$B$2:$B$5001,B1263))</f>
        <v/>
      </c>
      <c r="F1263" s="27" t="str">
        <f aca="false">IF(A1263="","",A1263&amp;"|"&amp;B1263)</f>
        <v/>
      </c>
    </row>
    <row r="1264" customFormat="false" ht="15" hidden="false" customHeight="false" outlineLevel="0" collapsed="false">
      <c r="A1264" s="19"/>
      <c r="B1264" s="19"/>
      <c r="C1264" s="20"/>
      <c r="D1264" s="19"/>
      <c r="E1264" s="26" t="str">
        <f aca="false">IF(A1264="","",COUNTIFS(Apparitions!$A$2:$A$5001,A1264,Apparitions!$B$2:$B$5001,B1264))</f>
        <v/>
      </c>
      <c r="F1264" s="27" t="str">
        <f aca="false">IF(A1264="","",A1264&amp;"|"&amp;B1264)</f>
        <v/>
      </c>
    </row>
    <row r="1265" customFormat="false" ht="15" hidden="false" customHeight="false" outlineLevel="0" collapsed="false">
      <c r="A1265" s="19"/>
      <c r="B1265" s="19"/>
      <c r="C1265" s="20"/>
      <c r="D1265" s="19"/>
      <c r="E1265" s="26" t="str">
        <f aca="false">IF(A1265="","",COUNTIFS(Apparitions!$A$2:$A$5001,A1265,Apparitions!$B$2:$B$5001,B1265))</f>
        <v/>
      </c>
      <c r="F1265" s="27" t="str">
        <f aca="false">IF(A1265="","",A1265&amp;"|"&amp;B1265)</f>
        <v/>
      </c>
    </row>
    <row r="1266" customFormat="false" ht="15" hidden="false" customHeight="false" outlineLevel="0" collapsed="false">
      <c r="A1266" s="19"/>
      <c r="B1266" s="19"/>
      <c r="C1266" s="20"/>
      <c r="D1266" s="19"/>
      <c r="E1266" s="26" t="str">
        <f aca="false">IF(A1266="","",COUNTIFS(Apparitions!$A$2:$A$5001,A1266,Apparitions!$B$2:$B$5001,B1266))</f>
        <v/>
      </c>
      <c r="F1266" s="27" t="str">
        <f aca="false">IF(A1266="","",A1266&amp;"|"&amp;B1266)</f>
        <v/>
      </c>
    </row>
    <row r="1267" customFormat="false" ht="15" hidden="false" customHeight="false" outlineLevel="0" collapsed="false">
      <c r="A1267" s="19"/>
      <c r="B1267" s="19"/>
      <c r="C1267" s="20"/>
      <c r="D1267" s="19"/>
      <c r="E1267" s="26" t="str">
        <f aca="false">IF(A1267="","",COUNTIFS(Apparitions!$A$2:$A$5001,A1267,Apparitions!$B$2:$B$5001,B1267))</f>
        <v/>
      </c>
      <c r="F1267" s="27" t="str">
        <f aca="false">IF(A1267="","",A1267&amp;"|"&amp;B1267)</f>
        <v/>
      </c>
    </row>
    <row r="1268" customFormat="false" ht="15" hidden="false" customHeight="false" outlineLevel="0" collapsed="false">
      <c r="A1268" s="19"/>
      <c r="B1268" s="19"/>
      <c r="C1268" s="20"/>
      <c r="D1268" s="19"/>
      <c r="E1268" s="26" t="str">
        <f aca="false">IF(A1268="","",COUNTIFS(Apparitions!$A$2:$A$5001,A1268,Apparitions!$B$2:$B$5001,B1268))</f>
        <v/>
      </c>
      <c r="F1268" s="27" t="str">
        <f aca="false">IF(A1268="","",A1268&amp;"|"&amp;B1268)</f>
        <v/>
      </c>
    </row>
    <row r="1269" customFormat="false" ht="15" hidden="false" customHeight="false" outlineLevel="0" collapsed="false">
      <c r="A1269" s="19"/>
      <c r="B1269" s="19"/>
      <c r="C1269" s="20"/>
      <c r="D1269" s="19"/>
      <c r="E1269" s="26" t="str">
        <f aca="false">IF(A1269="","",COUNTIFS(Apparitions!$A$2:$A$5001,A1269,Apparitions!$B$2:$B$5001,B1269))</f>
        <v/>
      </c>
      <c r="F1269" s="27" t="str">
        <f aca="false">IF(A1269="","",A1269&amp;"|"&amp;B1269)</f>
        <v/>
      </c>
    </row>
    <row r="1270" customFormat="false" ht="15" hidden="false" customHeight="false" outlineLevel="0" collapsed="false">
      <c r="A1270" s="19"/>
      <c r="B1270" s="19"/>
      <c r="C1270" s="20"/>
      <c r="D1270" s="19"/>
      <c r="E1270" s="26" t="str">
        <f aca="false">IF(A1270="","",COUNTIFS(Apparitions!$A$2:$A$5001,A1270,Apparitions!$B$2:$B$5001,B1270))</f>
        <v/>
      </c>
      <c r="F1270" s="27" t="str">
        <f aca="false">IF(A1270="","",A1270&amp;"|"&amp;B1270)</f>
        <v/>
      </c>
    </row>
    <row r="1271" customFormat="false" ht="15" hidden="false" customHeight="false" outlineLevel="0" collapsed="false">
      <c r="A1271" s="19"/>
      <c r="B1271" s="19"/>
      <c r="C1271" s="20"/>
      <c r="D1271" s="19"/>
      <c r="E1271" s="26" t="str">
        <f aca="false">IF(A1271="","",COUNTIFS(Apparitions!$A$2:$A$5001,A1271,Apparitions!$B$2:$B$5001,B1271))</f>
        <v/>
      </c>
      <c r="F1271" s="27" t="str">
        <f aca="false">IF(A1271="","",A1271&amp;"|"&amp;B1271)</f>
        <v/>
      </c>
    </row>
    <row r="1272" customFormat="false" ht="15" hidden="false" customHeight="false" outlineLevel="0" collapsed="false">
      <c r="A1272" s="19"/>
      <c r="B1272" s="19"/>
      <c r="C1272" s="20"/>
      <c r="D1272" s="19"/>
      <c r="E1272" s="26" t="str">
        <f aca="false">IF(A1272="","",COUNTIFS(Apparitions!$A$2:$A$5001,A1272,Apparitions!$B$2:$B$5001,B1272))</f>
        <v/>
      </c>
      <c r="F1272" s="27" t="str">
        <f aca="false">IF(A1272="","",A1272&amp;"|"&amp;B1272)</f>
        <v/>
      </c>
    </row>
    <row r="1273" customFormat="false" ht="15" hidden="false" customHeight="false" outlineLevel="0" collapsed="false">
      <c r="A1273" s="19"/>
      <c r="B1273" s="19"/>
      <c r="C1273" s="20"/>
      <c r="D1273" s="19"/>
      <c r="E1273" s="26" t="str">
        <f aca="false">IF(A1273="","",COUNTIFS(Apparitions!$A$2:$A$5001,A1273,Apparitions!$B$2:$B$5001,B1273))</f>
        <v/>
      </c>
      <c r="F1273" s="27" t="str">
        <f aca="false">IF(A1273="","",A1273&amp;"|"&amp;B1273)</f>
        <v/>
      </c>
    </row>
    <row r="1274" customFormat="false" ht="15" hidden="false" customHeight="false" outlineLevel="0" collapsed="false">
      <c r="A1274" s="19"/>
      <c r="B1274" s="19"/>
      <c r="C1274" s="20"/>
      <c r="D1274" s="19"/>
      <c r="E1274" s="26" t="str">
        <f aca="false">IF(A1274="","",COUNTIFS(Apparitions!$A$2:$A$5001,A1274,Apparitions!$B$2:$B$5001,B1274))</f>
        <v/>
      </c>
      <c r="F1274" s="27" t="str">
        <f aca="false">IF(A1274="","",A1274&amp;"|"&amp;B1274)</f>
        <v/>
      </c>
    </row>
    <row r="1275" customFormat="false" ht="15" hidden="false" customHeight="false" outlineLevel="0" collapsed="false">
      <c r="A1275" s="19"/>
      <c r="B1275" s="19"/>
      <c r="C1275" s="20"/>
      <c r="D1275" s="19"/>
      <c r="E1275" s="26" t="str">
        <f aca="false">IF(A1275="","",COUNTIFS(Apparitions!$A$2:$A$5001,A1275,Apparitions!$B$2:$B$5001,B1275))</f>
        <v/>
      </c>
      <c r="F1275" s="27" t="str">
        <f aca="false">IF(A1275="","",A1275&amp;"|"&amp;B1275)</f>
        <v/>
      </c>
    </row>
    <row r="1276" customFormat="false" ht="15" hidden="false" customHeight="false" outlineLevel="0" collapsed="false">
      <c r="A1276" s="19"/>
      <c r="B1276" s="19"/>
      <c r="C1276" s="20"/>
      <c r="D1276" s="19"/>
      <c r="E1276" s="26" t="str">
        <f aca="false">IF(A1276="","",COUNTIFS(Apparitions!$A$2:$A$5001,A1276,Apparitions!$B$2:$B$5001,B1276))</f>
        <v/>
      </c>
      <c r="F1276" s="27" t="str">
        <f aca="false">IF(A1276="","",A1276&amp;"|"&amp;B1276)</f>
        <v/>
      </c>
    </row>
    <row r="1277" customFormat="false" ht="15" hidden="false" customHeight="false" outlineLevel="0" collapsed="false">
      <c r="A1277" s="19"/>
      <c r="B1277" s="19"/>
      <c r="C1277" s="20"/>
      <c r="D1277" s="19"/>
      <c r="E1277" s="26" t="str">
        <f aca="false">IF(A1277="","",COUNTIFS(Apparitions!$A$2:$A$5001,A1277,Apparitions!$B$2:$B$5001,B1277))</f>
        <v/>
      </c>
      <c r="F1277" s="27" t="str">
        <f aca="false">IF(A1277="","",A1277&amp;"|"&amp;B1277)</f>
        <v/>
      </c>
    </row>
    <row r="1278" customFormat="false" ht="15" hidden="false" customHeight="false" outlineLevel="0" collapsed="false">
      <c r="A1278" s="19"/>
      <c r="B1278" s="19"/>
      <c r="C1278" s="20"/>
      <c r="D1278" s="19"/>
      <c r="E1278" s="26" t="str">
        <f aca="false">IF(A1278="","",COUNTIFS(Apparitions!$A$2:$A$5001,A1278,Apparitions!$B$2:$B$5001,B1278))</f>
        <v/>
      </c>
      <c r="F1278" s="27" t="str">
        <f aca="false">IF(A1278="","",A1278&amp;"|"&amp;B1278)</f>
        <v/>
      </c>
    </row>
    <row r="1279" customFormat="false" ht="15" hidden="false" customHeight="false" outlineLevel="0" collapsed="false">
      <c r="A1279" s="19"/>
      <c r="B1279" s="19"/>
      <c r="C1279" s="20"/>
      <c r="D1279" s="19"/>
      <c r="E1279" s="26" t="str">
        <f aca="false">IF(A1279="","",COUNTIFS(Apparitions!$A$2:$A$5001,A1279,Apparitions!$B$2:$B$5001,B1279))</f>
        <v/>
      </c>
      <c r="F1279" s="27" t="str">
        <f aca="false">IF(A1279="","",A1279&amp;"|"&amp;B1279)</f>
        <v/>
      </c>
    </row>
    <row r="1280" customFormat="false" ht="15" hidden="false" customHeight="false" outlineLevel="0" collapsed="false">
      <c r="A1280" s="19"/>
      <c r="B1280" s="19"/>
      <c r="C1280" s="20"/>
      <c r="D1280" s="19"/>
      <c r="E1280" s="26" t="str">
        <f aca="false">IF(A1280="","",COUNTIFS(Apparitions!$A$2:$A$5001,A1280,Apparitions!$B$2:$B$5001,B1280))</f>
        <v/>
      </c>
      <c r="F1280" s="27" t="str">
        <f aca="false">IF(A1280="","",A1280&amp;"|"&amp;B1280)</f>
        <v/>
      </c>
    </row>
    <row r="1281" customFormat="false" ht="15" hidden="false" customHeight="false" outlineLevel="0" collapsed="false">
      <c r="A1281" s="19"/>
      <c r="B1281" s="19"/>
      <c r="C1281" s="20"/>
      <c r="D1281" s="19"/>
      <c r="E1281" s="26" t="str">
        <f aca="false">IF(A1281="","",COUNTIFS(Apparitions!$A$2:$A$5001,A1281,Apparitions!$B$2:$B$5001,B1281))</f>
        <v/>
      </c>
      <c r="F1281" s="27" t="str">
        <f aca="false">IF(A1281="","",A1281&amp;"|"&amp;B1281)</f>
        <v/>
      </c>
    </row>
    <row r="1282" customFormat="false" ht="15" hidden="false" customHeight="false" outlineLevel="0" collapsed="false">
      <c r="A1282" s="19"/>
      <c r="B1282" s="19"/>
      <c r="C1282" s="20"/>
      <c r="D1282" s="19"/>
      <c r="E1282" s="26" t="str">
        <f aca="false">IF(A1282="","",COUNTIFS(Apparitions!$A$2:$A$5001,A1282,Apparitions!$B$2:$B$5001,B1282))</f>
        <v/>
      </c>
      <c r="F1282" s="27" t="str">
        <f aca="false">IF(A1282="","",A1282&amp;"|"&amp;B1282)</f>
        <v/>
      </c>
    </row>
    <row r="1283" customFormat="false" ht="15" hidden="false" customHeight="false" outlineLevel="0" collapsed="false">
      <c r="A1283" s="19"/>
      <c r="B1283" s="19"/>
      <c r="C1283" s="20"/>
      <c r="D1283" s="19"/>
      <c r="E1283" s="26" t="str">
        <f aca="false">IF(A1283="","",COUNTIFS(Apparitions!$A$2:$A$5001,A1283,Apparitions!$B$2:$B$5001,B1283))</f>
        <v/>
      </c>
      <c r="F1283" s="27" t="str">
        <f aca="false">IF(A1283="","",A1283&amp;"|"&amp;B1283)</f>
        <v/>
      </c>
    </row>
    <row r="1284" customFormat="false" ht="15" hidden="false" customHeight="false" outlineLevel="0" collapsed="false">
      <c r="A1284" s="19"/>
      <c r="B1284" s="19"/>
      <c r="C1284" s="20"/>
      <c r="D1284" s="19"/>
      <c r="E1284" s="26" t="str">
        <f aca="false">IF(A1284="","",COUNTIFS(Apparitions!$A$2:$A$5001,A1284,Apparitions!$B$2:$B$5001,B1284))</f>
        <v/>
      </c>
      <c r="F1284" s="27" t="str">
        <f aca="false">IF(A1284="","",A1284&amp;"|"&amp;B1284)</f>
        <v/>
      </c>
    </row>
    <row r="1285" customFormat="false" ht="15" hidden="false" customHeight="false" outlineLevel="0" collapsed="false">
      <c r="A1285" s="19"/>
      <c r="B1285" s="19"/>
      <c r="C1285" s="20"/>
      <c r="D1285" s="19"/>
      <c r="E1285" s="26" t="str">
        <f aca="false">IF(A1285="","",COUNTIFS(Apparitions!$A$2:$A$5001,A1285,Apparitions!$B$2:$B$5001,B1285))</f>
        <v/>
      </c>
      <c r="F1285" s="27" t="str">
        <f aca="false">IF(A1285="","",A1285&amp;"|"&amp;B1285)</f>
        <v/>
      </c>
    </row>
    <row r="1286" customFormat="false" ht="15" hidden="false" customHeight="false" outlineLevel="0" collapsed="false">
      <c r="A1286" s="19"/>
      <c r="B1286" s="19"/>
      <c r="C1286" s="20"/>
      <c r="D1286" s="19"/>
      <c r="E1286" s="26" t="str">
        <f aca="false">IF(A1286="","",COUNTIFS(Apparitions!$A$2:$A$5001,A1286,Apparitions!$B$2:$B$5001,B1286))</f>
        <v/>
      </c>
      <c r="F1286" s="27" t="str">
        <f aca="false">IF(A1286="","",A1286&amp;"|"&amp;B1286)</f>
        <v/>
      </c>
    </row>
    <row r="1287" customFormat="false" ht="15" hidden="false" customHeight="false" outlineLevel="0" collapsed="false">
      <c r="A1287" s="19"/>
      <c r="B1287" s="19"/>
      <c r="C1287" s="20"/>
      <c r="D1287" s="19"/>
      <c r="E1287" s="26" t="str">
        <f aca="false">IF(A1287="","",COUNTIFS(Apparitions!$A$2:$A$5001,A1287,Apparitions!$B$2:$B$5001,B1287))</f>
        <v/>
      </c>
      <c r="F1287" s="27" t="str">
        <f aca="false">IF(A1287="","",A1287&amp;"|"&amp;B1287)</f>
        <v/>
      </c>
    </row>
    <row r="1288" customFormat="false" ht="15" hidden="false" customHeight="false" outlineLevel="0" collapsed="false">
      <c r="A1288" s="19"/>
      <c r="B1288" s="19"/>
      <c r="C1288" s="20"/>
      <c r="D1288" s="19"/>
      <c r="E1288" s="26" t="str">
        <f aca="false">IF(A1288="","",COUNTIFS(Apparitions!$A$2:$A$5001,A1288,Apparitions!$B$2:$B$5001,B1288))</f>
        <v/>
      </c>
      <c r="F1288" s="27" t="str">
        <f aca="false">IF(A1288="","",A1288&amp;"|"&amp;B1288)</f>
        <v/>
      </c>
    </row>
    <row r="1289" customFormat="false" ht="15" hidden="false" customHeight="false" outlineLevel="0" collapsed="false">
      <c r="A1289" s="19"/>
      <c r="B1289" s="19"/>
      <c r="C1289" s="20"/>
      <c r="D1289" s="19"/>
      <c r="E1289" s="26" t="str">
        <f aca="false">IF(A1289="","",COUNTIFS(Apparitions!$A$2:$A$5001,A1289,Apparitions!$B$2:$B$5001,B1289))</f>
        <v/>
      </c>
      <c r="F1289" s="27" t="str">
        <f aca="false">IF(A1289="","",A1289&amp;"|"&amp;B1289)</f>
        <v/>
      </c>
    </row>
    <row r="1290" customFormat="false" ht="15" hidden="false" customHeight="false" outlineLevel="0" collapsed="false">
      <c r="A1290" s="19"/>
      <c r="B1290" s="19"/>
      <c r="C1290" s="20"/>
      <c r="D1290" s="19"/>
      <c r="E1290" s="26" t="str">
        <f aca="false">IF(A1290="","",COUNTIFS(Apparitions!$A$2:$A$5001,A1290,Apparitions!$B$2:$B$5001,B1290))</f>
        <v/>
      </c>
      <c r="F1290" s="27" t="str">
        <f aca="false">IF(A1290="","",A1290&amp;"|"&amp;B1290)</f>
        <v/>
      </c>
    </row>
    <row r="1291" customFormat="false" ht="15" hidden="false" customHeight="false" outlineLevel="0" collapsed="false">
      <c r="A1291" s="19"/>
      <c r="B1291" s="19"/>
      <c r="C1291" s="20"/>
      <c r="D1291" s="19"/>
      <c r="E1291" s="26" t="str">
        <f aca="false">IF(A1291="","",COUNTIFS(Apparitions!$A$2:$A$5001,A1291,Apparitions!$B$2:$B$5001,B1291))</f>
        <v/>
      </c>
      <c r="F1291" s="27" t="str">
        <f aca="false">IF(A1291="","",A1291&amp;"|"&amp;B1291)</f>
        <v/>
      </c>
    </row>
    <row r="1292" customFormat="false" ht="15" hidden="false" customHeight="false" outlineLevel="0" collapsed="false">
      <c r="A1292" s="19"/>
      <c r="B1292" s="19"/>
      <c r="C1292" s="20"/>
      <c r="D1292" s="19"/>
      <c r="E1292" s="26" t="str">
        <f aca="false">IF(A1292="","",COUNTIFS(Apparitions!$A$2:$A$5001,A1292,Apparitions!$B$2:$B$5001,B1292))</f>
        <v/>
      </c>
      <c r="F1292" s="27" t="str">
        <f aca="false">IF(A1292="","",A1292&amp;"|"&amp;B1292)</f>
        <v/>
      </c>
    </row>
    <row r="1293" customFormat="false" ht="15" hidden="false" customHeight="false" outlineLevel="0" collapsed="false">
      <c r="A1293" s="19"/>
      <c r="B1293" s="19"/>
      <c r="C1293" s="20"/>
      <c r="D1293" s="19"/>
      <c r="E1293" s="26" t="str">
        <f aca="false">IF(A1293="","",COUNTIFS(Apparitions!$A$2:$A$5001,A1293,Apparitions!$B$2:$B$5001,B1293))</f>
        <v/>
      </c>
      <c r="F1293" s="27" t="str">
        <f aca="false">IF(A1293="","",A1293&amp;"|"&amp;B1293)</f>
        <v/>
      </c>
    </row>
    <row r="1294" customFormat="false" ht="15" hidden="false" customHeight="false" outlineLevel="0" collapsed="false">
      <c r="A1294" s="19"/>
      <c r="B1294" s="19"/>
      <c r="C1294" s="20"/>
      <c r="D1294" s="19"/>
      <c r="E1294" s="26" t="str">
        <f aca="false">IF(A1294="","",COUNTIFS(Apparitions!$A$2:$A$5001,A1294,Apparitions!$B$2:$B$5001,B1294))</f>
        <v/>
      </c>
      <c r="F1294" s="27" t="str">
        <f aca="false">IF(A1294="","",A1294&amp;"|"&amp;B1294)</f>
        <v/>
      </c>
    </row>
    <row r="1295" customFormat="false" ht="15" hidden="false" customHeight="false" outlineLevel="0" collapsed="false">
      <c r="A1295" s="19"/>
      <c r="B1295" s="19"/>
      <c r="C1295" s="20"/>
      <c r="D1295" s="19"/>
      <c r="E1295" s="26" t="str">
        <f aca="false">IF(A1295="","",COUNTIFS(Apparitions!$A$2:$A$5001,A1295,Apparitions!$B$2:$B$5001,B1295))</f>
        <v/>
      </c>
      <c r="F1295" s="27" t="str">
        <f aca="false">IF(A1295="","",A1295&amp;"|"&amp;B1295)</f>
        <v/>
      </c>
    </row>
    <row r="1296" customFormat="false" ht="15" hidden="false" customHeight="false" outlineLevel="0" collapsed="false">
      <c r="A1296" s="19"/>
      <c r="B1296" s="19"/>
      <c r="C1296" s="20"/>
      <c r="D1296" s="19"/>
      <c r="E1296" s="26" t="str">
        <f aca="false">IF(A1296="","",COUNTIFS(Apparitions!$A$2:$A$5001,A1296,Apparitions!$B$2:$B$5001,B1296))</f>
        <v/>
      </c>
      <c r="F1296" s="27" t="str">
        <f aca="false">IF(A1296="","",A1296&amp;"|"&amp;B1296)</f>
        <v/>
      </c>
    </row>
    <row r="1297" customFormat="false" ht="15" hidden="false" customHeight="false" outlineLevel="0" collapsed="false">
      <c r="A1297" s="19"/>
      <c r="B1297" s="19"/>
      <c r="C1297" s="20"/>
      <c r="D1297" s="19"/>
      <c r="E1297" s="26" t="str">
        <f aca="false">IF(A1297="","",COUNTIFS(Apparitions!$A$2:$A$5001,A1297,Apparitions!$B$2:$B$5001,B1297))</f>
        <v/>
      </c>
      <c r="F1297" s="27" t="str">
        <f aca="false">IF(A1297="","",A1297&amp;"|"&amp;B1297)</f>
        <v/>
      </c>
    </row>
    <row r="1298" customFormat="false" ht="15" hidden="false" customHeight="false" outlineLevel="0" collapsed="false">
      <c r="A1298" s="19"/>
      <c r="B1298" s="19"/>
      <c r="C1298" s="20"/>
      <c r="D1298" s="19"/>
      <c r="E1298" s="26" t="str">
        <f aca="false">IF(A1298="","",COUNTIFS(Apparitions!$A$2:$A$5001,A1298,Apparitions!$B$2:$B$5001,B1298))</f>
        <v/>
      </c>
      <c r="F1298" s="27" t="str">
        <f aca="false">IF(A1298="","",A1298&amp;"|"&amp;B1298)</f>
        <v/>
      </c>
    </row>
    <row r="1299" customFormat="false" ht="15" hidden="false" customHeight="false" outlineLevel="0" collapsed="false">
      <c r="A1299" s="19"/>
      <c r="B1299" s="19"/>
      <c r="C1299" s="20"/>
      <c r="D1299" s="19"/>
      <c r="E1299" s="26" t="str">
        <f aca="false">IF(A1299="","",COUNTIFS(Apparitions!$A$2:$A$5001,A1299,Apparitions!$B$2:$B$5001,B1299))</f>
        <v/>
      </c>
      <c r="F1299" s="27" t="str">
        <f aca="false">IF(A1299="","",A1299&amp;"|"&amp;B1299)</f>
        <v/>
      </c>
    </row>
    <row r="1300" customFormat="false" ht="15" hidden="false" customHeight="false" outlineLevel="0" collapsed="false">
      <c r="A1300" s="19"/>
      <c r="B1300" s="19"/>
      <c r="C1300" s="20"/>
      <c r="D1300" s="19"/>
      <c r="E1300" s="26" t="str">
        <f aca="false">IF(A1300="","",COUNTIFS(Apparitions!$A$2:$A$5001,A1300,Apparitions!$B$2:$B$5001,B1300))</f>
        <v/>
      </c>
      <c r="F1300" s="27" t="str">
        <f aca="false">IF(A1300="","",A1300&amp;"|"&amp;B1300)</f>
        <v/>
      </c>
    </row>
    <row r="1301" customFormat="false" ht="15" hidden="false" customHeight="false" outlineLevel="0" collapsed="false">
      <c r="A1301" s="19"/>
      <c r="B1301" s="19"/>
      <c r="C1301" s="20"/>
      <c r="D1301" s="19"/>
      <c r="E1301" s="26" t="str">
        <f aca="false">IF(A1301="","",COUNTIFS(Apparitions!$A$2:$A$5001,A1301,Apparitions!$B$2:$B$5001,B1301))</f>
        <v/>
      </c>
      <c r="F1301" s="27" t="str">
        <f aca="false">IF(A1301="","",A1301&amp;"|"&amp;B1301)</f>
        <v/>
      </c>
    </row>
    <row r="1302" customFormat="false" ht="15" hidden="false" customHeight="false" outlineLevel="0" collapsed="false">
      <c r="A1302" s="19"/>
      <c r="B1302" s="19"/>
      <c r="C1302" s="20"/>
      <c r="D1302" s="19"/>
      <c r="E1302" s="26" t="str">
        <f aca="false">IF(A1302="","",COUNTIFS(Apparitions!$A$2:$A$5001,A1302,Apparitions!$B$2:$B$5001,B1302))</f>
        <v/>
      </c>
      <c r="F1302" s="27" t="str">
        <f aca="false">IF(A1302="","",A1302&amp;"|"&amp;B1302)</f>
        <v/>
      </c>
    </row>
    <row r="1303" customFormat="false" ht="15" hidden="false" customHeight="false" outlineLevel="0" collapsed="false">
      <c r="A1303" s="19"/>
      <c r="B1303" s="19"/>
      <c r="C1303" s="20"/>
      <c r="D1303" s="19"/>
      <c r="E1303" s="26" t="str">
        <f aca="false">IF(A1303="","",COUNTIFS(Apparitions!$A$2:$A$5001,A1303,Apparitions!$B$2:$B$5001,B1303))</f>
        <v/>
      </c>
      <c r="F1303" s="27" t="str">
        <f aca="false">IF(A1303="","",A1303&amp;"|"&amp;B1303)</f>
        <v/>
      </c>
    </row>
    <row r="1304" customFormat="false" ht="15" hidden="false" customHeight="false" outlineLevel="0" collapsed="false">
      <c r="A1304" s="19"/>
      <c r="B1304" s="19"/>
      <c r="C1304" s="20"/>
      <c r="D1304" s="19"/>
      <c r="E1304" s="26" t="str">
        <f aca="false">IF(A1304="","",COUNTIFS(Apparitions!$A$2:$A$5001,A1304,Apparitions!$B$2:$B$5001,B1304))</f>
        <v/>
      </c>
      <c r="F1304" s="27" t="str">
        <f aca="false">IF(A1304="","",A1304&amp;"|"&amp;B1304)</f>
        <v/>
      </c>
    </row>
    <row r="1305" customFormat="false" ht="15" hidden="false" customHeight="false" outlineLevel="0" collapsed="false">
      <c r="A1305" s="19"/>
      <c r="B1305" s="19"/>
      <c r="C1305" s="20"/>
      <c r="D1305" s="19"/>
      <c r="E1305" s="26" t="str">
        <f aca="false">IF(A1305="","",COUNTIFS(Apparitions!$A$2:$A$5001,A1305,Apparitions!$B$2:$B$5001,B1305))</f>
        <v/>
      </c>
      <c r="F1305" s="27" t="str">
        <f aca="false">IF(A1305="","",A1305&amp;"|"&amp;B1305)</f>
        <v/>
      </c>
    </row>
    <row r="1306" customFormat="false" ht="15" hidden="false" customHeight="false" outlineLevel="0" collapsed="false">
      <c r="A1306" s="19"/>
      <c r="B1306" s="19"/>
      <c r="C1306" s="20"/>
      <c r="D1306" s="19"/>
      <c r="E1306" s="26" t="str">
        <f aca="false">IF(A1306="","",COUNTIFS(Apparitions!$A$2:$A$5001,A1306,Apparitions!$B$2:$B$5001,B1306))</f>
        <v/>
      </c>
      <c r="F1306" s="27" t="str">
        <f aca="false">IF(A1306="","",A1306&amp;"|"&amp;B1306)</f>
        <v/>
      </c>
    </row>
    <row r="1307" customFormat="false" ht="15" hidden="false" customHeight="false" outlineLevel="0" collapsed="false">
      <c r="A1307" s="19"/>
      <c r="B1307" s="19"/>
      <c r="C1307" s="20"/>
      <c r="D1307" s="19"/>
      <c r="E1307" s="26" t="str">
        <f aca="false">IF(A1307="","",COUNTIFS(Apparitions!$A$2:$A$5001,A1307,Apparitions!$B$2:$B$5001,B1307))</f>
        <v/>
      </c>
      <c r="F1307" s="27" t="str">
        <f aca="false">IF(A1307="","",A1307&amp;"|"&amp;B1307)</f>
        <v/>
      </c>
    </row>
    <row r="1308" customFormat="false" ht="15" hidden="false" customHeight="false" outlineLevel="0" collapsed="false">
      <c r="A1308" s="19"/>
      <c r="B1308" s="19"/>
      <c r="C1308" s="20"/>
      <c r="D1308" s="19"/>
      <c r="E1308" s="26" t="str">
        <f aca="false">IF(A1308="","",COUNTIFS(Apparitions!$A$2:$A$5001,A1308,Apparitions!$B$2:$B$5001,B1308))</f>
        <v/>
      </c>
      <c r="F1308" s="27" t="str">
        <f aca="false">IF(A1308="","",A1308&amp;"|"&amp;B1308)</f>
        <v/>
      </c>
    </row>
    <row r="1309" customFormat="false" ht="15" hidden="false" customHeight="false" outlineLevel="0" collapsed="false">
      <c r="A1309" s="19"/>
      <c r="B1309" s="19"/>
      <c r="C1309" s="20"/>
      <c r="D1309" s="19"/>
      <c r="E1309" s="26" t="str">
        <f aca="false">IF(A1309="","",COUNTIFS(Apparitions!$A$2:$A$5001,A1309,Apparitions!$B$2:$B$5001,B1309))</f>
        <v/>
      </c>
      <c r="F1309" s="27" t="str">
        <f aca="false">IF(A1309="","",A1309&amp;"|"&amp;B1309)</f>
        <v/>
      </c>
    </row>
    <row r="1310" customFormat="false" ht="15" hidden="false" customHeight="false" outlineLevel="0" collapsed="false">
      <c r="A1310" s="19"/>
      <c r="B1310" s="19"/>
      <c r="C1310" s="20"/>
      <c r="D1310" s="19"/>
      <c r="E1310" s="26" t="str">
        <f aca="false">IF(A1310="","",COUNTIFS(Apparitions!$A$2:$A$5001,A1310,Apparitions!$B$2:$B$5001,B1310))</f>
        <v/>
      </c>
      <c r="F1310" s="27" t="str">
        <f aca="false">IF(A1310="","",A1310&amp;"|"&amp;B1310)</f>
        <v/>
      </c>
    </row>
    <row r="1311" customFormat="false" ht="15" hidden="false" customHeight="false" outlineLevel="0" collapsed="false">
      <c r="A1311" s="19"/>
      <c r="B1311" s="19"/>
      <c r="C1311" s="20"/>
      <c r="D1311" s="19"/>
      <c r="E1311" s="26" t="str">
        <f aca="false">IF(A1311="","",COUNTIFS(Apparitions!$A$2:$A$5001,A1311,Apparitions!$B$2:$B$5001,B1311))</f>
        <v/>
      </c>
      <c r="F1311" s="27" t="str">
        <f aca="false">IF(A1311="","",A1311&amp;"|"&amp;B1311)</f>
        <v/>
      </c>
    </row>
    <row r="1312" customFormat="false" ht="15" hidden="false" customHeight="false" outlineLevel="0" collapsed="false">
      <c r="A1312" s="19"/>
      <c r="B1312" s="19"/>
      <c r="C1312" s="20"/>
      <c r="D1312" s="19"/>
      <c r="E1312" s="26" t="str">
        <f aca="false">IF(A1312="","",COUNTIFS(Apparitions!$A$2:$A$5001,A1312,Apparitions!$B$2:$B$5001,B1312))</f>
        <v/>
      </c>
      <c r="F1312" s="27" t="str">
        <f aca="false">IF(A1312="","",A1312&amp;"|"&amp;B1312)</f>
        <v/>
      </c>
    </row>
    <row r="1313" customFormat="false" ht="15" hidden="false" customHeight="false" outlineLevel="0" collapsed="false">
      <c r="A1313" s="19"/>
      <c r="B1313" s="19"/>
      <c r="C1313" s="20"/>
      <c r="D1313" s="19"/>
      <c r="E1313" s="26" t="str">
        <f aca="false">IF(A1313="","",COUNTIFS(Apparitions!$A$2:$A$5001,A1313,Apparitions!$B$2:$B$5001,B1313))</f>
        <v/>
      </c>
      <c r="F1313" s="27" t="str">
        <f aca="false">IF(A1313="","",A1313&amp;"|"&amp;B1313)</f>
        <v/>
      </c>
    </row>
    <row r="1314" customFormat="false" ht="15" hidden="false" customHeight="false" outlineLevel="0" collapsed="false">
      <c r="A1314" s="19"/>
      <c r="B1314" s="19"/>
      <c r="C1314" s="20"/>
      <c r="D1314" s="19"/>
      <c r="E1314" s="26" t="str">
        <f aca="false">IF(A1314="","",COUNTIFS(Apparitions!$A$2:$A$5001,A1314,Apparitions!$B$2:$B$5001,B1314))</f>
        <v/>
      </c>
      <c r="F1314" s="27" t="str">
        <f aca="false">IF(A1314="","",A1314&amp;"|"&amp;B1314)</f>
        <v/>
      </c>
    </row>
    <row r="1315" customFormat="false" ht="15" hidden="false" customHeight="false" outlineLevel="0" collapsed="false">
      <c r="A1315" s="19"/>
      <c r="B1315" s="19"/>
      <c r="C1315" s="20"/>
      <c r="D1315" s="19"/>
      <c r="E1315" s="26" t="str">
        <f aca="false">IF(A1315="","",COUNTIFS(Apparitions!$A$2:$A$5001,A1315,Apparitions!$B$2:$B$5001,B1315))</f>
        <v/>
      </c>
      <c r="F1315" s="27" t="str">
        <f aca="false">IF(A1315="","",A1315&amp;"|"&amp;B1315)</f>
        <v/>
      </c>
    </row>
    <row r="1316" customFormat="false" ht="15" hidden="false" customHeight="false" outlineLevel="0" collapsed="false">
      <c r="A1316" s="19"/>
      <c r="B1316" s="19"/>
      <c r="C1316" s="20"/>
      <c r="D1316" s="19"/>
      <c r="E1316" s="26" t="str">
        <f aca="false">IF(A1316="","",COUNTIFS(Apparitions!$A$2:$A$5001,A1316,Apparitions!$B$2:$B$5001,B1316))</f>
        <v/>
      </c>
      <c r="F1316" s="27" t="str">
        <f aca="false">IF(A1316="","",A1316&amp;"|"&amp;B1316)</f>
        <v/>
      </c>
    </row>
    <row r="1317" customFormat="false" ht="15" hidden="false" customHeight="false" outlineLevel="0" collapsed="false">
      <c r="A1317" s="19"/>
      <c r="B1317" s="19"/>
      <c r="C1317" s="20"/>
      <c r="D1317" s="19"/>
      <c r="E1317" s="26" t="str">
        <f aca="false">IF(A1317="","",COUNTIFS(Apparitions!$A$2:$A$5001,A1317,Apparitions!$B$2:$B$5001,B1317))</f>
        <v/>
      </c>
      <c r="F1317" s="27" t="str">
        <f aca="false">IF(A1317="","",A1317&amp;"|"&amp;B1317)</f>
        <v/>
      </c>
    </row>
    <row r="1318" customFormat="false" ht="15" hidden="false" customHeight="false" outlineLevel="0" collapsed="false">
      <c r="A1318" s="19"/>
      <c r="B1318" s="19"/>
      <c r="C1318" s="20"/>
      <c r="D1318" s="19"/>
      <c r="E1318" s="26" t="str">
        <f aca="false">IF(A1318="","",COUNTIFS(Apparitions!$A$2:$A$5001,A1318,Apparitions!$B$2:$B$5001,B1318))</f>
        <v/>
      </c>
      <c r="F1318" s="27" t="str">
        <f aca="false">IF(A1318="","",A1318&amp;"|"&amp;B1318)</f>
        <v/>
      </c>
    </row>
    <row r="1319" customFormat="false" ht="15" hidden="false" customHeight="false" outlineLevel="0" collapsed="false">
      <c r="A1319" s="19"/>
      <c r="B1319" s="19"/>
      <c r="C1319" s="20"/>
      <c r="D1319" s="19"/>
      <c r="E1319" s="26" t="str">
        <f aca="false">IF(A1319="","",COUNTIFS(Apparitions!$A$2:$A$5001,A1319,Apparitions!$B$2:$B$5001,B1319))</f>
        <v/>
      </c>
      <c r="F1319" s="27" t="str">
        <f aca="false">IF(A1319="","",A1319&amp;"|"&amp;B1319)</f>
        <v/>
      </c>
    </row>
    <row r="1320" customFormat="false" ht="15" hidden="false" customHeight="false" outlineLevel="0" collapsed="false">
      <c r="A1320" s="19"/>
      <c r="B1320" s="19"/>
      <c r="C1320" s="20"/>
      <c r="D1320" s="19"/>
      <c r="E1320" s="26" t="str">
        <f aca="false">IF(A1320="","",COUNTIFS(Apparitions!$A$2:$A$5001,A1320,Apparitions!$B$2:$B$5001,B1320))</f>
        <v/>
      </c>
      <c r="F1320" s="27" t="str">
        <f aca="false">IF(A1320="","",A1320&amp;"|"&amp;B1320)</f>
        <v/>
      </c>
    </row>
    <row r="1321" customFormat="false" ht="15" hidden="false" customHeight="false" outlineLevel="0" collapsed="false">
      <c r="A1321" s="19"/>
      <c r="B1321" s="19"/>
      <c r="C1321" s="20"/>
      <c r="D1321" s="19"/>
      <c r="E1321" s="26" t="str">
        <f aca="false">IF(A1321="","",COUNTIFS(Apparitions!$A$2:$A$5001,A1321,Apparitions!$B$2:$B$5001,B1321))</f>
        <v/>
      </c>
      <c r="F1321" s="27" t="str">
        <f aca="false">IF(A1321="","",A1321&amp;"|"&amp;B1321)</f>
        <v/>
      </c>
    </row>
    <row r="1322" customFormat="false" ht="15" hidden="false" customHeight="false" outlineLevel="0" collapsed="false">
      <c r="A1322" s="19"/>
      <c r="B1322" s="19"/>
      <c r="C1322" s="20"/>
      <c r="D1322" s="19"/>
      <c r="E1322" s="26" t="str">
        <f aca="false">IF(A1322="","",COUNTIFS(Apparitions!$A$2:$A$5001,A1322,Apparitions!$B$2:$B$5001,B1322))</f>
        <v/>
      </c>
      <c r="F1322" s="27" t="str">
        <f aca="false">IF(A1322="","",A1322&amp;"|"&amp;B1322)</f>
        <v/>
      </c>
    </row>
    <row r="1323" customFormat="false" ht="15" hidden="false" customHeight="false" outlineLevel="0" collapsed="false">
      <c r="A1323" s="19"/>
      <c r="B1323" s="19"/>
      <c r="C1323" s="20"/>
      <c r="D1323" s="19"/>
      <c r="E1323" s="26" t="str">
        <f aca="false">IF(A1323="","",COUNTIFS(Apparitions!$A$2:$A$5001,A1323,Apparitions!$B$2:$B$5001,B1323))</f>
        <v/>
      </c>
      <c r="F1323" s="27" t="str">
        <f aca="false">IF(A1323="","",A1323&amp;"|"&amp;B1323)</f>
        <v/>
      </c>
    </row>
    <row r="1324" customFormat="false" ht="15" hidden="false" customHeight="false" outlineLevel="0" collapsed="false">
      <c r="A1324" s="19"/>
      <c r="B1324" s="19"/>
      <c r="C1324" s="20"/>
      <c r="D1324" s="19"/>
      <c r="E1324" s="26" t="str">
        <f aca="false">IF(A1324="","",COUNTIFS(Apparitions!$A$2:$A$5001,A1324,Apparitions!$B$2:$B$5001,B1324))</f>
        <v/>
      </c>
      <c r="F1324" s="27" t="str">
        <f aca="false">IF(A1324="","",A1324&amp;"|"&amp;B1324)</f>
        <v/>
      </c>
    </row>
    <row r="1325" customFormat="false" ht="15" hidden="false" customHeight="false" outlineLevel="0" collapsed="false">
      <c r="A1325" s="19"/>
      <c r="B1325" s="19"/>
      <c r="C1325" s="20"/>
      <c r="D1325" s="19"/>
      <c r="E1325" s="26" t="str">
        <f aca="false">IF(A1325="","",COUNTIFS(Apparitions!$A$2:$A$5001,A1325,Apparitions!$B$2:$B$5001,B1325))</f>
        <v/>
      </c>
      <c r="F1325" s="27" t="str">
        <f aca="false">IF(A1325="","",A1325&amp;"|"&amp;B1325)</f>
        <v/>
      </c>
    </row>
    <row r="1326" customFormat="false" ht="15" hidden="false" customHeight="false" outlineLevel="0" collapsed="false">
      <c r="A1326" s="19"/>
      <c r="B1326" s="19"/>
      <c r="C1326" s="20"/>
      <c r="D1326" s="19"/>
      <c r="E1326" s="26" t="str">
        <f aca="false">IF(A1326="","",COUNTIFS(Apparitions!$A$2:$A$5001,A1326,Apparitions!$B$2:$B$5001,B1326))</f>
        <v/>
      </c>
      <c r="F1326" s="27" t="str">
        <f aca="false">IF(A1326="","",A1326&amp;"|"&amp;B1326)</f>
        <v/>
      </c>
    </row>
    <row r="1327" customFormat="false" ht="15" hidden="false" customHeight="false" outlineLevel="0" collapsed="false">
      <c r="A1327" s="19"/>
      <c r="B1327" s="19"/>
      <c r="C1327" s="20"/>
      <c r="D1327" s="19"/>
      <c r="E1327" s="26" t="str">
        <f aca="false">IF(A1327="","",COUNTIFS(Apparitions!$A$2:$A$5001,A1327,Apparitions!$B$2:$B$5001,B1327))</f>
        <v/>
      </c>
      <c r="F1327" s="27" t="str">
        <f aca="false">IF(A1327="","",A1327&amp;"|"&amp;B1327)</f>
        <v/>
      </c>
    </row>
    <row r="1328" customFormat="false" ht="15" hidden="false" customHeight="false" outlineLevel="0" collapsed="false">
      <c r="A1328" s="19"/>
      <c r="B1328" s="19"/>
      <c r="C1328" s="20"/>
      <c r="D1328" s="19"/>
      <c r="E1328" s="26" t="str">
        <f aca="false">IF(A1328="","",COUNTIFS(Apparitions!$A$2:$A$5001,A1328,Apparitions!$B$2:$B$5001,B1328))</f>
        <v/>
      </c>
      <c r="F1328" s="27" t="str">
        <f aca="false">IF(A1328="","",A1328&amp;"|"&amp;B1328)</f>
        <v/>
      </c>
    </row>
    <row r="1329" customFormat="false" ht="15" hidden="false" customHeight="false" outlineLevel="0" collapsed="false">
      <c r="A1329" s="19"/>
      <c r="B1329" s="19"/>
      <c r="C1329" s="20"/>
      <c r="D1329" s="19"/>
      <c r="E1329" s="26" t="str">
        <f aca="false">IF(A1329="","",COUNTIFS(Apparitions!$A$2:$A$5001,A1329,Apparitions!$B$2:$B$5001,B1329))</f>
        <v/>
      </c>
      <c r="F1329" s="27" t="str">
        <f aca="false">IF(A1329="","",A1329&amp;"|"&amp;B1329)</f>
        <v/>
      </c>
    </row>
    <row r="1330" customFormat="false" ht="15" hidden="false" customHeight="false" outlineLevel="0" collapsed="false">
      <c r="A1330" s="19"/>
      <c r="B1330" s="19"/>
      <c r="C1330" s="20"/>
      <c r="D1330" s="19"/>
      <c r="E1330" s="26" t="str">
        <f aca="false">IF(A1330="","",COUNTIFS(Apparitions!$A$2:$A$5001,A1330,Apparitions!$B$2:$B$5001,B1330))</f>
        <v/>
      </c>
      <c r="F1330" s="27" t="str">
        <f aca="false">IF(A1330="","",A1330&amp;"|"&amp;B1330)</f>
        <v/>
      </c>
    </row>
    <row r="1331" customFormat="false" ht="15" hidden="false" customHeight="false" outlineLevel="0" collapsed="false">
      <c r="A1331" s="19"/>
      <c r="B1331" s="19"/>
      <c r="C1331" s="20"/>
      <c r="D1331" s="19"/>
      <c r="E1331" s="26" t="str">
        <f aca="false">IF(A1331="","",COUNTIFS(Apparitions!$A$2:$A$5001,A1331,Apparitions!$B$2:$B$5001,B1331))</f>
        <v/>
      </c>
      <c r="F1331" s="27" t="str">
        <f aca="false">IF(A1331="","",A1331&amp;"|"&amp;B1331)</f>
        <v/>
      </c>
    </row>
    <row r="1332" customFormat="false" ht="15" hidden="false" customHeight="false" outlineLevel="0" collapsed="false">
      <c r="A1332" s="19"/>
      <c r="B1332" s="19"/>
      <c r="C1332" s="20"/>
      <c r="D1332" s="19"/>
      <c r="E1332" s="26" t="str">
        <f aca="false">IF(A1332="","",COUNTIFS(Apparitions!$A$2:$A$5001,A1332,Apparitions!$B$2:$B$5001,B1332))</f>
        <v/>
      </c>
      <c r="F1332" s="27" t="str">
        <f aca="false">IF(A1332="","",A1332&amp;"|"&amp;B1332)</f>
        <v/>
      </c>
    </row>
    <row r="1333" customFormat="false" ht="15" hidden="false" customHeight="false" outlineLevel="0" collapsed="false">
      <c r="A1333" s="19"/>
      <c r="B1333" s="19"/>
      <c r="C1333" s="20"/>
      <c r="D1333" s="19"/>
      <c r="E1333" s="26" t="str">
        <f aca="false">IF(A1333="","",COUNTIFS(Apparitions!$A$2:$A$5001,A1333,Apparitions!$B$2:$B$5001,B1333))</f>
        <v/>
      </c>
      <c r="F1333" s="27" t="str">
        <f aca="false">IF(A1333="","",A1333&amp;"|"&amp;B1333)</f>
        <v/>
      </c>
    </row>
    <row r="1334" customFormat="false" ht="15" hidden="false" customHeight="false" outlineLevel="0" collapsed="false">
      <c r="A1334" s="19"/>
      <c r="B1334" s="19"/>
      <c r="C1334" s="20"/>
      <c r="D1334" s="19"/>
      <c r="E1334" s="26" t="str">
        <f aca="false">IF(A1334="","",COUNTIFS(Apparitions!$A$2:$A$5001,A1334,Apparitions!$B$2:$B$5001,B1334))</f>
        <v/>
      </c>
      <c r="F1334" s="27" t="str">
        <f aca="false">IF(A1334="","",A1334&amp;"|"&amp;B1334)</f>
        <v/>
      </c>
    </row>
    <row r="1335" customFormat="false" ht="15" hidden="false" customHeight="false" outlineLevel="0" collapsed="false">
      <c r="A1335" s="19"/>
      <c r="B1335" s="19"/>
      <c r="C1335" s="20"/>
      <c r="D1335" s="19"/>
      <c r="E1335" s="26" t="str">
        <f aca="false">IF(A1335="","",COUNTIFS(Apparitions!$A$2:$A$5001,A1335,Apparitions!$B$2:$B$5001,B1335))</f>
        <v/>
      </c>
      <c r="F1335" s="27" t="str">
        <f aca="false">IF(A1335="","",A1335&amp;"|"&amp;B1335)</f>
        <v/>
      </c>
    </row>
    <row r="1336" customFormat="false" ht="15" hidden="false" customHeight="false" outlineLevel="0" collapsed="false">
      <c r="A1336" s="19"/>
      <c r="B1336" s="19"/>
      <c r="C1336" s="20"/>
      <c r="D1336" s="19"/>
      <c r="E1336" s="26" t="str">
        <f aca="false">IF(A1336="","",COUNTIFS(Apparitions!$A$2:$A$5001,A1336,Apparitions!$B$2:$B$5001,B1336))</f>
        <v/>
      </c>
      <c r="F1336" s="27" t="str">
        <f aca="false">IF(A1336="","",A1336&amp;"|"&amp;B1336)</f>
        <v/>
      </c>
    </row>
    <row r="1337" customFormat="false" ht="15" hidden="false" customHeight="false" outlineLevel="0" collapsed="false">
      <c r="A1337" s="19"/>
      <c r="B1337" s="19"/>
      <c r="C1337" s="20"/>
      <c r="D1337" s="19"/>
      <c r="E1337" s="26" t="str">
        <f aca="false">IF(A1337="","",COUNTIFS(Apparitions!$A$2:$A$5001,A1337,Apparitions!$B$2:$B$5001,B1337))</f>
        <v/>
      </c>
      <c r="F1337" s="27" t="str">
        <f aca="false">IF(A1337="","",A1337&amp;"|"&amp;B1337)</f>
        <v/>
      </c>
    </row>
    <row r="1338" customFormat="false" ht="15" hidden="false" customHeight="false" outlineLevel="0" collapsed="false">
      <c r="A1338" s="19"/>
      <c r="B1338" s="19"/>
      <c r="C1338" s="20"/>
      <c r="D1338" s="19"/>
      <c r="E1338" s="26" t="str">
        <f aca="false">IF(A1338="","",COUNTIFS(Apparitions!$A$2:$A$5001,A1338,Apparitions!$B$2:$B$5001,B1338))</f>
        <v/>
      </c>
      <c r="F1338" s="27" t="str">
        <f aca="false">IF(A1338="","",A1338&amp;"|"&amp;B1338)</f>
        <v/>
      </c>
    </row>
    <row r="1339" customFormat="false" ht="15" hidden="false" customHeight="false" outlineLevel="0" collapsed="false">
      <c r="A1339" s="19"/>
      <c r="B1339" s="19"/>
      <c r="C1339" s="20"/>
      <c r="D1339" s="19"/>
      <c r="E1339" s="26" t="str">
        <f aca="false">IF(A1339="","",COUNTIFS(Apparitions!$A$2:$A$5001,A1339,Apparitions!$B$2:$B$5001,B1339))</f>
        <v/>
      </c>
      <c r="F1339" s="27" t="str">
        <f aca="false">IF(A1339="","",A1339&amp;"|"&amp;B1339)</f>
        <v/>
      </c>
    </row>
    <row r="1340" customFormat="false" ht="15" hidden="false" customHeight="false" outlineLevel="0" collapsed="false">
      <c r="A1340" s="19"/>
      <c r="B1340" s="19"/>
      <c r="C1340" s="20"/>
      <c r="D1340" s="19"/>
      <c r="E1340" s="26" t="str">
        <f aca="false">IF(A1340="","",COUNTIFS(Apparitions!$A$2:$A$5001,A1340,Apparitions!$B$2:$B$5001,B1340))</f>
        <v/>
      </c>
      <c r="F1340" s="27" t="str">
        <f aca="false">IF(A1340="","",A1340&amp;"|"&amp;B1340)</f>
        <v/>
      </c>
    </row>
    <row r="1341" customFormat="false" ht="15" hidden="false" customHeight="false" outlineLevel="0" collapsed="false">
      <c r="A1341" s="19"/>
      <c r="B1341" s="19"/>
      <c r="C1341" s="20"/>
      <c r="D1341" s="19"/>
      <c r="E1341" s="26" t="str">
        <f aca="false">IF(A1341="","",COUNTIFS(Apparitions!$A$2:$A$5001,A1341,Apparitions!$B$2:$B$5001,B1341))</f>
        <v/>
      </c>
      <c r="F1341" s="27" t="str">
        <f aca="false">IF(A1341="","",A1341&amp;"|"&amp;B1341)</f>
        <v/>
      </c>
    </row>
    <row r="1342" customFormat="false" ht="15" hidden="false" customHeight="false" outlineLevel="0" collapsed="false">
      <c r="A1342" s="19"/>
      <c r="B1342" s="19"/>
      <c r="C1342" s="20"/>
      <c r="D1342" s="19"/>
      <c r="E1342" s="26" t="str">
        <f aca="false">IF(A1342="","",COUNTIFS(Apparitions!$A$2:$A$5001,A1342,Apparitions!$B$2:$B$5001,B1342))</f>
        <v/>
      </c>
      <c r="F1342" s="27" t="str">
        <f aca="false">IF(A1342="","",A1342&amp;"|"&amp;B1342)</f>
        <v/>
      </c>
    </row>
    <row r="1343" customFormat="false" ht="15" hidden="false" customHeight="false" outlineLevel="0" collapsed="false">
      <c r="A1343" s="19"/>
      <c r="B1343" s="19"/>
      <c r="C1343" s="20"/>
      <c r="D1343" s="19"/>
      <c r="E1343" s="26" t="str">
        <f aca="false">IF(A1343="","",COUNTIFS(Apparitions!$A$2:$A$5001,A1343,Apparitions!$B$2:$B$5001,B1343))</f>
        <v/>
      </c>
      <c r="F1343" s="27" t="str">
        <f aca="false">IF(A1343="","",A1343&amp;"|"&amp;B1343)</f>
        <v/>
      </c>
    </row>
    <row r="1344" customFormat="false" ht="15" hidden="false" customHeight="false" outlineLevel="0" collapsed="false">
      <c r="A1344" s="19"/>
      <c r="B1344" s="19"/>
      <c r="C1344" s="20"/>
      <c r="D1344" s="19"/>
      <c r="E1344" s="26" t="str">
        <f aca="false">IF(A1344="","",COUNTIFS(Apparitions!$A$2:$A$5001,A1344,Apparitions!$B$2:$B$5001,B1344))</f>
        <v/>
      </c>
      <c r="F1344" s="27" t="str">
        <f aca="false">IF(A1344="","",A1344&amp;"|"&amp;B1344)</f>
        <v/>
      </c>
    </row>
    <row r="1345" customFormat="false" ht="15" hidden="false" customHeight="false" outlineLevel="0" collapsed="false">
      <c r="A1345" s="19"/>
      <c r="B1345" s="19"/>
      <c r="C1345" s="20"/>
      <c r="D1345" s="19"/>
      <c r="E1345" s="26" t="str">
        <f aca="false">IF(A1345="","",COUNTIFS(Apparitions!$A$2:$A$5001,A1345,Apparitions!$B$2:$B$5001,B1345))</f>
        <v/>
      </c>
      <c r="F1345" s="27" t="str">
        <f aca="false">IF(A1345="","",A1345&amp;"|"&amp;B1345)</f>
        <v/>
      </c>
    </row>
    <row r="1346" customFormat="false" ht="15" hidden="false" customHeight="false" outlineLevel="0" collapsed="false">
      <c r="A1346" s="19"/>
      <c r="B1346" s="19"/>
      <c r="C1346" s="20"/>
      <c r="D1346" s="19"/>
      <c r="E1346" s="26" t="str">
        <f aca="false">IF(A1346="","",COUNTIFS(Apparitions!$A$2:$A$5001,A1346,Apparitions!$B$2:$B$5001,B1346))</f>
        <v/>
      </c>
      <c r="F1346" s="27" t="str">
        <f aca="false">IF(A1346="","",A1346&amp;"|"&amp;B1346)</f>
        <v/>
      </c>
    </row>
    <row r="1347" customFormat="false" ht="15" hidden="false" customHeight="false" outlineLevel="0" collapsed="false">
      <c r="A1347" s="19"/>
      <c r="B1347" s="19"/>
      <c r="C1347" s="20"/>
      <c r="D1347" s="19"/>
      <c r="E1347" s="26" t="str">
        <f aca="false">IF(A1347="","",COUNTIFS(Apparitions!$A$2:$A$5001,A1347,Apparitions!$B$2:$B$5001,B1347))</f>
        <v/>
      </c>
      <c r="F1347" s="27" t="str">
        <f aca="false">IF(A1347="","",A1347&amp;"|"&amp;B1347)</f>
        <v/>
      </c>
    </row>
    <row r="1348" customFormat="false" ht="15" hidden="false" customHeight="false" outlineLevel="0" collapsed="false">
      <c r="A1348" s="19"/>
      <c r="B1348" s="19"/>
      <c r="C1348" s="20"/>
      <c r="D1348" s="19"/>
      <c r="E1348" s="26" t="str">
        <f aca="false">IF(A1348="","",COUNTIFS(Apparitions!$A$2:$A$5001,A1348,Apparitions!$B$2:$B$5001,B1348))</f>
        <v/>
      </c>
      <c r="F1348" s="27" t="str">
        <f aca="false">IF(A1348="","",A1348&amp;"|"&amp;B1348)</f>
        <v/>
      </c>
    </row>
    <row r="1349" customFormat="false" ht="15" hidden="false" customHeight="false" outlineLevel="0" collapsed="false">
      <c r="A1349" s="19"/>
      <c r="B1349" s="19"/>
      <c r="C1349" s="20"/>
      <c r="D1349" s="19"/>
      <c r="E1349" s="26" t="str">
        <f aca="false">IF(A1349="","",COUNTIFS(Apparitions!$A$2:$A$5001,A1349,Apparitions!$B$2:$B$5001,B1349))</f>
        <v/>
      </c>
      <c r="F1349" s="27" t="str">
        <f aca="false">IF(A1349="","",A1349&amp;"|"&amp;B1349)</f>
        <v/>
      </c>
    </row>
    <row r="1350" customFormat="false" ht="15" hidden="false" customHeight="false" outlineLevel="0" collapsed="false">
      <c r="A1350" s="19"/>
      <c r="B1350" s="19"/>
      <c r="C1350" s="20"/>
      <c r="D1350" s="19"/>
      <c r="E1350" s="26" t="str">
        <f aca="false">IF(A1350="","",COUNTIFS(Apparitions!$A$2:$A$5001,A1350,Apparitions!$B$2:$B$5001,B1350))</f>
        <v/>
      </c>
      <c r="F1350" s="27" t="str">
        <f aca="false">IF(A1350="","",A1350&amp;"|"&amp;B1350)</f>
        <v/>
      </c>
    </row>
    <row r="1351" customFormat="false" ht="15" hidden="false" customHeight="false" outlineLevel="0" collapsed="false">
      <c r="A1351" s="19"/>
      <c r="B1351" s="19"/>
      <c r="C1351" s="20"/>
      <c r="D1351" s="19"/>
      <c r="E1351" s="26" t="str">
        <f aca="false">IF(A1351="","",COUNTIFS(Apparitions!$A$2:$A$5001,A1351,Apparitions!$B$2:$B$5001,B1351))</f>
        <v/>
      </c>
      <c r="F1351" s="27" t="str">
        <f aca="false">IF(A1351="","",A1351&amp;"|"&amp;B1351)</f>
        <v/>
      </c>
    </row>
    <row r="1352" customFormat="false" ht="15" hidden="false" customHeight="false" outlineLevel="0" collapsed="false">
      <c r="A1352" s="19"/>
      <c r="B1352" s="19"/>
      <c r="C1352" s="20"/>
      <c r="D1352" s="19"/>
      <c r="E1352" s="26" t="str">
        <f aca="false">IF(A1352="","",COUNTIFS(Apparitions!$A$2:$A$5001,A1352,Apparitions!$B$2:$B$5001,B1352))</f>
        <v/>
      </c>
      <c r="F1352" s="27" t="str">
        <f aca="false">IF(A1352="","",A1352&amp;"|"&amp;B1352)</f>
        <v/>
      </c>
    </row>
    <row r="1353" customFormat="false" ht="15" hidden="false" customHeight="false" outlineLevel="0" collapsed="false">
      <c r="A1353" s="19"/>
      <c r="B1353" s="19"/>
      <c r="C1353" s="20"/>
      <c r="D1353" s="19"/>
      <c r="E1353" s="26" t="str">
        <f aca="false">IF(A1353="","",COUNTIFS(Apparitions!$A$2:$A$5001,A1353,Apparitions!$B$2:$B$5001,B1353))</f>
        <v/>
      </c>
      <c r="F1353" s="27" t="str">
        <f aca="false">IF(A1353="","",A1353&amp;"|"&amp;B1353)</f>
        <v/>
      </c>
    </row>
    <row r="1354" customFormat="false" ht="15" hidden="false" customHeight="false" outlineLevel="0" collapsed="false">
      <c r="A1354" s="19"/>
      <c r="B1354" s="19"/>
      <c r="C1354" s="20"/>
      <c r="D1354" s="19"/>
      <c r="E1354" s="26" t="str">
        <f aca="false">IF(A1354="","",COUNTIFS(Apparitions!$A$2:$A$5001,A1354,Apparitions!$B$2:$B$5001,B1354))</f>
        <v/>
      </c>
      <c r="F1354" s="27" t="str">
        <f aca="false">IF(A1354="","",A1354&amp;"|"&amp;B1354)</f>
        <v/>
      </c>
    </row>
    <row r="1355" customFormat="false" ht="15" hidden="false" customHeight="false" outlineLevel="0" collapsed="false">
      <c r="A1355" s="19"/>
      <c r="B1355" s="19"/>
      <c r="C1355" s="20"/>
      <c r="D1355" s="19"/>
      <c r="E1355" s="26" t="str">
        <f aca="false">IF(A1355="","",COUNTIFS(Apparitions!$A$2:$A$5001,A1355,Apparitions!$B$2:$B$5001,B1355))</f>
        <v/>
      </c>
      <c r="F1355" s="27" t="str">
        <f aca="false">IF(A1355="","",A1355&amp;"|"&amp;B1355)</f>
        <v/>
      </c>
    </row>
    <row r="1356" customFormat="false" ht="15" hidden="false" customHeight="false" outlineLevel="0" collapsed="false">
      <c r="A1356" s="19"/>
      <c r="B1356" s="19"/>
      <c r="C1356" s="20"/>
      <c r="D1356" s="19"/>
      <c r="E1356" s="26" t="str">
        <f aca="false">IF(A1356="","",COUNTIFS(Apparitions!$A$2:$A$5001,A1356,Apparitions!$B$2:$B$5001,B1356))</f>
        <v/>
      </c>
      <c r="F1356" s="27" t="str">
        <f aca="false">IF(A1356="","",A1356&amp;"|"&amp;B1356)</f>
        <v/>
      </c>
    </row>
    <row r="1357" customFormat="false" ht="15" hidden="false" customHeight="false" outlineLevel="0" collapsed="false">
      <c r="A1357" s="19"/>
      <c r="B1357" s="19"/>
      <c r="C1357" s="20"/>
      <c r="D1357" s="19"/>
      <c r="E1357" s="26" t="str">
        <f aca="false">IF(A1357="","",COUNTIFS(Apparitions!$A$2:$A$5001,A1357,Apparitions!$B$2:$B$5001,B1357))</f>
        <v/>
      </c>
      <c r="F1357" s="27" t="str">
        <f aca="false">IF(A1357="","",A1357&amp;"|"&amp;B1357)</f>
        <v/>
      </c>
    </row>
    <row r="1358" customFormat="false" ht="15" hidden="false" customHeight="false" outlineLevel="0" collapsed="false">
      <c r="A1358" s="19"/>
      <c r="B1358" s="19"/>
      <c r="C1358" s="20"/>
      <c r="D1358" s="19"/>
      <c r="E1358" s="26" t="str">
        <f aca="false">IF(A1358="","",COUNTIFS(Apparitions!$A$2:$A$5001,A1358,Apparitions!$B$2:$B$5001,B1358))</f>
        <v/>
      </c>
      <c r="F1358" s="27" t="str">
        <f aca="false">IF(A1358="","",A1358&amp;"|"&amp;B1358)</f>
        <v/>
      </c>
    </row>
    <row r="1359" customFormat="false" ht="15" hidden="false" customHeight="false" outlineLevel="0" collapsed="false">
      <c r="A1359" s="19"/>
      <c r="B1359" s="19"/>
      <c r="C1359" s="20"/>
      <c r="D1359" s="19"/>
      <c r="E1359" s="26" t="str">
        <f aca="false">IF(A1359="","",COUNTIFS(Apparitions!$A$2:$A$5001,A1359,Apparitions!$B$2:$B$5001,B1359))</f>
        <v/>
      </c>
      <c r="F1359" s="27" t="str">
        <f aca="false">IF(A1359="","",A1359&amp;"|"&amp;B1359)</f>
        <v/>
      </c>
    </row>
    <row r="1360" customFormat="false" ht="15" hidden="false" customHeight="false" outlineLevel="0" collapsed="false">
      <c r="A1360" s="19"/>
      <c r="B1360" s="19"/>
      <c r="C1360" s="20"/>
      <c r="D1360" s="19"/>
      <c r="E1360" s="26" t="str">
        <f aca="false">IF(A1360="","",COUNTIFS(Apparitions!$A$2:$A$5001,A1360,Apparitions!$B$2:$B$5001,B1360))</f>
        <v/>
      </c>
      <c r="F1360" s="27" t="str">
        <f aca="false">IF(A1360="","",A1360&amp;"|"&amp;B1360)</f>
        <v/>
      </c>
    </row>
    <row r="1361" customFormat="false" ht="15" hidden="false" customHeight="false" outlineLevel="0" collapsed="false">
      <c r="A1361" s="19"/>
      <c r="B1361" s="19"/>
      <c r="C1361" s="20"/>
      <c r="D1361" s="19"/>
      <c r="E1361" s="26" t="str">
        <f aca="false">IF(A1361="","",COUNTIFS(Apparitions!$A$2:$A$5001,A1361,Apparitions!$B$2:$B$5001,B1361))</f>
        <v/>
      </c>
      <c r="F1361" s="27" t="str">
        <f aca="false">IF(A1361="","",A1361&amp;"|"&amp;B1361)</f>
        <v/>
      </c>
    </row>
    <row r="1362" customFormat="false" ht="15" hidden="false" customHeight="false" outlineLevel="0" collapsed="false">
      <c r="A1362" s="19"/>
      <c r="B1362" s="19"/>
      <c r="C1362" s="20"/>
      <c r="D1362" s="19"/>
      <c r="E1362" s="26" t="str">
        <f aca="false">IF(A1362="","",COUNTIFS(Apparitions!$A$2:$A$5001,A1362,Apparitions!$B$2:$B$5001,B1362))</f>
        <v/>
      </c>
      <c r="F1362" s="27" t="str">
        <f aca="false">IF(A1362="","",A1362&amp;"|"&amp;B1362)</f>
        <v/>
      </c>
    </row>
    <row r="1363" customFormat="false" ht="15" hidden="false" customHeight="false" outlineLevel="0" collapsed="false">
      <c r="A1363" s="19"/>
      <c r="B1363" s="19"/>
      <c r="C1363" s="20"/>
      <c r="D1363" s="19"/>
      <c r="E1363" s="26" t="str">
        <f aca="false">IF(A1363="","",COUNTIFS(Apparitions!$A$2:$A$5001,A1363,Apparitions!$B$2:$B$5001,B1363))</f>
        <v/>
      </c>
      <c r="F1363" s="27" t="str">
        <f aca="false">IF(A1363="","",A1363&amp;"|"&amp;B1363)</f>
        <v/>
      </c>
    </row>
    <row r="1364" customFormat="false" ht="15" hidden="false" customHeight="false" outlineLevel="0" collapsed="false">
      <c r="A1364" s="19"/>
      <c r="B1364" s="19"/>
      <c r="C1364" s="20"/>
      <c r="D1364" s="19"/>
      <c r="E1364" s="26" t="str">
        <f aca="false">IF(A1364="","",COUNTIFS(Apparitions!$A$2:$A$5001,A1364,Apparitions!$B$2:$B$5001,B1364))</f>
        <v/>
      </c>
      <c r="F1364" s="27" t="str">
        <f aca="false">IF(A1364="","",A1364&amp;"|"&amp;B1364)</f>
        <v/>
      </c>
    </row>
    <row r="1365" customFormat="false" ht="15" hidden="false" customHeight="false" outlineLevel="0" collapsed="false">
      <c r="A1365" s="19"/>
      <c r="B1365" s="19"/>
      <c r="C1365" s="20"/>
      <c r="D1365" s="19"/>
      <c r="E1365" s="26" t="str">
        <f aca="false">IF(A1365="","",COUNTIFS(Apparitions!$A$2:$A$5001,A1365,Apparitions!$B$2:$B$5001,B1365))</f>
        <v/>
      </c>
      <c r="F1365" s="27" t="str">
        <f aca="false">IF(A1365="","",A1365&amp;"|"&amp;B1365)</f>
        <v/>
      </c>
    </row>
    <row r="1366" customFormat="false" ht="15" hidden="false" customHeight="false" outlineLevel="0" collapsed="false">
      <c r="A1366" s="19"/>
      <c r="B1366" s="19"/>
      <c r="C1366" s="20"/>
      <c r="D1366" s="19"/>
      <c r="E1366" s="26" t="str">
        <f aca="false">IF(A1366="","",COUNTIFS(Apparitions!$A$2:$A$5001,A1366,Apparitions!$B$2:$B$5001,B1366))</f>
        <v/>
      </c>
      <c r="F1366" s="27" t="str">
        <f aca="false">IF(A1366="","",A1366&amp;"|"&amp;B1366)</f>
        <v/>
      </c>
    </row>
    <row r="1367" customFormat="false" ht="15" hidden="false" customHeight="false" outlineLevel="0" collapsed="false">
      <c r="A1367" s="19"/>
      <c r="B1367" s="19"/>
      <c r="C1367" s="20"/>
      <c r="D1367" s="19"/>
      <c r="E1367" s="26" t="str">
        <f aca="false">IF(A1367="","",COUNTIFS(Apparitions!$A$2:$A$5001,A1367,Apparitions!$B$2:$B$5001,B1367))</f>
        <v/>
      </c>
      <c r="F1367" s="27" t="str">
        <f aca="false">IF(A1367="","",A1367&amp;"|"&amp;B1367)</f>
        <v/>
      </c>
    </row>
    <row r="1368" customFormat="false" ht="15" hidden="false" customHeight="false" outlineLevel="0" collapsed="false">
      <c r="A1368" s="19"/>
      <c r="B1368" s="19"/>
      <c r="C1368" s="20"/>
      <c r="D1368" s="19"/>
      <c r="E1368" s="26" t="str">
        <f aca="false">IF(A1368="","",COUNTIFS(Apparitions!$A$2:$A$5001,A1368,Apparitions!$B$2:$B$5001,B1368))</f>
        <v/>
      </c>
      <c r="F1368" s="27" t="str">
        <f aca="false">IF(A1368="","",A1368&amp;"|"&amp;B1368)</f>
        <v/>
      </c>
    </row>
    <row r="1369" customFormat="false" ht="15" hidden="false" customHeight="false" outlineLevel="0" collapsed="false">
      <c r="A1369" s="19"/>
      <c r="B1369" s="19"/>
      <c r="C1369" s="20"/>
      <c r="D1369" s="19"/>
      <c r="E1369" s="26" t="str">
        <f aca="false">IF(A1369="","",COUNTIFS(Apparitions!$A$2:$A$5001,A1369,Apparitions!$B$2:$B$5001,B1369))</f>
        <v/>
      </c>
      <c r="F1369" s="27" t="str">
        <f aca="false">IF(A1369="","",A1369&amp;"|"&amp;B1369)</f>
        <v/>
      </c>
    </row>
    <row r="1370" customFormat="false" ht="15" hidden="false" customHeight="false" outlineLevel="0" collapsed="false">
      <c r="A1370" s="19"/>
      <c r="B1370" s="19"/>
      <c r="C1370" s="20"/>
      <c r="D1370" s="19"/>
      <c r="E1370" s="26" t="str">
        <f aca="false">IF(A1370="","",COUNTIFS(Apparitions!$A$2:$A$5001,A1370,Apparitions!$B$2:$B$5001,B1370))</f>
        <v/>
      </c>
      <c r="F1370" s="27" t="str">
        <f aca="false">IF(A1370="","",A1370&amp;"|"&amp;B1370)</f>
        <v/>
      </c>
    </row>
    <row r="1371" customFormat="false" ht="15" hidden="false" customHeight="false" outlineLevel="0" collapsed="false">
      <c r="A1371" s="19"/>
      <c r="B1371" s="19"/>
      <c r="C1371" s="20"/>
      <c r="D1371" s="19"/>
      <c r="E1371" s="26" t="str">
        <f aca="false">IF(A1371="","",COUNTIFS(Apparitions!$A$2:$A$5001,A1371,Apparitions!$B$2:$B$5001,B1371))</f>
        <v/>
      </c>
      <c r="F1371" s="27" t="str">
        <f aca="false">IF(A1371="","",A1371&amp;"|"&amp;B1371)</f>
        <v/>
      </c>
    </row>
    <row r="1372" customFormat="false" ht="15" hidden="false" customHeight="false" outlineLevel="0" collapsed="false">
      <c r="A1372" s="19"/>
      <c r="B1372" s="19"/>
      <c r="C1372" s="20"/>
      <c r="D1372" s="19"/>
      <c r="E1372" s="26" t="str">
        <f aca="false">IF(A1372="","",COUNTIFS(Apparitions!$A$2:$A$5001,A1372,Apparitions!$B$2:$B$5001,B1372))</f>
        <v/>
      </c>
      <c r="F1372" s="27" t="str">
        <f aca="false">IF(A1372="","",A1372&amp;"|"&amp;B1372)</f>
        <v/>
      </c>
    </row>
    <row r="1373" customFormat="false" ht="15" hidden="false" customHeight="false" outlineLevel="0" collapsed="false">
      <c r="A1373" s="19"/>
      <c r="B1373" s="19"/>
      <c r="C1373" s="20"/>
      <c r="D1373" s="19"/>
      <c r="E1373" s="26" t="str">
        <f aca="false">IF(A1373="","",COUNTIFS(Apparitions!$A$2:$A$5001,A1373,Apparitions!$B$2:$B$5001,B1373))</f>
        <v/>
      </c>
      <c r="F1373" s="27" t="str">
        <f aca="false">IF(A1373="","",A1373&amp;"|"&amp;B1373)</f>
        <v/>
      </c>
    </row>
    <row r="1374" customFormat="false" ht="15" hidden="false" customHeight="false" outlineLevel="0" collapsed="false">
      <c r="A1374" s="19"/>
      <c r="B1374" s="19"/>
      <c r="C1374" s="20"/>
      <c r="D1374" s="19"/>
      <c r="E1374" s="26" t="str">
        <f aca="false">IF(A1374="","",COUNTIFS(Apparitions!$A$2:$A$5001,A1374,Apparitions!$B$2:$B$5001,B1374))</f>
        <v/>
      </c>
      <c r="F1374" s="27" t="str">
        <f aca="false">IF(A1374="","",A1374&amp;"|"&amp;B1374)</f>
        <v/>
      </c>
    </row>
    <row r="1375" customFormat="false" ht="15" hidden="false" customHeight="false" outlineLevel="0" collapsed="false">
      <c r="A1375" s="19"/>
      <c r="B1375" s="19"/>
      <c r="C1375" s="20"/>
      <c r="D1375" s="19"/>
      <c r="E1375" s="26" t="str">
        <f aca="false">IF(A1375="","",COUNTIFS(Apparitions!$A$2:$A$5001,A1375,Apparitions!$B$2:$B$5001,B1375))</f>
        <v/>
      </c>
      <c r="F1375" s="27" t="str">
        <f aca="false">IF(A1375="","",A1375&amp;"|"&amp;B1375)</f>
        <v/>
      </c>
    </row>
    <row r="1376" customFormat="false" ht="15" hidden="false" customHeight="false" outlineLevel="0" collapsed="false">
      <c r="A1376" s="19"/>
      <c r="B1376" s="19"/>
      <c r="C1376" s="20"/>
      <c r="D1376" s="19"/>
      <c r="E1376" s="26" t="str">
        <f aca="false">IF(A1376="","",COUNTIFS(Apparitions!$A$2:$A$5001,A1376,Apparitions!$B$2:$B$5001,B1376))</f>
        <v/>
      </c>
      <c r="F1376" s="27" t="str">
        <f aca="false">IF(A1376="","",A1376&amp;"|"&amp;B1376)</f>
        <v/>
      </c>
    </row>
    <row r="1377" customFormat="false" ht="15" hidden="false" customHeight="false" outlineLevel="0" collapsed="false">
      <c r="A1377" s="19"/>
      <c r="B1377" s="19"/>
      <c r="C1377" s="20"/>
      <c r="D1377" s="19"/>
      <c r="E1377" s="26" t="str">
        <f aca="false">IF(A1377="","",COUNTIFS(Apparitions!$A$2:$A$5001,A1377,Apparitions!$B$2:$B$5001,B1377))</f>
        <v/>
      </c>
      <c r="F1377" s="27" t="str">
        <f aca="false">IF(A1377="","",A1377&amp;"|"&amp;B1377)</f>
        <v/>
      </c>
    </row>
    <row r="1378" customFormat="false" ht="15" hidden="false" customHeight="false" outlineLevel="0" collapsed="false">
      <c r="A1378" s="19"/>
      <c r="B1378" s="19"/>
      <c r="C1378" s="20"/>
      <c r="D1378" s="19"/>
      <c r="E1378" s="26" t="str">
        <f aca="false">IF(A1378="","",COUNTIFS(Apparitions!$A$2:$A$5001,A1378,Apparitions!$B$2:$B$5001,B1378))</f>
        <v/>
      </c>
      <c r="F1378" s="27" t="str">
        <f aca="false">IF(A1378="","",A1378&amp;"|"&amp;B1378)</f>
        <v/>
      </c>
    </row>
    <row r="1379" customFormat="false" ht="15" hidden="false" customHeight="false" outlineLevel="0" collapsed="false">
      <c r="A1379" s="19"/>
      <c r="B1379" s="19"/>
      <c r="C1379" s="20"/>
      <c r="D1379" s="19"/>
      <c r="E1379" s="26" t="str">
        <f aca="false">IF(A1379="","",COUNTIFS(Apparitions!$A$2:$A$5001,A1379,Apparitions!$B$2:$B$5001,B1379))</f>
        <v/>
      </c>
      <c r="F1379" s="27" t="str">
        <f aca="false">IF(A1379="","",A1379&amp;"|"&amp;B1379)</f>
        <v/>
      </c>
    </row>
    <row r="1380" customFormat="false" ht="15" hidden="false" customHeight="false" outlineLevel="0" collapsed="false">
      <c r="A1380" s="19"/>
      <c r="B1380" s="19"/>
      <c r="C1380" s="20"/>
      <c r="D1380" s="19"/>
      <c r="E1380" s="26" t="str">
        <f aca="false">IF(A1380="","",COUNTIFS(Apparitions!$A$2:$A$5001,A1380,Apparitions!$B$2:$B$5001,B1380))</f>
        <v/>
      </c>
      <c r="F1380" s="27" t="str">
        <f aca="false">IF(A1380="","",A1380&amp;"|"&amp;B1380)</f>
        <v/>
      </c>
    </row>
    <row r="1381" customFormat="false" ht="15" hidden="false" customHeight="false" outlineLevel="0" collapsed="false">
      <c r="A1381" s="19"/>
      <c r="B1381" s="19"/>
      <c r="C1381" s="20"/>
      <c r="D1381" s="19"/>
      <c r="E1381" s="26" t="str">
        <f aca="false">IF(A1381="","",COUNTIFS(Apparitions!$A$2:$A$5001,A1381,Apparitions!$B$2:$B$5001,B1381))</f>
        <v/>
      </c>
      <c r="F1381" s="27" t="str">
        <f aca="false">IF(A1381="","",A1381&amp;"|"&amp;B1381)</f>
        <v/>
      </c>
    </row>
    <row r="1382" customFormat="false" ht="15" hidden="false" customHeight="false" outlineLevel="0" collapsed="false">
      <c r="A1382" s="19"/>
      <c r="B1382" s="19"/>
      <c r="C1382" s="20"/>
      <c r="D1382" s="19"/>
      <c r="E1382" s="26" t="str">
        <f aca="false">IF(A1382="","",COUNTIFS(Apparitions!$A$2:$A$5001,A1382,Apparitions!$B$2:$B$5001,B1382))</f>
        <v/>
      </c>
      <c r="F1382" s="27" t="str">
        <f aca="false">IF(A1382="","",A1382&amp;"|"&amp;B1382)</f>
        <v/>
      </c>
    </row>
    <row r="1383" customFormat="false" ht="15" hidden="false" customHeight="false" outlineLevel="0" collapsed="false">
      <c r="A1383" s="19"/>
      <c r="B1383" s="19"/>
      <c r="C1383" s="20"/>
      <c r="D1383" s="19"/>
      <c r="E1383" s="26" t="str">
        <f aca="false">IF(A1383="","",COUNTIFS(Apparitions!$A$2:$A$5001,A1383,Apparitions!$B$2:$B$5001,B1383))</f>
        <v/>
      </c>
      <c r="F1383" s="27" t="str">
        <f aca="false">IF(A1383="","",A1383&amp;"|"&amp;B1383)</f>
        <v/>
      </c>
    </row>
    <row r="1384" customFormat="false" ht="15" hidden="false" customHeight="false" outlineLevel="0" collapsed="false">
      <c r="A1384" s="19"/>
      <c r="B1384" s="19"/>
      <c r="C1384" s="20"/>
      <c r="D1384" s="19"/>
      <c r="E1384" s="26" t="str">
        <f aca="false">IF(A1384="","",COUNTIFS(Apparitions!$A$2:$A$5001,A1384,Apparitions!$B$2:$B$5001,B1384))</f>
        <v/>
      </c>
      <c r="F1384" s="27" t="str">
        <f aca="false">IF(A1384="","",A1384&amp;"|"&amp;B1384)</f>
        <v/>
      </c>
    </row>
    <row r="1385" customFormat="false" ht="15" hidden="false" customHeight="false" outlineLevel="0" collapsed="false">
      <c r="A1385" s="19"/>
      <c r="B1385" s="19"/>
      <c r="C1385" s="20"/>
      <c r="D1385" s="19"/>
      <c r="E1385" s="26" t="str">
        <f aca="false">IF(A1385="","",COUNTIFS(Apparitions!$A$2:$A$5001,A1385,Apparitions!$B$2:$B$5001,B1385))</f>
        <v/>
      </c>
      <c r="F1385" s="27" t="str">
        <f aca="false">IF(A1385="","",A1385&amp;"|"&amp;B1385)</f>
        <v/>
      </c>
    </row>
    <row r="1386" customFormat="false" ht="15" hidden="false" customHeight="false" outlineLevel="0" collapsed="false">
      <c r="A1386" s="19"/>
      <c r="B1386" s="19"/>
      <c r="C1386" s="20"/>
      <c r="D1386" s="19"/>
      <c r="E1386" s="26" t="str">
        <f aca="false">IF(A1386="","",COUNTIFS(Apparitions!$A$2:$A$5001,A1386,Apparitions!$B$2:$B$5001,B1386))</f>
        <v/>
      </c>
      <c r="F1386" s="27" t="str">
        <f aca="false">IF(A1386="","",A1386&amp;"|"&amp;B1386)</f>
        <v/>
      </c>
    </row>
    <row r="1387" customFormat="false" ht="15" hidden="false" customHeight="false" outlineLevel="0" collapsed="false">
      <c r="A1387" s="19"/>
      <c r="B1387" s="19"/>
      <c r="C1387" s="20"/>
      <c r="D1387" s="19"/>
      <c r="E1387" s="26" t="str">
        <f aca="false">IF(A1387="","",COUNTIFS(Apparitions!$A$2:$A$5001,A1387,Apparitions!$B$2:$B$5001,B1387))</f>
        <v/>
      </c>
      <c r="F1387" s="27" t="str">
        <f aca="false">IF(A1387="","",A1387&amp;"|"&amp;B1387)</f>
        <v/>
      </c>
    </row>
    <row r="1388" customFormat="false" ht="15" hidden="false" customHeight="false" outlineLevel="0" collapsed="false">
      <c r="A1388" s="19"/>
      <c r="B1388" s="19"/>
      <c r="C1388" s="20"/>
      <c r="D1388" s="19"/>
      <c r="E1388" s="26" t="str">
        <f aca="false">IF(A1388="","",COUNTIFS(Apparitions!$A$2:$A$5001,A1388,Apparitions!$B$2:$B$5001,B1388))</f>
        <v/>
      </c>
      <c r="F1388" s="27" t="str">
        <f aca="false">IF(A1388="","",A1388&amp;"|"&amp;B1388)</f>
        <v/>
      </c>
    </row>
    <row r="1389" customFormat="false" ht="15" hidden="false" customHeight="false" outlineLevel="0" collapsed="false">
      <c r="A1389" s="19"/>
      <c r="B1389" s="19"/>
      <c r="C1389" s="20"/>
      <c r="D1389" s="19"/>
      <c r="E1389" s="26" t="str">
        <f aca="false">IF(A1389="","",COUNTIFS(Apparitions!$A$2:$A$5001,A1389,Apparitions!$B$2:$B$5001,B1389))</f>
        <v/>
      </c>
      <c r="F1389" s="27" t="str">
        <f aca="false">IF(A1389="","",A1389&amp;"|"&amp;B1389)</f>
        <v/>
      </c>
    </row>
    <row r="1390" customFormat="false" ht="15" hidden="false" customHeight="false" outlineLevel="0" collapsed="false">
      <c r="A1390" s="19"/>
      <c r="B1390" s="19"/>
      <c r="C1390" s="20"/>
      <c r="D1390" s="19"/>
      <c r="E1390" s="26" t="str">
        <f aca="false">IF(A1390="","",COUNTIFS(Apparitions!$A$2:$A$5001,A1390,Apparitions!$B$2:$B$5001,B1390))</f>
        <v/>
      </c>
      <c r="F1390" s="27" t="str">
        <f aca="false">IF(A1390="","",A1390&amp;"|"&amp;B1390)</f>
        <v/>
      </c>
    </row>
    <row r="1391" customFormat="false" ht="15" hidden="false" customHeight="false" outlineLevel="0" collapsed="false">
      <c r="A1391" s="19"/>
      <c r="B1391" s="19"/>
      <c r="C1391" s="20"/>
      <c r="D1391" s="19"/>
      <c r="E1391" s="26" t="str">
        <f aca="false">IF(A1391="","",COUNTIFS(Apparitions!$A$2:$A$5001,A1391,Apparitions!$B$2:$B$5001,B1391))</f>
        <v/>
      </c>
      <c r="F1391" s="27" t="str">
        <f aca="false">IF(A1391="","",A1391&amp;"|"&amp;B1391)</f>
        <v/>
      </c>
    </row>
    <row r="1392" customFormat="false" ht="15" hidden="false" customHeight="false" outlineLevel="0" collapsed="false">
      <c r="A1392" s="19"/>
      <c r="B1392" s="19"/>
      <c r="C1392" s="20"/>
      <c r="D1392" s="19"/>
      <c r="E1392" s="26" t="str">
        <f aca="false">IF(A1392="","",COUNTIFS(Apparitions!$A$2:$A$5001,A1392,Apparitions!$B$2:$B$5001,B1392))</f>
        <v/>
      </c>
      <c r="F1392" s="27" t="str">
        <f aca="false">IF(A1392="","",A1392&amp;"|"&amp;B1392)</f>
        <v/>
      </c>
    </row>
    <row r="1393" customFormat="false" ht="15" hidden="false" customHeight="false" outlineLevel="0" collapsed="false">
      <c r="A1393" s="19"/>
      <c r="B1393" s="19"/>
      <c r="C1393" s="20"/>
      <c r="D1393" s="19"/>
      <c r="E1393" s="26" t="str">
        <f aca="false">IF(A1393="","",COUNTIFS(Apparitions!$A$2:$A$5001,A1393,Apparitions!$B$2:$B$5001,B1393))</f>
        <v/>
      </c>
      <c r="F1393" s="27" t="str">
        <f aca="false">IF(A1393="","",A1393&amp;"|"&amp;B1393)</f>
        <v/>
      </c>
    </row>
    <row r="1394" customFormat="false" ht="15" hidden="false" customHeight="false" outlineLevel="0" collapsed="false">
      <c r="A1394" s="19"/>
      <c r="B1394" s="19"/>
      <c r="C1394" s="20"/>
      <c r="D1394" s="19"/>
      <c r="E1394" s="26" t="str">
        <f aca="false">IF(A1394="","",COUNTIFS(Apparitions!$A$2:$A$5001,A1394,Apparitions!$B$2:$B$5001,B1394))</f>
        <v/>
      </c>
      <c r="F1394" s="27" t="str">
        <f aca="false">IF(A1394="","",A1394&amp;"|"&amp;B1394)</f>
        <v/>
      </c>
    </row>
    <row r="1395" customFormat="false" ht="15" hidden="false" customHeight="false" outlineLevel="0" collapsed="false">
      <c r="A1395" s="19"/>
      <c r="B1395" s="19"/>
      <c r="C1395" s="20"/>
      <c r="D1395" s="19"/>
      <c r="E1395" s="26" t="str">
        <f aca="false">IF(A1395="","",COUNTIFS(Apparitions!$A$2:$A$5001,A1395,Apparitions!$B$2:$B$5001,B1395))</f>
        <v/>
      </c>
      <c r="F1395" s="27" t="str">
        <f aca="false">IF(A1395="","",A1395&amp;"|"&amp;B1395)</f>
        <v/>
      </c>
    </row>
    <row r="1396" customFormat="false" ht="15" hidden="false" customHeight="false" outlineLevel="0" collapsed="false">
      <c r="A1396" s="19"/>
      <c r="B1396" s="19"/>
      <c r="C1396" s="20"/>
      <c r="D1396" s="19"/>
      <c r="E1396" s="26" t="str">
        <f aca="false">IF(A1396="","",COUNTIFS(Apparitions!$A$2:$A$5001,A1396,Apparitions!$B$2:$B$5001,B1396))</f>
        <v/>
      </c>
      <c r="F1396" s="27" t="str">
        <f aca="false">IF(A1396="","",A1396&amp;"|"&amp;B1396)</f>
        <v/>
      </c>
    </row>
    <row r="1397" customFormat="false" ht="15" hidden="false" customHeight="false" outlineLevel="0" collapsed="false">
      <c r="A1397" s="19"/>
      <c r="B1397" s="19"/>
      <c r="C1397" s="20"/>
      <c r="D1397" s="19"/>
      <c r="E1397" s="26" t="str">
        <f aca="false">IF(A1397="","",COUNTIFS(Apparitions!$A$2:$A$5001,A1397,Apparitions!$B$2:$B$5001,B1397))</f>
        <v/>
      </c>
      <c r="F1397" s="27" t="str">
        <f aca="false">IF(A1397="","",A1397&amp;"|"&amp;B1397)</f>
        <v/>
      </c>
    </row>
    <row r="1398" customFormat="false" ht="15" hidden="false" customHeight="false" outlineLevel="0" collapsed="false">
      <c r="A1398" s="19"/>
      <c r="B1398" s="19"/>
      <c r="C1398" s="20"/>
      <c r="D1398" s="19"/>
      <c r="E1398" s="26" t="str">
        <f aca="false">IF(A1398="","",COUNTIFS(Apparitions!$A$2:$A$5001,A1398,Apparitions!$B$2:$B$5001,B1398))</f>
        <v/>
      </c>
      <c r="F1398" s="27" t="str">
        <f aca="false">IF(A1398="","",A1398&amp;"|"&amp;B1398)</f>
        <v/>
      </c>
    </row>
    <row r="1399" customFormat="false" ht="15" hidden="false" customHeight="false" outlineLevel="0" collapsed="false">
      <c r="A1399" s="19"/>
      <c r="B1399" s="19"/>
      <c r="C1399" s="20"/>
      <c r="D1399" s="19"/>
      <c r="E1399" s="26" t="str">
        <f aca="false">IF(A1399="","",COUNTIFS(Apparitions!$A$2:$A$5001,A1399,Apparitions!$B$2:$B$5001,B1399))</f>
        <v/>
      </c>
      <c r="F1399" s="27" t="str">
        <f aca="false">IF(A1399="","",A1399&amp;"|"&amp;B1399)</f>
        <v/>
      </c>
    </row>
    <row r="1400" customFormat="false" ht="15" hidden="false" customHeight="false" outlineLevel="0" collapsed="false">
      <c r="A1400" s="19"/>
      <c r="B1400" s="19"/>
      <c r="C1400" s="20"/>
      <c r="D1400" s="19"/>
      <c r="E1400" s="26" t="str">
        <f aca="false">IF(A1400="","",COUNTIFS(Apparitions!$A$2:$A$5001,A1400,Apparitions!$B$2:$B$5001,B1400))</f>
        <v/>
      </c>
      <c r="F1400" s="27" t="str">
        <f aca="false">IF(A1400="","",A1400&amp;"|"&amp;B1400)</f>
        <v/>
      </c>
    </row>
    <row r="1401" customFormat="false" ht="15" hidden="false" customHeight="false" outlineLevel="0" collapsed="false">
      <c r="A1401" s="19"/>
      <c r="B1401" s="19"/>
      <c r="C1401" s="20"/>
      <c r="D1401" s="19"/>
      <c r="E1401" s="26" t="str">
        <f aca="false">IF(A1401="","",COUNTIFS(Apparitions!$A$2:$A$5001,A1401,Apparitions!$B$2:$B$5001,B1401))</f>
        <v/>
      </c>
      <c r="F1401" s="27" t="str">
        <f aca="false">IF(A1401="","",A1401&amp;"|"&amp;B1401)</f>
        <v/>
      </c>
    </row>
    <row r="1402" customFormat="false" ht="15" hidden="false" customHeight="false" outlineLevel="0" collapsed="false">
      <c r="A1402" s="19"/>
      <c r="B1402" s="19"/>
      <c r="C1402" s="20"/>
      <c r="D1402" s="19"/>
      <c r="E1402" s="26" t="str">
        <f aca="false">IF(A1402="","",COUNTIFS(Apparitions!$A$2:$A$5001,A1402,Apparitions!$B$2:$B$5001,B1402))</f>
        <v/>
      </c>
      <c r="F1402" s="27" t="str">
        <f aca="false">IF(A1402="","",A1402&amp;"|"&amp;B1402)</f>
        <v/>
      </c>
    </row>
    <row r="1403" customFormat="false" ht="15" hidden="false" customHeight="false" outlineLevel="0" collapsed="false">
      <c r="A1403" s="19"/>
      <c r="B1403" s="19"/>
      <c r="C1403" s="20"/>
      <c r="D1403" s="19"/>
      <c r="E1403" s="26" t="str">
        <f aca="false">IF(A1403="","",COUNTIFS(Apparitions!$A$2:$A$5001,A1403,Apparitions!$B$2:$B$5001,B1403))</f>
        <v/>
      </c>
      <c r="F1403" s="27" t="str">
        <f aca="false">IF(A1403="","",A1403&amp;"|"&amp;B1403)</f>
        <v/>
      </c>
    </row>
    <row r="1404" customFormat="false" ht="15" hidden="false" customHeight="false" outlineLevel="0" collapsed="false">
      <c r="A1404" s="19"/>
      <c r="B1404" s="19"/>
      <c r="C1404" s="20"/>
      <c r="D1404" s="19"/>
      <c r="E1404" s="26" t="str">
        <f aca="false">IF(A1404="","",COUNTIFS(Apparitions!$A$2:$A$5001,A1404,Apparitions!$B$2:$B$5001,B1404))</f>
        <v/>
      </c>
      <c r="F1404" s="27" t="str">
        <f aca="false">IF(A1404="","",A1404&amp;"|"&amp;B1404)</f>
        <v/>
      </c>
    </row>
    <row r="1405" customFormat="false" ht="15" hidden="false" customHeight="false" outlineLevel="0" collapsed="false">
      <c r="A1405" s="19"/>
      <c r="B1405" s="19"/>
      <c r="C1405" s="20"/>
      <c r="D1405" s="19"/>
      <c r="E1405" s="26" t="str">
        <f aca="false">IF(A1405="","",COUNTIFS(Apparitions!$A$2:$A$5001,A1405,Apparitions!$B$2:$B$5001,B1405))</f>
        <v/>
      </c>
      <c r="F1405" s="27" t="str">
        <f aca="false">IF(A1405="","",A1405&amp;"|"&amp;B1405)</f>
        <v/>
      </c>
    </row>
    <row r="1406" customFormat="false" ht="15" hidden="false" customHeight="false" outlineLevel="0" collapsed="false">
      <c r="A1406" s="19"/>
      <c r="B1406" s="19"/>
      <c r="C1406" s="20"/>
      <c r="D1406" s="19"/>
      <c r="E1406" s="26" t="str">
        <f aca="false">IF(A1406="","",COUNTIFS(Apparitions!$A$2:$A$5001,A1406,Apparitions!$B$2:$B$5001,B1406))</f>
        <v/>
      </c>
      <c r="F1406" s="27" t="str">
        <f aca="false">IF(A1406="","",A1406&amp;"|"&amp;B1406)</f>
        <v/>
      </c>
    </row>
    <row r="1407" customFormat="false" ht="15" hidden="false" customHeight="false" outlineLevel="0" collapsed="false">
      <c r="A1407" s="19"/>
      <c r="B1407" s="19"/>
      <c r="C1407" s="20"/>
      <c r="D1407" s="19"/>
      <c r="E1407" s="26" t="str">
        <f aca="false">IF(A1407="","",COUNTIFS(Apparitions!$A$2:$A$5001,A1407,Apparitions!$B$2:$B$5001,B1407))</f>
        <v/>
      </c>
      <c r="F1407" s="27" t="str">
        <f aca="false">IF(A1407="","",A1407&amp;"|"&amp;B1407)</f>
        <v/>
      </c>
    </row>
    <row r="1408" customFormat="false" ht="15" hidden="false" customHeight="false" outlineLevel="0" collapsed="false">
      <c r="A1408" s="19"/>
      <c r="B1408" s="19"/>
      <c r="C1408" s="20"/>
      <c r="D1408" s="19"/>
      <c r="E1408" s="26" t="str">
        <f aca="false">IF(A1408="","",COUNTIFS(Apparitions!$A$2:$A$5001,A1408,Apparitions!$B$2:$B$5001,B1408))</f>
        <v/>
      </c>
      <c r="F1408" s="27" t="str">
        <f aca="false">IF(A1408="","",A1408&amp;"|"&amp;B1408)</f>
        <v/>
      </c>
    </row>
    <row r="1409" customFormat="false" ht="15" hidden="false" customHeight="false" outlineLevel="0" collapsed="false">
      <c r="A1409" s="19"/>
      <c r="B1409" s="19"/>
      <c r="C1409" s="20"/>
      <c r="D1409" s="19"/>
      <c r="E1409" s="26" t="str">
        <f aca="false">IF(A1409="","",COUNTIFS(Apparitions!$A$2:$A$5001,A1409,Apparitions!$B$2:$B$5001,B1409))</f>
        <v/>
      </c>
      <c r="F1409" s="27" t="str">
        <f aca="false">IF(A1409="","",A1409&amp;"|"&amp;B1409)</f>
        <v/>
      </c>
    </row>
    <row r="1410" customFormat="false" ht="15" hidden="false" customHeight="false" outlineLevel="0" collapsed="false">
      <c r="A1410" s="19"/>
      <c r="B1410" s="19"/>
      <c r="C1410" s="20"/>
      <c r="D1410" s="19"/>
      <c r="E1410" s="26" t="str">
        <f aca="false">IF(A1410="","",COUNTIFS(Apparitions!$A$2:$A$5001,A1410,Apparitions!$B$2:$B$5001,B1410))</f>
        <v/>
      </c>
      <c r="F1410" s="27" t="str">
        <f aca="false">IF(A1410="","",A1410&amp;"|"&amp;B1410)</f>
        <v/>
      </c>
    </row>
    <row r="1411" customFormat="false" ht="15" hidden="false" customHeight="false" outlineLevel="0" collapsed="false">
      <c r="A1411" s="19"/>
      <c r="B1411" s="19"/>
      <c r="C1411" s="20"/>
      <c r="D1411" s="19"/>
      <c r="E1411" s="26" t="str">
        <f aca="false">IF(A1411="","",COUNTIFS(Apparitions!$A$2:$A$5001,A1411,Apparitions!$B$2:$B$5001,B1411))</f>
        <v/>
      </c>
      <c r="F1411" s="27" t="str">
        <f aca="false">IF(A1411="","",A1411&amp;"|"&amp;B1411)</f>
        <v/>
      </c>
    </row>
    <row r="1412" customFormat="false" ht="15" hidden="false" customHeight="false" outlineLevel="0" collapsed="false">
      <c r="A1412" s="19"/>
      <c r="B1412" s="19"/>
      <c r="C1412" s="20"/>
      <c r="D1412" s="19"/>
      <c r="E1412" s="26" t="str">
        <f aca="false">IF(A1412="","",COUNTIFS(Apparitions!$A$2:$A$5001,A1412,Apparitions!$B$2:$B$5001,B1412))</f>
        <v/>
      </c>
      <c r="F1412" s="27" t="str">
        <f aca="false">IF(A1412="","",A1412&amp;"|"&amp;B1412)</f>
        <v/>
      </c>
    </row>
    <row r="1413" customFormat="false" ht="15" hidden="false" customHeight="false" outlineLevel="0" collapsed="false">
      <c r="A1413" s="19"/>
      <c r="B1413" s="19"/>
      <c r="C1413" s="20"/>
      <c r="D1413" s="19"/>
      <c r="E1413" s="26" t="str">
        <f aca="false">IF(A1413="","",COUNTIFS(Apparitions!$A$2:$A$5001,A1413,Apparitions!$B$2:$B$5001,B1413))</f>
        <v/>
      </c>
      <c r="F1413" s="27" t="str">
        <f aca="false">IF(A1413="","",A1413&amp;"|"&amp;B1413)</f>
        <v/>
      </c>
    </row>
    <row r="1414" customFormat="false" ht="15" hidden="false" customHeight="false" outlineLevel="0" collapsed="false">
      <c r="A1414" s="19"/>
      <c r="B1414" s="19"/>
      <c r="C1414" s="20"/>
      <c r="D1414" s="19"/>
      <c r="E1414" s="26" t="str">
        <f aca="false">IF(A1414="","",COUNTIFS(Apparitions!$A$2:$A$5001,A1414,Apparitions!$B$2:$B$5001,B1414))</f>
        <v/>
      </c>
      <c r="F1414" s="27" t="str">
        <f aca="false">IF(A1414="","",A1414&amp;"|"&amp;B1414)</f>
        <v/>
      </c>
    </row>
    <row r="1415" customFormat="false" ht="15" hidden="false" customHeight="false" outlineLevel="0" collapsed="false">
      <c r="A1415" s="19"/>
      <c r="B1415" s="19"/>
      <c r="C1415" s="20"/>
      <c r="D1415" s="19"/>
      <c r="E1415" s="26" t="str">
        <f aca="false">IF(A1415="","",COUNTIFS(Apparitions!$A$2:$A$5001,A1415,Apparitions!$B$2:$B$5001,B1415))</f>
        <v/>
      </c>
      <c r="F1415" s="27" t="str">
        <f aca="false">IF(A1415="","",A1415&amp;"|"&amp;B1415)</f>
        <v/>
      </c>
    </row>
    <row r="1416" customFormat="false" ht="15" hidden="false" customHeight="false" outlineLevel="0" collapsed="false">
      <c r="A1416" s="19"/>
      <c r="B1416" s="19"/>
      <c r="C1416" s="20"/>
      <c r="D1416" s="19"/>
      <c r="E1416" s="26" t="str">
        <f aca="false">IF(A1416="","",COUNTIFS(Apparitions!$A$2:$A$5001,A1416,Apparitions!$B$2:$B$5001,B1416))</f>
        <v/>
      </c>
      <c r="F1416" s="27" t="str">
        <f aca="false">IF(A1416="","",A1416&amp;"|"&amp;B1416)</f>
        <v/>
      </c>
    </row>
    <row r="1417" customFormat="false" ht="15" hidden="false" customHeight="false" outlineLevel="0" collapsed="false">
      <c r="A1417" s="19"/>
      <c r="B1417" s="19"/>
      <c r="C1417" s="20"/>
      <c r="D1417" s="19"/>
      <c r="E1417" s="26" t="str">
        <f aca="false">IF(A1417="","",COUNTIFS(Apparitions!$A$2:$A$5001,A1417,Apparitions!$B$2:$B$5001,B1417))</f>
        <v/>
      </c>
      <c r="F1417" s="27" t="str">
        <f aca="false">IF(A1417="","",A1417&amp;"|"&amp;B1417)</f>
        <v/>
      </c>
    </row>
    <row r="1418" customFormat="false" ht="15" hidden="false" customHeight="false" outlineLevel="0" collapsed="false">
      <c r="A1418" s="19"/>
      <c r="B1418" s="19"/>
      <c r="C1418" s="20"/>
      <c r="D1418" s="19"/>
      <c r="E1418" s="26" t="str">
        <f aca="false">IF(A1418="","",COUNTIFS(Apparitions!$A$2:$A$5001,A1418,Apparitions!$B$2:$B$5001,B1418))</f>
        <v/>
      </c>
      <c r="F1418" s="27" t="str">
        <f aca="false">IF(A1418="","",A1418&amp;"|"&amp;B1418)</f>
        <v/>
      </c>
    </row>
    <row r="1419" customFormat="false" ht="15" hidden="false" customHeight="false" outlineLevel="0" collapsed="false">
      <c r="A1419" s="19"/>
      <c r="B1419" s="19"/>
      <c r="C1419" s="20"/>
      <c r="D1419" s="19"/>
      <c r="E1419" s="26" t="str">
        <f aca="false">IF(A1419="","",COUNTIFS(Apparitions!$A$2:$A$5001,A1419,Apparitions!$B$2:$B$5001,B1419))</f>
        <v/>
      </c>
      <c r="F1419" s="27" t="str">
        <f aca="false">IF(A1419="","",A1419&amp;"|"&amp;B1419)</f>
        <v/>
      </c>
    </row>
    <row r="1420" customFormat="false" ht="15" hidden="false" customHeight="false" outlineLevel="0" collapsed="false">
      <c r="A1420" s="19"/>
      <c r="B1420" s="19"/>
      <c r="C1420" s="20"/>
      <c r="D1420" s="19"/>
      <c r="E1420" s="26" t="str">
        <f aca="false">IF(A1420="","",COUNTIFS(Apparitions!$A$2:$A$5001,A1420,Apparitions!$B$2:$B$5001,B1420))</f>
        <v/>
      </c>
      <c r="F1420" s="27" t="str">
        <f aca="false">IF(A1420="","",A1420&amp;"|"&amp;B1420)</f>
        <v/>
      </c>
    </row>
    <row r="1421" customFormat="false" ht="15" hidden="false" customHeight="false" outlineLevel="0" collapsed="false">
      <c r="A1421" s="19"/>
      <c r="B1421" s="19"/>
      <c r="C1421" s="20"/>
      <c r="D1421" s="19"/>
      <c r="E1421" s="26" t="str">
        <f aca="false">IF(A1421="","",COUNTIFS(Apparitions!$A$2:$A$5001,A1421,Apparitions!$B$2:$B$5001,B1421))</f>
        <v/>
      </c>
      <c r="F1421" s="27" t="str">
        <f aca="false">IF(A1421="","",A1421&amp;"|"&amp;B1421)</f>
        <v/>
      </c>
    </row>
    <row r="1422" customFormat="false" ht="15" hidden="false" customHeight="false" outlineLevel="0" collapsed="false">
      <c r="A1422" s="19"/>
      <c r="B1422" s="19"/>
      <c r="C1422" s="20"/>
      <c r="D1422" s="19"/>
      <c r="E1422" s="26" t="str">
        <f aca="false">IF(A1422="","",COUNTIFS(Apparitions!$A$2:$A$5001,A1422,Apparitions!$B$2:$B$5001,B1422))</f>
        <v/>
      </c>
      <c r="F1422" s="27" t="str">
        <f aca="false">IF(A1422="","",A1422&amp;"|"&amp;B1422)</f>
        <v/>
      </c>
    </row>
    <row r="1423" customFormat="false" ht="15" hidden="false" customHeight="false" outlineLevel="0" collapsed="false">
      <c r="A1423" s="19"/>
      <c r="B1423" s="19"/>
      <c r="C1423" s="20"/>
      <c r="D1423" s="19"/>
      <c r="E1423" s="26" t="str">
        <f aca="false">IF(A1423="","",COUNTIFS(Apparitions!$A$2:$A$5001,A1423,Apparitions!$B$2:$B$5001,B1423))</f>
        <v/>
      </c>
      <c r="F1423" s="27" t="str">
        <f aca="false">IF(A1423="","",A1423&amp;"|"&amp;B1423)</f>
        <v/>
      </c>
    </row>
    <row r="1424" customFormat="false" ht="15" hidden="false" customHeight="false" outlineLevel="0" collapsed="false">
      <c r="A1424" s="19"/>
      <c r="B1424" s="19"/>
      <c r="C1424" s="20"/>
      <c r="D1424" s="19"/>
      <c r="E1424" s="26" t="str">
        <f aca="false">IF(A1424="","",COUNTIFS(Apparitions!$A$2:$A$5001,A1424,Apparitions!$B$2:$B$5001,B1424))</f>
        <v/>
      </c>
      <c r="F1424" s="27" t="str">
        <f aca="false">IF(A1424="","",A1424&amp;"|"&amp;B1424)</f>
        <v/>
      </c>
    </row>
    <row r="1425" customFormat="false" ht="15" hidden="false" customHeight="false" outlineLevel="0" collapsed="false">
      <c r="A1425" s="19"/>
      <c r="B1425" s="19"/>
      <c r="C1425" s="20"/>
      <c r="D1425" s="19"/>
      <c r="E1425" s="26" t="str">
        <f aca="false">IF(A1425="","",COUNTIFS(Apparitions!$A$2:$A$5001,A1425,Apparitions!$B$2:$B$5001,B1425))</f>
        <v/>
      </c>
      <c r="F1425" s="27" t="str">
        <f aca="false">IF(A1425="","",A1425&amp;"|"&amp;B1425)</f>
        <v/>
      </c>
    </row>
    <row r="1426" customFormat="false" ht="15" hidden="false" customHeight="false" outlineLevel="0" collapsed="false">
      <c r="A1426" s="19"/>
      <c r="B1426" s="19"/>
      <c r="C1426" s="20"/>
      <c r="D1426" s="19"/>
      <c r="E1426" s="26" t="str">
        <f aca="false">IF(A1426="","",COUNTIFS(Apparitions!$A$2:$A$5001,A1426,Apparitions!$B$2:$B$5001,B1426))</f>
        <v/>
      </c>
      <c r="F1426" s="27" t="str">
        <f aca="false">IF(A1426="","",A1426&amp;"|"&amp;B1426)</f>
        <v/>
      </c>
    </row>
    <row r="1427" customFormat="false" ht="15" hidden="false" customHeight="false" outlineLevel="0" collapsed="false">
      <c r="A1427" s="19"/>
      <c r="B1427" s="19"/>
      <c r="C1427" s="20"/>
      <c r="D1427" s="19"/>
      <c r="E1427" s="26" t="str">
        <f aca="false">IF(A1427="","",COUNTIFS(Apparitions!$A$2:$A$5001,A1427,Apparitions!$B$2:$B$5001,B1427))</f>
        <v/>
      </c>
      <c r="F1427" s="27" t="str">
        <f aca="false">IF(A1427="","",A1427&amp;"|"&amp;B1427)</f>
        <v/>
      </c>
    </row>
    <row r="1428" customFormat="false" ht="15" hidden="false" customHeight="false" outlineLevel="0" collapsed="false">
      <c r="A1428" s="19"/>
      <c r="B1428" s="19"/>
      <c r="C1428" s="20"/>
      <c r="D1428" s="19"/>
      <c r="E1428" s="26" t="str">
        <f aca="false">IF(A1428="","",COUNTIFS(Apparitions!$A$2:$A$5001,A1428,Apparitions!$B$2:$B$5001,B1428))</f>
        <v/>
      </c>
      <c r="F1428" s="27" t="str">
        <f aca="false">IF(A1428="","",A1428&amp;"|"&amp;B1428)</f>
        <v/>
      </c>
    </row>
    <row r="1429" customFormat="false" ht="15" hidden="false" customHeight="false" outlineLevel="0" collapsed="false">
      <c r="A1429" s="19"/>
      <c r="B1429" s="19"/>
      <c r="C1429" s="20"/>
      <c r="D1429" s="19"/>
      <c r="E1429" s="26" t="str">
        <f aca="false">IF(A1429="","",COUNTIFS(Apparitions!$A$2:$A$5001,A1429,Apparitions!$B$2:$B$5001,B1429))</f>
        <v/>
      </c>
      <c r="F1429" s="27" t="str">
        <f aca="false">IF(A1429="","",A1429&amp;"|"&amp;B1429)</f>
        <v/>
      </c>
    </row>
    <row r="1430" customFormat="false" ht="15" hidden="false" customHeight="false" outlineLevel="0" collapsed="false">
      <c r="A1430" s="19"/>
      <c r="B1430" s="19"/>
      <c r="C1430" s="20"/>
      <c r="D1430" s="19"/>
      <c r="E1430" s="26" t="str">
        <f aca="false">IF(A1430="","",COUNTIFS(Apparitions!$A$2:$A$5001,A1430,Apparitions!$B$2:$B$5001,B1430))</f>
        <v/>
      </c>
      <c r="F1430" s="27" t="str">
        <f aca="false">IF(A1430="","",A1430&amp;"|"&amp;B1430)</f>
        <v/>
      </c>
    </row>
    <row r="1431" customFormat="false" ht="15" hidden="false" customHeight="false" outlineLevel="0" collapsed="false">
      <c r="A1431" s="19"/>
      <c r="B1431" s="19"/>
      <c r="C1431" s="20"/>
      <c r="D1431" s="19"/>
      <c r="E1431" s="26" t="str">
        <f aca="false">IF(A1431="","",COUNTIFS(Apparitions!$A$2:$A$5001,A1431,Apparitions!$B$2:$B$5001,B1431))</f>
        <v/>
      </c>
      <c r="F1431" s="27" t="str">
        <f aca="false">IF(A1431="","",A1431&amp;"|"&amp;B1431)</f>
        <v/>
      </c>
    </row>
    <row r="1432" customFormat="false" ht="15" hidden="false" customHeight="false" outlineLevel="0" collapsed="false">
      <c r="A1432" s="19"/>
      <c r="B1432" s="19"/>
      <c r="C1432" s="20"/>
      <c r="D1432" s="19"/>
      <c r="E1432" s="26" t="str">
        <f aca="false">IF(A1432="","",COUNTIFS(Apparitions!$A$2:$A$5001,A1432,Apparitions!$B$2:$B$5001,B1432))</f>
        <v/>
      </c>
      <c r="F1432" s="27" t="str">
        <f aca="false">IF(A1432="","",A1432&amp;"|"&amp;B1432)</f>
        <v/>
      </c>
    </row>
    <row r="1433" customFormat="false" ht="15" hidden="false" customHeight="false" outlineLevel="0" collapsed="false">
      <c r="A1433" s="19"/>
      <c r="B1433" s="19"/>
      <c r="C1433" s="20"/>
      <c r="D1433" s="19"/>
      <c r="E1433" s="26" t="str">
        <f aca="false">IF(A1433="","",COUNTIFS(Apparitions!$A$2:$A$5001,A1433,Apparitions!$B$2:$B$5001,B1433))</f>
        <v/>
      </c>
      <c r="F1433" s="27" t="str">
        <f aca="false">IF(A1433="","",A1433&amp;"|"&amp;B1433)</f>
        <v/>
      </c>
    </row>
    <row r="1434" customFormat="false" ht="15" hidden="false" customHeight="false" outlineLevel="0" collapsed="false">
      <c r="A1434" s="19"/>
      <c r="B1434" s="19"/>
      <c r="C1434" s="20"/>
      <c r="D1434" s="19"/>
      <c r="E1434" s="26" t="str">
        <f aca="false">IF(A1434="","",COUNTIFS(Apparitions!$A$2:$A$5001,A1434,Apparitions!$B$2:$B$5001,B1434))</f>
        <v/>
      </c>
      <c r="F1434" s="27" t="str">
        <f aca="false">IF(A1434="","",A1434&amp;"|"&amp;B1434)</f>
        <v/>
      </c>
    </row>
    <row r="1435" customFormat="false" ht="15" hidden="false" customHeight="false" outlineLevel="0" collapsed="false">
      <c r="A1435" s="19"/>
      <c r="B1435" s="19"/>
      <c r="C1435" s="20"/>
      <c r="D1435" s="19"/>
      <c r="E1435" s="26" t="str">
        <f aca="false">IF(A1435="","",COUNTIFS(Apparitions!$A$2:$A$5001,A1435,Apparitions!$B$2:$B$5001,B1435))</f>
        <v/>
      </c>
      <c r="F1435" s="27" t="str">
        <f aca="false">IF(A1435="","",A1435&amp;"|"&amp;B1435)</f>
        <v/>
      </c>
    </row>
    <row r="1436" customFormat="false" ht="15" hidden="false" customHeight="false" outlineLevel="0" collapsed="false">
      <c r="A1436" s="19"/>
      <c r="B1436" s="19"/>
      <c r="C1436" s="20"/>
      <c r="D1436" s="19"/>
      <c r="E1436" s="26" t="str">
        <f aca="false">IF(A1436="","",COUNTIFS(Apparitions!$A$2:$A$5001,A1436,Apparitions!$B$2:$B$5001,B1436))</f>
        <v/>
      </c>
      <c r="F1436" s="27" t="str">
        <f aca="false">IF(A1436="","",A1436&amp;"|"&amp;B1436)</f>
        <v/>
      </c>
    </row>
    <row r="1437" customFormat="false" ht="15" hidden="false" customHeight="false" outlineLevel="0" collapsed="false">
      <c r="A1437" s="19"/>
      <c r="B1437" s="19"/>
      <c r="C1437" s="20"/>
      <c r="D1437" s="19"/>
      <c r="E1437" s="26" t="str">
        <f aca="false">IF(A1437="","",COUNTIFS(Apparitions!$A$2:$A$5001,A1437,Apparitions!$B$2:$B$5001,B1437))</f>
        <v/>
      </c>
      <c r="F1437" s="27" t="str">
        <f aca="false">IF(A1437="","",A1437&amp;"|"&amp;B1437)</f>
        <v/>
      </c>
    </row>
    <row r="1438" customFormat="false" ht="15" hidden="false" customHeight="false" outlineLevel="0" collapsed="false">
      <c r="A1438" s="19"/>
      <c r="B1438" s="19"/>
      <c r="C1438" s="20"/>
      <c r="D1438" s="19"/>
      <c r="E1438" s="26" t="str">
        <f aca="false">IF(A1438="","",COUNTIFS(Apparitions!$A$2:$A$5001,A1438,Apparitions!$B$2:$B$5001,B1438))</f>
        <v/>
      </c>
      <c r="F1438" s="27" t="str">
        <f aca="false">IF(A1438="","",A1438&amp;"|"&amp;B1438)</f>
        <v/>
      </c>
    </row>
    <row r="1439" customFormat="false" ht="15" hidden="false" customHeight="false" outlineLevel="0" collapsed="false">
      <c r="A1439" s="19"/>
      <c r="B1439" s="19"/>
      <c r="C1439" s="20"/>
      <c r="D1439" s="19"/>
      <c r="E1439" s="26" t="str">
        <f aca="false">IF(A1439="","",COUNTIFS(Apparitions!$A$2:$A$5001,A1439,Apparitions!$B$2:$B$5001,B1439))</f>
        <v/>
      </c>
      <c r="F1439" s="27" t="str">
        <f aca="false">IF(A1439="","",A1439&amp;"|"&amp;B1439)</f>
        <v/>
      </c>
    </row>
    <row r="1440" customFormat="false" ht="15" hidden="false" customHeight="false" outlineLevel="0" collapsed="false">
      <c r="A1440" s="19"/>
      <c r="B1440" s="19"/>
      <c r="C1440" s="20"/>
      <c r="D1440" s="19"/>
      <c r="E1440" s="26" t="str">
        <f aca="false">IF(A1440="","",COUNTIFS(Apparitions!$A$2:$A$5001,A1440,Apparitions!$B$2:$B$5001,B1440))</f>
        <v/>
      </c>
      <c r="F1440" s="27" t="str">
        <f aca="false">IF(A1440="","",A1440&amp;"|"&amp;B1440)</f>
        <v/>
      </c>
    </row>
    <row r="1441" customFormat="false" ht="15" hidden="false" customHeight="false" outlineLevel="0" collapsed="false">
      <c r="A1441" s="19"/>
      <c r="B1441" s="19"/>
      <c r="C1441" s="20"/>
      <c r="D1441" s="19"/>
      <c r="E1441" s="26" t="str">
        <f aca="false">IF(A1441="","",COUNTIFS(Apparitions!$A$2:$A$5001,A1441,Apparitions!$B$2:$B$5001,B1441))</f>
        <v/>
      </c>
      <c r="F1441" s="27" t="str">
        <f aca="false">IF(A1441="","",A1441&amp;"|"&amp;B1441)</f>
        <v/>
      </c>
    </row>
    <row r="1442" customFormat="false" ht="15" hidden="false" customHeight="false" outlineLevel="0" collapsed="false">
      <c r="A1442" s="19"/>
      <c r="B1442" s="19"/>
      <c r="C1442" s="20"/>
      <c r="D1442" s="19"/>
      <c r="E1442" s="26" t="str">
        <f aca="false">IF(A1442="","",COUNTIFS(Apparitions!$A$2:$A$5001,A1442,Apparitions!$B$2:$B$5001,B1442))</f>
        <v/>
      </c>
      <c r="F1442" s="27" t="str">
        <f aca="false">IF(A1442="","",A1442&amp;"|"&amp;B1442)</f>
        <v/>
      </c>
    </row>
    <row r="1443" customFormat="false" ht="15" hidden="false" customHeight="false" outlineLevel="0" collapsed="false">
      <c r="A1443" s="19"/>
      <c r="B1443" s="19"/>
      <c r="C1443" s="20"/>
      <c r="D1443" s="19"/>
      <c r="E1443" s="26" t="str">
        <f aca="false">IF(A1443="","",COUNTIFS(Apparitions!$A$2:$A$5001,A1443,Apparitions!$B$2:$B$5001,B1443))</f>
        <v/>
      </c>
      <c r="F1443" s="27" t="str">
        <f aca="false">IF(A1443="","",A1443&amp;"|"&amp;B1443)</f>
        <v/>
      </c>
    </row>
    <row r="1444" customFormat="false" ht="15" hidden="false" customHeight="false" outlineLevel="0" collapsed="false">
      <c r="A1444" s="19"/>
      <c r="B1444" s="19"/>
      <c r="C1444" s="20"/>
      <c r="D1444" s="19"/>
      <c r="E1444" s="26" t="str">
        <f aca="false">IF(A1444="","",COUNTIFS(Apparitions!$A$2:$A$5001,A1444,Apparitions!$B$2:$B$5001,B1444))</f>
        <v/>
      </c>
      <c r="F1444" s="27" t="str">
        <f aca="false">IF(A1444="","",A1444&amp;"|"&amp;B1444)</f>
        <v/>
      </c>
    </row>
    <row r="1445" customFormat="false" ht="15" hidden="false" customHeight="false" outlineLevel="0" collapsed="false">
      <c r="A1445" s="19"/>
      <c r="B1445" s="19"/>
      <c r="C1445" s="20"/>
      <c r="D1445" s="19"/>
      <c r="E1445" s="26" t="str">
        <f aca="false">IF(A1445="","",COUNTIFS(Apparitions!$A$2:$A$5001,A1445,Apparitions!$B$2:$B$5001,B1445))</f>
        <v/>
      </c>
      <c r="F1445" s="27" t="str">
        <f aca="false">IF(A1445="","",A1445&amp;"|"&amp;B1445)</f>
        <v/>
      </c>
    </row>
    <row r="1446" customFormat="false" ht="15" hidden="false" customHeight="false" outlineLevel="0" collapsed="false">
      <c r="A1446" s="19"/>
      <c r="B1446" s="19"/>
      <c r="C1446" s="20"/>
      <c r="D1446" s="19"/>
      <c r="E1446" s="26" t="str">
        <f aca="false">IF(A1446="","",COUNTIFS(Apparitions!$A$2:$A$5001,A1446,Apparitions!$B$2:$B$5001,B1446))</f>
        <v/>
      </c>
      <c r="F1446" s="27" t="str">
        <f aca="false">IF(A1446="","",A1446&amp;"|"&amp;B1446)</f>
        <v/>
      </c>
    </row>
    <row r="1447" customFormat="false" ht="15" hidden="false" customHeight="false" outlineLevel="0" collapsed="false">
      <c r="A1447" s="19"/>
      <c r="B1447" s="19"/>
      <c r="C1447" s="20"/>
      <c r="D1447" s="19"/>
      <c r="E1447" s="26" t="str">
        <f aca="false">IF(A1447="","",COUNTIFS(Apparitions!$A$2:$A$5001,A1447,Apparitions!$B$2:$B$5001,B1447))</f>
        <v/>
      </c>
      <c r="F1447" s="27" t="str">
        <f aca="false">IF(A1447="","",A1447&amp;"|"&amp;B1447)</f>
        <v/>
      </c>
    </row>
    <row r="1448" customFormat="false" ht="15" hidden="false" customHeight="false" outlineLevel="0" collapsed="false">
      <c r="A1448" s="19"/>
      <c r="B1448" s="19"/>
      <c r="C1448" s="20"/>
      <c r="D1448" s="19"/>
      <c r="E1448" s="26" t="str">
        <f aca="false">IF(A1448="","",COUNTIFS(Apparitions!$A$2:$A$5001,A1448,Apparitions!$B$2:$B$5001,B1448))</f>
        <v/>
      </c>
      <c r="F1448" s="27" t="str">
        <f aca="false">IF(A1448="","",A1448&amp;"|"&amp;B1448)</f>
        <v/>
      </c>
    </row>
    <row r="1449" customFormat="false" ht="15" hidden="false" customHeight="false" outlineLevel="0" collapsed="false">
      <c r="A1449" s="19"/>
      <c r="B1449" s="19"/>
      <c r="C1449" s="20"/>
      <c r="D1449" s="19"/>
      <c r="E1449" s="26" t="str">
        <f aca="false">IF(A1449="","",COUNTIFS(Apparitions!$A$2:$A$5001,A1449,Apparitions!$B$2:$B$5001,B1449))</f>
        <v/>
      </c>
      <c r="F1449" s="27" t="str">
        <f aca="false">IF(A1449="","",A1449&amp;"|"&amp;B1449)</f>
        <v/>
      </c>
    </row>
    <row r="1450" customFormat="false" ht="15" hidden="false" customHeight="false" outlineLevel="0" collapsed="false">
      <c r="A1450" s="19"/>
      <c r="B1450" s="19"/>
      <c r="C1450" s="20"/>
      <c r="D1450" s="19"/>
      <c r="E1450" s="26" t="str">
        <f aca="false">IF(A1450="","",COUNTIFS(Apparitions!$A$2:$A$5001,A1450,Apparitions!$B$2:$B$5001,B1450))</f>
        <v/>
      </c>
      <c r="F1450" s="27" t="str">
        <f aca="false">IF(A1450="","",A1450&amp;"|"&amp;B1450)</f>
        <v/>
      </c>
    </row>
    <row r="1451" customFormat="false" ht="15" hidden="false" customHeight="false" outlineLevel="0" collapsed="false">
      <c r="A1451" s="19"/>
      <c r="B1451" s="19"/>
      <c r="C1451" s="20"/>
      <c r="D1451" s="19"/>
      <c r="E1451" s="26" t="str">
        <f aca="false">IF(A1451="","",COUNTIFS(Apparitions!$A$2:$A$5001,A1451,Apparitions!$B$2:$B$5001,B1451))</f>
        <v/>
      </c>
      <c r="F1451" s="27" t="str">
        <f aca="false">IF(A1451="","",A1451&amp;"|"&amp;B1451)</f>
        <v/>
      </c>
    </row>
    <row r="1452" customFormat="false" ht="15" hidden="false" customHeight="false" outlineLevel="0" collapsed="false">
      <c r="A1452" s="19"/>
      <c r="B1452" s="19"/>
      <c r="C1452" s="20"/>
      <c r="D1452" s="19"/>
      <c r="E1452" s="26" t="str">
        <f aca="false">IF(A1452="","",COUNTIFS(Apparitions!$A$2:$A$5001,A1452,Apparitions!$B$2:$B$5001,B1452))</f>
        <v/>
      </c>
      <c r="F1452" s="27" t="str">
        <f aca="false">IF(A1452="","",A1452&amp;"|"&amp;B1452)</f>
        <v/>
      </c>
    </row>
    <row r="1453" customFormat="false" ht="15" hidden="false" customHeight="false" outlineLevel="0" collapsed="false">
      <c r="A1453" s="19"/>
      <c r="B1453" s="19"/>
      <c r="C1453" s="20"/>
      <c r="D1453" s="19"/>
      <c r="E1453" s="26" t="str">
        <f aca="false">IF(A1453="","",COUNTIFS(Apparitions!$A$2:$A$5001,A1453,Apparitions!$B$2:$B$5001,B1453))</f>
        <v/>
      </c>
      <c r="F1453" s="27" t="str">
        <f aca="false">IF(A1453="","",A1453&amp;"|"&amp;B1453)</f>
        <v/>
      </c>
    </row>
    <row r="1454" customFormat="false" ht="15" hidden="false" customHeight="false" outlineLevel="0" collapsed="false">
      <c r="A1454" s="19"/>
      <c r="B1454" s="19"/>
      <c r="C1454" s="20"/>
      <c r="D1454" s="19"/>
      <c r="E1454" s="26" t="str">
        <f aca="false">IF(A1454="","",COUNTIFS(Apparitions!$A$2:$A$5001,A1454,Apparitions!$B$2:$B$5001,B1454))</f>
        <v/>
      </c>
      <c r="F1454" s="27" t="str">
        <f aca="false">IF(A1454="","",A1454&amp;"|"&amp;B1454)</f>
        <v/>
      </c>
    </row>
    <row r="1455" customFormat="false" ht="15" hidden="false" customHeight="false" outlineLevel="0" collapsed="false">
      <c r="A1455" s="19"/>
      <c r="B1455" s="19"/>
      <c r="C1455" s="20"/>
      <c r="D1455" s="19"/>
      <c r="E1455" s="26" t="str">
        <f aca="false">IF(A1455="","",COUNTIFS(Apparitions!$A$2:$A$5001,A1455,Apparitions!$B$2:$B$5001,B1455))</f>
        <v/>
      </c>
      <c r="F1455" s="27" t="str">
        <f aca="false">IF(A1455="","",A1455&amp;"|"&amp;B1455)</f>
        <v/>
      </c>
    </row>
    <row r="1456" customFormat="false" ht="15" hidden="false" customHeight="false" outlineLevel="0" collapsed="false">
      <c r="A1456" s="19"/>
      <c r="B1456" s="19"/>
      <c r="C1456" s="20"/>
      <c r="D1456" s="19"/>
      <c r="E1456" s="26" t="str">
        <f aca="false">IF(A1456="","",COUNTIFS(Apparitions!$A$2:$A$5001,A1456,Apparitions!$B$2:$B$5001,B1456))</f>
        <v/>
      </c>
      <c r="F1456" s="27" t="str">
        <f aca="false">IF(A1456="","",A1456&amp;"|"&amp;B1456)</f>
        <v/>
      </c>
    </row>
    <row r="1457" customFormat="false" ht="15" hidden="false" customHeight="false" outlineLevel="0" collapsed="false">
      <c r="A1457" s="19"/>
      <c r="B1457" s="19"/>
      <c r="C1457" s="20"/>
      <c r="D1457" s="19"/>
      <c r="E1457" s="26" t="str">
        <f aca="false">IF(A1457="","",COUNTIFS(Apparitions!$A$2:$A$5001,A1457,Apparitions!$B$2:$B$5001,B1457))</f>
        <v/>
      </c>
      <c r="F1457" s="27" t="str">
        <f aca="false">IF(A1457="","",A1457&amp;"|"&amp;B1457)</f>
        <v/>
      </c>
    </row>
    <row r="1458" customFormat="false" ht="15" hidden="false" customHeight="false" outlineLevel="0" collapsed="false">
      <c r="A1458" s="19"/>
      <c r="B1458" s="19"/>
      <c r="C1458" s="20"/>
      <c r="D1458" s="19"/>
      <c r="E1458" s="26" t="str">
        <f aca="false">IF(A1458="","",COUNTIFS(Apparitions!$A$2:$A$5001,A1458,Apparitions!$B$2:$B$5001,B1458))</f>
        <v/>
      </c>
      <c r="F1458" s="27" t="str">
        <f aca="false">IF(A1458="","",A1458&amp;"|"&amp;B1458)</f>
        <v/>
      </c>
    </row>
    <row r="1459" customFormat="false" ht="15" hidden="false" customHeight="false" outlineLevel="0" collapsed="false">
      <c r="A1459" s="19"/>
      <c r="B1459" s="19"/>
      <c r="C1459" s="20"/>
      <c r="D1459" s="19"/>
      <c r="E1459" s="26" t="str">
        <f aca="false">IF(A1459="","",COUNTIFS(Apparitions!$A$2:$A$5001,A1459,Apparitions!$B$2:$B$5001,B1459))</f>
        <v/>
      </c>
      <c r="F1459" s="27" t="str">
        <f aca="false">IF(A1459="","",A1459&amp;"|"&amp;B1459)</f>
        <v/>
      </c>
    </row>
    <row r="1460" customFormat="false" ht="15" hidden="false" customHeight="false" outlineLevel="0" collapsed="false">
      <c r="A1460" s="19"/>
      <c r="B1460" s="19"/>
      <c r="C1460" s="20"/>
      <c r="D1460" s="19"/>
      <c r="E1460" s="26" t="str">
        <f aca="false">IF(A1460="","",COUNTIFS(Apparitions!$A$2:$A$5001,A1460,Apparitions!$B$2:$B$5001,B1460))</f>
        <v/>
      </c>
      <c r="F1460" s="27" t="str">
        <f aca="false">IF(A1460="","",A1460&amp;"|"&amp;B1460)</f>
        <v/>
      </c>
    </row>
    <row r="1461" customFormat="false" ht="15" hidden="false" customHeight="false" outlineLevel="0" collapsed="false">
      <c r="A1461" s="19"/>
      <c r="B1461" s="19"/>
      <c r="C1461" s="20"/>
      <c r="D1461" s="19"/>
      <c r="E1461" s="26" t="str">
        <f aca="false">IF(A1461="","",COUNTIFS(Apparitions!$A$2:$A$5001,A1461,Apparitions!$B$2:$B$5001,B1461))</f>
        <v/>
      </c>
      <c r="F1461" s="27" t="str">
        <f aca="false">IF(A1461="","",A1461&amp;"|"&amp;B1461)</f>
        <v/>
      </c>
    </row>
    <row r="1462" customFormat="false" ht="15" hidden="false" customHeight="false" outlineLevel="0" collapsed="false">
      <c r="A1462" s="19"/>
      <c r="B1462" s="19"/>
      <c r="C1462" s="20"/>
      <c r="D1462" s="19"/>
      <c r="E1462" s="26" t="str">
        <f aca="false">IF(A1462="","",COUNTIFS(Apparitions!$A$2:$A$5001,A1462,Apparitions!$B$2:$B$5001,B1462))</f>
        <v/>
      </c>
      <c r="F1462" s="27" t="str">
        <f aca="false">IF(A1462="","",A1462&amp;"|"&amp;B1462)</f>
        <v/>
      </c>
    </row>
    <row r="1463" customFormat="false" ht="15" hidden="false" customHeight="false" outlineLevel="0" collapsed="false">
      <c r="A1463" s="19"/>
      <c r="B1463" s="19"/>
      <c r="C1463" s="20"/>
      <c r="D1463" s="19"/>
      <c r="E1463" s="26" t="str">
        <f aca="false">IF(A1463="","",COUNTIFS(Apparitions!$A$2:$A$5001,A1463,Apparitions!$B$2:$B$5001,B1463))</f>
        <v/>
      </c>
      <c r="F1463" s="27" t="str">
        <f aca="false">IF(A1463="","",A1463&amp;"|"&amp;B1463)</f>
        <v/>
      </c>
    </row>
    <row r="1464" customFormat="false" ht="15" hidden="false" customHeight="false" outlineLevel="0" collapsed="false">
      <c r="A1464" s="19"/>
      <c r="B1464" s="19"/>
      <c r="C1464" s="20"/>
      <c r="D1464" s="19"/>
      <c r="E1464" s="26" t="str">
        <f aca="false">IF(A1464="","",COUNTIFS(Apparitions!$A$2:$A$5001,A1464,Apparitions!$B$2:$B$5001,B1464))</f>
        <v/>
      </c>
      <c r="F1464" s="27" t="str">
        <f aca="false">IF(A1464="","",A1464&amp;"|"&amp;B1464)</f>
        <v/>
      </c>
    </row>
    <row r="1465" customFormat="false" ht="15" hidden="false" customHeight="false" outlineLevel="0" collapsed="false">
      <c r="A1465" s="19"/>
      <c r="B1465" s="19"/>
      <c r="C1465" s="20"/>
      <c r="D1465" s="19"/>
      <c r="E1465" s="26" t="str">
        <f aca="false">IF(A1465="","",COUNTIFS(Apparitions!$A$2:$A$5001,A1465,Apparitions!$B$2:$B$5001,B1465))</f>
        <v/>
      </c>
      <c r="F1465" s="27" t="str">
        <f aca="false">IF(A1465="","",A1465&amp;"|"&amp;B1465)</f>
        <v/>
      </c>
    </row>
    <row r="1466" customFormat="false" ht="15" hidden="false" customHeight="false" outlineLevel="0" collapsed="false">
      <c r="A1466" s="19"/>
      <c r="B1466" s="19"/>
      <c r="C1466" s="20"/>
      <c r="D1466" s="19"/>
      <c r="E1466" s="26" t="str">
        <f aca="false">IF(A1466="","",COUNTIFS(Apparitions!$A$2:$A$5001,A1466,Apparitions!$B$2:$B$5001,B1466))</f>
        <v/>
      </c>
      <c r="F1466" s="27" t="str">
        <f aca="false">IF(A1466="","",A1466&amp;"|"&amp;B1466)</f>
        <v/>
      </c>
    </row>
    <row r="1467" customFormat="false" ht="15" hidden="false" customHeight="false" outlineLevel="0" collapsed="false">
      <c r="A1467" s="19"/>
      <c r="B1467" s="19"/>
      <c r="C1467" s="20"/>
      <c r="D1467" s="19"/>
      <c r="E1467" s="26" t="str">
        <f aca="false">IF(A1467="","",COUNTIFS(Apparitions!$A$2:$A$5001,A1467,Apparitions!$B$2:$B$5001,B1467))</f>
        <v/>
      </c>
      <c r="F1467" s="27" t="str">
        <f aca="false">IF(A1467="","",A1467&amp;"|"&amp;B1467)</f>
        <v/>
      </c>
    </row>
    <row r="1468" customFormat="false" ht="15" hidden="false" customHeight="false" outlineLevel="0" collapsed="false">
      <c r="A1468" s="19"/>
      <c r="B1468" s="19"/>
      <c r="C1468" s="20"/>
      <c r="D1468" s="19"/>
      <c r="E1468" s="26" t="str">
        <f aca="false">IF(A1468="","",COUNTIFS(Apparitions!$A$2:$A$5001,A1468,Apparitions!$B$2:$B$5001,B1468))</f>
        <v/>
      </c>
      <c r="F1468" s="27" t="str">
        <f aca="false">IF(A1468="","",A1468&amp;"|"&amp;B1468)</f>
        <v/>
      </c>
    </row>
    <row r="1469" customFormat="false" ht="15" hidden="false" customHeight="false" outlineLevel="0" collapsed="false">
      <c r="A1469" s="19"/>
      <c r="B1469" s="19"/>
      <c r="C1469" s="20"/>
      <c r="D1469" s="19"/>
      <c r="E1469" s="26" t="str">
        <f aca="false">IF(A1469="","",COUNTIFS(Apparitions!$A$2:$A$5001,A1469,Apparitions!$B$2:$B$5001,B1469))</f>
        <v/>
      </c>
      <c r="F1469" s="27" t="str">
        <f aca="false">IF(A1469="","",A1469&amp;"|"&amp;B1469)</f>
        <v/>
      </c>
    </row>
    <row r="1470" customFormat="false" ht="15" hidden="false" customHeight="false" outlineLevel="0" collapsed="false">
      <c r="A1470" s="19"/>
      <c r="B1470" s="19"/>
      <c r="C1470" s="20"/>
      <c r="D1470" s="19"/>
      <c r="E1470" s="26" t="str">
        <f aca="false">IF(A1470="","",COUNTIFS(Apparitions!$A$2:$A$5001,A1470,Apparitions!$B$2:$B$5001,B1470))</f>
        <v/>
      </c>
      <c r="F1470" s="27" t="str">
        <f aca="false">IF(A1470="","",A1470&amp;"|"&amp;B1470)</f>
        <v/>
      </c>
    </row>
    <row r="1471" customFormat="false" ht="15" hidden="false" customHeight="false" outlineLevel="0" collapsed="false">
      <c r="A1471" s="19"/>
      <c r="B1471" s="19"/>
      <c r="C1471" s="20"/>
      <c r="D1471" s="19"/>
      <c r="E1471" s="26" t="str">
        <f aca="false">IF(A1471="","",COUNTIFS(Apparitions!$A$2:$A$5001,A1471,Apparitions!$B$2:$B$5001,B1471))</f>
        <v/>
      </c>
      <c r="F1471" s="27" t="str">
        <f aca="false">IF(A1471="","",A1471&amp;"|"&amp;B1471)</f>
        <v/>
      </c>
    </row>
    <row r="1472" customFormat="false" ht="15" hidden="false" customHeight="false" outlineLevel="0" collapsed="false">
      <c r="A1472" s="19"/>
      <c r="B1472" s="19"/>
      <c r="C1472" s="20"/>
      <c r="D1472" s="19"/>
      <c r="E1472" s="26" t="str">
        <f aca="false">IF(A1472="","",COUNTIFS(Apparitions!$A$2:$A$5001,A1472,Apparitions!$B$2:$B$5001,B1472))</f>
        <v/>
      </c>
      <c r="F1472" s="27" t="str">
        <f aca="false">IF(A1472="","",A1472&amp;"|"&amp;B1472)</f>
        <v/>
      </c>
    </row>
    <row r="1473" customFormat="false" ht="15" hidden="false" customHeight="false" outlineLevel="0" collapsed="false">
      <c r="A1473" s="19"/>
      <c r="B1473" s="19"/>
      <c r="C1473" s="20"/>
      <c r="D1473" s="19"/>
      <c r="E1473" s="26" t="str">
        <f aca="false">IF(A1473="","",COUNTIFS(Apparitions!$A$2:$A$5001,A1473,Apparitions!$B$2:$B$5001,B1473))</f>
        <v/>
      </c>
      <c r="F1473" s="27" t="str">
        <f aca="false">IF(A1473="","",A1473&amp;"|"&amp;B1473)</f>
        <v/>
      </c>
    </row>
    <row r="1474" customFormat="false" ht="15" hidden="false" customHeight="false" outlineLevel="0" collapsed="false">
      <c r="A1474" s="19"/>
      <c r="B1474" s="19"/>
      <c r="C1474" s="20"/>
      <c r="D1474" s="19"/>
      <c r="E1474" s="26" t="str">
        <f aca="false">IF(A1474="","",COUNTIFS(Apparitions!$A$2:$A$5001,A1474,Apparitions!$B$2:$B$5001,B1474))</f>
        <v/>
      </c>
      <c r="F1474" s="27" t="str">
        <f aca="false">IF(A1474="","",A1474&amp;"|"&amp;B1474)</f>
        <v/>
      </c>
    </row>
    <row r="1475" customFormat="false" ht="15" hidden="false" customHeight="false" outlineLevel="0" collapsed="false">
      <c r="A1475" s="19"/>
      <c r="B1475" s="19"/>
      <c r="C1475" s="20"/>
      <c r="D1475" s="19"/>
      <c r="E1475" s="26" t="str">
        <f aca="false">IF(A1475="","",COUNTIFS(Apparitions!$A$2:$A$5001,A1475,Apparitions!$B$2:$B$5001,B1475))</f>
        <v/>
      </c>
      <c r="F1475" s="27" t="str">
        <f aca="false">IF(A1475="","",A1475&amp;"|"&amp;B1475)</f>
        <v/>
      </c>
    </row>
    <row r="1476" customFormat="false" ht="15" hidden="false" customHeight="false" outlineLevel="0" collapsed="false">
      <c r="A1476" s="19"/>
      <c r="B1476" s="19"/>
      <c r="C1476" s="20"/>
      <c r="D1476" s="19"/>
      <c r="E1476" s="26" t="str">
        <f aca="false">IF(A1476="","",COUNTIFS(Apparitions!$A$2:$A$5001,A1476,Apparitions!$B$2:$B$5001,B1476))</f>
        <v/>
      </c>
      <c r="F1476" s="27" t="str">
        <f aca="false">IF(A1476="","",A1476&amp;"|"&amp;B1476)</f>
        <v/>
      </c>
    </row>
    <row r="1477" customFormat="false" ht="15" hidden="false" customHeight="false" outlineLevel="0" collapsed="false">
      <c r="A1477" s="19"/>
      <c r="B1477" s="19"/>
      <c r="C1477" s="20"/>
      <c r="D1477" s="19"/>
      <c r="E1477" s="26" t="str">
        <f aca="false">IF(A1477="","",COUNTIFS(Apparitions!$A$2:$A$5001,A1477,Apparitions!$B$2:$B$5001,B1477))</f>
        <v/>
      </c>
      <c r="F1477" s="27" t="str">
        <f aca="false">IF(A1477="","",A1477&amp;"|"&amp;B1477)</f>
        <v/>
      </c>
    </row>
    <row r="1478" customFormat="false" ht="15" hidden="false" customHeight="false" outlineLevel="0" collapsed="false">
      <c r="A1478" s="19"/>
      <c r="B1478" s="19"/>
      <c r="C1478" s="20"/>
      <c r="D1478" s="19"/>
      <c r="E1478" s="26" t="str">
        <f aca="false">IF(A1478="","",COUNTIFS(Apparitions!$A$2:$A$5001,A1478,Apparitions!$B$2:$B$5001,B1478))</f>
        <v/>
      </c>
      <c r="F1478" s="27" t="str">
        <f aca="false">IF(A1478="","",A1478&amp;"|"&amp;B1478)</f>
        <v/>
      </c>
    </row>
    <row r="1479" customFormat="false" ht="15" hidden="false" customHeight="false" outlineLevel="0" collapsed="false">
      <c r="A1479" s="19"/>
      <c r="B1479" s="19"/>
      <c r="C1479" s="20"/>
      <c r="D1479" s="19"/>
      <c r="E1479" s="26" t="str">
        <f aca="false">IF(A1479="","",COUNTIFS(Apparitions!$A$2:$A$5001,A1479,Apparitions!$B$2:$B$5001,B1479))</f>
        <v/>
      </c>
      <c r="F1479" s="27" t="str">
        <f aca="false">IF(A1479="","",A1479&amp;"|"&amp;B1479)</f>
        <v/>
      </c>
    </row>
    <row r="1480" customFormat="false" ht="15" hidden="false" customHeight="false" outlineLevel="0" collapsed="false">
      <c r="A1480" s="19"/>
      <c r="B1480" s="19"/>
      <c r="C1480" s="20"/>
      <c r="D1480" s="19"/>
      <c r="E1480" s="26" t="str">
        <f aca="false">IF(A1480="","",COUNTIFS(Apparitions!$A$2:$A$5001,A1480,Apparitions!$B$2:$B$5001,B1480))</f>
        <v/>
      </c>
      <c r="F1480" s="27" t="str">
        <f aca="false">IF(A1480="","",A1480&amp;"|"&amp;B1480)</f>
        <v/>
      </c>
    </row>
    <row r="1481" customFormat="false" ht="15" hidden="false" customHeight="false" outlineLevel="0" collapsed="false">
      <c r="A1481" s="19"/>
      <c r="B1481" s="19"/>
      <c r="C1481" s="20"/>
      <c r="D1481" s="19"/>
      <c r="E1481" s="26" t="str">
        <f aca="false">IF(A1481="","",COUNTIFS(Apparitions!$A$2:$A$5001,A1481,Apparitions!$B$2:$B$5001,B1481))</f>
        <v/>
      </c>
      <c r="F1481" s="27" t="str">
        <f aca="false">IF(A1481="","",A1481&amp;"|"&amp;B1481)</f>
        <v/>
      </c>
    </row>
    <row r="1482" customFormat="false" ht="15" hidden="false" customHeight="false" outlineLevel="0" collapsed="false">
      <c r="A1482" s="19"/>
      <c r="B1482" s="19"/>
      <c r="C1482" s="20"/>
      <c r="D1482" s="19"/>
      <c r="E1482" s="26" t="str">
        <f aca="false">IF(A1482="","",COUNTIFS(Apparitions!$A$2:$A$5001,A1482,Apparitions!$B$2:$B$5001,B1482))</f>
        <v/>
      </c>
      <c r="F1482" s="27" t="str">
        <f aca="false">IF(A1482="","",A1482&amp;"|"&amp;B1482)</f>
        <v/>
      </c>
    </row>
    <row r="1483" customFormat="false" ht="15" hidden="false" customHeight="false" outlineLevel="0" collapsed="false">
      <c r="A1483" s="19"/>
      <c r="B1483" s="19"/>
      <c r="C1483" s="20"/>
      <c r="D1483" s="19"/>
      <c r="E1483" s="26" t="str">
        <f aca="false">IF(A1483="","",COUNTIFS(Apparitions!$A$2:$A$5001,A1483,Apparitions!$B$2:$B$5001,B1483))</f>
        <v/>
      </c>
      <c r="F1483" s="27" t="str">
        <f aca="false">IF(A1483="","",A1483&amp;"|"&amp;B1483)</f>
        <v/>
      </c>
    </row>
    <row r="1484" customFormat="false" ht="15" hidden="false" customHeight="false" outlineLevel="0" collapsed="false">
      <c r="A1484" s="19"/>
      <c r="B1484" s="19"/>
      <c r="C1484" s="20"/>
      <c r="D1484" s="19"/>
      <c r="E1484" s="26" t="str">
        <f aca="false">IF(A1484="","",COUNTIFS(Apparitions!$A$2:$A$5001,A1484,Apparitions!$B$2:$B$5001,B1484))</f>
        <v/>
      </c>
      <c r="F1484" s="27" t="str">
        <f aca="false">IF(A1484="","",A1484&amp;"|"&amp;B1484)</f>
        <v/>
      </c>
    </row>
    <row r="1485" customFormat="false" ht="15" hidden="false" customHeight="false" outlineLevel="0" collapsed="false">
      <c r="A1485" s="19"/>
      <c r="B1485" s="19"/>
      <c r="C1485" s="20"/>
      <c r="D1485" s="19"/>
      <c r="E1485" s="26" t="str">
        <f aca="false">IF(A1485="","",COUNTIFS(Apparitions!$A$2:$A$5001,A1485,Apparitions!$B$2:$B$5001,B1485))</f>
        <v/>
      </c>
      <c r="F1485" s="27" t="str">
        <f aca="false">IF(A1485="","",A1485&amp;"|"&amp;B1485)</f>
        <v/>
      </c>
    </row>
    <row r="1486" customFormat="false" ht="15" hidden="false" customHeight="false" outlineLevel="0" collapsed="false">
      <c r="A1486" s="19"/>
      <c r="B1486" s="19"/>
      <c r="C1486" s="20"/>
      <c r="D1486" s="19"/>
      <c r="E1486" s="26" t="str">
        <f aca="false">IF(A1486="","",COUNTIFS(Apparitions!$A$2:$A$5001,A1486,Apparitions!$B$2:$B$5001,B1486))</f>
        <v/>
      </c>
      <c r="F1486" s="27" t="str">
        <f aca="false">IF(A1486="","",A1486&amp;"|"&amp;B1486)</f>
        <v/>
      </c>
    </row>
    <row r="1487" customFormat="false" ht="15" hidden="false" customHeight="false" outlineLevel="0" collapsed="false">
      <c r="A1487" s="19"/>
      <c r="B1487" s="19"/>
      <c r="C1487" s="20"/>
      <c r="D1487" s="19"/>
      <c r="E1487" s="26" t="str">
        <f aca="false">IF(A1487="","",COUNTIFS(Apparitions!$A$2:$A$5001,A1487,Apparitions!$B$2:$B$5001,B1487))</f>
        <v/>
      </c>
      <c r="F1487" s="27" t="str">
        <f aca="false">IF(A1487="","",A1487&amp;"|"&amp;B1487)</f>
        <v/>
      </c>
    </row>
    <row r="1488" customFormat="false" ht="15" hidden="false" customHeight="false" outlineLevel="0" collapsed="false">
      <c r="A1488" s="19"/>
      <c r="B1488" s="19"/>
      <c r="C1488" s="20"/>
      <c r="D1488" s="19"/>
      <c r="E1488" s="26" t="str">
        <f aca="false">IF(A1488="","",COUNTIFS(Apparitions!$A$2:$A$5001,A1488,Apparitions!$B$2:$B$5001,B1488))</f>
        <v/>
      </c>
      <c r="F1488" s="27" t="str">
        <f aca="false">IF(A1488="","",A1488&amp;"|"&amp;B1488)</f>
        <v/>
      </c>
    </row>
    <row r="1489" customFormat="false" ht="15" hidden="false" customHeight="false" outlineLevel="0" collapsed="false">
      <c r="A1489" s="19"/>
      <c r="B1489" s="19"/>
      <c r="C1489" s="20"/>
      <c r="D1489" s="19"/>
      <c r="E1489" s="26" t="str">
        <f aca="false">IF(A1489="","",COUNTIFS(Apparitions!$A$2:$A$5001,A1489,Apparitions!$B$2:$B$5001,B1489))</f>
        <v/>
      </c>
      <c r="F1489" s="27" t="str">
        <f aca="false">IF(A1489="","",A1489&amp;"|"&amp;B1489)</f>
        <v/>
      </c>
    </row>
    <row r="1490" customFormat="false" ht="15" hidden="false" customHeight="false" outlineLevel="0" collapsed="false">
      <c r="A1490" s="19"/>
      <c r="B1490" s="19"/>
      <c r="C1490" s="20"/>
      <c r="D1490" s="19"/>
      <c r="E1490" s="26" t="str">
        <f aca="false">IF(A1490="","",COUNTIFS(Apparitions!$A$2:$A$5001,A1490,Apparitions!$B$2:$B$5001,B1490))</f>
        <v/>
      </c>
      <c r="F1490" s="27" t="str">
        <f aca="false">IF(A1490="","",A1490&amp;"|"&amp;B1490)</f>
        <v/>
      </c>
    </row>
    <row r="1491" customFormat="false" ht="15" hidden="false" customHeight="false" outlineLevel="0" collapsed="false">
      <c r="A1491" s="19"/>
      <c r="B1491" s="19"/>
      <c r="C1491" s="20"/>
      <c r="D1491" s="19"/>
      <c r="E1491" s="26" t="str">
        <f aca="false">IF(A1491="","",COUNTIFS(Apparitions!$A$2:$A$5001,A1491,Apparitions!$B$2:$B$5001,B1491))</f>
        <v/>
      </c>
      <c r="F1491" s="27" t="str">
        <f aca="false">IF(A1491="","",A1491&amp;"|"&amp;B1491)</f>
        <v/>
      </c>
    </row>
    <row r="1492" customFormat="false" ht="15" hidden="false" customHeight="false" outlineLevel="0" collapsed="false">
      <c r="A1492" s="19"/>
      <c r="B1492" s="19"/>
      <c r="C1492" s="20"/>
      <c r="D1492" s="19"/>
      <c r="E1492" s="26" t="str">
        <f aca="false">IF(A1492="","",COUNTIFS(Apparitions!$A$2:$A$5001,A1492,Apparitions!$B$2:$B$5001,B1492))</f>
        <v/>
      </c>
      <c r="F1492" s="27" t="str">
        <f aca="false">IF(A1492="","",A1492&amp;"|"&amp;B1492)</f>
        <v/>
      </c>
    </row>
    <row r="1493" customFormat="false" ht="15" hidden="false" customHeight="false" outlineLevel="0" collapsed="false">
      <c r="A1493" s="19"/>
      <c r="B1493" s="19"/>
      <c r="C1493" s="20"/>
      <c r="D1493" s="19"/>
      <c r="E1493" s="26" t="str">
        <f aca="false">IF(A1493="","",COUNTIFS(Apparitions!$A$2:$A$5001,A1493,Apparitions!$B$2:$B$5001,B1493))</f>
        <v/>
      </c>
      <c r="F1493" s="27" t="str">
        <f aca="false">IF(A1493="","",A1493&amp;"|"&amp;B1493)</f>
        <v/>
      </c>
    </row>
    <row r="1494" customFormat="false" ht="15" hidden="false" customHeight="false" outlineLevel="0" collapsed="false">
      <c r="A1494" s="19"/>
      <c r="B1494" s="19"/>
      <c r="C1494" s="20"/>
      <c r="D1494" s="19"/>
      <c r="E1494" s="26" t="str">
        <f aca="false">IF(A1494="","",COUNTIFS(Apparitions!$A$2:$A$5001,A1494,Apparitions!$B$2:$B$5001,B1494))</f>
        <v/>
      </c>
      <c r="F1494" s="27" t="str">
        <f aca="false">IF(A1494="","",A1494&amp;"|"&amp;B1494)</f>
        <v/>
      </c>
    </row>
    <row r="1495" customFormat="false" ht="15" hidden="false" customHeight="false" outlineLevel="0" collapsed="false">
      <c r="A1495" s="19"/>
      <c r="B1495" s="19"/>
      <c r="C1495" s="20"/>
      <c r="D1495" s="19"/>
      <c r="E1495" s="26" t="str">
        <f aca="false">IF(A1495="","",COUNTIFS(Apparitions!$A$2:$A$5001,A1495,Apparitions!$B$2:$B$5001,B1495))</f>
        <v/>
      </c>
      <c r="F1495" s="27" t="str">
        <f aca="false">IF(A1495="","",A1495&amp;"|"&amp;B1495)</f>
        <v/>
      </c>
    </row>
    <row r="1496" customFormat="false" ht="15" hidden="false" customHeight="false" outlineLevel="0" collapsed="false">
      <c r="A1496" s="19"/>
      <c r="B1496" s="19"/>
      <c r="C1496" s="20"/>
      <c r="D1496" s="19"/>
      <c r="E1496" s="26" t="str">
        <f aca="false">IF(A1496="","",COUNTIFS(Apparitions!$A$2:$A$5001,A1496,Apparitions!$B$2:$B$5001,B1496))</f>
        <v/>
      </c>
      <c r="F1496" s="27" t="str">
        <f aca="false">IF(A1496="","",A1496&amp;"|"&amp;B1496)</f>
        <v/>
      </c>
    </row>
    <row r="1497" customFormat="false" ht="15" hidden="false" customHeight="false" outlineLevel="0" collapsed="false">
      <c r="A1497" s="19"/>
      <c r="B1497" s="19"/>
      <c r="C1497" s="20"/>
      <c r="D1497" s="19"/>
      <c r="E1497" s="26" t="str">
        <f aca="false">IF(A1497="","",COUNTIFS(Apparitions!$A$2:$A$5001,A1497,Apparitions!$B$2:$B$5001,B1497))</f>
        <v/>
      </c>
      <c r="F1497" s="27" t="str">
        <f aca="false">IF(A1497="","",A1497&amp;"|"&amp;B1497)</f>
        <v/>
      </c>
    </row>
    <row r="1498" customFormat="false" ht="15" hidden="false" customHeight="false" outlineLevel="0" collapsed="false">
      <c r="A1498" s="19"/>
      <c r="B1498" s="19"/>
      <c r="C1498" s="20"/>
      <c r="D1498" s="19"/>
      <c r="E1498" s="26" t="str">
        <f aca="false">IF(A1498="","",COUNTIFS(Apparitions!$A$2:$A$5001,A1498,Apparitions!$B$2:$B$5001,B1498))</f>
        <v/>
      </c>
      <c r="F1498" s="27" t="str">
        <f aca="false">IF(A1498="","",A1498&amp;"|"&amp;B1498)</f>
        <v/>
      </c>
    </row>
    <row r="1499" customFormat="false" ht="15" hidden="false" customHeight="false" outlineLevel="0" collapsed="false">
      <c r="A1499" s="19"/>
      <c r="B1499" s="19"/>
      <c r="C1499" s="20"/>
      <c r="D1499" s="19"/>
      <c r="E1499" s="26" t="str">
        <f aca="false">IF(A1499="","",COUNTIFS(Apparitions!$A$2:$A$5001,A1499,Apparitions!$B$2:$B$5001,B1499))</f>
        <v/>
      </c>
      <c r="F1499" s="27" t="str">
        <f aca="false">IF(A1499="","",A1499&amp;"|"&amp;B1499)</f>
        <v/>
      </c>
    </row>
    <row r="1500" customFormat="false" ht="15" hidden="false" customHeight="false" outlineLevel="0" collapsed="false">
      <c r="A1500" s="19"/>
      <c r="B1500" s="19"/>
      <c r="C1500" s="20"/>
      <c r="D1500" s="19"/>
      <c r="E1500" s="26" t="str">
        <f aca="false">IF(A1500="","",COUNTIFS(Apparitions!$A$2:$A$5001,A1500,Apparitions!$B$2:$B$5001,B1500))</f>
        <v/>
      </c>
      <c r="F1500" s="27" t="str">
        <f aca="false">IF(A1500="","",A1500&amp;"|"&amp;B1500)</f>
        <v/>
      </c>
    </row>
    <row r="1501" customFormat="false" ht="15" hidden="false" customHeight="false" outlineLevel="0" collapsed="false">
      <c r="A1501" s="19"/>
      <c r="B1501" s="19"/>
      <c r="C1501" s="20"/>
      <c r="D1501" s="19"/>
      <c r="E1501" s="26" t="str">
        <f aca="false">IF(A1501="","",COUNTIFS(Apparitions!$A$2:$A$5001,A1501,Apparitions!$B$2:$B$5001,B1501))</f>
        <v/>
      </c>
      <c r="F1501" s="27" t="str">
        <f aca="false">IF(A1501="","",A1501&amp;"|"&amp;B1501)</f>
        <v/>
      </c>
    </row>
    <row r="1502" customFormat="false" ht="15" hidden="false" customHeight="false" outlineLevel="0" collapsed="false">
      <c r="A1502" s="19"/>
      <c r="B1502" s="19"/>
      <c r="C1502" s="20"/>
      <c r="D1502" s="19"/>
      <c r="E1502" s="26" t="str">
        <f aca="false">IF(A1502="","",COUNTIFS(Apparitions!$A$2:$A$5001,A1502,Apparitions!$B$2:$B$5001,B1502))</f>
        <v/>
      </c>
      <c r="F1502" s="27" t="str">
        <f aca="false">IF(A1502="","",A1502&amp;"|"&amp;B1502)</f>
        <v/>
      </c>
    </row>
    <row r="1503" customFormat="false" ht="15" hidden="false" customHeight="false" outlineLevel="0" collapsed="false">
      <c r="A1503" s="19"/>
      <c r="B1503" s="19"/>
      <c r="C1503" s="20"/>
      <c r="D1503" s="19"/>
      <c r="E1503" s="26" t="str">
        <f aca="false">IF(A1503="","",COUNTIFS(Apparitions!$A$2:$A$5001,A1503,Apparitions!$B$2:$B$5001,B1503))</f>
        <v/>
      </c>
      <c r="F1503" s="27" t="str">
        <f aca="false">IF(A1503="","",A1503&amp;"|"&amp;B1503)</f>
        <v/>
      </c>
    </row>
    <row r="1504" customFormat="false" ht="15" hidden="false" customHeight="false" outlineLevel="0" collapsed="false">
      <c r="A1504" s="19"/>
      <c r="B1504" s="19"/>
      <c r="C1504" s="20"/>
      <c r="D1504" s="19"/>
      <c r="E1504" s="26" t="str">
        <f aca="false">IF(A1504="","",COUNTIFS(Apparitions!$A$2:$A$5001,A1504,Apparitions!$B$2:$B$5001,B1504))</f>
        <v/>
      </c>
      <c r="F1504" s="27" t="str">
        <f aca="false">IF(A1504="","",A1504&amp;"|"&amp;B1504)</f>
        <v/>
      </c>
    </row>
    <row r="1505" customFormat="false" ht="15" hidden="false" customHeight="false" outlineLevel="0" collapsed="false">
      <c r="A1505" s="19"/>
      <c r="B1505" s="19"/>
      <c r="C1505" s="20"/>
      <c r="D1505" s="19"/>
      <c r="E1505" s="26" t="str">
        <f aca="false">IF(A1505="","",COUNTIFS(Apparitions!$A$2:$A$5001,A1505,Apparitions!$B$2:$B$5001,B1505))</f>
        <v/>
      </c>
      <c r="F1505" s="27" t="str">
        <f aca="false">IF(A1505="","",A1505&amp;"|"&amp;B1505)</f>
        <v/>
      </c>
    </row>
    <row r="1506" customFormat="false" ht="15" hidden="false" customHeight="false" outlineLevel="0" collapsed="false">
      <c r="A1506" s="19"/>
      <c r="B1506" s="19"/>
      <c r="C1506" s="20"/>
      <c r="D1506" s="19"/>
      <c r="E1506" s="26" t="str">
        <f aca="false">IF(A1506="","",COUNTIFS(Apparitions!$A$2:$A$5001,A1506,Apparitions!$B$2:$B$5001,B1506))</f>
        <v/>
      </c>
      <c r="F1506" s="27" t="str">
        <f aca="false">IF(A1506="","",A1506&amp;"|"&amp;B1506)</f>
        <v/>
      </c>
    </row>
    <row r="1507" customFormat="false" ht="15" hidden="false" customHeight="false" outlineLevel="0" collapsed="false">
      <c r="A1507" s="19"/>
      <c r="B1507" s="19"/>
      <c r="C1507" s="20"/>
      <c r="D1507" s="19"/>
      <c r="E1507" s="26" t="str">
        <f aca="false">IF(A1507="","",COUNTIFS(Apparitions!$A$2:$A$5001,A1507,Apparitions!$B$2:$B$5001,B1507))</f>
        <v/>
      </c>
      <c r="F1507" s="27" t="str">
        <f aca="false">IF(A1507="","",A1507&amp;"|"&amp;B1507)</f>
        <v/>
      </c>
    </row>
    <row r="1508" customFormat="false" ht="15" hidden="false" customHeight="false" outlineLevel="0" collapsed="false">
      <c r="A1508" s="19"/>
      <c r="B1508" s="19"/>
      <c r="C1508" s="20"/>
      <c r="D1508" s="19"/>
      <c r="E1508" s="26" t="str">
        <f aca="false">IF(A1508="","",COUNTIFS(Apparitions!$A$2:$A$5001,A1508,Apparitions!$B$2:$B$5001,B1508))</f>
        <v/>
      </c>
      <c r="F1508" s="27" t="str">
        <f aca="false">IF(A1508="","",A1508&amp;"|"&amp;B1508)</f>
        <v/>
      </c>
    </row>
    <row r="1509" customFormat="false" ht="15" hidden="false" customHeight="false" outlineLevel="0" collapsed="false">
      <c r="A1509" s="19"/>
      <c r="B1509" s="19"/>
      <c r="C1509" s="20"/>
      <c r="D1509" s="19"/>
      <c r="E1509" s="26" t="str">
        <f aca="false">IF(A1509="","",COUNTIFS(Apparitions!$A$2:$A$5001,A1509,Apparitions!$B$2:$B$5001,B1509))</f>
        <v/>
      </c>
      <c r="F1509" s="27" t="str">
        <f aca="false">IF(A1509="","",A1509&amp;"|"&amp;B1509)</f>
        <v/>
      </c>
    </row>
    <row r="1510" customFormat="false" ht="15" hidden="false" customHeight="false" outlineLevel="0" collapsed="false">
      <c r="A1510" s="19"/>
      <c r="B1510" s="19"/>
      <c r="C1510" s="20"/>
      <c r="D1510" s="19"/>
      <c r="E1510" s="26" t="str">
        <f aca="false">IF(A1510="","",COUNTIFS(Apparitions!$A$2:$A$5001,A1510,Apparitions!$B$2:$B$5001,B1510))</f>
        <v/>
      </c>
      <c r="F1510" s="27" t="str">
        <f aca="false">IF(A1510="","",A1510&amp;"|"&amp;B1510)</f>
        <v/>
      </c>
    </row>
    <row r="1511" customFormat="false" ht="15" hidden="false" customHeight="false" outlineLevel="0" collapsed="false">
      <c r="A1511" s="19"/>
      <c r="B1511" s="19"/>
      <c r="C1511" s="20"/>
      <c r="D1511" s="19"/>
      <c r="E1511" s="26" t="str">
        <f aca="false">IF(A1511="","",COUNTIFS(Apparitions!$A$2:$A$5001,A1511,Apparitions!$B$2:$B$5001,B1511))</f>
        <v/>
      </c>
      <c r="F1511" s="27" t="str">
        <f aca="false">IF(A1511="","",A1511&amp;"|"&amp;B1511)</f>
        <v/>
      </c>
    </row>
    <row r="1512" customFormat="false" ht="15" hidden="false" customHeight="false" outlineLevel="0" collapsed="false">
      <c r="A1512" s="19"/>
      <c r="B1512" s="19"/>
      <c r="C1512" s="20"/>
      <c r="D1512" s="19"/>
      <c r="E1512" s="26" t="str">
        <f aca="false">IF(A1512="","",COUNTIFS(Apparitions!$A$2:$A$5001,A1512,Apparitions!$B$2:$B$5001,B1512))</f>
        <v/>
      </c>
      <c r="F1512" s="27" t="str">
        <f aca="false">IF(A1512="","",A1512&amp;"|"&amp;B1512)</f>
        <v/>
      </c>
    </row>
    <row r="1513" customFormat="false" ht="15" hidden="false" customHeight="false" outlineLevel="0" collapsed="false">
      <c r="A1513" s="19"/>
      <c r="B1513" s="19"/>
      <c r="C1513" s="20"/>
      <c r="D1513" s="19"/>
      <c r="E1513" s="26" t="str">
        <f aca="false">IF(A1513="","",COUNTIFS(Apparitions!$A$2:$A$5001,A1513,Apparitions!$B$2:$B$5001,B1513))</f>
        <v/>
      </c>
      <c r="F1513" s="27" t="str">
        <f aca="false">IF(A1513="","",A1513&amp;"|"&amp;B1513)</f>
        <v/>
      </c>
    </row>
    <row r="1514" customFormat="false" ht="15" hidden="false" customHeight="false" outlineLevel="0" collapsed="false">
      <c r="A1514" s="19"/>
      <c r="B1514" s="19"/>
      <c r="C1514" s="20"/>
      <c r="D1514" s="19"/>
      <c r="E1514" s="26" t="str">
        <f aca="false">IF(A1514="","",COUNTIFS(Apparitions!$A$2:$A$5001,A1514,Apparitions!$B$2:$B$5001,B1514))</f>
        <v/>
      </c>
      <c r="F1514" s="27" t="str">
        <f aca="false">IF(A1514="","",A1514&amp;"|"&amp;B1514)</f>
        <v/>
      </c>
    </row>
    <row r="1515" customFormat="false" ht="15" hidden="false" customHeight="false" outlineLevel="0" collapsed="false">
      <c r="A1515" s="19"/>
      <c r="B1515" s="19"/>
      <c r="C1515" s="20"/>
      <c r="D1515" s="19"/>
      <c r="E1515" s="26" t="str">
        <f aca="false">IF(A1515="","",COUNTIFS(Apparitions!$A$2:$A$5001,A1515,Apparitions!$B$2:$B$5001,B1515))</f>
        <v/>
      </c>
      <c r="F1515" s="27" t="str">
        <f aca="false">IF(A1515="","",A1515&amp;"|"&amp;B1515)</f>
        <v/>
      </c>
    </row>
    <row r="1516" customFormat="false" ht="15" hidden="false" customHeight="false" outlineLevel="0" collapsed="false">
      <c r="A1516" s="19"/>
      <c r="B1516" s="19"/>
      <c r="C1516" s="20"/>
      <c r="D1516" s="19"/>
      <c r="E1516" s="26" t="str">
        <f aca="false">IF(A1516="","",COUNTIFS(Apparitions!$A$2:$A$5001,A1516,Apparitions!$B$2:$B$5001,B1516))</f>
        <v/>
      </c>
      <c r="F1516" s="27" t="str">
        <f aca="false">IF(A1516="","",A1516&amp;"|"&amp;B1516)</f>
        <v/>
      </c>
    </row>
    <row r="1517" customFormat="false" ht="15" hidden="false" customHeight="false" outlineLevel="0" collapsed="false">
      <c r="A1517" s="19"/>
      <c r="B1517" s="19"/>
      <c r="C1517" s="20"/>
      <c r="D1517" s="19"/>
      <c r="E1517" s="26" t="str">
        <f aca="false">IF(A1517="","",COUNTIFS(Apparitions!$A$2:$A$5001,A1517,Apparitions!$B$2:$B$5001,B1517))</f>
        <v/>
      </c>
      <c r="F1517" s="27" t="str">
        <f aca="false">IF(A1517="","",A1517&amp;"|"&amp;B1517)</f>
        <v/>
      </c>
    </row>
    <row r="1518" customFormat="false" ht="15" hidden="false" customHeight="false" outlineLevel="0" collapsed="false">
      <c r="A1518" s="19"/>
      <c r="B1518" s="19"/>
      <c r="C1518" s="20"/>
      <c r="D1518" s="19"/>
      <c r="E1518" s="26" t="str">
        <f aca="false">IF(A1518="","",COUNTIFS(Apparitions!$A$2:$A$5001,A1518,Apparitions!$B$2:$B$5001,B1518))</f>
        <v/>
      </c>
      <c r="F1518" s="27" t="str">
        <f aca="false">IF(A1518="","",A1518&amp;"|"&amp;B1518)</f>
        <v/>
      </c>
    </row>
    <row r="1519" customFormat="false" ht="15" hidden="false" customHeight="false" outlineLevel="0" collapsed="false">
      <c r="A1519" s="19"/>
      <c r="B1519" s="19"/>
      <c r="C1519" s="20"/>
      <c r="D1519" s="19"/>
      <c r="E1519" s="26" t="str">
        <f aca="false">IF(A1519="","",COUNTIFS(Apparitions!$A$2:$A$5001,A1519,Apparitions!$B$2:$B$5001,B1519))</f>
        <v/>
      </c>
      <c r="F1519" s="27" t="str">
        <f aca="false">IF(A1519="","",A1519&amp;"|"&amp;B1519)</f>
        <v/>
      </c>
    </row>
    <row r="1520" customFormat="false" ht="15" hidden="false" customHeight="false" outlineLevel="0" collapsed="false">
      <c r="A1520" s="19"/>
      <c r="B1520" s="19"/>
      <c r="C1520" s="20"/>
      <c r="D1520" s="19"/>
      <c r="E1520" s="26" t="str">
        <f aca="false">IF(A1520="","",COUNTIFS(Apparitions!$A$2:$A$5001,A1520,Apparitions!$B$2:$B$5001,B1520))</f>
        <v/>
      </c>
      <c r="F1520" s="27" t="str">
        <f aca="false">IF(A1520="","",A1520&amp;"|"&amp;B1520)</f>
        <v/>
      </c>
    </row>
    <row r="1521" customFormat="false" ht="15" hidden="false" customHeight="false" outlineLevel="0" collapsed="false">
      <c r="A1521" s="19"/>
      <c r="B1521" s="19"/>
      <c r="C1521" s="20"/>
      <c r="D1521" s="19"/>
      <c r="E1521" s="26" t="str">
        <f aca="false">IF(A1521="","",COUNTIFS(Apparitions!$A$2:$A$5001,A1521,Apparitions!$B$2:$B$5001,B1521))</f>
        <v/>
      </c>
      <c r="F1521" s="27" t="str">
        <f aca="false">IF(A1521="","",A1521&amp;"|"&amp;B1521)</f>
        <v/>
      </c>
    </row>
    <row r="1522" customFormat="false" ht="15" hidden="false" customHeight="false" outlineLevel="0" collapsed="false">
      <c r="A1522" s="19"/>
      <c r="B1522" s="19"/>
      <c r="C1522" s="20"/>
      <c r="D1522" s="19"/>
      <c r="E1522" s="26" t="str">
        <f aca="false">IF(A1522="","",COUNTIFS(Apparitions!$A$2:$A$5001,A1522,Apparitions!$B$2:$B$5001,B1522))</f>
        <v/>
      </c>
      <c r="F1522" s="27" t="str">
        <f aca="false">IF(A1522="","",A1522&amp;"|"&amp;B1522)</f>
        <v/>
      </c>
    </row>
    <row r="1523" customFormat="false" ht="15" hidden="false" customHeight="false" outlineLevel="0" collapsed="false">
      <c r="A1523" s="19"/>
      <c r="B1523" s="19"/>
      <c r="C1523" s="20"/>
      <c r="D1523" s="19"/>
      <c r="E1523" s="26" t="str">
        <f aca="false">IF(A1523="","",COUNTIFS(Apparitions!$A$2:$A$5001,A1523,Apparitions!$B$2:$B$5001,B1523))</f>
        <v/>
      </c>
      <c r="F1523" s="27" t="str">
        <f aca="false">IF(A1523="","",A1523&amp;"|"&amp;B1523)</f>
        <v/>
      </c>
    </row>
    <row r="1524" customFormat="false" ht="15" hidden="false" customHeight="false" outlineLevel="0" collapsed="false">
      <c r="A1524" s="19"/>
      <c r="B1524" s="19"/>
      <c r="C1524" s="20"/>
      <c r="D1524" s="19"/>
      <c r="E1524" s="26" t="str">
        <f aca="false">IF(A1524="","",COUNTIFS(Apparitions!$A$2:$A$5001,A1524,Apparitions!$B$2:$B$5001,B1524))</f>
        <v/>
      </c>
      <c r="F1524" s="27" t="str">
        <f aca="false">IF(A1524="","",A1524&amp;"|"&amp;B1524)</f>
        <v/>
      </c>
    </row>
    <row r="1525" customFormat="false" ht="15" hidden="false" customHeight="false" outlineLevel="0" collapsed="false">
      <c r="A1525" s="19"/>
      <c r="B1525" s="19"/>
      <c r="C1525" s="20"/>
      <c r="D1525" s="19"/>
      <c r="E1525" s="26" t="str">
        <f aca="false">IF(A1525="","",COUNTIFS(Apparitions!$A$2:$A$5001,A1525,Apparitions!$B$2:$B$5001,B1525))</f>
        <v/>
      </c>
      <c r="F1525" s="27" t="str">
        <f aca="false">IF(A1525="","",A1525&amp;"|"&amp;B1525)</f>
        <v/>
      </c>
    </row>
    <row r="1526" customFormat="false" ht="15" hidden="false" customHeight="false" outlineLevel="0" collapsed="false">
      <c r="A1526" s="19"/>
      <c r="B1526" s="19"/>
      <c r="C1526" s="20"/>
      <c r="D1526" s="19"/>
      <c r="E1526" s="26" t="str">
        <f aca="false">IF(A1526="","",COUNTIFS(Apparitions!$A$2:$A$5001,A1526,Apparitions!$B$2:$B$5001,B1526))</f>
        <v/>
      </c>
      <c r="F1526" s="27" t="str">
        <f aca="false">IF(A1526="","",A1526&amp;"|"&amp;B1526)</f>
        <v/>
      </c>
    </row>
    <row r="1527" customFormat="false" ht="15" hidden="false" customHeight="false" outlineLevel="0" collapsed="false">
      <c r="A1527" s="19"/>
      <c r="B1527" s="19"/>
      <c r="C1527" s="20"/>
      <c r="D1527" s="19"/>
      <c r="E1527" s="26" t="str">
        <f aca="false">IF(A1527="","",COUNTIFS(Apparitions!$A$2:$A$5001,A1527,Apparitions!$B$2:$B$5001,B1527))</f>
        <v/>
      </c>
      <c r="F1527" s="27" t="str">
        <f aca="false">IF(A1527="","",A1527&amp;"|"&amp;B1527)</f>
        <v/>
      </c>
    </row>
    <row r="1528" customFormat="false" ht="15" hidden="false" customHeight="false" outlineLevel="0" collapsed="false">
      <c r="A1528" s="19"/>
      <c r="B1528" s="19"/>
      <c r="C1528" s="20"/>
      <c r="D1528" s="19"/>
      <c r="E1528" s="26" t="str">
        <f aca="false">IF(A1528="","",COUNTIFS(Apparitions!$A$2:$A$5001,A1528,Apparitions!$B$2:$B$5001,B1528))</f>
        <v/>
      </c>
      <c r="F1528" s="27" t="str">
        <f aca="false">IF(A1528="","",A1528&amp;"|"&amp;B1528)</f>
        <v/>
      </c>
    </row>
    <row r="1529" customFormat="false" ht="15" hidden="false" customHeight="false" outlineLevel="0" collapsed="false">
      <c r="A1529" s="19"/>
      <c r="B1529" s="19"/>
      <c r="C1529" s="20"/>
      <c r="D1529" s="19"/>
      <c r="E1529" s="26" t="str">
        <f aca="false">IF(A1529="","",COUNTIFS(Apparitions!$A$2:$A$5001,A1529,Apparitions!$B$2:$B$5001,B1529))</f>
        <v/>
      </c>
      <c r="F1529" s="27" t="str">
        <f aca="false">IF(A1529="","",A1529&amp;"|"&amp;B1529)</f>
        <v/>
      </c>
    </row>
    <row r="1530" customFormat="false" ht="15" hidden="false" customHeight="false" outlineLevel="0" collapsed="false">
      <c r="A1530" s="19"/>
      <c r="B1530" s="19"/>
      <c r="C1530" s="20"/>
      <c r="D1530" s="19"/>
      <c r="E1530" s="26" t="str">
        <f aca="false">IF(A1530="","",COUNTIFS(Apparitions!$A$2:$A$5001,A1530,Apparitions!$B$2:$B$5001,B1530))</f>
        <v/>
      </c>
      <c r="F1530" s="27" t="str">
        <f aca="false">IF(A1530="","",A1530&amp;"|"&amp;B1530)</f>
        <v/>
      </c>
    </row>
    <row r="1531" customFormat="false" ht="15" hidden="false" customHeight="false" outlineLevel="0" collapsed="false">
      <c r="A1531" s="19"/>
      <c r="B1531" s="19"/>
      <c r="C1531" s="20"/>
      <c r="D1531" s="19"/>
      <c r="E1531" s="26" t="str">
        <f aca="false">IF(A1531="","",COUNTIFS(Apparitions!$A$2:$A$5001,A1531,Apparitions!$B$2:$B$5001,B1531))</f>
        <v/>
      </c>
      <c r="F1531" s="27" t="str">
        <f aca="false">IF(A1531="","",A1531&amp;"|"&amp;B1531)</f>
        <v/>
      </c>
    </row>
    <row r="1532" customFormat="false" ht="15" hidden="false" customHeight="false" outlineLevel="0" collapsed="false">
      <c r="A1532" s="19"/>
      <c r="B1532" s="19"/>
      <c r="C1532" s="20"/>
      <c r="D1532" s="19"/>
      <c r="E1532" s="26" t="str">
        <f aca="false">IF(A1532="","",COUNTIFS(Apparitions!$A$2:$A$5001,A1532,Apparitions!$B$2:$B$5001,B1532))</f>
        <v/>
      </c>
      <c r="F1532" s="27" t="str">
        <f aca="false">IF(A1532="","",A1532&amp;"|"&amp;B1532)</f>
        <v/>
      </c>
    </row>
    <row r="1533" customFormat="false" ht="15" hidden="false" customHeight="false" outlineLevel="0" collapsed="false">
      <c r="A1533" s="19"/>
      <c r="B1533" s="19"/>
      <c r="C1533" s="20"/>
      <c r="D1533" s="19"/>
      <c r="E1533" s="26" t="str">
        <f aca="false">IF(A1533="","",COUNTIFS(Apparitions!$A$2:$A$5001,A1533,Apparitions!$B$2:$B$5001,B1533))</f>
        <v/>
      </c>
      <c r="F1533" s="27" t="str">
        <f aca="false">IF(A1533="","",A1533&amp;"|"&amp;B1533)</f>
        <v/>
      </c>
    </row>
    <row r="1534" customFormat="false" ht="15" hidden="false" customHeight="false" outlineLevel="0" collapsed="false">
      <c r="A1534" s="19"/>
      <c r="B1534" s="19"/>
      <c r="C1534" s="20"/>
      <c r="D1534" s="19"/>
      <c r="E1534" s="26" t="str">
        <f aca="false">IF(A1534="","",COUNTIFS(Apparitions!$A$2:$A$5001,A1534,Apparitions!$B$2:$B$5001,B1534))</f>
        <v/>
      </c>
      <c r="F1534" s="27" t="str">
        <f aca="false">IF(A1534="","",A1534&amp;"|"&amp;B1534)</f>
        <v/>
      </c>
    </row>
    <row r="1535" customFormat="false" ht="15" hidden="false" customHeight="false" outlineLevel="0" collapsed="false">
      <c r="A1535" s="19"/>
      <c r="B1535" s="19"/>
      <c r="C1535" s="20"/>
      <c r="D1535" s="19"/>
      <c r="E1535" s="26" t="str">
        <f aca="false">IF(A1535="","",COUNTIFS(Apparitions!$A$2:$A$5001,A1535,Apparitions!$B$2:$B$5001,B1535))</f>
        <v/>
      </c>
      <c r="F1535" s="27" t="str">
        <f aca="false">IF(A1535="","",A1535&amp;"|"&amp;B1535)</f>
        <v/>
      </c>
    </row>
    <row r="1536" customFormat="false" ht="15" hidden="false" customHeight="false" outlineLevel="0" collapsed="false">
      <c r="A1536" s="19"/>
      <c r="B1536" s="19"/>
      <c r="C1536" s="20"/>
      <c r="D1536" s="19"/>
      <c r="E1536" s="26" t="str">
        <f aca="false">IF(A1536="","",COUNTIFS(Apparitions!$A$2:$A$5001,A1536,Apparitions!$B$2:$B$5001,B1536))</f>
        <v/>
      </c>
      <c r="F1536" s="27" t="str">
        <f aca="false">IF(A1536="","",A1536&amp;"|"&amp;B1536)</f>
        <v/>
      </c>
    </row>
    <row r="1537" customFormat="false" ht="15" hidden="false" customHeight="false" outlineLevel="0" collapsed="false">
      <c r="A1537" s="19"/>
      <c r="B1537" s="19"/>
      <c r="C1537" s="20"/>
      <c r="D1537" s="19"/>
      <c r="E1537" s="26" t="str">
        <f aca="false">IF(A1537="","",COUNTIFS(Apparitions!$A$2:$A$5001,A1537,Apparitions!$B$2:$B$5001,B1537))</f>
        <v/>
      </c>
      <c r="F1537" s="27" t="str">
        <f aca="false">IF(A1537="","",A1537&amp;"|"&amp;B1537)</f>
        <v/>
      </c>
    </row>
    <row r="1538" customFormat="false" ht="15" hidden="false" customHeight="false" outlineLevel="0" collapsed="false">
      <c r="A1538" s="19"/>
      <c r="B1538" s="19"/>
      <c r="C1538" s="20"/>
      <c r="D1538" s="19"/>
      <c r="E1538" s="26" t="str">
        <f aca="false">IF(A1538="","",COUNTIFS(Apparitions!$A$2:$A$5001,A1538,Apparitions!$B$2:$B$5001,B1538))</f>
        <v/>
      </c>
      <c r="F1538" s="27" t="str">
        <f aca="false">IF(A1538="","",A1538&amp;"|"&amp;B1538)</f>
        <v/>
      </c>
    </row>
    <row r="1539" customFormat="false" ht="15" hidden="false" customHeight="false" outlineLevel="0" collapsed="false">
      <c r="A1539" s="19"/>
      <c r="B1539" s="19"/>
      <c r="C1539" s="20"/>
      <c r="D1539" s="19"/>
      <c r="E1539" s="26" t="str">
        <f aca="false">IF(A1539="","",COUNTIFS(Apparitions!$A$2:$A$5001,A1539,Apparitions!$B$2:$B$5001,B1539))</f>
        <v/>
      </c>
      <c r="F1539" s="27" t="str">
        <f aca="false">IF(A1539="","",A1539&amp;"|"&amp;B1539)</f>
        <v/>
      </c>
    </row>
    <row r="1540" customFormat="false" ht="15" hidden="false" customHeight="false" outlineLevel="0" collapsed="false">
      <c r="A1540" s="19"/>
      <c r="B1540" s="19"/>
      <c r="C1540" s="20"/>
      <c r="D1540" s="19"/>
      <c r="E1540" s="26" t="str">
        <f aca="false">IF(A1540="","",COUNTIFS(Apparitions!$A$2:$A$5001,A1540,Apparitions!$B$2:$B$5001,B1540))</f>
        <v/>
      </c>
      <c r="F1540" s="27" t="str">
        <f aca="false">IF(A1540="","",A1540&amp;"|"&amp;B1540)</f>
        <v/>
      </c>
    </row>
    <row r="1541" customFormat="false" ht="15" hidden="false" customHeight="false" outlineLevel="0" collapsed="false">
      <c r="A1541" s="19"/>
      <c r="B1541" s="19"/>
      <c r="C1541" s="20"/>
      <c r="D1541" s="19"/>
      <c r="E1541" s="26" t="str">
        <f aca="false">IF(A1541="","",COUNTIFS(Apparitions!$A$2:$A$5001,A1541,Apparitions!$B$2:$B$5001,B1541))</f>
        <v/>
      </c>
      <c r="F1541" s="27" t="str">
        <f aca="false">IF(A1541="","",A1541&amp;"|"&amp;B1541)</f>
        <v/>
      </c>
    </row>
    <row r="1542" customFormat="false" ht="15" hidden="false" customHeight="false" outlineLevel="0" collapsed="false">
      <c r="A1542" s="19"/>
      <c r="B1542" s="19"/>
      <c r="C1542" s="20"/>
      <c r="D1542" s="19"/>
      <c r="E1542" s="26" t="str">
        <f aca="false">IF(A1542="","",COUNTIFS(Apparitions!$A$2:$A$5001,A1542,Apparitions!$B$2:$B$5001,B1542))</f>
        <v/>
      </c>
      <c r="F1542" s="27" t="str">
        <f aca="false">IF(A1542="","",A1542&amp;"|"&amp;B1542)</f>
        <v/>
      </c>
    </row>
    <row r="1543" customFormat="false" ht="15" hidden="false" customHeight="false" outlineLevel="0" collapsed="false">
      <c r="A1543" s="19"/>
      <c r="B1543" s="19"/>
      <c r="C1543" s="20"/>
      <c r="D1543" s="19"/>
      <c r="E1543" s="26" t="str">
        <f aca="false">IF(A1543="","",COUNTIFS(Apparitions!$A$2:$A$5001,A1543,Apparitions!$B$2:$B$5001,B1543))</f>
        <v/>
      </c>
      <c r="F1543" s="27" t="str">
        <f aca="false">IF(A1543="","",A1543&amp;"|"&amp;B1543)</f>
        <v/>
      </c>
    </row>
    <row r="1544" customFormat="false" ht="15" hidden="false" customHeight="false" outlineLevel="0" collapsed="false">
      <c r="A1544" s="19"/>
      <c r="B1544" s="19"/>
      <c r="C1544" s="20"/>
      <c r="D1544" s="19"/>
      <c r="E1544" s="26" t="str">
        <f aca="false">IF(A1544="","",COUNTIFS(Apparitions!$A$2:$A$5001,A1544,Apparitions!$B$2:$B$5001,B1544))</f>
        <v/>
      </c>
      <c r="F1544" s="27" t="str">
        <f aca="false">IF(A1544="","",A1544&amp;"|"&amp;B1544)</f>
        <v/>
      </c>
    </row>
    <row r="1545" customFormat="false" ht="15" hidden="false" customHeight="false" outlineLevel="0" collapsed="false">
      <c r="A1545" s="19"/>
      <c r="B1545" s="19"/>
      <c r="C1545" s="20"/>
      <c r="D1545" s="19"/>
      <c r="E1545" s="26" t="str">
        <f aca="false">IF(A1545="","",COUNTIFS(Apparitions!$A$2:$A$5001,A1545,Apparitions!$B$2:$B$5001,B1545))</f>
        <v/>
      </c>
      <c r="F1545" s="27" t="str">
        <f aca="false">IF(A1545="","",A1545&amp;"|"&amp;B1545)</f>
        <v/>
      </c>
    </row>
    <row r="1546" customFormat="false" ht="15" hidden="false" customHeight="false" outlineLevel="0" collapsed="false">
      <c r="A1546" s="19"/>
      <c r="B1546" s="19"/>
      <c r="C1546" s="20"/>
      <c r="D1546" s="19"/>
      <c r="E1546" s="26" t="str">
        <f aca="false">IF(A1546="","",COUNTIFS(Apparitions!$A$2:$A$5001,A1546,Apparitions!$B$2:$B$5001,B1546))</f>
        <v/>
      </c>
      <c r="F1546" s="27" t="str">
        <f aca="false">IF(A1546="","",A1546&amp;"|"&amp;B1546)</f>
        <v/>
      </c>
    </row>
    <row r="1547" customFormat="false" ht="15" hidden="false" customHeight="false" outlineLevel="0" collapsed="false">
      <c r="A1547" s="19"/>
      <c r="B1547" s="19"/>
      <c r="C1547" s="20"/>
      <c r="D1547" s="19"/>
      <c r="E1547" s="26" t="str">
        <f aca="false">IF(A1547="","",COUNTIFS(Apparitions!$A$2:$A$5001,A1547,Apparitions!$B$2:$B$5001,B1547))</f>
        <v/>
      </c>
      <c r="F1547" s="27" t="str">
        <f aca="false">IF(A1547="","",A1547&amp;"|"&amp;B1547)</f>
        <v/>
      </c>
    </row>
    <row r="1548" customFormat="false" ht="15" hidden="false" customHeight="false" outlineLevel="0" collapsed="false">
      <c r="A1548" s="19"/>
      <c r="B1548" s="19"/>
      <c r="C1548" s="20"/>
      <c r="D1548" s="19"/>
      <c r="E1548" s="26" t="str">
        <f aca="false">IF(A1548="","",COUNTIFS(Apparitions!$A$2:$A$5001,A1548,Apparitions!$B$2:$B$5001,B1548))</f>
        <v/>
      </c>
      <c r="F1548" s="27" t="str">
        <f aca="false">IF(A1548="","",A1548&amp;"|"&amp;B1548)</f>
        <v/>
      </c>
    </row>
    <row r="1549" customFormat="false" ht="15" hidden="false" customHeight="false" outlineLevel="0" collapsed="false">
      <c r="A1549" s="19"/>
      <c r="B1549" s="19"/>
      <c r="C1549" s="20"/>
      <c r="D1549" s="19"/>
      <c r="E1549" s="26" t="str">
        <f aca="false">IF(A1549="","",COUNTIFS(Apparitions!$A$2:$A$5001,A1549,Apparitions!$B$2:$B$5001,B1549))</f>
        <v/>
      </c>
      <c r="F1549" s="27" t="str">
        <f aca="false">IF(A1549="","",A1549&amp;"|"&amp;B1549)</f>
        <v/>
      </c>
    </row>
    <row r="1550" customFormat="false" ht="15" hidden="false" customHeight="false" outlineLevel="0" collapsed="false">
      <c r="A1550" s="19"/>
      <c r="B1550" s="19"/>
      <c r="C1550" s="20"/>
      <c r="D1550" s="19"/>
      <c r="E1550" s="26" t="str">
        <f aca="false">IF(A1550="","",COUNTIFS(Apparitions!$A$2:$A$5001,A1550,Apparitions!$B$2:$B$5001,B1550))</f>
        <v/>
      </c>
      <c r="F1550" s="27" t="str">
        <f aca="false">IF(A1550="","",A1550&amp;"|"&amp;B1550)</f>
        <v/>
      </c>
    </row>
    <row r="1551" customFormat="false" ht="15" hidden="false" customHeight="false" outlineLevel="0" collapsed="false">
      <c r="A1551" s="19"/>
      <c r="B1551" s="19"/>
      <c r="C1551" s="20"/>
      <c r="D1551" s="19"/>
      <c r="E1551" s="26" t="str">
        <f aca="false">IF(A1551="","",COUNTIFS(Apparitions!$A$2:$A$5001,A1551,Apparitions!$B$2:$B$5001,B1551))</f>
        <v/>
      </c>
      <c r="F1551" s="27" t="str">
        <f aca="false">IF(A1551="","",A1551&amp;"|"&amp;B1551)</f>
        <v/>
      </c>
    </row>
    <row r="1552" customFormat="false" ht="15" hidden="false" customHeight="false" outlineLevel="0" collapsed="false">
      <c r="A1552" s="19"/>
      <c r="B1552" s="19"/>
      <c r="C1552" s="20"/>
      <c r="D1552" s="19"/>
      <c r="E1552" s="26" t="str">
        <f aca="false">IF(A1552="","",COUNTIFS(Apparitions!$A$2:$A$5001,A1552,Apparitions!$B$2:$B$5001,B1552))</f>
        <v/>
      </c>
      <c r="F1552" s="27" t="str">
        <f aca="false">IF(A1552="","",A1552&amp;"|"&amp;B1552)</f>
        <v/>
      </c>
    </row>
    <row r="1553" customFormat="false" ht="15" hidden="false" customHeight="false" outlineLevel="0" collapsed="false">
      <c r="A1553" s="19"/>
      <c r="B1553" s="19"/>
      <c r="C1553" s="20"/>
      <c r="D1553" s="19"/>
      <c r="E1553" s="26" t="str">
        <f aca="false">IF(A1553="","",COUNTIFS(Apparitions!$A$2:$A$5001,A1553,Apparitions!$B$2:$B$5001,B1553))</f>
        <v/>
      </c>
      <c r="F1553" s="27" t="str">
        <f aca="false">IF(A1553="","",A1553&amp;"|"&amp;B1553)</f>
        <v/>
      </c>
    </row>
    <row r="1554" customFormat="false" ht="15" hidden="false" customHeight="false" outlineLevel="0" collapsed="false">
      <c r="A1554" s="19"/>
      <c r="B1554" s="19"/>
      <c r="C1554" s="20"/>
      <c r="D1554" s="19"/>
      <c r="E1554" s="26" t="str">
        <f aca="false">IF(A1554="","",COUNTIFS(Apparitions!$A$2:$A$5001,A1554,Apparitions!$B$2:$B$5001,B1554))</f>
        <v/>
      </c>
      <c r="F1554" s="27" t="str">
        <f aca="false">IF(A1554="","",A1554&amp;"|"&amp;B1554)</f>
        <v/>
      </c>
    </row>
    <row r="1555" customFormat="false" ht="15" hidden="false" customHeight="false" outlineLevel="0" collapsed="false">
      <c r="A1555" s="19"/>
      <c r="B1555" s="19"/>
      <c r="C1555" s="20"/>
      <c r="D1555" s="19"/>
      <c r="E1555" s="26" t="str">
        <f aca="false">IF(A1555="","",COUNTIFS(Apparitions!$A$2:$A$5001,A1555,Apparitions!$B$2:$B$5001,B1555))</f>
        <v/>
      </c>
      <c r="F1555" s="27" t="str">
        <f aca="false">IF(A1555="","",A1555&amp;"|"&amp;B1555)</f>
        <v/>
      </c>
    </row>
    <row r="1556" customFormat="false" ht="15" hidden="false" customHeight="false" outlineLevel="0" collapsed="false">
      <c r="A1556" s="19"/>
      <c r="B1556" s="19"/>
      <c r="C1556" s="20"/>
      <c r="D1556" s="19"/>
      <c r="E1556" s="26" t="str">
        <f aca="false">IF(A1556="","",COUNTIFS(Apparitions!$A$2:$A$5001,A1556,Apparitions!$B$2:$B$5001,B1556))</f>
        <v/>
      </c>
      <c r="F1556" s="27" t="str">
        <f aca="false">IF(A1556="","",A1556&amp;"|"&amp;B1556)</f>
        <v/>
      </c>
    </row>
    <row r="1557" customFormat="false" ht="15" hidden="false" customHeight="false" outlineLevel="0" collapsed="false">
      <c r="A1557" s="19"/>
      <c r="B1557" s="19"/>
      <c r="C1557" s="20"/>
      <c r="D1557" s="19"/>
      <c r="E1557" s="26" t="str">
        <f aca="false">IF(A1557="","",COUNTIFS(Apparitions!$A$2:$A$5001,A1557,Apparitions!$B$2:$B$5001,B1557))</f>
        <v/>
      </c>
      <c r="F1557" s="27" t="str">
        <f aca="false">IF(A1557="","",A1557&amp;"|"&amp;B1557)</f>
        <v/>
      </c>
    </row>
    <row r="1558" customFormat="false" ht="15" hidden="false" customHeight="false" outlineLevel="0" collapsed="false">
      <c r="A1558" s="19"/>
      <c r="B1558" s="19"/>
      <c r="C1558" s="20"/>
      <c r="D1558" s="19"/>
      <c r="E1558" s="26" t="str">
        <f aca="false">IF(A1558="","",COUNTIFS(Apparitions!$A$2:$A$5001,A1558,Apparitions!$B$2:$B$5001,B1558))</f>
        <v/>
      </c>
      <c r="F1558" s="27" t="str">
        <f aca="false">IF(A1558="","",A1558&amp;"|"&amp;B1558)</f>
        <v/>
      </c>
    </row>
    <row r="1559" customFormat="false" ht="15" hidden="false" customHeight="false" outlineLevel="0" collapsed="false">
      <c r="A1559" s="19"/>
      <c r="B1559" s="19"/>
      <c r="C1559" s="20"/>
      <c r="D1559" s="19"/>
      <c r="E1559" s="26" t="str">
        <f aca="false">IF(A1559="","",COUNTIFS(Apparitions!$A$2:$A$5001,A1559,Apparitions!$B$2:$B$5001,B1559))</f>
        <v/>
      </c>
      <c r="F1559" s="27" t="str">
        <f aca="false">IF(A1559="","",A1559&amp;"|"&amp;B1559)</f>
        <v/>
      </c>
    </row>
    <row r="1560" customFormat="false" ht="15" hidden="false" customHeight="false" outlineLevel="0" collapsed="false">
      <c r="A1560" s="19"/>
      <c r="B1560" s="19"/>
      <c r="C1560" s="20"/>
      <c r="D1560" s="19"/>
      <c r="E1560" s="26" t="str">
        <f aca="false">IF(A1560="","",COUNTIFS(Apparitions!$A$2:$A$5001,A1560,Apparitions!$B$2:$B$5001,B1560))</f>
        <v/>
      </c>
      <c r="F1560" s="27" t="str">
        <f aca="false">IF(A1560="","",A1560&amp;"|"&amp;B1560)</f>
        <v/>
      </c>
    </row>
    <row r="1561" customFormat="false" ht="15" hidden="false" customHeight="false" outlineLevel="0" collapsed="false">
      <c r="A1561" s="19"/>
      <c r="B1561" s="19"/>
      <c r="C1561" s="20"/>
      <c r="D1561" s="19"/>
      <c r="E1561" s="26" t="str">
        <f aca="false">IF(A1561="","",COUNTIFS(Apparitions!$A$2:$A$5001,A1561,Apparitions!$B$2:$B$5001,B1561))</f>
        <v/>
      </c>
      <c r="F1561" s="27" t="str">
        <f aca="false">IF(A1561="","",A1561&amp;"|"&amp;B1561)</f>
        <v/>
      </c>
    </row>
    <row r="1562" customFormat="false" ht="15" hidden="false" customHeight="false" outlineLevel="0" collapsed="false">
      <c r="A1562" s="19"/>
      <c r="B1562" s="19"/>
      <c r="C1562" s="20"/>
      <c r="D1562" s="19"/>
      <c r="E1562" s="26" t="str">
        <f aca="false">IF(A1562="","",COUNTIFS(Apparitions!$A$2:$A$5001,A1562,Apparitions!$B$2:$B$5001,B1562))</f>
        <v/>
      </c>
      <c r="F1562" s="27" t="str">
        <f aca="false">IF(A1562="","",A1562&amp;"|"&amp;B1562)</f>
        <v/>
      </c>
    </row>
    <row r="1563" customFormat="false" ht="15" hidden="false" customHeight="false" outlineLevel="0" collapsed="false">
      <c r="A1563" s="19"/>
      <c r="B1563" s="19"/>
      <c r="C1563" s="20"/>
      <c r="D1563" s="19"/>
      <c r="E1563" s="26" t="str">
        <f aca="false">IF(A1563="","",COUNTIFS(Apparitions!$A$2:$A$5001,A1563,Apparitions!$B$2:$B$5001,B1563))</f>
        <v/>
      </c>
      <c r="F1563" s="27" t="str">
        <f aca="false">IF(A1563="","",A1563&amp;"|"&amp;B1563)</f>
        <v/>
      </c>
    </row>
    <row r="1564" customFormat="false" ht="15" hidden="false" customHeight="false" outlineLevel="0" collapsed="false">
      <c r="A1564" s="19"/>
      <c r="B1564" s="19"/>
      <c r="C1564" s="20"/>
      <c r="D1564" s="19"/>
      <c r="E1564" s="26" t="str">
        <f aca="false">IF(A1564="","",COUNTIFS(Apparitions!$A$2:$A$5001,A1564,Apparitions!$B$2:$B$5001,B1564))</f>
        <v/>
      </c>
      <c r="F1564" s="27" t="str">
        <f aca="false">IF(A1564="","",A1564&amp;"|"&amp;B1564)</f>
        <v/>
      </c>
    </row>
    <row r="1565" customFormat="false" ht="15" hidden="false" customHeight="false" outlineLevel="0" collapsed="false">
      <c r="A1565" s="19"/>
      <c r="B1565" s="19"/>
      <c r="C1565" s="20"/>
      <c r="D1565" s="19"/>
      <c r="E1565" s="26" t="str">
        <f aca="false">IF(A1565="","",COUNTIFS(Apparitions!$A$2:$A$5001,A1565,Apparitions!$B$2:$B$5001,B1565))</f>
        <v/>
      </c>
      <c r="F1565" s="27" t="str">
        <f aca="false">IF(A1565="","",A1565&amp;"|"&amp;B1565)</f>
        <v/>
      </c>
    </row>
    <row r="1566" customFormat="false" ht="15" hidden="false" customHeight="false" outlineLevel="0" collapsed="false">
      <c r="A1566" s="19"/>
      <c r="B1566" s="19"/>
      <c r="C1566" s="20"/>
      <c r="D1566" s="19"/>
      <c r="E1566" s="26" t="str">
        <f aca="false">IF(A1566="","",COUNTIFS(Apparitions!$A$2:$A$5001,A1566,Apparitions!$B$2:$B$5001,B1566))</f>
        <v/>
      </c>
      <c r="F1566" s="27" t="str">
        <f aca="false">IF(A1566="","",A1566&amp;"|"&amp;B1566)</f>
        <v/>
      </c>
    </row>
    <row r="1567" customFormat="false" ht="15" hidden="false" customHeight="false" outlineLevel="0" collapsed="false">
      <c r="A1567" s="19"/>
      <c r="B1567" s="19"/>
      <c r="C1567" s="20"/>
      <c r="D1567" s="19"/>
      <c r="E1567" s="26" t="str">
        <f aca="false">IF(A1567="","",COUNTIFS(Apparitions!$A$2:$A$5001,A1567,Apparitions!$B$2:$B$5001,B1567))</f>
        <v/>
      </c>
      <c r="F1567" s="27" t="str">
        <f aca="false">IF(A1567="","",A1567&amp;"|"&amp;B1567)</f>
        <v/>
      </c>
    </row>
    <row r="1568" customFormat="false" ht="15" hidden="false" customHeight="false" outlineLevel="0" collapsed="false">
      <c r="A1568" s="19"/>
      <c r="B1568" s="19"/>
      <c r="C1568" s="20"/>
      <c r="D1568" s="19"/>
      <c r="E1568" s="26" t="str">
        <f aca="false">IF(A1568="","",COUNTIFS(Apparitions!$A$2:$A$5001,A1568,Apparitions!$B$2:$B$5001,B1568))</f>
        <v/>
      </c>
      <c r="F1568" s="27" t="str">
        <f aca="false">IF(A1568="","",A1568&amp;"|"&amp;B1568)</f>
        <v/>
      </c>
    </row>
    <row r="1569" customFormat="false" ht="15" hidden="false" customHeight="false" outlineLevel="0" collapsed="false">
      <c r="A1569" s="19"/>
      <c r="B1569" s="19"/>
      <c r="C1569" s="20"/>
      <c r="D1569" s="19"/>
      <c r="E1569" s="26" t="str">
        <f aca="false">IF(A1569="","",COUNTIFS(Apparitions!$A$2:$A$5001,A1569,Apparitions!$B$2:$B$5001,B1569))</f>
        <v/>
      </c>
      <c r="F1569" s="27" t="str">
        <f aca="false">IF(A1569="","",A1569&amp;"|"&amp;B1569)</f>
        <v/>
      </c>
    </row>
    <row r="1570" customFormat="false" ht="15" hidden="false" customHeight="false" outlineLevel="0" collapsed="false">
      <c r="A1570" s="19"/>
      <c r="B1570" s="19"/>
      <c r="C1570" s="20"/>
      <c r="D1570" s="19"/>
      <c r="E1570" s="26" t="str">
        <f aca="false">IF(A1570="","",COUNTIFS(Apparitions!$A$2:$A$5001,A1570,Apparitions!$B$2:$B$5001,B1570))</f>
        <v/>
      </c>
      <c r="F1570" s="27" t="str">
        <f aca="false">IF(A1570="","",A1570&amp;"|"&amp;B1570)</f>
        <v/>
      </c>
    </row>
    <row r="1571" customFormat="false" ht="15" hidden="false" customHeight="false" outlineLevel="0" collapsed="false">
      <c r="A1571" s="19"/>
      <c r="B1571" s="19"/>
      <c r="C1571" s="20"/>
      <c r="D1571" s="19"/>
      <c r="E1571" s="26" t="str">
        <f aca="false">IF(A1571="","",COUNTIFS(Apparitions!$A$2:$A$5001,A1571,Apparitions!$B$2:$B$5001,B1571))</f>
        <v/>
      </c>
      <c r="F1571" s="27" t="str">
        <f aca="false">IF(A1571="","",A1571&amp;"|"&amp;B1571)</f>
        <v/>
      </c>
    </row>
    <row r="1572" customFormat="false" ht="15" hidden="false" customHeight="false" outlineLevel="0" collapsed="false">
      <c r="A1572" s="19"/>
      <c r="B1572" s="19"/>
      <c r="C1572" s="20"/>
      <c r="D1572" s="19"/>
      <c r="E1572" s="26" t="str">
        <f aca="false">IF(A1572="","",COUNTIFS(Apparitions!$A$2:$A$5001,A1572,Apparitions!$B$2:$B$5001,B1572))</f>
        <v/>
      </c>
      <c r="F1572" s="27" t="str">
        <f aca="false">IF(A1572="","",A1572&amp;"|"&amp;B1572)</f>
        <v/>
      </c>
    </row>
    <row r="1573" customFormat="false" ht="15" hidden="false" customHeight="false" outlineLevel="0" collapsed="false">
      <c r="A1573" s="19"/>
      <c r="B1573" s="19"/>
      <c r="C1573" s="20"/>
      <c r="D1573" s="19"/>
      <c r="E1573" s="26" t="str">
        <f aca="false">IF(A1573="","",COUNTIFS(Apparitions!$A$2:$A$5001,A1573,Apparitions!$B$2:$B$5001,B1573))</f>
        <v/>
      </c>
      <c r="F1573" s="27" t="str">
        <f aca="false">IF(A1573="","",A1573&amp;"|"&amp;B1573)</f>
        <v/>
      </c>
    </row>
    <row r="1574" customFormat="false" ht="15" hidden="false" customHeight="false" outlineLevel="0" collapsed="false">
      <c r="A1574" s="19"/>
      <c r="B1574" s="19"/>
      <c r="C1574" s="20"/>
      <c r="D1574" s="19"/>
      <c r="E1574" s="26" t="str">
        <f aca="false">IF(A1574="","",COUNTIFS(Apparitions!$A$2:$A$5001,A1574,Apparitions!$B$2:$B$5001,B1574))</f>
        <v/>
      </c>
      <c r="F1574" s="27" t="str">
        <f aca="false">IF(A1574="","",A1574&amp;"|"&amp;B1574)</f>
        <v/>
      </c>
    </row>
    <row r="1575" customFormat="false" ht="15" hidden="false" customHeight="false" outlineLevel="0" collapsed="false">
      <c r="A1575" s="19"/>
      <c r="B1575" s="19"/>
      <c r="C1575" s="20"/>
      <c r="D1575" s="19"/>
      <c r="E1575" s="26" t="str">
        <f aca="false">IF(A1575="","",COUNTIFS(Apparitions!$A$2:$A$5001,A1575,Apparitions!$B$2:$B$5001,B1575))</f>
        <v/>
      </c>
      <c r="F1575" s="27" t="str">
        <f aca="false">IF(A1575="","",A1575&amp;"|"&amp;B1575)</f>
        <v/>
      </c>
    </row>
    <row r="1576" customFormat="false" ht="15" hidden="false" customHeight="false" outlineLevel="0" collapsed="false">
      <c r="A1576" s="19"/>
      <c r="B1576" s="19"/>
      <c r="C1576" s="20"/>
      <c r="D1576" s="19"/>
      <c r="E1576" s="26" t="str">
        <f aca="false">IF(A1576="","",COUNTIFS(Apparitions!$A$2:$A$5001,A1576,Apparitions!$B$2:$B$5001,B1576))</f>
        <v/>
      </c>
      <c r="F1576" s="27" t="str">
        <f aca="false">IF(A1576="","",A1576&amp;"|"&amp;B1576)</f>
        <v/>
      </c>
    </row>
    <row r="1577" customFormat="false" ht="15" hidden="false" customHeight="false" outlineLevel="0" collapsed="false">
      <c r="A1577" s="19"/>
      <c r="B1577" s="19"/>
      <c r="C1577" s="20"/>
      <c r="D1577" s="19"/>
      <c r="E1577" s="26" t="str">
        <f aca="false">IF(A1577="","",COUNTIFS(Apparitions!$A$2:$A$5001,A1577,Apparitions!$B$2:$B$5001,B1577))</f>
        <v/>
      </c>
      <c r="F1577" s="27" t="str">
        <f aca="false">IF(A1577="","",A1577&amp;"|"&amp;B1577)</f>
        <v/>
      </c>
    </row>
    <row r="1578" customFormat="false" ht="15" hidden="false" customHeight="false" outlineLevel="0" collapsed="false">
      <c r="A1578" s="19"/>
      <c r="B1578" s="19"/>
      <c r="C1578" s="20"/>
      <c r="D1578" s="19"/>
      <c r="E1578" s="26" t="str">
        <f aca="false">IF(A1578="","",COUNTIFS(Apparitions!$A$2:$A$5001,A1578,Apparitions!$B$2:$B$5001,B1578))</f>
        <v/>
      </c>
      <c r="F1578" s="27" t="str">
        <f aca="false">IF(A1578="","",A1578&amp;"|"&amp;B1578)</f>
        <v/>
      </c>
    </row>
    <row r="1579" customFormat="false" ht="15" hidden="false" customHeight="false" outlineLevel="0" collapsed="false">
      <c r="A1579" s="19"/>
      <c r="B1579" s="19"/>
      <c r="C1579" s="20"/>
      <c r="D1579" s="19"/>
      <c r="E1579" s="26" t="str">
        <f aca="false">IF(A1579="","",COUNTIFS(Apparitions!$A$2:$A$5001,A1579,Apparitions!$B$2:$B$5001,B1579))</f>
        <v/>
      </c>
      <c r="F1579" s="27" t="str">
        <f aca="false">IF(A1579="","",A1579&amp;"|"&amp;B1579)</f>
        <v/>
      </c>
    </row>
    <row r="1580" customFormat="false" ht="15" hidden="false" customHeight="false" outlineLevel="0" collapsed="false">
      <c r="A1580" s="19"/>
      <c r="B1580" s="19"/>
      <c r="C1580" s="20"/>
      <c r="D1580" s="19"/>
      <c r="E1580" s="26" t="str">
        <f aca="false">IF(A1580="","",COUNTIFS(Apparitions!$A$2:$A$5001,A1580,Apparitions!$B$2:$B$5001,B1580))</f>
        <v/>
      </c>
      <c r="F1580" s="27" t="str">
        <f aca="false">IF(A1580="","",A1580&amp;"|"&amp;B1580)</f>
        <v/>
      </c>
    </row>
    <row r="1581" customFormat="false" ht="15" hidden="false" customHeight="false" outlineLevel="0" collapsed="false">
      <c r="A1581" s="19"/>
      <c r="B1581" s="19"/>
      <c r="C1581" s="20"/>
      <c r="D1581" s="19"/>
      <c r="E1581" s="26" t="str">
        <f aca="false">IF(A1581="","",COUNTIFS(Apparitions!$A$2:$A$5001,A1581,Apparitions!$B$2:$B$5001,B1581))</f>
        <v/>
      </c>
      <c r="F1581" s="27" t="str">
        <f aca="false">IF(A1581="","",A1581&amp;"|"&amp;B1581)</f>
        <v/>
      </c>
    </row>
    <row r="1582" customFormat="false" ht="15" hidden="false" customHeight="false" outlineLevel="0" collapsed="false">
      <c r="A1582" s="19"/>
      <c r="B1582" s="19"/>
      <c r="C1582" s="20"/>
      <c r="D1582" s="19"/>
      <c r="E1582" s="26" t="str">
        <f aca="false">IF(A1582="","",COUNTIFS(Apparitions!$A$2:$A$5001,A1582,Apparitions!$B$2:$B$5001,B1582))</f>
        <v/>
      </c>
      <c r="F1582" s="27" t="str">
        <f aca="false">IF(A1582="","",A1582&amp;"|"&amp;B1582)</f>
        <v/>
      </c>
    </row>
    <row r="1583" customFormat="false" ht="15" hidden="false" customHeight="false" outlineLevel="0" collapsed="false">
      <c r="A1583" s="19"/>
      <c r="B1583" s="19"/>
      <c r="C1583" s="20"/>
      <c r="D1583" s="19"/>
      <c r="E1583" s="26" t="str">
        <f aca="false">IF(A1583="","",COUNTIFS(Apparitions!$A$2:$A$5001,A1583,Apparitions!$B$2:$B$5001,B1583))</f>
        <v/>
      </c>
      <c r="F1583" s="27" t="str">
        <f aca="false">IF(A1583="","",A1583&amp;"|"&amp;B1583)</f>
        <v/>
      </c>
    </row>
    <row r="1584" customFormat="false" ht="15" hidden="false" customHeight="false" outlineLevel="0" collapsed="false">
      <c r="A1584" s="19"/>
      <c r="B1584" s="19"/>
      <c r="C1584" s="20"/>
      <c r="D1584" s="19"/>
      <c r="E1584" s="26" t="str">
        <f aca="false">IF(A1584="","",COUNTIFS(Apparitions!$A$2:$A$5001,A1584,Apparitions!$B$2:$B$5001,B1584))</f>
        <v/>
      </c>
      <c r="F1584" s="27" t="str">
        <f aca="false">IF(A1584="","",A1584&amp;"|"&amp;B1584)</f>
        <v/>
      </c>
    </row>
    <row r="1585" customFormat="false" ht="15" hidden="false" customHeight="false" outlineLevel="0" collapsed="false">
      <c r="A1585" s="19"/>
      <c r="B1585" s="19"/>
      <c r="C1585" s="20"/>
      <c r="D1585" s="19"/>
      <c r="E1585" s="26" t="str">
        <f aca="false">IF(A1585="","",COUNTIFS(Apparitions!$A$2:$A$5001,A1585,Apparitions!$B$2:$B$5001,B1585))</f>
        <v/>
      </c>
      <c r="F1585" s="27" t="str">
        <f aca="false">IF(A1585="","",A1585&amp;"|"&amp;B1585)</f>
        <v/>
      </c>
    </row>
    <row r="1586" customFormat="false" ht="15" hidden="false" customHeight="false" outlineLevel="0" collapsed="false">
      <c r="A1586" s="19"/>
      <c r="B1586" s="19"/>
      <c r="C1586" s="20"/>
      <c r="D1586" s="19"/>
      <c r="E1586" s="26" t="str">
        <f aca="false">IF(A1586="","",COUNTIFS(Apparitions!$A$2:$A$5001,A1586,Apparitions!$B$2:$B$5001,B1586))</f>
        <v/>
      </c>
      <c r="F1586" s="27" t="str">
        <f aca="false">IF(A1586="","",A1586&amp;"|"&amp;B1586)</f>
        <v/>
      </c>
    </row>
    <row r="1587" customFormat="false" ht="15" hidden="false" customHeight="false" outlineLevel="0" collapsed="false">
      <c r="A1587" s="19"/>
      <c r="B1587" s="19"/>
      <c r="C1587" s="20"/>
      <c r="D1587" s="19"/>
      <c r="E1587" s="26" t="str">
        <f aca="false">IF(A1587="","",COUNTIFS(Apparitions!$A$2:$A$5001,A1587,Apparitions!$B$2:$B$5001,B1587))</f>
        <v/>
      </c>
      <c r="F1587" s="27" t="str">
        <f aca="false">IF(A1587="","",A1587&amp;"|"&amp;B1587)</f>
        <v/>
      </c>
    </row>
    <row r="1588" customFormat="false" ht="15" hidden="false" customHeight="false" outlineLevel="0" collapsed="false">
      <c r="A1588" s="19"/>
      <c r="B1588" s="19"/>
      <c r="C1588" s="20"/>
      <c r="D1588" s="19"/>
      <c r="E1588" s="26" t="str">
        <f aca="false">IF(A1588="","",COUNTIFS(Apparitions!$A$2:$A$5001,A1588,Apparitions!$B$2:$B$5001,B1588))</f>
        <v/>
      </c>
      <c r="F1588" s="27" t="str">
        <f aca="false">IF(A1588="","",A1588&amp;"|"&amp;B1588)</f>
        <v/>
      </c>
    </row>
    <row r="1589" customFormat="false" ht="15" hidden="false" customHeight="false" outlineLevel="0" collapsed="false">
      <c r="A1589" s="19"/>
      <c r="B1589" s="19"/>
      <c r="C1589" s="20"/>
      <c r="D1589" s="19"/>
      <c r="E1589" s="26" t="str">
        <f aca="false">IF(A1589="","",COUNTIFS(Apparitions!$A$2:$A$5001,A1589,Apparitions!$B$2:$B$5001,B1589))</f>
        <v/>
      </c>
      <c r="F1589" s="27" t="str">
        <f aca="false">IF(A1589="","",A1589&amp;"|"&amp;B1589)</f>
        <v/>
      </c>
    </row>
    <row r="1590" customFormat="false" ht="15" hidden="false" customHeight="false" outlineLevel="0" collapsed="false">
      <c r="A1590" s="19"/>
      <c r="B1590" s="19"/>
      <c r="C1590" s="20"/>
      <c r="D1590" s="19"/>
      <c r="E1590" s="26" t="str">
        <f aca="false">IF(A1590="","",COUNTIFS(Apparitions!$A$2:$A$5001,A1590,Apparitions!$B$2:$B$5001,B1590))</f>
        <v/>
      </c>
      <c r="F1590" s="27" t="str">
        <f aca="false">IF(A1590="","",A1590&amp;"|"&amp;B1590)</f>
        <v/>
      </c>
    </row>
    <row r="1591" customFormat="false" ht="15" hidden="false" customHeight="false" outlineLevel="0" collapsed="false">
      <c r="A1591" s="19"/>
      <c r="B1591" s="19"/>
      <c r="C1591" s="20"/>
      <c r="D1591" s="19"/>
      <c r="E1591" s="26" t="str">
        <f aca="false">IF(A1591="","",COUNTIFS(Apparitions!$A$2:$A$5001,A1591,Apparitions!$B$2:$B$5001,B1591))</f>
        <v/>
      </c>
      <c r="F1591" s="27" t="str">
        <f aca="false">IF(A1591="","",A1591&amp;"|"&amp;B1591)</f>
        <v/>
      </c>
    </row>
    <row r="1592" customFormat="false" ht="15" hidden="false" customHeight="false" outlineLevel="0" collapsed="false">
      <c r="A1592" s="19"/>
      <c r="B1592" s="19"/>
      <c r="C1592" s="20"/>
      <c r="D1592" s="19"/>
      <c r="E1592" s="26" t="str">
        <f aca="false">IF(A1592="","",COUNTIFS(Apparitions!$A$2:$A$5001,A1592,Apparitions!$B$2:$B$5001,B1592))</f>
        <v/>
      </c>
      <c r="F1592" s="27" t="str">
        <f aca="false">IF(A1592="","",A1592&amp;"|"&amp;B1592)</f>
        <v/>
      </c>
    </row>
    <row r="1593" customFormat="false" ht="15" hidden="false" customHeight="false" outlineLevel="0" collapsed="false">
      <c r="A1593" s="19"/>
      <c r="B1593" s="19"/>
      <c r="C1593" s="20"/>
      <c r="D1593" s="19"/>
      <c r="E1593" s="26" t="str">
        <f aca="false">IF(A1593="","",COUNTIFS(Apparitions!$A$2:$A$5001,A1593,Apparitions!$B$2:$B$5001,B1593))</f>
        <v/>
      </c>
      <c r="F1593" s="27" t="str">
        <f aca="false">IF(A1593="","",A1593&amp;"|"&amp;B1593)</f>
        <v/>
      </c>
    </row>
    <row r="1594" customFormat="false" ht="15" hidden="false" customHeight="false" outlineLevel="0" collapsed="false">
      <c r="A1594" s="19"/>
      <c r="B1594" s="19"/>
      <c r="C1594" s="20"/>
      <c r="D1594" s="19"/>
      <c r="E1594" s="26" t="str">
        <f aca="false">IF(A1594="","",COUNTIFS(Apparitions!$A$2:$A$5001,A1594,Apparitions!$B$2:$B$5001,B1594))</f>
        <v/>
      </c>
      <c r="F1594" s="27" t="str">
        <f aca="false">IF(A1594="","",A1594&amp;"|"&amp;B1594)</f>
        <v/>
      </c>
    </row>
    <row r="1595" customFormat="false" ht="15" hidden="false" customHeight="false" outlineLevel="0" collapsed="false">
      <c r="A1595" s="19"/>
      <c r="B1595" s="19"/>
      <c r="C1595" s="20"/>
      <c r="D1595" s="19"/>
      <c r="E1595" s="26" t="str">
        <f aca="false">IF(A1595="","",COUNTIFS(Apparitions!$A$2:$A$5001,A1595,Apparitions!$B$2:$B$5001,B1595))</f>
        <v/>
      </c>
      <c r="F1595" s="27" t="str">
        <f aca="false">IF(A1595="","",A1595&amp;"|"&amp;B1595)</f>
        <v/>
      </c>
    </row>
    <row r="1596" customFormat="false" ht="15" hidden="false" customHeight="false" outlineLevel="0" collapsed="false">
      <c r="A1596" s="19"/>
      <c r="B1596" s="19"/>
      <c r="C1596" s="20"/>
      <c r="D1596" s="19"/>
      <c r="E1596" s="26" t="str">
        <f aca="false">IF(A1596="","",COUNTIFS(Apparitions!$A$2:$A$5001,A1596,Apparitions!$B$2:$B$5001,B1596))</f>
        <v/>
      </c>
      <c r="F1596" s="27" t="str">
        <f aca="false">IF(A1596="","",A1596&amp;"|"&amp;B1596)</f>
        <v/>
      </c>
    </row>
    <row r="1597" customFormat="false" ht="15" hidden="false" customHeight="false" outlineLevel="0" collapsed="false">
      <c r="A1597" s="19"/>
      <c r="B1597" s="19"/>
      <c r="C1597" s="20"/>
      <c r="D1597" s="19"/>
      <c r="E1597" s="26" t="str">
        <f aca="false">IF(A1597="","",COUNTIFS(Apparitions!$A$2:$A$5001,A1597,Apparitions!$B$2:$B$5001,B1597))</f>
        <v/>
      </c>
      <c r="F1597" s="27" t="str">
        <f aca="false">IF(A1597="","",A1597&amp;"|"&amp;B1597)</f>
        <v/>
      </c>
    </row>
    <row r="1598" customFormat="false" ht="15" hidden="false" customHeight="false" outlineLevel="0" collapsed="false">
      <c r="A1598" s="19"/>
      <c r="B1598" s="19"/>
      <c r="C1598" s="20"/>
      <c r="D1598" s="19"/>
      <c r="E1598" s="26" t="str">
        <f aca="false">IF(A1598="","",COUNTIFS(Apparitions!$A$2:$A$5001,A1598,Apparitions!$B$2:$B$5001,B1598))</f>
        <v/>
      </c>
      <c r="F1598" s="27" t="str">
        <f aca="false">IF(A1598="","",A1598&amp;"|"&amp;B1598)</f>
        <v/>
      </c>
    </row>
    <row r="1599" customFormat="false" ht="15" hidden="false" customHeight="false" outlineLevel="0" collapsed="false">
      <c r="A1599" s="19"/>
      <c r="B1599" s="19"/>
      <c r="C1599" s="20"/>
      <c r="D1599" s="19"/>
      <c r="E1599" s="26" t="str">
        <f aca="false">IF(A1599="","",COUNTIFS(Apparitions!$A$2:$A$5001,A1599,Apparitions!$B$2:$B$5001,B1599))</f>
        <v/>
      </c>
      <c r="F1599" s="27" t="str">
        <f aca="false">IF(A1599="","",A1599&amp;"|"&amp;B1599)</f>
        <v/>
      </c>
    </row>
    <row r="1600" customFormat="false" ht="15" hidden="false" customHeight="false" outlineLevel="0" collapsed="false">
      <c r="A1600" s="19"/>
      <c r="B1600" s="19"/>
      <c r="C1600" s="20"/>
      <c r="D1600" s="19"/>
      <c r="E1600" s="26" t="str">
        <f aca="false">IF(A1600="","",COUNTIFS(Apparitions!$A$2:$A$5001,A1600,Apparitions!$B$2:$B$5001,B1600))</f>
        <v/>
      </c>
      <c r="F1600" s="27" t="str">
        <f aca="false">IF(A1600="","",A1600&amp;"|"&amp;B1600)</f>
        <v/>
      </c>
    </row>
    <row r="1601" customFormat="false" ht="15" hidden="false" customHeight="false" outlineLevel="0" collapsed="false">
      <c r="A1601" s="19"/>
      <c r="B1601" s="19"/>
      <c r="C1601" s="20"/>
      <c r="D1601" s="19"/>
      <c r="E1601" s="26" t="str">
        <f aca="false">IF(A1601="","",COUNTIFS(Apparitions!$A$2:$A$5001,A1601,Apparitions!$B$2:$B$5001,B1601))</f>
        <v/>
      </c>
      <c r="F1601" s="27" t="str">
        <f aca="false">IF(A1601="","",A1601&amp;"|"&amp;B1601)</f>
        <v/>
      </c>
    </row>
    <row r="1602" customFormat="false" ht="15" hidden="false" customHeight="false" outlineLevel="0" collapsed="false">
      <c r="A1602" s="19"/>
      <c r="B1602" s="19"/>
      <c r="C1602" s="20"/>
      <c r="D1602" s="19"/>
      <c r="E1602" s="26" t="str">
        <f aca="false">IF(A1602="","",COUNTIFS(Apparitions!$A$2:$A$5001,A1602,Apparitions!$B$2:$B$5001,B1602))</f>
        <v/>
      </c>
      <c r="F1602" s="27" t="str">
        <f aca="false">IF(A1602="","",A1602&amp;"|"&amp;B1602)</f>
        <v/>
      </c>
    </row>
    <row r="1603" customFormat="false" ht="15" hidden="false" customHeight="false" outlineLevel="0" collapsed="false">
      <c r="A1603" s="19"/>
      <c r="B1603" s="19"/>
      <c r="C1603" s="20"/>
      <c r="D1603" s="19"/>
      <c r="E1603" s="26" t="str">
        <f aca="false">IF(A1603="","",COUNTIFS(Apparitions!$A$2:$A$5001,A1603,Apparitions!$B$2:$B$5001,B1603))</f>
        <v/>
      </c>
      <c r="F1603" s="27" t="str">
        <f aca="false">IF(A1603="","",A1603&amp;"|"&amp;B1603)</f>
        <v/>
      </c>
    </row>
    <row r="1604" customFormat="false" ht="15" hidden="false" customHeight="false" outlineLevel="0" collapsed="false">
      <c r="A1604" s="19"/>
      <c r="B1604" s="19"/>
      <c r="C1604" s="20"/>
      <c r="D1604" s="19"/>
      <c r="E1604" s="26" t="str">
        <f aca="false">IF(A1604="","",COUNTIFS(Apparitions!$A$2:$A$5001,A1604,Apparitions!$B$2:$B$5001,B1604))</f>
        <v/>
      </c>
      <c r="F1604" s="27" t="str">
        <f aca="false">IF(A1604="","",A1604&amp;"|"&amp;B1604)</f>
        <v/>
      </c>
    </row>
    <row r="1605" customFormat="false" ht="15" hidden="false" customHeight="false" outlineLevel="0" collapsed="false">
      <c r="A1605" s="19"/>
      <c r="B1605" s="19"/>
      <c r="C1605" s="20"/>
      <c r="D1605" s="19"/>
      <c r="E1605" s="26" t="str">
        <f aca="false">IF(A1605="","",COUNTIFS(Apparitions!$A$2:$A$5001,A1605,Apparitions!$B$2:$B$5001,B1605))</f>
        <v/>
      </c>
      <c r="F1605" s="27" t="str">
        <f aca="false">IF(A1605="","",A1605&amp;"|"&amp;B1605)</f>
        <v/>
      </c>
    </row>
    <row r="1606" customFormat="false" ht="15" hidden="false" customHeight="false" outlineLevel="0" collapsed="false">
      <c r="A1606" s="19"/>
      <c r="B1606" s="19"/>
      <c r="C1606" s="20"/>
      <c r="D1606" s="19"/>
      <c r="E1606" s="26" t="str">
        <f aca="false">IF(A1606="","",COUNTIFS(Apparitions!$A$2:$A$5001,A1606,Apparitions!$B$2:$B$5001,B1606))</f>
        <v/>
      </c>
      <c r="F1606" s="27" t="str">
        <f aca="false">IF(A1606="","",A1606&amp;"|"&amp;B1606)</f>
        <v/>
      </c>
    </row>
    <row r="1607" customFormat="false" ht="15" hidden="false" customHeight="false" outlineLevel="0" collapsed="false">
      <c r="A1607" s="19"/>
      <c r="B1607" s="19"/>
      <c r="C1607" s="20"/>
      <c r="D1607" s="19"/>
      <c r="E1607" s="26" t="str">
        <f aca="false">IF(A1607="","",COUNTIFS(Apparitions!$A$2:$A$5001,A1607,Apparitions!$B$2:$B$5001,B1607))</f>
        <v/>
      </c>
      <c r="F1607" s="27" t="str">
        <f aca="false">IF(A1607="","",A1607&amp;"|"&amp;B1607)</f>
        <v/>
      </c>
    </row>
    <row r="1608" customFormat="false" ht="15" hidden="false" customHeight="false" outlineLevel="0" collapsed="false">
      <c r="A1608" s="19"/>
      <c r="B1608" s="19"/>
      <c r="C1608" s="20"/>
      <c r="D1608" s="19"/>
      <c r="E1608" s="26" t="str">
        <f aca="false">IF(A1608="","",COUNTIFS(Apparitions!$A$2:$A$5001,A1608,Apparitions!$B$2:$B$5001,B1608))</f>
        <v/>
      </c>
      <c r="F1608" s="27" t="str">
        <f aca="false">IF(A1608="","",A1608&amp;"|"&amp;B1608)</f>
        <v/>
      </c>
    </row>
    <row r="1609" customFormat="false" ht="15" hidden="false" customHeight="false" outlineLevel="0" collapsed="false">
      <c r="A1609" s="19"/>
      <c r="B1609" s="19"/>
      <c r="C1609" s="20"/>
      <c r="D1609" s="19"/>
      <c r="E1609" s="26" t="str">
        <f aca="false">IF(A1609="","",COUNTIFS(Apparitions!$A$2:$A$5001,A1609,Apparitions!$B$2:$B$5001,B1609))</f>
        <v/>
      </c>
      <c r="F1609" s="27" t="str">
        <f aca="false">IF(A1609="","",A1609&amp;"|"&amp;B1609)</f>
        <v/>
      </c>
    </row>
    <row r="1610" customFormat="false" ht="15" hidden="false" customHeight="false" outlineLevel="0" collapsed="false">
      <c r="A1610" s="19"/>
      <c r="B1610" s="19"/>
      <c r="C1610" s="20"/>
      <c r="D1610" s="19"/>
      <c r="E1610" s="26" t="str">
        <f aca="false">IF(A1610="","",COUNTIFS(Apparitions!$A$2:$A$5001,A1610,Apparitions!$B$2:$B$5001,B1610))</f>
        <v/>
      </c>
      <c r="F1610" s="27" t="str">
        <f aca="false">IF(A1610="","",A1610&amp;"|"&amp;B1610)</f>
        <v/>
      </c>
    </row>
    <row r="1611" customFormat="false" ht="15" hidden="false" customHeight="false" outlineLevel="0" collapsed="false">
      <c r="A1611" s="19"/>
      <c r="B1611" s="19"/>
      <c r="C1611" s="20"/>
      <c r="D1611" s="19"/>
      <c r="E1611" s="26" t="str">
        <f aca="false">IF(A1611="","",COUNTIFS(Apparitions!$A$2:$A$5001,A1611,Apparitions!$B$2:$B$5001,B1611))</f>
        <v/>
      </c>
      <c r="F1611" s="27" t="str">
        <f aca="false">IF(A1611="","",A1611&amp;"|"&amp;B1611)</f>
        <v/>
      </c>
    </row>
    <row r="1612" customFormat="false" ht="15" hidden="false" customHeight="false" outlineLevel="0" collapsed="false">
      <c r="A1612" s="19"/>
      <c r="B1612" s="19"/>
      <c r="C1612" s="20"/>
      <c r="D1612" s="19"/>
      <c r="E1612" s="26" t="str">
        <f aca="false">IF(A1612="","",COUNTIFS(Apparitions!$A$2:$A$5001,A1612,Apparitions!$B$2:$B$5001,B1612))</f>
        <v/>
      </c>
      <c r="F1612" s="27" t="str">
        <f aca="false">IF(A1612="","",A1612&amp;"|"&amp;B1612)</f>
        <v/>
      </c>
    </row>
    <row r="1613" customFormat="false" ht="15" hidden="false" customHeight="false" outlineLevel="0" collapsed="false">
      <c r="A1613" s="19"/>
      <c r="B1613" s="19"/>
      <c r="C1613" s="20"/>
      <c r="D1613" s="19"/>
      <c r="E1613" s="26" t="str">
        <f aca="false">IF(A1613="","",COUNTIFS(Apparitions!$A$2:$A$5001,A1613,Apparitions!$B$2:$B$5001,B1613))</f>
        <v/>
      </c>
      <c r="F1613" s="27" t="str">
        <f aca="false">IF(A1613="","",A1613&amp;"|"&amp;B1613)</f>
        <v/>
      </c>
    </row>
    <row r="1614" customFormat="false" ht="15" hidden="false" customHeight="false" outlineLevel="0" collapsed="false">
      <c r="A1614" s="19"/>
      <c r="B1614" s="19"/>
      <c r="C1614" s="20"/>
      <c r="D1614" s="19"/>
      <c r="E1614" s="26" t="str">
        <f aca="false">IF(A1614="","",COUNTIFS(Apparitions!$A$2:$A$5001,A1614,Apparitions!$B$2:$B$5001,B1614))</f>
        <v/>
      </c>
      <c r="F1614" s="27" t="str">
        <f aca="false">IF(A1614="","",A1614&amp;"|"&amp;B1614)</f>
        <v/>
      </c>
    </row>
    <row r="1615" customFormat="false" ht="15" hidden="false" customHeight="false" outlineLevel="0" collapsed="false">
      <c r="A1615" s="19"/>
      <c r="B1615" s="19"/>
      <c r="C1615" s="20"/>
      <c r="D1615" s="19"/>
      <c r="E1615" s="26" t="str">
        <f aca="false">IF(A1615="","",COUNTIFS(Apparitions!$A$2:$A$5001,A1615,Apparitions!$B$2:$B$5001,B1615))</f>
        <v/>
      </c>
      <c r="F1615" s="27" t="str">
        <f aca="false">IF(A1615="","",A1615&amp;"|"&amp;B1615)</f>
        <v/>
      </c>
    </row>
    <row r="1616" customFormat="false" ht="15" hidden="false" customHeight="false" outlineLevel="0" collapsed="false">
      <c r="A1616" s="19"/>
      <c r="B1616" s="19"/>
      <c r="C1616" s="20"/>
      <c r="D1616" s="19"/>
      <c r="E1616" s="26" t="str">
        <f aca="false">IF(A1616="","",COUNTIFS(Apparitions!$A$2:$A$5001,A1616,Apparitions!$B$2:$B$5001,B1616))</f>
        <v/>
      </c>
      <c r="F1616" s="27" t="str">
        <f aca="false">IF(A1616="","",A1616&amp;"|"&amp;B1616)</f>
        <v/>
      </c>
    </row>
    <row r="1617" customFormat="false" ht="15" hidden="false" customHeight="false" outlineLevel="0" collapsed="false">
      <c r="A1617" s="19"/>
      <c r="B1617" s="19"/>
      <c r="C1617" s="20"/>
      <c r="D1617" s="19"/>
      <c r="E1617" s="26" t="str">
        <f aca="false">IF(A1617="","",COUNTIFS(Apparitions!$A$2:$A$5001,A1617,Apparitions!$B$2:$B$5001,B1617))</f>
        <v/>
      </c>
      <c r="F1617" s="27" t="str">
        <f aca="false">IF(A1617="","",A1617&amp;"|"&amp;B1617)</f>
        <v/>
      </c>
    </row>
    <row r="1618" customFormat="false" ht="15" hidden="false" customHeight="false" outlineLevel="0" collapsed="false">
      <c r="A1618" s="19"/>
      <c r="B1618" s="19"/>
      <c r="C1618" s="20"/>
      <c r="D1618" s="19"/>
      <c r="E1618" s="26" t="str">
        <f aca="false">IF(A1618="","",COUNTIFS(Apparitions!$A$2:$A$5001,A1618,Apparitions!$B$2:$B$5001,B1618))</f>
        <v/>
      </c>
      <c r="F1618" s="27" t="str">
        <f aca="false">IF(A1618="","",A1618&amp;"|"&amp;B1618)</f>
        <v/>
      </c>
    </row>
    <row r="1619" customFormat="false" ht="15" hidden="false" customHeight="false" outlineLevel="0" collapsed="false">
      <c r="A1619" s="19"/>
      <c r="B1619" s="19"/>
      <c r="C1619" s="20"/>
      <c r="D1619" s="19"/>
      <c r="E1619" s="26" t="str">
        <f aca="false">IF(A1619="","",COUNTIFS(Apparitions!$A$2:$A$5001,A1619,Apparitions!$B$2:$B$5001,B1619))</f>
        <v/>
      </c>
      <c r="F1619" s="27" t="str">
        <f aca="false">IF(A1619="","",A1619&amp;"|"&amp;B1619)</f>
        <v/>
      </c>
    </row>
    <row r="1620" customFormat="false" ht="15" hidden="false" customHeight="false" outlineLevel="0" collapsed="false">
      <c r="A1620" s="19"/>
      <c r="B1620" s="19"/>
      <c r="C1620" s="20"/>
      <c r="D1620" s="19"/>
      <c r="E1620" s="26" t="str">
        <f aca="false">IF(A1620="","",COUNTIFS(Apparitions!$A$2:$A$5001,A1620,Apparitions!$B$2:$B$5001,B1620))</f>
        <v/>
      </c>
      <c r="F1620" s="27" t="str">
        <f aca="false">IF(A1620="","",A1620&amp;"|"&amp;B1620)</f>
        <v/>
      </c>
    </row>
    <row r="1621" customFormat="false" ht="15" hidden="false" customHeight="false" outlineLevel="0" collapsed="false">
      <c r="A1621" s="19"/>
      <c r="B1621" s="19"/>
      <c r="C1621" s="20"/>
      <c r="D1621" s="19"/>
      <c r="E1621" s="26" t="str">
        <f aca="false">IF(A1621="","",COUNTIFS(Apparitions!$A$2:$A$5001,A1621,Apparitions!$B$2:$B$5001,B1621))</f>
        <v/>
      </c>
      <c r="F1621" s="27" t="str">
        <f aca="false">IF(A1621="","",A1621&amp;"|"&amp;B1621)</f>
        <v/>
      </c>
    </row>
    <row r="1622" customFormat="false" ht="15" hidden="false" customHeight="false" outlineLevel="0" collapsed="false">
      <c r="A1622" s="19"/>
      <c r="B1622" s="19"/>
      <c r="C1622" s="20"/>
      <c r="D1622" s="19"/>
      <c r="E1622" s="26" t="str">
        <f aca="false">IF(A1622="","",COUNTIFS(Apparitions!$A$2:$A$5001,A1622,Apparitions!$B$2:$B$5001,B1622))</f>
        <v/>
      </c>
      <c r="F1622" s="27" t="str">
        <f aca="false">IF(A1622="","",A1622&amp;"|"&amp;B1622)</f>
        <v/>
      </c>
    </row>
    <row r="1623" customFormat="false" ht="15" hidden="false" customHeight="false" outlineLevel="0" collapsed="false">
      <c r="A1623" s="19"/>
      <c r="B1623" s="19"/>
      <c r="C1623" s="20"/>
      <c r="D1623" s="19"/>
      <c r="E1623" s="26" t="str">
        <f aca="false">IF(A1623="","",COUNTIFS(Apparitions!$A$2:$A$5001,A1623,Apparitions!$B$2:$B$5001,B1623))</f>
        <v/>
      </c>
      <c r="F1623" s="27" t="str">
        <f aca="false">IF(A1623="","",A1623&amp;"|"&amp;B1623)</f>
        <v/>
      </c>
    </row>
    <row r="1624" customFormat="false" ht="15" hidden="false" customHeight="false" outlineLevel="0" collapsed="false">
      <c r="A1624" s="19"/>
      <c r="B1624" s="19"/>
      <c r="C1624" s="20"/>
      <c r="D1624" s="19"/>
      <c r="E1624" s="26" t="str">
        <f aca="false">IF(A1624="","",COUNTIFS(Apparitions!$A$2:$A$5001,A1624,Apparitions!$B$2:$B$5001,B1624))</f>
        <v/>
      </c>
      <c r="F1624" s="27" t="str">
        <f aca="false">IF(A1624="","",A1624&amp;"|"&amp;B1624)</f>
        <v/>
      </c>
    </row>
    <row r="1625" customFormat="false" ht="15" hidden="false" customHeight="false" outlineLevel="0" collapsed="false">
      <c r="A1625" s="19"/>
      <c r="B1625" s="19"/>
      <c r="C1625" s="20"/>
      <c r="D1625" s="19"/>
      <c r="E1625" s="26" t="str">
        <f aca="false">IF(A1625="","",COUNTIFS(Apparitions!$A$2:$A$5001,A1625,Apparitions!$B$2:$B$5001,B1625))</f>
        <v/>
      </c>
      <c r="F1625" s="27" t="str">
        <f aca="false">IF(A1625="","",A1625&amp;"|"&amp;B1625)</f>
        <v/>
      </c>
    </row>
    <row r="1626" customFormat="false" ht="15" hidden="false" customHeight="false" outlineLevel="0" collapsed="false">
      <c r="A1626" s="19"/>
      <c r="B1626" s="19"/>
      <c r="C1626" s="20"/>
      <c r="D1626" s="19"/>
      <c r="E1626" s="26" t="str">
        <f aca="false">IF(A1626="","",COUNTIFS(Apparitions!$A$2:$A$5001,A1626,Apparitions!$B$2:$B$5001,B1626))</f>
        <v/>
      </c>
      <c r="F1626" s="27" t="str">
        <f aca="false">IF(A1626="","",A1626&amp;"|"&amp;B1626)</f>
        <v/>
      </c>
    </row>
    <row r="1627" customFormat="false" ht="15" hidden="false" customHeight="false" outlineLevel="0" collapsed="false">
      <c r="A1627" s="19"/>
      <c r="B1627" s="19"/>
      <c r="C1627" s="20"/>
      <c r="D1627" s="19"/>
      <c r="E1627" s="26" t="str">
        <f aca="false">IF(A1627="","",COUNTIFS(Apparitions!$A$2:$A$5001,A1627,Apparitions!$B$2:$B$5001,B1627))</f>
        <v/>
      </c>
      <c r="F1627" s="27" t="str">
        <f aca="false">IF(A1627="","",A1627&amp;"|"&amp;B1627)</f>
        <v/>
      </c>
    </row>
    <row r="1628" customFormat="false" ht="15" hidden="false" customHeight="false" outlineLevel="0" collapsed="false">
      <c r="A1628" s="19"/>
      <c r="B1628" s="19"/>
      <c r="C1628" s="20"/>
      <c r="D1628" s="19"/>
      <c r="E1628" s="26" t="str">
        <f aca="false">IF(A1628="","",COUNTIFS(Apparitions!$A$2:$A$5001,A1628,Apparitions!$B$2:$B$5001,B1628))</f>
        <v/>
      </c>
      <c r="F1628" s="27" t="str">
        <f aca="false">IF(A1628="","",A1628&amp;"|"&amp;B1628)</f>
        <v/>
      </c>
    </row>
    <row r="1629" customFormat="false" ht="15" hidden="false" customHeight="false" outlineLevel="0" collapsed="false">
      <c r="A1629" s="19"/>
      <c r="B1629" s="19"/>
      <c r="C1629" s="20"/>
      <c r="D1629" s="19"/>
      <c r="E1629" s="26" t="str">
        <f aca="false">IF(A1629="","",COUNTIFS(Apparitions!$A$2:$A$5001,A1629,Apparitions!$B$2:$B$5001,B1629))</f>
        <v/>
      </c>
      <c r="F1629" s="27" t="str">
        <f aca="false">IF(A1629="","",A1629&amp;"|"&amp;B1629)</f>
        <v/>
      </c>
    </row>
    <row r="1630" customFormat="false" ht="15" hidden="false" customHeight="false" outlineLevel="0" collapsed="false">
      <c r="A1630" s="19"/>
      <c r="B1630" s="19"/>
      <c r="C1630" s="20"/>
      <c r="D1630" s="19"/>
      <c r="E1630" s="26" t="str">
        <f aca="false">IF(A1630="","",COUNTIFS(Apparitions!$A$2:$A$5001,A1630,Apparitions!$B$2:$B$5001,B1630))</f>
        <v/>
      </c>
      <c r="F1630" s="27" t="str">
        <f aca="false">IF(A1630="","",A1630&amp;"|"&amp;B1630)</f>
        <v/>
      </c>
    </row>
    <row r="1631" customFormat="false" ht="15" hidden="false" customHeight="false" outlineLevel="0" collapsed="false">
      <c r="A1631" s="19"/>
      <c r="B1631" s="19"/>
      <c r="C1631" s="20"/>
      <c r="D1631" s="19"/>
      <c r="E1631" s="26" t="str">
        <f aca="false">IF(A1631="","",COUNTIFS(Apparitions!$A$2:$A$5001,A1631,Apparitions!$B$2:$B$5001,B1631))</f>
        <v/>
      </c>
      <c r="F1631" s="27" t="str">
        <f aca="false">IF(A1631="","",A1631&amp;"|"&amp;B1631)</f>
        <v/>
      </c>
    </row>
    <row r="1632" customFormat="false" ht="15" hidden="false" customHeight="false" outlineLevel="0" collapsed="false">
      <c r="A1632" s="19"/>
      <c r="B1632" s="19"/>
      <c r="C1632" s="20"/>
      <c r="D1632" s="19"/>
      <c r="E1632" s="26" t="str">
        <f aca="false">IF(A1632="","",COUNTIFS(Apparitions!$A$2:$A$5001,A1632,Apparitions!$B$2:$B$5001,B1632))</f>
        <v/>
      </c>
      <c r="F1632" s="27" t="str">
        <f aca="false">IF(A1632="","",A1632&amp;"|"&amp;B1632)</f>
        <v/>
      </c>
    </row>
    <row r="1633" customFormat="false" ht="15" hidden="false" customHeight="false" outlineLevel="0" collapsed="false">
      <c r="A1633" s="19"/>
      <c r="B1633" s="19"/>
      <c r="C1633" s="20"/>
      <c r="D1633" s="19"/>
      <c r="E1633" s="26" t="str">
        <f aca="false">IF(A1633="","",COUNTIFS(Apparitions!$A$2:$A$5001,A1633,Apparitions!$B$2:$B$5001,B1633))</f>
        <v/>
      </c>
      <c r="F1633" s="27" t="str">
        <f aca="false">IF(A1633="","",A1633&amp;"|"&amp;B1633)</f>
        <v/>
      </c>
    </row>
    <row r="1634" customFormat="false" ht="15" hidden="false" customHeight="false" outlineLevel="0" collapsed="false">
      <c r="A1634" s="19"/>
      <c r="B1634" s="19"/>
      <c r="C1634" s="20"/>
      <c r="D1634" s="19"/>
      <c r="E1634" s="26" t="str">
        <f aca="false">IF(A1634="","",COUNTIFS(Apparitions!$A$2:$A$5001,A1634,Apparitions!$B$2:$B$5001,B1634))</f>
        <v/>
      </c>
      <c r="F1634" s="27" t="str">
        <f aca="false">IF(A1634="","",A1634&amp;"|"&amp;B1634)</f>
        <v/>
      </c>
    </row>
    <row r="1635" customFormat="false" ht="15" hidden="false" customHeight="false" outlineLevel="0" collapsed="false">
      <c r="A1635" s="19"/>
      <c r="B1635" s="19"/>
      <c r="C1635" s="20"/>
      <c r="D1635" s="19"/>
      <c r="E1635" s="26" t="str">
        <f aca="false">IF(A1635="","",COUNTIFS(Apparitions!$A$2:$A$5001,A1635,Apparitions!$B$2:$B$5001,B1635))</f>
        <v/>
      </c>
      <c r="F1635" s="27" t="str">
        <f aca="false">IF(A1635="","",A1635&amp;"|"&amp;B1635)</f>
        <v/>
      </c>
    </row>
    <row r="1636" customFormat="false" ht="15" hidden="false" customHeight="false" outlineLevel="0" collapsed="false">
      <c r="A1636" s="19"/>
      <c r="B1636" s="19"/>
      <c r="C1636" s="20"/>
      <c r="D1636" s="19"/>
      <c r="E1636" s="26" t="str">
        <f aca="false">IF(A1636="","",COUNTIFS(Apparitions!$A$2:$A$5001,A1636,Apparitions!$B$2:$B$5001,B1636))</f>
        <v/>
      </c>
      <c r="F1636" s="27" t="str">
        <f aca="false">IF(A1636="","",A1636&amp;"|"&amp;B1636)</f>
        <v/>
      </c>
    </row>
    <row r="1637" customFormat="false" ht="15" hidden="false" customHeight="false" outlineLevel="0" collapsed="false">
      <c r="A1637" s="19"/>
      <c r="B1637" s="19"/>
      <c r="C1637" s="20"/>
      <c r="D1637" s="19"/>
      <c r="E1637" s="26" t="str">
        <f aca="false">IF(A1637="","",COUNTIFS(Apparitions!$A$2:$A$5001,A1637,Apparitions!$B$2:$B$5001,B1637))</f>
        <v/>
      </c>
      <c r="F1637" s="27" t="str">
        <f aca="false">IF(A1637="","",A1637&amp;"|"&amp;B1637)</f>
        <v/>
      </c>
    </row>
    <row r="1638" customFormat="false" ht="15" hidden="false" customHeight="false" outlineLevel="0" collapsed="false">
      <c r="A1638" s="19"/>
      <c r="B1638" s="19"/>
      <c r="C1638" s="20"/>
      <c r="D1638" s="19"/>
      <c r="E1638" s="26" t="str">
        <f aca="false">IF(A1638="","",COUNTIFS(Apparitions!$A$2:$A$5001,A1638,Apparitions!$B$2:$B$5001,B1638))</f>
        <v/>
      </c>
      <c r="F1638" s="27" t="str">
        <f aca="false">IF(A1638="","",A1638&amp;"|"&amp;B1638)</f>
        <v/>
      </c>
    </row>
    <row r="1639" customFormat="false" ht="15" hidden="false" customHeight="false" outlineLevel="0" collapsed="false">
      <c r="A1639" s="19"/>
      <c r="B1639" s="19"/>
      <c r="C1639" s="20"/>
      <c r="D1639" s="19"/>
      <c r="E1639" s="26" t="str">
        <f aca="false">IF(A1639="","",COUNTIFS(Apparitions!$A$2:$A$5001,A1639,Apparitions!$B$2:$B$5001,B1639))</f>
        <v/>
      </c>
      <c r="F1639" s="27" t="str">
        <f aca="false">IF(A1639="","",A1639&amp;"|"&amp;B1639)</f>
        <v/>
      </c>
    </row>
    <row r="1640" customFormat="false" ht="15" hidden="false" customHeight="false" outlineLevel="0" collapsed="false">
      <c r="A1640" s="19"/>
      <c r="B1640" s="19"/>
      <c r="C1640" s="20"/>
      <c r="D1640" s="19"/>
      <c r="E1640" s="26" t="str">
        <f aca="false">IF(A1640="","",COUNTIFS(Apparitions!$A$2:$A$5001,A1640,Apparitions!$B$2:$B$5001,B1640))</f>
        <v/>
      </c>
      <c r="F1640" s="27" t="str">
        <f aca="false">IF(A1640="","",A1640&amp;"|"&amp;B1640)</f>
        <v/>
      </c>
    </row>
    <row r="1641" customFormat="false" ht="15" hidden="false" customHeight="false" outlineLevel="0" collapsed="false">
      <c r="A1641" s="19"/>
      <c r="B1641" s="19"/>
      <c r="C1641" s="20"/>
      <c r="D1641" s="19"/>
      <c r="E1641" s="26" t="str">
        <f aca="false">IF(A1641="","",COUNTIFS(Apparitions!$A$2:$A$5001,A1641,Apparitions!$B$2:$B$5001,B1641))</f>
        <v/>
      </c>
      <c r="F1641" s="27" t="str">
        <f aca="false">IF(A1641="","",A1641&amp;"|"&amp;B1641)</f>
        <v/>
      </c>
    </row>
    <row r="1642" customFormat="false" ht="15" hidden="false" customHeight="false" outlineLevel="0" collapsed="false">
      <c r="A1642" s="19"/>
      <c r="B1642" s="19"/>
      <c r="C1642" s="20"/>
      <c r="D1642" s="19"/>
      <c r="E1642" s="26" t="str">
        <f aca="false">IF(A1642="","",COUNTIFS(Apparitions!$A$2:$A$5001,A1642,Apparitions!$B$2:$B$5001,B1642))</f>
        <v/>
      </c>
      <c r="F1642" s="27" t="str">
        <f aca="false">IF(A1642="","",A1642&amp;"|"&amp;B1642)</f>
        <v/>
      </c>
    </row>
    <row r="1643" customFormat="false" ht="15" hidden="false" customHeight="false" outlineLevel="0" collapsed="false">
      <c r="A1643" s="19"/>
      <c r="B1643" s="19"/>
      <c r="C1643" s="20"/>
      <c r="D1643" s="19"/>
      <c r="E1643" s="26" t="str">
        <f aca="false">IF(A1643="","",COUNTIFS(Apparitions!$A$2:$A$5001,A1643,Apparitions!$B$2:$B$5001,B1643))</f>
        <v/>
      </c>
      <c r="F1643" s="27" t="str">
        <f aca="false">IF(A1643="","",A1643&amp;"|"&amp;B1643)</f>
        <v/>
      </c>
    </row>
    <row r="1644" customFormat="false" ht="15" hidden="false" customHeight="false" outlineLevel="0" collapsed="false">
      <c r="A1644" s="19"/>
      <c r="B1644" s="19"/>
      <c r="C1644" s="20"/>
      <c r="D1644" s="19"/>
      <c r="E1644" s="26" t="str">
        <f aca="false">IF(A1644="","",COUNTIFS(Apparitions!$A$2:$A$5001,A1644,Apparitions!$B$2:$B$5001,B1644))</f>
        <v/>
      </c>
      <c r="F1644" s="27" t="str">
        <f aca="false">IF(A1644="","",A1644&amp;"|"&amp;B1644)</f>
        <v/>
      </c>
    </row>
    <row r="1645" customFormat="false" ht="15" hidden="false" customHeight="false" outlineLevel="0" collapsed="false">
      <c r="A1645" s="19"/>
      <c r="B1645" s="19"/>
      <c r="C1645" s="20"/>
      <c r="D1645" s="19"/>
      <c r="E1645" s="26" t="str">
        <f aca="false">IF(A1645="","",COUNTIFS(Apparitions!$A$2:$A$5001,A1645,Apparitions!$B$2:$B$5001,B1645))</f>
        <v/>
      </c>
      <c r="F1645" s="27" t="str">
        <f aca="false">IF(A1645="","",A1645&amp;"|"&amp;B1645)</f>
        <v/>
      </c>
    </row>
    <row r="1646" customFormat="false" ht="15" hidden="false" customHeight="false" outlineLevel="0" collapsed="false">
      <c r="A1646" s="19"/>
      <c r="B1646" s="19"/>
      <c r="C1646" s="20"/>
      <c r="D1646" s="19"/>
      <c r="E1646" s="26" t="str">
        <f aca="false">IF(A1646="","",COUNTIFS(Apparitions!$A$2:$A$5001,A1646,Apparitions!$B$2:$B$5001,B1646))</f>
        <v/>
      </c>
      <c r="F1646" s="27" t="str">
        <f aca="false">IF(A1646="","",A1646&amp;"|"&amp;B1646)</f>
        <v/>
      </c>
    </row>
    <row r="1647" customFormat="false" ht="15" hidden="false" customHeight="false" outlineLevel="0" collapsed="false">
      <c r="A1647" s="19"/>
      <c r="B1647" s="19"/>
      <c r="C1647" s="20"/>
      <c r="D1647" s="19"/>
      <c r="E1647" s="26" t="str">
        <f aca="false">IF(A1647="","",COUNTIFS(Apparitions!$A$2:$A$5001,A1647,Apparitions!$B$2:$B$5001,B1647))</f>
        <v/>
      </c>
      <c r="F1647" s="27" t="str">
        <f aca="false">IF(A1647="","",A1647&amp;"|"&amp;B1647)</f>
        <v/>
      </c>
    </row>
    <row r="1648" customFormat="false" ht="15" hidden="false" customHeight="false" outlineLevel="0" collapsed="false">
      <c r="A1648" s="19"/>
      <c r="B1648" s="19"/>
      <c r="C1648" s="20"/>
      <c r="D1648" s="19"/>
      <c r="E1648" s="26" t="str">
        <f aca="false">IF(A1648="","",COUNTIFS(Apparitions!$A$2:$A$5001,A1648,Apparitions!$B$2:$B$5001,B1648))</f>
        <v/>
      </c>
      <c r="F1648" s="27" t="str">
        <f aca="false">IF(A1648="","",A1648&amp;"|"&amp;B1648)</f>
        <v/>
      </c>
    </row>
    <row r="1649" customFormat="false" ht="15" hidden="false" customHeight="false" outlineLevel="0" collapsed="false">
      <c r="A1649" s="19"/>
      <c r="B1649" s="19"/>
      <c r="C1649" s="20"/>
      <c r="D1649" s="19"/>
      <c r="E1649" s="26" t="str">
        <f aca="false">IF(A1649="","",COUNTIFS(Apparitions!$A$2:$A$5001,A1649,Apparitions!$B$2:$B$5001,B1649))</f>
        <v/>
      </c>
      <c r="F1649" s="27" t="str">
        <f aca="false">IF(A1649="","",A1649&amp;"|"&amp;B1649)</f>
        <v/>
      </c>
    </row>
    <row r="1650" customFormat="false" ht="15" hidden="false" customHeight="false" outlineLevel="0" collapsed="false">
      <c r="A1650" s="19"/>
      <c r="B1650" s="19"/>
      <c r="C1650" s="20"/>
      <c r="D1650" s="19"/>
      <c r="E1650" s="26" t="str">
        <f aca="false">IF(A1650="","",COUNTIFS(Apparitions!$A$2:$A$5001,A1650,Apparitions!$B$2:$B$5001,B1650))</f>
        <v/>
      </c>
      <c r="F1650" s="27" t="str">
        <f aca="false">IF(A1650="","",A1650&amp;"|"&amp;B1650)</f>
        <v/>
      </c>
    </row>
    <row r="1651" customFormat="false" ht="15" hidden="false" customHeight="false" outlineLevel="0" collapsed="false">
      <c r="A1651" s="19"/>
      <c r="B1651" s="19"/>
      <c r="C1651" s="20"/>
      <c r="D1651" s="19"/>
      <c r="E1651" s="26" t="str">
        <f aca="false">IF(A1651="","",COUNTIFS(Apparitions!$A$2:$A$5001,A1651,Apparitions!$B$2:$B$5001,B1651))</f>
        <v/>
      </c>
      <c r="F1651" s="27" t="str">
        <f aca="false">IF(A1651="","",A1651&amp;"|"&amp;B1651)</f>
        <v/>
      </c>
    </row>
    <row r="1652" customFormat="false" ht="15" hidden="false" customHeight="false" outlineLevel="0" collapsed="false">
      <c r="A1652" s="19"/>
      <c r="B1652" s="19"/>
      <c r="C1652" s="20"/>
      <c r="D1652" s="19"/>
      <c r="E1652" s="26" t="str">
        <f aca="false">IF(A1652="","",COUNTIFS(Apparitions!$A$2:$A$5001,A1652,Apparitions!$B$2:$B$5001,B1652))</f>
        <v/>
      </c>
      <c r="F1652" s="27" t="str">
        <f aca="false">IF(A1652="","",A1652&amp;"|"&amp;B1652)</f>
        <v/>
      </c>
    </row>
    <row r="1653" customFormat="false" ht="15" hidden="false" customHeight="false" outlineLevel="0" collapsed="false">
      <c r="A1653" s="19"/>
      <c r="B1653" s="19"/>
      <c r="C1653" s="20"/>
      <c r="D1653" s="19"/>
      <c r="E1653" s="26" t="str">
        <f aca="false">IF(A1653="","",COUNTIFS(Apparitions!$A$2:$A$5001,A1653,Apparitions!$B$2:$B$5001,B1653))</f>
        <v/>
      </c>
      <c r="F1653" s="27" t="str">
        <f aca="false">IF(A1653="","",A1653&amp;"|"&amp;B1653)</f>
        <v/>
      </c>
    </row>
    <row r="1654" customFormat="false" ht="15" hidden="false" customHeight="false" outlineLevel="0" collapsed="false">
      <c r="A1654" s="19"/>
      <c r="B1654" s="19"/>
      <c r="C1654" s="20"/>
      <c r="D1654" s="19"/>
      <c r="E1654" s="26" t="str">
        <f aca="false">IF(A1654="","",COUNTIFS(Apparitions!$A$2:$A$5001,A1654,Apparitions!$B$2:$B$5001,B1654))</f>
        <v/>
      </c>
      <c r="F1654" s="27" t="str">
        <f aca="false">IF(A1654="","",A1654&amp;"|"&amp;B1654)</f>
        <v/>
      </c>
    </row>
    <row r="1655" customFormat="false" ht="15" hidden="false" customHeight="false" outlineLevel="0" collapsed="false">
      <c r="A1655" s="19"/>
      <c r="B1655" s="19"/>
      <c r="C1655" s="20"/>
      <c r="D1655" s="19"/>
      <c r="E1655" s="26" t="str">
        <f aca="false">IF(A1655="","",COUNTIFS(Apparitions!$A$2:$A$5001,A1655,Apparitions!$B$2:$B$5001,B1655))</f>
        <v/>
      </c>
      <c r="F1655" s="27" t="str">
        <f aca="false">IF(A1655="","",A1655&amp;"|"&amp;B1655)</f>
        <v/>
      </c>
    </row>
    <row r="1656" customFormat="false" ht="15" hidden="false" customHeight="false" outlineLevel="0" collapsed="false">
      <c r="A1656" s="19"/>
      <c r="B1656" s="19"/>
      <c r="C1656" s="20"/>
      <c r="D1656" s="19"/>
      <c r="E1656" s="26" t="str">
        <f aca="false">IF(A1656="","",COUNTIFS(Apparitions!$A$2:$A$5001,A1656,Apparitions!$B$2:$B$5001,B1656))</f>
        <v/>
      </c>
      <c r="F1656" s="27" t="str">
        <f aca="false">IF(A1656="","",A1656&amp;"|"&amp;B1656)</f>
        <v/>
      </c>
    </row>
    <row r="1657" customFormat="false" ht="15" hidden="false" customHeight="false" outlineLevel="0" collapsed="false">
      <c r="A1657" s="19"/>
      <c r="B1657" s="19"/>
      <c r="C1657" s="20"/>
      <c r="D1657" s="19"/>
      <c r="E1657" s="26" t="str">
        <f aca="false">IF(A1657="","",COUNTIFS(Apparitions!$A$2:$A$5001,A1657,Apparitions!$B$2:$B$5001,B1657))</f>
        <v/>
      </c>
      <c r="F1657" s="27" t="str">
        <f aca="false">IF(A1657="","",A1657&amp;"|"&amp;B1657)</f>
        <v/>
      </c>
    </row>
    <row r="1658" customFormat="false" ht="15" hidden="false" customHeight="false" outlineLevel="0" collapsed="false">
      <c r="A1658" s="19"/>
      <c r="B1658" s="19"/>
      <c r="C1658" s="20"/>
      <c r="D1658" s="19"/>
      <c r="E1658" s="26" t="str">
        <f aca="false">IF(A1658="","",COUNTIFS(Apparitions!$A$2:$A$5001,A1658,Apparitions!$B$2:$B$5001,B1658))</f>
        <v/>
      </c>
      <c r="F1658" s="27" t="str">
        <f aca="false">IF(A1658="","",A1658&amp;"|"&amp;B1658)</f>
        <v/>
      </c>
    </row>
    <row r="1659" customFormat="false" ht="15" hidden="false" customHeight="false" outlineLevel="0" collapsed="false">
      <c r="A1659" s="19"/>
      <c r="B1659" s="19"/>
      <c r="C1659" s="20"/>
      <c r="D1659" s="19"/>
      <c r="E1659" s="26" t="str">
        <f aca="false">IF(A1659="","",COUNTIFS(Apparitions!$A$2:$A$5001,A1659,Apparitions!$B$2:$B$5001,B1659))</f>
        <v/>
      </c>
      <c r="F1659" s="27" t="str">
        <f aca="false">IF(A1659="","",A1659&amp;"|"&amp;B1659)</f>
        <v/>
      </c>
    </row>
    <row r="1660" customFormat="false" ht="15" hidden="false" customHeight="false" outlineLevel="0" collapsed="false">
      <c r="A1660" s="19"/>
      <c r="B1660" s="19"/>
      <c r="C1660" s="20"/>
      <c r="D1660" s="19"/>
      <c r="E1660" s="26" t="str">
        <f aca="false">IF(A1660="","",COUNTIFS(Apparitions!$A$2:$A$5001,A1660,Apparitions!$B$2:$B$5001,B1660))</f>
        <v/>
      </c>
      <c r="F1660" s="27" t="str">
        <f aca="false">IF(A1660="","",A1660&amp;"|"&amp;B1660)</f>
        <v/>
      </c>
    </row>
    <row r="1661" customFormat="false" ht="15" hidden="false" customHeight="false" outlineLevel="0" collapsed="false">
      <c r="A1661" s="19"/>
      <c r="B1661" s="19"/>
      <c r="C1661" s="20"/>
      <c r="D1661" s="19"/>
      <c r="E1661" s="26" t="str">
        <f aca="false">IF(A1661="","",COUNTIFS(Apparitions!$A$2:$A$5001,A1661,Apparitions!$B$2:$B$5001,B1661))</f>
        <v/>
      </c>
      <c r="F1661" s="27" t="str">
        <f aca="false">IF(A1661="","",A1661&amp;"|"&amp;B1661)</f>
        <v/>
      </c>
    </row>
    <row r="1662" customFormat="false" ht="15" hidden="false" customHeight="false" outlineLevel="0" collapsed="false">
      <c r="A1662" s="19"/>
      <c r="B1662" s="19"/>
      <c r="C1662" s="20"/>
      <c r="D1662" s="19"/>
      <c r="E1662" s="26" t="str">
        <f aca="false">IF(A1662="","",COUNTIFS(Apparitions!$A$2:$A$5001,A1662,Apparitions!$B$2:$B$5001,B1662))</f>
        <v/>
      </c>
      <c r="F1662" s="27" t="str">
        <f aca="false">IF(A1662="","",A1662&amp;"|"&amp;B1662)</f>
        <v/>
      </c>
    </row>
    <row r="1663" customFormat="false" ht="15" hidden="false" customHeight="false" outlineLevel="0" collapsed="false">
      <c r="A1663" s="19"/>
      <c r="B1663" s="19"/>
      <c r="C1663" s="20"/>
      <c r="D1663" s="19"/>
      <c r="E1663" s="26" t="str">
        <f aca="false">IF(A1663="","",COUNTIFS(Apparitions!$A$2:$A$5001,A1663,Apparitions!$B$2:$B$5001,B1663))</f>
        <v/>
      </c>
      <c r="F1663" s="27" t="str">
        <f aca="false">IF(A1663="","",A1663&amp;"|"&amp;B1663)</f>
        <v/>
      </c>
    </row>
    <row r="1664" customFormat="false" ht="15" hidden="false" customHeight="false" outlineLevel="0" collapsed="false">
      <c r="A1664" s="19"/>
      <c r="B1664" s="19"/>
      <c r="C1664" s="20"/>
      <c r="D1664" s="19"/>
      <c r="E1664" s="26" t="str">
        <f aca="false">IF(A1664="","",COUNTIFS(Apparitions!$A$2:$A$5001,A1664,Apparitions!$B$2:$B$5001,B1664))</f>
        <v/>
      </c>
      <c r="F1664" s="27" t="str">
        <f aca="false">IF(A1664="","",A1664&amp;"|"&amp;B1664)</f>
        <v/>
      </c>
    </row>
    <row r="1665" customFormat="false" ht="15" hidden="false" customHeight="false" outlineLevel="0" collapsed="false">
      <c r="A1665" s="19"/>
      <c r="B1665" s="19"/>
      <c r="C1665" s="20"/>
      <c r="D1665" s="19"/>
      <c r="E1665" s="26" t="str">
        <f aca="false">IF(A1665="","",COUNTIFS(Apparitions!$A$2:$A$5001,A1665,Apparitions!$B$2:$B$5001,B1665))</f>
        <v/>
      </c>
      <c r="F1665" s="27" t="str">
        <f aca="false">IF(A1665="","",A1665&amp;"|"&amp;B1665)</f>
        <v/>
      </c>
    </row>
    <row r="1666" customFormat="false" ht="15" hidden="false" customHeight="false" outlineLevel="0" collapsed="false">
      <c r="A1666" s="19"/>
      <c r="B1666" s="19"/>
      <c r="C1666" s="20"/>
      <c r="D1666" s="19"/>
      <c r="E1666" s="26" t="str">
        <f aca="false">IF(A1666="","",COUNTIFS(Apparitions!$A$2:$A$5001,A1666,Apparitions!$B$2:$B$5001,B1666))</f>
        <v/>
      </c>
      <c r="F1666" s="27" t="str">
        <f aca="false">IF(A1666="","",A1666&amp;"|"&amp;B1666)</f>
        <v/>
      </c>
    </row>
    <row r="1667" customFormat="false" ht="15" hidden="false" customHeight="false" outlineLevel="0" collapsed="false">
      <c r="A1667" s="19"/>
      <c r="B1667" s="19"/>
      <c r="C1667" s="20"/>
      <c r="D1667" s="19"/>
      <c r="E1667" s="26" t="str">
        <f aca="false">IF(A1667="","",COUNTIFS(Apparitions!$A$2:$A$5001,A1667,Apparitions!$B$2:$B$5001,B1667))</f>
        <v/>
      </c>
      <c r="F1667" s="27" t="str">
        <f aca="false">IF(A1667="","",A1667&amp;"|"&amp;B1667)</f>
        <v/>
      </c>
    </row>
    <row r="1668" customFormat="false" ht="15" hidden="false" customHeight="false" outlineLevel="0" collapsed="false">
      <c r="A1668" s="19"/>
      <c r="B1668" s="19"/>
      <c r="C1668" s="20"/>
      <c r="D1668" s="19"/>
      <c r="E1668" s="26" t="str">
        <f aca="false">IF(A1668="","",COUNTIFS(Apparitions!$A$2:$A$5001,A1668,Apparitions!$B$2:$B$5001,B1668))</f>
        <v/>
      </c>
      <c r="F1668" s="27" t="str">
        <f aca="false">IF(A1668="","",A1668&amp;"|"&amp;B1668)</f>
        <v/>
      </c>
    </row>
    <row r="1669" customFormat="false" ht="15" hidden="false" customHeight="false" outlineLevel="0" collapsed="false">
      <c r="A1669" s="19"/>
      <c r="B1669" s="19"/>
      <c r="C1669" s="20"/>
      <c r="D1669" s="19"/>
      <c r="E1669" s="26" t="str">
        <f aca="false">IF(A1669="","",COUNTIFS(Apparitions!$A$2:$A$5001,A1669,Apparitions!$B$2:$B$5001,B1669))</f>
        <v/>
      </c>
      <c r="F1669" s="27" t="str">
        <f aca="false">IF(A1669="","",A1669&amp;"|"&amp;B1669)</f>
        <v/>
      </c>
    </row>
    <row r="1670" customFormat="false" ht="15" hidden="false" customHeight="false" outlineLevel="0" collapsed="false">
      <c r="A1670" s="19"/>
      <c r="B1670" s="19"/>
      <c r="C1670" s="20"/>
      <c r="D1670" s="19"/>
      <c r="E1670" s="26" t="str">
        <f aca="false">IF(A1670="","",COUNTIFS(Apparitions!$A$2:$A$5001,A1670,Apparitions!$B$2:$B$5001,B1670))</f>
        <v/>
      </c>
      <c r="F1670" s="27" t="str">
        <f aca="false">IF(A1670="","",A1670&amp;"|"&amp;B1670)</f>
        <v/>
      </c>
    </row>
    <row r="1671" customFormat="false" ht="15" hidden="false" customHeight="false" outlineLevel="0" collapsed="false">
      <c r="A1671" s="19"/>
      <c r="B1671" s="19"/>
      <c r="C1671" s="20"/>
      <c r="D1671" s="19"/>
      <c r="E1671" s="26" t="str">
        <f aca="false">IF(A1671="","",COUNTIFS(Apparitions!$A$2:$A$5001,A1671,Apparitions!$B$2:$B$5001,B1671))</f>
        <v/>
      </c>
      <c r="F1671" s="27" t="str">
        <f aca="false">IF(A1671="","",A1671&amp;"|"&amp;B1671)</f>
        <v/>
      </c>
    </row>
    <row r="1672" customFormat="false" ht="15" hidden="false" customHeight="false" outlineLevel="0" collapsed="false">
      <c r="A1672" s="19"/>
      <c r="B1672" s="19"/>
      <c r="C1672" s="20"/>
      <c r="D1672" s="19"/>
      <c r="E1672" s="26" t="str">
        <f aca="false">IF(A1672="","",COUNTIFS(Apparitions!$A$2:$A$5001,A1672,Apparitions!$B$2:$B$5001,B1672))</f>
        <v/>
      </c>
      <c r="F1672" s="27" t="str">
        <f aca="false">IF(A1672="","",A1672&amp;"|"&amp;B1672)</f>
        <v/>
      </c>
    </row>
    <row r="1673" customFormat="false" ht="15" hidden="false" customHeight="false" outlineLevel="0" collapsed="false">
      <c r="A1673" s="19"/>
      <c r="B1673" s="19"/>
      <c r="C1673" s="20"/>
      <c r="D1673" s="19"/>
      <c r="E1673" s="26" t="str">
        <f aca="false">IF(A1673="","",COUNTIFS(Apparitions!$A$2:$A$5001,A1673,Apparitions!$B$2:$B$5001,B1673))</f>
        <v/>
      </c>
      <c r="F1673" s="27" t="str">
        <f aca="false">IF(A1673="","",A1673&amp;"|"&amp;B1673)</f>
        <v/>
      </c>
    </row>
    <row r="1674" customFormat="false" ht="15" hidden="false" customHeight="false" outlineLevel="0" collapsed="false">
      <c r="A1674" s="19"/>
      <c r="B1674" s="19"/>
      <c r="C1674" s="20"/>
      <c r="D1674" s="19"/>
      <c r="E1674" s="26" t="str">
        <f aca="false">IF(A1674="","",COUNTIFS(Apparitions!$A$2:$A$5001,A1674,Apparitions!$B$2:$B$5001,B1674))</f>
        <v/>
      </c>
      <c r="F1674" s="27" t="str">
        <f aca="false">IF(A1674="","",A1674&amp;"|"&amp;B1674)</f>
        <v/>
      </c>
    </row>
    <row r="1675" customFormat="false" ht="15" hidden="false" customHeight="false" outlineLevel="0" collapsed="false">
      <c r="A1675" s="19"/>
      <c r="B1675" s="19"/>
      <c r="C1675" s="20"/>
      <c r="D1675" s="19"/>
      <c r="E1675" s="26" t="str">
        <f aca="false">IF(A1675="","",COUNTIFS(Apparitions!$A$2:$A$5001,A1675,Apparitions!$B$2:$B$5001,B1675))</f>
        <v/>
      </c>
      <c r="F1675" s="27" t="str">
        <f aca="false">IF(A1675="","",A1675&amp;"|"&amp;B1675)</f>
        <v/>
      </c>
    </row>
    <row r="1676" customFormat="false" ht="15" hidden="false" customHeight="false" outlineLevel="0" collapsed="false">
      <c r="A1676" s="19"/>
      <c r="B1676" s="19"/>
      <c r="C1676" s="20"/>
      <c r="D1676" s="19"/>
      <c r="E1676" s="26" t="str">
        <f aca="false">IF(A1676="","",COUNTIFS(Apparitions!$A$2:$A$5001,A1676,Apparitions!$B$2:$B$5001,B1676))</f>
        <v/>
      </c>
      <c r="F1676" s="27" t="str">
        <f aca="false">IF(A1676="","",A1676&amp;"|"&amp;B1676)</f>
        <v/>
      </c>
    </row>
    <row r="1677" customFormat="false" ht="15" hidden="false" customHeight="false" outlineLevel="0" collapsed="false">
      <c r="A1677" s="19"/>
      <c r="B1677" s="19"/>
      <c r="C1677" s="20"/>
      <c r="D1677" s="19"/>
      <c r="E1677" s="26" t="str">
        <f aca="false">IF(A1677="","",COUNTIFS(Apparitions!$A$2:$A$5001,A1677,Apparitions!$B$2:$B$5001,B1677))</f>
        <v/>
      </c>
      <c r="F1677" s="27" t="str">
        <f aca="false">IF(A1677="","",A1677&amp;"|"&amp;B1677)</f>
        <v/>
      </c>
    </row>
    <row r="1678" customFormat="false" ht="15" hidden="false" customHeight="false" outlineLevel="0" collapsed="false">
      <c r="A1678" s="19"/>
      <c r="B1678" s="19"/>
      <c r="C1678" s="20"/>
      <c r="D1678" s="19"/>
      <c r="E1678" s="26" t="str">
        <f aca="false">IF(A1678="","",COUNTIFS(Apparitions!$A$2:$A$5001,A1678,Apparitions!$B$2:$B$5001,B1678))</f>
        <v/>
      </c>
      <c r="F1678" s="27" t="str">
        <f aca="false">IF(A1678="","",A1678&amp;"|"&amp;B1678)</f>
        <v/>
      </c>
    </row>
    <row r="1679" customFormat="false" ht="15" hidden="false" customHeight="false" outlineLevel="0" collapsed="false">
      <c r="A1679" s="19"/>
      <c r="B1679" s="19"/>
      <c r="C1679" s="20"/>
      <c r="D1679" s="19"/>
      <c r="E1679" s="26" t="str">
        <f aca="false">IF(A1679="","",COUNTIFS(Apparitions!$A$2:$A$5001,A1679,Apparitions!$B$2:$B$5001,B1679))</f>
        <v/>
      </c>
      <c r="F1679" s="27" t="str">
        <f aca="false">IF(A1679="","",A1679&amp;"|"&amp;B1679)</f>
        <v/>
      </c>
    </row>
    <row r="1680" customFormat="false" ht="15" hidden="false" customHeight="false" outlineLevel="0" collapsed="false">
      <c r="A1680" s="19"/>
      <c r="B1680" s="19"/>
      <c r="C1680" s="20"/>
      <c r="D1680" s="19"/>
      <c r="E1680" s="26" t="str">
        <f aca="false">IF(A1680="","",COUNTIFS(Apparitions!$A$2:$A$5001,A1680,Apparitions!$B$2:$B$5001,B1680))</f>
        <v/>
      </c>
      <c r="F1680" s="27" t="str">
        <f aca="false">IF(A1680="","",A1680&amp;"|"&amp;B1680)</f>
        <v/>
      </c>
    </row>
    <row r="1681" customFormat="false" ht="15" hidden="false" customHeight="false" outlineLevel="0" collapsed="false">
      <c r="A1681" s="19"/>
      <c r="B1681" s="19"/>
      <c r="C1681" s="20"/>
      <c r="D1681" s="19"/>
      <c r="E1681" s="26" t="str">
        <f aca="false">IF(A1681="","",COUNTIFS(Apparitions!$A$2:$A$5001,A1681,Apparitions!$B$2:$B$5001,B1681))</f>
        <v/>
      </c>
      <c r="F1681" s="27" t="str">
        <f aca="false">IF(A1681="","",A1681&amp;"|"&amp;B1681)</f>
        <v/>
      </c>
    </row>
    <row r="1682" customFormat="false" ht="15" hidden="false" customHeight="false" outlineLevel="0" collapsed="false">
      <c r="A1682" s="19"/>
      <c r="B1682" s="19"/>
      <c r="C1682" s="20"/>
      <c r="D1682" s="19"/>
      <c r="E1682" s="26" t="str">
        <f aca="false">IF(A1682="","",COUNTIFS(Apparitions!$A$2:$A$5001,A1682,Apparitions!$B$2:$B$5001,B1682))</f>
        <v/>
      </c>
      <c r="F1682" s="27" t="str">
        <f aca="false">IF(A1682="","",A1682&amp;"|"&amp;B1682)</f>
        <v/>
      </c>
    </row>
    <row r="1683" customFormat="false" ht="15" hidden="false" customHeight="false" outlineLevel="0" collapsed="false">
      <c r="A1683" s="19"/>
      <c r="B1683" s="19"/>
      <c r="C1683" s="20"/>
      <c r="D1683" s="19"/>
      <c r="E1683" s="26" t="str">
        <f aca="false">IF(A1683="","",COUNTIFS(Apparitions!$A$2:$A$5001,A1683,Apparitions!$B$2:$B$5001,B1683))</f>
        <v/>
      </c>
      <c r="F1683" s="27" t="str">
        <f aca="false">IF(A1683="","",A1683&amp;"|"&amp;B1683)</f>
        <v/>
      </c>
    </row>
    <row r="1684" customFormat="false" ht="15" hidden="false" customHeight="false" outlineLevel="0" collapsed="false">
      <c r="A1684" s="19"/>
      <c r="B1684" s="19"/>
      <c r="C1684" s="20"/>
      <c r="D1684" s="19"/>
      <c r="E1684" s="26" t="str">
        <f aca="false">IF(A1684="","",COUNTIFS(Apparitions!$A$2:$A$5001,A1684,Apparitions!$B$2:$B$5001,B1684))</f>
        <v/>
      </c>
      <c r="F1684" s="27" t="str">
        <f aca="false">IF(A1684="","",A1684&amp;"|"&amp;B1684)</f>
        <v/>
      </c>
    </row>
    <row r="1685" customFormat="false" ht="15" hidden="false" customHeight="false" outlineLevel="0" collapsed="false">
      <c r="A1685" s="19"/>
      <c r="B1685" s="19"/>
      <c r="C1685" s="20"/>
      <c r="D1685" s="19"/>
      <c r="E1685" s="26" t="str">
        <f aca="false">IF(A1685="","",COUNTIFS(Apparitions!$A$2:$A$5001,A1685,Apparitions!$B$2:$B$5001,B1685))</f>
        <v/>
      </c>
      <c r="F1685" s="27" t="str">
        <f aca="false">IF(A1685="","",A1685&amp;"|"&amp;B1685)</f>
        <v/>
      </c>
    </row>
    <row r="1686" customFormat="false" ht="15" hidden="false" customHeight="false" outlineLevel="0" collapsed="false">
      <c r="A1686" s="19"/>
      <c r="B1686" s="19"/>
      <c r="C1686" s="20"/>
      <c r="D1686" s="19"/>
      <c r="E1686" s="26" t="str">
        <f aca="false">IF(A1686="","",COUNTIFS(Apparitions!$A$2:$A$5001,A1686,Apparitions!$B$2:$B$5001,B1686))</f>
        <v/>
      </c>
      <c r="F1686" s="27" t="str">
        <f aca="false">IF(A1686="","",A1686&amp;"|"&amp;B1686)</f>
        <v/>
      </c>
    </row>
    <row r="1687" customFormat="false" ht="15" hidden="false" customHeight="false" outlineLevel="0" collapsed="false">
      <c r="A1687" s="19"/>
      <c r="B1687" s="19"/>
      <c r="C1687" s="20"/>
      <c r="D1687" s="19"/>
      <c r="E1687" s="26" t="str">
        <f aca="false">IF(A1687="","",COUNTIFS(Apparitions!$A$2:$A$5001,A1687,Apparitions!$B$2:$B$5001,B1687))</f>
        <v/>
      </c>
      <c r="F1687" s="27" t="str">
        <f aca="false">IF(A1687="","",A1687&amp;"|"&amp;B1687)</f>
        <v/>
      </c>
    </row>
    <row r="1688" customFormat="false" ht="15" hidden="false" customHeight="false" outlineLevel="0" collapsed="false">
      <c r="A1688" s="19"/>
      <c r="B1688" s="19"/>
      <c r="C1688" s="20"/>
      <c r="D1688" s="19"/>
      <c r="E1688" s="26" t="str">
        <f aca="false">IF(A1688="","",COUNTIFS(Apparitions!$A$2:$A$5001,A1688,Apparitions!$B$2:$B$5001,B1688))</f>
        <v/>
      </c>
      <c r="F1688" s="27" t="str">
        <f aca="false">IF(A1688="","",A1688&amp;"|"&amp;B1688)</f>
        <v/>
      </c>
    </row>
    <row r="1689" customFormat="false" ht="15" hidden="false" customHeight="false" outlineLevel="0" collapsed="false">
      <c r="A1689" s="19"/>
      <c r="B1689" s="19"/>
      <c r="C1689" s="20"/>
      <c r="D1689" s="19"/>
      <c r="E1689" s="26" t="str">
        <f aca="false">IF(A1689="","",COUNTIFS(Apparitions!$A$2:$A$5001,A1689,Apparitions!$B$2:$B$5001,B1689))</f>
        <v/>
      </c>
      <c r="F1689" s="27" t="str">
        <f aca="false">IF(A1689="","",A1689&amp;"|"&amp;B1689)</f>
        <v/>
      </c>
    </row>
    <row r="1690" customFormat="false" ht="15" hidden="false" customHeight="false" outlineLevel="0" collapsed="false">
      <c r="A1690" s="19"/>
      <c r="B1690" s="19"/>
      <c r="C1690" s="20"/>
      <c r="D1690" s="19"/>
      <c r="E1690" s="26" t="str">
        <f aca="false">IF(A1690="","",COUNTIFS(Apparitions!$A$2:$A$5001,A1690,Apparitions!$B$2:$B$5001,B1690))</f>
        <v/>
      </c>
      <c r="F1690" s="27" t="str">
        <f aca="false">IF(A1690="","",A1690&amp;"|"&amp;B1690)</f>
        <v/>
      </c>
    </row>
    <row r="1691" customFormat="false" ht="15" hidden="false" customHeight="false" outlineLevel="0" collapsed="false">
      <c r="A1691" s="19"/>
      <c r="B1691" s="19"/>
      <c r="C1691" s="20"/>
      <c r="D1691" s="19"/>
      <c r="E1691" s="26" t="str">
        <f aca="false">IF(A1691="","",COUNTIFS(Apparitions!$A$2:$A$5001,A1691,Apparitions!$B$2:$B$5001,B1691))</f>
        <v/>
      </c>
      <c r="F1691" s="27" t="str">
        <f aca="false">IF(A1691="","",A1691&amp;"|"&amp;B1691)</f>
        <v/>
      </c>
    </row>
    <row r="1692" customFormat="false" ht="15" hidden="false" customHeight="false" outlineLevel="0" collapsed="false">
      <c r="A1692" s="19"/>
      <c r="B1692" s="19"/>
      <c r="C1692" s="20"/>
      <c r="D1692" s="19"/>
      <c r="E1692" s="26" t="str">
        <f aca="false">IF(A1692="","",COUNTIFS(Apparitions!$A$2:$A$5001,A1692,Apparitions!$B$2:$B$5001,B1692))</f>
        <v/>
      </c>
      <c r="F1692" s="27" t="str">
        <f aca="false">IF(A1692="","",A1692&amp;"|"&amp;B1692)</f>
        <v/>
      </c>
    </row>
    <row r="1693" customFormat="false" ht="15" hidden="false" customHeight="false" outlineLevel="0" collapsed="false">
      <c r="A1693" s="19"/>
      <c r="B1693" s="19"/>
      <c r="C1693" s="20"/>
      <c r="D1693" s="19"/>
      <c r="E1693" s="26" t="str">
        <f aca="false">IF(A1693="","",COUNTIFS(Apparitions!$A$2:$A$5001,A1693,Apparitions!$B$2:$B$5001,B1693))</f>
        <v/>
      </c>
      <c r="F1693" s="27" t="str">
        <f aca="false">IF(A1693="","",A1693&amp;"|"&amp;B1693)</f>
        <v/>
      </c>
    </row>
    <row r="1694" customFormat="false" ht="15" hidden="false" customHeight="false" outlineLevel="0" collapsed="false">
      <c r="A1694" s="19"/>
      <c r="B1694" s="19"/>
      <c r="C1694" s="20"/>
      <c r="D1694" s="19"/>
      <c r="E1694" s="26" t="str">
        <f aca="false">IF(A1694="","",COUNTIFS(Apparitions!$A$2:$A$5001,A1694,Apparitions!$B$2:$B$5001,B1694))</f>
        <v/>
      </c>
      <c r="F1694" s="27" t="str">
        <f aca="false">IF(A1694="","",A1694&amp;"|"&amp;B1694)</f>
        <v/>
      </c>
    </row>
    <row r="1695" customFormat="false" ht="15" hidden="false" customHeight="false" outlineLevel="0" collapsed="false">
      <c r="A1695" s="19"/>
      <c r="B1695" s="19"/>
      <c r="C1695" s="20"/>
      <c r="D1695" s="19"/>
      <c r="E1695" s="26" t="str">
        <f aca="false">IF(A1695="","",COUNTIFS(Apparitions!$A$2:$A$5001,A1695,Apparitions!$B$2:$B$5001,B1695))</f>
        <v/>
      </c>
      <c r="F1695" s="27" t="str">
        <f aca="false">IF(A1695="","",A1695&amp;"|"&amp;B1695)</f>
        <v/>
      </c>
    </row>
    <row r="1696" customFormat="false" ht="15" hidden="false" customHeight="false" outlineLevel="0" collapsed="false">
      <c r="A1696" s="19"/>
      <c r="B1696" s="19"/>
      <c r="C1696" s="20"/>
      <c r="D1696" s="19"/>
      <c r="E1696" s="26" t="str">
        <f aca="false">IF(A1696="","",COUNTIFS(Apparitions!$A$2:$A$5001,A1696,Apparitions!$B$2:$B$5001,B1696))</f>
        <v/>
      </c>
      <c r="F1696" s="27" t="str">
        <f aca="false">IF(A1696="","",A1696&amp;"|"&amp;B1696)</f>
        <v/>
      </c>
    </row>
    <row r="1697" customFormat="false" ht="15" hidden="false" customHeight="false" outlineLevel="0" collapsed="false">
      <c r="A1697" s="19"/>
      <c r="B1697" s="19"/>
      <c r="C1697" s="20"/>
      <c r="D1697" s="19"/>
      <c r="E1697" s="26" t="str">
        <f aca="false">IF(A1697="","",COUNTIFS(Apparitions!$A$2:$A$5001,A1697,Apparitions!$B$2:$B$5001,B1697))</f>
        <v/>
      </c>
      <c r="F1697" s="27" t="str">
        <f aca="false">IF(A1697="","",A1697&amp;"|"&amp;B1697)</f>
        <v/>
      </c>
    </row>
    <row r="1698" customFormat="false" ht="15" hidden="false" customHeight="false" outlineLevel="0" collapsed="false">
      <c r="A1698" s="19"/>
      <c r="B1698" s="19"/>
      <c r="C1698" s="20"/>
      <c r="D1698" s="19"/>
      <c r="E1698" s="26" t="str">
        <f aca="false">IF(A1698="","",COUNTIFS(Apparitions!$A$2:$A$5001,A1698,Apparitions!$B$2:$B$5001,B1698))</f>
        <v/>
      </c>
      <c r="F1698" s="27" t="str">
        <f aca="false">IF(A1698="","",A1698&amp;"|"&amp;B1698)</f>
        <v/>
      </c>
    </row>
    <row r="1699" customFormat="false" ht="15" hidden="false" customHeight="false" outlineLevel="0" collapsed="false">
      <c r="A1699" s="19"/>
      <c r="B1699" s="19"/>
      <c r="C1699" s="20"/>
      <c r="D1699" s="19"/>
      <c r="E1699" s="26" t="str">
        <f aca="false">IF(A1699="","",COUNTIFS(Apparitions!$A$2:$A$5001,A1699,Apparitions!$B$2:$B$5001,B1699))</f>
        <v/>
      </c>
      <c r="F1699" s="27" t="str">
        <f aca="false">IF(A1699="","",A1699&amp;"|"&amp;B1699)</f>
        <v/>
      </c>
    </row>
    <row r="1700" customFormat="false" ht="15" hidden="false" customHeight="false" outlineLevel="0" collapsed="false">
      <c r="A1700" s="19"/>
      <c r="B1700" s="19"/>
      <c r="C1700" s="20"/>
      <c r="D1700" s="19"/>
      <c r="E1700" s="26" t="str">
        <f aca="false">IF(A1700="","",COUNTIFS(Apparitions!$A$2:$A$5001,A1700,Apparitions!$B$2:$B$5001,B1700))</f>
        <v/>
      </c>
      <c r="F1700" s="27" t="str">
        <f aca="false">IF(A1700="","",A1700&amp;"|"&amp;B1700)</f>
        <v/>
      </c>
    </row>
    <row r="1701" customFormat="false" ht="15" hidden="false" customHeight="false" outlineLevel="0" collapsed="false">
      <c r="A1701" s="19"/>
      <c r="B1701" s="19"/>
      <c r="C1701" s="20"/>
      <c r="D1701" s="19"/>
      <c r="E1701" s="26" t="str">
        <f aca="false">IF(A1701="","",COUNTIFS(Apparitions!$A$2:$A$5001,A1701,Apparitions!$B$2:$B$5001,B1701))</f>
        <v/>
      </c>
      <c r="F1701" s="27" t="str">
        <f aca="false">IF(A1701="","",A1701&amp;"|"&amp;B1701)</f>
        <v/>
      </c>
    </row>
    <row r="1702" customFormat="false" ht="15" hidden="false" customHeight="false" outlineLevel="0" collapsed="false">
      <c r="A1702" s="19"/>
      <c r="B1702" s="19"/>
      <c r="C1702" s="20"/>
      <c r="D1702" s="19"/>
      <c r="E1702" s="26" t="str">
        <f aca="false">IF(A1702="","",COUNTIFS(Apparitions!$A$2:$A$5001,A1702,Apparitions!$B$2:$B$5001,B1702))</f>
        <v/>
      </c>
      <c r="F1702" s="27" t="str">
        <f aca="false">IF(A1702="","",A1702&amp;"|"&amp;B1702)</f>
        <v/>
      </c>
    </row>
    <row r="1703" customFormat="false" ht="15" hidden="false" customHeight="false" outlineLevel="0" collapsed="false">
      <c r="A1703" s="19"/>
      <c r="B1703" s="19"/>
      <c r="C1703" s="20"/>
      <c r="D1703" s="19"/>
      <c r="E1703" s="26" t="str">
        <f aca="false">IF(A1703="","",COUNTIFS(Apparitions!$A$2:$A$5001,A1703,Apparitions!$B$2:$B$5001,B1703))</f>
        <v/>
      </c>
      <c r="F1703" s="27" t="str">
        <f aca="false">IF(A1703="","",A1703&amp;"|"&amp;B1703)</f>
        <v/>
      </c>
    </row>
    <row r="1704" customFormat="false" ht="15" hidden="false" customHeight="false" outlineLevel="0" collapsed="false">
      <c r="A1704" s="19"/>
      <c r="B1704" s="19"/>
      <c r="C1704" s="20"/>
      <c r="D1704" s="19"/>
      <c r="E1704" s="26" t="str">
        <f aca="false">IF(A1704="","",COUNTIFS(Apparitions!$A$2:$A$5001,A1704,Apparitions!$B$2:$B$5001,B1704))</f>
        <v/>
      </c>
      <c r="F1704" s="27" t="str">
        <f aca="false">IF(A1704="","",A1704&amp;"|"&amp;B1704)</f>
        <v/>
      </c>
    </row>
    <row r="1705" customFormat="false" ht="15" hidden="false" customHeight="false" outlineLevel="0" collapsed="false">
      <c r="A1705" s="19"/>
      <c r="B1705" s="19"/>
      <c r="C1705" s="20"/>
      <c r="D1705" s="19"/>
      <c r="E1705" s="26" t="str">
        <f aca="false">IF(A1705="","",COUNTIFS(Apparitions!$A$2:$A$5001,A1705,Apparitions!$B$2:$B$5001,B1705))</f>
        <v/>
      </c>
      <c r="F1705" s="27" t="str">
        <f aca="false">IF(A1705="","",A1705&amp;"|"&amp;B1705)</f>
        <v/>
      </c>
    </row>
    <row r="1706" customFormat="false" ht="15" hidden="false" customHeight="false" outlineLevel="0" collapsed="false">
      <c r="A1706" s="19"/>
      <c r="B1706" s="19"/>
      <c r="C1706" s="20"/>
      <c r="D1706" s="19"/>
      <c r="E1706" s="26" t="str">
        <f aca="false">IF(A1706="","",COUNTIFS(Apparitions!$A$2:$A$5001,A1706,Apparitions!$B$2:$B$5001,B1706))</f>
        <v/>
      </c>
      <c r="F1706" s="27" t="str">
        <f aca="false">IF(A1706="","",A1706&amp;"|"&amp;B1706)</f>
        <v/>
      </c>
    </row>
    <row r="1707" customFormat="false" ht="15" hidden="false" customHeight="false" outlineLevel="0" collapsed="false">
      <c r="A1707" s="19"/>
      <c r="B1707" s="19"/>
      <c r="C1707" s="20"/>
      <c r="D1707" s="19"/>
      <c r="E1707" s="26" t="str">
        <f aca="false">IF(A1707="","",COUNTIFS(Apparitions!$A$2:$A$5001,A1707,Apparitions!$B$2:$B$5001,B1707))</f>
        <v/>
      </c>
      <c r="F1707" s="27" t="str">
        <f aca="false">IF(A1707="","",A1707&amp;"|"&amp;B1707)</f>
        <v/>
      </c>
    </row>
    <row r="1708" customFormat="false" ht="15" hidden="false" customHeight="false" outlineLevel="0" collapsed="false">
      <c r="A1708" s="19"/>
      <c r="B1708" s="19"/>
      <c r="C1708" s="20"/>
      <c r="D1708" s="19"/>
      <c r="E1708" s="26" t="str">
        <f aca="false">IF(A1708="","",COUNTIFS(Apparitions!$A$2:$A$5001,A1708,Apparitions!$B$2:$B$5001,B1708))</f>
        <v/>
      </c>
      <c r="F1708" s="27" t="str">
        <f aca="false">IF(A1708="","",A1708&amp;"|"&amp;B1708)</f>
        <v/>
      </c>
    </row>
    <row r="1709" customFormat="false" ht="15" hidden="false" customHeight="false" outlineLevel="0" collapsed="false">
      <c r="A1709" s="19"/>
      <c r="B1709" s="19"/>
      <c r="C1709" s="20"/>
      <c r="D1709" s="19"/>
      <c r="E1709" s="26" t="str">
        <f aca="false">IF(A1709="","",COUNTIFS(Apparitions!$A$2:$A$5001,A1709,Apparitions!$B$2:$B$5001,B1709))</f>
        <v/>
      </c>
      <c r="F1709" s="27" t="str">
        <f aca="false">IF(A1709="","",A1709&amp;"|"&amp;B1709)</f>
        <v/>
      </c>
    </row>
    <row r="1710" customFormat="false" ht="15" hidden="false" customHeight="false" outlineLevel="0" collapsed="false">
      <c r="A1710" s="19"/>
      <c r="B1710" s="19"/>
      <c r="C1710" s="20"/>
      <c r="D1710" s="19"/>
      <c r="E1710" s="26" t="str">
        <f aca="false">IF(A1710="","",COUNTIFS(Apparitions!$A$2:$A$5001,A1710,Apparitions!$B$2:$B$5001,B1710))</f>
        <v/>
      </c>
      <c r="F1710" s="27" t="str">
        <f aca="false">IF(A1710="","",A1710&amp;"|"&amp;B1710)</f>
        <v/>
      </c>
    </row>
    <row r="1711" customFormat="false" ht="15" hidden="false" customHeight="false" outlineLevel="0" collapsed="false">
      <c r="A1711" s="19"/>
      <c r="B1711" s="19"/>
      <c r="C1711" s="20"/>
      <c r="D1711" s="19"/>
      <c r="E1711" s="26" t="str">
        <f aca="false">IF(A1711="","",COUNTIFS(Apparitions!$A$2:$A$5001,A1711,Apparitions!$B$2:$B$5001,B1711))</f>
        <v/>
      </c>
      <c r="F1711" s="27" t="str">
        <f aca="false">IF(A1711="","",A1711&amp;"|"&amp;B1711)</f>
        <v/>
      </c>
    </row>
    <row r="1712" customFormat="false" ht="15" hidden="false" customHeight="false" outlineLevel="0" collapsed="false">
      <c r="A1712" s="19"/>
      <c r="B1712" s="19"/>
      <c r="C1712" s="20"/>
      <c r="D1712" s="19"/>
      <c r="E1712" s="26" t="str">
        <f aca="false">IF(A1712="","",COUNTIFS(Apparitions!$A$2:$A$5001,A1712,Apparitions!$B$2:$B$5001,B1712))</f>
        <v/>
      </c>
      <c r="F1712" s="27" t="str">
        <f aca="false">IF(A1712="","",A1712&amp;"|"&amp;B1712)</f>
        <v/>
      </c>
    </row>
    <row r="1713" customFormat="false" ht="15" hidden="false" customHeight="false" outlineLevel="0" collapsed="false">
      <c r="A1713" s="19"/>
      <c r="B1713" s="19"/>
      <c r="C1713" s="20"/>
      <c r="D1713" s="19"/>
      <c r="E1713" s="26" t="str">
        <f aca="false">IF(A1713="","",COUNTIFS(Apparitions!$A$2:$A$5001,A1713,Apparitions!$B$2:$B$5001,B1713))</f>
        <v/>
      </c>
      <c r="F1713" s="27" t="str">
        <f aca="false">IF(A1713="","",A1713&amp;"|"&amp;B1713)</f>
        <v/>
      </c>
    </row>
    <row r="1714" customFormat="false" ht="15" hidden="false" customHeight="false" outlineLevel="0" collapsed="false">
      <c r="A1714" s="19"/>
      <c r="B1714" s="19"/>
      <c r="C1714" s="20"/>
      <c r="D1714" s="19"/>
      <c r="E1714" s="26" t="str">
        <f aca="false">IF(A1714="","",COUNTIFS(Apparitions!$A$2:$A$5001,A1714,Apparitions!$B$2:$B$5001,B1714))</f>
        <v/>
      </c>
      <c r="F1714" s="27" t="str">
        <f aca="false">IF(A1714="","",A1714&amp;"|"&amp;B1714)</f>
        <v/>
      </c>
    </row>
    <row r="1715" customFormat="false" ht="15" hidden="false" customHeight="false" outlineLevel="0" collapsed="false">
      <c r="A1715" s="19"/>
      <c r="B1715" s="19"/>
      <c r="C1715" s="20"/>
      <c r="D1715" s="19"/>
      <c r="E1715" s="26" t="str">
        <f aca="false">IF(A1715="","",COUNTIFS(Apparitions!$A$2:$A$5001,A1715,Apparitions!$B$2:$B$5001,B1715))</f>
        <v/>
      </c>
      <c r="F1715" s="27" t="str">
        <f aca="false">IF(A1715="","",A1715&amp;"|"&amp;B1715)</f>
        <v/>
      </c>
    </row>
    <row r="1716" customFormat="false" ht="15" hidden="false" customHeight="false" outlineLevel="0" collapsed="false">
      <c r="A1716" s="19"/>
      <c r="B1716" s="19"/>
      <c r="C1716" s="20"/>
      <c r="D1716" s="19"/>
      <c r="E1716" s="26" t="str">
        <f aca="false">IF(A1716="","",COUNTIFS(Apparitions!$A$2:$A$5001,A1716,Apparitions!$B$2:$B$5001,B1716))</f>
        <v/>
      </c>
      <c r="F1716" s="27" t="str">
        <f aca="false">IF(A1716="","",A1716&amp;"|"&amp;B1716)</f>
        <v/>
      </c>
    </row>
    <row r="1717" customFormat="false" ht="15" hidden="false" customHeight="false" outlineLevel="0" collapsed="false">
      <c r="A1717" s="19"/>
      <c r="B1717" s="19"/>
      <c r="C1717" s="20"/>
      <c r="D1717" s="19"/>
      <c r="E1717" s="26" t="str">
        <f aca="false">IF(A1717="","",COUNTIFS(Apparitions!$A$2:$A$5001,A1717,Apparitions!$B$2:$B$5001,B1717))</f>
        <v/>
      </c>
      <c r="F1717" s="27" t="str">
        <f aca="false">IF(A1717="","",A1717&amp;"|"&amp;B1717)</f>
        <v/>
      </c>
    </row>
    <row r="1718" customFormat="false" ht="15" hidden="false" customHeight="false" outlineLevel="0" collapsed="false">
      <c r="A1718" s="19"/>
      <c r="B1718" s="19"/>
      <c r="C1718" s="20"/>
      <c r="D1718" s="19"/>
      <c r="E1718" s="26" t="str">
        <f aca="false">IF(A1718="","",COUNTIFS(Apparitions!$A$2:$A$5001,A1718,Apparitions!$B$2:$B$5001,B1718))</f>
        <v/>
      </c>
      <c r="F1718" s="27" t="str">
        <f aca="false">IF(A1718="","",A1718&amp;"|"&amp;B1718)</f>
        <v/>
      </c>
    </row>
    <row r="1719" customFormat="false" ht="15" hidden="false" customHeight="false" outlineLevel="0" collapsed="false">
      <c r="A1719" s="19"/>
      <c r="B1719" s="19"/>
      <c r="C1719" s="20"/>
      <c r="D1719" s="19"/>
      <c r="E1719" s="26" t="str">
        <f aca="false">IF(A1719="","",COUNTIFS(Apparitions!$A$2:$A$5001,A1719,Apparitions!$B$2:$B$5001,B1719))</f>
        <v/>
      </c>
      <c r="F1719" s="27" t="str">
        <f aca="false">IF(A1719="","",A1719&amp;"|"&amp;B1719)</f>
        <v/>
      </c>
    </row>
    <row r="1720" customFormat="false" ht="15" hidden="false" customHeight="false" outlineLevel="0" collapsed="false">
      <c r="A1720" s="19"/>
      <c r="B1720" s="19"/>
      <c r="C1720" s="20"/>
      <c r="D1720" s="19"/>
      <c r="E1720" s="26" t="str">
        <f aca="false">IF(A1720="","",COUNTIFS(Apparitions!$A$2:$A$5001,A1720,Apparitions!$B$2:$B$5001,B1720))</f>
        <v/>
      </c>
      <c r="F1720" s="27" t="str">
        <f aca="false">IF(A1720="","",A1720&amp;"|"&amp;B1720)</f>
        <v/>
      </c>
    </row>
    <row r="1721" customFormat="false" ht="15" hidden="false" customHeight="false" outlineLevel="0" collapsed="false">
      <c r="A1721" s="19"/>
      <c r="B1721" s="19"/>
      <c r="C1721" s="20"/>
      <c r="D1721" s="19"/>
      <c r="E1721" s="26" t="str">
        <f aca="false">IF(A1721="","",COUNTIFS(Apparitions!$A$2:$A$5001,A1721,Apparitions!$B$2:$B$5001,B1721))</f>
        <v/>
      </c>
      <c r="F1721" s="27" t="str">
        <f aca="false">IF(A1721="","",A1721&amp;"|"&amp;B1721)</f>
        <v/>
      </c>
    </row>
    <row r="1722" customFormat="false" ht="15" hidden="false" customHeight="false" outlineLevel="0" collapsed="false">
      <c r="A1722" s="19"/>
      <c r="B1722" s="19"/>
      <c r="C1722" s="20"/>
      <c r="D1722" s="19"/>
      <c r="E1722" s="26" t="str">
        <f aca="false">IF(A1722="","",COUNTIFS(Apparitions!$A$2:$A$5001,A1722,Apparitions!$B$2:$B$5001,B1722))</f>
        <v/>
      </c>
      <c r="F1722" s="27" t="str">
        <f aca="false">IF(A1722="","",A1722&amp;"|"&amp;B1722)</f>
        <v/>
      </c>
    </row>
    <row r="1723" customFormat="false" ht="15" hidden="false" customHeight="false" outlineLevel="0" collapsed="false">
      <c r="A1723" s="19"/>
      <c r="B1723" s="19"/>
      <c r="C1723" s="20"/>
      <c r="D1723" s="19"/>
      <c r="E1723" s="26" t="str">
        <f aca="false">IF(A1723="","",COUNTIFS(Apparitions!$A$2:$A$5001,A1723,Apparitions!$B$2:$B$5001,B1723))</f>
        <v/>
      </c>
      <c r="F1723" s="27" t="str">
        <f aca="false">IF(A1723="","",A1723&amp;"|"&amp;B1723)</f>
        <v/>
      </c>
    </row>
    <row r="1724" customFormat="false" ht="15" hidden="false" customHeight="false" outlineLevel="0" collapsed="false">
      <c r="A1724" s="19"/>
      <c r="B1724" s="19"/>
      <c r="C1724" s="20"/>
      <c r="D1724" s="19"/>
      <c r="E1724" s="26" t="str">
        <f aca="false">IF(A1724="","",COUNTIFS(Apparitions!$A$2:$A$5001,A1724,Apparitions!$B$2:$B$5001,B1724))</f>
        <v/>
      </c>
      <c r="F1724" s="27" t="str">
        <f aca="false">IF(A1724="","",A1724&amp;"|"&amp;B1724)</f>
        <v/>
      </c>
    </row>
    <row r="1725" customFormat="false" ht="15" hidden="false" customHeight="false" outlineLevel="0" collapsed="false">
      <c r="A1725" s="19"/>
      <c r="B1725" s="19"/>
      <c r="C1725" s="20"/>
      <c r="D1725" s="19"/>
      <c r="E1725" s="26" t="str">
        <f aca="false">IF(A1725="","",COUNTIFS(Apparitions!$A$2:$A$5001,A1725,Apparitions!$B$2:$B$5001,B1725))</f>
        <v/>
      </c>
      <c r="F1725" s="27" t="str">
        <f aca="false">IF(A1725="","",A1725&amp;"|"&amp;B1725)</f>
        <v/>
      </c>
    </row>
    <row r="1726" customFormat="false" ht="15" hidden="false" customHeight="false" outlineLevel="0" collapsed="false">
      <c r="A1726" s="19"/>
      <c r="B1726" s="19"/>
      <c r="C1726" s="20"/>
      <c r="D1726" s="19"/>
      <c r="E1726" s="26" t="str">
        <f aca="false">IF(A1726="","",COUNTIFS(Apparitions!$A$2:$A$5001,A1726,Apparitions!$B$2:$B$5001,B1726))</f>
        <v/>
      </c>
      <c r="F1726" s="27" t="str">
        <f aca="false">IF(A1726="","",A1726&amp;"|"&amp;B1726)</f>
        <v/>
      </c>
    </row>
    <row r="1727" customFormat="false" ht="15" hidden="false" customHeight="false" outlineLevel="0" collapsed="false">
      <c r="A1727" s="19"/>
      <c r="B1727" s="19"/>
      <c r="C1727" s="20"/>
      <c r="D1727" s="19"/>
      <c r="E1727" s="26" t="str">
        <f aca="false">IF(A1727="","",COUNTIFS(Apparitions!$A$2:$A$5001,A1727,Apparitions!$B$2:$B$5001,B1727))</f>
        <v/>
      </c>
      <c r="F1727" s="27" t="str">
        <f aca="false">IF(A1727="","",A1727&amp;"|"&amp;B1727)</f>
        <v/>
      </c>
    </row>
    <row r="1728" customFormat="false" ht="15" hidden="false" customHeight="false" outlineLevel="0" collapsed="false">
      <c r="A1728" s="19"/>
      <c r="B1728" s="19"/>
      <c r="C1728" s="20"/>
      <c r="D1728" s="19"/>
      <c r="E1728" s="26" t="str">
        <f aca="false">IF(A1728="","",COUNTIFS(Apparitions!$A$2:$A$5001,A1728,Apparitions!$B$2:$B$5001,B1728))</f>
        <v/>
      </c>
      <c r="F1728" s="27" t="str">
        <f aca="false">IF(A1728="","",A1728&amp;"|"&amp;B1728)</f>
        <v/>
      </c>
    </row>
    <row r="1729" customFormat="false" ht="15" hidden="false" customHeight="false" outlineLevel="0" collapsed="false">
      <c r="A1729" s="19"/>
      <c r="B1729" s="19"/>
      <c r="C1729" s="20"/>
      <c r="D1729" s="19"/>
      <c r="E1729" s="26" t="str">
        <f aca="false">IF(A1729="","",COUNTIFS(Apparitions!$A$2:$A$5001,A1729,Apparitions!$B$2:$B$5001,B1729))</f>
        <v/>
      </c>
      <c r="F1729" s="27" t="str">
        <f aca="false">IF(A1729="","",A1729&amp;"|"&amp;B1729)</f>
        <v/>
      </c>
    </row>
    <row r="1730" customFormat="false" ht="15" hidden="false" customHeight="false" outlineLevel="0" collapsed="false">
      <c r="A1730" s="19"/>
      <c r="B1730" s="19"/>
      <c r="C1730" s="20"/>
      <c r="D1730" s="19"/>
      <c r="E1730" s="26" t="str">
        <f aca="false">IF(A1730="","",COUNTIFS(Apparitions!$A$2:$A$5001,A1730,Apparitions!$B$2:$B$5001,B1730))</f>
        <v/>
      </c>
      <c r="F1730" s="27" t="str">
        <f aca="false">IF(A1730="","",A1730&amp;"|"&amp;B1730)</f>
        <v/>
      </c>
    </row>
    <row r="1731" customFormat="false" ht="15" hidden="false" customHeight="false" outlineLevel="0" collapsed="false">
      <c r="A1731" s="19"/>
      <c r="B1731" s="19"/>
      <c r="C1731" s="20"/>
      <c r="D1731" s="19"/>
      <c r="E1731" s="26" t="str">
        <f aca="false">IF(A1731="","",COUNTIFS(Apparitions!$A$2:$A$5001,A1731,Apparitions!$B$2:$B$5001,B1731))</f>
        <v/>
      </c>
      <c r="F1731" s="27" t="str">
        <f aca="false">IF(A1731="","",A1731&amp;"|"&amp;B1731)</f>
        <v/>
      </c>
    </row>
    <row r="1732" customFormat="false" ht="15" hidden="false" customHeight="false" outlineLevel="0" collapsed="false">
      <c r="A1732" s="19"/>
      <c r="B1732" s="19"/>
      <c r="C1732" s="20"/>
      <c r="D1732" s="19"/>
      <c r="E1732" s="26" t="str">
        <f aca="false">IF(A1732="","",COUNTIFS(Apparitions!$A$2:$A$5001,A1732,Apparitions!$B$2:$B$5001,B1732))</f>
        <v/>
      </c>
      <c r="F1732" s="27" t="str">
        <f aca="false">IF(A1732="","",A1732&amp;"|"&amp;B1732)</f>
        <v/>
      </c>
    </row>
    <row r="1733" customFormat="false" ht="15" hidden="false" customHeight="false" outlineLevel="0" collapsed="false">
      <c r="A1733" s="19"/>
      <c r="B1733" s="19"/>
      <c r="C1733" s="20"/>
      <c r="D1733" s="19"/>
      <c r="E1733" s="26" t="str">
        <f aca="false">IF(A1733="","",COUNTIFS(Apparitions!$A$2:$A$5001,A1733,Apparitions!$B$2:$B$5001,B1733))</f>
        <v/>
      </c>
      <c r="F1733" s="27" t="str">
        <f aca="false">IF(A1733="","",A1733&amp;"|"&amp;B1733)</f>
        <v/>
      </c>
    </row>
    <row r="1734" customFormat="false" ht="15" hidden="false" customHeight="false" outlineLevel="0" collapsed="false">
      <c r="A1734" s="19"/>
      <c r="B1734" s="19"/>
      <c r="C1734" s="20"/>
      <c r="D1734" s="19"/>
      <c r="E1734" s="26" t="str">
        <f aca="false">IF(A1734="","",COUNTIFS(Apparitions!$A$2:$A$5001,A1734,Apparitions!$B$2:$B$5001,B1734))</f>
        <v/>
      </c>
      <c r="F1734" s="27" t="str">
        <f aca="false">IF(A1734="","",A1734&amp;"|"&amp;B1734)</f>
        <v/>
      </c>
    </row>
    <row r="1735" customFormat="false" ht="15" hidden="false" customHeight="false" outlineLevel="0" collapsed="false">
      <c r="A1735" s="19"/>
      <c r="B1735" s="19"/>
      <c r="C1735" s="20"/>
      <c r="D1735" s="19"/>
      <c r="E1735" s="26" t="str">
        <f aca="false">IF(A1735="","",COUNTIFS(Apparitions!$A$2:$A$5001,A1735,Apparitions!$B$2:$B$5001,B1735))</f>
        <v/>
      </c>
      <c r="F1735" s="27" t="str">
        <f aca="false">IF(A1735="","",A1735&amp;"|"&amp;B1735)</f>
        <v/>
      </c>
    </row>
    <row r="1736" customFormat="false" ht="15" hidden="false" customHeight="false" outlineLevel="0" collapsed="false">
      <c r="A1736" s="19"/>
      <c r="B1736" s="19"/>
      <c r="C1736" s="20"/>
      <c r="D1736" s="19"/>
      <c r="E1736" s="26" t="str">
        <f aca="false">IF(A1736="","",COUNTIFS(Apparitions!$A$2:$A$5001,A1736,Apparitions!$B$2:$B$5001,B1736))</f>
        <v/>
      </c>
      <c r="F1736" s="27" t="str">
        <f aca="false">IF(A1736="","",A1736&amp;"|"&amp;B1736)</f>
        <v/>
      </c>
    </row>
    <row r="1737" customFormat="false" ht="15" hidden="false" customHeight="false" outlineLevel="0" collapsed="false">
      <c r="A1737" s="19"/>
      <c r="B1737" s="19"/>
      <c r="C1737" s="20"/>
      <c r="D1737" s="19"/>
      <c r="E1737" s="26" t="str">
        <f aca="false">IF(A1737="","",COUNTIFS(Apparitions!$A$2:$A$5001,A1737,Apparitions!$B$2:$B$5001,B1737))</f>
        <v/>
      </c>
      <c r="F1737" s="27" t="str">
        <f aca="false">IF(A1737="","",A1737&amp;"|"&amp;B1737)</f>
        <v/>
      </c>
    </row>
    <row r="1738" customFormat="false" ht="15" hidden="false" customHeight="false" outlineLevel="0" collapsed="false">
      <c r="A1738" s="19"/>
      <c r="B1738" s="19"/>
      <c r="C1738" s="20"/>
      <c r="D1738" s="19"/>
      <c r="E1738" s="26" t="str">
        <f aca="false">IF(A1738="","",COUNTIFS(Apparitions!$A$2:$A$5001,A1738,Apparitions!$B$2:$B$5001,B1738))</f>
        <v/>
      </c>
      <c r="F1738" s="27" t="str">
        <f aca="false">IF(A1738="","",A1738&amp;"|"&amp;B1738)</f>
        <v/>
      </c>
    </row>
    <row r="1739" customFormat="false" ht="15" hidden="false" customHeight="false" outlineLevel="0" collapsed="false">
      <c r="A1739" s="19"/>
      <c r="B1739" s="19"/>
      <c r="C1739" s="20"/>
      <c r="D1739" s="19"/>
      <c r="E1739" s="26" t="str">
        <f aca="false">IF(A1739="","",COUNTIFS(Apparitions!$A$2:$A$5001,A1739,Apparitions!$B$2:$B$5001,B1739))</f>
        <v/>
      </c>
      <c r="F1739" s="27" t="str">
        <f aca="false">IF(A1739="","",A1739&amp;"|"&amp;B1739)</f>
        <v/>
      </c>
    </row>
    <row r="1740" customFormat="false" ht="15" hidden="false" customHeight="false" outlineLevel="0" collapsed="false">
      <c r="A1740" s="19"/>
      <c r="B1740" s="19"/>
      <c r="C1740" s="20"/>
      <c r="D1740" s="19"/>
      <c r="E1740" s="26" t="str">
        <f aca="false">IF(A1740="","",COUNTIFS(Apparitions!$A$2:$A$5001,A1740,Apparitions!$B$2:$B$5001,B1740))</f>
        <v/>
      </c>
      <c r="F1740" s="27" t="str">
        <f aca="false">IF(A1740="","",A1740&amp;"|"&amp;B1740)</f>
        <v/>
      </c>
    </row>
    <row r="1741" customFormat="false" ht="15" hidden="false" customHeight="false" outlineLevel="0" collapsed="false">
      <c r="A1741" s="19"/>
      <c r="B1741" s="19"/>
      <c r="C1741" s="20"/>
      <c r="D1741" s="19"/>
      <c r="E1741" s="26" t="str">
        <f aca="false">IF(A1741="","",COUNTIFS(Apparitions!$A$2:$A$5001,A1741,Apparitions!$B$2:$B$5001,B1741))</f>
        <v/>
      </c>
      <c r="F1741" s="27" t="str">
        <f aca="false">IF(A1741="","",A1741&amp;"|"&amp;B1741)</f>
        <v/>
      </c>
    </row>
    <row r="1742" customFormat="false" ht="15" hidden="false" customHeight="false" outlineLevel="0" collapsed="false">
      <c r="A1742" s="19"/>
      <c r="B1742" s="19"/>
      <c r="C1742" s="20"/>
      <c r="D1742" s="19"/>
      <c r="E1742" s="26" t="str">
        <f aca="false">IF(A1742="","",COUNTIFS(Apparitions!$A$2:$A$5001,A1742,Apparitions!$B$2:$B$5001,B1742))</f>
        <v/>
      </c>
      <c r="F1742" s="27" t="str">
        <f aca="false">IF(A1742="","",A1742&amp;"|"&amp;B1742)</f>
        <v/>
      </c>
    </row>
    <row r="1743" customFormat="false" ht="15" hidden="false" customHeight="false" outlineLevel="0" collapsed="false">
      <c r="A1743" s="19"/>
      <c r="B1743" s="19"/>
      <c r="C1743" s="20"/>
      <c r="D1743" s="19"/>
      <c r="E1743" s="26" t="str">
        <f aca="false">IF(A1743="","",COUNTIFS(Apparitions!$A$2:$A$5001,A1743,Apparitions!$B$2:$B$5001,B1743))</f>
        <v/>
      </c>
      <c r="F1743" s="27" t="str">
        <f aca="false">IF(A1743="","",A1743&amp;"|"&amp;B1743)</f>
        <v/>
      </c>
    </row>
    <row r="1744" customFormat="false" ht="15" hidden="false" customHeight="false" outlineLevel="0" collapsed="false">
      <c r="A1744" s="19"/>
      <c r="B1744" s="19"/>
      <c r="C1744" s="20"/>
      <c r="D1744" s="19"/>
      <c r="E1744" s="26" t="str">
        <f aca="false">IF(A1744="","",COUNTIFS(Apparitions!$A$2:$A$5001,A1744,Apparitions!$B$2:$B$5001,B1744))</f>
        <v/>
      </c>
      <c r="F1744" s="27" t="str">
        <f aca="false">IF(A1744="","",A1744&amp;"|"&amp;B1744)</f>
        <v/>
      </c>
    </row>
    <row r="1745" customFormat="false" ht="15" hidden="false" customHeight="false" outlineLevel="0" collapsed="false">
      <c r="A1745" s="19"/>
      <c r="B1745" s="19"/>
      <c r="C1745" s="20"/>
      <c r="D1745" s="19"/>
      <c r="E1745" s="26" t="str">
        <f aca="false">IF(A1745="","",COUNTIFS(Apparitions!$A$2:$A$5001,A1745,Apparitions!$B$2:$B$5001,B1745))</f>
        <v/>
      </c>
      <c r="F1745" s="27" t="str">
        <f aca="false">IF(A1745="","",A1745&amp;"|"&amp;B1745)</f>
        <v/>
      </c>
    </row>
    <row r="1746" customFormat="false" ht="15" hidden="false" customHeight="false" outlineLevel="0" collapsed="false">
      <c r="A1746" s="19"/>
      <c r="B1746" s="19"/>
      <c r="C1746" s="20"/>
      <c r="D1746" s="19"/>
      <c r="E1746" s="26" t="str">
        <f aca="false">IF(A1746="","",COUNTIFS(Apparitions!$A$2:$A$5001,A1746,Apparitions!$B$2:$B$5001,B1746))</f>
        <v/>
      </c>
      <c r="F1746" s="27" t="str">
        <f aca="false">IF(A1746="","",A1746&amp;"|"&amp;B1746)</f>
        <v/>
      </c>
    </row>
    <row r="1747" customFormat="false" ht="15" hidden="false" customHeight="false" outlineLevel="0" collapsed="false">
      <c r="A1747" s="19"/>
      <c r="B1747" s="19"/>
      <c r="C1747" s="20"/>
      <c r="D1747" s="19"/>
      <c r="E1747" s="26" t="str">
        <f aca="false">IF(A1747="","",COUNTIFS(Apparitions!$A$2:$A$5001,A1747,Apparitions!$B$2:$B$5001,B1747))</f>
        <v/>
      </c>
      <c r="F1747" s="27" t="str">
        <f aca="false">IF(A1747="","",A1747&amp;"|"&amp;B1747)</f>
        <v/>
      </c>
    </row>
    <row r="1748" customFormat="false" ht="15" hidden="false" customHeight="false" outlineLevel="0" collapsed="false">
      <c r="A1748" s="19"/>
      <c r="B1748" s="19"/>
      <c r="C1748" s="20"/>
      <c r="D1748" s="19"/>
      <c r="E1748" s="26" t="str">
        <f aca="false">IF(A1748="","",COUNTIFS(Apparitions!$A$2:$A$5001,A1748,Apparitions!$B$2:$B$5001,B1748))</f>
        <v/>
      </c>
      <c r="F1748" s="27" t="str">
        <f aca="false">IF(A1748="","",A1748&amp;"|"&amp;B1748)</f>
        <v/>
      </c>
    </row>
    <row r="1749" customFormat="false" ht="15" hidden="false" customHeight="false" outlineLevel="0" collapsed="false">
      <c r="A1749" s="19"/>
      <c r="B1749" s="19"/>
      <c r="C1749" s="20"/>
      <c r="D1749" s="19"/>
      <c r="E1749" s="26" t="str">
        <f aca="false">IF(A1749="","",COUNTIFS(Apparitions!$A$2:$A$5001,A1749,Apparitions!$B$2:$B$5001,B1749))</f>
        <v/>
      </c>
      <c r="F1749" s="27" t="str">
        <f aca="false">IF(A1749="","",A1749&amp;"|"&amp;B1749)</f>
        <v/>
      </c>
    </row>
    <row r="1750" customFormat="false" ht="15" hidden="false" customHeight="false" outlineLevel="0" collapsed="false">
      <c r="A1750" s="19"/>
      <c r="B1750" s="19"/>
      <c r="C1750" s="20"/>
      <c r="D1750" s="19"/>
      <c r="E1750" s="26" t="str">
        <f aca="false">IF(A1750="","",COUNTIFS(Apparitions!$A$2:$A$5001,A1750,Apparitions!$B$2:$B$5001,B1750))</f>
        <v/>
      </c>
      <c r="F1750" s="27" t="str">
        <f aca="false">IF(A1750="","",A1750&amp;"|"&amp;B1750)</f>
        <v/>
      </c>
    </row>
    <row r="1751" customFormat="false" ht="15" hidden="false" customHeight="false" outlineLevel="0" collapsed="false">
      <c r="A1751" s="19"/>
      <c r="B1751" s="19"/>
      <c r="C1751" s="20"/>
      <c r="D1751" s="19"/>
      <c r="E1751" s="26" t="str">
        <f aca="false">IF(A1751="","",COUNTIFS(Apparitions!$A$2:$A$5001,A1751,Apparitions!$B$2:$B$5001,B1751))</f>
        <v/>
      </c>
      <c r="F1751" s="27" t="str">
        <f aca="false">IF(A1751="","",A1751&amp;"|"&amp;B1751)</f>
        <v/>
      </c>
    </row>
    <row r="1752" customFormat="false" ht="15" hidden="false" customHeight="false" outlineLevel="0" collapsed="false">
      <c r="A1752" s="19"/>
      <c r="B1752" s="19"/>
      <c r="C1752" s="20"/>
      <c r="D1752" s="19"/>
      <c r="E1752" s="26" t="str">
        <f aca="false">IF(A1752="","",COUNTIFS(Apparitions!$A$2:$A$5001,A1752,Apparitions!$B$2:$B$5001,B1752))</f>
        <v/>
      </c>
      <c r="F1752" s="27" t="str">
        <f aca="false">IF(A1752="","",A1752&amp;"|"&amp;B1752)</f>
        <v/>
      </c>
    </row>
    <row r="1753" customFormat="false" ht="15" hidden="false" customHeight="false" outlineLevel="0" collapsed="false">
      <c r="A1753" s="19"/>
      <c r="B1753" s="19"/>
      <c r="C1753" s="20"/>
      <c r="D1753" s="19"/>
      <c r="E1753" s="26" t="str">
        <f aca="false">IF(A1753="","",COUNTIFS(Apparitions!$A$2:$A$5001,A1753,Apparitions!$B$2:$B$5001,B1753))</f>
        <v/>
      </c>
      <c r="F1753" s="27" t="str">
        <f aca="false">IF(A1753="","",A1753&amp;"|"&amp;B1753)</f>
        <v/>
      </c>
    </row>
    <row r="1754" customFormat="false" ht="15" hidden="false" customHeight="false" outlineLevel="0" collapsed="false">
      <c r="A1754" s="19"/>
      <c r="B1754" s="19"/>
      <c r="C1754" s="20"/>
      <c r="D1754" s="19"/>
      <c r="E1754" s="26" t="str">
        <f aca="false">IF(A1754="","",COUNTIFS(Apparitions!$A$2:$A$5001,A1754,Apparitions!$B$2:$B$5001,B1754))</f>
        <v/>
      </c>
      <c r="F1754" s="27" t="str">
        <f aca="false">IF(A1754="","",A1754&amp;"|"&amp;B1754)</f>
        <v/>
      </c>
    </row>
    <row r="1755" customFormat="false" ht="15" hidden="false" customHeight="false" outlineLevel="0" collapsed="false">
      <c r="A1755" s="19"/>
      <c r="B1755" s="19"/>
      <c r="C1755" s="20"/>
      <c r="D1755" s="19"/>
      <c r="E1755" s="26" t="str">
        <f aca="false">IF(A1755="","",COUNTIFS(Apparitions!$A$2:$A$5001,A1755,Apparitions!$B$2:$B$5001,B1755))</f>
        <v/>
      </c>
      <c r="F1755" s="27" t="str">
        <f aca="false">IF(A1755="","",A1755&amp;"|"&amp;B1755)</f>
        <v/>
      </c>
    </row>
    <row r="1756" customFormat="false" ht="15" hidden="false" customHeight="false" outlineLevel="0" collapsed="false">
      <c r="A1756" s="19"/>
      <c r="B1756" s="19"/>
      <c r="C1756" s="20"/>
      <c r="D1756" s="19"/>
      <c r="E1756" s="26" t="str">
        <f aca="false">IF(A1756="","",COUNTIFS(Apparitions!$A$2:$A$5001,A1756,Apparitions!$B$2:$B$5001,B1756))</f>
        <v/>
      </c>
      <c r="F1756" s="27" t="str">
        <f aca="false">IF(A1756="","",A1756&amp;"|"&amp;B1756)</f>
        <v/>
      </c>
    </row>
    <row r="1757" customFormat="false" ht="15" hidden="false" customHeight="false" outlineLevel="0" collapsed="false">
      <c r="A1757" s="19"/>
      <c r="B1757" s="19"/>
      <c r="C1757" s="20"/>
      <c r="D1757" s="19"/>
      <c r="E1757" s="26" t="str">
        <f aca="false">IF(A1757="","",COUNTIFS(Apparitions!$A$2:$A$5001,A1757,Apparitions!$B$2:$B$5001,B1757))</f>
        <v/>
      </c>
      <c r="F1757" s="27" t="str">
        <f aca="false">IF(A1757="","",A1757&amp;"|"&amp;B1757)</f>
        <v/>
      </c>
    </row>
    <row r="1758" customFormat="false" ht="15" hidden="false" customHeight="false" outlineLevel="0" collapsed="false">
      <c r="A1758" s="19"/>
      <c r="B1758" s="19"/>
      <c r="C1758" s="20"/>
      <c r="D1758" s="19"/>
      <c r="E1758" s="26" t="str">
        <f aca="false">IF(A1758="","",COUNTIFS(Apparitions!$A$2:$A$5001,A1758,Apparitions!$B$2:$B$5001,B1758))</f>
        <v/>
      </c>
      <c r="F1758" s="27" t="str">
        <f aca="false">IF(A1758="","",A1758&amp;"|"&amp;B1758)</f>
        <v/>
      </c>
    </row>
    <row r="1759" customFormat="false" ht="15" hidden="false" customHeight="false" outlineLevel="0" collapsed="false">
      <c r="A1759" s="19"/>
      <c r="B1759" s="19"/>
      <c r="C1759" s="20"/>
      <c r="D1759" s="19"/>
      <c r="E1759" s="26" t="str">
        <f aca="false">IF(A1759="","",COUNTIFS(Apparitions!$A$2:$A$5001,A1759,Apparitions!$B$2:$B$5001,B1759))</f>
        <v/>
      </c>
      <c r="F1759" s="27" t="str">
        <f aca="false">IF(A1759="","",A1759&amp;"|"&amp;B1759)</f>
        <v/>
      </c>
    </row>
    <row r="1760" customFormat="false" ht="15" hidden="false" customHeight="false" outlineLevel="0" collapsed="false">
      <c r="A1760" s="19"/>
      <c r="B1760" s="19"/>
      <c r="C1760" s="20"/>
      <c r="D1760" s="19"/>
      <c r="E1760" s="26" t="str">
        <f aca="false">IF(A1760="","",COUNTIFS(Apparitions!$A$2:$A$5001,A1760,Apparitions!$B$2:$B$5001,B1760))</f>
        <v/>
      </c>
      <c r="F1760" s="27" t="str">
        <f aca="false">IF(A1760="","",A1760&amp;"|"&amp;B1760)</f>
        <v/>
      </c>
    </row>
    <row r="1761" customFormat="false" ht="15" hidden="false" customHeight="false" outlineLevel="0" collapsed="false">
      <c r="A1761" s="19"/>
      <c r="B1761" s="19"/>
      <c r="C1761" s="20"/>
      <c r="D1761" s="19"/>
      <c r="E1761" s="26" t="str">
        <f aca="false">IF(A1761="","",COUNTIFS(Apparitions!$A$2:$A$5001,A1761,Apparitions!$B$2:$B$5001,B1761))</f>
        <v/>
      </c>
      <c r="F1761" s="27" t="str">
        <f aca="false">IF(A1761="","",A1761&amp;"|"&amp;B1761)</f>
        <v/>
      </c>
    </row>
    <row r="1762" customFormat="false" ht="15" hidden="false" customHeight="false" outlineLevel="0" collapsed="false">
      <c r="A1762" s="19"/>
      <c r="B1762" s="19"/>
      <c r="C1762" s="20"/>
      <c r="D1762" s="19"/>
      <c r="E1762" s="26" t="str">
        <f aca="false">IF(A1762="","",COUNTIFS(Apparitions!$A$2:$A$5001,A1762,Apparitions!$B$2:$B$5001,B1762))</f>
        <v/>
      </c>
      <c r="F1762" s="27" t="str">
        <f aca="false">IF(A1762="","",A1762&amp;"|"&amp;B1762)</f>
        <v/>
      </c>
    </row>
    <row r="1763" customFormat="false" ht="15" hidden="false" customHeight="false" outlineLevel="0" collapsed="false">
      <c r="A1763" s="19"/>
      <c r="B1763" s="19"/>
      <c r="C1763" s="20"/>
      <c r="D1763" s="19"/>
      <c r="E1763" s="26" t="str">
        <f aca="false">IF(A1763="","",COUNTIFS(Apparitions!$A$2:$A$5001,A1763,Apparitions!$B$2:$B$5001,B1763))</f>
        <v/>
      </c>
      <c r="F1763" s="27" t="str">
        <f aca="false">IF(A1763="","",A1763&amp;"|"&amp;B1763)</f>
        <v/>
      </c>
    </row>
    <row r="1764" customFormat="false" ht="15" hidden="false" customHeight="false" outlineLevel="0" collapsed="false">
      <c r="A1764" s="19"/>
      <c r="B1764" s="19"/>
      <c r="C1764" s="20"/>
      <c r="D1764" s="19"/>
      <c r="E1764" s="26" t="str">
        <f aca="false">IF(A1764="","",COUNTIFS(Apparitions!$A$2:$A$5001,A1764,Apparitions!$B$2:$B$5001,B1764))</f>
        <v/>
      </c>
      <c r="F1764" s="27" t="str">
        <f aca="false">IF(A1764="","",A1764&amp;"|"&amp;B1764)</f>
        <v/>
      </c>
    </row>
    <row r="1765" customFormat="false" ht="15" hidden="false" customHeight="false" outlineLevel="0" collapsed="false">
      <c r="A1765" s="19"/>
      <c r="B1765" s="19"/>
      <c r="C1765" s="20"/>
      <c r="D1765" s="19"/>
      <c r="E1765" s="26" t="str">
        <f aca="false">IF(A1765="","",COUNTIFS(Apparitions!$A$2:$A$5001,A1765,Apparitions!$B$2:$B$5001,B1765))</f>
        <v/>
      </c>
      <c r="F1765" s="27" t="str">
        <f aca="false">IF(A1765="","",A1765&amp;"|"&amp;B1765)</f>
        <v/>
      </c>
    </row>
    <row r="1766" customFormat="false" ht="15" hidden="false" customHeight="false" outlineLevel="0" collapsed="false">
      <c r="A1766" s="19"/>
      <c r="B1766" s="19"/>
      <c r="C1766" s="20"/>
      <c r="D1766" s="19"/>
      <c r="E1766" s="26" t="str">
        <f aca="false">IF(A1766="","",COUNTIFS(Apparitions!$A$2:$A$5001,A1766,Apparitions!$B$2:$B$5001,B1766))</f>
        <v/>
      </c>
      <c r="F1766" s="27" t="str">
        <f aca="false">IF(A1766="","",A1766&amp;"|"&amp;B1766)</f>
        <v/>
      </c>
    </row>
    <row r="1767" customFormat="false" ht="15" hidden="false" customHeight="false" outlineLevel="0" collapsed="false">
      <c r="A1767" s="19"/>
      <c r="B1767" s="19"/>
      <c r="C1767" s="20"/>
      <c r="D1767" s="19"/>
      <c r="E1767" s="26" t="str">
        <f aca="false">IF(A1767="","",COUNTIFS(Apparitions!$A$2:$A$5001,A1767,Apparitions!$B$2:$B$5001,B1767))</f>
        <v/>
      </c>
      <c r="F1767" s="27" t="str">
        <f aca="false">IF(A1767="","",A1767&amp;"|"&amp;B1767)</f>
        <v/>
      </c>
    </row>
    <row r="1768" customFormat="false" ht="15" hidden="false" customHeight="false" outlineLevel="0" collapsed="false">
      <c r="A1768" s="19"/>
      <c r="B1768" s="19"/>
      <c r="C1768" s="20"/>
      <c r="D1768" s="19"/>
      <c r="E1768" s="26" t="str">
        <f aca="false">IF(A1768="","",COUNTIFS(Apparitions!$A$2:$A$5001,A1768,Apparitions!$B$2:$B$5001,B1768))</f>
        <v/>
      </c>
      <c r="F1768" s="27" t="str">
        <f aca="false">IF(A1768="","",A1768&amp;"|"&amp;B1768)</f>
        <v/>
      </c>
    </row>
    <row r="1769" customFormat="false" ht="15" hidden="false" customHeight="false" outlineLevel="0" collapsed="false">
      <c r="A1769" s="19"/>
      <c r="B1769" s="19"/>
      <c r="C1769" s="20"/>
      <c r="D1769" s="19"/>
      <c r="E1769" s="26" t="str">
        <f aca="false">IF(A1769="","",COUNTIFS(Apparitions!$A$2:$A$5001,A1769,Apparitions!$B$2:$B$5001,B1769))</f>
        <v/>
      </c>
      <c r="F1769" s="27" t="str">
        <f aca="false">IF(A1769="","",A1769&amp;"|"&amp;B1769)</f>
        <v/>
      </c>
    </row>
    <row r="1770" customFormat="false" ht="15" hidden="false" customHeight="false" outlineLevel="0" collapsed="false">
      <c r="A1770" s="19"/>
      <c r="B1770" s="19"/>
      <c r="C1770" s="20"/>
      <c r="D1770" s="19"/>
      <c r="E1770" s="26" t="str">
        <f aca="false">IF(A1770="","",COUNTIFS(Apparitions!$A$2:$A$5001,A1770,Apparitions!$B$2:$B$5001,B1770))</f>
        <v/>
      </c>
      <c r="F1770" s="27" t="str">
        <f aca="false">IF(A1770="","",A1770&amp;"|"&amp;B1770)</f>
        <v/>
      </c>
    </row>
    <row r="1771" customFormat="false" ht="15" hidden="false" customHeight="false" outlineLevel="0" collapsed="false">
      <c r="A1771" s="19"/>
      <c r="B1771" s="19"/>
      <c r="C1771" s="20"/>
      <c r="D1771" s="19"/>
      <c r="E1771" s="26" t="str">
        <f aca="false">IF(A1771="","",COUNTIFS(Apparitions!$A$2:$A$5001,A1771,Apparitions!$B$2:$B$5001,B1771))</f>
        <v/>
      </c>
      <c r="F1771" s="27" t="str">
        <f aca="false">IF(A1771="","",A1771&amp;"|"&amp;B1771)</f>
        <v/>
      </c>
    </row>
    <row r="1772" customFormat="false" ht="15" hidden="false" customHeight="false" outlineLevel="0" collapsed="false">
      <c r="A1772" s="19"/>
      <c r="B1772" s="19"/>
      <c r="C1772" s="20"/>
      <c r="D1772" s="19"/>
      <c r="E1772" s="26" t="str">
        <f aca="false">IF(A1772="","",COUNTIFS(Apparitions!$A$2:$A$5001,A1772,Apparitions!$B$2:$B$5001,B1772))</f>
        <v/>
      </c>
      <c r="F1772" s="27" t="str">
        <f aca="false">IF(A1772="","",A1772&amp;"|"&amp;B1772)</f>
        <v/>
      </c>
    </row>
    <row r="1773" customFormat="false" ht="15" hidden="false" customHeight="false" outlineLevel="0" collapsed="false">
      <c r="A1773" s="19"/>
      <c r="B1773" s="19"/>
      <c r="C1773" s="20"/>
      <c r="D1773" s="19"/>
      <c r="E1773" s="26" t="str">
        <f aca="false">IF(A1773="","",COUNTIFS(Apparitions!$A$2:$A$5001,A1773,Apparitions!$B$2:$B$5001,B1773))</f>
        <v/>
      </c>
      <c r="F1773" s="27" t="str">
        <f aca="false">IF(A1773="","",A1773&amp;"|"&amp;B1773)</f>
        <v/>
      </c>
    </row>
    <row r="1774" customFormat="false" ht="15" hidden="false" customHeight="false" outlineLevel="0" collapsed="false">
      <c r="A1774" s="19"/>
      <c r="B1774" s="19"/>
      <c r="C1774" s="20"/>
      <c r="D1774" s="19"/>
      <c r="E1774" s="26" t="str">
        <f aca="false">IF(A1774="","",COUNTIFS(Apparitions!$A$2:$A$5001,A1774,Apparitions!$B$2:$B$5001,B1774))</f>
        <v/>
      </c>
      <c r="F1774" s="27" t="str">
        <f aca="false">IF(A1774="","",A1774&amp;"|"&amp;B1774)</f>
        <v/>
      </c>
    </row>
    <row r="1775" customFormat="false" ht="15" hidden="false" customHeight="false" outlineLevel="0" collapsed="false">
      <c r="A1775" s="19"/>
      <c r="B1775" s="19"/>
      <c r="C1775" s="20"/>
      <c r="D1775" s="19"/>
      <c r="E1775" s="26" t="str">
        <f aca="false">IF(A1775="","",COUNTIFS(Apparitions!$A$2:$A$5001,A1775,Apparitions!$B$2:$B$5001,B1775))</f>
        <v/>
      </c>
      <c r="F1775" s="27" t="str">
        <f aca="false">IF(A1775="","",A1775&amp;"|"&amp;B1775)</f>
        <v/>
      </c>
    </row>
    <row r="1776" customFormat="false" ht="15" hidden="false" customHeight="false" outlineLevel="0" collapsed="false">
      <c r="A1776" s="19"/>
      <c r="B1776" s="19"/>
      <c r="C1776" s="20"/>
      <c r="D1776" s="19"/>
      <c r="E1776" s="26" t="str">
        <f aca="false">IF(A1776="","",COUNTIFS(Apparitions!$A$2:$A$5001,A1776,Apparitions!$B$2:$B$5001,B1776))</f>
        <v/>
      </c>
      <c r="F1776" s="27" t="str">
        <f aca="false">IF(A1776="","",A1776&amp;"|"&amp;B1776)</f>
        <v/>
      </c>
    </row>
    <row r="1777" customFormat="false" ht="15" hidden="false" customHeight="false" outlineLevel="0" collapsed="false">
      <c r="A1777" s="19"/>
      <c r="B1777" s="19"/>
      <c r="C1777" s="20"/>
      <c r="D1777" s="19"/>
      <c r="E1777" s="26" t="str">
        <f aca="false">IF(A1777="","",COUNTIFS(Apparitions!$A$2:$A$5001,A1777,Apparitions!$B$2:$B$5001,B1777))</f>
        <v/>
      </c>
      <c r="F1777" s="27" t="str">
        <f aca="false">IF(A1777="","",A1777&amp;"|"&amp;B1777)</f>
        <v/>
      </c>
    </row>
    <row r="1778" customFormat="false" ht="15" hidden="false" customHeight="false" outlineLevel="0" collapsed="false">
      <c r="A1778" s="19"/>
      <c r="B1778" s="19"/>
      <c r="C1778" s="20"/>
      <c r="D1778" s="19"/>
      <c r="E1778" s="26" t="str">
        <f aca="false">IF(A1778="","",COUNTIFS(Apparitions!$A$2:$A$5001,A1778,Apparitions!$B$2:$B$5001,B1778))</f>
        <v/>
      </c>
      <c r="F1778" s="27" t="str">
        <f aca="false">IF(A1778="","",A1778&amp;"|"&amp;B1778)</f>
        <v/>
      </c>
    </row>
    <row r="1779" customFormat="false" ht="15" hidden="false" customHeight="false" outlineLevel="0" collapsed="false">
      <c r="A1779" s="19"/>
      <c r="B1779" s="19"/>
      <c r="C1779" s="20"/>
      <c r="D1779" s="19"/>
      <c r="E1779" s="26" t="str">
        <f aca="false">IF(A1779="","",COUNTIFS(Apparitions!$A$2:$A$5001,A1779,Apparitions!$B$2:$B$5001,B1779))</f>
        <v/>
      </c>
      <c r="F1779" s="27" t="str">
        <f aca="false">IF(A1779="","",A1779&amp;"|"&amp;B1779)</f>
        <v/>
      </c>
    </row>
    <row r="1780" customFormat="false" ht="15" hidden="false" customHeight="false" outlineLevel="0" collapsed="false">
      <c r="A1780" s="19"/>
      <c r="B1780" s="19"/>
      <c r="C1780" s="20"/>
      <c r="D1780" s="19"/>
      <c r="E1780" s="26" t="str">
        <f aca="false">IF(A1780="","",COUNTIFS(Apparitions!$A$2:$A$5001,A1780,Apparitions!$B$2:$B$5001,B1780))</f>
        <v/>
      </c>
      <c r="F1780" s="27" t="str">
        <f aca="false">IF(A1780="","",A1780&amp;"|"&amp;B1780)</f>
        <v/>
      </c>
    </row>
    <row r="1781" customFormat="false" ht="15" hidden="false" customHeight="false" outlineLevel="0" collapsed="false">
      <c r="A1781" s="19"/>
      <c r="B1781" s="19"/>
      <c r="C1781" s="20"/>
      <c r="D1781" s="19"/>
      <c r="E1781" s="26" t="str">
        <f aca="false">IF(A1781="","",COUNTIFS(Apparitions!$A$2:$A$5001,A1781,Apparitions!$B$2:$B$5001,B1781))</f>
        <v/>
      </c>
      <c r="F1781" s="27" t="str">
        <f aca="false">IF(A1781="","",A1781&amp;"|"&amp;B1781)</f>
        <v/>
      </c>
    </row>
    <row r="1782" customFormat="false" ht="15" hidden="false" customHeight="false" outlineLevel="0" collapsed="false">
      <c r="A1782" s="19"/>
      <c r="B1782" s="19"/>
      <c r="C1782" s="20"/>
      <c r="D1782" s="19"/>
      <c r="E1782" s="26" t="str">
        <f aca="false">IF(A1782="","",COUNTIFS(Apparitions!$A$2:$A$5001,A1782,Apparitions!$B$2:$B$5001,B1782))</f>
        <v/>
      </c>
      <c r="F1782" s="27" t="str">
        <f aca="false">IF(A1782="","",A1782&amp;"|"&amp;B1782)</f>
        <v/>
      </c>
    </row>
    <row r="1783" customFormat="false" ht="15" hidden="false" customHeight="false" outlineLevel="0" collapsed="false">
      <c r="A1783" s="19"/>
      <c r="B1783" s="19"/>
      <c r="C1783" s="20"/>
      <c r="D1783" s="19"/>
      <c r="E1783" s="26" t="str">
        <f aca="false">IF(A1783="","",COUNTIFS(Apparitions!$A$2:$A$5001,A1783,Apparitions!$B$2:$B$5001,B1783))</f>
        <v/>
      </c>
      <c r="F1783" s="27" t="str">
        <f aca="false">IF(A1783="","",A1783&amp;"|"&amp;B1783)</f>
        <v/>
      </c>
    </row>
    <row r="1784" customFormat="false" ht="15" hidden="false" customHeight="false" outlineLevel="0" collapsed="false">
      <c r="A1784" s="19"/>
      <c r="B1784" s="19"/>
      <c r="C1784" s="20"/>
      <c r="D1784" s="19"/>
      <c r="E1784" s="26" t="str">
        <f aca="false">IF(A1784="","",COUNTIFS(Apparitions!$A$2:$A$5001,A1784,Apparitions!$B$2:$B$5001,B1784))</f>
        <v/>
      </c>
      <c r="F1784" s="27" t="str">
        <f aca="false">IF(A1784="","",A1784&amp;"|"&amp;B1784)</f>
        <v/>
      </c>
    </row>
    <row r="1785" customFormat="false" ht="15" hidden="false" customHeight="false" outlineLevel="0" collapsed="false">
      <c r="A1785" s="19"/>
      <c r="B1785" s="19"/>
      <c r="C1785" s="20"/>
      <c r="D1785" s="19"/>
      <c r="E1785" s="26" t="str">
        <f aca="false">IF(A1785="","",COUNTIFS(Apparitions!$A$2:$A$5001,A1785,Apparitions!$B$2:$B$5001,B1785))</f>
        <v/>
      </c>
      <c r="F1785" s="27" t="str">
        <f aca="false">IF(A1785="","",A1785&amp;"|"&amp;B1785)</f>
        <v/>
      </c>
    </row>
    <row r="1786" customFormat="false" ht="15" hidden="false" customHeight="false" outlineLevel="0" collapsed="false">
      <c r="A1786" s="19"/>
      <c r="B1786" s="19"/>
      <c r="C1786" s="20"/>
      <c r="D1786" s="19"/>
      <c r="E1786" s="26" t="str">
        <f aca="false">IF(A1786="","",COUNTIFS(Apparitions!$A$2:$A$5001,A1786,Apparitions!$B$2:$B$5001,B1786))</f>
        <v/>
      </c>
      <c r="F1786" s="27" t="str">
        <f aca="false">IF(A1786="","",A1786&amp;"|"&amp;B1786)</f>
        <v/>
      </c>
    </row>
    <row r="1787" customFormat="false" ht="15" hidden="false" customHeight="false" outlineLevel="0" collapsed="false">
      <c r="A1787" s="19"/>
      <c r="B1787" s="19"/>
      <c r="C1787" s="20"/>
      <c r="D1787" s="19"/>
      <c r="E1787" s="26" t="str">
        <f aca="false">IF(A1787="","",COUNTIFS(Apparitions!$A$2:$A$5001,A1787,Apparitions!$B$2:$B$5001,B1787))</f>
        <v/>
      </c>
      <c r="F1787" s="27" t="str">
        <f aca="false">IF(A1787="","",A1787&amp;"|"&amp;B1787)</f>
        <v/>
      </c>
    </row>
    <row r="1788" customFormat="false" ht="15" hidden="false" customHeight="false" outlineLevel="0" collapsed="false">
      <c r="A1788" s="19"/>
      <c r="B1788" s="19"/>
      <c r="C1788" s="20"/>
      <c r="D1788" s="19"/>
      <c r="E1788" s="26" t="str">
        <f aca="false">IF(A1788="","",COUNTIFS(Apparitions!$A$2:$A$5001,A1788,Apparitions!$B$2:$B$5001,B1788))</f>
        <v/>
      </c>
      <c r="F1788" s="27" t="str">
        <f aca="false">IF(A1788="","",A1788&amp;"|"&amp;B1788)</f>
        <v/>
      </c>
    </row>
    <row r="1789" customFormat="false" ht="15" hidden="false" customHeight="false" outlineLevel="0" collapsed="false">
      <c r="A1789" s="19"/>
      <c r="B1789" s="19"/>
      <c r="C1789" s="20"/>
      <c r="D1789" s="19"/>
      <c r="E1789" s="26" t="str">
        <f aca="false">IF(A1789="","",COUNTIFS(Apparitions!$A$2:$A$5001,A1789,Apparitions!$B$2:$B$5001,B1789))</f>
        <v/>
      </c>
      <c r="F1789" s="27" t="str">
        <f aca="false">IF(A1789="","",A1789&amp;"|"&amp;B1789)</f>
        <v/>
      </c>
    </row>
    <row r="1790" customFormat="false" ht="15" hidden="false" customHeight="false" outlineLevel="0" collapsed="false">
      <c r="A1790" s="19"/>
      <c r="B1790" s="19"/>
      <c r="C1790" s="20"/>
      <c r="D1790" s="19"/>
      <c r="E1790" s="26" t="str">
        <f aca="false">IF(A1790="","",COUNTIFS(Apparitions!$A$2:$A$5001,A1790,Apparitions!$B$2:$B$5001,B1790))</f>
        <v/>
      </c>
      <c r="F1790" s="27" t="str">
        <f aca="false">IF(A1790="","",A1790&amp;"|"&amp;B1790)</f>
        <v/>
      </c>
    </row>
    <row r="1791" customFormat="false" ht="15" hidden="false" customHeight="false" outlineLevel="0" collapsed="false">
      <c r="A1791" s="19"/>
      <c r="B1791" s="19"/>
      <c r="C1791" s="20"/>
      <c r="D1791" s="19"/>
      <c r="E1791" s="26" t="str">
        <f aca="false">IF(A1791="","",COUNTIFS(Apparitions!$A$2:$A$5001,A1791,Apparitions!$B$2:$B$5001,B1791))</f>
        <v/>
      </c>
      <c r="F1791" s="27" t="str">
        <f aca="false">IF(A1791="","",A1791&amp;"|"&amp;B1791)</f>
        <v/>
      </c>
    </row>
    <row r="1792" customFormat="false" ht="15" hidden="false" customHeight="false" outlineLevel="0" collapsed="false">
      <c r="A1792" s="19"/>
      <c r="B1792" s="19"/>
      <c r="C1792" s="20"/>
      <c r="D1792" s="19"/>
      <c r="E1792" s="26" t="str">
        <f aca="false">IF(A1792="","",COUNTIFS(Apparitions!$A$2:$A$5001,A1792,Apparitions!$B$2:$B$5001,B1792))</f>
        <v/>
      </c>
      <c r="F1792" s="27" t="str">
        <f aca="false">IF(A1792="","",A1792&amp;"|"&amp;B1792)</f>
        <v/>
      </c>
    </row>
    <row r="1793" customFormat="false" ht="15" hidden="false" customHeight="false" outlineLevel="0" collapsed="false">
      <c r="A1793" s="19"/>
      <c r="B1793" s="19"/>
      <c r="C1793" s="20"/>
      <c r="D1793" s="19"/>
      <c r="E1793" s="26" t="str">
        <f aca="false">IF(A1793="","",COUNTIFS(Apparitions!$A$2:$A$5001,A1793,Apparitions!$B$2:$B$5001,B1793))</f>
        <v/>
      </c>
      <c r="F1793" s="27" t="str">
        <f aca="false">IF(A1793="","",A1793&amp;"|"&amp;B1793)</f>
        <v/>
      </c>
    </row>
    <row r="1794" customFormat="false" ht="15" hidden="false" customHeight="false" outlineLevel="0" collapsed="false">
      <c r="A1794" s="19"/>
      <c r="B1794" s="19"/>
      <c r="C1794" s="20"/>
      <c r="D1794" s="19"/>
      <c r="E1794" s="26" t="str">
        <f aca="false">IF(A1794="","",COUNTIFS(Apparitions!$A$2:$A$5001,A1794,Apparitions!$B$2:$B$5001,B1794))</f>
        <v/>
      </c>
      <c r="F1794" s="27" t="str">
        <f aca="false">IF(A1794="","",A1794&amp;"|"&amp;B1794)</f>
        <v/>
      </c>
    </row>
    <row r="1795" customFormat="false" ht="15" hidden="false" customHeight="false" outlineLevel="0" collapsed="false">
      <c r="A1795" s="19"/>
      <c r="B1795" s="19"/>
      <c r="C1795" s="20"/>
      <c r="D1795" s="19"/>
      <c r="E1795" s="26" t="str">
        <f aca="false">IF(A1795="","",COUNTIFS(Apparitions!$A$2:$A$5001,A1795,Apparitions!$B$2:$B$5001,B1795))</f>
        <v/>
      </c>
      <c r="F1795" s="27" t="str">
        <f aca="false">IF(A1795="","",A1795&amp;"|"&amp;B1795)</f>
        <v/>
      </c>
    </row>
    <row r="1796" customFormat="false" ht="15" hidden="false" customHeight="false" outlineLevel="0" collapsed="false">
      <c r="A1796" s="19"/>
      <c r="B1796" s="19"/>
      <c r="C1796" s="20"/>
      <c r="D1796" s="19"/>
      <c r="E1796" s="26" t="str">
        <f aca="false">IF(A1796="","",COUNTIFS(Apparitions!$A$2:$A$5001,A1796,Apparitions!$B$2:$B$5001,B1796))</f>
        <v/>
      </c>
      <c r="F1796" s="27" t="str">
        <f aca="false">IF(A1796="","",A1796&amp;"|"&amp;B1796)</f>
        <v/>
      </c>
    </row>
    <row r="1797" customFormat="false" ht="15" hidden="false" customHeight="false" outlineLevel="0" collapsed="false">
      <c r="A1797" s="19"/>
      <c r="B1797" s="19"/>
      <c r="C1797" s="20"/>
      <c r="D1797" s="19"/>
      <c r="E1797" s="26" t="str">
        <f aca="false">IF(A1797="","",COUNTIFS(Apparitions!$A$2:$A$5001,A1797,Apparitions!$B$2:$B$5001,B1797))</f>
        <v/>
      </c>
      <c r="F1797" s="27" t="str">
        <f aca="false">IF(A1797="","",A1797&amp;"|"&amp;B1797)</f>
        <v/>
      </c>
    </row>
    <row r="1798" customFormat="false" ht="15" hidden="false" customHeight="false" outlineLevel="0" collapsed="false">
      <c r="A1798" s="19"/>
      <c r="B1798" s="19"/>
      <c r="C1798" s="20"/>
      <c r="D1798" s="19"/>
      <c r="E1798" s="26" t="str">
        <f aca="false">IF(A1798="","",COUNTIFS(Apparitions!$A$2:$A$5001,A1798,Apparitions!$B$2:$B$5001,B1798))</f>
        <v/>
      </c>
      <c r="F1798" s="27" t="str">
        <f aca="false">IF(A1798="","",A1798&amp;"|"&amp;B1798)</f>
        <v/>
      </c>
    </row>
    <row r="1799" customFormat="false" ht="15" hidden="false" customHeight="false" outlineLevel="0" collapsed="false">
      <c r="A1799" s="19"/>
      <c r="B1799" s="19"/>
      <c r="C1799" s="20"/>
      <c r="D1799" s="19"/>
      <c r="E1799" s="26" t="str">
        <f aca="false">IF(A1799="","",COUNTIFS(Apparitions!$A$2:$A$5001,A1799,Apparitions!$B$2:$B$5001,B1799))</f>
        <v/>
      </c>
      <c r="F1799" s="27" t="str">
        <f aca="false">IF(A1799="","",A1799&amp;"|"&amp;B1799)</f>
        <v/>
      </c>
    </row>
    <row r="1800" customFormat="false" ht="15" hidden="false" customHeight="false" outlineLevel="0" collapsed="false">
      <c r="A1800" s="19"/>
      <c r="B1800" s="19"/>
      <c r="C1800" s="20"/>
      <c r="D1800" s="19"/>
      <c r="E1800" s="26" t="str">
        <f aca="false">IF(A1800="","",COUNTIFS(Apparitions!$A$2:$A$5001,A1800,Apparitions!$B$2:$B$5001,B1800))</f>
        <v/>
      </c>
      <c r="F1800" s="27" t="str">
        <f aca="false">IF(A1800="","",A1800&amp;"|"&amp;B1800)</f>
        <v/>
      </c>
    </row>
    <row r="1801" customFormat="false" ht="15" hidden="false" customHeight="false" outlineLevel="0" collapsed="false">
      <c r="A1801" s="19"/>
      <c r="B1801" s="19"/>
      <c r="C1801" s="20"/>
      <c r="D1801" s="19"/>
      <c r="E1801" s="26" t="str">
        <f aca="false">IF(A1801="","",COUNTIFS(Apparitions!$A$2:$A$5001,A1801,Apparitions!$B$2:$B$5001,B1801))</f>
        <v/>
      </c>
      <c r="F1801" s="27" t="str">
        <f aca="false">IF(A1801="","",A1801&amp;"|"&amp;B1801)</f>
        <v/>
      </c>
    </row>
    <row r="1802" customFormat="false" ht="15" hidden="false" customHeight="false" outlineLevel="0" collapsed="false">
      <c r="A1802" s="19"/>
      <c r="B1802" s="19"/>
      <c r="C1802" s="20"/>
      <c r="D1802" s="19"/>
      <c r="E1802" s="26" t="str">
        <f aca="false">IF(A1802="","",COUNTIFS(Apparitions!$A$2:$A$5001,A1802,Apparitions!$B$2:$B$5001,B1802))</f>
        <v/>
      </c>
      <c r="F1802" s="27" t="str">
        <f aca="false">IF(A1802="","",A1802&amp;"|"&amp;B1802)</f>
        <v/>
      </c>
    </row>
    <row r="1803" customFormat="false" ht="15" hidden="false" customHeight="false" outlineLevel="0" collapsed="false">
      <c r="A1803" s="19"/>
      <c r="B1803" s="19"/>
      <c r="C1803" s="20"/>
      <c r="D1803" s="19"/>
      <c r="E1803" s="26" t="str">
        <f aca="false">IF(A1803="","",COUNTIFS(Apparitions!$A$2:$A$5001,A1803,Apparitions!$B$2:$B$5001,B1803))</f>
        <v/>
      </c>
      <c r="F1803" s="27" t="str">
        <f aca="false">IF(A1803="","",A1803&amp;"|"&amp;B1803)</f>
        <v/>
      </c>
    </row>
    <row r="1804" customFormat="false" ht="15" hidden="false" customHeight="false" outlineLevel="0" collapsed="false">
      <c r="A1804" s="19"/>
      <c r="B1804" s="19"/>
      <c r="C1804" s="20"/>
      <c r="D1804" s="19"/>
      <c r="E1804" s="26" t="str">
        <f aca="false">IF(A1804="","",COUNTIFS(Apparitions!$A$2:$A$5001,A1804,Apparitions!$B$2:$B$5001,B1804))</f>
        <v/>
      </c>
      <c r="F1804" s="27" t="str">
        <f aca="false">IF(A1804="","",A1804&amp;"|"&amp;B1804)</f>
        <v/>
      </c>
    </row>
    <row r="1805" customFormat="false" ht="15" hidden="false" customHeight="false" outlineLevel="0" collapsed="false">
      <c r="A1805" s="19"/>
      <c r="B1805" s="19"/>
      <c r="C1805" s="20"/>
      <c r="D1805" s="19"/>
      <c r="E1805" s="26" t="str">
        <f aca="false">IF(A1805="","",COUNTIFS(Apparitions!$A$2:$A$5001,A1805,Apparitions!$B$2:$B$5001,B1805))</f>
        <v/>
      </c>
      <c r="F1805" s="27" t="str">
        <f aca="false">IF(A1805="","",A1805&amp;"|"&amp;B1805)</f>
        <v/>
      </c>
    </row>
    <row r="1806" customFormat="false" ht="15" hidden="false" customHeight="false" outlineLevel="0" collapsed="false">
      <c r="A1806" s="19"/>
      <c r="B1806" s="19"/>
      <c r="C1806" s="20"/>
      <c r="D1806" s="19"/>
      <c r="E1806" s="26" t="str">
        <f aca="false">IF(A1806="","",COUNTIFS(Apparitions!$A$2:$A$5001,A1806,Apparitions!$B$2:$B$5001,B1806))</f>
        <v/>
      </c>
      <c r="F1806" s="27" t="str">
        <f aca="false">IF(A1806="","",A1806&amp;"|"&amp;B1806)</f>
        <v/>
      </c>
    </row>
    <row r="1807" customFormat="false" ht="15" hidden="false" customHeight="false" outlineLevel="0" collapsed="false">
      <c r="A1807" s="19"/>
      <c r="B1807" s="19"/>
      <c r="C1807" s="20"/>
      <c r="D1807" s="19"/>
      <c r="E1807" s="26" t="str">
        <f aca="false">IF(A1807="","",COUNTIFS(Apparitions!$A$2:$A$5001,A1807,Apparitions!$B$2:$B$5001,B1807))</f>
        <v/>
      </c>
      <c r="F1807" s="27" t="str">
        <f aca="false">IF(A1807="","",A1807&amp;"|"&amp;B1807)</f>
        <v/>
      </c>
    </row>
    <row r="1808" customFormat="false" ht="15" hidden="false" customHeight="false" outlineLevel="0" collapsed="false">
      <c r="A1808" s="19"/>
      <c r="B1808" s="19"/>
      <c r="C1808" s="20"/>
      <c r="D1808" s="19"/>
      <c r="E1808" s="26" t="str">
        <f aca="false">IF(A1808="","",COUNTIFS(Apparitions!$A$2:$A$5001,A1808,Apparitions!$B$2:$B$5001,B1808))</f>
        <v/>
      </c>
      <c r="F1808" s="27" t="str">
        <f aca="false">IF(A1808="","",A1808&amp;"|"&amp;B1808)</f>
        <v/>
      </c>
    </row>
    <row r="1809" customFormat="false" ht="15" hidden="false" customHeight="false" outlineLevel="0" collapsed="false">
      <c r="A1809" s="19"/>
      <c r="B1809" s="19"/>
      <c r="C1809" s="20"/>
      <c r="D1809" s="19"/>
      <c r="E1809" s="26" t="str">
        <f aca="false">IF(A1809="","",COUNTIFS(Apparitions!$A$2:$A$5001,A1809,Apparitions!$B$2:$B$5001,B1809))</f>
        <v/>
      </c>
      <c r="F1809" s="27" t="str">
        <f aca="false">IF(A1809="","",A1809&amp;"|"&amp;B1809)</f>
        <v/>
      </c>
    </row>
    <row r="1810" customFormat="false" ht="15" hidden="false" customHeight="false" outlineLevel="0" collapsed="false">
      <c r="A1810" s="19"/>
      <c r="B1810" s="19"/>
      <c r="C1810" s="20"/>
      <c r="D1810" s="19"/>
      <c r="E1810" s="26" t="str">
        <f aca="false">IF(A1810="","",COUNTIFS(Apparitions!$A$2:$A$5001,A1810,Apparitions!$B$2:$B$5001,B1810))</f>
        <v/>
      </c>
      <c r="F1810" s="27" t="str">
        <f aca="false">IF(A1810="","",A1810&amp;"|"&amp;B1810)</f>
        <v/>
      </c>
    </row>
    <row r="1811" customFormat="false" ht="15" hidden="false" customHeight="false" outlineLevel="0" collapsed="false">
      <c r="A1811" s="19"/>
      <c r="B1811" s="19"/>
      <c r="C1811" s="20"/>
      <c r="D1811" s="19"/>
      <c r="E1811" s="26" t="str">
        <f aca="false">IF(A1811="","",COUNTIFS(Apparitions!$A$2:$A$5001,A1811,Apparitions!$B$2:$B$5001,B1811))</f>
        <v/>
      </c>
      <c r="F1811" s="27" t="str">
        <f aca="false">IF(A1811="","",A1811&amp;"|"&amp;B1811)</f>
        <v/>
      </c>
    </row>
    <row r="1812" customFormat="false" ht="15" hidden="false" customHeight="false" outlineLevel="0" collapsed="false">
      <c r="A1812" s="19"/>
      <c r="B1812" s="19"/>
      <c r="C1812" s="20"/>
      <c r="D1812" s="19"/>
      <c r="E1812" s="26" t="str">
        <f aca="false">IF(A1812="","",COUNTIFS(Apparitions!$A$2:$A$5001,A1812,Apparitions!$B$2:$B$5001,B1812))</f>
        <v/>
      </c>
      <c r="F1812" s="27" t="str">
        <f aca="false">IF(A1812="","",A1812&amp;"|"&amp;B1812)</f>
        <v/>
      </c>
    </row>
    <row r="1813" customFormat="false" ht="15" hidden="false" customHeight="false" outlineLevel="0" collapsed="false">
      <c r="A1813" s="19"/>
      <c r="B1813" s="19"/>
      <c r="C1813" s="20"/>
      <c r="D1813" s="19"/>
      <c r="E1813" s="26" t="str">
        <f aca="false">IF(A1813="","",COUNTIFS(Apparitions!$A$2:$A$5001,A1813,Apparitions!$B$2:$B$5001,B1813))</f>
        <v/>
      </c>
      <c r="F1813" s="27" t="str">
        <f aca="false">IF(A1813="","",A1813&amp;"|"&amp;B1813)</f>
        <v/>
      </c>
    </row>
    <row r="1814" customFormat="false" ht="15" hidden="false" customHeight="false" outlineLevel="0" collapsed="false">
      <c r="A1814" s="19"/>
      <c r="B1814" s="19"/>
      <c r="C1814" s="20"/>
      <c r="D1814" s="19"/>
      <c r="E1814" s="26" t="str">
        <f aca="false">IF(A1814="","",COUNTIFS(Apparitions!$A$2:$A$5001,A1814,Apparitions!$B$2:$B$5001,B1814))</f>
        <v/>
      </c>
      <c r="F1814" s="27" t="str">
        <f aca="false">IF(A1814="","",A1814&amp;"|"&amp;B1814)</f>
        <v/>
      </c>
    </row>
    <row r="1815" customFormat="false" ht="15" hidden="false" customHeight="false" outlineLevel="0" collapsed="false">
      <c r="A1815" s="19"/>
      <c r="B1815" s="19"/>
      <c r="C1815" s="20"/>
      <c r="D1815" s="19"/>
      <c r="E1815" s="26" t="str">
        <f aca="false">IF(A1815="","",COUNTIFS(Apparitions!$A$2:$A$5001,A1815,Apparitions!$B$2:$B$5001,B1815))</f>
        <v/>
      </c>
      <c r="F1815" s="27" t="str">
        <f aca="false">IF(A1815="","",A1815&amp;"|"&amp;B1815)</f>
        <v/>
      </c>
    </row>
    <row r="1816" customFormat="false" ht="15" hidden="false" customHeight="false" outlineLevel="0" collapsed="false">
      <c r="A1816" s="19"/>
      <c r="B1816" s="19"/>
      <c r="C1816" s="20"/>
      <c r="D1816" s="19"/>
      <c r="E1816" s="26" t="str">
        <f aca="false">IF(A1816="","",COUNTIFS(Apparitions!$A$2:$A$5001,A1816,Apparitions!$B$2:$B$5001,B1816))</f>
        <v/>
      </c>
      <c r="F1816" s="27" t="str">
        <f aca="false">IF(A1816="","",A1816&amp;"|"&amp;B1816)</f>
        <v/>
      </c>
    </row>
    <row r="1817" customFormat="false" ht="15" hidden="false" customHeight="false" outlineLevel="0" collapsed="false">
      <c r="A1817" s="19"/>
      <c r="B1817" s="19"/>
      <c r="C1817" s="20"/>
      <c r="D1817" s="19"/>
      <c r="E1817" s="26" t="str">
        <f aca="false">IF(A1817="","",COUNTIFS(Apparitions!$A$2:$A$5001,A1817,Apparitions!$B$2:$B$5001,B1817))</f>
        <v/>
      </c>
      <c r="F1817" s="27" t="str">
        <f aca="false">IF(A1817="","",A1817&amp;"|"&amp;B1817)</f>
        <v/>
      </c>
    </row>
    <row r="1818" customFormat="false" ht="15" hidden="false" customHeight="false" outlineLevel="0" collapsed="false">
      <c r="A1818" s="19"/>
      <c r="B1818" s="19"/>
      <c r="C1818" s="20"/>
      <c r="D1818" s="19"/>
      <c r="E1818" s="26" t="str">
        <f aca="false">IF(A1818="","",COUNTIFS(Apparitions!$A$2:$A$5001,A1818,Apparitions!$B$2:$B$5001,B1818))</f>
        <v/>
      </c>
      <c r="F1818" s="27" t="str">
        <f aca="false">IF(A1818="","",A1818&amp;"|"&amp;B1818)</f>
        <v/>
      </c>
    </row>
    <row r="1819" customFormat="false" ht="15" hidden="false" customHeight="false" outlineLevel="0" collapsed="false">
      <c r="A1819" s="19"/>
      <c r="B1819" s="19"/>
      <c r="C1819" s="20"/>
      <c r="D1819" s="19"/>
      <c r="E1819" s="26" t="str">
        <f aca="false">IF(A1819="","",COUNTIFS(Apparitions!$A$2:$A$5001,A1819,Apparitions!$B$2:$B$5001,B1819))</f>
        <v/>
      </c>
      <c r="F1819" s="27" t="str">
        <f aca="false">IF(A1819="","",A1819&amp;"|"&amp;B1819)</f>
        <v/>
      </c>
    </row>
    <row r="1820" customFormat="false" ht="15" hidden="false" customHeight="false" outlineLevel="0" collapsed="false">
      <c r="A1820" s="19"/>
      <c r="B1820" s="19"/>
      <c r="C1820" s="20"/>
      <c r="D1820" s="19"/>
      <c r="E1820" s="26" t="str">
        <f aca="false">IF(A1820="","",COUNTIFS(Apparitions!$A$2:$A$5001,A1820,Apparitions!$B$2:$B$5001,B1820))</f>
        <v/>
      </c>
      <c r="F1820" s="27" t="str">
        <f aca="false">IF(A1820="","",A1820&amp;"|"&amp;B1820)</f>
        <v/>
      </c>
    </row>
    <row r="1821" customFormat="false" ht="15" hidden="false" customHeight="false" outlineLevel="0" collapsed="false">
      <c r="A1821" s="19"/>
      <c r="B1821" s="19"/>
      <c r="C1821" s="20"/>
      <c r="D1821" s="19"/>
      <c r="E1821" s="26" t="str">
        <f aca="false">IF(A1821="","",COUNTIFS(Apparitions!$A$2:$A$5001,A1821,Apparitions!$B$2:$B$5001,B1821))</f>
        <v/>
      </c>
      <c r="F1821" s="27" t="str">
        <f aca="false">IF(A1821="","",A1821&amp;"|"&amp;B1821)</f>
        <v/>
      </c>
    </row>
    <row r="1822" customFormat="false" ht="15" hidden="false" customHeight="false" outlineLevel="0" collapsed="false">
      <c r="A1822" s="19"/>
      <c r="B1822" s="19"/>
      <c r="C1822" s="20"/>
      <c r="D1822" s="19"/>
      <c r="E1822" s="26" t="str">
        <f aca="false">IF(A1822="","",COUNTIFS(Apparitions!$A$2:$A$5001,A1822,Apparitions!$B$2:$B$5001,B1822))</f>
        <v/>
      </c>
      <c r="F1822" s="27" t="str">
        <f aca="false">IF(A1822="","",A1822&amp;"|"&amp;B1822)</f>
        <v/>
      </c>
    </row>
    <row r="1823" customFormat="false" ht="15" hidden="false" customHeight="false" outlineLevel="0" collapsed="false">
      <c r="A1823" s="19"/>
      <c r="B1823" s="19"/>
      <c r="C1823" s="20"/>
      <c r="D1823" s="19"/>
      <c r="E1823" s="26" t="str">
        <f aca="false">IF(A1823="","",COUNTIFS(Apparitions!$A$2:$A$5001,A1823,Apparitions!$B$2:$B$5001,B1823))</f>
        <v/>
      </c>
      <c r="F1823" s="27" t="str">
        <f aca="false">IF(A1823="","",A1823&amp;"|"&amp;B1823)</f>
        <v/>
      </c>
    </row>
    <row r="1824" customFormat="false" ht="15" hidden="false" customHeight="false" outlineLevel="0" collapsed="false">
      <c r="A1824" s="19"/>
      <c r="B1824" s="19"/>
      <c r="C1824" s="20"/>
      <c r="D1824" s="19"/>
      <c r="E1824" s="26" t="str">
        <f aca="false">IF(A1824="","",COUNTIFS(Apparitions!$A$2:$A$5001,A1824,Apparitions!$B$2:$B$5001,B1824))</f>
        <v/>
      </c>
      <c r="F1824" s="27" t="str">
        <f aca="false">IF(A1824="","",A1824&amp;"|"&amp;B1824)</f>
        <v/>
      </c>
    </row>
    <row r="1825" customFormat="false" ht="15" hidden="false" customHeight="false" outlineLevel="0" collapsed="false">
      <c r="A1825" s="19"/>
      <c r="B1825" s="19"/>
      <c r="C1825" s="20"/>
      <c r="D1825" s="19"/>
      <c r="E1825" s="26" t="str">
        <f aca="false">IF(A1825="","",COUNTIFS(Apparitions!$A$2:$A$5001,A1825,Apparitions!$B$2:$B$5001,B1825))</f>
        <v/>
      </c>
      <c r="F1825" s="27" t="str">
        <f aca="false">IF(A1825="","",A1825&amp;"|"&amp;B1825)</f>
        <v/>
      </c>
    </row>
    <row r="1826" customFormat="false" ht="15" hidden="false" customHeight="false" outlineLevel="0" collapsed="false">
      <c r="A1826" s="19"/>
      <c r="B1826" s="19"/>
      <c r="C1826" s="20"/>
      <c r="D1826" s="19"/>
      <c r="E1826" s="26" t="str">
        <f aca="false">IF(A1826="","",COUNTIFS(Apparitions!$A$2:$A$5001,A1826,Apparitions!$B$2:$B$5001,B1826))</f>
        <v/>
      </c>
      <c r="F1826" s="27" t="str">
        <f aca="false">IF(A1826="","",A1826&amp;"|"&amp;B1826)</f>
        <v/>
      </c>
    </row>
    <row r="1827" customFormat="false" ht="15" hidden="false" customHeight="false" outlineLevel="0" collapsed="false">
      <c r="A1827" s="19"/>
      <c r="B1827" s="19"/>
      <c r="C1827" s="20"/>
      <c r="D1827" s="19"/>
      <c r="E1827" s="26" t="str">
        <f aca="false">IF(A1827="","",COUNTIFS(Apparitions!$A$2:$A$5001,A1827,Apparitions!$B$2:$B$5001,B1827))</f>
        <v/>
      </c>
      <c r="F1827" s="27" t="str">
        <f aca="false">IF(A1827="","",A1827&amp;"|"&amp;B1827)</f>
        <v/>
      </c>
    </row>
    <row r="1828" customFormat="false" ht="15" hidden="false" customHeight="false" outlineLevel="0" collapsed="false">
      <c r="A1828" s="19"/>
      <c r="B1828" s="19"/>
      <c r="C1828" s="20"/>
      <c r="D1828" s="19"/>
      <c r="E1828" s="26" t="str">
        <f aca="false">IF(A1828="","",COUNTIFS(Apparitions!$A$2:$A$5001,A1828,Apparitions!$B$2:$B$5001,B1828))</f>
        <v/>
      </c>
      <c r="F1828" s="27" t="str">
        <f aca="false">IF(A1828="","",A1828&amp;"|"&amp;B1828)</f>
        <v/>
      </c>
    </row>
    <row r="1829" customFormat="false" ht="15" hidden="false" customHeight="false" outlineLevel="0" collapsed="false">
      <c r="A1829" s="19"/>
      <c r="B1829" s="19"/>
      <c r="C1829" s="20"/>
      <c r="D1829" s="19"/>
      <c r="E1829" s="26" t="str">
        <f aca="false">IF(A1829="","",COUNTIFS(Apparitions!$A$2:$A$5001,A1829,Apparitions!$B$2:$B$5001,B1829))</f>
        <v/>
      </c>
      <c r="F1829" s="27" t="str">
        <f aca="false">IF(A1829="","",A1829&amp;"|"&amp;B1829)</f>
        <v/>
      </c>
    </row>
    <row r="1830" customFormat="false" ht="15" hidden="false" customHeight="false" outlineLevel="0" collapsed="false">
      <c r="A1830" s="19"/>
      <c r="B1830" s="19"/>
      <c r="C1830" s="20"/>
      <c r="D1830" s="19"/>
      <c r="E1830" s="26" t="str">
        <f aca="false">IF(A1830="","",COUNTIFS(Apparitions!$A$2:$A$5001,A1830,Apparitions!$B$2:$B$5001,B1830))</f>
        <v/>
      </c>
      <c r="F1830" s="27" t="str">
        <f aca="false">IF(A1830="","",A1830&amp;"|"&amp;B1830)</f>
        <v/>
      </c>
    </row>
    <row r="1831" customFormat="false" ht="15" hidden="false" customHeight="false" outlineLevel="0" collapsed="false">
      <c r="A1831" s="19"/>
      <c r="B1831" s="19"/>
      <c r="C1831" s="20"/>
      <c r="D1831" s="19"/>
      <c r="E1831" s="26" t="str">
        <f aca="false">IF(A1831="","",COUNTIFS(Apparitions!$A$2:$A$5001,A1831,Apparitions!$B$2:$B$5001,B1831))</f>
        <v/>
      </c>
      <c r="F1831" s="27" t="str">
        <f aca="false">IF(A1831="","",A1831&amp;"|"&amp;B1831)</f>
        <v/>
      </c>
    </row>
    <row r="1832" customFormat="false" ht="15" hidden="false" customHeight="false" outlineLevel="0" collapsed="false">
      <c r="A1832" s="19"/>
      <c r="B1832" s="19"/>
      <c r="C1832" s="20"/>
      <c r="D1832" s="19"/>
      <c r="E1832" s="26" t="str">
        <f aca="false">IF(A1832="","",COUNTIFS(Apparitions!$A$2:$A$5001,A1832,Apparitions!$B$2:$B$5001,B1832))</f>
        <v/>
      </c>
      <c r="F1832" s="27" t="str">
        <f aca="false">IF(A1832="","",A1832&amp;"|"&amp;B1832)</f>
        <v/>
      </c>
    </row>
    <row r="1833" customFormat="false" ht="15" hidden="false" customHeight="false" outlineLevel="0" collapsed="false">
      <c r="A1833" s="19"/>
      <c r="B1833" s="19"/>
      <c r="C1833" s="20"/>
      <c r="D1833" s="19"/>
      <c r="E1833" s="26" t="str">
        <f aca="false">IF(A1833="","",COUNTIFS(Apparitions!$A$2:$A$5001,A1833,Apparitions!$B$2:$B$5001,B1833))</f>
        <v/>
      </c>
      <c r="F1833" s="27" t="str">
        <f aca="false">IF(A1833="","",A1833&amp;"|"&amp;B1833)</f>
        <v/>
      </c>
    </row>
    <row r="1834" customFormat="false" ht="15" hidden="false" customHeight="false" outlineLevel="0" collapsed="false">
      <c r="A1834" s="19"/>
      <c r="B1834" s="19"/>
      <c r="C1834" s="20"/>
      <c r="D1834" s="19"/>
      <c r="E1834" s="26" t="str">
        <f aca="false">IF(A1834="","",COUNTIFS(Apparitions!$A$2:$A$5001,A1834,Apparitions!$B$2:$B$5001,B1834))</f>
        <v/>
      </c>
      <c r="F1834" s="27" t="str">
        <f aca="false">IF(A1834="","",A1834&amp;"|"&amp;B1834)</f>
        <v/>
      </c>
    </row>
    <row r="1835" customFormat="false" ht="15" hidden="false" customHeight="false" outlineLevel="0" collapsed="false">
      <c r="A1835" s="19"/>
      <c r="B1835" s="19"/>
      <c r="C1835" s="20"/>
      <c r="D1835" s="19"/>
      <c r="E1835" s="26" t="str">
        <f aca="false">IF(A1835="","",COUNTIFS(Apparitions!$A$2:$A$5001,A1835,Apparitions!$B$2:$B$5001,B1835))</f>
        <v/>
      </c>
      <c r="F1835" s="27" t="str">
        <f aca="false">IF(A1835="","",A1835&amp;"|"&amp;B1835)</f>
        <v/>
      </c>
    </row>
    <row r="1836" customFormat="false" ht="15" hidden="false" customHeight="false" outlineLevel="0" collapsed="false">
      <c r="A1836" s="19"/>
      <c r="B1836" s="19"/>
      <c r="C1836" s="20"/>
      <c r="D1836" s="19"/>
      <c r="E1836" s="26" t="str">
        <f aca="false">IF(A1836="","",COUNTIFS(Apparitions!$A$2:$A$5001,A1836,Apparitions!$B$2:$B$5001,B1836))</f>
        <v/>
      </c>
      <c r="F1836" s="27" t="str">
        <f aca="false">IF(A1836="","",A1836&amp;"|"&amp;B1836)</f>
        <v/>
      </c>
    </row>
    <row r="1837" customFormat="false" ht="15" hidden="false" customHeight="false" outlineLevel="0" collapsed="false">
      <c r="A1837" s="19"/>
      <c r="B1837" s="19"/>
      <c r="C1837" s="20"/>
      <c r="D1837" s="19"/>
      <c r="E1837" s="26" t="str">
        <f aca="false">IF(A1837="","",COUNTIFS(Apparitions!$A$2:$A$5001,A1837,Apparitions!$B$2:$B$5001,B1837))</f>
        <v/>
      </c>
      <c r="F1837" s="27" t="str">
        <f aca="false">IF(A1837="","",A1837&amp;"|"&amp;B1837)</f>
        <v/>
      </c>
    </row>
    <row r="1838" customFormat="false" ht="15" hidden="false" customHeight="false" outlineLevel="0" collapsed="false">
      <c r="A1838" s="19"/>
      <c r="B1838" s="19"/>
      <c r="C1838" s="20"/>
      <c r="D1838" s="19"/>
      <c r="E1838" s="26" t="str">
        <f aca="false">IF(A1838="","",COUNTIFS(Apparitions!$A$2:$A$5001,A1838,Apparitions!$B$2:$B$5001,B1838))</f>
        <v/>
      </c>
      <c r="F1838" s="27" t="str">
        <f aca="false">IF(A1838="","",A1838&amp;"|"&amp;B1838)</f>
        <v/>
      </c>
    </row>
    <row r="1839" customFormat="false" ht="15" hidden="false" customHeight="false" outlineLevel="0" collapsed="false">
      <c r="A1839" s="19"/>
      <c r="B1839" s="19"/>
      <c r="C1839" s="20"/>
      <c r="D1839" s="19"/>
      <c r="E1839" s="26" t="str">
        <f aca="false">IF(A1839="","",COUNTIFS(Apparitions!$A$2:$A$5001,A1839,Apparitions!$B$2:$B$5001,B1839))</f>
        <v/>
      </c>
      <c r="F1839" s="27" t="str">
        <f aca="false">IF(A1839="","",A1839&amp;"|"&amp;B1839)</f>
        <v/>
      </c>
    </row>
    <row r="1840" customFormat="false" ht="15" hidden="false" customHeight="false" outlineLevel="0" collapsed="false">
      <c r="A1840" s="19"/>
      <c r="B1840" s="19"/>
      <c r="C1840" s="20"/>
      <c r="D1840" s="19"/>
      <c r="E1840" s="26" t="str">
        <f aca="false">IF(A1840="","",COUNTIFS(Apparitions!$A$2:$A$5001,A1840,Apparitions!$B$2:$B$5001,B1840))</f>
        <v/>
      </c>
      <c r="F1840" s="27" t="str">
        <f aca="false">IF(A1840="","",A1840&amp;"|"&amp;B1840)</f>
        <v/>
      </c>
    </row>
    <row r="1841" customFormat="false" ht="15" hidden="false" customHeight="false" outlineLevel="0" collapsed="false">
      <c r="A1841" s="19"/>
      <c r="B1841" s="19"/>
      <c r="C1841" s="20"/>
      <c r="D1841" s="19"/>
      <c r="E1841" s="26" t="str">
        <f aca="false">IF(A1841="","",COUNTIFS(Apparitions!$A$2:$A$5001,A1841,Apparitions!$B$2:$B$5001,B1841))</f>
        <v/>
      </c>
      <c r="F1841" s="27" t="str">
        <f aca="false">IF(A1841="","",A1841&amp;"|"&amp;B1841)</f>
        <v/>
      </c>
    </row>
    <row r="1842" customFormat="false" ht="15" hidden="false" customHeight="false" outlineLevel="0" collapsed="false">
      <c r="A1842" s="19"/>
      <c r="B1842" s="19"/>
      <c r="C1842" s="20"/>
      <c r="D1842" s="19"/>
      <c r="E1842" s="26" t="str">
        <f aca="false">IF(A1842="","",COUNTIFS(Apparitions!$A$2:$A$5001,A1842,Apparitions!$B$2:$B$5001,B1842))</f>
        <v/>
      </c>
      <c r="F1842" s="27" t="str">
        <f aca="false">IF(A1842="","",A1842&amp;"|"&amp;B1842)</f>
        <v/>
      </c>
    </row>
    <row r="1843" customFormat="false" ht="15" hidden="false" customHeight="false" outlineLevel="0" collapsed="false">
      <c r="A1843" s="19"/>
      <c r="B1843" s="19"/>
      <c r="C1843" s="20"/>
      <c r="D1843" s="19"/>
      <c r="E1843" s="26" t="str">
        <f aca="false">IF(A1843="","",COUNTIFS(Apparitions!$A$2:$A$5001,A1843,Apparitions!$B$2:$B$5001,B1843))</f>
        <v/>
      </c>
      <c r="F1843" s="27" t="str">
        <f aca="false">IF(A1843="","",A1843&amp;"|"&amp;B1843)</f>
        <v/>
      </c>
    </row>
    <row r="1844" customFormat="false" ht="15" hidden="false" customHeight="false" outlineLevel="0" collapsed="false">
      <c r="A1844" s="19"/>
      <c r="B1844" s="19"/>
      <c r="C1844" s="20"/>
      <c r="D1844" s="19"/>
      <c r="E1844" s="26" t="str">
        <f aca="false">IF(A1844="","",COUNTIFS(Apparitions!$A$2:$A$5001,A1844,Apparitions!$B$2:$B$5001,B1844))</f>
        <v/>
      </c>
      <c r="F1844" s="27" t="str">
        <f aca="false">IF(A1844="","",A1844&amp;"|"&amp;B1844)</f>
        <v/>
      </c>
    </row>
    <row r="1845" customFormat="false" ht="15" hidden="false" customHeight="false" outlineLevel="0" collapsed="false">
      <c r="A1845" s="19"/>
      <c r="B1845" s="19"/>
      <c r="C1845" s="20"/>
      <c r="D1845" s="19"/>
      <c r="E1845" s="26" t="str">
        <f aca="false">IF(A1845="","",COUNTIFS(Apparitions!$A$2:$A$5001,A1845,Apparitions!$B$2:$B$5001,B1845))</f>
        <v/>
      </c>
      <c r="F1845" s="27" t="str">
        <f aca="false">IF(A1845="","",A1845&amp;"|"&amp;B1845)</f>
        <v/>
      </c>
    </row>
    <row r="1846" customFormat="false" ht="15" hidden="false" customHeight="false" outlineLevel="0" collapsed="false">
      <c r="A1846" s="19"/>
      <c r="B1846" s="19"/>
      <c r="C1846" s="20"/>
      <c r="D1846" s="19"/>
      <c r="E1846" s="26" t="str">
        <f aca="false">IF(A1846="","",COUNTIFS(Apparitions!$A$2:$A$5001,A1846,Apparitions!$B$2:$B$5001,B1846))</f>
        <v/>
      </c>
      <c r="F1846" s="27" t="str">
        <f aca="false">IF(A1846="","",A1846&amp;"|"&amp;B1846)</f>
        <v/>
      </c>
    </row>
    <row r="1847" customFormat="false" ht="15" hidden="false" customHeight="false" outlineLevel="0" collapsed="false">
      <c r="A1847" s="19"/>
      <c r="B1847" s="19"/>
      <c r="C1847" s="20"/>
      <c r="D1847" s="19"/>
      <c r="E1847" s="26" t="str">
        <f aca="false">IF(A1847="","",COUNTIFS(Apparitions!$A$2:$A$5001,A1847,Apparitions!$B$2:$B$5001,B1847))</f>
        <v/>
      </c>
      <c r="F1847" s="27" t="str">
        <f aca="false">IF(A1847="","",A1847&amp;"|"&amp;B1847)</f>
        <v/>
      </c>
    </row>
    <row r="1848" customFormat="false" ht="15" hidden="false" customHeight="false" outlineLevel="0" collapsed="false">
      <c r="A1848" s="19"/>
      <c r="B1848" s="19"/>
      <c r="C1848" s="20"/>
      <c r="D1848" s="19"/>
      <c r="E1848" s="26" t="str">
        <f aca="false">IF(A1848="","",COUNTIFS(Apparitions!$A$2:$A$5001,A1848,Apparitions!$B$2:$B$5001,B1848))</f>
        <v/>
      </c>
      <c r="F1848" s="27" t="str">
        <f aca="false">IF(A1848="","",A1848&amp;"|"&amp;B1848)</f>
        <v/>
      </c>
    </row>
    <row r="1849" customFormat="false" ht="15" hidden="false" customHeight="false" outlineLevel="0" collapsed="false">
      <c r="A1849" s="19"/>
      <c r="B1849" s="19"/>
      <c r="C1849" s="20"/>
      <c r="D1849" s="19"/>
      <c r="E1849" s="26" t="str">
        <f aca="false">IF(A1849="","",COUNTIFS(Apparitions!$A$2:$A$5001,A1849,Apparitions!$B$2:$B$5001,B1849))</f>
        <v/>
      </c>
      <c r="F1849" s="27" t="str">
        <f aca="false">IF(A1849="","",A1849&amp;"|"&amp;B1849)</f>
        <v/>
      </c>
    </row>
    <row r="1850" customFormat="false" ht="15" hidden="false" customHeight="false" outlineLevel="0" collapsed="false">
      <c r="A1850" s="19"/>
      <c r="B1850" s="19"/>
      <c r="C1850" s="20"/>
      <c r="D1850" s="19"/>
      <c r="E1850" s="26" t="str">
        <f aca="false">IF(A1850="","",COUNTIFS(Apparitions!$A$2:$A$5001,A1850,Apparitions!$B$2:$B$5001,B1850))</f>
        <v/>
      </c>
      <c r="F1850" s="27" t="str">
        <f aca="false">IF(A1850="","",A1850&amp;"|"&amp;B1850)</f>
        <v/>
      </c>
    </row>
    <row r="1851" customFormat="false" ht="15" hidden="false" customHeight="false" outlineLevel="0" collapsed="false">
      <c r="A1851" s="19"/>
      <c r="B1851" s="19"/>
      <c r="C1851" s="20"/>
      <c r="D1851" s="19"/>
      <c r="E1851" s="26" t="str">
        <f aca="false">IF(A1851="","",COUNTIFS(Apparitions!$A$2:$A$5001,A1851,Apparitions!$B$2:$B$5001,B1851))</f>
        <v/>
      </c>
      <c r="F1851" s="27" t="str">
        <f aca="false">IF(A1851="","",A1851&amp;"|"&amp;B1851)</f>
        <v/>
      </c>
    </row>
    <row r="1852" customFormat="false" ht="15" hidden="false" customHeight="false" outlineLevel="0" collapsed="false">
      <c r="A1852" s="19"/>
      <c r="B1852" s="19"/>
      <c r="C1852" s="20"/>
      <c r="D1852" s="19"/>
      <c r="E1852" s="26" t="str">
        <f aca="false">IF(A1852="","",COUNTIFS(Apparitions!$A$2:$A$5001,A1852,Apparitions!$B$2:$B$5001,B1852))</f>
        <v/>
      </c>
      <c r="F1852" s="27" t="str">
        <f aca="false">IF(A1852="","",A1852&amp;"|"&amp;B1852)</f>
        <v/>
      </c>
    </row>
    <row r="1853" customFormat="false" ht="15" hidden="false" customHeight="false" outlineLevel="0" collapsed="false">
      <c r="A1853" s="19"/>
      <c r="B1853" s="19"/>
      <c r="C1853" s="20"/>
      <c r="D1853" s="19"/>
      <c r="E1853" s="26" t="str">
        <f aca="false">IF(A1853="","",COUNTIFS(Apparitions!$A$2:$A$5001,A1853,Apparitions!$B$2:$B$5001,B1853))</f>
        <v/>
      </c>
      <c r="F1853" s="27" t="str">
        <f aca="false">IF(A1853="","",A1853&amp;"|"&amp;B1853)</f>
        <v/>
      </c>
    </row>
    <row r="1854" customFormat="false" ht="15" hidden="false" customHeight="false" outlineLevel="0" collapsed="false">
      <c r="A1854" s="19"/>
      <c r="B1854" s="19"/>
      <c r="C1854" s="20"/>
      <c r="D1854" s="19"/>
      <c r="E1854" s="26" t="str">
        <f aca="false">IF(A1854="","",COUNTIFS(Apparitions!$A$2:$A$5001,A1854,Apparitions!$B$2:$B$5001,B1854))</f>
        <v/>
      </c>
      <c r="F1854" s="27" t="str">
        <f aca="false">IF(A1854="","",A1854&amp;"|"&amp;B1854)</f>
        <v/>
      </c>
    </row>
    <row r="1855" customFormat="false" ht="15" hidden="false" customHeight="false" outlineLevel="0" collapsed="false">
      <c r="A1855" s="19"/>
      <c r="B1855" s="19"/>
      <c r="C1855" s="20"/>
      <c r="D1855" s="19"/>
      <c r="E1855" s="26" t="str">
        <f aca="false">IF(A1855="","",COUNTIFS(Apparitions!$A$2:$A$5001,A1855,Apparitions!$B$2:$B$5001,B1855))</f>
        <v/>
      </c>
      <c r="F1855" s="27" t="str">
        <f aca="false">IF(A1855="","",A1855&amp;"|"&amp;B1855)</f>
        <v/>
      </c>
    </row>
    <row r="1856" customFormat="false" ht="15" hidden="false" customHeight="false" outlineLevel="0" collapsed="false">
      <c r="A1856" s="19"/>
      <c r="B1856" s="19"/>
      <c r="C1856" s="20"/>
      <c r="D1856" s="19"/>
      <c r="E1856" s="26" t="str">
        <f aca="false">IF(A1856="","",COUNTIFS(Apparitions!$A$2:$A$5001,A1856,Apparitions!$B$2:$B$5001,B1856))</f>
        <v/>
      </c>
      <c r="F1856" s="27" t="str">
        <f aca="false">IF(A1856="","",A1856&amp;"|"&amp;B1856)</f>
        <v/>
      </c>
    </row>
    <row r="1857" customFormat="false" ht="15" hidden="false" customHeight="false" outlineLevel="0" collapsed="false">
      <c r="A1857" s="19"/>
      <c r="B1857" s="19"/>
      <c r="C1857" s="20"/>
      <c r="D1857" s="19"/>
      <c r="E1857" s="26" t="str">
        <f aca="false">IF(A1857="","",COUNTIFS(Apparitions!$A$2:$A$5001,A1857,Apparitions!$B$2:$B$5001,B1857))</f>
        <v/>
      </c>
      <c r="F1857" s="27" t="str">
        <f aca="false">IF(A1857="","",A1857&amp;"|"&amp;B1857)</f>
        <v/>
      </c>
    </row>
    <row r="1858" customFormat="false" ht="15" hidden="false" customHeight="false" outlineLevel="0" collapsed="false">
      <c r="A1858" s="19"/>
      <c r="B1858" s="19"/>
      <c r="C1858" s="20"/>
      <c r="D1858" s="19"/>
      <c r="E1858" s="26" t="str">
        <f aca="false">IF(A1858="","",COUNTIFS(Apparitions!$A$2:$A$5001,A1858,Apparitions!$B$2:$B$5001,B1858))</f>
        <v/>
      </c>
      <c r="F1858" s="27" t="str">
        <f aca="false">IF(A1858="","",A1858&amp;"|"&amp;B1858)</f>
        <v/>
      </c>
    </row>
    <row r="1859" customFormat="false" ht="15" hidden="false" customHeight="false" outlineLevel="0" collapsed="false">
      <c r="A1859" s="19"/>
      <c r="B1859" s="19"/>
      <c r="C1859" s="20"/>
      <c r="D1859" s="19"/>
      <c r="E1859" s="26" t="str">
        <f aca="false">IF(A1859="","",COUNTIFS(Apparitions!$A$2:$A$5001,A1859,Apparitions!$B$2:$B$5001,B1859))</f>
        <v/>
      </c>
      <c r="F1859" s="27" t="str">
        <f aca="false">IF(A1859="","",A1859&amp;"|"&amp;B1859)</f>
        <v/>
      </c>
    </row>
    <row r="1860" customFormat="false" ht="15" hidden="false" customHeight="false" outlineLevel="0" collapsed="false">
      <c r="A1860" s="19"/>
      <c r="B1860" s="19"/>
      <c r="C1860" s="20"/>
      <c r="D1860" s="19"/>
      <c r="E1860" s="26" t="str">
        <f aca="false">IF(A1860="","",COUNTIFS(Apparitions!$A$2:$A$5001,A1860,Apparitions!$B$2:$B$5001,B1860))</f>
        <v/>
      </c>
      <c r="F1860" s="27" t="str">
        <f aca="false">IF(A1860="","",A1860&amp;"|"&amp;B1860)</f>
        <v/>
      </c>
    </row>
    <row r="1861" customFormat="false" ht="15" hidden="false" customHeight="false" outlineLevel="0" collapsed="false">
      <c r="A1861" s="19"/>
      <c r="B1861" s="19"/>
      <c r="C1861" s="20"/>
      <c r="D1861" s="19"/>
      <c r="E1861" s="26" t="str">
        <f aca="false">IF(A1861="","",COUNTIFS(Apparitions!$A$2:$A$5001,A1861,Apparitions!$B$2:$B$5001,B1861))</f>
        <v/>
      </c>
      <c r="F1861" s="27" t="str">
        <f aca="false">IF(A1861="","",A1861&amp;"|"&amp;B1861)</f>
        <v/>
      </c>
    </row>
    <row r="1862" customFormat="false" ht="15" hidden="false" customHeight="false" outlineLevel="0" collapsed="false">
      <c r="A1862" s="19"/>
      <c r="B1862" s="19"/>
      <c r="C1862" s="20"/>
      <c r="D1862" s="19"/>
      <c r="E1862" s="26" t="str">
        <f aca="false">IF(A1862="","",COUNTIFS(Apparitions!$A$2:$A$5001,A1862,Apparitions!$B$2:$B$5001,B1862))</f>
        <v/>
      </c>
      <c r="F1862" s="27" t="str">
        <f aca="false">IF(A1862="","",A1862&amp;"|"&amp;B1862)</f>
        <v/>
      </c>
    </row>
    <row r="1863" customFormat="false" ht="15" hidden="false" customHeight="false" outlineLevel="0" collapsed="false">
      <c r="A1863" s="19"/>
      <c r="B1863" s="19"/>
      <c r="C1863" s="20"/>
      <c r="D1863" s="19"/>
      <c r="E1863" s="26" t="str">
        <f aca="false">IF(A1863="","",COUNTIFS(Apparitions!$A$2:$A$5001,A1863,Apparitions!$B$2:$B$5001,B1863))</f>
        <v/>
      </c>
      <c r="F1863" s="27" t="str">
        <f aca="false">IF(A1863="","",A1863&amp;"|"&amp;B1863)</f>
        <v/>
      </c>
    </row>
    <row r="1864" customFormat="false" ht="15" hidden="false" customHeight="false" outlineLevel="0" collapsed="false">
      <c r="A1864" s="19"/>
      <c r="B1864" s="19"/>
      <c r="C1864" s="20"/>
      <c r="D1864" s="19"/>
      <c r="E1864" s="26" t="str">
        <f aca="false">IF(A1864="","",COUNTIFS(Apparitions!$A$2:$A$5001,A1864,Apparitions!$B$2:$B$5001,B1864))</f>
        <v/>
      </c>
      <c r="F1864" s="27" t="str">
        <f aca="false">IF(A1864="","",A1864&amp;"|"&amp;B1864)</f>
        <v/>
      </c>
    </row>
    <row r="1865" customFormat="false" ht="15" hidden="false" customHeight="false" outlineLevel="0" collapsed="false">
      <c r="A1865" s="19"/>
      <c r="B1865" s="19"/>
      <c r="C1865" s="20"/>
      <c r="D1865" s="19"/>
      <c r="E1865" s="26" t="str">
        <f aca="false">IF(A1865="","",COUNTIFS(Apparitions!$A$2:$A$5001,A1865,Apparitions!$B$2:$B$5001,B1865))</f>
        <v/>
      </c>
      <c r="F1865" s="27" t="str">
        <f aca="false">IF(A1865="","",A1865&amp;"|"&amp;B1865)</f>
        <v/>
      </c>
    </row>
    <row r="1866" customFormat="false" ht="15" hidden="false" customHeight="false" outlineLevel="0" collapsed="false">
      <c r="A1866" s="19"/>
      <c r="B1866" s="19"/>
      <c r="C1866" s="20"/>
      <c r="D1866" s="19"/>
      <c r="E1866" s="26" t="str">
        <f aca="false">IF(A1866="","",COUNTIFS(Apparitions!$A$2:$A$5001,A1866,Apparitions!$B$2:$B$5001,B1866))</f>
        <v/>
      </c>
      <c r="F1866" s="27" t="str">
        <f aca="false">IF(A1866="","",A1866&amp;"|"&amp;B1866)</f>
        <v/>
      </c>
    </row>
    <row r="1867" customFormat="false" ht="15" hidden="false" customHeight="false" outlineLevel="0" collapsed="false">
      <c r="A1867" s="19"/>
      <c r="B1867" s="19"/>
      <c r="C1867" s="20"/>
      <c r="D1867" s="19"/>
      <c r="E1867" s="26" t="str">
        <f aca="false">IF(A1867="","",COUNTIFS(Apparitions!$A$2:$A$5001,A1867,Apparitions!$B$2:$B$5001,B1867))</f>
        <v/>
      </c>
      <c r="F1867" s="27" t="str">
        <f aca="false">IF(A1867="","",A1867&amp;"|"&amp;B1867)</f>
        <v/>
      </c>
    </row>
    <row r="1868" customFormat="false" ht="15" hidden="false" customHeight="false" outlineLevel="0" collapsed="false">
      <c r="A1868" s="19"/>
      <c r="B1868" s="19"/>
      <c r="C1868" s="20"/>
      <c r="D1868" s="19"/>
      <c r="E1868" s="26" t="str">
        <f aca="false">IF(A1868="","",COUNTIFS(Apparitions!$A$2:$A$5001,A1868,Apparitions!$B$2:$B$5001,B1868))</f>
        <v/>
      </c>
      <c r="F1868" s="27" t="str">
        <f aca="false">IF(A1868="","",A1868&amp;"|"&amp;B1868)</f>
        <v/>
      </c>
    </row>
    <row r="1869" customFormat="false" ht="15" hidden="false" customHeight="false" outlineLevel="0" collapsed="false">
      <c r="A1869" s="19"/>
      <c r="B1869" s="19"/>
      <c r="C1869" s="20"/>
      <c r="D1869" s="19"/>
      <c r="E1869" s="26" t="str">
        <f aca="false">IF(A1869="","",COUNTIFS(Apparitions!$A$2:$A$5001,A1869,Apparitions!$B$2:$B$5001,B1869))</f>
        <v/>
      </c>
      <c r="F1869" s="27" t="str">
        <f aca="false">IF(A1869="","",A1869&amp;"|"&amp;B1869)</f>
        <v/>
      </c>
    </row>
    <row r="1870" customFormat="false" ht="15" hidden="false" customHeight="false" outlineLevel="0" collapsed="false">
      <c r="A1870" s="19"/>
      <c r="B1870" s="19"/>
      <c r="C1870" s="20"/>
      <c r="D1870" s="19"/>
      <c r="E1870" s="26" t="str">
        <f aca="false">IF(A1870="","",COUNTIFS(Apparitions!$A$2:$A$5001,A1870,Apparitions!$B$2:$B$5001,B1870))</f>
        <v/>
      </c>
      <c r="F1870" s="27" t="str">
        <f aca="false">IF(A1870="","",A1870&amp;"|"&amp;B1870)</f>
        <v/>
      </c>
    </row>
    <row r="1871" customFormat="false" ht="15" hidden="false" customHeight="false" outlineLevel="0" collapsed="false">
      <c r="A1871" s="19"/>
      <c r="B1871" s="19"/>
      <c r="C1871" s="20"/>
      <c r="D1871" s="19"/>
      <c r="E1871" s="26" t="str">
        <f aca="false">IF(A1871="","",COUNTIFS(Apparitions!$A$2:$A$5001,A1871,Apparitions!$B$2:$B$5001,B1871))</f>
        <v/>
      </c>
      <c r="F1871" s="27" t="str">
        <f aca="false">IF(A1871="","",A1871&amp;"|"&amp;B1871)</f>
        <v/>
      </c>
    </row>
    <row r="1872" customFormat="false" ht="15" hidden="false" customHeight="false" outlineLevel="0" collapsed="false">
      <c r="A1872" s="19"/>
      <c r="B1872" s="19"/>
      <c r="C1872" s="20"/>
      <c r="D1872" s="19"/>
      <c r="E1872" s="26" t="str">
        <f aca="false">IF(A1872="","",COUNTIFS(Apparitions!$A$2:$A$5001,A1872,Apparitions!$B$2:$B$5001,B1872))</f>
        <v/>
      </c>
      <c r="F1872" s="27" t="str">
        <f aca="false">IF(A1872="","",A1872&amp;"|"&amp;B1872)</f>
        <v/>
      </c>
    </row>
    <row r="1873" customFormat="false" ht="15" hidden="false" customHeight="false" outlineLevel="0" collapsed="false">
      <c r="A1873" s="19"/>
      <c r="B1873" s="19"/>
      <c r="C1873" s="20"/>
      <c r="D1873" s="19"/>
      <c r="E1873" s="26" t="str">
        <f aca="false">IF(A1873="","",COUNTIFS(Apparitions!$A$2:$A$5001,A1873,Apparitions!$B$2:$B$5001,B1873))</f>
        <v/>
      </c>
      <c r="F1873" s="27" t="str">
        <f aca="false">IF(A1873="","",A1873&amp;"|"&amp;B1873)</f>
        <v/>
      </c>
    </row>
    <row r="1874" customFormat="false" ht="15" hidden="false" customHeight="false" outlineLevel="0" collapsed="false">
      <c r="A1874" s="19"/>
      <c r="B1874" s="19"/>
      <c r="C1874" s="20"/>
      <c r="D1874" s="19"/>
      <c r="E1874" s="26" t="str">
        <f aca="false">IF(A1874="","",COUNTIFS(Apparitions!$A$2:$A$5001,A1874,Apparitions!$B$2:$B$5001,B1874))</f>
        <v/>
      </c>
      <c r="F1874" s="27" t="str">
        <f aca="false">IF(A1874="","",A1874&amp;"|"&amp;B1874)</f>
        <v/>
      </c>
    </row>
    <row r="1875" customFormat="false" ht="15" hidden="false" customHeight="false" outlineLevel="0" collapsed="false">
      <c r="A1875" s="19"/>
      <c r="B1875" s="19"/>
      <c r="C1875" s="20"/>
      <c r="D1875" s="19"/>
      <c r="E1875" s="26" t="str">
        <f aca="false">IF(A1875="","",COUNTIFS(Apparitions!$A$2:$A$5001,A1875,Apparitions!$B$2:$B$5001,B1875))</f>
        <v/>
      </c>
      <c r="F1875" s="27" t="str">
        <f aca="false">IF(A1875="","",A1875&amp;"|"&amp;B1875)</f>
        <v/>
      </c>
    </row>
    <row r="1876" customFormat="false" ht="15" hidden="false" customHeight="false" outlineLevel="0" collapsed="false">
      <c r="A1876" s="19"/>
      <c r="B1876" s="19"/>
      <c r="C1876" s="20"/>
      <c r="D1876" s="19"/>
      <c r="E1876" s="26" t="str">
        <f aca="false">IF(A1876="","",COUNTIFS(Apparitions!$A$2:$A$5001,A1876,Apparitions!$B$2:$B$5001,B1876))</f>
        <v/>
      </c>
      <c r="F1876" s="27" t="str">
        <f aca="false">IF(A1876="","",A1876&amp;"|"&amp;B1876)</f>
        <v/>
      </c>
    </row>
    <row r="1877" customFormat="false" ht="15" hidden="false" customHeight="false" outlineLevel="0" collapsed="false">
      <c r="A1877" s="19"/>
      <c r="B1877" s="19"/>
      <c r="C1877" s="20"/>
      <c r="D1877" s="19"/>
      <c r="E1877" s="26" t="str">
        <f aca="false">IF(A1877="","",COUNTIFS(Apparitions!$A$2:$A$5001,A1877,Apparitions!$B$2:$B$5001,B1877))</f>
        <v/>
      </c>
      <c r="F1877" s="27" t="str">
        <f aca="false">IF(A1877="","",A1877&amp;"|"&amp;B1877)</f>
        <v/>
      </c>
    </row>
    <row r="1878" customFormat="false" ht="15" hidden="false" customHeight="false" outlineLevel="0" collapsed="false">
      <c r="A1878" s="19"/>
      <c r="B1878" s="19"/>
      <c r="C1878" s="20"/>
      <c r="D1878" s="19"/>
      <c r="E1878" s="26" t="str">
        <f aca="false">IF(A1878="","",COUNTIFS(Apparitions!$A$2:$A$5001,A1878,Apparitions!$B$2:$B$5001,B1878))</f>
        <v/>
      </c>
      <c r="F1878" s="27" t="str">
        <f aca="false">IF(A1878="","",A1878&amp;"|"&amp;B1878)</f>
        <v/>
      </c>
    </row>
    <row r="1879" customFormat="false" ht="15" hidden="false" customHeight="false" outlineLevel="0" collapsed="false">
      <c r="A1879" s="19"/>
      <c r="B1879" s="19"/>
      <c r="C1879" s="20"/>
      <c r="D1879" s="19"/>
      <c r="E1879" s="26" t="str">
        <f aca="false">IF(A1879="","",COUNTIFS(Apparitions!$A$2:$A$5001,A1879,Apparitions!$B$2:$B$5001,B1879))</f>
        <v/>
      </c>
      <c r="F1879" s="27" t="str">
        <f aca="false">IF(A1879="","",A1879&amp;"|"&amp;B1879)</f>
        <v/>
      </c>
    </row>
    <row r="1880" customFormat="false" ht="15" hidden="false" customHeight="false" outlineLevel="0" collapsed="false">
      <c r="A1880" s="19"/>
      <c r="B1880" s="19"/>
      <c r="C1880" s="20"/>
      <c r="D1880" s="19"/>
      <c r="E1880" s="26" t="str">
        <f aca="false">IF(A1880="","",COUNTIFS(Apparitions!$A$2:$A$5001,A1880,Apparitions!$B$2:$B$5001,B1880))</f>
        <v/>
      </c>
      <c r="F1880" s="27" t="str">
        <f aca="false">IF(A1880="","",A1880&amp;"|"&amp;B1880)</f>
        <v/>
      </c>
    </row>
    <row r="1881" customFormat="false" ht="15" hidden="false" customHeight="false" outlineLevel="0" collapsed="false">
      <c r="A1881" s="19"/>
      <c r="B1881" s="19"/>
      <c r="C1881" s="20"/>
      <c r="D1881" s="19"/>
      <c r="E1881" s="26" t="str">
        <f aca="false">IF(A1881="","",COUNTIFS(Apparitions!$A$2:$A$5001,A1881,Apparitions!$B$2:$B$5001,B1881))</f>
        <v/>
      </c>
      <c r="F1881" s="27" t="str">
        <f aca="false">IF(A1881="","",A1881&amp;"|"&amp;B1881)</f>
        <v/>
      </c>
    </row>
    <row r="1882" customFormat="false" ht="15" hidden="false" customHeight="false" outlineLevel="0" collapsed="false">
      <c r="A1882" s="19"/>
      <c r="B1882" s="19"/>
      <c r="C1882" s="20"/>
      <c r="D1882" s="19"/>
      <c r="E1882" s="26" t="str">
        <f aca="false">IF(A1882="","",COUNTIFS(Apparitions!$A$2:$A$5001,A1882,Apparitions!$B$2:$B$5001,B1882))</f>
        <v/>
      </c>
      <c r="F1882" s="27" t="str">
        <f aca="false">IF(A1882="","",A1882&amp;"|"&amp;B1882)</f>
        <v/>
      </c>
    </row>
    <row r="1883" customFormat="false" ht="15" hidden="false" customHeight="false" outlineLevel="0" collapsed="false">
      <c r="A1883" s="19"/>
      <c r="B1883" s="19"/>
      <c r="C1883" s="20"/>
      <c r="D1883" s="19"/>
      <c r="E1883" s="26" t="str">
        <f aca="false">IF(A1883="","",COUNTIFS(Apparitions!$A$2:$A$5001,A1883,Apparitions!$B$2:$B$5001,B1883))</f>
        <v/>
      </c>
      <c r="F1883" s="27" t="str">
        <f aca="false">IF(A1883="","",A1883&amp;"|"&amp;B1883)</f>
        <v/>
      </c>
    </row>
    <row r="1884" customFormat="false" ht="15" hidden="false" customHeight="false" outlineLevel="0" collapsed="false">
      <c r="A1884" s="19"/>
      <c r="B1884" s="19"/>
      <c r="C1884" s="20"/>
      <c r="D1884" s="19"/>
      <c r="E1884" s="26" t="str">
        <f aca="false">IF(A1884="","",COUNTIFS(Apparitions!$A$2:$A$5001,A1884,Apparitions!$B$2:$B$5001,B1884))</f>
        <v/>
      </c>
      <c r="F1884" s="27" t="str">
        <f aca="false">IF(A1884="","",A1884&amp;"|"&amp;B1884)</f>
        <v/>
      </c>
    </row>
    <row r="1885" customFormat="false" ht="15" hidden="false" customHeight="false" outlineLevel="0" collapsed="false">
      <c r="A1885" s="19"/>
      <c r="B1885" s="19"/>
      <c r="C1885" s="20"/>
      <c r="D1885" s="19"/>
      <c r="E1885" s="26" t="str">
        <f aca="false">IF(A1885="","",COUNTIFS(Apparitions!$A$2:$A$5001,A1885,Apparitions!$B$2:$B$5001,B1885))</f>
        <v/>
      </c>
      <c r="F1885" s="27" t="str">
        <f aca="false">IF(A1885="","",A1885&amp;"|"&amp;B1885)</f>
        <v/>
      </c>
    </row>
    <row r="1886" customFormat="false" ht="15" hidden="false" customHeight="false" outlineLevel="0" collapsed="false">
      <c r="A1886" s="19"/>
      <c r="B1886" s="19"/>
      <c r="C1886" s="20"/>
      <c r="D1886" s="19"/>
      <c r="E1886" s="26" t="str">
        <f aca="false">IF(A1886="","",COUNTIFS(Apparitions!$A$2:$A$5001,A1886,Apparitions!$B$2:$B$5001,B1886))</f>
        <v/>
      </c>
      <c r="F1886" s="27" t="str">
        <f aca="false">IF(A1886="","",A1886&amp;"|"&amp;B1886)</f>
        <v/>
      </c>
    </row>
    <row r="1887" customFormat="false" ht="15" hidden="false" customHeight="false" outlineLevel="0" collapsed="false">
      <c r="A1887" s="19"/>
      <c r="B1887" s="19"/>
      <c r="C1887" s="20"/>
      <c r="D1887" s="19"/>
      <c r="E1887" s="26" t="str">
        <f aca="false">IF(A1887="","",COUNTIFS(Apparitions!$A$2:$A$5001,A1887,Apparitions!$B$2:$B$5001,B1887))</f>
        <v/>
      </c>
      <c r="F1887" s="27" t="str">
        <f aca="false">IF(A1887="","",A1887&amp;"|"&amp;B1887)</f>
        <v/>
      </c>
    </row>
    <row r="1888" customFormat="false" ht="15" hidden="false" customHeight="false" outlineLevel="0" collapsed="false">
      <c r="A1888" s="19"/>
      <c r="B1888" s="19"/>
      <c r="C1888" s="20"/>
      <c r="D1888" s="19"/>
      <c r="E1888" s="26" t="str">
        <f aca="false">IF(A1888="","",COUNTIFS(Apparitions!$A$2:$A$5001,A1888,Apparitions!$B$2:$B$5001,B1888))</f>
        <v/>
      </c>
      <c r="F1888" s="27" t="str">
        <f aca="false">IF(A1888="","",A1888&amp;"|"&amp;B1888)</f>
        <v/>
      </c>
    </row>
    <row r="1889" customFormat="false" ht="15" hidden="false" customHeight="false" outlineLevel="0" collapsed="false">
      <c r="A1889" s="19"/>
      <c r="B1889" s="19"/>
      <c r="C1889" s="20"/>
      <c r="D1889" s="19"/>
      <c r="E1889" s="26" t="str">
        <f aca="false">IF(A1889="","",COUNTIFS(Apparitions!$A$2:$A$5001,A1889,Apparitions!$B$2:$B$5001,B1889))</f>
        <v/>
      </c>
      <c r="F1889" s="27" t="str">
        <f aca="false">IF(A1889="","",A1889&amp;"|"&amp;B1889)</f>
        <v/>
      </c>
    </row>
    <row r="1890" customFormat="false" ht="15" hidden="false" customHeight="false" outlineLevel="0" collapsed="false">
      <c r="A1890" s="19"/>
      <c r="B1890" s="19"/>
      <c r="C1890" s="20"/>
      <c r="D1890" s="19"/>
      <c r="E1890" s="26" t="str">
        <f aca="false">IF(A1890="","",COUNTIFS(Apparitions!$A$2:$A$5001,A1890,Apparitions!$B$2:$B$5001,B1890))</f>
        <v/>
      </c>
      <c r="F1890" s="27" t="str">
        <f aca="false">IF(A1890="","",A1890&amp;"|"&amp;B1890)</f>
        <v/>
      </c>
    </row>
    <row r="1891" customFormat="false" ht="15" hidden="false" customHeight="false" outlineLevel="0" collapsed="false">
      <c r="A1891" s="19"/>
      <c r="B1891" s="19"/>
      <c r="C1891" s="20"/>
      <c r="D1891" s="19"/>
      <c r="E1891" s="26" t="str">
        <f aca="false">IF(A1891="","",COUNTIFS(Apparitions!$A$2:$A$5001,A1891,Apparitions!$B$2:$B$5001,B1891))</f>
        <v/>
      </c>
      <c r="F1891" s="27" t="str">
        <f aca="false">IF(A1891="","",A1891&amp;"|"&amp;B1891)</f>
        <v/>
      </c>
    </row>
    <row r="1892" customFormat="false" ht="15" hidden="false" customHeight="false" outlineLevel="0" collapsed="false">
      <c r="A1892" s="19"/>
      <c r="B1892" s="19"/>
      <c r="C1892" s="20"/>
      <c r="D1892" s="19"/>
      <c r="E1892" s="26" t="str">
        <f aca="false">IF(A1892="","",COUNTIFS(Apparitions!$A$2:$A$5001,A1892,Apparitions!$B$2:$B$5001,B1892))</f>
        <v/>
      </c>
      <c r="F1892" s="27" t="str">
        <f aca="false">IF(A1892="","",A1892&amp;"|"&amp;B1892)</f>
        <v/>
      </c>
    </row>
    <row r="1893" customFormat="false" ht="15" hidden="false" customHeight="false" outlineLevel="0" collapsed="false">
      <c r="A1893" s="19"/>
      <c r="B1893" s="19"/>
      <c r="C1893" s="20"/>
      <c r="D1893" s="19"/>
      <c r="E1893" s="26" t="str">
        <f aca="false">IF(A1893="","",COUNTIFS(Apparitions!$A$2:$A$5001,A1893,Apparitions!$B$2:$B$5001,B1893))</f>
        <v/>
      </c>
      <c r="F1893" s="27" t="str">
        <f aca="false">IF(A1893="","",A1893&amp;"|"&amp;B1893)</f>
        <v/>
      </c>
    </row>
    <row r="1894" customFormat="false" ht="15" hidden="false" customHeight="false" outlineLevel="0" collapsed="false">
      <c r="A1894" s="19"/>
      <c r="B1894" s="19"/>
      <c r="C1894" s="20"/>
      <c r="D1894" s="19"/>
      <c r="E1894" s="26" t="str">
        <f aca="false">IF(A1894="","",COUNTIFS(Apparitions!$A$2:$A$5001,A1894,Apparitions!$B$2:$B$5001,B1894))</f>
        <v/>
      </c>
      <c r="F1894" s="27" t="str">
        <f aca="false">IF(A1894="","",A1894&amp;"|"&amp;B1894)</f>
        <v/>
      </c>
    </row>
    <row r="1895" customFormat="false" ht="15" hidden="false" customHeight="false" outlineLevel="0" collapsed="false">
      <c r="A1895" s="19"/>
      <c r="B1895" s="19"/>
      <c r="C1895" s="20"/>
      <c r="D1895" s="19"/>
      <c r="E1895" s="26" t="str">
        <f aca="false">IF(A1895="","",COUNTIFS(Apparitions!$A$2:$A$5001,A1895,Apparitions!$B$2:$B$5001,B1895))</f>
        <v/>
      </c>
      <c r="F1895" s="27" t="str">
        <f aca="false">IF(A1895="","",A1895&amp;"|"&amp;B1895)</f>
        <v/>
      </c>
    </row>
    <row r="1896" customFormat="false" ht="15" hidden="false" customHeight="false" outlineLevel="0" collapsed="false">
      <c r="A1896" s="19"/>
      <c r="B1896" s="19"/>
      <c r="C1896" s="20"/>
      <c r="D1896" s="19"/>
      <c r="E1896" s="26" t="str">
        <f aca="false">IF(A1896="","",COUNTIFS(Apparitions!$A$2:$A$5001,A1896,Apparitions!$B$2:$B$5001,B1896))</f>
        <v/>
      </c>
      <c r="F1896" s="27" t="str">
        <f aca="false">IF(A1896="","",A1896&amp;"|"&amp;B1896)</f>
        <v/>
      </c>
    </row>
    <row r="1897" customFormat="false" ht="15" hidden="false" customHeight="false" outlineLevel="0" collapsed="false">
      <c r="A1897" s="19"/>
      <c r="B1897" s="19"/>
      <c r="C1897" s="20"/>
      <c r="D1897" s="19"/>
      <c r="E1897" s="26" t="str">
        <f aca="false">IF(A1897="","",COUNTIFS(Apparitions!$A$2:$A$5001,A1897,Apparitions!$B$2:$B$5001,B1897))</f>
        <v/>
      </c>
      <c r="F1897" s="27" t="str">
        <f aca="false">IF(A1897="","",A1897&amp;"|"&amp;B1897)</f>
        <v/>
      </c>
    </row>
    <row r="1898" customFormat="false" ht="15" hidden="false" customHeight="false" outlineLevel="0" collapsed="false">
      <c r="A1898" s="19"/>
      <c r="B1898" s="19"/>
      <c r="C1898" s="20"/>
      <c r="D1898" s="19"/>
      <c r="E1898" s="26" t="str">
        <f aca="false">IF(A1898="","",COUNTIFS(Apparitions!$A$2:$A$5001,A1898,Apparitions!$B$2:$B$5001,B1898))</f>
        <v/>
      </c>
      <c r="F1898" s="27" t="str">
        <f aca="false">IF(A1898="","",A1898&amp;"|"&amp;B1898)</f>
        <v/>
      </c>
    </row>
    <row r="1899" customFormat="false" ht="15" hidden="false" customHeight="false" outlineLevel="0" collapsed="false">
      <c r="A1899" s="19"/>
      <c r="B1899" s="19"/>
      <c r="C1899" s="20"/>
      <c r="D1899" s="19"/>
      <c r="E1899" s="26" t="str">
        <f aca="false">IF(A1899="","",COUNTIFS(Apparitions!$A$2:$A$5001,A1899,Apparitions!$B$2:$B$5001,B1899))</f>
        <v/>
      </c>
      <c r="F1899" s="27" t="str">
        <f aca="false">IF(A1899="","",A1899&amp;"|"&amp;B1899)</f>
        <v/>
      </c>
    </row>
    <row r="1900" customFormat="false" ht="15" hidden="false" customHeight="false" outlineLevel="0" collapsed="false">
      <c r="A1900" s="19"/>
      <c r="B1900" s="19"/>
      <c r="C1900" s="20"/>
      <c r="D1900" s="19"/>
      <c r="E1900" s="26" t="str">
        <f aca="false">IF(A1900="","",COUNTIFS(Apparitions!$A$2:$A$5001,A1900,Apparitions!$B$2:$B$5001,B1900))</f>
        <v/>
      </c>
      <c r="F1900" s="27" t="str">
        <f aca="false">IF(A1900="","",A1900&amp;"|"&amp;B1900)</f>
        <v/>
      </c>
    </row>
    <row r="1901" customFormat="false" ht="15" hidden="false" customHeight="false" outlineLevel="0" collapsed="false">
      <c r="A1901" s="19"/>
      <c r="B1901" s="19"/>
      <c r="C1901" s="20"/>
      <c r="D1901" s="19"/>
      <c r="E1901" s="26" t="str">
        <f aca="false">IF(A1901="","",COUNTIFS(Apparitions!$A$2:$A$5001,A1901,Apparitions!$B$2:$B$5001,B1901))</f>
        <v/>
      </c>
      <c r="F1901" s="27" t="str">
        <f aca="false">IF(A1901="","",A1901&amp;"|"&amp;B1901)</f>
        <v/>
      </c>
    </row>
    <row r="1902" customFormat="false" ht="15" hidden="false" customHeight="false" outlineLevel="0" collapsed="false">
      <c r="A1902" s="19"/>
      <c r="B1902" s="19"/>
      <c r="C1902" s="20"/>
      <c r="D1902" s="19"/>
      <c r="E1902" s="26" t="str">
        <f aca="false">IF(A1902="","",COUNTIFS(Apparitions!$A$2:$A$5001,A1902,Apparitions!$B$2:$B$5001,B1902))</f>
        <v/>
      </c>
      <c r="F1902" s="27" t="str">
        <f aca="false">IF(A1902="","",A1902&amp;"|"&amp;B1902)</f>
        <v/>
      </c>
    </row>
    <row r="1903" customFormat="false" ht="15" hidden="false" customHeight="false" outlineLevel="0" collapsed="false">
      <c r="A1903" s="19"/>
      <c r="B1903" s="19"/>
      <c r="C1903" s="20"/>
      <c r="D1903" s="19"/>
      <c r="E1903" s="26" t="str">
        <f aca="false">IF(A1903="","",COUNTIFS(Apparitions!$A$2:$A$5001,A1903,Apparitions!$B$2:$B$5001,B1903))</f>
        <v/>
      </c>
      <c r="F1903" s="27" t="str">
        <f aca="false">IF(A1903="","",A1903&amp;"|"&amp;B1903)</f>
        <v/>
      </c>
    </row>
    <row r="1904" customFormat="false" ht="15" hidden="false" customHeight="false" outlineLevel="0" collapsed="false">
      <c r="A1904" s="19"/>
      <c r="B1904" s="19"/>
      <c r="C1904" s="20"/>
      <c r="D1904" s="19"/>
      <c r="E1904" s="26" t="str">
        <f aca="false">IF(A1904="","",COUNTIFS(Apparitions!$A$2:$A$5001,A1904,Apparitions!$B$2:$B$5001,B1904))</f>
        <v/>
      </c>
      <c r="F1904" s="27" t="str">
        <f aca="false">IF(A1904="","",A1904&amp;"|"&amp;B1904)</f>
        <v/>
      </c>
    </row>
    <row r="1905" customFormat="false" ht="15" hidden="false" customHeight="false" outlineLevel="0" collapsed="false">
      <c r="A1905" s="19"/>
      <c r="B1905" s="19"/>
      <c r="C1905" s="20"/>
      <c r="D1905" s="19"/>
      <c r="E1905" s="26" t="str">
        <f aca="false">IF(A1905="","",COUNTIFS(Apparitions!$A$2:$A$5001,A1905,Apparitions!$B$2:$B$5001,B1905))</f>
        <v/>
      </c>
      <c r="F1905" s="27" t="str">
        <f aca="false">IF(A1905="","",A1905&amp;"|"&amp;B1905)</f>
        <v/>
      </c>
    </row>
    <row r="1906" customFormat="false" ht="15" hidden="false" customHeight="false" outlineLevel="0" collapsed="false">
      <c r="A1906" s="19"/>
      <c r="B1906" s="19"/>
      <c r="C1906" s="20"/>
      <c r="D1906" s="19"/>
      <c r="E1906" s="26" t="str">
        <f aca="false">IF(A1906="","",COUNTIFS(Apparitions!$A$2:$A$5001,A1906,Apparitions!$B$2:$B$5001,B1906))</f>
        <v/>
      </c>
      <c r="F1906" s="27" t="str">
        <f aca="false">IF(A1906="","",A1906&amp;"|"&amp;B1906)</f>
        <v/>
      </c>
    </row>
    <row r="1907" customFormat="false" ht="15" hidden="false" customHeight="false" outlineLevel="0" collapsed="false">
      <c r="A1907" s="19"/>
      <c r="B1907" s="19"/>
      <c r="C1907" s="20"/>
      <c r="D1907" s="19"/>
      <c r="E1907" s="26" t="str">
        <f aca="false">IF(A1907="","",COUNTIFS(Apparitions!$A$2:$A$5001,A1907,Apparitions!$B$2:$B$5001,B1907))</f>
        <v/>
      </c>
      <c r="F1907" s="27" t="str">
        <f aca="false">IF(A1907="","",A1907&amp;"|"&amp;B1907)</f>
        <v/>
      </c>
    </row>
    <row r="1908" customFormat="false" ht="15" hidden="false" customHeight="false" outlineLevel="0" collapsed="false">
      <c r="A1908" s="19"/>
      <c r="B1908" s="19"/>
      <c r="C1908" s="20"/>
      <c r="D1908" s="19"/>
      <c r="E1908" s="26" t="str">
        <f aca="false">IF(A1908="","",COUNTIFS(Apparitions!$A$2:$A$5001,A1908,Apparitions!$B$2:$B$5001,B1908))</f>
        <v/>
      </c>
      <c r="F1908" s="27" t="str">
        <f aca="false">IF(A1908="","",A1908&amp;"|"&amp;B1908)</f>
        <v/>
      </c>
    </row>
    <row r="1909" customFormat="false" ht="15" hidden="false" customHeight="false" outlineLevel="0" collapsed="false">
      <c r="A1909" s="19"/>
      <c r="B1909" s="19"/>
      <c r="C1909" s="20"/>
      <c r="D1909" s="19"/>
      <c r="E1909" s="26" t="str">
        <f aca="false">IF(A1909="","",COUNTIFS(Apparitions!$A$2:$A$5001,A1909,Apparitions!$B$2:$B$5001,B1909))</f>
        <v/>
      </c>
      <c r="F1909" s="27" t="str">
        <f aca="false">IF(A1909="","",A1909&amp;"|"&amp;B1909)</f>
        <v/>
      </c>
    </row>
    <row r="1910" customFormat="false" ht="15" hidden="false" customHeight="false" outlineLevel="0" collapsed="false">
      <c r="A1910" s="19"/>
      <c r="B1910" s="19"/>
      <c r="C1910" s="20"/>
      <c r="D1910" s="19"/>
      <c r="E1910" s="26" t="str">
        <f aca="false">IF(A1910="","",COUNTIFS(Apparitions!$A$2:$A$5001,A1910,Apparitions!$B$2:$B$5001,B1910))</f>
        <v/>
      </c>
      <c r="F1910" s="27" t="str">
        <f aca="false">IF(A1910="","",A1910&amp;"|"&amp;B1910)</f>
        <v/>
      </c>
    </row>
    <row r="1911" customFormat="false" ht="15" hidden="false" customHeight="false" outlineLevel="0" collapsed="false">
      <c r="A1911" s="19"/>
      <c r="B1911" s="19"/>
      <c r="C1911" s="20"/>
      <c r="D1911" s="19"/>
      <c r="E1911" s="26" t="str">
        <f aca="false">IF(A1911="","",COUNTIFS(Apparitions!$A$2:$A$5001,A1911,Apparitions!$B$2:$B$5001,B1911))</f>
        <v/>
      </c>
      <c r="F1911" s="27" t="str">
        <f aca="false">IF(A1911="","",A1911&amp;"|"&amp;B1911)</f>
        <v/>
      </c>
    </row>
    <row r="1912" customFormat="false" ht="15" hidden="false" customHeight="false" outlineLevel="0" collapsed="false">
      <c r="A1912" s="19"/>
      <c r="B1912" s="19"/>
      <c r="C1912" s="20"/>
      <c r="D1912" s="19"/>
      <c r="E1912" s="26" t="str">
        <f aca="false">IF(A1912="","",COUNTIFS(Apparitions!$A$2:$A$5001,A1912,Apparitions!$B$2:$B$5001,B1912))</f>
        <v/>
      </c>
      <c r="F1912" s="27" t="str">
        <f aca="false">IF(A1912="","",A1912&amp;"|"&amp;B1912)</f>
        <v/>
      </c>
    </row>
    <row r="1913" customFormat="false" ht="15" hidden="false" customHeight="false" outlineLevel="0" collapsed="false">
      <c r="A1913" s="19"/>
      <c r="B1913" s="19"/>
      <c r="C1913" s="20"/>
      <c r="D1913" s="19"/>
      <c r="E1913" s="26" t="str">
        <f aca="false">IF(A1913="","",COUNTIFS(Apparitions!$A$2:$A$5001,A1913,Apparitions!$B$2:$B$5001,B1913))</f>
        <v/>
      </c>
      <c r="F1913" s="27" t="str">
        <f aca="false">IF(A1913="","",A1913&amp;"|"&amp;B1913)</f>
        <v/>
      </c>
    </row>
    <row r="1914" customFormat="false" ht="15" hidden="false" customHeight="false" outlineLevel="0" collapsed="false">
      <c r="A1914" s="19"/>
      <c r="B1914" s="19"/>
      <c r="C1914" s="20"/>
      <c r="D1914" s="19"/>
      <c r="E1914" s="26" t="str">
        <f aca="false">IF(A1914="","",COUNTIFS(Apparitions!$A$2:$A$5001,A1914,Apparitions!$B$2:$B$5001,B1914))</f>
        <v/>
      </c>
      <c r="F1914" s="27" t="str">
        <f aca="false">IF(A1914="","",A1914&amp;"|"&amp;B1914)</f>
        <v/>
      </c>
    </row>
    <row r="1915" customFormat="false" ht="15" hidden="false" customHeight="false" outlineLevel="0" collapsed="false">
      <c r="A1915" s="19"/>
      <c r="B1915" s="19"/>
      <c r="C1915" s="20"/>
      <c r="D1915" s="19"/>
      <c r="E1915" s="26" t="str">
        <f aca="false">IF(A1915="","",COUNTIFS(Apparitions!$A$2:$A$5001,A1915,Apparitions!$B$2:$B$5001,B1915))</f>
        <v/>
      </c>
      <c r="F1915" s="27" t="str">
        <f aca="false">IF(A1915="","",A1915&amp;"|"&amp;B1915)</f>
        <v/>
      </c>
    </row>
    <row r="1916" customFormat="false" ht="15" hidden="false" customHeight="false" outlineLevel="0" collapsed="false">
      <c r="A1916" s="19"/>
      <c r="B1916" s="19"/>
      <c r="C1916" s="20"/>
      <c r="D1916" s="19"/>
      <c r="E1916" s="26" t="str">
        <f aca="false">IF(A1916="","",COUNTIFS(Apparitions!$A$2:$A$5001,A1916,Apparitions!$B$2:$B$5001,B1916))</f>
        <v/>
      </c>
      <c r="F1916" s="27" t="str">
        <f aca="false">IF(A1916="","",A1916&amp;"|"&amp;B1916)</f>
        <v/>
      </c>
    </row>
    <row r="1917" customFormat="false" ht="15" hidden="false" customHeight="false" outlineLevel="0" collapsed="false">
      <c r="A1917" s="19"/>
      <c r="B1917" s="19"/>
      <c r="C1917" s="20"/>
      <c r="D1917" s="19"/>
      <c r="E1917" s="26" t="str">
        <f aca="false">IF(A1917="","",COUNTIFS(Apparitions!$A$2:$A$5001,A1917,Apparitions!$B$2:$B$5001,B1917))</f>
        <v/>
      </c>
      <c r="F1917" s="27" t="str">
        <f aca="false">IF(A1917="","",A1917&amp;"|"&amp;B1917)</f>
        <v/>
      </c>
    </row>
    <row r="1918" customFormat="false" ht="15" hidden="false" customHeight="false" outlineLevel="0" collapsed="false">
      <c r="A1918" s="19"/>
      <c r="B1918" s="19"/>
      <c r="C1918" s="20"/>
      <c r="D1918" s="19"/>
      <c r="E1918" s="26" t="str">
        <f aca="false">IF(A1918="","",COUNTIFS(Apparitions!$A$2:$A$5001,A1918,Apparitions!$B$2:$B$5001,B1918))</f>
        <v/>
      </c>
      <c r="F1918" s="27" t="str">
        <f aca="false">IF(A1918="","",A1918&amp;"|"&amp;B1918)</f>
        <v/>
      </c>
    </row>
    <row r="1919" customFormat="false" ht="15" hidden="false" customHeight="false" outlineLevel="0" collapsed="false">
      <c r="A1919" s="19"/>
      <c r="B1919" s="19"/>
      <c r="C1919" s="20"/>
      <c r="D1919" s="19"/>
      <c r="E1919" s="26" t="str">
        <f aca="false">IF(A1919="","",COUNTIFS(Apparitions!$A$2:$A$5001,A1919,Apparitions!$B$2:$B$5001,B1919))</f>
        <v/>
      </c>
      <c r="F1919" s="27" t="str">
        <f aca="false">IF(A1919="","",A1919&amp;"|"&amp;B1919)</f>
        <v/>
      </c>
    </row>
    <row r="1920" customFormat="false" ht="15" hidden="false" customHeight="false" outlineLevel="0" collapsed="false">
      <c r="A1920" s="19"/>
      <c r="B1920" s="19"/>
      <c r="C1920" s="20"/>
      <c r="D1920" s="19"/>
      <c r="E1920" s="26" t="str">
        <f aca="false">IF(A1920="","",COUNTIFS(Apparitions!$A$2:$A$5001,A1920,Apparitions!$B$2:$B$5001,B1920))</f>
        <v/>
      </c>
      <c r="F1920" s="27" t="str">
        <f aca="false">IF(A1920="","",A1920&amp;"|"&amp;B1920)</f>
        <v/>
      </c>
    </row>
    <row r="1921" customFormat="false" ht="15" hidden="false" customHeight="false" outlineLevel="0" collapsed="false">
      <c r="A1921" s="19"/>
      <c r="B1921" s="19"/>
      <c r="C1921" s="20"/>
      <c r="D1921" s="19"/>
      <c r="E1921" s="26" t="str">
        <f aca="false">IF(A1921="","",COUNTIFS(Apparitions!$A$2:$A$5001,A1921,Apparitions!$B$2:$B$5001,B1921))</f>
        <v/>
      </c>
      <c r="F1921" s="27" t="str">
        <f aca="false">IF(A1921="","",A1921&amp;"|"&amp;B1921)</f>
        <v/>
      </c>
    </row>
    <row r="1922" customFormat="false" ht="15" hidden="false" customHeight="false" outlineLevel="0" collapsed="false">
      <c r="A1922" s="19"/>
      <c r="B1922" s="19"/>
      <c r="C1922" s="20"/>
      <c r="D1922" s="19"/>
      <c r="E1922" s="26" t="str">
        <f aca="false">IF(A1922="","",COUNTIFS(Apparitions!$A$2:$A$5001,A1922,Apparitions!$B$2:$B$5001,B1922))</f>
        <v/>
      </c>
      <c r="F1922" s="27" t="str">
        <f aca="false">IF(A1922="","",A1922&amp;"|"&amp;B1922)</f>
        <v/>
      </c>
    </row>
    <row r="1923" customFormat="false" ht="15" hidden="false" customHeight="false" outlineLevel="0" collapsed="false">
      <c r="A1923" s="19"/>
      <c r="B1923" s="19"/>
      <c r="C1923" s="20"/>
      <c r="D1923" s="19"/>
      <c r="E1923" s="26" t="str">
        <f aca="false">IF(A1923="","",COUNTIFS(Apparitions!$A$2:$A$5001,A1923,Apparitions!$B$2:$B$5001,B1923))</f>
        <v/>
      </c>
      <c r="F1923" s="27" t="str">
        <f aca="false">IF(A1923="","",A1923&amp;"|"&amp;B1923)</f>
        <v/>
      </c>
    </row>
    <row r="1924" customFormat="false" ht="15" hidden="false" customHeight="false" outlineLevel="0" collapsed="false">
      <c r="A1924" s="19"/>
      <c r="B1924" s="19"/>
      <c r="C1924" s="20"/>
      <c r="D1924" s="19"/>
      <c r="E1924" s="26" t="str">
        <f aca="false">IF(A1924="","",COUNTIFS(Apparitions!$A$2:$A$5001,A1924,Apparitions!$B$2:$B$5001,B1924))</f>
        <v/>
      </c>
      <c r="F1924" s="27" t="str">
        <f aca="false">IF(A1924="","",A1924&amp;"|"&amp;B1924)</f>
        <v/>
      </c>
    </row>
    <row r="1925" customFormat="false" ht="15" hidden="false" customHeight="false" outlineLevel="0" collapsed="false">
      <c r="A1925" s="19"/>
      <c r="B1925" s="19"/>
      <c r="C1925" s="20"/>
      <c r="D1925" s="19"/>
      <c r="E1925" s="26" t="str">
        <f aca="false">IF(A1925="","",COUNTIFS(Apparitions!$A$2:$A$5001,A1925,Apparitions!$B$2:$B$5001,B1925))</f>
        <v/>
      </c>
      <c r="F1925" s="27" t="str">
        <f aca="false">IF(A1925="","",A1925&amp;"|"&amp;B1925)</f>
        <v/>
      </c>
    </row>
    <row r="1926" customFormat="false" ht="15" hidden="false" customHeight="false" outlineLevel="0" collapsed="false">
      <c r="A1926" s="19"/>
      <c r="B1926" s="19"/>
      <c r="C1926" s="20"/>
      <c r="D1926" s="19"/>
      <c r="E1926" s="26" t="str">
        <f aca="false">IF(A1926="","",COUNTIFS(Apparitions!$A$2:$A$5001,A1926,Apparitions!$B$2:$B$5001,B1926))</f>
        <v/>
      </c>
      <c r="F1926" s="27" t="str">
        <f aca="false">IF(A1926="","",A1926&amp;"|"&amp;B1926)</f>
        <v/>
      </c>
    </row>
    <row r="1927" customFormat="false" ht="15" hidden="false" customHeight="false" outlineLevel="0" collapsed="false">
      <c r="A1927" s="19"/>
      <c r="B1927" s="19"/>
      <c r="C1927" s="20"/>
      <c r="D1927" s="19"/>
      <c r="E1927" s="26" t="str">
        <f aca="false">IF(A1927="","",COUNTIFS(Apparitions!$A$2:$A$5001,A1927,Apparitions!$B$2:$B$5001,B1927))</f>
        <v/>
      </c>
      <c r="F1927" s="27" t="str">
        <f aca="false">IF(A1927="","",A1927&amp;"|"&amp;B1927)</f>
        <v/>
      </c>
    </row>
    <row r="1928" customFormat="false" ht="15" hidden="false" customHeight="false" outlineLevel="0" collapsed="false">
      <c r="A1928" s="19"/>
      <c r="B1928" s="19"/>
      <c r="C1928" s="20"/>
      <c r="D1928" s="19"/>
      <c r="E1928" s="26" t="str">
        <f aca="false">IF(A1928="","",COUNTIFS(Apparitions!$A$2:$A$5001,A1928,Apparitions!$B$2:$B$5001,B1928))</f>
        <v/>
      </c>
      <c r="F1928" s="27" t="str">
        <f aca="false">IF(A1928="","",A1928&amp;"|"&amp;B1928)</f>
        <v/>
      </c>
    </row>
    <row r="1929" customFormat="false" ht="15" hidden="false" customHeight="false" outlineLevel="0" collapsed="false">
      <c r="A1929" s="19"/>
      <c r="B1929" s="19"/>
      <c r="C1929" s="20"/>
      <c r="D1929" s="19"/>
      <c r="E1929" s="26" t="str">
        <f aca="false">IF(A1929="","",COUNTIFS(Apparitions!$A$2:$A$5001,A1929,Apparitions!$B$2:$B$5001,B1929))</f>
        <v/>
      </c>
      <c r="F1929" s="27" t="str">
        <f aca="false">IF(A1929="","",A1929&amp;"|"&amp;B1929)</f>
        <v/>
      </c>
    </row>
    <row r="1930" customFormat="false" ht="15" hidden="false" customHeight="false" outlineLevel="0" collapsed="false">
      <c r="A1930" s="19"/>
      <c r="B1930" s="19"/>
      <c r="C1930" s="20"/>
      <c r="D1930" s="19"/>
      <c r="E1930" s="26" t="str">
        <f aca="false">IF(A1930="","",COUNTIFS(Apparitions!$A$2:$A$5001,A1930,Apparitions!$B$2:$B$5001,B1930))</f>
        <v/>
      </c>
      <c r="F1930" s="27" t="str">
        <f aca="false">IF(A1930="","",A1930&amp;"|"&amp;B1930)</f>
        <v/>
      </c>
    </row>
    <row r="1931" customFormat="false" ht="15" hidden="false" customHeight="false" outlineLevel="0" collapsed="false">
      <c r="A1931" s="19"/>
      <c r="B1931" s="19"/>
      <c r="C1931" s="20"/>
      <c r="D1931" s="19"/>
      <c r="E1931" s="26" t="str">
        <f aca="false">IF(A1931="","",COUNTIFS(Apparitions!$A$2:$A$5001,A1931,Apparitions!$B$2:$B$5001,B1931))</f>
        <v/>
      </c>
      <c r="F1931" s="27" t="str">
        <f aca="false">IF(A1931="","",A1931&amp;"|"&amp;B1931)</f>
        <v/>
      </c>
    </row>
    <row r="1932" customFormat="false" ht="15" hidden="false" customHeight="false" outlineLevel="0" collapsed="false">
      <c r="A1932" s="19"/>
      <c r="B1932" s="19"/>
      <c r="C1932" s="20"/>
      <c r="D1932" s="19"/>
      <c r="E1932" s="26" t="str">
        <f aca="false">IF(A1932="","",COUNTIFS(Apparitions!$A$2:$A$5001,A1932,Apparitions!$B$2:$B$5001,B1932))</f>
        <v/>
      </c>
      <c r="F1932" s="27" t="str">
        <f aca="false">IF(A1932="","",A1932&amp;"|"&amp;B1932)</f>
        <v/>
      </c>
    </row>
    <row r="1933" customFormat="false" ht="15" hidden="false" customHeight="false" outlineLevel="0" collapsed="false">
      <c r="A1933" s="19"/>
      <c r="B1933" s="19"/>
      <c r="C1933" s="20"/>
      <c r="D1933" s="19"/>
      <c r="E1933" s="26" t="str">
        <f aca="false">IF(A1933="","",COUNTIFS(Apparitions!$A$2:$A$5001,A1933,Apparitions!$B$2:$B$5001,B1933))</f>
        <v/>
      </c>
      <c r="F1933" s="27" t="str">
        <f aca="false">IF(A1933="","",A1933&amp;"|"&amp;B1933)</f>
        <v/>
      </c>
    </row>
    <row r="1934" customFormat="false" ht="15" hidden="false" customHeight="false" outlineLevel="0" collapsed="false">
      <c r="A1934" s="19"/>
      <c r="B1934" s="19"/>
      <c r="C1934" s="20"/>
      <c r="D1934" s="19"/>
      <c r="E1934" s="26" t="str">
        <f aca="false">IF(A1934="","",COUNTIFS(Apparitions!$A$2:$A$5001,A1934,Apparitions!$B$2:$B$5001,B1934))</f>
        <v/>
      </c>
      <c r="F1934" s="27" t="str">
        <f aca="false">IF(A1934="","",A1934&amp;"|"&amp;B1934)</f>
        <v/>
      </c>
    </row>
    <row r="1935" customFormat="false" ht="15" hidden="false" customHeight="false" outlineLevel="0" collapsed="false">
      <c r="A1935" s="19"/>
      <c r="B1935" s="19"/>
      <c r="C1935" s="20"/>
      <c r="D1935" s="19"/>
      <c r="E1935" s="26" t="str">
        <f aca="false">IF(A1935="","",COUNTIFS(Apparitions!$A$2:$A$5001,A1935,Apparitions!$B$2:$B$5001,B1935))</f>
        <v/>
      </c>
      <c r="F1935" s="27" t="str">
        <f aca="false">IF(A1935="","",A1935&amp;"|"&amp;B1935)</f>
        <v/>
      </c>
    </row>
    <row r="1936" customFormat="false" ht="15" hidden="false" customHeight="false" outlineLevel="0" collapsed="false">
      <c r="A1936" s="19"/>
      <c r="B1936" s="19"/>
      <c r="C1936" s="20"/>
      <c r="D1936" s="19"/>
      <c r="E1936" s="26" t="str">
        <f aca="false">IF(A1936="","",COUNTIFS(Apparitions!$A$2:$A$5001,A1936,Apparitions!$B$2:$B$5001,B1936))</f>
        <v/>
      </c>
      <c r="F1936" s="27" t="str">
        <f aca="false">IF(A1936="","",A1936&amp;"|"&amp;B1936)</f>
        <v/>
      </c>
    </row>
    <row r="1937" customFormat="false" ht="15" hidden="false" customHeight="false" outlineLevel="0" collapsed="false">
      <c r="A1937" s="19"/>
      <c r="B1937" s="19"/>
      <c r="C1937" s="20"/>
      <c r="D1937" s="19"/>
      <c r="E1937" s="26" t="str">
        <f aca="false">IF(A1937="","",COUNTIFS(Apparitions!$A$2:$A$5001,A1937,Apparitions!$B$2:$B$5001,B1937))</f>
        <v/>
      </c>
      <c r="F1937" s="27" t="str">
        <f aca="false">IF(A1937="","",A1937&amp;"|"&amp;B1937)</f>
        <v/>
      </c>
    </row>
    <row r="1938" customFormat="false" ht="15" hidden="false" customHeight="false" outlineLevel="0" collapsed="false">
      <c r="A1938" s="19"/>
      <c r="B1938" s="19"/>
      <c r="C1938" s="20"/>
      <c r="D1938" s="19"/>
      <c r="E1938" s="26" t="str">
        <f aca="false">IF(A1938="","",COUNTIFS(Apparitions!$A$2:$A$5001,A1938,Apparitions!$B$2:$B$5001,B1938))</f>
        <v/>
      </c>
      <c r="F1938" s="27" t="str">
        <f aca="false">IF(A1938="","",A1938&amp;"|"&amp;B1938)</f>
        <v/>
      </c>
    </row>
    <row r="1939" customFormat="false" ht="15" hidden="false" customHeight="false" outlineLevel="0" collapsed="false">
      <c r="A1939" s="19"/>
      <c r="B1939" s="19"/>
      <c r="C1939" s="20"/>
      <c r="D1939" s="19"/>
      <c r="E1939" s="26" t="str">
        <f aca="false">IF(A1939="","",COUNTIFS(Apparitions!$A$2:$A$5001,A1939,Apparitions!$B$2:$B$5001,B1939))</f>
        <v/>
      </c>
      <c r="F1939" s="27" t="str">
        <f aca="false">IF(A1939="","",A1939&amp;"|"&amp;B1939)</f>
        <v/>
      </c>
    </row>
    <row r="1940" customFormat="false" ht="15" hidden="false" customHeight="false" outlineLevel="0" collapsed="false">
      <c r="A1940" s="19"/>
      <c r="B1940" s="19"/>
      <c r="C1940" s="20"/>
      <c r="D1940" s="19"/>
      <c r="E1940" s="26" t="str">
        <f aca="false">IF(A1940="","",COUNTIFS(Apparitions!$A$2:$A$5001,A1940,Apparitions!$B$2:$B$5001,B1940))</f>
        <v/>
      </c>
      <c r="F1940" s="27" t="str">
        <f aca="false">IF(A1940="","",A1940&amp;"|"&amp;B1940)</f>
        <v/>
      </c>
    </row>
    <row r="1941" customFormat="false" ht="15" hidden="false" customHeight="false" outlineLevel="0" collapsed="false">
      <c r="A1941" s="19"/>
      <c r="B1941" s="19"/>
      <c r="C1941" s="20"/>
      <c r="D1941" s="19"/>
      <c r="E1941" s="26" t="str">
        <f aca="false">IF(A1941="","",COUNTIFS(Apparitions!$A$2:$A$5001,A1941,Apparitions!$B$2:$B$5001,B1941))</f>
        <v/>
      </c>
      <c r="F1941" s="27" t="str">
        <f aca="false">IF(A1941="","",A1941&amp;"|"&amp;B1941)</f>
        <v/>
      </c>
    </row>
    <row r="1942" customFormat="false" ht="15" hidden="false" customHeight="false" outlineLevel="0" collapsed="false">
      <c r="A1942" s="19"/>
      <c r="B1942" s="19"/>
      <c r="C1942" s="20"/>
      <c r="D1942" s="19"/>
      <c r="E1942" s="26" t="str">
        <f aca="false">IF(A1942="","",COUNTIFS(Apparitions!$A$2:$A$5001,A1942,Apparitions!$B$2:$B$5001,B1942))</f>
        <v/>
      </c>
      <c r="F1942" s="27" t="str">
        <f aca="false">IF(A1942="","",A1942&amp;"|"&amp;B1942)</f>
        <v/>
      </c>
    </row>
    <row r="1943" customFormat="false" ht="15" hidden="false" customHeight="false" outlineLevel="0" collapsed="false">
      <c r="A1943" s="19"/>
      <c r="B1943" s="19"/>
      <c r="C1943" s="20"/>
      <c r="D1943" s="19"/>
      <c r="E1943" s="26" t="str">
        <f aca="false">IF(A1943="","",COUNTIFS(Apparitions!$A$2:$A$5001,A1943,Apparitions!$B$2:$B$5001,B1943))</f>
        <v/>
      </c>
      <c r="F1943" s="27" t="str">
        <f aca="false">IF(A1943="","",A1943&amp;"|"&amp;B1943)</f>
        <v/>
      </c>
    </row>
    <row r="1944" customFormat="false" ht="15" hidden="false" customHeight="false" outlineLevel="0" collapsed="false">
      <c r="A1944" s="19"/>
      <c r="B1944" s="19"/>
      <c r="C1944" s="20"/>
      <c r="D1944" s="19"/>
      <c r="E1944" s="26" t="str">
        <f aca="false">IF(A1944="","",COUNTIFS(Apparitions!$A$2:$A$5001,A1944,Apparitions!$B$2:$B$5001,B1944))</f>
        <v/>
      </c>
      <c r="F1944" s="27" t="str">
        <f aca="false">IF(A1944="","",A1944&amp;"|"&amp;B1944)</f>
        <v/>
      </c>
    </row>
    <row r="1945" customFormat="false" ht="15" hidden="false" customHeight="false" outlineLevel="0" collapsed="false">
      <c r="A1945" s="19"/>
      <c r="B1945" s="19"/>
      <c r="C1945" s="20"/>
      <c r="D1945" s="19"/>
      <c r="E1945" s="26" t="str">
        <f aca="false">IF(A1945="","",COUNTIFS(Apparitions!$A$2:$A$5001,A1945,Apparitions!$B$2:$B$5001,B1945))</f>
        <v/>
      </c>
      <c r="F1945" s="27" t="str">
        <f aca="false">IF(A1945="","",A1945&amp;"|"&amp;B1945)</f>
        <v/>
      </c>
    </row>
    <row r="1946" customFormat="false" ht="15" hidden="false" customHeight="false" outlineLevel="0" collapsed="false">
      <c r="A1946" s="19"/>
      <c r="B1946" s="19"/>
      <c r="C1946" s="20"/>
      <c r="D1946" s="19"/>
      <c r="E1946" s="26" t="str">
        <f aca="false">IF(A1946="","",COUNTIFS(Apparitions!$A$2:$A$5001,A1946,Apparitions!$B$2:$B$5001,B1946))</f>
        <v/>
      </c>
      <c r="F1946" s="27" t="str">
        <f aca="false">IF(A1946="","",A1946&amp;"|"&amp;B1946)</f>
        <v/>
      </c>
    </row>
    <row r="1947" customFormat="false" ht="15" hidden="false" customHeight="false" outlineLevel="0" collapsed="false">
      <c r="A1947" s="19"/>
      <c r="B1947" s="19"/>
      <c r="C1947" s="20"/>
      <c r="D1947" s="19"/>
      <c r="E1947" s="26" t="str">
        <f aca="false">IF(A1947="","",COUNTIFS(Apparitions!$A$2:$A$5001,A1947,Apparitions!$B$2:$B$5001,B1947))</f>
        <v/>
      </c>
      <c r="F1947" s="27" t="str">
        <f aca="false">IF(A1947="","",A1947&amp;"|"&amp;B1947)</f>
        <v/>
      </c>
    </row>
    <row r="1948" customFormat="false" ht="15" hidden="false" customHeight="false" outlineLevel="0" collapsed="false">
      <c r="A1948" s="19"/>
      <c r="B1948" s="19"/>
      <c r="C1948" s="20"/>
      <c r="D1948" s="19"/>
      <c r="E1948" s="26" t="str">
        <f aca="false">IF(A1948="","",COUNTIFS(Apparitions!$A$2:$A$5001,A1948,Apparitions!$B$2:$B$5001,B1948))</f>
        <v/>
      </c>
      <c r="F1948" s="27" t="str">
        <f aca="false">IF(A1948="","",A1948&amp;"|"&amp;B1948)</f>
        <v/>
      </c>
    </row>
    <row r="1949" customFormat="false" ht="15" hidden="false" customHeight="false" outlineLevel="0" collapsed="false">
      <c r="A1949" s="19"/>
      <c r="B1949" s="19"/>
      <c r="C1949" s="20"/>
      <c r="D1949" s="19"/>
      <c r="E1949" s="26" t="str">
        <f aca="false">IF(A1949="","",COUNTIFS(Apparitions!$A$2:$A$5001,A1949,Apparitions!$B$2:$B$5001,B1949))</f>
        <v/>
      </c>
      <c r="F1949" s="27" t="str">
        <f aca="false">IF(A1949="","",A1949&amp;"|"&amp;B1949)</f>
        <v/>
      </c>
    </row>
    <row r="1950" customFormat="false" ht="15" hidden="false" customHeight="false" outlineLevel="0" collapsed="false">
      <c r="A1950" s="19"/>
      <c r="B1950" s="19"/>
      <c r="C1950" s="20"/>
      <c r="D1950" s="19"/>
      <c r="E1950" s="26" t="str">
        <f aca="false">IF(A1950="","",COUNTIFS(Apparitions!$A$2:$A$5001,A1950,Apparitions!$B$2:$B$5001,B1950))</f>
        <v/>
      </c>
      <c r="F1950" s="27" t="str">
        <f aca="false">IF(A1950="","",A1950&amp;"|"&amp;B1950)</f>
        <v/>
      </c>
    </row>
    <row r="1951" customFormat="false" ht="15" hidden="false" customHeight="false" outlineLevel="0" collapsed="false">
      <c r="A1951" s="19"/>
      <c r="B1951" s="19"/>
      <c r="C1951" s="20"/>
      <c r="D1951" s="19"/>
      <c r="E1951" s="26" t="str">
        <f aca="false">IF(A1951="","",COUNTIFS(Apparitions!$A$2:$A$5001,A1951,Apparitions!$B$2:$B$5001,B1951))</f>
        <v/>
      </c>
      <c r="F1951" s="27" t="str">
        <f aca="false">IF(A1951="","",A1951&amp;"|"&amp;B1951)</f>
        <v/>
      </c>
    </row>
    <row r="1952" customFormat="false" ht="15" hidden="false" customHeight="false" outlineLevel="0" collapsed="false">
      <c r="A1952" s="19"/>
      <c r="B1952" s="19"/>
      <c r="C1952" s="20"/>
      <c r="D1952" s="19"/>
      <c r="E1952" s="26" t="str">
        <f aca="false">IF(A1952="","",COUNTIFS(Apparitions!$A$2:$A$5001,A1952,Apparitions!$B$2:$B$5001,B1952))</f>
        <v/>
      </c>
      <c r="F1952" s="27" t="str">
        <f aca="false">IF(A1952="","",A1952&amp;"|"&amp;B1952)</f>
        <v/>
      </c>
    </row>
    <row r="1953" customFormat="false" ht="15" hidden="false" customHeight="false" outlineLevel="0" collapsed="false">
      <c r="A1953" s="19"/>
      <c r="B1953" s="19"/>
      <c r="C1953" s="20"/>
      <c r="D1953" s="19"/>
      <c r="E1953" s="26" t="str">
        <f aca="false">IF(A1953="","",COUNTIFS(Apparitions!$A$2:$A$5001,A1953,Apparitions!$B$2:$B$5001,B1953))</f>
        <v/>
      </c>
      <c r="F1953" s="27" t="str">
        <f aca="false">IF(A1953="","",A1953&amp;"|"&amp;B1953)</f>
        <v/>
      </c>
    </row>
    <row r="1954" customFormat="false" ht="15" hidden="false" customHeight="false" outlineLevel="0" collapsed="false">
      <c r="A1954" s="19"/>
      <c r="B1954" s="19"/>
      <c r="C1954" s="20"/>
      <c r="D1954" s="19"/>
      <c r="E1954" s="26" t="str">
        <f aca="false">IF(A1954="","",COUNTIFS(Apparitions!$A$2:$A$5001,A1954,Apparitions!$B$2:$B$5001,B1954))</f>
        <v/>
      </c>
      <c r="F1954" s="27" t="str">
        <f aca="false">IF(A1954="","",A1954&amp;"|"&amp;B1954)</f>
        <v/>
      </c>
    </row>
    <row r="1955" customFormat="false" ht="15" hidden="false" customHeight="false" outlineLevel="0" collapsed="false">
      <c r="A1955" s="19"/>
      <c r="B1955" s="19"/>
      <c r="C1955" s="20"/>
      <c r="D1955" s="19"/>
      <c r="E1955" s="26" t="str">
        <f aca="false">IF(A1955="","",COUNTIFS(Apparitions!$A$2:$A$5001,A1955,Apparitions!$B$2:$B$5001,B1955))</f>
        <v/>
      </c>
      <c r="F1955" s="27" t="str">
        <f aca="false">IF(A1955="","",A1955&amp;"|"&amp;B1955)</f>
        <v/>
      </c>
    </row>
    <row r="1956" customFormat="false" ht="15" hidden="false" customHeight="false" outlineLevel="0" collapsed="false">
      <c r="A1956" s="19"/>
      <c r="B1956" s="19"/>
      <c r="C1956" s="20"/>
      <c r="D1956" s="19"/>
      <c r="E1956" s="26" t="str">
        <f aca="false">IF(A1956="","",COUNTIFS(Apparitions!$A$2:$A$5001,A1956,Apparitions!$B$2:$B$5001,B1956))</f>
        <v/>
      </c>
      <c r="F1956" s="27" t="str">
        <f aca="false">IF(A1956="","",A1956&amp;"|"&amp;B1956)</f>
        <v/>
      </c>
    </row>
    <row r="1957" customFormat="false" ht="15" hidden="false" customHeight="false" outlineLevel="0" collapsed="false">
      <c r="A1957" s="19"/>
      <c r="B1957" s="19"/>
      <c r="C1957" s="20"/>
      <c r="D1957" s="19"/>
      <c r="E1957" s="26" t="str">
        <f aca="false">IF(A1957="","",COUNTIFS(Apparitions!$A$2:$A$5001,A1957,Apparitions!$B$2:$B$5001,B1957))</f>
        <v/>
      </c>
      <c r="F1957" s="27" t="str">
        <f aca="false">IF(A1957="","",A1957&amp;"|"&amp;B1957)</f>
        <v/>
      </c>
    </row>
    <row r="1958" customFormat="false" ht="15" hidden="false" customHeight="false" outlineLevel="0" collapsed="false">
      <c r="A1958" s="19"/>
      <c r="B1958" s="19"/>
      <c r="C1958" s="20"/>
      <c r="D1958" s="19"/>
      <c r="E1958" s="26" t="str">
        <f aca="false">IF(A1958="","",COUNTIFS(Apparitions!$A$2:$A$5001,A1958,Apparitions!$B$2:$B$5001,B1958))</f>
        <v/>
      </c>
      <c r="F1958" s="27" t="str">
        <f aca="false">IF(A1958="","",A1958&amp;"|"&amp;B1958)</f>
        <v/>
      </c>
    </row>
    <row r="1959" customFormat="false" ht="15" hidden="false" customHeight="false" outlineLevel="0" collapsed="false">
      <c r="A1959" s="19"/>
      <c r="B1959" s="19"/>
      <c r="C1959" s="20"/>
      <c r="D1959" s="19"/>
      <c r="E1959" s="26" t="str">
        <f aca="false">IF(A1959="","",COUNTIFS(Apparitions!$A$2:$A$5001,A1959,Apparitions!$B$2:$B$5001,B1959))</f>
        <v/>
      </c>
      <c r="F1959" s="27" t="str">
        <f aca="false">IF(A1959="","",A1959&amp;"|"&amp;B1959)</f>
        <v/>
      </c>
    </row>
    <row r="1960" customFormat="false" ht="15" hidden="false" customHeight="false" outlineLevel="0" collapsed="false">
      <c r="A1960" s="19"/>
      <c r="B1960" s="19"/>
      <c r="C1960" s="20"/>
      <c r="D1960" s="19"/>
      <c r="E1960" s="26" t="str">
        <f aca="false">IF(A1960="","",COUNTIFS(Apparitions!$A$2:$A$5001,A1960,Apparitions!$B$2:$B$5001,B1960))</f>
        <v/>
      </c>
      <c r="F1960" s="27" t="str">
        <f aca="false">IF(A1960="","",A1960&amp;"|"&amp;B1960)</f>
        <v/>
      </c>
    </row>
    <row r="1961" customFormat="false" ht="15" hidden="false" customHeight="false" outlineLevel="0" collapsed="false">
      <c r="A1961" s="19"/>
      <c r="B1961" s="19"/>
      <c r="C1961" s="20"/>
      <c r="D1961" s="19"/>
      <c r="E1961" s="26" t="str">
        <f aca="false">IF(A1961="","",COUNTIFS(Apparitions!$A$2:$A$5001,A1961,Apparitions!$B$2:$B$5001,B1961))</f>
        <v/>
      </c>
      <c r="F1961" s="27" t="str">
        <f aca="false">IF(A1961="","",A1961&amp;"|"&amp;B1961)</f>
        <v/>
      </c>
    </row>
    <row r="1962" customFormat="false" ht="15" hidden="false" customHeight="false" outlineLevel="0" collapsed="false">
      <c r="A1962" s="19"/>
      <c r="B1962" s="19"/>
      <c r="C1962" s="20"/>
      <c r="D1962" s="19"/>
      <c r="E1962" s="26" t="str">
        <f aca="false">IF(A1962="","",COUNTIFS(Apparitions!$A$2:$A$5001,A1962,Apparitions!$B$2:$B$5001,B1962))</f>
        <v/>
      </c>
      <c r="F1962" s="27" t="str">
        <f aca="false">IF(A1962="","",A1962&amp;"|"&amp;B1962)</f>
        <v/>
      </c>
    </row>
    <row r="1963" customFormat="false" ht="15" hidden="false" customHeight="false" outlineLevel="0" collapsed="false">
      <c r="A1963" s="19"/>
      <c r="B1963" s="19"/>
      <c r="C1963" s="20"/>
      <c r="D1963" s="19"/>
      <c r="E1963" s="26" t="str">
        <f aca="false">IF(A1963="","",COUNTIFS(Apparitions!$A$2:$A$5001,A1963,Apparitions!$B$2:$B$5001,B1963))</f>
        <v/>
      </c>
      <c r="F1963" s="27" t="str">
        <f aca="false">IF(A1963="","",A1963&amp;"|"&amp;B1963)</f>
        <v/>
      </c>
    </row>
    <row r="1964" customFormat="false" ht="15" hidden="false" customHeight="false" outlineLevel="0" collapsed="false">
      <c r="A1964" s="19"/>
      <c r="B1964" s="19"/>
      <c r="C1964" s="20"/>
      <c r="D1964" s="19"/>
      <c r="E1964" s="26" t="str">
        <f aca="false">IF(A1964="","",COUNTIFS(Apparitions!$A$2:$A$5001,A1964,Apparitions!$B$2:$B$5001,B1964))</f>
        <v/>
      </c>
      <c r="F1964" s="27" t="str">
        <f aca="false">IF(A1964="","",A1964&amp;"|"&amp;B1964)</f>
        <v/>
      </c>
    </row>
    <row r="1965" customFormat="false" ht="15" hidden="false" customHeight="false" outlineLevel="0" collapsed="false">
      <c r="A1965" s="19"/>
      <c r="B1965" s="19"/>
      <c r="C1965" s="20"/>
      <c r="D1965" s="19"/>
      <c r="E1965" s="26" t="str">
        <f aca="false">IF(A1965="","",COUNTIFS(Apparitions!$A$2:$A$5001,A1965,Apparitions!$B$2:$B$5001,B1965))</f>
        <v/>
      </c>
      <c r="F1965" s="27" t="str">
        <f aca="false">IF(A1965="","",A1965&amp;"|"&amp;B1965)</f>
        <v/>
      </c>
    </row>
    <row r="1966" customFormat="false" ht="15" hidden="false" customHeight="false" outlineLevel="0" collapsed="false">
      <c r="A1966" s="19"/>
      <c r="B1966" s="19"/>
      <c r="C1966" s="20"/>
      <c r="D1966" s="19"/>
      <c r="E1966" s="26" t="str">
        <f aca="false">IF(A1966="","",COUNTIFS(Apparitions!$A$2:$A$5001,A1966,Apparitions!$B$2:$B$5001,B1966))</f>
        <v/>
      </c>
      <c r="F1966" s="27" t="str">
        <f aca="false">IF(A1966="","",A1966&amp;"|"&amp;B1966)</f>
        <v/>
      </c>
    </row>
    <row r="1967" customFormat="false" ht="15" hidden="false" customHeight="false" outlineLevel="0" collapsed="false">
      <c r="A1967" s="19"/>
      <c r="B1967" s="19"/>
      <c r="C1967" s="20"/>
      <c r="D1967" s="19"/>
      <c r="E1967" s="26" t="str">
        <f aca="false">IF(A1967="","",COUNTIFS(Apparitions!$A$2:$A$5001,A1967,Apparitions!$B$2:$B$5001,B1967))</f>
        <v/>
      </c>
      <c r="F1967" s="27" t="str">
        <f aca="false">IF(A1967="","",A1967&amp;"|"&amp;B1967)</f>
        <v/>
      </c>
    </row>
    <row r="1968" customFormat="false" ht="15" hidden="false" customHeight="false" outlineLevel="0" collapsed="false">
      <c r="A1968" s="19"/>
      <c r="B1968" s="19"/>
      <c r="C1968" s="20"/>
      <c r="D1968" s="19"/>
      <c r="E1968" s="26" t="str">
        <f aca="false">IF(A1968="","",COUNTIFS(Apparitions!$A$2:$A$5001,A1968,Apparitions!$B$2:$B$5001,B1968))</f>
        <v/>
      </c>
      <c r="F1968" s="27" t="str">
        <f aca="false">IF(A1968="","",A1968&amp;"|"&amp;B1968)</f>
        <v/>
      </c>
    </row>
    <row r="1969" customFormat="false" ht="15" hidden="false" customHeight="false" outlineLevel="0" collapsed="false">
      <c r="A1969" s="19"/>
      <c r="B1969" s="19"/>
      <c r="C1969" s="20"/>
      <c r="D1969" s="19"/>
      <c r="E1969" s="26" t="str">
        <f aca="false">IF(A1969="","",COUNTIFS(Apparitions!$A$2:$A$5001,A1969,Apparitions!$B$2:$B$5001,B1969))</f>
        <v/>
      </c>
      <c r="F1969" s="27" t="str">
        <f aca="false">IF(A1969="","",A1969&amp;"|"&amp;B1969)</f>
        <v/>
      </c>
    </row>
    <row r="1970" customFormat="false" ht="15" hidden="false" customHeight="false" outlineLevel="0" collapsed="false">
      <c r="A1970" s="19"/>
      <c r="B1970" s="19"/>
      <c r="C1970" s="20"/>
      <c r="D1970" s="19"/>
      <c r="E1970" s="26" t="str">
        <f aca="false">IF(A1970="","",COUNTIFS(Apparitions!$A$2:$A$5001,A1970,Apparitions!$B$2:$B$5001,B1970))</f>
        <v/>
      </c>
      <c r="F1970" s="27" t="str">
        <f aca="false">IF(A1970="","",A1970&amp;"|"&amp;B1970)</f>
        <v/>
      </c>
    </row>
    <row r="1971" customFormat="false" ht="15" hidden="false" customHeight="false" outlineLevel="0" collapsed="false">
      <c r="A1971" s="19"/>
      <c r="B1971" s="19"/>
      <c r="C1971" s="20"/>
      <c r="D1971" s="19"/>
      <c r="E1971" s="26" t="str">
        <f aca="false">IF(A1971="","",COUNTIFS(Apparitions!$A$2:$A$5001,A1971,Apparitions!$B$2:$B$5001,B1971))</f>
        <v/>
      </c>
      <c r="F1971" s="27" t="str">
        <f aca="false">IF(A1971="","",A1971&amp;"|"&amp;B1971)</f>
        <v/>
      </c>
    </row>
    <row r="1972" customFormat="false" ht="15" hidden="false" customHeight="false" outlineLevel="0" collapsed="false">
      <c r="A1972" s="19"/>
      <c r="B1972" s="19"/>
      <c r="C1972" s="20"/>
      <c r="D1972" s="19"/>
      <c r="E1972" s="26" t="str">
        <f aca="false">IF(A1972="","",COUNTIFS(Apparitions!$A$2:$A$5001,A1972,Apparitions!$B$2:$B$5001,B1972))</f>
        <v/>
      </c>
      <c r="F1972" s="27" t="str">
        <f aca="false">IF(A1972="","",A1972&amp;"|"&amp;B1972)</f>
        <v/>
      </c>
    </row>
    <row r="1973" customFormat="false" ht="15" hidden="false" customHeight="false" outlineLevel="0" collapsed="false">
      <c r="A1973" s="19"/>
      <c r="B1973" s="19"/>
      <c r="C1973" s="20"/>
      <c r="D1973" s="19"/>
      <c r="E1973" s="26" t="str">
        <f aca="false">IF(A1973="","",COUNTIFS(Apparitions!$A$2:$A$5001,A1973,Apparitions!$B$2:$B$5001,B1973))</f>
        <v/>
      </c>
      <c r="F1973" s="27" t="str">
        <f aca="false">IF(A1973="","",A1973&amp;"|"&amp;B1973)</f>
        <v/>
      </c>
    </row>
    <row r="1974" customFormat="false" ht="15" hidden="false" customHeight="false" outlineLevel="0" collapsed="false">
      <c r="A1974" s="19"/>
      <c r="B1974" s="19"/>
      <c r="C1974" s="20"/>
      <c r="D1974" s="19"/>
      <c r="E1974" s="26" t="str">
        <f aca="false">IF(A1974="","",COUNTIFS(Apparitions!$A$2:$A$5001,A1974,Apparitions!$B$2:$B$5001,B1974))</f>
        <v/>
      </c>
      <c r="F1974" s="27" t="str">
        <f aca="false">IF(A1974="","",A1974&amp;"|"&amp;B1974)</f>
        <v/>
      </c>
    </row>
    <row r="1975" customFormat="false" ht="15" hidden="false" customHeight="false" outlineLevel="0" collapsed="false">
      <c r="A1975" s="19"/>
      <c r="B1975" s="19"/>
      <c r="C1975" s="20"/>
      <c r="D1975" s="19"/>
      <c r="E1975" s="26" t="str">
        <f aca="false">IF(A1975="","",COUNTIFS(Apparitions!$A$2:$A$5001,A1975,Apparitions!$B$2:$B$5001,B1975))</f>
        <v/>
      </c>
      <c r="F1975" s="27" t="str">
        <f aca="false">IF(A1975="","",A1975&amp;"|"&amp;B1975)</f>
        <v/>
      </c>
    </row>
    <row r="1976" customFormat="false" ht="15" hidden="false" customHeight="false" outlineLevel="0" collapsed="false">
      <c r="A1976" s="19"/>
      <c r="B1976" s="19"/>
      <c r="C1976" s="20"/>
      <c r="D1976" s="19"/>
      <c r="E1976" s="26" t="str">
        <f aca="false">IF(A1976="","",COUNTIFS(Apparitions!$A$2:$A$5001,A1976,Apparitions!$B$2:$B$5001,B1976))</f>
        <v/>
      </c>
      <c r="F1976" s="27" t="str">
        <f aca="false">IF(A1976="","",A1976&amp;"|"&amp;B1976)</f>
        <v/>
      </c>
    </row>
    <row r="1977" customFormat="false" ht="15" hidden="false" customHeight="false" outlineLevel="0" collapsed="false">
      <c r="A1977" s="19"/>
      <c r="B1977" s="19"/>
      <c r="C1977" s="20"/>
      <c r="D1977" s="19"/>
      <c r="E1977" s="26" t="str">
        <f aca="false">IF(A1977="","",COUNTIFS(Apparitions!$A$2:$A$5001,A1977,Apparitions!$B$2:$B$5001,B1977))</f>
        <v/>
      </c>
      <c r="F1977" s="27" t="str">
        <f aca="false">IF(A1977="","",A1977&amp;"|"&amp;B1977)</f>
        <v/>
      </c>
    </row>
    <row r="1978" customFormat="false" ht="15" hidden="false" customHeight="false" outlineLevel="0" collapsed="false">
      <c r="A1978" s="19"/>
      <c r="B1978" s="19"/>
      <c r="C1978" s="20"/>
      <c r="D1978" s="19"/>
      <c r="E1978" s="26" t="str">
        <f aca="false">IF(A1978="","",COUNTIFS(Apparitions!$A$2:$A$5001,A1978,Apparitions!$B$2:$B$5001,B1978))</f>
        <v/>
      </c>
      <c r="F1978" s="27" t="str">
        <f aca="false">IF(A1978="","",A1978&amp;"|"&amp;B1978)</f>
        <v/>
      </c>
    </row>
    <row r="1979" customFormat="false" ht="15" hidden="false" customHeight="false" outlineLevel="0" collapsed="false">
      <c r="A1979" s="19"/>
      <c r="B1979" s="19"/>
      <c r="C1979" s="20"/>
      <c r="D1979" s="19"/>
      <c r="E1979" s="26" t="str">
        <f aca="false">IF(A1979="","",COUNTIFS(Apparitions!$A$2:$A$5001,A1979,Apparitions!$B$2:$B$5001,B1979))</f>
        <v/>
      </c>
      <c r="F1979" s="27" t="str">
        <f aca="false">IF(A1979="","",A1979&amp;"|"&amp;B1979)</f>
        <v/>
      </c>
    </row>
    <row r="1980" customFormat="false" ht="15" hidden="false" customHeight="false" outlineLevel="0" collapsed="false">
      <c r="A1980" s="19"/>
      <c r="B1980" s="19"/>
      <c r="C1980" s="20"/>
      <c r="D1980" s="19"/>
      <c r="E1980" s="26" t="str">
        <f aca="false">IF(A1980="","",COUNTIFS(Apparitions!$A$2:$A$5001,A1980,Apparitions!$B$2:$B$5001,B1980))</f>
        <v/>
      </c>
      <c r="F1980" s="27" t="str">
        <f aca="false">IF(A1980="","",A1980&amp;"|"&amp;B1980)</f>
        <v/>
      </c>
    </row>
    <row r="1981" customFormat="false" ht="15" hidden="false" customHeight="false" outlineLevel="0" collapsed="false">
      <c r="A1981" s="19"/>
      <c r="B1981" s="19"/>
      <c r="C1981" s="20"/>
      <c r="D1981" s="19"/>
      <c r="E1981" s="26" t="str">
        <f aca="false">IF(A1981="","",COUNTIFS(Apparitions!$A$2:$A$5001,A1981,Apparitions!$B$2:$B$5001,B1981))</f>
        <v/>
      </c>
      <c r="F1981" s="27" t="str">
        <f aca="false">IF(A1981="","",A1981&amp;"|"&amp;B1981)</f>
        <v/>
      </c>
    </row>
    <row r="1982" customFormat="false" ht="15" hidden="false" customHeight="false" outlineLevel="0" collapsed="false">
      <c r="A1982" s="19"/>
      <c r="B1982" s="19"/>
      <c r="C1982" s="20"/>
      <c r="D1982" s="19"/>
      <c r="E1982" s="26" t="str">
        <f aca="false">IF(A1982="","",COUNTIFS(Apparitions!$A$2:$A$5001,A1982,Apparitions!$B$2:$B$5001,B1982))</f>
        <v/>
      </c>
      <c r="F1982" s="27" t="str">
        <f aca="false">IF(A1982="","",A1982&amp;"|"&amp;B1982)</f>
        <v/>
      </c>
    </row>
    <row r="1983" customFormat="false" ht="15" hidden="false" customHeight="false" outlineLevel="0" collapsed="false">
      <c r="A1983" s="19"/>
      <c r="B1983" s="19"/>
      <c r="C1983" s="20"/>
      <c r="D1983" s="19"/>
      <c r="E1983" s="26" t="str">
        <f aca="false">IF(A1983="","",COUNTIFS(Apparitions!$A$2:$A$5001,A1983,Apparitions!$B$2:$B$5001,B1983))</f>
        <v/>
      </c>
      <c r="F1983" s="27" t="str">
        <f aca="false">IF(A1983="","",A1983&amp;"|"&amp;B1983)</f>
        <v/>
      </c>
    </row>
    <row r="1984" customFormat="false" ht="15" hidden="false" customHeight="false" outlineLevel="0" collapsed="false">
      <c r="A1984" s="19"/>
      <c r="B1984" s="19"/>
      <c r="C1984" s="20"/>
      <c r="D1984" s="19"/>
      <c r="E1984" s="26" t="str">
        <f aca="false">IF(A1984="","",COUNTIFS(Apparitions!$A$2:$A$5001,A1984,Apparitions!$B$2:$B$5001,B1984))</f>
        <v/>
      </c>
      <c r="F1984" s="27" t="str">
        <f aca="false">IF(A1984="","",A1984&amp;"|"&amp;B1984)</f>
        <v/>
      </c>
    </row>
    <row r="1985" customFormat="false" ht="15" hidden="false" customHeight="false" outlineLevel="0" collapsed="false">
      <c r="A1985" s="19"/>
      <c r="B1985" s="19"/>
      <c r="C1985" s="20"/>
      <c r="D1985" s="19"/>
      <c r="E1985" s="26" t="str">
        <f aca="false">IF(A1985="","",COUNTIFS(Apparitions!$A$2:$A$5001,A1985,Apparitions!$B$2:$B$5001,B1985))</f>
        <v/>
      </c>
      <c r="F1985" s="27" t="str">
        <f aca="false">IF(A1985="","",A1985&amp;"|"&amp;B1985)</f>
        <v/>
      </c>
    </row>
    <row r="1986" customFormat="false" ht="15" hidden="false" customHeight="false" outlineLevel="0" collapsed="false">
      <c r="A1986" s="19"/>
      <c r="B1986" s="19"/>
      <c r="C1986" s="20"/>
      <c r="D1986" s="19"/>
      <c r="E1986" s="26" t="str">
        <f aca="false">IF(A1986="","",COUNTIFS(Apparitions!$A$2:$A$5001,A1986,Apparitions!$B$2:$B$5001,B1986))</f>
        <v/>
      </c>
      <c r="F1986" s="27" t="str">
        <f aca="false">IF(A1986="","",A1986&amp;"|"&amp;B1986)</f>
        <v/>
      </c>
    </row>
    <row r="1987" customFormat="false" ht="15" hidden="false" customHeight="false" outlineLevel="0" collapsed="false">
      <c r="A1987" s="19"/>
      <c r="B1987" s="19"/>
      <c r="C1987" s="20"/>
      <c r="D1987" s="19"/>
      <c r="E1987" s="26" t="str">
        <f aca="false">IF(A1987="","",COUNTIFS(Apparitions!$A$2:$A$5001,A1987,Apparitions!$B$2:$B$5001,B1987))</f>
        <v/>
      </c>
      <c r="F1987" s="27" t="str">
        <f aca="false">IF(A1987="","",A1987&amp;"|"&amp;B1987)</f>
        <v/>
      </c>
    </row>
    <row r="1988" customFormat="false" ht="15" hidden="false" customHeight="false" outlineLevel="0" collapsed="false">
      <c r="A1988" s="19"/>
      <c r="B1988" s="19"/>
      <c r="C1988" s="20"/>
      <c r="D1988" s="19"/>
      <c r="E1988" s="26" t="str">
        <f aca="false">IF(A1988="","",COUNTIFS(Apparitions!$A$2:$A$5001,A1988,Apparitions!$B$2:$B$5001,B1988))</f>
        <v/>
      </c>
      <c r="F1988" s="27" t="str">
        <f aca="false">IF(A1988="","",A1988&amp;"|"&amp;B1988)</f>
        <v/>
      </c>
    </row>
    <row r="1989" customFormat="false" ht="15" hidden="false" customHeight="false" outlineLevel="0" collapsed="false">
      <c r="A1989" s="19"/>
      <c r="B1989" s="19"/>
      <c r="C1989" s="20"/>
      <c r="D1989" s="19"/>
      <c r="E1989" s="26" t="str">
        <f aca="false">IF(A1989="","",COUNTIFS(Apparitions!$A$2:$A$5001,A1989,Apparitions!$B$2:$B$5001,B1989))</f>
        <v/>
      </c>
      <c r="F1989" s="27" t="str">
        <f aca="false">IF(A1989="","",A1989&amp;"|"&amp;B1989)</f>
        <v/>
      </c>
    </row>
    <row r="1990" customFormat="false" ht="15" hidden="false" customHeight="false" outlineLevel="0" collapsed="false">
      <c r="A1990" s="19"/>
      <c r="B1990" s="19"/>
      <c r="C1990" s="20"/>
      <c r="D1990" s="19"/>
      <c r="E1990" s="26" t="str">
        <f aca="false">IF(A1990="","",COUNTIFS(Apparitions!$A$2:$A$5001,A1990,Apparitions!$B$2:$B$5001,B1990))</f>
        <v/>
      </c>
      <c r="F1990" s="27" t="str">
        <f aca="false">IF(A1990="","",A1990&amp;"|"&amp;B1990)</f>
        <v/>
      </c>
    </row>
    <row r="1991" customFormat="false" ht="15" hidden="false" customHeight="false" outlineLevel="0" collapsed="false">
      <c r="A1991" s="19"/>
      <c r="B1991" s="19"/>
      <c r="C1991" s="20"/>
      <c r="D1991" s="19"/>
      <c r="E1991" s="26" t="str">
        <f aca="false">IF(A1991="","",COUNTIFS(Apparitions!$A$2:$A$5001,A1991,Apparitions!$B$2:$B$5001,B1991))</f>
        <v/>
      </c>
      <c r="F1991" s="27" t="str">
        <f aca="false">IF(A1991="","",A1991&amp;"|"&amp;B1991)</f>
        <v/>
      </c>
    </row>
    <row r="1992" customFormat="false" ht="15" hidden="false" customHeight="false" outlineLevel="0" collapsed="false">
      <c r="A1992" s="19"/>
      <c r="B1992" s="19"/>
      <c r="C1992" s="20"/>
      <c r="D1992" s="19"/>
      <c r="E1992" s="26" t="str">
        <f aca="false">IF(A1992="","",COUNTIFS(Apparitions!$A$2:$A$5001,A1992,Apparitions!$B$2:$B$5001,B1992))</f>
        <v/>
      </c>
      <c r="F1992" s="27" t="str">
        <f aca="false">IF(A1992="","",A1992&amp;"|"&amp;B1992)</f>
        <v/>
      </c>
    </row>
    <row r="1993" customFormat="false" ht="15" hidden="false" customHeight="false" outlineLevel="0" collapsed="false">
      <c r="A1993" s="19"/>
      <c r="B1993" s="19"/>
      <c r="C1993" s="20"/>
      <c r="D1993" s="19"/>
      <c r="E1993" s="26" t="str">
        <f aca="false">IF(A1993="","",COUNTIFS(Apparitions!$A$2:$A$5001,A1993,Apparitions!$B$2:$B$5001,B1993))</f>
        <v/>
      </c>
      <c r="F1993" s="27" t="str">
        <f aca="false">IF(A1993="","",A1993&amp;"|"&amp;B1993)</f>
        <v/>
      </c>
    </row>
    <row r="1994" customFormat="false" ht="15" hidden="false" customHeight="false" outlineLevel="0" collapsed="false">
      <c r="A1994" s="19"/>
      <c r="B1994" s="19"/>
      <c r="C1994" s="20"/>
      <c r="D1994" s="19"/>
      <c r="E1994" s="26" t="str">
        <f aca="false">IF(A1994="","",COUNTIFS(Apparitions!$A$2:$A$5001,A1994,Apparitions!$B$2:$B$5001,B1994))</f>
        <v/>
      </c>
      <c r="F1994" s="27" t="str">
        <f aca="false">IF(A1994="","",A1994&amp;"|"&amp;B1994)</f>
        <v/>
      </c>
    </row>
    <row r="1995" customFormat="false" ht="15" hidden="false" customHeight="false" outlineLevel="0" collapsed="false">
      <c r="A1995" s="19"/>
      <c r="B1995" s="19"/>
      <c r="C1995" s="20"/>
      <c r="D1995" s="19"/>
      <c r="E1995" s="26" t="str">
        <f aca="false">IF(A1995="","",COUNTIFS(Apparitions!$A$2:$A$5001,A1995,Apparitions!$B$2:$B$5001,B1995))</f>
        <v/>
      </c>
      <c r="F1995" s="27" t="str">
        <f aca="false">IF(A1995="","",A1995&amp;"|"&amp;B1995)</f>
        <v/>
      </c>
    </row>
    <row r="1996" customFormat="false" ht="15" hidden="false" customHeight="false" outlineLevel="0" collapsed="false">
      <c r="A1996" s="19"/>
      <c r="B1996" s="19"/>
      <c r="C1996" s="20"/>
      <c r="D1996" s="19"/>
      <c r="E1996" s="26" t="str">
        <f aca="false">IF(A1996="","",COUNTIFS(Apparitions!$A$2:$A$5001,A1996,Apparitions!$B$2:$B$5001,B1996))</f>
        <v/>
      </c>
      <c r="F1996" s="27" t="str">
        <f aca="false">IF(A1996="","",A1996&amp;"|"&amp;B1996)</f>
        <v/>
      </c>
    </row>
    <row r="1997" customFormat="false" ht="15" hidden="false" customHeight="false" outlineLevel="0" collapsed="false">
      <c r="A1997" s="19"/>
      <c r="B1997" s="19"/>
      <c r="C1997" s="20"/>
      <c r="D1997" s="19"/>
      <c r="E1997" s="26" t="str">
        <f aca="false">IF(A1997="","",COUNTIFS(Apparitions!$A$2:$A$5001,A1997,Apparitions!$B$2:$B$5001,B1997))</f>
        <v/>
      </c>
      <c r="F1997" s="27" t="str">
        <f aca="false">IF(A1997="","",A1997&amp;"|"&amp;B1997)</f>
        <v/>
      </c>
    </row>
    <row r="1998" customFormat="false" ht="15" hidden="false" customHeight="false" outlineLevel="0" collapsed="false">
      <c r="A1998" s="19"/>
      <c r="B1998" s="19"/>
      <c r="C1998" s="20"/>
      <c r="D1998" s="19"/>
      <c r="E1998" s="26" t="str">
        <f aca="false">IF(A1998="","",COUNTIFS(Apparitions!$A$2:$A$5001,A1998,Apparitions!$B$2:$B$5001,B1998))</f>
        <v/>
      </c>
      <c r="F1998" s="27" t="str">
        <f aca="false">IF(A1998="","",A1998&amp;"|"&amp;B1998)</f>
        <v/>
      </c>
    </row>
    <row r="1999" customFormat="false" ht="15" hidden="false" customHeight="false" outlineLevel="0" collapsed="false">
      <c r="A1999" s="19"/>
      <c r="B1999" s="19"/>
      <c r="C1999" s="20"/>
      <c r="D1999" s="19"/>
      <c r="E1999" s="26" t="str">
        <f aca="false">IF(A1999="","",COUNTIFS(Apparitions!$A$2:$A$5001,A1999,Apparitions!$B$2:$B$5001,B1999))</f>
        <v/>
      </c>
      <c r="F1999" s="27" t="str">
        <f aca="false">IF(A1999="","",A1999&amp;"|"&amp;B1999)</f>
        <v/>
      </c>
    </row>
    <row r="2000" customFormat="false" ht="15" hidden="false" customHeight="false" outlineLevel="0" collapsed="false">
      <c r="A2000" s="19"/>
      <c r="B2000" s="19"/>
      <c r="C2000" s="20"/>
      <c r="D2000" s="19"/>
      <c r="E2000" s="26" t="str">
        <f aca="false">IF(A2000="","",COUNTIFS(Apparitions!$A$2:$A$5001,A2000,Apparitions!$B$2:$B$5001,B2000))</f>
        <v/>
      </c>
      <c r="F2000" s="27" t="str">
        <f aca="false">IF(A2000="","",A2000&amp;"|"&amp;B2000)</f>
        <v/>
      </c>
    </row>
    <row r="2001" customFormat="false" ht="15" hidden="false" customHeight="false" outlineLevel="0" collapsed="false">
      <c r="A2001" s="19"/>
      <c r="B2001" s="19"/>
      <c r="C2001" s="20"/>
      <c r="D2001" s="19"/>
      <c r="E2001" s="26" t="str">
        <f aca="false">IF(A2001="","",COUNTIFS(Apparitions!$A$2:$A$5001,A2001,Apparitions!$B$2:$B$5001,B2001))</f>
        <v/>
      </c>
      <c r="F2001" s="27" t="str">
        <f aca="false">IF(A2001="","",A2001&amp;"|"&amp;B2001)</f>
        <v/>
      </c>
    </row>
    <row r="2002" customFormat="false" ht="15" hidden="false" customHeight="false" outlineLevel="0" collapsed="false">
      <c r="A2002" s="19"/>
      <c r="B2002" s="19"/>
      <c r="C2002" s="20"/>
      <c r="D2002" s="19"/>
      <c r="E2002" s="26" t="str">
        <f aca="false">IF(A2002="","",COUNTIFS(Apparitions!$A$2:$A$5001,A2002,Apparitions!$B$2:$B$5001,B2002))</f>
        <v/>
      </c>
      <c r="F2002" s="27" t="str">
        <f aca="false">IF(A2002="","",A2002&amp;"|"&amp;B2002)</f>
        <v/>
      </c>
    </row>
    <row r="2003" customFormat="false" ht="15" hidden="false" customHeight="false" outlineLevel="0" collapsed="false">
      <c r="A2003" s="19"/>
      <c r="B2003" s="19"/>
      <c r="C2003" s="20"/>
      <c r="D2003" s="19"/>
      <c r="E2003" s="26" t="str">
        <f aca="false">IF(A2003="","",COUNTIFS(Apparitions!$A$2:$A$5001,A2003,Apparitions!$B$2:$B$5001,B2003))</f>
        <v/>
      </c>
      <c r="F2003" s="27" t="str">
        <f aca="false">IF(A2003="","",A2003&amp;"|"&amp;B2003)</f>
        <v/>
      </c>
    </row>
    <row r="2004" customFormat="false" ht="15" hidden="false" customHeight="false" outlineLevel="0" collapsed="false">
      <c r="A2004" s="19"/>
      <c r="B2004" s="19"/>
      <c r="C2004" s="20"/>
      <c r="D2004" s="19"/>
      <c r="E2004" s="26" t="str">
        <f aca="false">IF(A2004="","",COUNTIFS(Apparitions!$A$2:$A$5001,A2004,Apparitions!$B$2:$B$5001,B2004))</f>
        <v/>
      </c>
      <c r="F2004" s="27" t="str">
        <f aca="false">IF(A2004="","",A2004&amp;"|"&amp;B2004)</f>
        <v/>
      </c>
    </row>
    <row r="2005" customFormat="false" ht="15" hidden="false" customHeight="false" outlineLevel="0" collapsed="false">
      <c r="A2005" s="19"/>
      <c r="B2005" s="19"/>
      <c r="C2005" s="20"/>
      <c r="D2005" s="19"/>
      <c r="E2005" s="26" t="str">
        <f aca="false">IF(A2005="","",COUNTIFS(Apparitions!$A$2:$A$5001,A2005,Apparitions!$B$2:$B$5001,B2005))</f>
        <v/>
      </c>
      <c r="F2005" s="27" t="str">
        <f aca="false">IF(A2005="","",A2005&amp;"|"&amp;B2005)</f>
        <v/>
      </c>
    </row>
    <row r="2006" customFormat="false" ht="15" hidden="false" customHeight="false" outlineLevel="0" collapsed="false">
      <c r="A2006" s="19"/>
      <c r="B2006" s="19"/>
      <c r="C2006" s="20"/>
      <c r="D2006" s="19"/>
      <c r="E2006" s="26" t="str">
        <f aca="false">IF(A2006="","",COUNTIFS(Apparitions!$A$2:$A$5001,A2006,Apparitions!$B$2:$B$5001,B2006))</f>
        <v/>
      </c>
      <c r="F2006" s="27" t="str">
        <f aca="false">IF(A2006="","",A2006&amp;"|"&amp;B2006)</f>
        <v/>
      </c>
    </row>
    <row r="2007" customFormat="false" ht="15" hidden="false" customHeight="false" outlineLevel="0" collapsed="false">
      <c r="A2007" s="19"/>
      <c r="B2007" s="19"/>
      <c r="C2007" s="20"/>
      <c r="D2007" s="19"/>
      <c r="E2007" s="26" t="str">
        <f aca="false">IF(A2007="","",COUNTIFS(Apparitions!$A$2:$A$5001,A2007,Apparitions!$B$2:$B$5001,B2007))</f>
        <v/>
      </c>
      <c r="F2007" s="27" t="str">
        <f aca="false">IF(A2007="","",A2007&amp;"|"&amp;B2007)</f>
        <v/>
      </c>
    </row>
    <row r="2008" customFormat="false" ht="15" hidden="false" customHeight="false" outlineLevel="0" collapsed="false">
      <c r="A2008" s="19"/>
      <c r="B2008" s="19"/>
      <c r="C2008" s="20"/>
      <c r="D2008" s="19"/>
      <c r="E2008" s="26" t="str">
        <f aca="false">IF(A2008="","",COUNTIFS(Apparitions!$A$2:$A$5001,A2008,Apparitions!$B$2:$B$5001,B2008))</f>
        <v/>
      </c>
      <c r="F2008" s="27" t="str">
        <f aca="false">IF(A2008="","",A2008&amp;"|"&amp;B2008)</f>
        <v/>
      </c>
    </row>
    <row r="2009" customFormat="false" ht="15" hidden="false" customHeight="false" outlineLevel="0" collapsed="false">
      <c r="A2009" s="19"/>
      <c r="B2009" s="19"/>
      <c r="C2009" s="20"/>
      <c r="D2009" s="19"/>
      <c r="E2009" s="26" t="str">
        <f aca="false">IF(A2009="","",COUNTIFS(Apparitions!$A$2:$A$5001,A2009,Apparitions!$B$2:$B$5001,B2009))</f>
        <v/>
      </c>
      <c r="F2009" s="27" t="str">
        <f aca="false">IF(A2009="","",A2009&amp;"|"&amp;B2009)</f>
        <v/>
      </c>
    </row>
    <row r="2010" customFormat="false" ht="15" hidden="false" customHeight="false" outlineLevel="0" collapsed="false">
      <c r="A2010" s="19"/>
      <c r="B2010" s="19"/>
      <c r="C2010" s="20"/>
      <c r="D2010" s="19"/>
      <c r="E2010" s="26" t="str">
        <f aca="false">IF(A2010="","",COUNTIFS(Apparitions!$A$2:$A$5001,A2010,Apparitions!$B$2:$B$5001,B2010))</f>
        <v/>
      </c>
      <c r="F2010" s="27" t="str">
        <f aca="false">IF(A2010="","",A2010&amp;"|"&amp;B2010)</f>
        <v/>
      </c>
    </row>
    <row r="2011" customFormat="false" ht="15" hidden="false" customHeight="false" outlineLevel="0" collapsed="false">
      <c r="A2011" s="19"/>
      <c r="B2011" s="19"/>
      <c r="C2011" s="20"/>
      <c r="D2011" s="19"/>
      <c r="E2011" s="26" t="str">
        <f aca="false">IF(A2011="","",COUNTIFS(Apparitions!$A$2:$A$5001,A2011,Apparitions!$B$2:$B$5001,B2011))</f>
        <v/>
      </c>
      <c r="F2011" s="27" t="str">
        <f aca="false">IF(A2011="","",A2011&amp;"|"&amp;B2011)</f>
        <v/>
      </c>
    </row>
    <row r="2012" customFormat="false" ht="15" hidden="false" customHeight="false" outlineLevel="0" collapsed="false">
      <c r="A2012" s="19"/>
      <c r="B2012" s="19"/>
      <c r="C2012" s="20"/>
      <c r="D2012" s="19"/>
      <c r="E2012" s="26" t="str">
        <f aca="false">IF(A2012="","",COUNTIFS(Apparitions!$A$2:$A$5001,A2012,Apparitions!$B$2:$B$5001,B2012))</f>
        <v/>
      </c>
      <c r="F2012" s="27" t="str">
        <f aca="false">IF(A2012="","",A2012&amp;"|"&amp;B2012)</f>
        <v/>
      </c>
    </row>
    <row r="2013" customFormat="false" ht="15" hidden="false" customHeight="false" outlineLevel="0" collapsed="false">
      <c r="A2013" s="19"/>
      <c r="B2013" s="19"/>
      <c r="C2013" s="20"/>
      <c r="D2013" s="19"/>
      <c r="E2013" s="26" t="str">
        <f aca="false">IF(A2013="","",COUNTIFS(Apparitions!$A$2:$A$5001,A2013,Apparitions!$B$2:$B$5001,B2013))</f>
        <v/>
      </c>
      <c r="F2013" s="27" t="str">
        <f aca="false">IF(A2013="","",A2013&amp;"|"&amp;B2013)</f>
        <v/>
      </c>
    </row>
    <row r="2014" customFormat="false" ht="15" hidden="false" customHeight="false" outlineLevel="0" collapsed="false">
      <c r="A2014" s="19"/>
      <c r="B2014" s="19"/>
      <c r="C2014" s="20"/>
      <c r="D2014" s="19"/>
      <c r="E2014" s="26" t="str">
        <f aca="false">IF(A2014="","",COUNTIFS(Apparitions!$A$2:$A$5001,A2014,Apparitions!$B$2:$B$5001,B2014))</f>
        <v/>
      </c>
      <c r="F2014" s="27" t="str">
        <f aca="false">IF(A2014="","",A2014&amp;"|"&amp;B2014)</f>
        <v/>
      </c>
    </row>
    <row r="2015" customFormat="false" ht="15" hidden="false" customHeight="false" outlineLevel="0" collapsed="false">
      <c r="A2015" s="19"/>
      <c r="B2015" s="19"/>
      <c r="C2015" s="20"/>
      <c r="D2015" s="19"/>
      <c r="E2015" s="26" t="str">
        <f aca="false">IF(A2015="","",COUNTIFS(Apparitions!$A$2:$A$5001,A2015,Apparitions!$B$2:$B$5001,B2015))</f>
        <v/>
      </c>
      <c r="F2015" s="27" t="str">
        <f aca="false">IF(A2015="","",A2015&amp;"|"&amp;B2015)</f>
        <v/>
      </c>
    </row>
    <row r="2016" customFormat="false" ht="15" hidden="false" customHeight="false" outlineLevel="0" collapsed="false">
      <c r="A2016" s="19"/>
      <c r="B2016" s="19"/>
      <c r="C2016" s="20"/>
      <c r="D2016" s="19"/>
      <c r="E2016" s="26" t="str">
        <f aca="false">IF(A2016="","",COUNTIFS(Apparitions!$A$2:$A$5001,A2016,Apparitions!$B$2:$B$5001,B2016))</f>
        <v/>
      </c>
      <c r="F2016" s="27" t="str">
        <f aca="false">IF(A2016="","",A2016&amp;"|"&amp;B2016)</f>
        <v/>
      </c>
    </row>
    <row r="2017" customFormat="false" ht="15" hidden="false" customHeight="false" outlineLevel="0" collapsed="false">
      <c r="A2017" s="19"/>
      <c r="B2017" s="19"/>
      <c r="C2017" s="20"/>
      <c r="D2017" s="19"/>
      <c r="E2017" s="26" t="str">
        <f aca="false">IF(A2017="","",COUNTIFS(Apparitions!$A$2:$A$5001,A2017,Apparitions!$B$2:$B$5001,B2017))</f>
        <v/>
      </c>
      <c r="F2017" s="27" t="str">
        <f aca="false">IF(A2017="","",A2017&amp;"|"&amp;B2017)</f>
        <v/>
      </c>
    </row>
    <row r="2018" customFormat="false" ht="15" hidden="false" customHeight="false" outlineLevel="0" collapsed="false">
      <c r="A2018" s="19"/>
      <c r="B2018" s="19"/>
      <c r="C2018" s="20"/>
      <c r="D2018" s="19"/>
      <c r="E2018" s="26" t="str">
        <f aca="false">IF(A2018="","",COUNTIFS(Apparitions!$A$2:$A$5001,A2018,Apparitions!$B$2:$B$5001,B2018))</f>
        <v/>
      </c>
      <c r="F2018" s="27" t="str">
        <f aca="false">IF(A2018="","",A2018&amp;"|"&amp;B2018)</f>
        <v/>
      </c>
    </row>
    <row r="2019" customFormat="false" ht="15" hidden="false" customHeight="false" outlineLevel="0" collapsed="false">
      <c r="A2019" s="19"/>
      <c r="B2019" s="19"/>
      <c r="C2019" s="20"/>
      <c r="D2019" s="19"/>
      <c r="E2019" s="26" t="str">
        <f aca="false">IF(A2019="","",COUNTIFS(Apparitions!$A$2:$A$5001,A2019,Apparitions!$B$2:$B$5001,B2019))</f>
        <v/>
      </c>
      <c r="F2019" s="27" t="str">
        <f aca="false">IF(A2019="","",A2019&amp;"|"&amp;B2019)</f>
        <v/>
      </c>
    </row>
    <row r="2020" customFormat="false" ht="15" hidden="false" customHeight="false" outlineLevel="0" collapsed="false">
      <c r="A2020" s="19"/>
      <c r="B2020" s="19"/>
      <c r="C2020" s="20"/>
      <c r="D2020" s="19"/>
      <c r="E2020" s="26" t="str">
        <f aca="false">IF(A2020="","",COUNTIFS(Apparitions!$A$2:$A$5001,A2020,Apparitions!$B$2:$B$5001,B2020))</f>
        <v/>
      </c>
      <c r="F2020" s="27" t="str">
        <f aca="false">IF(A2020="","",A2020&amp;"|"&amp;B2020)</f>
        <v/>
      </c>
    </row>
    <row r="2021" customFormat="false" ht="15" hidden="false" customHeight="false" outlineLevel="0" collapsed="false">
      <c r="A2021" s="19"/>
      <c r="B2021" s="19"/>
      <c r="C2021" s="20"/>
      <c r="D2021" s="19"/>
      <c r="E2021" s="26" t="str">
        <f aca="false">IF(A2021="","",COUNTIFS(Apparitions!$A$2:$A$5001,A2021,Apparitions!$B$2:$B$5001,B2021))</f>
        <v/>
      </c>
      <c r="F2021" s="27" t="str">
        <f aca="false">IF(A2021="","",A2021&amp;"|"&amp;B2021)</f>
        <v/>
      </c>
    </row>
    <row r="2022" customFormat="false" ht="15" hidden="false" customHeight="false" outlineLevel="0" collapsed="false">
      <c r="A2022" s="19"/>
      <c r="B2022" s="19"/>
      <c r="C2022" s="20"/>
      <c r="D2022" s="19"/>
      <c r="E2022" s="26" t="str">
        <f aca="false">IF(A2022="","",COUNTIFS(Apparitions!$A$2:$A$5001,A2022,Apparitions!$B$2:$B$5001,B2022))</f>
        <v/>
      </c>
      <c r="F2022" s="27" t="str">
        <f aca="false">IF(A2022="","",A2022&amp;"|"&amp;B2022)</f>
        <v/>
      </c>
    </row>
    <row r="2023" customFormat="false" ht="15" hidden="false" customHeight="false" outlineLevel="0" collapsed="false">
      <c r="A2023" s="19"/>
      <c r="B2023" s="19"/>
      <c r="C2023" s="20"/>
      <c r="D2023" s="19"/>
      <c r="E2023" s="26" t="str">
        <f aca="false">IF(A2023="","",COUNTIFS(Apparitions!$A$2:$A$5001,A2023,Apparitions!$B$2:$B$5001,B2023))</f>
        <v/>
      </c>
      <c r="F2023" s="27" t="str">
        <f aca="false">IF(A2023="","",A2023&amp;"|"&amp;B2023)</f>
        <v/>
      </c>
    </row>
    <row r="2024" customFormat="false" ht="15" hidden="false" customHeight="false" outlineLevel="0" collapsed="false">
      <c r="A2024" s="19"/>
      <c r="B2024" s="19"/>
      <c r="C2024" s="20"/>
      <c r="D2024" s="19"/>
      <c r="E2024" s="26" t="str">
        <f aca="false">IF(A2024="","",COUNTIFS(Apparitions!$A$2:$A$5001,A2024,Apparitions!$B$2:$B$5001,B2024))</f>
        <v/>
      </c>
      <c r="F2024" s="27" t="str">
        <f aca="false">IF(A2024="","",A2024&amp;"|"&amp;B2024)</f>
        <v/>
      </c>
    </row>
    <row r="2025" customFormat="false" ht="15" hidden="false" customHeight="false" outlineLevel="0" collapsed="false">
      <c r="A2025" s="19"/>
      <c r="B2025" s="19"/>
      <c r="C2025" s="20"/>
      <c r="D2025" s="19"/>
      <c r="E2025" s="26" t="str">
        <f aca="false">IF(A2025="","",COUNTIFS(Apparitions!$A$2:$A$5001,A2025,Apparitions!$B$2:$B$5001,B2025))</f>
        <v/>
      </c>
      <c r="F2025" s="27" t="str">
        <f aca="false">IF(A2025="","",A2025&amp;"|"&amp;B2025)</f>
        <v/>
      </c>
    </row>
    <row r="2026" customFormat="false" ht="15" hidden="false" customHeight="false" outlineLevel="0" collapsed="false">
      <c r="A2026" s="19"/>
      <c r="B2026" s="19"/>
      <c r="C2026" s="20"/>
      <c r="D2026" s="19"/>
      <c r="E2026" s="26" t="str">
        <f aca="false">IF(A2026="","",COUNTIFS(Apparitions!$A$2:$A$5001,A2026,Apparitions!$B$2:$B$5001,B2026))</f>
        <v/>
      </c>
      <c r="F2026" s="27" t="str">
        <f aca="false">IF(A2026="","",A2026&amp;"|"&amp;B2026)</f>
        <v/>
      </c>
    </row>
    <row r="2027" customFormat="false" ht="15" hidden="false" customHeight="false" outlineLevel="0" collapsed="false">
      <c r="A2027" s="19"/>
      <c r="B2027" s="19"/>
      <c r="C2027" s="20"/>
      <c r="D2027" s="19"/>
      <c r="E2027" s="26" t="str">
        <f aca="false">IF(A2027="","",COUNTIFS(Apparitions!$A$2:$A$5001,A2027,Apparitions!$B$2:$B$5001,B2027))</f>
        <v/>
      </c>
      <c r="F2027" s="27" t="str">
        <f aca="false">IF(A2027="","",A2027&amp;"|"&amp;B2027)</f>
        <v/>
      </c>
    </row>
    <row r="2028" customFormat="false" ht="15" hidden="false" customHeight="false" outlineLevel="0" collapsed="false">
      <c r="A2028" s="19"/>
      <c r="B2028" s="19"/>
      <c r="C2028" s="20"/>
      <c r="D2028" s="19"/>
      <c r="E2028" s="26" t="str">
        <f aca="false">IF(A2028="","",COUNTIFS(Apparitions!$A$2:$A$5001,A2028,Apparitions!$B$2:$B$5001,B2028))</f>
        <v/>
      </c>
      <c r="F2028" s="27" t="str">
        <f aca="false">IF(A2028="","",A2028&amp;"|"&amp;B2028)</f>
        <v/>
      </c>
    </row>
    <row r="2029" customFormat="false" ht="15" hidden="false" customHeight="false" outlineLevel="0" collapsed="false">
      <c r="A2029" s="19"/>
      <c r="B2029" s="19"/>
      <c r="C2029" s="20"/>
      <c r="D2029" s="19"/>
      <c r="E2029" s="26" t="str">
        <f aca="false">IF(A2029="","",COUNTIFS(Apparitions!$A$2:$A$5001,A2029,Apparitions!$B$2:$B$5001,B2029))</f>
        <v/>
      </c>
      <c r="F2029" s="27" t="str">
        <f aca="false">IF(A2029="","",A2029&amp;"|"&amp;B2029)</f>
        <v/>
      </c>
    </row>
    <row r="2030" customFormat="false" ht="15" hidden="false" customHeight="false" outlineLevel="0" collapsed="false">
      <c r="A2030" s="19"/>
      <c r="B2030" s="19"/>
      <c r="C2030" s="20"/>
      <c r="D2030" s="19"/>
      <c r="E2030" s="26" t="str">
        <f aca="false">IF(A2030="","",COUNTIFS(Apparitions!$A$2:$A$5001,A2030,Apparitions!$B$2:$B$5001,B2030))</f>
        <v/>
      </c>
      <c r="F2030" s="27" t="str">
        <f aca="false">IF(A2030="","",A2030&amp;"|"&amp;B2030)</f>
        <v/>
      </c>
    </row>
    <row r="2031" customFormat="false" ht="15" hidden="false" customHeight="false" outlineLevel="0" collapsed="false">
      <c r="A2031" s="19"/>
      <c r="B2031" s="19"/>
      <c r="C2031" s="20"/>
      <c r="D2031" s="19"/>
      <c r="E2031" s="26" t="str">
        <f aca="false">IF(A2031="","",COUNTIFS(Apparitions!$A$2:$A$5001,A2031,Apparitions!$B$2:$B$5001,B2031))</f>
        <v/>
      </c>
      <c r="F2031" s="27" t="str">
        <f aca="false">IF(A2031="","",A2031&amp;"|"&amp;B2031)</f>
        <v/>
      </c>
    </row>
    <row r="2032" customFormat="false" ht="15" hidden="false" customHeight="false" outlineLevel="0" collapsed="false">
      <c r="A2032" s="19"/>
      <c r="B2032" s="19"/>
      <c r="C2032" s="20"/>
      <c r="D2032" s="19"/>
      <c r="E2032" s="26" t="str">
        <f aca="false">IF(A2032="","",COUNTIFS(Apparitions!$A$2:$A$5001,A2032,Apparitions!$B$2:$B$5001,B2032))</f>
        <v/>
      </c>
      <c r="F2032" s="27" t="str">
        <f aca="false">IF(A2032="","",A2032&amp;"|"&amp;B2032)</f>
        <v/>
      </c>
    </row>
    <row r="2033" customFormat="false" ht="15" hidden="false" customHeight="false" outlineLevel="0" collapsed="false">
      <c r="A2033" s="19"/>
      <c r="B2033" s="19"/>
      <c r="C2033" s="20"/>
      <c r="D2033" s="19"/>
      <c r="E2033" s="26" t="str">
        <f aca="false">IF(A2033="","",COUNTIFS(Apparitions!$A$2:$A$5001,A2033,Apparitions!$B$2:$B$5001,B2033))</f>
        <v/>
      </c>
      <c r="F2033" s="27" t="str">
        <f aca="false">IF(A2033="","",A2033&amp;"|"&amp;B2033)</f>
        <v/>
      </c>
    </row>
    <row r="2034" customFormat="false" ht="15" hidden="false" customHeight="false" outlineLevel="0" collapsed="false">
      <c r="A2034" s="19"/>
      <c r="B2034" s="19"/>
      <c r="C2034" s="20"/>
      <c r="D2034" s="19"/>
      <c r="E2034" s="26" t="str">
        <f aca="false">IF(A2034="","",COUNTIFS(Apparitions!$A$2:$A$5001,A2034,Apparitions!$B$2:$B$5001,B2034))</f>
        <v/>
      </c>
      <c r="F2034" s="27" t="str">
        <f aca="false">IF(A2034="","",A2034&amp;"|"&amp;B2034)</f>
        <v/>
      </c>
    </row>
    <row r="2035" customFormat="false" ht="15" hidden="false" customHeight="false" outlineLevel="0" collapsed="false">
      <c r="A2035" s="19"/>
      <c r="B2035" s="19"/>
      <c r="C2035" s="20"/>
      <c r="D2035" s="19"/>
      <c r="E2035" s="26" t="str">
        <f aca="false">IF(A2035="","",COUNTIFS(Apparitions!$A$2:$A$5001,A2035,Apparitions!$B$2:$B$5001,B2035))</f>
        <v/>
      </c>
      <c r="F2035" s="27" t="str">
        <f aca="false">IF(A2035="","",A2035&amp;"|"&amp;B2035)</f>
        <v/>
      </c>
    </row>
    <row r="2036" customFormat="false" ht="15" hidden="false" customHeight="false" outlineLevel="0" collapsed="false">
      <c r="A2036" s="19"/>
      <c r="B2036" s="19"/>
      <c r="C2036" s="20"/>
      <c r="D2036" s="19"/>
      <c r="E2036" s="26" t="str">
        <f aca="false">IF(A2036="","",COUNTIFS(Apparitions!$A$2:$A$5001,A2036,Apparitions!$B$2:$B$5001,B2036))</f>
        <v/>
      </c>
      <c r="F2036" s="27" t="str">
        <f aca="false">IF(A2036="","",A2036&amp;"|"&amp;B2036)</f>
        <v/>
      </c>
    </row>
    <row r="2037" customFormat="false" ht="15" hidden="false" customHeight="false" outlineLevel="0" collapsed="false">
      <c r="A2037" s="19"/>
      <c r="B2037" s="19"/>
      <c r="C2037" s="20"/>
      <c r="D2037" s="19"/>
      <c r="E2037" s="26" t="str">
        <f aca="false">IF(A2037="","",COUNTIFS(Apparitions!$A$2:$A$5001,A2037,Apparitions!$B$2:$B$5001,B2037))</f>
        <v/>
      </c>
      <c r="F2037" s="27" t="str">
        <f aca="false">IF(A2037="","",A2037&amp;"|"&amp;B2037)</f>
        <v/>
      </c>
    </row>
    <row r="2038" customFormat="false" ht="15" hidden="false" customHeight="false" outlineLevel="0" collapsed="false">
      <c r="A2038" s="19"/>
      <c r="B2038" s="19"/>
      <c r="C2038" s="20"/>
      <c r="D2038" s="19"/>
      <c r="E2038" s="26" t="str">
        <f aca="false">IF(A2038="","",COUNTIFS(Apparitions!$A$2:$A$5001,A2038,Apparitions!$B$2:$B$5001,B2038))</f>
        <v/>
      </c>
      <c r="F2038" s="27" t="str">
        <f aca="false">IF(A2038="","",A2038&amp;"|"&amp;B2038)</f>
        <v/>
      </c>
    </row>
    <row r="2039" customFormat="false" ht="15" hidden="false" customHeight="false" outlineLevel="0" collapsed="false">
      <c r="A2039" s="19"/>
      <c r="B2039" s="19"/>
      <c r="C2039" s="20"/>
      <c r="D2039" s="19"/>
      <c r="E2039" s="26" t="str">
        <f aca="false">IF(A2039="","",COUNTIFS(Apparitions!$A$2:$A$5001,A2039,Apparitions!$B$2:$B$5001,B2039))</f>
        <v/>
      </c>
      <c r="F2039" s="27" t="str">
        <f aca="false">IF(A2039="","",A2039&amp;"|"&amp;B2039)</f>
        <v/>
      </c>
    </row>
    <row r="2040" customFormat="false" ht="15" hidden="false" customHeight="false" outlineLevel="0" collapsed="false">
      <c r="A2040" s="19"/>
      <c r="B2040" s="19"/>
      <c r="C2040" s="20"/>
      <c r="D2040" s="19"/>
      <c r="E2040" s="26" t="str">
        <f aca="false">IF(A2040="","",COUNTIFS(Apparitions!$A$2:$A$5001,A2040,Apparitions!$B$2:$B$5001,B2040))</f>
        <v/>
      </c>
      <c r="F2040" s="27" t="str">
        <f aca="false">IF(A2040="","",A2040&amp;"|"&amp;B2040)</f>
        <v/>
      </c>
    </row>
    <row r="2041" customFormat="false" ht="15" hidden="false" customHeight="false" outlineLevel="0" collapsed="false">
      <c r="A2041" s="19"/>
      <c r="B2041" s="19"/>
      <c r="C2041" s="20"/>
      <c r="D2041" s="19"/>
      <c r="E2041" s="26" t="str">
        <f aca="false">IF(A2041="","",COUNTIFS(Apparitions!$A$2:$A$5001,A2041,Apparitions!$B$2:$B$5001,B2041))</f>
        <v/>
      </c>
      <c r="F2041" s="27" t="str">
        <f aca="false">IF(A2041="","",A2041&amp;"|"&amp;B2041)</f>
        <v/>
      </c>
    </row>
    <row r="2042" customFormat="false" ht="15" hidden="false" customHeight="false" outlineLevel="0" collapsed="false">
      <c r="A2042" s="19"/>
      <c r="B2042" s="19"/>
      <c r="C2042" s="20"/>
      <c r="D2042" s="19"/>
      <c r="E2042" s="26" t="str">
        <f aca="false">IF(A2042="","",COUNTIFS(Apparitions!$A$2:$A$5001,A2042,Apparitions!$B$2:$B$5001,B2042))</f>
        <v/>
      </c>
      <c r="F2042" s="27" t="str">
        <f aca="false">IF(A2042="","",A2042&amp;"|"&amp;B2042)</f>
        <v/>
      </c>
    </row>
    <row r="2043" customFormat="false" ht="15" hidden="false" customHeight="false" outlineLevel="0" collapsed="false">
      <c r="A2043" s="19"/>
      <c r="B2043" s="19"/>
      <c r="C2043" s="20"/>
      <c r="D2043" s="19"/>
      <c r="E2043" s="26" t="str">
        <f aca="false">IF(A2043="","",COUNTIFS(Apparitions!$A$2:$A$5001,A2043,Apparitions!$B$2:$B$5001,B2043))</f>
        <v/>
      </c>
      <c r="F2043" s="27" t="str">
        <f aca="false">IF(A2043="","",A2043&amp;"|"&amp;B2043)</f>
        <v/>
      </c>
    </row>
    <row r="2044" customFormat="false" ht="15" hidden="false" customHeight="false" outlineLevel="0" collapsed="false">
      <c r="A2044" s="19"/>
      <c r="B2044" s="19"/>
      <c r="C2044" s="20"/>
      <c r="D2044" s="19"/>
      <c r="E2044" s="26" t="str">
        <f aca="false">IF(A2044="","",COUNTIFS(Apparitions!$A$2:$A$5001,A2044,Apparitions!$B$2:$B$5001,B2044))</f>
        <v/>
      </c>
      <c r="F2044" s="27" t="str">
        <f aca="false">IF(A2044="","",A2044&amp;"|"&amp;B2044)</f>
        <v/>
      </c>
    </row>
    <row r="2045" customFormat="false" ht="15" hidden="false" customHeight="false" outlineLevel="0" collapsed="false">
      <c r="A2045" s="19"/>
      <c r="B2045" s="19"/>
      <c r="C2045" s="20"/>
      <c r="D2045" s="19"/>
      <c r="E2045" s="26" t="str">
        <f aca="false">IF(A2045="","",COUNTIFS(Apparitions!$A$2:$A$5001,A2045,Apparitions!$B$2:$B$5001,B2045))</f>
        <v/>
      </c>
      <c r="F2045" s="27" t="str">
        <f aca="false">IF(A2045="","",A2045&amp;"|"&amp;B2045)</f>
        <v/>
      </c>
    </row>
    <row r="2046" customFormat="false" ht="15" hidden="false" customHeight="false" outlineLevel="0" collapsed="false">
      <c r="A2046" s="19"/>
      <c r="B2046" s="19"/>
      <c r="C2046" s="20"/>
      <c r="D2046" s="19"/>
      <c r="E2046" s="26" t="str">
        <f aca="false">IF(A2046="","",COUNTIFS(Apparitions!$A$2:$A$5001,A2046,Apparitions!$B$2:$B$5001,B2046))</f>
        <v/>
      </c>
      <c r="F2046" s="27" t="str">
        <f aca="false">IF(A2046="","",A2046&amp;"|"&amp;B2046)</f>
        <v/>
      </c>
    </row>
    <row r="2047" customFormat="false" ht="15" hidden="false" customHeight="false" outlineLevel="0" collapsed="false">
      <c r="A2047" s="19"/>
      <c r="B2047" s="19"/>
      <c r="C2047" s="20"/>
      <c r="D2047" s="19"/>
      <c r="E2047" s="26" t="str">
        <f aca="false">IF(A2047="","",COUNTIFS(Apparitions!$A$2:$A$5001,A2047,Apparitions!$B$2:$B$5001,B2047))</f>
        <v/>
      </c>
      <c r="F2047" s="27" t="str">
        <f aca="false">IF(A2047="","",A2047&amp;"|"&amp;B2047)</f>
        <v/>
      </c>
    </row>
    <row r="2048" customFormat="false" ht="15" hidden="false" customHeight="false" outlineLevel="0" collapsed="false">
      <c r="A2048" s="19"/>
      <c r="B2048" s="19"/>
      <c r="C2048" s="20"/>
      <c r="D2048" s="19"/>
      <c r="E2048" s="26" t="str">
        <f aca="false">IF(A2048="","",COUNTIFS(Apparitions!$A$2:$A$5001,A2048,Apparitions!$B$2:$B$5001,B2048))</f>
        <v/>
      </c>
      <c r="F2048" s="27" t="str">
        <f aca="false">IF(A2048="","",A2048&amp;"|"&amp;B2048)</f>
        <v/>
      </c>
    </row>
    <row r="2049" customFormat="false" ht="15" hidden="false" customHeight="false" outlineLevel="0" collapsed="false">
      <c r="A2049" s="19"/>
      <c r="B2049" s="19"/>
      <c r="C2049" s="20"/>
      <c r="D2049" s="19"/>
      <c r="E2049" s="26" t="str">
        <f aca="false">IF(A2049="","",COUNTIFS(Apparitions!$A$2:$A$5001,A2049,Apparitions!$B$2:$B$5001,B2049))</f>
        <v/>
      </c>
      <c r="F2049" s="27" t="str">
        <f aca="false">IF(A2049="","",A2049&amp;"|"&amp;B2049)</f>
        <v/>
      </c>
    </row>
    <row r="2050" customFormat="false" ht="15" hidden="false" customHeight="false" outlineLevel="0" collapsed="false">
      <c r="A2050" s="19"/>
      <c r="B2050" s="19"/>
      <c r="C2050" s="20"/>
      <c r="D2050" s="19"/>
      <c r="E2050" s="26" t="str">
        <f aca="false">IF(A2050="","",COUNTIFS(Apparitions!$A$2:$A$5001,A2050,Apparitions!$B$2:$B$5001,B2050))</f>
        <v/>
      </c>
      <c r="F2050" s="27" t="str">
        <f aca="false">IF(A2050="","",A2050&amp;"|"&amp;B2050)</f>
        <v/>
      </c>
    </row>
    <row r="2051" customFormat="false" ht="15" hidden="false" customHeight="false" outlineLevel="0" collapsed="false">
      <c r="A2051" s="19"/>
      <c r="B2051" s="19"/>
      <c r="C2051" s="20"/>
      <c r="D2051" s="19"/>
      <c r="E2051" s="26" t="str">
        <f aca="false">IF(A2051="","",COUNTIFS(Apparitions!$A$2:$A$5001,A2051,Apparitions!$B$2:$B$5001,B2051))</f>
        <v/>
      </c>
      <c r="F2051" s="27" t="str">
        <f aca="false">IF(A2051="","",A2051&amp;"|"&amp;B2051)</f>
        <v/>
      </c>
    </row>
    <row r="2052" customFormat="false" ht="15" hidden="false" customHeight="false" outlineLevel="0" collapsed="false">
      <c r="A2052" s="19"/>
      <c r="B2052" s="19"/>
      <c r="C2052" s="20"/>
      <c r="D2052" s="19"/>
      <c r="E2052" s="26" t="str">
        <f aca="false">IF(A2052="","",COUNTIFS(Apparitions!$A$2:$A$5001,A2052,Apparitions!$B$2:$B$5001,B2052))</f>
        <v/>
      </c>
      <c r="F2052" s="27" t="str">
        <f aca="false">IF(A2052="","",A2052&amp;"|"&amp;B2052)</f>
        <v/>
      </c>
    </row>
    <row r="2053" customFormat="false" ht="15" hidden="false" customHeight="false" outlineLevel="0" collapsed="false">
      <c r="A2053" s="19"/>
      <c r="B2053" s="19"/>
      <c r="C2053" s="20"/>
      <c r="D2053" s="19"/>
      <c r="E2053" s="26" t="str">
        <f aca="false">IF(A2053="","",COUNTIFS(Apparitions!$A$2:$A$5001,A2053,Apparitions!$B$2:$B$5001,B2053))</f>
        <v/>
      </c>
      <c r="F2053" s="27" t="str">
        <f aca="false">IF(A2053="","",A2053&amp;"|"&amp;B2053)</f>
        <v/>
      </c>
    </row>
    <row r="2054" customFormat="false" ht="15" hidden="false" customHeight="false" outlineLevel="0" collapsed="false">
      <c r="A2054" s="19"/>
      <c r="B2054" s="19"/>
      <c r="C2054" s="20"/>
      <c r="D2054" s="19"/>
      <c r="E2054" s="26" t="str">
        <f aca="false">IF(A2054="","",COUNTIFS(Apparitions!$A$2:$A$5001,A2054,Apparitions!$B$2:$B$5001,B2054))</f>
        <v/>
      </c>
      <c r="F2054" s="27" t="str">
        <f aca="false">IF(A2054="","",A2054&amp;"|"&amp;B2054)</f>
        <v/>
      </c>
    </row>
    <row r="2055" customFormat="false" ht="15" hidden="false" customHeight="false" outlineLevel="0" collapsed="false">
      <c r="A2055" s="19"/>
      <c r="B2055" s="19"/>
      <c r="C2055" s="20"/>
      <c r="D2055" s="19"/>
      <c r="E2055" s="26" t="str">
        <f aca="false">IF(A2055="","",COUNTIFS(Apparitions!$A$2:$A$5001,A2055,Apparitions!$B$2:$B$5001,B2055))</f>
        <v/>
      </c>
      <c r="F2055" s="27" t="str">
        <f aca="false">IF(A2055="","",A2055&amp;"|"&amp;B2055)</f>
        <v/>
      </c>
    </row>
    <row r="2056" customFormat="false" ht="15" hidden="false" customHeight="false" outlineLevel="0" collapsed="false">
      <c r="A2056" s="19"/>
      <c r="B2056" s="19"/>
      <c r="C2056" s="20"/>
      <c r="D2056" s="19"/>
      <c r="E2056" s="26" t="str">
        <f aca="false">IF(A2056="","",COUNTIFS(Apparitions!$A$2:$A$5001,A2056,Apparitions!$B$2:$B$5001,B2056))</f>
        <v/>
      </c>
      <c r="F2056" s="27" t="str">
        <f aca="false">IF(A2056="","",A2056&amp;"|"&amp;B2056)</f>
        <v/>
      </c>
    </row>
    <row r="2057" customFormat="false" ht="15" hidden="false" customHeight="false" outlineLevel="0" collapsed="false">
      <c r="A2057" s="19"/>
      <c r="B2057" s="19"/>
      <c r="C2057" s="20"/>
      <c r="D2057" s="19"/>
      <c r="E2057" s="26" t="str">
        <f aca="false">IF(A2057="","",COUNTIFS(Apparitions!$A$2:$A$5001,A2057,Apparitions!$B$2:$B$5001,B2057))</f>
        <v/>
      </c>
      <c r="F2057" s="27" t="str">
        <f aca="false">IF(A2057="","",A2057&amp;"|"&amp;B2057)</f>
        <v/>
      </c>
    </row>
    <row r="2058" customFormat="false" ht="15" hidden="false" customHeight="false" outlineLevel="0" collapsed="false">
      <c r="A2058" s="19"/>
      <c r="B2058" s="19"/>
      <c r="C2058" s="20"/>
      <c r="D2058" s="19"/>
      <c r="E2058" s="26" t="str">
        <f aca="false">IF(A2058="","",COUNTIFS(Apparitions!$A$2:$A$5001,A2058,Apparitions!$B$2:$B$5001,B2058))</f>
        <v/>
      </c>
      <c r="F2058" s="27" t="str">
        <f aca="false">IF(A2058="","",A2058&amp;"|"&amp;B2058)</f>
        <v/>
      </c>
    </row>
    <row r="2059" customFormat="false" ht="15" hidden="false" customHeight="false" outlineLevel="0" collapsed="false">
      <c r="A2059" s="19"/>
      <c r="B2059" s="19"/>
      <c r="C2059" s="20"/>
      <c r="D2059" s="19"/>
      <c r="E2059" s="26" t="str">
        <f aca="false">IF(A2059="","",COUNTIFS(Apparitions!$A$2:$A$5001,A2059,Apparitions!$B$2:$B$5001,B2059))</f>
        <v/>
      </c>
      <c r="F2059" s="27" t="str">
        <f aca="false">IF(A2059="","",A2059&amp;"|"&amp;B2059)</f>
        <v/>
      </c>
    </row>
    <row r="2060" customFormat="false" ht="15" hidden="false" customHeight="false" outlineLevel="0" collapsed="false">
      <c r="A2060" s="19"/>
      <c r="B2060" s="19"/>
      <c r="C2060" s="20"/>
      <c r="D2060" s="19"/>
      <c r="E2060" s="26" t="str">
        <f aca="false">IF(A2060="","",COUNTIFS(Apparitions!$A$2:$A$5001,A2060,Apparitions!$B$2:$B$5001,B2060))</f>
        <v/>
      </c>
      <c r="F2060" s="27" t="str">
        <f aca="false">IF(A2060="","",A2060&amp;"|"&amp;B2060)</f>
        <v/>
      </c>
    </row>
    <row r="2061" customFormat="false" ht="15" hidden="false" customHeight="false" outlineLevel="0" collapsed="false">
      <c r="A2061" s="19"/>
      <c r="B2061" s="19"/>
      <c r="C2061" s="20"/>
      <c r="D2061" s="19"/>
      <c r="E2061" s="26" t="str">
        <f aca="false">IF(A2061="","",COUNTIFS(Apparitions!$A$2:$A$5001,A2061,Apparitions!$B$2:$B$5001,B2061))</f>
        <v/>
      </c>
      <c r="F2061" s="27" t="str">
        <f aca="false">IF(A2061="","",A2061&amp;"|"&amp;B2061)</f>
        <v/>
      </c>
    </row>
    <row r="2062" customFormat="false" ht="15" hidden="false" customHeight="false" outlineLevel="0" collapsed="false">
      <c r="A2062" s="19"/>
      <c r="B2062" s="19"/>
      <c r="C2062" s="20"/>
      <c r="D2062" s="19"/>
      <c r="E2062" s="26" t="str">
        <f aca="false">IF(A2062="","",COUNTIFS(Apparitions!$A$2:$A$5001,A2062,Apparitions!$B$2:$B$5001,B2062))</f>
        <v/>
      </c>
      <c r="F2062" s="27" t="str">
        <f aca="false">IF(A2062="","",A2062&amp;"|"&amp;B2062)</f>
        <v/>
      </c>
    </row>
    <row r="2063" customFormat="false" ht="15" hidden="false" customHeight="false" outlineLevel="0" collapsed="false">
      <c r="A2063" s="19"/>
      <c r="B2063" s="19"/>
      <c r="C2063" s="20"/>
      <c r="D2063" s="19"/>
      <c r="E2063" s="26" t="str">
        <f aca="false">IF(A2063="","",COUNTIFS(Apparitions!$A$2:$A$5001,A2063,Apparitions!$B$2:$B$5001,B2063))</f>
        <v/>
      </c>
      <c r="F2063" s="27" t="str">
        <f aca="false">IF(A2063="","",A2063&amp;"|"&amp;B2063)</f>
        <v/>
      </c>
    </row>
    <row r="2064" customFormat="false" ht="15" hidden="false" customHeight="false" outlineLevel="0" collapsed="false">
      <c r="A2064" s="19"/>
      <c r="B2064" s="19"/>
      <c r="C2064" s="20"/>
      <c r="D2064" s="19"/>
      <c r="E2064" s="26" t="str">
        <f aca="false">IF(A2064="","",COUNTIFS(Apparitions!$A$2:$A$5001,A2064,Apparitions!$B$2:$B$5001,B2064))</f>
        <v/>
      </c>
      <c r="F2064" s="27" t="str">
        <f aca="false">IF(A2064="","",A2064&amp;"|"&amp;B2064)</f>
        <v/>
      </c>
    </row>
    <row r="2065" customFormat="false" ht="15" hidden="false" customHeight="false" outlineLevel="0" collapsed="false">
      <c r="A2065" s="19"/>
      <c r="B2065" s="19"/>
      <c r="C2065" s="20"/>
      <c r="D2065" s="19"/>
      <c r="E2065" s="26" t="str">
        <f aca="false">IF(A2065="","",COUNTIFS(Apparitions!$A$2:$A$5001,A2065,Apparitions!$B$2:$B$5001,B2065))</f>
        <v/>
      </c>
      <c r="F2065" s="27" t="str">
        <f aca="false">IF(A2065="","",A2065&amp;"|"&amp;B2065)</f>
        <v/>
      </c>
    </row>
    <row r="2066" customFormat="false" ht="15" hidden="false" customHeight="false" outlineLevel="0" collapsed="false">
      <c r="A2066" s="19"/>
      <c r="B2066" s="19"/>
      <c r="C2066" s="20"/>
      <c r="D2066" s="19"/>
      <c r="E2066" s="26" t="str">
        <f aca="false">IF(A2066="","",COUNTIFS(Apparitions!$A$2:$A$5001,A2066,Apparitions!$B$2:$B$5001,B2066))</f>
        <v/>
      </c>
      <c r="F2066" s="27" t="str">
        <f aca="false">IF(A2066="","",A2066&amp;"|"&amp;B2066)</f>
        <v/>
      </c>
    </row>
    <row r="2067" customFormat="false" ht="15" hidden="false" customHeight="false" outlineLevel="0" collapsed="false">
      <c r="A2067" s="19"/>
      <c r="B2067" s="19"/>
      <c r="C2067" s="20"/>
      <c r="D2067" s="19"/>
      <c r="E2067" s="26" t="str">
        <f aca="false">IF(A2067="","",COUNTIFS(Apparitions!$A$2:$A$5001,A2067,Apparitions!$B$2:$B$5001,B2067))</f>
        <v/>
      </c>
      <c r="F2067" s="27" t="str">
        <f aca="false">IF(A2067="","",A2067&amp;"|"&amp;B2067)</f>
        <v/>
      </c>
    </row>
    <row r="2068" customFormat="false" ht="15" hidden="false" customHeight="false" outlineLevel="0" collapsed="false">
      <c r="A2068" s="19"/>
      <c r="B2068" s="19"/>
      <c r="C2068" s="20"/>
      <c r="D2068" s="19"/>
      <c r="E2068" s="26" t="str">
        <f aca="false">IF(A2068="","",COUNTIFS(Apparitions!$A$2:$A$5001,A2068,Apparitions!$B$2:$B$5001,B2068))</f>
        <v/>
      </c>
      <c r="F2068" s="27" t="str">
        <f aca="false">IF(A2068="","",A2068&amp;"|"&amp;B2068)</f>
        <v/>
      </c>
    </row>
    <row r="2069" customFormat="false" ht="15" hidden="false" customHeight="false" outlineLevel="0" collapsed="false">
      <c r="A2069" s="19"/>
      <c r="B2069" s="19"/>
      <c r="C2069" s="20"/>
      <c r="D2069" s="19"/>
      <c r="E2069" s="26" t="str">
        <f aca="false">IF(A2069="","",COUNTIFS(Apparitions!$A$2:$A$5001,A2069,Apparitions!$B$2:$B$5001,B2069))</f>
        <v/>
      </c>
      <c r="F2069" s="27" t="str">
        <f aca="false">IF(A2069="","",A2069&amp;"|"&amp;B2069)</f>
        <v/>
      </c>
    </row>
    <row r="2070" customFormat="false" ht="15" hidden="false" customHeight="false" outlineLevel="0" collapsed="false">
      <c r="A2070" s="19"/>
      <c r="B2070" s="19"/>
      <c r="C2070" s="20"/>
      <c r="D2070" s="19"/>
      <c r="E2070" s="26" t="str">
        <f aca="false">IF(A2070="","",COUNTIFS(Apparitions!$A$2:$A$5001,A2070,Apparitions!$B$2:$B$5001,B2070))</f>
        <v/>
      </c>
      <c r="F2070" s="27" t="str">
        <f aca="false">IF(A2070="","",A2070&amp;"|"&amp;B2070)</f>
        <v/>
      </c>
    </row>
    <row r="2071" customFormat="false" ht="15" hidden="false" customHeight="false" outlineLevel="0" collapsed="false">
      <c r="A2071" s="19"/>
      <c r="B2071" s="19"/>
      <c r="C2071" s="20"/>
      <c r="D2071" s="19"/>
      <c r="E2071" s="26" t="str">
        <f aca="false">IF(A2071="","",COUNTIFS(Apparitions!$A$2:$A$5001,A2071,Apparitions!$B$2:$B$5001,B2071))</f>
        <v/>
      </c>
      <c r="F2071" s="27" t="str">
        <f aca="false">IF(A2071="","",A2071&amp;"|"&amp;B2071)</f>
        <v/>
      </c>
    </row>
    <row r="2072" customFormat="false" ht="15" hidden="false" customHeight="false" outlineLevel="0" collapsed="false">
      <c r="A2072" s="19"/>
      <c r="B2072" s="19"/>
      <c r="C2072" s="20"/>
      <c r="D2072" s="19"/>
      <c r="E2072" s="26" t="str">
        <f aca="false">IF(A2072="","",COUNTIFS(Apparitions!$A$2:$A$5001,A2072,Apparitions!$B$2:$B$5001,B2072))</f>
        <v/>
      </c>
      <c r="F2072" s="27" t="str">
        <f aca="false">IF(A2072="","",A2072&amp;"|"&amp;B2072)</f>
        <v/>
      </c>
    </row>
    <row r="2073" customFormat="false" ht="15" hidden="false" customHeight="false" outlineLevel="0" collapsed="false">
      <c r="A2073" s="19"/>
      <c r="B2073" s="19"/>
      <c r="C2073" s="20"/>
      <c r="D2073" s="19"/>
      <c r="E2073" s="26" t="str">
        <f aca="false">IF(A2073="","",COUNTIFS(Apparitions!$A$2:$A$5001,A2073,Apparitions!$B$2:$B$5001,B2073))</f>
        <v/>
      </c>
      <c r="F2073" s="27" t="str">
        <f aca="false">IF(A2073="","",A2073&amp;"|"&amp;B2073)</f>
        <v/>
      </c>
    </row>
    <row r="2074" customFormat="false" ht="15" hidden="false" customHeight="false" outlineLevel="0" collapsed="false">
      <c r="A2074" s="19"/>
      <c r="B2074" s="19"/>
      <c r="C2074" s="20"/>
      <c r="D2074" s="19"/>
      <c r="E2074" s="26" t="str">
        <f aca="false">IF(A2074="","",COUNTIFS(Apparitions!$A$2:$A$5001,A2074,Apparitions!$B$2:$B$5001,B2074))</f>
        <v/>
      </c>
      <c r="F2074" s="27" t="str">
        <f aca="false">IF(A2074="","",A2074&amp;"|"&amp;B2074)</f>
        <v/>
      </c>
    </row>
    <row r="2075" customFormat="false" ht="15" hidden="false" customHeight="false" outlineLevel="0" collapsed="false">
      <c r="A2075" s="19"/>
      <c r="B2075" s="19"/>
      <c r="C2075" s="20"/>
      <c r="D2075" s="19"/>
      <c r="E2075" s="26" t="str">
        <f aca="false">IF(A2075="","",COUNTIFS(Apparitions!$A$2:$A$5001,A2075,Apparitions!$B$2:$B$5001,B2075))</f>
        <v/>
      </c>
      <c r="F2075" s="27" t="str">
        <f aca="false">IF(A2075="","",A2075&amp;"|"&amp;B2075)</f>
        <v/>
      </c>
    </row>
    <row r="2076" customFormat="false" ht="15" hidden="false" customHeight="false" outlineLevel="0" collapsed="false">
      <c r="A2076" s="19"/>
      <c r="B2076" s="19"/>
      <c r="C2076" s="20"/>
      <c r="D2076" s="19"/>
      <c r="E2076" s="26" t="str">
        <f aca="false">IF(A2076="","",COUNTIFS(Apparitions!$A$2:$A$5001,A2076,Apparitions!$B$2:$B$5001,B2076))</f>
        <v/>
      </c>
      <c r="F2076" s="27" t="str">
        <f aca="false">IF(A2076="","",A2076&amp;"|"&amp;B2076)</f>
        <v/>
      </c>
    </row>
    <row r="2077" customFormat="false" ht="15" hidden="false" customHeight="false" outlineLevel="0" collapsed="false">
      <c r="A2077" s="19"/>
      <c r="B2077" s="19"/>
      <c r="C2077" s="20"/>
      <c r="D2077" s="19"/>
      <c r="E2077" s="26" t="str">
        <f aca="false">IF(A2077="","",COUNTIFS(Apparitions!$A$2:$A$5001,A2077,Apparitions!$B$2:$B$5001,B2077))</f>
        <v/>
      </c>
      <c r="F2077" s="27" t="str">
        <f aca="false">IF(A2077="","",A2077&amp;"|"&amp;B2077)</f>
        <v/>
      </c>
    </row>
    <row r="2078" customFormat="false" ht="15" hidden="false" customHeight="false" outlineLevel="0" collapsed="false">
      <c r="A2078" s="19"/>
      <c r="B2078" s="19"/>
      <c r="C2078" s="20"/>
      <c r="D2078" s="19"/>
      <c r="E2078" s="26" t="str">
        <f aca="false">IF(A2078="","",COUNTIFS(Apparitions!$A$2:$A$5001,A2078,Apparitions!$B$2:$B$5001,B2078))</f>
        <v/>
      </c>
      <c r="F2078" s="27" t="str">
        <f aca="false">IF(A2078="","",A2078&amp;"|"&amp;B2078)</f>
        <v/>
      </c>
    </row>
    <row r="2079" customFormat="false" ht="15" hidden="false" customHeight="false" outlineLevel="0" collapsed="false">
      <c r="A2079" s="19"/>
      <c r="B2079" s="19"/>
      <c r="C2079" s="20"/>
      <c r="D2079" s="19"/>
      <c r="E2079" s="26" t="str">
        <f aca="false">IF(A2079="","",COUNTIFS(Apparitions!$A$2:$A$5001,A2079,Apparitions!$B$2:$B$5001,B2079))</f>
        <v/>
      </c>
      <c r="F2079" s="27" t="str">
        <f aca="false">IF(A2079="","",A2079&amp;"|"&amp;B2079)</f>
        <v/>
      </c>
    </row>
    <row r="2080" customFormat="false" ht="15" hidden="false" customHeight="false" outlineLevel="0" collapsed="false">
      <c r="A2080" s="19"/>
      <c r="B2080" s="19"/>
      <c r="C2080" s="20"/>
      <c r="D2080" s="19"/>
      <c r="E2080" s="26" t="str">
        <f aca="false">IF(A2080="","",COUNTIFS(Apparitions!$A$2:$A$5001,A2080,Apparitions!$B$2:$B$5001,B2080))</f>
        <v/>
      </c>
      <c r="F2080" s="27" t="str">
        <f aca="false">IF(A2080="","",A2080&amp;"|"&amp;B2080)</f>
        <v/>
      </c>
    </row>
    <row r="2081" customFormat="false" ht="15" hidden="false" customHeight="false" outlineLevel="0" collapsed="false">
      <c r="A2081" s="19"/>
      <c r="B2081" s="19"/>
      <c r="C2081" s="20"/>
      <c r="D2081" s="19"/>
      <c r="E2081" s="26" t="str">
        <f aca="false">IF(A2081="","",COUNTIFS(Apparitions!$A$2:$A$5001,A2081,Apparitions!$B$2:$B$5001,B2081))</f>
        <v/>
      </c>
      <c r="F2081" s="27" t="str">
        <f aca="false">IF(A2081="","",A2081&amp;"|"&amp;B2081)</f>
        <v/>
      </c>
    </row>
    <row r="2082" customFormat="false" ht="15" hidden="false" customHeight="false" outlineLevel="0" collapsed="false">
      <c r="A2082" s="19"/>
      <c r="B2082" s="19"/>
      <c r="C2082" s="20"/>
      <c r="D2082" s="19"/>
      <c r="E2082" s="26" t="str">
        <f aca="false">IF(A2082="","",COUNTIFS(Apparitions!$A$2:$A$5001,A2082,Apparitions!$B$2:$B$5001,B2082))</f>
        <v/>
      </c>
      <c r="F2082" s="27" t="str">
        <f aca="false">IF(A2082="","",A2082&amp;"|"&amp;B2082)</f>
        <v/>
      </c>
    </row>
    <row r="2083" customFormat="false" ht="15" hidden="false" customHeight="false" outlineLevel="0" collapsed="false">
      <c r="A2083" s="19"/>
      <c r="B2083" s="19"/>
      <c r="C2083" s="20"/>
      <c r="D2083" s="19"/>
      <c r="E2083" s="26" t="str">
        <f aca="false">IF(A2083="","",COUNTIFS(Apparitions!$A$2:$A$5001,A2083,Apparitions!$B$2:$B$5001,B2083))</f>
        <v/>
      </c>
      <c r="F2083" s="27" t="str">
        <f aca="false">IF(A2083="","",A2083&amp;"|"&amp;B2083)</f>
        <v/>
      </c>
    </row>
    <row r="2084" customFormat="false" ht="15" hidden="false" customHeight="false" outlineLevel="0" collapsed="false">
      <c r="A2084" s="19"/>
      <c r="B2084" s="19"/>
      <c r="C2084" s="20"/>
      <c r="D2084" s="19"/>
      <c r="E2084" s="26" t="str">
        <f aca="false">IF(A2084="","",COUNTIFS(Apparitions!$A$2:$A$5001,A2084,Apparitions!$B$2:$B$5001,B2084))</f>
        <v/>
      </c>
      <c r="F2084" s="27" t="str">
        <f aca="false">IF(A2084="","",A2084&amp;"|"&amp;B2084)</f>
        <v/>
      </c>
    </row>
    <row r="2085" customFormat="false" ht="15" hidden="false" customHeight="false" outlineLevel="0" collapsed="false">
      <c r="A2085" s="19"/>
      <c r="B2085" s="19"/>
      <c r="C2085" s="20"/>
      <c r="D2085" s="19"/>
      <c r="E2085" s="26" t="str">
        <f aca="false">IF(A2085="","",COUNTIFS(Apparitions!$A$2:$A$5001,A2085,Apparitions!$B$2:$B$5001,B2085))</f>
        <v/>
      </c>
      <c r="F2085" s="27" t="str">
        <f aca="false">IF(A2085="","",A2085&amp;"|"&amp;B2085)</f>
        <v/>
      </c>
    </row>
    <row r="2086" customFormat="false" ht="15" hidden="false" customHeight="false" outlineLevel="0" collapsed="false">
      <c r="A2086" s="19"/>
      <c r="B2086" s="19"/>
      <c r="C2086" s="20"/>
      <c r="D2086" s="19"/>
      <c r="E2086" s="26" t="str">
        <f aca="false">IF(A2086="","",COUNTIFS(Apparitions!$A$2:$A$5001,A2086,Apparitions!$B$2:$B$5001,B2086))</f>
        <v/>
      </c>
      <c r="F2086" s="27" t="str">
        <f aca="false">IF(A2086="","",A2086&amp;"|"&amp;B2086)</f>
        <v/>
      </c>
    </row>
    <row r="2087" customFormat="false" ht="15" hidden="false" customHeight="false" outlineLevel="0" collapsed="false">
      <c r="A2087" s="19"/>
      <c r="B2087" s="19"/>
      <c r="C2087" s="20"/>
      <c r="D2087" s="19"/>
      <c r="E2087" s="26" t="str">
        <f aca="false">IF(A2087="","",COUNTIFS(Apparitions!$A$2:$A$5001,A2087,Apparitions!$B$2:$B$5001,B2087))</f>
        <v/>
      </c>
      <c r="F2087" s="27" t="str">
        <f aca="false">IF(A2087="","",A2087&amp;"|"&amp;B2087)</f>
        <v/>
      </c>
    </row>
    <row r="2088" customFormat="false" ht="15" hidden="false" customHeight="false" outlineLevel="0" collapsed="false">
      <c r="A2088" s="19"/>
      <c r="B2088" s="19"/>
      <c r="C2088" s="20"/>
      <c r="D2088" s="19"/>
      <c r="E2088" s="26" t="str">
        <f aca="false">IF(A2088="","",COUNTIFS(Apparitions!$A$2:$A$5001,A2088,Apparitions!$B$2:$B$5001,B2088))</f>
        <v/>
      </c>
      <c r="F2088" s="27" t="str">
        <f aca="false">IF(A2088="","",A2088&amp;"|"&amp;B2088)</f>
        <v/>
      </c>
    </row>
    <row r="2089" customFormat="false" ht="15" hidden="false" customHeight="false" outlineLevel="0" collapsed="false">
      <c r="A2089" s="19"/>
      <c r="B2089" s="19"/>
      <c r="C2089" s="20"/>
      <c r="D2089" s="19"/>
      <c r="E2089" s="26" t="str">
        <f aca="false">IF(A2089="","",COUNTIFS(Apparitions!$A$2:$A$5001,A2089,Apparitions!$B$2:$B$5001,B2089))</f>
        <v/>
      </c>
      <c r="F2089" s="27" t="str">
        <f aca="false">IF(A2089="","",A2089&amp;"|"&amp;B2089)</f>
        <v/>
      </c>
    </row>
    <row r="2090" customFormat="false" ht="15" hidden="false" customHeight="false" outlineLevel="0" collapsed="false">
      <c r="A2090" s="19"/>
      <c r="B2090" s="19"/>
      <c r="C2090" s="20"/>
      <c r="D2090" s="19"/>
      <c r="E2090" s="26" t="str">
        <f aca="false">IF(A2090="","",COUNTIFS(Apparitions!$A$2:$A$5001,A2090,Apparitions!$B$2:$B$5001,B2090))</f>
        <v/>
      </c>
      <c r="F2090" s="27" t="str">
        <f aca="false">IF(A2090="","",A2090&amp;"|"&amp;B2090)</f>
        <v/>
      </c>
    </row>
    <row r="2091" customFormat="false" ht="15" hidden="false" customHeight="false" outlineLevel="0" collapsed="false">
      <c r="A2091" s="19"/>
      <c r="B2091" s="19"/>
      <c r="C2091" s="20"/>
      <c r="D2091" s="19"/>
      <c r="E2091" s="26" t="str">
        <f aca="false">IF(A2091="","",COUNTIFS(Apparitions!$A$2:$A$5001,A2091,Apparitions!$B$2:$B$5001,B2091))</f>
        <v/>
      </c>
      <c r="F2091" s="27" t="str">
        <f aca="false">IF(A2091="","",A2091&amp;"|"&amp;B2091)</f>
        <v/>
      </c>
    </row>
    <row r="2092" customFormat="false" ht="15" hidden="false" customHeight="false" outlineLevel="0" collapsed="false">
      <c r="A2092" s="19"/>
      <c r="B2092" s="19"/>
      <c r="C2092" s="20"/>
      <c r="D2092" s="19"/>
      <c r="E2092" s="26" t="str">
        <f aca="false">IF(A2092="","",COUNTIFS(Apparitions!$A$2:$A$5001,A2092,Apparitions!$B$2:$B$5001,B2092))</f>
        <v/>
      </c>
      <c r="F2092" s="27" t="str">
        <f aca="false">IF(A2092="","",A2092&amp;"|"&amp;B2092)</f>
        <v/>
      </c>
    </row>
    <row r="2093" customFormat="false" ht="15" hidden="false" customHeight="false" outlineLevel="0" collapsed="false">
      <c r="A2093" s="19"/>
      <c r="B2093" s="19"/>
      <c r="C2093" s="20"/>
      <c r="D2093" s="19"/>
      <c r="E2093" s="26" t="str">
        <f aca="false">IF(A2093="","",COUNTIFS(Apparitions!$A$2:$A$5001,A2093,Apparitions!$B$2:$B$5001,B2093))</f>
        <v/>
      </c>
      <c r="F2093" s="27" t="str">
        <f aca="false">IF(A2093="","",A2093&amp;"|"&amp;B2093)</f>
        <v/>
      </c>
    </row>
    <row r="2094" customFormat="false" ht="15" hidden="false" customHeight="false" outlineLevel="0" collapsed="false">
      <c r="A2094" s="19"/>
      <c r="B2094" s="19"/>
      <c r="C2094" s="20"/>
      <c r="D2094" s="19"/>
      <c r="E2094" s="26" t="str">
        <f aca="false">IF(A2094="","",COUNTIFS(Apparitions!$A$2:$A$5001,A2094,Apparitions!$B$2:$B$5001,B2094))</f>
        <v/>
      </c>
      <c r="F2094" s="27" t="str">
        <f aca="false">IF(A2094="","",A2094&amp;"|"&amp;B2094)</f>
        <v/>
      </c>
    </row>
    <row r="2095" customFormat="false" ht="15" hidden="false" customHeight="false" outlineLevel="0" collapsed="false">
      <c r="A2095" s="19"/>
      <c r="B2095" s="19"/>
      <c r="C2095" s="20"/>
      <c r="D2095" s="19"/>
      <c r="E2095" s="26" t="str">
        <f aca="false">IF(A2095="","",COUNTIFS(Apparitions!$A$2:$A$5001,A2095,Apparitions!$B$2:$B$5001,B2095))</f>
        <v/>
      </c>
      <c r="F2095" s="27" t="str">
        <f aca="false">IF(A2095="","",A2095&amp;"|"&amp;B2095)</f>
        <v/>
      </c>
    </row>
    <row r="2096" customFormat="false" ht="15" hidden="false" customHeight="false" outlineLevel="0" collapsed="false">
      <c r="A2096" s="19"/>
      <c r="B2096" s="19"/>
      <c r="C2096" s="20"/>
      <c r="D2096" s="19"/>
      <c r="E2096" s="26" t="str">
        <f aca="false">IF(A2096="","",COUNTIFS(Apparitions!$A$2:$A$5001,A2096,Apparitions!$B$2:$B$5001,B2096))</f>
        <v/>
      </c>
      <c r="F2096" s="27" t="str">
        <f aca="false">IF(A2096="","",A2096&amp;"|"&amp;B2096)</f>
        <v/>
      </c>
    </row>
    <row r="2097" customFormat="false" ht="15" hidden="false" customHeight="false" outlineLevel="0" collapsed="false">
      <c r="A2097" s="19"/>
      <c r="B2097" s="19"/>
      <c r="C2097" s="20"/>
      <c r="D2097" s="19"/>
      <c r="E2097" s="26" t="str">
        <f aca="false">IF(A2097="","",COUNTIFS(Apparitions!$A$2:$A$5001,A2097,Apparitions!$B$2:$B$5001,B2097))</f>
        <v/>
      </c>
      <c r="F2097" s="27" t="str">
        <f aca="false">IF(A2097="","",A2097&amp;"|"&amp;B2097)</f>
        <v/>
      </c>
    </row>
    <row r="2098" customFormat="false" ht="15" hidden="false" customHeight="false" outlineLevel="0" collapsed="false">
      <c r="A2098" s="19"/>
      <c r="B2098" s="19"/>
      <c r="C2098" s="20"/>
      <c r="D2098" s="19"/>
      <c r="E2098" s="26" t="str">
        <f aca="false">IF(A2098="","",COUNTIFS(Apparitions!$A$2:$A$5001,A2098,Apparitions!$B$2:$B$5001,B2098))</f>
        <v/>
      </c>
      <c r="F2098" s="27" t="str">
        <f aca="false">IF(A2098="","",A2098&amp;"|"&amp;B2098)</f>
        <v/>
      </c>
    </row>
    <row r="2099" customFormat="false" ht="15" hidden="false" customHeight="false" outlineLevel="0" collapsed="false">
      <c r="A2099" s="19"/>
      <c r="B2099" s="19"/>
      <c r="C2099" s="20"/>
      <c r="D2099" s="19"/>
      <c r="E2099" s="26" t="str">
        <f aca="false">IF(A2099="","",COUNTIFS(Apparitions!$A$2:$A$5001,A2099,Apparitions!$B$2:$B$5001,B2099))</f>
        <v/>
      </c>
      <c r="F2099" s="27" t="str">
        <f aca="false">IF(A2099="","",A2099&amp;"|"&amp;B2099)</f>
        <v/>
      </c>
    </row>
    <row r="2100" customFormat="false" ht="15" hidden="false" customHeight="false" outlineLevel="0" collapsed="false">
      <c r="A2100" s="19"/>
      <c r="B2100" s="19"/>
      <c r="C2100" s="20"/>
      <c r="D2100" s="19"/>
      <c r="E2100" s="26" t="str">
        <f aca="false">IF(A2100="","",COUNTIFS(Apparitions!$A$2:$A$5001,A2100,Apparitions!$B$2:$B$5001,B2100))</f>
        <v/>
      </c>
      <c r="F2100" s="27" t="str">
        <f aca="false">IF(A2100="","",A2100&amp;"|"&amp;B2100)</f>
        <v/>
      </c>
    </row>
    <row r="2101" customFormat="false" ht="15" hidden="false" customHeight="false" outlineLevel="0" collapsed="false">
      <c r="A2101" s="19"/>
      <c r="B2101" s="19"/>
      <c r="C2101" s="20"/>
      <c r="D2101" s="19"/>
      <c r="E2101" s="26" t="str">
        <f aca="false">IF(A2101="","",COUNTIFS(Apparitions!$A$2:$A$5001,A2101,Apparitions!$B$2:$B$5001,B2101))</f>
        <v/>
      </c>
      <c r="F2101" s="27" t="str">
        <f aca="false">IF(A2101="","",A2101&amp;"|"&amp;B2101)</f>
        <v/>
      </c>
    </row>
    <row r="2102" customFormat="false" ht="15" hidden="false" customHeight="false" outlineLevel="0" collapsed="false">
      <c r="A2102" s="19"/>
      <c r="B2102" s="19"/>
      <c r="C2102" s="20"/>
      <c r="D2102" s="19"/>
      <c r="E2102" s="26" t="str">
        <f aca="false">IF(A2102="","",COUNTIFS(Apparitions!$A$2:$A$5001,A2102,Apparitions!$B$2:$B$5001,B2102))</f>
        <v/>
      </c>
      <c r="F2102" s="27" t="str">
        <f aca="false">IF(A2102="","",A2102&amp;"|"&amp;B2102)</f>
        <v/>
      </c>
    </row>
    <row r="2103" customFormat="false" ht="15" hidden="false" customHeight="false" outlineLevel="0" collapsed="false">
      <c r="A2103" s="19"/>
      <c r="B2103" s="19"/>
      <c r="C2103" s="20"/>
      <c r="D2103" s="19"/>
      <c r="E2103" s="26" t="str">
        <f aca="false">IF(A2103="","",COUNTIFS(Apparitions!$A$2:$A$5001,A2103,Apparitions!$B$2:$B$5001,B2103))</f>
        <v/>
      </c>
      <c r="F2103" s="27" t="str">
        <f aca="false">IF(A2103="","",A2103&amp;"|"&amp;B2103)</f>
        <v/>
      </c>
    </row>
    <row r="2104" customFormat="false" ht="15" hidden="false" customHeight="false" outlineLevel="0" collapsed="false">
      <c r="A2104" s="19"/>
      <c r="B2104" s="19"/>
      <c r="C2104" s="20"/>
      <c r="D2104" s="19"/>
      <c r="E2104" s="26" t="str">
        <f aca="false">IF(A2104="","",COUNTIFS(Apparitions!$A$2:$A$5001,A2104,Apparitions!$B$2:$B$5001,B2104))</f>
        <v/>
      </c>
      <c r="F2104" s="27" t="str">
        <f aca="false">IF(A2104="","",A2104&amp;"|"&amp;B2104)</f>
        <v/>
      </c>
    </row>
    <row r="2105" customFormat="false" ht="15" hidden="false" customHeight="false" outlineLevel="0" collapsed="false">
      <c r="A2105" s="19"/>
      <c r="B2105" s="19"/>
      <c r="C2105" s="20"/>
      <c r="D2105" s="19"/>
      <c r="E2105" s="26" t="str">
        <f aca="false">IF(A2105="","",COUNTIFS(Apparitions!$A$2:$A$5001,A2105,Apparitions!$B$2:$B$5001,B2105))</f>
        <v/>
      </c>
      <c r="F2105" s="27" t="str">
        <f aca="false">IF(A2105="","",A2105&amp;"|"&amp;B2105)</f>
        <v/>
      </c>
    </row>
    <row r="2106" customFormat="false" ht="15" hidden="false" customHeight="false" outlineLevel="0" collapsed="false">
      <c r="A2106" s="19"/>
      <c r="B2106" s="19"/>
      <c r="C2106" s="20"/>
      <c r="D2106" s="19"/>
      <c r="E2106" s="26" t="str">
        <f aca="false">IF(A2106="","",COUNTIFS(Apparitions!$A$2:$A$5001,A2106,Apparitions!$B$2:$B$5001,B2106))</f>
        <v/>
      </c>
      <c r="F2106" s="27" t="str">
        <f aca="false">IF(A2106="","",A2106&amp;"|"&amp;B2106)</f>
        <v/>
      </c>
    </row>
    <row r="2107" customFormat="false" ht="15" hidden="false" customHeight="false" outlineLevel="0" collapsed="false">
      <c r="A2107" s="19"/>
      <c r="B2107" s="19"/>
      <c r="C2107" s="20"/>
      <c r="D2107" s="19"/>
      <c r="E2107" s="26" t="str">
        <f aca="false">IF(A2107="","",COUNTIFS(Apparitions!$A$2:$A$5001,A2107,Apparitions!$B$2:$B$5001,B2107))</f>
        <v/>
      </c>
      <c r="F2107" s="27" t="str">
        <f aca="false">IF(A2107="","",A2107&amp;"|"&amp;B2107)</f>
        <v/>
      </c>
    </row>
    <row r="2108" customFormat="false" ht="15" hidden="false" customHeight="false" outlineLevel="0" collapsed="false">
      <c r="A2108" s="19"/>
      <c r="B2108" s="19"/>
      <c r="C2108" s="20"/>
      <c r="D2108" s="19"/>
      <c r="E2108" s="26" t="str">
        <f aca="false">IF(A2108="","",COUNTIFS(Apparitions!$A$2:$A$5001,A2108,Apparitions!$B$2:$B$5001,B2108))</f>
        <v/>
      </c>
      <c r="F2108" s="27" t="str">
        <f aca="false">IF(A2108="","",A2108&amp;"|"&amp;B2108)</f>
        <v/>
      </c>
    </row>
    <row r="2109" customFormat="false" ht="15" hidden="false" customHeight="false" outlineLevel="0" collapsed="false">
      <c r="A2109" s="19"/>
      <c r="B2109" s="19"/>
      <c r="C2109" s="20"/>
      <c r="D2109" s="19"/>
      <c r="E2109" s="26" t="str">
        <f aca="false">IF(A2109="","",COUNTIFS(Apparitions!$A$2:$A$5001,A2109,Apparitions!$B$2:$B$5001,B2109))</f>
        <v/>
      </c>
      <c r="F2109" s="27" t="str">
        <f aca="false">IF(A2109="","",A2109&amp;"|"&amp;B2109)</f>
        <v/>
      </c>
    </row>
    <row r="2110" customFormat="false" ht="15" hidden="false" customHeight="false" outlineLevel="0" collapsed="false">
      <c r="A2110" s="19"/>
      <c r="B2110" s="19"/>
      <c r="C2110" s="20"/>
      <c r="D2110" s="19"/>
      <c r="E2110" s="26" t="str">
        <f aca="false">IF(A2110="","",COUNTIFS(Apparitions!$A$2:$A$5001,A2110,Apparitions!$B$2:$B$5001,B2110))</f>
        <v/>
      </c>
      <c r="F2110" s="27" t="str">
        <f aca="false">IF(A2110="","",A2110&amp;"|"&amp;B2110)</f>
        <v/>
      </c>
    </row>
    <row r="2111" customFormat="false" ht="15" hidden="false" customHeight="false" outlineLevel="0" collapsed="false">
      <c r="A2111" s="19"/>
      <c r="B2111" s="19"/>
      <c r="C2111" s="20"/>
      <c r="D2111" s="19"/>
      <c r="E2111" s="26" t="str">
        <f aca="false">IF(A2111="","",COUNTIFS(Apparitions!$A$2:$A$5001,A2111,Apparitions!$B$2:$B$5001,B2111))</f>
        <v/>
      </c>
      <c r="F2111" s="27" t="str">
        <f aca="false">IF(A2111="","",A2111&amp;"|"&amp;B2111)</f>
        <v/>
      </c>
    </row>
    <row r="2112" customFormat="false" ht="15" hidden="false" customHeight="false" outlineLevel="0" collapsed="false">
      <c r="A2112" s="19"/>
      <c r="B2112" s="19"/>
      <c r="C2112" s="20"/>
      <c r="D2112" s="19"/>
      <c r="E2112" s="26" t="str">
        <f aca="false">IF(A2112="","",COUNTIFS(Apparitions!$A$2:$A$5001,A2112,Apparitions!$B$2:$B$5001,B2112))</f>
        <v/>
      </c>
      <c r="F2112" s="27" t="str">
        <f aca="false">IF(A2112="","",A2112&amp;"|"&amp;B2112)</f>
        <v/>
      </c>
    </row>
    <row r="2113" customFormat="false" ht="15" hidden="false" customHeight="false" outlineLevel="0" collapsed="false">
      <c r="A2113" s="19"/>
      <c r="B2113" s="19"/>
      <c r="C2113" s="20"/>
      <c r="D2113" s="19"/>
      <c r="E2113" s="26" t="str">
        <f aca="false">IF(A2113="","",COUNTIFS(Apparitions!$A$2:$A$5001,A2113,Apparitions!$B$2:$B$5001,B2113))</f>
        <v/>
      </c>
      <c r="F2113" s="27" t="str">
        <f aca="false">IF(A2113="","",A2113&amp;"|"&amp;B2113)</f>
        <v/>
      </c>
    </row>
    <row r="2114" customFormat="false" ht="15" hidden="false" customHeight="false" outlineLevel="0" collapsed="false">
      <c r="A2114" s="19"/>
      <c r="B2114" s="19"/>
      <c r="C2114" s="20"/>
      <c r="D2114" s="19"/>
      <c r="E2114" s="26" t="str">
        <f aca="false">IF(A2114="","",COUNTIFS(Apparitions!$A$2:$A$5001,A2114,Apparitions!$B$2:$B$5001,B2114))</f>
        <v/>
      </c>
      <c r="F2114" s="27" t="str">
        <f aca="false">IF(A2114="","",A2114&amp;"|"&amp;B2114)</f>
        <v/>
      </c>
    </row>
    <row r="2115" customFormat="false" ht="15" hidden="false" customHeight="false" outlineLevel="0" collapsed="false">
      <c r="A2115" s="19"/>
      <c r="B2115" s="19"/>
      <c r="C2115" s="20"/>
      <c r="D2115" s="19"/>
      <c r="E2115" s="26" t="str">
        <f aca="false">IF(A2115="","",COUNTIFS(Apparitions!$A$2:$A$5001,A2115,Apparitions!$B$2:$B$5001,B2115))</f>
        <v/>
      </c>
      <c r="F2115" s="27" t="str">
        <f aca="false">IF(A2115="","",A2115&amp;"|"&amp;B2115)</f>
        <v/>
      </c>
    </row>
    <row r="2116" customFormat="false" ht="15" hidden="false" customHeight="false" outlineLevel="0" collapsed="false">
      <c r="A2116" s="19"/>
      <c r="B2116" s="19"/>
      <c r="C2116" s="20"/>
      <c r="D2116" s="19"/>
      <c r="E2116" s="26" t="str">
        <f aca="false">IF(A2116="","",COUNTIFS(Apparitions!$A$2:$A$5001,A2116,Apparitions!$B$2:$B$5001,B2116))</f>
        <v/>
      </c>
      <c r="F2116" s="27" t="str">
        <f aca="false">IF(A2116="","",A2116&amp;"|"&amp;B2116)</f>
        <v/>
      </c>
    </row>
    <row r="2117" customFormat="false" ht="15" hidden="false" customHeight="false" outlineLevel="0" collapsed="false">
      <c r="A2117" s="19"/>
      <c r="B2117" s="19"/>
      <c r="C2117" s="20"/>
      <c r="D2117" s="19"/>
      <c r="E2117" s="26" t="str">
        <f aca="false">IF(A2117="","",COUNTIFS(Apparitions!$A$2:$A$5001,A2117,Apparitions!$B$2:$B$5001,B2117))</f>
        <v/>
      </c>
      <c r="F2117" s="27" t="str">
        <f aca="false">IF(A2117="","",A2117&amp;"|"&amp;B2117)</f>
        <v/>
      </c>
    </row>
    <row r="2118" customFormat="false" ht="15" hidden="false" customHeight="false" outlineLevel="0" collapsed="false">
      <c r="A2118" s="19"/>
      <c r="B2118" s="19"/>
      <c r="C2118" s="20"/>
      <c r="D2118" s="19"/>
      <c r="E2118" s="26" t="str">
        <f aca="false">IF(A2118="","",COUNTIFS(Apparitions!$A$2:$A$5001,A2118,Apparitions!$B$2:$B$5001,B2118))</f>
        <v/>
      </c>
      <c r="F2118" s="27" t="str">
        <f aca="false">IF(A2118="","",A2118&amp;"|"&amp;B2118)</f>
        <v/>
      </c>
    </row>
    <row r="2119" customFormat="false" ht="15" hidden="false" customHeight="false" outlineLevel="0" collapsed="false">
      <c r="A2119" s="19"/>
      <c r="B2119" s="19"/>
      <c r="C2119" s="20"/>
      <c r="D2119" s="19"/>
      <c r="E2119" s="26" t="str">
        <f aca="false">IF(A2119="","",COUNTIFS(Apparitions!$A$2:$A$5001,A2119,Apparitions!$B$2:$B$5001,B2119))</f>
        <v/>
      </c>
      <c r="F2119" s="27" t="str">
        <f aca="false">IF(A2119="","",A2119&amp;"|"&amp;B2119)</f>
        <v/>
      </c>
    </row>
    <row r="2120" customFormat="false" ht="15" hidden="false" customHeight="false" outlineLevel="0" collapsed="false">
      <c r="A2120" s="19"/>
      <c r="B2120" s="19"/>
      <c r="C2120" s="20"/>
      <c r="D2120" s="19"/>
      <c r="E2120" s="26" t="str">
        <f aca="false">IF(A2120="","",COUNTIFS(Apparitions!$A$2:$A$5001,A2120,Apparitions!$B$2:$B$5001,B2120))</f>
        <v/>
      </c>
      <c r="F2120" s="27" t="str">
        <f aca="false">IF(A2120="","",A2120&amp;"|"&amp;B2120)</f>
        <v/>
      </c>
    </row>
    <row r="2121" customFormat="false" ht="15" hidden="false" customHeight="false" outlineLevel="0" collapsed="false">
      <c r="A2121" s="19"/>
      <c r="B2121" s="19"/>
      <c r="C2121" s="20"/>
      <c r="D2121" s="19"/>
      <c r="E2121" s="26" t="str">
        <f aca="false">IF(A2121="","",COUNTIFS(Apparitions!$A$2:$A$5001,A2121,Apparitions!$B$2:$B$5001,B2121))</f>
        <v/>
      </c>
      <c r="F2121" s="27" t="str">
        <f aca="false">IF(A2121="","",A2121&amp;"|"&amp;B2121)</f>
        <v/>
      </c>
    </row>
    <row r="2122" customFormat="false" ht="15" hidden="false" customHeight="false" outlineLevel="0" collapsed="false">
      <c r="A2122" s="19"/>
      <c r="B2122" s="19"/>
      <c r="C2122" s="20"/>
      <c r="D2122" s="19"/>
      <c r="E2122" s="26" t="str">
        <f aca="false">IF(A2122="","",COUNTIFS(Apparitions!$A$2:$A$5001,A2122,Apparitions!$B$2:$B$5001,B2122))</f>
        <v/>
      </c>
      <c r="F2122" s="27" t="str">
        <f aca="false">IF(A2122="","",A2122&amp;"|"&amp;B2122)</f>
        <v/>
      </c>
    </row>
    <row r="2123" customFormat="false" ht="15" hidden="false" customHeight="false" outlineLevel="0" collapsed="false">
      <c r="A2123" s="19"/>
      <c r="B2123" s="19"/>
      <c r="C2123" s="20"/>
      <c r="D2123" s="19"/>
      <c r="E2123" s="26" t="str">
        <f aca="false">IF(A2123="","",COUNTIFS(Apparitions!$A$2:$A$5001,A2123,Apparitions!$B$2:$B$5001,B2123))</f>
        <v/>
      </c>
      <c r="F2123" s="27" t="str">
        <f aca="false">IF(A2123="","",A2123&amp;"|"&amp;B2123)</f>
        <v/>
      </c>
    </row>
    <row r="2124" customFormat="false" ht="15" hidden="false" customHeight="false" outlineLevel="0" collapsed="false">
      <c r="A2124" s="19"/>
      <c r="B2124" s="19"/>
      <c r="C2124" s="20"/>
      <c r="D2124" s="19"/>
      <c r="E2124" s="26" t="str">
        <f aca="false">IF(A2124="","",COUNTIFS(Apparitions!$A$2:$A$5001,A2124,Apparitions!$B$2:$B$5001,B2124))</f>
        <v/>
      </c>
      <c r="F2124" s="27" t="str">
        <f aca="false">IF(A2124="","",A2124&amp;"|"&amp;B2124)</f>
        <v/>
      </c>
    </row>
    <row r="2125" customFormat="false" ht="15" hidden="false" customHeight="false" outlineLevel="0" collapsed="false">
      <c r="A2125" s="19"/>
      <c r="B2125" s="19"/>
      <c r="C2125" s="20"/>
      <c r="D2125" s="19"/>
      <c r="E2125" s="26" t="str">
        <f aca="false">IF(A2125="","",COUNTIFS(Apparitions!$A$2:$A$5001,A2125,Apparitions!$B$2:$B$5001,B2125))</f>
        <v/>
      </c>
      <c r="F2125" s="27" t="str">
        <f aca="false">IF(A2125="","",A2125&amp;"|"&amp;B2125)</f>
        <v/>
      </c>
    </row>
    <row r="2126" customFormat="false" ht="15" hidden="false" customHeight="false" outlineLevel="0" collapsed="false">
      <c r="A2126" s="19"/>
      <c r="B2126" s="19"/>
      <c r="C2126" s="20"/>
      <c r="D2126" s="19"/>
      <c r="E2126" s="26" t="str">
        <f aca="false">IF(A2126="","",COUNTIFS(Apparitions!$A$2:$A$5001,A2126,Apparitions!$B$2:$B$5001,B2126))</f>
        <v/>
      </c>
      <c r="F2126" s="27" t="str">
        <f aca="false">IF(A2126="","",A2126&amp;"|"&amp;B2126)</f>
        <v/>
      </c>
    </row>
    <row r="2127" customFormat="false" ht="15" hidden="false" customHeight="false" outlineLevel="0" collapsed="false">
      <c r="A2127" s="19"/>
      <c r="B2127" s="19"/>
      <c r="C2127" s="20"/>
      <c r="D2127" s="19"/>
      <c r="E2127" s="26" t="str">
        <f aca="false">IF(A2127="","",COUNTIFS(Apparitions!$A$2:$A$5001,A2127,Apparitions!$B$2:$B$5001,B2127))</f>
        <v/>
      </c>
      <c r="F2127" s="27" t="str">
        <f aca="false">IF(A2127="","",A2127&amp;"|"&amp;B2127)</f>
        <v/>
      </c>
    </row>
    <row r="2128" customFormat="false" ht="15" hidden="false" customHeight="false" outlineLevel="0" collapsed="false">
      <c r="A2128" s="19"/>
      <c r="B2128" s="19"/>
      <c r="C2128" s="20"/>
      <c r="D2128" s="19"/>
      <c r="E2128" s="26" t="str">
        <f aca="false">IF(A2128="","",COUNTIFS(Apparitions!$A$2:$A$5001,A2128,Apparitions!$B$2:$B$5001,B2128))</f>
        <v/>
      </c>
      <c r="F2128" s="27" t="str">
        <f aca="false">IF(A2128="","",A2128&amp;"|"&amp;B2128)</f>
        <v/>
      </c>
    </row>
    <row r="2129" customFormat="false" ht="15" hidden="false" customHeight="false" outlineLevel="0" collapsed="false">
      <c r="A2129" s="19"/>
      <c r="B2129" s="19"/>
      <c r="C2129" s="20"/>
      <c r="D2129" s="19"/>
      <c r="E2129" s="26" t="str">
        <f aca="false">IF(A2129="","",COUNTIFS(Apparitions!$A$2:$A$5001,A2129,Apparitions!$B$2:$B$5001,B2129))</f>
        <v/>
      </c>
      <c r="F2129" s="27" t="str">
        <f aca="false">IF(A2129="","",A2129&amp;"|"&amp;B2129)</f>
        <v/>
      </c>
    </row>
    <row r="2130" customFormat="false" ht="15" hidden="false" customHeight="false" outlineLevel="0" collapsed="false">
      <c r="A2130" s="19"/>
      <c r="B2130" s="19"/>
      <c r="C2130" s="20"/>
      <c r="D2130" s="19"/>
      <c r="E2130" s="26" t="str">
        <f aca="false">IF(A2130="","",COUNTIFS(Apparitions!$A$2:$A$5001,A2130,Apparitions!$B$2:$B$5001,B2130))</f>
        <v/>
      </c>
      <c r="F2130" s="27" t="str">
        <f aca="false">IF(A2130="","",A2130&amp;"|"&amp;B2130)</f>
        <v/>
      </c>
    </row>
    <row r="2131" customFormat="false" ht="15" hidden="false" customHeight="false" outlineLevel="0" collapsed="false">
      <c r="A2131" s="19"/>
      <c r="B2131" s="19"/>
      <c r="C2131" s="20"/>
      <c r="D2131" s="19"/>
      <c r="E2131" s="26" t="str">
        <f aca="false">IF(A2131="","",COUNTIFS(Apparitions!$A$2:$A$5001,A2131,Apparitions!$B$2:$B$5001,B2131))</f>
        <v/>
      </c>
      <c r="F2131" s="27" t="str">
        <f aca="false">IF(A2131="","",A2131&amp;"|"&amp;B2131)</f>
        <v/>
      </c>
    </row>
    <row r="2132" customFormat="false" ht="15" hidden="false" customHeight="false" outlineLevel="0" collapsed="false">
      <c r="A2132" s="19"/>
      <c r="B2132" s="19"/>
      <c r="C2132" s="20"/>
      <c r="D2132" s="19"/>
      <c r="E2132" s="26" t="str">
        <f aca="false">IF(A2132="","",COUNTIFS(Apparitions!$A$2:$A$5001,A2132,Apparitions!$B$2:$B$5001,B2132))</f>
        <v/>
      </c>
      <c r="F2132" s="27" t="str">
        <f aca="false">IF(A2132="","",A2132&amp;"|"&amp;B2132)</f>
        <v/>
      </c>
    </row>
    <row r="2133" customFormat="false" ht="15" hidden="false" customHeight="false" outlineLevel="0" collapsed="false">
      <c r="A2133" s="19"/>
      <c r="B2133" s="19"/>
      <c r="C2133" s="20"/>
      <c r="D2133" s="19"/>
      <c r="E2133" s="26" t="str">
        <f aca="false">IF(A2133="","",COUNTIFS(Apparitions!$A$2:$A$5001,A2133,Apparitions!$B$2:$B$5001,B2133))</f>
        <v/>
      </c>
      <c r="F2133" s="27" t="str">
        <f aca="false">IF(A2133="","",A2133&amp;"|"&amp;B2133)</f>
        <v/>
      </c>
    </row>
    <row r="2134" customFormat="false" ht="15" hidden="false" customHeight="false" outlineLevel="0" collapsed="false">
      <c r="A2134" s="19"/>
      <c r="B2134" s="19"/>
      <c r="C2134" s="20"/>
      <c r="D2134" s="19"/>
      <c r="E2134" s="26" t="str">
        <f aca="false">IF(A2134="","",COUNTIFS(Apparitions!$A$2:$A$5001,A2134,Apparitions!$B$2:$B$5001,B2134))</f>
        <v/>
      </c>
      <c r="F2134" s="27" t="str">
        <f aca="false">IF(A2134="","",A2134&amp;"|"&amp;B2134)</f>
        <v/>
      </c>
    </row>
    <row r="2135" customFormat="false" ht="15" hidden="false" customHeight="false" outlineLevel="0" collapsed="false">
      <c r="A2135" s="19"/>
      <c r="B2135" s="19"/>
      <c r="C2135" s="20"/>
      <c r="D2135" s="19"/>
      <c r="E2135" s="26" t="str">
        <f aca="false">IF(A2135="","",COUNTIFS(Apparitions!$A$2:$A$5001,A2135,Apparitions!$B$2:$B$5001,B2135))</f>
        <v/>
      </c>
      <c r="F2135" s="27" t="str">
        <f aca="false">IF(A2135="","",A2135&amp;"|"&amp;B2135)</f>
        <v/>
      </c>
    </row>
    <row r="2136" customFormat="false" ht="15" hidden="false" customHeight="false" outlineLevel="0" collapsed="false">
      <c r="A2136" s="19"/>
      <c r="B2136" s="19"/>
      <c r="C2136" s="20"/>
      <c r="D2136" s="19"/>
      <c r="E2136" s="26" t="str">
        <f aca="false">IF(A2136="","",COUNTIFS(Apparitions!$A$2:$A$5001,A2136,Apparitions!$B$2:$B$5001,B2136))</f>
        <v/>
      </c>
      <c r="F2136" s="27" t="str">
        <f aca="false">IF(A2136="","",A2136&amp;"|"&amp;B2136)</f>
        <v/>
      </c>
    </row>
    <row r="2137" customFormat="false" ht="15" hidden="false" customHeight="false" outlineLevel="0" collapsed="false">
      <c r="A2137" s="19"/>
      <c r="B2137" s="19"/>
      <c r="C2137" s="20"/>
      <c r="D2137" s="19"/>
      <c r="E2137" s="26" t="str">
        <f aca="false">IF(A2137="","",COUNTIFS(Apparitions!$A$2:$A$5001,A2137,Apparitions!$B$2:$B$5001,B2137))</f>
        <v/>
      </c>
      <c r="F2137" s="27" t="str">
        <f aca="false">IF(A2137="","",A2137&amp;"|"&amp;B2137)</f>
        <v/>
      </c>
    </row>
    <row r="2138" customFormat="false" ht="15" hidden="false" customHeight="false" outlineLevel="0" collapsed="false">
      <c r="A2138" s="19"/>
      <c r="B2138" s="19"/>
      <c r="C2138" s="20"/>
      <c r="D2138" s="19"/>
      <c r="E2138" s="26" t="str">
        <f aca="false">IF(A2138="","",COUNTIFS(Apparitions!$A$2:$A$5001,A2138,Apparitions!$B$2:$B$5001,B2138))</f>
        <v/>
      </c>
      <c r="F2138" s="27" t="str">
        <f aca="false">IF(A2138="","",A2138&amp;"|"&amp;B2138)</f>
        <v/>
      </c>
    </row>
    <row r="2139" customFormat="false" ht="15" hidden="false" customHeight="false" outlineLevel="0" collapsed="false">
      <c r="A2139" s="19"/>
      <c r="B2139" s="19"/>
      <c r="C2139" s="20"/>
      <c r="D2139" s="19"/>
      <c r="E2139" s="26" t="str">
        <f aca="false">IF(A2139="","",COUNTIFS(Apparitions!$A$2:$A$5001,A2139,Apparitions!$B$2:$B$5001,B2139))</f>
        <v/>
      </c>
      <c r="F2139" s="27" t="str">
        <f aca="false">IF(A2139="","",A2139&amp;"|"&amp;B2139)</f>
        <v/>
      </c>
    </row>
    <row r="2140" customFormat="false" ht="15" hidden="false" customHeight="false" outlineLevel="0" collapsed="false">
      <c r="A2140" s="19"/>
      <c r="B2140" s="19"/>
      <c r="C2140" s="20"/>
      <c r="D2140" s="19"/>
      <c r="E2140" s="26" t="str">
        <f aca="false">IF(A2140="","",COUNTIFS(Apparitions!$A$2:$A$5001,A2140,Apparitions!$B$2:$B$5001,B2140))</f>
        <v/>
      </c>
      <c r="F2140" s="27" t="str">
        <f aca="false">IF(A2140="","",A2140&amp;"|"&amp;B2140)</f>
        <v/>
      </c>
    </row>
    <row r="2141" customFormat="false" ht="15" hidden="false" customHeight="false" outlineLevel="0" collapsed="false">
      <c r="A2141" s="19"/>
      <c r="B2141" s="19"/>
      <c r="C2141" s="20"/>
      <c r="D2141" s="19"/>
      <c r="E2141" s="26" t="str">
        <f aca="false">IF(A2141="","",COUNTIFS(Apparitions!$A$2:$A$5001,A2141,Apparitions!$B$2:$B$5001,B2141))</f>
        <v/>
      </c>
      <c r="F2141" s="27" t="str">
        <f aca="false">IF(A2141="","",A2141&amp;"|"&amp;B2141)</f>
        <v/>
      </c>
    </row>
    <row r="2142" customFormat="false" ht="15" hidden="false" customHeight="false" outlineLevel="0" collapsed="false">
      <c r="A2142" s="19"/>
      <c r="B2142" s="19"/>
      <c r="C2142" s="20"/>
      <c r="D2142" s="19"/>
      <c r="E2142" s="26" t="str">
        <f aca="false">IF(A2142="","",COUNTIFS(Apparitions!$A$2:$A$5001,A2142,Apparitions!$B$2:$B$5001,B2142))</f>
        <v/>
      </c>
      <c r="F2142" s="27" t="str">
        <f aca="false">IF(A2142="","",A2142&amp;"|"&amp;B2142)</f>
        <v/>
      </c>
    </row>
    <row r="2143" customFormat="false" ht="15" hidden="false" customHeight="false" outlineLevel="0" collapsed="false">
      <c r="A2143" s="19"/>
      <c r="B2143" s="19"/>
      <c r="C2143" s="20"/>
      <c r="D2143" s="19"/>
      <c r="E2143" s="26" t="str">
        <f aca="false">IF(A2143="","",COUNTIFS(Apparitions!$A$2:$A$5001,A2143,Apparitions!$B$2:$B$5001,B2143))</f>
        <v/>
      </c>
      <c r="F2143" s="27" t="str">
        <f aca="false">IF(A2143="","",A2143&amp;"|"&amp;B2143)</f>
        <v/>
      </c>
    </row>
    <row r="2144" customFormat="false" ht="15" hidden="false" customHeight="false" outlineLevel="0" collapsed="false">
      <c r="A2144" s="19"/>
      <c r="B2144" s="19"/>
      <c r="C2144" s="20"/>
      <c r="D2144" s="19"/>
      <c r="E2144" s="26" t="str">
        <f aca="false">IF(A2144="","",COUNTIFS(Apparitions!$A$2:$A$5001,A2144,Apparitions!$B$2:$B$5001,B2144))</f>
        <v/>
      </c>
      <c r="F2144" s="27" t="str">
        <f aca="false">IF(A2144="","",A2144&amp;"|"&amp;B2144)</f>
        <v/>
      </c>
    </row>
    <row r="2145" customFormat="false" ht="15" hidden="false" customHeight="false" outlineLevel="0" collapsed="false">
      <c r="A2145" s="19"/>
      <c r="B2145" s="19"/>
      <c r="C2145" s="20"/>
      <c r="D2145" s="19"/>
      <c r="E2145" s="26" t="str">
        <f aca="false">IF(A2145="","",COUNTIFS(Apparitions!$A$2:$A$5001,A2145,Apparitions!$B$2:$B$5001,B2145))</f>
        <v/>
      </c>
      <c r="F2145" s="27" t="str">
        <f aca="false">IF(A2145="","",A2145&amp;"|"&amp;B2145)</f>
        <v/>
      </c>
    </row>
    <row r="2146" customFormat="false" ht="15" hidden="false" customHeight="false" outlineLevel="0" collapsed="false">
      <c r="A2146" s="19"/>
      <c r="B2146" s="19"/>
      <c r="C2146" s="20"/>
      <c r="D2146" s="19"/>
      <c r="E2146" s="26" t="str">
        <f aca="false">IF(A2146="","",COUNTIFS(Apparitions!$A$2:$A$5001,A2146,Apparitions!$B$2:$B$5001,B2146))</f>
        <v/>
      </c>
      <c r="F2146" s="27" t="str">
        <f aca="false">IF(A2146="","",A2146&amp;"|"&amp;B2146)</f>
        <v/>
      </c>
    </row>
    <row r="2147" customFormat="false" ht="15" hidden="false" customHeight="false" outlineLevel="0" collapsed="false">
      <c r="A2147" s="19"/>
      <c r="B2147" s="19"/>
      <c r="C2147" s="20"/>
      <c r="D2147" s="19"/>
      <c r="E2147" s="26" t="str">
        <f aca="false">IF(A2147="","",COUNTIFS(Apparitions!$A$2:$A$5001,A2147,Apparitions!$B$2:$B$5001,B2147))</f>
        <v/>
      </c>
      <c r="F2147" s="27" t="str">
        <f aca="false">IF(A2147="","",A2147&amp;"|"&amp;B2147)</f>
        <v/>
      </c>
    </row>
    <row r="2148" customFormat="false" ht="15" hidden="false" customHeight="false" outlineLevel="0" collapsed="false">
      <c r="A2148" s="19"/>
      <c r="B2148" s="19"/>
      <c r="C2148" s="20"/>
      <c r="D2148" s="19"/>
      <c r="E2148" s="26" t="str">
        <f aca="false">IF(A2148="","",COUNTIFS(Apparitions!$A$2:$A$5001,A2148,Apparitions!$B$2:$B$5001,B2148))</f>
        <v/>
      </c>
      <c r="F2148" s="27" t="str">
        <f aca="false">IF(A2148="","",A2148&amp;"|"&amp;B2148)</f>
        <v/>
      </c>
    </row>
    <row r="2149" customFormat="false" ht="15" hidden="false" customHeight="false" outlineLevel="0" collapsed="false">
      <c r="A2149" s="19"/>
      <c r="B2149" s="19"/>
      <c r="C2149" s="20"/>
      <c r="D2149" s="19"/>
      <c r="E2149" s="26" t="str">
        <f aca="false">IF(A2149="","",COUNTIFS(Apparitions!$A$2:$A$5001,A2149,Apparitions!$B$2:$B$5001,B2149))</f>
        <v/>
      </c>
      <c r="F2149" s="27" t="str">
        <f aca="false">IF(A2149="","",A2149&amp;"|"&amp;B2149)</f>
        <v/>
      </c>
    </row>
    <row r="2150" customFormat="false" ht="15" hidden="false" customHeight="false" outlineLevel="0" collapsed="false">
      <c r="A2150" s="19"/>
      <c r="B2150" s="19"/>
      <c r="C2150" s="20"/>
      <c r="D2150" s="19"/>
      <c r="E2150" s="26" t="str">
        <f aca="false">IF(A2150="","",COUNTIFS(Apparitions!$A$2:$A$5001,A2150,Apparitions!$B$2:$B$5001,B2150))</f>
        <v/>
      </c>
      <c r="F2150" s="27" t="str">
        <f aca="false">IF(A2150="","",A2150&amp;"|"&amp;B2150)</f>
        <v/>
      </c>
    </row>
    <row r="2151" customFormat="false" ht="15" hidden="false" customHeight="false" outlineLevel="0" collapsed="false">
      <c r="A2151" s="19"/>
      <c r="B2151" s="19"/>
      <c r="C2151" s="20"/>
      <c r="D2151" s="19"/>
      <c r="E2151" s="26" t="str">
        <f aca="false">IF(A2151="","",COUNTIFS(Apparitions!$A$2:$A$5001,A2151,Apparitions!$B$2:$B$5001,B2151))</f>
        <v/>
      </c>
      <c r="F2151" s="27" t="str">
        <f aca="false">IF(A2151="","",A2151&amp;"|"&amp;B2151)</f>
        <v/>
      </c>
    </row>
    <row r="2152" customFormat="false" ht="15" hidden="false" customHeight="false" outlineLevel="0" collapsed="false">
      <c r="A2152" s="19"/>
      <c r="B2152" s="19"/>
      <c r="C2152" s="20"/>
      <c r="D2152" s="19"/>
      <c r="E2152" s="26" t="str">
        <f aca="false">IF(A2152="","",COUNTIFS(Apparitions!$A$2:$A$5001,A2152,Apparitions!$B$2:$B$5001,B2152))</f>
        <v/>
      </c>
      <c r="F2152" s="27" t="str">
        <f aca="false">IF(A2152="","",A2152&amp;"|"&amp;B2152)</f>
        <v/>
      </c>
    </row>
    <row r="2153" customFormat="false" ht="15" hidden="false" customHeight="false" outlineLevel="0" collapsed="false">
      <c r="A2153" s="19"/>
      <c r="B2153" s="19"/>
      <c r="C2153" s="20"/>
      <c r="D2153" s="19"/>
      <c r="E2153" s="26" t="str">
        <f aca="false">IF(A2153="","",COUNTIFS(Apparitions!$A$2:$A$5001,A2153,Apparitions!$B$2:$B$5001,B2153))</f>
        <v/>
      </c>
      <c r="F2153" s="27" t="str">
        <f aca="false">IF(A2153="","",A2153&amp;"|"&amp;B2153)</f>
        <v/>
      </c>
    </row>
    <row r="2154" customFormat="false" ht="15" hidden="false" customHeight="false" outlineLevel="0" collapsed="false">
      <c r="A2154" s="19"/>
      <c r="B2154" s="19"/>
      <c r="C2154" s="20"/>
      <c r="D2154" s="19"/>
      <c r="E2154" s="26" t="str">
        <f aca="false">IF(A2154="","",COUNTIFS(Apparitions!$A$2:$A$5001,A2154,Apparitions!$B$2:$B$5001,B2154))</f>
        <v/>
      </c>
      <c r="F2154" s="27" t="str">
        <f aca="false">IF(A2154="","",A2154&amp;"|"&amp;B2154)</f>
        <v/>
      </c>
    </row>
    <row r="2155" customFormat="false" ht="15" hidden="false" customHeight="false" outlineLevel="0" collapsed="false">
      <c r="A2155" s="19"/>
      <c r="B2155" s="19"/>
      <c r="C2155" s="20"/>
      <c r="D2155" s="19"/>
      <c r="E2155" s="26" t="str">
        <f aca="false">IF(A2155="","",COUNTIFS(Apparitions!$A$2:$A$5001,A2155,Apparitions!$B$2:$B$5001,B2155))</f>
        <v/>
      </c>
      <c r="F2155" s="27" t="str">
        <f aca="false">IF(A2155="","",A2155&amp;"|"&amp;B2155)</f>
        <v/>
      </c>
    </row>
    <row r="2156" customFormat="false" ht="15" hidden="false" customHeight="false" outlineLevel="0" collapsed="false">
      <c r="A2156" s="19"/>
      <c r="B2156" s="19"/>
      <c r="C2156" s="20"/>
      <c r="D2156" s="19"/>
      <c r="E2156" s="26" t="str">
        <f aca="false">IF(A2156="","",COUNTIFS(Apparitions!$A$2:$A$5001,A2156,Apparitions!$B$2:$B$5001,B2156))</f>
        <v/>
      </c>
      <c r="F2156" s="27" t="str">
        <f aca="false">IF(A2156="","",A2156&amp;"|"&amp;B2156)</f>
        <v/>
      </c>
    </row>
    <row r="2157" customFormat="false" ht="15" hidden="false" customHeight="false" outlineLevel="0" collapsed="false">
      <c r="A2157" s="19"/>
      <c r="B2157" s="19"/>
      <c r="C2157" s="20"/>
      <c r="D2157" s="19"/>
      <c r="E2157" s="26" t="str">
        <f aca="false">IF(A2157="","",COUNTIFS(Apparitions!$A$2:$A$5001,A2157,Apparitions!$B$2:$B$5001,B2157))</f>
        <v/>
      </c>
      <c r="F2157" s="27" t="str">
        <f aca="false">IF(A2157="","",A2157&amp;"|"&amp;B2157)</f>
        <v/>
      </c>
    </row>
    <row r="2158" customFormat="false" ht="15" hidden="false" customHeight="false" outlineLevel="0" collapsed="false">
      <c r="A2158" s="19"/>
      <c r="B2158" s="19"/>
      <c r="C2158" s="20"/>
      <c r="D2158" s="19"/>
      <c r="E2158" s="26" t="str">
        <f aca="false">IF(A2158="","",COUNTIFS(Apparitions!$A$2:$A$5001,A2158,Apparitions!$B$2:$B$5001,B2158))</f>
        <v/>
      </c>
      <c r="F2158" s="27" t="str">
        <f aca="false">IF(A2158="","",A2158&amp;"|"&amp;B2158)</f>
        <v/>
      </c>
    </row>
    <row r="2159" customFormat="false" ht="15" hidden="false" customHeight="false" outlineLevel="0" collapsed="false">
      <c r="A2159" s="19"/>
      <c r="B2159" s="19"/>
      <c r="C2159" s="20"/>
      <c r="D2159" s="19"/>
      <c r="E2159" s="26" t="str">
        <f aca="false">IF(A2159="","",COUNTIFS(Apparitions!$A$2:$A$5001,A2159,Apparitions!$B$2:$B$5001,B2159))</f>
        <v/>
      </c>
      <c r="F2159" s="27" t="str">
        <f aca="false">IF(A2159="","",A2159&amp;"|"&amp;B2159)</f>
        <v/>
      </c>
    </row>
    <row r="2160" customFormat="false" ht="15" hidden="false" customHeight="false" outlineLevel="0" collapsed="false">
      <c r="A2160" s="19"/>
      <c r="B2160" s="19"/>
      <c r="C2160" s="20"/>
      <c r="D2160" s="19"/>
      <c r="E2160" s="26" t="str">
        <f aca="false">IF(A2160="","",COUNTIFS(Apparitions!$A$2:$A$5001,A2160,Apparitions!$B$2:$B$5001,B2160))</f>
        <v/>
      </c>
      <c r="F2160" s="27" t="str">
        <f aca="false">IF(A2160="","",A2160&amp;"|"&amp;B2160)</f>
        <v/>
      </c>
    </row>
    <row r="2161" customFormat="false" ht="15" hidden="false" customHeight="false" outlineLevel="0" collapsed="false">
      <c r="A2161" s="19"/>
      <c r="B2161" s="19"/>
      <c r="C2161" s="20"/>
      <c r="D2161" s="19"/>
      <c r="E2161" s="26" t="str">
        <f aca="false">IF(A2161="","",COUNTIFS(Apparitions!$A$2:$A$5001,A2161,Apparitions!$B$2:$B$5001,B2161))</f>
        <v/>
      </c>
      <c r="F2161" s="27" t="str">
        <f aca="false">IF(A2161="","",A2161&amp;"|"&amp;B2161)</f>
        <v/>
      </c>
    </row>
    <row r="2162" customFormat="false" ht="15" hidden="false" customHeight="false" outlineLevel="0" collapsed="false">
      <c r="A2162" s="19"/>
      <c r="B2162" s="19"/>
      <c r="C2162" s="20"/>
      <c r="D2162" s="19"/>
      <c r="E2162" s="26" t="str">
        <f aca="false">IF(A2162="","",COUNTIFS(Apparitions!$A$2:$A$5001,A2162,Apparitions!$B$2:$B$5001,B2162))</f>
        <v/>
      </c>
      <c r="F2162" s="27" t="str">
        <f aca="false">IF(A2162="","",A2162&amp;"|"&amp;B2162)</f>
        <v/>
      </c>
    </row>
    <row r="2163" customFormat="false" ht="15" hidden="false" customHeight="false" outlineLevel="0" collapsed="false">
      <c r="A2163" s="19"/>
      <c r="B2163" s="19"/>
      <c r="C2163" s="20"/>
      <c r="D2163" s="19"/>
      <c r="E2163" s="26" t="str">
        <f aca="false">IF(A2163="","",COUNTIFS(Apparitions!$A$2:$A$5001,A2163,Apparitions!$B$2:$B$5001,B2163))</f>
        <v/>
      </c>
      <c r="F2163" s="27" t="str">
        <f aca="false">IF(A2163="","",A2163&amp;"|"&amp;B2163)</f>
        <v/>
      </c>
    </row>
    <row r="2164" customFormat="false" ht="15" hidden="false" customHeight="false" outlineLevel="0" collapsed="false">
      <c r="A2164" s="19"/>
      <c r="B2164" s="19"/>
      <c r="C2164" s="20"/>
      <c r="D2164" s="19"/>
      <c r="E2164" s="26" t="str">
        <f aca="false">IF(A2164="","",COUNTIFS(Apparitions!$A$2:$A$5001,A2164,Apparitions!$B$2:$B$5001,B2164))</f>
        <v/>
      </c>
      <c r="F2164" s="27" t="str">
        <f aca="false">IF(A2164="","",A2164&amp;"|"&amp;B2164)</f>
        <v/>
      </c>
    </row>
    <row r="2165" customFormat="false" ht="15" hidden="false" customHeight="false" outlineLevel="0" collapsed="false">
      <c r="A2165" s="19"/>
      <c r="B2165" s="19"/>
      <c r="C2165" s="20"/>
      <c r="D2165" s="19"/>
      <c r="E2165" s="26" t="str">
        <f aca="false">IF(A2165="","",COUNTIFS(Apparitions!$A$2:$A$5001,A2165,Apparitions!$B$2:$B$5001,B2165))</f>
        <v/>
      </c>
      <c r="F2165" s="27" t="str">
        <f aca="false">IF(A2165="","",A2165&amp;"|"&amp;B2165)</f>
        <v/>
      </c>
    </row>
    <row r="2166" customFormat="false" ht="15" hidden="false" customHeight="false" outlineLevel="0" collapsed="false">
      <c r="A2166" s="19"/>
      <c r="B2166" s="19"/>
      <c r="C2166" s="20"/>
      <c r="D2166" s="19"/>
      <c r="E2166" s="26" t="str">
        <f aca="false">IF(A2166="","",COUNTIFS(Apparitions!$A$2:$A$5001,A2166,Apparitions!$B$2:$B$5001,B2166))</f>
        <v/>
      </c>
      <c r="F2166" s="27" t="str">
        <f aca="false">IF(A2166="","",A2166&amp;"|"&amp;B2166)</f>
        <v/>
      </c>
    </row>
    <row r="2167" customFormat="false" ht="15" hidden="false" customHeight="false" outlineLevel="0" collapsed="false">
      <c r="A2167" s="19"/>
      <c r="B2167" s="19"/>
      <c r="C2167" s="20"/>
      <c r="D2167" s="19"/>
      <c r="E2167" s="26" t="str">
        <f aca="false">IF(A2167="","",COUNTIFS(Apparitions!$A$2:$A$5001,A2167,Apparitions!$B$2:$B$5001,B2167))</f>
        <v/>
      </c>
      <c r="F2167" s="27" t="str">
        <f aca="false">IF(A2167="","",A2167&amp;"|"&amp;B2167)</f>
        <v/>
      </c>
    </row>
    <row r="2168" customFormat="false" ht="15" hidden="false" customHeight="false" outlineLevel="0" collapsed="false">
      <c r="A2168" s="19"/>
      <c r="B2168" s="19"/>
      <c r="C2168" s="20"/>
      <c r="D2168" s="19"/>
      <c r="E2168" s="26" t="str">
        <f aca="false">IF(A2168="","",COUNTIFS(Apparitions!$A$2:$A$5001,A2168,Apparitions!$B$2:$B$5001,B2168))</f>
        <v/>
      </c>
      <c r="F2168" s="27" t="str">
        <f aca="false">IF(A2168="","",A2168&amp;"|"&amp;B2168)</f>
        <v/>
      </c>
    </row>
    <row r="2169" customFormat="false" ht="15" hidden="false" customHeight="false" outlineLevel="0" collapsed="false">
      <c r="A2169" s="19"/>
      <c r="B2169" s="19"/>
      <c r="C2169" s="20"/>
      <c r="D2169" s="19"/>
      <c r="E2169" s="26" t="str">
        <f aca="false">IF(A2169="","",COUNTIFS(Apparitions!$A$2:$A$5001,A2169,Apparitions!$B$2:$B$5001,B2169))</f>
        <v/>
      </c>
      <c r="F2169" s="27" t="str">
        <f aca="false">IF(A2169="","",A2169&amp;"|"&amp;B2169)</f>
        <v/>
      </c>
    </row>
    <row r="2170" customFormat="false" ht="15" hidden="false" customHeight="false" outlineLevel="0" collapsed="false">
      <c r="A2170" s="19"/>
      <c r="B2170" s="19"/>
      <c r="C2170" s="20"/>
      <c r="D2170" s="19"/>
      <c r="E2170" s="26" t="str">
        <f aca="false">IF(A2170="","",COUNTIFS(Apparitions!$A$2:$A$5001,A2170,Apparitions!$B$2:$B$5001,B2170))</f>
        <v/>
      </c>
      <c r="F2170" s="27" t="str">
        <f aca="false">IF(A2170="","",A2170&amp;"|"&amp;B2170)</f>
        <v/>
      </c>
    </row>
    <row r="2171" customFormat="false" ht="15" hidden="false" customHeight="false" outlineLevel="0" collapsed="false">
      <c r="A2171" s="19"/>
      <c r="B2171" s="19"/>
      <c r="C2171" s="20"/>
      <c r="D2171" s="19"/>
      <c r="E2171" s="26" t="str">
        <f aca="false">IF(A2171="","",COUNTIFS(Apparitions!$A$2:$A$5001,A2171,Apparitions!$B$2:$B$5001,B2171))</f>
        <v/>
      </c>
      <c r="F2171" s="27" t="str">
        <f aca="false">IF(A2171="","",A2171&amp;"|"&amp;B2171)</f>
        <v/>
      </c>
    </row>
    <row r="2172" customFormat="false" ht="15" hidden="false" customHeight="false" outlineLevel="0" collapsed="false">
      <c r="A2172" s="19"/>
      <c r="B2172" s="19"/>
      <c r="C2172" s="20"/>
      <c r="D2172" s="19"/>
      <c r="E2172" s="26" t="str">
        <f aca="false">IF(A2172="","",COUNTIFS(Apparitions!$A$2:$A$5001,A2172,Apparitions!$B$2:$B$5001,B2172))</f>
        <v/>
      </c>
      <c r="F2172" s="27" t="str">
        <f aca="false">IF(A2172="","",A2172&amp;"|"&amp;B2172)</f>
        <v/>
      </c>
    </row>
    <row r="2173" customFormat="false" ht="15" hidden="false" customHeight="false" outlineLevel="0" collapsed="false">
      <c r="A2173" s="19"/>
      <c r="B2173" s="19"/>
      <c r="C2173" s="20"/>
      <c r="D2173" s="19"/>
      <c r="E2173" s="26" t="str">
        <f aca="false">IF(A2173="","",COUNTIFS(Apparitions!$A$2:$A$5001,A2173,Apparitions!$B$2:$B$5001,B2173))</f>
        <v/>
      </c>
      <c r="F2173" s="27" t="str">
        <f aca="false">IF(A2173="","",A2173&amp;"|"&amp;B2173)</f>
        <v/>
      </c>
    </row>
    <row r="2174" customFormat="false" ht="15" hidden="false" customHeight="false" outlineLevel="0" collapsed="false">
      <c r="A2174" s="19"/>
      <c r="B2174" s="19"/>
      <c r="C2174" s="20"/>
      <c r="D2174" s="19"/>
      <c r="E2174" s="26" t="str">
        <f aca="false">IF(A2174="","",COUNTIFS(Apparitions!$A$2:$A$5001,A2174,Apparitions!$B$2:$B$5001,B2174))</f>
        <v/>
      </c>
      <c r="F2174" s="27" t="str">
        <f aca="false">IF(A2174="","",A2174&amp;"|"&amp;B2174)</f>
        <v/>
      </c>
    </row>
    <row r="2175" customFormat="false" ht="15" hidden="false" customHeight="false" outlineLevel="0" collapsed="false">
      <c r="A2175" s="19"/>
      <c r="B2175" s="19"/>
      <c r="C2175" s="20"/>
      <c r="D2175" s="19"/>
      <c r="E2175" s="26" t="str">
        <f aca="false">IF(A2175="","",COUNTIFS(Apparitions!$A$2:$A$5001,A2175,Apparitions!$B$2:$B$5001,B2175))</f>
        <v/>
      </c>
      <c r="F2175" s="27" t="str">
        <f aca="false">IF(A2175="","",A2175&amp;"|"&amp;B2175)</f>
        <v/>
      </c>
    </row>
    <row r="2176" customFormat="false" ht="15" hidden="false" customHeight="false" outlineLevel="0" collapsed="false">
      <c r="A2176" s="19"/>
      <c r="B2176" s="19"/>
      <c r="C2176" s="20"/>
      <c r="D2176" s="19"/>
      <c r="E2176" s="26" t="str">
        <f aca="false">IF(A2176="","",COUNTIFS(Apparitions!$A$2:$A$5001,A2176,Apparitions!$B$2:$B$5001,B2176))</f>
        <v/>
      </c>
      <c r="F2176" s="27" t="str">
        <f aca="false">IF(A2176="","",A2176&amp;"|"&amp;B2176)</f>
        <v/>
      </c>
    </row>
    <row r="2177" customFormat="false" ht="15" hidden="false" customHeight="false" outlineLevel="0" collapsed="false">
      <c r="A2177" s="19"/>
      <c r="B2177" s="19"/>
      <c r="C2177" s="20"/>
      <c r="D2177" s="19"/>
      <c r="E2177" s="26" t="str">
        <f aca="false">IF(A2177="","",COUNTIFS(Apparitions!$A$2:$A$5001,A2177,Apparitions!$B$2:$B$5001,B2177))</f>
        <v/>
      </c>
      <c r="F2177" s="27" t="str">
        <f aca="false">IF(A2177="","",A2177&amp;"|"&amp;B2177)</f>
        <v/>
      </c>
    </row>
    <row r="2178" customFormat="false" ht="15" hidden="false" customHeight="false" outlineLevel="0" collapsed="false">
      <c r="A2178" s="19"/>
      <c r="B2178" s="19"/>
      <c r="C2178" s="20"/>
      <c r="D2178" s="19"/>
      <c r="E2178" s="26" t="str">
        <f aca="false">IF(A2178="","",COUNTIFS(Apparitions!$A$2:$A$5001,A2178,Apparitions!$B$2:$B$5001,B2178))</f>
        <v/>
      </c>
      <c r="F2178" s="27" t="str">
        <f aca="false">IF(A2178="","",A2178&amp;"|"&amp;B2178)</f>
        <v/>
      </c>
    </row>
    <row r="2179" customFormat="false" ht="15" hidden="false" customHeight="false" outlineLevel="0" collapsed="false">
      <c r="A2179" s="19"/>
      <c r="B2179" s="19"/>
      <c r="C2179" s="20"/>
      <c r="D2179" s="19"/>
      <c r="E2179" s="26" t="str">
        <f aca="false">IF(A2179="","",COUNTIFS(Apparitions!$A$2:$A$5001,A2179,Apparitions!$B$2:$B$5001,B2179))</f>
        <v/>
      </c>
      <c r="F2179" s="27" t="str">
        <f aca="false">IF(A2179="","",A2179&amp;"|"&amp;B2179)</f>
        <v/>
      </c>
    </row>
    <row r="2180" customFormat="false" ht="15" hidden="false" customHeight="false" outlineLevel="0" collapsed="false">
      <c r="A2180" s="19"/>
      <c r="B2180" s="19"/>
      <c r="C2180" s="20"/>
      <c r="D2180" s="19"/>
      <c r="E2180" s="26" t="str">
        <f aca="false">IF(A2180="","",COUNTIFS(Apparitions!$A$2:$A$5001,A2180,Apparitions!$B$2:$B$5001,B2180))</f>
        <v/>
      </c>
      <c r="F2180" s="27" t="str">
        <f aca="false">IF(A2180="","",A2180&amp;"|"&amp;B2180)</f>
        <v/>
      </c>
    </row>
    <row r="2181" customFormat="false" ht="15" hidden="false" customHeight="false" outlineLevel="0" collapsed="false">
      <c r="A2181" s="19"/>
      <c r="B2181" s="19"/>
      <c r="C2181" s="20"/>
      <c r="D2181" s="19"/>
      <c r="E2181" s="26" t="str">
        <f aca="false">IF(A2181="","",COUNTIFS(Apparitions!$A$2:$A$5001,A2181,Apparitions!$B$2:$B$5001,B2181))</f>
        <v/>
      </c>
      <c r="F2181" s="27" t="str">
        <f aca="false">IF(A2181="","",A2181&amp;"|"&amp;B2181)</f>
        <v/>
      </c>
    </row>
    <row r="2182" customFormat="false" ht="15" hidden="false" customHeight="false" outlineLevel="0" collapsed="false">
      <c r="A2182" s="19"/>
      <c r="B2182" s="19"/>
      <c r="C2182" s="20"/>
      <c r="D2182" s="19"/>
      <c r="E2182" s="26" t="str">
        <f aca="false">IF(A2182="","",COUNTIFS(Apparitions!$A$2:$A$5001,A2182,Apparitions!$B$2:$B$5001,B2182))</f>
        <v/>
      </c>
      <c r="F2182" s="27" t="str">
        <f aca="false">IF(A2182="","",A2182&amp;"|"&amp;B2182)</f>
        <v/>
      </c>
    </row>
    <row r="2183" customFormat="false" ht="15" hidden="false" customHeight="false" outlineLevel="0" collapsed="false">
      <c r="A2183" s="19"/>
      <c r="B2183" s="19"/>
      <c r="C2183" s="20"/>
      <c r="D2183" s="19"/>
      <c r="E2183" s="26" t="str">
        <f aca="false">IF(A2183="","",COUNTIFS(Apparitions!$A$2:$A$5001,A2183,Apparitions!$B$2:$B$5001,B2183))</f>
        <v/>
      </c>
      <c r="F2183" s="27" t="str">
        <f aca="false">IF(A2183="","",A2183&amp;"|"&amp;B2183)</f>
        <v/>
      </c>
    </row>
    <row r="2184" customFormat="false" ht="15" hidden="false" customHeight="false" outlineLevel="0" collapsed="false">
      <c r="A2184" s="19"/>
      <c r="B2184" s="19"/>
      <c r="C2184" s="20"/>
      <c r="D2184" s="19"/>
      <c r="E2184" s="26" t="str">
        <f aca="false">IF(A2184="","",COUNTIFS(Apparitions!$A$2:$A$5001,A2184,Apparitions!$B$2:$B$5001,B2184))</f>
        <v/>
      </c>
      <c r="F2184" s="27" t="str">
        <f aca="false">IF(A2184="","",A2184&amp;"|"&amp;B2184)</f>
        <v/>
      </c>
    </row>
    <row r="2185" customFormat="false" ht="15" hidden="false" customHeight="false" outlineLevel="0" collapsed="false">
      <c r="A2185" s="19"/>
      <c r="B2185" s="19"/>
      <c r="C2185" s="20"/>
      <c r="D2185" s="19"/>
      <c r="E2185" s="26" t="str">
        <f aca="false">IF(A2185="","",COUNTIFS(Apparitions!$A$2:$A$5001,A2185,Apparitions!$B$2:$B$5001,B2185))</f>
        <v/>
      </c>
      <c r="F2185" s="27" t="str">
        <f aca="false">IF(A2185="","",A2185&amp;"|"&amp;B2185)</f>
        <v/>
      </c>
    </row>
    <row r="2186" customFormat="false" ht="15" hidden="false" customHeight="false" outlineLevel="0" collapsed="false">
      <c r="A2186" s="19"/>
      <c r="B2186" s="19"/>
      <c r="C2186" s="20"/>
      <c r="D2186" s="19"/>
      <c r="E2186" s="26" t="str">
        <f aca="false">IF(A2186="","",COUNTIFS(Apparitions!$A$2:$A$5001,A2186,Apparitions!$B$2:$B$5001,B2186))</f>
        <v/>
      </c>
      <c r="F2186" s="27" t="str">
        <f aca="false">IF(A2186="","",A2186&amp;"|"&amp;B2186)</f>
        <v/>
      </c>
    </row>
    <row r="2187" customFormat="false" ht="15" hidden="false" customHeight="false" outlineLevel="0" collapsed="false">
      <c r="A2187" s="19"/>
      <c r="B2187" s="19"/>
      <c r="C2187" s="20"/>
      <c r="D2187" s="19"/>
      <c r="E2187" s="26" t="str">
        <f aca="false">IF(A2187="","",COUNTIFS(Apparitions!$A$2:$A$5001,A2187,Apparitions!$B$2:$B$5001,B2187))</f>
        <v/>
      </c>
      <c r="F2187" s="27" t="str">
        <f aca="false">IF(A2187="","",A2187&amp;"|"&amp;B2187)</f>
        <v/>
      </c>
    </row>
    <row r="2188" customFormat="false" ht="15" hidden="false" customHeight="false" outlineLevel="0" collapsed="false">
      <c r="A2188" s="19"/>
      <c r="B2188" s="19"/>
      <c r="C2188" s="20"/>
      <c r="D2188" s="19"/>
      <c r="E2188" s="26" t="str">
        <f aca="false">IF(A2188="","",COUNTIFS(Apparitions!$A$2:$A$5001,A2188,Apparitions!$B$2:$B$5001,B2188))</f>
        <v/>
      </c>
      <c r="F2188" s="27" t="str">
        <f aca="false">IF(A2188="","",A2188&amp;"|"&amp;B2188)</f>
        <v/>
      </c>
    </row>
    <row r="2189" customFormat="false" ht="15" hidden="false" customHeight="false" outlineLevel="0" collapsed="false">
      <c r="A2189" s="19"/>
      <c r="B2189" s="19"/>
      <c r="C2189" s="20"/>
      <c r="D2189" s="19"/>
      <c r="E2189" s="26" t="str">
        <f aca="false">IF(A2189="","",COUNTIFS(Apparitions!$A$2:$A$5001,A2189,Apparitions!$B$2:$B$5001,B2189))</f>
        <v/>
      </c>
      <c r="F2189" s="27" t="str">
        <f aca="false">IF(A2189="","",A2189&amp;"|"&amp;B2189)</f>
        <v/>
      </c>
    </row>
    <row r="2190" customFormat="false" ht="15" hidden="false" customHeight="false" outlineLevel="0" collapsed="false">
      <c r="A2190" s="19"/>
      <c r="B2190" s="19"/>
      <c r="C2190" s="20"/>
      <c r="D2190" s="19"/>
      <c r="E2190" s="26" t="str">
        <f aca="false">IF(A2190="","",COUNTIFS(Apparitions!$A$2:$A$5001,A2190,Apparitions!$B$2:$B$5001,B2190))</f>
        <v/>
      </c>
      <c r="F2190" s="27" t="str">
        <f aca="false">IF(A2190="","",A2190&amp;"|"&amp;B2190)</f>
        <v/>
      </c>
    </row>
    <row r="2191" customFormat="false" ht="15" hidden="false" customHeight="false" outlineLevel="0" collapsed="false">
      <c r="A2191" s="19"/>
      <c r="B2191" s="19"/>
      <c r="C2191" s="20"/>
      <c r="D2191" s="19"/>
      <c r="E2191" s="26" t="str">
        <f aca="false">IF(A2191="","",COUNTIFS(Apparitions!$A$2:$A$5001,A2191,Apparitions!$B$2:$B$5001,B2191))</f>
        <v/>
      </c>
      <c r="F2191" s="27" t="str">
        <f aca="false">IF(A2191="","",A2191&amp;"|"&amp;B2191)</f>
        <v/>
      </c>
    </row>
    <row r="2192" customFormat="false" ht="15" hidden="false" customHeight="false" outlineLevel="0" collapsed="false">
      <c r="A2192" s="19"/>
      <c r="B2192" s="19"/>
      <c r="C2192" s="20"/>
      <c r="D2192" s="19"/>
      <c r="E2192" s="26" t="str">
        <f aca="false">IF(A2192="","",COUNTIFS(Apparitions!$A$2:$A$5001,A2192,Apparitions!$B$2:$B$5001,B2192))</f>
        <v/>
      </c>
      <c r="F2192" s="27" t="str">
        <f aca="false">IF(A2192="","",A2192&amp;"|"&amp;B2192)</f>
        <v/>
      </c>
    </row>
    <row r="2193" customFormat="false" ht="15" hidden="false" customHeight="false" outlineLevel="0" collapsed="false">
      <c r="A2193" s="19"/>
      <c r="B2193" s="19"/>
      <c r="C2193" s="20"/>
      <c r="D2193" s="19"/>
      <c r="E2193" s="26" t="str">
        <f aca="false">IF(A2193="","",COUNTIFS(Apparitions!$A$2:$A$5001,A2193,Apparitions!$B$2:$B$5001,B2193))</f>
        <v/>
      </c>
      <c r="F2193" s="27" t="str">
        <f aca="false">IF(A2193="","",A2193&amp;"|"&amp;B2193)</f>
        <v/>
      </c>
    </row>
    <row r="2194" customFormat="false" ht="15" hidden="false" customHeight="false" outlineLevel="0" collapsed="false">
      <c r="A2194" s="19"/>
      <c r="B2194" s="19"/>
      <c r="C2194" s="20"/>
      <c r="D2194" s="19"/>
      <c r="E2194" s="26" t="str">
        <f aca="false">IF(A2194="","",COUNTIFS(Apparitions!$A$2:$A$5001,A2194,Apparitions!$B$2:$B$5001,B2194))</f>
        <v/>
      </c>
      <c r="F2194" s="27" t="str">
        <f aca="false">IF(A2194="","",A2194&amp;"|"&amp;B2194)</f>
        <v/>
      </c>
    </row>
    <row r="2195" customFormat="false" ht="15" hidden="false" customHeight="false" outlineLevel="0" collapsed="false">
      <c r="A2195" s="19"/>
      <c r="B2195" s="19"/>
      <c r="C2195" s="20"/>
      <c r="D2195" s="19"/>
      <c r="E2195" s="26" t="str">
        <f aca="false">IF(A2195="","",COUNTIFS(Apparitions!$A$2:$A$5001,A2195,Apparitions!$B$2:$B$5001,B2195))</f>
        <v/>
      </c>
      <c r="F2195" s="27" t="str">
        <f aca="false">IF(A2195="","",A2195&amp;"|"&amp;B2195)</f>
        <v/>
      </c>
    </row>
    <row r="2196" customFormat="false" ht="15" hidden="false" customHeight="false" outlineLevel="0" collapsed="false">
      <c r="A2196" s="19"/>
      <c r="B2196" s="19"/>
      <c r="C2196" s="20"/>
      <c r="D2196" s="19"/>
      <c r="E2196" s="26" t="str">
        <f aca="false">IF(A2196="","",COUNTIFS(Apparitions!$A$2:$A$5001,A2196,Apparitions!$B$2:$B$5001,B2196))</f>
        <v/>
      </c>
      <c r="F2196" s="27" t="str">
        <f aca="false">IF(A2196="","",A2196&amp;"|"&amp;B2196)</f>
        <v/>
      </c>
    </row>
    <row r="2197" customFormat="false" ht="15" hidden="false" customHeight="false" outlineLevel="0" collapsed="false">
      <c r="A2197" s="19"/>
      <c r="B2197" s="19"/>
      <c r="C2197" s="20"/>
      <c r="D2197" s="19"/>
      <c r="E2197" s="26" t="str">
        <f aca="false">IF(A2197="","",COUNTIFS(Apparitions!$A$2:$A$5001,A2197,Apparitions!$B$2:$B$5001,B2197))</f>
        <v/>
      </c>
      <c r="F2197" s="27" t="str">
        <f aca="false">IF(A2197="","",A2197&amp;"|"&amp;B2197)</f>
        <v/>
      </c>
    </row>
    <row r="2198" customFormat="false" ht="15" hidden="false" customHeight="false" outlineLevel="0" collapsed="false">
      <c r="A2198" s="19"/>
      <c r="B2198" s="19"/>
      <c r="C2198" s="20"/>
      <c r="D2198" s="19"/>
      <c r="E2198" s="26" t="str">
        <f aca="false">IF(A2198="","",COUNTIFS(Apparitions!$A$2:$A$5001,A2198,Apparitions!$B$2:$B$5001,B2198))</f>
        <v/>
      </c>
      <c r="F2198" s="27" t="str">
        <f aca="false">IF(A2198="","",A2198&amp;"|"&amp;B2198)</f>
        <v/>
      </c>
    </row>
    <row r="2199" customFormat="false" ht="15" hidden="false" customHeight="false" outlineLevel="0" collapsed="false">
      <c r="A2199" s="19"/>
      <c r="B2199" s="19"/>
      <c r="C2199" s="20"/>
      <c r="D2199" s="19"/>
      <c r="E2199" s="26" t="str">
        <f aca="false">IF(A2199="","",COUNTIFS(Apparitions!$A$2:$A$5001,A2199,Apparitions!$B$2:$B$5001,B2199))</f>
        <v/>
      </c>
      <c r="F2199" s="27" t="str">
        <f aca="false">IF(A2199="","",A2199&amp;"|"&amp;B2199)</f>
        <v/>
      </c>
    </row>
    <row r="2200" customFormat="false" ht="15" hidden="false" customHeight="false" outlineLevel="0" collapsed="false">
      <c r="A2200" s="19"/>
      <c r="B2200" s="19"/>
      <c r="C2200" s="20"/>
      <c r="D2200" s="19"/>
      <c r="E2200" s="26" t="str">
        <f aca="false">IF(A2200="","",COUNTIFS(Apparitions!$A$2:$A$5001,A2200,Apparitions!$B$2:$B$5001,B2200))</f>
        <v/>
      </c>
      <c r="F2200" s="27" t="str">
        <f aca="false">IF(A2200="","",A2200&amp;"|"&amp;B2200)</f>
        <v/>
      </c>
    </row>
    <row r="2201" customFormat="false" ht="15" hidden="false" customHeight="false" outlineLevel="0" collapsed="false">
      <c r="A2201" s="19"/>
      <c r="B2201" s="19"/>
      <c r="C2201" s="20"/>
      <c r="D2201" s="19"/>
      <c r="E2201" s="26" t="str">
        <f aca="false">IF(A2201="","",COUNTIFS(Apparitions!$A$2:$A$5001,A2201,Apparitions!$B$2:$B$5001,B2201))</f>
        <v/>
      </c>
      <c r="F2201" s="27" t="str">
        <f aca="false">IF(A2201="","",A2201&amp;"|"&amp;B2201)</f>
        <v/>
      </c>
    </row>
    <row r="2202" customFormat="false" ht="15" hidden="false" customHeight="false" outlineLevel="0" collapsed="false">
      <c r="A2202" s="19"/>
      <c r="B2202" s="19"/>
      <c r="C2202" s="20"/>
      <c r="D2202" s="19"/>
      <c r="E2202" s="26" t="str">
        <f aca="false">IF(A2202="","",COUNTIFS(Apparitions!$A$2:$A$5001,A2202,Apparitions!$B$2:$B$5001,B2202))</f>
        <v/>
      </c>
      <c r="F2202" s="27" t="str">
        <f aca="false">IF(A2202="","",A2202&amp;"|"&amp;B2202)</f>
        <v/>
      </c>
    </row>
    <row r="2203" customFormat="false" ht="15" hidden="false" customHeight="false" outlineLevel="0" collapsed="false">
      <c r="A2203" s="19"/>
      <c r="B2203" s="19"/>
      <c r="C2203" s="20"/>
      <c r="D2203" s="19"/>
      <c r="E2203" s="26" t="str">
        <f aca="false">IF(A2203="","",COUNTIFS(Apparitions!$A$2:$A$5001,A2203,Apparitions!$B$2:$B$5001,B2203))</f>
        <v/>
      </c>
      <c r="F2203" s="27" t="str">
        <f aca="false">IF(A2203="","",A2203&amp;"|"&amp;B2203)</f>
        <v/>
      </c>
    </row>
    <row r="2204" customFormat="false" ht="15" hidden="false" customHeight="false" outlineLevel="0" collapsed="false">
      <c r="A2204" s="19"/>
      <c r="B2204" s="19"/>
      <c r="C2204" s="20"/>
      <c r="D2204" s="19"/>
      <c r="E2204" s="26" t="str">
        <f aca="false">IF(A2204="","",COUNTIFS(Apparitions!$A$2:$A$5001,A2204,Apparitions!$B$2:$B$5001,B2204))</f>
        <v/>
      </c>
      <c r="F2204" s="27" t="str">
        <f aca="false">IF(A2204="","",A2204&amp;"|"&amp;B2204)</f>
        <v/>
      </c>
    </row>
    <row r="2205" customFormat="false" ht="15" hidden="false" customHeight="false" outlineLevel="0" collapsed="false">
      <c r="A2205" s="19"/>
      <c r="B2205" s="19"/>
      <c r="C2205" s="20"/>
      <c r="D2205" s="19"/>
      <c r="E2205" s="26" t="str">
        <f aca="false">IF(A2205="","",COUNTIFS(Apparitions!$A$2:$A$5001,A2205,Apparitions!$B$2:$B$5001,B2205))</f>
        <v/>
      </c>
      <c r="F2205" s="27" t="str">
        <f aca="false">IF(A2205="","",A2205&amp;"|"&amp;B2205)</f>
        <v/>
      </c>
    </row>
    <row r="2206" customFormat="false" ht="15" hidden="false" customHeight="false" outlineLevel="0" collapsed="false">
      <c r="A2206" s="19"/>
      <c r="B2206" s="19"/>
      <c r="C2206" s="20"/>
      <c r="D2206" s="19"/>
      <c r="E2206" s="26" t="str">
        <f aca="false">IF(A2206="","",COUNTIFS(Apparitions!$A$2:$A$5001,A2206,Apparitions!$B$2:$B$5001,B2206))</f>
        <v/>
      </c>
      <c r="F2206" s="27" t="str">
        <f aca="false">IF(A2206="","",A2206&amp;"|"&amp;B2206)</f>
        <v/>
      </c>
    </row>
    <row r="2207" customFormat="false" ht="15" hidden="false" customHeight="false" outlineLevel="0" collapsed="false">
      <c r="A2207" s="19"/>
      <c r="B2207" s="19"/>
      <c r="C2207" s="20"/>
      <c r="D2207" s="19"/>
      <c r="E2207" s="26" t="str">
        <f aca="false">IF(A2207="","",COUNTIFS(Apparitions!$A$2:$A$5001,A2207,Apparitions!$B$2:$B$5001,B2207))</f>
        <v/>
      </c>
      <c r="F2207" s="27" t="str">
        <f aca="false">IF(A2207="","",A2207&amp;"|"&amp;B2207)</f>
        <v/>
      </c>
    </row>
    <row r="2208" customFormat="false" ht="15" hidden="false" customHeight="false" outlineLevel="0" collapsed="false">
      <c r="A2208" s="19"/>
      <c r="B2208" s="19"/>
      <c r="C2208" s="20"/>
      <c r="D2208" s="19"/>
      <c r="E2208" s="26" t="str">
        <f aca="false">IF(A2208="","",COUNTIFS(Apparitions!$A$2:$A$5001,A2208,Apparitions!$B$2:$B$5001,B2208))</f>
        <v/>
      </c>
      <c r="F2208" s="27" t="str">
        <f aca="false">IF(A2208="","",A2208&amp;"|"&amp;B2208)</f>
        <v/>
      </c>
    </row>
    <row r="2209" customFormat="false" ht="15" hidden="false" customHeight="false" outlineLevel="0" collapsed="false">
      <c r="A2209" s="19"/>
      <c r="B2209" s="19"/>
      <c r="C2209" s="20"/>
      <c r="D2209" s="19"/>
      <c r="E2209" s="26" t="str">
        <f aca="false">IF(A2209="","",COUNTIFS(Apparitions!$A$2:$A$5001,A2209,Apparitions!$B$2:$B$5001,B2209))</f>
        <v/>
      </c>
      <c r="F2209" s="27" t="str">
        <f aca="false">IF(A2209="","",A2209&amp;"|"&amp;B2209)</f>
        <v/>
      </c>
    </row>
    <row r="2210" customFormat="false" ht="15" hidden="false" customHeight="false" outlineLevel="0" collapsed="false">
      <c r="A2210" s="19"/>
      <c r="B2210" s="19"/>
      <c r="C2210" s="20"/>
      <c r="D2210" s="19"/>
      <c r="E2210" s="26" t="str">
        <f aca="false">IF(A2210="","",COUNTIFS(Apparitions!$A$2:$A$5001,A2210,Apparitions!$B$2:$B$5001,B2210))</f>
        <v/>
      </c>
      <c r="F2210" s="27" t="str">
        <f aca="false">IF(A2210="","",A2210&amp;"|"&amp;B2210)</f>
        <v/>
      </c>
    </row>
    <row r="2211" customFormat="false" ht="15" hidden="false" customHeight="false" outlineLevel="0" collapsed="false">
      <c r="A2211" s="19"/>
      <c r="B2211" s="19"/>
      <c r="C2211" s="20"/>
      <c r="D2211" s="19"/>
      <c r="E2211" s="26" t="str">
        <f aca="false">IF(A2211="","",COUNTIFS(Apparitions!$A$2:$A$5001,A2211,Apparitions!$B$2:$B$5001,B2211))</f>
        <v/>
      </c>
      <c r="F2211" s="27" t="str">
        <f aca="false">IF(A2211="","",A2211&amp;"|"&amp;B2211)</f>
        <v/>
      </c>
    </row>
    <row r="2212" customFormat="false" ht="15" hidden="false" customHeight="false" outlineLevel="0" collapsed="false">
      <c r="A2212" s="19"/>
      <c r="B2212" s="19"/>
      <c r="C2212" s="20"/>
      <c r="D2212" s="19"/>
      <c r="E2212" s="26" t="str">
        <f aca="false">IF(A2212="","",COUNTIFS(Apparitions!$A$2:$A$5001,A2212,Apparitions!$B$2:$B$5001,B2212))</f>
        <v/>
      </c>
      <c r="F2212" s="27" t="str">
        <f aca="false">IF(A2212="","",A2212&amp;"|"&amp;B2212)</f>
        <v/>
      </c>
    </row>
    <row r="2213" customFormat="false" ht="15" hidden="false" customHeight="false" outlineLevel="0" collapsed="false">
      <c r="A2213" s="19"/>
      <c r="B2213" s="19"/>
      <c r="C2213" s="20"/>
      <c r="D2213" s="19"/>
      <c r="E2213" s="26" t="str">
        <f aca="false">IF(A2213="","",COUNTIFS(Apparitions!$A$2:$A$5001,A2213,Apparitions!$B$2:$B$5001,B2213))</f>
        <v/>
      </c>
      <c r="F2213" s="27" t="str">
        <f aca="false">IF(A2213="","",A2213&amp;"|"&amp;B2213)</f>
        <v/>
      </c>
    </row>
    <row r="2214" customFormat="false" ht="15" hidden="false" customHeight="false" outlineLevel="0" collapsed="false">
      <c r="A2214" s="19"/>
      <c r="B2214" s="19"/>
      <c r="C2214" s="20"/>
      <c r="D2214" s="19"/>
      <c r="E2214" s="26" t="str">
        <f aca="false">IF(A2214="","",COUNTIFS(Apparitions!$A$2:$A$5001,A2214,Apparitions!$B$2:$B$5001,B2214))</f>
        <v/>
      </c>
      <c r="F2214" s="27" t="str">
        <f aca="false">IF(A2214="","",A2214&amp;"|"&amp;B2214)</f>
        <v/>
      </c>
    </row>
    <row r="2215" customFormat="false" ht="15" hidden="false" customHeight="false" outlineLevel="0" collapsed="false">
      <c r="A2215" s="19"/>
      <c r="B2215" s="19"/>
      <c r="C2215" s="20"/>
      <c r="D2215" s="19"/>
      <c r="E2215" s="26" t="str">
        <f aca="false">IF(A2215="","",COUNTIFS(Apparitions!$A$2:$A$5001,A2215,Apparitions!$B$2:$B$5001,B2215))</f>
        <v/>
      </c>
      <c r="F2215" s="27" t="str">
        <f aca="false">IF(A2215="","",A2215&amp;"|"&amp;B2215)</f>
        <v/>
      </c>
    </row>
    <row r="2216" customFormat="false" ht="15" hidden="false" customHeight="false" outlineLevel="0" collapsed="false">
      <c r="A2216" s="19"/>
      <c r="B2216" s="19"/>
      <c r="C2216" s="20"/>
      <c r="D2216" s="19"/>
      <c r="E2216" s="26" t="str">
        <f aca="false">IF(A2216="","",COUNTIFS(Apparitions!$A$2:$A$5001,A2216,Apparitions!$B$2:$B$5001,B2216))</f>
        <v/>
      </c>
      <c r="F2216" s="27" t="str">
        <f aca="false">IF(A2216="","",A2216&amp;"|"&amp;B2216)</f>
        <v/>
      </c>
    </row>
    <row r="2217" customFormat="false" ht="15" hidden="false" customHeight="false" outlineLevel="0" collapsed="false">
      <c r="A2217" s="19"/>
      <c r="B2217" s="19"/>
      <c r="C2217" s="20"/>
      <c r="D2217" s="19"/>
      <c r="E2217" s="26" t="str">
        <f aca="false">IF(A2217="","",COUNTIFS(Apparitions!$A$2:$A$5001,A2217,Apparitions!$B$2:$B$5001,B2217))</f>
        <v/>
      </c>
      <c r="F2217" s="27" t="str">
        <f aca="false">IF(A2217="","",A2217&amp;"|"&amp;B2217)</f>
        <v/>
      </c>
    </row>
    <row r="2218" customFormat="false" ht="15" hidden="false" customHeight="false" outlineLevel="0" collapsed="false">
      <c r="A2218" s="19"/>
      <c r="B2218" s="19"/>
      <c r="C2218" s="20"/>
      <c r="D2218" s="19"/>
      <c r="E2218" s="26" t="str">
        <f aca="false">IF(A2218="","",COUNTIFS(Apparitions!$A$2:$A$5001,A2218,Apparitions!$B$2:$B$5001,B2218))</f>
        <v/>
      </c>
      <c r="F2218" s="27" t="str">
        <f aca="false">IF(A2218="","",A2218&amp;"|"&amp;B2218)</f>
        <v/>
      </c>
    </row>
    <row r="2219" customFormat="false" ht="15" hidden="false" customHeight="false" outlineLevel="0" collapsed="false">
      <c r="A2219" s="19"/>
      <c r="B2219" s="19"/>
      <c r="C2219" s="20"/>
      <c r="D2219" s="19"/>
      <c r="E2219" s="26" t="str">
        <f aca="false">IF(A2219="","",COUNTIFS(Apparitions!$A$2:$A$5001,A2219,Apparitions!$B$2:$B$5001,B2219))</f>
        <v/>
      </c>
      <c r="F2219" s="27" t="str">
        <f aca="false">IF(A2219="","",A2219&amp;"|"&amp;B2219)</f>
        <v/>
      </c>
    </row>
    <row r="2220" customFormat="false" ht="15" hidden="false" customHeight="false" outlineLevel="0" collapsed="false">
      <c r="A2220" s="19"/>
      <c r="B2220" s="19"/>
      <c r="C2220" s="20"/>
      <c r="D2220" s="19"/>
      <c r="E2220" s="26" t="str">
        <f aca="false">IF(A2220="","",COUNTIFS(Apparitions!$A$2:$A$5001,A2220,Apparitions!$B$2:$B$5001,B2220))</f>
        <v/>
      </c>
      <c r="F2220" s="27" t="str">
        <f aca="false">IF(A2220="","",A2220&amp;"|"&amp;B2220)</f>
        <v/>
      </c>
    </row>
    <row r="2221" customFormat="false" ht="15" hidden="false" customHeight="false" outlineLevel="0" collapsed="false">
      <c r="A2221" s="19"/>
      <c r="B2221" s="19"/>
      <c r="C2221" s="20"/>
      <c r="D2221" s="19"/>
      <c r="E2221" s="26" t="str">
        <f aca="false">IF(A2221="","",COUNTIFS(Apparitions!$A$2:$A$5001,A2221,Apparitions!$B$2:$B$5001,B2221))</f>
        <v/>
      </c>
      <c r="F2221" s="27" t="str">
        <f aca="false">IF(A2221="","",A2221&amp;"|"&amp;B2221)</f>
        <v/>
      </c>
    </row>
    <row r="2222" customFormat="false" ht="15" hidden="false" customHeight="false" outlineLevel="0" collapsed="false">
      <c r="A2222" s="19"/>
      <c r="B2222" s="19"/>
      <c r="C2222" s="20"/>
      <c r="D2222" s="19"/>
      <c r="E2222" s="26" t="str">
        <f aca="false">IF(A2222="","",COUNTIFS(Apparitions!$A$2:$A$5001,A2222,Apparitions!$B$2:$B$5001,B2222))</f>
        <v/>
      </c>
      <c r="F2222" s="27" t="str">
        <f aca="false">IF(A2222="","",A2222&amp;"|"&amp;B2222)</f>
        <v/>
      </c>
    </row>
    <row r="2223" customFormat="false" ht="15" hidden="false" customHeight="false" outlineLevel="0" collapsed="false">
      <c r="A2223" s="19"/>
      <c r="B2223" s="19"/>
      <c r="C2223" s="20"/>
      <c r="D2223" s="19"/>
      <c r="E2223" s="26" t="str">
        <f aca="false">IF(A2223="","",COUNTIFS(Apparitions!$A$2:$A$5001,A2223,Apparitions!$B$2:$B$5001,B2223))</f>
        <v/>
      </c>
      <c r="F2223" s="27" t="str">
        <f aca="false">IF(A2223="","",A2223&amp;"|"&amp;B2223)</f>
        <v/>
      </c>
    </row>
    <row r="2224" customFormat="false" ht="15" hidden="false" customHeight="false" outlineLevel="0" collapsed="false">
      <c r="A2224" s="19"/>
      <c r="B2224" s="19"/>
      <c r="C2224" s="20"/>
      <c r="D2224" s="19"/>
      <c r="E2224" s="26" t="str">
        <f aca="false">IF(A2224="","",COUNTIFS(Apparitions!$A$2:$A$5001,A2224,Apparitions!$B$2:$B$5001,B2224))</f>
        <v/>
      </c>
      <c r="F2224" s="27" t="str">
        <f aca="false">IF(A2224="","",A2224&amp;"|"&amp;B2224)</f>
        <v/>
      </c>
    </row>
    <row r="2225" customFormat="false" ht="15" hidden="false" customHeight="false" outlineLevel="0" collapsed="false">
      <c r="A2225" s="19"/>
      <c r="B2225" s="19"/>
      <c r="C2225" s="20"/>
      <c r="D2225" s="19"/>
      <c r="E2225" s="26" t="str">
        <f aca="false">IF(A2225="","",COUNTIFS(Apparitions!$A$2:$A$5001,A2225,Apparitions!$B$2:$B$5001,B2225))</f>
        <v/>
      </c>
      <c r="F2225" s="27" t="str">
        <f aca="false">IF(A2225="","",A2225&amp;"|"&amp;B2225)</f>
        <v/>
      </c>
    </row>
    <row r="2226" customFormat="false" ht="15" hidden="false" customHeight="false" outlineLevel="0" collapsed="false">
      <c r="A2226" s="19"/>
      <c r="B2226" s="19"/>
      <c r="C2226" s="20"/>
      <c r="D2226" s="19"/>
      <c r="E2226" s="26" t="str">
        <f aca="false">IF(A2226="","",COUNTIFS(Apparitions!$A$2:$A$5001,A2226,Apparitions!$B$2:$B$5001,B2226))</f>
        <v/>
      </c>
      <c r="F2226" s="27" t="str">
        <f aca="false">IF(A2226="","",A2226&amp;"|"&amp;B2226)</f>
        <v/>
      </c>
    </row>
    <row r="2227" customFormat="false" ht="15" hidden="false" customHeight="false" outlineLevel="0" collapsed="false">
      <c r="A2227" s="19"/>
      <c r="B2227" s="19"/>
      <c r="C2227" s="20"/>
      <c r="D2227" s="19"/>
      <c r="E2227" s="26" t="str">
        <f aca="false">IF(A2227="","",COUNTIFS(Apparitions!$A$2:$A$5001,A2227,Apparitions!$B$2:$B$5001,B2227))</f>
        <v/>
      </c>
      <c r="F2227" s="27" t="str">
        <f aca="false">IF(A2227="","",A2227&amp;"|"&amp;B2227)</f>
        <v/>
      </c>
    </row>
    <row r="2228" customFormat="false" ht="15" hidden="false" customHeight="false" outlineLevel="0" collapsed="false">
      <c r="A2228" s="19"/>
      <c r="B2228" s="19"/>
      <c r="C2228" s="20"/>
      <c r="D2228" s="19"/>
      <c r="E2228" s="26" t="str">
        <f aca="false">IF(A2228="","",COUNTIFS(Apparitions!$A$2:$A$5001,A2228,Apparitions!$B$2:$B$5001,B2228))</f>
        <v/>
      </c>
      <c r="F2228" s="27" t="str">
        <f aca="false">IF(A2228="","",A2228&amp;"|"&amp;B2228)</f>
        <v/>
      </c>
    </row>
    <row r="2229" customFormat="false" ht="15" hidden="false" customHeight="false" outlineLevel="0" collapsed="false">
      <c r="A2229" s="19"/>
      <c r="B2229" s="19"/>
      <c r="C2229" s="20"/>
      <c r="D2229" s="19"/>
      <c r="E2229" s="26" t="str">
        <f aca="false">IF(A2229="","",COUNTIFS(Apparitions!$A$2:$A$5001,A2229,Apparitions!$B$2:$B$5001,B2229))</f>
        <v/>
      </c>
      <c r="F2229" s="27" t="str">
        <f aca="false">IF(A2229="","",A2229&amp;"|"&amp;B2229)</f>
        <v/>
      </c>
    </row>
    <row r="2230" customFormat="false" ht="15" hidden="false" customHeight="false" outlineLevel="0" collapsed="false">
      <c r="A2230" s="19"/>
      <c r="B2230" s="19"/>
      <c r="C2230" s="20"/>
      <c r="D2230" s="19"/>
      <c r="E2230" s="26" t="str">
        <f aca="false">IF(A2230="","",COUNTIFS(Apparitions!$A$2:$A$5001,A2230,Apparitions!$B$2:$B$5001,B2230))</f>
        <v/>
      </c>
      <c r="F2230" s="27" t="str">
        <f aca="false">IF(A2230="","",A2230&amp;"|"&amp;B2230)</f>
        <v/>
      </c>
    </row>
    <row r="2231" customFormat="false" ht="15" hidden="false" customHeight="false" outlineLevel="0" collapsed="false">
      <c r="A2231" s="19"/>
      <c r="B2231" s="19"/>
      <c r="C2231" s="20"/>
      <c r="D2231" s="19"/>
      <c r="E2231" s="26" t="str">
        <f aca="false">IF(A2231="","",COUNTIFS(Apparitions!$A$2:$A$5001,A2231,Apparitions!$B$2:$B$5001,B2231))</f>
        <v/>
      </c>
      <c r="F2231" s="27" t="str">
        <f aca="false">IF(A2231="","",A2231&amp;"|"&amp;B2231)</f>
        <v/>
      </c>
    </row>
    <row r="2232" customFormat="false" ht="15" hidden="false" customHeight="false" outlineLevel="0" collapsed="false">
      <c r="A2232" s="19"/>
      <c r="B2232" s="19"/>
      <c r="C2232" s="20"/>
      <c r="D2232" s="19"/>
      <c r="E2232" s="26" t="str">
        <f aca="false">IF(A2232="","",COUNTIFS(Apparitions!$A$2:$A$5001,A2232,Apparitions!$B$2:$B$5001,B2232))</f>
        <v/>
      </c>
      <c r="F2232" s="27" t="str">
        <f aca="false">IF(A2232="","",A2232&amp;"|"&amp;B2232)</f>
        <v/>
      </c>
    </row>
    <row r="2233" customFormat="false" ht="15" hidden="false" customHeight="false" outlineLevel="0" collapsed="false">
      <c r="A2233" s="19"/>
      <c r="B2233" s="19"/>
      <c r="C2233" s="20"/>
      <c r="D2233" s="19"/>
      <c r="E2233" s="26" t="str">
        <f aca="false">IF(A2233="","",COUNTIFS(Apparitions!$A$2:$A$5001,A2233,Apparitions!$B$2:$B$5001,B2233))</f>
        <v/>
      </c>
      <c r="F2233" s="27" t="str">
        <f aca="false">IF(A2233="","",A2233&amp;"|"&amp;B2233)</f>
        <v/>
      </c>
    </row>
    <row r="2234" customFormat="false" ht="15" hidden="false" customHeight="false" outlineLevel="0" collapsed="false">
      <c r="A2234" s="19"/>
      <c r="B2234" s="19"/>
      <c r="C2234" s="20"/>
      <c r="D2234" s="19"/>
      <c r="E2234" s="26" t="str">
        <f aca="false">IF(A2234="","",COUNTIFS(Apparitions!$A$2:$A$5001,A2234,Apparitions!$B$2:$B$5001,B2234))</f>
        <v/>
      </c>
      <c r="F2234" s="27" t="str">
        <f aca="false">IF(A2234="","",A2234&amp;"|"&amp;B2234)</f>
        <v/>
      </c>
    </row>
    <row r="2235" customFormat="false" ht="15" hidden="false" customHeight="false" outlineLevel="0" collapsed="false">
      <c r="A2235" s="19"/>
      <c r="B2235" s="19"/>
      <c r="C2235" s="20"/>
      <c r="D2235" s="19"/>
      <c r="E2235" s="26" t="str">
        <f aca="false">IF(A2235="","",COUNTIFS(Apparitions!$A$2:$A$5001,A2235,Apparitions!$B$2:$B$5001,B2235))</f>
        <v/>
      </c>
      <c r="F2235" s="27" t="str">
        <f aca="false">IF(A2235="","",A2235&amp;"|"&amp;B2235)</f>
        <v/>
      </c>
    </row>
    <row r="2236" customFormat="false" ht="15" hidden="false" customHeight="false" outlineLevel="0" collapsed="false">
      <c r="A2236" s="19"/>
      <c r="B2236" s="19"/>
      <c r="C2236" s="20"/>
      <c r="D2236" s="19"/>
      <c r="E2236" s="26" t="str">
        <f aca="false">IF(A2236="","",COUNTIFS(Apparitions!$A$2:$A$5001,A2236,Apparitions!$B$2:$B$5001,B2236))</f>
        <v/>
      </c>
      <c r="F2236" s="27" t="str">
        <f aca="false">IF(A2236="","",A2236&amp;"|"&amp;B2236)</f>
        <v/>
      </c>
    </row>
    <row r="2237" customFormat="false" ht="15" hidden="false" customHeight="false" outlineLevel="0" collapsed="false">
      <c r="A2237" s="19"/>
      <c r="B2237" s="19"/>
      <c r="C2237" s="20"/>
      <c r="D2237" s="19"/>
      <c r="E2237" s="26" t="str">
        <f aca="false">IF(A2237="","",COUNTIFS(Apparitions!$A$2:$A$5001,A2237,Apparitions!$B$2:$B$5001,B2237))</f>
        <v/>
      </c>
      <c r="F2237" s="27" t="str">
        <f aca="false">IF(A2237="","",A2237&amp;"|"&amp;B2237)</f>
        <v/>
      </c>
    </row>
    <row r="2238" customFormat="false" ht="15" hidden="false" customHeight="false" outlineLevel="0" collapsed="false">
      <c r="A2238" s="19"/>
      <c r="B2238" s="19"/>
      <c r="C2238" s="20"/>
      <c r="D2238" s="19"/>
      <c r="E2238" s="26" t="str">
        <f aca="false">IF(A2238="","",COUNTIFS(Apparitions!$A$2:$A$5001,A2238,Apparitions!$B$2:$B$5001,B2238))</f>
        <v/>
      </c>
      <c r="F2238" s="27" t="str">
        <f aca="false">IF(A2238="","",A2238&amp;"|"&amp;B2238)</f>
        <v/>
      </c>
    </row>
    <row r="2239" customFormat="false" ht="15" hidden="false" customHeight="false" outlineLevel="0" collapsed="false">
      <c r="A2239" s="19"/>
      <c r="B2239" s="19"/>
      <c r="C2239" s="20"/>
      <c r="D2239" s="19"/>
      <c r="E2239" s="26" t="str">
        <f aca="false">IF(A2239="","",COUNTIFS(Apparitions!$A$2:$A$5001,A2239,Apparitions!$B$2:$B$5001,B2239))</f>
        <v/>
      </c>
      <c r="F2239" s="27" t="str">
        <f aca="false">IF(A2239="","",A2239&amp;"|"&amp;B2239)</f>
        <v/>
      </c>
    </row>
    <row r="2240" customFormat="false" ht="15" hidden="false" customHeight="false" outlineLevel="0" collapsed="false">
      <c r="A2240" s="19"/>
      <c r="B2240" s="19"/>
      <c r="C2240" s="20"/>
      <c r="D2240" s="19"/>
      <c r="E2240" s="26" t="str">
        <f aca="false">IF(A2240="","",COUNTIFS(Apparitions!$A$2:$A$5001,A2240,Apparitions!$B$2:$B$5001,B2240))</f>
        <v/>
      </c>
      <c r="F2240" s="27" t="str">
        <f aca="false">IF(A2240="","",A2240&amp;"|"&amp;B2240)</f>
        <v/>
      </c>
    </row>
    <row r="2241" customFormat="false" ht="15" hidden="false" customHeight="false" outlineLevel="0" collapsed="false">
      <c r="A2241" s="19"/>
      <c r="B2241" s="19"/>
      <c r="C2241" s="20"/>
      <c r="D2241" s="19"/>
      <c r="E2241" s="26" t="str">
        <f aca="false">IF(A2241="","",COUNTIFS(Apparitions!$A$2:$A$5001,A2241,Apparitions!$B$2:$B$5001,B2241))</f>
        <v/>
      </c>
      <c r="F2241" s="27" t="str">
        <f aca="false">IF(A2241="","",A2241&amp;"|"&amp;B2241)</f>
        <v/>
      </c>
    </row>
    <row r="2242" customFormat="false" ht="15" hidden="false" customHeight="false" outlineLevel="0" collapsed="false">
      <c r="A2242" s="19"/>
      <c r="B2242" s="19"/>
      <c r="C2242" s="20"/>
      <c r="D2242" s="19"/>
      <c r="E2242" s="26" t="str">
        <f aca="false">IF(A2242="","",COUNTIFS(Apparitions!$A$2:$A$5001,A2242,Apparitions!$B$2:$B$5001,B2242))</f>
        <v/>
      </c>
      <c r="F2242" s="27" t="str">
        <f aca="false">IF(A2242="","",A2242&amp;"|"&amp;B2242)</f>
        <v/>
      </c>
    </row>
    <row r="2243" customFormat="false" ht="15" hidden="false" customHeight="false" outlineLevel="0" collapsed="false">
      <c r="A2243" s="19"/>
      <c r="B2243" s="19"/>
      <c r="C2243" s="20"/>
      <c r="D2243" s="19"/>
      <c r="E2243" s="26" t="str">
        <f aca="false">IF(A2243="","",COUNTIFS(Apparitions!$A$2:$A$5001,A2243,Apparitions!$B$2:$B$5001,B2243))</f>
        <v/>
      </c>
      <c r="F2243" s="27" t="str">
        <f aca="false">IF(A2243="","",A2243&amp;"|"&amp;B2243)</f>
        <v/>
      </c>
    </row>
    <row r="2244" customFormat="false" ht="15" hidden="false" customHeight="false" outlineLevel="0" collapsed="false">
      <c r="A2244" s="19"/>
      <c r="B2244" s="19"/>
      <c r="C2244" s="20"/>
      <c r="D2244" s="19"/>
      <c r="E2244" s="26" t="str">
        <f aca="false">IF(A2244="","",COUNTIFS(Apparitions!$A$2:$A$5001,A2244,Apparitions!$B$2:$B$5001,B2244))</f>
        <v/>
      </c>
      <c r="F2244" s="27" t="str">
        <f aca="false">IF(A2244="","",A2244&amp;"|"&amp;B2244)</f>
        <v/>
      </c>
    </row>
    <row r="2245" customFormat="false" ht="15" hidden="false" customHeight="false" outlineLevel="0" collapsed="false">
      <c r="A2245" s="19"/>
      <c r="B2245" s="19"/>
      <c r="C2245" s="20"/>
      <c r="D2245" s="19"/>
      <c r="E2245" s="26" t="str">
        <f aca="false">IF(A2245="","",COUNTIFS(Apparitions!$A$2:$A$5001,A2245,Apparitions!$B$2:$B$5001,B2245))</f>
        <v/>
      </c>
      <c r="F2245" s="27" t="str">
        <f aca="false">IF(A2245="","",A2245&amp;"|"&amp;B2245)</f>
        <v/>
      </c>
    </row>
    <row r="2246" customFormat="false" ht="15" hidden="false" customHeight="false" outlineLevel="0" collapsed="false">
      <c r="A2246" s="19"/>
      <c r="B2246" s="19"/>
      <c r="C2246" s="20"/>
      <c r="D2246" s="19"/>
      <c r="E2246" s="26" t="str">
        <f aca="false">IF(A2246="","",COUNTIFS(Apparitions!$A$2:$A$5001,A2246,Apparitions!$B$2:$B$5001,B2246))</f>
        <v/>
      </c>
      <c r="F2246" s="27" t="str">
        <f aca="false">IF(A2246="","",A2246&amp;"|"&amp;B2246)</f>
        <v/>
      </c>
    </row>
    <row r="2247" customFormat="false" ht="15" hidden="false" customHeight="false" outlineLevel="0" collapsed="false">
      <c r="A2247" s="19"/>
      <c r="B2247" s="19"/>
      <c r="C2247" s="20"/>
      <c r="D2247" s="19"/>
      <c r="E2247" s="26" t="str">
        <f aca="false">IF(A2247="","",COUNTIFS(Apparitions!$A$2:$A$5001,A2247,Apparitions!$B$2:$B$5001,B2247))</f>
        <v/>
      </c>
      <c r="F2247" s="27" t="str">
        <f aca="false">IF(A2247="","",A2247&amp;"|"&amp;B2247)</f>
        <v/>
      </c>
    </row>
    <row r="2248" customFormat="false" ht="15" hidden="false" customHeight="false" outlineLevel="0" collapsed="false">
      <c r="A2248" s="19"/>
      <c r="B2248" s="19"/>
      <c r="C2248" s="20"/>
      <c r="D2248" s="19"/>
      <c r="E2248" s="26" t="str">
        <f aca="false">IF(A2248="","",COUNTIFS(Apparitions!$A$2:$A$5001,A2248,Apparitions!$B$2:$B$5001,B2248))</f>
        <v/>
      </c>
      <c r="F2248" s="27" t="str">
        <f aca="false">IF(A2248="","",A2248&amp;"|"&amp;B2248)</f>
        <v/>
      </c>
    </row>
    <row r="2249" customFormat="false" ht="15" hidden="false" customHeight="false" outlineLevel="0" collapsed="false">
      <c r="A2249" s="19"/>
      <c r="B2249" s="19"/>
      <c r="C2249" s="20"/>
      <c r="D2249" s="19"/>
      <c r="E2249" s="26" t="str">
        <f aca="false">IF(A2249="","",COUNTIFS(Apparitions!$A$2:$A$5001,A2249,Apparitions!$B$2:$B$5001,B2249))</f>
        <v/>
      </c>
      <c r="F2249" s="27" t="str">
        <f aca="false">IF(A2249="","",A2249&amp;"|"&amp;B2249)</f>
        <v/>
      </c>
    </row>
    <row r="2250" customFormat="false" ht="15" hidden="false" customHeight="false" outlineLevel="0" collapsed="false">
      <c r="A2250" s="19"/>
      <c r="B2250" s="19"/>
      <c r="C2250" s="20"/>
      <c r="D2250" s="19"/>
      <c r="E2250" s="26" t="str">
        <f aca="false">IF(A2250="","",COUNTIFS(Apparitions!$A$2:$A$5001,A2250,Apparitions!$B$2:$B$5001,B2250))</f>
        <v/>
      </c>
      <c r="F2250" s="27" t="str">
        <f aca="false">IF(A2250="","",A2250&amp;"|"&amp;B2250)</f>
        <v/>
      </c>
    </row>
    <row r="2251" customFormat="false" ht="15" hidden="false" customHeight="false" outlineLevel="0" collapsed="false">
      <c r="A2251" s="19"/>
      <c r="B2251" s="19"/>
      <c r="C2251" s="20"/>
      <c r="D2251" s="19"/>
      <c r="E2251" s="26" t="str">
        <f aca="false">IF(A2251="","",COUNTIFS(Apparitions!$A$2:$A$5001,A2251,Apparitions!$B$2:$B$5001,B2251))</f>
        <v/>
      </c>
      <c r="F2251" s="27" t="str">
        <f aca="false">IF(A2251="","",A2251&amp;"|"&amp;B2251)</f>
        <v/>
      </c>
    </row>
    <row r="2252" customFormat="false" ht="15" hidden="false" customHeight="false" outlineLevel="0" collapsed="false">
      <c r="A2252" s="19"/>
      <c r="B2252" s="19"/>
      <c r="C2252" s="20"/>
      <c r="D2252" s="19"/>
      <c r="E2252" s="26" t="str">
        <f aca="false">IF(A2252="","",COUNTIFS(Apparitions!$A$2:$A$5001,A2252,Apparitions!$B$2:$B$5001,B2252))</f>
        <v/>
      </c>
      <c r="F2252" s="27" t="str">
        <f aca="false">IF(A2252="","",A2252&amp;"|"&amp;B2252)</f>
        <v/>
      </c>
    </row>
    <row r="2253" customFormat="false" ht="15" hidden="false" customHeight="false" outlineLevel="0" collapsed="false">
      <c r="A2253" s="19"/>
      <c r="B2253" s="19"/>
      <c r="C2253" s="20"/>
      <c r="D2253" s="19"/>
      <c r="E2253" s="26" t="str">
        <f aca="false">IF(A2253="","",COUNTIFS(Apparitions!$A$2:$A$5001,A2253,Apparitions!$B$2:$B$5001,B2253))</f>
        <v/>
      </c>
      <c r="F2253" s="27" t="str">
        <f aca="false">IF(A2253="","",A2253&amp;"|"&amp;B2253)</f>
        <v/>
      </c>
    </row>
    <row r="2254" customFormat="false" ht="15" hidden="false" customHeight="false" outlineLevel="0" collapsed="false">
      <c r="A2254" s="19"/>
      <c r="B2254" s="19"/>
      <c r="C2254" s="20"/>
      <c r="D2254" s="19"/>
      <c r="E2254" s="26" t="str">
        <f aca="false">IF(A2254="","",COUNTIFS(Apparitions!$A$2:$A$5001,A2254,Apparitions!$B$2:$B$5001,B2254))</f>
        <v/>
      </c>
      <c r="F2254" s="27" t="str">
        <f aca="false">IF(A2254="","",A2254&amp;"|"&amp;B2254)</f>
        <v/>
      </c>
    </row>
    <row r="2255" customFormat="false" ht="15" hidden="false" customHeight="false" outlineLevel="0" collapsed="false">
      <c r="A2255" s="19"/>
      <c r="B2255" s="19"/>
      <c r="C2255" s="20"/>
      <c r="D2255" s="19"/>
      <c r="E2255" s="26" t="str">
        <f aca="false">IF(A2255="","",COUNTIFS(Apparitions!$A$2:$A$5001,A2255,Apparitions!$B$2:$B$5001,B2255))</f>
        <v/>
      </c>
      <c r="F2255" s="27" t="str">
        <f aca="false">IF(A2255="","",A2255&amp;"|"&amp;B2255)</f>
        <v/>
      </c>
    </row>
    <row r="2256" customFormat="false" ht="15" hidden="false" customHeight="false" outlineLevel="0" collapsed="false">
      <c r="A2256" s="19"/>
      <c r="B2256" s="19"/>
      <c r="C2256" s="20"/>
      <c r="D2256" s="19"/>
      <c r="E2256" s="26" t="str">
        <f aca="false">IF(A2256="","",COUNTIFS(Apparitions!$A$2:$A$5001,A2256,Apparitions!$B$2:$B$5001,B2256))</f>
        <v/>
      </c>
      <c r="F2256" s="27" t="str">
        <f aca="false">IF(A2256="","",A2256&amp;"|"&amp;B2256)</f>
        <v/>
      </c>
    </row>
    <row r="2257" customFormat="false" ht="15" hidden="false" customHeight="false" outlineLevel="0" collapsed="false">
      <c r="A2257" s="19"/>
      <c r="B2257" s="19"/>
      <c r="C2257" s="20"/>
      <c r="D2257" s="19"/>
      <c r="E2257" s="26" t="str">
        <f aca="false">IF(A2257="","",COUNTIFS(Apparitions!$A$2:$A$5001,A2257,Apparitions!$B$2:$B$5001,B2257))</f>
        <v/>
      </c>
      <c r="F2257" s="27" t="str">
        <f aca="false">IF(A2257="","",A2257&amp;"|"&amp;B2257)</f>
        <v/>
      </c>
    </row>
    <row r="2258" customFormat="false" ht="15" hidden="false" customHeight="false" outlineLevel="0" collapsed="false">
      <c r="A2258" s="19"/>
      <c r="B2258" s="19"/>
      <c r="C2258" s="20"/>
      <c r="D2258" s="19"/>
      <c r="E2258" s="26" t="str">
        <f aca="false">IF(A2258="","",COUNTIFS(Apparitions!$A$2:$A$5001,A2258,Apparitions!$B$2:$B$5001,B2258))</f>
        <v/>
      </c>
      <c r="F2258" s="27" t="str">
        <f aca="false">IF(A2258="","",A2258&amp;"|"&amp;B2258)</f>
        <v/>
      </c>
    </row>
    <row r="2259" customFormat="false" ht="15" hidden="false" customHeight="false" outlineLevel="0" collapsed="false">
      <c r="A2259" s="19"/>
      <c r="B2259" s="19"/>
      <c r="C2259" s="20"/>
      <c r="D2259" s="19"/>
      <c r="E2259" s="26" t="str">
        <f aca="false">IF(A2259="","",COUNTIFS(Apparitions!$A$2:$A$5001,A2259,Apparitions!$B$2:$B$5001,B2259))</f>
        <v/>
      </c>
      <c r="F2259" s="27" t="str">
        <f aca="false">IF(A2259="","",A2259&amp;"|"&amp;B2259)</f>
        <v/>
      </c>
    </row>
    <row r="2260" customFormat="false" ht="15" hidden="false" customHeight="false" outlineLevel="0" collapsed="false">
      <c r="A2260" s="19"/>
      <c r="B2260" s="19"/>
      <c r="C2260" s="20"/>
      <c r="D2260" s="19"/>
      <c r="E2260" s="26" t="str">
        <f aca="false">IF(A2260="","",COUNTIFS(Apparitions!$A$2:$A$5001,A2260,Apparitions!$B$2:$B$5001,B2260))</f>
        <v/>
      </c>
      <c r="F2260" s="27" t="str">
        <f aca="false">IF(A2260="","",A2260&amp;"|"&amp;B2260)</f>
        <v/>
      </c>
    </row>
    <row r="2261" customFormat="false" ht="15" hidden="false" customHeight="false" outlineLevel="0" collapsed="false">
      <c r="A2261" s="19"/>
      <c r="B2261" s="19"/>
      <c r="C2261" s="20"/>
      <c r="D2261" s="19"/>
      <c r="E2261" s="26" t="str">
        <f aca="false">IF(A2261="","",COUNTIFS(Apparitions!$A$2:$A$5001,A2261,Apparitions!$B$2:$B$5001,B2261))</f>
        <v/>
      </c>
      <c r="F2261" s="27" t="str">
        <f aca="false">IF(A2261="","",A2261&amp;"|"&amp;B2261)</f>
        <v/>
      </c>
    </row>
    <row r="2262" customFormat="false" ht="15" hidden="false" customHeight="false" outlineLevel="0" collapsed="false">
      <c r="A2262" s="19"/>
      <c r="B2262" s="19"/>
      <c r="C2262" s="20"/>
      <c r="D2262" s="19"/>
      <c r="E2262" s="26" t="str">
        <f aca="false">IF(A2262="","",COUNTIFS(Apparitions!$A$2:$A$5001,A2262,Apparitions!$B$2:$B$5001,B2262))</f>
        <v/>
      </c>
      <c r="F2262" s="27" t="str">
        <f aca="false">IF(A2262="","",A2262&amp;"|"&amp;B2262)</f>
        <v/>
      </c>
    </row>
    <row r="2263" customFormat="false" ht="15" hidden="false" customHeight="false" outlineLevel="0" collapsed="false">
      <c r="A2263" s="19"/>
      <c r="B2263" s="19"/>
      <c r="C2263" s="20"/>
      <c r="D2263" s="19"/>
      <c r="E2263" s="26" t="str">
        <f aca="false">IF(A2263="","",COUNTIFS(Apparitions!$A$2:$A$5001,A2263,Apparitions!$B$2:$B$5001,B2263))</f>
        <v/>
      </c>
      <c r="F2263" s="27" t="str">
        <f aca="false">IF(A2263="","",A2263&amp;"|"&amp;B2263)</f>
        <v/>
      </c>
    </row>
    <row r="2264" customFormat="false" ht="15" hidden="false" customHeight="false" outlineLevel="0" collapsed="false">
      <c r="A2264" s="19"/>
      <c r="B2264" s="19"/>
      <c r="C2264" s="20"/>
      <c r="D2264" s="19"/>
      <c r="E2264" s="26" t="str">
        <f aca="false">IF(A2264="","",COUNTIFS(Apparitions!$A$2:$A$5001,A2264,Apparitions!$B$2:$B$5001,B2264))</f>
        <v/>
      </c>
      <c r="F2264" s="27" t="str">
        <f aca="false">IF(A2264="","",A2264&amp;"|"&amp;B2264)</f>
        <v/>
      </c>
    </row>
    <row r="2265" customFormat="false" ht="15" hidden="false" customHeight="false" outlineLevel="0" collapsed="false">
      <c r="A2265" s="19"/>
      <c r="B2265" s="19"/>
      <c r="C2265" s="20"/>
      <c r="D2265" s="19"/>
      <c r="E2265" s="26" t="str">
        <f aca="false">IF(A2265="","",COUNTIFS(Apparitions!$A$2:$A$5001,A2265,Apparitions!$B$2:$B$5001,B2265))</f>
        <v/>
      </c>
      <c r="F2265" s="27" t="str">
        <f aca="false">IF(A2265="","",A2265&amp;"|"&amp;B2265)</f>
        <v/>
      </c>
    </row>
    <row r="2266" customFormat="false" ht="15" hidden="false" customHeight="false" outlineLevel="0" collapsed="false">
      <c r="A2266" s="19"/>
      <c r="B2266" s="19"/>
      <c r="C2266" s="20"/>
      <c r="D2266" s="19"/>
      <c r="E2266" s="26" t="str">
        <f aca="false">IF(A2266="","",COUNTIFS(Apparitions!$A$2:$A$5001,A2266,Apparitions!$B$2:$B$5001,B2266))</f>
        <v/>
      </c>
      <c r="F2266" s="27" t="str">
        <f aca="false">IF(A2266="","",A2266&amp;"|"&amp;B2266)</f>
        <v/>
      </c>
    </row>
    <row r="2267" customFormat="false" ht="15" hidden="false" customHeight="false" outlineLevel="0" collapsed="false">
      <c r="A2267" s="19"/>
      <c r="B2267" s="19"/>
      <c r="C2267" s="20"/>
      <c r="D2267" s="19"/>
      <c r="E2267" s="26" t="str">
        <f aca="false">IF(A2267="","",COUNTIFS(Apparitions!$A$2:$A$5001,A2267,Apparitions!$B$2:$B$5001,B2267))</f>
        <v/>
      </c>
      <c r="F2267" s="27" t="str">
        <f aca="false">IF(A2267="","",A2267&amp;"|"&amp;B2267)</f>
        <v/>
      </c>
    </row>
    <row r="2268" customFormat="false" ht="15" hidden="false" customHeight="false" outlineLevel="0" collapsed="false">
      <c r="A2268" s="19"/>
      <c r="B2268" s="19"/>
      <c r="C2268" s="20"/>
      <c r="D2268" s="19"/>
      <c r="E2268" s="26" t="str">
        <f aca="false">IF(A2268="","",COUNTIFS(Apparitions!$A$2:$A$5001,A2268,Apparitions!$B$2:$B$5001,B2268))</f>
        <v/>
      </c>
      <c r="F2268" s="27" t="str">
        <f aca="false">IF(A2268="","",A2268&amp;"|"&amp;B2268)</f>
        <v/>
      </c>
    </row>
    <row r="2269" customFormat="false" ht="15" hidden="false" customHeight="false" outlineLevel="0" collapsed="false">
      <c r="A2269" s="19"/>
      <c r="B2269" s="19"/>
      <c r="C2269" s="20"/>
      <c r="D2269" s="19"/>
      <c r="E2269" s="26" t="str">
        <f aca="false">IF(A2269="","",COUNTIFS(Apparitions!$A$2:$A$5001,A2269,Apparitions!$B$2:$B$5001,B2269))</f>
        <v/>
      </c>
      <c r="F2269" s="27" t="str">
        <f aca="false">IF(A2269="","",A2269&amp;"|"&amp;B2269)</f>
        <v/>
      </c>
    </row>
    <row r="2270" customFormat="false" ht="15" hidden="false" customHeight="false" outlineLevel="0" collapsed="false">
      <c r="A2270" s="19"/>
      <c r="B2270" s="19"/>
      <c r="C2270" s="20"/>
      <c r="D2270" s="19"/>
      <c r="E2270" s="26" t="str">
        <f aca="false">IF(A2270="","",COUNTIFS(Apparitions!$A$2:$A$5001,A2270,Apparitions!$B$2:$B$5001,B2270))</f>
        <v/>
      </c>
      <c r="F2270" s="27" t="str">
        <f aca="false">IF(A2270="","",A2270&amp;"|"&amp;B2270)</f>
        <v/>
      </c>
    </row>
    <row r="2271" customFormat="false" ht="15" hidden="false" customHeight="false" outlineLevel="0" collapsed="false">
      <c r="A2271" s="19"/>
      <c r="B2271" s="19"/>
      <c r="C2271" s="20"/>
      <c r="D2271" s="19"/>
      <c r="E2271" s="26" t="str">
        <f aca="false">IF(A2271="","",COUNTIFS(Apparitions!$A$2:$A$5001,A2271,Apparitions!$B$2:$B$5001,B2271))</f>
        <v/>
      </c>
      <c r="F2271" s="27" t="str">
        <f aca="false">IF(A2271="","",A2271&amp;"|"&amp;B2271)</f>
        <v/>
      </c>
    </row>
    <row r="2272" customFormat="false" ht="15" hidden="false" customHeight="false" outlineLevel="0" collapsed="false">
      <c r="A2272" s="19"/>
      <c r="B2272" s="19"/>
      <c r="C2272" s="20"/>
      <c r="D2272" s="19"/>
      <c r="E2272" s="26" t="str">
        <f aca="false">IF(A2272="","",COUNTIFS(Apparitions!$A$2:$A$5001,A2272,Apparitions!$B$2:$B$5001,B2272))</f>
        <v/>
      </c>
      <c r="F2272" s="27" t="str">
        <f aca="false">IF(A2272="","",A2272&amp;"|"&amp;B2272)</f>
        <v/>
      </c>
    </row>
    <row r="2273" customFormat="false" ht="15" hidden="false" customHeight="false" outlineLevel="0" collapsed="false">
      <c r="A2273" s="19"/>
      <c r="B2273" s="19"/>
      <c r="C2273" s="20"/>
      <c r="D2273" s="19"/>
      <c r="E2273" s="26" t="str">
        <f aca="false">IF(A2273="","",COUNTIFS(Apparitions!$A$2:$A$5001,A2273,Apparitions!$B$2:$B$5001,B2273))</f>
        <v/>
      </c>
      <c r="F2273" s="27" t="str">
        <f aca="false">IF(A2273="","",A2273&amp;"|"&amp;B2273)</f>
        <v/>
      </c>
    </row>
    <row r="2274" customFormat="false" ht="15" hidden="false" customHeight="false" outlineLevel="0" collapsed="false">
      <c r="A2274" s="19"/>
      <c r="B2274" s="19"/>
      <c r="C2274" s="20"/>
      <c r="D2274" s="19"/>
      <c r="E2274" s="26" t="str">
        <f aca="false">IF(A2274="","",COUNTIFS(Apparitions!$A$2:$A$5001,A2274,Apparitions!$B$2:$B$5001,B2274))</f>
        <v/>
      </c>
      <c r="F2274" s="27" t="str">
        <f aca="false">IF(A2274="","",A2274&amp;"|"&amp;B2274)</f>
        <v/>
      </c>
    </row>
    <row r="2275" customFormat="false" ht="15" hidden="false" customHeight="false" outlineLevel="0" collapsed="false">
      <c r="A2275" s="19"/>
      <c r="B2275" s="19"/>
      <c r="C2275" s="20"/>
      <c r="D2275" s="19"/>
      <c r="E2275" s="26" t="str">
        <f aca="false">IF(A2275="","",COUNTIFS(Apparitions!$A$2:$A$5001,A2275,Apparitions!$B$2:$B$5001,B2275))</f>
        <v/>
      </c>
      <c r="F2275" s="27" t="str">
        <f aca="false">IF(A2275="","",A2275&amp;"|"&amp;B2275)</f>
        <v/>
      </c>
    </row>
    <row r="2276" customFormat="false" ht="15" hidden="false" customHeight="false" outlineLevel="0" collapsed="false">
      <c r="A2276" s="19"/>
      <c r="B2276" s="19"/>
      <c r="C2276" s="20"/>
      <c r="D2276" s="19"/>
      <c r="E2276" s="26" t="str">
        <f aca="false">IF(A2276="","",COUNTIFS(Apparitions!$A$2:$A$5001,A2276,Apparitions!$B$2:$B$5001,B2276))</f>
        <v/>
      </c>
      <c r="F2276" s="27" t="str">
        <f aca="false">IF(A2276="","",A2276&amp;"|"&amp;B2276)</f>
        <v/>
      </c>
    </row>
    <row r="2277" customFormat="false" ht="15" hidden="false" customHeight="false" outlineLevel="0" collapsed="false">
      <c r="A2277" s="19"/>
      <c r="B2277" s="19"/>
      <c r="C2277" s="20"/>
      <c r="D2277" s="19"/>
      <c r="E2277" s="26" t="str">
        <f aca="false">IF(A2277="","",COUNTIFS(Apparitions!$A$2:$A$5001,A2277,Apparitions!$B$2:$B$5001,B2277))</f>
        <v/>
      </c>
      <c r="F2277" s="27" t="str">
        <f aca="false">IF(A2277="","",A2277&amp;"|"&amp;B2277)</f>
        <v/>
      </c>
    </row>
    <row r="2278" customFormat="false" ht="15" hidden="false" customHeight="false" outlineLevel="0" collapsed="false">
      <c r="A2278" s="19"/>
      <c r="B2278" s="19"/>
      <c r="C2278" s="20"/>
      <c r="D2278" s="19"/>
      <c r="E2278" s="26" t="str">
        <f aca="false">IF(A2278="","",COUNTIFS(Apparitions!$A$2:$A$5001,A2278,Apparitions!$B$2:$B$5001,B2278))</f>
        <v/>
      </c>
      <c r="F2278" s="27" t="str">
        <f aca="false">IF(A2278="","",A2278&amp;"|"&amp;B2278)</f>
        <v/>
      </c>
    </row>
    <row r="2279" customFormat="false" ht="15" hidden="false" customHeight="false" outlineLevel="0" collapsed="false">
      <c r="A2279" s="19"/>
      <c r="B2279" s="19"/>
      <c r="C2279" s="20"/>
      <c r="D2279" s="19"/>
      <c r="E2279" s="26" t="str">
        <f aca="false">IF(A2279="","",COUNTIFS(Apparitions!$A$2:$A$5001,A2279,Apparitions!$B$2:$B$5001,B2279))</f>
        <v/>
      </c>
      <c r="F2279" s="27" t="str">
        <f aca="false">IF(A2279="","",A2279&amp;"|"&amp;B2279)</f>
        <v/>
      </c>
    </row>
    <row r="2280" customFormat="false" ht="15" hidden="false" customHeight="false" outlineLevel="0" collapsed="false">
      <c r="A2280" s="19"/>
      <c r="B2280" s="19"/>
      <c r="C2280" s="20"/>
      <c r="D2280" s="19"/>
      <c r="E2280" s="26" t="str">
        <f aca="false">IF(A2280="","",COUNTIFS(Apparitions!$A$2:$A$5001,A2280,Apparitions!$B$2:$B$5001,B2280))</f>
        <v/>
      </c>
      <c r="F2280" s="27" t="str">
        <f aca="false">IF(A2280="","",A2280&amp;"|"&amp;B2280)</f>
        <v/>
      </c>
    </row>
    <row r="2281" customFormat="false" ht="15" hidden="false" customHeight="false" outlineLevel="0" collapsed="false">
      <c r="A2281" s="19"/>
      <c r="B2281" s="19"/>
      <c r="C2281" s="20"/>
      <c r="D2281" s="19"/>
      <c r="E2281" s="26" t="str">
        <f aca="false">IF(A2281="","",COUNTIFS(Apparitions!$A$2:$A$5001,A2281,Apparitions!$B$2:$B$5001,B2281))</f>
        <v/>
      </c>
      <c r="F2281" s="27" t="str">
        <f aca="false">IF(A2281="","",A2281&amp;"|"&amp;B2281)</f>
        <v/>
      </c>
    </row>
    <row r="2282" customFormat="false" ht="15" hidden="false" customHeight="false" outlineLevel="0" collapsed="false">
      <c r="A2282" s="19"/>
      <c r="B2282" s="19"/>
      <c r="C2282" s="20"/>
      <c r="D2282" s="19"/>
      <c r="E2282" s="26" t="str">
        <f aca="false">IF(A2282="","",COUNTIFS(Apparitions!$A$2:$A$5001,A2282,Apparitions!$B$2:$B$5001,B2282))</f>
        <v/>
      </c>
      <c r="F2282" s="27" t="str">
        <f aca="false">IF(A2282="","",A2282&amp;"|"&amp;B2282)</f>
        <v/>
      </c>
    </row>
    <row r="2283" customFormat="false" ht="15" hidden="false" customHeight="false" outlineLevel="0" collapsed="false">
      <c r="A2283" s="19"/>
      <c r="B2283" s="19"/>
      <c r="C2283" s="20"/>
      <c r="D2283" s="19"/>
      <c r="E2283" s="26" t="str">
        <f aca="false">IF(A2283="","",COUNTIFS(Apparitions!$A$2:$A$5001,A2283,Apparitions!$B$2:$B$5001,B2283))</f>
        <v/>
      </c>
      <c r="F2283" s="27" t="str">
        <f aca="false">IF(A2283="","",A2283&amp;"|"&amp;B2283)</f>
        <v/>
      </c>
    </row>
    <row r="2284" customFormat="false" ht="15" hidden="false" customHeight="false" outlineLevel="0" collapsed="false">
      <c r="A2284" s="19"/>
      <c r="B2284" s="19"/>
      <c r="C2284" s="20"/>
      <c r="D2284" s="19"/>
      <c r="E2284" s="26" t="str">
        <f aca="false">IF(A2284="","",COUNTIFS(Apparitions!$A$2:$A$5001,A2284,Apparitions!$B$2:$B$5001,B2284))</f>
        <v/>
      </c>
      <c r="F2284" s="27" t="str">
        <f aca="false">IF(A2284="","",A2284&amp;"|"&amp;B2284)</f>
        <v/>
      </c>
    </row>
    <row r="2285" customFormat="false" ht="15" hidden="false" customHeight="false" outlineLevel="0" collapsed="false">
      <c r="A2285" s="19"/>
      <c r="B2285" s="19"/>
      <c r="C2285" s="20"/>
      <c r="D2285" s="19"/>
      <c r="E2285" s="26" t="str">
        <f aca="false">IF(A2285="","",COUNTIFS(Apparitions!$A$2:$A$5001,A2285,Apparitions!$B$2:$B$5001,B2285))</f>
        <v/>
      </c>
      <c r="F2285" s="27" t="str">
        <f aca="false">IF(A2285="","",A2285&amp;"|"&amp;B2285)</f>
        <v/>
      </c>
    </row>
    <row r="2286" customFormat="false" ht="15" hidden="false" customHeight="false" outlineLevel="0" collapsed="false">
      <c r="A2286" s="19"/>
      <c r="B2286" s="19"/>
      <c r="C2286" s="20"/>
      <c r="D2286" s="19"/>
      <c r="E2286" s="26" t="str">
        <f aca="false">IF(A2286="","",COUNTIFS(Apparitions!$A$2:$A$5001,A2286,Apparitions!$B$2:$B$5001,B2286))</f>
        <v/>
      </c>
      <c r="F2286" s="27" t="str">
        <f aca="false">IF(A2286="","",A2286&amp;"|"&amp;B2286)</f>
        <v/>
      </c>
    </row>
    <row r="2287" customFormat="false" ht="15" hidden="false" customHeight="false" outlineLevel="0" collapsed="false">
      <c r="A2287" s="19"/>
      <c r="B2287" s="19"/>
      <c r="C2287" s="20"/>
      <c r="D2287" s="19"/>
      <c r="E2287" s="26" t="str">
        <f aca="false">IF(A2287="","",COUNTIFS(Apparitions!$A$2:$A$5001,A2287,Apparitions!$B$2:$B$5001,B2287))</f>
        <v/>
      </c>
      <c r="F2287" s="27" t="str">
        <f aca="false">IF(A2287="","",A2287&amp;"|"&amp;B2287)</f>
        <v/>
      </c>
    </row>
    <row r="2288" customFormat="false" ht="15" hidden="false" customHeight="false" outlineLevel="0" collapsed="false">
      <c r="A2288" s="19"/>
      <c r="B2288" s="19"/>
      <c r="C2288" s="20"/>
      <c r="D2288" s="19"/>
      <c r="E2288" s="26" t="str">
        <f aca="false">IF(A2288="","",COUNTIFS(Apparitions!$A$2:$A$5001,A2288,Apparitions!$B$2:$B$5001,B2288))</f>
        <v/>
      </c>
      <c r="F2288" s="27" t="str">
        <f aca="false">IF(A2288="","",A2288&amp;"|"&amp;B2288)</f>
        <v/>
      </c>
    </row>
    <row r="2289" customFormat="false" ht="15" hidden="false" customHeight="false" outlineLevel="0" collapsed="false">
      <c r="A2289" s="19"/>
      <c r="B2289" s="19"/>
      <c r="C2289" s="20"/>
      <c r="D2289" s="19"/>
      <c r="E2289" s="26" t="str">
        <f aca="false">IF(A2289="","",COUNTIFS(Apparitions!$A$2:$A$5001,A2289,Apparitions!$B$2:$B$5001,B2289))</f>
        <v/>
      </c>
      <c r="F2289" s="27" t="str">
        <f aca="false">IF(A2289="","",A2289&amp;"|"&amp;B2289)</f>
        <v/>
      </c>
    </row>
    <row r="2290" customFormat="false" ht="15" hidden="false" customHeight="false" outlineLevel="0" collapsed="false">
      <c r="A2290" s="19"/>
      <c r="B2290" s="19"/>
      <c r="C2290" s="20"/>
      <c r="D2290" s="19"/>
      <c r="E2290" s="26" t="str">
        <f aca="false">IF(A2290="","",COUNTIFS(Apparitions!$A$2:$A$5001,A2290,Apparitions!$B$2:$B$5001,B2290))</f>
        <v/>
      </c>
      <c r="F2290" s="27" t="str">
        <f aca="false">IF(A2290="","",A2290&amp;"|"&amp;B2290)</f>
        <v/>
      </c>
    </row>
    <row r="2291" customFormat="false" ht="15" hidden="false" customHeight="false" outlineLevel="0" collapsed="false">
      <c r="A2291" s="19"/>
      <c r="B2291" s="19"/>
      <c r="C2291" s="20"/>
      <c r="D2291" s="19"/>
      <c r="E2291" s="26" t="str">
        <f aca="false">IF(A2291="","",COUNTIFS(Apparitions!$A$2:$A$5001,A2291,Apparitions!$B$2:$B$5001,B2291))</f>
        <v/>
      </c>
      <c r="F2291" s="27" t="str">
        <f aca="false">IF(A2291="","",A2291&amp;"|"&amp;B2291)</f>
        <v/>
      </c>
    </row>
    <row r="2292" customFormat="false" ht="15" hidden="false" customHeight="false" outlineLevel="0" collapsed="false">
      <c r="A2292" s="19"/>
      <c r="B2292" s="19"/>
      <c r="C2292" s="20"/>
      <c r="D2292" s="19"/>
      <c r="E2292" s="26" t="str">
        <f aca="false">IF(A2292="","",COUNTIFS(Apparitions!$A$2:$A$5001,A2292,Apparitions!$B$2:$B$5001,B2292))</f>
        <v/>
      </c>
      <c r="F2292" s="27" t="str">
        <f aca="false">IF(A2292="","",A2292&amp;"|"&amp;B2292)</f>
        <v/>
      </c>
    </row>
    <row r="2293" customFormat="false" ht="15" hidden="false" customHeight="false" outlineLevel="0" collapsed="false">
      <c r="A2293" s="19"/>
      <c r="B2293" s="19"/>
      <c r="C2293" s="20"/>
      <c r="D2293" s="19"/>
      <c r="E2293" s="26" t="str">
        <f aca="false">IF(A2293="","",COUNTIFS(Apparitions!$A$2:$A$5001,A2293,Apparitions!$B$2:$B$5001,B2293))</f>
        <v/>
      </c>
      <c r="F2293" s="27" t="str">
        <f aca="false">IF(A2293="","",A2293&amp;"|"&amp;B2293)</f>
        <v/>
      </c>
    </row>
    <row r="2294" customFormat="false" ht="15" hidden="false" customHeight="false" outlineLevel="0" collapsed="false">
      <c r="A2294" s="19"/>
      <c r="B2294" s="19"/>
      <c r="C2294" s="20"/>
      <c r="D2294" s="19"/>
      <c r="E2294" s="26" t="str">
        <f aca="false">IF(A2294="","",COUNTIFS(Apparitions!$A$2:$A$5001,A2294,Apparitions!$B$2:$B$5001,B2294))</f>
        <v/>
      </c>
      <c r="F2294" s="27" t="str">
        <f aca="false">IF(A2294="","",A2294&amp;"|"&amp;B2294)</f>
        <v/>
      </c>
    </row>
    <row r="2295" customFormat="false" ht="15" hidden="false" customHeight="false" outlineLevel="0" collapsed="false">
      <c r="A2295" s="19"/>
      <c r="B2295" s="19"/>
      <c r="C2295" s="20"/>
      <c r="D2295" s="19"/>
      <c r="E2295" s="26" t="str">
        <f aca="false">IF(A2295="","",COUNTIFS(Apparitions!$A$2:$A$5001,A2295,Apparitions!$B$2:$B$5001,B2295))</f>
        <v/>
      </c>
      <c r="F2295" s="27" t="str">
        <f aca="false">IF(A2295="","",A2295&amp;"|"&amp;B2295)</f>
        <v/>
      </c>
    </row>
    <row r="2296" customFormat="false" ht="15" hidden="false" customHeight="false" outlineLevel="0" collapsed="false">
      <c r="A2296" s="19"/>
      <c r="B2296" s="19"/>
      <c r="C2296" s="20"/>
      <c r="D2296" s="19"/>
      <c r="E2296" s="26" t="str">
        <f aca="false">IF(A2296="","",COUNTIFS(Apparitions!$A$2:$A$5001,A2296,Apparitions!$B$2:$B$5001,B2296))</f>
        <v/>
      </c>
      <c r="F2296" s="27" t="str">
        <f aca="false">IF(A2296="","",A2296&amp;"|"&amp;B2296)</f>
        <v/>
      </c>
    </row>
    <row r="2297" customFormat="false" ht="15" hidden="false" customHeight="false" outlineLevel="0" collapsed="false">
      <c r="A2297" s="19"/>
      <c r="B2297" s="19"/>
      <c r="C2297" s="20"/>
      <c r="D2297" s="19"/>
      <c r="E2297" s="26" t="str">
        <f aca="false">IF(A2297="","",COUNTIFS(Apparitions!$A$2:$A$5001,A2297,Apparitions!$B$2:$B$5001,B2297))</f>
        <v/>
      </c>
      <c r="F2297" s="27" t="str">
        <f aca="false">IF(A2297="","",A2297&amp;"|"&amp;B2297)</f>
        <v/>
      </c>
    </row>
    <row r="2298" customFormat="false" ht="15" hidden="false" customHeight="false" outlineLevel="0" collapsed="false">
      <c r="A2298" s="19"/>
      <c r="B2298" s="19"/>
      <c r="C2298" s="20"/>
      <c r="D2298" s="19"/>
      <c r="E2298" s="26" t="str">
        <f aca="false">IF(A2298="","",COUNTIFS(Apparitions!$A$2:$A$5001,A2298,Apparitions!$B$2:$B$5001,B2298))</f>
        <v/>
      </c>
      <c r="F2298" s="27" t="str">
        <f aca="false">IF(A2298="","",A2298&amp;"|"&amp;B2298)</f>
        <v/>
      </c>
    </row>
    <row r="2299" customFormat="false" ht="15" hidden="false" customHeight="false" outlineLevel="0" collapsed="false">
      <c r="A2299" s="19"/>
      <c r="B2299" s="19"/>
      <c r="C2299" s="20"/>
      <c r="D2299" s="19"/>
      <c r="E2299" s="26" t="str">
        <f aca="false">IF(A2299="","",COUNTIFS(Apparitions!$A$2:$A$5001,A2299,Apparitions!$B$2:$B$5001,B2299))</f>
        <v/>
      </c>
      <c r="F2299" s="27" t="str">
        <f aca="false">IF(A2299="","",A2299&amp;"|"&amp;B2299)</f>
        <v/>
      </c>
    </row>
    <row r="2300" customFormat="false" ht="15" hidden="false" customHeight="false" outlineLevel="0" collapsed="false">
      <c r="A2300" s="19"/>
      <c r="B2300" s="19"/>
      <c r="C2300" s="20"/>
      <c r="D2300" s="19"/>
      <c r="E2300" s="26" t="str">
        <f aca="false">IF(A2300="","",COUNTIFS(Apparitions!$A$2:$A$5001,A2300,Apparitions!$B$2:$B$5001,B2300))</f>
        <v/>
      </c>
      <c r="F2300" s="27" t="str">
        <f aca="false">IF(A2300="","",A2300&amp;"|"&amp;B2300)</f>
        <v/>
      </c>
    </row>
    <row r="2301" customFormat="false" ht="15" hidden="false" customHeight="false" outlineLevel="0" collapsed="false">
      <c r="A2301" s="19"/>
      <c r="B2301" s="19"/>
      <c r="C2301" s="20"/>
      <c r="D2301" s="19"/>
      <c r="E2301" s="26" t="str">
        <f aca="false">IF(A2301="","",COUNTIFS(Apparitions!$A$2:$A$5001,A2301,Apparitions!$B$2:$B$5001,B2301))</f>
        <v/>
      </c>
      <c r="F2301" s="27" t="str">
        <f aca="false">IF(A2301="","",A2301&amp;"|"&amp;B2301)</f>
        <v/>
      </c>
    </row>
    <row r="2302" customFormat="false" ht="15" hidden="false" customHeight="false" outlineLevel="0" collapsed="false">
      <c r="A2302" s="19"/>
      <c r="B2302" s="19"/>
      <c r="C2302" s="20"/>
      <c r="D2302" s="19"/>
      <c r="E2302" s="26" t="str">
        <f aca="false">IF(A2302="","",COUNTIFS(Apparitions!$A$2:$A$5001,A2302,Apparitions!$B$2:$B$5001,B2302))</f>
        <v/>
      </c>
      <c r="F2302" s="27" t="str">
        <f aca="false">IF(A2302="","",A2302&amp;"|"&amp;B2302)</f>
        <v/>
      </c>
    </row>
    <row r="2303" customFormat="false" ht="15" hidden="false" customHeight="false" outlineLevel="0" collapsed="false">
      <c r="A2303" s="19"/>
      <c r="B2303" s="19"/>
      <c r="C2303" s="20"/>
      <c r="D2303" s="19"/>
      <c r="E2303" s="26" t="str">
        <f aca="false">IF(A2303="","",COUNTIFS(Apparitions!$A$2:$A$5001,A2303,Apparitions!$B$2:$B$5001,B2303))</f>
        <v/>
      </c>
      <c r="F2303" s="27" t="str">
        <f aca="false">IF(A2303="","",A2303&amp;"|"&amp;B2303)</f>
        <v/>
      </c>
    </row>
    <row r="2304" customFormat="false" ht="15" hidden="false" customHeight="false" outlineLevel="0" collapsed="false">
      <c r="A2304" s="19"/>
      <c r="B2304" s="19"/>
      <c r="C2304" s="20"/>
      <c r="D2304" s="19"/>
      <c r="E2304" s="26" t="str">
        <f aca="false">IF(A2304="","",COUNTIFS(Apparitions!$A$2:$A$5001,A2304,Apparitions!$B$2:$B$5001,B2304))</f>
        <v/>
      </c>
      <c r="F2304" s="27" t="str">
        <f aca="false">IF(A2304="","",A2304&amp;"|"&amp;B2304)</f>
        <v/>
      </c>
    </row>
    <row r="2305" customFormat="false" ht="15" hidden="false" customHeight="false" outlineLevel="0" collapsed="false">
      <c r="A2305" s="19"/>
      <c r="B2305" s="19"/>
      <c r="C2305" s="20"/>
      <c r="D2305" s="19"/>
      <c r="E2305" s="26" t="str">
        <f aca="false">IF(A2305="","",COUNTIFS(Apparitions!$A$2:$A$5001,A2305,Apparitions!$B$2:$B$5001,B2305))</f>
        <v/>
      </c>
      <c r="F2305" s="27" t="str">
        <f aca="false">IF(A2305="","",A2305&amp;"|"&amp;B2305)</f>
        <v/>
      </c>
    </row>
    <row r="2306" customFormat="false" ht="15" hidden="false" customHeight="false" outlineLevel="0" collapsed="false">
      <c r="A2306" s="19"/>
      <c r="B2306" s="19"/>
      <c r="C2306" s="20"/>
      <c r="D2306" s="19"/>
      <c r="E2306" s="26" t="str">
        <f aca="false">IF(A2306="","",COUNTIFS(Apparitions!$A$2:$A$5001,A2306,Apparitions!$B$2:$B$5001,B2306))</f>
        <v/>
      </c>
      <c r="F2306" s="27" t="str">
        <f aca="false">IF(A2306="","",A2306&amp;"|"&amp;B2306)</f>
        <v/>
      </c>
    </row>
    <row r="2307" customFormat="false" ht="15" hidden="false" customHeight="false" outlineLevel="0" collapsed="false">
      <c r="A2307" s="19"/>
      <c r="B2307" s="19"/>
      <c r="C2307" s="20"/>
      <c r="D2307" s="19"/>
      <c r="E2307" s="26" t="str">
        <f aca="false">IF(A2307="","",COUNTIFS(Apparitions!$A$2:$A$5001,A2307,Apparitions!$B$2:$B$5001,B2307))</f>
        <v/>
      </c>
      <c r="F2307" s="27" t="str">
        <f aca="false">IF(A2307="","",A2307&amp;"|"&amp;B2307)</f>
        <v/>
      </c>
    </row>
    <row r="2308" customFormat="false" ht="15" hidden="false" customHeight="false" outlineLevel="0" collapsed="false">
      <c r="A2308" s="19"/>
      <c r="B2308" s="19"/>
      <c r="C2308" s="20"/>
      <c r="D2308" s="19"/>
      <c r="E2308" s="26" t="str">
        <f aca="false">IF(A2308="","",COUNTIFS(Apparitions!$A$2:$A$5001,A2308,Apparitions!$B$2:$B$5001,B2308))</f>
        <v/>
      </c>
      <c r="F2308" s="27" t="str">
        <f aca="false">IF(A2308="","",A2308&amp;"|"&amp;B2308)</f>
        <v/>
      </c>
    </row>
    <row r="2309" customFormat="false" ht="15" hidden="false" customHeight="false" outlineLevel="0" collapsed="false">
      <c r="A2309" s="19"/>
      <c r="B2309" s="19"/>
      <c r="C2309" s="20"/>
      <c r="D2309" s="19"/>
      <c r="E2309" s="26" t="str">
        <f aca="false">IF(A2309="","",COUNTIFS(Apparitions!$A$2:$A$5001,A2309,Apparitions!$B$2:$B$5001,B2309))</f>
        <v/>
      </c>
      <c r="F2309" s="27" t="str">
        <f aca="false">IF(A2309="","",A2309&amp;"|"&amp;B2309)</f>
        <v/>
      </c>
    </row>
    <row r="2310" customFormat="false" ht="15" hidden="false" customHeight="false" outlineLevel="0" collapsed="false">
      <c r="A2310" s="19"/>
      <c r="B2310" s="19"/>
      <c r="C2310" s="20"/>
      <c r="D2310" s="19"/>
      <c r="E2310" s="26" t="str">
        <f aca="false">IF(A2310="","",COUNTIFS(Apparitions!$A$2:$A$5001,A2310,Apparitions!$B$2:$B$5001,B2310))</f>
        <v/>
      </c>
      <c r="F2310" s="27" t="str">
        <f aca="false">IF(A2310="","",A2310&amp;"|"&amp;B2310)</f>
        <v/>
      </c>
    </row>
    <row r="2311" customFormat="false" ht="15" hidden="false" customHeight="false" outlineLevel="0" collapsed="false">
      <c r="A2311" s="19"/>
      <c r="B2311" s="19"/>
      <c r="C2311" s="20"/>
      <c r="D2311" s="19"/>
      <c r="E2311" s="26" t="str">
        <f aca="false">IF(A2311="","",COUNTIFS(Apparitions!$A$2:$A$5001,A2311,Apparitions!$B$2:$B$5001,B2311))</f>
        <v/>
      </c>
      <c r="F2311" s="27" t="str">
        <f aca="false">IF(A2311="","",A2311&amp;"|"&amp;B2311)</f>
        <v/>
      </c>
    </row>
    <row r="2312" customFormat="false" ht="15" hidden="false" customHeight="false" outlineLevel="0" collapsed="false">
      <c r="A2312" s="19"/>
      <c r="B2312" s="19"/>
      <c r="C2312" s="20"/>
      <c r="D2312" s="19"/>
      <c r="E2312" s="26" t="str">
        <f aca="false">IF(A2312="","",COUNTIFS(Apparitions!$A$2:$A$5001,A2312,Apparitions!$B$2:$B$5001,B2312))</f>
        <v/>
      </c>
      <c r="F2312" s="27" t="str">
        <f aca="false">IF(A2312="","",A2312&amp;"|"&amp;B2312)</f>
        <v/>
      </c>
    </row>
    <row r="2313" customFormat="false" ht="15" hidden="false" customHeight="false" outlineLevel="0" collapsed="false">
      <c r="A2313" s="19"/>
      <c r="B2313" s="19"/>
      <c r="C2313" s="20"/>
      <c r="D2313" s="19"/>
      <c r="E2313" s="26" t="str">
        <f aca="false">IF(A2313="","",COUNTIFS(Apparitions!$A$2:$A$5001,A2313,Apparitions!$B$2:$B$5001,B2313))</f>
        <v/>
      </c>
      <c r="F2313" s="27" t="str">
        <f aca="false">IF(A2313="","",A2313&amp;"|"&amp;B2313)</f>
        <v/>
      </c>
    </row>
    <row r="2314" customFormat="false" ht="15" hidden="false" customHeight="false" outlineLevel="0" collapsed="false">
      <c r="A2314" s="19"/>
      <c r="B2314" s="19"/>
      <c r="C2314" s="20"/>
      <c r="D2314" s="19"/>
      <c r="E2314" s="26" t="str">
        <f aca="false">IF(A2314="","",COUNTIFS(Apparitions!$A$2:$A$5001,A2314,Apparitions!$B$2:$B$5001,B2314))</f>
        <v/>
      </c>
      <c r="F2314" s="27" t="str">
        <f aca="false">IF(A2314="","",A2314&amp;"|"&amp;B2314)</f>
        <v/>
      </c>
    </row>
    <row r="2315" customFormat="false" ht="15" hidden="false" customHeight="false" outlineLevel="0" collapsed="false">
      <c r="A2315" s="19"/>
      <c r="B2315" s="19"/>
      <c r="C2315" s="20"/>
      <c r="D2315" s="19"/>
      <c r="E2315" s="26" t="str">
        <f aca="false">IF(A2315="","",COUNTIFS(Apparitions!$A$2:$A$5001,A2315,Apparitions!$B$2:$B$5001,B2315))</f>
        <v/>
      </c>
      <c r="F2315" s="27" t="str">
        <f aca="false">IF(A2315="","",A2315&amp;"|"&amp;B2315)</f>
        <v/>
      </c>
    </row>
    <row r="2316" customFormat="false" ht="15" hidden="false" customHeight="false" outlineLevel="0" collapsed="false">
      <c r="A2316" s="19"/>
      <c r="B2316" s="19"/>
      <c r="C2316" s="20"/>
      <c r="D2316" s="19"/>
      <c r="E2316" s="26" t="str">
        <f aca="false">IF(A2316="","",COUNTIFS(Apparitions!$A$2:$A$5001,A2316,Apparitions!$B$2:$B$5001,B2316))</f>
        <v/>
      </c>
      <c r="F2316" s="27" t="str">
        <f aca="false">IF(A2316="","",A2316&amp;"|"&amp;B2316)</f>
        <v/>
      </c>
    </row>
    <row r="2317" customFormat="false" ht="15" hidden="false" customHeight="false" outlineLevel="0" collapsed="false">
      <c r="A2317" s="19"/>
      <c r="B2317" s="19"/>
      <c r="C2317" s="20"/>
      <c r="D2317" s="19"/>
      <c r="E2317" s="26" t="str">
        <f aca="false">IF(A2317="","",COUNTIFS(Apparitions!$A$2:$A$5001,A2317,Apparitions!$B$2:$B$5001,B2317))</f>
        <v/>
      </c>
      <c r="F2317" s="27" t="str">
        <f aca="false">IF(A2317="","",A2317&amp;"|"&amp;B2317)</f>
        <v/>
      </c>
    </row>
    <row r="2318" customFormat="false" ht="15" hidden="false" customHeight="false" outlineLevel="0" collapsed="false">
      <c r="A2318" s="19"/>
      <c r="B2318" s="19"/>
      <c r="C2318" s="20"/>
      <c r="D2318" s="19"/>
      <c r="E2318" s="26" t="str">
        <f aca="false">IF(A2318="","",COUNTIFS(Apparitions!$A$2:$A$5001,A2318,Apparitions!$B$2:$B$5001,B2318))</f>
        <v/>
      </c>
      <c r="F2318" s="27" t="str">
        <f aca="false">IF(A2318="","",A2318&amp;"|"&amp;B2318)</f>
        <v/>
      </c>
    </row>
    <row r="2319" customFormat="false" ht="15" hidden="false" customHeight="false" outlineLevel="0" collapsed="false">
      <c r="A2319" s="19"/>
      <c r="B2319" s="19"/>
      <c r="C2319" s="20"/>
      <c r="D2319" s="19"/>
      <c r="E2319" s="26" t="str">
        <f aca="false">IF(A2319="","",COUNTIFS(Apparitions!$A$2:$A$5001,A2319,Apparitions!$B$2:$B$5001,B2319))</f>
        <v/>
      </c>
      <c r="F2319" s="27" t="str">
        <f aca="false">IF(A2319="","",A2319&amp;"|"&amp;B2319)</f>
        <v/>
      </c>
    </row>
    <row r="2320" customFormat="false" ht="15" hidden="false" customHeight="false" outlineLevel="0" collapsed="false">
      <c r="A2320" s="19"/>
      <c r="B2320" s="19"/>
      <c r="C2320" s="20"/>
      <c r="D2320" s="19"/>
      <c r="E2320" s="26" t="str">
        <f aca="false">IF(A2320="","",COUNTIFS(Apparitions!$A$2:$A$5001,A2320,Apparitions!$B$2:$B$5001,B2320))</f>
        <v/>
      </c>
      <c r="F2320" s="27" t="str">
        <f aca="false">IF(A2320="","",A2320&amp;"|"&amp;B2320)</f>
        <v/>
      </c>
    </row>
    <row r="2321" customFormat="false" ht="15" hidden="false" customHeight="false" outlineLevel="0" collapsed="false">
      <c r="A2321" s="19"/>
      <c r="B2321" s="19"/>
      <c r="C2321" s="20"/>
      <c r="D2321" s="19"/>
      <c r="E2321" s="26" t="str">
        <f aca="false">IF(A2321="","",COUNTIFS(Apparitions!$A$2:$A$5001,A2321,Apparitions!$B$2:$B$5001,B2321))</f>
        <v/>
      </c>
      <c r="F2321" s="27" t="str">
        <f aca="false">IF(A2321="","",A2321&amp;"|"&amp;B2321)</f>
        <v/>
      </c>
    </row>
    <row r="2322" customFormat="false" ht="15" hidden="false" customHeight="false" outlineLevel="0" collapsed="false">
      <c r="A2322" s="19"/>
      <c r="B2322" s="19"/>
      <c r="C2322" s="20"/>
      <c r="D2322" s="19"/>
      <c r="E2322" s="26" t="str">
        <f aca="false">IF(A2322="","",COUNTIFS(Apparitions!$A$2:$A$5001,A2322,Apparitions!$B$2:$B$5001,B2322))</f>
        <v/>
      </c>
      <c r="F2322" s="27" t="str">
        <f aca="false">IF(A2322="","",A2322&amp;"|"&amp;B2322)</f>
        <v/>
      </c>
    </row>
    <row r="2323" customFormat="false" ht="15" hidden="false" customHeight="false" outlineLevel="0" collapsed="false">
      <c r="A2323" s="19"/>
      <c r="B2323" s="19"/>
      <c r="C2323" s="20"/>
      <c r="D2323" s="19"/>
      <c r="E2323" s="26" t="str">
        <f aca="false">IF(A2323="","",COUNTIFS(Apparitions!$A$2:$A$5001,A2323,Apparitions!$B$2:$B$5001,B2323))</f>
        <v/>
      </c>
      <c r="F2323" s="27" t="str">
        <f aca="false">IF(A2323="","",A2323&amp;"|"&amp;B2323)</f>
        <v/>
      </c>
    </row>
    <row r="2324" customFormat="false" ht="15" hidden="false" customHeight="false" outlineLevel="0" collapsed="false">
      <c r="A2324" s="19"/>
      <c r="B2324" s="19"/>
      <c r="C2324" s="20"/>
      <c r="D2324" s="19"/>
      <c r="E2324" s="26" t="str">
        <f aca="false">IF(A2324="","",COUNTIFS(Apparitions!$A$2:$A$5001,A2324,Apparitions!$B$2:$B$5001,B2324))</f>
        <v/>
      </c>
      <c r="F2324" s="27" t="str">
        <f aca="false">IF(A2324="","",A2324&amp;"|"&amp;B2324)</f>
        <v/>
      </c>
    </row>
    <row r="2325" customFormat="false" ht="15" hidden="false" customHeight="false" outlineLevel="0" collapsed="false">
      <c r="A2325" s="19"/>
      <c r="B2325" s="19"/>
      <c r="C2325" s="20"/>
      <c r="D2325" s="19"/>
      <c r="E2325" s="26" t="str">
        <f aca="false">IF(A2325="","",COUNTIFS(Apparitions!$A$2:$A$5001,A2325,Apparitions!$B$2:$B$5001,B2325))</f>
        <v/>
      </c>
      <c r="F2325" s="27" t="str">
        <f aca="false">IF(A2325="","",A2325&amp;"|"&amp;B2325)</f>
        <v/>
      </c>
    </row>
    <row r="2326" customFormat="false" ht="15" hidden="false" customHeight="false" outlineLevel="0" collapsed="false">
      <c r="A2326" s="19"/>
      <c r="B2326" s="19"/>
      <c r="C2326" s="20"/>
      <c r="D2326" s="19"/>
      <c r="E2326" s="26" t="str">
        <f aca="false">IF(A2326="","",COUNTIFS(Apparitions!$A$2:$A$5001,A2326,Apparitions!$B$2:$B$5001,B2326))</f>
        <v/>
      </c>
      <c r="F2326" s="27" t="str">
        <f aca="false">IF(A2326="","",A2326&amp;"|"&amp;B2326)</f>
        <v/>
      </c>
    </row>
    <row r="2327" customFormat="false" ht="15" hidden="false" customHeight="false" outlineLevel="0" collapsed="false">
      <c r="A2327" s="19"/>
      <c r="B2327" s="19"/>
      <c r="C2327" s="20"/>
      <c r="D2327" s="19"/>
      <c r="E2327" s="26" t="str">
        <f aca="false">IF(A2327="","",COUNTIFS(Apparitions!$A$2:$A$5001,A2327,Apparitions!$B$2:$B$5001,B2327))</f>
        <v/>
      </c>
      <c r="F2327" s="27" t="str">
        <f aca="false">IF(A2327="","",A2327&amp;"|"&amp;B2327)</f>
        <v/>
      </c>
    </row>
    <row r="2328" customFormat="false" ht="15" hidden="false" customHeight="false" outlineLevel="0" collapsed="false">
      <c r="A2328" s="19"/>
      <c r="B2328" s="19"/>
      <c r="C2328" s="20"/>
      <c r="D2328" s="19"/>
      <c r="E2328" s="26" t="str">
        <f aca="false">IF(A2328="","",COUNTIFS(Apparitions!$A$2:$A$5001,A2328,Apparitions!$B$2:$B$5001,B2328))</f>
        <v/>
      </c>
      <c r="F2328" s="27" t="str">
        <f aca="false">IF(A2328="","",A2328&amp;"|"&amp;B2328)</f>
        <v/>
      </c>
    </row>
    <row r="2329" customFormat="false" ht="15" hidden="false" customHeight="false" outlineLevel="0" collapsed="false">
      <c r="A2329" s="19"/>
      <c r="B2329" s="19"/>
      <c r="C2329" s="20"/>
      <c r="D2329" s="19"/>
      <c r="E2329" s="26" t="str">
        <f aca="false">IF(A2329="","",COUNTIFS(Apparitions!$A$2:$A$5001,A2329,Apparitions!$B$2:$B$5001,B2329))</f>
        <v/>
      </c>
      <c r="F2329" s="27" t="str">
        <f aca="false">IF(A2329="","",A2329&amp;"|"&amp;B2329)</f>
        <v/>
      </c>
    </row>
    <row r="2330" customFormat="false" ht="15" hidden="false" customHeight="false" outlineLevel="0" collapsed="false">
      <c r="A2330" s="19"/>
      <c r="B2330" s="19"/>
      <c r="C2330" s="20"/>
      <c r="D2330" s="19"/>
      <c r="E2330" s="26" t="str">
        <f aca="false">IF(A2330="","",COUNTIFS(Apparitions!$A$2:$A$5001,A2330,Apparitions!$B$2:$B$5001,B2330))</f>
        <v/>
      </c>
      <c r="F2330" s="27" t="str">
        <f aca="false">IF(A2330="","",A2330&amp;"|"&amp;B2330)</f>
        <v/>
      </c>
    </row>
    <row r="2331" customFormat="false" ht="15" hidden="false" customHeight="false" outlineLevel="0" collapsed="false">
      <c r="A2331" s="19"/>
      <c r="B2331" s="19"/>
      <c r="C2331" s="20"/>
      <c r="D2331" s="19"/>
      <c r="E2331" s="26" t="str">
        <f aca="false">IF(A2331="","",COUNTIFS(Apparitions!$A$2:$A$5001,A2331,Apparitions!$B$2:$B$5001,B2331))</f>
        <v/>
      </c>
      <c r="F2331" s="27" t="str">
        <f aca="false">IF(A2331="","",A2331&amp;"|"&amp;B2331)</f>
        <v/>
      </c>
    </row>
    <row r="2332" customFormat="false" ht="15" hidden="false" customHeight="false" outlineLevel="0" collapsed="false">
      <c r="A2332" s="19"/>
      <c r="B2332" s="19"/>
      <c r="C2332" s="20"/>
      <c r="D2332" s="19"/>
      <c r="E2332" s="26" t="str">
        <f aca="false">IF(A2332="","",COUNTIFS(Apparitions!$A$2:$A$5001,A2332,Apparitions!$B$2:$B$5001,B2332))</f>
        <v/>
      </c>
      <c r="F2332" s="27" t="str">
        <f aca="false">IF(A2332="","",A2332&amp;"|"&amp;B2332)</f>
        <v/>
      </c>
    </row>
    <row r="2333" customFormat="false" ht="15" hidden="false" customHeight="false" outlineLevel="0" collapsed="false">
      <c r="A2333" s="19"/>
      <c r="B2333" s="19"/>
      <c r="C2333" s="20"/>
      <c r="D2333" s="19"/>
      <c r="E2333" s="26" t="str">
        <f aca="false">IF(A2333="","",COUNTIFS(Apparitions!$A$2:$A$5001,A2333,Apparitions!$B$2:$B$5001,B2333))</f>
        <v/>
      </c>
      <c r="F2333" s="27" t="str">
        <f aca="false">IF(A2333="","",A2333&amp;"|"&amp;B2333)</f>
        <v/>
      </c>
    </row>
    <row r="2334" customFormat="false" ht="15" hidden="false" customHeight="false" outlineLevel="0" collapsed="false">
      <c r="A2334" s="19"/>
      <c r="B2334" s="19"/>
      <c r="C2334" s="20"/>
      <c r="D2334" s="19"/>
      <c r="E2334" s="26" t="str">
        <f aca="false">IF(A2334="","",COUNTIFS(Apparitions!$A$2:$A$5001,A2334,Apparitions!$B$2:$B$5001,B2334))</f>
        <v/>
      </c>
      <c r="F2334" s="27" t="str">
        <f aca="false">IF(A2334="","",A2334&amp;"|"&amp;B2334)</f>
        <v/>
      </c>
    </row>
    <row r="2335" customFormat="false" ht="15" hidden="false" customHeight="false" outlineLevel="0" collapsed="false">
      <c r="A2335" s="19"/>
      <c r="B2335" s="19"/>
      <c r="C2335" s="20"/>
      <c r="D2335" s="19"/>
      <c r="E2335" s="26" t="str">
        <f aca="false">IF(A2335="","",COUNTIFS(Apparitions!$A$2:$A$5001,A2335,Apparitions!$B$2:$B$5001,B2335))</f>
        <v/>
      </c>
      <c r="F2335" s="27" t="str">
        <f aca="false">IF(A2335="","",A2335&amp;"|"&amp;B2335)</f>
        <v/>
      </c>
    </row>
    <row r="2336" customFormat="false" ht="15" hidden="false" customHeight="false" outlineLevel="0" collapsed="false">
      <c r="A2336" s="19"/>
      <c r="B2336" s="19"/>
      <c r="C2336" s="20"/>
      <c r="D2336" s="19"/>
      <c r="E2336" s="26" t="str">
        <f aca="false">IF(A2336="","",COUNTIFS(Apparitions!$A$2:$A$5001,A2336,Apparitions!$B$2:$B$5001,B2336))</f>
        <v/>
      </c>
      <c r="F2336" s="27" t="str">
        <f aca="false">IF(A2336="","",A2336&amp;"|"&amp;B2336)</f>
        <v/>
      </c>
    </row>
    <row r="2337" customFormat="false" ht="15" hidden="false" customHeight="false" outlineLevel="0" collapsed="false">
      <c r="A2337" s="19"/>
      <c r="B2337" s="19"/>
      <c r="C2337" s="20"/>
      <c r="D2337" s="19"/>
      <c r="E2337" s="26" t="str">
        <f aca="false">IF(A2337="","",COUNTIFS(Apparitions!$A$2:$A$5001,A2337,Apparitions!$B$2:$B$5001,B2337))</f>
        <v/>
      </c>
      <c r="F2337" s="27" t="str">
        <f aca="false">IF(A2337="","",A2337&amp;"|"&amp;B2337)</f>
        <v/>
      </c>
    </row>
    <row r="2338" customFormat="false" ht="15" hidden="false" customHeight="false" outlineLevel="0" collapsed="false">
      <c r="A2338" s="19"/>
      <c r="B2338" s="19"/>
      <c r="C2338" s="20"/>
      <c r="D2338" s="19"/>
      <c r="E2338" s="26" t="str">
        <f aca="false">IF(A2338="","",COUNTIFS(Apparitions!$A$2:$A$5001,A2338,Apparitions!$B$2:$B$5001,B2338))</f>
        <v/>
      </c>
      <c r="F2338" s="27" t="str">
        <f aca="false">IF(A2338="","",A2338&amp;"|"&amp;B2338)</f>
        <v/>
      </c>
    </row>
    <row r="2339" customFormat="false" ht="15" hidden="false" customHeight="false" outlineLevel="0" collapsed="false">
      <c r="A2339" s="19"/>
      <c r="B2339" s="19"/>
      <c r="C2339" s="20"/>
      <c r="D2339" s="19"/>
      <c r="E2339" s="26" t="str">
        <f aca="false">IF(A2339="","",COUNTIFS(Apparitions!$A$2:$A$5001,A2339,Apparitions!$B$2:$B$5001,B2339))</f>
        <v/>
      </c>
      <c r="F2339" s="27" t="str">
        <f aca="false">IF(A2339="","",A2339&amp;"|"&amp;B2339)</f>
        <v/>
      </c>
    </row>
    <row r="2340" customFormat="false" ht="15" hidden="false" customHeight="false" outlineLevel="0" collapsed="false">
      <c r="A2340" s="19"/>
      <c r="B2340" s="19"/>
      <c r="C2340" s="20"/>
      <c r="D2340" s="19"/>
      <c r="E2340" s="26" t="str">
        <f aca="false">IF(A2340="","",COUNTIFS(Apparitions!$A$2:$A$5001,A2340,Apparitions!$B$2:$B$5001,B2340))</f>
        <v/>
      </c>
      <c r="F2340" s="27" t="str">
        <f aca="false">IF(A2340="","",A2340&amp;"|"&amp;B2340)</f>
        <v/>
      </c>
    </row>
    <row r="2341" customFormat="false" ht="15" hidden="false" customHeight="false" outlineLevel="0" collapsed="false">
      <c r="A2341" s="19"/>
      <c r="B2341" s="19"/>
      <c r="C2341" s="20"/>
      <c r="D2341" s="19"/>
      <c r="E2341" s="26" t="str">
        <f aca="false">IF(A2341="","",COUNTIFS(Apparitions!$A$2:$A$5001,A2341,Apparitions!$B$2:$B$5001,B2341))</f>
        <v/>
      </c>
      <c r="F2341" s="27" t="str">
        <f aca="false">IF(A2341="","",A2341&amp;"|"&amp;B2341)</f>
        <v/>
      </c>
    </row>
    <row r="2342" customFormat="false" ht="15" hidden="false" customHeight="false" outlineLevel="0" collapsed="false">
      <c r="A2342" s="19"/>
      <c r="B2342" s="19"/>
      <c r="C2342" s="20"/>
      <c r="D2342" s="19"/>
      <c r="E2342" s="26" t="str">
        <f aca="false">IF(A2342="","",COUNTIFS(Apparitions!$A$2:$A$5001,A2342,Apparitions!$B$2:$B$5001,B2342))</f>
        <v/>
      </c>
      <c r="F2342" s="27" t="str">
        <f aca="false">IF(A2342="","",A2342&amp;"|"&amp;B2342)</f>
        <v/>
      </c>
    </row>
    <row r="2343" customFormat="false" ht="15" hidden="false" customHeight="false" outlineLevel="0" collapsed="false">
      <c r="A2343" s="19"/>
      <c r="B2343" s="19"/>
      <c r="C2343" s="20"/>
      <c r="D2343" s="19"/>
      <c r="E2343" s="26" t="str">
        <f aca="false">IF(A2343="","",COUNTIFS(Apparitions!$A$2:$A$5001,A2343,Apparitions!$B$2:$B$5001,B2343))</f>
        <v/>
      </c>
      <c r="F2343" s="27" t="str">
        <f aca="false">IF(A2343="","",A2343&amp;"|"&amp;B2343)</f>
        <v/>
      </c>
    </row>
    <row r="2344" customFormat="false" ht="15" hidden="false" customHeight="false" outlineLevel="0" collapsed="false">
      <c r="A2344" s="19"/>
      <c r="B2344" s="19"/>
      <c r="C2344" s="20"/>
      <c r="D2344" s="19"/>
      <c r="E2344" s="26" t="str">
        <f aca="false">IF(A2344="","",COUNTIFS(Apparitions!$A$2:$A$5001,A2344,Apparitions!$B$2:$B$5001,B2344))</f>
        <v/>
      </c>
      <c r="F2344" s="27" t="str">
        <f aca="false">IF(A2344="","",A2344&amp;"|"&amp;B2344)</f>
        <v/>
      </c>
    </row>
    <row r="2345" customFormat="false" ht="15" hidden="false" customHeight="false" outlineLevel="0" collapsed="false">
      <c r="A2345" s="19"/>
      <c r="B2345" s="19"/>
      <c r="C2345" s="20"/>
      <c r="D2345" s="19"/>
      <c r="E2345" s="26" t="str">
        <f aca="false">IF(A2345="","",COUNTIFS(Apparitions!$A$2:$A$5001,A2345,Apparitions!$B$2:$B$5001,B2345))</f>
        <v/>
      </c>
      <c r="F2345" s="27" t="str">
        <f aca="false">IF(A2345="","",A2345&amp;"|"&amp;B2345)</f>
        <v/>
      </c>
    </row>
    <row r="2346" customFormat="false" ht="15" hidden="false" customHeight="false" outlineLevel="0" collapsed="false">
      <c r="A2346" s="19"/>
      <c r="B2346" s="19"/>
      <c r="C2346" s="20"/>
      <c r="D2346" s="19"/>
      <c r="E2346" s="26" t="str">
        <f aca="false">IF(A2346="","",COUNTIFS(Apparitions!$A$2:$A$5001,A2346,Apparitions!$B$2:$B$5001,B2346))</f>
        <v/>
      </c>
      <c r="F2346" s="27" t="str">
        <f aca="false">IF(A2346="","",A2346&amp;"|"&amp;B2346)</f>
        <v/>
      </c>
    </row>
    <row r="2347" customFormat="false" ht="15" hidden="false" customHeight="false" outlineLevel="0" collapsed="false">
      <c r="A2347" s="19"/>
      <c r="B2347" s="19"/>
      <c r="C2347" s="20"/>
      <c r="D2347" s="19"/>
      <c r="E2347" s="26" t="str">
        <f aca="false">IF(A2347="","",COUNTIFS(Apparitions!$A$2:$A$5001,A2347,Apparitions!$B$2:$B$5001,B2347))</f>
        <v/>
      </c>
      <c r="F2347" s="27" t="str">
        <f aca="false">IF(A2347="","",A2347&amp;"|"&amp;B2347)</f>
        <v/>
      </c>
    </row>
    <row r="2348" customFormat="false" ht="15" hidden="false" customHeight="false" outlineLevel="0" collapsed="false">
      <c r="A2348" s="19"/>
      <c r="B2348" s="19"/>
      <c r="C2348" s="20"/>
      <c r="D2348" s="19"/>
      <c r="E2348" s="26" t="str">
        <f aca="false">IF(A2348="","",COUNTIFS(Apparitions!$A$2:$A$5001,A2348,Apparitions!$B$2:$B$5001,B2348))</f>
        <v/>
      </c>
      <c r="F2348" s="27" t="str">
        <f aca="false">IF(A2348="","",A2348&amp;"|"&amp;B2348)</f>
        <v/>
      </c>
    </row>
    <row r="2349" customFormat="false" ht="15" hidden="false" customHeight="false" outlineLevel="0" collapsed="false">
      <c r="A2349" s="19"/>
      <c r="B2349" s="19"/>
      <c r="C2349" s="20"/>
      <c r="D2349" s="19"/>
      <c r="E2349" s="26" t="str">
        <f aca="false">IF(A2349="","",COUNTIFS(Apparitions!$A$2:$A$5001,A2349,Apparitions!$B$2:$B$5001,B2349))</f>
        <v/>
      </c>
      <c r="F2349" s="27" t="str">
        <f aca="false">IF(A2349="","",A2349&amp;"|"&amp;B2349)</f>
        <v/>
      </c>
    </row>
    <row r="2350" customFormat="false" ht="15" hidden="false" customHeight="false" outlineLevel="0" collapsed="false">
      <c r="A2350" s="19"/>
      <c r="B2350" s="19"/>
      <c r="C2350" s="20"/>
      <c r="D2350" s="19"/>
      <c r="E2350" s="26" t="str">
        <f aca="false">IF(A2350="","",COUNTIFS(Apparitions!$A$2:$A$5001,A2350,Apparitions!$B$2:$B$5001,B2350))</f>
        <v/>
      </c>
      <c r="F2350" s="27" t="str">
        <f aca="false">IF(A2350="","",A2350&amp;"|"&amp;B2350)</f>
        <v/>
      </c>
    </row>
    <row r="2351" customFormat="false" ht="15" hidden="false" customHeight="false" outlineLevel="0" collapsed="false">
      <c r="A2351" s="19"/>
      <c r="B2351" s="19"/>
      <c r="C2351" s="20"/>
      <c r="D2351" s="19"/>
      <c r="E2351" s="26" t="str">
        <f aca="false">IF(A2351="","",COUNTIFS(Apparitions!$A$2:$A$5001,A2351,Apparitions!$B$2:$B$5001,B2351))</f>
        <v/>
      </c>
      <c r="F2351" s="27" t="str">
        <f aca="false">IF(A2351="","",A2351&amp;"|"&amp;B2351)</f>
        <v/>
      </c>
    </row>
    <row r="2352" customFormat="false" ht="15" hidden="false" customHeight="false" outlineLevel="0" collapsed="false">
      <c r="A2352" s="19"/>
      <c r="B2352" s="19"/>
      <c r="C2352" s="20"/>
      <c r="D2352" s="19"/>
      <c r="E2352" s="26" t="str">
        <f aca="false">IF(A2352="","",COUNTIFS(Apparitions!$A$2:$A$5001,A2352,Apparitions!$B$2:$B$5001,B2352))</f>
        <v/>
      </c>
      <c r="F2352" s="27" t="str">
        <f aca="false">IF(A2352="","",A2352&amp;"|"&amp;B2352)</f>
        <v/>
      </c>
    </row>
    <row r="2353" customFormat="false" ht="15" hidden="false" customHeight="false" outlineLevel="0" collapsed="false">
      <c r="A2353" s="19"/>
      <c r="B2353" s="19"/>
      <c r="C2353" s="20"/>
      <c r="D2353" s="19"/>
      <c r="E2353" s="26" t="str">
        <f aca="false">IF(A2353="","",COUNTIFS(Apparitions!$A$2:$A$5001,A2353,Apparitions!$B$2:$B$5001,B2353))</f>
        <v/>
      </c>
      <c r="F2353" s="27" t="str">
        <f aca="false">IF(A2353="","",A2353&amp;"|"&amp;B2353)</f>
        <v/>
      </c>
    </row>
    <row r="2354" customFormat="false" ht="15" hidden="false" customHeight="false" outlineLevel="0" collapsed="false">
      <c r="A2354" s="19"/>
      <c r="B2354" s="19"/>
      <c r="C2354" s="20"/>
      <c r="D2354" s="19"/>
      <c r="E2354" s="26" t="str">
        <f aca="false">IF(A2354="","",COUNTIFS(Apparitions!$A$2:$A$5001,A2354,Apparitions!$B$2:$B$5001,B2354))</f>
        <v/>
      </c>
      <c r="F2354" s="27" t="str">
        <f aca="false">IF(A2354="","",A2354&amp;"|"&amp;B2354)</f>
        <v/>
      </c>
    </row>
    <row r="2355" customFormat="false" ht="15" hidden="false" customHeight="false" outlineLevel="0" collapsed="false">
      <c r="A2355" s="19"/>
      <c r="B2355" s="19"/>
      <c r="C2355" s="20"/>
      <c r="D2355" s="19"/>
      <c r="E2355" s="26" t="str">
        <f aca="false">IF(A2355="","",COUNTIFS(Apparitions!$A$2:$A$5001,A2355,Apparitions!$B$2:$B$5001,B2355))</f>
        <v/>
      </c>
      <c r="F2355" s="27" t="str">
        <f aca="false">IF(A2355="","",A2355&amp;"|"&amp;B2355)</f>
        <v/>
      </c>
    </row>
    <row r="2356" customFormat="false" ht="15" hidden="false" customHeight="false" outlineLevel="0" collapsed="false">
      <c r="A2356" s="19"/>
      <c r="B2356" s="19"/>
      <c r="C2356" s="20"/>
      <c r="D2356" s="19"/>
      <c r="E2356" s="26" t="str">
        <f aca="false">IF(A2356="","",COUNTIFS(Apparitions!$A$2:$A$5001,A2356,Apparitions!$B$2:$B$5001,B2356))</f>
        <v/>
      </c>
      <c r="F2356" s="27" t="str">
        <f aca="false">IF(A2356="","",A2356&amp;"|"&amp;B2356)</f>
        <v/>
      </c>
    </row>
    <row r="2357" customFormat="false" ht="15" hidden="false" customHeight="false" outlineLevel="0" collapsed="false">
      <c r="A2357" s="19"/>
      <c r="B2357" s="19"/>
      <c r="C2357" s="20"/>
      <c r="D2357" s="19"/>
      <c r="E2357" s="26" t="str">
        <f aca="false">IF(A2357="","",COUNTIFS(Apparitions!$A$2:$A$5001,A2357,Apparitions!$B$2:$B$5001,B2357))</f>
        <v/>
      </c>
      <c r="F2357" s="27" t="str">
        <f aca="false">IF(A2357="","",A2357&amp;"|"&amp;B2357)</f>
        <v/>
      </c>
    </row>
    <row r="2358" customFormat="false" ht="15" hidden="false" customHeight="false" outlineLevel="0" collapsed="false">
      <c r="A2358" s="19"/>
      <c r="B2358" s="19"/>
      <c r="C2358" s="20"/>
      <c r="D2358" s="19"/>
      <c r="E2358" s="26" t="str">
        <f aca="false">IF(A2358="","",COUNTIFS(Apparitions!$A$2:$A$5001,A2358,Apparitions!$B$2:$B$5001,B2358))</f>
        <v/>
      </c>
      <c r="F2358" s="27" t="str">
        <f aca="false">IF(A2358="","",A2358&amp;"|"&amp;B2358)</f>
        <v/>
      </c>
    </row>
    <row r="2359" customFormat="false" ht="15" hidden="false" customHeight="false" outlineLevel="0" collapsed="false">
      <c r="A2359" s="19"/>
      <c r="B2359" s="19"/>
      <c r="C2359" s="20"/>
      <c r="D2359" s="19"/>
      <c r="E2359" s="26" t="str">
        <f aca="false">IF(A2359="","",COUNTIFS(Apparitions!$A$2:$A$5001,A2359,Apparitions!$B$2:$B$5001,B2359))</f>
        <v/>
      </c>
      <c r="F2359" s="27" t="str">
        <f aca="false">IF(A2359="","",A2359&amp;"|"&amp;B2359)</f>
        <v/>
      </c>
    </row>
    <row r="2360" customFormat="false" ht="15" hidden="false" customHeight="false" outlineLevel="0" collapsed="false">
      <c r="A2360" s="19"/>
      <c r="B2360" s="19"/>
      <c r="C2360" s="20"/>
      <c r="D2360" s="19"/>
      <c r="E2360" s="26" t="str">
        <f aca="false">IF(A2360="","",COUNTIFS(Apparitions!$A$2:$A$5001,A2360,Apparitions!$B$2:$B$5001,B2360))</f>
        <v/>
      </c>
      <c r="F2360" s="27" t="str">
        <f aca="false">IF(A2360="","",A2360&amp;"|"&amp;B2360)</f>
        <v/>
      </c>
    </row>
    <row r="2361" customFormat="false" ht="15" hidden="false" customHeight="false" outlineLevel="0" collapsed="false">
      <c r="A2361" s="19"/>
      <c r="B2361" s="19"/>
      <c r="C2361" s="20"/>
      <c r="D2361" s="19"/>
      <c r="E2361" s="26" t="str">
        <f aca="false">IF(A2361="","",COUNTIFS(Apparitions!$A$2:$A$5001,A2361,Apparitions!$B$2:$B$5001,B2361))</f>
        <v/>
      </c>
      <c r="F2361" s="27" t="str">
        <f aca="false">IF(A2361="","",A2361&amp;"|"&amp;B2361)</f>
        <v/>
      </c>
    </row>
    <row r="2362" customFormat="false" ht="15" hidden="false" customHeight="false" outlineLevel="0" collapsed="false">
      <c r="A2362" s="19"/>
      <c r="B2362" s="19"/>
      <c r="C2362" s="20"/>
      <c r="D2362" s="19"/>
      <c r="E2362" s="26" t="str">
        <f aca="false">IF(A2362="","",COUNTIFS(Apparitions!$A$2:$A$5001,A2362,Apparitions!$B$2:$B$5001,B2362))</f>
        <v/>
      </c>
      <c r="F2362" s="27" t="str">
        <f aca="false">IF(A2362="","",A2362&amp;"|"&amp;B2362)</f>
        <v/>
      </c>
    </row>
    <row r="2363" customFormat="false" ht="15" hidden="false" customHeight="false" outlineLevel="0" collapsed="false">
      <c r="A2363" s="19"/>
      <c r="B2363" s="19"/>
      <c r="C2363" s="20"/>
      <c r="D2363" s="19"/>
      <c r="E2363" s="26" t="str">
        <f aca="false">IF(A2363="","",COUNTIFS(Apparitions!$A$2:$A$5001,A2363,Apparitions!$B$2:$B$5001,B2363))</f>
        <v/>
      </c>
      <c r="F2363" s="27" t="str">
        <f aca="false">IF(A2363="","",A2363&amp;"|"&amp;B2363)</f>
        <v/>
      </c>
    </row>
    <row r="2364" customFormat="false" ht="15" hidden="false" customHeight="false" outlineLevel="0" collapsed="false">
      <c r="A2364" s="19"/>
      <c r="B2364" s="19"/>
      <c r="C2364" s="20"/>
      <c r="D2364" s="19"/>
      <c r="E2364" s="26" t="str">
        <f aca="false">IF(A2364="","",COUNTIFS(Apparitions!$A$2:$A$5001,A2364,Apparitions!$B$2:$B$5001,B2364))</f>
        <v/>
      </c>
      <c r="F2364" s="27" t="str">
        <f aca="false">IF(A2364="","",A2364&amp;"|"&amp;B2364)</f>
        <v/>
      </c>
    </row>
    <row r="2365" customFormat="false" ht="15" hidden="false" customHeight="false" outlineLevel="0" collapsed="false">
      <c r="A2365" s="19"/>
      <c r="B2365" s="19"/>
      <c r="C2365" s="20"/>
      <c r="D2365" s="19"/>
      <c r="E2365" s="26" t="str">
        <f aca="false">IF(A2365="","",COUNTIFS(Apparitions!$A$2:$A$5001,A2365,Apparitions!$B$2:$B$5001,B2365))</f>
        <v/>
      </c>
      <c r="F2365" s="27" t="str">
        <f aca="false">IF(A2365="","",A2365&amp;"|"&amp;B2365)</f>
        <v/>
      </c>
    </row>
    <row r="2366" customFormat="false" ht="15" hidden="false" customHeight="false" outlineLevel="0" collapsed="false">
      <c r="A2366" s="19"/>
      <c r="B2366" s="19"/>
      <c r="C2366" s="20"/>
      <c r="D2366" s="19"/>
      <c r="E2366" s="26" t="str">
        <f aca="false">IF(A2366="","",COUNTIFS(Apparitions!$A$2:$A$5001,A2366,Apparitions!$B$2:$B$5001,B2366))</f>
        <v/>
      </c>
      <c r="F2366" s="27" t="str">
        <f aca="false">IF(A2366="","",A2366&amp;"|"&amp;B2366)</f>
        <v/>
      </c>
    </row>
    <row r="2367" customFormat="false" ht="15" hidden="false" customHeight="false" outlineLevel="0" collapsed="false">
      <c r="A2367" s="19"/>
      <c r="B2367" s="19"/>
      <c r="C2367" s="20"/>
      <c r="D2367" s="19"/>
      <c r="E2367" s="26" t="str">
        <f aca="false">IF(A2367="","",COUNTIFS(Apparitions!$A$2:$A$5001,A2367,Apparitions!$B$2:$B$5001,B2367))</f>
        <v/>
      </c>
      <c r="F2367" s="27" t="str">
        <f aca="false">IF(A2367="","",A2367&amp;"|"&amp;B2367)</f>
        <v/>
      </c>
    </row>
    <row r="2368" customFormat="false" ht="15" hidden="false" customHeight="false" outlineLevel="0" collapsed="false">
      <c r="A2368" s="19"/>
      <c r="B2368" s="19"/>
      <c r="C2368" s="20"/>
      <c r="D2368" s="19"/>
      <c r="E2368" s="26" t="str">
        <f aca="false">IF(A2368="","",COUNTIFS(Apparitions!$A$2:$A$5001,A2368,Apparitions!$B$2:$B$5001,B2368))</f>
        <v/>
      </c>
      <c r="F2368" s="27" t="str">
        <f aca="false">IF(A2368="","",A2368&amp;"|"&amp;B2368)</f>
        <v/>
      </c>
    </row>
    <row r="2369" customFormat="false" ht="15" hidden="false" customHeight="false" outlineLevel="0" collapsed="false">
      <c r="A2369" s="19"/>
      <c r="B2369" s="19"/>
      <c r="C2369" s="20"/>
      <c r="D2369" s="19"/>
      <c r="E2369" s="26" t="str">
        <f aca="false">IF(A2369="","",COUNTIFS(Apparitions!$A$2:$A$5001,A2369,Apparitions!$B$2:$B$5001,B2369))</f>
        <v/>
      </c>
      <c r="F2369" s="27" t="str">
        <f aca="false">IF(A2369="","",A2369&amp;"|"&amp;B2369)</f>
        <v/>
      </c>
    </row>
    <row r="2370" customFormat="false" ht="15" hidden="false" customHeight="false" outlineLevel="0" collapsed="false">
      <c r="A2370" s="19"/>
      <c r="B2370" s="19"/>
      <c r="C2370" s="20"/>
      <c r="D2370" s="19"/>
      <c r="E2370" s="26" t="str">
        <f aca="false">IF(A2370="","",COUNTIFS(Apparitions!$A$2:$A$5001,A2370,Apparitions!$B$2:$B$5001,B2370))</f>
        <v/>
      </c>
      <c r="F2370" s="27" t="str">
        <f aca="false">IF(A2370="","",A2370&amp;"|"&amp;B2370)</f>
        <v/>
      </c>
    </row>
    <row r="2371" customFormat="false" ht="15" hidden="false" customHeight="false" outlineLevel="0" collapsed="false">
      <c r="A2371" s="19"/>
      <c r="B2371" s="19"/>
      <c r="C2371" s="20"/>
      <c r="D2371" s="19"/>
      <c r="E2371" s="26" t="str">
        <f aca="false">IF(A2371="","",COUNTIFS(Apparitions!$A$2:$A$5001,A2371,Apparitions!$B$2:$B$5001,B2371))</f>
        <v/>
      </c>
      <c r="F2371" s="27" t="str">
        <f aca="false">IF(A2371="","",A2371&amp;"|"&amp;B2371)</f>
        <v/>
      </c>
    </row>
    <row r="2372" customFormat="false" ht="15" hidden="false" customHeight="false" outlineLevel="0" collapsed="false">
      <c r="A2372" s="19"/>
      <c r="B2372" s="19"/>
      <c r="C2372" s="20"/>
      <c r="D2372" s="19"/>
      <c r="E2372" s="26" t="str">
        <f aca="false">IF(A2372="","",COUNTIFS(Apparitions!$A$2:$A$5001,A2372,Apparitions!$B$2:$B$5001,B2372))</f>
        <v/>
      </c>
      <c r="F2372" s="27" t="str">
        <f aca="false">IF(A2372="","",A2372&amp;"|"&amp;B2372)</f>
        <v/>
      </c>
    </row>
    <row r="2373" customFormat="false" ht="15" hidden="false" customHeight="false" outlineLevel="0" collapsed="false">
      <c r="A2373" s="19"/>
      <c r="B2373" s="19"/>
      <c r="C2373" s="20"/>
      <c r="D2373" s="19"/>
      <c r="E2373" s="26" t="str">
        <f aca="false">IF(A2373="","",COUNTIFS(Apparitions!$A$2:$A$5001,A2373,Apparitions!$B$2:$B$5001,B2373))</f>
        <v/>
      </c>
      <c r="F2373" s="27" t="str">
        <f aca="false">IF(A2373="","",A2373&amp;"|"&amp;B2373)</f>
        <v/>
      </c>
    </row>
    <row r="2374" customFormat="false" ht="15" hidden="false" customHeight="false" outlineLevel="0" collapsed="false">
      <c r="A2374" s="19"/>
      <c r="B2374" s="19"/>
      <c r="C2374" s="20"/>
      <c r="D2374" s="19"/>
      <c r="E2374" s="26" t="str">
        <f aca="false">IF(A2374="","",COUNTIFS(Apparitions!$A$2:$A$5001,A2374,Apparitions!$B$2:$B$5001,B2374))</f>
        <v/>
      </c>
      <c r="F2374" s="27" t="str">
        <f aca="false">IF(A2374="","",A2374&amp;"|"&amp;B2374)</f>
        <v/>
      </c>
    </row>
    <row r="2375" customFormat="false" ht="15" hidden="false" customHeight="false" outlineLevel="0" collapsed="false">
      <c r="A2375" s="19"/>
      <c r="B2375" s="19"/>
      <c r="C2375" s="20"/>
      <c r="D2375" s="19"/>
      <c r="E2375" s="26" t="str">
        <f aca="false">IF(A2375="","",COUNTIFS(Apparitions!$A$2:$A$5001,A2375,Apparitions!$B$2:$B$5001,B2375))</f>
        <v/>
      </c>
      <c r="F2375" s="27" t="str">
        <f aca="false">IF(A2375="","",A2375&amp;"|"&amp;B2375)</f>
        <v/>
      </c>
    </row>
    <row r="2376" customFormat="false" ht="15" hidden="false" customHeight="false" outlineLevel="0" collapsed="false">
      <c r="A2376" s="19"/>
      <c r="B2376" s="19"/>
      <c r="C2376" s="20"/>
      <c r="D2376" s="19"/>
      <c r="E2376" s="26" t="str">
        <f aca="false">IF(A2376="","",COUNTIFS(Apparitions!$A$2:$A$5001,A2376,Apparitions!$B$2:$B$5001,B2376))</f>
        <v/>
      </c>
      <c r="F2376" s="27" t="str">
        <f aca="false">IF(A2376="","",A2376&amp;"|"&amp;B2376)</f>
        <v/>
      </c>
    </row>
    <row r="2377" customFormat="false" ht="15" hidden="false" customHeight="false" outlineLevel="0" collapsed="false">
      <c r="A2377" s="19"/>
      <c r="B2377" s="19"/>
      <c r="C2377" s="20"/>
      <c r="D2377" s="19"/>
      <c r="E2377" s="26" t="str">
        <f aca="false">IF(A2377="","",COUNTIFS(Apparitions!$A$2:$A$5001,A2377,Apparitions!$B$2:$B$5001,B2377))</f>
        <v/>
      </c>
      <c r="F2377" s="27" t="str">
        <f aca="false">IF(A2377="","",A2377&amp;"|"&amp;B2377)</f>
        <v/>
      </c>
    </row>
    <row r="2378" customFormat="false" ht="15" hidden="false" customHeight="false" outlineLevel="0" collapsed="false">
      <c r="A2378" s="19"/>
      <c r="B2378" s="19"/>
      <c r="C2378" s="20"/>
      <c r="D2378" s="19"/>
      <c r="E2378" s="26" t="str">
        <f aca="false">IF(A2378="","",COUNTIFS(Apparitions!$A$2:$A$5001,A2378,Apparitions!$B$2:$B$5001,B2378))</f>
        <v/>
      </c>
      <c r="F2378" s="27" t="str">
        <f aca="false">IF(A2378="","",A2378&amp;"|"&amp;B2378)</f>
        <v/>
      </c>
    </row>
    <row r="2379" customFormat="false" ht="15" hidden="false" customHeight="false" outlineLevel="0" collapsed="false">
      <c r="A2379" s="19"/>
      <c r="B2379" s="19"/>
      <c r="C2379" s="20"/>
      <c r="D2379" s="19"/>
      <c r="E2379" s="26" t="str">
        <f aca="false">IF(A2379="","",COUNTIFS(Apparitions!$A$2:$A$5001,A2379,Apparitions!$B$2:$B$5001,B2379))</f>
        <v/>
      </c>
      <c r="F2379" s="27" t="str">
        <f aca="false">IF(A2379="","",A2379&amp;"|"&amp;B2379)</f>
        <v/>
      </c>
    </row>
    <row r="2380" customFormat="false" ht="15" hidden="false" customHeight="false" outlineLevel="0" collapsed="false">
      <c r="A2380" s="19"/>
      <c r="B2380" s="19"/>
      <c r="C2380" s="20"/>
      <c r="D2380" s="19"/>
      <c r="E2380" s="26" t="str">
        <f aca="false">IF(A2380="","",COUNTIFS(Apparitions!$A$2:$A$5001,A2380,Apparitions!$B$2:$B$5001,B2380))</f>
        <v/>
      </c>
      <c r="F2380" s="27" t="str">
        <f aca="false">IF(A2380="","",A2380&amp;"|"&amp;B2380)</f>
        <v/>
      </c>
    </row>
    <row r="2381" customFormat="false" ht="15" hidden="false" customHeight="false" outlineLevel="0" collapsed="false">
      <c r="A2381" s="19"/>
      <c r="B2381" s="19"/>
      <c r="C2381" s="20"/>
      <c r="D2381" s="19"/>
      <c r="E2381" s="26" t="str">
        <f aca="false">IF(A2381="","",COUNTIFS(Apparitions!$A$2:$A$5001,A2381,Apparitions!$B$2:$B$5001,B2381))</f>
        <v/>
      </c>
      <c r="F2381" s="27" t="str">
        <f aca="false">IF(A2381="","",A2381&amp;"|"&amp;B2381)</f>
        <v/>
      </c>
    </row>
    <row r="2382" customFormat="false" ht="15" hidden="false" customHeight="false" outlineLevel="0" collapsed="false">
      <c r="A2382" s="19"/>
      <c r="B2382" s="19"/>
      <c r="C2382" s="20"/>
      <c r="D2382" s="19"/>
      <c r="E2382" s="26" t="str">
        <f aca="false">IF(A2382="","",COUNTIFS(Apparitions!$A$2:$A$5001,A2382,Apparitions!$B$2:$B$5001,B2382))</f>
        <v/>
      </c>
      <c r="F2382" s="27" t="str">
        <f aca="false">IF(A2382="","",A2382&amp;"|"&amp;B2382)</f>
        <v/>
      </c>
    </row>
    <row r="2383" customFormat="false" ht="15" hidden="false" customHeight="false" outlineLevel="0" collapsed="false">
      <c r="A2383" s="19"/>
      <c r="B2383" s="19"/>
      <c r="C2383" s="20"/>
      <c r="D2383" s="19"/>
      <c r="E2383" s="26" t="str">
        <f aca="false">IF(A2383="","",COUNTIFS(Apparitions!$A$2:$A$5001,A2383,Apparitions!$B$2:$B$5001,B2383))</f>
        <v/>
      </c>
      <c r="F2383" s="27" t="str">
        <f aca="false">IF(A2383="","",A2383&amp;"|"&amp;B2383)</f>
        <v/>
      </c>
    </row>
    <row r="2384" customFormat="false" ht="15" hidden="false" customHeight="false" outlineLevel="0" collapsed="false">
      <c r="A2384" s="19"/>
      <c r="B2384" s="19"/>
      <c r="C2384" s="20"/>
      <c r="D2384" s="19"/>
      <c r="E2384" s="26" t="str">
        <f aca="false">IF(A2384="","",COUNTIFS(Apparitions!$A$2:$A$5001,A2384,Apparitions!$B$2:$B$5001,B2384))</f>
        <v/>
      </c>
      <c r="F2384" s="27" t="str">
        <f aca="false">IF(A2384="","",A2384&amp;"|"&amp;B2384)</f>
        <v/>
      </c>
    </row>
    <row r="2385" customFormat="false" ht="15" hidden="false" customHeight="false" outlineLevel="0" collapsed="false">
      <c r="A2385" s="19"/>
      <c r="B2385" s="19"/>
      <c r="C2385" s="20"/>
      <c r="D2385" s="19"/>
      <c r="E2385" s="26" t="str">
        <f aca="false">IF(A2385="","",COUNTIFS(Apparitions!$A$2:$A$5001,A2385,Apparitions!$B$2:$B$5001,B2385))</f>
        <v/>
      </c>
      <c r="F2385" s="27" t="str">
        <f aca="false">IF(A2385="","",A2385&amp;"|"&amp;B2385)</f>
        <v/>
      </c>
    </row>
    <row r="2386" customFormat="false" ht="15" hidden="false" customHeight="false" outlineLevel="0" collapsed="false">
      <c r="A2386" s="19"/>
      <c r="B2386" s="19"/>
      <c r="C2386" s="20"/>
      <c r="D2386" s="19"/>
      <c r="E2386" s="26" t="str">
        <f aca="false">IF(A2386="","",COUNTIFS(Apparitions!$A$2:$A$5001,A2386,Apparitions!$B$2:$B$5001,B2386))</f>
        <v/>
      </c>
      <c r="F2386" s="27" t="str">
        <f aca="false">IF(A2386="","",A2386&amp;"|"&amp;B2386)</f>
        <v/>
      </c>
    </row>
    <row r="2387" customFormat="false" ht="15" hidden="false" customHeight="false" outlineLevel="0" collapsed="false">
      <c r="A2387" s="19"/>
      <c r="B2387" s="19"/>
      <c r="C2387" s="20"/>
      <c r="D2387" s="19"/>
      <c r="E2387" s="26" t="str">
        <f aca="false">IF(A2387="","",COUNTIFS(Apparitions!$A$2:$A$5001,A2387,Apparitions!$B$2:$B$5001,B2387))</f>
        <v/>
      </c>
      <c r="F2387" s="27" t="str">
        <f aca="false">IF(A2387="","",A2387&amp;"|"&amp;B2387)</f>
        <v/>
      </c>
    </row>
    <row r="2388" customFormat="false" ht="15" hidden="false" customHeight="false" outlineLevel="0" collapsed="false">
      <c r="A2388" s="19"/>
      <c r="B2388" s="19"/>
      <c r="C2388" s="20"/>
      <c r="D2388" s="19"/>
      <c r="E2388" s="26" t="str">
        <f aca="false">IF(A2388="","",COUNTIFS(Apparitions!$A$2:$A$5001,A2388,Apparitions!$B$2:$B$5001,B2388))</f>
        <v/>
      </c>
      <c r="F2388" s="27" t="str">
        <f aca="false">IF(A2388="","",A2388&amp;"|"&amp;B2388)</f>
        <v/>
      </c>
    </row>
    <row r="2389" customFormat="false" ht="15" hidden="false" customHeight="false" outlineLevel="0" collapsed="false">
      <c r="A2389" s="19"/>
      <c r="B2389" s="19"/>
      <c r="C2389" s="20"/>
      <c r="D2389" s="19"/>
      <c r="E2389" s="26" t="str">
        <f aca="false">IF(A2389="","",COUNTIFS(Apparitions!$A$2:$A$5001,A2389,Apparitions!$B$2:$B$5001,B2389))</f>
        <v/>
      </c>
      <c r="F2389" s="27" t="str">
        <f aca="false">IF(A2389="","",A2389&amp;"|"&amp;B2389)</f>
        <v/>
      </c>
    </row>
    <row r="2390" customFormat="false" ht="15" hidden="false" customHeight="false" outlineLevel="0" collapsed="false">
      <c r="A2390" s="19"/>
      <c r="B2390" s="19"/>
      <c r="C2390" s="20"/>
      <c r="D2390" s="19"/>
      <c r="E2390" s="26" t="str">
        <f aca="false">IF(A2390="","",COUNTIFS(Apparitions!$A$2:$A$5001,A2390,Apparitions!$B$2:$B$5001,B2390))</f>
        <v/>
      </c>
      <c r="F2390" s="27" t="str">
        <f aca="false">IF(A2390="","",A2390&amp;"|"&amp;B2390)</f>
        <v/>
      </c>
    </row>
    <row r="2391" customFormat="false" ht="15" hidden="false" customHeight="false" outlineLevel="0" collapsed="false">
      <c r="A2391" s="19"/>
      <c r="B2391" s="19"/>
      <c r="C2391" s="20"/>
      <c r="D2391" s="19"/>
      <c r="E2391" s="26" t="str">
        <f aca="false">IF(A2391="","",COUNTIFS(Apparitions!$A$2:$A$5001,A2391,Apparitions!$B$2:$B$5001,B2391))</f>
        <v/>
      </c>
      <c r="F2391" s="27" t="str">
        <f aca="false">IF(A2391="","",A2391&amp;"|"&amp;B2391)</f>
        <v/>
      </c>
    </row>
    <row r="2392" customFormat="false" ht="15" hidden="false" customHeight="false" outlineLevel="0" collapsed="false">
      <c r="A2392" s="19"/>
      <c r="B2392" s="19"/>
      <c r="C2392" s="20"/>
      <c r="D2392" s="19"/>
      <c r="E2392" s="26" t="str">
        <f aca="false">IF(A2392="","",COUNTIFS(Apparitions!$A$2:$A$5001,A2392,Apparitions!$B$2:$B$5001,B2392))</f>
        <v/>
      </c>
      <c r="F2392" s="27" t="str">
        <f aca="false">IF(A2392="","",A2392&amp;"|"&amp;B2392)</f>
        <v/>
      </c>
    </row>
    <row r="2393" customFormat="false" ht="15" hidden="false" customHeight="false" outlineLevel="0" collapsed="false">
      <c r="A2393" s="19"/>
      <c r="B2393" s="19"/>
      <c r="C2393" s="20"/>
      <c r="D2393" s="19"/>
      <c r="E2393" s="26" t="str">
        <f aca="false">IF(A2393="","",COUNTIFS(Apparitions!$A$2:$A$5001,A2393,Apparitions!$B$2:$B$5001,B2393))</f>
        <v/>
      </c>
      <c r="F2393" s="27" t="str">
        <f aca="false">IF(A2393="","",A2393&amp;"|"&amp;B2393)</f>
        <v/>
      </c>
    </row>
    <row r="2394" customFormat="false" ht="15" hidden="false" customHeight="false" outlineLevel="0" collapsed="false">
      <c r="A2394" s="19"/>
      <c r="B2394" s="19"/>
      <c r="C2394" s="20"/>
      <c r="D2394" s="19"/>
      <c r="E2394" s="26" t="str">
        <f aca="false">IF(A2394="","",COUNTIFS(Apparitions!$A$2:$A$5001,A2394,Apparitions!$B$2:$B$5001,B2394))</f>
        <v/>
      </c>
      <c r="F2394" s="27" t="str">
        <f aca="false">IF(A2394="","",A2394&amp;"|"&amp;B2394)</f>
        <v/>
      </c>
    </row>
    <row r="2395" customFormat="false" ht="15" hidden="false" customHeight="false" outlineLevel="0" collapsed="false">
      <c r="A2395" s="19"/>
      <c r="B2395" s="19"/>
      <c r="C2395" s="20"/>
      <c r="D2395" s="19"/>
      <c r="E2395" s="26" t="str">
        <f aca="false">IF(A2395="","",COUNTIFS(Apparitions!$A$2:$A$5001,A2395,Apparitions!$B$2:$B$5001,B2395))</f>
        <v/>
      </c>
      <c r="F2395" s="27" t="str">
        <f aca="false">IF(A2395="","",A2395&amp;"|"&amp;B2395)</f>
        <v/>
      </c>
    </row>
    <row r="2396" customFormat="false" ht="15" hidden="false" customHeight="false" outlineLevel="0" collapsed="false">
      <c r="A2396" s="19"/>
      <c r="B2396" s="19"/>
      <c r="C2396" s="20"/>
      <c r="D2396" s="19"/>
      <c r="E2396" s="26" t="str">
        <f aca="false">IF(A2396="","",COUNTIFS(Apparitions!$A$2:$A$5001,A2396,Apparitions!$B$2:$B$5001,B2396))</f>
        <v/>
      </c>
      <c r="F2396" s="27" t="str">
        <f aca="false">IF(A2396="","",A2396&amp;"|"&amp;B2396)</f>
        <v/>
      </c>
    </row>
    <row r="2397" customFormat="false" ht="15" hidden="false" customHeight="false" outlineLevel="0" collapsed="false">
      <c r="A2397" s="19"/>
      <c r="B2397" s="19"/>
      <c r="C2397" s="20"/>
      <c r="D2397" s="19"/>
      <c r="E2397" s="26" t="str">
        <f aca="false">IF(A2397="","",COUNTIFS(Apparitions!$A$2:$A$5001,A2397,Apparitions!$B$2:$B$5001,B2397))</f>
        <v/>
      </c>
      <c r="F2397" s="27" t="str">
        <f aca="false">IF(A2397="","",A2397&amp;"|"&amp;B2397)</f>
        <v/>
      </c>
    </row>
    <row r="2398" customFormat="false" ht="15" hidden="false" customHeight="false" outlineLevel="0" collapsed="false">
      <c r="A2398" s="19"/>
      <c r="B2398" s="19"/>
      <c r="C2398" s="20"/>
      <c r="D2398" s="19"/>
      <c r="E2398" s="26" t="str">
        <f aca="false">IF(A2398="","",COUNTIFS(Apparitions!$A$2:$A$5001,A2398,Apparitions!$B$2:$B$5001,B2398))</f>
        <v/>
      </c>
      <c r="F2398" s="27" t="str">
        <f aca="false">IF(A2398="","",A2398&amp;"|"&amp;B2398)</f>
        <v/>
      </c>
    </row>
    <row r="2399" customFormat="false" ht="15" hidden="false" customHeight="false" outlineLevel="0" collapsed="false">
      <c r="A2399" s="19"/>
      <c r="B2399" s="19"/>
      <c r="C2399" s="20"/>
      <c r="D2399" s="19"/>
      <c r="E2399" s="26" t="str">
        <f aca="false">IF(A2399="","",COUNTIFS(Apparitions!$A$2:$A$5001,A2399,Apparitions!$B$2:$B$5001,B2399))</f>
        <v/>
      </c>
      <c r="F2399" s="27" t="str">
        <f aca="false">IF(A2399="","",A2399&amp;"|"&amp;B2399)</f>
        <v/>
      </c>
    </row>
    <row r="2400" customFormat="false" ht="15" hidden="false" customHeight="false" outlineLevel="0" collapsed="false">
      <c r="A2400" s="19"/>
      <c r="B2400" s="19"/>
      <c r="C2400" s="20"/>
      <c r="D2400" s="19"/>
      <c r="E2400" s="26" t="str">
        <f aca="false">IF(A2400="","",COUNTIFS(Apparitions!$A$2:$A$5001,A2400,Apparitions!$B$2:$B$5001,B2400))</f>
        <v/>
      </c>
      <c r="F2400" s="27" t="str">
        <f aca="false">IF(A2400="","",A2400&amp;"|"&amp;B2400)</f>
        <v/>
      </c>
    </row>
    <row r="2401" customFormat="false" ht="15" hidden="false" customHeight="false" outlineLevel="0" collapsed="false">
      <c r="A2401" s="19"/>
      <c r="B2401" s="19"/>
      <c r="C2401" s="20"/>
      <c r="D2401" s="19"/>
      <c r="E2401" s="26" t="str">
        <f aca="false">IF(A2401="","",COUNTIFS(Apparitions!$A$2:$A$5001,A2401,Apparitions!$B$2:$B$5001,B2401))</f>
        <v/>
      </c>
      <c r="F2401" s="27" t="str">
        <f aca="false">IF(A2401="","",A2401&amp;"|"&amp;B2401)</f>
        <v/>
      </c>
    </row>
    <row r="2402" customFormat="false" ht="15" hidden="false" customHeight="false" outlineLevel="0" collapsed="false">
      <c r="A2402" s="19"/>
      <c r="B2402" s="19"/>
      <c r="C2402" s="20"/>
      <c r="D2402" s="19"/>
      <c r="E2402" s="26" t="str">
        <f aca="false">IF(A2402="","",COUNTIFS(Apparitions!$A$2:$A$5001,A2402,Apparitions!$B$2:$B$5001,B2402))</f>
        <v/>
      </c>
      <c r="F2402" s="27" t="str">
        <f aca="false">IF(A2402="","",A2402&amp;"|"&amp;B2402)</f>
        <v/>
      </c>
    </row>
    <row r="2403" customFormat="false" ht="15" hidden="false" customHeight="false" outlineLevel="0" collapsed="false">
      <c r="A2403" s="19"/>
      <c r="B2403" s="19"/>
      <c r="C2403" s="20"/>
      <c r="D2403" s="19"/>
      <c r="E2403" s="26" t="str">
        <f aca="false">IF(A2403="","",COUNTIFS(Apparitions!$A$2:$A$5001,A2403,Apparitions!$B$2:$B$5001,B2403))</f>
        <v/>
      </c>
      <c r="F2403" s="27" t="str">
        <f aca="false">IF(A2403="","",A2403&amp;"|"&amp;B2403)</f>
        <v/>
      </c>
    </row>
    <row r="2404" customFormat="false" ht="15" hidden="false" customHeight="false" outlineLevel="0" collapsed="false">
      <c r="A2404" s="19"/>
      <c r="B2404" s="19"/>
      <c r="C2404" s="20"/>
      <c r="D2404" s="19"/>
      <c r="E2404" s="26" t="str">
        <f aca="false">IF(A2404="","",COUNTIFS(Apparitions!$A$2:$A$5001,A2404,Apparitions!$B$2:$B$5001,B2404))</f>
        <v/>
      </c>
      <c r="F2404" s="27" t="str">
        <f aca="false">IF(A2404="","",A2404&amp;"|"&amp;B2404)</f>
        <v/>
      </c>
    </row>
    <row r="2405" customFormat="false" ht="15" hidden="false" customHeight="false" outlineLevel="0" collapsed="false">
      <c r="A2405" s="19"/>
      <c r="B2405" s="19"/>
      <c r="C2405" s="20"/>
      <c r="D2405" s="19"/>
      <c r="E2405" s="26" t="str">
        <f aca="false">IF(A2405="","",COUNTIFS(Apparitions!$A$2:$A$5001,A2405,Apparitions!$B$2:$B$5001,B2405))</f>
        <v/>
      </c>
      <c r="F2405" s="27" t="str">
        <f aca="false">IF(A2405="","",A2405&amp;"|"&amp;B2405)</f>
        <v/>
      </c>
    </row>
    <row r="2406" customFormat="false" ht="15" hidden="false" customHeight="false" outlineLevel="0" collapsed="false">
      <c r="A2406" s="19"/>
      <c r="B2406" s="19"/>
      <c r="C2406" s="20"/>
      <c r="D2406" s="19"/>
      <c r="E2406" s="26" t="str">
        <f aca="false">IF(A2406="","",COUNTIFS(Apparitions!$A$2:$A$5001,A2406,Apparitions!$B$2:$B$5001,B2406))</f>
        <v/>
      </c>
      <c r="F2406" s="27" t="str">
        <f aca="false">IF(A2406="","",A2406&amp;"|"&amp;B2406)</f>
        <v/>
      </c>
    </row>
    <row r="2407" customFormat="false" ht="15" hidden="false" customHeight="false" outlineLevel="0" collapsed="false">
      <c r="A2407" s="19"/>
      <c r="B2407" s="19"/>
      <c r="C2407" s="20"/>
      <c r="D2407" s="19"/>
      <c r="E2407" s="26" t="str">
        <f aca="false">IF(A2407="","",COUNTIFS(Apparitions!$A$2:$A$5001,A2407,Apparitions!$B$2:$B$5001,B2407))</f>
        <v/>
      </c>
      <c r="F2407" s="27" t="str">
        <f aca="false">IF(A2407="","",A2407&amp;"|"&amp;B2407)</f>
        <v/>
      </c>
    </row>
    <row r="2408" customFormat="false" ht="15" hidden="false" customHeight="false" outlineLevel="0" collapsed="false">
      <c r="A2408" s="19"/>
      <c r="B2408" s="19"/>
      <c r="C2408" s="20"/>
      <c r="D2408" s="19"/>
      <c r="E2408" s="26" t="str">
        <f aca="false">IF(A2408="","",COUNTIFS(Apparitions!$A$2:$A$5001,A2408,Apparitions!$B$2:$B$5001,B2408))</f>
        <v/>
      </c>
      <c r="F2408" s="27" t="str">
        <f aca="false">IF(A2408="","",A2408&amp;"|"&amp;B2408)</f>
        <v/>
      </c>
    </row>
    <row r="2409" customFormat="false" ht="15" hidden="false" customHeight="false" outlineLevel="0" collapsed="false">
      <c r="A2409" s="19"/>
      <c r="B2409" s="19"/>
      <c r="C2409" s="20"/>
      <c r="D2409" s="19"/>
      <c r="E2409" s="26" t="str">
        <f aca="false">IF(A2409="","",COUNTIFS(Apparitions!$A$2:$A$5001,A2409,Apparitions!$B$2:$B$5001,B2409))</f>
        <v/>
      </c>
      <c r="F2409" s="27" t="str">
        <f aca="false">IF(A2409="","",A2409&amp;"|"&amp;B2409)</f>
        <v/>
      </c>
    </row>
    <row r="2410" customFormat="false" ht="15" hidden="false" customHeight="false" outlineLevel="0" collapsed="false">
      <c r="A2410" s="19"/>
      <c r="B2410" s="19"/>
      <c r="C2410" s="20"/>
      <c r="D2410" s="19"/>
      <c r="E2410" s="26" t="str">
        <f aca="false">IF(A2410="","",COUNTIFS(Apparitions!$A$2:$A$5001,A2410,Apparitions!$B$2:$B$5001,B2410))</f>
        <v/>
      </c>
      <c r="F2410" s="27" t="str">
        <f aca="false">IF(A2410="","",A2410&amp;"|"&amp;B2410)</f>
        <v/>
      </c>
    </row>
    <row r="2411" customFormat="false" ht="15" hidden="false" customHeight="false" outlineLevel="0" collapsed="false">
      <c r="A2411" s="19"/>
      <c r="B2411" s="19"/>
      <c r="C2411" s="20"/>
      <c r="D2411" s="19"/>
      <c r="E2411" s="26" t="str">
        <f aca="false">IF(A2411="","",COUNTIFS(Apparitions!$A$2:$A$5001,A2411,Apparitions!$B$2:$B$5001,B2411))</f>
        <v/>
      </c>
      <c r="F2411" s="27" t="str">
        <f aca="false">IF(A2411="","",A2411&amp;"|"&amp;B2411)</f>
        <v/>
      </c>
    </row>
    <row r="2412" customFormat="false" ht="15" hidden="false" customHeight="false" outlineLevel="0" collapsed="false">
      <c r="A2412" s="19"/>
      <c r="B2412" s="19"/>
      <c r="C2412" s="20"/>
      <c r="D2412" s="19"/>
      <c r="E2412" s="26" t="str">
        <f aca="false">IF(A2412="","",COUNTIFS(Apparitions!$A$2:$A$5001,A2412,Apparitions!$B$2:$B$5001,B2412))</f>
        <v/>
      </c>
      <c r="F2412" s="27" t="str">
        <f aca="false">IF(A2412="","",A2412&amp;"|"&amp;B2412)</f>
        <v/>
      </c>
    </row>
    <row r="2413" customFormat="false" ht="15" hidden="false" customHeight="false" outlineLevel="0" collapsed="false">
      <c r="A2413" s="19"/>
      <c r="B2413" s="19"/>
      <c r="C2413" s="20"/>
      <c r="D2413" s="19"/>
      <c r="E2413" s="26" t="str">
        <f aca="false">IF(A2413="","",COUNTIFS(Apparitions!$A$2:$A$5001,A2413,Apparitions!$B$2:$B$5001,B2413))</f>
        <v/>
      </c>
      <c r="F2413" s="27" t="str">
        <f aca="false">IF(A2413="","",A2413&amp;"|"&amp;B2413)</f>
        <v/>
      </c>
    </row>
    <row r="2414" customFormat="false" ht="15" hidden="false" customHeight="false" outlineLevel="0" collapsed="false">
      <c r="A2414" s="19"/>
      <c r="B2414" s="19"/>
      <c r="C2414" s="20"/>
      <c r="D2414" s="19"/>
      <c r="E2414" s="26" t="str">
        <f aca="false">IF(A2414="","",COUNTIFS(Apparitions!$A$2:$A$5001,A2414,Apparitions!$B$2:$B$5001,B2414))</f>
        <v/>
      </c>
      <c r="F2414" s="27" t="str">
        <f aca="false">IF(A2414="","",A2414&amp;"|"&amp;B2414)</f>
        <v/>
      </c>
    </row>
    <row r="2415" customFormat="false" ht="15" hidden="false" customHeight="false" outlineLevel="0" collapsed="false">
      <c r="A2415" s="19"/>
      <c r="B2415" s="19"/>
      <c r="C2415" s="20"/>
      <c r="D2415" s="19"/>
      <c r="E2415" s="26" t="str">
        <f aca="false">IF(A2415="","",COUNTIFS(Apparitions!$A$2:$A$5001,A2415,Apparitions!$B$2:$B$5001,B2415))</f>
        <v/>
      </c>
      <c r="F2415" s="27" t="str">
        <f aca="false">IF(A2415="","",A2415&amp;"|"&amp;B2415)</f>
        <v/>
      </c>
    </row>
    <row r="2416" customFormat="false" ht="15" hidden="false" customHeight="false" outlineLevel="0" collapsed="false">
      <c r="A2416" s="19"/>
      <c r="B2416" s="19"/>
      <c r="C2416" s="20"/>
      <c r="D2416" s="19"/>
      <c r="E2416" s="26" t="str">
        <f aca="false">IF(A2416="","",COUNTIFS(Apparitions!$A$2:$A$5001,A2416,Apparitions!$B$2:$B$5001,B2416))</f>
        <v/>
      </c>
      <c r="F2416" s="27" t="str">
        <f aca="false">IF(A2416="","",A2416&amp;"|"&amp;B2416)</f>
        <v/>
      </c>
    </row>
    <row r="2417" customFormat="false" ht="15" hidden="false" customHeight="false" outlineLevel="0" collapsed="false">
      <c r="A2417" s="19"/>
      <c r="B2417" s="19"/>
      <c r="C2417" s="20"/>
      <c r="D2417" s="19"/>
      <c r="E2417" s="26" t="str">
        <f aca="false">IF(A2417="","",COUNTIFS(Apparitions!$A$2:$A$5001,A2417,Apparitions!$B$2:$B$5001,B2417))</f>
        <v/>
      </c>
      <c r="F2417" s="27" t="str">
        <f aca="false">IF(A2417="","",A2417&amp;"|"&amp;B2417)</f>
        <v/>
      </c>
    </row>
    <row r="2418" customFormat="false" ht="15" hidden="false" customHeight="false" outlineLevel="0" collapsed="false">
      <c r="A2418" s="19"/>
      <c r="B2418" s="19"/>
      <c r="C2418" s="20"/>
      <c r="D2418" s="19"/>
      <c r="E2418" s="26" t="str">
        <f aca="false">IF(A2418="","",COUNTIFS(Apparitions!$A$2:$A$5001,A2418,Apparitions!$B$2:$B$5001,B2418))</f>
        <v/>
      </c>
      <c r="F2418" s="27" t="str">
        <f aca="false">IF(A2418="","",A2418&amp;"|"&amp;B2418)</f>
        <v/>
      </c>
    </row>
    <row r="2419" customFormat="false" ht="15" hidden="false" customHeight="false" outlineLevel="0" collapsed="false">
      <c r="A2419" s="19"/>
      <c r="B2419" s="19"/>
      <c r="C2419" s="20"/>
      <c r="D2419" s="19"/>
      <c r="E2419" s="26" t="str">
        <f aca="false">IF(A2419="","",COUNTIFS(Apparitions!$A$2:$A$5001,A2419,Apparitions!$B$2:$B$5001,B2419))</f>
        <v/>
      </c>
      <c r="F2419" s="27" t="str">
        <f aca="false">IF(A2419="","",A2419&amp;"|"&amp;B2419)</f>
        <v/>
      </c>
    </row>
    <row r="2420" customFormat="false" ht="15" hidden="false" customHeight="false" outlineLevel="0" collapsed="false">
      <c r="A2420" s="19"/>
      <c r="B2420" s="19"/>
      <c r="C2420" s="20"/>
      <c r="D2420" s="19"/>
      <c r="E2420" s="26" t="str">
        <f aca="false">IF(A2420="","",COUNTIFS(Apparitions!$A$2:$A$5001,A2420,Apparitions!$B$2:$B$5001,B2420))</f>
        <v/>
      </c>
      <c r="F2420" s="27" t="str">
        <f aca="false">IF(A2420="","",A2420&amp;"|"&amp;B2420)</f>
        <v/>
      </c>
    </row>
    <row r="2421" customFormat="false" ht="15" hidden="false" customHeight="false" outlineLevel="0" collapsed="false">
      <c r="A2421" s="19"/>
      <c r="B2421" s="19"/>
      <c r="C2421" s="20"/>
      <c r="D2421" s="19"/>
      <c r="E2421" s="26" t="str">
        <f aca="false">IF(A2421="","",COUNTIFS(Apparitions!$A$2:$A$5001,A2421,Apparitions!$B$2:$B$5001,B2421))</f>
        <v/>
      </c>
      <c r="F2421" s="27" t="str">
        <f aca="false">IF(A2421="","",A2421&amp;"|"&amp;B2421)</f>
        <v/>
      </c>
    </row>
    <row r="2422" customFormat="false" ht="15" hidden="false" customHeight="false" outlineLevel="0" collapsed="false">
      <c r="A2422" s="19"/>
      <c r="B2422" s="19"/>
      <c r="C2422" s="20"/>
      <c r="D2422" s="19"/>
      <c r="E2422" s="26" t="str">
        <f aca="false">IF(A2422="","",COUNTIFS(Apparitions!$A$2:$A$5001,A2422,Apparitions!$B$2:$B$5001,B2422))</f>
        <v/>
      </c>
      <c r="F2422" s="27" t="str">
        <f aca="false">IF(A2422="","",A2422&amp;"|"&amp;B2422)</f>
        <v/>
      </c>
    </row>
    <row r="2423" customFormat="false" ht="15" hidden="false" customHeight="false" outlineLevel="0" collapsed="false">
      <c r="A2423" s="19"/>
      <c r="B2423" s="19"/>
      <c r="C2423" s="20"/>
      <c r="D2423" s="19"/>
      <c r="E2423" s="26" t="str">
        <f aca="false">IF(A2423="","",COUNTIFS(Apparitions!$A$2:$A$5001,A2423,Apparitions!$B$2:$B$5001,B2423))</f>
        <v/>
      </c>
      <c r="F2423" s="27" t="str">
        <f aca="false">IF(A2423="","",A2423&amp;"|"&amp;B2423)</f>
        <v/>
      </c>
    </row>
    <row r="2424" customFormat="false" ht="15" hidden="false" customHeight="false" outlineLevel="0" collapsed="false">
      <c r="A2424" s="19"/>
      <c r="B2424" s="19"/>
      <c r="C2424" s="20"/>
      <c r="D2424" s="19"/>
      <c r="E2424" s="26" t="str">
        <f aca="false">IF(A2424="","",COUNTIFS(Apparitions!$A$2:$A$5001,A2424,Apparitions!$B$2:$B$5001,B2424))</f>
        <v/>
      </c>
      <c r="F2424" s="27" t="str">
        <f aca="false">IF(A2424="","",A2424&amp;"|"&amp;B2424)</f>
        <v/>
      </c>
    </row>
    <row r="2425" customFormat="false" ht="15" hidden="false" customHeight="false" outlineLevel="0" collapsed="false">
      <c r="A2425" s="19"/>
      <c r="B2425" s="19"/>
      <c r="C2425" s="20"/>
      <c r="D2425" s="19"/>
      <c r="E2425" s="26" t="str">
        <f aca="false">IF(A2425="","",COUNTIFS(Apparitions!$A$2:$A$5001,A2425,Apparitions!$B$2:$B$5001,B2425))</f>
        <v/>
      </c>
      <c r="F2425" s="27" t="str">
        <f aca="false">IF(A2425="","",A2425&amp;"|"&amp;B2425)</f>
        <v/>
      </c>
    </row>
    <row r="2426" customFormat="false" ht="15" hidden="false" customHeight="false" outlineLevel="0" collapsed="false">
      <c r="A2426" s="19"/>
      <c r="B2426" s="19"/>
      <c r="C2426" s="20"/>
      <c r="D2426" s="19"/>
      <c r="E2426" s="26" t="str">
        <f aca="false">IF(A2426="","",COUNTIFS(Apparitions!$A$2:$A$5001,A2426,Apparitions!$B$2:$B$5001,B2426))</f>
        <v/>
      </c>
      <c r="F2426" s="27" t="str">
        <f aca="false">IF(A2426="","",A2426&amp;"|"&amp;B2426)</f>
        <v/>
      </c>
    </row>
    <row r="2427" customFormat="false" ht="15" hidden="false" customHeight="false" outlineLevel="0" collapsed="false">
      <c r="A2427" s="19"/>
      <c r="B2427" s="19"/>
      <c r="C2427" s="20"/>
      <c r="D2427" s="19"/>
      <c r="E2427" s="26" t="str">
        <f aca="false">IF(A2427="","",COUNTIFS(Apparitions!$A$2:$A$5001,A2427,Apparitions!$B$2:$B$5001,B2427))</f>
        <v/>
      </c>
      <c r="F2427" s="27" t="str">
        <f aca="false">IF(A2427="","",A2427&amp;"|"&amp;B2427)</f>
        <v/>
      </c>
    </row>
    <row r="2428" customFormat="false" ht="15" hidden="false" customHeight="false" outlineLevel="0" collapsed="false">
      <c r="A2428" s="19"/>
      <c r="B2428" s="19"/>
      <c r="C2428" s="20"/>
      <c r="D2428" s="19"/>
      <c r="E2428" s="26" t="str">
        <f aca="false">IF(A2428="","",COUNTIFS(Apparitions!$A$2:$A$5001,A2428,Apparitions!$B$2:$B$5001,B2428))</f>
        <v/>
      </c>
      <c r="F2428" s="27" t="str">
        <f aca="false">IF(A2428="","",A2428&amp;"|"&amp;B2428)</f>
        <v/>
      </c>
    </row>
    <row r="2429" customFormat="false" ht="15" hidden="false" customHeight="false" outlineLevel="0" collapsed="false">
      <c r="A2429" s="19"/>
      <c r="B2429" s="19"/>
      <c r="C2429" s="20"/>
      <c r="D2429" s="19"/>
      <c r="E2429" s="26" t="str">
        <f aca="false">IF(A2429="","",COUNTIFS(Apparitions!$A$2:$A$5001,A2429,Apparitions!$B$2:$B$5001,B2429))</f>
        <v/>
      </c>
      <c r="F2429" s="27" t="str">
        <f aca="false">IF(A2429="","",A2429&amp;"|"&amp;B2429)</f>
        <v/>
      </c>
    </row>
    <row r="2430" customFormat="false" ht="15" hidden="false" customHeight="false" outlineLevel="0" collapsed="false">
      <c r="A2430" s="19"/>
      <c r="B2430" s="19"/>
      <c r="C2430" s="20"/>
      <c r="D2430" s="19"/>
      <c r="E2430" s="26" t="str">
        <f aca="false">IF(A2430="","",COUNTIFS(Apparitions!$A$2:$A$5001,A2430,Apparitions!$B$2:$B$5001,B2430))</f>
        <v/>
      </c>
      <c r="F2430" s="27" t="str">
        <f aca="false">IF(A2430="","",A2430&amp;"|"&amp;B2430)</f>
        <v/>
      </c>
    </row>
    <row r="2431" customFormat="false" ht="15" hidden="false" customHeight="false" outlineLevel="0" collapsed="false">
      <c r="A2431" s="19"/>
      <c r="B2431" s="19"/>
      <c r="C2431" s="20"/>
      <c r="D2431" s="19"/>
      <c r="E2431" s="26" t="str">
        <f aca="false">IF(A2431="","",COUNTIFS(Apparitions!$A$2:$A$5001,A2431,Apparitions!$B$2:$B$5001,B2431))</f>
        <v/>
      </c>
      <c r="F2431" s="27" t="str">
        <f aca="false">IF(A2431="","",A2431&amp;"|"&amp;B2431)</f>
        <v/>
      </c>
    </row>
    <row r="2432" customFormat="false" ht="15" hidden="false" customHeight="false" outlineLevel="0" collapsed="false">
      <c r="A2432" s="19"/>
      <c r="B2432" s="19"/>
      <c r="C2432" s="20"/>
      <c r="D2432" s="19"/>
      <c r="E2432" s="26" t="str">
        <f aca="false">IF(A2432="","",COUNTIFS(Apparitions!$A$2:$A$5001,A2432,Apparitions!$B$2:$B$5001,B2432))</f>
        <v/>
      </c>
      <c r="F2432" s="27" t="str">
        <f aca="false">IF(A2432="","",A2432&amp;"|"&amp;B2432)</f>
        <v/>
      </c>
    </row>
    <row r="2433" customFormat="false" ht="15" hidden="false" customHeight="false" outlineLevel="0" collapsed="false">
      <c r="A2433" s="19"/>
      <c r="B2433" s="19"/>
      <c r="C2433" s="20"/>
      <c r="D2433" s="19"/>
      <c r="E2433" s="26" t="str">
        <f aca="false">IF(A2433="","",COUNTIFS(Apparitions!$A$2:$A$5001,A2433,Apparitions!$B$2:$B$5001,B2433))</f>
        <v/>
      </c>
      <c r="F2433" s="27" t="str">
        <f aca="false">IF(A2433="","",A2433&amp;"|"&amp;B2433)</f>
        <v/>
      </c>
    </row>
    <row r="2434" customFormat="false" ht="15" hidden="false" customHeight="false" outlineLevel="0" collapsed="false">
      <c r="A2434" s="19"/>
      <c r="B2434" s="19"/>
      <c r="C2434" s="20"/>
      <c r="D2434" s="19"/>
      <c r="E2434" s="26" t="str">
        <f aca="false">IF(A2434="","",COUNTIFS(Apparitions!$A$2:$A$5001,A2434,Apparitions!$B$2:$B$5001,B2434))</f>
        <v/>
      </c>
      <c r="F2434" s="27" t="str">
        <f aca="false">IF(A2434="","",A2434&amp;"|"&amp;B2434)</f>
        <v/>
      </c>
    </row>
    <row r="2435" customFormat="false" ht="15" hidden="false" customHeight="false" outlineLevel="0" collapsed="false">
      <c r="A2435" s="19"/>
      <c r="B2435" s="19"/>
      <c r="C2435" s="20"/>
      <c r="D2435" s="19"/>
      <c r="E2435" s="26" t="str">
        <f aca="false">IF(A2435="","",COUNTIFS(Apparitions!$A$2:$A$5001,A2435,Apparitions!$B$2:$B$5001,B2435))</f>
        <v/>
      </c>
      <c r="F2435" s="27" t="str">
        <f aca="false">IF(A2435="","",A2435&amp;"|"&amp;B2435)</f>
        <v/>
      </c>
    </row>
    <row r="2436" customFormat="false" ht="15" hidden="false" customHeight="false" outlineLevel="0" collapsed="false">
      <c r="A2436" s="19"/>
      <c r="B2436" s="19"/>
      <c r="C2436" s="20"/>
      <c r="D2436" s="19"/>
      <c r="E2436" s="26" t="str">
        <f aca="false">IF(A2436="","",COUNTIFS(Apparitions!$A$2:$A$5001,A2436,Apparitions!$B$2:$B$5001,B2436))</f>
        <v/>
      </c>
      <c r="F2436" s="27" t="str">
        <f aca="false">IF(A2436="","",A2436&amp;"|"&amp;B2436)</f>
        <v/>
      </c>
    </row>
    <row r="2437" customFormat="false" ht="15" hidden="false" customHeight="false" outlineLevel="0" collapsed="false">
      <c r="A2437" s="19"/>
      <c r="B2437" s="19"/>
      <c r="C2437" s="20"/>
      <c r="D2437" s="19"/>
      <c r="E2437" s="26" t="str">
        <f aca="false">IF(A2437="","",COUNTIFS(Apparitions!$A$2:$A$5001,A2437,Apparitions!$B$2:$B$5001,B2437))</f>
        <v/>
      </c>
      <c r="F2437" s="27" t="str">
        <f aca="false">IF(A2437="","",A2437&amp;"|"&amp;B2437)</f>
        <v/>
      </c>
    </row>
    <row r="2438" customFormat="false" ht="15" hidden="false" customHeight="false" outlineLevel="0" collapsed="false">
      <c r="A2438" s="19"/>
      <c r="B2438" s="19"/>
      <c r="C2438" s="20"/>
      <c r="D2438" s="19"/>
      <c r="E2438" s="26" t="str">
        <f aca="false">IF(A2438="","",COUNTIFS(Apparitions!$A$2:$A$5001,A2438,Apparitions!$B$2:$B$5001,B2438))</f>
        <v/>
      </c>
      <c r="F2438" s="27" t="str">
        <f aca="false">IF(A2438="","",A2438&amp;"|"&amp;B2438)</f>
        <v/>
      </c>
    </row>
    <row r="2439" customFormat="false" ht="15" hidden="false" customHeight="false" outlineLevel="0" collapsed="false">
      <c r="A2439" s="19"/>
      <c r="B2439" s="19"/>
      <c r="C2439" s="20"/>
      <c r="D2439" s="19"/>
      <c r="E2439" s="26" t="str">
        <f aca="false">IF(A2439="","",COUNTIFS(Apparitions!$A$2:$A$5001,A2439,Apparitions!$B$2:$B$5001,B2439))</f>
        <v/>
      </c>
      <c r="F2439" s="27" t="str">
        <f aca="false">IF(A2439="","",A2439&amp;"|"&amp;B2439)</f>
        <v/>
      </c>
    </row>
    <row r="2440" customFormat="false" ht="15" hidden="false" customHeight="false" outlineLevel="0" collapsed="false">
      <c r="A2440" s="19"/>
      <c r="B2440" s="19"/>
      <c r="C2440" s="20"/>
      <c r="D2440" s="19"/>
      <c r="E2440" s="26" t="str">
        <f aca="false">IF(A2440="","",COUNTIFS(Apparitions!$A$2:$A$5001,A2440,Apparitions!$B$2:$B$5001,B2440))</f>
        <v/>
      </c>
      <c r="F2440" s="27" t="str">
        <f aca="false">IF(A2440="","",A2440&amp;"|"&amp;B2440)</f>
        <v/>
      </c>
    </row>
    <row r="2441" customFormat="false" ht="15" hidden="false" customHeight="false" outlineLevel="0" collapsed="false">
      <c r="A2441" s="19"/>
      <c r="B2441" s="19"/>
      <c r="C2441" s="20"/>
      <c r="D2441" s="19"/>
      <c r="E2441" s="26" t="str">
        <f aca="false">IF(A2441="","",COUNTIFS(Apparitions!$A$2:$A$5001,A2441,Apparitions!$B$2:$B$5001,B2441))</f>
        <v/>
      </c>
      <c r="F2441" s="27" t="str">
        <f aca="false">IF(A2441="","",A2441&amp;"|"&amp;B2441)</f>
        <v/>
      </c>
    </row>
    <row r="2442" customFormat="false" ht="15" hidden="false" customHeight="false" outlineLevel="0" collapsed="false">
      <c r="A2442" s="19"/>
      <c r="B2442" s="19"/>
      <c r="C2442" s="20"/>
      <c r="D2442" s="19"/>
      <c r="E2442" s="26" t="str">
        <f aca="false">IF(A2442="","",COUNTIFS(Apparitions!$A$2:$A$5001,A2442,Apparitions!$B$2:$B$5001,B2442))</f>
        <v/>
      </c>
      <c r="F2442" s="27" t="str">
        <f aca="false">IF(A2442="","",A2442&amp;"|"&amp;B2442)</f>
        <v/>
      </c>
    </row>
    <row r="2443" customFormat="false" ht="15" hidden="false" customHeight="false" outlineLevel="0" collapsed="false">
      <c r="A2443" s="19"/>
      <c r="B2443" s="19"/>
      <c r="C2443" s="20"/>
      <c r="D2443" s="19"/>
      <c r="E2443" s="26" t="str">
        <f aca="false">IF(A2443="","",COUNTIFS(Apparitions!$A$2:$A$5001,A2443,Apparitions!$B$2:$B$5001,B2443))</f>
        <v/>
      </c>
      <c r="F2443" s="27" t="str">
        <f aca="false">IF(A2443="","",A2443&amp;"|"&amp;B2443)</f>
        <v/>
      </c>
    </row>
    <row r="2444" customFormat="false" ht="15" hidden="false" customHeight="false" outlineLevel="0" collapsed="false">
      <c r="A2444" s="19"/>
      <c r="B2444" s="19"/>
      <c r="C2444" s="20"/>
      <c r="D2444" s="19"/>
      <c r="E2444" s="26" t="str">
        <f aca="false">IF(A2444="","",COUNTIFS(Apparitions!$A$2:$A$5001,A2444,Apparitions!$B$2:$B$5001,B2444))</f>
        <v/>
      </c>
      <c r="F2444" s="27" t="str">
        <f aca="false">IF(A2444="","",A2444&amp;"|"&amp;B2444)</f>
        <v/>
      </c>
    </row>
    <row r="2445" customFormat="false" ht="15" hidden="false" customHeight="false" outlineLevel="0" collapsed="false">
      <c r="A2445" s="19"/>
      <c r="B2445" s="19"/>
      <c r="C2445" s="20"/>
      <c r="D2445" s="19"/>
      <c r="E2445" s="26" t="str">
        <f aca="false">IF(A2445="","",COUNTIFS(Apparitions!$A$2:$A$5001,A2445,Apparitions!$B$2:$B$5001,B2445))</f>
        <v/>
      </c>
      <c r="F2445" s="27" t="str">
        <f aca="false">IF(A2445="","",A2445&amp;"|"&amp;B2445)</f>
        <v/>
      </c>
    </row>
    <row r="2446" customFormat="false" ht="15" hidden="false" customHeight="false" outlineLevel="0" collapsed="false">
      <c r="A2446" s="19"/>
      <c r="B2446" s="19"/>
      <c r="C2446" s="20"/>
      <c r="D2446" s="19"/>
      <c r="E2446" s="26" t="str">
        <f aca="false">IF(A2446="","",COUNTIFS(Apparitions!$A$2:$A$5001,A2446,Apparitions!$B$2:$B$5001,B2446))</f>
        <v/>
      </c>
      <c r="F2446" s="27" t="str">
        <f aca="false">IF(A2446="","",A2446&amp;"|"&amp;B2446)</f>
        <v/>
      </c>
    </row>
    <row r="2447" customFormat="false" ht="15" hidden="false" customHeight="false" outlineLevel="0" collapsed="false">
      <c r="A2447" s="19"/>
      <c r="B2447" s="19"/>
      <c r="C2447" s="20"/>
      <c r="D2447" s="19"/>
      <c r="E2447" s="26" t="str">
        <f aca="false">IF(A2447="","",COUNTIFS(Apparitions!$A$2:$A$5001,A2447,Apparitions!$B$2:$B$5001,B2447))</f>
        <v/>
      </c>
      <c r="F2447" s="27" t="str">
        <f aca="false">IF(A2447="","",A2447&amp;"|"&amp;B2447)</f>
        <v/>
      </c>
    </row>
    <row r="2448" customFormat="false" ht="15" hidden="false" customHeight="false" outlineLevel="0" collapsed="false">
      <c r="A2448" s="19"/>
      <c r="B2448" s="19"/>
      <c r="C2448" s="20"/>
      <c r="D2448" s="19"/>
      <c r="E2448" s="26" t="str">
        <f aca="false">IF(A2448="","",COUNTIFS(Apparitions!$A$2:$A$5001,A2448,Apparitions!$B$2:$B$5001,B2448))</f>
        <v/>
      </c>
      <c r="F2448" s="27" t="str">
        <f aca="false">IF(A2448="","",A2448&amp;"|"&amp;B2448)</f>
        <v/>
      </c>
    </row>
    <row r="2449" customFormat="false" ht="15" hidden="false" customHeight="false" outlineLevel="0" collapsed="false">
      <c r="A2449" s="19"/>
      <c r="B2449" s="19"/>
      <c r="C2449" s="20"/>
      <c r="D2449" s="19"/>
      <c r="E2449" s="26" t="str">
        <f aca="false">IF(A2449="","",COUNTIFS(Apparitions!$A$2:$A$5001,A2449,Apparitions!$B$2:$B$5001,B2449))</f>
        <v/>
      </c>
      <c r="F2449" s="27" t="str">
        <f aca="false">IF(A2449="","",A2449&amp;"|"&amp;B2449)</f>
        <v/>
      </c>
    </row>
    <row r="2450" customFormat="false" ht="15" hidden="false" customHeight="false" outlineLevel="0" collapsed="false">
      <c r="A2450" s="19"/>
      <c r="B2450" s="19"/>
      <c r="C2450" s="20"/>
      <c r="D2450" s="19"/>
      <c r="E2450" s="26" t="str">
        <f aca="false">IF(A2450="","",COUNTIFS(Apparitions!$A$2:$A$5001,A2450,Apparitions!$B$2:$B$5001,B2450))</f>
        <v/>
      </c>
      <c r="F2450" s="27" t="str">
        <f aca="false">IF(A2450="","",A2450&amp;"|"&amp;B2450)</f>
        <v/>
      </c>
    </row>
    <row r="2451" customFormat="false" ht="15" hidden="false" customHeight="false" outlineLevel="0" collapsed="false">
      <c r="A2451" s="19"/>
      <c r="B2451" s="19"/>
      <c r="C2451" s="20"/>
      <c r="D2451" s="19"/>
      <c r="E2451" s="26" t="str">
        <f aca="false">IF(A2451="","",COUNTIFS(Apparitions!$A$2:$A$5001,A2451,Apparitions!$B$2:$B$5001,B2451))</f>
        <v/>
      </c>
      <c r="F2451" s="27" t="str">
        <f aca="false">IF(A2451="","",A2451&amp;"|"&amp;B2451)</f>
        <v/>
      </c>
    </row>
    <row r="2452" customFormat="false" ht="15" hidden="false" customHeight="false" outlineLevel="0" collapsed="false">
      <c r="A2452" s="19"/>
      <c r="B2452" s="19"/>
      <c r="C2452" s="20"/>
      <c r="D2452" s="19"/>
      <c r="E2452" s="26" t="str">
        <f aca="false">IF(A2452="","",COUNTIFS(Apparitions!$A$2:$A$5001,A2452,Apparitions!$B$2:$B$5001,B2452))</f>
        <v/>
      </c>
      <c r="F2452" s="27" t="str">
        <f aca="false">IF(A2452="","",A2452&amp;"|"&amp;B2452)</f>
        <v/>
      </c>
    </row>
    <row r="2453" customFormat="false" ht="15" hidden="false" customHeight="false" outlineLevel="0" collapsed="false">
      <c r="A2453" s="19"/>
      <c r="B2453" s="19"/>
      <c r="C2453" s="20"/>
      <c r="D2453" s="19"/>
      <c r="E2453" s="26" t="str">
        <f aca="false">IF(A2453="","",COUNTIFS(Apparitions!$A$2:$A$5001,A2453,Apparitions!$B$2:$B$5001,B2453))</f>
        <v/>
      </c>
      <c r="F2453" s="27" t="str">
        <f aca="false">IF(A2453="","",A2453&amp;"|"&amp;B2453)</f>
        <v/>
      </c>
    </row>
    <row r="2454" customFormat="false" ht="15" hidden="false" customHeight="false" outlineLevel="0" collapsed="false">
      <c r="A2454" s="19"/>
      <c r="B2454" s="19"/>
      <c r="C2454" s="20"/>
      <c r="D2454" s="19"/>
      <c r="E2454" s="26" t="str">
        <f aca="false">IF(A2454="","",COUNTIFS(Apparitions!$A$2:$A$5001,A2454,Apparitions!$B$2:$B$5001,B2454))</f>
        <v/>
      </c>
      <c r="F2454" s="27" t="str">
        <f aca="false">IF(A2454="","",A2454&amp;"|"&amp;B2454)</f>
        <v/>
      </c>
    </row>
    <row r="2455" customFormat="false" ht="15" hidden="false" customHeight="false" outlineLevel="0" collapsed="false">
      <c r="A2455" s="19"/>
      <c r="B2455" s="19"/>
      <c r="C2455" s="20"/>
      <c r="D2455" s="19"/>
      <c r="E2455" s="26" t="str">
        <f aca="false">IF(A2455="","",COUNTIFS(Apparitions!$A$2:$A$5001,A2455,Apparitions!$B$2:$B$5001,B2455))</f>
        <v/>
      </c>
      <c r="F2455" s="27" t="str">
        <f aca="false">IF(A2455="","",A2455&amp;"|"&amp;B2455)</f>
        <v/>
      </c>
    </row>
    <row r="2456" customFormat="false" ht="15" hidden="false" customHeight="false" outlineLevel="0" collapsed="false">
      <c r="A2456" s="19"/>
      <c r="B2456" s="19"/>
      <c r="C2456" s="20"/>
      <c r="D2456" s="19"/>
      <c r="E2456" s="26" t="str">
        <f aca="false">IF(A2456="","",COUNTIFS(Apparitions!$A$2:$A$5001,A2456,Apparitions!$B$2:$B$5001,B2456))</f>
        <v/>
      </c>
      <c r="F2456" s="27" t="str">
        <f aca="false">IF(A2456="","",A2456&amp;"|"&amp;B2456)</f>
        <v/>
      </c>
    </row>
    <row r="2457" customFormat="false" ht="15" hidden="false" customHeight="false" outlineLevel="0" collapsed="false">
      <c r="A2457" s="19"/>
      <c r="B2457" s="19"/>
      <c r="C2457" s="20"/>
      <c r="D2457" s="19"/>
      <c r="E2457" s="26" t="str">
        <f aca="false">IF(A2457="","",COUNTIFS(Apparitions!$A$2:$A$5001,A2457,Apparitions!$B$2:$B$5001,B2457))</f>
        <v/>
      </c>
      <c r="F2457" s="27" t="str">
        <f aca="false">IF(A2457="","",A2457&amp;"|"&amp;B2457)</f>
        <v/>
      </c>
    </row>
    <row r="2458" customFormat="false" ht="15" hidden="false" customHeight="false" outlineLevel="0" collapsed="false">
      <c r="A2458" s="19"/>
      <c r="B2458" s="19"/>
      <c r="C2458" s="20"/>
      <c r="D2458" s="19"/>
      <c r="E2458" s="26" t="str">
        <f aca="false">IF(A2458="","",COUNTIFS(Apparitions!$A$2:$A$5001,A2458,Apparitions!$B$2:$B$5001,B2458))</f>
        <v/>
      </c>
      <c r="F2458" s="27" t="str">
        <f aca="false">IF(A2458="","",A2458&amp;"|"&amp;B2458)</f>
        <v/>
      </c>
    </row>
    <row r="2459" customFormat="false" ht="15" hidden="false" customHeight="false" outlineLevel="0" collapsed="false">
      <c r="A2459" s="19"/>
      <c r="B2459" s="19"/>
      <c r="C2459" s="20"/>
      <c r="D2459" s="19"/>
      <c r="E2459" s="26" t="str">
        <f aca="false">IF(A2459="","",COUNTIFS(Apparitions!$A$2:$A$5001,A2459,Apparitions!$B$2:$B$5001,B2459))</f>
        <v/>
      </c>
      <c r="F2459" s="27" t="str">
        <f aca="false">IF(A2459="","",A2459&amp;"|"&amp;B2459)</f>
        <v/>
      </c>
    </row>
    <row r="2460" customFormat="false" ht="15" hidden="false" customHeight="false" outlineLevel="0" collapsed="false">
      <c r="A2460" s="19"/>
      <c r="B2460" s="19"/>
      <c r="C2460" s="20"/>
      <c r="D2460" s="19"/>
      <c r="E2460" s="26" t="str">
        <f aca="false">IF(A2460="","",COUNTIFS(Apparitions!$A$2:$A$5001,A2460,Apparitions!$B$2:$B$5001,B2460))</f>
        <v/>
      </c>
      <c r="F2460" s="27" t="str">
        <f aca="false">IF(A2460="","",A2460&amp;"|"&amp;B2460)</f>
        <v/>
      </c>
    </row>
    <row r="2461" customFormat="false" ht="15" hidden="false" customHeight="false" outlineLevel="0" collapsed="false">
      <c r="A2461" s="19"/>
      <c r="B2461" s="19"/>
      <c r="C2461" s="20"/>
      <c r="D2461" s="19"/>
      <c r="E2461" s="26" t="str">
        <f aca="false">IF(A2461="","",COUNTIFS(Apparitions!$A$2:$A$5001,A2461,Apparitions!$B$2:$B$5001,B2461))</f>
        <v/>
      </c>
      <c r="F2461" s="27" t="str">
        <f aca="false">IF(A2461="","",A2461&amp;"|"&amp;B2461)</f>
        <v/>
      </c>
    </row>
    <row r="2462" customFormat="false" ht="15" hidden="false" customHeight="false" outlineLevel="0" collapsed="false">
      <c r="A2462" s="19"/>
      <c r="B2462" s="19"/>
      <c r="C2462" s="20"/>
      <c r="D2462" s="19"/>
      <c r="E2462" s="26" t="str">
        <f aca="false">IF(A2462="","",COUNTIFS(Apparitions!$A$2:$A$5001,A2462,Apparitions!$B$2:$B$5001,B2462))</f>
        <v/>
      </c>
      <c r="F2462" s="27" t="str">
        <f aca="false">IF(A2462="","",A2462&amp;"|"&amp;B2462)</f>
        <v/>
      </c>
    </row>
    <row r="2463" customFormat="false" ht="15" hidden="false" customHeight="false" outlineLevel="0" collapsed="false">
      <c r="A2463" s="19"/>
      <c r="B2463" s="19"/>
      <c r="C2463" s="20"/>
      <c r="D2463" s="19"/>
      <c r="E2463" s="26" t="str">
        <f aca="false">IF(A2463="","",COUNTIFS(Apparitions!$A$2:$A$5001,A2463,Apparitions!$B$2:$B$5001,B2463))</f>
        <v/>
      </c>
      <c r="F2463" s="27" t="str">
        <f aca="false">IF(A2463="","",A2463&amp;"|"&amp;B2463)</f>
        <v/>
      </c>
    </row>
    <row r="2464" customFormat="false" ht="15" hidden="false" customHeight="false" outlineLevel="0" collapsed="false">
      <c r="A2464" s="19"/>
      <c r="B2464" s="19"/>
      <c r="C2464" s="20"/>
      <c r="D2464" s="19"/>
      <c r="E2464" s="26" t="str">
        <f aca="false">IF(A2464="","",COUNTIFS(Apparitions!$A$2:$A$5001,A2464,Apparitions!$B$2:$B$5001,B2464))</f>
        <v/>
      </c>
      <c r="F2464" s="27" t="str">
        <f aca="false">IF(A2464="","",A2464&amp;"|"&amp;B2464)</f>
        <v/>
      </c>
    </row>
    <row r="2465" customFormat="false" ht="15" hidden="false" customHeight="false" outlineLevel="0" collapsed="false">
      <c r="A2465" s="19"/>
      <c r="B2465" s="19"/>
      <c r="C2465" s="20"/>
      <c r="D2465" s="19"/>
      <c r="E2465" s="26" t="str">
        <f aca="false">IF(A2465="","",COUNTIFS(Apparitions!$A$2:$A$5001,A2465,Apparitions!$B$2:$B$5001,B2465))</f>
        <v/>
      </c>
      <c r="F2465" s="27" t="str">
        <f aca="false">IF(A2465="","",A2465&amp;"|"&amp;B2465)</f>
        <v/>
      </c>
    </row>
    <row r="2466" customFormat="false" ht="15" hidden="false" customHeight="false" outlineLevel="0" collapsed="false">
      <c r="A2466" s="19"/>
      <c r="B2466" s="19"/>
      <c r="C2466" s="20"/>
      <c r="D2466" s="19"/>
      <c r="E2466" s="26" t="str">
        <f aca="false">IF(A2466="","",COUNTIFS(Apparitions!$A$2:$A$5001,A2466,Apparitions!$B$2:$B$5001,B2466))</f>
        <v/>
      </c>
      <c r="F2466" s="27" t="str">
        <f aca="false">IF(A2466="","",A2466&amp;"|"&amp;B2466)</f>
        <v/>
      </c>
    </row>
    <row r="2467" customFormat="false" ht="15" hidden="false" customHeight="false" outlineLevel="0" collapsed="false">
      <c r="A2467" s="19"/>
      <c r="B2467" s="19"/>
      <c r="C2467" s="20"/>
      <c r="D2467" s="19"/>
      <c r="E2467" s="26" t="str">
        <f aca="false">IF(A2467="","",COUNTIFS(Apparitions!$A$2:$A$5001,A2467,Apparitions!$B$2:$B$5001,B2467))</f>
        <v/>
      </c>
      <c r="F2467" s="27" t="str">
        <f aca="false">IF(A2467="","",A2467&amp;"|"&amp;B2467)</f>
        <v/>
      </c>
    </row>
    <row r="2468" customFormat="false" ht="15" hidden="false" customHeight="false" outlineLevel="0" collapsed="false">
      <c r="A2468" s="19"/>
      <c r="B2468" s="19"/>
      <c r="C2468" s="20"/>
      <c r="D2468" s="19"/>
      <c r="E2468" s="26" t="str">
        <f aca="false">IF(A2468="","",COUNTIFS(Apparitions!$A$2:$A$5001,A2468,Apparitions!$B$2:$B$5001,B2468))</f>
        <v/>
      </c>
      <c r="F2468" s="27" t="str">
        <f aca="false">IF(A2468="","",A2468&amp;"|"&amp;B2468)</f>
        <v/>
      </c>
    </row>
    <row r="2469" customFormat="false" ht="15" hidden="false" customHeight="false" outlineLevel="0" collapsed="false">
      <c r="A2469" s="19"/>
      <c r="B2469" s="19"/>
      <c r="C2469" s="20"/>
      <c r="D2469" s="19"/>
      <c r="E2469" s="26" t="str">
        <f aca="false">IF(A2469="","",COUNTIFS(Apparitions!$A$2:$A$5001,A2469,Apparitions!$B$2:$B$5001,B2469))</f>
        <v/>
      </c>
      <c r="F2469" s="27" t="str">
        <f aca="false">IF(A2469="","",A2469&amp;"|"&amp;B2469)</f>
        <v/>
      </c>
    </row>
    <row r="2470" customFormat="false" ht="15" hidden="false" customHeight="false" outlineLevel="0" collapsed="false">
      <c r="A2470" s="19"/>
      <c r="B2470" s="19"/>
      <c r="C2470" s="20"/>
      <c r="D2470" s="19"/>
      <c r="E2470" s="26" t="str">
        <f aca="false">IF(A2470="","",COUNTIFS(Apparitions!$A$2:$A$5001,A2470,Apparitions!$B$2:$B$5001,B2470))</f>
        <v/>
      </c>
      <c r="F2470" s="27" t="str">
        <f aca="false">IF(A2470="","",A2470&amp;"|"&amp;B2470)</f>
        <v/>
      </c>
    </row>
    <row r="2471" customFormat="false" ht="15" hidden="false" customHeight="false" outlineLevel="0" collapsed="false">
      <c r="A2471" s="19"/>
      <c r="B2471" s="19"/>
      <c r="C2471" s="20"/>
      <c r="D2471" s="19"/>
      <c r="E2471" s="26" t="str">
        <f aca="false">IF(A2471="","",COUNTIFS(Apparitions!$A$2:$A$5001,A2471,Apparitions!$B$2:$B$5001,B2471))</f>
        <v/>
      </c>
      <c r="F2471" s="27" t="str">
        <f aca="false">IF(A2471="","",A2471&amp;"|"&amp;B2471)</f>
        <v/>
      </c>
    </row>
    <row r="2472" customFormat="false" ht="15" hidden="false" customHeight="false" outlineLevel="0" collapsed="false">
      <c r="A2472" s="19"/>
      <c r="B2472" s="19"/>
      <c r="C2472" s="20"/>
      <c r="D2472" s="19"/>
      <c r="E2472" s="26" t="str">
        <f aca="false">IF(A2472="","",COUNTIFS(Apparitions!$A$2:$A$5001,A2472,Apparitions!$B$2:$B$5001,B2472))</f>
        <v/>
      </c>
      <c r="F2472" s="27" t="str">
        <f aca="false">IF(A2472="","",A2472&amp;"|"&amp;B2472)</f>
        <v/>
      </c>
    </row>
    <row r="2473" customFormat="false" ht="15" hidden="false" customHeight="false" outlineLevel="0" collapsed="false">
      <c r="A2473" s="19"/>
      <c r="B2473" s="19"/>
      <c r="C2473" s="20"/>
      <c r="D2473" s="19"/>
      <c r="E2473" s="26" t="str">
        <f aca="false">IF(A2473="","",COUNTIFS(Apparitions!$A$2:$A$5001,A2473,Apparitions!$B$2:$B$5001,B2473))</f>
        <v/>
      </c>
      <c r="F2473" s="27" t="str">
        <f aca="false">IF(A2473="","",A2473&amp;"|"&amp;B2473)</f>
        <v/>
      </c>
    </row>
    <row r="2474" customFormat="false" ht="15" hidden="false" customHeight="false" outlineLevel="0" collapsed="false">
      <c r="A2474" s="19"/>
      <c r="B2474" s="19"/>
      <c r="C2474" s="20"/>
      <c r="D2474" s="19"/>
      <c r="E2474" s="26" t="str">
        <f aca="false">IF(A2474="","",COUNTIFS(Apparitions!$A$2:$A$5001,A2474,Apparitions!$B$2:$B$5001,B2474))</f>
        <v/>
      </c>
      <c r="F2474" s="27" t="str">
        <f aca="false">IF(A2474="","",A2474&amp;"|"&amp;B2474)</f>
        <v/>
      </c>
    </row>
    <row r="2475" customFormat="false" ht="15" hidden="false" customHeight="false" outlineLevel="0" collapsed="false">
      <c r="A2475" s="19"/>
      <c r="B2475" s="19"/>
      <c r="C2475" s="20"/>
      <c r="D2475" s="19"/>
      <c r="E2475" s="26" t="str">
        <f aca="false">IF(A2475="","",COUNTIFS(Apparitions!$A$2:$A$5001,A2475,Apparitions!$B$2:$B$5001,B2475))</f>
        <v/>
      </c>
      <c r="F2475" s="27" t="str">
        <f aca="false">IF(A2475="","",A2475&amp;"|"&amp;B2475)</f>
        <v/>
      </c>
    </row>
    <row r="2476" customFormat="false" ht="15" hidden="false" customHeight="false" outlineLevel="0" collapsed="false">
      <c r="A2476" s="19"/>
      <c r="B2476" s="19"/>
      <c r="C2476" s="20"/>
      <c r="D2476" s="19"/>
      <c r="E2476" s="26" t="str">
        <f aca="false">IF(A2476="","",COUNTIFS(Apparitions!$A$2:$A$5001,A2476,Apparitions!$B$2:$B$5001,B2476))</f>
        <v/>
      </c>
      <c r="F2476" s="27" t="str">
        <f aca="false">IF(A2476="","",A2476&amp;"|"&amp;B2476)</f>
        <v/>
      </c>
    </row>
    <row r="2477" customFormat="false" ht="15" hidden="false" customHeight="false" outlineLevel="0" collapsed="false">
      <c r="A2477" s="19"/>
      <c r="B2477" s="19"/>
      <c r="C2477" s="20"/>
      <c r="D2477" s="19"/>
      <c r="E2477" s="26" t="str">
        <f aca="false">IF(A2477="","",COUNTIFS(Apparitions!$A$2:$A$5001,A2477,Apparitions!$B$2:$B$5001,B2477))</f>
        <v/>
      </c>
      <c r="F2477" s="27" t="str">
        <f aca="false">IF(A2477="","",A2477&amp;"|"&amp;B2477)</f>
        <v/>
      </c>
    </row>
    <row r="2478" customFormat="false" ht="15" hidden="false" customHeight="false" outlineLevel="0" collapsed="false">
      <c r="A2478" s="19"/>
      <c r="B2478" s="19"/>
      <c r="C2478" s="20"/>
      <c r="D2478" s="19"/>
      <c r="E2478" s="26" t="str">
        <f aca="false">IF(A2478="","",COUNTIFS(Apparitions!$A$2:$A$5001,A2478,Apparitions!$B$2:$B$5001,B2478))</f>
        <v/>
      </c>
      <c r="F2478" s="27" t="str">
        <f aca="false">IF(A2478="","",A2478&amp;"|"&amp;B2478)</f>
        <v/>
      </c>
    </row>
    <row r="2479" customFormat="false" ht="15" hidden="false" customHeight="false" outlineLevel="0" collapsed="false">
      <c r="A2479" s="19"/>
      <c r="B2479" s="19"/>
      <c r="C2479" s="20"/>
      <c r="D2479" s="19"/>
      <c r="E2479" s="26" t="str">
        <f aca="false">IF(A2479="","",COUNTIFS(Apparitions!$A$2:$A$5001,A2479,Apparitions!$B$2:$B$5001,B2479))</f>
        <v/>
      </c>
      <c r="F2479" s="27" t="str">
        <f aca="false">IF(A2479="","",A2479&amp;"|"&amp;B2479)</f>
        <v/>
      </c>
    </row>
    <row r="2480" customFormat="false" ht="15" hidden="false" customHeight="false" outlineLevel="0" collapsed="false">
      <c r="A2480" s="19"/>
      <c r="B2480" s="19"/>
      <c r="C2480" s="20"/>
      <c r="D2480" s="19"/>
      <c r="E2480" s="26" t="str">
        <f aca="false">IF(A2480="","",COUNTIFS(Apparitions!$A$2:$A$5001,A2480,Apparitions!$B$2:$B$5001,B2480))</f>
        <v/>
      </c>
      <c r="F2480" s="27" t="str">
        <f aca="false">IF(A2480="","",A2480&amp;"|"&amp;B2480)</f>
        <v/>
      </c>
    </row>
    <row r="2481" customFormat="false" ht="15" hidden="false" customHeight="false" outlineLevel="0" collapsed="false">
      <c r="A2481" s="19"/>
      <c r="B2481" s="19"/>
      <c r="C2481" s="20"/>
      <c r="D2481" s="19"/>
      <c r="E2481" s="26" t="str">
        <f aca="false">IF(A2481="","",COUNTIFS(Apparitions!$A$2:$A$5001,A2481,Apparitions!$B$2:$B$5001,B2481))</f>
        <v/>
      </c>
      <c r="F2481" s="27" t="str">
        <f aca="false">IF(A2481="","",A2481&amp;"|"&amp;B2481)</f>
        <v/>
      </c>
    </row>
    <row r="2482" customFormat="false" ht="15" hidden="false" customHeight="false" outlineLevel="0" collapsed="false">
      <c r="A2482" s="19"/>
      <c r="B2482" s="19"/>
      <c r="C2482" s="20"/>
      <c r="D2482" s="19"/>
      <c r="E2482" s="26" t="str">
        <f aca="false">IF(A2482="","",COUNTIFS(Apparitions!$A$2:$A$5001,A2482,Apparitions!$B$2:$B$5001,B2482))</f>
        <v/>
      </c>
      <c r="F2482" s="27" t="str">
        <f aca="false">IF(A2482="","",A2482&amp;"|"&amp;B2482)</f>
        <v/>
      </c>
    </row>
    <row r="2483" customFormat="false" ht="15" hidden="false" customHeight="false" outlineLevel="0" collapsed="false">
      <c r="A2483" s="19"/>
      <c r="B2483" s="19"/>
      <c r="C2483" s="20"/>
      <c r="D2483" s="19"/>
      <c r="E2483" s="26" t="str">
        <f aca="false">IF(A2483="","",COUNTIFS(Apparitions!$A$2:$A$5001,A2483,Apparitions!$B$2:$B$5001,B2483))</f>
        <v/>
      </c>
      <c r="F2483" s="27" t="str">
        <f aca="false">IF(A2483="","",A2483&amp;"|"&amp;B2483)</f>
        <v/>
      </c>
    </row>
    <row r="2484" customFormat="false" ht="15" hidden="false" customHeight="false" outlineLevel="0" collapsed="false">
      <c r="A2484" s="19"/>
      <c r="B2484" s="19"/>
      <c r="C2484" s="20"/>
      <c r="D2484" s="19"/>
      <c r="E2484" s="26" t="str">
        <f aca="false">IF(A2484="","",COUNTIFS(Apparitions!$A$2:$A$5001,A2484,Apparitions!$B$2:$B$5001,B2484))</f>
        <v/>
      </c>
      <c r="F2484" s="27" t="str">
        <f aca="false">IF(A2484="","",A2484&amp;"|"&amp;B2484)</f>
        <v/>
      </c>
    </row>
    <row r="2485" customFormat="false" ht="15" hidden="false" customHeight="false" outlineLevel="0" collapsed="false">
      <c r="A2485" s="19"/>
      <c r="B2485" s="19"/>
      <c r="C2485" s="20"/>
      <c r="D2485" s="19"/>
      <c r="E2485" s="26" t="str">
        <f aca="false">IF(A2485="","",COUNTIFS(Apparitions!$A$2:$A$5001,A2485,Apparitions!$B$2:$B$5001,B2485))</f>
        <v/>
      </c>
      <c r="F2485" s="27" t="str">
        <f aca="false">IF(A2485="","",A2485&amp;"|"&amp;B2485)</f>
        <v/>
      </c>
    </row>
    <row r="2486" customFormat="false" ht="15" hidden="false" customHeight="false" outlineLevel="0" collapsed="false">
      <c r="A2486" s="19"/>
      <c r="B2486" s="19"/>
      <c r="C2486" s="20"/>
      <c r="D2486" s="19"/>
      <c r="E2486" s="26" t="str">
        <f aca="false">IF(A2486="","",COUNTIFS(Apparitions!$A$2:$A$5001,A2486,Apparitions!$B$2:$B$5001,B2486))</f>
        <v/>
      </c>
      <c r="F2486" s="27" t="str">
        <f aca="false">IF(A2486="","",A2486&amp;"|"&amp;B2486)</f>
        <v/>
      </c>
    </row>
    <row r="2487" customFormat="false" ht="15" hidden="false" customHeight="false" outlineLevel="0" collapsed="false">
      <c r="A2487" s="19"/>
      <c r="B2487" s="19"/>
      <c r="C2487" s="20"/>
      <c r="D2487" s="19"/>
      <c r="E2487" s="26" t="str">
        <f aca="false">IF(A2487="","",COUNTIFS(Apparitions!$A$2:$A$5001,A2487,Apparitions!$B$2:$B$5001,B2487))</f>
        <v/>
      </c>
      <c r="F2487" s="27" t="str">
        <f aca="false">IF(A2487="","",A2487&amp;"|"&amp;B2487)</f>
        <v/>
      </c>
    </row>
    <row r="2488" customFormat="false" ht="15" hidden="false" customHeight="false" outlineLevel="0" collapsed="false">
      <c r="A2488" s="19"/>
      <c r="B2488" s="19"/>
      <c r="C2488" s="20"/>
      <c r="D2488" s="19"/>
      <c r="E2488" s="26" t="str">
        <f aca="false">IF(A2488="","",COUNTIFS(Apparitions!$A$2:$A$5001,A2488,Apparitions!$B$2:$B$5001,B2488))</f>
        <v/>
      </c>
      <c r="F2488" s="27" t="str">
        <f aca="false">IF(A2488="","",A2488&amp;"|"&amp;B2488)</f>
        <v/>
      </c>
    </row>
    <row r="2489" customFormat="false" ht="15" hidden="false" customHeight="false" outlineLevel="0" collapsed="false">
      <c r="A2489" s="19"/>
      <c r="B2489" s="19"/>
      <c r="C2489" s="20"/>
      <c r="D2489" s="19"/>
      <c r="E2489" s="26" t="str">
        <f aca="false">IF(A2489="","",COUNTIFS(Apparitions!$A$2:$A$5001,A2489,Apparitions!$B$2:$B$5001,B2489))</f>
        <v/>
      </c>
      <c r="F2489" s="27" t="str">
        <f aca="false">IF(A2489="","",A2489&amp;"|"&amp;B2489)</f>
        <v/>
      </c>
    </row>
    <row r="2490" customFormat="false" ht="15" hidden="false" customHeight="false" outlineLevel="0" collapsed="false">
      <c r="A2490" s="19"/>
      <c r="B2490" s="19"/>
      <c r="C2490" s="20"/>
      <c r="D2490" s="19"/>
      <c r="E2490" s="26" t="str">
        <f aca="false">IF(A2490="","",COUNTIFS(Apparitions!$A$2:$A$5001,A2490,Apparitions!$B$2:$B$5001,B2490))</f>
        <v/>
      </c>
      <c r="F2490" s="27" t="str">
        <f aca="false">IF(A2490="","",A2490&amp;"|"&amp;B2490)</f>
        <v/>
      </c>
    </row>
    <row r="2491" customFormat="false" ht="15" hidden="false" customHeight="false" outlineLevel="0" collapsed="false">
      <c r="A2491" s="19"/>
      <c r="B2491" s="19"/>
      <c r="C2491" s="20"/>
      <c r="D2491" s="19"/>
      <c r="E2491" s="26" t="str">
        <f aca="false">IF(A2491="","",COUNTIFS(Apparitions!$A$2:$A$5001,A2491,Apparitions!$B$2:$B$5001,B2491))</f>
        <v/>
      </c>
      <c r="F2491" s="27" t="str">
        <f aca="false">IF(A2491="","",A2491&amp;"|"&amp;B2491)</f>
        <v/>
      </c>
    </row>
    <row r="2492" customFormat="false" ht="15" hidden="false" customHeight="false" outlineLevel="0" collapsed="false">
      <c r="A2492" s="19"/>
      <c r="B2492" s="19"/>
      <c r="C2492" s="20"/>
      <c r="D2492" s="19"/>
      <c r="E2492" s="26" t="str">
        <f aca="false">IF(A2492="","",COUNTIFS(Apparitions!$A$2:$A$5001,A2492,Apparitions!$B$2:$B$5001,B2492))</f>
        <v/>
      </c>
      <c r="F2492" s="27" t="str">
        <f aca="false">IF(A2492="","",A2492&amp;"|"&amp;B2492)</f>
        <v/>
      </c>
    </row>
    <row r="2493" customFormat="false" ht="15" hidden="false" customHeight="false" outlineLevel="0" collapsed="false">
      <c r="A2493" s="19"/>
      <c r="B2493" s="19"/>
      <c r="C2493" s="20"/>
      <c r="D2493" s="19"/>
      <c r="E2493" s="26" t="str">
        <f aca="false">IF(A2493="","",COUNTIFS(Apparitions!$A$2:$A$5001,A2493,Apparitions!$B$2:$B$5001,B2493))</f>
        <v/>
      </c>
      <c r="F2493" s="27" t="str">
        <f aca="false">IF(A2493="","",A2493&amp;"|"&amp;B2493)</f>
        <v/>
      </c>
    </row>
    <row r="2494" customFormat="false" ht="15" hidden="false" customHeight="false" outlineLevel="0" collapsed="false">
      <c r="A2494" s="19"/>
      <c r="B2494" s="19"/>
      <c r="C2494" s="20"/>
      <c r="D2494" s="19"/>
      <c r="E2494" s="26" t="str">
        <f aca="false">IF(A2494="","",COUNTIFS(Apparitions!$A$2:$A$5001,A2494,Apparitions!$B$2:$B$5001,B2494))</f>
        <v/>
      </c>
      <c r="F2494" s="27" t="str">
        <f aca="false">IF(A2494="","",A2494&amp;"|"&amp;B2494)</f>
        <v/>
      </c>
    </row>
    <row r="2495" customFormat="false" ht="15" hidden="false" customHeight="false" outlineLevel="0" collapsed="false">
      <c r="A2495" s="19"/>
      <c r="B2495" s="19"/>
      <c r="C2495" s="20"/>
      <c r="D2495" s="19"/>
      <c r="E2495" s="26" t="str">
        <f aca="false">IF(A2495="","",COUNTIFS(Apparitions!$A$2:$A$5001,A2495,Apparitions!$B$2:$B$5001,B2495))</f>
        <v/>
      </c>
      <c r="F2495" s="27" t="str">
        <f aca="false">IF(A2495="","",A2495&amp;"|"&amp;B2495)</f>
        <v/>
      </c>
    </row>
    <row r="2496" customFormat="false" ht="15" hidden="false" customHeight="false" outlineLevel="0" collapsed="false">
      <c r="A2496" s="19"/>
      <c r="B2496" s="19"/>
      <c r="C2496" s="20"/>
      <c r="D2496" s="19"/>
      <c r="E2496" s="26" t="str">
        <f aca="false">IF(A2496="","",COUNTIFS(Apparitions!$A$2:$A$5001,A2496,Apparitions!$B$2:$B$5001,B2496))</f>
        <v/>
      </c>
      <c r="F2496" s="27" t="str">
        <f aca="false">IF(A2496="","",A2496&amp;"|"&amp;B2496)</f>
        <v/>
      </c>
    </row>
    <row r="2497" customFormat="false" ht="15" hidden="false" customHeight="false" outlineLevel="0" collapsed="false">
      <c r="A2497" s="19"/>
      <c r="B2497" s="19"/>
      <c r="C2497" s="20"/>
      <c r="D2497" s="19"/>
      <c r="E2497" s="26" t="str">
        <f aca="false">IF(A2497="","",COUNTIFS(Apparitions!$A$2:$A$5001,A2497,Apparitions!$B$2:$B$5001,B2497))</f>
        <v/>
      </c>
      <c r="F2497" s="27" t="str">
        <f aca="false">IF(A2497="","",A2497&amp;"|"&amp;B2497)</f>
        <v/>
      </c>
    </row>
    <row r="2498" customFormat="false" ht="15" hidden="false" customHeight="false" outlineLevel="0" collapsed="false">
      <c r="A2498" s="19"/>
      <c r="B2498" s="19"/>
      <c r="C2498" s="20"/>
      <c r="D2498" s="19"/>
      <c r="E2498" s="26" t="str">
        <f aca="false">IF(A2498="","",COUNTIFS(Apparitions!$A$2:$A$5001,A2498,Apparitions!$B$2:$B$5001,B2498))</f>
        <v/>
      </c>
      <c r="F2498" s="27" t="str">
        <f aca="false">IF(A2498="","",A2498&amp;"|"&amp;B2498)</f>
        <v/>
      </c>
    </row>
    <row r="2499" customFormat="false" ht="15" hidden="false" customHeight="false" outlineLevel="0" collapsed="false">
      <c r="A2499" s="19"/>
      <c r="B2499" s="19"/>
      <c r="C2499" s="20"/>
      <c r="D2499" s="19"/>
      <c r="E2499" s="26" t="str">
        <f aca="false">IF(A2499="","",COUNTIFS(Apparitions!$A$2:$A$5001,A2499,Apparitions!$B$2:$B$5001,B2499))</f>
        <v/>
      </c>
      <c r="F2499" s="27" t="str">
        <f aca="false">IF(A2499="","",A2499&amp;"|"&amp;B2499)</f>
        <v/>
      </c>
    </row>
    <row r="2500" customFormat="false" ht="15" hidden="false" customHeight="false" outlineLevel="0" collapsed="false">
      <c r="A2500" s="19"/>
      <c r="B2500" s="19"/>
      <c r="C2500" s="20"/>
      <c r="D2500" s="19"/>
      <c r="E2500" s="26" t="str">
        <f aca="false">IF(A2500="","",COUNTIFS(Apparitions!$A$2:$A$5001,A2500,Apparitions!$B$2:$B$5001,B2500))</f>
        <v/>
      </c>
      <c r="F2500" s="27" t="str">
        <f aca="false">IF(A2500="","",A2500&amp;"|"&amp;B2500)</f>
        <v/>
      </c>
    </row>
    <row r="2501" customFormat="false" ht="15" hidden="false" customHeight="false" outlineLevel="0" collapsed="false">
      <c r="A2501" s="19"/>
      <c r="B2501" s="19"/>
      <c r="C2501" s="20"/>
      <c r="D2501" s="19"/>
      <c r="E2501" s="26" t="str">
        <f aca="false">IF(A2501="","",COUNTIFS(Apparitions!$A$2:$A$5001,A2501,Apparitions!$B$2:$B$5001,B2501))</f>
        <v/>
      </c>
      <c r="F2501" s="27" t="str">
        <f aca="false">IF(A2501="","",A2501&amp;"|"&amp;B2501)</f>
        <v/>
      </c>
    </row>
    <row r="2502" customFormat="false" ht="15" hidden="false" customHeight="false" outlineLevel="0" collapsed="false">
      <c r="A2502" s="19"/>
      <c r="B2502" s="19"/>
      <c r="C2502" s="20"/>
      <c r="D2502" s="19"/>
      <c r="E2502" s="26" t="str">
        <f aca="false">IF(A2502="","",COUNTIFS(Apparitions!$A$2:$A$5001,A2502,Apparitions!$B$2:$B$5001,B2502))</f>
        <v/>
      </c>
      <c r="F2502" s="27" t="str">
        <f aca="false">IF(A2502="","",A2502&amp;"|"&amp;B2502)</f>
        <v/>
      </c>
    </row>
    <row r="2503" customFormat="false" ht="15" hidden="false" customHeight="false" outlineLevel="0" collapsed="false">
      <c r="A2503" s="19"/>
      <c r="B2503" s="19"/>
      <c r="C2503" s="20"/>
      <c r="D2503" s="19"/>
      <c r="E2503" s="26" t="str">
        <f aca="false">IF(A2503="","",COUNTIFS(Apparitions!$A$2:$A$5001,A2503,Apparitions!$B$2:$B$5001,B2503))</f>
        <v/>
      </c>
      <c r="F2503" s="27" t="str">
        <f aca="false">IF(A2503="","",A2503&amp;"|"&amp;B2503)</f>
        <v/>
      </c>
    </row>
    <row r="2504" customFormat="false" ht="15" hidden="false" customHeight="false" outlineLevel="0" collapsed="false">
      <c r="A2504" s="19"/>
      <c r="B2504" s="19"/>
      <c r="C2504" s="20"/>
      <c r="D2504" s="19"/>
      <c r="E2504" s="26" t="str">
        <f aca="false">IF(A2504="","",COUNTIFS(Apparitions!$A$2:$A$5001,A2504,Apparitions!$B$2:$B$5001,B2504))</f>
        <v/>
      </c>
      <c r="F2504" s="27" t="str">
        <f aca="false">IF(A2504="","",A2504&amp;"|"&amp;B2504)</f>
        <v/>
      </c>
    </row>
    <row r="2505" customFormat="false" ht="15" hidden="false" customHeight="false" outlineLevel="0" collapsed="false">
      <c r="A2505" s="19"/>
      <c r="B2505" s="19"/>
      <c r="C2505" s="20"/>
      <c r="D2505" s="19"/>
      <c r="E2505" s="26" t="str">
        <f aca="false">IF(A2505="","",COUNTIFS(Apparitions!$A$2:$A$5001,A2505,Apparitions!$B$2:$B$5001,B2505))</f>
        <v/>
      </c>
      <c r="F2505" s="27" t="str">
        <f aca="false">IF(A2505="","",A2505&amp;"|"&amp;B2505)</f>
        <v/>
      </c>
    </row>
    <row r="2506" customFormat="false" ht="15" hidden="false" customHeight="false" outlineLevel="0" collapsed="false">
      <c r="A2506" s="19"/>
      <c r="B2506" s="19"/>
      <c r="C2506" s="20"/>
      <c r="D2506" s="19"/>
      <c r="E2506" s="26" t="str">
        <f aca="false">IF(A2506="","",COUNTIFS(Apparitions!$A$2:$A$5001,A2506,Apparitions!$B$2:$B$5001,B2506))</f>
        <v/>
      </c>
      <c r="F2506" s="27" t="str">
        <f aca="false">IF(A2506="","",A2506&amp;"|"&amp;B2506)</f>
        <v/>
      </c>
    </row>
    <row r="2507" customFormat="false" ht="15" hidden="false" customHeight="false" outlineLevel="0" collapsed="false">
      <c r="A2507" s="19"/>
      <c r="B2507" s="19"/>
      <c r="C2507" s="20"/>
      <c r="D2507" s="19"/>
      <c r="E2507" s="26" t="str">
        <f aca="false">IF(A2507="","",COUNTIFS(Apparitions!$A$2:$A$5001,A2507,Apparitions!$B$2:$B$5001,B2507))</f>
        <v/>
      </c>
      <c r="F2507" s="27" t="str">
        <f aca="false">IF(A2507="","",A2507&amp;"|"&amp;B2507)</f>
        <v/>
      </c>
    </row>
    <row r="2508" customFormat="false" ht="15" hidden="false" customHeight="false" outlineLevel="0" collapsed="false">
      <c r="A2508" s="19"/>
      <c r="B2508" s="19"/>
      <c r="C2508" s="20"/>
      <c r="D2508" s="19"/>
      <c r="E2508" s="26" t="str">
        <f aca="false">IF(A2508="","",COUNTIFS(Apparitions!$A$2:$A$5001,A2508,Apparitions!$B$2:$B$5001,B2508))</f>
        <v/>
      </c>
      <c r="F2508" s="27" t="str">
        <f aca="false">IF(A2508="","",A2508&amp;"|"&amp;B2508)</f>
        <v/>
      </c>
    </row>
    <row r="2509" customFormat="false" ht="15" hidden="false" customHeight="false" outlineLevel="0" collapsed="false">
      <c r="A2509" s="19"/>
      <c r="B2509" s="19"/>
      <c r="C2509" s="20"/>
      <c r="D2509" s="19"/>
      <c r="E2509" s="26" t="str">
        <f aca="false">IF(A2509="","",COUNTIFS(Apparitions!$A$2:$A$5001,A2509,Apparitions!$B$2:$B$5001,B2509))</f>
        <v/>
      </c>
      <c r="F2509" s="27" t="str">
        <f aca="false">IF(A2509="","",A2509&amp;"|"&amp;B2509)</f>
        <v/>
      </c>
    </row>
    <row r="2510" customFormat="false" ht="15" hidden="false" customHeight="false" outlineLevel="0" collapsed="false">
      <c r="A2510" s="19"/>
      <c r="B2510" s="19"/>
      <c r="C2510" s="20"/>
      <c r="D2510" s="19"/>
      <c r="E2510" s="26" t="str">
        <f aca="false">IF(A2510="","",COUNTIFS(Apparitions!$A$2:$A$5001,A2510,Apparitions!$B$2:$B$5001,B2510))</f>
        <v/>
      </c>
      <c r="F2510" s="27" t="str">
        <f aca="false">IF(A2510="","",A2510&amp;"|"&amp;B2510)</f>
        <v/>
      </c>
    </row>
    <row r="2511" customFormat="false" ht="15" hidden="false" customHeight="false" outlineLevel="0" collapsed="false">
      <c r="A2511" s="19"/>
      <c r="B2511" s="19"/>
      <c r="C2511" s="20"/>
      <c r="D2511" s="19"/>
      <c r="E2511" s="26" t="str">
        <f aca="false">IF(A2511="","",COUNTIFS(Apparitions!$A$2:$A$5001,A2511,Apparitions!$B$2:$B$5001,B2511))</f>
        <v/>
      </c>
      <c r="F2511" s="27" t="str">
        <f aca="false">IF(A2511="","",A2511&amp;"|"&amp;B2511)</f>
        <v/>
      </c>
    </row>
    <row r="2512" customFormat="false" ht="15" hidden="false" customHeight="false" outlineLevel="0" collapsed="false">
      <c r="A2512" s="19"/>
      <c r="B2512" s="19"/>
      <c r="C2512" s="20"/>
      <c r="D2512" s="19"/>
      <c r="E2512" s="26" t="str">
        <f aca="false">IF(A2512="","",COUNTIFS(Apparitions!$A$2:$A$5001,A2512,Apparitions!$B$2:$B$5001,B2512))</f>
        <v/>
      </c>
      <c r="F2512" s="27" t="str">
        <f aca="false">IF(A2512="","",A2512&amp;"|"&amp;B2512)</f>
        <v/>
      </c>
    </row>
    <row r="2513" customFormat="false" ht="15" hidden="false" customHeight="false" outlineLevel="0" collapsed="false">
      <c r="A2513" s="19"/>
      <c r="B2513" s="19"/>
      <c r="C2513" s="20"/>
      <c r="D2513" s="19"/>
      <c r="E2513" s="26" t="str">
        <f aca="false">IF(A2513="","",COUNTIFS(Apparitions!$A$2:$A$5001,A2513,Apparitions!$B$2:$B$5001,B2513))</f>
        <v/>
      </c>
      <c r="F2513" s="27" t="str">
        <f aca="false">IF(A2513="","",A2513&amp;"|"&amp;B2513)</f>
        <v/>
      </c>
    </row>
    <row r="2514" customFormat="false" ht="15" hidden="false" customHeight="false" outlineLevel="0" collapsed="false">
      <c r="A2514" s="19"/>
      <c r="B2514" s="19"/>
      <c r="C2514" s="20"/>
      <c r="D2514" s="19"/>
      <c r="E2514" s="26" t="str">
        <f aca="false">IF(A2514="","",COUNTIFS(Apparitions!$A$2:$A$5001,A2514,Apparitions!$B$2:$B$5001,B2514))</f>
        <v/>
      </c>
      <c r="F2514" s="27" t="str">
        <f aca="false">IF(A2514="","",A2514&amp;"|"&amp;B2514)</f>
        <v/>
      </c>
    </row>
    <row r="2515" customFormat="false" ht="15" hidden="false" customHeight="false" outlineLevel="0" collapsed="false">
      <c r="A2515" s="19"/>
      <c r="B2515" s="19"/>
      <c r="C2515" s="20"/>
      <c r="D2515" s="19"/>
      <c r="E2515" s="26" t="str">
        <f aca="false">IF(A2515="","",COUNTIFS(Apparitions!$A$2:$A$5001,A2515,Apparitions!$B$2:$B$5001,B2515))</f>
        <v/>
      </c>
      <c r="F2515" s="27" t="str">
        <f aca="false">IF(A2515="","",A2515&amp;"|"&amp;B2515)</f>
        <v/>
      </c>
    </row>
    <row r="2516" customFormat="false" ht="15" hidden="false" customHeight="false" outlineLevel="0" collapsed="false">
      <c r="A2516" s="19"/>
      <c r="B2516" s="19"/>
      <c r="C2516" s="20"/>
      <c r="D2516" s="19"/>
      <c r="E2516" s="26" t="str">
        <f aca="false">IF(A2516="","",COUNTIFS(Apparitions!$A$2:$A$5001,A2516,Apparitions!$B$2:$B$5001,B2516))</f>
        <v/>
      </c>
      <c r="F2516" s="27" t="str">
        <f aca="false">IF(A2516="","",A2516&amp;"|"&amp;B2516)</f>
        <v/>
      </c>
    </row>
    <row r="2517" customFormat="false" ht="15" hidden="false" customHeight="false" outlineLevel="0" collapsed="false">
      <c r="A2517" s="19"/>
      <c r="B2517" s="19"/>
      <c r="C2517" s="20"/>
      <c r="D2517" s="19"/>
      <c r="E2517" s="26" t="str">
        <f aca="false">IF(A2517="","",COUNTIFS(Apparitions!$A$2:$A$5001,A2517,Apparitions!$B$2:$B$5001,B2517))</f>
        <v/>
      </c>
      <c r="F2517" s="27" t="str">
        <f aca="false">IF(A2517="","",A2517&amp;"|"&amp;B2517)</f>
        <v/>
      </c>
    </row>
    <row r="2518" customFormat="false" ht="15" hidden="false" customHeight="false" outlineLevel="0" collapsed="false">
      <c r="A2518" s="19"/>
      <c r="B2518" s="19"/>
      <c r="C2518" s="20"/>
      <c r="D2518" s="19"/>
      <c r="E2518" s="26" t="str">
        <f aca="false">IF(A2518="","",COUNTIFS(Apparitions!$A$2:$A$5001,A2518,Apparitions!$B$2:$B$5001,B2518))</f>
        <v/>
      </c>
      <c r="F2518" s="27" t="str">
        <f aca="false">IF(A2518="","",A2518&amp;"|"&amp;B2518)</f>
        <v/>
      </c>
    </row>
    <row r="2519" customFormat="false" ht="15" hidden="false" customHeight="false" outlineLevel="0" collapsed="false">
      <c r="A2519" s="19"/>
      <c r="B2519" s="19"/>
      <c r="C2519" s="20"/>
      <c r="D2519" s="19"/>
      <c r="E2519" s="26" t="str">
        <f aca="false">IF(A2519="","",COUNTIFS(Apparitions!$A$2:$A$5001,A2519,Apparitions!$B$2:$B$5001,B2519))</f>
        <v/>
      </c>
      <c r="F2519" s="27" t="str">
        <f aca="false">IF(A2519="","",A2519&amp;"|"&amp;B2519)</f>
        <v/>
      </c>
    </row>
    <row r="2520" customFormat="false" ht="15" hidden="false" customHeight="false" outlineLevel="0" collapsed="false">
      <c r="A2520" s="19"/>
      <c r="B2520" s="19"/>
      <c r="C2520" s="20"/>
      <c r="D2520" s="19"/>
      <c r="E2520" s="26" t="str">
        <f aca="false">IF(A2520="","",COUNTIFS(Apparitions!$A$2:$A$5001,A2520,Apparitions!$B$2:$B$5001,B2520))</f>
        <v/>
      </c>
      <c r="F2520" s="27" t="str">
        <f aca="false">IF(A2520="","",A2520&amp;"|"&amp;B2520)</f>
        <v/>
      </c>
    </row>
    <row r="2521" customFormat="false" ht="15" hidden="false" customHeight="false" outlineLevel="0" collapsed="false">
      <c r="A2521" s="19"/>
      <c r="B2521" s="19"/>
      <c r="C2521" s="20"/>
      <c r="D2521" s="19"/>
      <c r="E2521" s="26" t="str">
        <f aca="false">IF(A2521="","",COUNTIFS(Apparitions!$A$2:$A$5001,A2521,Apparitions!$B$2:$B$5001,B2521))</f>
        <v/>
      </c>
      <c r="F2521" s="27" t="str">
        <f aca="false">IF(A2521="","",A2521&amp;"|"&amp;B2521)</f>
        <v/>
      </c>
    </row>
    <row r="2522" customFormat="false" ht="15" hidden="false" customHeight="false" outlineLevel="0" collapsed="false">
      <c r="A2522" s="19"/>
      <c r="B2522" s="19"/>
      <c r="C2522" s="20"/>
      <c r="D2522" s="19"/>
      <c r="E2522" s="26" t="str">
        <f aca="false">IF(A2522="","",COUNTIFS(Apparitions!$A$2:$A$5001,A2522,Apparitions!$B$2:$B$5001,B2522))</f>
        <v/>
      </c>
      <c r="F2522" s="27" t="str">
        <f aca="false">IF(A2522="","",A2522&amp;"|"&amp;B2522)</f>
        <v/>
      </c>
    </row>
    <row r="2523" customFormat="false" ht="15" hidden="false" customHeight="false" outlineLevel="0" collapsed="false">
      <c r="A2523" s="19"/>
      <c r="B2523" s="19"/>
      <c r="C2523" s="20"/>
      <c r="D2523" s="19"/>
      <c r="E2523" s="26" t="str">
        <f aca="false">IF(A2523="","",COUNTIFS(Apparitions!$A$2:$A$5001,A2523,Apparitions!$B$2:$B$5001,B2523))</f>
        <v/>
      </c>
      <c r="F2523" s="27" t="str">
        <f aca="false">IF(A2523="","",A2523&amp;"|"&amp;B2523)</f>
        <v/>
      </c>
    </row>
    <row r="2524" customFormat="false" ht="15" hidden="false" customHeight="false" outlineLevel="0" collapsed="false">
      <c r="A2524" s="19"/>
      <c r="B2524" s="19"/>
      <c r="C2524" s="20"/>
      <c r="D2524" s="19"/>
      <c r="E2524" s="26" t="str">
        <f aca="false">IF(A2524="","",COUNTIFS(Apparitions!$A$2:$A$5001,A2524,Apparitions!$B$2:$B$5001,B2524))</f>
        <v/>
      </c>
      <c r="F2524" s="27" t="str">
        <f aca="false">IF(A2524="","",A2524&amp;"|"&amp;B2524)</f>
        <v/>
      </c>
    </row>
    <row r="2525" customFormat="false" ht="15" hidden="false" customHeight="false" outlineLevel="0" collapsed="false">
      <c r="A2525" s="19"/>
      <c r="B2525" s="19"/>
      <c r="C2525" s="20"/>
      <c r="D2525" s="19"/>
      <c r="E2525" s="26" t="str">
        <f aca="false">IF(A2525="","",COUNTIFS(Apparitions!$A$2:$A$5001,A2525,Apparitions!$B$2:$B$5001,B2525))</f>
        <v/>
      </c>
      <c r="F2525" s="27" t="str">
        <f aca="false">IF(A2525="","",A2525&amp;"|"&amp;B2525)</f>
        <v/>
      </c>
    </row>
    <row r="2526" customFormat="false" ht="15" hidden="false" customHeight="false" outlineLevel="0" collapsed="false">
      <c r="A2526" s="19"/>
      <c r="B2526" s="19"/>
      <c r="C2526" s="20"/>
      <c r="D2526" s="19"/>
      <c r="E2526" s="26" t="str">
        <f aca="false">IF(A2526="","",COUNTIFS(Apparitions!$A$2:$A$5001,A2526,Apparitions!$B$2:$B$5001,B2526))</f>
        <v/>
      </c>
      <c r="F2526" s="27" t="str">
        <f aca="false">IF(A2526="","",A2526&amp;"|"&amp;B2526)</f>
        <v/>
      </c>
    </row>
    <row r="2527" customFormat="false" ht="15" hidden="false" customHeight="false" outlineLevel="0" collapsed="false">
      <c r="A2527" s="19"/>
      <c r="B2527" s="19"/>
      <c r="C2527" s="20"/>
      <c r="D2527" s="19"/>
      <c r="E2527" s="26" t="str">
        <f aca="false">IF(A2527="","",COUNTIFS(Apparitions!$A$2:$A$5001,A2527,Apparitions!$B$2:$B$5001,B2527))</f>
        <v/>
      </c>
      <c r="F2527" s="27" t="str">
        <f aca="false">IF(A2527="","",A2527&amp;"|"&amp;B2527)</f>
        <v/>
      </c>
    </row>
    <row r="2528" customFormat="false" ht="15" hidden="false" customHeight="false" outlineLevel="0" collapsed="false">
      <c r="A2528" s="19"/>
      <c r="B2528" s="19"/>
      <c r="C2528" s="20"/>
      <c r="D2528" s="19"/>
      <c r="E2528" s="26" t="str">
        <f aca="false">IF(A2528="","",COUNTIFS(Apparitions!$A$2:$A$5001,A2528,Apparitions!$B$2:$B$5001,B2528))</f>
        <v/>
      </c>
      <c r="F2528" s="27" t="str">
        <f aca="false">IF(A2528="","",A2528&amp;"|"&amp;B2528)</f>
        <v/>
      </c>
    </row>
    <row r="2529" customFormat="false" ht="15" hidden="false" customHeight="false" outlineLevel="0" collapsed="false">
      <c r="A2529" s="19"/>
      <c r="B2529" s="19"/>
      <c r="C2529" s="20"/>
      <c r="D2529" s="19"/>
      <c r="E2529" s="26" t="str">
        <f aca="false">IF(A2529="","",COUNTIFS(Apparitions!$A$2:$A$5001,A2529,Apparitions!$B$2:$B$5001,B2529))</f>
        <v/>
      </c>
      <c r="F2529" s="27" t="str">
        <f aca="false">IF(A2529="","",A2529&amp;"|"&amp;B2529)</f>
        <v/>
      </c>
    </row>
    <row r="2530" customFormat="false" ht="15" hidden="false" customHeight="false" outlineLevel="0" collapsed="false">
      <c r="A2530" s="19"/>
      <c r="B2530" s="19"/>
      <c r="C2530" s="20"/>
      <c r="D2530" s="19"/>
      <c r="E2530" s="26" t="str">
        <f aca="false">IF(A2530="","",COUNTIFS(Apparitions!$A$2:$A$5001,A2530,Apparitions!$B$2:$B$5001,B2530))</f>
        <v/>
      </c>
      <c r="F2530" s="27" t="str">
        <f aca="false">IF(A2530="","",A2530&amp;"|"&amp;B2530)</f>
        <v/>
      </c>
    </row>
    <row r="2531" customFormat="false" ht="15" hidden="false" customHeight="false" outlineLevel="0" collapsed="false">
      <c r="A2531" s="19"/>
      <c r="B2531" s="19"/>
      <c r="C2531" s="20"/>
      <c r="D2531" s="19"/>
      <c r="E2531" s="26" t="str">
        <f aca="false">IF(A2531="","",COUNTIFS(Apparitions!$A$2:$A$5001,A2531,Apparitions!$B$2:$B$5001,B2531))</f>
        <v/>
      </c>
      <c r="F2531" s="27" t="str">
        <f aca="false">IF(A2531="","",A2531&amp;"|"&amp;B2531)</f>
        <v/>
      </c>
    </row>
    <row r="2532" customFormat="false" ht="15" hidden="false" customHeight="false" outlineLevel="0" collapsed="false">
      <c r="A2532" s="19"/>
      <c r="B2532" s="19"/>
      <c r="C2532" s="20"/>
      <c r="D2532" s="19"/>
      <c r="E2532" s="26" t="str">
        <f aca="false">IF(A2532="","",COUNTIFS(Apparitions!$A$2:$A$5001,A2532,Apparitions!$B$2:$B$5001,B2532))</f>
        <v/>
      </c>
      <c r="F2532" s="27" t="str">
        <f aca="false">IF(A2532="","",A2532&amp;"|"&amp;B2532)</f>
        <v/>
      </c>
    </row>
    <row r="2533" customFormat="false" ht="15" hidden="false" customHeight="false" outlineLevel="0" collapsed="false">
      <c r="A2533" s="19"/>
      <c r="B2533" s="19"/>
      <c r="C2533" s="20"/>
      <c r="D2533" s="19"/>
      <c r="E2533" s="26" t="str">
        <f aca="false">IF(A2533="","",COUNTIFS(Apparitions!$A$2:$A$5001,A2533,Apparitions!$B$2:$B$5001,B2533))</f>
        <v/>
      </c>
      <c r="F2533" s="27" t="str">
        <f aca="false">IF(A2533="","",A2533&amp;"|"&amp;B2533)</f>
        <v/>
      </c>
    </row>
    <row r="2534" customFormat="false" ht="15" hidden="false" customHeight="false" outlineLevel="0" collapsed="false">
      <c r="A2534" s="19"/>
      <c r="B2534" s="19"/>
      <c r="C2534" s="20"/>
      <c r="D2534" s="19"/>
      <c r="E2534" s="26" t="str">
        <f aca="false">IF(A2534="","",COUNTIFS(Apparitions!$A$2:$A$5001,A2534,Apparitions!$B$2:$B$5001,B2534))</f>
        <v/>
      </c>
      <c r="F2534" s="27" t="str">
        <f aca="false">IF(A2534="","",A2534&amp;"|"&amp;B2534)</f>
        <v/>
      </c>
    </row>
    <row r="2535" customFormat="false" ht="15" hidden="false" customHeight="false" outlineLevel="0" collapsed="false">
      <c r="A2535" s="19"/>
      <c r="B2535" s="19"/>
      <c r="C2535" s="20"/>
      <c r="D2535" s="19"/>
      <c r="E2535" s="26" t="str">
        <f aca="false">IF(A2535="","",COUNTIFS(Apparitions!$A$2:$A$5001,A2535,Apparitions!$B$2:$B$5001,B2535))</f>
        <v/>
      </c>
      <c r="F2535" s="27" t="str">
        <f aca="false">IF(A2535="","",A2535&amp;"|"&amp;B2535)</f>
        <v/>
      </c>
    </row>
    <row r="2536" customFormat="false" ht="15" hidden="false" customHeight="false" outlineLevel="0" collapsed="false">
      <c r="A2536" s="19"/>
      <c r="B2536" s="19"/>
      <c r="C2536" s="20"/>
      <c r="D2536" s="19"/>
      <c r="E2536" s="26" t="str">
        <f aca="false">IF(A2536="","",COUNTIFS(Apparitions!$A$2:$A$5001,A2536,Apparitions!$B$2:$B$5001,B2536))</f>
        <v/>
      </c>
      <c r="F2536" s="27" t="str">
        <f aca="false">IF(A2536="","",A2536&amp;"|"&amp;B2536)</f>
        <v/>
      </c>
    </row>
    <row r="2537" customFormat="false" ht="15" hidden="false" customHeight="false" outlineLevel="0" collapsed="false">
      <c r="A2537" s="19"/>
      <c r="B2537" s="19"/>
      <c r="C2537" s="20"/>
      <c r="D2537" s="19"/>
      <c r="E2537" s="26" t="str">
        <f aca="false">IF(A2537="","",COUNTIFS(Apparitions!$A$2:$A$5001,A2537,Apparitions!$B$2:$B$5001,B2537))</f>
        <v/>
      </c>
      <c r="F2537" s="27" t="str">
        <f aca="false">IF(A2537="","",A2537&amp;"|"&amp;B2537)</f>
        <v/>
      </c>
    </row>
    <row r="2538" customFormat="false" ht="15" hidden="false" customHeight="false" outlineLevel="0" collapsed="false">
      <c r="A2538" s="19"/>
      <c r="B2538" s="19"/>
      <c r="C2538" s="20"/>
      <c r="D2538" s="19"/>
      <c r="E2538" s="26" t="str">
        <f aca="false">IF(A2538="","",COUNTIFS(Apparitions!$A$2:$A$5001,A2538,Apparitions!$B$2:$B$5001,B2538))</f>
        <v/>
      </c>
      <c r="F2538" s="27" t="str">
        <f aca="false">IF(A2538="","",A2538&amp;"|"&amp;B2538)</f>
        <v/>
      </c>
    </row>
    <row r="2539" customFormat="false" ht="15" hidden="false" customHeight="false" outlineLevel="0" collapsed="false">
      <c r="A2539" s="19"/>
      <c r="B2539" s="19"/>
      <c r="C2539" s="20"/>
      <c r="D2539" s="19"/>
      <c r="E2539" s="26" t="str">
        <f aca="false">IF(A2539="","",COUNTIFS(Apparitions!$A$2:$A$5001,A2539,Apparitions!$B$2:$B$5001,B2539))</f>
        <v/>
      </c>
      <c r="F2539" s="27" t="str">
        <f aca="false">IF(A2539="","",A2539&amp;"|"&amp;B2539)</f>
        <v/>
      </c>
    </row>
    <row r="2540" customFormat="false" ht="15" hidden="false" customHeight="false" outlineLevel="0" collapsed="false">
      <c r="A2540" s="19"/>
      <c r="B2540" s="19"/>
      <c r="C2540" s="20"/>
      <c r="D2540" s="19"/>
      <c r="E2540" s="26" t="str">
        <f aca="false">IF(A2540="","",COUNTIFS(Apparitions!$A$2:$A$5001,A2540,Apparitions!$B$2:$B$5001,B2540))</f>
        <v/>
      </c>
      <c r="F2540" s="27" t="str">
        <f aca="false">IF(A2540="","",A2540&amp;"|"&amp;B2540)</f>
        <v/>
      </c>
    </row>
    <row r="2541" customFormat="false" ht="15" hidden="false" customHeight="false" outlineLevel="0" collapsed="false">
      <c r="A2541" s="19"/>
      <c r="B2541" s="19"/>
      <c r="C2541" s="20"/>
      <c r="D2541" s="19"/>
      <c r="E2541" s="26" t="str">
        <f aca="false">IF(A2541="","",COUNTIFS(Apparitions!$A$2:$A$5001,A2541,Apparitions!$B$2:$B$5001,B2541))</f>
        <v/>
      </c>
      <c r="F2541" s="27" t="str">
        <f aca="false">IF(A2541="","",A2541&amp;"|"&amp;B2541)</f>
        <v/>
      </c>
    </row>
    <row r="2542" customFormat="false" ht="15" hidden="false" customHeight="false" outlineLevel="0" collapsed="false">
      <c r="A2542" s="19"/>
      <c r="B2542" s="19"/>
      <c r="C2542" s="20"/>
      <c r="D2542" s="19"/>
      <c r="E2542" s="26" t="str">
        <f aca="false">IF(A2542="","",COUNTIFS(Apparitions!$A$2:$A$5001,A2542,Apparitions!$B$2:$B$5001,B2542))</f>
        <v/>
      </c>
      <c r="F2542" s="27" t="str">
        <f aca="false">IF(A2542="","",A2542&amp;"|"&amp;B2542)</f>
        <v/>
      </c>
    </row>
    <row r="2543" customFormat="false" ht="15" hidden="false" customHeight="false" outlineLevel="0" collapsed="false">
      <c r="A2543" s="19"/>
      <c r="B2543" s="19"/>
      <c r="C2543" s="20"/>
      <c r="D2543" s="19"/>
      <c r="E2543" s="26" t="str">
        <f aca="false">IF(A2543="","",COUNTIFS(Apparitions!$A$2:$A$5001,A2543,Apparitions!$B$2:$B$5001,B2543))</f>
        <v/>
      </c>
      <c r="F2543" s="27" t="str">
        <f aca="false">IF(A2543="","",A2543&amp;"|"&amp;B2543)</f>
        <v/>
      </c>
    </row>
    <row r="2544" customFormat="false" ht="15" hidden="false" customHeight="false" outlineLevel="0" collapsed="false">
      <c r="A2544" s="19"/>
      <c r="B2544" s="19"/>
      <c r="C2544" s="20"/>
      <c r="D2544" s="19"/>
      <c r="E2544" s="26" t="str">
        <f aca="false">IF(A2544="","",COUNTIFS(Apparitions!$A$2:$A$5001,A2544,Apparitions!$B$2:$B$5001,B2544))</f>
        <v/>
      </c>
      <c r="F2544" s="27" t="str">
        <f aca="false">IF(A2544="","",A2544&amp;"|"&amp;B2544)</f>
        <v/>
      </c>
    </row>
    <row r="2545" customFormat="false" ht="15" hidden="false" customHeight="false" outlineLevel="0" collapsed="false">
      <c r="A2545" s="19"/>
      <c r="B2545" s="19"/>
      <c r="C2545" s="20"/>
      <c r="D2545" s="19"/>
      <c r="E2545" s="26" t="str">
        <f aca="false">IF(A2545="","",COUNTIFS(Apparitions!$A$2:$A$5001,A2545,Apparitions!$B$2:$B$5001,B2545))</f>
        <v/>
      </c>
      <c r="F2545" s="27" t="str">
        <f aca="false">IF(A2545="","",A2545&amp;"|"&amp;B2545)</f>
        <v/>
      </c>
    </row>
    <row r="2546" customFormat="false" ht="15" hidden="false" customHeight="false" outlineLevel="0" collapsed="false">
      <c r="A2546" s="19"/>
      <c r="B2546" s="19"/>
      <c r="C2546" s="20"/>
      <c r="D2546" s="19"/>
      <c r="E2546" s="26" t="str">
        <f aca="false">IF(A2546="","",COUNTIFS(Apparitions!$A$2:$A$5001,A2546,Apparitions!$B$2:$B$5001,B2546))</f>
        <v/>
      </c>
      <c r="F2546" s="27" t="str">
        <f aca="false">IF(A2546="","",A2546&amp;"|"&amp;B2546)</f>
        <v/>
      </c>
    </row>
    <row r="2547" customFormat="false" ht="15" hidden="false" customHeight="false" outlineLevel="0" collapsed="false">
      <c r="A2547" s="19"/>
      <c r="B2547" s="19"/>
      <c r="C2547" s="20"/>
      <c r="D2547" s="19"/>
      <c r="E2547" s="26" t="str">
        <f aca="false">IF(A2547="","",COUNTIFS(Apparitions!$A$2:$A$5001,A2547,Apparitions!$B$2:$B$5001,B2547))</f>
        <v/>
      </c>
      <c r="F2547" s="27" t="str">
        <f aca="false">IF(A2547="","",A2547&amp;"|"&amp;B2547)</f>
        <v/>
      </c>
    </row>
    <row r="2548" customFormat="false" ht="15" hidden="false" customHeight="false" outlineLevel="0" collapsed="false">
      <c r="A2548" s="19"/>
      <c r="B2548" s="19"/>
      <c r="C2548" s="20"/>
      <c r="D2548" s="19"/>
      <c r="E2548" s="26" t="str">
        <f aca="false">IF(A2548="","",COUNTIFS(Apparitions!$A$2:$A$5001,A2548,Apparitions!$B$2:$B$5001,B2548))</f>
        <v/>
      </c>
      <c r="F2548" s="27" t="str">
        <f aca="false">IF(A2548="","",A2548&amp;"|"&amp;B2548)</f>
        <v/>
      </c>
    </row>
    <row r="2549" customFormat="false" ht="15" hidden="false" customHeight="false" outlineLevel="0" collapsed="false">
      <c r="A2549" s="19"/>
      <c r="B2549" s="19"/>
      <c r="C2549" s="20"/>
      <c r="D2549" s="19"/>
      <c r="E2549" s="26" t="str">
        <f aca="false">IF(A2549="","",COUNTIFS(Apparitions!$A$2:$A$5001,A2549,Apparitions!$B$2:$B$5001,B2549))</f>
        <v/>
      </c>
      <c r="F2549" s="27" t="str">
        <f aca="false">IF(A2549="","",A2549&amp;"|"&amp;B2549)</f>
        <v/>
      </c>
    </row>
    <row r="2550" customFormat="false" ht="15" hidden="false" customHeight="false" outlineLevel="0" collapsed="false">
      <c r="A2550" s="19"/>
      <c r="B2550" s="19"/>
      <c r="C2550" s="20"/>
      <c r="D2550" s="19"/>
      <c r="E2550" s="26" t="str">
        <f aca="false">IF(A2550="","",COUNTIFS(Apparitions!$A$2:$A$5001,A2550,Apparitions!$B$2:$B$5001,B2550))</f>
        <v/>
      </c>
      <c r="F2550" s="27" t="str">
        <f aca="false">IF(A2550="","",A2550&amp;"|"&amp;B2550)</f>
        <v/>
      </c>
    </row>
    <row r="2551" customFormat="false" ht="15" hidden="false" customHeight="false" outlineLevel="0" collapsed="false">
      <c r="A2551" s="19"/>
      <c r="B2551" s="19"/>
      <c r="C2551" s="20"/>
      <c r="D2551" s="19"/>
      <c r="E2551" s="26" t="str">
        <f aca="false">IF(A2551="","",COUNTIFS(Apparitions!$A$2:$A$5001,A2551,Apparitions!$B$2:$B$5001,B2551))</f>
        <v/>
      </c>
      <c r="F2551" s="27" t="str">
        <f aca="false">IF(A2551="","",A2551&amp;"|"&amp;B2551)</f>
        <v/>
      </c>
    </row>
    <row r="2552" customFormat="false" ht="15" hidden="false" customHeight="false" outlineLevel="0" collapsed="false">
      <c r="A2552" s="19"/>
      <c r="B2552" s="19"/>
      <c r="C2552" s="20"/>
      <c r="D2552" s="19"/>
      <c r="E2552" s="26" t="str">
        <f aca="false">IF(A2552="","",COUNTIFS(Apparitions!$A$2:$A$5001,A2552,Apparitions!$B$2:$B$5001,B2552))</f>
        <v/>
      </c>
      <c r="F2552" s="27" t="str">
        <f aca="false">IF(A2552="","",A2552&amp;"|"&amp;B2552)</f>
        <v/>
      </c>
    </row>
    <row r="2553" customFormat="false" ht="15" hidden="false" customHeight="false" outlineLevel="0" collapsed="false">
      <c r="A2553" s="19"/>
      <c r="B2553" s="19"/>
      <c r="C2553" s="20"/>
      <c r="D2553" s="19"/>
      <c r="E2553" s="26" t="str">
        <f aca="false">IF(A2553="","",COUNTIFS(Apparitions!$A$2:$A$5001,A2553,Apparitions!$B$2:$B$5001,B2553))</f>
        <v/>
      </c>
      <c r="F2553" s="27" t="str">
        <f aca="false">IF(A2553="","",A2553&amp;"|"&amp;B2553)</f>
        <v/>
      </c>
    </row>
    <row r="2554" customFormat="false" ht="15" hidden="false" customHeight="false" outlineLevel="0" collapsed="false">
      <c r="A2554" s="19"/>
      <c r="B2554" s="19"/>
      <c r="C2554" s="20"/>
      <c r="D2554" s="19"/>
      <c r="E2554" s="26" t="str">
        <f aca="false">IF(A2554="","",COUNTIFS(Apparitions!$A$2:$A$5001,A2554,Apparitions!$B$2:$B$5001,B2554))</f>
        <v/>
      </c>
      <c r="F2554" s="27" t="str">
        <f aca="false">IF(A2554="","",A2554&amp;"|"&amp;B2554)</f>
        <v/>
      </c>
    </row>
    <row r="2555" customFormat="false" ht="15" hidden="false" customHeight="false" outlineLevel="0" collapsed="false">
      <c r="A2555" s="19"/>
      <c r="B2555" s="19"/>
      <c r="C2555" s="20"/>
      <c r="D2555" s="19"/>
      <c r="E2555" s="26" t="str">
        <f aca="false">IF(A2555="","",COUNTIFS(Apparitions!$A$2:$A$5001,A2555,Apparitions!$B$2:$B$5001,B2555))</f>
        <v/>
      </c>
      <c r="F2555" s="27" t="str">
        <f aca="false">IF(A2555="","",A2555&amp;"|"&amp;B2555)</f>
        <v/>
      </c>
    </row>
    <row r="2556" customFormat="false" ht="15" hidden="false" customHeight="false" outlineLevel="0" collapsed="false">
      <c r="A2556" s="19"/>
      <c r="B2556" s="19"/>
      <c r="C2556" s="20"/>
      <c r="D2556" s="19"/>
      <c r="E2556" s="26" t="str">
        <f aca="false">IF(A2556="","",COUNTIFS(Apparitions!$A$2:$A$5001,A2556,Apparitions!$B$2:$B$5001,B2556))</f>
        <v/>
      </c>
      <c r="F2556" s="27" t="str">
        <f aca="false">IF(A2556="","",A2556&amp;"|"&amp;B2556)</f>
        <v/>
      </c>
    </row>
    <row r="2557" customFormat="false" ht="15" hidden="false" customHeight="false" outlineLevel="0" collapsed="false">
      <c r="A2557" s="19"/>
      <c r="B2557" s="19"/>
      <c r="C2557" s="20"/>
      <c r="D2557" s="19"/>
      <c r="E2557" s="26" t="str">
        <f aca="false">IF(A2557="","",COUNTIFS(Apparitions!$A$2:$A$5001,A2557,Apparitions!$B$2:$B$5001,B2557))</f>
        <v/>
      </c>
      <c r="F2557" s="27" t="str">
        <f aca="false">IF(A2557="","",A2557&amp;"|"&amp;B2557)</f>
        <v/>
      </c>
    </row>
    <row r="2558" customFormat="false" ht="15" hidden="false" customHeight="false" outlineLevel="0" collapsed="false">
      <c r="A2558" s="19"/>
      <c r="B2558" s="19"/>
      <c r="C2558" s="20"/>
      <c r="D2558" s="19"/>
      <c r="E2558" s="26" t="str">
        <f aca="false">IF(A2558="","",COUNTIFS(Apparitions!$A$2:$A$5001,A2558,Apparitions!$B$2:$B$5001,B2558))</f>
        <v/>
      </c>
      <c r="F2558" s="27" t="str">
        <f aca="false">IF(A2558="","",A2558&amp;"|"&amp;B2558)</f>
        <v/>
      </c>
    </row>
    <row r="2559" customFormat="false" ht="15" hidden="false" customHeight="false" outlineLevel="0" collapsed="false">
      <c r="A2559" s="19"/>
      <c r="B2559" s="19"/>
      <c r="C2559" s="20"/>
      <c r="D2559" s="19"/>
      <c r="E2559" s="26" t="str">
        <f aca="false">IF(A2559="","",COUNTIFS(Apparitions!$A$2:$A$5001,A2559,Apparitions!$B$2:$B$5001,B2559))</f>
        <v/>
      </c>
      <c r="F2559" s="27" t="str">
        <f aca="false">IF(A2559="","",A2559&amp;"|"&amp;B2559)</f>
        <v/>
      </c>
    </row>
    <row r="2560" customFormat="false" ht="15" hidden="false" customHeight="false" outlineLevel="0" collapsed="false">
      <c r="A2560" s="19"/>
      <c r="B2560" s="19"/>
      <c r="C2560" s="20"/>
      <c r="D2560" s="19"/>
      <c r="E2560" s="26" t="str">
        <f aca="false">IF(A2560="","",COUNTIFS(Apparitions!$A$2:$A$5001,A2560,Apparitions!$B$2:$B$5001,B2560))</f>
        <v/>
      </c>
      <c r="F2560" s="27" t="str">
        <f aca="false">IF(A2560="","",A2560&amp;"|"&amp;B2560)</f>
        <v/>
      </c>
    </row>
    <row r="2561" customFormat="false" ht="15" hidden="false" customHeight="false" outlineLevel="0" collapsed="false">
      <c r="A2561" s="19"/>
      <c r="B2561" s="19"/>
      <c r="C2561" s="20"/>
      <c r="D2561" s="19"/>
      <c r="E2561" s="26" t="str">
        <f aca="false">IF(A2561="","",COUNTIFS(Apparitions!$A$2:$A$5001,A2561,Apparitions!$B$2:$B$5001,B2561))</f>
        <v/>
      </c>
      <c r="F2561" s="27" t="str">
        <f aca="false">IF(A2561="","",A2561&amp;"|"&amp;B2561)</f>
        <v/>
      </c>
    </row>
    <row r="2562" customFormat="false" ht="15" hidden="false" customHeight="false" outlineLevel="0" collapsed="false">
      <c r="A2562" s="19"/>
      <c r="B2562" s="19"/>
      <c r="C2562" s="20"/>
      <c r="D2562" s="19"/>
      <c r="E2562" s="26" t="str">
        <f aca="false">IF(A2562="","",COUNTIFS(Apparitions!$A$2:$A$5001,A2562,Apparitions!$B$2:$B$5001,B2562))</f>
        <v/>
      </c>
      <c r="F2562" s="27" t="str">
        <f aca="false">IF(A2562="","",A2562&amp;"|"&amp;B2562)</f>
        <v/>
      </c>
    </row>
    <row r="2563" customFormat="false" ht="15" hidden="false" customHeight="false" outlineLevel="0" collapsed="false">
      <c r="A2563" s="19"/>
      <c r="B2563" s="19"/>
      <c r="C2563" s="20"/>
      <c r="D2563" s="19"/>
      <c r="E2563" s="26" t="str">
        <f aca="false">IF(A2563="","",COUNTIFS(Apparitions!$A$2:$A$5001,A2563,Apparitions!$B$2:$B$5001,B2563))</f>
        <v/>
      </c>
      <c r="F2563" s="27" t="str">
        <f aca="false">IF(A2563="","",A2563&amp;"|"&amp;B2563)</f>
        <v/>
      </c>
    </row>
    <row r="2564" customFormat="false" ht="15" hidden="false" customHeight="false" outlineLevel="0" collapsed="false">
      <c r="A2564" s="19"/>
      <c r="B2564" s="19"/>
      <c r="C2564" s="20"/>
      <c r="D2564" s="19"/>
      <c r="E2564" s="26" t="str">
        <f aca="false">IF(A2564="","",COUNTIFS(Apparitions!$A$2:$A$5001,A2564,Apparitions!$B$2:$B$5001,B2564))</f>
        <v/>
      </c>
      <c r="F2564" s="27" t="str">
        <f aca="false">IF(A2564="","",A2564&amp;"|"&amp;B2564)</f>
        <v/>
      </c>
    </row>
    <row r="2565" customFormat="false" ht="15" hidden="false" customHeight="false" outlineLevel="0" collapsed="false">
      <c r="A2565" s="19"/>
      <c r="B2565" s="19"/>
      <c r="C2565" s="20"/>
      <c r="D2565" s="19"/>
      <c r="E2565" s="26" t="str">
        <f aca="false">IF(A2565="","",COUNTIFS(Apparitions!$A$2:$A$5001,A2565,Apparitions!$B$2:$B$5001,B2565))</f>
        <v/>
      </c>
      <c r="F2565" s="27" t="str">
        <f aca="false">IF(A2565="","",A2565&amp;"|"&amp;B2565)</f>
        <v/>
      </c>
    </row>
    <row r="2566" customFormat="false" ht="15" hidden="false" customHeight="false" outlineLevel="0" collapsed="false">
      <c r="A2566" s="19"/>
      <c r="B2566" s="19"/>
      <c r="C2566" s="20"/>
      <c r="D2566" s="19"/>
      <c r="E2566" s="26" t="str">
        <f aca="false">IF(A2566="","",COUNTIFS(Apparitions!$A$2:$A$5001,A2566,Apparitions!$B$2:$B$5001,B2566))</f>
        <v/>
      </c>
      <c r="F2566" s="27" t="str">
        <f aca="false">IF(A2566="","",A2566&amp;"|"&amp;B2566)</f>
        <v/>
      </c>
    </row>
    <row r="2567" customFormat="false" ht="15" hidden="false" customHeight="false" outlineLevel="0" collapsed="false">
      <c r="A2567" s="19"/>
      <c r="B2567" s="19"/>
      <c r="C2567" s="20"/>
      <c r="D2567" s="19"/>
      <c r="E2567" s="26" t="str">
        <f aca="false">IF(A2567="","",COUNTIFS(Apparitions!$A$2:$A$5001,A2567,Apparitions!$B$2:$B$5001,B2567))</f>
        <v/>
      </c>
      <c r="F2567" s="27" t="str">
        <f aca="false">IF(A2567="","",A2567&amp;"|"&amp;B2567)</f>
        <v/>
      </c>
    </row>
    <row r="2568" customFormat="false" ht="15" hidden="false" customHeight="false" outlineLevel="0" collapsed="false">
      <c r="A2568" s="19"/>
      <c r="B2568" s="19"/>
      <c r="C2568" s="20"/>
      <c r="D2568" s="19"/>
      <c r="E2568" s="26" t="str">
        <f aca="false">IF(A2568="","",COUNTIFS(Apparitions!$A$2:$A$5001,A2568,Apparitions!$B$2:$B$5001,B2568))</f>
        <v/>
      </c>
      <c r="F2568" s="27" t="str">
        <f aca="false">IF(A2568="","",A2568&amp;"|"&amp;B2568)</f>
        <v/>
      </c>
    </row>
    <row r="2569" customFormat="false" ht="15" hidden="false" customHeight="false" outlineLevel="0" collapsed="false">
      <c r="A2569" s="19"/>
      <c r="B2569" s="19"/>
      <c r="C2569" s="20"/>
      <c r="D2569" s="19"/>
      <c r="E2569" s="26" t="str">
        <f aca="false">IF(A2569="","",COUNTIFS(Apparitions!$A$2:$A$5001,A2569,Apparitions!$B$2:$B$5001,B2569))</f>
        <v/>
      </c>
      <c r="F2569" s="27" t="str">
        <f aca="false">IF(A2569="","",A2569&amp;"|"&amp;B2569)</f>
        <v/>
      </c>
    </row>
    <row r="2570" customFormat="false" ht="15" hidden="false" customHeight="false" outlineLevel="0" collapsed="false">
      <c r="A2570" s="19"/>
      <c r="B2570" s="19"/>
      <c r="C2570" s="20"/>
      <c r="D2570" s="19"/>
      <c r="E2570" s="26" t="str">
        <f aca="false">IF(A2570="","",COUNTIFS(Apparitions!$A$2:$A$5001,A2570,Apparitions!$B$2:$B$5001,B2570))</f>
        <v/>
      </c>
      <c r="F2570" s="27" t="str">
        <f aca="false">IF(A2570="","",A2570&amp;"|"&amp;B2570)</f>
        <v/>
      </c>
    </row>
    <row r="2571" customFormat="false" ht="15" hidden="false" customHeight="false" outlineLevel="0" collapsed="false">
      <c r="A2571" s="19"/>
      <c r="B2571" s="19"/>
      <c r="C2571" s="20"/>
      <c r="D2571" s="19"/>
      <c r="E2571" s="26" t="str">
        <f aca="false">IF(A2571="","",COUNTIFS(Apparitions!$A$2:$A$5001,A2571,Apparitions!$B$2:$B$5001,B2571))</f>
        <v/>
      </c>
      <c r="F2571" s="27" t="str">
        <f aca="false">IF(A2571="","",A2571&amp;"|"&amp;B2571)</f>
        <v/>
      </c>
    </row>
    <row r="2572" customFormat="false" ht="15" hidden="false" customHeight="false" outlineLevel="0" collapsed="false">
      <c r="A2572" s="19"/>
      <c r="B2572" s="19"/>
      <c r="C2572" s="20"/>
      <c r="D2572" s="19"/>
      <c r="E2572" s="26" t="str">
        <f aca="false">IF(A2572="","",COUNTIFS(Apparitions!$A$2:$A$5001,A2572,Apparitions!$B$2:$B$5001,B2572))</f>
        <v/>
      </c>
      <c r="F2572" s="27" t="str">
        <f aca="false">IF(A2572="","",A2572&amp;"|"&amp;B2572)</f>
        <v/>
      </c>
    </row>
    <row r="2573" customFormat="false" ht="15" hidden="false" customHeight="false" outlineLevel="0" collapsed="false">
      <c r="A2573" s="19"/>
      <c r="B2573" s="19"/>
      <c r="C2573" s="20"/>
      <c r="D2573" s="19"/>
      <c r="E2573" s="26" t="str">
        <f aca="false">IF(A2573="","",COUNTIFS(Apparitions!$A$2:$A$5001,A2573,Apparitions!$B$2:$B$5001,B2573))</f>
        <v/>
      </c>
      <c r="F2573" s="27" t="str">
        <f aca="false">IF(A2573="","",A2573&amp;"|"&amp;B2573)</f>
        <v/>
      </c>
    </row>
    <row r="2574" customFormat="false" ht="15" hidden="false" customHeight="false" outlineLevel="0" collapsed="false">
      <c r="A2574" s="19"/>
      <c r="B2574" s="19"/>
      <c r="C2574" s="20"/>
      <c r="D2574" s="19"/>
      <c r="E2574" s="26" t="str">
        <f aca="false">IF(A2574="","",COUNTIFS(Apparitions!$A$2:$A$5001,A2574,Apparitions!$B$2:$B$5001,B2574))</f>
        <v/>
      </c>
      <c r="F2574" s="27" t="str">
        <f aca="false">IF(A2574="","",A2574&amp;"|"&amp;B2574)</f>
        <v/>
      </c>
    </row>
    <row r="2575" customFormat="false" ht="15" hidden="false" customHeight="false" outlineLevel="0" collapsed="false">
      <c r="A2575" s="19"/>
      <c r="B2575" s="19"/>
      <c r="C2575" s="20"/>
      <c r="D2575" s="19"/>
      <c r="E2575" s="26" t="str">
        <f aca="false">IF(A2575="","",COUNTIFS(Apparitions!$A$2:$A$5001,A2575,Apparitions!$B$2:$B$5001,B2575))</f>
        <v/>
      </c>
      <c r="F2575" s="27" t="str">
        <f aca="false">IF(A2575="","",A2575&amp;"|"&amp;B2575)</f>
        <v/>
      </c>
    </row>
    <row r="2576" customFormat="false" ht="15" hidden="false" customHeight="false" outlineLevel="0" collapsed="false">
      <c r="A2576" s="19"/>
      <c r="B2576" s="19"/>
      <c r="C2576" s="20"/>
      <c r="D2576" s="19"/>
      <c r="E2576" s="26" t="str">
        <f aca="false">IF(A2576="","",COUNTIFS(Apparitions!$A$2:$A$5001,A2576,Apparitions!$B$2:$B$5001,B2576))</f>
        <v/>
      </c>
      <c r="F2576" s="27" t="str">
        <f aca="false">IF(A2576="","",A2576&amp;"|"&amp;B2576)</f>
        <v/>
      </c>
    </row>
    <row r="2577" customFormat="false" ht="15" hidden="false" customHeight="false" outlineLevel="0" collapsed="false">
      <c r="A2577" s="19"/>
      <c r="B2577" s="19"/>
      <c r="C2577" s="20"/>
      <c r="D2577" s="19"/>
      <c r="E2577" s="26" t="str">
        <f aca="false">IF(A2577="","",COUNTIFS(Apparitions!$A$2:$A$5001,A2577,Apparitions!$B$2:$B$5001,B2577))</f>
        <v/>
      </c>
      <c r="F2577" s="27" t="str">
        <f aca="false">IF(A2577="","",A2577&amp;"|"&amp;B2577)</f>
        <v/>
      </c>
    </row>
    <row r="2578" customFormat="false" ht="15" hidden="false" customHeight="false" outlineLevel="0" collapsed="false">
      <c r="A2578" s="19"/>
      <c r="B2578" s="19"/>
      <c r="C2578" s="20"/>
      <c r="D2578" s="19"/>
      <c r="E2578" s="26" t="str">
        <f aca="false">IF(A2578="","",COUNTIFS(Apparitions!$A$2:$A$5001,A2578,Apparitions!$B$2:$B$5001,B2578))</f>
        <v/>
      </c>
      <c r="F2578" s="27" t="str">
        <f aca="false">IF(A2578="","",A2578&amp;"|"&amp;B2578)</f>
        <v/>
      </c>
    </row>
    <row r="2579" customFormat="false" ht="15" hidden="false" customHeight="false" outlineLevel="0" collapsed="false">
      <c r="A2579" s="19"/>
      <c r="B2579" s="19"/>
      <c r="C2579" s="20"/>
      <c r="D2579" s="19"/>
      <c r="E2579" s="26" t="str">
        <f aca="false">IF(A2579="","",COUNTIFS(Apparitions!$A$2:$A$5001,A2579,Apparitions!$B$2:$B$5001,B2579))</f>
        <v/>
      </c>
      <c r="F2579" s="27" t="str">
        <f aca="false">IF(A2579="","",A2579&amp;"|"&amp;B2579)</f>
        <v/>
      </c>
    </row>
    <row r="2580" customFormat="false" ht="15" hidden="false" customHeight="false" outlineLevel="0" collapsed="false">
      <c r="A2580" s="19"/>
      <c r="B2580" s="19"/>
      <c r="C2580" s="20"/>
      <c r="D2580" s="19"/>
      <c r="E2580" s="26" t="str">
        <f aca="false">IF(A2580="","",COUNTIFS(Apparitions!$A$2:$A$5001,A2580,Apparitions!$B$2:$B$5001,B2580))</f>
        <v/>
      </c>
      <c r="F2580" s="27" t="str">
        <f aca="false">IF(A2580="","",A2580&amp;"|"&amp;B2580)</f>
        <v/>
      </c>
    </row>
    <row r="2581" customFormat="false" ht="15" hidden="false" customHeight="false" outlineLevel="0" collapsed="false">
      <c r="A2581" s="19"/>
      <c r="B2581" s="19"/>
      <c r="C2581" s="20"/>
      <c r="D2581" s="19"/>
      <c r="E2581" s="26" t="str">
        <f aca="false">IF(A2581="","",COUNTIFS(Apparitions!$A$2:$A$5001,A2581,Apparitions!$B$2:$B$5001,B2581))</f>
        <v/>
      </c>
      <c r="F2581" s="27" t="str">
        <f aca="false">IF(A2581="","",A2581&amp;"|"&amp;B2581)</f>
        <v/>
      </c>
    </row>
    <row r="2582" customFormat="false" ht="15" hidden="false" customHeight="false" outlineLevel="0" collapsed="false">
      <c r="A2582" s="19"/>
      <c r="B2582" s="19"/>
      <c r="C2582" s="20"/>
      <c r="D2582" s="19"/>
      <c r="E2582" s="26" t="str">
        <f aca="false">IF(A2582="","",COUNTIFS(Apparitions!$A$2:$A$5001,A2582,Apparitions!$B$2:$B$5001,B2582))</f>
        <v/>
      </c>
      <c r="F2582" s="27" t="str">
        <f aca="false">IF(A2582="","",A2582&amp;"|"&amp;B2582)</f>
        <v/>
      </c>
    </row>
    <row r="2583" customFormat="false" ht="15" hidden="false" customHeight="false" outlineLevel="0" collapsed="false">
      <c r="A2583" s="19"/>
      <c r="B2583" s="19"/>
      <c r="C2583" s="20"/>
      <c r="D2583" s="19"/>
      <c r="E2583" s="26" t="str">
        <f aca="false">IF(A2583="","",COUNTIFS(Apparitions!$A$2:$A$5001,A2583,Apparitions!$B$2:$B$5001,B2583))</f>
        <v/>
      </c>
      <c r="F2583" s="27" t="str">
        <f aca="false">IF(A2583="","",A2583&amp;"|"&amp;B2583)</f>
        <v/>
      </c>
    </row>
    <row r="2584" customFormat="false" ht="15" hidden="false" customHeight="false" outlineLevel="0" collapsed="false">
      <c r="A2584" s="19"/>
      <c r="B2584" s="19"/>
      <c r="C2584" s="20"/>
      <c r="D2584" s="19"/>
      <c r="E2584" s="26" t="str">
        <f aca="false">IF(A2584="","",COUNTIFS(Apparitions!$A$2:$A$5001,A2584,Apparitions!$B$2:$B$5001,B2584))</f>
        <v/>
      </c>
      <c r="F2584" s="27" t="str">
        <f aca="false">IF(A2584="","",A2584&amp;"|"&amp;B2584)</f>
        <v/>
      </c>
    </row>
    <row r="2585" customFormat="false" ht="15" hidden="false" customHeight="false" outlineLevel="0" collapsed="false">
      <c r="A2585" s="19"/>
      <c r="B2585" s="19"/>
      <c r="C2585" s="20"/>
      <c r="D2585" s="19"/>
      <c r="E2585" s="26" t="str">
        <f aca="false">IF(A2585="","",COUNTIFS(Apparitions!$A$2:$A$5001,A2585,Apparitions!$B$2:$B$5001,B2585))</f>
        <v/>
      </c>
      <c r="F2585" s="27" t="str">
        <f aca="false">IF(A2585="","",A2585&amp;"|"&amp;B2585)</f>
        <v/>
      </c>
    </row>
    <row r="2586" customFormat="false" ht="15" hidden="false" customHeight="false" outlineLevel="0" collapsed="false">
      <c r="A2586" s="19"/>
      <c r="B2586" s="19"/>
      <c r="C2586" s="20"/>
      <c r="D2586" s="19"/>
      <c r="E2586" s="26" t="str">
        <f aca="false">IF(A2586="","",COUNTIFS(Apparitions!$A$2:$A$5001,A2586,Apparitions!$B$2:$B$5001,B2586))</f>
        <v/>
      </c>
      <c r="F2586" s="27" t="str">
        <f aca="false">IF(A2586="","",A2586&amp;"|"&amp;B2586)</f>
        <v/>
      </c>
    </row>
    <row r="2587" customFormat="false" ht="15" hidden="false" customHeight="false" outlineLevel="0" collapsed="false">
      <c r="A2587" s="19"/>
      <c r="B2587" s="19"/>
      <c r="C2587" s="20"/>
      <c r="D2587" s="19"/>
      <c r="E2587" s="26" t="str">
        <f aca="false">IF(A2587="","",COUNTIFS(Apparitions!$A$2:$A$5001,A2587,Apparitions!$B$2:$B$5001,B2587))</f>
        <v/>
      </c>
      <c r="F2587" s="27" t="str">
        <f aca="false">IF(A2587="","",A2587&amp;"|"&amp;B2587)</f>
        <v/>
      </c>
    </row>
    <row r="2588" customFormat="false" ht="15" hidden="false" customHeight="false" outlineLevel="0" collapsed="false">
      <c r="A2588" s="19"/>
      <c r="B2588" s="19"/>
      <c r="C2588" s="20"/>
      <c r="D2588" s="19"/>
      <c r="E2588" s="26" t="str">
        <f aca="false">IF(A2588="","",COUNTIFS(Apparitions!$A$2:$A$5001,A2588,Apparitions!$B$2:$B$5001,B2588))</f>
        <v/>
      </c>
      <c r="F2588" s="27" t="str">
        <f aca="false">IF(A2588="","",A2588&amp;"|"&amp;B2588)</f>
        <v/>
      </c>
    </row>
    <row r="2589" customFormat="false" ht="15" hidden="false" customHeight="false" outlineLevel="0" collapsed="false">
      <c r="A2589" s="19"/>
      <c r="B2589" s="19"/>
      <c r="C2589" s="20"/>
      <c r="D2589" s="19"/>
      <c r="E2589" s="26" t="str">
        <f aca="false">IF(A2589="","",COUNTIFS(Apparitions!$A$2:$A$5001,A2589,Apparitions!$B$2:$B$5001,B2589))</f>
        <v/>
      </c>
      <c r="F2589" s="27" t="str">
        <f aca="false">IF(A2589="","",A2589&amp;"|"&amp;B2589)</f>
        <v/>
      </c>
    </row>
    <row r="2590" customFormat="false" ht="15" hidden="false" customHeight="false" outlineLevel="0" collapsed="false">
      <c r="A2590" s="19"/>
      <c r="B2590" s="19"/>
      <c r="C2590" s="20"/>
      <c r="D2590" s="19"/>
      <c r="E2590" s="26" t="str">
        <f aca="false">IF(A2590="","",COUNTIFS(Apparitions!$A$2:$A$5001,A2590,Apparitions!$B$2:$B$5001,B2590))</f>
        <v/>
      </c>
      <c r="F2590" s="27" t="str">
        <f aca="false">IF(A2590="","",A2590&amp;"|"&amp;B2590)</f>
        <v/>
      </c>
    </row>
    <row r="2591" customFormat="false" ht="15" hidden="false" customHeight="false" outlineLevel="0" collapsed="false">
      <c r="A2591" s="19"/>
      <c r="B2591" s="19"/>
      <c r="C2591" s="20"/>
      <c r="D2591" s="19"/>
      <c r="E2591" s="26" t="str">
        <f aca="false">IF(A2591="","",COUNTIFS(Apparitions!$A$2:$A$5001,A2591,Apparitions!$B$2:$B$5001,B2591))</f>
        <v/>
      </c>
      <c r="F2591" s="27" t="str">
        <f aca="false">IF(A2591="","",A2591&amp;"|"&amp;B2591)</f>
        <v/>
      </c>
    </row>
    <row r="2592" customFormat="false" ht="15" hidden="false" customHeight="false" outlineLevel="0" collapsed="false">
      <c r="A2592" s="19"/>
      <c r="B2592" s="19"/>
      <c r="C2592" s="20"/>
      <c r="D2592" s="19"/>
      <c r="E2592" s="26" t="str">
        <f aca="false">IF(A2592="","",COUNTIFS(Apparitions!$A$2:$A$5001,A2592,Apparitions!$B$2:$B$5001,B2592))</f>
        <v/>
      </c>
      <c r="F2592" s="27" t="str">
        <f aca="false">IF(A2592="","",A2592&amp;"|"&amp;B2592)</f>
        <v/>
      </c>
    </row>
    <row r="2593" customFormat="false" ht="15" hidden="false" customHeight="false" outlineLevel="0" collapsed="false">
      <c r="A2593" s="19"/>
      <c r="B2593" s="19"/>
      <c r="C2593" s="20"/>
      <c r="D2593" s="19"/>
      <c r="E2593" s="26" t="str">
        <f aca="false">IF(A2593="","",COUNTIFS(Apparitions!$A$2:$A$5001,A2593,Apparitions!$B$2:$B$5001,B2593))</f>
        <v/>
      </c>
      <c r="F2593" s="27" t="str">
        <f aca="false">IF(A2593="","",A2593&amp;"|"&amp;B2593)</f>
        <v/>
      </c>
    </row>
    <row r="2594" customFormat="false" ht="15" hidden="false" customHeight="false" outlineLevel="0" collapsed="false">
      <c r="A2594" s="19"/>
      <c r="B2594" s="19"/>
      <c r="C2594" s="20"/>
      <c r="D2594" s="19"/>
      <c r="E2594" s="26" t="str">
        <f aca="false">IF(A2594="","",COUNTIFS(Apparitions!$A$2:$A$5001,A2594,Apparitions!$B$2:$B$5001,B2594))</f>
        <v/>
      </c>
      <c r="F2594" s="27" t="str">
        <f aca="false">IF(A2594="","",A2594&amp;"|"&amp;B2594)</f>
        <v/>
      </c>
    </row>
    <row r="2595" customFormat="false" ht="15" hidden="false" customHeight="false" outlineLevel="0" collapsed="false">
      <c r="A2595" s="19"/>
      <c r="B2595" s="19"/>
      <c r="C2595" s="20"/>
      <c r="D2595" s="19"/>
      <c r="E2595" s="26" t="str">
        <f aca="false">IF(A2595="","",COUNTIFS(Apparitions!$A$2:$A$5001,A2595,Apparitions!$B$2:$B$5001,B2595))</f>
        <v/>
      </c>
      <c r="F2595" s="27" t="str">
        <f aca="false">IF(A2595="","",A2595&amp;"|"&amp;B2595)</f>
        <v/>
      </c>
    </row>
    <row r="2596" customFormat="false" ht="15" hidden="false" customHeight="false" outlineLevel="0" collapsed="false">
      <c r="A2596" s="19"/>
      <c r="B2596" s="19"/>
      <c r="C2596" s="20"/>
      <c r="D2596" s="19"/>
      <c r="E2596" s="26" t="str">
        <f aca="false">IF(A2596="","",COUNTIFS(Apparitions!$A$2:$A$5001,A2596,Apparitions!$B$2:$B$5001,B2596))</f>
        <v/>
      </c>
      <c r="F2596" s="27" t="str">
        <f aca="false">IF(A2596="","",A2596&amp;"|"&amp;B2596)</f>
        <v/>
      </c>
    </row>
    <row r="2597" customFormat="false" ht="15" hidden="false" customHeight="false" outlineLevel="0" collapsed="false">
      <c r="A2597" s="19"/>
      <c r="B2597" s="19"/>
      <c r="C2597" s="20"/>
      <c r="D2597" s="19"/>
      <c r="E2597" s="26" t="str">
        <f aca="false">IF(A2597="","",COUNTIFS(Apparitions!$A$2:$A$5001,A2597,Apparitions!$B$2:$B$5001,B2597))</f>
        <v/>
      </c>
      <c r="F2597" s="27" t="str">
        <f aca="false">IF(A2597="","",A2597&amp;"|"&amp;B2597)</f>
        <v/>
      </c>
    </row>
    <row r="2598" customFormat="false" ht="15" hidden="false" customHeight="false" outlineLevel="0" collapsed="false">
      <c r="A2598" s="19"/>
      <c r="B2598" s="19"/>
      <c r="C2598" s="20"/>
      <c r="D2598" s="19"/>
      <c r="E2598" s="26" t="str">
        <f aca="false">IF(A2598="","",COUNTIFS(Apparitions!$A$2:$A$5001,A2598,Apparitions!$B$2:$B$5001,B2598))</f>
        <v/>
      </c>
      <c r="F2598" s="27" t="str">
        <f aca="false">IF(A2598="","",A2598&amp;"|"&amp;B2598)</f>
        <v/>
      </c>
    </row>
    <row r="2599" customFormat="false" ht="15" hidden="false" customHeight="false" outlineLevel="0" collapsed="false">
      <c r="A2599" s="19"/>
      <c r="B2599" s="19"/>
      <c r="C2599" s="20"/>
      <c r="D2599" s="19"/>
      <c r="E2599" s="26" t="str">
        <f aca="false">IF(A2599="","",COUNTIFS(Apparitions!$A$2:$A$5001,A2599,Apparitions!$B$2:$B$5001,B2599))</f>
        <v/>
      </c>
      <c r="F2599" s="27" t="str">
        <f aca="false">IF(A2599="","",A2599&amp;"|"&amp;B2599)</f>
        <v/>
      </c>
    </row>
    <row r="2600" customFormat="false" ht="15" hidden="false" customHeight="false" outlineLevel="0" collapsed="false">
      <c r="A2600" s="19"/>
      <c r="B2600" s="19"/>
      <c r="C2600" s="20"/>
      <c r="D2600" s="19"/>
      <c r="E2600" s="26" t="str">
        <f aca="false">IF(A2600="","",COUNTIFS(Apparitions!$A$2:$A$5001,A2600,Apparitions!$B$2:$B$5001,B2600))</f>
        <v/>
      </c>
      <c r="F2600" s="27" t="str">
        <f aca="false">IF(A2600="","",A2600&amp;"|"&amp;B2600)</f>
        <v/>
      </c>
    </row>
    <row r="2601" customFormat="false" ht="15" hidden="false" customHeight="false" outlineLevel="0" collapsed="false">
      <c r="A2601" s="19"/>
      <c r="B2601" s="19"/>
      <c r="C2601" s="20"/>
      <c r="D2601" s="19"/>
      <c r="E2601" s="26" t="str">
        <f aca="false">IF(A2601="","",COUNTIFS(Apparitions!$A$2:$A$5001,A2601,Apparitions!$B$2:$B$5001,B2601))</f>
        <v/>
      </c>
      <c r="F2601" s="27" t="str">
        <f aca="false">IF(A2601="","",A2601&amp;"|"&amp;B2601)</f>
        <v/>
      </c>
    </row>
    <row r="2602" customFormat="false" ht="15" hidden="false" customHeight="false" outlineLevel="0" collapsed="false">
      <c r="A2602" s="19"/>
      <c r="B2602" s="19"/>
      <c r="C2602" s="20"/>
      <c r="D2602" s="19"/>
      <c r="E2602" s="26" t="str">
        <f aca="false">IF(A2602="","",COUNTIFS(Apparitions!$A$2:$A$5001,A2602,Apparitions!$B$2:$B$5001,B2602))</f>
        <v/>
      </c>
      <c r="F2602" s="27" t="str">
        <f aca="false">IF(A2602="","",A2602&amp;"|"&amp;B2602)</f>
        <v/>
      </c>
    </row>
    <row r="2603" customFormat="false" ht="15" hidden="false" customHeight="false" outlineLevel="0" collapsed="false">
      <c r="A2603" s="19"/>
      <c r="B2603" s="19"/>
      <c r="C2603" s="20"/>
      <c r="D2603" s="19"/>
      <c r="E2603" s="26" t="str">
        <f aca="false">IF(A2603="","",COUNTIFS(Apparitions!$A$2:$A$5001,A2603,Apparitions!$B$2:$B$5001,B2603))</f>
        <v/>
      </c>
      <c r="F2603" s="27" t="str">
        <f aca="false">IF(A2603="","",A2603&amp;"|"&amp;B2603)</f>
        <v/>
      </c>
    </row>
    <row r="2604" customFormat="false" ht="15" hidden="false" customHeight="false" outlineLevel="0" collapsed="false">
      <c r="A2604" s="19"/>
      <c r="B2604" s="19"/>
      <c r="C2604" s="20"/>
      <c r="D2604" s="19"/>
      <c r="E2604" s="26" t="str">
        <f aca="false">IF(A2604="","",COUNTIFS(Apparitions!$A$2:$A$5001,A2604,Apparitions!$B$2:$B$5001,B2604))</f>
        <v/>
      </c>
      <c r="F2604" s="27" t="str">
        <f aca="false">IF(A2604="","",A2604&amp;"|"&amp;B2604)</f>
        <v/>
      </c>
    </row>
    <row r="2605" customFormat="false" ht="15" hidden="false" customHeight="false" outlineLevel="0" collapsed="false">
      <c r="A2605" s="19"/>
      <c r="B2605" s="19"/>
      <c r="C2605" s="20"/>
      <c r="D2605" s="19"/>
      <c r="E2605" s="26" t="str">
        <f aca="false">IF(A2605="","",COUNTIFS(Apparitions!$A$2:$A$5001,A2605,Apparitions!$B$2:$B$5001,B2605))</f>
        <v/>
      </c>
      <c r="F2605" s="27" t="str">
        <f aca="false">IF(A2605="","",A2605&amp;"|"&amp;B2605)</f>
        <v/>
      </c>
    </row>
    <row r="2606" customFormat="false" ht="15" hidden="false" customHeight="false" outlineLevel="0" collapsed="false">
      <c r="A2606" s="19"/>
      <c r="B2606" s="19"/>
      <c r="C2606" s="20"/>
      <c r="D2606" s="19"/>
      <c r="E2606" s="26" t="str">
        <f aca="false">IF(A2606="","",COUNTIFS(Apparitions!$A$2:$A$5001,A2606,Apparitions!$B$2:$B$5001,B2606))</f>
        <v/>
      </c>
      <c r="F2606" s="27" t="str">
        <f aca="false">IF(A2606="","",A2606&amp;"|"&amp;B2606)</f>
        <v/>
      </c>
    </row>
    <row r="2607" customFormat="false" ht="15" hidden="false" customHeight="false" outlineLevel="0" collapsed="false">
      <c r="A2607" s="19"/>
      <c r="B2607" s="19"/>
      <c r="C2607" s="20"/>
      <c r="D2607" s="19"/>
      <c r="E2607" s="26" t="str">
        <f aca="false">IF(A2607="","",COUNTIFS(Apparitions!$A$2:$A$5001,A2607,Apparitions!$B$2:$B$5001,B2607))</f>
        <v/>
      </c>
      <c r="F2607" s="27" t="str">
        <f aca="false">IF(A2607="","",A2607&amp;"|"&amp;B2607)</f>
        <v/>
      </c>
    </row>
    <row r="2608" customFormat="false" ht="15" hidden="false" customHeight="false" outlineLevel="0" collapsed="false">
      <c r="A2608" s="19"/>
      <c r="B2608" s="19"/>
      <c r="C2608" s="20"/>
      <c r="D2608" s="19"/>
      <c r="E2608" s="26" t="str">
        <f aca="false">IF(A2608="","",COUNTIFS(Apparitions!$A$2:$A$5001,A2608,Apparitions!$B$2:$B$5001,B2608))</f>
        <v/>
      </c>
      <c r="F2608" s="27" t="str">
        <f aca="false">IF(A2608="","",A2608&amp;"|"&amp;B2608)</f>
        <v/>
      </c>
    </row>
    <row r="2609" customFormat="false" ht="15" hidden="false" customHeight="false" outlineLevel="0" collapsed="false">
      <c r="A2609" s="19"/>
      <c r="B2609" s="19"/>
      <c r="C2609" s="20"/>
      <c r="D2609" s="19"/>
      <c r="E2609" s="26" t="str">
        <f aca="false">IF(A2609="","",COUNTIFS(Apparitions!$A$2:$A$5001,A2609,Apparitions!$B$2:$B$5001,B2609))</f>
        <v/>
      </c>
      <c r="F2609" s="27" t="str">
        <f aca="false">IF(A2609="","",A2609&amp;"|"&amp;B2609)</f>
        <v/>
      </c>
    </row>
    <row r="2610" customFormat="false" ht="15" hidden="false" customHeight="false" outlineLevel="0" collapsed="false">
      <c r="A2610" s="19"/>
      <c r="B2610" s="19"/>
      <c r="C2610" s="20"/>
      <c r="D2610" s="19"/>
      <c r="E2610" s="26" t="str">
        <f aca="false">IF(A2610="","",COUNTIFS(Apparitions!$A$2:$A$5001,A2610,Apparitions!$B$2:$B$5001,B2610))</f>
        <v/>
      </c>
      <c r="F2610" s="27" t="str">
        <f aca="false">IF(A2610="","",A2610&amp;"|"&amp;B2610)</f>
        <v/>
      </c>
    </row>
    <row r="2611" customFormat="false" ht="15" hidden="false" customHeight="false" outlineLevel="0" collapsed="false">
      <c r="A2611" s="19"/>
      <c r="B2611" s="19"/>
      <c r="C2611" s="20"/>
      <c r="D2611" s="19"/>
      <c r="E2611" s="26" t="str">
        <f aca="false">IF(A2611="","",COUNTIFS(Apparitions!$A$2:$A$5001,A2611,Apparitions!$B$2:$B$5001,B2611))</f>
        <v/>
      </c>
      <c r="F2611" s="27" t="str">
        <f aca="false">IF(A2611="","",A2611&amp;"|"&amp;B2611)</f>
        <v/>
      </c>
    </row>
    <row r="2612" customFormat="false" ht="15" hidden="false" customHeight="false" outlineLevel="0" collapsed="false">
      <c r="A2612" s="19"/>
      <c r="B2612" s="19"/>
      <c r="C2612" s="20"/>
      <c r="D2612" s="19"/>
      <c r="E2612" s="26" t="str">
        <f aca="false">IF(A2612="","",COUNTIFS(Apparitions!$A$2:$A$5001,A2612,Apparitions!$B$2:$B$5001,B2612))</f>
        <v/>
      </c>
      <c r="F2612" s="27" t="str">
        <f aca="false">IF(A2612="","",A2612&amp;"|"&amp;B2612)</f>
        <v/>
      </c>
    </row>
    <row r="2613" customFormat="false" ht="15" hidden="false" customHeight="false" outlineLevel="0" collapsed="false">
      <c r="A2613" s="19"/>
      <c r="B2613" s="19"/>
      <c r="C2613" s="20"/>
      <c r="D2613" s="19"/>
      <c r="E2613" s="26" t="str">
        <f aca="false">IF(A2613="","",COUNTIFS(Apparitions!$A$2:$A$5001,A2613,Apparitions!$B$2:$B$5001,B2613))</f>
        <v/>
      </c>
      <c r="F2613" s="27" t="str">
        <f aca="false">IF(A2613="","",A2613&amp;"|"&amp;B2613)</f>
        <v/>
      </c>
    </row>
    <row r="2614" customFormat="false" ht="15" hidden="false" customHeight="false" outlineLevel="0" collapsed="false">
      <c r="A2614" s="19"/>
      <c r="B2614" s="19"/>
      <c r="C2614" s="20"/>
      <c r="D2614" s="19"/>
      <c r="E2614" s="26" t="str">
        <f aca="false">IF(A2614="","",COUNTIFS(Apparitions!$A$2:$A$5001,A2614,Apparitions!$B$2:$B$5001,B2614))</f>
        <v/>
      </c>
      <c r="F2614" s="27" t="str">
        <f aca="false">IF(A2614="","",A2614&amp;"|"&amp;B2614)</f>
        <v/>
      </c>
    </row>
    <row r="2615" customFormat="false" ht="15" hidden="false" customHeight="false" outlineLevel="0" collapsed="false">
      <c r="A2615" s="19"/>
      <c r="B2615" s="19"/>
      <c r="C2615" s="20"/>
      <c r="D2615" s="19"/>
      <c r="E2615" s="26" t="str">
        <f aca="false">IF(A2615="","",COUNTIFS(Apparitions!$A$2:$A$5001,A2615,Apparitions!$B$2:$B$5001,B2615))</f>
        <v/>
      </c>
      <c r="F2615" s="27" t="str">
        <f aca="false">IF(A2615="","",A2615&amp;"|"&amp;B2615)</f>
        <v/>
      </c>
    </row>
    <row r="2616" customFormat="false" ht="15" hidden="false" customHeight="false" outlineLevel="0" collapsed="false">
      <c r="A2616" s="19"/>
      <c r="B2616" s="19"/>
      <c r="C2616" s="20"/>
      <c r="D2616" s="19"/>
      <c r="E2616" s="26" t="str">
        <f aca="false">IF(A2616="","",COUNTIFS(Apparitions!$A$2:$A$5001,A2616,Apparitions!$B$2:$B$5001,B2616))</f>
        <v/>
      </c>
      <c r="F2616" s="27" t="str">
        <f aca="false">IF(A2616="","",A2616&amp;"|"&amp;B2616)</f>
        <v/>
      </c>
    </row>
    <row r="2617" customFormat="false" ht="15" hidden="false" customHeight="false" outlineLevel="0" collapsed="false">
      <c r="A2617" s="19"/>
      <c r="B2617" s="19"/>
      <c r="C2617" s="20"/>
      <c r="D2617" s="19"/>
      <c r="E2617" s="26" t="str">
        <f aca="false">IF(A2617="","",COUNTIFS(Apparitions!$A$2:$A$5001,A2617,Apparitions!$B$2:$B$5001,B2617))</f>
        <v/>
      </c>
      <c r="F2617" s="27" t="str">
        <f aca="false">IF(A2617="","",A2617&amp;"|"&amp;B2617)</f>
        <v/>
      </c>
    </row>
    <row r="2618" customFormat="false" ht="15" hidden="false" customHeight="false" outlineLevel="0" collapsed="false">
      <c r="A2618" s="19"/>
      <c r="B2618" s="19"/>
      <c r="C2618" s="20"/>
      <c r="D2618" s="19"/>
      <c r="E2618" s="26" t="str">
        <f aca="false">IF(A2618="","",COUNTIFS(Apparitions!$A$2:$A$5001,A2618,Apparitions!$B$2:$B$5001,B2618))</f>
        <v/>
      </c>
      <c r="F2618" s="27" t="str">
        <f aca="false">IF(A2618="","",A2618&amp;"|"&amp;B2618)</f>
        <v/>
      </c>
    </row>
    <row r="2619" customFormat="false" ht="15" hidden="false" customHeight="false" outlineLevel="0" collapsed="false">
      <c r="A2619" s="19"/>
      <c r="B2619" s="19"/>
      <c r="C2619" s="20"/>
      <c r="D2619" s="19"/>
      <c r="E2619" s="26" t="str">
        <f aca="false">IF(A2619="","",COUNTIFS(Apparitions!$A$2:$A$5001,A2619,Apparitions!$B$2:$B$5001,B2619))</f>
        <v/>
      </c>
      <c r="F2619" s="27" t="str">
        <f aca="false">IF(A2619="","",A2619&amp;"|"&amp;B2619)</f>
        <v/>
      </c>
    </row>
    <row r="2620" customFormat="false" ht="15" hidden="false" customHeight="false" outlineLevel="0" collapsed="false">
      <c r="A2620" s="19"/>
      <c r="B2620" s="19"/>
      <c r="C2620" s="20"/>
      <c r="D2620" s="19"/>
      <c r="E2620" s="26" t="str">
        <f aca="false">IF(A2620="","",COUNTIFS(Apparitions!$A$2:$A$5001,A2620,Apparitions!$B$2:$B$5001,B2620))</f>
        <v/>
      </c>
      <c r="F2620" s="27" t="str">
        <f aca="false">IF(A2620="","",A2620&amp;"|"&amp;B2620)</f>
        <v/>
      </c>
    </row>
    <row r="2621" customFormat="false" ht="15" hidden="false" customHeight="false" outlineLevel="0" collapsed="false">
      <c r="A2621" s="19"/>
      <c r="B2621" s="19"/>
      <c r="C2621" s="20"/>
      <c r="D2621" s="19"/>
      <c r="E2621" s="26" t="str">
        <f aca="false">IF(A2621="","",COUNTIFS(Apparitions!$A$2:$A$5001,A2621,Apparitions!$B$2:$B$5001,B2621))</f>
        <v/>
      </c>
      <c r="F2621" s="27" t="str">
        <f aca="false">IF(A2621="","",A2621&amp;"|"&amp;B2621)</f>
        <v/>
      </c>
    </row>
    <row r="2622" customFormat="false" ht="15" hidden="false" customHeight="false" outlineLevel="0" collapsed="false">
      <c r="A2622" s="19"/>
      <c r="B2622" s="19"/>
      <c r="C2622" s="20"/>
      <c r="D2622" s="19"/>
      <c r="E2622" s="26" t="str">
        <f aca="false">IF(A2622="","",COUNTIFS(Apparitions!$A$2:$A$5001,A2622,Apparitions!$B$2:$B$5001,B2622))</f>
        <v/>
      </c>
      <c r="F2622" s="27" t="str">
        <f aca="false">IF(A2622="","",A2622&amp;"|"&amp;B2622)</f>
        <v/>
      </c>
    </row>
    <row r="2623" customFormat="false" ht="15" hidden="false" customHeight="false" outlineLevel="0" collapsed="false">
      <c r="A2623" s="19"/>
      <c r="B2623" s="19"/>
      <c r="C2623" s="20"/>
      <c r="D2623" s="19"/>
      <c r="E2623" s="26" t="str">
        <f aca="false">IF(A2623="","",COUNTIFS(Apparitions!$A$2:$A$5001,A2623,Apparitions!$B$2:$B$5001,B2623))</f>
        <v/>
      </c>
      <c r="F2623" s="27" t="str">
        <f aca="false">IF(A2623="","",A2623&amp;"|"&amp;B2623)</f>
        <v/>
      </c>
    </row>
    <row r="2624" customFormat="false" ht="15" hidden="false" customHeight="false" outlineLevel="0" collapsed="false">
      <c r="A2624" s="19"/>
      <c r="B2624" s="19"/>
      <c r="C2624" s="20"/>
      <c r="D2624" s="19"/>
      <c r="E2624" s="26" t="str">
        <f aca="false">IF(A2624="","",COUNTIFS(Apparitions!$A$2:$A$5001,A2624,Apparitions!$B$2:$B$5001,B2624))</f>
        <v/>
      </c>
      <c r="F2624" s="27" t="str">
        <f aca="false">IF(A2624="","",A2624&amp;"|"&amp;B2624)</f>
        <v/>
      </c>
    </row>
    <row r="2625" customFormat="false" ht="15" hidden="false" customHeight="false" outlineLevel="0" collapsed="false">
      <c r="A2625" s="19"/>
      <c r="B2625" s="19"/>
      <c r="C2625" s="20"/>
      <c r="D2625" s="19"/>
      <c r="E2625" s="26" t="str">
        <f aca="false">IF(A2625="","",COUNTIFS(Apparitions!$A$2:$A$5001,A2625,Apparitions!$B$2:$B$5001,B2625))</f>
        <v/>
      </c>
      <c r="F2625" s="27" t="str">
        <f aca="false">IF(A2625="","",A2625&amp;"|"&amp;B2625)</f>
        <v/>
      </c>
    </row>
    <row r="2626" customFormat="false" ht="15" hidden="false" customHeight="false" outlineLevel="0" collapsed="false">
      <c r="A2626" s="19"/>
      <c r="B2626" s="19"/>
      <c r="C2626" s="20"/>
      <c r="D2626" s="19"/>
      <c r="E2626" s="26" t="str">
        <f aca="false">IF(A2626="","",COUNTIFS(Apparitions!$A$2:$A$5001,A2626,Apparitions!$B$2:$B$5001,B2626))</f>
        <v/>
      </c>
      <c r="F2626" s="27" t="str">
        <f aca="false">IF(A2626="","",A2626&amp;"|"&amp;B2626)</f>
        <v/>
      </c>
    </row>
    <row r="2627" customFormat="false" ht="15" hidden="false" customHeight="false" outlineLevel="0" collapsed="false">
      <c r="A2627" s="19"/>
      <c r="B2627" s="19"/>
      <c r="C2627" s="20"/>
      <c r="D2627" s="19"/>
      <c r="E2627" s="26" t="str">
        <f aca="false">IF(A2627="","",COUNTIFS(Apparitions!$A$2:$A$5001,A2627,Apparitions!$B$2:$B$5001,B2627))</f>
        <v/>
      </c>
      <c r="F2627" s="27" t="str">
        <f aca="false">IF(A2627="","",A2627&amp;"|"&amp;B2627)</f>
        <v/>
      </c>
    </row>
    <row r="2628" customFormat="false" ht="15" hidden="false" customHeight="false" outlineLevel="0" collapsed="false">
      <c r="A2628" s="19"/>
      <c r="B2628" s="19"/>
      <c r="C2628" s="20"/>
      <c r="D2628" s="19"/>
      <c r="E2628" s="26" t="str">
        <f aca="false">IF(A2628="","",COUNTIFS(Apparitions!$A$2:$A$5001,A2628,Apparitions!$B$2:$B$5001,B2628))</f>
        <v/>
      </c>
      <c r="F2628" s="27" t="str">
        <f aca="false">IF(A2628="","",A2628&amp;"|"&amp;B2628)</f>
        <v/>
      </c>
    </row>
    <row r="2629" customFormat="false" ht="15" hidden="false" customHeight="false" outlineLevel="0" collapsed="false">
      <c r="A2629" s="19"/>
      <c r="B2629" s="19"/>
      <c r="C2629" s="20"/>
      <c r="D2629" s="19"/>
      <c r="E2629" s="26" t="str">
        <f aca="false">IF(A2629="","",COUNTIFS(Apparitions!$A$2:$A$5001,A2629,Apparitions!$B$2:$B$5001,B2629))</f>
        <v/>
      </c>
      <c r="F2629" s="27" t="str">
        <f aca="false">IF(A2629="","",A2629&amp;"|"&amp;B2629)</f>
        <v/>
      </c>
    </row>
    <row r="2630" customFormat="false" ht="15" hidden="false" customHeight="false" outlineLevel="0" collapsed="false">
      <c r="A2630" s="19"/>
      <c r="B2630" s="19"/>
      <c r="C2630" s="20"/>
      <c r="D2630" s="19"/>
      <c r="E2630" s="26" t="str">
        <f aca="false">IF(A2630="","",COUNTIFS(Apparitions!$A$2:$A$5001,A2630,Apparitions!$B$2:$B$5001,B2630))</f>
        <v/>
      </c>
      <c r="F2630" s="27" t="str">
        <f aca="false">IF(A2630="","",A2630&amp;"|"&amp;B2630)</f>
        <v/>
      </c>
    </row>
    <row r="2631" customFormat="false" ht="15" hidden="false" customHeight="false" outlineLevel="0" collapsed="false">
      <c r="A2631" s="19"/>
      <c r="B2631" s="19"/>
      <c r="C2631" s="20"/>
      <c r="D2631" s="19"/>
      <c r="E2631" s="26" t="str">
        <f aca="false">IF(A2631="","",COUNTIFS(Apparitions!$A$2:$A$5001,A2631,Apparitions!$B$2:$B$5001,B2631))</f>
        <v/>
      </c>
      <c r="F2631" s="27" t="str">
        <f aca="false">IF(A2631="","",A2631&amp;"|"&amp;B2631)</f>
        <v/>
      </c>
    </row>
    <row r="2632" customFormat="false" ht="15" hidden="false" customHeight="false" outlineLevel="0" collapsed="false">
      <c r="A2632" s="19"/>
      <c r="B2632" s="19"/>
      <c r="C2632" s="20"/>
      <c r="D2632" s="19"/>
      <c r="E2632" s="26" t="str">
        <f aca="false">IF(A2632="","",COUNTIFS(Apparitions!$A$2:$A$5001,A2632,Apparitions!$B$2:$B$5001,B2632))</f>
        <v/>
      </c>
      <c r="F2632" s="27" t="str">
        <f aca="false">IF(A2632="","",A2632&amp;"|"&amp;B2632)</f>
        <v/>
      </c>
    </row>
    <row r="2633" customFormat="false" ht="15" hidden="false" customHeight="false" outlineLevel="0" collapsed="false">
      <c r="A2633" s="19"/>
      <c r="B2633" s="19"/>
      <c r="C2633" s="20"/>
      <c r="D2633" s="19"/>
      <c r="E2633" s="26" t="str">
        <f aca="false">IF(A2633="","",COUNTIFS(Apparitions!$A$2:$A$5001,A2633,Apparitions!$B$2:$B$5001,B2633))</f>
        <v/>
      </c>
      <c r="F2633" s="27" t="str">
        <f aca="false">IF(A2633="","",A2633&amp;"|"&amp;B2633)</f>
        <v/>
      </c>
    </row>
    <row r="2634" customFormat="false" ht="15" hidden="false" customHeight="false" outlineLevel="0" collapsed="false">
      <c r="A2634" s="19"/>
      <c r="B2634" s="19"/>
      <c r="C2634" s="20"/>
      <c r="D2634" s="19"/>
      <c r="E2634" s="26" t="str">
        <f aca="false">IF(A2634="","",COUNTIFS(Apparitions!$A$2:$A$5001,A2634,Apparitions!$B$2:$B$5001,B2634))</f>
        <v/>
      </c>
      <c r="F2634" s="27" t="str">
        <f aca="false">IF(A2634="","",A2634&amp;"|"&amp;B2634)</f>
        <v/>
      </c>
    </row>
    <row r="2635" customFormat="false" ht="15" hidden="false" customHeight="false" outlineLevel="0" collapsed="false">
      <c r="A2635" s="19"/>
      <c r="B2635" s="19"/>
      <c r="C2635" s="20"/>
      <c r="D2635" s="19"/>
      <c r="E2635" s="26" t="str">
        <f aca="false">IF(A2635="","",COUNTIFS(Apparitions!$A$2:$A$5001,A2635,Apparitions!$B$2:$B$5001,B2635))</f>
        <v/>
      </c>
      <c r="F2635" s="27" t="str">
        <f aca="false">IF(A2635="","",A2635&amp;"|"&amp;B2635)</f>
        <v/>
      </c>
    </row>
    <row r="2636" customFormat="false" ht="15" hidden="false" customHeight="false" outlineLevel="0" collapsed="false">
      <c r="A2636" s="19"/>
      <c r="B2636" s="19"/>
      <c r="C2636" s="20"/>
      <c r="D2636" s="19"/>
      <c r="E2636" s="26" t="str">
        <f aca="false">IF(A2636="","",COUNTIFS(Apparitions!$A$2:$A$5001,A2636,Apparitions!$B$2:$B$5001,B2636))</f>
        <v/>
      </c>
      <c r="F2636" s="27" t="str">
        <f aca="false">IF(A2636="","",A2636&amp;"|"&amp;B2636)</f>
        <v/>
      </c>
    </row>
    <row r="2637" customFormat="false" ht="15" hidden="false" customHeight="false" outlineLevel="0" collapsed="false">
      <c r="A2637" s="19"/>
      <c r="B2637" s="19"/>
      <c r="C2637" s="20"/>
      <c r="D2637" s="19"/>
      <c r="E2637" s="26" t="str">
        <f aca="false">IF(A2637="","",COUNTIFS(Apparitions!$A$2:$A$5001,A2637,Apparitions!$B$2:$B$5001,B2637))</f>
        <v/>
      </c>
      <c r="F2637" s="27" t="str">
        <f aca="false">IF(A2637="","",A2637&amp;"|"&amp;B2637)</f>
        <v/>
      </c>
    </row>
    <row r="2638" customFormat="false" ht="15" hidden="false" customHeight="false" outlineLevel="0" collapsed="false">
      <c r="A2638" s="19"/>
      <c r="B2638" s="19"/>
      <c r="C2638" s="20"/>
      <c r="D2638" s="19"/>
      <c r="E2638" s="26" t="str">
        <f aca="false">IF(A2638="","",COUNTIFS(Apparitions!$A$2:$A$5001,A2638,Apparitions!$B$2:$B$5001,B2638))</f>
        <v/>
      </c>
      <c r="F2638" s="27" t="str">
        <f aca="false">IF(A2638="","",A2638&amp;"|"&amp;B2638)</f>
        <v/>
      </c>
    </row>
    <row r="2639" customFormat="false" ht="15" hidden="false" customHeight="false" outlineLevel="0" collapsed="false">
      <c r="A2639" s="19"/>
      <c r="B2639" s="19"/>
      <c r="C2639" s="20"/>
      <c r="D2639" s="19"/>
      <c r="E2639" s="26" t="str">
        <f aca="false">IF(A2639="","",COUNTIFS(Apparitions!$A$2:$A$5001,A2639,Apparitions!$B$2:$B$5001,B2639))</f>
        <v/>
      </c>
      <c r="F2639" s="27" t="str">
        <f aca="false">IF(A2639="","",A2639&amp;"|"&amp;B2639)</f>
        <v/>
      </c>
    </row>
    <row r="2640" customFormat="false" ht="15" hidden="false" customHeight="false" outlineLevel="0" collapsed="false">
      <c r="A2640" s="19"/>
      <c r="B2640" s="19"/>
      <c r="C2640" s="20"/>
      <c r="D2640" s="19"/>
      <c r="E2640" s="26" t="str">
        <f aca="false">IF(A2640="","",COUNTIFS(Apparitions!$A$2:$A$5001,A2640,Apparitions!$B$2:$B$5001,B2640))</f>
        <v/>
      </c>
      <c r="F2640" s="27" t="str">
        <f aca="false">IF(A2640="","",A2640&amp;"|"&amp;B2640)</f>
        <v/>
      </c>
    </row>
    <row r="2641" customFormat="false" ht="15" hidden="false" customHeight="false" outlineLevel="0" collapsed="false">
      <c r="A2641" s="19"/>
      <c r="B2641" s="19"/>
      <c r="C2641" s="20"/>
      <c r="D2641" s="19"/>
      <c r="E2641" s="26" t="str">
        <f aca="false">IF(A2641="","",COUNTIFS(Apparitions!$A$2:$A$5001,A2641,Apparitions!$B$2:$B$5001,B2641))</f>
        <v/>
      </c>
      <c r="F2641" s="27" t="str">
        <f aca="false">IF(A2641="","",A2641&amp;"|"&amp;B2641)</f>
        <v/>
      </c>
    </row>
    <row r="2642" customFormat="false" ht="15" hidden="false" customHeight="false" outlineLevel="0" collapsed="false">
      <c r="A2642" s="19"/>
      <c r="B2642" s="19"/>
      <c r="C2642" s="20"/>
      <c r="D2642" s="19"/>
      <c r="E2642" s="26" t="str">
        <f aca="false">IF(A2642="","",COUNTIFS(Apparitions!$A$2:$A$5001,A2642,Apparitions!$B$2:$B$5001,B2642))</f>
        <v/>
      </c>
      <c r="F2642" s="27" t="str">
        <f aca="false">IF(A2642="","",A2642&amp;"|"&amp;B2642)</f>
        <v/>
      </c>
    </row>
    <row r="2643" customFormat="false" ht="15" hidden="false" customHeight="false" outlineLevel="0" collapsed="false">
      <c r="A2643" s="19"/>
      <c r="B2643" s="19"/>
      <c r="C2643" s="20"/>
      <c r="D2643" s="19"/>
      <c r="E2643" s="26" t="str">
        <f aca="false">IF(A2643="","",COUNTIFS(Apparitions!$A$2:$A$5001,A2643,Apparitions!$B$2:$B$5001,B2643))</f>
        <v/>
      </c>
      <c r="F2643" s="27" t="str">
        <f aca="false">IF(A2643="","",A2643&amp;"|"&amp;B2643)</f>
        <v/>
      </c>
    </row>
    <row r="2644" customFormat="false" ht="15" hidden="false" customHeight="false" outlineLevel="0" collapsed="false">
      <c r="A2644" s="19"/>
      <c r="B2644" s="19"/>
      <c r="C2644" s="20"/>
      <c r="D2644" s="19"/>
      <c r="E2644" s="26" t="str">
        <f aca="false">IF(A2644="","",COUNTIFS(Apparitions!$A$2:$A$5001,A2644,Apparitions!$B$2:$B$5001,B2644))</f>
        <v/>
      </c>
      <c r="F2644" s="27" t="str">
        <f aca="false">IF(A2644="","",A2644&amp;"|"&amp;B2644)</f>
        <v/>
      </c>
    </row>
    <row r="2645" customFormat="false" ht="15" hidden="false" customHeight="false" outlineLevel="0" collapsed="false">
      <c r="A2645" s="19"/>
      <c r="B2645" s="19"/>
      <c r="C2645" s="20"/>
      <c r="D2645" s="19"/>
      <c r="E2645" s="26" t="str">
        <f aca="false">IF(A2645="","",COUNTIFS(Apparitions!$A$2:$A$5001,A2645,Apparitions!$B$2:$B$5001,B2645))</f>
        <v/>
      </c>
      <c r="F2645" s="27" t="str">
        <f aca="false">IF(A2645="","",A2645&amp;"|"&amp;B2645)</f>
        <v/>
      </c>
    </row>
    <row r="2646" customFormat="false" ht="15" hidden="false" customHeight="false" outlineLevel="0" collapsed="false">
      <c r="A2646" s="19"/>
      <c r="B2646" s="19"/>
      <c r="C2646" s="20"/>
      <c r="D2646" s="19"/>
      <c r="E2646" s="26" t="str">
        <f aca="false">IF(A2646="","",COUNTIFS(Apparitions!$A$2:$A$5001,A2646,Apparitions!$B$2:$B$5001,B2646))</f>
        <v/>
      </c>
      <c r="F2646" s="27" t="str">
        <f aca="false">IF(A2646="","",A2646&amp;"|"&amp;B2646)</f>
        <v/>
      </c>
    </row>
    <row r="2647" customFormat="false" ht="15" hidden="false" customHeight="false" outlineLevel="0" collapsed="false">
      <c r="A2647" s="19"/>
      <c r="B2647" s="19"/>
      <c r="C2647" s="20"/>
      <c r="D2647" s="19"/>
      <c r="E2647" s="26" t="str">
        <f aca="false">IF(A2647="","",COUNTIFS(Apparitions!$A$2:$A$5001,A2647,Apparitions!$B$2:$B$5001,B2647))</f>
        <v/>
      </c>
      <c r="F2647" s="27" t="str">
        <f aca="false">IF(A2647="","",A2647&amp;"|"&amp;B2647)</f>
        <v/>
      </c>
    </row>
    <row r="2648" customFormat="false" ht="15" hidden="false" customHeight="false" outlineLevel="0" collapsed="false">
      <c r="A2648" s="19"/>
      <c r="B2648" s="19"/>
      <c r="C2648" s="20"/>
      <c r="D2648" s="19"/>
      <c r="E2648" s="26" t="str">
        <f aca="false">IF(A2648="","",COUNTIFS(Apparitions!$A$2:$A$5001,A2648,Apparitions!$B$2:$B$5001,B2648))</f>
        <v/>
      </c>
      <c r="F2648" s="27" t="str">
        <f aca="false">IF(A2648="","",A2648&amp;"|"&amp;B2648)</f>
        <v/>
      </c>
    </row>
    <row r="2649" customFormat="false" ht="15" hidden="false" customHeight="false" outlineLevel="0" collapsed="false">
      <c r="A2649" s="19"/>
      <c r="B2649" s="19"/>
      <c r="C2649" s="20"/>
      <c r="D2649" s="19"/>
      <c r="E2649" s="26" t="str">
        <f aca="false">IF(A2649="","",COUNTIFS(Apparitions!$A$2:$A$5001,A2649,Apparitions!$B$2:$B$5001,B2649))</f>
        <v/>
      </c>
      <c r="F2649" s="27" t="str">
        <f aca="false">IF(A2649="","",A2649&amp;"|"&amp;B2649)</f>
        <v/>
      </c>
    </row>
    <row r="2650" customFormat="false" ht="15" hidden="false" customHeight="false" outlineLevel="0" collapsed="false">
      <c r="A2650" s="19"/>
      <c r="B2650" s="19"/>
      <c r="C2650" s="20"/>
      <c r="D2650" s="19"/>
      <c r="E2650" s="26" t="str">
        <f aca="false">IF(A2650="","",COUNTIFS(Apparitions!$A$2:$A$5001,A2650,Apparitions!$B$2:$B$5001,B2650))</f>
        <v/>
      </c>
      <c r="F2650" s="27" t="str">
        <f aca="false">IF(A2650="","",A2650&amp;"|"&amp;B2650)</f>
        <v/>
      </c>
    </row>
    <row r="2651" customFormat="false" ht="15" hidden="false" customHeight="false" outlineLevel="0" collapsed="false">
      <c r="A2651" s="19"/>
      <c r="B2651" s="19"/>
      <c r="C2651" s="20"/>
      <c r="D2651" s="19"/>
      <c r="E2651" s="26" t="str">
        <f aca="false">IF(A2651="","",COUNTIFS(Apparitions!$A$2:$A$5001,A2651,Apparitions!$B$2:$B$5001,B2651))</f>
        <v/>
      </c>
      <c r="F2651" s="27" t="str">
        <f aca="false">IF(A2651="","",A2651&amp;"|"&amp;B2651)</f>
        <v/>
      </c>
    </row>
    <row r="2652" customFormat="false" ht="15" hidden="false" customHeight="false" outlineLevel="0" collapsed="false">
      <c r="A2652" s="19"/>
      <c r="B2652" s="19"/>
      <c r="C2652" s="20"/>
      <c r="D2652" s="19"/>
      <c r="E2652" s="26" t="str">
        <f aca="false">IF(A2652="","",COUNTIFS(Apparitions!$A$2:$A$5001,A2652,Apparitions!$B$2:$B$5001,B2652))</f>
        <v/>
      </c>
      <c r="F2652" s="27" t="str">
        <f aca="false">IF(A2652="","",A2652&amp;"|"&amp;B2652)</f>
        <v/>
      </c>
    </row>
    <row r="2653" customFormat="false" ht="15" hidden="false" customHeight="false" outlineLevel="0" collapsed="false">
      <c r="A2653" s="19"/>
      <c r="B2653" s="19"/>
      <c r="C2653" s="20"/>
      <c r="D2653" s="19"/>
      <c r="E2653" s="26" t="str">
        <f aca="false">IF(A2653="","",COUNTIFS(Apparitions!$A$2:$A$5001,A2653,Apparitions!$B$2:$B$5001,B2653))</f>
        <v/>
      </c>
      <c r="F2653" s="27" t="str">
        <f aca="false">IF(A2653="","",A2653&amp;"|"&amp;B2653)</f>
        <v/>
      </c>
    </row>
    <row r="2654" customFormat="false" ht="15" hidden="false" customHeight="false" outlineLevel="0" collapsed="false">
      <c r="A2654" s="19"/>
      <c r="B2654" s="19"/>
      <c r="C2654" s="20"/>
      <c r="D2654" s="19"/>
      <c r="E2654" s="26" t="str">
        <f aca="false">IF(A2654="","",COUNTIFS(Apparitions!$A$2:$A$5001,A2654,Apparitions!$B$2:$B$5001,B2654))</f>
        <v/>
      </c>
      <c r="F2654" s="27" t="str">
        <f aca="false">IF(A2654="","",A2654&amp;"|"&amp;B2654)</f>
        <v/>
      </c>
    </row>
    <row r="2655" customFormat="false" ht="15" hidden="false" customHeight="false" outlineLevel="0" collapsed="false">
      <c r="A2655" s="19"/>
      <c r="B2655" s="19"/>
      <c r="C2655" s="20"/>
      <c r="D2655" s="19"/>
      <c r="E2655" s="26" t="str">
        <f aca="false">IF(A2655="","",COUNTIFS(Apparitions!$A$2:$A$5001,A2655,Apparitions!$B$2:$B$5001,B2655))</f>
        <v/>
      </c>
      <c r="F2655" s="27" t="str">
        <f aca="false">IF(A2655="","",A2655&amp;"|"&amp;B2655)</f>
        <v/>
      </c>
    </row>
    <row r="2656" customFormat="false" ht="15" hidden="false" customHeight="false" outlineLevel="0" collapsed="false">
      <c r="A2656" s="19"/>
      <c r="B2656" s="19"/>
      <c r="C2656" s="20"/>
      <c r="D2656" s="19"/>
      <c r="E2656" s="26" t="str">
        <f aca="false">IF(A2656="","",COUNTIFS(Apparitions!$A$2:$A$5001,A2656,Apparitions!$B$2:$B$5001,B2656))</f>
        <v/>
      </c>
      <c r="F2656" s="27" t="str">
        <f aca="false">IF(A2656="","",A2656&amp;"|"&amp;B2656)</f>
        <v/>
      </c>
    </row>
    <row r="2657" customFormat="false" ht="15" hidden="false" customHeight="false" outlineLevel="0" collapsed="false">
      <c r="A2657" s="19"/>
      <c r="B2657" s="19"/>
      <c r="C2657" s="20"/>
      <c r="D2657" s="19"/>
      <c r="E2657" s="26" t="str">
        <f aca="false">IF(A2657="","",COUNTIFS(Apparitions!$A$2:$A$5001,A2657,Apparitions!$B$2:$B$5001,B2657))</f>
        <v/>
      </c>
      <c r="F2657" s="27" t="str">
        <f aca="false">IF(A2657="","",A2657&amp;"|"&amp;B2657)</f>
        <v/>
      </c>
    </row>
    <row r="2658" customFormat="false" ht="15" hidden="false" customHeight="false" outlineLevel="0" collapsed="false">
      <c r="A2658" s="19"/>
      <c r="B2658" s="19"/>
      <c r="C2658" s="20"/>
      <c r="D2658" s="19"/>
      <c r="E2658" s="26" t="str">
        <f aca="false">IF(A2658="","",COUNTIFS(Apparitions!$A$2:$A$5001,A2658,Apparitions!$B$2:$B$5001,B2658))</f>
        <v/>
      </c>
      <c r="F2658" s="27" t="str">
        <f aca="false">IF(A2658="","",A2658&amp;"|"&amp;B2658)</f>
        <v/>
      </c>
    </row>
    <row r="2659" customFormat="false" ht="15" hidden="false" customHeight="false" outlineLevel="0" collapsed="false">
      <c r="A2659" s="19"/>
      <c r="B2659" s="19"/>
      <c r="C2659" s="20"/>
      <c r="D2659" s="19"/>
      <c r="E2659" s="26" t="str">
        <f aca="false">IF(A2659="","",COUNTIFS(Apparitions!$A$2:$A$5001,A2659,Apparitions!$B$2:$B$5001,B2659))</f>
        <v/>
      </c>
      <c r="F2659" s="27" t="str">
        <f aca="false">IF(A2659="","",A2659&amp;"|"&amp;B2659)</f>
        <v/>
      </c>
    </row>
    <row r="2660" customFormat="false" ht="15" hidden="false" customHeight="false" outlineLevel="0" collapsed="false">
      <c r="A2660" s="19"/>
      <c r="B2660" s="19"/>
      <c r="C2660" s="20"/>
      <c r="D2660" s="19"/>
      <c r="E2660" s="26" t="str">
        <f aca="false">IF(A2660="","",COUNTIFS(Apparitions!$A$2:$A$5001,A2660,Apparitions!$B$2:$B$5001,B2660))</f>
        <v/>
      </c>
      <c r="F2660" s="27" t="str">
        <f aca="false">IF(A2660="","",A2660&amp;"|"&amp;B2660)</f>
        <v/>
      </c>
    </row>
    <row r="2661" customFormat="false" ht="15" hidden="false" customHeight="false" outlineLevel="0" collapsed="false">
      <c r="A2661" s="19"/>
      <c r="B2661" s="19"/>
      <c r="C2661" s="20"/>
      <c r="D2661" s="19"/>
      <c r="E2661" s="26" t="str">
        <f aca="false">IF(A2661="","",COUNTIFS(Apparitions!$A$2:$A$5001,A2661,Apparitions!$B$2:$B$5001,B2661))</f>
        <v/>
      </c>
      <c r="F2661" s="27" t="str">
        <f aca="false">IF(A2661="","",A2661&amp;"|"&amp;B2661)</f>
        <v/>
      </c>
    </row>
    <row r="2662" customFormat="false" ht="15" hidden="false" customHeight="false" outlineLevel="0" collapsed="false">
      <c r="A2662" s="19"/>
      <c r="B2662" s="19"/>
      <c r="C2662" s="20"/>
      <c r="D2662" s="19"/>
      <c r="E2662" s="26" t="str">
        <f aca="false">IF(A2662="","",COUNTIFS(Apparitions!$A$2:$A$5001,A2662,Apparitions!$B$2:$B$5001,B2662))</f>
        <v/>
      </c>
      <c r="F2662" s="27" t="str">
        <f aca="false">IF(A2662="","",A2662&amp;"|"&amp;B2662)</f>
        <v/>
      </c>
    </row>
    <row r="2663" customFormat="false" ht="15" hidden="false" customHeight="false" outlineLevel="0" collapsed="false">
      <c r="A2663" s="19"/>
      <c r="B2663" s="19"/>
      <c r="C2663" s="20"/>
      <c r="D2663" s="19"/>
      <c r="E2663" s="26" t="str">
        <f aca="false">IF(A2663="","",COUNTIFS(Apparitions!$A$2:$A$5001,A2663,Apparitions!$B$2:$B$5001,B2663))</f>
        <v/>
      </c>
      <c r="F2663" s="27" t="str">
        <f aca="false">IF(A2663="","",A2663&amp;"|"&amp;B2663)</f>
        <v/>
      </c>
    </row>
    <row r="2664" customFormat="false" ht="15" hidden="false" customHeight="false" outlineLevel="0" collapsed="false">
      <c r="A2664" s="19"/>
      <c r="B2664" s="19"/>
      <c r="C2664" s="20"/>
      <c r="D2664" s="19"/>
      <c r="E2664" s="26" t="str">
        <f aca="false">IF(A2664="","",COUNTIFS(Apparitions!$A$2:$A$5001,A2664,Apparitions!$B$2:$B$5001,B2664))</f>
        <v/>
      </c>
      <c r="F2664" s="27" t="str">
        <f aca="false">IF(A2664="","",A2664&amp;"|"&amp;B2664)</f>
        <v/>
      </c>
    </row>
    <row r="2665" customFormat="false" ht="15" hidden="false" customHeight="false" outlineLevel="0" collapsed="false">
      <c r="A2665" s="19"/>
      <c r="B2665" s="19"/>
      <c r="C2665" s="20"/>
      <c r="D2665" s="19"/>
      <c r="E2665" s="26" t="str">
        <f aca="false">IF(A2665="","",COUNTIFS(Apparitions!$A$2:$A$5001,A2665,Apparitions!$B$2:$B$5001,B2665))</f>
        <v/>
      </c>
      <c r="F2665" s="27" t="str">
        <f aca="false">IF(A2665="","",A2665&amp;"|"&amp;B2665)</f>
        <v/>
      </c>
    </row>
    <row r="2666" customFormat="false" ht="15" hidden="false" customHeight="false" outlineLevel="0" collapsed="false">
      <c r="A2666" s="19"/>
      <c r="B2666" s="19"/>
      <c r="C2666" s="20"/>
      <c r="D2666" s="19"/>
      <c r="E2666" s="26" t="str">
        <f aca="false">IF(A2666="","",COUNTIFS(Apparitions!$A$2:$A$5001,A2666,Apparitions!$B$2:$B$5001,B2666))</f>
        <v/>
      </c>
      <c r="F2666" s="27" t="str">
        <f aca="false">IF(A2666="","",A2666&amp;"|"&amp;B2666)</f>
        <v/>
      </c>
    </row>
    <row r="2667" customFormat="false" ht="15" hidden="false" customHeight="false" outlineLevel="0" collapsed="false">
      <c r="A2667" s="19"/>
      <c r="B2667" s="19"/>
      <c r="C2667" s="20"/>
      <c r="D2667" s="19"/>
      <c r="E2667" s="26" t="str">
        <f aca="false">IF(A2667="","",COUNTIFS(Apparitions!$A$2:$A$5001,A2667,Apparitions!$B$2:$B$5001,B2667))</f>
        <v/>
      </c>
      <c r="F2667" s="27" t="str">
        <f aca="false">IF(A2667="","",A2667&amp;"|"&amp;B2667)</f>
        <v/>
      </c>
    </row>
    <row r="2668" customFormat="false" ht="15" hidden="false" customHeight="false" outlineLevel="0" collapsed="false">
      <c r="A2668" s="19"/>
      <c r="B2668" s="19"/>
      <c r="C2668" s="20"/>
      <c r="D2668" s="19"/>
      <c r="E2668" s="26" t="str">
        <f aca="false">IF(A2668="","",COUNTIFS(Apparitions!$A$2:$A$5001,A2668,Apparitions!$B$2:$B$5001,B2668))</f>
        <v/>
      </c>
      <c r="F2668" s="27" t="str">
        <f aca="false">IF(A2668="","",A2668&amp;"|"&amp;B2668)</f>
        <v/>
      </c>
    </row>
    <row r="2669" customFormat="false" ht="15" hidden="false" customHeight="false" outlineLevel="0" collapsed="false">
      <c r="A2669" s="19"/>
      <c r="B2669" s="19"/>
      <c r="C2669" s="20"/>
      <c r="D2669" s="19"/>
      <c r="E2669" s="26" t="str">
        <f aca="false">IF(A2669="","",COUNTIFS(Apparitions!$A$2:$A$5001,A2669,Apparitions!$B$2:$B$5001,B2669))</f>
        <v/>
      </c>
      <c r="F2669" s="27" t="str">
        <f aca="false">IF(A2669="","",A2669&amp;"|"&amp;B2669)</f>
        <v/>
      </c>
    </row>
    <row r="2670" customFormat="false" ht="15" hidden="false" customHeight="false" outlineLevel="0" collapsed="false">
      <c r="A2670" s="19"/>
      <c r="B2670" s="19"/>
      <c r="C2670" s="20"/>
      <c r="D2670" s="19"/>
      <c r="E2670" s="26" t="str">
        <f aca="false">IF(A2670="","",COUNTIFS(Apparitions!$A$2:$A$5001,A2670,Apparitions!$B$2:$B$5001,B2670))</f>
        <v/>
      </c>
      <c r="F2670" s="27" t="str">
        <f aca="false">IF(A2670="","",A2670&amp;"|"&amp;B2670)</f>
        <v/>
      </c>
    </row>
    <row r="2671" customFormat="false" ht="15" hidden="false" customHeight="false" outlineLevel="0" collapsed="false">
      <c r="A2671" s="19"/>
      <c r="B2671" s="19"/>
      <c r="C2671" s="20"/>
      <c r="D2671" s="19"/>
      <c r="E2671" s="26" t="str">
        <f aca="false">IF(A2671="","",COUNTIFS(Apparitions!$A$2:$A$5001,A2671,Apparitions!$B$2:$B$5001,B2671))</f>
        <v/>
      </c>
      <c r="F2671" s="27" t="str">
        <f aca="false">IF(A2671="","",A2671&amp;"|"&amp;B2671)</f>
        <v/>
      </c>
    </row>
    <row r="2672" customFormat="false" ht="15" hidden="false" customHeight="false" outlineLevel="0" collapsed="false">
      <c r="A2672" s="19"/>
      <c r="B2672" s="19"/>
      <c r="C2672" s="20"/>
      <c r="D2672" s="19"/>
      <c r="E2672" s="26" t="str">
        <f aca="false">IF(A2672="","",COUNTIFS(Apparitions!$A$2:$A$5001,A2672,Apparitions!$B$2:$B$5001,B2672))</f>
        <v/>
      </c>
      <c r="F2672" s="27" t="str">
        <f aca="false">IF(A2672="","",A2672&amp;"|"&amp;B2672)</f>
        <v/>
      </c>
    </row>
    <row r="2673" customFormat="false" ht="15" hidden="false" customHeight="false" outlineLevel="0" collapsed="false">
      <c r="A2673" s="19"/>
      <c r="B2673" s="19"/>
      <c r="C2673" s="20"/>
      <c r="D2673" s="19"/>
      <c r="E2673" s="26" t="str">
        <f aca="false">IF(A2673="","",COUNTIFS(Apparitions!$A$2:$A$5001,A2673,Apparitions!$B$2:$B$5001,B2673))</f>
        <v/>
      </c>
      <c r="F2673" s="27" t="str">
        <f aca="false">IF(A2673="","",A2673&amp;"|"&amp;B2673)</f>
        <v/>
      </c>
    </row>
    <row r="2674" customFormat="false" ht="15" hidden="false" customHeight="false" outlineLevel="0" collapsed="false">
      <c r="A2674" s="19"/>
      <c r="B2674" s="19"/>
      <c r="C2674" s="20"/>
      <c r="D2674" s="19"/>
      <c r="E2674" s="26" t="str">
        <f aca="false">IF(A2674="","",COUNTIFS(Apparitions!$A$2:$A$5001,A2674,Apparitions!$B$2:$B$5001,B2674))</f>
        <v/>
      </c>
      <c r="F2674" s="27" t="str">
        <f aca="false">IF(A2674="","",A2674&amp;"|"&amp;B2674)</f>
        <v/>
      </c>
    </row>
    <row r="2675" customFormat="false" ht="15" hidden="false" customHeight="false" outlineLevel="0" collapsed="false">
      <c r="A2675" s="19"/>
      <c r="B2675" s="19"/>
      <c r="C2675" s="20"/>
      <c r="D2675" s="19"/>
      <c r="E2675" s="26" t="str">
        <f aca="false">IF(A2675="","",COUNTIFS(Apparitions!$A$2:$A$5001,A2675,Apparitions!$B$2:$B$5001,B2675))</f>
        <v/>
      </c>
      <c r="F2675" s="27" t="str">
        <f aca="false">IF(A2675="","",A2675&amp;"|"&amp;B2675)</f>
        <v/>
      </c>
    </row>
    <row r="2676" customFormat="false" ht="15" hidden="false" customHeight="false" outlineLevel="0" collapsed="false">
      <c r="A2676" s="19"/>
      <c r="B2676" s="19"/>
      <c r="C2676" s="20"/>
      <c r="D2676" s="19"/>
      <c r="E2676" s="26" t="str">
        <f aca="false">IF(A2676="","",COUNTIFS(Apparitions!$A$2:$A$5001,A2676,Apparitions!$B$2:$B$5001,B2676))</f>
        <v/>
      </c>
      <c r="F2676" s="27" t="str">
        <f aca="false">IF(A2676="","",A2676&amp;"|"&amp;B2676)</f>
        <v/>
      </c>
    </row>
    <row r="2677" customFormat="false" ht="15" hidden="false" customHeight="false" outlineLevel="0" collapsed="false">
      <c r="A2677" s="19"/>
      <c r="B2677" s="19"/>
      <c r="C2677" s="20"/>
      <c r="D2677" s="19"/>
      <c r="E2677" s="26" t="str">
        <f aca="false">IF(A2677="","",COUNTIFS(Apparitions!$A$2:$A$5001,A2677,Apparitions!$B$2:$B$5001,B2677))</f>
        <v/>
      </c>
      <c r="F2677" s="27" t="str">
        <f aca="false">IF(A2677="","",A2677&amp;"|"&amp;B2677)</f>
        <v/>
      </c>
    </row>
    <row r="2678" customFormat="false" ht="15" hidden="false" customHeight="false" outlineLevel="0" collapsed="false">
      <c r="A2678" s="19"/>
      <c r="B2678" s="19"/>
      <c r="C2678" s="20"/>
      <c r="D2678" s="19"/>
      <c r="E2678" s="26" t="str">
        <f aca="false">IF(A2678="","",COUNTIFS(Apparitions!$A$2:$A$5001,A2678,Apparitions!$B$2:$B$5001,B2678))</f>
        <v/>
      </c>
      <c r="F2678" s="27" t="str">
        <f aca="false">IF(A2678="","",A2678&amp;"|"&amp;B2678)</f>
        <v/>
      </c>
    </row>
    <row r="2679" customFormat="false" ht="15" hidden="false" customHeight="false" outlineLevel="0" collapsed="false">
      <c r="A2679" s="19"/>
      <c r="B2679" s="19"/>
      <c r="C2679" s="20"/>
      <c r="D2679" s="19"/>
      <c r="E2679" s="26" t="str">
        <f aca="false">IF(A2679="","",COUNTIFS(Apparitions!$A$2:$A$5001,A2679,Apparitions!$B$2:$B$5001,B2679))</f>
        <v/>
      </c>
      <c r="F2679" s="27" t="str">
        <f aca="false">IF(A2679="","",A2679&amp;"|"&amp;B2679)</f>
        <v/>
      </c>
    </row>
    <row r="2680" customFormat="false" ht="15" hidden="false" customHeight="false" outlineLevel="0" collapsed="false">
      <c r="A2680" s="19"/>
      <c r="B2680" s="19"/>
      <c r="C2680" s="20"/>
      <c r="D2680" s="19"/>
      <c r="E2680" s="26" t="str">
        <f aca="false">IF(A2680="","",COUNTIFS(Apparitions!$A$2:$A$5001,A2680,Apparitions!$B$2:$B$5001,B2680))</f>
        <v/>
      </c>
      <c r="F2680" s="27" t="str">
        <f aca="false">IF(A2680="","",A2680&amp;"|"&amp;B2680)</f>
        <v/>
      </c>
    </row>
    <row r="2681" customFormat="false" ht="15" hidden="false" customHeight="false" outlineLevel="0" collapsed="false">
      <c r="A2681" s="19"/>
      <c r="B2681" s="19"/>
      <c r="C2681" s="20"/>
      <c r="D2681" s="19"/>
      <c r="E2681" s="26" t="str">
        <f aca="false">IF(A2681="","",COUNTIFS(Apparitions!$A$2:$A$5001,A2681,Apparitions!$B$2:$B$5001,B2681))</f>
        <v/>
      </c>
      <c r="F2681" s="27" t="str">
        <f aca="false">IF(A2681="","",A2681&amp;"|"&amp;B2681)</f>
        <v/>
      </c>
    </row>
    <row r="2682" customFormat="false" ht="15" hidden="false" customHeight="false" outlineLevel="0" collapsed="false">
      <c r="A2682" s="19"/>
      <c r="B2682" s="19"/>
      <c r="C2682" s="20"/>
      <c r="D2682" s="19"/>
      <c r="E2682" s="26" t="str">
        <f aca="false">IF(A2682="","",COUNTIFS(Apparitions!$A$2:$A$5001,A2682,Apparitions!$B$2:$B$5001,B2682))</f>
        <v/>
      </c>
      <c r="F2682" s="27" t="str">
        <f aca="false">IF(A2682="","",A2682&amp;"|"&amp;B2682)</f>
        <v/>
      </c>
    </row>
    <row r="2683" customFormat="false" ht="15" hidden="false" customHeight="false" outlineLevel="0" collapsed="false">
      <c r="A2683" s="19"/>
      <c r="B2683" s="19"/>
      <c r="C2683" s="20"/>
      <c r="D2683" s="19"/>
      <c r="E2683" s="26" t="str">
        <f aca="false">IF(A2683="","",COUNTIFS(Apparitions!$A$2:$A$5001,A2683,Apparitions!$B$2:$B$5001,B2683))</f>
        <v/>
      </c>
      <c r="F2683" s="27" t="str">
        <f aca="false">IF(A2683="","",A2683&amp;"|"&amp;B2683)</f>
        <v/>
      </c>
    </row>
    <row r="2684" customFormat="false" ht="15" hidden="false" customHeight="false" outlineLevel="0" collapsed="false">
      <c r="A2684" s="19"/>
      <c r="B2684" s="19"/>
      <c r="C2684" s="20"/>
      <c r="D2684" s="19"/>
      <c r="E2684" s="26" t="str">
        <f aca="false">IF(A2684="","",COUNTIFS(Apparitions!$A$2:$A$5001,A2684,Apparitions!$B$2:$B$5001,B2684))</f>
        <v/>
      </c>
      <c r="F2684" s="27" t="str">
        <f aca="false">IF(A2684="","",A2684&amp;"|"&amp;B2684)</f>
        <v/>
      </c>
    </row>
    <row r="2685" customFormat="false" ht="15" hidden="false" customHeight="false" outlineLevel="0" collapsed="false">
      <c r="A2685" s="19"/>
      <c r="B2685" s="19"/>
      <c r="C2685" s="20"/>
      <c r="D2685" s="19"/>
      <c r="E2685" s="26" t="str">
        <f aca="false">IF(A2685="","",COUNTIFS(Apparitions!$A$2:$A$5001,A2685,Apparitions!$B$2:$B$5001,B2685))</f>
        <v/>
      </c>
      <c r="F2685" s="27" t="str">
        <f aca="false">IF(A2685="","",A2685&amp;"|"&amp;B2685)</f>
        <v/>
      </c>
    </row>
    <row r="2686" customFormat="false" ht="15" hidden="false" customHeight="false" outlineLevel="0" collapsed="false">
      <c r="A2686" s="19"/>
      <c r="B2686" s="19"/>
      <c r="C2686" s="20"/>
      <c r="D2686" s="19"/>
      <c r="E2686" s="26" t="str">
        <f aca="false">IF(A2686="","",COUNTIFS(Apparitions!$A$2:$A$5001,A2686,Apparitions!$B$2:$B$5001,B2686))</f>
        <v/>
      </c>
      <c r="F2686" s="27" t="str">
        <f aca="false">IF(A2686="","",A2686&amp;"|"&amp;B2686)</f>
        <v/>
      </c>
    </row>
    <row r="2687" customFormat="false" ht="15" hidden="false" customHeight="false" outlineLevel="0" collapsed="false">
      <c r="A2687" s="19"/>
      <c r="B2687" s="19"/>
      <c r="C2687" s="20"/>
      <c r="D2687" s="19"/>
      <c r="E2687" s="26" t="str">
        <f aca="false">IF(A2687="","",COUNTIFS(Apparitions!$A$2:$A$5001,A2687,Apparitions!$B$2:$B$5001,B2687))</f>
        <v/>
      </c>
      <c r="F2687" s="27" t="str">
        <f aca="false">IF(A2687="","",A2687&amp;"|"&amp;B2687)</f>
        <v/>
      </c>
    </row>
    <row r="2688" customFormat="false" ht="15" hidden="false" customHeight="false" outlineLevel="0" collapsed="false">
      <c r="A2688" s="19"/>
      <c r="B2688" s="19"/>
      <c r="C2688" s="20"/>
      <c r="D2688" s="19"/>
      <c r="E2688" s="26" t="str">
        <f aca="false">IF(A2688="","",COUNTIFS(Apparitions!$A$2:$A$5001,A2688,Apparitions!$B$2:$B$5001,B2688))</f>
        <v/>
      </c>
      <c r="F2688" s="27" t="str">
        <f aca="false">IF(A2688="","",A2688&amp;"|"&amp;B2688)</f>
        <v/>
      </c>
    </row>
    <row r="2689" customFormat="false" ht="15" hidden="false" customHeight="false" outlineLevel="0" collapsed="false">
      <c r="A2689" s="19"/>
      <c r="B2689" s="19"/>
      <c r="C2689" s="20"/>
      <c r="D2689" s="19"/>
      <c r="E2689" s="26" t="str">
        <f aca="false">IF(A2689="","",COUNTIFS(Apparitions!$A$2:$A$5001,A2689,Apparitions!$B$2:$B$5001,B2689))</f>
        <v/>
      </c>
      <c r="F2689" s="27" t="str">
        <f aca="false">IF(A2689="","",A2689&amp;"|"&amp;B2689)</f>
        <v/>
      </c>
    </row>
    <row r="2690" customFormat="false" ht="15" hidden="false" customHeight="false" outlineLevel="0" collapsed="false">
      <c r="A2690" s="19"/>
      <c r="B2690" s="19"/>
      <c r="C2690" s="20"/>
      <c r="D2690" s="19"/>
      <c r="E2690" s="26" t="str">
        <f aca="false">IF(A2690="","",COUNTIFS(Apparitions!$A$2:$A$5001,A2690,Apparitions!$B$2:$B$5001,B2690))</f>
        <v/>
      </c>
      <c r="F2690" s="27" t="str">
        <f aca="false">IF(A2690="","",A2690&amp;"|"&amp;B2690)</f>
        <v/>
      </c>
    </row>
    <row r="2691" customFormat="false" ht="15" hidden="false" customHeight="false" outlineLevel="0" collapsed="false">
      <c r="A2691" s="19"/>
      <c r="B2691" s="19"/>
      <c r="C2691" s="20"/>
      <c r="D2691" s="19"/>
      <c r="E2691" s="26" t="str">
        <f aca="false">IF(A2691="","",COUNTIFS(Apparitions!$A$2:$A$5001,A2691,Apparitions!$B$2:$B$5001,B2691))</f>
        <v/>
      </c>
      <c r="F2691" s="27" t="str">
        <f aca="false">IF(A2691="","",A2691&amp;"|"&amp;B2691)</f>
        <v/>
      </c>
    </row>
    <row r="2692" customFormat="false" ht="15" hidden="false" customHeight="false" outlineLevel="0" collapsed="false">
      <c r="A2692" s="19"/>
      <c r="B2692" s="19"/>
      <c r="C2692" s="20"/>
      <c r="D2692" s="19"/>
      <c r="E2692" s="26" t="str">
        <f aca="false">IF(A2692="","",COUNTIFS(Apparitions!$A$2:$A$5001,A2692,Apparitions!$B$2:$B$5001,B2692))</f>
        <v/>
      </c>
      <c r="F2692" s="27" t="str">
        <f aca="false">IF(A2692="","",A2692&amp;"|"&amp;B2692)</f>
        <v/>
      </c>
    </row>
    <row r="2693" customFormat="false" ht="15" hidden="false" customHeight="false" outlineLevel="0" collapsed="false">
      <c r="A2693" s="19"/>
      <c r="B2693" s="19"/>
      <c r="C2693" s="20"/>
      <c r="D2693" s="19"/>
      <c r="E2693" s="26" t="str">
        <f aca="false">IF(A2693="","",COUNTIFS(Apparitions!$A$2:$A$5001,A2693,Apparitions!$B$2:$B$5001,B2693))</f>
        <v/>
      </c>
      <c r="F2693" s="27" t="str">
        <f aca="false">IF(A2693="","",A2693&amp;"|"&amp;B2693)</f>
        <v/>
      </c>
    </row>
    <row r="2694" customFormat="false" ht="15" hidden="false" customHeight="false" outlineLevel="0" collapsed="false">
      <c r="A2694" s="19"/>
      <c r="B2694" s="19"/>
      <c r="C2694" s="20"/>
      <c r="D2694" s="19"/>
      <c r="E2694" s="26" t="str">
        <f aca="false">IF(A2694="","",COUNTIFS(Apparitions!$A$2:$A$5001,A2694,Apparitions!$B$2:$B$5001,B2694))</f>
        <v/>
      </c>
      <c r="F2694" s="27" t="str">
        <f aca="false">IF(A2694="","",A2694&amp;"|"&amp;B2694)</f>
        <v/>
      </c>
    </row>
    <row r="2695" customFormat="false" ht="15" hidden="false" customHeight="false" outlineLevel="0" collapsed="false">
      <c r="A2695" s="19"/>
      <c r="B2695" s="19"/>
      <c r="C2695" s="20"/>
      <c r="D2695" s="19"/>
      <c r="E2695" s="26" t="str">
        <f aca="false">IF(A2695="","",COUNTIFS(Apparitions!$A$2:$A$5001,A2695,Apparitions!$B$2:$B$5001,B2695))</f>
        <v/>
      </c>
      <c r="F2695" s="27" t="str">
        <f aca="false">IF(A2695="","",A2695&amp;"|"&amp;B2695)</f>
        <v/>
      </c>
    </row>
    <row r="2696" customFormat="false" ht="15" hidden="false" customHeight="false" outlineLevel="0" collapsed="false">
      <c r="A2696" s="19"/>
      <c r="B2696" s="19"/>
      <c r="C2696" s="20"/>
      <c r="D2696" s="19"/>
      <c r="E2696" s="26" t="str">
        <f aca="false">IF(A2696="","",COUNTIFS(Apparitions!$A$2:$A$5001,A2696,Apparitions!$B$2:$B$5001,B2696))</f>
        <v/>
      </c>
      <c r="F2696" s="27" t="str">
        <f aca="false">IF(A2696="","",A2696&amp;"|"&amp;B2696)</f>
        <v/>
      </c>
    </row>
    <row r="2697" customFormat="false" ht="15" hidden="false" customHeight="false" outlineLevel="0" collapsed="false">
      <c r="A2697" s="19"/>
      <c r="B2697" s="19"/>
      <c r="C2697" s="20"/>
      <c r="D2697" s="19"/>
      <c r="E2697" s="26" t="str">
        <f aca="false">IF(A2697="","",COUNTIFS(Apparitions!$A$2:$A$5001,A2697,Apparitions!$B$2:$B$5001,B2697))</f>
        <v/>
      </c>
      <c r="F2697" s="27" t="str">
        <f aca="false">IF(A2697="","",A2697&amp;"|"&amp;B2697)</f>
        <v/>
      </c>
    </row>
    <row r="2698" customFormat="false" ht="15" hidden="false" customHeight="false" outlineLevel="0" collapsed="false">
      <c r="A2698" s="19"/>
      <c r="B2698" s="19"/>
      <c r="C2698" s="20"/>
      <c r="D2698" s="19"/>
      <c r="E2698" s="26" t="str">
        <f aca="false">IF(A2698="","",COUNTIFS(Apparitions!$A$2:$A$5001,A2698,Apparitions!$B$2:$B$5001,B2698))</f>
        <v/>
      </c>
      <c r="F2698" s="27" t="str">
        <f aca="false">IF(A2698="","",A2698&amp;"|"&amp;B2698)</f>
        <v/>
      </c>
    </row>
    <row r="2699" customFormat="false" ht="15" hidden="false" customHeight="false" outlineLevel="0" collapsed="false">
      <c r="A2699" s="19"/>
      <c r="B2699" s="19"/>
      <c r="C2699" s="20"/>
      <c r="D2699" s="19"/>
      <c r="E2699" s="26" t="str">
        <f aca="false">IF(A2699="","",COUNTIFS(Apparitions!$A$2:$A$5001,A2699,Apparitions!$B$2:$B$5001,B2699))</f>
        <v/>
      </c>
      <c r="F2699" s="27" t="str">
        <f aca="false">IF(A2699="","",A2699&amp;"|"&amp;B2699)</f>
        <v/>
      </c>
    </row>
    <row r="2700" customFormat="false" ht="15" hidden="false" customHeight="false" outlineLevel="0" collapsed="false">
      <c r="A2700" s="19"/>
      <c r="B2700" s="19"/>
      <c r="C2700" s="20"/>
      <c r="D2700" s="19"/>
      <c r="E2700" s="26" t="str">
        <f aca="false">IF(A2700="","",COUNTIFS(Apparitions!$A$2:$A$5001,A2700,Apparitions!$B$2:$B$5001,B2700))</f>
        <v/>
      </c>
      <c r="F2700" s="27" t="str">
        <f aca="false">IF(A2700="","",A2700&amp;"|"&amp;B2700)</f>
        <v/>
      </c>
    </row>
    <row r="2701" customFormat="false" ht="15" hidden="false" customHeight="false" outlineLevel="0" collapsed="false">
      <c r="A2701" s="19"/>
      <c r="B2701" s="19"/>
      <c r="C2701" s="20"/>
      <c r="D2701" s="19"/>
      <c r="E2701" s="26" t="str">
        <f aca="false">IF(A2701="","",COUNTIFS(Apparitions!$A$2:$A$5001,A2701,Apparitions!$B$2:$B$5001,B2701))</f>
        <v/>
      </c>
      <c r="F2701" s="27" t="str">
        <f aca="false">IF(A2701="","",A2701&amp;"|"&amp;B2701)</f>
        <v/>
      </c>
    </row>
    <row r="2702" customFormat="false" ht="15" hidden="false" customHeight="false" outlineLevel="0" collapsed="false">
      <c r="A2702" s="19"/>
      <c r="B2702" s="19"/>
      <c r="C2702" s="20"/>
      <c r="D2702" s="19"/>
      <c r="E2702" s="26" t="str">
        <f aca="false">IF(A2702="","",COUNTIFS(Apparitions!$A$2:$A$5001,A2702,Apparitions!$B$2:$B$5001,B2702))</f>
        <v/>
      </c>
      <c r="F2702" s="27" t="str">
        <f aca="false">IF(A2702="","",A2702&amp;"|"&amp;B2702)</f>
        <v/>
      </c>
    </row>
    <row r="2703" customFormat="false" ht="15" hidden="false" customHeight="false" outlineLevel="0" collapsed="false">
      <c r="A2703" s="19"/>
      <c r="B2703" s="19"/>
      <c r="C2703" s="20"/>
      <c r="D2703" s="19"/>
      <c r="E2703" s="26" t="str">
        <f aca="false">IF(A2703="","",COUNTIFS(Apparitions!$A$2:$A$5001,A2703,Apparitions!$B$2:$B$5001,B2703))</f>
        <v/>
      </c>
      <c r="F2703" s="27" t="str">
        <f aca="false">IF(A2703="","",A2703&amp;"|"&amp;B2703)</f>
        <v/>
      </c>
    </row>
    <row r="2704" customFormat="false" ht="15" hidden="false" customHeight="false" outlineLevel="0" collapsed="false">
      <c r="A2704" s="19"/>
      <c r="B2704" s="19"/>
      <c r="C2704" s="20"/>
      <c r="D2704" s="19"/>
      <c r="E2704" s="26" t="str">
        <f aca="false">IF(A2704="","",COUNTIFS(Apparitions!$A$2:$A$5001,A2704,Apparitions!$B$2:$B$5001,B2704))</f>
        <v/>
      </c>
      <c r="F2704" s="27" t="str">
        <f aca="false">IF(A2704="","",A2704&amp;"|"&amp;B2704)</f>
        <v/>
      </c>
    </row>
    <row r="2705" customFormat="false" ht="15" hidden="false" customHeight="false" outlineLevel="0" collapsed="false">
      <c r="A2705" s="19"/>
      <c r="B2705" s="19"/>
      <c r="C2705" s="20"/>
      <c r="D2705" s="19"/>
      <c r="E2705" s="26" t="str">
        <f aca="false">IF(A2705="","",COUNTIFS(Apparitions!$A$2:$A$5001,A2705,Apparitions!$B$2:$B$5001,B2705))</f>
        <v/>
      </c>
      <c r="F2705" s="27" t="str">
        <f aca="false">IF(A2705="","",A2705&amp;"|"&amp;B2705)</f>
        <v/>
      </c>
    </row>
    <row r="2706" customFormat="false" ht="15" hidden="false" customHeight="false" outlineLevel="0" collapsed="false">
      <c r="A2706" s="19"/>
      <c r="B2706" s="19"/>
      <c r="C2706" s="20"/>
      <c r="D2706" s="19"/>
      <c r="E2706" s="26" t="str">
        <f aca="false">IF(A2706="","",COUNTIFS(Apparitions!$A$2:$A$5001,A2706,Apparitions!$B$2:$B$5001,B2706))</f>
        <v/>
      </c>
      <c r="F2706" s="27" t="str">
        <f aca="false">IF(A2706="","",A2706&amp;"|"&amp;B2706)</f>
        <v/>
      </c>
    </row>
    <row r="2707" customFormat="false" ht="15" hidden="false" customHeight="false" outlineLevel="0" collapsed="false">
      <c r="A2707" s="19"/>
      <c r="B2707" s="19"/>
      <c r="C2707" s="20"/>
      <c r="D2707" s="19"/>
      <c r="E2707" s="26" t="str">
        <f aca="false">IF(A2707="","",COUNTIFS(Apparitions!$A$2:$A$5001,A2707,Apparitions!$B$2:$B$5001,B2707))</f>
        <v/>
      </c>
      <c r="F2707" s="27" t="str">
        <f aca="false">IF(A2707="","",A2707&amp;"|"&amp;B2707)</f>
        <v/>
      </c>
    </row>
    <row r="2708" customFormat="false" ht="15" hidden="false" customHeight="false" outlineLevel="0" collapsed="false">
      <c r="A2708" s="19"/>
      <c r="B2708" s="19"/>
      <c r="C2708" s="20"/>
      <c r="D2708" s="19"/>
      <c r="E2708" s="26" t="str">
        <f aca="false">IF(A2708="","",COUNTIFS(Apparitions!$A$2:$A$5001,A2708,Apparitions!$B$2:$B$5001,B2708))</f>
        <v/>
      </c>
      <c r="F2708" s="27" t="str">
        <f aca="false">IF(A2708="","",A2708&amp;"|"&amp;B2708)</f>
        <v/>
      </c>
    </row>
    <row r="2709" customFormat="false" ht="15" hidden="false" customHeight="false" outlineLevel="0" collapsed="false">
      <c r="A2709" s="19"/>
      <c r="B2709" s="19"/>
      <c r="C2709" s="20"/>
      <c r="D2709" s="19"/>
      <c r="E2709" s="26" t="str">
        <f aca="false">IF(A2709="","",COUNTIFS(Apparitions!$A$2:$A$5001,A2709,Apparitions!$B$2:$B$5001,B2709))</f>
        <v/>
      </c>
      <c r="F2709" s="27" t="str">
        <f aca="false">IF(A2709="","",A2709&amp;"|"&amp;B2709)</f>
        <v/>
      </c>
    </row>
    <row r="2710" customFormat="false" ht="15" hidden="false" customHeight="false" outlineLevel="0" collapsed="false">
      <c r="A2710" s="19"/>
      <c r="B2710" s="19"/>
      <c r="C2710" s="20"/>
      <c r="D2710" s="19"/>
      <c r="E2710" s="26" t="str">
        <f aca="false">IF(A2710="","",COUNTIFS(Apparitions!$A$2:$A$5001,A2710,Apparitions!$B$2:$B$5001,B2710))</f>
        <v/>
      </c>
      <c r="F2710" s="27" t="str">
        <f aca="false">IF(A2710="","",A2710&amp;"|"&amp;B2710)</f>
        <v/>
      </c>
    </row>
    <row r="2711" customFormat="false" ht="15" hidden="false" customHeight="false" outlineLevel="0" collapsed="false">
      <c r="A2711" s="19"/>
      <c r="B2711" s="19"/>
      <c r="C2711" s="20"/>
      <c r="D2711" s="19"/>
      <c r="E2711" s="26" t="str">
        <f aca="false">IF(A2711="","",COUNTIFS(Apparitions!$A$2:$A$5001,A2711,Apparitions!$B$2:$B$5001,B2711))</f>
        <v/>
      </c>
      <c r="F2711" s="27" t="str">
        <f aca="false">IF(A2711="","",A2711&amp;"|"&amp;B2711)</f>
        <v/>
      </c>
    </row>
    <row r="2712" customFormat="false" ht="15" hidden="false" customHeight="false" outlineLevel="0" collapsed="false">
      <c r="A2712" s="19"/>
      <c r="B2712" s="19"/>
      <c r="C2712" s="20"/>
      <c r="D2712" s="19"/>
      <c r="E2712" s="26" t="str">
        <f aca="false">IF(A2712="","",COUNTIFS(Apparitions!$A$2:$A$5001,A2712,Apparitions!$B$2:$B$5001,B2712))</f>
        <v/>
      </c>
      <c r="F2712" s="27" t="str">
        <f aca="false">IF(A2712="","",A2712&amp;"|"&amp;B2712)</f>
        <v/>
      </c>
    </row>
    <row r="2713" customFormat="false" ht="15" hidden="false" customHeight="false" outlineLevel="0" collapsed="false">
      <c r="A2713" s="19"/>
      <c r="B2713" s="19"/>
      <c r="C2713" s="20"/>
      <c r="D2713" s="19"/>
      <c r="E2713" s="26" t="str">
        <f aca="false">IF(A2713="","",COUNTIFS(Apparitions!$A$2:$A$5001,A2713,Apparitions!$B$2:$B$5001,B2713))</f>
        <v/>
      </c>
      <c r="F2713" s="27" t="str">
        <f aca="false">IF(A2713="","",A2713&amp;"|"&amp;B2713)</f>
        <v/>
      </c>
    </row>
    <row r="2714" customFormat="false" ht="15" hidden="false" customHeight="false" outlineLevel="0" collapsed="false">
      <c r="A2714" s="19"/>
      <c r="B2714" s="19"/>
      <c r="C2714" s="20"/>
      <c r="D2714" s="19"/>
      <c r="E2714" s="26" t="str">
        <f aca="false">IF(A2714="","",COUNTIFS(Apparitions!$A$2:$A$5001,A2714,Apparitions!$B$2:$B$5001,B2714))</f>
        <v/>
      </c>
      <c r="F2714" s="27" t="str">
        <f aca="false">IF(A2714="","",A2714&amp;"|"&amp;B2714)</f>
        <v/>
      </c>
    </row>
    <row r="2715" customFormat="false" ht="15" hidden="false" customHeight="false" outlineLevel="0" collapsed="false">
      <c r="A2715" s="19"/>
      <c r="B2715" s="19"/>
      <c r="C2715" s="20"/>
      <c r="D2715" s="19"/>
      <c r="E2715" s="26" t="str">
        <f aca="false">IF(A2715="","",COUNTIFS(Apparitions!$A$2:$A$5001,A2715,Apparitions!$B$2:$B$5001,B2715))</f>
        <v/>
      </c>
      <c r="F2715" s="27" t="str">
        <f aca="false">IF(A2715="","",A2715&amp;"|"&amp;B2715)</f>
        <v/>
      </c>
    </row>
    <row r="2716" customFormat="false" ht="15" hidden="false" customHeight="false" outlineLevel="0" collapsed="false">
      <c r="A2716" s="19"/>
      <c r="B2716" s="19"/>
      <c r="C2716" s="20"/>
      <c r="D2716" s="19"/>
      <c r="E2716" s="26" t="str">
        <f aca="false">IF(A2716="","",COUNTIFS(Apparitions!$A$2:$A$5001,A2716,Apparitions!$B$2:$B$5001,B2716))</f>
        <v/>
      </c>
      <c r="F2716" s="27" t="str">
        <f aca="false">IF(A2716="","",A2716&amp;"|"&amp;B2716)</f>
        <v/>
      </c>
    </row>
    <row r="2717" customFormat="false" ht="15" hidden="false" customHeight="false" outlineLevel="0" collapsed="false">
      <c r="A2717" s="19"/>
      <c r="B2717" s="19"/>
      <c r="C2717" s="20"/>
      <c r="D2717" s="19"/>
      <c r="E2717" s="26" t="str">
        <f aca="false">IF(A2717="","",COUNTIFS(Apparitions!$A$2:$A$5001,A2717,Apparitions!$B$2:$B$5001,B2717))</f>
        <v/>
      </c>
      <c r="F2717" s="27" t="str">
        <f aca="false">IF(A2717="","",A2717&amp;"|"&amp;B2717)</f>
        <v/>
      </c>
    </row>
    <row r="2718" customFormat="false" ht="15" hidden="false" customHeight="false" outlineLevel="0" collapsed="false">
      <c r="A2718" s="19"/>
      <c r="B2718" s="19"/>
      <c r="C2718" s="20"/>
      <c r="D2718" s="19"/>
      <c r="E2718" s="26" t="str">
        <f aca="false">IF(A2718="","",COUNTIFS(Apparitions!$A$2:$A$5001,A2718,Apparitions!$B$2:$B$5001,B2718))</f>
        <v/>
      </c>
      <c r="F2718" s="27" t="str">
        <f aca="false">IF(A2718="","",A2718&amp;"|"&amp;B2718)</f>
        <v/>
      </c>
    </row>
    <row r="2719" customFormat="false" ht="15" hidden="false" customHeight="false" outlineLevel="0" collapsed="false">
      <c r="A2719" s="19"/>
      <c r="B2719" s="19"/>
      <c r="C2719" s="20"/>
      <c r="D2719" s="19"/>
      <c r="E2719" s="26" t="str">
        <f aca="false">IF(A2719="","",COUNTIFS(Apparitions!$A$2:$A$5001,A2719,Apparitions!$B$2:$B$5001,B2719))</f>
        <v/>
      </c>
      <c r="F2719" s="27" t="str">
        <f aca="false">IF(A2719="","",A2719&amp;"|"&amp;B2719)</f>
        <v/>
      </c>
    </row>
    <row r="2720" customFormat="false" ht="15" hidden="false" customHeight="false" outlineLevel="0" collapsed="false">
      <c r="A2720" s="19"/>
      <c r="B2720" s="19"/>
      <c r="C2720" s="20"/>
      <c r="D2720" s="19"/>
      <c r="E2720" s="26" t="str">
        <f aca="false">IF(A2720="","",COUNTIFS(Apparitions!$A$2:$A$5001,A2720,Apparitions!$B$2:$B$5001,B2720))</f>
        <v/>
      </c>
      <c r="F2720" s="27" t="str">
        <f aca="false">IF(A2720="","",A2720&amp;"|"&amp;B2720)</f>
        <v/>
      </c>
    </row>
    <row r="2721" customFormat="false" ht="15" hidden="false" customHeight="false" outlineLevel="0" collapsed="false">
      <c r="A2721" s="19"/>
      <c r="B2721" s="19"/>
      <c r="C2721" s="20"/>
      <c r="D2721" s="19"/>
      <c r="E2721" s="26" t="str">
        <f aca="false">IF(A2721="","",COUNTIFS(Apparitions!$A$2:$A$5001,A2721,Apparitions!$B$2:$B$5001,B2721))</f>
        <v/>
      </c>
      <c r="F2721" s="27" t="str">
        <f aca="false">IF(A2721="","",A2721&amp;"|"&amp;B2721)</f>
        <v/>
      </c>
    </row>
    <row r="2722" customFormat="false" ht="15" hidden="false" customHeight="false" outlineLevel="0" collapsed="false">
      <c r="A2722" s="19"/>
      <c r="B2722" s="19"/>
      <c r="C2722" s="20"/>
      <c r="D2722" s="19"/>
      <c r="E2722" s="26" t="str">
        <f aca="false">IF(A2722="","",COUNTIFS(Apparitions!$A$2:$A$5001,A2722,Apparitions!$B$2:$B$5001,B2722))</f>
        <v/>
      </c>
      <c r="F2722" s="27" t="str">
        <f aca="false">IF(A2722="","",A2722&amp;"|"&amp;B2722)</f>
        <v/>
      </c>
    </row>
    <row r="2723" customFormat="false" ht="15" hidden="false" customHeight="false" outlineLevel="0" collapsed="false">
      <c r="A2723" s="19"/>
      <c r="B2723" s="19"/>
      <c r="C2723" s="20"/>
      <c r="D2723" s="19"/>
      <c r="E2723" s="26" t="str">
        <f aca="false">IF(A2723="","",COUNTIFS(Apparitions!$A$2:$A$5001,A2723,Apparitions!$B$2:$B$5001,B2723))</f>
        <v/>
      </c>
      <c r="F2723" s="27" t="str">
        <f aca="false">IF(A2723="","",A2723&amp;"|"&amp;B2723)</f>
        <v/>
      </c>
    </row>
    <row r="2724" customFormat="false" ht="15" hidden="false" customHeight="false" outlineLevel="0" collapsed="false">
      <c r="A2724" s="19"/>
      <c r="B2724" s="19"/>
      <c r="C2724" s="20"/>
      <c r="D2724" s="19"/>
      <c r="E2724" s="26" t="str">
        <f aca="false">IF(A2724="","",COUNTIFS(Apparitions!$A$2:$A$5001,A2724,Apparitions!$B$2:$B$5001,B2724))</f>
        <v/>
      </c>
      <c r="F2724" s="27" t="str">
        <f aca="false">IF(A2724="","",A2724&amp;"|"&amp;B2724)</f>
        <v/>
      </c>
    </row>
    <row r="2725" customFormat="false" ht="15" hidden="false" customHeight="false" outlineLevel="0" collapsed="false">
      <c r="A2725" s="19"/>
      <c r="B2725" s="19"/>
      <c r="C2725" s="20"/>
      <c r="D2725" s="19"/>
      <c r="E2725" s="26" t="str">
        <f aca="false">IF(A2725="","",COUNTIFS(Apparitions!$A$2:$A$5001,A2725,Apparitions!$B$2:$B$5001,B2725))</f>
        <v/>
      </c>
      <c r="F2725" s="27" t="str">
        <f aca="false">IF(A2725="","",A2725&amp;"|"&amp;B2725)</f>
        <v/>
      </c>
    </row>
    <row r="2726" customFormat="false" ht="15" hidden="false" customHeight="false" outlineLevel="0" collapsed="false">
      <c r="A2726" s="19"/>
      <c r="B2726" s="19"/>
      <c r="C2726" s="20"/>
      <c r="D2726" s="19"/>
      <c r="E2726" s="26" t="str">
        <f aca="false">IF(A2726="","",COUNTIFS(Apparitions!$A$2:$A$5001,A2726,Apparitions!$B$2:$B$5001,B2726))</f>
        <v/>
      </c>
      <c r="F2726" s="27" t="str">
        <f aca="false">IF(A2726="","",A2726&amp;"|"&amp;B2726)</f>
        <v/>
      </c>
    </row>
    <row r="2727" customFormat="false" ht="15" hidden="false" customHeight="false" outlineLevel="0" collapsed="false">
      <c r="A2727" s="19"/>
      <c r="B2727" s="19"/>
      <c r="C2727" s="20"/>
      <c r="D2727" s="19"/>
      <c r="E2727" s="26" t="str">
        <f aca="false">IF(A2727="","",COUNTIFS(Apparitions!$A$2:$A$5001,A2727,Apparitions!$B$2:$B$5001,B2727))</f>
        <v/>
      </c>
      <c r="F2727" s="27" t="str">
        <f aca="false">IF(A2727="","",A2727&amp;"|"&amp;B2727)</f>
        <v/>
      </c>
    </row>
    <row r="2728" customFormat="false" ht="15" hidden="false" customHeight="false" outlineLevel="0" collapsed="false">
      <c r="A2728" s="19"/>
      <c r="B2728" s="19"/>
      <c r="C2728" s="20"/>
      <c r="D2728" s="19"/>
      <c r="E2728" s="26" t="str">
        <f aca="false">IF(A2728="","",COUNTIFS(Apparitions!$A$2:$A$5001,A2728,Apparitions!$B$2:$B$5001,B2728))</f>
        <v/>
      </c>
      <c r="F2728" s="27" t="str">
        <f aca="false">IF(A2728="","",A2728&amp;"|"&amp;B2728)</f>
        <v/>
      </c>
    </row>
    <row r="2729" customFormat="false" ht="15" hidden="false" customHeight="false" outlineLevel="0" collapsed="false">
      <c r="A2729" s="19"/>
      <c r="B2729" s="19"/>
      <c r="C2729" s="20"/>
      <c r="D2729" s="19"/>
      <c r="E2729" s="26" t="str">
        <f aca="false">IF(A2729="","",COUNTIFS(Apparitions!$A$2:$A$5001,A2729,Apparitions!$B$2:$B$5001,B2729))</f>
        <v/>
      </c>
      <c r="F2729" s="27" t="str">
        <f aca="false">IF(A2729="","",A2729&amp;"|"&amp;B2729)</f>
        <v/>
      </c>
    </row>
    <row r="2730" customFormat="false" ht="15" hidden="false" customHeight="false" outlineLevel="0" collapsed="false">
      <c r="A2730" s="19"/>
      <c r="B2730" s="19"/>
      <c r="C2730" s="20"/>
      <c r="D2730" s="19"/>
      <c r="E2730" s="26" t="str">
        <f aca="false">IF(A2730="","",COUNTIFS(Apparitions!$A$2:$A$5001,A2730,Apparitions!$B$2:$B$5001,B2730))</f>
        <v/>
      </c>
      <c r="F2730" s="27" t="str">
        <f aca="false">IF(A2730="","",A2730&amp;"|"&amp;B2730)</f>
        <v/>
      </c>
    </row>
    <row r="2731" customFormat="false" ht="15" hidden="false" customHeight="false" outlineLevel="0" collapsed="false">
      <c r="A2731" s="19"/>
      <c r="B2731" s="19"/>
      <c r="C2731" s="20"/>
      <c r="D2731" s="19"/>
      <c r="E2731" s="26" t="str">
        <f aca="false">IF(A2731="","",COUNTIFS(Apparitions!$A$2:$A$5001,A2731,Apparitions!$B$2:$B$5001,B2731))</f>
        <v/>
      </c>
      <c r="F2731" s="27" t="str">
        <f aca="false">IF(A2731="","",A2731&amp;"|"&amp;B2731)</f>
        <v/>
      </c>
    </row>
    <row r="2732" customFormat="false" ht="15" hidden="false" customHeight="false" outlineLevel="0" collapsed="false">
      <c r="A2732" s="19"/>
      <c r="B2732" s="19"/>
      <c r="C2732" s="20"/>
      <c r="D2732" s="19"/>
      <c r="E2732" s="26" t="str">
        <f aca="false">IF(A2732="","",COUNTIFS(Apparitions!$A$2:$A$5001,A2732,Apparitions!$B$2:$B$5001,B2732))</f>
        <v/>
      </c>
      <c r="F2732" s="27" t="str">
        <f aca="false">IF(A2732="","",A2732&amp;"|"&amp;B2732)</f>
        <v/>
      </c>
    </row>
    <row r="2733" customFormat="false" ht="15" hidden="false" customHeight="false" outlineLevel="0" collapsed="false">
      <c r="A2733" s="19"/>
      <c r="B2733" s="19"/>
      <c r="C2733" s="20"/>
      <c r="D2733" s="19"/>
      <c r="E2733" s="26" t="str">
        <f aca="false">IF(A2733="","",COUNTIFS(Apparitions!$A$2:$A$5001,A2733,Apparitions!$B$2:$B$5001,B2733))</f>
        <v/>
      </c>
      <c r="F2733" s="27" t="str">
        <f aca="false">IF(A2733="","",A2733&amp;"|"&amp;B2733)</f>
        <v/>
      </c>
    </row>
    <row r="2734" customFormat="false" ht="15" hidden="false" customHeight="false" outlineLevel="0" collapsed="false">
      <c r="A2734" s="19"/>
      <c r="B2734" s="19"/>
      <c r="C2734" s="20"/>
      <c r="D2734" s="19"/>
      <c r="E2734" s="26" t="str">
        <f aca="false">IF(A2734="","",COUNTIFS(Apparitions!$A$2:$A$5001,A2734,Apparitions!$B$2:$B$5001,B2734))</f>
        <v/>
      </c>
      <c r="F2734" s="27" t="str">
        <f aca="false">IF(A2734="","",A2734&amp;"|"&amp;B2734)</f>
        <v/>
      </c>
    </row>
    <row r="2735" customFormat="false" ht="15" hidden="false" customHeight="false" outlineLevel="0" collapsed="false">
      <c r="A2735" s="19"/>
      <c r="B2735" s="19"/>
      <c r="C2735" s="20"/>
      <c r="D2735" s="19"/>
      <c r="E2735" s="26" t="str">
        <f aca="false">IF(A2735="","",COUNTIFS(Apparitions!$A$2:$A$5001,A2735,Apparitions!$B$2:$B$5001,B2735))</f>
        <v/>
      </c>
      <c r="F2735" s="27" t="str">
        <f aca="false">IF(A2735="","",A2735&amp;"|"&amp;B2735)</f>
        <v/>
      </c>
    </row>
    <row r="2736" customFormat="false" ht="15" hidden="false" customHeight="false" outlineLevel="0" collapsed="false">
      <c r="A2736" s="19"/>
      <c r="B2736" s="19"/>
      <c r="C2736" s="20"/>
      <c r="D2736" s="19"/>
      <c r="E2736" s="26" t="str">
        <f aca="false">IF(A2736="","",COUNTIFS(Apparitions!$A$2:$A$5001,A2736,Apparitions!$B$2:$B$5001,B2736))</f>
        <v/>
      </c>
      <c r="F2736" s="27" t="str">
        <f aca="false">IF(A2736="","",A2736&amp;"|"&amp;B2736)</f>
        <v/>
      </c>
    </row>
    <row r="2737" customFormat="false" ht="15" hidden="false" customHeight="false" outlineLevel="0" collapsed="false">
      <c r="A2737" s="19"/>
      <c r="B2737" s="19"/>
      <c r="C2737" s="20"/>
      <c r="D2737" s="19"/>
      <c r="E2737" s="26" t="str">
        <f aca="false">IF(A2737="","",COUNTIFS(Apparitions!$A$2:$A$5001,A2737,Apparitions!$B$2:$B$5001,B2737))</f>
        <v/>
      </c>
      <c r="F2737" s="27" t="str">
        <f aca="false">IF(A2737="","",A2737&amp;"|"&amp;B2737)</f>
        <v/>
      </c>
    </row>
    <row r="2738" customFormat="false" ht="15" hidden="false" customHeight="false" outlineLevel="0" collapsed="false">
      <c r="A2738" s="19"/>
      <c r="B2738" s="19"/>
      <c r="C2738" s="20"/>
      <c r="D2738" s="19"/>
      <c r="E2738" s="26" t="str">
        <f aca="false">IF(A2738="","",COUNTIFS(Apparitions!$A$2:$A$5001,A2738,Apparitions!$B$2:$B$5001,B2738))</f>
        <v/>
      </c>
      <c r="F2738" s="27" t="str">
        <f aca="false">IF(A2738="","",A2738&amp;"|"&amp;B2738)</f>
        <v/>
      </c>
    </row>
    <row r="2739" customFormat="false" ht="15" hidden="false" customHeight="false" outlineLevel="0" collapsed="false">
      <c r="A2739" s="19"/>
      <c r="B2739" s="19"/>
      <c r="C2739" s="20"/>
      <c r="D2739" s="19"/>
      <c r="E2739" s="26" t="str">
        <f aca="false">IF(A2739="","",COUNTIFS(Apparitions!$A$2:$A$5001,A2739,Apparitions!$B$2:$B$5001,B2739))</f>
        <v/>
      </c>
      <c r="F2739" s="27" t="str">
        <f aca="false">IF(A2739="","",A2739&amp;"|"&amp;B2739)</f>
        <v/>
      </c>
    </row>
    <row r="2740" customFormat="false" ht="15" hidden="false" customHeight="false" outlineLevel="0" collapsed="false">
      <c r="A2740" s="19"/>
      <c r="B2740" s="19"/>
      <c r="C2740" s="20"/>
      <c r="D2740" s="19"/>
      <c r="E2740" s="26" t="str">
        <f aca="false">IF(A2740="","",COUNTIFS(Apparitions!$A$2:$A$5001,A2740,Apparitions!$B$2:$B$5001,B2740))</f>
        <v/>
      </c>
      <c r="F2740" s="27" t="str">
        <f aca="false">IF(A2740="","",A2740&amp;"|"&amp;B2740)</f>
        <v/>
      </c>
    </row>
    <row r="2741" customFormat="false" ht="15" hidden="false" customHeight="false" outlineLevel="0" collapsed="false">
      <c r="A2741" s="19"/>
      <c r="B2741" s="19"/>
      <c r="C2741" s="20"/>
      <c r="D2741" s="19"/>
      <c r="E2741" s="26" t="str">
        <f aca="false">IF(A2741="","",COUNTIFS(Apparitions!$A$2:$A$5001,A2741,Apparitions!$B$2:$B$5001,B2741))</f>
        <v/>
      </c>
      <c r="F2741" s="27" t="str">
        <f aca="false">IF(A2741="","",A2741&amp;"|"&amp;B2741)</f>
        <v/>
      </c>
    </row>
    <row r="2742" customFormat="false" ht="15" hidden="false" customHeight="false" outlineLevel="0" collapsed="false">
      <c r="A2742" s="19"/>
      <c r="B2742" s="19"/>
      <c r="C2742" s="20"/>
      <c r="D2742" s="19"/>
      <c r="E2742" s="26" t="str">
        <f aca="false">IF(A2742="","",COUNTIFS(Apparitions!$A$2:$A$5001,A2742,Apparitions!$B$2:$B$5001,B2742))</f>
        <v/>
      </c>
      <c r="F2742" s="27" t="str">
        <f aca="false">IF(A2742="","",A2742&amp;"|"&amp;B2742)</f>
        <v/>
      </c>
    </row>
    <row r="2743" customFormat="false" ht="15" hidden="false" customHeight="false" outlineLevel="0" collapsed="false">
      <c r="A2743" s="19"/>
      <c r="B2743" s="19"/>
      <c r="C2743" s="20"/>
      <c r="D2743" s="19"/>
      <c r="E2743" s="26" t="str">
        <f aca="false">IF(A2743="","",COUNTIFS(Apparitions!$A$2:$A$5001,A2743,Apparitions!$B$2:$B$5001,B2743))</f>
        <v/>
      </c>
      <c r="F2743" s="27" t="str">
        <f aca="false">IF(A2743="","",A2743&amp;"|"&amp;B2743)</f>
        <v/>
      </c>
    </row>
    <row r="2744" customFormat="false" ht="15" hidden="false" customHeight="false" outlineLevel="0" collapsed="false">
      <c r="A2744" s="19"/>
      <c r="B2744" s="19"/>
      <c r="C2744" s="20"/>
      <c r="D2744" s="19"/>
      <c r="E2744" s="26" t="str">
        <f aca="false">IF(A2744="","",COUNTIFS(Apparitions!$A$2:$A$5001,A2744,Apparitions!$B$2:$B$5001,B2744))</f>
        <v/>
      </c>
      <c r="F2744" s="27" t="str">
        <f aca="false">IF(A2744="","",A2744&amp;"|"&amp;B2744)</f>
        <v/>
      </c>
    </row>
    <row r="2745" customFormat="false" ht="15" hidden="false" customHeight="false" outlineLevel="0" collapsed="false">
      <c r="A2745" s="19"/>
      <c r="B2745" s="19"/>
      <c r="C2745" s="20"/>
      <c r="D2745" s="19"/>
      <c r="E2745" s="26" t="str">
        <f aca="false">IF(A2745="","",COUNTIFS(Apparitions!$A$2:$A$5001,A2745,Apparitions!$B$2:$B$5001,B2745))</f>
        <v/>
      </c>
      <c r="F2745" s="27" t="str">
        <f aca="false">IF(A2745="","",A2745&amp;"|"&amp;B2745)</f>
        <v/>
      </c>
    </row>
    <row r="2746" customFormat="false" ht="15" hidden="false" customHeight="false" outlineLevel="0" collapsed="false">
      <c r="A2746" s="19"/>
      <c r="B2746" s="19"/>
      <c r="C2746" s="20"/>
      <c r="D2746" s="19"/>
      <c r="E2746" s="26" t="str">
        <f aca="false">IF(A2746="","",COUNTIFS(Apparitions!$A$2:$A$5001,A2746,Apparitions!$B$2:$B$5001,B2746))</f>
        <v/>
      </c>
      <c r="F2746" s="27" t="str">
        <f aca="false">IF(A2746="","",A2746&amp;"|"&amp;B2746)</f>
        <v/>
      </c>
    </row>
    <row r="2747" customFormat="false" ht="15" hidden="false" customHeight="false" outlineLevel="0" collapsed="false">
      <c r="A2747" s="19"/>
      <c r="B2747" s="19"/>
      <c r="C2747" s="20"/>
      <c r="D2747" s="19"/>
      <c r="E2747" s="26" t="str">
        <f aca="false">IF(A2747="","",COUNTIFS(Apparitions!$A$2:$A$5001,A2747,Apparitions!$B$2:$B$5001,B2747))</f>
        <v/>
      </c>
      <c r="F2747" s="27" t="str">
        <f aca="false">IF(A2747="","",A2747&amp;"|"&amp;B2747)</f>
        <v/>
      </c>
    </row>
    <row r="2748" customFormat="false" ht="15" hidden="false" customHeight="false" outlineLevel="0" collapsed="false">
      <c r="A2748" s="19"/>
      <c r="B2748" s="19"/>
      <c r="C2748" s="20"/>
      <c r="D2748" s="19"/>
      <c r="E2748" s="26" t="str">
        <f aca="false">IF(A2748="","",COUNTIFS(Apparitions!$A$2:$A$5001,A2748,Apparitions!$B$2:$B$5001,B2748))</f>
        <v/>
      </c>
      <c r="F2748" s="27" t="str">
        <f aca="false">IF(A2748="","",A2748&amp;"|"&amp;B2748)</f>
        <v/>
      </c>
    </row>
    <row r="2749" customFormat="false" ht="15" hidden="false" customHeight="false" outlineLevel="0" collapsed="false">
      <c r="A2749" s="19"/>
      <c r="B2749" s="19"/>
      <c r="C2749" s="20"/>
      <c r="D2749" s="19"/>
      <c r="E2749" s="26" t="str">
        <f aca="false">IF(A2749="","",COUNTIFS(Apparitions!$A$2:$A$5001,A2749,Apparitions!$B$2:$B$5001,B2749))</f>
        <v/>
      </c>
      <c r="F2749" s="27" t="str">
        <f aca="false">IF(A2749="","",A2749&amp;"|"&amp;B2749)</f>
        <v/>
      </c>
    </row>
    <row r="2750" customFormat="false" ht="15" hidden="false" customHeight="false" outlineLevel="0" collapsed="false">
      <c r="A2750" s="19"/>
      <c r="B2750" s="19"/>
      <c r="C2750" s="20"/>
      <c r="D2750" s="19"/>
      <c r="E2750" s="26" t="str">
        <f aca="false">IF(A2750="","",COUNTIFS(Apparitions!$A$2:$A$5001,A2750,Apparitions!$B$2:$B$5001,B2750))</f>
        <v/>
      </c>
      <c r="F2750" s="27" t="str">
        <f aca="false">IF(A2750="","",A2750&amp;"|"&amp;B2750)</f>
        <v/>
      </c>
    </row>
    <row r="2751" customFormat="false" ht="15" hidden="false" customHeight="false" outlineLevel="0" collapsed="false">
      <c r="A2751" s="19"/>
      <c r="B2751" s="19"/>
      <c r="C2751" s="20"/>
      <c r="D2751" s="19"/>
      <c r="E2751" s="26" t="str">
        <f aca="false">IF(A2751="","",COUNTIFS(Apparitions!$A$2:$A$5001,A2751,Apparitions!$B$2:$B$5001,B2751))</f>
        <v/>
      </c>
      <c r="F2751" s="27" t="str">
        <f aca="false">IF(A2751="","",A2751&amp;"|"&amp;B2751)</f>
        <v/>
      </c>
    </row>
    <row r="2752" customFormat="false" ht="15" hidden="false" customHeight="false" outlineLevel="0" collapsed="false">
      <c r="A2752" s="19"/>
      <c r="B2752" s="19"/>
      <c r="C2752" s="20"/>
      <c r="D2752" s="19"/>
      <c r="E2752" s="26" t="str">
        <f aca="false">IF(A2752="","",COUNTIFS(Apparitions!$A$2:$A$5001,A2752,Apparitions!$B$2:$B$5001,B2752))</f>
        <v/>
      </c>
      <c r="F2752" s="27" t="str">
        <f aca="false">IF(A2752="","",A2752&amp;"|"&amp;B2752)</f>
        <v/>
      </c>
    </row>
    <row r="2753" customFormat="false" ht="15" hidden="false" customHeight="false" outlineLevel="0" collapsed="false">
      <c r="A2753" s="19"/>
      <c r="B2753" s="19"/>
      <c r="C2753" s="20"/>
      <c r="D2753" s="19"/>
      <c r="E2753" s="26" t="str">
        <f aca="false">IF(A2753="","",COUNTIFS(Apparitions!$A$2:$A$5001,A2753,Apparitions!$B$2:$B$5001,B2753))</f>
        <v/>
      </c>
      <c r="F2753" s="27" t="str">
        <f aca="false">IF(A2753="","",A2753&amp;"|"&amp;B2753)</f>
        <v/>
      </c>
    </row>
    <row r="2754" customFormat="false" ht="15" hidden="false" customHeight="false" outlineLevel="0" collapsed="false">
      <c r="A2754" s="19"/>
      <c r="B2754" s="19"/>
      <c r="C2754" s="20"/>
      <c r="D2754" s="19"/>
      <c r="E2754" s="26" t="str">
        <f aca="false">IF(A2754="","",COUNTIFS(Apparitions!$A$2:$A$5001,A2754,Apparitions!$B$2:$B$5001,B2754))</f>
        <v/>
      </c>
      <c r="F2754" s="27" t="str">
        <f aca="false">IF(A2754="","",A2754&amp;"|"&amp;B2754)</f>
        <v/>
      </c>
    </row>
    <row r="2755" customFormat="false" ht="15" hidden="false" customHeight="false" outlineLevel="0" collapsed="false">
      <c r="A2755" s="19"/>
      <c r="B2755" s="19"/>
      <c r="C2755" s="20"/>
      <c r="D2755" s="19"/>
      <c r="E2755" s="26" t="str">
        <f aca="false">IF(A2755="","",COUNTIFS(Apparitions!$A$2:$A$5001,A2755,Apparitions!$B$2:$B$5001,B2755))</f>
        <v/>
      </c>
      <c r="F2755" s="27" t="str">
        <f aca="false">IF(A2755="","",A2755&amp;"|"&amp;B2755)</f>
        <v/>
      </c>
    </row>
    <row r="2756" customFormat="false" ht="15" hidden="false" customHeight="false" outlineLevel="0" collapsed="false">
      <c r="A2756" s="19"/>
      <c r="B2756" s="19"/>
      <c r="C2756" s="20"/>
      <c r="D2756" s="19"/>
      <c r="E2756" s="26" t="str">
        <f aca="false">IF(A2756="","",COUNTIFS(Apparitions!$A$2:$A$5001,A2756,Apparitions!$B$2:$B$5001,B2756))</f>
        <v/>
      </c>
      <c r="F2756" s="27" t="str">
        <f aca="false">IF(A2756="","",A2756&amp;"|"&amp;B2756)</f>
        <v/>
      </c>
    </row>
    <row r="2757" customFormat="false" ht="15" hidden="false" customHeight="false" outlineLevel="0" collapsed="false">
      <c r="A2757" s="19"/>
      <c r="B2757" s="19"/>
      <c r="C2757" s="20"/>
      <c r="D2757" s="19"/>
      <c r="E2757" s="26" t="str">
        <f aca="false">IF(A2757="","",COUNTIFS(Apparitions!$A$2:$A$5001,A2757,Apparitions!$B$2:$B$5001,B2757))</f>
        <v/>
      </c>
      <c r="F2757" s="27" t="str">
        <f aca="false">IF(A2757="","",A2757&amp;"|"&amp;B2757)</f>
        <v/>
      </c>
    </row>
    <row r="2758" customFormat="false" ht="15" hidden="false" customHeight="false" outlineLevel="0" collapsed="false">
      <c r="A2758" s="19"/>
      <c r="B2758" s="19"/>
      <c r="C2758" s="20"/>
      <c r="D2758" s="19"/>
      <c r="E2758" s="26" t="str">
        <f aca="false">IF(A2758="","",COUNTIFS(Apparitions!$A$2:$A$5001,A2758,Apparitions!$B$2:$B$5001,B2758))</f>
        <v/>
      </c>
      <c r="F2758" s="27" t="str">
        <f aca="false">IF(A2758="","",A2758&amp;"|"&amp;B2758)</f>
        <v/>
      </c>
    </row>
    <row r="2759" customFormat="false" ht="15" hidden="false" customHeight="false" outlineLevel="0" collapsed="false">
      <c r="A2759" s="19"/>
      <c r="B2759" s="19"/>
      <c r="C2759" s="20"/>
      <c r="D2759" s="19"/>
      <c r="E2759" s="26" t="str">
        <f aca="false">IF(A2759="","",COUNTIFS(Apparitions!$A$2:$A$5001,A2759,Apparitions!$B$2:$B$5001,B2759))</f>
        <v/>
      </c>
      <c r="F2759" s="27" t="str">
        <f aca="false">IF(A2759="","",A2759&amp;"|"&amp;B2759)</f>
        <v/>
      </c>
    </row>
    <row r="2760" customFormat="false" ht="15" hidden="false" customHeight="false" outlineLevel="0" collapsed="false">
      <c r="A2760" s="19"/>
      <c r="B2760" s="19"/>
      <c r="C2760" s="20"/>
      <c r="D2760" s="19"/>
      <c r="E2760" s="26" t="str">
        <f aca="false">IF(A2760="","",COUNTIFS(Apparitions!$A$2:$A$5001,A2760,Apparitions!$B$2:$B$5001,B2760))</f>
        <v/>
      </c>
      <c r="F2760" s="27" t="str">
        <f aca="false">IF(A2760="","",A2760&amp;"|"&amp;B2760)</f>
        <v/>
      </c>
    </row>
    <row r="2761" customFormat="false" ht="15" hidden="false" customHeight="false" outlineLevel="0" collapsed="false">
      <c r="A2761" s="19"/>
      <c r="B2761" s="19"/>
      <c r="C2761" s="20"/>
      <c r="D2761" s="19"/>
      <c r="E2761" s="26" t="str">
        <f aca="false">IF(A2761="","",COUNTIFS(Apparitions!$A$2:$A$5001,A2761,Apparitions!$B$2:$B$5001,B2761))</f>
        <v/>
      </c>
      <c r="F2761" s="27" t="str">
        <f aca="false">IF(A2761="","",A2761&amp;"|"&amp;B2761)</f>
        <v/>
      </c>
    </row>
    <row r="2762" customFormat="false" ht="15" hidden="false" customHeight="false" outlineLevel="0" collapsed="false">
      <c r="A2762" s="19"/>
      <c r="B2762" s="19"/>
      <c r="C2762" s="20"/>
      <c r="D2762" s="19"/>
      <c r="E2762" s="26" t="str">
        <f aca="false">IF(A2762="","",COUNTIFS(Apparitions!$A$2:$A$5001,A2762,Apparitions!$B$2:$B$5001,B2762))</f>
        <v/>
      </c>
      <c r="F2762" s="27" t="str">
        <f aca="false">IF(A2762="","",A2762&amp;"|"&amp;B2762)</f>
        <v/>
      </c>
    </row>
    <row r="2763" customFormat="false" ht="15" hidden="false" customHeight="false" outlineLevel="0" collapsed="false">
      <c r="A2763" s="19"/>
      <c r="B2763" s="19"/>
      <c r="C2763" s="20"/>
      <c r="D2763" s="19"/>
      <c r="E2763" s="26" t="str">
        <f aca="false">IF(A2763="","",COUNTIFS(Apparitions!$A$2:$A$5001,A2763,Apparitions!$B$2:$B$5001,B2763))</f>
        <v/>
      </c>
      <c r="F2763" s="27" t="str">
        <f aca="false">IF(A2763="","",A2763&amp;"|"&amp;B2763)</f>
        <v/>
      </c>
    </row>
    <row r="2764" customFormat="false" ht="15" hidden="false" customHeight="false" outlineLevel="0" collapsed="false">
      <c r="A2764" s="19"/>
      <c r="B2764" s="19"/>
      <c r="C2764" s="20"/>
      <c r="D2764" s="19"/>
      <c r="E2764" s="26" t="str">
        <f aca="false">IF(A2764="","",COUNTIFS(Apparitions!$A$2:$A$5001,A2764,Apparitions!$B$2:$B$5001,B2764))</f>
        <v/>
      </c>
      <c r="F2764" s="27" t="str">
        <f aca="false">IF(A2764="","",A2764&amp;"|"&amp;B2764)</f>
        <v/>
      </c>
    </row>
    <row r="2765" customFormat="false" ht="15" hidden="false" customHeight="false" outlineLevel="0" collapsed="false">
      <c r="A2765" s="19"/>
      <c r="B2765" s="19"/>
      <c r="C2765" s="20"/>
      <c r="D2765" s="19"/>
      <c r="E2765" s="26" t="str">
        <f aca="false">IF(A2765="","",COUNTIFS(Apparitions!$A$2:$A$5001,A2765,Apparitions!$B$2:$B$5001,B2765))</f>
        <v/>
      </c>
      <c r="F2765" s="27" t="str">
        <f aca="false">IF(A2765="","",A2765&amp;"|"&amp;B2765)</f>
        <v/>
      </c>
    </row>
    <row r="2766" customFormat="false" ht="15" hidden="false" customHeight="false" outlineLevel="0" collapsed="false">
      <c r="A2766" s="19"/>
      <c r="B2766" s="19"/>
      <c r="C2766" s="20"/>
      <c r="D2766" s="19"/>
      <c r="E2766" s="26" t="str">
        <f aca="false">IF(A2766="","",COUNTIFS(Apparitions!$A$2:$A$5001,A2766,Apparitions!$B$2:$B$5001,B2766))</f>
        <v/>
      </c>
      <c r="F2766" s="27" t="str">
        <f aca="false">IF(A2766="","",A2766&amp;"|"&amp;B2766)</f>
        <v/>
      </c>
    </row>
    <row r="2767" customFormat="false" ht="15" hidden="false" customHeight="false" outlineLevel="0" collapsed="false">
      <c r="A2767" s="19"/>
      <c r="B2767" s="19"/>
      <c r="C2767" s="20"/>
      <c r="D2767" s="19"/>
      <c r="E2767" s="26" t="str">
        <f aca="false">IF(A2767="","",COUNTIFS(Apparitions!$A$2:$A$5001,A2767,Apparitions!$B$2:$B$5001,B2767))</f>
        <v/>
      </c>
      <c r="F2767" s="27" t="str">
        <f aca="false">IF(A2767="","",A2767&amp;"|"&amp;B2767)</f>
        <v/>
      </c>
    </row>
    <row r="2768" customFormat="false" ht="15" hidden="false" customHeight="false" outlineLevel="0" collapsed="false">
      <c r="A2768" s="19"/>
      <c r="B2768" s="19"/>
      <c r="C2768" s="20"/>
      <c r="D2768" s="19"/>
      <c r="E2768" s="26" t="str">
        <f aca="false">IF(A2768="","",COUNTIFS(Apparitions!$A$2:$A$5001,A2768,Apparitions!$B$2:$B$5001,B2768))</f>
        <v/>
      </c>
      <c r="F2768" s="27" t="str">
        <f aca="false">IF(A2768="","",A2768&amp;"|"&amp;B2768)</f>
        <v/>
      </c>
    </row>
    <row r="2769" customFormat="false" ht="15" hidden="false" customHeight="false" outlineLevel="0" collapsed="false">
      <c r="A2769" s="19"/>
      <c r="B2769" s="19"/>
      <c r="C2769" s="20"/>
      <c r="D2769" s="19"/>
      <c r="E2769" s="26" t="str">
        <f aca="false">IF(A2769="","",COUNTIFS(Apparitions!$A$2:$A$5001,A2769,Apparitions!$B$2:$B$5001,B2769))</f>
        <v/>
      </c>
      <c r="F2769" s="27" t="str">
        <f aca="false">IF(A2769="","",A2769&amp;"|"&amp;B2769)</f>
        <v/>
      </c>
    </row>
    <row r="2770" customFormat="false" ht="15" hidden="false" customHeight="false" outlineLevel="0" collapsed="false">
      <c r="A2770" s="19"/>
      <c r="B2770" s="19"/>
      <c r="C2770" s="20"/>
      <c r="D2770" s="19"/>
      <c r="E2770" s="26" t="str">
        <f aca="false">IF(A2770="","",COUNTIFS(Apparitions!$A$2:$A$5001,A2770,Apparitions!$B$2:$B$5001,B2770))</f>
        <v/>
      </c>
      <c r="F2770" s="27" t="str">
        <f aca="false">IF(A2770="","",A2770&amp;"|"&amp;B2770)</f>
        <v/>
      </c>
    </row>
    <row r="2771" customFormat="false" ht="15" hidden="false" customHeight="false" outlineLevel="0" collapsed="false">
      <c r="A2771" s="19"/>
      <c r="B2771" s="19"/>
      <c r="C2771" s="20"/>
      <c r="D2771" s="19"/>
      <c r="E2771" s="26" t="str">
        <f aca="false">IF(A2771="","",COUNTIFS(Apparitions!$A$2:$A$5001,A2771,Apparitions!$B$2:$B$5001,B2771))</f>
        <v/>
      </c>
      <c r="F2771" s="27" t="str">
        <f aca="false">IF(A2771="","",A2771&amp;"|"&amp;B2771)</f>
        <v/>
      </c>
    </row>
    <row r="2772" customFormat="false" ht="15" hidden="false" customHeight="false" outlineLevel="0" collapsed="false">
      <c r="A2772" s="19"/>
      <c r="B2772" s="19"/>
      <c r="C2772" s="20"/>
      <c r="D2772" s="19"/>
      <c r="E2772" s="26" t="str">
        <f aca="false">IF(A2772="","",COUNTIFS(Apparitions!$A$2:$A$5001,A2772,Apparitions!$B$2:$B$5001,B2772))</f>
        <v/>
      </c>
      <c r="F2772" s="27" t="str">
        <f aca="false">IF(A2772="","",A2772&amp;"|"&amp;B2772)</f>
        <v/>
      </c>
    </row>
    <row r="2773" customFormat="false" ht="15" hidden="false" customHeight="false" outlineLevel="0" collapsed="false">
      <c r="A2773" s="19"/>
      <c r="B2773" s="19"/>
      <c r="C2773" s="20"/>
      <c r="D2773" s="19"/>
      <c r="E2773" s="26" t="str">
        <f aca="false">IF(A2773="","",COUNTIFS(Apparitions!$A$2:$A$5001,A2773,Apparitions!$B$2:$B$5001,B2773))</f>
        <v/>
      </c>
      <c r="F2773" s="27" t="str">
        <f aca="false">IF(A2773="","",A2773&amp;"|"&amp;B2773)</f>
        <v/>
      </c>
    </row>
    <row r="2774" customFormat="false" ht="15" hidden="false" customHeight="false" outlineLevel="0" collapsed="false">
      <c r="A2774" s="19"/>
      <c r="B2774" s="19"/>
      <c r="C2774" s="20"/>
      <c r="D2774" s="19"/>
      <c r="E2774" s="26" t="str">
        <f aca="false">IF(A2774="","",COUNTIFS(Apparitions!$A$2:$A$5001,A2774,Apparitions!$B$2:$B$5001,B2774))</f>
        <v/>
      </c>
      <c r="F2774" s="27" t="str">
        <f aca="false">IF(A2774="","",A2774&amp;"|"&amp;B2774)</f>
        <v/>
      </c>
    </row>
    <row r="2775" customFormat="false" ht="15" hidden="false" customHeight="false" outlineLevel="0" collapsed="false">
      <c r="A2775" s="19"/>
      <c r="B2775" s="19"/>
      <c r="C2775" s="20"/>
      <c r="D2775" s="19"/>
      <c r="E2775" s="26" t="str">
        <f aca="false">IF(A2775="","",COUNTIFS(Apparitions!$A$2:$A$5001,A2775,Apparitions!$B$2:$B$5001,B2775))</f>
        <v/>
      </c>
      <c r="F2775" s="27" t="str">
        <f aca="false">IF(A2775="","",A2775&amp;"|"&amp;B2775)</f>
        <v/>
      </c>
    </row>
    <row r="2776" customFormat="false" ht="15" hidden="false" customHeight="false" outlineLevel="0" collapsed="false">
      <c r="A2776" s="19"/>
      <c r="B2776" s="19"/>
      <c r="C2776" s="20"/>
      <c r="D2776" s="19"/>
      <c r="E2776" s="26" t="str">
        <f aca="false">IF(A2776="","",COUNTIFS(Apparitions!$A$2:$A$5001,A2776,Apparitions!$B$2:$B$5001,B2776))</f>
        <v/>
      </c>
      <c r="F2776" s="27" t="str">
        <f aca="false">IF(A2776="","",A2776&amp;"|"&amp;B2776)</f>
        <v/>
      </c>
    </row>
    <row r="2777" customFormat="false" ht="15" hidden="false" customHeight="false" outlineLevel="0" collapsed="false">
      <c r="A2777" s="19"/>
      <c r="B2777" s="19"/>
      <c r="C2777" s="20"/>
      <c r="D2777" s="19"/>
      <c r="E2777" s="26" t="str">
        <f aca="false">IF(A2777="","",COUNTIFS(Apparitions!$A$2:$A$5001,A2777,Apparitions!$B$2:$B$5001,B2777))</f>
        <v/>
      </c>
      <c r="F2777" s="27" t="str">
        <f aca="false">IF(A2777="","",A2777&amp;"|"&amp;B2777)</f>
        <v/>
      </c>
    </row>
    <row r="2778" customFormat="false" ht="15" hidden="false" customHeight="false" outlineLevel="0" collapsed="false">
      <c r="A2778" s="19"/>
      <c r="B2778" s="19"/>
      <c r="C2778" s="20"/>
      <c r="D2778" s="19"/>
      <c r="E2778" s="26" t="str">
        <f aca="false">IF(A2778="","",COUNTIFS(Apparitions!$A$2:$A$5001,A2778,Apparitions!$B$2:$B$5001,B2778))</f>
        <v/>
      </c>
      <c r="F2778" s="27" t="str">
        <f aca="false">IF(A2778="","",A2778&amp;"|"&amp;B2778)</f>
        <v/>
      </c>
    </row>
    <row r="2779" customFormat="false" ht="15" hidden="false" customHeight="false" outlineLevel="0" collapsed="false">
      <c r="A2779" s="19"/>
      <c r="B2779" s="19"/>
      <c r="C2779" s="20"/>
      <c r="D2779" s="19"/>
      <c r="E2779" s="26" t="str">
        <f aca="false">IF(A2779="","",COUNTIFS(Apparitions!$A$2:$A$5001,A2779,Apparitions!$B$2:$B$5001,B2779))</f>
        <v/>
      </c>
      <c r="F2779" s="27" t="str">
        <f aca="false">IF(A2779="","",A2779&amp;"|"&amp;B2779)</f>
        <v/>
      </c>
    </row>
    <row r="2780" customFormat="false" ht="15" hidden="false" customHeight="false" outlineLevel="0" collapsed="false">
      <c r="A2780" s="19"/>
      <c r="B2780" s="19"/>
      <c r="C2780" s="20"/>
      <c r="D2780" s="19"/>
      <c r="E2780" s="26" t="str">
        <f aca="false">IF(A2780="","",COUNTIFS(Apparitions!$A$2:$A$5001,A2780,Apparitions!$B$2:$B$5001,B2780))</f>
        <v/>
      </c>
      <c r="F2780" s="27" t="str">
        <f aca="false">IF(A2780="","",A2780&amp;"|"&amp;B2780)</f>
        <v/>
      </c>
    </row>
    <row r="2781" customFormat="false" ht="15" hidden="false" customHeight="false" outlineLevel="0" collapsed="false">
      <c r="A2781" s="19"/>
      <c r="B2781" s="19"/>
      <c r="C2781" s="20"/>
      <c r="D2781" s="19"/>
      <c r="E2781" s="26" t="str">
        <f aca="false">IF(A2781="","",COUNTIFS(Apparitions!$A$2:$A$5001,A2781,Apparitions!$B$2:$B$5001,B2781))</f>
        <v/>
      </c>
      <c r="F2781" s="27" t="str">
        <f aca="false">IF(A2781="","",A2781&amp;"|"&amp;B2781)</f>
        <v/>
      </c>
    </row>
    <row r="2782" customFormat="false" ht="15" hidden="false" customHeight="false" outlineLevel="0" collapsed="false">
      <c r="A2782" s="19"/>
      <c r="B2782" s="19"/>
      <c r="C2782" s="20"/>
      <c r="D2782" s="19"/>
      <c r="E2782" s="26" t="str">
        <f aca="false">IF(A2782="","",COUNTIFS(Apparitions!$A$2:$A$5001,A2782,Apparitions!$B$2:$B$5001,B2782))</f>
        <v/>
      </c>
      <c r="F2782" s="27" t="str">
        <f aca="false">IF(A2782="","",A2782&amp;"|"&amp;B2782)</f>
        <v/>
      </c>
    </row>
    <row r="2783" customFormat="false" ht="15" hidden="false" customHeight="false" outlineLevel="0" collapsed="false">
      <c r="A2783" s="19"/>
      <c r="B2783" s="19"/>
      <c r="C2783" s="20"/>
      <c r="D2783" s="19"/>
      <c r="E2783" s="26" t="str">
        <f aca="false">IF(A2783="","",COUNTIFS(Apparitions!$A$2:$A$5001,A2783,Apparitions!$B$2:$B$5001,B2783))</f>
        <v/>
      </c>
      <c r="F2783" s="27" t="str">
        <f aca="false">IF(A2783="","",A2783&amp;"|"&amp;B2783)</f>
        <v/>
      </c>
    </row>
    <row r="2784" customFormat="false" ht="15" hidden="false" customHeight="false" outlineLevel="0" collapsed="false">
      <c r="A2784" s="19"/>
      <c r="B2784" s="19"/>
      <c r="C2784" s="20"/>
      <c r="D2784" s="19"/>
      <c r="E2784" s="26" t="str">
        <f aca="false">IF(A2784="","",COUNTIFS(Apparitions!$A$2:$A$5001,A2784,Apparitions!$B$2:$B$5001,B2784))</f>
        <v/>
      </c>
      <c r="F2784" s="27" t="str">
        <f aca="false">IF(A2784="","",A2784&amp;"|"&amp;B2784)</f>
        <v/>
      </c>
    </row>
    <row r="2785" customFormat="false" ht="15" hidden="false" customHeight="false" outlineLevel="0" collapsed="false">
      <c r="A2785" s="19"/>
      <c r="B2785" s="19"/>
      <c r="C2785" s="20"/>
      <c r="D2785" s="19"/>
      <c r="E2785" s="26" t="str">
        <f aca="false">IF(A2785="","",COUNTIFS(Apparitions!$A$2:$A$5001,A2785,Apparitions!$B$2:$B$5001,B2785))</f>
        <v/>
      </c>
      <c r="F2785" s="27" t="str">
        <f aca="false">IF(A2785="","",A2785&amp;"|"&amp;B2785)</f>
        <v/>
      </c>
    </row>
    <row r="2786" customFormat="false" ht="15" hidden="false" customHeight="false" outlineLevel="0" collapsed="false">
      <c r="A2786" s="19"/>
      <c r="B2786" s="19"/>
      <c r="C2786" s="20"/>
      <c r="D2786" s="19"/>
      <c r="E2786" s="26" t="str">
        <f aca="false">IF(A2786="","",COUNTIFS(Apparitions!$A$2:$A$5001,A2786,Apparitions!$B$2:$B$5001,B2786))</f>
        <v/>
      </c>
      <c r="F2786" s="27" t="str">
        <f aca="false">IF(A2786="","",A2786&amp;"|"&amp;B2786)</f>
        <v/>
      </c>
    </row>
    <row r="2787" customFormat="false" ht="15" hidden="false" customHeight="false" outlineLevel="0" collapsed="false">
      <c r="A2787" s="19"/>
      <c r="B2787" s="19"/>
      <c r="C2787" s="20"/>
      <c r="D2787" s="19"/>
      <c r="E2787" s="26" t="str">
        <f aca="false">IF(A2787="","",COUNTIFS(Apparitions!$A$2:$A$5001,A2787,Apparitions!$B$2:$B$5001,B2787))</f>
        <v/>
      </c>
      <c r="F2787" s="27" t="str">
        <f aca="false">IF(A2787="","",A2787&amp;"|"&amp;B2787)</f>
        <v/>
      </c>
    </row>
    <row r="2788" customFormat="false" ht="15" hidden="false" customHeight="false" outlineLevel="0" collapsed="false">
      <c r="A2788" s="19"/>
      <c r="B2788" s="19"/>
      <c r="C2788" s="20"/>
      <c r="D2788" s="19"/>
      <c r="E2788" s="26" t="str">
        <f aca="false">IF(A2788="","",COUNTIFS(Apparitions!$A$2:$A$5001,A2788,Apparitions!$B$2:$B$5001,B2788))</f>
        <v/>
      </c>
      <c r="F2788" s="27" t="str">
        <f aca="false">IF(A2788="","",A2788&amp;"|"&amp;B2788)</f>
        <v/>
      </c>
    </row>
    <row r="2789" customFormat="false" ht="15" hidden="false" customHeight="false" outlineLevel="0" collapsed="false">
      <c r="A2789" s="19"/>
      <c r="B2789" s="19"/>
      <c r="C2789" s="20"/>
      <c r="D2789" s="19"/>
      <c r="E2789" s="26" t="str">
        <f aca="false">IF(A2789="","",COUNTIFS(Apparitions!$A$2:$A$5001,A2789,Apparitions!$B$2:$B$5001,B2789))</f>
        <v/>
      </c>
      <c r="F2789" s="27" t="str">
        <f aca="false">IF(A2789="","",A2789&amp;"|"&amp;B2789)</f>
        <v/>
      </c>
    </row>
    <row r="2790" customFormat="false" ht="15" hidden="false" customHeight="false" outlineLevel="0" collapsed="false">
      <c r="A2790" s="19"/>
      <c r="B2790" s="19"/>
      <c r="C2790" s="20"/>
      <c r="D2790" s="19"/>
      <c r="E2790" s="26" t="str">
        <f aca="false">IF(A2790="","",COUNTIFS(Apparitions!$A$2:$A$5001,A2790,Apparitions!$B$2:$B$5001,B2790))</f>
        <v/>
      </c>
      <c r="F2790" s="27" t="str">
        <f aca="false">IF(A2790="","",A2790&amp;"|"&amp;B2790)</f>
        <v/>
      </c>
    </row>
    <row r="2791" customFormat="false" ht="15" hidden="false" customHeight="false" outlineLevel="0" collapsed="false">
      <c r="A2791" s="19"/>
      <c r="B2791" s="19"/>
      <c r="C2791" s="20"/>
      <c r="D2791" s="19"/>
      <c r="E2791" s="26" t="str">
        <f aca="false">IF(A2791="","",COUNTIFS(Apparitions!$A$2:$A$5001,A2791,Apparitions!$B$2:$B$5001,B2791))</f>
        <v/>
      </c>
      <c r="F2791" s="27" t="str">
        <f aca="false">IF(A2791="","",A2791&amp;"|"&amp;B2791)</f>
        <v/>
      </c>
    </row>
    <row r="2792" customFormat="false" ht="15" hidden="false" customHeight="false" outlineLevel="0" collapsed="false">
      <c r="A2792" s="19"/>
      <c r="B2792" s="19"/>
      <c r="C2792" s="20"/>
      <c r="D2792" s="19"/>
      <c r="E2792" s="26" t="str">
        <f aca="false">IF(A2792="","",COUNTIFS(Apparitions!$A$2:$A$5001,A2792,Apparitions!$B$2:$B$5001,B2792))</f>
        <v/>
      </c>
      <c r="F2792" s="27" t="str">
        <f aca="false">IF(A2792="","",A2792&amp;"|"&amp;B2792)</f>
        <v/>
      </c>
    </row>
    <row r="2793" customFormat="false" ht="15" hidden="false" customHeight="false" outlineLevel="0" collapsed="false">
      <c r="A2793" s="19"/>
      <c r="B2793" s="19"/>
      <c r="C2793" s="20"/>
      <c r="D2793" s="19"/>
      <c r="E2793" s="26" t="str">
        <f aca="false">IF(A2793="","",COUNTIFS(Apparitions!$A$2:$A$5001,A2793,Apparitions!$B$2:$B$5001,B2793))</f>
        <v/>
      </c>
      <c r="F2793" s="27" t="str">
        <f aca="false">IF(A2793="","",A2793&amp;"|"&amp;B2793)</f>
        <v/>
      </c>
    </row>
    <row r="2794" customFormat="false" ht="15" hidden="false" customHeight="false" outlineLevel="0" collapsed="false">
      <c r="A2794" s="19"/>
      <c r="B2794" s="19"/>
      <c r="C2794" s="20"/>
      <c r="D2794" s="19"/>
      <c r="E2794" s="26" t="str">
        <f aca="false">IF(A2794="","",COUNTIFS(Apparitions!$A$2:$A$5001,A2794,Apparitions!$B$2:$B$5001,B2794))</f>
        <v/>
      </c>
      <c r="F2794" s="27" t="str">
        <f aca="false">IF(A2794="","",A2794&amp;"|"&amp;B2794)</f>
        <v/>
      </c>
    </row>
    <row r="2795" customFormat="false" ht="15" hidden="false" customHeight="false" outlineLevel="0" collapsed="false">
      <c r="A2795" s="19"/>
      <c r="B2795" s="19"/>
      <c r="C2795" s="20"/>
      <c r="D2795" s="19"/>
      <c r="E2795" s="26" t="str">
        <f aca="false">IF(A2795="","",COUNTIFS(Apparitions!$A$2:$A$5001,A2795,Apparitions!$B$2:$B$5001,B2795))</f>
        <v/>
      </c>
      <c r="F2795" s="27" t="str">
        <f aca="false">IF(A2795="","",A2795&amp;"|"&amp;B2795)</f>
        <v/>
      </c>
    </row>
    <row r="2796" customFormat="false" ht="15" hidden="false" customHeight="false" outlineLevel="0" collapsed="false">
      <c r="A2796" s="19"/>
      <c r="B2796" s="19"/>
      <c r="C2796" s="20"/>
      <c r="D2796" s="19"/>
      <c r="E2796" s="26" t="str">
        <f aca="false">IF(A2796="","",COUNTIFS(Apparitions!$A$2:$A$5001,A2796,Apparitions!$B$2:$B$5001,B2796))</f>
        <v/>
      </c>
      <c r="F2796" s="27" t="str">
        <f aca="false">IF(A2796="","",A2796&amp;"|"&amp;B2796)</f>
        <v/>
      </c>
    </row>
    <row r="2797" customFormat="false" ht="15" hidden="false" customHeight="false" outlineLevel="0" collapsed="false">
      <c r="A2797" s="19"/>
      <c r="B2797" s="19"/>
      <c r="C2797" s="20"/>
      <c r="D2797" s="19"/>
      <c r="E2797" s="26" t="str">
        <f aca="false">IF(A2797="","",COUNTIFS(Apparitions!$A$2:$A$5001,A2797,Apparitions!$B$2:$B$5001,B2797))</f>
        <v/>
      </c>
      <c r="F2797" s="27" t="str">
        <f aca="false">IF(A2797="","",A2797&amp;"|"&amp;B2797)</f>
        <v/>
      </c>
    </row>
    <row r="2798" customFormat="false" ht="15" hidden="false" customHeight="false" outlineLevel="0" collapsed="false">
      <c r="A2798" s="19"/>
      <c r="B2798" s="19"/>
      <c r="C2798" s="20"/>
      <c r="D2798" s="19"/>
      <c r="E2798" s="26" t="str">
        <f aca="false">IF(A2798="","",COUNTIFS(Apparitions!$A$2:$A$5001,A2798,Apparitions!$B$2:$B$5001,B2798))</f>
        <v/>
      </c>
      <c r="F2798" s="27" t="str">
        <f aca="false">IF(A2798="","",A2798&amp;"|"&amp;B2798)</f>
        <v/>
      </c>
    </row>
    <row r="2799" customFormat="false" ht="15" hidden="false" customHeight="false" outlineLevel="0" collapsed="false">
      <c r="A2799" s="19"/>
      <c r="B2799" s="19"/>
      <c r="C2799" s="20"/>
      <c r="D2799" s="19"/>
      <c r="E2799" s="26" t="str">
        <f aca="false">IF(A2799="","",COUNTIFS(Apparitions!$A$2:$A$5001,A2799,Apparitions!$B$2:$B$5001,B2799))</f>
        <v/>
      </c>
      <c r="F2799" s="27" t="str">
        <f aca="false">IF(A2799="","",A2799&amp;"|"&amp;B2799)</f>
        <v/>
      </c>
    </row>
    <row r="2800" customFormat="false" ht="15" hidden="false" customHeight="false" outlineLevel="0" collapsed="false">
      <c r="A2800" s="19"/>
      <c r="B2800" s="19"/>
      <c r="C2800" s="20"/>
      <c r="D2800" s="19"/>
      <c r="E2800" s="26" t="str">
        <f aca="false">IF(A2800="","",COUNTIFS(Apparitions!$A$2:$A$5001,A2800,Apparitions!$B$2:$B$5001,B2800))</f>
        <v/>
      </c>
      <c r="F2800" s="27" t="str">
        <f aca="false">IF(A2800="","",A2800&amp;"|"&amp;B2800)</f>
        <v/>
      </c>
    </row>
    <row r="2801" customFormat="false" ht="15" hidden="false" customHeight="false" outlineLevel="0" collapsed="false">
      <c r="A2801" s="19"/>
      <c r="B2801" s="19"/>
      <c r="C2801" s="20"/>
      <c r="D2801" s="19"/>
      <c r="E2801" s="26" t="str">
        <f aca="false">IF(A2801="","",COUNTIFS(Apparitions!$A$2:$A$5001,A2801,Apparitions!$B$2:$B$5001,B2801))</f>
        <v/>
      </c>
      <c r="F2801" s="27" t="str">
        <f aca="false">IF(A2801="","",A2801&amp;"|"&amp;B2801)</f>
        <v/>
      </c>
    </row>
    <row r="2802" customFormat="false" ht="15" hidden="false" customHeight="false" outlineLevel="0" collapsed="false">
      <c r="A2802" s="19"/>
      <c r="B2802" s="19"/>
      <c r="C2802" s="20"/>
      <c r="D2802" s="19"/>
      <c r="E2802" s="26" t="str">
        <f aca="false">IF(A2802="","",COUNTIFS(Apparitions!$A$2:$A$5001,A2802,Apparitions!$B$2:$B$5001,B2802))</f>
        <v/>
      </c>
      <c r="F2802" s="27" t="str">
        <f aca="false">IF(A2802="","",A2802&amp;"|"&amp;B2802)</f>
        <v/>
      </c>
    </row>
    <row r="2803" customFormat="false" ht="15" hidden="false" customHeight="false" outlineLevel="0" collapsed="false">
      <c r="A2803" s="19"/>
      <c r="B2803" s="19"/>
      <c r="C2803" s="20"/>
      <c r="D2803" s="19"/>
      <c r="E2803" s="26" t="str">
        <f aca="false">IF(A2803="","",COUNTIFS(Apparitions!$A$2:$A$5001,A2803,Apparitions!$B$2:$B$5001,B2803))</f>
        <v/>
      </c>
      <c r="F2803" s="27" t="str">
        <f aca="false">IF(A2803="","",A2803&amp;"|"&amp;B2803)</f>
        <v/>
      </c>
    </row>
    <row r="2804" customFormat="false" ht="15" hidden="false" customHeight="false" outlineLevel="0" collapsed="false">
      <c r="A2804" s="19"/>
      <c r="B2804" s="19"/>
      <c r="C2804" s="20"/>
      <c r="D2804" s="19"/>
      <c r="E2804" s="26" t="str">
        <f aca="false">IF(A2804="","",COUNTIFS(Apparitions!$A$2:$A$5001,A2804,Apparitions!$B$2:$B$5001,B2804))</f>
        <v/>
      </c>
      <c r="F2804" s="27" t="str">
        <f aca="false">IF(A2804="","",A2804&amp;"|"&amp;B2804)</f>
        <v/>
      </c>
    </row>
    <row r="2805" customFormat="false" ht="15" hidden="false" customHeight="false" outlineLevel="0" collapsed="false">
      <c r="A2805" s="19"/>
      <c r="B2805" s="19"/>
      <c r="C2805" s="20"/>
      <c r="D2805" s="19"/>
      <c r="E2805" s="26" t="str">
        <f aca="false">IF(A2805="","",COUNTIFS(Apparitions!$A$2:$A$5001,A2805,Apparitions!$B$2:$B$5001,B2805))</f>
        <v/>
      </c>
      <c r="F2805" s="27" t="str">
        <f aca="false">IF(A2805="","",A2805&amp;"|"&amp;B2805)</f>
        <v/>
      </c>
    </row>
    <row r="2806" customFormat="false" ht="15" hidden="false" customHeight="false" outlineLevel="0" collapsed="false">
      <c r="A2806" s="19"/>
      <c r="B2806" s="19"/>
      <c r="C2806" s="20"/>
      <c r="D2806" s="19"/>
      <c r="E2806" s="26" t="str">
        <f aca="false">IF(A2806="","",COUNTIFS(Apparitions!$A$2:$A$5001,A2806,Apparitions!$B$2:$B$5001,B2806))</f>
        <v/>
      </c>
      <c r="F2806" s="27" t="str">
        <f aca="false">IF(A2806="","",A2806&amp;"|"&amp;B2806)</f>
        <v/>
      </c>
    </row>
    <row r="2807" customFormat="false" ht="15" hidden="false" customHeight="false" outlineLevel="0" collapsed="false">
      <c r="A2807" s="19"/>
      <c r="B2807" s="19"/>
      <c r="C2807" s="20"/>
      <c r="D2807" s="19"/>
      <c r="E2807" s="26" t="str">
        <f aca="false">IF(A2807="","",COUNTIFS(Apparitions!$A$2:$A$5001,A2807,Apparitions!$B$2:$B$5001,B2807))</f>
        <v/>
      </c>
      <c r="F2807" s="27" t="str">
        <f aca="false">IF(A2807="","",A2807&amp;"|"&amp;B2807)</f>
        <v/>
      </c>
    </row>
    <row r="2808" customFormat="false" ht="15" hidden="false" customHeight="false" outlineLevel="0" collapsed="false">
      <c r="A2808" s="19"/>
      <c r="B2808" s="19"/>
      <c r="C2808" s="20"/>
      <c r="D2808" s="19"/>
      <c r="E2808" s="26" t="str">
        <f aca="false">IF(A2808="","",COUNTIFS(Apparitions!$A$2:$A$5001,A2808,Apparitions!$B$2:$B$5001,B2808))</f>
        <v/>
      </c>
      <c r="F2808" s="27" t="str">
        <f aca="false">IF(A2808="","",A2808&amp;"|"&amp;B2808)</f>
        <v/>
      </c>
    </row>
    <row r="2809" customFormat="false" ht="15" hidden="false" customHeight="false" outlineLevel="0" collapsed="false">
      <c r="A2809" s="19"/>
      <c r="B2809" s="19"/>
      <c r="C2809" s="20"/>
      <c r="D2809" s="19"/>
      <c r="E2809" s="26" t="str">
        <f aca="false">IF(A2809="","",COUNTIFS(Apparitions!$A$2:$A$5001,A2809,Apparitions!$B$2:$B$5001,B2809))</f>
        <v/>
      </c>
      <c r="F2809" s="27" t="str">
        <f aca="false">IF(A2809="","",A2809&amp;"|"&amp;B2809)</f>
        <v/>
      </c>
    </row>
    <row r="2810" customFormat="false" ht="15" hidden="false" customHeight="false" outlineLevel="0" collapsed="false">
      <c r="A2810" s="19"/>
      <c r="B2810" s="19"/>
      <c r="C2810" s="20"/>
      <c r="D2810" s="19"/>
      <c r="E2810" s="26" t="str">
        <f aca="false">IF(A2810="","",COUNTIFS(Apparitions!$A$2:$A$5001,A2810,Apparitions!$B$2:$B$5001,B2810))</f>
        <v/>
      </c>
      <c r="F2810" s="27" t="str">
        <f aca="false">IF(A2810="","",A2810&amp;"|"&amp;B2810)</f>
        <v/>
      </c>
    </row>
    <row r="2811" customFormat="false" ht="15" hidden="false" customHeight="false" outlineLevel="0" collapsed="false">
      <c r="A2811" s="19"/>
      <c r="B2811" s="19"/>
      <c r="C2811" s="20"/>
      <c r="D2811" s="19"/>
      <c r="E2811" s="26" t="str">
        <f aca="false">IF(A2811="","",COUNTIFS(Apparitions!$A$2:$A$5001,A2811,Apparitions!$B$2:$B$5001,B2811))</f>
        <v/>
      </c>
      <c r="F2811" s="27" t="str">
        <f aca="false">IF(A2811="","",A2811&amp;"|"&amp;B2811)</f>
        <v/>
      </c>
    </row>
    <row r="2812" customFormat="false" ht="15" hidden="false" customHeight="false" outlineLevel="0" collapsed="false">
      <c r="A2812" s="19"/>
      <c r="B2812" s="19"/>
      <c r="C2812" s="20"/>
      <c r="D2812" s="19"/>
      <c r="E2812" s="26" t="str">
        <f aca="false">IF(A2812="","",COUNTIFS(Apparitions!$A$2:$A$5001,A2812,Apparitions!$B$2:$B$5001,B2812))</f>
        <v/>
      </c>
      <c r="F2812" s="27" t="str">
        <f aca="false">IF(A2812="","",A2812&amp;"|"&amp;B2812)</f>
        <v/>
      </c>
    </row>
    <row r="2813" customFormat="false" ht="15" hidden="false" customHeight="false" outlineLevel="0" collapsed="false">
      <c r="A2813" s="19"/>
      <c r="B2813" s="19"/>
      <c r="C2813" s="20"/>
      <c r="D2813" s="19"/>
      <c r="E2813" s="26" t="str">
        <f aca="false">IF(A2813="","",COUNTIFS(Apparitions!$A$2:$A$5001,A2813,Apparitions!$B$2:$B$5001,B2813))</f>
        <v/>
      </c>
      <c r="F2813" s="27" t="str">
        <f aca="false">IF(A2813="","",A2813&amp;"|"&amp;B2813)</f>
        <v/>
      </c>
    </row>
    <row r="2814" customFormat="false" ht="15" hidden="false" customHeight="false" outlineLevel="0" collapsed="false">
      <c r="A2814" s="19"/>
      <c r="B2814" s="19"/>
      <c r="C2814" s="20"/>
      <c r="D2814" s="19"/>
      <c r="E2814" s="26" t="str">
        <f aca="false">IF(A2814="","",COUNTIFS(Apparitions!$A$2:$A$5001,A2814,Apparitions!$B$2:$B$5001,B2814))</f>
        <v/>
      </c>
      <c r="F2814" s="27" t="str">
        <f aca="false">IF(A2814="","",A2814&amp;"|"&amp;B2814)</f>
        <v/>
      </c>
    </row>
    <row r="2815" customFormat="false" ht="15" hidden="false" customHeight="false" outlineLevel="0" collapsed="false">
      <c r="A2815" s="19"/>
      <c r="B2815" s="19"/>
      <c r="C2815" s="20"/>
      <c r="D2815" s="19"/>
      <c r="E2815" s="26" t="str">
        <f aca="false">IF(A2815="","",COUNTIFS(Apparitions!$A$2:$A$5001,A2815,Apparitions!$B$2:$B$5001,B2815))</f>
        <v/>
      </c>
      <c r="F2815" s="27" t="str">
        <f aca="false">IF(A2815="","",A2815&amp;"|"&amp;B2815)</f>
        <v/>
      </c>
    </row>
    <row r="2816" customFormat="false" ht="15" hidden="false" customHeight="false" outlineLevel="0" collapsed="false">
      <c r="A2816" s="19"/>
      <c r="B2816" s="19"/>
      <c r="C2816" s="20"/>
      <c r="D2816" s="19"/>
      <c r="E2816" s="26" t="str">
        <f aca="false">IF(A2816="","",COUNTIFS(Apparitions!$A$2:$A$5001,A2816,Apparitions!$B$2:$B$5001,B2816))</f>
        <v/>
      </c>
      <c r="F2816" s="27" t="str">
        <f aca="false">IF(A2816="","",A2816&amp;"|"&amp;B2816)</f>
        <v/>
      </c>
    </row>
    <row r="2817" customFormat="false" ht="15" hidden="false" customHeight="false" outlineLevel="0" collapsed="false">
      <c r="A2817" s="19"/>
      <c r="B2817" s="19"/>
      <c r="C2817" s="20"/>
      <c r="D2817" s="19"/>
      <c r="E2817" s="26" t="str">
        <f aca="false">IF(A2817="","",COUNTIFS(Apparitions!$A$2:$A$5001,A2817,Apparitions!$B$2:$B$5001,B2817))</f>
        <v/>
      </c>
      <c r="F2817" s="27" t="str">
        <f aca="false">IF(A2817="","",A2817&amp;"|"&amp;B2817)</f>
        <v/>
      </c>
    </row>
    <row r="2818" customFormat="false" ht="15" hidden="false" customHeight="false" outlineLevel="0" collapsed="false">
      <c r="A2818" s="19"/>
      <c r="B2818" s="19"/>
      <c r="C2818" s="20"/>
      <c r="D2818" s="19"/>
      <c r="E2818" s="26" t="str">
        <f aca="false">IF(A2818="","",COUNTIFS(Apparitions!$A$2:$A$5001,A2818,Apparitions!$B$2:$B$5001,B2818))</f>
        <v/>
      </c>
      <c r="F2818" s="27" t="str">
        <f aca="false">IF(A2818="","",A2818&amp;"|"&amp;B2818)</f>
        <v/>
      </c>
    </row>
    <row r="2819" customFormat="false" ht="15" hidden="false" customHeight="false" outlineLevel="0" collapsed="false">
      <c r="A2819" s="19"/>
      <c r="B2819" s="19"/>
      <c r="C2819" s="20"/>
      <c r="D2819" s="19"/>
      <c r="E2819" s="26" t="str">
        <f aca="false">IF(A2819="","",COUNTIFS(Apparitions!$A$2:$A$5001,A2819,Apparitions!$B$2:$B$5001,B2819))</f>
        <v/>
      </c>
      <c r="F2819" s="27" t="str">
        <f aca="false">IF(A2819="","",A2819&amp;"|"&amp;B2819)</f>
        <v/>
      </c>
    </row>
    <row r="2820" customFormat="false" ht="15" hidden="false" customHeight="false" outlineLevel="0" collapsed="false">
      <c r="A2820" s="19"/>
      <c r="B2820" s="19"/>
      <c r="C2820" s="20"/>
      <c r="D2820" s="19"/>
      <c r="E2820" s="26" t="str">
        <f aca="false">IF(A2820="","",COUNTIFS(Apparitions!$A$2:$A$5001,A2820,Apparitions!$B$2:$B$5001,B2820))</f>
        <v/>
      </c>
      <c r="F2820" s="27" t="str">
        <f aca="false">IF(A2820="","",A2820&amp;"|"&amp;B2820)</f>
        <v/>
      </c>
    </row>
    <row r="2821" customFormat="false" ht="15" hidden="false" customHeight="false" outlineLevel="0" collapsed="false">
      <c r="A2821" s="19"/>
      <c r="B2821" s="19"/>
      <c r="C2821" s="20"/>
      <c r="D2821" s="19"/>
      <c r="E2821" s="26" t="str">
        <f aca="false">IF(A2821="","",COUNTIFS(Apparitions!$A$2:$A$5001,A2821,Apparitions!$B$2:$B$5001,B2821))</f>
        <v/>
      </c>
      <c r="F2821" s="27" t="str">
        <f aca="false">IF(A2821="","",A2821&amp;"|"&amp;B2821)</f>
        <v/>
      </c>
    </row>
    <row r="2822" customFormat="false" ht="15" hidden="false" customHeight="false" outlineLevel="0" collapsed="false">
      <c r="A2822" s="19"/>
      <c r="B2822" s="19"/>
      <c r="C2822" s="20"/>
      <c r="D2822" s="19"/>
      <c r="E2822" s="26" t="str">
        <f aca="false">IF(A2822="","",COUNTIFS(Apparitions!$A$2:$A$5001,A2822,Apparitions!$B$2:$B$5001,B2822))</f>
        <v/>
      </c>
      <c r="F2822" s="27" t="str">
        <f aca="false">IF(A2822="","",A2822&amp;"|"&amp;B2822)</f>
        <v/>
      </c>
    </row>
    <row r="2823" customFormat="false" ht="15" hidden="false" customHeight="false" outlineLevel="0" collapsed="false">
      <c r="A2823" s="19"/>
      <c r="B2823" s="19"/>
      <c r="C2823" s="20"/>
      <c r="D2823" s="19"/>
      <c r="E2823" s="26" t="str">
        <f aca="false">IF(A2823="","",COUNTIFS(Apparitions!$A$2:$A$5001,A2823,Apparitions!$B$2:$B$5001,B2823))</f>
        <v/>
      </c>
      <c r="F2823" s="27" t="str">
        <f aca="false">IF(A2823="","",A2823&amp;"|"&amp;B2823)</f>
        <v/>
      </c>
    </row>
    <row r="2824" customFormat="false" ht="15" hidden="false" customHeight="false" outlineLevel="0" collapsed="false">
      <c r="A2824" s="19"/>
      <c r="B2824" s="19"/>
      <c r="C2824" s="20"/>
      <c r="D2824" s="19"/>
      <c r="E2824" s="26" t="str">
        <f aca="false">IF(A2824="","",COUNTIFS(Apparitions!$A$2:$A$5001,A2824,Apparitions!$B$2:$B$5001,B2824))</f>
        <v/>
      </c>
      <c r="F2824" s="27" t="str">
        <f aca="false">IF(A2824="","",A2824&amp;"|"&amp;B2824)</f>
        <v/>
      </c>
    </row>
    <row r="2825" customFormat="false" ht="15" hidden="false" customHeight="false" outlineLevel="0" collapsed="false">
      <c r="A2825" s="19"/>
      <c r="B2825" s="19"/>
      <c r="C2825" s="20"/>
      <c r="D2825" s="19"/>
      <c r="E2825" s="26" t="str">
        <f aca="false">IF(A2825="","",COUNTIFS(Apparitions!$A$2:$A$5001,A2825,Apparitions!$B$2:$B$5001,B2825))</f>
        <v/>
      </c>
      <c r="F2825" s="27" t="str">
        <f aca="false">IF(A2825="","",A2825&amp;"|"&amp;B2825)</f>
        <v/>
      </c>
    </row>
    <row r="2826" customFormat="false" ht="15" hidden="false" customHeight="false" outlineLevel="0" collapsed="false">
      <c r="A2826" s="19"/>
      <c r="B2826" s="19"/>
      <c r="C2826" s="20"/>
      <c r="D2826" s="19"/>
      <c r="E2826" s="26" t="str">
        <f aca="false">IF(A2826="","",COUNTIFS(Apparitions!$A$2:$A$5001,A2826,Apparitions!$B$2:$B$5001,B2826))</f>
        <v/>
      </c>
      <c r="F2826" s="27" t="str">
        <f aca="false">IF(A2826="","",A2826&amp;"|"&amp;B2826)</f>
        <v/>
      </c>
    </row>
    <row r="2827" customFormat="false" ht="15" hidden="false" customHeight="false" outlineLevel="0" collapsed="false">
      <c r="A2827" s="19"/>
      <c r="B2827" s="19"/>
      <c r="C2827" s="20"/>
      <c r="D2827" s="19"/>
      <c r="E2827" s="26" t="str">
        <f aca="false">IF(A2827="","",COUNTIFS(Apparitions!$A$2:$A$5001,A2827,Apparitions!$B$2:$B$5001,B2827))</f>
        <v/>
      </c>
      <c r="F2827" s="27" t="str">
        <f aca="false">IF(A2827="","",A2827&amp;"|"&amp;B2827)</f>
        <v/>
      </c>
    </row>
    <row r="2828" customFormat="false" ht="15" hidden="false" customHeight="false" outlineLevel="0" collapsed="false">
      <c r="A2828" s="19"/>
      <c r="B2828" s="19"/>
      <c r="C2828" s="20"/>
      <c r="D2828" s="19"/>
      <c r="E2828" s="26" t="str">
        <f aca="false">IF(A2828="","",COUNTIFS(Apparitions!$A$2:$A$5001,A2828,Apparitions!$B$2:$B$5001,B2828))</f>
        <v/>
      </c>
      <c r="F2828" s="27" t="str">
        <f aca="false">IF(A2828="","",A2828&amp;"|"&amp;B2828)</f>
        <v/>
      </c>
    </row>
    <row r="2829" customFormat="false" ht="15" hidden="false" customHeight="false" outlineLevel="0" collapsed="false">
      <c r="A2829" s="19"/>
      <c r="B2829" s="19"/>
      <c r="C2829" s="20"/>
      <c r="D2829" s="19"/>
      <c r="E2829" s="26" t="str">
        <f aca="false">IF(A2829="","",COUNTIFS(Apparitions!$A$2:$A$5001,A2829,Apparitions!$B$2:$B$5001,B2829))</f>
        <v/>
      </c>
      <c r="F2829" s="27" t="str">
        <f aca="false">IF(A2829="","",A2829&amp;"|"&amp;B2829)</f>
        <v/>
      </c>
    </row>
    <row r="2830" customFormat="false" ht="15" hidden="false" customHeight="false" outlineLevel="0" collapsed="false">
      <c r="A2830" s="19"/>
      <c r="B2830" s="19"/>
      <c r="C2830" s="20"/>
      <c r="D2830" s="19"/>
      <c r="E2830" s="26" t="str">
        <f aca="false">IF(A2830="","",COUNTIFS(Apparitions!$A$2:$A$5001,A2830,Apparitions!$B$2:$B$5001,B2830))</f>
        <v/>
      </c>
      <c r="F2830" s="27" t="str">
        <f aca="false">IF(A2830="","",A2830&amp;"|"&amp;B2830)</f>
        <v/>
      </c>
    </row>
    <row r="2831" customFormat="false" ht="15" hidden="false" customHeight="false" outlineLevel="0" collapsed="false">
      <c r="A2831" s="19"/>
      <c r="B2831" s="19"/>
      <c r="C2831" s="20"/>
      <c r="D2831" s="19"/>
      <c r="E2831" s="26" t="str">
        <f aca="false">IF(A2831="","",COUNTIFS(Apparitions!$A$2:$A$5001,A2831,Apparitions!$B$2:$B$5001,B2831))</f>
        <v/>
      </c>
      <c r="F2831" s="27" t="str">
        <f aca="false">IF(A2831="","",A2831&amp;"|"&amp;B2831)</f>
        <v/>
      </c>
    </row>
    <row r="2832" customFormat="false" ht="15" hidden="false" customHeight="false" outlineLevel="0" collapsed="false">
      <c r="A2832" s="19"/>
      <c r="B2832" s="19"/>
      <c r="C2832" s="20"/>
      <c r="D2832" s="19"/>
      <c r="E2832" s="26" t="str">
        <f aca="false">IF(A2832="","",COUNTIFS(Apparitions!$A$2:$A$5001,A2832,Apparitions!$B$2:$B$5001,B2832))</f>
        <v/>
      </c>
      <c r="F2832" s="27" t="str">
        <f aca="false">IF(A2832="","",A2832&amp;"|"&amp;B2832)</f>
        <v/>
      </c>
    </row>
    <row r="2833" customFormat="false" ht="15" hidden="false" customHeight="false" outlineLevel="0" collapsed="false">
      <c r="A2833" s="19"/>
      <c r="B2833" s="19"/>
      <c r="C2833" s="20"/>
      <c r="D2833" s="19"/>
      <c r="E2833" s="26" t="str">
        <f aca="false">IF(A2833="","",COUNTIFS(Apparitions!$A$2:$A$5001,A2833,Apparitions!$B$2:$B$5001,B2833))</f>
        <v/>
      </c>
      <c r="F2833" s="27" t="str">
        <f aca="false">IF(A2833="","",A2833&amp;"|"&amp;B2833)</f>
        <v/>
      </c>
    </row>
    <row r="2834" customFormat="false" ht="15" hidden="false" customHeight="false" outlineLevel="0" collapsed="false">
      <c r="A2834" s="19"/>
      <c r="B2834" s="19"/>
      <c r="C2834" s="20"/>
      <c r="D2834" s="19"/>
      <c r="E2834" s="26" t="str">
        <f aca="false">IF(A2834="","",COUNTIFS(Apparitions!$A$2:$A$5001,A2834,Apparitions!$B$2:$B$5001,B2834))</f>
        <v/>
      </c>
      <c r="F2834" s="27" t="str">
        <f aca="false">IF(A2834="","",A2834&amp;"|"&amp;B2834)</f>
        <v/>
      </c>
    </row>
    <row r="2835" customFormat="false" ht="15" hidden="false" customHeight="false" outlineLevel="0" collapsed="false">
      <c r="A2835" s="19"/>
      <c r="B2835" s="19"/>
      <c r="C2835" s="20"/>
      <c r="D2835" s="19"/>
      <c r="E2835" s="26" t="str">
        <f aca="false">IF(A2835="","",COUNTIFS(Apparitions!$A$2:$A$5001,A2835,Apparitions!$B$2:$B$5001,B2835))</f>
        <v/>
      </c>
      <c r="F2835" s="27" t="str">
        <f aca="false">IF(A2835="","",A2835&amp;"|"&amp;B2835)</f>
        <v/>
      </c>
    </row>
    <row r="2836" customFormat="false" ht="15" hidden="false" customHeight="false" outlineLevel="0" collapsed="false">
      <c r="A2836" s="19"/>
      <c r="B2836" s="19"/>
      <c r="C2836" s="20"/>
      <c r="D2836" s="19"/>
      <c r="E2836" s="26" t="str">
        <f aca="false">IF(A2836="","",COUNTIFS(Apparitions!$A$2:$A$5001,A2836,Apparitions!$B$2:$B$5001,B2836))</f>
        <v/>
      </c>
      <c r="F2836" s="27" t="str">
        <f aca="false">IF(A2836="","",A2836&amp;"|"&amp;B2836)</f>
        <v/>
      </c>
    </row>
    <row r="2837" customFormat="false" ht="15" hidden="false" customHeight="false" outlineLevel="0" collapsed="false">
      <c r="A2837" s="19"/>
      <c r="B2837" s="19"/>
      <c r="C2837" s="20"/>
      <c r="D2837" s="19"/>
      <c r="E2837" s="26" t="str">
        <f aca="false">IF(A2837="","",COUNTIFS(Apparitions!$A$2:$A$5001,A2837,Apparitions!$B$2:$B$5001,B2837))</f>
        <v/>
      </c>
      <c r="F2837" s="27" t="str">
        <f aca="false">IF(A2837="","",A2837&amp;"|"&amp;B2837)</f>
        <v/>
      </c>
    </row>
    <row r="2838" customFormat="false" ht="15" hidden="false" customHeight="false" outlineLevel="0" collapsed="false">
      <c r="A2838" s="19"/>
      <c r="B2838" s="19"/>
      <c r="C2838" s="20"/>
      <c r="D2838" s="19"/>
      <c r="E2838" s="26" t="str">
        <f aca="false">IF(A2838="","",COUNTIFS(Apparitions!$A$2:$A$5001,A2838,Apparitions!$B$2:$B$5001,B2838))</f>
        <v/>
      </c>
      <c r="F2838" s="27" t="str">
        <f aca="false">IF(A2838="","",A2838&amp;"|"&amp;B2838)</f>
        <v/>
      </c>
    </row>
    <row r="2839" customFormat="false" ht="15" hidden="false" customHeight="false" outlineLevel="0" collapsed="false">
      <c r="A2839" s="19"/>
      <c r="B2839" s="19"/>
      <c r="C2839" s="20"/>
      <c r="D2839" s="19"/>
      <c r="E2839" s="26" t="str">
        <f aca="false">IF(A2839="","",COUNTIFS(Apparitions!$A$2:$A$5001,A2839,Apparitions!$B$2:$B$5001,B2839))</f>
        <v/>
      </c>
      <c r="F2839" s="27" t="str">
        <f aca="false">IF(A2839="","",A2839&amp;"|"&amp;B2839)</f>
        <v/>
      </c>
    </row>
    <row r="2840" customFormat="false" ht="15" hidden="false" customHeight="false" outlineLevel="0" collapsed="false">
      <c r="A2840" s="19"/>
      <c r="B2840" s="19"/>
      <c r="C2840" s="20"/>
      <c r="D2840" s="19"/>
      <c r="E2840" s="26" t="str">
        <f aca="false">IF(A2840="","",COUNTIFS(Apparitions!$A$2:$A$5001,A2840,Apparitions!$B$2:$B$5001,B2840))</f>
        <v/>
      </c>
      <c r="F2840" s="27" t="str">
        <f aca="false">IF(A2840="","",A2840&amp;"|"&amp;B2840)</f>
        <v/>
      </c>
    </row>
    <row r="2841" customFormat="false" ht="15" hidden="false" customHeight="false" outlineLevel="0" collapsed="false">
      <c r="A2841" s="19"/>
      <c r="B2841" s="19"/>
      <c r="C2841" s="20"/>
      <c r="D2841" s="19"/>
      <c r="E2841" s="26" t="str">
        <f aca="false">IF(A2841="","",COUNTIFS(Apparitions!$A$2:$A$5001,A2841,Apparitions!$B$2:$B$5001,B2841))</f>
        <v/>
      </c>
      <c r="F2841" s="27" t="str">
        <f aca="false">IF(A2841="","",A2841&amp;"|"&amp;B2841)</f>
        <v/>
      </c>
    </row>
    <row r="2842" customFormat="false" ht="15" hidden="false" customHeight="false" outlineLevel="0" collapsed="false">
      <c r="A2842" s="19"/>
      <c r="B2842" s="19"/>
      <c r="C2842" s="20"/>
      <c r="D2842" s="19"/>
      <c r="E2842" s="26" t="str">
        <f aca="false">IF(A2842="","",COUNTIFS(Apparitions!$A$2:$A$5001,A2842,Apparitions!$B$2:$B$5001,B2842))</f>
        <v/>
      </c>
      <c r="F2842" s="27" t="str">
        <f aca="false">IF(A2842="","",A2842&amp;"|"&amp;B2842)</f>
        <v/>
      </c>
    </row>
    <row r="2843" customFormat="false" ht="15" hidden="false" customHeight="false" outlineLevel="0" collapsed="false">
      <c r="A2843" s="19"/>
      <c r="B2843" s="19"/>
      <c r="C2843" s="20"/>
      <c r="D2843" s="19"/>
      <c r="E2843" s="26" t="str">
        <f aca="false">IF(A2843="","",COUNTIFS(Apparitions!$A$2:$A$5001,A2843,Apparitions!$B$2:$B$5001,B2843))</f>
        <v/>
      </c>
      <c r="F2843" s="27" t="str">
        <f aca="false">IF(A2843="","",A2843&amp;"|"&amp;B2843)</f>
        <v/>
      </c>
    </row>
    <row r="2844" customFormat="false" ht="15" hidden="false" customHeight="false" outlineLevel="0" collapsed="false">
      <c r="A2844" s="19"/>
      <c r="B2844" s="19"/>
      <c r="C2844" s="20"/>
      <c r="D2844" s="19"/>
      <c r="E2844" s="26" t="str">
        <f aca="false">IF(A2844="","",COUNTIFS(Apparitions!$A$2:$A$5001,A2844,Apparitions!$B$2:$B$5001,B2844))</f>
        <v/>
      </c>
      <c r="F2844" s="27" t="str">
        <f aca="false">IF(A2844="","",A2844&amp;"|"&amp;B2844)</f>
        <v/>
      </c>
    </row>
    <row r="2845" customFormat="false" ht="15" hidden="false" customHeight="false" outlineLevel="0" collapsed="false">
      <c r="A2845" s="19"/>
      <c r="B2845" s="19"/>
      <c r="C2845" s="20"/>
      <c r="D2845" s="19"/>
      <c r="E2845" s="26" t="str">
        <f aca="false">IF(A2845="","",COUNTIFS(Apparitions!$A$2:$A$5001,A2845,Apparitions!$B$2:$B$5001,B2845))</f>
        <v/>
      </c>
      <c r="F2845" s="27" t="str">
        <f aca="false">IF(A2845="","",A2845&amp;"|"&amp;B2845)</f>
        <v/>
      </c>
    </row>
    <row r="2846" customFormat="false" ht="15" hidden="false" customHeight="false" outlineLevel="0" collapsed="false">
      <c r="A2846" s="19"/>
      <c r="B2846" s="19"/>
      <c r="C2846" s="20"/>
      <c r="D2846" s="19"/>
      <c r="E2846" s="26" t="str">
        <f aca="false">IF(A2846="","",COUNTIFS(Apparitions!$A$2:$A$5001,A2846,Apparitions!$B$2:$B$5001,B2846))</f>
        <v/>
      </c>
      <c r="F2846" s="27" t="str">
        <f aca="false">IF(A2846="","",A2846&amp;"|"&amp;B2846)</f>
        <v/>
      </c>
    </row>
    <row r="2847" customFormat="false" ht="15" hidden="false" customHeight="false" outlineLevel="0" collapsed="false">
      <c r="A2847" s="19"/>
      <c r="B2847" s="19"/>
      <c r="C2847" s="20"/>
      <c r="D2847" s="19"/>
      <c r="E2847" s="26" t="str">
        <f aca="false">IF(A2847="","",COUNTIFS(Apparitions!$A$2:$A$5001,A2847,Apparitions!$B$2:$B$5001,B2847))</f>
        <v/>
      </c>
      <c r="F2847" s="27" t="str">
        <f aca="false">IF(A2847="","",A2847&amp;"|"&amp;B2847)</f>
        <v/>
      </c>
    </row>
    <row r="2848" customFormat="false" ht="15" hidden="false" customHeight="false" outlineLevel="0" collapsed="false">
      <c r="A2848" s="19"/>
      <c r="B2848" s="19"/>
      <c r="C2848" s="20"/>
      <c r="D2848" s="19"/>
      <c r="E2848" s="26" t="str">
        <f aca="false">IF(A2848="","",COUNTIFS(Apparitions!$A$2:$A$5001,A2848,Apparitions!$B$2:$B$5001,B2848))</f>
        <v/>
      </c>
      <c r="F2848" s="27" t="str">
        <f aca="false">IF(A2848="","",A2848&amp;"|"&amp;B2848)</f>
        <v/>
      </c>
    </row>
    <row r="2849" customFormat="false" ht="15" hidden="false" customHeight="false" outlineLevel="0" collapsed="false">
      <c r="A2849" s="19"/>
      <c r="B2849" s="19"/>
      <c r="C2849" s="20"/>
      <c r="D2849" s="19"/>
      <c r="E2849" s="26" t="str">
        <f aca="false">IF(A2849="","",COUNTIFS(Apparitions!$A$2:$A$5001,A2849,Apparitions!$B$2:$B$5001,B2849))</f>
        <v/>
      </c>
      <c r="F2849" s="27" t="str">
        <f aca="false">IF(A2849="","",A2849&amp;"|"&amp;B2849)</f>
        <v/>
      </c>
    </row>
    <row r="2850" customFormat="false" ht="15" hidden="false" customHeight="false" outlineLevel="0" collapsed="false">
      <c r="A2850" s="19"/>
      <c r="B2850" s="19"/>
      <c r="C2850" s="20"/>
      <c r="D2850" s="19"/>
      <c r="E2850" s="26" t="str">
        <f aca="false">IF(A2850="","",COUNTIFS(Apparitions!$A$2:$A$5001,A2850,Apparitions!$B$2:$B$5001,B2850))</f>
        <v/>
      </c>
      <c r="F2850" s="27" t="str">
        <f aca="false">IF(A2850="","",A2850&amp;"|"&amp;B2850)</f>
        <v/>
      </c>
    </row>
    <row r="2851" customFormat="false" ht="15" hidden="false" customHeight="false" outlineLevel="0" collapsed="false">
      <c r="A2851" s="19"/>
      <c r="B2851" s="19"/>
      <c r="C2851" s="20"/>
      <c r="D2851" s="19"/>
      <c r="E2851" s="26" t="str">
        <f aca="false">IF(A2851="","",COUNTIFS(Apparitions!$A$2:$A$5001,A2851,Apparitions!$B$2:$B$5001,B2851))</f>
        <v/>
      </c>
      <c r="F2851" s="27" t="str">
        <f aca="false">IF(A2851="","",A2851&amp;"|"&amp;B2851)</f>
        <v/>
      </c>
    </row>
    <row r="2852" customFormat="false" ht="15" hidden="false" customHeight="false" outlineLevel="0" collapsed="false">
      <c r="A2852" s="19"/>
      <c r="B2852" s="19"/>
      <c r="C2852" s="20"/>
      <c r="D2852" s="19"/>
      <c r="E2852" s="26" t="str">
        <f aca="false">IF(A2852="","",COUNTIFS(Apparitions!$A$2:$A$5001,A2852,Apparitions!$B$2:$B$5001,B2852))</f>
        <v/>
      </c>
      <c r="F2852" s="27" t="str">
        <f aca="false">IF(A2852="","",A2852&amp;"|"&amp;B2852)</f>
        <v/>
      </c>
    </row>
    <row r="2853" customFormat="false" ht="15" hidden="false" customHeight="false" outlineLevel="0" collapsed="false">
      <c r="A2853" s="19"/>
      <c r="B2853" s="19"/>
      <c r="C2853" s="20"/>
      <c r="D2853" s="19"/>
      <c r="E2853" s="26" t="str">
        <f aca="false">IF(A2853="","",COUNTIFS(Apparitions!$A$2:$A$5001,A2853,Apparitions!$B$2:$B$5001,B2853))</f>
        <v/>
      </c>
      <c r="F2853" s="27" t="str">
        <f aca="false">IF(A2853="","",A2853&amp;"|"&amp;B2853)</f>
        <v/>
      </c>
    </row>
    <row r="2854" customFormat="false" ht="15" hidden="false" customHeight="false" outlineLevel="0" collapsed="false">
      <c r="A2854" s="19"/>
      <c r="B2854" s="19"/>
      <c r="C2854" s="20"/>
      <c r="D2854" s="19"/>
      <c r="E2854" s="26" t="str">
        <f aca="false">IF(A2854="","",COUNTIFS(Apparitions!$A$2:$A$5001,A2854,Apparitions!$B$2:$B$5001,B2854))</f>
        <v/>
      </c>
      <c r="F2854" s="27" t="str">
        <f aca="false">IF(A2854="","",A2854&amp;"|"&amp;B2854)</f>
        <v/>
      </c>
    </row>
    <row r="2855" customFormat="false" ht="15" hidden="false" customHeight="false" outlineLevel="0" collapsed="false">
      <c r="A2855" s="19"/>
      <c r="B2855" s="19"/>
      <c r="C2855" s="20"/>
      <c r="D2855" s="19"/>
      <c r="E2855" s="26" t="str">
        <f aca="false">IF(A2855="","",COUNTIFS(Apparitions!$A$2:$A$5001,A2855,Apparitions!$B$2:$B$5001,B2855))</f>
        <v/>
      </c>
      <c r="F2855" s="27" t="str">
        <f aca="false">IF(A2855="","",A2855&amp;"|"&amp;B2855)</f>
        <v/>
      </c>
    </row>
    <row r="2856" customFormat="false" ht="15" hidden="false" customHeight="false" outlineLevel="0" collapsed="false">
      <c r="A2856" s="19"/>
      <c r="B2856" s="19"/>
      <c r="C2856" s="20"/>
      <c r="D2856" s="19"/>
      <c r="E2856" s="26" t="str">
        <f aca="false">IF(A2856="","",COUNTIFS(Apparitions!$A$2:$A$5001,A2856,Apparitions!$B$2:$B$5001,B2856))</f>
        <v/>
      </c>
      <c r="F2856" s="27" t="str">
        <f aca="false">IF(A2856="","",A2856&amp;"|"&amp;B2856)</f>
        <v/>
      </c>
    </row>
    <row r="2857" customFormat="false" ht="15" hidden="false" customHeight="false" outlineLevel="0" collapsed="false">
      <c r="A2857" s="19"/>
      <c r="B2857" s="19"/>
      <c r="C2857" s="20"/>
      <c r="D2857" s="19"/>
      <c r="E2857" s="26" t="str">
        <f aca="false">IF(A2857="","",COUNTIFS(Apparitions!$A$2:$A$5001,A2857,Apparitions!$B$2:$B$5001,B2857))</f>
        <v/>
      </c>
      <c r="F2857" s="27" t="str">
        <f aca="false">IF(A2857="","",A2857&amp;"|"&amp;B2857)</f>
        <v/>
      </c>
    </row>
    <row r="2858" customFormat="false" ht="15" hidden="false" customHeight="false" outlineLevel="0" collapsed="false">
      <c r="A2858" s="19"/>
      <c r="B2858" s="19"/>
      <c r="C2858" s="20"/>
      <c r="D2858" s="19"/>
      <c r="E2858" s="26" t="str">
        <f aca="false">IF(A2858="","",COUNTIFS(Apparitions!$A$2:$A$5001,A2858,Apparitions!$B$2:$B$5001,B2858))</f>
        <v/>
      </c>
      <c r="F2858" s="27" t="str">
        <f aca="false">IF(A2858="","",A2858&amp;"|"&amp;B2858)</f>
        <v/>
      </c>
    </row>
    <row r="2859" customFormat="false" ht="15" hidden="false" customHeight="false" outlineLevel="0" collapsed="false">
      <c r="A2859" s="19"/>
      <c r="B2859" s="19"/>
      <c r="C2859" s="20"/>
      <c r="D2859" s="19"/>
      <c r="E2859" s="26" t="str">
        <f aca="false">IF(A2859="","",COUNTIFS(Apparitions!$A$2:$A$5001,A2859,Apparitions!$B$2:$B$5001,B2859))</f>
        <v/>
      </c>
      <c r="F2859" s="27" t="str">
        <f aca="false">IF(A2859="","",A2859&amp;"|"&amp;B2859)</f>
        <v/>
      </c>
    </row>
    <row r="2860" customFormat="false" ht="15" hidden="false" customHeight="false" outlineLevel="0" collapsed="false">
      <c r="A2860" s="19"/>
      <c r="B2860" s="19"/>
      <c r="C2860" s="20"/>
      <c r="D2860" s="19"/>
      <c r="E2860" s="26" t="str">
        <f aca="false">IF(A2860="","",COUNTIFS(Apparitions!$A$2:$A$5001,A2860,Apparitions!$B$2:$B$5001,B2860))</f>
        <v/>
      </c>
      <c r="F2860" s="27" t="str">
        <f aca="false">IF(A2860="","",A2860&amp;"|"&amp;B2860)</f>
        <v/>
      </c>
    </row>
    <row r="2861" customFormat="false" ht="15" hidden="false" customHeight="false" outlineLevel="0" collapsed="false">
      <c r="A2861" s="19"/>
      <c r="B2861" s="19"/>
      <c r="C2861" s="20"/>
      <c r="D2861" s="19"/>
      <c r="E2861" s="26" t="str">
        <f aca="false">IF(A2861="","",COUNTIFS(Apparitions!$A$2:$A$5001,A2861,Apparitions!$B$2:$B$5001,B2861))</f>
        <v/>
      </c>
      <c r="F2861" s="27" t="str">
        <f aca="false">IF(A2861="","",A2861&amp;"|"&amp;B2861)</f>
        <v/>
      </c>
    </row>
    <row r="2862" customFormat="false" ht="15" hidden="false" customHeight="false" outlineLevel="0" collapsed="false">
      <c r="A2862" s="19"/>
      <c r="B2862" s="19"/>
      <c r="C2862" s="20"/>
      <c r="D2862" s="19"/>
      <c r="E2862" s="26" t="str">
        <f aca="false">IF(A2862="","",COUNTIFS(Apparitions!$A$2:$A$5001,A2862,Apparitions!$B$2:$B$5001,B2862))</f>
        <v/>
      </c>
      <c r="F2862" s="27" t="str">
        <f aca="false">IF(A2862="","",A2862&amp;"|"&amp;B2862)</f>
        <v/>
      </c>
    </row>
    <row r="2863" customFormat="false" ht="15" hidden="false" customHeight="false" outlineLevel="0" collapsed="false">
      <c r="A2863" s="19"/>
      <c r="B2863" s="19"/>
      <c r="C2863" s="20"/>
      <c r="D2863" s="19"/>
      <c r="E2863" s="26" t="str">
        <f aca="false">IF(A2863="","",COUNTIFS(Apparitions!$A$2:$A$5001,A2863,Apparitions!$B$2:$B$5001,B2863))</f>
        <v/>
      </c>
      <c r="F2863" s="27" t="str">
        <f aca="false">IF(A2863="","",A2863&amp;"|"&amp;B2863)</f>
        <v/>
      </c>
    </row>
    <row r="2864" customFormat="false" ht="15" hidden="false" customHeight="false" outlineLevel="0" collapsed="false">
      <c r="A2864" s="19"/>
      <c r="B2864" s="19"/>
      <c r="C2864" s="20"/>
      <c r="D2864" s="19"/>
      <c r="E2864" s="26" t="str">
        <f aca="false">IF(A2864="","",COUNTIFS(Apparitions!$A$2:$A$5001,A2864,Apparitions!$B$2:$B$5001,B2864))</f>
        <v/>
      </c>
      <c r="F2864" s="27" t="str">
        <f aca="false">IF(A2864="","",A2864&amp;"|"&amp;B2864)</f>
        <v/>
      </c>
    </row>
    <row r="2865" customFormat="false" ht="15" hidden="false" customHeight="false" outlineLevel="0" collapsed="false">
      <c r="A2865" s="19"/>
      <c r="B2865" s="19"/>
      <c r="C2865" s="20"/>
      <c r="D2865" s="19"/>
      <c r="E2865" s="26" t="str">
        <f aca="false">IF(A2865="","",COUNTIFS(Apparitions!$A$2:$A$5001,A2865,Apparitions!$B$2:$B$5001,B2865))</f>
        <v/>
      </c>
      <c r="F2865" s="27" t="str">
        <f aca="false">IF(A2865="","",A2865&amp;"|"&amp;B2865)</f>
        <v/>
      </c>
    </row>
    <row r="2866" customFormat="false" ht="15" hidden="false" customHeight="false" outlineLevel="0" collapsed="false">
      <c r="A2866" s="19"/>
      <c r="B2866" s="19"/>
      <c r="C2866" s="20"/>
      <c r="D2866" s="19"/>
      <c r="E2866" s="26" t="str">
        <f aca="false">IF(A2866="","",COUNTIFS(Apparitions!$A$2:$A$5001,A2866,Apparitions!$B$2:$B$5001,B2866))</f>
        <v/>
      </c>
      <c r="F2866" s="27" t="str">
        <f aca="false">IF(A2866="","",A2866&amp;"|"&amp;B2866)</f>
        <v/>
      </c>
    </row>
    <row r="2867" customFormat="false" ht="15" hidden="false" customHeight="false" outlineLevel="0" collapsed="false">
      <c r="A2867" s="19"/>
      <c r="B2867" s="19"/>
      <c r="C2867" s="20"/>
      <c r="D2867" s="19"/>
      <c r="E2867" s="26" t="str">
        <f aca="false">IF(A2867="","",COUNTIFS(Apparitions!$A$2:$A$5001,A2867,Apparitions!$B$2:$B$5001,B2867))</f>
        <v/>
      </c>
      <c r="F2867" s="27" t="str">
        <f aca="false">IF(A2867="","",A2867&amp;"|"&amp;B2867)</f>
        <v/>
      </c>
    </row>
    <row r="2868" customFormat="false" ht="15" hidden="false" customHeight="false" outlineLevel="0" collapsed="false">
      <c r="A2868" s="19"/>
      <c r="B2868" s="19"/>
      <c r="C2868" s="20"/>
      <c r="D2868" s="19"/>
      <c r="E2868" s="26" t="str">
        <f aca="false">IF(A2868="","",COUNTIFS(Apparitions!$A$2:$A$5001,A2868,Apparitions!$B$2:$B$5001,B2868))</f>
        <v/>
      </c>
      <c r="F2868" s="27" t="str">
        <f aca="false">IF(A2868="","",A2868&amp;"|"&amp;B2868)</f>
        <v/>
      </c>
    </row>
    <row r="2869" customFormat="false" ht="15" hidden="false" customHeight="false" outlineLevel="0" collapsed="false">
      <c r="A2869" s="19"/>
      <c r="B2869" s="19"/>
      <c r="C2869" s="20"/>
      <c r="D2869" s="19"/>
      <c r="E2869" s="26" t="str">
        <f aca="false">IF(A2869="","",COUNTIFS(Apparitions!$A$2:$A$5001,A2869,Apparitions!$B$2:$B$5001,B2869))</f>
        <v/>
      </c>
      <c r="F2869" s="27" t="str">
        <f aca="false">IF(A2869="","",A2869&amp;"|"&amp;B2869)</f>
        <v/>
      </c>
    </row>
    <row r="2870" customFormat="false" ht="15" hidden="false" customHeight="false" outlineLevel="0" collapsed="false">
      <c r="A2870" s="19"/>
      <c r="B2870" s="19"/>
      <c r="C2870" s="20"/>
      <c r="D2870" s="19"/>
      <c r="E2870" s="26" t="str">
        <f aca="false">IF(A2870="","",COUNTIFS(Apparitions!$A$2:$A$5001,A2870,Apparitions!$B$2:$B$5001,B2870))</f>
        <v/>
      </c>
      <c r="F2870" s="27" t="str">
        <f aca="false">IF(A2870="","",A2870&amp;"|"&amp;B2870)</f>
        <v/>
      </c>
    </row>
    <row r="2871" customFormat="false" ht="15" hidden="false" customHeight="false" outlineLevel="0" collapsed="false">
      <c r="A2871" s="19"/>
      <c r="B2871" s="19"/>
      <c r="C2871" s="20"/>
      <c r="D2871" s="19"/>
      <c r="E2871" s="26" t="str">
        <f aca="false">IF(A2871="","",COUNTIFS(Apparitions!$A$2:$A$5001,A2871,Apparitions!$B$2:$B$5001,B2871))</f>
        <v/>
      </c>
      <c r="F2871" s="27" t="str">
        <f aca="false">IF(A2871="","",A2871&amp;"|"&amp;B2871)</f>
        <v/>
      </c>
    </row>
    <row r="2872" customFormat="false" ht="15" hidden="false" customHeight="false" outlineLevel="0" collapsed="false">
      <c r="A2872" s="19"/>
      <c r="B2872" s="19"/>
      <c r="C2872" s="20"/>
      <c r="D2872" s="19"/>
      <c r="E2872" s="26" t="str">
        <f aca="false">IF(A2872="","",COUNTIFS(Apparitions!$A$2:$A$5001,A2872,Apparitions!$B$2:$B$5001,B2872))</f>
        <v/>
      </c>
      <c r="F2872" s="27" t="str">
        <f aca="false">IF(A2872="","",A2872&amp;"|"&amp;B2872)</f>
        <v/>
      </c>
    </row>
    <row r="2873" customFormat="false" ht="15" hidden="false" customHeight="false" outlineLevel="0" collapsed="false">
      <c r="A2873" s="19"/>
      <c r="B2873" s="19"/>
      <c r="C2873" s="20"/>
      <c r="D2873" s="19"/>
      <c r="E2873" s="26" t="str">
        <f aca="false">IF(A2873="","",COUNTIFS(Apparitions!$A$2:$A$5001,A2873,Apparitions!$B$2:$B$5001,B2873))</f>
        <v/>
      </c>
      <c r="F2873" s="27" t="str">
        <f aca="false">IF(A2873="","",A2873&amp;"|"&amp;B2873)</f>
        <v/>
      </c>
    </row>
    <row r="2874" customFormat="false" ht="15" hidden="false" customHeight="false" outlineLevel="0" collapsed="false">
      <c r="A2874" s="19"/>
      <c r="B2874" s="19"/>
      <c r="C2874" s="20"/>
      <c r="D2874" s="19"/>
      <c r="E2874" s="26" t="str">
        <f aca="false">IF(A2874="","",COUNTIFS(Apparitions!$A$2:$A$5001,A2874,Apparitions!$B$2:$B$5001,B2874))</f>
        <v/>
      </c>
      <c r="F2874" s="27" t="str">
        <f aca="false">IF(A2874="","",A2874&amp;"|"&amp;B2874)</f>
        <v/>
      </c>
    </row>
    <row r="2875" customFormat="false" ht="15" hidden="false" customHeight="false" outlineLevel="0" collapsed="false">
      <c r="A2875" s="19"/>
      <c r="B2875" s="19"/>
      <c r="C2875" s="20"/>
      <c r="D2875" s="19"/>
      <c r="E2875" s="26" t="str">
        <f aca="false">IF(A2875="","",COUNTIFS(Apparitions!$A$2:$A$5001,A2875,Apparitions!$B$2:$B$5001,B2875))</f>
        <v/>
      </c>
      <c r="F2875" s="27" t="str">
        <f aca="false">IF(A2875="","",A2875&amp;"|"&amp;B2875)</f>
        <v/>
      </c>
    </row>
    <row r="2876" customFormat="false" ht="15" hidden="false" customHeight="false" outlineLevel="0" collapsed="false">
      <c r="A2876" s="19"/>
      <c r="B2876" s="19"/>
      <c r="C2876" s="20"/>
      <c r="D2876" s="19"/>
      <c r="E2876" s="26" t="str">
        <f aca="false">IF(A2876="","",COUNTIFS(Apparitions!$A$2:$A$5001,A2876,Apparitions!$B$2:$B$5001,B2876))</f>
        <v/>
      </c>
      <c r="F2876" s="27" t="str">
        <f aca="false">IF(A2876="","",A2876&amp;"|"&amp;B2876)</f>
        <v/>
      </c>
    </row>
    <row r="2877" customFormat="false" ht="15" hidden="false" customHeight="false" outlineLevel="0" collapsed="false">
      <c r="A2877" s="19"/>
      <c r="B2877" s="19"/>
      <c r="C2877" s="20"/>
      <c r="D2877" s="19"/>
      <c r="E2877" s="26" t="str">
        <f aca="false">IF(A2877="","",COUNTIFS(Apparitions!$A$2:$A$5001,A2877,Apparitions!$B$2:$B$5001,B2877))</f>
        <v/>
      </c>
      <c r="F2877" s="27" t="str">
        <f aca="false">IF(A2877="","",A2877&amp;"|"&amp;B2877)</f>
        <v/>
      </c>
    </row>
    <row r="2878" customFormat="false" ht="15" hidden="false" customHeight="false" outlineLevel="0" collapsed="false">
      <c r="A2878" s="19"/>
      <c r="B2878" s="19"/>
      <c r="C2878" s="20"/>
      <c r="D2878" s="19"/>
      <c r="E2878" s="26" t="str">
        <f aca="false">IF(A2878="","",COUNTIFS(Apparitions!$A$2:$A$5001,A2878,Apparitions!$B$2:$B$5001,B2878))</f>
        <v/>
      </c>
      <c r="F2878" s="27" t="str">
        <f aca="false">IF(A2878="","",A2878&amp;"|"&amp;B2878)</f>
        <v/>
      </c>
    </row>
    <row r="2879" customFormat="false" ht="15" hidden="false" customHeight="false" outlineLevel="0" collapsed="false">
      <c r="A2879" s="19"/>
      <c r="B2879" s="19"/>
      <c r="C2879" s="20"/>
      <c r="D2879" s="19"/>
      <c r="E2879" s="26" t="str">
        <f aca="false">IF(A2879="","",COUNTIFS(Apparitions!$A$2:$A$5001,A2879,Apparitions!$B$2:$B$5001,B2879))</f>
        <v/>
      </c>
      <c r="F2879" s="27" t="str">
        <f aca="false">IF(A2879="","",A2879&amp;"|"&amp;B2879)</f>
        <v/>
      </c>
    </row>
    <row r="2880" customFormat="false" ht="15" hidden="false" customHeight="false" outlineLevel="0" collapsed="false">
      <c r="A2880" s="19"/>
      <c r="B2880" s="19"/>
      <c r="C2880" s="20"/>
      <c r="D2880" s="19"/>
      <c r="E2880" s="26" t="str">
        <f aca="false">IF(A2880="","",COUNTIFS(Apparitions!$A$2:$A$5001,A2880,Apparitions!$B$2:$B$5001,B2880))</f>
        <v/>
      </c>
      <c r="F2880" s="27" t="str">
        <f aca="false">IF(A2880="","",A2880&amp;"|"&amp;B2880)</f>
        <v/>
      </c>
    </row>
    <row r="2881" customFormat="false" ht="15" hidden="false" customHeight="false" outlineLevel="0" collapsed="false">
      <c r="A2881" s="19"/>
      <c r="B2881" s="19"/>
      <c r="C2881" s="20"/>
      <c r="D2881" s="19"/>
      <c r="E2881" s="26" t="str">
        <f aca="false">IF(A2881="","",COUNTIFS(Apparitions!$A$2:$A$5001,A2881,Apparitions!$B$2:$B$5001,B2881))</f>
        <v/>
      </c>
      <c r="F2881" s="27" t="str">
        <f aca="false">IF(A2881="","",A2881&amp;"|"&amp;B2881)</f>
        <v/>
      </c>
    </row>
    <row r="2882" customFormat="false" ht="15" hidden="false" customHeight="false" outlineLevel="0" collapsed="false">
      <c r="A2882" s="19"/>
      <c r="B2882" s="19"/>
      <c r="C2882" s="20"/>
      <c r="D2882" s="19"/>
      <c r="E2882" s="26" t="str">
        <f aca="false">IF(A2882="","",COUNTIFS(Apparitions!$A$2:$A$5001,A2882,Apparitions!$B$2:$B$5001,B2882))</f>
        <v/>
      </c>
      <c r="F2882" s="27" t="str">
        <f aca="false">IF(A2882="","",A2882&amp;"|"&amp;B2882)</f>
        <v/>
      </c>
    </row>
    <row r="2883" customFormat="false" ht="15" hidden="false" customHeight="false" outlineLevel="0" collapsed="false">
      <c r="A2883" s="19"/>
      <c r="B2883" s="19"/>
      <c r="C2883" s="20"/>
      <c r="D2883" s="19"/>
      <c r="E2883" s="26" t="str">
        <f aca="false">IF(A2883="","",COUNTIFS(Apparitions!$A$2:$A$5001,A2883,Apparitions!$B$2:$B$5001,B2883))</f>
        <v/>
      </c>
      <c r="F2883" s="27" t="str">
        <f aca="false">IF(A2883="","",A2883&amp;"|"&amp;B2883)</f>
        <v/>
      </c>
    </row>
    <row r="2884" customFormat="false" ht="15" hidden="false" customHeight="false" outlineLevel="0" collapsed="false">
      <c r="A2884" s="19"/>
      <c r="B2884" s="19"/>
      <c r="C2884" s="20"/>
      <c r="D2884" s="19"/>
      <c r="E2884" s="26" t="str">
        <f aca="false">IF(A2884="","",COUNTIFS(Apparitions!$A$2:$A$5001,A2884,Apparitions!$B$2:$B$5001,B2884))</f>
        <v/>
      </c>
      <c r="F2884" s="27" t="str">
        <f aca="false">IF(A2884="","",A2884&amp;"|"&amp;B2884)</f>
        <v/>
      </c>
    </row>
    <row r="2885" customFormat="false" ht="15" hidden="false" customHeight="false" outlineLevel="0" collapsed="false">
      <c r="A2885" s="19"/>
      <c r="B2885" s="19"/>
      <c r="C2885" s="20"/>
      <c r="D2885" s="19"/>
      <c r="E2885" s="26" t="str">
        <f aca="false">IF(A2885="","",COUNTIFS(Apparitions!$A$2:$A$5001,A2885,Apparitions!$B$2:$B$5001,B2885))</f>
        <v/>
      </c>
      <c r="F2885" s="27" t="str">
        <f aca="false">IF(A2885="","",A2885&amp;"|"&amp;B2885)</f>
        <v/>
      </c>
    </row>
    <row r="2886" customFormat="false" ht="15" hidden="false" customHeight="false" outlineLevel="0" collapsed="false">
      <c r="A2886" s="19"/>
      <c r="B2886" s="19"/>
      <c r="C2886" s="20"/>
      <c r="D2886" s="19"/>
      <c r="E2886" s="26" t="str">
        <f aca="false">IF(A2886="","",COUNTIFS(Apparitions!$A$2:$A$5001,A2886,Apparitions!$B$2:$B$5001,B2886))</f>
        <v/>
      </c>
      <c r="F2886" s="27" t="str">
        <f aca="false">IF(A2886="","",A2886&amp;"|"&amp;B2886)</f>
        <v/>
      </c>
    </row>
    <row r="2887" customFormat="false" ht="15" hidden="false" customHeight="false" outlineLevel="0" collapsed="false">
      <c r="A2887" s="19"/>
      <c r="B2887" s="19"/>
      <c r="C2887" s="20"/>
      <c r="D2887" s="19"/>
      <c r="E2887" s="26" t="str">
        <f aca="false">IF(A2887="","",COUNTIFS(Apparitions!$A$2:$A$5001,A2887,Apparitions!$B$2:$B$5001,B2887))</f>
        <v/>
      </c>
      <c r="F2887" s="27" t="str">
        <f aca="false">IF(A2887="","",A2887&amp;"|"&amp;B2887)</f>
        <v/>
      </c>
    </row>
    <row r="2888" customFormat="false" ht="15" hidden="false" customHeight="false" outlineLevel="0" collapsed="false">
      <c r="A2888" s="19"/>
      <c r="B2888" s="19"/>
      <c r="C2888" s="20"/>
      <c r="D2888" s="19"/>
      <c r="E2888" s="26" t="str">
        <f aca="false">IF(A2888="","",COUNTIFS(Apparitions!$A$2:$A$5001,A2888,Apparitions!$B$2:$B$5001,B2888))</f>
        <v/>
      </c>
      <c r="F2888" s="27" t="str">
        <f aca="false">IF(A2888="","",A2888&amp;"|"&amp;B2888)</f>
        <v/>
      </c>
    </row>
    <row r="2889" customFormat="false" ht="15" hidden="false" customHeight="false" outlineLevel="0" collapsed="false">
      <c r="A2889" s="19"/>
      <c r="B2889" s="19"/>
      <c r="C2889" s="20"/>
      <c r="D2889" s="19"/>
      <c r="E2889" s="26" t="str">
        <f aca="false">IF(A2889="","",COUNTIFS(Apparitions!$A$2:$A$5001,A2889,Apparitions!$B$2:$B$5001,B2889))</f>
        <v/>
      </c>
      <c r="F2889" s="27" t="str">
        <f aca="false">IF(A2889="","",A2889&amp;"|"&amp;B2889)</f>
        <v/>
      </c>
    </row>
    <row r="2890" customFormat="false" ht="15" hidden="false" customHeight="false" outlineLevel="0" collapsed="false">
      <c r="A2890" s="19"/>
      <c r="B2890" s="19"/>
      <c r="C2890" s="20"/>
      <c r="D2890" s="19"/>
      <c r="E2890" s="26" t="str">
        <f aca="false">IF(A2890="","",COUNTIFS(Apparitions!$A$2:$A$5001,A2890,Apparitions!$B$2:$B$5001,B2890))</f>
        <v/>
      </c>
      <c r="F2890" s="27" t="str">
        <f aca="false">IF(A2890="","",A2890&amp;"|"&amp;B2890)</f>
        <v/>
      </c>
    </row>
    <row r="2891" customFormat="false" ht="15" hidden="false" customHeight="false" outlineLevel="0" collapsed="false">
      <c r="A2891" s="19"/>
      <c r="B2891" s="19"/>
      <c r="C2891" s="20"/>
      <c r="D2891" s="19"/>
      <c r="E2891" s="26" t="str">
        <f aca="false">IF(A2891="","",COUNTIFS(Apparitions!$A$2:$A$5001,A2891,Apparitions!$B$2:$B$5001,B2891))</f>
        <v/>
      </c>
      <c r="F2891" s="27" t="str">
        <f aca="false">IF(A2891="","",A2891&amp;"|"&amp;B2891)</f>
        <v/>
      </c>
    </row>
    <row r="2892" customFormat="false" ht="15" hidden="false" customHeight="false" outlineLevel="0" collapsed="false">
      <c r="A2892" s="19"/>
      <c r="B2892" s="19"/>
      <c r="C2892" s="20"/>
      <c r="D2892" s="19"/>
      <c r="E2892" s="26" t="str">
        <f aca="false">IF(A2892="","",COUNTIFS(Apparitions!$A$2:$A$5001,A2892,Apparitions!$B$2:$B$5001,B2892))</f>
        <v/>
      </c>
      <c r="F2892" s="27" t="str">
        <f aca="false">IF(A2892="","",A2892&amp;"|"&amp;B2892)</f>
        <v/>
      </c>
    </row>
    <row r="2893" customFormat="false" ht="15" hidden="false" customHeight="false" outlineLevel="0" collapsed="false">
      <c r="A2893" s="19"/>
      <c r="B2893" s="19"/>
      <c r="C2893" s="20"/>
      <c r="D2893" s="19"/>
      <c r="E2893" s="26" t="str">
        <f aca="false">IF(A2893="","",COUNTIFS(Apparitions!$A$2:$A$5001,A2893,Apparitions!$B$2:$B$5001,B2893))</f>
        <v/>
      </c>
      <c r="F2893" s="27" t="str">
        <f aca="false">IF(A2893="","",A2893&amp;"|"&amp;B2893)</f>
        <v/>
      </c>
    </row>
    <row r="2894" customFormat="false" ht="15" hidden="false" customHeight="false" outlineLevel="0" collapsed="false">
      <c r="A2894" s="19"/>
      <c r="B2894" s="19"/>
      <c r="C2894" s="20"/>
      <c r="D2894" s="19"/>
      <c r="E2894" s="26" t="str">
        <f aca="false">IF(A2894="","",COUNTIFS(Apparitions!$A$2:$A$5001,A2894,Apparitions!$B$2:$B$5001,B2894))</f>
        <v/>
      </c>
      <c r="F2894" s="27" t="str">
        <f aca="false">IF(A2894="","",A2894&amp;"|"&amp;B2894)</f>
        <v/>
      </c>
    </row>
    <row r="2895" customFormat="false" ht="15" hidden="false" customHeight="false" outlineLevel="0" collapsed="false">
      <c r="A2895" s="19"/>
      <c r="B2895" s="19"/>
      <c r="C2895" s="20"/>
      <c r="D2895" s="19"/>
      <c r="E2895" s="26" t="str">
        <f aca="false">IF(A2895="","",COUNTIFS(Apparitions!$A$2:$A$5001,A2895,Apparitions!$B$2:$B$5001,B2895))</f>
        <v/>
      </c>
      <c r="F2895" s="27" t="str">
        <f aca="false">IF(A2895="","",A2895&amp;"|"&amp;B2895)</f>
        <v/>
      </c>
    </row>
    <row r="2896" customFormat="false" ht="15" hidden="false" customHeight="false" outlineLevel="0" collapsed="false">
      <c r="A2896" s="19"/>
      <c r="B2896" s="19"/>
      <c r="C2896" s="20"/>
      <c r="D2896" s="19"/>
      <c r="E2896" s="26" t="str">
        <f aca="false">IF(A2896="","",COUNTIFS(Apparitions!$A$2:$A$5001,A2896,Apparitions!$B$2:$B$5001,B2896))</f>
        <v/>
      </c>
      <c r="F2896" s="27" t="str">
        <f aca="false">IF(A2896="","",A2896&amp;"|"&amp;B2896)</f>
        <v/>
      </c>
    </row>
    <row r="2897" customFormat="false" ht="15" hidden="false" customHeight="false" outlineLevel="0" collapsed="false">
      <c r="A2897" s="19"/>
      <c r="B2897" s="19"/>
      <c r="C2897" s="20"/>
      <c r="D2897" s="19"/>
      <c r="E2897" s="26" t="str">
        <f aca="false">IF(A2897="","",COUNTIFS(Apparitions!$A$2:$A$5001,A2897,Apparitions!$B$2:$B$5001,B2897))</f>
        <v/>
      </c>
      <c r="F2897" s="27" t="str">
        <f aca="false">IF(A2897="","",A2897&amp;"|"&amp;B2897)</f>
        <v/>
      </c>
    </row>
    <row r="2898" customFormat="false" ht="15" hidden="false" customHeight="false" outlineLevel="0" collapsed="false">
      <c r="A2898" s="19"/>
      <c r="B2898" s="19"/>
      <c r="C2898" s="20"/>
      <c r="D2898" s="19"/>
      <c r="E2898" s="26" t="str">
        <f aca="false">IF(A2898="","",COUNTIFS(Apparitions!$A$2:$A$5001,A2898,Apparitions!$B$2:$B$5001,B2898))</f>
        <v/>
      </c>
      <c r="F2898" s="27" t="str">
        <f aca="false">IF(A2898="","",A2898&amp;"|"&amp;B2898)</f>
        <v/>
      </c>
    </row>
    <row r="2899" customFormat="false" ht="15" hidden="false" customHeight="false" outlineLevel="0" collapsed="false">
      <c r="A2899" s="19"/>
      <c r="B2899" s="19"/>
      <c r="C2899" s="20"/>
      <c r="D2899" s="19"/>
      <c r="E2899" s="26" t="str">
        <f aca="false">IF(A2899="","",COUNTIFS(Apparitions!$A$2:$A$5001,A2899,Apparitions!$B$2:$B$5001,B2899))</f>
        <v/>
      </c>
      <c r="F2899" s="27" t="str">
        <f aca="false">IF(A2899="","",A2899&amp;"|"&amp;B2899)</f>
        <v/>
      </c>
    </row>
    <row r="2900" customFormat="false" ht="15" hidden="false" customHeight="false" outlineLevel="0" collapsed="false">
      <c r="A2900" s="19"/>
      <c r="B2900" s="19"/>
      <c r="C2900" s="20"/>
      <c r="D2900" s="19"/>
      <c r="E2900" s="26" t="str">
        <f aca="false">IF(A2900="","",COUNTIFS(Apparitions!$A$2:$A$5001,A2900,Apparitions!$B$2:$B$5001,B2900))</f>
        <v/>
      </c>
      <c r="F2900" s="27" t="str">
        <f aca="false">IF(A2900="","",A2900&amp;"|"&amp;B2900)</f>
        <v/>
      </c>
    </row>
    <row r="2901" customFormat="false" ht="15" hidden="false" customHeight="false" outlineLevel="0" collapsed="false">
      <c r="A2901" s="19"/>
      <c r="B2901" s="19"/>
      <c r="C2901" s="20"/>
      <c r="D2901" s="19"/>
      <c r="E2901" s="26" t="str">
        <f aca="false">IF(A2901="","",COUNTIFS(Apparitions!$A$2:$A$5001,A2901,Apparitions!$B$2:$B$5001,B2901))</f>
        <v/>
      </c>
      <c r="F2901" s="27" t="str">
        <f aca="false">IF(A2901="","",A2901&amp;"|"&amp;B2901)</f>
        <v/>
      </c>
    </row>
    <row r="2902" customFormat="false" ht="15" hidden="false" customHeight="false" outlineLevel="0" collapsed="false">
      <c r="A2902" s="19"/>
      <c r="B2902" s="19"/>
      <c r="C2902" s="20"/>
      <c r="D2902" s="19"/>
      <c r="E2902" s="26" t="str">
        <f aca="false">IF(A2902="","",COUNTIFS(Apparitions!$A$2:$A$5001,A2902,Apparitions!$B$2:$B$5001,B2902))</f>
        <v/>
      </c>
      <c r="F2902" s="27" t="str">
        <f aca="false">IF(A2902="","",A2902&amp;"|"&amp;B2902)</f>
        <v/>
      </c>
    </row>
    <row r="2903" customFormat="false" ht="15" hidden="false" customHeight="false" outlineLevel="0" collapsed="false">
      <c r="A2903" s="19"/>
      <c r="B2903" s="19"/>
      <c r="C2903" s="20"/>
      <c r="D2903" s="19"/>
      <c r="E2903" s="26" t="str">
        <f aca="false">IF(A2903="","",COUNTIFS(Apparitions!$A$2:$A$5001,A2903,Apparitions!$B$2:$B$5001,B2903))</f>
        <v/>
      </c>
      <c r="F2903" s="27" t="str">
        <f aca="false">IF(A2903="","",A2903&amp;"|"&amp;B2903)</f>
        <v/>
      </c>
    </row>
    <row r="2904" customFormat="false" ht="15" hidden="false" customHeight="false" outlineLevel="0" collapsed="false">
      <c r="A2904" s="19"/>
      <c r="B2904" s="19"/>
      <c r="C2904" s="20"/>
      <c r="D2904" s="19"/>
      <c r="E2904" s="26" t="str">
        <f aca="false">IF(A2904="","",COUNTIFS(Apparitions!$A$2:$A$5001,A2904,Apparitions!$B$2:$B$5001,B2904))</f>
        <v/>
      </c>
      <c r="F2904" s="27" t="str">
        <f aca="false">IF(A2904="","",A2904&amp;"|"&amp;B2904)</f>
        <v/>
      </c>
    </row>
    <row r="2905" customFormat="false" ht="15" hidden="false" customHeight="false" outlineLevel="0" collapsed="false">
      <c r="A2905" s="19"/>
      <c r="B2905" s="19"/>
      <c r="C2905" s="20"/>
      <c r="D2905" s="19"/>
      <c r="E2905" s="26" t="str">
        <f aca="false">IF(A2905="","",COUNTIFS(Apparitions!$A$2:$A$5001,A2905,Apparitions!$B$2:$B$5001,B2905))</f>
        <v/>
      </c>
      <c r="F2905" s="27" t="str">
        <f aca="false">IF(A2905="","",A2905&amp;"|"&amp;B2905)</f>
        <v/>
      </c>
    </row>
    <row r="2906" customFormat="false" ht="15" hidden="false" customHeight="false" outlineLevel="0" collapsed="false">
      <c r="A2906" s="19"/>
      <c r="B2906" s="19"/>
      <c r="C2906" s="20"/>
      <c r="D2906" s="19"/>
      <c r="E2906" s="26" t="str">
        <f aca="false">IF(A2906="","",COUNTIFS(Apparitions!$A$2:$A$5001,A2906,Apparitions!$B$2:$B$5001,B2906))</f>
        <v/>
      </c>
      <c r="F2906" s="27" t="str">
        <f aca="false">IF(A2906="","",A2906&amp;"|"&amp;B2906)</f>
        <v/>
      </c>
    </row>
    <row r="2907" customFormat="false" ht="15" hidden="false" customHeight="false" outlineLevel="0" collapsed="false">
      <c r="A2907" s="19"/>
      <c r="B2907" s="19"/>
      <c r="C2907" s="20"/>
      <c r="D2907" s="19"/>
      <c r="E2907" s="26" t="str">
        <f aca="false">IF(A2907="","",COUNTIFS(Apparitions!$A$2:$A$5001,A2907,Apparitions!$B$2:$B$5001,B2907))</f>
        <v/>
      </c>
      <c r="F2907" s="27" t="str">
        <f aca="false">IF(A2907="","",A2907&amp;"|"&amp;B2907)</f>
        <v/>
      </c>
    </row>
    <row r="2908" customFormat="false" ht="15" hidden="false" customHeight="false" outlineLevel="0" collapsed="false">
      <c r="A2908" s="19"/>
      <c r="B2908" s="19"/>
      <c r="C2908" s="20"/>
      <c r="D2908" s="19"/>
      <c r="E2908" s="26" t="str">
        <f aca="false">IF(A2908="","",COUNTIFS(Apparitions!$A$2:$A$5001,A2908,Apparitions!$B$2:$B$5001,B2908))</f>
        <v/>
      </c>
      <c r="F2908" s="27" t="str">
        <f aca="false">IF(A2908="","",A2908&amp;"|"&amp;B2908)</f>
        <v/>
      </c>
    </row>
    <row r="2909" customFormat="false" ht="15" hidden="false" customHeight="false" outlineLevel="0" collapsed="false">
      <c r="A2909" s="19"/>
      <c r="B2909" s="19"/>
      <c r="C2909" s="20"/>
      <c r="D2909" s="19"/>
      <c r="E2909" s="26" t="str">
        <f aca="false">IF(A2909="","",COUNTIFS(Apparitions!$A$2:$A$5001,A2909,Apparitions!$B$2:$B$5001,B2909))</f>
        <v/>
      </c>
      <c r="F2909" s="27" t="str">
        <f aca="false">IF(A2909="","",A2909&amp;"|"&amp;B2909)</f>
        <v/>
      </c>
    </row>
    <row r="2910" customFormat="false" ht="15" hidden="false" customHeight="false" outlineLevel="0" collapsed="false">
      <c r="A2910" s="19"/>
      <c r="B2910" s="19"/>
      <c r="C2910" s="20"/>
      <c r="D2910" s="19"/>
      <c r="E2910" s="26" t="str">
        <f aca="false">IF(A2910="","",COUNTIFS(Apparitions!$A$2:$A$5001,A2910,Apparitions!$B$2:$B$5001,B2910))</f>
        <v/>
      </c>
      <c r="F2910" s="27" t="str">
        <f aca="false">IF(A2910="","",A2910&amp;"|"&amp;B2910)</f>
        <v/>
      </c>
    </row>
    <row r="2911" customFormat="false" ht="15" hidden="false" customHeight="false" outlineLevel="0" collapsed="false">
      <c r="A2911" s="19"/>
      <c r="B2911" s="19"/>
      <c r="C2911" s="20"/>
      <c r="D2911" s="19"/>
      <c r="E2911" s="26" t="str">
        <f aca="false">IF(A2911="","",COUNTIFS(Apparitions!$A$2:$A$5001,A2911,Apparitions!$B$2:$B$5001,B2911))</f>
        <v/>
      </c>
      <c r="F2911" s="27" t="str">
        <f aca="false">IF(A2911="","",A2911&amp;"|"&amp;B2911)</f>
        <v/>
      </c>
    </row>
    <row r="2912" customFormat="false" ht="15" hidden="false" customHeight="false" outlineLevel="0" collapsed="false">
      <c r="A2912" s="19"/>
      <c r="B2912" s="19"/>
      <c r="C2912" s="20"/>
      <c r="D2912" s="19"/>
      <c r="E2912" s="26" t="str">
        <f aca="false">IF(A2912="","",COUNTIFS(Apparitions!$A$2:$A$5001,A2912,Apparitions!$B$2:$B$5001,B2912))</f>
        <v/>
      </c>
      <c r="F2912" s="27" t="str">
        <f aca="false">IF(A2912="","",A2912&amp;"|"&amp;B2912)</f>
        <v/>
      </c>
    </row>
    <row r="2913" customFormat="false" ht="15" hidden="false" customHeight="false" outlineLevel="0" collapsed="false">
      <c r="A2913" s="19"/>
      <c r="B2913" s="19"/>
      <c r="C2913" s="20"/>
      <c r="D2913" s="19"/>
      <c r="E2913" s="26" t="str">
        <f aca="false">IF(A2913="","",COUNTIFS(Apparitions!$A$2:$A$5001,A2913,Apparitions!$B$2:$B$5001,B2913))</f>
        <v/>
      </c>
      <c r="F2913" s="27" t="str">
        <f aca="false">IF(A2913="","",A2913&amp;"|"&amp;B2913)</f>
        <v/>
      </c>
    </row>
    <row r="2914" customFormat="false" ht="15" hidden="false" customHeight="false" outlineLevel="0" collapsed="false">
      <c r="A2914" s="19"/>
      <c r="B2914" s="19"/>
      <c r="C2914" s="20"/>
      <c r="D2914" s="19"/>
      <c r="E2914" s="26" t="str">
        <f aca="false">IF(A2914="","",COUNTIFS(Apparitions!$A$2:$A$5001,A2914,Apparitions!$B$2:$B$5001,B2914))</f>
        <v/>
      </c>
      <c r="F2914" s="27" t="str">
        <f aca="false">IF(A2914="","",A2914&amp;"|"&amp;B2914)</f>
        <v/>
      </c>
    </row>
    <row r="2915" customFormat="false" ht="15" hidden="false" customHeight="false" outlineLevel="0" collapsed="false">
      <c r="A2915" s="19"/>
      <c r="B2915" s="19"/>
      <c r="C2915" s="20"/>
      <c r="D2915" s="19"/>
      <c r="E2915" s="26" t="str">
        <f aca="false">IF(A2915="","",COUNTIFS(Apparitions!$A$2:$A$5001,A2915,Apparitions!$B$2:$B$5001,B2915))</f>
        <v/>
      </c>
      <c r="F2915" s="27" t="str">
        <f aca="false">IF(A2915="","",A2915&amp;"|"&amp;B2915)</f>
        <v/>
      </c>
    </row>
    <row r="2916" customFormat="false" ht="15" hidden="false" customHeight="false" outlineLevel="0" collapsed="false">
      <c r="A2916" s="19"/>
      <c r="B2916" s="19"/>
      <c r="C2916" s="20"/>
      <c r="D2916" s="19"/>
      <c r="E2916" s="26" t="str">
        <f aca="false">IF(A2916="","",COUNTIFS(Apparitions!$A$2:$A$5001,A2916,Apparitions!$B$2:$B$5001,B2916))</f>
        <v/>
      </c>
      <c r="F2916" s="27" t="str">
        <f aca="false">IF(A2916="","",A2916&amp;"|"&amp;B2916)</f>
        <v/>
      </c>
    </row>
    <row r="2917" customFormat="false" ht="15" hidden="false" customHeight="false" outlineLevel="0" collapsed="false">
      <c r="A2917" s="19"/>
      <c r="B2917" s="19"/>
      <c r="C2917" s="20"/>
      <c r="D2917" s="19"/>
      <c r="E2917" s="26" t="str">
        <f aca="false">IF(A2917="","",COUNTIFS(Apparitions!$A$2:$A$5001,A2917,Apparitions!$B$2:$B$5001,B2917))</f>
        <v/>
      </c>
      <c r="F2917" s="27" t="str">
        <f aca="false">IF(A2917="","",A2917&amp;"|"&amp;B2917)</f>
        <v/>
      </c>
    </row>
    <row r="2918" customFormat="false" ht="15" hidden="false" customHeight="false" outlineLevel="0" collapsed="false">
      <c r="A2918" s="19"/>
      <c r="B2918" s="19"/>
      <c r="C2918" s="20"/>
      <c r="D2918" s="19"/>
      <c r="E2918" s="26" t="str">
        <f aca="false">IF(A2918="","",COUNTIFS(Apparitions!$A$2:$A$5001,A2918,Apparitions!$B$2:$B$5001,B2918))</f>
        <v/>
      </c>
      <c r="F2918" s="27" t="str">
        <f aca="false">IF(A2918="","",A2918&amp;"|"&amp;B2918)</f>
        <v/>
      </c>
    </row>
    <row r="2919" customFormat="false" ht="15" hidden="false" customHeight="false" outlineLevel="0" collapsed="false">
      <c r="A2919" s="19"/>
      <c r="B2919" s="19"/>
      <c r="C2919" s="20"/>
      <c r="D2919" s="19"/>
      <c r="E2919" s="26" t="str">
        <f aca="false">IF(A2919="","",COUNTIFS(Apparitions!$A$2:$A$5001,A2919,Apparitions!$B$2:$B$5001,B2919))</f>
        <v/>
      </c>
      <c r="F2919" s="27" t="str">
        <f aca="false">IF(A2919="","",A2919&amp;"|"&amp;B2919)</f>
        <v/>
      </c>
    </row>
    <row r="2920" customFormat="false" ht="15" hidden="false" customHeight="false" outlineLevel="0" collapsed="false">
      <c r="A2920" s="19"/>
      <c r="B2920" s="19"/>
      <c r="C2920" s="20"/>
      <c r="D2920" s="19"/>
      <c r="E2920" s="26" t="str">
        <f aca="false">IF(A2920="","",COUNTIFS(Apparitions!$A$2:$A$5001,A2920,Apparitions!$B$2:$B$5001,B2920))</f>
        <v/>
      </c>
      <c r="F2920" s="27" t="str">
        <f aca="false">IF(A2920="","",A2920&amp;"|"&amp;B2920)</f>
        <v/>
      </c>
    </row>
    <row r="2921" customFormat="false" ht="15" hidden="false" customHeight="false" outlineLevel="0" collapsed="false">
      <c r="A2921" s="19"/>
      <c r="B2921" s="19"/>
      <c r="C2921" s="20"/>
      <c r="D2921" s="19"/>
      <c r="E2921" s="26" t="str">
        <f aca="false">IF(A2921="","",COUNTIFS(Apparitions!$A$2:$A$5001,A2921,Apparitions!$B$2:$B$5001,B2921))</f>
        <v/>
      </c>
      <c r="F2921" s="27" t="str">
        <f aca="false">IF(A2921="","",A2921&amp;"|"&amp;B2921)</f>
        <v/>
      </c>
    </row>
    <row r="2922" customFormat="false" ht="15" hidden="false" customHeight="false" outlineLevel="0" collapsed="false">
      <c r="A2922" s="19"/>
      <c r="B2922" s="19"/>
      <c r="C2922" s="20"/>
      <c r="D2922" s="19"/>
      <c r="E2922" s="26" t="str">
        <f aca="false">IF(A2922="","",COUNTIFS(Apparitions!$A$2:$A$5001,A2922,Apparitions!$B$2:$B$5001,B2922))</f>
        <v/>
      </c>
      <c r="F2922" s="27" t="str">
        <f aca="false">IF(A2922="","",A2922&amp;"|"&amp;B2922)</f>
        <v/>
      </c>
    </row>
    <row r="2923" customFormat="false" ht="15" hidden="false" customHeight="false" outlineLevel="0" collapsed="false">
      <c r="A2923" s="19"/>
      <c r="B2923" s="19"/>
      <c r="C2923" s="20"/>
      <c r="D2923" s="19"/>
      <c r="E2923" s="26" t="str">
        <f aca="false">IF(A2923="","",COUNTIFS(Apparitions!$A$2:$A$5001,A2923,Apparitions!$B$2:$B$5001,B2923))</f>
        <v/>
      </c>
      <c r="F2923" s="27" t="str">
        <f aca="false">IF(A2923="","",A2923&amp;"|"&amp;B2923)</f>
        <v/>
      </c>
    </row>
    <row r="2924" customFormat="false" ht="15" hidden="false" customHeight="false" outlineLevel="0" collapsed="false">
      <c r="A2924" s="19"/>
      <c r="B2924" s="19"/>
      <c r="C2924" s="20"/>
      <c r="D2924" s="19"/>
      <c r="E2924" s="26" t="str">
        <f aca="false">IF(A2924="","",COUNTIFS(Apparitions!$A$2:$A$5001,A2924,Apparitions!$B$2:$B$5001,B2924))</f>
        <v/>
      </c>
      <c r="F2924" s="27" t="str">
        <f aca="false">IF(A2924="","",A2924&amp;"|"&amp;B2924)</f>
        <v/>
      </c>
    </row>
    <row r="2925" customFormat="false" ht="15" hidden="false" customHeight="false" outlineLevel="0" collapsed="false">
      <c r="A2925" s="19"/>
      <c r="B2925" s="19"/>
      <c r="C2925" s="20"/>
      <c r="D2925" s="19"/>
      <c r="E2925" s="26" t="str">
        <f aca="false">IF(A2925="","",COUNTIFS(Apparitions!$A$2:$A$5001,A2925,Apparitions!$B$2:$B$5001,B2925))</f>
        <v/>
      </c>
      <c r="F2925" s="27" t="str">
        <f aca="false">IF(A2925="","",A2925&amp;"|"&amp;B2925)</f>
        <v/>
      </c>
    </row>
    <row r="2926" customFormat="false" ht="15" hidden="false" customHeight="false" outlineLevel="0" collapsed="false">
      <c r="A2926" s="19"/>
      <c r="B2926" s="19"/>
      <c r="C2926" s="20"/>
      <c r="D2926" s="19"/>
      <c r="E2926" s="26" t="str">
        <f aca="false">IF(A2926="","",COUNTIFS(Apparitions!$A$2:$A$5001,A2926,Apparitions!$B$2:$B$5001,B2926))</f>
        <v/>
      </c>
      <c r="F2926" s="27" t="str">
        <f aca="false">IF(A2926="","",A2926&amp;"|"&amp;B2926)</f>
        <v/>
      </c>
    </row>
    <row r="2927" customFormat="false" ht="15" hidden="false" customHeight="false" outlineLevel="0" collapsed="false">
      <c r="A2927" s="19"/>
      <c r="B2927" s="19"/>
      <c r="C2927" s="20"/>
      <c r="D2927" s="19"/>
      <c r="E2927" s="26" t="str">
        <f aca="false">IF(A2927="","",COUNTIFS(Apparitions!$A$2:$A$5001,A2927,Apparitions!$B$2:$B$5001,B2927))</f>
        <v/>
      </c>
      <c r="F2927" s="27" t="str">
        <f aca="false">IF(A2927="","",A2927&amp;"|"&amp;B2927)</f>
        <v/>
      </c>
    </row>
    <row r="2928" customFormat="false" ht="15" hidden="false" customHeight="false" outlineLevel="0" collapsed="false">
      <c r="A2928" s="19"/>
      <c r="B2928" s="19"/>
      <c r="C2928" s="20"/>
      <c r="D2928" s="19"/>
      <c r="E2928" s="26" t="str">
        <f aca="false">IF(A2928="","",COUNTIFS(Apparitions!$A$2:$A$5001,A2928,Apparitions!$B$2:$B$5001,B2928))</f>
        <v/>
      </c>
      <c r="F2928" s="27" t="str">
        <f aca="false">IF(A2928="","",A2928&amp;"|"&amp;B2928)</f>
        <v/>
      </c>
    </row>
    <row r="2929" customFormat="false" ht="15" hidden="false" customHeight="false" outlineLevel="0" collapsed="false">
      <c r="A2929" s="19"/>
      <c r="B2929" s="19"/>
      <c r="C2929" s="20"/>
      <c r="D2929" s="19"/>
      <c r="E2929" s="26" t="str">
        <f aca="false">IF(A2929="","",COUNTIFS(Apparitions!$A$2:$A$5001,A2929,Apparitions!$B$2:$B$5001,B2929))</f>
        <v/>
      </c>
      <c r="F2929" s="27" t="str">
        <f aca="false">IF(A2929="","",A2929&amp;"|"&amp;B2929)</f>
        <v/>
      </c>
    </row>
    <row r="2930" customFormat="false" ht="15" hidden="false" customHeight="false" outlineLevel="0" collapsed="false">
      <c r="A2930" s="19"/>
      <c r="B2930" s="19"/>
      <c r="C2930" s="20"/>
      <c r="D2930" s="19"/>
      <c r="E2930" s="26" t="str">
        <f aca="false">IF(A2930="","",COUNTIFS(Apparitions!$A$2:$A$5001,A2930,Apparitions!$B$2:$B$5001,B2930))</f>
        <v/>
      </c>
      <c r="F2930" s="27" t="str">
        <f aca="false">IF(A2930="","",A2930&amp;"|"&amp;B2930)</f>
        <v/>
      </c>
    </row>
    <row r="2931" customFormat="false" ht="15" hidden="false" customHeight="false" outlineLevel="0" collapsed="false">
      <c r="A2931" s="19"/>
      <c r="B2931" s="19"/>
      <c r="C2931" s="20"/>
      <c r="D2931" s="19"/>
      <c r="E2931" s="26" t="str">
        <f aca="false">IF(A2931="","",COUNTIFS(Apparitions!$A$2:$A$5001,A2931,Apparitions!$B$2:$B$5001,B2931))</f>
        <v/>
      </c>
      <c r="F2931" s="27" t="str">
        <f aca="false">IF(A2931="","",A2931&amp;"|"&amp;B2931)</f>
        <v/>
      </c>
    </row>
    <row r="2932" customFormat="false" ht="15" hidden="false" customHeight="false" outlineLevel="0" collapsed="false">
      <c r="A2932" s="19"/>
      <c r="B2932" s="19"/>
      <c r="C2932" s="20"/>
      <c r="D2932" s="19"/>
      <c r="E2932" s="26" t="str">
        <f aca="false">IF(A2932="","",COUNTIFS(Apparitions!$A$2:$A$5001,A2932,Apparitions!$B$2:$B$5001,B2932))</f>
        <v/>
      </c>
      <c r="F2932" s="27" t="str">
        <f aca="false">IF(A2932="","",A2932&amp;"|"&amp;B2932)</f>
        <v/>
      </c>
    </row>
    <row r="2933" customFormat="false" ht="15" hidden="false" customHeight="false" outlineLevel="0" collapsed="false">
      <c r="A2933" s="19"/>
      <c r="B2933" s="19"/>
      <c r="C2933" s="20"/>
      <c r="D2933" s="19"/>
      <c r="E2933" s="26" t="str">
        <f aca="false">IF(A2933="","",COUNTIFS(Apparitions!$A$2:$A$5001,A2933,Apparitions!$B$2:$B$5001,B2933))</f>
        <v/>
      </c>
      <c r="F2933" s="27" t="str">
        <f aca="false">IF(A2933="","",A2933&amp;"|"&amp;B2933)</f>
        <v/>
      </c>
    </row>
    <row r="2934" customFormat="false" ht="15" hidden="false" customHeight="false" outlineLevel="0" collapsed="false">
      <c r="A2934" s="19"/>
      <c r="B2934" s="19"/>
      <c r="C2934" s="20"/>
      <c r="D2934" s="19"/>
      <c r="E2934" s="26" t="str">
        <f aca="false">IF(A2934="","",COUNTIFS(Apparitions!$A$2:$A$5001,A2934,Apparitions!$B$2:$B$5001,B2934))</f>
        <v/>
      </c>
      <c r="F2934" s="27" t="str">
        <f aca="false">IF(A2934="","",A2934&amp;"|"&amp;B2934)</f>
        <v/>
      </c>
    </row>
    <row r="2935" customFormat="false" ht="15" hidden="false" customHeight="false" outlineLevel="0" collapsed="false">
      <c r="A2935" s="19"/>
      <c r="B2935" s="19"/>
      <c r="C2935" s="20"/>
      <c r="D2935" s="19"/>
      <c r="E2935" s="26" t="str">
        <f aca="false">IF(A2935="","",COUNTIFS(Apparitions!$A$2:$A$5001,A2935,Apparitions!$B$2:$B$5001,B2935))</f>
        <v/>
      </c>
      <c r="F2935" s="27" t="str">
        <f aca="false">IF(A2935="","",A2935&amp;"|"&amp;B2935)</f>
        <v/>
      </c>
    </row>
    <row r="2936" customFormat="false" ht="15" hidden="false" customHeight="false" outlineLevel="0" collapsed="false">
      <c r="A2936" s="19"/>
      <c r="B2936" s="19"/>
      <c r="C2936" s="20"/>
      <c r="D2936" s="19"/>
      <c r="E2936" s="26" t="str">
        <f aca="false">IF(A2936="","",COUNTIFS(Apparitions!$A$2:$A$5001,A2936,Apparitions!$B$2:$B$5001,B2936))</f>
        <v/>
      </c>
      <c r="F2936" s="27" t="str">
        <f aca="false">IF(A2936="","",A2936&amp;"|"&amp;B2936)</f>
        <v/>
      </c>
    </row>
    <row r="2937" customFormat="false" ht="15" hidden="false" customHeight="false" outlineLevel="0" collapsed="false">
      <c r="A2937" s="19"/>
      <c r="B2937" s="19"/>
      <c r="C2937" s="20"/>
      <c r="D2937" s="19"/>
      <c r="E2937" s="26" t="str">
        <f aca="false">IF(A2937="","",COUNTIFS(Apparitions!$A$2:$A$5001,A2937,Apparitions!$B$2:$B$5001,B2937))</f>
        <v/>
      </c>
      <c r="F2937" s="27" t="str">
        <f aca="false">IF(A2937="","",A2937&amp;"|"&amp;B2937)</f>
        <v/>
      </c>
    </row>
    <row r="2938" customFormat="false" ht="15" hidden="false" customHeight="false" outlineLevel="0" collapsed="false">
      <c r="A2938" s="19"/>
      <c r="B2938" s="19"/>
      <c r="C2938" s="20"/>
      <c r="D2938" s="19"/>
      <c r="E2938" s="26" t="str">
        <f aca="false">IF(A2938="","",COUNTIFS(Apparitions!$A$2:$A$5001,A2938,Apparitions!$B$2:$B$5001,B2938))</f>
        <v/>
      </c>
      <c r="F2938" s="27" t="str">
        <f aca="false">IF(A2938="","",A2938&amp;"|"&amp;B2938)</f>
        <v/>
      </c>
    </row>
    <row r="2939" customFormat="false" ht="15" hidden="false" customHeight="false" outlineLevel="0" collapsed="false">
      <c r="A2939" s="19"/>
      <c r="B2939" s="19"/>
      <c r="C2939" s="20"/>
      <c r="D2939" s="19"/>
      <c r="E2939" s="26" t="str">
        <f aca="false">IF(A2939="","",COUNTIFS(Apparitions!$A$2:$A$5001,A2939,Apparitions!$B$2:$B$5001,B2939))</f>
        <v/>
      </c>
      <c r="F2939" s="27" t="str">
        <f aca="false">IF(A2939="","",A2939&amp;"|"&amp;B2939)</f>
        <v/>
      </c>
    </row>
    <row r="2940" customFormat="false" ht="15" hidden="false" customHeight="false" outlineLevel="0" collapsed="false">
      <c r="A2940" s="19"/>
      <c r="B2940" s="19"/>
      <c r="C2940" s="20"/>
      <c r="D2940" s="19"/>
      <c r="E2940" s="26" t="str">
        <f aca="false">IF(A2940="","",COUNTIFS(Apparitions!$A$2:$A$5001,A2940,Apparitions!$B$2:$B$5001,B2940))</f>
        <v/>
      </c>
      <c r="F2940" s="27" t="str">
        <f aca="false">IF(A2940="","",A2940&amp;"|"&amp;B2940)</f>
        <v/>
      </c>
    </row>
    <row r="2941" customFormat="false" ht="15" hidden="false" customHeight="false" outlineLevel="0" collapsed="false">
      <c r="A2941" s="19"/>
      <c r="B2941" s="19"/>
      <c r="C2941" s="20"/>
      <c r="D2941" s="19"/>
      <c r="E2941" s="26" t="str">
        <f aca="false">IF(A2941="","",COUNTIFS(Apparitions!$A$2:$A$5001,A2941,Apparitions!$B$2:$B$5001,B2941))</f>
        <v/>
      </c>
      <c r="F2941" s="27" t="str">
        <f aca="false">IF(A2941="","",A2941&amp;"|"&amp;B2941)</f>
        <v/>
      </c>
    </row>
    <row r="2942" customFormat="false" ht="15" hidden="false" customHeight="false" outlineLevel="0" collapsed="false">
      <c r="A2942" s="19"/>
      <c r="B2942" s="19"/>
      <c r="C2942" s="20"/>
      <c r="D2942" s="19"/>
      <c r="E2942" s="26" t="str">
        <f aca="false">IF(A2942="","",COUNTIFS(Apparitions!$A$2:$A$5001,A2942,Apparitions!$B$2:$B$5001,B2942))</f>
        <v/>
      </c>
      <c r="F2942" s="27" t="str">
        <f aca="false">IF(A2942="","",A2942&amp;"|"&amp;B2942)</f>
        <v/>
      </c>
    </row>
    <row r="2943" customFormat="false" ht="15" hidden="false" customHeight="false" outlineLevel="0" collapsed="false">
      <c r="A2943" s="19"/>
      <c r="B2943" s="19"/>
      <c r="C2943" s="20"/>
      <c r="D2943" s="19"/>
      <c r="E2943" s="26" t="str">
        <f aca="false">IF(A2943="","",COUNTIFS(Apparitions!$A$2:$A$5001,A2943,Apparitions!$B$2:$B$5001,B2943))</f>
        <v/>
      </c>
      <c r="F2943" s="27" t="str">
        <f aca="false">IF(A2943="","",A2943&amp;"|"&amp;B2943)</f>
        <v/>
      </c>
    </row>
    <row r="2944" customFormat="false" ht="15" hidden="false" customHeight="false" outlineLevel="0" collapsed="false">
      <c r="A2944" s="19"/>
      <c r="B2944" s="19"/>
      <c r="C2944" s="20"/>
      <c r="D2944" s="19"/>
      <c r="E2944" s="26" t="str">
        <f aca="false">IF(A2944="","",COUNTIFS(Apparitions!$A$2:$A$5001,A2944,Apparitions!$B$2:$B$5001,B2944))</f>
        <v/>
      </c>
      <c r="F2944" s="27" t="str">
        <f aca="false">IF(A2944="","",A2944&amp;"|"&amp;B2944)</f>
        <v/>
      </c>
    </row>
    <row r="2945" customFormat="false" ht="15" hidden="false" customHeight="false" outlineLevel="0" collapsed="false">
      <c r="A2945" s="19"/>
      <c r="B2945" s="19"/>
      <c r="C2945" s="20"/>
      <c r="D2945" s="19"/>
      <c r="E2945" s="26" t="str">
        <f aca="false">IF(A2945="","",COUNTIFS(Apparitions!$A$2:$A$5001,A2945,Apparitions!$B$2:$B$5001,B2945))</f>
        <v/>
      </c>
      <c r="F2945" s="27" t="str">
        <f aca="false">IF(A2945="","",A2945&amp;"|"&amp;B2945)</f>
        <v/>
      </c>
    </row>
    <row r="2946" customFormat="false" ht="15" hidden="false" customHeight="false" outlineLevel="0" collapsed="false">
      <c r="A2946" s="19"/>
      <c r="B2946" s="19"/>
      <c r="C2946" s="20"/>
      <c r="D2946" s="19"/>
      <c r="E2946" s="26" t="str">
        <f aca="false">IF(A2946="","",COUNTIFS(Apparitions!$A$2:$A$5001,A2946,Apparitions!$B$2:$B$5001,B2946))</f>
        <v/>
      </c>
      <c r="F2946" s="27" t="str">
        <f aca="false">IF(A2946="","",A2946&amp;"|"&amp;B2946)</f>
        <v/>
      </c>
    </row>
    <row r="2947" customFormat="false" ht="15" hidden="false" customHeight="false" outlineLevel="0" collapsed="false">
      <c r="A2947" s="19"/>
      <c r="B2947" s="19"/>
      <c r="C2947" s="20"/>
      <c r="D2947" s="19"/>
      <c r="E2947" s="26" t="str">
        <f aca="false">IF(A2947="","",COUNTIFS(Apparitions!$A$2:$A$5001,A2947,Apparitions!$B$2:$B$5001,B2947))</f>
        <v/>
      </c>
      <c r="F2947" s="27" t="str">
        <f aca="false">IF(A2947="","",A2947&amp;"|"&amp;B2947)</f>
        <v/>
      </c>
    </row>
    <row r="2948" customFormat="false" ht="15" hidden="false" customHeight="false" outlineLevel="0" collapsed="false">
      <c r="A2948" s="19"/>
      <c r="B2948" s="19"/>
      <c r="C2948" s="20"/>
      <c r="D2948" s="19"/>
      <c r="E2948" s="26" t="str">
        <f aca="false">IF(A2948="","",COUNTIFS(Apparitions!$A$2:$A$5001,A2948,Apparitions!$B$2:$B$5001,B2948))</f>
        <v/>
      </c>
      <c r="F2948" s="27" t="str">
        <f aca="false">IF(A2948="","",A2948&amp;"|"&amp;B2948)</f>
        <v/>
      </c>
    </row>
    <row r="2949" customFormat="false" ht="15" hidden="false" customHeight="false" outlineLevel="0" collapsed="false">
      <c r="A2949" s="19"/>
      <c r="B2949" s="19"/>
      <c r="C2949" s="20"/>
      <c r="D2949" s="19"/>
      <c r="E2949" s="26" t="str">
        <f aca="false">IF(A2949="","",COUNTIFS(Apparitions!$A$2:$A$5001,A2949,Apparitions!$B$2:$B$5001,B2949))</f>
        <v/>
      </c>
      <c r="F2949" s="27" t="str">
        <f aca="false">IF(A2949="","",A2949&amp;"|"&amp;B2949)</f>
        <v/>
      </c>
    </row>
    <row r="2950" customFormat="false" ht="15" hidden="false" customHeight="false" outlineLevel="0" collapsed="false">
      <c r="A2950" s="19"/>
      <c r="B2950" s="19"/>
      <c r="C2950" s="20"/>
      <c r="D2950" s="19"/>
      <c r="E2950" s="26" t="str">
        <f aca="false">IF(A2950="","",COUNTIFS(Apparitions!$A$2:$A$5001,A2950,Apparitions!$B$2:$B$5001,B2950))</f>
        <v/>
      </c>
      <c r="F2950" s="27" t="str">
        <f aca="false">IF(A2950="","",A2950&amp;"|"&amp;B2950)</f>
        <v/>
      </c>
    </row>
    <row r="2951" customFormat="false" ht="15" hidden="false" customHeight="false" outlineLevel="0" collapsed="false">
      <c r="A2951" s="19"/>
      <c r="B2951" s="19"/>
      <c r="C2951" s="20"/>
      <c r="D2951" s="19"/>
      <c r="E2951" s="26" t="str">
        <f aca="false">IF(A2951="","",COUNTIFS(Apparitions!$A$2:$A$5001,A2951,Apparitions!$B$2:$B$5001,B2951))</f>
        <v/>
      </c>
      <c r="F2951" s="27" t="str">
        <f aca="false">IF(A2951="","",A2951&amp;"|"&amp;B2951)</f>
        <v/>
      </c>
    </row>
    <row r="2952" customFormat="false" ht="15" hidden="false" customHeight="false" outlineLevel="0" collapsed="false">
      <c r="A2952" s="19"/>
      <c r="B2952" s="19"/>
      <c r="C2952" s="20"/>
      <c r="D2952" s="19"/>
      <c r="E2952" s="26" t="str">
        <f aca="false">IF(A2952="","",COUNTIFS(Apparitions!$A$2:$A$5001,A2952,Apparitions!$B$2:$B$5001,B2952))</f>
        <v/>
      </c>
      <c r="F2952" s="27" t="str">
        <f aca="false">IF(A2952="","",A2952&amp;"|"&amp;B2952)</f>
        <v/>
      </c>
    </row>
    <row r="2953" customFormat="false" ht="15" hidden="false" customHeight="false" outlineLevel="0" collapsed="false">
      <c r="A2953" s="19"/>
      <c r="B2953" s="19"/>
      <c r="C2953" s="20"/>
      <c r="D2953" s="19"/>
      <c r="E2953" s="26" t="str">
        <f aca="false">IF(A2953="","",COUNTIFS(Apparitions!$A$2:$A$5001,A2953,Apparitions!$B$2:$B$5001,B2953))</f>
        <v/>
      </c>
      <c r="F2953" s="27" t="str">
        <f aca="false">IF(A2953="","",A2953&amp;"|"&amp;B2953)</f>
        <v/>
      </c>
    </row>
    <row r="2954" customFormat="false" ht="15" hidden="false" customHeight="false" outlineLevel="0" collapsed="false">
      <c r="A2954" s="19"/>
      <c r="B2954" s="19"/>
      <c r="C2954" s="20"/>
      <c r="D2954" s="19"/>
      <c r="E2954" s="26" t="str">
        <f aca="false">IF(A2954="","",COUNTIFS(Apparitions!$A$2:$A$5001,A2954,Apparitions!$B$2:$B$5001,B2954))</f>
        <v/>
      </c>
      <c r="F2954" s="27" t="str">
        <f aca="false">IF(A2954="","",A2954&amp;"|"&amp;B2954)</f>
        <v/>
      </c>
    </row>
    <row r="2955" customFormat="false" ht="15" hidden="false" customHeight="false" outlineLevel="0" collapsed="false">
      <c r="A2955" s="19"/>
      <c r="B2955" s="19"/>
      <c r="C2955" s="20"/>
      <c r="D2955" s="19"/>
      <c r="E2955" s="26" t="str">
        <f aca="false">IF(A2955="","",COUNTIFS(Apparitions!$A$2:$A$5001,A2955,Apparitions!$B$2:$B$5001,B2955))</f>
        <v/>
      </c>
      <c r="F2955" s="27" t="str">
        <f aca="false">IF(A2955="","",A2955&amp;"|"&amp;B2955)</f>
        <v/>
      </c>
    </row>
    <row r="2956" customFormat="false" ht="15" hidden="false" customHeight="false" outlineLevel="0" collapsed="false">
      <c r="A2956" s="19"/>
      <c r="B2956" s="19"/>
      <c r="C2956" s="20"/>
      <c r="D2956" s="19"/>
      <c r="E2956" s="26" t="str">
        <f aca="false">IF(A2956="","",COUNTIFS(Apparitions!$A$2:$A$5001,A2956,Apparitions!$B$2:$B$5001,B2956))</f>
        <v/>
      </c>
      <c r="F2956" s="27" t="str">
        <f aca="false">IF(A2956="","",A2956&amp;"|"&amp;B2956)</f>
        <v/>
      </c>
    </row>
    <row r="2957" customFormat="false" ht="15" hidden="false" customHeight="false" outlineLevel="0" collapsed="false">
      <c r="A2957" s="19"/>
      <c r="B2957" s="19"/>
      <c r="C2957" s="20"/>
      <c r="D2957" s="19"/>
      <c r="E2957" s="26" t="str">
        <f aca="false">IF(A2957="","",COUNTIFS(Apparitions!$A$2:$A$5001,A2957,Apparitions!$B$2:$B$5001,B2957))</f>
        <v/>
      </c>
      <c r="F2957" s="27" t="str">
        <f aca="false">IF(A2957="","",A2957&amp;"|"&amp;B2957)</f>
        <v/>
      </c>
    </row>
    <row r="2958" customFormat="false" ht="15" hidden="false" customHeight="false" outlineLevel="0" collapsed="false">
      <c r="A2958" s="19"/>
      <c r="B2958" s="19"/>
      <c r="C2958" s="20"/>
      <c r="D2958" s="19"/>
      <c r="E2958" s="26" t="str">
        <f aca="false">IF(A2958="","",COUNTIFS(Apparitions!$A$2:$A$5001,A2958,Apparitions!$B$2:$B$5001,B2958))</f>
        <v/>
      </c>
      <c r="F2958" s="27" t="str">
        <f aca="false">IF(A2958="","",A2958&amp;"|"&amp;B2958)</f>
        <v/>
      </c>
    </row>
    <row r="2959" customFormat="false" ht="15" hidden="false" customHeight="false" outlineLevel="0" collapsed="false">
      <c r="A2959" s="19"/>
      <c r="B2959" s="19"/>
      <c r="C2959" s="20"/>
      <c r="D2959" s="19"/>
      <c r="E2959" s="26" t="str">
        <f aca="false">IF(A2959="","",COUNTIFS(Apparitions!$A$2:$A$5001,A2959,Apparitions!$B$2:$B$5001,B2959))</f>
        <v/>
      </c>
      <c r="F2959" s="27" t="str">
        <f aca="false">IF(A2959="","",A2959&amp;"|"&amp;B2959)</f>
        <v/>
      </c>
    </row>
    <row r="2960" customFormat="false" ht="15" hidden="false" customHeight="false" outlineLevel="0" collapsed="false">
      <c r="A2960" s="19"/>
      <c r="B2960" s="19"/>
      <c r="C2960" s="20"/>
      <c r="D2960" s="19"/>
      <c r="E2960" s="26" t="str">
        <f aca="false">IF(A2960="","",COUNTIFS(Apparitions!$A$2:$A$5001,A2960,Apparitions!$B$2:$B$5001,B2960))</f>
        <v/>
      </c>
      <c r="F2960" s="27" t="str">
        <f aca="false">IF(A2960="","",A2960&amp;"|"&amp;B2960)</f>
        <v/>
      </c>
    </row>
    <row r="2961" customFormat="false" ht="15" hidden="false" customHeight="false" outlineLevel="0" collapsed="false">
      <c r="A2961" s="19"/>
      <c r="B2961" s="19"/>
      <c r="C2961" s="20"/>
      <c r="D2961" s="19"/>
      <c r="E2961" s="26" t="str">
        <f aca="false">IF(A2961="","",COUNTIFS(Apparitions!$A$2:$A$5001,A2961,Apparitions!$B$2:$B$5001,B2961))</f>
        <v/>
      </c>
      <c r="F2961" s="27" t="str">
        <f aca="false">IF(A2961="","",A2961&amp;"|"&amp;B2961)</f>
        <v/>
      </c>
    </row>
    <row r="2962" customFormat="false" ht="15" hidden="false" customHeight="false" outlineLevel="0" collapsed="false">
      <c r="A2962" s="19"/>
      <c r="B2962" s="19"/>
      <c r="C2962" s="20"/>
      <c r="D2962" s="19"/>
      <c r="E2962" s="26" t="str">
        <f aca="false">IF(A2962="","",COUNTIFS(Apparitions!$A$2:$A$5001,A2962,Apparitions!$B$2:$B$5001,B2962))</f>
        <v/>
      </c>
      <c r="F2962" s="27" t="str">
        <f aca="false">IF(A2962="","",A2962&amp;"|"&amp;B2962)</f>
        <v/>
      </c>
    </row>
    <row r="2963" customFormat="false" ht="15" hidden="false" customHeight="false" outlineLevel="0" collapsed="false">
      <c r="A2963" s="19"/>
      <c r="B2963" s="19"/>
      <c r="C2963" s="20"/>
      <c r="D2963" s="19"/>
      <c r="E2963" s="26" t="str">
        <f aca="false">IF(A2963="","",COUNTIFS(Apparitions!$A$2:$A$5001,A2963,Apparitions!$B$2:$B$5001,B2963))</f>
        <v/>
      </c>
      <c r="F2963" s="27" t="str">
        <f aca="false">IF(A2963="","",A2963&amp;"|"&amp;B2963)</f>
        <v/>
      </c>
    </row>
    <row r="2964" customFormat="false" ht="15" hidden="false" customHeight="false" outlineLevel="0" collapsed="false">
      <c r="A2964" s="19"/>
      <c r="B2964" s="19"/>
      <c r="C2964" s="20"/>
      <c r="D2964" s="19"/>
      <c r="E2964" s="26" t="str">
        <f aca="false">IF(A2964="","",COUNTIFS(Apparitions!$A$2:$A$5001,A2964,Apparitions!$B$2:$B$5001,B2964))</f>
        <v/>
      </c>
      <c r="F2964" s="27" t="str">
        <f aca="false">IF(A2964="","",A2964&amp;"|"&amp;B2964)</f>
        <v/>
      </c>
    </row>
    <row r="2965" customFormat="false" ht="15" hidden="false" customHeight="false" outlineLevel="0" collapsed="false">
      <c r="A2965" s="19"/>
      <c r="B2965" s="19"/>
      <c r="C2965" s="20"/>
      <c r="D2965" s="19"/>
      <c r="E2965" s="26" t="str">
        <f aca="false">IF(A2965="","",COUNTIFS(Apparitions!$A$2:$A$5001,A2965,Apparitions!$B$2:$B$5001,B2965))</f>
        <v/>
      </c>
      <c r="F2965" s="27" t="str">
        <f aca="false">IF(A2965="","",A2965&amp;"|"&amp;B2965)</f>
        <v/>
      </c>
    </row>
    <row r="2966" customFormat="false" ht="15" hidden="false" customHeight="false" outlineLevel="0" collapsed="false">
      <c r="A2966" s="19"/>
      <c r="B2966" s="19"/>
      <c r="C2966" s="20"/>
      <c r="D2966" s="19"/>
      <c r="E2966" s="26" t="str">
        <f aca="false">IF(A2966="","",COUNTIFS(Apparitions!$A$2:$A$5001,A2966,Apparitions!$B$2:$B$5001,B2966))</f>
        <v/>
      </c>
      <c r="F2966" s="27" t="str">
        <f aca="false">IF(A2966="","",A2966&amp;"|"&amp;B2966)</f>
        <v/>
      </c>
    </row>
    <row r="2967" customFormat="false" ht="15" hidden="false" customHeight="false" outlineLevel="0" collapsed="false">
      <c r="A2967" s="19"/>
      <c r="B2967" s="19"/>
      <c r="C2967" s="20"/>
      <c r="D2967" s="19"/>
      <c r="E2967" s="26" t="str">
        <f aca="false">IF(A2967="","",COUNTIFS(Apparitions!$A$2:$A$5001,A2967,Apparitions!$B$2:$B$5001,B2967))</f>
        <v/>
      </c>
      <c r="F2967" s="27" t="str">
        <f aca="false">IF(A2967="","",A2967&amp;"|"&amp;B2967)</f>
        <v/>
      </c>
    </row>
    <row r="2968" customFormat="false" ht="15" hidden="false" customHeight="false" outlineLevel="0" collapsed="false">
      <c r="A2968" s="19"/>
      <c r="B2968" s="19"/>
      <c r="C2968" s="20"/>
      <c r="D2968" s="19"/>
      <c r="E2968" s="26" t="str">
        <f aca="false">IF(A2968="","",COUNTIFS(Apparitions!$A$2:$A$5001,A2968,Apparitions!$B$2:$B$5001,B2968))</f>
        <v/>
      </c>
      <c r="F2968" s="27" t="str">
        <f aca="false">IF(A2968="","",A2968&amp;"|"&amp;B2968)</f>
        <v/>
      </c>
    </row>
    <row r="2969" customFormat="false" ht="15" hidden="false" customHeight="false" outlineLevel="0" collapsed="false">
      <c r="A2969" s="19"/>
      <c r="B2969" s="19"/>
      <c r="C2969" s="20"/>
      <c r="D2969" s="19"/>
      <c r="E2969" s="26" t="str">
        <f aca="false">IF(A2969="","",COUNTIFS(Apparitions!$A$2:$A$5001,A2969,Apparitions!$B$2:$B$5001,B2969))</f>
        <v/>
      </c>
      <c r="F2969" s="27" t="str">
        <f aca="false">IF(A2969="","",A2969&amp;"|"&amp;B2969)</f>
        <v/>
      </c>
    </row>
    <row r="2970" customFormat="false" ht="15" hidden="false" customHeight="false" outlineLevel="0" collapsed="false">
      <c r="A2970" s="19"/>
      <c r="B2970" s="19"/>
      <c r="C2970" s="20"/>
      <c r="D2970" s="19"/>
      <c r="E2970" s="26" t="str">
        <f aca="false">IF(A2970="","",COUNTIFS(Apparitions!$A$2:$A$5001,A2970,Apparitions!$B$2:$B$5001,B2970))</f>
        <v/>
      </c>
      <c r="F2970" s="27" t="str">
        <f aca="false">IF(A2970="","",A2970&amp;"|"&amp;B2970)</f>
        <v/>
      </c>
    </row>
    <row r="2971" customFormat="false" ht="15" hidden="false" customHeight="false" outlineLevel="0" collapsed="false">
      <c r="A2971" s="19"/>
      <c r="B2971" s="19"/>
      <c r="C2971" s="20"/>
      <c r="D2971" s="19"/>
      <c r="E2971" s="26" t="str">
        <f aca="false">IF(A2971="","",COUNTIFS(Apparitions!$A$2:$A$5001,A2971,Apparitions!$B$2:$B$5001,B2971))</f>
        <v/>
      </c>
      <c r="F2971" s="27" t="str">
        <f aca="false">IF(A2971="","",A2971&amp;"|"&amp;B2971)</f>
        <v/>
      </c>
    </row>
    <row r="2972" customFormat="false" ht="15" hidden="false" customHeight="false" outlineLevel="0" collapsed="false">
      <c r="A2972" s="19"/>
      <c r="B2972" s="19"/>
      <c r="C2972" s="20"/>
      <c r="D2972" s="19"/>
      <c r="E2972" s="26" t="str">
        <f aca="false">IF(A2972="","",COUNTIFS(Apparitions!$A$2:$A$5001,A2972,Apparitions!$B$2:$B$5001,B2972))</f>
        <v/>
      </c>
      <c r="F2972" s="27" t="str">
        <f aca="false">IF(A2972="","",A2972&amp;"|"&amp;B2972)</f>
        <v/>
      </c>
    </row>
    <row r="2973" customFormat="false" ht="15" hidden="false" customHeight="false" outlineLevel="0" collapsed="false">
      <c r="A2973" s="19"/>
      <c r="B2973" s="19"/>
      <c r="C2973" s="20"/>
      <c r="D2973" s="19"/>
      <c r="E2973" s="26" t="str">
        <f aca="false">IF(A2973="","",COUNTIFS(Apparitions!$A$2:$A$5001,A2973,Apparitions!$B$2:$B$5001,B2973))</f>
        <v/>
      </c>
      <c r="F2973" s="27" t="str">
        <f aca="false">IF(A2973="","",A2973&amp;"|"&amp;B2973)</f>
        <v/>
      </c>
    </row>
    <row r="2974" customFormat="false" ht="15" hidden="false" customHeight="false" outlineLevel="0" collapsed="false">
      <c r="A2974" s="19"/>
      <c r="B2974" s="19"/>
      <c r="C2974" s="20"/>
      <c r="D2974" s="19"/>
      <c r="E2974" s="26" t="str">
        <f aca="false">IF(A2974="","",COUNTIFS(Apparitions!$A$2:$A$5001,A2974,Apparitions!$B$2:$B$5001,B2974))</f>
        <v/>
      </c>
      <c r="F2974" s="27" t="str">
        <f aca="false">IF(A2974="","",A2974&amp;"|"&amp;B2974)</f>
        <v/>
      </c>
    </row>
    <row r="2975" customFormat="false" ht="15" hidden="false" customHeight="false" outlineLevel="0" collapsed="false">
      <c r="A2975" s="19"/>
      <c r="B2975" s="19"/>
      <c r="C2975" s="20"/>
      <c r="D2975" s="19"/>
      <c r="E2975" s="26" t="str">
        <f aca="false">IF(A2975="","",COUNTIFS(Apparitions!$A$2:$A$5001,A2975,Apparitions!$B$2:$B$5001,B2975))</f>
        <v/>
      </c>
      <c r="F2975" s="27" t="str">
        <f aca="false">IF(A2975="","",A2975&amp;"|"&amp;B2975)</f>
        <v/>
      </c>
    </row>
    <row r="2976" customFormat="false" ht="15" hidden="false" customHeight="false" outlineLevel="0" collapsed="false">
      <c r="A2976" s="19"/>
      <c r="B2976" s="19"/>
      <c r="C2976" s="20"/>
      <c r="D2976" s="19"/>
      <c r="E2976" s="26" t="str">
        <f aca="false">IF(A2976="","",COUNTIFS(Apparitions!$A$2:$A$5001,A2976,Apparitions!$B$2:$B$5001,B2976))</f>
        <v/>
      </c>
      <c r="F2976" s="27" t="str">
        <f aca="false">IF(A2976="","",A2976&amp;"|"&amp;B2976)</f>
        <v/>
      </c>
    </row>
    <row r="2977" customFormat="false" ht="15" hidden="false" customHeight="false" outlineLevel="0" collapsed="false">
      <c r="A2977" s="19"/>
      <c r="B2977" s="19"/>
      <c r="C2977" s="20"/>
      <c r="D2977" s="19"/>
      <c r="E2977" s="26" t="str">
        <f aca="false">IF(A2977="","",COUNTIFS(Apparitions!$A$2:$A$5001,A2977,Apparitions!$B$2:$B$5001,B2977))</f>
        <v/>
      </c>
      <c r="F2977" s="27" t="str">
        <f aca="false">IF(A2977="","",A2977&amp;"|"&amp;B2977)</f>
        <v/>
      </c>
    </row>
    <row r="2978" customFormat="false" ht="15" hidden="false" customHeight="false" outlineLevel="0" collapsed="false">
      <c r="A2978" s="19"/>
      <c r="B2978" s="19"/>
      <c r="C2978" s="20"/>
      <c r="D2978" s="19"/>
      <c r="E2978" s="26" t="str">
        <f aca="false">IF(A2978="","",COUNTIFS(Apparitions!$A$2:$A$5001,A2978,Apparitions!$B$2:$B$5001,B2978))</f>
        <v/>
      </c>
      <c r="F2978" s="27" t="str">
        <f aca="false">IF(A2978="","",A2978&amp;"|"&amp;B2978)</f>
        <v/>
      </c>
    </row>
    <row r="2979" customFormat="false" ht="15" hidden="false" customHeight="false" outlineLevel="0" collapsed="false">
      <c r="A2979" s="19"/>
      <c r="B2979" s="19"/>
      <c r="C2979" s="20"/>
      <c r="D2979" s="19"/>
      <c r="E2979" s="26" t="str">
        <f aca="false">IF(A2979="","",COUNTIFS(Apparitions!$A$2:$A$5001,A2979,Apparitions!$B$2:$B$5001,B2979))</f>
        <v/>
      </c>
      <c r="F2979" s="27" t="str">
        <f aca="false">IF(A2979="","",A2979&amp;"|"&amp;B2979)</f>
        <v/>
      </c>
    </row>
    <row r="2980" customFormat="false" ht="15" hidden="false" customHeight="false" outlineLevel="0" collapsed="false">
      <c r="A2980" s="19"/>
      <c r="B2980" s="19"/>
      <c r="C2980" s="20"/>
      <c r="D2980" s="19"/>
      <c r="E2980" s="26" t="str">
        <f aca="false">IF(A2980="","",COUNTIFS(Apparitions!$A$2:$A$5001,A2980,Apparitions!$B$2:$B$5001,B2980))</f>
        <v/>
      </c>
      <c r="F2980" s="27" t="str">
        <f aca="false">IF(A2980="","",A2980&amp;"|"&amp;B2980)</f>
        <v/>
      </c>
    </row>
    <row r="2981" customFormat="false" ht="15" hidden="false" customHeight="false" outlineLevel="0" collapsed="false">
      <c r="A2981" s="19"/>
      <c r="B2981" s="19"/>
      <c r="C2981" s="20"/>
      <c r="D2981" s="19"/>
      <c r="E2981" s="26" t="str">
        <f aca="false">IF(A2981="","",COUNTIFS(Apparitions!$A$2:$A$5001,A2981,Apparitions!$B$2:$B$5001,B2981))</f>
        <v/>
      </c>
      <c r="F2981" s="27" t="str">
        <f aca="false">IF(A2981="","",A2981&amp;"|"&amp;B2981)</f>
        <v/>
      </c>
    </row>
    <row r="2982" customFormat="false" ht="15" hidden="false" customHeight="false" outlineLevel="0" collapsed="false">
      <c r="A2982" s="19"/>
      <c r="B2982" s="19"/>
      <c r="C2982" s="20"/>
      <c r="D2982" s="19"/>
      <c r="E2982" s="26" t="str">
        <f aca="false">IF(A2982="","",COUNTIFS(Apparitions!$A$2:$A$5001,A2982,Apparitions!$B$2:$B$5001,B2982))</f>
        <v/>
      </c>
      <c r="F2982" s="27" t="str">
        <f aca="false">IF(A2982="","",A2982&amp;"|"&amp;B2982)</f>
        <v/>
      </c>
    </row>
    <row r="2983" customFormat="false" ht="15" hidden="false" customHeight="false" outlineLevel="0" collapsed="false">
      <c r="A2983" s="19"/>
      <c r="B2983" s="19"/>
      <c r="C2983" s="20"/>
      <c r="D2983" s="19"/>
      <c r="E2983" s="26" t="str">
        <f aca="false">IF(A2983="","",COUNTIFS(Apparitions!$A$2:$A$5001,A2983,Apparitions!$B$2:$B$5001,B2983))</f>
        <v/>
      </c>
      <c r="F2983" s="27" t="str">
        <f aca="false">IF(A2983="","",A2983&amp;"|"&amp;B2983)</f>
        <v/>
      </c>
    </row>
    <row r="2984" customFormat="false" ht="15" hidden="false" customHeight="false" outlineLevel="0" collapsed="false">
      <c r="A2984" s="19"/>
      <c r="B2984" s="19"/>
      <c r="C2984" s="20"/>
      <c r="D2984" s="19"/>
      <c r="E2984" s="26" t="str">
        <f aca="false">IF(A2984="","",COUNTIFS(Apparitions!$A$2:$A$5001,A2984,Apparitions!$B$2:$B$5001,B2984))</f>
        <v/>
      </c>
      <c r="F2984" s="27" t="str">
        <f aca="false">IF(A2984="","",A2984&amp;"|"&amp;B2984)</f>
        <v/>
      </c>
    </row>
    <row r="2985" customFormat="false" ht="15" hidden="false" customHeight="false" outlineLevel="0" collapsed="false">
      <c r="A2985" s="19"/>
      <c r="B2985" s="19"/>
      <c r="C2985" s="20"/>
      <c r="D2985" s="19"/>
      <c r="E2985" s="26" t="str">
        <f aca="false">IF(A2985="","",COUNTIFS(Apparitions!$A$2:$A$5001,A2985,Apparitions!$B$2:$B$5001,B2985))</f>
        <v/>
      </c>
      <c r="F2985" s="27" t="str">
        <f aca="false">IF(A2985="","",A2985&amp;"|"&amp;B2985)</f>
        <v/>
      </c>
    </row>
    <row r="2986" customFormat="false" ht="15" hidden="false" customHeight="false" outlineLevel="0" collapsed="false">
      <c r="A2986" s="19"/>
      <c r="B2986" s="19"/>
      <c r="C2986" s="20"/>
      <c r="D2986" s="19"/>
      <c r="E2986" s="26" t="str">
        <f aca="false">IF(A2986="","",COUNTIFS(Apparitions!$A$2:$A$5001,A2986,Apparitions!$B$2:$B$5001,B2986))</f>
        <v/>
      </c>
      <c r="F2986" s="27" t="str">
        <f aca="false">IF(A2986="","",A2986&amp;"|"&amp;B2986)</f>
        <v/>
      </c>
    </row>
    <row r="2987" customFormat="false" ht="15" hidden="false" customHeight="false" outlineLevel="0" collapsed="false">
      <c r="A2987" s="19"/>
      <c r="B2987" s="19"/>
      <c r="C2987" s="20"/>
      <c r="D2987" s="19"/>
      <c r="E2987" s="26" t="str">
        <f aca="false">IF(A2987="","",COUNTIFS(Apparitions!$A$2:$A$5001,A2987,Apparitions!$B$2:$B$5001,B2987))</f>
        <v/>
      </c>
      <c r="F2987" s="27" t="str">
        <f aca="false">IF(A2987="","",A2987&amp;"|"&amp;B2987)</f>
        <v/>
      </c>
    </row>
    <row r="2988" customFormat="false" ht="15" hidden="false" customHeight="false" outlineLevel="0" collapsed="false">
      <c r="A2988" s="19"/>
      <c r="B2988" s="19"/>
      <c r="C2988" s="20"/>
      <c r="D2988" s="19"/>
      <c r="E2988" s="26" t="str">
        <f aca="false">IF(A2988="","",COUNTIFS(Apparitions!$A$2:$A$5001,A2988,Apparitions!$B$2:$B$5001,B2988))</f>
        <v/>
      </c>
      <c r="F2988" s="27" t="str">
        <f aca="false">IF(A2988="","",A2988&amp;"|"&amp;B2988)</f>
        <v/>
      </c>
    </row>
    <row r="2989" customFormat="false" ht="15" hidden="false" customHeight="false" outlineLevel="0" collapsed="false">
      <c r="A2989" s="19"/>
      <c r="B2989" s="19"/>
      <c r="C2989" s="20"/>
      <c r="D2989" s="19"/>
      <c r="E2989" s="26" t="str">
        <f aca="false">IF(A2989="","",COUNTIFS(Apparitions!$A$2:$A$5001,A2989,Apparitions!$B$2:$B$5001,B2989))</f>
        <v/>
      </c>
      <c r="F2989" s="27" t="str">
        <f aca="false">IF(A2989="","",A2989&amp;"|"&amp;B2989)</f>
        <v/>
      </c>
    </row>
    <row r="2990" customFormat="false" ht="15" hidden="false" customHeight="false" outlineLevel="0" collapsed="false">
      <c r="A2990" s="19"/>
      <c r="B2990" s="19"/>
      <c r="C2990" s="20"/>
      <c r="D2990" s="19"/>
      <c r="E2990" s="26" t="str">
        <f aca="false">IF(A2990="","",COUNTIFS(Apparitions!$A$2:$A$5001,A2990,Apparitions!$B$2:$B$5001,B2990))</f>
        <v/>
      </c>
      <c r="F2990" s="27" t="str">
        <f aca="false">IF(A2990="","",A2990&amp;"|"&amp;B2990)</f>
        <v/>
      </c>
    </row>
    <row r="2991" customFormat="false" ht="15" hidden="false" customHeight="false" outlineLevel="0" collapsed="false">
      <c r="A2991" s="19"/>
      <c r="B2991" s="19"/>
      <c r="C2991" s="20"/>
      <c r="D2991" s="19"/>
      <c r="E2991" s="26" t="str">
        <f aca="false">IF(A2991="","",COUNTIFS(Apparitions!$A$2:$A$5001,A2991,Apparitions!$B$2:$B$5001,B2991))</f>
        <v/>
      </c>
      <c r="F2991" s="27" t="str">
        <f aca="false">IF(A2991="","",A2991&amp;"|"&amp;B2991)</f>
        <v/>
      </c>
    </row>
    <row r="2992" customFormat="false" ht="15" hidden="false" customHeight="false" outlineLevel="0" collapsed="false">
      <c r="A2992" s="19"/>
      <c r="B2992" s="19"/>
      <c r="C2992" s="20"/>
      <c r="D2992" s="19"/>
      <c r="E2992" s="26" t="str">
        <f aca="false">IF(A2992="","",COUNTIFS(Apparitions!$A$2:$A$5001,A2992,Apparitions!$B$2:$B$5001,B2992))</f>
        <v/>
      </c>
      <c r="F2992" s="27" t="str">
        <f aca="false">IF(A2992="","",A2992&amp;"|"&amp;B2992)</f>
        <v/>
      </c>
    </row>
    <row r="2993" customFormat="false" ht="15" hidden="false" customHeight="false" outlineLevel="0" collapsed="false">
      <c r="A2993" s="19"/>
      <c r="B2993" s="19"/>
      <c r="C2993" s="20"/>
      <c r="D2993" s="19"/>
      <c r="E2993" s="26" t="str">
        <f aca="false">IF(A2993="","",COUNTIFS(Apparitions!$A$2:$A$5001,A2993,Apparitions!$B$2:$B$5001,B2993))</f>
        <v/>
      </c>
      <c r="F2993" s="27" t="str">
        <f aca="false">IF(A2993="","",A2993&amp;"|"&amp;B2993)</f>
        <v/>
      </c>
    </row>
    <row r="2994" customFormat="false" ht="15" hidden="false" customHeight="false" outlineLevel="0" collapsed="false">
      <c r="A2994" s="19"/>
      <c r="B2994" s="19"/>
      <c r="C2994" s="20"/>
      <c r="D2994" s="19"/>
      <c r="E2994" s="26" t="str">
        <f aca="false">IF(A2994="","",COUNTIFS(Apparitions!$A$2:$A$5001,A2994,Apparitions!$B$2:$B$5001,B2994))</f>
        <v/>
      </c>
      <c r="F2994" s="27" t="str">
        <f aca="false">IF(A2994="","",A2994&amp;"|"&amp;B2994)</f>
        <v/>
      </c>
    </row>
    <row r="2995" customFormat="false" ht="15" hidden="false" customHeight="false" outlineLevel="0" collapsed="false">
      <c r="A2995" s="19"/>
      <c r="B2995" s="19"/>
      <c r="C2995" s="20"/>
      <c r="D2995" s="19"/>
      <c r="E2995" s="26" t="str">
        <f aca="false">IF(A2995="","",COUNTIFS(Apparitions!$A$2:$A$5001,A2995,Apparitions!$B$2:$B$5001,B2995))</f>
        <v/>
      </c>
      <c r="F2995" s="27" t="str">
        <f aca="false">IF(A2995="","",A2995&amp;"|"&amp;B2995)</f>
        <v/>
      </c>
    </row>
    <row r="2996" customFormat="false" ht="15" hidden="false" customHeight="false" outlineLevel="0" collapsed="false">
      <c r="A2996" s="19"/>
      <c r="B2996" s="19"/>
      <c r="C2996" s="20"/>
      <c r="D2996" s="19"/>
      <c r="E2996" s="26" t="str">
        <f aca="false">IF(A2996="","",COUNTIFS(Apparitions!$A$2:$A$5001,A2996,Apparitions!$B$2:$B$5001,B2996))</f>
        <v/>
      </c>
      <c r="F2996" s="27" t="str">
        <f aca="false">IF(A2996="","",A2996&amp;"|"&amp;B2996)</f>
        <v/>
      </c>
    </row>
    <row r="2997" customFormat="false" ht="15" hidden="false" customHeight="false" outlineLevel="0" collapsed="false">
      <c r="A2997" s="19"/>
      <c r="B2997" s="19"/>
      <c r="C2997" s="20"/>
      <c r="D2997" s="19"/>
      <c r="E2997" s="26" t="str">
        <f aca="false">IF(A2997="","",COUNTIFS(Apparitions!$A$2:$A$5001,A2997,Apparitions!$B$2:$B$5001,B2997))</f>
        <v/>
      </c>
      <c r="F2997" s="27" t="str">
        <f aca="false">IF(A2997="","",A2997&amp;"|"&amp;B2997)</f>
        <v/>
      </c>
    </row>
    <row r="2998" customFormat="false" ht="15" hidden="false" customHeight="false" outlineLevel="0" collapsed="false">
      <c r="A2998" s="19"/>
      <c r="B2998" s="19"/>
      <c r="C2998" s="20"/>
      <c r="D2998" s="19"/>
      <c r="E2998" s="26" t="str">
        <f aca="false">IF(A2998="","",COUNTIFS(Apparitions!$A$2:$A$5001,A2998,Apparitions!$B$2:$B$5001,B2998))</f>
        <v/>
      </c>
      <c r="F2998" s="27" t="str">
        <f aca="false">IF(A2998="","",A2998&amp;"|"&amp;B2998)</f>
        <v/>
      </c>
    </row>
    <row r="2999" customFormat="false" ht="15" hidden="false" customHeight="false" outlineLevel="0" collapsed="false">
      <c r="A2999" s="19"/>
      <c r="B2999" s="19"/>
      <c r="C2999" s="20"/>
      <c r="D2999" s="19"/>
      <c r="E2999" s="26" t="str">
        <f aca="false">IF(A2999="","",COUNTIFS(Apparitions!$A$2:$A$5001,A2999,Apparitions!$B$2:$B$5001,B2999))</f>
        <v/>
      </c>
      <c r="F2999" s="27" t="str">
        <f aca="false">IF(A2999="","",A2999&amp;"|"&amp;B2999)</f>
        <v/>
      </c>
    </row>
    <row r="3000" customFormat="false" ht="15" hidden="false" customHeight="false" outlineLevel="0" collapsed="false">
      <c r="A3000" s="19"/>
      <c r="B3000" s="19"/>
      <c r="C3000" s="20"/>
      <c r="D3000" s="19"/>
      <c r="E3000" s="26" t="str">
        <f aca="false">IF(A3000="","",COUNTIFS(Apparitions!$A$2:$A$5001,A3000,Apparitions!$B$2:$B$5001,B3000))</f>
        <v/>
      </c>
      <c r="F3000" s="27" t="str">
        <f aca="false">IF(A3000="","",A3000&amp;"|"&amp;B3000)</f>
        <v/>
      </c>
    </row>
    <row r="3001" customFormat="false" ht="15" hidden="false" customHeight="false" outlineLevel="0" collapsed="false">
      <c r="A3001" s="19"/>
      <c r="B3001" s="19"/>
      <c r="C3001" s="20"/>
      <c r="D3001" s="19"/>
      <c r="E3001" s="26" t="str">
        <f aca="false">IF(A3001="","",COUNTIFS(Apparitions!$A$2:$A$5001,A3001,Apparitions!$B$2:$B$5001,B3001))</f>
        <v/>
      </c>
      <c r="F3001" s="27" t="str">
        <f aca="false">IF(A3001="","",A3001&amp;"|"&amp;B3001)</f>
        <v/>
      </c>
    </row>
  </sheetData>
  <autoFilter ref="A1:F3001"/>
  <conditionalFormatting sqref="A2:B3001">
    <cfRule type="expression" priority="2" aboveAverage="0" equalAverage="0" bottom="0" percent="0" rank="0" text="" dxfId="1">
      <formula>AND($F2&lt;&gt;"",COUNTIF($F$2:$F$3001,$F2)&gt;1)</formula>
    </cfRule>
  </conditionalFormatting>
  <dataValidations count="1">
    <dataValidation allowBlank="true" error="Cette valeur n'existe pas dans la liste. Ajoutez-la d'abord dans l'onglet correspondant." errorStyle="warning" errorTitle="Valeur hors liste" operator="between" showDropDown="false" showErrorMessage="true" showInputMessage="false" sqref="A2:A3001" type="list">
      <formula1>L_Magazines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5" style="0" width="11"/>
    <col collapsed="false" customWidth="true" hidden="false" outlineLevel="0" max="7" min="7" style="0" width="9"/>
  </cols>
  <sheetData>
    <row r="1" customFormat="false" ht="30" hidden="false" customHeight="true" outlineLevel="0" collapsed="false">
      <c r="A1" s="24" t="s">
        <v>60</v>
      </c>
      <c r="B1" s="24" t="s">
        <v>108</v>
      </c>
      <c r="C1" s="24" t="s">
        <v>143</v>
      </c>
      <c r="D1" s="24" t="s">
        <v>89</v>
      </c>
      <c r="E1" s="25" t="s">
        <v>144</v>
      </c>
      <c r="F1" s="25" t="s">
        <v>109</v>
      </c>
      <c r="G1" s="25" t="s">
        <v>110</v>
      </c>
    </row>
    <row r="2" customFormat="false" ht="15" hidden="false" customHeight="false" outlineLevel="0" collapsed="false">
      <c r="A2" s="19" t="s">
        <v>95</v>
      </c>
      <c r="B2" s="19" t="s">
        <v>145</v>
      </c>
      <c r="C2" s="19" t="s">
        <v>146</v>
      </c>
      <c r="D2" s="19"/>
      <c r="E2" s="26" t="n">
        <f aca="false">IF(A2="","",COUNTIF(Numéros!$A$2:$A$3001,A2))</f>
        <v>3</v>
      </c>
      <c r="F2" s="26" t="n">
        <f aca="false">IF(A2="","",COUNTIF(Apparitions!$A$2:$A$5001,A2))</f>
        <v>5</v>
      </c>
      <c r="G2" s="26" t="n">
        <f aca="false">IF(A2="","",COUNTIFS(Apparitions!$A$2:$A$5001,A2,Apparitions!$E$2:$E$5001,"○"))</f>
        <v>2</v>
      </c>
    </row>
    <row r="3" customFormat="false" ht="15" hidden="false" customHeight="false" outlineLevel="0" collapsed="false">
      <c r="A3" s="19" t="s">
        <v>102</v>
      </c>
      <c r="B3" s="19" t="s">
        <v>147</v>
      </c>
      <c r="C3" s="19"/>
      <c r="D3" s="19"/>
      <c r="E3" s="26" t="n">
        <f aca="false">IF(A3="","",COUNTIF(Numéros!$A$2:$A$3001,A3))</f>
        <v>1</v>
      </c>
      <c r="F3" s="26" t="n">
        <f aca="false">IF(A3="","",COUNTIF(Apparitions!$A$2:$A$5001,A3))</f>
        <v>2</v>
      </c>
      <c r="G3" s="26" t="n">
        <f aca="false">IF(A3="","",COUNTIFS(Apparitions!$A$2:$A$5001,A3,Apparitions!$E$2:$E$5001,"○"))</f>
        <v>1</v>
      </c>
    </row>
    <row r="4" customFormat="false" ht="15" hidden="false" customHeight="false" outlineLevel="0" collapsed="false">
      <c r="A4" s="19" t="s">
        <v>104</v>
      </c>
      <c r="B4" s="19" t="s">
        <v>148</v>
      </c>
      <c r="C4" s="19"/>
      <c r="D4" s="19"/>
      <c r="E4" s="26" t="n">
        <f aca="false">IF(A4="","",COUNTIF(Numéros!$A$2:$A$3001,A4))</f>
        <v>1</v>
      </c>
      <c r="F4" s="26" t="n">
        <f aca="false">IF(A4="","",COUNTIF(Apparitions!$A$2:$A$5001,A4))</f>
        <v>1</v>
      </c>
      <c r="G4" s="26" t="n">
        <f aca="false">IF(A4="","",COUNTIFS(Apparitions!$A$2:$A$5001,A4,Apparitions!$E$2:$E$5001,"○"))</f>
        <v>1</v>
      </c>
    </row>
    <row r="5" customFormat="false" ht="15" hidden="false" customHeight="false" outlineLevel="0" collapsed="false">
      <c r="A5" s="19"/>
      <c r="B5" s="19"/>
      <c r="C5" s="19"/>
      <c r="D5" s="19"/>
      <c r="E5" s="26" t="str">
        <f aca="false">IF(A5="","",COUNTIF(Numéros!$A$2:$A$3001,A5))</f>
        <v/>
      </c>
      <c r="F5" s="26" t="str">
        <f aca="false">IF(A5="","",COUNTIF(Apparitions!$A$2:$A$5001,A5))</f>
        <v/>
      </c>
      <c r="G5" s="26" t="str">
        <f aca="false">IF(A5="","",COUNTIFS(Apparitions!$A$2:$A$5001,A5,Apparitions!$E$2:$E$5001,"○"))</f>
        <v/>
      </c>
    </row>
    <row r="6" customFormat="false" ht="15" hidden="false" customHeight="false" outlineLevel="0" collapsed="false">
      <c r="A6" s="19"/>
      <c r="B6" s="19"/>
      <c r="C6" s="19"/>
      <c r="D6" s="19"/>
      <c r="E6" s="26" t="str">
        <f aca="false">IF(A6="","",COUNTIF(Numéros!$A$2:$A$3001,A6))</f>
        <v/>
      </c>
      <c r="F6" s="26" t="str">
        <f aca="false">IF(A6="","",COUNTIF(Apparitions!$A$2:$A$5001,A6))</f>
        <v/>
      </c>
      <c r="G6" s="26" t="str">
        <f aca="false">IF(A6="","",COUNTIFS(Apparitions!$A$2:$A$5001,A6,Apparitions!$E$2:$E$5001,"○"))</f>
        <v/>
      </c>
    </row>
    <row r="7" customFormat="false" ht="15" hidden="false" customHeight="false" outlineLevel="0" collapsed="false">
      <c r="A7" s="19"/>
      <c r="B7" s="19"/>
      <c r="C7" s="19"/>
      <c r="D7" s="19"/>
      <c r="E7" s="26" t="str">
        <f aca="false">IF(A7="","",COUNTIF(Numéros!$A$2:$A$3001,A7))</f>
        <v/>
      </c>
      <c r="F7" s="26" t="str">
        <f aca="false">IF(A7="","",COUNTIF(Apparitions!$A$2:$A$5001,A7))</f>
        <v/>
      </c>
      <c r="G7" s="26" t="str">
        <f aca="false">IF(A7="","",COUNTIFS(Apparitions!$A$2:$A$5001,A7,Apparitions!$E$2:$E$5001,"○"))</f>
        <v/>
      </c>
    </row>
    <row r="8" customFormat="false" ht="15" hidden="false" customHeight="false" outlineLevel="0" collapsed="false">
      <c r="A8" s="19"/>
      <c r="B8" s="19"/>
      <c r="C8" s="19"/>
      <c r="D8" s="19"/>
      <c r="E8" s="26" t="str">
        <f aca="false">IF(A8="","",COUNTIF(Numéros!$A$2:$A$3001,A8))</f>
        <v/>
      </c>
      <c r="F8" s="26" t="str">
        <f aca="false">IF(A8="","",COUNTIF(Apparitions!$A$2:$A$5001,A8))</f>
        <v/>
      </c>
      <c r="G8" s="26" t="str">
        <f aca="false">IF(A8="","",COUNTIFS(Apparitions!$A$2:$A$5001,A8,Apparitions!$E$2:$E$5001,"○"))</f>
        <v/>
      </c>
    </row>
    <row r="9" customFormat="false" ht="15" hidden="false" customHeight="false" outlineLevel="0" collapsed="false">
      <c r="A9" s="19"/>
      <c r="B9" s="19"/>
      <c r="C9" s="19"/>
      <c r="D9" s="19"/>
      <c r="E9" s="26" t="str">
        <f aca="false">IF(A9="","",COUNTIF(Numéros!$A$2:$A$3001,A9))</f>
        <v/>
      </c>
      <c r="F9" s="26" t="str">
        <f aca="false">IF(A9="","",COUNTIF(Apparitions!$A$2:$A$5001,A9))</f>
        <v/>
      </c>
      <c r="G9" s="26" t="str">
        <f aca="false">IF(A9="","",COUNTIFS(Apparitions!$A$2:$A$5001,A9,Apparitions!$E$2:$E$5001,"○"))</f>
        <v/>
      </c>
    </row>
    <row r="10" customFormat="false" ht="15" hidden="false" customHeight="false" outlineLevel="0" collapsed="false">
      <c r="A10" s="19"/>
      <c r="B10" s="19"/>
      <c r="C10" s="19"/>
      <c r="D10" s="19"/>
      <c r="E10" s="26" t="str">
        <f aca="false">IF(A10="","",COUNTIF(Numéros!$A$2:$A$3001,A10))</f>
        <v/>
      </c>
      <c r="F10" s="26" t="str">
        <f aca="false">IF(A10="","",COUNTIF(Apparitions!$A$2:$A$5001,A10))</f>
        <v/>
      </c>
      <c r="G10" s="26" t="str">
        <f aca="false">IF(A10="","",COUNTIFS(Apparitions!$A$2:$A$5001,A10,Apparitions!$E$2:$E$5001,"○"))</f>
        <v/>
      </c>
    </row>
    <row r="11" customFormat="false" ht="15" hidden="false" customHeight="false" outlineLevel="0" collapsed="false">
      <c r="A11" s="19"/>
      <c r="B11" s="19"/>
      <c r="C11" s="19"/>
      <c r="D11" s="19"/>
      <c r="E11" s="26" t="str">
        <f aca="false">IF(A11="","",COUNTIF(Numéros!$A$2:$A$3001,A11))</f>
        <v/>
      </c>
      <c r="F11" s="26" t="str">
        <f aca="false">IF(A11="","",COUNTIF(Apparitions!$A$2:$A$5001,A11))</f>
        <v/>
      </c>
      <c r="G11" s="26" t="str">
        <f aca="false">IF(A11="","",COUNTIFS(Apparitions!$A$2:$A$5001,A11,Apparitions!$E$2:$E$5001,"○"))</f>
        <v/>
      </c>
    </row>
    <row r="12" customFormat="false" ht="15" hidden="false" customHeight="false" outlineLevel="0" collapsed="false">
      <c r="A12" s="19"/>
      <c r="B12" s="19"/>
      <c r="C12" s="19"/>
      <c r="D12" s="19"/>
      <c r="E12" s="26" t="str">
        <f aca="false">IF(A12="","",COUNTIF(Numéros!$A$2:$A$3001,A12))</f>
        <v/>
      </c>
      <c r="F12" s="26" t="str">
        <f aca="false">IF(A12="","",COUNTIF(Apparitions!$A$2:$A$5001,A12))</f>
        <v/>
      </c>
      <c r="G12" s="26" t="str">
        <f aca="false">IF(A12="","",COUNTIFS(Apparitions!$A$2:$A$5001,A12,Apparitions!$E$2:$E$5001,"○"))</f>
        <v/>
      </c>
    </row>
    <row r="13" customFormat="false" ht="15" hidden="false" customHeight="false" outlineLevel="0" collapsed="false">
      <c r="A13" s="19"/>
      <c r="B13" s="19"/>
      <c r="C13" s="19"/>
      <c r="D13" s="19"/>
      <c r="E13" s="26" t="str">
        <f aca="false">IF(A13="","",COUNTIF(Numéros!$A$2:$A$3001,A13))</f>
        <v/>
      </c>
      <c r="F13" s="26" t="str">
        <f aca="false">IF(A13="","",COUNTIF(Apparitions!$A$2:$A$5001,A13))</f>
        <v/>
      </c>
      <c r="G13" s="26" t="str">
        <f aca="false">IF(A13="","",COUNTIFS(Apparitions!$A$2:$A$5001,A13,Apparitions!$E$2:$E$5001,"○"))</f>
        <v/>
      </c>
    </row>
    <row r="14" customFormat="false" ht="15" hidden="false" customHeight="false" outlineLevel="0" collapsed="false">
      <c r="A14" s="19"/>
      <c r="B14" s="19"/>
      <c r="C14" s="19"/>
      <c r="D14" s="19"/>
      <c r="E14" s="26" t="str">
        <f aca="false">IF(A14="","",COUNTIF(Numéros!$A$2:$A$3001,A14))</f>
        <v/>
      </c>
      <c r="F14" s="26" t="str">
        <f aca="false">IF(A14="","",COUNTIF(Apparitions!$A$2:$A$5001,A14))</f>
        <v/>
      </c>
      <c r="G14" s="26" t="str">
        <f aca="false">IF(A14="","",COUNTIFS(Apparitions!$A$2:$A$5001,A14,Apparitions!$E$2:$E$5001,"○"))</f>
        <v/>
      </c>
    </row>
    <row r="15" customFormat="false" ht="15" hidden="false" customHeight="false" outlineLevel="0" collapsed="false">
      <c r="A15" s="19"/>
      <c r="B15" s="19"/>
      <c r="C15" s="19"/>
      <c r="D15" s="19"/>
      <c r="E15" s="26" t="str">
        <f aca="false">IF(A15="","",COUNTIF(Numéros!$A$2:$A$3001,A15))</f>
        <v/>
      </c>
      <c r="F15" s="26" t="str">
        <f aca="false">IF(A15="","",COUNTIF(Apparitions!$A$2:$A$5001,A15))</f>
        <v/>
      </c>
      <c r="G15" s="26" t="str">
        <f aca="false">IF(A15="","",COUNTIFS(Apparitions!$A$2:$A$5001,A15,Apparitions!$E$2:$E$5001,"○"))</f>
        <v/>
      </c>
    </row>
    <row r="16" customFormat="false" ht="15" hidden="false" customHeight="false" outlineLevel="0" collapsed="false">
      <c r="A16" s="19"/>
      <c r="B16" s="19"/>
      <c r="C16" s="19"/>
      <c r="D16" s="19"/>
      <c r="E16" s="26" t="str">
        <f aca="false">IF(A16="","",COUNTIF(Numéros!$A$2:$A$3001,A16))</f>
        <v/>
      </c>
      <c r="F16" s="26" t="str">
        <f aca="false">IF(A16="","",COUNTIF(Apparitions!$A$2:$A$5001,A16))</f>
        <v/>
      </c>
      <c r="G16" s="26" t="str">
        <f aca="false">IF(A16="","",COUNTIFS(Apparitions!$A$2:$A$5001,A16,Apparitions!$E$2:$E$5001,"○"))</f>
        <v/>
      </c>
    </row>
    <row r="17" customFormat="false" ht="15" hidden="false" customHeight="false" outlineLevel="0" collapsed="false">
      <c r="A17" s="19"/>
      <c r="B17" s="19"/>
      <c r="C17" s="19"/>
      <c r="D17" s="19"/>
      <c r="E17" s="26" t="str">
        <f aca="false">IF(A17="","",COUNTIF(Numéros!$A$2:$A$3001,A17))</f>
        <v/>
      </c>
      <c r="F17" s="26" t="str">
        <f aca="false">IF(A17="","",COUNTIF(Apparitions!$A$2:$A$5001,A17))</f>
        <v/>
      </c>
      <c r="G17" s="26" t="str">
        <f aca="false">IF(A17="","",COUNTIFS(Apparitions!$A$2:$A$5001,A17,Apparitions!$E$2:$E$5001,"○"))</f>
        <v/>
      </c>
    </row>
    <row r="18" customFormat="false" ht="15" hidden="false" customHeight="false" outlineLevel="0" collapsed="false">
      <c r="A18" s="19"/>
      <c r="B18" s="19"/>
      <c r="C18" s="19"/>
      <c r="D18" s="19"/>
      <c r="E18" s="26" t="str">
        <f aca="false">IF(A18="","",COUNTIF(Numéros!$A$2:$A$3001,A18))</f>
        <v/>
      </c>
      <c r="F18" s="26" t="str">
        <f aca="false">IF(A18="","",COUNTIF(Apparitions!$A$2:$A$5001,A18))</f>
        <v/>
      </c>
      <c r="G18" s="26" t="str">
        <f aca="false">IF(A18="","",COUNTIFS(Apparitions!$A$2:$A$5001,A18,Apparitions!$E$2:$E$5001,"○"))</f>
        <v/>
      </c>
    </row>
    <row r="19" customFormat="false" ht="15" hidden="false" customHeight="false" outlineLevel="0" collapsed="false">
      <c r="A19" s="19"/>
      <c r="B19" s="19"/>
      <c r="C19" s="19"/>
      <c r="D19" s="19"/>
      <c r="E19" s="26" t="str">
        <f aca="false">IF(A19="","",COUNTIF(Numéros!$A$2:$A$3001,A19))</f>
        <v/>
      </c>
      <c r="F19" s="26" t="str">
        <f aca="false">IF(A19="","",COUNTIF(Apparitions!$A$2:$A$5001,A19))</f>
        <v/>
      </c>
      <c r="G19" s="26" t="str">
        <f aca="false">IF(A19="","",COUNTIFS(Apparitions!$A$2:$A$5001,A19,Apparitions!$E$2:$E$5001,"○"))</f>
        <v/>
      </c>
    </row>
    <row r="20" customFormat="false" ht="15" hidden="false" customHeight="false" outlineLevel="0" collapsed="false">
      <c r="A20" s="19"/>
      <c r="B20" s="19"/>
      <c r="C20" s="19"/>
      <c r="D20" s="19"/>
      <c r="E20" s="26" t="str">
        <f aca="false">IF(A20="","",COUNTIF(Numéros!$A$2:$A$3001,A20))</f>
        <v/>
      </c>
      <c r="F20" s="26" t="str">
        <f aca="false">IF(A20="","",COUNTIF(Apparitions!$A$2:$A$5001,A20))</f>
        <v/>
      </c>
      <c r="G20" s="26" t="str">
        <f aca="false">IF(A20="","",COUNTIFS(Apparitions!$A$2:$A$5001,A20,Apparitions!$E$2:$E$5001,"○"))</f>
        <v/>
      </c>
    </row>
    <row r="21" customFormat="false" ht="15" hidden="false" customHeight="false" outlineLevel="0" collapsed="false">
      <c r="A21" s="19"/>
      <c r="B21" s="19"/>
      <c r="C21" s="19"/>
      <c r="D21" s="19"/>
      <c r="E21" s="26" t="str">
        <f aca="false">IF(A21="","",COUNTIF(Numéros!$A$2:$A$3001,A21))</f>
        <v/>
      </c>
      <c r="F21" s="26" t="str">
        <f aca="false">IF(A21="","",COUNTIF(Apparitions!$A$2:$A$5001,A21))</f>
        <v/>
      </c>
      <c r="G21" s="26" t="str">
        <f aca="false">IF(A21="","",COUNTIFS(Apparitions!$A$2:$A$5001,A21,Apparitions!$E$2:$E$5001,"○"))</f>
        <v/>
      </c>
    </row>
    <row r="22" customFormat="false" ht="15" hidden="false" customHeight="false" outlineLevel="0" collapsed="false">
      <c r="A22" s="19"/>
      <c r="B22" s="19"/>
      <c r="C22" s="19"/>
      <c r="D22" s="19"/>
      <c r="E22" s="26" t="str">
        <f aca="false">IF(A22="","",COUNTIF(Numéros!$A$2:$A$3001,A22))</f>
        <v/>
      </c>
      <c r="F22" s="26" t="str">
        <f aca="false">IF(A22="","",COUNTIF(Apparitions!$A$2:$A$5001,A22))</f>
        <v/>
      </c>
      <c r="G22" s="26" t="str">
        <f aca="false">IF(A22="","",COUNTIFS(Apparitions!$A$2:$A$5001,A22,Apparitions!$E$2:$E$5001,"○"))</f>
        <v/>
      </c>
    </row>
    <row r="23" customFormat="false" ht="15" hidden="false" customHeight="false" outlineLevel="0" collapsed="false">
      <c r="A23" s="19"/>
      <c r="B23" s="19"/>
      <c r="C23" s="19"/>
      <c r="D23" s="19"/>
      <c r="E23" s="26" t="str">
        <f aca="false">IF(A23="","",COUNTIF(Numéros!$A$2:$A$3001,A23))</f>
        <v/>
      </c>
      <c r="F23" s="26" t="str">
        <f aca="false">IF(A23="","",COUNTIF(Apparitions!$A$2:$A$5001,A23))</f>
        <v/>
      </c>
      <c r="G23" s="26" t="str">
        <f aca="false">IF(A23="","",COUNTIFS(Apparitions!$A$2:$A$5001,A23,Apparitions!$E$2:$E$5001,"○"))</f>
        <v/>
      </c>
    </row>
    <row r="24" customFormat="false" ht="15" hidden="false" customHeight="false" outlineLevel="0" collapsed="false">
      <c r="A24" s="19"/>
      <c r="B24" s="19"/>
      <c r="C24" s="19"/>
      <c r="D24" s="19"/>
      <c r="E24" s="26" t="str">
        <f aca="false">IF(A24="","",COUNTIF(Numéros!$A$2:$A$3001,A24))</f>
        <v/>
      </c>
      <c r="F24" s="26" t="str">
        <f aca="false">IF(A24="","",COUNTIF(Apparitions!$A$2:$A$5001,A24))</f>
        <v/>
      </c>
      <c r="G24" s="26" t="str">
        <f aca="false">IF(A24="","",COUNTIFS(Apparitions!$A$2:$A$5001,A24,Apparitions!$E$2:$E$5001,"○"))</f>
        <v/>
      </c>
    </row>
    <row r="25" customFormat="false" ht="15" hidden="false" customHeight="false" outlineLevel="0" collapsed="false">
      <c r="A25" s="19"/>
      <c r="B25" s="19"/>
      <c r="C25" s="19"/>
      <c r="D25" s="19"/>
      <c r="E25" s="26" t="str">
        <f aca="false">IF(A25="","",COUNTIF(Numéros!$A$2:$A$3001,A25))</f>
        <v/>
      </c>
      <c r="F25" s="26" t="str">
        <f aca="false">IF(A25="","",COUNTIF(Apparitions!$A$2:$A$5001,A25))</f>
        <v/>
      </c>
      <c r="G25" s="26" t="str">
        <f aca="false">IF(A25="","",COUNTIFS(Apparitions!$A$2:$A$5001,A25,Apparitions!$E$2:$E$5001,"○"))</f>
        <v/>
      </c>
    </row>
    <row r="26" customFormat="false" ht="15" hidden="false" customHeight="false" outlineLevel="0" collapsed="false">
      <c r="A26" s="19"/>
      <c r="B26" s="19"/>
      <c r="C26" s="19"/>
      <c r="D26" s="19"/>
      <c r="E26" s="26" t="str">
        <f aca="false">IF(A26="","",COUNTIF(Numéros!$A$2:$A$3001,A26))</f>
        <v/>
      </c>
      <c r="F26" s="26" t="str">
        <f aca="false">IF(A26="","",COUNTIF(Apparitions!$A$2:$A$5001,A26))</f>
        <v/>
      </c>
      <c r="G26" s="26" t="str">
        <f aca="false">IF(A26="","",COUNTIFS(Apparitions!$A$2:$A$5001,A26,Apparitions!$E$2:$E$5001,"○"))</f>
        <v/>
      </c>
    </row>
    <row r="27" customFormat="false" ht="15" hidden="false" customHeight="false" outlineLevel="0" collapsed="false">
      <c r="A27" s="19"/>
      <c r="B27" s="19"/>
      <c r="C27" s="19"/>
      <c r="D27" s="19"/>
      <c r="E27" s="26" t="str">
        <f aca="false">IF(A27="","",COUNTIF(Numéros!$A$2:$A$3001,A27))</f>
        <v/>
      </c>
      <c r="F27" s="26" t="str">
        <f aca="false">IF(A27="","",COUNTIF(Apparitions!$A$2:$A$5001,A27))</f>
        <v/>
      </c>
      <c r="G27" s="26" t="str">
        <f aca="false">IF(A27="","",COUNTIFS(Apparitions!$A$2:$A$5001,A27,Apparitions!$E$2:$E$5001,"○"))</f>
        <v/>
      </c>
    </row>
    <row r="28" customFormat="false" ht="15" hidden="false" customHeight="false" outlineLevel="0" collapsed="false">
      <c r="A28" s="19"/>
      <c r="B28" s="19"/>
      <c r="C28" s="19"/>
      <c r="D28" s="19"/>
      <c r="E28" s="26" t="str">
        <f aca="false">IF(A28="","",COUNTIF(Numéros!$A$2:$A$3001,A28))</f>
        <v/>
      </c>
      <c r="F28" s="26" t="str">
        <f aca="false">IF(A28="","",COUNTIF(Apparitions!$A$2:$A$5001,A28))</f>
        <v/>
      </c>
      <c r="G28" s="26" t="str">
        <f aca="false">IF(A28="","",COUNTIFS(Apparitions!$A$2:$A$5001,A28,Apparitions!$E$2:$E$5001,"○"))</f>
        <v/>
      </c>
    </row>
    <row r="29" customFormat="false" ht="15" hidden="false" customHeight="false" outlineLevel="0" collapsed="false">
      <c r="A29" s="19"/>
      <c r="B29" s="19"/>
      <c r="C29" s="19"/>
      <c r="D29" s="19"/>
      <c r="E29" s="26" t="str">
        <f aca="false">IF(A29="","",COUNTIF(Numéros!$A$2:$A$3001,A29))</f>
        <v/>
      </c>
      <c r="F29" s="26" t="str">
        <f aca="false">IF(A29="","",COUNTIF(Apparitions!$A$2:$A$5001,A29))</f>
        <v/>
      </c>
      <c r="G29" s="26" t="str">
        <f aca="false">IF(A29="","",COUNTIFS(Apparitions!$A$2:$A$5001,A29,Apparitions!$E$2:$E$5001,"○"))</f>
        <v/>
      </c>
    </row>
    <row r="30" customFormat="false" ht="15" hidden="false" customHeight="false" outlineLevel="0" collapsed="false">
      <c r="A30" s="19"/>
      <c r="B30" s="19"/>
      <c r="C30" s="19"/>
      <c r="D30" s="19"/>
      <c r="E30" s="26" t="str">
        <f aca="false">IF(A30="","",COUNTIF(Numéros!$A$2:$A$3001,A30))</f>
        <v/>
      </c>
      <c r="F30" s="26" t="str">
        <f aca="false">IF(A30="","",COUNTIF(Apparitions!$A$2:$A$5001,A30))</f>
        <v/>
      </c>
      <c r="G30" s="26" t="str">
        <f aca="false">IF(A30="","",COUNTIFS(Apparitions!$A$2:$A$5001,A30,Apparitions!$E$2:$E$5001,"○"))</f>
        <v/>
      </c>
    </row>
    <row r="31" customFormat="false" ht="15" hidden="false" customHeight="false" outlineLevel="0" collapsed="false">
      <c r="A31" s="19"/>
      <c r="B31" s="19"/>
      <c r="C31" s="19"/>
      <c r="D31" s="19"/>
      <c r="E31" s="26" t="str">
        <f aca="false">IF(A31="","",COUNTIF(Numéros!$A$2:$A$3001,A31))</f>
        <v/>
      </c>
      <c r="F31" s="26" t="str">
        <f aca="false">IF(A31="","",COUNTIF(Apparitions!$A$2:$A$5001,A31))</f>
        <v/>
      </c>
      <c r="G31" s="26" t="str">
        <f aca="false">IF(A31="","",COUNTIFS(Apparitions!$A$2:$A$5001,A31,Apparitions!$E$2:$E$5001,"○"))</f>
        <v/>
      </c>
    </row>
    <row r="32" customFormat="false" ht="15" hidden="false" customHeight="false" outlineLevel="0" collapsed="false">
      <c r="A32" s="19"/>
      <c r="B32" s="19"/>
      <c r="C32" s="19"/>
      <c r="D32" s="19"/>
      <c r="E32" s="26" t="str">
        <f aca="false">IF(A32="","",COUNTIF(Numéros!$A$2:$A$3001,A32))</f>
        <v/>
      </c>
      <c r="F32" s="26" t="str">
        <f aca="false">IF(A32="","",COUNTIF(Apparitions!$A$2:$A$5001,A32))</f>
        <v/>
      </c>
      <c r="G32" s="26" t="str">
        <f aca="false">IF(A32="","",COUNTIFS(Apparitions!$A$2:$A$5001,A32,Apparitions!$E$2:$E$5001,"○"))</f>
        <v/>
      </c>
    </row>
    <row r="33" customFormat="false" ht="15" hidden="false" customHeight="false" outlineLevel="0" collapsed="false">
      <c r="A33" s="19"/>
      <c r="B33" s="19"/>
      <c r="C33" s="19"/>
      <c r="D33" s="19"/>
      <c r="E33" s="26" t="str">
        <f aca="false">IF(A33="","",COUNTIF(Numéros!$A$2:$A$3001,A33))</f>
        <v/>
      </c>
      <c r="F33" s="26" t="str">
        <f aca="false">IF(A33="","",COUNTIF(Apparitions!$A$2:$A$5001,A33))</f>
        <v/>
      </c>
      <c r="G33" s="26" t="str">
        <f aca="false">IF(A33="","",COUNTIFS(Apparitions!$A$2:$A$5001,A33,Apparitions!$E$2:$E$5001,"○"))</f>
        <v/>
      </c>
    </row>
    <row r="34" customFormat="false" ht="15" hidden="false" customHeight="false" outlineLevel="0" collapsed="false">
      <c r="A34" s="19"/>
      <c r="B34" s="19"/>
      <c r="C34" s="19"/>
      <c r="D34" s="19"/>
      <c r="E34" s="26" t="str">
        <f aca="false">IF(A34="","",COUNTIF(Numéros!$A$2:$A$3001,A34))</f>
        <v/>
      </c>
      <c r="F34" s="26" t="str">
        <f aca="false">IF(A34="","",COUNTIF(Apparitions!$A$2:$A$5001,A34))</f>
        <v/>
      </c>
      <c r="G34" s="26" t="str">
        <f aca="false">IF(A34="","",COUNTIFS(Apparitions!$A$2:$A$5001,A34,Apparitions!$E$2:$E$5001,"○"))</f>
        <v/>
      </c>
    </row>
    <row r="35" customFormat="false" ht="15" hidden="false" customHeight="false" outlineLevel="0" collapsed="false">
      <c r="A35" s="19"/>
      <c r="B35" s="19"/>
      <c r="C35" s="19"/>
      <c r="D35" s="19"/>
      <c r="E35" s="26" t="str">
        <f aca="false">IF(A35="","",COUNTIF(Numéros!$A$2:$A$3001,A35))</f>
        <v/>
      </c>
      <c r="F35" s="26" t="str">
        <f aca="false">IF(A35="","",COUNTIF(Apparitions!$A$2:$A$5001,A35))</f>
        <v/>
      </c>
      <c r="G35" s="26" t="str">
        <f aca="false">IF(A35="","",COUNTIFS(Apparitions!$A$2:$A$5001,A35,Apparitions!$E$2:$E$5001,"○"))</f>
        <v/>
      </c>
    </row>
    <row r="36" customFormat="false" ht="15" hidden="false" customHeight="false" outlineLevel="0" collapsed="false">
      <c r="A36" s="19"/>
      <c r="B36" s="19"/>
      <c r="C36" s="19"/>
      <c r="D36" s="19"/>
      <c r="E36" s="26" t="str">
        <f aca="false">IF(A36="","",COUNTIF(Numéros!$A$2:$A$3001,A36))</f>
        <v/>
      </c>
      <c r="F36" s="26" t="str">
        <f aca="false">IF(A36="","",COUNTIF(Apparitions!$A$2:$A$5001,A36))</f>
        <v/>
      </c>
      <c r="G36" s="26" t="str">
        <f aca="false">IF(A36="","",COUNTIFS(Apparitions!$A$2:$A$5001,A36,Apparitions!$E$2:$E$5001,"○"))</f>
        <v/>
      </c>
    </row>
    <row r="37" customFormat="false" ht="15" hidden="false" customHeight="false" outlineLevel="0" collapsed="false">
      <c r="A37" s="19"/>
      <c r="B37" s="19"/>
      <c r="C37" s="19"/>
      <c r="D37" s="19"/>
      <c r="E37" s="26" t="str">
        <f aca="false">IF(A37="","",COUNTIF(Numéros!$A$2:$A$3001,A37))</f>
        <v/>
      </c>
      <c r="F37" s="26" t="str">
        <f aca="false">IF(A37="","",COUNTIF(Apparitions!$A$2:$A$5001,A37))</f>
        <v/>
      </c>
      <c r="G37" s="26" t="str">
        <f aca="false">IF(A37="","",COUNTIFS(Apparitions!$A$2:$A$5001,A37,Apparitions!$E$2:$E$5001,"○"))</f>
        <v/>
      </c>
    </row>
    <row r="38" customFormat="false" ht="15" hidden="false" customHeight="false" outlineLevel="0" collapsed="false">
      <c r="A38" s="19"/>
      <c r="B38" s="19"/>
      <c r="C38" s="19"/>
      <c r="D38" s="19"/>
      <c r="E38" s="26" t="str">
        <f aca="false">IF(A38="","",COUNTIF(Numéros!$A$2:$A$3001,A38))</f>
        <v/>
      </c>
      <c r="F38" s="26" t="str">
        <f aca="false">IF(A38="","",COUNTIF(Apparitions!$A$2:$A$5001,A38))</f>
        <v/>
      </c>
      <c r="G38" s="26" t="str">
        <f aca="false">IF(A38="","",COUNTIFS(Apparitions!$A$2:$A$5001,A38,Apparitions!$E$2:$E$5001,"○"))</f>
        <v/>
      </c>
    </row>
    <row r="39" customFormat="false" ht="15" hidden="false" customHeight="false" outlineLevel="0" collapsed="false">
      <c r="A39" s="19"/>
      <c r="B39" s="19"/>
      <c r="C39" s="19"/>
      <c r="D39" s="19"/>
      <c r="E39" s="26" t="str">
        <f aca="false">IF(A39="","",COUNTIF(Numéros!$A$2:$A$3001,A39))</f>
        <v/>
      </c>
      <c r="F39" s="26" t="str">
        <f aca="false">IF(A39="","",COUNTIF(Apparitions!$A$2:$A$5001,A39))</f>
        <v/>
      </c>
      <c r="G39" s="26" t="str">
        <f aca="false">IF(A39="","",COUNTIFS(Apparitions!$A$2:$A$5001,A39,Apparitions!$E$2:$E$5001,"○"))</f>
        <v/>
      </c>
    </row>
    <row r="40" customFormat="false" ht="15" hidden="false" customHeight="false" outlineLevel="0" collapsed="false">
      <c r="A40" s="19"/>
      <c r="B40" s="19"/>
      <c r="C40" s="19"/>
      <c r="D40" s="19"/>
      <c r="E40" s="26" t="str">
        <f aca="false">IF(A40="","",COUNTIF(Numéros!$A$2:$A$3001,A40))</f>
        <v/>
      </c>
      <c r="F40" s="26" t="str">
        <f aca="false">IF(A40="","",COUNTIF(Apparitions!$A$2:$A$5001,A40))</f>
        <v/>
      </c>
      <c r="G40" s="26" t="str">
        <f aca="false">IF(A40="","",COUNTIFS(Apparitions!$A$2:$A$5001,A40,Apparitions!$E$2:$E$5001,"○"))</f>
        <v/>
      </c>
    </row>
    <row r="41" customFormat="false" ht="15" hidden="false" customHeight="false" outlineLevel="0" collapsed="false">
      <c r="A41" s="19"/>
      <c r="B41" s="19"/>
      <c r="C41" s="19"/>
      <c r="D41" s="19"/>
      <c r="E41" s="26" t="str">
        <f aca="false">IF(A41="","",COUNTIF(Numéros!$A$2:$A$3001,A41))</f>
        <v/>
      </c>
      <c r="F41" s="26" t="str">
        <f aca="false">IF(A41="","",COUNTIF(Apparitions!$A$2:$A$5001,A41))</f>
        <v/>
      </c>
      <c r="G41" s="26" t="str">
        <f aca="false">IF(A41="","",COUNTIFS(Apparitions!$A$2:$A$5001,A41,Apparitions!$E$2:$E$5001,"○"))</f>
        <v/>
      </c>
    </row>
    <row r="42" customFormat="false" ht="15" hidden="false" customHeight="false" outlineLevel="0" collapsed="false">
      <c r="A42" s="19"/>
      <c r="B42" s="19"/>
      <c r="C42" s="19"/>
      <c r="D42" s="19"/>
      <c r="E42" s="26" t="str">
        <f aca="false">IF(A42="","",COUNTIF(Numéros!$A$2:$A$3001,A42))</f>
        <v/>
      </c>
      <c r="F42" s="26" t="str">
        <f aca="false">IF(A42="","",COUNTIF(Apparitions!$A$2:$A$5001,A42))</f>
        <v/>
      </c>
      <c r="G42" s="26" t="str">
        <f aca="false">IF(A42="","",COUNTIFS(Apparitions!$A$2:$A$5001,A42,Apparitions!$E$2:$E$5001,"○"))</f>
        <v/>
      </c>
    </row>
    <row r="43" customFormat="false" ht="15" hidden="false" customHeight="false" outlineLevel="0" collapsed="false">
      <c r="A43" s="19"/>
      <c r="B43" s="19"/>
      <c r="C43" s="19"/>
      <c r="D43" s="19"/>
      <c r="E43" s="26" t="str">
        <f aca="false">IF(A43="","",COUNTIF(Numéros!$A$2:$A$3001,A43))</f>
        <v/>
      </c>
      <c r="F43" s="26" t="str">
        <f aca="false">IF(A43="","",COUNTIF(Apparitions!$A$2:$A$5001,A43))</f>
        <v/>
      </c>
      <c r="G43" s="26" t="str">
        <f aca="false">IF(A43="","",COUNTIFS(Apparitions!$A$2:$A$5001,A43,Apparitions!$E$2:$E$5001,"○"))</f>
        <v/>
      </c>
    </row>
    <row r="44" customFormat="false" ht="15" hidden="false" customHeight="false" outlineLevel="0" collapsed="false">
      <c r="A44" s="19"/>
      <c r="B44" s="19"/>
      <c r="C44" s="19"/>
      <c r="D44" s="19"/>
      <c r="E44" s="26" t="str">
        <f aca="false">IF(A44="","",COUNTIF(Numéros!$A$2:$A$3001,A44))</f>
        <v/>
      </c>
      <c r="F44" s="26" t="str">
        <f aca="false">IF(A44="","",COUNTIF(Apparitions!$A$2:$A$5001,A44))</f>
        <v/>
      </c>
      <c r="G44" s="26" t="str">
        <f aca="false">IF(A44="","",COUNTIFS(Apparitions!$A$2:$A$5001,A44,Apparitions!$E$2:$E$5001,"○"))</f>
        <v/>
      </c>
    </row>
    <row r="45" customFormat="false" ht="15" hidden="false" customHeight="false" outlineLevel="0" collapsed="false">
      <c r="A45" s="19"/>
      <c r="B45" s="19"/>
      <c r="C45" s="19"/>
      <c r="D45" s="19"/>
      <c r="E45" s="26" t="str">
        <f aca="false">IF(A45="","",COUNTIF(Numéros!$A$2:$A$3001,A45))</f>
        <v/>
      </c>
      <c r="F45" s="26" t="str">
        <f aca="false">IF(A45="","",COUNTIF(Apparitions!$A$2:$A$5001,A45))</f>
        <v/>
      </c>
      <c r="G45" s="26" t="str">
        <f aca="false">IF(A45="","",COUNTIFS(Apparitions!$A$2:$A$5001,A45,Apparitions!$E$2:$E$5001,"○"))</f>
        <v/>
      </c>
    </row>
    <row r="46" customFormat="false" ht="15" hidden="false" customHeight="false" outlineLevel="0" collapsed="false">
      <c r="A46" s="19"/>
      <c r="B46" s="19"/>
      <c r="C46" s="19"/>
      <c r="D46" s="19"/>
      <c r="E46" s="26" t="str">
        <f aca="false">IF(A46="","",COUNTIF(Numéros!$A$2:$A$3001,A46))</f>
        <v/>
      </c>
      <c r="F46" s="26" t="str">
        <f aca="false">IF(A46="","",COUNTIF(Apparitions!$A$2:$A$5001,A46))</f>
        <v/>
      </c>
      <c r="G46" s="26" t="str">
        <f aca="false">IF(A46="","",COUNTIFS(Apparitions!$A$2:$A$5001,A46,Apparitions!$E$2:$E$5001,"○"))</f>
        <v/>
      </c>
    </row>
    <row r="47" customFormat="false" ht="15" hidden="false" customHeight="false" outlineLevel="0" collapsed="false">
      <c r="A47" s="19"/>
      <c r="B47" s="19"/>
      <c r="C47" s="19"/>
      <c r="D47" s="19"/>
      <c r="E47" s="26" t="str">
        <f aca="false">IF(A47="","",COUNTIF(Numéros!$A$2:$A$3001,A47))</f>
        <v/>
      </c>
      <c r="F47" s="26" t="str">
        <f aca="false">IF(A47="","",COUNTIF(Apparitions!$A$2:$A$5001,A47))</f>
        <v/>
      </c>
      <c r="G47" s="26" t="str">
        <f aca="false">IF(A47="","",COUNTIFS(Apparitions!$A$2:$A$5001,A47,Apparitions!$E$2:$E$5001,"○"))</f>
        <v/>
      </c>
    </row>
    <row r="48" customFormat="false" ht="15" hidden="false" customHeight="false" outlineLevel="0" collapsed="false">
      <c r="A48" s="19"/>
      <c r="B48" s="19"/>
      <c r="C48" s="19"/>
      <c r="D48" s="19"/>
      <c r="E48" s="26" t="str">
        <f aca="false">IF(A48="","",COUNTIF(Numéros!$A$2:$A$3001,A48))</f>
        <v/>
      </c>
      <c r="F48" s="26" t="str">
        <f aca="false">IF(A48="","",COUNTIF(Apparitions!$A$2:$A$5001,A48))</f>
        <v/>
      </c>
      <c r="G48" s="26" t="str">
        <f aca="false">IF(A48="","",COUNTIFS(Apparitions!$A$2:$A$5001,A48,Apparitions!$E$2:$E$5001,"○"))</f>
        <v/>
      </c>
    </row>
    <row r="49" customFormat="false" ht="15" hidden="false" customHeight="false" outlineLevel="0" collapsed="false">
      <c r="A49" s="19"/>
      <c r="B49" s="19"/>
      <c r="C49" s="19"/>
      <c r="D49" s="19"/>
      <c r="E49" s="26" t="str">
        <f aca="false">IF(A49="","",COUNTIF(Numéros!$A$2:$A$3001,A49))</f>
        <v/>
      </c>
      <c r="F49" s="26" t="str">
        <f aca="false">IF(A49="","",COUNTIF(Apparitions!$A$2:$A$5001,A49))</f>
        <v/>
      </c>
      <c r="G49" s="26" t="str">
        <f aca="false">IF(A49="","",COUNTIFS(Apparitions!$A$2:$A$5001,A49,Apparitions!$E$2:$E$5001,"○"))</f>
        <v/>
      </c>
    </row>
    <row r="50" customFormat="false" ht="15" hidden="false" customHeight="false" outlineLevel="0" collapsed="false">
      <c r="A50" s="19"/>
      <c r="B50" s="19"/>
      <c r="C50" s="19"/>
      <c r="D50" s="19"/>
      <c r="E50" s="26" t="str">
        <f aca="false">IF(A50="","",COUNTIF(Numéros!$A$2:$A$3001,A50))</f>
        <v/>
      </c>
      <c r="F50" s="26" t="str">
        <f aca="false">IF(A50="","",COUNTIF(Apparitions!$A$2:$A$5001,A50))</f>
        <v/>
      </c>
      <c r="G50" s="26" t="str">
        <f aca="false">IF(A50="","",COUNTIFS(Apparitions!$A$2:$A$5001,A50,Apparitions!$E$2:$E$5001,"○"))</f>
        <v/>
      </c>
    </row>
    <row r="51" customFormat="false" ht="15" hidden="false" customHeight="false" outlineLevel="0" collapsed="false">
      <c r="A51" s="19"/>
      <c r="B51" s="19"/>
      <c r="C51" s="19"/>
      <c r="D51" s="19"/>
      <c r="E51" s="26" t="str">
        <f aca="false">IF(A51="","",COUNTIF(Numéros!$A$2:$A$3001,A51))</f>
        <v/>
      </c>
      <c r="F51" s="26" t="str">
        <f aca="false">IF(A51="","",COUNTIF(Apparitions!$A$2:$A$5001,A51))</f>
        <v/>
      </c>
      <c r="G51" s="26" t="str">
        <f aca="false">IF(A51="","",COUNTIFS(Apparitions!$A$2:$A$5001,A51,Apparitions!$E$2:$E$5001,"○"))</f>
        <v/>
      </c>
    </row>
    <row r="52" customFormat="false" ht="15" hidden="false" customHeight="false" outlineLevel="0" collapsed="false">
      <c r="A52" s="19"/>
      <c r="B52" s="19"/>
      <c r="C52" s="19"/>
      <c r="D52" s="19"/>
      <c r="E52" s="26" t="str">
        <f aca="false">IF(A52="","",COUNTIF(Numéros!$A$2:$A$3001,A52))</f>
        <v/>
      </c>
      <c r="F52" s="26" t="str">
        <f aca="false">IF(A52="","",COUNTIF(Apparitions!$A$2:$A$5001,A52))</f>
        <v/>
      </c>
      <c r="G52" s="26" t="str">
        <f aca="false">IF(A52="","",COUNTIFS(Apparitions!$A$2:$A$5001,A52,Apparitions!$E$2:$E$5001,"○"))</f>
        <v/>
      </c>
    </row>
    <row r="53" customFormat="false" ht="15" hidden="false" customHeight="false" outlineLevel="0" collapsed="false">
      <c r="A53" s="19"/>
      <c r="B53" s="19"/>
      <c r="C53" s="19"/>
      <c r="D53" s="19"/>
      <c r="E53" s="26" t="str">
        <f aca="false">IF(A53="","",COUNTIF(Numéros!$A$2:$A$3001,A53))</f>
        <v/>
      </c>
      <c r="F53" s="26" t="str">
        <f aca="false">IF(A53="","",COUNTIF(Apparitions!$A$2:$A$5001,A53))</f>
        <v/>
      </c>
      <c r="G53" s="26" t="str">
        <f aca="false">IF(A53="","",COUNTIFS(Apparitions!$A$2:$A$5001,A53,Apparitions!$E$2:$E$5001,"○"))</f>
        <v/>
      </c>
    </row>
    <row r="54" customFormat="false" ht="15" hidden="false" customHeight="false" outlineLevel="0" collapsed="false">
      <c r="A54" s="19"/>
      <c r="B54" s="19"/>
      <c r="C54" s="19"/>
      <c r="D54" s="19"/>
      <c r="E54" s="26" t="str">
        <f aca="false">IF(A54="","",COUNTIF(Numéros!$A$2:$A$3001,A54))</f>
        <v/>
      </c>
      <c r="F54" s="26" t="str">
        <f aca="false">IF(A54="","",COUNTIF(Apparitions!$A$2:$A$5001,A54))</f>
        <v/>
      </c>
      <c r="G54" s="26" t="str">
        <f aca="false">IF(A54="","",COUNTIFS(Apparitions!$A$2:$A$5001,A54,Apparitions!$E$2:$E$5001,"○"))</f>
        <v/>
      </c>
    </row>
    <row r="55" customFormat="false" ht="15" hidden="false" customHeight="false" outlineLevel="0" collapsed="false">
      <c r="A55" s="19"/>
      <c r="B55" s="19"/>
      <c r="C55" s="19"/>
      <c r="D55" s="19"/>
      <c r="E55" s="26" t="str">
        <f aca="false">IF(A55="","",COUNTIF(Numéros!$A$2:$A$3001,A55))</f>
        <v/>
      </c>
      <c r="F55" s="26" t="str">
        <f aca="false">IF(A55="","",COUNTIF(Apparitions!$A$2:$A$5001,A55))</f>
        <v/>
      </c>
      <c r="G55" s="26" t="str">
        <f aca="false">IF(A55="","",COUNTIFS(Apparitions!$A$2:$A$5001,A55,Apparitions!$E$2:$E$5001,"○"))</f>
        <v/>
      </c>
    </row>
    <row r="56" customFormat="false" ht="15" hidden="false" customHeight="false" outlineLevel="0" collapsed="false">
      <c r="A56" s="19"/>
      <c r="B56" s="19"/>
      <c r="C56" s="19"/>
      <c r="D56" s="19"/>
      <c r="E56" s="26" t="str">
        <f aca="false">IF(A56="","",COUNTIF(Numéros!$A$2:$A$3001,A56))</f>
        <v/>
      </c>
      <c r="F56" s="26" t="str">
        <f aca="false">IF(A56="","",COUNTIF(Apparitions!$A$2:$A$5001,A56))</f>
        <v/>
      </c>
      <c r="G56" s="26" t="str">
        <f aca="false">IF(A56="","",COUNTIFS(Apparitions!$A$2:$A$5001,A56,Apparitions!$E$2:$E$5001,"○"))</f>
        <v/>
      </c>
    </row>
    <row r="57" customFormat="false" ht="15" hidden="false" customHeight="false" outlineLevel="0" collapsed="false">
      <c r="A57" s="19"/>
      <c r="B57" s="19"/>
      <c r="C57" s="19"/>
      <c r="D57" s="19"/>
      <c r="E57" s="26" t="str">
        <f aca="false">IF(A57="","",COUNTIF(Numéros!$A$2:$A$3001,A57))</f>
        <v/>
      </c>
      <c r="F57" s="26" t="str">
        <f aca="false">IF(A57="","",COUNTIF(Apparitions!$A$2:$A$5001,A57))</f>
        <v/>
      </c>
      <c r="G57" s="26" t="str">
        <f aca="false">IF(A57="","",COUNTIFS(Apparitions!$A$2:$A$5001,A57,Apparitions!$E$2:$E$5001,"○"))</f>
        <v/>
      </c>
    </row>
    <row r="58" customFormat="false" ht="15" hidden="false" customHeight="false" outlineLevel="0" collapsed="false">
      <c r="A58" s="19"/>
      <c r="B58" s="19"/>
      <c r="C58" s="19"/>
      <c r="D58" s="19"/>
      <c r="E58" s="26" t="str">
        <f aca="false">IF(A58="","",COUNTIF(Numéros!$A$2:$A$3001,A58))</f>
        <v/>
      </c>
      <c r="F58" s="26" t="str">
        <f aca="false">IF(A58="","",COUNTIF(Apparitions!$A$2:$A$5001,A58))</f>
        <v/>
      </c>
      <c r="G58" s="26" t="str">
        <f aca="false">IF(A58="","",COUNTIFS(Apparitions!$A$2:$A$5001,A58,Apparitions!$E$2:$E$5001,"○"))</f>
        <v/>
      </c>
    </row>
    <row r="59" customFormat="false" ht="15" hidden="false" customHeight="false" outlineLevel="0" collapsed="false">
      <c r="A59" s="19"/>
      <c r="B59" s="19"/>
      <c r="C59" s="19"/>
      <c r="D59" s="19"/>
      <c r="E59" s="26" t="str">
        <f aca="false">IF(A59="","",COUNTIF(Numéros!$A$2:$A$3001,A59))</f>
        <v/>
      </c>
      <c r="F59" s="26" t="str">
        <f aca="false">IF(A59="","",COUNTIF(Apparitions!$A$2:$A$5001,A59))</f>
        <v/>
      </c>
      <c r="G59" s="26" t="str">
        <f aca="false">IF(A59="","",COUNTIFS(Apparitions!$A$2:$A$5001,A59,Apparitions!$E$2:$E$5001,"○"))</f>
        <v/>
      </c>
    </row>
    <row r="60" customFormat="false" ht="15" hidden="false" customHeight="false" outlineLevel="0" collapsed="false">
      <c r="A60" s="19"/>
      <c r="B60" s="19"/>
      <c r="C60" s="19"/>
      <c r="D60" s="19"/>
      <c r="E60" s="26" t="str">
        <f aca="false">IF(A60="","",COUNTIF(Numéros!$A$2:$A$3001,A60))</f>
        <v/>
      </c>
      <c r="F60" s="26" t="str">
        <f aca="false">IF(A60="","",COUNTIF(Apparitions!$A$2:$A$5001,A60))</f>
        <v/>
      </c>
      <c r="G60" s="26" t="str">
        <f aca="false">IF(A60="","",COUNTIFS(Apparitions!$A$2:$A$5001,A60,Apparitions!$E$2:$E$5001,"○"))</f>
        <v/>
      </c>
    </row>
    <row r="61" customFormat="false" ht="15" hidden="false" customHeight="false" outlineLevel="0" collapsed="false">
      <c r="A61" s="19"/>
      <c r="B61" s="19"/>
      <c r="C61" s="19"/>
      <c r="D61" s="19"/>
      <c r="E61" s="26" t="str">
        <f aca="false">IF(A61="","",COUNTIF(Numéros!$A$2:$A$3001,A61))</f>
        <v/>
      </c>
      <c r="F61" s="26" t="str">
        <f aca="false">IF(A61="","",COUNTIF(Apparitions!$A$2:$A$5001,A61))</f>
        <v/>
      </c>
      <c r="G61" s="26" t="str">
        <f aca="false">IF(A61="","",COUNTIFS(Apparitions!$A$2:$A$5001,A61,Apparitions!$E$2:$E$5001,"○"))</f>
        <v/>
      </c>
    </row>
    <row r="62" customFormat="false" ht="15" hidden="false" customHeight="false" outlineLevel="0" collapsed="false">
      <c r="A62" s="19"/>
      <c r="B62" s="19"/>
      <c r="C62" s="19"/>
      <c r="D62" s="19"/>
      <c r="E62" s="26" t="str">
        <f aca="false">IF(A62="","",COUNTIF(Numéros!$A$2:$A$3001,A62))</f>
        <v/>
      </c>
      <c r="F62" s="26" t="str">
        <f aca="false">IF(A62="","",COUNTIF(Apparitions!$A$2:$A$5001,A62))</f>
        <v/>
      </c>
      <c r="G62" s="26" t="str">
        <f aca="false">IF(A62="","",COUNTIFS(Apparitions!$A$2:$A$5001,A62,Apparitions!$E$2:$E$5001,"○"))</f>
        <v/>
      </c>
    </row>
    <row r="63" customFormat="false" ht="15" hidden="false" customHeight="false" outlineLevel="0" collapsed="false">
      <c r="A63" s="19"/>
      <c r="B63" s="19"/>
      <c r="C63" s="19"/>
      <c r="D63" s="19"/>
      <c r="E63" s="26" t="str">
        <f aca="false">IF(A63="","",COUNTIF(Numéros!$A$2:$A$3001,A63))</f>
        <v/>
      </c>
      <c r="F63" s="26" t="str">
        <f aca="false">IF(A63="","",COUNTIF(Apparitions!$A$2:$A$5001,A63))</f>
        <v/>
      </c>
      <c r="G63" s="26" t="str">
        <f aca="false">IF(A63="","",COUNTIFS(Apparitions!$A$2:$A$5001,A63,Apparitions!$E$2:$E$5001,"○"))</f>
        <v/>
      </c>
    </row>
    <row r="64" customFormat="false" ht="15" hidden="false" customHeight="false" outlineLevel="0" collapsed="false">
      <c r="A64" s="19"/>
      <c r="B64" s="19"/>
      <c r="C64" s="19"/>
      <c r="D64" s="19"/>
      <c r="E64" s="26" t="str">
        <f aca="false">IF(A64="","",COUNTIF(Numéros!$A$2:$A$3001,A64))</f>
        <v/>
      </c>
      <c r="F64" s="26" t="str">
        <f aca="false">IF(A64="","",COUNTIF(Apparitions!$A$2:$A$5001,A64))</f>
        <v/>
      </c>
      <c r="G64" s="26" t="str">
        <f aca="false">IF(A64="","",COUNTIFS(Apparitions!$A$2:$A$5001,A64,Apparitions!$E$2:$E$5001,"○"))</f>
        <v/>
      </c>
    </row>
    <row r="65" customFormat="false" ht="15" hidden="false" customHeight="false" outlineLevel="0" collapsed="false">
      <c r="A65" s="19"/>
      <c r="B65" s="19"/>
      <c r="C65" s="19"/>
      <c r="D65" s="19"/>
      <c r="E65" s="26" t="str">
        <f aca="false">IF(A65="","",COUNTIF(Numéros!$A$2:$A$3001,A65))</f>
        <v/>
      </c>
      <c r="F65" s="26" t="str">
        <f aca="false">IF(A65="","",COUNTIF(Apparitions!$A$2:$A$5001,A65))</f>
        <v/>
      </c>
      <c r="G65" s="26" t="str">
        <f aca="false">IF(A65="","",COUNTIFS(Apparitions!$A$2:$A$5001,A65,Apparitions!$E$2:$E$5001,"○"))</f>
        <v/>
      </c>
    </row>
    <row r="66" customFormat="false" ht="15" hidden="false" customHeight="false" outlineLevel="0" collapsed="false">
      <c r="A66" s="19"/>
      <c r="B66" s="19"/>
      <c r="C66" s="19"/>
      <c r="D66" s="19"/>
      <c r="E66" s="26" t="str">
        <f aca="false">IF(A66="","",COUNTIF(Numéros!$A$2:$A$3001,A66))</f>
        <v/>
      </c>
      <c r="F66" s="26" t="str">
        <f aca="false">IF(A66="","",COUNTIF(Apparitions!$A$2:$A$5001,A66))</f>
        <v/>
      </c>
      <c r="G66" s="26" t="str">
        <f aca="false">IF(A66="","",COUNTIFS(Apparitions!$A$2:$A$5001,A66,Apparitions!$E$2:$E$5001,"○"))</f>
        <v/>
      </c>
    </row>
    <row r="67" customFormat="false" ht="15" hidden="false" customHeight="false" outlineLevel="0" collapsed="false">
      <c r="A67" s="19"/>
      <c r="B67" s="19"/>
      <c r="C67" s="19"/>
      <c r="D67" s="19"/>
      <c r="E67" s="26" t="str">
        <f aca="false">IF(A67="","",COUNTIF(Numéros!$A$2:$A$3001,A67))</f>
        <v/>
      </c>
      <c r="F67" s="26" t="str">
        <f aca="false">IF(A67="","",COUNTIF(Apparitions!$A$2:$A$5001,A67))</f>
        <v/>
      </c>
      <c r="G67" s="26" t="str">
        <f aca="false">IF(A67="","",COUNTIFS(Apparitions!$A$2:$A$5001,A67,Apparitions!$E$2:$E$5001,"○"))</f>
        <v/>
      </c>
    </row>
    <row r="68" customFormat="false" ht="15" hidden="false" customHeight="false" outlineLevel="0" collapsed="false">
      <c r="A68" s="19"/>
      <c r="B68" s="19"/>
      <c r="C68" s="19"/>
      <c r="D68" s="19"/>
      <c r="E68" s="26" t="str">
        <f aca="false">IF(A68="","",COUNTIF(Numéros!$A$2:$A$3001,A68))</f>
        <v/>
      </c>
      <c r="F68" s="26" t="str">
        <f aca="false">IF(A68="","",COUNTIF(Apparitions!$A$2:$A$5001,A68))</f>
        <v/>
      </c>
      <c r="G68" s="26" t="str">
        <f aca="false">IF(A68="","",COUNTIFS(Apparitions!$A$2:$A$5001,A68,Apparitions!$E$2:$E$5001,"○"))</f>
        <v/>
      </c>
    </row>
    <row r="69" customFormat="false" ht="15" hidden="false" customHeight="false" outlineLevel="0" collapsed="false">
      <c r="A69" s="19"/>
      <c r="B69" s="19"/>
      <c r="C69" s="19"/>
      <c r="D69" s="19"/>
      <c r="E69" s="26" t="str">
        <f aca="false">IF(A69="","",COUNTIF(Numéros!$A$2:$A$3001,A69))</f>
        <v/>
      </c>
      <c r="F69" s="26" t="str">
        <f aca="false">IF(A69="","",COUNTIF(Apparitions!$A$2:$A$5001,A69))</f>
        <v/>
      </c>
      <c r="G69" s="26" t="str">
        <f aca="false">IF(A69="","",COUNTIFS(Apparitions!$A$2:$A$5001,A69,Apparitions!$E$2:$E$5001,"○"))</f>
        <v/>
      </c>
    </row>
    <row r="70" customFormat="false" ht="15" hidden="false" customHeight="false" outlineLevel="0" collapsed="false">
      <c r="A70" s="19"/>
      <c r="B70" s="19"/>
      <c r="C70" s="19"/>
      <c r="D70" s="19"/>
      <c r="E70" s="26" t="str">
        <f aca="false">IF(A70="","",COUNTIF(Numéros!$A$2:$A$3001,A70))</f>
        <v/>
      </c>
      <c r="F70" s="26" t="str">
        <f aca="false">IF(A70="","",COUNTIF(Apparitions!$A$2:$A$5001,A70))</f>
        <v/>
      </c>
      <c r="G70" s="26" t="str">
        <f aca="false">IF(A70="","",COUNTIFS(Apparitions!$A$2:$A$5001,A70,Apparitions!$E$2:$E$5001,"○"))</f>
        <v/>
      </c>
    </row>
    <row r="71" customFormat="false" ht="15" hidden="false" customHeight="false" outlineLevel="0" collapsed="false">
      <c r="A71" s="19"/>
      <c r="B71" s="19"/>
      <c r="C71" s="19"/>
      <c r="D71" s="19"/>
      <c r="E71" s="26" t="str">
        <f aca="false">IF(A71="","",COUNTIF(Numéros!$A$2:$A$3001,A71))</f>
        <v/>
      </c>
      <c r="F71" s="26" t="str">
        <f aca="false">IF(A71="","",COUNTIF(Apparitions!$A$2:$A$5001,A71))</f>
        <v/>
      </c>
      <c r="G71" s="26" t="str">
        <f aca="false">IF(A71="","",COUNTIFS(Apparitions!$A$2:$A$5001,A71,Apparitions!$E$2:$E$5001,"○"))</f>
        <v/>
      </c>
    </row>
    <row r="72" customFormat="false" ht="15" hidden="false" customHeight="false" outlineLevel="0" collapsed="false">
      <c r="A72" s="19"/>
      <c r="B72" s="19"/>
      <c r="C72" s="19"/>
      <c r="D72" s="19"/>
      <c r="E72" s="26" t="str">
        <f aca="false">IF(A72="","",COUNTIF(Numéros!$A$2:$A$3001,A72))</f>
        <v/>
      </c>
      <c r="F72" s="26" t="str">
        <f aca="false">IF(A72="","",COUNTIF(Apparitions!$A$2:$A$5001,A72))</f>
        <v/>
      </c>
      <c r="G72" s="26" t="str">
        <f aca="false">IF(A72="","",COUNTIFS(Apparitions!$A$2:$A$5001,A72,Apparitions!$E$2:$E$5001,"○"))</f>
        <v/>
      </c>
    </row>
    <row r="73" customFormat="false" ht="15" hidden="false" customHeight="false" outlineLevel="0" collapsed="false">
      <c r="A73" s="19"/>
      <c r="B73" s="19"/>
      <c r="C73" s="19"/>
      <c r="D73" s="19"/>
      <c r="E73" s="26" t="str">
        <f aca="false">IF(A73="","",COUNTIF(Numéros!$A$2:$A$3001,A73))</f>
        <v/>
      </c>
      <c r="F73" s="26" t="str">
        <f aca="false">IF(A73="","",COUNTIF(Apparitions!$A$2:$A$5001,A73))</f>
        <v/>
      </c>
      <c r="G73" s="26" t="str">
        <f aca="false">IF(A73="","",COUNTIFS(Apparitions!$A$2:$A$5001,A73,Apparitions!$E$2:$E$5001,"○"))</f>
        <v/>
      </c>
    </row>
    <row r="74" customFormat="false" ht="15" hidden="false" customHeight="false" outlineLevel="0" collapsed="false">
      <c r="A74" s="19"/>
      <c r="B74" s="19"/>
      <c r="C74" s="19"/>
      <c r="D74" s="19"/>
      <c r="E74" s="26" t="str">
        <f aca="false">IF(A74="","",COUNTIF(Numéros!$A$2:$A$3001,A74))</f>
        <v/>
      </c>
      <c r="F74" s="26" t="str">
        <f aca="false">IF(A74="","",COUNTIF(Apparitions!$A$2:$A$5001,A74))</f>
        <v/>
      </c>
      <c r="G74" s="26" t="str">
        <f aca="false">IF(A74="","",COUNTIFS(Apparitions!$A$2:$A$5001,A74,Apparitions!$E$2:$E$5001,"○"))</f>
        <v/>
      </c>
    </row>
    <row r="75" customFormat="false" ht="15" hidden="false" customHeight="false" outlineLevel="0" collapsed="false">
      <c r="A75" s="19"/>
      <c r="B75" s="19"/>
      <c r="C75" s="19"/>
      <c r="D75" s="19"/>
      <c r="E75" s="26" t="str">
        <f aca="false">IF(A75="","",COUNTIF(Numéros!$A$2:$A$3001,A75))</f>
        <v/>
      </c>
      <c r="F75" s="26" t="str">
        <f aca="false">IF(A75="","",COUNTIF(Apparitions!$A$2:$A$5001,A75))</f>
        <v/>
      </c>
      <c r="G75" s="26" t="str">
        <f aca="false">IF(A75="","",COUNTIFS(Apparitions!$A$2:$A$5001,A75,Apparitions!$E$2:$E$5001,"○"))</f>
        <v/>
      </c>
    </row>
    <row r="76" customFormat="false" ht="15" hidden="false" customHeight="false" outlineLevel="0" collapsed="false">
      <c r="A76" s="19"/>
      <c r="B76" s="19"/>
      <c r="C76" s="19"/>
      <c r="D76" s="19"/>
      <c r="E76" s="26" t="str">
        <f aca="false">IF(A76="","",COUNTIF(Numéros!$A$2:$A$3001,A76))</f>
        <v/>
      </c>
      <c r="F76" s="26" t="str">
        <f aca="false">IF(A76="","",COUNTIF(Apparitions!$A$2:$A$5001,A76))</f>
        <v/>
      </c>
      <c r="G76" s="26" t="str">
        <f aca="false">IF(A76="","",COUNTIFS(Apparitions!$A$2:$A$5001,A76,Apparitions!$E$2:$E$5001,"○"))</f>
        <v/>
      </c>
    </row>
    <row r="77" customFormat="false" ht="15" hidden="false" customHeight="false" outlineLevel="0" collapsed="false">
      <c r="A77" s="19"/>
      <c r="B77" s="19"/>
      <c r="C77" s="19"/>
      <c r="D77" s="19"/>
      <c r="E77" s="26" t="str">
        <f aca="false">IF(A77="","",COUNTIF(Numéros!$A$2:$A$3001,A77))</f>
        <v/>
      </c>
      <c r="F77" s="26" t="str">
        <f aca="false">IF(A77="","",COUNTIF(Apparitions!$A$2:$A$5001,A77))</f>
        <v/>
      </c>
      <c r="G77" s="26" t="str">
        <f aca="false">IF(A77="","",COUNTIFS(Apparitions!$A$2:$A$5001,A77,Apparitions!$E$2:$E$5001,"○"))</f>
        <v/>
      </c>
    </row>
    <row r="78" customFormat="false" ht="15" hidden="false" customHeight="false" outlineLevel="0" collapsed="false">
      <c r="A78" s="19"/>
      <c r="B78" s="19"/>
      <c r="C78" s="19"/>
      <c r="D78" s="19"/>
      <c r="E78" s="26" t="str">
        <f aca="false">IF(A78="","",COUNTIF(Numéros!$A$2:$A$3001,A78))</f>
        <v/>
      </c>
      <c r="F78" s="26" t="str">
        <f aca="false">IF(A78="","",COUNTIF(Apparitions!$A$2:$A$5001,A78))</f>
        <v/>
      </c>
      <c r="G78" s="26" t="str">
        <f aca="false">IF(A78="","",COUNTIFS(Apparitions!$A$2:$A$5001,A78,Apparitions!$E$2:$E$5001,"○"))</f>
        <v/>
      </c>
    </row>
    <row r="79" customFormat="false" ht="15" hidden="false" customHeight="false" outlineLevel="0" collapsed="false">
      <c r="A79" s="19"/>
      <c r="B79" s="19"/>
      <c r="C79" s="19"/>
      <c r="D79" s="19"/>
      <c r="E79" s="26" t="str">
        <f aca="false">IF(A79="","",COUNTIF(Numéros!$A$2:$A$3001,A79))</f>
        <v/>
      </c>
      <c r="F79" s="26" t="str">
        <f aca="false">IF(A79="","",COUNTIF(Apparitions!$A$2:$A$5001,A79))</f>
        <v/>
      </c>
      <c r="G79" s="26" t="str">
        <f aca="false">IF(A79="","",COUNTIFS(Apparitions!$A$2:$A$5001,A79,Apparitions!$E$2:$E$5001,"○"))</f>
        <v/>
      </c>
    </row>
    <row r="80" customFormat="false" ht="15" hidden="false" customHeight="false" outlineLevel="0" collapsed="false">
      <c r="A80" s="19"/>
      <c r="B80" s="19"/>
      <c r="C80" s="19"/>
      <c r="D80" s="19"/>
      <c r="E80" s="26" t="str">
        <f aca="false">IF(A80="","",COUNTIF(Numéros!$A$2:$A$3001,A80))</f>
        <v/>
      </c>
      <c r="F80" s="26" t="str">
        <f aca="false">IF(A80="","",COUNTIF(Apparitions!$A$2:$A$5001,A80))</f>
        <v/>
      </c>
      <c r="G80" s="26" t="str">
        <f aca="false">IF(A80="","",COUNTIFS(Apparitions!$A$2:$A$5001,A80,Apparitions!$E$2:$E$5001,"○"))</f>
        <v/>
      </c>
    </row>
    <row r="81" customFormat="false" ht="15" hidden="false" customHeight="false" outlineLevel="0" collapsed="false">
      <c r="A81" s="19"/>
      <c r="B81" s="19"/>
      <c r="C81" s="19"/>
      <c r="D81" s="19"/>
      <c r="E81" s="26" t="str">
        <f aca="false">IF(A81="","",COUNTIF(Numéros!$A$2:$A$3001,A81))</f>
        <v/>
      </c>
      <c r="F81" s="26" t="str">
        <f aca="false">IF(A81="","",COUNTIF(Apparitions!$A$2:$A$5001,A81))</f>
        <v/>
      </c>
      <c r="G81" s="26" t="str">
        <f aca="false">IF(A81="","",COUNTIFS(Apparitions!$A$2:$A$5001,A81,Apparitions!$E$2:$E$5001,"○"))</f>
        <v/>
      </c>
    </row>
    <row r="82" customFormat="false" ht="15" hidden="false" customHeight="false" outlineLevel="0" collapsed="false">
      <c r="A82" s="19"/>
      <c r="B82" s="19"/>
      <c r="C82" s="19"/>
      <c r="D82" s="19"/>
      <c r="E82" s="26" t="str">
        <f aca="false">IF(A82="","",COUNTIF(Numéros!$A$2:$A$3001,A82))</f>
        <v/>
      </c>
      <c r="F82" s="26" t="str">
        <f aca="false">IF(A82="","",COUNTIF(Apparitions!$A$2:$A$5001,A82))</f>
        <v/>
      </c>
      <c r="G82" s="26" t="str">
        <f aca="false">IF(A82="","",COUNTIFS(Apparitions!$A$2:$A$5001,A82,Apparitions!$E$2:$E$5001,"○"))</f>
        <v/>
      </c>
    </row>
    <row r="83" customFormat="false" ht="15" hidden="false" customHeight="false" outlineLevel="0" collapsed="false">
      <c r="A83" s="19"/>
      <c r="B83" s="19"/>
      <c r="C83" s="19"/>
      <c r="D83" s="19"/>
      <c r="E83" s="26" t="str">
        <f aca="false">IF(A83="","",COUNTIF(Numéros!$A$2:$A$3001,A83))</f>
        <v/>
      </c>
      <c r="F83" s="26" t="str">
        <f aca="false">IF(A83="","",COUNTIF(Apparitions!$A$2:$A$5001,A83))</f>
        <v/>
      </c>
      <c r="G83" s="26" t="str">
        <f aca="false">IF(A83="","",COUNTIFS(Apparitions!$A$2:$A$5001,A83,Apparitions!$E$2:$E$5001,"○"))</f>
        <v/>
      </c>
    </row>
    <row r="84" customFormat="false" ht="15" hidden="false" customHeight="false" outlineLevel="0" collapsed="false">
      <c r="A84" s="19"/>
      <c r="B84" s="19"/>
      <c r="C84" s="19"/>
      <c r="D84" s="19"/>
      <c r="E84" s="26" t="str">
        <f aca="false">IF(A84="","",COUNTIF(Numéros!$A$2:$A$3001,A84))</f>
        <v/>
      </c>
      <c r="F84" s="26" t="str">
        <f aca="false">IF(A84="","",COUNTIF(Apparitions!$A$2:$A$5001,A84))</f>
        <v/>
      </c>
      <c r="G84" s="26" t="str">
        <f aca="false">IF(A84="","",COUNTIFS(Apparitions!$A$2:$A$5001,A84,Apparitions!$E$2:$E$5001,"○"))</f>
        <v/>
      </c>
    </row>
    <row r="85" customFormat="false" ht="15" hidden="false" customHeight="false" outlineLevel="0" collapsed="false">
      <c r="A85" s="19"/>
      <c r="B85" s="19"/>
      <c r="C85" s="19"/>
      <c r="D85" s="19"/>
      <c r="E85" s="26" t="str">
        <f aca="false">IF(A85="","",COUNTIF(Numéros!$A$2:$A$3001,A85))</f>
        <v/>
      </c>
      <c r="F85" s="26" t="str">
        <f aca="false">IF(A85="","",COUNTIF(Apparitions!$A$2:$A$5001,A85))</f>
        <v/>
      </c>
      <c r="G85" s="26" t="str">
        <f aca="false">IF(A85="","",COUNTIFS(Apparitions!$A$2:$A$5001,A85,Apparitions!$E$2:$E$5001,"○"))</f>
        <v/>
      </c>
    </row>
    <row r="86" customFormat="false" ht="15" hidden="false" customHeight="false" outlineLevel="0" collapsed="false">
      <c r="A86" s="19"/>
      <c r="B86" s="19"/>
      <c r="C86" s="19"/>
      <c r="D86" s="19"/>
      <c r="E86" s="26" t="str">
        <f aca="false">IF(A86="","",COUNTIF(Numéros!$A$2:$A$3001,A86))</f>
        <v/>
      </c>
      <c r="F86" s="26" t="str">
        <f aca="false">IF(A86="","",COUNTIF(Apparitions!$A$2:$A$5001,A86))</f>
        <v/>
      </c>
      <c r="G86" s="26" t="str">
        <f aca="false">IF(A86="","",COUNTIFS(Apparitions!$A$2:$A$5001,A86,Apparitions!$E$2:$E$5001,"○"))</f>
        <v/>
      </c>
    </row>
    <row r="87" customFormat="false" ht="15" hidden="false" customHeight="false" outlineLevel="0" collapsed="false">
      <c r="A87" s="19"/>
      <c r="B87" s="19"/>
      <c r="C87" s="19"/>
      <c r="D87" s="19"/>
      <c r="E87" s="26" t="str">
        <f aca="false">IF(A87="","",COUNTIF(Numéros!$A$2:$A$3001,A87))</f>
        <v/>
      </c>
      <c r="F87" s="26" t="str">
        <f aca="false">IF(A87="","",COUNTIF(Apparitions!$A$2:$A$5001,A87))</f>
        <v/>
      </c>
      <c r="G87" s="26" t="str">
        <f aca="false">IF(A87="","",COUNTIFS(Apparitions!$A$2:$A$5001,A87,Apparitions!$E$2:$E$5001,"○"))</f>
        <v/>
      </c>
    </row>
    <row r="88" customFormat="false" ht="15" hidden="false" customHeight="false" outlineLevel="0" collapsed="false">
      <c r="A88" s="19"/>
      <c r="B88" s="19"/>
      <c r="C88" s="19"/>
      <c r="D88" s="19"/>
      <c r="E88" s="26" t="str">
        <f aca="false">IF(A88="","",COUNTIF(Numéros!$A$2:$A$3001,A88))</f>
        <v/>
      </c>
      <c r="F88" s="26" t="str">
        <f aca="false">IF(A88="","",COUNTIF(Apparitions!$A$2:$A$5001,A88))</f>
        <v/>
      </c>
      <c r="G88" s="26" t="str">
        <f aca="false">IF(A88="","",COUNTIFS(Apparitions!$A$2:$A$5001,A88,Apparitions!$E$2:$E$5001,"○"))</f>
        <v/>
      </c>
    </row>
    <row r="89" customFormat="false" ht="15" hidden="false" customHeight="false" outlineLevel="0" collapsed="false">
      <c r="A89" s="19"/>
      <c r="B89" s="19"/>
      <c r="C89" s="19"/>
      <c r="D89" s="19"/>
      <c r="E89" s="26" t="str">
        <f aca="false">IF(A89="","",COUNTIF(Numéros!$A$2:$A$3001,A89))</f>
        <v/>
      </c>
      <c r="F89" s="26" t="str">
        <f aca="false">IF(A89="","",COUNTIF(Apparitions!$A$2:$A$5001,A89))</f>
        <v/>
      </c>
      <c r="G89" s="26" t="str">
        <f aca="false">IF(A89="","",COUNTIFS(Apparitions!$A$2:$A$5001,A89,Apparitions!$E$2:$E$5001,"○"))</f>
        <v/>
      </c>
    </row>
    <row r="90" customFormat="false" ht="15" hidden="false" customHeight="false" outlineLevel="0" collapsed="false">
      <c r="A90" s="19"/>
      <c r="B90" s="19"/>
      <c r="C90" s="19"/>
      <c r="D90" s="19"/>
      <c r="E90" s="26" t="str">
        <f aca="false">IF(A90="","",COUNTIF(Numéros!$A$2:$A$3001,A90))</f>
        <v/>
      </c>
      <c r="F90" s="26" t="str">
        <f aca="false">IF(A90="","",COUNTIF(Apparitions!$A$2:$A$5001,A90))</f>
        <v/>
      </c>
      <c r="G90" s="26" t="str">
        <f aca="false">IF(A90="","",COUNTIFS(Apparitions!$A$2:$A$5001,A90,Apparitions!$E$2:$E$5001,"○"))</f>
        <v/>
      </c>
    </row>
    <row r="91" customFormat="false" ht="15" hidden="false" customHeight="false" outlineLevel="0" collapsed="false">
      <c r="A91" s="19"/>
      <c r="B91" s="19"/>
      <c r="C91" s="19"/>
      <c r="D91" s="19"/>
      <c r="E91" s="26" t="str">
        <f aca="false">IF(A91="","",COUNTIF(Numéros!$A$2:$A$3001,A91))</f>
        <v/>
      </c>
      <c r="F91" s="26" t="str">
        <f aca="false">IF(A91="","",COUNTIF(Apparitions!$A$2:$A$5001,A91))</f>
        <v/>
      </c>
      <c r="G91" s="26" t="str">
        <f aca="false">IF(A91="","",COUNTIFS(Apparitions!$A$2:$A$5001,A91,Apparitions!$E$2:$E$5001,"○"))</f>
        <v/>
      </c>
    </row>
    <row r="92" customFormat="false" ht="15" hidden="false" customHeight="false" outlineLevel="0" collapsed="false">
      <c r="A92" s="19"/>
      <c r="B92" s="19"/>
      <c r="C92" s="19"/>
      <c r="D92" s="19"/>
      <c r="E92" s="26" t="str">
        <f aca="false">IF(A92="","",COUNTIF(Numéros!$A$2:$A$3001,A92))</f>
        <v/>
      </c>
      <c r="F92" s="26" t="str">
        <f aca="false">IF(A92="","",COUNTIF(Apparitions!$A$2:$A$5001,A92))</f>
        <v/>
      </c>
      <c r="G92" s="26" t="str">
        <f aca="false">IF(A92="","",COUNTIFS(Apparitions!$A$2:$A$5001,A92,Apparitions!$E$2:$E$5001,"○"))</f>
        <v/>
      </c>
    </row>
    <row r="93" customFormat="false" ht="15" hidden="false" customHeight="false" outlineLevel="0" collapsed="false">
      <c r="A93" s="19"/>
      <c r="B93" s="19"/>
      <c r="C93" s="19"/>
      <c r="D93" s="19"/>
      <c r="E93" s="26" t="str">
        <f aca="false">IF(A93="","",COUNTIF(Numéros!$A$2:$A$3001,A93))</f>
        <v/>
      </c>
      <c r="F93" s="26" t="str">
        <f aca="false">IF(A93="","",COUNTIF(Apparitions!$A$2:$A$5001,A93))</f>
        <v/>
      </c>
      <c r="G93" s="26" t="str">
        <f aca="false">IF(A93="","",COUNTIFS(Apparitions!$A$2:$A$5001,A93,Apparitions!$E$2:$E$5001,"○"))</f>
        <v/>
      </c>
    </row>
    <row r="94" customFormat="false" ht="15" hidden="false" customHeight="false" outlineLevel="0" collapsed="false">
      <c r="A94" s="19"/>
      <c r="B94" s="19"/>
      <c r="C94" s="19"/>
      <c r="D94" s="19"/>
      <c r="E94" s="26" t="str">
        <f aca="false">IF(A94="","",COUNTIF(Numéros!$A$2:$A$3001,A94))</f>
        <v/>
      </c>
      <c r="F94" s="26" t="str">
        <f aca="false">IF(A94="","",COUNTIF(Apparitions!$A$2:$A$5001,A94))</f>
        <v/>
      </c>
      <c r="G94" s="26" t="str">
        <f aca="false">IF(A94="","",COUNTIFS(Apparitions!$A$2:$A$5001,A94,Apparitions!$E$2:$E$5001,"○"))</f>
        <v/>
      </c>
    </row>
    <row r="95" customFormat="false" ht="15" hidden="false" customHeight="false" outlineLevel="0" collapsed="false">
      <c r="A95" s="19"/>
      <c r="B95" s="19"/>
      <c r="C95" s="19"/>
      <c r="D95" s="19"/>
      <c r="E95" s="26" t="str">
        <f aca="false">IF(A95="","",COUNTIF(Numéros!$A$2:$A$3001,A95))</f>
        <v/>
      </c>
      <c r="F95" s="26" t="str">
        <f aca="false">IF(A95="","",COUNTIF(Apparitions!$A$2:$A$5001,A95))</f>
        <v/>
      </c>
      <c r="G95" s="26" t="str">
        <f aca="false">IF(A95="","",COUNTIFS(Apparitions!$A$2:$A$5001,A95,Apparitions!$E$2:$E$5001,"○"))</f>
        <v/>
      </c>
    </row>
    <row r="96" customFormat="false" ht="15" hidden="false" customHeight="false" outlineLevel="0" collapsed="false">
      <c r="A96" s="19"/>
      <c r="B96" s="19"/>
      <c r="C96" s="19"/>
      <c r="D96" s="19"/>
      <c r="E96" s="26" t="str">
        <f aca="false">IF(A96="","",COUNTIF(Numéros!$A$2:$A$3001,A96))</f>
        <v/>
      </c>
      <c r="F96" s="26" t="str">
        <f aca="false">IF(A96="","",COUNTIF(Apparitions!$A$2:$A$5001,A96))</f>
        <v/>
      </c>
      <c r="G96" s="26" t="str">
        <f aca="false">IF(A96="","",COUNTIFS(Apparitions!$A$2:$A$5001,A96,Apparitions!$E$2:$E$5001,"○"))</f>
        <v/>
      </c>
    </row>
    <row r="97" customFormat="false" ht="15" hidden="false" customHeight="false" outlineLevel="0" collapsed="false">
      <c r="A97" s="19"/>
      <c r="B97" s="19"/>
      <c r="C97" s="19"/>
      <c r="D97" s="19"/>
      <c r="E97" s="26" t="str">
        <f aca="false">IF(A97="","",COUNTIF(Numéros!$A$2:$A$3001,A97))</f>
        <v/>
      </c>
      <c r="F97" s="26" t="str">
        <f aca="false">IF(A97="","",COUNTIF(Apparitions!$A$2:$A$5001,A97))</f>
        <v/>
      </c>
      <c r="G97" s="26" t="str">
        <f aca="false">IF(A97="","",COUNTIFS(Apparitions!$A$2:$A$5001,A97,Apparitions!$E$2:$E$5001,"○"))</f>
        <v/>
      </c>
    </row>
    <row r="98" customFormat="false" ht="15" hidden="false" customHeight="false" outlineLevel="0" collapsed="false">
      <c r="A98" s="19"/>
      <c r="B98" s="19"/>
      <c r="C98" s="19"/>
      <c r="D98" s="19"/>
      <c r="E98" s="26" t="str">
        <f aca="false">IF(A98="","",COUNTIF(Numéros!$A$2:$A$3001,A98))</f>
        <v/>
      </c>
      <c r="F98" s="26" t="str">
        <f aca="false">IF(A98="","",COUNTIF(Apparitions!$A$2:$A$5001,A98))</f>
        <v/>
      </c>
      <c r="G98" s="26" t="str">
        <f aca="false">IF(A98="","",COUNTIFS(Apparitions!$A$2:$A$5001,A98,Apparitions!$E$2:$E$5001,"○"))</f>
        <v/>
      </c>
    </row>
    <row r="99" customFormat="false" ht="15" hidden="false" customHeight="false" outlineLevel="0" collapsed="false">
      <c r="A99" s="19"/>
      <c r="B99" s="19"/>
      <c r="C99" s="19"/>
      <c r="D99" s="19"/>
      <c r="E99" s="26" t="str">
        <f aca="false">IF(A99="","",COUNTIF(Numéros!$A$2:$A$3001,A99))</f>
        <v/>
      </c>
      <c r="F99" s="26" t="str">
        <f aca="false">IF(A99="","",COUNTIF(Apparitions!$A$2:$A$5001,A99))</f>
        <v/>
      </c>
      <c r="G99" s="26" t="str">
        <f aca="false">IF(A99="","",COUNTIFS(Apparitions!$A$2:$A$5001,A99,Apparitions!$E$2:$E$5001,"○"))</f>
        <v/>
      </c>
    </row>
    <row r="100" customFormat="false" ht="15" hidden="false" customHeight="false" outlineLevel="0" collapsed="false">
      <c r="A100" s="19"/>
      <c r="B100" s="19"/>
      <c r="C100" s="19"/>
      <c r="D100" s="19"/>
      <c r="E100" s="26" t="str">
        <f aca="false">IF(A100="","",COUNTIF(Numéros!$A$2:$A$3001,A100))</f>
        <v/>
      </c>
      <c r="F100" s="26" t="str">
        <f aca="false">IF(A100="","",COUNTIF(Apparitions!$A$2:$A$5001,A100))</f>
        <v/>
      </c>
      <c r="G100" s="26" t="str">
        <f aca="false">IF(A100="","",COUNTIFS(Apparitions!$A$2:$A$5001,A100,Apparitions!$E$2:$E$5001,"○"))</f>
        <v/>
      </c>
    </row>
    <row r="101" customFormat="false" ht="15" hidden="false" customHeight="false" outlineLevel="0" collapsed="false">
      <c r="A101" s="19"/>
      <c r="B101" s="19"/>
      <c r="C101" s="19"/>
      <c r="D101" s="19"/>
      <c r="E101" s="26" t="str">
        <f aca="false">IF(A101="","",COUNTIF(Numéros!$A$2:$A$3001,A101))</f>
        <v/>
      </c>
      <c r="F101" s="26" t="str">
        <f aca="false">IF(A101="","",COUNTIF(Apparitions!$A$2:$A$5001,A101))</f>
        <v/>
      </c>
      <c r="G101" s="26" t="str">
        <f aca="false">IF(A101="","",COUNTIFS(Apparitions!$A$2:$A$5001,A101,Apparitions!$E$2:$E$5001,"○"))</f>
        <v/>
      </c>
    </row>
    <row r="102" customFormat="false" ht="15" hidden="false" customHeight="false" outlineLevel="0" collapsed="false">
      <c r="A102" s="19"/>
      <c r="B102" s="19"/>
      <c r="C102" s="19"/>
      <c r="D102" s="19"/>
      <c r="E102" s="26" t="str">
        <f aca="false">IF(A102="","",COUNTIF(Numéros!$A$2:$A$3001,A102))</f>
        <v/>
      </c>
      <c r="F102" s="26" t="str">
        <f aca="false">IF(A102="","",COUNTIF(Apparitions!$A$2:$A$5001,A102))</f>
        <v/>
      </c>
      <c r="G102" s="26" t="str">
        <f aca="false">IF(A102="","",COUNTIFS(Apparitions!$A$2:$A$5001,A102,Apparitions!$E$2:$E$5001,"○"))</f>
        <v/>
      </c>
    </row>
    <row r="103" customFormat="false" ht="15" hidden="false" customHeight="false" outlineLevel="0" collapsed="false">
      <c r="A103" s="19"/>
      <c r="B103" s="19"/>
      <c r="C103" s="19"/>
      <c r="D103" s="19"/>
      <c r="E103" s="26" t="str">
        <f aca="false">IF(A103="","",COUNTIF(Numéros!$A$2:$A$3001,A103))</f>
        <v/>
      </c>
      <c r="F103" s="26" t="str">
        <f aca="false">IF(A103="","",COUNTIF(Apparitions!$A$2:$A$5001,A103))</f>
        <v/>
      </c>
      <c r="G103" s="26" t="str">
        <f aca="false">IF(A103="","",COUNTIFS(Apparitions!$A$2:$A$5001,A103,Apparitions!$E$2:$E$5001,"○"))</f>
        <v/>
      </c>
    </row>
    <row r="104" customFormat="false" ht="15" hidden="false" customHeight="false" outlineLevel="0" collapsed="false">
      <c r="A104" s="19"/>
      <c r="B104" s="19"/>
      <c r="C104" s="19"/>
      <c r="D104" s="19"/>
      <c r="E104" s="26" t="str">
        <f aca="false">IF(A104="","",COUNTIF(Numéros!$A$2:$A$3001,A104))</f>
        <v/>
      </c>
      <c r="F104" s="26" t="str">
        <f aca="false">IF(A104="","",COUNTIF(Apparitions!$A$2:$A$5001,A104))</f>
        <v/>
      </c>
      <c r="G104" s="26" t="str">
        <f aca="false">IF(A104="","",COUNTIFS(Apparitions!$A$2:$A$5001,A104,Apparitions!$E$2:$E$5001,"○"))</f>
        <v/>
      </c>
    </row>
    <row r="105" customFormat="false" ht="15" hidden="false" customHeight="false" outlineLevel="0" collapsed="false">
      <c r="A105" s="19"/>
      <c r="B105" s="19"/>
      <c r="C105" s="19"/>
      <c r="D105" s="19"/>
      <c r="E105" s="26" t="str">
        <f aca="false">IF(A105="","",COUNTIF(Numéros!$A$2:$A$3001,A105))</f>
        <v/>
      </c>
      <c r="F105" s="26" t="str">
        <f aca="false">IF(A105="","",COUNTIF(Apparitions!$A$2:$A$5001,A105))</f>
        <v/>
      </c>
      <c r="G105" s="26" t="str">
        <f aca="false">IF(A105="","",COUNTIFS(Apparitions!$A$2:$A$5001,A105,Apparitions!$E$2:$E$5001,"○"))</f>
        <v/>
      </c>
    </row>
    <row r="106" customFormat="false" ht="15" hidden="false" customHeight="false" outlineLevel="0" collapsed="false">
      <c r="A106" s="19"/>
      <c r="B106" s="19"/>
      <c r="C106" s="19"/>
      <c r="D106" s="19"/>
      <c r="E106" s="26" t="str">
        <f aca="false">IF(A106="","",COUNTIF(Numéros!$A$2:$A$3001,A106))</f>
        <v/>
      </c>
      <c r="F106" s="26" t="str">
        <f aca="false">IF(A106="","",COUNTIF(Apparitions!$A$2:$A$5001,A106))</f>
        <v/>
      </c>
      <c r="G106" s="26" t="str">
        <f aca="false">IF(A106="","",COUNTIFS(Apparitions!$A$2:$A$5001,A106,Apparitions!$E$2:$E$5001,"○"))</f>
        <v/>
      </c>
    </row>
    <row r="107" customFormat="false" ht="15" hidden="false" customHeight="false" outlineLevel="0" collapsed="false">
      <c r="A107" s="19"/>
      <c r="B107" s="19"/>
      <c r="C107" s="19"/>
      <c r="D107" s="19"/>
      <c r="E107" s="26" t="str">
        <f aca="false">IF(A107="","",COUNTIF(Numéros!$A$2:$A$3001,A107))</f>
        <v/>
      </c>
      <c r="F107" s="26" t="str">
        <f aca="false">IF(A107="","",COUNTIF(Apparitions!$A$2:$A$5001,A107))</f>
        <v/>
      </c>
      <c r="G107" s="26" t="str">
        <f aca="false">IF(A107="","",COUNTIFS(Apparitions!$A$2:$A$5001,A107,Apparitions!$E$2:$E$5001,"○"))</f>
        <v/>
      </c>
    </row>
    <row r="108" customFormat="false" ht="15" hidden="false" customHeight="false" outlineLevel="0" collapsed="false">
      <c r="A108" s="19"/>
      <c r="B108" s="19"/>
      <c r="C108" s="19"/>
      <c r="D108" s="19"/>
      <c r="E108" s="26" t="str">
        <f aca="false">IF(A108="","",COUNTIF(Numéros!$A$2:$A$3001,A108))</f>
        <v/>
      </c>
      <c r="F108" s="26" t="str">
        <f aca="false">IF(A108="","",COUNTIF(Apparitions!$A$2:$A$5001,A108))</f>
        <v/>
      </c>
      <c r="G108" s="26" t="str">
        <f aca="false">IF(A108="","",COUNTIFS(Apparitions!$A$2:$A$5001,A108,Apparitions!$E$2:$E$5001,"○"))</f>
        <v/>
      </c>
    </row>
    <row r="109" customFormat="false" ht="15" hidden="false" customHeight="false" outlineLevel="0" collapsed="false">
      <c r="A109" s="19"/>
      <c r="B109" s="19"/>
      <c r="C109" s="19"/>
      <c r="D109" s="19"/>
      <c r="E109" s="26" t="str">
        <f aca="false">IF(A109="","",COUNTIF(Numéros!$A$2:$A$3001,A109))</f>
        <v/>
      </c>
      <c r="F109" s="26" t="str">
        <f aca="false">IF(A109="","",COUNTIF(Apparitions!$A$2:$A$5001,A109))</f>
        <v/>
      </c>
      <c r="G109" s="26" t="str">
        <f aca="false">IF(A109="","",COUNTIFS(Apparitions!$A$2:$A$5001,A109,Apparitions!$E$2:$E$5001,"○"))</f>
        <v/>
      </c>
    </row>
    <row r="110" customFormat="false" ht="15" hidden="false" customHeight="false" outlineLevel="0" collapsed="false">
      <c r="A110" s="19"/>
      <c r="B110" s="19"/>
      <c r="C110" s="19"/>
      <c r="D110" s="19"/>
      <c r="E110" s="26" t="str">
        <f aca="false">IF(A110="","",COUNTIF(Numéros!$A$2:$A$3001,A110))</f>
        <v/>
      </c>
      <c r="F110" s="26" t="str">
        <f aca="false">IF(A110="","",COUNTIF(Apparitions!$A$2:$A$5001,A110))</f>
        <v/>
      </c>
      <c r="G110" s="26" t="str">
        <f aca="false">IF(A110="","",COUNTIFS(Apparitions!$A$2:$A$5001,A110,Apparitions!$E$2:$E$5001,"○"))</f>
        <v/>
      </c>
    </row>
    <row r="111" customFormat="false" ht="15" hidden="false" customHeight="false" outlineLevel="0" collapsed="false">
      <c r="A111" s="19"/>
      <c r="B111" s="19"/>
      <c r="C111" s="19"/>
      <c r="D111" s="19"/>
      <c r="E111" s="26" t="str">
        <f aca="false">IF(A111="","",COUNTIF(Numéros!$A$2:$A$3001,A111))</f>
        <v/>
      </c>
      <c r="F111" s="26" t="str">
        <f aca="false">IF(A111="","",COUNTIF(Apparitions!$A$2:$A$5001,A111))</f>
        <v/>
      </c>
      <c r="G111" s="26" t="str">
        <f aca="false">IF(A111="","",COUNTIFS(Apparitions!$A$2:$A$5001,A111,Apparitions!$E$2:$E$5001,"○"))</f>
        <v/>
      </c>
    </row>
    <row r="112" customFormat="false" ht="15" hidden="false" customHeight="false" outlineLevel="0" collapsed="false">
      <c r="A112" s="19"/>
      <c r="B112" s="19"/>
      <c r="C112" s="19"/>
      <c r="D112" s="19"/>
      <c r="E112" s="26" t="str">
        <f aca="false">IF(A112="","",COUNTIF(Numéros!$A$2:$A$3001,A112))</f>
        <v/>
      </c>
      <c r="F112" s="26" t="str">
        <f aca="false">IF(A112="","",COUNTIF(Apparitions!$A$2:$A$5001,A112))</f>
        <v/>
      </c>
      <c r="G112" s="26" t="str">
        <f aca="false">IF(A112="","",COUNTIFS(Apparitions!$A$2:$A$5001,A112,Apparitions!$E$2:$E$5001,"○"))</f>
        <v/>
      </c>
    </row>
    <row r="113" customFormat="false" ht="15" hidden="false" customHeight="false" outlineLevel="0" collapsed="false">
      <c r="A113" s="19"/>
      <c r="B113" s="19"/>
      <c r="C113" s="19"/>
      <c r="D113" s="19"/>
      <c r="E113" s="26" t="str">
        <f aca="false">IF(A113="","",COUNTIF(Numéros!$A$2:$A$3001,A113))</f>
        <v/>
      </c>
      <c r="F113" s="26" t="str">
        <f aca="false">IF(A113="","",COUNTIF(Apparitions!$A$2:$A$5001,A113))</f>
        <v/>
      </c>
      <c r="G113" s="26" t="str">
        <f aca="false">IF(A113="","",COUNTIFS(Apparitions!$A$2:$A$5001,A113,Apparitions!$E$2:$E$5001,"○"))</f>
        <v/>
      </c>
    </row>
    <row r="114" customFormat="false" ht="15" hidden="false" customHeight="false" outlineLevel="0" collapsed="false">
      <c r="A114" s="19"/>
      <c r="B114" s="19"/>
      <c r="C114" s="19"/>
      <c r="D114" s="19"/>
      <c r="E114" s="26" t="str">
        <f aca="false">IF(A114="","",COUNTIF(Numéros!$A$2:$A$3001,A114))</f>
        <v/>
      </c>
      <c r="F114" s="26" t="str">
        <f aca="false">IF(A114="","",COUNTIF(Apparitions!$A$2:$A$5001,A114))</f>
        <v/>
      </c>
      <c r="G114" s="26" t="str">
        <f aca="false">IF(A114="","",COUNTIFS(Apparitions!$A$2:$A$5001,A114,Apparitions!$E$2:$E$5001,"○"))</f>
        <v/>
      </c>
    </row>
    <row r="115" customFormat="false" ht="15" hidden="false" customHeight="false" outlineLevel="0" collapsed="false">
      <c r="A115" s="19"/>
      <c r="B115" s="19"/>
      <c r="C115" s="19"/>
      <c r="D115" s="19"/>
      <c r="E115" s="26" t="str">
        <f aca="false">IF(A115="","",COUNTIF(Numéros!$A$2:$A$3001,A115))</f>
        <v/>
      </c>
      <c r="F115" s="26" t="str">
        <f aca="false">IF(A115="","",COUNTIF(Apparitions!$A$2:$A$5001,A115))</f>
        <v/>
      </c>
      <c r="G115" s="26" t="str">
        <f aca="false">IF(A115="","",COUNTIFS(Apparitions!$A$2:$A$5001,A115,Apparitions!$E$2:$E$5001,"○"))</f>
        <v/>
      </c>
    </row>
    <row r="116" customFormat="false" ht="15" hidden="false" customHeight="false" outlineLevel="0" collapsed="false">
      <c r="A116" s="19"/>
      <c r="B116" s="19"/>
      <c r="C116" s="19"/>
      <c r="D116" s="19"/>
      <c r="E116" s="26" t="str">
        <f aca="false">IF(A116="","",COUNTIF(Numéros!$A$2:$A$3001,A116))</f>
        <v/>
      </c>
      <c r="F116" s="26" t="str">
        <f aca="false">IF(A116="","",COUNTIF(Apparitions!$A$2:$A$5001,A116))</f>
        <v/>
      </c>
      <c r="G116" s="26" t="str">
        <f aca="false">IF(A116="","",COUNTIFS(Apparitions!$A$2:$A$5001,A116,Apparitions!$E$2:$E$5001,"○"))</f>
        <v/>
      </c>
    </row>
    <row r="117" customFormat="false" ht="15" hidden="false" customHeight="false" outlineLevel="0" collapsed="false">
      <c r="A117" s="19"/>
      <c r="B117" s="19"/>
      <c r="C117" s="19"/>
      <c r="D117" s="19"/>
      <c r="E117" s="26" t="str">
        <f aca="false">IF(A117="","",COUNTIF(Numéros!$A$2:$A$3001,A117))</f>
        <v/>
      </c>
      <c r="F117" s="26" t="str">
        <f aca="false">IF(A117="","",COUNTIF(Apparitions!$A$2:$A$5001,A117))</f>
        <v/>
      </c>
      <c r="G117" s="26" t="str">
        <f aca="false">IF(A117="","",COUNTIFS(Apparitions!$A$2:$A$5001,A117,Apparitions!$E$2:$E$5001,"○"))</f>
        <v/>
      </c>
    </row>
    <row r="118" customFormat="false" ht="15" hidden="false" customHeight="false" outlineLevel="0" collapsed="false">
      <c r="A118" s="19"/>
      <c r="B118" s="19"/>
      <c r="C118" s="19"/>
      <c r="D118" s="19"/>
      <c r="E118" s="26" t="str">
        <f aca="false">IF(A118="","",COUNTIF(Numéros!$A$2:$A$3001,A118))</f>
        <v/>
      </c>
      <c r="F118" s="26" t="str">
        <f aca="false">IF(A118="","",COUNTIF(Apparitions!$A$2:$A$5001,A118))</f>
        <v/>
      </c>
      <c r="G118" s="26" t="str">
        <f aca="false">IF(A118="","",COUNTIFS(Apparitions!$A$2:$A$5001,A118,Apparitions!$E$2:$E$5001,"○"))</f>
        <v/>
      </c>
    </row>
    <row r="119" customFormat="false" ht="15" hidden="false" customHeight="false" outlineLevel="0" collapsed="false">
      <c r="A119" s="19"/>
      <c r="B119" s="19"/>
      <c r="C119" s="19"/>
      <c r="D119" s="19"/>
      <c r="E119" s="26" t="str">
        <f aca="false">IF(A119="","",COUNTIF(Numéros!$A$2:$A$3001,A119))</f>
        <v/>
      </c>
      <c r="F119" s="26" t="str">
        <f aca="false">IF(A119="","",COUNTIF(Apparitions!$A$2:$A$5001,A119))</f>
        <v/>
      </c>
      <c r="G119" s="26" t="str">
        <f aca="false">IF(A119="","",COUNTIFS(Apparitions!$A$2:$A$5001,A119,Apparitions!$E$2:$E$5001,"○"))</f>
        <v/>
      </c>
    </row>
    <row r="120" customFormat="false" ht="15" hidden="false" customHeight="false" outlineLevel="0" collapsed="false">
      <c r="A120" s="19"/>
      <c r="B120" s="19"/>
      <c r="C120" s="19"/>
      <c r="D120" s="19"/>
      <c r="E120" s="26" t="str">
        <f aca="false">IF(A120="","",COUNTIF(Numéros!$A$2:$A$3001,A120))</f>
        <v/>
      </c>
      <c r="F120" s="26" t="str">
        <f aca="false">IF(A120="","",COUNTIF(Apparitions!$A$2:$A$5001,A120))</f>
        <v/>
      </c>
      <c r="G120" s="26" t="str">
        <f aca="false">IF(A120="","",COUNTIFS(Apparitions!$A$2:$A$5001,A120,Apparitions!$E$2:$E$5001,"○"))</f>
        <v/>
      </c>
    </row>
    <row r="121" customFormat="false" ht="15" hidden="false" customHeight="false" outlineLevel="0" collapsed="false">
      <c r="A121" s="19"/>
      <c r="B121" s="19"/>
      <c r="C121" s="19"/>
      <c r="D121" s="19"/>
      <c r="E121" s="26" t="str">
        <f aca="false">IF(A121="","",COUNTIF(Numéros!$A$2:$A$3001,A121))</f>
        <v/>
      </c>
      <c r="F121" s="26" t="str">
        <f aca="false">IF(A121="","",COUNTIF(Apparitions!$A$2:$A$5001,A121))</f>
        <v/>
      </c>
      <c r="G121" s="26" t="str">
        <f aca="false">IF(A121="","",COUNTIFS(Apparitions!$A$2:$A$5001,A121,Apparitions!$E$2:$E$5001,"○"))</f>
        <v/>
      </c>
    </row>
    <row r="122" customFormat="false" ht="15" hidden="false" customHeight="false" outlineLevel="0" collapsed="false">
      <c r="A122" s="19"/>
      <c r="B122" s="19"/>
      <c r="C122" s="19"/>
      <c r="D122" s="19"/>
      <c r="E122" s="26" t="str">
        <f aca="false">IF(A122="","",COUNTIF(Numéros!$A$2:$A$3001,A122))</f>
        <v/>
      </c>
      <c r="F122" s="26" t="str">
        <f aca="false">IF(A122="","",COUNTIF(Apparitions!$A$2:$A$5001,A122))</f>
        <v/>
      </c>
      <c r="G122" s="26" t="str">
        <f aca="false">IF(A122="","",COUNTIFS(Apparitions!$A$2:$A$5001,A122,Apparitions!$E$2:$E$5001,"○"))</f>
        <v/>
      </c>
    </row>
    <row r="123" customFormat="false" ht="15" hidden="false" customHeight="false" outlineLevel="0" collapsed="false">
      <c r="A123" s="19"/>
      <c r="B123" s="19"/>
      <c r="C123" s="19"/>
      <c r="D123" s="19"/>
      <c r="E123" s="26" t="str">
        <f aca="false">IF(A123="","",COUNTIF(Numéros!$A$2:$A$3001,A123))</f>
        <v/>
      </c>
      <c r="F123" s="26" t="str">
        <f aca="false">IF(A123="","",COUNTIF(Apparitions!$A$2:$A$5001,A123))</f>
        <v/>
      </c>
      <c r="G123" s="26" t="str">
        <f aca="false">IF(A123="","",COUNTIFS(Apparitions!$A$2:$A$5001,A123,Apparitions!$E$2:$E$5001,"○"))</f>
        <v/>
      </c>
    </row>
    <row r="124" customFormat="false" ht="15" hidden="false" customHeight="false" outlineLevel="0" collapsed="false">
      <c r="A124" s="19"/>
      <c r="B124" s="19"/>
      <c r="C124" s="19"/>
      <c r="D124" s="19"/>
      <c r="E124" s="26" t="str">
        <f aca="false">IF(A124="","",COUNTIF(Numéros!$A$2:$A$3001,A124))</f>
        <v/>
      </c>
      <c r="F124" s="26" t="str">
        <f aca="false">IF(A124="","",COUNTIF(Apparitions!$A$2:$A$5001,A124))</f>
        <v/>
      </c>
      <c r="G124" s="26" t="str">
        <f aca="false">IF(A124="","",COUNTIFS(Apparitions!$A$2:$A$5001,A124,Apparitions!$E$2:$E$5001,"○"))</f>
        <v/>
      </c>
    </row>
    <row r="125" customFormat="false" ht="15" hidden="false" customHeight="false" outlineLevel="0" collapsed="false">
      <c r="A125" s="19"/>
      <c r="B125" s="19"/>
      <c r="C125" s="19"/>
      <c r="D125" s="19"/>
      <c r="E125" s="26" t="str">
        <f aca="false">IF(A125="","",COUNTIF(Numéros!$A$2:$A$3001,A125))</f>
        <v/>
      </c>
      <c r="F125" s="26" t="str">
        <f aca="false">IF(A125="","",COUNTIF(Apparitions!$A$2:$A$5001,A125))</f>
        <v/>
      </c>
      <c r="G125" s="26" t="str">
        <f aca="false">IF(A125="","",COUNTIFS(Apparitions!$A$2:$A$5001,A125,Apparitions!$E$2:$E$5001,"○"))</f>
        <v/>
      </c>
    </row>
    <row r="126" customFormat="false" ht="15" hidden="false" customHeight="false" outlineLevel="0" collapsed="false">
      <c r="A126" s="19"/>
      <c r="B126" s="19"/>
      <c r="C126" s="19"/>
      <c r="D126" s="19"/>
      <c r="E126" s="26" t="str">
        <f aca="false">IF(A126="","",COUNTIF(Numéros!$A$2:$A$3001,A126))</f>
        <v/>
      </c>
      <c r="F126" s="26" t="str">
        <f aca="false">IF(A126="","",COUNTIF(Apparitions!$A$2:$A$5001,A126))</f>
        <v/>
      </c>
      <c r="G126" s="26" t="str">
        <f aca="false">IF(A126="","",COUNTIFS(Apparitions!$A$2:$A$5001,A126,Apparitions!$E$2:$E$5001,"○"))</f>
        <v/>
      </c>
    </row>
    <row r="127" customFormat="false" ht="15" hidden="false" customHeight="false" outlineLevel="0" collapsed="false">
      <c r="A127" s="19"/>
      <c r="B127" s="19"/>
      <c r="C127" s="19"/>
      <c r="D127" s="19"/>
      <c r="E127" s="26" t="str">
        <f aca="false">IF(A127="","",COUNTIF(Numéros!$A$2:$A$3001,A127))</f>
        <v/>
      </c>
      <c r="F127" s="26" t="str">
        <f aca="false">IF(A127="","",COUNTIF(Apparitions!$A$2:$A$5001,A127))</f>
        <v/>
      </c>
      <c r="G127" s="26" t="str">
        <f aca="false">IF(A127="","",COUNTIFS(Apparitions!$A$2:$A$5001,A127,Apparitions!$E$2:$E$5001,"○"))</f>
        <v/>
      </c>
    </row>
    <row r="128" customFormat="false" ht="15" hidden="false" customHeight="false" outlineLevel="0" collapsed="false">
      <c r="A128" s="19"/>
      <c r="B128" s="19"/>
      <c r="C128" s="19"/>
      <c r="D128" s="19"/>
      <c r="E128" s="26" t="str">
        <f aca="false">IF(A128="","",COUNTIF(Numéros!$A$2:$A$3001,A128))</f>
        <v/>
      </c>
      <c r="F128" s="26" t="str">
        <f aca="false">IF(A128="","",COUNTIF(Apparitions!$A$2:$A$5001,A128))</f>
        <v/>
      </c>
      <c r="G128" s="26" t="str">
        <f aca="false">IF(A128="","",COUNTIFS(Apparitions!$A$2:$A$5001,A128,Apparitions!$E$2:$E$5001,"○"))</f>
        <v/>
      </c>
    </row>
    <row r="129" customFormat="false" ht="15" hidden="false" customHeight="false" outlineLevel="0" collapsed="false">
      <c r="A129" s="19"/>
      <c r="B129" s="19"/>
      <c r="C129" s="19"/>
      <c r="D129" s="19"/>
      <c r="E129" s="26" t="str">
        <f aca="false">IF(A129="","",COUNTIF(Numéros!$A$2:$A$3001,A129))</f>
        <v/>
      </c>
      <c r="F129" s="26" t="str">
        <f aca="false">IF(A129="","",COUNTIF(Apparitions!$A$2:$A$5001,A129))</f>
        <v/>
      </c>
      <c r="G129" s="26" t="str">
        <f aca="false">IF(A129="","",COUNTIFS(Apparitions!$A$2:$A$5001,A129,Apparitions!$E$2:$E$5001,"○"))</f>
        <v/>
      </c>
    </row>
    <row r="130" customFormat="false" ht="15" hidden="false" customHeight="false" outlineLevel="0" collapsed="false">
      <c r="A130" s="19"/>
      <c r="B130" s="19"/>
      <c r="C130" s="19"/>
      <c r="D130" s="19"/>
      <c r="E130" s="26" t="str">
        <f aca="false">IF(A130="","",COUNTIF(Numéros!$A$2:$A$3001,A130))</f>
        <v/>
      </c>
      <c r="F130" s="26" t="str">
        <f aca="false">IF(A130="","",COUNTIF(Apparitions!$A$2:$A$5001,A130))</f>
        <v/>
      </c>
      <c r="G130" s="26" t="str">
        <f aca="false">IF(A130="","",COUNTIFS(Apparitions!$A$2:$A$5001,A130,Apparitions!$E$2:$E$5001,"○"))</f>
        <v/>
      </c>
    </row>
    <row r="131" customFormat="false" ht="15" hidden="false" customHeight="false" outlineLevel="0" collapsed="false">
      <c r="A131" s="19"/>
      <c r="B131" s="19"/>
      <c r="C131" s="19"/>
      <c r="D131" s="19"/>
      <c r="E131" s="26" t="str">
        <f aca="false">IF(A131="","",COUNTIF(Numéros!$A$2:$A$3001,A131))</f>
        <v/>
      </c>
      <c r="F131" s="26" t="str">
        <f aca="false">IF(A131="","",COUNTIF(Apparitions!$A$2:$A$5001,A131))</f>
        <v/>
      </c>
      <c r="G131" s="26" t="str">
        <f aca="false">IF(A131="","",COUNTIFS(Apparitions!$A$2:$A$5001,A131,Apparitions!$E$2:$E$5001,"○"))</f>
        <v/>
      </c>
    </row>
    <row r="132" customFormat="false" ht="15" hidden="false" customHeight="false" outlineLevel="0" collapsed="false">
      <c r="A132" s="19"/>
      <c r="B132" s="19"/>
      <c r="C132" s="19"/>
      <c r="D132" s="19"/>
      <c r="E132" s="26" t="str">
        <f aca="false">IF(A132="","",COUNTIF(Numéros!$A$2:$A$3001,A132))</f>
        <v/>
      </c>
      <c r="F132" s="26" t="str">
        <f aca="false">IF(A132="","",COUNTIF(Apparitions!$A$2:$A$5001,A132))</f>
        <v/>
      </c>
      <c r="G132" s="26" t="str">
        <f aca="false">IF(A132="","",COUNTIFS(Apparitions!$A$2:$A$5001,A132,Apparitions!$E$2:$E$5001,"○"))</f>
        <v/>
      </c>
    </row>
    <row r="133" customFormat="false" ht="15" hidden="false" customHeight="false" outlineLevel="0" collapsed="false">
      <c r="A133" s="19"/>
      <c r="B133" s="19"/>
      <c r="C133" s="19"/>
      <c r="D133" s="19"/>
      <c r="E133" s="26" t="str">
        <f aca="false">IF(A133="","",COUNTIF(Numéros!$A$2:$A$3001,A133))</f>
        <v/>
      </c>
      <c r="F133" s="26" t="str">
        <f aca="false">IF(A133="","",COUNTIF(Apparitions!$A$2:$A$5001,A133))</f>
        <v/>
      </c>
      <c r="G133" s="26" t="str">
        <f aca="false">IF(A133="","",COUNTIFS(Apparitions!$A$2:$A$5001,A133,Apparitions!$E$2:$E$5001,"○"))</f>
        <v/>
      </c>
    </row>
    <row r="134" customFormat="false" ht="15" hidden="false" customHeight="false" outlineLevel="0" collapsed="false">
      <c r="A134" s="19"/>
      <c r="B134" s="19"/>
      <c r="C134" s="19"/>
      <c r="D134" s="19"/>
      <c r="E134" s="26" t="str">
        <f aca="false">IF(A134="","",COUNTIF(Numéros!$A$2:$A$3001,A134))</f>
        <v/>
      </c>
      <c r="F134" s="26" t="str">
        <f aca="false">IF(A134="","",COUNTIF(Apparitions!$A$2:$A$5001,A134))</f>
        <v/>
      </c>
      <c r="G134" s="26" t="str">
        <f aca="false">IF(A134="","",COUNTIFS(Apparitions!$A$2:$A$5001,A134,Apparitions!$E$2:$E$5001,"○"))</f>
        <v/>
      </c>
    </row>
    <row r="135" customFormat="false" ht="15" hidden="false" customHeight="false" outlineLevel="0" collapsed="false">
      <c r="A135" s="19"/>
      <c r="B135" s="19"/>
      <c r="C135" s="19"/>
      <c r="D135" s="19"/>
      <c r="E135" s="26" t="str">
        <f aca="false">IF(A135="","",COUNTIF(Numéros!$A$2:$A$3001,A135))</f>
        <v/>
      </c>
      <c r="F135" s="26" t="str">
        <f aca="false">IF(A135="","",COUNTIF(Apparitions!$A$2:$A$5001,A135))</f>
        <v/>
      </c>
      <c r="G135" s="26" t="str">
        <f aca="false">IF(A135="","",COUNTIFS(Apparitions!$A$2:$A$5001,A135,Apparitions!$E$2:$E$5001,"○"))</f>
        <v/>
      </c>
    </row>
    <row r="136" customFormat="false" ht="15" hidden="false" customHeight="false" outlineLevel="0" collapsed="false">
      <c r="A136" s="19"/>
      <c r="B136" s="19"/>
      <c r="C136" s="19"/>
      <c r="D136" s="19"/>
      <c r="E136" s="26" t="str">
        <f aca="false">IF(A136="","",COUNTIF(Numéros!$A$2:$A$3001,A136))</f>
        <v/>
      </c>
      <c r="F136" s="26" t="str">
        <f aca="false">IF(A136="","",COUNTIF(Apparitions!$A$2:$A$5001,A136))</f>
        <v/>
      </c>
      <c r="G136" s="26" t="str">
        <f aca="false">IF(A136="","",COUNTIFS(Apparitions!$A$2:$A$5001,A136,Apparitions!$E$2:$E$5001,"○"))</f>
        <v/>
      </c>
    </row>
    <row r="137" customFormat="false" ht="15" hidden="false" customHeight="false" outlineLevel="0" collapsed="false">
      <c r="A137" s="19"/>
      <c r="B137" s="19"/>
      <c r="C137" s="19"/>
      <c r="D137" s="19"/>
      <c r="E137" s="26" t="str">
        <f aca="false">IF(A137="","",COUNTIF(Numéros!$A$2:$A$3001,A137))</f>
        <v/>
      </c>
      <c r="F137" s="26" t="str">
        <f aca="false">IF(A137="","",COUNTIF(Apparitions!$A$2:$A$5001,A137))</f>
        <v/>
      </c>
      <c r="G137" s="26" t="str">
        <f aca="false">IF(A137="","",COUNTIFS(Apparitions!$A$2:$A$5001,A137,Apparitions!$E$2:$E$5001,"○"))</f>
        <v/>
      </c>
    </row>
    <row r="138" customFormat="false" ht="15" hidden="false" customHeight="false" outlineLevel="0" collapsed="false">
      <c r="A138" s="19"/>
      <c r="B138" s="19"/>
      <c r="C138" s="19"/>
      <c r="D138" s="19"/>
      <c r="E138" s="26" t="str">
        <f aca="false">IF(A138="","",COUNTIF(Numéros!$A$2:$A$3001,A138))</f>
        <v/>
      </c>
      <c r="F138" s="26" t="str">
        <f aca="false">IF(A138="","",COUNTIF(Apparitions!$A$2:$A$5001,A138))</f>
        <v/>
      </c>
      <c r="G138" s="26" t="str">
        <f aca="false">IF(A138="","",COUNTIFS(Apparitions!$A$2:$A$5001,A138,Apparitions!$E$2:$E$5001,"○"))</f>
        <v/>
      </c>
    </row>
    <row r="139" customFormat="false" ht="15" hidden="false" customHeight="false" outlineLevel="0" collapsed="false">
      <c r="A139" s="19"/>
      <c r="B139" s="19"/>
      <c r="C139" s="19"/>
      <c r="D139" s="19"/>
      <c r="E139" s="26" t="str">
        <f aca="false">IF(A139="","",COUNTIF(Numéros!$A$2:$A$3001,A139))</f>
        <v/>
      </c>
      <c r="F139" s="26" t="str">
        <f aca="false">IF(A139="","",COUNTIF(Apparitions!$A$2:$A$5001,A139))</f>
        <v/>
      </c>
      <c r="G139" s="26" t="str">
        <f aca="false">IF(A139="","",COUNTIFS(Apparitions!$A$2:$A$5001,A139,Apparitions!$E$2:$E$5001,"○"))</f>
        <v/>
      </c>
    </row>
    <row r="140" customFormat="false" ht="15" hidden="false" customHeight="false" outlineLevel="0" collapsed="false">
      <c r="A140" s="19"/>
      <c r="B140" s="19"/>
      <c r="C140" s="19"/>
      <c r="D140" s="19"/>
      <c r="E140" s="26" t="str">
        <f aca="false">IF(A140="","",COUNTIF(Numéros!$A$2:$A$3001,A140))</f>
        <v/>
      </c>
      <c r="F140" s="26" t="str">
        <f aca="false">IF(A140="","",COUNTIF(Apparitions!$A$2:$A$5001,A140))</f>
        <v/>
      </c>
      <c r="G140" s="26" t="str">
        <f aca="false">IF(A140="","",COUNTIFS(Apparitions!$A$2:$A$5001,A140,Apparitions!$E$2:$E$5001,"○"))</f>
        <v/>
      </c>
    </row>
    <row r="141" customFormat="false" ht="15" hidden="false" customHeight="false" outlineLevel="0" collapsed="false">
      <c r="A141" s="19"/>
      <c r="B141" s="19"/>
      <c r="C141" s="19"/>
      <c r="D141" s="19"/>
      <c r="E141" s="26" t="str">
        <f aca="false">IF(A141="","",COUNTIF(Numéros!$A$2:$A$3001,A141))</f>
        <v/>
      </c>
      <c r="F141" s="26" t="str">
        <f aca="false">IF(A141="","",COUNTIF(Apparitions!$A$2:$A$5001,A141))</f>
        <v/>
      </c>
      <c r="G141" s="26" t="str">
        <f aca="false">IF(A141="","",COUNTIFS(Apparitions!$A$2:$A$5001,A141,Apparitions!$E$2:$E$5001,"○"))</f>
        <v/>
      </c>
    </row>
    <row r="142" customFormat="false" ht="15" hidden="false" customHeight="false" outlineLevel="0" collapsed="false">
      <c r="A142" s="19"/>
      <c r="B142" s="19"/>
      <c r="C142" s="19"/>
      <c r="D142" s="19"/>
      <c r="E142" s="26" t="str">
        <f aca="false">IF(A142="","",COUNTIF(Numéros!$A$2:$A$3001,A142))</f>
        <v/>
      </c>
      <c r="F142" s="26" t="str">
        <f aca="false">IF(A142="","",COUNTIF(Apparitions!$A$2:$A$5001,A142))</f>
        <v/>
      </c>
      <c r="G142" s="26" t="str">
        <f aca="false">IF(A142="","",COUNTIFS(Apparitions!$A$2:$A$5001,A142,Apparitions!$E$2:$E$5001,"○"))</f>
        <v/>
      </c>
    </row>
    <row r="143" customFormat="false" ht="15" hidden="false" customHeight="false" outlineLevel="0" collapsed="false">
      <c r="A143" s="19"/>
      <c r="B143" s="19"/>
      <c r="C143" s="19"/>
      <c r="D143" s="19"/>
      <c r="E143" s="26" t="str">
        <f aca="false">IF(A143="","",COUNTIF(Numéros!$A$2:$A$3001,A143))</f>
        <v/>
      </c>
      <c r="F143" s="26" t="str">
        <f aca="false">IF(A143="","",COUNTIF(Apparitions!$A$2:$A$5001,A143))</f>
        <v/>
      </c>
      <c r="G143" s="26" t="str">
        <f aca="false">IF(A143="","",COUNTIFS(Apparitions!$A$2:$A$5001,A143,Apparitions!$E$2:$E$5001,"○"))</f>
        <v/>
      </c>
    </row>
    <row r="144" customFormat="false" ht="15" hidden="false" customHeight="false" outlineLevel="0" collapsed="false">
      <c r="A144" s="19"/>
      <c r="B144" s="19"/>
      <c r="C144" s="19"/>
      <c r="D144" s="19"/>
      <c r="E144" s="26" t="str">
        <f aca="false">IF(A144="","",COUNTIF(Numéros!$A$2:$A$3001,A144))</f>
        <v/>
      </c>
      <c r="F144" s="26" t="str">
        <f aca="false">IF(A144="","",COUNTIF(Apparitions!$A$2:$A$5001,A144))</f>
        <v/>
      </c>
      <c r="G144" s="26" t="str">
        <f aca="false">IF(A144="","",COUNTIFS(Apparitions!$A$2:$A$5001,A144,Apparitions!$E$2:$E$5001,"○"))</f>
        <v/>
      </c>
    </row>
    <row r="145" customFormat="false" ht="15" hidden="false" customHeight="false" outlineLevel="0" collapsed="false">
      <c r="A145" s="19"/>
      <c r="B145" s="19"/>
      <c r="C145" s="19"/>
      <c r="D145" s="19"/>
      <c r="E145" s="26" t="str">
        <f aca="false">IF(A145="","",COUNTIF(Numéros!$A$2:$A$3001,A145))</f>
        <v/>
      </c>
      <c r="F145" s="26" t="str">
        <f aca="false">IF(A145="","",COUNTIF(Apparitions!$A$2:$A$5001,A145))</f>
        <v/>
      </c>
      <c r="G145" s="26" t="str">
        <f aca="false">IF(A145="","",COUNTIFS(Apparitions!$A$2:$A$5001,A145,Apparitions!$E$2:$E$5001,"○"))</f>
        <v/>
      </c>
    </row>
    <row r="146" customFormat="false" ht="15" hidden="false" customHeight="false" outlineLevel="0" collapsed="false">
      <c r="A146" s="19"/>
      <c r="B146" s="19"/>
      <c r="C146" s="19"/>
      <c r="D146" s="19"/>
      <c r="E146" s="26" t="str">
        <f aca="false">IF(A146="","",COUNTIF(Numéros!$A$2:$A$3001,A146))</f>
        <v/>
      </c>
      <c r="F146" s="26" t="str">
        <f aca="false">IF(A146="","",COUNTIF(Apparitions!$A$2:$A$5001,A146))</f>
        <v/>
      </c>
      <c r="G146" s="26" t="str">
        <f aca="false">IF(A146="","",COUNTIFS(Apparitions!$A$2:$A$5001,A146,Apparitions!$E$2:$E$5001,"○"))</f>
        <v/>
      </c>
    </row>
    <row r="147" customFormat="false" ht="15" hidden="false" customHeight="false" outlineLevel="0" collapsed="false">
      <c r="A147" s="19"/>
      <c r="B147" s="19"/>
      <c r="C147" s="19"/>
      <c r="D147" s="19"/>
      <c r="E147" s="26" t="str">
        <f aca="false">IF(A147="","",COUNTIF(Numéros!$A$2:$A$3001,A147))</f>
        <v/>
      </c>
      <c r="F147" s="26" t="str">
        <f aca="false">IF(A147="","",COUNTIF(Apparitions!$A$2:$A$5001,A147))</f>
        <v/>
      </c>
      <c r="G147" s="26" t="str">
        <f aca="false">IF(A147="","",COUNTIFS(Apparitions!$A$2:$A$5001,A147,Apparitions!$E$2:$E$5001,"○"))</f>
        <v/>
      </c>
    </row>
    <row r="148" customFormat="false" ht="15" hidden="false" customHeight="false" outlineLevel="0" collapsed="false">
      <c r="A148" s="19"/>
      <c r="B148" s="19"/>
      <c r="C148" s="19"/>
      <c r="D148" s="19"/>
      <c r="E148" s="26" t="str">
        <f aca="false">IF(A148="","",COUNTIF(Numéros!$A$2:$A$3001,A148))</f>
        <v/>
      </c>
      <c r="F148" s="26" t="str">
        <f aca="false">IF(A148="","",COUNTIF(Apparitions!$A$2:$A$5001,A148))</f>
        <v/>
      </c>
      <c r="G148" s="26" t="str">
        <f aca="false">IF(A148="","",COUNTIFS(Apparitions!$A$2:$A$5001,A148,Apparitions!$E$2:$E$5001,"○"))</f>
        <v/>
      </c>
    </row>
    <row r="149" customFormat="false" ht="15" hidden="false" customHeight="false" outlineLevel="0" collapsed="false">
      <c r="A149" s="19"/>
      <c r="B149" s="19"/>
      <c r="C149" s="19"/>
      <c r="D149" s="19"/>
      <c r="E149" s="26" t="str">
        <f aca="false">IF(A149="","",COUNTIF(Numéros!$A$2:$A$3001,A149))</f>
        <v/>
      </c>
      <c r="F149" s="26" t="str">
        <f aca="false">IF(A149="","",COUNTIF(Apparitions!$A$2:$A$5001,A149))</f>
        <v/>
      </c>
      <c r="G149" s="26" t="str">
        <f aca="false">IF(A149="","",COUNTIFS(Apparitions!$A$2:$A$5001,A149,Apparitions!$E$2:$E$5001,"○"))</f>
        <v/>
      </c>
    </row>
    <row r="150" customFormat="false" ht="15" hidden="false" customHeight="false" outlineLevel="0" collapsed="false">
      <c r="A150" s="19"/>
      <c r="B150" s="19"/>
      <c r="C150" s="19"/>
      <c r="D150" s="19"/>
      <c r="E150" s="26" t="str">
        <f aca="false">IF(A150="","",COUNTIF(Numéros!$A$2:$A$3001,A150))</f>
        <v/>
      </c>
      <c r="F150" s="26" t="str">
        <f aca="false">IF(A150="","",COUNTIF(Apparitions!$A$2:$A$5001,A150))</f>
        <v/>
      </c>
      <c r="G150" s="26" t="str">
        <f aca="false">IF(A150="","",COUNTIFS(Apparitions!$A$2:$A$5001,A150,Apparitions!$E$2:$E$5001,"○"))</f>
        <v/>
      </c>
    </row>
    <row r="151" customFormat="false" ht="15" hidden="false" customHeight="false" outlineLevel="0" collapsed="false">
      <c r="A151" s="19"/>
      <c r="B151" s="19"/>
      <c r="C151" s="19"/>
      <c r="D151" s="19"/>
      <c r="E151" s="26" t="str">
        <f aca="false">IF(A151="","",COUNTIF(Numéros!$A$2:$A$3001,A151))</f>
        <v/>
      </c>
      <c r="F151" s="26" t="str">
        <f aca="false">IF(A151="","",COUNTIF(Apparitions!$A$2:$A$5001,A151))</f>
        <v/>
      </c>
      <c r="G151" s="26" t="str">
        <f aca="false">IF(A151="","",COUNTIFS(Apparitions!$A$2:$A$5001,A151,Apparitions!$E$2:$E$5001,"○"))</f>
        <v/>
      </c>
    </row>
    <row r="152" customFormat="false" ht="15" hidden="false" customHeight="false" outlineLevel="0" collapsed="false">
      <c r="A152" s="19"/>
      <c r="B152" s="19"/>
      <c r="C152" s="19"/>
      <c r="D152" s="19"/>
      <c r="E152" s="26" t="str">
        <f aca="false">IF(A152="","",COUNTIF(Numéros!$A$2:$A$3001,A152))</f>
        <v/>
      </c>
      <c r="F152" s="26" t="str">
        <f aca="false">IF(A152="","",COUNTIF(Apparitions!$A$2:$A$5001,A152))</f>
        <v/>
      </c>
      <c r="G152" s="26" t="str">
        <f aca="false">IF(A152="","",COUNTIFS(Apparitions!$A$2:$A$5001,A152,Apparitions!$E$2:$E$5001,"○"))</f>
        <v/>
      </c>
    </row>
    <row r="153" customFormat="false" ht="15" hidden="false" customHeight="false" outlineLevel="0" collapsed="false">
      <c r="A153" s="19"/>
      <c r="B153" s="19"/>
      <c r="C153" s="19"/>
      <c r="D153" s="19"/>
      <c r="E153" s="26" t="str">
        <f aca="false">IF(A153="","",COUNTIF(Numéros!$A$2:$A$3001,A153))</f>
        <v/>
      </c>
      <c r="F153" s="26" t="str">
        <f aca="false">IF(A153="","",COUNTIF(Apparitions!$A$2:$A$5001,A153))</f>
        <v/>
      </c>
      <c r="G153" s="26" t="str">
        <f aca="false">IF(A153="","",COUNTIFS(Apparitions!$A$2:$A$5001,A153,Apparitions!$E$2:$E$5001,"○"))</f>
        <v/>
      </c>
    </row>
    <row r="154" customFormat="false" ht="15" hidden="false" customHeight="false" outlineLevel="0" collapsed="false">
      <c r="A154" s="19"/>
      <c r="B154" s="19"/>
      <c r="C154" s="19"/>
      <c r="D154" s="19"/>
      <c r="E154" s="26" t="str">
        <f aca="false">IF(A154="","",COUNTIF(Numéros!$A$2:$A$3001,A154))</f>
        <v/>
      </c>
      <c r="F154" s="26" t="str">
        <f aca="false">IF(A154="","",COUNTIF(Apparitions!$A$2:$A$5001,A154))</f>
        <v/>
      </c>
      <c r="G154" s="26" t="str">
        <f aca="false">IF(A154="","",COUNTIFS(Apparitions!$A$2:$A$5001,A154,Apparitions!$E$2:$E$5001,"○"))</f>
        <v/>
      </c>
    </row>
    <row r="155" customFormat="false" ht="15" hidden="false" customHeight="false" outlineLevel="0" collapsed="false">
      <c r="A155" s="19"/>
      <c r="B155" s="19"/>
      <c r="C155" s="19"/>
      <c r="D155" s="19"/>
      <c r="E155" s="26" t="str">
        <f aca="false">IF(A155="","",COUNTIF(Numéros!$A$2:$A$3001,A155))</f>
        <v/>
      </c>
      <c r="F155" s="26" t="str">
        <f aca="false">IF(A155="","",COUNTIF(Apparitions!$A$2:$A$5001,A155))</f>
        <v/>
      </c>
      <c r="G155" s="26" t="str">
        <f aca="false">IF(A155="","",COUNTIFS(Apparitions!$A$2:$A$5001,A155,Apparitions!$E$2:$E$5001,"○"))</f>
        <v/>
      </c>
    </row>
    <row r="156" customFormat="false" ht="15" hidden="false" customHeight="false" outlineLevel="0" collapsed="false">
      <c r="A156" s="19"/>
      <c r="B156" s="19"/>
      <c r="C156" s="19"/>
      <c r="D156" s="19"/>
      <c r="E156" s="26" t="str">
        <f aca="false">IF(A156="","",COUNTIF(Numéros!$A$2:$A$3001,A156))</f>
        <v/>
      </c>
      <c r="F156" s="26" t="str">
        <f aca="false">IF(A156="","",COUNTIF(Apparitions!$A$2:$A$5001,A156))</f>
        <v/>
      </c>
      <c r="G156" s="26" t="str">
        <f aca="false">IF(A156="","",COUNTIFS(Apparitions!$A$2:$A$5001,A156,Apparitions!$E$2:$E$5001,"○"))</f>
        <v/>
      </c>
    </row>
    <row r="157" customFormat="false" ht="15" hidden="false" customHeight="false" outlineLevel="0" collapsed="false">
      <c r="A157" s="19"/>
      <c r="B157" s="19"/>
      <c r="C157" s="19"/>
      <c r="D157" s="19"/>
      <c r="E157" s="26" t="str">
        <f aca="false">IF(A157="","",COUNTIF(Numéros!$A$2:$A$3001,A157))</f>
        <v/>
      </c>
      <c r="F157" s="26" t="str">
        <f aca="false">IF(A157="","",COUNTIF(Apparitions!$A$2:$A$5001,A157))</f>
        <v/>
      </c>
      <c r="G157" s="26" t="str">
        <f aca="false">IF(A157="","",COUNTIFS(Apparitions!$A$2:$A$5001,A157,Apparitions!$E$2:$E$5001,"○"))</f>
        <v/>
      </c>
    </row>
    <row r="158" customFormat="false" ht="15" hidden="false" customHeight="false" outlineLevel="0" collapsed="false">
      <c r="A158" s="19"/>
      <c r="B158" s="19"/>
      <c r="C158" s="19"/>
      <c r="D158" s="19"/>
      <c r="E158" s="26" t="str">
        <f aca="false">IF(A158="","",COUNTIF(Numéros!$A$2:$A$3001,A158))</f>
        <v/>
      </c>
      <c r="F158" s="26" t="str">
        <f aca="false">IF(A158="","",COUNTIF(Apparitions!$A$2:$A$5001,A158))</f>
        <v/>
      </c>
      <c r="G158" s="26" t="str">
        <f aca="false">IF(A158="","",COUNTIFS(Apparitions!$A$2:$A$5001,A158,Apparitions!$E$2:$E$5001,"○"))</f>
        <v/>
      </c>
    </row>
    <row r="159" customFormat="false" ht="15" hidden="false" customHeight="false" outlineLevel="0" collapsed="false">
      <c r="A159" s="19"/>
      <c r="B159" s="19"/>
      <c r="C159" s="19"/>
      <c r="D159" s="19"/>
      <c r="E159" s="26" t="str">
        <f aca="false">IF(A159="","",COUNTIF(Numéros!$A$2:$A$3001,A159))</f>
        <v/>
      </c>
      <c r="F159" s="26" t="str">
        <f aca="false">IF(A159="","",COUNTIF(Apparitions!$A$2:$A$5001,A159))</f>
        <v/>
      </c>
      <c r="G159" s="26" t="str">
        <f aca="false">IF(A159="","",COUNTIFS(Apparitions!$A$2:$A$5001,A159,Apparitions!$E$2:$E$5001,"○"))</f>
        <v/>
      </c>
    </row>
    <row r="160" customFormat="false" ht="15" hidden="false" customHeight="false" outlineLevel="0" collapsed="false">
      <c r="A160" s="19"/>
      <c r="B160" s="19"/>
      <c r="C160" s="19"/>
      <c r="D160" s="19"/>
      <c r="E160" s="26" t="str">
        <f aca="false">IF(A160="","",COUNTIF(Numéros!$A$2:$A$3001,A160))</f>
        <v/>
      </c>
      <c r="F160" s="26" t="str">
        <f aca="false">IF(A160="","",COUNTIF(Apparitions!$A$2:$A$5001,A160))</f>
        <v/>
      </c>
      <c r="G160" s="26" t="str">
        <f aca="false">IF(A160="","",COUNTIFS(Apparitions!$A$2:$A$5001,A160,Apparitions!$E$2:$E$5001,"○"))</f>
        <v/>
      </c>
    </row>
    <row r="161" customFormat="false" ht="15" hidden="false" customHeight="false" outlineLevel="0" collapsed="false">
      <c r="A161" s="19"/>
      <c r="B161" s="19"/>
      <c r="C161" s="19"/>
      <c r="D161" s="19"/>
      <c r="E161" s="26" t="str">
        <f aca="false">IF(A161="","",COUNTIF(Numéros!$A$2:$A$3001,A161))</f>
        <v/>
      </c>
      <c r="F161" s="26" t="str">
        <f aca="false">IF(A161="","",COUNTIF(Apparitions!$A$2:$A$5001,A161))</f>
        <v/>
      </c>
      <c r="G161" s="26" t="str">
        <f aca="false">IF(A161="","",COUNTIFS(Apparitions!$A$2:$A$5001,A161,Apparitions!$E$2:$E$5001,"○"))</f>
        <v/>
      </c>
    </row>
    <row r="162" customFormat="false" ht="15" hidden="false" customHeight="false" outlineLevel="0" collapsed="false">
      <c r="A162" s="19"/>
      <c r="B162" s="19"/>
      <c r="C162" s="19"/>
      <c r="D162" s="19"/>
      <c r="E162" s="26" t="str">
        <f aca="false">IF(A162="","",COUNTIF(Numéros!$A$2:$A$3001,A162))</f>
        <v/>
      </c>
      <c r="F162" s="26" t="str">
        <f aca="false">IF(A162="","",COUNTIF(Apparitions!$A$2:$A$5001,A162))</f>
        <v/>
      </c>
      <c r="G162" s="26" t="str">
        <f aca="false">IF(A162="","",COUNTIFS(Apparitions!$A$2:$A$5001,A162,Apparitions!$E$2:$E$5001,"○"))</f>
        <v/>
      </c>
    </row>
    <row r="163" customFormat="false" ht="15" hidden="false" customHeight="false" outlineLevel="0" collapsed="false">
      <c r="A163" s="19"/>
      <c r="B163" s="19"/>
      <c r="C163" s="19"/>
      <c r="D163" s="19"/>
      <c r="E163" s="26" t="str">
        <f aca="false">IF(A163="","",COUNTIF(Numéros!$A$2:$A$3001,A163))</f>
        <v/>
      </c>
      <c r="F163" s="26" t="str">
        <f aca="false">IF(A163="","",COUNTIF(Apparitions!$A$2:$A$5001,A163))</f>
        <v/>
      </c>
      <c r="G163" s="26" t="str">
        <f aca="false">IF(A163="","",COUNTIFS(Apparitions!$A$2:$A$5001,A163,Apparitions!$E$2:$E$5001,"○"))</f>
        <v/>
      </c>
    </row>
    <row r="164" customFormat="false" ht="15" hidden="false" customHeight="false" outlineLevel="0" collapsed="false">
      <c r="A164" s="19"/>
      <c r="B164" s="19"/>
      <c r="C164" s="19"/>
      <c r="D164" s="19"/>
      <c r="E164" s="26" t="str">
        <f aca="false">IF(A164="","",COUNTIF(Numéros!$A$2:$A$3001,A164))</f>
        <v/>
      </c>
      <c r="F164" s="26" t="str">
        <f aca="false">IF(A164="","",COUNTIF(Apparitions!$A$2:$A$5001,A164))</f>
        <v/>
      </c>
      <c r="G164" s="26" t="str">
        <f aca="false">IF(A164="","",COUNTIFS(Apparitions!$A$2:$A$5001,A164,Apparitions!$E$2:$E$5001,"○"))</f>
        <v/>
      </c>
    </row>
    <row r="165" customFormat="false" ht="15" hidden="false" customHeight="false" outlineLevel="0" collapsed="false">
      <c r="A165" s="19"/>
      <c r="B165" s="19"/>
      <c r="C165" s="19"/>
      <c r="D165" s="19"/>
      <c r="E165" s="26" t="str">
        <f aca="false">IF(A165="","",COUNTIF(Numéros!$A$2:$A$3001,A165))</f>
        <v/>
      </c>
      <c r="F165" s="26" t="str">
        <f aca="false">IF(A165="","",COUNTIF(Apparitions!$A$2:$A$5001,A165))</f>
        <v/>
      </c>
      <c r="G165" s="26" t="str">
        <f aca="false">IF(A165="","",COUNTIFS(Apparitions!$A$2:$A$5001,A165,Apparitions!$E$2:$E$5001,"○"))</f>
        <v/>
      </c>
    </row>
    <row r="166" customFormat="false" ht="15" hidden="false" customHeight="false" outlineLevel="0" collapsed="false">
      <c r="A166" s="19"/>
      <c r="B166" s="19"/>
      <c r="C166" s="19"/>
      <c r="D166" s="19"/>
      <c r="E166" s="26" t="str">
        <f aca="false">IF(A166="","",COUNTIF(Numéros!$A$2:$A$3001,A166))</f>
        <v/>
      </c>
      <c r="F166" s="26" t="str">
        <f aca="false">IF(A166="","",COUNTIF(Apparitions!$A$2:$A$5001,A166))</f>
        <v/>
      </c>
      <c r="G166" s="26" t="str">
        <f aca="false">IF(A166="","",COUNTIFS(Apparitions!$A$2:$A$5001,A166,Apparitions!$E$2:$E$5001,"○"))</f>
        <v/>
      </c>
    </row>
    <row r="167" customFormat="false" ht="15" hidden="false" customHeight="false" outlineLevel="0" collapsed="false">
      <c r="A167" s="19"/>
      <c r="B167" s="19"/>
      <c r="C167" s="19"/>
      <c r="D167" s="19"/>
      <c r="E167" s="26" t="str">
        <f aca="false">IF(A167="","",COUNTIF(Numéros!$A$2:$A$3001,A167))</f>
        <v/>
      </c>
      <c r="F167" s="26" t="str">
        <f aca="false">IF(A167="","",COUNTIF(Apparitions!$A$2:$A$5001,A167))</f>
        <v/>
      </c>
      <c r="G167" s="26" t="str">
        <f aca="false">IF(A167="","",COUNTIFS(Apparitions!$A$2:$A$5001,A167,Apparitions!$E$2:$E$5001,"○"))</f>
        <v/>
      </c>
    </row>
    <row r="168" customFormat="false" ht="15" hidden="false" customHeight="false" outlineLevel="0" collapsed="false">
      <c r="A168" s="19"/>
      <c r="B168" s="19"/>
      <c r="C168" s="19"/>
      <c r="D168" s="19"/>
      <c r="E168" s="26" t="str">
        <f aca="false">IF(A168="","",COUNTIF(Numéros!$A$2:$A$3001,A168))</f>
        <v/>
      </c>
      <c r="F168" s="26" t="str">
        <f aca="false">IF(A168="","",COUNTIF(Apparitions!$A$2:$A$5001,A168))</f>
        <v/>
      </c>
      <c r="G168" s="26" t="str">
        <f aca="false">IF(A168="","",COUNTIFS(Apparitions!$A$2:$A$5001,A168,Apparitions!$E$2:$E$5001,"○"))</f>
        <v/>
      </c>
    </row>
    <row r="169" customFormat="false" ht="15" hidden="false" customHeight="false" outlineLevel="0" collapsed="false">
      <c r="A169" s="19"/>
      <c r="B169" s="19"/>
      <c r="C169" s="19"/>
      <c r="D169" s="19"/>
      <c r="E169" s="26" t="str">
        <f aca="false">IF(A169="","",COUNTIF(Numéros!$A$2:$A$3001,A169))</f>
        <v/>
      </c>
      <c r="F169" s="26" t="str">
        <f aca="false">IF(A169="","",COUNTIF(Apparitions!$A$2:$A$5001,A169))</f>
        <v/>
      </c>
      <c r="G169" s="26" t="str">
        <f aca="false">IF(A169="","",COUNTIFS(Apparitions!$A$2:$A$5001,A169,Apparitions!$E$2:$E$5001,"○"))</f>
        <v/>
      </c>
    </row>
    <row r="170" customFormat="false" ht="15" hidden="false" customHeight="false" outlineLevel="0" collapsed="false">
      <c r="A170" s="19"/>
      <c r="B170" s="19"/>
      <c r="C170" s="19"/>
      <c r="D170" s="19"/>
      <c r="E170" s="26" t="str">
        <f aca="false">IF(A170="","",COUNTIF(Numéros!$A$2:$A$3001,A170))</f>
        <v/>
      </c>
      <c r="F170" s="26" t="str">
        <f aca="false">IF(A170="","",COUNTIF(Apparitions!$A$2:$A$5001,A170))</f>
        <v/>
      </c>
      <c r="G170" s="26" t="str">
        <f aca="false">IF(A170="","",COUNTIFS(Apparitions!$A$2:$A$5001,A170,Apparitions!$E$2:$E$5001,"○"))</f>
        <v/>
      </c>
    </row>
    <row r="171" customFormat="false" ht="15" hidden="false" customHeight="false" outlineLevel="0" collapsed="false">
      <c r="A171" s="19"/>
      <c r="B171" s="19"/>
      <c r="C171" s="19"/>
      <c r="D171" s="19"/>
      <c r="E171" s="26" t="str">
        <f aca="false">IF(A171="","",COUNTIF(Numéros!$A$2:$A$3001,A171))</f>
        <v/>
      </c>
      <c r="F171" s="26" t="str">
        <f aca="false">IF(A171="","",COUNTIF(Apparitions!$A$2:$A$5001,A171))</f>
        <v/>
      </c>
      <c r="G171" s="26" t="str">
        <f aca="false">IF(A171="","",COUNTIFS(Apparitions!$A$2:$A$5001,A171,Apparitions!$E$2:$E$5001,"○"))</f>
        <v/>
      </c>
    </row>
    <row r="172" customFormat="false" ht="15" hidden="false" customHeight="false" outlineLevel="0" collapsed="false">
      <c r="A172" s="19"/>
      <c r="B172" s="19"/>
      <c r="C172" s="19"/>
      <c r="D172" s="19"/>
      <c r="E172" s="26" t="str">
        <f aca="false">IF(A172="","",COUNTIF(Numéros!$A$2:$A$3001,A172))</f>
        <v/>
      </c>
      <c r="F172" s="26" t="str">
        <f aca="false">IF(A172="","",COUNTIF(Apparitions!$A$2:$A$5001,A172))</f>
        <v/>
      </c>
      <c r="G172" s="26" t="str">
        <f aca="false">IF(A172="","",COUNTIFS(Apparitions!$A$2:$A$5001,A172,Apparitions!$E$2:$E$5001,"○"))</f>
        <v/>
      </c>
    </row>
    <row r="173" customFormat="false" ht="15" hidden="false" customHeight="false" outlineLevel="0" collapsed="false">
      <c r="A173" s="19"/>
      <c r="B173" s="19"/>
      <c r="C173" s="19"/>
      <c r="D173" s="19"/>
      <c r="E173" s="26" t="str">
        <f aca="false">IF(A173="","",COUNTIF(Numéros!$A$2:$A$3001,A173))</f>
        <v/>
      </c>
      <c r="F173" s="26" t="str">
        <f aca="false">IF(A173="","",COUNTIF(Apparitions!$A$2:$A$5001,A173))</f>
        <v/>
      </c>
      <c r="G173" s="26" t="str">
        <f aca="false">IF(A173="","",COUNTIFS(Apparitions!$A$2:$A$5001,A173,Apparitions!$E$2:$E$5001,"○"))</f>
        <v/>
      </c>
    </row>
    <row r="174" customFormat="false" ht="15" hidden="false" customHeight="false" outlineLevel="0" collapsed="false">
      <c r="A174" s="19"/>
      <c r="B174" s="19"/>
      <c r="C174" s="19"/>
      <c r="D174" s="19"/>
      <c r="E174" s="26" t="str">
        <f aca="false">IF(A174="","",COUNTIF(Numéros!$A$2:$A$3001,A174))</f>
        <v/>
      </c>
      <c r="F174" s="26" t="str">
        <f aca="false">IF(A174="","",COUNTIF(Apparitions!$A$2:$A$5001,A174))</f>
        <v/>
      </c>
      <c r="G174" s="26" t="str">
        <f aca="false">IF(A174="","",COUNTIFS(Apparitions!$A$2:$A$5001,A174,Apparitions!$E$2:$E$5001,"○"))</f>
        <v/>
      </c>
    </row>
    <row r="175" customFormat="false" ht="15" hidden="false" customHeight="false" outlineLevel="0" collapsed="false">
      <c r="A175" s="19"/>
      <c r="B175" s="19"/>
      <c r="C175" s="19"/>
      <c r="D175" s="19"/>
      <c r="E175" s="26" t="str">
        <f aca="false">IF(A175="","",COUNTIF(Numéros!$A$2:$A$3001,A175))</f>
        <v/>
      </c>
      <c r="F175" s="26" t="str">
        <f aca="false">IF(A175="","",COUNTIF(Apparitions!$A$2:$A$5001,A175))</f>
        <v/>
      </c>
      <c r="G175" s="26" t="str">
        <f aca="false">IF(A175="","",COUNTIFS(Apparitions!$A$2:$A$5001,A175,Apparitions!$E$2:$E$5001,"○"))</f>
        <v/>
      </c>
    </row>
    <row r="176" customFormat="false" ht="15" hidden="false" customHeight="false" outlineLevel="0" collapsed="false">
      <c r="A176" s="19"/>
      <c r="B176" s="19"/>
      <c r="C176" s="19"/>
      <c r="D176" s="19"/>
      <c r="E176" s="26" t="str">
        <f aca="false">IF(A176="","",COUNTIF(Numéros!$A$2:$A$3001,A176))</f>
        <v/>
      </c>
      <c r="F176" s="26" t="str">
        <f aca="false">IF(A176="","",COUNTIF(Apparitions!$A$2:$A$5001,A176))</f>
        <v/>
      </c>
      <c r="G176" s="26" t="str">
        <f aca="false">IF(A176="","",COUNTIFS(Apparitions!$A$2:$A$5001,A176,Apparitions!$E$2:$E$5001,"○"))</f>
        <v/>
      </c>
    </row>
    <row r="177" customFormat="false" ht="15" hidden="false" customHeight="false" outlineLevel="0" collapsed="false">
      <c r="A177" s="19"/>
      <c r="B177" s="19"/>
      <c r="C177" s="19"/>
      <c r="D177" s="19"/>
      <c r="E177" s="26" t="str">
        <f aca="false">IF(A177="","",COUNTIF(Numéros!$A$2:$A$3001,A177))</f>
        <v/>
      </c>
      <c r="F177" s="26" t="str">
        <f aca="false">IF(A177="","",COUNTIF(Apparitions!$A$2:$A$5001,A177))</f>
        <v/>
      </c>
      <c r="G177" s="26" t="str">
        <f aca="false">IF(A177="","",COUNTIFS(Apparitions!$A$2:$A$5001,A177,Apparitions!$E$2:$E$5001,"○"))</f>
        <v/>
      </c>
    </row>
    <row r="178" customFormat="false" ht="15" hidden="false" customHeight="false" outlineLevel="0" collapsed="false">
      <c r="A178" s="19"/>
      <c r="B178" s="19"/>
      <c r="C178" s="19"/>
      <c r="D178" s="19"/>
      <c r="E178" s="26" t="str">
        <f aca="false">IF(A178="","",COUNTIF(Numéros!$A$2:$A$3001,A178))</f>
        <v/>
      </c>
      <c r="F178" s="26" t="str">
        <f aca="false">IF(A178="","",COUNTIF(Apparitions!$A$2:$A$5001,A178))</f>
        <v/>
      </c>
      <c r="G178" s="26" t="str">
        <f aca="false">IF(A178="","",COUNTIFS(Apparitions!$A$2:$A$5001,A178,Apparitions!$E$2:$E$5001,"○"))</f>
        <v/>
      </c>
    </row>
    <row r="179" customFormat="false" ht="15" hidden="false" customHeight="false" outlineLevel="0" collapsed="false">
      <c r="A179" s="19"/>
      <c r="B179" s="19"/>
      <c r="C179" s="19"/>
      <c r="D179" s="19"/>
      <c r="E179" s="26" t="str">
        <f aca="false">IF(A179="","",COUNTIF(Numéros!$A$2:$A$3001,A179))</f>
        <v/>
      </c>
      <c r="F179" s="26" t="str">
        <f aca="false">IF(A179="","",COUNTIF(Apparitions!$A$2:$A$5001,A179))</f>
        <v/>
      </c>
      <c r="G179" s="26" t="str">
        <f aca="false">IF(A179="","",COUNTIFS(Apparitions!$A$2:$A$5001,A179,Apparitions!$E$2:$E$5001,"○"))</f>
        <v/>
      </c>
    </row>
    <row r="180" customFormat="false" ht="15" hidden="false" customHeight="false" outlineLevel="0" collapsed="false">
      <c r="A180" s="19"/>
      <c r="B180" s="19"/>
      <c r="C180" s="19"/>
      <c r="D180" s="19"/>
      <c r="E180" s="26" t="str">
        <f aca="false">IF(A180="","",COUNTIF(Numéros!$A$2:$A$3001,A180))</f>
        <v/>
      </c>
      <c r="F180" s="26" t="str">
        <f aca="false">IF(A180="","",COUNTIF(Apparitions!$A$2:$A$5001,A180))</f>
        <v/>
      </c>
      <c r="G180" s="26" t="str">
        <f aca="false">IF(A180="","",COUNTIFS(Apparitions!$A$2:$A$5001,A180,Apparitions!$E$2:$E$5001,"○"))</f>
        <v/>
      </c>
    </row>
    <row r="181" customFormat="false" ht="15" hidden="false" customHeight="false" outlineLevel="0" collapsed="false">
      <c r="A181" s="19"/>
      <c r="B181" s="19"/>
      <c r="C181" s="19"/>
      <c r="D181" s="19"/>
      <c r="E181" s="26" t="str">
        <f aca="false">IF(A181="","",COUNTIF(Numéros!$A$2:$A$3001,A181))</f>
        <v/>
      </c>
      <c r="F181" s="26" t="str">
        <f aca="false">IF(A181="","",COUNTIF(Apparitions!$A$2:$A$5001,A181))</f>
        <v/>
      </c>
      <c r="G181" s="26" t="str">
        <f aca="false">IF(A181="","",COUNTIFS(Apparitions!$A$2:$A$5001,A181,Apparitions!$E$2:$E$5001,"○"))</f>
        <v/>
      </c>
    </row>
    <row r="182" customFormat="false" ht="15" hidden="false" customHeight="false" outlineLevel="0" collapsed="false">
      <c r="A182" s="19"/>
      <c r="B182" s="19"/>
      <c r="C182" s="19"/>
      <c r="D182" s="19"/>
      <c r="E182" s="26" t="str">
        <f aca="false">IF(A182="","",COUNTIF(Numéros!$A$2:$A$3001,A182))</f>
        <v/>
      </c>
      <c r="F182" s="26" t="str">
        <f aca="false">IF(A182="","",COUNTIF(Apparitions!$A$2:$A$5001,A182))</f>
        <v/>
      </c>
      <c r="G182" s="26" t="str">
        <f aca="false">IF(A182="","",COUNTIFS(Apparitions!$A$2:$A$5001,A182,Apparitions!$E$2:$E$5001,"○"))</f>
        <v/>
      </c>
    </row>
    <row r="183" customFormat="false" ht="15" hidden="false" customHeight="false" outlineLevel="0" collapsed="false">
      <c r="A183" s="19"/>
      <c r="B183" s="19"/>
      <c r="C183" s="19"/>
      <c r="D183" s="19"/>
      <c r="E183" s="26" t="str">
        <f aca="false">IF(A183="","",COUNTIF(Numéros!$A$2:$A$3001,A183))</f>
        <v/>
      </c>
      <c r="F183" s="26" t="str">
        <f aca="false">IF(A183="","",COUNTIF(Apparitions!$A$2:$A$5001,A183))</f>
        <v/>
      </c>
      <c r="G183" s="26" t="str">
        <f aca="false">IF(A183="","",COUNTIFS(Apparitions!$A$2:$A$5001,A183,Apparitions!$E$2:$E$5001,"○"))</f>
        <v/>
      </c>
    </row>
    <row r="184" customFormat="false" ht="15" hidden="false" customHeight="false" outlineLevel="0" collapsed="false">
      <c r="A184" s="19"/>
      <c r="B184" s="19"/>
      <c r="C184" s="19"/>
      <c r="D184" s="19"/>
      <c r="E184" s="26" t="str">
        <f aca="false">IF(A184="","",COUNTIF(Numéros!$A$2:$A$3001,A184))</f>
        <v/>
      </c>
      <c r="F184" s="26" t="str">
        <f aca="false">IF(A184="","",COUNTIF(Apparitions!$A$2:$A$5001,A184))</f>
        <v/>
      </c>
      <c r="G184" s="26" t="str">
        <f aca="false">IF(A184="","",COUNTIFS(Apparitions!$A$2:$A$5001,A184,Apparitions!$E$2:$E$5001,"○"))</f>
        <v/>
      </c>
    </row>
    <row r="185" customFormat="false" ht="15" hidden="false" customHeight="false" outlineLevel="0" collapsed="false">
      <c r="A185" s="19"/>
      <c r="B185" s="19"/>
      <c r="C185" s="19"/>
      <c r="D185" s="19"/>
      <c r="E185" s="26" t="str">
        <f aca="false">IF(A185="","",COUNTIF(Numéros!$A$2:$A$3001,A185))</f>
        <v/>
      </c>
      <c r="F185" s="26" t="str">
        <f aca="false">IF(A185="","",COUNTIF(Apparitions!$A$2:$A$5001,A185))</f>
        <v/>
      </c>
      <c r="G185" s="26" t="str">
        <f aca="false">IF(A185="","",COUNTIFS(Apparitions!$A$2:$A$5001,A185,Apparitions!$E$2:$E$5001,"○"))</f>
        <v/>
      </c>
    </row>
    <row r="186" customFormat="false" ht="15" hidden="false" customHeight="false" outlineLevel="0" collapsed="false">
      <c r="A186" s="19"/>
      <c r="B186" s="19"/>
      <c r="C186" s="19"/>
      <c r="D186" s="19"/>
      <c r="E186" s="26" t="str">
        <f aca="false">IF(A186="","",COUNTIF(Numéros!$A$2:$A$3001,A186))</f>
        <v/>
      </c>
      <c r="F186" s="26" t="str">
        <f aca="false">IF(A186="","",COUNTIF(Apparitions!$A$2:$A$5001,A186))</f>
        <v/>
      </c>
      <c r="G186" s="26" t="str">
        <f aca="false">IF(A186="","",COUNTIFS(Apparitions!$A$2:$A$5001,A186,Apparitions!$E$2:$E$5001,"○"))</f>
        <v/>
      </c>
    </row>
    <row r="187" customFormat="false" ht="15" hidden="false" customHeight="false" outlineLevel="0" collapsed="false">
      <c r="A187" s="19"/>
      <c r="B187" s="19"/>
      <c r="C187" s="19"/>
      <c r="D187" s="19"/>
      <c r="E187" s="26" t="str">
        <f aca="false">IF(A187="","",COUNTIF(Numéros!$A$2:$A$3001,A187))</f>
        <v/>
      </c>
      <c r="F187" s="26" t="str">
        <f aca="false">IF(A187="","",COUNTIF(Apparitions!$A$2:$A$5001,A187))</f>
        <v/>
      </c>
      <c r="G187" s="26" t="str">
        <f aca="false">IF(A187="","",COUNTIFS(Apparitions!$A$2:$A$5001,A187,Apparitions!$E$2:$E$5001,"○"))</f>
        <v/>
      </c>
    </row>
    <row r="188" customFormat="false" ht="15" hidden="false" customHeight="false" outlineLevel="0" collapsed="false">
      <c r="A188" s="19"/>
      <c r="B188" s="19"/>
      <c r="C188" s="19"/>
      <c r="D188" s="19"/>
      <c r="E188" s="26" t="str">
        <f aca="false">IF(A188="","",COUNTIF(Numéros!$A$2:$A$3001,A188))</f>
        <v/>
      </c>
      <c r="F188" s="26" t="str">
        <f aca="false">IF(A188="","",COUNTIF(Apparitions!$A$2:$A$5001,A188))</f>
        <v/>
      </c>
      <c r="G188" s="26" t="str">
        <f aca="false">IF(A188="","",COUNTIFS(Apparitions!$A$2:$A$5001,A188,Apparitions!$E$2:$E$5001,"○"))</f>
        <v/>
      </c>
    </row>
    <row r="189" customFormat="false" ht="15" hidden="false" customHeight="false" outlineLevel="0" collapsed="false">
      <c r="A189" s="19"/>
      <c r="B189" s="19"/>
      <c r="C189" s="19"/>
      <c r="D189" s="19"/>
      <c r="E189" s="26" t="str">
        <f aca="false">IF(A189="","",COUNTIF(Numéros!$A$2:$A$3001,A189))</f>
        <v/>
      </c>
      <c r="F189" s="26" t="str">
        <f aca="false">IF(A189="","",COUNTIF(Apparitions!$A$2:$A$5001,A189))</f>
        <v/>
      </c>
      <c r="G189" s="26" t="str">
        <f aca="false">IF(A189="","",COUNTIFS(Apparitions!$A$2:$A$5001,A189,Apparitions!$E$2:$E$5001,"○"))</f>
        <v/>
      </c>
    </row>
    <row r="190" customFormat="false" ht="15" hidden="false" customHeight="false" outlineLevel="0" collapsed="false">
      <c r="A190" s="19"/>
      <c r="B190" s="19"/>
      <c r="C190" s="19"/>
      <c r="D190" s="19"/>
      <c r="E190" s="26" t="str">
        <f aca="false">IF(A190="","",COUNTIF(Numéros!$A$2:$A$3001,A190))</f>
        <v/>
      </c>
      <c r="F190" s="26" t="str">
        <f aca="false">IF(A190="","",COUNTIF(Apparitions!$A$2:$A$5001,A190))</f>
        <v/>
      </c>
      <c r="G190" s="26" t="str">
        <f aca="false">IF(A190="","",COUNTIFS(Apparitions!$A$2:$A$5001,A190,Apparitions!$E$2:$E$5001,"○"))</f>
        <v/>
      </c>
    </row>
    <row r="191" customFormat="false" ht="15" hidden="false" customHeight="false" outlineLevel="0" collapsed="false">
      <c r="A191" s="19"/>
      <c r="B191" s="19"/>
      <c r="C191" s="19"/>
      <c r="D191" s="19"/>
      <c r="E191" s="26" t="str">
        <f aca="false">IF(A191="","",COUNTIF(Numéros!$A$2:$A$3001,A191))</f>
        <v/>
      </c>
      <c r="F191" s="26" t="str">
        <f aca="false">IF(A191="","",COUNTIF(Apparitions!$A$2:$A$5001,A191))</f>
        <v/>
      </c>
      <c r="G191" s="26" t="str">
        <f aca="false">IF(A191="","",COUNTIFS(Apparitions!$A$2:$A$5001,A191,Apparitions!$E$2:$E$5001,"○"))</f>
        <v/>
      </c>
    </row>
    <row r="192" customFormat="false" ht="15" hidden="false" customHeight="false" outlineLevel="0" collapsed="false">
      <c r="A192" s="19"/>
      <c r="B192" s="19"/>
      <c r="C192" s="19"/>
      <c r="D192" s="19"/>
      <c r="E192" s="26" t="str">
        <f aca="false">IF(A192="","",COUNTIF(Numéros!$A$2:$A$3001,A192))</f>
        <v/>
      </c>
      <c r="F192" s="26" t="str">
        <f aca="false">IF(A192="","",COUNTIF(Apparitions!$A$2:$A$5001,A192))</f>
        <v/>
      </c>
      <c r="G192" s="26" t="str">
        <f aca="false">IF(A192="","",COUNTIFS(Apparitions!$A$2:$A$5001,A192,Apparitions!$E$2:$E$5001,"○"))</f>
        <v/>
      </c>
    </row>
    <row r="193" customFormat="false" ht="15" hidden="false" customHeight="false" outlineLevel="0" collapsed="false">
      <c r="A193" s="19"/>
      <c r="B193" s="19"/>
      <c r="C193" s="19"/>
      <c r="D193" s="19"/>
      <c r="E193" s="26" t="str">
        <f aca="false">IF(A193="","",COUNTIF(Numéros!$A$2:$A$3001,A193))</f>
        <v/>
      </c>
      <c r="F193" s="26" t="str">
        <f aca="false">IF(A193="","",COUNTIF(Apparitions!$A$2:$A$5001,A193))</f>
        <v/>
      </c>
      <c r="G193" s="26" t="str">
        <f aca="false">IF(A193="","",COUNTIFS(Apparitions!$A$2:$A$5001,A193,Apparitions!$E$2:$E$5001,"○"))</f>
        <v/>
      </c>
    </row>
    <row r="194" customFormat="false" ht="15" hidden="false" customHeight="false" outlineLevel="0" collapsed="false">
      <c r="A194" s="19"/>
      <c r="B194" s="19"/>
      <c r="C194" s="19"/>
      <c r="D194" s="19"/>
      <c r="E194" s="26" t="str">
        <f aca="false">IF(A194="","",COUNTIF(Numéros!$A$2:$A$3001,A194))</f>
        <v/>
      </c>
      <c r="F194" s="26" t="str">
        <f aca="false">IF(A194="","",COUNTIF(Apparitions!$A$2:$A$5001,A194))</f>
        <v/>
      </c>
      <c r="G194" s="26" t="str">
        <f aca="false">IF(A194="","",COUNTIFS(Apparitions!$A$2:$A$5001,A194,Apparitions!$E$2:$E$5001,"○"))</f>
        <v/>
      </c>
    </row>
    <row r="195" customFormat="false" ht="15" hidden="false" customHeight="false" outlineLevel="0" collapsed="false">
      <c r="A195" s="19"/>
      <c r="B195" s="19"/>
      <c r="C195" s="19"/>
      <c r="D195" s="19"/>
      <c r="E195" s="26" t="str">
        <f aca="false">IF(A195="","",COUNTIF(Numéros!$A$2:$A$3001,A195))</f>
        <v/>
      </c>
      <c r="F195" s="26" t="str">
        <f aca="false">IF(A195="","",COUNTIF(Apparitions!$A$2:$A$5001,A195))</f>
        <v/>
      </c>
      <c r="G195" s="26" t="str">
        <f aca="false">IF(A195="","",COUNTIFS(Apparitions!$A$2:$A$5001,A195,Apparitions!$E$2:$E$5001,"○"))</f>
        <v/>
      </c>
    </row>
    <row r="196" customFormat="false" ht="15" hidden="false" customHeight="false" outlineLevel="0" collapsed="false">
      <c r="A196" s="19"/>
      <c r="B196" s="19"/>
      <c r="C196" s="19"/>
      <c r="D196" s="19"/>
      <c r="E196" s="26" t="str">
        <f aca="false">IF(A196="","",COUNTIF(Numéros!$A$2:$A$3001,A196))</f>
        <v/>
      </c>
      <c r="F196" s="26" t="str">
        <f aca="false">IF(A196="","",COUNTIF(Apparitions!$A$2:$A$5001,A196))</f>
        <v/>
      </c>
      <c r="G196" s="26" t="str">
        <f aca="false">IF(A196="","",COUNTIFS(Apparitions!$A$2:$A$5001,A196,Apparitions!$E$2:$E$5001,"○"))</f>
        <v/>
      </c>
    </row>
    <row r="197" customFormat="false" ht="15" hidden="false" customHeight="false" outlineLevel="0" collapsed="false">
      <c r="A197" s="19"/>
      <c r="B197" s="19"/>
      <c r="C197" s="19"/>
      <c r="D197" s="19"/>
      <c r="E197" s="26" t="str">
        <f aca="false">IF(A197="","",COUNTIF(Numéros!$A$2:$A$3001,A197))</f>
        <v/>
      </c>
      <c r="F197" s="26" t="str">
        <f aca="false">IF(A197="","",COUNTIF(Apparitions!$A$2:$A$5001,A197))</f>
        <v/>
      </c>
      <c r="G197" s="26" t="str">
        <f aca="false">IF(A197="","",COUNTIFS(Apparitions!$A$2:$A$5001,A197,Apparitions!$E$2:$E$5001,"○"))</f>
        <v/>
      </c>
    </row>
    <row r="198" customFormat="false" ht="15" hidden="false" customHeight="false" outlineLevel="0" collapsed="false">
      <c r="A198" s="19"/>
      <c r="B198" s="19"/>
      <c r="C198" s="19"/>
      <c r="D198" s="19"/>
      <c r="E198" s="26" t="str">
        <f aca="false">IF(A198="","",COUNTIF(Numéros!$A$2:$A$3001,A198))</f>
        <v/>
      </c>
      <c r="F198" s="26" t="str">
        <f aca="false">IF(A198="","",COUNTIF(Apparitions!$A$2:$A$5001,A198))</f>
        <v/>
      </c>
      <c r="G198" s="26" t="str">
        <f aca="false">IF(A198="","",COUNTIFS(Apparitions!$A$2:$A$5001,A198,Apparitions!$E$2:$E$5001,"○"))</f>
        <v/>
      </c>
    </row>
    <row r="199" customFormat="false" ht="15" hidden="false" customHeight="false" outlineLevel="0" collapsed="false">
      <c r="A199" s="19"/>
      <c r="B199" s="19"/>
      <c r="C199" s="19"/>
      <c r="D199" s="19"/>
      <c r="E199" s="26" t="str">
        <f aca="false">IF(A199="","",COUNTIF(Numéros!$A$2:$A$3001,A199))</f>
        <v/>
      </c>
      <c r="F199" s="26" t="str">
        <f aca="false">IF(A199="","",COUNTIF(Apparitions!$A$2:$A$5001,A199))</f>
        <v/>
      </c>
      <c r="G199" s="26" t="str">
        <f aca="false">IF(A199="","",COUNTIFS(Apparitions!$A$2:$A$5001,A199,Apparitions!$E$2:$E$5001,"○"))</f>
        <v/>
      </c>
    </row>
    <row r="200" customFormat="false" ht="15" hidden="false" customHeight="false" outlineLevel="0" collapsed="false">
      <c r="A200" s="19"/>
      <c r="B200" s="19"/>
      <c r="C200" s="19"/>
      <c r="D200" s="19"/>
      <c r="E200" s="26" t="str">
        <f aca="false">IF(A200="","",COUNTIF(Numéros!$A$2:$A$3001,A200))</f>
        <v/>
      </c>
      <c r="F200" s="26" t="str">
        <f aca="false">IF(A200="","",COUNTIF(Apparitions!$A$2:$A$5001,A200))</f>
        <v/>
      </c>
      <c r="G200" s="26" t="str">
        <f aca="false">IF(A200="","",COUNTIFS(Apparitions!$A$2:$A$5001,A200,Apparitions!$E$2:$E$5001,"○"))</f>
        <v/>
      </c>
    </row>
    <row r="201" customFormat="false" ht="15" hidden="false" customHeight="false" outlineLevel="0" collapsed="false">
      <c r="A201" s="19"/>
      <c r="B201" s="19"/>
      <c r="C201" s="19"/>
      <c r="D201" s="19"/>
      <c r="E201" s="26" t="str">
        <f aca="false">IF(A201="","",COUNTIF(Numéros!$A$2:$A$3001,A201))</f>
        <v/>
      </c>
      <c r="F201" s="26" t="str">
        <f aca="false">IF(A201="","",COUNTIF(Apparitions!$A$2:$A$5001,A201))</f>
        <v/>
      </c>
      <c r="G201" s="26" t="str">
        <f aca="false">IF(A201="","",COUNTIFS(Apparitions!$A$2:$A$5001,A201,Apparitions!$E$2:$E$5001,"○"))</f>
        <v/>
      </c>
    </row>
    <row r="202" customFormat="false" ht="15" hidden="false" customHeight="false" outlineLevel="0" collapsed="false">
      <c r="A202" s="19"/>
      <c r="B202" s="19"/>
      <c r="C202" s="19"/>
      <c r="D202" s="19"/>
      <c r="E202" s="26" t="str">
        <f aca="false">IF(A202="","",COUNTIF(Numéros!$A$2:$A$3001,A202))</f>
        <v/>
      </c>
      <c r="F202" s="26" t="str">
        <f aca="false">IF(A202="","",COUNTIF(Apparitions!$A$2:$A$5001,A202))</f>
        <v/>
      </c>
      <c r="G202" s="26" t="str">
        <f aca="false">IF(A202="","",COUNTIFS(Apparitions!$A$2:$A$5001,A202,Apparitions!$E$2:$E$5001,"○"))</f>
        <v/>
      </c>
    </row>
    <row r="203" customFormat="false" ht="15" hidden="false" customHeight="false" outlineLevel="0" collapsed="false">
      <c r="A203" s="19"/>
      <c r="B203" s="19"/>
      <c r="C203" s="19"/>
      <c r="D203" s="19"/>
      <c r="E203" s="26" t="str">
        <f aca="false">IF(A203="","",COUNTIF(Numéros!$A$2:$A$3001,A203))</f>
        <v/>
      </c>
      <c r="F203" s="26" t="str">
        <f aca="false">IF(A203="","",COUNTIF(Apparitions!$A$2:$A$5001,A203))</f>
        <v/>
      </c>
      <c r="G203" s="26" t="str">
        <f aca="false">IF(A203="","",COUNTIFS(Apparitions!$A$2:$A$5001,A203,Apparitions!$E$2:$E$5001,"○"))</f>
        <v/>
      </c>
    </row>
    <row r="204" customFormat="false" ht="15" hidden="false" customHeight="false" outlineLevel="0" collapsed="false">
      <c r="A204" s="19"/>
      <c r="B204" s="19"/>
      <c r="C204" s="19"/>
      <c r="D204" s="19"/>
      <c r="E204" s="26" t="str">
        <f aca="false">IF(A204="","",COUNTIF(Numéros!$A$2:$A$3001,A204))</f>
        <v/>
      </c>
      <c r="F204" s="26" t="str">
        <f aca="false">IF(A204="","",COUNTIF(Apparitions!$A$2:$A$5001,A204))</f>
        <v/>
      </c>
      <c r="G204" s="26" t="str">
        <f aca="false">IF(A204="","",COUNTIFS(Apparitions!$A$2:$A$5001,A204,Apparitions!$E$2:$E$5001,"○"))</f>
        <v/>
      </c>
    </row>
    <row r="205" customFormat="false" ht="15" hidden="false" customHeight="false" outlineLevel="0" collapsed="false">
      <c r="A205" s="19"/>
      <c r="B205" s="19"/>
      <c r="C205" s="19"/>
      <c r="D205" s="19"/>
      <c r="E205" s="26" t="str">
        <f aca="false">IF(A205="","",COUNTIF(Numéros!$A$2:$A$3001,A205))</f>
        <v/>
      </c>
      <c r="F205" s="26" t="str">
        <f aca="false">IF(A205="","",COUNTIF(Apparitions!$A$2:$A$5001,A205))</f>
        <v/>
      </c>
      <c r="G205" s="26" t="str">
        <f aca="false">IF(A205="","",COUNTIFS(Apparitions!$A$2:$A$5001,A205,Apparitions!$E$2:$E$5001,"○"))</f>
        <v/>
      </c>
    </row>
    <row r="206" customFormat="false" ht="15" hidden="false" customHeight="false" outlineLevel="0" collapsed="false">
      <c r="A206" s="19"/>
      <c r="B206" s="19"/>
      <c r="C206" s="19"/>
      <c r="D206" s="19"/>
      <c r="E206" s="26" t="str">
        <f aca="false">IF(A206="","",COUNTIF(Numéros!$A$2:$A$3001,A206))</f>
        <v/>
      </c>
      <c r="F206" s="26" t="str">
        <f aca="false">IF(A206="","",COUNTIF(Apparitions!$A$2:$A$5001,A206))</f>
        <v/>
      </c>
      <c r="G206" s="26" t="str">
        <f aca="false">IF(A206="","",COUNTIFS(Apparitions!$A$2:$A$5001,A206,Apparitions!$E$2:$E$5001,"○"))</f>
        <v/>
      </c>
    </row>
    <row r="207" customFormat="false" ht="15" hidden="false" customHeight="false" outlineLevel="0" collapsed="false">
      <c r="A207" s="19"/>
      <c r="B207" s="19"/>
      <c r="C207" s="19"/>
      <c r="D207" s="19"/>
      <c r="E207" s="26" t="str">
        <f aca="false">IF(A207="","",COUNTIF(Numéros!$A$2:$A$3001,A207))</f>
        <v/>
      </c>
      <c r="F207" s="26" t="str">
        <f aca="false">IF(A207="","",COUNTIF(Apparitions!$A$2:$A$5001,A207))</f>
        <v/>
      </c>
      <c r="G207" s="26" t="str">
        <f aca="false">IF(A207="","",COUNTIFS(Apparitions!$A$2:$A$5001,A207,Apparitions!$E$2:$E$5001,"○"))</f>
        <v/>
      </c>
    </row>
    <row r="208" customFormat="false" ht="15" hidden="false" customHeight="false" outlineLevel="0" collapsed="false">
      <c r="A208" s="19"/>
      <c r="B208" s="19"/>
      <c r="C208" s="19"/>
      <c r="D208" s="19"/>
      <c r="E208" s="26" t="str">
        <f aca="false">IF(A208="","",COUNTIF(Numéros!$A$2:$A$3001,A208))</f>
        <v/>
      </c>
      <c r="F208" s="26" t="str">
        <f aca="false">IF(A208="","",COUNTIF(Apparitions!$A$2:$A$5001,A208))</f>
        <v/>
      </c>
      <c r="G208" s="26" t="str">
        <f aca="false">IF(A208="","",COUNTIFS(Apparitions!$A$2:$A$5001,A208,Apparitions!$E$2:$E$5001,"○"))</f>
        <v/>
      </c>
    </row>
    <row r="209" customFormat="false" ht="15" hidden="false" customHeight="false" outlineLevel="0" collapsed="false">
      <c r="A209" s="19"/>
      <c r="B209" s="19"/>
      <c r="C209" s="19"/>
      <c r="D209" s="19"/>
      <c r="E209" s="26" t="str">
        <f aca="false">IF(A209="","",COUNTIF(Numéros!$A$2:$A$3001,A209))</f>
        <v/>
      </c>
      <c r="F209" s="26" t="str">
        <f aca="false">IF(A209="","",COUNTIF(Apparitions!$A$2:$A$5001,A209))</f>
        <v/>
      </c>
      <c r="G209" s="26" t="str">
        <f aca="false">IF(A209="","",COUNTIFS(Apparitions!$A$2:$A$5001,A209,Apparitions!$E$2:$E$5001,"○"))</f>
        <v/>
      </c>
    </row>
    <row r="210" customFormat="false" ht="15" hidden="false" customHeight="false" outlineLevel="0" collapsed="false">
      <c r="A210" s="19"/>
      <c r="B210" s="19"/>
      <c r="C210" s="19"/>
      <c r="D210" s="19"/>
      <c r="E210" s="26" t="str">
        <f aca="false">IF(A210="","",COUNTIF(Numéros!$A$2:$A$3001,A210))</f>
        <v/>
      </c>
      <c r="F210" s="26" t="str">
        <f aca="false">IF(A210="","",COUNTIF(Apparitions!$A$2:$A$5001,A210))</f>
        <v/>
      </c>
      <c r="G210" s="26" t="str">
        <f aca="false">IF(A210="","",COUNTIFS(Apparitions!$A$2:$A$5001,A210,Apparitions!$E$2:$E$5001,"○"))</f>
        <v/>
      </c>
    </row>
    <row r="211" customFormat="false" ht="15" hidden="false" customHeight="false" outlineLevel="0" collapsed="false">
      <c r="A211" s="19"/>
      <c r="B211" s="19"/>
      <c r="C211" s="19"/>
      <c r="D211" s="19"/>
      <c r="E211" s="26" t="str">
        <f aca="false">IF(A211="","",COUNTIF(Numéros!$A$2:$A$3001,A211))</f>
        <v/>
      </c>
      <c r="F211" s="26" t="str">
        <f aca="false">IF(A211="","",COUNTIF(Apparitions!$A$2:$A$5001,A211))</f>
        <v/>
      </c>
      <c r="G211" s="26" t="str">
        <f aca="false">IF(A211="","",COUNTIFS(Apparitions!$A$2:$A$5001,A211,Apparitions!$E$2:$E$5001,"○"))</f>
        <v/>
      </c>
    </row>
    <row r="212" customFormat="false" ht="15" hidden="false" customHeight="false" outlineLevel="0" collapsed="false">
      <c r="A212" s="19"/>
      <c r="B212" s="19"/>
      <c r="C212" s="19"/>
      <c r="D212" s="19"/>
      <c r="E212" s="26" t="str">
        <f aca="false">IF(A212="","",COUNTIF(Numéros!$A$2:$A$3001,A212))</f>
        <v/>
      </c>
      <c r="F212" s="26" t="str">
        <f aca="false">IF(A212="","",COUNTIF(Apparitions!$A$2:$A$5001,A212))</f>
        <v/>
      </c>
      <c r="G212" s="26" t="str">
        <f aca="false">IF(A212="","",COUNTIFS(Apparitions!$A$2:$A$5001,A212,Apparitions!$E$2:$E$5001,"○"))</f>
        <v/>
      </c>
    </row>
    <row r="213" customFormat="false" ht="15" hidden="false" customHeight="false" outlineLevel="0" collapsed="false">
      <c r="A213" s="19"/>
      <c r="B213" s="19"/>
      <c r="C213" s="19"/>
      <c r="D213" s="19"/>
      <c r="E213" s="26" t="str">
        <f aca="false">IF(A213="","",COUNTIF(Numéros!$A$2:$A$3001,A213))</f>
        <v/>
      </c>
      <c r="F213" s="26" t="str">
        <f aca="false">IF(A213="","",COUNTIF(Apparitions!$A$2:$A$5001,A213))</f>
        <v/>
      </c>
      <c r="G213" s="26" t="str">
        <f aca="false">IF(A213="","",COUNTIFS(Apparitions!$A$2:$A$5001,A213,Apparitions!$E$2:$E$5001,"○"))</f>
        <v/>
      </c>
    </row>
    <row r="214" customFormat="false" ht="15" hidden="false" customHeight="false" outlineLevel="0" collapsed="false">
      <c r="A214" s="19"/>
      <c r="B214" s="19"/>
      <c r="C214" s="19"/>
      <c r="D214" s="19"/>
      <c r="E214" s="26" t="str">
        <f aca="false">IF(A214="","",COUNTIF(Numéros!$A$2:$A$3001,A214))</f>
        <v/>
      </c>
      <c r="F214" s="26" t="str">
        <f aca="false">IF(A214="","",COUNTIF(Apparitions!$A$2:$A$5001,A214))</f>
        <v/>
      </c>
      <c r="G214" s="26" t="str">
        <f aca="false">IF(A214="","",COUNTIFS(Apparitions!$A$2:$A$5001,A214,Apparitions!$E$2:$E$5001,"○"))</f>
        <v/>
      </c>
    </row>
    <row r="215" customFormat="false" ht="15" hidden="false" customHeight="false" outlineLevel="0" collapsed="false">
      <c r="A215" s="19"/>
      <c r="B215" s="19"/>
      <c r="C215" s="19"/>
      <c r="D215" s="19"/>
      <c r="E215" s="26" t="str">
        <f aca="false">IF(A215="","",COUNTIF(Numéros!$A$2:$A$3001,A215))</f>
        <v/>
      </c>
      <c r="F215" s="26" t="str">
        <f aca="false">IF(A215="","",COUNTIF(Apparitions!$A$2:$A$5001,A215))</f>
        <v/>
      </c>
      <c r="G215" s="26" t="str">
        <f aca="false">IF(A215="","",COUNTIFS(Apparitions!$A$2:$A$5001,A215,Apparitions!$E$2:$E$5001,"○"))</f>
        <v/>
      </c>
    </row>
    <row r="216" customFormat="false" ht="15" hidden="false" customHeight="false" outlineLevel="0" collapsed="false">
      <c r="A216" s="19"/>
      <c r="B216" s="19"/>
      <c r="C216" s="19"/>
      <c r="D216" s="19"/>
      <c r="E216" s="26" t="str">
        <f aca="false">IF(A216="","",COUNTIF(Numéros!$A$2:$A$3001,A216))</f>
        <v/>
      </c>
      <c r="F216" s="26" t="str">
        <f aca="false">IF(A216="","",COUNTIF(Apparitions!$A$2:$A$5001,A216))</f>
        <v/>
      </c>
      <c r="G216" s="26" t="str">
        <f aca="false">IF(A216="","",COUNTIFS(Apparitions!$A$2:$A$5001,A216,Apparitions!$E$2:$E$5001,"○"))</f>
        <v/>
      </c>
    </row>
    <row r="217" customFormat="false" ht="15" hidden="false" customHeight="false" outlineLevel="0" collapsed="false">
      <c r="A217" s="19"/>
      <c r="B217" s="19"/>
      <c r="C217" s="19"/>
      <c r="D217" s="19"/>
      <c r="E217" s="26" t="str">
        <f aca="false">IF(A217="","",COUNTIF(Numéros!$A$2:$A$3001,A217))</f>
        <v/>
      </c>
      <c r="F217" s="26" t="str">
        <f aca="false">IF(A217="","",COUNTIF(Apparitions!$A$2:$A$5001,A217))</f>
        <v/>
      </c>
      <c r="G217" s="26" t="str">
        <f aca="false">IF(A217="","",COUNTIFS(Apparitions!$A$2:$A$5001,A217,Apparitions!$E$2:$E$5001,"○"))</f>
        <v/>
      </c>
    </row>
    <row r="218" customFormat="false" ht="15" hidden="false" customHeight="false" outlineLevel="0" collapsed="false">
      <c r="A218" s="19"/>
      <c r="B218" s="19"/>
      <c r="C218" s="19"/>
      <c r="D218" s="19"/>
      <c r="E218" s="26" t="str">
        <f aca="false">IF(A218="","",COUNTIF(Numéros!$A$2:$A$3001,A218))</f>
        <v/>
      </c>
      <c r="F218" s="26" t="str">
        <f aca="false">IF(A218="","",COUNTIF(Apparitions!$A$2:$A$5001,A218))</f>
        <v/>
      </c>
      <c r="G218" s="26" t="str">
        <f aca="false">IF(A218="","",COUNTIFS(Apparitions!$A$2:$A$5001,A218,Apparitions!$E$2:$E$5001,"○"))</f>
        <v/>
      </c>
    </row>
    <row r="219" customFormat="false" ht="15" hidden="false" customHeight="false" outlineLevel="0" collapsed="false">
      <c r="A219" s="19"/>
      <c r="B219" s="19"/>
      <c r="C219" s="19"/>
      <c r="D219" s="19"/>
      <c r="E219" s="26" t="str">
        <f aca="false">IF(A219="","",COUNTIF(Numéros!$A$2:$A$3001,A219))</f>
        <v/>
      </c>
      <c r="F219" s="26" t="str">
        <f aca="false">IF(A219="","",COUNTIF(Apparitions!$A$2:$A$5001,A219))</f>
        <v/>
      </c>
      <c r="G219" s="26" t="str">
        <f aca="false">IF(A219="","",COUNTIFS(Apparitions!$A$2:$A$5001,A219,Apparitions!$E$2:$E$5001,"○"))</f>
        <v/>
      </c>
    </row>
    <row r="220" customFormat="false" ht="15" hidden="false" customHeight="false" outlineLevel="0" collapsed="false">
      <c r="A220" s="19"/>
      <c r="B220" s="19"/>
      <c r="C220" s="19"/>
      <c r="D220" s="19"/>
      <c r="E220" s="26" t="str">
        <f aca="false">IF(A220="","",COUNTIF(Numéros!$A$2:$A$3001,A220))</f>
        <v/>
      </c>
      <c r="F220" s="26" t="str">
        <f aca="false">IF(A220="","",COUNTIF(Apparitions!$A$2:$A$5001,A220))</f>
        <v/>
      </c>
      <c r="G220" s="26" t="str">
        <f aca="false">IF(A220="","",COUNTIFS(Apparitions!$A$2:$A$5001,A220,Apparitions!$E$2:$E$5001,"○"))</f>
        <v/>
      </c>
    </row>
    <row r="221" customFormat="false" ht="15" hidden="false" customHeight="false" outlineLevel="0" collapsed="false">
      <c r="A221" s="19"/>
      <c r="B221" s="19"/>
      <c r="C221" s="19"/>
      <c r="D221" s="19"/>
      <c r="E221" s="26" t="str">
        <f aca="false">IF(A221="","",COUNTIF(Numéros!$A$2:$A$3001,A221))</f>
        <v/>
      </c>
      <c r="F221" s="26" t="str">
        <f aca="false">IF(A221="","",COUNTIF(Apparitions!$A$2:$A$5001,A221))</f>
        <v/>
      </c>
      <c r="G221" s="26" t="str">
        <f aca="false">IF(A221="","",COUNTIFS(Apparitions!$A$2:$A$5001,A221,Apparitions!$E$2:$E$5001,"○"))</f>
        <v/>
      </c>
    </row>
    <row r="222" customFormat="false" ht="15" hidden="false" customHeight="false" outlineLevel="0" collapsed="false">
      <c r="A222" s="19"/>
      <c r="B222" s="19"/>
      <c r="C222" s="19"/>
      <c r="D222" s="19"/>
      <c r="E222" s="26" t="str">
        <f aca="false">IF(A222="","",COUNTIF(Numéros!$A$2:$A$3001,A222))</f>
        <v/>
      </c>
      <c r="F222" s="26" t="str">
        <f aca="false">IF(A222="","",COUNTIF(Apparitions!$A$2:$A$5001,A222))</f>
        <v/>
      </c>
      <c r="G222" s="26" t="str">
        <f aca="false">IF(A222="","",COUNTIFS(Apparitions!$A$2:$A$5001,A222,Apparitions!$E$2:$E$5001,"○"))</f>
        <v/>
      </c>
    </row>
    <row r="223" customFormat="false" ht="15" hidden="false" customHeight="false" outlineLevel="0" collapsed="false">
      <c r="A223" s="19"/>
      <c r="B223" s="19"/>
      <c r="C223" s="19"/>
      <c r="D223" s="19"/>
      <c r="E223" s="26" t="str">
        <f aca="false">IF(A223="","",COUNTIF(Numéros!$A$2:$A$3001,A223))</f>
        <v/>
      </c>
      <c r="F223" s="26" t="str">
        <f aca="false">IF(A223="","",COUNTIF(Apparitions!$A$2:$A$5001,A223))</f>
        <v/>
      </c>
      <c r="G223" s="26" t="str">
        <f aca="false">IF(A223="","",COUNTIFS(Apparitions!$A$2:$A$5001,A223,Apparitions!$E$2:$E$5001,"○"))</f>
        <v/>
      </c>
    </row>
    <row r="224" customFormat="false" ht="15" hidden="false" customHeight="false" outlineLevel="0" collapsed="false">
      <c r="A224" s="19"/>
      <c r="B224" s="19"/>
      <c r="C224" s="19"/>
      <c r="D224" s="19"/>
      <c r="E224" s="26" t="str">
        <f aca="false">IF(A224="","",COUNTIF(Numéros!$A$2:$A$3001,A224))</f>
        <v/>
      </c>
      <c r="F224" s="26" t="str">
        <f aca="false">IF(A224="","",COUNTIF(Apparitions!$A$2:$A$5001,A224))</f>
        <v/>
      </c>
      <c r="G224" s="26" t="str">
        <f aca="false">IF(A224="","",COUNTIFS(Apparitions!$A$2:$A$5001,A224,Apparitions!$E$2:$E$5001,"○"))</f>
        <v/>
      </c>
    </row>
    <row r="225" customFormat="false" ht="15" hidden="false" customHeight="false" outlineLevel="0" collapsed="false">
      <c r="A225" s="19"/>
      <c r="B225" s="19"/>
      <c r="C225" s="19"/>
      <c r="D225" s="19"/>
      <c r="E225" s="26" t="str">
        <f aca="false">IF(A225="","",COUNTIF(Numéros!$A$2:$A$3001,A225))</f>
        <v/>
      </c>
      <c r="F225" s="26" t="str">
        <f aca="false">IF(A225="","",COUNTIF(Apparitions!$A$2:$A$5001,A225))</f>
        <v/>
      </c>
      <c r="G225" s="26" t="str">
        <f aca="false">IF(A225="","",COUNTIFS(Apparitions!$A$2:$A$5001,A225,Apparitions!$E$2:$E$5001,"○"))</f>
        <v/>
      </c>
    </row>
    <row r="226" customFormat="false" ht="15" hidden="false" customHeight="false" outlineLevel="0" collapsed="false">
      <c r="A226" s="19"/>
      <c r="B226" s="19"/>
      <c r="C226" s="19"/>
      <c r="D226" s="19"/>
      <c r="E226" s="26" t="str">
        <f aca="false">IF(A226="","",COUNTIF(Numéros!$A$2:$A$3001,A226))</f>
        <v/>
      </c>
      <c r="F226" s="26" t="str">
        <f aca="false">IF(A226="","",COUNTIF(Apparitions!$A$2:$A$5001,A226))</f>
        <v/>
      </c>
      <c r="G226" s="26" t="str">
        <f aca="false">IF(A226="","",COUNTIFS(Apparitions!$A$2:$A$5001,A226,Apparitions!$E$2:$E$5001,"○"))</f>
        <v/>
      </c>
    </row>
    <row r="227" customFormat="false" ht="15" hidden="false" customHeight="false" outlineLevel="0" collapsed="false">
      <c r="A227" s="19"/>
      <c r="B227" s="19"/>
      <c r="C227" s="19"/>
      <c r="D227" s="19"/>
      <c r="E227" s="26" t="str">
        <f aca="false">IF(A227="","",COUNTIF(Numéros!$A$2:$A$3001,A227))</f>
        <v/>
      </c>
      <c r="F227" s="26" t="str">
        <f aca="false">IF(A227="","",COUNTIF(Apparitions!$A$2:$A$5001,A227))</f>
        <v/>
      </c>
      <c r="G227" s="26" t="str">
        <f aca="false">IF(A227="","",COUNTIFS(Apparitions!$A$2:$A$5001,A227,Apparitions!$E$2:$E$5001,"○"))</f>
        <v/>
      </c>
    </row>
    <row r="228" customFormat="false" ht="15" hidden="false" customHeight="false" outlineLevel="0" collapsed="false">
      <c r="A228" s="19"/>
      <c r="B228" s="19"/>
      <c r="C228" s="19"/>
      <c r="D228" s="19"/>
      <c r="E228" s="26" t="str">
        <f aca="false">IF(A228="","",COUNTIF(Numéros!$A$2:$A$3001,A228))</f>
        <v/>
      </c>
      <c r="F228" s="26" t="str">
        <f aca="false">IF(A228="","",COUNTIF(Apparitions!$A$2:$A$5001,A228))</f>
        <v/>
      </c>
      <c r="G228" s="26" t="str">
        <f aca="false">IF(A228="","",COUNTIFS(Apparitions!$A$2:$A$5001,A228,Apparitions!$E$2:$E$5001,"○"))</f>
        <v/>
      </c>
    </row>
    <row r="229" customFormat="false" ht="15" hidden="false" customHeight="false" outlineLevel="0" collapsed="false">
      <c r="A229" s="19"/>
      <c r="B229" s="19"/>
      <c r="C229" s="19"/>
      <c r="D229" s="19"/>
      <c r="E229" s="26" t="str">
        <f aca="false">IF(A229="","",COUNTIF(Numéros!$A$2:$A$3001,A229))</f>
        <v/>
      </c>
      <c r="F229" s="26" t="str">
        <f aca="false">IF(A229="","",COUNTIF(Apparitions!$A$2:$A$5001,A229))</f>
        <v/>
      </c>
      <c r="G229" s="26" t="str">
        <f aca="false">IF(A229="","",COUNTIFS(Apparitions!$A$2:$A$5001,A229,Apparitions!$E$2:$E$5001,"○"))</f>
        <v/>
      </c>
    </row>
    <row r="230" customFormat="false" ht="15" hidden="false" customHeight="false" outlineLevel="0" collapsed="false">
      <c r="A230" s="19"/>
      <c r="B230" s="19"/>
      <c r="C230" s="19"/>
      <c r="D230" s="19"/>
      <c r="E230" s="26" t="str">
        <f aca="false">IF(A230="","",COUNTIF(Numéros!$A$2:$A$3001,A230))</f>
        <v/>
      </c>
      <c r="F230" s="26" t="str">
        <f aca="false">IF(A230="","",COUNTIF(Apparitions!$A$2:$A$5001,A230))</f>
        <v/>
      </c>
      <c r="G230" s="26" t="str">
        <f aca="false">IF(A230="","",COUNTIFS(Apparitions!$A$2:$A$5001,A230,Apparitions!$E$2:$E$5001,"○"))</f>
        <v/>
      </c>
    </row>
    <row r="231" customFormat="false" ht="15" hidden="false" customHeight="false" outlineLevel="0" collapsed="false">
      <c r="A231" s="19"/>
      <c r="B231" s="19"/>
      <c r="C231" s="19"/>
      <c r="D231" s="19"/>
      <c r="E231" s="26" t="str">
        <f aca="false">IF(A231="","",COUNTIF(Numéros!$A$2:$A$3001,A231))</f>
        <v/>
      </c>
      <c r="F231" s="26" t="str">
        <f aca="false">IF(A231="","",COUNTIF(Apparitions!$A$2:$A$5001,A231))</f>
        <v/>
      </c>
      <c r="G231" s="26" t="str">
        <f aca="false">IF(A231="","",COUNTIFS(Apparitions!$A$2:$A$5001,A231,Apparitions!$E$2:$E$5001,"○"))</f>
        <v/>
      </c>
    </row>
    <row r="232" customFormat="false" ht="15" hidden="false" customHeight="false" outlineLevel="0" collapsed="false">
      <c r="A232" s="19"/>
      <c r="B232" s="19"/>
      <c r="C232" s="19"/>
      <c r="D232" s="19"/>
      <c r="E232" s="26" t="str">
        <f aca="false">IF(A232="","",COUNTIF(Numéros!$A$2:$A$3001,A232))</f>
        <v/>
      </c>
      <c r="F232" s="26" t="str">
        <f aca="false">IF(A232="","",COUNTIF(Apparitions!$A$2:$A$5001,A232))</f>
        <v/>
      </c>
      <c r="G232" s="26" t="str">
        <f aca="false">IF(A232="","",COUNTIFS(Apparitions!$A$2:$A$5001,A232,Apparitions!$E$2:$E$5001,"○"))</f>
        <v/>
      </c>
    </row>
    <row r="233" customFormat="false" ht="15" hidden="false" customHeight="false" outlineLevel="0" collapsed="false">
      <c r="A233" s="19"/>
      <c r="B233" s="19"/>
      <c r="C233" s="19"/>
      <c r="D233" s="19"/>
      <c r="E233" s="26" t="str">
        <f aca="false">IF(A233="","",COUNTIF(Numéros!$A$2:$A$3001,A233))</f>
        <v/>
      </c>
      <c r="F233" s="26" t="str">
        <f aca="false">IF(A233="","",COUNTIF(Apparitions!$A$2:$A$5001,A233))</f>
        <v/>
      </c>
      <c r="G233" s="26" t="str">
        <f aca="false">IF(A233="","",COUNTIFS(Apparitions!$A$2:$A$5001,A233,Apparitions!$E$2:$E$5001,"○"))</f>
        <v/>
      </c>
    </row>
    <row r="234" customFormat="false" ht="15" hidden="false" customHeight="false" outlineLevel="0" collapsed="false">
      <c r="A234" s="19"/>
      <c r="B234" s="19"/>
      <c r="C234" s="19"/>
      <c r="D234" s="19"/>
      <c r="E234" s="26" t="str">
        <f aca="false">IF(A234="","",COUNTIF(Numéros!$A$2:$A$3001,A234))</f>
        <v/>
      </c>
      <c r="F234" s="26" t="str">
        <f aca="false">IF(A234="","",COUNTIF(Apparitions!$A$2:$A$5001,A234))</f>
        <v/>
      </c>
      <c r="G234" s="26" t="str">
        <f aca="false">IF(A234="","",COUNTIFS(Apparitions!$A$2:$A$5001,A234,Apparitions!$E$2:$E$5001,"○"))</f>
        <v/>
      </c>
    </row>
    <row r="235" customFormat="false" ht="15" hidden="false" customHeight="false" outlineLevel="0" collapsed="false">
      <c r="A235" s="19"/>
      <c r="B235" s="19"/>
      <c r="C235" s="19"/>
      <c r="D235" s="19"/>
      <c r="E235" s="26" t="str">
        <f aca="false">IF(A235="","",COUNTIF(Numéros!$A$2:$A$3001,A235))</f>
        <v/>
      </c>
      <c r="F235" s="26" t="str">
        <f aca="false">IF(A235="","",COUNTIF(Apparitions!$A$2:$A$5001,A235))</f>
        <v/>
      </c>
      <c r="G235" s="26" t="str">
        <f aca="false">IF(A235="","",COUNTIFS(Apparitions!$A$2:$A$5001,A235,Apparitions!$E$2:$E$5001,"○"))</f>
        <v/>
      </c>
    </row>
    <row r="236" customFormat="false" ht="15" hidden="false" customHeight="false" outlineLevel="0" collapsed="false">
      <c r="A236" s="19"/>
      <c r="B236" s="19"/>
      <c r="C236" s="19"/>
      <c r="D236" s="19"/>
      <c r="E236" s="26" t="str">
        <f aca="false">IF(A236="","",COUNTIF(Numéros!$A$2:$A$3001,A236))</f>
        <v/>
      </c>
      <c r="F236" s="26" t="str">
        <f aca="false">IF(A236="","",COUNTIF(Apparitions!$A$2:$A$5001,A236))</f>
        <v/>
      </c>
      <c r="G236" s="26" t="str">
        <f aca="false">IF(A236="","",COUNTIFS(Apparitions!$A$2:$A$5001,A236,Apparitions!$E$2:$E$5001,"○"))</f>
        <v/>
      </c>
    </row>
    <row r="237" customFormat="false" ht="15" hidden="false" customHeight="false" outlineLevel="0" collapsed="false">
      <c r="A237" s="19"/>
      <c r="B237" s="19"/>
      <c r="C237" s="19"/>
      <c r="D237" s="19"/>
      <c r="E237" s="26" t="str">
        <f aca="false">IF(A237="","",COUNTIF(Numéros!$A$2:$A$3001,A237))</f>
        <v/>
      </c>
      <c r="F237" s="26" t="str">
        <f aca="false">IF(A237="","",COUNTIF(Apparitions!$A$2:$A$5001,A237))</f>
        <v/>
      </c>
      <c r="G237" s="26" t="str">
        <f aca="false">IF(A237="","",COUNTIFS(Apparitions!$A$2:$A$5001,A237,Apparitions!$E$2:$E$5001,"○"))</f>
        <v/>
      </c>
    </row>
    <row r="238" customFormat="false" ht="15" hidden="false" customHeight="false" outlineLevel="0" collapsed="false">
      <c r="A238" s="19"/>
      <c r="B238" s="19"/>
      <c r="C238" s="19"/>
      <c r="D238" s="19"/>
      <c r="E238" s="26" t="str">
        <f aca="false">IF(A238="","",COUNTIF(Numéros!$A$2:$A$3001,A238))</f>
        <v/>
      </c>
      <c r="F238" s="26" t="str">
        <f aca="false">IF(A238="","",COUNTIF(Apparitions!$A$2:$A$5001,A238))</f>
        <v/>
      </c>
      <c r="G238" s="26" t="str">
        <f aca="false">IF(A238="","",COUNTIFS(Apparitions!$A$2:$A$5001,A238,Apparitions!$E$2:$E$5001,"○"))</f>
        <v/>
      </c>
    </row>
    <row r="239" customFormat="false" ht="15" hidden="false" customHeight="false" outlineLevel="0" collapsed="false">
      <c r="A239" s="19"/>
      <c r="B239" s="19"/>
      <c r="C239" s="19"/>
      <c r="D239" s="19"/>
      <c r="E239" s="26" t="str">
        <f aca="false">IF(A239="","",COUNTIF(Numéros!$A$2:$A$3001,A239))</f>
        <v/>
      </c>
      <c r="F239" s="26" t="str">
        <f aca="false">IF(A239="","",COUNTIF(Apparitions!$A$2:$A$5001,A239))</f>
        <v/>
      </c>
      <c r="G239" s="26" t="str">
        <f aca="false">IF(A239="","",COUNTIFS(Apparitions!$A$2:$A$5001,A239,Apparitions!$E$2:$E$5001,"○"))</f>
        <v/>
      </c>
    </row>
    <row r="240" customFormat="false" ht="15" hidden="false" customHeight="false" outlineLevel="0" collapsed="false">
      <c r="A240" s="19"/>
      <c r="B240" s="19"/>
      <c r="C240" s="19"/>
      <c r="D240" s="19"/>
      <c r="E240" s="26" t="str">
        <f aca="false">IF(A240="","",COUNTIF(Numéros!$A$2:$A$3001,A240))</f>
        <v/>
      </c>
      <c r="F240" s="26" t="str">
        <f aca="false">IF(A240="","",COUNTIF(Apparitions!$A$2:$A$5001,A240))</f>
        <v/>
      </c>
      <c r="G240" s="26" t="str">
        <f aca="false">IF(A240="","",COUNTIFS(Apparitions!$A$2:$A$5001,A240,Apparitions!$E$2:$E$5001,"○"))</f>
        <v/>
      </c>
    </row>
    <row r="241" customFormat="false" ht="15" hidden="false" customHeight="false" outlineLevel="0" collapsed="false">
      <c r="A241" s="19"/>
      <c r="B241" s="19"/>
      <c r="C241" s="19"/>
      <c r="D241" s="19"/>
      <c r="E241" s="26" t="str">
        <f aca="false">IF(A241="","",COUNTIF(Numéros!$A$2:$A$3001,A241))</f>
        <v/>
      </c>
      <c r="F241" s="26" t="str">
        <f aca="false">IF(A241="","",COUNTIF(Apparitions!$A$2:$A$5001,A241))</f>
        <v/>
      </c>
      <c r="G241" s="26" t="str">
        <f aca="false">IF(A241="","",COUNTIFS(Apparitions!$A$2:$A$5001,A241,Apparitions!$E$2:$E$5001,"○"))</f>
        <v/>
      </c>
    </row>
    <row r="242" customFormat="false" ht="15" hidden="false" customHeight="false" outlineLevel="0" collapsed="false">
      <c r="A242" s="19"/>
      <c r="B242" s="19"/>
      <c r="C242" s="19"/>
      <c r="D242" s="19"/>
      <c r="E242" s="26" t="str">
        <f aca="false">IF(A242="","",COUNTIF(Numéros!$A$2:$A$3001,A242))</f>
        <v/>
      </c>
      <c r="F242" s="26" t="str">
        <f aca="false">IF(A242="","",COUNTIF(Apparitions!$A$2:$A$5001,A242))</f>
        <v/>
      </c>
      <c r="G242" s="26" t="str">
        <f aca="false">IF(A242="","",COUNTIFS(Apparitions!$A$2:$A$5001,A242,Apparitions!$E$2:$E$5001,"○"))</f>
        <v/>
      </c>
    </row>
    <row r="243" customFormat="false" ht="15" hidden="false" customHeight="false" outlineLevel="0" collapsed="false">
      <c r="A243" s="19"/>
      <c r="B243" s="19"/>
      <c r="C243" s="19"/>
      <c r="D243" s="19"/>
      <c r="E243" s="26" t="str">
        <f aca="false">IF(A243="","",COUNTIF(Numéros!$A$2:$A$3001,A243))</f>
        <v/>
      </c>
      <c r="F243" s="26" t="str">
        <f aca="false">IF(A243="","",COUNTIF(Apparitions!$A$2:$A$5001,A243))</f>
        <v/>
      </c>
      <c r="G243" s="26" t="str">
        <f aca="false">IF(A243="","",COUNTIFS(Apparitions!$A$2:$A$5001,A243,Apparitions!$E$2:$E$5001,"○"))</f>
        <v/>
      </c>
    </row>
    <row r="244" customFormat="false" ht="15" hidden="false" customHeight="false" outlineLevel="0" collapsed="false">
      <c r="A244" s="19"/>
      <c r="B244" s="19"/>
      <c r="C244" s="19"/>
      <c r="D244" s="19"/>
      <c r="E244" s="26" t="str">
        <f aca="false">IF(A244="","",COUNTIF(Numéros!$A$2:$A$3001,A244))</f>
        <v/>
      </c>
      <c r="F244" s="26" t="str">
        <f aca="false">IF(A244="","",COUNTIF(Apparitions!$A$2:$A$5001,A244))</f>
        <v/>
      </c>
      <c r="G244" s="26" t="str">
        <f aca="false">IF(A244="","",COUNTIFS(Apparitions!$A$2:$A$5001,A244,Apparitions!$E$2:$E$5001,"○"))</f>
        <v/>
      </c>
    </row>
    <row r="245" customFormat="false" ht="15" hidden="false" customHeight="false" outlineLevel="0" collapsed="false">
      <c r="A245" s="19"/>
      <c r="B245" s="19"/>
      <c r="C245" s="19"/>
      <c r="D245" s="19"/>
      <c r="E245" s="26" t="str">
        <f aca="false">IF(A245="","",COUNTIF(Numéros!$A$2:$A$3001,A245))</f>
        <v/>
      </c>
      <c r="F245" s="26" t="str">
        <f aca="false">IF(A245="","",COUNTIF(Apparitions!$A$2:$A$5001,A245))</f>
        <v/>
      </c>
      <c r="G245" s="26" t="str">
        <f aca="false">IF(A245="","",COUNTIFS(Apparitions!$A$2:$A$5001,A245,Apparitions!$E$2:$E$5001,"○"))</f>
        <v/>
      </c>
    </row>
    <row r="246" customFormat="false" ht="15" hidden="false" customHeight="false" outlineLevel="0" collapsed="false">
      <c r="A246" s="19"/>
      <c r="B246" s="19"/>
      <c r="C246" s="19"/>
      <c r="D246" s="19"/>
      <c r="E246" s="26" t="str">
        <f aca="false">IF(A246="","",COUNTIF(Numéros!$A$2:$A$3001,A246))</f>
        <v/>
      </c>
      <c r="F246" s="26" t="str">
        <f aca="false">IF(A246="","",COUNTIF(Apparitions!$A$2:$A$5001,A246))</f>
        <v/>
      </c>
      <c r="G246" s="26" t="str">
        <f aca="false">IF(A246="","",COUNTIFS(Apparitions!$A$2:$A$5001,A246,Apparitions!$E$2:$E$5001,"○"))</f>
        <v/>
      </c>
    </row>
    <row r="247" customFormat="false" ht="15" hidden="false" customHeight="false" outlineLevel="0" collapsed="false">
      <c r="A247" s="19"/>
      <c r="B247" s="19"/>
      <c r="C247" s="19"/>
      <c r="D247" s="19"/>
      <c r="E247" s="26" t="str">
        <f aca="false">IF(A247="","",COUNTIF(Numéros!$A$2:$A$3001,A247))</f>
        <v/>
      </c>
      <c r="F247" s="26" t="str">
        <f aca="false">IF(A247="","",COUNTIF(Apparitions!$A$2:$A$5001,A247))</f>
        <v/>
      </c>
      <c r="G247" s="26" t="str">
        <f aca="false">IF(A247="","",COUNTIFS(Apparitions!$A$2:$A$5001,A247,Apparitions!$E$2:$E$5001,"○"))</f>
        <v/>
      </c>
    </row>
    <row r="248" customFormat="false" ht="15" hidden="false" customHeight="false" outlineLevel="0" collapsed="false">
      <c r="A248" s="19"/>
      <c r="B248" s="19"/>
      <c r="C248" s="19"/>
      <c r="D248" s="19"/>
      <c r="E248" s="26" t="str">
        <f aca="false">IF(A248="","",COUNTIF(Numéros!$A$2:$A$3001,A248))</f>
        <v/>
      </c>
      <c r="F248" s="26" t="str">
        <f aca="false">IF(A248="","",COUNTIF(Apparitions!$A$2:$A$5001,A248))</f>
        <v/>
      </c>
      <c r="G248" s="26" t="str">
        <f aca="false">IF(A248="","",COUNTIFS(Apparitions!$A$2:$A$5001,A248,Apparitions!$E$2:$E$5001,"○"))</f>
        <v/>
      </c>
    </row>
    <row r="249" customFormat="false" ht="15" hidden="false" customHeight="false" outlineLevel="0" collapsed="false">
      <c r="A249" s="19"/>
      <c r="B249" s="19"/>
      <c r="C249" s="19"/>
      <c r="D249" s="19"/>
      <c r="E249" s="26" t="str">
        <f aca="false">IF(A249="","",COUNTIF(Numéros!$A$2:$A$3001,A249))</f>
        <v/>
      </c>
      <c r="F249" s="26" t="str">
        <f aca="false">IF(A249="","",COUNTIF(Apparitions!$A$2:$A$5001,A249))</f>
        <v/>
      </c>
      <c r="G249" s="26" t="str">
        <f aca="false">IF(A249="","",COUNTIFS(Apparitions!$A$2:$A$5001,A249,Apparitions!$E$2:$E$5001,"○"))</f>
        <v/>
      </c>
    </row>
    <row r="250" customFormat="false" ht="15" hidden="false" customHeight="false" outlineLevel="0" collapsed="false">
      <c r="A250" s="19"/>
      <c r="B250" s="19"/>
      <c r="C250" s="19"/>
      <c r="D250" s="19"/>
      <c r="E250" s="26" t="str">
        <f aca="false">IF(A250="","",COUNTIF(Numéros!$A$2:$A$3001,A250))</f>
        <v/>
      </c>
      <c r="F250" s="26" t="str">
        <f aca="false">IF(A250="","",COUNTIF(Apparitions!$A$2:$A$5001,A250))</f>
        <v/>
      </c>
      <c r="G250" s="26" t="str">
        <f aca="false">IF(A250="","",COUNTIFS(Apparitions!$A$2:$A$5001,A250,Apparitions!$E$2:$E$5001,"○"))</f>
        <v/>
      </c>
    </row>
    <row r="251" customFormat="false" ht="15" hidden="false" customHeight="false" outlineLevel="0" collapsed="false">
      <c r="A251" s="19"/>
      <c r="B251" s="19"/>
      <c r="C251" s="19"/>
      <c r="D251" s="19"/>
      <c r="E251" s="26" t="str">
        <f aca="false">IF(A251="","",COUNTIF(Numéros!$A$2:$A$3001,A251))</f>
        <v/>
      </c>
      <c r="F251" s="26" t="str">
        <f aca="false">IF(A251="","",COUNTIF(Apparitions!$A$2:$A$5001,A251))</f>
        <v/>
      </c>
      <c r="G251" s="26" t="str">
        <f aca="false">IF(A251="","",COUNTIFS(Apparitions!$A$2:$A$5001,A251,Apparitions!$E$2:$E$5001,"○"))</f>
        <v/>
      </c>
    </row>
    <row r="252" customFormat="false" ht="15" hidden="false" customHeight="false" outlineLevel="0" collapsed="false">
      <c r="A252" s="19"/>
      <c r="B252" s="19"/>
      <c r="C252" s="19"/>
      <c r="D252" s="19"/>
      <c r="E252" s="26" t="str">
        <f aca="false">IF(A252="","",COUNTIF(Numéros!$A$2:$A$3001,A252))</f>
        <v/>
      </c>
      <c r="F252" s="26" t="str">
        <f aca="false">IF(A252="","",COUNTIF(Apparitions!$A$2:$A$5001,A252))</f>
        <v/>
      </c>
      <c r="G252" s="26" t="str">
        <f aca="false">IF(A252="","",COUNTIFS(Apparitions!$A$2:$A$5001,A252,Apparitions!$E$2:$E$5001,"○"))</f>
        <v/>
      </c>
    </row>
    <row r="253" customFormat="false" ht="15" hidden="false" customHeight="false" outlineLevel="0" collapsed="false">
      <c r="A253" s="19"/>
      <c r="B253" s="19"/>
      <c r="C253" s="19"/>
      <c r="D253" s="19"/>
      <c r="E253" s="26" t="str">
        <f aca="false">IF(A253="","",COUNTIF(Numéros!$A$2:$A$3001,A253))</f>
        <v/>
      </c>
      <c r="F253" s="26" t="str">
        <f aca="false">IF(A253="","",COUNTIF(Apparitions!$A$2:$A$5001,A253))</f>
        <v/>
      </c>
      <c r="G253" s="26" t="str">
        <f aca="false">IF(A253="","",COUNTIFS(Apparitions!$A$2:$A$5001,A253,Apparitions!$E$2:$E$5001,"○"))</f>
        <v/>
      </c>
    </row>
    <row r="254" customFormat="false" ht="15" hidden="false" customHeight="false" outlineLevel="0" collapsed="false">
      <c r="A254" s="19"/>
      <c r="B254" s="19"/>
      <c r="C254" s="19"/>
      <c r="D254" s="19"/>
      <c r="E254" s="26" t="str">
        <f aca="false">IF(A254="","",COUNTIF(Numéros!$A$2:$A$3001,A254))</f>
        <v/>
      </c>
      <c r="F254" s="26" t="str">
        <f aca="false">IF(A254="","",COUNTIF(Apparitions!$A$2:$A$5001,A254))</f>
        <v/>
      </c>
      <c r="G254" s="26" t="str">
        <f aca="false">IF(A254="","",COUNTIFS(Apparitions!$A$2:$A$5001,A254,Apparitions!$E$2:$E$5001,"○"))</f>
        <v/>
      </c>
    </row>
    <row r="255" customFormat="false" ht="15" hidden="false" customHeight="false" outlineLevel="0" collapsed="false">
      <c r="A255" s="19"/>
      <c r="B255" s="19"/>
      <c r="C255" s="19"/>
      <c r="D255" s="19"/>
      <c r="E255" s="26" t="str">
        <f aca="false">IF(A255="","",COUNTIF(Numéros!$A$2:$A$3001,A255))</f>
        <v/>
      </c>
      <c r="F255" s="26" t="str">
        <f aca="false">IF(A255="","",COUNTIF(Apparitions!$A$2:$A$5001,A255))</f>
        <v/>
      </c>
      <c r="G255" s="26" t="str">
        <f aca="false">IF(A255="","",COUNTIFS(Apparitions!$A$2:$A$5001,A255,Apparitions!$E$2:$E$5001,"○"))</f>
        <v/>
      </c>
    </row>
    <row r="256" customFormat="false" ht="15" hidden="false" customHeight="false" outlineLevel="0" collapsed="false">
      <c r="A256" s="19"/>
      <c r="B256" s="19"/>
      <c r="C256" s="19"/>
      <c r="D256" s="19"/>
      <c r="E256" s="26" t="str">
        <f aca="false">IF(A256="","",COUNTIF(Numéros!$A$2:$A$3001,A256))</f>
        <v/>
      </c>
      <c r="F256" s="26" t="str">
        <f aca="false">IF(A256="","",COUNTIF(Apparitions!$A$2:$A$5001,A256))</f>
        <v/>
      </c>
      <c r="G256" s="26" t="str">
        <f aca="false">IF(A256="","",COUNTIFS(Apparitions!$A$2:$A$5001,A256,Apparitions!$E$2:$E$5001,"○"))</f>
        <v/>
      </c>
    </row>
    <row r="257" customFormat="false" ht="15" hidden="false" customHeight="false" outlineLevel="0" collapsed="false">
      <c r="A257" s="19"/>
      <c r="B257" s="19"/>
      <c r="C257" s="19"/>
      <c r="D257" s="19"/>
      <c r="E257" s="26" t="str">
        <f aca="false">IF(A257="","",COUNTIF(Numéros!$A$2:$A$3001,A257))</f>
        <v/>
      </c>
      <c r="F257" s="26" t="str">
        <f aca="false">IF(A257="","",COUNTIF(Apparitions!$A$2:$A$5001,A257))</f>
        <v/>
      </c>
      <c r="G257" s="26" t="str">
        <f aca="false">IF(A257="","",COUNTIFS(Apparitions!$A$2:$A$5001,A257,Apparitions!$E$2:$E$5001,"○"))</f>
        <v/>
      </c>
    </row>
    <row r="258" customFormat="false" ht="15" hidden="false" customHeight="false" outlineLevel="0" collapsed="false">
      <c r="A258" s="19"/>
      <c r="B258" s="19"/>
      <c r="C258" s="19"/>
      <c r="D258" s="19"/>
      <c r="E258" s="26" t="str">
        <f aca="false">IF(A258="","",COUNTIF(Numéros!$A$2:$A$3001,A258))</f>
        <v/>
      </c>
      <c r="F258" s="26" t="str">
        <f aca="false">IF(A258="","",COUNTIF(Apparitions!$A$2:$A$5001,A258))</f>
        <v/>
      </c>
      <c r="G258" s="26" t="str">
        <f aca="false">IF(A258="","",COUNTIFS(Apparitions!$A$2:$A$5001,A258,Apparitions!$E$2:$E$5001,"○"))</f>
        <v/>
      </c>
    </row>
    <row r="259" customFormat="false" ht="15" hidden="false" customHeight="false" outlineLevel="0" collapsed="false">
      <c r="A259" s="19"/>
      <c r="B259" s="19"/>
      <c r="C259" s="19"/>
      <c r="D259" s="19"/>
      <c r="E259" s="26" t="str">
        <f aca="false">IF(A259="","",COUNTIF(Numéros!$A$2:$A$3001,A259))</f>
        <v/>
      </c>
      <c r="F259" s="26" t="str">
        <f aca="false">IF(A259="","",COUNTIF(Apparitions!$A$2:$A$5001,A259))</f>
        <v/>
      </c>
      <c r="G259" s="26" t="str">
        <f aca="false">IF(A259="","",COUNTIFS(Apparitions!$A$2:$A$5001,A259,Apparitions!$E$2:$E$5001,"○"))</f>
        <v/>
      </c>
    </row>
    <row r="260" customFormat="false" ht="15" hidden="false" customHeight="false" outlineLevel="0" collapsed="false">
      <c r="A260" s="19"/>
      <c r="B260" s="19"/>
      <c r="C260" s="19"/>
      <c r="D260" s="19"/>
      <c r="E260" s="26" t="str">
        <f aca="false">IF(A260="","",COUNTIF(Numéros!$A$2:$A$3001,A260))</f>
        <v/>
      </c>
      <c r="F260" s="26" t="str">
        <f aca="false">IF(A260="","",COUNTIF(Apparitions!$A$2:$A$5001,A260))</f>
        <v/>
      </c>
      <c r="G260" s="26" t="str">
        <f aca="false">IF(A260="","",COUNTIFS(Apparitions!$A$2:$A$5001,A260,Apparitions!$E$2:$E$5001,"○"))</f>
        <v/>
      </c>
    </row>
    <row r="261" customFormat="false" ht="15" hidden="false" customHeight="false" outlineLevel="0" collapsed="false">
      <c r="A261" s="19"/>
      <c r="B261" s="19"/>
      <c r="C261" s="19"/>
      <c r="D261" s="19"/>
      <c r="E261" s="26" t="str">
        <f aca="false">IF(A261="","",COUNTIF(Numéros!$A$2:$A$3001,A261))</f>
        <v/>
      </c>
      <c r="F261" s="26" t="str">
        <f aca="false">IF(A261="","",COUNTIF(Apparitions!$A$2:$A$5001,A261))</f>
        <v/>
      </c>
      <c r="G261" s="26" t="str">
        <f aca="false">IF(A261="","",COUNTIFS(Apparitions!$A$2:$A$5001,A261,Apparitions!$E$2:$E$5001,"○"))</f>
        <v/>
      </c>
    </row>
    <row r="262" customFormat="false" ht="15" hidden="false" customHeight="false" outlineLevel="0" collapsed="false">
      <c r="A262" s="19"/>
      <c r="B262" s="19"/>
      <c r="C262" s="19"/>
      <c r="D262" s="19"/>
      <c r="E262" s="26" t="str">
        <f aca="false">IF(A262="","",COUNTIF(Numéros!$A$2:$A$3001,A262))</f>
        <v/>
      </c>
      <c r="F262" s="26" t="str">
        <f aca="false">IF(A262="","",COUNTIF(Apparitions!$A$2:$A$5001,A262))</f>
        <v/>
      </c>
      <c r="G262" s="26" t="str">
        <f aca="false">IF(A262="","",COUNTIFS(Apparitions!$A$2:$A$5001,A262,Apparitions!$E$2:$E$5001,"○"))</f>
        <v/>
      </c>
    </row>
    <row r="263" customFormat="false" ht="15" hidden="false" customHeight="false" outlineLevel="0" collapsed="false">
      <c r="A263" s="19"/>
      <c r="B263" s="19"/>
      <c r="C263" s="19"/>
      <c r="D263" s="19"/>
      <c r="E263" s="26" t="str">
        <f aca="false">IF(A263="","",COUNTIF(Numéros!$A$2:$A$3001,A263))</f>
        <v/>
      </c>
      <c r="F263" s="26" t="str">
        <f aca="false">IF(A263="","",COUNTIF(Apparitions!$A$2:$A$5001,A263))</f>
        <v/>
      </c>
      <c r="G263" s="26" t="str">
        <f aca="false">IF(A263="","",COUNTIFS(Apparitions!$A$2:$A$5001,A263,Apparitions!$E$2:$E$5001,"○"))</f>
        <v/>
      </c>
    </row>
    <row r="264" customFormat="false" ht="15" hidden="false" customHeight="false" outlineLevel="0" collapsed="false">
      <c r="A264" s="19"/>
      <c r="B264" s="19"/>
      <c r="C264" s="19"/>
      <c r="D264" s="19"/>
      <c r="E264" s="26" t="str">
        <f aca="false">IF(A264="","",COUNTIF(Numéros!$A$2:$A$3001,A264))</f>
        <v/>
      </c>
      <c r="F264" s="26" t="str">
        <f aca="false">IF(A264="","",COUNTIF(Apparitions!$A$2:$A$5001,A264))</f>
        <v/>
      </c>
      <c r="G264" s="26" t="str">
        <f aca="false">IF(A264="","",COUNTIFS(Apparitions!$A$2:$A$5001,A264,Apparitions!$E$2:$E$5001,"○"))</f>
        <v/>
      </c>
    </row>
    <row r="265" customFormat="false" ht="15" hidden="false" customHeight="false" outlineLevel="0" collapsed="false">
      <c r="A265" s="19"/>
      <c r="B265" s="19"/>
      <c r="C265" s="19"/>
      <c r="D265" s="19"/>
      <c r="E265" s="26" t="str">
        <f aca="false">IF(A265="","",COUNTIF(Numéros!$A$2:$A$3001,A265))</f>
        <v/>
      </c>
      <c r="F265" s="26" t="str">
        <f aca="false">IF(A265="","",COUNTIF(Apparitions!$A$2:$A$5001,A265))</f>
        <v/>
      </c>
      <c r="G265" s="26" t="str">
        <f aca="false">IF(A265="","",COUNTIFS(Apparitions!$A$2:$A$5001,A265,Apparitions!$E$2:$E$5001,"○"))</f>
        <v/>
      </c>
    </row>
    <row r="266" customFormat="false" ht="15" hidden="false" customHeight="false" outlineLevel="0" collapsed="false">
      <c r="A266" s="19"/>
      <c r="B266" s="19"/>
      <c r="C266" s="19"/>
      <c r="D266" s="19"/>
      <c r="E266" s="26" t="str">
        <f aca="false">IF(A266="","",COUNTIF(Numéros!$A$2:$A$3001,A266))</f>
        <v/>
      </c>
      <c r="F266" s="26" t="str">
        <f aca="false">IF(A266="","",COUNTIF(Apparitions!$A$2:$A$5001,A266))</f>
        <v/>
      </c>
      <c r="G266" s="26" t="str">
        <f aca="false">IF(A266="","",COUNTIFS(Apparitions!$A$2:$A$5001,A266,Apparitions!$E$2:$E$5001,"○"))</f>
        <v/>
      </c>
    </row>
    <row r="267" customFormat="false" ht="15" hidden="false" customHeight="false" outlineLevel="0" collapsed="false">
      <c r="A267" s="19"/>
      <c r="B267" s="19"/>
      <c r="C267" s="19"/>
      <c r="D267" s="19"/>
      <c r="E267" s="26" t="str">
        <f aca="false">IF(A267="","",COUNTIF(Numéros!$A$2:$A$3001,A267))</f>
        <v/>
      </c>
      <c r="F267" s="26" t="str">
        <f aca="false">IF(A267="","",COUNTIF(Apparitions!$A$2:$A$5001,A267))</f>
        <v/>
      </c>
      <c r="G267" s="26" t="str">
        <f aca="false">IF(A267="","",COUNTIFS(Apparitions!$A$2:$A$5001,A267,Apparitions!$E$2:$E$5001,"○"))</f>
        <v/>
      </c>
    </row>
    <row r="268" customFormat="false" ht="15" hidden="false" customHeight="false" outlineLevel="0" collapsed="false">
      <c r="A268" s="19"/>
      <c r="B268" s="19"/>
      <c r="C268" s="19"/>
      <c r="D268" s="19"/>
      <c r="E268" s="26" t="str">
        <f aca="false">IF(A268="","",COUNTIF(Numéros!$A$2:$A$3001,A268))</f>
        <v/>
      </c>
      <c r="F268" s="26" t="str">
        <f aca="false">IF(A268="","",COUNTIF(Apparitions!$A$2:$A$5001,A268))</f>
        <v/>
      </c>
      <c r="G268" s="26" t="str">
        <f aca="false">IF(A268="","",COUNTIFS(Apparitions!$A$2:$A$5001,A268,Apparitions!$E$2:$E$5001,"○"))</f>
        <v/>
      </c>
    </row>
    <row r="269" customFormat="false" ht="15" hidden="false" customHeight="false" outlineLevel="0" collapsed="false">
      <c r="A269" s="19"/>
      <c r="B269" s="19"/>
      <c r="C269" s="19"/>
      <c r="D269" s="19"/>
      <c r="E269" s="26" t="str">
        <f aca="false">IF(A269="","",COUNTIF(Numéros!$A$2:$A$3001,A269))</f>
        <v/>
      </c>
      <c r="F269" s="26" t="str">
        <f aca="false">IF(A269="","",COUNTIF(Apparitions!$A$2:$A$5001,A269))</f>
        <v/>
      </c>
      <c r="G269" s="26" t="str">
        <f aca="false">IF(A269="","",COUNTIFS(Apparitions!$A$2:$A$5001,A269,Apparitions!$E$2:$E$5001,"○"))</f>
        <v/>
      </c>
    </row>
    <row r="270" customFormat="false" ht="15" hidden="false" customHeight="false" outlineLevel="0" collapsed="false">
      <c r="A270" s="19"/>
      <c r="B270" s="19"/>
      <c r="C270" s="19"/>
      <c r="D270" s="19"/>
      <c r="E270" s="26" t="str">
        <f aca="false">IF(A270="","",COUNTIF(Numéros!$A$2:$A$3001,A270))</f>
        <v/>
      </c>
      <c r="F270" s="26" t="str">
        <f aca="false">IF(A270="","",COUNTIF(Apparitions!$A$2:$A$5001,A270))</f>
        <v/>
      </c>
      <c r="G270" s="26" t="str">
        <f aca="false">IF(A270="","",COUNTIFS(Apparitions!$A$2:$A$5001,A270,Apparitions!$E$2:$E$5001,"○"))</f>
        <v/>
      </c>
    </row>
    <row r="271" customFormat="false" ht="15" hidden="false" customHeight="false" outlineLevel="0" collapsed="false">
      <c r="A271" s="19"/>
      <c r="B271" s="19"/>
      <c r="C271" s="19"/>
      <c r="D271" s="19"/>
      <c r="E271" s="26" t="str">
        <f aca="false">IF(A271="","",COUNTIF(Numéros!$A$2:$A$3001,A271))</f>
        <v/>
      </c>
      <c r="F271" s="26" t="str">
        <f aca="false">IF(A271="","",COUNTIF(Apparitions!$A$2:$A$5001,A271))</f>
        <v/>
      </c>
      <c r="G271" s="26" t="str">
        <f aca="false">IF(A271="","",COUNTIFS(Apparitions!$A$2:$A$5001,A271,Apparitions!$E$2:$E$5001,"○"))</f>
        <v/>
      </c>
    </row>
    <row r="272" customFormat="false" ht="15" hidden="false" customHeight="false" outlineLevel="0" collapsed="false">
      <c r="A272" s="19"/>
      <c r="B272" s="19"/>
      <c r="C272" s="19"/>
      <c r="D272" s="19"/>
      <c r="E272" s="26" t="str">
        <f aca="false">IF(A272="","",COUNTIF(Numéros!$A$2:$A$3001,A272))</f>
        <v/>
      </c>
      <c r="F272" s="26" t="str">
        <f aca="false">IF(A272="","",COUNTIF(Apparitions!$A$2:$A$5001,A272))</f>
        <v/>
      </c>
      <c r="G272" s="26" t="str">
        <f aca="false">IF(A272="","",COUNTIFS(Apparitions!$A$2:$A$5001,A272,Apparitions!$E$2:$E$5001,"○"))</f>
        <v/>
      </c>
    </row>
    <row r="273" customFormat="false" ht="15" hidden="false" customHeight="false" outlineLevel="0" collapsed="false">
      <c r="A273" s="19"/>
      <c r="B273" s="19"/>
      <c r="C273" s="19"/>
      <c r="D273" s="19"/>
      <c r="E273" s="26" t="str">
        <f aca="false">IF(A273="","",COUNTIF(Numéros!$A$2:$A$3001,A273))</f>
        <v/>
      </c>
      <c r="F273" s="26" t="str">
        <f aca="false">IF(A273="","",COUNTIF(Apparitions!$A$2:$A$5001,A273))</f>
        <v/>
      </c>
      <c r="G273" s="26" t="str">
        <f aca="false">IF(A273="","",COUNTIFS(Apparitions!$A$2:$A$5001,A273,Apparitions!$E$2:$E$5001,"○"))</f>
        <v/>
      </c>
    </row>
    <row r="274" customFormat="false" ht="15" hidden="false" customHeight="false" outlineLevel="0" collapsed="false">
      <c r="A274" s="19"/>
      <c r="B274" s="19"/>
      <c r="C274" s="19"/>
      <c r="D274" s="19"/>
      <c r="E274" s="26" t="str">
        <f aca="false">IF(A274="","",COUNTIF(Numéros!$A$2:$A$3001,A274))</f>
        <v/>
      </c>
      <c r="F274" s="26" t="str">
        <f aca="false">IF(A274="","",COUNTIF(Apparitions!$A$2:$A$5001,A274))</f>
        <v/>
      </c>
      <c r="G274" s="26" t="str">
        <f aca="false">IF(A274="","",COUNTIFS(Apparitions!$A$2:$A$5001,A274,Apparitions!$E$2:$E$5001,"○"))</f>
        <v/>
      </c>
    </row>
    <row r="275" customFormat="false" ht="15" hidden="false" customHeight="false" outlineLevel="0" collapsed="false">
      <c r="A275" s="19"/>
      <c r="B275" s="19"/>
      <c r="C275" s="19"/>
      <c r="D275" s="19"/>
      <c r="E275" s="26" t="str">
        <f aca="false">IF(A275="","",COUNTIF(Numéros!$A$2:$A$3001,A275))</f>
        <v/>
      </c>
      <c r="F275" s="26" t="str">
        <f aca="false">IF(A275="","",COUNTIF(Apparitions!$A$2:$A$5001,A275))</f>
        <v/>
      </c>
      <c r="G275" s="26" t="str">
        <f aca="false">IF(A275="","",COUNTIFS(Apparitions!$A$2:$A$5001,A275,Apparitions!$E$2:$E$5001,"○"))</f>
        <v/>
      </c>
    </row>
    <row r="276" customFormat="false" ht="15" hidden="false" customHeight="false" outlineLevel="0" collapsed="false">
      <c r="A276" s="19"/>
      <c r="B276" s="19"/>
      <c r="C276" s="19"/>
      <c r="D276" s="19"/>
      <c r="E276" s="26" t="str">
        <f aca="false">IF(A276="","",COUNTIF(Numéros!$A$2:$A$3001,A276))</f>
        <v/>
      </c>
      <c r="F276" s="26" t="str">
        <f aca="false">IF(A276="","",COUNTIF(Apparitions!$A$2:$A$5001,A276))</f>
        <v/>
      </c>
      <c r="G276" s="26" t="str">
        <f aca="false">IF(A276="","",COUNTIFS(Apparitions!$A$2:$A$5001,A276,Apparitions!$E$2:$E$5001,"○"))</f>
        <v/>
      </c>
    </row>
    <row r="277" customFormat="false" ht="15" hidden="false" customHeight="false" outlineLevel="0" collapsed="false">
      <c r="A277" s="19"/>
      <c r="B277" s="19"/>
      <c r="C277" s="19"/>
      <c r="D277" s="19"/>
      <c r="E277" s="26" t="str">
        <f aca="false">IF(A277="","",COUNTIF(Numéros!$A$2:$A$3001,A277))</f>
        <v/>
      </c>
      <c r="F277" s="26" t="str">
        <f aca="false">IF(A277="","",COUNTIF(Apparitions!$A$2:$A$5001,A277))</f>
        <v/>
      </c>
      <c r="G277" s="26" t="str">
        <f aca="false">IF(A277="","",COUNTIFS(Apparitions!$A$2:$A$5001,A277,Apparitions!$E$2:$E$5001,"○"))</f>
        <v/>
      </c>
    </row>
    <row r="278" customFormat="false" ht="15" hidden="false" customHeight="false" outlineLevel="0" collapsed="false">
      <c r="A278" s="19"/>
      <c r="B278" s="19"/>
      <c r="C278" s="19"/>
      <c r="D278" s="19"/>
      <c r="E278" s="26" t="str">
        <f aca="false">IF(A278="","",COUNTIF(Numéros!$A$2:$A$3001,A278))</f>
        <v/>
      </c>
      <c r="F278" s="26" t="str">
        <f aca="false">IF(A278="","",COUNTIF(Apparitions!$A$2:$A$5001,A278))</f>
        <v/>
      </c>
      <c r="G278" s="26" t="str">
        <f aca="false">IF(A278="","",COUNTIFS(Apparitions!$A$2:$A$5001,A278,Apparitions!$E$2:$E$5001,"○"))</f>
        <v/>
      </c>
    </row>
    <row r="279" customFormat="false" ht="15" hidden="false" customHeight="false" outlineLevel="0" collapsed="false">
      <c r="A279" s="19"/>
      <c r="B279" s="19"/>
      <c r="C279" s="19"/>
      <c r="D279" s="19"/>
      <c r="E279" s="26" t="str">
        <f aca="false">IF(A279="","",COUNTIF(Numéros!$A$2:$A$3001,A279))</f>
        <v/>
      </c>
      <c r="F279" s="26" t="str">
        <f aca="false">IF(A279="","",COUNTIF(Apparitions!$A$2:$A$5001,A279))</f>
        <v/>
      </c>
      <c r="G279" s="26" t="str">
        <f aca="false">IF(A279="","",COUNTIFS(Apparitions!$A$2:$A$5001,A279,Apparitions!$E$2:$E$5001,"○"))</f>
        <v/>
      </c>
    </row>
    <row r="280" customFormat="false" ht="15" hidden="false" customHeight="false" outlineLevel="0" collapsed="false">
      <c r="A280" s="19"/>
      <c r="B280" s="19"/>
      <c r="C280" s="19"/>
      <c r="D280" s="19"/>
      <c r="E280" s="26" t="str">
        <f aca="false">IF(A280="","",COUNTIF(Numéros!$A$2:$A$3001,A280))</f>
        <v/>
      </c>
      <c r="F280" s="26" t="str">
        <f aca="false">IF(A280="","",COUNTIF(Apparitions!$A$2:$A$5001,A280))</f>
        <v/>
      </c>
      <c r="G280" s="26" t="str">
        <f aca="false">IF(A280="","",COUNTIFS(Apparitions!$A$2:$A$5001,A280,Apparitions!$E$2:$E$5001,"○"))</f>
        <v/>
      </c>
    </row>
    <row r="281" customFormat="false" ht="15" hidden="false" customHeight="false" outlineLevel="0" collapsed="false">
      <c r="A281" s="19"/>
      <c r="B281" s="19"/>
      <c r="C281" s="19"/>
      <c r="D281" s="19"/>
      <c r="E281" s="26" t="str">
        <f aca="false">IF(A281="","",COUNTIF(Numéros!$A$2:$A$3001,A281))</f>
        <v/>
      </c>
      <c r="F281" s="26" t="str">
        <f aca="false">IF(A281="","",COUNTIF(Apparitions!$A$2:$A$5001,A281))</f>
        <v/>
      </c>
      <c r="G281" s="26" t="str">
        <f aca="false">IF(A281="","",COUNTIFS(Apparitions!$A$2:$A$5001,A281,Apparitions!$E$2:$E$5001,"○"))</f>
        <v/>
      </c>
    </row>
    <row r="282" customFormat="false" ht="15" hidden="false" customHeight="false" outlineLevel="0" collapsed="false">
      <c r="A282" s="19"/>
      <c r="B282" s="19"/>
      <c r="C282" s="19"/>
      <c r="D282" s="19"/>
      <c r="E282" s="26" t="str">
        <f aca="false">IF(A282="","",COUNTIF(Numéros!$A$2:$A$3001,A282))</f>
        <v/>
      </c>
      <c r="F282" s="26" t="str">
        <f aca="false">IF(A282="","",COUNTIF(Apparitions!$A$2:$A$5001,A282))</f>
        <v/>
      </c>
      <c r="G282" s="26" t="str">
        <f aca="false">IF(A282="","",COUNTIFS(Apparitions!$A$2:$A$5001,A282,Apparitions!$E$2:$E$5001,"○"))</f>
        <v/>
      </c>
    </row>
    <row r="283" customFormat="false" ht="15" hidden="false" customHeight="false" outlineLevel="0" collapsed="false">
      <c r="A283" s="19"/>
      <c r="B283" s="19"/>
      <c r="C283" s="19"/>
      <c r="D283" s="19"/>
      <c r="E283" s="26" t="str">
        <f aca="false">IF(A283="","",COUNTIF(Numéros!$A$2:$A$3001,A283))</f>
        <v/>
      </c>
      <c r="F283" s="26" t="str">
        <f aca="false">IF(A283="","",COUNTIF(Apparitions!$A$2:$A$5001,A283))</f>
        <v/>
      </c>
      <c r="G283" s="26" t="str">
        <f aca="false">IF(A283="","",COUNTIFS(Apparitions!$A$2:$A$5001,A283,Apparitions!$E$2:$E$5001,"○"))</f>
        <v/>
      </c>
    </row>
    <row r="284" customFormat="false" ht="15" hidden="false" customHeight="false" outlineLevel="0" collapsed="false">
      <c r="A284" s="19"/>
      <c r="B284" s="19"/>
      <c r="C284" s="19"/>
      <c r="D284" s="19"/>
      <c r="E284" s="26" t="str">
        <f aca="false">IF(A284="","",COUNTIF(Numéros!$A$2:$A$3001,A284))</f>
        <v/>
      </c>
      <c r="F284" s="26" t="str">
        <f aca="false">IF(A284="","",COUNTIF(Apparitions!$A$2:$A$5001,A284))</f>
        <v/>
      </c>
      <c r="G284" s="26" t="str">
        <f aca="false">IF(A284="","",COUNTIFS(Apparitions!$A$2:$A$5001,A284,Apparitions!$E$2:$E$5001,"○"))</f>
        <v/>
      </c>
    </row>
    <row r="285" customFormat="false" ht="15" hidden="false" customHeight="false" outlineLevel="0" collapsed="false">
      <c r="A285" s="19"/>
      <c r="B285" s="19"/>
      <c r="C285" s="19"/>
      <c r="D285" s="19"/>
      <c r="E285" s="26" t="str">
        <f aca="false">IF(A285="","",COUNTIF(Numéros!$A$2:$A$3001,A285))</f>
        <v/>
      </c>
      <c r="F285" s="26" t="str">
        <f aca="false">IF(A285="","",COUNTIF(Apparitions!$A$2:$A$5001,A285))</f>
        <v/>
      </c>
      <c r="G285" s="26" t="str">
        <f aca="false">IF(A285="","",COUNTIFS(Apparitions!$A$2:$A$5001,A285,Apparitions!$E$2:$E$5001,"○"))</f>
        <v/>
      </c>
    </row>
    <row r="286" customFormat="false" ht="15" hidden="false" customHeight="false" outlineLevel="0" collapsed="false">
      <c r="A286" s="19"/>
      <c r="B286" s="19"/>
      <c r="C286" s="19"/>
      <c r="D286" s="19"/>
      <c r="E286" s="26" t="str">
        <f aca="false">IF(A286="","",COUNTIF(Numéros!$A$2:$A$3001,A286))</f>
        <v/>
      </c>
      <c r="F286" s="26" t="str">
        <f aca="false">IF(A286="","",COUNTIF(Apparitions!$A$2:$A$5001,A286))</f>
        <v/>
      </c>
      <c r="G286" s="26" t="str">
        <f aca="false">IF(A286="","",COUNTIFS(Apparitions!$A$2:$A$5001,A286,Apparitions!$E$2:$E$5001,"○"))</f>
        <v/>
      </c>
    </row>
    <row r="287" customFormat="false" ht="15" hidden="false" customHeight="false" outlineLevel="0" collapsed="false">
      <c r="A287" s="19"/>
      <c r="B287" s="19"/>
      <c r="C287" s="19"/>
      <c r="D287" s="19"/>
      <c r="E287" s="26" t="str">
        <f aca="false">IF(A287="","",COUNTIF(Numéros!$A$2:$A$3001,A287))</f>
        <v/>
      </c>
      <c r="F287" s="26" t="str">
        <f aca="false">IF(A287="","",COUNTIF(Apparitions!$A$2:$A$5001,A287))</f>
        <v/>
      </c>
      <c r="G287" s="26" t="str">
        <f aca="false">IF(A287="","",COUNTIFS(Apparitions!$A$2:$A$5001,A287,Apparitions!$E$2:$E$5001,"○"))</f>
        <v/>
      </c>
    </row>
    <row r="288" customFormat="false" ht="15" hidden="false" customHeight="false" outlineLevel="0" collapsed="false">
      <c r="A288" s="19"/>
      <c r="B288" s="19"/>
      <c r="C288" s="19"/>
      <c r="D288" s="19"/>
      <c r="E288" s="26" t="str">
        <f aca="false">IF(A288="","",COUNTIF(Numéros!$A$2:$A$3001,A288))</f>
        <v/>
      </c>
      <c r="F288" s="26" t="str">
        <f aca="false">IF(A288="","",COUNTIF(Apparitions!$A$2:$A$5001,A288))</f>
        <v/>
      </c>
      <c r="G288" s="26" t="str">
        <f aca="false">IF(A288="","",COUNTIFS(Apparitions!$A$2:$A$5001,A288,Apparitions!$E$2:$E$5001,"○"))</f>
        <v/>
      </c>
    </row>
    <row r="289" customFormat="false" ht="15" hidden="false" customHeight="false" outlineLevel="0" collapsed="false">
      <c r="A289" s="19"/>
      <c r="B289" s="19"/>
      <c r="C289" s="19"/>
      <c r="D289" s="19"/>
      <c r="E289" s="26" t="str">
        <f aca="false">IF(A289="","",COUNTIF(Numéros!$A$2:$A$3001,A289))</f>
        <v/>
      </c>
      <c r="F289" s="26" t="str">
        <f aca="false">IF(A289="","",COUNTIF(Apparitions!$A$2:$A$5001,A289))</f>
        <v/>
      </c>
      <c r="G289" s="26" t="str">
        <f aca="false">IF(A289="","",COUNTIFS(Apparitions!$A$2:$A$5001,A289,Apparitions!$E$2:$E$5001,"○"))</f>
        <v/>
      </c>
    </row>
    <row r="290" customFormat="false" ht="15" hidden="false" customHeight="false" outlineLevel="0" collapsed="false">
      <c r="A290" s="19"/>
      <c r="B290" s="19"/>
      <c r="C290" s="19"/>
      <c r="D290" s="19"/>
      <c r="E290" s="26" t="str">
        <f aca="false">IF(A290="","",COUNTIF(Numéros!$A$2:$A$3001,A290))</f>
        <v/>
      </c>
      <c r="F290" s="26" t="str">
        <f aca="false">IF(A290="","",COUNTIF(Apparitions!$A$2:$A$5001,A290))</f>
        <v/>
      </c>
      <c r="G290" s="26" t="str">
        <f aca="false">IF(A290="","",COUNTIFS(Apparitions!$A$2:$A$5001,A290,Apparitions!$E$2:$E$5001,"○"))</f>
        <v/>
      </c>
    </row>
    <row r="291" customFormat="false" ht="15" hidden="false" customHeight="false" outlineLevel="0" collapsed="false">
      <c r="A291" s="19"/>
      <c r="B291" s="19"/>
      <c r="C291" s="19"/>
      <c r="D291" s="19"/>
      <c r="E291" s="26" t="str">
        <f aca="false">IF(A291="","",COUNTIF(Numéros!$A$2:$A$3001,A291))</f>
        <v/>
      </c>
      <c r="F291" s="26" t="str">
        <f aca="false">IF(A291="","",COUNTIF(Apparitions!$A$2:$A$5001,A291))</f>
        <v/>
      </c>
      <c r="G291" s="26" t="str">
        <f aca="false">IF(A291="","",COUNTIFS(Apparitions!$A$2:$A$5001,A291,Apparitions!$E$2:$E$5001,"○"))</f>
        <v/>
      </c>
    </row>
    <row r="292" customFormat="false" ht="15" hidden="false" customHeight="false" outlineLevel="0" collapsed="false">
      <c r="A292" s="19"/>
      <c r="B292" s="19"/>
      <c r="C292" s="19"/>
      <c r="D292" s="19"/>
      <c r="E292" s="26" t="str">
        <f aca="false">IF(A292="","",COUNTIF(Numéros!$A$2:$A$3001,A292))</f>
        <v/>
      </c>
      <c r="F292" s="26" t="str">
        <f aca="false">IF(A292="","",COUNTIF(Apparitions!$A$2:$A$5001,A292))</f>
        <v/>
      </c>
      <c r="G292" s="26" t="str">
        <f aca="false">IF(A292="","",COUNTIFS(Apparitions!$A$2:$A$5001,A292,Apparitions!$E$2:$E$5001,"○"))</f>
        <v/>
      </c>
    </row>
    <row r="293" customFormat="false" ht="15" hidden="false" customHeight="false" outlineLevel="0" collapsed="false">
      <c r="A293" s="19"/>
      <c r="B293" s="19"/>
      <c r="C293" s="19"/>
      <c r="D293" s="19"/>
      <c r="E293" s="26" t="str">
        <f aca="false">IF(A293="","",COUNTIF(Numéros!$A$2:$A$3001,A293))</f>
        <v/>
      </c>
      <c r="F293" s="26" t="str">
        <f aca="false">IF(A293="","",COUNTIF(Apparitions!$A$2:$A$5001,A293))</f>
        <v/>
      </c>
      <c r="G293" s="26" t="str">
        <f aca="false">IF(A293="","",COUNTIFS(Apparitions!$A$2:$A$5001,A293,Apparitions!$E$2:$E$5001,"○"))</f>
        <v/>
      </c>
    </row>
    <row r="294" customFormat="false" ht="15" hidden="false" customHeight="false" outlineLevel="0" collapsed="false">
      <c r="A294" s="19"/>
      <c r="B294" s="19"/>
      <c r="C294" s="19"/>
      <c r="D294" s="19"/>
      <c r="E294" s="26" t="str">
        <f aca="false">IF(A294="","",COUNTIF(Numéros!$A$2:$A$3001,A294))</f>
        <v/>
      </c>
      <c r="F294" s="26" t="str">
        <f aca="false">IF(A294="","",COUNTIF(Apparitions!$A$2:$A$5001,A294))</f>
        <v/>
      </c>
      <c r="G294" s="26" t="str">
        <f aca="false">IF(A294="","",COUNTIFS(Apparitions!$A$2:$A$5001,A294,Apparitions!$E$2:$E$5001,"○"))</f>
        <v/>
      </c>
    </row>
    <row r="295" customFormat="false" ht="15" hidden="false" customHeight="false" outlineLevel="0" collapsed="false">
      <c r="A295" s="19"/>
      <c r="B295" s="19"/>
      <c r="C295" s="19"/>
      <c r="D295" s="19"/>
      <c r="E295" s="26" t="str">
        <f aca="false">IF(A295="","",COUNTIF(Numéros!$A$2:$A$3001,A295))</f>
        <v/>
      </c>
      <c r="F295" s="26" t="str">
        <f aca="false">IF(A295="","",COUNTIF(Apparitions!$A$2:$A$5001,A295))</f>
        <v/>
      </c>
      <c r="G295" s="26" t="str">
        <f aca="false">IF(A295="","",COUNTIFS(Apparitions!$A$2:$A$5001,A295,Apparitions!$E$2:$E$5001,"○"))</f>
        <v/>
      </c>
    </row>
    <row r="296" customFormat="false" ht="15" hidden="false" customHeight="false" outlineLevel="0" collapsed="false">
      <c r="A296" s="19"/>
      <c r="B296" s="19"/>
      <c r="C296" s="19"/>
      <c r="D296" s="19"/>
      <c r="E296" s="26" t="str">
        <f aca="false">IF(A296="","",COUNTIF(Numéros!$A$2:$A$3001,A296))</f>
        <v/>
      </c>
      <c r="F296" s="26" t="str">
        <f aca="false">IF(A296="","",COUNTIF(Apparitions!$A$2:$A$5001,A296))</f>
        <v/>
      </c>
      <c r="G296" s="26" t="str">
        <f aca="false">IF(A296="","",COUNTIFS(Apparitions!$A$2:$A$5001,A296,Apparitions!$E$2:$E$5001,"○"))</f>
        <v/>
      </c>
    </row>
    <row r="297" customFormat="false" ht="15" hidden="false" customHeight="false" outlineLevel="0" collapsed="false">
      <c r="A297" s="19"/>
      <c r="B297" s="19"/>
      <c r="C297" s="19"/>
      <c r="D297" s="19"/>
      <c r="E297" s="26" t="str">
        <f aca="false">IF(A297="","",COUNTIF(Numéros!$A$2:$A$3001,A297))</f>
        <v/>
      </c>
      <c r="F297" s="26" t="str">
        <f aca="false">IF(A297="","",COUNTIF(Apparitions!$A$2:$A$5001,A297))</f>
        <v/>
      </c>
      <c r="G297" s="26" t="str">
        <f aca="false">IF(A297="","",COUNTIFS(Apparitions!$A$2:$A$5001,A297,Apparitions!$E$2:$E$5001,"○"))</f>
        <v/>
      </c>
    </row>
    <row r="298" customFormat="false" ht="15" hidden="false" customHeight="false" outlineLevel="0" collapsed="false">
      <c r="A298" s="19"/>
      <c r="B298" s="19"/>
      <c r="C298" s="19"/>
      <c r="D298" s="19"/>
      <c r="E298" s="26" t="str">
        <f aca="false">IF(A298="","",COUNTIF(Numéros!$A$2:$A$3001,A298))</f>
        <v/>
      </c>
      <c r="F298" s="26" t="str">
        <f aca="false">IF(A298="","",COUNTIF(Apparitions!$A$2:$A$5001,A298))</f>
        <v/>
      </c>
      <c r="G298" s="26" t="str">
        <f aca="false">IF(A298="","",COUNTIFS(Apparitions!$A$2:$A$5001,A298,Apparitions!$E$2:$E$5001,"○"))</f>
        <v/>
      </c>
    </row>
    <row r="299" customFormat="false" ht="15" hidden="false" customHeight="false" outlineLevel="0" collapsed="false">
      <c r="A299" s="19"/>
      <c r="B299" s="19"/>
      <c r="C299" s="19"/>
      <c r="D299" s="19"/>
      <c r="E299" s="26" t="str">
        <f aca="false">IF(A299="","",COUNTIF(Numéros!$A$2:$A$3001,A299))</f>
        <v/>
      </c>
      <c r="F299" s="26" t="str">
        <f aca="false">IF(A299="","",COUNTIF(Apparitions!$A$2:$A$5001,A299))</f>
        <v/>
      </c>
      <c r="G299" s="26" t="str">
        <f aca="false">IF(A299="","",COUNTIFS(Apparitions!$A$2:$A$5001,A299,Apparitions!$E$2:$E$5001,"○"))</f>
        <v/>
      </c>
    </row>
    <row r="300" customFormat="false" ht="15" hidden="false" customHeight="false" outlineLevel="0" collapsed="false">
      <c r="A300" s="19"/>
      <c r="B300" s="19"/>
      <c r="C300" s="19"/>
      <c r="D300" s="19"/>
      <c r="E300" s="26" t="str">
        <f aca="false">IF(A300="","",COUNTIF(Numéros!$A$2:$A$3001,A300))</f>
        <v/>
      </c>
      <c r="F300" s="26" t="str">
        <f aca="false">IF(A300="","",COUNTIF(Apparitions!$A$2:$A$5001,A300))</f>
        <v/>
      </c>
      <c r="G300" s="26" t="str">
        <f aca="false">IF(A300="","",COUNTIFS(Apparitions!$A$2:$A$5001,A300,Apparitions!$E$2:$E$5001,"○"))</f>
        <v/>
      </c>
    </row>
    <row r="301" customFormat="false" ht="15" hidden="false" customHeight="false" outlineLevel="0" collapsed="false">
      <c r="A301" s="19"/>
      <c r="B301" s="19"/>
      <c r="C301" s="19"/>
      <c r="D301" s="19"/>
      <c r="E301" s="26" t="str">
        <f aca="false">IF(A301="","",COUNTIF(Numéros!$A$2:$A$3001,A301))</f>
        <v/>
      </c>
      <c r="F301" s="26" t="str">
        <f aca="false">IF(A301="","",COUNTIF(Apparitions!$A$2:$A$5001,A301))</f>
        <v/>
      </c>
      <c r="G301" s="26" t="str">
        <f aca="false">IF(A301="","",COUNTIFS(Apparitions!$A$2:$A$5001,A301,Apparitions!$E$2:$E$5001,"○"))</f>
        <v/>
      </c>
    </row>
  </sheetData>
  <autoFilter ref="A1:G301"/>
  <conditionalFormatting sqref="A2:A301">
    <cfRule type="expression" priority="2" aboveAverage="0" equalAverage="0" bottom="0" percent="0" rank="0" text="" dxfId="1">
      <formula>AND(A2&lt;&gt;"",COUNTIF($A$2:$A$301,A2)&gt;1)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11"/>
  </cols>
  <sheetData>
    <row r="1" customFormat="false" ht="30" hidden="false" customHeight="true" outlineLevel="0" collapsed="false">
      <c r="A1" s="24" t="s">
        <v>71</v>
      </c>
      <c r="B1" s="24" t="s">
        <v>89</v>
      </c>
      <c r="C1" s="25" t="s">
        <v>149</v>
      </c>
      <c r="D1" s="25" t="s">
        <v>128</v>
      </c>
      <c r="E1" s="25" t="s">
        <v>109</v>
      </c>
    </row>
    <row r="2" customFormat="false" ht="15" hidden="false" customHeight="false" outlineLevel="0" collapsed="false">
      <c r="A2" s="19" t="s">
        <v>130</v>
      </c>
      <c r="B2" s="19"/>
      <c r="C2" s="26" t="n">
        <f aca="false">IF(A2="","",COUNTIF(Jeux!$C$2:$C$3001,A2))</f>
        <v>1</v>
      </c>
      <c r="D2" s="26" t="n">
        <f aca="false">IF(A2="","",COUNTIF(Pubs!$G$2:$G$3001,A2))</f>
        <v>2</v>
      </c>
      <c r="E2" s="26" t="n">
        <f aca="false">IF(A2="","",COUNTIF(Apparitions!$J$2:$J$5001,A2))</f>
        <v>4</v>
      </c>
    </row>
    <row r="3" customFormat="false" ht="15" hidden="false" customHeight="false" outlineLevel="0" collapsed="false">
      <c r="A3" s="19" t="s">
        <v>138</v>
      </c>
      <c r="B3" s="19"/>
      <c r="C3" s="26" t="n">
        <f aca="false">IF(A3="","",COUNTIF(Jeux!$C$2:$C$3001,A3))</f>
        <v>1</v>
      </c>
      <c r="D3" s="26" t="n">
        <f aca="false">IF(A3="","",COUNTIF(Pubs!$G$2:$G$3001,A3))</f>
        <v>1</v>
      </c>
      <c r="E3" s="26" t="n">
        <f aca="false">IF(A3="","",COUNTIF(Apparitions!$J$2:$J$5001,A3))</f>
        <v>1</v>
      </c>
    </row>
    <row r="4" customFormat="false" ht="15" hidden="false" customHeight="false" outlineLevel="0" collapsed="false">
      <c r="A4" s="19" t="s">
        <v>133</v>
      </c>
      <c r="B4" s="19"/>
      <c r="C4" s="26" t="n">
        <f aca="false">IF(A4="","",COUNTIF(Jeux!$C$2:$C$3001,A4))</f>
        <v>1</v>
      </c>
      <c r="D4" s="26" t="n">
        <f aca="false">IF(A4="","",COUNTIF(Pubs!$G$2:$G$3001,A4))</f>
        <v>1</v>
      </c>
      <c r="E4" s="26" t="n">
        <f aca="false">IF(A4="","",COUNTIF(Apparitions!$J$2:$J$5001,A4))</f>
        <v>1</v>
      </c>
    </row>
    <row r="5" customFormat="false" ht="15" hidden="false" customHeight="false" outlineLevel="0" collapsed="false">
      <c r="A5" s="19" t="s">
        <v>120</v>
      </c>
      <c r="B5" s="19"/>
      <c r="C5" s="26" t="n">
        <f aca="false">IF(A5="","",COUNTIF(Jeux!$C$2:$C$3001,A5))</f>
        <v>1</v>
      </c>
      <c r="D5" s="26" t="n">
        <f aca="false">IF(A5="","",COUNTIF(Pubs!$G$2:$G$3001,A5))</f>
        <v>1</v>
      </c>
      <c r="E5" s="26" t="n">
        <f aca="false">IF(A5="","",COUNTIF(Apparitions!$J$2:$J$5001,A5))</f>
        <v>2</v>
      </c>
    </row>
    <row r="6" customFormat="false" ht="15" hidden="false" customHeight="false" outlineLevel="0" collapsed="false">
      <c r="A6" s="19"/>
      <c r="B6" s="19"/>
      <c r="C6" s="26" t="str">
        <f aca="false">IF(A6="","",COUNTIF(Jeux!$C$2:$C$3001,A6))</f>
        <v/>
      </c>
      <c r="D6" s="26" t="str">
        <f aca="false">IF(A6="","",COUNTIF(Pubs!$G$2:$G$3001,A6))</f>
        <v/>
      </c>
      <c r="E6" s="26" t="str">
        <f aca="false">IF(A6="","",COUNTIF(Apparitions!$J$2:$J$5001,A6))</f>
        <v/>
      </c>
    </row>
    <row r="7" customFormat="false" ht="15" hidden="false" customHeight="false" outlineLevel="0" collapsed="false">
      <c r="A7" s="19"/>
      <c r="B7" s="19"/>
      <c r="C7" s="26" t="str">
        <f aca="false">IF(A7="","",COUNTIF(Jeux!$C$2:$C$3001,A7))</f>
        <v/>
      </c>
      <c r="D7" s="26" t="str">
        <f aca="false">IF(A7="","",COUNTIF(Pubs!$G$2:$G$3001,A7))</f>
        <v/>
      </c>
      <c r="E7" s="26" t="str">
        <f aca="false">IF(A7="","",COUNTIF(Apparitions!$J$2:$J$5001,A7))</f>
        <v/>
      </c>
    </row>
    <row r="8" customFormat="false" ht="15" hidden="false" customHeight="false" outlineLevel="0" collapsed="false">
      <c r="A8" s="19"/>
      <c r="B8" s="19"/>
      <c r="C8" s="26" t="str">
        <f aca="false">IF(A8="","",COUNTIF(Jeux!$C$2:$C$3001,A8))</f>
        <v/>
      </c>
      <c r="D8" s="26" t="str">
        <f aca="false">IF(A8="","",COUNTIF(Pubs!$G$2:$G$3001,A8))</f>
        <v/>
      </c>
      <c r="E8" s="26" t="str">
        <f aca="false">IF(A8="","",COUNTIF(Apparitions!$J$2:$J$5001,A8))</f>
        <v/>
      </c>
    </row>
    <row r="9" customFormat="false" ht="15" hidden="false" customHeight="false" outlineLevel="0" collapsed="false">
      <c r="A9" s="19"/>
      <c r="B9" s="19"/>
      <c r="C9" s="26" t="str">
        <f aca="false">IF(A9="","",COUNTIF(Jeux!$C$2:$C$3001,A9))</f>
        <v/>
      </c>
      <c r="D9" s="26" t="str">
        <f aca="false">IF(A9="","",COUNTIF(Pubs!$G$2:$G$3001,A9))</f>
        <v/>
      </c>
      <c r="E9" s="26" t="str">
        <f aca="false">IF(A9="","",COUNTIF(Apparitions!$J$2:$J$5001,A9))</f>
        <v/>
      </c>
    </row>
    <row r="10" customFormat="false" ht="15" hidden="false" customHeight="false" outlineLevel="0" collapsed="false">
      <c r="A10" s="19"/>
      <c r="B10" s="19"/>
      <c r="C10" s="26" t="str">
        <f aca="false">IF(A10="","",COUNTIF(Jeux!$C$2:$C$3001,A10))</f>
        <v/>
      </c>
      <c r="D10" s="26" t="str">
        <f aca="false">IF(A10="","",COUNTIF(Pubs!$G$2:$G$3001,A10))</f>
        <v/>
      </c>
      <c r="E10" s="26" t="str">
        <f aca="false">IF(A10="","",COUNTIF(Apparitions!$J$2:$J$5001,A10))</f>
        <v/>
      </c>
    </row>
    <row r="11" customFormat="false" ht="15" hidden="false" customHeight="false" outlineLevel="0" collapsed="false">
      <c r="A11" s="19"/>
      <c r="B11" s="19"/>
      <c r="C11" s="26" t="str">
        <f aca="false">IF(A11="","",COUNTIF(Jeux!$C$2:$C$3001,A11))</f>
        <v/>
      </c>
      <c r="D11" s="26" t="str">
        <f aca="false">IF(A11="","",COUNTIF(Pubs!$G$2:$G$3001,A11))</f>
        <v/>
      </c>
      <c r="E11" s="26" t="str">
        <f aca="false">IF(A11="","",COUNTIF(Apparitions!$J$2:$J$5001,A11))</f>
        <v/>
      </c>
    </row>
    <row r="12" customFormat="false" ht="15" hidden="false" customHeight="false" outlineLevel="0" collapsed="false">
      <c r="A12" s="19"/>
      <c r="B12" s="19"/>
      <c r="C12" s="26" t="str">
        <f aca="false">IF(A12="","",COUNTIF(Jeux!$C$2:$C$3001,A12))</f>
        <v/>
      </c>
      <c r="D12" s="26" t="str">
        <f aca="false">IF(A12="","",COUNTIF(Pubs!$G$2:$G$3001,A12))</f>
        <v/>
      </c>
      <c r="E12" s="26" t="str">
        <f aca="false">IF(A12="","",COUNTIF(Apparitions!$J$2:$J$5001,A12))</f>
        <v/>
      </c>
    </row>
    <row r="13" customFormat="false" ht="15" hidden="false" customHeight="false" outlineLevel="0" collapsed="false">
      <c r="A13" s="19"/>
      <c r="B13" s="19"/>
      <c r="C13" s="26" t="str">
        <f aca="false">IF(A13="","",COUNTIF(Jeux!$C$2:$C$3001,A13))</f>
        <v/>
      </c>
      <c r="D13" s="26" t="str">
        <f aca="false">IF(A13="","",COUNTIF(Pubs!$G$2:$G$3001,A13))</f>
        <v/>
      </c>
      <c r="E13" s="26" t="str">
        <f aca="false">IF(A13="","",COUNTIF(Apparitions!$J$2:$J$5001,A13))</f>
        <v/>
      </c>
    </row>
    <row r="14" customFormat="false" ht="15" hidden="false" customHeight="false" outlineLevel="0" collapsed="false">
      <c r="A14" s="19"/>
      <c r="B14" s="19"/>
      <c r="C14" s="26" t="str">
        <f aca="false">IF(A14="","",COUNTIF(Jeux!$C$2:$C$3001,A14))</f>
        <v/>
      </c>
      <c r="D14" s="26" t="str">
        <f aca="false">IF(A14="","",COUNTIF(Pubs!$G$2:$G$3001,A14))</f>
        <v/>
      </c>
      <c r="E14" s="26" t="str">
        <f aca="false">IF(A14="","",COUNTIF(Apparitions!$J$2:$J$5001,A14))</f>
        <v/>
      </c>
    </row>
    <row r="15" customFormat="false" ht="15" hidden="false" customHeight="false" outlineLevel="0" collapsed="false">
      <c r="A15" s="19"/>
      <c r="B15" s="19"/>
      <c r="C15" s="26" t="str">
        <f aca="false">IF(A15="","",COUNTIF(Jeux!$C$2:$C$3001,A15))</f>
        <v/>
      </c>
      <c r="D15" s="26" t="str">
        <f aca="false">IF(A15="","",COUNTIF(Pubs!$G$2:$G$3001,A15))</f>
        <v/>
      </c>
      <c r="E15" s="26" t="str">
        <f aca="false">IF(A15="","",COUNTIF(Apparitions!$J$2:$J$5001,A15))</f>
        <v/>
      </c>
    </row>
    <row r="16" customFormat="false" ht="15" hidden="false" customHeight="false" outlineLevel="0" collapsed="false">
      <c r="A16" s="19"/>
      <c r="B16" s="19"/>
      <c r="C16" s="26" t="str">
        <f aca="false">IF(A16="","",COUNTIF(Jeux!$C$2:$C$3001,A16))</f>
        <v/>
      </c>
      <c r="D16" s="26" t="str">
        <f aca="false">IF(A16="","",COUNTIF(Pubs!$G$2:$G$3001,A16))</f>
        <v/>
      </c>
      <c r="E16" s="26" t="str">
        <f aca="false">IF(A16="","",COUNTIF(Apparitions!$J$2:$J$5001,A16))</f>
        <v/>
      </c>
    </row>
    <row r="17" customFormat="false" ht="15" hidden="false" customHeight="false" outlineLevel="0" collapsed="false">
      <c r="A17" s="19"/>
      <c r="B17" s="19"/>
      <c r="C17" s="26" t="str">
        <f aca="false">IF(A17="","",COUNTIF(Jeux!$C$2:$C$3001,A17))</f>
        <v/>
      </c>
      <c r="D17" s="26" t="str">
        <f aca="false">IF(A17="","",COUNTIF(Pubs!$G$2:$G$3001,A17))</f>
        <v/>
      </c>
      <c r="E17" s="26" t="str">
        <f aca="false">IF(A17="","",COUNTIF(Apparitions!$J$2:$J$5001,A17))</f>
        <v/>
      </c>
    </row>
    <row r="18" customFormat="false" ht="15" hidden="false" customHeight="false" outlineLevel="0" collapsed="false">
      <c r="A18" s="19"/>
      <c r="B18" s="19"/>
      <c r="C18" s="26" t="str">
        <f aca="false">IF(A18="","",COUNTIF(Jeux!$C$2:$C$3001,A18))</f>
        <v/>
      </c>
      <c r="D18" s="26" t="str">
        <f aca="false">IF(A18="","",COUNTIF(Pubs!$G$2:$G$3001,A18))</f>
        <v/>
      </c>
      <c r="E18" s="26" t="str">
        <f aca="false">IF(A18="","",COUNTIF(Apparitions!$J$2:$J$5001,A18))</f>
        <v/>
      </c>
    </row>
    <row r="19" customFormat="false" ht="15" hidden="false" customHeight="false" outlineLevel="0" collapsed="false">
      <c r="A19" s="19"/>
      <c r="B19" s="19"/>
      <c r="C19" s="26" t="str">
        <f aca="false">IF(A19="","",COUNTIF(Jeux!$C$2:$C$3001,A19))</f>
        <v/>
      </c>
      <c r="D19" s="26" t="str">
        <f aca="false">IF(A19="","",COUNTIF(Pubs!$G$2:$G$3001,A19))</f>
        <v/>
      </c>
      <c r="E19" s="26" t="str">
        <f aca="false">IF(A19="","",COUNTIF(Apparitions!$J$2:$J$5001,A19))</f>
        <v/>
      </c>
    </row>
    <row r="20" customFormat="false" ht="15" hidden="false" customHeight="false" outlineLevel="0" collapsed="false">
      <c r="A20" s="19"/>
      <c r="B20" s="19"/>
      <c r="C20" s="26" t="str">
        <f aca="false">IF(A20="","",COUNTIF(Jeux!$C$2:$C$3001,A20))</f>
        <v/>
      </c>
      <c r="D20" s="26" t="str">
        <f aca="false">IF(A20="","",COUNTIF(Pubs!$G$2:$G$3001,A20))</f>
        <v/>
      </c>
      <c r="E20" s="26" t="str">
        <f aca="false">IF(A20="","",COUNTIF(Apparitions!$J$2:$J$5001,A20))</f>
        <v/>
      </c>
    </row>
    <row r="21" customFormat="false" ht="15" hidden="false" customHeight="false" outlineLevel="0" collapsed="false">
      <c r="A21" s="19"/>
      <c r="B21" s="19"/>
      <c r="C21" s="26" t="str">
        <f aca="false">IF(A21="","",COUNTIF(Jeux!$C$2:$C$3001,A21))</f>
        <v/>
      </c>
      <c r="D21" s="26" t="str">
        <f aca="false">IF(A21="","",COUNTIF(Pubs!$G$2:$G$3001,A21))</f>
        <v/>
      </c>
      <c r="E21" s="26" t="str">
        <f aca="false">IF(A21="","",COUNTIF(Apparitions!$J$2:$J$5001,A21))</f>
        <v/>
      </c>
    </row>
    <row r="22" customFormat="false" ht="15" hidden="false" customHeight="false" outlineLevel="0" collapsed="false">
      <c r="A22" s="19"/>
      <c r="B22" s="19"/>
      <c r="C22" s="26" t="str">
        <f aca="false">IF(A22="","",COUNTIF(Jeux!$C$2:$C$3001,A22))</f>
        <v/>
      </c>
      <c r="D22" s="26" t="str">
        <f aca="false">IF(A22="","",COUNTIF(Pubs!$G$2:$G$3001,A22))</f>
        <v/>
      </c>
      <c r="E22" s="26" t="str">
        <f aca="false">IF(A22="","",COUNTIF(Apparitions!$J$2:$J$5001,A22))</f>
        <v/>
      </c>
    </row>
    <row r="23" customFormat="false" ht="15" hidden="false" customHeight="false" outlineLevel="0" collapsed="false">
      <c r="A23" s="19"/>
      <c r="B23" s="19"/>
      <c r="C23" s="26" t="str">
        <f aca="false">IF(A23="","",COUNTIF(Jeux!$C$2:$C$3001,A23))</f>
        <v/>
      </c>
      <c r="D23" s="26" t="str">
        <f aca="false">IF(A23="","",COUNTIF(Pubs!$G$2:$G$3001,A23))</f>
        <v/>
      </c>
      <c r="E23" s="26" t="str">
        <f aca="false">IF(A23="","",COUNTIF(Apparitions!$J$2:$J$5001,A23))</f>
        <v/>
      </c>
    </row>
    <row r="24" customFormat="false" ht="15" hidden="false" customHeight="false" outlineLevel="0" collapsed="false">
      <c r="A24" s="19"/>
      <c r="B24" s="19"/>
      <c r="C24" s="26" t="str">
        <f aca="false">IF(A24="","",COUNTIF(Jeux!$C$2:$C$3001,A24))</f>
        <v/>
      </c>
      <c r="D24" s="26" t="str">
        <f aca="false">IF(A24="","",COUNTIF(Pubs!$G$2:$G$3001,A24))</f>
        <v/>
      </c>
      <c r="E24" s="26" t="str">
        <f aca="false">IF(A24="","",COUNTIF(Apparitions!$J$2:$J$5001,A24))</f>
        <v/>
      </c>
    </row>
    <row r="25" customFormat="false" ht="15" hidden="false" customHeight="false" outlineLevel="0" collapsed="false">
      <c r="A25" s="19"/>
      <c r="B25" s="19"/>
      <c r="C25" s="26" t="str">
        <f aca="false">IF(A25="","",COUNTIF(Jeux!$C$2:$C$3001,A25))</f>
        <v/>
      </c>
      <c r="D25" s="26" t="str">
        <f aca="false">IF(A25="","",COUNTIF(Pubs!$G$2:$G$3001,A25))</f>
        <v/>
      </c>
      <c r="E25" s="26" t="str">
        <f aca="false">IF(A25="","",COUNTIF(Apparitions!$J$2:$J$5001,A25))</f>
        <v/>
      </c>
    </row>
    <row r="26" customFormat="false" ht="15" hidden="false" customHeight="false" outlineLevel="0" collapsed="false">
      <c r="A26" s="19"/>
      <c r="B26" s="19"/>
      <c r="C26" s="26" t="str">
        <f aca="false">IF(A26="","",COUNTIF(Jeux!$C$2:$C$3001,A26))</f>
        <v/>
      </c>
      <c r="D26" s="26" t="str">
        <f aca="false">IF(A26="","",COUNTIF(Pubs!$G$2:$G$3001,A26))</f>
        <v/>
      </c>
      <c r="E26" s="26" t="str">
        <f aca="false">IF(A26="","",COUNTIF(Apparitions!$J$2:$J$5001,A26))</f>
        <v/>
      </c>
    </row>
    <row r="27" customFormat="false" ht="15" hidden="false" customHeight="false" outlineLevel="0" collapsed="false">
      <c r="A27" s="19"/>
      <c r="B27" s="19"/>
      <c r="C27" s="26" t="str">
        <f aca="false">IF(A27="","",COUNTIF(Jeux!$C$2:$C$3001,A27))</f>
        <v/>
      </c>
      <c r="D27" s="26" t="str">
        <f aca="false">IF(A27="","",COUNTIF(Pubs!$G$2:$G$3001,A27))</f>
        <v/>
      </c>
      <c r="E27" s="26" t="str">
        <f aca="false">IF(A27="","",COUNTIF(Apparitions!$J$2:$J$5001,A27))</f>
        <v/>
      </c>
    </row>
    <row r="28" customFormat="false" ht="15" hidden="false" customHeight="false" outlineLevel="0" collapsed="false">
      <c r="A28" s="19"/>
      <c r="B28" s="19"/>
      <c r="C28" s="26" t="str">
        <f aca="false">IF(A28="","",COUNTIF(Jeux!$C$2:$C$3001,A28))</f>
        <v/>
      </c>
      <c r="D28" s="26" t="str">
        <f aca="false">IF(A28="","",COUNTIF(Pubs!$G$2:$G$3001,A28))</f>
        <v/>
      </c>
      <c r="E28" s="26" t="str">
        <f aca="false">IF(A28="","",COUNTIF(Apparitions!$J$2:$J$5001,A28))</f>
        <v/>
      </c>
    </row>
    <row r="29" customFormat="false" ht="15" hidden="false" customHeight="false" outlineLevel="0" collapsed="false">
      <c r="A29" s="19"/>
      <c r="B29" s="19"/>
      <c r="C29" s="26" t="str">
        <f aca="false">IF(A29="","",COUNTIF(Jeux!$C$2:$C$3001,A29))</f>
        <v/>
      </c>
      <c r="D29" s="26" t="str">
        <f aca="false">IF(A29="","",COUNTIF(Pubs!$G$2:$G$3001,A29))</f>
        <v/>
      </c>
      <c r="E29" s="26" t="str">
        <f aca="false">IF(A29="","",COUNTIF(Apparitions!$J$2:$J$5001,A29))</f>
        <v/>
      </c>
    </row>
    <row r="30" customFormat="false" ht="15" hidden="false" customHeight="false" outlineLevel="0" collapsed="false">
      <c r="A30" s="19"/>
      <c r="B30" s="19"/>
      <c r="C30" s="26" t="str">
        <f aca="false">IF(A30="","",COUNTIF(Jeux!$C$2:$C$3001,A30))</f>
        <v/>
      </c>
      <c r="D30" s="26" t="str">
        <f aca="false">IF(A30="","",COUNTIF(Pubs!$G$2:$G$3001,A30))</f>
        <v/>
      </c>
      <c r="E30" s="26" t="str">
        <f aca="false">IF(A30="","",COUNTIF(Apparitions!$J$2:$J$5001,A30))</f>
        <v/>
      </c>
    </row>
    <row r="31" customFormat="false" ht="15" hidden="false" customHeight="false" outlineLevel="0" collapsed="false">
      <c r="A31" s="19"/>
      <c r="B31" s="19"/>
      <c r="C31" s="26" t="str">
        <f aca="false">IF(A31="","",COUNTIF(Jeux!$C$2:$C$3001,A31))</f>
        <v/>
      </c>
      <c r="D31" s="26" t="str">
        <f aca="false">IF(A31="","",COUNTIF(Pubs!$G$2:$G$3001,A31))</f>
        <v/>
      </c>
      <c r="E31" s="26" t="str">
        <f aca="false">IF(A31="","",COUNTIF(Apparitions!$J$2:$J$5001,A31))</f>
        <v/>
      </c>
    </row>
    <row r="32" customFormat="false" ht="15" hidden="false" customHeight="false" outlineLevel="0" collapsed="false">
      <c r="A32" s="19"/>
      <c r="B32" s="19"/>
      <c r="C32" s="26" t="str">
        <f aca="false">IF(A32="","",COUNTIF(Jeux!$C$2:$C$3001,A32))</f>
        <v/>
      </c>
      <c r="D32" s="26" t="str">
        <f aca="false">IF(A32="","",COUNTIF(Pubs!$G$2:$G$3001,A32))</f>
        <v/>
      </c>
      <c r="E32" s="26" t="str">
        <f aca="false">IF(A32="","",COUNTIF(Apparitions!$J$2:$J$5001,A32))</f>
        <v/>
      </c>
    </row>
    <row r="33" customFormat="false" ht="15" hidden="false" customHeight="false" outlineLevel="0" collapsed="false">
      <c r="A33" s="19"/>
      <c r="B33" s="19"/>
      <c r="C33" s="26" t="str">
        <f aca="false">IF(A33="","",COUNTIF(Jeux!$C$2:$C$3001,A33))</f>
        <v/>
      </c>
      <c r="D33" s="26" t="str">
        <f aca="false">IF(A33="","",COUNTIF(Pubs!$G$2:$G$3001,A33))</f>
        <v/>
      </c>
      <c r="E33" s="26" t="str">
        <f aca="false">IF(A33="","",COUNTIF(Apparitions!$J$2:$J$5001,A33))</f>
        <v/>
      </c>
    </row>
    <row r="34" customFormat="false" ht="15" hidden="false" customHeight="false" outlineLevel="0" collapsed="false">
      <c r="A34" s="19"/>
      <c r="B34" s="19"/>
      <c r="C34" s="26" t="str">
        <f aca="false">IF(A34="","",COUNTIF(Jeux!$C$2:$C$3001,A34))</f>
        <v/>
      </c>
      <c r="D34" s="26" t="str">
        <f aca="false">IF(A34="","",COUNTIF(Pubs!$G$2:$G$3001,A34))</f>
        <v/>
      </c>
      <c r="E34" s="26" t="str">
        <f aca="false">IF(A34="","",COUNTIF(Apparitions!$J$2:$J$5001,A34))</f>
        <v/>
      </c>
    </row>
    <row r="35" customFormat="false" ht="15" hidden="false" customHeight="false" outlineLevel="0" collapsed="false">
      <c r="A35" s="19"/>
      <c r="B35" s="19"/>
      <c r="C35" s="26" t="str">
        <f aca="false">IF(A35="","",COUNTIF(Jeux!$C$2:$C$3001,A35))</f>
        <v/>
      </c>
      <c r="D35" s="26" t="str">
        <f aca="false">IF(A35="","",COUNTIF(Pubs!$G$2:$G$3001,A35))</f>
        <v/>
      </c>
      <c r="E35" s="26" t="str">
        <f aca="false">IF(A35="","",COUNTIF(Apparitions!$J$2:$J$5001,A35))</f>
        <v/>
      </c>
    </row>
    <row r="36" customFormat="false" ht="15" hidden="false" customHeight="false" outlineLevel="0" collapsed="false">
      <c r="A36" s="19"/>
      <c r="B36" s="19"/>
      <c r="C36" s="26" t="str">
        <f aca="false">IF(A36="","",COUNTIF(Jeux!$C$2:$C$3001,A36))</f>
        <v/>
      </c>
      <c r="D36" s="26" t="str">
        <f aca="false">IF(A36="","",COUNTIF(Pubs!$G$2:$G$3001,A36))</f>
        <v/>
      </c>
      <c r="E36" s="26" t="str">
        <f aca="false">IF(A36="","",COUNTIF(Apparitions!$J$2:$J$5001,A36))</f>
        <v/>
      </c>
    </row>
    <row r="37" customFormat="false" ht="15" hidden="false" customHeight="false" outlineLevel="0" collapsed="false">
      <c r="A37" s="19"/>
      <c r="B37" s="19"/>
      <c r="C37" s="26" t="str">
        <f aca="false">IF(A37="","",COUNTIF(Jeux!$C$2:$C$3001,A37))</f>
        <v/>
      </c>
      <c r="D37" s="26" t="str">
        <f aca="false">IF(A37="","",COUNTIF(Pubs!$G$2:$G$3001,A37))</f>
        <v/>
      </c>
      <c r="E37" s="26" t="str">
        <f aca="false">IF(A37="","",COUNTIF(Apparitions!$J$2:$J$5001,A37))</f>
        <v/>
      </c>
    </row>
    <row r="38" customFormat="false" ht="15" hidden="false" customHeight="false" outlineLevel="0" collapsed="false">
      <c r="A38" s="19"/>
      <c r="B38" s="19"/>
      <c r="C38" s="26" t="str">
        <f aca="false">IF(A38="","",COUNTIF(Jeux!$C$2:$C$3001,A38))</f>
        <v/>
      </c>
      <c r="D38" s="26" t="str">
        <f aca="false">IF(A38="","",COUNTIF(Pubs!$G$2:$G$3001,A38))</f>
        <v/>
      </c>
      <c r="E38" s="26" t="str">
        <f aca="false">IF(A38="","",COUNTIF(Apparitions!$J$2:$J$5001,A38))</f>
        <v/>
      </c>
    </row>
    <row r="39" customFormat="false" ht="15" hidden="false" customHeight="false" outlineLevel="0" collapsed="false">
      <c r="A39" s="19"/>
      <c r="B39" s="19"/>
      <c r="C39" s="26" t="str">
        <f aca="false">IF(A39="","",COUNTIF(Jeux!$C$2:$C$3001,A39))</f>
        <v/>
      </c>
      <c r="D39" s="26" t="str">
        <f aca="false">IF(A39="","",COUNTIF(Pubs!$G$2:$G$3001,A39))</f>
        <v/>
      </c>
      <c r="E39" s="26" t="str">
        <f aca="false">IF(A39="","",COUNTIF(Apparitions!$J$2:$J$5001,A39))</f>
        <v/>
      </c>
    </row>
    <row r="40" customFormat="false" ht="15" hidden="false" customHeight="false" outlineLevel="0" collapsed="false">
      <c r="A40" s="19"/>
      <c r="B40" s="19"/>
      <c r="C40" s="26" t="str">
        <f aca="false">IF(A40="","",COUNTIF(Jeux!$C$2:$C$3001,A40))</f>
        <v/>
      </c>
      <c r="D40" s="26" t="str">
        <f aca="false">IF(A40="","",COUNTIF(Pubs!$G$2:$G$3001,A40))</f>
        <v/>
      </c>
      <c r="E40" s="26" t="str">
        <f aca="false">IF(A40="","",COUNTIF(Apparitions!$J$2:$J$5001,A40))</f>
        <v/>
      </c>
    </row>
    <row r="41" customFormat="false" ht="15" hidden="false" customHeight="false" outlineLevel="0" collapsed="false">
      <c r="A41" s="19"/>
      <c r="B41" s="19"/>
      <c r="C41" s="26" t="str">
        <f aca="false">IF(A41="","",COUNTIF(Jeux!$C$2:$C$3001,A41))</f>
        <v/>
      </c>
      <c r="D41" s="26" t="str">
        <f aca="false">IF(A41="","",COUNTIF(Pubs!$G$2:$G$3001,A41))</f>
        <v/>
      </c>
      <c r="E41" s="26" t="str">
        <f aca="false">IF(A41="","",COUNTIF(Apparitions!$J$2:$J$5001,A41))</f>
        <v/>
      </c>
    </row>
    <row r="42" customFormat="false" ht="15" hidden="false" customHeight="false" outlineLevel="0" collapsed="false">
      <c r="A42" s="19"/>
      <c r="B42" s="19"/>
      <c r="C42" s="26" t="str">
        <f aca="false">IF(A42="","",COUNTIF(Jeux!$C$2:$C$3001,A42))</f>
        <v/>
      </c>
      <c r="D42" s="26" t="str">
        <f aca="false">IF(A42="","",COUNTIF(Pubs!$G$2:$G$3001,A42))</f>
        <v/>
      </c>
      <c r="E42" s="26" t="str">
        <f aca="false">IF(A42="","",COUNTIF(Apparitions!$J$2:$J$5001,A42))</f>
        <v/>
      </c>
    </row>
    <row r="43" customFormat="false" ht="15" hidden="false" customHeight="false" outlineLevel="0" collapsed="false">
      <c r="A43" s="19"/>
      <c r="B43" s="19"/>
      <c r="C43" s="26" t="str">
        <f aca="false">IF(A43="","",COUNTIF(Jeux!$C$2:$C$3001,A43))</f>
        <v/>
      </c>
      <c r="D43" s="26" t="str">
        <f aca="false">IF(A43="","",COUNTIF(Pubs!$G$2:$G$3001,A43))</f>
        <v/>
      </c>
      <c r="E43" s="26" t="str">
        <f aca="false">IF(A43="","",COUNTIF(Apparitions!$J$2:$J$5001,A43))</f>
        <v/>
      </c>
    </row>
    <row r="44" customFormat="false" ht="15" hidden="false" customHeight="false" outlineLevel="0" collapsed="false">
      <c r="A44" s="19"/>
      <c r="B44" s="19"/>
      <c r="C44" s="26" t="str">
        <f aca="false">IF(A44="","",COUNTIF(Jeux!$C$2:$C$3001,A44))</f>
        <v/>
      </c>
      <c r="D44" s="26" t="str">
        <f aca="false">IF(A44="","",COUNTIF(Pubs!$G$2:$G$3001,A44))</f>
        <v/>
      </c>
      <c r="E44" s="26" t="str">
        <f aca="false">IF(A44="","",COUNTIF(Apparitions!$J$2:$J$5001,A44))</f>
        <v/>
      </c>
    </row>
    <row r="45" customFormat="false" ht="15" hidden="false" customHeight="false" outlineLevel="0" collapsed="false">
      <c r="A45" s="19"/>
      <c r="B45" s="19"/>
      <c r="C45" s="26" t="str">
        <f aca="false">IF(A45="","",COUNTIF(Jeux!$C$2:$C$3001,A45))</f>
        <v/>
      </c>
      <c r="D45" s="26" t="str">
        <f aca="false">IF(A45="","",COUNTIF(Pubs!$G$2:$G$3001,A45))</f>
        <v/>
      </c>
      <c r="E45" s="26" t="str">
        <f aca="false">IF(A45="","",COUNTIF(Apparitions!$J$2:$J$5001,A45))</f>
        <v/>
      </c>
    </row>
    <row r="46" customFormat="false" ht="15" hidden="false" customHeight="false" outlineLevel="0" collapsed="false">
      <c r="A46" s="19"/>
      <c r="B46" s="19"/>
      <c r="C46" s="26" t="str">
        <f aca="false">IF(A46="","",COUNTIF(Jeux!$C$2:$C$3001,A46))</f>
        <v/>
      </c>
      <c r="D46" s="26" t="str">
        <f aca="false">IF(A46="","",COUNTIF(Pubs!$G$2:$G$3001,A46))</f>
        <v/>
      </c>
      <c r="E46" s="26" t="str">
        <f aca="false">IF(A46="","",COUNTIF(Apparitions!$J$2:$J$5001,A46))</f>
        <v/>
      </c>
    </row>
    <row r="47" customFormat="false" ht="15" hidden="false" customHeight="false" outlineLevel="0" collapsed="false">
      <c r="A47" s="19"/>
      <c r="B47" s="19"/>
      <c r="C47" s="26" t="str">
        <f aca="false">IF(A47="","",COUNTIF(Jeux!$C$2:$C$3001,A47))</f>
        <v/>
      </c>
      <c r="D47" s="26" t="str">
        <f aca="false">IF(A47="","",COUNTIF(Pubs!$G$2:$G$3001,A47))</f>
        <v/>
      </c>
      <c r="E47" s="26" t="str">
        <f aca="false">IF(A47="","",COUNTIF(Apparitions!$J$2:$J$5001,A47))</f>
        <v/>
      </c>
    </row>
    <row r="48" customFormat="false" ht="15" hidden="false" customHeight="false" outlineLevel="0" collapsed="false">
      <c r="A48" s="19"/>
      <c r="B48" s="19"/>
      <c r="C48" s="26" t="str">
        <f aca="false">IF(A48="","",COUNTIF(Jeux!$C$2:$C$3001,A48))</f>
        <v/>
      </c>
      <c r="D48" s="26" t="str">
        <f aca="false">IF(A48="","",COUNTIF(Pubs!$G$2:$G$3001,A48))</f>
        <v/>
      </c>
      <c r="E48" s="26" t="str">
        <f aca="false">IF(A48="","",COUNTIF(Apparitions!$J$2:$J$5001,A48))</f>
        <v/>
      </c>
    </row>
    <row r="49" customFormat="false" ht="15" hidden="false" customHeight="false" outlineLevel="0" collapsed="false">
      <c r="A49" s="19"/>
      <c r="B49" s="19"/>
      <c r="C49" s="26" t="str">
        <f aca="false">IF(A49="","",COUNTIF(Jeux!$C$2:$C$3001,A49))</f>
        <v/>
      </c>
      <c r="D49" s="26" t="str">
        <f aca="false">IF(A49="","",COUNTIF(Pubs!$G$2:$G$3001,A49))</f>
        <v/>
      </c>
      <c r="E49" s="26" t="str">
        <f aca="false">IF(A49="","",COUNTIF(Apparitions!$J$2:$J$5001,A49))</f>
        <v/>
      </c>
    </row>
    <row r="50" customFormat="false" ht="15" hidden="false" customHeight="false" outlineLevel="0" collapsed="false">
      <c r="A50" s="19"/>
      <c r="B50" s="19"/>
      <c r="C50" s="26" t="str">
        <f aca="false">IF(A50="","",COUNTIF(Jeux!$C$2:$C$3001,A50))</f>
        <v/>
      </c>
      <c r="D50" s="26" t="str">
        <f aca="false">IF(A50="","",COUNTIF(Pubs!$G$2:$G$3001,A50))</f>
        <v/>
      </c>
      <c r="E50" s="26" t="str">
        <f aca="false">IF(A50="","",COUNTIF(Apparitions!$J$2:$J$5001,A50))</f>
        <v/>
      </c>
    </row>
    <row r="51" customFormat="false" ht="15" hidden="false" customHeight="false" outlineLevel="0" collapsed="false">
      <c r="A51" s="19"/>
      <c r="B51" s="19"/>
      <c r="C51" s="26" t="str">
        <f aca="false">IF(A51="","",COUNTIF(Jeux!$C$2:$C$3001,A51))</f>
        <v/>
      </c>
      <c r="D51" s="26" t="str">
        <f aca="false">IF(A51="","",COUNTIF(Pubs!$G$2:$G$3001,A51))</f>
        <v/>
      </c>
      <c r="E51" s="26" t="str">
        <f aca="false">IF(A51="","",COUNTIF(Apparitions!$J$2:$J$5001,A51))</f>
        <v/>
      </c>
    </row>
    <row r="52" customFormat="false" ht="15" hidden="false" customHeight="false" outlineLevel="0" collapsed="false">
      <c r="A52" s="19"/>
      <c r="B52" s="19"/>
      <c r="C52" s="26" t="str">
        <f aca="false">IF(A52="","",COUNTIF(Jeux!$C$2:$C$3001,A52))</f>
        <v/>
      </c>
      <c r="D52" s="26" t="str">
        <f aca="false">IF(A52="","",COUNTIF(Pubs!$G$2:$G$3001,A52))</f>
        <v/>
      </c>
      <c r="E52" s="26" t="str">
        <f aca="false">IF(A52="","",COUNTIF(Apparitions!$J$2:$J$5001,A52))</f>
        <v/>
      </c>
    </row>
    <row r="53" customFormat="false" ht="15" hidden="false" customHeight="false" outlineLevel="0" collapsed="false">
      <c r="A53" s="19"/>
      <c r="B53" s="19"/>
      <c r="C53" s="26" t="str">
        <f aca="false">IF(A53="","",COUNTIF(Jeux!$C$2:$C$3001,A53))</f>
        <v/>
      </c>
      <c r="D53" s="26" t="str">
        <f aca="false">IF(A53="","",COUNTIF(Pubs!$G$2:$G$3001,A53))</f>
        <v/>
      </c>
      <c r="E53" s="26" t="str">
        <f aca="false">IF(A53="","",COUNTIF(Apparitions!$J$2:$J$5001,A53))</f>
        <v/>
      </c>
    </row>
    <row r="54" customFormat="false" ht="15" hidden="false" customHeight="false" outlineLevel="0" collapsed="false">
      <c r="A54" s="19"/>
      <c r="B54" s="19"/>
      <c r="C54" s="26" t="str">
        <f aca="false">IF(A54="","",COUNTIF(Jeux!$C$2:$C$3001,A54))</f>
        <v/>
      </c>
      <c r="D54" s="26" t="str">
        <f aca="false">IF(A54="","",COUNTIF(Pubs!$G$2:$G$3001,A54))</f>
        <v/>
      </c>
      <c r="E54" s="26" t="str">
        <f aca="false">IF(A54="","",COUNTIF(Apparitions!$J$2:$J$5001,A54))</f>
        <v/>
      </c>
    </row>
    <row r="55" customFormat="false" ht="15" hidden="false" customHeight="false" outlineLevel="0" collapsed="false">
      <c r="A55" s="19"/>
      <c r="B55" s="19"/>
      <c r="C55" s="26" t="str">
        <f aca="false">IF(A55="","",COUNTIF(Jeux!$C$2:$C$3001,A55))</f>
        <v/>
      </c>
      <c r="D55" s="26" t="str">
        <f aca="false">IF(A55="","",COUNTIF(Pubs!$G$2:$G$3001,A55))</f>
        <v/>
      </c>
      <c r="E55" s="26" t="str">
        <f aca="false">IF(A55="","",COUNTIF(Apparitions!$J$2:$J$5001,A55))</f>
        <v/>
      </c>
    </row>
    <row r="56" customFormat="false" ht="15" hidden="false" customHeight="false" outlineLevel="0" collapsed="false">
      <c r="A56" s="19"/>
      <c r="B56" s="19"/>
      <c r="C56" s="26" t="str">
        <f aca="false">IF(A56="","",COUNTIF(Jeux!$C$2:$C$3001,A56))</f>
        <v/>
      </c>
      <c r="D56" s="26" t="str">
        <f aca="false">IF(A56="","",COUNTIF(Pubs!$G$2:$G$3001,A56))</f>
        <v/>
      </c>
      <c r="E56" s="26" t="str">
        <f aca="false">IF(A56="","",COUNTIF(Apparitions!$J$2:$J$5001,A56))</f>
        <v/>
      </c>
    </row>
    <row r="57" customFormat="false" ht="15" hidden="false" customHeight="false" outlineLevel="0" collapsed="false">
      <c r="A57" s="19"/>
      <c r="B57" s="19"/>
      <c r="C57" s="26" t="str">
        <f aca="false">IF(A57="","",COUNTIF(Jeux!$C$2:$C$3001,A57))</f>
        <v/>
      </c>
      <c r="D57" s="26" t="str">
        <f aca="false">IF(A57="","",COUNTIF(Pubs!$G$2:$G$3001,A57))</f>
        <v/>
      </c>
      <c r="E57" s="26" t="str">
        <f aca="false">IF(A57="","",COUNTIF(Apparitions!$J$2:$J$5001,A57))</f>
        <v/>
      </c>
    </row>
    <row r="58" customFormat="false" ht="15" hidden="false" customHeight="false" outlineLevel="0" collapsed="false">
      <c r="A58" s="19"/>
      <c r="B58" s="19"/>
      <c r="C58" s="26" t="str">
        <f aca="false">IF(A58="","",COUNTIF(Jeux!$C$2:$C$3001,A58))</f>
        <v/>
      </c>
      <c r="D58" s="26" t="str">
        <f aca="false">IF(A58="","",COUNTIF(Pubs!$G$2:$G$3001,A58))</f>
        <v/>
      </c>
      <c r="E58" s="26" t="str">
        <f aca="false">IF(A58="","",COUNTIF(Apparitions!$J$2:$J$5001,A58))</f>
        <v/>
      </c>
    </row>
    <row r="59" customFormat="false" ht="15" hidden="false" customHeight="false" outlineLevel="0" collapsed="false">
      <c r="A59" s="19"/>
      <c r="B59" s="19"/>
      <c r="C59" s="26" t="str">
        <f aca="false">IF(A59="","",COUNTIF(Jeux!$C$2:$C$3001,A59))</f>
        <v/>
      </c>
      <c r="D59" s="26" t="str">
        <f aca="false">IF(A59="","",COUNTIF(Pubs!$G$2:$G$3001,A59))</f>
        <v/>
      </c>
      <c r="E59" s="26" t="str">
        <f aca="false">IF(A59="","",COUNTIF(Apparitions!$J$2:$J$5001,A59))</f>
        <v/>
      </c>
    </row>
    <row r="60" customFormat="false" ht="15" hidden="false" customHeight="false" outlineLevel="0" collapsed="false">
      <c r="A60" s="19"/>
      <c r="B60" s="19"/>
      <c r="C60" s="26" t="str">
        <f aca="false">IF(A60="","",COUNTIF(Jeux!$C$2:$C$3001,A60))</f>
        <v/>
      </c>
      <c r="D60" s="26" t="str">
        <f aca="false">IF(A60="","",COUNTIF(Pubs!$G$2:$G$3001,A60))</f>
        <v/>
      </c>
      <c r="E60" s="26" t="str">
        <f aca="false">IF(A60="","",COUNTIF(Apparitions!$J$2:$J$5001,A60))</f>
        <v/>
      </c>
    </row>
    <row r="61" customFormat="false" ht="15" hidden="false" customHeight="false" outlineLevel="0" collapsed="false">
      <c r="A61" s="19"/>
      <c r="B61" s="19"/>
      <c r="C61" s="26" t="str">
        <f aca="false">IF(A61="","",COUNTIF(Jeux!$C$2:$C$3001,A61))</f>
        <v/>
      </c>
      <c r="D61" s="26" t="str">
        <f aca="false">IF(A61="","",COUNTIF(Pubs!$G$2:$G$3001,A61))</f>
        <v/>
      </c>
      <c r="E61" s="26" t="str">
        <f aca="false">IF(A61="","",COUNTIF(Apparitions!$J$2:$J$5001,A61))</f>
        <v/>
      </c>
    </row>
    <row r="62" customFormat="false" ht="15" hidden="false" customHeight="false" outlineLevel="0" collapsed="false">
      <c r="A62" s="19"/>
      <c r="B62" s="19"/>
      <c r="C62" s="26" t="str">
        <f aca="false">IF(A62="","",COUNTIF(Jeux!$C$2:$C$3001,A62))</f>
        <v/>
      </c>
      <c r="D62" s="26" t="str">
        <f aca="false">IF(A62="","",COUNTIF(Pubs!$G$2:$G$3001,A62))</f>
        <v/>
      </c>
      <c r="E62" s="26" t="str">
        <f aca="false">IF(A62="","",COUNTIF(Apparitions!$J$2:$J$5001,A62))</f>
        <v/>
      </c>
    </row>
    <row r="63" customFormat="false" ht="15" hidden="false" customHeight="false" outlineLevel="0" collapsed="false">
      <c r="A63" s="19"/>
      <c r="B63" s="19"/>
      <c r="C63" s="26" t="str">
        <f aca="false">IF(A63="","",COUNTIF(Jeux!$C$2:$C$3001,A63))</f>
        <v/>
      </c>
      <c r="D63" s="26" t="str">
        <f aca="false">IF(A63="","",COUNTIF(Pubs!$G$2:$G$3001,A63))</f>
        <v/>
      </c>
      <c r="E63" s="26" t="str">
        <f aca="false">IF(A63="","",COUNTIF(Apparitions!$J$2:$J$5001,A63))</f>
        <v/>
      </c>
    </row>
    <row r="64" customFormat="false" ht="15" hidden="false" customHeight="false" outlineLevel="0" collapsed="false">
      <c r="A64" s="19"/>
      <c r="B64" s="19"/>
      <c r="C64" s="26" t="str">
        <f aca="false">IF(A64="","",COUNTIF(Jeux!$C$2:$C$3001,A64))</f>
        <v/>
      </c>
      <c r="D64" s="26" t="str">
        <f aca="false">IF(A64="","",COUNTIF(Pubs!$G$2:$G$3001,A64))</f>
        <v/>
      </c>
      <c r="E64" s="26" t="str">
        <f aca="false">IF(A64="","",COUNTIF(Apparitions!$J$2:$J$5001,A64))</f>
        <v/>
      </c>
    </row>
    <row r="65" customFormat="false" ht="15" hidden="false" customHeight="false" outlineLevel="0" collapsed="false">
      <c r="A65" s="19"/>
      <c r="B65" s="19"/>
      <c r="C65" s="26" t="str">
        <f aca="false">IF(A65="","",COUNTIF(Jeux!$C$2:$C$3001,A65))</f>
        <v/>
      </c>
      <c r="D65" s="26" t="str">
        <f aca="false">IF(A65="","",COUNTIF(Pubs!$G$2:$G$3001,A65))</f>
        <v/>
      </c>
      <c r="E65" s="26" t="str">
        <f aca="false">IF(A65="","",COUNTIF(Apparitions!$J$2:$J$5001,A65))</f>
        <v/>
      </c>
    </row>
    <row r="66" customFormat="false" ht="15" hidden="false" customHeight="false" outlineLevel="0" collapsed="false">
      <c r="A66" s="19"/>
      <c r="B66" s="19"/>
      <c r="C66" s="26" t="str">
        <f aca="false">IF(A66="","",COUNTIF(Jeux!$C$2:$C$3001,A66))</f>
        <v/>
      </c>
      <c r="D66" s="26" t="str">
        <f aca="false">IF(A66="","",COUNTIF(Pubs!$G$2:$G$3001,A66))</f>
        <v/>
      </c>
      <c r="E66" s="26" t="str">
        <f aca="false">IF(A66="","",COUNTIF(Apparitions!$J$2:$J$5001,A66))</f>
        <v/>
      </c>
    </row>
    <row r="67" customFormat="false" ht="15" hidden="false" customHeight="false" outlineLevel="0" collapsed="false">
      <c r="A67" s="19"/>
      <c r="B67" s="19"/>
      <c r="C67" s="26" t="str">
        <f aca="false">IF(A67="","",COUNTIF(Jeux!$C$2:$C$3001,A67))</f>
        <v/>
      </c>
      <c r="D67" s="26" t="str">
        <f aca="false">IF(A67="","",COUNTIF(Pubs!$G$2:$G$3001,A67))</f>
        <v/>
      </c>
      <c r="E67" s="26" t="str">
        <f aca="false">IF(A67="","",COUNTIF(Apparitions!$J$2:$J$5001,A67))</f>
        <v/>
      </c>
    </row>
    <row r="68" customFormat="false" ht="15" hidden="false" customHeight="false" outlineLevel="0" collapsed="false">
      <c r="A68" s="19"/>
      <c r="B68" s="19"/>
      <c r="C68" s="26" t="str">
        <f aca="false">IF(A68="","",COUNTIF(Jeux!$C$2:$C$3001,A68))</f>
        <v/>
      </c>
      <c r="D68" s="26" t="str">
        <f aca="false">IF(A68="","",COUNTIF(Pubs!$G$2:$G$3001,A68))</f>
        <v/>
      </c>
      <c r="E68" s="26" t="str">
        <f aca="false">IF(A68="","",COUNTIF(Apparitions!$J$2:$J$5001,A68))</f>
        <v/>
      </c>
    </row>
    <row r="69" customFormat="false" ht="15" hidden="false" customHeight="false" outlineLevel="0" collapsed="false">
      <c r="A69" s="19"/>
      <c r="B69" s="19"/>
      <c r="C69" s="26" t="str">
        <f aca="false">IF(A69="","",COUNTIF(Jeux!$C$2:$C$3001,A69))</f>
        <v/>
      </c>
      <c r="D69" s="26" t="str">
        <f aca="false">IF(A69="","",COUNTIF(Pubs!$G$2:$G$3001,A69))</f>
        <v/>
      </c>
      <c r="E69" s="26" t="str">
        <f aca="false">IF(A69="","",COUNTIF(Apparitions!$J$2:$J$5001,A69))</f>
        <v/>
      </c>
    </row>
    <row r="70" customFormat="false" ht="15" hidden="false" customHeight="false" outlineLevel="0" collapsed="false">
      <c r="A70" s="19"/>
      <c r="B70" s="19"/>
      <c r="C70" s="26" t="str">
        <f aca="false">IF(A70="","",COUNTIF(Jeux!$C$2:$C$3001,A70))</f>
        <v/>
      </c>
      <c r="D70" s="26" t="str">
        <f aca="false">IF(A70="","",COUNTIF(Pubs!$G$2:$G$3001,A70))</f>
        <v/>
      </c>
      <c r="E70" s="26" t="str">
        <f aca="false">IF(A70="","",COUNTIF(Apparitions!$J$2:$J$5001,A70))</f>
        <v/>
      </c>
    </row>
    <row r="71" customFormat="false" ht="15" hidden="false" customHeight="false" outlineLevel="0" collapsed="false">
      <c r="A71" s="19"/>
      <c r="B71" s="19"/>
      <c r="C71" s="26" t="str">
        <f aca="false">IF(A71="","",COUNTIF(Jeux!$C$2:$C$3001,A71))</f>
        <v/>
      </c>
      <c r="D71" s="26" t="str">
        <f aca="false">IF(A71="","",COUNTIF(Pubs!$G$2:$G$3001,A71))</f>
        <v/>
      </c>
      <c r="E71" s="26" t="str">
        <f aca="false">IF(A71="","",COUNTIF(Apparitions!$J$2:$J$5001,A71))</f>
        <v/>
      </c>
    </row>
    <row r="72" customFormat="false" ht="15" hidden="false" customHeight="false" outlineLevel="0" collapsed="false">
      <c r="A72" s="19"/>
      <c r="B72" s="19"/>
      <c r="C72" s="26" t="str">
        <f aca="false">IF(A72="","",COUNTIF(Jeux!$C$2:$C$3001,A72))</f>
        <v/>
      </c>
      <c r="D72" s="26" t="str">
        <f aca="false">IF(A72="","",COUNTIF(Pubs!$G$2:$G$3001,A72))</f>
        <v/>
      </c>
      <c r="E72" s="26" t="str">
        <f aca="false">IF(A72="","",COUNTIF(Apparitions!$J$2:$J$5001,A72))</f>
        <v/>
      </c>
    </row>
    <row r="73" customFormat="false" ht="15" hidden="false" customHeight="false" outlineLevel="0" collapsed="false">
      <c r="A73" s="19"/>
      <c r="B73" s="19"/>
      <c r="C73" s="26" t="str">
        <f aca="false">IF(A73="","",COUNTIF(Jeux!$C$2:$C$3001,A73))</f>
        <v/>
      </c>
      <c r="D73" s="26" t="str">
        <f aca="false">IF(A73="","",COUNTIF(Pubs!$G$2:$G$3001,A73))</f>
        <v/>
      </c>
      <c r="E73" s="26" t="str">
        <f aca="false">IF(A73="","",COUNTIF(Apparitions!$J$2:$J$5001,A73))</f>
        <v/>
      </c>
    </row>
    <row r="74" customFormat="false" ht="15" hidden="false" customHeight="false" outlineLevel="0" collapsed="false">
      <c r="A74" s="19"/>
      <c r="B74" s="19"/>
      <c r="C74" s="26" t="str">
        <f aca="false">IF(A74="","",COUNTIF(Jeux!$C$2:$C$3001,A74))</f>
        <v/>
      </c>
      <c r="D74" s="26" t="str">
        <f aca="false">IF(A74="","",COUNTIF(Pubs!$G$2:$G$3001,A74))</f>
        <v/>
      </c>
      <c r="E74" s="26" t="str">
        <f aca="false">IF(A74="","",COUNTIF(Apparitions!$J$2:$J$5001,A74))</f>
        <v/>
      </c>
    </row>
    <row r="75" customFormat="false" ht="15" hidden="false" customHeight="false" outlineLevel="0" collapsed="false">
      <c r="A75" s="19"/>
      <c r="B75" s="19"/>
      <c r="C75" s="26" t="str">
        <f aca="false">IF(A75="","",COUNTIF(Jeux!$C$2:$C$3001,A75))</f>
        <v/>
      </c>
      <c r="D75" s="26" t="str">
        <f aca="false">IF(A75="","",COUNTIF(Pubs!$G$2:$G$3001,A75))</f>
        <v/>
      </c>
      <c r="E75" s="26" t="str">
        <f aca="false">IF(A75="","",COUNTIF(Apparitions!$J$2:$J$5001,A75))</f>
        <v/>
      </c>
    </row>
    <row r="76" customFormat="false" ht="15" hidden="false" customHeight="false" outlineLevel="0" collapsed="false">
      <c r="A76" s="19"/>
      <c r="B76" s="19"/>
      <c r="C76" s="26" t="str">
        <f aca="false">IF(A76="","",COUNTIF(Jeux!$C$2:$C$3001,A76))</f>
        <v/>
      </c>
      <c r="D76" s="26" t="str">
        <f aca="false">IF(A76="","",COUNTIF(Pubs!$G$2:$G$3001,A76))</f>
        <v/>
      </c>
      <c r="E76" s="26" t="str">
        <f aca="false">IF(A76="","",COUNTIF(Apparitions!$J$2:$J$5001,A76))</f>
        <v/>
      </c>
    </row>
    <row r="77" customFormat="false" ht="15" hidden="false" customHeight="false" outlineLevel="0" collapsed="false">
      <c r="A77" s="19"/>
      <c r="B77" s="19"/>
      <c r="C77" s="26" t="str">
        <f aca="false">IF(A77="","",COUNTIF(Jeux!$C$2:$C$3001,A77))</f>
        <v/>
      </c>
      <c r="D77" s="26" t="str">
        <f aca="false">IF(A77="","",COUNTIF(Pubs!$G$2:$G$3001,A77))</f>
        <v/>
      </c>
      <c r="E77" s="26" t="str">
        <f aca="false">IF(A77="","",COUNTIF(Apparitions!$J$2:$J$5001,A77))</f>
        <v/>
      </c>
    </row>
    <row r="78" customFormat="false" ht="15" hidden="false" customHeight="false" outlineLevel="0" collapsed="false">
      <c r="A78" s="19"/>
      <c r="B78" s="19"/>
      <c r="C78" s="26" t="str">
        <f aca="false">IF(A78="","",COUNTIF(Jeux!$C$2:$C$3001,A78))</f>
        <v/>
      </c>
      <c r="D78" s="26" t="str">
        <f aca="false">IF(A78="","",COUNTIF(Pubs!$G$2:$G$3001,A78))</f>
        <v/>
      </c>
      <c r="E78" s="26" t="str">
        <f aca="false">IF(A78="","",COUNTIF(Apparitions!$J$2:$J$5001,A78))</f>
        <v/>
      </c>
    </row>
    <row r="79" customFormat="false" ht="15" hidden="false" customHeight="false" outlineLevel="0" collapsed="false">
      <c r="A79" s="19"/>
      <c r="B79" s="19"/>
      <c r="C79" s="26" t="str">
        <f aca="false">IF(A79="","",COUNTIF(Jeux!$C$2:$C$3001,A79))</f>
        <v/>
      </c>
      <c r="D79" s="26" t="str">
        <f aca="false">IF(A79="","",COUNTIF(Pubs!$G$2:$G$3001,A79))</f>
        <v/>
      </c>
      <c r="E79" s="26" t="str">
        <f aca="false">IF(A79="","",COUNTIF(Apparitions!$J$2:$J$5001,A79))</f>
        <v/>
      </c>
    </row>
    <row r="80" customFormat="false" ht="15" hidden="false" customHeight="false" outlineLevel="0" collapsed="false">
      <c r="A80" s="19"/>
      <c r="B80" s="19"/>
      <c r="C80" s="26" t="str">
        <f aca="false">IF(A80="","",COUNTIF(Jeux!$C$2:$C$3001,A80))</f>
        <v/>
      </c>
      <c r="D80" s="26" t="str">
        <f aca="false">IF(A80="","",COUNTIF(Pubs!$G$2:$G$3001,A80))</f>
        <v/>
      </c>
      <c r="E80" s="26" t="str">
        <f aca="false">IF(A80="","",COUNTIF(Apparitions!$J$2:$J$5001,A80))</f>
        <v/>
      </c>
    </row>
    <row r="81" customFormat="false" ht="15" hidden="false" customHeight="false" outlineLevel="0" collapsed="false">
      <c r="A81" s="19"/>
      <c r="B81" s="19"/>
      <c r="C81" s="26" t="str">
        <f aca="false">IF(A81="","",COUNTIF(Jeux!$C$2:$C$3001,A81))</f>
        <v/>
      </c>
      <c r="D81" s="26" t="str">
        <f aca="false">IF(A81="","",COUNTIF(Pubs!$G$2:$G$3001,A81))</f>
        <v/>
      </c>
      <c r="E81" s="26" t="str">
        <f aca="false">IF(A81="","",COUNTIF(Apparitions!$J$2:$J$5001,A81))</f>
        <v/>
      </c>
    </row>
    <row r="82" customFormat="false" ht="15" hidden="false" customHeight="false" outlineLevel="0" collapsed="false">
      <c r="A82" s="19"/>
      <c r="B82" s="19"/>
      <c r="C82" s="26" t="str">
        <f aca="false">IF(A82="","",COUNTIF(Jeux!$C$2:$C$3001,A82))</f>
        <v/>
      </c>
      <c r="D82" s="26" t="str">
        <f aca="false">IF(A82="","",COUNTIF(Pubs!$G$2:$G$3001,A82))</f>
        <v/>
      </c>
      <c r="E82" s="26" t="str">
        <f aca="false">IF(A82="","",COUNTIF(Apparitions!$J$2:$J$5001,A82))</f>
        <v/>
      </c>
    </row>
    <row r="83" customFormat="false" ht="15" hidden="false" customHeight="false" outlineLevel="0" collapsed="false">
      <c r="A83" s="19"/>
      <c r="B83" s="19"/>
      <c r="C83" s="26" t="str">
        <f aca="false">IF(A83="","",COUNTIF(Jeux!$C$2:$C$3001,A83))</f>
        <v/>
      </c>
      <c r="D83" s="26" t="str">
        <f aca="false">IF(A83="","",COUNTIF(Pubs!$G$2:$G$3001,A83))</f>
        <v/>
      </c>
      <c r="E83" s="26" t="str">
        <f aca="false">IF(A83="","",COUNTIF(Apparitions!$J$2:$J$5001,A83))</f>
        <v/>
      </c>
    </row>
    <row r="84" customFormat="false" ht="15" hidden="false" customHeight="false" outlineLevel="0" collapsed="false">
      <c r="A84" s="19"/>
      <c r="B84" s="19"/>
      <c r="C84" s="26" t="str">
        <f aca="false">IF(A84="","",COUNTIF(Jeux!$C$2:$C$3001,A84))</f>
        <v/>
      </c>
      <c r="D84" s="26" t="str">
        <f aca="false">IF(A84="","",COUNTIF(Pubs!$G$2:$G$3001,A84))</f>
        <v/>
      </c>
      <c r="E84" s="26" t="str">
        <f aca="false">IF(A84="","",COUNTIF(Apparitions!$J$2:$J$5001,A84))</f>
        <v/>
      </c>
    </row>
    <row r="85" customFormat="false" ht="15" hidden="false" customHeight="false" outlineLevel="0" collapsed="false">
      <c r="A85" s="19"/>
      <c r="B85" s="19"/>
      <c r="C85" s="26" t="str">
        <f aca="false">IF(A85="","",COUNTIF(Jeux!$C$2:$C$3001,A85))</f>
        <v/>
      </c>
      <c r="D85" s="26" t="str">
        <f aca="false">IF(A85="","",COUNTIF(Pubs!$G$2:$G$3001,A85))</f>
        <v/>
      </c>
      <c r="E85" s="26" t="str">
        <f aca="false">IF(A85="","",COUNTIF(Apparitions!$J$2:$J$5001,A85))</f>
        <v/>
      </c>
    </row>
    <row r="86" customFormat="false" ht="15" hidden="false" customHeight="false" outlineLevel="0" collapsed="false">
      <c r="A86" s="19"/>
      <c r="B86" s="19"/>
      <c r="C86" s="26" t="str">
        <f aca="false">IF(A86="","",COUNTIF(Jeux!$C$2:$C$3001,A86))</f>
        <v/>
      </c>
      <c r="D86" s="26" t="str">
        <f aca="false">IF(A86="","",COUNTIF(Pubs!$G$2:$G$3001,A86))</f>
        <v/>
      </c>
      <c r="E86" s="26" t="str">
        <f aca="false">IF(A86="","",COUNTIF(Apparitions!$J$2:$J$5001,A86))</f>
        <v/>
      </c>
    </row>
    <row r="87" customFormat="false" ht="15" hidden="false" customHeight="false" outlineLevel="0" collapsed="false">
      <c r="A87" s="19"/>
      <c r="B87" s="19"/>
      <c r="C87" s="26" t="str">
        <f aca="false">IF(A87="","",COUNTIF(Jeux!$C$2:$C$3001,A87))</f>
        <v/>
      </c>
      <c r="D87" s="26" t="str">
        <f aca="false">IF(A87="","",COUNTIF(Pubs!$G$2:$G$3001,A87))</f>
        <v/>
      </c>
      <c r="E87" s="26" t="str">
        <f aca="false">IF(A87="","",COUNTIF(Apparitions!$J$2:$J$5001,A87))</f>
        <v/>
      </c>
    </row>
    <row r="88" customFormat="false" ht="15" hidden="false" customHeight="false" outlineLevel="0" collapsed="false">
      <c r="A88" s="19"/>
      <c r="B88" s="19"/>
      <c r="C88" s="26" t="str">
        <f aca="false">IF(A88="","",COUNTIF(Jeux!$C$2:$C$3001,A88))</f>
        <v/>
      </c>
      <c r="D88" s="26" t="str">
        <f aca="false">IF(A88="","",COUNTIF(Pubs!$G$2:$G$3001,A88))</f>
        <v/>
      </c>
      <c r="E88" s="26" t="str">
        <f aca="false">IF(A88="","",COUNTIF(Apparitions!$J$2:$J$5001,A88))</f>
        <v/>
      </c>
    </row>
    <row r="89" customFormat="false" ht="15" hidden="false" customHeight="false" outlineLevel="0" collapsed="false">
      <c r="A89" s="19"/>
      <c r="B89" s="19"/>
      <c r="C89" s="26" t="str">
        <f aca="false">IF(A89="","",COUNTIF(Jeux!$C$2:$C$3001,A89))</f>
        <v/>
      </c>
      <c r="D89" s="26" t="str">
        <f aca="false">IF(A89="","",COUNTIF(Pubs!$G$2:$G$3001,A89))</f>
        <v/>
      </c>
      <c r="E89" s="26" t="str">
        <f aca="false">IF(A89="","",COUNTIF(Apparitions!$J$2:$J$5001,A89))</f>
        <v/>
      </c>
    </row>
    <row r="90" customFormat="false" ht="15" hidden="false" customHeight="false" outlineLevel="0" collapsed="false">
      <c r="A90" s="19"/>
      <c r="B90" s="19"/>
      <c r="C90" s="26" t="str">
        <f aca="false">IF(A90="","",COUNTIF(Jeux!$C$2:$C$3001,A90))</f>
        <v/>
      </c>
      <c r="D90" s="26" t="str">
        <f aca="false">IF(A90="","",COUNTIF(Pubs!$G$2:$G$3001,A90))</f>
        <v/>
      </c>
      <c r="E90" s="26" t="str">
        <f aca="false">IF(A90="","",COUNTIF(Apparitions!$J$2:$J$5001,A90))</f>
        <v/>
      </c>
    </row>
    <row r="91" customFormat="false" ht="15" hidden="false" customHeight="false" outlineLevel="0" collapsed="false">
      <c r="A91" s="19"/>
      <c r="B91" s="19"/>
      <c r="C91" s="26" t="str">
        <f aca="false">IF(A91="","",COUNTIF(Jeux!$C$2:$C$3001,A91))</f>
        <v/>
      </c>
      <c r="D91" s="26" t="str">
        <f aca="false">IF(A91="","",COUNTIF(Pubs!$G$2:$G$3001,A91))</f>
        <v/>
      </c>
      <c r="E91" s="26" t="str">
        <f aca="false">IF(A91="","",COUNTIF(Apparitions!$J$2:$J$5001,A91))</f>
        <v/>
      </c>
    </row>
    <row r="92" customFormat="false" ht="15" hidden="false" customHeight="false" outlineLevel="0" collapsed="false">
      <c r="A92" s="19"/>
      <c r="B92" s="19"/>
      <c r="C92" s="26" t="str">
        <f aca="false">IF(A92="","",COUNTIF(Jeux!$C$2:$C$3001,A92))</f>
        <v/>
      </c>
      <c r="D92" s="26" t="str">
        <f aca="false">IF(A92="","",COUNTIF(Pubs!$G$2:$G$3001,A92))</f>
        <v/>
      </c>
      <c r="E92" s="26" t="str">
        <f aca="false">IF(A92="","",COUNTIF(Apparitions!$J$2:$J$5001,A92))</f>
        <v/>
      </c>
    </row>
    <row r="93" customFormat="false" ht="15" hidden="false" customHeight="false" outlineLevel="0" collapsed="false">
      <c r="A93" s="19"/>
      <c r="B93" s="19"/>
      <c r="C93" s="26" t="str">
        <f aca="false">IF(A93="","",COUNTIF(Jeux!$C$2:$C$3001,A93))</f>
        <v/>
      </c>
      <c r="D93" s="26" t="str">
        <f aca="false">IF(A93="","",COUNTIF(Pubs!$G$2:$G$3001,A93))</f>
        <v/>
      </c>
      <c r="E93" s="26" t="str">
        <f aca="false">IF(A93="","",COUNTIF(Apparitions!$J$2:$J$5001,A93))</f>
        <v/>
      </c>
    </row>
    <row r="94" customFormat="false" ht="15" hidden="false" customHeight="false" outlineLevel="0" collapsed="false">
      <c r="A94" s="19"/>
      <c r="B94" s="19"/>
      <c r="C94" s="26" t="str">
        <f aca="false">IF(A94="","",COUNTIF(Jeux!$C$2:$C$3001,A94))</f>
        <v/>
      </c>
      <c r="D94" s="26" t="str">
        <f aca="false">IF(A94="","",COUNTIF(Pubs!$G$2:$G$3001,A94))</f>
        <v/>
      </c>
      <c r="E94" s="26" t="str">
        <f aca="false">IF(A94="","",COUNTIF(Apparitions!$J$2:$J$5001,A94))</f>
        <v/>
      </c>
    </row>
    <row r="95" customFormat="false" ht="15" hidden="false" customHeight="false" outlineLevel="0" collapsed="false">
      <c r="A95" s="19"/>
      <c r="B95" s="19"/>
      <c r="C95" s="26" t="str">
        <f aca="false">IF(A95="","",COUNTIF(Jeux!$C$2:$C$3001,A95))</f>
        <v/>
      </c>
      <c r="D95" s="26" t="str">
        <f aca="false">IF(A95="","",COUNTIF(Pubs!$G$2:$G$3001,A95))</f>
        <v/>
      </c>
      <c r="E95" s="26" t="str">
        <f aca="false">IF(A95="","",COUNTIF(Apparitions!$J$2:$J$5001,A95))</f>
        <v/>
      </c>
    </row>
    <row r="96" customFormat="false" ht="15" hidden="false" customHeight="false" outlineLevel="0" collapsed="false">
      <c r="A96" s="19"/>
      <c r="B96" s="19"/>
      <c r="C96" s="26" t="str">
        <f aca="false">IF(A96="","",COUNTIF(Jeux!$C$2:$C$3001,A96))</f>
        <v/>
      </c>
      <c r="D96" s="26" t="str">
        <f aca="false">IF(A96="","",COUNTIF(Pubs!$G$2:$G$3001,A96))</f>
        <v/>
      </c>
      <c r="E96" s="26" t="str">
        <f aca="false">IF(A96="","",COUNTIF(Apparitions!$J$2:$J$5001,A96))</f>
        <v/>
      </c>
    </row>
    <row r="97" customFormat="false" ht="15" hidden="false" customHeight="false" outlineLevel="0" collapsed="false">
      <c r="A97" s="19"/>
      <c r="B97" s="19"/>
      <c r="C97" s="26" t="str">
        <f aca="false">IF(A97="","",COUNTIF(Jeux!$C$2:$C$3001,A97))</f>
        <v/>
      </c>
      <c r="D97" s="26" t="str">
        <f aca="false">IF(A97="","",COUNTIF(Pubs!$G$2:$G$3001,A97))</f>
        <v/>
      </c>
      <c r="E97" s="26" t="str">
        <f aca="false">IF(A97="","",COUNTIF(Apparitions!$J$2:$J$5001,A97))</f>
        <v/>
      </c>
    </row>
    <row r="98" customFormat="false" ht="15" hidden="false" customHeight="false" outlineLevel="0" collapsed="false">
      <c r="A98" s="19"/>
      <c r="B98" s="19"/>
      <c r="C98" s="26" t="str">
        <f aca="false">IF(A98="","",COUNTIF(Jeux!$C$2:$C$3001,A98))</f>
        <v/>
      </c>
      <c r="D98" s="26" t="str">
        <f aca="false">IF(A98="","",COUNTIF(Pubs!$G$2:$G$3001,A98))</f>
        <v/>
      </c>
      <c r="E98" s="26" t="str">
        <f aca="false">IF(A98="","",COUNTIF(Apparitions!$J$2:$J$5001,A98))</f>
        <v/>
      </c>
    </row>
    <row r="99" customFormat="false" ht="15" hidden="false" customHeight="false" outlineLevel="0" collapsed="false">
      <c r="A99" s="19"/>
      <c r="B99" s="19"/>
      <c r="C99" s="26" t="str">
        <f aca="false">IF(A99="","",COUNTIF(Jeux!$C$2:$C$3001,A99))</f>
        <v/>
      </c>
      <c r="D99" s="26" t="str">
        <f aca="false">IF(A99="","",COUNTIF(Pubs!$G$2:$G$3001,A99))</f>
        <v/>
      </c>
      <c r="E99" s="26" t="str">
        <f aca="false">IF(A99="","",COUNTIF(Apparitions!$J$2:$J$5001,A99))</f>
        <v/>
      </c>
    </row>
    <row r="100" customFormat="false" ht="15" hidden="false" customHeight="false" outlineLevel="0" collapsed="false">
      <c r="A100" s="19"/>
      <c r="B100" s="19"/>
      <c r="C100" s="26" t="str">
        <f aca="false">IF(A100="","",COUNTIF(Jeux!$C$2:$C$3001,A100))</f>
        <v/>
      </c>
      <c r="D100" s="26" t="str">
        <f aca="false">IF(A100="","",COUNTIF(Pubs!$G$2:$G$3001,A100))</f>
        <v/>
      </c>
      <c r="E100" s="26" t="str">
        <f aca="false">IF(A100="","",COUNTIF(Apparitions!$J$2:$J$5001,A100))</f>
        <v/>
      </c>
    </row>
    <row r="101" customFormat="false" ht="15" hidden="false" customHeight="false" outlineLevel="0" collapsed="false">
      <c r="A101" s="19"/>
      <c r="B101" s="19"/>
      <c r="C101" s="26" t="str">
        <f aca="false">IF(A101="","",COUNTIF(Jeux!$C$2:$C$3001,A101))</f>
        <v/>
      </c>
      <c r="D101" s="26" t="str">
        <f aca="false">IF(A101="","",COUNTIF(Pubs!$G$2:$G$3001,A101))</f>
        <v/>
      </c>
      <c r="E101" s="26" t="str">
        <f aca="false">IF(A101="","",COUNTIF(Apparitions!$J$2:$J$5001,A101))</f>
        <v/>
      </c>
    </row>
    <row r="102" customFormat="false" ht="15" hidden="false" customHeight="false" outlineLevel="0" collapsed="false">
      <c r="A102" s="19"/>
      <c r="B102" s="19"/>
      <c r="C102" s="26" t="str">
        <f aca="false">IF(A102="","",COUNTIF(Jeux!$C$2:$C$3001,A102))</f>
        <v/>
      </c>
      <c r="D102" s="26" t="str">
        <f aca="false">IF(A102="","",COUNTIF(Pubs!$G$2:$G$3001,A102))</f>
        <v/>
      </c>
      <c r="E102" s="26" t="str">
        <f aca="false">IF(A102="","",COUNTIF(Apparitions!$J$2:$J$5001,A102))</f>
        <v/>
      </c>
    </row>
    <row r="103" customFormat="false" ht="15" hidden="false" customHeight="false" outlineLevel="0" collapsed="false">
      <c r="A103" s="19"/>
      <c r="B103" s="19"/>
      <c r="C103" s="26" t="str">
        <f aca="false">IF(A103="","",COUNTIF(Jeux!$C$2:$C$3001,A103))</f>
        <v/>
      </c>
      <c r="D103" s="26" t="str">
        <f aca="false">IF(A103="","",COUNTIF(Pubs!$G$2:$G$3001,A103))</f>
        <v/>
      </c>
      <c r="E103" s="26" t="str">
        <f aca="false">IF(A103="","",COUNTIF(Apparitions!$J$2:$J$5001,A103))</f>
        <v/>
      </c>
    </row>
    <row r="104" customFormat="false" ht="15" hidden="false" customHeight="false" outlineLevel="0" collapsed="false">
      <c r="A104" s="19"/>
      <c r="B104" s="19"/>
      <c r="C104" s="26" t="str">
        <f aca="false">IF(A104="","",COUNTIF(Jeux!$C$2:$C$3001,A104))</f>
        <v/>
      </c>
      <c r="D104" s="26" t="str">
        <f aca="false">IF(A104="","",COUNTIF(Pubs!$G$2:$G$3001,A104))</f>
        <v/>
      </c>
      <c r="E104" s="26" t="str">
        <f aca="false">IF(A104="","",COUNTIF(Apparitions!$J$2:$J$5001,A104))</f>
        <v/>
      </c>
    </row>
    <row r="105" customFormat="false" ht="15" hidden="false" customHeight="false" outlineLevel="0" collapsed="false">
      <c r="A105" s="19"/>
      <c r="B105" s="19"/>
      <c r="C105" s="26" t="str">
        <f aca="false">IF(A105="","",COUNTIF(Jeux!$C$2:$C$3001,A105))</f>
        <v/>
      </c>
      <c r="D105" s="26" t="str">
        <f aca="false">IF(A105="","",COUNTIF(Pubs!$G$2:$G$3001,A105))</f>
        <v/>
      </c>
      <c r="E105" s="26" t="str">
        <f aca="false">IF(A105="","",COUNTIF(Apparitions!$J$2:$J$5001,A105))</f>
        <v/>
      </c>
    </row>
    <row r="106" customFormat="false" ht="15" hidden="false" customHeight="false" outlineLevel="0" collapsed="false">
      <c r="A106" s="19"/>
      <c r="B106" s="19"/>
      <c r="C106" s="26" t="str">
        <f aca="false">IF(A106="","",COUNTIF(Jeux!$C$2:$C$3001,A106))</f>
        <v/>
      </c>
      <c r="D106" s="26" t="str">
        <f aca="false">IF(A106="","",COUNTIF(Pubs!$G$2:$G$3001,A106))</f>
        <v/>
      </c>
      <c r="E106" s="26" t="str">
        <f aca="false">IF(A106="","",COUNTIF(Apparitions!$J$2:$J$5001,A106))</f>
        <v/>
      </c>
    </row>
    <row r="107" customFormat="false" ht="15" hidden="false" customHeight="false" outlineLevel="0" collapsed="false">
      <c r="A107" s="19"/>
      <c r="B107" s="19"/>
      <c r="C107" s="26" t="str">
        <f aca="false">IF(A107="","",COUNTIF(Jeux!$C$2:$C$3001,A107))</f>
        <v/>
      </c>
      <c r="D107" s="26" t="str">
        <f aca="false">IF(A107="","",COUNTIF(Pubs!$G$2:$G$3001,A107))</f>
        <v/>
      </c>
      <c r="E107" s="26" t="str">
        <f aca="false">IF(A107="","",COUNTIF(Apparitions!$J$2:$J$5001,A107))</f>
        <v/>
      </c>
    </row>
    <row r="108" customFormat="false" ht="15" hidden="false" customHeight="false" outlineLevel="0" collapsed="false">
      <c r="A108" s="19"/>
      <c r="B108" s="19"/>
      <c r="C108" s="26" t="str">
        <f aca="false">IF(A108="","",COUNTIF(Jeux!$C$2:$C$3001,A108))</f>
        <v/>
      </c>
      <c r="D108" s="26" t="str">
        <f aca="false">IF(A108="","",COUNTIF(Pubs!$G$2:$G$3001,A108))</f>
        <v/>
      </c>
      <c r="E108" s="26" t="str">
        <f aca="false">IF(A108="","",COUNTIF(Apparitions!$J$2:$J$5001,A108))</f>
        <v/>
      </c>
    </row>
    <row r="109" customFormat="false" ht="15" hidden="false" customHeight="false" outlineLevel="0" collapsed="false">
      <c r="A109" s="19"/>
      <c r="B109" s="19"/>
      <c r="C109" s="26" t="str">
        <f aca="false">IF(A109="","",COUNTIF(Jeux!$C$2:$C$3001,A109))</f>
        <v/>
      </c>
      <c r="D109" s="26" t="str">
        <f aca="false">IF(A109="","",COUNTIF(Pubs!$G$2:$G$3001,A109))</f>
        <v/>
      </c>
      <c r="E109" s="26" t="str">
        <f aca="false">IF(A109="","",COUNTIF(Apparitions!$J$2:$J$5001,A109))</f>
        <v/>
      </c>
    </row>
    <row r="110" customFormat="false" ht="15" hidden="false" customHeight="false" outlineLevel="0" collapsed="false">
      <c r="A110" s="19"/>
      <c r="B110" s="19"/>
      <c r="C110" s="26" t="str">
        <f aca="false">IF(A110="","",COUNTIF(Jeux!$C$2:$C$3001,A110))</f>
        <v/>
      </c>
      <c r="D110" s="26" t="str">
        <f aca="false">IF(A110="","",COUNTIF(Pubs!$G$2:$G$3001,A110))</f>
        <v/>
      </c>
      <c r="E110" s="26" t="str">
        <f aca="false">IF(A110="","",COUNTIF(Apparitions!$J$2:$J$5001,A110))</f>
        <v/>
      </c>
    </row>
    <row r="111" customFormat="false" ht="15" hidden="false" customHeight="false" outlineLevel="0" collapsed="false">
      <c r="A111" s="19"/>
      <c r="B111" s="19"/>
      <c r="C111" s="26" t="str">
        <f aca="false">IF(A111="","",COUNTIF(Jeux!$C$2:$C$3001,A111))</f>
        <v/>
      </c>
      <c r="D111" s="26" t="str">
        <f aca="false">IF(A111="","",COUNTIF(Pubs!$G$2:$G$3001,A111))</f>
        <v/>
      </c>
      <c r="E111" s="26" t="str">
        <f aca="false">IF(A111="","",COUNTIF(Apparitions!$J$2:$J$5001,A111))</f>
        <v/>
      </c>
    </row>
    <row r="112" customFormat="false" ht="15" hidden="false" customHeight="false" outlineLevel="0" collapsed="false">
      <c r="A112" s="19"/>
      <c r="B112" s="19"/>
      <c r="C112" s="26" t="str">
        <f aca="false">IF(A112="","",COUNTIF(Jeux!$C$2:$C$3001,A112))</f>
        <v/>
      </c>
      <c r="D112" s="26" t="str">
        <f aca="false">IF(A112="","",COUNTIF(Pubs!$G$2:$G$3001,A112))</f>
        <v/>
      </c>
      <c r="E112" s="26" t="str">
        <f aca="false">IF(A112="","",COUNTIF(Apparitions!$J$2:$J$5001,A112))</f>
        <v/>
      </c>
    </row>
    <row r="113" customFormat="false" ht="15" hidden="false" customHeight="false" outlineLevel="0" collapsed="false">
      <c r="A113" s="19"/>
      <c r="B113" s="19"/>
      <c r="C113" s="26" t="str">
        <f aca="false">IF(A113="","",COUNTIF(Jeux!$C$2:$C$3001,A113))</f>
        <v/>
      </c>
      <c r="D113" s="26" t="str">
        <f aca="false">IF(A113="","",COUNTIF(Pubs!$G$2:$G$3001,A113))</f>
        <v/>
      </c>
      <c r="E113" s="26" t="str">
        <f aca="false">IF(A113="","",COUNTIF(Apparitions!$J$2:$J$5001,A113))</f>
        <v/>
      </c>
    </row>
    <row r="114" customFormat="false" ht="15" hidden="false" customHeight="false" outlineLevel="0" collapsed="false">
      <c r="A114" s="19"/>
      <c r="B114" s="19"/>
      <c r="C114" s="26" t="str">
        <f aca="false">IF(A114="","",COUNTIF(Jeux!$C$2:$C$3001,A114))</f>
        <v/>
      </c>
      <c r="D114" s="26" t="str">
        <f aca="false">IF(A114="","",COUNTIF(Pubs!$G$2:$G$3001,A114))</f>
        <v/>
      </c>
      <c r="E114" s="26" t="str">
        <f aca="false">IF(A114="","",COUNTIF(Apparitions!$J$2:$J$5001,A114))</f>
        <v/>
      </c>
    </row>
    <row r="115" customFormat="false" ht="15" hidden="false" customHeight="false" outlineLevel="0" collapsed="false">
      <c r="A115" s="19"/>
      <c r="B115" s="19"/>
      <c r="C115" s="26" t="str">
        <f aca="false">IF(A115="","",COUNTIF(Jeux!$C$2:$C$3001,A115))</f>
        <v/>
      </c>
      <c r="D115" s="26" t="str">
        <f aca="false">IF(A115="","",COUNTIF(Pubs!$G$2:$G$3001,A115))</f>
        <v/>
      </c>
      <c r="E115" s="26" t="str">
        <f aca="false">IF(A115="","",COUNTIF(Apparitions!$J$2:$J$5001,A115))</f>
        <v/>
      </c>
    </row>
    <row r="116" customFormat="false" ht="15" hidden="false" customHeight="false" outlineLevel="0" collapsed="false">
      <c r="A116" s="19"/>
      <c r="B116" s="19"/>
      <c r="C116" s="26" t="str">
        <f aca="false">IF(A116="","",COUNTIF(Jeux!$C$2:$C$3001,A116))</f>
        <v/>
      </c>
      <c r="D116" s="26" t="str">
        <f aca="false">IF(A116="","",COUNTIF(Pubs!$G$2:$G$3001,A116))</f>
        <v/>
      </c>
      <c r="E116" s="26" t="str">
        <f aca="false">IF(A116="","",COUNTIF(Apparitions!$J$2:$J$5001,A116))</f>
        <v/>
      </c>
    </row>
    <row r="117" customFormat="false" ht="15" hidden="false" customHeight="false" outlineLevel="0" collapsed="false">
      <c r="A117" s="19"/>
      <c r="B117" s="19"/>
      <c r="C117" s="26" t="str">
        <f aca="false">IF(A117="","",COUNTIF(Jeux!$C$2:$C$3001,A117))</f>
        <v/>
      </c>
      <c r="D117" s="26" t="str">
        <f aca="false">IF(A117="","",COUNTIF(Pubs!$G$2:$G$3001,A117))</f>
        <v/>
      </c>
      <c r="E117" s="26" t="str">
        <f aca="false">IF(A117="","",COUNTIF(Apparitions!$J$2:$J$5001,A117))</f>
        <v/>
      </c>
    </row>
    <row r="118" customFormat="false" ht="15" hidden="false" customHeight="false" outlineLevel="0" collapsed="false">
      <c r="A118" s="19"/>
      <c r="B118" s="19"/>
      <c r="C118" s="26" t="str">
        <f aca="false">IF(A118="","",COUNTIF(Jeux!$C$2:$C$3001,A118))</f>
        <v/>
      </c>
      <c r="D118" s="26" t="str">
        <f aca="false">IF(A118="","",COUNTIF(Pubs!$G$2:$G$3001,A118))</f>
        <v/>
      </c>
      <c r="E118" s="26" t="str">
        <f aca="false">IF(A118="","",COUNTIF(Apparitions!$J$2:$J$5001,A118))</f>
        <v/>
      </c>
    </row>
    <row r="119" customFormat="false" ht="15" hidden="false" customHeight="false" outlineLevel="0" collapsed="false">
      <c r="A119" s="19"/>
      <c r="B119" s="19"/>
      <c r="C119" s="26" t="str">
        <f aca="false">IF(A119="","",COUNTIF(Jeux!$C$2:$C$3001,A119))</f>
        <v/>
      </c>
      <c r="D119" s="26" t="str">
        <f aca="false">IF(A119="","",COUNTIF(Pubs!$G$2:$G$3001,A119))</f>
        <v/>
      </c>
      <c r="E119" s="26" t="str">
        <f aca="false">IF(A119="","",COUNTIF(Apparitions!$J$2:$J$5001,A119))</f>
        <v/>
      </c>
    </row>
    <row r="120" customFormat="false" ht="15" hidden="false" customHeight="false" outlineLevel="0" collapsed="false">
      <c r="A120" s="19"/>
      <c r="B120" s="19"/>
      <c r="C120" s="26" t="str">
        <f aca="false">IF(A120="","",COUNTIF(Jeux!$C$2:$C$3001,A120))</f>
        <v/>
      </c>
      <c r="D120" s="26" t="str">
        <f aca="false">IF(A120="","",COUNTIF(Pubs!$G$2:$G$3001,A120))</f>
        <v/>
      </c>
      <c r="E120" s="26" t="str">
        <f aca="false">IF(A120="","",COUNTIF(Apparitions!$J$2:$J$5001,A120))</f>
        <v/>
      </c>
    </row>
    <row r="121" customFormat="false" ht="15" hidden="false" customHeight="false" outlineLevel="0" collapsed="false">
      <c r="A121" s="19"/>
      <c r="B121" s="19"/>
      <c r="C121" s="26" t="str">
        <f aca="false">IF(A121="","",COUNTIF(Jeux!$C$2:$C$3001,A121))</f>
        <v/>
      </c>
      <c r="D121" s="26" t="str">
        <f aca="false">IF(A121="","",COUNTIF(Pubs!$G$2:$G$3001,A121))</f>
        <v/>
      </c>
      <c r="E121" s="26" t="str">
        <f aca="false">IF(A121="","",COUNTIF(Apparitions!$J$2:$J$5001,A121))</f>
        <v/>
      </c>
    </row>
    <row r="122" customFormat="false" ht="15" hidden="false" customHeight="false" outlineLevel="0" collapsed="false">
      <c r="A122" s="19"/>
      <c r="B122" s="19"/>
      <c r="C122" s="26" t="str">
        <f aca="false">IF(A122="","",COUNTIF(Jeux!$C$2:$C$3001,A122))</f>
        <v/>
      </c>
      <c r="D122" s="26" t="str">
        <f aca="false">IF(A122="","",COUNTIF(Pubs!$G$2:$G$3001,A122))</f>
        <v/>
      </c>
      <c r="E122" s="26" t="str">
        <f aca="false">IF(A122="","",COUNTIF(Apparitions!$J$2:$J$5001,A122))</f>
        <v/>
      </c>
    </row>
    <row r="123" customFormat="false" ht="15" hidden="false" customHeight="false" outlineLevel="0" collapsed="false">
      <c r="A123" s="19"/>
      <c r="B123" s="19"/>
      <c r="C123" s="26" t="str">
        <f aca="false">IF(A123="","",COUNTIF(Jeux!$C$2:$C$3001,A123))</f>
        <v/>
      </c>
      <c r="D123" s="26" t="str">
        <f aca="false">IF(A123="","",COUNTIF(Pubs!$G$2:$G$3001,A123))</f>
        <v/>
      </c>
      <c r="E123" s="26" t="str">
        <f aca="false">IF(A123="","",COUNTIF(Apparitions!$J$2:$J$5001,A123))</f>
        <v/>
      </c>
    </row>
    <row r="124" customFormat="false" ht="15" hidden="false" customHeight="false" outlineLevel="0" collapsed="false">
      <c r="A124" s="19"/>
      <c r="B124" s="19"/>
      <c r="C124" s="26" t="str">
        <f aca="false">IF(A124="","",COUNTIF(Jeux!$C$2:$C$3001,A124))</f>
        <v/>
      </c>
      <c r="D124" s="26" t="str">
        <f aca="false">IF(A124="","",COUNTIF(Pubs!$G$2:$G$3001,A124))</f>
        <v/>
      </c>
      <c r="E124" s="26" t="str">
        <f aca="false">IF(A124="","",COUNTIF(Apparitions!$J$2:$J$5001,A124))</f>
        <v/>
      </c>
    </row>
    <row r="125" customFormat="false" ht="15" hidden="false" customHeight="false" outlineLevel="0" collapsed="false">
      <c r="A125" s="19"/>
      <c r="B125" s="19"/>
      <c r="C125" s="26" t="str">
        <f aca="false">IF(A125="","",COUNTIF(Jeux!$C$2:$C$3001,A125))</f>
        <v/>
      </c>
      <c r="D125" s="26" t="str">
        <f aca="false">IF(A125="","",COUNTIF(Pubs!$G$2:$G$3001,A125))</f>
        <v/>
      </c>
      <c r="E125" s="26" t="str">
        <f aca="false">IF(A125="","",COUNTIF(Apparitions!$J$2:$J$5001,A125))</f>
        <v/>
      </c>
    </row>
    <row r="126" customFormat="false" ht="15" hidden="false" customHeight="false" outlineLevel="0" collapsed="false">
      <c r="A126" s="19"/>
      <c r="B126" s="19"/>
      <c r="C126" s="26" t="str">
        <f aca="false">IF(A126="","",COUNTIF(Jeux!$C$2:$C$3001,A126))</f>
        <v/>
      </c>
      <c r="D126" s="26" t="str">
        <f aca="false">IF(A126="","",COUNTIF(Pubs!$G$2:$G$3001,A126))</f>
        <v/>
      </c>
      <c r="E126" s="26" t="str">
        <f aca="false">IF(A126="","",COUNTIF(Apparitions!$J$2:$J$5001,A126))</f>
        <v/>
      </c>
    </row>
    <row r="127" customFormat="false" ht="15" hidden="false" customHeight="false" outlineLevel="0" collapsed="false">
      <c r="A127" s="19"/>
      <c r="B127" s="19"/>
      <c r="C127" s="26" t="str">
        <f aca="false">IF(A127="","",COUNTIF(Jeux!$C$2:$C$3001,A127))</f>
        <v/>
      </c>
      <c r="D127" s="26" t="str">
        <f aca="false">IF(A127="","",COUNTIF(Pubs!$G$2:$G$3001,A127))</f>
        <v/>
      </c>
      <c r="E127" s="26" t="str">
        <f aca="false">IF(A127="","",COUNTIF(Apparitions!$J$2:$J$5001,A127))</f>
        <v/>
      </c>
    </row>
    <row r="128" customFormat="false" ht="15" hidden="false" customHeight="false" outlineLevel="0" collapsed="false">
      <c r="A128" s="19"/>
      <c r="B128" s="19"/>
      <c r="C128" s="26" t="str">
        <f aca="false">IF(A128="","",COUNTIF(Jeux!$C$2:$C$3001,A128))</f>
        <v/>
      </c>
      <c r="D128" s="26" t="str">
        <f aca="false">IF(A128="","",COUNTIF(Pubs!$G$2:$G$3001,A128))</f>
        <v/>
      </c>
      <c r="E128" s="26" t="str">
        <f aca="false">IF(A128="","",COUNTIF(Apparitions!$J$2:$J$5001,A128))</f>
        <v/>
      </c>
    </row>
    <row r="129" customFormat="false" ht="15" hidden="false" customHeight="false" outlineLevel="0" collapsed="false">
      <c r="A129" s="19"/>
      <c r="B129" s="19"/>
      <c r="C129" s="26" t="str">
        <f aca="false">IF(A129="","",COUNTIF(Jeux!$C$2:$C$3001,A129))</f>
        <v/>
      </c>
      <c r="D129" s="26" t="str">
        <f aca="false">IF(A129="","",COUNTIF(Pubs!$G$2:$G$3001,A129))</f>
        <v/>
      </c>
      <c r="E129" s="26" t="str">
        <f aca="false">IF(A129="","",COUNTIF(Apparitions!$J$2:$J$5001,A129))</f>
        <v/>
      </c>
    </row>
    <row r="130" customFormat="false" ht="15" hidden="false" customHeight="false" outlineLevel="0" collapsed="false">
      <c r="A130" s="19"/>
      <c r="B130" s="19"/>
      <c r="C130" s="26" t="str">
        <f aca="false">IF(A130="","",COUNTIF(Jeux!$C$2:$C$3001,A130))</f>
        <v/>
      </c>
      <c r="D130" s="26" t="str">
        <f aca="false">IF(A130="","",COUNTIF(Pubs!$G$2:$G$3001,A130))</f>
        <v/>
      </c>
      <c r="E130" s="26" t="str">
        <f aca="false">IF(A130="","",COUNTIF(Apparitions!$J$2:$J$5001,A130))</f>
        <v/>
      </c>
    </row>
    <row r="131" customFormat="false" ht="15" hidden="false" customHeight="false" outlineLevel="0" collapsed="false">
      <c r="A131" s="19"/>
      <c r="B131" s="19"/>
      <c r="C131" s="26" t="str">
        <f aca="false">IF(A131="","",COUNTIF(Jeux!$C$2:$C$3001,A131))</f>
        <v/>
      </c>
      <c r="D131" s="26" t="str">
        <f aca="false">IF(A131="","",COUNTIF(Pubs!$G$2:$G$3001,A131))</f>
        <v/>
      </c>
      <c r="E131" s="26" t="str">
        <f aca="false">IF(A131="","",COUNTIF(Apparitions!$J$2:$J$5001,A131))</f>
        <v/>
      </c>
    </row>
    <row r="132" customFormat="false" ht="15" hidden="false" customHeight="false" outlineLevel="0" collapsed="false">
      <c r="A132" s="19"/>
      <c r="B132" s="19"/>
      <c r="C132" s="26" t="str">
        <f aca="false">IF(A132="","",COUNTIF(Jeux!$C$2:$C$3001,A132))</f>
        <v/>
      </c>
      <c r="D132" s="26" t="str">
        <f aca="false">IF(A132="","",COUNTIF(Pubs!$G$2:$G$3001,A132))</f>
        <v/>
      </c>
      <c r="E132" s="26" t="str">
        <f aca="false">IF(A132="","",COUNTIF(Apparitions!$J$2:$J$5001,A132))</f>
        <v/>
      </c>
    </row>
    <row r="133" customFormat="false" ht="15" hidden="false" customHeight="false" outlineLevel="0" collapsed="false">
      <c r="A133" s="19"/>
      <c r="B133" s="19"/>
      <c r="C133" s="26" t="str">
        <f aca="false">IF(A133="","",COUNTIF(Jeux!$C$2:$C$3001,A133))</f>
        <v/>
      </c>
      <c r="D133" s="26" t="str">
        <f aca="false">IF(A133="","",COUNTIF(Pubs!$G$2:$G$3001,A133))</f>
        <v/>
      </c>
      <c r="E133" s="26" t="str">
        <f aca="false">IF(A133="","",COUNTIF(Apparitions!$J$2:$J$5001,A133))</f>
        <v/>
      </c>
    </row>
    <row r="134" customFormat="false" ht="15" hidden="false" customHeight="false" outlineLevel="0" collapsed="false">
      <c r="A134" s="19"/>
      <c r="B134" s="19"/>
      <c r="C134" s="26" t="str">
        <f aca="false">IF(A134="","",COUNTIF(Jeux!$C$2:$C$3001,A134))</f>
        <v/>
      </c>
      <c r="D134" s="26" t="str">
        <f aca="false">IF(A134="","",COUNTIF(Pubs!$G$2:$G$3001,A134))</f>
        <v/>
      </c>
      <c r="E134" s="26" t="str">
        <f aca="false">IF(A134="","",COUNTIF(Apparitions!$J$2:$J$5001,A134))</f>
        <v/>
      </c>
    </row>
    <row r="135" customFormat="false" ht="15" hidden="false" customHeight="false" outlineLevel="0" collapsed="false">
      <c r="A135" s="19"/>
      <c r="B135" s="19"/>
      <c r="C135" s="26" t="str">
        <f aca="false">IF(A135="","",COUNTIF(Jeux!$C$2:$C$3001,A135))</f>
        <v/>
      </c>
      <c r="D135" s="26" t="str">
        <f aca="false">IF(A135="","",COUNTIF(Pubs!$G$2:$G$3001,A135))</f>
        <v/>
      </c>
      <c r="E135" s="26" t="str">
        <f aca="false">IF(A135="","",COUNTIF(Apparitions!$J$2:$J$5001,A135))</f>
        <v/>
      </c>
    </row>
    <row r="136" customFormat="false" ht="15" hidden="false" customHeight="false" outlineLevel="0" collapsed="false">
      <c r="A136" s="19"/>
      <c r="B136" s="19"/>
      <c r="C136" s="26" t="str">
        <f aca="false">IF(A136="","",COUNTIF(Jeux!$C$2:$C$3001,A136))</f>
        <v/>
      </c>
      <c r="D136" s="26" t="str">
        <f aca="false">IF(A136="","",COUNTIF(Pubs!$G$2:$G$3001,A136))</f>
        <v/>
      </c>
      <c r="E136" s="26" t="str">
        <f aca="false">IF(A136="","",COUNTIF(Apparitions!$J$2:$J$5001,A136))</f>
        <v/>
      </c>
    </row>
    <row r="137" customFormat="false" ht="15" hidden="false" customHeight="false" outlineLevel="0" collapsed="false">
      <c r="A137" s="19"/>
      <c r="B137" s="19"/>
      <c r="C137" s="26" t="str">
        <f aca="false">IF(A137="","",COUNTIF(Jeux!$C$2:$C$3001,A137))</f>
        <v/>
      </c>
      <c r="D137" s="26" t="str">
        <f aca="false">IF(A137="","",COUNTIF(Pubs!$G$2:$G$3001,A137))</f>
        <v/>
      </c>
      <c r="E137" s="26" t="str">
        <f aca="false">IF(A137="","",COUNTIF(Apparitions!$J$2:$J$5001,A137))</f>
        <v/>
      </c>
    </row>
    <row r="138" customFormat="false" ht="15" hidden="false" customHeight="false" outlineLevel="0" collapsed="false">
      <c r="A138" s="19"/>
      <c r="B138" s="19"/>
      <c r="C138" s="26" t="str">
        <f aca="false">IF(A138="","",COUNTIF(Jeux!$C$2:$C$3001,A138))</f>
        <v/>
      </c>
      <c r="D138" s="26" t="str">
        <f aca="false">IF(A138="","",COUNTIF(Pubs!$G$2:$G$3001,A138))</f>
        <v/>
      </c>
      <c r="E138" s="26" t="str">
        <f aca="false">IF(A138="","",COUNTIF(Apparitions!$J$2:$J$5001,A138))</f>
        <v/>
      </c>
    </row>
    <row r="139" customFormat="false" ht="15" hidden="false" customHeight="false" outlineLevel="0" collapsed="false">
      <c r="A139" s="19"/>
      <c r="B139" s="19"/>
      <c r="C139" s="26" t="str">
        <f aca="false">IF(A139="","",COUNTIF(Jeux!$C$2:$C$3001,A139))</f>
        <v/>
      </c>
      <c r="D139" s="26" t="str">
        <f aca="false">IF(A139="","",COUNTIF(Pubs!$G$2:$G$3001,A139))</f>
        <v/>
      </c>
      <c r="E139" s="26" t="str">
        <f aca="false">IF(A139="","",COUNTIF(Apparitions!$J$2:$J$5001,A139))</f>
        <v/>
      </c>
    </row>
    <row r="140" customFormat="false" ht="15" hidden="false" customHeight="false" outlineLevel="0" collapsed="false">
      <c r="A140" s="19"/>
      <c r="B140" s="19"/>
      <c r="C140" s="26" t="str">
        <f aca="false">IF(A140="","",COUNTIF(Jeux!$C$2:$C$3001,A140))</f>
        <v/>
      </c>
      <c r="D140" s="26" t="str">
        <f aca="false">IF(A140="","",COUNTIF(Pubs!$G$2:$G$3001,A140))</f>
        <v/>
      </c>
      <c r="E140" s="26" t="str">
        <f aca="false">IF(A140="","",COUNTIF(Apparitions!$J$2:$J$5001,A140))</f>
        <v/>
      </c>
    </row>
    <row r="141" customFormat="false" ht="15" hidden="false" customHeight="false" outlineLevel="0" collapsed="false">
      <c r="A141" s="19"/>
      <c r="B141" s="19"/>
      <c r="C141" s="26" t="str">
        <f aca="false">IF(A141="","",COUNTIF(Jeux!$C$2:$C$3001,A141))</f>
        <v/>
      </c>
      <c r="D141" s="26" t="str">
        <f aca="false">IF(A141="","",COUNTIF(Pubs!$G$2:$G$3001,A141))</f>
        <v/>
      </c>
      <c r="E141" s="26" t="str">
        <f aca="false">IF(A141="","",COUNTIF(Apparitions!$J$2:$J$5001,A141))</f>
        <v/>
      </c>
    </row>
    <row r="142" customFormat="false" ht="15" hidden="false" customHeight="false" outlineLevel="0" collapsed="false">
      <c r="A142" s="19"/>
      <c r="B142" s="19"/>
      <c r="C142" s="26" t="str">
        <f aca="false">IF(A142="","",COUNTIF(Jeux!$C$2:$C$3001,A142))</f>
        <v/>
      </c>
      <c r="D142" s="26" t="str">
        <f aca="false">IF(A142="","",COUNTIF(Pubs!$G$2:$G$3001,A142))</f>
        <v/>
      </c>
      <c r="E142" s="26" t="str">
        <f aca="false">IF(A142="","",COUNTIF(Apparitions!$J$2:$J$5001,A142))</f>
        <v/>
      </c>
    </row>
    <row r="143" customFormat="false" ht="15" hidden="false" customHeight="false" outlineLevel="0" collapsed="false">
      <c r="A143" s="19"/>
      <c r="B143" s="19"/>
      <c r="C143" s="26" t="str">
        <f aca="false">IF(A143="","",COUNTIF(Jeux!$C$2:$C$3001,A143))</f>
        <v/>
      </c>
      <c r="D143" s="26" t="str">
        <f aca="false">IF(A143="","",COUNTIF(Pubs!$G$2:$G$3001,A143))</f>
        <v/>
      </c>
      <c r="E143" s="26" t="str">
        <f aca="false">IF(A143="","",COUNTIF(Apparitions!$J$2:$J$5001,A143))</f>
        <v/>
      </c>
    </row>
    <row r="144" customFormat="false" ht="15" hidden="false" customHeight="false" outlineLevel="0" collapsed="false">
      <c r="A144" s="19"/>
      <c r="B144" s="19"/>
      <c r="C144" s="26" t="str">
        <f aca="false">IF(A144="","",COUNTIF(Jeux!$C$2:$C$3001,A144))</f>
        <v/>
      </c>
      <c r="D144" s="26" t="str">
        <f aca="false">IF(A144="","",COUNTIF(Pubs!$G$2:$G$3001,A144))</f>
        <v/>
      </c>
      <c r="E144" s="26" t="str">
        <f aca="false">IF(A144="","",COUNTIF(Apparitions!$J$2:$J$5001,A144))</f>
        <v/>
      </c>
    </row>
    <row r="145" customFormat="false" ht="15" hidden="false" customHeight="false" outlineLevel="0" collapsed="false">
      <c r="A145" s="19"/>
      <c r="B145" s="19"/>
      <c r="C145" s="26" t="str">
        <f aca="false">IF(A145="","",COUNTIF(Jeux!$C$2:$C$3001,A145))</f>
        <v/>
      </c>
      <c r="D145" s="26" t="str">
        <f aca="false">IF(A145="","",COUNTIF(Pubs!$G$2:$G$3001,A145))</f>
        <v/>
      </c>
      <c r="E145" s="26" t="str">
        <f aca="false">IF(A145="","",COUNTIF(Apparitions!$J$2:$J$5001,A145))</f>
        <v/>
      </c>
    </row>
    <row r="146" customFormat="false" ht="15" hidden="false" customHeight="false" outlineLevel="0" collapsed="false">
      <c r="A146" s="19"/>
      <c r="B146" s="19"/>
      <c r="C146" s="26" t="str">
        <f aca="false">IF(A146="","",COUNTIF(Jeux!$C$2:$C$3001,A146))</f>
        <v/>
      </c>
      <c r="D146" s="26" t="str">
        <f aca="false">IF(A146="","",COUNTIF(Pubs!$G$2:$G$3001,A146))</f>
        <v/>
      </c>
      <c r="E146" s="26" t="str">
        <f aca="false">IF(A146="","",COUNTIF(Apparitions!$J$2:$J$5001,A146))</f>
        <v/>
      </c>
    </row>
    <row r="147" customFormat="false" ht="15" hidden="false" customHeight="false" outlineLevel="0" collapsed="false">
      <c r="A147" s="19"/>
      <c r="B147" s="19"/>
      <c r="C147" s="26" t="str">
        <f aca="false">IF(A147="","",COUNTIF(Jeux!$C$2:$C$3001,A147))</f>
        <v/>
      </c>
      <c r="D147" s="26" t="str">
        <f aca="false">IF(A147="","",COUNTIF(Pubs!$G$2:$G$3001,A147))</f>
        <v/>
      </c>
      <c r="E147" s="26" t="str">
        <f aca="false">IF(A147="","",COUNTIF(Apparitions!$J$2:$J$5001,A147))</f>
        <v/>
      </c>
    </row>
    <row r="148" customFormat="false" ht="15" hidden="false" customHeight="false" outlineLevel="0" collapsed="false">
      <c r="A148" s="19"/>
      <c r="B148" s="19"/>
      <c r="C148" s="26" t="str">
        <f aca="false">IF(A148="","",COUNTIF(Jeux!$C$2:$C$3001,A148))</f>
        <v/>
      </c>
      <c r="D148" s="26" t="str">
        <f aca="false">IF(A148="","",COUNTIF(Pubs!$G$2:$G$3001,A148))</f>
        <v/>
      </c>
      <c r="E148" s="26" t="str">
        <f aca="false">IF(A148="","",COUNTIF(Apparitions!$J$2:$J$5001,A148))</f>
        <v/>
      </c>
    </row>
    <row r="149" customFormat="false" ht="15" hidden="false" customHeight="false" outlineLevel="0" collapsed="false">
      <c r="A149" s="19"/>
      <c r="B149" s="19"/>
      <c r="C149" s="26" t="str">
        <f aca="false">IF(A149="","",COUNTIF(Jeux!$C$2:$C$3001,A149))</f>
        <v/>
      </c>
      <c r="D149" s="26" t="str">
        <f aca="false">IF(A149="","",COUNTIF(Pubs!$G$2:$G$3001,A149))</f>
        <v/>
      </c>
      <c r="E149" s="26" t="str">
        <f aca="false">IF(A149="","",COUNTIF(Apparitions!$J$2:$J$5001,A149))</f>
        <v/>
      </c>
    </row>
    <row r="150" customFormat="false" ht="15" hidden="false" customHeight="false" outlineLevel="0" collapsed="false">
      <c r="A150" s="19"/>
      <c r="B150" s="19"/>
      <c r="C150" s="26" t="str">
        <f aca="false">IF(A150="","",COUNTIF(Jeux!$C$2:$C$3001,A150))</f>
        <v/>
      </c>
      <c r="D150" s="26" t="str">
        <f aca="false">IF(A150="","",COUNTIF(Pubs!$G$2:$G$3001,A150))</f>
        <v/>
      </c>
      <c r="E150" s="26" t="str">
        <f aca="false">IF(A150="","",COUNTIF(Apparitions!$J$2:$J$5001,A150))</f>
        <v/>
      </c>
    </row>
    <row r="151" customFormat="false" ht="15" hidden="false" customHeight="false" outlineLevel="0" collapsed="false">
      <c r="A151" s="19"/>
      <c r="B151" s="19"/>
      <c r="C151" s="26" t="str">
        <f aca="false">IF(A151="","",COUNTIF(Jeux!$C$2:$C$3001,A151))</f>
        <v/>
      </c>
      <c r="D151" s="26" t="str">
        <f aca="false">IF(A151="","",COUNTIF(Pubs!$G$2:$G$3001,A151))</f>
        <v/>
      </c>
      <c r="E151" s="26" t="str">
        <f aca="false">IF(A151="","",COUNTIF(Apparitions!$J$2:$J$5001,A151))</f>
        <v/>
      </c>
    </row>
    <row r="152" customFormat="false" ht="15" hidden="false" customHeight="false" outlineLevel="0" collapsed="false">
      <c r="A152" s="19"/>
      <c r="B152" s="19"/>
      <c r="C152" s="26" t="str">
        <f aca="false">IF(A152="","",COUNTIF(Jeux!$C$2:$C$3001,A152))</f>
        <v/>
      </c>
      <c r="D152" s="26" t="str">
        <f aca="false">IF(A152="","",COUNTIF(Pubs!$G$2:$G$3001,A152))</f>
        <v/>
      </c>
      <c r="E152" s="26" t="str">
        <f aca="false">IF(A152="","",COUNTIF(Apparitions!$J$2:$J$5001,A152))</f>
        <v/>
      </c>
    </row>
    <row r="153" customFormat="false" ht="15" hidden="false" customHeight="false" outlineLevel="0" collapsed="false">
      <c r="A153" s="19"/>
      <c r="B153" s="19"/>
      <c r="C153" s="26" t="str">
        <f aca="false">IF(A153="","",COUNTIF(Jeux!$C$2:$C$3001,A153))</f>
        <v/>
      </c>
      <c r="D153" s="26" t="str">
        <f aca="false">IF(A153="","",COUNTIF(Pubs!$G$2:$G$3001,A153))</f>
        <v/>
      </c>
      <c r="E153" s="26" t="str">
        <f aca="false">IF(A153="","",COUNTIF(Apparitions!$J$2:$J$5001,A153))</f>
        <v/>
      </c>
    </row>
    <row r="154" customFormat="false" ht="15" hidden="false" customHeight="false" outlineLevel="0" collapsed="false">
      <c r="A154" s="19"/>
      <c r="B154" s="19"/>
      <c r="C154" s="26" t="str">
        <f aca="false">IF(A154="","",COUNTIF(Jeux!$C$2:$C$3001,A154))</f>
        <v/>
      </c>
      <c r="D154" s="26" t="str">
        <f aca="false">IF(A154="","",COUNTIF(Pubs!$G$2:$G$3001,A154))</f>
        <v/>
      </c>
      <c r="E154" s="26" t="str">
        <f aca="false">IF(A154="","",COUNTIF(Apparitions!$J$2:$J$5001,A154))</f>
        <v/>
      </c>
    </row>
    <row r="155" customFormat="false" ht="15" hidden="false" customHeight="false" outlineLevel="0" collapsed="false">
      <c r="A155" s="19"/>
      <c r="B155" s="19"/>
      <c r="C155" s="26" t="str">
        <f aca="false">IF(A155="","",COUNTIF(Jeux!$C$2:$C$3001,A155))</f>
        <v/>
      </c>
      <c r="D155" s="26" t="str">
        <f aca="false">IF(A155="","",COUNTIF(Pubs!$G$2:$G$3001,A155))</f>
        <v/>
      </c>
      <c r="E155" s="26" t="str">
        <f aca="false">IF(A155="","",COUNTIF(Apparitions!$J$2:$J$5001,A155))</f>
        <v/>
      </c>
    </row>
    <row r="156" customFormat="false" ht="15" hidden="false" customHeight="false" outlineLevel="0" collapsed="false">
      <c r="A156" s="19"/>
      <c r="B156" s="19"/>
      <c r="C156" s="26" t="str">
        <f aca="false">IF(A156="","",COUNTIF(Jeux!$C$2:$C$3001,A156))</f>
        <v/>
      </c>
      <c r="D156" s="26" t="str">
        <f aca="false">IF(A156="","",COUNTIF(Pubs!$G$2:$G$3001,A156))</f>
        <v/>
      </c>
      <c r="E156" s="26" t="str">
        <f aca="false">IF(A156="","",COUNTIF(Apparitions!$J$2:$J$5001,A156))</f>
        <v/>
      </c>
    </row>
    <row r="157" customFormat="false" ht="15" hidden="false" customHeight="false" outlineLevel="0" collapsed="false">
      <c r="A157" s="19"/>
      <c r="B157" s="19"/>
      <c r="C157" s="26" t="str">
        <f aca="false">IF(A157="","",COUNTIF(Jeux!$C$2:$C$3001,A157))</f>
        <v/>
      </c>
      <c r="D157" s="26" t="str">
        <f aca="false">IF(A157="","",COUNTIF(Pubs!$G$2:$G$3001,A157))</f>
        <v/>
      </c>
      <c r="E157" s="26" t="str">
        <f aca="false">IF(A157="","",COUNTIF(Apparitions!$J$2:$J$5001,A157))</f>
        <v/>
      </c>
    </row>
    <row r="158" customFormat="false" ht="15" hidden="false" customHeight="false" outlineLevel="0" collapsed="false">
      <c r="A158" s="19"/>
      <c r="B158" s="19"/>
      <c r="C158" s="26" t="str">
        <f aca="false">IF(A158="","",COUNTIF(Jeux!$C$2:$C$3001,A158))</f>
        <v/>
      </c>
      <c r="D158" s="26" t="str">
        <f aca="false">IF(A158="","",COUNTIF(Pubs!$G$2:$G$3001,A158))</f>
        <v/>
      </c>
      <c r="E158" s="26" t="str">
        <f aca="false">IF(A158="","",COUNTIF(Apparitions!$J$2:$J$5001,A158))</f>
        <v/>
      </c>
    </row>
    <row r="159" customFormat="false" ht="15" hidden="false" customHeight="false" outlineLevel="0" collapsed="false">
      <c r="A159" s="19"/>
      <c r="B159" s="19"/>
      <c r="C159" s="26" t="str">
        <f aca="false">IF(A159="","",COUNTIF(Jeux!$C$2:$C$3001,A159))</f>
        <v/>
      </c>
      <c r="D159" s="26" t="str">
        <f aca="false">IF(A159="","",COUNTIF(Pubs!$G$2:$G$3001,A159))</f>
        <v/>
      </c>
      <c r="E159" s="26" t="str">
        <f aca="false">IF(A159="","",COUNTIF(Apparitions!$J$2:$J$5001,A159))</f>
        <v/>
      </c>
    </row>
    <row r="160" customFormat="false" ht="15" hidden="false" customHeight="false" outlineLevel="0" collapsed="false">
      <c r="A160" s="19"/>
      <c r="B160" s="19"/>
      <c r="C160" s="26" t="str">
        <f aca="false">IF(A160="","",COUNTIF(Jeux!$C$2:$C$3001,A160))</f>
        <v/>
      </c>
      <c r="D160" s="26" t="str">
        <f aca="false">IF(A160="","",COUNTIF(Pubs!$G$2:$G$3001,A160))</f>
        <v/>
      </c>
      <c r="E160" s="26" t="str">
        <f aca="false">IF(A160="","",COUNTIF(Apparitions!$J$2:$J$5001,A160))</f>
        <v/>
      </c>
    </row>
    <row r="161" customFormat="false" ht="15" hidden="false" customHeight="false" outlineLevel="0" collapsed="false">
      <c r="A161" s="19"/>
      <c r="B161" s="19"/>
      <c r="C161" s="26" t="str">
        <f aca="false">IF(A161="","",COUNTIF(Jeux!$C$2:$C$3001,A161))</f>
        <v/>
      </c>
      <c r="D161" s="26" t="str">
        <f aca="false">IF(A161="","",COUNTIF(Pubs!$G$2:$G$3001,A161))</f>
        <v/>
      </c>
      <c r="E161" s="26" t="str">
        <f aca="false">IF(A161="","",COUNTIF(Apparitions!$J$2:$J$5001,A161))</f>
        <v/>
      </c>
    </row>
    <row r="162" customFormat="false" ht="15" hidden="false" customHeight="false" outlineLevel="0" collapsed="false">
      <c r="A162" s="19"/>
      <c r="B162" s="19"/>
      <c r="C162" s="26" t="str">
        <f aca="false">IF(A162="","",COUNTIF(Jeux!$C$2:$C$3001,A162))</f>
        <v/>
      </c>
      <c r="D162" s="26" t="str">
        <f aca="false">IF(A162="","",COUNTIF(Pubs!$G$2:$G$3001,A162))</f>
        <v/>
      </c>
      <c r="E162" s="26" t="str">
        <f aca="false">IF(A162="","",COUNTIF(Apparitions!$J$2:$J$5001,A162))</f>
        <v/>
      </c>
    </row>
    <row r="163" customFormat="false" ht="15" hidden="false" customHeight="false" outlineLevel="0" collapsed="false">
      <c r="A163" s="19"/>
      <c r="B163" s="19"/>
      <c r="C163" s="26" t="str">
        <f aca="false">IF(A163="","",COUNTIF(Jeux!$C$2:$C$3001,A163))</f>
        <v/>
      </c>
      <c r="D163" s="26" t="str">
        <f aca="false">IF(A163="","",COUNTIF(Pubs!$G$2:$G$3001,A163))</f>
        <v/>
      </c>
      <c r="E163" s="26" t="str">
        <f aca="false">IF(A163="","",COUNTIF(Apparitions!$J$2:$J$5001,A163))</f>
        <v/>
      </c>
    </row>
    <row r="164" customFormat="false" ht="15" hidden="false" customHeight="false" outlineLevel="0" collapsed="false">
      <c r="A164" s="19"/>
      <c r="B164" s="19"/>
      <c r="C164" s="26" t="str">
        <f aca="false">IF(A164="","",COUNTIF(Jeux!$C$2:$C$3001,A164))</f>
        <v/>
      </c>
      <c r="D164" s="26" t="str">
        <f aca="false">IF(A164="","",COUNTIF(Pubs!$G$2:$G$3001,A164))</f>
        <v/>
      </c>
      <c r="E164" s="26" t="str">
        <f aca="false">IF(A164="","",COUNTIF(Apparitions!$J$2:$J$5001,A164))</f>
        <v/>
      </c>
    </row>
    <row r="165" customFormat="false" ht="15" hidden="false" customHeight="false" outlineLevel="0" collapsed="false">
      <c r="A165" s="19"/>
      <c r="B165" s="19"/>
      <c r="C165" s="26" t="str">
        <f aca="false">IF(A165="","",COUNTIF(Jeux!$C$2:$C$3001,A165))</f>
        <v/>
      </c>
      <c r="D165" s="26" t="str">
        <f aca="false">IF(A165="","",COUNTIF(Pubs!$G$2:$G$3001,A165))</f>
        <v/>
      </c>
      <c r="E165" s="26" t="str">
        <f aca="false">IF(A165="","",COUNTIF(Apparitions!$J$2:$J$5001,A165))</f>
        <v/>
      </c>
    </row>
    <row r="166" customFormat="false" ht="15" hidden="false" customHeight="false" outlineLevel="0" collapsed="false">
      <c r="A166" s="19"/>
      <c r="B166" s="19"/>
      <c r="C166" s="26" t="str">
        <f aca="false">IF(A166="","",COUNTIF(Jeux!$C$2:$C$3001,A166))</f>
        <v/>
      </c>
      <c r="D166" s="26" t="str">
        <f aca="false">IF(A166="","",COUNTIF(Pubs!$G$2:$G$3001,A166))</f>
        <v/>
      </c>
      <c r="E166" s="26" t="str">
        <f aca="false">IF(A166="","",COUNTIF(Apparitions!$J$2:$J$5001,A166))</f>
        <v/>
      </c>
    </row>
    <row r="167" customFormat="false" ht="15" hidden="false" customHeight="false" outlineLevel="0" collapsed="false">
      <c r="A167" s="19"/>
      <c r="B167" s="19"/>
      <c r="C167" s="26" t="str">
        <f aca="false">IF(A167="","",COUNTIF(Jeux!$C$2:$C$3001,A167))</f>
        <v/>
      </c>
      <c r="D167" s="26" t="str">
        <f aca="false">IF(A167="","",COUNTIF(Pubs!$G$2:$G$3001,A167))</f>
        <v/>
      </c>
      <c r="E167" s="26" t="str">
        <f aca="false">IF(A167="","",COUNTIF(Apparitions!$J$2:$J$5001,A167))</f>
        <v/>
      </c>
    </row>
    <row r="168" customFormat="false" ht="15" hidden="false" customHeight="false" outlineLevel="0" collapsed="false">
      <c r="A168" s="19"/>
      <c r="B168" s="19"/>
      <c r="C168" s="26" t="str">
        <f aca="false">IF(A168="","",COUNTIF(Jeux!$C$2:$C$3001,A168))</f>
        <v/>
      </c>
      <c r="D168" s="26" t="str">
        <f aca="false">IF(A168="","",COUNTIF(Pubs!$G$2:$G$3001,A168))</f>
        <v/>
      </c>
      <c r="E168" s="26" t="str">
        <f aca="false">IF(A168="","",COUNTIF(Apparitions!$J$2:$J$5001,A168))</f>
        <v/>
      </c>
    </row>
    <row r="169" customFormat="false" ht="15" hidden="false" customHeight="false" outlineLevel="0" collapsed="false">
      <c r="A169" s="19"/>
      <c r="B169" s="19"/>
      <c r="C169" s="26" t="str">
        <f aca="false">IF(A169="","",COUNTIF(Jeux!$C$2:$C$3001,A169))</f>
        <v/>
      </c>
      <c r="D169" s="26" t="str">
        <f aca="false">IF(A169="","",COUNTIF(Pubs!$G$2:$G$3001,A169))</f>
        <v/>
      </c>
      <c r="E169" s="26" t="str">
        <f aca="false">IF(A169="","",COUNTIF(Apparitions!$J$2:$J$5001,A169))</f>
        <v/>
      </c>
    </row>
    <row r="170" customFormat="false" ht="15" hidden="false" customHeight="false" outlineLevel="0" collapsed="false">
      <c r="A170" s="19"/>
      <c r="B170" s="19"/>
      <c r="C170" s="26" t="str">
        <f aca="false">IF(A170="","",COUNTIF(Jeux!$C$2:$C$3001,A170))</f>
        <v/>
      </c>
      <c r="D170" s="26" t="str">
        <f aca="false">IF(A170="","",COUNTIF(Pubs!$G$2:$G$3001,A170))</f>
        <v/>
      </c>
      <c r="E170" s="26" t="str">
        <f aca="false">IF(A170="","",COUNTIF(Apparitions!$J$2:$J$5001,A170))</f>
        <v/>
      </c>
    </row>
    <row r="171" customFormat="false" ht="15" hidden="false" customHeight="false" outlineLevel="0" collapsed="false">
      <c r="A171" s="19"/>
      <c r="B171" s="19"/>
      <c r="C171" s="26" t="str">
        <f aca="false">IF(A171="","",COUNTIF(Jeux!$C$2:$C$3001,A171))</f>
        <v/>
      </c>
      <c r="D171" s="26" t="str">
        <f aca="false">IF(A171="","",COUNTIF(Pubs!$G$2:$G$3001,A171))</f>
        <v/>
      </c>
      <c r="E171" s="26" t="str">
        <f aca="false">IF(A171="","",COUNTIF(Apparitions!$J$2:$J$5001,A171))</f>
        <v/>
      </c>
    </row>
    <row r="172" customFormat="false" ht="15" hidden="false" customHeight="false" outlineLevel="0" collapsed="false">
      <c r="A172" s="19"/>
      <c r="B172" s="19"/>
      <c r="C172" s="26" t="str">
        <f aca="false">IF(A172="","",COUNTIF(Jeux!$C$2:$C$3001,A172))</f>
        <v/>
      </c>
      <c r="D172" s="26" t="str">
        <f aca="false">IF(A172="","",COUNTIF(Pubs!$G$2:$G$3001,A172))</f>
        <v/>
      </c>
      <c r="E172" s="26" t="str">
        <f aca="false">IF(A172="","",COUNTIF(Apparitions!$J$2:$J$5001,A172))</f>
        <v/>
      </c>
    </row>
    <row r="173" customFormat="false" ht="15" hidden="false" customHeight="false" outlineLevel="0" collapsed="false">
      <c r="A173" s="19"/>
      <c r="B173" s="19"/>
      <c r="C173" s="26" t="str">
        <f aca="false">IF(A173="","",COUNTIF(Jeux!$C$2:$C$3001,A173))</f>
        <v/>
      </c>
      <c r="D173" s="26" t="str">
        <f aca="false">IF(A173="","",COUNTIF(Pubs!$G$2:$G$3001,A173))</f>
        <v/>
      </c>
      <c r="E173" s="26" t="str">
        <f aca="false">IF(A173="","",COUNTIF(Apparitions!$J$2:$J$5001,A173))</f>
        <v/>
      </c>
    </row>
    <row r="174" customFormat="false" ht="15" hidden="false" customHeight="false" outlineLevel="0" collapsed="false">
      <c r="A174" s="19"/>
      <c r="B174" s="19"/>
      <c r="C174" s="26" t="str">
        <f aca="false">IF(A174="","",COUNTIF(Jeux!$C$2:$C$3001,A174))</f>
        <v/>
      </c>
      <c r="D174" s="26" t="str">
        <f aca="false">IF(A174="","",COUNTIF(Pubs!$G$2:$G$3001,A174))</f>
        <v/>
      </c>
      <c r="E174" s="26" t="str">
        <f aca="false">IF(A174="","",COUNTIF(Apparitions!$J$2:$J$5001,A174))</f>
        <v/>
      </c>
    </row>
    <row r="175" customFormat="false" ht="15" hidden="false" customHeight="false" outlineLevel="0" collapsed="false">
      <c r="A175" s="19"/>
      <c r="B175" s="19"/>
      <c r="C175" s="26" t="str">
        <f aca="false">IF(A175="","",COUNTIF(Jeux!$C$2:$C$3001,A175))</f>
        <v/>
      </c>
      <c r="D175" s="26" t="str">
        <f aca="false">IF(A175="","",COUNTIF(Pubs!$G$2:$G$3001,A175))</f>
        <v/>
      </c>
      <c r="E175" s="26" t="str">
        <f aca="false">IF(A175="","",COUNTIF(Apparitions!$J$2:$J$5001,A175))</f>
        <v/>
      </c>
    </row>
    <row r="176" customFormat="false" ht="15" hidden="false" customHeight="false" outlineLevel="0" collapsed="false">
      <c r="A176" s="19"/>
      <c r="B176" s="19"/>
      <c r="C176" s="26" t="str">
        <f aca="false">IF(A176="","",COUNTIF(Jeux!$C$2:$C$3001,A176))</f>
        <v/>
      </c>
      <c r="D176" s="26" t="str">
        <f aca="false">IF(A176="","",COUNTIF(Pubs!$G$2:$G$3001,A176))</f>
        <v/>
      </c>
      <c r="E176" s="26" t="str">
        <f aca="false">IF(A176="","",COUNTIF(Apparitions!$J$2:$J$5001,A176))</f>
        <v/>
      </c>
    </row>
    <row r="177" customFormat="false" ht="15" hidden="false" customHeight="false" outlineLevel="0" collapsed="false">
      <c r="A177" s="19"/>
      <c r="B177" s="19"/>
      <c r="C177" s="26" t="str">
        <f aca="false">IF(A177="","",COUNTIF(Jeux!$C$2:$C$3001,A177))</f>
        <v/>
      </c>
      <c r="D177" s="26" t="str">
        <f aca="false">IF(A177="","",COUNTIF(Pubs!$G$2:$G$3001,A177))</f>
        <v/>
      </c>
      <c r="E177" s="26" t="str">
        <f aca="false">IF(A177="","",COUNTIF(Apparitions!$J$2:$J$5001,A177))</f>
        <v/>
      </c>
    </row>
    <row r="178" customFormat="false" ht="15" hidden="false" customHeight="false" outlineLevel="0" collapsed="false">
      <c r="A178" s="19"/>
      <c r="B178" s="19"/>
      <c r="C178" s="26" t="str">
        <f aca="false">IF(A178="","",COUNTIF(Jeux!$C$2:$C$3001,A178))</f>
        <v/>
      </c>
      <c r="D178" s="26" t="str">
        <f aca="false">IF(A178="","",COUNTIF(Pubs!$G$2:$G$3001,A178))</f>
        <v/>
      </c>
      <c r="E178" s="26" t="str">
        <f aca="false">IF(A178="","",COUNTIF(Apparitions!$J$2:$J$5001,A178))</f>
        <v/>
      </c>
    </row>
    <row r="179" customFormat="false" ht="15" hidden="false" customHeight="false" outlineLevel="0" collapsed="false">
      <c r="A179" s="19"/>
      <c r="B179" s="19"/>
      <c r="C179" s="26" t="str">
        <f aca="false">IF(A179="","",COUNTIF(Jeux!$C$2:$C$3001,A179))</f>
        <v/>
      </c>
      <c r="D179" s="26" t="str">
        <f aca="false">IF(A179="","",COUNTIF(Pubs!$G$2:$G$3001,A179))</f>
        <v/>
      </c>
      <c r="E179" s="26" t="str">
        <f aca="false">IF(A179="","",COUNTIF(Apparitions!$J$2:$J$5001,A179))</f>
        <v/>
      </c>
    </row>
    <row r="180" customFormat="false" ht="15" hidden="false" customHeight="false" outlineLevel="0" collapsed="false">
      <c r="A180" s="19"/>
      <c r="B180" s="19"/>
      <c r="C180" s="26" t="str">
        <f aca="false">IF(A180="","",COUNTIF(Jeux!$C$2:$C$3001,A180))</f>
        <v/>
      </c>
      <c r="D180" s="26" t="str">
        <f aca="false">IF(A180="","",COUNTIF(Pubs!$G$2:$G$3001,A180))</f>
        <v/>
      </c>
      <c r="E180" s="26" t="str">
        <f aca="false">IF(A180="","",COUNTIF(Apparitions!$J$2:$J$5001,A180))</f>
        <v/>
      </c>
    </row>
    <row r="181" customFormat="false" ht="15" hidden="false" customHeight="false" outlineLevel="0" collapsed="false">
      <c r="A181" s="19"/>
      <c r="B181" s="19"/>
      <c r="C181" s="26" t="str">
        <f aca="false">IF(A181="","",COUNTIF(Jeux!$C$2:$C$3001,A181))</f>
        <v/>
      </c>
      <c r="D181" s="26" t="str">
        <f aca="false">IF(A181="","",COUNTIF(Pubs!$G$2:$G$3001,A181))</f>
        <v/>
      </c>
      <c r="E181" s="26" t="str">
        <f aca="false">IF(A181="","",COUNTIF(Apparitions!$J$2:$J$5001,A181))</f>
        <v/>
      </c>
    </row>
    <row r="182" customFormat="false" ht="15" hidden="false" customHeight="false" outlineLevel="0" collapsed="false">
      <c r="A182" s="19"/>
      <c r="B182" s="19"/>
      <c r="C182" s="26" t="str">
        <f aca="false">IF(A182="","",COUNTIF(Jeux!$C$2:$C$3001,A182))</f>
        <v/>
      </c>
      <c r="D182" s="26" t="str">
        <f aca="false">IF(A182="","",COUNTIF(Pubs!$G$2:$G$3001,A182))</f>
        <v/>
      </c>
      <c r="E182" s="26" t="str">
        <f aca="false">IF(A182="","",COUNTIF(Apparitions!$J$2:$J$5001,A182))</f>
        <v/>
      </c>
    </row>
    <row r="183" customFormat="false" ht="15" hidden="false" customHeight="false" outlineLevel="0" collapsed="false">
      <c r="A183" s="19"/>
      <c r="B183" s="19"/>
      <c r="C183" s="26" t="str">
        <f aca="false">IF(A183="","",COUNTIF(Jeux!$C$2:$C$3001,A183))</f>
        <v/>
      </c>
      <c r="D183" s="26" t="str">
        <f aca="false">IF(A183="","",COUNTIF(Pubs!$G$2:$G$3001,A183))</f>
        <v/>
      </c>
      <c r="E183" s="26" t="str">
        <f aca="false">IF(A183="","",COUNTIF(Apparitions!$J$2:$J$5001,A183))</f>
        <v/>
      </c>
    </row>
    <row r="184" customFormat="false" ht="15" hidden="false" customHeight="false" outlineLevel="0" collapsed="false">
      <c r="A184" s="19"/>
      <c r="B184" s="19"/>
      <c r="C184" s="26" t="str">
        <f aca="false">IF(A184="","",COUNTIF(Jeux!$C$2:$C$3001,A184))</f>
        <v/>
      </c>
      <c r="D184" s="26" t="str">
        <f aca="false">IF(A184="","",COUNTIF(Pubs!$G$2:$G$3001,A184))</f>
        <v/>
      </c>
      <c r="E184" s="26" t="str">
        <f aca="false">IF(A184="","",COUNTIF(Apparitions!$J$2:$J$5001,A184))</f>
        <v/>
      </c>
    </row>
    <row r="185" customFormat="false" ht="15" hidden="false" customHeight="false" outlineLevel="0" collapsed="false">
      <c r="A185" s="19"/>
      <c r="B185" s="19"/>
      <c r="C185" s="26" t="str">
        <f aca="false">IF(A185="","",COUNTIF(Jeux!$C$2:$C$3001,A185))</f>
        <v/>
      </c>
      <c r="D185" s="26" t="str">
        <f aca="false">IF(A185="","",COUNTIF(Pubs!$G$2:$G$3001,A185))</f>
        <v/>
      </c>
      <c r="E185" s="26" t="str">
        <f aca="false">IF(A185="","",COUNTIF(Apparitions!$J$2:$J$5001,A185))</f>
        <v/>
      </c>
    </row>
    <row r="186" customFormat="false" ht="15" hidden="false" customHeight="false" outlineLevel="0" collapsed="false">
      <c r="A186" s="19"/>
      <c r="B186" s="19"/>
      <c r="C186" s="26" t="str">
        <f aca="false">IF(A186="","",COUNTIF(Jeux!$C$2:$C$3001,A186))</f>
        <v/>
      </c>
      <c r="D186" s="26" t="str">
        <f aca="false">IF(A186="","",COUNTIF(Pubs!$G$2:$G$3001,A186))</f>
        <v/>
      </c>
      <c r="E186" s="26" t="str">
        <f aca="false">IF(A186="","",COUNTIF(Apparitions!$J$2:$J$5001,A186))</f>
        <v/>
      </c>
    </row>
    <row r="187" customFormat="false" ht="15" hidden="false" customHeight="false" outlineLevel="0" collapsed="false">
      <c r="A187" s="19"/>
      <c r="B187" s="19"/>
      <c r="C187" s="26" t="str">
        <f aca="false">IF(A187="","",COUNTIF(Jeux!$C$2:$C$3001,A187))</f>
        <v/>
      </c>
      <c r="D187" s="26" t="str">
        <f aca="false">IF(A187="","",COUNTIF(Pubs!$G$2:$G$3001,A187))</f>
        <v/>
      </c>
      <c r="E187" s="26" t="str">
        <f aca="false">IF(A187="","",COUNTIF(Apparitions!$J$2:$J$5001,A187))</f>
        <v/>
      </c>
    </row>
    <row r="188" customFormat="false" ht="15" hidden="false" customHeight="false" outlineLevel="0" collapsed="false">
      <c r="A188" s="19"/>
      <c r="B188" s="19"/>
      <c r="C188" s="26" t="str">
        <f aca="false">IF(A188="","",COUNTIF(Jeux!$C$2:$C$3001,A188))</f>
        <v/>
      </c>
      <c r="D188" s="26" t="str">
        <f aca="false">IF(A188="","",COUNTIF(Pubs!$G$2:$G$3001,A188))</f>
        <v/>
      </c>
      <c r="E188" s="26" t="str">
        <f aca="false">IF(A188="","",COUNTIF(Apparitions!$J$2:$J$5001,A188))</f>
        <v/>
      </c>
    </row>
    <row r="189" customFormat="false" ht="15" hidden="false" customHeight="false" outlineLevel="0" collapsed="false">
      <c r="A189" s="19"/>
      <c r="B189" s="19"/>
      <c r="C189" s="26" t="str">
        <f aca="false">IF(A189="","",COUNTIF(Jeux!$C$2:$C$3001,A189))</f>
        <v/>
      </c>
      <c r="D189" s="26" t="str">
        <f aca="false">IF(A189="","",COUNTIF(Pubs!$G$2:$G$3001,A189))</f>
        <v/>
      </c>
      <c r="E189" s="26" t="str">
        <f aca="false">IF(A189="","",COUNTIF(Apparitions!$J$2:$J$5001,A189))</f>
        <v/>
      </c>
    </row>
    <row r="190" customFormat="false" ht="15" hidden="false" customHeight="false" outlineLevel="0" collapsed="false">
      <c r="A190" s="19"/>
      <c r="B190" s="19"/>
      <c r="C190" s="26" t="str">
        <f aca="false">IF(A190="","",COUNTIF(Jeux!$C$2:$C$3001,A190))</f>
        <v/>
      </c>
      <c r="D190" s="26" t="str">
        <f aca="false">IF(A190="","",COUNTIF(Pubs!$G$2:$G$3001,A190))</f>
        <v/>
      </c>
      <c r="E190" s="26" t="str">
        <f aca="false">IF(A190="","",COUNTIF(Apparitions!$J$2:$J$5001,A190))</f>
        <v/>
      </c>
    </row>
    <row r="191" customFormat="false" ht="15" hidden="false" customHeight="false" outlineLevel="0" collapsed="false">
      <c r="A191" s="19"/>
      <c r="B191" s="19"/>
      <c r="C191" s="26" t="str">
        <f aca="false">IF(A191="","",COUNTIF(Jeux!$C$2:$C$3001,A191))</f>
        <v/>
      </c>
      <c r="D191" s="26" t="str">
        <f aca="false">IF(A191="","",COUNTIF(Pubs!$G$2:$G$3001,A191))</f>
        <v/>
      </c>
      <c r="E191" s="26" t="str">
        <f aca="false">IF(A191="","",COUNTIF(Apparitions!$J$2:$J$5001,A191))</f>
        <v/>
      </c>
    </row>
    <row r="192" customFormat="false" ht="15" hidden="false" customHeight="false" outlineLevel="0" collapsed="false">
      <c r="A192" s="19"/>
      <c r="B192" s="19"/>
      <c r="C192" s="26" t="str">
        <f aca="false">IF(A192="","",COUNTIF(Jeux!$C$2:$C$3001,A192))</f>
        <v/>
      </c>
      <c r="D192" s="26" t="str">
        <f aca="false">IF(A192="","",COUNTIF(Pubs!$G$2:$G$3001,A192))</f>
        <v/>
      </c>
      <c r="E192" s="26" t="str">
        <f aca="false">IF(A192="","",COUNTIF(Apparitions!$J$2:$J$5001,A192))</f>
        <v/>
      </c>
    </row>
    <row r="193" customFormat="false" ht="15" hidden="false" customHeight="false" outlineLevel="0" collapsed="false">
      <c r="A193" s="19"/>
      <c r="B193" s="19"/>
      <c r="C193" s="26" t="str">
        <f aca="false">IF(A193="","",COUNTIF(Jeux!$C$2:$C$3001,A193))</f>
        <v/>
      </c>
      <c r="D193" s="26" t="str">
        <f aca="false">IF(A193="","",COUNTIF(Pubs!$G$2:$G$3001,A193))</f>
        <v/>
      </c>
      <c r="E193" s="26" t="str">
        <f aca="false">IF(A193="","",COUNTIF(Apparitions!$J$2:$J$5001,A193))</f>
        <v/>
      </c>
    </row>
    <row r="194" customFormat="false" ht="15" hidden="false" customHeight="false" outlineLevel="0" collapsed="false">
      <c r="A194" s="19"/>
      <c r="B194" s="19"/>
      <c r="C194" s="26" t="str">
        <f aca="false">IF(A194="","",COUNTIF(Jeux!$C$2:$C$3001,A194))</f>
        <v/>
      </c>
      <c r="D194" s="26" t="str">
        <f aca="false">IF(A194="","",COUNTIF(Pubs!$G$2:$G$3001,A194))</f>
        <v/>
      </c>
      <c r="E194" s="26" t="str">
        <f aca="false">IF(A194="","",COUNTIF(Apparitions!$J$2:$J$5001,A194))</f>
        <v/>
      </c>
    </row>
    <row r="195" customFormat="false" ht="15" hidden="false" customHeight="false" outlineLevel="0" collapsed="false">
      <c r="A195" s="19"/>
      <c r="B195" s="19"/>
      <c r="C195" s="26" t="str">
        <f aca="false">IF(A195="","",COUNTIF(Jeux!$C$2:$C$3001,A195))</f>
        <v/>
      </c>
      <c r="D195" s="26" t="str">
        <f aca="false">IF(A195="","",COUNTIF(Pubs!$G$2:$G$3001,A195))</f>
        <v/>
      </c>
      <c r="E195" s="26" t="str">
        <f aca="false">IF(A195="","",COUNTIF(Apparitions!$J$2:$J$5001,A195))</f>
        <v/>
      </c>
    </row>
    <row r="196" customFormat="false" ht="15" hidden="false" customHeight="false" outlineLevel="0" collapsed="false">
      <c r="A196" s="19"/>
      <c r="B196" s="19"/>
      <c r="C196" s="26" t="str">
        <f aca="false">IF(A196="","",COUNTIF(Jeux!$C$2:$C$3001,A196))</f>
        <v/>
      </c>
      <c r="D196" s="26" t="str">
        <f aca="false">IF(A196="","",COUNTIF(Pubs!$G$2:$G$3001,A196))</f>
        <v/>
      </c>
      <c r="E196" s="26" t="str">
        <f aca="false">IF(A196="","",COUNTIF(Apparitions!$J$2:$J$5001,A196))</f>
        <v/>
      </c>
    </row>
    <row r="197" customFormat="false" ht="15" hidden="false" customHeight="false" outlineLevel="0" collapsed="false">
      <c r="A197" s="19"/>
      <c r="B197" s="19"/>
      <c r="C197" s="26" t="str">
        <f aca="false">IF(A197="","",COUNTIF(Jeux!$C$2:$C$3001,A197))</f>
        <v/>
      </c>
      <c r="D197" s="26" t="str">
        <f aca="false">IF(A197="","",COUNTIF(Pubs!$G$2:$G$3001,A197))</f>
        <v/>
      </c>
      <c r="E197" s="26" t="str">
        <f aca="false">IF(A197="","",COUNTIF(Apparitions!$J$2:$J$5001,A197))</f>
        <v/>
      </c>
    </row>
    <row r="198" customFormat="false" ht="15" hidden="false" customHeight="false" outlineLevel="0" collapsed="false">
      <c r="A198" s="19"/>
      <c r="B198" s="19"/>
      <c r="C198" s="26" t="str">
        <f aca="false">IF(A198="","",COUNTIF(Jeux!$C$2:$C$3001,A198))</f>
        <v/>
      </c>
      <c r="D198" s="26" t="str">
        <f aca="false">IF(A198="","",COUNTIF(Pubs!$G$2:$G$3001,A198))</f>
        <v/>
      </c>
      <c r="E198" s="26" t="str">
        <f aca="false">IF(A198="","",COUNTIF(Apparitions!$J$2:$J$5001,A198))</f>
        <v/>
      </c>
    </row>
    <row r="199" customFormat="false" ht="15" hidden="false" customHeight="false" outlineLevel="0" collapsed="false">
      <c r="A199" s="19"/>
      <c r="B199" s="19"/>
      <c r="C199" s="26" t="str">
        <f aca="false">IF(A199="","",COUNTIF(Jeux!$C$2:$C$3001,A199))</f>
        <v/>
      </c>
      <c r="D199" s="26" t="str">
        <f aca="false">IF(A199="","",COUNTIF(Pubs!$G$2:$G$3001,A199))</f>
        <v/>
      </c>
      <c r="E199" s="26" t="str">
        <f aca="false">IF(A199="","",COUNTIF(Apparitions!$J$2:$J$5001,A199))</f>
        <v/>
      </c>
    </row>
    <row r="200" customFormat="false" ht="15" hidden="false" customHeight="false" outlineLevel="0" collapsed="false">
      <c r="A200" s="19"/>
      <c r="B200" s="19"/>
      <c r="C200" s="26" t="str">
        <f aca="false">IF(A200="","",COUNTIF(Jeux!$C$2:$C$3001,A200))</f>
        <v/>
      </c>
      <c r="D200" s="26" t="str">
        <f aca="false">IF(A200="","",COUNTIF(Pubs!$G$2:$G$3001,A200))</f>
        <v/>
      </c>
      <c r="E200" s="26" t="str">
        <f aca="false">IF(A200="","",COUNTIF(Apparitions!$J$2:$J$5001,A200))</f>
        <v/>
      </c>
    </row>
    <row r="201" customFormat="false" ht="15" hidden="false" customHeight="false" outlineLevel="0" collapsed="false">
      <c r="A201" s="19"/>
      <c r="B201" s="19"/>
      <c r="C201" s="26" t="str">
        <f aca="false">IF(A201="","",COUNTIF(Jeux!$C$2:$C$3001,A201))</f>
        <v/>
      </c>
      <c r="D201" s="26" t="str">
        <f aca="false">IF(A201="","",COUNTIF(Pubs!$G$2:$G$3001,A201))</f>
        <v/>
      </c>
      <c r="E201" s="26" t="str">
        <f aca="false">IF(A201="","",COUNTIF(Apparitions!$J$2:$J$5001,A201))</f>
        <v/>
      </c>
    </row>
    <row r="202" customFormat="false" ht="15" hidden="false" customHeight="false" outlineLevel="0" collapsed="false">
      <c r="A202" s="19"/>
      <c r="B202" s="19"/>
      <c r="C202" s="26" t="str">
        <f aca="false">IF(A202="","",COUNTIF(Jeux!$C$2:$C$3001,A202))</f>
        <v/>
      </c>
      <c r="D202" s="26" t="str">
        <f aca="false">IF(A202="","",COUNTIF(Pubs!$G$2:$G$3001,A202))</f>
        <v/>
      </c>
      <c r="E202" s="26" t="str">
        <f aca="false">IF(A202="","",COUNTIF(Apparitions!$J$2:$J$5001,A202))</f>
        <v/>
      </c>
    </row>
    <row r="203" customFormat="false" ht="15" hidden="false" customHeight="false" outlineLevel="0" collapsed="false">
      <c r="A203" s="19"/>
      <c r="B203" s="19"/>
      <c r="C203" s="26" t="str">
        <f aca="false">IF(A203="","",COUNTIF(Jeux!$C$2:$C$3001,A203))</f>
        <v/>
      </c>
      <c r="D203" s="26" t="str">
        <f aca="false">IF(A203="","",COUNTIF(Pubs!$G$2:$G$3001,A203))</f>
        <v/>
      </c>
      <c r="E203" s="26" t="str">
        <f aca="false">IF(A203="","",COUNTIF(Apparitions!$J$2:$J$5001,A203))</f>
        <v/>
      </c>
    </row>
    <row r="204" customFormat="false" ht="15" hidden="false" customHeight="false" outlineLevel="0" collapsed="false">
      <c r="A204" s="19"/>
      <c r="B204" s="19"/>
      <c r="C204" s="26" t="str">
        <f aca="false">IF(A204="","",COUNTIF(Jeux!$C$2:$C$3001,A204))</f>
        <v/>
      </c>
      <c r="D204" s="26" t="str">
        <f aca="false">IF(A204="","",COUNTIF(Pubs!$G$2:$G$3001,A204))</f>
        <v/>
      </c>
      <c r="E204" s="26" t="str">
        <f aca="false">IF(A204="","",COUNTIF(Apparitions!$J$2:$J$5001,A204))</f>
        <v/>
      </c>
    </row>
    <row r="205" customFormat="false" ht="15" hidden="false" customHeight="false" outlineLevel="0" collapsed="false">
      <c r="A205" s="19"/>
      <c r="B205" s="19"/>
      <c r="C205" s="26" t="str">
        <f aca="false">IF(A205="","",COUNTIF(Jeux!$C$2:$C$3001,A205))</f>
        <v/>
      </c>
      <c r="D205" s="26" t="str">
        <f aca="false">IF(A205="","",COUNTIF(Pubs!$G$2:$G$3001,A205))</f>
        <v/>
      </c>
      <c r="E205" s="26" t="str">
        <f aca="false">IF(A205="","",COUNTIF(Apparitions!$J$2:$J$5001,A205))</f>
        <v/>
      </c>
    </row>
    <row r="206" customFormat="false" ht="15" hidden="false" customHeight="false" outlineLevel="0" collapsed="false">
      <c r="A206" s="19"/>
      <c r="B206" s="19"/>
      <c r="C206" s="26" t="str">
        <f aca="false">IF(A206="","",COUNTIF(Jeux!$C$2:$C$3001,A206))</f>
        <v/>
      </c>
      <c r="D206" s="26" t="str">
        <f aca="false">IF(A206="","",COUNTIF(Pubs!$G$2:$G$3001,A206))</f>
        <v/>
      </c>
      <c r="E206" s="26" t="str">
        <f aca="false">IF(A206="","",COUNTIF(Apparitions!$J$2:$J$5001,A206))</f>
        <v/>
      </c>
    </row>
    <row r="207" customFormat="false" ht="15" hidden="false" customHeight="false" outlineLevel="0" collapsed="false">
      <c r="A207" s="19"/>
      <c r="B207" s="19"/>
      <c r="C207" s="26" t="str">
        <f aca="false">IF(A207="","",COUNTIF(Jeux!$C$2:$C$3001,A207))</f>
        <v/>
      </c>
      <c r="D207" s="26" t="str">
        <f aca="false">IF(A207="","",COUNTIF(Pubs!$G$2:$G$3001,A207))</f>
        <v/>
      </c>
      <c r="E207" s="26" t="str">
        <f aca="false">IF(A207="","",COUNTIF(Apparitions!$J$2:$J$5001,A207))</f>
        <v/>
      </c>
    </row>
    <row r="208" customFormat="false" ht="15" hidden="false" customHeight="false" outlineLevel="0" collapsed="false">
      <c r="A208" s="19"/>
      <c r="B208" s="19"/>
      <c r="C208" s="26" t="str">
        <f aca="false">IF(A208="","",COUNTIF(Jeux!$C$2:$C$3001,A208))</f>
        <v/>
      </c>
      <c r="D208" s="26" t="str">
        <f aca="false">IF(A208="","",COUNTIF(Pubs!$G$2:$G$3001,A208))</f>
        <v/>
      </c>
      <c r="E208" s="26" t="str">
        <f aca="false">IF(A208="","",COUNTIF(Apparitions!$J$2:$J$5001,A208))</f>
        <v/>
      </c>
    </row>
    <row r="209" customFormat="false" ht="15" hidden="false" customHeight="false" outlineLevel="0" collapsed="false">
      <c r="A209" s="19"/>
      <c r="B209" s="19"/>
      <c r="C209" s="26" t="str">
        <f aca="false">IF(A209="","",COUNTIF(Jeux!$C$2:$C$3001,A209))</f>
        <v/>
      </c>
      <c r="D209" s="26" t="str">
        <f aca="false">IF(A209="","",COUNTIF(Pubs!$G$2:$G$3001,A209))</f>
        <v/>
      </c>
      <c r="E209" s="26" t="str">
        <f aca="false">IF(A209="","",COUNTIF(Apparitions!$J$2:$J$5001,A209))</f>
        <v/>
      </c>
    </row>
    <row r="210" customFormat="false" ht="15" hidden="false" customHeight="false" outlineLevel="0" collapsed="false">
      <c r="A210" s="19"/>
      <c r="B210" s="19"/>
      <c r="C210" s="26" t="str">
        <f aca="false">IF(A210="","",COUNTIF(Jeux!$C$2:$C$3001,A210))</f>
        <v/>
      </c>
      <c r="D210" s="26" t="str">
        <f aca="false">IF(A210="","",COUNTIF(Pubs!$G$2:$G$3001,A210))</f>
        <v/>
      </c>
      <c r="E210" s="26" t="str">
        <f aca="false">IF(A210="","",COUNTIF(Apparitions!$J$2:$J$5001,A210))</f>
        <v/>
      </c>
    </row>
    <row r="211" customFormat="false" ht="15" hidden="false" customHeight="false" outlineLevel="0" collapsed="false">
      <c r="A211" s="19"/>
      <c r="B211" s="19"/>
      <c r="C211" s="26" t="str">
        <f aca="false">IF(A211="","",COUNTIF(Jeux!$C$2:$C$3001,A211))</f>
        <v/>
      </c>
      <c r="D211" s="26" t="str">
        <f aca="false">IF(A211="","",COUNTIF(Pubs!$G$2:$G$3001,A211))</f>
        <v/>
      </c>
      <c r="E211" s="26" t="str">
        <f aca="false">IF(A211="","",COUNTIF(Apparitions!$J$2:$J$5001,A211))</f>
        <v/>
      </c>
    </row>
    <row r="212" customFormat="false" ht="15" hidden="false" customHeight="false" outlineLevel="0" collapsed="false">
      <c r="A212" s="19"/>
      <c r="B212" s="19"/>
      <c r="C212" s="26" t="str">
        <f aca="false">IF(A212="","",COUNTIF(Jeux!$C$2:$C$3001,A212))</f>
        <v/>
      </c>
      <c r="D212" s="26" t="str">
        <f aca="false">IF(A212="","",COUNTIF(Pubs!$G$2:$G$3001,A212))</f>
        <v/>
      </c>
      <c r="E212" s="26" t="str">
        <f aca="false">IF(A212="","",COUNTIF(Apparitions!$J$2:$J$5001,A212))</f>
        <v/>
      </c>
    </row>
    <row r="213" customFormat="false" ht="15" hidden="false" customHeight="false" outlineLevel="0" collapsed="false">
      <c r="A213" s="19"/>
      <c r="B213" s="19"/>
      <c r="C213" s="26" t="str">
        <f aca="false">IF(A213="","",COUNTIF(Jeux!$C$2:$C$3001,A213))</f>
        <v/>
      </c>
      <c r="D213" s="26" t="str">
        <f aca="false">IF(A213="","",COUNTIF(Pubs!$G$2:$G$3001,A213))</f>
        <v/>
      </c>
      <c r="E213" s="26" t="str">
        <f aca="false">IF(A213="","",COUNTIF(Apparitions!$J$2:$J$5001,A213))</f>
        <v/>
      </c>
    </row>
    <row r="214" customFormat="false" ht="15" hidden="false" customHeight="false" outlineLevel="0" collapsed="false">
      <c r="A214" s="19"/>
      <c r="B214" s="19"/>
      <c r="C214" s="26" t="str">
        <f aca="false">IF(A214="","",COUNTIF(Jeux!$C$2:$C$3001,A214))</f>
        <v/>
      </c>
      <c r="D214" s="26" t="str">
        <f aca="false">IF(A214="","",COUNTIF(Pubs!$G$2:$G$3001,A214))</f>
        <v/>
      </c>
      <c r="E214" s="26" t="str">
        <f aca="false">IF(A214="","",COUNTIF(Apparitions!$J$2:$J$5001,A214))</f>
        <v/>
      </c>
    </row>
    <row r="215" customFormat="false" ht="15" hidden="false" customHeight="false" outlineLevel="0" collapsed="false">
      <c r="A215" s="19"/>
      <c r="B215" s="19"/>
      <c r="C215" s="26" t="str">
        <f aca="false">IF(A215="","",COUNTIF(Jeux!$C$2:$C$3001,A215))</f>
        <v/>
      </c>
      <c r="D215" s="26" t="str">
        <f aca="false">IF(A215="","",COUNTIF(Pubs!$G$2:$G$3001,A215))</f>
        <v/>
      </c>
      <c r="E215" s="26" t="str">
        <f aca="false">IF(A215="","",COUNTIF(Apparitions!$J$2:$J$5001,A215))</f>
        <v/>
      </c>
    </row>
    <row r="216" customFormat="false" ht="15" hidden="false" customHeight="false" outlineLevel="0" collapsed="false">
      <c r="A216" s="19"/>
      <c r="B216" s="19"/>
      <c r="C216" s="26" t="str">
        <f aca="false">IF(A216="","",COUNTIF(Jeux!$C$2:$C$3001,A216))</f>
        <v/>
      </c>
      <c r="D216" s="26" t="str">
        <f aca="false">IF(A216="","",COUNTIF(Pubs!$G$2:$G$3001,A216))</f>
        <v/>
      </c>
      <c r="E216" s="26" t="str">
        <f aca="false">IF(A216="","",COUNTIF(Apparitions!$J$2:$J$5001,A216))</f>
        <v/>
      </c>
    </row>
    <row r="217" customFormat="false" ht="15" hidden="false" customHeight="false" outlineLevel="0" collapsed="false">
      <c r="A217" s="19"/>
      <c r="B217" s="19"/>
      <c r="C217" s="26" t="str">
        <f aca="false">IF(A217="","",COUNTIF(Jeux!$C$2:$C$3001,A217))</f>
        <v/>
      </c>
      <c r="D217" s="26" t="str">
        <f aca="false">IF(A217="","",COUNTIF(Pubs!$G$2:$G$3001,A217))</f>
        <v/>
      </c>
      <c r="E217" s="26" t="str">
        <f aca="false">IF(A217="","",COUNTIF(Apparitions!$J$2:$J$5001,A217))</f>
        <v/>
      </c>
    </row>
    <row r="218" customFormat="false" ht="15" hidden="false" customHeight="false" outlineLevel="0" collapsed="false">
      <c r="A218" s="19"/>
      <c r="B218" s="19"/>
      <c r="C218" s="26" t="str">
        <f aca="false">IF(A218="","",COUNTIF(Jeux!$C$2:$C$3001,A218))</f>
        <v/>
      </c>
      <c r="D218" s="26" t="str">
        <f aca="false">IF(A218="","",COUNTIF(Pubs!$G$2:$G$3001,A218))</f>
        <v/>
      </c>
      <c r="E218" s="26" t="str">
        <f aca="false">IF(A218="","",COUNTIF(Apparitions!$J$2:$J$5001,A218))</f>
        <v/>
      </c>
    </row>
    <row r="219" customFormat="false" ht="15" hidden="false" customHeight="false" outlineLevel="0" collapsed="false">
      <c r="A219" s="19"/>
      <c r="B219" s="19"/>
      <c r="C219" s="26" t="str">
        <f aca="false">IF(A219="","",COUNTIF(Jeux!$C$2:$C$3001,A219))</f>
        <v/>
      </c>
      <c r="D219" s="26" t="str">
        <f aca="false">IF(A219="","",COUNTIF(Pubs!$G$2:$G$3001,A219))</f>
        <v/>
      </c>
      <c r="E219" s="26" t="str">
        <f aca="false">IF(A219="","",COUNTIF(Apparitions!$J$2:$J$5001,A219))</f>
        <v/>
      </c>
    </row>
    <row r="220" customFormat="false" ht="15" hidden="false" customHeight="false" outlineLevel="0" collapsed="false">
      <c r="A220" s="19"/>
      <c r="B220" s="19"/>
      <c r="C220" s="26" t="str">
        <f aca="false">IF(A220="","",COUNTIF(Jeux!$C$2:$C$3001,A220))</f>
        <v/>
      </c>
      <c r="D220" s="26" t="str">
        <f aca="false">IF(A220="","",COUNTIF(Pubs!$G$2:$G$3001,A220))</f>
        <v/>
      </c>
      <c r="E220" s="26" t="str">
        <f aca="false">IF(A220="","",COUNTIF(Apparitions!$J$2:$J$5001,A220))</f>
        <v/>
      </c>
    </row>
    <row r="221" customFormat="false" ht="15" hidden="false" customHeight="false" outlineLevel="0" collapsed="false">
      <c r="A221" s="19"/>
      <c r="B221" s="19"/>
      <c r="C221" s="26" t="str">
        <f aca="false">IF(A221="","",COUNTIF(Jeux!$C$2:$C$3001,A221))</f>
        <v/>
      </c>
      <c r="D221" s="26" t="str">
        <f aca="false">IF(A221="","",COUNTIF(Pubs!$G$2:$G$3001,A221))</f>
        <v/>
      </c>
      <c r="E221" s="26" t="str">
        <f aca="false">IF(A221="","",COUNTIF(Apparitions!$J$2:$J$5001,A221))</f>
        <v/>
      </c>
    </row>
    <row r="222" customFormat="false" ht="15" hidden="false" customHeight="false" outlineLevel="0" collapsed="false">
      <c r="A222" s="19"/>
      <c r="B222" s="19"/>
      <c r="C222" s="26" t="str">
        <f aca="false">IF(A222="","",COUNTIF(Jeux!$C$2:$C$3001,A222))</f>
        <v/>
      </c>
      <c r="D222" s="26" t="str">
        <f aca="false">IF(A222="","",COUNTIF(Pubs!$G$2:$G$3001,A222))</f>
        <v/>
      </c>
      <c r="E222" s="26" t="str">
        <f aca="false">IF(A222="","",COUNTIF(Apparitions!$J$2:$J$5001,A222))</f>
        <v/>
      </c>
    </row>
    <row r="223" customFormat="false" ht="15" hidden="false" customHeight="false" outlineLevel="0" collapsed="false">
      <c r="A223" s="19"/>
      <c r="B223" s="19"/>
      <c r="C223" s="26" t="str">
        <f aca="false">IF(A223="","",COUNTIF(Jeux!$C$2:$C$3001,A223))</f>
        <v/>
      </c>
      <c r="D223" s="26" t="str">
        <f aca="false">IF(A223="","",COUNTIF(Pubs!$G$2:$G$3001,A223))</f>
        <v/>
      </c>
      <c r="E223" s="26" t="str">
        <f aca="false">IF(A223="","",COUNTIF(Apparitions!$J$2:$J$5001,A223))</f>
        <v/>
      </c>
    </row>
    <row r="224" customFormat="false" ht="15" hidden="false" customHeight="false" outlineLevel="0" collapsed="false">
      <c r="A224" s="19"/>
      <c r="B224" s="19"/>
      <c r="C224" s="26" t="str">
        <f aca="false">IF(A224="","",COUNTIF(Jeux!$C$2:$C$3001,A224))</f>
        <v/>
      </c>
      <c r="D224" s="26" t="str">
        <f aca="false">IF(A224="","",COUNTIF(Pubs!$G$2:$G$3001,A224))</f>
        <v/>
      </c>
      <c r="E224" s="26" t="str">
        <f aca="false">IF(A224="","",COUNTIF(Apparitions!$J$2:$J$5001,A224))</f>
        <v/>
      </c>
    </row>
    <row r="225" customFormat="false" ht="15" hidden="false" customHeight="false" outlineLevel="0" collapsed="false">
      <c r="A225" s="19"/>
      <c r="B225" s="19"/>
      <c r="C225" s="26" t="str">
        <f aca="false">IF(A225="","",COUNTIF(Jeux!$C$2:$C$3001,A225))</f>
        <v/>
      </c>
      <c r="D225" s="26" t="str">
        <f aca="false">IF(A225="","",COUNTIF(Pubs!$G$2:$G$3001,A225))</f>
        <v/>
      </c>
      <c r="E225" s="26" t="str">
        <f aca="false">IF(A225="","",COUNTIF(Apparitions!$J$2:$J$5001,A225))</f>
        <v/>
      </c>
    </row>
    <row r="226" customFormat="false" ht="15" hidden="false" customHeight="false" outlineLevel="0" collapsed="false">
      <c r="A226" s="19"/>
      <c r="B226" s="19"/>
      <c r="C226" s="26" t="str">
        <f aca="false">IF(A226="","",COUNTIF(Jeux!$C$2:$C$3001,A226))</f>
        <v/>
      </c>
      <c r="D226" s="26" t="str">
        <f aca="false">IF(A226="","",COUNTIF(Pubs!$G$2:$G$3001,A226))</f>
        <v/>
      </c>
      <c r="E226" s="26" t="str">
        <f aca="false">IF(A226="","",COUNTIF(Apparitions!$J$2:$J$5001,A226))</f>
        <v/>
      </c>
    </row>
    <row r="227" customFormat="false" ht="15" hidden="false" customHeight="false" outlineLevel="0" collapsed="false">
      <c r="A227" s="19"/>
      <c r="B227" s="19"/>
      <c r="C227" s="26" t="str">
        <f aca="false">IF(A227="","",COUNTIF(Jeux!$C$2:$C$3001,A227))</f>
        <v/>
      </c>
      <c r="D227" s="26" t="str">
        <f aca="false">IF(A227="","",COUNTIF(Pubs!$G$2:$G$3001,A227))</f>
        <v/>
      </c>
      <c r="E227" s="26" t="str">
        <f aca="false">IF(A227="","",COUNTIF(Apparitions!$J$2:$J$5001,A227))</f>
        <v/>
      </c>
    </row>
    <row r="228" customFormat="false" ht="15" hidden="false" customHeight="false" outlineLevel="0" collapsed="false">
      <c r="A228" s="19"/>
      <c r="B228" s="19"/>
      <c r="C228" s="26" t="str">
        <f aca="false">IF(A228="","",COUNTIF(Jeux!$C$2:$C$3001,A228))</f>
        <v/>
      </c>
      <c r="D228" s="26" t="str">
        <f aca="false">IF(A228="","",COUNTIF(Pubs!$G$2:$G$3001,A228))</f>
        <v/>
      </c>
      <c r="E228" s="26" t="str">
        <f aca="false">IF(A228="","",COUNTIF(Apparitions!$J$2:$J$5001,A228))</f>
        <v/>
      </c>
    </row>
    <row r="229" customFormat="false" ht="15" hidden="false" customHeight="false" outlineLevel="0" collapsed="false">
      <c r="A229" s="19"/>
      <c r="B229" s="19"/>
      <c r="C229" s="26" t="str">
        <f aca="false">IF(A229="","",COUNTIF(Jeux!$C$2:$C$3001,A229))</f>
        <v/>
      </c>
      <c r="D229" s="26" t="str">
        <f aca="false">IF(A229="","",COUNTIF(Pubs!$G$2:$G$3001,A229))</f>
        <v/>
      </c>
      <c r="E229" s="26" t="str">
        <f aca="false">IF(A229="","",COUNTIF(Apparitions!$J$2:$J$5001,A229))</f>
        <v/>
      </c>
    </row>
    <row r="230" customFormat="false" ht="15" hidden="false" customHeight="false" outlineLevel="0" collapsed="false">
      <c r="A230" s="19"/>
      <c r="B230" s="19"/>
      <c r="C230" s="26" t="str">
        <f aca="false">IF(A230="","",COUNTIF(Jeux!$C$2:$C$3001,A230))</f>
        <v/>
      </c>
      <c r="D230" s="26" t="str">
        <f aca="false">IF(A230="","",COUNTIF(Pubs!$G$2:$G$3001,A230))</f>
        <v/>
      </c>
      <c r="E230" s="26" t="str">
        <f aca="false">IF(A230="","",COUNTIF(Apparitions!$J$2:$J$5001,A230))</f>
        <v/>
      </c>
    </row>
    <row r="231" customFormat="false" ht="15" hidden="false" customHeight="false" outlineLevel="0" collapsed="false">
      <c r="A231" s="19"/>
      <c r="B231" s="19"/>
      <c r="C231" s="26" t="str">
        <f aca="false">IF(A231="","",COUNTIF(Jeux!$C$2:$C$3001,A231))</f>
        <v/>
      </c>
      <c r="D231" s="26" t="str">
        <f aca="false">IF(A231="","",COUNTIF(Pubs!$G$2:$G$3001,A231))</f>
        <v/>
      </c>
      <c r="E231" s="26" t="str">
        <f aca="false">IF(A231="","",COUNTIF(Apparitions!$J$2:$J$5001,A231))</f>
        <v/>
      </c>
    </row>
    <row r="232" customFormat="false" ht="15" hidden="false" customHeight="false" outlineLevel="0" collapsed="false">
      <c r="A232" s="19"/>
      <c r="B232" s="19"/>
      <c r="C232" s="26" t="str">
        <f aca="false">IF(A232="","",COUNTIF(Jeux!$C$2:$C$3001,A232))</f>
        <v/>
      </c>
      <c r="D232" s="26" t="str">
        <f aca="false">IF(A232="","",COUNTIF(Pubs!$G$2:$G$3001,A232))</f>
        <v/>
      </c>
      <c r="E232" s="26" t="str">
        <f aca="false">IF(A232="","",COUNTIF(Apparitions!$J$2:$J$5001,A232))</f>
        <v/>
      </c>
    </row>
    <row r="233" customFormat="false" ht="15" hidden="false" customHeight="false" outlineLevel="0" collapsed="false">
      <c r="A233" s="19"/>
      <c r="B233" s="19"/>
      <c r="C233" s="26" t="str">
        <f aca="false">IF(A233="","",COUNTIF(Jeux!$C$2:$C$3001,A233))</f>
        <v/>
      </c>
      <c r="D233" s="26" t="str">
        <f aca="false">IF(A233="","",COUNTIF(Pubs!$G$2:$G$3001,A233))</f>
        <v/>
      </c>
      <c r="E233" s="26" t="str">
        <f aca="false">IF(A233="","",COUNTIF(Apparitions!$J$2:$J$5001,A233))</f>
        <v/>
      </c>
    </row>
    <row r="234" customFormat="false" ht="15" hidden="false" customHeight="false" outlineLevel="0" collapsed="false">
      <c r="A234" s="19"/>
      <c r="B234" s="19"/>
      <c r="C234" s="26" t="str">
        <f aca="false">IF(A234="","",COUNTIF(Jeux!$C$2:$C$3001,A234))</f>
        <v/>
      </c>
      <c r="D234" s="26" t="str">
        <f aca="false">IF(A234="","",COUNTIF(Pubs!$G$2:$G$3001,A234))</f>
        <v/>
      </c>
      <c r="E234" s="26" t="str">
        <f aca="false">IF(A234="","",COUNTIF(Apparitions!$J$2:$J$5001,A234))</f>
        <v/>
      </c>
    </row>
    <row r="235" customFormat="false" ht="15" hidden="false" customHeight="false" outlineLevel="0" collapsed="false">
      <c r="A235" s="19"/>
      <c r="B235" s="19"/>
      <c r="C235" s="26" t="str">
        <f aca="false">IF(A235="","",COUNTIF(Jeux!$C$2:$C$3001,A235))</f>
        <v/>
      </c>
      <c r="D235" s="26" t="str">
        <f aca="false">IF(A235="","",COUNTIF(Pubs!$G$2:$G$3001,A235))</f>
        <v/>
      </c>
      <c r="E235" s="26" t="str">
        <f aca="false">IF(A235="","",COUNTIF(Apparitions!$J$2:$J$5001,A235))</f>
        <v/>
      </c>
    </row>
    <row r="236" customFormat="false" ht="15" hidden="false" customHeight="false" outlineLevel="0" collapsed="false">
      <c r="A236" s="19"/>
      <c r="B236" s="19"/>
      <c r="C236" s="26" t="str">
        <f aca="false">IF(A236="","",COUNTIF(Jeux!$C$2:$C$3001,A236))</f>
        <v/>
      </c>
      <c r="D236" s="26" t="str">
        <f aca="false">IF(A236="","",COUNTIF(Pubs!$G$2:$G$3001,A236))</f>
        <v/>
      </c>
      <c r="E236" s="26" t="str">
        <f aca="false">IF(A236="","",COUNTIF(Apparitions!$J$2:$J$5001,A236))</f>
        <v/>
      </c>
    </row>
    <row r="237" customFormat="false" ht="15" hidden="false" customHeight="false" outlineLevel="0" collapsed="false">
      <c r="A237" s="19"/>
      <c r="B237" s="19"/>
      <c r="C237" s="26" t="str">
        <f aca="false">IF(A237="","",COUNTIF(Jeux!$C$2:$C$3001,A237))</f>
        <v/>
      </c>
      <c r="D237" s="26" t="str">
        <f aca="false">IF(A237="","",COUNTIF(Pubs!$G$2:$G$3001,A237))</f>
        <v/>
      </c>
      <c r="E237" s="26" t="str">
        <f aca="false">IF(A237="","",COUNTIF(Apparitions!$J$2:$J$5001,A237))</f>
        <v/>
      </c>
    </row>
    <row r="238" customFormat="false" ht="15" hidden="false" customHeight="false" outlineLevel="0" collapsed="false">
      <c r="A238" s="19"/>
      <c r="B238" s="19"/>
      <c r="C238" s="26" t="str">
        <f aca="false">IF(A238="","",COUNTIF(Jeux!$C$2:$C$3001,A238))</f>
        <v/>
      </c>
      <c r="D238" s="26" t="str">
        <f aca="false">IF(A238="","",COUNTIF(Pubs!$G$2:$G$3001,A238))</f>
        <v/>
      </c>
      <c r="E238" s="26" t="str">
        <f aca="false">IF(A238="","",COUNTIF(Apparitions!$J$2:$J$5001,A238))</f>
        <v/>
      </c>
    </row>
    <row r="239" customFormat="false" ht="15" hidden="false" customHeight="false" outlineLevel="0" collapsed="false">
      <c r="A239" s="19"/>
      <c r="B239" s="19"/>
      <c r="C239" s="26" t="str">
        <f aca="false">IF(A239="","",COUNTIF(Jeux!$C$2:$C$3001,A239))</f>
        <v/>
      </c>
      <c r="D239" s="26" t="str">
        <f aca="false">IF(A239="","",COUNTIF(Pubs!$G$2:$G$3001,A239))</f>
        <v/>
      </c>
      <c r="E239" s="26" t="str">
        <f aca="false">IF(A239="","",COUNTIF(Apparitions!$J$2:$J$5001,A239))</f>
        <v/>
      </c>
    </row>
    <row r="240" customFormat="false" ht="15" hidden="false" customHeight="false" outlineLevel="0" collapsed="false">
      <c r="A240" s="19"/>
      <c r="B240" s="19"/>
      <c r="C240" s="26" t="str">
        <f aca="false">IF(A240="","",COUNTIF(Jeux!$C$2:$C$3001,A240))</f>
        <v/>
      </c>
      <c r="D240" s="26" t="str">
        <f aca="false">IF(A240="","",COUNTIF(Pubs!$G$2:$G$3001,A240))</f>
        <v/>
      </c>
      <c r="E240" s="26" t="str">
        <f aca="false">IF(A240="","",COUNTIF(Apparitions!$J$2:$J$5001,A240))</f>
        <v/>
      </c>
    </row>
    <row r="241" customFormat="false" ht="15" hidden="false" customHeight="false" outlineLevel="0" collapsed="false">
      <c r="A241" s="19"/>
      <c r="B241" s="19"/>
      <c r="C241" s="26" t="str">
        <f aca="false">IF(A241="","",COUNTIF(Jeux!$C$2:$C$3001,A241))</f>
        <v/>
      </c>
      <c r="D241" s="26" t="str">
        <f aca="false">IF(A241="","",COUNTIF(Pubs!$G$2:$G$3001,A241))</f>
        <v/>
      </c>
      <c r="E241" s="26" t="str">
        <f aca="false">IF(A241="","",COUNTIF(Apparitions!$J$2:$J$5001,A241))</f>
        <v/>
      </c>
    </row>
    <row r="242" customFormat="false" ht="15" hidden="false" customHeight="false" outlineLevel="0" collapsed="false">
      <c r="A242" s="19"/>
      <c r="B242" s="19"/>
      <c r="C242" s="26" t="str">
        <f aca="false">IF(A242="","",COUNTIF(Jeux!$C$2:$C$3001,A242))</f>
        <v/>
      </c>
      <c r="D242" s="26" t="str">
        <f aca="false">IF(A242="","",COUNTIF(Pubs!$G$2:$G$3001,A242))</f>
        <v/>
      </c>
      <c r="E242" s="26" t="str">
        <f aca="false">IF(A242="","",COUNTIF(Apparitions!$J$2:$J$5001,A242))</f>
        <v/>
      </c>
    </row>
    <row r="243" customFormat="false" ht="15" hidden="false" customHeight="false" outlineLevel="0" collapsed="false">
      <c r="A243" s="19"/>
      <c r="B243" s="19"/>
      <c r="C243" s="26" t="str">
        <f aca="false">IF(A243="","",COUNTIF(Jeux!$C$2:$C$3001,A243))</f>
        <v/>
      </c>
      <c r="D243" s="26" t="str">
        <f aca="false">IF(A243="","",COUNTIF(Pubs!$G$2:$G$3001,A243))</f>
        <v/>
      </c>
      <c r="E243" s="26" t="str">
        <f aca="false">IF(A243="","",COUNTIF(Apparitions!$J$2:$J$5001,A243))</f>
        <v/>
      </c>
    </row>
    <row r="244" customFormat="false" ht="15" hidden="false" customHeight="false" outlineLevel="0" collapsed="false">
      <c r="A244" s="19"/>
      <c r="B244" s="19"/>
      <c r="C244" s="26" t="str">
        <f aca="false">IF(A244="","",COUNTIF(Jeux!$C$2:$C$3001,A244))</f>
        <v/>
      </c>
      <c r="D244" s="26" t="str">
        <f aca="false">IF(A244="","",COUNTIF(Pubs!$G$2:$G$3001,A244))</f>
        <v/>
      </c>
      <c r="E244" s="26" t="str">
        <f aca="false">IF(A244="","",COUNTIF(Apparitions!$J$2:$J$5001,A244))</f>
        <v/>
      </c>
    </row>
    <row r="245" customFormat="false" ht="15" hidden="false" customHeight="false" outlineLevel="0" collapsed="false">
      <c r="A245" s="19"/>
      <c r="B245" s="19"/>
      <c r="C245" s="26" t="str">
        <f aca="false">IF(A245="","",COUNTIF(Jeux!$C$2:$C$3001,A245))</f>
        <v/>
      </c>
      <c r="D245" s="26" t="str">
        <f aca="false">IF(A245="","",COUNTIF(Pubs!$G$2:$G$3001,A245))</f>
        <v/>
      </c>
      <c r="E245" s="26" t="str">
        <f aca="false">IF(A245="","",COUNTIF(Apparitions!$J$2:$J$5001,A245))</f>
        <v/>
      </c>
    </row>
    <row r="246" customFormat="false" ht="15" hidden="false" customHeight="false" outlineLevel="0" collapsed="false">
      <c r="A246" s="19"/>
      <c r="B246" s="19"/>
      <c r="C246" s="26" t="str">
        <f aca="false">IF(A246="","",COUNTIF(Jeux!$C$2:$C$3001,A246))</f>
        <v/>
      </c>
      <c r="D246" s="26" t="str">
        <f aca="false">IF(A246="","",COUNTIF(Pubs!$G$2:$G$3001,A246))</f>
        <v/>
      </c>
      <c r="E246" s="26" t="str">
        <f aca="false">IF(A246="","",COUNTIF(Apparitions!$J$2:$J$5001,A246))</f>
        <v/>
      </c>
    </row>
    <row r="247" customFormat="false" ht="15" hidden="false" customHeight="false" outlineLevel="0" collapsed="false">
      <c r="A247" s="19"/>
      <c r="B247" s="19"/>
      <c r="C247" s="26" t="str">
        <f aca="false">IF(A247="","",COUNTIF(Jeux!$C$2:$C$3001,A247))</f>
        <v/>
      </c>
      <c r="D247" s="26" t="str">
        <f aca="false">IF(A247="","",COUNTIF(Pubs!$G$2:$G$3001,A247))</f>
        <v/>
      </c>
      <c r="E247" s="26" t="str">
        <f aca="false">IF(A247="","",COUNTIF(Apparitions!$J$2:$J$5001,A247))</f>
        <v/>
      </c>
    </row>
    <row r="248" customFormat="false" ht="15" hidden="false" customHeight="false" outlineLevel="0" collapsed="false">
      <c r="A248" s="19"/>
      <c r="B248" s="19"/>
      <c r="C248" s="26" t="str">
        <f aca="false">IF(A248="","",COUNTIF(Jeux!$C$2:$C$3001,A248))</f>
        <v/>
      </c>
      <c r="D248" s="26" t="str">
        <f aca="false">IF(A248="","",COUNTIF(Pubs!$G$2:$G$3001,A248))</f>
        <v/>
      </c>
      <c r="E248" s="26" t="str">
        <f aca="false">IF(A248="","",COUNTIF(Apparitions!$J$2:$J$5001,A248))</f>
        <v/>
      </c>
    </row>
    <row r="249" customFormat="false" ht="15" hidden="false" customHeight="false" outlineLevel="0" collapsed="false">
      <c r="A249" s="19"/>
      <c r="B249" s="19"/>
      <c r="C249" s="26" t="str">
        <f aca="false">IF(A249="","",COUNTIF(Jeux!$C$2:$C$3001,A249))</f>
        <v/>
      </c>
      <c r="D249" s="26" t="str">
        <f aca="false">IF(A249="","",COUNTIF(Pubs!$G$2:$G$3001,A249))</f>
        <v/>
      </c>
      <c r="E249" s="26" t="str">
        <f aca="false">IF(A249="","",COUNTIF(Apparitions!$J$2:$J$5001,A249))</f>
        <v/>
      </c>
    </row>
    <row r="250" customFormat="false" ht="15" hidden="false" customHeight="false" outlineLevel="0" collapsed="false">
      <c r="A250" s="19"/>
      <c r="B250" s="19"/>
      <c r="C250" s="26" t="str">
        <f aca="false">IF(A250="","",COUNTIF(Jeux!$C$2:$C$3001,A250))</f>
        <v/>
      </c>
      <c r="D250" s="26" t="str">
        <f aca="false">IF(A250="","",COUNTIF(Pubs!$G$2:$G$3001,A250))</f>
        <v/>
      </c>
      <c r="E250" s="26" t="str">
        <f aca="false">IF(A250="","",COUNTIF(Apparitions!$J$2:$J$5001,A250))</f>
        <v/>
      </c>
    </row>
    <row r="251" customFormat="false" ht="15" hidden="false" customHeight="false" outlineLevel="0" collapsed="false">
      <c r="A251" s="19"/>
      <c r="B251" s="19"/>
      <c r="C251" s="26" t="str">
        <f aca="false">IF(A251="","",COUNTIF(Jeux!$C$2:$C$3001,A251))</f>
        <v/>
      </c>
      <c r="D251" s="26" t="str">
        <f aca="false">IF(A251="","",COUNTIF(Pubs!$G$2:$G$3001,A251))</f>
        <v/>
      </c>
      <c r="E251" s="26" t="str">
        <f aca="false">IF(A251="","",COUNTIF(Apparitions!$J$2:$J$5001,A251))</f>
        <v/>
      </c>
    </row>
    <row r="252" customFormat="false" ht="15" hidden="false" customHeight="false" outlineLevel="0" collapsed="false">
      <c r="A252" s="19"/>
      <c r="B252" s="19"/>
      <c r="C252" s="26" t="str">
        <f aca="false">IF(A252="","",COUNTIF(Jeux!$C$2:$C$3001,A252))</f>
        <v/>
      </c>
      <c r="D252" s="26" t="str">
        <f aca="false">IF(A252="","",COUNTIF(Pubs!$G$2:$G$3001,A252))</f>
        <v/>
      </c>
      <c r="E252" s="26" t="str">
        <f aca="false">IF(A252="","",COUNTIF(Apparitions!$J$2:$J$5001,A252))</f>
        <v/>
      </c>
    </row>
    <row r="253" customFormat="false" ht="15" hidden="false" customHeight="false" outlineLevel="0" collapsed="false">
      <c r="A253" s="19"/>
      <c r="B253" s="19"/>
      <c r="C253" s="26" t="str">
        <f aca="false">IF(A253="","",COUNTIF(Jeux!$C$2:$C$3001,A253))</f>
        <v/>
      </c>
      <c r="D253" s="26" t="str">
        <f aca="false">IF(A253="","",COUNTIF(Pubs!$G$2:$G$3001,A253))</f>
        <v/>
      </c>
      <c r="E253" s="26" t="str">
        <f aca="false">IF(A253="","",COUNTIF(Apparitions!$J$2:$J$5001,A253))</f>
        <v/>
      </c>
    </row>
    <row r="254" customFormat="false" ht="15" hidden="false" customHeight="false" outlineLevel="0" collapsed="false">
      <c r="A254" s="19"/>
      <c r="B254" s="19"/>
      <c r="C254" s="26" t="str">
        <f aca="false">IF(A254="","",COUNTIF(Jeux!$C$2:$C$3001,A254))</f>
        <v/>
      </c>
      <c r="D254" s="26" t="str">
        <f aca="false">IF(A254="","",COUNTIF(Pubs!$G$2:$G$3001,A254))</f>
        <v/>
      </c>
      <c r="E254" s="26" t="str">
        <f aca="false">IF(A254="","",COUNTIF(Apparitions!$J$2:$J$5001,A254))</f>
        <v/>
      </c>
    </row>
    <row r="255" customFormat="false" ht="15" hidden="false" customHeight="false" outlineLevel="0" collapsed="false">
      <c r="A255" s="19"/>
      <c r="B255" s="19"/>
      <c r="C255" s="26" t="str">
        <f aca="false">IF(A255="","",COUNTIF(Jeux!$C$2:$C$3001,A255))</f>
        <v/>
      </c>
      <c r="D255" s="26" t="str">
        <f aca="false">IF(A255="","",COUNTIF(Pubs!$G$2:$G$3001,A255))</f>
        <v/>
      </c>
      <c r="E255" s="26" t="str">
        <f aca="false">IF(A255="","",COUNTIF(Apparitions!$J$2:$J$5001,A255))</f>
        <v/>
      </c>
    </row>
    <row r="256" customFormat="false" ht="15" hidden="false" customHeight="false" outlineLevel="0" collapsed="false">
      <c r="A256" s="19"/>
      <c r="B256" s="19"/>
      <c r="C256" s="26" t="str">
        <f aca="false">IF(A256="","",COUNTIF(Jeux!$C$2:$C$3001,A256))</f>
        <v/>
      </c>
      <c r="D256" s="26" t="str">
        <f aca="false">IF(A256="","",COUNTIF(Pubs!$G$2:$G$3001,A256))</f>
        <v/>
      </c>
      <c r="E256" s="26" t="str">
        <f aca="false">IF(A256="","",COUNTIF(Apparitions!$J$2:$J$5001,A256))</f>
        <v/>
      </c>
    </row>
    <row r="257" customFormat="false" ht="15" hidden="false" customHeight="false" outlineLevel="0" collapsed="false">
      <c r="A257" s="19"/>
      <c r="B257" s="19"/>
      <c r="C257" s="26" t="str">
        <f aca="false">IF(A257="","",COUNTIF(Jeux!$C$2:$C$3001,A257))</f>
        <v/>
      </c>
      <c r="D257" s="26" t="str">
        <f aca="false">IF(A257="","",COUNTIF(Pubs!$G$2:$G$3001,A257))</f>
        <v/>
      </c>
      <c r="E257" s="26" t="str">
        <f aca="false">IF(A257="","",COUNTIF(Apparitions!$J$2:$J$5001,A257))</f>
        <v/>
      </c>
    </row>
    <row r="258" customFormat="false" ht="15" hidden="false" customHeight="false" outlineLevel="0" collapsed="false">
      <c r="A258" s="19"/>
      <c r="B258" s="19"/>
      <c r="C258" s="26" t="str">
        <f aca="false">IF(A258="","",COUNTIF(Jeux!$C$2:$C$3001,A258))</f>
        <v/>
      </c>
      <c r="D258" s="26" t="str">
        <f aca="false">IF(A258="","",COUNTIF(Pubs!$G$2:$G$3001,A258))</f>
        <v/>
      </c>
      <c r="E258" s="26" t="str">
        <f aca="false">IF(A258="","",COUNTIF(Apparitions!$J$2:$J$5001,A258))</f>
        <v/>
      </c>
    </row>
    <row r="259" customFormat="false" ht="15" hidden="false" customHeight="false" outlineLevel="0" collapsed="false">
      <c r="A259" s="19"/>
      <c r="B259" s="19"/>
      <c r="C259" s="26" t="str">
        <f aca="false">IF(A259="","",COUNTIF(Jeux!$C$2:$C$3001,A259))</f>
        <v/>
      </c>
      <c r="D259" s="26" t="str">
        <f aca="false">IF(A259="","",COUNTIF(Pubs!$G$2:$G$3001,A259))</f>
        <v/>
      </c>
      <c r="E259" s="26" t="str">
        <f aca="false">IF(A259="","",COUNTIF(Apparitions!$J$2:$J$5001,A259))</f>
        <v/>
      </c>
    </row>
    <row r="260" customFormat="false" ht="15" hidden="false" customHeight="false" outlineLevel="0" collapsed="false">
      <c r="A260" s="19"/>
      <c r="B260" s="19"/>
      <c r="C260" s="26" t="str">
        <f aca="false">IF(A260="","",COUNTIF(Jeux!$C$2:$C$3001,A260))</f>
        <v/>
      </c>
      <c r="D260" s="26" t="str">
        <f aca="false">IF(A260="","",COUNTIF(Pubs!$G$2:$G$3001,A260))</f>
        <v/>
      </c>
      <c r="E260" s="26" t="str">
        <f aca="false">IF(A260="","",COUNTIF(Apparitions!$J$2:$J$5001,A260))</f>
        <v/>
      </c>
    </row>
    <row r="261" customFormat="false" ht="15" hidden="false" customHeight="false" outlineLevel="0" collapsed="false">
      <c r="A261" s="19"/>
      <c r="B261" s="19"/>
      <c r="C261" s="26" t="str">
        <f aca="false">IF(A261="","",COUNTIF(Jeux!$C$2:$C$3001,A261))</f>
        <v/>
      </c>
      <c r="D261" s="26" t="str">
        <f aca="false">IF(A261="","",COUNTIF(Pubs!$G$2:$G$3001,A261))</f>
        <v/>
      </c>
      <c r="E261" s="26" t="str">
        <f aca="false">IF(A261="","",COUNTIF(Apparitions!$J$2:$J$5001,A261))</f>
        <v/>
      </c>
    </row>
    <row r="262" customFormat="false" ht="15" hidden="false" customHeight="false" outlineLevel="0" collapsed="false">
      <c r="A262" s="19"/>
      <c r="B262" s="19"/>
      <c r="C262" s="26" t="str">
        <f aca="false">IF(A262="","",COUNTIF(Jeux!$C$2:$C$3001,A262))</f>
        <v/>
      </c>
      <c r="D262" s="26" t="str">
        <f aca="false">IF(A262="","",COUNTIF(Pubs!$G$2:$G$3001,A262))</f>
        <v/>
      </c>
      <c r="E262" s="26" t="str">
        <f aca="false">IF(A262="","",COUNTIF(Apparitions!$J$2:$J$5001,A262))</f>
        <v/>
      </c>
    </row>
    <row r="263" customFormat="false" ht="15" hidden="false" customHeight="false" outlineLevel="0" collapsed="false">
      <c r="A263" s="19"/>
      <c r="B263" s="19"/>
      <c r="C263" s="26" t="str">
        <f aca="false">IF(A263="","",COUNTIF(Jeux!$C$2:$C$3001,A263))</f>
        <v/>
      </c>
      <c r="D263" s="26" t="str">
        <f aca="false">IF(A263="","",COUNTIF(Pubs!$G$2:$G$3001,A263))</f>
        <v/>
      </c>
      <c r="E263" s="26" t="str">
        <f aca="false">IF(A263="","",COUNTIF(Apparitions!$J$2:$J$5001,A263))</f>
        <v/>
      </c>
    </row>
    <row r="264" customFormat="false" ht="15" hidden="false" customHeight="false" outlineLevel="0" collapsed="false">
      <c r="A264" s="19"/>
      <c r="B264" s="19"/>
      <c r="C264" s="26" t="str">
        <f aca="false">IF(A264="","",COUNTIF(Jeux!$C$2:$C$3001,A264))</f>
        <v/>
      </c>
      <c r="D264" s="26" t="str">
        <f aca="false">IF(A264="","",COUNTIF(Pubs!$G$2:$G$3001,A264))</f>
        <v/>
      </c>
      <c r="E264" s="26" t="str">
        <f aca="false">IF(A264="","",COUNTIF(Apparitions!$J$2:$J$5001,A264))</f>
        <v/>
      </c>
    </row>
    <row r="265" customFormat="false" ht="15" hidden="false" customHeight="false" outlineLevel="0" collapsed="false">
      <c r="A265" s="19"/>
      <c r="B265" s="19"/>
      <c r="C265" s="26" t="str">
        <f aca="false">IF(A265="","",COUNTIF(Jeux!$C$2:$C$3001,A265))</f>
        <v/>
      </c>
      <c r="D265" s="26" t="str">
        <f aca="false">IF(A265="","",COUNTIF(Pubs!$G$2:$G$3001,A265))</f>
        <v/>
      </c>
      <c r="E265" s="26" t="str">
        <f aca="false">IF(A265="","",COUNTIF(Apparitions!$J$2:$J$5001,A265))</f>
        <v/>
      </c>
    </row>
    <row r="266" customFormat="false" ht="15" hidden="false" customHeight="false" outlineLevel="0" collapsed="false">
      <c r="A266" s="19"/>
      <c r="B266" s="19"/>
      <c r="C266" s="26" t="str">
        <f aca="false">IF(A266="","",COUNTIF(Jeux!$C$2:$C$3001,A266))</f>
        <v/>
      </c>
      <c r="D266" s="26" t="str">
        <f aca="false">IF(A266="","",COUNTIF(Pubs!$G$2:$G$3001,A266))</f>
        <v/>
      </c>
      <c r="E266" s="26" t="str">
        <f aca="false">IF(A266="","",COUNTIF(Apparitions!$J$2:$J$5001,A266))</f>
        <v/>
      </c>
    </row>
    <row r="267" customFormat="false" ht="15" hidden="false" customHeight="false" outlineLevel="0" collapsed="false">
      <c r="A267" s="19"/>
      <c r="B267" s="19"/>
      <c r="C267" s="26" t="str">
        <f aca="false">IF(A267="","",COUNTIF(Jeux!$C$2:$C$3001,A267))</f>
        <v/>
      </c>
      <c r="D267" s="26" t="str">
        <f aca="false">IF(A267="","",COUNTIF(Pubs!$G$2:$G$3001,A267))</f>
        <v/>
      </c>
      <c r="E267" s="26" t="str">
        <f aca="false">IF(A267="","",COUNTIF(Apparitions!$J$2:$J$5001,A267))</f>
        <v/>
      </c>
    </row>
    <row r="268" customFormat="false" ht="15" hidden="false" customHeight="false" outlineLevel="0" collapsed="false">
      <c r="A268" s="19"/>
      <c r="B268" s="19"/>
      <c r="C268" s="26" t="str">
        <f aca="false">IF(A268="","",COUNTIF(Jeux!$C$2:$C$3001,A268))</f>
        <v/>
      </c>
      <c r="D268" s="26" t="str">
        <f aca="false">IF(A268="","",COUNTIF(Pubs!$G$2:$G$3001,A268))</f>
        <v/>
      </c>
      <c r="E268" s="26" t="str">
        <f aca="false">IF(A268="","",COUNTIF(Apparitions!$J$2:$J$5001,A268))</f>
        <v/>
      </c>
    </row>
    <row r="269" customFormat="false" ht="15" hidden="false" customHeight="false" outlineLevel="0" collapsed="false">
      <c r="A269" s="19"/>
      <c r="B269" s="19"/>
      <c r="C269" s="26" t="str">
        <f aca="false">IF(A269="","",COUNTIF(Jeux!$C$2:$C$3001,A269))</f>
        <v/>
      </c>
      <c r="D269" s="26" t="str">
        <f aca="false">IF(A269="","",COUNTIF(Pubs!$G$2:$G$3001,A269))</f>
        <v/>
      </c>
      <c r="E269" s="26" t="str">
        <f aca="false">IF(A269="","",COUNTIF(Apparitions!$J$2:$J$5001,A269))</f>
        <v/>
      </c>
    </row>
    <row r="270" customFormat="false" ht="15" hidden="false" customHeight="false" outlineLevel="0" collapsed="false">
      <c r="A270" s="19"/>
      <c r="B270" s="19"/>
      <c r="C270" s="26" t="str">
        <f aca="false">IF(A270="","",COUNTIF(Jeux!$C$2:$C$3001,A270))</f>
        <v/>
      </c>
      <c r="D270" s="26" t="str">
        <f aca="false">IF(A270="","",COUNTIF(Pubs!$G$2:$G$3001,A270))</f>
        <v/>
      </c>
      <c r="E270" s="26" t="str">
        <f aca="false">IF(A270="","",COUNTIF(Apparitions!$J$2:$J$5001,A270))</f>
        <v/>
      </c>
    </row>
    <row r="271" customFormat="false" ht="15" hidden="false" customHeight="false" outlineLevel="0" collapsed="false">
      <c r="A271" s="19"/>
      <c r="B271" s="19"/>
      <c r="C271" s="26" t="str">
        <f aca="false">IF(A271="","",COUNTIF(Jeux!$C$2:$C$3001,A271))</f>
        <v/>
      </c>
      <c r="D271" s="26" t="str">
        <f aca="false">IF(A271="","",COUNTIF(Pubs!$G$2:$G$3001,A271))</f>
        <v/>
      </c>
      <c r="E271" s="26" t="str">
        <f aca="false">IF(A271="","",COUNTIF(Apparitions!$J$2:$J$5001,A271))</f>
        <v/>
      </c>
    </row>
    <row r="272" customFormat="false" ht="15" hidden="false" customHeight="false" outlineLevel="0" collapsed="false">
      <c r="A272" s="19"/>
      <c r="B272" s="19"/>
      <c r="C272" s="26" t="str">
        <f aca="false">IF(A272="","",COUNTIF(Jeux!$C$2:$C$3001,A272))</f>
        <v/>
      </c>
      <c r="D272" s="26" t="str">
        <f aca="false">IF(A272="","",COUNTIF(Pubs!$G$2:$G$3001,A272))</f>
        <v/>
      </c>
      <c r="E272" s="26" t="str">
        <f aca="false">IF(A272="","",COUNTIF(Apparitions!$J$2:$J$5001,A272))</f>
        <v/>
      </c>
    </row>
    <row r="273" customFormat="false" ht="15" hidden="false" customHeight="false" outlineLevel="0" collapsed="false">
      <c r="A273" s="19"/>
      <c r="B273" s="19"/>
      <c r="C273" s="26" t="str">
        <f aca="false">IF(A273="","",COUNTIF(Jeux!$C$2:$C$3001,A273))</f>
        <v/>
      </c>
      <c r="D273" s="26" t="str">
        <f aca="false">IF(A273="","",COUNTIF(Pubs!$G$2:$G$3001,A273))</f>
        <v/>
      </c>
      <c r="E273" s="26" t="str">
        <f aca="false">IF(A273="","",COUNTIF(Apparitions!$J$2:$J$5001,A273))</f>
        <v/>
      </c>
    </row>
    <row r="274" customFormat="false" ht="15" hidden="false" customHeight="false" outlineLevel="0" collapsed="false">
      <c r="A274" s="19"/>
      <c r="B274" s="19"/>
      <c r="C274" s="26" t="str">
        <f aca="false">IF(A274="","",COUNTIF(Jeux!$C$2:$C$3001,A274))</f>
        <v/>
      </c>
      <c r="D274" s="26" t="str">
        <f aca="false">IF(A274="","",COUNTIF(Pubs!$G$2:$G$3001,A274))</f>
        <v/>
      </c>
      <c r="E274" s="26" t="str">
        <f aca="false">IF(A274="","",COUNTIF(Apparitions!$J$2:$J$5001,A274))</f>
        <v/>
      </c>
    </row>
    <row r="275" customFormat="false" ht="15" hidden="false" customHeight="false" outlineLevel="0" collapsed="false">
      <c r="A275" s="19"/>
      <c r="B275" s="19"/>
      <c r="C275" s="26" t="str">
        <f aca="false">IF(A275="","",COUNTIF(Jeux!$C$2:$C$3001,A275))</f>
        <v/>
      </c>
      <c r="D275" s="26" t="str">
        <f aca="false">IF(A275="","",COUNTIF(Pubs!$G$2:$G$3001,A275))</f>
        <v/>
      </c>
      <c r="E275" s="26" t="str">
        <f aca="false">IF(A275="","",COUNTIF(Apparitions!$J$2:$J$5001,A275))</f>
        <v/>
      </c>
    </row>
    <row r="276" customFormat="false" ht="15" hidden="false" customHeight="false" outlineLevel="0" collapsed="false">
      <c r="A276" s="19"/>
      <c r="B276" s="19"/>
      <c r="C276" s="26" t="str">
        <f aca="false">IF(A276="","",COUNTIF(Jeux!$C$2:$C$3001,A276))</f>
        <v/>
      </c>
      <c r="D276" s="26" t="str">
        <f aca="false">IF(A276="","",COUNTIF(Pubs!$G$2:$G$3001,A276))</f>
        <v/>
      </c>
      <c r="E276" s="26" t="str">
        <f aca="false">IF(A276="","",COUNTIF(Apparitions!$J$2:$J$5001,A276))</f>
        <v/>
      </c>
    </row>
    <row r="277" customFormat="false" ht="15" hidden="false" customHeight="false" outlineLevel="0" collapsed="false">
      <c r="A277" s="19"/>
      <c r="B277" s="19"/>
      <c r="C277" s="26" t="str">
        <f aca="false">IF(A277="","",COUNTIF(Jeux!$C$2:$C$3001,A277))</f>
        <v/>
      </c>
      <c r="D277" s="26" t="str">
        <f aca="false">IF(A277="","",COUNTIF(Pubs!$G$2:$G$3001,A277))</f>
        <v/>
      </c>
      <c r="E277" s="26" t="str">
        <f aca="false">IF(A277="","",COUNTIF(Apparitions!$J$2:$J$5001,A277))</f>
        <v/>
      </c>
    </row>
    <row r="278" customFormat="false" ht="15" hidden="false" customHeight="false" outlineLevel="0" collapsed="false">
      <c r="A278" s="19"/>
      <c r="B278" s="19"/>
      <c r="C278" s="26" t="str">
        <f aca="false">IF(A278="","",COUNTIF(Jeux!$C$2:$C$3001,A278))</f>
        <v/>
      </c>
      <c r="D278" s="26" t="str">
        <f aca="false">IF(A278="","",COUNTIF(Pubs!$G$2:$G$3001,A278))</f>
        <v/>
      </c>
      <c r="E278" s="26" t="str">
        <f aca="false">IF(A278="","",COUNTIF(Apparitions!$J$2:$J$5001,A278))</f>
        <v/>
      </c>
    </row>
    <row r="279" customFormat="false" ht="15" hidden="false" customHeight="false" outlineLevel="0" collapsed="false">
      <c r="A279" s="19"/>
      <c r="B279" s="19"/>
      <c r="C279" s="26" t="str">
        <f aca="false">IF(A279="","",COUNTIF(Jeux!$C$2:$C$3001,A279))</f>
        <v/>
      </c>
      <c r="D279" s="26" t="str">
        <f aca="false">IF(A279="","",COUNTIF(Pubs!$G$2:$G$3001,A279))</f>
        <v/>
      </c>
      <c r="E279" s="26" t="str">
        <f aca="false">IF(A279="","",COUNTIF(Apparitions!$J$2:$J$5001,A279))</f>
        <v/>
      </c>
    </row>
    <row r="280" customFormat="false" ht="15" hidden="false" customHeight="false" outlineLevel="0" collapsed="false">
      <c r="A280" s="19"/>
      <c r="B280" s="19"/>
      <c r="C280" s="26" t="str">
        <f aca="false">IF(A280="","",COUNTIF(Jeux!$C$2:$C$3001,A280))</f>
        <v/>
      </c>
      <c r="D280" s="26" t="str">
        <f aca="false">IF(A280="","",COUNTIF(Pubs!$G$2:$G$3001,A280))</f>
        <v/>
      </c>
      <c r="E280" s="26" t="str">
        <f aca="false">IF(A280="","",COUNTIF(Apparitions!$J$2:$J$5001,A280))</f>
        <v/>
      </c>
    </row>
    <row r="281" customFormat="false" ht="15" hidden="false" customHeight="false" outlineLevel="0" collapsed="false">
      <c r="A281" s="19"/>
      <c r="B281" s="19"/>
      <c r="C281" s="26" t="str">
        <f aca="false">IF(A281="","",COUNTIF(Jeux!$C$2:$C$3001,A281))</f>
        <v/>
      </c>
      <c r="D281" s="26" t="str">
        <f aca="false">IF(A281="","",COUNTIF(Pubs!$G$2:$G$3001,A281))</f>
        <v/>
      </c>
      <c r="E281" s="26" t="str">
        <f aca="false">IF(A281="","",COUNTIF(Apparitions!$J$2:$J$5001,A281))</f>
        <v/>
      </c>
    </row>
    <row r="282" customFormat="false" ht="15" hidden="false" customHeight="false" outlineLevel="0" collapsed="false">
      <c r="A282" s="19"/>
      <c r="B282" s="19"/>
      <c r="C282" s="26" t="str">
        <f aca="false">IF(A282="","",COUNTIF(Jeux!$C$2:$C$3001,A282))</f>
        <v/>
      </c>
      <c r="D282" s="26" t="str">
        <f aca="false">IF(A282="","",COUNTIF(Pubs!$G$2:$G$3001,A282))</f>
        <v/>
      </c>
      <c r="E282" s="26" t="str">
        <f aca="false">IF(A282="","",COUNTIF(Apparitions!$J$2:$J$5001,A282))</f>
        <v/>
      </c>
    </row>
    <row r="283" customFormat="false" ht="15" hidden="false" customHeight="false" outlineLevel="0" collapsed="false">
      <c r="A283" s="19"/>
      <c r="B283" s="19"/>
      <c r="C283" s="26" t="str">
        <f aca="false">IF(A283="","",COUNTIF(Jeux!$C$2:$C$3001,A283))</f>
        <v/>
      </c>
      <c r="D283" s="26" t="str">
        <f aca="false">IF(A283="","",COUNTIF(Pubs!$G$2:$G$3001,A283))</f>
        <v/>
      </c>
      <c r="E283" s="26" t="str">
        <f aca="false">IF(A283="","",COUNTIF(Apparitions!$J$2:$J$5001,A283))</f>
        <v/>
      </c>
    </row>
    <row r="284" customFormat="false" ht="15" hidden="false" customHeight="false" outlineLevel="0" collapsed="false">
      <c r="A284" s="19"/>
      <c r="B284" s="19"/>
      <c r="C284" s="26" t="str">
        <f aca="false">IF(A284="","",COUNTIF(Jeux!$C$2:$C$3001,A284))</f>
        <v/>
      </c>
      <c r="D284" s="26" t="str">
        <f aca="false">IF(A284="","",COUNTIF(Pubs!$G$2:$G$3001,A284))</f>
        <v/>
      </c>
      <c r="E284" s="26" t="str">
        <f aca="false">IF(A284="","",COUNTIF(Apparitions!$J$2:$J$5001,A284))</f>
        <v/>
      </c>
    </row>
    <row r="285" customFormat="false" ht="15" hidden="false" customHeight="false" outlineLevel="0" collapsed="false">
      <c r="A285" s="19"/>
      <c r="B285" s="19"/>
      <c r="C285" s="26" t="str">
        <f aca="false">IF(A285="","",COUNTIF(Jeux!$C$2:$C$3001,A285))</f>
        <v/>
      </c>
      <c r="D285" s="26" t="str">
        <f aca="false">IF(A285="","",COUNTIF(Pubs!$G$2:$G$3001,A285))</f>
        <v/>
      </c>
      <c r="E285" s="26" t="str">
        <f aca="false">IF(A285="","",COUNTIF(Apparitions!$J$2:$J$5001,A285))</f>
        <v/>
      </c>
    </row>
    <row r="286" customFormat="false" ht="15" hidden="false" customHeight="false" outlineLevel="0" collapsed="false">
      <c r="A286" s="19"/>
      <c r="B286" s="19"/>
      <c r="C286" s="26" t="str">
        <f aca="false">IF(A286="","",COUNTIF(Jeux!$C$2:$C$3001,A286))</f>
        <v/>
      </c>
      <c r="D286" s="26" t="str">
        <f aca="false">IF(A286="","",COUNTIF(Pubs!$G$2:$G$3001,A286))</f>
        <v/>
      </c>
      <c r="E286" s="26" t="str">
        <f aca="false">IF(A286="","",COUNTIF(Apparitions!$J$2:$J$5001,A286))</f>
        <v/>
      </c>
    </row>
    <row r="287" customFormat="false" ht="15" hidden="false" customHeight="false" outlineLevel="0" collapsed="false">
      <c r="A287" s="19"/>
      <c r="B287" s="19"/>
      <c r="C287" s="26" t="str">
        <f aca="false">IF(A287="","",COUNTIF(Jeux!$C$2:$C$3001,A287))</f>
        <v/>
      </c>
      <c r="D287" s="26" t="str">
        <f aca="false">IF(A287="","",COUNTIF(Pubs!$G$2:$G$3001,A287))</f>
        <v/>
      </c>
      <c r="E287" s="26" t="str">
        <f aca="false">IF(A287="","",COUNTIF(Apparitions!$J$2:$J$5001,A287))</f>
        <v/>
      </c>
    </row>
    <row r="288" customFormat="false" ht="15" hidden="false" customHeight="false" outlineLevel="0" collapsed="false">
      <c r="A288" s="19"/>
      <c r="B288" s="19"/>
      <c r="C288" s="26" t="str">
        <f aca="false">IF(A288="","",COUNTIF(Jeux!$C$2:$C$3001,A288))</f>
        <v/>
      </c>
      <c r="D288" s="26" t="str">
        <f aca="false">IF(A288="","",COUNTIF(Pubs!$G$2:$G$3001,A288))</f>
        <v/>
      </c>
      <c r="E288" s="26" t="str">
        <f aca="false">IF(A288="","",COUNTIF(Apparitions!$J$2:$J$5001,A288))</f>
        <v/>
      </c>
    </row>
    <row r="289" customFormat="false" ht="15" hidden="false" customHeight="false" outlineLevel="0" collapsed="false">
      <c r="A289" s="19"/>
      <c r="B289" s="19"/>
      <c r="C289" s="26" t="str">
        <f aca="false">IF(A289="","",COUNTIF(Jeux!$C$2:$C$3001,A289))</f>
        <v/>
      </c>
      <c r="D289" s="26" t="str">
        <f aca="false">IF(A289="","",COUNTIF(Pubs!$G$2:$G$3001,A289))</f>
        <v/>
      </c>
      <c r="E289" s="26" t="str">
        <f aca="false">IF(A289="","",COUNTIF(Apparitions!$J$2:$J$5001,A289))</f>
        <v/>
      </c>
    </row>
    <row r="290" customFormat="false" ht="15" hidden="false" customHeight="false" outlineLevel="0" collapsed="false">
      <c r="A290" s="19"/>
      <c r="B290" s="19"/>
      <c r="C290" s="26" t="str">
        <f aca="false">IF(A290="","",COUNTIF(Jeux!$C$2:$C$3001,A290))</f>
        <v/>
      </c>
      <c r="D290" s="26" t="str">
        <f aca="false">IF(A290="","",COUNTIF(Pubs!$G$2:$G$3001,A290))</f>
        <v/>
      </c>
      <c r="E290" s="26" t="str">
        <f aca="false">IF(A290="","",COUNTIF(Apparitions!$J$2:$J$5001,A290))</f>
        <v/>
      </c>
    </row>
    <row r="291" customFormat="false" ht="15" hidden="false" customHeight="false" outlineLevel="0" collapsed="false">
      <c r="A291" s="19"/>
      <c r="B291" s="19"/>
      <c r="C291" s="26" t="str">
        <f aca="false">IF(A291="","",COUNTIF(Jeux!$C$2:$C$3001,A291))</f>
        <v/>
      </c>
      <c r="D291" s="26" t="str">
        <f aca="false">IF(A291="","",COUNTIF(Pubs!$G$2:$G$3001,A291))</f>
        <v/>
      </c>
      <c r="E291" s="26" t="str">
        <f aca="false">IF(A291="","",COUNTIF(Apparitions!$J$2:$J$5001,A291))</f>
        <v/>
      </c>
    </row>
    <row r="292" customFormat="false" ht="15" hidden="false" customHeight="false" outlineLevel="0" collapsed="false">
      <c r="A292" s="19"/>
      <c r="B292" s="19"/>
      <c r="C292" s="26" t="str">
        <f aca="false">IF(A292="","",COUNTIF(Jeux!$C$2:$C$3001,A292))</f>
        <v/>
      </c>
      <c r="D292" s="26" t="str">
        <f aca="false">IF(A292="","",COUNTIF(Pubs!$G$2:$G$3001,A292))</f>
        <v/>
      </c>
      <c r="E292" s="26" t="str">
        <f aca="false">IF(A292="","",COUNTIF(Apparitions!$J$2:$J$5001,A292))</f>
        <v/>
      </c>
    </row>
    <row r="293" customFormat="false" ht="15" hidden="false" customHeight="false" outlineLevel="0" collapsed="false">
      <c r="A293" s="19"/>
      <c r="B293" s="19"/>
      <c r="C293" s="26" t="str">
        <f aca="false">IF(A293="","",COUNTIF(Jeux!$C$2:$C$3001,A293))</f>
        <v/>
      </c>
      <c r="D293" s="26" t="str">
        <f aca="false">IF(A293="","",COUNTIF(Pubs!$G$2:$G$3001,A293))</f>
        <v/>
      </c>
      <c r="E293" s="26" t="str">
        <f aca="false">IF(A293="","",COUNTIF(Apparitions!$J$2:$J$5001,A293))</f>
        <v/>
      </c>
    </row>
    <row r="294" customFormat="false" ht="15" hidden="false" customHeight="false" outlineLevel="0" collapsed="false">
      <c r="A294" s="19"/>
      <c r="B294" s="19"/>
      <c r="C294" s="26" t="str">
        <f aca="false">IF(A294="","",COUNTIF(Jeux!$C$2:$C$3001,A294))</f>
        <v/>
      </c>
      <c r="D294" s="26" t="str">
        <f aca="false">IF(A294="","",COUNTIF(Pubs!$G$2:$G$3001,A294))</f>
        <v/>
      </c>
      <c r="E294" s="26" t="str">
        <f aca="false">IF(A294="","",COUNTIF(Apparitions!$J$2:$J$5001,A294))</f>
        <v/>
      </c>
    </row>
    <row r="295" customFormat="false" ht="15" hidden="false" customHeight="false" outlineLevel="0" collapsed="false">
      <c r="A295" s="19"/>
      <c r="B295" s="19"/>
      <c r="C295" s="26" t="str">
        <f aca="false">IF(A295="","",COUNTIF(Jeux!$C$2:$C$3001,A295))</f>
        <v/>
      </c>
      <c r="D295" s="26" t="str">
        <f aca="false">IF(A295="","",COUNTIF(Pubs!$G$2:$G$3001,A295))</f>
        <v/>
      </c>
      <c r="E295" s="26" t="str">
        <f aca="false">IF(A295="","",COUNTIF(Apparitions!$J$2:$J$5001,A295))</f>
        <v/>
      </c>
    </row>
    <row r="296" customFormat="false" ht="15" hidden="false" customHeight="false" outlineLevel="0" collapsed="false">
      <c r="A296" s="19"/>
      <c r="B296" s="19"/>
      <c r="C296" s="26" t="str">
        <f aca="false">IF(A296="","",COUNTIF(Jeux!$C$2:$C$3001,A296))</f>
        <v/>
      </c>
      <c r="D296" s="26" t="str">
        <f aca="false">IF(A296="","",COUNTIF(Pubs!$G$2:$G$3001,A296))</f>
        <v/>
      </c>
      <c r="E296" s="26" t="str">
        <f aca="false">IF(A296="","",COUNTIF(Apparitions!$J$2:$J$5001,A296))</f>
        <v/>
      </c>
    </row>
    <row r="297" customFormat="false" ht="15" hidden="false" customHeight="false" outlineLevel="0" collapsed="false">
      <c r="A297" s="19"/>
      <c r="B297" s="19"/>
      <c r="C297" s="26" t="str">
        <f aca="false">IF(A297="","",COUNTIF(Jeux!$C$2:$C$3001,A297))</f>
        <v/>
      </c>
      <c r="D297" s="26" t="str">
        <f aca="false">IF(A297="","",COUNTIF(Pubs!$G$2:$G$3001,A297))</f>
        <v/>
      </c>
      <c r="E297" s="26" t="str">
        <f aca="false">IF(A297="","",COUNTIF(Apparitions!$J$2:$J$5001,A297))</f>
        <v/>
      </c>
    </row>
    <row r="298" customFormat="false" ht="15" hidden="false" customHeight="false" outlineLevel="0" collapsed="false">
      <c r="A298" s="19"/>
      <c r="B298" s="19"/>
      <c r="C298" s="26" t="str">
        <f aca="false">IF(A298="","",COUNTIF(Jeux!$C$2:$C$3001,A298))</f>
        <v/>
      </c>
      <c r="D298" s="26" t="str">
        <f aca="false">IF(A298="","",COUNTIF(Pubs!$G$2:$G$3001,A298))</f>
        <v/>
      </c>
      <c r="E298" s="26" t="str">
        <f aca="false">IF(A298="","",COUNTIF(Apparitions!$J$2:$J$5001,A298))</f>
        <v/>
      </c>
    </row>
    <row r="299" customFormat="false" ht="15" hidden="false" customHeight="false" outlineLevel="0" collapsed="false">
      <c r="A299" s="19"/>
      <c r="B299" s="19"/>
      <c r="C299" s="26" t="str">
        <f aca="false">IF(A299="","",COUNTIF(Jeux!$C$2:$C$3001,A299))</f>
        <v/>
      </c>
      <c r="D299" s="26" t="str">
        <f aca="false">IF(A299="","",COUNTIF(Pubs!$G$2:$G$3001,A299))</f>
        <v/>
      </c>
      <c r="E299" s="26" t="str">
        <f aca="false">IF(A299="","",COUNTIF(Apparitions!$J$2:$J$5001,A299))</f>
        <v/>
      </c>
    </row>
    <row r="300" customFormat="false" ht="15" hidden="false" customHeight="false" outlineLevel="0" collapsed="false">
      <c r="A300" s="19"/>
      <c r="B300" s="19"/>
      <c r="C300" s="26" t="str">
        <f aca="false">IF(A300="","",COUNTIF(Jeux!$C$2:$C$3001,A300))</f>
        <v/>
      </c>
      <c r="D300" s="26" t="str">
        <f aca="false">IF(A300="","",COUNTIF(Pubs!$G$2:$G$3001,A300))</f>
        <v/>
      </c>
      <c r="E300" s="26" t="str">
        <f aca="false">IF(A300="","",COUNTIF(Apparitions!$J$2:$J$5001,A300))</f>
        <v/>
      </c>
    </row>
    <row r="301" customFormat="false" ht="15" hidden="false" customHeight="false" outlineLevel="0" collapsed="false">
      <c r="A301" s="19"/>
      <c r="B301" s="19"/>
      <c r="C301" s="26" t="str">
        <f aca="false">IF(A301="","",COUNTIF(Jeux!$C$2:$C$3001,A301))</f>
        <v/>
      </c>
      <c r="D301" s="26" t="str">
        <f aca="false">IF(A301="","",COUNTIF(Pubs!$G$2:$G$3001,A301))</f>
        <v/>
      </c>
      <c r="E301" s="26" t="str">
        <f aca="false">IF(A301="","",COUNTIF(Apparitions!$J$2:$J$5001,A301))</f>
        <v/>
      </c>
    </row>
    <row r="302" customFormat="false" ht="15" hidden="false" customHeight="false" outlineLevel="0" collapsed="false">
      <c r="A302" s="19"/>
      <c r="B302" s="19"/>
      <c r="C302" s="26" t="str">
        <f aca="false">IF(A302="","",COUNTIF(Jeux!$C$2:$C$3001,A302))</f>
        <v/>
      </c>
      <c r="D302" s="26" t="str">
        <f aca="false">IF(A302="","",COUNTIF(Pubs!$G$2:$G$3001,A302))</f>
        <v/>
      </c>
      <c r="E302" s="26" t="str">
        <f aca="false">IF(A302="","",COUNTIF(Apparitions!$J$2:$J$5001,A302))</f>
        <v/>
      </c>
    </row>
    <row r="303" customFormat="false" ht="15" hidden="false" customHeight="false" outlineLevel="0" collapsed="false">
      <c r="A303" s="19"/>
      <c r="B303" s="19"/>
      <c r="C303" s="26" t="str">
        <f aca="false">IF(A303="","",COUNTIF(Jeux!$C$2:$C$3001,A303))</f>
        <v/>
      </c>
      <c r="D303" s="26" t="str">
        <f aca="false">IF(A303="","",COUNTIF(Pubs!$G$2:$G$3001,A303))</f>
        <v/>
      </c>
      <c r="E303" s="26" t="str">
        <f aca="false">IF(A303="","",COUNTIF(Apparitions!$J$2:$J$5001,A303))</f>
        <v/>
      </c>
    </row>
    <row r="304" customFormat="false" ht="15" hidden="false" customHeight="false" outlineLevel="0" collapsed="false">
      <c r="A304" s="19"/>
      <c r="B304" s="19"/>
      <c r="C304" s="26" t="str">
        <f aca="false">IF(A304="","",COUNTIF(Jeux!$C$2:$C$3001,A304))</f>
        <v/>
      </c>
      <c r="D304" s="26" t="str">
        <f aca="false">IF(A304="","",COUNTIF(Pubs!$G$2:$G$3001,A304))</f>
        <v/>
      </c>
      <c r="E304" s="26" t="str">
        <f aca="false">IF(A304="","",COUNTIF(Apparitions!$J$2:$J$5001,A304))</f>
        <v/>
      </c>
    </row>
    <row r="305" customFormat="false" ht="15" hidden="false" customHeight="false" outlineLevel="0" collapsed="false">
      <c r="A305" s="19"/>
      <c r="B305" s="19"/>
      <c r="C305" s="26" t="str">
        <f aca="false">IF(A305="","",COUNTIF(Jeux!$C$2:$C$3001,A305))</f>
        <v/>
      </c>
      <c r="D305" s="26" t="str">
        <f aca="false">IF(A305="","",COUNTIF(Pubs!$G$2:$G$3001,A305))</f>
        <v/>
      </c>
      <c r="E305" s="26" t="str">
        <f aca="false">IF(A305="","",COUNTIF(Apparitions!$J$2:$J$5001,A305))</f>
        <v/>
      </c>
    </row>
    <row r="306" customFormat="false" ht="15" hidden="false" customHeight="false" outlineLevel="0" collapsed="false">
      <c r="A306" s="19"/>
      <c r="B306" s="19"/>
      <c r="C306" s="26" t="str">
        <f aca="false">IF(A306="","",COUNTIF(Jeux!$C$2:$C$3001,A306))</f>
        <v/>
      </c>
      <c r="D306" s="26" t="str">
        <f aca="false">IF(A306="","",COUNTIF(Pubs!$G$2:$G$3001,A306))</f>
        <v/>
      </c>
      <c r="E306" s="26" t="str">
        <f aca="false">IF(A306="","",COUNTIF(Apparitions!$J$2:$J$5001,A306))</f>
        <v/>
      </c>
    </row>
    <row r="307" customFormat="false" ht="15" hidden="false" customHeight="false" outlineLevel="0" collapsed="false">
      <c r="A307" s="19"/>
      <c r="B307" s="19"/>
      <c r="C307" s="26" t="str">
        <f aca="false">IF(A307="","",COUNTIF(Jeux!$C$2:$C$3001,A307))</f>
        <v/>
      </c>
      <c r="D307" s="26" t="str">
        <f aca="false">IF(A307="","",COUNTIF(Pubs!$G$2:$G$3001,A307))</f>
        <v/>
      </c>
      <c r="E307" s="26" t="str">
        <f aca="false">IF(A307="","",COUNTIF(Apparitions!$J$2:$J$5001,A307))</f>
        <v/>
      </c>
    </row>
    <row r="308" customFormat="false" ht="15" hidden="false" customHeight="false" outlineLevel="0" collapsed="false">
      <c r="A308" s="19"/>
      <c r="B308" s="19"/>
      <c r="C308" s="26" t="str">
        <f aca="false">IF(A308="","",COUNTIF(Jeux!$C$2:$C$3001,A308))</f>
        <v/>
      </c>
      <c r="D308" s="26" t="str">
        <f aca="false">IF(A308="","",COUNTIF(Pubs!$G$2:$G$3001,A308))</f>
        <v/>
      </c>
      <c r="E308" s="26" t="str">
        <f aca="false">IF(A308="","",COUNTIF(Apparitions!$J$2:$J$5001,A308))</f>
        <v/>
      </c>
    </row>
    <row r="309" customFormat="false" ht="15" hidden="false" customHeight="false" outlineLevel="0" collapsed="false">
      <c r="A309" s="19"/>
      <c r="B309" s="19"/>
      <c r="C309" s="26" t="str">
        <f aca="false">IF(A309="","",COUNTIF(Jeux!$C$2:$C$3001,A309))</f>
        <v/>
      </c>
      <c r="D309" s="26" t="str">
        <f aca="false">IF(A309="","",COUNTIF(Pubs!$G$2:$G$3001,A309))</f>
        <v/>
      </c>
      <c r="E309" s="26" t="str">
        <f aca="false">IF(A309="","",COUNTIF(Apparitions!$J$2:$J$5001,A309))</f>
        <v/>
      </c>
    </row>
    <row r="310" customFormat="false" ht="15" hidden="false" customHeight="false" outlineLevel="0" collapsed="false">
      <c r="A310" s="19"/>
      <c r="B310" s="19"/>
      <c r="C310" s="26" t="str">
        <f aca="false">IF(A310="","",COUNTIF(Jeux!$C$2:$C$3001,A310))</f>
        <v/>
      </c>
      <c r="D310" s="26" t="str">
        <f aca="false">IF(A310="","",COUNTIF(Pubs!$G$2:$G$3001,A310))</f>
        <v/>
      </c>
      <c r="E310" s="26" t="str">
        <f aca="false">IF(A310="","",COUNTIF(Apparitions!$J$2:$J$5001,A310))</f>
        <v/>
      </c>
    </row>
    <row r="311" customFormat="false" ht="15" hidden="false" customHeight="false" outlineLevel="0" collapsed="false">
      <c r="A311" s="19"/>
      <c r="B311" s="19"/>
      <c r="C311" s="26" t="str">
        <f aca="false">IF(A311="","",COUNTIF(Jeux!$C$2:$C$3001,A311))</f>
        <v/>
      </c>
      <c r="D311" s="26" t="str">
        <f aca="false">IF(A311="","",COUNTIF(Pubs!$G$2:$G$3001,A311))</f>
        <v/>
      </c>
      <c r="E311" s="26" t="str">
        <f aca="false">IF(A311="","",COUNTIF(Apparitions!$J$2:$J$5001,A311))</f>
        <v/>
      </c>
    </row>
    <row r="312" customFormat="false" ht="15" hidden="false" customHeight="false" outlineLevel="0" collapsed="false">
      <c r="A312" s="19"/>
      <c r="B312" s="19"/>
      <c r="C312" s="26" t="str">
        <f aca="false">IF(A312="","",COUNTIF(Jeux!$C$2:$C$3001,A312))</f>
        <v/>
      </c>
      <c r="D312" s="26" t="str">
        <f aca="false">IF(A312="","",COUNTIF(Pubs!$G$2:$G$3001,A312))</f>
        <v/>
      </c>
      <c r="E312" s="26" t="str">
        <f aca="false">IF(A312="","",COUNTIF(Apparitions!$J$2:$J$5001,A312))</f>
        <v/>
      </c>
    </row>
    <row r="313" customFormat="false" ht="15" hidden="false" customHeight="false" outlineLevel="0" collapsed="false">
      <c r="A313" s="19"/>
      <c r="B313" s="19"/>
      <c r="C313" s="26" t="str">
        <f aca="false">IF(A313="","",COUNTIF(Jeux!$C$2:$C$3001,A313))</f>
        <v/>
      </c>
      <c r="D313" s="26" t="str">
        <f aca="false">IF(A313="","",COUNTIF(Pubs!$G$2:$G$3001,A313))</f>
        <v/>
      </c>
      <c r="E313" s="26" t="str">
        <f aca="false">IF(A313="","",COUNTIF(Apparitions!$J$2:$J$5001,A313))</f>
        <v/>
      </c>
    </row>
    <row r="314" customFormat="false" ht="15" hidden="false" customHeight="false" outlineLevel="0" collapsed="false">
      <c r="A314" s="19"/>
      <c r="B314" s="19"/>
      <c r="C314" s="26" t="str">
        <f aca="false">IF(A314="","",COUNTIF(Jeux!$C$2:$C$3001,A314))</f>
        <v/>
      </c>
      <c r="D314" s="26" t="str">
        <f aca="false">IF(A314="","",COUNTIF(Pubs!$G$2:$G$3001,A314))</f>
        <v/>
      </c>
      <c r="E314" s="26" t="str">
        <f aca="false">IF(A314="","",COUNTIF(Apparitions!$J$2:$J$5001,A314))</f>
        <v/>
      </c>
    </row>
    <row r="315" customFormat="false" ht="15" hidden="false" customHeight="false" outlineLevel="0" collapsed="false">
      <c r="A315" s="19"/>
      <c r="B315" s="19"/>
      <c r="C315" s="26" t="str">
        <f aca="false">IF(A315="","",COUNTIF(Jeux!$C$2:$C$3001,A315))</f>
        <v/>
      </c>
      <c r="D315" s="26" t="str">
        <f aca="false">IF(A315="","",COUNTIF(Pubs!$G$2:$G$3001,A315))</f>
        <v/>
      </c>
      <c r="E315" s="26" t="str">
        <f aca="false">IF(A315="","",COUNTIF(Apparitions!$J$2:$J$5001,A315))</f>
        <v/>
      </c>
    </row>
    <row r="316" customFormat="false" ht="15" hidden="false" customHeight="false" outlineLevel="0" collapsed="false">
      <c r="A316" s="19"/>
      <c r="B316" s="19"/>
      <c r="C316" s="26" t="str">
        <f aca="false">IF(A316="","",COUNTIF(Jeux!$C$2:$C$3001,A316))</f>
        <v/>
      </c>
      <c r="D316" s="26" t="str">
        <f aca="false">IF(A316="","",COUNTIF(Pubs!$G$2:$G$3001,A316))</f>
        <v/>
      </c>
      <c r="E316" s="26" t="str">
        <f aca="false">IF(A316="","",COUNTIF(Apparitions!$J$2:$J$5001,A316))</f>
        <v/>
      </c>
    </row>
    <row r="317" customFormat="false" ht="15" hidden="false" customHeight="false" outlineLevel="0" collapsed="false">
      <c r="A317" s="19"/>
      <c r="B317" s="19"/>
      <c r="C317" s="26" t="str">
        <f aca="false">IF(A317="","",COUNTIF(Jeux!$C$2:$C$3001,A317))</f>
        <v/>
      </c>
      <c r="D317" s="26" t="str">
        <f aca="false">IF(A317="","",COUNTIF(Pubs!$G$2:$G$3001,A317))</f>
        <v/>
      </c>
      <c r="E317" s="26" t="str">
        <f aca="false">IF(A317="","",COUNTIF(Apparitions!$J$2:$J$5001,A317))</f>
        <v/>
      </c>
    </row>
    <row r="318" customFormat="false" ht="15" hidden="false" customHeight="false" outlineLevel="0" collapsed="false">
      <c r="A318" s="19"/>
      <c r="B318" s="19"/>
      <c r="C318" s="26" t="str">
        <f aca="false">IF(A318="","",COUNTIF(Jeux!$C$2:$C$3001,A318))</f>
        <v/>
      </c>
      <c r="D318" s="26" t="str">
        <f aca="false">IF(A318="","",COUNTIF(Pubs!$G$2:$G$3001,A318))</f>
        <v/>
      </c>
      <c r="E318" s="26" t="str">
        <f aca="false">IF(A318="","",COUNTIF(Apparitions!$J$2:$J$5001,A318))</f>
        <v/>
      </c>
    </row>
    <row r="319" customFormat="false" ht="15" hidden="false" customHeight="false" outlineLevel="0" collapsed="false">
      <c r="A319" s="19"/>
      <c r="B319" s="19"/>
      <c r="C319" s="26" t="str">
        <f aca="false">IF(A319="","",COUNTIF(Jeux!$C$2:$C$3001,A319))</f>
        <v/>
      </c>
      <c r="D319" s="26" t="str">
        <f aca="false">IF(A319="","",COUNTIF(Pubs!$G$2:$G$3001,A319))</f>
        <v/>
      </c>
      <c r="E319" s="26" t="str">
        <f aca="false">IF(A319="","",COUNTIF(Apparitions!$J$2:$J$5001,A319))</f>
        <v/>
      </c>
    </row>
    <row r="320" customFormat="false" ht="15" hidden="false" customHeight="false" outlineLevel="0" collapsed="false">
      <c r="A320" s="19"/>
      <c r="B320" s="19"/>
      <c r="C320" s="26" t="str">
        <f aca="false">IF(A320="","",COUNTIF(Jeux!$C$2:$C$3001,A320))</f>
        <v/>
      </c>
      <c r="D320" s="26" t="str">
        <f aca="false">IF(A320="","",COUNTIF(Pubs!$G$2:$G$3001,A320))</f>
        <v/>
      </c>
      <c r="E320" s="26" t="str">
        <f aca="false">IF(A320="","",COUNTIF(Apparitions!$J$2:$J$5001,A320))</f>
        <v/>
      </c>
    </row>
    <row r="321" customFormat="false" ht="15" hidden="false" customHeight="false" outlineLevel="0" collapsed="false">
      <c r="A321" s="19"/>
      <c r="B321" s="19"/>
      <c r="C321" s="26" t="str">
        <f aca="false">IF(A321="","",COUNTIF(Jeux!$C$2:$C$3001,A321))</f>
        <v/>
      </c>
      <c r="D321" s="26" t="str">
        <f aca="false">IF(A321="","",COUNTIF(Pubs!$G$2:$G$3001,A321))</f>
        <v/>
      </c>
      <c r="E321" s="26" t="str">
        <f aca="false">IF(A321="","",COUNTIF(Apparitions!$J$2:$J$5001,A321))</f>
        <v/>
      </c>
    </row>
    <row r="322" customFormat="false" ht="15" hidden="false" customHeight="false" outlineLevel="0" collapsed="false">
      <c r="A322" s="19"/>
      <c r="B322" s="19"/>
      <c r="C322" s="26" t="str">
        <f aca="false">IF(A322="","",COUNTIF(Jeux!$C$2:$C$3001,A322))</f>
        <v/>
      </c>
      <c r="D322" s="26" t="str">
        <f aca="false">IF(A322="","",COUNTIF(Pubs!$G$2:$G$3001,A322))</f>
        <v/>
      </c>
      <c r="E322" s="26" t="str">
        <f aca="false">IF(A322="","",COUNTIF(Apparitions!$J$2:$J$5001,A322))</f>
        <v/>
      </c>
    </row>
    <row r="323" customFormat="false" ht="15" hidden="false" customHeight="false" outlineLevel="0" collapsed="false">
      <c r="A323" s="19"/>
      <c r="B323" s="19"/>
      <c r="C323" s="26" t="str">
        <f aca="false">IF(A323="","",COUNTIF(Jeux!$C$2:$C$3001,A323))</f>
        <v/>
      </c>
      <c r="D323" s="26" t="str">
        <f aca="false">IF(A323="","",COUNTIF(Pubs!$G$2:$G$3001,A323))</f>
        <v/>
      </c>
      <c r="E323" s="26" t="str">
        <f aca="false">IF(A323="","",COUNTIF(Apparitions!$J$2:$J$5001,A323))</f>
        <v/>
      </c>
    </row>
    <row r="324" customFormat="false" ht="15" hidden="false" customHeight="false" outlineLevel="0" collapsed="false">
      <c r="A324" s="19"/>
      <c r="B324" s="19"/>
      <c r="C324" s="26" t="str">
        <f aca="false">IF(A324="","",COUNTIF(Jeux!$C$2:$C$3001,A324))</f>
        <v/>
      </c>
      <c r="D324" s="26" t="str">
        <f aca="false">IF(A324="","",COUNTIF(Pubs!$G$2:$G$3001,A324))</f>
        <v/>
      </c>
      <c r="E324" s="26" t="str">
        <f aca="false">IF(A324="","",COUNTIF(Apparitions!$J$2:$J$5001,A324))</f>
        <v/>
      </c>
    </row>
    <row r="325" customFormat="false" ht="15" hidden="false" customHeight="false" outlineLevel="0" collapsed="false">
      <c r="A325" s="19"/>
      <c r="B325" s="19"/>
      <c r="C325" s="26" t="str">
        <f aca="false">IF(A325="","",COUNTIF(Jeux!$C$2:$C$3001,A325))</f>
        <v/>
      </c>
      <c r="D325" s="26" t="str">
        <f aca="false">IF(A325="","",COUNTIF(Pubs!$G$2:$G$3001,A325))</f>
        <v/>
      </c>
      <c r="E325" s="26" t="str">
        <f aca="false">IF(A325="","",COUNTIF(Apparitions!$J$2:$J$5001,A325))</f>
        <v/>
      </c>
    </row>
    <row r="326" customFormat="false" ht="15" hidden="false" customHeight="false" outlineLevel="0" collapsed="false">
      <c r="A326" s="19"/>
      <c r="B326" s="19"/>
      <c r="C326" s="26" t="str">
        <f aca="false">IF(A326="","",COUNTIF(Jeux!$C$2:$C$3001,A326))</f>
        <v/>
      </c>
      <c r="D326" s="26" t="str">
        <f aca="false">IF(A326="","",COUNTIF(Pubs!$G$2:$G$3001,A326))</f>
        <v/>
      </c>
      <c r="E326" s="26" t="str">
        <f aca="false">IF(A326="","",COUNTIF(Apparitions!$J$2:$J$5001,A326))</f>
        <v/>
      </c>
    </row>
    <row r="327" customFormat="false" ht="15" hidden="false" customHeight="false" outlineLevel="0" collapsed="false">
      <c r="A327" s="19"/>
      <c r="B327" s="19"/>
      <c r="C327" s="26" t="str">
        <f aca="false">IF(A327="","",COUNTIF(Jeux!$C$2:$C$3001,A327))</f>
        <v/>
      </c>
      <c r="D327" s="26" t="str">
        <f aca="false">IF(A327="","",COUNTIF(Pubs!$G$2:$G$3001,A327))</f>
        <v/>
      </c>
      <c r="E327" s="26" t="str">
        <f aca="false">IF(A327="","",COUNTIF(Apparitions!$J$2:$J$5001,A327))</f>
        <v/>
      </c>
    </row>
    <row r="328" customFormat="false" ht="15" hidden="false" customHeight="false" outlineLevel="0" collapsed="false">
      <c r="A328" s="19"/>
      <c r="B328" s="19"/>
      <c r="C328" s="26" t="str">
        <f aca="false">IF(A328="","",COUNTIF(Jeux!$C$2:$C$3001,A328))</f>
        <v/>
      </c>
      <c r="D328" s="26" t="str">
        <f aca="false">IF(A328="","",COUNTIF(Pubs!$G$2:$G$3001,A328))</f>
        <v/>
      </c>
      <c r="E328" s="26" t="str">
        <f aca="false">IF(A328="","",COUNTIF(Apparitions!$J$2:$J$5001,A328))</f>
        <v/>
      </c>
    </row>
    <row r="329" customFormat="false" ht="15" hidden="false" customHeight="false" outlineLevel="0" collapsed="false">
      <c r="A329" s="19"/>
      <c r="B329" s="19"/>
      <c r="C329" s="26" t="str">
        <f aca="false">IF(A329="","",COUNTIF(Jeux!$C$2:$C$3001,A329))</f>
        <v/>
      </c>
      <c r="D329" s="26" t="str">
        <f aca="false">IF(A329="","",COUNTIF(Pubs!$G$2:$G$3001,A329))</f>
        <v/>
      </c>
      <c r="E329" s="26" t="str">
        <f aca="false">IF(A329="","",COUNTIF(Apparitions!$J$2:$J$5001,A329))</f>
        <v/>
      </c>
    </row>
    <row r="330" customFormat="false" ht="15" hidden="false" customHeight="false" outlineLevel="0" collapsed="false">
      <c r="A330" s="19"/>
      <c r="B330" s="19"/>
      <c r="C330" s="26" t="str">
        <f aca="false">IF(A330="","",COUNTIF(Jeux!$C$2:$C$3001,A330))</f>
        <v/>
      </c>
      <c r="D330" s="26" t="str">
        <f aca="false">IF(A330="","",COUNTIF(Pubs!$G$2:$G$3001,A330))</f>
        <v/>
      </c>
      <c r="E330" s="26" t="str">
        <f aca="false">IF(A330="","",COUNTIF(Apparitions!$J$2:$J$5001,A330))</f>
        <v/>
      </c>
    </row>
    <row r="331" customFormat="false" ht="15" hidden="false" customHeight="false" outlineLevel="0" collapsed="false">
      <c r="A331" s="19"/>
      <c r="B331" s="19"/>
      <c r="C331" s="26" t="str">
        <f aca="false">IF(A331="","",COUNTIF(Jeux!$C$2:$C$3001,A331))</f>
        <v/>
      </c>
      <c r="D331" s="26" t="str">
        <f aca="false">IF(A331="","",COUNTIF(Pubs!$G$2:$G$3001,A331))</f>
        <v/>
      </c>
      <c r="E331" s="26" t="str">
        <f aca="false">IF(A331="","",COUNTIF(Apparitions!$J$2:$J$5001,A331))</f>
        <v/>
      </c>
    </row>
    <row r="332" customFormat="false" ht="15" hidden="false" customHeight="false" outlineLevel="0" collapsed="false">
      <c r="A332" s="19"/>
      <c r="B332" s="19"/>
      <c r="C332" s="26" t="str">
        <f aca="false">IF(A332="","",COUNTIF(Jeux!$C$2:$C$3001,A332))</f>
        <v/>
      </c>
      <c r="D332" s="26" t="str">
        <f aca="false">IF(A332="","",COUNTIF(Pubs!$G$2:$G$3001,A332))</f>
        <v/>
      </c>
      <c r="E332" s="26" t="str">
        <f aca="false">IF(A332="","",COUNTIF(Apparitions!$J$2:$J$5001,A332))</f>
        <v/>
      </c>
    </row>
    <row r="333" customFormat="false" ht="15" hidden="false" customHeight="false" outlineLevel="0" collapsed="false">
      <c r="A333" s="19"/>
      <c r="B333" s="19"/>
      <c r="C333" s="26" t="str">
        <f aca="false">IF(A333="","",COUNTIF(Jeux!$C$2:$C$3001,A333))</f>
        <v/>
      </c>
      <c r="D333" s="26" t="str">
        <f aca="false">IF(A333="","",COUNTIF(Pubs!$G$2:$G$3001,A333))</f>
        <v/>
      </c>
      <c r="E333" s="26" t="str">
        <f aca="false">IF(A333="","",COUNTIF(Apparitions!$J$2:$J$5001,A333))</f>
        <v/>
      </c>
    </row>
    <row r="334" customFormat="false" ht="15" hidden="false" customHeight="false" outlineLevel="0" collapsed="false">
      <c r="A334" s="19"/>
      <c r="B334" s="19"/>
      <c r="C334" s="26" t="str">
        <f aca="false">IF(A334="","",COUNTIF(Jeux!$C$2:$C$3001,A334))</f>
        <v/>
      </c>
      <c r="D334" s="26" t="str">
        <f aca="false">IF(A334="","",COUNTIF(Pubs!$G$2:$G$3001,A334))</f>
        <v/>
      </c>
      <c r="E334" s="26" t="str">
        <f aca="false">IF(A334="","",COUNTIF(Apparitions!$J$2:$J$5001,A334))</f>
        <v/>
      </c>
    </row>
    <row r="335" customFormat="false" ht="15" hidden="false" customHeight="false" outlineLevel="0" collapsed="false">
      <c r="A335" s="19"/>
      <c r="B335" s="19"/>
      <c r="C335" s="26" t="str">
        <f aca="false">IF(A335="","",COUNTIF(Jeux!$C$2:$C$3001,A335))</f>
        <v/>
      </c>
      <c r="D335" s="26" t="str">
        <f aca="false">IF(A335="","",COUNTIF(Pubs!$G$2:$G$3001,A335))</f>
        <v/>
      </c>
      <c r="E335" s="26" t="str">
        <f aca="false">IF(A335="","",COUNTIF(Apparitions!$J$2:$J$5001,A335))</f>
        <v/>
      </c>
    </row>
    <row r="336" customFormat="false" ht="15" hidden="false" customHeight="false" outlineLevel="0" collapsed="false">
      <c r="A336" s="19"/>
      <c r="B336" s="19"/>
      <c r="C336" s="26" t="str">
        <f aca="false">IF(A336="","",COUNTIF(Jeux!$C$2:$C$3001,A336))</f>
        <v/>
      </c>
      <c r="D336" s="26" t="str">
        <f aca="false">IF(A336="","",COUNTIF(Pubs!$G$2:$G$3001,A336))</f>
        <v/>
      </c>
      <c r="E336" s="26" t="str">
        <f aca="false">IF(A336="","",COUNTIF(Apparitions!$J$2:$J$5001,A336))</f>
        <v/>
      </c>
    </row>
    <row r="337" customFormat="false" ht="15" hidden="false" customHeight="false" outlineLevel="0" collapsed="false">
      <c r="A337" s="19"/>
      <c r="B337" s="19"/>
      <c r="C337" s="26" t="str">
        <f aca="false">IF(A337="","",COUNTIF(Jeux!$C$2:$C$3001,A337))</f>
        <v/>
      </c>
      <c r="D337" s="26" t="str">
        <f aca="false">IF(A337="","",COUNTIF(Pubs!$G$2:$G$3001,A337))</f>
        <v/>
      </c>
      <c r="E337" s="26" t="str">
        <f aca="false">IF(A337="","",COUNTIF(Apparitions!$J$2:$J$5001,A337))</f>
        <v/>
      </c>
    </row>
    <row r="338" customFormat="false" ht="15" hidden="false" customHeight="false" outlineLevel="0" collapsed="false">
      <c r="A338" s="19"/>
      <c r="B338" s="19"/>
      <c r="C338" s="26" t="str">
        <f aca="false">IF(A338="","",COUNTIF(Jeux!$C$2:$C$3001,A338))</f>
        <v/>
      </c>
      <c r="D338" s="26" t="str">
        <f aca="false">IF(A338="","",COUNTIF(Pubs!$G$2:$G$3001,A338))</f>
        <v/>
      </c>
      <c r="E338" s="26" t="str">
        <f aca="false">IF(A338="","",COUNTIF(Apparitions!$J$2:$J$5001,A338))</f>
        <v/>
      </c>
    </row>
    <row r="339" customFormat="false" ht="15" hidden="false" customHeight="false" outlineLevel="0" collapsed="false">
      <c r="A339" s="19"/>
      <c r="B339" s="19"/>
      <c r="C339" s="26" t="str">
        <f aca="false">IF(A339="","",COUNTIF(Jeux!$C$2:$C$3001,A339))</f>
        <v/>
      </c>
      <c r="D339" s="26" t="str">
        <f aca="false">IF(A339="","",COUNTIF(Pubs!$G$2:$G$3001,A339))</f>
        <v/>
      </c>
      <c r="E339" s="26" t="str">
        <f aca="false">IF(A339="","",COUNTIF(Apparitions!$J$2:$J$5001,A339))</f>
        <v/>
      </c>
    </row>
    <row r="340" customFormat="false" ht="15" hidden="false" customHeight="false" outlineLevel="0" collapsed="false">
      <c r="A340" s="19"/>
      <c r="B340" s="19"/>
      <c r="C340" s="26" t="str">
        <f aca="false">IF(A340="","",COUNTIF(Jeux!$C$2:$C$3001,A340))</f>
        <v/>
      </c>
      <c r="D340" s="26" t="str">
        <f aca="false">IF(A340="","",COUNTIF(Pubs!$G$2:$G$3001,A340))</f>
        <v/>
      </c>
      <c r="E340" s="26" t="str">
        <f aca="false">IF(A340="","",COUNTIF(Apparitions!$J$2:$J$5001,A340))</f>
        <v/>
      </c>
    </row>
    <row r="341" customFormat="false" ht="15" hidden="false" customHeight="false" outlineLevel="0" collapsed="false">
      <c r="A341" s="19"/>
      <c r="B341" s="19"/>
      <c r="C341" s="26" t="str">
        <f aca="false">IF(A341="","",COUNTIF(Jeux!$C$2:$C$3001,A341))</f>
        <v/>
      </c>
      <c r="D341" s="26" t="str">
        <f aca="false">IF(A341="","",COUNTIF(Pubs!$G$2:$G$3001,A341))</f>
        <v/>
      </c>
      <c r="E341" s="26" t="str">
        <f aca="false">IF(A341="","",COUNTIF(Apparitions!$J$2:$J$5001,A341))</f>
        <v/>
      </c>
    </row>
    <row r="342" customFormat="false" ht="15" hidden="false" customHeight="false" outlineLevel="0" collapsed="false">
      <c r="A342" s="19"/>
      <c r="B342" s="19"/>
      <c r="C342" s="26" t="str">
        <f aca="false">IF(A342="","",COUNTIF(Jeux!$C$2:$C$3001,A342))</f>
        <v/>
      </c>
      <c r="D342" s="26" t="str">
        <f aca="false">IF(A342="","",COUNTIF(Pubs!$G$2:$G$3001,A342))</f>
        <v/>
      </c>
      <c r="E342" s="26" t="str">
        <f aca="false">IF(A342="","",COUNTIF(Apparitions!$J$2:$J$5001,A342))</f>
        <v/>
      </c>
    </row>
    <row r="343" customFormat="false" ht="15" hidden="false" customHeight="false" outlineLevel="0" collapsed="false">
      <c r="A343" s="19"/>
      <c r="B343" s="19"/>
      <c r="C343" s="26" t="str">
        <f aca="false">IF(A343="","",COUNTIF(Jeux!$C$2:$C$3001,A343))</f>
        <v/>
      </c>
      <c r="D343" s="26" t="str">
        <f aca="false">IF(A343="","",COUNTIF(Pubs!$G$2:$G$3001,A343))</f>
        <v/>
      </c>
      <c r="E343" s="26" t="str">
        <f aca="false">IF(A343="","",COUNTIF(Apparitions!$J$2:$J$5001,A343))</f>
        <v/>
      </c>
    </row>
    <row r="344" customFormat="false" ht="15" hidden="false" customHeight="false" outlineLevel="0" collapsed="false">
      <c r="A344" s="19"/>
      <c r="B344" s="19"/>
      <c r="C344" s="26" t="str">
        <f aca="false">IF(A344="","",COUNTIF(Jeux!$C$2:$C$3001,A344))</f>
        <v/>
      </c>
      <c r="D344" s="26" t="str">
        <f aca="false">IF(A344="","",COUNTIF(Pubs!$G$2:$G$3001,A344))</f>
        <v/>
      </c>
      <c r="E344" s="26" t="str">
        <f aca="false">IF(A344="","",COUNTIF(Apparitions!$J$2:$J$5001,A344))</f>
        <v/>
      </c>
    </row>
    <row r="345" customFormat="false" ht="15" hidden="false" customHeight="false" outlineLevel="0" collapsed="false">
      <c r="A345" s="19"/>
      <c r="B345" s="19"/>
      <c r="C345" s="26" t="str">
        <f aca="false">IF(A345="","",COUNTIF(Jeux!$C$2:$C$3001,A345))</f>
        <v/>
      </c>
      <c r="D345" s="26" t="str">
        <f aca="false">IF(A345="","",COUNTIF(Pubs!$G$2:$G$3001,A345))</f>
        <v/>
      </c>
      <c r="E345" s="26" t="str">
        <f aca="false">IF(A345="","",COUNTIF(Apparitions!$J$2:$J$5001,A345))</f>
        <v/>
      </c>
    </row>
    <row r="346" customFormat="false" ht="15" hidden="false" customHeight="false" outlineLevel="0" collapsed="false">
      <c r="A346" s="19"/>
      <c r="B346" s="19"/>
      <c r="C346" s="26" t="str">
        <f aca="false">IF(A346="","",COUNTIF(Jeux!$C$2:$C$3001,A346))</f>
        <v/>
      </c>
      <c r="D346" s="26" t="str">
        <f aca="false">IF(A346="","",COUNTIF(Pubs!$G$2:$G$3001,A346))</f>
        <v/>
      </c>
      <c r="E346" s="26" t="str">
        <f aca="false">IF(A346="","",COUNTIF(Apparitions!$J$2:$J$5001,A346))</f>
        <v/>
      </c>
    </row>
    <row r="347" customFormat="false" ht="15" hidden="false" customHeight="false" outlineLevel="0" collapsed="false">
      <c r="A347" s="19"/>
      <c r="B347" s="19"/>
      <c r="C347" s="26" t="str">
        <f aca="false">IF(A347="","",COUNTIF(Jeux!$C$2:$C$3001,A347))</f>
        <v/>
      </c>
      <c r="D347" s="26" t="str">
        <f aca="false">IF(A347="","",COUNTIF(Pubs!$G$2:$G$3001,A347))</f>
        <v/>
      </c>
      <c r="E347" s="26" t="str">
        <f aca="false">IF(A347="","",COUNTIF(Apparitions!$J$2:$J$5001,A347))</f>
        <v/>
      </c>
    </row>
    <row r="348" customFormat="false" ht="15" hidden="false" customHeight="false" outlineLevel="0" collapsed="false">
      <c r="A348" s="19"/>
      <c r="B348" s="19"/>
      <c r="C348" s="26" t="str">
        <f aca="false">IF(A348="","",COUNTIF(Jeux!$C$2:$C$3001,A348))</f>
        <v/>
      </c>
      <c r="D348" s="26" t="str">
        <f aca="false">IF(A348="","",COUNTIF(Pubs!$G$2:$G$3001,A348))</f>
        <v/>
      </c>
      <c r="E348" s="26" t="str">
        <f aca="false">IF(A348="","",COUNTIF(Apparitions!$J$2:$J$5001,A348))</f>
        <v/>
      </c>
    </row>
    <row r="349" customFormat="false" ht="15" hidden="false" customHeight="false" outlineLevel="0" collapsed="false">
      <c r="A349" s="19"/>
      <c r="B349" s="19"/>
      <c r="C349" s="26" t="str">
        <f aca="false">IF(A349="","",COUNTIF(Jeux!$C$2:$C$3001,A349))</f>
        <v/>
      </c>
      <c r="D349" s="26" t="str">
        <f aca="false">IF(A349="","",COUNTIF(Pubs!$G$2:$G$3001,A349))</f>
        <v/>
      </c>
      <c r="E349" s="26" t="str">
        <f aca="false">IF(A349="","",COUNTIF(Apparitions!$J$2:$J$5001,A349))</f>
        <v/>
      </c>
    </row>
    <row r="350" customFormat="false" ht="15" hidden="false" customHeight="false" outlineLevel="0" collapsed="false">
      <c r="A350" s="19"/>
      <c r="B350" s="19"/>
      <c r="C350" s="26" t="str">
        <f aca="false">IF(A350="","",COUNTIF(Jeux!$C$2:$C$3001,A350))</f>
        <v/>
      </c>
      <c r="D350" s="26" t="str">
        <f aca="false">IF(A350="","",COUNTIF(Pubs!$G$2:$G$3001,A350))</f>
        <v/>
      </c>
      <c r="E350" s="26" t="str">
        <f aca="false">IF(A350="","",COUNTIF(Apparitions!$J$2:$J$5001,A350))</f>
        <v/>
      </c>
    </row>
    <row r="351" customFormat="false" ht="15" hidden="false" customHeight="false" outlineLevel="0" collapsed="false">
      <c r="A351" s="19"/>
      <c r="B351" s="19"/>
      <c r="C351" s="26" t="str">
        <f aca="false">IF(A351="","",COUNTIF(Jeux!$C$2:$C$3001,A351))</f>
        <v/>
      </c>
      <c r="D351" s="26" t="str">
        <f aca="false">IF(A351="","",COUNTIF(Pubs!$G$2:$G$3001,A351))</f>
        <v/>
      </c>
      <c r="E351" s="26" t="str">
        <f aca="false">IF(A351="","",COUNTIF(Apparitions!$J$2:$J$5001,A351))</f>
        <v/>
      </c>
    </row>
    <row r="352" customFormat="false" ht="15" hidden="false" customHeight="false" outlineLevel="0" collapsed="false">
      <c r="A352" s="19"/>
      <c r="B352" s="19"/>
      <c r="C352" s="26" t="str">
        <f aca="false">IF(A352="","",COUNTIF(Jeux!$C$2:$C$3001,A352))</f>
        <v/>
      </c>
      <c r="D352" s="26" t="str">
        <f aca="false">IF(A352="","",COUNTIF(Pubs!$G$2:$G$3001,A352))</f>
        <v/>
      </c>
      <c r="E352" s="26" t="str">
        <f aca="false">IF(A352="","",COUNTIF(Apparitions!$J$2:$J$5001,A352))</f>
        <v/>
      </c>
    </row>
    <row r="353" customFormat="false" ht="15" hidden="false" customHeight="false" outlineLevel="0" collapsed="false">
      <c r="A353" s="19"/>
      <c r="B353" s="19"/>
      <c r="C353" s="26" t="str">
        <f aca="false">IF(A353="","",COUNTIF(Jeux!$C$2:$C$3001,A353))</f>
        <v/>
      </c>
      <c r="D353" s="26" t="str">
        <f aca="false">IF(A353="","",COUNTIF(Pubs!$G$2:$G$3001,A353))</f>
        <v/>
      </c>
      <c r="E353" s="26" t="str">
        <f aca="false">IF(A353="","",COUNTIF(Apparitions!$J$2:$J$5001,A353))</f>
        <v/>
      </c>
    </row>
    <row r="354" customFormat="false" ht="15" hidden="false" customHeight="false" outlineLevel="0" collapsed="false">
      <c r="A354" s="19"/>
      <c r="B354" s="19"/>
      <c r="C354" s="26" t="str">
        <f aca="false">IF(A354="","",COUNTIF(Jeux!$C$2:$C$3001,A354))</f>
        <v/>
      </c>
      <c r="D354" s="26" t="str">
        <f aca="false">IF(A354="","",COUNTIF(Pubs!$G$2:$G$3001,A354))</f>
        <v/>
      </c>
      <c r="E354" s="26" t="str">
        <f aca="false">IF(A354="","",COUNTIF(Apparitions!$J$2:$J$5001,A354))</f>
        <v/>
      </c>
    </row>
    <row r="355" customFormat="false" ht="15" hidden="false" customHeight="false" outlineLevel="0" collapsed="false">
      <c r="A355" s="19"/>
      <c r="B355" s="19"/>
      <c r="C355" s="26" t="str">
        <f aca="false">IF(A355="","",COUNTIF(Jeux!$C$2:$C$3001,A355))</f>
        <v/>
      </c>
      <c r="D355" s="26" t="str">
        <f aca="false">IF(A355="","",COUNTIF(Pubs!$G$2:$G$3001,A355))</f>
        <v/>
      </c>
      <c r="E355" s="26" t="str">
        <f aca="false">IF(A355="","",COUNTIF(Apparitions!$J$2:$J$5001,A355))</f>
        <v/>
      </c>
    </row>
    <row r="356" customFormat="false" ht="15" hidden="false" customHeight="false" outlineLevel="0" collapsed="false">
      <c r="A356" s="19"/>
      <c r="B356" s="19"/>
      <c r="C356" s="26" t="str">
        <f aca="false">IF(A356="","",COUNTIF(Jeux!$C$2:$C$3001,A356))</f>
        <v/>
      </c>
      <c r="D356" s="26" t="str">
        <f aca="false">IF(A356="","",COUNTIF(Pubs!$G$2:$G$3001,A356))</f>
        <v/>
      </c>
      <c r="E356" s="26" t="str">
        <f aca="false">IF(A356="","",COUNTIF(Apparitions!$J$2:$J$5001,A356))</f>
        <v/>
      </c>
    </row>
    <row r="357" customFormat="false" ht="15" hidden="false" customHeight="false" outlineLevel="0" collapsed="false">
      <c r="A357" s="19"/>
      <c r="B357" s="19"/>
      <c r="C357" s="26" t="str">
        <f aca="false">IF(A357="","",COUNTIF(Jeux!$C$2:$C$3001,A357))</f>
        <v/>
      </c>
      <c r="D357" s="26" t="str">
        <f aca="false">IF(A357="","",COUNTIF(Pubs!$G$2:$G$3001,A357))</f>
        <v/>
      </c>
      <c r="E357" s="26" t="str">
        <f aca="false">IF(A357="","",COUNTIF(Apparitions!$J$2:$J$5001,A357))</f>
        <v/>
      </c>
    </row>
    <row r="358" customFormat="false" ht="15" hidden="false" customHeight="false" outlineLevel="0" collapsed="false">
      <c r="A358" s="19"/>
      <c r="B358" s="19"/>
      <c r="C358" s="26" t="str">
        <f aca="false">IF(A358="","",COUNTIF(Jeux!$C$2:$C$3001,A358))</f>
        <v/>
      </c>
      <c r="D358" s="26" t="str">
        <f aca="false">IF(A358="","",COUNTIF(Pubs!$G$2:$G$3001,A358))</f>
        <v/>
      </c>
      <c r="E358" s="26" t="str">
        <f aca="false">IF(A358="","",COUNTIF(Apparitions!$J$2:$J$5001,A358))</f>
        <v/>
      </c>
    </row>
    <row r="359" customFormat="false" ht="15" hidden="false" customHeight="false" outlineLevel="0" collapsed="false">
      <c r="A359" s="19"/>
      <c r="B359" s="19"/>
      <c r="C359" s="26" t="str">
        <f aca="false">IF(A359="","",COUNTIF(Jeux!$C$2:$C$3001,A359))</f>
        <v/>
      </c>
      <c r="D359" s="26" t="str">
        <f aca="false">IF(A359="","",COUNTIF(Pubs!$G$2:$G$3001,A359))</f>
        <v/>
      </c>
      <c r="E359" s="26" t="str">
        <f aca="false">IF(A359="","",COUNTIF(Apparitions!$J$2:$J$5001,A359))</f>
        <v/>
      </c>
    </row>
    <row r="360" customFormat="false" ht="15" hidden="false" customHeight="false" outlineLevel="0" collapsed="false">
      <c r="A360" s="19"/>
      <c r="B360" s="19"/>
      <c r="C360" s="26" t="str">
        <f aca="false">IF(A360="","",COUNTIF(Jeux!$C$2:$C$3001,A360))</f>
        <v/>
      </c>
      <c r="D360" s="26" t="str">
        <f aca="false">IF(A360="","",COUNTIF(Pubs!$G$2:$G$3001,A360))</f>
        <v/>
      </c>
      <c r="E360" s="26" t="str">
        <f aca="false">IF(A360="","",COUNTIF(Apparitions!$J$2:$J$5001,A360))</f>
        <v/>
      </c>
    </row>
    <row r="361" customFormat="false" ht="15" hidden="false" customHeight="false" outlineLevel="0" collapsed="false">
      <c r="A361" s="19"/>
      <c r="B361" s="19"/>
      <c r="C361" s="26" t="str">
        <f aca="false">IF(A361="","",COUNTIF(Jeux!$C$2:$C$3001,A361))</f>
        <v/>
      </c>
      <c r="D361" s="26" t="str">
        <f aca="false">IF(A361="","",COUNTIF(Pubs!$G$2:$G$3001,A361))</f>
        <v/>
      </c>
      <c r="E361" s="26" t="str">
        <f aca="false">IF(A361="","",COUNTIF(Apparitions!$J$2:$J$5001,A361))</f>
        <v/>
      </c>
    </row>
    <row r="362" customFormat="false" ht="15" hidden="false" customHeight="false" outlineLevel="0" collapsed="false">
      <c r="A362" s="19"/>
      <c r="B362" s="19"/>
      <c r="C362" s="26" t="str">
        <f aca="false">IF(A362="","",COUNTIF(Jeux!$C$2:$C$3001,A362))</f>
        <v/>
      </c>
      <c r="D362" s="26" t="str">
        <f aca="false">IF(A362="","",COUNTIF(Pubs!$G$2:$G$3001,A362))</f>
        <v/>
      </c>
      <c r="E362" s="26" t="str">
        <f aca="false">IF(A362="","",COUNTIF(Apparitions!$J$2:$J$5001,A362))</f>
        <v/>
      </c>
    </row>
    <row r="363" customFormat="false" ht="15" hidden="false" customHeight="false" outlineLevel="0" collapsed="false">
      <c r="A363" s="19"/>
      <c r="B363" s="19"/>
      <c r="C363" s="26" t="str">
        <f aca="false">IF(A363="","",COUNTIF(Jeux!$C$2:$C$3001,A363))</f>
        <v/>
      </c>
      <c r="D363" s="26" t="str">
        <f aca="false">IF(A363="","",COUNTIF(Pubs!$G$2:$G$3001,A363))</f>
        <v/>
      </c>
      <c r="E363" s="26" t="str">
        <f aca="false">IF(A363="","",COUNTIF(Apparitions!$J$2:$J$5001,A363))</f>
        <v/>
      </c>
    </row>
    <row r="364" customFormat="false" ht="15" hidden="false" customHeight="false" outlineLevel="0" collapsed="false">
      <c r="A364" s="19"/>
      <c r="B364" s="19"/>
      <c r="C364" s="26" t="str">
        <f aca="false">IF(A364="","",COUNTIF(Jeux!$C$2:$C$3001,A364))</f>
        <v/>
      </c>
      <c r="D364" s="26" t="str">
        <f aca="false">IF(A364="","",COUNTIF(Pubs!$G$2:$G$3001,A364))</f>
        <v/>
      </c>
      <c r="E364" s="26" t="str">
        <f aca="false">IF(A364="","",COUNTIF(Apparitions!$J$2:$J$5001,A364))</f>
        <v/>
      </c>
    </row>
    <row r="365" customFormat="false" ht="15" hidden="false" customHeight="false" outlineLevel="0" collapsed="false">
      <c r="A365" s="19"/>
      <c r="B365" s="19"/>
      <c r="C365" s="26" t="str">
        <f aca="false">IF(A365="","",COUNTIF(Jeux!$C$2:$C$3001,A365))</f>
        <v/>
      </c>
      <c r="D365" s="26" t="str">
        <f aca="false">IF(A365="","",COUNTIF(Pubs!$G$2:$G$3001,A365))</f>
        <v/>
      </c>
      <c r="E365" s="26" t="str">
        <f aca="false">IF(A365="","",COUNTIF(Apparitions!$J$2:$J$5001,A365))</f>
        <v/>
      </c>
    </row>
    <row r="366" customFormat="false" ht="15" hidden="false" customHeight="false" outlineLevel="0" collapsed="false">
      <c r="A366" s="19"/>
      <c r="B366" s="19"/>
      <c r="C366" s="26" t="str">
        <f aca="false">IF(A366="","",COUNTIF(Jeux!$C$2:$C$3001,A366))</f>
        <v/>
      </c>
      <c r="D366" s="26" t="str">
        <f aca="false">IF(A366="","",COUNTIF(Pubs!$G$2:$G$3001,A366))</f>
        <v/>
      </c>
      <c r="E366" s="26" t="str">
        <f aca="false">IF(A366="","",COUNTIF(Apparitions!$J$2:$J$5001,A366))</f>
        <v/>
      </c>
    </row>
    <row r="367" customFormat="false" ht="15" hidden="false" customHeight="false" outlineLevel="0" collapsed="false">
      <c r="A367" s="19"/>
      <c r="B367" s="19"/>
      <c r="C367" s="26" t="str">
        <f aca="false">IF(A367="","",COUNTIF(Jeux!$C$2:$C$3001,A367))</f>
        <v/>
      </c>
      <c r="D367" s="26" t="str">
        <f aca="false">IF(A367="","",COUNTIF(Pubs!$G$2:$G$3001,A367))</f>
        <v/>
      </c>
      <c r="E367" s="26" t="str">
        <f aca="false">IF(A367="","",COUNTIF(Apparitions!$J$2:$J$5001,A367))</f>
        <v/>
      </c>
    </row>
    <row r="368" customFormat="false" ht="15" hidden="false" customHeight="false" outlineLevel="0" collapsed="false">
      <c r="A368" s="19"/>
      <c r="B368" s="19"/>
      <c r="C368" s="26" t="str">
        <f aca="false">IF(A368="","",COUNTIF(Jeux!$C$2:$C$3001,A368))</f>
        <v/>
      </c>
      <c r="D368" s="26" t="str">
        <f aca="false">IF(A368="","",COUNTIF(Pubs!$G$2:$G$3001,A368))</f>
        <v/>
      </c>
      <c r="E368" s="26" t="str">
        <f aca="false">IF(A368="","",COUNTIF(Apparitions!$J$2:$J$5001,A368))</f>
        <v/>
      </c>
    </row>
    <row r="369" customFormat="false" ht="15" hidden="false" customHeight="false" outlineLevel="0" collapsed="false">
      <c r="A369" s="19"/>
      <c r="B369" s="19"/>
      <c r="C369" s="26" t="str">
        <f aca="false">IF(A369="","",COUNTIF(Jeux!$C$2:$C$3001,A369))</f>
        <v/>
      </c>
      <c r="D369" s="26" t="str">
        <f aca="false">IF(A369="","",COUNTIF(Pubs!$G$2:$G$3001,A369))</f>
        <v/>
      </c>
      <c r="E369" s="26" t="str">
        <f aca="false">IF(A369="","",COUNTIF(Apparitions!$J$2:$J$5001,A369))</f>
        <v/>
      </c>
    </row>
    <row r="370" customFormat="false" ht="15" hidden="false" customHeight="false" outlineLevel="0" collapsed="false">
      <c r="A370" s="19"/>
      <c r="B370" s="19"/>
      <c r="C370" s="26" t="str">
        <f aca="false">IF(A370="","",COUNTIF(Jeux!$C$2:$C$3001,A370))</f>
        <v/>
      </c>
      <c r="D370" s="26" t="str">
        <f aca="false">IF(A370="","",COUNTIF(Pubs!$G$2:$G$3001,A370))</f>
        <v/>
      </c>
      <c r="E370" s="26" t="str">
        <f aca="false">IF(A370="","",COUNTIF(Apparitions!$J$2:$J$5001,A370))</f>
        <v/>
      </c>
    </row>
    <row r="371" customFormat="false" ht="15" hidden="false" customHeight="false" outlineLevel="0" collapsed="false">
      <c r="A371" s="19"/>
      <c r="B371" s="19"/>
      <c r="C371" s="26" t="str">
        <f aca="false">IF(A371="","",COUNTIF(Jeux!$C$2:$C$3001,A371))</f>
        <v/>
      </c>
      <c r="D371" s="26" t="str">
        <f aca="false">IF(A371="","",COUNTIF(Pubs!$G$2:$G$3001,A371))</f>
        <v/>
      </c>
      <c r="E371" s="26" t="str">
        <f aca="false">IF(A371="","",COUNTIF(Apparitions!$J$2:$J$5001,A371))</f>
        <v/>
      </c>
    </row>
    <row r="372" customFormat="false" ht="15" hidden="false" customHeight="false" outlineLevel="0" collapsed="false">
      <c r="A372" s="19"/>
      <c r="B372" s="19"/>
      <c r="C372" s="26" t="str">
        <f aca="false">IF(A372="","",COUNTIF(Jeux!$C$2:$C$3001,A372))</f>
        <v/>
      </c>
      <c r="D372" s="26" t="str">
        <f aca="false">IF(A372="","",COUNTIF(Pubs!$G$2:$G$3001,A372))</f>
        <v/>
      </c>
      <c r="E372" s="26" t="str">
        <f aca="false">IF(A372="","",COUNTIF(Apparitions!$J$2:$J$5001,A372))</f>
        <v/>
      </c>
    </row>
    <row r="373" customFormat="false" ht="15" hidden="false" customHeight="false" outlineLevel="0" collapsed="false">
      <c r="A373" s="19"/>
      <c r="B373" s="19"/>
      <c r="C373" s="26" t="str">
        <f aca="false">IF(A373="","",COUNTIF(Jeux!$C$2:$C$3001,A373))</f>
        <v/>
      </c>
      <c r="D373" s="26" t="str">
        <f aca="false">IF(A373="","",COUNTIF(Pubs!$G$2:$G$3001,A373))</f>
        <v/>
      </c>
      <c r="E373" s="26" t="str">
        <f aca="false">IF(A373="","",COUNTIF(Apparitions!$J$2:$J$5001,A373))</f>
        <v/>
      </c>
    </row>
    <row r="374" customFormat="false" ht="15" hidden="false" customHeight="false" outlineLevel="0" collapsed="false">
      <c r="A374" s="19"/>
      <c r="B374" s="19"/>
      <c r="C374" s="26" t="str">
        <f aca="false">IF(A374="","",COUNTIF(Jeux!$C$2:$C$3001,A374))</f>
        <v/>
      </c>
      <c r="D374" s="26" t="str">
        <f aca="false">IF(A374="","",COUNTIF(Pubs!$G$2:$G$3001,A374))</f>
        <v/>
      </c>
      <c r="E374" s="26" t="str">
        <f aca="false">IF(A374="","",COUNTIF(Apparitions!$J$2:$J$5001,A374))</f>
        <v/>
      </c>
    </row>
    <row r="375" customFormat="false" ht="15" hidden="false" customHeight="false" outlineLevel="0" collapsed="false">
      <c r="A375" s="19"/>
      <c r="B375" s="19"/>
      <c r="C375" s="26" t="str">
        <f aca="false">IF(A375="","",COUNTIF(Jeux!$C$2:$C$3001,A375))</f>
        <v/>
      </c>
      <c r="D375" s="26" t="str">
        <f aca="false">IF(A375="","",COUNTIF(Pubs!$G$2:$G$3001,A375))</f>
        <v/>
      </c>
      <c r="E375" s="26" t="str">
        <f aca="false">IF(A375="","",COUNTIF(Apparitions!$J$2:$J$5001,A375))</f>
        <v/>
      </c>
    </row>
    <row r="376" customFormat="false" ht="15" hidden="false" customHeight="false" outlineLevel="0" collapsed="false">
      <c r="A376" s="19"/>
      <c r="B376" s="19"/>
      <c r="C376" s="26" t="str">
        <f aca="false">IF(A376="","",COUNTIF(Jeux!$C$2:$C$3001,A376))</f>
        <v/>
      </c>
      <c r="D376" s="26" t="str">
        <f aca="false">IF(A376="","",COUNTIF(Pubs!$G$2:$G$3001,A376))</f>
        <v/>
      </c>
      <c r="E376" s="26" t="str">
        <f aca="false">IF(A376="","",COUNTIF(Apparitions!$J$2:$J$5001,A376))</f>
        <v/>
      </c>
    </row>
    <row r="377" customFormat="false" ht="15" hidden="false" customHeight="false" outlineLevel="0" collapsed="false">
      <c r="A377" s="19"/>
      <c r="B377" s="19"/>
      <c r="C377" s="26" t="str">
        <f aca="false">IF(A377="","",COUNTIF(Jeux!$C$2:$C$3001,A377))</f>
        <v/>
      </c>
      <c r="D377" s="26" t="str">
        <f aca="false">IF(A377="","",COUNTIF(Pubs!$G$2:$G$3001,A377))</f>
        <v/>
      </c>
      <c r="E377" s="26" t="str">
        <f aca="false">IF(A377="","",COUNTIF(Apparitions!$J$2:$J$5001,A377))</f>
        <v/>
      </c>
    </row>
    <row r="378" customFormat="false" ht="15" hidden="false" customHeight="false" outlineLevel="0" collapsed="false">
      <c r="A378" s="19"/>
      <c r="B378" s="19"/>
      <c r="C378" s="26" t="str">
        <f aca="false">IF(A378="","",COUNTIF(Jeux!$C$2:$C$3001,A378))</f>
        <v/>
      </c>
      <c r="D378" s="26" t="str">
        <f aca="false">IF(A378="","",COUNTIF(Pubs!$G$2:$G$3001,A378))</f>
        <v/>
      </c>
      <c r="E378" s="26" t="str">
        <f aca="false">IF(A378="","",COUNTIF(Apparitions!$J$2:$J$5001,A378))</f>
        <v/>
      </c>
    </row>
    <row r="379" customFormat="false" ht="15" hidden="false" customHeight="false" outlineLevel="0" collapsed="false">
      <c r="A379" s="19"/>
      <c r="B379" s="19"/>
      <c r="C379" s="26" t="str">
        <f aca="false">IF(A379="","",COUNTIF(Jeux!$C$2:$C$3001,A379))</f>
        <v/>
      </c>
      <c r="D379" s="26" t="str">
        <f aca="false">IF(A379="","",COUNTIF(Pubs!$G$2:$G$3001,A379))</f>
        <v/>
      </c>
      <c r="E379" s="26" t="str">
        <f aca="false">IF(A379="","",COUNTIF(Apparitions!$J$2:$J$5001,A379))</f>
        <v/>
      </c>
    </row>
    <row r="380" customFormat="false" ht="15" hidden="false" customHeight="false" outlineLevel="0" collapsed="false">
      <c r="A380" s="19"/>
      <c r="B380" s="19"/>
      <c r="C380" s="26" t="str">
        <f aca="false">IF(A380="","",COUNTIF(Jeux!$C$2:$C$3001,A380))</f>
        <v/>
      </c>
      <c r="D380" s="26" t="str">
        <f aca="false">IF(A380="","",COUNTIF(Pubs!$G$2:$G$3001,A380))</f>
        <v/>
      </c>
      <c r="E380" s="26" t="str">
        <f aca="false">IF(A380="","",COUNTIF(Apparitions!$J$2:$J$5001,A380))</f>
        <v/>
      </c>
    </row>
    <row r="381" customFormat="false" ht="15" hidden="false" customHeight="false" outlineLevel="0" collapsed="false">
      <c r="A381" s="19"/>
      <c r="B381" s="19"/>
      <c r="C381" s="26" t="str">
        <f aca="false">IF(A381="","",COUNTIF(Jeux!$C$2:$C$3001,A381))</f>
        <v/>
      </c>
      <c r="D381" s="26" t="str">
        <f aca="false">IF(A381="","",COUNTIF(Pubs!$G$2:$G$3001,A381))</f>
        <v/>
      </c>
      <c r="E381" s="26" t="str">
        <f aca="false">IF(A381="","",COUNTIF(Apparitions!$J$2:$J$5001,A381))</f>
        <v/>
      </c>
    </row>
    <row r="382" customFormat="false" ht="15" hidden="false" customHeight="false" outlineLevel="0" collapsed="false">
      <c r="A382" s="19"/>
      <c r="B382" s="19"/>
      <c r="C382" s="26" t="str">
        <f aca="false">IF(A382="","",COUNTIF(Jeux!$C$2:$C$3001,A382))</f>
        <v/>
      </c>
      <c r="D382" s="26" t="str">
        <f aca="false">IF(A382="","",COUNTIF(Pubs!$G$2:$G$3001,A382))</f>
        <v/>
      </c>
      <c r="E382" s="26" t="str">
        <f aca="false">IF(A382="","",COUNTIF(Apparitions!$J$2:$J$5001,A382))</f>
        <v/>
      </c>
    </row>
    <row r="383" customFormat="false" ht="15" hidden="false" customHeight="false" outlineLevel="0" collapsed="false">
      <c r="A383" s="19"/>
      <c r="B383" s="19"/>
      <c r="C383" s="26" t="str">
        <f aca="false">IF(A383="","",COUNTIF(Jeux!$C$2:$C$3001,A383))</f>
        <v/>
      </c>
      <c r="D383" s="26" t="str">
        <f aca="false">IF(A383="","",COUNTIF(Pubs!$G$2:$G$3001,A383))</f>
        <v/>
      </c>
      <c r="E383" s="26" t="str">
        <f aca="false">IF(A383="","",COUNTIF(Apparitions!$J$2:$J$5001,A383))</f>
        <v/>
      </c>
    </row>
    <row r="384" customFormat="false" ht="15" hidden="false" customHeight="false" outlineLevel="0" collapsed="false">
      <c r="A384" s="19"/>
      <c r="B384" s="19"/>
      <c r="C384" s="26" t="str">
        <f aca="false">IF(A384="","",COUNTIF(Jeux!$C$2:$C$3001,A384))</f>
        <v/>
      </c>
      <c r="D384" s="26" t="str">
        <f aca="false">IF(A384="","",COUNTIF(Pubs!$G$2:$G$3001,A384))</f>
        <v/>
      </c>
      <c r="E384" s="26" t="str">
        <f aca="false">IF(A384="","",COUNTIF(Apparitions!$J$2:$J$5001,A384))</f>
        <v/>
      </c>
    </row>
    <row r="385" customFormat="false" ht="15" hidden="false" customHeight="false" outlineLevel="0" collapsed="false">
      <c r="A385" s="19"/>
      <c r="B385" s="19"/>
      <c r="C385" s="26" t="str">
        <f aca="false">IF(A385="","",COUNTIF(Jeux!$C$2:$C$3001,A385))</f>
        <v/>
      </c>
      <c r="D385" s="26" t="str">
        <f aca="false">IF(A385="","",COUNTIF(Pubs!$G$2:$G$3001,A385))</f>
        <v/>
      </c>
      <c r="E385" s="26" t="str">
        <f aca="false">IF(A385="","",COUNTIF(Apparitions!$J$2:$J$5001,A385))</f>
        <v/>
      </c>
    </row>
    <row r="386" customFormat="false" ht="15" hidden="false" customHeight="false" outlineLevel="0" collapsed="false">
      <c r="A386" s="19"/>
      <c r="B386" s="19"/>
      <c r="C386" s="26" t="str">
        <f aca="false">IF(A386="","",COUNTIF(Jeux!$C$2:$C$3001,A386))</f>
        <v/>
      </c>
      <c r="D386" s="26" t="str">
        <f aca="false">IF(A386="","",COUNTIF(Pubs!$G$2:$G$3001,A386))</f>
        <v/>
      </c>
      <c r="E386" s="26" t="str">
        <f aca="false">IF(A386="","",COUNTIF(Apparitions!$J$2:$J$5001,A386))</f>
        <v/>
      </c>
    </row>
    <row r="387" customFormat="false" ht="15" hidden="false" customHeight="false" outlineLevel="0" collapsed="false">
      <c r="A387" s="19"/>
      <c r="B387" s="19"/>
      <c r="C387" s="26" t="str">
        <f aca="false">IF(A387="","",COUNTIF(Jeux!$C$2:$C$3001,A387))</f>
        <v/>
      </c>
      <c r="D387" s="26" t="str">
        <f aca="false">IF(A387="","",COUNTIF(Pubs!$G$2:$G$3001,A387))</f>
        <v/>
      </c>
      <c r="E387" s="26" t="str">
        <f aca="false">IF(A387="","",COUNTIF(Apparitions!$J$2:$J$5001,A387))</f>
        <v/>
      </c>
    </row>
    <row r="388" customFormat="false" ht="15" hidden="false" customHeight="false" outlineLevel="0" collapsed="false">
      <c r="A388" s="19"/>
      <c r="B388" s="19"/>
      <c r="C388" s="26" t="str">
        <f aca="false">IF(A388="","",COUNTIF(Jeux!$C$2:$C$3001,A388))</f>
        <v/>
      </c>
      <c r="D388" s="26" t="str">
        <f aca="false">IF(A388="","",COUNTIF(Pubs!$G$2:$G$3001,A388))</f>
        <v/>
      </c>
      <c r="E388" s="26" t="str">
        <f aca="false">IF(A388="","",COUNTIF(Apparitions!$J$2:$J$5001,A388))</f>
        <v/>
      </c>
    </row>
    <row r="389" customFormat="false" ht="15" hidden="false" customHeight="false" outlineLevel="0" collapsed="false">
      <c r="A389" s="19"/>
      <c r="B389" s="19"/>
      <c r="C389" s="26" t="str">
        <f aca="false">IF(A389="","",COUNTIF(Jeux!$C$2:$C$3001,A389))</f>
        <v/>
      </c>
      <c r="D389" s="26" t="str">
        <f aca="false">IF(A389="","",COUNTIF(Pubs!$G$2:$G$3001,A389))</f>
        <v/>
      </c>
      <c r="E389" s="26" t="str">
        <f aca="false">IF(A389="","",COUNTIF(Apparitions!$J$2:$J$5001,A389))</f>
        <v/>
      </c>
    </row>
    <row r="390" customFormat="false" ht="15" hidden="false" customHeight="false" outlineLevel="0" collapsed="false">
      <c r="A390" s="19"/>
      <c r="B390" s="19"/>
      <c r="C390" s="26" t="str">
        <f aca="false">IF(A390="","",COUNTIF(Jeux!$C$2:$C$3001,A390))</f>
        <v/>
      </c>
      <c r="D390" s="26" t="str">
        <f aca="false">IF(A390="","",COUNTIF(Pubs!$G$2:$G$3001,A390))</f>
        <v/>
      </c>
      <c r="E390" s="26" t="str">
        <f aca="false">IF(A390="","",COUNTIF(Apparitions!$J$2:$J$5001,A390))</f>
        <v/>
      </c>
    </row>
    <row r="391" customFormat="false" ht="15" hidden="false" customHeight="false" outlineLevel="0" collapsed="false">
      <c r="A391" s="19"/>
      <c r="B391" s="19"/>
      <c r="C391" s="26" t="str">
        <f aca="false">IF(A391="","",COUNTIF(Jeux!$C$2:$C$3001,A391))</f>
        <v/>
      </c>
      <c r="D391" s="26" t="str">
        <f aca="false">IF(A391="","",COUNTIF(Pubs!$G$2:$G$3001,A391))</f>
        <v/>
      </c>
      <c r="E391" s="26" t="str">
        <f aca="false">IF(A391="","",COUNTIF(Apparitions!$J$2:$J$5001,A391))</f>
        <v/>
      </c>
    </row>
    <row r="392" customFormat="false" ht="15" hidden="false" customHeight="false" outlineLevel="0" collapsed="false">
      <c r="A392" s="19"/>
      <c r="B392" s="19"/>
      <c r="C392" s="26" t="str">
        <f aca="false">IF(A392="","",COUNTIF(Jeux!$C$2:$C$3001,A392))</f>
        <v/>
      </c>
      <c r="D392" s="26" t="str">
        <f aca="false">IF(A392="","",COUNTIF(Pubs!$G$2:$G$3001,A392))</f>
        <v/>
      </c>
      <c r="E392" s="26" t="str">
        <f aca="false">IF(A392="","",COUNTIF(Apparitions!$J$2:$J$5001,A392))</f>
        <v/>
      </c>
    </row>
    <row r="393" customFormat="false" ht="15" hidden="false" customHeight="false" outlineLevel="0" collapsed="false">
      <c r="A393" s="19"/>
      <c r="B393" s="19"/>
      <c r="C393" s="26" t="str">
        <f aca="false">IF(A393="","",COUNTIF(Jeux!$C$2:$C$3001,A393))</f>
        <v/>
      </c>
      <c r="D393" s="26" t="str">
        <f aca="false">IF(A393="","",COUNTIF(Pubs!$G$2:$G$3001,A393))</f>
        <v/>
      </c>
      <c r="E393" s="26" t="str">
        <f aca="false">IF(A393="","",COUNTIF(Apparitions!$J$2:$J$5001,A393))</f>
        <v/>
      </c>
    </row>
    <row r="394" customFormat="false" ht="15" hidden="false" customHeight="false" outlineLevel="0" collapsed="false">
      <c r="A394" s="19"/>
      <c r="B394" s="19"/>
      <c r="C394" s="26" t="str">
        <f aca="false">IF(A394="","",COUNTIF(Jeux!$C$2:$C$3001,A394))</f>
        <v/>
      </c>
      <c r="D394" s="26" t="str">
        <f aca="false">IF(A394="","",COUNTIF(Pubs!$G$2:$G$3001,A394))</f>
        <v/>
      </c>
      <c r="E394" s="26" t="str">
        <f aca="false">IF(A394="","",COUNTIF(Apparitions!$J$2:$J$5001,A394))</f>
        <v/>
      </c>
    </row>
    <row r="395" customFormat="false" ht="15" hidden="false" customHeight="false" outlineLevel="0" collapsed="false">
      <c r="A395" s="19"/>
      <c r="B395" s="19"/>
      <c r="C395" s="26" t="str">
        <f aca="false">IF(A395="","",COUNTIF(Jeux!$C$2:$C$3001,A395))</f>
        <v/>
      </c>
      <c r="D395" s="26" t="str">
        <f aca="false">IF(A395="","",COUNTIF(Pubs!$G$2:$G$3001,A395))</f>
        <v/>
      </c>
      <c r="E395" s="26" t="str">
        <f aca="false">IF(A395="","",COUNTIF(Apparitions!$J$2:$J$5001,A395))</f>
        <v/>
      </c>
    </row>
    <row r="396" customFormat="false" ht="15" hidden="false" customHeight="false" outlineLevel="0" collapsed="false">
      <c r="A396" s="19"/>
      <c r="B396" s="19"/>
      <c r="C396" s="26" t="str">
        <f aca="false">IF(A396="","",COUNTIF(Jeux!$C$2:$C$3001,A396))</f>
        <v/>
      </c>
      <c r="D396" s="26" t="str">
        <f aca="false">IF(A396="","",COUNTIF(Pubs!$G$2:$G$3001,A396))</f>
        <v/>
      </c>
      <c r="E396" s="26" t="str">
        <f aca="false">IF(A396="","",COUNTIF(Apparitions!$J$2:$J$5001,A396))</f>
        <v/>
      </c>
    </row>
    <row r="397" customFormat="false" ht="15" hidden="false" customHeight="false" outlineLevel="0" collapsed="false">
      <c r="A397" s="19"/>
      <c r="B397" s="19"/>
      <c r="C397" s="26" t="str">
        <f aca="false">IF(A397="","",COUNTIF(Jeux!$C$2:$C$3001,A397))</f>
        <v/>
      </c>
      <c r="D397" s="26" t="str">
        <f aca="false">IF(A397="","",COUNTIF(Pubs!$G$2:$G$3001,A397))</f>
        <v/>
      </c>
      <c r="E397" s="26" t="str">
        <f aca="false">IF(A397="","",COUNTIF(Apparitions!$J$2:$J$5001,A397))</f>
        <v/>
      </c>
    </row>
    <row r="398" customFormat="false" ht="15" hidden="false" customHeight="false" outlineLevel="0" collapsed="false">
      <c r="A398" s="19"/>
      <c r="B398" s="19"/>
      <c r="C398" s="26" t="str">
        <f aca="false">IF(A398="","",COUNTIF(Jeux!$C$2:$C$3001,A398))</f>
        <v/>
      </c>
      <c r="D398" s="26" t="str">
        <f aca="false">IF(A398="","",COUNTIF(Pubs!$G$2:$G$3001,A398))</f>
        <v/>
      </c>
      <c r="E398" s="26" t="str">
        <f aca="false">IF(A398="","",COUNTIF(Apparitions!$J$2:$J$5001,A398))</f>
        <v/>
      </c>
    </row>
    <row r="399" customFormat="false" ht="15" hidden="false" customHeight="false" outlineLevel="0" collapsed="false">
      <c r="A399" s="19"/>
      <c r="B399" s="19"/>
      <c r="C399" s="26" t="str">
        <f aca="false">IF(A399="","",COUNTIF(Jeux!$C$2:$C$3001,A399))</f>
        <v/>
      </c>
      <c r="D399" s="26" t="str">
        <f aca="false">IF(A399="","",COUNTIF(Pubs!$G$2:$G$3001,A399))</f>
        <v/>
      </c>
      <c r="E399" s="26" t="str">
        <f aca="false">IF(A399="","",COUNTIF(Apparitions!$J$2:$J$5001,A399))</f>
        <v/>
      </c>
    </row>
    <row r="400" customFormat="false" ht="15" hidden="false" customHeight="false" outlineLevel="0" collapsed="false">
      <c r="A400" s="19"/>
      <c r="B400" s="19"/>
      <c r="C400" s="26" t="str">
        <f aca="false">IF(A400="","",COUNTIF(Jeux!$C$2:$C$3001,A400))</f>
        <v/>
      </c>
      <c r="D400" s="26" t="str">
        <f aca="false">IF(A400="","",COUNTIF(Pubs!$G$2:$G$3001,A400))</f>
        <v/>
      </c>
      <c r="E400" s="26" t="str">
        <f aca="false">IF(A400="","",COUNTIF(Apparitions!$J$2:$J$5001,A400))</f>
        <v/>
      </c>
    </row>
    <row r="401" customFormat="false" ht="15" hidden="false" customHeight="false" outlineLevel="0" collapsed="false">
      <c r="A401" s="19"/>
      <c r="B401" s="19"/>
      <c r="C401" s="26" t="str">
        <f aca="false">IF(A401="","",COUNTIF(Jeux!$C$2:$C$3001,A401))</f>
        <v/>
      </c>
      <c r="D401" s="26" t="str">
        <f aca="false">IF(A401="","",COUNTIF(Pubs!$G$2:$G$3001,A401))</f>
        <v/>
      </c>
      <c r="E401" s="26" t="str">
        <f aca="false">IF(A401="","",COUNTIF(Apparitions!$J$2:$J$5001,A401))</f>
        <v/>
      </c>
    </row>
    <row r="402" customFormat="false" ht="15" hidden="false" customHeight="false" outlineLevel="0" collapsed="false">
      <c r="A402" s="19"/>
      <c r="B402" s="19"/>
      <c r="C402" s="26" t="str">
        <f aca="false">IF(A402="","",COUNTIF(Jeux!$C$2:$C$3001,A402))</f>
        <v/>
      </c>
      <c r="D402" s="26" t="str">
        <f aca="false">IF(A402="","",COUNTIF(Pubs!$G$2:$G$3001,A402))</f>
        <v/>
      </c>
      <c r="E402" s="26" t="str">
        <f aca="false">IF(A402="","",COUNTIF(Apparitions!$J$2:$J$5001,A402))</f>
        <v/>
      </c>
    </row>
    <row r="403" customFormat="false" ht="15" hidden="false" customHeight="false" outlineLevel="0" collapsed="false">
      <c r="A403" s="19"/>
      <c r="B403" s="19"/>
      <c r="C403" s="26" t="str">
        <f aca="false">IF(A403="","",COUNTIF(Jeux!$C$2:$C$3001,A403))</f>
        <v/>
      </c>
      <c r="D403" s="26" t="str">
        <f aca="false">IF(A403="","",COUNTIF(Pubs!$G$2:$G$3001,A403))</f>
        <v/>
      </c>
      <c r="E403" s="26" t="str">
        <f aca="false">IF(A403="","",COUNTIF(Apparitions!$J$2:$J$5001,A403))</f>
        <v/>
      </c>
    </row>
    <row r="404" customFormat="false" ht="15" hidden="false" customHeight="false" outlineLevel="0" collapsed="false">
      <c r="A404" s="19"/>
      <c r="B404" s="19"/>
      <c r="C404" s="26" t="str">
        <f aca="false">IF(A404="","",COUNTIF(Jeux!$C$2:$C$3001,A404))</f>
        <v/>
      </c>
      <c r="D404" s="26" t="str">
        <f aca="false">IF(A404="","",COUNTIF(Pubs!$G$2:$G$3001,A404))</f>
        <v/>
      </c>
      <c r="E404" s="26" t="str">
        <f aca="false">IF(A404="","",COUNTIF(Apparitions!$J$2:$J$5001,A404))</f>
        <v/>
      </c>
    </row>
    <row r="405" customFormat="false" ht="15" hidden="false" customHeight="false" outlineLevel="0" collapsed="false">
      <c r="A405" s="19"/>
      <c r="B405" s="19"/>
      <c r="C405" s="26" t="str">
        <f aca="false">IF(A405="","",COUNTIF(Jeux!$C$2:$C$3001,A405))</f>
        <v/>
      </c>
      <c r="D405" s="26" t="str">
        <f aca="false">IF(A405="","",COUNTIF(Pubs!$G$2:$G$3001,A405))</f>
        <v/>
      </c>
      <c r="E405" s="26" t="str">
        <f aca="false">IF(A405="","",COUNTIF(Apparitions!$J$2:$J$5001,A405))</f>
        <v/>
      </c>
    </row>
    <row r="406" customFormat="false" ht="15" hidden="false" customHeight="false" outlineLevel="0" collapsed="false">
      <c r="A406" s="19"/>
      <c r="B406" s="19"/>
      <c r="C406" s="26" t="str">
        <f aca="false">IF(A406="","",COUNTIF(Jeux!$C$2:$C$3001,A406))</f>
        <v/>
      </c>
      <c r="D406" s="26" t="str">
        <f aca="false">IF(A406="","",COUNTIF(Pubs!$G$2:$G$3001,A406))</f>
        <v/>
      </c>
      <c r="E406" s="26" t="str">
        <f aca="false">IF(A406="","",COUNTIF(Apparitions!$J$2:$J$5001,A406))</f>
        <v/>
      </c>
    </row>
    <row r="407" customFormat="false" ht="15" hidden="false" customHeight="false" outlineLevel="0" collapsed="false">
      <c r="A407" s="19"/>
      <c r="B407" s="19"/>
      <c r="C407" s="26" t="str">
        <f aca="false">IF(A407="","",COUNTIF(Jeux!$C$2:$C$3001,A407))</f>
        <v/>
      </c>
      <c r="D407" s="26" t="str">
        <f aca="false">IF(A407="","",COUNTIF(Pubs!$G$2:$G$3001,A407))</f>
        <v/>
      </c>
      <c r="E407" s="26" t="str">
        <f aca="false">IF(A407="","",COUNTIF(Apparitions!$J$2:$J$5001,A407))</f>
        <v/>
      </c>
    </row>
    <row r="408" customFormat="false" ht="15" hidden="false" customHeight="false" outlineLevel="0" collapsed="false">
      <c r="A408" s="19"/>
      <c r="B408" s="19"/>
      <c r="C408" s="26" t="str">
        <f aca="false">IF(A408="","",COUNTIF(Jeux!$C$2:$C$3001,A408))</f>
        <v/>
      </c>
      <c r="D408" s="26" t="str">
        <f aca="false">IF(A408="","",COUNTIF(Pubs!$G$2:$G$3001,A408))</f>
        <v/>
      </c>
      <c r="E408" s="26" t="str">
        <f aca="false">IF(A408="","",COUNTIF(Apparitions!$J$2:$J$5001,A408))</f>
        <v/>
      </c>
    </row>
    <row r="409" customFormat="false" ht="15" hidden="false" customHeight="false" outlineLevel="0" collapsed="false">
      <c r="A409" s="19"/>
      <c r="B409" s="19"/>
      <c r="C409" s="26" t="str">
        <f aca="false">IF(A409="","",COUNTIF(Jeux!$C$2:$C$3001,A409))</f>
        <v/>
      </c>
      <c r="D409" s="26" t="str">
        <f aca="false">IF(A409="","",COUNTIF(Pubs!$G$2:$G$3001,A409))</f>
        <v/>
      </c>
      <c r="E409" s="26" t="str">
        <f aca="false">IF(A409="","",COUNTIF(Apparitions!$J$2:$J$5001,A409))</f>
        <v/>
      </c>
    </row>
    <row r="410" customFormat="false" ht="15" hidden="false" customHeight="false" outlineLevel="0" collapsed="false">
      <c r="A410" s="19"/>
      <c r="B410" s="19"/>
      <c r="C410" s="26" t="str">
        <f aca="false">IF(A410="","",COUNTIF(Jeux!$C$2:$C$3001,A410))</f>
        <v/>
      </c>
      <c r="D410" s="26" t="str">
        <f aca="false">IF(A410="","",COUNTIF(Pubs!$G$2:$G$3001,A410))</f>
        <v/>
      </c>
      <c r="E410" s="26" t="str">
        <f aca="false">IF(A410="","",COUNTIF(Apparitions!$J$2:$J$5001,A410))</f>
        <v/>
      </c>
    </row>
    <row r="411" customFormat="false" ht="15" hidden="false" customHeight="false" outlineLevel="0" collapsed="false">
      <c r="A411" s="19"/>
      <c r="B411" s="19"/>
      <c r="C411" s="26" t="str">
        <f aca="false">IF(A411="","",COUNTIF(Jeux!$C$2:$C$3001,A411))</f>
        <v/>
      </c>
      <c r="D411" s="26" t="str">
        <f aca="false">IF(A411="","",COUNTIF(Pubs!$G$2:$G$3001,A411))</f>
        <v/>
      </c>
      <c r="E411" s="26" t="str">
        <f aca="false">IF(A411="","",COUNTIF(Apparitions!$J$2:$J$5001,A411))</f>
        <v/>
      </c>
    </row>
    <row r="412" customFormat="false" ht="15" hidden="false" customHeight="false" outlineLevel="0" collapsed="false">
      <c r="A412" s="19"/>
      <c r="B412" s="19"/>
      <c r="C412" s="26" t="str">
        <f aca="false">IF(A412="","",COUNTIF(Jeux!$C$2:$C$3001,A412))</f>
        <v/>
      </c>
      <c r="D412" s="26" t="str">
        <f aca="false">IF(A412="","",COUNTIF(Pubs!$G$2:$G$3001,A412))</f>
        <v/>
      </c>
      <c r="E412" s="26" t="str">
        <f aca="false">IF(A412="","",COUNTIF(Apparitions!$J$2:$J$5001,A412))</f>
        <v/>
      </c>
    </row>
    <row r="413" customFormat="false" ht="15" hidden="false" customHeight="false" outlineLevel="0" collapsed="false">
      <c r="A413" s="19"/>
      <c r="B413" s="19"/>
      <c r="C413" s="26" t="str">
        <f aca="false">IF(A413="","",COUNTIF(Jeux!$C$2:$C$3001,A413))</f>
        <v/>
      </c>
      <c r="D413" s="26" t="str">
        <f aca="false">IF(A413="","",COUNTIF(Pubs!$G$2:$G$3001,A413))</f>
        <v/>
      </c>
      <c r="E413" s="26" t="str">
        <f aca="false">IF(A413="","",COUNTIF(Apparitions!$J$2:$J$5001,A413))</f>
        <v/>
      </c>
    </row>
    <row r="414" customFormat="false" ht="15" hidden="false" customHeight="false" outlineLevel="0" collapsed="false">
      <c r="A414" s="19"/>
      <c r="B414" s="19"/>
      <c r="C414" s="26" t="str">
        <f aca="false">IF(A414="","",COUNTIF(Jeux!$C$2:$C$3001,A414))</f>
        <v/>
      </c>
      <c r="D414" s="26" t="str">
        <f aca="false">IF(A414="","",COUNTIF(Pubs!$G$2:$G$3001,A414))</f>
        <v/>
      </c>
      <c r="E414" s="26" t="str">
        <f aca="false">IF(A414="","",COUNTIF(Apparitions!$J$2:$J$5001,A414))</f>
        <v/>
      </c>
    </row>
    <row r="415" customFormat="false" ht="15" hidden="false" customHeight="false" outlineLevel="0" collapsed="false">
      <c r="A415" s="19"/>
      <c r="B415" s="19"/>
      <c r="C415" s="26" t="str">
        <f aca="false">IF(A415="","",COUNTIF(Jeux!$C$2:$C$3001,A415))</f>
        <v/>
      </c>
      <c r="D415" s="26" t="str">
        <f aca="false">IF(A415="","",COUNTIF(Pubs!$G$2:$G$3001,A415))</f>
        <v/>
      </c>
      <c r="E415" s="26" t="str">
        <f aca="false">IF(A415="","",COUNTIF(Apparitions!$J$2:$J$5001,A415))</f>
        <v/>
      </c>
    </row>
    <row r="416" customFormat="false" ht="15" hidden="false" customHeight="false" outlineLevel="0" collapsed="false">
      <c r="A416" s="19"/>
      <c r="B416" s="19"/>
      <c r="C416" s="26" t="str">
        <f aca="false">IF(A416="","",COUNTIF(Jeux!$C$2:$C$3001,A416))</f>
        <v/>
      </c>
      <c r="D416" s="26" t="str">
        <f aca="false">IF(A416="","",COUNTIF(Pubs!$G$2:$G$3001,A416))</f>
        <v/>
      </c>
      <c r="E416" s="26" t="str">
        <f aca="false">IF(A416="","",COUNTIF(Apparitions!$J$2:$J$5001,A416))</f>
        <v/>
      </c>
    </row>
    <row r="417" customFormat="false" ht="15" hidden="false" customHeight="false" outlineLevel="0" collapsed="false">
      <c r="A417" s="19"/>
      <c r="B417" s="19"/>
      <c r="C417" s="26" t="str">
        <f aca="false">IF(A417="","",COUNTIF(Jeux!$C$2:$C$3001,A417))</f>
        <v/>
      </c>
      <c r="D417" s="26" t="str">
        <f aca="false">IF(A417="","",COUNTIF(Pubs!$G$2:$G$3001,A417))</f>
        <v/>
      </c>
      <c r="E417" s="26" t="str">
        <f aca="false">IF(A417="","",COUNTIF(Apparitions!$J$2:$J$5001,A417))</f>
        <v/>
      </c>
    </row>
    <row r="418" customFormat="false" ht="15" hidden="false" customHeight="false" outlineLevel="0" collapsed="false">
      <c r="A418" s="19"/>
      <c r="B418" s="19"/>
      <c r="C418" s="26" t="str">
        <f aca="false">IF(A418="","",COUNTIF(Jeux!$C$2:$C$3001,A418))</f>
        <v/>
      </c>
      <c r="D418" s="26" t="str">
        <f aca="false">IF(A418="","",COUNTIF(Pubs!$G$2:$G$3001,A418))</f>
        <v/>
      </c>
      <c r="E418" s="26" t="str">
        <f aca="false">IF(A418="","",COUNTIF(Apparitions!$J$2:$J$5001,A418))</f>
        <v/>
      </c>
    </row>
    <row r="419" customFormat="false" ht="15" hidden="false" customHeight="false" outlineLevel="0" collapsed="false">
      <c r="A419" s="19"/>
      <c r="B419" s="19"/>
      <c r="C419" s="26" t="str">
        <f aca="false">IF(A419="","",COUNTIF(Jeux!$C$2:$C$3001,A419))</f>
        <v/>
      </c>
      <c r="D419" s="26" t="str">
        <f aca="false">IF(A419="","",COUNTIF(Pubs!$G$2:$G$3001,A419))</f>
        <v/>
      </c>
      <c r="E419" s="26" t="str">
        <f aca="false">IF(A419="","",COUNTIF(Apparitions!$J$2:$J$5001,A419))</f>
        <v/>
      </c>
    </row>
    <row r="420" customFormat="false" ht="15" hidden="false" customHeight="false" outlineLevel="0" collapsed="false">
      <c r="A420" s="19"/>
      <c r="B420" s="19"/>
      <c r="C420" s="26" t="str">
        <f aca="false">IF(A420="","",COUNTIF(Jeux!$C$2:$C$3001,A420))</f>
        <v/>
      </c>
      <c r="D420" s="26" t="str">
        <f aca="false">IF(A420="","",COUNTIF(Pubs!$G$2:$G$3001,A420))</f>
        <v/>
      </c>
      <c r="E420" s="26" t="str">
        <f aca="false">IF(A420="","",COUNTIF(Apparitions!$J$2:$J$5001,A420))</f>
        <v/>
      </c>
    </row>
    <row r="421" customFormat="false" ht="15" hidden="false" customHeight="false" outlineLevel="0" collapsed="false">
      <c r="A421" s="19"/>
      <c r="B421" s="19"/>
      <c r="C421" s="26" t="str">
        <f aca="false">IF(A421="","",COUNTIF(Jeux!$C$2:$C$3001,A421))</f>
        <v/>
      </c>
      <c r="D421" s="26" t="str">
        <f aca="false">IF(A421="","",COUNTIF(Pubs!$G$2:$G$3001,A421))</f>
        <v/>
      </c>
      <c r="E421" s="26" t="str">
        <f aca="false">IF(A421="","",COUNTIF(Apparitions!$J$2:$J$5001,A421))</f>
        <v/>
      </c>
    </row>
    <row r="422" customFormat="false" ht="15" hidden="false" customHeight="false" outlineLevel="0" collapsed="false">
      <c r="A422" s="19"/>
      <c r="B422" s="19"/>
      <c r="C422" s="26" t="str">
        <f aca="false">IF(A422="","",COUNTIF(Jeux!$C$2:$C$3001,A422))</f>
        <v/>
      </c>
      <c r="D422" s="26" t="str">
        <f aca="false">IF(A422="","",COUNTIF(Pubs!$G$2:$G$3001,A422))</f>
        <v/>
      </c>
      <c r="E422" s="26" t="str">
        <f aca="false">IF(A422="","",COUNTIF(Apparitions!$J$2:$J$5001,A422))</f>
        <v/>
      </c>
    </row>
    <row r="423" customFormat="false" ht="15" hidden="false" customHeight="false" outlineLevel="0" collapsed="false">
      <c r="A423" s="19"/>
      <c r="B423" s="19"/>
      <c r="C423" s="26" t="str">
        <f aca="false">IF(A423="","",COUNTIF(Jeux!$C$2:$C$3001,A423))</f>
        <v/>
      </c>
      <c r="D423" s="26" t="str">
        <f aca="false">IF(A423="","",COUNTIF(Pubs!$G$2:$G$3001,A423))</f>
        <v/>
      </c>
      <c r="E423" s="26" t="str">
        <f aca="false">IF(A423="","",COUNTIF(Apparitions!$J$2:$J$5001,A423))</f>
        <v/>
      </c>
    </row>
    <row r="424" customFormat="false" ht="15" hidden="false" customHeight="false" outlineLevel="0" collapsed="false">
      <c r="A424" s="19"/>
      <c r="B424" s="19"/>
      <c r="C424" s="26" t="str">
        <f aca="false">IF(A424="","",COUNTIF(Jeux!$C$2:$C$3001,A424))</f>
        <v/>
      </c>
      <c r="D424" s="26" t="str">
        <f aca="false">IF(A424="","",COUNTIF(Pubs!$G$2:$G$3001,A424))</f>
        <v/>
      </c>
      <c r="E424" s="26" t="str">
        <f aca="false">IF(A424="","",COUNTIF(Apparitions!$J$2:$J$5001,A424))</f>
        <v/>
      </c>
    </row>
    <row r="425" customFormat="false" ht="15" hidden="false" customHeight="false" outlineLevel="0" collapsed="false">
      <c r="A425" s="19"/>
      <c r="B425" s="19"/>
      <c r="C425" s="26" t="str">
        <f aca="false">IF(A425="","",COUNTIF(Jeux!$C$2:$C$3001,A425))</f>
        <v/>
      </c>
      <c r="D425" s="26" t="str">
        <f aca="false">IF(A425="","",COUNTIF(Pubs!$G$2:$G$3001,A425))</f>
        <v/>
      </c>
      <c r="E425" s="26" t="str">
        <f aca="false">IF(A425="","",COUNTIF(Apparitions!$J$2:$J$5001,A425))</f>
        <v/>
      </c>
    </row>
    <row r="426" customFormat="false" ht="15" hidden="false" customHeight="false" outlineLevel="0" collapsed="false">
      <c r="A426" s="19"/>
      <c r="B426" s="19"/>
      <c r="C426" s="26" t="str">
        <f aca="false">IF(A426="","",COUNTIF(Jeux!$C$2:$C$3001,A426))</f>
        <v/>
      </c>
      <c r="D426" s="26" t="str">
        <f aca="false">IF(A426="","",COUNTIF(Pubs!$G$2:$G$3001,A426))</f>
        <v/>
      </c>
      <c r="E426" s="26" t="str">
        <f aca="false">IF(A426="","",COUNTIF(Apparitions!$J$2:$J$5001,A426))</f>
        <v/>
      </c>
    </row>
    <row r="427" customFormat="false" ht="15" hidden="false" customHeight="false" outlineLevel="0" collapsed="false">
      <c r="A427" s="19"/>
      <c r="B427" s="19"/>
      <c r="C427" s="26" t="str">
        <f aca="false">IF(A427="","",COUNTIF(Jeux!$C$2:$C$3001,A427))</f>
        <v/>
      </c>
      <c r="D427" s="26" t="str">
        <f aca="false">IF(A427="","",COUNTIF(Pubs!$G$2:$G$3001,A427))</f>
        <v/>
      </c>
      <c r="E427" s="26" t="str">
        <f aca="false">IF(A427="","",COUNTIF(Apparitions!$J$2:$J$5001,A427))</f>
        <v/>
      </c>
    </row>
    <row r="428" customFormat="false" ht="15" hidden="false" customHeight="false" outlineLevel="0" collapsed="false">
      <c r="A428" s="19"/>
      <c r="B428" s="19"/>
      <c r="C428" s="26" t="str">
        <f aca="false">IF(A428="","",COUNTIF(Jeux!$C$2:$C$3001,A428))</f>
        <v/>
      </c>
      <c r="D428" s="26" t="str">
        <f aca="false">IF(A428="","",COUNTIF(Pubs!$G$2:$G$3001,A428))</f>
        <v/>
      </c>
      <c r="E428" s="26" t="str">
        <f aca="false">IF(A428="","",COUNTIF(Apparitions!$J$2:$J$5001,A428))</f>
        <v/>
      </c>
    </row>
    <row r="429" customFormat="false" ht="15" hidden="false" customHeight="false" outlineLevel="0" collapsed="false">
      <c r="A429" s="19"/>
      <c r="B429" s="19"/>
      <c r="C429" s="26" t="str">
        <f aca="false">IF(A429="","",COUNTIF(Jeux!$C$2:$C$3001,A429))</f>
        <v/>
      </c>
      <c r="D429" s="26" t="str">
        <f aca="false">IF(A429="","",COUNTIF(Pubs!$G$2:$G$3001,A429))</f>
        <v/>
      </c>
      <c r="E429" s="26" t="str">
        <f aca="false">IF(A429="","",COUNTIF(Apparitions!$J$2:$J$5001,A429))</f>
        <v/>
      </c>
    </row>
    <row r="430" customFormat="false" ht="15" hidden="false" customHeight="false" outlineLevel="0" collapsed="false">
      <c r="A430" s="19"/>
      <c r="B430" s="19"/>
      <c r="C430" s="26" t="str">
        <f aca="false">IF(A430="","",COUNTIF(Jeux!$C$2:$C$3001,A430))</f>
        <v/>
      </c>
      <c r="D430" s="26" t="str">
        <f aca="false">IF(A430="","",COUNTIF(Pubs!$G$2:$G$3001,A430))</f>
        <v/>
      </c>
      <c r="E430" s="26" t="str">
        <f aca="false">IF(A430="","",COUNTIF(Apparitions!$J$2:$J$5001,A430))</f>
        <v/>
      </c>
    </row>
    <row r="431" customFormat="false" ht="15" hidden="false" customHeight="false" outlineLevel="0" collapsed="false">
      <c r="A431" s="19"/>
      <c r="B431" s="19"/>
      <c r="C431" s="26" t="str">
        <f aca="false">IF(A431="","",COUNTIF(Jeux!$C$2:$C$3001,A431))</f>
        <v/>
      </c>
      <c r="D431" s="26" t="str">
        <f aca="false">IF(A431="","",COUNTIF(Pubs!$G$2:$G$3001,A431))</f>
        <v/>
      </c>
      <c r="E431" s="26" t="str">
        <f aca="false">IF(A431="","",COUNTIF(Apparitions!$J$2:$J$5001,A431))</f>
        <v/>
      </c>
    </row>
    <row r="432" customFormat="false" ht="15" hidden="false" customHeight="false" outlineLevel="0" collapsed="false">
      <c r="A432" s="19"/>
      <c r="B432" s="19"/>
      <c r="C432" s="26" t="str">
        <f aca="false">IF(A432="","",COUNTIF(Jeux!$C$2:$C$3001,A432))</f>
        <v/>
      </c>
      <c r="D432" s="26" t="str">
        <f aca="false">IF(A432="","",COUNTIF(Pubs!$G$2:$G$3001,A432))</f>
        <v/>
      </c>
      <c r="E432" s="26" t="str">
        <f aca="false">IF(A432="","",COUNTIF(Apparitions!$J$2:$J$5001,A432))</f>
        <v/>
      </c>
    </row>
    <row r="433" customFormat="false" ht="15" hidden="false" customHeight="false" outlineLevel="0" collapsed="false">
      <c r="A433" s="19"/>
      <c r="B433" s="19"/>
      <c r="C433" s="26" t="str">
        <f aca="false">IF(A433="","",COUNTIF(Jeux!$C$2:$C$3001,A433))</f>
        <v/>
      </c>
      <c r="D433" s="26" t="str">
        <f aca="false">IF(A433="","",COUNTIF(Pubs!$G$2:$G$3001,A433))</f>
        <v/>
      </c>
      <c r="E433" s="26" t="str">
        <f aca="false">IF(A433="","",COUNTIF(Apparitions!$J$2:$J$5001,A433))</f>
        <v/>
      </c>
    </row>
    <row r="434" customFormat="false" ht="15" hidden="false" customHeight="false" outlineLevel="0" collapsed="false">
      <c r="A434" s="19"/>
      <c r="B434" s="19"/>
      <c r="C434" s="26" t="str">
        <f aca="false">IF(A434="","",COUNTIF(Jeux!$C$2:$C$3001,A434))</f>
        <v/>
      </c>
      <c r="D434" s="26" t="str">
        <f aca="false">IF(A434="","",COUNTIF(Pubs!$G$2:$G$3001,A434))</f>
        <v/>
      </c>
      <c r="E434" s="26" t="str">
        <f aca="false">IF(A434="","",COUNTIF(Apparitions!$J$2:$J$5001,A434))</f>
        <v/>
      </c>
    </row>
    <row r="435" customFormat="false" ht="15" hidden="false" customHeight="false" outlineLevel="0" collapsed="false">
      <c r="A435" s="19"/>
      <c r="B435" s="19"/>
      <c r="C435" s="26" t="str">
        <f aca="false">IF(A435="","",COUNTIF(Jeux!$C$2:$C$3001,A435))</f>
        <v/>
      </c>
      <c r="D435" s="26" t="str">
        <f aca="false">IF(A435="","",COUNTIF(Pubs!$G$2:$G$3001,A435))</f>
        <v/>
      </c>
      <c r="E435" s="26" t="str">
        <f aca="false">IF(A435="","",COUNTIF(Apparitions!$J$2:$J$5001,A435))</f>
        <v/>
      </c>
    </row>
    <row r="436" customFormat="false" ht="15" hidden="false" customHeight="false" outlineLevel="0" collapsed="false">
      <c r="A436" s="19"/>
      <c r="B436" s="19"/>
      <c r="C436" s="26" t="str">
        <f aca="false">IF(A436="","",COUNTIF(Jeux!$C$2:$C$3001,A436))</f>
        <v/>
      </c>
      <c r="D436" s="26" t="str">
        <f aca="false">IF(A436="","",COUNTIF(Pubs!$G$2:$G$3001,A436))</f>
        <v/>
      </c>
      <c r="E436" s="26" t="str">
        <f aca="false">IF(A436="","",COUNTIF(Apparitions!$J$2:$J$5001,A436))</f>
        <v/>
      </c>
    </row>
    <row r="437" customFormat="false" ht="15" hidden="false" customHeight="false" outlineLevel="0" collapsed="false">
      <c r="A437" s="19"/>
      <c r="B437" s="19"/>
      <c r="C437" s="26" t="str">
        <f aca="false">IF(A437="","",COUNTIF(Jeux!$C$2:$C$3001,A437))</f>
        <v/>
      </c>
      <c r="D437" s="26" t="str">
        <f aca="false">IF(A437="","",COUNTIF(Pubs!$G$2:$G$3001,A437))</f>
        <v/>
      </c>
      <c r="E437" s="26" t="str">
        <f aca="false">IF(A437="","",COUNTIF(Apparitions!$J$2:$J$5001,A437))</f>
        <v/>
      </c>
    </row>
    <row r="438" customFormat="false" ht="15" hidden="false" customHeight="false" outlineLevel="0" collapsed="false">
      <c r="A438" s="19"/>
      <c r="B438" s="19"/>
      <c r="C438" s="26" t="str">
        <f aca="false">IF(A438="","",COUNTIF(Jeux!$C$2:$C$3001,A438))</f>
        <v/>
      </c>
      <c r="D438" s="26" t="str">
        <f aca="false">IF(A438="","",COUNTIF(Pubs!$G$2:$G$3001,A438))</f>
        <v/>
      </c>
      <c r="E438" s="26" t="str">
        <f aca="false">IF(A438="","",COUNTIF(Apparitions!$J$2:$J$5001,A438))</f>
        <v/>
      </c>
    </row>
    <row r="439" customFormat="false" ht="15" hidden="false" customHeight="false" outlineLevel="0" collapsed="false">
      <c r="A439" s="19"/>
      <c r="B439" s="19"/>
      <c r="C439" s="26" t="str">
        <f aca="false">IF(A439="","",COUNTIF(Jeux!$C$2:$C$3001,A439))</f>
        <v/>
      </c>
      <c r="D439" s="26" t="str">
        <f aca="false">IF(A439="","",COUNTIF(Pubs!$G$2:$G$3001,A439))</f>
        <v/>
      </c>
      <c r="E439" s="26" t="str">
        <f aca="false">IF(A439="","",COUNTIF(Apparitions!$J$2:$J$5001,A439))</f>
        <v/>
      </c>
    </row>
    <row r="440" customFormat="false" ht="15" hidden="false" customHeight="false" outlineLevel="0" collapsed="false">
      <c r="A440" s="19"/>
      <c r="B440" s="19"/>
      <c r="C440" s="26" t="str">
        <f aca="false">IF(A440="","",COUNTIF(Jeux!$C$2:$C$3001,A440))</f>
        <v/>
      </c>
      <c r="D440" s="26" t="str">
        <f aca="false">IF(A440="","",COUNTIF(Pubs!$G$2:$G$3001,A440))</f>
        <v/>
      </c>
      <c r="E440" s="26" t="str">
        <f aca="false">IF(A440="","",COUNTIF(Apparitions!$J$2:$J$5001,A440))</f>
        <v/>
      </c>
    </row>
    <row r="441" customFormat="false" ht="15" hidden="false" customHeight="false" outlineLevel="0" collapsed="false">
      <c r="A441" s="19"/>
      <c r="B441" s="19"/>
      <c r="C441" s="26" t="str">
        <f aca="false">IF(A441="","",COUNTIF(Jeux!$C$2:$C$3001,A441))</f>
        <v/>
      </c>
      <c r="D441" s="26" t="str">
        <f aca="false">IF(A441="","",COUNTIF(Pubs!$G$2:$G$3001,A441))</f>
        <v/>
      </c>
      <c r="E441" s="26" t="str">
        <f aca="false">IF(A441="","",COUNTIF(Apparitions!$J$2:$J$5001,A441))</f>
        <v/>
      </c>
    </row>
    <row r="442" customFormat="false" ht="15" hidden="false" customHeight="false" outlineLevel="0" collapsed="false">
      <c r="A442" s="19"/>
      <c r="B442" s="19"/>
      <c r="C442" s="26" t="str">
        <f aca="false">IF(A442="","",COUNTIF(Jeux!$C$2:$C$3001,A442))</f>
        <v/>
      </c>
      <c r="D442" s="26" t="str">
        <f aca="false">IF(A442="","",COUNTIF(Pubs!$G$2:$G$3001,A442))</f>
        <v/>
      </c>
      <c r="E442" s="26" t="str">
        <f aca="false">IF(A442="","",COUNTIF(Apparitions!$J$2:$J$5001,A442))</f>
        <v/>
      </c>
    </row>
    <row r="443" customFormat="false" ht="15" hidden="false" customHeight="false" outlineLevel="0" collapsed="false">
      <c r="A443" s="19"/>
      <c r="B443" s="19"/>
      <c r="C443" s="26" t="str">
        <f aca="false">IF(A443="","",COUNTIF(Jeux!$C$2:$C$3001,A443))</f>
        <v/>
      </c>
      <c r="D443" s="26" t="str">
        <f aca="false">IF(A443="","",COUNTIF(Pubs!$G$2:$G$3001,A443))</f>
        <v/>
      </c>
      <c r="E443" s="26" t="str">
        <f aca="false">IF(A443="","",COUNTIF(Apparitions!$J$2:$J$5001,A443))</f>
        <v/>
      </c>
    </row>
    <row r="444" customFormat="false" ht="15" hidden="false" customHeight="false" outlineLevel="0" collapsed="false">
      <c r="A444" s="19"/>
      <c r="B444" s="19"/>
      <c r="C444" s="26" t="str">
        <f aca="false">IF(A444="","",COUNTIF(Jeux!$C$2:$C$3001,A444))</f>
        <v/>
      </c>
      <c r="D444" s="26" t="str">
        <f aca="false">IF(A444="","",COUNTIF(Pubs!$G$2:$G$3001,A444))</f>
        <v/>
      </c>
      <c r="E444" s="26" t="str">
        <f aca="false">IF(A444="","",COUNTIF(Apparitions!$J$2:$J$5001,A444))</f>
        <v/>
      </c>
    </row>
    <row r="445" customFormat="false" ht="15" hidden="false" customHeight="false" outlineLevel="0" collapsed="false">
      <c r="A445" s="19"/>
      <c r="B445" s="19"/>
      <c r="C445" s="26" t="str">
        <f aca="false">IF(A445="","",COUNTIF(Jeux!$C$2:$C$3001,A445))</f>
        <v/>
      </c>
      <c r="D445" s="26" t="str">
        <f aca="false">IF(A445="","",COUNTIF(Pubs!$G$2:$G$3001,A445))</f>
        <v/>
      </c>
      <c r="E445" s="26" t="str">
        <f aca="false">IF(A445="","",COUNTIF(Apparitions!$J$2:$J$5001,A445))</f>
        <v/>
      </c>
    </row>
    <row r="446" customFormat="false" ht="15" hidden="false" customHeight="false" outlineLevel="0" collapsed="false">
      <c r="A446" s="19"/>
      <c r="B446" s="19"/>
      <c r="C446" s="26" t="str">
        <f aca="false">IF(A446="","",COUNTIF(Jeux!$C$2:$C$3001,A446))</f>
        <v/>
      </c>
      <c r="D446" s="26" t="str">
        <f aca="false">IF(A446="","",COUNTIF(Pubs!$G$2:$G$3001,A446))</f>
        <v/>
      </c>
      <c r="E446" s="26" t="str">
        <f aca="false">IF(A446="","",COUNTIF(Apparitions!$J$2:$J$5001,A446))</f>
        <v/>
      </c>
    </row>
    <row r="447" customFormat="false" ht="15" hidden="false" customHeight="false" outlineLevel="0" collapsed="false">
      <c r="A447" s="19"/>
      <c r="B447" s="19"/>
      <c r="C447" s="26" t="str">
        <f aca="false">IF(A447="","",COUNTIF(Jeux!$C$2:$C$3001,A447))</f>
        <v/>
      </c>
      <c r="D447" s="26" t="str">
        <f aca="false">IF(A447="","",COUNTIF(Pubs!$G$2:$G$3001,A447))</f>
        <v/>
      </c>
      <c r="E447" s="26" t="str">
        <f aca="false">IF(A447="","",COUNTIF(Apparitions!$J$2:$J$5001,A447))</f>
        <v/>
      </c>
    </row>
    <row r="448" customFormat="false" ht="15" hidden="false" customHeight="false" outlineLevel="0" collapsed="false">
      <c r="A448" s="19"/>
      <c r="B448" s="19"/>
      <c r="C448" s="26" t="str">
        <f aca="false">IF(A448="","",COUNTIF(Jeux!$C$2:$C$3001,A448))</f>
        <v/>
      </c>
      <c r="D448" s="26" t="str">
        <f aca="false">IF(A448="","",COUNTIF(Pubs!$G$2:$G$3001,A448))</f>
        <v/>
      </c>
      <c r="E448" s="26" t="str">
        <f aca="false">IF(A448="","",COUNTIF(Apparitions!$J$2:$J$5001,A448))</f>
        <v/>
      </c>
    </row>
    <row r="449" customFormat="false" ht="15" hidden="false" customHeight="false" outlineLevel="0" collapsed="false">
      <c r="A449" s="19"/>
      <c r="B449" s="19"/>
      <c r="C449" s="26" t="str">
        <f aca="false">IF(A449="","",COUNTIF(Jeux!$C$2:$C$3001,A449))</f>
        <v/>
      </c>
      <c r="D449" s="26" t="str">
        <f aca="false">IF(A449="","",COUNTIF(Pubs!$G$2:$G$3001,A449))</f>
        <v/>
      </c>
      <c r="E449" s="26" t="str">
        <f aca="false">IF(A449="","",COUNTIF(Apparitions!$J$2:$J$5001,A449))</f>
        <v/>
      </c>
    </row>
    <row r="450" customFormat="false" ht="15" hidden="false" customHeight="false" outlineLevel="0" collapsed="false">
      <c r="A450" s="19"/>
      <c r="B450" s="19"/>
      <c r="C450" s="26" t="str">
        <f aca="false">IF(A450="","",COUNTIF(Jeux!$C$2:$C$3001,A450))</f>
        <v/>
      </c>
      <c r="D450" s="26" t="str">
        <f aca="false">IF(A450="","",COUNTIF(Pubs!$G$2:$G$3001,A450))</f>
        <v/>
      </c>
      <c r="E450" s="26" t="str">
        <f aca="false">IF(A450="","",COUNTIF(Apparitions!$J$2:$J$5001,A450))</f>
        <v/>
      </c>
    </row>
    <row r="451" customFormat="false" ht="15" hidden="false" customHeight="false" outlineLevel="0" collapsed="false">
      <c r="A451" s="19"/>
      <c r="B451" s="19"/>
      <c r="C451" s="26" t="str">
        <f aca="false">IF(A451="","",COUNTIF(Jeux!$C$2:$C$3001,A451))</f>
        <v/>
      </c>
      <c r="D451" s="26" t="str">
        <f aca="false">IF(A451="","",COUNTIF(Pubs!$G$2:$G$3001,A451))</f>
        <v/>
      </c>
      <c r="E451" s="26" t="str">
        <f aca="false">IF(A451="","",COUNTIF(Apparitions!$J$2:$J$5001,A451))</f>
        <v/>
      </c>
    </row>
    <row r="452" customFormat="false" ht="15" hidden="false" customHeight="false" outlineLevel="0" collapsed="false">
      <c r="A452" s="19"/>
      <c r="B452" s="19"/>
      <c r="C452" s="26" t="str">
        <f aca="false">IF(A452="","",COUNTIF(Jeux!$C$2:$C$3001,A452))</f>
        <v/>
      </c>
      <c r="D452" s="26" t="str">
        <f aca="false">IF(A452="","",COUNTIF(Pubs!$G$2:$G$3001,A452))</f>
        <v/>
      </c>
      <c r="E452" s="26" t="str">
        <f aca="false">IF(A452="","",COUNTIF(Apparitions!$J$2:$J$5001,A452))</f>
        <v/>
      </c>
    </row>
    <row r="453" customFormat="false" ht="15" hidden="false" customHeight="false" outlineLevel="0" collapsed="false">
      <c r="A453" s="19"/>
      <c r="B453" s="19"/>
      <c r="C453" s="26" t="str">
        <f aca="false">IF(A453="","",COUNTIF(Jeux!$C$2:$C$3001,A453))</f>
        <v/>
      </c>
      <c r="D453" s="26" t="str">
        <f aca="false">IF(A453="","",COUNTIF(Pubs!$G$2:$G$3001,A453))</f>
        <v/>
      </c>
      <c r="E453" s="26" t="str">
        <f aca="false">IF(A453="","",COUNTIF(Apparitions!$J$2:$J$5001,A453))</f>
        <v/>
      </c>
    </row>
    <row r="454" customFormat="false" ht="15" hidden="false" customHeight="false" outlineLevel="0" collapsed="false">
      <c r="A454" s="19"/>
      <c r="B454" s="19"/>
      <c r="C454" s="26" t="str">
        <f aca="false">IF(A454="","",COUNTIF(Jeux!$C$2:$C$3001,A454))</f>
        <v/>
      </c>
      <c r="D454" s="26" t="str">
        <f aca="false">IF(A454="","",COUNTIF(Pubs!$G$2:$G$3001,A454))</f>
        <v/>
      </c>
      <c r="E454" s="26" t="str">
        <f aca="false">IF(A454="","",COUNTIF(Apparitions!$J$2:$J$5001,A454))</f>
        <v/>
      </c>
    </row>
    <row r="455" customFormat="false" ht="15" hidden="false" customHeight="false" outlineLevel="0" collapsed="false">
      <c r="A455" s="19"/>
      <c r="B455" s="19"/>
      <c r="C455" s="26" t="str">
        <f aca="false">IF(A455="","",COUNTIF(Jeux!$C$2:$C$3001,A455))</f>
        <v/>
      </c>
      <c r="D455" s="26" t="str">
        <f aca="false">IF(A455="","",COUNTIF(Pubs!$G$2:$G$3001,A455))</f>
        <v/>
      </c>
      <c r="E455" s="26" t="str">
        <f aca="false">IF(A455="","",COUNTIF(Apparitions!$J$2:$J$5001,A455))</f>
        <v/>
      </c>
    </row>
    <row r="456" customFormat="false" ht="15" hidden="false" customHeight="false" outlineLevel="0" collapsed="false">
      <c r="A456" s="19"/>
      <c r="B456" s="19"/>
      <c r="C456" s="26" t="str">
        <f aca="false">IF(A456="","",COUNTIF(Jeux!$C$2:$C$3001,A456))</f>
        <v/>
      </c>
      <c r="D456" s="26" t="str">
        <f aca="false">IF(A456="","",COUNTIF(Pubs!$G$2:$G$3001,A456))</f>
        <v/>
      </c>
      <c r="E456" s="26" t="str">
        <f aca="false">IF(A456="","",COUNTIF(Apparitions!$J$2:$J$5001,A456))</f>
        <v/>
      </c>
    </row>
    <row r="457" customFormat="false" ht="15" hidden="false" customHeight="false" outlineLevel="0" collapsed="false">
      <c r="A457" s="19"/>
      <c r="B457" s="19"/>
      <c r="C457" s="26" t="str">
        <f aca="false">IF(A457="","",COUNTIF(Jeux!$C$2:$C$3001,A457))</f>
        <v/>
      </c>
      <c r="D457" s="26" t="str">
        <f aca="false">IF(A457="","",COUNTIF(Pubs!$G$2:$G$3001,A457))</f>
        <v/>
      </c>
      <c r="E457" s="26" t="str">
        <f aca="false">IF(A457="","",COUNTIF(Apparitions!$J$2:$J$5001,A457))</f>
        <v/>
      </c>
    </row>
    <row r="458" customFormat="false" ht="15" hidden="false" customHeight="false" outlineLevel="0" collapsed="false">
      <c r="A458" s="19"/>
      <c r="B458" s="19"/>
      <c r="C458" s="26" t="str">
        <f aca="false">IF(A458="","",COUNTIF(Jeux!$C$2:$C$3001,A458))</f>
        <v/>
      </c>
      <c r="D458" s="26" t="str">
        <f aca="false">IF(A458="","",COUNTIF(Pubs!$G$2:$G$3001,A458))</f>
        <v/>
      </c>
      <c r="E458" s="26" t="str">
        <f aca="false">IF(A458="","",COUNTIF(Apparitions!$J$2:$J$5001,A458))</f>
        <v/>
      </c>
    </row>
    <row r="459" customFormat="false" ht="15" hidden="false" customHeight="false" outlineLevel="0" collapsed="false">
      <c r="A459" s="19"/>
      <c r="B459" s="19"/>
      <c r="C459" s="26" t="str">
        <f aca="false">IF(A459="","",COUNTIF(Jeux!$C$2:$C$3001,A459))</f>
        <v/>
      </c>
      <c r="D459" s="26" t="str">
        <f aca="false">IF(A459="","",COUNTIF(Pubs!$G$2:$G$3001,A459))</f>
        <v/>
      </c>
      <c r="E459" s="26" t="str">
        <f aca="false">IF(A459="","",COUNTIF(Apparitions!$J$2:$J$5001,A459))</f>
        <v/>
      </c>
    </row>
    <row r="460" customFormat="false" ht="15" hidden="false" customHeight="false" outlineLevel="0" collapsed="false">
      <c r="A460" s="19"/>
      <c r="B460" s="19"/>
      <c r="C460" s="26" t="str">
        <f aca="false">IF(A460="","",COUNTIF(Jeux!$C$2:$C$3001,A460))</f>
        <v/>
      </c>
      <c r="D460" s="26" t="str">
        <f aca="false">IF(A460="","",COUNTIF(Pubs!$G$2:$G$3001,A460))</f>
        <v/>
      </c>
      <c r="E460" s="26" t="str">
        <f aca="false">IF(A460="","",COUNTIF(Apparitions!$J$2:$J$5001,A460))</f>
        <v/>
      </c>
    </row>
    <row r="461" customFormat="false" ht="15" hidden="false" customHeight="false" outlineLevel="0" collapsed="false">
      <c r="A461" s="19"/>
      <c r="B461" s="19"/>
      <c r="C461" s="26" t="str">
        <f aca="false">IF(A461="","",COUNTIF(Jeux!$C$2:$C$3001,A461))</f>
        <v/>
      </c>
      <c r="D461" s="26" t="str">
        <f aca="false">IF(A461="","",COUNTIF(Pubs!$G$2:$G$3001,A461))</f>
        <v/>
      </c>
      <c r="E461" s="26" t="str">
        <f aca="false">IF(A461="","",COUNTIF(Apparitions!$J$2:$J$5001,A461))</f>
        <v/>
      </c>
    </row>
    <row r="462" customFormat="false" ht="15" hidden="false" customHeight="false" outlineLevel="0" collapsed="false">
      <c r="A462" s="19"/>
      <c r="B462" s="19"/>
      <c r="C462" s="26" t="str">
        <f aca="false">IF(A462="","",COUNTIF(Jeux!$C$2:$C$3001,A462))</f>
        <v/>
      </c>
      <c r="D462" s="26" t="str">
        <f aca="false">IF(A462="","",COUNTIF(Pubs!$G$2:$G$3001,A462))</f>
        <v/>
      </c>
      <c r="E462" s="26" t="str">
        <f aca="false">IF(A462="","",COUNTIF(Apparitions!$J$2:$J$5001,A462))</f>
        <v/>
      </c>
    </row>
    <row r="463" customFormat="false" ht="15" hidden="false" customHeight="false" outlineLevel="0" collapsed="false">
      <c r="A463" s="19"/>
      <c r="B463" s="19"/>
      <c r="C463" s="26" t="str">
        <f aca="false">IF(A463="","",COUNTIF(Jeux!$C$2:$C$3001,A463))</f>
        <v/>
      </c>
      <c r="D463" s="26" t="str">
        <f aca="false">IF(A463="","",COUNTIF(Pubs!$G$2:$G$3001,A463))</f>
        <v/>
      </c>
      <c r="E463" s="26" t="str">
        <f aca="false">IF(A463="","",COUNTIF(Apparitions!$J$2:$J$5001,A463))</f>
        <v/>
      </c>
    </row>
    <row r="464" customFormat="false" ht="15" hidden="false" customHeight="false" outlineLevel="0" collapsed="false">
      <c r="A464" s="19"/>
      <c r="B464" s="19"/>
      <c r="C464" s="26" t="str">
        <f aca="false">IF(A464="","",COUNTIF(Jeux!$C$2:$C$3001,A464))</f>
        <v/>
      </c>
      <c r="D464" s="26" t="str">
        <f aca="false">IF(A464="","",COUNTIF(Pubs!$G$2:$G$3001,A464))</f>
        <v/>
      </c>
      <c r="E464" s="26" t="str">
        <f aca="false">IF(A464="","",COUNTIF(Apparitions!$J$2:$J$5001,A464))</f>
        <v/>
      </c>
    </row>
    <row r="465" customFormat="false" ht="15" hidden="false" customHeight="false" outlineLevel="0" collapsed="false">
      <c r="A465" s="19"/>
      <c r="B465" s="19"/>
      <c r="C465" s="26" t="str">
        <f aca="false">IF(A465="","",COUNTIF(Jeux!$C$2:$C$3001,A465))</f>
        <v/>
      </c>
      <c r="D465" s="26" t="str">
        <f aca="false">IF(A465="","",COUNTIF(Pubs!$G$2:$G$3001,A465))</f>
        <v/>
      </c>
      <c r="E465" s="26" t="str">
        <f aca="false">IF(A465="","",COUNTIF(Apparitions!$J$2:$J$5001,A465))</f>
        <v/>
      </c>
    </row>
    <row r="466" customFormat="false" ht="15" hidden="false" customHeight="false" outlineLevel="0" collapsed="false">
      <c r="A466" s="19"/>
      <c r="B466" s="19"/>
      <c r="C466" s="26" t="str">
        <f aca="false">IF(A466="","",COUNTIF(Jeux!$C$2:$C$3001,A466))</f>
        <v/>
      </c>
      <c r="D466" s="26" t="str">
        <f aca="false">IF(A466="","",COUNTIF(Pubs!$G$2:$G$3001,A466))</f>
        <v/>
      </c>
      <c r="E466" s="26" t="str">
        <f aca="false">IF(A466="","",COUNTIF(Apparitions!$J$2:$J$5001,A466))</f>
        <v/>
      </c>
    </row>
    <row r="467" customFormat="false" ht="15" hidden="false" customHeight="false" outlineLevel="0" collapsed="false">
      <c r="A467" s="19"/>
      <c r="B467" s="19"/>
      <c r="C467" s="26" t="str">
        <f aca="false">IF(A467="","",COUNTIF(Jeux!$C$2:$C$3001,A467))</f>
        <v/>
      </c>
      <c r="D467" s="26" t="str">
        <f aca="false">IF(A467="","",COUNTIF(Pubs!$G$2:$G$3001,A467))</f>
        <v/>
      </c>
      <c r="E467" s="26" t="str">
        <f aca="false">IF(A467="","",COUNTIF(Apparitions!$J$2:$J$5001,A467))</f>
        <v/>
      </c>
    </row>
    <row r="468" customFormat="false" ht="15" hidden="false" customHeight="false" outlineLevel="0" collapsed="false">
      <c r="A468" s="19"/>
      <c r="B468" s="19"/>
      <c r="C468" s="26" t="str">
        <f aca="false">IF(A468="","",COUNTIF(Jeux!$C$2:$C$3001,A468))</f>
        <v/>
      </c>
      <c r="D468" s="26" t="str">
        <f aca="false">IF(A468="","",COUNTIF(Pubs!$G$2:$G$3001,A468))</f>
        <v/>
      </c>
      <c r="E468" s="26" t="str">
        <f aca="false">IF(A468="","",COUNTIF(Apparitions!$J$2:$J$5001,A468))</f>
        <v/>
      </c>
    </row>
    <row r="469" customFormat="false" ht="15" hidden="false" customHeight="false" outlineLevel="0" collapsed="false">
      <c r="A469" s="19"/>
      <c r="B469" s="19"/>
      <c r="C469" s="26" t="str">
        <f aca="false">IF(A469="","",COUNTIF(Jeux!$C$2:$C$3001,A469))</f>
        <v/>
      </c>
      <c r="D469" s="26" t="str">
        <f aca="false">IF(A469="","",COUNTIF(Pubs!$G$2:$G$3001,A469))</f>
        <v/>
      </c>
      <c r="E469" s="26" t="str">
        <f aca="false">IF(A469="","",COUNTIF(Apparitions!$J$2:$J$5001,A469))</f>
        <v/>
      </c>
    </row>
    <row r="470" customFormat="false" ht="15" hidden="false" customHeight="false" outlineLevel="0" collapsed="false">
      <c r="A470" s="19"/>
      <c r="B470" s="19"/>
      <c r="C470" s="26" t="str">
        <f aca="false">IF(A470="","",COUNTIF(Jeux!$C$2:$C$3001,A470))</f>
        <v/>
      </c>
      <c r="D470" s="26" t="str">
        <f aca="false">IF(A470="","",COUNTIF(Pubs!$G$2:$G$3001,A470))</f>
        <v/>
      </c>
      <c r="E470" s="26" t="str">
        <f aca="false">IF(A470="","",COUNTIF(Apparitions!$J$2:$J$5001,A470))</f>
        <v/>
      </c>
    </row>
    <row r="471" customFormat="false" ht="15" hidden="false" customHeight="false" outlineLevel="0" collapsed="false">
      <c r="A471" s="19"/>
      <c r="B471" s="19"/>
      <c r="C471" s="26" t="str">
        <f aca="false">IF(A471="","",COUNTIF(Jeux!$C$2:$C$3001,A471))</f>
        <v/>
      </c>
      <c r="D471" s="26" t="str">
        <f aca="false">IF(A471="","",COUNTIF(Pubs!$G$2:$G$3001,A471))</f>
        <v/>
      </c>
      <c r="E471" s="26" t="str">
        <f aca="false">IF(A471="","",COUNTIF(Apparitions!$J$2:$J$5001,A471))</f>
        <v/>
      </c>
    </row>
    <row r="472" customFormat="false" ht="15" hidden="false" customHeight="false" outlineLevel="0" collapsed="false">
      <c r="A472" s="19"/>
      <c r="B472" s="19"/>
      <c r="C472" s="26" t="str">
        <f aca="false">IF(A472="","",COUNTIF(Jeux!$C$2:$C$3001,A472))</f>
        <v/>
      </c>
      <c r="D472" s="26" t="str">
        <f aca="false">IF(A472="","",COUNTIF(Pubs!$G$2:$G$3001,A472))</f>
        <v/>
      </c>
      <c r="E472" s="26" t="str">
        <f aca="false">IF(A472="","",COUNTIF(Apparitions!$J$2:$J$5001,A472))</f>
        <v/>
      </c>
    </row>
    <row r="473" customFormat="false" ht="15" hidden="false" customHeight="false" outlineLevel="0" collapsed="false">
      <c r="A473" s="19"/>
      <c r="B473" s="19"/>
      <c r="C473" s="26" t="str">
        <f aca="false">IF(A473="","",COUNTIF(Jeux!$C$2:$C$3001,A473))</f>
        <v/>
      </c>
      <c r="D473" s="26" t="str">
        <f aca="false">IF(A473="","",COUNTIF(Pubs!$G$2:$G$3001,A473))</f>
        <v/>
      </c>
      <c r="E473" s="26" t="str">
        <f aca="false">IF(A473="","",COUNTIF(Apparitions!$J$2:$J$5001,A473))</f>
        <v/>
      </c>
    </row>
    <row r="474" customFormat="false" ht="15" hidden="false" customHeight="false" outlineLevel="0" collapsed="false">
      <c r="A474" s="19"/>
      <c r="B474" s="19"/>
      <c r="C474" s="26" t="str">
        <f aca="false">IF(A474="","",COUNTIF(Jeux!$C$2:$C$3001,A474))</f>
        <v/>
      </c>
      <c r="D474" s="26" t="str">
        <f aca="false">IF(A474="","",COUNTIF(Pubs!$G$2:$G$3001,A474))</f>
        <v/>
      </c>
      <c r="E474" s="26" t="str">
        <f aca="false">IF(A474="","",COUNTIF(Apparitions!$J$2:$J$5001,A474))</f>
        <v/>
      </c>
    </row>
    <row r="475" customFormat="false" ht="15" hidden="false" customHeight="false" outlineLevel="0" collapsed="false">
      <c r="A475" s="19"/>
      <c r="B475" s="19"/>
      <c r="C475" s="26" t="str">
        <f aca="false">IF(A475="","",COUNTIF(Jeux!$C$2:$C$3001,A475))</f>
        <v/>
      </c>
      <c r="D475" s="26" t="str">
        <f aca="false">IF(A475="","",COUNTIF(Pubs!$G$2:$G$3001,A475))</f>
        <v/>
      </c>
      <c r="E475" s="26" t="str">
        <f aca="false">IF(A475="","",COUNTIF(Apparitions!$J$2:$J$5001,A475))</f>
        <v/>
      </c>
    </row>
    <row r="476" customFormat="false" ht="15" hidden="false" customHeight="false" outlineLevel="0" collapsed="false">
      <c r="A476" s="19"/>
      <c r="B476" s="19"/>
      <c r="C476" s="26" t="str">
        <f aca="false">IF(A476="","",COUNTIF(Jeux!$C$2:$C$3001,A476))</f>
        <v/>
      </c>
      <c r="D476" s="26" t="str">
        <f aca="false">IF(A476="","",COUNTIF(Pubs!$G$2:$G$3001,A476))</f>
        <v/>
      </c>
      <c r="E476" s="26" t="str">
        <f aca="false">IF(A476="","",COUNTIF(Apparitions!$J$2:$J$5001,A476))</f>
        <v/>
      </c>
    </row>
    <row r="477" customFormat="false" ht="15" hidden="false" customHeight="false" outlineLevel="0" collapsed="false">
      <c r="A477" s="19"/>
      <c r="B477" s="19"/>
      <c r="C477" s="26" t="str">
        <f aca="false">IF(A477="","",COUNTIF(Jeux!$C$2:$C$3001,A477))</f>
        <v/>
      </c>
      <c r="D477" s="26" t="str">
        <f aca="false">IF(A477="","",COUNTIF(Pubs!$G$2:$G$3001,A477))</f>
        <v/>
      </c>
      <c r="E477" s="26" t="str">
        <f aca="false">IF(A477="","",COUNTIF(Apparitions!$J$2:$J$5001,A477))</f>
        <v/>
      </c>
    </row>
    <row r="478" customFormat="false" ht="15" hidden="false" customHeight="false" outlineLevel="0" collapsed="false">
      <c r="A478" s="19"/>
      <c r="B478" s="19"/>
      <c r="C478" s="26" t="str">
        <f aca="false">IF(A478="","",COUNTIF(Jeux!$C$2:$C$3001,A478))</f>
        <v/>
      </c>
      <c r="D478" s="26" t="str">
        <f aca="false">IF(A478="","",COUNTIF(Pubs!$G$2:$G$3001,A478))</f>
        <v/>
      </c>
      <c r="E478" s="26" t="str">
        <f aca="false">IF(A478="","",COUNTIF(Apparitions!$J$2:$J$5001,A478))</f>
        <v/>
      </c>
    </row>
    <row r="479" customFormat="false" ht="15" hidden="false" customHeight="false" outlineLevel="0" collapsed="false">
      <c r="A479" s="19"/>
      <c r="B479" s="19"/>
      <c r="C479" s="26" t="str">
        <f aca="false">IF(A479="","",COUNTIF(Jeux!$C$2:$C$3001,A479))</f>
        <v/>
      </c>
      <c r="D479" s="26" t="str">
        <f aca="false">IF(A479="","",COUNTIF(Pubs!$G$2:$G$3001,A479))</f>
        <v/>
      </c>
      <c r="E479" s="26" t="str">
        <f aca="false">IF(A479="","",COUNTIF(Apparitions!$J$2:$J$5001,A479))</f>
        <v/>
      </c>
    </row>
    <row r="480" customFormat="false" ht="15" hidden="false" customHeight="false" outlineLevel="0" collapsed="false">
      <c r="A480" s="19"/>
      <c r="B480" s="19"/>
      <c r="C480" s="26" t="str">
        <f aca="false">IF(A480="","",COUNTIF(Jeux!$C$2:$C$3001,A480))</f>
        <v/>
      </c>
      <c r="D480" s="26" t="str">
        <f aca="false">IF(A480="","",COUNTIF(Pubs!$G$2:$G$3001,A480))</f>
        <v/>
      </c>
      <c r="E480" s="26" t="str">
        <f aca="false">IF(A480="","",COUNTIF(Apparitions!$J$2:$J$5001,A480))</f>
        <v/>
      </c>
    </row>
    <row r="481" customFormat="false" ht="15" hidden="false" customHeight="false" outlineLevel="0" collapsed="false">
      <c r="A481" s="19"/>
      <c r="B481" s="19"/>
      <c r="C481" s="26" t="str">
        <f aca="false">IF(A481="","",COUNTIF(Jeux!$C$2:$C$3001,A481))</f>
        <v/>
      </c>
      <c r="D481" s="26" t="str">
        <f aca="false">IF(A481="","",COUNTIF(Pubs!$G$2:$G$3001,A481))</f>
        <v/>
      </c>
      <c r="E481" s="26" t="str">
        <f aca="false">IF(A481="","",COUNTIF(Apparitions!$J$2:$J$5001,A481))</f>
        <v/>
      </c>
    </row>
    <row r="482" customFormat="false" ht="15" hidden="false" customHeight="false" outlineLevel="0" collapsed="false">
      <c r="A482" s="19"/>
      <c r="B482" s="19"/>
      <c r="C482" s="26" t="str">
        <f aca="false">IF(A482="","",COUNTIF(Jeux!$C$2:$C$3001,A482))</f>
        <v/>
      </c>
      <c r="D482" s="26" t="str">
        <f aca="false">IF(A482="","",COUNTIF(Pubs!$G$2:$G$3001,A482))</f>
        <v/>
      </c>
      <c r="E482" s="26" t="str">
        <f aca="false">IF(A482="","",COUNTIF(Apparitions!$J$2:$J$5001,A482))</f>
        <v/>
      </c>
    </row>
    <row r="483" customFormat="false" ht="15" hidden="false" customHeight="false" outlineLevel="0" collapsed="false">
      <c r="A483" s="19"/>
      <c r="B483" s="19"/>
      <c r="C483" s="26" t="str">
        <f aca="false">IF(A483="","",COUNTIF(Jeux!$C$2:$C$3001,A483))</f>
        <v/>
      </c>
      <c r="D483" s="26" t="str">
        <f aca="false">IF(A483="","",COUNTIF(Pubs!$G$2:$G$3001,A483))</f>
        <v/>
      </c>
      <c r="E483" s="26" t="str">
        <f aca="false">IF(A483="","",COUNTIF(Apparitions!$J$2:$J$5001,A483))</f>
        <v/>
      </c>
    </row>
    <row r="484" customFormat="false" ht="15" hidden="false" customHeight="false" outlineLevel="0" collapsed="false">
      <c r="A484" s="19"/>
      <c r="B484" s="19"/>
      <c r="C484" s="26" t="str">
        <f aca="false">IF(A484="","",COUNTIF(Jeux!$C$2:$C$3001,A484))</f>
        <v/>
      </c>
      <c r="D484" s="26" t="str">
        <f aca="false">IF(A484="","",COUNTIF(Pubs!$G$2:$G$3001,A484))</f>
        <v/>
      </c>
      <c r="E484" s="26" t="str">
        <f aca="false">IF(A484="","",COUNTIF(Apparitions!$J$2:$J$5001,A484))</f>
        <v/>
      </c>
    </row>
    <row r="485" customFormat="false" ht="15" hidden="false" customHeight="false" outlineLevel="0" collapsed="false">
      <c r="A485" s="19"/>
      <c r="B485" s="19"/>
      <c r="C485" s="26" t="str">
        <f aca="false">IF(A485="","",COUNTIF(Jeux!$C$2:$C$3001,A485))</f>
        <v/>
      </c>
      <c r="D485" s="26" t="str">
        <f aca="false">IF(A485="","",COUNTIF(Pubs!$G$2:$G$3001,A485))</f>
        <v/>
      </c>
      <c r="E485" s="26" t="str">
        <f aca="false">IF(A485="","",COUNTIF(Apparitions!$J$2:$J$5001,A485))</f>
        <v/>
      </c>
    </row>
    <row r="486" customFormat="false" ht="15" hidden="false" customHeight="false" outlineLevel="0" collapsed="false">
      <c r="A486" s="19"/>
      <c r="B486" s="19"/>
      <c r="C486" s="26" t="str">
        <f aca="false">IF(A486="","",COUNTIF(Jeux!$C$2:$C$3001,A486))</f>
        <v/>
      </c>
      <c r="D486" s="26" t="str">
        <f aca="false">IF(A486="","",COUNTIF(Pubs!$G$2:$G$3001,A486))</f>
        <v/>
      </c>
      <c r="E486" s="26" t="str">
        <f aca="false">IF(A486="","",COUNTIF(Apparitions!$J$2:$J$5001,A486))</f>
        <v/>
      </c>
    </row>
    <row r="487" customFormat="false" ht="15" hidden="false" customHeight="false" outlineLevel="0" collapsed="false">
      <c r="A487" s="19"/>
      <c r="B487" s="19"/>
      <c r="C487" s="26" t="str">
        <f aca="false">IF(A487="","",COUNTIF(Jeux!$C$2:$C$3001,A487))</f>
        <v/>
      </c>
      <c r="D487" s="26" t="str">
        <f aca="false">IF(A487="","",COUNTIF(Pubs!$G$2:$G$3001,A487))</f>
        <v/>
      </c>
      <c r="E487" s="26" t="str">
        <f aca="false">IF(A487="","",COUNTIF(Apparitions!$J$2:$J$5001,A487))</f>
        <v/>
      </c>
    </row>
    <row r="488" customFormat="false" ht="15" hidden="false" customHeight="false" outlineLevel="0" collapsed="false">
      <c r="A488" s="19"/>
      <c r="B488" s="19"/>
      <c r="C488" s="26" t="str">
        <f aca="false">IF(A488="","",COUNTIF(Jeux!$C$2:$C$3001,A488))</f>
        <v/>
      </c>
      <c r="D488" s="26" t="str">
        <f aca="false">IF(A488="","",COUNTIF(Pubs!$G$2:$G$3001,A488))</f>
        <v/>
      </c>
      <c r="E488" s="26" t="str">
        <f aca="false">IF(A488="","",COUNTIF(Apparitions!$J$2:$J$5001,A488))</f>
        <v/>
      </c>
    </row>
    <row r="489" customFormat="false" ht="15" hidden="false" customHeight="false" outlineLevel="0" collapsed="false">
      <c r="A489" s="19"/>
      <c r="B489" s="19"/>
      <c r="C489" s="26" t="str">
        <f aca="false">IF(A489="","",COUNTIF(Jeux!$C$2:$C$3001,A489))</f>
        <v/>
      </c>
      <c r="D489" s="26" t="str">
        <f aca="false">IF(A489="","",COUNTIF(Pubs!$G$2:$G$3001,A489))</f>
        <v/>
      </c>
      <c r="E489" s="26" t="str">
        <f aca="false">IF(A489="","",COUNTIF(Apparitions!$J$2:$J$5001,A489))</f>
        <v/>
      </c>
    </row>
    <row r="490" customFormat="false" ht="15" hidden="false" customHeight="false" outlineLevel="0" collapsed="false">
      <c r="A490" s="19"/>
      <c r="B490" s="19"/>
      <c r="C490" s="26" t="str">
        <f aca="false">IF(A490="","",COUNTIF(Jeux!$C$2:$C$3001,A490))</f>
        <v/>
      </c>
      <c r="D490" s="26" t="str">
        <f aca="false">IF(A490="","",COUNTIF(Pubs!$G$2:$G$3001,A490))</f>
        <v/>
      </c>
      <c r="E490" s="26" t="str">
        <f aca="false">IF(A490="","",COUNTIF(Apparitions!$J$2:$J$5001,A490))</f>
        <v/>
      </c>
    </row>
    <row r="491" customFormat="false" ht="15" hidden="false" customHeight="false" outlineLevel="0" collapsed="false">
      <c r="A491" s="19"/>
      <c r="B491" s="19"/>
      <c r="C491" s="26" t="str">
        <f aca="false">IF(A491="","",COUNTIF(Jeux!$C$2:$C$3001,A491))</f>
        <v/>
      </c>
      <c r="D491" s="26" t="str">
        <f aca="false">IF(A491="","",COUNTIF(Pubs!$G$2:$G$3001,A491))</f>
        <v/>
      </c>
      <c r="E491" s="26" t="str">
        <f aca="false">IF(A491="","",COUNTIF(Apparitions!$J$2:$J$5001,A491))</f>
        <v/>
      </c>
    </row>
    <row r="492" customFormat="false" ht="15" hidden="false" customHeight="false" outlineLevel="0" collapsed="false">
      <c r="A492" s="19"/>
      <c r="B492" s="19"/>
      <c r="C492" s="26" t="str">
        <f aca="false">IF(A492="","",COUNTIF(Jeux!$C$2:$C$3001,A492))</f>
        <v/>
      </c>
      <c r="D492" s="26" t="str">
        <f aca="false">IF(A492="","",COUNTIF(Pubs!$G$2:$G$3001,A492))</f>
        <v/>
      </c>
      <c r="E492" s="26" t="str">
        <f aca="false">IF(A492="","",COUNTIF(Apparitions!$J$2:$J$5001,A492))</f>
        <v/>
      </c>
    </row>
    <row r="493" customFormat="false" ht="15" hidden="false" customHeight="false" outlineLevel="0" collapsed="false">
      <c r="A493" s="19"/>
      <c r="B493" s="19"/>
      <c r="C493" s="26" t="str">
        <f aca="false">IF(A493="","",COUNTIF(Jeux!$C$2:$C$3001,A493))</f>
        <v/>
      </c>
      <c r="D493" s="26" t="str">
        <f aca="false">IF(A493="","",COUNTIF(Pubs!$G$2:$G$3001,A493))</f>
        <v/>
      </c>
      <c r="E493" s="26" t="str">
        <f aca="false">IF(A493="","",COUNTIF(Apparitions!$J$2:$J$5001,A493))</f>
        <v/>
      </c>
    </row>
    <row r="494" customFormat="false" ht="15" hidden="false" customHeight="false" outlineLevel="0" collapsed="false">
      <c r="A494" s="19"/>
      <c r="B494" s="19"/>
      <c r="C494" s="26" t="str">
        <f aca="false">IF(A494="","",COUNTIF(Jeux!$C$2:$C$3001,A494))</f>
        <v/>
      </c>
      <c r="D494" s="26" t="str">
        <f aca="false">IF(A494="","",COUNTIF(Pubs!$G$2:$G$3001,A494))</f>
        <v/>
      </c>
      <c r="E494" s="26" t="str">
        <f aca="false">IF(A494="","",COUNTIF(Apparitions!$J$2:$J$5001,A494))</f>
        <v/>
      </c>
    </row>
    <row r="495" customFormat="false" ht="15" hidden="false" customHeight="false" outlineLevel="0" collapsed="false">
      <c r="A495" s="19"/>
      <c r="B495" s="19"/>
      <c r="C495" s="26" t="str">
        <f aca="false">IF(A495="","",COUNTIF(Jeux!$C$2:$C$3001,A495))</f>
        <v/>
      </c>
      <c r="D495" s="26" t="str">
        <f aca="false">IF(A495="","",COUNTIF(Pubs!$G$2:$G$3001,A495))</f>
        <v/>
      </c>
      <c r="E495" s="26" t="str">
        <f aca="false">IF(A495="","",COUNTIF(Apparitions!$J$2:$J$5001,A495))</f>
        <v/>
      </c>
    </row>
    <row r="496" customFormat="false" ht="15" hidden="false" customHeight="false" outlineLevel="0" collapsed="false">
      <c r="A496" s="19"/>
      <c r="B496" s="19"/>
      <c r="C496" s="26" t="str">
        <f aca="false">IF(A496="","",COUNTIF(Jeux!$C$2:$C$3001,A496))</f>
        <v/>
      </c>
      <c r="D496" s="26" t="str">
        <f aca="false">IF(A496="","",COUNTIF(Pubs!$G$2:$G$3001,A496))</f>
        <v/>
      </c>
      <c r="E496" s="26" t="str">
        <f aca="false">IF(A496="","",COUNTIF(Apparitions!$J$2:$J$5001,A496))</f>
        <v/>
      </c>
    </row>
    <row r="497" customFormat="false" ht="15" hidden="false" customHeight="false" outlineLevel="0" collapsed="false">
      <c r="A497" s="19"/>
      <c r="B497" s="19"/>
      <c r="C497" s="26" t="str">
        <f aca="false">IF(A497="","",COUNTIF(Jeux!$C$2:$C$3001,A497))</f>
        <v/>
      </c>
      <c r="D497" s="26" t="str">
        <f aca="false">IF(A497="","",COUNTIF(Pubs!$G$2:$G$3001,A497))</f>
        <v/>
      </c>
      <c r="E497" s="26" t="str">
        <f aca="false">IF(A497="","",COUNTIF(Apparitions!$J$2:$J$5001,A497))</f>
        <v/>
      </c>
    </row>
    <row r="498" customFormat="false" ht="15" hidden="false" customHeight="false" outlineLevel="0" collapsed="false">
      <c r="A498" s="19"/>
      <c r="B498" s="19"/>
      <c r="C498" s="26" t="str">
        <f aca="false">IF(A498="","",COUNTIF(Jeux!$C$2:$C$3001,A498))</f>
        <v/>
      </c>
      <c r="D498" s="26" t="str">
        <f aca="false">IF(A498="","",COUNTIF(Pubs!$G$2:$G$3001,A498))</f>
        <v/>
      </c>
      <c r="E498" s="26" t="str">
        <f aca="false">IF(A498="","",COUNTIF(Apparitions!$J$2:$J$5001,A498))</f>
        <v/>
      </c>
    </row>
    <row r="499" customFormat="false" ht="15" hidden="false" customHeight="false" outlineLevel="0" collapsed="false">
      <c r="A499" s="19"/>
      <c r="B499" s="19"/>
      <c r="C499" s="26" t="str">
        <f aca="false">IF(A499="","",COUNTIF(Jeux!$C$2:$C$3001,A499))</f>
        <v/>
      </c>
      <c r="D499" s="26" t="str">
        <f aca="false">IF(A499="","",COUNTIF(Pubs!$G$2:$G$3001,A499))</f>
        <v/>
      </c>
      <c r="E499" s="26" t="str">
        <f aca="false">IF(A499="","",COUNTIF(Apparitions!$J$2:$J$5001,A499))</f>
        <v/>
      </c>
    </row>
    <row r="500" customFormat="false" ht="15" hidden="false" customHeight="false" outlineLevel="0" collapsed="false">
      <c r="A500" s="19"/>
      <c r="B500" s="19"/>
      <c r="C500" s="26" t="str">
        <f aca="false">IF(A500="","",COUNTIF(Jeux!$C$2:$C$3001,A500))</f>
        <v/>
      </c>
      <c r="D500" s="26" t="str">
        <f aca="false">IF(A500="","",COUNTIF(Pubs!$G$2:$G$3001,A500))</f>
        <v/>
      </c>
      <c r="E500" s="26" t="str">
        <f aca="false">IF(A500="","",COUNTIF(Apparitions!$J$2:$J$5001,A500))</f>
        <v/>
      </c>
    </row>
    <row r="501" customFormat="false" ht="15" hidden="false" customHeight="false" outlineLevel="0" collapsed="false">
      <c r="A501" s="19"/>
      <c r="B501" s="19"/>
      <c r="C501" s="26" t="str">
        <f aca="false">IF(A501="","",COUNTIF(Jeux!$C$2:$C$3001,A501))</f>
        <v/>
      </c>
      <c r="D501" s="26" t="str">
        <f aca="false">IF(A501="","",COUNTIF(Pubs!$G$2:$G$3001,A501))</f>
        <v/>
      </c>
      <c r="E501" s="26" t="str">
        <f aca="false">IF(A501="","",COUNTIF(Apparitions!$J$2:$J$5001,A501))</f>
        <v/>
      </c>
    </row>
    <row r="502" customFormat="false" ht="15" hidden="false" customHeight="false" outlineLevel="0" collapsed="false">
      <c r="A502" s="19"/>
      <c r="B502" s="19"/>
      <c r="C502" s="26" t="str">
        <f aca="false">IF(A502="","",COUNTIF(Jeux!$C$2:$C$3001,A502))</f>
        <v/>
      </c>
      <c r="D502" s="26" t="str">
        <f aca="false">IF(A502="","",COUNTIF(Pubs!$G$2:$G$3001,A502))</f>
        <v/>
      </c>
      <c r="E502" s="26" t="str">
        <f aca="false">IF(A502="","",COUNTIF(Apparitions!$J$2:$J$5001,A502))</f>
        <v/>
      </c>
    </row>
    <row r="503" customFormat="false" ht="15" hidden="false" customHeight="false" outlineLevel="0" collapsed="false">
      <c r="A503" s="19"/>
      <c r="B503" s="19"/>
      <c r="C503" s="26" t="str">
        <f aca="false">IF(A503="","",COUNTIF(Jeux!$C$2:$C$3001,A503))</f>
        <v/>
      </c>
      <c r="D503" s="26" t="str">
        <f aca="false">IF(A503="","",COUNTIF(Pubs!$G$2:$G$3001,A503))</f>
        <v/>
      </c>
      <c r="E503" s="26" t="str">
        <f aca="false">IF(A503="","",COUNTIF(Apparitions!$J$2:$J$5001,A503))</f>
        <v/>
      </c>
    </row>
    <row r="504" customFormat="false" ht="15" hidden="false" customHeight="false" outlineLevel="0" collapsed="false">
      <c r="A504" s="19"/>
      <c r="B504" s="19"/>
      <c r="C504" s="26" t="str">
        <f aca="false">IF(A504="","",COUNTIF(Jeux!$C$2:$C$3001,A504))</f>
        <v/>
      </c>
      <c r="D504" s="26" t="str">
        <f aca="false">IF(A504="","",COUNTIF(Pubs!$G$2:$G$3001,A504))</f>
        <v/>
      </c>
      <c r="E504" s="26" t="str">
        <f aca="false">IF(A504="","",COUNTIF(Apparitions!$J$2:$J$5001,A504))</f>
        <v/>
      </c>
    </row>
    <row r="505" customFormat="false" ht="15" hidden="false" customHeight="false" outlineLevel="0" collapsed="false">
      <c r="A505" s="19"/>
      <c r="B505" s="19"/>
      <c r="C505" s="26" t="str">
        <f aca="false">IF(A505="","",COUNTIF(Jeux!$C$2:$C$3001,A505))</f>
        <v/>
      </c>
      <c r="D505" s="26" t="str">
        <f aca="false">IF(A505="","",COUNTIF(Pubs!$G$2:$G$3001,A505))</f>
        <v/>
      </c>
      <c r="E505" s="26" t="str">
        <f aca="false">IF(A505="","",COUNTIF(Apparitions!$J$2:$J$5001,A505))</f>
        <v/>
      </c>
    </row>
    <row r="506" customFormat="false" ht="15" hidden="false" customHeight="false" outlineLevel="0" collapsed="false">
      <c r="A506" s="19"/>
      <c r="B506" s="19"/>
      <c r="C506" s="26" t="str">
        <f aca="false">IF(A506="","",COUNTIF(Jeux!$C$2:$C$3001,A506))</f>
        <v/>
      </c>
      <c r="D506" s="26" t="str">
        <f aca="false">IF(A506="","",COUNTIF(Pubs!$G$2:$G$3001,A506))</f>
        <v/>
      </c>
      <c r="E506" s="26" t="str">
        <f aca="false">IF(A506="","",COUNTIF(Apparitions!$J$2:$J$5001,A506))</f>
        <v/>
      </c>
    </row>
    <row r="507" customFormat="false" ht="15" hidden="false" customHeight="false" outlineLevel="0" collapsed="false">
      <c r="A507" s="19"/>
      <c r="B507" s="19"/>
      <c r="C507" s="26" t="str">
        <f aca="false">IF(A507="","",COUNTIF(Jeux!$C$2:$C$3001,A507))</f>
        <v/>
      </c>
      <c r="D507" s="26" t="str">
        <f aca="false">IF(A507="","",COUNTIF(Pubs!$G$2:$G$3001,A507))</f>
        <v/>
      </c>
      <c r="E507" s="26" t="str">
        <f aca="false">IF(A507="","",COUNTIF(Apparitions!$J$2:$J$5001,A507))</f>
        <v/>
      </c>
    </row>
    <row r="508" customFormat="false" ht="15" hidden="false" customHeight="false" outlineLevel="0" collapsed="false">
      <c r="A508" s="19"/>
      <c r="B508" s="19"/>
      <c r="C508" s="26" t="str">
        <f aca="false">IF(A508="","",COUNTIF(Jeux!$C$2:$C$3001,A508))</f>
        <v/>
      </c>
      <c r="D508" s="26" t="str">
        <f aca="false">IF(A508="","",COUNTIF(Pubs!$G$2:$G$3001,A508))</f>
        <v/>
      </c>
      <c r="E508" s="26" t="str">
        <f aca="false">IF(A508="","",COUNTIF(Apparitions!$J$2:$J$5001,A508))</f>
        <v/>
      </c>
    </row>
    <row r="509" customFormat="false" ht="15" hidden="false" customHeight="false" outlineLevel="0" collapsed="false">
      <c r="A509" s="19"/>
      <c r="B509" s="19"/>
      <c r="C509" s="26" t="str">
        <f aca="false">IF(A509="","",COUNTIF(Jeux!$C$2:$C$3001,A509))</f>
        <v/>
      </c>
      <c r="D509" s="26" t="str">
        <f aca="false">IF(A509="","",COUNTIF(Pubs!$G$2:$G$3001,A509))</f>
        <v/>
      </c>
      <c r="E509" s="26" t="str">
        <f aca="false">IF(A509="","",COUNTIF(Apparitions!$J$2:$J$5001,A509))</f>
        <v/>
      </c>
    </row>
    <row r="510" customFormat="false" ht="15" hidden="false" customHeight="false" outlineLevel="0" collapsed="false">
      <c r="A510" s="19"/>
      <c r="B510" s="19"/>
      <c r="C510" s="26" t="str">
        <f aca="false">IF(A510="","",COUNTIF(Jeux!$C$2:$C$3001,A510))</f>
        <v/>
      </c>
      <c r="D510" s="26" t="str">
        <f aca="false">IF(A510="","",COUNTIF(Pubs!$G$2:$G$3001,A510))</f>
        <v/>
      </c>
      <c r="E510" s="26" t="str">
        <f aca="false">IF(A510="","",COUNTIF(Apparitions!$J$2:$J$5001,A510))</f>
        <v/>
      </c>
    </row>
    <row r="511" customFormat="false" ht="15" hidden="false" customHeight="false" outlineLevel="0" collapsed="false">
      <c r="A511" s="19"/>
      <c r="B511" s="19"/>
      <c r="C511" s="26" t="str">
        <f aca="false">IF(A511="","",COUNTIF(Jeux!$C$2:$C$3001,A511))</f>
        <v/>
      </c>
      <c r="D511" s="26" t="str">
        <f aca="false">IF(A511="","",COUNTIF(Pubs!$G$2:$G$3001,A511))</f>
        <v/>
      </c>
      <c r="E511" s="26" t="str">
        <f aca="false">IF(A511="","",COUNTIF(Apparitions!$J$2:$J$5001,A511))</f>
        <v/>
      </c>
    </row>
    <row r="512" customFormat="false" ht="15" hidden="false" customHeight="false" outlineLevel="0" collapsed="false">
      <c r="A512" s="19"/>
      <c r="B512" s="19"/>
      <c r="C512" s="26" t="str">
        <f aca="false">IF(A512="","",COUNTIF(Jeux!$C$2:$C$3001,A512))</f>
        <v/>
      </c>
      <c r="D512" s="26" t="str">
        <f aca="false">IF(A512="","",COUNTIF(Pubs!$G$2:$G$3001,A512))</f>
        <v/>
      </c>
      <c r="E512" s="26" t="str">
        <f aca="false">IF(A512="","",COUNTIF(Apparitions!$J$2:$J$5001,A512))</f>
        <v/>
      </c>
    </row>
    <row r="513" customFormat="false" ht="15" hidden="false" customHeight="false" outlineLevel="0" collapsed="false">
      <c r="A513" s="19"/>
      <c r="B513" s="19"/>
      <c r="C513" s="26" t="str">
        <f aca="false">IF(A513="","",COUNTIF(Jeux!$C$2:$C$3001,A513))</f>
        <v/>
      </c>
      <c r="D513" s="26" t="str">
        <f aca="false">IF(A513="","",COUNTIF(Pubs!$G$2:$G$3001,A513))</f>
        <v/>
      </c>
      <c r="E513" s="26" t="str">
        <f aca="false">IF(A513="","",COUNTIF(Apparitions!$J$2:$J$5001,A513))</f>
        <v/>
      </c>
    </row>
    <row r="514" customFormat="false" ht="15" hidden="false" customHeight="false" outlineLevel="0" collapsed="false">
      <c r="A514" s="19"/>
      <c r="B514" s="19"/>
      <c r="C514" s="26" t="str">
        <f aca="false">IF(A514="","",COUNTIF(Jeux!$C$2:$C$3001,A514))</f>
        <v/>
      </c>
      <c r="D514" s="26" t="str">
        <f aca="false">IF(A514="","",COUNTIF(Pubs!$G$2:$G$3001,A514))</f>
        <v/>
      </c>
      <c r="E514" s="26" t="str">
        <f aca="false">IF(A514="","",COUNTIF(Apparitions!$J$2:$J$5001,A514))</f>
        <v/>
      </c>
    </row>
    <row r="515" customFormat="false" ht="15" hidden="false" customHeight="false" outlineLevel="0" collapsed="false">
      <c r="A515" s="19"/>
      <c r="B515" s="19"/>
      <c r="C515" s="26" t="str">
        <f aca="false">IF(A515="","",COUNTIF(Jeux!$C$2:$C$3001,A515))</f>
        <v/>
      </c>
      <c r="D515" s="26" t="str">
        <f aca="false">IF(A515="","",COUNTIF(Pubs!$G$2:$G$3001,A515))</f>
        <v/>
      </c>
      <c r="E515" s="26" t="str">
        <f aca="false">IF(A515="","",COUNTIF(Apparitions!$J$2:$J$5001,A515))</f>
        <v/>
      </c>
    </row>
    <row r="516" customFormat="false" ht="15" hidden="false" customHeight="false" outlineLevel="0" collapsed="false">
      <c r="A516" s="19"/>
      <c r="B516" s="19"/>
      <c r="C516" s="26" t="str">
        <f aca="false">IF(A516="","",COUNTIF(Jeux!$C$2:$C$3001,A516))</f>
        <v/>
      </c>
      <c r="D516" s="26" t="str">
        <f aca="false">IF(A516="","",COUNTIF(Pubs!$G$2:$G$3001,A516))</f>
        <v/>
      </c>
      <c r="E516" s="26" t="str">
        <f aca="false">IF(A516="","",COUNTIF(Apparitions!$J$2:$J$5001,A516))</f>
        <v/>
      </c>
    </row>
    <row r="517" customFormat="false" ht="15" hidden="false" customHeight="false" outlineLevel="0" collapsed="false">
      <c r="A517" s="19"/>
      <c r="B517" s="19"/>
      <c r="C517" s="26" t="str">
        <f aca="false">IF(A517="","",COUNTIF(Jeux!$C$2:$C$3001,A517))</f>
        <v/>
      </c>
      <c r="D517" s="26" t="str">
        <f aca="false">IF(A517="","",COUNTIF(Pubs!$G$2:$G$3001,A517))</f>
        <v/>
      </c>
      <c r="E517" s="26" t="str">
        <f aca="false">IF(A517="","",COUNTIF(Apparitions!$J$2:$J$5001,A517))</f>
        <v/>
      </c>
    </row>
    <row r="518" customFormat="false" ht="15" hidden="false" customHeight="false" outlineLevel="0" collapsed="false">
      <c r="A518" s="19"/>
      <c r="B518" s="19"/>
      <c r="C518" s="26" t="str">
        <f aca="false">IF(A518="","",COUNTIF(Jeux!$C$2:$C$3001,A518))</f>
        <v/>
      </c>
      <c r="D518" s="26" t="str">
        <f aca="false">IF(A518="","",COUNTIF(Pubs!$G$2:$G$3001,A518))</f>
        <v/>
      </c>
      <c r="E518" s="26" t="str">
        <f aca="false">IF(A518="","",COUNTIF(Apparitions!$J$2:$J$5001,A518))</f>
        <v/>
      </c>
    </row>
    <row r="519" customFormat="false" ht="15" hidden="false" customHeight="false" outlineLevel="0" collapsed="false">
      <c r="A519" s="19"/>
      <c r="B519" s="19"/>
      <c r="C519" s="26" t="str">
        <f aca="false">IF(A519="","",COUNTIF(Jeux!$C$2:$C$3001,A519))</f>
        <v/>
      </c>
      <c r="D519" s="26" t="str">
        <f aca="false">IF(A519="","",COUNTIF(Pubs!$G$2:$G$3001,A519))</f>
        <v/>
      </c>
      <c r="E519" s="26" t="str">
        <f aca="false">IF(A519="","",COUNTIF(Apparitions!$J$2:$J$5001,A519))</f>
        <v/>
      </c>
    </row>
    <row r="520" customFormat="false" ht="15" hidden="false" customHeight="false" outlineLevel="0" collapsed="false">
      <c r="A520" s="19"/>
      <c r="B520" s="19"/>
      <c r="C520" s="26" t="str">
        <f aca="false">IF(A520="","",COUNTIF(Jeux!$C$2:$C$3001,A520))</f>
        <v/>
      </c>
      <c r="D520" s="26" t="str">
        <f aca="false">IF(A520="","",COUNTIF(Pubs!$G$2:$G$3001,A520))</f>
        <v/>
      </c>
      <c r="E520" s="26" t="str">
        <f aca="false">IF(A520="","",COUNTIF(Apparitions!$J$2:$J$5001,A520))</f>
        <v/>
      </c>
    </row>
    <row r="521" customFormat="false" ht="15" hidden="false" customHeight="false" outlineLevel="0" collapsed="false">
      <c r="A521" s="19"/>
      <c r="B521" s="19"/>
      <c r="C521" s="26" t="str">
        <f aca="false">IF(A521="","",COUNTIF(Jeux!$C$2:$C$3001,A521))</f>
        <v/>
      </c>
      <c r="D521" s="26" t="str">
        <f aca="false">IF(A521="","",COUNTIF(Pubs!$G$2:$G$3001,A521))</f>
        <v/>
      </c>
      <c r="E521" s="26" t="str">
        <f aca="false">IF(A521="","",COUNTIF(Apparitions!$J$2:$J$5001,A521))</f>
        <v/>
      </c>
    </row>
    <row r="522" customFormat="false" ht="15" hidden="false" customHeight="false" outlineLevel="0" collapsed="false">
      <c r="A522" s="19"/>
      <c r="B522" s="19"/>
      <c r="C522" s="26" t="str">
        <f aca="false">IF(A522="","",COUNTIF(Jeux!$C$2:$C$3001,A522))</f>
        <v/>
      </c>
      <c r="D522" s="26" t="str">
        <f aca="false">IF(A522="","",COUNTIF(Pubs!$G$2:$G$3001,A522))</f>
        <v/>
      </c>
      <c r="E522" s="26" t="str">
        <f aca="false">IF(A522="","",COUNTIF(Apparitions!$J$2:$J$5001,A522))</f>
        <v/>
      </c>
    </row>
    <row r="523" customFormat="false" ht="15" hidden="false" customHeight="false" outlineLevel="0" collapsed="false">
      <c r="A523" s="19"/>
      <c r="B523" s="19"/>
      <c r="C523" s="26" t="str">
        <f aca="false">IF(A523="","",COUNTIF(Jeux!$C$2:$C$3001,A523))</f>
        <v/>
      </c>
      <c r="D523" s="26" t="str">
        <f aca="false">IF(A523="","",COUNTIF(Pubs!$G$2:$G$3001,A523))</f>
        <v/>
      </c>
      <c r="E523" s="26" t="str">
        <f aca="false">IF(A523="","",COUNTIF(Apparitions!$J$2:$J$5001,A523))</f>
        <v/>
      </c>
    </row>
    <row r="524" customFormat="false" ht="15" hidden="false" customHeight="false" outlineLevel="0" collapsed="false">
      <c r="A524" s="19"/>
      <c r="B524" s="19"/>
      <c r="C524" s="26" t="str">
        <f aca="false">IF(A524="","",COUNTIF(Jeux!$C$2:$C$3001,A524))</f>
        <v/>
      </c>
      <c r="D524" s="26" t="str">
        <f aca="false">IF(A524="","",COUNTIF(Pubs!$G$2:$G$3001,A524))</f>
        <v/>
      </c>
      <c r="E524" s="26" t="str">
        <f aca="false">IF(A524="","",COUNTIF(Apparitions!$J$2:$J$5001,A524))</f>
        <v/>
      </c>
    </row>
    <row r="525" customFormat="false" ht="15" hidden="false" customHeight="false" outlineLevel="0" collapsed="false">
      <c r="A525" s="19"/>
      <c r="B525" s="19"/>
      <c r="C525" s="26" t="str">
        <f aca="false">IF(A525="","",COUNTIF(Jeux!$C$2:$C$3001,A525))</f>
        <v/>
      </c>
      <c r="D525" s="26" t="str">
        <f aca="false">IF(A525="","",COUNTIF(Pubs!$G$2:$G$3001,A525))</f>
        <v/>
      </c>
      <c r="E525" s="26" t="str">
        <f aca="false">IF(A525="","",COUNTIF(Apparitions!$J$2:$J$5001,A525))</f>
        <v/>
      </c>
    </row>
    <row r="526" customFormat="false" ht="15" hidden="false" customHeight="false" outlineLevel="0" collapsed="false">
      <c r="A526" s="19"/>
      <c r="B526" s="19"/>
      <c r="C526" s="26" t="str">
        <f aca="false">IF(A526="","",COUNTIF(Jeux!$C$2:$C$3001,A526))</f>
        <v/>
      </c>
      <c r="D526" s="26" t="str">
        <f aca="false">IF(A526="","",COUNTIF(Pubs!$G$2:$G$3001,A526))</f>
        <v/>
      </c>
      <c r="E526" s="26" t="str">
        <f aca="false">IF(A526="","",COUNTIF(Apparitions!$J$2:$J$5001,A526))</f>
        <v/>
      </c>
    </row>
    <row r="527" customFormat="false" ht="15" hidden="false" customHeight="false" outlineLevel="0" collapsed="false">
      <c r="A527" s="19"/>
      <c r="B527" s="19"/>
      <c r="C527" s="26" t="str">
        <f aca="false">IF(A527="","",COUNTIF(Jeux!$C$2:$C$3001,A527))</f>
        <v/>
      </c>
      <c r="D527" s="26" t="str">
        <f aca="false">IF(A527="","",COUNTIF(Pubs!$G$2:$G$3001,A527))</f>
        <v/>
      </c>
      <c r="E527" s="26" t="str">
        <f aca="false">IF(A527="","",COUNTIF(Apparitions!$J$2:$J$5001,A527))</f>
        <v/>
      </c>
    </row>
    <row r="528" customFormat="false" ht="15" hidden="false" customHeight="false" outlineLevel="0" collapsed="false">
      <c r="A528" s="19"/>
      <c r="B528" s="19"/>
      <c r="C528" s="26" t="str">
        <f aca="false">IF(A528="","",COUNTIF(Jeux!$C$2:$C$3001,A528))</f>
        <v/>
      </c>
      <c r="D528" s="26" t="str">
        <f aca="false">IF(A528="","",COUNTIF(Pubs!$G$2:$G$3001,A528))</f>
        <v/>
      </c>
      <c r="E528" s="26" t="str">
        <f aca="false">IF(A528="","",COUNTIF(Apparitions!$J$2:$J$5001,A528))</f>
        <v/>
      </c>
    </row>
    <row r="529" customFormat="false" ht="15" hidden="false" customHeight="false" outlineLevel="0" collapsed="false">
      <c r="A529" s="19"/>
      <c r="B529" s="19"/>
      <c r="C529" s="26" t="str">
        <f aca="false">IF(A529="","",COUNTIF(Jeux!$C$2:$C$3001,A529))</f>
        <v/>
      </c>
      <c r="D529" s="26" t="str">
        <f aca="false">IF(A529="","",COUNTIF(Pubs!$G$2:$G$3001,A529))</f>
        <v/>
      </c>
      <c r="E529" s="26" t="str">
        <f aca="false">IF(A529="","",COUNTIF(Apparitions!$J$2:$J$5001,A529))</f>
        <v/>
      </c>
    </row>
    <row r="530" customFormat="false" ht="15" hidden="false" customHeight="false" outlineLevel="0" collapsed="false">
      <c r="A530" s="19"/>
      <c r="B530" s="19"/>
      <c r="C530" s="26" t="str">
        <f aca="false">IF(A530="","",COUNTIF(Jeux!$C$2:$C$3001,A530))</f>
        <v/>
      </c>
      <c r="D530" s="26" t="str">
        <f aca="false">IF(A530="","",COUNTIF(Pubs!$G$2:$G$3001,A530))</f>
        <v/>
      </c>
      <c r="E530" s="26" t="str">
        <f aca="false">IF(A530="","",COUNTIF(Apparitions!$J$2:$J$5001,A530))</f>
        <v/>
      </c>
    </row>
    <row r="531" customFormat="false" ht="15" hidden="false" customHeight="false" outlineLevel="0" collapsed="false">
      <c r="A531" s="19"/>
      <c r="B531" s="19"/>
      <c r="C531" s="26" t="str">
        <f aca="false">IF(A531="","",COUNTIF(Jeux!$C$2:$C$3001,A531))</f>
        <v/>
      </c>
      <c r="D531" s="26" t="str">
        <f aca="false">IF(A531="","",COUNTIF(Pubs!$G$2:$G$3001,A531))</f>
        <v/>
      </c>
      <c r="E531" s="26" t="str">
        <f aca="false">IF(A531="","",COUNTIF(Apparitions!$J$2:$J$5001,A531))</f>
        <v/>
      </c>
    </row>
    <row r="532" customFormat="false" ht="15" hidden="false" customHeight="false" outlineLevel="0" collapsed="false">
      <c r="A532" s="19"/>
      <c r="B532" s="19"/>
      <c r="C532" s="26" t="str">
        <f aca="false">IF(A532="","",COUNTIF(Jeux!$C$2:$C$3001,A532))</f>
        <v/>
      </c>
      <c r="D532" s="26" t="str">
        <f aca="false">IF(A532="","",COUNTIF(Pubs!$G$2:$G$3001,A532))</f>
        <v/>
      </c>
      <c r="E532" s="26" t="str">
        <f aca="false">IF(A532="","",COUNTIF(Apparitions!$J$2:$J$5001,A532))</f>
        <v/>
      </c>
    </row>
    <row r="533" customFormat="false" ht="15" hidden="false" customHeight="false" outlineLevel="0" collapsed="false">
      <c r="A533" s="19"/>
      <c r="B533" s="19"/>
      <c r="C533" s="26" t="str">
        <f aca="false">IF(A533="","",COUNTIF(Jeux!$C$2:$C$3001,A533))</f>
        <v/>
      </c>
      <c r="D533" s="26" t="str">
        <f aca="false">IF(A533="","",COUNTIF(Pubs!$G$2:$G$3001,A533))</f>
        <v/>
      </c>
      <c r="E533" s="26" t="str">
        <f aca="false">IF(A533="","",COUNTIF(Apparitions!$J$2:$J$5001,A533))</f>
        <v/>
      </c>
    </row>
    <row r="534" customFormat="false" ht="15" hidden="false" customHeight="false" outlineLevel="0" collapsed="false">
      <c r="A534" s="19"/>
      <c r="B534" s="19"/>
      <c r="C534" s="26" t="str">
        <f aca="false">IF(A534="","",COUNTIF(Jeux!$C$2:$C$3001,A534))</f>
        <v/>
      </c>
      <c r="D534" s="26" t="str">
        <f aca="false">IF(A534="","",COUNTIF(Pubs!$G$2:$G$3001,A534))</f>
        <v/>
      </c>
      <c r="E534" s="26" t="str">
        <f aca="false">IF(A534="","",COUNTIF(Apparitions!$J$2:$J$5001,A534))</f>
        <v/>
      </c>
    </row>
    <row r="535" customFormat="false" ht="15" hidden="false" customHeight="false" outlineLevel="0" collapsed="false">
      <c r="A535" s="19"/>
      <c r="B535" s="19"/>
      <c r="C535" s="26" t="str">
        <f aca="false">IF(A535="","",COUNTIF(Jeux!$C$2:$C$3001,A535))</f>
        <v/>
      </c>
      <c r="D535" s="26" t="str">
        <f aca="false">IF(A535="","",COUNTIF(Pubs!$G$2:$G$3001,A535))</f>
        <v/>
      </c>
      <c r="E535" s="26" t="str">
        <f aca="false">IF(A535="","",COUNTIF(Apparitions!$J$2:$J$5001,A535))</f>
        <v/>
      </c>
    </row>
    <row r="536" customFormat="false" ht="15" hidden="false" customHeight="false" outlineLevel="0" collapsed="false">
      <c r="A536" s="19"/>
      <c r="B536" s="19"/>
      <c r="C536" s="26" t="str">
        <f aca="false">IF(A536="","",COUNTIF(Jeux!$C$2:$C$3001,A536))</f>
        <v/>
      </c>
      <c r="D536" s="26" t="str">
        <f aca="false">IF(A536="","",COUNTIF(Pubs!$G$2:$G$3001,A536))</f>
        <v/>
      </c>
      <c r="E536" s="26" t="str">
        <f aca="false">IF(A536="","",COUNTIF(Apparitions!$J$2:$J$5001,A536))</f>
        <v/>
      </c>
    </row>
    <row r="537" customFormat="false" ht="15" hidden="false" customHeight="false" outlineLevel="0" collapsed="false">
      <c r="A537" s="19"/>
      <c r="B537" s="19"/>
      <c r="C537" s="26" t="str">
        <f aca="false">IF(A537="","",COUNTIF(Jeux!$C$2:$C$3001,A537))</f>
        <v/>
      </c>
      <c r="D537" s="26" t="str">
        <f aca="false">IF(A537="","",COUNTIF(Pubs!$G$2:$G$3001,A537))</f>
        <v/>
      </c>
      <c r="E537" s="26" t="str">
        <f aca="false">IF(A537="","",COUNTIF(Apparitions!$J$2:$J$5001,A537))</f>
        <v/>
      </c>
    </row>
    <row r="538" customFormat="false" ht="15" hidden="false" customHeight="false" outlineLevel="0" collapsed="false">
      <c r="A538" s="19"/>
      <c r="B538" s="19"/>
      <c r="C538" s="26" t="str">
        <f aca="false">IF(A538="","",COUNTIF(Jeux!$C$2:$C$3001,A538))</f>
        <v/>
      </c>
      <c r="D538" s="26" t="str">
        <f aca="false">IF(A538="","",COUNTIF(Pubs!$G$2:$G$3001,A538))</f>
        <v/>
      </c>
      <c r="E538" s="26" t="str">
        <f aca="false">IF(A538="","",COUNTIF(Apparitions!$J$2:$J$5001,A538))</f>
        <v/>
      </c>
    </row>
    <row r="539" customFormat="false" ht="15" hidden="false" customHeight="false" outlineLevel="0" collapsed="false">
      <c r="A539" s="19"/>
      <c r="B539" s="19"/>
      <c r="C539" s="26" t="str">
        <f aca="false">IF(A539="","",COUNTIF(Jeux!$C$2:$C$3001,A539))</f>
        <v/>
      </c>
      <c r="D539" s="26" t="str">
        <f aca="false">IF(A539="","",COUNTIF(Pubs!$G$2:$G$3001,A539))</f>
        <v/>
      </c>
      <c r="E539" s="26" t="str">
        <f aca="false">IF(A539="","",COUNTIF(Apparitions!$J$2:$J$5001,A539))</f>
        <v/>
      </c>
    </row>
    <row r="540" customFormat="false" ht="15" hidden="false" customHeight="false" outlineLevel="0" collapsed="false">
      <c r="A540" s="19"/>
      <c r="B540" s="19"/>
      <c r="C540" s="26" t="str">
        <f aca="false">IF(A540="","",COUNTIF(Jeux!$C$2:$C$3001,A540))</f>
        <v/>
      </c>
      <c r="D540" s="26" t="str">
        <f aca="false">IF(A540="","",COUNTIF(Pubs!$G$2:$G$3001,A540))</f>
        <v/>
      </c>
      <c r="E540" s="26" t="str">
        <f aca="false">IF(A540="","",COUNTIF(Apparitions!$J$2:$J$5001,A540))</f>
        <v/>
      </c>
    </row>
    <row r="541" customFormat="false" ht="15" hidden="false" customHeight="false" outlineLevel="0" collapsed="false">
      <c r="A541" s="19"/>
      <c r="B541" s="19"/>
      <c r="C541" s="26" t="str">
        <f aca="false">IF(A541="","",COUNTIF(Jeux!$C$2:$C$3001,A541))</f>
        <v/>
      </c>
      <c r="D541" s="26" t="str">
        <f aca="false">IF(A541="","",COUNTIF(Pubs!$G$2:$G$3001,A541))</f>
        <v/>
      </c>
      <c r="E541" s="26" t="str">
        <f aca="false">IF(A541="","",COUNTIF(Apparitions!$J$2:$J$5001,A541))</f>
        <v/>
      </c>
    </row>
    <row r="542" customFormat="false" ht="15" hidden="false" customHeight="false" outlineLevel="0" collapsed="false">
      <c r="A542" s="19"/>
      <c r="B542" s="19"/>
      <c r="C542" s="26" t="str">
        <f aca="false">IF(A542="","",COUNTIF(Jeux!$C$2:$C$3001,A542))</f>
        <v/>
      </c>
      <c r="D542" s="26" t="str">
        <f aca="false">IF(A542="","",COUNTIF(Pubs!$G$2:$G$3001,A542))</f>
        <v/>
      </c>
      <c r="E542" s="26" t="str">
        <f aca="false">IF(A542="","",COUNTIF(Apparitions!$J$2:$J$5001,A542))</f>
        <v/>
      </c>
    </row>
    <row r="543" customFormat="false" ht="15" hidden="false" customHeight="false" outlineLevel="0" collapsed="false">
      <c r="A543" s="19"/>
      <c r="B543" s="19"/>
      <c r="C543" s="26" t="str">
        <f aca="false">IF(A543="","",COUNTIF(Jeux!$C$2:$C$3001,A543))</f>
        <v/>
      </c>
      <c r="D543" s="26" t="str">
        <f aca="false">IF(A543="","",COUNTIF(Pubs!$G$2:$G$3001,A543))</f>
        <v/>
      </c>
      <c r="E543" s="26" t="str">
        <f aca="false">IF(A543="","",COUNTIF(Apparitions!$J$2:$J$5001,A543))</f>
        <v/>
      </c>
    </row>
    <row r="544" customFormat="false" ht="15" hidden="false" customHeight="false" outlineLevel="0" collapsed="false">
      <c r="A544" s="19"/>
      <c r="B544" s="19"/>
      <c r="C544" s="26" t="str">
        <f aca="false">IF(A544="","",COUNTIF(Jeux!$C$2:$C$3001,A544))</f>
        <v/>
      </c>
      <c r="D544" s="26" t="str">
        <f aca="false">IF(A544="","",COUNTIF(Pubs!$G$2:$G$3001,A544))</f>
        <v/>
      </c>
      <c r="E544" s="26" t="str">
        <f aca="false">IF(A544="","",COUNTIF(Apparitions!$J$2:$J$5001,A544))</f>
        <v/>
      </c>
    </row>
    <row r="545" customFormat="false" ht="15" hidden="false" customHeight="false" outlineLevel="0" collapsed="false">
      <c r="A545" s="19"/>
      <c r="B545" s="19"/>
      <c r="C545" s="26" t="str">
        <f aca="false">IF(A545="","",COUNTIF(Jeux!$C$2:$C$3001,A545))</f>
        <v/>
      </c>
      <c r="D545" s="26" t="str">
        <f aca="false">IF(A545="","",COUNTIF(Pubs!$G$2:$G$3001,A545))</f>
        <v/>
      </c>
      <c r="E545" s="26" t="str">
        <f aca="false">IF(A545="","",COUNTIF(Apparitions!$J$2:$J$5001,A545))</f>
        <v/>
      </c>
    </row>
    <row r="546" customFormat="false" ht="15" hidden="false" customHeight="false" outlineLevel="0" collapsed="false">
      <c r="A546" s="19"/>
      <c r="B546" s="19"/>
      <c r="C546" s="26" t="str">
        <f aca="false">IF(A546="","",COUNTIF(Jeux!$C$2:$C$3001,A546))</f>
        <v/>
      </c>
      <c r="D546" s="26" t="str">
        <f aca="false">IF(A546="","",COUNTIF(Pubs!$G$2:$G$3001,A546))</f>
        <v/>
      </c>
      <c r="E546" s="26" t="str">
        <f aca="false">IF(A546="","",COUNTIF(Apparitions!$J$2:$J$5001,A546))</f>
        <v/>
      </c>
    </row>
    <row r="547" customFormat="false" ht="15" hidden="false" customHeight="false" outlineLevel="0" collapsed="false">
      <c r="A547" s="19"/>
      <c r="B547" s="19"/>
      <c r="C547" s="26" t="str">
        <f aca="false">IF(A547="","",COUNTIF(Jeux!$C$2:$C$3001,A547))</f>
        <v/>
      </c>
      <c r="D547" s="26" t="str">
        <f aca="false">IF(A547="","",COUNTIF(Pubs!$G$2:$G$3001,A547))</f>
        <v/>
      </c>
      <c r="E547" s="26" t="str">
        <f aca="false">IF(A547="","",COUNTIF(Apparitions!$J$2:$J$5001,A547))</f>
        <v/>
      </c>
    </row>
    <row r="548" customFormat="false" ht="15" hidden="false" customHeight="false" outlineLevel="0" collapsed="false">
      <c r="A548" s="19"/>
      <c r="B548" s="19"/>
      <c r="C548" s="26" t="str">
        <f aca="false">IF(A548="","",COUNTIF(Jeux!$C$2:$C$3001,A548))</f>
        <v/>
      </c>
      <c r="D548" s="26" t="str">
        <f aca="false">IF(A548="","",COUNTIF(Pubs!$G$2:$G$3001,A548))</f>
        <v/>
      </c>
      <c r="E548" s="26" t="str">
        <f aca="false">IF(A548="","",COUNTIF(Apparitions!$J$2:$J$5001,A548))</f>
        <v/>
      </c>
    </row>
    <row r="549" customFormat="false" ht="15" hidden="false" customHeight="false" outlineLevel="0" collapsed="false">
      <c r="A549" s="19"/>
      <c r="B549" s="19"/>
      <c r="C549" s="26" t="str">
        <f aca="false">IF(A549="","",COUNTIF(Jeux!$C$2:$C$3001,A549))</f>
        <v/>
      </c>
      <c r="D549" s="26" t="str">
        <f aca="false">IF(A549="","",COUNTIF(Pubs!$G$2:$G$3001,A549))</f>
        <v/>
      </c>
      <c r="E549" s="26" t="str">
        <f aca="false">IF(A549="","",COUNTIF(Apparitions!$J$2:$J$5001,A549))</f>
        <v/>
      </c>
    </row>
    <row r="550" customFormat="false" ht="15" hidden="false" customHeight="false" outlineLevel="0" collapsed="false">
      <c r="A550" s="19"/>
      <c r="B550" s="19"/>
      <c r="C550" s="26" t="str">
        <f aca="false">IF(A550="","",COUNTIF(Jeux!$C$2:$C$3001,A550))</f>
        <v/>
      </c>
      <c r="D550" s="26" t="str">
        <f aca="false">IF(A550="","",COUNTIF(Pubs!$G$2:$G$3001,A550))</f>
        <v/>
      </c>
      <c r="E550" s="26" t="str">
        <f aca="false">IF(A550="","",COUNTIF(Apparitions!$J$2:$J$5001,A550))</f>
        <v/>
      </c>
    </row>
    <row r="551" customFormat="false" ht="15" hidden="false" customHeight="false" outlineLevel="0" collapsed="false">
      <c r="A551" s="19"/>
      <c r="B551" s="19"/>
      <c r="C551" s="26" t="str">
        <f aca="false">IF(A551="","",COUNTIF(Jeux!$C$2:$C$3001,A551))</f>
        <v/>
      </c>
      <c r="D551" s="26" t="str">
        <f aca="false">IF(A551="","",COUNTIF(Pubs!$G$2:$G$3001,A551))</f>
        <v/>
      </c>
      <c r="E551" s="26" t="str">
        <f aca="false">IF(A551="","",COUNTIF(Apparitions!$J$2:$J$5001,A551))</f>
        <v/>
      </c>
    </row>
    <row r="552" customFormat="false" ht="15" hidden="false" customHeight="false" outlineLevel="0" collapsed="false">
      <c r="A552" s="19"/>
      <c r="B552" s="19"/>
      <c r="C552" s="26" t="str">
        <f aca="false">IF(A552="","",COUNTIF(Jeux!$C$2:$C$3001,A552))</f>
        <v/>
      </c>
      <c r="D552" s="26" t="str">
        <f aca="false">IF(A552="","",COUNTIF(Pubs!$G$2:$G$3001,A552))</f>
        <v/>
      </c>
      <c r="E552" s="26" t="str">
        <f aca="false">IF(A552="","",COUNTIF(Apparitions!$J$2:$J$5001,A552))</f>
        <v/>
      </c>
    </row>
    <row r="553" customFormat="false" ht="15" hidden="false" customHeight="false" outlineLevel="0" collapsed="false">
      <c r="A553" s="19"/>
      <c r="B553" s="19"/>
      <c r="C553" s="26" t="str">
        <f aca="false">IF(A553="","",COUNTIF(Jeux!$C$2:$C$3001,A553))</f>
        <v/>
      </c>
      <c r="D553" s="26" t="str">
        <f aca="false">IF(A553="","",COUNTIF(Pubs!$G$2:$G$3001,A553))</f>
        <v/>
      </c>
      <c r="E553" s="26" t="str">
        <f aca="false">IF(A553="","",COUNTIF(Apparitions!$J$2:$J$5001,A553))</f>
        <v/>
      </c>
    </row>
    <row r="554" customFormat="false" ht="15" hidden="false" customHeight="false" outlineLevel="0" collapsed="false">
      <c r="A554" s="19"/>
      <c r="B554" s="19"/>
      <c r="C554" s="26" t="str">
        <f aca="false">IF(A554="","",COUNTIF(Jeux!$C$2:$C$3001,A554))</f>
        <v/>
      </c>
      <c r="D554" s="26" t="str">
        <f aca="false">IF(A554="","",COUNTIF(Pubs!$G$2:$G$3001,A554))</f>
        <v/>
      </c>
      <c r="E554" s="26" t="str">
        <f aca="false">IF(A554="","",COUNTIF(Apparitions!$J$2:$J$5001,A554))</f>
        <v/>
      </c>
    </row>
    <row r="555" customFormat="false" ht="15" hidden="false" customHeight="false" outlineLevel="0" collapsed="false">
      <c r="A555" s="19"/>
      <c r="B555" s="19"/>
      <c r="C555" s="26" t="str">
        <f aca="false">IF(A555="","",COUNTIF(Jeux!$C$2:$C$3001,A555))</f>
        <v/>
      </c>
      <c r="D555" s="26" t="str">
        <f aca="false">IF(A555="","",COUNTIF(Pubs!$G$2:$G$3001,A555))</f>
        <v/>
      </c>
      <c r="E555" s="26" t="str">
        <f aca="false">IF(A555="","",COUNTIF(Apparitions!$J$2:$J$5001,A555))</f>
        <v/>
      </c>
    </row>
    <row r="556" customFormat="false" ht="15" hidden="false" customHeight="false" outlineLevel="0" collapsed="false">
      <c r="A556" s="19"/>
      <c r="B556" s="19"/>
      <c r="C556" s="26" t="str">
        <f aca="false">IF(A556="","",COUNTIF(Jeux!$C$2:$C$3001,A556))</f>
        <v/>
      </c>
      <c r="D556" s="26" t="str">
        <f aca="false">IF(A556="","",COUNTIF(Pubs!$G$2:$G$3001,A556))</f>
        <v/>
      </c>
      <c r="E556" s="26" t="str">
        <f aca="false">IF(A556="","",COUNTIF(Apparitions!$J$2:$J$5001,A556))</f>
        <v/>
      </c>
    </row>
    <row r="557" customFormat="false" ht="15" hidden="false" customHeight="false" outlineLevel="0" collapsed="false">
      <c r="A557" s="19"/>
      <c r="B557" s="19"/>
      <c r="C557" s="26" t="str">
        <f aca="false">IF(A557="","",COUNTIF(Jeux!$C$2:$C$3001,A557))</f>
        <v/>
      </c>
      <c r="D557" s="26" t="str">
        <f aca="false">IF(A557="","",COUNTIF(Pubs!$G$2:$G$3001,A557))</f>
        <v/>
      </c>
      <c r="E557" s="26" t="str">
        <f aca="false">IF(A557="","",COUNTIF(Apparitions!$J$2:$J$5001,A557))</f>
        <v/>
      </c>
    </row>
    <row r="558" customFormat="false" ht="15" hidden="false" customHeight="false" outlineLevel="0" collapsed="false">
      <c r="A558" s="19"/>
      <c r="B558" s="19"/>
      <c r="C558" s="26" t="str">
        <f aca="false">IF(A558="","",COUNTIF(Jeux!$C$2:$C$3001,A558))</f>
        <v/>
      </c>
      <c r="D558" s="26" t="str">
        <f aca="false">IF(A558="","",COUNTIF(Pubs!$G$2:$G$3001,A558))</f>
        <v/>
      </c>
      <c r="E558" s="26" t="str">
        <f aca="false">IF(A558="","",COUNTIF(Apparitions!$J$2:$J$5001,A558))</f>
        <v/>
      </c>
    </row>
    <row r="559" customFormat="false" ht="15" hidden="false" customHeight="false" outlineLevel="0" collapsed="false">
      <c r="A559" s="19"/>
      <c r="B559" s="19"/>
      <c r="C559" s="26" t="str">
        <f aca="false">IF(A559="","",COUNTIF(Jeux!$C$2:$C$3001,A559))</f>
        <v/>
      </c>
      <c r="D559" s="26" t="str">
        <f aca="false">IF(A559="","",COUNTIF(Pubs!$G$2:$G$3001,A559))</f>
        <v/>
      </c>
      <c r="E559" s="26" t="str">
        <f aca="false">IF(A559="","",COUNTIF(Apparitions!$J$2:$J$5001,A559))</f>
        <v/>
      </c>
    </row>
    <row r="560" customFormat="false" ht="15" hidden="false" customHeight="false" outlineLevel="0" collapsed="false">
      <c r="A560" s="19"/>
      <c r="B560" s="19"/>
      <c r="C560" s="26" t="str">
        <f aca="false">IF(A560="","",COUNTIF(Jeux!$C$2:$C$3001,A560))</f>
        <v/>
      </c>
      <c r="D560" s="26" t="str">
        <f aca="false">IF(A560="","",COUNTIF(Pubs!$G$2:$G$3001,A560))</f>
        <v/>
      </c>
      <c r="E560" s="26" t="str">
        <f aca="false">IF(A560="","",COUNTIF(Apparitions!$J$2:$J$5001,A560))</f>
        <v/>
      </c>
    </row>
    <row r="561" customFormat="false" ht="15" hidden="false" customHeight="false" outlineLevel="0" collapsed="false">
      <c r="A561" s="19"/>
      <c r="B561" s="19"/>
      <c r="C561" s="26" t="str">
        <f aca="false">IF(A561="","",COUNTIF(Jeux!$C$2:$C$3001,A561))</f>
        <v/>
      </c>
      <c r="D561" s="26" t="str">
        <f aca="false">IF(A561="","",COUNTIF(Pubs!$G$2:$G$3001,A561))</f>
        <v/>
      </c>
      <c r="E561" s="26" t="str">
        <f aca="false">IF(A561="","",COUNTIF(Apparitions!$J$2:$J$5001,A561))</f>
        <v/>
      </c>
    </row>
    <row r="562" customFormat="false" ht="15" hidden="false" customHeight="false" outlineLevel="0" collapsed="false">
      <c r="A562" s="19"/>
      <c r="B562" s="19"/>
      <c r="C562" s="26" t="str">
        <f aca="false">IF(A562="","",COUNTIF(Jeux!$C$2:$C$3001,A562))</f>
        <v/>
      </c>
      <c r="D562" s="26" t="str">
        <f aca="false">IF(A562="","",COUNTIF(Pubs!$G$2:$G$3001,A562))</f>
        <v/>
      </c>
      <c r="E562" s="26" t="str">
        <f aca="false">IF(A562="","",COUNTIF(Apparitions!$J$2:$J$5001,A562))</f>
        <v/>
      </c>
    </row>
    <row r="563" customFormat="false" ht="15" hidden="false" customHeight="false" outlineLevel="0" collapsed="false">
      <c r="A563" s="19"/>
      <c r="B563" s="19"/>
      <c r="C563" s="26" t="str">
        <f aca="false">IF(A563="","",COUNTIF(Jeux!$C$2:$C$3001,A563))</f>
        <v/>
      </c>
      <c r="D563" s="26" t="str">
        <f aca="false">IF(A563="","",COUNTIF(Pubs!$G$2:$G$3001,A563))</f>
        <v/>
      </c>
      <c r="E563" s="26" t="str">
        <f aca="false">IF(A563="","",COUNTIF(Apparitions!$J$2:$J$5001,A563))</f>
        <v/>
      </c>
    </row>
    <row r="564" customFormat="false" ht="15" hidden="false" customHeight="false" outlineLevel="0" collapsed="false">
      <c r="A564" s="19"/>
      <c r="B564" s="19"/>
      <c r="C564" s="26" t="str">
        <f aca="false">IF(A564="","",COUNTIF(Jeux!$C$2:$C$3001,A564))</f>
        <v/>
      </c>
      <c r="D564" s="26" t="str">
        <f aca="false">IF(A564="","",COUNTIF(Pubs!$G$2:$G$3001,A564))</f>
        <v/>
      </c>
      <c r="E564" s="26" t="str">
        <f aca="false">IF(A564="","",COUNTIF(Apparitions!$J$2:$J$5001,A564))</f>
        <v/>
      </c>
    </row>
    <row r="565" customFormat="false" ht="15" hidden="false" customHeight="false" outlineLevel="0" collapsed="false">
      <c r="A565" s="19"/>
      <c r="B565" s="19"/>
      <c r="C565" s="26" t="str">
        <f aca="false">IF(A565="","",COUNTIF(Jeux!$C$2:$C$3001,A565))</f>
        <v/>
      </c>
      <c r="D565" s="26" t="str">
        <f aca="false">IF(A565="","",COUNTIF(Pubs!$G$2:$G$3001,A565))</f>
        <v/>
      </c>
      <c r="E565" s="26" t="str">
        <f aca="false">IF(A565="","",COUNTIF(Apparitions!$J$2:$J$5001,A565))</f>
        <v/>
      </c>
    </row>
    <row r="566" customFormat="false" ht="15" hidden="false" customHeight="false" outlineLevel="0" collapsed="false">
      <c r="A566" s="19"/>
      <c r="B566" s="19"/>
      <c r="C566" s="26" t="str">
        <f aca="false">IF(A566="","",COUNTIF(Jeux!$C$2:$C$3001,A566))</f>
        <v/>
      </c>
      <c r="D566" s="26" t="str">
        <f aca="false">IF(A566="","",COUNTIF(Pubs!$G$2:$G$3001,A566))</f>
        <v/>
      </c>
      <c r="E566" s="26" t="str">
        <f aca="false">IF(A566="","",COUNTIF(Apparitions!$J$2:$J$5001,A566))</f>
        <v/>
      </c>
    </row>
    <row r="567" customFormat="false" ht="15" hidden="false" customHeight="false" outlineLevel="0" collapsed="false">
      <c r="A567" s="19"/>
      <c r="B567" s="19"/>
      <c r="C567" s="26" t="str">
        <f aca="false">IF(A567="","",COUNTIF(Jeux!$C$2:$C$3001,A567))</f>
        <v/>
      </c>
      <c r="D567" s="26" t="str">
        <f aca="false">IF(A567="","",COUNTIF(Pubs!$G$2:$G$3001,A567))</f>
        <v/>
      </c>
      <c r="E567" s="26" t="str">
        <f aca="false">IF(A567="","",COUNTIF(Apparitions!$J$2:$J$5001,A567))</f>
        <v/>
      </c>
    </row>
    <row r="568" customFormat="false" ht="15" hidden="false" customHeight="false" outlineLevel="0" collapsed="false">
      <c r="A568" s="19"/>
      <c r="B568" s="19"/>
      <c r="C568" s="26" t="str">
        <f aca="false">IF(A568="","",COUNTIF(Jeux!$C$2:$C$3001,A568))</f>
        <v/>
      </c>
      <c r="D568" s="26" t="str">
        <f aca="false">IF(A568="","",COUNTIF(Pubs!$G$2:$G$3001,A568))</f>
        <v/>
      </c>
      <c r="E568" s="26" t="str">
        <f aca="false">IF(A568="","",COUNTIF(Apparitions!$J$2:$J$5001,A568))</f>
        <v/>
      </c>
    </row>
    <row r="569" customFormat="false" ht="15" hidden="false" customHeight="false" outlineLevel="0" collapsed="false">
      <c r="A569" s="19"/>
      <c r="B569" s="19"/>
      <c r="C569" s="26" t="str">
        <f aca="false">IF(A569="","",COUNTIF(Jeux!$C$2:$C$3001,A569))</f>
        <v/>
      </c>
      <c r="D569" s="26" t="str">
        <f aca="false">IF(A569="","",COUNTIF(Pubs!$G$2:$G$3001,A569))</f>
        <v/>
      </c>
      <c r="E569" s="26" t="str">
        <f aca="false">IF(A569="","",COUNTIF(Apparitions!$J$2:$J$5001,A569))</f>
        <v/>
      </c>
    </row>
    <row r="570" customFormat="false" ht="15" hidden="false" customHeight="false" outlineLevel="0" collapsed="false">
      <c r="A570" s="19"/>
      <c r="B570" s="19"/>
      <c r="C570" s="26" t="str">
        <f aca="false">IF(A570="","",COUNTIF(Jeux!$C$2:$C$3001,A570))</f>
        <v/>
      </c>
      <c r="D570" s="26" t="str">
        <f aca="false">IF(A570="","",COUNTIF(Pubs!$G$2:$G$3001,A570))</f>
        <v/>
      </c>
      <c r="E570" s="26" t="str">
        <f aca="false">IF(A570="","",COUNTIF(Apparitions!$J$2:$J$5001,A570))</f>
        <v/>
      </c>
    </row>
    <row r="571" customFormat="false" ht="15" hidden="false" customHeight="false" outlineLevel="0" collapsed="false">
      <c r="A571" s="19"/>
      <c r="B571" s="19"/>
      <c r="C571" s="26" t="str">
        <f aca="false">IF(A571="","",COUNTIF(Jeux!$C$2:$C$3001,A571))</f>
        <v/>
      </c>
      <c r="D571" s="26" t="str">
        <f aca="false">IF(A571="","",COUNTIF(Pubs!$G$2:$G$3001,A571))</f>
        <v/>
      </c>
      <c r="E571" s="26" t="str">
        <f aca="false">IF(A571="","",COUNTIF(Apparitions!$J$2:$J$5001,A571))</f>
        <v/>
      </c>
    </row>
    <row r="572" customFormat="false" ht="15" hidden="false" customHeight="false" outlineLevel="0" collapsed="false">
      <c r="A572" s="19"/>
      <c r="B572" s="19"/>
      <c r="C572" s="26" t="str">
        <f aca="false">IF(A572="","",COUNTIF(Jeux!$C$2:$C$3001,A572))</f>
        <v/>
      </c>
      <c r="D572" s="26" t="str">
        <f aca="false">IF(A572="","",COUNTIF(Pubs!$G$2:$G$3001,A572))</f>
        <v/>
      </c>
      <c r="E572" s="26" t="str">
        <f aca="false">IF(A572="","",COUNTIF(Apparitions!$J$2:$J$5001,A572))</f>
        <v/>
      </c>
    </row>
    <row r="573" customFormat="false" ht="15" hidden="false" customHeight="false" outlineLevel="0" collapsed="false">
      <c r="A573" s="19"/>
      <c r="B573" s="19"/>
      <c r="C573" s="26" t="str">
        <f aca="false">IF(A573="","",COUNTIF(Jeux!$C$2:$C$3001,A573))</f>
        <v/>
      </c>
      <c r="D573" s="26" t="str">
        <f aca="false">IF(A573="","",COUNTIF(Pubs!$G$2:$G$3001,A573))</f>
        <v/>
      </c>
      <c r="E573" s="26" t="str">
        <f aca="false">IF(A573="","",COUNTIF(Apparitions!$J$2:$J$5001,A573))</f>
        <v/>
      </c>
    </row>
    <row r="574" customFormat="false" ht="15" hidden="false" customHeight="false" outlineLevel="0" collapsed="false">
      <c r="A574" s="19"/>
      <c r="B574" s="19"/>
      <c r="C574" s="26" t="str">
        <f aca="false">IF(A574="","",COUNTIF(Jeux!$C$2:$C$3001,A574))</f>
        <v/>
      </c>
      <c r="D574" s="26" t="str">
        <f aca="false">IF(A574="","",COUNTIF(Pubs!$G$2:$G$3001,A574))</f>
        <v/>
      </c>
      <c r="E574" s="26" t="str">
        <f aca="false">IF(A574="","",COUNTIF(Apparitions!$J$2:$J$5001,A574))</f>
        <v/>
      </c>
    </row>
    <row r="575" customFormat="false" ht="15" hidden="false" customHeight="false" outlineLevel="0" collapsed="false">
      <c r="A575" s="19"/>
      <c r="B575" s="19"/>
      <c r="C575" s="26" t="str">
        <f aca="false">IF(A575="","",COUNTIF(Jeux!$C$2:$C$3001,A575))</f>
        <v/>
      </c>
      <c r="D575" s="26" t="str">
        <f aca="false">IF(A575="","",COUNTIF(Pubs!$G$2:$G$3001,A575))</f>
        <v/>
      </c>
      <c r="E575" s="26" t="str">
        <f aca="false">IF(A575="","",COUNTIF(Apparitions!$J$2:$J$5001,A575))</f>
        <v/>
      </c>
    </row>
    <row r="576" customFormat="false" ht="15" hidden="false" customHeight="false" outlineLevel="0" collapsed="false">
      <c r="A576" s="19"/>
      <c r="B576" s="19"/>
      <c r="C576" s="26" t="str">
        <f aca="false">IF(A576="","",COUNTIF(Jeux!$C$2:$C$3001,A576))</f>
        <v/>
      </c>
      <c r="D576" s="26" t="str">
        <f aca="false">IF(A576="","",COUNTIF(Pubs!$G$2:$G$3001,A576))</f>
        <v/>
      </c>
      <c r="E576" s="26" t="str">
        <f aca="false">IF(A576="","",COUNTIF(Apparitions!$J$2:$J$5001,A576))</f>
        <v/>
      </c>
    </row>
    <row r="577" customFormat="false" ht="15" hidden="false" customHeight="false" outlineLevel="0" collapsed="false">
      <c r="A577" s="19"/>
      <c r="B577" s="19"/>
      <c r="C577" s="26" t="str">
        <f aca="false">IF(A577="","",COUNTIF(Jeux!$C$2:$C$3001,A577))</f>
        <v/>
      </c>
      <c r="D577" s="26" t="str">
        <f aca="false">IF(A577="","",COUNTIF(Pubs!$G$2:$G$3001,A577))</f>
        <v/>
      </c>
      <c r="E577" s="26" t="str">
        <f aca="false">IF(A577="","",COUNTIF(Apparitions!$J$2:$J$5001,A577))</f>
        <v/>
      </c>
    </row>
    <row r="578" customFormat="false" ht="15" hidden="false" customHeight="false" outlineLevel="0" collapsed="false">
      <c r="A578" s="19"/>
      <c r="B578" s="19"/>
      <c r="C578" s="26" t="str">
        <f aca="false">IF(A578="","",COUNTIF(Jeux!$C$2:$C$3001,A578))</f>
        <v/>
      </c>
      <c r="D578" s="26" t="str">
        <f aca="false">IF(A578="","",COUNTIF(Pubs!$G$2:$G$3001,A578))</f>
        <v/>
      </c>
      <c r="E578" s="26" t="str">
        <f aca="false">IF(A578="","",COUNTIF(Apparitions!$J$2:$J$5001,A578))</f>
        <v/>
      </c>
    </row>
    <row r="579" customFormat="false" ht="15" hidden="false" customHeight="false" outlineLevel="0" collapsed="false">
      <c r="A579" s="19"/>
      <c r="B579" s="19"/>
      <c r="C579" s="26" t="str">
        <f aca="false">IF(A579="","",COUNTIF(Jeux!$C$2:$C$3001,A579))</f>
        <v/>
      </c>
      <c r="D579" s="26" t="str">
        <f aca="false">IF(A579="","",COUNTIF(Pubs!$G$2:$G$3001,A579))</f>
        <v/>
      </c>
      <c r="E579" s="26" t="str">
        <f aca="false">IF(A579="","",COUNTIF(Apparitions!$J$2:$J$5001,A579))</f>
        <v/>
      </c>
    </row>
    <row r="580" customFormat="false" ht="15" hidden="false" customHeight="false" outlineLevel="0" collapsed="false">
      <c r="A580" s="19"/>
      <c r="B580" s="19"/>
      <c r="C580" s="26" t="str">
        <f aca="false">IF(A580="","",COUNTIF(Jeux!$C$2:$C$3001,A580))</f>
        <v/>
      </c>
      <c r="D580" s="26" t="str">
        <f aca="false">IF(A580="","",COUNTIF(Pubs!$G$2:$G$3001,A580))</f>
        <v/>
      </c>
      <c r="E580" s="26" t="str">
        <f aca="false">IF(A580="","",COUNTIF(Apparitions!$J$2:$J$5001,A580))</f>
        <v/>
      </c>
    </row>
    <row r="581" customFormat="false" ht="15" hidden="false" customHeight="false" outlineLevel="0" collapsed="false">
      <c r="A581" s="19"/>
      <c r="B581" s="19"/>
      <c r="C581" s="26" t="str">
        <f aca="false">IF(A581="","",COUNTIF(Jeux!$C$2:$C$3001,A581))</f>
        <v/>
      </c>
      <c r="D581" s="26" t="str">
        <f aca="false">IF(A581="","",COUNTIF(Pubs!$G$2:$G$3001,A581))</f>
        <v/>
      </c>
      <c r="E581" s="26" t="str">
        <f aca="false">IF(A581="","",COUNTIF(Apparitions!$J$2:$J$5001,A581))</f>
        <v/>
      </c>
    </row>
    <row r="582" customFormat="false" ht="15" hidden="false" customHeight="false" outlineLevel="0" collapsed="false">
      <c r="A582" s="19"/>
      <c r="B582" s="19"/>
      <c r="C582" s="26" t="str">
        <f aca="false">IF(A582="","",COUNTIF(Jeux!$C$2:$C$3001,A582))</f>
        <v/>
      </c>
      <c r="D582" s="26" t="str">
        <f aca="false">IF(A582="","",COUNTIF(Pubs!$G$2:$G$3001,A582))</f>
        <v/>
      </c>
      <c r="E582" s="26" t="str">
        <f aca="false">IF(A582="","",COUNTIF(Apparitions!$J$2:$J$5001,A582))</f>
        <v/>
      </c>
    </row>
    <row r="583" customFormat="false" ht="15" hidden="false" customHeight="false" outlineLevel="0" collapsed="false">
      <c r="A583" s="19"/>
      <c r="B583" s="19"/>
      <c r="C583" s="26" t="str">
        <f aca="false">IF(A583="","",COUNTIF(Jeux!$C$2:$C$3001,A583))</f>
        <v/>
      </c>
      <c r="D583" s="26" t="str">
        <f aca="false">IF(A583="","",COUNTIF(Pubs!$G$2:$G$3001,A583))</f>
        <v/>
      </c>
      <c r="E583" s="26" t="str">
        <f aca="false">IF(A583="","",COUNTIF(Apparitions!$J$2:$J$5001,A583))</f>
        <v/>
      </c>
    </row>
    <row r="584" customFormat="false" ht="15" hidden="false" customHeight="false" outlineLevel="0" collapsed="false">
      <c r="A584" s="19"/>
      <c r="B584" s="19"/>
      <c r="C584" s="26" t="str">
        <f aca="false">IF(A584="","",COUNTIF(Jeux!$C$2:$C$3001,A584))</f>
        <v/>
      </c>
      <c r="D584" s="26" t="str">
        <f aca="false">IF(A584="","",COUNTIF(Pubs!$G$2:$G$3001,A584))</f>
        <v/>
      </c>
      <c r="E584" s="26" t="str">
        <f aca="false">IF(A584="","",COUNTIF(Apparitions!$J$2:$J$5001,A584))</f>
        <v/>
      </c>
    </row>
    <row r="585" customFormat="false" ht="15" hidden="false" customHeight="false" outlineLevel="0" collapsed="false">
      <c r="A585" s="19"/>
      <c r="B585" s="19"/>
      <c r="C585" s="26" t="str">
        <f aca="false">IF(A585="","",COUNTIF(Jeux!$C$2:$C$3001,A585))</f>
        <v/>
      </c>
      <c r="D585" s="26" t="str">
        <f aca="false">IF(A585="","",COUNTIF(Pubs!$G$2:$G$3001,A585))</f>
        <v/>
      </c>
      <c r="E585" s="26" t="str">
        <f aca="false">IF(A585="","",COUNTIF(Apparitions!$J$2:$J$5001,A585))</f>
        <v/>
      </c>
    </row>
    <row r="586" customFormat="false" ht="15" hidden="false" customHeight="false" outlineLevel="0" collapsed="false">
      <c r="A586" s="19"/>
      <c r="B586" s="19"/>
      <c r="C586" s="26" t="str">
        <f aca="false">IF(A586="","",COUNTIF(Jeux!$C$2:$C$3001,A586))</f>
        <v/>
      </c>
      <c r="D586" s="26" t="str">
        <f aca="false">IF(A586="","",COUNTIF(Pubs!$G$2:$G$3001,A586))</f>
        <v/>
      </c>
      <c r="E586" s="26" t="str">
        <f aca="false">IF(A586="","",COUNTIF(Apparitions!$J$2:$J$5001,A586))</f>
        <v/>
      </c>
    </row>
    <row r="587" customFormat="false" ht="15" hidden="false" customHeight="false" outlineLevel="0" collapsed="false">
      <c r="A587" s="19"/>
      <c r="B587" s="19"/>
      <c r="C587" s="26" t="str">
        <f aca="false">IF(A587="","",COUNTIF(Jeux!$C$2:$C$3001,A587))</f>
        <v/>
      </c>
      <c r="D587" s="26" t="str">
        <f aca="false">IF(A587="","",COUNTIF(Pubs!$G$2:$G$3001,A587))</f>
        <v/>
      </c>
      <c r="E587" s="26" t="str">
        <f aca="false">IF(A587="","",COUNTIF(Apparitions!$J$2:$J$5001,A587))</f>
        <v/>
      </c>
    </row>
    <row r="588" customFormat="false" ht="15" hidden="false" customHeight="false" outlineLevel="0" collapsed="false">
      <c r="A588" s="19"/>
      <c r="B588" s="19"/>
      <c r="C588" s="26" t="str">
        <f aca="false">IF(A588="","",COUNTIF(Jeux!$C$2:$C$3001,A588))</f>
        <v/>
      </c>
      <c r="D588" s="26" t="str">
        <f aca="false">IF(A588="","",COUNTIF(Pubs!$G$2:$G$3001,A588))</f>
        <v/>
      </c>
      <c r="E588" s="26" t="str">
        <f aca="false">IF(A588="","",COUNTIF(Apparitions!$J$2:$J$5001,A588))</f>
        <v/>
      </c>
    </row>
    <row r="589" customFormat="false" ht="15" hidden="false" customHeight="false" outlineLevel="0" collapsed="false">
      <c r="A589" s="19"/>
      <c r="B589" s="19"/>
      <c r="C589" s="26" t="str">
        <f aca="false">IF(A589="","",COUNTIF(Jeux!$C$2:$C$3001,A589))</f>
        <v/>
      </c>
      <c r="D589" s="26" t="str">
        <f aca="false">IF(A589="","",COUNTIF(Pubs!$G$2:$G$3001,A589))</f>
        <v/>
      </c>
      <c r="E589" s="26" t="str">
        <f aca="false">IF(A589="","",COUNTIF(Apparitions!$J$2:$J$5001,A589))</f>
        <v/>
      </c>
    </row>
    <row r="590" customFormat="false" ht="15" hidden="false" customHeight="false" outlineLevel="0" collapsed="false">
      <c r="A590" s="19"/>
      <c r="B590" s="19"/>
      <c r="C590" s="26" t="str">
        <f aca="false">IF(A590="","",COUNTIF(Jeux!$C$2:$C$3001,A590))</f>
        <v/>
      </c>
      <c r="D590" s="26" t="str">
        <f aca="false">IF(A590="","",COUNTIF(Pubs!$G$2:$G$3001,A590))</f>
        <v/>
      </c>
      <c r="E590" s="26" t="str">
        <f aca="false">IF(A590="","",COUNTIF(Apparitions!$J$2:$J$5001,A590))</f>
        <v/>
      </c>
    </row>
    <row r="591" customFormat="false" ht="15" hidden="false" customHeight="false" outlineLevel="0" collapsed="false">
      <c r="A591" s="19"/>
      <c r="B591" s="19"/>
      <c r="C591" s="26" t="str">
        <f aca="false">IF(A591="","",COUNTIF(Jeux!$C$2:$C$3001,A591))</f>
        <v/>
      </c>
      <c r="D591" s="26" t="str">
        <f aca="false">IF(A591="","",COUNTIF(Pubs!$G$2:$G$3001,A591))</f>
        <v/>
      </c>
      <c r="E591" s="26" t="str">
        <f aca="false">IF(A591="","",COUNTIF(Apparitions!$J$2:$J$5001,A591))</f>
        <v/>
      </c>
    </row>
    <row r="592" customFormat="false" ht="15" hidden="false" customHeight="false" outlineLevel="0" collapsed="false">
      <c r="A592" s="19"/>
      <c r="B592" s="19"/>
      <c r="C592" s="26" t="str">
        <f aca="false">IF(A592="","",COUNTIF(Jeux!$C$2:$C$3001,A592))</f>
        <v/>
      </c>
      <c r="D592" s="26" t="str">
        <f aca="false">IF(A592="","",COUNTIF(Pubs!$G$2:$G$3001,A592))</f>
        <v/>
      </c>
      <c r="E592" s="26" t="str">
        <f aca="false">IF(A592="","",COUNTIF(Apparitions!$J$2:$J$5001,A592))</f>
        <v/>
      </c>
    </row>
    <row r="593" customFormat="false" ht="15" hidden="false" customHeight="false" outlineLevel="0" collapsed="false">
      <c r="A593" s="19"/>
      <c r="B593" s="19"/>
      <c r="C593" s="26" t="str">
        <f aca="false">IF(A593="","",COUNTIF(Jeux!$C$2:$C$3001,A593))</f>
        <v/>
      </c>
      <c r="D593" s="26" t="str">
        <f aca="false">IF(A593="","",COUNTIF(Pubs!$G$2:$G$3001,A593))</f>
        <v/>
      </c>
      <c r="E593" s="26" t="str">
        <f aca="false">IF(A593="","",COUNTIF(Apparitions!$J$2:$J$5001,A593))</f>
        <v/>
      </c>
    </row>
    <row r="594" customFormat="false" ht="15" hidden="false" customHeight="false" outlineLevel="0" collapsed="false">
      <c r="A594" s="19"/>
      <c r="B594" s="19"/>
      <c r="C594" s="26" t="str">
        <f aca="false">IF(A594="","",COUNTIF(Jeux!$C$2:$C$3001,A594))</f>
        <v/>
      </c>
      <c r="D594" s="26" t="str">
        <f aca="false">IF(A594="","",COUNTIF(Pubs!$G$2:$G$3001,A594))</f>
        <v/>
      </c>
      <c r="E594" s="26" t="str">
        <f aca="false">IF(A594="","",COUNTIF(Apparitions!$J$2:$J$5001,A594))</f>
        <v/>
      </c>
    </row>
    <row r="595" customFormat="false" ht="15" hidden="false" customHeight="false" outlineLevel="0" collapsed="false">
      <c r="A595" s="19"/>
      <c r="B595" s="19"/>
      <c r="C595" s="26" t="str">
        <f aca="false">IF(A595="","",COUNTIF(Jeux!$C$2:$C$3001,A595))</f>
        <v/>
      </c>
      <c r="D595" s="26" t="str">
        <f aca="false">IF(A595="","",COUNTIF(Pubs!$G$2:$G$3001,A595))</f>
        <v/>
      </c>
      <c r="E595" s="26" t="str">
        <f aca="false">IF(A595="","",COUNTIF(Apparitions!$J$2:$J$5001,A595))</f>
        <v/>
      </c>
    </row>
    <row r="596" customFormat="false" ht="15" hidden="false" customHeight="false" outlineLevel="0" collapsed="false">
      <c r="A596" s="19"/>
      <c r="B596" s="19"/>
      <c r="C596" s="26" t="str">
        <f aca="false">IF(A596="","",COUNTIF(Jeux!$C$2:$C$3001,A596))</f>
        <v/>
      </c>
      <c r="D596" s="26" t="str">
        <f aca="false">IF(A596="","",COUNTIF(Pubs!$G$2:$G$3001,A596))</f>
        <v/>
      </c>
      <c r="E596" s="26" t="str">
        <f aca="false">IF(A596="","",COUNTIF(Apparitions!$J$2:$J$5001,A596))</f>
        <v/>
      </c>
    </row>
    <row r="597" customFormat="false" ht="15" hidden="false" customHeight="false" outlineLevel="0" collapsed="false">
      <c r="A597" s="19"/>
      <c r="B597" s="19"/>
      <c r="C597" s="26" t="str">
        <f aca="false">IF(A597="","",COUNTIF(Jeux!$C$2:$C$3001,A597))</f>
        <v/>
      </c>
      <c r="D597" s="26" t="str">
        <f aca="false">IF(A597="","",COUNTIF(Pubs!$G$2:$G$3001,A597))</f>
        <v/>
      </c>
      <c r="E597" s="26" t="str">
        <f aca="false">IF(A597="","",COUNTIF(Apparitions!$J$2:$J$5001,A597))</f>
        <v/>
      </c>
    </row>
    <row r="598" customFormat="false" ht="15" hidden="false" customHeight="false" outlineLevel="0" collapsed="false">
      <c r="A598" s="19"/>
      <c r="B598" s="19"/>
      <c r="C598" s="26" t="str">
        <f aca="false">IF(A598="","",COUNTIF(Jeux!$C$2:$C$3001,A598))</f>
        <v/>
      </c>
      <c r="D598" s="26" t="str">
        <f aca="false">IF(A598="","",COUNTIF(Pubs!$G$2:$G$3001,A598))</f>
        <v/>
      </c>
      <c r="E598" s="26" t="str">
        <f aca="false">IF(A598="","",COUNTIF(Apparitions!$J$2:$J$5001,A598))</f>
        <v/>
      </c>
    </row>
    <row r="599" customFormat="false" ht="15" hidden="false" customHeight="false" outlineLevel="0" collapsed="false">
      <c r="A599" s="19"/>
      <c r="B599" s="19"/>
      <c r="C599" s="26" t="str">
        <f aca="false">IF(A599="","",COUNTIF(Jeux!$C$2:$C$3001,A599))</f>
        <v/>
      </c>
      <c r="D599" s="26" t="str">
        <f aca="false">IF(A599="","",COUNTIF(Pubs!$G$2:$G$3001,A599))</f>
        <v/>
      </c>
      <c r="E599" s="26" t="str">
        <f aca="false">IF(A599="","",COUNTIF(Apparitions!$J$2:$J$5001,A599))</f>
        <v/>
      </c>
    </row>
    <row r="600" customFormat="false" ht="15" hidden="false" customHeight="false" outlineLevel="0" collapsed="false">
      <c r="A600" s="19"/>
      <c r="B600" s="19"/>
      <c r="C600" s="26" t="str">
        <f aca="false">IF(A600="","",COUNTIF(Jeux!$C$2:$C$3001,A600))</f>
        <v/>
      </c>
      <c r="D600" s="26" t="str">
        <f aca="false">IF(A600="","",COUNTIF(Pubs!$G$2:$G$3001,A600))</f>
        <v/>
      </c>
      <c r="E600" s="26" t="str">
        <f aca="false">IF(A600="","",COUNTIF(Apparitions!$J$2:$J$5001,A600))</f>
        <v/>
      </c>
    </row>
    <row r="601" customFormat="false" ht="15" hidden="false" customHeight="false" outlineLevel="0" collapsed="false">
      <c r="A601" s="19"/>
      <c r="B601" s="19"/>
      <c r="C601" s="26" t="str">
        <f aca="false">IF(A601="","",COUNTIF(Jeux!$C$2:$C$3001,A601))</f>
        <v/>
      </c>
      <c r="D601" s="26" t="str">
        <f aca="false">IF(A601="","",COUNTIF(Pubs!$G$2:$G$3001,A601))</f>
        <v/>
      </c>
      <c r="E601" s="26" t="str">
        <f aca="false">IF(A601="","",COUNTIF(Apparitions!$J$2:$J$5001,A601))</f>
        <v/>
      </c>
    </row>
    <row r="602" customFormat="false" ht="15" hidden="false" customHeight="false" outlineLevel="0" collapsed="false">
      <c r="A602" s="19"/>
      <c r="B602" s="19"/>
      <c r="C602" s="26" t="str">
        <f aca="false">IF(A602="","",COUNTIF(Jeux!$C$2:$C$3001,A602))</f>
        <v/>
      </c>
      <c r="D602" s="26" t="str">
        <f aca="false">IF(A602="","",COUNTIF(Pubs!$G$2:$G$3001,A602))</f>
        <v/>
      </c>
      <c r="E602" s="26" t="str">
        <f aca="false">IF(A602="","",COUNTIF(Apparitions!$J$2:$J$5001,A602))</f>
        <v/>
      </c>
    </row>
    <row r="603" customFormat="false" ht="15" hidden="false" customHeight="false" outlineLevel="0" collapsed="false">
      <c r="A603" s="19"/>
      <c r="B603" s="19"/>
      <c r="C603" s="26" t="str">
        <f aca="false">IF(A603="","",COUNTIF(Jeux!$C$2:$C$3001,A603))</f>
        <v/>
      </c>
      <c r="D603" s="26" t="str">
        <f aca="false">IF(A603="","",COUNTIF(Pubs!$G$2:$G$3001,A603))</f>
        <v/>
      </c>
      <c r="E603" s="26" t="str">
        <f aca="false">IF(A603="","",COUNTIF(Apparitions!$J$2:$J$5001,A603))</f>
        <v/>
      </c>
    </row>
    <row r="604" customFormat="false" ht="15" hidden="false" customHeight="false" outlineLevel="0" collapsed="false">
      <c r="A604" s="19"/>
      <c r="B604" s="19"/>
      <c r="C604" s="26" t="str">
        <f aca="false">IF(A604="","",COUNTIF(Jeux!$C$2:$C$3001,A604))</f>
        <v/>
      </c>
      <c r="D604" s="26" t="str">
        <f aca="false">IF(A604="","",COUNTIF(Pubs!$G$2:$G$3001,A604))</f>
        <v/>
      </c>
      <c r="E604" s="26" t="str">
        <f aca="false">IF(A604="","",COUNTIF(Apparitions!$J$2:$J$5001,A604))</f>
        <v/>
      </c>
    </row>
    <row r="605" customFormat="false" ht="15" hidden="false" customHeight="false" outlineLevel="0" collapsed="false">
      <c r="A605" s="19"/>
      <c r="B605" s="19"/>
      <c r="C605" s="26" t="str">
        <f aca="false">IF(A605="","",COUNTIF(Jeux!$C$2:$C$3001,A605))</f>
        <v/>
      </c>
      <c r="D605" s="26" t="str">
        <f aca="false">IF(A605="","",COUNTIF(Pubs!$G$2:$G$3001,A605))</f>
        <v/>
      </c>
      <c r="E605" s="26" t="str">
        <f aca="false">IF(A605="","",COUNTIF(Apparitions!$J$2:$J$5001,A605))</f>
        <v/>
      </c>
    </row>
    <row r="606" customFormat="false" ht="15" hidden="false" customHeight="false" outlineLevel="0" collapsed="false">
      <c r="A606" s="19"/>
      <c r="B606" s="19"/>
      <c r="C606" s="26" t="str">
        <f aca="false">IF(A606="","",COUNTIF(Jeux!$C$2:$C$3001,A606))</f>
        <v/>
      </c>
      <c r="D606" s="26" t="str">
        <f aca="false">IF(A606="","",COUNTIF(Pubs!$G$2:$G$3001,A606))</f>
        <v/>
      </c>
      <c r="E606" s="26" t="str">
        <f aca="false">IF(A606="","",COUNTIF(Apparitions!$J$2:$J$5001,A606))</f>
        <v/>
      </c>
    </row>
    <row r="607" customFormat="false" ht="15" hidden="false" customHeight="false" outlineLevel="0" collapsed="false">
      <c r="A607" s="19"/>
      <c r="B607" s="19"/>
      <c r="C607" s="26" t="str">
        <f aca="false">IF(A607="","",COUNTIF(Jeux!$C$2:$C$3001,A607))</f>
        <v/>
      </c>
      <c r="D607" s="26" t="str">
        <f aca="false">IF(A607="","",COUNTIF(Pubs!$G$2:$G$3001,A607))</f>
        <v/>
      </c>
      <c r="E607" s="26" t="str">
        <f aca="false">IF(A607="","",COUNTIF(Apparitions!$J$2:$J$5001,A607))</f>
        <v/>
      </c>
    </row>
    <row r="608" customFormat="false" ht="15" hidden="false" customHeight="false" outlineLevel="0" collapsed="false">
      <c r="A608" s="19"/>
      <c r="B608" s="19"/>
      <c r="C608" s="26" t="str">
        <f aca="false">IF(A608="","",COUNTIF(Jeux!$C$2:$C$3001,A608))</f>
        <v/>
      </c>
      <c r="D608" s="26" t="str">
        <f aca="false">IF(A608="","",COUNTIF(Pubs!$G$2:$G$3001,A608))</f>
        <v/>
      </c>
      <c r="E608" s="26" t="str">
        <f aca="false">IF(A608="","",COUNTIF(Apparitions!$J$2:$J$5001,A608))</f>
        <v/>
      </c>
    </row>
    <row r="609" customFormat="false" ht="15" hidden="false" customHeight="false" outlineLevel="0" collapsed="false">
      <c r="A609" s="19"/>
      <c r="B609" s="19"/>
      <c r="C609" s="26" t="str">
        <f aca="false">IF(A609="","",COUNTIF(Jeux!$C$2:$C$3001,A609))</f>
        <v/>
      </c>
      <c r="D609" s="26" t="str">
        <f aca="false">IF(A609="","",COUNTIF(Pubs!$G$2:$G$3001,A609))</f>
        <v/>
      </c>
      <c r="E609" s="26" t="str">
        <f aca="false">IF(A609="","",COUNTIF(Apparitions!$J$2:$J$5001,A609))</f>
        <v/>
      </c>
    </row>
    <row r="610" customFormat="false" ht="15" hidden="false" customHeight="false" outlineLevel="0" collapsed="false">
      <c r="A610" s="19"/>
      <c r="B610" s="19"/>
      <c r="C610" s="26" t="str">
        <f aca="false">IF(A610="","",COUNTIF(Jeux!$C$2:$C$3001,A610))</f>
        <v/>
      </c>
      <c r="D610" s="26" t="str">
        <f aca="false">IF(A610="","",COUNTIF(Pubs!$G$2:$G$3001,A610))</f>
        <v/>
      </c>
      <c r="E610" s="26" t="str">
        <f aca="false">IF(A610="","",COUNTIF(Apparitions!$J$2:$J$5001,A610))</f>
        <v/>
      </c>
    </row>
    <row r="611" customFormat="false" ht="15" hidden="false" customHeight="false" outlineLevel="0" collapsed="false">
      <c r="A611" s="19"/>
      <c r="B611" s="19"/>
      <c r="C611" s="26" t="str">
        <f aca="false">IF(A611="","",COUNTIF(Jeux!$C$2:$C$3001,A611))</f>
        <v/>
      </c>
      <c r="D611" s="26" t="str">
        <f aca="false">IF(A611="","",COUNTIF(Pubs!$G$2:$G$3001,A611))</f>
        <v/>
      </c>
      <c r="E611" s="26" t="str">
        <f aca="false">IF(A611="","",COUNTIF(Apparitions!$J$2:$J$5001,A611))</f>
        <v/>
      </c>
    </row>
    <row r="612" customFormat="false" ht="15" hidden="false" customHeight="false" outlineLevel="0" collapsed="false">
      <c r="A612" s="19"/>
      <c r="B612" s="19"/>
      <c r="C612" s="26" t="str">
        <f aca="false">IF(A612="","",COUNTIF(Jeux!$C$2:$C$3001,A612))</f>
        <v/>
      </c>
      <c r="D612" s="26" t="str">
        <f aca="false">IF(A612="","",COUNTIF(Pubs!$G$2:$G$3001,A612))</f>
        <v/>
      </c>
      <c r="E612" s="26" t="str">
        <f aca="false">IF(A612="","",COUNTIF(Apparitions!$J$2:$J$5001,A612))</f>
        <v/>
      </c>
    </row>
    <row r="613" customFormat="false" ht="15" hidden="false" customHeight="false" outlineLevel="0" collapsed="false">
      <c r="A613" s="19"/>
      <c r="B613" s="19"/>
      <c r="C613" s="26" t="str">
        <f aca="false">IF(A613="","",COUNTIF(Jeux!$C$2:$C$3001,A613))</f>
        <v/>
      </c>
      <c r="D613" s="26" t="str">
        <f aca="false">IF(A613="","",COUNTIF(Pubs!$G$2:$G$3001,A613))</f>
        <v/>
      </c>
      <c r="E613" s="26" t="str">
        <f aca="false">IF(A613="","",COUNTIF(Apparitions!$J$2:$J$5001,A613))</f>
        <v/>
      </c>
    </row>
    <row r="614" customFormat="false" ht="15" hidden="false" customHeight="false" outlineLevel="0" collapsed="false">
      <c r="A614" s="19"/>
      <c r="B614" s="19"/>
      <c r="C614" s="26" t="str">
        <f aca="false">IF(A614="","",COUNTIF(Jeux!$C$2:$C$3001,A614))</f>
        <v/>
      </c>
      <c r="D614" s="26" t="str">
        <f aca="false">IF(A614="","",COUNTIF(Pubs!$G$2:$G$3001,A614))</f>
        <v/>
      </c>
      <c r="E614" s="26" t="str">
        <f aca="false">IF(A614="","",COUNTIF(Apparitions!$J$2:$J$5001,A614))</f>
        <v/>
      </c>
    </row>
    <row r="615" customFormat="false" ht="15" hidden="false" customHeight="false" outlineLevel="0" collapsed="false">
      <c r="A615" s="19"/>
      <c r="B615" s="19"/>
      <c r="C615" s="26" t="str">
        <f aca="false">IF(A615="","",COUNTIF(Jeux!$C$2:$C$3001,A615))</f>
        <v/>
      </c>
      <c r="D615" s="26" t="str">
        <f aca="false">IF(A615="","",COUNTIF(Pubs!$G$2:$G$3001,A615))</f>
        <v/>
      </c>
      <c r="E615" s="26" t="str">
        <f aca="false">IF(A615="","",COUNTIF(Apparitions!$J$2:$J$5001,A615))</f>
        <v/>
      </c>
    </row>
    <row r="616" customFormat="false" ht="15" hidden="false" customHeight="false" outlineLevel="0" collapsed="false">
      <c r="A616" s="19"/>
      <c r="B616" s="19"/>
      <c r="C616" s="26" t="str">
        <f aca="false">IF(A616="","",COUNTIF(Jeux!$C$2:$C$3001,A616))</f>
        <v/>
      </c>
      <c r="D616" s="26" t="str">
        <f aca="false">IF(A616="","",COUNTIF(Pubs!$G$2:$G$3001,A616))</f>
        <v/>
      </c>
      <c r="E616" s="26" t="str">
        <f aca="false">IF(A616="","",COUNTIF(Apparitions!$J$2:$J$5001,A616))</f>
        <v/>
      </c>
    </row>
    <row r="617" customFormat="false" ht="15" hidden="false" customHeight="false" outlineLevel="0" collapsed="false">
      <c r="A617" s="19"/>
      <c r="B617" s="19"/>
      <c r="C617" s="26" t="str">
        <f aca="false">IF(A617="","",COUNTIF(Jeux!$C$2:$C$3001,A617))</f>
        <v/>
      </c>
      <c r="D617" s="26" t="str">
        <f aca="false">IF(A617="","",COUNTIF(Pubs!$G$2:$G$3001,A617))</f>
        <v/>
      </c>
      <c r="E617" s="26" t="str">
        <f aca="false">IF(A617="","",COUNTIF(Apparitions!$J$2:$J$5001,A617))</f>
        <v/>
      </c>
    </row>
    <row r="618" customFormat="false" ht="15" hidden="false" customHeight="false" outlineLevel="0" collapsed="false">
      <c r="A618" s="19"/>
      <c r="B618" s="19"/>
      <c r="C618" s="26" t="str">
        <f aca="false">IF(A618="","",COUNTIF(Jeux!$C$2:$C$3001,A618))</f>
        <v/>
      </c>
      <c r="D618" s="26" t="str">
        <f aca="false">IF(A618="","",COUNTIF(Pubs!$G$2:$G$3001,A618))</f>
        <v/>
      </c>
      <c r="E618" s="26" t="str">
        <f aca="false">IF(A618="","",COUNTIF(Apparitions!$J$2:$J$5001,A618))</f>
        <v/>
      </c>
    </row>
    <row r="619" customFormat="false" ht="15" hidden="false" customHeight="false" outlineLevel="0" collapsed="false">
      <c r="A619" s="19"/>
      <c r="B619" s="19"/>
      <c r="C619" s="26" t="str">
        <f aca="false">IF(A619="","",COUNTIF(Jeux!$C$2:$C$3001,A619))</f>
        <v/>
      </c>
      <c r="D619" s="26" t="str">
        <f aca="false">IF(A619="","",COUNTIF(Pubs!$G$2:$G$3001,A619))</f>
        <v/>
      </c>
      <c r="E619" s="26" t="str">
        <f aca="false">IF(A619="","",COUNTIF(Apparitions!$J$2:$J$5001,A619))</f>
        <v/>
      </c>
    </row>
    <row r="620" customFormat="false" ht="15" hidden="false" customHeight="false" outlineLevel="0" collapsed="false">
      <c r="A620" s="19"/>
      <c r="B620" s="19"/>
      <c r="C620" s="26" t="str">
        <f aca="false">IF(A620="","",COUNTIF(Jeux!$C$2:$C$3001,A620))</f>
        <v/>
      </c>
      <c r="D620" s="26" t="str">
        <f aca="false">IF(A620="","",COUNTIF(Pubs!$G$2:$G$3001,A620))</f>
        <v/>
      </c>
      <c r="E620" s="26" t="str">
        <f aca="false">IF(A620="","",COUNTIF(Apparitions!$J$2:$J$5001,A620))</f>
        <v/>
      </c>
    </row>
    <row r="621" customFormat="false" ht="15" hidden="false" customHeight="false" outlineLevel="0" collapsed="false">
      <c r="A621" s="19"/>
      <c r="B621" s="19"/>
      <c r="C621" s="26" t="str">
        <f aca="false">IF(A621="","",COUNTIF(Jeux!$C$2:$C$3001,A621))</f>
        <v/>
      </c>
      <c r="D621" s="26" t="str">
        <f aca="false">IF(A621="","",COUNTIF(Pubs!$G$2:$G$3001,A621))</f>
        <v/>
      </c>
      <c r="E621" s="26" t="str">
        <f aca="false">IF(A621="","",COUNTIF(Apparitions!$J$2:$J$5001,A621))</f>
        <v/>
      </c>
    </row>
    <row r="622" customFormat="false" ht="15" hidden="false" customHeight="false" outlineLevel="0" collapsed="false">
      <c r="A622" s="19"/>
      <c r="B622" s="19"/>
      <c r="C622" s="26" t="str">
        <f aca="false">IF(A622="","",COUNTIF(Jeux!$C$2:$C$3001,A622))</f>
        <v/>
      </c>
      <c r="D622" s="26" t="str">
        <f aca="false">IF(A622="","",COUNTIF(Pubs!$G$2:$G$3001,A622))</f>
        <v/>
      </c>
      <c r="E622" s="26" t="str">
        <f aca="false">IF(A622="","",COUNTIF(Apparitions!$J$2:$J$5001,A622))</f>
        <v/>
      </c>
    </row>
    <row r="623" customFormat="false" ht="15" hidden="false" customHeight="false" outlineLevel="0" collapsed="false">
      <c r="A623" s="19"/>
      <c r="B623" s="19"/>
      <c r="C623" s="26" t="str">
        <f aca="false">IF(A623="","",COUNTIF(Jeux!$C$2:$C$3001,A623))</f>
        <v/>
      </c>
      <c r="D623" s="26" t="str">
        <f aca="false">IF(A623="","",COUNTIF(Pubs!$G$2:$G$3001,A623))</f>
        <v/>
      </c>
      <c r="E623" s="26" t="str">
        <f aca="false">IF(A623="","",COUNTIF(Apparitions!$J$2:$J$5001,A623))</f>
        <v/>
      </c>
    </row>
    <row r="624" customFormat="false" ht="15" hidden="false" customHeight="false" outlineLevel="0" collapsed="false">
      <c r="A624" s="19"/>
      <c r="B624" s="19"/>
      <c r="C624" s="26" t="str">
        <f aca="false">IF(A624="","",COUNTIF(Jeux!$C$2:$C$3001,A624))</f>
        <v/>
      </c>
      <c r="D624" s="26" t="str">
        <f aca="false">IF(A624="","",COUNTIF(Pubs!$G$2:$G$3001,A624))</f>
        <v/>
      </c>
      <c r="E624" s="26" t="str">
        <f aca="false">IF(A624="","",COUNTIF(Apparitions!$J$2:$J$5001,A624))</f>
        <v/>
      </c>
    </row>
    <row r="625" customFormat="false" ht="15" hidden="false" customHeight="false" outlineLevel="0" collapsed="false">
      <c r="A625" s="19"/>
      <c r="B625" s="19"/>
      <c r="C625" s="26" t="str">
        <f aca="false">IF(A625="","",COUNTIF(Jeux!$C$2:$C$3001,A625))</f>
        <v/>
      </c>
      <c r="D625" s="26" t="str">
        <f aca="false">IF(A625="","",COUNTIF(Pubs!$G$2:$G$3001,A625))</f>
        <v/>
      </c>
      <c r="E625" s="26" t="str">
        <f aca="false">IF(A625="","",COUNTIF(Apparitions!$J$2:$J$5001,A625))</f>
        <v/>
      </c>
    </row>
    <row r="626" customFormat="false" ht="15" hidden="false" customHeight="false" outlineLevel="0" collapsed="false">
      <c r="A626" s="19"/>
      <c r="B626" s="19"/>
      <c r="C626" s="26" t="str">
        <f aca="false">IF(A626="","",COUNTIF(Jeux!$C$2:$C$3001,A626))</f>
        <v/>
      </c>
      <c r="D626" s="26" t="str">
        <f aca="false">IF(A626="","",COUNTIF(Pubs!$G$2:$G$3001,A626))</f>
        <v/>
      </c>
      <c r="E626" s="26" t="str">
        <f aca="false">IF(A626="","",COUNTIF(Apparitions!$J$2:$J$5001,A626))</f>
        <v/>
      </c>
    </row>
    <row r="627" customFormat="false" ht="15" hidden="false" customHeight="false" outlineLevel="0" collapsed="false">
      <c r="A627" s="19"/>
      <c r="B627" s="19"/>
      <c r="C627" s="26" t="str">
        <f aca="false">IF(A627="","",COUNTIF(Jeux!$C$2:$C$3001,A627))</f>
        <v/>
      </c>
      <c r="D627" s="26" t="str">
        <f aca="false">IF(A627="","",COUNTIF(Pubs!$G$2:$G$3001,A627))</f>
        <v/>
      </c>
      <c r="E627" s="26" t="str">
        <f aca="false">IF(A627="","",COUNTIF(Apparitions!$J$2:$J$5001,A627))</f>
        <v/>
      </c>
    </row>
    <row r="628" customFormat="false" ht="15" hidden="false" customHeight="false" outlineLevel="0" collapsed="false">
      <c r="A628" s="19"/>
      <c r="B628" s="19"/>
      <c r="C628" s="26" t="str">
        <f aca="false">IF(A628="","",COUNTIF(Jeux!$C$2:$C$3001,A628))</f>
        <v/>
      </c>
      <c r="D628" s="26" t="str">
        <f aca="false">IF(A628="","",COUNTIF(Pubs!$G$2:$G$3001,A628))</f>
        <v/>
      </c>
      <c r="E628" s="26" t="str">
        <f aca="false">IF(A628="","",COUNTIF(Apparitions!$J$2:$J$5001,A628))</f>
        <v/>
      </c>
    </row>
    <row r="629" customFormat="false" ht="15" hidden="false" customHeight="false" outlineLevel="0" collapsed="false">
      <c r="A629" s="19"/>
      <c r="B629" s="19"/>
      <c r="C629" s="26" t="str">
        <f aca="false">IF(A629="","",COUNTIF(Jeux!$C$2:$C$3001,A629))</f>
        <v/>
      </c>
      <c r="D629" s="26" t="str">
        <f aca="false">IF(A629="","",COUNTIF(Pubs!$G$2:$G$3001,A629))</f>
        <v/>
      </c>
      <c r="E629" s="26" t="str">
        <f aca="false">IF(A629="","",COUNTIF(Apparitions!$J$2:$J$5001,A629))</f>
        <v/>
      </c>
    </row>
    <row r="630" customFormat="false" ht="15" hidden="false" customHeight="false" outlineLevel="0" collapsed="false">
      <c r="A630" s="19"/>
      <c r="B630" s="19"/>
      <c r="C630" s="26" t="str">
        <f aca="false">IF(A630="","",COUNTIF(Jeux!$C$2:$C$3001,A630))</f>
        <v/>
      </c>
      <c r="D630" s="26" t="str">
        <f aca="false">IF(A630="","",COUNTIF(Pubs!$G$2:$G$3001,A630))</f>
        <v/>
      </c>
      <c r="E630" s="26" t="str">
        <f aca="false">IF(A630="","",COUNTIF(Apparitions!$J$2:$J$5001,A630))</f>
        <v/>
      </c>
    </row>
    <row r="631" customFormat="false" ht="15" hidden="false" customHeight="false" outlineLevel="0" collapsed="false">
      <c r="A631" s="19"/>
      <c r="B631" s="19"/>
      <c r="C631" s="26" t="str">
        <f aca="false">IF(A631="","",COUNTIF(Jeux!$C$2:$C$3001,A631))</f>
        <v/>
      </c>
      <c r="D631" s="26" t="str">
        <f aca="false">IF(A631="","",COUNTIF(Pubs!$G$2:$G$3001,A631))</f>
        <v/>
      </c>
      <c r="E631" s="26" t="str">
        <f aca="false">IF(A631="","",COUNTIF(Apparitions!$J$2:$J$5001,A631))</f>
        <v/>
      </c>
    </row>
    <row r="632" customFormat="false" ht="15" hidden="false" customHeight="false" outlineLevel="0" collapsed="false">
      <c r="A632" s="19"/>
      <c r="B632" s="19"/>
      <c r="C632" s="26" t="str">
        <f aca="false">IF(A632="","",COUNTIF(Jeux!$C$2:$C$3001,A632))</f>
        <v/>
      </c>
      <c r="D632" s="26" t="str">
        <f aca="false">IF(A632="","",COUNTIF(Pubs!$G$2:$G$3001,A632))</f>
        <v/>
      </c>
      <c r="E632" s="26" t="str">
        <f aca="false">IF(A632="","",COUNTIF(Apparitions!$J$2:$J$5001,A632))</f>
        <v/>
      </c>
    </row>
    <row r="633" customFormat="false" ht="15" hidden="false" customHeight="false" outlineLevel="0" collapsed="false">
      <c r="A633" s="19"/>
      <c r="B633" s="19"/>
      <c r="C633" s="26" t="str">
        <f aca="false">IF(A633="","",COUNTIF(Jeux!$C$2:$C$3001,A633))</f>
        <v/>
      </c>
      <c r="D633" s="26" t="str">
        <f aca="false">IF(A633="","",COUNTIF(Pubs!$G$2:$G$3001,A633))</f>
        <v/>
      </c>
      <c r="E633" s="26" t="str">
        <f aca="false">IF(A633="","",COUNTIF(Apparitions!$J$2:$J$5001,A633))</f>
        <v/>
      </c>
    </row>
    <row r="634" customFormat="false" ht="15" hidden="false" customHeight="false" outlineLevel="0" collapsed="false">
      <c r="A634" s="19"/>
      <c r="B634" s="19"/>
      <c r="C634" s="26" t="str">
        <f aca="false">IF(A634="","",COUNTIF(Jeux!$C$2:$C$3001,A634))</f>
        <v/>
      </c>
      <c r="D634" s="26" t="str">
        <f aca="false">IF(A634="","",COUNTIF(Pubs!$G$2:$G$3001,A634))</f>
        <v/>
      </c>
      <c r="E634" s="26" t="str">
        <f aca="false">IF(A634="","",COUNTIF(Apparitions!$J$2:$J$5001,A634))</f>
        <v/>
      </c>
    </row>
    <row r="635" customFormat="false" ht="15" hidden="false" customHeight="false" outlineLevel="0" collapsed="false">
      <c r="A635" s="19"/>
      <c r="B635" s="19"/>
      <c r="C635" s="26" t="str">
        <f aca="false">IF(A635="","",COUNTIF(Jeux!$C$2:$C$3001,A635))</f>
        <v/>
      </c>
      <c r="D635" s="26" t="str">
        <f aca="false">IF(A635="","",COUNTIF(Pubs!$G$2:$G$3001,A635))</f>
        <v/>
      </c>
      <c r="E635" s="26" t="str">
        <f aca="false">IF(A635="","",COUNTIF(Apparitions!$J$2:$J$5001,A635))</f>
        <v/>
      </c>
    </row>
    <row r="636" customFormat="false" ht="15" hidden="false" customHeight="false" outlineLevel="0" collapsed="false">
      <c r="A636" s="19"/>
      <c r="B636" s="19"/>
      <c r="C636" s="26" t="str">
        <f aca="false">IF(A636="","",COUNTIF(Jeux!$C$2:$C$3001,A636))</f>
        <v/>
      </c>
      <c r="D636" s="26" t="str">
        <f aca="false">IF(A636="","",COUNTIF(Pubs!$G$2:$G$3001,A636))</f>
        <v/>
      </c>
      <c r="E636" s="26" t="str">
        <f aca="false">IF(A636="","",COUNTIF(Apparitions!$J$2:$J$5001,A636))</f>
        <v/>
      </c>
    </row>
    <row r="637" customFormat="false" ht="15" hidden="false" customHeight="false" outlineLevel="0" collapsed="false">
      <c r="A637" s="19"/>
      <c r="B637" s="19"/>
      <c r="C637" s="26" t="str">
        <f aca="false">IF(A637="","",COUNTIF(Jeux!$C$2:$C$3001,A637))</f>
        <v/>
      </c>
      <c r="D637" s="26" t="str">
        <f aca="false">IF(A637="","",COUNTIF(Pubs!$G$2:$G$3001,A637))</f>
        <v/>
      </c>
      <c r="E637" s="26" t="str">
        <f aca="false">IF(A637="","",COUNTIF(Apparitions!$J$2:$J$5001,A637))</f>
        <v/>
      </c>
    </row>
    <row r="638" customFormat="false" ht="15" hidden="false" customHeight="false" outlineLevel="0" collapsed="false">
      <c r="A638" s="19"/>
      <c r="B638" s="19"/>
      <c r="C638" s="26" t="str">
        <f aca="false">IF(A638="","",COUNTIF(Jeux!$C$2:$C$3001,A638))</f>
        <v/>
      </c>
      <c r="D638" s="26" t="str">
        <f aca="false">IF(A638="","",COUNTIF(Pubs!$G$2:$G$3001,A638))</f>
        <v/>
      </c>
      <c r="E638" s="26" t="str">
        <f aca="false">IF(A638="","",COUNTIF(Apparitions!$J$2:$J$5001,A638))</f>
        <v/>
      </c>
    </row>
    <row r="639" customFormat="false" ht="15" hidden="false" customHeight="false" outlineLevel="0" collapsed="false">
      <c r="A639" s="19"/>
      <c r="B639" s="19"/>
      <c r="C639" s="26" t="str">
        <f aca="false">IF(A639="","",COUNTIF(Jeux!$C$2:$C$3001,A639))</f>
        <v/>
      </c>
      <c r="D639" s="26" t="str">
        <f aca="false">IF(A639="","",COUNTIF(Pubs!$G$2:$G$3001,A639))</f>
        <v/>
      </c>
      <c r="E639" s="26" t="str">
        <f aca="false">IF(A639="","",COUNTIF(Apparitions!$J$2:$J$5001,A639))</f>
        <v/>
      </c>
    </row>
    <row r="640" customFormat="false" ht="15" hidden="false" customHeight="false" outlineLevel="0" collapsed="false">
      <c r="A640" s="19"/>
      <c r="B640" s="19"/>
      <c r="C640" s="26" t="str">
        <f aca="false">IF(A640="","",COUNTIF(Jeux!$C$2:$C$3001,A640))</f>
        <v/>
      </c>
      <c r="D640" s="26" t="str">
        <f aca="false">IF(A640="","",COUNTIF(Pubs!$G$2:$G$3001,A640))</f>
        <v/>
      </c>
      <c r="E640" s="26" t="str">
        <f aca="false">IF(A640="","",COUNTIF(Apparitions!$J$2:$J$5001,A640))</f>
        <v/>
      </c>
    </row>
    <row r="641" customFormat="false" ht="15" hidden="false" customHeight="false" outlineLevel="0" collapsed="false">
      <c r="A641" s="19"/>
      <c r="B641" s="19"/>
      <c r="C641" s="26" t="str">
        <f aca="false">IF(A641="","",COUNTIF(Jeux!$C$2:$C$3001,A641))</f>
        <v/>
      </c>
      <c r="D641" s="26" t="str">
        <f aca="false">IF(A641="","",COUNTIF(Pubs!$G$2:$G$3001,A641))</f>
        <v/>
      </c>
      <c r="E641" s="26" t="str">
        <f aca="false">IF(A641="","",COUNTIF(Apparitions!$J$2:$J$5001,A641))</f>
        <v/>
      </c>
    </row>
    <row r="642" customFormat="false" ht="15" hidden="false" customHeight="false" outlineLevel="0" collapsed="false">
      <c r="A642" s="19"/>
      <c r="B642" s="19"/>
      <c r="C642" s="26" t="str">
        <f aca="false">IF(A642="","",COUNTIF(Jeux!$C$2:$C$3001,A642))</f>
        <v/>
      </c>
      <c r="D642" s="26" t="str">
        <f aca="false">IF(A642="","",COUNTIF(Pubs!$G$2:$G$3001,A642))</f>
        <v/>
      </c>
      <c r="E642" s="26" t="str">
        <f aca="false">IF(A642="","",COUNTIF(Apparitions!$J$2:$J$5001,A642))</f>
        <v/>
      </c>
    </row>
    <row r="643" customFormat="false" ht="15" hidden="false" customHeight="false" outlineLevel="0" collapsed="false">
      <c r="A643" s="19"/>
      <c r="B643" s="19"/>
      <c r="C643" s="26" t="str">
        <f aca="false">IF(A643="","",COUNTIF(Jeux!$C$2:$C$3001,A643))</f>
        <v/>
      </c>
      <c r="D643" s="26" t="str">
        <f aca="false">IF(A643="","",COUNTIF(Pubs!$G$2:$G$3001,A643))</f>
        <v/>
      </c>
      <c r="E643" s="26" t="str">
        <f aca="false">IF(A643="","",COUNTIF(Apparitions!$J$2:$J$5001,A643))</f>
        <v/>
      </c>
    </row>
    <row r="644" customFormat="false" ht="15" hidden="false" customHeight="false" outlineLevel="0" collapsed="false">
      <c r="A644" s="19"/>
      <c r="B644" s="19"/>
      <c r="C644" s="26" t="str">
        <f aca="false">IF(A644="","",COUNTIF(Jeux!$C$2:$C$3001,A644))</f>
        <v/>
      </c>
      <c r="D644" s="26" t="str">
        <f aca="false">IF(A644="","",COUNTIF(Pubs!$G$2:$G$3001,A644))</f>
        <v/>
      </c>
      <c r="E644" s="26" t="str">
        <f aca="false">IF(A644="","",COUNTIF(Apparitions!$J$2:$J$5001,A644))</f>
        <v/>
      </c>
    </row>
    <row r="645" customFormat="false" ht="15" hidden="false" customHeight="false" outlineLevel="0" collapsed="false">
      <c r="A645" s="19"/>
      <c r="B645" s="19"/>
      <c r="C645" s="26" t="str">
        <f aca="false">IF(A645="","",COUNTIF(Jeux!$C$2:$C$3001,A645))</f>
        <v/>
      </c>
      <c r="D645" s="26" t="str">
        <f aca="false">IF(A645="","",COUNTIF(Pubs!$G$2:$G$3001,A645))</f>
        <v/>
      </c>
      <c r="E645" s="26" t="str">
        <f aca="false">IF(A645="","",COUNTIF(Apparitions!$J$2:$J$5001,A645))</f>
        <v/>
      </c>
    </row>
    <row r="646" customFormat="false" ht="15" hidden="false" customHeight="false" outlineLevel="0" collapsed="false">
      <c r="A646" s="19"/>
      <c r="B646" s="19"/>
      <c r="C646" s="26" t="str">
        <f aca="false">IF(A646="","",COUNTIF(Jeux!$C$2:$C$3001,A646))</f>
        <v/>
      </c>
      <c r="D646" s="26" t="str">
        <f aca="false">IF(A646="","",COUNTIF(Pubs!$G$2:$G$3001,A646))</f>
        <v/>
      </c>
      <c r="E646" s="26" t="str">
        <f aca="false">IF(A646="","",COUNTIF(Apparitions!$J$2:$J$5001,A646))</f>
        <v/>
      </c>
    </row>
    <row r="647" customFormat="false" ht="15" hidden="false" customHeight="false" outlineLevel="0" collapsed="false">
      <c r="A647" s="19"/>
      <c r="B647" s="19"/>
      <c r="C647" s="26" t="str">
        <f aca="false">IF(A647="","",COUNTIF(Jeux!$C$2:$C$3001,A647))</f>
        <v/>
      </c>
      <c r="D647" s="26" t="str">
        <f aca="false">IF(A647="","",COUNTIF(Pubs!$G$2:$G$3001,A647))</f>
        <v/>
      </c>
      <c r="E647" s="26" t="str">
        <f aca="false">IF(A647="","",COUNTIF(Apparitions!$J$2:$J$5001,A647))</f>
        <v/>
      </c>
    </row>
    <row r="648" customFormat="false" ht="15" hidden="false" customHeight="false" outlineLevel="0" collapsed="false">
      <c r="A648" s="19"/>
      <c r="B648" s="19"/>
      <c r="C648" s="26" t="str">
        <f aca="false">IF(A648="","",COUNTIF(Jeux!$C$2:$C$3001,A648))</f>
        <v/>
      </c>
      <c r="D648" s="26" t="str">
        <f aca="false">IF(A648="","",COUNTIF(Pubs!$G$2:$G$3001,A648))</f>
        <v/>
      </c>
      <c r="E648" s="26" t="str">
        <f aca="false">IF(A648="","",COUNTIF(Apparitions!$J$2:$J$5001,A648))</f>
        <v/>
      </c>
    </row>
    <row r="649" customFormat="false" ht="15" hidden="false" customHeight="false" outlineLevel="0" collapsed="false">
      <c r="A649" s="19"/>
      <c r="B649" s="19"/>
      <c r="C649" s="26" t="str">
        <f aca="false">IF(A649="","",COUNTIF(Jeux!$C$2:$C$3001,A649))</f>
        <v/>
      </c>
      <c r="D649" s="26" t="str">
        <f aca="false">IF(A649="","",COUNTIF(Pubs!$G$2:$G$3001,A649))</f>
        <v/>
      </c>
      <c r="E649" s="26" t="str">
        <f aca="false">IF(A649="","",COUNTIF(Apparitions!$J$2:$J$5001,A649))</f>
        <v/>
      </c>
    </row>
    <row r="650" customFormat="false" ht="15" hidden="false" customHeight="false" outlineLevel="0" collapsed="false">
      <c r="A650" s="19"/>
      <c r="B650" s="19"/>
      <c r="C650" s="26" t="str">
        <f aca="false">IF(A650="","",COUNTIF(Jeux!$C$2:$C$3001,A650))</f>
        <v/>
      </c>
      <c r="D650" s="26" t="str">
        <f aca="false">IF(A650="","",COUNTIF(Pubs!$G$2:$G$3001,A650))</f>
        <v/>
      </c>
      <c r="E650" s="26" t="str">
        <f aca="false">IF(A650="","",COUNTIF(Apparitions!$J$2:$J$5001,A650))</f>
        <v/>
      </c>
    </row>
    <row r="651" customFormat="false" ht="15" hidden="false" customHeight="false" outlineLevel="0" collapsed="false">
      <c r="A651" s="19"/>
      <c r="B651" s="19"/>
      <c r="C651" s="26" t="str">
        <f aca="false">IF(A651="","",COUNTIF(Jeux!$C$2:$C$3001,A651))</f>
        <v/>
      </c>
      <c r="D651" s="26" t="str">
        <f aca="false">IF(A651="","",COUNTIF(Pubs!$G$2:$G$3001,A651))</f>
        <v/>
      </c>
      <c r="E651" s="26" t="str">
        <f aca="false">IF(A651="","",COUNTIF(Apparitions!$J$2:$J$5001,A651))</f>
        <v/>
      </c>
    </row>
    <row r="652" customFormat="false" ht="15" hidden="false" customHeight="false" outlineLevel="0" collapsed="false">
      <c r="A652" s="19"/>
      <c r="B652" s="19"/>
      <c r="C652" s="26" t="str">
        <f aca="false">IF(A652="","",COUNTIF(Jeux!$C$2:$C$3001,A652))</f>
        <v/>
      </c>
      <c r="D652" s="26" t="str">
        <f aca="false">IF(A652="","",COUNTIF(Pubs!$G$2:$G$3001,A652))</f>
        <v/>
      </c>
      <c r="E652" s="26" t="str">
        <f aca="false">IF(A652="","",COUNTIF(Apparitions!$J$2:$J$5001,A652))</f>
        <v/>
      </c>
    </row>
    <row r="653" customFormat="false" ht="15" hidden="false" customHeight="false" outlineLevel="0" collapsed="false">
      <c r="A653" s="19"/>
      <c r="B653" s="19"/>
      <c r="C653" s="26" t="str">
        <f aca="false">IF(A653="","",COUNTIF(Jeux!$C$2:$C$3001,A653))</f>
        <v/>
      </c>
      <c r="D653" s="26" t="str">
        <f aca="false">IF(A653="","",COUNTIF(Pubs!$G$2:$G$3001,A653))</f>
        <v/>
      </c>
      <c r="E653" s="26" t="str">
        <f aca="false">IF(A653="","",COUNTIF(Apparitions!$J$2:$J$5001,A653))</f>
        <v/>
      </c>
    </row>
    <row r="654" customFormat="false" ht="15" hidden="false" customHeight="false" outlineLevel="0" collapsed="false">
      <c r="A654" s="19"/>
      <c r="B654" s="19"/>
      <c r="C654" s="26" t="str">
        <f aca="false">IF(A654="","",COUNTIF(Jeux!$C$2:$C$3001,A654))</f>
        <v/>
      </c>
      <c r="D654" s="26" t="str">
        <f aca="false">IF(A654="","",COUNTIF(Pubs!$G$2:$G$3001,A654))</f>
        <v/>
      </c>
      <c r="E654" s="26" t="str">
        <f aca="false">IF(A654="","",COUNTIF(Apparitions!$J$2:$J$5001,A654))</f>
        <v/>
      </c>
    </row>
    <row r="655" customFormat="false" ht="15" hidden="false" customHeight="false" outlineLevel="0" collapsed="false">
      <c r="A655" s="19"/>
      <c r="B655" s="19"/>
      <c r="C655" s="26" t="str">
        <f aca="false">IF(A655="","",COUNTIF(Jeux!$C$2:$C$3001,A655))</f>
        <v/>
      </c>
      <c r="D655" s="26" t="str">
        <f aca="false">IF(A655="","",COUNTIF(Pubs!$G$2:$G$3001,A655))</f>
        <v/>
      </c>
      <c r="E655" s="26" t="str">
        <f aca="false">IF(A655="","",COUNTIF(Apparitions!$J$2:$J$5001,A655))</f>
        <v/>
      </c>
    </row>
    <row r="656" customFormat="false" ht="15" hidden="false" customHeight="false" outlineLevel="0" collapsed="false">
      <c r="A656" s="19"/>
      <c r="B656" s="19"/>
      <c r="C656" s="26" t="str">
        <f aca="false">IF(A656="","",COUNTIF(Jeux!$C$2:$C$3001,A656))</f>
        <v/>
      </c>
      <c r="D656" s="26" t="str">
        <f aca="false">IF(A656="","",COUNTIF(Pubs!$G$2:$G$3001,A656))</f>
        <v/>
      </c>
      <c r="E656" s="26" t="str">
        <f aca="false">IF(A656="","",COUNTIF(Apparitions!$J$2:$J$5001,A656))</f>
        <v/>
      </c>
    </row>
    <row r="657" customFormat="false" ht="15" hidden="false" customHeight="false" outlineLevel="0" collapsed="false">
      <c r="A657" s="19"/>
      <c r="B657" s="19"/>
      <c r="C657" s="26" t="str">
        <f aca="false">IF(A657="","",COUNTIF(Jeux!$C$2:$C$3001,A657))</f>
        <v/>
      </c>
      <c r="D657" s="26" t="str">
        <f aca="false">IF(A657="","",COUNTIF(Pubs!$G$2:$G$3001,A657))</f>
        <v/>
      </c>
      <c r="E657" s="26" t="str">
        <f aca="false">IF(A657="","",COUNTIF(Apparitions!$J$2:$J$5001,A657))</f>
        <v/>
      </c>
    </row>
    <row r="658" customFormat="false" ht="15" hidden="false" customHeight="false" outlineLevel="0" collapsed="false">
      <c r="A658" s="19"/>
      <c r="B658" s="19"/>
      <c r="C658" s="26" t="str">
        <f aca="false">IF(A658="","",COUNTIF(Jeux!$C$2:$C$3001,A658))</f>
        <v/>
      </c>
      <c r="D658" s="26" t="str">
        <f aca="false">IF(A658="","",COUNTIF(Pubs!$G$2:$G$3001,A658))</f>
        <v/>
      </c>
      <c r="E658" s="26" t="str">
        <f aca="false">IF(A658="","",COUNTIF(Apparitions!$J$2:$J$5001,A658))</f>
        <v/>
      </c>
    </row>
    <row r="659" customFormat="false" ht="15" hidden="false" customHeight="false" outlineLevel="0" collapsed="false">
      <c r="A659" s="19"/>
      <c r="B659" s="19"/>
      <c r="C659" s="26" t="str">
        <f aca="false">IF(A659="","",COUNTIF(Jeux!$C$2:$C$3001,A659))</f>
        <v/>
      </c>
      <c r="D659" s="26" t="str">
        <f aca="false">IF(A659="","",COUNTIF(Pubs!$G$2:$G$3001,A659))</f>
        <v/>
      </c>
      <c r="E659" s="26" t="str">
        <f aca="false">IF(A659="","",COUNTIF(Apparitions!$J$2:$J$5001,A659))</f>
        <v/>
      </c>
    </row>
    <row r="660" customFormat="false" ht="15" hidden="false" customHeight="false" outlineLevel="0" collapsed="false">
      <c r="A660" s="19"/>
      <c r="B660" s="19"/>
      <c r="C660" s="26" t="str">
        <f aca="false">IF(A660="","",COUNTIF(Jeux!$C$2:$C$3001,A660))</f>
        <v/>
      </c>
      <c r="D660" s="26" t="str">
        <f aca="false">IF(A660="","",COUNTIF(Pubs!$G$2:$G$3001,A660))</f>
        <v/>
      </c>
      <c r="E660" s="26" t="str">
        <f aca="false">IF(A660="","",COUNTIF(Apparitions!$J$2:$J$5001,A660))</f>
        <v/>
      </c>
    </row>
    <row r="661" customFormat="false" ht="15" hidden="false" customHeight="false" outlineLevel="0" collapsed="false">
      <c r="A661" s="19"/>
      <c r="B661" s="19"/>
      <c r="C661" s="26" t="str">
        <f aca="false">IF(A661="","",COUNTIF(Jeux!$C$2:$C$3001,A661))</f>
        <v/>
      </c>
      <c r="D661" s="26" t="str">
        <f aca="false">IF(A661="","",COUNTIF(Pubs!$G$2:$G$3001,A661))</f>
        <v/>
      </c>
      <c r="E661" s="26" t="str">
        <f aca="false">IF(A661="","",COUNTIF(Apparitions!$J$2:$J$5001,A661))</f>
        <v/>
      </c>
    </row>
    <row r="662" customFormat="false" ht="15" hidden="false" customHeight="false" outlineLevel="0" collapsed="false">
      <c r="A662" s="19"/>
      <c r="B662" s="19"/>
      <c r="C662" s="26" t="str">
        <f aca="false">IF(A662="","",COUNTIF(Jeux!$C$2:$C$3001,A662))</f>
        <v/>
      </c>
      <c r="D662" s="26" t="str">
        <f aca="false">IF(A662="","",COUNTIF(Pubs!$G$2:$G$3001,A662))</f>
        <v/>
      </c>
      <c r="E662" s="26" t="str">
        <f aca="false">IF(A662="","",COUNTIF(Apparitions!$J$2:$J$5001,A662))</f>
        <v/>
      </c>
    </row>
    <row r="663" customFormat="false" ht="15" hidden="false" customHeight="false" outlineLevel="0" collapsed="false">
      <c r="A663" s="19"/>
      <c r="B663" s="19"/>
      <c r="C663" s="26" t="str">
        <f aca="false">IF(A663="","",COUNTIF(Jeux!$C$2:$C$3001,A663))</f>
        <v/>
      </c>
      <c r="D663" s="26" t="str">
        <f aca="false">IF(A663="","",COUNTIF(Pubs!$G$2:$G$3001,A663))</f>
        <v/>
      </c>
      <c r="E663" s="26" t="str">
        <f aca="false">IF(A663="","",COUNTIF(Apparitions!$J$2:$J$5001,A663))</f>
        <v/>
      </c>
    </row>
    <row r="664" customFormat="false" ht="15" hidden="false" customHeight="false" outlineLevel="0" collapsed="false">
      <c r="A664" s="19"/>
      <c r="B664" s="19"/>
      <c r="C664" s="26" t="str">
        <f aca="false">IF(A664="","",COUNTIF(Jeux!$C$2:$C$3001,A664))</f>
        <v/>
      </c>
      <c r="D664" s="26" t="str">
        <f aca="false">IF(A664="","",COUNTIF(Pubs!$G$2:$G$3001,A664))</f>
        <v/>
      </c>
      <c r="E664" s="26" t="str">
        <f aca="false">IF(A664="","",COUNTIF(Apparitions!$J$2:$J$5001,A664))</f>
        <v/>
      </c>
    </row>
    <row r="665" customFormat="false" ht="15" hidden="false" customHeight="false" outlineLevel="0" collapsed="false">
      <c r="A665" s="19"/>
      <c r="B665" s="19"/>
      <c r="C665" s="26" t="str">
        <f aca="false">IF(A665="","",COUNTIF(Jeux!$C$2:$C$3001,A665))</f>
        <v/>
      </c>
      <c r="D665" s="26" t="str">
        <f aca="false">IF(A665="","",COUNTIF(Pubs!$G$2:$G$3001,A665))</f>
        <v/>
      </c>
      <c r="E665" s="26" t="str">
        <f aca="false">IF(A665="","",COUNTIF(Apparitions!$J$2:$J$5001,A665))</f>
        <v/>
      </c>
    </row>
    <row r="666" customFormat="false" ht="15" hidden="false" customHeight="false" outlineLevel="0" collapsed="false">
      <c r="A666" s="19"/>
      <c r="B666" s="19"/>
      <c r="C666" s="26" t="str">
        <f aca="false">IF(A666="","",COUNTIF(Jeux!$C$2:$C$3001,A666))</f>
        <v/>
      </c>
      <c r="D666" s="26" t="str">
        <f aca="false">IF(A666="","",COUNTIF(Pubs!$G$2:$G$3001,A666))</f>
        <v/>
      </c>
      <c r="E666" s="26" t="str">
        <f aca="false">IF(A666="","",COUNTIF(Apparitions!$J$2:$J$5001,A666))</f>
        <v/>
      </c>
    </row>
    <row r="667" customFormat="false" ht="15" hidden="false" customHeight="false" outlineLevel="0" collapsed="false">
      <c r="A667" s="19"/>
      <c r="B667" s="19"/>
      <c r="C667" s="26" t="str">
        <f aca="false">IF(A667="","",COUNTIF(Jeux!$C$2:$C$3001,A667))</f>
        <v/>
      </c>
      <c r="D667" s="26" t="str">
        <f aca="false">IF(A667="","",COUNTIF(Pubs!$G$2:$G$3001,A667))</f>
        <v/>
      </c>
      <c r="E667" s="26" t="str">
        <f aca="false">IF(A667="","",COUNTIF(Apparitions!$J$2:$J$5001,A667))</f>
        <v/>
      </c>
    </row>
    <row r="668" customFormat="false" ht="15" hidden="false" customHeight="false" outlineLevel="0" collapsed="false">
      <c r="A668" s="19"/>
      <c r="B668" s="19"/>
      <c r="C668" s="26" t="str">
        <f aca="false">IF(A668="","",COUNTIF(Jeux!$C$2:$C$3001,A668))</f>
        <v/>
      </c>
      <c r="D668" s="26" t="str">
        <f aca="false">IF(A668="","",COUNTIF(Pubs!$G$2:$G$3001,A668))</f>
        <v/>
      </c>
      <c r="E668" s="26" t="str">
        <f aca="false">IF(A668="","",COUNTIF(Apparitions!$J$2:$J$5001,A668))</f>
        <v/>
      </c>
    </row>
    <row r="669" customFormat="false" ht="15" hidden="false" customHeight="false" outlineLevel="0" collapsed="false">
      <c r="A669" s="19"/>
      <c r="B669" s="19"/>
      <c r="C669" s="26" t="str">
        <f aca="false">IF(A669="","",COUNTIF(Jeux!$C$2:$C$3001,A669))</f>
        <v/>
      </c>
      <c r="D669" s="26" t="str">
        <f aca="false">IF(A669="","",COUNTIF(Pubs!$G$2:$G$3001,A669))</f>
        <v/>
      </c>
      <c r="E669" s="26" t="str">
        <f aca="false">IF(A669="","",COUNTIF(Apparitions!$J$2:$J$5001,A669))</f>
        <v/>
      </c>
    </row>
    <row r="670" customFormat="false" ht="15" hidden="false" customHeight="false" outlineLevel="0" collapsed="false">
      <c r="A670" s="19"/>
      <c r="B670" s="19"/>
      <c r="C670" s="26" t="str">
        <f aca="false">IF(A670="","",COUNTIF(Jeux!$C$2:$C$3001,A670))</f>
        <v/>
      </c>
      <c r="D670" s="26" t="str">
        <f aca="false">IF(A670="","",COUNTIF(Pubs!$G$2:$G$3001,A670))</f>
        <v/>
      </c>
      <c r="E670" s="26" t="str">
        <f aca="false">IF(A670="","",COUNTIF(Apparitions!$J$2:$J$5001,A670))</f>
        <v/>
      </c>
    </row>
    <row r="671" customFormat="false" ht="15" hidden="false" customHeight="false" outlineLevel="0" collapsed="false">
      <c r="A671" s="19"/>
      <c r="B671" s="19"/>
      <c r="C671" s="26" t="str">
        <f aca="false">IF(A671="","",COUNTIF(Jeux!$C$2:$C$3001,A671))</f>
        <v/>
      </c>
      <c r="D671" s="26" t="str">
        <f aca="false">IF(A671="","",COUNTIF(Pubs!$G$2:$G$3001,A671))</f>
        <v/>
      </c>
      <c r="E671" s="26" t="str">
        <f aca="false">IF(A671="","",COUNTIF(Apparitions!$J$2:$J$5001,A671))</f>
        <v/>
      </c>
    </row>
    <row r="672" customFormat="false" ht="15" hidden="false" customHeight="false" outlineLevel="0" collapsed="false">
      <c r="A672" s="19"/>
      <c r="B672" s="19"/>
      <c r="C672" s="26" t="str">
        <f aca="false">IF(A672="","",COUNTIF(Jeux!$C$2:$C$3001,A672))</f>
        <v/>
      </c>
      <c r="D672" s="26" t="str">
        <f aca="false">IF(A672="","",COUNTIF(Pubs!$G$2:$G$3001,A672))</f>
        <v/>
      </c>
      <c r="E672" s="26" t="str">
        <f aca="false">IF(A672="","",COUNTIF(Apparitions!$J$2:$J$5001,A672))</f>
        <v/>
      </c>
    </row>
    <row r="673" customFormat="false" ht="15" hidden="false" customHeight="false" outlineLevel="0" collapsed="false">
      <c r="A673" s="19"/>
      <c r="B673" s="19"/>
      <c r="C673" s="26" t="str">
        <f aca="false">IF(A673="","",COUNTIF(Jeux!$C$2:$C$3001,A673))</f>
        <v/>
      </c>
      <c r="D673" s="26" t="str">
        <f aca="false">IF(A673="","",COUNTIF(Pubs!$G$2:$G$3001,A673))</f>
        <v/>
      </c>
      <c r="E673" s="26" t="str">
        <f aca="false">IF(A673="","",COUNTIF(Apparitions!$J$2:$J$5001,A673))</f>
        <v/>
      </c>
    </row>
    <row r="674" customFormat="false" ht="15" hidden="false" customHeight="false" outlineLevel="0" collapsed="false">
      <c r="A674" s="19"/>
      <c r="B674" s="19"/>
      <c r="C674" s="26" t="str">
        <f aca="false">IF(A674="","",COUNTIF(Jeux!$C$2:$C$3001,A674))</f>
        <v/>
      </c>
      <c r="D674" s="26" t="str">
        <f aca="false">IF(A674="","",COUNTIF(Pubs!$G$2:$G$3001,A674))</f>
        <v/>
      </c>
      <c r="E674" s="26" t="str">
        <f aca="false">IF(A674="","",COUNTIF(Apparitions!$J$2:$J$5001,A674))</f>
        <v/>
      </c>
    </row>
    <row r="675" customFormat="false" ht="15" hidden="false" customHeight="false" outlineLevel="0" collapsed="false">
      <c r="A675" s="19"/>
      <c r="B675" s="19"/>
      <c r="C675" s="26" t="str">
        <f aca="false">IF(A675="","",COUNTIF(Jeux!$C$2:$C$3001,A675))</f>
        <v/>
      </c>
      <c r="D675" s="26" t="str">
        <f aca="false">IF(A675="","",COUNTIF(Pubs!$G$2:$G$3001,A675))</f>
        <v/>
      </c>
      <c r="E675" s="26" t="str">
        <f aca="false">IF(A675="","",COUNTIF(Apparitions!$J$2:$J$5001,A675))</f>
        <v/>
      </c>
    </row>
    <row r="676" customFormat="false" ht="15" hidden="false" customHeight="false" outlineLevel="0" collapsed="false">
      <c r="A676" s="19"/>
      <c r="B676" s="19"/>
      <c r="C676" s="26" t="str">
        <f aca="false">IF(A676="","",COUNTIF(Jeux!$C$2:$C$3001,A676))</f>
        <v/>
      </c>
      <c r="D676" s="26" t="str">
        <f aca="false">IF(A676="","",COUNTIF(Pubs!$G$2:$G$3001,A676))</f>
        <v/>
      </c>
      <c r="E676" s="26" t="str">
        <f aca="false">IF(A676="","",COUNTIF(Apparitions!$J$2:$J$5001,A676))</f>
        <v/>
      </c>
    </row>
    <row r="677" customFormat="false" ht="15" hidden="false" customHeight="false" outlineLevel="0" collapsed="false">
      <c r="A677" s="19"/>
      <c r="B677" s="19"/>
      <c r="C677" s="26" t="str">
        <f aca="false">IF(A677="","",COUNTIF(Jeux!$C$2:$C$3001,A677))</f>
        <v/>
      </c>
      <c r="D677" s="26" t="str">
        <f aca="false">IF(A677="","",COUNTIF(Pubs!$G$2:$G$3001,A677))</f>
        <v/>
      </c>
      <c r="E677" s="26" t="str">
        <f aca="false">IF(A677="","",COUNTIF(Apparitions!$J$2:$J$5001,A677))</f>
        <v/>
      </c>
    </row>
    <row r="678" customFormat="false" ht="15" hidden="false" customHeight="false" outlineLevel="0" collapsed="false">
      <c r="A678" s="19"/>
      <c r="B678" s="19"/>
      <c r="C678" s="26" t="str">
        <f aca="false">IF(A678="","",COUNTIF(Jeux!$C$2:$C$3001,A678))</f>
        <v/>
      </c>
      <c r="D678" s="26" t="str">
        <f aca="false">IF(A678="","",COUNTIF(Pubs!$G$2:$G$3001,A678))</f>
        <v/>
      </c>
      <c r="E678" s="26" t="str">
        <f aca="false">IF(A678="","",COUNTIF(Apparitions!$J$2:$J$5001,A678))</f>
        <v/>
      </c>
    </row>
    <row r="679" customFormat="false" ht="15" hidden="false" customHeight="false" outlineLevel="0" collapsed="false">
      <c r="A679" s="19"/>
      <c r="B679" s="19"/>
      <c r="C679" s="26" t="str">
        <f aca="false">IF(A679="","",COUNTIF(Jeux!$C$2:$C$3001,A679))</f>
        <v/>
      </c>
      <c r="D679" s="26" t="str">
        <f aca="false">IF(A679="","",COUNTIF(Pubs!$G$2:$G$3001,A679))</f>
        <v/>
      </c>
      <c r="E679" s="26" t="str">
        <f aca="false">IF(A679="","",COUNTIF(Apparitions!$J$2:$J$5001,A679))</f>
        <v/>
      </c>
    </row>
    <row r="680" customFormat="false" ht="15" hidden="false" customHeight="false" outlineLevel="0" collapsed="false">
      <c r="A680" s="19"/>
      <c r="B680" s="19"/>
      <c r="C680" s="26" t="str">
        <f aca="false">IF(A680="","",COUNTIF(Jeux!$C$2:$C$3001,A680))</f>
        <v/>
      </c>
      <c r="D680" s="26" t="str">
        <f aca="false">IF(A680="","",COUNTIF(Pubs!$G$2:$G$3001,A680))</f>
        <v/>
      </c>
      <c r="E680" s="26" t="str">
        <f aca="false">IF(A680="","",COUNTIF(Apparitions!$J$2:$J$5001,A680))</f>
        <v/>
      </c>
    </row>
    <row r="681" customFormat="false" ht="15" hidden="false" customHeight="false" outlineLevel="0" collapsed="false">
      <c r="A681" s="19"/>
      <c r="B681" s="19"/>
      <c r="C681" s="26" t="str">
        <f aca="false">IF(A681="","",COUNTIF(Jeux!$C$2:$C$3001,A681))</f>
        <v/>
      </c>
      <c r="D681" s="26" t="str">
        <f aca="false">IF(A681="","",COUNTIF(Pubs!$G$2:$G$3001,A681))</f>
        <v/>
      </c>
      <c r="E681" s="26" t="str">
        <f aca="false">IF(A681="","",COUNTIF(Apparitions!$J$2:$J$5001,A681))</f>
        <v/>
      </c>
    </row>
    <row r="682" customFormat="false" ht="15" hidden="false" customHeight="false" outlineLevel="0" collapsed="false">
      <c r="A682" s="19"/>
      <c r="B682" s="19"/>
      <c r="C682" s="26" t="str">
        <f aca="false">IF(A682="","",COUNTIF(Jeux!$C$2:$C$3001,A682))</f>
        <v/>
      </c>
      <c r="D682" s="26" t="str">
        <f aca="false">IF(A682="","",COUNTIF(Pubs!$G$2:$G$3001,A682))</f>
        <v/>
      </c>
      <c r="E682" s="26" t="str">
        <f aca="false">IF(A682="","",COUNTIF(Apparitions!$J$2:$J$5001,A682))</f>
        <v/>
      </c>
    </row>
    <row r="683" customFormat="false" ht="15" hidden="false" customHeight="false" outlineLevel="0" collapsed="false">
      <c r="A683" s="19"/>
      <c r="B683" s="19"/>
      <c r="C683" s="26" t="str">
        <f aca="false">IF(A683="","",COUNTIF(Jeux!$C$2:$C$3001,A683))</f>
        <v/>
      </c>
      <c r="D683" s="26" t="str">
        <f aca="false">IF(A683="","",COUNTIF(Pubs!$G$2:$G$3001,A683))</f>
        <v/>
      </c>
      <c r="E683" s="26" t="str">
        <f aca="false">IF(A683="","",COUNTIF(Apparitions!$J$2:$J$5001,A683))</f>
        <v/>
      </c>
    </row>
    <row r="684" customFormat="false" ht="15" hidden="false" customHeight="false" outlineLevel="0" collapsed="false">
      <c r="A684" s="19"/>
      <c r="B684" s="19"/>
      <c r="C684" s="26" t="str">
        <f aca="false">IF(A684="","",COUNTIF(Jeux!$C$2:$C$3001,A684))</f>
        <v/>
      </c>
      <c r="D684" s="26" t="str">
        <f aca="false">IF(A684="","",COUNTIF(Pubs!$G$2:$G$3001,A684))</f>
        <v/>
      </c>
      <c r="E684" s="26" t="str">
        <f aca="false">IF(A684="","",COUNTIF(Apparitions!$J$2:$J$5001,A684))</f>
        <v/>
      </c>
    </row>
    <row r="685" customFormat="false" ht="15" hidden="false" customHeight="false" outlineLevel="0" collapsed="false">
      <c r="A685" s="19"/>
      <c r="B685" s="19"/>
      <c r="C685" s="26" t="str">
        <f aca="false">IF(A685="","",COUNTIF(Jeux!$C$2:$C$3001,A685))</f>
        <v/>
      </c>
      <c r="D685" s="26" t="str">
        <f aca="false">IF(A685="","",COUNTIF(Pubs!$G$2:$G$3001,A685))</f>
        <v/>
      </c>
      <c r="E685" s="26" t="str">
        <f aca="false">IF(A685="","",COUNTIF(Apparitions!$J$2:$J$5001,A685))</f>
        <v/>
      </c>
    </row>
    <row r="686" customFormat="false" ht="15" hidden="false" customHeight="false" outlineLevel="0" collapsed="false">
      <c r="A686" s="19"/>
      <c r="B686" s="19"/>
      <c r="C686" s="26" t="str">
        <f aca="false">IF(A686="","",COUNTIF(Jeux!$C$2:$C$3001,A686))</f>
        <v/>
      </c>
      <c r="D686" s="26" t="str">
        <f aca="false">IF(A686="","",COUNTIF(Pubs!$G$2:$G$3001,A686))</f>
        <v/>
      </c>
      <c r="E686" s="26" t="str">
        <f aca="false">IF(A686="","",COUNTIF(Apparitions!$J$2:$J$5001,A686))</f>
        <v/>
      </c>
    </row>
    <row r="687" customFormat="false" ht="15" hidden="false" customHeight="false" outlineLevel="0" collapsed="false">
      <c r="A687" s="19"/>
      <c r="B687" s="19"/>
      <c r="C687" s="26" t="str">
        <f aca="false">IF(A687="","",COUNTIF(Jeux!$C$2:$C$3001,A687))</f>
        <v/>
      </c>
      <c r="D687" s="26" t="str">
        <f aca="false">IF(A687="","",COUNTIF(Pubs!$G$2:$G$3001,A687))</f>
        <v/>
      </c>
      <c r="E687" s="26" t="str">
        <f aca="false">IF(A687="","",COUNTIF(Apparitions!$J$2:$J$5001,A687))</f>
        <v/>
      </c>
    </row>
    <row r="688" customFormat="false" ht="15" hidden="false" customHeight="false" outlineLevel="0" collapsed="false">
      <c r="A688" s="19"/>
      <c r="B688" s="19"/>
      <c r="C688" s="26" t="str">
        <f aca="false">IF(A688="","",COUNTIF(Jeux!$C$2:$C$3001,A688))</f>
        <v/>
      </c>
      <c r="D688" s="26" t="str">
        <f aca="false">IF(A688="","",COUNTIF(Pubs!$G$2:$G$3001,A688))</f>
        <v/>
      </c>
      <c r="E688" s="26" t="str">
        <f aca="false">IF(A688="","",COUNTIF(Apparitions!$J$2:$J$5001,A688))</f>
        <v/>
      </c>
    </row>
    <row r="689" customFormat="false" ht="15" hidden="false" customHeight="false" outlineLevel="0" collapsed="false">
      <c r="A689" s="19"/>
      <c r="B689" s="19"/>
      <c r="C689" s="26" t="str">
        <f aca="false">IF(A689="","",COUNTIF(Jeux!$C$2:$C$3001,A689))</f>
        <v/>
      </c>
      <c r="D689" s="26" t="str">
        <f aca="false">IF(A689="","",COUNTIF(Pubs!$G$2:$G$3001,A689))</f>
        <v/>
      </c>
      <c r="E689" s="26" t="str">
        <f aca="false">IF(A689="","",COUNTIF(Apparitions!$J$2:$J$5001,A689))</f>
        <v/>
      </c>
    </row>
    <row r="690" customFormat="false" ht="15" hidden="false" customHeight="false" outlineLevel="0" collapsed="false">
      <c r="A690" s="19"/>
      <c r="B690" s="19"/>
      <c r="C690" s="26" t="str">
        <f aca="false">IF(A690="","",COUNTIF(Jeux!$C$2:$C$3001,A690))</f>
        <v/>
      </c>
      <c r="D690" s="26" t="str">
        <f aca="false">IF(A690="","",COUNTIF(Pubs!$G$2:$G$3001,A690))</f>
        <v/>
      </c>
      <c r="E690" s="26" t="str">
        <f aca="false">IF(A690="","",COUNTIF(Apparitions!$J$2:$J$5001,A690))</f>
        <v/>
      </c>
    </row>
    <row r="691" customFormat="false" ht="15" hidden="false" customHeight="false" outlineLevel="0" collapsed="false">
      <c r="A691" s="19"/>
      <c r="B691" s="19"/>
      <c r="C691" s="26" t="str">
        <f aca="false">IF(A691="","",COUNTIF(Jeux!$C$2:$C$3001,A691))</f>
        <v/>
      </c>
      <c r="D691" s="26" t="str">
        <f aca="false">IF(A691="","",COUNTIF(Pubs!$G$2:$G$3001,A691))</f>
        <v/>
      </c>
      <c r="E691" s="26" t="str">
        <f aca="false">IF(A691="","",COUNTIF(Apparitions!$J$2:$J$5001,A691))</f>
        <v/>
      </c>
    </row>
    <row r="692" customFormat="false" ht="15" hidden="false" customHeight="false" outlineLevel="0" collapsed="false">
      <c r="A692" s="19"/>
      <c r="B692" s="19"/>
      <c r="C692" s="26" t="str">
        <f aca="false">IF(A692="","",COUNTIF(Jeux!$C$2:$C$3001,A692))</f>
        <v/>
      </c>
      <c r="D692" s="26" t="str">
        <f aca="false">IF(A692="","",COUNTIF(Pubs!$G$2:$G$3001,A692))</f>
        <v/>
      </c>
      <c r="E692" s="26" t="str">
        <f aca="false">IF(A692="","",COUNTIF(Apparitions!$J$2:$J$5001,A692))</f>
        <v/>
      </c>
    </row>
    <row r="693" customFormat="false" ht="15" hidden="false" customHeight="false" outlineLevel="0" collapsed="false">
      <c r="A693" s="19"/>
      <c r="B693" s="19"/>
      <c r="C693" s="26" t="str">
        <f aca="false">IF(A693="","",COUNTIF(Jeux!$C$2:$C$3001,A693))</f>
        <v/>
      </c>
      <c r="D693" s="26" t="str">
        <f aca="false">IF(A693="","",COUNTIF(Pubs!$G$2:$G$3001,A693))</f>
        <v/>
      </c>
      <c r="E693" s="26" t="str">
        <f aca="false">IF(A693="","",COUNTIF(Apparitions!$J$2:$J$5001,A693))</f>
        <v/>
      </c>
    </row>
    <row r="694" customFormat="false" ht="15" hidden="false" customHeight="false" outlineLevel="0" collapsed="false">
      <c r="A694" s="19"/>
      <c r="B694" s="19"/>
      <c r="C694" s="26" t="str">
        <f aca="false">IF(A694="","",COUNTIF(Jeux!$C$2:$C$3001,A694))</f>
        <v/>
      </c>
      <c r="D694" s="26" t="str">
        <f aca="false">IF(A694="","",COUNTIF(Pubs!$G$2:$G$3001,A694))</f>
        <v/>
      </c>
      <c r="E694" s="26" t="str">
        <f aca="false">IF(A694="","",COUNTIF(Apparitions!$J$2:$J$5001,A694))</f>
        <v/>
      </c>
    </row>
    <row r="695" customFormat="false" ht="15" hidden="false" customHeight="false" outlineLevel="0" collapsed="false">
      <c r="A695" s="19"/>
      <c r="B695" s="19"/>
      <c r="C695" s="26" t="str">
        <f aca="false">IF(A695="","",COUNTIF(Jeux!$C$2:$C$3001,A695))</f>
        <v/>
      </c>
      <c r="D695" s="26" t="str">
        <f aca="false">IF(A695="","",COUNTIF(Pubs!$G$2:$G$3001,A695))</f>
        <v/>
      </c>
      <c r="E695" s="26" t="str">
        <f aca="false">IF(A695="","",COUNTIF(Apparitions!$J$2:$J$5001,A695))</f>
        <v/>
      </c>
    </row>
    <row r="696" customFormat="false" ht="15" hidden="false" customHeight="false" outlineLevel="0" collapsed="false">
      <c r="A696" s="19"/>
      <c r="B696" s="19"/>
      <c r="C696" s="26" t="str">
        <f aca="false">IF(A696="","",COUNTIF(Jeux!$C$2:$C$3001,A696))</f>
        <v/>
      </c>
      <c r="D696" s="26" t="str">
        <f aca="false">IF(A696="","",COUNTIF(Pubs!$G$2:$G$3001,A696))</f>
        <v/>
      </c>
      <c r="E696" s="26" t="str">
        <f aca="false">IF(A696="","",COUNTIF(Apparitions!$J$2:$J$5001,A696))</f>
        <v/>
      </c>
    </row>
    <row r="697" customFormat="false" ht="15" hidden="false" customHeight="false" outlineLevel="0" collapsed="false">
      <c r="A697" s="19"/>
      <c r="B697" s="19"/>
      <c r="C697" s="26" t="str">
        <f aca="false">IF(A697="","",COUNTIF(Jeux!$C$2:$C$3001,A697))</f>
        <v/>
      </c>
      <c r="D697" s="26" t="str">
        <f aca="false">IF(A697="","",COUNTIF(Pubs!$G$2:$G$3001,A697))</f>
        <v/>
      </c>
      <c r="E697" s="26" t="str">
        <f aca="false">IF(A697="","",COUNTIF(Apparitions!$J$2:$J$5001,A697))</f>
        <v/>
      </c>
    </row>
    <row r="698" customFormat="false" ht="15" hidden="false" customHeight="false" outlineLevel="0" collapsed="false">
      <c r="A698" s="19"/>
      <c r="B698" s="19"/>
      <c r="C698" s="26" t="str">
        <f aca="false">IF(A698="","",COUNTIF(Jeux!$C$2:$C$3001,A698))</f>
        <v/>
      </c>
      <c r="D698" s="26" t="str">
        <f aca="false">IF(A698="","",COUNTIF(Pubs!$G$2:$G$3001,A698))</f>
        <v/>
      </c>
      <c r="E698" s="26" t="str">
        <f aca="false">IF(A698="","",COUNTIF(Apparitions!$J$2:$J$5001,A698))</f>
        <v/>
      </c>
    </row>
    <row r="699" customFormat="false" ht="15" hidden="false" customHeight="false" outlineLevel="0" collapsed="false">
      <c r="A699" s="19"/>
      <c r="B699" s="19"/>
      <c r="C699" s="26" t="str">
        <f aca="false">IF(A699="","",COUNTIF(Jeux!$C$2:$C$3001,A699))</f>
        <v/>
      </c>
      <c r="D699" s="26" t="str">
        <f aca="false">IF(A699="","",COUNTIF(Pubs!$G$2:$G$3001,A699))</f>
        <v/>
      </c>
      <c r="E699" s="26" t="str">
        <f aca="false">IF(A699="","",COUNTIF(Apparitions!$J$2:$J$5001,A699))</f>
        <v/>
      </c>
    </row>
    <row r="700" customFormat="false" ht="15" hidden="false" customHeight="false" outlineLevel="0" collapsed="false">
      <c r="A700" s="19"/>
      <c r="B700" s="19"/>
      <c r="C700" s="26" t="str">
        <f aca="false">IF(A700="","",COUNTIF(Jeux!$C$2:$C$3001,A700))</f>
        <v/>
      </c>
      <c r="D700" s="26" t="str">
        <f aca="false">IF(A700="","",COUNTIF(Pubs!$G$2:$G$3001,A700))</f>
        <v/>
      </c>
      <c r="E700" s="26" t="str">
        <f aca="false">IF(A700="","",COUNTIF(Apparitions!$J$2:$J$5001,A700))</f>
        <v/>
      </c>
    </row>
    <row r="701" customFormat="false" ht="15" hidden="false" customHeight="false" outlineLevel="0" collapsed="false">
      <c r="A701" s="19"/>
      <c r="B701" s="19"/>
      <c r="C701" s="26" t="str">
        <f aca="false">IF(A701="","",COUNTIF(Jeux!$C$2:$C$3001,A701))</f>
        <v/>
      </c>
      <c r="D701" s="26" t="str">
        <f aca="false">IF(A701="","",COUNTIF(Pubs!$G$2:$G$3001,A701))</f>
        <v/>
      </c>
      <c r="E701" s="26" t="str">
        <f aca="false">IF(A701="","",COUNTIF(Apparitions!$J$2:$J$5001,A701))</f>
        <v/>
      </c>
    </row>
    <row r="702" customFormat="false" ht="15" hidden="false" customHeight="false" outlineLevel="0" collapsed="false">
      <c r="A702" s="19"/>
      <c r="B702" s="19"/>
      <c r="C702" s="26" t="str">
        <f aca="false">IF(A702="","",COUNTIF(Jeux!$C$2:$C$3001,A702))</f>
        <v/>
      </c>
      <c r="D702" s="26" t="str">
        <f aca="false">IF(A702="","",COUNTIF(Pubs!$G$2:$G$3001,A702))</f>
        <v/>
      </c>
      <c r="E702" s="26" t="str">
        <f aca="false">IF(A702="","",COUNTIF(Apparitions!$J$2:$J$5001,A702))</f>
        <v/>
      </c>
    </row>
    <row r="703" customFormat="false" ht="15" hidden="false" customHeight="false" outlineLevel="0" collapsed="false">
      <c r="A703" s="19"/>
      <c r="B703" s="19"/>
      <c r="C703" s="26" t="str">
        <f aca="false">IF(A703="","",COUNTIF(Jeux!$C$2:$C$3001,A703))</f>
        <v/>
      </c>
      <c r="D703" s="26" t="str">
        <f aca="false">IF(A703="","",COUNTIF(Pubs!$G$2:$G$3001,A703))</f>
        <v/>
      </c>
      <c r="E703" s="26" t="str">
        <f aca="false">IF(A703="","",COUNTIF(Apparitions!$J$2:$J$5001,A703))</f>
        <v/>
      </c>
    </row>
    <row r="704" customFormat="false" ht="15" hidden="false" customHeight="false" outlineLevel="0" collapsed="false">
      <c r="A704" s="19"/>
      <c r="B704" s="19"/>
      <c r="C704" s="26" t="str">
        <f aca="false">IF(A704="","",COUNTIF(Jeux!$C$2:$C$3001,A704))</f>
        <v/>
      </c>
      <c r="D704" s="26" t="str">
        <f aca="false">IF(A704="","",COUNTIF(Pubs!$G$2:$G$3001,A704))</f>
        <v/>
      </c>
      <c r="E704" s="26" t="str">
        <f aca="false">IF(A704="","",COUNTIF(Apparitions!$J$2:$J$5001,A704))</f>
        <v/>
      </c>
    </row>
    <row r="705" customFormat="false" ht="15" hidden="false" customHeight="false" outlineLevel="0" collapsed="false">
      <c r="A705" s="19"/>
      <c r="B705" s="19"/>
      <c r="C705" s="26" t="str">
        <f aca="false">IF(A705="","",COUNTIF(Jeux!$C$2:$C$3001,A705))</f>
        <v/>
      </c>
      <c r="D705" s="26" t="str">
        <f aca="false">IF(A705="","",COUNTIF(Pubs!$G$2:$G$3001,A705))</f>
        <v/>
      </c>
      <c r="E705" s="26" t="str">
        <f aca="false">IF(A705="","",COUNTIF(Apparitions!$J$2:$J$5001,A705))</f>
        <v/>
      </c>
    </row>
    <row r="706" customFormat="false" ht="15" hidden="false" customHeight="false" outlineLevel="0" collapsed="false">
      <c r="A706" s="19"/>
      <c r="B706" s="19"/>
      <c r="C706" s="26" t="str">
        <f aca="false">IF(A706="","",COUNTIF(Jeux!$C$2:$C$3001,A706))</f>
        <v/>
      </c>
      <c r="D706" s="26" t="str">
        <f aca="false">IF(A706="","",COUNTIF(Pubs!$G$2:$G$3001,A706))</f>
        <v/>
      </c>
      <c r="E706" s="26" t="str">
        <f aca="false">IF(A706="","",COUNTIF(Apparitions!$J$2:$J$5001,A706))</f>
        <v/>
      </c>
    </row>
    <row r="707" customFormat="false" ht="15" hidden="false" customHeight="false" outlineLevel="0" collapsed="false">
      <c r="A707" s="19"/>
      <c r="B707" s="19"/>
      <c r="C707" s="26" t="str">
        <f aca="false">IF(A707="","",COUNTIF(Jeux!$C$2:$C$3001,A707))</f>
        <v/>
      </c>
      <c r="D707" s="26" t="str">
        <f aca="false">IF(A707="","",COUNTIF(Pubs!$G$2:$G$3001,A707))</f>
        <v/>
      </c>
      <c r="E707" s="26" t="str">
        <f aca="false">IF(A707="","",COUNTIF(Apparitions!$J$2:$J$5001,A707))</f>
        <v/>
      </c>
    </row>
    <row r="708" customFormat="false" ht="15" hidden="false" customHeight="false" outlineLevel="0" collapsed="false">
      <c r="A708" s="19"/>
      <c r="B708" s="19"/>
      <c r="C708" s="26" t="str">
        <f aca="false">IF(A708="","",COUNTIF(Jeux!$C$2:$C$3001,A708))</f>
        <v/>
      </c>
      <c r="D708" s="26" t="str">
        <f aca="false">IF(A708="","",COUNTIF(Pubs!$G$2:$G$3001,A708))</f>
        <v/>
      </c>
      <c r="E708" s="26" t="str">
        <f aca="false">IF(A708="","",COUNTIF(Apparitions!$J$2:$J$5001,A708))</f>
        <v/>
      </c>
    </row>
    <row r="709" customFormat="false" ht="15" hidden="false" customHeight="false" outlineLevel="0" collapsed="false">
      <c r="A709" s="19"/>
      <c r="B709" s="19"/>
      <c r="C709" s="26" t="str">
        <f aca="false">IF(A709="","",COUNTIF(Jeux!$C$2:$C$3001,A709))</f>
        <v/>
      </c>
      <c r="D709" s="26" t="str">
        <f aca="false">IF(A709="","",COUNTIF(Pubs!$G$2:$G$3001,A709))</f>
        <v/>
      </c>
      <c r="E709" s="26" t="str">
        <f aca="false">IF(A709="","",COUNTIF(Apparitions!$J$2:$J$5001,A709))</f>
        <v/>
      </c>
    </row>
    <row r="710" customFormat="false" ht="15" hidden="false" customHeight="false" outlineLevel="0" collapsed="false">
      <c r="A710" s="19"/>
      <c r="B710" s="19"/>
      <c r="C710" s="26" t="str">
        <f aca="false">IF(A710="","",COUNTIF(Jeux!$C$2:$C$3001,A710))</f>
        <v/>
      </c>
      <c r="D710" s="26" t="str">
        <f aca="false">IF(A710="","",COUNTIF(Pubs!$G$2:$G$3001,A710))</f>
        <v/>
      </c>
      <c r="E710" s="26" t="str">
        <f aca="false">IF(A710="","",COUNTIF(Apparitions!$J$2:$J$5001,A710))</f>
        <v/>
      </c>
    </row>
    <row r="711" customFormat="false" ht="15" hidden="false" customHeight="false" outlineLevel="0" collapsed="false">
      <c r="A711" s="19"/>
      <c r="B711" s="19"/>
      <c r="C711" s="26" t="str">
        <f aca="false">IF(A711="","",COUNTIF(Jeux!$C$2:$C$3001,A711))</f>
        <v/>
      </c>
      <c r="D711" s="26" t="str">
        <f aca="false">IF(A711="","",COUNTIF(Pubs!$G$2:$G$3001,A711))</f>
        <v/>
      </c>
      <c r="E711" s="26" t="str">
        <f aca="false">IF(A711="","",COUNTIF(Apparitions!$J$2:$J$5001,A711))</f>
        <v/>
      </c>
    </row>
    <row r="712" customFormat="false" ht="15" hidden="false" customHeight="false" outlineLevel="0" collapsed="false">
      <c r="A712" s="19"/>
      <c r="B712" s="19"/>
      <c r="C712" s="26" t="str">
        <f aca="false">IF(A712="","",COUNTIF(Jeux!$C$2:$C$3001,A712))</f>
        <v/>
      </c>
      <c r="D712" s="26" t="str">
        <f aca="false">IF(A712="","",COUNTIF(Pubs!$G$2:$G$3001,A712))</f>
        <v/>
      </c>
      <c r="E712" s="26" t="str">
        <f aca="false">IF(A712="","",COUNTIF(Apparitions!$J$2:$J$5001,A712))</f>
        <v/>
      </c>
    </row>
    <row r="713" customFormat="false" ht="15" hidden="false" customHeight="false" outlineLevel="0" collapsed="false">
      <c r="A713" s="19"/>
      <c r="B713" s="19"/>
      <c r="C713" s="26" t="str">
        <f aca="false">IF(A713="","",COUNTIF(Jeux!$C$2:$C$3001,A713))</f>
        <v/>
      </c>
      <c r="D713" s="26" t="str">
        <f aca="false">IF(A713="","",COUNTIF(Pubs!$G$2:$G$3001,A713))</f>
        <v/>
      </c>
      <c r="E713" s="26" t="str">
        <f aca="false">IF(A713="","",COUNTIF(Apparitions!$J$2:$J$5001,A713))</f>
        <v/>
      </c>
    </row>
    <row r="714" customFormat="false" ht="15" hidden="false" customHeight="false" outlineLevel="0" collapsed="false">
      <c r="A714" s="19"/>
      <c r="B714" s="19"/>
      <c r="C714" s="26" t="str">
        <f aca="false">IF(A714="","",COUNTIF(Jeux!$C$2:$C$3001,A714))</f>
        <v/>
      </c>
      <c r="D714" s="26" t="str">
        <f aca="false">IF(A714="","",COUNTIF(Pubs!$G$2:$G$3001,A714))</f>
        <v/>
      </c>
      <c r="E714" s="26" t="str">
        <f aca="false">IF(A714="","",COUNTIF(Apparitions!$J$2:$J$5001,A714))</f>
        <v/>
      </c>
    </row>
    <row r="715" customFormat="false" ht="15" hidden="false" customHeight="false" outlineLevel="0" collapsed="false">
      <c r="A715" s="19"/>
      <c r="B715" s="19"/>
      <c r="C715" s="26" t="str">
        <f aca="false">IF(A715="","",COUNTIF(Jeux!$C$2:$C$3001,A715))</f>
        <v/>
      </c>
      <c r="D715" s="26" t="str">
        <f aca="false">IF(A715="","",COUNTIF(Pubs!$G$2:$G$3001,A715))</f>
        <v/>
      </c>
      <c r="E715" s="26" t="str">
        <f aca="false">IF(A715="","",COUNTIF(Apparitions!$J$2:$J$5001,A715))</f>
        <v/>
      </c>
    </row>
    <row r="716" customFormat="false" ht="15" hidden="false" customHeight="false" outlineLevel="0" collapsed="false">
      <c r="A716" s="19"/>
      <c r="B716" s="19"/>
      <c r="C716" s="26" t="str">
        <f aca="false">IF(A716="","",COUNTIF(Jeux!$C$2:$C$3001,A716))</f>
        <v/>
      </c>
      <c r="D716" s="26" t="str">
        <f aca="false">IF(A716="","",COUNTIF(Pubs!$G$2:$G$3001,A716))</f>
        <v/>
      </c>
      <c r="E716" s="26" t="str">
        <f aca="false">IF(A716="","",COUNTIF(Apparitions!$J$2:$J$5001,A716))</f>
        <v/>
      </c>
    </row>
    <row r="717" customFormat="false" ht="15" hidden="false" customHeight="false" outlineLevel="0" collapsed="false">
      <c r="A717" s="19"/>
      <c r="B717" s="19"/>
      <c r="C717" s="26" t="str">
        <f aca="false">IF(A717="","",COUNTIF(Jeux!$C$2:$C$3001,A717))</f>
        <v/>
      </c>
      <c r="D717" s="26" t="str">
        <f aca="false">IF(A717="","",COUNTIF(Pubs!$G$2:$G$3001,A717))</f>
        <v/>
      </c>
      <c r="E717" s="26" t="str">
        <f aca="false">IF(A717="","",COUNTIF(Apparitions!$J$2:$J$5001,A717))</f>
        <v/>
      </c>
    </row>
    <row r="718" customFormat="false" ht="15" hidden="false" customHeight="false" outlineLevel="0" collapsed="false">
      <c r="A718" s="19"/>
      <c r="B718" s="19"/>
      <c r="C718" s="26" t="str">
        <f aca="false">IF(A718="","",COUNTIF(Jeux!$C$2:$C$3001,A718))</f>
        <v/>
      </c>
      <c r="D718" s="26" t="str">
        <f aca="false">IF(A718="","",COUNTIF(Pubs!$G$2:$G$3001,A718))</f>
        <v/>
      </c>
      <c r="E718" s="26" t="str">
        <f aca="false">IF(A718="","",COUNTIF(Apparitions!$J$2:$J$5001,A718))</f>
        <v/>
      </c>
    </row>
    <row r="719" customFormat="false" ht="15" hidden="false" customHeight="false" outlineLevel="0" collapsed="false">
      <c r="A719" s="19"/>
      <c r="B719" s="19"/>
      <c r="C719" s="26" t="str">
        <f aca="false">IF(A719="","",COUNTIF(Jeux!$C$2:$C$3001,A719))</f>
        <v/>
      </c>
      <c r="D719" s="26" t="str">
        <f aca="false">IF(A719="","",COUNTIF(Pubs!$G$2:$G$3001,A719))</f>
        <v/>
      </c>
      <c r="E719" s="26" t="str">
        <f aca="false">IF(A719="","",COUNTIF(Apparitions!$J$2:$J$5001,A719))</f>
        <v/>
      </c>
    </row>
    <row r="720" customFormat="false" ht="15" hidden="false" customHeight="false" outlineLevel="0" collapsed="false">
      <c r="A720" s="19"/>
      <c r="B720" s="19"/>
      <c r="C720" s="26" t="str">
        <f aca="false">IF(A720="","",COUNTIF(Jeux!$C$2:$C$3001,A720))</f>
        <v/>
      </c>
      <c r="D720" s="26" t="str">
        <f aca="false">IF(A720="","",COUNTIF(Pubs!$G$2:$G$3001,A720))</f>
        <v/>
      </c>
      <c r="E720" s="26" t="str">
        <f aca="false">IF(A720="","",COUNTIF(Apparitions!$J$2:$J$5001,A720))</f>
        <v/>
      </c>
    </row>
    <row r="721" customFormat="false" ht="15" hidden="false" customHeight="false" outlineLevel="0" collapsed="false">
      <c r="A721" s="19"/>
      <c r="B721" s="19"/>
      <c r="C721" s="26" t="str">
        <f aca="false">IF(A721="","",COUNTIF(Jeux!$C$2:$C$3001,A721))</f>
        <v/>
      </c>
      <c r="D721" s="26" t="str">
        <f aca="false">IF(A721="","",COUNTIF(Pubs!$G$2:$G$3001,A721))</f>
        <v/>
      </c>
      <c r="E721" s="26" t="str">
        <f aca="false">IF(A721="","",COUNTIF(Apparitions!$J$2:$J$5001,A721))</f>
        <v/>
      </c>
    </row>
    <row r="722" customFormat="false" ht="15" hidden="false" customHeight="false" outlineLevel="0" collapsed="false">
      <c r="A722" s="19"/>
      <c r="B722" s="19"/>
      <c r="C722" s="26" t="str">
        <f aca="false">IF(A722="","",COUNTIF(Jeux!$C$2:$C$3001,A722))</f>
        <v/>
      </c>
      <c r="D722" s="26" t="str">
        <f aca="false">IF(A722="","",COUNTIF(Pubs!$G$2:$G$3001,A722))</f>
        <v/>
      </c>
      <c r="E722" s="26" t="str">
        <f aca="false">IF(A722="","",COUNTIF(Apparitions!$J$2:$J$5001,A722))</f>
        <v/>
      </c>
    </row>
    <row r="723" customFormat="false" ht="15" hidden="false" customHeight="false" outlineLevel="0" collapsed="false">
      <c r="A723" s="19"/>
      <c r="B723" s="19"/>
      <c r="C723" s="26" t="str">
        <f aca="false">IF(A723="","",COUNTIF(Jeux!$C$2:$C$3001,A723))</f>
        <v/>
      </c>
      <c r="D723" s="26" t="str">
        <f aca="false">IF(A723="","",COUNTIF(Pubs!$G$2:$G$3001,A723))</f>
        <v/>
      </c>
      <c r="E723" s="26" t="str">
        <f aca="false">IF(A723="","",COUNTIF(Apparitions!$J$2:$J$5001,A723))</f>
        <v/>
      </c>
    </row>
    <row r="724" customFormat="false" ht="15" hidden="false" customHeight="false" outlineLevel="0" collapsed="false">
      <c r="A724" s="19"/>
      <c r="B724" s="19"/>
      <c r="C724" s="26" t="str">
        <f aca="false">IF(A724="","",COUNTIF(Jeux!$C$2:$C$3001,A724))</f>
        <v/>
      </c>
      <c r="D724" s="26" t="str">
        <f aca="false">IF(A724="","",COUNTIF(Pubs!$G$2:$G$3001,A724))</f>
        <v/>
      </c>
      <c r="E724" s="26" t="str">
        <f aca="false">IF(A724="","",COUNTIF(Apparitions!$J$2:$J$5001,A724))</f>
        <v/>
      </c>
    </row>
    <row r="725" customFormat="false" ht="15" hidden="false" customHeight="false" outlineLevel="0" collapsed="false">
      <c r="A725" s="19"/>
      <c r="B725" s="19"/>
      <c r="C725" s="26" t="str">
        <f aca="false">IF(A725="","",COUNTIF(Jeux!$C$2:$C$3001,A725))</f>
        <v/>
      </c>
      <c r="D725" s="26" t="str">
        <f aca="false">IF(A725="","",COUNTIF(Pubs!$G$2:$G$3001,A725))</f>
        <v/>
      </c>
      <c r="E725" s="26" t="str">
        <f aca="false">IF(A725="","",COUNTIF(Apparitions!$J$2:$J$5001,A725))</f>
        <v/>
      </c>
    </row>
    <row r="726" customFormat="false" ht="15" hidden="false" customHeight="false" outlineLevel="0" collapsed="false">
      <c r="A726" s="19"/>
      <c r="B726" s="19"/>
      <c r="C726" s="26" t="str">
        <f aca="false">IF(A726="","",COUNTIF(Jeux!$C$2:$C$3001,A726))</f>
        <v/>
      </c>
      <c r="D726" s="26" t="str">
        <f aca="false">IF(A726="","",COUNTIF(Pubs!$G$2:$G$3001,A726))</f>
        <v/>
      </c>
      <c r="E726" s="26" t="str">
        <f aca="false">IF(A726="","",COUNTIF(Apparitions!$J$2:$J$5001,A726))</f>
        <v/>
      </c>
    </row>
    <row r="727" customFormat="false" ht="15" hidden="false" customHeight="false" outlineLevel="0" collapsed="false">
      <c r="A727" s="19"/>
      <c r="B727" s="19"/>
      <c r="C727" s="26" t="str">
        <f aca="false">IF(A727="","",COUNTIF(Jeux!$C$2:$C$3001,A727))</f>
        <v/>
      </c>
      <c r="D727" s="26" t="str">
        <f aca="false">IF(A727="","",COUNTIF(Pubs!$G$2:$G$3001,A727))</f>
        <v/>
      </c>
      <c r="E727" s="26" t="str">
        <f aca="false">IF(A727="","",COUNTIF(Apparitions!$J$2:$J$5001,A727))</f>
        <v/>
      </c>
    </row>
    <row r="728" customFormat="false" ht="15" hidden="false" customHeight="false" outlineLevel="0" collapsed="false">
      <c r="A728" s="19"/>
      <c r="B728" s="19"/>
      <c r="C728" s="26" t="str">
        <f aca="false">IF(A728="","",COUNTIF(Jeux!$C$2:$C$3001,A728))</f>
        <v/>
      </c>
      <c r="D728" s="26" t="str">
        <f aca="false">IF(A728="","",COUNTIF(Pubs!$G$2:$G$3001,A728))</f>
        <v/>
      </c>
      <c r="E728" s="26" t="str">
        <f aca="false">IF(A728="","",COUNTIF(Apparitions!$J$2:$J$5001,A728))</f>
        <v/>
      </c>
    </row>
    <row r="729" customFormat="false" ht="15" hidden="false" customHeight="false" outlineLevel="0" collapsed="false">
      <c r="A729" s="19"/>
      <c r="B729" s="19"/>
      <c r="C729" s="26" t="str">
        <f aca="false">IF(A729="","",COUNTIF(Jeux!$C$2:$C$3001,A729))</f>
        <v/>
      </c>
      <c r="D729" s="26" t="str">
        <f aca="false">IF(A729="","",COUNTIF(Pubs!$G$2:$G$3001,A729))</f>
        <v/>
      </c>
      <c r="E729" s="26" t="str">
        <f aca="false">IF(A729="","",COUNTIF(Apparitions!$J$2:$J$5001,A729))</f>
        <v/>
      </c>
    </row>
    <row r="730" customFormat="false" ht="15" hidden="false" customHeight="false" outlineLevel="0" collapsed="false">
      <c r="A730" s="19"/>
      <c r="B730" s="19"/>
      <c r="C730" s="26" t="str">
        <f aca="false">IF(A730="","",COUNTIF(Jeux!$C$2:$C$3001,A730))</f>
        <v/>
      </c>
      <c r="D730" s="26" t="str">
        <f aca="false">IF(A730="","",COUNTIF(Pubs!$G$2:$G$3001,A730))</f>
        <v/>
      </c>
      <c r="E730" s="26" t="str">
        <f aca="false">IF(A730="","",COUNTIF(Apparitions!$J$2:$J$5001,A730))</f>
        <v/>
      </c>
    </row>
    <row r="731" customFormat="false" ht="15" hidden="false" customHeight="false" outlineLevel="0" collapsed="false">
      <c r="A731" s="19"/>
      <c r="B731" s="19"/>
      <c r="C731" s="26" t="str">
        <f aca="false">IF(A731="","",COUNTIF(Jeux!$C$2:$C$3001,A731))</f>
        <v/>
      </c>
      <c r="D731" s="26" t="str">
        <f aca="false">IF(A731="","",COUNTIF(Pubs!$G$2:$G$3001,A731))</f>
        <v/>
      </c>
      <c r="E731" s="26" t="str">
        <f aca="false">IF(A731="","",COUNTIF(Apparitions!$J$2:$J$5001,A731))</f>
        <v/>
      </c>
    </row>
    <row r="732" customFormat="false" ht="15" hidden="false" customHeight="false" outlineLevel="0" collapsed="false">
      <c r="A732" s="19"/>
      <c r="B732" s="19"/>
      <c r="C732" s="26" t="str">
        <f aca="false">IF(A732="","",COUNTIF(Jeux!$C$2:$C$3001,A732))</f>
        <v/>
      </c>
      <c r="D732" s="26" t="str">
        <f aca="false">IF(A732="","",COUNTIF(Pubs!$G$2:$G$3001,A732))</f>
        <v/>
      </c>
      <c r="E732" s="26" t="str">
        <f aca="false">IF(A732="","",COUNTIF(Apparitions!$J$2:$J$5001,A732))</f>
        <v/>
      </c>
    </row>
    <row r="733" customFormat="false" ht="15" hidden="false" customHeight="false" outlineLevel="0" collapsed="false">
      <c r="A733" s="19"/>
      <c r="B733" s="19"/>
      <c r="C733" s="26" t="str">
        <f aca="false">IF(A733="","",COUNTIF(Jeux!$C$2:$C$3001,A733))</f>
        <v/>
      </c>
      <c r="D733" s="26" t="str">
        <f aca="false">IF(A733="","",COUNTIF(Pubs!$G$2:$G$3001,A733))</f>
        <v/>
      </c>
      <c r="E733" s="26" t="str">
        <f aca="false">IF(A733="","",COUNTIF(Apparitions!$J$2:$J$5001,A733))</f>
        <v/>
      </c>
    </row>
    <row r="734" customFormat="false" ht="15" hidden="false" customHeight="false" outlineLevel="0" collapsed="false">
      <c r="A734" s="19"/>
      <c r="B734" s="19"/>
      <c r="C734" s="26" t="str">
        <f aca="false">IF(A734="","",COUNTIF(Jeux!$C$2:$C$3001,A734))</f>
        <v/>
      </c>
      <c r="D734" s="26" t="str">
        <f aca="false">IF(A734="","",COUNTIF(Pubs!$G$2:$G$3001,A734))</f>
        <v/>
      </c>
      <c r="E734" s="26" t="str">
        <f aca="false">IF(A734="","",COUNTIF(Apparitions!$J$2:$J$5001,A734))</f>
        <v/>
      </c>
    </row>
    <row r="735" customFormat="false" ht="15" hidden="false" customHeight="false" outlineLevel="0" collapsed="false">
      <c r="A735" s="19"/>
      <c r="B735" s="19"/>
      <c r="C735" s="26" t="str">
        <f aca="false">IF(A735="","",COUNTIF(Jeux!$C$2:$C$3001,A735))</f>
        <v/>
      </c>
      <c r="D735" s="26" t="str">
        <f aca="false">IF(A735="","",COUNTIF(Pubs!$G$2:$G$3001,A735))</f>
        <v/>
      </c>
      <c r="E735" s="26" t="str">
        <f aca="false">IF(A735="","",COUNTIF(Apparitions!$J$2:$J$5001,A735))</f>
        <v/>
      </c>
    </row>
    <row r="736" customFormat="false" ht="15" hidden="false" customHeight="false" outlineLevel="0" collapsed="false">
      <c r="A736" s="19"/>
      <c r="B736" s="19"/>
      <c r="C736" s="26" t="str">
        <f aca="false">IF(A736="","",COUNTIF(Jeux!$C$2:$C$3001,A736))</f>
        <v/>
      </c>
      <c r="D736" s="26" t="str">
        <f aca="false">IF(A736="","",COUNTIF(Pubs!$G$2:$G$3001,A736))</f>
        <v/>
      </c>
      <c r="E736" s="26" t="str">
        <f aca="false">IF(A736="","",COUNTIF(Apparitions!$J$2:$J$5001,A736))</f>
        <v/>
      </c>
    </row>
    <row r="737" customFormat="false" ht="15" hidden="false" customHeight="false" outlineLevel="0" collapsed="false">
      <c r="A737" s="19"/>
      <c r="B737" s="19"/>
      <c r="C737" s="26" t="str">
        <f aca="false">IF(A737="","",COUNTIF(Jeux!$C$2:$C$3001,A737))</f>
        <v/>
      </c>
      <c r="D737" s="26" t="str">
        <f aca="false">IF(A737="","",COUNTIF(Pubs!$G$2:$G$3001,A737))</f>
        <v/>
      </c>
      <c r="E737" s="26" t="str">
        <f aca="false">IF(A737="","",COUNTIF(Apparitions!$J$2:$J$5001,A737))</f>
        <v/>
      </c>
    </row>
    <row r="738" customFormat="false" ht="15" hidden="false" customHeight="false" outlineLevel="0" collapsed="false">
      <c r="A738" s="19"/>
      <c r="B738" s="19"/>
      <c r="C738" s="26" t="str">
        <f aca="false">IF(A738="","",COUNTIF(Jeux!$C$2:$C$3001,A738))</f>
        <v/>
      </c>
      <c r="D738" s="26" t="str">
        <f aca="false">IF(A738="","",COUNTIF(Pubs!$G$2:$G$3001,A738))</f>
        <v/>
      </c>
      <c r="E738" s="26" t="str">
        <f aca="false">IF(A738="","",COUNTIF(Apparitions!$J$2:$J$5001,A738))</f>
        <v/>
      </c>
    </row>
    <row r="739" customFormat="false" ht="15" hidden="false" customHeight="false" outlineLevel="0" collapsed="false">
      <c r="A739" s="19"/>
      <c r="B739" s="19"/>
      <c r="C739" s="26" t="str">
        <f aca="false">IF(A739="","",COUNTIF(Jeux!$C$2:$C$3001,A739))</f>
        <v/>
      </c>
      <c r="D739" s="26" t="str">
        <f aca="false">IF(A739="","",COUNTIF(Pubs!$G$2:$G$3001,A739))</f>
        <v/>
      </c>
      <c r="E739" s="26" t="str">
        <f aca="false">IF(A739="","",COUNTIF(Apparitions!$J$2:$J$5001,A739))</f>
        <v/>
      </c>
    </row>
    <row r="740" customFormat="false" ht="15" hidden="false" customHeight="false" outlineLevel="0" collapsed="false">
      <c r="A740" s="19"/>
      <c r="B740" s="19"/>
      <c r="C740" s="26" t="str">
        <f aca="false">IF(A740="","",COUNTIF(Jeux!$C$2:$C$3001,A740))</f>
        <v/>
      </c>
      <c r="D740" s="26" t="str">
        <f aca="false">IF(A740="","",COUNTIF(Pubs!$G$2:$G$3001,A740))</f>
        <v/>
      </c>
      <c r="E740" s="26" t="str">
        <f aca="false">IF(A740="","",COUNTIF(Apparitions!$J$2:$J$5001,A740))</f>
        <v/>
      </c>
    </row>
    <row r="741" customFormat="false" ht="15" hidden="false" customHeight="false" outlineLevel="0" collapsed="false">
      <c r="A741" s="19"/>
      <c r="B741" s="19"/>
      <c r="C741" s="26" t="str">
        <f aca="false">IF(A741="","",COUNTIF(Jeux!$C$2:$C$3001,A741))</f>
        <v/>
      </c>
      <c r="D741" s="26" t="str">
        <f aca="false">IF(A741="","",COUNTIF(Pubs!$G$2:$G$3001,A741))</f>
        <v/>
      </c>
      <c r="E741" s="26" t="str">
        <f aca="false">IF(A741="","",COUNTIF(Apparitions!$J$2:$J$5001,A741))</f>
        <v/>
      </c>
    </row>
    <row r="742" customFormat="false" ht="15" hidden="false" customHeight="false" outlineLevel="0" collapsed="false">
      <c r="A742" s="19"/>
      <c r="B742" s="19"/>
      <c r="C742" s="26" t="str">
        <f aca="false">IF(A742="","",COUNTIF(Jeux!$C$2:$C$3001,A742))</f>
        <v/>
      </c>
      <c r="D742" s="26" t="str">
        <f aca="false">IF(A742="","",COUNTIF(Pubs!$G$2:$G$3001,A742))</f>
        <v/>
      </c>
      <c r="E742" s="26" t="str">
        <f aca="false">IF(A742="","",COUNTIF(Apparitions!$J$2:$J$5001,A742))</f>
        <v/>
      </c>
    </row>
    <row r="743" customFormat="false" ht="15" hidden="false" customHeight="false" outlineLevel="0" collapsed="false">
      <c r="A743" s="19"/>
      <c r="B743" s="19"/>
      <c r="C743" s="26" t="str">
        <f aca="false">IF(A743="","",COUNTIF(Jeux!$C$2:$C$3001,A743))</f>
        <v/>
      </c>
      <c r="D743" s="26" t="str">
        <f aca="false">IF(A743="","",COUNTIF(Pubs!$G$2:$G$3001,A743))</f>
        <v/>
      </c>
      <c r="E743" s="26" t="str">
        <f aca="false">IF(A743="","",COUNTIF(Apparitions!$J$2:$J$5001,A743))</f>
        <v/>
      </c>
    </row>
    <row r="744" customFormat="false" ht="15" hidden="false" customHeight="false" outlineLevel="0" collapsed="false">
      <c r="A744" s="19"/>
      <c r="B744" s="19"/>
      <c r="C744" s="26" t="str">
        <f aca="false">IF(A744="","",COUNTIF(Jeux!$C$2:$C$3001,A744))</f>
        <v/>
      </c>
      <c r="D744" s="26" t="str">
        <f aca="false">IF(A744="","",COUNTIF(Pubs!$G$2:$G$3001,A744))</f>
        <v/>
      </c>
      <c r="E744" s="26" t="str">
        <f aca="false">IF(A744="","",COUNTIF(Apparitions!$J$2:$J$5001,A744))</f>
        <v/>
      </c>
    </row>
    <row r="745" customFormat="false" ht="15" hidden="false" customHeight="false" outlineLevel="0" collapsed="false">
      <c r="A745" s="19"/>
      <c r="B745" s="19"/>
      <c r="C745" s="26" t="str">
        <f aca="false">IF(A745="","",COUNTIF(Jeux!$C$2:$C$3001,A745))</f>
        <v/>
      </c>
      <c r="D745" s="26" t="str">
        <f aca="false">IF(A745="","",COUNTIF(Pubs!$G$2:$G$3001,A745))</f>
        <v/>
      </c>
      <c r="E745" s="26" t="str">
        <f aca="false">IF(A745="","",COUNTIF(Apparitions!$J$2:$J$5001,A745))</f>
        <v/>
      </c>
    </row>
    <row r="746" customFormat="false" ht="15" hidden="false" customHeight="false" outlineLevel="0" collapsed="false">
      <c r="A746" s="19"/>
      <c r="B746" s="19"/>
      <c r="C746" s="26" t="str">
        <f aca="false">IF(A746="","",COUNTIF(Jeux!$C$2:$C$3001,A746))</f>
        <v/>
      </c>
      <c r="D746" s="26" t="str">
        <f aca="false">IF(A746="","",COUNTIF(Pubs!$G$2:$G$3001,A746))</f>
        <v/>
      </c>
      <c r="E746" s="26" t="str">
        <f aca="false">IF(A746="","",COUNTIF(Apparitions!$J$2:$J$5001,A746))</f>
        <v/>
      </c>
    </row>
    <row r="747" customFormat="false" ht="15" hidden="false" customHeight="false" outlineLevel="0" collapsed="false">
      <c r="A747" s="19"/>
      <c r="B747" s="19"/>
      <c r="C747" s="26" t="str">
        <f aca="false">IF(A747="","",COUNTIF(Jeux!$C$2:$C$3001,A747))</f>
        <v/>
      </c>
      <c r="D747" s="26" t="str">
        <f aca="false">IF(A747="","",COUNTIF(Pubs!$G$2:$G$3001,A747))</f>
        <v/>
      </c>
      <c r="E747" s="26" t="str">
        <f aca="false">IF(A747="","",COUNTIF(Apparitions!$J$2:$J$5001,A747))</f>
        <v/>
      </c>
    </row>
    <row r="748" customFormat="false" ht="15" hidden="false" customHeight="false" outlineLevel="0" collapsed="false">
      <c r="A748" s="19"/>
      <c r="B748" s="19"/>
      <c r="C748" s="26" t="str">
        <f aca="false">IF(A748="","",COUNTIF(Jeux!$C$2:$C$3001,A748))</f>
        <v/>
      </c>
      <c r="D748" s="26" t="str">
        <f aca="false">IF(A748="","",COUNTIF(Pubs!$G$2:$G$3001,A748))</f>
        <v/>
      </c>
      <c r="E748" s="26" t="str">
        <f aca="false">IF(A748="","",COUNTIF(Apparitions!$J$2:$J$5001,A748))</f>
        <v/>
      </c>
    </row>
    <row r="749" customFormat="false" ht="15" hidden="false" customHeight="false" outlineLevel="0" collapsed="false">
      <c r="A749" s="19"/>
      <c r="B749" s="19"/>
      <c r="C749" s="26" t="str">
        <f aca="false">IF(A749="","",COUNTIF(Jeux!$C$2:$C$3001,A749))</f>
        <v/>
      </c>
      <c r="D749" s="26" t="str">
        <f aca="false">IF(A749="","",COUNTIF(Pubs!$G$2:$G$3001,A749))</f>
        <v/>
      </c>
      <c r="E749" s="26" t="str">
        <f aca="false">IF(A749="","",COUNTIF(Apparitions!$J$2:$J$5001,A749))</f>
        <v/>
      </c>
    </row>
    <row r="750" customFormat="false" ht="15" hidden="false" customHeight="false" outlineLevel="0" collapsed="false">
      <c r="A750" s="19"/>
      <c r="B750" s="19"/>
      <c r="C750" s="26" t="str">
        <f aca="false">IF(A750="","",COUNTIF(Jeux!$C$2:$C$3001,A750))</f>
        <v/>
      </c>
      <c r="D750" s="26" t="str">
        <f aca="false">IF(A750="","",COUNTIF(Pubs!$G$2:$G$3001,A750))</f>
        <v/>
      </c>
      <c r="E750" s="26" t="str">
        <f aca="false">IF(A750="","",COUNTIF(Apparitions!$J$2:$J$5001,A750))</f>
        <v/>
      </c>
    </row>
    <row r="751" customFormat="false" ht="15" hidden="false" customHeight="false" outlineLevel="0" collapsed="false">
      <c r="A751" s="19"/>
      <c r="B751" s="19"/>
      <c r="C751" s="26" t="str">
        <f aca="false">IF(A751="","",COUNTIF(Jeux!$C$2:$C$3001,A751))</f>
        <v/>
      </c>
      <c r="D751" s="26" t="str">
        <f aca="false">IF(A751="","",COUNTIF(Pubs!$G$2:$G$3001,A751))</f>
        <v/>
      </c>
      <c r="E751" s="26" t="str">
        <f aca="false">IF(A751="","",COUNTIF(Apparitions!$J$2:$J$5001,A751))</f>
        <v/>
      </c>
    </row>
    <row r="752" customFormat="false" ht="15" hidden="false" customHeight="false" outlineLevel="0" collapsed="false">
      <c r="A752" s="19"/>
      <c r="B752" s="19"/>
      <c r="C752" s="26" t="str">
        <f aca="false">IF(A752="","",COUNTIF(Jeux!$C$2:$C$3001,A752))</f>
        <v/>
      </c>
      <c r="D752" s="26" t="str">
        <f aca="false">IF(A752="","",COUNTIF(Pubs!$G$2:$G$3001,A752))</f>
        <v/>
      </c>
      <c r="E752" s="26" t="str">
        <f aca="false">IF(A752="","",COUNTIF(Apparitions!$J$2:$J$5001,A752))</f>
        <v/>
      </c>
    </row>
    <row r="753" customFormat="false" ht="15" hidden="false" customHeight="false" outlineLevel="0" collapsed="false">
      <c r="A753" s="19"/>
      <c r="B753" s="19"/>
      <c r="C753" s="26" t="str">
        <f aca="false">IF(A753="","",COUNTIF(Jeux!$C$2:$C$3001,A753))</f>
        <v/>
      </c>
      <c r="D753" s="26" t="str">
        <f aca="false">IF(A753="","",COUNTIF(Pubs!$G$2:$G$3001,A753))</f>
        <v/>
      </c>
      <c r="E753" s="26" t="str">
        <f aca="false">IF(A753="","",COUNTIF(Apparitions!$J$2:$J$5001,A753))</f>
        <v/>
      </c>
    </row>
    <row r="754" customFormat="false" ht="15" hidden="false" customHeight="false" outlineLevel="0" collapsed="false">
      <c r="A754" s="19"/>
      <c r="B754" s="19"/>
      <c r="C754" s="26" t="str">
        <f aca="false">IF(A754="","",COUNTIF(Jeux!$C$2:$C$3001,A754))</f>
        <v/>
      </c>
      <c r="D754" s="26" t="str">
        <f aca="false">IF(A754="","",COUNTIF(Pubs!$G$2:$G$3001,A754))</f>
        <v/>
      </c>
      <c r="E754" s="26" t="str">
        <f aca="false">IF(A754="","",COUNTIF(Apparitions!$J$2:$J$5001,A754))</f>
        <v/>
      </c>
    </row>
    <row r="755" customFormat="false" ht="15" hidden="false" customHeight="false" outlineLevel="0" collapsed="false">
      <c r="A755" s="19"/>
      <c r="B755" s="19"/>
      <c r="C755" s="26" t="str">
        <f aca="false">IF(A755="","",COUNTIF(Jeux!$C$2:$C$3001,A755))</f>
        <v/>
      </c>
      <c r="D755" s="26" t="str">
        <f aca="false">IF(A755="","",COUNTIF(Pubs!$G$2:$G$3001,A755))</f>
        <v/>
      </c>
      <c r="E755" s="26" t="str">
        <f aca="false">IF(A755="","",COUNTIF(Apparitions!$J$2:$J$5001,A755))</f>
        <v/>
      </c>
    </row>
    <row r="756" customFormat="false" ht="15" hidden="false" customHeight="false" outlineLevel="0" collapsed="false">
      <c r="A756" s="19"/>
      <c r="B756" s="19"/>
      <c r="C756" s="26" t="str">
        <f aca="false">IF(A756="","",COUNTIF(Jeux!$C$2:$C$3001,A756))</f>
        <v/>
      </c>
      <c r="D756" s="26" t="str">
        <f aca="false">IF(A756="","",COUNTIF(Pubs!$G$2:$G$3001,A756))</f>
        <v/>
      </c>
      <c r="E756" s="26" t="str">
        <f aca="false">IF(A756="","",COUNTIF(Apparitions!$J$2:$J$5001,A756))</f>
        <v/>
      </c>
    </row>
    <row r="757" customFormat="false" ht="15" hidden="false" customHeight="false" outlineLevel="0" collapsed="false">
      <c r="A757" s="19"/>
      <c r="B757" s="19"/>
      <c r="C757" s="26" t="str">
        <f aca="false">IF(A757="","",COUNTIF(Jeux!$C$2:$C$3001,A757))</f>
        <v/>
      </c>
      <c r="D757" s="26" t="str">
        <f aca="false">IF(A757="","",COUNTIF(Pubs!$G$2:$G$3001,A757))</f>
        <v/>
      </c>
      <c r="E757" s="26" t="str">
        <f aca="false">IF(A757="","",COUNTIF(Apparitions!$J$2:$J$5001,A757))</f>
        <v/>
      </c>
    </row>
    <row r="758" customFormat="false" ht="15" hidden="false" customHeight="false" outlineLevel="0" collapsed="false">
      <c r="A758" s="19"/>
      <c r="B758" s="19"/>
      <c r="C758" s="26" t="str">
        <f aca="false">IF(A758="","",COUNTIF(Jeux!$C$2:$C$3001,A758))</f>
        <v/>
      </c>
      <c r="D758" s="26" t="str">
        <f aca="false">IF(A758="","",COUNTIF(Pubs!$G$2:$G$3001,A758))</f>
        <v/>
      </c>
      <c r="E758" s="26" t="str">
        <f aca="false">IF(A758="","",COUNTIF(Apparitions!$J$2:$J$5001,A758))</f>
        <v/>
      </c>
    </row>
    <row r="759" customFormat="false" ht="15" hidden="false" customHeight="false" outlineLevel="0" collapsed="false">
      <c r="A759" s="19"/>
      <c r="B759" s="19"/>
      <c r="C759" s="26" t="str">
        <f aca="false">IF(A759="","",COUNTIF(Jeux!$C$2:$C$3001,A759))</f>
        <v/>
      </c>
      <c r="D759" s="26" t="str">
        <f aca="false">IF(A759="","",COUNTIF(Pubs!$G$2:$G$3001,A759))</f>
        <v/>
      </c>
      <c r="E759" s="26" t="str">
        <f aca="false">IF(A759="","",COUNTIF(Apparitions!$J$2:$J$5001,A759))</f>
        <v/>
      </c>
    </row>
    <row r="760" customFormat="false" ht="15" hidden="false" customHeight="false" outlineLevel="0" collapsed="false">
      <c r="A760" s="19"/>
      <c r="B760" s="19"/>
      <c r="C760" s="26" t="str">
        <f aca="false">IF(A760="","",COUNTIF(Jeux!$C$2:$C$3001,A760))</f>
        <v/>
      </c>
      <c r="D760" s="26" t="str">
        <f aca="false">IF(A760="","",COUNTIF(Pubs!$G$2:$G$3001,A760))</f>
        <v/>
      </c>
      <c r="E760" s="26" t="str">
        <f aca="false">IF(A760="","",COUNTIF(Apparitions!$J$2:$J$5001,A760))</f>
        <v/>
      </c>
    </row>
    <row r="761" customFormat="false" ht="15" hidden="false" customHeight="false" outlineLevel="0" collapsed="false">
      <c r="A761" s="19"/>
      <c r="B761" s="19"/>
      <c r="C761" s="26" t="str">
        <f aca="false">IF(A761="","",COUNTIF(Jeux!$C$2:$C$3001,A761))</f>
        <v/>
      </c>
      <c r="D761" s="26" t="str">
        <f aca="false">IF(A761="","",COUNTIF(Pubs!$G$2:$G$3001,A761))</f>
        <v/>
      </c>
      <c r="E761" s="26" t="str">
        <f aca="false">IF(A761="","",COUNTIF(Apparitions!$J$2:$J$5001,A761))</f>
        <v/>
      </c>
    </row>
    <row r="762" customFormat="false" ht="15" hidden="false" customHeight="false" outlineLevel="0" collapsed="false">
      <c r="A762" s="19"/>
      <c r="B762" s="19"/>
      <c r="C762" s="26" t="str">
        <f aca="false">IF(A762="","",COUNTIF(Jeux!$C$2:$C$3001,A762))</f>
        <v/>
      </c>
      <c r="D762" s="26" t="str">
        <f aca="false">IF(A762="","",COUNTIF(Pubs!$G$2:$G$3001,A762))</f>
        <v/>
      </c>
      <c r="E762" s="26" t="str">
        <f aca="false">IF(A762="","",COUNTIF(Apparitions!$J$2:$J$5001,A762))</f>
        <v/>
      </c>
    </row>
    <row r="763" customFormat="false" ht="15" hidden="false" customHeight="false" outlineLevel="0" collapsed="false">
      <c r="A763" s="19"/>
      <c r="B763" s="19"/>
      <c r="C763" s="26" t="str">
        <f aca="false">IF(A763="","",COUNTIF(Jeux!$C$2:$C$3001,A763))</f>
        <v/>
      </c>
      <c r="D763" s="26" t="str">
        <f aca="false">IF(A763="","",COUNTIF(Pubs!$G$2:$G$3001,A763))</f>
        <v/>
      </c>
      <c r="E763" s="26" t="str">
        <f aca="false">IF(A763="","",COUNTIF(Apparitions!$J$2:$J$5001,A763))</f>
        <v/>
      </c>
    </row>
    <row r="764" customFormat="false" ht="15" hidden="false" customHeight="false" outlineLevel="0" collapsed="false">
      <c r="A764" s="19"/>
      <c r="B764" s="19"/>
      <c r="C764" s="26" t="str">
        <f aca="false">IF(A764="","",COUNTIF(Jeux!$C$2:$C$3001,A764))</f>
        <v/>
      </c>
      <c r="D764" s="26" t="str">
        <f aca="false">IF(A764="","",COUNTIF(Pubs!$G$2:$G$3001,A764))</f>
        <v/>
      </c>
      <c r="E764" s="26" t="str">
        <f aca="false">IF(A764="","",COUNTIF(Apparitions!$J$2:$J$5001,A764))</f>
        <v/>
      </c>
    </row>
    <row r="765" customFormat="false" ht="15" hidden="false" customHeight="false" outlineLevel="0" collapsed="false">
      <c r="A765" s="19"/>
      <c r="B765" s="19"/>
      <c r="C765" s="26" t="str">
        <f aca="false">IF(A765="","",COUNTIF(Jeux!$C$2:$C$3001,A765))</f>
        <v/>
      </c>
      <c r="D765" s="26" t="str">
        <f aca="false">IF(A765="","",COUNTIF(Pubs!$G$2:$G$3001,A765))</f>
        <v/>
      </c>
      <c r="E765" s="26" t="str">
        <f aca="false">IF(A765="","",COUNTIF(Apparitions!$J$2:$J$5001,A765))</f>
        <v/>
      </c>
    </row>
    <row r="766" customFormat="false" ht="15" hidden="false" customHeight="false" outlineLevel="0" collapsed="false">
      <c r="A766" s="19"/>
      <c r="B766" s="19"/>
      <c r="C766" s="26" t="str">
        <f aca="false">IF(A766="","",COUNTIF(Jeux!$C$2:$C$3001,A766))</f>
        <v/>
      </c>
      <c r="D766" s="26" t="str">
        <f aca="false">IF(A766="","",COUNTIF(Pubs!$G$2:$G$3001,A766))</f>
        <v/>
      </c>
      <c r="E766" s="26" t="str">
        <f aca="false">IF(A766="","",COUNTIF(Apparitions!$J$2:$J$5001,A766))</f>
        <v/>
      </c>
    </row>
    <row r="767" customFormat="false" ht="15" hidden="false" customHeight="false" outlineLevel="0" collapsed="false">
      <c r="A767" s="19"/>
      <c r="B767" s="19"/>
      <c r="C767" s="26" t="str">
        <f aca="false">IF(A767="","",COUNTIF(Jeux!$C$2:$C$3001,A767))</f>
        <v/>
      </c>
      <c r="D767" s="26" t="str">
        <f aca="false">IF(A767="","",COUNTIF(Pubs!$G$2:$G$3001,A767))</f>
        <v/>
      </c>
      <c r="E767" s="26" t="str">
        <f aca="false">IF(A767="","",COUNTIF(Apparitions!$J$2:$J$5001,A767))</f>
        <v/>
      </c>
    </row>
    <row r="768" customFormat="false" ht="15" hidden="false" customHeight="false" outlineLevel="0" collapsed="false">
      <c r="A768" s="19"/>
      <c r="B768" s="19"/>
      <c r="C768" s="26" t="str">
        <f aca="false">IF(A768="","",COUNTIF(Jeux!$C$2:$C$3001,A768))</f>
        <v/>
      </c>
      <c r="D768" s="26" t="str">
        <f aca="false">IF(A768="","",COUNTIF(Pubs!$G$2:$G$3001,A768))</f>
        <v/>
      </c>
      <c r="E768" s="26" t="str">
        <f aca="false">IF(A768="","",COUNTIF(Apparitions!$J$2:$J$5001,A768))</f>
        <v/>
      </c>
    </row>
    <row r="769" customFormat="false" ht="15" hidden="false" customHeight="false" outlineLevel="0" collapsed="false">
      <c r="A769" s="19"/>
      <c r="B769" s="19"/>
      <c r="C769" s="26" t="str">
        <f aca="false">IF(A769="","",COUNTIF(Jeux!$C$2:$C$3001,A769))</f>
        <v/>
      </c>
      <c r="D769" s="26" t="str">
        <f aca="false">IF(A769="","",COUNTIF(Pubs!$G$2:$G$3001,A769))</f>
        <v/>
      </c>
      <c r="E769" s="26" t="str">
        <f aca="false">IF(A769="","",COUNTIF(Apparitions!$J$2:$J$5001,A769))</f>
        <v/>
      </c>
    </row>
    <row r="770" customFormat="false" ht="15" hidden="false" customHeight="false" outlineLevel="0" collapsed="false">
      <c r="A770" s="19"/>
      <c r="B770" s="19"/>
      <c r="C770" s="26" t="str">
        <f aca="false">IF(A770="","",COUNTIF(Jeux!$C$2:$C$3001,A770))</f>
        <v/>
      </c>
      <c r="D770" s="26" t="str">
        <f aca="false">IF(A770="","",COUNTIF(Pubs!$G$2:$G$3001,A770))</f>
        <v/>
      </c>
      <c r="E770" s="26" t="str">
        <f aca="false">IF(A770="","",COUNTIF(Apparitions!$J$2:$J$5001,A770))</f>
        <v/>
      </c>
    </row>
    <row r="771" customFormat="false" ht="15" hidden="false" customHeight="false" outlineLevel="0" collapsed="false">
      <c r="A771" s="19"/>
      <c r="B771" s="19"/>
      <c r="C771" s="26" t="str">
        <f aca="false">IF(A771="","",COUNTIF(Jeux!$C$2:$C$3001,A771))</f>
        <v/>
      </c>
      <c r="D771" s="26" t="str">
        <f aca="false">IF(A771="","",COUNTIF(Pubs!$G$2:$G$3001,A771))</f>
        <v/>
      </c>
      <c r="E771" s="26" t="str">
        <f aca="false">IF(A771="","",COUNTIF(Apparitions!$J$2:$J$5001,A771))</f>
        <v/>
      </c>
    </row>
    <row r="772" customFormat="false" ht="15" hidden="false" customHeight="false" outlineLevel="0" collapsed="false">
      <c r="A772" s="19"/>
      <c r="B772" s="19"/>
      <c r="C772" s="26" t="str">
        <f aca="false">IF(A772="","",COUNTIF(Jeux!$C$2:$C$3001,A772))</f>
        <v/>
      </c>
      <c r="D772" s="26" t="str">
        <f aca="false">IF(A772="","",COUNTIF(Pubs!$G$2:$G$3001,A772))</f>
        <v/>
      </c>
      <c r="E772" s="26" t="str">
        <f aca="false">IF(A772="","",COUNTIF(Apparitions!$J$2:$J$5001,A772))</f>
        <v/>
      </c>
    </row>
    <row r="773" customFormat="false" ht="15" hidden="false" customHeight="false" outlineLevel="0" collapsed="false">
      <c r="A773" s="19"/>
      <c r="B773" s="19"/>
      <c r="C773" s="26" t="str">
        <f aca="false">IF(A773="","",COUNTIF(Jeux!$C$2:$C$3001,A773))</f>
        <v/>
      </c>
      <c r="D773" s="26" t="str">
        <f aca="false">IF(A773="","",COUNTIF(Pubs!$G$2:$G$3001,A773))</f>
        <v/>
      </c>
      <c r="E773" s="26" t="str">
        <f aca="false">IF(A773="","",COUNTIF(Apparitions!$J$2:$J$5001,A773))</f>
        <v/>
      </c>
    </row>
    <row r="774" customFormat="false" ht="15" hidden="false" customHeight="false" outlineLevel="0" collapsed="false">
      <c r="A774" s="19"/>
      <c r="B774" s="19"/>
      <c r="C774" s="26" t="str">
        <f aca="false">IF(A774="","",COUNTIF(Jeux!$C$2:$C$3001,A774))</f>
        <v/>
      </c>
      <c r="D774" s="26" t="str">
        <f aca="false">IF(A774="","",COUNTIF(Pubs!$G$2:$G$3001,A774))</f>
        <v/>
      </c>
      <c r="E774" s="26" t="str">
        <f aca="false">IF(A774="","",COUNTIF(Apparitions!$J$2:$J$5001,A774))</f>
        <v/>
      </c>
    </row>
    <row r="775" customFormat="false" ht="15" hidden="false" customHeight="false" outlineLevel="0" collapsed="false">
      <c r="A775" s="19"/>
      <c r="B775" s="19"/>
      <c r="C775" s="26" t="str">
        <f aca="false">IF(A775="","",COUNTIF(Jeux!$C$2:$C$3001,A775))</f>
        <v/>
      </c>
      <c r="D775" s="26" t="str">
        <f aca="false">IF(A775="","",COUNTIF(Pubs!$G$2:$G$3001,A775))</f>
        <v/>
      </c>
      <c r="E775" s="26" t="str">
        <f aca="false">IF(A775="","",COUNTIF(Apparitions!$J$2:$J$5001,A775))</f>
        <v/>
      </c>
    </row>
    <row r="776" customFormat="false" ht="15" hidden="false" customHeight="false" outlineLevel="0" collapsed="false">
      <c r="A776" s="19"/>
      <c r="B776" s="19"/>
      <c r="C776" s="26" t="str">
        <f aca="false">IF(A776="","",COUNTIF(Jeux!$C$2:$C$3001,A776))</f>
        <v/>
      </c>
      <c r="D776" s="26" t="str">
        <f aca="false">IF(A776="","",COUNTIF(Pubs!$G$2:$G$3001,A776))</f>
        <v/>
      </c>
      <c r="E776" s="26" t="str">
        <f aca="false">IF(A776="","",COUNTIF(Apparitions!$J$2:$J$5001,A776))</f>
        <v/>
      </c>
    </row>
    <row r="777" customFormat="false" ht="15" hidden="false" customHeight="false" outlineLevel="0" collapsed="false">
      <c r="A777" s="19"/>
      <c r="B777" s="19"/>
      <c r="C777" s="26" t="str">
        <f aca="false">IF(A777="","",COUNTIF(Jeux!$C$2:$C$3001,A777))</f>
        <v/>
      </c>
      <c r="D777" s="26" t="str">
        <f aca="false">IF(A777="","",COUNTIF(Pubs!$G$2:$G$3001,A777))</f>
        <v/>
      </c>
      <c r="E777" s="26" t="str">
        <f aca="false">IF(A777="","",COUNTIF(Apparitions!$J$2:$J$5001,A777))</f>
        <v/>
      </c>
    </row>
    <row r="778" customFormat="false" ht="15" hidden="false" customHeight="false" outlineLevel="0" collapsed="false">
      <c r="A778" s="19"/>
      <c r="B778" s="19"/>
      <c r="C778" s="26" t="str">
        <f aca="false">IF(A778="","",COUNTIF(Jeux!$C$2:$C$3001,A778))</f>
        <v/>
      </c>
      <c r="D778" s="26" t="str">
        <f aca="false">IF(A778="","",COUNTIF(Pubs!$G$2:$G$3001,A778))</f>
        <v/>
      </c>
      <c r="E778" s="26" t="str">
        <f aca="false">IF(A778="","",COUNTIF(Apparitions!$J$2:$J$5001,A778))</f>
        <v/>
      </c>
    </row>
    <row r="779" customFormat="false" ht="15" hidden="false" customHeight="false" outlineLevel="0" collapsed="false">
      <c r="A779" s="19"/>
      <c r="B779" s="19"/>
      <c r="C779" s="26" t="str">
        <f aca="false">IF(A779="","",COUNTIF(Jeux!$C$2:$C$3001,A779))</f>
        <v/>
      </c>
      <c r="D779" s="26" t="str">
        <f aca="false">IF(A779="","",COUNTIF(Pubs!$G$2:$G$3001,A779))</f>
        <v/>
      </c>
      <c r="E779" s="26" t="str">
        <f aca="false">IF(A779="","",COUNTIF(Apparitions!$J$2:$J$5001,A779))</f>
        <v/>
      </c>
    </row>
    <row r="780" customFormat="false" ht="15" hidden="false" customHeight="false" outlineLevel="0" collapsed="false">
      <c r="A780" s="19"/>
      <c r="B780" s="19"/>
      <c r="C780" s="26" t="str">
        <f aca="false">IF(A780="","",COUNTIF(Jeux!$C$2:$C$3001,A780))</f>
        <v/>
      </c>
      <c r="D780" s="26" t="str">
        <f aca="false">IF(A780="","",COUNTIF(Pubs!$G$2:$G$3001,A780))</f>
        <v/>
      </c>
      <c r="E780" s="26" t="str">
        <f aca="false">IF(A780="","",COUNTIF(Apparitions!$J$2:$J$5001,A780))</f>
        <v/>
      </c>
    </row>
    <row r="781" customFormat="false" ht="15" hidden="false" customHeight="false" outlineLevel="0" collapsed="false">
      <c r="A781" s="19"/>
      <c r="B781" s="19"/>
      <c r="C781" s="26" t="str">
        <f aca="false">IF(A781="","",COUNTIF(Jeux!$C$2:$C$3001,A781))</f>
        <v/>
      </c>
      <c r="D781" s="26" t="str">
        <f aca="false">IF(A781="","",COUNTIF(Pubs!$G$2:$G$3001,A781))</f>
        <v/>
      </c>
      <c r="E781" s="26" t="str">
        <f aca="false">IF(A781="","",COUNTIF(Apparitions!$J$2:$J$5001,A781))</f>
        <v/>
      </c>
    </row>
    <row r="782" customFormat="false" ht="15" hidden="false" customHeight="false" outlineLevel="0" collapsed="false">
      <c r="A782" s="19"/>
      <c r="B782" s="19"/>
      <c r="C782" s="26" t="str">
        <f aca="false">IF(A782="","",COUNTIF(Jeux!$C$2:$C$3001,A782))</f>
        <v/>
      </c>
      <c r="D782" s="26" t="str">
        <f aca="false">IF(A782="","",COUNTIF(Pubs!$G$2:$G$3001,A782))</f>
        <v/>
      </c>
      <c r="E782" s="26" t="str">
        <f aca="false">IF(A782="","",COUNTIF(Apparitions!$J$2:$J$5001,A782))</f>
        <v/>
      </c>
    </row>
    <row r="783" customFormat="false" ht="15" hidden="false" customHeight="false" outlineLevel="0" collapsed="false">
      <c r="A783" s="19"/>
      <c r="B783" s="19"/>
      <c r="C783" s="26" t="str">
        <f aca="false">IF(A783="","",COUNTIF(Jeux!$C$2:$C$3001,A783))</f>
        <v/>
      </c>
      <c r="D783" s="26" t="str">
        <f aca="false">IF(A783="","",COUNTIF(Pubs!$G$2:$G$3001,A783))</f>
        <v/>
      </c>
      <c r="E783" s="26" t="str">
        <f aca="false">IF(A783="","",COUNTIF(Apparitions!$J$2:$J$5001,A783))</f>
        <v/>
      </c>
    </row>
    <row r="784" customFormat="false" ht="15" hidden="false" customHeight="false" outlineLevel="0" collapsed="false">
      <c r="A784" s="19"/>
      <c r="B784" s="19"/>
      <c r="C784" s="26" t="str">
        <f aca="false">IF(A784="","",COUNTIF(Jeux!$C$2:$C$3001,A784))</f>
        <v/>
      </c>
      <c r="D784" s="26" t="str">
        <f aca="false">IF(A784="","",COUNTIF(Pubs!$G$2:$G$3001,A784))</f>
        <v/>
      </c>
      <c r="E784" s="26" t="str">
        <f aca="false">IF(A784="","",COUNTIF(Apparitions!$J$2:$J$5001,A784))</f>
        <v/>
      </c>
    </row>
    <row r="785" customFormat="false" ht="15" hidden="false" customHeight="false" outlineLevel="0" collapsed="false">
      <c r="A785" s="19"/>
      <c r="B785" s="19"/>
      <c r="C785" s="26" t="str">
        <f aca="false">IF(A785="","",COUNTIF(Jeux!$C$2:$C$3001,A785))</f>
        <v/>
      </c>
      <c r="D785" s="26" t="str">
        <f aca="false">IF(A785="","",COUNTIF(Pubs!$G$2:$G$3001,A785))</f>
        <v/>
      </c>
      <c r="E785" s="26" t="str">
        <f aca="false">IF(A785="","",COUNTIF(Apparitions!$J$2:$J$5001,A785))</f>
        <v/>
      </c>
    </row>
    <row r="786" customFormat="false" ht="15" hidden="false" customHeight="false" outlineLevel="0" collapsed="false">
      <c r="A786" s="19"/>
      <c r="B786" s="19"/>
      <c r="C786" s="26" t="str">
        <f aca="false">IF(A786="","",COUNTIF(Jeux!$C$2:$C$3001,A786))</f>
        <v/>
      </c>
      <c r="D786" s="26" t="str">
        <f aca="false">IF(A786="","",COUNTIF(Pubs!$G$2:$G$3001,A786))</f>
        <v/>
      </c>
      <c r="E786" s="26" t="str">
        <f aca="false">IF(A786="","",COUNTIF(Apparitions!$J$2:$J$5001,A786))</f>
        <v/>
      </c>
    </row>
    <row r="787" customFormat="false" ht="15" hidden="false" customHeight="false" outlineLevel="0" collapsed="false">
      <c r="A787" s="19"/>
      <c r="B787" s="19"/>
      <c r="C787" s="26" t="str">
        <f aca="false">IF(A787="","",COUNTIF(Jeux!$C$2:$C$3001,A787))</f>
        <v/>
      </c>
      <c r="D787" s="26" t="str">
        <f aca="false">IF(A787="","",COUNTIF(Pubs!$G$2:$G$3001,A787))</f>
        <v/>
      </c>
      <c r="E787" s="26" t="str">
        <f aca="false">IF(A787="","",COUNTIF(Apparitions!$J$2:$J$5001,A787))</f>
        <v/>
      </c>
    </row>
    <row r="788" customFormat="false" ht="15" hidden="false" customHeight="false" outlineLevel="0" collapsed="false">
      <c r="A788" s="19"/>
      <c r="B788" s="19"/>
      <c r="C788" s="26" t="str">
        <f aca="false">IF(A788="","",COUNTIF(Jeux!$C$2:$C$3001,A788))</f>
        <v/>
      </c>
      <c r="D788" s="26" t="str">
        <f aca="false">IF(A788="","",COUNTIF(Pubs!$G$2:$G$3001,A788))</f>
        <v/>
      </c>
      <c r="E788" s="26" t="str">
        <f aca="false">IF(A788="","",COUNTIF(Apparitions!$J$2:$J$5001,A788))</f>
        <v/>
      </c>
    </row>
    <row r="789" customFormat="false" ht="15" hidden="false" customHeight="false" outlineLevel="0" collapsed="false">
      <c r="A789" s="19"/>
      <c r="B789" s="19"/>
      <c r="C789" s="26" t="str">
        <f aca="false">IF(A789="","",COUNTIF(Jeux!$C$2:$C$3001,A789))</f>
        <v/>
      </c>
      <c r="D789" s="26" t="str">
        <f aca="false">IF(A789="","",COUNTIF(Pubs!$G$2:$G$3001,A789))</f>
        <v/>
      </c>
      <c r="E789" s="26" t="str">
        <f aca="false">IF(A789="","",COUNTIF(Apparitions!$J$2:$J$5001,A789))</f>
        <v/>
      </c>
    </row>
    <row r="790" customFormat="false" ht="15" hidden="false" customHeight="false" outlineLevel="0" collapsed="false">
      <c r="A790" s="19"/>
      <c r="B790" s="19"/>
      <c r="C790" s="26" t="str">
        <f aca="false">IF(A790="","",COUNTIF(Jeux!$C$2:$C$3001,A790))</f>
        <v/>
      </c>
      <c r="D790" s="26" t="str">
        <f aca="false">IF(A790="","",COUNTIF(Pubs!$G$2:$G$3001,A790))</f>
        <v/>
      </c>
      <c r="E790" s="26" t="str">
        <f aca="false">IF(A790="","",COUNTIF(Apparitions!$J$2:$J$5001,A790))</f>
        <v/>
      </c>
    </row>
    <row r="791" customFormat="false" ht="15" hidden="false" customHeight="false" outlineLevel="0" collapsed="false">
      <c r="A791" s="19"/>
      <c r="B791" s="19"/>
      <c r="C791" s="26" t="str">
        <f aca="false">IF(A791="","",COUNTIF(Jeux!$C$2:$C$3001,A791))</f>
        <v/>
      </c>
      <c r="D791" s="26" t="str">
        <f aca="false">IF(A791="","",COUNTIF(Pubs!$G$2:$G$3001,A791))</f>
        <v/>
      </c>
      <c r="E791" s="26" t="str">
        <f aca="false">IF(A791="","",COUNTIF(Apparitions!$J$2:$J$5001,A791))</f>
        <v/>
      </c>
    </row>
    <row r="792" customFormat="false" ht="15" hidden="false" customHeight="false" outlineLevel="0" collapsed="false">
      <c r="A792" s="19"/>
      <c r="B792" s="19"/>
      <c r="C792" s="26" t="str">
        <f aca="false">IF(A792="","",COUNTIF(Jeux!$C$2:$C$3001,A792))</f>
        <v/>
      </c>
      <c r="D792" s="26" t="str">
        <f aca="false">IF(A792="","",COUNTIF(Pubs!$G$2:$G$3001,A792))</f>
        <v/>
      </c>
      <c r="E792" s="26" t="str">
        <f aca="false">IF(A792="","",COUNTIF(Apparitions!$J$2:$J$5001,A792))</f>
        <v/>
      </c>
    </row>
    <row r="793" customFormat="false" ht="15" hidden="false" customHeight="false" outlineLevel="0" collapsed="false">
      <c r="A793" s="19"/>
      <c r="B793" s="19"/>
      <c r="C793" s="26" t="str">
        <f aca="false">IF(A793="","",COUNTIF(Jeux!$C$2:$C$3001,A793))</f>
        <v/>
      </c>
      <c r="D793" s="26" t="str">
        <f aca="false">IF(A793="","",COUNTIF(Pubs!$G$2:$G$3001,A793))</f>
        <v/>
      </c>
      <c r="E793" s="26" t="str">
        <f aca="false">IF(A793="","",COUNTIF(Apparitions!$J$2:$J$5001,A793))</f>
        <v/>
      </c>
    </row>
    <row r="794" customFormat="false" ht="15" hidden="false" customHeight="false" outlineLevel="0" collapsed="false">
      <c r="A794" s="19"/>
      <c r="B794" s="19"/>
      <c r="C794" s="26" t="str">
        <f aca="false">IF(A794="","",COUNTIF(Jeux!$C$2:$C$3001,A794))</f>
        <v/>
      </c>
      <c r="D794" s="26" t="str">
        <f aca="false">IF(A794="","",COUNTIF(Pubs!$G$2:$G$3001,A794))</f>
        <v/>
      </c>
      <c r="E794" s="26" t="str">
        <f aca="false">IF(A794="","",COUNTIF(Apparitions!$J$2:$J$5001,A794))</f>
        <v/>
      </c>
    </row>
    <row r="795" customFormat="false" ht="15" hidden="false" customHeight="false" outlineLevel="0" collapsed="false">
      <c r="A795" s="19"/>
      <c r="B795" s="19"/>
      <c r="C795" s="26" t="str">
        <f aca="false">IF(A795="","",COUNTIF(Jeux!$C$2:$C$3001,A795))</f>
        <v/>
      </c>
      <c r="D795" s="26" t="str">
        <f aca="false">IF(A795="","",COUNTIF(Pubs!$G$2:$G$3001,A795))</f>
        <v/>
      </c>
      <c r="E795" s="26" t="str">
        <f aca="false">IF(A795="","",COUNTIF(Apparitions!$J$2:$J$5001,A795))</f>
        <v/>
      </c>
    </row>
    <row r="796" customFormat="false" ht="15" hidden="false" customHeight="false" outlineLevel="0" collapsed="false">
      <c r="A796" s="19"/>
      <c r="B796" s="19"/>
      <c r="C796" s="26" t="str">
        <f aca="false">IF(A796="","",COUNTIF(Jeux!$C$2:$C$3001,A796))</f>
        <v/>
      </c>
      <c r="D796" s="26" t="str">
        <f aca="false">IF(A796="","",COUNTIF(Pubs!$G$2:$G$3001,A796))</f>
        <v/>
      </c>
      <c r="E796" s="26" t="str">
        <f aca="false">IF(A796="","",COUNTIF(Apparitions!$J$2:$J$5001,A796))</f>
        <v/>
      </c>
    </row>
    <row r="797" customFormat="false" ht="15" hidden="false" customHeight="false" outlineLevel="0" collapsed="false">
      <c r="A797" s="19"/>
      <c r="B797" s="19"/>
      <c r="C797" s="26" t="str">
        <f aca="false">IF(A797="","",COUNTIF(Jeux!$C$2:$C$3001,A797))</f>
        <v/>
      </c>
      <c r="D797" s="26" t="str">
        <f aca="false">IF(A797="","",COUNTIF(Pubs!$G$2:$G$3001,A797))</f>
        <v/>
      </c>
      <c r="E797" s="26" t="str">
        <f aca="false">IF(A797="","",COUNTIF(Apparitions!$J$2:$J$5001,A797))</f>
        <v/>
      </c>
    </row>
    <row r="798" customFormat="false" ht="15" hidden="false" customHeight="false" outlineLevel="0" collapsed="false">
      <c r="A798" s="19"/>
      <c r="B798" s="19"/>
      <c r="C798" s="26" t="str">
        <f aca="false">IF(A798="","",COUNTIF(Jeux!$C$2:$C$3001,A798))</f>
        <v/>
      </c>
      <c r="D798" s="26" t="str">
        <f aca="false">IF(A798="","",COUNTIF(Pubs!$G$2:$G$3001,A798))</f>
        <v/>
      </c>
      <c r="E798" s="26" t="str">
        <f aca="false">IF(A798="","",COUNTIF(Apparitions!$J$2:$J$5001,A798))</f>
        <v/>
      </c>
    </row>
    <row r="799" customFormat="false" ht="15" hidden="false" customHeight="false" outlineLevel="0" collapsed="false">
      <c r="A799" s="19"/>
      <c r="B799" s="19"/>
      <c r="C799" s="26" t="str">
        <f aca="false">IF(A799="","",COUNTIF(Jeux!$C$2:$C$3001,A799))</f>
        <v/>
      </c>
      <c r="D799" s="26" t="str">
        <f aca="false">IF(A799="","",COUNTIF(Pubs!$G$2:$G$3001,A799))</f>
        <v/>
      </c>
      <c r="E799" s="26" t="str">
        <f aca="false">IF(A799="","",COUNTIF(Apparitions!$J$2:$J$5001,A799))</f>
        <v/>
      </c>
    </row>
    <row r="800" customFormat="false" ht="15" hidden="false" customHeight="false" outlineLevel="0" collapsed="false">
      <c r="A800" s="19"/>
      <c r="B800" s="19"/>
      <c r="C800" s="26" t="str">
        <f aca="false">IF(A800="","",COUNTIF(Jeux!$C$2:$C$3001,A800))</f>
        <v/>
      </c>
      <c r="D800" s="26" t="str">
        <f aca="false">IF(A800="","",COUNTIF(Pubs!$G$2:$G$3001,A800))</f>
        <v/>
      </c>
      <c r="E800" s="26" t="str">
        <f aca="false">IF(A800="","",COUNTIF(Apparitions!$J$2:$J$5001,A800))</f>
        <v/>
      </c>
    </row>
    <row r="801" customFormat="false" ht="15" hidden="false" customHeight="false" outlineLevel="0" collapsed="false">
      <c r="A801" s="19"/>
      <c r="B801" s="19"/>
      <c r="C801" s="26" t="str">
        <f aca="false">IF(A801="","",COUNTIF(Jeux!$C$2:$C$3001,A801))</f>
        <v/>
      </c>
      <c r="D801" s="26" t="str">
        <f aca="false">IF(A801="","",COUNTIF(Pubs!$G$2:$G$3001,A801))</f>
        <v/>
      </c>
      <c r="E801" s="26" t="str">
        <f aca="false">IF(A801="","",COUNTIF(Apparitions!$J$2:$J$5001,A801))</f>
        <v/>
      </c>
    </row>
    <row r="802" customFormat="false" ht="15" hidden="false" customHeight="false" outlineLevel="0" collapsed="false">
      <c r="A802" s="19"/>
      <c r="B802" s="19"/>
      <c r="C802" s="26" t="str">
        <f aca="false">IF(A802="","",COUNTIF(Jeux!$C$2:$C$3001,A802))</f>
        <v/>
      </c>
      <c r="D802" s="26" t="str">
        <f aca="false">IF(A802="","",COUNTIF(Pubs!$G$2:$G$3001,A802))</f>
        <v/>
      </c>
      <c r="E802" s="26" t="str">
        <f aca="false">IF(A802="","",COUNTIF(Apparitions!$J$2:$J$5001,A802))</f>
        <v/>
      </c>
    </row>
    <row r="803" customFormat="false" ht="15" hidden="false" customHeight="false" outlineLevel="0" collapsed="false">
      <c r="A803" s="19"/>
      <c r="B803" s="19"/>
      <c r="C803" s="26" t="str">
        <f aca="false">IF(A803="","",COUNTIF(Jeux!$C$2:$C$3001,A803))</f>
        <v/>
      </c>
      <c r="D803" s="26" t="str">
        <f aca="false">IF(A803="","",COUNTIF(Pubs!$G$2:$G$3001,A803))</f>
        <v/>
      </c>
      <c r="E803" s="26" t="str">
        <f aca="false">IF(A803="","",COUNTIF(Apparitions!$J$2:$J$5001,A803))</f>
        <v/>
      </c>
    </row>
    <row r="804" customFormat="false" ht="15" hidden="false" customHeight="false" outlineLevel="0" collapsed="false">
      <c r="A804" s="19"/>
      <c r="B804" s="19"/>
      <c r="C804" s="26" t="str">
        <f aca="false">IF(A804="","",COUNTIF(Jeux!$C$2:$C$3001,A804))</f>
        <v/>
      </c>
      <c r="D804" s="26" t="str">
        <f aca="false">IF(A804="","",COUNTIF(Pubs!$G$2:$G$3001,A804))</f>
        <v/>
      </c>
      <c r="E804" s="26" t="str">
        <f aca="false">IF(A804="","",COUNTIF(Apparitions!$J$2:$J$5001,A804))</f>
        <v/>
      </c>
    </row>
    <row r="805" customFormat="false" ht="15" hidden="false" customHeight="false" outlineLevel="0" collapsed="false">
      <c r="A805" s="19"/>
      <c r="B805" s="19"/>
      <c r="C805" s="26" t="str">
        <f aca="false">IF(A805="","",COUNTIF(Jeux!$C$2:$C$3001,A805))</f>
        <v/>
      </c>
      <c r="D805" s="26" t="str">
        <f aca="false">IF(A805="","",COUNTIF(Pubs!$G$2:$G$3001,A805))</f>
        <v/>
      </c>
      <c r="E805" s="26" t="str">
        <f aca="false">IF(A805="","",COUNTIF(Apparitions!$J$2:$J$5001,A805))</f>
        <v/>
      </c>
    </row>
    <row r="806" customFormat="false" ht="15" hidden="false" customHeight="false" outlineLevel="0" collapsed="false">
      <c r="A806" s="19"/>
      <c r="B806" s="19"/>
      <c r="C806" s="26" t="str">
        <f aca="false">IF(A806="","",COUNTIF(Jeux!$C$2:$C$3001,A806))</f>
        <v/>
      </c>
      <c r="D806" s="26" t="str">
        <f aca="false">IF(A806="","",COUNTIF(Pubs!$G$2:$G$3001,A806))</f>
        <v/>
      </c>
      <c r="E806" s="26" t="str">
        <f aca="false">IF(A806="","",COUNTIF(Apparitions!$J$2:$J$5001,A806))</f>
        <v/>
      </c>
    </row>
    <row r="807" customFormat="false" ht="15" hidden="false" customHeight="false" outlineLevel="0" collapsed="false">
      <c r="A807" s="19"/>
      <c r="B807" s="19"/>
      <c r="C807" s="26" t="str">
        <f aca="false">IF(A807="","",COUNTIF(Jeux!$C$2:$C$3001,A807))</f>
        <v/>
      </c>
      <c r="D807" s="26" t="str">
        <f aca="false">IF(A807="","",COUNTIF(Pubs!$G$2:$G$3001,A807))</f>
        <v/>
      </c>
      <c r="E807" s="26" t="str">
        <f aca="false">IF(A807="","",COUNTIF(Apparitions!$J$2:$J$5001,A807))</f>
        <v/>
      </c>
    </row>
    <row r="808" customFormat="false" ht="15" hidden="false" customHeight="false" outlineLevel="0" collapsed="false">
      <c r="A808" s="19"/>
      <c r="B808" s="19"/>
      <c r="C808" s="26" t="str">
        <f aca="false">IF(A808="","",COUNTIF(Jeux!$C$2:$C$3001,A808))</f>
        <v/>
      </c>
      <c r="D808" s="26" t="str">
        <f aca="false">IF(A808="","",COUNTIF(Pubs!$G$2:$G$3001,A808))</f>
        <v/>
      </c>
      <c r="E808" s="26" t="str">
        <f aca="false">IF(A808="","",COUNTIF(Apparitions!$J$2:$J$5001,A808))</f>
        <v/>
      </c>
    </row>
    <row r="809" customFormat="false" ht="15" hidden="false" customHeight="false" outlineLevel="0" collapsed="false">
      <c r="A809" s="19"/>
      <c r="B809" s="19"/>
      <c r="C809" s="26" t="str">
        <f aca="false">IF(A809="","",COUNTIF(Jeux!$C$2:$C$3001,A809))</f>
        <v/>
      </c>
      <c r="D809" s="26" t="str">
        <f aca="false">IF(A809="","",COUNTIF(Pubs!$G$2:$G$3001,A809))</f>
        <v/>
      </c>
      <c r="E809" s="26" t="str">
        <f aca="false">IF(A809="","",COUNTIF(Apparitions!$J$2:$J$5001,A809))</f>
        <v/>
      </c>
    </row>
    <row r="810" customFormat="false" ht="15" hidden="false" customHeight="false" outlineLevel="0" collapsed="false">
      <c r="A810" s="19"/>
      <c r="B810" s="19"/>
      <c r="C810" s="26" t="str">
        <f aca="false">IF(A810="","",COUNTIF(Jeux!$C$2:$C$3001,A810))</f>
        <v/>
      </c>
      <c r="D810" s="26" t="str">
        <f aca="false">IF(A810="","",COUNTIF(Pubs!$G$2:$G$3001,A810))</f>
        <v/>
      </c>
      <c r="E810" s="26" t="str">
        <f aca="false">IF(A810="","",COUNTIF(Apparitions!$J$2:$J$5001,A810))</f>
        <v/>
      </c>
    </row>
    <row r="811" customFormat="false" ht="15" hidden="false" customHeight="false" outlineLevel="0" collapsed="false">
      <c r="A811" s="19"/>
      <c r="B811" s="19"/>
      <c r="C811" s="26" t="str">
        <f aca="false">IF(A811="","",COUNTIF(Jeux!$C$2:$C$3001,A811))</f>
        <v/>
      </c>
      <c r="D811" s="26" t="str">
        <f aca="false">IF(A811="","",COUNTIF(Pubs!$G$2:$G$3001,A811))</f>
        <v/>
      </c>
      <c r="E811" s="26" t="str">
        <f aca="false">IF(A811="","",COUNTIF(Apparitions!$J$2:$J$5001,A811))</f>
        <v/>
      </c>
    </row>
    <row r="812" customFormat="false" ht="15" hidden="false" customHeight="false" outlineLevel="0" collapsed="false">
      <c r="A812" s="19"/>
      <c r="B812" s="19"/>
      <c r="C812" s="26" t="str">
        <f aca="false">IF(A812="","",COUNTIF(Jeux!$C$2:$C$3001,A812))</f>
        <v/>
      </c>
      <c r="D812" s="26" t="str">
        <f aca="false">IF(A812="","",COUNTIF(Pubs!$G$2:$G$3001,A812))</f>
        <v/>
      </c>
      <c r="E812" s="26" t="str">
        <f aca="false">IF(A812="","",COUNTIF(Apparitions!$J$2:$J$5001,A812))</f>
        <v/>
      </c>
    </row>
    <row r="813" customFormat="false" ht="15" hidden="false" customHeight="false" outlineLevel="0" collapsed="false">
      <c r="A813" s="19"/>
      <c r="B813" s="19"/>
      <c r="C813" s="26" t="str">
        <f aca="false">IF(A813="","",COUNTIF(Jeux!$C$2:$C$3001,A813))</f>
        <v/>
      </c>
      <c r="D813" s="26" t="str">
        <f aca="false">IF(A813="","",COUNTIF(Pubs!$G$2:$G$3001,A813))</f>
        <v/>
      </c>
      <c r="E813" s="26" t="str">
        <f aca="false">IF(A813="","",COUNTIF(Apparitions!$J$2:$J$5001,A813))</f>
        <v/>
      </c>
    </row>
    <row r="814" customFormat="false" ht="15" hidden="false" customHeight="false" outlineLevel="0" collapsed="false">
      <c r="A814" s="19"/>
      <c r="B814" s="19"/>
      <c r="C814" s="26" t="str">
        <f aca="false">IF(A814="","",COUNTIF(Jeux!$C$2:$C$3001,A814))</f>
        <v/>
      </c>
      <c r="D814" s="26" t="str">
        <f aca="false">IF(A814="","",COUNTIF(Pubs!$G$2:$G$3001,A814))</f>
        <v/>
      </c>
      <c r="E814" s="26" t="str">
        <f aca="false">IF(A814="","",COUNTIF(Apparitions!$J$2:$J$5001,A814))</f>
        <v/>
      </c>
    </row>
    <row r="815" customFormat="false" ht="15" hidden="false" customHeight="false" outlineLevel="0" collapsed="false">
      <c r="A815" s="19"/>
      <c r="B815" s="19"/>
      <c r="C815" s="26" t="str">
        <f aca="false">IF(A815="","",COUNTIF(Jeux!$C$2:$C$3001,A815))</f>
        <v/>
      </c>
      <c r="D815" s="26" t="str">
        <f aca="false">IF(A815="","",COUNTIF(Pubs!$G$2:$G$3001,A815))</f>
        <v/>
      </c>
      <c r="E815" s="26" t="str">
        <f aca="false">IF(A815="","",COUNTIF(Apparitions!$J$2:$J$5001,A815))</f>
        <v/>
      </c>
    </row>
    <row r="816" customFormat="false" ht="15" hidden="false" customHeight="false" outlineLevel="0" collapsed="false">
      <c r="A816" s="19"/>
      <c r="B816" s="19"/>
      <c r="C816" s="26" t="str">
        <f aca="false">IF(A816="","",COUNTIF(Jeux!$C$2:$C$3001,A816))</f>
        <v/>
      </c>
      <c r="D816" s="26" t="str">
        <f aca="false">IF(A816="","",COUNTIF(Pubs!$G$2:$G$3001,A816))</f>
        <v/>
      </c>
      <c r="E816" s="26" t="str">
        <f aca="false">IF(A816="","",COUNTIF(Apparitions!$J$2:$J$5001,A816))</f>
        <v/>
      </c>
    </row>
    <row r="817" customFormat="false" ht="15" hidden="false" customHeight="false" outlineLevel="0" collapsed="false">
      <c r="A817" s="19"/>
      <c r="B817" s="19"/>
      <c r="C817" s="26" t="str">
        <f aca="false">IF(A817="","",COUNTIF(Jeux!$C$2:$C$3001,A817))</f>
        <v/>
      </c>
      <c r="D817" s="26" t="str">
        <f aca="false">IF(A817="","",COUNTIF(Pubs!$G$2:$G$3001,A817))</f>
        <v/>
      </c>
      <c r="E817" s="26" t="str">
        <f aca="false">IF(A817="","",COUNTIF(Apparitions!$J$2:$J$5001,A817))</f>
        <v/>
      </c>
    </row>
    <row r="818" customFormat="false" ht="15" hidden="false" customHeight="false" outlineLevel="0" collapsed="false">
      <c r="A818" s="19"/>
      <c r="B818" s="19"/>
      <c r="C818" s="26" t="str">
        <f aca="false">IF(A818="","",COUNTIF(Jeux!$C$2:$C$3001,A818))</f>
        <v/>
      </c>
      <c r="D818" s="26" t="str">
        <f aca="false">IF(A818="","",COUNTIF(Pubs!$G$2:$G$3001,A818))</f>
        <v/>
      </c>
      <c r="E818" s="26" t="str">
        <f aca="false">IF(A818="","",COUNTIF(Apparitions!$J$2:$J$5001,A818))</f>
        <v/>
      </c>
    </row>
    <row r="819" customFormat="false" ht="15" hidden="false" customHeight="false" outlineLevel="0" collapsed="false">
      <c r="A819" s="19"/>
      <c r="B819" s="19"/>
      <c r="C819" s="26" t="str">
        <f aca="false">IF(A819="","",COUNTIF(Jeux!$C$2:$C$3001,A819))</f>
        <v/>
      </c>
      <c r="D819" s="26" t="str">
        <f aca="false">IF(A819="","",COUNTIF(Pubs!$G$2:$G$3001,A819))</f>
        <v/>
      </c>
      <c r="E819" s="26" t="str">
        <f aca="false">IF(A819="","",COUNTIF(Apparitions!$J$2:$J$5001,A819))</f>
        <v/>
      </c>
    </row>
    <row r="820" customFormat="false" ht="15" hidden="false" customHeight="false" outlineLevel="0" collapsed="false">
      <c r="A820" s="19"/>
      <c r="B820" s="19"/>
      <c r="C820" s="26" t="str">
        <f aca="false">IF(A820="","",COUNTIF(Jeux!$C$2:$C$3001,A820))</f>
        <v/>
      </c>
      <c r="D820" s="26" t="str">
        <f aca="false">IF(A820="","",COUNTIF(Pubs!$G$2:$G$3001,A820))</f>
        <v/>
      </c>
      <c r="E820" s="26" t="str">
        <f aca="false">IF(A820="","",COUNTIF(Apparitions!$J$2:$J$5001,A820))</f>
        <v/>
      </c>
    </row>
    <row r="821" customFormat="false" ht="15" hidden="false" customHeight="false" outlineLevel="0" collapsed="false">
      <c r="A821" s="19"/>
      <c r="B821" s="19"/>
      <c r="C821" s="26" t="str">
        <f aca="false">IF(A821="","",COUNTIF(Jeux!$C$2:$C$3001,A821))</f>
        <v/>
      </c>
      <c r="D821" s="26" t="str">
        <f aca="false">IF(A821="","",COUNTIF(Pubs!$G$2:$G$3001,A821))</f>
        <v/>
      </c>
      <c r="E821" s="26" t="str">
        <f aca="false">IF(A821="","",COUNTIF(Apparitions!$J$2:$J$5001,A821))</f>
        <v/>
      </c>
    </row>
    <row r="822" customFormat="false" ht="15" hidden="false" customHeight="false" outlineLevel="0" collapsed="false">
      <c r="A822" s="19"/>
      <c r="B822" s="19"/>
      <c r="C822" s="26" t="str">
        <f aca="false">IF(A822="","",COUNTIF(Jeux!$C$2:$C$3001,A822))</f>
        <v/>
      </c>
      <c r="D822" s="26" t="str">
        <f aca="false">IF(A822="","",COUNTIF(Pubs!$G$2:$G$3001,A822))</f>
        <v/>
      </c>
      <c r="E822" s="26" t="str">
        <f aca="false">IF(A822="","",COUNTIF(Apparitions!$J$2:$J$5001,A822))</f>
        <v/>
      </c>
    </row>
    <row r="823" customFormat="false" ht="15" hidden="false" customHeight="false" outlineLevel="0" collapsed="false">
      <c r="A823" s="19"/>
      <c r="B823" s="19"/>
      <c r="C823" s="26" t="str">
        <f aca="false">IF(A823="","",COUNTIF(Jeux!$C$2:$C$3001,A823))</f>
        <v/>
      </c>
      <c r="D823" s="26" t="str">
        <f aca="false">IF(A823="","",COUNTIF(Pubs!$G$2:$G$3001,A823))</f>
        <v/>
      </c>
      <c r="E823" s="26" t="str">
        <f aca="false">IF(A823="","",COUNTIF(Apparitions!$J$2:$J$5001,A823))</f>
        <v/>
      </c>
    </row>
    <row r="824" customFormat="false" ht="15" hidden="false" customHeight="false" outlineLevel="0" collapsed="false">
      <c r="A824" s="19"/>
      <c r="B824" s="19"/>
      <c r="C824" s="26" t="str">
        <f aca="false">IF(A824="","",COUNTIF(Jeux!$C$2:$C$3001,A824))</f>
        <v/>
      </c>
      <c r="D824" s="26" t="str">
        <f aca="false">IF(A824="","",COUNTIF(Pubs!$G$2:$G$3001,A824))</f>
        <v/>
      </c>
      <c r="E824" s="26" t="str">
        <f aca="false">IF(A824="","",COUNTIF(Apparitions!$J$2:$J$5001,A824))</f>
        <v/>
      </c>
    </row>
    <row r="825" customFormat="false" ht="15" hidden="false" customHeight="false" outlineLevel="0" collapsed="false">
      <c r="A825" s="19"/>
      <c r="B825" s="19"/>
      <c r="C825" s="26" t="str">
        <f aca="false">IF(A825="","",COUNTIF(Jeux!$C$2:$C$3001,A825))</f>
        <v/>
      </c>
      <c r="D825" s="26" t="str">
        <f aca="false">IF(A825="","",COUNTIF(Pubs!$G$2:$G$3001,A825))</f>
        <v/>
      </c>
      <c r="E825" s="26" t="str">
        <f aca="false">IF(A825="","",COUNTIF(Apparitions!$J$2:$J$5001,A825))</f>
        <v/>
      </c>
    </row>
    <row r="826" customFormat="false" ht="15" hidden="false" customHeight="false" outlineLevel="0" collapsed="false">
      <c r="A826" s="19"/>
      <c r="B826" s="19"/>
      <c r="C826" s="26" t="str">
        <f aca="false">IF(A826="","",COUNTIF(Jeux!$C$2:$C$3001,A826))</f>
        <v/>
      </c>
      <c r="D826" s="26" t="str">
        <f aca="false">IF(A826="","",COUNTIF(Pubs!$G$2:$G$3001,A826))</f>
        <v/>
      </c>
      <c r="E826" s="26" t="str">
        <f aca="false">IF(A826="","",COUNTIF(Apparitions!$J$2:$J$5001,A826))</f>
        <v/>
      </c>
    </row>
    <row r="827" customFormat="false" ht="15" hidden="false" customHeight="false" outlineLevel="0" collapsed="false">
      <c r="A827" s="19"/>
      <c r="B827" s="19"/>
      <c r="C827" s="26" t="str">
        <f aca="false">IF(A827="","",COUNTIF(Jeux!$C$2:$C$3001,A827))</f>
        <v/>
      </c>
      <c r="D827" s="26" t="str">
        <f aca="false">IF(A827="","",COUNTIF(Pubs!$G$2:$G$3001,A827))</f>
        <v/>
      </c>
      <c r="E827" s="26" t="str">
        <f aca="false">IF(A827="","",COUNTIF(Apparitions!$J$2:$J$5001,A827))</f>
        <v/>
      </c>
    </row>
    <row r="828" customFormat="false" ht="15" hidden="false" customHeight="false" outlineLevel="0" collapsed="false">
      <c r="A828" s="19"/>
      <c r="B828" s="19"/>
      <c r="C828" s="26" t="str">
        <f aca="false">IF(A828="","",COUNTIF(Jeux!$C$2:$C$3001,A828))</f>
        <v/>
      </c>
      <c r="D828" s="26" t="str">
        <f aca="false">IF(A828="","",COUNTIF(Pubs!$G$2:$G$3001,A828))</f>
        <v/>
      </c>
      <c r="E828" s="26" t="str">
        <f aca="false">IF(A828="","",COUNTIF(Apparitions!$J$2:$J$5001,A828))</f>
        <v/>
      </c>
    </row>
    <row r="829" customFormat="false" ht="15" hidden="false" customHeight="false" outlineLevel="0" collapsed="false">
      <c r="A829" s="19"/>
      <c r="B829" s="19"/>
      <c r="C829" s="26" t="str">
        <f aca="false">IF(A829="","",COUNTIF(Jeux!$C$2:$C$3001,A829))</f>
        <v/>
      </c>
      <c r="D829" s="26" t="str">
        <f aca="false">IF(A829="","",COUNTIF(Pubs!$G$2:$G$3001,A829))</f>
        <v/>
      </c>
      <c r="E829" s="26" t="str">
        <f aca="false">IF(A829="","",COUNTIF(Apparitions!$J$2:$J$5001,A829))</f>
        <v/>
      </c>
    </row>
    <row r="830" customFormat="false" ht="15" hidden="false" customHeight="false" outlineLevel="0" collapsed="false">
      <c r="A830" s="19"/>
      <c r="B830" s="19"/>
      <c r="C830" s="26" t="str">
        <f aca="false">IF(A830="","",COUNTIF(Jeux!$C$2:$C$3001,A830))</f>
        <v/>
      </c>
      <c r="D830" s="26" t="str">
        <f aca="false">IF(A830="","",COUNTIF(Pubs!$G$2:$G$3001,A830))</f>
        <v/>
      </c>
      <c r="E830" s="26" t="str">
        <f aca="false">IF(A830="","",COUNTIF(Apparitions!$J$2:$J$5001,A830))</f>
        <v/>
      </c>
    </row>
    <row r="831" customFormat="false" ht="15" hidden="false" customHeight="false" outlineLevel="0" collapsed="false">
      <c r="A831" s="19"/>
      <c r="B831" s="19"/>
      <c r="C831" s="26" t="str">
        <f aca="false">IF(A831="","",COUNTIF(Jeux!$C$2:$C$3001,A831))</f>
        <v/>
      </c>
      <c r="D831" s="26" t="str">
        <f aca="false">IF(A831="","",COUNTIF(Pubs!$G$2:$G$3001,A831))</f>
        <v/>
      </c>
      <c r="E831" s="26" t="str">
        <f aca="false">IF(A831="","",COUNTIF(Apparitions!$J$2:$J$5001,A831))</f>
        <v/>
      </c>
    </row>
    <row r="832" customFormat="false" ht="15" hidden="false" customHeight="false" outlineLevel="0" collapsed="false">
      <c r="A832" s="19"/>
      <c r="B832" s="19"/>
      <c r="C832" s="26" t="str">
        <f aca="false">IF(A832="","",COUNTIF(Jeux!$C$2:$C$3001,A832))</f>
        <v/>
      </c>
      <c r="D832" s="26" t="str">
        <f aca="false">IF(A832="","",COUNTIF(Pubs!$G$2:$G$3001,A832))</f>
        <v/>
      </c>
      <c r="E832" s="26" t="str">
        <f aca="false">IF(A832="","",COUNTIF(Apparitions!$J$2:$J$5001,A832))</f>
        <v/>
      </c>
    </row>
    <row r="833" customFormat="false" ht="15" hidden="false" customHeight="false" outlineLevel="0" collapsed="false">
      <c r="A833" s="19"/>
      <c r="B833" s="19"/>
      <c r="C833" s="26" t="str">
        <f aca="false">IF(A833="","",COUNTIF(Jeux!$C$2:$C$3001,A833))</f>
        <v/>
      </c>
      <c r="D833" s="26" t="str">
        <f aca="false">IF(A833="","",COUNTIF(Pubs!$G$2:$G$3001,A833))</f>
        <v/>
      </c>
      <c r="E833" s="26" t="str">
        <f aca="false">IF(A833="","",COUNTIF(Apparitions!$J$2:$J$5001,A833))</f>
        <v/>
      </c>
    </row>
    <row r="834" customFormat="false" ht="15" hidden="false" customHeight="false" outlineLevel="0" collapsed="false">
      <c r="A834" s="19"/>
      <c r="B834" s="19"/>
      <c r="C834" s="26" t="str">
        <f aca="false">IF(A834="","",COUNTIF(Jeux!$C$2:$C$3001,A834))</f>
        <v/>
      </c>
      <c r="D834" s="26" t="str">
        <f aca="false">IF(A834="","",COUNTIF(Pubs!$G$2:$G$3001,A834))</f>
        <v/>
      </c>
      <c r="E834" s="26" t="str">
        <f aca="false">IF(A834="","",COUNTIF(Apparitions!$J$2:$J$5001,A834))</f>
        <v/>
      </c>
    </row>
    <row r="835" customFormat="false" ht="15" hidden="false" customHeight="false" outlineLevel="0" collapsed="false">
      <c r="A835" s="19"/>
      <c r="B835" s="19"/>
      <c r="C835" s="26" t="str">
        <f aca="false">IF(A835="","",COUNTIF(Jeux!$C$2:$C$3001,A835))</f>
        <v/>
      </c>
      <c r="D835" s="26" t="str">
        <f aca="false">IF(A835="","",COUNTIF(Pubs!$G$2:$G$3001,A835))</f>
        <v/>
      </c>
      <c r="E835" s="26" t="str">
        <f aca="false">IF(A835="","",COUNTIF(Apparitions!$J$2:$J$5001,A835))</f>
        <v/>
      </c>
    </row>
    <row r="836" customFormat="false" ht="15" hidden="false" customHeight="false" outlineLevel="0" collapsed="false">
      <c r="A836" s="19"/>
      <c r="B836" s="19"/>
      <c r="C836" s="26" t="str">
        <f aca="false">IF(A836="","",COUNTIF(Jeux!$C$2:$C$3001,A836))</f>
        <v/>
      </c>
      <c r="D836" s="26" t="str">
        <f aca="false">IF(A836="","",COUNTIF(Pubs!$G$2:$G$3001,A836))</f>
        <v/>
      </c>
      <c r="E836" s="26" t="str">
        <f aca="false">IF(A836="","",COUNTIF(Apparitions!$J$2:$J$5001,A836))</f>
        <v/>
      </c>
    </row>
    <row r="837" customFormat="false" ht="15" hidden="false" customHeight="false" outlineLevel="0" collapsed="false">
      <c r="A837" s="19"/>
      <c r="B837" s="19"/>
      <c r="C837" s="26" t="str">
        <f aca="false">IF(A837="","",COUNTIF(Jeux!$C$2:$C$3001,A837))</f>
        <v/>
      </c>
      <c r="D837" s="26" t="str">
        <f aca="false">IF(A837="","",COUNTIF(Pubs!$G$2:$G$3001,A837))</f>
        <v/>
      </c>
      <c r="E837" s="26" t="str">
        <f aca="false">IF(A837="","",COUNTIF(Apparitions!$J$2:$J$5001,A837))</f>
        <v/>
      </c>
    </row>
    <row r="838" customFormat="false" ht="15" hidden="false" customHeight="false" outlineLevel="0" collapsed="false">
      <c r="A838" s="19"/>
      <c r="B838" s="19"/>
      <c r="C838" s="26" t="str">
        <f aca="false">IF(A838="","",COUNTIF(Jeux!$C$2:$C$3001,A838))</f>
        <v/>
      </c>
      <c r="D838" s="26" t="str">
        <f aca="false">IF(A838="","",COUNTIF(Pubs!$G$2:$G$3001,A838))</f>
        <v/>
      </c>
      <c r="E838" s="26" t="str">
        <f aca="false">IF(A838="","",COUNTIF(Apparitions!$J$2:$J$5001,A838))</f>
        <v/>
      </c>
    </row>
    <row r="839" customFormat="false" ht="15" hidden="false" customHeight="false" outlineLevel="0" collapsed="false">
      <c r="A839" s="19"/>
      <c r="B839" s="19"/>
      <c r="C839" s="26" t="str">
        <f aca="false">IF(A839="","",COUNTIF(Jeux!$C$2:$C$3001,A839))</f>
        <v/>
      </c>
      <c r="D839" s="26" t="str">
        <f aca="false">IF(A839="","",COUNTIF(Pubs!$G$2:$G$3001,A839))</f>
        <v/>
      </c>
      <c r="E839" s="26" t="str">
        <f aca="false">IF(A839="","",COUNTIF(Apparitions!$J$2:$J$5001,A839))</f>
        <v/>
      </c>
    </row>
    <row r="840" customFormat="false" ht="15" hidden="false" customHeight="false" outlineLevel="0" collapsed="false">
      <c r="A840" s="19"/>
      <c r="B840" s="19"/>
      <c r="C840" s="26" t="str">
        <f aca="false">IF(A840="","",COUNTIF(Jeux!$C$2:$C$3001,A840))</f>
        <v/>
      </c>
      <c r="D840" s="26" t="str">
        <f aca="false">IF(A840="","",COUNTIF(Pubs!$G$2:$G$3001,A840))</f>
        <v/>
      </c>
      <c r="E840" s="26" t="str">
        <f aca="false">IF(A840="","",COUNTIF(Apparitions!$J$2:$J$5001,A840))</f>
        <v/>
      </c>
    </row>
    <row r="841" customFormat="false" ht="15" hidden="false" customHeight="false" outlineLevel="0" collapsed="false">
      <c r="A841" s="19"/>
      <c r="B841" s="19"/>
      <c r="C841" s="26" t="str">
        <f aca="false">IF(A841="","",COUNTIF(Jeux!$C$2:$C$3001,A841))</f>
        <v/>
      </c>
      <c r="D841" s="26" t="str">
        <f aca="false">IF(A841="","",COUNTIF(Pubs!$G$2:$G$3001,A841))</f>
        <v/>
      </c>
      <c r="E841" s="26" t="str">
        <f aca="false">IF(A841="","",COUNTIF(Apparitions!$J$2:$J$5001,A841))</f>
        <v/>
      </c>
    </row>
    <row r="842" customFormat="false" ht="15" hidden="false" customHeight="false" outlineLevel="0" collapsed="false">
      <c r="A842" s="19"/>
      <c r="B842" s="19"/>
      <c r="C842" s="26" t="str">
        <f aca="false">IF(A842="","",COUNTIF(Jeux!$C$2:$C$3001,A842))</f>
        <v/>
      </c>
      <c r="D842" s="26" t="str">
        <f aca="false">IF(A842="","",COUNTIF(Pubs!$G$2:$G$3001,A842))</f>
        <v/>
      </c>
      <c r="E842" s="26" t="str">
        <f aca="false">IF(A842="","",COUNTIF(Apparitions!$J$2:$J$5001,A842))</f>
        <v/>
      </c>
    </row>
    <row r="843" customFormat="false" ht="15" hidden="false" customHeight="false" outlineLevel="0" collapsed="false">
      <c r="A843" s="19"/>
      <c r="B843" s="19"/>
      <c r="C843" s="26" t="str">
        <f aca="false">IF(A843="","",COUNTIF(Jeux!$C$2:$C$3001,A843))</f>
        <v/>
      </c>
      <c r="D843" s="26" t="str">
        <f aca="false">IF(A843="","",COUNTIF(Pubs!$G$2:$G$3001,A843))</f>
        <v/>
      </c>
      <c r="E843" s="26" t="str">
        <f aca="false">IF(A843="","",COUNTIF(Apparitions!$J$2:$J$5001,A843))</f>
        <v/>
      </c>
    </row>
    <row r="844" customFormat="false" ht="15" hidden="false" customHeight="false" outlineLevel="0" collapsed="false">
      <c r="A844" s="19"/>
      <c r="B844" s="19"/>
      <c r="C844" s="26" t="str">
        <f aca="false">IF(A844="","",COUNTIF(Jeux!$C$2:$C$3001,A844))</f>
        <v/>
      </c>
      <c r="D844" s="26" t="str">
        <f aca="false">IF(A844="","",COUNTIF(Pubs!$G$2:$G$3001,A844))</f>
        <v/>
      </c>
      <c r="E844" s="26" t="str">
        <f aca="false">IF(A844="","",COUNTIF(Apparitions!$J$2:$J$5001,A844))</f>
        <v/>
      </c>
    </row>
    <row r="845" customFormat="false" ht="15" hidden="false" customHeight="false" outlineLevel="0" collapsed="false">
      <c r="A845" s="19"/>
      <c r="B845" s="19"/>
      <c r="C845" s="26" t="str">
        <f aca="false">IF(A845="","",COUNTIF(Jeux!$C$2:$C$3001,A845))</f>
        <v/>
      </c>
      <c r="D845" s="26" t="str">
        <f aca="false">IF(A845="","",COUNTIF(Pubs!$G$2:$G$3001,A845))</f>
        <v/>
      </c>
      <c r="E845" s="26" t="str">
        <f aca="false">IF(A845="","",COUNTIF(Apparitions!$J$2:$J$5001,A845))</f>
        <v/>
      </c>
    </row>
    <row r="846" customFormat="false" ht="15" hidden="false" customHeight="false" outlineLevel="0" collapsed="false">
      <c r="A846" s="19"/>
      <c r="B846" s="19"/>
      <c r="C846" s="26" t="str">
        <f aca="false">IF(A846="","",COUNTIF(Jeux!$C$2:$C$3001,A846))</f>
        <v/>
      </c>
      <c r="D846" s="26" t="str">
        <f aca="false">IF(A846="","",COUNTIF(Pubs!$G$2:$G$3001,A846))</f>
        <v/>
      </c>
      <c r="E846" s="26" t="str">
        <f aca="false">IF(A846="","",COUNTIF(Apparitions!$J$2:$J$5001,A846))</f>
        <v/>
      </c>
    </row>
    <row r="847" customFormat="false" ht="15" hidden="false" customHeight="false" outlineLevel="0" collapsed="false">
      <c r="A847" s="19"/>
      <c r="B847" s="19"/>
      <c r="C847" s="26" t="str">
        <f aca="false">IF(A847="","",COUNTIF(Jeux!$C$2:$C$3001,A847))</f>
        <v/>
      </c>
      <c r="D847" s="26" t="str">
        <f aca="false">IF(A847="","",COUNTIF(Pubs!$G$2:$G$3001,A847))</f>
        <v/>
      </c>
      <c r="E847" s="26" t="str">
        <f aca="false">IF(A847="","",COUNTIF(Apparitions!$J$2:$J$5001,A847))</f>
        <v/>
      </c>
    </row>
    <row r="848" customFormat="false" ht="15" hidden="false" customHeight="false" outlineLevel="0" collapsed="false">
      <c r="A848" s="19"/>
      <c r="B848" s="19"/>
      <c r="C848" s="26" t="str">
        <f aca="false">IF(A848="","",COUNTIF(Jeux!$C$2:$C$3001,A848))</f>
        <v/>
      </c>
      <c r="D848" s="26" t="str">
        <f aca="false">IF(A848="","",COUNTIF(Pubs!$G$2:$G$3001,A848))</f>
        <v/>
      </c>
      <c r="E848" s="26" t="str">
        <f aca="false">IF(A848="","",COUNTIF(Apparitions!$J$2:$J$5001,A848))</f>
        <v/>
      </c>
    </row>
    <row r="849" customFormat="false" ht="15" hidden="false" customHeight="false" outlineLevel="0" collapsed="false">
      <c r="A849" s="19"/>
      <c r="B849" s="19"/>
      <c r="C849" s="26" t="str">
        <f aca="false">IF(A849="","",COUNTIF(Jeux!$C$2:$C$3001,A849))</f>
        <v/>
      </c>
      <c r="D849" s="26" t="str">
        <f aca="false">IF(A849="","",COUNTIF(Pubs!$G$2:$G$3001,A849))</f>
        <v/>
      </c>
      <c r="E849" s="26" t="str">
        <f aca="false">IF(A849="","",COUNTIF(Apparitions!$J$2:$J$5001,A849))</f>
        <v/>
      </c>
    </row>
    <row r="850" customFormat="false" ht="15" hidden="false" customHeight="false" outlineLevel="0" collapsed="false">
      <c r="A850" s="19"/>
      <c r="B850" s="19"/>
      <c r="C850" s="26" t="str">
        <f aca="false">IF(A850="","",COUNTIF(Jeux!$C$2:$C$3001,A850))</f>
        <v/>
      </c>
      <c r="D850" s="26" t="str">
        <f aca="false">IF(A850="","",COUNTIF(Pubs!$G$2:$G$3001,A850))</f>
        <v/>
      </c>
      <c r="E850" s="26" t="str">
        <f aca="false">IF(A850="","",COUNTIF(Apparitions!$J$2:$J$5001,A850))</f>
        <v/>
      </c>
    </row>
    <row r="851" customFormat="false" ht="15" hidden="false" customHeight="false" outlineLevel="0" collapsed="false">
      <c r="A851" s="19"/>
      <c r="B851" s="19"/>
      <c r="C851" s="26" t="str">
        <f aca="false">IF(A851="","",COUNTIF(Jeux!$C$2:$C$3001,A851))</f>
        <v/>
      </c>
      <c r="D851" s="26" t="str">
        <f aca="false">IF(A851="","",COUNTIF(Pubs!$G$2:$G$3001,A851))</f>
        <v/>
      </c>
      <c r="E851" s="26" t="str">
        <f aca="false">IF(A851="","",COUNTIF(Apparitions!$J$2:$J$5001,A851))</f>
        <v/>
      </c>
    </row>
    <row r="852" customFormat="false" ht="15" hidden="false" customHeight="false" outlineLevel="0" collapsed="false">
      <c r="A852" s="19"/>
      <c r="B852" s="19"/>
      <c r="C852" s="26" t="str">
        <f aca="false">IF(A852="","",COUNTIF(Jeux!$C$2:$C$3001,A852))</f>
        <v/>
      </c>
      <c r="D852" s="26" t="str">
        <f aca="false">IF(A852="","",COUNTIF(Pubs!$G$2:$G$3001,A852))</f>
        <v/>
      </c>
      <c r="E852" s="26" t="str">
        <f aca="false">IF(A852="","",COUNTIF(Apparitions!$J$2:$J$5001,A852))</f>
        <v/>
      </c>
    </row>
    <row r="853" customFormat="false" ht="15" hidden="false" customHeight="false" outlineLevel="0" collapsed="false">
      <c r="A853" s="19"/>
      <c r="B853" s="19"/>
      <c r="C853" s="26" t="str">
        <f aca="false">IF(A853="","",COUNTIF(Jeux!$C$2:$C$3001,A853))</f>
        <v/>
      </c>
      <c r="D853" s="26" t="str">
        <f aca="false">IF(A853="","",COUNTIF(Pubs!$G$2:$G$3001,A853))</f>
        <v/>
      </c>
      <c r="E853" s="26" t="str">
        <f aca="false">IF(A853="","",COUNTIF(Apparitions!$J$2:$J$5001,A853))</f>
        <v/>
      </c>
    </row>
    <row r="854" customFormat="false" ht="15" hidden="false" customHeight="false" outlineLevel="0" collapsed="false">
      <c r="A854" s="19"/>
      <c r="B854" s="19"/>
      <c r="C854" s="26" t="str">
        <f aca="false">IF(A854="","",COUNTIF(Jeux!$C$2:$C$3001,A854))</f>
        <v/>
      </c>
      <c r="D854" s="26" t="str">
        <f aca="false">IF(A854="","",COUNTIF(Pubs!$G$2:$G$3001,A854))</f>
        <v/>
      </c>
      <c r="E854" s="26" t="str">
        <f aca="false">IF(A854="","",COUNTIF(Apparitions!$J$2:$J$5001,A854))</f>
        <v/>
      </c>
    </row>
    <row r="855" customFormat="false" ht="15" hidden="false" customHeight="false" outlineLevel="0" collapsed="false">
      <c r="A855" s="19"/>
      <c r="B855" s="19"/>
      <c r="C855" s="26" t="str">
        <f aca="false">IF(A855="","",COUNTIF(Jeux!$C$2:$C$3001,A855))</f>
        <v/>
      </c>
      <c r="D855" s="26" t="str">
        <f aca="false">IF(A855="","",COUNTIF(Pubs!$G$2:$G$3001,A855))</f>
        <v/>
      </c>
      <c r="E855" s="26" t="str">
        <f aca="false">IF(A855="","",COUNTIF(Apparitions!$J$2:$J$5001,A855))</f>
        <v/>
      </c>
    </row>
    <row r="856" customFormat="false" ht="15" hidden="false" customHeight="false" outlineLevel="0" collapsed="false">
      <c r="A856" s="19"/>
      <c r="B856" s="19"/>
      <c r="C856" s="26" t="str">
        <f aca="false">IF(A856="","",COUNTIF(Jeux!$C$2:$C$3001,A856))</f>
        <v/>
      </c>
      <c r="D856" s="26" t="str">
        <f aca="false">IF(A856="","",COUNTIF(Pubs!$G$2:$G$3001,A856))</f>
        <v/>
      </c>
      <c r="E856" s="26" t="str">
        <f aca="false">IF(A856="","",COUNTIF(Apparitions!$J$2:$J$5001,A856))</f>
        <v/>
      </c>
    </row>
    <row r="857" customFormat="false" ht="15" hidden="false" customHeight="false" outlineLevel="0" collapsed="false">
      <c r="A857" s="19"/>
      <c r="B857" s="19"/>
      <c r="C857" s="26" t="str">
        <f aca="false">IF(A857="","",COUNTIF(Jeux!$C$2:$C$3001,A857))</f>
        <v/>
      </c>
      <c r="D857" s="26" t="str">
        <f aca="false">IF(A857="","",COUNTIF(Pubs!$G$2:$G$3001,A857))</f>
        <v/>
      </c>
      <c r="E857" s="26" t="str">
        <f aca="false">IF(A857="","",COUNTIF(Apparitions!$J$2:$J$5001,A857))</f>
        <v/>
      </c>
    </row>
    <row r="858" customFormat="false" ht="15" hidden="false" customHeight="false" outlineLevel="0" collapsed="false">
      <c r="A858" s="19"/>
      <c r="B858" s="19"/>
      <c r="C858" s="26" t="str">
        <f aca="false">IF(A858="","",COUNTIF(Jeux!$C$2:$C$3001,A858))</f>
        <v/>
      </c>
      <c r="D858" s="26" t="str">
        <f aca="false">IF(A858="","",COUNTIF(Pubs!$G$2:$G$3001,A858))</f>
        <v/>
      </c>
      <c r="E858" s="26" t="str">
        <f aca="false">IF(A858="","",COUNTIF(Apparitions!$J$2:$J$5001,A858))</f>
        <v/>
      </c>
    </row>
    <row r="859" customFormat="false" ht="15" hidden="false" customHeight="false" outlineLevel="0" collapsed="false">
      <c r="A859" s="19"/>
      <c r="B859" s="19"/>
      <c r="C859" s="26" t="str">
        <f aca="false">IF(A859="","",COUNTIF(Jeux!$C$2:$C$3001,A859))</f>
        <v/>
      </c>
      <c r="D859" s="26" t="str">
        <f aca="false">IF(A859="","",COUNTIF(Pubs!$G$2:$G$3001,A859))</f>
        <v/>
      </c>
      <c r="E859" s="26" t="str">
        <f aca="false">IF(A859="","",COUNTIF(Apparitions!$J$2:$J$5001,A859))</f>
        <v/>
      </c>
    </row>
    <row r="860" customFormat="false" ht="15" hidden="false" customHeight="false" outlineLevel="0" collapsed="false">
      <c r="A860" s="19"/>
      <c r="B860" s="19"/>
      <c r="C860" s="26" t="str">
        <f aca="false">IF(A860="","",COUNTIF(Jeux!$C$2:$C$3001,A860))</f>
        <v/>
      </c>
      <c r="D860" s="26" t="str">
        <f aca="false">IF(A860="","",COUNTIF(Pubs!$G$2:$G$3001,A860))</f>
        <v/>
      </c>
      <c r="E860" s="26" t="str">
        <f aca="false">IF(A860="","",COUNTIF(Apparitions!$J$2:$J$5001,A860))</f>
        <v/>
      </c>
    </row>
    <row r="861" customFormat="false" ht="15" hidden="false" customHeight="false" outlineLevel="0" collapsed="false">
      <c r="A861" s="19"/>
      <c r="B861" s="19"/>
      <c r="C861" s="26" t="str">
        <f aca="false">IF(A861="","",COUNTIF(Jeux!$C$2:$C$3001,A861))</f>
        <v/>
      </c>
      <c r="D861" s="26" t="str">
        <f aca="false">IF(A861="","",COUNTIF(Pubs!$G$2:$G$3001,A861))</f>
        <v/>
      </c>
      <c r="E861" s="26" t="str">
        <f aca="false">IF(A861="","",COUNTIF(Apparitions!$J$2:$J$5001,A861))</f>
        <v/>
      </c>
    </row>
    <row r="862" customFormat="false" ht="15" hidden="false" customHeight="false" outlineLevel="0" collapsed="false">
      <c r="A862" s="19"/>
      <c r="B862" s="19"/>
      <c r="C862" s="26" t="str">
        <f aca="false">IF(A862="","",COUNTIF(Jeux!$C$2:$C$3001,A862))</f>
        <v/>
      </c>
      <c r="D862" s="26" t="str">
        <f aca="false">IF(A862="","",COUNTIF(Pubs!$G$2:$G$3001,A862))</f>
        <v/>
      </c>
      <c r="E862" s="26" t="str">
        <f aca="false">IF(A862="","",COUNTIF(Apparitions!$J$2:$J$5001,A862))</f>
        <v/>
      </c>
    </row>
    <row r="863" customFormat="false" ht="15" hidden="false" customHeight="false" outlineLevel="0" collapsed="false">
      <c r="A863" s="19"/>
      <c r="B863" s="19"/>
      <c r="C863" s="26" t="str">
        <f aca="false">IF(A863="","",COUNTIF(Jeux!$C$2:$C$3001,A863))</f>
        <v/>
      </c>
      <c r="D863" s="26" t="str">
        <f aca="false">IF(A863="","",COUNTIF(Pubs!$G$2:$G$3001,A863))</f>
        <v/>
      </c>
      <c r="E863" s="26" t="str">
        <f aca="false">IF(A863="","",COUNTIF(Apparitions!$J$2:$J$5001,A863))</f>
        <v/>
      </c>
    </row>
    <row r="864" customFormat="false" ht="15" hidden="false" customHeight="false" outlineLevel="0" collapsed="false">
      <c r="A864" s="19"/>
      <c r="B864" s="19"/>
      <c r="C864" s="26" t="str">
        <f aca="false">IF(A864="","",COUNTIF(Jeux!$C$2:$C$3001,A864))</f>
        <v/>
      </c>
      <c r="D864" s="26" t="str">
        <f aca="false">IF(A864="","",COUNTIF(Pubs!$G$2:$G$3001,A864))</f>
        <v/>
      </c>
      <c r="E864" s="26" t="str">
        <f aca="false">IF(A864="","",COUNTIF(Apparitions!$J$2:$J$5001,A864))</f>
        <v/>
      </c>
    </row>
    <row r="865" customFormat="false" ht="15" hidden="false" customHeight="false" outlineLevel="0" collapsed="false">
      <c r="A865" s="19"/>
      <c r="B865" s="19"/>
      <c r="C865" s="26" t="str">
        <f aca="false">IF(A865="","",COUNTIF(Jeux!$C$2:$C$3001,A865))</f>
        <v/>
      </c>
      <c r="D865" s="26" t="str">
        <f aca="false">IF(A865="","",COUNTIF(Pubs!$G$2:$G$3001,A865))</f>
        <v/>
      </c>
      <c r="E865" s="26" t="str">
        <f aca="false">IF(A865="","",COUNTIF(Apparitions!$J$2:$J$5001,A865))</f>
        <v/>
      </c>
    </row>
    <row r="866" customFormat="false" ht="15" hidden="false" customHeight="false" outlineLevel="0" collapsed="false">
      <c r="A866" s="19"/>
      <c r="B866" s="19"/>
      <c r="C866" s="26" t="str">
        <f aca="false">IF(A866="","",COUNTIF(Jeux!$C$2:$C$3001,A866))</f>
        <v/>
      </c>
      <c r="D866" s="26" t="str">
        <f aca="false">IF(A866="","",COUNTIF(Pubs!$G$2:$G$3001,A866))</f>
        <v/>
      </c>
      <c r="E866" s="26" t="str">
        <f aca="false">IF(A866="","",COUNTIF(Apparitions!$J$2:$J$5001,A866))</f>
        <v/>
      </c>
    </row>
    <row r="867" customFormat="false" ht="15" hidden="false" customHeight="false" outlineLevel="0" collapsed="false">
      <c r="A867" s="19"/>
      <c r="B867" s="19"/>
      <c r="C867" s="26" t="str">
        <f aca="false">IF(A867="","",COUNTIF(Jeux!$C$2:$C$3001,A867))</f>
        <v/>
      </c>
      <c r="D867" s="26" t="str">
        <f aca="false">IF(A867="","",COUNTIF(Pubs!$G$2:$G$3001,A867))</f>
        <v/>
      </c>
      <c r="E867" s="26" t="str">
        <f aca="false">IF(A867="","",COUNTIF(Apparitions!$J$2:$J$5001,A867))</f>
        <v/>
      </c>
    </row>
    <row r="868" customFormat="false" ht="15" hidden="false" customHeight="false" outlineLevel="0" collapsed="false">
      <c r="A868" s="19"/>
      <c r="B868" s="19"/>
      <c r="C868" s="26" t="str">
        <f aca="false">IF(A868="","",COUNTIF(Jeux!$C$2:$C$3001,A868))</f>
        <v/>
      </c>
      <c r="D868" s="26" t="str">
        <f aca="false">IF(A868="","",COUNTIF(Pubs!$G$2:$G$3001,A868))</f>
        <v/>
      </c>
      <c r="E868" s="26" t="str">
        <f aca="false">IF(A868="","",COUNTIF(Apparitions!$J$2:$J$5001,A868))</f>
        <v/>
      </c>
    </row>
    <row r="869" customFormat="false" ht="15" hidden="false" customHeight="false" outlineLevel="0" collapsed="false">
      <c r="A869" s="19"/>
      <c r="B869" s="19"/>
      <c r="C869" s="26" t="str">
        <f aca="false">IF(A869="","",COUNTIF(Jeux!$C$2:$C$3001,A869))</f>
        <v/>
      </c>
      <c r="D869" s="26" t="str">
        <f aca="false">IF(A869="","",COUNTIF(Pubs!$G$2:$G$3001,A869))</f>
        <v/>
      </c>
      <c r="E869" s="26" t="str">
        <f aca="false">IF(A869="","",COUNTIF(Apparitions!$J$2:$J$5001,A869))</f>
        <v/>
      </c>
    </row>
    <row r="870" customFormat="false" ht="15" hidden="false" customHeight="false" outlineLevel="0" collapsed="false">
      <c r="A870" s="19"/>
      <c r="B870" s="19"/>
      <c r="C870" s="26" t="str">
        <f aca="false">IF(A870="","",COUNTIF(Jeux!$C$2:$C$3001,A870))</f>
        <v/>
      </c>
      <c r="D870" s="26" t="str">
        <f aca="false">IF(A870="","",COUNTIF(Pubs!$G$2:$G$3001,A870))</f>
        <v/>
      </c>
      <c r="E870" s="26" t="str">
        <f aca="false">IF(A870="","",COUNTIF(Apparitions!$J$2:$J$5001,A870))</f>
        <v/>
      </c>
    </row>
    <row r="871" customFormat="false" ht="15" hidden="false" customHeight="false" outlineLevel="0" collapsed="false">
      <c r="A871" s="19"/>
      <c r="B871" s="19"/>
      <c r="C871" s="26" t="str">
        <f aca="false">IF(A871="","",COUNTIF(Jeux!$C$2:$C$3001,A871))</f>
        <v/>
      </c>
      <c r="D871" s="26" t="str">
        <f aca="false">IF(A871="","",COUNTIF(Pubs!$G$2:$G$3001,A871))</f>
        <v/>
      </c>
      <c r="E871" s="26" t="str">
        <f aca="false">IF(A871="","",COUNTIF(Apparitions!$J$2:$J$5001,A871))</f>
        <v/>
      </c>
    </row>
    <row r="872" customFormat="false" ht="15" hidden="false" customHeight="false" outlineLevel="0" collapsed="false">
      <c r="A872" s="19"/>
      <c r="B872" s="19"/>
      <c r="C872" s="26" t="str">
        <f aca="false">IF(A872="","",COUNTIF(Jeux!$C$2:$C$3001,A872))</f>
        <v/>
      </c>
      <c r="D872" s="26" t="str">
        <f aca="false">IF(A872="","",COUNTIF(Pubs!$G$2:$G$3001,A872))</f>
        <v/>
      </c>
      <c r="E872" s="26" t="str">
        <f aca="false">IF(A872="","",COUNTIF(Apparitions!$J$2:$J$5001,A872))</f>
        <v/>
      </c>
    </row>
    <row r="873" customFormat="false" ht="15" hidden="false" customHeight="false" outlineLevel="0" collapsed="false">
      <c r="A873" s="19"/>
      <c r="B873" s="19"/>
      <c r="C873" s="26" t="str">
        <f aca="false">IF(A873="","",COUNTIF(Jeux!$C$2:$C$3001,A873))</f>
        <v/>
      </c>
      <c r="D873" s="26" t="str">
        <f aca="false">IF(A873="","",COUNTIF(Pubs!$G$2:$G$3001,A873))</f>
        <v/>
      </c>
      <c r="E873" s="26" t="str">
        <f aca="false">IF(A873="","",COUNTIF(Apparitions!$J$2:$J$5001,A873))</f>
        <v/>
      </c>
    </row>
    <row r="874" customFormat="false" ht="15" hidden="false" customHeight="false" outlineLevel="0" collapsed="false">
      <c r="A874" s="19"/>
      <c r="B874" s="19"/>
      <c r="C874" s="26" t="str">
        <f aca="false">IF(A874="","",COUNTIF(Jeux!$C$2:$C$3001,A874))</f>
        <v/>
      </c>
      <c r="D874" s="26" t="str">
        <f aca="false">IF(A874="","",COUNTIF(Pubs!$G$2:$G$3001,A874))</f>
        <v/>
      </c>
      <c r="E874" s="26" t="str">
        <f aca="false">IF(A874="","",COUNTIF(Apparitions!$J$2:$J$5001,A874))</f>
        <v/>
      </c>
    </row>
    <row r="875" customFormat="false" ht="15" hidden="false" customHeight="false" outlineLevel="0" collapsed="false">
      <c r="A875" s="19"/>
      <c r="B875" s="19"/>
      <c r="C875" s="26" t="str">
        <f aca="false">IF(A875="","",COUNTIF(Jeux!$C$2:$C$3001,A875))</f>
        <v/>
      </c>
      <c r="D875" s="26" t="str">
        <f aca="false">IF(A875="","",COUNTIF(Pubs!$G$2:$G$3001,A875))</f>
        <v/>
      </c>
      <c r="E875" s="26" t="str">
        <f aca="false">IF(A875="","",COUNTIF(Apparitions!$J$2:$J$5001,A875))</f>
        <v/>
      </c>
    </row>
    <row r="876" customFormat="false" ht="15" hidden="false" customHeight="false" outlineLevel="0" collapsed="false">
      <c r="A876" s="19"/>
      <c r="B876" s="19"/>
      <c r="C876" s="26" t="str">
        <f aca="false">IF(A876="","",COUNTIF(Jeux!$C$2:$C$3001,A876))</f>
        <v/>
      </c>
      <c r="D876" s="26" t="str">
        <f aca="false">IF(A876="","",COUNTIF(Pubs!$G$2:$G$3001,A876))</f>
        <v/>
      </c>
      <c r="E876" s="26" t="str">
        <f aca="false">IF(A876="","",COUNTIF(Apparitions!$J$2:$J$5001,A876))</f>
        <v/>
      </c>
    </row>
    <row r="877" customFormat="false" ht="15" hidden="false" customHeight="false" outlineLevel="0" collapsed="false">
      <c r="A877" s="19"/>
      <c r="B877" s="19"/>
      <c r="C877" s="26" t="str">
        <f aca="false">IF(A877="","",COUNTIF(Jeux!$C$2:$C$3001,A877))</f>
        <v/>
      </c>
      <c r="D877" s="26" t="str">
        <f aca="false">IF(A877="","",COUNTIF(Pubs!$G$2:$G$3001,A877))</f>
        <v/>
      </c>
      <c r="E877" s="26" t="str">
        <f aca="false">IF(A877="","",COUNTIF(Apparitions!$J$2:$J$5001,A877))</f>
        <v/>
      </c>
    </row>
    <row r="878" customFormat="false" ht="15" hidden="false" customHeight="false" outlineLevel="0" collapsed="false">
      <c r="A878" s="19"/>
      <c r="B878" s="19"/>
      <c r="C878" s="26" t="str">
        <f aca="false">IF(A878="","",COUNTIF(Jeux!$C$2:$C$3001,A878))</f>
        <v/>
      </c>
      <c r="D878" s="26" t="str">
        <f aca="false">IF(A878="","",COUNTIF(Pubs!$G$2:$G$3001,A878))</f>
        <v/>
      </c>
      <c r="E878" s="26" t="str">
        <f aca="false">IF(A878="","",COUNTIF(Apparitions!$J$2:$J$5001,A878))</f>
        <v/>
      </c>
    </row>
    <row r="879" customFormat="false" ht="15" hidden="false" customHeight="false" outlineLevel="0" collapsed="false">
      <c r="A879" s="19"/>
      <c r="B879" s="19"/>
      <c r="C879" s="26" t="str">
        <f aca="false">IF(A879="","",COUNTIF(Jeux!$C$2:$C$3001,A879))</f>
        <v/>
      </c>
      <c r="D879" s="26" t="str">
        <f aca="false">IF(A879="","",COUNTIF(Pubs!$G$2:$G$3001,A879))</f>
        <v/>
      </c>
      <c r="E879" s="26" t="str">
        <f aca="false">IF(A879="","",COUNTIF(Apparitions!$J$2:$J$5001,A879))</f>
        <v/>
      </c>
    </row>
    <row r="880" customFormat="false" ht="15" hidden="false" customHeight="false" outlineLevel="0" collapsed="false">
      <c r="A880" s="19"/>
      <c r="B880" s="19"/>
      <c r="C880" s="26" t="str">
        <f aca="false">IF(A880="","",COUNTIF(Jeux!$C$2:$C$3001,A880))</f>
        <v/>
      </c>
      <c r="D880" s="26" t="str">
        <f aca="false">IF(A880="","",COUNTIF(Pubs!$G$2:$G$3001,A880))</f>
        <v/>
      </c>
      <c r="E880" s="26" t="str">
        <f aca="false">IF(A880="","",COUNTIF(Apparitions!$J$2:$J$5001,A880))</f>
        <v/>
      </c>
    </row>
    <row r="881" customFormat="false" ht="15" hidden="false" customHeight="false" outlineLevel="0" collapsed="false">
      <c r="A881" s="19"/>
      <c r="B881" s="19"/>
      <c r="C881" s="26" t="str">
        <f aca="false">IF(A881="","",COUNTIF(Jeux!$C$2:$C$3001,A881))</f>
        <v/>
      </c>
      <c r="D881" s="26" t="str">
        <f aca="false">IF(A881="","",COUNTIF(Pubs!$G$2:$G$3001,A881))</f>
        <v/>
      </c>
      <c r="E881" s="26" t="str">
        <f aca="false">IF(A881="","",COUNTIF(Apparitions!$J$2:$J$5001,A881))</f>
        <v/>
      </c>
    </row>
    <row r="882" customFormat="false" ht="15" hidden="false" customHeight="false" outlineLevel="0" collapsed="false">
      <c r="A882" s="19"/>
      <c r="B882" s="19"/>
      <c r="C882" s="26" t="str">
        <f aca="false">IF(A882="","",COUNTIF(Jeux!$C$2:$C$3001,A882))</f>
        <v/>
      </c>
      <c r="D882" s="26" t="str">
        <f aca="false">IF(A882="","",COUNTIF(Pubs!$G$2:$G$3001,A882))</f>
        <v/>
      </c>
      <c r="E882" s="26" t="str">
        <f aca="false">IF(A882="","",COUNTIF(Apparitions!$J$2:$J$5001,A882))</f>
        <v/>
      </c>
    </row>
    <row r="883" customFormat="false" ht="15" hidden="false" customHeight="false" outlineLevel="0" collapsed="false">
      <c r="A883" s="19"/>
      <c r="B883" s="19"/>
      <c r="C883" s="26" t="str">
        <f aca="false">IF(A883="","",COUNTIF(Jeux!$C$2:$C$3001,A883))</f>
        <v/>
      </c>
      <c r="D883" s="26" t="str">
        <f aca="false">IF(A883="","",COUNTIF(Pubs!$G$2:$G$3001,A883))</f>
        <v/>
      </c>
      <c r="E883" s="26" t="str">
        <f aca="false">IF(A883="","",COUNTIF(Apparitions!$J$2:$J$5001,A883))</f>
        <v/>
      </c>
    </row>
    <row r="884" customFormat="false" ht="15" hidden="false" customHeight="false" outlineLevel="0" collapsed="false">
      <c r="A884" s="19"/>
      <c r="B884" s="19"/>
      <c r="C884" s="26" t="str">
        <f aca="false">IF(A884="","",COUNTIF(Jeux!$C$2:$C$3001,A884))</f>
        <v/>
      </c>
      <c r="D884" s="26" t="str">
        <f aca="false">IF(A884="","",COUNTIF(Pubs!$G$2:$G$3001,A884))</f>
        <v/>
      </c>
      <c r="E884" s="26" t="str">
        <f aca="false">IF(A884="","",COUNTIF(Apparitions!$J$2:$J$5001,A884))</f>
        <v/>
      </c>
    </row>
    <row r="885" customFormat="false" ht="15" hidden="false" customHeight="false" outlineLevel="0" collapsed="false">
      <c r="A885" s="19"/>
      <c r="B885" s="19"/>
      <c r="C885" s="26" t="str">
        <f aca="false">IF(A885="","",COUNTIF(Jeux!$C$2:$C$3001,A885))</f>
        <v/>
      </c>
      <c r="D885" s="26" t="str">
        <f aca="false">IF(A885="","",COUNTIF(Pubs!$G$2:$G$3001,A885))</f>
        <v/>
      </c>
      <c r="E885" s="26" t="str">
        <f aca="false">IF(A885="","",COUNTIF(Apparitions!$J$2:$J$5001,A885))</f>
        <v/>
      </c>
    </row>
    <row r="886" customFormat="false" ht="15" hidden="false" customHeight="false" outlineLevel="0" collapsed="false">
      <c r="A886" s="19"/>
      <c r="B886" s="19"/>
      <c r="C886" s="26" t="str">
        <f aca="false">IF(A886="","",COUNTIF(Jeux!$C$2:$C$3001,A886))</f>
        <v/>
      </c>
      <c r="D886" s="26" t="str">
        <f aca="false">IF(A886="","",COUNTIF(Pubs!$G$2:$G$3001,A886))</f>
        <v/>
      </c>
      <c r="E886" s="26" t="str">
        <f aca="false">IF(A886="","",COUNTIF(Apparitions!$J$2:$J$5001,A886))</f>
        <v/>
      </c>
    </row>
    <row r="887" customFormat="false" ht="15" hidden="false" customHeight="false" outlineLevel="0" collapsed="false">
      <c r="A887" s="19"/>
      <c r="B887" s="19"/>
      <c r="C887" s="26" t="str">
        <f aca="false">IF(A887="","",COUNTIF(Jeux!$C$2:$C$3001,A887))</f>
        <v/>
      </c>
      <c r="D887" s="26" t="str">
        <f aca="false">IF(A887="","",COUNTIF(Pubs!$G$2:$G$3001,A887))</f>
        <v/>
      </c>
      <c r="E887" s="26" t="str">
        <f aca="false">IF(A887="","",COUNTIF(Apparitions!$J$2:$J$5001,A887))</f>
        <v/>
      </c>
    </row>
    <row r="888" customFormat="false" ht="15" hidden="false" customHeight="false" outlineLevel="0" collapsed="false">
      <c r="A888" s="19"/>
      <c r="B888" s="19"/>
      <c r="C888" s="26" t="str">
        <f aca="false">IF(A888="","",COUNTIF(Jeux!$C$2:$C$3001,A888))</f>
        <v/>
      </c>
      <c r="D888" s="26" t="str">
        <f aca="false">IF(A888="","",COUNTIF(Pubs!$G$2:$G$3001,A888))</f>
        <v/>
      </c>
      <c r="E888" s="26" t="str">
        <f aca="false">IF(A888="","",COUNTIF(Apparitions!$J$2:$J$5001,A888))</f>
        <v/>
      </c>
    </row>
    <row r="889" customFormat="false" ht="15" hidden="false" customHeight="false" outlineLevel="0" collapsed="false">
      <c r="A889" s="19"/>
      <c r="B889" s="19"/>
      <c r="C889" s="26" t="str">
        <f aca="false">IF(A889="","",COUNTIF(Jeux!$C$2:$C$3001,A889))</f>
        <v/>
      </c>
      <c r="D889" s="26" t="str">
        <f aca="false">IF(A889="","",COUNTIF(Pubs!$G$2:$G$3001,A889))</f>
        <v/>
      </c>
      <c r="E889" s="26" t="str">
        <f aca="false">IF(A889="","",COUNTIF(Apparitions!$J$2:$J$5001,A889))</f>
        <v/>
      </c>
    </row>
    <row r="890" customFormat="false" ht="15" hidden="false" customHeight="false" outlineLevel="0" collapsed="false">
      <c r="A890" s="19"/>
      <c r="B890" s="19"/>
      <c r="C890" s="26" t="str">
        <f aca="false">IF(A890="","",COUNTIF(Jeux!$C$2:$C$3001,A890))</f>
        <v/>
      </c>
      <c r="D890" s="26" t="str">
        <f aca="false">IF(A890="","",COUNTIF(Pubs!$G$2:$G$3001,A890))</f>
        <v/>
      </c>
      <c r="E890" s="26" t="str">
        <f aca="false">IF(A890="","",COUNTIF(Apparitions!$J$2:$J$5001,A890))</f>
        <v/>
      </c>
    </row>
    <row r="891" customFormat="false" ht="15" hidden="false" customHeight="false" outlineLevel="0" collapsed="false">
      <c r="A891" s="19"/>
      <c r="B891" s="19"/>
      <c r="C891" s="26" t="str">
        <f aca="false">IF(A891="","",COUNTIF(Jeux!$C$2:$C$3001,A891))</f>
        <v/>
      </c>
      <c r="D891" s="26" t="str">
        <f aca="false">IF(A891="","",COUNTIF(Pubs!$G$2:$G$3001,A891))</f>
        <v/>
      </c>
      <c r="E891" s="26" t="str">
        <f aca="false">IF(A891="","",COUNTIF(Apparitions!$J$2:$J$5001,A891))</f>
        <v/>
      </c>
    </row>
    <row r="892" customFormat="false" ht="15" hidden="false" customHeight="false" outlineLevel="0" collapsed="false">
      <c r="A892" s="19"/>
      <c r="B892" s="19"/>
      <c r="C892" s="26" t="str">
        <f aca="false">IF(A892="","",COUNTIF(Jeux!$C$2:$C$3001,A892))</f>
        <v/>
      </c>
      <c r="D892" s="26" t="str">
        <f aca="false">IF(A892="","",COUNTIF(Pubs!$G$2:$G$3001,A892))</f>
        <v/>
      </c>
      <c r="E892" s="26" t="str">
        <f aca="false">IF(A892="","",COUNTIF(Apparitions!$J$2:$J$5001,A892))</f>
        <v/>
      </c>
    </row>
    <row r="893" customFormat="false" ht="15" hidden="false" customHeight="false" outlineLevel="0" collapsed="false">
      <c r="A893" s="19"/>
      <c r="B893" s="19"/>
      <c r="C893" s="26" t="str">
        <f aca="false">IF(A893="","",COUNTIF(Jeux!$C$2:$C$3001,A893))</f>
        <v/>
      </c>
      <c r="D893" s="26" t="str">
        <f aca="false">IF(A893="","",COUNTIF(Pubs!$G$2:$G$3001,A893))</f>
        <v/>
      </c>
      <c r="E893" s="26" t="str">
        <f aca="false">IF(A893="","",COUNTIF(Apparitions!$J$2:$J$5001,A893))</f>
        <v/>
      </c>
    </row>
    <row r="894" customFormat="false" ht="15" hidden="false" customHeight="false" outlineLevel="0" collapsed="false">
      <c r="A894" s="19"/>
      <c r="B894" s="19"/>
      <c r="C894" s="26" t="str">
        <f aca="false">IF(A894="","",COUNTIF(Jeux!$C$2:$C$3001,A894))</f>
        <v/>
      </c>
      <c r="D894" s="26" t="str">
        <f aca="false">IF(A894="","",COUNTIF(Pubs!$G$2:$G$3001,A894))</f>
        <v/>
      </c>
      <c r="E894" s="26" t="str">
        <f aca="false">IF(A894="","",COUNTIF(Apparitions!$J$2:$J$5001,A894))</f>
        <v/>
      </c>
    </row>
    <row r="895" customFormat="false" ht="15" hidden="false" customHeight="false" outlineLevel="0" collapsed="false">
      <c r="A895" s="19"/>
      <c r="B895" s="19"/>
      <c r="C895" s="26" t="str">
        <f aca="false">IF(A895="","",COUNTIF(Jeux!$C$2:$C$3001,A895))</f>
        <v/>
      </c>
      <c r="D895" s="26" t="str">
        <f aca="false">IF(A895="","",COUNTIF(Pubs!$G$2:$G$3001,A895))</f>
        <v/>
      </c>
      <c r="E895" s="26" t="str">
        <f aca="false">IF(A895="","",COUNTIF(Apparitions!$J$2:$J$5001,A895))</f>
        <v/>
      </c>
    </row>
    <row r="896" customFormat="false" ht="15" hidden="false" customHeight="false" outlineLevel="0" collapsed="false">
      <c r="A896" s="19"/>
      <c r="B896" s="19"/>
      <c r="C896" s="26" t="str">
        <f aca="false">IF(A896="","",COUNTIF(Jeux!$C$2:$C$3001,A896))</f>
        <v/>
      </c>
      <c r="D896" s="26" t="str">
        <f aca="false">IF(A896="","",COUNTIF(Pubs!$G$2:$G$3001,A896))</f>
        <v/>
      </c>
      <c r="E896" s="26" t="str">
        <f aca="false">IF(A896="","",COUNTIF(Apparitions!$J$2:$J$5001,A896))</f>
        <v/>
      </c>
    </row>
    <row r="897" customFormat="false" ht="15" hidden="false" customHeight="false" outlineLevel="0" collapsed="false">
      <c r="A897" s="19"/>
      <c r="B897" s="19"/>
      <c r="C897" s="26" t="str">
        <f aca="false">IF(A897="","",COUNTIF(Jeux!$C$2:$C$3001,A897))</f>
        <v/>
      </c>
      <c r="D897" s="26" t="str">
        <f aca="false">IF(A897="","",COUNTIF(Pubs!$G$2:$G$3001,A897))</f>
        <v/>
      </c>
      <c r="E897" s="26" t="str">
        <f aca="false">IF(A897="","",COUNTIF(Apparitions!$J$2:$J$5001,A897))</f>
        <v/>
      </c>
    </row>
    <row r="898" customFormat="false" ht="15" hidden="false" customHeight="false" outlineLevel="0" collapsed="false">
      <c r="A898" s="19"/>
      <c r="B898" s="19"/>
      <c r="C898" s="26" t="str">
        <f aca="false">IF(A898="","",COUNTIF(Jeux!$C$2:$C$3001,A898))</f>
        <v/>
      </c>
      <c r="D898" s="26" t="str">
        <f aca="false">IF(A898="","",COUNTIF(Pubs!$G$2:$G$3001,A898))</f>
        <v/>
      </c>
      <c r="E898" s="26" t="str">
        <f aca="false">IF(A898="","",COUNTIF(Apparitions!$J$2:$J$5001,A898))</f>
        <v/>
      </c>
    </row>
    <row r="899" customFormat="false" ht="15" hidden="false" customHeight="false" outlineLevel="0" collapsed="false">
      <c r="A899" s="19"/>
      <c r="B899" s="19"/>
      <c r="C899" s="26" t="str">
        <f aca="false">IF(A899="","",COUNTIF(Jeux!$C$2:$C$3001,A899))</f>
        <v/>
      </c>
      <c r="D899" s="26" t="str">
        <f aca="false">IF(A899="","",COUNTIF(Pubs!$G$2:$G$3001,A899))</f>
        <v/>
      </c>
      <c r="E899" s="26" t="str">
        <f aca="false">IF(A899="","",COUNTIF(Apparitions!$J$2:$J$5001,A899))</f>
        <v/>
      </c>
    </row>
    <row r="900" customFormat="false" ht="15" hidden="false" customHeight="false" outlineLevel="0" collapsed="false">
      <c r="A900" s="19"/>
      <c r="B900" s="19"/>
      <c r="C900" s="26" t="str">
        <f aca="false">IF(A900="","",COUNTIF(Jeux!$C$2:$C$3001,A900))</f>
        <v/>
      </c>
      <c r="D900" s="26" t="str">
        <f aca="false">IF(A900="","",COUNTIF(Pubs!$G$2:$G$3001,A900))</f>
        <v/>
      </c>
      <c r="E900" s="26" t="str">
        <f aca="false">IF(A900="","",COUNTIF(Apparitions!$J$2:$J$5001,A900))</f>
        <v/>
      </c>
    </row>
    <row r="901" customFormat="false" ht="15" hidden="false" customHeight="false" outlineLevel="0" collapsed="false">
      <c r="A901" s="19"/>
      <c r="B901" s="19"/>
      <c r="C901" s="26" t="str">
        <f aca="false">IF(A901="","",COUNTIF(Jeux!$C$2:$C$3001,A901))</f>
        <v/>
      </c>
      <c r="D901" s="26" t="str">
        <f aca="false">IF(A901="","",COUNTIF(Pubs!$G$2:$G$3001,A901))</f>
        <v/>
      </c>
      <c r="E901" s="26" t="str">
        <f aca="false">IF(A901="","",COUNTIF(Apparitions!$J$2:$J$5001,A901))</f>
        <v/>
      </c>
    </row>
    <row r="902" customFormat="false" ht="15" hidden="false" customHeight="false" outlineLevel="0" collapsed="false">
      <c r="A902" s="19"/>
      <c r="B902" s="19"/>
      <c r="C902" s="26" t="str">
        <f aca="false">IF(A902="","",COUNTIF(Jeux!$C$2:$C$3001,A902))</f>
        <v/>
      </c>
      <c r="D902" s="26" t="str">
        <f aca="false">IF(A902="","",COUNTIF(Pubs!$G$2:$G$3001,A902))</f>
        <v/>
      </c>
      <c r="E902" s="26" t="str">
        <f aca="false">IF(A902="","",COUNTIF(Apparitions!$J$2:$J$5001,A902))</f>
        <v/>
      </c>
    </row>
    <row r="903" customFormat="false" ht="15" hidden="false" customHeight="false" outlineLevel="0" collapsed="false">
      <c r="A903" s="19"/>
      <c r="B903" s="19"/>
      <c r="C903" s="26" t="str">
        <f aca="false">IF(A903="","",COUNTIF(Jeux!$C$2:$C$3001,A903))</f>
        <v/>
      </c>
      <c r="D903" s="26" t="str">
        <f aca="false">IF(A903="","",COUNTIF(Pubs!$G$2:$G$3001,A903))</f>
        <v/>
      </c>
      <c r="E903" s="26" t="str">
        <f aca="false">IF(A903="","",COUNTIF(Apparitions!$J$2:$J$5001,A903))</f>
        <v/>
      </c>
    </row>
    <row r="904" customFormat="false" ht="15" hidden="false" customHeight="false" outlineLevel="0" collapsed="false">
      <c r="A904" s="19"/>
      <c r="B904" s="19"/>
      <c r="C904" s="26" t="str">
        <f aca="false">IF(A904="","",COUNTIF(Jeux!$C$2:$C$3001,A904))</f>
        <v/>
      </c>
      <c r="D904" s="26" t="str">
        <f aca="false">IF(A904="","",COUNTIF(Pubs!$G$2:$G$3001,A904))</f>
        <v/>
      </c>
      <c r="E904" s="26" t="str">
        <f aca="false">IF(A904="","",COUNTIF(Apparitions!$J$2:$J$5001,A904))</f>
        <v/>
      </c>
    </row>
    <row r="905" customFormat="false" ht="15" hidden="false" customHeight="false" outlineLevel="0" collapsed="false">
      <c r="A905" s="19"/>
      <c r="B905" s="19"/>
      <c r="C905" s="26" t="str">
        <f aca="false">IF(A905="","",COUNTIF(Jeux!$C$2:$C$3001,A905))</f>
        <v/>
      </c>
      <c r="D905" s="26" t="str">
        <f aca="false">IF(A905="","",COUNTIF(Pubs!$G$2:$G$3001,A905))</f>
        <v/>
      </c>
      <c r="E905" s="26" t="str">
        <f aca="false">IF(A905="","",COUNTIF(Apparitions!$J$2:$J$5001,A905))</f>
        <v/>
      </c>
    </row>
    <row r="906" customFormat="false" ht="15" hidden="false" customHeight="false" outlineLevel="0" collapsed="false">
      <c r="A906" s="19"/>
      <c r="B906" s="19"/>
      <c r="C906" s="26" t="str">
        <f aca="false">IF(A906="","",COUNTIF(Jeux!$C$2:$C$3001,A906))</f>
        <v/>
      </c>
      <c r="D906" s="26" t="str">
        <f aca="false">IF(A906="","",COUNTIF(Pubs!$G$2:$G$3001,A906))</f>
        <v/>
      </c>
      <c r="E906" s="26" t="str">
        <f aca="false">IF(A906="","",COUNTIF(Apparitions!$J$2:$J$5001,A906))</f>
        <v/>
      </c>
    </row>
    <row r="907" customFormat="false" ht="15" hidden="false" customHeight="false" outlineLevel="0" collapsed="false">
      <c r="A907" s="19"/>
      <c r="B907" s="19"/>
      <c r="C907" s="26" t="str">
        <f aca="false">IF(A907="","",COUNTIF(Jeux!$C$2:$C$3001,A907))</f>
        <v/>
      </c>
      <c r="D907" s="26" t="str">
        <f aca="false">IF(A907="","",COUNTIF(Pubs!$G$2:$G$3001,A907))</f>
        <v/>
      </c>
      <c r="E907" s="26" t="str">
        <f aca="false">IF(A907="","",COUNTIF(Apparitions!$J$2:$J$5001,A907))</f>
        <v/>
      </c>
    </row>
    <row r="908" customFormat="false" ht="15" hidden="false" customHeight="false" outlineLevel="0" collapsed="false">
      <c r="A908" s="19"/>
      <c r="B908" s="19"/>
      <c r="C908" s="26" t="str">
        <f aca="false">IF(A908="","",COUNTIF(Jeux!$C$2:$C$3001,A908))</f>
        <v/>
      </c>
      <c r="D908" s="26" t="str">
        <f aca="false">IF(A908="","",COUNTIF(Pubs!$G$2:$G$3001,A908))</f>
        <v/>
      </c>
      <c r="E908" s="26" t="str">
        <f aca="false">IF(A908="","",COUNTIF(Apparitions!$J$2:$J$5001,A908))</f>
        <v/>
      </c>
    </row>
    <row r="909" customFormat="false" ht="15" hidden="false" customHeight="false" outlineLevel="0" collapsed="false">
      <c r="A909" s="19"/>
      <c r="B909" s="19"/>
      <c r="C909" s="26" t="str">
        <f aca="false">IF(A909="","",COUNTIF(Jeux!$C$2:$C$3001,A909))</f>
        <v/>
      </c>
      <c r="D909" s="26" t="str">
        <f aca="false">IF(A909="","",COUNTIF(Pubs!$G$2:$G$3001,A909))</f>
        <v/>
      </c>
      <c r="E909" s="26" t="str">
        <f aca="false">IF(A909="","",COUNTIF(Apparitions!$J$2:$J$5001,A909))</f>
        <v/>
      </c>
    </row>
    <row r="910" customFormat="false" ht="15" hidden="false" customHeight="false" outlineLevel="0" collapsed="false">
      <c r="A910" s="19"/>
      <c r="B910" s="19"/>
      <c r="C910" s="26" t="str">
        <f aca="false">IF(A910="","",COUNTIF(Jeux!$C$2:$C$3001,A910))</f>
        <v/>
      </c>
      <c r="D910" s="26" t="str">
        <f aca="false">IF(A910="","",COUNTIF(Pubs!$G$2:$G$3001,A910))</f>
        <v/>
      </c>
      <c r="E910" s="26" t="str">
        <f aca="false">IF(A910="","",COUNTIF(Apparitions!$J$2:$J$5001,A910))</f>
        <v/>
      </c>
    </row>
    <row r="911" customFormat="false" ht="15" hidden="false" customHeight="false" outlineLevel="0" collapsed="false">
      <c r="A911" s="19"/>
      <c r="B911" s="19"/>
      <c r="C911" s="26" t="str">
        <f aca="false">IF(A911="","",COUNTIF(Jeux!$C$2:$C$3001,A911))</f>
        <v/>
      </c>
      <c r="D911" s="26" t="str">
        <f aca="false">IF(A911="","",COUNTIF(Pubs!$G$2:$G$3001,A911))</f>
        <v/>
      </c>
      <c r="E911" s="26" t="str">
        <f aca="false">IF(A911="","",COUNTIF(Apparitions!$J$2:$J$5001,A911))</f>
        <v/>
      </c>
    </row>
    <row r="912" customFormat="false" ht="15" hidden="false" customHeight="false" outlineLevel="0" collapsed="false">
      <c r="A912" s="19"/>
      <c r="B912" s="19"/>
      <c r="C912" s="26" t="str">
        <f aca="false">IF(A912="","",COUNTIF(Jeux!$C$2:$C$3001,A912))</f>
        <v/>
      </c>
      <c r="D912" s="26" t="str">
        <f aca="false">IF(A912="","",COUNTIF(Pubs!$G$2:$G$3001,A912))</f>
        <v/>
      </c>
      <c r="E912" s="26" t="str">
        <f aca="false">IF(A912="","",COUNTIF(Apparitions!$J$2:$J$5001,A912))</f>
        <v/>
      </c>
    </row>
    <row r="913" customFormat="false" ht="15" hidden="false" customHeight="false" outlineLevel="0" collapsed="false">
      <c r="A913" s="19"/>
      <c r="B913" s="19"/>
      <c r="C913" s="26" t="str">
        <f aca="false">IF(A913="","",COUNTIF(Jeux!$C$2:$C$3001,A913))</f>
        <v/>
      </c>
      <c r="D913" s="26" t="str">
        <f aca="false">IF(A913="","",COUNTIF(Pubs!$G$2:$G$3001,A913))</f>
        <v/>
      </c>
      <c r="E913" s="26" t="str">
        <f aca="false">IF(A913="","",COUNTIF(Apparitions!$J$2:$J$5001,A913))</f>
        <v/>
      </c>
    </row>
    <row r="914" customFormat="false" ht="15" hidden="false" customHeight="false" outlineLevel="0" collapsed="false">
      <c r="A914" s="19"/>
      <c r="B914" s="19"/>
      <c r="C914" s="26" t="str">
        <f aca="false">IF(A914="","",COUNTIF(Jeux!$C$2:$C$3001,A914))</f>
        <v/>
      </c>
      <c r="D914" s="26" t="str">
        <f aca="false">IF(A914="","",COUNTIF(Pubs!$G$2:$G$3001,A914))</f>
        <v/>
      </c>
      <c r="E914" s="26" t="str">
        <f aca="false">IF(A914="","",COUNTIF(Apparitions!$J$2:$J$5001,A914))</f>
        <v/>
      </c>
    </row>
    <row r="915" customFormat="false" ht="15" hidden="false" customHeight="false" outlineLevel="0" collapsed="false">
      <c r="A915" s="19"/>
      <c r="B915" s="19"/>
      <c r="C915" s="26" t="str">
        <f aca="false">IF(A915="","",COUNTIF(Jeux!$C$2:$C$3001,A915))</f>
        <v/>
      </c>
      <c r="D915" s="26" t="str">
        <f aca="false">IF(A915="","",COUNTIF(Pubs!$G$2:$G$3001,A915))</f>
        <v/>
      </c>
      <c r="E915" s="26" t="str">
        <f aca="false">IF(A915="","",COUNTIF(Apparitions!$J$2:$J$5001,A915))</f>
        <v/>
      </c>
    </row>
    <row r="916" customFormat="false" ht="15" hidden="false" customHeight="false" outlineLevel="0" collapsed="false">
      <c r="A916" s="19"/>
      <c r="B916" s="19"/>
      <c r="C916" s="26" t="str">
        <f aca="false">IF(A916="","",COUNTIF(Jeux!$C$2:$C$3001,A916))</f>
        <v/>
      </c>
      <c r="D916" s="26" t="str">
        <f aca="false">IF(A916="","",COUNTIF(Pubs!$G$2:$G$3001,A916))</f>
        <v/>
      </c>
      <c r="E916" s="26" t="str">
        <f aca="false">IF(A916="","",COUNTIF(Apparitions!$J$2:$J$5001,A916))</f>
        <v/>
      </c>
    </row>
    <row r="917" customFormat="false" ht="15" hidden="false" customHeight="false" outlineLevel="0" collapsed="false">
      <c r="A917" s="19"/>
      <c r="B917" s="19"/>
      <c r="C917" s="26" t="str">
        <f aca="false">IF(A917="","",COUNTIF(Jeux!$C$2:$C$3001,A917))</f>
        <v/>
      </c>
      <c r="D917" s="26" t="str">
        <f aca="false">IF(A917="","",COUNTIF(Pubs!$G$2:$G$3001,A917))</f>
        <v/>
      </c>
      <c r="E917" s="26" t="str">
        <f aca="false">IF(A917="","",COUNTIF(Apparitions!$J$2:$J$5001,A917))</f>
        <v/>
      </c>
    </row>
    <row r="918" customFormat="false" ht="15" hidden="false" customHeight="false" outlineLevel="0" collapsed="false">
      <c r="A918" s="19"/>
      <c r="B918" s="19"/>
      <c r="C918" s="26" t="str">
        <f aca="false">IF(A918="","",COUNTIF(Jeux!$C$2:$C$3001,A918))</f>
        <v/>
      </c>
      <c r="D918" s="26" t="str">
        <f aca="false">IF(A918="","",COUNTIF(Pubs!$G$2:$G$3001,A918))</f>
        <v/>
      </c>
      <c r="E918" s="26" t="str">
        <f aca="false">IF(A918="","",COUNTIF(Apparitions!$J$2:$J$5001,A918))</f>
        <v/>
      </c>
    </row>
    <row r="919" customFormat="false" ht="15" hidden="false" customHeight="false" outlineLevel="0" collapsed="false">
      <c r="A919" s="19"/>
      <c r="B919" s="19"/>
      <c r="C919" s="26" t="str">
        <f aca="false">IF(A919="","",COUNTIF(Jeux!$C$2:$C$3001,A919))</f>
        <v/>
      </c>
      <c r="D919" s="26" t="str">
        <f aca="false">IF(A919="","",COUNTIF(Pubs!$G$2:$G$3001,A919))</f>
        <v/>
      </c>
      <c r="E919" s="26" t="str">
        <f aca="false">IF(A919="","",COUNTIF(Apparitions!$J$2:$J$5001,A919))</f>
        <v/>
      </c>
    </row>
    <row r="920" customFormat="false" ht="15" hidden="false" customHeight="false" outlineLevel="0" collapsed="false">
      <c r="A920" s="19"/>
      <c r="B920" s="19"/>
      <c r="C920" s="26" t="str">
        <f aca="false">IF(A920="","",COUNTIF(Jeux!$C$2:$C$3001,A920))</f>
        <v/>
      </c>
      <c r="D920" s="26" t="str">
        <f aca="false">IF(A920="","",COUNTIF(Pubs!$G$2:$G$3001,A920))</f>
        <v/>
      </c>
      <c r="E920" s="26" t="str">
        <f aca="false">IF(A920="","",COUNTIF(Apparitions!$J$2:$J$5001,A920))</f>
        <v/>
      </c>
    </row>
    <row r="921" customFormat="false" ht="15" hidden="false" customHeight="false" outlineLevel="0" collapsed="false">
      <c r="A921" s="19"/>
      <c r="B921" s="19"/>
      <c r="C921" s="26" t="str">
        <f aca="false">IF(A921="","",COUNTIF(Jeux!$C$2:$C$3001,A921))</f>
        <v/>
      </c>
      <c r="D921" s="26" t="str">
        <f aca="false">IF(A921="","",COUNTIF(Pubs!$G$2:$G$3001,A921))</f>
        <v/>
      </c>
      <c r="E921" s="26" t="str">
        <f aca="false">IF(A921="","",COUNTIF(Apparitions!$J$2:$J$5001,A921))</f>
        <v/>
      </c>
    </row>
    <row r="922" customFormat="false" ht="15" hidden="false" customHeight="false" outlineLevel="0" collapsed="false">
      <c r="A922" s="19"/>
      <c r="B922" s="19"/>
      <c r="C922" s="26" t="str">
        <f aca="false">IF(A922="","",COUNTIF(Jeux!$C$2:$C$3001,A922))</f>
        <v/>
      </c>
      <c r="D922" s="26" t="str">
        <f aca="false">IF(A922="","",COUNTIF(Pubs!$G$2:$G$3001,A922))</f>
        <v/>
      </c>
      <c r="E922" s="26" t="str">
        <f aca="false">IF(A922="","",COUNTIF(Apparitions!$J$2:$J$5001,A922))</f>
        <v/>
      </c>
    </row>
    <row r="923" customFormat="false" ht="15" hidden="false" customHeight="false" outlineLevel="0" collapsed="false">
      <c r="A923" s="19"/>
      <c r="B923" s="19"/>
      <c r="C923" s="26" t="str">
        <f aca="false">IF(A923="","",COUNTIF(Jeux!$C$2:$C$3001,A923))</f>
        <v/>
      </c>
      <c r="D923" s="26" t="str">
        <f aca="false">IF(A923="","",COUNTIF(Pubs!$G$2:$G$3001,A923))</f>
        <v/>
      </c>
      <c r="E923" s="26" t="str">
        <f aca="false">IF(A923="","",COUNTIF(Apparitions!$J$2:$J$5001,A923))</f>
        <v/>
      </c>
    </row>
    <row r="924" customFormat="false" ht="15" hidden="false" customHeight="false" outlineLevel="0" collapsed="false">
      <c r="A924" s="19"/>
      <c r="B924" s="19"/>
      <c r="C924" s="26" t="str">
        <f aca="false">IF(A924="","",COUNTIF(Jeux!$C$2:$C$3001,A924))</f>
        <v/>
      </c>
      <c r="D924" s="26" t="str">
        <f aca="false">IF(A924="","",COUNTIF(Pubs!$G$2:$G$3001,A924))</f>
        <v/>
      </c>
      <c r="E924" s="26" t="str">
        <f aca="false">IF(A924="","",COUNTIF(Apparitions!$J$2:$J$5001,A924))</f>
        <v/>
      </c>
    </row>
    <row r="925" customFormat="false" ht="15" hidden="false" customHeight="false" outlineLevel="0" collapsed="false">
      <c r="A925" s="19"/>
      <c r="B925" s="19"/>
      <c r="C925" s="26" t="str">
        <f aca="false">IF(A925="","",COUNTIF(Jeux!$C$2:$C$3001,A925))</f>
        <v/>
      </c>
      <c r="D925" s="26" t="str">
        <f aca="false">IF(A925="","",COUNTIF(Pubs!$G$2:$G$3001,A925))</f>
        <v/>
      </c>
      <c r="E925" s="26" t="str">
        <f aca="false">IF(A925="","",COUNTIF(Apparitions!$J$2:$J$5001,A925))</f>
        <v/>
      </c>
    </row>
    <row r="926" customFormat="false" ht="15" hidden="false" customHeight="false" outlineLevel="0" collapsed="false">
      <c r="A926" s="19"/>
      <c r="B926" s="19"/>
      <c r="C926" s="26" t="str">
        <f aca="false">IF(A926="","",COUNTIF(Jeux!$C$2:$C$3001,A926))</f>
        <v/>
      </c>
      <c r="D926" s="26" t="str">
        <f aca="false">IF(A926="","",COUNTIF(Pubs!$G$2:$G$3001,A926))</f>
        <v/>
      </c>
      <c r="E926" s="26" t="str">
        <f aca="false">IF(A926="","",COUNTIF(Apparitions!$J$2:$J$5001,A926))</f>
        <v/>
      </c>
    </row>
    <row r="927" customFormat="false" ht="15" hidden="false" customHeight="false" outlineLevel="0" collapsed="false">
      <c r="A927" s="19"/>
      <c r="B927" s="19"/>
      <c r="C927" s="26" t="str">
        <f aca="false">IF(A927="","",COUNTIF(Jeux!$C$2:$C$3001,A927))</f>
        <v/>
      </c>
      <c r="D927" s="26" t="str">
        <f aca="false">IF(A927="","",COUNTIF(Pubs!$G$2:$G$3001,A927))</f>
        <v/>
      </c>
      <c r="E927" s="26" t="str">
        <f aca="false">IF(A927="","",COUNTIF(Apparitions!$J$2:$J$5001,A927))</f>
        <v/>
      </c>
    </row>
    <row r="928" customFormat="false" ht="15" hidden="false" customHeight="false" outlineLevel="0" collapsed="false">
      <c r="A928" s="19"/>
      <c r="B928" s="19"/>
      <c r="C928" s="26" t="str">
        <f aca="false">IF(A928="","",COUNTIF(Jeux!$C$2:$C$3001,A928))</f>
        <v/>
      </c>
      <c r="D928" s="26" t="str">
        <f aca="false">IF(A928="","",COUNTIF(Pubs!$G$2:$G$3001,A928))</f>
        <v/>
      </c>
      <c r="E928" s="26" t="str">
        <f aca="false">IF(A928="","",COUNTIF(Apparitions!$J$2:$J$5001,A928))</f>
        <v/>
      </c>
    </row>
    <row r="929" customFormat="false" ht="15" hidden="false" customHeight="false" outlineLevel="0" collapsed="false">
      <c r="A929" s="19"/>
      <c r="B929" s="19"/>
      <c r="C929" s="26" t="str">
        <f aca="false">IF(A929="","",COUNTIF(Jeux!$C$2:$C$3001,A929))</f>
        <v/>
      </c>
      <c r="D929" s="26" t="str">
        <f aca="false">IF(A929="","",COUNTIF(Pubs!$G$2:$G$3001,A929))</f>
        <v/>
      </c>
      <c r="E929" s="26" t="str">
        <f aca="false">IF(A929="","",COUNTIF(Apparitions!$J$2:$J$5001,A929))</f>
        <v/>
      </c>
    </row>
    <row r="930" customFormat="false" ht="15" hidden="false" customHeight="false" outlineLevel="0" collapsed="false">
      <c r="A930" s="19"/>
      <c r="B930" s="19"/>
      <c r="C930" s="26" t="str">
        <f aca="false">IF(A930="","",COUNTIF(Jeux!$C$2:$C$3001,A930))</f>
        <v/>
      </c>
      <c r="D930" s="26" t="str">
        <f aca="false">IF(A930="","",COUNTIF(Pubs!$G$2:$G$3001,A930))</f>
        <v/>
      </c>
      <c r="E930" s="26" t="str">
        <f aca="false">IF(A930="","",COUNTIF(Apparitions!$J$2:$J$5001,A930))</f>
        <v/>
      </c>
    </row>
    <row r="931" customFormat="false" ht="15" hidden="false" customHeight="false" outlineLevel="0" collapsed="false">
      <c r="A931" s="19"/>
      <c r="B931" s="19"/>
      <c r="C931" s="26" t="str">
        <f aca="false">IF(A931="","",COUNTIF(Jeux!$C$2:$C$3001,A931))</f>
        <v/>
      </c>
      <c r="D931" s="26" t="str">
        <f aca="false">IF(A931="","",COUNTIF(Pubs!$G$2:$G$3001,A931))</f>
        <v/>
      </c>
      <c r="E931" s="26" t="str">
        <f aca="false">IF(A931="","",COUNTIF(Apparitions!$J$2:$J$5001,A931))</f>
        <v/>
      </c>
    </row>
    <row r="932" customFormat="false" ht="15" hidden="false" customHeight="false" outlineLevel="0" collapsed="false">
      <c r="A932" s="19"/>
      <c r="B932" s="19"/>
      <c r="C932" s="26" t="str">
        <f aca="false">IF(A932="","",COUNTIF(Jeux!$C$2:$C$3001,A932))</f>
        <v/>
      </c>
      <c r="D932" s="26" t="str">
        <f aca="false">IF(A932="","",COUNTIF(Pubs!$G$2:$G$3001,A932))</f>
        <v/>
      </c>
      <c r="E932" s="26" t="str">
        <f aca="false">IF(A932="","",COUNTIF(Apparitions!$J$2:$J$5001,A932))</f>
        <v/>
      </c>
    </row>
    <row r="933" customFormat="false" ht="15" hidden="false" customHeight="false" outlineLevel="0" collapsed="false">
      <c r="A933" s="19"/>
      <c r="B933" s="19"/>
      <c r="C933" s="26" t="str">
        <f aca="false">IF(A933="","",COUNTIF(Jeux!$C$2:$C$3001,A933))</f>
        <v/>
      </c>
      <c r="D933" s="26" t="str">
        <f aca="false">IF(A933="","",COUNTIF(Pubs!$G$2:$G$3001,A933))</f>
        <v/>
      </c>
      <c r="E933" s="26" t="str">
        <f aca="false">IF(A933="","",COUNTIF(Apparitions!$J$2:$J$5001,A933))</f>
        <v/>
      </c>
    </row>
    <row r="934" customFormat="false" ht="15" hidden="false" customHeight="false" outlineLevel="0" collapsed="false">
      <c r="A934" s="19"/>
      <c r="B934" s="19"/>
      <c r="C934" s="26" t="str">
        <f aca="false">IF(A934="","",COUNTIF(Jeux!$C$2:$C$3001,A934))</f>
        <v/>
      </c>
      <c r="D934" s="26" t="str">
        <f aca="false">IF(A934="","",COUNTIF(Pubs!$G$2:$G$3001,A934))</f>
        <v/>
      </c>
      <c r="E934" s="26" t="str">
        <f aca="false">IF(A934="","",COUNTIF(Apparitions!$J$2:$J$5001,A934))</f>
        <v/>
      </c>
    </row>
    <row r="935" customFormat="false" ht="15" hidden="false" customHeight="false" outlineLevel="0" collapsed="false">
      <c r="A935" s="19"/>
      <c r="B935" s="19"/>
      <c r="C935" s="26" t="str">
        <f aca="false">IF(A935="","",COUNTIF(Jeux!$C$2:$C$3001,A935))</f>
        <v/>
      </c>
      <c r="D935" s="26" t="str">
        <f aca="false">IF(A935="","",COUNTIF(Pubs!$G$2:$G$3001,A935))</f>
        <v/>
      </c>
      <c r="E935" s="26" t="str">
        <f aca="false">IF(A935="","",COUNTIF(Apparitions!$J$2:$J$5001,A935))</f>
        <v/>
      </c>
    </row>
    <row r="936" customFormat="false" ht="15" hidden="false" customHeight="false" outlineLevel="0" collapsed="false">
      <c r="A936" s="19"/>
      <c r="B936" s="19"/>
      <c r="C936" s="26" t="str">
        <f aca="false">IF(A936="","",COUNTIF(Jeux!$C$2:$C$3001,A936))</f>
        <v/>
      </c>
      <c r="D936" s="26" t="str">
        <f aca="false">IF(A936="","",COUNTIF(Pubs!$G$2:$G$3001,A936))</f>
        <v/>
      </c>
      <c r="E936" s="26" t="str">
        <f aca="false">IF(A936="","",COUNTIF(Apparitions!$J$2:$J$5001,A936))</f>
        <v/>
      </c>
    </row>
    <row r="937" customFormat="false" ht="15" hidden="false" customHeight="false" outlineLevel="0" collapsed="false">
      <c r="A937" s="19"/>
      <c r="B937" s="19"/>
      <c r="C937" s="26" t="str">
        <f aca="false">IF(A937="","",COUNTIF(Jeux!$C$2:$C$3001,A937))</f>
        <v/>
      </c>
      <c r="D937" s="26" t="str">
        <f aca="false">IF(A937="","",COUNTIF(Pubs!$G$2:$G$3001,A937))</f>
        <v/>
      </c>
      <c r="E937" s="26" t="str">
        <f aca="false">IF(A937="","",COUNTIF(Apparitions!$J$2:$J$5001,A937))</f>
        <v/>
      </c>
    </row>
    <row r="938" customFormat="false" ht="15" hidden="false" customHeight="false" outlineLevel="0" collapsed="false">
      <c r="A938" s="19"/>
      <c r="B938" s="19"/>
      <c r="C938" s="26" t="str">
        <f aca="false">IF(A938="","",COUNTIF(Jeux!$C$2:$C$3001,A938))</f>
        <v/>
      </c>
      <c r="D938" s="26" t="str">
        <f aca="false">IF(A938="","",COUNTIF(Pubs!$G$2:$G$3001,A938))</f>
        <v/>
      </c>
      <c r="E938" s="26" t="str">
        <f aca="false">IF(A938="","",COUNTIF(Apparitions!$J$2:$J$5001,A938))</f>
        <v/>
      </c>
    </row>
    <row r="939" customFormat="false" ht="15" hidden="false" customHeight="false" outlineLevel="0" collapsed="false">
      <c r="A939" s="19"/>
      <c r="B939" s="19"/>
      <c r="C939" s="26" t="str">
        <f aca="false">IF(A939="","",COUNTIF(Jeux!$C$2:$C$3001,A939))</f>
        <v/>
      </c>
      <c r="D939" s="26" t="str">
        <f aca="false">IF(A939="","",COUNTIF(Pubs!$G$2:$G$3001,A939))</f>
        <v/>
      </c>
      <c r="E939" s="26" t="str">
        <f aca="false">IF(A939="","",COUNTIF(Apparitions!$J$2:$J$5001,A939))</f>
        <v/>
      </c>
    </row>
    <row r="940" customFormat="false" ht="15" hidden="false" customHeight="false" outlineLevel="0" collapsed="false">
      <c r="A940" s="19"/>
      <c r="B940" s="19"/>
      <c r="C940" s="26" t="str">
        <f aca="false">IF(A940="","",COUNTIF(Jeux!$C$2:$C$3001,A940))</f>
        <v/>
      </c>
      <c r="D940" s="26" t="str">
        <f aca="false">IF(A940="","",COUNTIF(Pubs!$G$2:$G$3001,A940))</f>
        <v/>
      </c>
      <c r="E940" s="26" t="str">
        <f aca="false">IF(A940="","",COUNTIF(Apparitions!$J$2:$J$5001,A940))</f>
        <v/>
      </c>
    </row>
    <row r="941" customFormat="false" ht="15" hidden="false" customHeight="false" outlineLevel="0" collapsed="false">
      <c r="A941" s="19"/>
      <c r="B941" s="19"/>
      <c r="C941" s="26" t="str">
        <f aca="false">IF(A941="","",COUNTIF(Jeux!$C$2:$C$3001,A941))</f>
        <v/>
      </c>
      <c r="D941" s="26" t="str">
        <f aca="false">IF(A941="","",COUNTIF(Pubs!$G$2:$G$3001,A941))</f>
        <v/>
      </c>
      <c r="E941" s="26" t="str">
        <f aca="false">IF(A941="","",COUNTIF(Apparitions!$J$2:$J$5001,A941))</f>
        <v/>
      </c>
    </row>
    <row r="942" customFormat="false" ht="15" hidden="false" customHeight="false" outlineLevel="0" collapsed="false">
      <c r="A942" s="19"/>
      <c r="B942" s="19"/>
      <c r="C942" s="26" t="str">
        <f aca="false">IF(A942="","",COUNTIF(Jeux!$C$2:$C$3001,A942))</f>
        <v/>
      </c>
      <c r="D942" s="26" t="str">
        <f aca="false">IF(A942="","",COUNTIF(Pubs!$G$2:$G$3001,A942))</f>
        <v/>
      </c>
      <c r="E942" s="26" t="str">
        <f aca="false">IF(A942="","",COUNTIF(Apparitions!$J$2:$J$5001,A942))</f>
        <v/>
      </c>
    </row>
    <row r="943" customFormat="false" ht="15" hidden="false" customHeight="false" outlineLevel="0" collapsed="false">
      <c r="A943" s="19"/>
      <c r="B943" s="19"/>
      <c r="C943" s="26" t="str">
        <f aca="false">IF(A943="","",COUNTIF(Jeux!$C$2:$C$3001,A943))</f>
        <v/>
      </c>
      <c r="D943" s="26" t="str">
        <f aca="false">IF(A943="","",COUNTIF(Pubs!$G$2:$G$3001,A943))</f>
        <v/>
      </c>
      <c r="E943" s="26" t="str">
        <f aca="false">IF(A943="","",COUNTIF(Apparitions!$J$2:$J$5001,A943))</f>
        <v/>
      </c>
    </row>
    <row r="944" customFormat="false" ht="15" hidden="false" customHeight="false" outlineLevel="0" collapsed="false">
      <c r="A944" s="19"/>
      <c r="B944" s="19"/>
      <c r="C944" s="26" t="str">
        <f aca="false">IF(A944="","",COUNTIF(Jeux!$C$2:$C$3001,A944))</f>
        <v/>
      </c>
      <c r="D944" s="26" t="str">
        <f aca="false">IF(A944="","",COUNTIF(Pubs!$G$2:$G$3001,A944))</f>
        <v/>
      </c>
      <c r="E944" s="26" t="str">
        <f aca="false">IF(A944="","",COUNTIF(Apparitions!$J$2:$J$5001,A944))</f>
        <v/>
      </c>
    </row>
    <row r="945" customFormat="false" ht="15" hidden="false" customHeight="false" outlineLevel="0" collapsed="false">
      <c r="A945" s="19"/>
      <c r="B945" s="19"/>
      <c r="C945" s="26" t="str">
        <f aca="false">IF(A945="","",COUNTIF(Jeux!$C$2:$C$3001,A945))</f>
        <v/>
      </c>
      <c r="D945" s="26" t="str">
        <f aca="false">IF(A945="","",COUNTIF(Pubs!$G$2:$G$3001,A945))</f>
        <v/>
      </c>
      <c r="E945" s="26" t="str">
        <f aca="false">IF(A945="","",COUNTIF(Apparitions!$J$2:$J$5001,A945))</f>
        <v/>
      </c>
    </row>
    <row r="946" customFormat="false" ht="15" hidden="false" customHeight="false" outlineLevel="0" collapsed="false">
      <c r="A946" s="19"/>
      <c r="B946" s="19"/>
      <c r="C946" s="26" t="str">
        <f aca="false">IF(A946="","",COUNTIF(Jeux!$C$2:$C$3001,A946))</f>
        <v/>
      </c>
      <c r="D946" s="26" t="str">
        <f aca="false">IF(A946="","",COUNTIF(Pubs!$G$2:$G$3001,A946))</f>
        <v/>
      </c>
      <c r="E946" s="26" t="str">
        <f aca="false">IF(A946="","",COUNTIF(Apparitions!$J$2:$J$5001,A946))</f>
        <v/>
      </c>
    </row>
    <row r="947" customFormat="false" ht="15" hidden="false" customHeight="false" outlineLevel="0" collapsed="false">
      <c r="A947" s="19"/>
      <c r="B947" s="19"/>
      <c r="C947" s="26" t="str">
        <f aca="false">IF(A947="","",COUNTIF(Jeux!$C$2:$C$3001,A947))</f>
        <v/>
      </c>
      <c r="D947" s="26" t="str">
        <f aca="false">IF(A947="","",COUNTIF(Pubs!$G$2:$G$3001,A947))</f>
        <v/>
      </c>
      <c r="E947" s="26" t="str">
        <f aca="false">IF(A947="","",COUNTIF(Apparitions!$J$2:$J$5001,A947))</f>
        <v/>
      </c>
    </row>
    <row r="948" customFormat="false" ht="15" hidden="false" customHeight="false" outlineLevel="0" collapsed="false">
      <c r="A948" s="19"/>
      <c r="B948" s="19"/>
      <c r="C948" s="26" t="str">
        <f aca="false">IF(A948="","",COUNTIF(Jeux!$C$2:$C$3001,A948))</f>
        <v/>
      </c>
      <c r="D948" s="26" t="str">
        <f aca="false">IF(A948="","",COUNTIF(Pubs!$G$2:$G$3001,A948))</f>
        <v/>
      </c>
      <c r="E948" s="26" t="str">
        <f aca="false">IF(A948="","",COUNTIF(Apparitions!$J$2:$J$5001,A948))</f>
        <v/>
      </c>
    </row>
    <row r="949" customFormat="false" ht="15" hidden="false" customHeight="false" outlineLevel="0" collapsed="false">
      <c r="A949" s="19"/>
      <c r="B949" s="19"/>
      <c r="C949" s="26" t="str">
        <f aca="false">IF(A949="","",COUNTIF(Jeux!$C$2:$C$3001,A949))</f>
        <v/>
      </c>
      <c r="D949" s="26" t="str">
        <f aca="false">IF(A949="","",COUNTIF(Pubs!$G$2:$G$3001,A949))</f>
        <v/>
      </c>
      <c r="E949" s="26" t="str">
        <f aca="false">IF(A949="","",COUNTIF(Apparitions!$J$2:$J$5001,A949))</f>
        <v/>
      </c>
    </row>
    <row r="950" customFormat="false" ht="15" hidden="false" customHeight="false" outlineLevel="0" collapsed="false">
      <c r="A950" s="19"/>
      <c r="B950" s="19"/>
      <c r="C950" s="26" t="str">
        <f aca="false">IF(A950="","",COUNTIF(Jeux!$C$2:$C$3001,A950))</f>
        <v/>
      </c>
      <c r="D950" s="26" t="str">
        <f aca="false">IF(A950="","",COUNTIF(Pubs!$G$2:$G$3001,A950))</f>
        <v/>
      </c>
      <c r="E950" s="26" t="str">
        <f aca="false">IF(A950="","",COUNTIF(Apparitions!$J$2:$J$5001,A950))</f>
        <v/>
      </c>
    </row>
    <row r="951" customFormat="false" ht="15" hidden="false" customHeight="false" outlineLevel="0" collapsed="false">
      <c r="A951" s="19"/>
      <c r="B951" s="19"/>
      <c r="C951" s="26" t="str">
        <f aca="false">IF(A951="","",COUNTIF(Jeux!$C$2:$C$3001,A951))</f>
        <v/>
      </c>
      <c r="D951" s="26" t="str">
        <f aca="false">IF(A951="","",COUNTIF(Pubs!$G$2:$G$3001,A951))</f>
        <v/>
      </c>
      <c r="E951" s="26" t="str">
        <f aca="false">IF(A951="","",COUNTIF(Apparitions!$J$2:$J$5001,A951))</f>
        <v/>
      </c>
    </row>
    <row r="952" customFormat="false" ht="15" hidden="false" customHeight="false" outlineLevel="0" collapsed="false">
      <c r="A952" s="19"/>
      <c r="B952" s="19"/>
      <c r="C952" s="26" t="str">
        <f aca="false">IF(A952="","",COUNTIF(Jeux!$C$2:$C$3001,A952))</f>
        <v/>
      </c>
      <c r="D952" s="26" t="str">
        <f aca="false">IF(A952="","",COUNTIF(Pubs!$G$2:$G$3001,A952))</f>
        <v/>
      </c>
      <c r="E952" s="26" t="str">
        <f aca="false">IF(A952="","",COUNTIF(Apparitions!$J$2:$J$5001,A952))</f>
        <v/>
      </c>
    </row>
    <row r="953" customFormat="false" ht="15" hidden="false" customHeight="false" outlineLevel="0" collapsed="false">
      <c r="A953" s="19"/>
      <c r="B953" s="19"/>
      <c r="C953" s="26" t="str">
        <f aca="false">IF(A953="","",COUNTIF(Jeux!$C$2:$C$3001,A953))</f>
        <v/>
      </c>
      <c r="D953" s="26" t="str">
        <f aca="false">IF(A953="","",COUNTIF(Pubs!$G$2:$G$3001,A953))</f>
        <v/>
      </c>
      <c r="E953" s="26" t="str">
        <f aca="false">IF(A953="","",COUNTIF(Apparitions!$J$2:$J$5001,A953))</f>
        <v/>
      </c>
    </row>
    <row r="954" customFormat="false" ht="15" hidden="false" customHeight="false" outlineLevel="0" collapsed="false">
      <c r="A954" s="19"/>
      <c r="B954" s="19"/>
      <c r="C954" s="26" t="str">
        <f aca="false">IF(A954="","",COUNTIF(Jeux!$C$2:$C$3001,A954))</f>
        <v/>
      </c>
      <c r="D954" s="26" t="str">
        <f aca="false">IF(A954="","",COUNTIF(Pubs!$G$2:$G$3001,A954))</f>
        <v/>
      </c>
      <c r="E954" s="26" t="str">
        <f aca="false">IF(A954="","",COUNTIF(Apparitions!$J$2:$J$5001,A954))</f>
        <v/>
      </c>
    </row>
    <row r="955" customFormat="false" ht="15" hidden="false" customHeight="false" outlineLevel="0" collapsed="false">
      <c r="A955" s="19"/>
      <c r="B955" s="19"/>
      <c r="C955" s="26" t="str">
        <f aca="false">IF(A955="","",COUNTIF(Jeux!$C$2:$C$3001,A955))</f>
        <v/>
      </c>
      <c r="D955" s="26" t="str">
        <f aca="false">IF(A955="","",COUNTIF(Pubs!$G$2:$G$3001,A955))</f>
        <v/>
      </c>
      <c r="E955" s="26" t="str">
        <f aca="false">IF(A955="","",COUNTIF(Apparitions!$J$2:$J$5001,A955))</f>
        <v/>
      </c>
    </row>
    <row r="956" customFormat="false" ht="15" hidden="false" customHeight="false" outlineLevel="0" collapsed="false">
      <c r="A956" s="19"/>
      <c r="B956" s="19"/>
      <c r="C956" s="26" t="str">
        <f aca="false">IF(A956="","",COUNTIF(Jeux!$C$2:$C$3001,A956))</f>
        <v/>
      </c>
      <c r="D956" s="26" t="str">
        <f aca="false">IF(A956="","",COUNTIF(Pubs!$G$2:$G$3001,A956))</f>
        <v/>
      </c>
      <c r="E956" s="26" t="str">
        <f aca="false">IF(A956="","",COUNTIF(Apparitions!$J$2:$J$5001,A956))</f>
        <v/>
      </c>
    </row>
    <row r="957" customFormat="false" ht="15" hidden="false" customHeight="false" outlineLevel="0" collapsed="false">
      <c r="A957" s="19"/>
      <c r="B957" s="19"/>
      <c r="C957" s="26" t="str">
        <f aca="false">IF(A957="","",COUNTIF(Jeux!$C$2:$C$3001,A957))</f>
        <v/>
      </c>
      <c r="D957" s="26" t="str">
        <f aca="false">IF(A957="","",COUNTIF(Pubs!$G$2:$G$3001,A957))</f>
        <v/>
      </c>
      <c r="E957" s="26" t="str">
        <f aca="false">IF(A957="","",COUNTIF(Apparitions!$J$2:$J$5001,A957))</f>
        <v/>
      </c>
    </row>
    <row r="958" customFormat="false" ht="15" hidden="false" customHeight="false" outlineLevel="0" collapsed="false">
      <c r="A958" s="19"/>
      <c r="B958" s="19"/>
      <c r="C958" s="26" t="str">
        <f aca="false">IF(A958="","",COUNTIF(Jeux!$C$2:$C$3001,A958))</f>
        <v/>
      </c>
      <c r="D958" s="26" t="str">
        <f aca="false">IF(A958="","",COUNTIF(Pubs!$G$2:$G$3001,A958))</f>
        <v/>
      </c>
      <c r="E958" s="26" t="str">
        <f aca="false">IF(A958="","",COUNTIF(Apparitions!$J$2:$J$5001,A958))</f>
        <v/>
      </c>
    </row>
    <row r="959" customFormat="false" ht="15" hidden="false" customHeight="false" outlineLevel="0" collapsed="false">
      <c r="A959" s="19"/>
      <c r="B959" s="19"/>
      <c r="C959" s="26" t="str">
        <f aca="false">IF(A959="","",COUNTIF(Jeux!$C$2:$C$3001,A959))</f>
        <v/>
      </c>
      <c r="D959" s="26" t="str">
        <f aca="false">IF(A959="","",COUNTIF(Pubs!$G$2:$G$3001,A959))</f>
        <v/>
      </c>
      <c r="E959" s="26" t="str">
        <f aca="false">IF(A959="","",COUNTIF(Apparitions!$J$2:$J$5001,A959))</f>
        <v/>
      </c>
    </row>
    <row r="960" customFormat="false" ht="15" hidden="false" customHeight="false" outlineLevel="0" collapsed="false">
      <c r="A960" s="19"/>
      <c r="B960" s="19"/>
      <c r="C960" s="26" t="str">
        <f aca="false">IF(A960="","",COUNTIF(Jeux!$C$2:$C$3001,A960))</f>
        <v/>
      </c>
      <c r="D960" s="26" t="str">
        <f aca="false">IF(A960="","",COUNTIF(Pubs!$G$2:$G$3001,A960))</f>
        <v/>
      </c>
      <c r="E960" s="26" t="str">
        <f aca="false">IF(A960="","",COUNTIF(Apparitions!$J$2:$J$5001,A960))</f>
        <v/>
      </c>
    </row>
    <row r="961" customFormat="false" ht="15" hidden="false" customHeight="false" outlineLevel="0" collapsed="false">
      <c r="A961" s="19"/>
      <c r="B961" s="19"/>
      <c r="C961" s="26" t="str">
        <f aca="false">IF(A961="","",COUNTIF(Jeux!$C$2:$C$3001,A961))</f>
        <v/>
      </c>
      <c r="D961" s="26" t="str">
        <f aca="false">IF(A961="","",COUNTIF(Pubs!$G$2:$G$3001,A961))</f>
        <v/>
      </c>
      <c r="E961" s="26" t="str">
        <f aca="false">IF(A961="","",COUNTIF(Apparitions!$J$2:$J$5001,A961))</f>
        <v/>
      </c>
    </row>
    <row r="962" customFormat="false" ht="15" hidden="false" customHeight="false" outlineLevel="0" collapsed="false">
      <c r="A962" s="19"/>
      <c r="B962" s="19"/>
      <c r="C962" s="26" t="str">
        <f aca="false">IF(A962="","",COUNTIF(Jeux!$C$2:$C$3001,A962))</f>
        <v/>
      </c>
      <c r="D962" s="26" t="str">
        <f aca="false">IF(A962="","",COUNTIF(Pubs!$G$2:$G$3001,A962))</f>
        <v/>
      </c>
      <c r="E962" s="26" t="str">
        <f aca="false">IF(A962="","",COUNTIF(Apparitions!$J$2:$J$5001,A962))</f>
        <v/>
      </c>
    </row>
    <row r="963" customFormat="false" ht="15" hidden="false" customHeight="false" outlineLevel="0" collapsed="false">
      <c r="A963" s="19"/>
      <c r="B963" s="19"/>
      <c r="C963" s="26" t="str">
        <f aca="false">IF(A963="","",COUNTIF(Jeux!$C$2:$C$3001,A963))</f>
        <v/>
      </c>
      <c r="D963" s="26" t="str">
        <f aca="false">IF(A963="","",COUNTIF(Pubs!$G$2:$G$3001,A963))</f>
        <v/>
      </c>
      <c r="E963" s="26" t="str">
        <f aca="false">IF(A963="","",COUNTIF(Apparitions!$J$2:$J$5001,A963))</f>
        <v/>
      </c>
    </row>
    <row r="964" customFormat="false" ht="15" hidden="false" customHeight="false" outlineLevel="0" collapsed="false">
      <c r="A964" s="19"/>
      <c r="B964" s="19"/>
      <c r="C964" s="26" t="str">
        <f aca="false">IF(A964="","",COUNTIF(Jeux!$C$2:$C$3001,A964))</f>
        <v/>
      </c>
      <c r="D964" s="26" t="str">
        <f aca="false">IF(A964="","",COUNTIF(Pubs!$G$2:$G$3001,A964))</f>
        <v/>
      </c>
      <c r="E964" s="26" t="str">
        <f aca="false">IF(A964="","",COUNTIF(Apparitions!$J$2:$J$5001,A964))</f>
        <v/>
      </c>
    </row>
    <row r="965" customFormat="false" ht="15" hidden="false" customHeight="false" outlineLevel="0" collapsed="false">
      <c r="A965" s="19"/>
      <c r="B965" s="19"/>
      <c r="C965" s="26" t="str">
        <f aca="false">IF(A965="","",COUNTIF(Jeux!$C$2:$C$3001,A965))</f>
        <v/>
      </c>
      <c r="D965" s="26" t="str">
        <f aca="false">IF(A965="","",COUNTIF(Pubs!$G$2:$G$3001,A965))</f>
        <v/>
      </c>
      <c r="E965" s="26" t="str">
        <f aca="false">IF(A965="","",COUNTIF(Apparitions!$J$2:$J$5001,A965))</f>
        <v/>
      </c>
    </row>
    <row r="966" customFormat="false" ht="15" hidden="false" customHeight="false" outlineLevel="0" collapsed="false">
      <c r="A966" s="19"/>
      <c r="B966" s="19"/>
      <c r="C966" s="26" t="str">
        <f aca="false">IF(A966="","",COUNTIF(Jeux!$C$2:$C$3001,A966))</f>
        <v/>
      </c>
      <c r="D966" s="26" t="str">
        <f aca="false">IF(A966="","",COUNTIF(Pubs!$G$2:$G$3001,A966))</f>
        <v/>
      </c>
      <c r="E966" s="26" t="str">
        <f aca="false">IF(A966="","",COUNTIF(Apparitions!$J$2:$J$5001,A966))</f>
        <v/>
      </c>
    </row>
    <row r="967" customFormat="false" ht="15" hidden="false" customHeight="false" outlineLevel="0" collapsed="false">
      <c r="A967" s="19"/>
      <c r="B967" s="19"/>
      <c r="C967" s="26" t="str">
        <f aca="false">IF(A967="","",COUNTIF(Jeux!$C$2:$C$3001,A967))</f>
        <v/>
      </c>
      <c r="D967" s="26" t="str">
        <f aca="false">IF(A967="","",COUNTIF(Pubs!$G$2:$G$3001,A967))</f>
        <v/>
      </c>
      <c r="E967" s="26" t="str">
        <f aca="false">IF(A967="","",COUNTIF(Apparitions!$J$2:$J$5001,A967))</f>
        <v/>
      </c>
    </row>
    <row r="968" customFormat="false" ht="15" hidden="false" customHeight="false" outlineLevel="0" collapsed="false">
      <c r="A968" s="19"/>
      <c r="B968" s="19"/>
      <c r="C968" s="26" t="str">
        <f aca="false">IF(A968="","",COUNTIF(Jeux!$C$2:$C$3001,A968))</f>
        <v/>
      </c>
      <c r="D968" s="26" t="str">
        <f aca="false">IF(A968="","",COUNTIF(Pubs!$G$2:$G$3001,A968))</f>
        <v/>
      </c>
      <c r="E968" s="26" t="str">
        <f aca="false">IF(A968="","",COUNTIF(Apparitions!$J$2:$J$5001,A968))</f>
        <v/>
      </c>
    </row>
    <row r="969" customFormat="false" ht="15" hidden="false" customHeight="false" outlineLevel="0" collapsed="false">
      <c r="A969" s="19"/>
      <c r="B969" s="19"/>
      <c r="C969" s="26" t="str">
        <f aca="false">IF(A969="","",COUNTIF(Jeux!$C$2:$C$3001,A969))</f>
        <v/>
      </c>
      <c r="D969" s="26" t="str">
        <f aca="false">IF(A969="","",COUNTIF(Pubs!$G$2:$G$3001,A969))</f>
        <v/>
      </c>
      <c r="E969" s="26" t="str">
        <f aca="false">IF(A969="","",COUNTIF(Apparitions!$J$2:$J$5001,A969))</f>
        <v/>
      </c>
    </row>
    <row r="970" customFormat="false" ht="15" hidden="false" customHeight="false" outlineLevel="0" collapsed="false">
      <c r="A970" s="19"/>
      <c r="B970" s="19"/>
      <c r="C970" s="26" t="str">
        <f aca="false">IF(A970="","",COUNTIF(Jeux!$C$2:$C$3001,A970))</f>
        <v/>
      </c>
      <c r="D970" s="26" t="str">
        <f aca="false">IF(A970="","",COUNTIF(Pubs!$G$2:$G$3001,A970))</f>
        <v/>
      </c>
      <c r="E970" s="26" t="str">
        <f aca="false">IF(A970="","",COUNTIF(Apparitions!$J$2:$J$5001,A970))</f>
        <v/>
      </c>
    </row>
    <row r="971" customFormat="false" ht="15" hidden="false" customHeight="false" outlineLevel="0" collapsed="false">
      <c r="A971" s="19"/>
      <c r="B971" s="19"/>
      <c r="C971" s="26" t="str">
        <f aca="false">IF(A971="","",COUNTIF(Jeux!$C$2:$C$3001,A971))</f>
        <v/>
      </c>
      <c r="D971" s="26" t="str">
        <f aca="false">IF(A971="","",COUNTIF(Pubs!$G$2:$G$3001,A971))</f>
        <v/>
      </c>
      <c r="E971" s="26" t="str">
        <f aca="false">IF(A971="","",COUNTIF(Apparitions!$J$2:$J$5001,A971))</f>
        <v/>
      </c>
    </row>
    <row r="972" customFormat="false" ht="15" hidden="false" customHeight="false" outlineLevel="0" collapsed="false">
      <c r="A972" s="19"/>
      <c r="B972" s="19"/>
      <c r="C972" s="26" t="str">
        <f aca="false">IF(A972="","",COUNTIF(Jeux!$C$2:$C$3001,A972))</f>
        <v/>
      </c>
      <c r="D972" s="26" t="str">
        <f aca="false">IF(A972="","",COUNTIF(Pubs!$G$2:$G$3001,A972))</f>
        <v/>
      </c>
      <c r="E972" s="26" t="str">
        <f aca="false">IF(A972="","",COUNTIF(Apparitions!$J$2:$J$5001,A972))</f>
        <v/>
      </c>
    </row>
    <row r="973" customFormat="false" ht="15" hidden="false" customHeight="false" outlineLevel="0" collapsed="false">
      <c r="A973" s="19"/>
      <c r="B973" s="19"/>
      <c r="C973" s="26" t="str">
        <f aca="false">IF(A973="","",COUNTIF(Jeux!$C$2:$C$3001,A973))</f>
        <v/>
      </c>
      <c r="D973" s="26" t="str">
        <f aca="false">IF(A973="","",COUNTIF(Pubs!$G$2:$G$3001,A973))</f>
        <v/>
      </c>
      <c r="E973" s="26" t="str">
        <f aca="false">IF(A973="","",COUNTIF(Apparitions!$J$2:$J$5001,A973))</f>
        <v/>
      </c>
    </row>
    <row r="974" customFormat="false" ht="15" hidden="false" customHeight="false" outlineLevel="0" collapsed="false">
      <c r="A974" s="19"/>
      <c r="B974" s="19"/>
      <c r="C974" s="26" t="str">
        <f aca="false">IF(A974="","",COUNTIF(Jeux!$C$2:$C$3001,A974))</f>
        <v/>
      </c>
      <c r="D974" s="26" t="str">
        <f aca="false">IF(A974="","",COUNTIF(Pubs!$G$2:$G$3001,A974))</f>
        <v/>
      </c>
      <c r="E974" s="26" t="str">
        <f aca="false">IF(A974="","",COUNTIF(Apparitions!$J$2:$J$5001,A974))</f>
        <v/>
      </c>
    </row>
    <row r="975" customFormat="false" ht="15" hidden="false" customHeight="false" outlineLevel="0" collapsed="false">
      <c r="A975" s="19"/>
      <c r="B975" s="19"/>
      <c r="C975" s="26" t="str">
        <f aca="false">IF(A975="","",COUNTIF(Jeux!$C$2:$C$3001,A975))</f>
        <v/>
      </c>
      <c r="D975" s="26" t="str">
        <f aca="false">IF(A975="","",COUNTIF(Pubs!$G$2:$G$3001,A975))</f>
        <v/>
      </c>
      <c r="E975" s="26" t="str">
        <f aca="false">IF(A975="","",COUNTIF(Apparitions!$J$2:$J$5001,A975))</f>
        <v/>
      </c>
    </row>
    <row r="976" customFormat="false" ht="15" hidden="false" customHeight="false" outlineLevel="0" collapsed="false">
      <c r="A976" s="19"/>
      <c r="B976" s="19"/>
      <c r="C976" s="26" t="str">
        <f aca="false">IF(A976="","",COUNTIF(Jeux!$C$2:$C$3001,A976))</f>
        <v/>
      </c>
      <c r="D976" s="26" t="str">
        <f aca="false">IF(A976="","",COUNTIF(Pubs!$G$2:$G$3001,A976))</f>
        <v/>
      </c>
      <c r="E976" s="26" t="str">
        <f aca="false">IF(A976="","",COUNTIF(Apparitions!$J$2:$J$5001,A976))</f>
        <v/>
      </c>
    </row>
    <row r="977" customFormat="false" ht="15" hidden="false" customHeight="false" outlineLevel="0" collapsed="false">
      <c r="A977" s="19"/>
      <c r="B977" s="19"/>
      <c r="C977" s="26" t="str">
        <f aca="false">IF(A977="","",COUNTIF(Jeux!$C$2:$C$3001,A977))</f>
        <v/>
      </c>
      <c r="D977" s="26" t="str">
        <f aca="false">IF(A977="","",COUNTIF(Pubs!$G$2:$G$3001,A977))</f>
        <v/>
      </c>
      <c r="E977" s="26" t="str">
        <f aca="false">IF(A977="","",COUNTIF(Apparitions!$J$2:$J$5001,A977))</f>
        <v/>
      </c>
    </row>
    <row r="978" customFormat="false" ht="15" hidden="false" customHeight="false" outlineLevel="0" collapsed="false">
      <c r="A978" s="19"/>
      <c r="B978" s="19"/>
      <c r="C978" s="26" t="str">
        <f aca="false">IF(A978="","",COUNTIF(Jeux!$C$2:$C$3001,A978))</f>
        <v/>
      </c>
      <c r="D978" s="26" t="str">
        <f aca="false">IF(A978="","",COUNTIF(Pubs!$G$2:$G$3001,A978))</f>
        <v/>
      </c>
      <c r="E978" s="26" t="str">
        <f aca="false">IF(A978="","",COUNTIF(Apparitions!$J$2:$J$5001,A978))</f>
        <v/>
      </c>
    </row>
    <row r="979" customFormat="false" ht="15" hidden="false" customHeight="false" outlineLevel="0" collapsed="false">
      <c r="A979" s="19"/>
      <c r="B979" s="19"/>
      <c r="C979" s="26" t="str">
        <f aca="false">IF(A979="","",COUNTIF(Jeux!$C$2:$C$3001,A979))</f>
        <v/>
      </c>
      <c r="D979" s="26" t="str">
        <f aca="false">IF(A979="","",COUNTIF(Pubs!$G$2:$G$3001,A979))</f>
        <v/>
      </c>
      <c r="E979" s="26" t="str">
        <f aca="false">IF(A979="","",COUNTIF(Apparitions!$J$2:$J$5001,A979))</f>
        <v/>
      </c>
    </row>
    <row r="980" customFormat="false" ht="15" hidden="false" customHeight="false" outlineLevel="0" collapsed="false">
      <c r="A980" s="19"/>
      <c r="B980" s="19"/>
      <c r="C980" s="26" t="str">
        <f aca="false">IF(A980="","",COUNTIF(Jeux!$C$2:$C$3001,A980))</f>
        <v/>
      </c>
      <c r="D980" s="26" t="str">
        <f aca="false">IF(A980="","",COUNTIF(Pubs!$G$2:$G$3001,A980))</f>
        <v/>
      </c>
      <c r="E980" s="26" t="str">
        <f aca="false">IF(A980="","",COUNTIF(Apparitions!$J$2:$J$5001,A980))</f>
        <v/>
      </c>
    </row>
    <row r="981" customFormat="false" ht="15" hidden="false" customHeight="false" outlineLevel="0" collapsed="false">
      <c r="A981" s="19"/>
      <c r="B981" s="19"/>
      <c r="C981" s="26" t="str">
        <f aca="false">IF(A981="","",COUNTIF(Jeux!$C$2:$C$3001,A981))</f>
        <v/>
      </c>
      <c r="D981" s="26" t="str">
        <f aca="false">IF(A981="","",COUNTIF(Pubs!$G$2:$G$3001,A981))</f>
        <v/>
      </c>
      <c r="E981" s="26" t="str">
        <f aca="false">IF(A981="","",COUNTIF(Apparitions!$J$2:$J$5001,A981))</f>
        <v/>
      </c>
    </row>
    <row r="982" customFormat="false" ht="15" hidden="false" customHeight="false" outlineLevel="0" collapsed="false">
      <c r="A982" s="19"/>
      <c r="B982" s="19"/>
      <c r="C982" s="26" t="str">
        <f aca="false">IF(A982="","",COUNTIF(Jeux!$C$2:$C$3001,A982))</f>
        <v/>
      </c>
      <c r="D982" s="26" t="str">
        <f aca="false">IF(A982="","",COUNTIF(Pubs!$G$2:$G$3001,A982))</f>
        <v/>
      </c>
      <c r="E982" s="26" t="str">
        <f aca="false">IF(A982="","",COUNTIF(Apparitions!$J$2:$J$5001,A982))</f>
        <v/>
      </c>
    </row>
    <row r="983" customFormat="false" ht="15" hidden="false" customHeight="false" outlineLevel="0" collapsed="false">
      <c r="A983" s="19"/>
      <c r="B983" s="19"/>
      <c r="C983" s="26" t="str">
        <f aca="false">IF(A983="","",COUNTIF(Jeux!$C$2:$C$3001,A983))</f>
        <v/>
      </c>
      <c r="D983" s="26" t="str">
        <f aca="false">IF(A983="","",COUNTIF(Pubs!$G$2:$G$3001,A983))</f>
        <v/>
      </c>
      <c r="E983" s="26" t="str">
        <f aca="false">IF(A983="","",COUNTIF(Apparitions!$J$2:$J$5001,A983))</f>
        <v/>
      </c>
    </row>
    <row r="984" customFormat="false" ht="15" hidden="false" customHeight="false" outlineLevel="0" collapsed="false">
      <c r="A984" s="19"/>
      <c r="B984" s="19"/>
      <c r="C984" s="26" t="str">
        <f aca="false">IF(A984="","",COUNTIF(Jeux!$C$2:$C$3001,A984))</f>
        <v/>
      </c>
      <c r="D984" s="26" t="str">
        <f aca="false">IF(A984="","",COUNTIF(Pubs!$G$2:$G$3001,A984))</f>
        <v/>
      </c>
      <c r="E984" s="26" t="str">
        <f aca="false">IF(A984="","",COUNTIF(Apparitions!$J$2:$J$5001,A984))</f>
        <v/>
      </c>
    </row>
    <row r="985" customFormat="false" ht="15" hidden="false" customHeight="false" outlineLevel="0" collapsed="false">
      <c r="A985" s="19"/>
      <c r="B985" s="19"/>
      <c r="C985" s="26" t="str">
        <f aca="false">IF(A985="","",COUNTIF(Jeux!$C$2:$C$3001,A985))</f>
        <v/>
      </c>
      <c r="D985" s="26" t="str">
        <f aca="false">IF(A985="","",COUNTIF(Pubs!$G$2:$G$3001,A985))</f>
        <v/>
      </c>
      <c r="E985" s="26" t="str">
        <f aca="false">IF(A985="","",COUNTIF(Apparitions!$J$2:$J$5001,A985))</f>
        <v/>
      </c>
    </row>
    <row r="986" customFormat="false" ht="15" hidden="false" customHeight="false" outlineLevel="0" collapsed="false">
      <c r="A986" s="19"/>
      <c r="B986" s="19"/>
      <c r="C986" s="26" t="str">
        <f aca="false">IF(A986="","",COUNTIF(Jeux!$C$2:$C$3001,A986))</f>
        <v/>
      </c>
      <c r="D986" s="26" t="str">
        <f aca="false">IF(A986="","",COUNTIF(Pubs!$G$2:$G$3001,A986))</f>
        <v/>
      </c>
      <c r="E986" s="26" t="str">
        <f aca="false">IF(A986="","",COUNTIF(Apparitions!$J$2:$J$5001,A986))</f>
        <v/>
      </c>
    </row>
    <row r="987" customFormat="false" ht="15" hidden="false" customHeight="false" outlineLevel="0" collapsed="false">
      <c r="A987" s="19"/>
      <c r="B987" s="19"/>
      <c r="C987" s="26" t="str">
        <f aca="false">IF(A987="","",COUNTIF(Jeux!$C$2:$C$3001,A987))</f>
        <v/>
      </c>
      <c r="D987" s="26" t="str">
        <f aca="false">IF(A987="","",COUNTIF(Pubs!$G$2:$G$3001,A987))</f>
        <v/>
      </c>
      <c r="E987" s="26" t="str">
        <f aca="false">IF(A987="","",COUNTIF(Apparitions!$J$2:$J$5001,A987))</f>
        <v/>
      </c>
    </row>
    <row r="988" customFormat="false" ht="15" hidden="false" customHeight="false" outlineLevel="0" collapsed="false">
      <c r="A988" s="19"/>
      <c r="B988" s="19"/>
      <c r="C988" s="26" t="str">
        <f aca="false">IF(A988="","",COUNTIF(Jeux!$C$2:$C$3001,A988))</f>
        <v/>
      </c>
      <c r="D988" s="26" t="str">
        <f aca="false">IF(A988="","",COUNTIF(Pubs!$G$2:$G$3001,A988))</f>
        <v/>
      </c>
      <c r="E988" s="26" t="str">
        <f aca="false">IF(A988="","",COUNTIF(Apparitions!$J$2:$J$5001,A988))</f>
        <v/>
      </c>
    </row>
    <row r="989" customFormat="false" ht="15" hidden="false" customHeight="false" outlineLevel="0" collapsed="false">
      <c r="A989" s="19"/>
      <c r="B989" s="19"/>
      <c r="C989" s="26" t="str">
        <f aca="false">IF(A989="","",COUNTIF(Jeux!$C$2:$C$3001,A989))</f>
        <v/>
      </c>
      <c r="D989" s="26" t="str">
        <f aca="false">IF(A989="","",COUNTIF(Pubs!$G$2:$G$3001,A989))</f>
        <v/>
      </c>
      <c r="E989" s="26" t="str">
        <f aca="false">IF(A989="","",COUNTIF(Apparitions!$J$2:$J$5001,A989))</f>
        <v/>
      </c>
    </row>
    <row r="990" customFormat="false" ht="15" hidden="false" customHeight="false" outlineLevel="0" collapsed="false">
      <c r="A990" s="19"/>
      <c r="B990" s="19"/>
      <c r="C990" s="26" t="str">
        <f aca="false">IF(A990="","",COUNTIF(Jeux!$C$2:$C$3001,A990))</f>
        <v/>
      </c>
      <c r="D990" s="26" t="str">
        <f aca="false">IF(A990="","",COUNTIF(Pubs!$G$2:$G$3001,A990))</f>
        <v/>
      </c>
      <c r="E990" s="26" t="str">
        <f aca="false">IF(A990="","",COUNTIF(Apparitions!$J$2:$J$5001,A990))</f>
        <v/>
      </c>
    </row>
    <row r="991" customFormat="false" ht="15" hidden="false" customHeight="false" outlineLevel="0" collapsed="false">
      <c r="A991" s="19"/>
      <c r="B991" s="19"/>
      <c r="C991" s="26" t="str">
        <f aca="false">IF(A991="","",COUNTIF(Jeux!$C$2:$C$3001,A991))</f>
        <v/>
      </c>
      <c r="D991" s="26" t="str">
        <f aca="false">IF(A991="","",COUNTIF(Pubs!$G$2:$G$3001,A991))</f>
        <v/>
      </c>
      <c r="E991" s="26" t="str">
        <f aca="false">IF(A991="","",COUNTIF(Apparitions!$J$2:$J$5001,A991))</f>
        <v/>
      </c>
    </row>
    <row r="992" customFormat="false" ht="15" hidden="false" customHeight="false" outlineLevel="0" collapsed="false">
      <c r="A992" s="19"/>
      <c r="B992" s="19"/>
      <c r="C992" s="26" t="str">
        <f aca="false">IF(A992="","",COUNTIF(Jeux!$C$2:$C$3001,A992))</f>
        <v/>
      </c>
      <c r="D992" s="26" t="str">
        <f aca="false">IF(A992="","",COUNTIF(Pubs!$G$2:$G$3001,A992))</f>
        <v/>
      </c>
      <c r="E992" s="26" t="str">
        <f aca="false">IF(A992="","",COUNTIF(Apparitions!$J$2:$J$5001,A992))</f>
        <v/>
      </c>
    </row>
    <row r="993" customFormat="false" ht="15" hidden="false" customHeight="false" outlineLevel="0" collapsed="false">
      <c r="A993" s="19"/>
      <c r="B993" s="19"/>
      <c r="C993" s="26" t="str">
        <f aca="false">IF(A993="","",COUNTIF(Jeux!$C$2:$C$3001,A993))</f>
        <v/>
      </c>
      <c r="D993" s="26" t="str">
        <f aca="false">IF(A993="","",COUNTIF(Pubs!$G$2:$G$3001,A993))</f>
        <v/>
      </c>
      <c r="E993" s="26" t="str">
        <f aca="false">IF(A993="","",COUNTIF(Apparitions!$J$2:$J$5001,A993))</f>
        <v/>
      </c>
    </row>
    <row r="994" customFormat="false" ht="15" hidden="false" customHeight="false" outlineLevel="0" collapsed="false">
      <c r="A994" s="19"/>
      <c r="B994" s="19"/>
      <c r="C994" s="26" t="str">
        <f aca="false">IF(A994="","",COUNTIF(Jeux!$C$2:$C$3001,A994))</f>
        <v/>
      </c>
      <c r="D994" s="26" t="str">
        <f aca="false">IF(A994="","",COUNTIF(Pubs!$G$2:$G$3001,A994))</f>
        <v/>
      </c>
      <c r="E994" s="26" t="str">
        <f aca="false">IF(A994="","",COUNTIF(Apparitions!$J$2:$J$5001,A994))</f>
        <v/>
      </c>
    </row>
    <row r="995" customFormat="false" ht="15" hidden="false" customHeight="false" outlineLevel="0" collapsed="false">
      <c r="A995" s="19"/>
      <c r="B995" s="19"/>
      <c r="C995" s="26" t="str">
        <f aca="false">IF(A995="","",COUNTIF(Jeux!$C$2:$C$3001,A995))</f>
        <v/>
      </c>
      <c r="D995" s="26" t="str">
        <f aca="false">IF(A995="","",COUNTIF(Pubs!$G$2:$G$3001,A995))</f>
        <v/>
      </c>
      <c r="E995" s="26" t="str">
        <f aca="false">IF(A995="","",COUNTIF(Apparitions!$J$2:$J$5001,A995))</f>
        <v/>
      </c>
    </row>
    <row r="996" customFormat="false" ht="15" hidden="false" customHeight="false" outlineLevel="0" collapsed="false">
      <c r="A996" s="19"/>
      <c r="B996" s="19"/>
      <c r="C996" s="26" t="str">
        <f aca="false">IF(A996="","",COUNTIF(Jeux!$C$2:$C$3001,A996))</f>
        <v/>
      </c>
      <c r="D996" s="26" t="str">
        <f aca="false">IF(A996="","",COUNTIF(Pubs!$G$2:$G$3001,A996))</f>
        <v/>
      </c>
      <c r="E996" s="26" t="str">
        <f aca="false">IF(A996="","",COUNTIF(Apparitions!$J$2:$J$5001,A996))</f>
        <v/>
      </c>
    </row>
    <row r="997" customFormat="false" ht="15" hidden="false" customHeight="false" outlineLevel="0" collapsed="false">
      <c r="A997" s="19"/>
      <c r="B997" s="19"/>
      <c r="C997" s="26" t="str">
        <f aca="false">IF(A997="","",COUNTIF(Jeux!$C$2:$C$3001,A997))</f>
        <v/>
      </c>
      <c r="D997" s="26" t="str">
        <f aca="false">IF(A997="","",COUNTIF(Pubs!$G$2:$G$3001,A997))</f>
        <v/>
      </c>
      <c r="E997" s="26" t="str">
        <f aca="false">IF(A997="","",COUNTIF(Apparitions!$J$2:$J$5001,A997))</f>
        <v/>
      </c>
    </row>
    <row r="998" customFormat="false" ht="15" hidden="false" customHeight="false" outlineLevel="0" collapsed="false">
      <c r="A998" s="19"/>
      <c r="B998" s="19"/>
      <c r="C998" s="26" t="str">
        <f aca="false">IF(A998="","",COUNTIF(Jeux!$C$2:$C$3001,A998))</f>
        <v/>
      </c>
      <c r="D998" s="26" t="str">
        <f aca="false">IF(A998="","",COUNTIF(Pubs!$G$2:$G$3001,A998))</f>
        <v/>
      </c>
      <c r="E998" s="26" t="str">
        <f aca="false">IF(A998="","",COUNTIF(Apparitions!$J$2:$J$5001,A998))</f>
        <v/>
      </c>
    </row>
    <row r="999" customFormat="false" ht="15" hidden="false" customHeight="false" outlineLevel="0" collapsed="false">
      <c r="A999" s="19"/>
      <c r="B999" s="19"/>
      <c r="C999" s="26" t="str">
        <f aca="false">IF(A999="","",COUNTIF(Jeux!$C$2:$C$3001,A999))</f>
        <v/>
      </c>
      <c r="D999" s="26" t="str">
        <f aca="false">IF(A999="","",COUNTIF(Pubs!$G$2:$G$3001,A999))</f>
        <v/>
      </c>
      <c r="E999" s="26" t="str">
        <f aca="false">IF(A999="","",COUNTIF(Apparitions!$J$2:$J$5001,A999))</f>
        <v/>
      </c>
    </row>
    <row r="1000" customFormat="false" ht="15" hidden="false" customHeight="false" outlineLevel="0" collapsed="false">
      <c r="A1000" s="19"/>
      <c r="B1000" s="19"/>
      <c r="C1000" s="26" t="str">
        <f aca="false">IF(A1000="","",COUNTIF(Jeux!$C$2:$C$3001,A1000))</f>
        <v/>
      </c>
      <c r="D1000" s="26" t="str">
        <f aca="false">IF(A1000="","",COUNTIF(Pubs!$G$2:$G$3001,A1000))</f>
        <v/>
      </c>
      <c r="E1000" s="26" t="str">
        <f aca="false">IF(A1000="","",COUNTIF(Apparitions!$J$2:$J$5001,A1000))</f>
        <v/>
      </c>
    </row>
    <row r="1001" customFormat="false" ht="15" hidden="false" customHeight="false" outlineLevel="0" collapsed="false">
      <c r="A1001" s="19"/>
      <c r="B1001" s="19"/>
      <c r="C1001" s="26" t="str">
        <f aca="false">IF(A1001="","",COUNTIF(Jeux!$C$2:$C$3001,A1001))</f>
        <v/>
      </c>
      <c r="D1001" s="26" t="str">
        <f aca="false">IF(A1001="","",COUNTIF(Pubs!$G$2:$G$3001,A1001))</f>
        <v/>
      </c>
      <c r="E1001" s="26" t="str">
        <f aca="false">IF(A1001="","",COUNTIF(Apparitions!$J$2:$J$5001,A1001))</f>
        <v/>
      </c>
    </row>
  </sheetData>
  <autoFilter ref="A1:E1001"/>
  <conditionalFormatting sqref="A2:A1001">
    <cfRule type="expression" priority="2" aboveAverage="0" equalAverage="0" bottom="0" percent="0" rank="0" text="" dxfId="1">
      <formula>AND(A2&lt;&gt;"",COUNTIF($A$2:$A$1001,A2)&gt;1)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1"/>
  </cols>
  <sheetData>
    <row r="1" customFormat="false" ht="30" hidden="false" customHeight="true" outlineLevel="0" collapsed="false">
      <c r="A1" s="24" t="s">
        <v>73</v>
      </c>
      <c r="B1" s="24" t="s">
        <v>150</v>
      </c>
      <c r="C1" s="24" t="s">
        <v>89</v>
      </c>
      <c r="D1" s="25" t="s">
        <v>128</v>
      </c>
      <c r="E1" s="25" t="s">
        <v>109</v>
      </c>
    </row>
    <row r="2" customFormat="false" ht="15" hidden="false" customHeight="false" outlineLevel="0" collapsed="false">
      <c r="A2" s="19" t="s">
        <v>151</v>
      </c>
      <c r="B2" s="19" t="s">
        <v>152</v>
      </c>
      <c r="C2" s="19"/>
      <c r="D2" s="26" t="n">
        <f aca="false">IF(A2="","",COUNTIF(Pubs!$C$2:$C$3001,A2))</f>
        <v>0</v>
      </c>
      <c r="E2" s="26" t="n">
        <f aca="false">IF(A2="","",COUNTIF(Apparitions!$I$2:$I$5001,A2))</f>
        <v>0</v>
      </c>
    </row>
    <row r="3" customFormat="false" ht="15" hidden="false" customHeight="false" outlineLevel="0" collapsed="false">
      <c r="A3" s="19" t="s">
        <v>153</v>
      </c>
      <c r="B3" s="19" t="s">
        <v>152</v>
      </c>
      <c r="C3" s="19"/>
      <c r="D3" s="26" t="n">
        <f aca="false">IF(A3="","",COUNTIF(Pubs!$C$2:$C$3001,A3))</f>
        <v>0</v>
      </c>
      <c r="E3" s="26" t="n">
        <f aca="false">IF(A3="","",COUNTIF(Apparitions!$I$2:$I$5001,A3))</f>
        <v>0</v>
      </c>
    </row>
    <row r="4" customFormat="false" ht="15" hidden="false" customHeight="false" outlineLevel="0" collapsed="false">
      <c r="A4" s="19" t="s">
        <v>154</v>
      </c>
      <c r="B4" s="19" t="s">
        <v>152</v>
      </c>
      <c r="C4" s="19"/>
      <c r="D4" s="26" t="n">
        <f aca="false">IF(A4="","",COUNTIF(Pubs!$C$2:$C$3001,A4))</f>
        <v>0</v>
      </c>
      <c r="E4" s="26" t="n">
        <f aca="false">IF(A4="","",COUNTIF(Apparitions!$I$2:$I$5001,A4))</f>
        <v>0</v>
      </c>
    </row>
    <row r="5" customFormat="false" ht="15" hidden="false" customHeight="false" outlineLevel="0" collapsed="false">
      <c r="A5" s="19" t="s">
        <v>155</v>
      </c>
      <c r="B5" s="19" t="s">
        <v>152</v>
      </c>
      <c r="C5" s="19"/>
      <c r="D5" s="26" t="n">
        <f aca="false">IF(A5="","",COUNTIF(Pubs!$C$2:$C$3001,A5))</f>
        <v>0</v>
      </c>
      <c r="E5" s="26" t="n">
        <f aca="false">IF(A5="","",COUNTIF(Apparitions!$I$2:$I$5001,A5))</f>
        <v>0</v>
      </c>
    </row>
    <row r="6" customFormat="false" ht="15" hidden="false" customHeight="false" outlineLevel="0" collapsed="false">
      <c r="A6" s="19" t="s">
        <v>156</v>
      </c>
      <c r="B6" s="19" t="s">
        <v>152</v>
      </c>
      <c r="C6" s="19"/>
      <c r="D6" s="26" t="n">
        <f aca="false">IF(A6="","",COUNTIF(Pubs!$C$2:$C$3001,A6))</f>
        <v>0</v>
      </c>
      <c r="E6" s="26" t="n">
        <f aca="false">IF(A6="","",COUNTIF(Apparitions!$I$2:$I$5001,A6))</f>
        <v>0</v>
      </c>
    </row>
    <row r="7" customFormat="false" ht="15" hidden="false" customHeight="false" outlineLevel="0" collapsed="false">
      <c r="A7" s="19" t="s">
        <v>157</v>
      </c>
      <c r="B7" s="19" t="s">
        <v>152</v>
      </c>
      <c r="C7" s="19"/>
      <c r="D7" s="26" t="n">
        <f aca="false">IF(A7="","",COUNTIF(Pubs!$C$2:$C$3001,A7))</f>
        <v>0</v>
      </c>
      <c r="E7" s="26" t="n">
        <f aca="false">IF(A7="","",COUNTIF(Apparitions!$I$2:$I$5001,A7))</f>
        <v>0</v>
      </c>
    </row>
    <row r="8" customFormat="false" ht="15" hidden="false" customHeight="false" outlineLevel="0" collapsed="false">
      <c r="A8" s="19" t="s">
        <v>158</v>
      </c>
      <c r="B8" s="19" t="s">
        <v>152</v>
      </c>
      <c r="C8" s="19"/>
      <c r="D8" s="26" t="n">
        <f aca="false">IF(A8="","",COUNTIF(Pubs!$C$2:$C$3001,A8))</f>
        <v>0</v>
      </c>
      <c r="E8" s="26" t="n">
        <f aca="false">IF(A8="","",COUNTIF(Apparitions!$I$2:$I$5001,A8))</f>
        <v>0</v>
      </c>
    </row>
    <row r="9" customFormat="false" ht="15" hidden="false" customHeight="false" outlineLevel="0" collapsed="false">
      <c r="A9" s="19" t="s">
        <v>159</v>
      </c>
      <c r="B9" s="19" t="s">
        <v>152</v>
      </c>
      <c r="C9" s="19"/>
      <c r="D9" s="26" t="n">
        <f aca="false">IF(A9="","",COUNTIF(Pubs!$C$2:$C$3001,A9))</f>
        <v>0</v>
      </c>
      <c r="E9" s="26" t="n">
        <f aca="false">IF(A9="","",COUNTIF(Apparitions!$I$2:$I$5001,A9))</f>
        <v>0</v>
      </c>
    </row>
    <row r="10" customFormat="false" ht="15" hidden="false" customHeight="false" outlineLevel="0" collapsed="false">
      <c r="A10" s="19" t="s">
        <v>160</v>
      </c>
      <c r="B10" s="19" t="s">
        <v>152</v>
      </c>
      <c r="C10" s="19"/>
      <c r="D10" s="26" t="n">
        <f aca="false">IF(A10="","",COUNTIF(Pubs!$C$2:$C$3001,A10))</f>
        <v>0</v>
      </c>
      <c r="E10" s="26" t="n">
        <f aca="false">IF(A10="","",COUNTIF(Apparitions!$I$2:$I$5001,A10))</f>
        <v>0</v>
      </c>
    </row>
    <row r="11" customFormat="false" ht="15" hidden="false" customHeight="false" outlineLevel="0" collapsed="false">
      <c r="A11" s="19" t="s">
        <v>161</v>
      </c>
      <c r="B11" s="19" t="s">
        <v>152</v>
      </c>
      <c r="C11" s="19"/>
      <c r="D11" s="26" t="n">
        <f aca="false">IF(A11="","",COUNTIF(Pubs!$C$2:$C$3001,A11))</f>
        <v>0</v>
      </c>
      <c r="E11" s="26" t="n">
        <f aca="false">IF(A11="","",COUNTIF(Apparitions!$I$2:$I$5001,A11))</f>
        <v>0</v>
      </c>
    </row>
    <row r="12" customFormat="false" ht="15" hidden="false" customHeight="false" outlineLevel="0" collapsed="false">
      <c r="A12" s="19" t="s">
        <v>162</v>
      </c>
      <c r="B12" s="19" t="s">
        <v>152</v>
      </c>
      <c r="C12" s="19"/>
      <c r="D12" s="26" t="n">
        <f aca="false">IF(A12="","",COUNTIF(Pubs!$C$2:$C$3001,A12))</f>
        <v>0</v>
      </c>
      <c r="E12" s="26" t="n">
        <f aca="false">IF(A12="","",COUNTIF(Apparitions!$I$2:$I$5001,A12))</f>
        <v>0</v>
      </c>
    </row>
    <row r="13" customFormat="false" ht="15" hidden="false" customHeight="false" outlineLevel="0" collapsed="false">
      <c r="A13" s="19" t="s">
        <v>163</v>
      </c>
      <c r="B13" s="19" t="s">
        <v>152</v>
      </c>
      <c r="C13" s="19"/>
      <c r="D13" s="26" t="n">
        <f aca="false">IF(A13="","",COUNTIF(Pubs!$C$2:$C$3001,A13))</f>
        <v>0</v>
      </c>
      <c r="E13" s="26" t="n">
        <f aca="false">IF(A13="","",COUNTIF(Apparitions!$I$2:$I$5001,A13))</f>
        <v>0</v>
      </c>
    </row>
    <row r="14" customFormat="false" ht="15" hidden="false" customHeight="false" outlineLevel="0" collapsed="false">
      <c r="A14" s="19" t="s">
        <v>164</v>
      </c>
      <c r="B14" s="19" t="s">
        <v>152</v>
      </c>
      <c r="C14" s="19"/>
      <c r="D14" s="26" t="n">
        <f aca="false">IF(A14="","",COUNTIF(Pubs!$C$2:$C$3001,A14))</f>
        <v>0</v>
      </c>
      <c r="E14" s="26" t="n">
        <f aca="false">IF(A14="","",COUNTIF(Apparitions!$I$2:$I$5001,A14))</f>
        <v>0</v>
      </c>
    </row>
    <row r="15" customFormat="false" ht="15" hidden="false" customHeight="false" outlineLevel="0" collapsed="false">
      <c r="A15" s="19" t="s">
        <v>165</v>
      </c>
      <c r="B15" s="19" t="s">
        <v>136</v>
      </c>
      <c r="C15" s="19"/>
      <c r="D15" s="26" t="n">
        <f aca="false">IF(A15="","",COUNTIF(Pubs!$C$2:$C$3001,A15))</f>
        <v>0</v>
      </c>
      <c r="E15" s="26" t="n">
        <f aca="false">IF(A15="","",COUNTIF(Apparitions!$I$2:$I$5001,A15))</f>
        <v>0</v>
      </c>
    </row>
    <row r="16" customFormat="false" ht="15" hidden="false" customHeight="false" outlineLevel="0" collapsed="false">
      <c r="A16" s="19" t="s">
        <v>166</v>
      </c>
      <c r="B16" s="19" t="s">
        <v>136</v>
      </c>
      <c r="C16" s="19"/>
      <c r="D16" s="26" t="n">
        <f aca="false">IF(A16="","",COUNTIF(Pubs!$C$2:$C$3001,A16))</f>
        <v>0</v>
      </c>
      <c r="E16" s="26" t="n">
        <f aca="false">IF(A16="","",COUNTIF(Apparitions!$I$2:$I$5001,A16))</f>
        <v>0</v>
      </c>
    </row>
    <row r="17" customFormat="false" ht="15" hidden="false" customHeight="false" outlineLevel="0" collapsed="false">
      <c r="A17" s="19" t="s">
        <v>167</v>
      </c>
      <c r="B17" s="19" t="s">
        <v>136</v>
      </c>
      <c r="C17" s="19"/>
      <c r="D17" s="26" t="n">
        <f aca="false">IF(A17="","",COUNTIF(Pubs!$C$2:$C$3001,A17))</f>
        <v>0</v>
      </c>
      <c r="E17" s="26" t="n">
        <f aca="false">IF(A17="","",COUNTIF(Apparitions!$I$2:$I$5001,A17))</f>
        <v>0</v>
      </c>
    </row>
    <row r="18" customFormat="false" ht="15" hidden="false" customHeight="false" outlineLevel="0" collapsed="false">
      <c r="A18" s="19" t="s">
        <v>168</v>
      </c>
      <c r="B18" s="19" t="s">
        <v>136</v>
      </c>
      <c r="C18" s="19"/>
      <c r="D18" s="26" t="n">
        <f aca="false">IF(A18="","",COUNTIF(Pubs!$C$2:$C$3001,A18))</f>
        <v>0</v>
      </c>
      <c r="E18" s="26" t="n">
        <f aca="false">IF(A18="","",COUNTIF(Apparitions!$I$2:$I$5001,A18))</f>
        <v>0</v>
      </c>
    </row>
    <row r="19" customFormat="false" ht="15" hidden="false" customHeight="false" outlineLevel="0" collapsed="false">
      <c r="A19" s="19" t="s">
        <v>169</v>
      </c>
      <c r="B19" s="19" t="s">
        <v>136</v>
      </c>
      <c r="C19" s="19"/>
      <c r="D19" s="26" t="n">
        <f aca="false">IF(A19="","",COUNTIF(Pubs!$C$2:$C$3001,A19))</f>
        <v>0</v>
      </c>
      <c r="E19" s="26" t="n">
        <f aca="false">IF(A19="","",COUNTIF(Apparitions!$I$2:$I$5001,A19))</f>
        <v>0</v>
      </c>
    </row>
    <row r="20" customFormat="false" ht="15" hidden="false" customHeight="false" outlineLevel="0" collapsed="false">
      <c r="A20" s="19" t="s">
        <v>121</v>
      </c>
      <c r="B20" s="19" t="s">
        <v>136</v>
      </c>
      <c r="C20" s="19"/>
      <c r="D20" s="26" t="n">
        <f aca="false">IF(A20="","",COUNTIF(Pubs!$C$2:$C$3001,A20))</f>
        <v>1</v>
      </c>
      <c r="E20" s="26" t="n">
        <f aca="false">IF(A20="","",COUNTIF(Apparitions!$I$2:$I$5001,A20))</f>
        <v>2</v>
      </c>
    </row>
    <row r="21" customFormat="false" ht="15" hidden="false" customHeight="false" outlineLevel="0" collapsed="false">
      <c r="A21" s="19" t="s">
        <v>170</v>
      </c>
      <c r="B21" s="19" t="s">
        <v>136</v>
      </c>
      <c r="C21" s="19"/>
      <c r="D21" s="26" t="n">
        <f aca="false">IF(A21="","",COUNTIF(Pubs!$C$2:$C$3001,A21))</f>
        <v>0</v>
      </c>
      <c r="E21" s="26" t="n">
        <f aca="false">IF(A21="","",COUNTIF(Apparitions!$I$2:$I$5001,A21))</f>
        <v>0</v>
      </c>
    </row>
    <row r="22" customFormat="false" ht="15" hidden="false" customHeight="false" outlineLevel="0" collapsed="false">
      <c r="A22" s="19" t="s">
        <v>171</v>
      </c>
      <c r="B22" s="19" t="s">
        <v>136</v>
      </c>
      <c r="C22" s="19"/>
      <c r="D22" s="26" t="n">
        <f aca="false">IF(A22="","",COUNTIF(Pubs!$C$2:$C$3001,A22))</f>
        <v>0</v>
      </c>
      <c r="E22" s="26" t="n">
        <f aca="false">IF(A22="","",COUNTIF(Apparitions!$I$2:$I$5001,A22))</f>
        <v>0</v>
      </c>
    </row>
    <row r="23" customFormat="false" ht="15" hidden="false" customHeight="false" outlineLevel="0" collapsed="false">
      <c r="A23" s="19" t="s">
        <v>172</v>
      </c>
      <c r="B23" s="19" t="s">
        <v>173</v>
      </c>
      <c r="C23" s="19"/>
      <c r="D23" s="26" t="n">
        <f aca="false">IF(A23="","",COUNTIF(Pubs!$C$2:$C$3001,A23))</f>
        <v>0</v>
      </c>
      <c r="E23" s="26" t="n">
        <f aca="false">IF(A23="","",COUNTIF(Apparitions!$I$2:$I$5001,A23))</f>
        <v>0</v>
      </c>
    </row>
    <row r="24" customFormat="false" ht="15" hidden="false" customHeight="false" outlineLevel="0" collapsed="false">
      <c r="A24" s="19" t="s">
        <v>174</v>
      </c>
      <c r="B24" s="19" t="s">
        <v>173</v>
      </c>
      <c r="C24" s="19"/>
      <c r="D24" s="26" t="n">
        <f aca="false">IF(A24="","",COUNTIF(Pubs!$C$2:$C$3001,A24))</f>
        <v>0</v>
      </c>
      <c r="E24" s="26" t="n">
        <f aca="false">IF(A24="","",COUNTIF(Apparitions!$I$2:$I$5001,A24))</f>
        <v>0</v>
      </c>
    </row>
    <row r="25" customFormat="false" ht="15" hidden="false" customHeight="false" outlineLevel="0" collapsed="false">
      <c r="A25" s="19" t="s">
        <v>175</v>
      </c>
      <c r="B25" s="19" t="s">
        <v>173</v>
      </c>
      <c r="C25" s="19"/>
      <c r="D25" s="26" t="n">
        <f aca="false">IF(A25="","",COUNTIF(Pubs!$C$2:$C$3001,A25))</f>
        <v>0</v>
      </c>
      <c r="E25" s="26" t="n">
        <f aca="false">IF(A25="","",COUNTIF(Apparitions!$I$2:$I$5001,A25))</f>
        <v>0</v>
      </c>
    </row>
    <row r="26" customFormat="false" ht="15" hidden="false" customHeight="false" outlineLevel="0" collapsed="false">
      <c r="A26" s="19" t="s">
        <v>176</v>
      </c>
      <c r="B26" s="19" t="s">
        <v>173</v>
      </c>
      <c r="C26" s="19"/>
      <c r="D26" s="26" t="n">
        <f aca="false">IF(A26="","",COUNTIF(Pubs!$C$2:$C$3001,A26))</f>
        <v>0</v>
      </c>
      <c r="E26" s="26" t="n">
        <f aca="false">IF(A26="","",COUNTIF(Apparitions!$I$2:$I$5001,A26))</f>
        <v>0</v>
      </c>
    </row>
    <row r="27" customFormat="false" ht="15" hidden="false" customHeight="false" outlineLevel="0" collapsed="false">
      <c r="A27" s="19" t="s">
        <v>115</v>
      </c>
      <c r="B27" s="19" t="s">
        <v>177</v>
      </c>
      <c r="C27" s="19"/>
      <c r="D27" s="26" t="n">
        <f aca="false">IF(A27="","",COUNTIF(Pubs!$C$2:$C$3001,A27))</f>
        <v>4</v>
      </c>
      <c r="E27" s="26" t="n">
        <f aca="false">IF(A27="","",COUNTIF(Apparitions!$I$2:$I$5001,A27))</f>
        <v>6</v>
      </c>
    </row>
    <row r="28" customFormat="false" ht="15" hidden="false" customHeight="false" outlineLevel="0" collapsed="false">
      <c r="A28" s="19" t="s">
        <v>178</v>
      </c>
      <c r="B28" s="19" t="s">
        <v>177</v>
      </c>
      <c r="C28" s="19"/>
      <c r="D28" s="26" t="n">
        <f aca="false">IF(A28="","",COUNTIF(Pubs!$C$2:$C$3001,A28))</f>
        <v>0</v>
      </c>
      <c r="E28" s="26" t="n">
        <f aca="false">IF(A28="","",COUNTIF(Apparitions!$I$2:$I$5001,A28))</f>
        <v>0</v>
      </c>
    </row>
    <row r="29" customFormat="false" ht="15" hidden="false" customHeight="false" outlineLevel="0" collapsed="false">
      <c r="A29" s="19" t="s">
        <v>179</v>
      </c>
      <c r="B29" s="19" t="s">
        <v>177</v>
      </c>
      <c r="C29" s="19"/>
      <c r="D29" s="26" t="n">
        <f aca="false">IF(A29="","",COUNTIF(Pubs!$C$2:$C$3001,A29))</f>
        <v>0</v>
      </c>
      <c r="E29" s="26" t="n">
        <f aca="false">IF(A29="","",COUNTIF(Apparitions!$I$2:$I$5001,A29))</f>
        <v>0</v>
      </c>
    </row>
    <row r="30" customFormat="false" ht="15" hidden="false" customHeight="false" outlineLevel="0" collapsed="false">
      <c r="A30" s="19" t="s">
        <v>180</v>
      </c>
      <c r="B30" s="19" t="s">
        <v>177</v>
      </c>
      <c r="C30" s="19"/>
      <c r="D30" s="26" t="n">
        <f aca="false">IF(A30="","",COUNTIF(Pubs!$C$2:$C$3001,A30))</f>
        <v>0</v>
      </c>
      <c r="E30" s="26" t="n">
        <f aca="false">IF(A30="","",COUNTIF(Apparitions!$I$2:$I$5001,A30))</f>
        <v>0</v>
      </c>
    </row>
    <row r="31" customFormat="false" ht="15" hidden="false" customHeight="false" outlineLevel="0" collapsed="false">
      <c r="A31" s="19" t="s">
        <v>181</v>
      </c>
      <c r="B31" s="19" t="s">
        <v>177</v>
      </c>
      <c r="C31" s="19"/>
      <c r="D31" s="26" t="n">
        <f aca="false">IF(A31="","",COUNTIF(Pubs!$C$2:$C$3001,A31))</f>
        <v>0</v>
      </c>
      <c r="E31" s="26" t="n">
        <f aca="false">IF(A31="","",COUNTIF(Apparitions!$I$2:$I$5001,A31))</f>
        <v>0</v>
      </c>
    </row>
    <row r="32" customFormat="false" ht="15" hidden="false" customHeight="false" outlineLevel="0" collapsed="false">
      <c r="A32" s="19" t="s">
        <v>182</v>
      </c>
      <c r="B32" s="19" t="s">
        <v>177</v>
      </c>
      <c r="C32" s="19"/>
      <c r="D32" s="26" t="n">
        <f aca="false">IF(A32="","",COUNTIF(Pubs!$C$2:$C$3001,A32))</f>
        <v>0</v>
      </c>
      <c r="E32" s="26" t="n">
        <f aca="false">IF(A32="","",COUNTIF(Apparitions!$I$2:$I$5001,A32))</f>
        <v>0</v>
      </c>
    </row>
    <row r="33" customFormat="false" ht="15" hidden="false" customHeight="false" outlineLevel="0" collapsed="false">
      <c r="A33" s="19" t="s">
        <v>183</v>
      </c>
      <c r="B33" s="19" t="s">
        <v>177</v>
      </c>
      <c r="C33" s="19"/>
      <c r="D33" s="26" t="n">
        <f aca="false">IF(A33="","",COUNTIF(Pubs!$C$2:$C$3001,A33))</f>
        <v>0</v>
      </c>
      <c r="E33" s="26" t="n">
        <f aca="false">IF(A33="","",COUNTIF(Apparitions!$I$2:$I$5001,A33))</f>
        <v>0</v>
      </c>
    </row>
    <row r="34" customFormat="false" ht="15" hidden="false" customHeight="false" outlineLevel="0" collapsed="false">
      <c r="A34" s="19" t="s">
        <v>184</v>
      </c>
      <c r="B34" s="19" t="s">
        <v>185</v>
      </c>
      <c r="C34" s="19"/>
      <c r="D34" s="26" t="n">
        <f aca="false">IF(A34="","",COUNTIF(Pubs!$C$2:$C$3001,A34))</f>
        <v>0</v>
      </c>
      <c r="E34" s="26" t="n">
        <f aca="false">IF(A34="","",COUNTIF(Apparitions!$I$2:$I$5001,A34))</f>
        <v>0</v>
      </c>
    </row>
    <row r="35" customFormat="false" ht="15" hidden="false" customHeight="false" outlineLevel="0" collapsed="false">
      <c r="A35" s="19" t="s">
        <v>186</v>
      </c>
      <c r="B35" s="19" t="s">
        <v>185</v>
      </c>
      <c r="C35" s="19"/>
      <c r="D35" s="26" t="n">
        <f aca="false">IF(A35="","",COUNTIF(Pubs!$C$2:$C$3001,A35))</f>
        <v>0</v>
      </c>
      <c r="E35" s="26" t="n">
        <f aca="false">IF(A35="","",COUNTIF(Apparitions!$I$2:$I$5001,A35))</f>
        <v>0</v>
      </c>
    </row>
    <row r="36" customFormat="false" ht="15" hidden="false" customHeight="false" outlineLevel="0" collapsed="false">
      <c r="A36" s="19" t="s">
        <v>187</v>
      </c>
      <c r="B36" s="19" t="s">
        <v>185</v>
      </c>
      <c r="C36" s="19"/>
      <c r="D36" s="26" t="n">
        <f aca="false">IF(A36="","",COUNTIF(Pubs!$C$2:$C$3001,A36))</f>
        <v>0</v>
      </c>
      <c r="E36" s="26" t="n">
        <f aca="false">IF(A36="","",COUNTIF(Apparitions!$I$2:$I$5001,A36))</f>
        <v>0</v>
      </c>
    </row>
    <row r="37" customFormat="false" ht="15" hidden="false" customHeight="false" outlineLevel="0" collapsed="false">
      <c r="A37" s="19" t="s">
        <v>188</v>
      </c>
      <c r="B37" s="19" t="s">
        <v>189</v>
      </c>
      <c r="C37" s="19"/>
      <c r="D37" s="26" t="n">
        <f aca="false">IF(A37="","",COUNTIF(Pubs!$C$2:$C$3001,A37))</f>
        <v>0</v>
      </c>
      <c r="E37" s="26" t="n">
        <f aca="false">IF(A37="","",COUNTIF(Apparitions!$I$2:$I$5001,A37))</f>
        <v>0</v>
      </c>
    </row>
    <row r="38" customFormat="false" ht="15" hidden="false" customHeight="false" outlineLevel="0" collapsed="false">
      <c r="A38" s="19" t="s">
        <v>190</v>
      </c>
      <c r="B38" s="19" t="s">
        <v>191</v>
      </c>
      <c r="C38" s="19"/>
      <c r="D38" s="26" t="n">
        <f aca="false">IF(A38="","",COUNTIF(Pubs!$C$2:$C$3001,A38))</f>
        <v>0</v>
      </c>
      <c r="E38" s="26" t="n">
        <f aca="false">IF(A38="","",COUNTIF(Apparitions!$I$2:$I$5001,A38))</f>
        <v>0</v>
      </c>
    </row>
    <row r="39" customFormat="false" ht="15" hidden="false" customHeight="false" outlineLevel="0" collapsed="false">
      <c r="A39" s="19" t="s">
        <v>192</v>
      </c>
      <c r="B39" s="19" t="s">
        <v>193</v>
      </c>
      <c r="C39" s="19"/>
      <c r="D39" s="26" t="n">
        <f aca="false">IF(A39="","",COUNTIF(Pubs!$C$2:$C$3001,A39))</f>
        <v>0</v>
      </c>
      <c r="E39" s="26" t="n">
        <f aca="false">IF(A39="","",COUNTIF(Apparitions!$I$2:$I$5001,A39))</f>
        <v>0</v>
      </c>
    </row>
    <row r="40" customFormat="false" ht="15" hidden="false" customHeight="false" outlineLevel="0" collapsed="false">
      <c r="A40" s="19" t="s">
        <v>194</v>
      </c>
      <c r="B40" s="19" t="s">
        <v>193</v>
      </c>
      <c r="C40" s="19"/>
      <c r="D40" s="26" t="n">
        <f aca="false">IF(A40="","",COUNTIF(Pubs!$C$2:$C$3001,A40))</f>
        <v>0</v>
      </c>
      <c r="E40" s="26" t="n">
        <f aca="false">IF(A40="","",COUNTIF(Apparitions!$I$2:$I$5001,A40))</f>
        <v>0</v>
      </c>
    </row>
    <row r="41" customFormat="false" ht="15" hidden="false" customHeight="false" outlineLevel="0" collapsed="false">
      <c r="A41" s="19" t="s">
        <v>195</v>
      </c>
      <c r="B41" s="19"/>
      <c r="C41" s="19"/>
      <c r="D41" s="26" t="n">
        <f aca="false">IF(A41="","",COUNTIF(Pubs!$C$2:$C$3001,A41))</f>
        <v>0</v>
      </c>
      <c r="E41" s="26" t="n">
        <f aca="false">IF(A41="","",COUNTIF(Apparitions!$I$2:$I$5001,A41))</f>
        <v>0</v>
      </c>
    </row>
    <row r="42" customFormat="false" ht="15" hidden="false" customHeight="false" outlineLevel="0" collapsed="false">
      <c r="A42" s="19" t="s">
        <v>196</v>
      </c>
      <c r="B42" s="19" t="s">
        <v>173</v>
      </c>
      <c r="C42" s="19"/>
      <c r="D42" s="26" t="n">
        <f aca="false">IF(A42="","",COUNTIF(Pubs!$C$2:$C$3001,A42))</f>
        <v>0</v>
      </c>
      <c r="E42" s="26" t="n">
        <f aca="false">IF(A42="","",COUNTIF(Apparitions!$I$2:$I$5001,A42))</f>
        <v>0</v>
      </c>
    </row>
    <row r="43" customFormat="false" ht="15" hidden="false" customHeight="false" outlineLevel="0" collapsed="false">
      <c r="A43" s="19" t="s">
        <v>197</v>
      </c>
      <c r="B43" s="19" t="s">
        <v>173</v>
      </c>
      <c r="C43" s="19"/>
      <c r="D43" s="26" t="n">
        <f aca="false">IF(A43="","",COUNTIF(Pubs!$C$2:$C$3001,A43))</f>
        <v>0</v>
      </c>
      <c r="E43" s="26" t="n">
        <f aca="false">IF(A43="","",COUNTIF(Apparitions!$I$2:$I$5001,A43))</f>
        <v>0</v>
      </c>
    </row>
    <row r="44" customFormat="false" ht="15" hidden="false" customHeight="false" outlineLevel="0" collapsed="false">
      <c r="A44" s="19" t="s">
        <v>198</v>
      </c>
      <c r="B44" s="19" t="s">
        <v>199</v>
      </c>
      <c r="C44" s="19"/>
      <c r="D44" s="26" t="n">
        <f aca="false">IF(A44="","",COUNTIF(Pubs!$C$2:$C$3001,A44))</f>
        <v>0</v>
      </c>
      <c r="E44" s="26" t="n">
        <f aca="false">IF(A44="","",COUNTIF(Apparitions!$I$2:$I$5001,A44))</f>
        <v>0</v>
      </c>
    </row>
    <row r="45" customFormat="false" ht="15" hidden="false" customHeight="false" outlineLevel="0" collapsed="false">
      <c r="A45" s="19" t="s">
        <v>200</v>
      </c>
      <c r="B45" s="19" t="s">
        <v>201</v>
      </c>
      <c r="C45" s="19"/>
      <c r="D45" s="26" t="n">
        <f aca="false">IF(A45="","",COUNTIF(Pubs!$C$2:$C$3001,A45))</f>
        <v>0</v>
      </c>
      <c r="E45" s="26" t="n">
        <f aca="false">IF(A45="","",COUNTIF(Apparitions!$I$2:$I$5001,A45))</f>
        <v>0</v>
      </c>
    </row>
    <row r="46" customFormat="false" ht="15" hidden="false" customHeight="false" outlineLevel="0" collapsed="false">
      <c r="A46" s="19" t="s">
        <v>202</v>
      </c>
      <c r="B46" s="19"/>
      <c r="C46" s="19"/>
      <c r="D46" s="26" t="n">
        <f aca="false">IF(A46="","",COUNTIF(Pubs!$C$2:$C$3001,A46))</f>
        <v>0</v>
      </c>
      <c r="E46" s="26" t="n">
        <f aca="false">IF(A46="","",COUNTIF(Apparitions!$I$2:$I$5001,A46))</f>
        <v>0</v>
      </c>
    </row>
    <row r="47" customFormat="false" ht="15" hidden="false" customHeight="false" outlineLevel="0" collapsed="false">
      <c r="A47" s="19" t="s">
        <v>203</v>
      </c>
      <c r="B47" s="19"/>
      <c r="C47" s="19"/>
      <c r="D47" s="26" t="n">
        <f aca="false">IF(A47="","",COUNTIF(Pubs!$C$2:$C$3001,A47))</f>
        <v>0</v>
      </c>
      <c r="E47" s="26" t="n">
        <f aca="false">IF(A47="","",COUNTIF(Apparitions!$I$2:$I$5001,A47))</f>
        <v>0</v>
      </c>
    </row>
    <row r="48" customFormat="false" ht="15" hidden="false" customHeight="false" outlineLevel="0" collapsed="false">
      <c r="A48" s="19" t="s">
        <v>204</v>
      </c>
      <c r="B48" s="19"/>
      <c r="C48" s="19"/>
      <c r="D48" s="26" t="n">
        <f aca="false">IF(A48="","",COUNTIF(Pubs!$C$2:$C$3001,A48))</f>
        <v>0</v>
      </c>
      <c r="E48" s="26" t="n">
        <f aca="false">IF(A48="","",COUNTIF(Apparitions!$I$2:$I$5001,A48))</f>
        <v>0</v>
      </c>
    </row>
    <row r="49" customFormat="false" ht="15" hidden="false" customHeight="false" outlineLevel="0" collapsed="false">
      <c r="A49" s="19"/>
      <c r="B49" s="19"/>
      <c r="C49" s="19"/>
      <c r="D49" s="26" t="str">
        <f aca="false">IF(A49="","",COUNTIF(Pubs!$C$2:$C$3001,A49))</f>
        <v/>
      </c>
      <c r="E49" s="26" t="str">
        <f aca="false">IF(A49="","",COUNTIF(Apparitions!$I$2:$I$5001,A49))</f>
        <v/>
      </c>
    </row>
    <row r="50" customFormat="false" ht="15" hidden="false" customHeight="false" outlineLevel="0" collapsed="false">
      <c r="A50" s="19"/>
      <c r="B50" s="19"/>
      <c r="C50" s="19"/>
      <c r="D50" s="26" t="str">
        <f aca="false">IF(A50="","",COUNTIF(Pubs!$C$2:$C$3001,A50))</f>
        <v/>
      </c>
      <c r="E50" s="26" t="str">
        <f aca="false">IF(A50="","",COUNTIF(Apparitions!$I$2:$I$5001,A50))</f>
        <v/>
      </c>
    </row>
    <row r="51" customFormat="false" ht="15" hidden="false" customHeight="false" outlineLevel="0" collapsed="false">
      <c r="A51" s="19"/>
      <c r="B51" s="19"/>
      <c r="C51" s="19"/>
      <c r="D51" s="26" t="str">
        <f aca="false">IF(A51="","",COUNTIF(Pubs!$C$2:$C$3001,A51))</f>
        <v/>
      </c>
      <c r="E51" s="26" t="str">
        <f aca="false">IF(A51="","",COUNTIF(Apparitions!$I$2:$I$5001,A51))</f>
        <v/>
      </c>
    </row>
    <row r="52" customFormat="false" ht="15" hidden="false" customHeight="false" outlineLevel="0" collapsed="false">
      <c r="A52" s="19"/>
      <c r="B52" s="19"/>
      <c r="C52" s="19"/>
      <c r="D52" s="26" t="str">
        <f aca="false">IF(A52="","",COUNTIF(Pubs!$C$2:$C$3001,A52))</f>
        <v/>
      </c>
      <c r="E52" s="26" t="str">
        <f aca="false">IF(A52="","",COUNTIF(Apparitions!$I$2:$I$5001,A52))</f>
        <v/>
      </c>
    </row>
    <row r="53" customFormat="false" ht="15" hidden="false" customHeight="false" outlineLevel="0" collapsed="false">
      <c r="A53" s="19"/>
      <c r="B53" s="19"/>
      <c r="C53" s="19"/>
      <c r="D53" s="26" t="str">
        <f aca="false">IF(A53="","",COUNTIF(Pubs!$C$2:$C$3001,A53))</f>
        <v/>
      </c>
      <c r="E53" s="26" t="str">
        <f aca="false">IF(A53="","",COUNTIF(Apparitions!$I$2:$I$5001,A53))</f>
        <v/>
      </c>
    </row>
    <row r="54" customFormat="false" ht="15" hidden="false" customHeight="false" outlineLevel="0" collapsed="false">
      <c r="A54" s="19"/>
      <c r="B54" s="19"/>
      <c r="C54" s="19"/>
      <c r="D54" s="26" t="str">
        <f aca="false">IF(A54="","",COUNTIF(Pubs!$C$2:$C$3001,A54))</f>
        <v/>
      </c>
      <c r="E54" s="26" t="str">
        <f aca="false">IF(A54="","",COUNTIF(Apparitions!$I$2:$I$5001,A54))</f>
        <v/>
      </c>
    </row>
    <row r="55" customFormat="false" ht="15" hidden="false" customHeight="false" outlineLevel="0" collapsed="false">
      <c r="A55" s="19"/>
      <c r="B55" s="19"/>
      <c r="C55" s="19"/>
      <c r="D55" s="26" t="str">
        <f aca="false">IF(A55="","",COUNTIF(Pubs!$C$2:$C$3001,A55))</f>
        <v/>
      </c>
      <c r="E55" s="26" t="str">
        <f aca="false">IF(A55="","",COUNTIF(Apparitions!$I$2:$I$5001,A55))</f>
        <v/>
      </c>
    </row>
    <row r="56" customFormat="false" ht="15" hidden="false" customHeight="false" outlineLevel="0" collapsed="false">
      <c r="A56" s="19"/>
      <c r="B56" s="19"/>
      <c r="C56" s="19"/>
      <c r="D56" s="26" t="str">
        <f aca="false">IF(A56="","",COUNTIF(Pubs!$C$2:$C$3001,A56))</f>
        <v/>
      </c>
      <c r="E56" s="26" t="str">
        <f aca="false">IF(A56="","",COUNTIF(Apparitions!$I$2:$I$5001,A56))</f>
        <v/>
      </c>
    </row>
    <row r="57" customFormat="false" ht="15" hidden="false" customHeight="false" outlineLevel="0" collapsed="false">
      <c r="A57" s="19"/>
      <c r="B57" s="19"/>
      <c r="C57" s="19"/>
      <c r="D57" s="26" t="str">
        <f aca="false">IF(A57="","",COUNTIF(Pubs!$C$2:$C$3001,A57))</f>
        <v/>
      </c>
      <c r="E57" s="26" t="str">
        <f aca="false">IF(A57="","",COUNTIF(Apparitions!$I$2:$I$5001,A57))</f>
        <v/>
      </c>
    </row>
    <row r="58" customFormat="false" ht="15" hidden="false" customHeight="false" outlineLevel="0" collapsed="false">
      <c r="A58" s="19"/>
      <c r="B58" s="19"/>
      <c r="C58" s="19"/>
      <c r="D58" s="26" t="str">
        <f aca="false">IF(A58="","",COUNTIF(Pubs!$C$2:$C$3001,A58))</f>
        <v/>
      </c>
      <c r="E58" s="26" t="str">
        <f aca="false">IF(A58="","",COUNTIF(Apparitions!$I$2:$I$5001,A58))</f>
        <v/>
      </c>
    </row>
    <row r="59" customFormat="false" ht="15" hidden="false" customHeight="false" outlineLevel="0" collapsed="false">
      <c r="A59" s="19"/>
      <c r="B59" s="19"/>
      <c r="C59" s="19"/>
      <c r="D59" s="26" t="str">
        <f aca="false">IF(A59="","",COUNTIF(Pubs!$C$2:$C$3001,A59))</f>
        <v/>
      </c>
      <c r="E59" s="26" t="str">
        <f aca="false">IF(A59="","",COUNTIF(Apparitions!$I$2:$I$5001,A59))</f>
        <v/>
      </c>
    </row>
    <row r="60" customFormat="false" ht="15" hidden="false" customHeight="false" outlineLevel="0" collapsed="false">
      <c r="A60" s="19"/>
      <c r="B60" s="19"/>
      <c r="C60" s="19"/>
      <c r="D60" s="26" t="str">
        <f aca="false">IF(A60="","",COUNTIF(Pubs!$C$2:$C$3001,A60))</f>
        <v/>
      </c>
      <c r="E60" s="26" t="str">
        <f aca="false">IF(A60="","",COUNTIF(Apparitions!$I$2:$I$5001,A60))</f>
        <v/>
      </c>
    </row>
    <row r="61" customFormat="false" ht="15" hidden="false" customHeight="false" outlineLevel="0" collapsed="false">
      <c r="A61" s="19"/>
      <c r="B61" s="19"/>
      <c r="C61" s="19"/>
      <c r="D61" s="26" t="str">
        <f aca="false">IF(A61="","",COUNTIF(Pubs!$C$2:$C$3001,A61))</f>
        <v/>
      </c>
      <c r="E61" s="26" t="str">
        <f aca="false">IF(A61="","",COUNTIF(Apparitions!$I$2:$I$5001,A61))</f>
        <v/>
      </c>
    </row>
    <row r="62" customFormat="false" ht="15" hidden="false" customHeight="false" outlineLevel="0" collapsed="false">
      <c r="A62" s="19"/>
      <c r="B62" s="19"/>
      <c r="C62" s="19"/>
      <c r="D62" s="26" t="str">
        <f aca="false">IF(A62="","",COUNTIF(Pubs!$C$2:$C$3001,A62))</f>
        <v/>
      </c>
      <c r="E62" s="26" t="str">
        <f aca="false">IF(A62="","",COUNTIF(Apparitions!$I$2:$I$5001,A62))</f>
        <v/>
      </c>
    </row>
    <row r="63" customFormat="false" ht="15" hidden="false" customHeight="false" outlineLevel="0" collapsed="false">
      <c r="A63" s="19"/>
      <c r="B63" s="19"/>
      <c r="C63" s="19"/>
      <c r="D63" s="26" t="str">
        <f aca="false">IF(A63="","",COUNTIF(Pubs!$C$2:$C$3001,A63))</f>
        <v/>
      </c>
      <c r="E63" s="26" t="str">
        <f aca="false">IF(A63="","",COUNTIF(Apparitions!$I$2:$I$5001,A63))</f>
        <v/>
      </c>
    </row>
    <row r="64" customFormat="false" ht="15" hidden="false" customHeight="false" outlineLevel="0" collapsed="false">
      <c r="A64" s="19"/>
      <c r="B64" s="19"/>
      <c r="C64" s="19"/>
      <c r="D64" s="26" t="str">
        <f aca="false">IF(A64="","",COUNTIF(Pubs!$C$2:$C$3001,A64))</f>
        <v/>
      </c>
      <c r="E64" s="26" t="str">
        <f aca="false">IF(A64="","",COUNTIF(Apparitions!$I$2:$I$5001,A64))</f>
        <v/>
      </c>
    </row>
    <row r="65" customFormat="false" ht="15" hidden="false" customHeight="false" outlineLevel="0" collapsed="false">
      <c r="A65" s="19"/>
      <c r="B65" s="19"/>
      <c r="C65" s="19"/>
      <c r="D65" s="26" t="str">
        <f aca="false">IF(A65="","",COUNTIF(Pubs!$C$2:$C$3001,A65))</f>
        <v/>
      </c>
      <c r="E65" s="26" t="str">
        <f aca="false">IF(A65="","",COUNTIF(Apparitions!$I$2:$I$5001,A65))</f>
        <v/>
      </c>
    </row>
    <row r="66" customFormat="false" ht="15" hidden="false" customHeight="false" outlineLevel="0" collapsed="false">
      <c r="A66" s="19"/>
      <c r="B66" s="19"/>
      <c r="C66" s="19"/>
      <c r="D66" s="26" t="str">
        <f aca="false">IF(A66="","",COUNTIF(Pubs!$C$2:$C$3001,A66))</f>
        <v/>
      </c>
      <c r="E66" s="26" t="str">
        <f aca="false">IF(A66="","",COUNTIF(Apparitions!$I$2:$I$5001,A66))</f>
        <v/>
      </c>
    </row>
    <row r="67" customFormat="false" ht="15" hidden="false" customHeight="false" outlineLevel="0" collapsed="false">
      <c r="A67" s="19"/>
      <c r="B67" s="19"/>
      <c r="C67" s="19"/>
      <c r="D67" s="26" t="str">
        <f aca="false">IF(A67="","",COUNTIF(Pubs!$C$2:$C$3001,A67))</f>
        <v/>
      </c>
      <c r="E67" s="26" t="str">
        <f aca="false">IF(A67="","",COUNTIF(Apparitions!$I$2:$I$5001,A67))</f>
        <v/>
      </c>
    </row>
    <row r="68" customFormat="false" ht="15" hidden="false" customHeight="false" outlineLevel="0" collapsed="false">
      <c r="A68" s="19"/>
      <c r="B68" s="19"/>
      <c r="C68" s="19"/>
      <c r="D68" s="26" t="str">
        <f aca="false">IF(A68="","",COUNTIF(Pubs!$C$2:$C$3001,A68))</f>
        <v/>
      </c>
      <c r="E68" s="26" t="str">
        <f aca="false">IF(A68="","",COUNTIF(Apparitions!$I$2:$I$5001,A68))</f>
        <v/>
      </c>
    </row>
    <row r="69" customFormat="false" ht="15" hidden="false" customHeight="false" outlineLevel="0" collapsed="false">
      <c r="A69" s="19"/>
      <c r="B69" s="19"/>
      <c r="C69" s="19"/>
      <c r="D69" s="26" t="str">
        <f aca="false">IF(A69="","",COUNTIF(Pubs!$C$2:$C$3001,A69))</f>
        <v/>
      </c>
      <c r="E69" s="26" t="str">
        <f aca="false">IF(A69="","",COUNTIF(Apparitions!$I$2:$I$5001,A69))</f>
        <v/>
      </c>
    </row>
    <row r="70" customFormat="false" ht="15" hidden="false" customHeight="false" outlineLevel="0" collapsed="false">
      <c r="A70" s="19"/>
      <c r="B70" s="19"/>
      <c r="C70" s="19"/>
      <c r="D70" s="26" t="str">
        <f aca="false">IF(A70="","",COUNTIF(Pubs!$C$2:$C$3001,A70))</f>
        <v/>
      </c>
      <c r="E70" s="26" t="str">
        <f aca="false">IF(A70="","",COUNTIF(Apparitions!$I$2:$I$5001,A70))</f>
        <v/>
      </c>
    </row>
    <row r="71" customFormat="false" ht="15" hidden="false" customHeight="false" outlineLevel="0" collapsed="false">
      <c r="A71" s="19"/>
      <c r="B71" s="19"/>
      <c r="C71" s="19"/>
      <c r="D71" s="26" t="str">
        <f aca="false">IF(A71="","",COUNTIF(Pubs!$C$2:$C$3001,A71))</f>
        <v/>
      </c>
      <c r="E71" s="26" t="str">
        <f aca="false">IF(A71="","",COUNTIF(Apparitions!$I$2:$I$5001,A71))</f>
        <v/>
      </c>
    </row>
    <row r="72" customFormat="false" ht="15" hidden="false" customHeight="false" outlineLevel="0" collapsed="false">
      <c r="A72" s="19"/>
      <c r="B72" s="19"/>
      <c r="C72" s="19"/>
      <c r="D72" s="26" t="str">
        <f aca="false">IF(A72="","",COUNTIF(Pubs!$C$2:$C$3001,A72))</f>
        <v/>
      </c>
      <c r="E72" s="26" t="str">
        <f aca="false">IF(A72="","",COUNTIF(Apparitions!$I$2:$I$5001,A72))</f>
        <v/>
      </c>
    </row>
    <row r="73" customFormat="false" ht="15" hidden="false" customHeight="false" outlineLevel="0" collapsed="false">
      <c r="A73" s="19"/>
      <c r="B73" s="19"/>
      <c r="C73" s="19"/>
      <c r="D73" s="26" t="str">
        <f aca="false">IF(A73="","",COUNTIF(Pubs!$C$2:$C$3001,A73))</f>
        <v/>
      </c>
      <c r="E73" s="26" t="str">
        <f aca="false">IF(A73="","",COUNTIF(Apparitions!$I$2:$I$5001,A73))</f>
        <v/>
      </c>
    </row>
    <row r="74" customFormat="false" ht="15" hidden="false" customHeight="false" outlineLevel="0" collapsed="false">
      <c r="A74" s="19"/>
      <c r="B74" s="19"/>
      <c r="C74" s="19"/>
      <c r="D74" s="26" t="str">
        <f aca="false">IF(A74="","",COUNTIF(Pubs!$C$2:$C$3001,A74))</f>
        <v/>
      </c>
      <c r="E74" s="26" t="str">
        <f aca="false">IF(A74="","",COUNTIF(Apparitions!$I$2:$I$5001,A74))</f>
        <v/>
      </c>
    </row>
    <row r="75" customFormat="false" ht="15" hidden="false" customHeight="false" outlineLevel="0" collapsed="false">
      <c r="A75" s="19"/>
      <c r="B75" s="19"/>
      <c r="C75" s="19"/>
      <c r="D75" s="26" t="str">
        <f aca="false">IF(A75="","",COUNTIF(Pubs!$C$2:$C$3001,A75))</f>
        <v/>
      </c>
      <c r="E75" s="26" t="str">
        <f aca="false">IF(A75="","",COUNTIF(Apparitions!$I$2:$I$5001,A75))</f>
        <v/>
      </c>
    </row>
    <row r="76" customFormat="false" ht="15" hidden="false" customHeight="false" outlineLevel="0" collapsed="false">
      <c r="A76" s="19"/>
      <c r="B76" s="19"/>
      <c r="C76" s="19"/>
      <c r="D76" s="26" t="str">
        <f aca="false">IF(A76="","",COUNTIF(Pubs!$C$2:$C$3001,A76))</f>
        <v/>
      </c>
      <c r="E76" s="26" t="str">
        <f aca="false">IF(A76="","",COUNTIF(Apparitions!$I$2:$I$5001,A76))</f>
        <v/>
      </c>
    </row>
    <row r="77" customFormat="false" ht="15" hidden="false" customHeight="false" outlineLevel="0" collapsed="false">
      <c r="A77" s="19"/>
      <c r="B77" s="19"/>
      <c r="C77" s="19"/>
      <c r="D77" s="26" t="str">
        <f aca="false">IF(A77="","",COUNTIF(Pubs!$C$2:$C$3001,A77))</f>
        <v/>
      </c>
      <c r="E77" s="26" t="str">
        <f aca="false">IF(A77="","",COUNTIF(Apparitions!$I$2:$I$5001,A77))</f>
        <v/>
      </c>
    </row>
    <row r="78" customFormat="false" ht="15" hidden="false" customHeight="false" outlineLevel="0" collapsed="false">
      <c r="A78" s="19"/>
      <c r="B78" s="19"/>
      <c r="C78" s="19"/>
      <c r="D78" s="26" t="str">
        <f aca="false">IF(A78="","",COUNTIF(Pubs!$C$2:$C$3001,A78))</f>
        <v/>
      </c>
      <c r="E78" s="26" t="str">
        <f aca="false">IF(A78="","",COUNTIF(Apparitions!$I$2:$I$5001,A78))</f>
        <v/>
      </c>
    </row>
    <row r="79" customFormat="false" ht="15" hidden="false" customHeight="false" outlineLevel="0" collapsed="false">
      <c r="A79" s="19"/>
      <c r="B79" s="19"/>
      <c r="C79" s="19"/>
      <c r="D79" s="26" t="str">
        <f aca="false">IF(A79="","",COUNTIF(Pubs!$C$2:$C$3001,A79))</f>
        <v/>
      </c>
      <c r="E79" s="26" t="str">
        <f aca="false">IF(A79="","",COUNTIF(Apparitions!$I$2:$I$5001,A79))</f>
        <v/>
      </c>
    </row>
    <row r="80" customFormat="false" ht="15" hidden="false" customHeight="false" outlineLevel="0" collapsed="false">
      <c r="A80" s="19"/>
      <c r="B80" s="19"/>
      <c r="C80" s="19"/>
      <c r="D80" s="26" t="str">
        <f aca="false">IF(A80="","",COUNTIF(Pubs!$C$2:$C$3001,A80))</f>
        <v/>
      </c>
      <c r="E80" s="26" t="str">
        <f aca="false">IF(A80="","",COUNTIF(Apparitions!$I$2:$I$5001,A80))</f>
        <v/>
      </c>
    </row>
    <row r="81" customFormat="false" ht="15" hidden="false" customHeight="false" outlineLevel="0" collapsed="false">
      <c r="A81" s="19"/>
      <c r="B81" s="19"/>
      <c r="C81" s="19"/>
      <c r="D81" s="26" t="str">
        <f aca="false">IF(A81="","",COUNTIF(Pubs!$C$2:$C$3001,A81))</f>
        <v/>
      </c>
      <c r="E81" s="26" t="str">
        <f aca="false">IF(A81="","",COUNTIF(Apparitions!$I$2:$I$5001,A81))</f>
        <v/>
      </c>
    </row>
    <row r="82" customFormat="false" ht="15" hidden="false" customHeight="false" outlineLevel="0" collapsed="false">
      <c r="A82" s="19"/>
      <c r="B82" s="19"/>
      <c r="C82" s="19"/>
      <c r="D82" s="26" t="str">
        <f aca="false">IF(A82="","",COUNTIF(Pubs!$C$2:$C$3001,A82))</f>
        <v/>
      </c>
      <c r="E82" s="26" t="str">
        <f aca="false">IF(A82="","",COUNTIF(Apparitions!$I$2:$I$5001,A82))</f>
        <v/>
      </c>
    </row>
    <row r="83" customFormat="false" ht="15" hidden="false" customHeight="false" outlineLevel="0" collapsed="false">
      <c r="A83" s="19"/>
      <c r="B83" s="19"/>
      <c r="C83" s="19"/>
      <c r="D83" s="26" t="str">
        <f aca="false">IF(A83="","",COUNTIF(Pubs!$C$2:$C$3001,A83))</f>
        <v/>
      </c>
      <c r="E83" s="26" t="str">
        <f aca="false">IF(A83="","",COUNTIF(Apparitions!$I$2:$I$5001,A83))</f>
        <v/>
      </c>
    </row>
    <row r="84" customFormat="false" ht="15" hidden="false" customHeight="false" outlineLevel="0" collapsed="false">
      <c r="A84" s="19"/>
      <c r="B84" s="19"/>
      <c r="C84" s="19"/>
      <c r="D84" s="26" t="str">
        <f aca="false">IF(A84="","",COUNTIF(Pubs!$C$2:$C$3001,A84))</f>
        <v/>
      </c>
      <c r="E84" s="26" t="str">
        <f aca="false">IF(A84="","",COUNTIF(Apparitions!$I$2:$I$5001,A84))</f>
        <v/>
      </c>
    </row>
    <row r="85" customFormat="false" ht="15" hidden="false" customHeight="false" outlineLevel="0" collapsed="false">
      <c r="A85" s="19"/>
      <c r="B85" s="19"/>
      <c r="C85" s="19"/>
      <c r="D85" s="26" t="str">
        <f aca="false">IF(A85="","",COUNTIF(Pubs!$C$2:$C$3001,A85))</f>
        <v/>
      </c>
      <c r="E85" s="26" t="str">
        <f aca="false">IF(A85="","",COUNTIF(Apparitions!$I$2:$I$5001,A85))</f>
        <v/>
      </c>
    </row>
    <row r="86" customFormat="false" ht="15" hidden="false" customHeight="false" outlineLevel="0" collapsed="false">
      <c r="A86" s="19"/>
      <c r="B86" s="19"/>
      <c r="C86" s="19"/>
      <c r="D86" s="26" t="str">
        <f aca="false">IF(A86="","",COUNTIF(Pubs!$C$2:$C$3001,A86))</f>
        <v/>
      </c>
      <c r="E86" s="26" t="str">
        <f aca="false">IF(A86="","",COUNTIF(Apparitions!$I$2:$I$5001,A86))</f>
        <v/>
      </c>
    </row>
    <row r="87" customFormat="false" ht="15" hidden="false" customHeight="false" outlineLevel="0" collapsed="false">
      <c r="A87" s="19"/>
      <c r="B87" s="19"/>
      <c r="C87" s="19"/>
      <c r="D87" s="26" t="str">
        <f aca="false">IF(A87="","",COUNTIF(Pubs!$C$2:$C$3001,A87))</f>
        <v/>
      </c>
      <c r="E87" s="26" t="str">
        <f aca="false">IF(A87="","",COUNTIF(Apparitions!$I$2:$I$5001,A87))</f>
        <v/>
      </c>
    </row>
    <row r="88" customFormat="false" ht="15" hidden="false" customHeight="false" outlineLevel="0" collapsed="false">
      <c r="A88" s="19"/>
      <c r="B88" s="19"/>
      <c r="C88" s="19"/>
      <c r="D88" s="26" t="str">
        <f aca="false">IF(A88="","",COUNTIF(Pubs!$C$2:$C$3001,A88))</f>
        <v/>
      </c>
      <c r="E88" s="26" t="str">
        <f aca="false">IF(A88="","",COUNTIF(Apparitions!$I$2:$I$5001,A88))</f>
        <v/>
      </c>
    </row>
    <row r="89" customFormat="false" ht="15" hidden="false" customHeight="false" outlineLevel="0" collapsed="false">
      <c r="A89" s="19"/>
      <c r="B89" s="19"/>
      <c r="C89" s="19"/>
      <c r="D89" s="26" t="str">
        <f aca="false">IF(A89="","",COUNTIF(Pubs!$C$2:$C$3001,A89))</f>
        <v/>
      </c>
      <c r="E89" s="26" t="str">
        <f aca="false">IF(A89="","",COUNTIF(Apparitions!$I$2:$I$5001,A89))</f>
        <v/>
      </c>
    </row>
    <row r="90" customFormat="false" ht="15" hidden="false" customHeight="false" outlineLevel="0" collapsed="false">
      <c r="A90" s="19"/>
      <c r="B90" s="19"/>
      <c r="C90" s="19"/>
      <c r="D90" s="26" t="str">
        <f aca="false">IF(A90="","",COUNTIF(Pubs!$C$2:$C$3001,A90))</f>
        <v/>
      </c>
      <c r="E90" s="26" t="str">
        <f aca="false">IF(A90="","",COUNTIF(Apparitions!$I$2:$I$5001,A90))</f>
        <v/>
      </c>
    </row>
    <row r="91" customFormat="false" ht="15" hidden="false" customHeight="false" outlineLevel="0" collapsed="false">
      <c r="A91" s="19"/>
      <c r="B91" s="19"/>
      <c r="C91" s="19"/>
      <c r="D91" s="26" t="str">
        <f aca="false">IF(A91="","",COUNTIF(Pubs!$C$2:$C$3001,A91))</f>
        <v/>
      </c>
      <c r="E91" s="26" t="str">
        <f aca="false">IF(A91="","",COUNTIF(Apparitions!$I$2:$I$5001,A91))</f>
        <v/>
      </c>
    </row>
    <row r="92" customFormat="false" ht="15" hidden="false" customHeight="false" outlineLevel="0" collapsed="false">
      <c r="A92" s="19"/>
      <c r="B92" s="19"/>
      <c r="C92" s="19"/>
      <c r="D92" s="26" t="str">
        <f aca="false">IF(A92="","",COUNTIF(Pubs!$C$2:$C$3001,A92))</f>
        <v/>
      </c>
      <c r="E92" s="26" t="str">
        <f aca="false">IF(A92="","",COUNTIF(Apparitions!$I$2:$I$5001,A92))</f>
        <v/>
      </c>
    </row>
    <row r="93" customFormat="false" ht="15" hidden="false" customHeight="false" outlineLevel="0" collapsed="false">
      <c r="A93" s="19"/>
      <c r="B93" s="19"/>
      <c r="C93" s="19"/>
      <c r="D93" s="26" t="str">
        <f aca="false">IF(A93="","",COUNTIF(Pubs!$C$2:$C$3001,A93))</f>
        <v/>
      </c>
      <c r="E93" s="26" t="str">
        <f aca="false">IF(A93="","",COUNTIF(Apparitions!$I$2:$I$5001,A93))</f>
        <v/>
      </c>
    </row>
    <row r="94" customFormat="false" ht="15" hidden="false" customHeight="false" outlineLevel="0" collapsed="false">
      <c r="A94" s="19"/>
      <c r="B94" s="19"/>
      <c r="C94" s="19"/>
      <c r="D94" s="26" t="str">
        <f aca="false">IF(A94="","",COUNTIF(Pubs!$C$2:$C$3001,A94))</f>
        <v/>
      </c>
      <c r="E94" s="26" t="str">
        <f aca="false">IF(A94="","",COUNTIF(Apparitions!$I$2:$I$5001,A94))</f>
        <v/>
      </c>
    </row>
    <row r="95" customFormat="false" ht="15" hidden="false" customHeight="false" outlineLevel="0" collapsed="false">
      <c r="A95" s="19"/>
      <c r="B95" s="19"/>
      <c r="C95" s="19"/>
      <c r="D95" s="26" t="str">
        <f aca="false">IF(A95="","",COUNTIF(Pubs!$C$2:$C$3001,A95))</f>
        <v/>
      </c>
      <c r="E95" s="26" t="str">
        <f aca="false">IF(A95="","",COUNTIF(Apparitions!$I$2:$I$5001,A95))</f>
        <v/>
      </c>
    </row>
    <row r="96" customFormat="false" ht="15" hidden="false" customHeight="false" outlineLevel="0" collapsed="false">
      <c r="A96" s="19"/>
      <c r="B96" s="19"/>
      <c r="C96" s="19"/>
      <c r="D96" s="26" t="str">
        <f aca="false">IF(A96="","",COUNTIF(Pubs!$C$2:$C$3001,A96))</f>
        <v/>
      </c>
      <c r="E96" s="26" t="str">
        <f aca="false">IF(A96="","",COUNTIF(Apparitions!$I$2:$I$5001,A96))</f>
        <v/>
      </c>
    </row>
    <row r="97" customFormat="false" ht="15" hidden="false" customHeight="false" outlineLevel="0" collapsed="false">
      <c r="A97" s="19"/>
      <c r="B97" s="19"/>
      <c r="C97" s="19"/>
      <c r="D97" s="26" t="str">
        <f aca="false">IF(A97="","",COUNTIF(Pubs!$C$2:$C$3001,A97))</f>
        <v/>
      </c>
      <c r="E97" s="26" t="str">
        <f aca="false">IF(A97="","",COUNTIF(Apparitions!$I$2:$I$5001,A97))</f>
        <v/>
      </c>
    </row>
    <row r="98" customFormat="false" ht="15" hidden="false" customHeight="false" outlineLevel="0" collapsed="false">
      <c r="A98" s="19"/>
      <c r="B98" s="19"/>
      <c r="C98" s="19"/>
      <c r="D98" s="26" t="str">
        <f aca="false">IF(A98="","",COUNTIF(Pubs!$C$2:$C$3001,A98))</f>
        <v/>
      </c>
      <c r="E98" s="26" t="str">
        <f aca="false">IF(A98="","",COUNTIF(Apparitions!$I$2:$I$5001,A98))</f>
        <v/>
      </c>
    </row>
    <row r="99" customFormat="false" ht="15" hidden="false" customHeight="false" outlineLevel="0" collapsed="false">
      <c r="A99" s="19"/>
      <c r="B99" s="19"/>
      <c r="C99" s="19"/>
      <c r="D99" s="26" t="str">
        <f aca="false">IF(A99="","",COUNTIF(Pubs!$C$2:$C$3001,A99))</f>
        <v/>
      </c>
      <c r="E99" s="26" t="str">
        <f aca="false">IF(A99="","",COUNTIF(Apparitions!$I$2:$I$5001,A99))</f>
        <v/>
      </c>
    </row>
    <row r="100" customFormat="false" ht="15" hidden="false" customHeight="false" outlineLevel="0" collapsed="false">
      <c r="A100" s="19"/>
      <c r="B100" s="19"/>
      <c r="C100" s="19"/>
      <c r="D100" s="26" t="str">
        <f aca="false">IF(A100="","",COUNTIF(Pubs!$C$2:$C$3001,A100))</f>
        <v/>
      </c>
      <c r="E100" s="26" t="str">
        <f aca="false">IF(A100="","",COUNTIF(Apparitions!$I$2:$I$5001,A100))</f>
        <v/>
      </c>
    </row>
    <row r="101" customFormat="false" ht="15" hidden="false" customHeight="false" outlineLevel="0" collapsed="false">
      <c r="A101" s="19"/>
      <c r="B101" s="19"/>
      <c r="C101" s="19"/>
      <c r="D101" s="26" t="str">
        <f aca="false">IF(A101="","",COUNTIF(Pubs!$C$2:$C$3001,A101))</f>
        <v/>
      </c>
      <c r="E101" s="26" t="str">
        <f aca="false">IF(A101="","",COUNTIF(Apparitions!$I$2:$I$5001,A101))</f>
        <v/>
      </c>
    </row>
    <row r="102" customFormat="false" ht="15" hidden="false" customHeight="false" outlineLevel="0" collapsed="false">
      <c r="A102" s="19"/>
      <c r="B102" s="19"/>
      <c r="C102" s="19"/>
      <c r="D102" s="26" t="str">
        <f aca="false">IF(A102="","",COUNTIF(Pubs!$C$2:$C$3001,A102))</f>
        <v/>
      </c>
      <c r="E102" s="26" t="str">
        <f aca="false">IF(A102="","",COUNTIF(Apparitions!$I$2:$I$5001,A102))</f>
        <v/>
      </c>
    </row>
    <row r="103" customFormat="false" ht="15" hidden="false" customHeight="false" outlineLevel="0" collapsed="false">
      <c r="A103" s="19"/>
      <c r="B103" s="19"/>
      <c r="C103" s="19"/>
      <c r="D103" s="26" t="str">
        <f aca="false">IF(A103="","",COUNTIF(Pubs!$C$2:$C$3001,A103))</f>
        <v/>
      </c>
      <c r="E103" s="26" t="str">
        <f aca="false">IF(A103="","",COUNTIF(Apparitions!$I$2:$I$5001,A103))</f>
        <v/>
      </c>
    </row>
    <row r="104" customFormat="false" ht="15" hidden="false" customHeight="false" outlineLevel="0" collapsed="false">
      <c r="A104" s="19"/>
      <c r="B104" s="19"/>
      <c r="C104" s="19"/>
      <c r="D104" s="26" t="str">
        <f aca="false">IF(A104="","",COUNTIF(Pubs!$C$2:$C$3001,A104))</f>
        <v/>
      </c>
      <c r="E104" s="26" t="str">
        <f aca="false">IF(A104="","",COUNTIF(Apparitions!$I$2:$I$5001,A104))</f>
        <v/>
      </c>
    </row>
    <row r="105" customFormat="false" ht="15" hidden="false" customHeight="false" outlineLevel="0" collapsed="false">
      <c r="A105" s="19"/>
      <c r="B105" s="19"/>
      <c r="C105" s="19"/>
      <c r="D105" s="26" t="str">
        <f aca="false">IF(A105="","",COUNTIF(Pubs!$C$2:$C$3001,A105))</f>
        <v/>
      </c>
      <c r="E105" s="26" t="str">
        <f aca="false">IF(A105="","",COUNTIF(Apparitions!$I$2:$I$5001,A105))</f>
        <v/>
      </c>
    </row>
    <row r="106" customFormat="false" ht="15" hidden="false" customHeight="false" outlineLevel="0" collapsed="false">
      <c r="A106" s="19"/>
      <c r="B106" s="19"/>
      <c r="C106" s="19"/>
      <c r="D106" s="26" t="str">
        <f aca="false">IF(A106="","",COUNTIF(Pubs!$C$2:$C$3001,A106))</f>
        <v/>
      </c>
      <c r="E106" s="26" t="str">
        <f aca="false">IF(A106="","",COUNTIF(Apparitions!$I$2:$I$5001,A106))</f>
        <v/>
      </c>
    </row>
    <row r="107" customFormat="false" ht="15" hidden="false" customHeight="false" outlineLevel="0" collapsed="false">
      <c r="A107" s="19"/>
      <c r="B107" s="19"/>
      <c r="C107" s="19"/>
      <c r="D107" s="26" t="str">
        <f aca="false">IF(A107="","",COUNTIF(Pubs!$C$2:$C$3001,A107))</f>
        <v/>
      </c>
      <c r="E107" s="26" t="str">
        <f aca="false">IF(A107="","",COUNTIF(Apparitions!$I$2:$I$5001,A107))</f>
        <v/>
      </c>
    </row>
    <row r="108" customFormat="false" ht="15" hidden="false" customHeight="false" outlineLevel="0" collapsed="false">
      <c r="A108" s="19"/>
      <c r="B108" s="19"/>
      <c r="C108" s="19"/>
      <c r="D108" s="26" t="str">
        <f aca="false">IF(A108="","",COUNTIF(Pubs!$C$2:$C$3001,A108))</f>
        <v/>
      </c>
      <c r="E108" s="26" t="str">
        <f aca="false">IF(A108="","",COUNTIF(Apparitions!$I$2:$I$5001,A108))</f>
        <v/>
      </c>
    </row>
    <row r="109" customFormat="false" ht="15" hidden="false" customHeight="false" outlineLevel="0" collapsed="false">
      <c r="A109" s="19"/>
      <c r="B109" s="19"/>
      <c r="C109" s="19"/>
      <c r="D109" s="26" t="str">
        <f aca="false">IF(A109="","",COUNTIF(Pubs!$C$2:$C$3001,A109))</f>
        <v/>
      </c>
      <c r="E109" s="26" t="str">
        <f aca="false">IF(A109="","",COUNTIF(Apparitions!$I$2:$I$5001,A109))</f>
        <v/>
      </c>
    </row>
    <row r="110" customFormat="false" ht="15" hidden="false" customHeight="false" outlineLevel="0" collapsed="false">
      <c r="A110" s="19"/>
      <c r="B110" s="19"/>
      <c r="C110" s="19"/>
      <c r="D110" s="26" t="str">
        <f aca="false">IF(A110="","",COUNTIF(Pubs!$C$2:$C$3001,A110))</f>
        <v/>
      </c>
      <c r="E110" s="26" t="str">
        <f aca="false">IF(A110="","",COUNTIF(Apparitions!$I$2:$I$5001,A110))</f>
        <v/>
      </c>
    </row>
    <row r="111" customFormat="false" ht="15" hidden="false" customHeight="false" outlineLevel="0" collapsed="false">
      <c r="A111" s="19"/>
      <c r="B111" s="19"/>
      <c r="C111" s="19"/>
      <c r="D111" s="26" t="str">
        <f aca="false">IF(A111="","",COUNTIF(Pubs!$C$2:$C$3001,A111))</f>
        <v/>
      </c>
      <c r="E111" s="26" t="str">
        <f aca="false">IF(A111="","",COUNTIF(Apparitions!$I$2:$I$5001,A111))</f>
        <v/>
      </c>
    </row>
    <row r="112" customFormat="false" ht="15" hidden="false" customHeight="false" outlineLevel="0" collapsed="false">
      <c r="A112" s="19"/>
      <c r="B112" s="19"/>
      <c r="C112" s="19"/>
      <c r="D112" s="26" t="str">
        <f aca="false">IF(A112="","",COUNTIF(Pubs!$C$2:$C$3001,A112))</f>
        <v/>
      </c>
      <c r="E112" s="26" t="str">
        <f aca="false">IF(A112="","",COUNTIF(Apparitions!$I$2:$I$5001,A112))</f>
        <v/>
      </c>
    </row>
    <row r="113" customFormat="false" ht="15" hidden="false" customHeight="false" outlineLevel="0" collapsed="false">
      <c r="A113" s="19"/>
      <c r="B113" s="19"/>
      <c r="C113" s="19"/>
      <c r="D113" s="26" t="str">
        <f aca="false">IF(A113="","",COUNTIF(Pubs!$C$2:$C$3001,A113))</f>
        <v/>
      </c>
      <c r="E113" s="26" t="str">
        <f aca="false">IF(A113="","",COUNTIF(Apparitions!$I$2:$I$5001,A113))</f>
        <v/>
      </c>
    </row>
    <row r="114" customFormat="false" ht="15" hidden="false" customHeight="false" outlineLevel="0" collapsed="false">
      <c r="A114" s="19"/>
      <c r="B114" s="19"/>
      <c r="C114" s="19"/>
      <c r="D114" s="26" t="str">
        <f aca="false">IF(A114="","",COUNTIF(Pubs!$C$2:$C$3001,A114))</f>
        <v/>
      </c>
      <c r="E114" s="26" t="str">
        <f aca="false">IF(A114="","",COUNTIF(Apparitions!$I$2:$I$5001,A114))</f>
        <v/>
      </c>
    </row>
    <row r="115" customFormat="false" ht="15" hidden="false" customHeight="false" outlineLevel="0" collapsed="false">
      <c r="A115" s="19"/>
      <c r="B115" s="19"/>
      <c r="C115" s="19"/>
      <c r="D115" s="26" t="str">
        <f aca="false">IF(A115="","",COUNTIF(Pubs!$C$2:$C$3001,A115))</f>
        <v/>
      </c>
      <c r="E115" s="26" t="str">
        <f aca="false">IF(A115="","",COUNTIF(Apparitions!$I$2:$I$5001,A115))</f>
        <v/>
      </c>
    </row>
    <row r="116" customFormat="false" ht="15" hidden="false" customHeight="false" outlineLevel="0" collapsed="false">
      <c r="A116" s="19"/>
      <c r="B116" s="19"/>
      <c r="C116" s="19"/>
      <c r="D116" s="26" t="str">
        <f aca="false">IF(A116="","",COUNTIF(Pubs!$C$2:$C$3001,A116))</f>
        <v/>
      </c>
      <c r="E116" s="26" t="str">
        <f aca="false">IF(A116="","",COUNTIF(Apparitions!$I$2:$I$5001,A116))</f>
        <v/>
      </c>
    </row>
    <row r="117" customFormat="false" ht="15" hidden="false" customHeight="false" outlineLevel="0" collapsed="false">
      <c r="A117" s="19"/>
      <c r="B117" s="19"/>
      <c r="C117" s="19"/>
      <c r="D117" s="26" t="str">
        <f aca="false">IF(A117="","",COUNTIF(Pubs!$C$2:$C$3001,A117))</f>
        <v/>
      </c>
      <c r="E117" s="26" t="str">
        <f aca="false">IF(A117="","",COUNTIF(Apparitions!$I$2:$I$5001,A117))</f>
        <v/>
      </c>
    </row>
    <row r="118" customFormat="false" ht="15" hidden="false" customHeight="false" outlineLevel="0" collapsed="false">
      <c r="A118" s="19"/>
      <c r="B118" s="19"/>
      <c r="C118" s="19"/>
      <c r="D118" s="26" t="str">
        <f aca="false">IF(A118="","",COUNTIF(Pubs!$C$2:$C$3001,A118))</f>
        <v/>
      </c>
      <c r="E118" s="26" t="str">
        <f aca="false">IF(A118="","",COUNTIF(Apparitions!$I$2:$I$5001,A118))</f>
        <v/>
      </c>
    </row>
    <row r="119" customFormat="false" ht="15" hidden="false" customHeight="false" outlineLevel="0" collapsed="false">
      <c r="A119" s="19"/>
      <c r="B119" s="19"/>
      <c r="C119" s="19"/>
      <c r="D119" s="26" t="str">
        <f aca="false">IF(A119="","",COUNTIF(Pubs!$C$2:$C$3001,A119))</f>
        <v/>
      </c>
      <c r="E119" s="26" t="str">
        <f aca="false">IF(A119="","",COUNTIF(Apparitions!$I$2:$I$5001,A119))</f>
        <v/>
      </c>
    </row>
    <row r="120" customFormat="false" ht="15" hidden="false" customHeight="false" outlineLevel="0" collapsed="false">
      <c r="A120" s="19"/>
      <c r="B120" s="19"/>
      <c r="C120" s="19"/>
      <c r="D120" s="26" t="str">
        <f aca="false">IF(A120="","",COUNTIF(Pubs!$C$2:$C$3001,A120))</f>
        <v/>
      </c>
      <c r="E120" s="26" t="str">
        <f aca="false">IF(A120="","",COUNTIF(Apparitions!$I$2:$I$5001,A120))</f>
        <v/>
      </c>
    </row>
    <row r="121" customFormat="false" ht="15" hidden="false" customHeight="false" outlineLevel="0" collapsed="false">
      <c r="A121" s="19"/>
      <c r="B121" s="19"/>
      <c r="C121" s="19"/>
      <c r="D121" s="26" t="str">
        <f aca="false">IF(A121="","",COUNTIF(Pubs!$C$2:$C$3001,A121))</f>
        <v/>
      </c>
      <c r="E121" s="26" t="str">
        <f aca="false">IF(A121="","",COUNTIF(Apparitions!$I$2:$I$5001,A121))</f>
        <v/>
      </c>
    </row>
    <row r="122" customFormat="false" ht="15" hidden="false" customHeight="false" outlineLevel="0" collapsed="false">
      <c r="A122" s="19"/>
      <c r="B122" s="19"/>
      <c r="C122" s="19"/>
      <c r="D122" s="26" t="str">
        <f aca="false">IF(A122="","",COUNTIF(Pubs!$C$2:$C$3001,A122))</f>
        <v/>
      </c>
      <c r="E122" s="26" t="str">
        <f aca="false">IF(A122="","",COUNTIF(Apparitions!$I$2:$I$5001,A122))</f>
        <v/>
      </c>
    </row>
    <row r="123" customFormat="false" ht="15" hidden="false" customHeight="false" outlineLevel="0" collapsed="false">
      <c r="A123" s="19"/>
      <c r="B123" s="19"/>
      <c r="C123" s="19"/>
      <c r="D123" s="26" t="str">
        <f aca="false">IF(A123="","",COUNTIF(Pubs!$C$2:$C$3001,A123))</f>
        <v/>
      </c>
      <c r="E123" s="26" t="str">
        <f aca="false">IF(A123="","",COUNTIF(Apparitions!$I$2:$I$5001,A123))</f>
        <v/>
      </c>
    </row>
    <row r="124" customFormat="false" ht="15" hidden="false" customHeight="false" outlineLevel="0" collapsed="false">
      <c r="A124" s="19"/>
      <c r="B124" s="19"/>
      <c r="C124" s="19"/>
      <c r="D124" s="26" t="str">
        <f aca="false">IF(A124="","",COUNTIF(Pubs!$C$2:$C$3001,A124))</f>
        <v/>
      </c>
      <c r="E124" s="26" t="str">
        <f aca="false">IF(A124="","",COUNTIF(Apparitions!$I$2:$I$5001,A124))</f>
        <v/>
      </c>
    </row>
    <row r="125" customFormat="false" ht="15" hidden="false" customHeight="false" outlineLevel="0" collapsed="false">
      <c r="A125" s="19"/>
      <c r="B125" s="19"/>
      <c r="C125" s="19"/>
      <c r="D125" s="26" t="str">
        <f aca="false">IF(A125="","",COUNTIF(Pubs!$C$2:$C$3001,A125))</f>
        <v/>
      </c>
      <c r="E125" s="26" t="str">
        <f aca="false">IF(A125="","",COUNTIF(Apparitions!$I$2:$I$5001,A125))</f>
        <v/>
      </c>
    </row>
    <row r="126" customFormat="false" ht="15" hidden="false" customHeight="false" outlineLevel="0" collapsed="false">
      <c r="A126" s="19"/>
      <c r="B126" s="19"/>
      <c r="C126" s="19"/>
      <c r="D126" s="26" t="str">
        <f aca="false">IF(A126="","",COUNTIF(Pubs!$C$2:$C$3001,A126))</f>
        <v/>
      </c>
      <c r="E126" s="26" t="str">
        <f aca="false">IF(A126="","",COUNTIF(Apparitions!$I$2:$I$5001,A126))</f>
        <v/>
      </c>
    </row>
    <row r="127" customFormat="false" ht="15" hidden="false" customHeight="false" outlineLevel="0" collapsed="false">
      <c r="A127" s="19"/>
      <c r="B127" s="19"/>
      <c r="C127" s="19"/>
      <c r="D127" s="26" t="str">
        <f aca="false">IF(A127="","",COUNTIF(Pubs!$C$2:$C$3001,A127))</f>
        <v/>
      </c>
      <c r="E127" s="26" t="str">
        <f aca="false">IF(A127="","",COUNTIF(Apparitions!$I$2:$I$5001,A127))</f>
        <v/>
      </c>
    </row>
    <row r="128" customFormat="false" ht="15" hidden="false" customHeight="false" outlineLevel="0" collapsed="false">
      <c r="A128" s="19"/>
      <c r="B128" s="19"/>
      <c r="C128" s="19"/>
      <c r="D128" s="26" t="str">
        <f aca="false">IF(A128="","",COUNTIF(Pubs!$C$2:$C$3001,A128))</f>
        <v/>
      </c>
      <c r="E128" s="26" t="str">
        <f aca="false">IF(A128="","",COUNTIF(Apparitions!$I$2:$I$5001,A128))</f>
        <v/>
      </c>
    </row>
    <row r="129" customFormat="false" ht="15" hidden="false" customHeight="false" outlineLevel="0" collapsed="false">
      <c r="A129" s="19"/>
      <c r="B129" s="19"/>
      <c r="C129" s="19"/>
      <c r="D129" s="26" t="str">
        <f aca="false">IF(A129="","",COUNTIF(Pubs!$C$2:$C$3001,A129))</f>
        <v/>
      </c>
      <c r="E129" s="26" t="str">
        <f aca="false">IF(A129="","",COUNTIF(Apparitions!$I$2:$I$5001,A129))</f>
        <v/>
      </c>
    </row>
    <row r="130" customFormat="false" ht="15" hidden="false" customHeight="false" outlineLevel="0" collapsed="false">
      <c r="A130" s="19"/>
      <c r="B130" s="19"/>
      <c r="C130" s="19"/>
      <c r="D130" s="26" t="str">
        <f aca="false">IF(A130="","",COUNTIF(Pubs!$C$2:$C$3001,A130))</f>
        <v/>
      </c>
      <c r="E130" s="26" t="str">
        <f aca="false">IF(A130="","",COUNTIF(Apparitions!$I$2:$I$5001,A130))</f>
        <v/>
      </c>
    </row>
    <row r="131" customFormat="false" ht="15" hidden="false" customHeight="false" outlineLevel="0" collapsed="false">
      <c r="A131" s="19"/>
      <c r="B131" s="19"/>
      <c r="C131" s="19"/>
      <c r="D131" s="26" t="str">
        <f aca="false">IF(A131="","",COUNTIF(Pubs!$C$2:$C$3001,A131))</f>
        <v/>
      </c>
      <c r="E131" s="26" t="str">
        <f aca="false">IF(A131="","",COUNTIF(Apparitions!$I$2:$I$5001,A131))</f>
        <v/>
      </c>
    </row>
    <row r="132" customFormat="false" ht="15" hidden="false" customHeight="false" outlineLevel="0" collapsed="false">
      <c r="A132" s="19"/>
      <c r="B132" s="19"/>
      <c r="C132" s="19"/>
      <c r="D132" s="26" t="str">
        <f aca="false">IF(A132="","",COUNTIF(Pubs!$C$2:$C$3001,A132))</f>
        <v/>
      </c>
      <c r="E132" s="26" t="str">
        <f aca="false">IF(A132="","",COUNTIF(Apparitions!$I$2:$I$5001,A132))</f>
        <v/>
      </c>
    </row>
    <row r="133" customFormat="false" ht="15" hidden="false" customHeight="false" outlineLevel="0" collapsed="false">
      <c r="A133" s="19"/>
      <c r="B133" s="19"/>
      <c r="C133" s="19"/>
      <c r="D133" s="26" t="str">
        <f aca="false">IF(A133="","",COUNTIF(Pubs!$C$2:$C$3001,A133))</f>
        <v/>
      </c>
      <c r="E133" s="26" t="str">
        <f aca="false">IF(A133="","",COUNTIF(Apparitions!$I$2:$I$5001,A133))</f>
        <v/>
      </c>
    </row>
    <row r="134" customFormat="false" ht="15" hidden="false" customHeight="false" outlineLevel="0" collapsed="false">
      <c r="A134" s="19"/>
      <c r="B134" s="19"/>
      <c r="C134" s="19"/>
      <c r="D134" s="26" t="str">
        <f aca="false">IF(A134="","",COUNTIF(Pubs!$C$2:$C$3001,A134))</f>
        <v/>
      </c>
      <c r="E134" s="26" t="str">
        <f aca="false">IF(A134="","",COUNTIF(Apparitions!$I$2:$I$5001,A134))</f>
        <v/>
      </c>
    </row>
    <row r="135" customFormat="false" ht="15" hidden="false" customHeight="false" outlineLevel="0" collapsed="false">
      <c r="A135" s="19"/>
      <c r="B135" s="19"/>
      <c r="C135" s="19"/>
      <c r="D135" s="26" t="str">
        <f aca="false">IF(A135="","",COUNTIF(Pubs!$C$2:$C$3001,A135))</f>
        <v/>
      </c>
      <c r="E135" s="26" t="str">
        <f aca="false">IF(A135="","",COUNTIF(Apparitions!$I$2:$I$5001,A135))</f>
        <v/>
      </c>
    </row>
    <row r="136" customFormat="false" ht="15" hidden="false" customHeight="false" outlineLevel="0" collapsed="false">
      <c r="A136" s="19"/>
      <c r="B136" s="19"/>
      <c r="C136" s="19"/>
      <c r="D136" s="26" t="str">
        <f aca="false">IF(A136="","",COUNTIF(Pubs!$C$2:$C$3001,A136))</f>
        <v/>
      </c>
      <c r="E136" s="26" t="str">
        <f aca="false">IF(A136="","",COUNTIF(Apparitions!$I$2:$I$5001,A136))</f>
        <v/>
      </c>
    </row>
    <row r="137" customFormat="false" ht="15" hidden="false" customHeight="false" outlineLevel="0" collapsed="false">
      <c r="A137" s="19"/>
      <c r="B137" s="19"/>
      <c r="C137" s="19"/>
      <c r="D137" s="26" t="str">
        <f aca="false">IF(A137="","",COUNTIF(Pubs!$C$2:$C$3001,A137))</f>
        <v/>
      </c>
      <c r="E137" s="26" t="str">
        <f aca="false">IF(A137="","",COUNTIF(Apparitions!$I$2:$I$5001,A137))</f>
        <v/>
      </c>
    </row>
    <row r="138" customFormat="false" ht="15" hidden="false" customHeight="false" outlineLevel="0" collapsed="false">
      <c r="A138" s="19"/>
      <c r="B138" s="19"/>
      <c r="C138" s="19"/>
      <c r="D138" s="26" t="str">
        <f aca="false">IF(A138="","",COUNTIF(Pubs!$C$2:$C$3001,A138))</f>
        <v/>
      </c>
      <c r="E138" s="26" t="str">
        <f aca="false">IF(A138="","",COUNTIF(Apparitions!$I$2:$I$5001,A138))</f>
        <v/>
      </c>
    </row>
    <row r="139" customFormat="false" ht="15" hidden="false" customHeight="false" outlineLevel="0" collapsed="false">
      <c r="A139" s="19"/>
      <c r="B139" s="19"/>
      <c r="C139" s="19"/>
      <c r="D139" s="26" t="str">
        <f aca="false">IF(A139="","",COUNTIF(Pubs!$C$2:$C$3001,A139))</f>
        <v/>
      </c>
      <c r="E139" s="26" t="str">
        <f aca="false">IF(A139="","",COUNTIF(Apparitions!$I$2:$I$5001,A139))</f>
        <v/>
      </c>
    </row>
    <row r="140" customFormat="false" ht="15" hidden="false" customHeight="false" outlineLevel="0" collapsed="false">
      <c r="A140" s="19"/>
      <c r="B140" s="19"/>
      <c r="C140" s="19"/>
      <c r="D140" s="26" t="str">
        <f aca="false">IF(A140="","",COUNTIF(Pubs!$C$2:$C$3001,A140))</f>
        <v/>
      </c>
      <c r="E140" s="26" t="str">
        <f aca="false">IF(A140="","",COUNTIF(Apparitions!$I$2:$I$5001,A140))</f>
        <v/>
      </c>
    </row>
    <row r="141" customFormat="false" ht="15" hidden="false" customHeight="false" outlineLevel="0" collapsed="false">
      <c r="A141" s="19"/>
      <c r="B141" s="19"/>
      <c r="C141" s="19"/>
      <c r="D141" s="26" t="str">
        <f aca="false">IF(A141="","",COUNTIF(Pubs!$C$2:$C$3001,A141))</f>
        <v/>
      </c>
      <c r="E141" s="26" t="str">
        <f aca="false">IF(A141="","",COUNTIF(Apparitions!$I$2:$I$5001,A141))</f>
        <v/>
      </c>
    </row>
    <row r="142" customFormat="false" ht="15" hidden="false" customHeight="false" outlineLevel="0" collapsed="false">
      <c r="A142" s="19"/>
      <c r="B142" s="19"/>
      <c r="C142" s="19"/>
      <c r="D142" s="26" t="str">
        <f aca="false">IF(A142="","",COUNTIF(Pubs!$C$2:$C$3001,A142))</f>
        <v/>
      </c>
      <c r="E142" s="26" t="str">
        <f aca="false">IF(A142="","",COUNTIF(Apparitions!$I$2:$I$5001,A142))</f>
        <v/>
      </c>
    </row>
    <row r="143" customFormat="false" ht="15" hidden="false" customHeight="false" outlineLevel="0" collapsed="false">
      <c r="A143" s="19"/>
      <c r="B143" s="19"/>
      <c r="C143" s="19"/>
      <c r="D143" s="26" t="str">
        <f aca="false">IF(A143="","",COUNTIF(Pubs!$C$2:$C$3001,A143))</f>
        <v/>
      </c>
      <c r="E143" s="26" t="str">
        <f aca="false">IF(A143="","",COUNTIF(Apparitions!$I$2:$I$5001,A143))</f>
        <v/>
      </c>
    </row>
    <row r="144" customFormat="false" ht="15" hidden="false" customHeight="false" outlineLevel="0" collapsed="false">
      <c r="A144" s="19"/>
      <c r="B144" s="19"/>
      <c r="C144" s="19"/>
      <c r="D144" s="26" t="str">
        <f aca="false">IF(A144="","",COUNTIF(Pubs!$C$2:$C$3001,A144))</f>
        <v/>
      </c>
      <c r="E144" s="26" t="str">
        <f aca="false">IF(A144="","",COUNTIF(Apparitions!$I$2:$I$5001,A144))</f>
        <v/>
      </c>
    </row>
    <row r="145" customFormat="false" ht="15" hidden="false" customHeight="false" outlineLevel="0" collapsed="false">
      <c r="A145" s="19"/>
      <c r="B145" s="19"/>
      <c r="C145" s="19"/>
      <c r="D145" s="26" t="str">
        <f aca="false">IF(A145="","",COUNTIF(Pubs!$C$2:$C$3001,A145))</f>
        <v/>
      </c>
      <c r="E145" s="26" t="str">
        <f aca="false">IF(A145="","",COUNTIF(Apparitions!$I$2:$I$5001,A145))</f>
        <v/>
      </c>
    </row>
    <row r="146" customFormat="false" ht="15" hidden="false" customHeight="false" outlineLevel="0" collapsed="false">
      <c r="A146" s="19"/>
      <c r="B146" s="19"/>
      <c r="C146" s="19"/>
      <c r="D146" s="26" t="str">
        <f aca="false">IF(A146="","",COUNTIF(Pubs!$C$2:$C$3001,A146))</f>
        <v/>
      </c>
      <c r="E146" s="26" t="str">
        <f aca="false">IF(A146="","",COUNTIF(Apparitions!$I$2:$I$5001,A146))</f>
        <v/>
      </c>
    </row>
    <row r="147" customFormat="false" ht="15" hidden="false" customHeight="false" outlineLevel="0" collapsed="false">
      <c r="A147" s="19"/>
      <c r="B147" s="19"/>
      <c r="C147" s="19"/>
      <c r="D147" s="26" t="str">
        <f aca="false">IF(A147="","",COUNTIF(Pubs!$C$2:$C$3001,A147))</f>
        <v/>
      </c>
      <c r="E147" s="26" t="str">
        <f aca="false">IF(A147="","",COUNTIF(Apparitions!$I$2:$I$5001,A147))</f>
        <v/>
      </c>
    </row>
    <row r="148" customFormat="false" ht="15" hidden="false" customHeight="false" outlineLevel="0" collapsed="false">
      <c r="A148" s="19"/>
      <c r="B148" s="19"/>
      <c r="C148" s="19"/>
      <c r="D148" s="26" t="str">
        <f aca="false">IF(A148="","",COUNTIF(Pubs!$C$2:$C$3001,A148))</f>
        <v/>
      </c>
      <c r="E148" s="26" t="str">
        <f aca="false">IF(A148="","",COUNTIF(Apparitions!$I$2:$I$5001,A148))</f>
        <v/>
      </c>
    </row>
    <row r="149" customFormat="false" ht="15" hidden="false" customHeight="false" outlineLevel="0" collapsed="false">
      <c r="A149" s="19"/>
      <c r="B149" s="19"/>
      <c r="C149" s="19"/>
      <c r="D149" s="26" t="str">
        <f aca="false">IF(A149="","",COUNTIF(Pubs!$C$2:$C$3001,A149))</f>
        <v/>
      </c>
      <c r="E149" s="26" t="str">
        <f aca="false">IF(A149="","",COUNTIF(Apparitions!$I$2:$I$5001,A149))</f>
        <v/>
      </c>
    </row>
    <row r="150" customFormat="false" ht="15" hidden="false" customHeight="false" outlineLevel="0" collapsed="false">
      <c r="A150" s="19"/>
      <c r="B150" s="19"/>
      <c r="C150" s="19"/>
      <c r="D150" s="26" t="str">
        <f aca="false">IF(A150="","",COUNTIF(Pubs!$C$2:$C$3001,A150))</f>
        <v/>
      </c>
      <c r="E150" s="26" t="str">
        <f aca="false">IF(A150="","",COUNTIF(Apparitions!$I$2:$I$5001,A150))</f>
        <v/>
      </c>
    </row>
    <row r="151" customFormat="false" ht="15" hidden="false" customHeight="false" outlineLevel="0" collapsed="false">
      <c r="A151" s="19"/>
      <c r="B151" s="19"/>
      <c r="C151" s="19"/>
      <c r="D151" s="26" t="str">
        <f aca="false">IF(A151="","",COUNTIF(Pubs!$C$2:$C$3001,A151))</f>
        <v/>
      </c>
      <c r="E151" s="26" t="str">
        <f aca="false">IF(A151="","",COUNTIF(Apparitions!$I$2:$I$5001,A151))</f>
        <v/>
      </c>
    </row>
    <row r="152" customFormat="false" ht="15" hidden="false" customHeight="false" outlineLevel="0" collapsed="false">
      <c r="A152" s="19"/>
      <c r="B152" s="19"/>
      <c r="C152" s="19"/>
      <c r="D152" s="26" t="str">
        <f aca="false">IF(A152="","",COUNTIF(Pubs!$C$2:$C$3001,A152))</f>
        <v/>
      </c>
      <c r="E152" s="26" t="str">
        <f aca="false">IF(A152="","",COUNTIF(Apparitions!$I$2:$I$5001,A152))</f>
        <v/>
      </c>
    </row>
    <row r="153" customFormat="false" ht="15" hidden="false" customHeight="false" outlineLevel="0" collapsed="false">
      <c r="A153" s="19"/>
      <c r="B153" s="19"/>
      <c r="C153" s="19"/>
      <c r="D153" s="26" t="str">
        <f aca="false">IF(A153="","",COUNTIF(Pubs!$C$2:$C$3001,A153))</f>
        <v/>
      </c>
      <c r="E153" s="26" t="str">
        <f aca="false">IF(A153="","",COUNTIF(Apparitions!$I$2:$I$5001,A153))</f>
        <v/>
      </c>
    </row>
    <row r="154" customFormat="false" ht="15" hidden="false" customHeight="false" outlineLevel="0" collapsed="false">
      <c r="A154" s="19"/>
      <c r="B154" s="19"/>
      <c r="C154" s="19"/>
      <c r="D154" s="26" t="str">
        <f aca="false">IF(A154="","",COUNTIF(Pubs!$C$2:$C$3001,A154))</f>
        <v/>
      </c>
      <c r="E154" s="26" t="str">
        <f aca="false">IF(A154="","",COUNTIF(Apparitions!$I$2:$I$5001,A154))</f>
        <v/>
      </c>
    </row>
    <row r="155" customFormat="false" ht="15" hidden="false" customHeight="false" outlineLevel="0" collapsed="false">
      <c r="A155" s="19"/>
      <c r="B155" s="19"/>
      <c r="C155" s="19"/>
      <c r="D155" s="26" t="str">
        <f aca="false">IF(A155="","",COUNTIF(Pubs!$C$2:$C$3001,A155))</f>
        <v/>
      </c>
      <c r="E155" s="26" t="str">
        <f aca="false">IF(A155="","",COUNTIF(Apparitions!$I$2:$I$5001,A155))</f>
        <v/>
      </c>
    </row>
    <row r="156" customFormat="false" ht="15" hidden="false" customHeight="false" outlineLevel="0" collapsed="false">
      <c r="A156" s="19"/>
      <c r="B156" s="19"/>
      <c r="C156" s="19"/>
      <c r="D156" s="26" t="str">
        <f aca="false">IF(A156="","",COUNTIF(Pubs!$C$2:$C$3001,A156))</f>
        <v/>
      </c>
      <c r="E156" s="26" t="str">
        <f aca="false">IF(A156="","",COUNTIF(Apparitions!$I$2:$I$5001,A156))</f>
        <v/>
      </c>
    </row>
    <row r="157" customFormat="false" ht="15" hidden="false" customHeight="false" outlineLevel="0" collapsed="false">
      <c r="A157" s="19"/>
      <c r="B157" s="19"/>
      <c r="C157" s="19"/>
      <c r="D157" s="26" t="str">
        <f aca="false">IF(A157="","",COUNTIF(Pubs!$C$2:$C$3001,A157))</f>
        <v/>
      </c>
      <c r="E157" s="26" t="str">
        <f aca="false">IF(A157="","",COUNTIF(Apparitions!$I$2:$I$5001,A157))</f>
        <v/>
      </c>
    </row>
    <row r="158" customFormat="false" ht="15" hidden="false" customHeight="false" outlineLevel="0" collapsed="false">
      <c r="A158" s="19"/>
      <c r="B158" s="19"/>
      <c r="C158" s="19"/>
      <c r="D158" s="26" t="str">
        <f aca="false">IF(A158="","",COUNTIF(Pubs!$C$2:$C$3001,A158))</f>
        <v/>
      </c>
      <c r="E158" s="26" t="str">
        <f aca="false">IF(A158="","",COUNTIF(Apparitions!$I$2:$I$5001,A158))</f>
        <v/>
      </c>
    </row>
    <row r="159" customFormat="false" ht="15" hidden="false" customHeight="false" outlineLevel="0" collapsed="false">
      <c r="A159" s="19"/>
      <c r="B159" s="19"/>
      <c r="C159" s="19"/>
      <c r="D159" s="26" t="str">
        <f aca="false">IF(A159="","",COUNTIF(Pubs!$C$2:$C$3001,A159))</f>
        <v/>
      </c>
      <c r="E159" s="26" t="str">
        <f aca="false">IF(A159="","",COUNTIF(Apparitions!$I$2:$I$5001,A159))</f>
        <v/>
      </c>
    </row>
    <row r="160" customFormat="false" ht="15" hidden="false" customHeight="false" outlineLevel="0" collapsed="false">
      <c r="A160" s="19"/>
      <c r="B160" s="19"/>
      <c r="C160" s="19"/>
      <c r="D160" s="26" t="str">
        <f aca="false">IF(A160="","",COUNTIF(Pubs!$C$2:$C$3001,A160))</f>
        <v/>
      </c>
      <c r="E160" s="26" t="str">
        <f aca="false">IF(A160="","",COUNTIF(Apparitions!$I$2:$I$5001,A160))</f>
        <v/>
      </c>
    </row>
    <row r="161" customFormat="false" ht="15" hidden="false" customHeight="false" outlineLevel="0" collapsed="false">
      <c r="A161" s="19"/>
      <c r="B161" s="19"/>
      <c r="C161" s="19"/>
      <c r="D161" s="26" t="str">
        <f aca="false">IF(A161="","",COUNTIF(Pubs!$C$2:$C$3001,A161))</f>
        <v/>
      </c>
      <c r="E161" s="26" t="str">
        <f aca="false">IF(A161="","",COUNTIF(Apparitions!$I$2:$I$5001,A161))</f>
        <v/>
      </c>
    </row>
    <row r="162" customFormat="false" ht="15" hidden="false" customHeight="false" outlineLevel="0" collapsed="false">
      <c r="A162" s="19"/>
      <c r="B162" s="19"/>
      <c r="C162" s="19"/>
      <c r="D162" s="26" t="str">
        <f aca="false">IF(A162="","",COUNTIF(Pubs!$C$2:$C$3001,A162))</f>
        <v/>
      </c>
      <c r="E162" s="26" t="str">
        <f aca="false">IF(A162="","",COUNTIF(Apparitions!$I$2:$I$5001,A162))</f>
        <v/>
      </c>
    </row>
    <row r="163" customFormat="false" ht="15" hidden="false" customHeight="false" outlineLevel="0" collapsed="false">
      <c r="A163" s="19"/>
      <c r="B163" s="19"/>
      <c r="C163" s="19"/>
      <c r="D163" s="26" t="str">
        <f aca="false">IF(A163="","",COUNTIF(Pubs!$C$2:$C$3001,A163))</f>
        <v/>
      </c>
      <c r="E163" s="26" t="str">
        <f aca="false">IF(A163="","",COUNTIF(Apparitions!$I$2:$I$5001,A163))</f>
        <v/>
      </c>
    </row>
    <row r="164" customFormat="false" ht="15" hidden="false" customHeight="false" outlineLevel="0" collapsed="false">
      <c r="A164" s="19"/>
      <c r="B164" s="19"/>
      <c r="C164" s="19"/>
      <c r="D164" s="26" t="str">
        <f aca="false">IF(A164="","",COUNTIF(Pubs!$C$2:$C$3001,A164))</f>
        <v/>
      </c>
      <c r="E164" s="26" t="str">
        <f aca="false">IF(A164="","",COUNTIF(Apparitions!$I$2:$I$5001,A164))</f>
        <v/>
      </c>
    </row>
    <row r="165" customFormat="false" ht="15" hidden="false" customHeight="false" outlineLevel="0" collapsed="false">
      <c r="A165" s="19"/>
      <c r="B165" s="19"/>
      <c r="C165" s="19"/>
      <c r="D165" s="26" t="str">
        <f aca="false">IF(A165="","",COUNTIF(Pubs!$C$2:$C$3001,A165))</f>
        <v/>
      </c>
      <c r="E165" s="26" t="str">
        <f aca="false">IF(A165="","",COUNTIF(Apparitions!$I$2:$I$5001,A165))</f>
        <v/>
      </c>
    </row>
    <row r="166" customFormat="false" ht="15" hidden="false" customHeight="false" outlineLevel="0" collapsed="false">
      <c r="A166" s="19"/>
      <c r="B166" s="19"/>
      <c r="C166" s="19"/>
      <c r="D166" s="26" t="str">
        <f aca="false">IF(A166="","",COUNTIF(Pubs!$C$2:$C$3001,A166))</f>
        <v/>
      </c>
      <c r="E166" s="26" t="str">
        <f aca="false">IF(A166="","",COUNTIF(Apparitions!$I$2:$I$5001,A166))</f>
        <v/>
      </c>
    </row>
    <row r="167" customFormat="false" ht="15" hidden="false" customHeight="false" outlineLevel="0" collapsed="false">
      <c r="A167" s="19"/>
      <c r="B167" s="19"/>
      <c r="C167" s="19"/>
      <c r="D167" s="26" t="str">
        <f aca="false">IF(A167="","",COUNTIF(Pubs!$C$2:$C$3001,A167))</f>
        <v/>
      </c>
      <c r="E167" s="26" t="str">
        <f aca="false">IF(A167="","",COUNTIF(Apparitions!$I$2:$I$5001,A167))</f>
        <v/>
      </c>
    </row>
    <row r="168" customFormat="false" ht="15" hidden="false" customHeight="false" outlineLevel="0" collapsed="false">
      <c r="A168" s="19"/>
      <c r="B168" s="19"/>
      <c r="C168" s="19"/>
      <c r="D168" s="26" t="str">
        <f aca="false">IF(A168="","",COUNTIF(Pubs!$C$2:$C$3001,A168))</f>
        <v/>
      </c>
      <c r="E168" s="26" t="str">
        <f aca="false">IF(A168="","",COUNTIF(Apparitions!$I$2:$I$5001,A168))</f>
        <v/>
      </c>
    </row>
    <row r="169" customFormat="false" ht="15" hidden="false" customHeight="false" outlineLevel="0" collapsed="false">
      <c r="A169" s="19"/>
      <c r="B169" s="19"/>
      <c r="C169" s="19"/>
      <c r="D169" s="26" t="str">
        <f aca="false">IF(A169="","",COUNTIF(Pubs!$C$2:$C$3001,A169))</f>
        <v/>
      </c>
      <c r="E169" s="26" t="str">
        <f aca="false">IF(A169="","",COUNTIF(Apparitions!$I$2:$I$5001,A169))</f>
        <v/>
      </c>
    </row>
    <row r="170" customFormat="false" ht="15" hidden="false" customHeight="false" outlineLevel="0" collapsed="false">
      <c r="A170" s="19"/>
      <c r="B170" s="19"/>
      <c r="C170" s="19"/>
      <c r="D170" s="26" t="str">
        <f aca="false">IF(A170="","",COUNTIF(Pubs!$C$2:$C$3001,A170))</f>
        <v/>
      </c>
      <c r="E170" s="26" t="str">
        <f aca="false">IF(A170="","",COUNTIF(Apparitions!$I$2:$I$5001,A170))</f>
        <v/>
      </c>
    </row>
    <row r="171" customFormat="false" ht="15" hidden="false" customHeight="false" outlineLevel="0" collapsed="false">
      <c r="A171" s="19"/>
      <c r="B171" s="19"/>
      <c r="C171" s="19"/>
      <c r="D171" s="26" t="str">
        <f aca="false">IF(A171="","",COUNTIF(Pubs!$C$2:$C$3001,A171))</f>
        <v/>
      </c>
      <c r="E171" s="26" t="str">
        <f aca="false">IF(A171="","",COUNTIF(Apparitions!$I$2:$I$5001,A171))</f>
        <v/>
      </c>
    </row>
    <row r="172" customFormat="false" ht="15" hidden="false" customHeight="false" outlineLevel="0" collapsed="false">
      <c r="A172" s="19"/>
      <c r="B172" s="19"/>
      <c r="C172" s="19"/>
      <c r="D172" s="26" t="str">
        <f aca="false">IF(A172="","",COUNTIF(Pubs!$C$2:$C$3001,A172))</f>
        <v/>
      </c>
      <c r="E172" s="26" t="str">
        <f aca="false">IF(A172="","",COUNTIF(Apparitions!$I$2:$I$5001,A172))</f>
        <v/>
      </c>
    </row>
    <row r="173" customFormat="false" ht="15" hidden="false" customHeight="false" outlineLevel="0" collapsed="false">
      <c r="A173" s="19"/>
      <c r="B173" s="19"/>
      <c r="C173" s="19"/>
      <c r="D173" s="26" t="str">
        <f aca="false">IF(A173="","",COUNTIF(Pubs!$C$2:$C$3001,A173))</f>
        <v/>
      </c>
      <c r="E173" s="26" t="str">
        <f aca="false">IF(A173="","",COUNTIF(Apparitions!$I$2:$I$5001,A173))</f>
        <v/>
      </c>
    </row>
    <row r="174" customFormat="false" ht="15" hidden="false" customHeight="false" outlineLevel="0" collapsed="false">
      <c r="A174" s="19"/>
      <c r="B174" s="19"/>
      <c r="C174" s="19"/>
      <c r="D174" s="26" t="str">
        <f aca="false">IF(A174="","",COUNTIF(Pubs!$C$2:$C$3001,A174))</f>
        <v/>
      </c>
      <c r="E174" s="26" t="str">
        <f aca="false">IF(A174="","",COUNTIF(Apparitions!$I$2:$I$5001,A174))</f>
        <v/>
      </c>
    </row>
    <row r="175" customFormat="false" ht="15" hidden="false" customHeight="false" outlineLevel="0" collapsed="false">
      <c r="A175" s="19"/>
      <c r="B175" s="19"/>
      <c r="C175" s="19"/>
      <c r="D175" s="26" t="str">
        <f aca="false">IF(A175="","",COUNTIF(Pubs!$C$2:$C$3001,A175))</f>
        <v/>
      </c>
      <c r="E175" s="26" t="str">
        <f aca="false">IF(A175="","",COUNTIF(Apparitions!$I$2:$I$5001,A175))</f>
        <v/>
      </c>
    </row>
    <row r="176" customFormat="false" ht="15" hidden="false" customHeight="false" outlineLevel="0" collapsed="false">
      <c r="A176" s="19"/>
      <c r="B176" s="19"/>
      <c r="C176" s="19"/>
      <c r="D176" s="26" t="str">
        <f aca="false">IF(A176="","",COUNTIF(Pubs!$C$2:$C$3001,A176))</f>
        <v/>
      </c>
      <c r="E176" s="26" t="str">
        <f aca="false">IF(A176="","",COUNTIF(Apparitions!$I$2:$I$5001,A176))</f>
        <v/>
      </c>
    </row>
    <row r="177" customFormat="false" ht="15" hidden="false" customHeight="false" outlineLevel="0" collapsed="false">
      <c r="A177" s="19"/>
      <c r="B177" s="19"/>
      <c r="C177" s="19"/>
      <c r="D177" s="26" t="str">
        <f aca="false">IF(A177="","",COUNTIF(Pubs!$C$2:$C$3001,A177))</f>
        <v/>
      </c>
      <c r="E177" s="26" t="str">
        <f aca="false">IF(A177="","",COUNTIF(Apparitions!$I$2:$I$5001,A177))</f>
        <v/>
      </c>
    </row>
    <row r="178" customFormat="false" ht="15" hidden="false" customHeight="false" outlineLevel="0" collapsed="false">
      <c r="A178" s="19"/>
      <c r="B178" s="19"/>
      <c r="C178" s="19"/>
      <c r="D178" s="26" t="str">
        <f aca="false">IF(A178="","",COUNTIF(Pubs!$C$2:$C$3001,A178))</f>
        <v/>
      </c>
      <c r="E178" s="26" t="str">
        <f aca="false">IF(A178="","",COUNTIF(Apparitions!$I$2:$I$5001,A178))</f>
        <v/>
      </c>
    </row>
    <row r="179" customFormat="false" ht="15" hidden="false" customHeight="false" outlineLevel="0" collapsed="false">
      <c r="A179" s="19"/>
      <c r="B179" s="19"/>
      <c r="C179" s="19"/>
      <c r="D179" s="26" t="str">
        <f aca="false">IF(A179="","",COUNTIF(Pubs!$C$2:$C$3001,A179))</f>
        <v/>
      </c>
      <c r="E179" s="26" t="str">
        <f aca="false">IF(A179="","",COUNTIF(Apparitions!$I$2:$I$5001,A179))</f>
        <v/>
      </c>
    </row>
    <row r="180" customFormat="false" ht="15" hidden="false" customHeight="false" outlineLevel="0" collapsed="false">
      <c r="A180" s="19"/>
      <c r="B180" s="19"/>
      <c r="C180" s="19"/>
      <c r="D180" s="26" t="str">
        <f aca="false">IF(A180="","",COUNTIF(Pubs!$C$2:$C$3001,A180))</f>
        <v/>
      </c>
      <c r="E180" s="26" t="str">
        <f aca="false">IF(A180="","",COUNTIF(Apparitions!$I$2:$I$5001,A180))</f>
        <v/>
      </c>
    </row>
    <row r="181" customFormat="false" ht="15" hidden="false" customHeight="false" outlineLevel="0" collapsed="false">
      <c r="A181" s="19"/>
      <c r="B181" s="19"/>
      <c r="C181" s="19"/>
      <c r="D181" s="26" t="str">
        <f aca="false">IF(A181="","",COUNTIF(Pubs!$C$2:$C$3001,A181))</f>
        <v/>
      </c>
      <c r="E181" s="26" t="str">
        <f aca="false">IF(A181="","",COUNTIF(Apparitions!$I$2:$I$5001,A181))</f>
        <v/>
      </c>
    </row>
    <row r="182" customFormat="false" ht="15" hidden="false" customHeight="false" outlineLevel="0" collapsed="false">
      <c r="A182" s="19"/>
      <c r="B182" s="19"/>
      <c r="C182" s="19"/>
      <c r="D182" s="26" t="str">
        <f aca="false">IF(A182="","",COUNTIF(Pubs!$C$2:$C$3001,A182))</f>
        <v/>
      </c>
      <c r="E182" s="26" t="str">
        <f aca="false">IF(A182="","",COUNTIF(Apparitions!$I$2:$I$5001,A182))</f>
        <v/>
      </c>
    </row>
    <row r="183" customFormat="false" ht="15" hidden="false" customHeight="false" outlineLevel="0" collapsed="false">
      <c r="A183" s="19"/>
      <c r="B183" s="19"/>
      <c r="C183" s="19"/>
      <c r="D183" s="26" t="str">
        <f aca="false">IF(A183="","",COUNTIF(Pubs!$C$2:$C$3001,A183))</f>
        <v/>
      </c>
      <c r="E183" s="26" t="str">
        <f aca="false">IF(A183="","",COUNTIF(Apparitions!$I$2:$I$5001,A183))</f>
        <v/>
      </c>
    </row>
    <row r="184" customFormat="false" ht="15" hidden="false" customHeight="false" outlineLevel="0" collapsed="false">
      <c r="A184" s="19"/>
      <c r="B184" s="19"/>
      <c r="C184" s="19"/>
      <c r="D184" s="26" t="str">
        <f aca="false">IF(A184="","",COUNTIF(Pubs!$C$2:$C$3001,A184))</f>
        <v/>
      </c>
      <c r="E184" s="26" t="str">
        <f aca="false">IF(A184="","",COUNTIF(Apparitions!$I$2:$I$5001,A184))</f>
        <v/>
      </c>
    </row>
    <row r="185" customFormat="false" ht="15" hidden="false" customHeight="false" outlineLevel="0" collapsed="false">
      <c r="A185" s="19"/>
      <c r="B185" s="19"/>
      <c r="C185" s="19"/>
      <c r="D185" s="26" t="str">
        <f aca="false">IF(A185="","",COUNTIF(Pubs!$C$2:$C$3001,A185))</f>
        <v/>
      </c>
      <c r="E185" s="26" t="str">
        <f aca="false">IF(A185="","",COUNTIF(Apparitions!$I$2:$I$5001,A185))</f>
        <v/>
      </c>
    </row>
    <row r="186" customFormat="false" ht="15" hidden="false" customHeight="false" outlineLevel="0" collapsed="false">
      <c r="A186" s="19"/>
      <c r="B186" s="19"/>
      <c r="C186" s="19"/>
      <c r="D186" s="26" t="str">
        <f aca="false">IF(A186="","",COUNTIF(Pubs!$C$2:$C$3001,A186))</f>
        <v/>
      </c>
      <c r="E186" s="26" t="str">
        <f aca="false">IF(A186="","",COUNTIF(Apparitions!$I$2:$I$5001,A186))</f>
        <v/>
      </c>
    </row>
    <row r="187" customFormat="false" ht="15" hidden="false" customHeight="false" outlineLevel="0" collapsed="false">
      <c r="A187" s="19"/>
      <c r="B187" s="19"/>
      <c r="C187" s="19"/>
      <c r="D187" s="26" t="str">
        <f aca="false">IF(A187="","",COUNTIF(Pubs!$C$2:$C$3001,A187))</f>
        <v/>
      </c>
      <c r="E187" s="26" t="str">
        <f aca="false">IF(A187="","",COUNTIF(Apparitions!$I$2:$I$5001,A187))</f>
        <v/>
      </c>
    </row>
    <row r="188" customFormat="false" ht="15" hidden="false" customHeight="false" outlineLevel="0" collapsed="false">
      <c r="A188" s="19"/>
      <c r="B188" s="19"/>
      <c r="C188" s="19"/>
      <c r="D188" s="26" t="str">
        <f aca="false">IF(A188="","",COUNTIF(Pubs!$C$2:$C$3001,A188))</f>
        <v/>
      </c>
      <c r="E188" s="26" t="str">
        <f aca="false">IF(A188="","",COUNTIF(Apparitions!$I$2:$I$5001,A188))</f>
        <v/>
      </c>
    </row>
    <row r="189" customFormat="false" ht="15" hidden="false" customHeight="false" outlineLevel="0" collapsed="false">
      <c r="A189" s="19"/>
      <c r="B189" s="19"/>
      <c r="C189" s="19"/>
      <c r="D189" s="26" t="str">
        <f aca="false">IF(A189="","",COUNTIF(Pubs!$C$2:$C$3001,A189))</f>
        <v/>
      </c>
      <c r="E189" s="26" t="str">
        <f aca="false">IF(A189="","",COUNTIF(Apparitions!$I$2:$I$5001,A189))</f>
        <v/>
      </c>
    </row>
    <row r="190" customFormat="false" ht="15" hidden="false" customHeight="false" outlineLevel="0" collapsed="false">
      <c r="A190" s="19"/>
      <c r="B190" s="19"/>
      <c r="C190" s="19"/>
      <c r="D190" s="26" t="str">
        <f aca="false">IF(A190="","",COUNTIF(Pubs!$C$2:$C$3001,A190))</f>
        <v/>
      </c>
      <c r="E190" s="26" t="str">
        <f aca="false">IF(A190="","",COUNTIF(Apparitions!$I$2:$I$5001,A190))</f>
        <v/>
      </c>
    </row>
    <row r="191" customFormat="false" ht="15" hidden="false" customHeight="false" outlineLevel="0" collapsed="false">
      <c r="A191" s="19"/>
      <c r="B191" s="19"/>
      <c r="C191" s="19"/>
      <c r="D191" s="26" t="str">
        <f aca="false">IF(A191="","",COUNTIF(Pubs!$C$2:$C$3001,A191))</f>
        <v/>
      </c>
      <c r="E191" s="26" t="str">
        <f aca="false">IF(A191="","",COUNTIF(Apparitions!$I$2:$I$5001,A191))</f>
        <v/>
      </c>
    </row>
    <row r="192" customFormat="false" ht="15" hidden="false" customHeight="false" outlineLevel="0" collapsed="false">
      <c r="A192" s="19"/>
      <c r="B192" s="19"/>
      <c r="C192" s="19"/>
      <c r="D192" s="26" t="str">
        <f aca="false">IF(A192="","",COUNTIF(Pubs!$C$2:$C$3001,A192))</f>
        <v/>
      </c>
      <c r="E192" s="26" t="str">
        <f aca="false">IF(A192="","",COUNTIF(Apparitions!$I$2:$I$5001,A192))</f>
        <v/>
      </c>
    </row>
    <row r="193" customFormat="false" ht="15" hidden="false" customHeight="false" outlineLevel="0" collapsed="false">
      <c r="A193" s="19"/>
      <c r="B193" s="19"/>
      <c r="C193" s="19"/>
      <c r="D193" s="26" t="str">
        <f aca="false">IF(A193="","",COUNTIF(Pubs!$C$2:$C$3001,A193))</f>
        <v/>
      </c>
      <c r="E193" s="26" t="str">
        <f aca="false">IF(A193="","",COUNTIF(Apparitions!$I$2:$I$5001,A193))</f>
        <v/>
      </c>
    </row>
    <row r="194" customFormat="false" ht="15" hidden="false" customHeight="false" outlineLevel="0" collapsed="false">
      <c r="A194" s="19"/>
      <c r="B194" s="19"/>
      <c r="C194" s="19"/>
      <c r="D194" s="26" t="str">
        <f aca="false">IF(A194="","",COUNTIF(Pubs!$C$2:$C$3001,A194))</f>
        <v/>
      </c>
      <c r="E194" s="26" t="str">
        <f aca="false">IF(A194="","",COUNTIF(Apparitions!$I$2:$I$5001,A194))</f>
        <v/>
      </c>
    </row>
    <row r="195" customFormat="false" ht="15" hidden="false" customHeight="false" outlineLevel="0" collapsed="false">
      <c r="A195" s="19"/>
      <c r="B195" s="19"/>
      <c r="C195" s="19"/>
      <c r="D195" s="26" t="str">
        <f aca="false">IF(A195="","",COUNTIF(Pubs!$C$2:$C$3001,A195))</f>
        <v/>
      </c>
      <c r="E195" s="26" t="str">
        <f aca="false">IF(A195="","",COUNTIF(Apparitions!$I$2:$I$5001,A195))</f>
        <v/>
      </c>
    </row>
    <row r="196" customFormat="false" ht="15" hidden="false" customHeight="false" outlineLevel="0" collapsed="false">
      <c r="A196" s="19"/>
      <c r="B196" s="19"/>
      <c r="C196" s="19"/>
      <c r="D196" s="26" t="str">
        <f aca="false">IF(A196="","",COUNTIF(Pubs!$C$2:$C$3001,A196))</f>
        <v/>
      </c>
      <c r="E196" s="26" t="str">
        <f aca="false">IF(A196="","",COUNTIF(Apparitions!$I$2:$I$5001,A196))</f>
        <v/>
      </c>
    </row>
    <row r="197" customFormat="false" ht="15" hidden="false" customHeight="false" outlineLevel="0" collapsed="false">
      <c r="A197" s="19"/>
      <c r="B197" s="19"/>
      <c r="C197" s="19"/>
      <c r="D197" s="26" t="str">
        <f aca="false">IF(A197="","",COUNTIF(Pubs!$C$2:$C$3001,A197))</f>
        <v/>
      </c>
      <c r="E197" s="26" t="str">
        <f aca="false">IF(A197="","",COUNTIF(Apparitions!$I$2:$I$5001,A197))</f>
        <v/>
      </c>
    </row>
    <row r="198" customFormat="false" ht="15" hidden="false" customHeight="false" outlineLevel="0" collapsed="false">
      <c r="A198" s="19"/>
      <c r="B198" s="19"/>
      <c r="C198" s="19"/>
      <c r="D198" s="26" t="str">
        <f aca="false">IF(A198="","",COUNTIF(Pubs!$C$2:$C$3001,A198))</f>
        <v/>
      </c>
      <c r="E198" s="26" t="str">
        <f aca="false">IF(A198="","",COUNTIF(Apparitions!$I$2:$I$5001,A198))</f>
        <v/>
      </c>
    </row>
    <row r="199" customFormat="false" ht="15" hidden="false" customHeight="false" outlineLevel="0" collapsed="false">
      <c r="A199" s="19"/>
      <c r="B199" s="19"/>
      <c r="C199" s="19"/>
      <c r="D199" s="26" t="str">
        <f aca="false">IF(A199="","",COUNTIF(Pubs!$C$2:$C$3001,A199))</f>
        <v/>
      </c>
      <c r="E199" s="26" t="str">
        <f aca="false">IF(A199="","",COUNTIF(Apparitions!$I$2:$I$5001,A199))</f>
        <v/>
      </c>
    </row>
    <row r="200" customFormat="false" ht="15" hidden="false" customHeight="false" outlineLevel="0" collapsed="false">
      <c r="A200" s="19"/>
      <c r="B200" s="19"/>
      <c r="C200" s="19"/>
      <c r="D200" s="26" t="str">
        <f aca="false">IF(A200="","",COUNTIF(Pubs!$C$2:$C$3001,A200))</f>
        <v/>
      </c>
      <c r="E200" s="26" t="str">
        <f aca="false">IF(A200="","",COUNTIF(Apparitions!$I$2:$I$5001,A200))</f>
        <v/>
      </c>
    </row>
    <row r="201" customFormat="false" ht="15" hidden="false" customHeight="false" outlineLevel="0" collapsed="false">
      <c r="A201" s="19"/>
      <c r="B201" s="19"/>
      <c r="C201" s="19"/>
      <c r="D201" s="26" t="str">
        <f aca="false">IF(A201="","",COUNTIF(Pubs!$C$2:$C$3001,A201))</f>
        <v/>
      </c>
      <c r="E201" s="26" t="str">
        <f aca="false">IF(A201="","",COUNTIF(Apparitions!$I$2:$I$5001,A201))</f>
        <v/>
      </c>
    </row>
  </sheetData>
  <autoFilter ref="A1:E201"/>
  <conditionalFormatting sqref="A2:A201">
    <cfRule type="expression" priority="2" aboveAverage="0" equalAverage="0" bottom="0" percent="0" rank="0" text="" dxfId="1">
      <formula>AND(A2&lt;&gt;"",COUNTIF($A$2:$A$201,A2)&gt;1)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2026-09-27T15:20:04Z</dcterms:created>
  <dc:creator>openpyxl</dc:creator>
  <dc:description/>
  <dc:language>en-US</dc:language>
  <cp:lastModifiedBy/>
  <dcterms:modified xsi:type="dcterms:W3CDTF">2026-09-27T15:20:06Z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